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2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70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U1959" i="57" l="1"/>
  <c r="AU1960" i="57"/>
  <c r="AY1960" i="57"/>
  <c r="BA1960" i="57" s="1"/>
  <c r="AU1961" i="57"/>
  <c r="AU1962" i="57"/>
  <c r="AY1962" i="57"/>
  <c r="AU1963" i="57"/>
  <c r="AU1964" i="57"/>
  <c r="AY1964" i="57"/>
  <c r="BA1964" i="57"/>
  <c r="AU1965" i="57"/>
  <c r="AU1966" i="57"/>
  <c r="AY1966" i="57"/>
  <c r="BA1966" i="57"/>
  <c r="AU1967" i="57"/>
  <c r="AU1968" i="57"/>
  <c r="AY1968" i="57"/>
  <c r="BA1968" i="57" s="1"/>
  <c r="AU1969" i="57"/>
  <c r="AU1970" i="57"/>
  <c r="AY1970" i="57"/>
  <c r="AU1971" i="57"/>
  <c r="AU1972" i="57"/>
  <c r="AY1972" i="57"/>
  <c r="BA1972" i="57"/>
  <c r="AU1973" i="57"/>
  <c r="AU1974" i="57"/>
  <c r="AY1974" i="57"/>
  <c r="BA1974" i="57"/>
  <c r="AU1975" i="57"/>
  <c r="AU1976" i="57"/>
  <c r="AY1976" i="57"/>
  <c r="BA1976" i="57" s="1"/>
  <c r="AU1977" i="57"/>
  <c r="AU1978" i="57"/>
  <c r="AY1978" i="57"/>
  <c r="AU1979" i="57"/>
  <c r="AU1980" i="57"/>
  <c r="AY1980" i="57"/>
  <c r="BA1980" i="57"/>
  <c r="AU1981" i="57"/>
  <c r="AU1982" i="57"/>
  <c r="AY1982" i="57"/>
  <c r="BA1982" i="57"/>
  <c r="AU1983" i="57"/>
  <c r="AU1984" i="57"/>
  <c r="AY1984" i="57"/>
  <c r="BA1984" i="57" s="1"/>
  <c r="AU1985" i="57"/>
  <c r="AU1986" i="57"/>
  <c r="AY1986" i="57"/>
  <c r="AU1987" i="57"/>
  <c r="AU1988" i="57"/>
  <c r="AY1988" i="57" s="1"/>
  <c r="AW1988" i="57"/>
  <c r="AU1989" i="57"/>
  <c r="AY1989" i="57" s="1"/>
  <c r="AV1989" i="57"/>
  <c r="AW1989" i="57"/>
  <c r="AU1990" i="57"/>
  <c r="AY1990" i="57" s="1"/>
  <c r="AV1990" i="57"/>
  <c r="AW1990" i="57"/>
  <c r="AU1991" i="57"/>
  <c r="AY1991" i="57" s="1"/>
  <c r="AV1991" i="57" s="1"/>
  <c r="AW1991" i="57"/>
  <c r="AU1992" i="57"/>
  <c r="AY1992" i="57" s="1"/>
  <c r="AW1992" i="57"/>
  <c r="AU1993" i="57"/>
  <c r="AY1993" i="57" s="1"/>
  <c r="AV1993" i="57"/>
  <c r="AW1993" i="57"/>
  <c r="AU1994" i="57"/>
  <c r="AY1994" i="57" s="1"/>
  <c r="AV1994" i="57"/>
  <c r="AW1994" i="57"/>
  <c r="AU1995" i="57"/>
  <c r="AY1995" i="57" s="1"/>
  <c r="AV1995" i="57" s="1"/>
  <c r="AW1995" i="57"/>
  <c r="AU1996" i="57"/>
  <c r="AY1996" i="57" s="1"/>
  <c r="AW1996" i="57"/>
  <c r="AU1997" i="57"/>
  <c r="AY1997" i="57" s="1"/>
  <c r="AV1997" i="57"/>
  <c r="AW1997" i="57"/>
  <c r="AU1998" i="57"/>
  <c r="AY1998" i="57" s="1"/>
  <c r="AV1998" i="57"/>
  <c r="AW1998" i="57"/>
  <c r="AU1999" i="57"/>
  <c r="AY1999" i="57" s="1"/>
  <c r="AV1999" i="57" s="1"/>
  <c r="AW1999" i="57"/>
  <c r="AU2000" i="57"/>
  <c r="AY2000" i="57" s="1"/>
  <c r="AW2000" i="57"/>
  <c r="AU2001" i="57"/>
  <c r="AY2001" i="57" s="1"/>
  <c r="AV2001" i="57"/>
  <c r="AW2001" i="57"/>
  <c r="AU2002" i="57"/>
  <c r="AY2002" i="57" s="1"/>
  <c r="AV2002" i="57"/>
  <c r="AW2002" i="57"/>
  <c r="AU2003" i="57"/>
  <c r="AY2003" i="57" s="1"/>
  <c r="AV2003" i="57" s="1"/>
  <c r="AW2003" i="57"/>
  <c r="AU1801" i="57"/>
  <c r="AW1801" i="57"/>
  <c r="AY1801" i="57"/>
  <c r="AU1802" i="57"/>
  <c r="AW1802" i="57"/>
  <c r="AY1802" i="57"/>
  <c r="AU1803" i="57"/>
  <c r="AW1803" i="57"/>
  <c r="AY1803" i="57"/>
  <c r="AU1804" i="57"/>
  <c r="AW1804" i="57"/>
  <c r="AY1804" i="57"/>
  <c r="AU1805" i="57"/>
  <c r="AW1805" i="57"/>
  <c r="AY1805" i="57"/>
  <c r="AU1806" i="57"/>
  <c r="AW1806" i="57"/>
  <c r="AY1806" i="57"/>
  <c r="AU1807" i="57"/>
  <c r="AY1807" i="57"/>
  <c r="AU1808" i="57"/>
  <c r="AY1808" i="57" s="1"/>
  <c r="BA1808" i="57"/>
  <c r="AU1809" i="57"/>
  <c r="AW1809" i="57" s="1"/>
  <c r="AU1810" i="57"/>
  <c r="AU1811" i="57"/>
  <c r="AW1811" i="57" s="1"/>
  <c r="AY1811" i="57"/>
  <c r="BA1811" i="57"/>
  <c r="BG1811" i="57" s="1"/>
  <c r="BJ1811" i="57"/>
  <c r="AU1812" i="57"/>
  <c r="AW1812" i="57"/>
  <c r="AY1812" i="57"/>
  <c r="AU1813" i="57"/>
  <c r="AW1813" i="57" s="1"/>
  <c r="AU1814" i="57"/>
  <c r="AU1815" i="57"/>
  <c r="AW1815" i="57" s="1"/>
  <c r="AY1815" i="57"/>
  <c r="BA1815" i="57"/>
  <c r="BG1815" i="57" s="1"/>
  <c r="BJ1815" i="57"/>
  <c r="AU1816" i="57"/>
  <c r="AW1816" i="57"/>
  <c r="AY1816" i="57"/>
  <c r="AU1817" i="57"/>
  <c r="AW1817" i="57" s="1"/>
  <c r="AU1818" i="57"/>
  <c r="AU1819" i="57"/>
  <c r="AW1819" i="57" s="1"/>
  <c r="AY1819" i="57"/>
  <c r="BA1819" i="57"/>
  <c r="BG1819" i="57" s="1"/>
  <c r="BJ1819" i="57"/>
  <c r="AU1820" i="57"/>
  <c r="AW1820" i="57"/>
  <c r="AY1820" i="57"/>
  <c r="AU1821" i="57"/>
  <c r="AW1821" i="57" s="1"/>
  <c r="AU1822" i="57"/>
  <c r="AU1823" i="57"/>
  <c r="AW1823" i="57" s="1"/>
  <c r="AY1823" i="57"/>
  <c r="BA1823" i="57"/>
  <c r="BG1823" i="57" s="1"/>
  <c r="BJ1823" i="57"/>
  <c r="AU1824" i="57"/>
  <c r="AW1824" i="57"/>
  <c r="AY1824" i="57"/>
  <c r="AU1825" i="57"/>
  <c r="AW1825" i="57" s="1"/>
  <c r="AU1826" i="57"/>
  <c r="AU1827" i="57"/>
  <c r="AW1827" i="57" s="1"/>
  <c r="AY1827" i="57"/>
  <c r="BA1827" i="57"/>
  <c r="BG1827" i="57" s="1"/>
  <c r="BJ1827" i="57"/>
  <c r="AU1828" i="57"/>
  <c r="AW1828" i="57"/>
  <c r="AY1828" i="57"/>
  <c r="AU1829" i="57"/>
  <c r="AW1829" i="57" s="1"/>
  <c r="AU1830" i="57"/>
  <c r="AY1830" i="57" s="1"/>
  <c r="AW1830" i="57"/>
  <c r="AU1831" i="57"/>
  <c r="AV1831" i="57"/>
  <c r="AW1831" i="57"/>
  <c r="AY1831" i="57"/>
  <c r="BA1831" i="57" s="1"/>
  <c r="BB1831" i="57" s="1"/>
  <c r="BD1831" i="57"/>
  <c r="BJ1831" i="57"/>
  <c r="AU1832" i="57"/>
  <c r="AW1832" i="57"/>
  <c r="AY1832" i="57"/>
  <c r="AU1833" i="57"/>
  <c r="AV1833" i="57"/>
  <c r="AW1833" i="57"/>
  <c r="AY1833" i="57"/>
  <c r="AU1834" i="57"/>
  <c r="AW1834" i="57"/>
  <c r="AY1834" i="57"/>
  <c r="AU1835" i="57"/>
  <c r="AV1835" i="57"/>
  <c r="AW1835" i="57"/>
  <c r="AY1835" i="57"/>
  <c r="AU1836" i="57"/>
  <c r="AW1836" i="57"/>
  <c r="AY1836" i="57"/>
  <c r="AU1837" i="57"/>
  <c r="AV1837" i="57"/>
  <c r="AW1837" i="57"/>
  <c r="AY1837" i="57"/>
  <c r="AU1838" i="57"/>
  <c r="AW1838" i="57"/>
  <c r="AY1838" i="57"/>
  <c r="AU1839" i="57"/>
  <c r="AV1839" i="57"/>
  <c r="AW1839" i="57"/>
  <c r="AY1839" i="57"/>
  <c r="AU1840" i="57"/>
  <c r="AW1840" i="57"/>
  <c r="AY1840" i="57"/>
  <c r="AU1841" i="57"/>
  <c r="AV1841" i="57"/>
  <c r="AW1841" i="57"/>
  <c r="AY1841" i="57"/>
  <c r="AU1842" i="57"/>
  <c r="AW1842" i="57"/>
  <c r="AY1842" i="57"/>
  <c r="AU1843" i="57"/>
  <c r="AV1843" i="57"/>
  <c r="AW1843" i="57"/>
  <c r="AY1843" i="57"/>
  <c r="AU1844" i="57"/>
  <c r="AW1844" i="57"/>
  <c r="AY1844" i="57"/>
  <c r="AU1845" i="57"/>
  <c r="AV1845" i="57"/>
  <c r="AW1845" i="57"/>
  <c r="AY1845" i="57"/>
  <c r="AU1846" i="57"/>
  <c r="AW1846" i="57"/>
  <c r="AY1846" i="57"/>
  <c r="AU1847" i="57"/>
  <c r="AV1847" i="57"/>
  <c r="AW1847" i="57"/>
  <c r="AY1847" i="57"/>
  <c r="AU1848" i="57"/>
  <c r="AW1848" i="57"/>
  <c r="AY1848" i="57"/>
  <c r="AU1849" i="57"/>
  <c r="AV1849" i="57"/>
  <c r="AW1849" i="57"/>
  <c r="AY1849" i="57"/>
  <c r="AU1850" i="57"/>
  <c r="AW1850" i="57"/>
  <c r="AY1850" i="57"/>
  <c r="AU1851" i="57"/>
  <c r="AV1851" i="57"/>
  <c r="AW1851" i="57"/>
  <c r="AY1851" i="57"/>
  <c r="AU1852" i="57"/>
  <c r="AW1852" i="57"/>
  <c r="AY1852" i="57"/>
  <c r="AU1853" i="57"/>
  <c r="AV1853" i="57"/>
  <c r="AW1853" i="57"/>
  <c r="AY1853" i="57"/>
  <c r="AU1854" i="57"/>
  <c r="AW1854" i="57"/>
  <c r="AY1854" i="57"/>
  <c r="AU1855" i="57"/>
  <c r="AV1855" i="57"/>
  <c r="AW1855" i="57"/>
  <c r="AY1855" i="57"/>
  <c r="AU1856" i="57"/>
  <c r="AW1856" i="57"/>
  <c r="AY1856" i="57"/>
  <c r="AU1857" i="57"/>
  <c r="AV1857" i="57"/>
  <c r="AW1857" i="57"/>
  <c r="AY1857" i="57"/>
  <c r="AU1858" i="57"/>
  <c r="AW1858" i="57"/>
  <c r="AY1858" i="57"/>
  <c r="AU1859" i="57"/>
  <c r="AV1859" i="57"/>
  <c r="AW1859" i="57"/>
  <c r="AY1859" i="57"/>
  <c r="AU1860" i="57"/>
  <c r="AW1860" i="57"/>
  <c r="AY1860" i="57"/>
  <c r="AU1861" i="57"/>
  <c r="AV1861" i="57"/>
  <c r="AW1861" i="57"/>
  <c r="AY1861" i="57"/>
  <c r="AU1862" i="57"/>
  <c r="AV1862" i="57"/>
  <c r="AW1862" i="57"/>
  <c r="AY1862" i="57"/>
  <c r="AU1863" i="57"/>
  <c r="AW1863" i="57"/>
  <c r="AY1863" i="57"/>
  <c r="AU1864" i="57"/>
  <c r="AW1864" i="57"/>
  <c r="AY1864" i="57"/>
  <c r="AU1865" i="57"/>
  <c r="AV1865" i="57"/>
  <c r="AW1865" i="57"/>
  <c r="AY1865" i="57"/>
  <c r="AU1866" i="57"/>
  <c r="AV1866" i="57"/>
  <c r="AW1866" i="57"/>
  <c r="AY1866" i="57"/>
  <c r="AU1867" i="57"/>
  <c r="AV1867" i="57"/>
  <c r="AW1867" i="57"/>
  <c r="AY1867" i="57"/>
  <c r="AU1868" i="57"/>
  <c r="AV1868" i="57"/>
  <c r="AW1868" i="57"/>
  <c r="AY1868" i="57"/>
  <c r="AU1869" i="57"/>
  <c r="AW1869" i="57"/>
  <c r="AY1869" i="57"/>
  <c r="AU1870" i="57"/>
  <c r="AV1870" i="57"/>
  <c r="AW1870" i="57"/>
  <c r="AY1870" i="57"/>
  <c r="AU1871" i="57"/>
  <c r="AW1871" i="57"/>
  <c r="AY1871" i="57"/>
  <c r="AU1872" i="57"/>
  <c r="AW1872" i="57"/>
  <c r="AY1872" i="57"/>
  <c r="AU1873" i="57"/>
  <c r="AW1873" i="57"/>
  <c r="AY1873" i="57"/>
  <c r="AU1874" i="57"/>
  <c r="AV1874" i="57"/>
  <c r="AW1874" i="57"/>
  <c r="AY1874" i="57"/>
  <c r="AU1875" i="57"/>
  <c r="AV1875" i="57"/>
  <c r="AW1875" i="57"/>
  <c r="AY1875" i="57"/>
  <c r="AU1876" i="57"/>
  <c r="AV1876" i="57"/>
  <c r="AW1876" i="57"/>
  <c r="AY1876" i="57"/>
  <c r="AU1877" i="57"/>
  <c r="AW1877" i="57"/>
  <c r="AY1877" i="57"/>
  <c r="AU1878" i="57"/>
  <c r="AW1878" i="57"/>
  <c r="AY1878" i="57"/>
  <c r="AU1879" i="57"/>
  <c r="AW1879" i="57"/>
  <c r="AY1879" i="57"/>
  <c r="AU1880" i="57"/>
  <c r="AW1880" i="57"/>
  <c r="AY1880" i="57"/>
  <c r="AU1881" i="57"/>
  <c r="AW1881" i="57"/>
  <c r="AY1881" i="57"/>
  <c r="AU1882" i="57"/>
  <c r="AW1882" i="57"/>
  <c r="AY1882" i="57"/>
  <c r="AU1883" i="57"/>
  <c r="AV1883" i="57"/>
  <c r="AW1883" i="57"/>
  <c r="AY1883" i="57"/>
  <c r="AU1884" i="57"/>
  <c r="AV1884" i="57"/>
  <c r="AW1884" i="57"/>
  <c r="AY1884" i="57"/>
  <c r="AU1885" i="57"/>
  <c r="AW1885" i="57"/>
  <c r="AY1885" i="57"/>
  <c r="AU1886" i="57"/>
  <c r="AW1886" i="57"/>
  <c r="AY1886" i="57"/>
  <c r="AU1887" i="57"/>
  <c r="AW1887" i="57"/>
  <c r="AY1887" i="57"/>
  <c r="AU1888" i="57"/>
  <c r="AW1888" i="57"/>
  <c r="AY1888" i="57"/>
  <c r="AU1889" i="57"/>
  <c r="AV1889" i="57"/>
  <c r="AW1889" i="57"/>
  <c r="AY1889" i="57"/>
  <c r="AU1890" i="57"/>
  <c r="AW1890" i="57" s="1"/>
  <c r="AY1890" i="57"/>
  <c r="BA1890" i="57"/>
  <c r="AU1891" i="57"/>
  <c r="AU1892" i="57"/>
  <c r="AU1893" i="57"/>
  <c r="AY1893" i="57"/>
  <c r="BA1893" i="57"/>
  <c r="BB1893" i="57"/>
  <c r="AU1894" i="57"/>
  <c r="AW1894" i="57" s="1"/>
  <c r="AY1894" i="57"/>
  <c r="AU1895" i="57"/>
  <c r="AU1896" i="57"/>
  <c r="AU1897" i="57"/>
  <c r="AY1897" i="57"/>
  <c r="AU1898" i="57"/>
  <c r="AW1898" i="57" s="1"/>
  <c r="AY1898" i="57"/>
  <c r="BA1898" i="57"/>
  <c r="AU1899" i="57"/>
  <c r="AU1900" i="57"/>
  <c r="AU1901" i="57"/>
  <c r="AY1901" i="57"/>
  <c r="BA1901" i="57"/>
  <c r="BB1901" i="57"/>
  <c r="AU1902" i="57"/>
  <c r="AW1902" i="57" s="1"/>
  <c r="AY1902" i="57"/>
  <c r="AU1903" i="57"/>
  <c r="AU1904" i="57"/>
  <c r="AU1905" i="57"/>
  <c r="AY1905" i="57"/>
  <c r="AU1906" i="57"/>
  <c r="AW1906" i="57" s="1"/>
  <c r="AY1906" i="57"/>
  <c r="BA1906" i="57"/>
  <c r="AU1907" i="57"/>
  <c r="AU1908" i="57"/>
  <c r="AU1909" i="57"/>
  <c r="AY1909" i="57"/>
  <c r="BA1909" i="57"/>
  <c r="BB1909" i="57"/>
  <c r="AU1910" i="57"/>
  <c r="AW1910" i="57" s="1"/>
  <c r="AY1910" i="57"/>
  <c r="AU1911" i="57"/>
  <c r="AU1912" i="57"/>
  <c r="AU1913" i="57"/>
  <c r="AY1913" i="57"/>
  <c r="AU1914" i="57"/>
  <c r="AW1914" i="57" s="1"/>
  <c r="AY1914" i="57"/>
  <c r="BA1914" i="57"/>
  <c r="AU1915" i="57"/>
  <c r="AU1916" i="57"/>
  <c r="AU1917" i="57"/>
  <c r="AY1917" i="57"/>
  <c r="BA1917" i="57"/>
  <c r="BB1917" i="57"/>
  <c r="AU1918" i="57"/>
  <c r="AW1918" i="57" s="1"/>
  <c r="AY1918" i="57"/>
  <c r="AU1919" i="57"/>
  <c r="AU1920" i="57"/>
  <c r="AU1921" i="57"/>
  <c r="AY1921" i="57"/>
  <c r="AU1922" i="57"/>
  <c r="AW1922" i="57" s="1"/>
  <c r="AY1922" i="57"/>
  <c r="AV1922" i="57" s="1"/>
  <c r="AU1923" i="57"/>
  <c r="AU1924" i="57"/>
  <c r="AU1925" i="57"/>
  <c r="AY1925" i="57"/>
  <c r="AU1926" i="57"/>
  <c r="AW1926" i="57" s="1"/>
  <c r="AY1926" i="57"/>
  <c r="AV1926" i="57" s="1"/>
  <c r="AU1927" i="57"/>
  <c r="AU1928" i="57"/>
  <c r="AU1929" i="57"/>
  <c r="AY1929" i="57"/>
  <c r="AU1930" i="57"/>
  <c r="AW1930" i="57" s="1"/>
  <c r="AY1930" i="57"/>
  <c r="AU1931" i="57"/>
  <c r="AU1932" i="57"/>
  <c r="AU1933" i="57"/>
  <c r="AY1933" i="57"/>
  <c r="AU1934" i="57"/>
  <c r="AW1934" i="57" s="1"/>
  <c r="AY1934" i="57"/>
  <c r="AU1935" i="57"/>
  <c r="AU1936" i="57"/>
  <c r="AU1937" i="57"/>
  <c r="AY1937" i="57"/>
  <c r="AU1938" i="57"/>
  <c r="AW1938" i="57" s="1"/>
  <c r="AY1938" i="57"/>
  <c r="AV1938" i="57" s="1"/>
  <c r="AU1939" i="57"/>
  <c r="AU1940" i="57"/>
  <c r="AU1941" i="57"/>
  <c r="AY1941" i="57"/>
  <c r="AU1942" i="57"/>
  <c r="AW1942" i="57" s="1"/>
  <c r="AY1942" i="57"/>
  <c r="AU1943" i="57"/>
  <c r="AU1944" i="57"/>
  <c r="AW1944" i="57" s="1"/>
  <c r="AU1945" i="57"/>
  <c r="AW1945" i="57" s="1"/>
  <c r="AU1946" i="57"/>
  <c r="AW1946" i="57" s="1"/>
  <c r="AY1946" i="57"/>
  <c r="AV1946" i="57" s="1"/>
  <c r="AU1947" i="57"/>
  <c r="AW1947" i="57" s="1"/>
  <c r="AV1947" i="57"/>
  <c r="AY1947" i="57"/>
  <c r="AU1948" i="57"/>
  <c r="AW1948" i="57" s="1"/>
  <c r="AU1949" i="57"/>
  <c r="AW1949" i="57" s="1"/>
  <c r="AU1950" i="57"/>
  <c r="AW1950" i="57" s="1"/>
  <c r="AY1950" i="57"/>
  <c r="AU1951" i="57"/>
  <c r="AW1951" i="57" s="1"/>
  <c r="AV1951" i="57"/>
  <c r="AY1951" i="57"/>
  <c r="AU1952" i="57"/>
  <c r="AW1952" i="57" s="1"/>
  <c r="AU1953" i="57"/>
  <c r="AW1953" i="57" s="1"/>
  <c r="AU1954" i="57"/>
  <c r="AW1954" i="57" s="1"/>
  <c r="AY1954" i="57"/>
  <c r="AU1955" i="57"/>
  <c r="AW1955" i="57" s="1"/>
  <c r="AV1955" i="57"/>
  <c r="AY1955" i="57"/>
  <c r="AU1956" i="57"/>
  <c r="AW1956" i="57" s="1"/>
  <c r="AU1957" i="57"/>
  <c r="AW1957" i="57" s="1"/>
  <c r="AU1958" i="57"/>
  <c r="AW1958" i="57" s="1"/>
  <c r="AY1958" i="57"/>
  <c r="AV1958" i="57" s="1"/>
  <c r="BJ5" i="57"/>
  <c r="BJ6" i="57"/>
  <c r="BJ7" i="57"/>
  <c r="BJ8" i="57"/>
  <c r="BJ9" i="57"/>
  <c r="BJ10" i="57"/>
  <c r="BJ11" i="57"/>
  <c r="BJ12" i="57"/>
  <c r="BJ13" i="57"/>
  <c r="BJ14" i="57"/>
  <c r="BJ15" i="57"/>
  <c r="BJ16" i="57"/>
  <c r="BJ17" i="57"/>
  <c r="BJ18" i="57"/>
  <c r="BJ19" i="57"/>
  <c r="BJ20" i="57"/>
  <c r="BJ21" i="57"/>
  <c r="BJ22" i="57"/>
  <c r="BJ23" i="57"/>
  <c r="BJ24" i="57"/>
  <c r="BJ25" i="57"/>
  <c r="BJ26" i="57"/>
  <c r="BJ27" i="57"/>
  <c r="BJ28" i="57"/>
  <c r="BJ29" i="57"/>
  <c r="BJ30" i="57"/>
  <c r="BJ31" i="57"/>
  <c r="BJ32" i="57"/>
  <c r="BJ33" i="57"/>
  <c r="BJ34" i="57"/>
  <c r="BJ35" i="57"/>
  <c r="BJ36" i="57"/>
  <c r="BJ37" i="57"/>
  <c r="BJ38" i="57"/>
  <c r="BJ39" i="57"/>
  <c r="BJ40" i="57"/>
  <c r="BJ41" i="57"/>
  <c r="BJ42" i="57"/>
  <c r="BJ43" i="57"/>
  <c r="BJ44" i="57"/>
  <c r="BJ45" i="57"/>
  <c r="BJ46" i="57"/>
  <c r="BJ47" i="57"/>
  <c r="BJ48" i="57"/>
  <c r="BJ49" i="57"/>
  <c r="BJ50" i="57"/>
  <c r="BJ51" i="57"/>
  <c r="BJ52" i="57"/>
  <c r="BJ53" i="57"/>
  <c r="BJ54" i="57"/>
  <c r="BJ55" i="57"/>
  <c r="BJ56" i="57"/>
  <c r="BJ57" i="57"/>
  <c r="BJ58" i="57"/>
  <c r="BJ59" i="57"/>
  <c r="BJ60" i="57"/>
  <c r="BJ61" i="57"/>
  <c r="BJ62" i="57"/>
  <c r="BJ63" i="57"/>
  <c r="BJ64" i="57"/>
  <c r="BJ65" i="57"/>
  <c r="BJ66" i="57"/>
  <c r="BJ67" i="57"/>
  <c r="BJ68" i="57"/>
  <c r="BJ69" i="57"/>
  <c r="BJ70" i="57"/>
  <c r="BJ71" i="57"/>
  <c r="BJ72" i="57"/>
  <c r="BJ73" i="57"/>
  <c r="BJ74" i="57"/>
  <c r="BJ75" i="57"/>
  <c r="BJ76" i="57"/>
  <c r="BJ77" i="57"/>
  <c r="BJ78" i="57"/>
  <c r="BJ79" i="57"/>
  <c r="BJ80" i="57"/>
  <c r="BJ81" i="57"/>
  <c r="BJ82" i="57"/>
  <c r="BJ83" i="57"/>
  <c r="BJ84" i="57"/>
  <c r="BJ85" i="57"/>
  <c r="BJ86" i="57"/>
  <c r="BJ87" i="57"/>
  <c r="BJ88" i="57"/>
  <c r="BJ89" i="57"/>
  <c r="BJ90" i="57"/>
  <c r="BJ91" i="57"/>
  <c r="BJ92" i="57"/>
  <c r="BJ93" i="57"/>
  <c r="BJ94" i="57"/>
  <c r="BJ95" i="57"/>
  <c r="BJ96" i="57"/>
  <c r="BJ97" i="57"/>
  <c r="BJ98" i="57"/>
  <c r="BJ99" i="57"/>
  <c r="BJ100" i="57"/>
  <c r="BJ101" i="57"/>
  <c r="BJ102" i="57"/>
  <c r="BJ103" i="57"/>
  <c r="BJ104" i="57"/>
  <c r="BJ105" i="57"/>
  <c r="BJ106" i="57"/>
  <c r="BJ107" i="57"/>
  <c r="BJ108" i="57"/>
  <c r="BJ109" i="57"/>
  <c r="BJ110" i="57"/>
  <c r="BJ111" i="57"/>
  <c r="BJ112" i="57"/>
  <c r="BJ113" i="57"/>
  <c r="BJ114" i="57"/>
  <c r="BJ115" i="57"/>
  <c r="BJ116" i="57"/>
  <c r="BJ117" i="57"/>
  <c r="BJ118" i="57"/>
  <c r="BJ119" i="57"/>
  <c r="BJ120" i="57"/>
  <c r="BJ121" i="57"/>
  <c r="BJ122" i="57"/>
  <c r="BJ123" i="57"/>
  <c r="BJ124" i="57"/>
  <c r="BJ125" i="57"/>
  <c r="BJ126" i="57"/>
  <c r="BJ127" i="57"/>
  <c r="BJ128" i="57"/>
  <c r="BJ129" i="57"/>
  <c r="BJ130" i="57"/>
  <c r="BJ131" i="57"/>
  <c r="BJ132" i="57"/>
  <c r="BJ133" i="57"/>
  <c r="BJ134" i="57"/>
  <c r="BJ135" i="57"/>
  <c r="BJ136" i="57"/>
  <c r="BJ137" i="57"/>
  <c r="BJ138" i="57"/>
  <c r="BJ139" i="57"/>
  <c r="BJ140" i="57"/>
  <c r="BJ141" i="57"/>
  <c r="BJ142" i="57"/>
  <c r="BJ143" i="57"/>
  <c r="BJ144" i="57"/>
  <c r="BJ145" i="57"/>
  <c r="BJ146" i="57"/>
  <c r="BJ147" i="57"/>
  <c r="BJ148" i="57"/>
  <c r="BJ149" i="57"/>
  <c r="BJ150" i="57"/>
  <c r="BJ151" i="57"/>
  <c r="BJ152" i="57"/>
  <c r="BJ153" i="57"/>
  <c r="BJ154" i="57"/>
  <c r="BJ155" i="57"/>
  <c r="BJ156" i="57"/>
  <c r="BJ157" i="57"/>
  <c r="BJ158" i="57"/>
  <c r="BJ159" i="57"/>
  <c r="BJ160" i="57"/>
  <c r="BJ161" i="57"/>
  <c r="BJ162" i="57"/>
  <c r="BJ163" i="57"/>
  <c r="BJ164" i="57"/>
  <c r="BJ165" i="57"/>
  <c r="BJ166" i="57"/>
  <c r="BJ167" i="57"/>
  <c r="BJ168" i="57"/>
  <c r="BJ169" i="57"/>
  <c r="BJ170" i="57"/>
  <c r="BJ171" i="57"/>
  <c r="BJ172" i="57"/>
  <c r="BJ173" i="57"/>
  <c r="BJ174" i="57"/>
  <c r="BJ175" i="57"/>
  <c r="BJ176" i="57"/>
  <c r="BJ177" i="57"/>
  <c r="BJ178" i="57"/>
  <c r="BJ179" i="57"/>
  <c r="BJ180" i="57"/>
  <c r="BJ181" i="57"/>
  <c r="BJ182" i="57"/>
  <c r="BJ183" i="57"/>
  <c r="BJ184" i="57"/>
  <c r="BJ185" i="57"/>
  <c r="BJ186" i="57"/>
  <c r="BJ187" i="57"/>
  <c r="BJ188" i="57"/>
  <c r="BJ189" i="57"/>
  <c r="BJ190" i="57"/>
  <c r="BJ191" i="57"/>
  <c r="BJ192" i="57"/>
  <c r="BJ193" i="57"/>
  <c r="BJ194" i="57"/>
  <c r="BJ195" i="57"/>
  <c r="BJ196" i="57"/>
  <c r="BJ197" i="57"/>
  <c r="BJ198" i="57"/>
  <c r="BJ199" i="57"/>
  <c r="BJ200" i="57"/>
  <c r="BJ201" i="57"/>
  <c r="BJ202" i="57"/>
  <c r="BJ203" i="57"/>
  <c r="BJ204" i="57"/>
  <c r="BJ205" i="57"/>
  <c r="BJ206" i="57"/>
  <c r="BJ207" i="57"/>
  <c r="BJ208" i="57"/>
  <c r="BJ209" i="57"/>
  <c r="BJ210" i="57"/>
  <c r="BJ211" i="57"/>
  <c r="BJ212" i="57"/>
  <c r="BJ213" i="57"/>
  <c r="BJ214" i="57"/>
  <c r="BJ215" i="57"/>
  <c r="BJ216" i="57"/>
  <c r="BJ217" i="57"/>
  <c r="BJ218" i="57"/>
  <c r="BJ219" i="57"/>
  <c r="BJ220" i="57"/>
  <c r="BJ221" i="57"/>
  <c r="BJ222" i="57"/>
  <c r="BJ223" i="57"/>
  <c r="BJ224" i="57"/>
  <c r="BJ225" i="57"/>
  <c r="BJ226" i="57"/>
  <c r="BJ227" i="57"/>
  <c r="BJ228" i="57"/>
  <c r="BJ229" i="57"/>
  <c r="BJ230" i="57"/>
  <c r="BJ231" i="57"/>
  <c r="BJ232" i="57"/>
  <c r="BJ233" i="57"/>
  <c r="BJ234" i="57"/>
  <c r="BJ235" i="57"/>
  <c r="BJ236" i="57"/>
  <c r="BJ237" i="57"/>
  <c r="BJ238" i="57"/>
  <c r="BJ239" i="57"/>
  <c r="BJ240" i="57"/>
  <c r="BJ241" i="57"/>
  <c r="BJ242" i="57"/>
  <c r="BJ243" i="57"/>
  <c r="BJ244" i="57"/>
  <c r="BJ245" i="57"/>
  <c r="BJ246" i="57"/>
  <c r="BJ247" i="57"/>
  <c r="BJ248" i="57"/>
  <c r="BJ249" i="57"/>
  <c r="BJ250" i="57"/>
  <c r="BJ251" i="57"/>
  <c r="BJ252" i="57"/>
  <c r="BJ253" i="57"/>
  <c r="BJ254" i="57"/>
  <c r="BJ255" i="57"/>
  <c r="BJ256" i="57"/>
  <c r="BJ257" i="57"/>
  <c r="BJ258" i="57"/>
  <c r="BJ259" i="57"/>
  <c r="BJ260" i="57"/>
  <c r="BJ261" i="57"/>
  <c r="BJ262" i="57"/>
  <c r="BJ263" i="57"/>
  <c r="BJ264" i="57"/>
  <c r="BJ265" i="57"/>
  <c r="BJ266" i="57"/>
  <c r="BJ267" i="57"/>
  <c r="BJ268" i="57"/>
  <c r="BJ269" i="57"/>
  <c r="BJ270" i="57"/>
  <c r="BJ271" i="57"/>
  <c r="BJ272" i="57"/>
  <c r="BJ273" i="57"/>
  <c r="BJ274" i="57"/>
  <c r="BJ275" i="57"/>
  <c r="BJ276" i="57"/>
  <c r="BJ277" i="57"/>
  <c r="BJ278" i="57"/>
  <c r="BJ279" i="57"/>
  <c r="BJ280" i="57"/>
  <c r="BJ281" i="57"/>
  <c r="BJ282" i="57"/>
  <c r="BJ283" i="57"/>
  <c r="BJ284" i="57"/>
  <c r="BJ285" i="57"/>
  <c r="BJ286" i="57"/>
  <c r="BJ287" i="57"/>
  <c r="BJ288" i="57"/>
  <c r="BJ289" i="57"/>
  <c r="BJ290" i="57"/>
  <c r="BJ291" i="57"/>
  <c r="BJ292" i="57"/>
  <c r="BJ293" i="57"/>
  <c r="BJ294" i="57"/>
  <c r="BJ295" i="57"/>
  <c r="BJ296" i="57"/>
  <c r="BJ297" i="57"/>
  <c r="BJ298" i="57"/>
  <c r="BJ299" i="57"/>
  <c r="BJ300" i="57"/>
  <c r="BJ301" i="57"/>
  <c r="BJ302" i="57"/>
  <c r="BJ303" i="57"/>
  <c r="BJ304" i="57"/>
  <c r="BJ305" i="57"/>
  <c r="BJ306" i="57"/>
  <c r="BJ307" i="57"/>
  <c r="BJ308" i="57"/>
  <c r="BJ309" i="57"/>
  <c r="BJ310" i="57"/>
  <c r="BJ311" i="57"/>
  <c r="BJ312" i="57"/>
  <c r="BJ313" i="57"/>
  <c r="BJ314" i="57"/>
  <c r="BJ315" i="57"/>
  <c r="BJ316" i="57"/>
  <c r="BJ317" i="57"/>
  <c r="BJ318" i="57"/>
  <c r="BJ319" i="57"/>
  <c r="BJ320" i="57"/>
  <c r="BJ321" i="57"/>
  <c r="BJ322" i="57"/>
  <c r="BJ323" i="57"/>
  <c r="BJ324" i="57"/>
  <c r="BJ325" i="57"/>
  <c r="BJ326" i="57"/>
  <c r="BJ327" i="57"/>
  <c r="BJ328" i="57"/>
  <c r="BJ329" i="57"/>
  <c r="BJ330" i="57"/>
  <c r="BJ331" i="57"/>
  <c r="BJ332" i="57"/>
  <c r="BJ333" i="57"/>
  <c r="BJ334" i="57"/>
  <c r="BJ335" i="57"/>
  <c r="BJ336" i="57"/>
  <c r="BJ337" i="57"/>
  <c r="BJ338" i="57"/>
  <c r="BJ339" i="57"/>
  <c r="BJ340" i="57"/>
  <c r="BJ341" i="57"/>
  <c r="BJ342" i="57"/>
  <c r="BJ343" i="57"/>
  <c r="BJ344" i="57"/>
  <c r="BJ345" i="57"/>
  <c r="BJ346" i="57"/>
  <c r="BJ347" i="57"/>
  <c r="BJ348" i="57"/>
  <c r="BJ349" i="57"/>
  <c r="BJ350" i="57"/>
  <c r="BJ351" i="57"/>
  <c r="BJ352" i="57"/>
  <c r="BJ353" i="57"/>
  <c r="BJ354" i="57"/>
  <c r="BJ355" i="57"/>
  <c r="BJ356" i="57"/>
  <c r="BJ357" i="57"/>
  <c r="BJ358" i="57"/>
  <c r="BJ359" i="57"/>
  <c r="BJ360" i="57"/>
  <c r="BJ361" i="57"/>
  <c r="BJ362" i="57"/>
  <c r="BJ363" i="57"/>
  <c r="BJ364" i="57"/>
  <c r="BJ365" i="57"/>
  <c r="BJ366" i="57"/>
  <c r="BJ367" i="57"/>
  <c r="BJ368" i="57"/>
  <c r="BJ369" i="57"/>
  <c r="BJ370" i="57"/>
  <c r="BJ371" i="57"/>
  <c r="BJ372" i="57"/>
  <c r="BJ373" i="57"/>
  <c r="BJ374" i="57"/>
  <c r="BJ375" i="57"/>
  <c r="BJ376" i="57"/>
  <c r="BJ377" i="57"/>
  <c r="BJ378" i="57"/>
  <c r="BJ379" i="57"/>
  <c r="BJ380" i="57"/>
  <c r="BJ381" i="57"/>
  <c r="BJ382" i="57"/>
  <c r="BJ383" i="57"/>
  <c r="BJ384" i="57"/>
  <c r="BJ385" i="57"/>
  <c r="BJ386" i="57"/>
  <c r="BJ387" i="57"/>
  <c r="BJ388" i="57"/>
  <c r="BJ389" i="57"/>
  <c r="BJ390" i="57"/>
  <c r="BJ391" i="57"/>
  <c r="BJ392" i="57"/>
  <c r="BJ393" i="57"/>
  <c r="BJ394" i="57"/>
  <c r="BJ395" i="57"/>
  <c r="BJ396" i="57"/>
  <c r="BJ397" i="57"/>
  <c r="BJ398" i="57"/>
  <c r="BJ399" i="57"/>
  <c r="BJ400" i="57"/>
  <c r="BJ401" i="57"/>
  <c r="BJ402" i="57"/>
  <c r="BJ403" i="57"/>
  <c r="BJ404" i="57"/>
  <c r="BJ405" i="57"/>
  <c r="BJ406" i="57"/>
  <c r="BJ407" i="57"/>
  <c r="BJ408" i="57"/>
  <c r="BJ409" i="57"/>
  <c r="BJ410" i="57"/>
  <c r="BJ411" i="57"/>
  <c r="BJ412" i="57"/>
  <c r="BJ413" i="57"/>
  <c r="BJ414" i="57"/>
  <c r="BJ415" i="57"/>
  <c r="BJ416" i="57"/>
  <c r="BJ417" i="57"/>
  <c r="BJ418" i="57"/>
  <c r="BJ419" i="57"/>
  <c r="BJ420" i="57"/>
  <c r="BJ421" i="57"/>
  <c r="BJ422" i="57"/>
  <c r="BJ423" i="57"/>
  <c r="BJ424" i="57"/>
  <c r="BJ425" i="57"/>
  <c r="BJ426" i="57"/>
  <c r="BJ427" i="57"/>
  <c r="BJ428" i="57"/>
  <c r="BJ429" i="57"/>
  <c r="BJ430" i="57"/>
  <c r="BJ431" i="57"/>
  <c r="BJ432" i="57"/>
  <c r="BJ433" i="57"/>
  <c r="BJ434" i="57"/>
  <c r="BJ435" i="57"/>
  <c r="BJ436" i="57"/>
  <c r="BJ437" i="57"/>
  <c r="BJ438" i="57"/>
  <c r="BJ439" i="57"/>
  <c r="BJ440" i="57"/>
  <c r="BJ441" i="57"/>
  <c r="BJ442" i="57"/>
  <c r="BJ443" i="57"/>
  <c r="BJ444" i="57"/>
  <c r="BJ445" i="57"/>
  <c r="BJ446" i="57"/>
  <c r="BJ447" i="57"/>
  <c r="BJ448" i="57"/>
  <c r="BJ449" i="57"/>
  <c r="BJ450" i="57"/>
  <c r="BJ451" i="57"/>
  <c r="BJ452" i="57"/>
  <c r="BJ453" i="57"/>
  <c r="BJ454" i="57"/>
  <c r="BJ455" i="57"/>
  <c r="BJ456" i="57"/>
  <c r="BJ457" i="57"/>
  <c r="BJ458" i="57"/>
  <c r="BJ459" i="57"/>
  <c r="BJ460" i="57"/>
  <c r="BJ461" i="57"/>
  <c r="BJ462" i="57"/>
  <c r="BJ463" i="57"/>
  <c r="BJ464" i="57"/>
  <c r="BJ465" i="57"/>
  <c r="BJ466" i="57"/>
  <c r="BJ467" i="57"/>
  <c r="BJ468" i="57"/>
  <c r="BJ469" i="57"/>
  <c r="BJ470" i="57"/>
  <c r="BJ471" i="57"/>
  <c r="BJ472" i="57"/>
  <c r="BJ473" i="57"/>
  <c r="BJ474" i="57"/>
  <c r="BJ475" i="57"/>
  <c r="BJ476" i="57"/>
  <c r="BJ477" i="57"/>
  <c r="BJ478" i="57"/>
  <c r="BJ479" i="57"/>
  <c r="BJ480" i="57"/>
  <c r="BJ481" i="57"/>
  <c r="BJ482" i="57"/>
  <c r="BJ483" i="57"/>
  <c r="BJ484" i="57"/>
  <c r="BJ485" i="57"/>
  <c r="BJ486" i="57"/>
  <c r="BJ487" i="57"/>
  <c r="BJ488" i="57"/>
  <c r="BJ489" i="57"/>
  <c r="BJ490" i="57"/>
  <c r="BJ491" i="57"/>
  <c r="BJ492" i="57"/>
  <c r="BJ493" i="57"/>
  <c r="BJ494" i="57"/>
  <c r="BJ495" i="57"/>
  <c r="BJ496" i="57"/>
  <c r="BJ497" i="57"/>
  <c r="BJ498" i="57"/>
  <c r="BJ499" i="57"/>
  <c r="BJ500" i="57"/>
  <c r="BJ501" i="57"/>
  <c r="BJ502" i="57"/>
  <c r="BJ503" i="57"/>
  <c r="BJ504" i="57"/>
  <c r="BJ505" i="57"/>
  <c r="BJ506" i="57"/>
  <c r="BJ507" i="57"/>
  <c r="BJ508" i="57"/>
  <c r="BJ509" i="57"/>
  <c r="BJ510" i="57"/>
  <c r="BJ511" i="57"/>
  <c r="BJ512" i="57"/>
  <c r="BJ513" i="57"/>
  <c r="BJ514" i="57"/>
  <c r="BJ515" i="57"/>
  <c r="BJ516" i="57"/>
  <c r="BJ517" i="57"/>
  <c r="BJ518" i="57"/>
  <c r="BJ519" i="57"/>
  <c r="BJ520" i="57"/>
  <c r="BJ521" i="57"/>
  <c r="BJ522" i="57"/>
  <c r="BJ523" i="57"/>
  <c r="BJ524" i="57"/>
  <c r="BJ525" i="57"/>
  <c r="BJ526" i="57"/>
  <c r="BJ527" i="57"/>
  <c r="BJ528" i="57"/>
  <c r="BJ529" i="57"/>
  <c r="BJ530" i="57"/>
  <c r="BJ531" i="57"/>
  <c r="BJ532" i="57"/>
  <c r="BJ533" i="57"/>
  <c r="BJ534" i="57"/>
  <c r="BJ535" i="57"/>
  <c r="BJ536" i="57"/>
  <c r="BJ537" i="57"/>
  <c r="BJ538" i="57"/>
  <c r="BJ539" i="57"/>
  <c r="BJ540" i="57"/>
  <c r="BJ541" i="57"/>
  <c r="BJ542" i="57"/>
  <c r="BJ543" i="57"/>
  <c r="BJ544" i="57"/>
  <c r="BJ545" i="57"/>
  <c r="BJ546" i="57"/>
  <c r="BJ547" i="57"/>
  <c r="BJ548" i="57"/>
  <c r="BJ549" i="57"/>
  <c r="BJ550" i="57"/>
  <c r="BJ551" i="57"/>
  <c r="BJ552" i="57"/>
  <c r="BJ553" i="57"/>
  <c r="BJ554" i="57"/>
  <c r="BJ555" i="57"/>
  <c r="BJ556" i="57"/>
  <c r="BJ557" i="57"/>
  <c r="BJ558" i="57"/>
  <c r="BJ559" i="57"/>
  <c r="BJ560" i="57"/>
  <c r="BJ561" i="57"/>
  <c r="BJ562" i="57"/>
  <c r="BJ563" i="57"/>
  <c r="BJ564" i="57"/>
  <c r="BJ565" i="57"/>
  <c r="BJ566" i="57"/>
  <c r="BJ567" i="57"/>
  <c r="BJ568" i="57"/>
  <c r="BJ569" i="57"/>
  <c r="BJ570" i="57"/>
  <c r="BJ571" i="57"/>
  <c r="BJ572" i="57"/>
  <c r="BJ573" i="57"/>
  <c r="BJ574" i="57"/>
  <c r="BJ575" i="57"/>
  <c r="BJ576" i="57"/>
  <c r="BJ577" i="57"/>
  <c r="BJ578" i="57"/>
  <c r="BJ579" i="57"/>
  <c r="BJ580" i="57"/>
  <c r="BJ581" i="57"/>
  <c r="BJ582" i="57"/>
  <c r="BJ583" i="57"/>
  <c r="BJ584" i="57"/>
  <c r="BJ585" i="57"/>
  <c r="BJ586" i="57"/>
  <c r="BJ587" i="57"/>
  <c r="BJ588" i="57"/>
  <c r="BJ589" i="57"/>
  <c r="BJ590" i="57"/>
  <c r="BJ591" i="57"/>
  <c r="BJ592" i="57"/>
  <c r="BJ593" i="57"/>
  <c r="BJ594" i="57"/>
  <c r="BJ595" i="57"/>
  <c r="BJ596" i="57"/>
  <c r="BJ597" i="57"/>
  <c r="BJ598" i="57"/>
  <c r="BJ599" i="57"/>
  <c r="BJ600" i="57"/>
  <c r="BJ601" i="57"/>
  <c r="BJ602" i="57"/>
  <c r="BJ603" i="57"/>
  <c r="BJ604" i="57"/>
  <c r="BJ605" i="57"/>
  <c r="BJ606" i="57"/>
  <c r="BJ607" i="57"/>
  <c r="BJ608" i="57"/>
  <c r="BJ609" i="57"/>
  <c r="BJ610" i="57"/>
  <c r="BJ611" i="57"/>
  <c r="BJ612" i="57"/>
  <c r="BJ613" i="57"/>
  <c r="BJ614" i="57"/>
  <c r="BJ615" i="57"/>
  <c r="BJ616" i="57"/>
  <c r="BJ617" i="57"/>
  <c r="BJ618" i="57"/>
  <c r="BJ619" i="57"/>
  <c r="BJ620" i="57"/>
  <c r="BJ621" i="57"/>
  <c r="BJ622" i="57"/>
  <c r="BJ623" i="57"/>
  <c r="BJ624" i="57"/>
  <c r="BJ625" i="57"/>
  <c r="BJ626" i="57"/>
  <c r="BJ627" i="57"/>
  <c r="BJ628" i="57"/>
  <c r="BJ629" i="57"/>
  <c r="BJ630" i="57"/>
  <c r="BJ631" i="57"/>
  <c r="BJ632" i="57"/>
  <c r="BJ633" i="57"/>
  <c r="BJ634" i="57"/>
  <c r="BJ635" i="57"/>
  <c r="BJ636" i="57"/>
  <c r="BJ637" i="57"/>
  <c r="BJ638" i="57"/>
  <c r="BJ639" i="57"/>
  <c r="BJ640" i="57"/>
  <c r="BJ641" i="57"/>
  <c r="BJ642" i="57"/>
  <c r="BJ643" i="57"/>
  <c r="BJ644" i="57"/>
  <c r="BJ645" i="57"/>
  <c r="BJ646" i="57"/>
  <c r="BJ647" i="57"/>
  <c r="BJ648" i="57"/>
  <c r="BJ649" i="57"/>
  <c r="BJ650" i="57"/>
  <c r="BJ651" i="57"/>
  <c r="BJ652" i="57"/>
  <c r="BJ653" i="57"/>
  <c r="BJ654" i="57"/>
  <c r="BJ655" i="57"/>
  <c r="BJ656" i="57"/>
  <c r="BJ657" i="57"/>
  <c r="BJ658" i="57"/>
  <c r="BJ659" i="57"/>
  <c r="BJ660" i="57"/>
  <c r="BJ661" i="57"/>
  <c r="BJ662" i="57"/>
  <c r="BJ663" i="57"/>
  <c r="BJ664" i="57"/>
  <c r="BJ665" i="57"/>
  <c r="BJ666" i="57"/>
  <c r="BJ667" i="57"/>
  <c r="BJ668" i="57"/>
  <c r="BJ669" i="57"/>
  <c r="BJ670" i="57"/>
  <c r="BJ671" i="57"/>
  <c r="BJ672" i="57"/>
  <c r="BJ673" i="57"/>
  <c r="BJ674" i="57"/>
  <c r="BJ675" i="57"/>
  <c r="BJ676" i="57"/>
  <c r="BJ677" i="57"/>
  <c r="BJ678" i="57"/>
  <c r="BJ679" i="57"/>
  <c r="BJ680" i="57"/>
  <c r="BJ681" i="57"/>
  <c r="BJ682" i="57"/>
  <c r="BJ683" i="57"/>
  <c r="BJ684" i="57"/>
  <c r="BJ685" i="57"/>
  <c r="BJ686" i="57"/>
  <c r="BJ687" i="57"/>
  <c r="BJ688" i="57"/>
  <c r="BJ689" i="57"/>
  <c r="BJ690" i="57"/>
  <c r="BJ691" i="57"/>
  <c r="BJ692" i="57"/>
  <c r="BJ693" i="57"/>
  <c r="BJ694" i="57"/>
  <c r="BJ695" i="57"/>
  <c r="BJ696" i="57"/>
  <c r="BJ697" i="57"/>
  <c r="BJ698" i="57"/>
  <c r="BJ699" i="57"/>
  <c r="BJ700" i="57"/>
  <c r="BJ701" i="57"/>
  <c r="BJ702" i="57"/>
  <c r="BJ703" i="57"/>
  <c r="BJ704" i="57"/>
  <c r="BJ705" i="57"/>
  <c r="BJ706" i="57"/>
  <c r="BJ707" i="57"/>
  <c r="BJ708" i="57"/>
  <c r="BJ709" i="57"/>
  <c r="BJ710" i="57"/>
  <c r="BJ711" i="57"/>
  <c r="BJ712" i="57"/>
  <c r="BJ713" i="57"/>
  <c r="BJ714" i="57"/>
  <c r="BJ715" i="57"/>
  <c r="BJ716" i="57"/>
  <c r="BJ717" i="57"/>
  <c r="BJ718" i="57"/>
  <c r="BJ719" i="57"/>
  <c r="BJ720" i="57"/>
  <c r="BJ721" i="57"/>
  <c r="BJ722" i="57"/>
  <c r="BJ723" i="57"/>
  <c r="BJ724" i="57"/>
  <c r="BJ725" i="57"/>
  <c r="BJ726" i="57"/>
  <c r="BJ727" i="57"/>
  <c r="BJ728" i="57"/>
  <c r="BJ729" i="57"/>
  <c r="BJ730" i="57"/>
  <c r="BJ731" i="57"/>
  <c r="BJ732" i="57"/>
  <c r="BJ733" i="57"/>
  <c r="BJ734" i="57"/>
  <c r="BJ735" i="57"/>
  <c r="BJ736" i="57"/>
  <c r="BJ737" i="57"/>
  <c r="BJ738" i="57"/>
  <c r="BJ739" i="57"/>
  <c r="BJ740" i="57"/>
  <c r="BJ741" i="57"/>
  <c r="BJ742" i="57"/>
  <c r="BJ743" i="57"/>
  <c r="BJ744" i="57"/>
  <c r="BJ745" i="57"/>
  <c r="BJ746" i="57"/>
  <c r="BJ747" i="57"/>
  <c r="BJ748" i="57"/>
  <c r="BJ749" i="57"/>
  <c r="BJ750" i="57"/>
  <c r="BJ751" i="57"/>
  <c r="BJ752" i="57"/>
  <c r="BJ753" i="57"/>
  <c r="BJ754" i="57"/>
  <c r="BJ755" i="57"/>
  <c r="BJ756" i="57"/>
  <c r="BJ757" i="57"/>
  <c r="BJ758" i="57"/>
  <c r="BJ759" i="57"/>
  <c r="BJ760" i="57"/>
  <c r="BJ761" i="57"/>
  <c r="BJ762" i="57"/>
  <c r="BJ763" i="57"/>
  <c r="BJ764" i="57"/>
  <c r="BJ765" i="57"/>
  <c r="BJ766" i="57"/>
  <c r="BJ767" i="57"/>
  <c r="BJ768" i="57"/>
  <c r="BJ769" i="57"/>
  <c r="BJ770" i="57"/>
  <c r="BJ771" i="57"/>
  <c r="BJ772" i="57"/>
  <c r="BJ773" i="57"/>
  <c r="BJ774" i="57"/>
  <c r="BJ775" i="57"/>
  <c r="BJ776" i="57"/>
  <c r="BJ777" i="57"/>
  <c r="BJ778" i="57"/>
  <c r="BJ779" i="57"/>
  <c r="BJ780" i="57"/>
  <c r="BJ781" i="57"/>
  <c r="BJ782" i="57"/>
  <c r="BJ783" i="57"/>
  <c r="BJ784" i="57"/>
  <c r="BJ785" i="57"/>
  <c r="BJ786" i="57"/>
  <c r="BJ787" i="57"/>
  <c r="BJ788" i="57"/>
  <c r="BJ789" i="57"/>
  <c r="BJ790" i="57"/>
  <c r="BJ791" i="57"/>
  <c r="BJ792" i="57"/>
  <c r="BJ793" i="57"/>
  <c r="BJ794" i="57"/>
  <c r="BJ795" i="57"/>
  <c r="BJ796" i="57"/>
  <c r="BJ797" i="57"/>
  <c r="BJ798" i="57"/>
  <c r="BJ799" i="57"/>
  <c r="BJ800" i="57"/>
  <c r="BJ801" i="57"/>
  <c r="BJ802" i="57"/>
  <c r="BJ803" i="57"/>
  <c r="BJ804" i="57"/>
  <c r="BJ805" i="57"/>
  <c r="BJ806" i="57"/>
  <c r="BJ807" i="57"/>
  <c r="BJ808" i="57"/>
  <c r="BJ809" i="57"/>
  <c r="BJ810" i="57"/>
  <c r="BJ811" i="57"/>
  <c r="BJ812" i="57"/>
  <c r="BJ813" i="57"/>
  <c r="BJ814" i="57"/>
  <c r="BJ815" i="57"/>
  <c r="BJ816" i="57"/>
  <c r="BJ817" i="57"/>
  <c r="BJ818" i="57"/>
  <c r="BJ819" i="57"/>
  <c r="BJ820" i="57"/>
  <c r="BJ821" i="57"/>
  <c r="BJ822" i="57"/>
  <c r="BJ823" i="57"/>
  <c r="BJ824" i="57"/>
  <c r="BJ825" i="57"/>
  <c r="BJ826" i="57"/>
  <c r="BJ827" i="57"/>
  <c r="BJ828" i="57"/>
  <c r="BJ829" i="57"/>
  <c r="BJ830" i="57"/>
  <c r="BJ831" i="57"/>
  <c r="BJ832" i="57"/>
  <c r="BJ833" i="57"/>
  <c r="BJ834" i="57"/>
  <c r="BJ835" i="57"/>
  <c r="BJ836" i="57"/>
  <c r="BJ837" i="57"/>
  <c r="BJ838" i="57"/>
  <c r="BJ839" i="57"/>
  <c r="BJ840" i="57"/>
  <c r="BJ841" i="57"/>
  <c r="BJ842" i="57"/>
  <c r="BJ843" i="57"/>
  <c r="BJ844" i="57"/>
  <c r="BJ845" i="57"/>
  <c r="BJ846" i="57"/>
  <c r="BJ847" i="57"/>
  <c r="BJ848" i="57"/>
  <c r="BJ849" i="57"/>
  <c r="BJ850" i="57"/>
  <c r="BJ851" i="57"/>
  <c r="BJ852" i="57"/>
  <c r="BJ853" i="57"/>
  <c r="BJ854" i="57"/>
  <c r="BJ855" i="57"/>
  <c r="BJ856" i="57"/>
  <c r="BJ857" i="57"/>
  <c r="BJ858" i="57"/>
  <c r="BJ859" i="57"/>
  <c r="BJ860" i="57"/>
  <c r="BJ861" i="57"/>
  <c r="BJ862" i="57"/>
  <c r="BJ863" i="57"/>
  <c r="BJ864" i="57"/>
  <c r="BJ865" i="57"/>
  <c r="BJ866" i="57"/>
  <c r="BJ867" i="57"/>
  <c r="BJ868" i="57"/>
  <c r="BJ869" i="57"/>
  <c r="BJ870" i="57"/>
  <c r="BJ871" i="57"/>
  <c r="BJ872" i="57"/>
  <c r="BJ873" i="57"/>
  <c r="BJ874" i="57"/>
  <c r="BJ875" i="57"/>
  <c r="BJ876" i="57"/>
  <c r="BJ877" i="57"/>
  <c r="BJ878" i="57"/>
  <c r="BJ879" i="57"/>
  <c r="BJ880" i="57"/>
  <c r="BJ881" i="57"/>
  <c r="BJ882" i="57"/>
  <c r="BJ883" i="57"/>
  <c r="BJ884" i="57"/>
  <c r="BJ885" i="57"/>
  <c r="BJ886" i="57"/>
  <c r="BJ887" i="57"/>
  <c r="BJ888" i="57"/>
  <c r="BJ889" i="57"/>
  <c r="BJ890" i="57"/>
  <c r="BJ891" i="57"/>
  <c r="BJ892" i="57"/>
  <c r="BJ893" i="57"/>
  <c r="BJ894" i="57"/>
  <c r="BJ895" i="57"/>
  <c r="BJ896" i="57"/>
  <c r="BJ897" i="57"/>
  <c r="BJ898" i="57"/>
  <c r="BJ899" i="57"/>
  <c r="BJ900" i="57"/>
  <c r="BJ901" i="57"/>
  <c r="BJ902" i="57"/>
  <c r="BJ903" i="57"/>
  <c r="BJ904" i="57"/>
  <c r="BJ905" i="57"/>
  <c r="BJ906" i="57"/>
  <c r="BJ907" i="57"/>
  <c r="BJ908" i="57"/>
  <c r="BJ909" i="57"/>
  <c r="BJ910" i="57"/>
  <c r="BJ911" i="57"/>
  <c r="BJ912" i="57"/>
  <c r="BJ913" i="57"/>
  <c r="BJ914" i="57"/>
  <c r="BJ915" i="57"/>
  <c r="BJ916" i="57"/>
  <c r="BJ917" i="57"/>
  <c r="BJ918" i="57"/>
  <c r="BJ919" i="57"/>
  <c r="BJ920" i="57"/>
  <c r="BJ921" i="57"/>
  <c r="BJ922" i="57"/>
  <c r="BJ923" i="57"/>
  <c r="BJ924" i="57"/>
  <c r="BJ925" i="57"/>
  <c r="BJ926" i="57"/>
  <c r="BJ927" i="57"/>
  <c r="BJ928" i="57"/>
  <c r="BJ929" i="57"/>
  <c r="BJ930" i="57"/>
  <c r="BJ931" i="57"/>
  <c r="BJ932" i="57"/>
  <c r="BJ933" i="57"/>
  <c r="BJ934" i="57"/>
  <c r="BJ935" i="57"/>
  <c r="BJ936" i="57"/>
  <c r="BJ937" i="57"/>
  <c r="BJ938" i="57"/>
  <c r="BJ939" i="57"/>
  <c r="BJ940" i="57"/>
  <c r="BJ941" i="57"/>
  <c r="BJ942" i="57"/>
  <c r="BJ943" i="57"/>
  <c r="BJ944" i="57"/>
  <c r="BJ945" i="57"/>
  <c r="BJ946" i="57"/>
  <c r="BJ947" i="57"/>
  <c r="BJ948" i="57"/>
  <c r="BJ949" i="57"/>
  <c r="BJ950" i="57"/>
  <c r="BJ951" i="57"/>
  <c r="BJ952" i="57"/>
  <c r="BJ953" i="57"/>
  <c r="BJ954" i="57"/>
  <c r="BJ955" i="57"/>
  <c r="BJ956" i="57"/>
  <c r="BJ957" i="57"/>
  <c r="BJ958" i="57"/>
  <c r="BJ959" i="57"/>
  <c r="BJ960" i="57"/>
  <c r="BJ961" i="57"/>
  <c r="BJ962" i="57"/>
  <c r="BJ963" i="57"/>
  <c r="BJ964" i="57"/>
  <c r="BJ965" i="57"/>
  <c r="BJ966" i="57"/>
  <c r="BJ967" i="57"/>
  <c r="BJ968" i="57"/>
  <c r="BJ969" i="57"/>
  <c r="BJ970" i="57"/>
  <c r="BJ971" i="57"/>
  <c r="BJ972" i="57"/>
  <c r="BJ973" i="57"/>
  <c r="BJ974" i="57"/>
  <c r="BJ975" i="57"/>
  <c r="BJ976" i="57"/>
  <c r="BJ977" i="57"/>
  <c r="BJ978" i="57"/>
  <c r="BJ979" i="57"/>
  <c r="BJ980" i="57"/>
  <c r="BJ981" i="57"/>
  <c r="BJ982" i="57"/>
  <c r="BJ983" i="57"/>
  <c r="BJ984" i="57"/>
  <c r="BJ985" i="57"/>
  <c r="BJ986" i="57"/>
  <c r="BJ987" i="57"/>
  <c r="BJ988" i="57"/>
  <c r="BJ989" i="57"/>
  <c r="BJ990" i="57"/>
  <c r="BJ991" i="57"/>
  <c r="BJ992" i="57"/>
  <c r="BJ993" i="57"/>
  <c r="BJ994" i="57"/>
  <c r="BJ995" i="57"/>
  <c r="BJ996" i="57"/>
  <c r="BJ997" i="57"/>
  <c r="BJ998" i="57"/>
  <c r="BJ999" i="57"/>
  <c r="BJ1000" i="57"/>
  <c r="BJ1001" i="57"/>
  <c r="BJ1002" i="57"/>
  <c r="BJ1003" i="57"/>
  <c r="BJ1004" i="57"/>
  <c r="BJ1005" i="57"/>
  <c r="BJ1006" i="57"/>
  <c r="BJ1007" i="57"/>
  <c r="BJ1008" i="57"/>
  <c r="BJ1009" i="57"/>
  <c r="BJ1010" i="57"/>
  <c r="BJ1011" i="57"/>
  <c r="BJ1012" i="57"/>
  <c r="BJ1013" i="57"/>
  <c r="BJ1014" i="57"/>
  <c r="BJ1015" i="57"/>
  <c r="BJ1016" i="57"/>
  <c r="BJ1017" i="57"/>
  <c r="BJ1018" i="57"/>
  <c r="BJ1019" i="57"/>
  <c r="BJ1020" i="57"/>
  <c r="BJ1021" i="57"/>
  <c r="BJ1022" i="57"/>
  <c r="BJ1023" i="57"/>
  <c r="BJ1024" i="57"/>
  <c r="BJ1025" i="57"/>
  <c r="BJ1026" i="57"/>
  <c r="BJ1027" i="57"/>
  <c r="BJ1028" i="57"/>
  <c r="BJ1029" i="57"/>
  <c r="BJ1030" i="57"/>
  <c r="BJ1031" i="57"/>
  <c r="BJ1032" i="57"/>
  <c r="BJ1033" i="57"/>
  <c r="BJ1034" i="57"/>
  <c r="BJ1035" i="57"/>
  <c r="BJ1036" i="57"/>
  <c r="BJ1037" i="57"/>
  <c r="BJ1038" i="57"/>
  <c r="BJ1039" i="57"/>
  <c r="BJ1040" i="57"/>
  <c r="BJ1041" i="57"/>
  <c r="BJ1042" i="57"/>
  <c r="BJ1043" i="57"/>
  <c r="BJ1044" i="57"/>
  <c r="BJ1045" i="57"/>
  <c r="BJ1046" i="57"/>
  <c r="BJ1047" i="57"/>
  <c r="BJ1048" i="57"/>
  <c r="BJ1049" i="57"/>
  <c r="BJ1050" i="57"/>
  <c r="BJ1051" i="57"/>
  <c r="BJ1052" i="57"/>
  <c r="BJ1053" i="57"/>
  <c r="BJ1054" i="57"/>
  <c r="BJ1055" i="57"/>
  <c r="BJ1056" i="57"/>
  <c r="BJ1057" i="57"/>
  <c r="BJ1058" i="57"/>
  <c r="BJ1059" i="57"/>
  <c r="BJ1060" i="57"/>
  <c r="BJ1061" i="57"/>
  <c r="BJ1062" i="57"/>
  <c r="BJ1063" i="57"/>
  <c r="BJ1064" i="57"/>
  <c r="BJ1065" i="57"/>
  <c r="BJ1066" i="57"/>
  <c r="BJ1067" i="57"/>
  <c r="BJ1068" i="57"/>
  <c r="BJ1069" i="57"/>
  <c r="BJ1070" i="57"/>
  <c r="BJ1071" i="57"/>
  <c r="BJ1072" i="57"/>
  <c r="BJ1073" i="57"/>
  <c r="BJ1074" i="57"/>
  <c r="BJ1075" i="57"/>
  <c r="BJ1076" i="57"/>
  <c r="BJ1077" i="57"/>
  <c r="BJ1078" i="57"/>
  <c r="BJ1079" i="57"/>
  <c r="BJ1080" i="57"/>
  <c r="BJ1081" i="57"/>
  <c r="BJ1082" i="57"/>
  <c r="BJ1083" i="57"/>
  <c r="BJ1084" i="57"/>
  <c r="BJ1085" i="57"/>
  <c r="BJ1086" i="57"/>
  <c r="BJ1087" i="57"/>
  <c r="BJ1088" i="57"/>
  <c r="BJ1089" i="57"/>
  <c r="BJ1090" i="57"/>
  <c r="BJ1091" i="57"/>
  <c r="BJ1092" i="57"/>
  <c r="BJ1093" i="57"/>
  <c r="BJ1094" i="57"/>
  <c r="BJ1095" i="57"/>
  <c r="BJ1096" i="57"/>
  <c r="BJ1097" i="57"/>
  <c r="BJ1098" i="57"/>
  <c r="BJ1099" i="57"/>
  <c r="BJ1100" i="57"/>
  <c r="BJ1101" i="57"/>
  <c r="BJ1102" i="57"/>
  <c r="BJ1103" i="57"/>
  <c r="BJ1104" i="57"/>
  <c r="BJ1105" i="57"/>
  <c r="BJ1106" i="57"/>
  <c r="BJ1107" i="57"/>
  <c r="BJ1108" i="57"/>
  <c r="BJ1109" i="57"/>
  <c r="BJ1110" i="57"/>
  <c r="BJ1111" i="57"/>
  <c r="BJ1112" i="57"/>
  <c r="BJ1113" i="57"/>
  <c r="BJ1114" i="57"/>
  <c r="BJ1115" i="57"/>
  <c r="BJ1116" i="57"/>
  <c r="BJ1117" i="57"/>
  <c r="BJ1118" i="57"/>
  <c r="BJ1119" i="57"/>
  <c r="BJ1120" i="57"/>
  <c r="BJ1121" i="57"/>
  <c r="BJ1122" i="57"/>
  <c r="BJ1123" i="57"/>
  <c r="BJ1124" i="57"/>
  <c r="BJ1125" i="57"/>
  <c r="BJ1126" i="57"/>
  <c r="BJ1127" i="57"/>
  <c r="BJ1128" i="57"/>
  <c r="BJ1129" i="57"/>
  <c r="BJ1130" i="57"/>
  <c r="BJ1131" i="57"/>
  <c r="BJ1132" i="57"/>
  <c r="BJ1133" i="57"/>
  <c r="BJ1134" i="57"/>
  <c r="BJ1135" i="57"/>
  <c r="BJ1136" i="57"/>
  <c r="BJ1137" i="57"/>
  <c r="BJ1138" i="57"/>
  <c r="BJ1139" i="57"/>
  <c r="BJ1140" i="57"/>
  <c r="BJ1141" i="57"/>
  <c r="BJ1142" i="57"/>
  <c r="BJ1143" i="57"/>
  <c r="BJ1144" i="57"/>
  <c r="BJ1145" i="57"/>
  <c r="BJ1146" i="57"/>
  <c r="BJ1147" i="57"/>
  <c r="BJ1148" i="57"/>
  <c r="BJ1149" i="57"/>
  <c r="BJ1150" i="57"/>
  <c r="BJ1151" i="57"/>
  <c r="BJ1152" i="57"/>
  <c r="BJ1153" i="57"/>
  <c r="BJ1154" i="57"/>
  <c r="BJ1155" i="57"/>
  <c r="BJ1156" i="57"/>
  <c r="BJ1157" i="57"/>
  <c r="BJ1158" i="57"/>
  <c r="BJ1159" i="57"/>
  <c r="BJ1160" i="57"/>
  <c r="BJ1161" i="57"/>
  <c r="BJ1162" i="57"/>
  <c r="BJ1163" i="57"/>
  <c r="BJ1164" i="57"/>
  <c r="BJ1165" i="57"/>
  <c r="BJ1166" i="57"/>
  <c r="BJ1167" i="57"/>
  <c r="BJ1168" i="57"/>
  <c r="BJ1169" i="57"/>
  <c r="BJ1170" i="57"/>
  <c r="BJ1171" i="57"/>
  <c r="BJ1172" i="57"/>
  <c r="BJ1173" i="57"/>
  <c r="BJ1174" i="57"/>
  <c r="BJ1175" i="57"/>
  <c r="BJ1176" i="57"/>
  <c r="BJ1177" i="57"/>
  <c r="BJ1178" i="57"/>
  <c r="BJ1179" i="57"/>
  <c r="BJ1180" i="57"/>
  <c r="BJ1181" i="57"/>
  <c r="BJ1182" i="57"/>
  <c r="BJ1183" i="57"/>
  <c r="BJ1184" i="57"/>
  <c r="BJ1185" i="57"/>
  <c r="BJ1186" i="57"/>
  <c r="BJ1187" i="57"/>
  <c r="BJ1188" i="57"/>
  <c r="BJ1189" i="57"/>
  <c r="BJ1190" i="57"/>
  <c r="BJ1191" i="57"/>
  <c r="BJ1192" i="57"/>
  <c r="BJ1193" i="57"/>
  <c r="BJ1194" i="57"/>
  <c r="BJ1195" i="57"/>
  <c r="BJ1196" i="57"/>
  <c r="BJ1197" i="57"/>
  <c r="BJ1198" i="57"/>
  <c r="BJ1199" i="57"/>
  <c r="BJ1200" i="57"/>
  <c r="BJ1201" i="57"/>
  <c r="BJ1202" i="57"/>
  <c r="BJ1203" i="57"/>
  <c r="BJ1204" i="57"/>
  <c r="BJ1205" i="57"/>
  <c r="BJ1206" i="57"/>
  <c r="BJ1207" i="57"/>
  <c r="BJ1208" i="57"/>
  <c r="BJ1209" i="57"/>
  <c r="BJ1210" i="57"/>
  <c r="BJ1211" i="57"/>
  <c r="BJ1212" i="57"/>
  <c r="BJ1213" i="57"/>
  <c r="BJ1214" i="57"/>
  <c r="BJ1215" i="57"/>
  <c r="BJ1216" i="57"/>
  <c r="BJ1217" i="57"/>
  <c r="BJ1218" i="57"/>
  <c r="BJ1219" i="57"/>
  <c r="BJ1220" i="57"/>
  <c r="BJ1221" i="57"/>
  <c r="BJ1222" i="57"/>
  <c r="BJ1223" i="57"/>
  <c r="BJ1224" i="57"/>
  <c r="BJ1225" i="57"/>
  <c r="BJ1226" i="57"/>
  <c r="BJ1227" i="57"/>
  <c r="BJ1228" i="57"/>
  <c r="BJ1229" i="57"/>
  <c r="BJ1230" i="57"/>
  <c r="BJ1231" i="57"/>
  <c r="BJ1232" i="57"/>
  <c r="BJ1233" i="57"/>
  <c r="BJ1234" i="57"/>
  <c r="BJ1235" i="57"/>
  <c r="BJ1236" i="57"/>
  <c r="BJ1237" i="57"/>
  <c r="BJ1238" i="57"/>
  <c r="BJ1239" i="57"/>
  <c r="BJ1240" i="57"/>
  <c r="BJ1241" i="57"/>
  <c r="BJ1242" i="57"/>
  <c r="BJ1243" i="57"/>
  <c r="BJ1244" i="57"/>
  <c r="BJ1245" i="57"/>
  <c r="BJ1246" i="57"/>
  <c r="BJ1247" i="57"/>
  <c r="BJ1248" i="57"/>
  <c r="BJ1249" i="57"/>
  <c r="BJ1250" i="57"/>
  <c r="BJ1251" i="57"/>
  <c r="BJ1252" i="57"/>
  <c r="BJ1253" i="57"/>
  <c r="BJ1254" i="57"/>
  <c r="BJ1255" i="57"/>
  <c r="BJ1256" i="57"/>
  <c r="BJ1257" i="57"/>
  <c r="BJ1258" i="57"/>
  <c r="BJ1259" i="57"/>
  <c r="BJ1260" i="57"/>
  <c r="BJ1261" i="57"/>
  <c r="BJ1262" i="57"/>
  <c r="BJ1263" i="57"/>
  <c r="BJ1264" i="57"/>
  <c r="BJ1265" i="57"/>
  <c r="BJ1266" i="57"/>
  <c r="BJ1267" i="57"/>
  <c r="BJ1268" i="57"/>
  <c r="BJ1269" i="57"/>
  <c r="BJ1270" i="57"/>
  <c r="BJ1271" i="57"/>
  <c r="BJ1272" i="57"/>
  <c r="BJ1273" i="57"/>
  <c r="BJ1274" i="57"/>
  <c r="BJ1275" i="57"/>
  <c r="BJ1276" i="57"/>
  <c r="BJ1277" i="57"/>
  <c r="BJ1278" i="57"/>
  <c r="BJ1279" i="57"/>
  <c r="BJ1280" i="57"/>
  <c r="BJ1281" i="57"/>
  <c r="BJ1282" i="57"/>
  <c r="BJ1283" i="57"/>
  <c r="BJ1284" i="57"/>
  <c r="BJ1285" i="57"/>
  <c r="BJ1286" i="57"/>
  <c r="BJ1287" i="57"/>
  <c r="BJ1288" i="57"/>
  <c r="BJ1289" i="57"/>
  <c r="BJ1290" i="57"/>
  <c r="BJ1291" i="57"/>
  <c r="BJ1292" i="57"/>
  <c r="BJ1293" i="57"/>
  <c r="BJ1294" i="57"/>
  <c r="BJ1295" i="57"/>
  <c r="BJ1296" i="57"/>
  <c r="BJ1297" i="57"/>
  <c r="BJ1298" i="57"/>
  <c r="BJ1299" i="57"/>
  <c r="BJ1300" i="57"/>
  <c r="BJ1301" i="57"/>
  <c r="BJ1302" i="57"/>
  <c r="BJ1303" i="57"/>
  <c r="BJ1304" i="57"/>
  <c r="BJ1305" i="57"/>
  <c r="BJ1306" i="57"/>
  <c r="BJ1307" i="57"/>
  <c r="BJ1308" i="57"/>
  <c r="BJ1309" i="57"/>
  <c r="BJ1310" i="57"/>
  <c r="BJ1311" i="57"/>
  <c r="BJ1312" i="57"/>
  <c r="BJ1313" i="57"/>
  <c r="BJ1314" i="57"/>
  <c r="BJ1315" i="57"/>
  <c r="BJ1316" i="57"/>
  <c r="BJ1317" i="57"/>
  <c r="BJ1318" i="57"/>
  <c r="BJ1319" i="57"/>
  <c r="BJ1320" i="57"/>
  <c r="BJ1321" i="57"/>
  <c r="BJ1322" i="57"/>
  <c r="BJ1323" i="57"/>
  <c r="BJ1324" i="57"/>
  <c r="BJ1325" i="57"/>
  <c r="BJ1326" i="57"/>
  <c r="BJ1327" i="57"/>
  <c r="BJ1328" i="57"/>
  <c r="BJ1329" i="57"/>
  <c r="BJ1330" i="57"/>
  <c r="BJ1331" i="57"/>
  <c r="BJ1332" i="57"/>
  <c r="BJ1333" i="57"/>
  <c r="BJ1334" i="57"/>
  <c r="BJ1335" i="57"/>
  <c r="BJ1336" i="57"/>
  <c r="BJ1337" i="57"/>
  <c r="BJ1338" i="57"/>
  <c r="BJ1339" i="57"/>
  <c r="BJ1340" i="57"/>
  <c r="BJ1341" i="57"/>
  <c r="BJ1342" i="57"/>
  <c r="BJ1343" i="57"/>
  <c r="BJ1344" i="57"/>
  <c r="BJ1345" i="57"/>
  <c r="BJ1346" i="57"/>
  <c r="BJ1347" i="57"/>
  <c r="BJ1348" i="57"/>
  <c r="BJ1349" i="57"/>
  <c r="BJ1350" i="57"/>
  <c r="BJ1351" i="57"/>
  <c r="BJ1352" i="57"/>
  <c r="BJ1353" i="57"/>
  <c r="BJ1354" i="57"/>
  <c r="BJ1355" i="57"/>
  <c r="BJ1356" i="57"/>
  <c r="BJ1357" i="57"/>
  <c r="BJ1358" i="57"/>
  <c r="BJ1359" i="57"/>
  <c r="BJ1360" i="57"/>
  <c r="BJ1361" i="57"/>
  <c r="BJ1362" i="57"/>
  <c r="BJ1363" i="57"/>
  <c r="BJ1364" i="57"/>
  <c r="BJ1365" i="57"/>
  <c r="BJ1366" i="57"/>
  <c r="BJ1367" i="57"/>
  <c r="BJ1368" i="57"/>
  <c r="BJ1369" i="57"/>
  <c r="BJ1370" i="57"/>
  <c r="BJ1371" i="57"/>
  <c r="BJ1372" i="57"/>
  <c r="BJ1373" i="57"/>
  <c r="BJ1374" i="57"/>
  <c r="BJ1375" i="57"/>
  <c r="BJ1376" i="57"/>
  <c r="BJ1377" i="57"/>
  <c r="BJ1378" i="57"/>
  <c r="BJ1379" i="57"/>
  <c r="BJ1380" i="57"/>
  <c r="BJ1381" i="57"/>
  <c r="BJ1382" i="57"/>
  <c r="BJ1383" i="57"/>
  <c r="BJ1384" i="57"/>
  <c r="BJ1385" i="57"/>
  <c r="BJ1386" i="57"/>
  <c r="BJ1387" i="57"/>
  <c r="BJ1388" i="57"/>
  <c r="BJ1389" i="57"/>
  <c r="BJ1390" i="57"/>
  <c r="BJ1391" i="57"/>
  <c r="BJ1392" i="57"/>
  <c r="BJ1393" i="57"/>
  <c r="BJ1394" i="57"/>
  <c r="BJ1395" i="57"/>
  <c r="BJ1396" i="57"/>
  <c r="BJ1397" i="57"/>
  <c r="BJ1398" i="57"/>
  <c r="BJ1399" i="57"/>
  <c r="BJ1400" i="57"/>
  <c r="BJ1401" i="57"/>
  <c r="BJ1402" i="57"/>
  <c r="BJ1403" i="57"/>
  <c r="BJ1404" i="57"/>
  <c r="BJ1405" i="57"/>
  <c r="BJ1406" i="57"/>
  <c r="BJ1407" i="57"/>
  <c r="BJ1408" i="57"/>
  <c r="BJ1409" i="57"/>
  <c r="BJ1410" i="57"/>
  <c r="BJ1411" i="57"/>
  <c r="BJ1412" i="57"/>
  <c r="BJ1413" i="57"/>
  <c r="BJ1414" i="57"/>
  <c r="BJ1415" i="57"/>
  <c r="BJ1416" i="57"/>
  <c r="BJ1417" i="57"/>
  <c r="BJ1418" i="57"/>
  <c r="BJ1419" i="57"/>
  <c r="BJ1420" i="57"/>
  <c r="BJ1421" i="57"/>
  <c r="BJ1422" i="57"/>
  <c r="BJ1423" i="57"/>
  <c r="BJ1424" i="57"/>
  <c r="BJ1425" i="57"/>
  <c r="BJ1426" i="57"/>
  <c r="BJ1427" i="57"/>
  <c r="BJ1428" i="57"/>
  <c r="BJ1429" i="57"/>
  <c r="BJ1430" i="57"/>
  <c r="BJ1431" i="57"/>
  <c r="BJ1432" i="57"/>
  <c r="BJ1433" i="57"/>
  <c r="BJ1434" i="57"/>
  <c r="BJ1435" i="57"/>
  <c r="BJ1436" i="57"/>
  <c r="BJ1437" i="57"/>
  <c r="BJ1438" i="57"/>
  <c r="BJ1439" i="57"/>
  <c r="BJ1440" i="57"/>
  <c r="BJ1441" i="57"/>
  <c r="BJ1442" i="57"/>
  <c r="BJ1443" i="57"/>
  <c r="BJ1444" i="57"/>
  <c r="BJ1445" i="57"/>
  <c r="BJ1446" i="57"/>
  <c r="BJ1447" i="57"/>
  <c r="BJ1448" i="57"/>
  <c r="BJ1449" i="57"/>
  <c r="BJ1450" i="57"/>
  <c r="BJ1451" i="57"/>
  <c r="BJ1452" i="57"/>
  <c r="BJ1453" i="57"/>
  <c r="BJ1454" i="57"/>
  <c r="BJ1455" i="57"/>
  <c r="BJ1456" i="57"/>
  <c r="BJ1457" i="57"/>
  <c r="BJ1458" i="57"/>
  <c r="BJ1459" i="57"/>
  <c r="BJ1460" i="57"/>
  <c r="BJ1461" i="57"/>
  <c r="BJ1462" i="57"/>
  <c r="BJ1463" i="57"/>
  <c r="BJ1464" i="57"/>
  <c r="BJ1465" i="57"/>
  <c r="BJ1466" i="57"/>
  <c r="BJ1467" i="57"/>
  <c r="BJ1468" i="57"/>
  <c r="BJ1469" i="57"/>
  <c r="BJ1470" i="57"/>
  <c r="BJ1471" i="57"/>
  <c r="BJ1472" i="57"/>
  <c r="BJ1473" i="57"/>
  <c r="BJ1474" i="57"/>
  <c r="BJ1475" i="57"/>
  <c r="BJ1476" i="57"/>
  <c r="BJ1477" i="57"/>
  <c r="BJ1478" i="57"/>
  <c r="BJ1479" i="57"/>
  <c r="BJ1480" i="57"/>
  <c r="BJ1481" i="57"/>
  <c r="BJ1482" i="57"/>
  <c r="BJ1483" i="57"/>
  <c r="BJ1484" i="57"/>
  <c r="BJ1485" i="57"/>
  <c r="BJ1486" i="57"/>
  <c r="BJ1487" i="57"/>
  <c r="BJ1488" i="57"/>
  <c r="BJ1489" i="57"/>
  <c r="BJ1490" i="57"/>
  <c r="BJ1491" i="57"/>
  <c r="BJ1492" i="57"/>
  <c r="BJ1493" i="57"/>
  <c r="BJ1494" i="57"/>
  <c r="BJ1495" i="57"/>
  <c r="BJ1496" i="57"/>
  <c r="BJ1497" i="57"/>
  <c r="BJ1498" i="57"/>
  <c r="BJ1499" i="57"/>
  <c r="BJ1500" i="57"/>
  <c r="BJ1501" i="57"/>
  <c r="BJ1502" i="57"/>
  <c r="BJ1503" i="57"/>
  <c r="BJ1504" i="57"/>
  <c r="BJ1505" i="57"/>
  <c r="BJ1506" i="57"/>
  <c r="BJ1507" i="57"/>
  <c r="BJ1508" i="57"/>
  <c r="BJ1509" i="57"/>
  <c r="BJ1510" i="57"/>
  <c r="BJ1511" i="57"/>
  <c r="BJ1512" i="57"/>
  <c r="BJ1513" i="57"/>
  <c r="BJ1514" i="57"/>
  <c r="BJ1515" i="57"/>
  <c r="BJ1516" i="57"/>
  <c r="BJ1517" i="57"/>
  <c r="BJ1518" i="57"/>
  <c r="BJ1519" i="57"/>
  <c r="BJ1520" i="57"/>
  <c r="BJ1521" i="57"/>
  <c r="BJ1522" i="57"/>
  <c r="BJ1523" i="57"/>
  <c r="BJ1524" i="57"/>
  <c r="BJ1525" i="57"/>
  <c r="BJ1526" i="57"/>
  <c r="BJ1527" i="57"/>
  <c r="BJ1528" i="57"/>
  <c r="BJ1529" i="57"/>
  <c r="BJ1530" i="57"/>
  <c r="BJ1531" i="57"/>
  <c r="BJ1532" i="57"/>
  <c r="BJ1533" i="57"/>
  <c r="BJ1534" i="57"/>
  <c r="BJ1535" i="57"/>
  <c r="BJ1536" i="57"/>
  <c r="BJ1537" i="57"/>
  <c r="BJ1538" i="57"/>
  <c r="BJ1539" i="57"/>
  <c r="BJ1540" i="57"/>
  <c r="BJ1541" i="57"/>
  <c r="BJ1542" i="57"/>
  <c r="BJ1543" i="57"/>
  <c r="BJ1544" i="57"/>
  <c r="BJ1545" i="57"/>
  <c r="BJ1546" i="57"/>
  <c r="BJ1547" i="57"/>
  <c r="BJ1548" i="57"/>
  <c r="BJ1549" i="57"/>
  <c r="BJ1550" i="57"/>
  <c r="BJ1551" i="57"/>
  <c r="BJ1552" i="57"/>
  <c r="BJ1553" i="57"/>
  <c r="BJ1554" i="57"/>
  <c r="BJ1555" i="57"/>
  <c r="BJ1556" i="57"/>
  <c r="BJ1557" i="57"/>
  <c r="BJ1558" i="57"/>
  <c r="BJ1559" i="57"/>
  <c r="BJ1560" i="57"/>
  <c r="BJ1561" i="57"/>
  <c r="BJ1562" i="57"/>
  <c r="BJ1563" i="57"/>
  <c r="BJ1564" i="57"/>
  <c r="BJ1565" i="57"/>
  <c r="BJ1566" i="57"/>
  <c r="BJ1567" i="57"/>
  <c r="BJ1568" i="57"/>
  <c r="BJ1569" i="57"/>
  <c r="BJ1570" i="57"/>
  <c r="BJ1571" i="57"/>
  <c r="BJ1572" i="57"/>
  <c r="BJ1573" i="57"/>
  <c r="BJ1574" i="57"/>
  <c r="BJ1575" i="57"/>
  <c r="BJ1576" i="57"/>
  <c r="BJ1577" i="57"/>
  <c r="BJ1578" i="57"/>
  <c r="BJ1579" i="57"/>
  <c r="BJ1580" i="57"/>
  <c r="BJ1581" i="57"/>
  <c r="BJ1582" i="57"/>
  <c r="BJ1583" i="57"/>
  <c r="BJ1584" i="57"/>
  <c r="BJ1585" i="57"/>
  <c r="BJ1586" i="57"/>
  <c r="BJ1587" i="57"/>
  <c r="BJ1588" i="57"/>
  <c r="BJ1589" i="57"/>
  <c r="BJ1590" i="57"/>
  <c r="BJ1591" i="57"/>
  <c r="BJ1592" i="57"/>
  <c r="BJ1593" i="57"/>
  <c r="BJ1594" i="57"/>
  <c r="BJ1595" i="57"/>
  <c r="BJ1596" i="57"/>
  <c r="BJ1597" i="57"/>
  <c r="BJ1598" i="57"/>
  <c r="BJ1599" i="57"/>
  <c r="BJ1600" i="57"/>
  <c r="BJ1601" i="57"/>
  <c r="BJ1602" i="57"/>
  <c r="BJ1603" i="57"/>
  <c r="BJ1604" i="57"/>
  <c r="BJ1605" i="57"/>
  <c r="BJ1606" i="57"/>
  <c r="BJ1607" i="57"/>
  <c r="BJ1608" i="57"/>
  <c r="BJ1609" i="57"/>
  <c r="BJ1610" i="57"/>
  <c r="BJ1611" i="57"/>
  <c r="BJ1612" i="57"/>
  <c r="BJ1613" i="57"/>
  <c r="BJ1614" i="57"/>
  <c r="BJ1615" i="57"/>
  <c r="BJ1616" i="57"/>
  <c r="BJ1617" i="57"/>
  <c r="BJ1618" i="57"/>
  <c r="BJ1619" i="57"/>
  <c r="BJ1620" i="57"/>
  <c r="BJ1621" i="57"/>
  <c r="BJ1622" i="57"/>
  <c r="BJ1623" i="57"/>
  <c r="BJ1624" i="57"/>
  <c r="BJ1625" i="57"/>
  <c r="BJ1626" i="57"/>
  <c r="BJ1627" i="57"/>
  <c r="BJ1628" i="57"/>
  <c r="BJ1629" i="57"/>
  <c r="BJ1630" i="57"/>
  <c r="BJ1631" i="57"/>
  <c r="BJ1632" i="57"/>
  <c r="BJ1633" i="57"/>
  <c r="BJ1634" i="57"/>
  <c r="BJ1635" i="57"/>
  <c r="BJ1636" i="57"/>
  <c r="BJ1637" i="57"/>
  <c r="BJ1638" i="57"/>
  <c r="BJ1639" i="57"/>
  <c r="BJ1640" i="57"/>
  <c r="BJ1641" i="57"/>
  <c r="BJ1642" i="57"/>
  <c r="BJ1643" i="57"/>
  <c r="BJ1644" i="57"/>
  <c r="BJ1645" i="57"/>
  <c r="BJ1646" i="57"/>
  <c r="BJ1647" i="57"/>
  <c r="BJ1648" i="57"/>
  <c r="BJ1649" i="57"/>
  <c r="BJ1650" i="57"/>
  <c r="BJ1651" i="57"/>
  <c r="BJ1652" i="57"/>
  <c r="BJ1653" i="57"/>
  <c r="BJ1654" i="57"/>
  <c r="BJ1655" i="57"/>
  <c r="BJ1656" i="57"/>
  <c r="BJ1657" i="57"/>
  <c r="BJ1658" i="57"/>
  <c r="BJ1659" i="57"/>
  <c r="BJ1660" i="57"/>
  <c r="BJ1661" i="57"/>
  <c r="BJ1662" i="57"/>
  <c r="BJ1663" i="57"/>
  <c r="BJ1664" i="57"/>
  <c r="BJ1665" i="57"/>
  <c r="BJ1666" i="57"/>
  <c r="BJ1667" i="57"/>
  <c r="BJ1668" i="57"/>
  <c r="BJ1669" i="57"/>
  <c r="BJ1670" i="57"/>
  <c r="BJ1671" i="57"/>
  <c r="BJ1672" i="57"/>
  <c r="BJ1673" i="57"/>
  <c r="BJ1674" i="57"/>
  <c r="BJ1675" i="57"/>
  <c r="BJ1676" i="57"/>
  <c r="BJ1677" i="57"/>
  <c r="BJ1678" i="57"/>
  <c r="BJ1679" i="57"/>
  <c r="BJ1680" i="57"/>
  <c r="BJ1681" i="57"/>
  <c r="BJ1682" i="57"/>
  <c r="BJ1683" i="57"/>
  <c r="BJ1684" i="57"/>
  <c r="BJ1685" i="57"/>
  <c r="BJ1686" i="57"/>
  <c r="BJ1687" i="57"/>
  <c r="BJ1688" i="57"/>
  <c r="BJ1689" i="57"/>
  <c r="BJ1690" i="57"/>
  <c r="BJ1691" i="57"/>
  <c r="BJ1692" i="57"/>
  <c r="BJ1693" i="57"/>
  <c r="BJ1694" i="57"/>
  <c r="BJ1695" i="57"/>
  <c r="BJ1696" i="57"/>
  <c r="BJ1697" i="57"/>
  <c r="BJ1698" i="57"/>
  <c r="BJ1699" i="57"/>
  <c r="BJ1700" i="57"/>
  <c r="BJ1701" i="57"/>
  <c r="BJ1702" i="57"/>
  <c r="BJ1703" i="57"/>
  <c r="BJ1704" i="57"/>
  <c r="BJ1705" i="57"/>
  <c r="BJ1706" i="57"/>
  <c r="BJ1707" i="57"/>
  <c r="BJ1708" i="57"/>
  <c r="BJ1709" i="57"/>
  <c r="BJ1710" i="57"/>
  <c r="BJ1711" i="57"/>
  <c r="BJ1712" i="57"/>
  <c r="BJ1713" i="57"/>
  <c r="BJ1714" i="57"/>
  <c r="BJ1715" i="57"/>
  <c r="BJ1716" i="57"/>
  <c r="BJ1717" i="57"/>
  <c r="BJ1718" i="57"/>
  <c r="BJ1719" i="57"/>
  <c r="BJ1720" i="57"/>
  <c r="BJ1721" i="57"/>
  <c r="BJ1722" i="57"/>
  <c r="BJ1723" i="57"/>
  <c r="BJ1724" i="57"/>
  <c r="BJ1725" i="57"/>
  <c r="BJ1726" i="57"/>
  <c r="BJ1727" i="57"/>
  <c r="BJ1728" i="57"/>
  <c r="BJ1729" i="57"/>
  <c r="BJ1730" i="57"/>
  <c r="BJ1731" i="57"/>
  <c r="BJ1732" i="57"/>
  <c r="BJ1733" i="57"/>
  <c r="BJ1734" i="57"/>
  <c r="BJ1735" i="57"/>
  <c r="BJ1736" i="57"/>
  <c r="BJ1737" i="57"/>
  <c r="BJ1738" i="57"/>
  <c r="BJ1739" i="57"/>
  <c r="BJ1740" i="57"/>
  <c r="BJ1741" i="57"/>
  <c r="BJ1742" i="57"/>
  <c r="BJ1743" i="57"/>
  <c r="BJ1744" i="57"/>
  <c r="BJ1745" i="57"/>
  <c r="BJ1746" i="57"/>
  <c r="BJ1747" i="57"/>
  <c r="BJ1748" i="57"/>
  <c r="BJ1749" i="57"/>
  <c r="BJ1750" i="57"/>
  <c r="BJ1751" i="57"/>
  <c r="BJ1752" i="57"/>
  <c r="BJ1753" i="57"/>
  <c r="BJ1754" i="57"/>
  <c r="BJ1755" i="57"/>
  <c r="BJ1756" i="57"/>
  <c r="BJ1757" i="57"/>
  <c r="BJ1758" i="57"/>
  <c r="BJ1759" i="57"/>
  <c r="BJ1760" i="57"/>
  <c r="BJ1761" i="57"/>
  <c r="BJ1762" i="57"/>
  <c r="BJ1763" i="57"/>
  <c r="BJ1764" i="57"/>
  <c r="BJ1765" i="57"/>
  <c r="BJ1766" i="57"/>
  <c r="BJ1767" i="57"/>
  <c r="BJ1768" i="57"/>
  <c r="BJ1769" i="57"/>
  <c r="BJ1770" i="57"/>
  <c r="BJ1771" i="57"/>
  <c r="BJ1772" i="57"/>
  <c r="BJ1773" i="57"/>
  <c r="BJ1774" i="57"/>
  <c r="BJ1775" i="57"/>
  <c r="BJ1776" i="57"/>
  <c r="BK1779" i="57" s="1"/>
  <c r="BJ1777" i="57"/>
  <c r="BJ1778" i="57"/>
  <c r="BJ1779" i="57"/>
  <c r="BJ1780" i="57"/>
  <c r="BJ1781" i="57"/>
  <c r="BJ1782" i="57"/>
  <c r="BJ1783" i="57"/>
  <c r="BJ1784" i="57"/>
  <c r="BJ1785" i="57"/>
  <c r="BJ1786" i="57"/>
  <c r="BJ1787" i="57"/>
  <c r="BJ1788" i="57"/>
  <c r="BJ1789" i="57"/>
  <c r="BJ1790" i="57"/>
  <c r="BJ1791" i="57"/>
  <c r="BJ1792" i="57"/>
  <c r="BJ1793" i="57"/>
  <c r="BJ1794" i="57"/>
  <c r="BJ1795" i="57"/>
  <c r="BJ1796" i="57"/>
  <c r="BK1797" i="57" s="1"/>
  <c r="BJ1797" i="57"/>
  <c r="BJ1798" i="57"/>
  <c r="BJ1799" i="57"/>
  <c r="BJ1800" i="57"/>
  <c r="BJ4" i="57"/>
  <c r="BG5" i="57"/>
  <c r="BG6" i="57"/>
  <c r="BG7" i="57"/>
  <c r="BG8" i="57"/>
  <c r="BG9" i="57"/>
  <c r="BG10" i="57"/>
  <c r="BG11" i="57"/>
  <c r="BG12" i="57"/>
  <c r="BG13" i="57"/>
  <c r="BG14" i="57"/>
  <c r="BG15" i="57"/>
  <c r="BG16" i="57"/>
  <c r="BG17" i="57"/>
  <c r="BG18" i="57"/>
  <c r="BG19" i="57"/>
  <c r="BG20" i="57"/>
  <c r="BG21" i="57"/>
  <c r="BG22" i="57"/>
  <c r="BG23" i="57"/>
  <c r="BG24" i="57"/>
  <c r="BG25" i="57"/>
  <c r="BG26" i="57"/>
  <c r="BG27" i="57"/>
  <c r="BG28" i="57"/>
  <c r="BG29" i="57"/>
  <c r="BG30" i="57"/>
  <c r="BG31" i="57"/>
  <c r="BG32" i="57"/>
  <c r="BG33" i="57"/>
  <c r="BG34" i="57"/>
  <c r="BG35" i="57"/>
  <c r="BG36" i="57"/>
  <c r="BG37" i="57"/>
  <c r="BG38" i="57"/>
  <c r="BG39" i="57"/>
  <c r="BG40" i="57"/>
  <c r="BG41" i="57"/>
  <c r="BG42" i="57"/>
  <c r="BG43" i="57"/>
  <c r="BG44" i="57"/>
  <c r="BG45" i="57"/>
  <c r="BG46" i="57"/>
  <c r="BG47" i="57"/>
  <c r="BG48" i="57"/>
  <c r="BG49" i="57"/>
  <c r="BG50" i="57"/>
  <c r="BG51" i="57"/>
  <c r="BG52" i="57"/>
  <c r="BG53" i="57"/>
  <c r="BG54" i="57"/>
  <c r="BG55" i="57"/>
  <c r="BG56" i="57"/>
  <c r="BG57" i="57"/>
  <c r="BG58" i="57"/>
  <c r="BG59" i="57"/>
  <c r="BG60" i="57"/>
  <c r="BG61" i="57"/>
  <c r="BG62" i="57"/>
  <c r="BG63" i="57"/>
  <c r="BG64" i="57"/>
  <c r="BG65" i="57"/>
  <c r="BG66" i="57"/>
  <c r="BG67" i="57"/>
  <c r="BG68" i="57"/>
  <c r="BG69" i="57"/>
  <c r="BG70" i="57"/>
  <c r="BG71" i="57"/>
  <c r="BG72" i="57"/>
  <c r="BG73" i="57"/>
  <c r="BG74" i="57"/>
  <c r="BG75" i="57"/>
  <c r="BG76" i="57"/>
  <c r="BG77" i="57"/>
  <c r="BG78" i="57"/>
  <c r="BG79" i="57"/>
  <c r="BG80" i="57"/>
  <c r="BG81" i="57"/>
  <c r="BG82" i="57"/>
  <c r="BG83" i="57"/>
  <c r="BG84" i="57"/>
  <c r="BG85" i="57"/>
  <c r="BG86" i="57"/>
  <c r="BG87" i="57"/>
  <c r="BG88" i="57"/>
  <c r="BG89" i="57"/>
  <c r="BG90" i="57"/>
  <c r="BG91" i="57"/>
  <c r="BG92" i="57"/>
  <c r="BG93" i="57"/>
  <c r="BG94" i="57"/>
  <c r="BG95" i="57"/>
  <c r="BG96" i="57"/>
  <c r="BG97" i="57"/>
  <c r="BG98" i="57"/>
  <c r="BG99" i="57"/>
  <c r="BG100" i="57"/>
  <c r="BG101" i="57"/>
  <c r="BG102" i="57"/>
  <c r="BG103" i="57"/>
  <c r="BG104" i="57"/>
  <c r="BG105" i="57"/>
  <c r="BG106" i="57"/>
  <c r="BG107" i="57"/>
  <c r="BG108" i="57"/>
  <c r="BG109" i="57"/>
  <c r="BG110" i="57"/>
  <c r="BG111" i="57"/>
  <c r="BG112" i="57"/>
  <c r="BG113" i="57"/>
  <c r="BG114" i="57"/>
  <c r="BG115" i="57"/>
  <c r="BG116" i="57"/>
  <c r="BG117" i="57"/>
  <c r="BG118" i="57"/>
  <c r="BG119" i="57"/>
  <c r="BG120" i="57"/>
  <c r="BG121" i="57"/>
  <c r="BG122" i="57"/>
  <c r="BG123" i="57"/>
  <c r="BG124" i="57"/>
  <c r="BG125" i="57"/>
  <c r="BG126" i="57"/>
  <c r="BG127" i="57"/>
  <c r="BG128" i="57"/>
  <c r="BG129" i="57"/>
  <c r="BG130" i="57"/>
  <c r="BG131" i="57"/>
  <c r="BG132" i="57"/>
  <c r="BG133" i="57"/>
  <c r="BG134" i="57"/>
  <c r="BG135" i="57"/>
  <c r="BG136" i="57"/>
  <c r="BG137" i="57"/>
  <c r="BG138" i="57"/>
  <c r="BG139" i="57"/>
  <c r="BG140" i="57"/>
  <c r="BG141" i="57"/>
  <c r="BG142" i="57"/>
  <c r="BG143" i="57"/>
  <c r="BG144" i="57"/>
  <c r="BG145" i="57"/>
  <c r="BG146" i="57"/>
  <c r="BG147" i="57"/>
  <c r="BG148" i="57"/>
  <c r="BG149" i="57"/>
  <c r="BG150" i="57"/>
  <c r="BG151" i="57"/>
  <c r="BG152" i="57"/>
  <c r="BG153" i="57"/>
  <c r="BG154" i="57"/>
  <c r="BG155" i="57"/>
  <c r="BG156" i="57"/>
  <c r="BG157" i="57"/>
  <c r="BG158" i="57"/>
  <c r="BG159" i="57"/>
  <c r="BG160" i="57"/>
  <c r="BG161" i="57"/>
  <c r="BG162" i="57"/>
  <c r="BG163" i="57"/>
  <c r="BG164" i="57"/>
  <c r="BG165" i="57"/>
  <c r="BG166" i="57"/>
  <c r="BG167" i="57"/>
  <c r="BG168" i="57"/>
  <c r="BG169" i="57"/>
  <c r="BG170" i="57"/>
  <c r="BG171" i="57"/>
  <c r="BG172" i="57"/>
  <c r="BG173" i="57"/>
  <c r="BG174" i="57"/>
  <c r="BG175" i="57"/>
  <c r="BG176" i="57"/>
  <c r="BG177" i="57"/>
  <c r="BG178" i="57"/>
  <c r="BG179" i="57"/>
  <c r="BG180" i="57"/>
  <c r="BG181" i="57"/>
  <c r="BG182" i="57"/>
  <c r="BG183" i="57"/>
  <c r="BG184" i="57"/>
  <c r="BG185" i="57"/>
  <c r="BG186" i="57"/>
  <c r="BG187" i="57"/>
  <c r="BG188" i="57"/>
  <c r="BG189" i="57"/>
  <c r="BG190" i="57"/>
  <c r="BG191" i="57"/>
  <c r="BG192" i="57"/>
  <c r="BG193" i="57"/>
  <c r="BG194" i="57"/>
  <c r="BG195" i="57"/>
  <c r="BG196" i="57"/>
  <c r="BG197" i="57"/>
  <c r="BG198" i="57"/>
  <c r="BG199" i="57"/>
  <c r="BG200" i="57"/>
  <c r="BG201" i="57"/>
  <c r="BG202" i="57"/>
  <c r="BG203" i="57"/>
  <c r="BG204" i="57"/>
  <c r="BG205" i="57"/>
  <c r="BG206" i="57"/>
  <c r="BG207" i="57"/>
  <c r="BG208" i="57"/>
  <c r="BG209" i="57"/>
  <c r="BG210" i="57"/>
  <c r="BG211" i="57"/>
  <c r="BG212" i="57"/>
  <c r="BG213" i="57"/>
  <c r="BG214" i="57"/>
  <c r="BG215" i="57"/>
  <c r="BG216" i="57"/>
  <c r="BG217" i="57"/>
  <c r="BG218" i="57"/>
  <c r="BG219" i="57"/>
  <c r="BG220" i="57"/>
  <c r="BG221" i="57"/>
  <c r="BG222" i="57"/>
  <c r="BG223" i="57"/>
  <c r="BG224" i="57"/>
  <c r="BG225" i="57"/>
  <c r="BG226" i="57"/>
  <c r="BG227" i="57"/>
  <c r="BG228" i="57"/>
  <c r="BG229" i="57"/>
  <c r="BG230" i="57"/>
  <c r="BG231" i="57"/>
  <c r="BG232" i="57"/>
  <c r="BG233" i="57"/>
  <c r="BG234" i="57"/>
  <c r="BG235" i="57"/>
  <c r="BG236" i="57"/>
  <c r="BG237" i="57"/>
  <c r="BG238" i="57"/>
  <c r="BG239" i="57"/>
  <c r="BG240" i="57"/>
  <c r="BG241" i="57"/>
  <c r="BG242" i="57"/>
  <c r="BG243" i="57"/>
  <c r="BG244" i="57"/>
  <c r="BG245" i="57"/>
  <c r="BG246" i="57"/>
  <c r="BG247" i="57"/>
  <c r="BG248" i="57"/>
  <c r="BG249" i="57"/>
  <c r="BG250" i="57"/>
  <c r="BG251" i="57"/>
  <c r="BG252" i="57"/>
  <c r="BG253" i="57"/>
  <c r="BG254" i="57"/>
  <c r="BG255" i="57"/>
  <c r="BG256" i="57"/>
  <c r="BG257" i="57"/>
  <c r="BG258" i="57"/>
  <c r="BG259" i="57"/>
  <c r="BG260" i="57"/>
  <c r="BG261" i="57"/>
  <c r="BG262" i="57"/>
  <c r="BG263" i="57"/>
  <c r="BG264" i="57"/>
  <c r="BG265" i="57"/>
  <c r="BG266" i="57"/>
  <c r="BG267" i="57"/>
  <c r="BG268" i="57"/>
  <c r="BG269" i="57"/>
  <c r="BG270" i="57"/>
  <c r="BG271" i="57"/>
  <c r="BG272" i="57"/>
  <c r="BG273" i="57"/>
  <c r="BG274" i="57"/>
  <c r="BG275" i="57"/>
  <c r="BG276" i="57"/>
  <c r="BG277" i="57"/>
  <c r="BG278" i="57"/>
  <c r="BG279" i="57"/>
  <c r="BG280" i="57"/>
  <c r="BG281" i="57"/>
  <c r="BG282" i="57"/>
  <c r="BG283" i="57"/>
  <c r="BG284" i="57"/>
  <c r="BG285" i="57"/>
  <c r="BG286" i="57"/>
  <c r="BG287" i="57"/>
  <c r="BG288" i="57"/>
  <c r="BG289" i="57"/>
  <c r="BG290" i="57"/>
  <c r="BG291" i="57"/>
  <c r="BG292" i="57"/>
  <c r="BG293" i="57"/>
  <c r="BG294" i="57"/>
  <c r="BG295" i="57"/>
  <c r="BG296" i="57"/>
  <c r="BG297" i="57"/>
  <c r="BG298" i="57"/>
  <c r="BG299" i="57"/>
  <c r="BG300" i="57"/>
  <c r="BG301" i="57"/>
  <c r="BG302" i="57"/>
  <c r="BG303" i="57"/>
  <c r="BG304" i="57"/>
  <c r="BG305" i="57"/>
  <c r="BG306" i="57"/>
  <c r="BG307" i="57"/>
  <c r="BG308" i="57"/>
  <c r="BG309" i="57"/>
  <c r="BG310" i="57"/>
  <c r="BG311" i="57"/>
  <c r="BG312" i="57"/>
  <c r="BG313" i="57"/>
  <c r="BG314" i="57"/>
  <c r="BG315" i="57"/>
  <c r="BG316" i="57"/>
  <c r="BG317" i="57"/>
  <c r="BG318" i="57"/>
  <c r="BG319" i="57"/>
  <c r="BG320" i="57"/>
  <c r="BG321" i="57"/>
  <c r="BG322" i="57"/>
  <c r="BG323" i="57"/>
  <c r="BG324" i="57"/>
  <c r="BG325" i="57"/>
  <c r="BG326" i="57"/>
  <c r="BG327" i="57"/>
  <c r="BG328" i="57"/>
  <c r="BG329" i="57"/>
  <c r="BG330" i="57"/>
  <c r="BG331" i="57"/>
  <c r="BG332" i="57"/>
  <c r="BG333" i="57"/>
  <c r="BG334" i="57"/>
  <c r="BG335" i="57"/>
  <c r="BG336" i="57"/>
  <c r="BG337" i="57"/>
  <c r="BG338" i="57"/>
  <c r="BG339" i="57"/>
  <c r="BG340" i="57"/>
  <c r="BG341" i="57"/>
  <c r="BG342" i="57"/>
  <c r="BG343" i="57"/>
  <c r="BG344" i="57"/>
  <c r="BG345" i="57"/>
  <c r="BG346" i="57"/>
  <c r="BG347" i="57"/>
  <c r="BG348" i="57"/>
  <c r="BG349" i="57"/>
  <c r="BG350" i="57"/>
  <c r="BG351" i="57"/>
  <c r="BG352" i="57"/>
  <c r="BG353" i="57"/>
  <c r="BG354" i="57"/>
  <c r="BG355" i="57"/>
  <c r="BG356" i="57"/>
  <c r="BG357" i="57"/>
  <c r="BG358" i="57"/>
  <c r="BG359" i="57"/>
  <c r="BG360" i="57"/>
  <c r="BG361" i="57"/>
  <c r="BG362" i="57"/>
  <c r="BG363" i="57"/>
  <c r="BG364" i="57"/>
  <c r="BG365" i="57"/>
  <c r="BG366" i="57"/>
  <c r="BG367" i="57"/>
  <c r="BG368" i="57"/>
  <c r="BG369" i="57"/>
  <c r="BG370" i="57"/>
  <c r="BG371" i="57"/>
  <c r="BG372" i="57"/>
  <c r="BG373" i="57"/>
  <c r="BG374" i="57"/>
  <c r="BG375" i="57"/>
  <c r="BG376" i="57"/>
  <c r="BG377" i="57"/>
  <c r="BG378" i="57"/>
  <c r="BG379" i="57"/>
  <c r="BG380" i="57"/>
  <c r="BG381" i="57"/>
  <c r="BG382" i="57"/>
  <c r="BG383" i="57"/>
  <c r="BG384" i="57"/>
  <c r="BG385" i="57"/>
  <c r="BG386" i="57"/>
  <c r="BG387" i="57"/>
  <c r="BG388" i="57"/>
  <c r="BG389" i="57"/>
  <c r="BG390" i="57"/>
  <c r="BG391" i="57"/>
  <c r="BG392" i="57"/>
  <c r="BG393" i="57"/>
  <c r="BG394" i="57"/>
  <c r="BG395" i="57"/>
  <c r="BG396" i="57"/>
  <c r="BG397" i="57"/>
  <c r="BG398" i="57"/>
  <c r="BG399" i="57"/>
  <c r="BG400" i="57"/>
  <c r="BG401" i="57"/>
  <c r="BG402" i="57"/>
  <c r="BG403" i="57"/>
  <c r="BG404" i="57"/>
  <c r="BG405" i="57"/>
  <c r="BG406" i="57"/>
  <c r="BG407" i="57"/>
  <c r="BG408" i="57"/>
  <c r="BG409" i="57"/>
  <c r="BG410" i="57"/>
  <c r="BG411" i="57"/>
  <c r="BG412" i="57"/>
  <c r="BG413" i="57"/>
  <c r="BG414" i="57"/>
  <c r="BG415" i="57"/>
  <c r="BG416" i="57"/>
  <c r="BG417" i="57"/>
  <c r="BG418" i="57"/>
  <c r="BG419" i="57"/>
  <c r="BG420" i="57"/>
  <c r="BG421" i="57"/>
  <c r="BG422" i="57"/>
  <c r="BG423" i="57"/>
  <c r="BG424" i="57"/>
  <c r="BG425" i="57"/>
  <c r="BG426" i="57"/>
  <c r="BG427" i="57"/>
  <c r="BG428" i="57"/>
  <c r="BG429" i="57"/>
  <c r="BG430" i="57"/>
  <c r="BG431" i="57"/>
  <c r="BG432" i="57"/>
  <c r="BG433" i="57"/>
  <c r="BG434" i="57"/>
  <c r="BG435" i="57"/>
  <c r="BG436" i="57"/>
  <c r="BG437" i="57"/>
  <c r="BG438" i="57"/>
  <c r="BG439" i="57"/>
  <c r="BG440" i="57"/>
  <c r="BG441" i="57"/>
  <c r="BG442" i="57"/>
  <c r="BG443" i="57"/>
  <c r="BG444" i="57"/>
  <c r="BG445" i="57"/>
  <c r="BG446" i="57"/>
  <c r="BG447" i="57"/>
  <c r="BG448" i="57"/>
  <c r="BG449" i="57"/>
  <c r="BG450" i="57"/>
  <c r="BG451" i="57"/>
  <c r="BG452" i="57"/>
  <c r="BG453" i="57"/>
  <c r="BG454" i="57"/>
  <c r="BG455" i="57"/>
  <c r="BG456" i="57"/>
  <c r="BG457" i="57"/>
  <c r="BG458" i="57"/>
  <c r="BG459" i="57"/>
  <c r="BG460" i="57"/>
  <c r="BG461" i="57"/>
  <c r="BG462" i="57"/>
  <c r="BG463" i="57"/>
  <c r="BG464" i="57"/>
  <c r="BG465" i="57"/>
  <c r="BG466" i="57"/>
  <c r="BG467" i="57"/>
  <c r="BG468" i="57"/>
  <c r="BG469" i="57"/>
  <c r="BG470" i="57"/>
  <c r="BG471" i="57"/>
  <c r="BG472" i="57"/>
  <c r="BG473" i="57"/>
  <c r="BG474" i="57"/>
  <c r="BG475" i="57"/>
  <c r="BG476" i="57"/>
  <c r="BG477" i="57"/>
  <c r="BG478" i="57"/>
  <c r="BG479" i="57"/>
  <c r="BG480" i="57"/>
  <c r="BG481" i="57"/>
  <c r="BG482" i="57"/>
  <c r="BG483" i="57"/>
  <c r="BG484" i="57"/>
  <c r="BG485" i="57"/>
  <c r="BG486" i="57"/>
  <c r="BG487" i="57"/>
  <c r="BG488" i="57"/>
  <c r="BG489" i="57"/>
  <c r="BG490" i="57"/>
  <c r="BG491" i="57"/>
  <c r="BG492" i="57"/>
  <c r="BG493" i="57"/>
  <c r="BG494" i="57"/>
  <c r="BG495" i="57"/>
  <c r="BG496" i="57"/>
  <c r="BG497" i="57"/>
  <c r="BG498" i="57"/>
  <c r="BG499" i="57"/>
  <c r="BG500" i="57"/>
  <c r="BG501" i="57"/>
  <c r="BG502" i="57"/>
  <c r="BG503" i="57"/>
  <c r="BG504" i="57"/>
  <c r="BG505" i="57"/>
  <c r="BG506" i="57"/>
  <c r="BG507" i="57"/>
  <c r="BG508" i="57"/>
  <c r="BG509" i="57"/>
  <c r="BG510" i="57"/>
  <c r="BG511" i="57"/>
  <c r="BG512" i="57"/>
  <c r="BG513" i="57"/>
  <c r="BG514" i="57"/>
  <c r="BG515" i="57"/>
  <c r="BG516" i="57"/>
  <c r="BG517" i="57"/>
  <c r="BG518" i="57"/>
  <c r="BG519" i="57"/>
  <c r="BG520" i="57"/>
  <c r="BG521" i="57"/>
  <c r="BG522" i="57"/>
  <c r="BG523" i="57"/>
  <c r="BG524" i="57"/>
  <c r="BG525" i="57"/>
  <c r="BG526" i="57"/>
  <c r="BG527" i="57"/>
  <c r="BG528" i="57"/>
  <c r="BG529" i="57"/>
  <c r="BG530" i="57"/>
  <c r="BG531" i="57"/>
  <c r="BG532" i="57"/>
  <c r="BG533" i="57"/>
  <c r="BG534" i="57"/>
  <c r="BG535" i="57"/>
  <c r="BG536" i="57"/>
  <c r="BG537" i="57"/>
  <c r="BG538" i="57"/>
  <c r="BG539" i="57"/>
  <c r="BG540" i="57"/>
  <c r="BG541" i="57"/>
  <c r="BG542" i="57"/>
  <c r="BG543" i="57"/>
  <c r="BG544" i="57"/>
  <c r="BG545" i="57"/>
  <c r="BG546" i="57"/>
  <c r="BG547" i="57"/>
  <c r="BG548" i="57"/>
  <c r="BG549" i="57"/>
  <c r="BG550" i="57"/>
  <c r="BG551" i="57"/>
  <c r="BG552" i="57"/>
  <c r="BG553" i="57"/>
  <c r="BG554" i="57"/>
  <c r="BG555" i="57"/>
  <c r="BG556" i="57"/>
  <c r="BG557" i="57"/>
  <c r="BG558" i="57"/>
  <c r="BG559" i="57"/>
  <c r="BG560" i="57"/>
  <c r="BG561" i="57"/>
  <c r="BG562" i="57"/>
  <c r="BG563" i="57"/>
  <c r="BG564" i="57"/>
  <c r="BG565" i="57"/>
  <c r="BG566" i="57"/>
  <c r="BG567" i="57"/>
  <c r="BG568" i="57"/>
  <c r="BG569" i="57"/>
  <c r="BG570" i="57"/>
  <c r="BG571" i="57"/>
  <c r="BG572" i="57"/>
  <c r="BG573" i="57"/>
  <c r="BG574" i="57"/>
  <c r="BG575" i="57"/>
  <c r="BG576" i="57"/>
  <c r="BG577" i="57"/>
  <c r="BG578" i="57"/>
  <c r="BG579" i="57"/>
  <c r="BG580" i="57"/>
  <c r="BG581" i="57"/>
  <c r="BG582" i="57"/>
  <c r="BG583" i="57"/>
  <c r="BG584" i="57"/>
  <c r="BG585" i="57"/>
  <c r="BG586" i="57"/>
  <c r="BG587" i="57"/>
  <c r="BG588" i="57"/>
  <c r="BG589" i="57"/>
  <c r="BG590" i="57"/>
  <c r="BG591" i="57"/>
  <c r="BG592" i="57"/>
  <c r="BG593" i="57"/>
  <c r="BG594" i="57"/>
  <c r="BG595" i="57"/>
  <c r="BG596" i="57"/>
  <c r="BG597" i="57"/>
  <c r="BG598" i="57"/>
  <c r="BG599" i="57"/>
  <c r="BG600" i="57"/>
  <c r="BG601" i="57"/>
  <c r="BG602" i="57"/>
  <c r="BG603" i="57"/>
  <c r="BG604" i="57"/>
  <c r="BG605" i="57"/>
  <c r="BG606" i="57"/>
  <c r="BG607" i="57"/>
  <c r="BG608" i="57"/>
  <c r="BG609" i="57"/>
  <c r="BG610" i="57"/>
  <c r="BG611" i="57"/>
  <c r="BG612" i="57"/>
  <c r="BG613" i="57"/>
  <c r="BG614" i="57"/>
  <c r="BG615" i="57"/>
  <c r="BG616" i="57"/>
  <c r="BG617" i="57"/>
  <c r="BG618" i="57"/>
  <c r="BG619" i="57"/>
  <c r="BG620" i="57"/>
  <c r="BG621" i="57"/>
  <c r="BG622" i="57"/>
  <c r="BG623" i="57"/>
  <c r="BG624" i="57"/>
  <c r="BG625" i="57"/>
  <c r="BG626" i="57"/>
  <c r="BG627" i="57"/>
  <c r="BG628" i="57"/>
  <c r="BG629" i="57"/>
  <c r="BG630" i="57"/>
  <c r="BG631" i="57"/>
  <c r="BG632" i="57"/>
  <c r="BG633" i="57"/>
  <c r="BG634" i="57"/>
  <c r="BG635" i="57"/>
  <c r="BG636" i="57"/>
  <c r="BG637" i="57"/>
  <c r="BG638" i="57"/>
  <c r="BG639" i="57"/>
  <c r="BG640" i="57"/>
  <c r="BG641" i="57"/>
  <c r="BG642" i="57"/>
  <c r="BG643" i="57"/>
  <c r="BG644" i="57"/>
  <c r="BG645" i="57"/>
  <c r="BG646" i="57"/>
  <c r="BG647" i="57"/>
  <c r="BG648" i="57"/>
  <c r="BG649" i="57"/>
  <c r="BG650" i="57"/>
  <c r="BG651" i="57"/>
  <c r="BG652" i="57"/>
  <c r="BG653" i="57"/>
  <c r="BG654" i="57"/>
  <c r="BG655" i="57"/>
  <c r="BG656" i="57"/>
  <c r="BG657" i="57"/>
  <c r="BG658" i="57"/>
  <c r="BG659" i="57"/>
  <c r="BG660" i="57"/>
  <c r="BG661" i="57"/>
  <c r="BG662" i="57"/>
  <c r="BG663" i="57"/>
  <c r="BG664" i="57"/>
  <c r="BG665" i="57"/>
  <c r="BG666" i="57"/>
  <c r="BG667" i="57"/>
  <c r="BG668" i="57"/>
  <c r="BG669" i="57"/>
  <c r="BG670" i="57"/>
  <c r="BG671" i="57"/>
  <c r="BG672" i="57"/>
  <c r="BG673" i="57"/>
  <c r="BG674" i="57"/>
  <c r="BG675" i="57"/>
  <c r="BG676" i="57"/>
  <c r="BG677" i="57"/>
  <c r="BG678" i="57"/>
  <c r="BG679" i="57"/>
  <c r="BG680" i="57"/>
  <c r="BG681" i="57"/>
  <c r="BG682" i="57"/>
  <c r="BG683" i="57"/>
  <c r="BG684" i="57"/>
  <c r="BG685" i="57"/>
  <c r="BG686" i="57"/>
  <c r="BG687" i="57"/>
  <c r="BG688" i="57"/>
  <c r="BG689" i="57"/>
  <c r="BG690" i="57"/>
  <c r="BG691" i="57"/>
  <c r="BG692" i="57"/>
  <c r="BG693" i="57"/>
  <c r="BG694" i="57"/>
  <c r="BG695" i="57"/>
  <c r="BG696" i="57"/>
  <c r="BG697" i="57"/>
  <c r="BG698" i="57"/>
  <c r="BG699" i="57"/>
  <c r="BG700" i="57"/>
  <c r="BG701" i="57"/>
  <c r="BG702" i="57"/>
  <c r="BG703" i="57"/>
  <c r="BG704" i="57"/>
  <c r="BG705" i="57"/>
  <c r="BG706" i="57"/>
  <c r="BG707" i="57"/>
  <c r="BG708" i="57"/>
  <c r="BG709" i="57"/>
  <c r="BG710" i="57"/>
  <c r="BG711" i="57"/>
  <c r="BG712" i="57"/>
  <c r="BG713" i="57"/>
  <c r="BG714" i="57"/>
  <c r="BG715" i="57"/>
  <c r="BG716" i="57"/>
  <c r="BG717" i="57"/>
  <c r="BG718" i="57"/>
  <c r="BG719" i="57"/>
  <c r="BG720" i="57"/>
  <c r="BG721" i="57"/>
  <c r="BG722" i="57"/>
  <c r="BG723" i="57"/>
  <c r="BG724" i="57"/>
  <c r="BG725" i="57"/>
  <c r="BG726" i="57"/>
  <c r="BG727" i="57"/>
  <c r="BG728" i="57"/>
  <c r="BG729" i="57"/>
  <c r="BG730" i="57"/>
  <c r="BG731" i="57"/>
  <c r="BG732" i="57"/>
  <c r="BG733" i="57"/>
  <c r="BG734" i="57"/>
  <c r="BG735" i="57"/>
  <c r="BG736" i="57"/>
  <c r="BG737" i="57"/>
  <c r="BG738" i="57"/>
  <c r="BG739" i="57"/>
  <c r="BG740" i="57"/>
  <c r="BG741" i="57"/>
  <c r="BG742" i="57"/>
  <c r="BG743" i="57"/>
  <c r="BG744" i="57"/>
  <c r="BG745" i="57"/>
  <c r="BG746" i="57"/>
  <c r="BG747" i="57"/>
  <c r="BG748" i="57"/>
  <c r="BG749" i="57"/>
  <c r="BG750" i="57"/>
  <c r="BG751" i="57"/>
  <c r="BG752" i="57"/>
  <c r="BG753" i="57"/>
  <c r="BG754" i="57"/>
  <c r="BG755" i="57"/>
  <c r="BG756" i="57"/>
  <c r="BG757" i="57"/>
  <c r="BG758" i="57"/>
  <c r="BG759" i="57"/>
  <c r="BG760" i="57"/>
  <c r="BG761" i="57"/>
  <c r="BG762" i="57"/>
  <c r="BG763" i="57"/>
  <c r="BG764" i="57"/>
  <c r="BG765" i="57"/>
  <c r="BG766" i="57"/>
  <c r="BG767" i="57"/>
  <c r="BG768" i="57"/>
  <c r="BG769" i="57"/>
  <c r="BG770" i="57"/>
  <c r="BG771" i="57"/>
  <c r="BG772" i="57"/>
  <c r="BG773" i="57"/>
  <c r="BG774" i="57"/>
  <c r="BG775" i="57"/>
  <c r="BG776" i="57"/>
  <c r="BG777" i="57"/>
  <c r="BG778" i="57"/>
  <c r="BG779" i="57"/>
  <c r="BG780" i="57"/>
  <c r="BG781" i="57"/>
  <c r="BG782" i="57"/>
  <c r="BG783" i="57"/>
  <c r="BG784" i="57"/>
  <c r="BG785" i="57"/>
  <c r="BG786" i="57"/>
  <c r="BG787" i="57"/>
  <c r="BG788" i="57"/>
  <c r="BG789" i="57"/>
  <c r="BG790" i="57"/>
  <c r="BG791" i="57"/>
  <c r="BG792" i="57"/>
  <c r="BG793" i="57"/>
  <c r="BG794" i="57"/>
  <c r="BG795" i="57"/>
  <c r="BG796" i="57"/>
  <c r="BG797" i="57"/>
  <c r="BG798" i="57"/>
  <c r="BG799" i="57"/>
  <c r="BG800" i="57"/>
  <c r="BG801" i="57"/>
  <c r="BG802" i="57"/>
  <c r="BG803" i="57"/>
  <c r="BG804" i="57"/>
  <c r="BG805" i="57"/>
  <c r="BG806" i="57"/>
  <c r="BG807" i="57"/>
  <c r="BG808" i="57"/>
  <c r="BG809" i="57"/>
  <c r="BG810" i="57"/>
  <c r="BG811" i="57"/>
  <c r="BG812" i="57"/>
  <c r="BG813" i="57"/>
  <c r="BG814" i="57"/>
  <c r="BG815" i="57"/>
  <c r="BG816" i="57"/>
  <c r="BG817" i="57"/>
  <c r="BG818" i="57"/>
  <c r="BG819" i="57"/>
  <c r="BG820" i="57"/>
  <c r="BG821" i="57"/>
  <c r="BG822" i="57"/>
  <c r="BG823" i="57"/>
  <c r="BG824" i="57"/>
  <c r="BG825" i="57"/>
  <c r="BG826" i="57"/>
  <c r="BG827" i="57"/>
  <c r="BG828" i="57"/>
  <c r="BG829" i="57"/>
  <c r="BG830" i="57"/>
  <c r="BG831" i="57"/>
  <c r="BG832" i="57"/>
  <c r="BG833" i="57"/>
  <c r="BG834" i="57"/>
  <c r="BG835" i="57"/>
  <c r="BG836" i="57"/>
  <c r="BG837" i="57"/>
  <c r="BG838" i="57"/>
  <c r="BG839" i="57"/>
  <c r="BG840" i="57"/>
  <c r="BG841" i="57"/>
  <c r="BG842" i="57"/>
  <c r="BG843" i="57"/>
  <c r="BG844" i="57"/>
  <c r="BG845" i="57"/>
  <c r="BG846" i="57"/>
  <c r="BG847" i="57"/>
  <c r="BG848" i="57"/>
  <c r="BG849" i="57"/>
  <c r="BG850" i="57"/>
  <c r="BG851" i="57"/>
  <c r="BG852" i="57"/>
  <c r="BG853" i="57"/>
  <c r="BG854" i="57"/>
  <c r="BG855" i="57"/>
  <c r="BG856" i="57"/>
  <c r="BG857" i="57"/>
  <c r="BG858" i="57"/>
  <c r="BG859" i="57"/>
  <c r="BG860" i="57"/>
  <c r="BG861" i="57"/>
  <c r="BG862" i="57"/>
  <c r="BG863" i="57"/>
  <c r="BG864" i="57"/>
  <c r="BG865" i="57"/>
  <c r="BG866" i="57"/>
  <c r="BG867" i="57"/>
  <c r="BG868" i="57"/>
  <c r="BG869" i="57"/>
  <c r="BG870" i="57"/>
  <c r="BG871" i="57"/>
  <c r="BG872" i="57"/>
  <c r="BG873" i="57"/>
  <c r="BG874" i="57"/>
  <c r="BG875" i="57"/>
  <c r="BG876" i="57"/>
  <c r="BG877" i="57"/>
  <c r="BG878" i="57"/>
  <c r="BG879" i="57"/>
  <c r="BG880" i="57"/>
  <c r="BG881" i="57"/>
  <c r="BG882" i="57"/>
  <c r="BG883" i="57"/>
  <c r="BG884" i="57"/>
  <c r="BG885" i="57"/>
  <c r="BG886" i="57"/>
  <c r="BG887" i="57"/>
  <c r="BG888" i="57"/>
  <c r="BG889" i="57"/>
  <c r="BG890" i="57"/>
  <c r="BG891" i="57"/>
  <c r="BG892" i="57"/>
  <c r="BG893" i="57"/>
  <c r="BG894" i="57"/>
  <c r="BG895" i="57"/>
  <c r="BG896" i="57"/>
  <c r="BG897" i="57"/>
  <c r="BG898" i="57"/>
  <c r="BG899" i="57"/>
  <c r="BG900" i="57"/>
  <c r="BG901" i="57"/>
  <c r="BG902" i="57"/>
  <c r="BG903" i="57"/>
  <c r="BG904" i="57"/>
  <c r="BG905" i="57"/>
  <c r="BG906" i="57"/>
  <c r="BG907" i="57"/>
  <c r="BG908" i="57"/>
  <c r="BG909" i="57"/>
  <c r="BG910" i="57"/>
  <c r="BG911" i="57"/>
  <c r="BG912" i="57"/>
  <c r="BG913" i="57"/>
  <c r="BG914" i="57"/>
  <c r="BG915" i="57"/>
  <c r="BG916" i="57"/>
  <c r="BG917" i="57"/>
  <c r="BG918" i="57"/>
  <c r="BG919" i="57"/>
  <c r="BG920" i="57"/>
  <c r="BG921" i="57"/>
  <c r="BG922" i="57"/>
  <c r="BG923" i="57"/>
  <c r="BG924" i="57"/>
  <c r="BG925" i="57"/>
  <c r="BG926" i="57"/>
  <c r="BG927" i="57"/>
  <c r="BG928" i="57"/>
  <c r="BG929" i="57"/>
  <c r="BG930" i="57"/>
  <c r="BG931" i="57"/>
  <c r="BG932" i="57"/>
  <c r="BG933" i="57"/>
  <c r="BG934" i="57"/>
  <c r="BG935" i="57"/>
  <c r="BG936" i="57"/>
  <c r="BG937" i="57"/>
  <c r="BG938" i="57"/>
  <c r="BG939" i="57"/>
  <c r="BG940" i="57"/>
  <c r="BG941" i="57"/>
  <c r="BG942" i="57"/>
  <c r="BG943" i="57"/>
  <c r="BG944" i="57"/>
  <c r="BG945" i="57"/>
  <c r="BG946" i="57"/>
  <c r="BG947" i="57"/>
  <c r="BG948" i="57"/>
  <c r="BG949" i="57"/>
  <c r="BG950" i="57"/>
  <c r="BG951" i="57"/>
  <c r="BG952" i="57"/>
  <c r="BG953" i="57"/>
  <c r="BG954" i="57"/>
  <c r="BG955" i="57"/>
  <c r="BG956" i="57"/>
  <c r="BG957" i="57"/>
  <c r="BG958" i="57"/>
  <c r="BG959" i="57"/>
  <c r="BG960" i="57"/>
  <c r="BG961" i="57"/>
  <c r="BG962" i="57"/>
  <c r="BG963" i="57"/>
  <c r="BG964" i="57"/>
  <c r="BG965" i="57"/>
  <c r="BG966" i="57"/>
  <c r="BG967" i="57"/>
  <c r="BG968" i="57"/>
  <c r="BG969" i="57"/>
  <c r="BG970" i="57"/>
  <c r="BG971" i="57"/>
  <c r="BG972" i="57"/>
  <c r="BG973" i="57"/>
  <c r="BG974" i="57"/>
  <c r="BG975" i="57"/>
  <c r="BG976" i="57"/>
  <c r="BG977" i="57"/>
  <c r="BG978" i="57"/>
  <c r="BG979" i="57"/>
  <c r="BG980" i="57"/>
  <c r="BG981" i="57"/>
  <c r="BG982" i="57"/>
  <c r="BG983" i="57"/>
  <c r="BG984" i="57"/>
  <c r="BG985" i="57"/>
  <c r="BG986" i="57"/>
  <c r="BG987" i="57"/>
  <c r="BG988" i="57"/>
  <c r="BG989" i="57"/>
  <c r="BG990" i="57"/>
  <c r="BG991" i="57"/>
  <c r="BG992" i="57"/>
  <c r="BG993" i="57"/>
  <c r="BG994" i="57"/>
  <c r="BG995" i="57"/>
  <c r="BG996" i="57"/>
  <c r="BG997" i="57"/>
  <c r="BG998" i="57"/>
  <c r="BG999" i="57"/>
  <c r="BG1000" i="57"/>
  <c r="BG1001" i="57"/>
  <c r="BG1002" i="57"/>
  <c r="BG1003" i="57"/>
  <c r="BG1004" i="57"/>
  <c r="BG1005" i="57"/>
  <c r="BG1006" i="57"/>
  <c r="BG1007" i="57"/>
  <c r="BG1008" i="57"/>
  <c r="BG1009" i="57"/>
  <c r="BG1010" i="57"/>
  <c r="BG1011" i="57"/>
  <c r="BG1012" i="57"/>
  <c r="BG1013" i="57"/>
  <c r="BG1014" i="57"/>
  <c r="BG1015" i="57"/>
  <c r="BG1016" i="57"/>
  <c r="BG1017" i="57"/>
  <c r="BG1018" i="57"/>
  <c r="BG1019" i="57"/>
  <c r="BG1020" i="57"/>
  <c r="BG1021" i="57"/>
  <c r="BG1022" i="57"/>
  <c r="BG1023" i="57"/>
  <c r="BG1024" i="57"/>
  <c r="BG1025" i="57"/>
  <c r="BG1026" i="57"/>
  <c r="BG1027" i="57"/>
  <c r="BG1028" i="57"/>
  <c r="BG1029" i="57"/>
  <c r="BG1030" i="57"/>
  <c r="BG1031" i="57"/>
  <c r="BG1032" i="57"/>
  <c r="BG1033" i="57"/>
  <c r="BG1034" i="57"/>
  <c r="BG1035" i="57"/>
  <c r="BG1036" i="57"/>
  <c r="BG1037" i="57"/>
  <c r="BG1038" i="57"/>
  <c r="BG1039" i="57"/>
  <c r="BG1040" i="57"/>
  <c r="BG1041" i="57"/>
  <c r="BG1042" i="57"/>
  <c r="BG1043" i="57"/>
  <c r="BG1044" i="57"/>
  <c r="BG1045" i="57"/>
  <c r="BG1046" i="57"/>
  <c r="BG1047" i="57"/>
  <c r="BG1048" i="57"/>
  <c r="BG1049" i="57"/>
  <c r="BG1050" i="57"/>
  <c r="BG1051" i="57"/>
  <c r="BG1052" i="57"/>
  <c r="BG1053" i="57"/>
  <c r="BG1054" i="57"/>
  <c r="BG1055" i="57"/>
  <c r="BG1056" i="57"/>
  <c r="BG1057" i="57"/>
  <c r="BG1058" i="57"/>
  <c r="BG1059" i="57"/>
  <c r="BG1060" i="57"/>
  <c r="BG1061" i="57"/>
  <c r="BG1062" i="57"/>
  <c r="BG1063" i="57"/>
  <c r="BG1064" i="57"/>
  <c r="BG1065" i="57"/>
  <c r="BG1066" i="57"/>
  <c r="BG1067" i="57"/>
  <c r="BG1068" i="57"/>
  <c r="BG1069" i="57"/>
  <c r="BG1070" i="57"/>
  <c r="BG1071" i="57"/>
  <c r="BG1072" i="57"/>
  <c r="BG1073" i="57"/>
  <c r="BG1074" i="57"/>
  <c r="BG1075" i="57"/>
  <c r="BG1076" i="57"/>
  <c r="BG1077" i="57"/>
  <c r="BG1078" i="57"/>
  <c r="BG1079" i="57"/>
  <c r="BG1080" i="57"/>
  <c r="BG1081" i="57"/>
  <c r="BG1082" i="57"/>
  <c r="BG1083" i="57"/>
  <c r="BG1084" i="57"/>
  <c r="BG1085" i="57"/>
  <c r="BG1086" i="57"/>
  <c r="BG1087" i="57"/>
  <c r="BG1088" i="57"/>
  <c r="BG1089" i="57"/>
  <c r="BG1090" i="57"/>
  <c r="BG1091" i="57"/>
  <c r="BG1092" i="57"/>
  <c r="BG1093" i="57"/>
  <c r="BG1094" i="57"/>
  <c r="BG1095" i="57"/>
  <c r="BG1096" i="57"/>
  <c r="BG1097" i="57"/>
  <c r="BG1098" i="57"/>
  <c r="BG1099" i="57"/>
  <c r="BG1100" i="57"/>
  <c r="BG1101" i="57"/>
  <c r="BG1102" i="57"/>
  <c r="BG1103" i="57"/>
  <c r="BG1104" i="57"/>
  <c r="BG1105" i="57"/>
  <c r="BG1106" i="57"/>
  <c r="BG1107" i="57"/>
  <c r="BG1108" i="57"/>
  <c r="BG1109" i="57"/>
  <c r="BG1110" i="57"/>
  <c r="BG1111" i="57"/>
  <c r="BG1112" i="57"/>
  <c r="BG1113" i="57"/>
  <c r="BG1114" i="57"/>
  <c r="BG1115" i="57"/>
  <c r="BG1116" i="57"/>
  <c r="BG1117" i="57"/>
  <c r="BG1118" i="57"/>
  <c r="BG1119" i="57"/>
  <c r="BG1120" i="57"/>
  <c r="BG1121" i="57"/>
  <c r="BG1122" i="57"/>
  <c r="BG1123" i="57"/>
  <c r="BG1124" i="57"/>
  <c r="BG1125" i="57"/>
  <c r="BG1126" i="57"/>
  <c r="BG1127" i="57"/>
  <c r="BG1128" i="57"/>
  <c r="BG1129" i="57"/>
  <c r="BG1130" i="57"/>
  <c r="BG1131" i="57"/>
  <c r="BG1132" i="57"/>
  <c r="BG1133" i="57"/>
  <c r="BG1134" i="57"/>
  <c r="BG1135" i="57"/>
  <c r="BG1136" i="57"/>
  <c r="BG1137" i="57"/>
  <c r="BG1138" i="57"/>
  <c r="BG1139" i="57"/>
  <c r="BG1140" i="57"/>
  <c r="BG1141" i="57"/>
  <c r="BG1142" i="57"/>
  <c r="BG1143" i="57"/>
  <c r="BG1144" i="57"/>
  <c r="BG1145" i="57"/>
  <c r="BG1146" i="57"/>
  <c r="BG1147" i="57"/>
  <c r="BG1148" i="57"/>
  <c r="BG1149" i="57"/>
  <c r="BG1150" i="57"/>
  <c r="BG1151" i="57"/>
  <c r="BG1152" i="57"/>
  <c r="BG1153" i="57"/>
  <c r="BG1154" i="57"/>
  <c r="BG1155" i="57"/>
  <c r="BG1156" i="57"/>
  <c r="BG1157" i="57"/>
  <c r="BG1158" i="57"/>
  <c r="BG1159" i="57"/>
  <c r="BG1160" i="57"/>
  <c r="BG1161" i="57"/>
  <c r="BG1162" i="57"/>
  <c r="BG1163" i="57"/>
  <c r="BG1164" i="57"/>
  <c r="BG1165" i="57"/>
  <c r="BG1166" i="57"/>
  <c r="BG1167" i="57"/>
  <c r="BG1168" i="57"/>
  <c r="BG1169" i="57"/>
  <c r="BG1170" i="57"/>
  <c r="BG1171" i="57"/>
  <c r="BG1172" i="57"/>
  <c r="BG1173" i="57"/>
  <c r="BG1174" i="57"/>
  <c r="BG1175" i="57"/>
  <c r="BG1176" i="57"/>
  <c r="BG1177" i="57"/>
  <c r="BG1178" i="57"/>
  <c r="BG1179" i="57"/>
  <c r="BG1180" i="57"/>
  <c r="BG1181" i="57"/>
  <c r="BG1182" i="57"/>
  <c r="BG1183" i="57"/>
  <c r="BG1184" i="57"/>
  <c r="BG1185" i="57"/>
  <c r="BG1186" i="57"/>
  <c r="BG1187" i="57"/>
  <c r="BG1188" i="57"/>
  <c r="BG1189" i="57"/>
  <c r="BG1190" i="57"/>
  <c r="BG1191" i="57"/>
  <c r="BG1192" i="57"/>
  <c r="BG1193" i="57"/>
  <c r="BG1194" i="57"/>
  <c r="BG1195" i="57"/>
  <c r="BG1196" i="57"/>
  <c r="BG1197" i="57"/>
  <c r="BG1198" i="57"/>
  <c r="BG1199" i="57"/>
  <c r="BG1200" i="57"/>
  <c r="BG1201" i="57"/>
  <c r="BG1202" i="57"/>
  <c r="BG1203" i="57"/>
  <c r="BG1204" i="57"/>
  <c r="BG1205" i="57"/>
  <c r="BG1206" i="57"/>
  <c r="BG1207" i="57"/>
  <c r="BG1208" i="57"/>
  <c r="BG1209" i="57"/>
  <c r="BG1210" i="57"/>
  <c r="BG1211" i="57"/>
  <c r="BG1212" i="57"/>
  <c r="BG1213" i="57"/>
  <c r="BG1214" i="57"/>
  <c r="BG1215" i="57"/>
  <c r="BG1216" i="57"/>
  <c r="BG1217" i="57"/>
  <c r="BG1218" i="57"/>
  <c r="BG1219" i="57"/>
  <c r="BG1220" i="57"/>
  <c r="BG1221" i="57"/>
  <c r="BG1222" i="57"/>
  <c r="BG1223" i="57"/>
  <c r="BG1224" i="57"/>
  <c r="BG1225" i="57"/>
  <c r="BG1226" i="57"/>
  <c r="BG1227" i="57"/>
  <c r="BG1228" i="57"/>
  <c r="BG1229" i="57"/>
  <c r="BG1230" i="57"/>
  <c r="BG1231" i="57"/>
  <c r="BG1232" i="57"/>
  <c r="BG1233" i="57"/>
  <c r="BG1234" i="57"/>
  <c r="BG1235" i="57"/>
  <c r="BG1236" i="57"/>
  <c r="BG1237" i="57"/>
  <c r="BG1238" i="57"/>
  <c r="BG1239" i="57"/>
  <c r="BG1240" i="57"/>
  <c r="BG1241" i="57"/>
  <c r="BG1242" i="57"/>
  <c r="BG1243" i="57"/>
  <c r="BG1244" i="57"/>
  <c r="BG1245" i="57"/>
  <c r="BG1246" i="57"/>
  <c r="BG1247" i="57"/>
  <c r="BG1248" i="57"/>
  <c r="BG1249" i="57"/>
  <c r="BG1250" i="57"/>
  <c r="BG1251" i="57"/>
  <c r="BG1252" i="57"/>
  <c r="BG1253" i="57"/>
  <c r="BG1254" i="57"/>
  <c r="BG1255" i="57"/>
  <c r="BG1256" i="57"/>
  <c r="BG1257" i="57"/>
  <c r="BG1258" i="57"/>
  <c r="BG1259" i="57"/>
  <c r="BG1260" i="57"/>
  <c r="BG1261" i="57"/>
  <c r="BG1262" i="57"/>
  <c r="BG1263" i="57"/>
  <c r="BG1264" i="57"/>
  <c r="BG1265" i="57"/>
  <c r="BG1266" i="57"/>
  <c r="BG1267" i="57"/>
  <c r="BG1268" i="57"/>
  <c r="BG1269" i="57"/>
  <c r="BG1270" i="57"/>
  <c r="BG1271" i="57"/>
  <c r="BG1272" i="57"/>
  <c r="BG1273" i="57"/>
  <c r="BG1274" i="57"/>
  <c r="BG1275" i="57"/>
  <c r="BG1276" i="57"/>
  <c r="BG1277" i="57"/>
  <c r="BG1278" i="57"/>
  <c r="BG1279" i="57"/>
  <c r="BG1280" i="57"/>
  <c r="BG1281" i="57"/>
  <c r="BG1282" i="57"/>
  <c r="BG1283" i="57"/>
  <c r="BG1284" i="57"/>
  <c r="BG1285" i="57"/>
  <c r="BG1286" i="57"/>
  <c r="BG1287" i="57"/>
  <c r="BG1288" i="57"/>
  <c r="BG1289" i="57"/>
  <c r="BG1290" i="57"/>
  <c r="BG1291" i="57"/>
  <c r="BG1292" i="57"/>
  <c r="BG1293" i="57"/>
  <c r="BG1294" i="57"/>
  <c r="BG1295" i="57"/>
  <c r="BG1296" i="57"/>
  <c r="BG1297" i="57"/>
  <c r="BG1298" i="57"/>
  <c r="BG1299" i="57"/>
  <c r="BG1300" i="57"/>
  <c r="BG1301" i="57"/>
  <c r="BG1302" i="57"/>
  <c r="BG1303" i="57"/>
  <c r="BG1304" i="57"/>
  <c r="BG1305" i="57"/>
  <c r="BG1306" i="57"/>
  <c r="BG1307" i="57"/>
  <c r="BG1308" i="57"/>
  <c r="BG1309" i="57"/>
  <c r="BG1310" i="57"/>
  <c r="BG1311" i="57"/>
  <c r="BG1312" i="57"/>
  <c r="BG1313" i="57"/>
  <c r="BG1314" i="57"/>
  <c r="BG1315" i="57"/>
  <c r="BG1316" i="57"/>
  <c r="BG1317" i="57"/>
  <c r="BG1318" i="57"/>
  <c r="BG1319" i="57"/>
  <c r="BG1320" i="57"/>
  <c r="BG1321" i="57"/>
  <c r="BG1322" i="57"/>
  <c r="BG1323" i="57"/>
  <c r="BG1324" i="57"/>
  <c r="BG1325" i="57"/>
  <c r="BG1326" i="57"/>
  <c r="BG1327" i="57"/>
  <c r="BG1328" i="57"/>
  <c r="BG1329" i="57"/>
  <c r="BG1330" i="57"/>
  <c r="BG1331" i="57"/>
  <c r="BG1332" i="57"/>
  <c r="BG1333" i="57"/>
  <c r="BG1334" i="57"/>
  <c r="BG1335" i="57"/>
  <c r="BG1336" i="57"/>
  <c r="BG1337" i="57"/>
  <c r="BG1338" i="57"/>
  <c r="BG1339" i="57"/>
  <c r="BG1340" i="57"/>
  <c r="BG1341" i="57"/>
  <c r="BG1342" i="57"/>
  <c r="BG1343" i="57"/>
  <c r="BG1344" i="57"/>
  <c r="BG1345" i="57"/>
  <c r="BG1346" i="57"/>
  <c r="BG1347" i="57"/>
  <c r="BG1348" i="57"/>
  <c r="BG1349" i="57"/>
  <c r="BG1350" i="57"/>
  <c r="BG1351" i="57"/>
  <c r="BG1352" i="57"/>
  <c r="BG1353" i="57"/>
  <c r="BG1354" i="57"/>
  <c r="BG1355" i="57"/>
  <c r="BG1356" i="57"/>
  <c r="BG1357" i="57"/>
  <c r="BG1358" i="57"/>
  <c r="BG1359" i="57"/>
  <c r="BG1360" i="57"/>
  <c r="BG1361" i="57"/>
  <c r="BG1362" i="57"/>
  <c r="BG1363" i="57"/>
  <c r="BG1364" i="57"/>
  <c r="BG1365" i="57"/>
  <c r="BG1366" i="57"/>
  <c r="BG1367" i="57"/>
  <c r="BG1368" i="57"/>
  <c r="BG1369" i="57"/>
  <c r="BG1370" i="57"/>
  <c r="BG1371" i="57"/>
  <c r="BG1372" i="57"/>
  <c r="BG1373" i="57"/>
  <c r="BG1374" i="57"/>
  <c r="BG1375" i="57"/>
  <c r="BG1376" i="57"/>
  <c r="BG1377" i="57"/>
  <c r="BG1378" i="57"/>
  <c r="BG1379" i="57"/>
  <c r="BG1380" i="57"/>
  <c r="BG1381" i="57"/>
  <c r="BG1382" i="57"/>
  <c r="BG1383" i="57"/>
  <c r="BG1384" i="57"/>
  <c r="BG1385" i="57"/>
  <c r="BG1386" i="57"/>
  <c r="BG1387" i="57"/>
  <c r="BG1388" i="57"/>
  <c r="BG1389" i="57"/>
  <c r="BG1390" i="57"/>
  <c r="BG1391" i="57"/>
  <c r="BG1392" i="57"/>
  <c r="BG1393" i="57"/>
  <c r="BG1394" i="57"/>
  <c r="BG1395" i="57"/>
  <c r="BG1396" i="57"/>
  <c r="BG1397" i="57"/>
  <c r="BG1398" i="57"/>
  <c r="BG1399" i="57"/>
  <c r="BG1400" i="57"/>
  <c r="BG1401" i="57"/>
  <c r="BG1402" i="57"/>
  <c r="BG1403" i="57"/>
  <c r="BG1404" i="57"/>
  <c r="BG1405" i="57"/>
  <c r="BG1406" i="57"/>
  <c r="BG1407" i="57"/>
  <c r="BG1408" i="57"/>
  <c r="BG1409" i="57"/>
  <c r="BG1410" i="57"/>
  <c r="BG1411" i="57"/>
  <c r="BG1412" i="57"/>
  <c r="BG1413" i="57"/>
  <c r="BG1414" i="57"/>
  <c r="BG1415" i="57"/>
  <c r="BG1416" i="57"/>
  <c r="BG1417" i="57"/>
  <c r="BG1418" i="57"/>
  <c r="BG1419" i="57"/>
  <c r="BG1420" i="57"/>
  <c r="BG1421" i="57"/>
  <c r="BG1422" i="57"/>
  <c r="BG1423" i="57"/>
  <c r="BG1424" i="57"/>
  <c r="BG1425" i="57"/>
  <c r="BG1426" i="57"/>
  <c r="BG1427" i="57"/>
  <c r="BG1428" i="57"/>
  <c r="BG1429" i="57"/>
  <c r="BG1430" i="57"/>
  <c r="BG1431" i="57"/>
  <c r="BG1432" i="57"/>
  <c r="BG1433" i="57"/>
  <c r="BG1434" i="57"/>
  <c r="BG1435" i="57"/>
  <c r="BG1436" i="57"/>
  <c r="BG1437" i="57"/>
  <c r="BG1438" i="57"/>
  <c r="BG1439" i="57"/>
  <c r="BG1440" i="57"/>
  <c r="BG1441" i="57"/>
  <c r="BG1442" i="57"/>
  <c r="BG1443" i="57"/>
  <c r="BG1444" i="57"/>
  <c r="BG1445" i="57"/>
  <c r="BG1446" i="57"/>
  <c r="BG1447" i="57"/>
  <c r="BG1448" i="57"/>
  <c r="BG1449" i="57"/>
  <c r="BG1450" i="57"/>
  <c r="BG1451" i="57"/>
  <c r="BG1452" i="57"/>
  <c r="BG1453" i="57"/>
  <c r="BG1454" i="57"/>
  <c r="BG1455" i="57"/>
  <c r="BG1456" i="57"/>
  <c r="BG1457" i="57"/>
  <c r="BG1458" i="57"/>
  <c r="BG1459" i="57"/>
  <c r="BG1460" i="57"/>
  <c r="BG1461" i="57"/>
  <c r="BG1462" i="57"/>
  <c r="BG1463" i="57"/>
  <c r="BG1464" i="57"/>
  <c r="BG1465" i="57"/>
  <c r="BG1466" i="57"/>
  <c r="BG1467" i="57"/>
  <c r="BG1468" i="57"/>
  <c r="BG1469" i="57"/>
  <c r="BG1470" i="57"/>
  <c r="BG1471" i="57"/>
  <c r="BG1472" i="57"/>
  <c r="BG1473" i="57"/>
  <c r="BG1474" i="57"/>
  <c r="BG1475" i="57"/>
  <c r="BG1476" i="57"/>
  <c r="BG1477" i="57"/>
  <c r="BG1478" i="57"/>
  <c r="BG1479" i="57"/>
  <c r="BG1480" i="57"/>
  <c r="BG1481" i="57"/>
  <c r="BG1482" i="57"/>
  <c r="BG1483" i="57"/>
  <c r="BG1484" i="57"/>
  <c r="BG1485" i="57"/>
  <c r="BG1486" i="57"/>
  <c r="BG1487" i="57"/>
  <c r="BG1488" i="57"/>
  <c r="BG1489" i="57"/>
  <c r="BG1490" i="57"/>
  <c r="BG1491" i="57"/>
  <c r="BG1492" i="57"/>
  <c r="BG1493" i="57"/>
  <c r="BG1494" i="57"/>
  <c r="BG1495" i="57"/>
  <c r="BG1496" i="57"/>
  <c r="BG1497" i="57"/>
  <c r="BG1498" i="57"/>
  <c r="BG1499" i="57"/>
  <c r="BG1500" i="57"/>
  <c r="BG1501" i="57"/>
  <c r="BG1502" i="57"/>
  <c r="BG1503" i="57"/>
  <c r="BG1504" i="57"/>
  <c r="BG1505" i="57"/>
  <c r="BG1506" i="57"/>
  <c r="BG1507" i="57"/>
  <c r="BG1508" i="57"/>
  <c r="BG1509" i="57"/>
  <c r="BG1510" i="57"/>
  <c r="BG1511" i="57"/>
  <c r="BG1512" i="57"/>
  <c r="BG1513" i="57"/>
  <c r="BG1514" i="57"/>
  <c r="BG1515" i="57"/>
  <c r="BG1516" i="57"/>
  <c r="BG1517" i="57"/>
  <c r="BG1518" i="57"/>
  <c r="BG1519" i="57"/>
  <c r="BG1520" i="57"/>
  <c r="BG1521" i="57"/>
  <c r="BG1522" i="57"/>
  <c r="BG1523" i="57"/>
  <c r="BG1524" i="57"/>
  <c r="BG1525" i="57"/>
  <c r="BG1526" i="57"/>
  <c r="BG1527" i="57"/>
  <c r="BG1528" i="57"/>
  <c r="BG1529" i="57"/>
  <c r="BG1530" i="57"/>
  <c r="BG1531" i="57"/>
  <c r="BG1532" i="57"/>
  <c r="BG1533" i="57"/>
  <c r="BG1534" i="57"/>
  <c r="BG1535" i="57"/>
  <c r="BG1536" i="57"/>
  <c r="BG1537" i="57"/>
  <c r="BG1538" i="57"/>
  <c r="BG1539" i="57"/>
  <c r="BG1540" i="57"/>
  <c r="BG1541" i="57"/>
  <c r="BG1542" i="57"/>
  <c r="BG1543" i="57"/>
  <c r="BG1544" i="57"/>
  <c r="BG1545" i="57"/>
  <c r="BG1546" i="57"/>
  <c r="BG1547" i="57"/>
  <c r="BG1548" i="57"/>
  <c r="BG1549" i="57"/>
  <c r="BG1550" i="57"/>
  <c r="BG1551" i="57"/>
  <c r="BG1552" i="57"/>
  <c r="BG1553" i="57"/>
  <c r="BG1554" i="57"/>
  <c r="BG1555" i="57"/>
  <c r="BG1556" i="57"/>
  <c r="BG1557" i="57"/>
  <c r="BG1558" i="57"/>
  <c r="BG1559" i="57"/>
  <c r="BG1560" i="57"/>
  <c r="BG1561" i="57"/>
  <c r="BG1562" i="57"/>
  <c r="BG1563" i="57"/>
  <c r="BG1564" i="57"/>
  <c r="BG1565" i="57"/>
  <c r="BG1566" i="57"/>
  <c r="BG1567" i="57"/>
  <c r="BG1568" i="57"/>
  <c r="BG1569" i="57"/>
  <c r="BG1570" i="57"/>
  <c r="BG1571" i="57"/>
  <c r="BG1572" i="57"/>
  <c r="BG1573" i="57"/>
  <c r="BG1574" i="57"/>
  <c r="BG1575" i="57"/>
  <c r="BG1576" i="57"/>
  <c r="BG1577" i="57"/>
  <c r="BG1578" i="57"/>
  <c r="BG1579" i="57"/>
  <c r="BG1580" i="57"/>
  <c r="BG1581" i="57"/>
  <c r="BG1582" i="57"/>
  <c r="BG1583" i="57"/>
  <c r="BG1584" i="57"/>
  <c r="BG1585" i="57"/>
  <c r="BG1586" i="57"/>
  <c r="BG1587" i="57"/>
  <c r="BG1588" i="57"/>
  <c r="BG1589" i="57"/>
  <c r="BG1590" i="57"/>
  <c r="BG1591" i="57"/>
  <c r="BG1592" i="57"/>
  <c r="BG1593" i="57"/>
  <c r="BG1594" i="57"/>
  <c r="BG1595" i="57"/>
  <c r="BG1596" i="57"/>
  <c r="BG1597" i="57"/>
  <c r="BG1598" i="57"/>
  <c r="BG1599" i="57"/>
  <c r="BG1600" i="57"/>
  <c r="BG1601" i="57"/>
  <c r="BG1602" i="57"/>
  <c r="BG1603" i="57"/>
  <c r="BG1604" i="57"/>
  <c r="BG1605" i="57"/>
  <c r="BG1606" i="57"/>
  <c r="BG1607" i="57"/>
  <c r="BG1608" i="57"/>
  <c r="BG1609" i="57"/>
  <c r="BG1610" i="57"/>
  <c r="BG1611" i="57"/>
  <c r="BG1612" i="57"/>
  <c r="BG1613" i="57"/>
  <c r="BG1614" i="57"/>
  <c r="BG1615" i="57"/>
  <c r="BG1616" i="57"/>
  <c r="BG1617" i="57"/>
  <c r="BG1618" i="57"/>
  <c r="BG1619" i="57"/>
  <c r="BG1620" i="57"/>
  <c r="BG1621" i="57"/>
  <c r="BG1622" i="57"/>
  <c r="BG1623" i="57"/>
  <c r="BG1624" i="57"/>
  <c r="BG1625" i="57"/>
  <c r="BG1626" i="57"/>
  <c r="BG1627" i="57"/>
  <c r="BG1628" i="57"/>
  <c r="BG1629" i="57"/>
  <c r="BG1630" i="57"/>
  <c r="BG1631" i="57"/>
  <c r="BG1632" i="57"/>
  <c r="BG1633" i="57"/>
  <c r="BG1634" i="57"/>
  <c r="BG1635" i="57"/>
  <c r="BG1636" i="57"/>
  <c r="BG1637" i="57"/>
  <c r="BG1638" i="57"/>
  <c r="BG1639" i="57"/>
  <c r="BG1640" i="57"/>
  <c r="BG1641" i="57"/>
  <c r="BG1642" i="57"/>
  <c r="BG1643" i="57"/>
  <c r="BG1644" i="57"/>
  <c r="BG1645" i="57"/>
  <c r="BG1646" i="57"/>
  <c r="BG1647" i="57"/>
  <c r="BG1648" i="57"/>
  <c r="BG1649" i="57"/>
  <c r="BG1650" i="57"/>
  <c r="BG1651" i="57"/>
  <c r="BG1652" i="57"/>
  <c r="BG1653" i="57"/>
  <c r="BG1654" i="57"/>
  <c r="BG1655" i="57"/>
  <c r="BG1656" i="57"/>
  <c r="BG1657" i="57"/>
  <c r="BG1658" i="57"/>
  <c r="BG1659" i="57"/>
  <c r="BG1660" i="57"/>
  <c r="BG1661" i="57"/>
  <c r="BG1662" i="57"/>
  <c r="BG1663" i="57"/>
  <c r="BG1664" i="57"/>
  <c r="BG1665" i="57"/>
  <c r="BG1666" i="57"/>
  <c r="BG1667" i="57"/>
  <c r="BG1668" i="57"/>
  <c r="BG1669" i="57"/>
  <c r="BG1670" i="57"/>
  <c r="BG1671" i="57"/>
  <c r="BG1672" i="57"/>
  <c r="BG1673" i="57"/>
  <c r="BG1674" i="57"/>
  <c r="BG1675" i="57"/>
  <c r="BG1676" i="57"/>
  <c r="BG1677" i="57"/>
  <c r="BG1678" i="57"/>
  <c r="BG1679" i="57"/>
  <c r="BG1680" i="57"/>
  <c r="BG1681" i="57"/>
  <c r="BG1682" i="57"/>
  <c r="BG1683" i="57"/>
  <c r="BG1684" i="57"/>
  <c r="BG1685" i="57"/>
  <c r="BG1686" i="57"/>
  <c r="BG1687" i="57"/>
  <c r="BG1688" i="57"/>
  <c r="BG1689" i="57"/>
  <c r="BG1690" i="57"/>
  <c r="BG1691" i="57"/>
  <c r="BG1692" i="57"/>
  <c r="BG1693" i="57"/>
  <c r="BG1694" i="57"/>
  <c r="BG1695" i="57"/>
  <c r="BG1696" i="57"/>
  <c r="BG1697" i="57"/>
  <c r="BG1698" i="57"/>
  <c r="BG1699" i="57"/>
  <c r="BG1700" i="57"/>
  <c r="BG1701" i="57"/>
  <c r="BG1702" i="57"/>
  <c r="BG1703" i="57"/>
  <c r="BG1704" i="57"/>
  <c r="BG1705" i="57"/>
  <c r="BG1706" i="57"/>
  <c r="BG1707" i="57"/>
  <c r="BG1708" i="57"/>
  <c r="BG1709" i="57"/>
  <c r="BG1710" i="57"/>
  <c r="BG1711" i="57"/>
  <c r="BG1712" i="57"/>
  <c r="BG1713" i="57"/>
  <c r="BG1714" i="57"/>
  <c r="BG1715" i="57"/>
  <c r="BG1716" i="57"/>
  <c r="BG1717" i="57"/>
  <c r="BG1718" i="57"/>
  <c r="BG1719" i="57"/>
  <c r="BG1720" i="57"/>
  <c r="BG1721" i="57"/>
  <c r="BG1722" i="57"/>
  <c r="BG1723" i="57"/>
  <c r="BG1724" i="57"/>
  <c r="BG1725" i="57"/>
  <c r="BG1726" i="57"/>
  <c r="BG1727" i="57"/>
  <c r="BG1728" i="57"/>
  <c r="BG1729" i="57"/>
  <c r="BG1730" i="57"/>
  <c r="BG1731" i="57"/>
  <c r="BG1732" i="57"/>
  <c r="BG1733" i="57"/>
  <c r="BG1734" i="57"/>
  <c r="BG1735" i="57"/>
  <c r="BG1736" i="57"/>
  <c r="BG1737" i="57"/>
  <c r="BG1738" i="57"/>
  <c r="BG1739" i="57"/>
  <c r="BG1740" i="57"/>
  <c r="BG1741" i="57"/>
  <c r="BG1742" i="57"/>
  <c r="BG1743" i="57"/>
  <c r="BG1744" i="57"/>
  <c r="BG1745" i="57"/>
  <c r="BG1746" i="57"/>
  <c r="BG1747" i="57"/>
  <c r="BG1748" i="57"/>
  <c r="BG1749" i="57"/>
  <c r="BG1750" i="57"/>
  <c r="BG1751" i="57"/>
  <c r="BG1752" i="57"/>
  <c r="BG1753" i="57"/>
  <c r="BG1754" i="57"/>
  <c r="BG1755" i="57"/>
  <c r="BG1756" i="57"/>
  <c r="BH1759" i="57" s="1"/>
  <c r="BG1757" i="57"/>
  <c r="BG1758" i="57"/>
  <c r="BG1759" i="57"/>
  <c r="BG1760" i="57"/>
  <c r="BG1761" i="57"/>
  <c r="BG1762" i="57"/>
  <c r="BG1763" i="57"/>
  <c r="BG1764" i="57"/>
  <c r="BH1765" i="57" s="1"/>
  <c r="BG1765" i="57"/>
  <c r="BG1766" i="57"/>
  <c r="BG1767" i="57"/>
  <c r="BG1768" i="57"/>
  <c r="BG1769" i="57"/>
  <c r="BG1770" i="57"/>
  <c r="BG1771" i="57"/>
  <c r="BG1772" i="57"/>
  <c r="BG1773" i="57"/>
  <c r="BG1774" i="57"/>
  <c r="BG1775" i="57"/>
  <c r="BG1776" i="57"/>
  <c r="BH1777" i="57" s="1"/>
  <c r="BG1777" i="57"/>
  <c r="BG1778" i="57"/>
  <c r="BG1779" i="57"/>
  <c r="BG1780" i="57"/>
  <c r="BG1781" i="57"/>
  <c r="BG1782" i="57"/>
  <c r="BG1783" i="57"/>
  <c r="BG1784" i="57"/>
  <c r="BH1793" i="57" s="1"/>
  <c r="BG1785" i="57"/>
  <c r="BG1786" i="57"/>
  <c r="BG1787" i="57"/>
  <c r="BG1788" i="57"/>
  <c r="BG1789" i="57"/>
  <c r="BG1790" i="57"/>
  <c r="BG1791" i="57"/>
  <c r="BG1792" i="57"/>
  <c r="BG1793" i="57"/>
  <c r="BG1794" i="57"/>
  <c r="BG1795" i="57"/>
  <c r="BG1796" i="57"/>
  <c r="BH1798" i="57" s="1"/>
  <c r="BG1797" i="57"/>
  <c r="BG1798" i="57"/>
  <c r="BG1799" i="57"/>
  <c r="BG1800" i="57"/>
  <c r="BG4" i="57"/>
  <c r="BD5" i="57"/>
  <c r="BD6" i="57"/>
  <c r="BD7" i="57"/>
  <c r="BD8" i="57"/>
  <c r="BD9" i="57"/>
  <c r="BD10" i="57"/>
  <c r="BD11" i="57"/>
  <c r="BD12" i="57"/>
  <c r="BD13" i="57"/>
  <c r="BD14" i="57"/>
  <c r="BD15" i="57"/>
  <c r="BD16" i="57"/>
  <c r="BD17" i="57"/>
  <c r="BD18" i="57"/>
  <c r="BD19" i="57"/>
  <c r="BD20" i="57"/>
  <c r="BD21" i="57"/>
  <c r="BD22" i="57"/>
  <c r="BD23" i="57"/>
  <c r="BD24" i="57"/>
  <c r="BD25" i="57"/>
  <c r="BD26" i="57"/>
  <c r="BD27" i="57"/>
  <c r="BD28" i="57"/>
  <c r="BD29" i="57"/>
  <c r="BD30" i="57"/>
  <c r="BD31" i="57"/>
  <c r="BD32" i="57"/>
  <c r="BD33" i="57"/>
  <c r="BD34" i="57"/>
  <c r="BD35" i="57"/>
  <c r="BD36" i="57"/>
  <c r="BD37" i="57"/>
  <c r="BD38" i="57"/>
  <c r="BD39" i="57"/>
  <c r="BD40" i="57"/>
  <c r="BD41" i="57"/>
  <c r="BD42" i="57"/>
  <c r="BD43" i="57"/>
  <c r="BD44" i="57"/>
  <c r="BD45" i="57"/>
  <c r="BD46" i="57"/>
  <c r="BD47" i="57"/>
  <c r="BD48" i="57"/>
  <c r="BD49" i="57"/>
  <c r="BD50" i="57"/>
  <c r="BD51" i="57"/>
  <c r="BD52" i="57"/>
  <c r="BD53" i="57"/>
  <c r="BD54" i="57"/>
  <c r="BD55" i="57"/>
  <c r="BD56" i="57"/>
  <c r="BD57" i="57"/>
  <c r="BD58" i="57"/>
  <c r="BD59" i="57"/>
  <c r="BD60" i="57"/>
  <c r="BD61" i="57"/>
  <c r="BD62" i="57"/>
  <c r="BD63" i="57"/>
  <c r="BD64" i="57"/>
  <c r="BD65" i="57"/>
  <c r="BD66" i="57"/>
  <c r="BD67" i="57"/>
  <c r="BD68" i="57"/>
  <c r="BD69" i="57"/>
  <c r="BD70" i="57"/>
  <c r="BD71" i="57"/>
  <c r="BD72" i="57"/>
  <c r="BD73" i="57"/>
  <c r="BD74" i="57"/>
  <c r="BD75" i="57"/>
  <c r="BD76" i="57"/>
  <c r="BD77" i="57"/>
  <c r="BD78" i="57"/>
  <c r="BD79" i="57"/>
  <c r="BD80" i="57"/>
  <c r="BD81" i="57"/>
  <c r="BD82" i="57"/>
  <c r="BD83" i="57"/>
  <c r="BD84" i="57"/>
  <c r="BD85" i="57"/>
  <c r="BD86" i="57"/>
  <c r="BD87" i="57"/>
  <c r="BD88" i="57"/>
  <c r="BD89" i="57"/>
  <c r="BD90" i="57"/>
  <c r="BD91" i="57"/>
  <c r="BD92" i="57"/>
  <c r="BD93" i="57"/>
  <c r="BD94" i="57"/>
  <c r="BD95" i="57"/>
  <c r="BD96" i="57"/>
  <c r="BD97" i="57"/>
  <c r="BD98" i="57"/>
  <c r="BD99" i="57"/>
  <c r="BD100" i="57"/>
  <c r="BD101" i="57"/>
  <c r="BD102" i="57"/>
  <c r="BD103" i="57"/>
  <c r="BD104" i="57"/>
  <c r="BD105" i="57"/>
  <c r="BD106" i="57"/>
  <c r="BD107" i="57"/>
  <c r="BD108" i="57"/>
  <c r="BD109" i="57"/>
  <c r="BD110" i="57"/>
  <c r="BD111" i="57"/>
  <c r="BD112" i="57"/>
  <c r="BD113" i="57"/>
  <c r="BD114" i="57"/>
  <c r="BD115" i="57"/>
  <c r="BD116" i="57"/>
  <c r="BD117" i="57"/>
  <c r="BD118" i="57"/>
  <c r="BD119" i="57"/>
  <c r="BD120" i="57"/>
  <c r="BD121" i="57"/>
  <c r="BD122" i="57"/>
  <c r="BD123" i="57"/>
  <c r="BD124" i="57"/>
  <c r="BD125" i="57"/>
  <c r="BD126" i="57"/>
  <c r="BD127" i="57"/>
  <c r="BD128" i="57"/>
  <c r="BD129" i="57"/>
  <c r="BD130" i="57"/>
  <c r="BD131" i="57"/>
  <c r="BD132" i="57"/>
  <c r="BD133" i="57"/>
  <c r="BD134" i="57"/>
  <c r="BD135" i="57"/>
  <c r="BD136" i="57"/>
  <c r="BD137" i="57"/>
  <c r="BD138" i="57"/>
  <c r="BD139" i="57"/>
  <c r="BD140" i="57"/>
  <c r="BD141" i="57"/>
  <c r="BD142" i="57"/>
  <c r="BD143" i="57"/>
  <c r="BD144" i="57"/>
  <c r="BD145" i="57"/>
  <c r="BD146" i="57"/>
  <c r="BD147" i="57"/>
  <c r="BD148" i="57"/>
  <c r="BD149" i="57"/>
  <c r="BD150" i="57"/>
  <c r="BD151" i="57"/>
  <c r="BD152" i="57"/>
  <c r="BD153" i="57"/>
  <c r="BD154" i="57"/>
  <c r="BD155" i="57"/>
  <c r="BD156" i="57"/>
  <c r="BD157" i="57"/>
  <c r="BD158" i="57"/>
  <c r="BD159" i="57"/>
  <c r="BD160" i="57"/>
  <c r="BD161" i="57"/>
  <c r="BD162" i="57"/>
  <c r="BD163" i="57"/>
  <c r="BD164" i="57"/>
  <c r="BD165" i="57"/>
  <c r="BD166" i="57"/>
  <c r="BD167" i="57"/>
  <c r="BD168" i="57"/>
  <c r="BD169" i="57"/>
  <c r="BD170" i="57"/>
  <c r="BD171" i="57"/>
  <c r="BD172" i="57"/>
  <c r="BD173" i="57"/>
  <c r="BD174" i="57"/>
  <c r="BD175" i="57"/>
  <c r="BD176" i="57"/>
  <c r="BD177" i="57"/>
  <c r="BD178" i="57"/>
  <c r="BD179" i="57"/>
  <c r="BD180" i="57"/>
  <c r="BD181" i="57"/>
  <c r="BD182" i="57"/>
  <c r="BD183" i="57"/>
  <c r="BD184" i="57"/>
  <c r="BD185" i="57"/>
  <c r="BD186" i="57"/>
  <c r="BD187" i="57"/>
  <c r="BD188" i="57"/>
  <c r="BD189" i="57"/>
  <c r="BD190" i="57"/>
  <c r="BD191" i="57"/>
  <c r="BD192" i="57"/>
  <c r="BD193" i="57"/>
  <c r="BD194" i="57"/>
  <c r="BD195" i="57"/>
  <c r="BD196" i="57"/>
  <c r="BD197" i="57"/>
  <c r="BD198" i="57"/>
  <c r="BD199" i="57"/>
  <c r="BD200" i="57"/>
  <c r="BD201" i="57"/>
  <c r="BD202" i="57"/>
  <c r="BD203" i="57"/>
  <c r="BD204" i="57"/>
  <c r="BD205" i="57"/>
  <c r="BD206" i="57"/>
  <c r="BD207" i="57"/>
  <c r="BD208" i="57"/>
  <c r="BD209" i="57"/>
  <c r="BD210" i="57"/>
  <c r="BD211" i="57"/>
  <c r="BD212" i="57"/>
  <c r="BD213" i="57"/>
  <c r="BD214" i="57"/>
  <c r="BD215" i="57"/>
  <c r="BD216" i="57"/>
  <c r="BD217" i="57"/>
  <c r="BD218" i="57"/>
  <c r="BD219" i="57"/>
  <c r="BD220" i="57"/>
  <c r="BD221" i="57"/>
  <c r="BD222" i="57"/>
  <c r="BD223" i="57"/>
  <c r="BD224" i="57"/>
  <c r="BD225" i="57"/>
  <c r="BD226" i="57"/>
  <c r="BD227" i="57"/>
  <c r="BD228" i="57"/>
  <c r="BD229" i="57"/>
  <c r="BD230" i="57"/>
  <c r="BD231" i="57"/>
  <c r="BD232" i="57"/>
  <c r="BD233" i="57"/>
  <c r="BD234" i="57"/>
  <c r="BD235" i="57"/>
  <c r="BD236" i="57"/>
  <c r="BD237" i="57"/>
  <c r="BD238" i="57"/>
  <c r="BD239" i="57"/>
  <c r="BD240" i="57"/>
  <c r="BD241" i="57"/>
  <c r="BD242" i="57"/>
  <c r="BD243" i="57"/>
  <c r="BD244" i="57"/>
  <c r="BD245" i="57"/>
  <c r="BD246" i="57"/>
  <c r="BD247" i="57"/>
  <c r="BD248" i="57"/>
  <c r="BD249" i="57"/>
  <c r="BD250" i="57"/>
  <c r="BD251" i="57"/>
  <c r="BD252" i="57"/>
  <c r="BD253" i="57"/>
  <c r="BD254" i="57"/>
  <c r="BD255" i="57"/>
  <c r="BD256" i="57"/>
  <c r="BD257" i="57"/>
  <c r="BD258" i="57"/>
  <c r="BD259" i="57"/>
  <c r="BD260" i="57"/>
  <c r="BD261" i="57"/>
  <c r="BD262" i="57"/>
  <c r="BD263" i="57"/>
  <c r="BD264" i="57"/>
  <c r="BD265" i="57"/>
  <c r="BD266" i="57"/>
  <c r="BD267" i="57"/>
  <c r="BD268" i="57"/>
  <c r="BD269" i="57"/>
  <c r="BD270" i="57"/>
  <c r="BD271" i="57"/>
  <c r="BD272" i="57"/>
  <c r="BD273" i="57"/>
  <c r="BD274" i="57"/>
  <c r="BD275" i="57"/>
  <c r="BD276" i="57"/>
  <c r="BD277" i="57"/>
  <c r="BD278" i="57"/>
  <c r="BD279" i="57"/>
  <c r="BD280" i="57"/>
  <c r="BD281" i="57"/>
  <c r="BD282" i="57"/>
  <c r="BD283" i="57"/>
  <c r="BD284" i="57"/>
  <c r="BD285" i="57"/>
  <c r="BD286" i="57"/>
  <c r="BD287" i="57"/>
  <c r="BD288" i="57"/>
  <c r="BD289" i="57"/>
  <c r="BD290" i="57"/>
  <c r="BD291" i="57"/>
  <c r="BD292" i="57"/>
  <c r="BD293" i="57"/>
  <c r="BD294" i="57"/>
  <c r="BD295" i="57"/>
  <c r="BD296" i="57"/>
  <c r="BD297" i="57"/>
  <c r="BD298" i="57"/>
  <c r="BD299" i="57"/>
  <c r="BD300" i="57"/>
  <c r="BD301" i="57"/>
  <c r="BD302" i="57"/>
  <c r="BD303" i="57"/>
  <c r="BD304" i="57"/>
  <c r="BD305" i="57"/>
  <c r="BD306" i="57"/>
  <c r="BD307" i="57"/>
  <c r="BD308" i="57"/>
  <c r="BD309" i="57"/>
  <c r="BD310" i="57"/>
  <c r="BD311" i="57"/>
  <c r="BD312" i="57"/>
  <c r="BD313" i="57"/>
  <c r="BD314" i="57"/>
  <c r="BD315" i="57"/>
  <c r="BD316" i="57"/>
  <c r="BD317" i="57"/>
  <c r="BD318" i="57"/>
  <c r="BD319" i="57"/>
  <c r="BD320" i="57"/>
  <c r="BD321" i="57"/>
  <c r="BD322" i="57"/>
  <c r="BD323" i="57"/>
  <c r="BD324" i="57"/>
  <c r="BD325" i="57"/>
  <c r="BD326" i="57"/>
  <c r="BD327" i="57"/>
  <c r="BD328" i="57"/>
  <c r="BD329" i="57"/>
  <c r="BD330" i="57"/>
  <c r="BD331" i="57"/>
  <c r="BD332" i="57"/>
  <c r="BD333" i="57"/>
  <c r="BD334" i="57"/>
  <c r="BD335" i="57"/>
  <c r="BD336" i="57"/>
  <c r="BD337" i="57"/>
  <c r="BD338" i="57"/>
  <c r="BD339" i="57"/>
  <c r="BD340" i="57"/>
  <c r="BD341" i="57"/>
  <c r="BD342" i="57"/>
  <c r="BD343" i="57"/>
  <c r="BD344" i="57"/>
  <c r="BD345" i="57"/>
  <c r="BD346" i="57"/>
  <c r="BD347" i="57"/>
  <c r="BD348" i="57"/>
  <c r="BD349" i="57"/>
  <c r="BD350" i="57"/>
  <c r="BD351" i="57"/>
  <c r="BD352" i="57"/>
  <c r="BD353" i="57"/>
  <c r="BD354" i="57"/>
  <c r="BD355" i="57"/>
  <c r="BD356" i="57"/>
  <c r="BD357" i="57"/>
  <c r="BD358" i="57"/>
  <c r="BD359" i="57"/>
  <c r="BD360" i="57"/>
  <c r="BD361" i="57"/>
  <c r="BD362" i="57"/>
  <c r="BD363" i="57"/>
  <c r="BD364" i="57"/>
  <c r="BD365" i="57"/>
  <c r="BD366" i="57"/>
  <c r="BD367" i="57"/>
  <c r="BD368" i="57"/>
  <c r="BD369" i="57"/>
  <c r="BD370" i="57"/>
  <c r="BD371" i="57"/>
  <c r="BD372" i="57"/>
  <c r="BD373" i="57"/>
  <c r="BD374" i="57"/>
  <c r="BD375" i="57"/>
  <c r="BD376" i="57"/>
  <c r="BD377" i="57"/>
  <c r="BD378" i="57"/>
  <c r="BD379" i="57"/>
  <c r="BD380" i="57"/>
  <c r="BD381" i="57"/>
  <c r="BD382" i="57"/>
  <c r="BD383" i="57"/>
  <c r="BD384" i="57"/>
  <c r="BD385" i="57"/>
  <c r="BD386" i="57"/>
  <c r="BD387" i="57"/>
  <c r="BD388" i="57"/>
  <c r="BD389" i="57"/>
  <c r="BD390" i="57"/>
  <c r="BD391" i="57"/>
  <c r="BD392" i="57"/>
  <c r="BD393" i="57"/>
  <c r="BD394" i="57"/>
  <c r="BD395" i="57"/>
  <c r="BD396" i="57"/>
  <c r="BD397" i="57"/>
  <c r="BD398" i="57"/>
  <c r="BD399" i="57"/>
  <c r="BD400" i="57"/>
  <c r="BD401" i="57"/>
  <c r="BD402" i="57"/>
  <c r="BD403" i="57"/>
  <c r="BD404" i="57"/>
  <c r="BD405" i="57"/>
  <c r="BD406" i="57"/>
  <c r="BD407" i="57"/>
  <c r="BD408" i="57"/>
  <c r="BD409" i="57"/>
  <c r="BD410" i="57"/>
  <c r="BD411" i="57"/>
  <c r="BD412" i="57"/>
  <c r="BD413" i="57"/>
  <c r="BD414" i="57"/>
  <c r="BD415" i="57"/>
  <c r="BD416" i="57"/>
  <c r="BD417" i="57"/>
  <c r="BD418" i="57"/>
  <c r="BD419" i="57"/>
  <c r="BD420" i="57"/>
  <c r="BD421" i="57"/>
  <c r="BD422" i="57"/>
  <c r="BD423" i="57"/>
  <c r="BD424" i="57"/>
  <c r="BD425" i="57"/>
  <c r="BD426" i="57"/>
  <c r="BD427" i="57"/>
  <c r="BD428" i="57"/>
  <c r="BD429" i="57"/>
  <c r="BD430" i="57"/>
  <c r="BD431" i="57"/>
  <c r="BD432" i="57"/>
  <c r="BD433" i="57"/>
  <c r="BD434" i="57"/>
  <c r="BD435" i="57"/>
  <c r="BD436" i="57"/>
  <c r="BD437" i="57"/>
  <c r="BD438" i="57"/>
  <c r="BD439" i="57"/>
  <c r="BD440" i="57"/>
  <c r="BD441" i="57"/>
  <c r="BD442" i="57"/>
  <c r="BD443" i="57"/>
  <c r="BD444" i="57"/>
  <c r="BD445" i="57"/>
  <c r="BD446" i="57"/>
  <c r="BD447" i="57"/>
  <c r="BD448" i="57"/>
  <c r="BD449" i="57"/>
  <c r="BD450" i="57"/>
  <c r="BD451" i="57"/>
  <c r="BD452" i="57"/>
  <c r="BD453" i="57"/>
  <c r="BD454" i="57"/>
  <c r="BD455" i="57"/>
  <c r="BD456" i="57"/>
  <c r="BD457" i="57"/>
  <c r="BD458" i="57"/>
  <c r="BD459" i="57"/>
  <c r="BD460" i="57"/>
  <c r="BD461" i="57"/>
  <c r="BD462" i="57"/>
  <c r="BD463" i="57"/>
  <c r="BD464" i="57"/>
  <c r="BD465" i="57"/>
  <c r="BD466" i="57"/>
  <c r="BD467" i="57"/>
  <c r="BD468" i="57"/>
  <c r="BD469" i="57"/>
  <c r="BD470" i="57"/>
  <c r="BD471" i="57"/>
  <c r="BD472" i="57"/>
  <c r="BD473" i="57"/>
  <c r="BD474" i="57"/>
  <c r="BD475" i="57"/>
  <c r="BD476" i="57"/>
  <c r="BD477" i="57"/>
  <c r="BD478" i="57"/>
  <c r="BD479" i="57"/>
  <c r="BD480" i="57"/>
  <c r="BD481" i="57"/>
  <c r="BD482" i="57"/>
  <c r="BD483" i="57"/>
  <c r="BD484" i="57"/>
  <c r="BD485" i="57"/>
  <c r="BD486" i="57"/>
  <c r="BD487" i="57"/>
  <c r="BD488" i="57"/>
  <c r="BD489" i="57"/>
  <c r="BD490" i="57"/>
  <c r="BD491" i="57"/>
  <c r="BD492" i="57"/>
  <c r="BD493" i="57"/>
  <c r="BD494" i="57"/>
  <c r="BD495" i="57"/>
  <c r="BD496" i="57"/>
  <c r="BD497" i="57"/>
  <c r="BD498" i="57"/>
  <c r="BD499" i="57"/>
  <c r="BD500" i="57"/>
  <c r="BD501" i="57"/>
  <c r="BD502" i="57"/>
  <c r="BD503" i="57"/>
  <c r="BD504" i="57"/>
  <c r="BD505" i="57"/>
  <c r="BD506" i="57"/>
  <c r="BD507" i="57"/>
  <c r="BD508" i="57"/>
  <c r="BD509" i="57"/>
  <c r="BD510" i="57"/>
  <c r="BD511" i="57"/>
  <c r="BD512" i="57"/>
  <c r="BD513" i="57"/>
  <c r="BD514" i="57"/>
  <c r="BD515" i="57"/>
  <c r="BD516" i="57"/>
  <c r="BD517" i="57"/>
  <c r="BD518" i="57"/>
  <c r="BD519" i="57"/>
  <c r="BD520" i="57"/>
  <c r="BD521" i="57"/>
  <c r="BD522" i="57"/>
  <c r="BD523" i="57"/>
  <c r="BD524" i="57"/>
  <c r="BD525" i="57"/>
  <c r="BD526" i="57"/>
  <c r="BD527" i="57"/>
  <c r="BD528" i="57"/>
  <c r="BD529" i="57"/>
  <c r="BD530" i="57"/>
  <c r="BD531" i="57"/>
  <c r="BD532" i="57"/>
  <c r="BD533" i="57"/>
  <c r="BD534" i="57"/>
  <c r="BD535" i="57"/>
  <c r="BD536" i="57"/>
  <c r="BD537" i="57"/>
  <c r="BD538" i="57"/>
  <c r="BD539" i="57"/>
  <c r="BD540" i="57"/>
  <c r="BD541" i="57"/>
  <c r="BD542" i="57"/>
  <c r="BD543" i="57"/>
  <c r="BD544" i="57"/>
  <c r="BD545" i="57"/>
  <c r="BD546" i="57"/>
  <c r="BD547" i="57"/>
  <c r="BD548" i="57"/>
  <c r="BD549" i="57"/>
  <c r="BD550" i="57"/>
  <c r="BD551" i="57"/>
  <c r="BD552" i="57"/>
  <c r="BD553" i="57"/>
  <c r="BD554" i="57"/>
  <c r="BD555" i="57"/>
  <c r="BD556" i="57"/>
  <c r="BD557" i="57"/>
  <c r="BD558" i="57"/>
  <c r="BD559" i="57"/>
  <c r="BD560" i="57"/>
  <c r="BD561" i="57"/>
  <c r="BD562" i="57"/>
  <c r="BD563" i="57"/>
  <c r="BD564" i="57"/>
  <c r="BD565" i="57"/>
  <c r="BD566" i="57"/>
  <c r="BD567" i="57"/>
  <c r="BD568" i="57"/>
  <c r="BD569" i="57"/>
  <c r="BD570" i="57"/>
  <c r="BD571" i="57"/>
  <c r="BD572" i="57"/>
  <c r="BD573" i="57"/>
  <c r="BD574" i="57"/>
  <c r="BD575" i="57"/>
  <c r="BD576" i="57"/>
  <c r="BD577" i="57"/>
  <c r="BD578" i="57"/>
  <c r="BD579" i="57"/>
  <c r="BD580" i="57"/>
  <c r="BD581" i="57"/>
  <c r="BD582" i="57"/>
  <c r="BD583" i="57"/>
  <c r="BD584" i="57"/>
  <c r="BD585" i="57"/>
  <c r="BD586" i="57"/>
  <c r="BD587" i="57"/>
  <c r="BD588" i="57"/>
  <c r="BD589" i="57"/>
  <c r="BD590" i="57"/>
  <c r="BD591" i="57"/>
  <c r="BD592" i="57"/>
  <c r="BD593" i="57"/>
  <c r="BD594" i="57"/>
  <c r="BD595" i="57"/>
  <c r="BD596" i="57"/>
  <c r="BD597" i="57"/>
  <c r="BD598" i="57"/>
  <c r="BD599" i="57"/>
  <c r="BD600" i="57"/>
  <c r="BD601" i="57"/>
  <c r="BD602" i="57"/>
  <c r="BD603" i="57"/>
  <c r="BD604" i="57"/>
  <c r="BD605" i="57"/>
  <c r="BD606" i="57"/>
  <c r="BD607" i="57"/>
  <c r="BD608" i="57"/>
  <c r="BD609" i="57"/>
  <c r="BD610" i="57"/>
  <c r="BD611" i="57"/>
  <c r="BD612" i="57"/>
  <c r="BD613" i="57"/>
  <c r="BD614" i="57"/>
  <c r="BD615" i="57"/>
  <c r="BD616" i="57"/>
  <c r="BD617" i="57"/>
  <c r="BD618" i="57"/>
  <c r="BD619" i="57"/>
  <c r="BD620" i="57"/>
  <c r="BD621" i="57"/>
  <c r="BD622" i="57"/>
  <c r="BD623" i="57"/>
  <c r="BD624" i="57"/>
  <c r="BD625" i="57"/>
  <c r="BD626" i="57"/>
  <c r="BD627" i="57"/>
  <c r="BD628" i="57"/>
  <c r="BD629" i="57"/>
  <c r="BD630" i="57"/>
  <c r="BD631" i="57"/>
  <c r="BD632" i="57"/>
  <c r="BD633" i="57"/>
  <c r="BD634" i="57"/>
  <c r="BD635" i="57"/>
  <c r="BD636" i="57"/>
  <c r="BD637" i="57"/>
  <c r="BD638" i="57"/>
  <c r="BD639" i="57"/>
  <c r="BD640" i="57"/>
  <c r="BD641" i="57"/>
  <c r="BD642" i="57"/>
  <c r="BD643" i="57"/>
  <c r="BD644" i="57"/>
  <c r="BD645" i="57"/>
  <c r="BD646" i="57"/>
  <c r="BD647" i="57"/>
  <c r="BD648" i="57"/>
  <c r="BD649" i="57"/>
  <c r="BD650" i="57"/>
  <c r="BD651" i="57"/>
  <c r="BD652" i="57"/>
  <c r="BD653" i="57"/>
  <c r="BD654" i="57"/>
  <c r="BD655" i="57"/>
  <c r="BD656" i="57"/>
  <c r="BD657" i="57"/>
  <c r="BD658" i="57"/>
  <c r="BD659" i="57"/>
  <c r="BD660" i="57"/>
  <c r="BD661" i="57"/>
  <c r="BD662" i="57"/>
  <c r="BD663" i="57"/>
  <c r="BD664" i="57"/>
  <c r="BD665" i="57"/>
  <c r="BD666" i="57"/>
  <c r="BD667" i="57"/>
  <c r="BD668" i="57"/>
  <c r="BD669" i="57"/>
  <c r="BD670" i="57"/>
  <c r="BD671" i="57"/>
  <c r="BD672" i="57"/>
  <c r="BD673" i="57"/>
  <c r="BD674" i="57"/>
  <c r="BD675" i="57"/>
  <c r="BD676" i="57"/>
  <c r="BD677" i="57"/>
  <c r="BD678" i="57"/>
  <c r="BD679" i="57"/>
  <c r="BD680" i="57"/>
  <c r="BD681" i="57"/>
  <c r="BD682" i="57"/>
  <c r="BD683" i="57"/>
  <c r="BD684" i="57"/>
  <c r="BD685" i="57"/>
  <c r="BD686" i="57"/>
  <c r="BD687" i="57"/>
  <c r="BD688" i="57"/>
  <c r="BD689" i="57"/>
  <c r="BD690" i="57"/>
  <c r="BD691" i="57"/>
  <c r="BD692" i="57"/>
  <c r="BD693" i="57"/>
  <c r="BD694" i="57"/>
  <c r="BD695" i="57"/>
  <c r="BD696" i="57"/>
  <c r="BD697" i="57"/>
  <c r="BD698" i="57"/>
  <c r="BD699" i="57"/>
  <c r="BD700" i="57"/>
  <c r="BD701" i="57"/>
  <c r="BD702" i="57"/>
  <c r="BD703" i="57"/>
  <c r="BD704" i="57"/>
  <c r="BD705" i="57"/>
  <c r="BD706" i="57"/>
  <c r="BD707" i="57"/>
  <c r="BD708" i="57"/>
  <c r="BD709" i="57"/>
  <c r="BD710" i="57"/>
  <c r="BD711" i="57"/>
  <c r="BD712" i="57"/>
  <c r="BD713" i="57"/>
  <c r="BD714" i="57"/>
  <c r="BD715" i="57"/>
  <c r="BD716" i="57"/>
  <c r="BD717" i="57"/>
  <c r="BD718" i="57"/>
  <c r="BD719" i="57"/>
  <c r="BD720" i="57"/>
  <c r="BD721" i="57"/>
  <c r="BD722" i="57"/>
  <c r="BD723" i="57"/>
  <c r="BD724" i="57"/>
  <c r="BD725" i="57"/>
  <c r="BD726" i="57"/>
  <c r="BD727" i="57"/>
  <c r="BD728" i="57"/>
  <c r="BD729" i="57"/>
  <c r="BD730" i="57"/>
  <c r="BD731" i="57"/>
  <c r="BD732" i="57"/>
  <c r="BD733" i="57"/>
  <c r="BD734" i="57"/>
  <c r="BD735" i="57"/>
  <c r="BD736" i="57"/>
  <c r="BD737" i="57"/>
  <c r="BD738" i="57"/>
  <c r="BD739" i="57"/>
  <c r="BD740" i="57"/>
  <c r="BD741" i="57"/>
  <c r="BD742" i="57"/>
  <c r="BD743" i="57"/>
  <c r="BD744" i="57"/>
  <c r="BD745" i="57"/>
  <c r="BD746" i="57"/>
  <c r="BD747" i="57"/>
  <c r="BD748" i="57"/>
  <c r="BD749" i="57"/>
  <c r="BD750" i="57"/>
  <c r="BD751" i="57"/>
  <c r="BD752" i="57"/>
  <c r="BD753" i="57"/>
  <c r="BD754" i="57"/>
  <c r="BD755" i="57"/>
  <c r="BD756" i="57"/>
  <c r="BD757" i="57"/>
  <c r="BD758" i="57"/>
  <c r="BD759" i="57"/>
  <c r="BD760" i="57"/>
  <c r="BD761" i="57"/>
  <c r="BD762" i="57"/>
  <c r="BD763" i="57"/>
  <c r="BD764" i="57"/>
  <c r="BD765" i="57"/>
  <c r="BD766" i="57"/>
  <c r="BD767" i="57"/>
  <c r="BD768" i="57"/>
  <c r="BD769" i="57"/>
  <c r="BD770" i="57"/>
  <c r="BD771" i="57"/>
  <c r="BD772" i="57"/>
  <c r="BD773" i="57"/>
  <c r="BD774" i="57"/>
  <c r="BD775" i="57"/>
  <c r="BD776" i="57"/>
  <c r="BD777" i="57"/>
  <c r="BD778" i="57"/>
  <c r="BD779" i="57"/>
  <c r="BD780" i="57"/>
  <c r="BD781" i="57"/>
  <c r="BD782" i="57"/>
  <c r="BD783" i="57"/>
  <c r="BD784" i="57"/>
  <c r="BD785" i="57"/>
  <c r="BD786" i="57"/>
  <c r="BD787" i="57"/>
  <c r="BD788" i="57"/>
  <c r="BD789" i="57"/>
  <c r="BD790" i="57"/>
  <c r="BD791" i="57"/>
  <c r="BD792" i="57"/>
  <c r="BD793" i="57"/>
  <c r="BD794" i="57"/>
  <c r="BD795" i="57"/>
  <c r="BD796" i="57"/>
  <c r="BD797" i="57"/>
  <c r="BD798" i="57"/>
  <c r="BD799" i="57"/>
  <c r="BD800" i="57"/>
  <c r="BD801" i="57"/>
  <c r="BD802" i="57"/>
  <c r="BD803" i="57"/>
  <c r="BD804" i="57"/>
  <c r="BD805" i="57"/>
  <c r="BD806" i="57"/>
  <c r="BD807" i="57"/>
  <c r="BD808" i="57"/>
  <c r="BD809" i="57"/>
  <c r="BD810" i="57"/>
  <c r="BD811" i="57"/>
  <c r="BD812" i="57"/>
  <c r="BD813" i="57"/>
  <c r="BD814" i="57"/>
  <c r="BD815" i="57"/>
  <c r="BD816" i="57"/>
  <c r="BD817" i="57"/>
  <c r="BD818" i="57"/>
  <c r="BD819" i="57"/>
  <c r="BD820" i="57"/>
  <c r="BD821" i="57"/>
  <c r="BD822" i="57"/>
  <c r="BD823" i="57"/>
  <c r="BD824" i="57"/>
  <c r="BD825" i="57"/>
  <c r="BD826" i="57"/>
  <c r="BD827" i="57"/>
  <c r="BD828" i="57"/>
  <c r="BD829" i="57"/>
  <c r="BD830" i="57"/>
  <c r="BD831" i="57"/>
  <c r="BD832" i="57"/>
  <c r="BD833" i="57"/>
  <c r="BD834" i="57"/>
  <c r="BD835" i="57"/>
  <c r="BD836" i="57"/>
  <c r="BD837" i="57"/>
  <c r="BD838" i="57"/>
  <c r="BD839" i="57"/>
  <c r="BD840" i="57"/>
  <c r="BD841" i="57"/>
  <c r="BD842" i="57"/>
  <c r="BD843" i="57"/>
  <c r="BD844" i="57"/>
  <c r="BD845" i="57"/>
  <c r="BD846" i="57"/>
  <c r="BD847" i="57"/>
  <c r="BD848" i="57"/>
  <c r="BD849" i="57"/>
  <c r="BD850" i="57"/>
  <c r="BD851" i="57"/>
  <c r="BD852" i="57"/>
  <c r="BD853" i="57"/>
  <c r="BD854" i="57"/>
  <c r="BD855" i="57"/>
  <c r="BD856" i="57"/>
  <c r="BD857" i="57"/>
  <c r="BD858" i="57"/>
  <c r="BD859" i="57"/>
  <c r="BD860" i="57"/>
  <c r="BD861" i="57"/>
  <c r="BD862" i="57"/>
  <c r="BD863" i="57"/>
  <c r="BD864" i="57"/>
  <c r="BD865" i="57"/>
  <c r="BD866" i="57"/>
  <c r="BD867" i="57"/>
  <c r="BD868" i="57"/>
  <c r="BD869" i="57"/>
  <c r="BD870" i="57"/>
  <c r="BD871" i="57"/>
  <c r="BD872" i="57"/>
  <c r="BD873" i="57"/>
  <c r="BD874" i="57"/>
  <c r="BD875" i="57"/>
  <c r="BD876" i="57"/>
  <c r="BD877" i="57"/>
  <c r="BD878" i="57"/>
  <c r="BD879" i="57"/>
  <c r="BD880" i="57"/>
  <c r="BD881" i="57"/>
  <c r="BD882" i="57"/>
  <c r="BD883" i="57"/>
  <c r="BD884" i="57"/>
  <c r="BD885" i="57"/>
  <c r="BD886" i="57"/>
  <c r="BD887" i="57"/>
  <c r="BD888" i="57"/>
  <c r="BD889" i="57"/>
  <c r="BD890" i="57"/>
  <c r="BD891" i="57"/>
  <c r="BD892" i="57"/>
  <c r="BD893" i="57"/>
  <c r="BD894" i="57"/>
  <c r="BD895" i="57"/>
  <c r="BD896" i="57"/>
  <c r="BD897" i="57"/>
  <c r="BD898" i="57"/>
  <c r="BD899" i="57"/>
  <c r="BD900" i="57"/>
  <c r="BD901" i="57"/>
  <c r="BD902" i="57"/>
  <c r="BD903" i="57"/>
  <c r="BD904" i="57"/>
  <c r="BD905" i="57"/>
  <c r="BD906" i="57"/>
  <c r="BD907" i="57"/>
  <c r="BD908" i="57"/>
  <c r="BD909" i="57"/>
  <c r="BD910" i="57"/>
  <c r="BD911" i="57"/>
  <c r="BD912" i="57"/>
  <c r="BD913" i="57"/>
  <c r="BD914" i="57"/>
  <c r="BD915" i="57"/>
  <c r="BD916" i="57"/>
  <c r="BD917" i="57"/>
  <c r="BD918" i="57"/>
  <c r="BD919" i="57"/>
  <c r="BD920" i="57"/>
  <c r="BD921" i="57"/>
  <c r="BD922" i="57"/>
  <c r="BD923" i="57"/>
  <c r="BD924" i="57"/>
  <c r="BD925" i="57"/>
  <c r="BD926" i="57"/>
  <c r="BD927" i="57"/>
  <c r="BD928" i="57"/>
  <c r="BD929" i="57"/>
  <c r="BD930" i="57"/>
  <c r="BD931" i="57"/>
  <c r="BD932" i="57"/>
  <c r="BD933" i="57"/>
  <c r="BD934" i="57"/>
  <c r="BD935" i="57"/>
  <c r="BD936" i="57"/>
  <c r="BD937" i="57"/>
  <c r="BD938" i="57"/>
  <c r="BD939" i="57"/>
  <c r="BD940" i="57"/>
  <c r="BD941" i="57"/>
  <c r="BD942" i="57"/>
  <c r="BD943" i="57"/>
  <c r="BD944" i="57"/>
  <c r="BD945" i="57"/>
  <c r="BD946" i="57"/>
  <c r="BD947" i="57"/>
  <c r="BD948" i="57"/>
  <c r="BD949" i="57"/>
  <c r="BD950" i="57"/>
  <c r="BD951" i="57"/>
  <c r="BD952" i="57"/>
  <c r="BD953" i="57"/>
  <c r="BD954" i="57"/>
  <c r="BD955" i="57"/>
  <c r="BD956" i="57"/>
  <c r="BD957" i="57"/>
  <c r="BD958" i="57"/>
  <c r="BD959" i="57"/>
  <c r="BD960" i="57"/>
  <c r="BD961" i="57"/>
  <c r="BD962" i="57"/>
  <c r="BD963" i="57"/>
  <c r="BD964" i="57"/>
  <c r="BD965" i="57"/>
  <c r="BD966" i="57"/>
  <c r="BD967" i="57"/>
  <c r="BD968" i="57"/>
  <c r="BD969" i="57"/>
  <c r="BD970" i="57"/>
  <c r="BD971" i="57"/>
  <c r="BD972" i="57"/>
  <c r="BD973" i="57"/>
  <c r="BD974" i="57"/>
  <c r="BD975" i="57"/>
  <c r="BD976" i="57"/>
  <c r="BD977" i="57"/>
  <c r="BD978" i="57"/>
  <c r="BD979" i="57"/>
  <c r="BD980" i="57"/>
  <c r="BD981" i="57"/>
  <c r="BD982" i="57"/>
  <c r="BD983" i="57"/>
  <c r="BD984" i="57"/>
  <c r="BD985" i="57"/>
  <c r="BD986" i="57"/>
  <c r="BD987" i="57"/>
  <c r="BD988" i="57"/>
  <c r="BD989" i="57"/>
  <c r="BD990" i="57"/>
  <c r="BD991" i="57"/>
  <c r="BD992" i="57"/>
  <c r="BD993" i="57"/>
  <c r="BD994" i="57"/>
  <c r="BD995" i="57"/>
  <c r="BD996" i="57"/>
  <c r="BD997" i="57"/>
  <c r="BD998" i="57"/>
  <c r="BD999" i="57"/>
  <c r="BD1000" i="57"/>
  <c r="BD1001" i="57"/>
  <c r="BD1002" i="57"/>
  <c r="BD1003" i="57"/>
  <c r="BD1004" i="57"/>
  <c r="BD1005" i="57"/>
  <c r="BD1006" i="57"/>
  <c r="BD1007" i="57"/>
  <c r="BD1008" i="57"/>
  <c r="BD1009" i="57"/>
  <c r="BD1010" i="57"/>
  <c r="BD1011" i="57"/>
  <c r="BD1012" i="57"/>
  <c r="BD1013" i="57"/>
  <c r="BD1014" i="57"/>
  <c r="BD1015" i="57"/>
  <c r="BD1016" i="57"/>
  <c r="BD1017" i="57"/>
  <c r="BD1018" i="57"/>
  <c r="BD1019" i="57"/>
  <c r="BD1020" i="57"/>
  <c r="BD1021" i="57"/>
  <c r="BD1022" i="57"/>
  <c r="BD1023" i="57"/>
  <c r="BD1024" i="57"/>
  <c r="BD1025" i="57"/>
  <c r="BD1026" i="57"/>
  <c r="BD1027" i="57"/>
  <c r="BD1028" i="57"/>
  <c r="BD1029" i="57"/>
  <c r="BD1030" i="57"/>
  <c r="BD1031" i="57"/>
  <c r="BD1032" i="57"/>
  <c r="BD1033" i="57"/>
  <c r="BD1034" i="57"/>
  <c r="BD1035" i="57"/>
  <c r="BD1036" i="57"/>
  <c r="BD1037" i="57"/>
  <c r="BD1038" i="57"/>
  <c r="BD1039" i="57"/>
  <c r="BD1040" i="57"/>
  <c r="BD1041" i="57"/>
  <c r="BD1042" i="57"/>
  <c r="BD1043" i="57"/>
  <c r="BD1044" i="57"/>
  <c r="BD1045" i="57"/>
  <c r="BD1046" i="57"/>
  <c r="BD1047" i="57"/>
  <c r="BD1048" i="57"/>
  <c r="BD1049" i="57"/>
  <c r="BD1050" i="57"/>
  <c r="BD1051" i="57"/>
  <c r="BD1052" i="57"/>
  <c r="BD1053" i="57"/>
  <c r="BD1054" i="57"/>
  <c r="BD1055" i="57"/>
  <c r="BD1056" i="57"/>
  <c r="BD1057" i="57"/>
  <c r="BD1058" i="57"/>
  <c r="BD1059" i="57"/>
  <c r="BD1060" i="57"/>
  <c r="BD1061" i="57"/>
  <c r="BD1062" i="57"/>
  <c r="BD1063" i="57"/>
  <c r="BD1064" i="57"/>
  <c r="BD1065" i="57"/>
  <c r="BD1066" i="57"/>
  <c r="BD1067" i="57"/>
  <c r="BD1068" i="57"/>
  <c r="BD1069" i="57"/>
  <c r="BD1070" i="57"/>
  <c r="BD1071" i="57"/>
  <c r="BD1072" i="57"/>
  <c r="BD1073" i="57"/>
  <c r="BD1074" i="57"/>
  <c r="BD1075" i="57"/>
  <c r="BD1076" i="57"/>
  <c r="BD1077" i="57"/>
  <c r="BD1078" i="57"/>
  <c r="BD1079" i="57"/>
  <c r="BD1080" i="57"/>
  <c r="BD1081" i="57"/>
  <c r="BD1082" i="57"/>
  <c r="BD1083" i="57"/>
  <c r="BD1084" i="57"/>
  <c r="BD1085" i="57"/>
  <c r="BD1086" i="57"/>
  <c r="BD1087" i="57"/>
  <c r="BD1088" i="57"/>
  <c r="BD1089" i="57"/>
  <c r="BD1090" i="57"/>
  <c r="BD1091" i="57"/>
  <c r="BD1092" i="57"/>
  <c r="BD1093" i="57"/>
  <c r="BD1094" i="57"/>
  <c r="BD1095" i="57"/>
  <c r="BD1096" i="57"/>
  <c r="BD1097" i="57"/>
  <c r="BD1098" i="57"/>
  <c r="BD1099" i="57"/>
  <c r="BD1100" i="57"/>
  <c r="BD1101" i="57"/>
  <c r="BD1102" i="57"/>
  <c r="BD1103" i="57"/>
  <c r="BD1104" i="57"/>
  <c r="BD1105" i="57"/>
  <c r="BD1106" i="57"/>
  <c r="BD1107" i="57"/>
  <c r="BD1108" i="57"/>
  <c r="BD1109" i="57"/>
  <c r="BD1110" i="57"/>
  <c r="BD1111" i="57"/>
  <c r="BD1112" i="57"/>
  <c r="BD1113" i="57"/>
  <c r="BD1114" i="57"/>
  <c r="BD1115" i="57"/>
  <c r="BD1116" i="57"/>
  <c r="BD1117" i="57"/>
  <c r="BD1118" i="57"/>
  <c r="BD1119" i="57"/>
  <c r="BD1120" i="57"/>
  <c r="BD1121" i="57"/>
  <c r="BD1122" i="57"/>
  <c r="BD1123" i="57"/>
  <c r="BD1124" i="57"/>
  <c r="BD1125" i="57"/>
  <c r="BD1126" i="57"/>
  <c r="BD1127" i="57"/>
  <c r="BD1128" i="57"/>
  <c r="BD1129" i="57"/>
  <c r="BD1130" i="57"/>
  <c r="BD1131" i="57"/>
  <c r="BD1132" i="57"/>
  <c r="BD1133" i="57"/>
  <c r="BD1134" i="57"/>
  <c r="BD1135" i="57"/>
  <c r="BD1136" i="57"/>
  <c r="BD1137" i="57"/>
  <c r="BD1138" i="57"/>
  <c r="BD1139" i="57"/>
  <c r="BD1140" i="57"/>
  <c r="BD1141" i="57"/>
  <c r="BD1142" i="57"/>
  <c r="BD1143" i="57"/>
  <c r="BD1144" i="57"/>
  <c r="BD1145" i="57"/>
  <c r="BD1146" i="57"/>
  <c r="BD1147" i="57"/>
  <c r="BD1148" i="57"/>
  <c r="BD1149" i="57"/>
  <c r="BD1150" i="57"/>
  <c r="BD1151" i="57"/>
  <c r="BD1152" i="57"/>
  <c r="BD1153" i="57"/>
  <c r="BD1154" i="57"/>
  <c r="BD1155" i="57"/>
  <c r="BD1156" i="57"/>
  <c r="BD1157" i="57"/>
  <c r="BD1158" i="57"/>
  <c r="BD1159" i="57"/>
  <c r="BD1160" i="57"/>
  <c r="BD1161" i="57"/>
  <c r="BD1162" i="57"/>
  <c r="BD1163" i="57"/>
  <c r="BD1164" i="57"/>
  <c r="BD1165" i="57"/>
  <c r="BD1166" i="57"/>
  <c r="BD1167" i="57"/>
  <c r="BD1168" i="57"/>
  <c r="BD1169" i="57"/>
  <c r="BD1170" i="57"/>
  <c r="BD1171" i="57"/>
  <c r="BD1172" i="57"/>
  <c r="BD1173" i="57"/>
  <c r="BD1174" i="57"/>
  <c r="BD1175" i="57"/>
  <c r="BD1176" i="57"/>
  <c r="BD1177" i="57"/>
  <c r="BD1178" i="57"/>
  <c r="BD1179" i="57"/>
  <c r="BD1180" i="57"/>
  <c r="BD1181" i="57"/>
  <c r="BD1182" i="57"/>
  <c r="BD1183" i="57"/>
  <c r="BD1184" i="57"/>
  <c r="BD1185" i="57"/>
  <c r="BD1186" i="57"/>
  <c r="BD1187" i="57"/>
  <c r="BD1188" i="57"/>
  <c r="BD1189" i="57"/>
  <c r="BD1190" i="57"/>
  <c r="BD1191" i="57"/>
  <c r="BD1192" i="57"/>
  <c r="BD1193" i="57"/>
  <c r="BD1194" i="57"/>
  <c r="BD1195" i="57"/>
  <c r="BD1196" i="57"/>
  <c r="BD1197" i="57"/>
  <c r="BD1198" i="57"/>
  <c r="BD1199" i="57"/>
  <c r="BD1200" i="57"/>
  <c r="BD1201" i="57"/>
  <c r="BD1202" i="57"/>
  <c r="BD1203" i="57"/>
  <c r="BD1204" i="57"/>
  <c r="BD1205" i="57"/>
  <c r="BD1206" i="57"/>
  <c r="BD1207" i="57"/>
  <c r="BD1208" i="57"/>
  <c r="BD1209" i="57"/>
  <c r="BD1210" i="57"/>
  <c r="BD1211" i="57"/>
  <c r="BD1212" i="57"/>
  <c r="BD1213" i="57"/>
  <c r="BD1214" i="57"/>
  <c r="BD1215" i="57"/>
  <c r="BD1216" i="57"/>
  <c r="BD1217" i="57"/>
  <c r="BD1218" i="57"/>
  <c r="BD1219" i="57"/>
  <c r="BD1220" i="57"/>
  <c r="BD1221" i="57"/>
  <c r="BD1222" i="57"/>
  <c r="BD1223" i="57"/>
  <c r="BD1224" i="57"/>
  <c r="BD1225" i="57"/>
  <c r="BD1226" i="57"/>
  <c r="BD1227" i="57"/>
  <c r="BD1228" i="57"/>
  <c r="BD1229" i="57"/>
  <c r="BD1230" i="57"/>
  <c r="BD1231" i="57"/>
  <c r="BD1232" i="57"/>
  <c r="BD1233" i="57"/>
  <c r="BD1234" i="57"/>
  <c r="BD1235" i="57"/>
  <c r="BD1236" i="57"/>
  <c r="BD1237" i="57"/>
  <c r="BD1238" i="57"/>
  <c r="BD1239" i="57"/>
  <c r="BD1240" i="57"/>
  <c r="BD1241" i="57"/>
  <c r="BD1242" i="57"/>
  <c r="BD1243" i="57"/>
  <c r="BD1244" i="57"/>
  <c r="BD1245" i="57"/>
  <c r="BD1246" i="57"/>
  <c r="BD1247" i="57"/>
  <c r="BD1248" i="57"/>
  <c r="BD1249" i="57"/>
  <c r="BD1250" i="57"/>
  <c r="BD1251" i="57"/>
  <c r="BD1252" i="57"/>
  <c r="BD1253" i="57"/>
  <c r="BD1254" i="57"/>
  <c r="BD1255" i="57"/>
  <c r="BD1256" i="57"/>
  <c r="BD1257" i="57"/>
  <c r="BD1258" i="57"/>
  <c r="BD1259" i="57"/>
  <c r="BD1260" i="57"/>
  <c r="BD1261" i="57"/>
  <c r="BD1262" i="57"/>
  <c r="BD1263" i="57"/>
  <c r="BD1264" i="57"/>
  <c r="BD1265" i="57"/>
  <c r="BD1266" i="57"/>
  <c r="BD1267" i="57"/>
  <c r="BD1268" i="57"/>
  <c r="BD1269" i="57"/>
  <c r="BD1270" i="57"/>
  <c r="BD1271" i="57"/>
  <c r="BD1272" i="57"/>
  <c r="BD1273" i="57"/>
  <c r="BD1274" i="57"/>
  <c r="BD1275" i="57"/>
  <c r="BD1276" i="57"/>
  <c r="BD1277" i="57"/>
  <c r="BD1278" i="57"/>
  <c r="BD1279" i="57"/>
  <c r="BD1280" i="57"/>
  <c r="BD1281" i="57"/>
  <c r="BD1282" i="57"/>
  <c r="BD1283" i="57"/>
  <c r="BD1284" i="57"/>
  <c r="BD1285" i="57"/>
  <c r="BD1286" i="57"/>
  <c r="BD1287" i="57"/>
  <c r="BD1288" i="57"/>
  <c r="BD1289" i="57"/>
  <c r="BD1290" i="57"/>
  <c r="BD1291" i="57"/>
  <c r="BD1292" i="57"/>
  <c r="BD1293" i="57"/>
  <c r="BD1294" i="57"/>
  <c r="BD1295" i="57"/>
  <c r="BD1296" i="57"/>
  <c r="BD1297" i="57"/>
  <c r="BD1298" i="57"/>
  <c r="BD1299" i="57"/>
  <c r="BD1300" i="57"/>
  <c r="BD1301" i="57"/>
  <c r="BD1302" i="57"/>
  <c r="BD1303" i="57"/>
  <c r="BD1304" i="57"/>
  <c r="BD1305" i="57"/>
  <c r="BD1306" i="57"/>
  <c r="BD1307" i="57"/>
  <c r="BD1308" i="57"/>
  <c r="BD1309" i="57"/>
  <c r="BD1310" i="57"/>
  <c r="BD1311" i="57"/>
  <c r="BD1312" i="57"/>
  <c r="BD1313" i="57"/>
  <c r="BD1314" i="57"/>
  <c r="BD1315" i="57"/>
  <c r="BD1316" i="57"/>
  <c r="BD1317" i="57"/>
  <c r="BD1318" i="57"/>
  <c r="BD1319" i="57"/>
  <c r="BD1320" i="57"/>
  <c r="BD1321" i="57"/>
  <c r="BD1322" i="57"/>
  <c r="BD1323" i="57"/>
  <c r="BD1324" i="57"/>
  <c r="BD1325" i="57"/>
  <c r="BD1326" i="57"/>
  <c r="BD1327" i="57"/>
  <c r="BD1328" i="57"/>
  <c r="BD1329" i="57"/>
  <c r="BD1330" i="57"/>
  <c r="BD1331" i="57"/>
  <c r="BD1332" i="57"/>
  <c r="BD1333" i="57"/>
  <c r="BD1334" i="57"/>
  <c r="BD1335" i="57"/>
  <c r="BD1336" i="57"/>
  <c r="BD1337" i="57"/>
  <c r="BD1338" i="57"/>
  <c r="BD1339" i="57"/>
  <c r="BD1340" i="57"/>
  <c r="BD1341" i="57"/>
  <c r="BD1342" i="57"/>
  <c r="BD1343" i="57"/>
  <c r="BD1344" i="57"/>
  <c r="BD1345" i="57"/>
  <c r="BD1346" i="57"/>
  <c r="BD1347" i="57"/>
  <c r="BD1348" i="57"/>
  <c r="BD1349" i="57"/>
  <c r="BD1350" i="57"/>
  <c r="BD1351" i="57"/>
  <c r="BD1352" i="57"/>
  <c r="BD1353" i="57"/>
  <c r="BD1354" i="57"/>
  <c r="BD1355" i="57"/>
  <c r="BD1356" i="57"/>
  <c r="BD1357" i="57"/>
  <c r="BD1358" i="57"/>
  <c r="BD1359" i="57"/>
  <c r="BD1360" i="57"/>
  <c r="BD1361" i="57"/>
  <c r="BD1362" i="57"/>
  <c r="BD1363" i="57"/>
  <c r="BD1364" i="57"/>
  <c r="BD1365" i="57"/>
  <c r="BD1366" i="57"/>
  <c r="BD1367" i="57"/>
  <c r="BD1368" i="57"/>
  <c r="BD1369" i="57"/>
  <c r="BD1370" i="57"/>
  <c r="BD1371" i="57"/>
  <c r="BD1372" i="57"/>
  <c r="BD1373" i="57"/>
  <c r="BD1374" i="57"/>
  <c r="BD1375" i="57"/>
  <c r="BD1376" i="57"/>
  <c r="BD1377" i="57"/>
  <c r="BD1378" i="57"/>
  <c r="BD1379" i="57"/>
  <c r="BD1380" i="57"/>
  <c r="BD1381" i="57"/>
  <c r="BD1382" i="57"/>
  <c r="BD1383" i="57"/>
  <c r="BD1384" i="57"/>
  <c r="BD1385" i="57"/>
  <c r="BD1386" i="57"/>
  <c r="BD1387" i="57"/>
  <c r="BD1388" i="57"/>
  <c r="BD1389" i="57"/>
  <c r="BD1390" i="57"/>
  <c r="BD1391" i="57"/>
  <c r="BD1392" i="57"/>
  <c r="BD1393" i="57"/>
  <c r="BD1394" i="57"/>
  <c r="BD1395" i="57"/>
  <c r="BD1396" i="57"/>
  <c r="BD1397" i="57"/>
  <c r="BD1398" i="57"/>
  <c r="BD1399" i="57"/>
  <c r="BD1400" i="57"/>
  <c r="BD1401" i="57"/>
  <c r="BD1402" i="57"/>
  <c r="BD1403" i="57"/>
  <c r="BD1404" i="57"/>
  <c r="BD1405" i="57"/>
  <c r="BD1406" i="57"/>
  <c r="BD1407" i="57"/>
  <c r="BD1408" i="57"/>
  <c r="BD1409" i="57"/>
  <c r="BD1410" i="57"/>
  <c r="BD1411" i="57"/>
  <c r="BD1412" i="57"/>
  <c r="BD1413" i="57"/>
  <c r="BD1414" i="57"/>
  <c r="BD1415" i="57"/>
  <c r="BD1416" i="57"/>
  <c r="BD1417" i="57"/>
  <c r="BD1418" i="57"/>
  <c r="BD1419" i="57"/>
  <c r="BD1420" i="57"/>
  <c r="BD1421" i="57"/>
  <c r="BD1422" i="57"/>
  <c r="BD1423" i="57"/>
  <c r="BD1424" i="57"/>
  <c r="BD1425" i="57"/>
  <c r="BD1426" i="57"/>
  <c r="BD1427" i="57"/>
  <c r="BD1428" i="57"/>
  <c r="BD1429" i="57"/>
  <c r="BD1430" i="57"/>
  <c r="BD1431" i="57"/>
  <c r="BD1432" i="57"/>
  <c r="BD1433" i="57"/>
  <c r="BD1434" i="57"/>
  <c r="BD1435" i="57"/>
  <c r="BD1436" i="57"/>
  <c r="BD1437" i="57"/>
  <c r="BD1438" i="57"/>
  <c r="BD1439" i="57"/>
  <c r="BD1440" i="57"/>
  <c r="BD1441" i="57"/>
  <c r="BD1442" i="57"/>
  <c r="BD1443" i="57"/>
  <c r="BD1444" i="57"/>
  <c r="BD1445" i="57"/>
  <c r="BD1446" i="57"/>
  <c r="BD1447" i="57"/>
  <c r="BD1448" i="57"/>
  <c r="BD1449" i="57"/>
  <c r="BD1450" i="57"/>
  <c r="BD1451" i="57"/>
  <c r="BD1452" i="57"/>
  <c r="BD1453" i="57"/>
  <c r="BD1454" i="57"/>
  <c r="BD1455" i="57"/>
  <c r="BD1456" i="57"/>
  <c r="BD1457" i="57"/>
  <c r="BD1458" i="57"/>
  <c r="BD1459" i="57"/>
  <c r="BD1460" i="57"/>
  <c r="BD1461" i="57"/>
  <c r="BD1462" i="57"/>
  <c r="BD1463" i="57"/>
  <c r="BD1464" i="57"/>
  <c r="BD1465" i="57"/>
  <c r="BD1466" i="57"/>
  <c r="BD1467" i="57"/>
  <c r="BD1468" i="57"/>
  <c r="BD1469" i="57"/>
  <c r="BD1470" i="57"/>
  <c r="BD1471" i="57"/>
  <c r="BD1472" i="57"/>
  <c r="BD1473" i="57"/>
  <c r="BD1474" i="57"/>
  <c r="BD1475" i="57"/>
  <c r="BD1476" i="57"/>
  <c r="BD1477" i="57"/>
  <c r="BD1478" i="57"/>
  <c r="BD1479" i="57"/>
  <c r="BD1480" i="57"/>
  <c r="BD1481" i="57"/>
  <c r="BD1482" i="57"/>
  <c r="BD1483" i="57"/>
  <c r="BD1484" i="57"/>
  <c r="BD1485" i="57"/>
  <c r="BD1486" i="57"/>
  <c r="BD1487" i="57"/>
  <c r="BD1488" i="57"/>
  <c r="BD1489" i="57"/>
  <c r="BD1490" i="57"/>
  <c r="BD1491" i="57"/>
  <c r="BD1492" i="57"/>
  <c r="BD1493" i="57"/>
  <c r="BD1494" i="57"/>
  <c r="BD1495" i="57"/>
  <c r="BD1496" i="57"/>
  <c r="BD1497" i="57"/>
  <c r="BD1498" i="57"/>
  <c r="BD1499" i="57"/>
  <c r="BD1500" i="57"/>
  <c r="BD1501" i="57"/>
  <c r="BD1502" i="57"/>
  <c r="BD1503" i="57"/>
  <c r="BD1504" i="57"/>
  <c r="BD1505" i="57"/>
  <c r="BD1506" i="57"/>
  <c r="BD1507" i="57"/>
  <c r="BD1508" i="57"/>
  <c r="BD1509" i="57"/>
  <c r="BD1510" i="57"/>
  <c r="BD1511" i="57"/>
  <c r="BD1512" i="57"/>
  <c r="BD1513" i="57"/>
  <c r="BD1514" i="57"/>
  <c r="BD1515" i="57"/>
  <c r="BD1516" i="57"/>
  <c r="BD1517" i="57"/>
  <c r="BD1518" i="57"/>
  <c r="BD1519" i="57"/>
  <c r="BD1520" i="57"/>
  <c r="BD1521" i="57"/>
  <c r="BD1522" i="57"/>
  <c r="BD1523" i="57"/>
  <c r="BD1524" i="57"/>
  <c r="BD1525" i="57"/>
  <c r="BD1526" i="57"/>
  <c r="BD1527" i="57"/>
  <c r="BD1528" i="57"/>
  <c r="BD1529" i="57"/>
  <c r="BD1530" i="57"/>
  <c r="BD1531" i="57"/>
  <c r="BD1532" i="57"/>
  <c r="BD1533" i="57"/>
  <c r="BD1534" i="57"/>
  <c r="BD1535" i="57"/>
  <c r="BD1536" i="57"/>
  <c r="BD1537" i="57"/>
  <c r="BD1538" i="57"/>
  <c r="BD1539" i="57"/>
  <c r="BD1540" i="57"/>
  <c r="BD1541" i="57"/>
  <c r="BD1542" i="57"/>
  <c r="BD1543" i="57"/>
  <c r="BD1544" i="57"/>
  <c r="BD1545" i="57"/>
  <c r="BD1546" i="57"/>
  <c r="BD1547" i="57"/>
  <c r="BD1548" i="57"/>
  <c r="BD1549" i="57"/>
  <c r="BD1550" i="57"/>
  <c r="BD1551" i="57"/>
  <c r="BD1552" i="57"/>
  <c r="BD1553" i="57"/>
  <c r="BD1554" i="57"/>
  <c r="BD1555" i="57"/>
  <c r="BD1556" i="57"/>
  <c r="BD1557" i="57"/>
  <c r="BD1558" i="57"/>
  <c r="BD1559" i="57"/>
  <c r="BD1560" i="57"/>
  <c r="BD1561" i="57"/>
  <c r="BD1562" i="57"/>
  <c r="BD1563" i="57"/>
  <c r="BD1564" i="57"/>
  <c r="BD1565" i="57"/>
  <c r="BD1566" i="57"/>
  <c r="BD1567" i="57"/>
  <c r="BD1568" i="57"/>
  <c r="BD1569" i="57"/>
  <c r="BD1570" i="57"/>
  <c r="BD1571" i="57"/>
  <c r="BD1572" i="57"/>
  <c r="BD1573" i="57"/>
  <c r="BD1574" i="57"/>
  <c r="BD1575" i="57"/>
  <c r="BD1576" i="57"/>
  <c r="BD1577" i="57"/>
  <c r="BD1578" i="57"/>
  <c r="BD1579" i="57"/>
  <c r="BD1580" i="57"/>
  <c r="BD1581" i="57"/>
  <c r="BD1582" i="57"/>
  <c r="BD1583" i="57"/>
  <c r="BD1584" i="57"/>
  <c r="BD1585" i="57"/>
  <c r="BD1586" i="57"/>
  <c r="BD1587" i="57"/>
  <c r="BD1588" i="57"/>
  <c r="BD1589" i="57"/>
  <c r="BD1590" i="57"/>
  <c r="BD1591" i="57"/>
  <c r="BD1592" i="57"/>
  <c r="BD1593" i="57"/>
  <c r="BD1594" i="57"/>
  <c r="BD1595" i="57"/>
  <c r="BD1596" i="57"/>
  <c r="BD1597" i="57"/>
  <c r="BD1598" i="57"/>
  <c r="BD1599" i="57"/>
  <c r="BD1600" i="57"/>
  <c r="BD1601" i="57"/>
  <c r="BD1602" i="57"/>
  <c r="BD1603" i="57"/>
  <c r="BD1604" i="57"/>
  <c r="BD1605" i="57"/>
  <c r="BD1606" i="57"/>
  <c r="BD1607" i="57"/>
  <c r="BD1608" i="57"/>
  <c r="BD1609" i="57"/>
  <c r="BD1610" i="57"/>
  <c r="BD1611" i="57"/>
  <c r="BD1612" i="57"/>
  <c r="BD1613" i="57"/>
  <c r="BD1614" i="57"/>
  <c r="BD1615" i="57"/>
  <c r="BD1616" i="57"/>
  <c r="BD1617" i="57"/>
  <c r="BD1618" i="57"/>
  <c r="BD1619" i="57"/>
  <c r="BD1620" i="57"/>
  <c r="BD1621" i="57"/>
  <c r="BD1622" i="57"/>
  <c r="BD1623" i="57"/>
  <c r="BD1624" i="57"/>
  <c r="BD1625" i="57"/>
  <c r="BD1626" i="57"/>
  <c r="BD1627" i="57"/>
  <c r="BD1628" i="57"/>
  <c r="BD1629" i="57"/>
  <c r="BD1630" i="57"/>
  <c r="BD1631" i="57"/>
  <c r="BD1632" i="57"/>
  <c r="BD1633" i="57"/>
  <c r="BD1634" i="57"/>
  <c r="BD1635" i="57"/>
  <c r="BD1636" i="57"/>
  <c r="BD1637" i="57"/>
  <c r="BD1638" i="57"/>
  <c r="BD1639" i="57"/>
  <c r="BD1640" i="57"/>
  <c r="BD1641" i="57"/>
  <c r="BD1642" i="57"/>
  <c r="BD1643" i="57"/>
  <c r="BD1644" i="57"/>
  <c r="BD1645" i="57"/>
  <c r="BD1646" i="57"/>
  <c r="BD1647" i="57"/>
  <c r="BD1648" i="57"/>
  <c r="BD1649" i="57"/>
  <c r="BD1650" i="57"/>
  <c r="BD1651" i="57"/>
  <c r="BD1652" i="57"/>
  <c r="BD1653" i="57"/>
  <c r="BD1654" i="57"/>
  <c r="BD1655" i="57"/>
  <c r="BD1656" i="57"/>
  <c r="BD1657" i="57"/>
  <c r="BD1658" i="57"/>
  <c r="BD1659" i="57"/>
  <c r="BD1660" i="57"/>
  <c r="BD1661" i="57"/>
  <c r="BD1662" i="57"/>
  <c r="BD1663" i="57"/>
  <c r="BD1664" i="57"/>
  <c r="BD1665" i="57"/>
  <c r="BD1666" i="57"/>
  <c r="BD1667" i="57"/>
  <c r="BD1668" i="57"/>
  <c r="BD1669" i="57"/>
  <c r="BD1670" i="57"/>
  <c r="BD1671" i="57"/>
  <c r="BD1672" i="57"/>
  <c r="BD1673" i="57"/>
  <c r="BD1674" i="57"/>
  <c r="BD1675" i="57"/>
  <c r="BD1676" i="57"/>
  <c r="BD1677" i="57"/>
  <c r="BD1678" i="57"/>
  <c r="BD1679" i="57"/>
  <c r="BD1680" i="57"/>
  <c r="BD1681" i="57"/>
  <c r="BD1682" i="57"/>
  <c r="BD1683" i="57"/>
  <c r="BD1684" i="57"/>
  <c r="BD1685" i="57"/>
  <c r="BD1686" i="57"/>
  <c r="BD1687" i="57"/>
  <c r="BD1688" i="57"/>
  <c r="BD1689" i="57"/>
  <c r="BD1690" i="57"/>
  <c r="BD1691" i="57"/>
  <c r="BD1692" i="57"/>
  <c r="BD1693" i="57"/>
  <c r="BD1694" i="57"/>
  <c r="BD1695" i="57"/>
  <c r="BD1696" i="57"/>
  <c r="BD1697" i="57"/>
  <c r="BD1698" i="57"/>
  <c r="BD1699" i="57"/>
  <c r="BD1700" i="57"/>
  <c r="BD1701" i="57"/>
  <c r="BD1702" i="57"/>
  <c r="BD1703" i="57"/>
  <c r="BD1704" i="57"/>
  <c r="BD1705" i="57"/>
  <c r="BD1706" i="57"/>
  <c r="BD1707" i="57"/>
  <c r="BD1708" i="57"/>
  <c r="BD1709" i="57"/>
  <c r="BD1710" i="57"/>
  <c r="BD1711" i="57"/>
  <c r="BD1712" i="57"/>
  <c r="BD1713" i="57"/>
  <c r="BD1714" i="57"/>
  <c r="BD1715" i="57"/>
  <c r="BD1716" i="57"/>
  <c r="BE1716" i="57" s="1"/>
  <c r="BD1717" i="57"/>
  <c r="BD1718" i="57"/>
  <c r="BD1719" i="57"/>
  <c r="BD1720" i="57"/>
  <c r="BD1721" i="57"/>
  <c r="BD1722" i="57"/>
  <c r="BD1723" i="57"/>
  <c r="BD1724" i="57"/>
  <c r="BD1725" i="57"/>
  <c r="BD1726" i="57"/>
  <c r="BD1727" i="57"/>
  <c r="BD1728" i="57"/>
  <c r="BD1729" i="57"/>
  <c r="BD1730" i="57"/>
  <c r="BD1731" i="57"/>
  <c r="BD1732" i="57"/>
  <c r="BD1733" i="57"/>
  <c r="BD1734" i="57"/>
  <c r="BD1735" i="57"/>
  <c r="BD1736" i="57"/>
  <c r="BD1737" i="57"/>
  <c r="BD1738" i="57"/>
  <c r="BD1739" i="57"/>
  <c r="BD1740" i="57"/>
  <c r="BD1741" i="57"/>
  <c r="BD1742" i="57"/>
  <c r="BD1743" i="57"/>
  <c r="BD1744" i="57"/>
  <c r="BD1745" i="57"/>
  <c r="BD1746" i="57"/>
  <c r="BD1747" i="57"/>
  <c r="BD1748" i="57"/>
  <c r="BD1749" i="57"/>
  <c r="BD1750" i="57"/>
  <c r="BD1751" i="57"/>
  <c r="BD1752" i="57"/>
  <c r="BD1753" i="57"/>
  <c r="BD1754" i="57"/>
  <c r="BD1755" i="57"/>
  <c r="BD1756" i="57"/>
  <c r="BD1757" i="57"/>
  <c r="BD1758" i="57"/>
  <c r="BD1759" i="57"/>
  <c r="BD1760" i="57"/>
  <c r="BD1761" i="57"/>
  <c r="BD1762" i="57"/>
  <c r="BD1763" i="57"/>
  <c r="BD1764" i="57"/>
  <c r="BD1765" i="57"/>
  <c r="BD1766" i="57"/>
  <c r="BD1767" i="57"/>
  <c r="BD1768" i="57"/>
  <c r="BD1769" i="57"/>
  <c r="BD1770" i="57"/>
  <c r="BD1771" i="57"/>
  <c r="BD1772" i="57"/>
  <c r="BD1773" i="57"/>
  <c r="BD1774" i="57"/>
  <c r="BD1775" i="57"/>
  <c r="BD1776" i="57"/>
  <c r="BD1777" i="57"/>
  <c r="BD1778" i="57"/>
  <c r="BD1779" i="57"/>
  <c r="BD1780" i="57"/>
  <c r="BD1781" i="57"/>
  <c r="BD1782" i="57"/>
  <c r="BD1783" i="57"/>
  <c r="BD1784" i="57"/>
  <c r="BD1785" i="57"/>
  <c r="BD1786" i="57"/>
  <c r="BD1787" i="57"/>
  <c r="BD1788" i="57"/>
  <c r="BD1789" i="57"/>
  <c r="BD1790" i="57"/>
  <c r="BD1791" i="57"/>
  <c r="BD1792" i="57"/>
  <c r="BD1793" i="57"/>
  <c r="BD1794" i="57"/>
  <c r="BD1795" i="57"/>
  <c r="BD1796" i="57"/>
  <c r="BE1797" i="57" s="1"/>
  <c r="BD1797" i="57"/>
  <c r="BD1798" i="57"/>
  <c r="BD1799" i="57"/>
  <c r="BD1800" i="57"/>
  <c r="BD4" i="57"/>
  <c r="BB5" i="57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B1684" i="57"/>
  <c r="BB1685" i="57"/>
  <c r="BB1686" i="57"/>
  <c r="BB1687" i="57"/>
  <c r="BB1688" i="57"/>
  <c r="BB1689" i="57"/>
  <c r="BB1690" i="57"/>
  <c r="BB1691" i="57"/>
  <c r="BB1692" i="57"/>
  <c r="BB1693" i="57"/>
  <c r="BB1694" i="57"/>
  <c r="BB1695" i="57"/>
  <c r="BB1696" i="57"/>
  <c r="BB1697" i="57"/>
  <c r="BB1698" i="57"/>
  <c r="BB1699" i="57"/>
  <c r="BB1700" i="57"/>
  <c r="BB1701" i="57"/>
  <c r="BB1702" i="57"/>
  <c r="BB1703" i="57"/>
  <c r="BB1704" i="57"/>
  <c r="BB1705" i="57"/>
  <c r="BB1706" i="57"/>
  <c r="BB1707" i="57"/>
  <c r="BB1708" i="57"/>
  <c r="BB1709" i="57"/>
  <c r="BB1710" i="57"/>
  <c r="BB1711" i="57"/>
  <c r="BB1712" i="57"/>
  <c r="BB1713" i="57"/>
  <c r="BB1714" i="57"/>
  <c r="BB1715" i="57"/>
  <c r="BB1716" i="57"/>
  <c r="BB1717" i="57"/>
  <c r="BB1718" i="57"/>
  <c r="BB1719" i="57"/>
  <c r="BB1720" i="57"/>
  <c r="BB1721" i="57"/>
  <c r="BB1722" i="57"/>
  <c r="BB1723" i="57"/>
  <c r="BB1724" i="57"/>
  <c r="BB1725" i="57"/>
  <c r="BB1726" i="57"/>
  <c r="BB1727" i="57"/>
  <c r="BB1728" i="57"/>
  <c r="BB1729" i="57"/>
  <c r="BB1730" i="57"/>
  <c r="BB1731" i="57"/>
  <c r="BB1732" i="57"/>
  <c r="BB1733" i="57"/>
  <c r="BB1734" i="57"/>
  <c r="BB1735" i="57"/>
  <c r="BB1736" i="57"/>
  <c r="BB1737" i="57"/>
  <c r="BB1738" i="57"/>
  <c r="BB1739" i="57"/>
  <c r="BB1740" i="57"/>
  <c r="BB1741" i="57"/>
  <c r="BB1742" i="57"/>
  <c r="BB1743" i="57"/>
  <c r="BB1744" i="57"/>
  <c r="BB1745" i="57"/>
  <c r="BB1746" i="57"/>
  <c r="BB1747" i="57"/>
  <c r="BB1748" i="57"/>
  <c r="BB1749" i="57"/>
  <c r="BB1750" i="57"/>
  <c r="BB1751" i="57"/>
  <c r="BB1752" i="57"/>
  <c r="BB1753" i="57"/>
  <c r="BB1754" i="57"/>
  <c r="BB1755" i="57"/>
  <c r="BB1756" i="57"/>
  <c r="BB1757" i="57"/>
  <c r="BB1758" i="57"/>
  <c r="BB1759" i="57"/>
  <c r="BB1760" i="57"/>
  <c r="BB1761" i="57"/>
  <c r="BB1762" i="57"/>
  <c r="BB1763" i="57"/>
  <c r="BB1764" i="57"/>
  <c r="BB1765" i="57"/>
  <c r="BB1766" i="57"/>
  <c r="BB1767" i="57"/>
  <c r="BB1768" i="57"/>
  <c r="BB1769" i="57"/>
  <c r="BB1770" i="57"/>
  <c r="BB1771" i="57"/>
  <c r="BB1772" i="57"/>
  <c r="BB1773" i="57"/>
  <c r="BB1774" i="57"/>
  <c r="BB1775" i="57"/>
  <c r="BB1776" i="57"/>
  <c r="BB1777" i="57"/>
  <c r="BB1778" i="57"/>
  <c r="BB1779" i="57"/>
  <c r="BB1780" i="57"/>
  <c r="BB1781" i="57"/>
  <c r="BB1782" i="57"/>
  <c r="BB1783" i="57"/>
  <c r="BB1784" i="57"/>
  <c r="BB1785" i="57"/>
  <c r="BB1786" i="57"/>
  <c r="BB1787" i="57"/>
  <c r="BB1788" i="57"/>
  <c r="BB1789" i="57"/>
  <c r="BB1790" i="57"/>
  <c r="BB1791" i="57"/>
  <c r="BB1792" i="57"/>
  <c r="BB1793" i="57"/>
  <c r="BB1794" i="57"/>
  <c r="BB1795" i="57"/>
  <c r="BB1796" i="57"/>
  <c r="BB1797" i="57"/>
  <c r="BB1798" i="57"/>
  <c r="BB1799" i="57"/>
  <c r="BB1800" i="57"/>
  <c r="BB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W1684" i="57"/>
  <c r="AW1685" i="57"/>
  <c r="AW1686" i="57"/>
  <c r="AW1687" i="57"/>
  <c r="AW1688" i="57"/>
  <c r="AW1689" i="57"/>
  <c r="AW1690" i="57"/>
  <c r="AW1691" i="57"/>
  <c r="AW1692" i="57"/>
  <c r="AW1693" i="57"/>
  <c r="AW1694" i="57"/>
  <c r="AW1695" i="57"/>
  <c r="AW1696" i="57"/>
  <c r="AW1697" i="57"/>
  <c r="AW1698" i="57"/>
  <c r="AW1699" i="57"/>
  <c r="AW1700" i="57"/>
  <c r="AW1701" i="57"/>
  <c r="AW1702" i="57"/>
  <c r="AW1703" i="57"/>
  <c r="AW1704" i="57"/>
  <c r="AW1705" i="57"/>
  <c r="AW1706" i="57"/>
  <c r="AW1707" i="57"/>
  <c r="AW1708" i="57"/>
  <c r="AW1709" i="57"/>
  <c r="AW1710" i="57"/>
  <c r="AW1711" i="57"/>
  <c r="AW1712" i="57"/>
  <c r="AW1713" i="57"/>
  <c r="AW1714" i="57"/>
  <c r="AW1715" i="57"/>
  <c r="AW1716" i="57"/>
  <c r="AW1717" i="57"/>
  <c r="AW1718" i="57"/>
  <c r="AW1719" i="57"/>
  <c r="AW1720" i="57"/>
  <c r="AW1721" i="57"/>
  <c r="AW1722" i="57"/>
  <c r="AW1723" i="57"/>
  <c r="AW1724" i="57"/>
  <c r="AW1725" i="57"/>
  <c r="AW1726" i="57"/>
  <c r="AW1727" i="57"/>
  <c r="AW1728" i="57"/>
  <c r="AW1729" i="57"/>
  <c r="AW1730" i="57"/>
  <c r="AW1731" i="57"/>
  <c r="AW1732" i="57"/>
  <c r="AW1733" i="57"/>
  <c r="AW1734" i="57"/>
  <c r="AW1735" i="57"/>
  <c r="AW1736" i="57"/>
  <c r="AW1737" i="57"/>
  <c r="AW1738" i="57"/>
  <c r="AW1739" i="57"/>
  <c r="AW1740" i="57"/>
  <c r="AW1741" i="57"/>
  <c r="AW1742" i="57"/>
  <c r="AW1743" i="57"/>
  <c r="AW1744" i="57"/>
  <c r="AW1745" i="57"/>
  <c r="AW1746" i="57"/>
  <c r="AW1747" i="57"/>
  <c r="AW1748" i="57"/>
  <c r="AW1749" i="57"/>
  <c r="AW1750" i="57"/>
  <c r="AW1751" i="57"/>
  <c r="AW1752" i="57"/>
  <c r="AW1753" i="57"/>
  <c r="AW1754" i="57"/>
  <c r="AW1755" i="57"/>
  <c r="AW1756" i="57"/>
  <c r="AW1757" i="57"/>
  <c r="AW1758" i="57"/>
  <c r="AW1759" i="57"/>
  <c r="AW1760" i="57"/>
  <c r="AW1761" i="57"/>
  <c r="AW1762" i="57"/>
  <c r="AW1763" i="57"/>
  <c r="AW1764" i="57"/>
  <c r="AW1765" i="57"/>
  <c r="AW1766" i="57"/>
  <c r="AW1767" i="57"/>
  <c r="AW1768" i="57"/>
  <c r="AW1769" i="57"/>
  <c r="AW1770" i="57"/>
  <c r="AW1771" i="57"/>
  <c r="AW1772" i="57"/>
  <c r="AW1773" i="57"/>
  <c r="AW1774" i="57"/>
  <c r="AW1775" i="57"/>
  <c r="AW1776" i="57"/>
  <c r="AW1777" i="57"/>
  <c r="AW1778" i="57"/>
  <c r="AW1779" i="57"/>
  <c r="AW1780" i="57"/>
  <c r="AW1781" i="57"/>
  <c r="AW1782" i="57"/>
  <c r="AW1783" i="57"/>
  <c r="AW1784" i="57"/>
  <c r="AW1785" i="57"/>
  <c r="AW1786" i="57"/>
  <c r="AW1787" i="57"/>
  <c r="AW1788" i="57"/>
  <c r="AW1789" i="57"/>
  <c r="AW1790" i="57"/>
  <c r="AW1791" i="57"/>
  <c r="AW1792" i="57"/>
  <c r="AW1793" i="57"/>
  <c r="AW1794" i="57"/>
  <c r="AW1795" i="57"/>
  <c r="AW1796" i="57"/>
  <c r="AW1797" i="57"/>
  <c r="AW1798" i="57"/>
  <c r="AW1799" i="57"/>
  <c r="AW1800" i="57"/>
  <c r="AW4" i="57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1516" i="57"/>
  <c r="AV1517" i="57"/>
  <c r="AV1518" i="57"/>
  <c r="AV1519" i="57"/>
  <c r="AV1520" i="57"/>
  <c r="AV1521" i="57"/>
  <c r="AV1522" i="57"/>
  <c r="AV1523" i="57"/>
  <c r="AV1524" i="57"/>
  <c r="AV1525" i="57"/>
  <c r="AV1526" i="57"/>
  <c r="AV1527" i="57"/>
  <c r="AV1528" i="57"/>
  <c r="AV1529" i="57"/>
  <c r="AV1530" i="57"/>
  <c r="AV1531" i="57"/>
  <c r="AV1532" i="57"/>
  <c r="AV1533" i="57"/>
  <c r="AV1534" i="57"/>
  <c r="AV1535" i="57"/>
  <c r="AV1536" i="57"/>
  <c r="AV1537" i="57"/>
  <c r="AV1538" i="57"/>
  <c r="AV1539" i="57"/>
  <c r="AV1540" i="57"/>
  <c r="AV1541" i="57"/>
  <c r="AV1542" i="57"/>
  <c r="AV1543" i="57"/>
  <c r="AV1544" i="57"/>
  <c r="AV1545" i="57"/>
  <c r="AV1546" i="57"/>
  <c r="AV1547" i="57"/>
  <c r="AV1548" i="57"/>
  <c r="AV1549" i="57"/>
  <c r="AV1550" i="57"/>
  <c r="AV1551" i="57"/>
  <c r="AV1552" i="57"/>
  <c r="AV1553" i="57"/>
  <c r="AV1554" i="57"/>
  <c r="AV1555" i="57"/>
  <c r="AV1556" i="57"/>
  <c r="AV1557" i="57"/>
  <c r="AV1558" i="57"/>
  <c r="AV1559" i="57"/>
  <c r="AV1560" i="57"/>
  <c r="AV1561" i="57"/>
  <c r="AV1562" i="57"/>
  <c r="AV1563" i="57"/>
  <c r="AV1564" i="57"/>
  <c r="AV1565" i="57"/>
  <c r="AV1566" i="57"/>
  <c r="AV1567" i="57"/>
  <c r="AV1568" i="57"/>
  <c r="AV1569" i="57"/>
  <c r="AV1570" i="57"/>
  <c r="AV1571" i="57"/>
  <c r="AV1572" i="57"/>
  <c r="AV1573" i="57"/>
  <c r="AV1574" i="57"/>
  <c r="AV1575" i="57"/>
  <c r="AV1576" i="57"/>
  <c r="AV1577" i="57"/>
  <c r="AV1578" i="57"/>
  <c r="AV1579" i="57"/>
  <c r="AV1580" i="57"/>
  <c r="AV1581" i="57"/>
  <c r="AV1582" i="57"/>
  <c r="AV1583" i="57"/>
  <c r="AV1584" i="57"/>
  <c r="AV1585" i="57"/>
  <c r="AV1586" i="57"/>
  <c r="AV1587" i="57"/>
  <c r="AV1588" i="57"/>
  <c r="AV1589" i="57"/>
  <c r="AV1590" i="57"/>
  <c r="AV1591" i="57"/>
  <c r="AV1592" i="57"/>
  <c r="AV1593" i="57"/>
  <c r="AV1594" i="57"/>
  <c r="AV1595" i="57"/>
  <c r="AV1596" i="57"/>
  <c r="AV1597" i="57"/>
  <c r="AV1598" i="57"/>
  <c r="AV1599" i="57"/>
  <c r="AV1600" i="57"/>
  <c r="AV1601" i="57"/>
  <c r="AV1602" i="57"/>
  <c r="AV1603" i="57"/>
  <c r="AV1604" i="57"/>
  <c r="AV1605" i="57"/>
  <c r="AV1606" i="57"/>
  <c r="AV1607" i="57"/>
  <c r="AV1608" i="57"/>
  <c r="AV1609" i="57"/>
  <c r="AV1610" i="57"/>
  <c r="AV1611" i="57"/>
  <c r="AV1612" i="57"/>
  <c r="AV1613" i="57"/>
  <c r="AV1614" i="57"/>
  <c r="AV1615" i="57"/>
  <c r="AV1616" i="57"/>
  <c r="AV1617" i="57"/>
  <c r="AV1618" i="57"/>
  <c r="AV1619" i="57"/>
  <c r="AV1620" i="57"/>
  <c r="AV1621" i="57"/>
  <c r="AV1622" i="57"/>
  <c r="AV1623" i="57"/>
  <c r="AV1624" i="57"/>
  <c r="AV1625" i="57"/>
  <c r="AV1626" i="57"/>
  <c r="AV1627" i="57"/>
  <c r="AV1628" i="57"/>
  <c r="AV1629" i="57"/>
  <c r="AV1630" i="57"/>
  <c r="AV1631" i="57"/>
  <c r="AV1632" i="57"/>
  <c r="AV1633" i="57"/>
  <c r="AV1634" i="57"/>
  <c r="AV1635" i="57"/>
  <c r="AV1636" i="57"/>
  <c r="AV1637" i="57"/>
  <c r="AV1638" i="57"/>
  <c r="AV1639" i="57"/>
  <c r="AV1640" i="57"/>
  <c r="AV1641" i="57"/>
  <c r="AV1642" i="57"/>
  <c r="AV1643" i="57"/>
  <c r="AV1644" i="57"/>
  <c r="AV1645" i="57"/>
  <c r="AV1646" i="57"/>
  <c r="AV1647" i="57"/>
  <c r="AV1648" i="57"/>
  <c r="AV1649" i="57"/>
  <c r="AV1650" i="57"/>
  <c r="AV1651" i="57"/>
  <c r="AV1652" i="57"/>
  <c r="AV1653" i="57"/>
  <c r="AV1654" i="57"/>
  <c r="AV1655" i="57"/>
  <c r="AV1656" i="57"/>
  <c r="AV1657" i="57"/>
  <c r="AV1658" i="57"/>
  <c r="AV1659" i="57"/>
  <c r="AV1660" i="57"/>
  <c r="AV1661" i="57"/>
  <c r="AV1662" i="57"/>
  <c r="AV1663" i="57"/>
  <c r="AV1664" i="57"/>
  <c r="AV1665" i="57"/>
  <c r="AV1666" i="57"/>
  <c r="AV1667" i="57"/>
  <c r="AV1668" i="57"/>
  <c r="AV1669" i="57"/>
  <c r="AV1670" i="57"/>
  <c r="AV1671" i="57"/>
  <c r="AV1672" i="57"/>
  <c r="AV1673" i="57"/>
  <c r="AV1674" i="57"/>
  <c r="AV1675" i="57"/>
  <c r="AV1676" i="57"/>
  <c r="AV1677" i="57"/>
  <c r="AV1678" i="57"/>
  <c r="AV1679" i="57"/>
  <c r="AV1680" i="57"/>
  <c r="AV1681" i="57"/>
  <c r="AV1682" i="57"/>
  <c r="AV1683" i="57"/>
  <c r="AV1684" i="57"/>
  <c r="AV1685" i="57"/>
  <c r="AV1686" i="57"/>
  <c r="AV1687" i="57"/>
  <c r="AV1688" i="57"/>
  <c r="AV1689" i="57"/>
  <c r="AV1690" i="57"/>
  <c r="AV1691" i="57"/>
  <c r="AV1692" i="57"/>
  <c r="AV1693" i="57"/>
  <c r="AV1694" i="57"/>
  <c r="AV1695" i="57"/>
  <c r="AV1696" i="57"/>
  <c r="AV1697" i="57"/>
  <c r="AV1698" i="57"/>
  <c r="AV1699" i="57"/>
  <c r="AV1700" i="57"/>
  <c r="AV1701" i="57"/>
  <c r="AV1702" i="57"/>
  <c r="AV1703" i="57"/>
  <c r="AV1704" i="57"/>
  <c r="AV1705" i="57"/>
  <c r="AV1706" i="57"/>
  <c r="AV1707" i="57"/>
  <c r="AV1708" i="57"/>
  <c r="AV1709" i="57"/>
  <c r="AV1710" i="57"/>
  <c r="AV1711" i="57"/>
  <c r="AV1712" i="57"/>
  <c r="AV1713" i="57"/>
  <c r="AV1714" i="57"/>
  <c r="AV1715" i="57"/>
  <c r="AV1716" i="57"/>
  <c r="AV1717" i="57"/>
  <c r="AV1718" i="57"/>
  <c r="AV1719" i="57"/>
  <c r="AV1720" i="57"/>
  <c r="AV1721" i="57"/>
  <c r="AV1722" i="57"/>
  <c r="AV1723" i="57"/>
  <c r="AV1724" i="57"/>
  <c r="AV1725" i="57"/>
  <c r="AV1726" i="57"/>
  <c r="AV1727" i="57"/>
  <c r="AV1728" i="57"/>
  <c r="AV1729" i="57"/>
  <c r="AV1730" i="57"/>
  <c r="AV1731" i="57"/>
  <c r="AV1732" i="57"/>
  <c r="AV1733" i="57"/>
  <c r="AV1734" i="57"/>
  <c r="AV1735" i="57"/>
  <c r="AV1736" i="57"/>
  <c r="AV1737" i="57"/>
  <c r="AV1738" i="57"/>
  <c r="AV1739" i="57"/>
  <c r="AV1740" i="57"/>
  <c r="AV1741" i="57"/>
  <c r="AV1742" i="57"/>
  <c r="AV1743" i="57"/>
  <c r="AV1744" i="57"/>
  <c r="AV1745" i="57"/>
  <c r="AV1746" i="57"/>
  <c r="AV1747" i="57"/>
  <c r="AV1748" i="57"/>
  <c r="AV1749" i="57"/>
  <c r="AV1750" i="57"/>
  <c r="AV1751" i="57"/>
  <c r="AV1752" i="57"/>
  <c r="AV1753" i="57"/>
  <c r="AV1754" i="57"/>
  <c r="AV1755" i="57"/>
  <c r="AV1756" i="57"/>
  <c r="AV1757" i="57"/>
  <c r="AV1758" i="57"/>
  <c r="AV1759" i="57"/>
  <c r="AV1760" i="57"/>
  <c r="AV1761" i="57"/>
  <c r="AV1762" i="57"/>
  <c r="AV1763" i="57"/>
  <c r="AV1764" i="57"/>
  <c r="AV1765" i="57"/>
  <c r="AV1766" i="57"/>
  <c r="AV1767" i="57"/>
  <c r="AV1768" i="57"/>
  <c r="AV1769" i="57"/>
  <c r="AV1770" i="57"/>
  <c r="AV1771" i="57"/>
  <c r="AV1772" i="57"/>
  <c r="AV1773" i="57"/>
  <c r="AV1774" i="57"/>
  <c r="AV1775" i="57"/>
  <c r="AV1776" i="57"/>
  <c r="AV1777" i="57"/>
  <c r="AV1778" i="57"/>
  <c r="AV1779" i="57"/>
  <c r="AV1780" i="57"/>
  <c r="AV1781" i="57"/>
  <c r="AV1782" i="57"/>
  <c r="AV1783" i="57"/>
  <c r="AV1784" i="57"/>
  <c r="AV1785" i="57"/>
  <c r="AV1786" i="57"/>
  <c r="AV1787" i="57"/>
  <c r="AV1788" i="57"/>
  <c r="AV1789" i="57"/>
  <c r="AV1790" i="57"/>
  <c r="AV1791" i="57"/>
  <c r="AV1792" i="57"/>
  <c r="AV1793" i="57"/>
  <c r="AV1794" i="57"/>
  <c r="AV1795" i="57"/>
  <c r="AV1796" i="57"/>
  <c r="AV1797" i="57"/>
  <c r="AV1798" i="57"/>
  <c r="AV1799" i="57"/>
  <c r="AV1800" i="57"/>
  <c r="AV4" i="57"/>
  <c r="AI172" i="57"/>
  <c r="AK172" i="57" s="1"/>
  <c r="AI173" i="57"/>
  <c r="AK173" i="57" s="1"/>
  <c r="AJ173" i="57"/>
  <c r="AM173" i="57"/>
  <c r="AP173" i="57" s="1"/>
  <c r="AN173" i="57"/>
  <c r="AQ173" i="57"/>
  <c r="AI174" i="57"/>
  <c r="AK174" i="57" s="1"/>
  <c r="AI175" i="57"/>
  <c r="AK175" i="57" s="1"/>
  <c r="AJ175" i="57"/>
  <c r="AM175" i="57"/>
  <c r="AP175" i="57" s="1"/>
  <c r="AN175" i="57"/>
  <c r="AQ175" i="57"/>
  <c r="AI176" i="57"/>
  <c r="AK176" i="57" s="1"/>
  <c r="AI177" i="57"/>
  <c r="AK177" i="57" s="1"/>
  <c r="AJ177" i="57"/>
  <c r="AM177" i="57"/>
  <c r="AP177" i="57" s="1"/>
  <c r="AN177" i="57"/>
  <c r="AQ177" i="57"/>
  <c r="AI178" i="57"/>
  <c r="AK178" i="57" s="1"/>
  <c r="AI179" i="57"/>
  <c r="AK179" i="57" s="1"/>
  <c r="AJ179" i="57"/>
  <c r="AM179" i="57"/>
  <c r="AP179" i="57" s="1"/>
  <c r="AN179" i="57"/>
  <c r="AQ179" i="57"/>
  <c r="AI180" i="57"/>
  <c r="AK180" i="57" s="1"/>
  <c r="AI181" i="57"/>
  <c r="AK181" i="57" s="1"/>
  <c r="AJ181" i="57"/>
  <c r="AM181" i="57"/>
  <c r="AP181" i="57" s="1"/>
  <c r="AN181" i="57"/>
  <c r="AQ181" i="57"/>
  <c r="AI182" i="57"/>
  <c r="AK182" i="57" s="1"/>
  <c r="AI183" i="57"/>
  <c r="AK183" i="57" s="1"/>
  <c r="AJ183" i="57"/>
  <c r="AM183" i="57"/>
  <c r="AP183" i="57" s="1"/>
  <c r="AN183" i="57"/>
  <c r="AQ183" i="57"/>
  <c r="AI184" i="57"/>
  <c r="AK184" i="57" s="1"/>
  <c r="AI185" i="57"/>
  <c r="AK185" i="57" s="1"/>
  <c r="AJ185" i="57"/>
  <c r="AM185" i="57"/>
  <c r="AP185" i="57" s="1"/>
  <c r="AN185" i="57"/>
  <c r="AQ185" i="57"/>
  <c r="AI186" i="57"/>
  <c r="AK186" i="57" s="1"/>
  <c r="AI187" i="57"/>
  <c r="AK187" i="57" s="1"/>
  <c r="AJ187" i="57"/>
  <c r="AM187" i="57"/>
  <c r="AP187" i="57" s="1"/>
  <c r="AN187" i="57"/>
  <c r="AQ187" i="57"/>
  <c r="AI188" i="57"/>
  <c r="AK188" i="57" s="1"/>
  <c r="AI189" i="57"/>
  <c r="AK189" i="57" s="1"/>
  <c r="AJ189" i="57"/>
  <c r="AM189" i="57"/>
  <c r="AP189" i="57" s="1"/>
  <c r="AN189" i="57"/>
  <c r="AQ189" i="57"/>
  <c r="AI190" i="57"/>
  <c r="AK190" i="57" s="1"/>
  <c r="AI191" i="57"/>
  <c r="AK191" i="57" s="1"/>
  <c r="AJ191" i="57"/>
  <c r="AM191" i="57"/>
  <c r="AP191" i="57" s="1"/>
  <c r="AN191" i="57"/>
  <c r="AQ191" i="57"/>
  <c r="AI192" i="57"/>
  <c r="AK192" i="57" s="1"/>
  <c r="AI193" i="57"/>
  <c r="AK193" i="57" s="1"/>
  <c r="AJ193" i="57"/>
  <c r="AM193" i="57"/>
  <c r="AP193" i="57" s="1"/>
  <c r="AN193" i="57"/>
  <c r="AQ193" i="57"/>
  <c r="AI194" i="57"/>
  <c r="AK194" i="57" s="1"/>
  <c r="AI195" i="57"/>
  <c r="AK195" i="57" s="1"/>
  <c r="AJ195" i="57"/>
  <c r="AM195" i="57"/>
  <c r="AP195" i="57" s="1"/>
  <c r="AN195" i="57"/>
  <c r="AQ195" i="57"/>
  <c r="AI196" i="57"/>
  <c r="AK196" i="57" s="1"/>
  <c r="AI197" i="57"/>
  <c r="AK197" i="57" s="1"/>
  <c r="AJ197" i="57"/>
  <c r="AM197" i="57"/>
  <c r="AP197" i="57" s="1"/>
  <c r="AN197" i="57"/>
  <c r="AQ197" i="57"/>
  <c r="AI198" i="57"/>
  <c r="AK198" i="57" s="1"/>
  <c r="AI199" i="57"/>
  <c r="AK199" i="57" s="1"/>
  <c r="AJ199" i="57"/>
  <c r="AM199" i="57"/>
  <c r="AP199" i="57" s="1"/>
  <c r="AN199" i="57"/>
  <c r="AQ199" i="57"/>
  <c r="AI200" i="57"/>
  <c r="AK200" i="57" s="1"/>
  <c r="AI201" i="57"/>
  <c r="AK201" i="57" s="1"/>
  <c r="AJ201" i="57"/>
  <c r="AM201" i="57"/>
  <c r="AP201" i="57" s="1"/>
  <c r="AN201" i="57"/>
  <c r="AQ201" i="57"/>
  <c r="AI202" i="57"/>
  <c r="AK202" i="57" s="1"/>
  <c r="AI203" i="57"/>
  <c r="AK203" i="57" s="1"/>
  <c r="AJ203" i="57"/>
  <c r="AM203" i="57"/>
  <c r="AP203" i="57" s="1"/>
  <c r="AN203" i="57"/>
  <c r="AQ203" i="57"/>
  <c r="AI5" i="57"/>
  <c r="AK5" i="57"/>
  <c r="AM5" i="57"/>
  <c r="AP5" i="57"/>
  <c r="AI6" i="57"/>
  <c r="AK6" i="57"/>
  <c r="AJ6" i="57" s="1"/>
  <c r="AM6" i="57"/>
  <c r="AI7" i="57"/>
  <c r="AK7" i="57"/>
  <c r="AJ7" i="57" s="1"/>
  <c r="AM7" i="57"/>
  <c r="AP7" i="57"/>
  <c r="AQ7" i="57"/>
  <c r="AI8" i="57"/>
  <c r="AK8" i="57"/>
  <c r="AM8" i="57"/>
  <c r="AP8" i="57"/>
  <c r="AQ8" i="57"/>
  <c r="AI9" i="57"/>
  <c r="AK9" i="57"/>
  <c r="AM9" i="57"/>
  <c r="AI10" i="57"/>
  <c r="AK10" i="57"/>
  <c r="AM10" i="57"/>
  <c r="AI11" i="57"/>
  <c r="AK11" i="57"/>
  <c r="AJ11" i="57" s="1"/>
  <c r="AM11" i="57"/>
  <c r="AP11" i="57"/>
  <c r="AQ11" i="57"/>
  <c r="AI12" i="57"/>
  <c r="AK12" i="57"/>
  <c r="AM12" i="57"/>
  <c r="AP12" i="57"/>
  <c r="AQ12" i="57"/>
  <c r="AI13" i="57"/>
  <c r="AK13" i="57"/>
  <c r="AM13" i="57"/>
  <c r="AP13" i="57" s="1"/>
  <c r="AI14" i="57"/>
  <c r="AK14" i="57"/>
  <c r="AJ14" i="57" s="1"/>
  <c r="AM14" i="57"/>
  <c r="AI15" i="57"/>
  <c r="AK15" i="57"/>
  <c r="AJ15" i="57" s="1"/>
  <c r="AM15" i="57"/>
  <c r="AP15" i="57"/>
  <c r="AQ15" i="57"/>
  <c r="AI16" i="57"/>
  <c r="AK16" i="57"/>
  <c r="AM16" i="57"/>
  <c r="AP16" i="57"/>
  <c r="AQ16" i="57"/>
  <c r="AI17" i="57"/>
  <c r="AK17" i="57"/>
  <c r="AM17" i="57"/>
  <c r="AP17" i="57" s="1"/>
  <c r="AI18" i="57"/>
  <c r="AK18" i="57"/>
  <c r="AM18" i="57"/>
  <c r="AI19" i="57"/>
  <c r="AK19" i="57"/>
  <c r="AJ19" i="57" s="1"/>
  <c r="AM19" i="57"/>
  <c r="AP19" i="57"/>
  <c r="AQ19" i="57"/>
  <c r="AI20" i="57"/>
  <c r="AK20" i="57"/>
  <c r="AM20" i="57"/>
  <c r="AP20" i="57"/>
  <c r="AQ20" i="57"/>
  <c r="AI21" i="57"/>
  <c r="AK21" i="57"/>
  <c r="AM21" i="57"/>
  <c r="AP21" i="57"/>
  <c r="AI22" i="57"/>
  <c r="AK22" i="57"/>
  <c r="AJ22" i="57" s="1"/>
  <c r="AM22" i="57"/>
  <c r="AI23" i="57"/>
  <c r="AK23" i="57"/>
  <c r="AJ23" i="57" s="1"/>
  <c r="AM23" i="57"/>
  <c r="AP23" i="57"/>
  <c r="AQ23" i="57"/>
  <c r="AI24" i="57"/>
  <c r="AK24" i="57"/>
  <c r="AM24" i="57"/>
  <c r="AP24" i="57"/>
  <c r="AQ24" i="57"/>
  <c r="AI25" i="57"/>
  <c r="AK25" i="57"/>
  <c r="AM25" i="57"/>
  <c r="AI26" i="57"/>
  <c r="AK26" i="57"/>
  <c r="AM26" i="57"/>
  <c r="AI27" i="57"/>
  <c r="AK27" i="57"/>
  <c r="AJ27" i="57" s="1"/>
  <c r="AM27" i="57"/>
  <c r="AP27" i="57"/>
  <c r="AQ27" i="57"/>
  <c r="AI28" i="57"/>
  <c r="AK28" i="57"/>
  <c r="AM28" i="57"/>
  <c r="AP28" i="57"/>
  <c r="AQ28" i="57"/>
  <c r="AI29" i="57"/>
  <c r="AK29" i="57"/>
  <c r="AM29" i="57"/>
  <c r="AP29" i="57"/>
  <c r="AI30" i="57"/>
  <c r="AK30" i="57"/>
  <c r="AJ30" i="57" s="1"/>
  <c r="AM30" i="57"/>
  <c r="AQ30" i="57"/>
  <c r="AI31" i="57"/>
  <c r="AI32" i="57"/>
  <c r="AK32" i="57"/>
  <c r="AM32" i="57"/>
  <c r="AI33" i="57"/>
  <c r="AI34" i="57"/>
  <c r="AN34" i="57" s="1"/>
  <c r="AK34" i="57"/>
  <c r="AJ34" i="57" s="1"/>
  <c r="AM34" i="57"/>
  <c r="AQ34" i="57"/>
  <c r="AI35" i="57"/>
  <c r="AI36" i="57"/>
  <c r="AN36" i="57" s="1"/>
  <c r="AK36" i="57"/>
  <c r="AM36" i="57"/>
  <c r="AQ36" i="57" s="1"/>
  <c r="AI37" i="57"/>
  <c r="AI38" i="57"/>
  <c r="AK38" i="57"/>
  <c r="AI39" i="57"/>
  <c r="AI40" i="57"/>
  <c r="AM40" i="57" s="1"/>
  <c r="AI41" i="57"/>
  <c r="AK41" i="57" s="1"/>
  <c r="AM41" i="57"/>
  <c r="AN41" i="57"/>
  <c r="AP41" i="57"/>
  <c r="AI42" i="57"/>
  <c r="AK42" i="57"/>
  <c r="AM42" i="57"/>
  <c r="AI43" i="57"/>
  <c r="AK43" i="57" s="1"/>
  <c r="AI44" i="57"/>
  <c r="AM44" i="57" s="1"/>
  <c r="AK44" i="57"/>
  <c r="AI45" i="57"/>
  <c r="AM45" i="57"/>
  <c r="AP45" i="57" s="1"/>
  <c r="AI46" i="57"/>
  <c r="AI47" i="57"/>
  <c r="AI48" i="57"/>
  <c r="AK48" i="57" s="1"/>
  <c r="AM48" i="57"/>
  <c r="AN48" i="57" s="1"/>
  <c r="AQ48" i="57"/>
  <c r="AI49" i="57"/>
  <c r="AI50" i="57"/>
  <c r="AK50" i="57" s="1"/>
  <c r="AM50" i="57"/>
  <c r="AQ50" i="57" s="1"/>
  <c r="AI51" i="57"/>
  <c r="AI52" i="57"/>
  <c r="AK52" i="57" s="1"/>
  <c r="AM52" i="57"/>
  <c r="AN52" i="57" s="1"/>
  <c r="AQ52" i="57"/>
  <c r="AI53" i="57"/>
  <c r="AI54" i="57"/>
  <c r="AK54" i="57" s="1"/>
  <c r="AM54" i="57"/>
  <c r="AQ54" i="57" s="1"/>
  <c r="AI55" i="57"/>
  <c r="AI56" i="57"/>
  <c r="AK56" i="57" s="1"/>
  <c r="AM56" i="57"/>
  <c r="AN56" i="57" s="1"/>
  <c r="AQ56" i="57"/>
  <c r="AI57" i="57"/>
  <c r="AI58" i="57"/>
  <c r="AK58" i="57" s="1"/>
  <c r="AM58" i="57"/>
  <c r="AI59" i="57"/>
  <c r="AI60" i="57"/>
  <c r="AK60" i="57" s="1"/>
  <c r="AM60" i="57"/>
  <c r="AN60" i="57" s="1"/>
  <c r="AQ60" i="57"/>
  <c r="AI61" i="57"/>
  <c r="AI62" i="57"/>
  <c r="AK62" i="57" s="1"/>
  <c r="AM62" i="57"/>
  <c r="AJ62" i="57" s="1"/>
  <c r="AI63" i="57"/>
  <c r="AI64" i="57"/>
  <c r="AK64" i="57" s="1"/>
  <c r="AM64" i="57"/>
  <c r="AN64" i="57" s="1"/>
  <c r="AQ64" i="57"/>
  <c r="AI65" i="57"/>
  <c r="AI66" i="57"/>
  <c r="AK66" i="57" s="1"/>
  <c r="AM66" i="57"/>
  <c r="AO66" i="57" s="1"/>
  <c r="AI67" i="57"/>
  <c r="AK67" i="57" s="1"/>
  <c r="AI68" i="57"/>
  <c r="AN68" i="57" s="1"/>
  <c r="AM68" i="57"/>
  <c r="AO68" i="57" s="1"/>
  <c r="AI69" i="57"/>
  <c r="AK69" i="57" s="1"/>
  <c r="AI70" i="57"/>
  <c r="AN70" i="57" s="1"/>
  <c r="AM70" i="57"/>
  <c r="AO70" i="57" s="1"/>
  <c r="AI71" i="57"/>
  <c r="AK71" i="57" s="1"/>
  <c r="AI72" i="57"/>
  <c r="AN72" i="57" s="1"/>
  <c r="AM72" i="57"/>
  <c r="AO72" i="57" s="1"/>
  <c r="AI73" i="57"/>
  <c r="AK73" i="57" s="1"/>
  <c r="AI74" i="57"/>
  <c r="AN74" i="57" s="1"/>
  <c r="AM74" i="57"/>
  <c r="AO74" i="57" s="1"/>
  <c r="AI75" i="57"/>
  <c r="AK75" i="57" s="1"/>
  <c r="AI76" i="57"/>
  <c r="AN76" i="57" s="1"/>
  <c r="AM76" i="57"/>
  <c r="AO76" i="57" s="1"/>
  <c r="AI77" i="57"/>
  <c r="AK77" i="57" s="1"/>
  <c r="AI78" i="57"/>
  <c r="AN78" i="57" s="1"/>
  <c r="AM78" i="57"/>
  <c r="AO78" i="57" s="1"/>
  <c r="AI79" i="57"/>
  <c r="AK79" i="57" s="1"/>
  <c r="AI80" i="57"/>
  <c r="AN80" i="57" s="1"/>
  <c r="AM80" i="57"/>
  <c r="AO80" i="57" s="1"/>
  <c r="AI81" i="57"/>
  <c r="AK81" i="57" s="1"/>
  <c r="AI82" i="57"/>
  <c r="AN82" i="57" s="1"/>
  <c r="AM82" i="57"/>
  <c r="AO82" i="57" s="1"/>
  <c r="AI83" i="57"/>
  <c r="AK83" i="57" s="1"/>
  <c r="AI84" i="57"/>
  <c r="AN84" i="57" s="1"/>
  <c r="AM84" i="57"/>
  <c r="AO84" i="57" s="1"/>
  <c r="AI85" i="57"/>
  <c r="AK85" i="57" s="1"/>
  <c r="AI86" i="57"/>
  <c r="AN86" i="57" s="1"/>
  <c r="AM86" i="57"/>
  <c r="AO86" i="57" s="1"/>
  <c r="AI87" i="57"/>
  <c r="AK87" i="57" s="1"/>
  <c r="AI88" i="57"/>
  <c r="AN88" i="57" s="1"/>
  <c r="AM88" i="57"/>
  <c r="AO88" i="57" s="1"/>
  <c r="AI89" i="57"/>
  <c r="AK89" i="57" s="1"/>
  <c r="AI90" i="57"/>
  <c r="AJ90" i="57"/>
  <c r="AK90" i="57"/>
  <c r="AM90" i="57"/>
  <c r="AP90" i="57" s="1"/>
  <c r="AO90" i="57"/>
  <c r="AQ90" i="57"/>
  <c r="AI91" i="57"/>
  <c r="AJ91" i="57"/>
  <c r="AK91" i="57"/>
  <c r="AM91" i="57"/>
  <c r="AP91" i="57" s="1"/>
  <c r="AO91" i="57"/>
  <c r="AQ91" i="57"/>
  <c r="AI92" i="57"/>
  <c r="AJ92" i="57"/>
  <c r="AK92" i="57"/>
  <c r="AM92" i="57"/>
  <c r="AP92" i="57" s="1"/>
  <c r="AO92" i="57"/>
  <c r="AQ92" i="57"/>
  <c r="AI93" i="57"/>
  <c r="AJ93" i="57"/>
  <c r="AK93" i="57"/>
  <c r="AM93" i="57"/>
  <c r="AP93" i="57" s="1"/>
  <c r="AO93" i="57"/>
  <c r="AQ93" i="57"/>
  <c r="AI94" i="57"/>
  <c r="AJ94" i="57"/>
  <c r="AK94" i="57"/>
  <c r="AM94" i="57"/>
  <c r="AP94" i="57" s="1"/>
  <c r="AO94" i="57"/>
  <c r="AQ94" i="57"/>
  <c r="AI95" i="57"/>
  <c r="AJ95" i="57"/>
  <c r="AK95" i="57"/>
  <c r="AM95" i="57"/>
  <c r="AP95" i="57" s="1"/>
  <c r="AO95" i="57"/>
  <c r="AQ95" i="57"/>
  <c r="AI96" i="57"/>
  <c r="AJ96" i="57"/>
  <c r="AK96" i="57"/>
  <c r="AM96" i="57"/>
  <c r="AP96" i="57" s="1"/>
  <c r="AO96" i="57"/>
  <c r="AQ96" i="57"/>
  <c r="AI97" i="57"/>
  <c r="AJ97" i="57"/>
  <c r="AK97" i="57"/>
  <c r="AM97" i="57"/>
  <c r="AP97" i="57" s="1"/>
  <c r="AO97" i="57"/>
  <c r="AQ97" i="57"/>
  <c r="AI98" i="57"/>
  <c r="AJ98" i="57"/>
  <c r="AK98" i="57"/>
  <c r="AM98" i="57"/>
  <c r="AP98" i="57" s="1"/>
  <c r="AO98" i="57"/>
  <c r="AQ98" i="57"/>
  <c r="AI99" i="57"/>
  <c r="AJ99" i="57"/>
  <c r="AK99" i="57"/>
  <c r="AM99" i="57"/>
  <c r="AP99" i="57" s="1"/>
  <c r="AO99" i="57"/>
  <c r="AQ99" i="57"/>
  <c r="AI100" i="57"/>
  <c r="AJ100" i="57"/>
  <c r="AK100" i="57"/>
  <c r="AM100" i="57"/>
  <c r="AP100" i="57" s="1"/>
  <c r="AO100" i="57"/>
  <c r="AQ100" i="57"/>
  <c r="AI101" i="57"/>
  <c r="AJ101" i="57"/>
  <c r="AK101" i="57"/>
  <c r="AM101" i="57"/>
  <c r="AP101" i="57" s="1"/>
  <c r="AO101" i="57"/>
  <c r="AQ101" i="57"/>
  <c r="AI102" i="57"/>
  <c r="AJ102" i="57"/>
  <c r="AK102" i="57"/>
  <c r="AM102" i="57"/>
  <c r="AP102" i="57" s="1"/>
  <c r="AO102" i="57"/>
  <c r="AQ102" i="57"/>
  <c r="AI103" i="57"/>
  <c r="AJ103" i="57"/>
  <c r="AK103" i="57"/>
  <c r="AM103" i="57"/>
  <c r="AP103" i="57" s="1"/>
  <c r="AO103" i="57"/>
  <c r="AQ103" i="57"/>
  <c r="AI104" i="57"/>
  <c r="AJ104" i="57"/>
  <c r="AK104" i="57"/>
  <c r="AM104" i="57"/>
  <c r="AP104" i="57" s="1"/>
  <c r="AO104" i="57"/>
  <c r="AQ104" i="57"/>
  <c r="AI105" i="57"/>
  <c r="AJ105" i="57"/>
  <c r="AK105" i="57"/>
  <c r="AM105" i="57"/>
  <c r="AP105" i="57" s="1"/>
  <c r="AO105" i="57"/>
  <c r="AQ105" i="57"/>
  <c r="AI106" i="57"/>
  <c r="AJ106" i="57"/>
  <c r="AK106" i="57"/>
  <c r="AM106" i="57"/>
  <c r="AP106" i="57" s="1"/>
  <c r="AO106" i="57"/>
  <c r="AQ106" i="57"/>
  <c r="AI107" i="57"/>
  <c r="AJ107" i="57"/>
  <c r="AK107" i="57"/>
  <c r="AM107" i="57"/>
  <c r="AP107" i="57" s="1"/>
  <c r="AO107" i="57"/>
  <c r="AQ107" i="57"/>
  <c r="AI108" i="57"/>
  <c r="AJ108" i="57"/>
  <c r="AK108" i="57"/>
  <c r="AM108" i="57"/>
  <c r="AP108" i="57" s="1"/>
  <c r="AO108" i="57"/>
  <c r="AQ108" i="57"/>
  <c r="AI109" i="57"/>
  <c r="AJ109" i="57"/>
  <c r="AK109" i="57"/>
  <c r="AM109" i="57"/>
  <c r="AP109" i="57" s="1"/>
  <c r="AO109" i="57"/>
  <c r="AQ109" i="57"/>
  <c r="AI110" i="57"/>
  <c r="AJ110" i="57"/>
  <c r="AK110" i="57"/>
  <c r="AM110" i="57"/>
  <c r="AP110" i="57" s="1"/>
  <c r="AO110" i="57"/>
  <c r="AQ110" i="57"/>
  <c r="AI111" i="57"/>
  <c r="AJ111" i="57"/>
  <c r="AK111" i="57"/>
  <c r="AM111" i="57"/>
  <c r="AP111" i="57" s="1"/>
  <c r="AO111" i="57"/>
  <c r="AQ111" i="57"/>
  <c r="AI112" i="57"/>
  <c r="AJ112" i="57"/>
  <c r="AK112" i="57"/>
  <c r="AM112" i="57"/>
  <c r="AP112" i="57" s="1"/>
  <c r="AO112" i="57"/>
  <c r="AQ112" i="57"/>
  <c r="AI113" i="57"/>
  <c r="AJ113" i="57"/>
  <c r="AK113" i="57"/>
  <c r="AM113" i="57"/>
  <c r="AP113" i="57" s="1"/>
  <c r="AO113" i="57"/>
  <c r="AQ113" i="57"/>
  <c r="AI114" i="57"/>
  <c r="AJ114" i="57"/>
  <c r="AK114" i="57"/>
  <c r="AM114" i="57"/>
  <c r="AP114" i="57" s="1"/>
  <c r="AO114" i="57"/>
  <c r="AQ114" i="57"/>
  <c r="AI115" i="57"/>
  <c r="AJ115" i="57"/>
  <c r="AK115" i="57"/>
  <c r="AM115" i="57"/>
  <c r="AP115" i="57" s="1"/>
  <c r="AO115" i="57"/>
  <c r="AQ115" i="57"/>
  <c r="AI116" i="57"/>
  <c r="AJ116" i="57"/>
  <c r="AK116" i="57"/>
  <c r="AM116" i="57"/>
  <c r="AP116" i="57" s="1"/>
  <c r="AO116" i="57"/>
  <c r="AQ116" i="57"/>
  <c r="AI117" i="57"/>
  <c r="AJ117" i="57"/>
  <c r="AK117" i="57"/>
  <c r="AM117" i="57"/>
  <c r="AP117" i="57" s="1"/>
  <c r="AO117" i="57"/>
  <c r="AQ117" i="57"/>
  <c r="AI118" i="57"/>
  <c r="AJ118" i="57"/>
  <c r="AK118" i="57"/>
  <c r="AM118" i="57"/>
  <c r="AP118" i="57" s="1"/>
  <c r="AO118" i="57"/>
  <c r="AQ118" i="57"/>
  <c r="AI119" i="57"/>
  <c r="AJ119" i="57"/>
  <c r="AK119" i="57"/>
  <c r="AM119" i="57"/>
  <c r="AP119" i="57" s="1"/>
  <c r="AO119" i="57"/>
  <c r="AQ119" i="57"/>
  <c r="AI120" i="57"/>
  <c r="AJ120" i="57"/>
  <c r="AK120" i="57"/>
  <c r="AM120" i="57"/>
  <c r="AP120" i="57" s="1"/>
  <c r="AO120" i="57"/>
  <c r="AQ120" i="57"/>
  <c r="AI121" i="57"/>
  <c r="AJ121" i="57"/>
  <c r="AK121" i="57"/>
  <c r="AM121" i="57"/>
  <c r="AP121" i="57" s="1"/>
  <c r="AO121" i="57"/>
  <c r="AQ121" i="57"/>
  <c r="AI122" i="57"/>
  <c r="AJ122" i="57"/>
  <c r="AK122" i="57"/>
  <c r="AM122" i="57"/>
  <c r="AP122" i="57" s="1"/>
  <c r="AO122" i="57"/>
  <c r="AQ122" i="57"/>
  <c r="AI123" i="57"/>
  <c r="AJ123" i="57"/>
  <c r="AK123" i="57"/>
  <c r="AM123" i="57"/>
  <c r="AP123" i="57" s="1"/>
  <c r="AO123" i="57"/>
  <c r="AQ123" i="57"/>
  <c r="AI124" i="57"/>
  <c r="AJ124" i="57"/>
  <c r="AK124" i="57"/>
  <c r="AM124" i="57"/>
  <c r="AP124" i="57" s="1"/>
  <c r="AO124" i="57"/>
  <c r="AQ124" i="57"/>
  <c r="AI125" i="57"/>
  <c r="AJ125" i="57"/>
  <c r="AK125" i="57"/>
  <c r="AM125" i="57"/>
  <c r="AP125" i="57" s="1"/>
  <c r="AO125" i="57"/>
  <c r="AQ125" i="57"/>
  <c r="AI126" i="57"/>
  <c r="AJ126" i="57"/>
  <c r="AK126" i="57"/>
  <c r="AM126" i="57"/>
  <c r="AP126" i="57" s="1"/>
  <c r="AO126" i="57"/>
  <c r="AQ126" i="57"/>
  <c r="AI127" i="57"/>
  <c r="AJ127" i="57"/>
  <c r="AK127" i="57"/>
  <c r="AM127" i="57"/>
  <c r="AP127" i="57" s="1"/>
  <c r="AO127" i="57"/>
  <c r="AQ127" i="57"/>
  <c r="AI128" i="57"/>
  <c r="AJ128" i="57"/>
  <c r="AK128" i="57"/>
  <c r="AM128" i="57"/>
  <c r="AP128" i="57" s="1"/>
  <c r="AO128" i="57"/>
  <c r="AQ128" i="57"/>
  <c r="AI129" i="57"/>
  <c r="AJ129" i="57"/>
  <c r="AK129" i="57"/>
  <c r="AM129" i="57"/>
  <c r="AP129" i="57" s="1"/>
  <c r="AO129" i="57"/>
  <c r="AQ129" i="57"/>
  <c r="AI130" i="57"/>
  <c r="AJ130" i="57"/>
  <c r="AK130" i="57"/>
  <c r="AM130" i="57"/>
  <c r="AP130" i="57" s="1"/>
  <c r="AO130" i="57"/>
  <c r="AQ130" i="57"/>
  <c r="AI131" i="57"/>
  <c r="AJ131" i="57"/>
  <c r="AK131" i="57"/>
  <c r="AM131" i="57"/>
  <c r="AP131" i="57" s="1"/>
  <c r="AO131" i="57"/>
  <c r="AQ131" i="57"/>
  <c r="AI132" i="57"/>
  <c r="AJ132" i="57"/>
  <c r="AK132" i="57"/>
  <c r="AM132" i="57"/>
  <c r="AP132" i="57" s="1"/>
  <c r="AO132" i="57"/>
  <c r="AQ132" i="57"/>
  <c r="AI133" i="57"/>
  <c r="AJ133" i="57"/>
  <c r="AK133" i="57"/>
  <c r="AM133" i="57"/>
  <c r="AP133" i="57" s="1"/>
  <c r="AO133" i="57"/>
  <c r="AQ133" i="57"/>
  <c r="AI134" i="57"/>
  <c r="AJ134" i="57"/>
  <c r="AK134" i="57"/>
  <c r="AM134" i="57"/>
  <c r="AP134" i="57" s="1"/>
  <c r="AO134" i="57"/>
  <c r="AQ134" i="57"/>
  <c r="AI135" i="57"/>
  <c r="AJ135" i="57"/>
  <c r="AK135" i="57"/>
  <c r="AM135" i="57"/>
  <c r="AP135" i="57" s="1"/>
  <c r="AO135" i="57"/>
  <c r="AQ135" i="57"/>
  <c r="AI136" i="57"/>
  <c r="AJ136" i="57"/>
  <c r="AK136" i="57"/>
  <c r="AM136" i="57"/>
  <c r="AP136" i="57" s="1"/>
  <c r="AO136" i="57"/>
  <c r="AQ136" i="57"/>
  <c r="AI137" i="57"/>
  <c r="AJ137" i="57"/>
  <c r="AK137" i="57"/>
  <c r="AM137" i="57"/>
  <c r="AP137" i="57" s="1"/>
  <c r="AO137" i="57"/>
  <c r="AQ137" i="57"/>
  <c r="AI138" i="57"/>
  <c r="AJ138" i="57"/>
  <c r="AK138" i="57"/>
  <c r="AM138" i="57"/>
  <c r="AP138" i="57" s="1"/>
  <c r="AO138" i="57"/>
  <c r="AQ138" i="57"/>
  <c r="AI139" i="57"/>
  <c r="AJ139" i="57"/>
  <c r="AK139" i="57"/>
  <c r="AM139" i="57"/>
  <c r="AP139" i="57" s="1"/>
  <c r="AO139" i="57"/>
  <c r="AQ139" i="57"/>
  <c r="AI140" i="57"/>
  <c r="AJ140" i="57"/>
  <c r="AK140" i="57"/>
  <c r="AM140" i="57"/>
  <c r="AP140" i="57" s="1"/>
  <c r="AO140" i="57"/>
  <c r="AQ140" i="57"/>
  <c r="AI141" i="57"/>
  <c r="AJ141" i="57"/>
  <c r="AK141" i="57"/>
  <c r="AM141" i="57"/>
  <c r="AP141" i="57" s="1"/>
  <c r="AO141" i="57"/>
  <c r="AQ141" i="57"/>
  <c r="AI142" i="57"/>
  <c r="AJ142" i="57"/>
  <c r="AK142" i="57"/>
  <c r="AM142" i="57"/>
  <c r="AP142" i="57" s="1"/>
  <c r="AO142" i="57"/>
  <c r="AQ142" i="57"/>
  <c r="AI143" i="57"/>
  <c r="AJ143" i="57"/>
  <c r="AK143" i="57"/>
  <c r="AM143" i="57"/>
  <c r="AP143" i="57" s="1"/>
  <c r="AO143" i="57"/>
  <c r="AQ143" i="57"/>
  <c r="AI144" i="57"/>
  <c r="AJ144" i="57"/>
  <c r="AK144" i="57"/>
  <c r="AM144" i="57"/>
  <c r="AP144" i="57" s="1"/>
  <c r="AO144" i="57"/>
  <c r="AQ144" i="57"/>
  <c r="AI145" i="57"/>
  <c r="AJ145" i="57"/>
  <c r="AK145" i="57"/>
  <c r="AM145" i="57"/>
  <c r="AP145" i="57" s="1"/>
  <c r="AO145" i="57"/>
  <c r="AQ145" i="57"/>
  <c r="AI146" i="57"/>
  <c r="AJ146" i="57"/>
  <c r="AK146" i="57"/>
  <c r="AM146" i="57"/>
  <c r="AP146" i="57" s="1"/>
  <c r="AO146" i="57"/>
  <c r="AQ146" i="57"/>
  <c r="AI147" i="57"/>
  <c r="AJ147" i="57"/>
  <c r="AK147" i="57"/>
  <c r="AM147" i="57"/>
  <c r="AP147" i="57" s="1"/>
  <c r="AO147" i="57"/>
  <c r="AQ147" i="57"/>
  <c r="AI148" i="57"/>
  <c r="AJ148" i="57"/>
  <c r="AK148" i="57"/>
  <c r="AM148" i="57"/>
  <c r="AP148" i="57" s="1"/>
  <c r="AO148" i="57"/>
  <c r="AQ148" i="57"/>
  <c r="AI149" i="57"/>
  <c r="AJ149" i="57"/>
  <c r="AK149" i="57"/>
  <c r="AM149" i="57"/>
  <c r="AP149" i="57" s="1"/>
  <c r="AO149" i="57"/>
  <c r="AQ149" i="57"/>
  <c r="AI150" i="57"/>
  <c r="AJ150" i="57"/>
  <c r="AK150" i="57"/>
  <c r="AM150" i="57"/>
  <c r="AP150" i="57" s="1"/>
  <c r="AO150" i="57"/>
  <c r="AQ150" i="57"/>
  <c r="AI151" i="57"/>
  <c r="AJ151" i="57"/>
  <c r="AK151" i="57"/>
  <c r="AM151" i="57"/>
  <c r="AP151" i="57" s="1"/>
  <c r="AO151" i="57"/>
  <c r="AQ151" i="57"/>
  <c r="AI152" i="57"/>
  <c r="AJ152" i="57"/>
  <c r="AK152" i="57"/>
  <c r="AM152" i="57"/>
  <c r="AP152" i="57" s="1"/>
  <c r="AO152" i="57"/>
  <c r="AQ152" i="57"/>
  <c r="AI153" i="57"/>
  <c r="AJ153" i="57"/>
  <c r="AK153" i="57"/>
  <c r="AM153" i="57"/>
  <c r="AP153" i="57" s="1"/>
  <c r="AO153" i="57"/>
  <c r="AQ153" i="57"/>
  <c r="AI154" i="57"/>
  <c r="AJ154" i="57"/>
  <c r="AK154" i="57"/>
  <c r="AM154" i="57"/>
  <c r="AP154" i="57" s="1"/>
  <c r="AO154" i="57"/>
  <c r="AQ154" i="57"/>
  <c r="AI155" i="57"/>
  <c r="AJ155" i="57"/>
  <c r="AK155" i="57"/>
  <c r="AM155" i="57"/>
  <c r="AP155" i="57" s="1"/>
  <c r="AO155" i="57"/>
  <c r="AQ155" i="57"/>
  <c r="AI156" i="57"/>
  <c r="AJ156" i="57"/>
  <c r="AK156" i="57"/>
  <c r="AM156" i="57"/>
  <c r="AP156" i="57" s="1"/>
  <c r="AO156" i="57"/>
  <c r="AQ156" i="57"/>
  <c r="AI157" i="57"/>
  <c r="AJ157" i="57"/>
  <c r="AK157" i="57"/>
  <c r="AM157" i="57"/>
  <c r="AP157" i="57" s="1"/>
  <c r="AO157" i="57"/>
  <c r="AQ157" i="57"/>
  <c r="AI158" i="57"/>
  <c r="AJ158" i="57"/>
  <c r="AK158" i="57"/>
  <c r="AM158" i="57"/>
  <c r="AP158" i="57" s="1"/>
  <c r="AO158" i="57"/>
  <c r="AQ158" i="57"/>
  <c r="AI159" i="57"/>
  <c r="AJ159" i="57"/>
  <c r="AK159" i="57"/>
  <c r="AM159" i="57"/>
  <c r="AP159" i="57" s="1"/>
  <c r="AO159" i="57"/>
  <c r="AQ159" i="57"/>
  <c r="AI160" i="57"/>
  <c r="AJ160" i="57"/>
  <c r="AK160" i="57"/>
  <c r="AM160" i="57"/>
  <c r="AP160" i="57" s="1"/>
  <c r="AO160" i="57"/>
  <c r="AQ160" i="57"/>
  <c r="AI161" i="57"/>
  <c r="AJ161" i="57"/>
  <c r="AK161" i="57"/>
  <c r="AM161" i="57"/>
  <c r="AP161" i="57" s="1"/>
  <c r="AO161" i="57"/>
  <c r="AQ161" i="57"/>
  <c r="AI162" i="57"/>
  <c r="AJ162" i="57"/>
  <c r="AK162" i="57"/>
  <c r="AM162" i="57"/>
  <c r="AP162" i="57" s="1"/>
  <c r="AO162" i="57"/>
  <c r="AQ162" i="57"/>
  <c r="AI163" i="57"/>
  <c r="AJ163" i="57"/>
  <c r="AK163" i="57"/>
  <c r="AM163" i="57"/>
  <c r="AP163" i="57" s="1"/>
  <c r="AO163" i="57"/>
  <c r="AQ163" i="57"/>
  <c r="AI164" i="57"/>
  <c r="AJ164" i="57"/>
  <c r="AK164" i="57"/>
  <c r="AM164" i="57"/>
  <c r="AP164" i="57" s="1"/>
  <c r="AO164" i="57"/>
  <c r="AQ164" i="57"/>
  <c r="AI165" i="57"/>
  <c r="AJ165" i="57"/>
  <c r="AK165" i="57"/>
  <c r="AM165" i="57"/>
  <c r="AP165" i="57" s="1"/>
  <c r="AO165" i="57"/>
  <c r="AQ165" i="57"/>
  <c r="AI166" i="57"/>
  <c r="AJ166" i="57"/>
  <c r="AK166" i="57"/>
  <c r="AM166" i="57"/>
  <c r="AP166" i="57" s="1"/>
  <c r="AO166" i="57"/>
  <c r="AQ166" i="57"/>
  <c r="AI167" i="57"/>
  <c r="AJ167" i="57"/>
  <c r="AK167" i="57"/>
  <c r="AM167" i="57"/>
  <c r="AP167" i="57" s="1"/>
  <c r="AO167" i="57"/>
  <c r="AQ167" i="57"/>
  <c r="AI168" i="57"/>
  <c r="AJ168" i="57"/>
  <c r="AK168" i="57"/>
  <c r="AM168" i="57"/>
  <c r="AP168" i="57" s="1"/>
  <c r="AO168" i="57"/>
  <c r="AQ168" i="57"/>
  <c r="AI169" i="57"/>
  <c r="AJ169" i="57"/>
  <c r="AK169" i="57"/>
  <c r="AM169" i="57"/>
  <c r="AP169" i="57" s="1"/>
  <c r="AO169" i="57"/>
  <c r="AQ169" i="57"/>
  <c r="AI170" i="57"/>
  <c r="AJ170" i="57"/>
  <c r="AK170" i="57"/>
  <c r="AM170" i="57"/>
  <c r="AP170" i="57" s="1"/>
  <c r="AO170" i="57"/>
  <c r="AQ170" i="57"/>
  <c r="AI171" i="57"/>
  <c r="AJ171" i="57"/>
  <c r="AK171" i="57"/>
  <c r="AM171" i="57"/>
  <c r="AP171" i="57" s="1"/>
  <c r="AO171" i="57"/>
  <c r="AQ171" i="57"/>
  <c r="AN4" i="57"/>
  <c r="AK4" i="57"/>
  <c r="AY1684" i="57"/>
  <c r="BA1684" i="57"/>
  <c r="AY1685" i="57"/>
  <c r="BA1685" i="57"/>
  <c r="AY1686" i="57"/>
  <c r="BA1686" i="57"/>
  <c r="AY1687" i="57"/>
  <c r="AY1688" i="57"/>
  <c r="BA1688" i="57"/>
  <c r="AY1689" i="57"/>
  <c r="BA1689" i="57"/>
  <c r="AY1690" i="57"/>
  <c r="BA1690" i="57"/>
  <c r="AY1691" i="57"/>
  <c r="AY1692" i="57"/>
  <c r="BA1692" i="57"/>
  <c r="AY1693" i="57"/>
  <c r="BA1693" i="57"/>
  <c r="AY1694" i="57"/>
  <c r="BA1694" i="57"/>
  <c r="AY1695" i="57"/>
  <c r="AY1696" i="57"/>
  <c r="BA1696" i="57"/>
  <c r="AY1697" i="57"/>
  <c r="BA1697" i="57"/>
  <c r="AY1698" i="57"/>
  <c r="BA1698" i="57"/>
  <c r="AY1699" i="57"/>
  <c r="AY1700" i="57"/>
  <c r="BA1700" i="57"/>
  <c r="AY1701" i="57"/>
  <c r="BA1701" i="57"/>
  <c r="AY1702" i="57"/>
  <c r="BA1702" i="57"/>
  <c r="AY1703" i="57"/>
  <c r="AY1704" i="57"/>
  <c r="BA1704" i="57"/>
  <c r="AY1705" i="57"/>
  <c r="BA1705" i="57"/>
  <c r="AY1706" i="57"/>
  <c r="BA1706" i="57"/>
  <c r="AY1707" i="57"/>
  <c r="AY1708" i="57"/>
  <c r="BA1708" i="57"/>
  <c r="AY1709" i="57"/>
  <c r="BA1709" i="57"/>
  <c r="AY1710" i="57"/>
  <c r="BA1710" i="57"/>
  <c r="AY1711" i="57"/>
  <c r="AY1712" i="57"/>
  <c r="BA1712" i="57" s="1"/>
  <c r="AY1713" i="57"/>
  <c r="BA1713" i="57"/>
  <c r="AY1714" i="57"/>
  <c r="BA1714" i="57"/>
  <c r="AY1715" i="57"/>
  <c r="AY1716" i="57"/>
  <c r="BA1716" i="57" s="1"/>
  <c r="AY1717" i="57"/>
  <c r="BA1717" i="57"/>
  <c r="AY1718" i="57"/>
  <c r="BA1718" i="57"/>
  <c r="AY1719" i="57"/>
  <c r="BK1719" i="57"/>
  <c r="AY1720" i="57"/>
  <c r="BA1720" i="57" s="1"/>
  <c r="AY1721" i="57"/>
  <c r="BA1721" i="57"/>
  <c r="AY1722" i="57"/>
  <c r="BA1722" i="57" s="1"/>
  <c r="AY1723" i="57"/>
  <c r="BA1723" i="57"/>
  <c r="AY1724" i="57"/>
  <c r="AY1725" i="57"/>
  <c r="BA1725" i="57"/>
  <c r="AY1726" i="57"/>
  <c r="BA1726" i="57" s="1"/>
  <c r="AY1727" i="57"/>
  <c r="BA1727" i="57" s="1"/>
  <c r="AY1728" i="57"/>
  <c r="AY1729" i="57"/>
  <c r="BA1729" i="57"/>
  <c r="AY1730" i="57"/>
  <c r="BA1730" i="57" s="1"/>
  <c r="AY1731" i="57"/>
  <c r="BA1731" i="57" s="1"/>
  <c r="AY1732" i="57"/>
  <c r="AY1733" i="57"/>
  <c r="BA1733" i="57"/>
  <c r="AY1734" i="57"/>
  <c r="BA1734" i="57" s="1"/>
  <c r="AY1735" i="57"/>
  <c r="BA1735" i="57" s="1"/>
  <c r="AY1736" i="57"/>
  <c r="AY1737" i="57"/>
  <c r="BA1737" i="57"/>
  <c r="AY1738" i="57"/>
  <c r="BA1738" i="57" s="1"/>
  <c r="AY1739" i="57"/>
  <c r="AY1740" i="57"/>
  <c r="BA1740" i="57" s="1"/>
  <c r="AY1741" i="57"/>
  <c r="BA1741" i="57"/>
  <c r="AY1742" i="57"/>
  <c r="BA1742" i="57" s="1"/>
  <c r="AY1743" i="57"/>
  <c r="BA1743" i="57" s="1"/>
  <c r="AY1744" i="57"/>
  <c r="BA1744" i="57"/>
  <c r="AY1745" i="57"/>
  <c r="BA1745" i="57"/>
  <c r="AY1746" i="57"/>
  <c r="AY1747" i="57"/>
  <c r="BA1747" i="57" s="1"/>
  <c r="AY1748" i="57"/>
  <c r="BA1748" i="57" s="1"/>
  <c r="AY1749" i="57"/>
  <c r="BA1749" i="57"/>
  <c r="AY1750" i="57"/>
  <c r="AY1751" i="57"/>
  <c r="AY1752" i="57"/>
  <c r="BA1752" i="57" s="1"/>
  <c r="AY1753" i="57"/>
  <c r="BA1753" i="57" s="1"/>
  <c r="AY1754" i="57"/>
  <c r="BA1754" i="57"/>
  <c r="AY1755" i="57"/>
  <c r="BA1755" i="57" s="1"/>
  <c r="BH1755" i="57"/>
  <c r="AY1756" i="57"/>
  <c r="BA1756" i="57" s="1"/>
  <c r="AY1757" i="57"/>
  <c r="BA1757" i="57" s="1"/>
  <c r="AY1758" i="57"/>
  <c r="BA1758" i="57"/>
  <c r="AY1759" i="57"/>
  <c r="BA1759" i="57" s="1"/>
  <c r="AY1760" i="57"/>
  <c r="BA1760" i="57"/>
  <c r="AY1761" i="57"/>
  <c r="BA1761" i="57" s="1"/>
  <c r="AY1762" i="57"/>
  <c r="BA1762" i="57"/>
  <c r="AY1763" i="57"/>
  <c r="AY1764" i="57"/>
  <c r="BA1764" i="57"/>
  <c r="AY1765" i="57"/>
  <c r="BA1765" i="57" s="1"/>
  <c r="AY1766" i="57"/>
  <c r="BA1766" i="57"/>
  <c r="AY1767" i="57"/>
  <c r="AY1768" i="57"/>
  <c r="BA1768" i="57"/>
  <c r="AY1769" i="57"/>
  <c r="BA1769" i="57" s="1"/>
  <c r="AY1770" i="57"/>
  <c r="BA1770" i="57"/>
  <c r="AY1771" i="57"/>
  <c r="AY1772" i="57"/>
  <c r="BA1772" i="57"/>
  <c r="AY1773" i="57"/>
  <c r="BA1773" i="57" s="1"/>
  <c r="AY1774" i="57"/>
  <c r="BA1774" i="57"/>
  <c r="AY1775" i="57"/>
  <c r="BK1775" i="57"/>
  <c r="AY1776" i="57"/>
  <c r="BA1776" i="57"/>
  <c r="AY1777" i="57"/>
  <c r="BA1777" i="57" s="1"/>
  <c r="AY1778" i="57"/>
  <c r="BA1778" i="57"/>
  <c r="AY1779" i="57"/>
  <c r="AY1780" i="57"/>
  <c r="BA1780" i="57"/>
  <c r="AY1781" i="57"/>
  <c r="BA1781" i="57"/>
  <c r="BH1781" i="57"/>
  <c r="AY1782" i="57"/>
  <c r="BA1782" i="57"/>
  <c r="AY1783" i="57"/>
  <c r="AY1784" i="57"/>
  <c r="BA1784" i="57"/>
  <c r="AY1785" i="57"/>
  <c r="BA1785" i="57"/>
  <c r="AY1786" i="57"/>
  <c r="BA1786" i="57"/>
  <c r="AY1787" i="57"/>
  <c r="AY1788" i="57"/>
  <c r="BA1788" i="57"/>
  <c r="AY1789" i="57"/>
  <c r="BA1789" i="57"/>
  <c r="AY1790" i="57"/>
  <c r="BA1790" i="57"/>
  <c r="AY1791" i="57"/>
  <c r="AY1792" i="57"/>
  <c r="BA1792" i="57"/>
  <c r="AY1793" i="57"/>
  <c r="BA1793" i="57"/>
  <c r="AY1794" i="57"/>
  <c r="BA1794" i="57"/>
  <c r="BH1794" i="57"/>
  <c r="AY1795" i="57"/>
  <c r="BK1795" i="57"/>
  <c r="AY1796" i="57"/>
  <c r="BA1796" i="57"/>
  <c r="AY1797" i="57"/>
  <c r="BA1797" i="57"/>
  <c r="AY1798" i="57"/>
  <c r="BA1798" i="57"/>
  <c r="AY1799" i="57"/>
  <c r="BH1799" i="57"/>
  <c r="AY1800" i="57"/>
  <c r="BA1800" i="57" s="1"/>
  <c r="AU1793" i="57"/>
  <c r="AU1794" i="57"/>
  <c r="AU1795" i="57"/>
  <c r="AU1796" i="57"/>
  <c r="AU1797" i="57"/>
  <c r="AU1798" i="57"/>
  <c r="AU1799" i="57"/>
  <c r="AU1800" i="57"/>
  <c r="AU1771" i="57"/>
  <c r="AU1772" i="57"/>
  <c r="AU1773" i="57"/>
  <c r="AU1774" i="57"/>
  <c r="AU1775" i="57"/>
  <c r="AU1776" i="57"/>
  <c r="AU1777" i="57"/>
  <c r="AU1778" i="57"/>
  <c r="AU1779" i="57"/>
  <c r="AU1780" i="57"/>
  <c r="AU1781" i="57"/>
  <c r="AU1782" i="57"/>
  <c r="AU1783" i="57"/>
  <c r="AU1784" i="57"/>
  <c r="AU1785" i="57"/>
  <c r="AU1786" i="57"/>
  <c r="AU1787" i="57"/>
  <c r="AU1788" i="57"/>
  <c r="AU1789" i="57"/>
  <c r="AU1790" i="57"/>
  <c r="AU1791" i="57"/>
  <c r="AU1792" i="57"/>
  <c r="AU1684" i="57"/>
  <c r="AU1685" i="57"/>
  <c r="AU1686" i="57"/>
  <c r="AU1687" i="57"/>
  <c r="AU1688" i="57"/>
  <c r="AU1689" i="57"/>
  <c r="AU1690" i="57"/>
  <c r="AU1691" i="57"/>
  <c r="AU1692" i="57"/>
  <c r="AU1693" i="57"/>
  <c r="AU1694" i="57"/>
  <c r="AU1695" i="57"/>
  <c r="AU1696" i="57"/>
  <c r="AU1697" i="57"/>
  <c r="AU1698" i="57"/>
  <c r="AU1699" i="57"/>
  <c r="AU1700" i="57"/>
  <c r="AU1701" i="57"/>
  <c r="AU1702" i="57"/>
  <c r="AU1703" i="57"/>
  <c r="AU1704" i="57"/>
  <c r="AU1705" i="57"/>
  <c r="AU1706" i="57"/>
  <c r="AU1707" i="57"/>
  <c r="AU1708" i="57"/>
  <c r="AU1709" i="57"/>
  <c r="AU1710" i="57"/>
  <c r="AU1711" i="57"/>
  <c r="AU1712" i="57"/>
  <c r="AU1713" i="57"/>
  <c r="AU1714" i="57"/>
  <c r="AU1715" i="57"/>
  <c r="AU1716" i="57"/>
  <c r="AU1717" i="57"/>
  <c r="AU1718" i="57"/>
  <c r="AU1719" i="57"/>
  <c r="AU1720" i="57"/>
  <c r="AU1721" i="57"/>
  <c r="AU1722" i="57"/>
  <c r="AU1723" i="57"/>
  <c r="AU1724" i="57"/>
  <c r="AU1725" i="57"/>
  <c r="AU1726" i="57"/>
  <c r="AU1727" i="57"/>
  <c r="AU1728" i="57"/>
  <c r="AU1729" i="57"/>
  <c r="AU1730" i="57"/>
  <c r="AU1731" i="57"/>
  <c r="AU1732" i="57"/>
  <c r="AU1733" i="57"/>
  <c r="AU1734" i="57"/>
  <c r="AU1735" i="57"/>
  <c r="AU1736" i="57"/>
  <c r="AU1737" i="57"/>
  <c r="AU1738" i="57"/>
  <c r="AU1739" i="57"/>
  <c r="AU1740" i="57"/>
  <c r="AU1741" i="57"/>
  <c r="AU1742" i="57"/>
  <c r="AU1743" i="57"/>
  <c r="AU1744" i="57"/>
  <c r="AU1745" i="57"/>
  <c r="AU1746" i="57"/>
  <c r="AU1747" i="57"/>
  <c r="AU1748" i="57"/>
  <c r="AU1749" i="57"/>
  <c r="AU1750" i="57"/>
  <c r="AU1751" i="57"/>
  <c r="AU1752" i="57"/>
  <c r="AU1753" i="57"/>
  <c r="AU1754" i="57"/>
  <c r="AU1755" i="57"/>
  <c r="AU1756" i="57"/>
  <c r="AU1757" i="57"/>
  <c r="AU1758" i="57"/>
  <c r="AU1759" i="57"/>
  <c r="AU1760" i="57"/>
  <c r="AU1761" i="57"/>
  <c r="AU1762" i="57"/>
  <c r="AU1763" i="57"/>
  <c r="AU1764" i="57"/>
  <c r="AU1765" i="57"/>
  <c r="AU1766" i="57"/>
  <c r="AU1767" i="57"/>
  <c r="AU1768" i="57"/>
  <c r="AU1769" i="57"/>
  <c r="AU1770" i="57"/>
  <c r="AC25" i="57"/>
  <c r="AD25" i="57"/>
  <c r="AE25" i="57"/>
  <c r="AC26" i="57"/>
  <c r="AD26" i="57"/>
  <c r="AE26" i="57"/>
  <c r="AC27" i="57"/>
  <c r="AD27" i="57"/>
  <c r="AE27" i="57"/>
  <c r="AC28" i="57"/>
  <c r="AD28" i="57"/>
  <c r="AE28" i="57"/>
  <c r="AW1961" i="57" l="1"/>
  <c r="AY1961" i="57"/>
  <c r="BA1996" i="57"/>
  <c r="BD1996" i="57" s="1"/>
  <c r="BG1996" i="57"/>
  <c r="AV1996" i="57"/>
  <c r="BJ1996" i="57"/>
  <c r="BB1996" i="57"/>
  <c r="BA1988" i="57"/>
  <c r="BG1988" i="57" s="1"/>
  <c r="AV1988" i="57"/>
  <c r="BJ1988" i="57"/>
  <c r="BD1978" i="57"/>
  <c r="BJ1978" i="57"/>
  <c r="BG1978" i="57"/>
  <c r="BA1978" i="57"/>
  <c r="BA2000" i="57"/>
  <c r="BG2000" i="57" s="1"/>
  <c r="AV2000" i="57"/>
  <c r="BJ2000" i="57"/>
  <c r="BD2000" i="57"/>
  <c r="BA1992" i="57"/>
  <c r="BD1992" i="57" s="1"/>
  <c r="AV1992" i="57"/>
  <c r="BJ1992" i="57"/>
  <c r="AW1985" i="57"/>
  <c r="AY1985" i="57"/>
  <c r="BD1970" i="57"/>
  <c r="BA1970" i="57"/>
  <c r="BJ1970" i="57" s="1"/>
  <c r="AW1977" i="57"/>
  <c r="AY1977" i="57"/>
  <c r="BB1977" i="57" s="1"/>
  <c r="BA1977" i="57"/>
  <c r="BJ1962" i="57"/>
  <c r="BG1962" i="57"/>
  <c r="BA1962" i="57"/>
  <c r="BD1962" i="57" s="1"/>
  <c r="BD1986" i="57"/>
  <c r="BJ1986" i="57"/>
  <c r="BG1986" i="57"/>
  <c r="BA1986" i="57"/>
  <c r="AV1969" i="57"/>
  <c r="AW1969" i="57"/>
  <c r="AY1969" i="57"/>
  <c r="BA2001" i="57"/>
  <c r="BA1993" i="57"/>
  <c r="BG1993" i="57"/>
  <c r="BJ1991" i="57"/>
  <c r="BA1989" i="57"/>
  <c r="BG1989" i="57"/>
  <c r="AV1987" i="57"/>
  <c r="AW1987" i="57"/>
  <c r="AY1987" i="57"/>
  <c r="BA1987" i="57"/>
  <c r="BD1980" i="57"/>
  <c r="BJ1980" i="57"/>
  <c r="BG1980" i="57"/>
  <c r="AW1979" i="57"/>
  <c r="AY1979" i="57"/>
  <c r="BA1979" i="57"/>
  <c r="BB1979" i="57" s="1"/>
  <c r="BD1972" i="57"/>
  <c r="BJ1972" i="57"/>
  <c r="BG1972" i="57"/>
  <c r="AW1971" i="57"/>
  <c r="AY1971" i="57"/>
  <c r="BB1971" i="57" s="1"/>
  <c r="BA1971" i="57"/>
  <c r="BD1964" i="57"/>
  <c r="BJ1964" i="57"/>
  <c r="BG1964" i="57"/>
  <c r="AV1963" i="57"/>
  <c r="AW1963" i="57"/>
  <c r="AY1963" i="57"/>
  <c r="BA1997" i="57"/>
  <c r="BG1997" i="57"/>
  <c r="BA2002" i="57"/>
  <c r="BA1998" i="57"/>
  <c r="BA1994" i="57"/>
  <c r="BA1990" i="57"/>
  <c r="BB1989" i="57"/>
  <c r="BD1982" i="57"/>
  <c r="BJ1982" i="57"/>
  <c r="BG1982" i="57"/>
  <c r="AW1981" i="57"/>
  <c r="AY1981" i="57"/>
  <c r="BD1974" i="57"/>
  <c r="BJ1974" i="57"/>
  <c r="BG1974" i="57"/>
  <c r="AW1973" i="57"/>
  <c r="AY1973" i="57"/>
  <c r="BB1973" i="57" s="1"/>
  <c r="BA1973" i="57"/>
  <c r="BD1966" i="57"/>
  <c r="BJ1966" i="57"/>
  <c r="BG1966" i="57"/>
  <c r="AW1965" i="57"/>
  <c r="AY1965" i="57"/>
  <c r="BA2003" i="57"/>
  <c r="BA1999" i="57"/>
  <c r="BG1999" i="57"/>
  <c r="BA1995" i="57"/>
  <c r="BA1991" i="57"/>
  <c r="BG1991" i="57"/>
  <c r="BD1984" i="57"/>
  <c r="BJ1984" i="57"/>
  <c r="BG1984" i="57"/>
  <c r="AW1983" i="57"/>
  <c r="AY1983" i="57"/>
  <c r="BD1976" i="57"/>
  <c r="BJ1976" i="57"/>
  <c r="BG1976" i="57"/>
  <c r="AW1975" i="57"/>
  <c r="AY1975" i="57"/>
  <c r="BB1975" i="57" s="1"/>
  <c r="BA1975" i="57"/>
  <c r="BD1968" i="57"/>
  <c r="BJ1968" i="57"/>
  <c r="BG1968" i="57"/>
  <c r="AW1967" i="57"/>
  <c r="AY1967" i="57"/>
  <c r="AV1967" i="57" s="1"/>
  <c r="BD1960" i="57"/>
  <c r="BJ1960" i="57"/>
  <c r="BG1960" i="57"/>
  <c r="AW1959" i="57"/>
  <c r="AY1959" i="57"/>
  <c r="BA1959" i="57"/>
  <c r="AV1986" i="57"/>
  <c r="BB1986" i="57"/>
  <c r="AW1986" i="57"/>
  <c r="AV1984" i="57"/>
  <c r="BB1984" i="57"/>
  <c r="AW1984" i="57"/>
  <c r="AV1982" i="57"/>
  <c r="BB1982" i="57"/>
  <c r="AW1982" i="57"/>
  <c r="AV1980" i="57"/>
  <c r="BB1980" i="57"/>
  <c r="AW1980" i="57"/>
  <c r="AV1978" i="57"/>
  <c r="BB1978" i="57"/>
  <c r="AW1978" i="57"/>
  <c r="AV1976" i="57"/>
  <c r="BB1976" i="57"/>
  <c r="AW1976" i="57"/>
  <c r="AV1974" i="57"/>
  <c r="BB1974" i="57"/>
  <c r="AW1974" i="57"/>
  <c r="AV1972" i="57"/>
  <c r="BB1972" i="57"/>
  <c r="AW1972" i="57"/>
  <c r="AV1970" i="57"/>
  <c r="AW1970" i="57"/>
  <c r="AV1968" i="57"/>
  <c r="BB1968" i="57"/>
  <c r="AW1968" i="57"/>
  <c r="AV1966" i="57"/>
  <c r="BB1966" i="57"/>
  <c r="AW1966" i="57"/>
  <c r="AV1964" i="57"/>
  <c r="BB1964" i="57"/>
  <c r="AW1964" i="57"/>
  <c r="AV1962" i="57"/>
  <c r="BB1962" i="57"/>
  <c r="AW1962" i="57"/>
  <c r="AV1960" i="57"/>
  <c r="BB1960" i="57"/>
  <c r="AW1960" i="57"/>
  <c r="BE1974" i="57"/>
  <c r="AV1919" i="57"/>
  <c r="AV1931" i="57"/>
  <c r="AW1940" i="57"/>
  <c r="AY1940" i="57"/>
  <c r="AW1928" i="57"/>
  <c r="AY1928" i="57"/>
  <c r="AW1920" i="57"/>
  <c r="AY1920" i="57"/>
  <c r="AW1911" i="57"/>
  <c r="AY1911" i="57"/>
  <c r="AV1910" i="57"/>
  <c r="BA1869" i="57"/>
  <c r="BG1869" i="57" s="1"/>
  <c r="BJ1869" i="57"/>
  <c r="AV1869" i="57"/>
  <c r="AY1957" i="57"/>
  <c r="BA1956" i="57"/>
  <c r="AV1954" i="57"/>
  <c r="AY1953" i="57"/>
  <c r="AV1950" i="57"/>
  <c r="AY1949" i="57"/>
  <c r="AY1945" i="57"/>
  <c r="AY1943" i="57"/>
  <c r="AV1942" i="57"/>
  <c r="AW1941" i="57"/>
  <c r="AV1941" i="57"/>
  <c r="AY1939" i="57"/>
  <c r="AV1939" i="57" s="1"/>
  <c r="AW1937" i="57"/>
  <c r="AV1937" i="57"/>
  <c r="AY1935" i="57"/>
  <c r="AV1934" i="57"/>
  <c r="AW1933" i="57"/>
  <c r="AV1933" i="57"/>
  <c r="AY1931" i="57"/>
  <c r="AV1930" i="57"/>
  <c r="AW1929" i="57"/>
  <c r="AV1929" i="57"/>
  <c r="AY1927" i="57"/>
  <c r="AW1925" i="57"/>
  <c r="AV1925" i="57"/>
  <c r="AY1923" i="57"/>
  <c r="BG1922" i="57"/>
  <c r="AW1921" i="57"/>
  <c r="AV1921" i="57"/>
  <c r="BB1920" i="57"/>
  <c r="AY1919" i="57"/>
  <c r="BG1918" i="57"/>
  <c r="AW1916" i="57"/>
  <c r="AY1916" i="57"/>
  <c r="AW1908" i="57"/>
  <c r="AY1908" i="57"/>
  <c r="AW1900" i="57"/>
  <c r="AY1900" i="57"/>
  <c r="BB1900" i="57" s="1"/>
  <c r="AW1892" i="57"/>
  <c r="AY1892" i="57"/>
  <c r="BA1888" i="57"/>
  <c r="BG1888" i="57" s="1"/>
  <c r="AV1888" i="57"/>
  <c r="BD1888" i="57"/>
  <c r="BA1885" i="57"/>
  <c r="BG1885" i="57" s="1"/>
  <c r="BA1872" i="57"/>
  <c r="BB1872" i="57" s="1"/>
  <c r="AV1872" i="57"/>
  <c r="BD1872" i="57"/>
  <c r="BJ1872" i="57"/>
  <c r="BB1938" i="57"/>
  <c r="AW1932" i="57"/>
  <c r="AY1932" i="57"/>
  <c r="BB1932" i="57" s="1"/>
  <c r="BB1926" i="57"/>
  <c r="BB1922" i="57"/>
  <c r="AW1903" i="57"/>
  <c r="AY1903" i="57"/>
  <c r="BB1902" i="57"/>
  <c r="AV1902" i="57"/>
  <c r="BA1886" i="57"/>
  <c r="BG1886" i="57" s="1"/>
  <c r="AV1886" i="57"/>
  <c r="BA1880" i="57"/>
  <c r="BG1880" i="57" s="1"/>
  <c r="AV1880" i="57"/>
  <c r="BD1880" i="57"/>
  <c r="BA1873" i="57"/>
  <c r="BG1873" i="57" s="1"/>
  <c r="BJ1873" i="57"/>
  <c r="BD1873" i="57"/>
  <c r="AV1873" i="57"/>
  <c r="BB1958" i="57"/>
  <c r="AV1957" i="57"/>
  <c r="AY1956" i="57"/>
  <c r="BA1955" i="57"/>
  <c r="BG1955" i="57" s="1"/>
  <c r="AV1953" i="57"/>
  <c r="AY1952" i="57"/>
  <c r="BA1951" i="57"/>
  <c r="BG1951" i="57" s="1"/>
  <c r="BB1950" i="57"/>
  <c r="AV1949" i="57"/>
  <c r="AY1948" i="57"/>
  <c r="BA1947" i="57"/>
  <c r="BG1947" i="57" s="1"/>
  <c r="AY1944" i="57"/>
  <c r="BA1940" i="57"/>
  <c r="BB1940" i="57" s="1"/>
  <c r="BA1932" i="57"/>
  <c r="BA1928" i="57"/>
  <c r="BB1928" i="57" s="1"/>
  <c r="BA1920" i="57"/>
  <c r="BD1917" i="57"/>
  <c r="BJ1917" i="57"/>
  <c r="BG1917" i="57"/>
  <c r="AW1915" i="57"/>
  <c r="AY1915" i="57"/>
  <c r="BD1914" i="57"/>
  <c r="BJ1914" i="57"/>
  <c r="BB1914" i="57"/>
  <c r="AV1914" i="57"/>
  <c r="BG1914" i="57"/>
  <c r="BD1909" i="57"/>
  <c r="BJ1909" i="57"/>
  <c r="BG1909" i="57"/>
  <c r="AW1907" i="57"/>
  <c r="AY1907" i="57"/>
  <c r="BD1906" i="57"/>
  <c r="BJ1906" i="57"/>
  <c r="BB1906" i="57"/>
  <c r="AV1906" i="57"/>
  <c r="BG1906" i="57"/>
  <c r="BD1901" i="57"/>
  <c r="BJ1901" i="57"/>
  <c r="BG1901" i="57"/>
  <c r="AW1899" i="57"/>
  <c r="AY1899" i="57"/>
  <c r="BD1898" i="57"/>
  <c r="BJ1898" i="57"/>
  <c r="BB1898" i="57"/>
  <c r="AV1898" i="57"/>
  <c r="BG1898" i="57"/>
  <c r="BD1893" i="57"/>
  <c r="BJ1893" i="57"/>
  <c r="BG1893" i="57"/>
  <c r="AW1891" i="57"/>
  <c r="AY1891" i="57"/>
  <c r="BD1890" i="57"/>
  <c r="BJ1890" i="57"/>
  <c r="BB1890" i="57"/>
  <c r="AV1890" i="57"/>
  <c r="BG1890" i="57"/>
  <c r="BA1889" i="57"/>
  <c r="BG1889" i="57" s="1"/>
  <c r="BJ1889" i="57"/>
  <c r="BD1889" i="57"/>
  <c r="BA1887" i="57"/>
  <c r="BD1887" i="57" s="1"/>
  <c r="AV1887" i="57"/>
  <c r="BA1878" i="57"/>
  <c r="BB1878" i="57" s="1"/>
  <c r="AV1878" i="57"/>
  <c r="BJ1878" i="57"/>
  <c r="BA1877" i="57"/>
  <c r="BG1877" i="57" s="1"/>
  <c r="BJ1877" i="57"/>
  <c r="AV1877" i="57"/>
  <c r="BB1942" i="57"/>
  <c r="AW1936" i="57"/>
  <c r="AY1936" i="57"/>
  <c r="BB1930" i="57"/>
  <c r="AW1924" i="57"/>
  <c r="AY1924" i="57"/>
  <c r="BB1918" i="57"/>
  <c r="AV1918" i="57"/>
  <c r="BJ1897" i="57"/>
  <c r="BG1897" i="57"/>
  <c r="AW1895" i="57"/>
  <c r="AY1895" i="57"/>
  <c r="BJ1894" i="57"/>
  <c r="BB1894" i="57"/>
  <c r="AV1894" i="57"/>
  <c r="BG1894" i="57"/>
  <c r="BA1958" i="57"/>
  <c r="BG1958" i="57" s="1"/>
  <c r="AV1956" i="57"/>
  <c r="BD1955" i="57"/>
  <c r="BA1954" i="57"/>
  <c r="BG1954" i="57" s="1"/>
  <c r="BD1951" i="57"/>
  <c r="BJ1951" i="57"/>
  <c r="BA1950" i="57"/>
  <c r="BG1950" i="57" s="1"/>
  <c r="AV1948" i="57"/>
  <c r="BD1947" i="57"/>
  <c r="BJ1947" i="57"/>
  <c r="BA1946" i="57"/>
  <c r="BG1946" i="57" s="1"/>
  <c r="AV1944" i="57"/>
  <c r="AW1943" i="57"/>
  <c r="BA1943" i="57"/>
  <c r="BA1942" i="57"/>
  <c r="BG1942" i="57" s="1"/>
  <c r="BA1941" i="57"/>
  <c r="BD1941" i="57" s="1"/>
  <c r="AV1940" i="57"/>
  <c r="AW1939" i="57"/>
  <c r="BA1939" i="57"/>
  <c r="BA1938" i="57"/>
  <c r="BG1938" i="57" s="1"/>
  <c r="BA1937" i="57"/>
  <c r="BG1937" i="57" s="1"/>
  <c r="AW1935" i="57"/>
  <c r="BA1935" i="57"/>
  <c r="BA1934" i="57"/>
  <c r="BB1934" i="57" s="1"/>
  <c r="BA1933" i="57"/>
  <c r="BD1933" i="57" s="1"/>
  <c r="AV1932" i="57"/>
  <c r="AW1931" i="57"/>
  <c r="BA1931" i="57"/>
  <c r="BA1930" i="57"/>
  <c r="BD1930" i="57" s="1"/>
  <c r="BA1929" i="57"/>
  <c r="BG1929" i="57" s="1"/>
  <c r="AV1928" i="57"/>
  <c r="AW1927" i="57"/>
  <c r="BA1927" i="57"/>
  <c r="BA1926" i="57"/>
  <c r="BG1926" i="57" s="1"/>
  <c r="BA1925" i="57"/>
  <c r="BG1925" i="57" s="1"/>
  <c r="AW1923" i="57"/>
  <c r="BA1923" i="57"/>
  <c r="BA1922" i="57"/>
  <c r="BD1922" i="57" s="1"/>
  <c r="BA1921" i="57"/>
  <c r="BG1921" i="57" s="1"/>
  <c r="AV1920" i="57"/>
  <c r="AW1919" i="57"/>
  <c r="BA1919" i="57"/>
  <c r="BA1918" i="57"/>
  <c r="BD1918" i="57" s="1"/>
  <c r="BA1913" i="57"/>
  <c r="BG1913" i="57" s="1"/>
  <c r="AW1912" i="57"/>
  <c r="AY1912" i="57"/>
  <c r="AV1911" i="57"/>
  <c r="BA1910" i="57"/>
  <c r="BB1910" i="57" s="1"/>
  <c r="BA1905" i="57"/>
  <c r="BD1905" i="57" s="1"/>
  <c r="AW1904" i="57"/>
  <c r="AY1904" i="57"/>
  <c r="AV1903" i="57"/>
  <c r="BA1902" i="57"/>
  <c r="BD1902" i="57" s="1"/>
  <c r="BA1900" i="57"/>
  <c r="BA1897" i="57"/>
  <c r="BD1897" i="57" s="1"/>
  <c r="AW1896" i="57"/>
  <c r="AY1896" i="57"/>
  <c r="BA1894" i="57"/>
  <c r="BD1894" i="57" s="1"/>
  <c r="BA1892" i="57"/>
  <c r="BB1892" i="57" s="1"/>
  <c r="BJ1888" i="57"/>
  <c r="BB1886" i="57"/>
  <c r="AV1885" i="57"/>
  <c r="BA1882" i="57"/>
  <c r="BB1882" i="57" s="1"/>
  <c r="BG1882" i="57"/>
  <c r="AV1882" i="57"/>
  <c r="BA1881" i="57"/>
  <c r="BJ1881" i="57" s="1"/>
  <c r="BG1881" i="57"/>
  <c r="BB1881" i="57"/>
  <c r="BD1881" i="57"/>
  <c r="AV1881" i="57"/>
  <c r="BJ1880" i="57"/>
  <c r="BD1869" i="57"/>
  <c r="BA1860" i="57"/>
  <c r="BG1860" i="57" s="1"/>
  <c r="AV1860" i="57"/>
  <c r="AW1917" i="57"/>
  <c r="AV1917" i="57"/>
  <c r="AW1913" i="57"/>
  <c r="AV1913" i="57"/>
  <c r="AW1909" i="57"/>
  <c r="AV1909" i="57"/>
  <c r="AW1905" i="57"/>
  <c r="AV1905" i="57"/>
  <c r="AW1901" i="57"/>
  <c r="AV1901" i="57"/>
  <c r="AW1897" i="57"/>
  <c r="AV1897" i="57"/>
  <c r="AW1893" i="57"/>
  <c r="AV1893" i="57"/>
  <c r="BA1879" i="57"/>
  <c r="BD1879" i="57" s="1"/>
  <c r="BG1879" i="57"/>
  <c r="BB1879" i="57"/>
  <c r="BJ1879" i="57"/>
  <c r="AV1879" i="57"/>
  <c r="BA1874" i="57"/>
  <c r="BD1874" i="57" s="1"/>
  <c r="BG1874" i="57"/>
  <c r="BA1870" i="57"/>
  <c r="BA1865" i="57"/>
  <c r="BD1865" i="57"/>
  <c r="BA1864" i="57"/>
  <c r="BG1864" i="57"/>
  <c r="BE1864" i="57"/>
  <c r="AV1864" i="57"/>
  <c r="BD1864" i="57"/>
  <c r="BA1861" i="57"/>
  <c r="BD1861" i="57" s="1"/>
  <c r="BG1861" i="57"/>
  <c r="BJ1874" i="57"/>
  <c r="BA1871" i="57"/>
  <c r="AV1871" i="57"/>
  <c r="BA1866" i="57"/>
  <c r="BJ1866" i="57" s="1"/>
  <c r="BG1866" i="57"/>
  <c r="BA1862" i="57"/>
  <c r="BB1862" i="57" s="1"/>
  <c r="BG1862" i="57"/>
  <c r="BA1863" i="57"/>
  <c r="AV1863" i="57"/>
  <c r="BA1830" i="57"/>
  <c r="BD1830" i="57" s="1"/>
  <c r="BG1830" i="57"/>
  <c r="AV1830" i="57"/>
  <c r="BJ1830" i="57"/>
  <c r="BB1830" i="57"/>
  <c r="BA1884" i="57"/>
  <c r="BG1884" i="57"/>
  <c r="BA1883" i="57"/>
  <c r="BD1883" i="57" s="1"/>
  <c r="BG1883" i="57"/>
  <c r="BB1883" i="57"/>
  <c r="BA1876" i="57"/>
  <c r="BG1876" i="57"/>
  <c r="BA1875" i="57"/>
  <c r="BD1875" i="57" s="1"/>
  <c r="BG1875" i="57"/>
  <c r="BB1875" i="57"/>
  <c r="BJ1875" i="57"/>
  <c r="BA1868" i="57"/>
  <c r="BG1868" i="57"/>
  <c r="BA1867" i="57"/>
  <c r="BA1858" i="57"/>
  <c r="AV1858" i="57"/>
  <c r="BB1851" i="57"/>
  <c r="BB1847" i="57"/>
  <c r="BD1807" i="57"/>
  <c r="BJ1807" i="57"/>
  <c r="BA1807" i="57"/>
  <c r="BG1807" i="57"/>
  <c r="BA1856" i="57"/>
  <c r="BG1856" i="57"/>
  <c r="BA1854" i="57"/>
  <c r="BG1854" i="57"/>
  <c r="BA1834" i="57"/>
  <c r="BG1834" i="57"/>
  <c r="BA1832" i="57"/>
  <c r="BG1832" i="57"/>
  <c r="AV1826" i="57"/>
  <c r="AW1826" i="57"/>
  <c r="AY1826" i="57"/>
  <c r="AW1822" i="57"/>
  <c r="AY1822" i="57"/>
  <c r="BA1820" i="57"/>
  <c r="BD1820" i="57" s="1"/>
  <c r="BJ1820" i="57"/>
  <c r="AW1818" i="57"/>
  <c r="AY1818" i="57"/>
  <c r="BA1816" i="57"/>
  <c r="BJ1816" i="57"/>
  <c r="BD1816" i="57"/>
  <c r="AW1814" i="57"/>
  <c r="AY1814" i="57"/>
  <c r="BA1812" i="57"/>
  <c r="BD1812" i="57" s="1"/>
  <c r="BJ1812" i="57"/>
  <c r="AW1810" i="57"/>
  <c r="AY1810" i="57"/>
  <c r="BD1808" i="57"/>
  <c r="BJ1808" i="57"/>
  <c r="BG1808" i="57"/>
  <c r="AV1807" i="57"/>
  <c r="BA1802" i="57"/>
  <c r="BG1802" i="57"/>
  <c r="AV1802" i="57"/>
  <c r="BB1802" i="57"/>
  <c r="BD1802" i="57"/>
  <c r="BJ1802" i="57"/>
  <c r="BA1852" i="57"/>
  <c r="BG1852" i="57"/>
  <c r="BA1850" i="57"/>
  <c r="BG1850" i="57"/>
  <c r="BA1848" i="57"/>
  <c r="BG1848" i="57"/>
  <c r="BA1846" i="57"/>
  <c r="BG1846" i="57"/>
  <c r="BA1844" i="57"/>
  <c r="BG1844" i="57"/>
  <c r="BA1842" i="57"/>
  <c r="BG1842" i="57"/>
  <c r="BA1840" i="57"/>
  <c r="BG1840" i="57"/>
  <c r="BA1838" i="57"/>
  <c r="BG1838" i="57"/>
  <c r="BA1836" i="57"/>
  <c r="BG1836" i="57"/>
  <c r="BJ1853" i="57"/>
  <c r="BJ1851" i="57"/>
  <c r="BJ1847" i="57"/>
  <c r="BJ1839" i="57"/>
  <c r="AV1829" i="57"/>
  <c r="AY1829" i="57"/>
  <c r="BA1829" i="57"/>
  <c r="AY1825" i="57"/>
  <c r="AV1821" i="57"/>
  <c r="BB1821" i="57"/>
  <c r="AY1821" i="57"/>
  <c r="BA1821" i="57"/>
  <c r="AV1817" i="57"/>
  <c r="BB1817" i="57"/>
  <c r="AY1817" i="57"/>
  <c r="BA1817" i="57"/>
  <c r="AV1813" i="57"/>
  <c r="AY1813" i="57"/>
  <c r="BA1813" i="57"/>
  <c r="AY1809" i="57"/>
  <c r="BA1806" i="57"/>
  <c r="BB1806" i="57" s="1"/>
  <c r="BG1806" i="57"/>
  <c r="AV1806" i="57"/>
  <c r="BD1806" i="57"/>
  <c r="BJ1806" i="57"/>
  <c r="BA1805" i="57"/>
  <c r="BG1805" i="57"/>
  <c r="BH1805" i="57" s="1"/>
  <c r="AV1805" i="57"/>
  <c r="BD1805" i="57"/>
  <c r="BA1859" i="57"/>
  <c r="BA1857" i="57"/>
  <c r="BD1857" i="57" s="1"/>
  <c r="BG1857" i="57"/>
  <c r="BD1856" i="57"/>
  <c r="AV1856" i="57"/>
  <c r="BA1855" i="57"/>
  <c r="BD1854" i="57"/>
  <c r="AV1854" i="57"/>
  <c r="BA1853" i="57"/>
  <c r="BD1853" i="57" s="1"/>
  <c r="BG1853" i="57"/>
  <c r="BD1852" i="57"/>
  <c r="AV1852" i="57"/>
  <c r="BA1851" i="57"/>
  <c r="BD1851" i="57" s="1"/>
  <c r="BG1851" i="57"/>
  <c r="BD1850" i="57"/>
  <c r="AV1850" i="57"/>
  <c r="BA1849" i="57"/>
  <c r="BG1849" i="57" s="1"/>
  <c r="AV1848" i="57"/>
  <c r="BA1847" i="57"/>
  <c r="BD1847" i="57" s="1"/>
  <c r="BG1847" i="57"/>
  <c r="BD1846" i="57"/>
  <c r="AV1846" i="57"/>
  <c r="BA1845" i="57"/>
  <c r="AV1844" i="57"/>
  <c r="BA1843" i="57"/>
  <c r="BD1842" i="57"/>
  <c r="AV1842" i="57"/>
  <c r="BA1841" i="57"/>
  <c r="BD1841" i="57" s="1"/>
  <c r="BG1841" i="57"/>
  <c r="BD1840" i="57"/>
  <c r="AV1840" i="57"/>
  <c r="BA1839" i="57"/>
  <c r="BD1839" i="57" s="1"/>
  <c r="BG1839" i="57"/>
  <c r="BD1838" i="57"/>
  <c r="AV1838" i="57"/>
  <c r="BA1837" i="57"/>
  <c r="AV1836" i="57"/>
  <c r="BA1835" i="57"/>
  <c r="BD1834" i="57"/>
  <c r="AV1834" i="57"/>
  <c r="BA1833" i="57"/>
  <c r="BG1833" i="57"/>
  <c r="BD1832" i="57"/>
  <c r="AV1832" i="57"/>
  <c r="BG1828" i="57"/>
  <c r="BD1827" i="57"/>
  <c r="BG1824" i="57"/>
  <c r="BD1823" i="57"/>
  <c r="BD1819" i="57"/>
  <c r="BG1816" i="57"/>
  <c r="BD1815" i="57"/>
  <c r="BD1811" i="57"/>
  <c r="BA1801" i="57"/>
  <c r="BB1801" i="57" s="1"/>
  <c r="BG1801" i="57"/>
  <c r="AV1801" i="57"/>
  <c r="BD1801" i="57"/>
  <c r="BE1801" i="57" s="1"/>
  <c r="BJ1801" i="57"/>
  <c r="BG1831" i="57"/>
  <c r="AV1828" i="57"/>
  <c r="BB1828" i="57"/>
  <c r="AV1824" i="57"/>
  <c r="BH1824" i="57"/>
  <c r="AV1820" i="57"/>
  <c r="AV1816" i="57"/>
  <c r="BB1816" i="57"/>
  <c r="AV1812" i="57"/>
  <c r="BA1804" i="57"/>
  <c r="BG1804" i="57"/>
  <c r="BH1804" i="57" s="1"/>
  <c r="AV1804" i="57"/>
  <c r="BB1804" i="57"/>
  <c r="BD1804" i="57"/>
  <c r="BJ1804" i="57"/>
  <c r="BA1828" i="57"/>
  <c r="AV1827" i="57"/>
  <c r="BB1827" i="57"/>
  <c r="BA1824" i="57"/>
  <c r="AV1823" i="57"/>
  <c r="BB1823" i="57"/>
  <c r="AV1819" i="57"/>
  <c r="BB1819" i="57"/>
  <c r="AV1815" i="57"/>
  <c r="BB1815" i="57"/>
  <c r="AV1811" i="57"/>
  <c r="BB1811" i="57"/>
  <c r="AV1808" i="57"/>
  <c r="BB1808" i="57"/>
  <c r="BH1808" i="57"/>
  <c r="AW1808" i="57"/>
  <c r="BA1803" i="57"/>
  <c r="BG1803" i="57"/>
  <c r="AV1803" i="57"/>
  <c r="BB1803" i="57"/>
  <c r="BD1803" i="57"/>
  <c r="BJ1803" i="57"/>
  <c r="BK1801" i="57"/>
  <c r="AW1807" i="57"/>
  <c r="BB1807" i="57"/>
  <c r="BK1796" i="57"/>
  <c r="BH1790" i="57"/>
  <c r="BH1761" i="57"/>
  <c r="BH1797" i="57"/>
  <c r="BE1783" i="57"/>
  <c r="BE1796" i="57"/>
  <c r="AO203" i="57"/>
  <c r="AM202" i="57"/>
  <c r="AO201" i="57"/>
  <c r="AM200" i="57"/>
  <c r="AO199" i="57"/>
  <c r="AM198" i="57"/>
  <c r="AO197" i="57"/>
  <c r="AM196" i="57"/>
  <c r="AO195" i="57"/>
  <c r="AM194" i="57"/>
  <c r="AO193" i="57"/>
  <c r="AM192" i="57"/>
  <c r="AO191" i="57"/>
  <c r="AM190" i="57"/>
  <c r="AO189" i="57"/>
  <c r="AM188" i="57"/>
  <c r="AO187" i="57"/>
  <c r="AM186" i="57"/>
  <c r="AO185" i="57"/>
  <c r="AM184" i="57"/>
  <c r="AO183" i="57"/>
  <c r="AM182" i="57"/>
  <c r="AO181" i="57"/>
  <c r="AM180" i="57"/>
  <c r="AO179" i="57"/>
  <c r="AM178" i="57"/>
  <c r="AO177" i="57"/>
  <c r="AM176" i="57"/>
  <c r="AO175" i="57"/>
  <c r="AM174" i="57"/>
  <c r="AO173" i="57"/>
  <c r="AM172" i="57"/>
  <c r="AJ85" i="57"/>
  <c r="AN57" i="57"/>
  <c r="AO40" i="57"/>
  <c r="AQ40" i="57"/>
  <c r="AP40" i="57"/>
  <c r="AN61" i="57"/>
  <c r="AJ89" i="57"/>
  <c r="AN65" i="57"/>
  <c r="AN49" i="57"/>
  <c r="AJ67" i="57"/>
  <c r="AN53" i="57"/>
  <c r="AO44" i="57"/>
  <c r="AP44" i="57"/>
  <c r="AQ44" i="57"/>
  <c r="AP58" i="57"/>
  <c r="AO58" i="57"/>
  <c r="AN171" i="57"/>
  <c r="AN170" i="57"/>
  <c r="AN169" i="57"/>
  <c r="AN168" i="57"/>
  <c r="AN167" i="57"/>
  <c r="AN166" i="57"/>
  <c r="AN165" i="57"/>
  <c r="AN164" i="57"/>
  <c r="AN163" i="57"/>
  <c r="AN162" i="57"/>
  <c r="AN161" i="57"/>
  <c r="AN160" i="57"/>
  <c r="AN159" i="57"/>
  <c r="AN158" i="57"/>
  <c r="AN157" i="57"/>
  <c r="AN156" i="57"/>
  <c r="AN155" i="57"/>
  <c r="AN154" i="57"/>
  <c r="AN153" i="57"/>
  <c r="AN152" i="57"/>
  <c r="AN151" i="57"/>
  <c r="AN150" i="57"/>
  <c r="AN149" i="57"/>
  <c r="AN148" i="57"/>
  <c r="AN147" i="57"/>
  <c r="AN146" i="57"/>
  <c r="AN145" i="57"/>
  <c r="AN144" i="57"/>
  <c r="AN143" i="57"/>
  <c r="AN142" i="57"/>
  <c r="AN141" i="57"/>
  <c r="AN140" i="57"/>
  <c r="AN139" i="57"/>
  <c r="AN138" i="57"/>
  <c r="AN137" i="57"/>
  <c r="AN136" i="57"/>
  <c r="AN135" i="57"/>
  <c r="AN134" i="57"/>
  <c r="AN133" i="57"/>
  <c r="AN132" i="57"/>
  <c r="AN131" i="57"/>
  <c r="AN130" i="57"/>
  <c r="AN129" i="57"/>
  <c r="AN128" i="57"/>
  <c r="AN127" i="57"/>
  <c r="AN126" i="57"/>
  <c r="AN125" i="57"/>
  <c r="AN124" i="57"/>
  <c r="AN123" i="57"/>
  <c r="AN122" i="57"/>
  <c r="AN121" i="57"/>
  <c r="AN120" i="57"/>
  <c r="AN119" i="57"/>
  <c r="AN118" i="57"/>
  <c r="AN117" i="57"/>
  <c r="AN116" i="57"/>
  <c r="AN115" i="57"/>
  <c r="AN114" i="57"/>
  <c r="AN113" i="57"/>
  <c r="AN112" i="57"/>
  <c r="AN111" i="57"/>
  <c r="AN110" i="57"/>
  <c r="AN109" i="57"/>
  <c r="AN108" i="57"/>
  <c r="AN107" i="57"/>
  <c r="AN106" i="57"/>
  <c r="AN105" i="57"/>
  <c r="AN104" i="57"/>
  <c r="AN103" i="57"/>
  <c r="AN102" i="57"/>
  <c r="AN101" i="57"/>
  <c r="AN100" i="57"/>
  <c r="AN99" i="57"/>
  <c r="AN98" i="57"/>
  <c r="AN97" i="57"/>
  <c r="AN96" i="57"/>
  <c r="AN95" i="57"/>
  <c r="AN94" i="57"/>
  <c r="AN93" i="57"/>
  <c r="AN92" i="57"/>
  <c r="AN91" i="57"/>
  <c r="AN90" i="57"/>
  <c r="AQ88" i="57"/>
  <c r="AK88" i="57"/>
  <c r="AJ88" i="57" s="1"/>
  <c r="AQ86" i="57"/>
  <c r="AK86" i="57"/>
  <c r="AJ86" i="57" s="1"/>
  <c r="AN85" i="57"/>
  <c r="AQ84" i="57"/>
  <c r="AK84" i="57"/>
  <c r="AJ84" i="57" s="1"/>
  <c r="AN83" i="57"/>
  <c r="AQ82" i="57"/>
  <c r="AK82" i="57"/>
  <c r="AJ82" i="57" s="1"/>
  <c r="AQ80" i="57"/>
  <c r="AK80" i="57"/>
  <c r="AJ80" i="57" s="1"/>
  <c r="AQ78" i="57"/>
  <c r="AK78" i="57"/>
  <c r="AJ78" i="57" s="1"/>
  <c r="AN77" i="57"/>
  <c r="AQ76" i="57"/>
  <c r="AK76" i="57"/>
  <c r="AJ76" i="57" s="1"/>
  <c r="AN75" i="57"/>
  <c r="AQ74" i="57"/>
  <c r="AK74" i="57"/>
  <c r="AJ74" i="57" s="1"/>
  <c r="AQ72" i="57"/>
  <c r="AK72" i="57"/>
  <c r="AJ72" i="57" s="1"/>
  <c r="AQ70" i="57"/>
  <c r="AK70" i="57"/>
  <c r="AJ70" i="57" s="1"/>
  <c r="AN69" i="57"/>
  <c r="AQ68" i="57"/>
  <c r="AK68" i="57"/>
  <c r="AJ68" i="57" s="1"/>
  <c r="AN67" i="57"/>
  <c r="AQ66" i="57"/>
  <c r="AJ66" i="57"/>
  <c r="AK63" i="57"/>
  <c r="AM63" i="57"/>
  <c r="AK59" i="57"/>
  <c r="AJ59" i="57" s="1"/>
  <c r="AM59" i="57"/>
  <c r="AJ58" i="57"/>
  <c r="AK55" i="57"/>
  <c r="AJ55" i="57" s="1"/>
  <c r="AM55" i="57"/>
  <c r="AJ54" i="57"/>
  <c r="AK51" i="57"/>
  <c r="AM51" i="57"/>
  <c r="AJ50" i="57"/>
  <c r="AM43" i="57"/>
  <c r="AJ42" i="57"/>
  <c r="AO41" i="57"/>
  <c r="AQ41" i="57"/>
  <c r="AK39" i="57"/>
  <c r="AM39" i="57"/>
  <c r="AN38" i="57"/>
  <c r="AM38" i="57"/>
  <c r="AJ38" i="57" s="1"/>
  <c r="AO32" i="57"/>
  <c r="AP32" i="57"/>
  <c r="AQ32" i="57"/>
  <c r="AN10" i="57"/>
  <c r="AO10" i="57"/>
  <c r="AP10" i="57"/>
  <c r="AQ10" i="57"/>
  <c r="AP62" i="57"/>
  <c r="AO62" i="57"/>
  <c r="AN26" i="57"/>
  <c r="AO26" i="57"/>
  <c r="AP26" i="57"/>
  <c r="AQ26" i="57"/>
  <c r="AN9" i="57"/>
  <c r="AO9" i="57"/>
  <c r="AQ9" i="57"/>
  <c r="AP9" i="57"/>
  <c r="AM89" i="57"/>
  <c r="AP88" i="57"/>
  <c r="AM87" i="57"/>
  <c r="AN87" i="57" s="1"/>
  <c r="AP86" i="57"/>
  <c r="AM85" i="57"/>
  <c r="AP84" i="57"/>
  <c r="AM83" i="57"/>
  <c r="AJ83" i="57" s="1"/>
  <c r="AP82" i="57"/>
  <c r="AM81" i="57"/>
  <c r="AP80" i="57"/>
  <c r="AM79" i="57"/>
  <c r="AJ79" i="57" s="1"/>
  <c r="AP78" i="57"/>
  <c r="AM77" i="57"/>
  <c r="AP76" i="57"/>
  <c r="AM75" i="57"/>
  <c r="AJ75" i="57" s="1"/>
  <c r="AP74" i="57"/>
  <c r="AM73" i="57"/>
  <c r="AP72" i="57"/>
  <c r="AM71" i="57"/>
  <c r="AN71" i="57" s="1"/>
  <c r="AP70" i="57"/>
  <c r="AM69" i="57"/>
  <c r="AP68" i="57"/>
  <c r="AM67" i="57"/>
  <c r="AP66" i="57"/>
  <c r="AP64" i="57"/>
  <c r="AO64" i="57"/>
  <c r="AQ62" i="57"/>
  <c r="AP60" i="57"/>
  <c r="AO60" i="57"/>
  <c r="AQ58" i="57"/>
  <c r="AP56" i="57"/>
  <c r="AO56" i="57"/>
  <c r="AP52" i="57"/>
  <c r="AO52" i="57"/>
  <c r="AP48" i="57"/>
  <c r="AO48" i="57"/>
  <c r="AO45" i="57"/>
  <c r="AQ45" i="57"/>
  <c r="AJ44" i="57"/>
  <c r="AJ43" i="57"/>
  <c r="AN40" i="57"/>
  <c r="AK40" i="57"/>
  <c r="AJ40" i="57" s="1"/>
  <c r="AO36" i="57"/>
  <c r="AP36" i="57"/>
  <c r="AK35" i="57"/>
  <c r="AM35" i="57"/>
  <c r="AP54" i="57"/>
  <c r="AO54" i="57"/>
  <c r="AP50" i="57"/>
  <c r="AO50" i="57"/>
  <c r="AK47" i="57"/>
  <c r="AJ47" i="57" s="1"/>
  <c r="AM47" i="57"/>
  <c r="AM46" i="57"/>
  <c r="AN46" i="57" s="1"/>
  <c r="AO42" i="57"/>
  <c r="AQ42" i="57"/>
  <c r="AK37" i="57"/>
  <c r="AN37" i="57"/>
  <c r="AN66" i="57"/>
  <c r="AK65" i="57"/>
  <c r="AM65" i="57"/>
  <c r="AJ64" i="57"/>
  <c r="AN62" i="57"/>
  <c r="AK61" i="57"/>
  <c r="AM61" i="57"/>
  <c r="AJ60" i="57"/>
  <c r="AN58" i="57"/>
  <c r="AK57" i="57"/>
  <c r="AM57" i="57"/>
  <c r="AJ56" i="57"/>
  <c r="AN54" i="57"/>
  <c r="AK53" i="57"/>
  <c r="AM53" i="57"/>
  <c r="AJ52" i="57"/>
  <c r="AN50" i="57"/>
  <c r="AK49" i="57"/>
  <c r="AM49" i="57"/>
  <c r="AJ48" i="57"/>
  <c r="AN47" i="57"/>
  <c r="AK46" i="57"/>
  <c r="AK45" i="57"/>
  <c r="AJ45" i="57" s="1"/>
  <c r="AN45" i="57"/>
  <c r="AN44" i="57"/>
  <c r="AP42" i="57"/>
  <c r="AM37" i="57"/>
  <c r="AJ36" i="57"/>
  <c r="AN25" i="57"/>
  <c r="AO25" i="57"/>
  <c r="AQ25" i="57"/>
  <c r="AP25" i="57"/>
  <c r="AN42" i="57"/>
  <c r="AJ41" i="57"/>
  <c r="AO34" i="57"/>
  <c r="AP34" i="57"/>
  <c r="AJ32" i="57"/>
  <c r="AK31" i="57"/>
  <c r="AM31" i="57"/>
  <c r="AJ26" i="57"/>
  <c r="AN22" i="57"/>
  <c r="AO22" i="57"/>
  <c r="AP22" i="57"/>
  <c r="AQ22" i="57"/>
  <c r="AN21" i="57"/>
  <c r="AO21" i="57"/>
  <c r="AQ21" i="57"/>
  <c r="AJ10" i="57"/>
  <c r="AN6" i="57"/>
  <c r="AO6" i="57"/>
  <c r="AP6" i="57"/>
  <c r="AQ6" i="57"/>
  <c r="AN5" i="57"/>
  <c r="AO5" i="57"/>
  <c r="AQ5" i="57"/>
  <c r="AK33" i="57"/>
  <c r="AJ33" i="57" s="1"/>
  <c r="AM33" i="57"/>
  <c r="AN33" i="57" s="1"/>
  <c r="AN32" i="57"/>
  <c r="AN18" i="57"/>
  <c r="AO18" i="57"/>
  <c r="AP18" i="57"/>
  <c r="AQ18" i="57"/>
  <c r="AN17" i="57"/>
  <c r="AO17" i="57"/>
  <c r="AQ17" i="57"/>
  <c r="AO30" i="57"/>
  <c r="AN30" i="57"/>
  <c r="AP30" i="57"/>
  <c r="AN29" i="57"/>
  <c r="AO29" i="57"/>
  <c r="AQ29" i="57"/>
  <c r="AJ18" i="57"/>
  <c r="AN14" i="57"/>
  <c r="AO14" i="57"/>
  <c r="AP14" i="57"/>
  <c r="AQ14" i="57"/>
  <c r="AN13" i="57"/>
  <c r="AO13" i="57"/>
  <c r="AQ13" i="57"/>
  <c r="AJ29" i="57"/>
  <c r="AN28" i="57"/>
  <c r="AO28" i="57"/>
  <c r="AJ25" i="57"/>
  <c r="AN24" i="57"/>
  <c r="AO24" i="57"/>
  <c r="AJ21" i="57"/>
  <c r="AN20" i="57"/>
  <c r="AO20" i="57"/>
  <c r="AJ17" i="57"/>
  <c r="AN16" i="57"/>
  <c r="AO16" i="57"/>
  <c r="AJ13" i="57"/>
  <c r="AN12" i="57"/>
  <c r="AO12" i="57"/>
  <c r="AJ9" i="57"/>
  <c r="AN8" i="57"/>
  <c r="AO8" i="57"/>
  <c r="AJ5" i="57"/>
  <c r="AJ28" i="57"/>
  <c r="AN27" i="57"/>
  <c r="AO27" i="57"/>
  <c r="AJ24" i="57"/>
  <c r="AN23" i="57"/>
  <c r="AO23" i="57"/>
  <c r="AJ20" i="57"/>
  <c r="AN19" i="57"/>
  <c r="AO19" i="57"/>
  <c r="AJ16" i="57"/>
  <c r="AN15" i="57"/>
  <c r="AO15" i="57"/>
  <c r="AJ12" i="57"/>
  <c r="AN11" i="57"/>
  <c r="AO11" i="57"/>
  <c r="AJ8" i="57"/>
  <c r="AN7" i="57"/>
  <c r="AO7" i="57"/>
  <c r="BA1799" i="57"/>
  <c r="BH1789" i="57"/>
  <c r="BH1786" i="57"/>
  <c r="BH1785" i="57"/>
  <c r="BA1779" i="57"/>
  <c r="BH1779" i="57"/>
  <c r="BA1775" i="57"/>
  <c r="BH1775" i="57"/>
  <c r="BA1771" i="57"/>
  <c r="BH1771" i="57"/>
  <c r="BH1774" i="57"/>
  <c r="BE1776" i="57"/>
  <c r="BK1776" i="57"/>
  <c r="BH1778" i="57"/>
  <c r="BE1780" i="57"/>
  <c r="BK1780" i="57"/>
  <c r="BH1782" i="57"/>
  <c r="BE1784" i="57"/>
  <c r="BK1784" i="57"/>
  <c r="BA1767" i="57"/>
  <c r="BK1777" i="57"/>
  <c r="BK1781" i="57"/>
  <c r="BK1793" i="57"/>
  <c r="BH1767" i="57"/>
  <c r="BE1777" i="57"/>
  <c r="BE1781" i="57"/>
  <c r="BE1793" i="57"/>
  <c r="BA1763" i="57"/>
  <c r="BH1763" i="57"/>
  <c r="BA1795" i="57"/>
  <c r="BH1795" i="57"/>
  <c r="BA1791" i="57"/>
  <c r="BH1791" i="57"/>
  <c r="BA1787" i="57"/>
  <c r="BH1787" i="57"/>
  <c r="BA1783" i="57"/>
  <c r="BH1783" i="57"/>
  <c r="BH1773" i="57"/>
  <c r="BH1769" i="57"/>
  <c r="BH1800" i="57"/>
  <c r="BE1800" i="57"/>
  <c r="BE1799" i="57"/>
  <c r="BH1766" i="57"/>
  <c r="BH1770" i="57"/>
  <c r="BK1800" i="57"/>
  <c r="BK1799" i="57"/>
  <c r="BH1796" i="57"/>
  <c r="BE1795" i="57"/>
  <c r="BH1792" i="57"/>
  <c r="BE1791" i="57"/>
  <c r="BH1788" i="57"/>
  <c r="BE1787" i="57"/>
  <c r="BK1783" i="57"/>
  <c r="BE1779" i="57"/>
  <c r="BE1775" i="57"/>
  <c r="BE1767" i="57"/>
  <c r="BE1763" i="57"/>
  <c r="BK1789" i="57"/>
  <c r="BA1750" i="57"/>
  <c r="BA1739" i="57"/>
  <c r="BE1740" i="57"/>
  <c r="BA1728" i="57"/>
  <c r="BA1715" i="57"/>
  <c r="BH1715" i="57"/>
  <c r="BE1715" i="57"/>
  <c r="BA1691" i="57"/>
  <c r="BH1691" i="57"/>
  <c r="BH1709" i="57"/>
  <c r="BH1710" i="57"/>
  <c r="BH1713" i="57"/>
  <c r="BH1714" i="57"/>
  <c r="BH1717" i="57"/>
  <c r="BH1718" i="57"/>
  <c r="BH1721" i="57"/>
  <c r="BE1723" i="57"/>
  <c r="BK1723" i="57"/>
  <c r="BE1735" i="57"/>
  <c r="BK1735" i="57"/>
  <c r="BE1703" i="57"/>
  <c r="BH1705" i="57"/>
  <c r="BK1716" i="57"/>
  <c r="BK1720" i="57"/>
  <c r="BE1722" i="57"/>
  <c r="BK1722" i="57"/>
  <c r="BK1734" i="57"/>
  <c r="BE1738" i="57"/>
  <c r="BK1738" i="57"/>
  <c r="BK1742" i="57"/>
  <c r="BH1701" i="57"/>
  <c r="BK1703" i="57"/>
  <c r="BK1721" i="57"/>
  <c r="BE1737" i="57"/>
  <c r="BK1737" i="57"/>
  <c r="BK1741" i="57"/>
  <c r="BK1749" i="57"/>
  <c r="BH1686" i="57"/>
  <c r="BH1690" i="57"/>
  <c r="BH1693" i="57"/>
  <c r="BH1689" i="57"/>
  <c r="BH1685" i="57"/>
  <c r="BK1798" i="57"/>
  <c r="BE1798" i="57"/>
  <c r="BK1794" i="57"/>
  <c r="BE1794" i="57"/>
  <c r="BK1790" i="57"/>
  <c r="BE1790" i="57"/>
  <c r="BK1786" i="57"/>
  <c r="BE1786" i="57"/>
  <c r="BH1784" i="57"/>
  <c r="BK1782" i="57"/>
  <c r="BE1782" i="57"/>
  <c r="BH1780" i="57"/>
  <c r="BK1778" i="57"/>
  <c r="BE1778" i="57"/>
  <c r="BH1776" i="57"/>
  <c r="BK1774" i="57"/>
  <c r="BE1774" i="57"/>
  <c r="BH1772" i="57"/>
  <c r="BK1770" i="57"/>
  <c r="BE1770" i="57"/>
  <c r="BH1768" i="57"/>
  <c r="BK1766" i="57"/>
  <c r="BE1766" i="57"/>
  <c r="BH1764" i="57"/>
  <c r="BK1762" i="57"/>
  <c r="BE1762" i="57"/>
  <c r="BH1760" i="57"/>
  <c r="BE1758" i="57"/>
  <c r="BH1756" i="57"/>
  <c r="BE1754" i="57"/>
  <c r="BK1746" i="57"/>
  <c r="BH1748" i="57"/>
  <c r="BH1742" i="57"/>
  <c r="BE1720" i="57"/>
  <c r="BA1719" i="57"/>
  <c r="BH1719" i="57"/>
  <c r="BE1719" i="57"/>
  <c r="BH1697" i="57"/>
  <c r="BH1757" i="57"/>
  <c r="BK1755" i="57"/>
  <c r="BE1755" i="57"/>
  <c r="BK1758" i="57"/>
  <c r="BH1753" i="57"/>
  <c r="BK1751" i="57"/>
  <c r="BK1750" i="57"/>
  <c r="BK1740" i="57"/>
  <c r="BE1739" i="57"/>
  <c r="BE1736" i="57"/>
  <c r="BH1734" i="57"/>
  <c r="BA1732" i="57"/>
  <c r="BA1724" i="57"/>
  <c r="BH1722" i="57"/>
  <c r="BA1707" i="57"/>
  <c r="BH1707" i="57"/>
  <c r="BK1707" i="57"/>
  <c r="BK1699" i="57"/>
  <c r="BH1762" i="57"/>
  <c r="BK1760" i="57"/>
  <c r="BE1760" i="57"/>
  <c r="BH1758" i="57"/>
  <c r="BK1756" i="57"/>
  <c r="BE1756" i="57"/>
  <c r="BH1754" i="57"/>
  <c r="BK1752" i="57"/>
  <c r="BE1752" i="57"/>
  <c r="BA1751" i="57"/>
  <c r="BA1746" i="57"/>
  <c r="BK1744" i="57"/>
  <c r="BE1743" i="57"/>
  <c r="BA1736" i="57"/>
  <c r="BK1715" i="57"/>
  <c r="BA1711" i="57"/>
  <c r="BH1711" i="57"/>
  <c r="BE1699" i="57"/>
  <c r="BE1695" i="57"/>
  <c r="BH1736" i="57"/>
  <c r="BH1723" i="57"/>
  <c r="BA1695" i="57"/>
  <c r="BH1695" i="57"/>
  <c r="BH1720" i="57"/>
  <c r="BH1716" i="57"/>
  <c r="BH1712" i="57"/>
  <c r="BA1699" i="57"/>
  <c r="BH1699" i="57"/>
  <c r="BA1703" i="57"/>
  <c r="BH1703" i="57"/>
  <c r="BK1695" i="57"/>
  <c r="BA1687" i="57"/>
  <c r="BE1694" i="57"/>
  <c r="BK1694" i="57"/>
  <c r="BE1698" i="57"/>
  <c r="BK1698" i="57"/>
  <c r="BE1702" i="57"/>
  <c r="BK1702" i="57"/>
  <c r="BK1706" i="57"/>
  <c r="BK1710" i="57"/>
  <c r="BE1714" i="57"/>
  <c r="BK1714" i="57"/>
  <c r="BE1718" i="57"/>
  <c r="BK1718" i="57"/>
  <c r="BH1687" i="57"/>
  <c r="BE1697" i="57"/>
  <c r="BK1697" i="57"/>
  <c r="BE1701" i="57"/>
  <c r="BK1701" i="57"/>
  <c r="BK1709" i="57"/>
  <c r="BE1717" i="57"/>
  <c r="BK1717" i="57"/>
  <c r="BE1721" i="57"/>
  <c r="BH1694" i="57"/>
  <c r="BE1696" i="57"/>
  <c r="BK1696" i="57"/>
  <c r="BH1698" i="57"/>
  <c r="BE1700" i="57"/>
  <c r="BK1700" i="57"/>
  <c r="BH1702" i="57"/>
  <c r="BE1704" i="57"/>
  <c r="BK1704" i="57"/>
  <c r="BH1706" i="57"/>
  <c r="BK1708" i="57"/>
  <c r="BK1711" i="57"/>
  <c r="BE1705" i="57"/>
  <c r="BH1708" i="57"/>
  <c r="BH1704" i="57"/>
  <c r="BH1700" i="57"/>
  <c r="BH1696" i="57"/>
  <c r="BH1692" i="57"/>
  <c r="BH1688" i="57"/>
  <c r="BH1684" i="57"/>
  <c r="BD2003" i="57" l="1"/>
  <c r="BB2003" i="57"/>
  <c r="BG2003" i="57"/>
  <c r="BJ2003" i="57"/>
  <c r="BB1990" i="57"/>
  <c r="BD1990" i="57"/>
  <c r="BJ1990" i="57"/>
  <c r="BG1990" i="57"/>
  <c r="BE1964" i="57"/>
  <c r="BA1963" i="57"/>
  <c r="BD1963" i="57" s="1"/>
  <c r="BH1964" i="57"/>
  <c r="BA1969" i="57"/>
  <c r="BG1969" i="57" s="1"/>
  <c r="BD1995" i="57"/>
  <c r="BB1995" i="57"/>
  <c r="BJ1995" i="57"/>
  <c r="BG1995" i="57"/>
  <c r="BB1994" i="57"/>
  <c r="BD1994" i="57"/>
  <c r="BE2000" i="57" s="1"/>
  <c r="BJ1994" i="57"/>
  <c r="BK1997" i="57" s="1"/>
  <c r="BG1994" i="57"/>
  <c r="BH2003" i="57" s="1"/>
  <c r="BE1984" i="57"/>
  <c r="BE1995" i="57"/>
  <c r="BB1998" i="57"/>
  <c r="BD1998" i="57"/>
  <c r="BJ1998" i="57"/>
  <c r="BG1998" i="57"/>
  <c r="BJ2001" i="57"/>
  <c r="BD2001" i="57"/>
  <c r="BG2001" i="57"/>
  <c r="BB2001" i="57"/>
  <c r="BG1967" i="57"/>
  <c r="BA1967" i="57"/>
  <c r="BD1967" i="57" s="1"/>
  <c r="BB2002" i="57"/>
  <c r="BD2002" i="57"/>
  <c r="BJ2002" i="57"/>
  <c r="BG2002" i="57"/>
  <c r="AV1981" i="57"/>
  <c r="BJ1993" i="57"/>
  <c r="BD1993" i="57"/>
  <c r="AV1985" i="57"/>
  <c r="BH2000" i="57"/>
  <c r="AV1965" i="57"/>
  <c r="BJ1997" i="57"/>
  <c r="BK2002" i="57" s="1"/>
  <c r="BD1997" i="57"/>
  <c r="BE1999" i="57" s="1"/>
  <c r="BH1974" i="57"/>
  <c r="BH1984" i="57"/>
  <c r="BB1959" i="57"/>
  <c r="BD1991" i="57"/>
  <c r="BB1991" i="57"/>
  <c r="BD1999" i="57"/>
  <c r="BB1999" i="57"/>
  <c r="BB1993" i="57"/>
  <c r="BB1997" i="57"/>
  <c r="BD1979" i="57"/>
  <c r="BJ1979" i="57"/>
  <c r="BG1979" i="57"/>
  <c r="AV1979" i="57"/>
  <c r="BK1984" i="57"/>
  <c r="BG1987" i="57"/>
  <c r="BD1987" i="57"/>
  <c r="BJ1987" i="57"/>
  <c r="BB1987" i="57"/>
  <c r="BJ1989" i="57"/>
  <c r="BD1989" i="57"/>
  <c r="BJ1999" i="57"/>
  <c r="BG1970" i="57"/>
  <c r="BB1992" i="57"/>
  <c r="BG1992" i="57"/>
  <c r="BD1988" i="57"/>
  <c r="BA1961" i="57"/>
  <c r="BB1961" i="57" s="1"/>
  <c r="AV1983" i="57"/>
  <c r="BB1970" i="57"/>
  <c r="BD1959" i="57"/>
  <c r="BE1963" i="57" s="1"/>
  <c r="BJ1959" i="57"/>
  <c r="BK1960" i="57" s="1"/>
  <c r="BK1964" i="57"/>
  <c r="BH1998" i="57"/>
  <c r="BG1959" i="57"/>
  <c r="BH1994" i="57"/>
  <c r="BH2002" i="57"/>
  <c r="BK1974" i="57"/>
  <c r="BH1997" i="57"/>
  <c r="BH2001" i="57"/>
  <c r="AV1959" i="57"/>
  <c r="BD1975" i="57"/>
  <c r="BJ1975" i="57"/>
  <c r="BK1979" i="57" s="1"/>
  <c r="BG1975" i="57"/>
  <c r="BH1975" i="57" s="1"/>
  <c r="AV1975" i="57"/>
  <c r="BA1983" i="57"/>
  <c r="BB1983" i="57" s="1"/>
  <c r="BA1965" i="57"/>
  <c r="BB1965" i="57" s="1"/>
  <c r="BD1973" i="57"/>
  <c r="BJ1973" i="57"/>
  <c r="BG1973" i="57"/>
  <c r="AV1973" i="57"/>
  <c r="BA1981" i="57"/>
  <c r="BB1981" i="57" s="1"/>
  <c r="BD1971" i="57"/>
  <c r="BJ1971" i="57"/>
  <c r="BG1971" i="57"/>
  <c r="AV1971" i="57"/>
  <c r="BK1976" i="57"/>
  <c r="BD1977" i="57"/>
  <c r="BJ1977" i="57"/>
  <c r="BG1977" i="57"/>
  <c r="AV1977" i="57"/>
  <c r="BA1985" i="57"/>
  <c r="BB1985" i="57" s="1"/>
  <c r="BB2000" i="57"/>
  <c r="BB1988" i="57"/>
  <c r="BH1996" i="57"/>
  <c r="BK1961" i="57"/>
  <c r="BD1961" i="57"/>
  <c r="BJ1961" i="57"/>
  <c r="BG1961" i="57"/>
  <c r="AV1961" i="57"/>
  <c r="BK1804" i="57"/>
  <c r="BK1803" i="57"/>
  <c r="BK1802" i="57"/>
  <c r="BB1837" i="57"/>
  <c r="BJ1837" i="57"/>
  <c r="BD1837" i="57"/>
  <c r="BD1845" i="57"/>
  <c r="BB1845" i="57"/>
  <c r="BJ1845" i="57"/>
  <c r="BH1844" i="57"/>
  <c r="BJ1818" i="57"/>
  <c r="BA1818" i="57"/>
  <c r="BB1818" i="57" s="1"/>
  <c r="AV1818" i="57"/>
  <c r="BH1854" i="57"/>
  <c r="BH1886" i="57"/>
  <c r="BH1885" i="57"/>
  <c r="BH1884" i="57"/>
  <c r="BG1865" i="57"/>
  <c r="BB1865" i="57"/>
  <c r="BJ1865" i="57"/>
  <c r="BB1835" i="57"/>
  <c r="BJ1835" i="57"/>
  <c r="BD1835" i="57"/>
  <c r="BE1835" i="57" s="1"/>
  <c r="BG1835" i="57"/>
  <c r="BH1841" i="57" s="1"/>
  <c r="BD1843" i="57"/>
  <c r="BB1843" i="57"/>
  <c r="BG1843" i="57"/>
  <c r="BD1849" i="57"/>
  <c r="BB1849" i="57"/>
  <c r="BJ1849" i="57"/>
  <c r="BE1854" i="57"/>
  <c r="BD1859" i="57"/>
  <c r="BJ1859" i="57"/>
  <c r="BG1859" i="57"/>
  <c r="BH1835" i="57"/>
  <c r="AV1809" i="57"/>
  <c r="BA1809" i="57"/>
  <c r="BD1809" i="57" s="1"/>
  <c r="BE1834" i="57"/>
  <c r="BB1809" i="57"/>
  <c r="BH1834" i="57"/>
  <c r="BJ1810" i="57"/>
  <c r="BA1810" i="57"/>
  <c r="BG1810" i="57" s="1"/>
  <c r="AV1810" i="57"/>
  <c r="BD1871" i="57"/>
  <c r="BG1871" i="57"/>
  <c r="BJ1871" i="57"/>
  <c r="BB1871" i="57"/>
  <c r="BJ1870" i="57"/>
  <c r="BB1870" i="57"/>
  <c r="BD1870" i="57"/>
  <c r="BG1870" i="57"/>
  <c r="BE1802" i="57"/>
  <c r="BB1858" i="57"/>
  <c r="BJ1858" i="57"/>
  <c r="BG1858" i="57"/>
  <c r="BD1858" i="57"/>
  <c r="BD1863" i="57"/>
  <c r="BG1863" i="57"/>
  <c r="BJ1863" i="57"/>
  <c r="BB1863" i="57"/>
  <c r="BH1874" i="57"/>
  <c r="BH1877" i="57"/>
  <c r="BH1876" i="57"/>
  <c r="BH1875" i="57"/>
  <c r="BD1855" i="57"/>
  <c r="BE1857" i="57" s="1"/>
  <c r="BG1855" i="57"/>
  <c r="BH1856" i="57" s="1"/>
  <c r="BB1855" i="57"/>
  <c r="BE1803" i="57"/>
  <c r="BH1807" i="57"/>
  <c r="BG1825" i="57"/>
  <c r="BD1825" i="57"/>
  <c r="BE1825" i="57" s="1"/>
  <c r="AV1825" i="57"/>
  <c r="BA1825" i="57"/>
  <c r="BJ1825" i="57" s="1"/>
  <c r="BB1825" i="57"/>
  <c r="BH1825" i="57"/>
  <c r="BB1824" i="57"/>
  <c r="BJ1824" i="57"/>
  <c r="BD1824" i="57"/>
  <c r="BJ1828" i="57"/>
  <c r="BD1828" i="57"/>
  <c r="BH1802" i="57"/>
  <c r="BH1803" i="57"/>
  <c r="BH1801" i="57"/>
  <c r="BG1837" i="57"/>
  <c r="BH1843" i="57" s="1"/>
  <c r="BG1845" i="57"/>
  <c r="BH1847" i="57" s="1"/>
  <c r="BH1855" i="57"/>
  <c r="BJ1805" i="57"/>
  <c r="BB1805" i="57"/>
  <c r="BJ1843" i="57"/>
  <c r="BJ1855" i="57"/>
  <c r="BB1810" i="57"/>
  <c r="BK1824" i="57"/>
  <c r="BH1836" i="57"/>
  <c r="BD1867" i="57"/>
  <c r="BG1867" i="57"/>
  <c r="BB1867" i="57"/>
  <c r="BJ1867" i="57"/>
  <c r="BB1859" i="57"/>
  <c r="BG1813" i="57"/>
  <c r="BJ1813" i="57"/>
  <c r="BD1813" i="57"/>
  <c r="BK1874" i="57"/>
  <c r="BE1875" i="57"/>
  <c r="BK1875" i="57"/>
  <c r="BD1860" i="57"/>
  <c r="BA1896" i="57"/>
  <c r="BB1896" i="57" s="1"/>
  <c r="BH1914" i="57"/>
  <c r="BD1954" i="57"/>
  <c r="AV1899" i="57"/>
  <c r="BB1905" i="57"/>
  <c r="AV1907" i="57"/>
  <c r="BB1913" i="57"/>
  <c r="AV1915" i="57"/>
  <c r="BB1937" i="57"/>
  <c r="BB1941" i="57"/>
  <c r="BB1946" i="57"/>
  <c r="BH1955" i="57"/>
  <c r="BG1905" i="57"/>
  <c r="BD1946" i="57"/>
  <c r="BD1927" i="57"/>
  <c r="BJ1927" i="57"/>
  <c r="BG1927" i="57"/>
  <c r="BB1927" i="57"/>
  <c r="BG1930" i="57"/>
  <c r="BD1935" i="57"/>
  <c r="BJ1935" i="57"/>
  <c r="BB1935" i="57"/>
  <c r="BG1935" i="57"/>
  <c r="BD1943" i="57"/>
  <c r="BJ1943" i="57"/>
  <c r="BG1943" i="57"/>
  <c r="BB1943" i="57"/>
  <c r="BJ1945" i="57"/>
  <c r="BB1945" i="57"/>
  <c r="BA1945" i="57"/>
  <c r="BD1945" i="57" s="1"/>
  <c r="BG1945" i="57"/>
  <c r="BG1910" i="57"/>
  <c r="BJ1910" i="57"/>
  <c r="BJ1913" i="57"/>
  <c r="BJ1921" i="57"/>
  <c r="BJ1929" i="57"/>
  <c r="BJ1934" i="57"/>
  <c r="BK1934" i="57" s="1"/>
  <c r="BJ1941" i="57"/>
  <c r="BD1882" i="57"/>
  <c r="BA1924" i="57"/>
  <c r="BB1947" i="57"/>
  <c r="BB1897" i="57"/>
  <c r="BB1836" i="57"/>
  <c r="BJ1836" i="57"/>
  <c r="BB1840" i="57"/>
  <c r="BJ1840" i="57"/>
  <c r="BB1844" i="57"/>
  <c r="BJ1844" i="57"/>
  <c r="BB1848" i="57"/>
  <c r="BJ1848" i="57"/>
  <c r="BB1852" i="57"/>
  <c r="BJ1852" i="57"/>
  <c r="BB1832" i="57"/>
  <c r="BJ1832" i="57"/>
  <c r="BJ1854" i="57"/>
  <c r="BB1854" i="57"/>
  <c r="BJ1884" i="57"/>
  <c r="BB1884" i="57"/>
  <c r="BD1884" i="57"/>
  <c r="BE1804" i="57"/>
  <c r="BD1836" i="57"/>
  <c r="BE1841" i="57" s="1"/>
  <c r="BD1848" i="57"/>
  <c r="BH1806" i="57"/>
  <c r="BG1817" i="57"/>
  <c r="BJ1817" i="57"/>
  <c r="BD1817" i="57"/>
  <c r="BJ1841" i="57"/>
  <c r="BJ1857" i="57"/>
  <c r="BA1814" i="57"/>
  <c r="BG1814" i="57" s="1"/>
  <c r="BJ1822" i="57"/>
  <c r="BA1822" i="57"/>
  <c r="BG1822" i="57" s="1"/>
  <c r="BE1807" i="57"/>
  <c r="BB1839" i="57"/>
  <c r="BJ1876" i="57"/>
  <c r="BK1883" i="57" s="1"/>
  <c r="BB1876" i="57"/>
  <c r="BD1876" i="57"/>
  <c r="BE1878" i="57" s="1"/>
  <c r="BK1879" i="57"/>
  <c r="BJ1861" i="57"/>
  <c r="BH1866" i="57"/>
  <c r="BH1867" i="57"/>
  <c r="BH1871" i="57"/>
  <c r="BB1874" i="57"/>
  <c r="BH1868" i="57"/>
  <c r="BH1864" i="57"/>
  <c r="BG1904" i="57"/>
  <c r="BH1905" i="57" s="1"/>
  <c r="BH1954" i="57"/>
  <c r="BA1895" i="57"/>
  <c r="BB1895" i="57" s="1"/>
  <c r="BJ1918" i="57"/>
  <c r="BJ1925" i="57"/>
  <c r="BJ1930" i="57"/>
  <c r="BJ1937" i="57"/>
  <c r="BJ1942" i="57"/>
  <c r="BB1877" i="57"/>
  <c r="BD1878" i="57"/>
  <c r="BG1878" i="57"/>
  <c r="BH1878" i="57" s="1"/>
  <c r="BJ1886" i="57"/>
  <c r="BJ1887" i="57"/>
  <c r="BB1889" i="57"/>
  <c r="BA1891" i="57"/>
  <c r="BB1933" i="57"/>
  <c r="BD1956" i="57"/>
  <c r="BE1956" i="57" s="1"/>
  <c r="BJ1956" i="57"/>
  <c r="BG1956" i="57"/>
  <c r="BH1956" i="57" s="1"/>
  <c r="BB1956" i="57"/>
  <c r="BH1873" i="57"/>
  <c r="BB1873" i="57"/>
  <c r="BB1880" i="57"/>
  <c r="BG1902" i="57"/>
  <c r="BJ1902" i="57"/>
  <c r="BJ1905" i="57"/>
  <c r="BJ1922" i="57"/>
  <c r="BJ1926" i="57"/>
  <c r="BJ1933" i="57"/>
  <c r="BJ1938" i="57"/>
  <c r="BJ1958" i="57"/>
  <c r="BH1872" i="57"/>
  <c r="BG1872" i="57"/>
  <c r="BK1877" i="57"/>
  <c r="BJ1885" i="57"/>
  <c r="BK1892" i="57" s="1"/>
  <c r="BB1888" i="57"/>
  <c r="BD1892" i="57"/>
  <c r="BJ1892" i="57"/>
  <c r="BG1892" i="57"/>
  <c r="AV1892" i="57"/>
  <c r="BA1904" i="57"/>
  <c r="BB1904" i="57" s="1"/>
  <c r="BD1919" i="57"/>
  <c r="BJ1919" i="57"/>
  <c r="BG1919" i="57"/>
  <c r="BB1919" i="57"/>
  <c r="BD1923" i="57"/>
  <c r="BJ1923" i="57"/>
  <c r="BB1923" i="57"/>
  <c r="BG1923" i="57"/>
  <c r="BD1931" i="57"/>
  <c r="BJ1931" i="57"/>
  <c r="BG1931" i="57"/>
  <c r="BB1931" i="57"/>
  <c r="BK1935" i="57"/>
  <c r="BG1941" i="57"/>
  <c r="BD1949" i="57"/>
  <c r="BG1949" i="57"/>
  <c r="BA1949" i="57"/>
  <c r="BJ1949" i="57" s="1"/>
  <c r="BA1952" i="57"/>
  <c r="BE1954" i="57"/>
  <c r="BA1957" i="57"/>
  <c r="BD1957" i="57" s="1"/>
  <c r="BB1869" i="57"/>
  <c r="BD1910" i="57"/>
  <c r="BA1911" i="57"/>
  <c r="BB1911" i="57" s="1"/>
  <c r="BD1913" i="57"/>
  <c r="BD1921" i="57"/>
  <c r="BD1929" i="57"/>
  <c r="BD1934" i="57"/>
  <c r="BE1943" i="57" s="1"/>
  <c r="BG1933" i="57"/>
  <c r="BB1951" i="57"/>
  <c r="AV1927" i="57"/>
  <c r="BA1936" i="57"/>
  <c r="BB1936" i="57" s="1"/>
  <c r="AV1923" i="57"/>
  <c r="BJ1862" i="57"/>
  <c r="BD1862" i="57"/>
  <c r="BD1844" i="57"/>
  <c r="BB1812" i="57"/>
  <c r="BB1820" i="57"/>
  <c r="BE1808" i="57"/>
  <c r="BG1812" i="57"/>
  <c r="BG1820" i="57"/>
  <c r="BB1833" i="57"/>
  <c r="BJ1833" i="57"/>
  <c r="BD1833" i="57"/>
  <c r="BE1806" i="57"/>
  <c r="BB1813" i="57"/>
  <c r="BG1821" i="57"/>
  <c r="BJ1821" i="57"/>
  <c r="BD1821" i="57"/>
  <c r="BG1829" i="57"/>
  <c r="BD1829" i="57"/>
  <c r="BJ1829" i="57"/>
  <c r="BB1829" i="57"/>
  <c r="BJ1838" i="57"/>
  <c r="BB1838" i="57"/>
  <c r="BJ1842" i="57"/>
  <c r="BB1842" i="57"/>
  <c r="BJ1846" i="57"/>
  <c r="BB1846" i="57"/>
  <c r="BJ1850" i="57"/>
  <c r="BB1850" i="57"/>
  <c r="AV1814" i="57"/>
  <c r="AV1822" i="57"/>
  <c r="BA1826" i="57"/>
  <c r="BG1826" i="57" s="1"/>
  <c r="BH1829" i="57" s="1"/>
  <c r="BJ1834" i="57"/>
  <c r="BK1842" i="57" s="1"/>
  <c r="BB1834" i="57"/>
  <c r="BB1856" i="57"/>
  <c r="BJ1856" i="57"/>
  <c r="BJ1868" i="57"/>
  <c r="BD1868" i="57"/>
  <c r="BB1868" i="57"/>
  <c r="BJ1883" i="57"/>
  <c r="BB1866" i="57"/>
  <c r="BB1857" i="57"/>
  <c r="BB1861" i="57"/>
  <c r="BE1865" i="57"/>
  <c r="BJ1864" i="57"/>
  <c r="BB1864" i="57"/>
  <c r="BE1874" i="57"/>
  <c r="BB1860" i="57"/>
  <c r="BJ1860" i="57"/>
  <c r="BJ1882" i="57"/>
  <c r="BK1882" i="57" s="1"/>
  <c r="AV1895" i="57"/>
  <c r="AV1924" i="57"/>
  <c r="AV1936" i="57"/>
  <c r="AV1952" i="57"/>
  <c r="BJ1955" i="57"/>
  <c r="BK1894" i="57"/>
  <c r="BD1925" i="57"/>
  <c r="BD1937" i="57"/>
  <c r="BD1942" i="57"/>
  <c r="BD1877" i="57"/>
  <c r="BB1887" i="57"/>
  <c r="BA1899" i="57"/>
  <c r="BJ1899" i="57" s="1"/>
  <c r="BA1907" i="57"/>
  <c r="BG1907" i="57" s="1"/>
  <c r="BH1908" i="57" s="1"/>
  <c r="BA1915" i="57"/>
  <c r="BJ1915" i="57" s="1"/>
  <c r="BB1925" i="57"/>
  <c r="BB1929" i="57"/>
  <c r="BE1934" i="57"/>
  <c r="AV1945" i="57"/>
  <c r="BE1805" i="57"/>
  <c r="BA1903" i="57"/>
  <c r="BD1903" i="57" s="1"/>
  <c r="BD1926" i="57"/>
  <c r="BD1938" i="57"/>
  <c r="BE1940" i="57" s="1"/>
  <c r="BD1958" i="57"/>
  <c r="BB1885" i="57"/>
  <c r="BD1916" i="57"/>
  <c r="BJ1916" i="57"/>
  <c r="BG1916" i="57"/>
  <c r="BA1916" i="57"/>
  <c r="BB1916" i="57" s="1"/>
  <c r="AV1916" i="57"/>
  <c r="BA1944" i="57"/>
  <c r="BG1944" i="57" s="1"/>
  <c r="BD1920" i="57"/>
  <c r="BJ1920" i="57"/>
  <c r="BG1920" i="57"/>
  <c r="BD1928" i="57"/>
  <c r="BJ1928" i="57"/>
  <c r="BG1928" i="57"/>
  <c r="BH1933" i="57" s="1"/>
  <c r="BE1928" i="57"/>
  <c r="BD1940" i="57"/>
  <c r="BJ1940" i="57"/>
  <c r="BG1940" i="57"/>
  <c r="BJ1950" i="57"/>
  <c r="AV1904" i="57"/>
  <c r="BK1881" i="57"/>
  <c r="AV1935" i="57"/>
  <c r="BB1955" i="57"/>
  <c r="BD1895" i="57"/>
  <c r="BJ1895" i="57"/>
  <c r="BG1895" i="57"/>
  <c r="BD1924" i="57"/>
  <c r="BE1927" i="57" s="1"/>
  <c r="BJ1924" i="57"/>
  <c r="BK1932" i="57" s="1"/>
  <c r="BG1924" i="57"/>
  <c r="BE1924" i="57"/>
  <c r="BH1925" i="57"/>
  <c r="BH1930" i="57"/>
  <c r="BE1955" i="57"/>
  <c r="BH1926" i="57"/>
  <c r="BH1929" i="57"/>
  <c r="BK1930" i="57"/>
  <c r="BD1936" i="57"/>
  <c r="BE1941" i="57" s="1"/>
  <c r="BJ1936" i="57"/>
  <c r="BK1939" i="57" s="1"/>
  <c r="BG1936" i="57"/>
  <c r="BE1936" i="57"/>
  <c r="BJ1954" i="57"/>
  <c r="BK1956" i="57" s="1"/>
  <c r="BK1880" i="57"/>
  <c r="BG1887" i="57"/>
  <c r="BH1887" i="57" s="1"/>
  <c r="BD1891" i="57"/>
  <c r="BJ1891" i="57"/>
  <c r="BK1891" i="57" s="1"/>
  <c r="BB1891" i="57"/>
  <c r="BG1891" i="57"/>
  <c r="BE1914" i="57"/>
  <c r="AV1891" i="57"/>
  <c r="BK1914" i="57"/>
  <c r="BB1921" i="57"/>
  <c r="BE1926" i="57"/>
  <c r="BK1936" i="57"/>
  <c r="BD1952" i="57"/>
  <c r="BJ1952" i="57"/>
  <c r="BB1952" i="57"/>
  <c r="BG1952" i="57"/>
  <c r="BB1841" i="57"/>
  <c r="BD1886" i="57"/>
  <c r="BK1926" i="57"/>
  <c r="BD1932" i="57"/>
  <c r="BE1932" i="57" s="1"/>
  <c r="BJ1932" i="57"/>
  <c r="BG1932" i="57"/>
  <c r="BK1938" i="57"/>
  <c r="BJ1946" i="57"/>
  <c r="BB1853" i="57"/>
  <c r="BD1885" i="57"/>
  <c r="BE1891" i="57" s="1"/>
  <c r="BH1894" i="57"/>
  <c r="BD1900" i="57"/>
  <c r="BJ1900" i="57"/>
  <c r="BG1900" i="57"/>
  <c r="AV1900" i="57"/>
  <c r="BJ1908" i="57"/>
  <c r="BG1908" i="57"/>
  <c r="BA1908" i="57"/>
  <c r="BB1908" i="57" s="1"/>
  <c r="AV1908" i="57"/>
  <c r="BA1912" i="57"/>
  <c r="BB1912" i="57" s="1"/>
  <c r="BB1924" i="57"/>
  <c r="BE1929" i="57"/>
  <c r="BE1933" i="57"/>
  <c r="BG1934" i="57"/>
  <c r="BH1937" i="57" s="1"/>
  <c r="BE1937" i="57"/>
  <c r="BD1939" i="57"/>
  <c r="BE1939" i="57" s="1"/>
  <c r="BJ1939" i="57"/>
  <c r="BK1940" i="57" s="1"/>
  <c r="BG1939" i="57"/>
  <c r="BB1939" i="57"/>
  <c r="BA1948" i="57"/>
  <c r="BD1948" i="57" s="1"/>
  <c r="BJ1953" i="57"/>
  <c r="BA1953" i="57"/>
  <c r="BD1953" i="57" s="1"/>
  <c r="BD1866" i="57"/>
  <c r="BE1866" i="57" s="1"/>
  <c r="BH1869" i="57"/>
  <c r="BD1911" i="57"/>
  <c r="BJ1911" i="57"/>
  <c r="BG1911" i="57"/>
  <c r="BD1950" i="57"/>
  <c r="AV1912" i="57"/>
  <c r="AV1896" i="57"/>
  <c r="AV1943" i="57"/>
  <c r="BE1894" i="57"/>
  <c r="BE1930" i="57"/>
  <c r="BB1954" i="57"/>
  <c r="AP174" i="57"/>
  <c r="AO174" i="57"/>
  <c r="AJ174" i="57"/>
  <c r="AQ174" i="57"/>
  <c r="AN174" i="57"/>
  <c r="AP178" i="57"/>
  <c r="AO178" i="57"/>
  <c r="AJ178" i="57"/>
  <c r="AQ178" i="57"/>
  <c r="AN178" i="57"/>
  <c r="AP182" i="57"/>
  <c r="AO182" i="57"/>
  <c r="AJ182" i="57"/>
  <c r="AQ182" i="57"/>
  <c r="AN182" i="57"/>
  <c r="AP186" i="57"/>
  <c r="AO186" i="57"/>
  <c r="AJ186" i="57"/>
  <c r="AQ186" i="57"/>
  <c r="AN186" i="57"/>
  <c r="AP190" i="57"/>
  <c r="AO190" i="57"/>
  <c r="AJ190" i="57"/>
  <c r="AQ190" i="57"/>
  <c r="AN190" i="57"/>
  <c r="AP194" i="57"/>
  <c r="AO194" i="57"/>
  <c r="AJ194" i="57"/>
  <c r="AQ194" i="57"/>
  <c r="AN194" i="57"/>
  <c r="AP198" i="57"/>
  <c r="AO198" i="57"/>
  <c r="AJ198" i="57"/>
  <c r="AQ198" i="57"/>
  <c r="AN198" i="57"/>
  <c r="AP202" i="57"/>
  <c r="AO202" i="57"/>
  <c r="AJ202" i="57"/>
  <c r="AQ202" i="57"/>
  <c r="AN202" i="57"/>
  <c r="AP172" i="57"/>
  <c r="AO172" i="57"/>
  <c r="AJ172" i="57"/>
  <c r="AQ172" i="57"/>
  <c r="AN172" i="57"/>
  <c r="AP176" i="57"/>
  <c r="AO176" i="57"/>
  <c r="AJ176" i="57"/>
  <c r="AQ176" i="57"/>
  <c r="AN176" i="57"/>
  <c r="AP180" i="57"/>
  <c r="AO180" i="57"/>
  <c r="AJ180" i="57"/>
  <c r="AQ180" i="57"/>
  <c r="AN180" i="57"/>
  <c r="AP184" i="57"/>
  <c r="AO184" i="57"/>
  <c r="AJ184" i="57"/>
  <c r="AQ184" i="57"/>
  <c r="AN184" i="57"/>
  <c r="AP188" i="57"/>
  <c r="AO188" i="57"/>
  <c r="AJ188" i="57"/>
  <c r="AQ188" i="57"/>
  <c r="AN188" i="57"/>
  <c r="AP192" i="57"/>
  <c r="AO192" i="57"/>
  <c r="AJ192" i="57"/>
  <c r="AQ192" i="57"/>
  <c r="AN192" i="57"/>
  <c r="AP196" i="57"/>
  <c r="AO196" i="57"/>
  <c r="AJ196" i="57"/>
  <c r="AQ196" i="57"/>
  <c r="AN196" i="57"/>
  <c r="AP200" i="57"/>
  <c r="AO200" i="57"/>
  <c r="AJ200" i="57"/>
  <c r="AQ200" i="57"/>
  <c r="AN200" i="57"/>
  <c r="AO31" i="57"/>
  <c r="AQ31" i="57"/>
  <c r="AP31" i="57"/>
  <c r="AN31" i="57"/>
  <c r="AO37" i="57"/>
  <c r="AQ37" i="57"/>
  <c r="AP37" i="57"/>
  <c r="AP49" i="57"/>
  <c r="AQ49" i="57"/>
  <c r="AO49" i="57"/>
  <c r="AP53" i="57"/>
  <c r="AQ53" i="57"/>
  <c r="AO53" i="57"/>
  <c r="AP57" i="57"/>
  <c r="AQ57" i="57"/>
  <c r="AO57" i="57"/>
  <c r="AP61" i="57"/>
  <c r="AQ61" i="57"/>
  <c r="AO61" i="57"/>
  <c r="AP65" i="57"/>
  <c r="AQ65" i="57"/>
  <c r="AO65" i="57"/>
  <c r="AJ37" i="57"/>
  <c r="AJ35" i="57"/>
  <c r="AO69" i="57"/>
  <c r="AQ69" i="57"/>
  <c r="AP69" i="57"/>
  <c r="AO73" i="57"/>
  <c r="AQ73" i="57"/>
  <c r="AP73" i="57"/>
  <c r="AO77" i="57"/>
  <c r="AQ77" i="57"/>
  <c r="AP77" i="57"/>
  <c r="AO81" i="57"/>
  <c r="AQ81" i="57"/>
  <c r="AP81" i="57"/>
  <c r="AO85" i="57"/>
  <c r="AQ85" i="57"/>
  <c r="AP85" i="57"/>
  <c r="AP89" i="57"/>
  <c r="AQ89" i="57"/>
  <c r="AO89" i="57"/>
  <c r="AO39" i="57"/>
  <c r="AQ39" i="57"/>
  <c r="AP39" i="57"/>
  <c r="AN39" i="57"/>
  <c r="AJ51" i="57"/>
  <c r="AJ63" i="57"/>
  <c r="AN73" i="57"/>
  <c r="AN81" i="57"/>
  <c r="AN89" i="57"/>
  <c r="AJ73" i="57"/>
  <c r="AJ71" i="57"/>
  <c r="AJ69" i="57"/>
  <c r="AO46" i="57"/>
  <c r="AP46" i="57"/>
  <c r="AQ46" i="57"/>
  <c r="AO35" i="57"/>
  <c r="AQ35" i="57"/>
  <c r="AP35" i="57"/>
  <c r="AP51" i="57"/>
  <c r="AN51" i="57"/>
  <c r="AO51" i="57"/>
  <c r="AQ51" i="57"/>
  <c r="AP63" i="57"/>
  <c r="AN63" i="57"/>
  <c r="AO63" i="57"/>
  <c r="AQ63" i="57"/>
  <c r="AN35" i="57"/>
  <c r="AJ31" i="57"/>
  <c r="AJ46" i="57"/>
  <c r="AJ49" i="57"/>
  <c r="AJ53" i="57"/>
  <c r="AJ57" i="57"/>
  <c r="AJ61" i="57"/>
  <c r="AJ65" i="57"/>
  <c r="AP47" i="57"/>
  <c r="AO47" i="57"/>
  <c r="AQ47" i="57"/>
  <c r="AJ39" i="57"/>
  <c r="AO43" i="57"/>
  <c r="AQ43" i="57"/>
  <c r="AP43" i="57"/>
  <c r="AN43" i="57"/>
  <c r="AP59" i="57"/>
  <c r="AN59" i="57"/>
  <c r="AO59" i="57"/>
  <c r="AQ59" i="57"/>
  <c r="AN79" i="57"/>
  <c r="AJ81" i="57"/>
  <c r="AJ77" i="57"/>
  <c r="AO33" i="57"/>
  <c r="AQ33" i="57"/>
  <c r="AP33" i="57"/>
  <c r="AO67" i="57"/>
  <c r="AQ67" i="57"/>
  <c r="AP67" i="57"/>
  <c r="AO71" i="57"/>
  <c r="AQ71" i="57"/>
  <c r="AP71" i="57"/>
  <c r="AO75" i="57"/>
  <c r="AQ75" i="57"/>
  <c r="AP75" i="57"/>
  <c r="AO79" i="57"/>
  <c r="AQ79" i="57"/>
  <c r="AP79" i="57"/>
  <c r="AO83" i="57"/>
  <c r="AQ83" i="57"/>
  <c r="AP83" i="57"/>
  <c r="AO87" i="57"/>
  <c r="AQ87" i="57"/>
  <c r="AP87" i="57"/>
  <c r="AO38" i="57"/>
  <c r="AP38" i="57"/>
  <c r="AQ38" i="57"/>
  <c r="AP55" i="57"/>
  <c r="AN55" i="57"/>
  <c r="AO55" i="57"/>
  <c r="AQ55" i="57"/>
  <c r="AJ87" i="57"/>
  <c r="BK1724" i="57"/>
  <c r="BK1732" i="57"/>
  <c r="BK1731" i="57"/>
  <c r="BK1729" i="57"/>
  <c r="BK1727" i="57"/>
  <c r="BK1726" i="57"/>
  <c r="BK1725" i="57"/>
  <c r="BK1730" i="57"/>
  <c r="BK1728" i="57"/>
  <c r="BK1733" i="57"/>
  <c r="BE1709" i="57"/>
  <c r="BE1710" i="57"/>
  <c r="BE1686" i="57"/>
  <c r="BE1690" i="57"/>
  <c r="BE1685" i="57"/>
  <c r="BE1689" i="57"/>
  <c r="BE1693" i="57"/>
  <c r="BE1684" i="57"/>
  <c r="BE1688" i="57"/>
  <c r="BE1692" i="57"/>
  <c r="BE1687" i="57"/>
  <c r="BE1712" i="57"/>
  <c r="BH1741" i="57"/>
  <c r="BH1740" i="57"/>
  <c r="BE1746" i="57"/>
  <c r="BE1747" i="57"/>
  <c r="BE1753" i="57"/>
  <c r="BE1745" i="57"/>
  <c r="BK1712" i="57"/>
  <c r="BH1739" i="57"/>
  <c r="BE1711" i="57"/>
  <c r="BH1744" i="57"/>
  <c r="BH1749" i="57"/>
  <c r="BH1750" i="57"/>
  <c r="BE1708" i="57"/>
  <c r="BK1713" i="57"/>
  <c r="BK1705" i="57"/>
  <c r="BE1706" i="57"/>
  <c r="BH1738" i="57"/>
  <c r="BH1746" i="57"/>
  <c r="BE1748" i="57"/>
  <c r="BE1707" i="57"/>
  <c r="BE1744" i="57"/>
  <c r="BE1759" i="57"/>
  <c r="BE1757" i="57"/>
  <c r="BE1761" i="57"/>
  <c r="BE1750" i="57"/>
  <c r="BH1752" i="57"/>
  <c r="BK1754" i="57"/>
  <c r="BE1749" i="57"/>
  <c r="BE1741" i="57"/>
  <c r="BE1691" i="57"/>
  <c r="BE1788" i="57"/>
  <c r="BE1792" i="57"/>
  <c r="BK1764" i="57"/>
  <c r="BK1768" i="57"/>
  <c r="BK1772" i="57"/>
  <c r="BK1765" i="57"/>
  <c r="BK1769" i="57"/>
  <c r="BK1773" i="57"/>
  <c r="BK1767" i="57"/>
  <c r="BK1771" i="57"/>
  <c r="BK1792" i="57"/>
  <c r="BE1789" i="57"/>
  <c r="BE1713" i="57"/>
  <c r="BK1686" i="57"/>
  <c r="BK1690" i="57"/>
  <c r="BK1685" i="57"/>
  <c r="BK1689" i="57"/>
  <c r="BK1693" i="57"/>
  <c r="BK1684" i="57"/>
  <c r="BK1688" i="57"/>
  <c r="BK1692" i="57"/>
  <c r="BK1687" i="57"/>
  <c r="BH1735" i="57"/>
  <c r="BH1745" i="57"/>
  <c r="BH1747" i="57"/>
  <c r="BH1743" i="57"/>
  <c r="BK1761" i="57"/>
  <c r="BK1757" i="57"/>
  <c r="BK1759" i="57"/>
  <c r="BK1763" i="57"/>
  <c r="BH1737" i="57"/>
  <c r="BK1748" i="57"/>
  <c r="BK1753" i="57"/>
  <c r="BK1747" i="57"/>
  <c r="BE1751" i="57"/>
  <c r="BK1745" i="57"/>
  <c r="BE1742" i="57"/>
  <c r="BE1734" i="57"/>
  <c r="BK1691" i="57"/>
  <c r="BK1736" i="57"/>
  <c r="BK1739" i="57"/>
  <c r="BK1743" i="57"/>
  <c r="BH1751" i="57"/>
  <c r="BK1787" i="57"/>
  <c r="BK1791" i="57"/>
  <c r="BE1764" i="57"/>
  <c r="BE1768" i="57"/>
  <c r="BE1772" i="57"/>
  <c r="BE1765" i="57"/>
  <c r="BE1769" i="57"/>
  <c r="BE1773" i="57"/>
  <c r="BE1771" i="57"/>
  <c r="BK1788" i="57"/>
  <c r="BE1785" i="57"/>
  <c r="BK1785" i="57"/>
  <c r="H7" i="65"/>
  <c r="H8" i="65"/>
  <c r="H9" i="65"/>
  <c r="H10" i="65"/>
  <c r="H11" i="65"/>
  <c r="H12" i="65"/>
  <c r="H13" i="65"/>
  <c r="H14" i="65"/>
  <c r="H15" i="65"/>
  <c r="H16" i="65"/>
  <c r="BH1962" i="57" l="1"/>
  <c r="BH1960" i="57"/>
  <c r="BH1959" i="57"/>
  <c r="BD1983" i="57"/>
  <c r="BD1965" i="57"/>
  <c r="BE1961" i="57"/>
  <c r="BK1978" i="57"/>
  <c r="BD1985" i="57"/>
  <c r="BG1981" i="57"/>
  <c r="BB1967" i="57"/>
  <c r="BJ1969" i="57"/>
  <c r="BE1975" i="57"/>
  <c r="BK1995" i="57"/>
  <c r="BK2003" i="57"/>
  <c r="BE1978" i="57"/>
  <c r="BE1980" i="57"/>
  <c r="BE1994" i="57"/>
  <c r="BE2002" i="57"/>
  <c r="BE2001" i="57"/>
  <c r="BE1976" i="57"/>
  <c r="BE1979" i="57"/>
  <c r="BK1959" i="57"/>
  <c r="BH1980" i="57"/>
  <c r="BG1965" i="57"/>
  <c r="BJ1967" i="57"/>
  <c r="BE1977" i="57"/>
  <c r="BD1969" i="57"/>
  <c r="BH1995" i="57"/>
  <c r="BH1999" i="57"/>
  <c r="BE1996" i="57"/>
  <c r="BK1963" i="57"/>
  <c r="BG1963" i="57"/>
  <c r="BE1997" i="57"/>
  <c r="BK1980" i="57"/>
  <c r="BE1962" i="57"/>
  <c r="BE1959" i="57"/>
  <c r="BE1960" i="57"/>
  <c r="BG1983" i="57"/>
  <c r="BH1961" i="57"/>
  <c r="BH1978" i="57"/>
  <c r="BG1985" i="57"/>
  <c r="BJ1981" i="57"/>
  <c r="BK1982" i="57" s="1"/>
  <c r="BE2003" i="57"/>
  <c r="BK1996" i="57"/>
  <c r="BK1994" i="57"/>
  <c r="BK1998" i="57"/>
  <c r="BK2000" i="57"/>
  <c r="BB1969" i="57"/>
  <c r="BK1999" i="57"/>
  <c r="BH1963" i="57"/>
  <c r="BE1998" i="57"/>
  <c r="BB1963" i="57"/>
  <c r="BJ1963" i="57"/>
  <c r="BJ1983" i="57"/>
  <c r="BK1983" i="57" s="1"/>
  <c r="BK1977" i="57"/>
  <c r="BK1975" i="57"/>
  <c r="BH1976" i="57"/>
  <c r="BJ1965" i="57"/>
  <c r="BJ1985" i="57"/>
  <c r="BD1981" i="57"/>
  <c r="BE1981" i="57" s="1"/>
  <c r="BE1983" i="57"/>
  <c r="BH1979" i="57"/>
  <c r="BH1977" i="57"/>
  <c r="BK2001" i="57"/>
  <c r="BK1962" i="57"/>
  <c r="BE1957" i="57"/>
  <c r="BE1958" i="57"/>
  <c r="BH1816" i="57"/>
  <c r="BH1815" i="57"/>
  <c r="BH1814" i="57"/>
  <c r="BH1817" i="57"/>
  <c r="BH1832" i="57"/>
  <c r="BH1945" i="57"/>
  <c r="BH1946" i="57"/>
  <c r="BH1944" i="57"/>
  <c r="BH1947" i="57"/>
  <c r="BK1923" i="57"/>
  <c r="BK1918" i="57"/>
  <c r="BK1920" i="57"/>
  <c r="BK1916" i="57"/>
  <c r="BK1915" i="57"/>
  <c r="BK1917" i="57"/>
  <c r="BK1921" i="57"/>
  <c r="BK1922" i="57"/>
  <c r="BK1919" i="57"/>
  <c r="BK1825" i="57"/>
  <c r="BE1809" i="57"/>
  <c r="BD1908" i="57"/>
  <c r="BK1942" i="57"/>
  <c r="BH1934" i="57"/>
  <c r="BH1932" i="57"/>
  <c r="BH1931" i="57"/>
  <c r="BH1928" i="57"/>
  <c r="BH1927" i="57"/>
  <c r="BH1924" i="57"/>
  <c r="BE1873" i="57"/>
  <c r="BK1868" i="57"/>
  <c r="BK1871" i="57"/>
  <c r="BK1865" i="57"/>
  <c r="BK1872" i="57"/>
  <c r="BK1867" i="57"/>
  <c r="BK1866" i="57"/>
  <c r="BK1869" i="57"/>
  <c r="BK1873" i="57"/>
  <c r="BK1870" i="57"/>
  <c r="BK1864" i="57"/>
  <c r="BJ1826" i="57"/>
  <c r="BK1833" i="57" s="1"/>
  <c r="BG1957" i="57"/>
  <c r="BH1957" i="57" s="1"/>
  <c r="BB1957" i="57"/>
  <c r="BH1910" i="57"/>
  <c r="BJ1944" i="57"/>
  <c r="BK1928" i="57"/>
  <c r="BH1907" i="57"/>
  <c r="BK1941" i="57"/>
  <c r="BK1925" i="57"/>
  <c r="BH1909" i="57"/>
  <c r="BJ1904" i="57"/>
  <c r="BE1879" i="57"/>
  <c r="BB1822" i="57"/>
  <c r="BD1822" i="57"/>
  <c r="BK1878" i="57"/>
  <c r="BK1853" i="57"/>
  <c r="BK1845" i="57"/>
  <c r="BK1847" i="57"/>
  <c r="BK1849" i="57"/>
  <c r="BK1851" i="57"/>
  <c r="BK1848" i="57"/>
  <c r="BK1844" i="57"/>
  <c r="BK1846" i="57"/>
  <c r="BK1852" i="57"/>
  <c r="BK1850" i="57"/>
  <c r="BH1911" i="57"/>
  <c r="BE1880" i="57"/>
  <c r="BB1948" i="57"/>
  <c r="BG1915" i="57"/>
  <c r="BD1915" i="57"/>
  <c r="BB1907" i="57"/>
  <c r="BJ1907" i="57"/>
  <c r="BB1899" i="57"/>
  <c r="BD1899" i="57"/>
  <c r="BE1896" i="57"/>
  <c r="BD1896" i="57"/>
  <c r="BE1898" i="57" s="1"/>
  <c r="BE1883" i="57"/>
  <c r="BE1900" i="57"/>
  <c r="BH1880" i="57"/>
  <c r="BH1882" i="57"/>
  <c r="BK1895" i="57"/>
  <c r="BK1835" i="57"/>
  <c r="BD1810" i="57"/>
  <c r="BE1813" i="57" s="1"/>
  <c r="BK1828" i="57"/>
  <c r="BE1836" i="57"/>
  <c r="BK1837" i="57"/>
  <c r="BE1843" i="57"/>
  <c r="BE1858" i="57"/>
  <c r="BE1859" i="57"/>
  <c r="BH1893" i="57"/>
  <c r="BH1888" i="57"/>
  <c r="BH1863" i="57"/>
  <c r="BH1845" i="57"/>
  <c r="BH1846" i="57"/>
  <c r="BH1849" i="57"/>
  <c r="BK1807" i="57"/>
  <c r="BE1942" i="57"/>
  <c r="BG1953" i="57"/>
  <c r="BB1953" i="57"/>
  <c r="BH1943" i="57"/>
  <c r="BH1940" i="57"/>
  <c r="BH1939" i="57"/>
  <c r="BH1936" i="57"/>
  <c r="BH1935" i="57"/>
  <c r="BB1903" i="57"/>
  <c r="BE1897" i="57"/>
  <c r="BB1826" i="57"/>
  <c r="BD1826" i="57"/>
  <c r="BE1827" i="57" s="1"/>
  <c r="BJ1957" i="57"/>
  <c r="BB1949" i="57"/>
  <c r="BK1943" i="57"/>
  <c r="BK1927" i="57"/>
  <c r="BD1944" i="57"/>
  <c r="BK1924" i="57"/>
  <c r="BE1902" i="57"/>
  <c r="BK1937" i="57"/>
  <c r="BG1912" i="57"/>
  <c r="BH1913" i="57" s="1"/>
  <c r="BD1904" i="57"/>
  <c r="BJ1814" i="57"/>
  <c r="BE1890" i="57"/>
  <c r="BE1885" i="57"/>
  <c r="BE1892" i="57"/>
  <c r="BE1887" i="57"/>
  <c r="BE1886" i="57"/>
  <c r="BE1889" i="57"/>
  <c r="BE1884" i="57"/>
  <c r="BE1888" i="57"/>
  <c r="BE1893" i="57"/>
  <c r="BK1855" i="57"/>
  <c r="BK1857" i="57"/>
  <c r="BK1859" i="57"/>
  <c r="BK1861" i="57"/>
  <c r="BK1862" i="57"/>
  <c r="BK1863" i="57"/>
  <c r="BK1854" i="57"/>
  <c r="BK1860" i="57"/>
  <c r="BK1856" i="57"/>
  <c r="BK1858" i="57"/>
  <c r="BE1935" i="57"/>
  <c r="BE1895" i="57"/>
  <c r="BG1903" i="57"/>
  <c r="BG1948" i="57"/>
  <c r="BH1952" i="57" s="1"/>
  <c r="BB1915" i="57"/>
  <c r="BD1907" i="57"/>
  <c r="BG1899" i="57"/>
  <c r="BE1881" i="57"/>
  <c r="BE1868" i="57"/>
  <c r="BK1831" i="57"/>
  <c r="BK1832" i="57"/>
  <c r="BH1883" i="57"/>
  <c r="BE1869" i="57"/>
  <c r="BH1895" i="57"/>
  <c r="BE1826" i="57"/>
  <c r="BH1842" i="57"/>
  <c r="BK1834" i="57"/>
  <c r="BH1840" i="57"/>
  <c r="BK1841" i="57"/>
  <c r="BK1827" i="57"/>
  <c r="BE1838" i="57"/>
  <c r="BE1837" i="57"/>
  <c r="BE1824" i="57"/>
  <c r="BE1839" i="57"/>
  <c r="BJ1809" i="57"/>
  <c r="BK1813" i="57" s="1"/>
  <c r="BE1863" i="57"/>
  <c r="BE1855" i="57"/>
  <c r="BH1890" i="57"/>
  <c r="BH1861" i="57"/>
  <c r="BH1859" i="57"/>
  <c r="BD1818" i="57"/>
  <c r="BH1852" i="57"/>
  <c r="BK1805" i="57"/>
  <c r="BE1903" i="57"/>
  <c r="BK1955" i="57"/>
  <c r="BK1931" i="57"/>
  <c r="BE1931" i="57"/>
  <c r="BK1958" i="57"/>
  <c r="BB1944" i="57"/>
  <c r="BE1938" i="57"/>
  <c r="BK1933" i="57"/>
  <c r="BJ1912" i="57"/>
  <c r="BH1904" i="57"/>
  <c r="BB1814" i="57"/>
  <c r="BD1814" i="57"/>
  <c r="BE1925" i="57"/>
  <c r="BE1872" i="57"/>
  <c r="BJ1903" i="57"/>
  <c r="BJ1948" i="57"/>
  <c r="BE1899" i="57"/>
  <c r="BH1906" i="57"/>
  <c r="BG1896" i="57"/>
  <c r="BE1870" i="57"/>
  <c r="BH1828" i="57"/>
  <c r="BH1827" i="57"/>
  <c r="BH1860" i="57"/>
  <c r="BH1881" i="57"/>
  <c r="BK1876" i="57"/>
  <c r="BK1808" i="57"/>
  <c r="BH1958" i="57"/>
  <c r="BK1810" i="57"/>
  <c r="BH1839" i="57"/>
  <c r="BH1826" i="57"/>
  <c r="BH1837" i="57"/>
  <c r="BE1832" i="57"/>
  <c r="BH1831" i="57"/>
  <c r="BK1836" i="57"/>
  <c r="BE1842" i="57"/>
  <c r="BH1838" i="57"/>
  <c r="BE1833" i="57"/>
  <c r="BG1809" i="57"/>
  <c r="BE1856" i="57"/>
  <c r="BE1862" i="57"/>
  <c r="BE1861" i="57"/>
  <c r="BH1865" i="57"/>
  <c r="BH1870" i="57"/>
  <c r="BH1891" i="57"/>
  <c r="BH1889" i="57"/>
  <c r="BK1843" i="57"/>
  <c r="BH1858" i="57"/>
  <c r="BH1857" i="57"/>
  <c r="BG1818" i="57"/>
  <c r="BH1823" i="57" s="1"/>
  <c r="BH1850" i="57"/>
  <c r="BH1853" i="57"/>
  <c r="BK1806" i="57"/>
  <c r="BK1840" i="57"/>
  <c r="BH1941" i="57"/>
  <c r="BH1938" i="57"/>
  <c r="BH1942" i="57"/>
  <c r="BK1954" i="57"/>
  <c r="BE1867" i="57"/>
  <c r="BE1847" i="57"/>
  <c r="BE1851" i="57"/>
  <c r="BE1853" i="57"/>
  <c r="BE1845" i="57"/>
  <c r="BE1849" i="57"/>
  <c r="BE1850" i="57"/>
  <c r="BE1846" i="57"/>
  <c r="BE1848" i="57"/>
  <c r="BE1844" i="57"/>
  <c r="BE1852" i="57"/>
  <c r="BK1957" i="57"/>
  <c r="BH1892" i="57"/>
  <c r="BK1929" i="57"/>
  <c r="BD1912" i="57"/>
  <c r="BE1882" i="57"/>
  <c r="BE1876" i="57"/>
  <c r="BK1889" i="57"/>
  <c r="BK1893" i="57"/>
  <c r="BK1885" i="57"/>
  <c r="BK1884" i="57"/>
  <c r="BK1890" i="57"/>
  <c r="BK1887" i="57"/>
  <c r="BK1888" i="57"/>
  <c r="BK1886" i="57"/>
  <c r="BE1877" i="57"/>
  <c r="BJ1896" i="57"/>
  <c r="BE1871" i="57"/>
  <c r="BK1838" i="57"/>
  <c r="BH1879" i="57"/>
  <c r="BH1833" i="57"/>
  <c r="BE1840" i="57"/>
  <c r="BK1829" i="57"/>
  <c r="BE1829" i="57"/>
  <c r="BK1839" i="57"/>
  <c r="BE1830" i="57"/>
  <c r="BE1860" i="57"/>
  <c r="BH1830" i="57"/>
  <c r="BH1862" i="57"/>
  <c r="BH1848" i="57"/>
  <c r="BH1851" i="57"/>
  <c r="BK1830" i="57"/>
  <c r="BH1730" i="57"/>
  <c r="BH1728" i="57"/>
  <c r="BH1731" i="57"/>
  <c r="BH1727" i="57"/>
  <c r="BH1733" i="57"/>
  <c r="BH1726" i="57"/>
  <c r="BH1729" i="57"/>
  <c r="BH1724" i="57"/>
  <c r="BH1725" i="57"/>
  <c r="BH1732" i="57"/>
  <c r="BE1727" i="57"/>
  <c r="BE1726" i="57"/>
  <c r="BE1732" i="57"/>
  <c r="BE1725" i="57"/>
  <c r="BE1733" i="57"/>
  <c r="BE1730" i="57"/>
  <c r="BE1724" i="57"/>
  <c r="BE1731" i="57"/>
  <c r="BE1729" i="57"/>
  <c r="BE1728" i="57"/>
  <c r="H6" i="65"/>
  <c r="BH1992" i="57" l="1"/>
  <c r="BH1988" i="57"/>
  <c r="BH1990" i="57"/>
  <c r="BH1986" i="57"/>
  <c r="BH1989" i="57"/>
  <c r="BH1993" i="57"/>
  <c r="BH1985" i="57"/>
  <c r="BH1991" i="57"/>
  <c r="BH1987" i="57"/>
  <c r="BK1965" i="57"/>
  <c r="BK1968" i="57"/>
  <c r="BK1972" i="57"/>
  <c r="BK1969" i="57"/>
  <c r="BK1967" i="57"/>
  <c r="BK1971" i="57"/>
  <c r="BK1970" i="57"/>
  <c r="BK1973" i="57"/>
  <c r="BK1966" i="57"/>
  <c r="BH1983" i="57"/>
  <c r="BH1981" i="57"/>
  <c r="BK1981" i="57"/>
  <c r="BH1968" i="57"/>
  <c r="BH1965" i="57"/>
  <c r="BH1971" i="57"/>
  <c r="BH1966" i="57"/>
  <c r="BH1967" i="57"/>
  <c r="BH1972" i="57"/>
  <c r="BH1970" i="57"/>
  <c r="BH1973" i="57"/>
  <c r="BH1969" i="57"/>
  <c r="BE1968" i="57"/>
  <c r="BE1966" i="57"/>
  <c r="BE1972" i="57"/>
  <c r="BE1967" i="57"/>
  <c r="BE1969" i="57"/>
  <c r="BE1965" i="57"/>
  <c r="BE1971" i="57"/>
  <c r="BE1970" i="57"/>
  <c r="BE1973" i="57"/>
  <c r="BE1982" i="57"/>
  <c r="BK1992" i="57"/>
  <c r="BK1990" i="57"/>
  <c r="BK1988" i="57"/>
  <c r="BK1986" i="57"/>
  <c r="BK1993" i="57"/>
  <c r="BK1987" i="57"/>
  <c r="BK1991" i="57"/>
  <c r="BK1989" i="57"/>
  <c r="BK1985" i="57"/>
  <c r="BE1989" i="57"/>
  <c r="BE1992" i="57"/>
  <c r="BE1993" i="57"/>
  <c r="BE1990" i="57"/>
  <c r="BE1987" i="57"/>
  <c r="BE1988" i="57"/>
  <c r="BE1986" i="57"/>
  <c r="BE1991" i="57"/>
  <c r="BE1985" i="57"/>
  <c r="BH1982" i="57"/>
  <c r="BK1903" i="57"/>
  <c r="BK1900" i="57"/>
  <c r="BK1898" i="57"/>
  <c r="BK1899" i="57"/>
  <c r="BK1902" i="57"/>
  <c r="BE1815" i="57"/>
  <c r="BE1823" i="57"/>
  <c r="BE1817" i="57"/>
  <c r="BE1819" i="57"/>
  <c r="BE1818" i="57"/>
  <c r="BE1816" i="57"/>
  <c r="BE1820" i="57"/>
  <c r="BE1821" i="57"/>
  <c r="BE1814" i="57"/>
  <c r="BE1822" i="57"/>
  <c r="BE1952" i="57"/>
  <c r="BE1944" i="57"/>
  <c r="BE1953" i="57"/>
  <c r="BE1948" i="57"/>
  <c r="BE1947" i="57"/>
  <c r="BE1951" i="57"/>
  <c r="BE1949" i="57"/>
  <c r="BE1945" i="57"/>
  <c r="BE1946" i="57"/>
  <c r="BE1950" i="57"/>
  <c r="BE1828" i="57"/>
  <c r="BH1912" i="57"/>
  <c r="BE1812" i="57"/>
  <c r="BE1811" i="57"/>
  <c r="BH1953" i="57"/>
  <c r="BH1821" i="57"/>
  <c r="BH1902" i="57"/>
  <c r="BH1900" i="57"/>
  <c r="BK1948" i="57"/>
  <c r="BK1947" i="57"/>
  <c r="BK1950" i="57"/>
  <c r="BK1945" i="57"/>
  <c r="BK1944" i="57"/>
  <c r="BK1951" i="57"/>
  <c r="BK1946" i="57"/>
  <c r="BK1949" i="57"/>
  <c r="BK1952" i="57"/>
  <c r="BK1953" i="57"/>
  <c r="BE1810" i="57"/>
  <c r="BH1949" i="57"/>
  <c r="BE1831" i="57"/>
  <c r="BH1820" i="57"/>
  <c r="BH1819" i="57"/>
  <c r="BH1811" i="57"/>
  <c r="BH1809" i="57"/>
  <c r="BH1813" i="57"/>
  <c r="BH1810" i="57"/>
  <c r="BH1812" i="57"/>
  <c r="BH1901" i="57"/>
  <c r="BH1899" i="57"/>
  <c r="BH1897" i="57"/>
  <c r="BH1896" i="57"/>
  <c r="BK1819" i="57"/>
  <c r="BK1815" i="57"/>
  <c r="BK1816" i="57"/>
  <c r="BK1818" i="57"/>
  <c r="BK1817" i="57"/>
  <c r="BK1822" i="57"/>
  <c r="BK1823" i="57"/>
  <c r="BK1820" i="57"/>
  <c r="BK1821" i="57"/>
  <c r="BK1814" i="57"/>
  <c r="BK1809" i="57"/>
  <c r="BE1921" i="57"/>
  <c r="BE1915" i="57"/>
  <c r="BE1916" i="57"/>
  <c r="BE1917" i="57"/>
  <c r="BE1918" i="57"/>
  <c r="BE1919" i="57"/>
  <c r="BE1920" i="57"/>
  <c r="BE1922" i="57"/>
  <c r="BE1923" i="57"/>
  <c r="BK1910" i="57"/>
  <c r="BK1913" i="57"/>
  <c r="BK1904" i="57"/>
  <c r="BK1909" i="57"/>
  <c r="BK1906" i="57"/>
  <c r="BK1908" i="57"/>
  <c r="BK1911" i="57"/>
  <c r="BK1907" i="57"/>
  <c r="BK1905" i="57"/>
  <c r="BK1912" i="57"/>
  <c r="BH1903" i="57"/>
  <c r="BH1898" i="57"/>
  <c r="BK1897" i="57"/>
  <c r="BK1826" i="57"/>
  <c r="BH1951" i="57"/>
  <c r="BH1948" i="57"/>
  <c r="BH1950" i="57"/>
  <c r="BK1901" i="57"/>
  <c r="BK1811" i="57"/>
  <c r="BK1896" i="57"/>
  <c r="BE1905" i="57"/>
  <c r="BE1909" i="57"/>
  <c r="BE1907" i="57"/>
  <c r="BE1908" i="57"/>
  <c r="BE1912" i="57"/>
  <c r="BE1910" i="57"/>
  <c r="BE1906" i="57"/>
  <c r="BE1904" i="57"/>
  <c r="BE1913" i="57"/>
  <c r="BE1911" i="57"/>
  <c r="BH1923" i="57"/>
  <c r="BH1920" i="57"/>
  <c r="BH1919" i="57"/>
  <c r="BH1917" i="57"/>
  <c r="BH1915" i="57"/>
  <c r="BH1918" i="57"/>
  <c r="BH1922" i="57"/>
  <c r="BH1921" i="57"/>
  <c r="BH1916" i="57"/>
  <c r="BE1901" i="57"/>
  <c r="BH1822" i="57"/>
  <c r="BH1818" i="57"/>
  <c r="BK1812" i="57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S7" i="66"/>
  <c r="BS8" i="66"/>
  <c r="BS9" i="66"/>
  <c r="BS10" i="66"/>
  <c r="BS11" i="66"/>
  <c r="BS12" i="66"/>
  <c r="BS13" i="66"/>
  <c r="BS14" i="66"/>
  <c r="BS15" i="66"/>
  <c r="BS16" i="66"/>
  <c r="BS17" i="66"/>
  <c r="BS18" i="66"/>
  <c r="BS19" i="66"/>
  <c r="BS20" i="66"/>
  <c r="BS21" i="66"/>
  <c r="BS22" i="66"/>
  <c r="BS23" i="66"/>
  <c r="BS24" i="66"/>
  <c r="BS25" i="66"/>
  <c r="BS26" i="66"/>
  <c r="BS27" i="66"/>
  <c r="BS28" i="66"/>
  <c r="BS29" i="66"/>
  <c r="BS30" i="66"/>
  <c r="BS31" i="66"/>
  <c r="BS32" i="66"/>
  <c r="BS33" i="66"/>
  <c r="BS34" i="66"/>
  <c r="BS35" i="66"/>
  <c r="BS36" i="66"/>
  <c r="BS37" i="66"/>
  <c r="BS38" i="66"/>
  <c r="BS39" i="66"/>
  <c r="BS40" i="66"/>
  <c r="BS41" i="66"/>
  <c r="BS42" i="66"/>
  <c r="BS43" i="66"/>
  <c r="BS44" i="66"/>
  <c r="BS45" i="66"/>
  <c r="BS46" i="66"/>
  <c r="BS47" i="66"/>
  <c r="BS48" i="66"/>
  <c r="BS49" i="66"/>
  <c r="BS50" i="66"/>
  <c r="BS51" i="66"/>
  <c r="BS52" i="66"/>
  <c r="BS53" i="66"/>
  <c r="BS54" i="66"/>
  <c r="BS55" i="66"/>
  <c r="BS56" i="66"/>
  <c r="BS57" i="66"/>
  <c r="BS58" i="66"/>
  <c r="BS59" i="66"/>
  <c r="BS60" i="66"/>
  <c r="BS61" i="66"/>
  <c r="BS62" i="66"/>
  <c r="BS63" i="66"/>
  <c r="BS64" i="66"/>
  <c r="BS65" i="66"/>
  <c r="BS66" i="66"/>
  <c r="BS67" i="66"/>
  <c r="BS68" i="66"/>
  <c r="BS69" i="66"/>
  <c r="BS70" i="66"/>
  <c r="BS71" i="66"/>
  <c r="BS72" i="66"/>
  <c r="BS73" i="66"/>
  <c r="BS74" i="66"/>
  <c r="BS75" i="66"/>
  <c r="BS76" i="66"/>
  <c r="BS77" i="66"/>
  <c r="BS78" i="66"/>
  <c r="BS79" i="66"/>
  <c r="BS80" i="66"/>
  <c r="BS81" i="66"/>
  <c r="BS82" i="66"/>
  <c r="BS83" i="66"/>
  <c r="BS84" i="66"/>
  <c r="BS85" i="66"/>
  <c r="BS6" i="66"/>
  <c r="BM7" i="66"/>
  <c r="BM8" i="66"/>
  <c r="BM9" i="66"/>
  <c r="BM10" i="66"/>
  <c r="BM11" i="66"/>
  <c r="BM12" i="66"/>
  <c r="BM13" i="66"/>
  <c r="BM14" i="66"/>
  <c r="BM15" i="66"/>
  <c r="BM16" i="66"/>
  <c r="BM17" i="66"/>
  <c r="BM18" i="66"/>
  <c r="BM19" i="66"/>
  <c r="BM20" i="66"/>
  <c r="BM21" i="66"/>
  <c r="BM22" i="66"/>
  <c r="BM23" i="66"/>
  <c r="BM24" i="66"/>
  <c r="BM25" i="66"/>
  <c r="BM26" i="66"/>
  <c r="BM27" i="66"/>
  <c r="BM28" i="66"/>
  <c r="BM29" i="66"/>
  <c r="BM30" i="66"/>
  <c r="BM31" i="66"/>
  <c r="BM32" i="66"/>
  <c r="BM33" i="66"/>
  <c r="BM34" i="66"/>
  <c r="BM35" i="66"/>
  <c r="BM36" i="66"/>
  <c r="BM37" i="66"/>
  <c r="BM38" i="66"/>
  <c r="BM39" i="66"/>
  <c r="BM40" i="66"/>
  <c r="BM41" i="66"/>
  <c r="BM42" i="66"/>
  <c r="BM43" i="66"/>
  <c r="BM44" i="66"/>
  <c r="BM45" i="66"/>
  <c r="BM46" i="66"/>
  <c r="BM47" i="66"/>
  <c r="BM48" i="66"/>
  <c r="BM49" i="66"/>
  <c r="BM50" i="66"/>
  <c r="BM51" i="66"/>
  <c r="BM52" i="66"/>
  <c r="BM53" i="66"/>
  <c r="BM54" i="66"/>
  <c r="BM55" i="66"/>
  <c r="BM56" i="66"/>
  <c r="BM57" i="66"/>
  <c r="BM58" i="66"/>
  <c r="BM59" i="66"/>
  <c r="BM60" i="66"/>
  <c r="BM61" i="66"/>
  <c r="BM62" i="66"/>
  <c r="BM63" i="66"/>
  <c r="BM64" i="66"/>
  <c r="BM65" i="66"/>
  <c r="BM66" i="66"/>
  <c r="BM67" i="66"/>
  <c r="BM68" i="66"/>
  <c r="BM69" i="66"/>
  <c r="BM70" i="66"/>
  <c r="BM71" i="66"/>
  <c r="BM72" i="66"/>
  <c r="BM73" i="66"/>
  <c r="BM74" i="66"/>
  <c r="BM75" i="66"/>
  <c r="BM76" i="66"/>
  <c r="BM77" i="66"/>
  <c r="BM78" i="66"/>
  <c r="BM79" i="66"/>
  <c r="BM80" i="66"/>
  <c r="BM81" i="66"/>
  <c r="BM82" i="66"/>
  <c r="BM83" i="66"/>
  <c r="BM84" i="66"/>
  <c r="BM85" i="66"/>
  <c r="BM6" i="66"/>
  <c r="CO6" i="66" l="1"/>
  <c r="BE7" i="66"/>
  <c r="BE8" i="66"/>
  <c r="BE9" i="66"/>
  <c r="BE10" i="66"/>
  <c r="BE11" i="66"/>
  <c r="BE12" i="66"/>
  <c r="BE13" i="66"/>
  <c r="BE14" i="66"/>
  <c r="BE15" i="66"/>
  <c r="BE16" i="66"/>
  <c r="BE17" i="66"/>
  <c r="BE18" i="66"/>
  <c r="BE19" i="66"/>
  <c r="BE20" i="66"/>
  <c r="BE21" i="66"/>
  <c r="BE22" i="66"/>
  <c r="BE23" i="66"/>
  <c r="BE24" i="66"/>
  <c r="BE25" i="66"/>
  <c r="BE26" i="66"/>
  <c r="BE27" i="66"/>
  <c r="BE28" i="66"/>
  <c r="BE29" i="66"/>
  <c r="BE30" i="66"/>
  <c r="BE31" i="66"/>
  <c r="BE32" i="66"/>
  <c r="BE33" i="66"/>
  <c r="BE34" i="66"/>
  <c r="BE35" i="66"/>
  <c r="BE36" i="66"/>
  <c r="BE37" i="66"/>
  <c r="BE38" i="66"/>
  <c r="BE39" i="66"/>
  <c r="BE40" i="66"/>
  <c r="BE41" i="66"/>
  <c r="BE42" i="66"/>
  <c r="BE43" i="66"/>
  <c r="BE44" i="66"/>
  <c r="BE45" i="66"/>
  <c r="BE46" i="66"/>
  <c r="BE47" i="66"/>
  <c r="BE48" i="66"/>
  <c r="BE49" i="66"/>
  <c r="BE50" i="66"/>
  <c r="BE51" i="66"/>
  <c r="BE52" i="66"/>
  <c r="BE53" i="66"/>
  <c r="BE54" i="66"/>
  <c r="BE55" i="66"/>
  <c r="BE56" i="66"/>
  <c r="BE57" i="66"/>
  <c r="BE58" i="66"/>
  <c r="BE59" i="66"/>
  <c r="BE60" i="66"/>
  <c r="BE61" i="66"/>
  <c r="BE62" i="66"/>
  <c r="BE63" i="66"/>
  <c r="BE64" i="66"/>
  <c r="BE65" i="66"/>
  <c r="BE66" i="66"/>
  <c r="BE67" i="66"/>
  <c r="BE68" i="66"/>
  <c r="BE69" i="66"/>
  <c r="BE70" i="66"/>
  <c r="BE71" i="66"/>
  <c r="BE72" i="66"/>
  <c r="BE73" i="66"/>
  <c r="BE74" i="66"/>
  <c r="BE75" i="66"/>
  <c r="BE76" i="66"/>
  <c r="BE77" i="66"/>
  <c r="BE78" i="66"/>
  <c r="BE79" i="66"/>
  <c r="BE80" i="66"/>
  <c r="BE81" i="66"/>
  <c r="BE82" i="66"/>
  <c r="BE83" i="66"/>
  <c r="BE84" i="66"/>
  <c r="BE85" i="66"/>
  <c r="BE6" i="66"/>
  <c r="I5" i="57" l="1"/>
  <c r="I6" i="57"/>
  <c r="I7" i="57"/>
  <c r="I8" i="57"/>
  <c r="I9" i="57"/>
  <c r="I10" i="57"/>
  <c r="I11" i="57"/>
  <c r="I4" i="57"/>
  <c r="HG9" i="65" l="1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HP7" i="65" l="1"/>
  <c r="HP8" i="65"/>
  <c r="HP9" i="65"/>
  <c r="HP10" i="65"/>
  <c r="HP11" i="65"/>
  <c r="HP12" i="65"/>
  <c r="HP13" i="65"/>
  <c r="HP14" i="65"/>
  <c r="HP15" i="65"/>
  <c r="HP16" i="65"/>
  <c r="HP17" i="65"/>
  <c r="HP18" i="65"/>
  <c r="HP19" i="65"/>
  <c r="HP20" i="65"/>
  <c r="HP21" i="65"/>
  <c r="HP22" i="65"/>
  <c r="HP23" i="65"/>
  <c r="HP24" i="65"/>
  <c r="HP25" i="65"/>
  <c r="HP26" i="65"/>
  <c r="HP27" i="65"/>
  <c r="HP28" i="65"/>
  <c r="HP29" i="65"/>
  <c r="HP30" i="65"/>
  <c r="HP31" i="65"/>
  <c r="HP32" i="65"/>
  <c r="HP33" i="65"/>
  <c r="HP34" i="65"/>
  <c r="HP35" i="65"/>
  <c r="HP36" i="65"/>
  <c r="HP37" i="65"/>
  <c r="HP38" i="65"/>
  <c r="HP39" i="65"/>
  <c r="HP40" i="65"/>
  <c r="HP41" i="65"/>
  <c r="HP42" i="65"/>
  <c r="HP43" i="65"/>
  <c r="HP44" i="65"/>
  <c r="HP45" i="65"/>
  <c r="HP46" i="65"/>
  <c r="HP47" i="65"/>
  <c r="HP48" i="65"/>
  <c r="HP49" i="65"/>
  <c r="HP50" i="65"/>
  <c r="HP51" i="65"/>
  <c r="HP52" i="65"/>
  <c r="HP53" i="65"/>
  <c r="HP54" i="65"/>
  <c r="HP55" i="65"/>
  <c r="HP56" i="65"/>
  <c r="HP57" i="65"/>
  <c r="HP58" i="65"/>
  <c r="HP59" i="65"/>
  <c r="HP60" i="65"/>
  <c r="HP61" i="65"/>
  <c r="HP62" i="65"/>
  <c r="HP63" i="65"/>
  <c r="HP64" i="65"/>
  <c r="HP65" i="65"/>
  <c r="HP66" i="65"/>
  <c r="HP67" i="65"/>
  <c r="HP68" i="65"/>
  <c r="HP69" i="65"/>
  <c r="HP70" i="65"/>
  <c r="HP71" i="65"/>
  <c r="HP72" i="65"/>
  <c r="HP73" i="65"/>
  <c r="HP74" i="65"/>
  <c r="HP75" i="65"/>
  <c r="HP76" i="65"/>
  <c r="HP77" i="65"/>
  <c r="HP78" i="65"/>
  <c r="HP79" i="65"/>
  <c r="HP80" i="65"/>
  <c r="HP81" i="65"/>
  <c r="HP82" i="65"/>
  <c r="HP83" i="65"/>
  <c r="HP84" i="65"/>
  <c r="HP85" i="65"/>
  <c r="HP86" i="65"/>
  <c r="HP87" i="65"/>
  <c r="HP88" i="65"/>
  <c r="HP89" i="65"/>
  <c r="HP90" i="65"/>
  <c r="HP91" i="65"/>
  <c r="HP92" i="65"/>
  <c r="HP93" i="65"/>
  <c r="HP94" i="65"/>
  <c r="HP95" i="65"/>
  <c r="HP96" i="65"/>
  <c r="HP97" i="65"/>
  <c r="HP98" i="65"/>
  <c r="HP99" i="65"/>
  <c r="HP100" i="65"/>
  <c r="HP101" i="65"/>
  <c r="HP102" i="65"/>
  <c r="HP103" i="65"/>
  <c r="HP104" i="65"/>
  <c r="HP105" i="65"/>
  <c r="HP106" i="65"/>
  <c r="HP107" i="65"/>
  <c r="HP108" i="65"/>
  <c r="HP109" i="65"/>
  <c r="HP110" i="65"/>
  <c r="HP111" i="65"/>
  <c r="HP112" i="65"/>
  <c r="HP113" i="65"/>
  <c r="HP114" i="65"/>
  <c r="HP115" i="65"/>
  <c r="HP116" i="65"/>
  <c r="HP117" i="65"/>
  <c r="HP118" i="65"/>
  <c r="HP119" i="65"/>
  <c r="HP120" i="65"/>
  <c r="HP121" i="65"/>
  <c r="HP122" i="65"/>
  <c r="HP123" i="65"/>
  <c r="HP124" i="65"/>
  <c r="HP125" i="65"/>
  <c r="HP126" i="65"/>
  <c r="HP127" i="65"/>
  <c r="HP128" i="65"/>
  <c r="HP129" i="65"/>
  <c r="HP130" i="65"/>
  <c r="HP131" i="65"/>
  <c r="HP132" i="65"/>
  <c r="HP133" i="65"/>
  <c r="HP134" i="65"/>
  <c r="HP135" i="65"/>
  <c r="HP136" i="65"/>
  <c r="HP137" i="65"/>
  <c r="HP138" i="65"/>
  <c r="HP139" i="65"/>
  <c r="HP140" i="65"/>
  <c r="HP141" i="65"/>
  <c r="HP142" i="65"/>
  <c r="HP143" i="65"/>
  <c r="HP144" i="65"/>
  <c r="HP145" i="65"/>
  <c r="HP146" i="65"/>
  <c r="HP147" i="65"/>
  <c r="HP148" i="65"/>
  <c r="HP149" i="65"/>
  <c r="HP150" i="65"/>
  <c r="HP151" i="65"/>
  <c r="HP152" i="65"/>
  <c r="HP153" i="65"/>
  <c r="HP154" i="65"/>
  <c r="HP155" i="65"/>
  <c r="HP156" i="65"/>
  <c r="HP157" i="65"/>
  <c r="HP158" i="65"/>
  <c r="HP159" i="65"/>
  <c r="HP160" i="65"/>
  <c r="HP161" i="65"/>
  <c r="HP162" i="65"/>
  <c r="HP163" i="65"/>
  <c r="HP164" i="65"/>
  <c r="HP165" i="65"/>
  <c r="HP166" i="65"/>
  <c r="HP167" i="65"/>
  <c r="HP168" i="65"/>
  <c r="HP169" i="65"/>
  <c r="HP170" i="65"/>
  <c r="HP171" i="65"/>
  <c r="HP172" i="65"/>
  <c r="HP173" i="65"/>
  <c r="HP174" i="65"/>
  <c r="HP175" i="65"/>
  <c r="HP176" i="65"/>
  <c r="HP177" i="65"/>
  <c r="HP178" i="65"/>
  <c r="HP179" i="65"/>
  <c r="HP180" i="65"/>
  <c r="HP181" i="65"/>
  <c r="HP182" i="65"/>
  <c r="HP183" i="65"/>
  <c r="HP184" i="65"/>
  <c r="HP185" i="65"/>
  <c r="HP186" i="65"/>
  <c r="HP187" i="65"/>
  <c r="HP188" i="65"/>
  <c r="HP189" i="65"/>
  <c r="HP190" i="65"/>
  <c r="HP191" i="65"/>
  <c r="HP192" i="65"/>
  <c r="HP193" i="65"/>
  <c r="HP194" i="65"/>
  <c r="HP195" i="65"/>
  <c r="HP196" i="65"/>
  <c r="HP197" i="65"/>
  <c r="HP198" i="65"/>
  <c r="HP199" i="65"/>
  <c r="HP200" i="65"/>
  <c r="HP201" i="65"/>
  <c r="HP202" i="65"/>
  <c r="HP203" i="65"/>
  <c r="HP204" i="65"/>
  <c r="HP205" i="65"/>
  <c r="HP206" i="65"/>
  <c r="HP207" i="65"/>
  <c r="HP208" i="65"/>
  <c r="HP209" i="65"/>
  <c r="HP210" i="65"/>
  <c r="HP211" i="65"/>
  <c r="HP212" i="65"/>
  <c r="HP213" i="65"/>
  <c r="HP214" i="65"/>
  <c r="HP215" i="65"/>
  <c r="HP216" i="65"/>
  <c r="HP217" i="65"/>
  <c r="HP218" i="65"/>
  <c r="HP219" i="65"/>
  <c r="HP220" i="65"/>
  <c r="HP221" i="65"/>
  <c r="HP222" i="65"/>
  <c r="HP223" i="65"/>
  <c r="HP224" i="65"/>
  <c r="HP225" i="65"/>
  <c r="HP226" i="65"/>
  <c r="HP227" i="65"/>
  <c r="HP228" i="65"/>
  <c r="HP229" i="65"/>
  <c r="HP230" i="65"/>
  <c r="HP231" i="65"/>
  <c r="HP232" i="65"/>
  <c r="HP233" i="65"/>
  <c r="HP234" i="65"/>
  <c r="HP235" i="65"/>
  <c r="HP236" i="65"/>
  <c r="HP237" i="65"/>
  <c r="HP238" i="65"/>
  <c r="HP239" i="65"/>
  <c r="HP240" i="65"/>
  <c r="HP241" i="65"/>
  <c r="HP242" i="65"/>
  <c r="HP243" i="65"/>
  <c r="HP244" i="65"/>
  <c r="HP245" i="65"/>
  <c r="HP246" i="65"/>
  <c r="HP247" i="65"/>
  <c r="HP248" i="65"/>
  <c r="HP249" i="65"/>
  <c r="HP250" i="65"/>
  <c r="HP251" i="65"/>
  <c r="HP252" i="65"/>
  <c r="HP253" i="65"/>
  <c r="HP254" i="65"/>
  <c r="HP255" i="65"/>
  <c r="HP256" i="65"/>
  <c r="HP257" i="65"/>
  <c r="HP258" i="65"/>
  <c r="HP259" i="65"/>
  <c r="HP260" i="65"/>
  <c r="HP261" i="65"/>
  <c r="HP262" i="65"/>
  <c r="HP263" i="65"/>
  <c r="HP264" i="65"/>
  <c r="HP265" i="65"/>
  <c r="HP266" i="65"/>
  <c r="HP267" i="65"/>
  <c r="HP268" i="65"/>
  <c r="HP269" i="65"/>
  <c r="HP270" i="65"/>
  <c r="HP271" i="65"/>
  <c r="HP272" i="65"/>
  <c r="HP273" i="65"/>
  <c r="HP274" i="65"/>
  <c r="HP275" i="65"/>
  <c r="HP276" i="65"/>
  <c r="HP277" i="65"/>
  <c r="HP278" i="65"/>
  <c r="HP279" i="65"/>
  <c r="HP280" i="65"/>
  <c r="HP281" i="65"/>
  <c r="HP282" i="65"/>
  <c r="HP283" i="65"/>
  <c r="HP284" i="65"/>
  <c r="HP285" i="65"/>
  <c r="HP286" i="65"/>
  <c r="HP287" i="65"/>
  <c r="HP288" i="65"/>
  <c r="HP289" i="65"/>
  <c r="HP290" i="65"/>
  <c r="HP291" i="65"/>
  <c r="HP292" i="65"/>
  <c r="HP293" i="65"/>
  <c r="HP294" i="65"/>
  <c r="HP295" i="65"/>
  <c r="HP296" i="65"/>
  <c r="HP297" i="65"/>
  <c r="HP298" i="65"/>
  <c r="HP299" i="65"/>
  <c r="HP300" i="65"/>
  <c r="HP301" i="65"/>
  <c r="HP302" i="65"/>
  <c r="HP303" i="65"/>
  <c r="HP304" i="65"/>
  <c r="HP305" i="65"/>
  <c r="HP306" i="65"/>
  <c r="HP307" i="65"/>
  <c r="HP308" i="65"/>
  <c r="HP309" i="65"/>
  <c r="HP310" i="65"/>
  <c r="HP311" i="65"/>
  <c r="HP312" i="65"/>
  <c r="HP313" i="65"/>
  <c r="HP314" i="65"/>
  <c r="HP315" i="65"/>
  <c r="HP316" i="65"/>
  <c r="HP317" i="65"/>
  <c r="HP318" i="65"/>
  <c r="HP319" i="65"/>
  <c r="HP320" i="65"/>
  <c r="HP321" i="65"/>
  <c r="HP322" i="65"/>
  <c r="HP323" i="65"/>
  <c r="HP324" i="65"/>
  <c r="HP325" i="65"/>
  <c r="HP326" i="65"/>
  <c r="HP327" i="65"/>
  <c r="HP328" i="65"/>
  <c r="HP329" i="65"/>
  <c r="HP330" i="65"/>
  <c r="HP331" i="65"/>
  <c r="HP332" i="65"/>
  <c r="HP333" i="65"/>
  <c r="HP334" i="65"/>
  <c r="HP335" i="65"/>
  <c r="HP336" i="65"/>
  <c r="HP337" i="65"/>
  <c r="HP338" i="65"/>
  <c r="HP339" i="65"/>
  <c r="HP340" i="65"/>
  <c r="HP341" i="65"/>
  <c r="HP342" i="65"/>
  <c r="HP343" i="65"/>
  <c r="HP344" i="65"/>
  <c r="HP345" i="65"/>
  <c r="HP346" i="65"/>
  <c r="HP347" i="65"/>
  <c r="HP348" i="65"/>
  <c r="HP349" i="65"/>
  <c r="HP350" i="65"/>
  <c r="HP351" i="65"/>
  <c r="HP352" i="65"/>
  <c r="HP353" i="65"/>
  <c r="HP354" i="65"/>
  <c r="HP355" i="65"/>
  <c r="HP356" i="65"/>
  <c r="HP357" i="65"/>
  <c r="HP358" i="65"/>
  <c r="HP359" i="65"/>
  <c r="HP360" i="65"/>
  <c r="HP361" i="65"/>
  <c r="HP362" i="65"/>
  <c r="HP363" i="65"/>
  <c r="HP364" i="65"/>
  <c r="HP365" i="65"/>
  <c r="HP366" i="65"/>
  <c r="HP367" i="65"/>
  <c r="HP368" i="65"/>
  <c r="HP369" i="65"/>
  <c r="HP370" i="65"/>
  <c r="HP371" i="65"/>
  <c r="HP372" i="65"/>
  <c r="HP373" i="65"/>
  <c r="HP374" i="65"/>
  <c r="HP375" i="65"/>
  <c r="HP376" i="65"/>
  <c r="HP377" i="65"/>
  <c r="HP378" i="65"/>
  <c r="HP379" i="65"/>
  <c r="HP380" i="65"/>
  <c r="HP381" i="65"/>
  <c r="HP382" i="65"/>
  <c r="HP383" i="65"/>
  <c r="HP384" i="65"/>
  <c r="HP385" i="65"/>
  <c r="HP386" i="65"/>
  <c r="HP387" i="65"/>
  <c r="HP388" i="65"/>
  <c r="HP389" i="65"/>
  <c r="HP390" i="65"/>
  <c r="HP391" i="65"/>
  <c r="HP392" i="65"/>
  <c r="HP393" i="65"/>
  <c r="HP394" i="65"/>
  <c r="HP395" i="65"/>
  <c r="HP396" i="65"/>
  <c r="HP397" i="65"/>
  <c r="HP398" i="65"/>
  <c r="HP399" i="65"/>
  <c r="HP400" i="65"/>
  <c r="HP401" i="65"/>
  <c r="HP402" i="65"/>
  <c r="HP403" i="65"/>
  <c r="HP404" i="65"/>
  <c r="HP405" i="65"/>
  <c r="HP406" i="65"/>
  <c r="HP407" i="65"/>
  <c r="HP408" i="65"/>
  <c r="HP409" i="65"/>
  <c r="HP410" i="65"/>
  <c r="HP411" i="65"/>
  <c r="HP412" i="65"/>
  <c r="HP413" i="65"/>
  <c r="HP414" i="65"/>
  <c r="HP415" i="65"/>
  <c r="HP416" i="65"/>
  <c r="HP417" i="65"/>
  <c r="HP418" i="65"/>
  <c r="HP419" i="65"/>
  <c r="HP420" i="65"/>
  <c r="HP421" i="65"/>
  <c r="HP422" i="65"/>
  <c r="HP423" i="65"/>
  <c r="HP424" i="65"/>
  <c r="HP425" i="65"/>
  <c r="HP426" i="65"/>
  <c r="HP427" i="65"/>
  <c r="HP428" i="65"/>
  <c r="HP429" i="65"/>
  <c r="HP430" i="65"/>
  <c r="HP431" i="65"/>
  <c r="HP432" i="65"/>
  <c r="HP433" i="65"/>
  <c r="HP434" i="65"/>
  <c r="HP435" i="65"/>
  <c r="HP436" i="65"/>
  <c r="HP437" i="65"/>
  <c r="HP438" i="65"/>
  <c r="HP439" i="65"/>
  <c r="HP440" i="65"/>
  <c r="HP441" i="65"/>
  <c r="HP442" i="65"/>
  <c r="HP443" i="65"/>
  <c r="HP444" i="65"/>
  <c r="HP445" i="65"/>
  <c r="HP446" i="65"/>
  <c r="HP447" i="65"/>
  <c r="HP448" i="65"/>
  <c r="HP449" i="65"/>
  <c r="HP450" i="65"/>
  <c r="HP451" i="65"/>
  <c r="HP452" i="65"/>
  <c r="HP453" i="65"/>
  <c r="HP454" i="65"/>
  <c r="HP455" i="65"/>
  <c r="HP456" i="65"/>
  <c r="HP457" i="65"/>
  <c r="HP458" i="65"/>
  <c r="HP459" i="65"/>
  <c r="HP460" i="65"/>
  <c r="HP461" i="65"/>
  <c r="HP462" i="65"/>
  <c r="HP463" i="65"/>
  <c r="HP464" i="65"/>
  <c r="HP465" i="65"/>
  <c r="HP466" i="65"/>
  <c r="HP467" i="65"/>
  <c r="HP468" i="65"/>
  <c r="HP469" i="65"/>
  <c r="HP470" i="65"/>
  <c r="HP471" i="65"/>
  <c r="HP472" i="65"/>
  <c r="HP473" i="65"/>
  <c r="HP474" i="65"/>
  <c r="HP475" i="65"/>
  <c r="HP476" i="65"/>
  <c r="HP477" i="65"/>
  <c r="HP478" i="65"/>
  <c r="HP479" i="65"/>
  <c r="HP480" i="65"/>
  <c r="HP481" i="65"/>
  <c r="HP482" i="65"/>
  <c r="HP483" i="65"/>
  <c r="HP484" i="65"/>
  <c r="HP485" i="65"/>
  <c r="HP486" i="65"/>
  <c r="HP487" i="65"/>
  <c r="HP488" i="65"/>
  <c r="HP489" i="65"/>
  <c r="HP490" i="65"/>
  <c r="HP491" i="65"/>
  <c r="HP492" i="65"/>
  <c r="HP493" i="65"/>
  <c r="HP494" i="65"/>
  <c r="HP495" i="65"/>
  <c r="HP496" i="65"/>
  <c r="HP497" i="65"/>
  <c r="HP498" i="65"/>
  <c r="HP499" i="65"/>
  <c r="HP500" i="65"/>
  <c r="HP501" i="65"/>
  <c r="HP502" i="65"/>
  <c r="HP503" i="65"/>
  <c r="HP504" i="65"/>
  <c r="HP505" i="65"/>
  <c r="HP506" i="65"/>
  <c r="HP507" i="65"/>
  <c r="HP508" i="65"/>
  <c r="HP509" i="65"/>
  <c r="HP510" i="65"/>
  <c r="HP511" i="65"/>
  <c r="HP512" i="65"/>
  <c r="HP513" i="65"/>
  <c r="HP514" i="65"/>
  <c r="HP515" i="65"/>
  <c r="HP516" i="65"/>
  <c r="HP517" i="65"/>
  <c r="HP518" i="65"/>
  <c r="HP519" i="65"/>
  <c r="HP520" i="65"/>
  <c r="HP521" i="65"/>
  <c r="HP522" i="65"/>
  <c r="HP523" i="65"/>
  <c r="HP524" i="65"/>
  <c r="HP525" i="65"/>
  <c r="HP526" i="65"/>
  <c r="HP527" i="65"/>
  <c r="HP528" i="65"/>
  <c r="HP529" i="65"/>
  <c r="HP530" i="65"/>
  <c r="HP531" i="65"/>
  <c r="HP532" i="65"/>
  <c r="HP533" i="65"/>
  <c r="HP6" i="65"/>
  <c r="BP67" i="66" l="1"/>
  <c r="BP68" i="66"/>
  <c r="BP69" i="66"/>
  <c r="BP70" i="66"/>
  <c r="BP71" i="66"/>
  <c r="BP72" i="66"/>
  <c r="BP73" i="66"/>
  <c r="BP74" i="66"/>
  <c r="BP75" i="66"/>
  <c r="BP76" i="66"/>
  <c r="BP77" i="66"/>
  <c r="BP78" i="66"/>
  <c r="BP79" i="66"/>
  <c r="BP80" i="66"/>
  <c r="BP81" i="66"/>
  <c r="BP82" i="66"/>
  <c r="BP83" i="66"/>
  <c r="BP84" i="66"/>
  <c r="BP85" i="66"/>
  <c r="BP66" i="66"/>
  <c r="BJ67" i="66"/>
  <c r="BJ68" i="66"/>
  <c r="BJ69" i="66"/>
  <c r="BJ70" i="66"/>
  <c r="BJ71" i="66"/>
  <c r="BJ72" i="66"/>
  <c r="BJ73" i="66"/>
  <c r="BJ74" i="66"/>
  <c r="BJ75" i="66"/>
  <c r="BJ76" i="66"/>
  <c r="BJ77" i="66"/>
  <c r="BJ78" i="66"/>
  <c r="BJ79" i="66"/>
  <c r="BJ80" i="66"/>
  <c r="BJ81" i="66"/>
  <c r="BJ82" i="66"/>
  <c r="BJ83" i="66"/>
  <c r="BJ84" i="66"/>
  <c r="BJ85" i="66"/>
  <c r="BJ66" i="66"/>
  <c r="BP47" i="66"/>
  <c r="BP48" i="66"/>
  <c r="BP49" i="66"/>
  <c r="BP50" i="66"/>
  <c r="BP51" i="66"/>
  <c r="BP52" i="66"/>
  <c r="BP53" i="66"/>
  <c r="BP54" i="66"/>
  <c r="BP55" i="66"/>
  <c r="BP56" i="66"/>
  <c r="BP57" i="66"/>
  <c r="BP58" i="66"/>
  <c r="BP59" i="66"/>
  <c r="BP60" i="66"/>
  <c r="BP61" i="66"/>
  <c r="BP62" i="66"/>
  <c r="BP63" i="66"/>
  <c r="BP64" i="66"/>
  <c r="BP65" i="66"/>
  <c r="BP27" i="66"/>
  <c r="BP28" i="66"/>
  <c r="BP29" i="66"/>
  <c r="BP30" i="66"/>
  <c r="BP31" i="66"/>
  <c r="BP32" i="66"/>
  <c r="BP33" i="66"/>
  <c r="BP34" i="66"/>
  <c r="BP35" i="66"/>
  <c r="BP36" i="66"/>
  <c r="BP37" i="66"/>
  <c r="BP38" i="66"/>
  <c r="BP39" i="66"/>
  <c r="BP40" i="66"/>
  <c r="BP41" i="66"/>
  <c r="BP42" i="66"/>
  <c r="BP43" i="66"/>
  <c r="BP44" i="66"/>
  <c r="BP45" i="66"/>
  <c r="BP46" i="66"/>
  <c r="BJ47" i="66" l="1"/>
  <c r="BJ48" i="66"/>
  <c r="BJ49" i="66"/>
  <c r="BJ50" i="66"/>
  <c r="BJ51" i="66"/>
  <c r="BJ52" i="66"/>
  <c r="BJ53" i="66"/>
  <c r="BJ54" i="66"/>
  <c r="BJ55" i="66"/>
  <c r="BJ56" i="66"/>
  <c r="BJ57" i="66"/>
  <c r="BJ58" i="66"/>
  <c r="BJ59" i="66"/>
  <c r="BJ60" i="66"/>
  <c r="BJ61" i="66"/>
  <c r="BJ62" i="66"/>
  <c r="BJ63" i="66"/>
  <c r="BJ64" i="66"/>
  <c r="BJ65" i="66"/>
  <c r="BJ46" i="66"/>
  <c r="BJ26" i="66"/>
  <c r="BJ27" i="66"/>
  <c r="BJ28" i="66"/>
  <c r="BJ29" i="66"/>
  <c r="BJ30" i="66"/>
  <c r="BJ31" i="66"/>
  <c r="BJ32" i="66"/>
  <c r="BJ33" i="66"/>
  <c r="BJ34" i="66"/>
  <c r="BJ35" i="66"/>
  <c r="BJ36" i="66"/>
  <c r="BJ37" i="66"/>
  <c r="BJ38" i="66"/>
  <c r="BJ39" i="66"/>
  <c r="BJ40" i="66"/>
  <c r="BJ41" i="66"/>
  <c r="BJ42" i="66"/>
  <c r="BJ43" i="66"/>
  <c r="BJ44" i="66"/>
  <c r="BJ45" i="66"/>
  <c r="BP26" i="66"/>
  <c r="AN544" i="54" l="1"/>
  <c r="AN543" i="54"/>
  <c r="AN542" i="54"/>
  <c r="AN541" i="54"/>
  <c r="AN540" i="54"/>
  <c r="AN539" i="54"/>
  <c r="AN538" i="54"/>
  <c r="AN537" i="54"/>
  <c r="AN536" i="54"/>
  <c r="AN535" i="54"/>
  <c r="AN534" i="54"/>
  <c r="AN533" i="54"/>
  <c r="AN532" i="54"/>
  <c r="AN531" i="54"/>
  <c r="AN530" i="54"/>
  <c r="AN529" i="54"/>
  <c r="AN528" i="54"/>
  <c r="AN527" i="54"/>
  <c r="AN526" i="54"/>
  <c r="AY525" i="54"/>
  <c r="AZ525" i="54" s="1"/>
  <c r="AT525" i="54"/>
  <c r="AV525" i="54" s="1"/>
  <c r="AO525" i="54"/>
  <c r="AR525" i="54" s="1"/>
  <c r="AN525" i="54"/>
  <c r="AK525" i="54"/>
  <c r="AK526" i="54"/>
  <c r="AK527" i="54"/>
  <c r="AK529" i="54"/>
  <c r="AK530" i="54"/>
  <c r="AK531" i="54"/>
  <c r="AK533" i="54"/>
  <c r="AK534" i="54"/>
  <c r="AK535" i="54"/>
  <c r="AK536" i="54"/>
  <c r="AK537" i="54"/>
  <c r="AK538" i="54"/>
  <c r="AK539" i="54"/>
  <c r="AK540" i="54"/>
  <c r="AK541" i="54"/>
  <c r="AK542" i="54"/>
  <c r="AK543" i="54"/>
  <c r="AK544" i="54"/>
  <c r="AJ525" i="54"/>
  <c r="AJ526" i="54"/>
  <c r="AJ527" i="54"/>
  <c r="AJ528" i="54"/>
  <c r="AJ529" i="54"/>
  <c r="AJ530" i="54"/>
  <c r="AJ531" i="54"/>
  <c r="AJ532" i="54"/>
  <c r="AJ533" i="54"/>
  <c r="AJ534" i="54"/>
  <c r="AJ535" i="54"/>
  <c r="AJ536" i="54"/>
  <c r="AJ537" i="54"/>
  <c r="AJ538" i="54"/>
  <c r="AJ539" i="54"/>
  <c r="AJ540" i="54"/>
  <c r="AJ541" i="54"/>
  <c r="AJ542" i="54"/>
  <c r="AJ543" i="54"/>
  <c r="AJ544" i="54"/>
  <c r="AG525" i="54"/>
  <c r="AG526" i="54"/>
  <c r="AG527" i="54"/>
  <c r="AG528" i="54"/>
  <c r="AG529" i="54"/>
  <c r="AG530" i="54"/>
  <c r="AG531" i="54"/>
  <c r="AG532" i="54"/>
  <c r="AG533" i="54"/>
  <c r="AG534" i="54"/>
  <c r="AG535" i="54"/>
  <c r="AG536" i="54"/>
  <c r="AG537" i="54"/>
  <c r="AG538" i="54"/>
  <c r="AG539" i="54"/>
  <c r="AG540" i="54"/>
  <c r="AG541" i="54"/>
  <c r="AG542" i="54"/>
  <c r="AG543" i="54"/>
  <c r="AG544" i="54"/>
  <c r="AF525" i="54"/>
  <c r="AF526" i="54"/>
  <c r="AF527" i="54"/>
  <c r="AF528" i="54"/>
  <c r="AF529" i="54"/>
  <c r="AF530" i="54"/>
  <c r="AF531" i="54"/>
  <c r="AF532" i="54"/>
  <c r="AF533" i="54"/>
  <c r="AF534" i="54"/>
  <c r="AF535" i="54"/>
  <c r="AF536" i="54"/>
  <c r="AF537" i="54"/>
  <c r="AF538" i="54"/>
  <c r="AF539" i="54"/>
  <c r="AF540" i="54"/>
  <c r="AF541" i="54"/>
  <c r="AF542" i="54"/>
  <c r="AF543" i="54"/>
  <c r="AF544" i="54"/>
  <c r="AP525" i="54" l="1"/>
  <c r="AU525" i="54"/>
  <c r="AQ525" i="54"/>
  <c r="AW525" i="54"/>
  <c r="BB525" i="54"/>
  <c r="AK532" i="54"/>
  <c r="AS525" i="54"/>
  <c r="AX525" i="54"/>
  <c r="BC525" i="54"/>
  <c r="BA525" i="54"/>
  <c r="AK528" i="54"/>
  <c r="IY7" i="54"/>
  <c r="IY8" i="54"/>
  <c r="IY9" i="54"/>
  <c r="IY10" i="54"/>
  <c r="IY11" i="54"/>
  <c r="IY12" i="54"/>
  <c r="IY13" i="54"/>
  <c r="IY14" i="54"/>
  <c r="IY15" i="54"/>
  <c r="IY16" i="54"/>
  <c r="IY17" i="54"/>
  <c r="IY18" i="54"/>
  <c r="IY19" i="54"/>
  <c r="IY20" i="54"/>
  <c r="IY21" i="54"/>
  <c r="IY22" i="54"/>
  <c r="IY23" i="54"/>
  <c r="IY24" i="54"/>
  <c r="IY25" i="54"/>
  <c r="IY26" i="54"/>
  <c r="IY27" i="54"/>
  <c r="IY28" i="54"/>
  <c r="IY29" i="54"/>
  <c r="IY30" i="54"/>
  <c r="IY31" i="54"/>
  <c r="IY32" i="54"/>
  <c r="IY33" i="54"/>
  <c r="IY34" i="54"/>
  <c r="IY35" i="54"/>
  <c r="IY36" i="54"/>
  <c r="IY37" i="54"/>
  <c r="IY38" i="54"/>
  <c r="IY39" i="54"/>
  <c r="IY40" i="54"/>
  <c r="IY41" i="54"/>
  <c r="IY42" i="54"/>
  <c r="IY43" i="54"/>
  <c r="IY44" i="54"/>
  <c r="IY45" i="54"/>
  <c r="IY46" i="54"/>
  <c r="IY47" i="54"/>
  <c r="IY48" i="54"/>
  <c r="IY49" i="54"/>
  <c r="IY50" i="54"/>
  <c r="IY51" i="54"/>
  <c r="IY52" i="54"/>
  <c r="IY53" i="54"/>
  <c r="IY54" i="54"/>
  <c r="IY55" i="54"/>
  <c r="IY56" i="54"/>
  <c r="IY57" i="54"/>
  <c r="IY58" i="54"/>
  <c r="IY59" i="54"/>
  <c r="IY60" i="54"/>
  <c r="IY61" i="54"/>
  <c r="IY62" i="54"/>
  <c r="IY63" i="54"/>
  <c r="IY64" i="54"/>
  <c r="IY65" i="54"/>
  <c r="IY66" i="54"/>
  <c r="IY67" i="54"/>
  <c r="IY68" i="54"/>
  <c r="IY69" i="54"/>
  <c r="IY70" i="54"/>
  <c r="IY71" i="54"/>
  <c r="IY72" i="54"/>
  <c r="IY73" i="54"/>
  <c r="IY74" i="54"/>
  <c r="IY75" i="54"/>
  <c r="IY76" i="54"/>
  <c r="IY77" i="54"/>
  <c r="IY78" i="54"/>
  <c r="IY79" i="54"/>
  <c r="IY80" i="54"/>
  <c r="IY81" i="54"/>
  <c r="IY82" i="54"/>
  <c r="IY83" i="54"/>
  <c r="IY84" i="54"/>
  <c r="IY85" i="54"/>
  <c r="IY86" i="54"/>
  <c r="IY87" i="54"/>
  <c r="IY88" i="54"/>
  <c r="IY89" i="54"/>
  <c r="IY90" i="54"/>
  <c r="IY91" i="54"/>
  <c r="IY92" i="54"/>
  <c r="IY93" i="54"/>
  <c r="IY94" i="54"/>
  <c r="IY95" i="54"/>
  <c r="IY96" i="54"/>
  <c r="IY97" i="54"/>
  <c r="IY98" i="54"/>
  <c r="IY99" i="54"/>
  <c r="IY100" i="54"/>
  <c r="IY101" i="54"/>
  <c r="IY102" i="54"/>
  <c r="IY103" i="54"/>
  <c r="IY104" i="54"/>
  <c r="IY105" i="54"/>
  <c r="IY106" i="54"/>
  <c r="IY107" i="54"/>
  <c r="IY108" i="54"/>
  <c r="IY109" i="54"/>
  <c r="IY110" i="54"/>
  <c r="IY111" i="54"/>
  <c r="IY112" i="54"/>
  <c r="IY113" i="54"/>
  <c r="IY114" i="54"/>
  <c r="IY115" i="54"/>
  <c r="IY116" i="54"/>
  <c r="IY117" i="54"/>
  <c r="IY118" i="54"/>
  <c r="IY119" i="54"/>
  <c r="IY120" i="54"/>
  <c r="IY121" i="54"/>
  <c r="IY122" i="54"/>
  <c r="IY123" i="54"/>
  <c r="IY124" i="54"/>
  <c r="IY125" i="54"/>
  <c r="IY126" i="54"/>
  <c r="IY127" i="54"/>
  <c r="IY128" i="54"/>
  <c r="IY129" i="54"/>
  <c r="IY130" i="54"/>
  <c r="IY131" i="54"/>
  <c r="IY132" i="54"/>
  <c r="IY133" i="54"/>
  <c r="IY134" i="54"/>
  <c r="IY135" i="54"/>
  <c r="IY136" i="54"/>
  <c r="IY137" i="54"/>
  <c r="IY138" i="54"/>
  <c r="IY139" i="54"/>
  <c r="IY140" i="54"/>
  <c r="IY141" i="54"/>
  <c r="IY142" i="54"/>
  <c r="IY143" i="54"/>
  <c r="IY144" i="54"/>
  <c r="IY145" i="54"/>
  <c r="IY146" i="54"/>
  <c r="IY147" i="54"/>
  <c r="IY148" i="54"/>
  <c r="IY149" i="54"/>
  <c r="IY150" i="54"/>
  <c r="IY151" i="54"/>
  <c r="IY152" i="54"/>
  <c r="IY153" i="54"/>
  <c r="IY154" i="54"/>
  <c r="IY6" i="54"/>
  <c r="FY7" i="65" l="1"/>
  <c r="FY8" i="65"/>
  <c r="FY9" i="65"/>
  <c r="FY10" i="65"/>
  <c r="FY11" i="65"/>
  <c r="FY12" i="65"/>
  <c r="FY13" i="65"/>
  <c r="FY14" i="65"/>
  <c r="FY15" i="65"/>
  <c r="FY16" i="65"/>
  <c r="FY17" i="65"/>
  <c r="FY18" i="65"/>
  <c r="FY19" i="65"/>
  <c r="FY20" i="65"/>
  <c r="FY21" i="65"/>
  <c r="FY22" i="65"/>
  <c r="FY23" i="65"/>
  <c r="FY24" i="65"/>
  <c r="FY25" i="65"/>
  <c r="FY26" i="65"/>
  <c r="FY27" i="65"/>
  <c r="FY28" i="65"/>
  <c r="FY29" i="65"/>
  <c r="FY30" i="65"/>
  <c r="FY31" i="65"/>
  <c r="FY32" i="65"/>
  <c r="FY33" i="65"/>
  <c r="FY34" i="65"/>
  <c r="FY35" i="65"/>
  <c r="FY36" i="65"/>
  <c r="FY37" i="65"/>
  <c r="FY38" i="65"/>
  <c r="FY39" i="65"/>
  <c r="FY40" i="65"/>
  <c r="FY41" i="65"/>
  <c r="FY42" i="65"/>
  <c r="FY43" i="65"/>
  <c r="FY44" i="65"/>
  <c r="FY45" i="65"/>
  <c r="FY46" i="65"/>
  <c r="FY47" i="65"/>
  <c r="FY48" i="65"/>
  <c r="FY49" i="65"/>
  <c r="FY50" i="65"/>
  <c r="FY51" i="65"/>
  <c r="FY52" i="65"/>
  <c r="FY53" i="65"/>
  <c r="FY54" i="65"/>
  <c r="FY55" i="65"/>
  <c r="FY56" i="65"/>
  <c r="FY57" i="65"/>
  <c r="FY58" i="65"/>
  <c r="FY59" i="65"/>
  <c r="FY60" i="65"/>
  <c r="FY61" i="65"/>
  <c r="FY62" i="65"/>
  <c r="FY63" i="65"/>
  <c r="FY64" i="65"/>
  <c r="FY65" i="65"/>
  <c r="FY66" i="65"/>
  <c r="FY67" i="65"/>
  <c r="FY68" i="65"/>
  <c r="FY69" i="65"/>
  <c r="FY70" i="65"/>
  <c r="FY71" i="65"/>
  <c r="FY72" i="65"/>
  <c r="FY73" i="65"/>
  <c r="FY74" i="65"/>
  <c r="FY75" i="65"/>
  <c r="FY76" i="65"/>
  <c r="FY77" i="65"/>
  <c r="FY78" i="65"/>
  <c r="FY79" i="65"/>
  <c r="FY80" i="65"/>
  <c r="FY81" i="65"/>
  <c r="FY82" i="65"/>
  <c r="FY83" i="65"/>
  <c r="FY84" i="65"/>
  <c r="FY85" i="65"/>
  <c r="FY86" i="65"/>
  <c r="FY87" i="65"/>
  <c r="FY88" i="65"/>
  <c r="FY89" i="65"/>
  <c r="FY90" i="65"/>
  <c r="FY91" i="65"/>
  <c r="FY92" i="65"/>
  <c r="FY93" i="65"/>
  <c r="FY94" i="65"/>
  <c r="FY95" i="65"/>
  <c r="FY96" i="65"/>
  <c r="FY97" i="65"/>
  <c r="FY98" i="65"/>
  <c r="FY99" i="65"/>
  <c r="FY100" i="65"/>
  <c r="FY101" i="65"/>
  <c r="FY102" i="65"/>
  <c r="FY103" i="65"/>
  <c r="FY104" i="65"/>
  <c r="FY105" i="65"/>
  <c r="FY106" i="65"/>
  <c r="FY107" i="65"/>
  <c r="FY108" i="65"/>
  <c r="FY109" i="65"/>
  <c r="FY110" i="65"/>
  <c r="FY111" i="65"/>
  <c r="FY112" i="65"/>
  <c r="FY113" i="65"/>
  <c r="FY114" i="65"/>
  <c r="FY115" i="65"/>
  <c r="FY116" i="65"/>
  <c r="FY117" i="65"/>
  <c r="FY118" i="65"/>
  <c r="FY119" i="65"/>
  <c r="FY120" i="65"/>
  <c r="FY121" i="65"/>
  <c r="FY122" i="65"/>
  <c r="FY123" i="65"/>
  <c r="FY124" i="65"/>
  <c r="FY125" i="65"/>
  <c r="FY126" i="65"/>
  <c r="FY127" i="65"/>
  <c r="FY128" i="65"/>
  <c r="FY129" i="65"/>
  <c r="FY130" i="65"/>
  <c r="FY131" i="65"/>
  <c r="FY132" i="65"/>
  <c r="FY133" i="65"/>
  <c r="FY134" i="65"/>
  <c r="FY135" i="65"/>
  <c r="FY136" i="65"/>
  <c r="FY137" i="65"/>
  <c r="FY138" i="65"/>
  <c r="FY139" i="65"/>
  <c r="FY140" i="65"/>
  <c r="FY141" i="65"/>
  <c r="FY142" i="65"/>
  <c r="FY143" i="65"/>
  <c r="FY144" i="65"/>
  <c r="FY145" i="65"/>
  <c r="FY146" i="65"/>
  <c r="FY147" i="65"/>
  <c r="FY148" i="65"/>
  <c r="FY149" i="65"/>
  <c r="FY150" i="65"/>
  <c r="FY151" i="65"/>
  <c r="FY152" i="65"/>
  <c r="FY153" i="65"/>
  <c r="FY154" i="65"/>
  <c r="FY155" i="65"/>
  <c r="FY156" i="65"/>
  <c r="FY157" i="65"/>
  <c r="FY158" i="65"/>
  <c r="FY159" i="65"/>
  <c r="FY160" i="65"/>
  <c r="FY161" i="65"/>
  <c r="FY162" i="65"/>
  <c r="FY163" i="65"/>
  <c r="FY164" i="65"/>
  <c r="FY165" i="65"/>
  <c r="FY166" i="65"/>
  <c r="FY167" i="65"/>
  <c r="FY168" i="65"/>
  <c r="FY169" i="65"/>
  <c r="FY170" i="65"/>
  <c r="FY171" i="65"/>
  <c r="FY172" i="65"/>
  <c r="FY173" i="65"/>
  <c r="FY174" i="65"/>
  <c r="FY175" i="65"/>
  <c r="FY176" i="65"/>
  <c r="FY177" i="65"/>
  <c r="FY178" i="65"/>
  <c r="FY179" i="65"/>
  <c r="FY180" i="65"/>
  <c r="FY181" i="65"/>
  <c r="FY182" i="65"/>
  <c r="FY183" i="65"/>
  <c r="FY184" i="65"/>
  <c r="FY185" i="65"/>
  <c r="FY186" i="65"/>
  <c r="FY187" i="65"/>
  <c r="FY188" i="65"/>
  <c r="FY189" i="65"/>
  <c r="FY190" i="65"/>
  <c r="FY191" i="65"/>
  <c r="FY192" i="65"/>
  <c r="FY193" i="65"/>
  <c r="FY194" i="65"/>
  <c r="FY195" i="65"/>
  <c r="FY196" i="65"/>
  <c r="FY197" i="65"/>
  <c r="FY198" i="65"/>
  <c r="FY199" i="65"/>
  <c r="FY200" i="65"/>
  <c r="FY201" i="65"/>
  <c r="FY202" i="65"/>
  <c r="FY203" i="65"/>
  <c r="FY204" i="65"/>
  <c r="FY205" i="65"/>
  <c r="FY206" i="65"/>
  <c r="FY207" i="65"/>
  <c r="FY208" i="65"/>
  <c r="FY209" i="65"/>
  <c r="FY210" i="65"/>
  <c r="FY211" i="65"/>
  <c r="FY212" i="65"/>
  <c r="FY213" i="65"/>
  <c r="FY214" i="65"/>
  <c r="FY215" i="65"/>
  <c r="FY216" i="65"/>
  <c r="FY217" i="65"/>
  <c r="FY218" i="65"/>
  <c r="FY219" i="65"/>
  <c r="FY220" i="65"/>
  <c r="FY221" i="65"/>
  <c r="FY222" i="65"/>
  <c r="FY223" i="65"/>
  <c r="FY224" i="65"/>
  <c r="FY225" i="65"/>
  <c r="FY226" i="65"/>
  <c r="FY227" i="65"/>
  <c r="FY228" i="65"/>
  <c r="FY229" i="65"/>
  <c r="FY230" i="65"/>
  <c r="FY231" i="65"/>
  <c r="FY232" i="65"/>
  <c r="FY233" i="65"/>
  <c r="FY234" i="65"/>
  <c r="FY235" i="65"/>
  <c r="FY236" i="65"/>
  <c r="FY237" i="65"/>
  <c r="FY238" i="65"/>
  <c r="FY239" i="65"/>
  <c r="FY240" i="65"/>
  <c r="FY241" i="65"/>
  <c r="FY242" i="65"/>
  <c r="FY243" i="65"/>
  <c r="FY244" i="65"/>
  <c r="FY245" i="65"/>
  <c r="FY246" i="65"/>
  <c r="FY247" i="65"/>
  <c r="FY248" i="65"/>
  <c r="FY249" i="65"/>
  <c r="FY250" i="65"/>
  <c r="FY251" i="65"/>
  <c r="FY252" i="65"/>
  <c r="FY253" i="65"/>
  <c r="FY254" i="65"/>
  <c r="FY255" i="65"/>
  <c r="FY256" i="65"/>
  <c r="FY257" i="65"/>
  <c r="FY258" i="65"/>
  <c r="FY259" i="65"/>
  <c r="FY260" i="65"/>
  <c r="FY261" i="65"/>
  <c r="FY262" i="65"/>
  <c r="FY263" i="65"/>
  <c r="FY264" i="65"/>
  <c r="FY265" i="65"/>
  <c r="FY266" i="65"/>
  <c r="FY267" i="65"/>
  <c r="FY268" i="65"/>
  <c r="FY269" i="65"/>
  <c r="FY270" i="65"/>
  <c r="FY271" i="65"/>
  <c r="FY272" i="65"/>
  <c r="FY273" i="65"/>
  <c r="FY274" i="65"/>
  <c r="FY275" i="65"/>
  <c r="FY276" i="65"/>
  <c r="FY277" i="65"/>
  <c r="FY278" i="65"/>
  <c r="FY279" i="65"/>
  <c r="FY280" i="65"/>
  <c r="FY281" i="65"/>
  <c r="FY282" i="65"/>
  <c r="FY283" i="65"/>
  <c r="FY284" i="65"/>
  <c r="FY285" i="65"/>
  <c r="FY286" i="65"/>
  <c r="FY287" i="65"/>
  <c r="FY288" i="65"/>
  <c r="FY289" i="65"/>
  <c r="FY290" i="65"/>
  <c r="FY291" i="65"/>
  <c r="FY292" i="65"/>
  <c r="FY293" i="65"/>
  <c r="FY294" i="65"/>
  <c r="FY295" i="65"/>
  <c r="FY296" i="65"/>
  <c r="FY297" i="65"/>
  <c r="FY298" i="65"/>
  <c r="FY299" i="65"/>
  <c r="FY300" i="65"/>
  <c r="FY301" i="65"/>
  <c r="FY302" i="65"/>
  <c r="FY303" i="65"/>
  <c r="FY304" i="65"/>
  <c r="FY305" i="65"/>
  <c r="FY306" i="65"/>
  <c r="FY307" i="65"/>
  <c r="FY308" i="65"/>
  <c r="FY309" i="65"/>
  <c r="FY310" i="65"/>
  <c r="FY311" i="65"/>
  <c r="FY312" i="65"/>
  <c r="FY313" i="65"/>
  <c r="FY314" i="65"/>
  <c r="FY315" i="65"/>
  <c r="FY316" i="65"/>
  <c r="FY317" i="65"/>
  <c r="FY318" i="65"/>
  <c r="FY319" i="65"/>
  <c r="FY320" i="65"/>
  <c r="FY321" i="65"/>
  <c r="FY322" i="65"/>
  <c r="FY323" i="65"/>
  <c r="FY324" i="65"/>
  <c r="FY325" i="65"/>
  <c r="FY326" i="65"/>
  <c r="FY327" i="65"/>
  <c r="FY328" i="65"/>
  <c r="FY329" i="65"/>
  <c r="FY330" i="65"/>
  <c r="FY331" i="65"/>
  <c r="FY332" i="65"/>
  <c r="FY333" i="65"/>
  <c r="FY334" i="65"/>
  <c r="FY335" i="65"/>
  <c r="FY336" i="65"/>
  <c r="FY337" i="65"/>
  <c r="FY338" i="65"/>
  <c r="FY339" i="65"/>
  <c r="FY340" i="65"/>
  <c r="FY341" i="65"/>
  <c r="FY342" i="65"/>
  <c r="FY343" i="65"/>
  <c r="FY344" i="65"/>
  <c r="FY345" i="65"/>
  <c r="FY346" i="65"/>
  <c r="FY347" i="65"/>
  <c r="FY348" i="65"/>
  <c r="FY349" i="65"/>
  <c r="FY350" i="65"/>
  <c r="FY351" i="65"/>
  <c r="FY352" i="65"/>
  <c r="FY353" i="65"/>
  <c r="FY354" i="65"/>
  <c r="FY355" i="65"/>
  <c r="FY356" i="65"/>
  <c r="FY357" i="65"/>
  <c r="FY358" i="65"/>
  <c r="FY359" i="65"/>
  <c r="FY360" i="65"/>
  <c r="FY361" i="65"/>
  <c r="FY362" i="65"/>
  <c r="FY363" i="65"/>
  <c r="FY364" i="65"/>
  <c r="FY365" i="65"/>
  <c r="FY366" i="65"/>
  <c r="FY367" i="65"/>
  <c r="FY368" i="65"/>
  <c r="FY369" i="65"/>
  <c r="FY370" i="65"/>
  <c r="FY371" i="65"/>
  <c r="FY372" i="65"/>
  <c r="FY373" i="65"/>
  <c r="FY374" i="65"/>
  <c r="FY375" i="65"/>
  <c r="FY376" i="65"/>
  <c r="FY377" i="65"/>
  <c r="FY378" i="65"/>
  <c r="FY379" i="65"/>
  <c r="FY380" i="65"/>
  <c r="FY381" i="65"/>
  <c r="FY382" i="65"/>
  <c r="FY383" i="65"/>
  <c r="FY384" i="65"/>
  <c r="FY385" i="65"/>
  <c r="FY386" i="65"/>
  <c r="FY387" i="65"/>
  <c r="FY388" i="65"/>
  <c r="FY389" i="65"/>
  <c r="FY390" i="65"/>
  <c r="FY391" i="65"/>
  <c r="FY392" i="65"/>
  <c r="FY393" i="65"/>
  <c r="FY394" i="65"/>
  <c r="FY395" i="65"/>
  <c r="FY396" i="65"/>
  <c r="FY397" i="65"/>
  <c r="FY398" i="65"/>
  <c r="FY399" i="65"/>
  <c r="FY400" i="65"/>
  <c r="FY401" i="65"/>
  <c r="FY402" i="65"/>
  <c r="FY403" i="65"/>
  <c r="FY404" i="65"/>
  <c r="FY405" i="65"/>
  <c r="FY406" i="65"/>
  <c r="FY407" i="65"/>
  <c r="FY408" i="65"/>
  <c r="FY409" i="65"/>
  <c r="FY410" i="65"/>
  <c r="FY411" i="65"/>
  <c r="FY412" i="65"/>
  <c r="FY413" i="65"/>
  <c r="FY414" i="65"/>
  <c r="FY415" i="65"/>
  <c r="FY416" i="65"/>
  <c r="FY417" i="65"/>
  <c r="FY418" i="65"/>
  <c r="FY419" i="65"/>
  <c r="FY420" i="65"/>
  <c r="FY421" i="65"/>
  <c r="FY422" i="65"/>
  <c r="FY423" i="65"/>
  <c r="FY424" i="65"/>
  <c r="FY425" i="65"/>
  <c r="FY426" i="65"/>
  <c r="FY427" i="65"/>
  <c r="FY428" i="65"/>
  <c r="FY429" i="65"/>
  <c r="FY430" i="65"/>
  <c r="FY431" i="65"/>
  <c r="FY432" i="65"/>
  <c r="FY433" i="65"/>
  <c r="FY434" i="65"/>
  <c r="FY435" i="65"/>
  <c r="FY436" i="65"/>
  <c r="FY437" i="65"/>
  <c r="FY438" i="65"/>
  <c r="FY439" i="65"/>
  <c r="FY440" i="65"/>
  <c r="FY441" i="65"/>
  <c r="FY442" i="65"/>
  <c r="FY443" i="65"/>
  <c r="FY444" i="65"/>
  <c r="FY445" i="65"/>
  <c r="FY446" i="65"/>
  <c r="FY447" i="65"/>
  <c r="FY448" i="65"/>
  <c r="FY449" i="65"/>
  <c r="FY450" i="65"/>
  <c r="FY451" i="65"/>
  <c r="FY452" i="65"/>
  <c r="FY453" i="65"/>
  <c r="FY454" i="65"/>
  <c r="FY455" i="65"/>
  <c r="FY456" i="65"/>
  <c r="FY457" i="65"/>
  <c r="FY458" i="65"/>
  <c r="FY459" i="65"/>
  <c r="FY460" i="65"/>
  <c r="FY461" i="65"/>
  <c r="FY462" i="65"/>
  <c r="FY463" i="65"/>
  <c r="FY464" i="65"/>
  <c r="FY465" i="65"/>
  <c r="FY466" i="65"/>
  <c r="FY467" i="65"/>
  <c r="FY468" i="65"/>
  <c r="FY469" i="65"/>
  <c r="FY470" i="65"/>
  <c r="FY471" i="65"/>
  <c r="FY472" i="65"/>
  <c r="FY473" i="65"/>
  <c r="FY474" i="65"/>
  <c r="FY475" i="65"/>
  <c r="FY476" i="65"/>
  <c r="FY477" i="65"/>
  <c r="FY478" i="65"/>
  <c r="FY479" i="65"/>
  <c r="FY480" i="65"/>
  <c r="FY481" i="65"/>
  <c r="FY482" i="65"/>
  <c r="FY483" i="65"/>
  <c r="FY484" i="65"/>
  <c r="FY485" i="65"/>
  <c r="FY486" i="65"/>
  <c r="FY487" i="65"/>
  <c r="FY488" i="65"/>
  <c r="FY489" i="65"/>
  <c r="FY490" i="65"/>
  <c r="FY491" i="65"/>
  <c r="FY492" i="65"/>
  <c r="FY493" i="65"/>
  <c r="FY494" i="65"/>
  <c r="FY495" i="65"/>
  <c r="FY496" i="65"/>
  <c r="FY497" i="65"/>
  <c r="FY498" i="65"/>
  <c r="FY499" i="65"/>
  <c r="FY500" i="65"/>
  <c r="FY501" i="65"/>
  <c r="FY502" i="65"/>
  <c r="FY503" i="65"/>
  <c r="FY504" i="65"/>
  <c r="FY505" i="65"/>
  <c r="FY506" i="65"/>
  <c r="FY507" i="65"/>
  <c r="FY508" i="65"/>
  <c r="FY509" i="65"/>
  <c r="FY510" i="65"/>
  <c r="FY511" i="65"/>
  <c r="FY512" i="65"/>
  <c r="FY513" i="65"/>
  <c r="FY514" i="65"/>
  <c r="FY515" i="65"/>
  <c r="FY516" i="65"/>
  <c r="FY517" i="65"/>
  <c r="FY518" i="65"/>
  <c r="FY519" i="65"/>
  <c r="FY520" i="65"/>
  <c r="FY521" i="65"/>
  <c r="FY522" i="65"/>
  <c r="FY523" i="65"/>
  <c r="FY524" i="65"/>
  <c r="FY525" i="65"/>
  <c r="FY526" i="65"/>
  <c r="FY527" i="65"/>
  <c r="FY528" i="65"/>
  <c r="FY529" i="65"/>
  <c r="FY530" i="65"/>
  <c r="FY531" i="65"/>
  <c r="FY532" i="65"/>
  <c r="FY533" i="65"/>
  <c r="FY534" i="65"/>
  <c r="FY535" i="65"/>
  <c r="FY536" i="65"/>
  <c r="FY537" i="65"/>
  <c r="FY538" i="65"/>
  <c r="FY539" i="65"/>
  <c r="FY540" i="65"/>
  <c r="FY541" i="65"/>
  <c r="FY542" i="65"/>
  <c r="FY543" i="65"/>
  <c r="FY544" i="65"/>
  <c r="FY545" i="65"/>
  <c r="FY546" i="65"/>
  <c r="FY547" i="65"/>
  <c r="FY548" i="65"/>
  <c r="FY549" i="65"/>
  <c r="FY550" i="65"/>
  <c r="FY551" i="65"/>
  <c r="FY552" i="65"/>
  <c r="FY553" i="65"/>
  <c r="FY554" i="65"/>
  <c r="FY555" i="65"/>
  <c r="FY556" i="65"/>
  <c r="FY557" i="65"/>
  <c r="FY558" i="65"/>
  <c r="FY559" i="65"/>
  <c r="FY560" i="65"/>
  <c r="FY561" i="65"/>
  <c r="FY562" i="65"/>
  <c r="FY563" i="65"/>
  <c r="FY564" i="65"/>
  <c r="FY565" i="65"/>
  <c r="FY566" i="65"/>
  <c r="FY567" i="65"/>
  <c r="FY568" i="65"/>
  <c r="FY569" i="65"/>
  <c r="FY570" i="65"/>
  <c r="FY571" i="65"/>
  <c r="FY572" i="65"/>
  <c r="FY573" i="65"/>
  <c r="FY574" i="65"/>
  <c r="FY575" i="65"/>
  <c r="FY576" i="65"/>
  <c r="FY577" i="65"/>
  <c r="FY578" i="65"/>
  <c r="FY579" i="65"/>
  <c r="FY580" i="65"/>
  <c r="FY581" i="65"/>
  <c r="FY582" i="65"/>
  <c r="FY583" i="65"/>
  <c r="FY584" i="65"/>
  <c r="FY585" i="65"/>
  <c r="FY586" i="65"/>
  <c r="FY587" i="65"/>
  <c r="FY588" i="65"/>
  <c r="FY589" i="65"/>
  <c r="FY590" i="65"/>
  <c r="FY591" i="65"/>
  <c r="FY592" i="65"/>
  <c r="FY593" i="65"/>
  <c r="FY594" i="65"/>
  <c r="FY595" i="65"/>
  <c r="FY596" i="65"/>
  <c r="FY597" i="65"/>
  <c r="FY598" i="65"/>
  <c r="FY599" i="65"/>
  <c r="FY600" i="65"/>
  <c r="FY601" i="65"/>
  <c r="FY602" i="65"/>
  <c r="FY603" i="65"/>
  <c r="FY604" i="65"/>
  <c r="FY605" i="65"/>
  <c r="FY606" i="65"/>
  <c r="FY607" i="65"/>
  <c r="FY608" i="65"/>
  <c r="FY609" i="65"/>
  <c r="FY610" i="65"/>
  <c r="FY611" i="65"/>
  <c r="FY612" i="65"/>
  <c r="FY613" i="65"/>
  <c r="FY614" i="65"/>
  <c r="FY615" i="65"/>
  <c r="FY616" i="65"/>
  <c r="FY617" i="65"/>
  <c r="FY618" i="65"/>
  <c r="FY619" i="65"/>
  <c r="FY620" i="65"/>
  <c r="FY621" i="65"/>
  <c r="FY622" i="65"/>
  <c r="FY623" i="65"/>
  <c r="FY624" i="65"/>
  <c r="FY625" i="65"/>
  <c r="FY626" i="65"/>
  <c r="FY627" i="65"/>
  <c r="FY628" i="65"/>
  <c r="FY629" i="65"/>
  <c r="FY630" i="65"/>
  <c r="FY631" i="65"/>
  <c r="FY632" i="65"/>
  <c r="FY633" i="65"/>
  <c r="FY634" i="65"/>
  <c r="FY635" i="65"/>
  <c r="FY636" i="65"/>
  <c r="FY637" i="65"/>
  <c r="FY638" i="65"/>
  <c r="FY639" i="65"/>
  <c r="FY640" i="65"/>
  <c r="FY641" i="65"/>
  <c r="FY642" i="65"/>
  <c r="FY643" i="65"/>
  <c r="FY644" i="65"/>
  <c r="FY645" i="65"/>
  <c r="FY646" i="65"/>
  <c r="FY647" i="65"/>
  <c r="FY648" i="65"/>
  <c r="FY649" i="65"/>
  <c r="FY650" i="65"/>
  <c r="FY651" i="65"/>
  <c r="FY652" i="65"/>
  <c r="FY653" i="65"/>
  <c r="FY654" i="65"/>
  <c r="FY655" i="65"/>
  <c r="FY656" i="65"/>
  <c r="FY657" i="65"/>
  <c r="FY658" i="65"/>
  <c r="FY659" i="65"/>
  <c r="FY660" i="65"/>
  <c r="FY661" i="65"/>
  <c r="FY662" i="65"/>
  <c r="FY663" i="65"/>
  <c r="FY664" i="65"/>
  <c r="FY665" i="65"/>
  <c r="FY666" i="65"/>
  <c r="FY667" i="65"/>
  <c r="FY668" i="65"/>
  <c r="FY669" i="65"/>
  <c r="FY670" i="65"/>
  <c r="FY671" i="65"/>
  <c r="FY672" i="65"/>
  <c r="FY673" i="65"/>
  <c r="FY674" i="65"/>
  <c r="FY675" i="65"/>
  <c r="FY676" i="65"/>
  <c r="FY677" i="65"/>
  <c r="FY678" i="65"/>
  <c r="FY679" i="65"/>
  <c r="FY680" i="65"/>
  <c r="FY681" i="65"/>
  <c r="FY682" i="65"/>
  <c r="FY683" i="65"/>
  <c r="FY684" i="65"/>
  <c r="FY685" i="65"/>
  <c r="FY686" i="65"/>
  <c r="FY687" i="65"/>
  <c r="FY688" i="65"/>
  <c r="FY689" i="65"/>
  <c r="FY690" i="65"/>
  <c r="FY691" i="65"/>
  <c r="FY692" i="65"/>
  <c r="FY693" i="65"/>
  <c r="FY694" i="65"/>
  <c r="FY695" i="65"/>
  <c r="FY696" i="65"/>
  <c r="FY697" i="65"/>
  <c r="FY698" i="65"/>
  <c r="FY699" i="65"/>
  <c r="FY700" i="65"/>
  <c r="FY701" i="65"/>
  <c r="FY702" i="65"/>
  <c r="FY703" i="65"/>
  <c r="FY704" i="65"/>
  <c r="FY705" i="65"/>
  <c r="FY706" i="65"/>
  <c r="FY707" i="65"/>
  <c r="FY708" i="65"/>
  <c r="FY709" i="65"/>
  <c r="FY710" i="65"/>
  <c r="FY711" i="65"/>
  <c r="FY712" i="65"/>
  <c r="FY713" i="65"/>
  <c r="FY714" i="65"/>
  <c r="FY715" i="65"/>
  <c r="FY716" i="65"/>
  <c r="FY717" i="65"/>
  <c r="FY718" i="65"/>
  <c r="FY719" i="65"/>
  <c r="FY720" i="65"/>
  <c r="FY721" i="65"/>
  <c r="FY722" i="65"/>
  <c r="FY723" i="65"/>
  <c r="FY724" i="65"/>
  <c r="FY725" i="65"/>
  <c r="FY726" i="65"/>
  <c r="FY727" i="65"/>
  <c r="FY728" i="65"/>
  <c r="FY729" i="65"/>
  <c r="FY730" i="65"/>
  <c r="FY731" i="65"/>
  <c r="FY732" i="65"/>
  <c r="FY733" i="65"/>
  <c r="FY734" i="65"/>
  <c r="FY735" i="65"/>
  <c r="FY736" i="65"/>
  <c r="FY737" i="65"/>
  <c r="FY738" i="65"/>
  <c r="FY739" i="65"/>
  <c r="FY740" i="65"/>
  <c r="FY741" i="65"/>
  <c r="FY742" i="65"/>
  <c r="FY743" i="65"/>
  <c r="FY744" i="65"/>
  <c r="FY745" i="65"/>
  <c r="FY746" i="65"/>
  <c r="FY747" i="65"/>
  <c r="FY748" i="65"/>
  <c r="FY749" i="65"/>
  <c r="FY750" i="65"/>
  <c r="FY751" i="65"/>
  <c r="FY752" i="65"/>
  <c r="FY753" i="65"/>
  <c r="FY754" i="65"/>
  <c r="FY755" i="65"/>
  <c r="FY756" i="65"/>
  <c r="FY757" i="65"/>
  <c r="FY758" i="65"/>
  <c r="FY759" i="65"/>
  <c r="FY760" i="65"/>
  <c r="FY761" i="65"/>
  <c r="FY762" i="65"/>
  <c r="FY763" i="65"/>
  <c r="FY764" i="65"/>
  <c r="FY765" i="65"/>
  <c r="FY766" i="65"/>
  <c r="FY767" i="65"/>
  <c r="FY768" i="65"/>
  <c r="FY769" i="65"/>
  <c r="FY770" i="65"/>
  <c r="FY771" i="65"/>
  <c r="FY772" i="65"/>
  <c r="FY773" i="65"/>
  <c r="FY774" i="65"/>
  <c r="FY775" i="65"/>
  <c r="FY776" i="65"/>
  <c r="FY777" i="65"/>
  <c r="FY778" i="65"/>
  <c r="FY779" i="65"/>
  <c r="FY780" i="65"/>
  <c r="FY781" i="65"/>
  <c r="FY782" i="65"/>
  <c r="FY783" i="65"/>
  <c r="FY784" i="65"/>
  <c r="FY785" i="65"/>
  <c r="FY786" i="65"/>
  <c r="FY787" i="65"/>
  <c r="FY788" i="65"/>
  <c r="FY789" i="65"/>
  <c r="FY790" i="65"/>
  <c r="FY791" i="65"/>
  <c r="FY792" i="65"/>
  <c r="FY793" i="65"/>
  <c r="FY794" i="65"/>
  <c r="FY795" i="65"/>
  <c r="FY796" i="65"/>
  <c r="FY797" i="65"/>
  <c r="FY798" i="65"/>
  <c r="FY799" i="65"/>
  <c r="FY800" i="65"/>
  <c r="FY801" i="65"/>
  <c r="FY802" i="65"/>
  <c r="FY803" i="65"/>
  <c r="FY804" i="65"/>
  <c r="FY805" i="65"/>
  <c r="FY806" i="65"/>
  <c r="FY807" i="65"/>
  <c r="FY808" i="65"/>
  <c r="FY809" i="65"/>
  <c r="FY810" i="65"/>
  <c r="FY811" i="65"/>
  <c r="FY812" i="65"/>
  <c r="FY813" i="65"/>
  <c r="FY814" i="65"/>
  <c r="FY815" i="65"/>
  <c r="FY816" i="65"/>
  <c r="FY817" i="65"/>
  <c r="FY818" i="65"/>
  <c r="FY819" i="65"/>
  <c r="FY820" i="65"/>
  <c r="FY821" i="65"/>
  <c r="FY822" i="65"/>
  <c r="FY823" i="65"/>
  <c r="FY824" i="65"/>
  <c r="FY825" i="65"/>
  <c r="FY826" i="65"/>
  <c r="FY827" i="65"/>
  <c r="FY828" i="65"/>
  <c r="FY829" i="65"/>
  <c r="FY830" i="65"/>
  <c r="FY831" i="65"/>
  <c r="FY832" i="65"/>
  <c r="FY833" i="65"/>
  <c r="FY834" i="65"/>
  <c r="FY835" i="65"/>
  <c r="FY836" i="65"/>
  <c r="FY837" i="65"/>
  <c r="FY838" i="65"/>
  <c r="FY839" i="65"/>
  <c r="FY840" i="65"/>
  <c r="FY841" i="65"/>
  <c r="FY842" i="65"/>
  <c r="FY843" i="65"/>
  <c r="FY844" i="65"/>
  <c r="FY845" i="65"/>
  <c r="FY846" i="65"/>
  <c r="FY847" i="65"/>
  <c r="FY848" i="65"/>
  <c r="FY849" i="65"/>
  <c r="FY850" i="65"/>
  <c r="FY851" i="65"/>
  <c r="FY852" i="65"/>
  <c r="FY853" i="65"/>
  <c r="FY854" i="65"/>
  <c r="FY855" i="65"/>
  <c r="FY856" i="65"/>
  <c r="FY857" i="65"/>
  <c r="FY858" i="65"/>
  <c r="FY859" i="65"/>
  <c r="FY860" i="65"/>
  <c r="FY861" i="65"/>
  <c r="FY862" i="65"/>
  <c r="FY863" i="65"/>
  <c r="FY864" i="65"/>
  <c r="FY865" i="65"/>
  <c r="FY866" i="65"/>
  <c r="FY867" i="65"/>
  <c r="FY868" i="65"/>
  <c r="FY869" i="65"/>
  <c r="FY870" i="65"/>
  <c r="FY871" i="65"/>
  <c r="FY872" i="65"/>
  <c r="FY873" i="65"/>
  <c r="FY874" i="65"/>
  <c r="FY875" i="65"/>
  <c r="FY6" i="65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FE6" i="65"/>
  <c r="CV6" i="54" l="1"/>
  <c r="CV7" i="54"/>
  <c r="CV8" i="54"/>
  <c r="CV9" i="54"/>
  <c r="CV10" i="54"/>
  <c r="CV11" i="54"/>
  <c r="CV12" i="54"/>
  <c r="CV13" i="54"/>
  <c r="CV14" i="54"/>
  <c r="CV15" i="54"/>
  <c r="CV16" i="54"/>
  <c r="CV17" i="54"/>
  <c r="CV18" i="54"/>
  <c r="CV19" i="54"/>
  <c r="CV20" i="54"/>
  <c r="CV21" i="54"/>
  <c r="CV22" i="54"/>
  <c r="CV23" i="54"/>
  <c r="CV24" i="54"/>
  <c r="CV25" i="54"/>
  <c r="CV26" i="54"/>
  <c r="CV27" i="54"/>
  <c r="CV28" i="54"/>
  <c r="CV29" i="54"/>
  <c r="CV30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V43" i="54"/>
  <c r="CV44" i="54"/>
  <c r="CV45" i="54"/>
  <c r="CV46" i="54"/>
  <c r="CV47" i="54"/>
  <c r="CV48" i="54"/>
  <c r="CV49" i="54"/>
  <c r="CV50" i="54"/>
  <c r="CV51" i="54"/>
  <c r="CV52" i="54"/>
  <c r="CV53" i="54"/>
  <c r="CV54" i="54"/>
  <c r="CV55" i="54"/>
  <c r="CV56" i="54"/>
  <c r="CV57" i="54"/>
  <c r="CV58" i="54"/>
  <c r="CV59" i="54"/>
  <c r="CV60" i="54"/>
  <c r="CV61" i="54"/>
  <c r="CV62" i="54"/>
  <c r="CV63" i="54"/>
  <c r="CV64" i="54"/>
  <c r="CV65" i="54"/>
  <c r="CV66" i="54"/>
  <c r="CV67" i="54"/>
  <c r="CV68" i="54"/>
  <c r="CV69" i="54"/>
  <c r="CV70" i="54"/>
  <c r="CV71" i="54"/>
  <c r="CV72" i="54"/>
  <c r="CV73" i="54"/>
  <c r="CV74" i="54"/>
  <c r="CV75" i="54"/>
  <c r="CV76" i="54"/>
  <c r="CV77" i="54"/>
  <c r="CV78" i="54"/>
  <c r="CV79" i="54"/>
  <c r="CV80" i="54"/>
  <c r="CV81" i="54"/>
  <c r="CV82" i="54"/>
  <c r="CV83" i="54"/>
  <c r="CV84" i="54"/>
  <c r="CV85" i="54"/>
  <c r="CV86" i="54"/>
  <c r="CV87" i="54"/>
  <c r="CV88" i="54"/>
  <c r="CV89" i="54"/>
  <c r="CV90" i="54"/>
  <c r="CV91" i="54"/>
  <c r="CV92" i="54"/>
  <c r="CV93" i="54"/>
  <c r="CV94" i="54"/>
  <c r="CV95" i="54"/>
  <c r="CV96" i="54"/>
  <c r="CV97" i="54"/>
  <c r="CV98" i="54"/>
  <c r="CV99" i="54"/>
  <c r="CV100" i="54"/>
  <c r="CV101" i="54"/>
  <c r="CV102" i="54"/>
  <c r="CV103" i="54"/>
  <c r="CV104" i="54"/>
  <c r="CV105" i="54"/>
  <c r="CV106" i="54"/>
  <c r="CV107" i="54"/>
  <c r="CV108" i="54"/>
  <c r="CV109" i="54"/>
  <c r="CV110" i="54"/>
  <c r="CV111" i="54"/>
  <c r="CV112" i="54"/>
  <c r="CV113" i="54"/>
  <c r="CV114" i="54"/>
  <c r="CV115" i="54"/>
  <c r="CV116" i="54"/>
  <c r="CV117" i="54"/>
  <c r="CV118" i="54"/>
  <c r="CV119" i="54"/>
  <c r="CV120" i="54"/>
  <c r="CV121" i="54"/>
  <c r="CV122" i="54"/>
  <c r="CV123" i="54"/>
  <c r="CV124" i="54"/>
  <c r="CV125" i="54"/>
  <c r="CV126" i="54"/>
  <c r="CV127" i="54"/>
  <c r="CV128" i="54"/>
  <c r="CV129" i="54"/>
  <c r="CV130" i="54"/>
  <c r="CV131" i="54"/>
  <c r="CV132" i="54"/>
  <c r="CV133" i="54"/>
  <c r="CV134" i="54"/>
  <c r="CV135" i="54"/>
  <c r="CV136" i="54"/>
  <c r="CV137" i="54"/>
  <c r="CV138" i="54"/>
  <c r="CV139" i="54"/>
  <c r="CV140" i="54"/>
  <c r="CV141" i="54"/>
  <c r="CV142" i="54"/>
  <c r="CV143" i="54"/>
  <c r="CV144" i="54"/>
  <c r="CV145" i="54"/>
  <c r="CV146" i="54"/>
  <c r="CV147" i="54"/>
  <c r="CV148" i="54"/>
  <c r="CV149" i="54"/>
  <c r="CV150" i="54"/>
  <c r="CV151" i="54"/>
  <c r="CV152" i="54"/>
  <c r="CV153" i="54"/>
  <c r="CV154" i="54"/>
  <c r="CV155" i="54"/>
  <c r="CV156" i="54"/>
  <c r="CV157" i="54"/>
  <c r="CV158" i="54"/>
  <c r="CV159" i="54"/>
  <c r="CV160" i="54"/>
  <c r="CV161" i="54"/>
  <c r="CV162" i="54"/>
  <c r="CV163" i="54"/>
  <c r="CV164" i="54"/>
  <c r="CV165" i="54"/>
  <c r="CV166" i="54"/>
  <c r="CV167" i="54"/>
  <c r="CV168" i="54"/>
  <c r="CV169" i="54"/>
  <c r="CV170" i="54"/>
  <c r="CV171" i="54"/>
  <c r="CV172" i="54"/>
  <c r="CV173" i="54"/>
  <c r="CV174" i="54"/>
  <c r="CV175" i="54"/>
  <c r="CV176" i="54"/>
  <c r="CV177" i="54"/>
  <c r="CV178" i="54"/>
  <c r="CV179" i="54"/>
  <c r="CV180" i="54"/>
  <c r="CV181" i="54"/>
  <c r="CV182" i="54"/>
  <c r="CV183" i="54"/>
  <c r="CV184" i="54"/>
  <c r="CV185" i="54"/>
  <c r="CV186" i="54"/>
  <c r="CV187" i="54"/>
  <c r="CV188" i="54"/>
  <c r="CV189" i="54"/>
  <c r="CV190" i="54"/>
  <c r="CV191" i="54"/>
  <c r="CV192" i="54"/>
  <c r="CV193" i="54"/>
  <c r="CV194" i="54"/>
  <c r="CV195" i="54"/>
  <c r="CV196" i="54"/>
  <c r="CV197" i="54"/>
  <c r="CV198" i="54"/>
  <c r="CV199" i="54"/>
  <c r="CV200" i="54"/>
  <c r="CV201" i="54"/>
  <c r="CV202" i="54"/>
  <c r="CV203" i="54"/>
  <c r="CV204" i="54"/>
  <c r="CV205" i="54"/>
  <c r="CV206" i="54"/>
  <c r="CV207" i="54"/>
  <c r="CV208" i="54"/>
  <c r="CV209" i="54"/>
  <c r="CV210" i="54"/>
  <c r="CV211" i="54"/>
  <c r="CV212" i="54"/>
  <c r="CV213" i="54"/>
  <c r="CV214" i="54"/>
  <c r="CV215" i="54"/>
  <c r="CV216" i="54"/>
  <c r="CV217" i="54"/>
  <c r="CV218" i="54"/>
  <c r="CV219" i="54"/>
  <c r="CV220" i="54"/>
  <c r="CV221" i="54"/>
  <c r="CV222" i="54"/>
  <c r="CV223" i="54"/>
  <c r="CV224" i="54"/>
  <c r="CV225" i="54"/>
  <c r="CV226" i="54"/>
  <c r="CV227" i="54"/>
  <c r="CV228" i="54"/>
  <c r="CV229" i="54"/>
  <c r="CV230" i="54"/>
  <c r="CV231" i="54"/>
  <c r="CV232" i="54"/>
  <c r="CV233" i="54"/>
  <c r="CV234" i="54"/>
  <c r="CV235" i="54"/>
  <c r="CV236" i="54"/>
  <c r="CV237" i="54"/>
  <c r="CV238" i="54"/>
  <c r="CV239" i="54"/>
  <c r="CV240" i="54"/>
  <c r="CV241" i="54"/>
  <c r="CV242" i="54"/>
  <c r="CV243" i="54"/>
  <c r="CV244" i="54"/>
  <c r="CV245" i="54"/>
  <c r="CV246" i="54"/>
  <c r="CV247" i="54"/>
  <c r="CV248" i="54"/>
  <c r="CV249" i="54"/>
  <c r="CV250" i="54"/>
  <c r="CV251" i="54"/>
  <c r="CV252" i="54"/>
  <c r="CV253" i="54"/>
  <c r="CV254" i="54"/>
  <c r="CV255" i="54"/>
  <c r="CV256" i="54"/>
  <c r="CV257" i="54"/>
  <c r="CV258" i="54"/>
  <c r="CV259" i="54"/>
  <c r="CV260" i="54"/>
  <c r="CV261" i="54"/>
  <c r="CV262" i="54"/>
  <c r="CV263" i="54"/>
  <c r="CV264" i="54"/>
  <c r="CV265" i="54"/>
  <c r="CV266" i="54"/>
  <c r="CV267" i="54"/>
  <c r="CV268" i="54"/>
  <c r="CV269" i="54"/>
  <c r="CV270" i="54"/>
  <c r="CV271" i="54"/>
  <c r="CV272" i="54"/>
  <c r="CV273" i="54"/>
  <c r="CV274" i="54"/>
  <c r="CV275" i="54"/>
  <c r="CV276" i="54"/>
  <c r="CV277" i="54"/>
  <c r="CV278" i="54"/>
  <c r="CV279" i="54"/>
  <c r="CV280" i="54"/>
  <c r="CV281" i="54"/>
  <c r="CV282" i="54"/>
  <c r="CV283" i="54"/>
  <c r="CV284" i="54"/>
  <c r="CV285" i="54"/>
  <c r="CV286" i="54"/>
  <c r="CV287" i="54"/>
  <c r="CV288" i="54"/>
  <c r="CV289" i="54"/>
  <c r="CV290" i="54"/>
  <c r="CV291" i="54"/>
  <c r="CV292" i="54"/>
  <c r="CV293" i="54"/>
  <c r="CV294" i="54"/>
  <c r="CV295" i="54"/>
  <c r="CV296" i="54"/>
  <c r="CV297" i="54"/>
  <c r="CV298" i="54"/>
  <c r="CV299" i="54"/>
  <c r="CV300" i="54"/>
  <c r="CV301" i="54"/>
  <c r="CV302" i="54"/>
  <c r="CV303" i="54"/>
  <c r="CV304" i="54"/>
  <c r="CV305" i="54"/>
  <c r="CV306" i="54"/>
  <c r="CV307" i="54"/>
  <c r="CV308" i="54"/>
  <c r="CV309" i="54"/>
  <c r="CV310" i="54"/>
  <c r="CV311" i="54"/>
  <c r="CV312" i="54"/>
  <c r="CV313" i="54"/>
  <c r="CV314" i="54"/>
  <c r="CV315" i="54"/>
  <c r="CV316" i="54"/>
  <c r="CV317" i="54"/>
  <c r="CV318" i="54"/>
  <c r="CV319" i="54"/>
  <c r="CV320" i="54"/>
  <c r="CV321" i="54"/>
  <c r="CV322" i="54"/>
  <c r="CV323" i="54"/>
  <c r="CV324" i="54"/>
  <c r="CV325" i="54"/>
  <c r="CV326" i="54"/>
  <c r="CV327" i="54"/>
  <c r="CV328" i="54"/>
  <c r="CV329" i="54"/>
  <c r="CV330" i="54"/>
  <c r="CV331" i="54"/>
  <c r="CV332" i="54"/>
  <c r="CV333" i="54"/>
  <c r="CV334" i="54"/>
  <c r="CV335" i="54"/>
  <c r="CV336" i="54"/>
  <c r="CV337" i="54"/>
  <c r="CV338" i="54"/>
  <c r="CV339" i="54"/>
  <c r="CV340" i="54"/>
  <c r="CV341" i="54"/>
  <c r="CV342" i="54"/>
  <c r="CV343" i="54"/>
  <c r="CV344" i="54"/>
  <c r="CV345" i="54"/>
  <c r="CV346" i="54"/>
  <c r="CV347" i="54"/>
  <c r="CV348" i="54"/>
  <c r="CV349" i="54"/>
  <c r="CV350" i="54"/>
  <c r="CV351" i="54"/>
  <c r="CV352" i="54"/>
  <c r="CV353" i="54"/>
  <c r="CV354" i="54"/>
  <c r="CV355" i="54"/>
  <c r="CV356" i="54"/>
  <c r="CV357" i="54"/>
  <c r="CV358" i="54"/>
  <c r="CV359" i="54"/>
  <c r="CV360" i="54"/>
  <c r="CV361" i="54"/>
  <c r="CV362" i="54"/>
  <c r="CV363" i="54"/>
  <c r="CV364" i="54"/>
  <c r="CV365" i="54"/>
  <c r="CV366" i="54"/>
  <c r="CV367" i="54"/>
  <c r="CV368" i="54"/>
  <c r="CV369" i="54"/>
  <c r="CV370" i="54"/>
  <c r="CV371" i="54"/>
  <c r="CV372" i="54"/>
  <c r="CV373" i="54"/>
  <c r="CV374" i="54"/>
  <c r="CV375" i="54"/>
  <c r="CV376" i="54"/>
  <c r="CV377" i="54"/>
  <c r="CV378" i="54"/>
  <c r="CV379" i="54"/>
  <c r="CV380" i="54"/>
  <c r="CV381" i="54"/>
  <c r="CV382" i="54"/>
  <c r="CV383" i="54"/>
  <c r="CV384" i="54"/>
  <c r="CV385" i="54"/>
  <c r="CV386" i="54"/>
  <c r="CV387" i="54"/>
  <c r="CV388" i="54"/>
  <c r="CV389" i="54"/>
  <c r="CV390" i="54"/>
  <c r="CV391" i="54"/>
  <c r="CV392" i="54"/>
  <c r="CV393" i="54"/>
  <c r="CV394" i="54"/>
  <c r="CV395" i="54"/>
  <c r="CV396" i="54"/>
  <c r="CV397" i="54"/>
  <c r="CV398" i="54"/>
  <c r="CV399" i="54"/>
  <c r="CV400" i="54"/>
  <c r="CV401" i="54"/>
  <c r="CV402" i="54"/>
  <c r="CV403" i="54"/>
  <c r="CV404" i="54"/>
  <c r="CV405" i="54"/>
  <c r="CV406" i="54"/>
  <c r="CV407" i="54"/>
  <c r="CV408" i="54"/>
  <c r="CV409" i="54"/>
  <c r="CV410" i="54"/>
  <c r="CV411" i="54"/>
  <c r="CV412" i="54"/>
  <c r="CV413" i="54"/>
  <c r="CV414" i="54"/>
  <c r="CV415" i="54"/>
  <c r="CV416" i="54"/>
  <c r="CV417" i="54"/>
  <c r="CV418" i="54"/>
  <c r="CV419" i="54"/>
  <c r="CV420" i="54"/>
  <c r="CV421" i="54"/>
  <c r="CV422" i="54"/>
  <c r="CV423" i="54"/>
  <c r="CV424" i="54"/>
  <c r="CV425" i="54"/>
  <c r="CV426" i="54"/>
  <c r="CV427" i="54"/>
  <c r="CV428" i="54"/>
  <c r="CV429" i="54"/>
  <c r="CV430" i="54"/>
  <c r="CV431" i="54"/>
  <c r="CV432" i="54"/>
  <c r="CV433" i="54"/>
  <c r="CV434" i="54"/>
  <c r="CV435" i="54"/>
  <c r="CV436" i="54"/>
  <c r="CV437" i="54"/>
  <c r="CV438" i="54"/>
  <c r="CV439" i="54"/>
  <c r="CV440" i="54"/>
  <c r="CV441" i="54"/>
  <c r="CV442" i="54"/>
  <c r="CV443" i="54"/>
  <c r="CV444" i="54"/>
  <c r="CV445" i="54"/>
  <c r="CV446" i="54"/>
  <c r="CV447" i="54"/>
  <c r="CV448" i="54"/>
  <c r="CV449" i="54"/>
  <c r="CV450" i="54"/>
  <c r="CV451" i="54"/>
  <c r="CV452" i="54"/>
  <c r="CV453" i="54"/>
  <c r="CV454" i="54"/>
  <c r="CV455" i="54"/>
  <c r="CV456" i="54"/>
  <c r="CV457" i="54"/>
  <c r="CV458" i="54"/>
  <c r="CV459" i="54"/>
  <c r="CV460" i="54"/>
  <c r="CV461" i="54"/>
  <c r="CV462" i="54"/>
  <c r="CV463" i="54"/>
  <c r="CV464" i="54"/>
  <c r="CV465" i="54"/>
  <c r="CV466" i="54"/>
  <c r="CV467" i="54"/>
  <c r="CV468" i="54"/>
  <c r="CV469" i="54"/>
  <c r="CV470" i="54"/>
  <c r="CV471" i="54"/>
  <c r="CV472" i="54"/>
  <c r="CV473" i="54"/>
  <c r="CV474" i="54"/>
  <c r="CV475" i="54"/>
  <c r="CV476" i="54"/>
  <c r="CV477" i="54"/>
  <c r="CV478" i="54"/>
  <c r="CV479" i="54"/>
  <c r="CV480" i="54"/>
  <c r="CV481" i="54"/>
  <c r="CV482" i="54"/>
  <c r="CV483" i="54"/>
  <c r="CV484" i="54"/>
  <c r="CV485" i="54"/>
  <c r="CV486" i="54"/>
  <c r="CV487" i="54"/>
  <c r="CV488" i="54"/>
  <c r="CV489" i="54"/>
  <c r="CV490" i="54"/>
  <c r="CV491" i="54"/>
  <c r="CV492" i="54"/>
  <c r="CV493" i="54"/>
  <c r="CV494" i="54"/>
  <c r="CV495" i="54"/>
  <c r="CV496" i="54"/>
  <c r="CV497" i="54"/>
  <c r="CV498" i="54"/>
  <c r="CV499" i="54"/>
  <c r="CV500" i="54"/>
  <c r="CV501" i="54"/>
  <c r="CV502" i="54"/>
  <c r="CV503" i="54"/>
  <c r="CV504" i="54"/>
  <c r="CV505" i="54"/>
  <c r="CV506" i="54"/>
  <c r="CV507" i="54"/>
  <c r="CV508" i="54"/>
  <c r="CV509" i="54"/>
  <c r="CV510" i="54"/>
  <c r="CV511" i="54"/>
  <c r="CV512" i="54"/>
  <c r="CV513" i="54"/>
  <c r="CV514" i="54"/>
  <c r="CV515" i="54"/>
  <c r="CV516" i="54"/>
  <c r="CV517" i="54"/>
  <c r="CV518" i="54"/>
  <c r="CV519" i="54"/>
  <c r="CV520" i="54"/>
  <c r="CV521" i="54"/>
  <c r="CV522" i="54"/>
  <c r="CV523" i="54"/>
  <c r="CV524" i="54"/>
  <c r="CV525" i="54"/>
  <c r="CV526" i="54"/>
  <c r="CV527" i="54"/>
  <c r="CV528" i="54"/>
  <c r="CV529" i="54"/>
  <c r="CV530" i="54"/>
  <c r="CV531" i="54"/>
  <c r="CV532" i="54"/>
  <c r="CV533" i="54"/>
  <c r="CV534" i="54"/>
  <c r="CV535" i="54"/>
  <c r="CV536" i="54"/>
  <c r="CV537" i="54"/>
  <c r="CV538" i="54"/>
  <c r="CV539" i="54"/>
  <c r="CV540" i="54"/>
  <c r="CV541" i="54"/>
  <c r="CV542" i="54"/>
  <c r="CV543" i="54"/>
  <c r="CV544" i="54"/>
  <c r="CV545" i="54"/>
  <c r="CV546" i="54"/>
  <c r="CV547" i="54"/>
  <c r="CV548" i="54"/>
  <c r="CV549" i="54"/>
  <c r="CV550" i="54"/>
  <c r="CV551" i="54"/>
  <c r="CV552" i="54"/>
  <c r="CV553" i="54"/>
  <c r="CV554" i="54"/>
  <c r="CV555" i="54"/>
  <c r="CV556" i="54"/>
  <c r="CV557" i="54"/>
  <c r="CV558" i="54"/>
  <c r="CV559" i="54"/>
  <c r="CV560" i="54"/>
  <c r="CV561" i="54"/>
  <c r="CV562" i="54"/>
  <c r="CV563" i="54"/>
  <c r="CV564" i="54"/>
  <c r="CV565" i="54"/>
  <c r="CV566" i="54"/>
  <c r="CV567" i="54"/>
  <c r="CV568" i="54"/>
  <c r="CV569" i="54"/>
  <c r="CV570" i="54"/>
  <c r="CV571" i="54"/>
  <c r="CV572" i="54"/>
  <c r="CV573" i="54"/>
  <c r="CV574" i="54"/>
  <c r="CV575" i="54"/>
  <c r="CV576" i="54"/>
  <c r="CV577" i="54"/>
  <c r="CV578" i="54"/>
  <c r="CV579" i="54"/>
  <c r="CV580" i="54"/>
  <c r="CV581" i="54"/>
  <c r="CV582" i="54"/>
  <c r="CV583" i="54"/>
  <c r="CV584" i="54"/>
  <c r="CV585" i="54"/>
  <c r="CV586" i="54"/>
  <c r="CV587" i="54"/>
  <c r="CV588" i="54"/>
  <c r="CV589" i="54"/>
  <c r="CV590" i="54"/>
  <c r="CV591" i="54"/>
  <c r="CV592" i="54"/>
  <c r="CV593" i="54"/>
  <c r="CV594" i="54"/>
  <c r="CV595" i="54"/>
  <c r="CV596" i="54"/>
  <c r="CV597" i="54"/>
  <c r="CV598" i="54"/>
  <c r="CV599" i="54"/>
  <c r="CV600" i="54"/>
  <c r="CV601" i="54"/>
  <c r="CV602" i="54"/>
  <c r="CV603" i="54"/>
  <c r="CV604" i="54"/>
  <c r="CV605" i="54"/>
  <c r="CV606" i="54"/>
  <c r="CV607" i="54"/>
  <c r="CV608" i="54"/>
  <c r="CV609" i="54"/>
  <c r="CV610" i="54"/>
  <c r="CV611" i="54"/>
  <c r="CV612" i="54"/>
  <c r="CV613" i="54"/>
  <c r="CV614" i="54"/>
  <c r="CV615" i="54"/>
  <c r="CV616" i="54"/>
  <c r="CV617" i="54"/>
  <c r="CV618" i="54"/>
  <c r="CV619" i="54"/>
  <c r="CV620" i="54"/>
  <c r="CV621" i="54"/>
  <c r="CV622" i="54"/>
  <c r="CV623" i="54"/>
  <c r="CV624" i="54"/>
  <c r="CV625" i="54"/>
  <c r="CV626" i="54"/>
  <c r="CV627" i="54"/>
  <c r="CV628" i="54"/>
  <c r="CV629" i="54"/>
  <c r="CV630" i="54"/>
  <c r="CV631" i="54"/>
  <c r="CV632" i="54"/>
  <c r="CV633" i="54"/>
  <c r="CV634" i="54"/>
  <c r="CV635" i="54"/>
  <c r="CV636" i="54"/>
  <c r="CV637" i="54"/>
  <c r="CV638" i="54"/>
  <c r="CV639" i="54"/>
  <c r="CV640" i="54"/>
  <c r="CV641" i="54"/>
  <c r="CV642" i="54"/>
  <c r="CV643" i="54"/>
  <c r="CV644" i="54"/>
  <c r="CV645" i="54"/>
  <c r="CV646" i="54"/>
  <c r="CV647" i="54"/>
  <c r="CV648" i="54"/>
  <c r="CV649" i="54"/>
  <c r="CV650" i="54"/>
  <c r="CV651" i="54"/>
  <c r="CV652" i="54"/>
  <c r="CV653" i="54"/>
  <c r="CV654" i="54"/>
  <c r="CV655" i="54"/>
  <c r="CV656" i="54"/>
  <c r="CV657" i="54"/>
  <c r="CV658" i="54"/>
  <c r="CV659" i="54"/>
  <c r="CV660" i="54"/>
  <c r="CV661" i="54"/>
  <c r="CV662" i="54"/>
  <c r="CV663" i="54"/>
  <c r="CV664" i="54"/>
  <c r="CV665" i="54"/>
  <c r="CV666" i="54"/>
  <c r="CV667" i="54"/>
  <c r="CV668" i="54"/>
  <c r="CV669" i="54"/>
  <c r="CV670" i="54"/>
  <c r="CV671" i="54"/>
  <c r="CV672" i="54"/>
  <c r="CV673" i="54"/>
  <c r="CV674" i="54"/>
  <c r="CV675" i="54"/>
  <c r="CV676" i="54"/>
  <c r="CV677" i="54"/>
  <c r="CV678" i="54"/>
  <c r="CV679" i="54"/>
  <c r="CV680" i="54"/>
  <c r="CV681" i="54"/>
  <c r="CV682" i="54"/>
  <c r="CV683" i="54"/>
  <c r="CV684" i="54"/>
  <c r="CV685" i="54"/>
  <c r="CV686" i="54"/>
  <c r="CV687" i="54"/>
  <c r="CV688" i="54"/>
  <c r="CV689" i="54"/>
  <c r="CV690" i="54"/>
  <c r="CV691" i="54"/>
  <c r="CV692" i="54"/>
  <c r="CV693" i="54"/>
  <c r="CV694" i="54"/>
  <c r="CV695" i="54"/>
  <c r="CV696" i="54"/>
  <c r="CV697" i="54"/>
  <c r="CV698" i="54"/>
  <c r="CV699" i="54"/>
  <c r="CV700" i="54"/>
  <c r="CV701" i="54"/>
  <c r="CV702" i="54"/>
  <c r="CV703" i="54"/>
  <c r="CV704" i="54"/>
  <c r="CV705" i="54"/>
  <c r="CV706" i="54"/>
  <c r="CV707" i="54"/>
  <c r="CV708" i="54"/>
  <c r="CV709" i="54"/>
  <c r="CV710" i="54"/>
  <c r="CV711" i="54"/>
  <c r="CV712" i="54"/>
  <c r="CV713" i="54"/>
  <c r="CV714" i="54"/>
  <c r="CV715" i="54"/>
  <c r="CV716" i="54"/>
  <c r="CV717" i="54"/>
  <c r="CV718" i="54"/>
  <c r="CV719" i="54"/>
  <c r="CV720" i="54"/>
  <c r="CV721" i="54"/>
  <c r="CV722" i="54"/>
  <c r="CV723" i="54"/>
  <c r="CV724" i="54"/>
  <c r="CV725" i="54"/>
  <c r="CV726" i="54"/>
  <c r="CV727" i="54"/>
  <c r="CV728" i="54"/>
  <c r="CV729" i="54"/>
  <c r="CV730" i="54"/>
  <c r="CV731" i="54"/>
  <c r="CV732" i="54"/>
  <c r="CV733" i="54"/>
  <c r="CV734" i="54"/>
  <c r="CV735" i="54"/>
  <c r="CV736" i="54"/>
  <c r="CV737" i="54"/>
  <c r="CV738" i="54"/>
  <c r="CV739" i="54"/>
  <c r="CV740" i="54"/>
  <c r="CV741" i="54"/>
  <c r="CV742" i="54"/>
  <c r="CV743" i="54"/>
  <c r="CV744" i="54"/>
  <c r="CV745" i="54"/>
  <c r="CV746" i="54"/>
  <c r="CV747" i="54"/>
  <c r="CV748" i="54"/>
  <c r="CV749" i="54"/>
  <c r="CV750" i="54"/>
  <c r="CV751" i="54"/>
  <c r="CV752" i="54"/>
  <c r="CV753" i="54"/>
  <c r="CV754" i="54"/>
  <c r="CV755" i="54"/>
  <c r="CV756" i="54"/>
  <c r="CV757" i="54"/>
  <c r="CV758" i="54"/>
  <c r="CV759" i="54"/>
  <c r="CV760" i="54"/>
  <c r="CV761" i="54"/>
  <c r="CV762" i="54"/>
  <c r="CV763" i="54"/>
  <c r="CV764" i="54"/>
  <c r="CV765" i="54"/>
  <c r="CV766" i="54"/>
  <c r="CV767" i="54"/>
  <c r="CV768" i="54"/>
  <c r="CV769" i="54"/>
  <c r="CV770" i="54"/>
  <c r="CV771" i="54"/>
  <c r="CV772" i="54"/>
  <c r="CV773" i="54"/>
  <c r="CV774" i="54"/>
  <c r="CV775" i="54"/>
  <c r="CV776" i="54"/>
  <c r="CV777" i="54"/>
  <c r="CV778" i="54"/>
  <c r="CV779" i="54"/>
  <c r="CV780" i="54"/>
  <c r="CV781" i="54"/>
  <c r="CV782" i="54"/>
  <c r="CV783" i="54"/>
  <c r="CV784" i="54"/>
  <c r="CV785" i="54"/>
  <c r="CV786" i="54"/>
  <c r="CV787" i="54"/>
  <c r="CV788" i="54"/>
  <c r="CV789" i="54"/>
  <c r="CV790" i="54"/>
  <c r="CV791" i="54"/>
  <c r="CV792" i="54"/>
  <c r="CV793" i="54"/>
  <c r="CV794" i="54"/>
  <c r="CV795" i="54"/>
  <c r="CV796" i="54"/>
  <c r="CV797" i="54"/>
  <c r="CV798" i="54"/>
  <c r="CV799" i="54"/>
  <c r="CV800" i="54"/>
  <c r="CV801" i="54"/>
  <c r="CV802" i="54"/>
  <c r="CV803" i="54"/>
  <c r="CV804" i="54"/>
  <c r="CV805" i="54"/>
  <c r="CV806" i="54"/>
  <c r="CV807" i="54"/>
  <c r="CV808" i="54"/>
  <c r="CV809" i="54"/>
  <c r="CV810" i="54"/>
  <c r="CV811" i="54"/>
  <c r="CV812" i="54"/>
  <c r="CV813" i="54"/>
  <c r="CV814" i="54"/>
  <c r="CV815" i="54"/>
  <c r="CV816" i="54"/>
  <c r="CV817" i="54"/>
  <c r="CV818" i="54"/>
  <c r="CV819" i="54"/>
  <c r="CV820" i="54"/>
  <c r="CV821" i="54"/>
  <c r="CV822" i="54"/>
  <c r="CV823" i="54"/>
  <c r="CV824" i="54"/>
  <c r="CV825" i="54"/>
  <c r="CV826" i="54"/>
  <c r="CV827" i="54"/>
  <c r="CV828" i="54"/>
  <c r="CV829" i="54"/>
  <c r="CV830" i="54"/>
  <c r="CV831" i="54"/>
  <c r="CV832" i="54"/>
  <c r="CV833" i="54"/>
  <c r="CV834" i="54"/>
  <c r="CV835" i="54"/>
  <c r="CV836" i="54"/>
  <c r="CV837" i="54"/>
  <c r="CV838" i="54"/>
  <c r="CV839" i="54"/>
  <c r="CV840" i="54"/>
  <c r="CV841" i="54"/>
  <c r="CV842" i="54"/>
  <c r="CV843" i="54"/>
  <c r="CV844" i="54"/>
  <c r="CV845" i="54"/>
  <c r="CV846" i="54"/>
  <c r="CV847" i="54"/>
  <c r="CV848" i="54"/>
  <c r="CV849" i="54"/>
  <c r="CV850" i="54"/>
  <c r="CV851" i="54"/>
  <c r="CV852" i="54"/>
  <c r="CV853" i="54"/>
  <c r="CV854" i="54"/>
  <c r="CV855" i="54"/>
  <c r="CV856" i="54"/>
  <c r="CV857" i="54"/>
  <c r="CV858" i="54"/>
  <c r="CV859" i="54"/>
  <c r="CV860" i="54"/>
  <c r="CV861" i="54"/>
  <c r="CV862" i="54"/>
  <c r="CV863" i="54"/>
  <c r="CV864" i="54"/>
  <c r="CV865" i="54"/>
  <c r="CV866" i="54"/>
  <c r="CV867" i="54"/>
  <c r="CV868" i="54"/>
  <c r="CV869" i="54"/>
  <c r="CV870" i="54"/>
  <c r="CV871" i="54"/>
  <c r="CV872" i="54"/>
  <c r="CV873" i="54"/>
  <c r="CV874" i="54"/>
  <c r="CV875" i="54"/>
  <c r="CV876" i="54"/>
  <c r="CV877" i="54"/>
  <c r="CV878" i="54"/>
  <c r="CV879" i="54"/>
  <c r="CV880" i="54"/>
  <c r="CV881" i="54"/>
  <c r="CV882" i="54"/>
  <c r="CV883" i="54"/>
  <c r="CV884" i="54"/>
  <c r="CV885" i="54"/>
  <c r="CV886" i="54"/>
  <c r="CV887" i="54"/>
  <c r="CV888" i="54"/>
  <c r="CV889" i="54"/>
  <c r="CV890" i="54"/>
  <c r="CV891" i="54"/>
  <c r="CV892" i="54"/>
  <c r="CV893" i="54"/>
  <c r="CV894" i="54"/>
  <c r="CV895" i="54"/>
  <c r="CV896" i="54"/>
  <c r="CV897" i="54"/>
  <c r="CV898" i="54"/>
  <c r="CV899" i="54"/>
  <c r="CV900" i="54"/>
  <c r="CV901" i="54"/>
  <c r="CV902" i="54"/>
  <c r="CV903" i="54"/>
  <c r="CV904" i="54"/>
  <c r="CV905" i="54"/>
  <c r="CV906" i="54"/>
  <c r="CV907" i="54"/>
  <c r="CV908" i="54"/>
  <c r="CV909" i="54"/>
  <c r="CV910" i="54"/>
  <c r="CV911" i="54"/>
  <c r="CV912" i="54"/>
  <c r="CV913" i="54"/>
  <c r="CV914" i="54"/>
  <c r="CV915" i="54"/>
  <c r="CV916" i="54"/>
  <c r="CV917" i="54"/>
  <c r="CV918" i="54"/>
  <c r="CV919" i="54"/>
  <c r="CV920" i="54"/>
  <c r="CV921" i="54"/>
  <c r="CV922" i="54"/>
  <c r="CV923" i="54"/>
  <c r="CV924" i="54"/>
  <c r="CV925" i="54"/>
  <c r="CV926" i="54"/>
  <c r="CV927" i="54"/>
  <c r="CV928" i="54"/>
  <c r="CV929" i="54"/>
  <c r="CV930" i="54"/>
  <c r="CV931" i="54"/>
  <c r="CV932" i="54"/>
  <c r="CV933" i="54"/>
  <c r="CV934" i="54"/>
  <c r="CV935" i="54"/>
  <c r="CV936" i="54"/>
  <c r="CV937" i="54"/>
  <c r="CV938" i="54"/>
  <c r="CV939" i="54"/>
  <c r="CV940" i="54"/>
  <c r="CV941" i="54"/>
  <c r="CV942" i="54"/>
  <c r="CV943" i="54"/>
  <c r="CV944" i="54"/>
  <c r="CV945" i="54"/>
  <c r="CV946" i="54"/>
  <c r="CV947" i="54"/>
  <c r="CV948" i="54"/>
  <c r="CV949" i="54"/>
  <c r="CV950" i="54"/>
  <c r="CV951" i="54"/>
  <c r="CV952" i="54"/>
  <c r="CV953" i="54"/>
  <c r="CV954" i="54"/>
  <c r="CV955" i="54"/>
  <c r="CV956" i="54"/>
  <c r="CV957" i="54"/>
  <c r="CV958" i="54"/>
  <c r="CV959" i="54"/>
  <c r="CV960" i="54"/>
  <c r="CV961" i="54"/>
  <c r="CV962" i="54"/>
  <c r="CV963" i="54"/>
  <c r="CV964" i="54"/>
  <c r="CV965" i="54"/>
  <c r="CV966" i="54"/>
  <c r="CV967" i="54"/>
  <c r="CV968" i="54"/>
  <c r="CV969" i="54"/>
  <c r="CV970" i="54"/>
  <c r="CV971" i="54"/>
  <c r="CV972" i="54"/>
  <c r="CV973" i="54"/>
  <c r="CV974" i="54"/>
  <c r="CV975" i="54"/>
  <c r="CV976" i="54"/>
  <c r="CV977" i="54"/>
  <c r="CV978" i="54"/>
  <c r="CV979" i="54"/>
  <c r="CV980" i="54"/>
  <c r="CV981" i="54"/>
  <c r="CV982" i="54"/>
  <c r="CV983" i="54"/>
  <c r="CV984" i="54"/>
  <c r="CV985" i="54"/>
  <c r="CV986" i="54"/>
  <c r="CV987" i="54"/>
  <c r="CV988" i="54"/>
  <c r="CV989" i="54"/>
  <c r="CV990" i="54"/>
  <c r="CV991" i="54"/>
  <c r="CV992" i="54"/>
  <c r="CV993" i="54"/>
  <c r="CV994" i="54"/>
  <c r="CV995" i="54"/>
  <c r="CV996" i="54"/>
  <c r="CV997" i="54"/>
  <c r="CV998" i="54"/>
  <c r="CV999" i="54"/>
  <c r="CV1000" i="54"/>
  <c r="CV1001" i="54"/>
  <c r="CV1002" i="54"/>
  <c r="CV1003" i="54"/>
  <c r="CV1004" i="54"/>
  <c r="CV1005" i="54"/>
  <c r="CV1006" i="54"/>
  <c r="CV1007" i="54"/>
  <c r="CV1008" i="54"/>
  <c r="CV1009" i="54"/>
  <c r="CV1010" i="54"/>
  <c r="CV1011" i="54"/>
  <c r="CV1012" i="54"/>
  <c r="CV1013" i="54"/>
  <c r="CV1014" i="54"/>
  <c r="CV1015" i="54"/>
  <c r="CV1016" i="54"/>
  <c r="CV1017" i="54"/>
  <c r="CV1018" i="54"/>
  <c r="CV1019" i="54"/>
  <c r="CV1020" i="54"/>
  <c r="CV1021" i="54"/>
  <c r="CV1022" i="54"/>
  <c r="CV1023" i="54"/>
  <c r="CV1024" i="54"/>
  <c r="CV1025" i="54"/>
  <c r="CV1026" i="54"/>
  <c r="CV1027" i="54"/>
  <c r="CV1028" i="54"/>
  <c r="CV1029" i="54"/>
  <c r="CV1030" i="54"/>
  <c r="CV1031" i="54"/>
  <c r="CV1032" i="54"/>
  <c r="CV1033" i="54"/>
  <c r="CV1034" i="54"/>
  <c r="CV1035" i="54"/>
  <c r="CV1036" i="54"/>
  <c r="CV1037" i="54"/>
  <c r="CV1038" i="54"/>
  <c r="CV1039" i="54"/>
  <c r="CV1040" i="54"/>
  <c r="CV1041" i="54"/>
  <c r="CV1042" i="54"/>
  <c r="CV1043" i="54"/>
  <c r="CV1044" i="54"/>
  <c r="CV1045" i="54"/>
  <c r="CV1046" i="54"/>
  <c r="CV1047" i="54"/>
  <c r="CV1048" i="54"/>
  <c r="CV1049" i="54"/>
  <c r="CV1050" i="54"/>
  <c r="CV1051" i="54"/>
  <c r="CV1052" i="54"/>
  <c r="CV1053" i="54"/>
  <c r="CV1054" i="54"/>
  <c r="CV1055" i="54"/>
  <c r="CV1056" i="54"/>
  <c r="CV1057" i="54"/>
  <c r="CV1058" i="54"/>
  <c r="CV1059" i="54"/>
  <c r="CV1060" i="54"/>
  <c r="CV1061" i="54"/>
  <c r="CV1062" i="54"/>
  <c r="CV1063" i="54"/>
  <c r="CV1064" i="54"/>
  <c r="CV1065" i="54"/>
  <c r="CV1066" i="54"/>
  <c r="CV1067" i="54"/>
  <c r="CV1068" i="54"/>
  <c r="CV1069" i="54"/>
  <c r="CV1070" i="54"/>
  <c r="CV1071" i="54"/>
  <c r="CV1072" i="54"/>
  <c r="CV1073" i="54"/>
  <c r="CV1074" i="54"/>
  <c r="CV1075" i="54"/>
  <c r="CV1076" i="54"/>
  <c r="CV1077" i="54"/>
  <c r="CV1078" i="54"/>
  <c r="CV1079" i="54"/>
  <c r="CV1080" i="54"/>
  <c r="CV1081" i="54"/>
  <c r="CV1082" i="54"/>
  <c r="CV1083" i="54"/>
  <c r="CV1084" i="54"/>
  <c r="CV1085" i="54"/>
  <c r="CV1086" i="54"/>
  <c r="CV1087" i="54"/>
  <c r="CV1088" i="54"/>
  <c r="CV1089" i="54"/>
  <c r="CV1090" i="54"/>
  <c r="CV1091" i="54"/>
  <c r="CV1092" i="54"/>
  <c r="CV1093" i="54"/>
  <c r="CV1094" i="54"/>
  <c r="CV1095" i="54"/>
  <c r="CV1096" i="54"/>
  <c r="CV1097" i="54"/>
  <c r="CV1098" i="54"/>
  <c r="CV1099" i="54"/>
  <c r="CV1100" i="54"/>
  <c r="CV1101" i="54"/>
  <c r="CV1102" i="54"/>
  <c r="CV1103" i="54"/>
  <c r="CV1104" i="54"/>
  <c r="CV1105" i="54"/>
  <c r="CV1106" i="54"/>
  <c r="CV1107" i="54"/>
  <c r="CV1108" i="54"/>
  <c r="CV1109" i="54"/>
  <c r="CV1110" i="54"/>
  <c r="CV1111" i="54"/>
  <c r="CV1112" i="54"/>
  <c r="CV1113" i="54"/>
  <c r="CV1114" i="54"/>
  <c r="CV1115" i="54"/>
  <c r="CV1116" i="54"/>
  <c r="CV1117" i="54"/>
  <c r="CV1118" i="54"/>
  <c r="CV1119" i="54"/>
  <c r="CV1120" i="54"/>
  <c r="CV1121" i="54"/>
  <c r="CV1122" i="54"/>
  <c r="CV1123" i="54"/>
  <c r="CV1124" i="54"/>
  <c r="CV1125" i="54"/>
  <c r="CV1126" i="54"/>
  <c r="CV1127" i="54"/>
  <c r="CV1128" i="54"/>
  <c r="CV1129" i="54"/>
  <c r="CV1130" i="54"/>
  <c r="CV1131" i="54"/>
  <c r="CV1132" i="54"/>
  <c r="CV1133" i="54"/>
  <c r="CV1134" i="54"/>
  <c r="CV1135" i="54"/>
  <c r="CV1136" i="54"/>
  <c r="CV1137" i="54"/>
  <c r="CV1138" i="54"/>
  <c r="CV1139" i="54"/>
  <c r="CV1140" i="54"/>
  <c r="CV1141" i="54"/>
  <c r="CV1142" i="54"/>
  <c r="CV1143" i="54"/>
  <c r="CV1144" i="54"/>
  <c r="CV1145" i="54"/>
  <c r="CV1146" i="54"/>
  <c r="CV1147" i="54"/>
  <c r="CV1148" i="54"/>
  <c r="CV1149" i="54"/>
  <c r="CV1150" i="54"/>
  <c r="CV1151" i="54"/>
  <c r="CV1152" i="54"/>
  <c r="CV1153" i="54"/>
  <c r="CV1154" i="54"/>
  <c r="CV1155" i="54"/>
  <c r="CV1156" i="54"/>
  <c r="CV1157" i="54"/>
  <c r="CV1158" i="54"/>
  <c r="CV1159" i="54"/>
  <c r="CV1160" i="54"/>
  <c r="CV1161" i="54"/>
  <c r="CV1162" i="54"/>
  <c r="CV1163" i="54"/>
  <c r="CV1164" i="54"/>
  <c r="CV1165" i="54"/>
  <c r="CV1166" i="54"/>
  <c r="CV1167" i="54"/>
  <c r="CV1168" i="54"/>
  <c r="CV1169" i="54"/>
  <c r="CV1170" i="54"/>
  <c r="CV1171" i="54"/>
  <c r="CV1172" i="54"/>
  <c r="CV1173" i="54"/>
  <c r="CV1174" i="54"/>
  <c r="CV1175" i="54"/>
  <c r="CV1176" i="54"/>
  <c r="CV1177" i="54"/>
  <c r="CV1178" i="54"/>
  <c r="CV1179" i="54"/>
  <c r="CV1180" i="54"/>
  <c r="CV1181" i="54"/>
  <c r="CV1182" i="54"/>
  <c r="CV1183" i="54"/>
  <c r="CV1184" i="54"/>
  <c r="CV1185" i="54"/>
  <c r="CV1186" i="54"/>
  <c r="CV1187" i="54"/>
  <c r="CV1188" i="54"/>
  <c r="CV1189" i="54"/>
  <c r="CV1190" i="54"/>
  <c r="CV1191" i="54"/>
  <c r="CV1192" i="54"/>
  <c r="CV1193" i="54"/>
  <c r="CV1194" i="54"/>
  <c r="CV1195" i="54"/>
  <c r="CV1196" i="54"/>
  <c r="CV1197" i="54"/>
  <c r="CV1198" i="54"/>
  <c r="CV1199" i="54"/>
  <c r="CV1200" i="54"/>
  <c r="CV1201" i="54"/>
  <c r="CV1202" i="54"/>
  <c r="CV1203" i="54"/>
  <c r="CV1204" i="54"/>
  <c r="CV1205" i="54"/>
  <c r="CV1206" i="54"/>
  <c r="CV1207" i="54"/>
  <c r="CV1208" i="54"/>
  <c r="CV1209" i="54"/>
  <c r="CV1210" i="54"/>
  <c r="CV1211" i="54"/>
  <c r="CV1212" i="54"/>
  <c r="CV1213" i="54"/>
  <c r="CV1214" i="54"/>
  <c r="CV1215" i="54"/>
  <c r="CV1216" i="54"/>
  <c r="CV1217" i="54"/>
  <c r="CV1218" i="54"/>
  <c r="CV1219" i="54"/>
  <c r="CV1220" i="54"/>
  <c r="CV1221" i="54"/>
  <c r="CV1222" i="54"/>
  <c r="CV1223" i="54"/>
  <c r="CV1224" i="54"/>
  <c r="CV1225" i="54"/>
  <c r="CV1226" i="54"/>
  <c r="CV1227" i="54"/>
  <c r="CV1228" i="54"/>
  <c r="CV1229" i="54"/>
  <c r="CV1230" i="54"/>
  <c r="CV1231" i="54"/>
  <c r="CV1232" i="54"/>
  <c r="CV1233" i="54"/>
  <c r="CV1234" i="54"/>
  <c r="CV1235" i="54"/>
  <c r="CV1236" i="54"/>
  <c r="CV1237" i="54"/>
  <c r="CV1238" i="54"/>
  <c r="CV1239" i="54"/>
  <c r="CV1240" i="54"/>
  <c r="CV1241" i="54"/>
  <c r="CV1242" i="54"/>
  <c r="CV1243" i="54"/>
  <c r="CV1244" i="54"/>
  <c r="CV1245" i="54"/>
  <c r="CV1246" i="54"/>
  <c r="CV1247" i="54"/>
  <c r="CV1248" i="54"/>
  <c r="CV1249" i="54"/>
  <c r="CV1250" i="54"/>
  <c r="CV1251" i="54"/>
  <c r="CV1252" i="54"/>
  <c r="CV1253" i="54"/>
  <c r="CV1254" i="54"/>
  <c r="CV1255" i="54"/>
  <c r="CV1256" i="54"/>
  <c r="CV1257" i="54"/>
  <c r="CV1258" i="54"/>
  <c r="CV1259" i="54"/>
  <c r="CV1260" i="54"/>
  <c r="CV1261" i="54"/>
  <c r="CV1262" i="54"/>
  <c r="CV1263" i="54"/>
  <c r="CV1264" i="54"/>
  <c r="CV1265" i="54"/>
  <c r="CV1266" i="54"/>
  <c r="CV1267" i="54"/>
  <c r="CV1268" i="54"/>
  <c r="CV1269" i="54"/>
  <c r="CV1270" i="54"/>
  <c r="CV1271" i="54"/>
  <c r="CV1272" i="54"/>
  <c r="CV1273" i="54"/>
  <c r="CV1274" i="54"/>
  <c r="CV1275" i="54"/>
  <c r="CV1276" i="54"/>
  <c r="CV1277" i="54"/>
  <c r="CV1278" i="54"/>
  <c r="CV1279" i="54"/>
  <c r="CV1280" i="54"/>
  <c r="CV1281" i="54"/>
  <c r="CV1282" i="54"/>
  <c r="CV1283" i="54"/>
  <c r="CV1284" i="54"/>
  <c r="CV1285" i="54"/>
  <c r="CV1286" i="54"/>
  <c r="CV1287" i="54"/>
  <c r="CV1288" i="54"/>
  <c r="CV1289" i="54"/>
  <c r="CV1290" i="54"/>
  <c r="CV1291" i="54"/>
  <c r="CV1292" i="54"/>
  <c r="CV1293" i="54"/>
  <c r="CV1294" i="54"/>
  <c r="CV1295" i="54"/>
  <c r="CV1296" i="54"/>
  <c r="CV1297" i="54"/>
  <c r="CV1298" i="54"/>
  <c r="CV1299" i="54"/>
  <c r="CV1300" i="54"/>
  <c r="CV1301" i="54"/>
  <c r="CV1302" i="54"/>
  <c r="CV1303" i="54"/>
  <c r="CV1304" i="54"/>
  <c r="CV1305" i="54"/>
  <c r="CV1306" i="54"/>
  <c r="CV1307" i="54"/>
  <c r="CV1308" i="54"/>
  <c r="CV1309" i="54"/>
  <c r="CV1310" i="54"/>
  <c r="CV1311" i="54"/>
  <c r="CV1312" i="54"/>
  <c r="CV1313" i="54"/>
  <c r="CV1314" i="54"/>
  <c r="CV1315" i="54"/>
  <c r="CV1316" i="54"/>
  <c r="CV1317" i="54"/>
  <c r="CV1318" i="54"/>
  <c r="CV1319" i="54"/>
  <c r="CV1320" i="54"/>
  <c r="CV1321" i="54"/>
  <c r="CV1322" i="54"/>
  <c r="CV1323" i="54"/>
  <c r="CV1324" i="54"/>
  <c r="CV1325" i="54"/>
  <c r="CV1326" i="54"/>
  <c r="CV1327" i="54"/>
  <c r="CV1328" i="54"/>
  <c r="CV1329" i="54"/>
  <c r="CV1330" i="54"/>
  <c r="CV1331" i="54"/>
  <c r="CV1332" i="54"/>
  <c r="CV1333" i="54"/>
  <c r="CV1334" i="54"/>
  <c r="CV1335" i="54"/>
  <c r="CV1336" i="54"/>
  <c r="CV1337" i="54"/>
  <c r="CV1338" i="54"/>
  <c r="CV1339" i="54"/>
  <c r="CV1340" i="54"/>
  <c r="CV1341" i="54"/>
  <c r="CV1342" i="54"/>
  <c r="CV1343" i="54"/>
  <c r="CV1344" i="54"/>
  <c r="CV1345" i="54"/>
  <c r="CV1346" i="54"/>
  <c r="CV1347" i="54"/>
  <c r="CV1348" i="54"/>
  <c r="CV1349" i="54"/>
  <c r="CV1350" i="54"/>
  <c r="CV1351" i="54"/>
  <c r="CV1352" i="54"/>
  <c r="CV1353" i="54"/>
  <c r="CV1354" i="54"/>
  <c r="CV1355" i="54"/>
  <c r="CV1356" i="54"/>
  <c r="CV1357" i="54"/>
  <c r="CV1358" i="54"/>
  <c r="CV1359" i="54"/>
  <c r="CV1360" i="54"/>
  <c r="CV1361" i="54"/>
  <c r="CV1362" i="54"/>
  <c r="CV1363" i="54"/>
  <c r="CV1364" i="54"/>
  <c r="CV1365" i="54"/>
  <c r="CV1366" i="54"/>
  <c r="CV1367" i="54"/>
  <c r="CV1368" i="54"/>
  <c r="CV1369" i="54"/>
  <c r="CV1370" i="54"/>
  <c r="CV1371" i="54"/>
  <c r="CV1372" i="54"/>
  <c r="CV1373" i="54"/>
  <c r="CV1374" i="54"/>
  <c r="CV1375" i="54"/>
  <c r="CV1376" i="54"/>
  <c r="CV1377" i="54"/>
  <c r="CV1378" i="54"/>
  <c r="CV1379" i="54"/>
  <c r="CV1380" i="54"/>
  <c r="CV1381" i="54"/>
  <c r="CV1382" i="54"/>
  <c r="CV1383" i="54"/>
  <c r="CV1384" i="54"/>
  <c r="CV1385" i="54"/>
  <c r="CV1386" i="54"/>
  <c r="CV1387" i="54"/>
  <c r="CV1388" i="54"/>
  <c r="CV1389" i="54"/>
  <c r="CV1390" i="54"/>
  <c r="CV1391" i="54"/>
  <c r="CV1392" i="54"/>
  <c r="CV1393" i="54"/>
  <c r="CV1394" i="54"/>
  <c r="CV1395" i="54"/>
  <c r="CV1396" i="54"/>
  <c r="CV1397" i="54"/>
  <c r="CV1398" i="54"/>
  <c r="CV1399" i="54"/>
  <c r="CV1400" i="54"/>
  <c r="CV1401" i="54"/>
  <c r="CV1402" i="54"/>
  <c r="CV1403" i="54"/>
  <c r="CV1404" i="54"/>
  <c r="CV1405" i="54"/>
  <c r="CV1406" i="54"/>
  <c r="CV1407" i="54"/>
  <c r="CV1408" i="54"/>
  <c r="CV1409" i="54"/>
  <c r="CV1410" i="54"/>
  <c r="CV1411" i="54"/>
  <c r="CV1412" i="54"/>
  <c r="CV1413" i="54"/>
  <c r="CV1414" i="54"/>
  <c r="CV1415" i="54"/>
  <c r="CV1416" i="54"/>
  <c r="CV1417" i="54"/>
  <c r="CV1418" i="54"/>
  <c r="CV1419" i="54"/>
  <c r="CV1420" i="54"/>
  <c r="CV1421" i="54"/>
  <c r="CV1422" i="54"/>
  <c r="CV1423" i="54"/>
  <c r="CV1424" i="54"/>
  <c r="CV1425" i="54"/>
  <c r="CV1426" i="54"/>
  <c r="CV1427" i="54"/>
  <c r="CV1428" i="54"/>
  <c r="CV1429" i="54"/>
  <c r="CV1430" i="54"/>
  <c r="CV1431" i="54"/>
  <c r="CV1432" i="54"/>
  <c r="CV1433" i="54"/>
  <c r="CV1434" i="54"/>
  <c r="CV1435" i="54"/>
  <c r="CV1436" i="54"/>
  <c r="CV1437" i="54"/>
  <c r="CV1438" i="54"/>
  <c r="CV1439" i="54"/>
  <c r="CV1440" i="54"/>
  <c r="CV1441" i="54"/>
  <c r="CV1442" i="54"/>
  <c r="CV1443" i="54"/>
  <c r="CV1444" i="54"/>
  <c r="CV1445" i="54"/>
  <c r="CV1446" i="54"/>
  <c r="CV1447" i="54"/>
  <c r="CV1448" i="54"/>
  <c r="CV1449" i="54"/>
  <c r="CV1450" i="54"/>
  <c r="CV1451" i="54"/>
  <c r="CV1452" i="54"/>
  <c r="CV1453" i="54"/>
  <c r="CV1454" i="54"/>
  <c r="CV1455" i="54"/>
  <c r="CV1456" i="54"/>
  <c r="CV1457" i="54"/>
  <c r="CV1458" i="54"/>
  <c r="CV1459" i="54"/>
  <c r="CV1460" i="54"/>
  <c r="CV1461" i="54"/>
  <c r="CV1462" i="54"/>
  <c r="CV1463" i="54"/>
  <c r="CV1464" i="54"/>
  <c r="CV1465" i="54"/>
  <c r="CV1466" i="54"/>
  <c r="CV1467" i="54"/>
  <c r="CV1468" i="54"/>
  <c r="CV1469" i="54"/>
  <c r="CV1470" i="54"/>
  <c r="CV1471" i="54"/>
  <c r="CV1472" i="54"/>
  <c r="CV1473" i="54"/>
  <c r="CV1474" i="54"/>
  <c r="CV1475" i="54"/>
  <c r="CV1476" i="54"/>
  <c r="CV1477" i="54"/>
  <c r="CV1478" i="54"/>
  <c r="CV1479" i="54"/>
  <c r="CV1480" i="54"/>
  <c r="CV1481" i="54"/>
  <c r="CV1482" i="54"/>
  <c r="CV1483" i="54"/>
  <c r="CV1484" i="54"/>
  <c r="CV1485" i="54"/>
  <c r="CV1486" i="54"/>
  <c r="CV1487" i="54"/>
  <c r="CV1488" i="54"/>
  <c r="CV1489" i="54"/>
  <c r="CV1490" i="54"/>
  <c r="CV1491" i="54"/>
  <c r="CV1492" i="54"/>
  <c r="CV1493" i="54"/>
  <c r="CV1494" i="54"/>
  <c r="CV1495" i="54"/>
  <c r="CV1496" i="54"/>
  <c r="CV1497" i="54"/>
  <c r="CV1498" i="54"/>
  <c r="CV1499" i="54"/>
  <c r="CV1500" i="54"/>
  <c r="CV1501" i="54"/>
  <c r="CV1502" i="54"/>
  <c r="CV1503" i="54"/>
  <c r="CV1504" i="54"/>
  <c r="CV1505" i="54"/>
  <c r="CV1506" i="54"/>
  <c r="CV1507" i="54"/>
  <c r="CV1508" i="54"/>
  <c r="CV1509" i="54"/>
  <c r="CV1510" i="54"/>
  <c r="CV1511" i="54"/>
  <c r="CV1512" i="54"/>
  <c r="CV1513" i="54"/>
  <c r="CV1514" i="54"/>
  <c r="CV1515" i="54"/>
  <c r="CV1516" i="54"/>
  <c r="CV1517" i="54"/>
  <c r="CV1518" i="54"/>
  <c r="CV1519" i="54"/>
  <c r="CV1520" i="54"/>
  <c r="CV1521" i="54"/>
  <c r="CV1522" i="54"/>
  <c r="CV1523" i="54"/>
  <c r="CV1524" i="54"/>
  <c r="CV1525" i="54"/>
  <c r="CV1526" i="54"/>
  <c r="CV1527" i="54"/>
  <c r="CV1528" i="54"/>
  <c r="CV1529" i="54"/>
  <c r="CV1530" i="54"/>
  <c r="CV1531" i="54"/>
  <c r="CV1532" i="54"/>
  <c r="CV1533" i="54"/>
  <c r="CV1534" i="54"/>
  <c r="CV1535" i="54"/>
  <c r="CV1536" i="54"/>
  <c r="CV1537" i="54"/>
  <c r="CV1538" i="54"/>
  <c r="CV1539" i="54"/>
  <c r="CV1540" i="54"/>
  <c r="CV1541" i="54"/>
  <c r="CV1542" i="54"/>
  <c r="CV1543" i="54"/>
  <c r="CV1544" i="54"/>
  <c r="CV1545" i="54"/>
  <c r="CV1546" i="54"/>
  <c r="CV1547" i="54"/>
  <c r="CV1548" i="54"/>
  <c r="CV1549" i="54"/>
  <c r="CV1550" i="54"/>
  <c r="CV1551" i="54"/>
  <c r="CV1552" i="54"/>
  <c r="CV1553" i="54"/>
  <c r="CV1554" i="54"/>
  <c r="CV1555" i="54"/>
  <c r="CV1556" i="54"/>
  <c r="CV1557" i="54"/>
  <c r="CV1558" i="54"/>
  <c r="CV1559" i="54"/>
  <c r="CV1560" i="54"/>
  <c r="CV1561" i="54"/>
  <c r="CV1562" i="54"/>
  <c r="CV1563" i="54"/>
  <c r="CV1564" i="54"/>
  <c r="CV1565" i="54"/>
  <c r="CV1566" i="54"/>
  <c r="CV1567" i="54"/>
  <c r="CV1568" i="54"/>
  <c r="CV1569" i="54"/>
  <c r="CV1570" i="54"/>
  <c r="CV1571" i="54"/>
  <c r="CV1572" i="54"/>
  <c r="CV1573" i="54"/>
  <c r="CV1574" i="54"/>
  <c r="CV1575" i="54"/>
  <c r="CV1576" i="54"/>
  <c r="CV1577" i="54"/>
  <c r="CV1578" i="54"/>
  <c r="CV1579" i="54"/>
  <c r="CV1580" i="54"/>
  <c r="CV1581" i="54"/>
  <c r="CV1582" i="54"/>
  <c r="CV1583" i="54"/>
  <c r="CV1584" i="54"/>
  <c r="CV1585" i="54"/>
  <c r="CV1586" i="54"/>
  <c r="CV1587" i="54"/>
  <c r="CV1588" i="54"/>
  <c r="CV1589" i="54"/>
  <c r="CV1590" i="54"/>
  <c r="CV1591" i="54"/>
  <c r="CV1592" i="54"/>
  <c r="CV1593" i="54"/>
  <c r="CV1594" i="54"/>
  <c r="CV1595" i="54"/>
  <c r="CV1596" i="54"/>
  <c r="CV1597" i="54"/>
  <c r="CV1598" i="54"/>
  <c r="CV1599" i="54"/>
  <c r="CV1600" i="54"/>
  <c r="CV1601" i="54"/>
  <c r="CV1602" i="54"/>
  <c r="CV1603" i="54"/>
  <c r="CV1604" i="54"/>
  <c r="CV1605" i="54"/>
  <c r="CV1606" i="54"/>
  <c r="CV1607" i="54"/>
  <c r="CV1608" i="54"/>
  <c r="CV1609" i="54"/>
  <c r="CV1610" i="54"/>
  <c r="CV1611" i="54"/>
  <c r="CV1612" i="54"/>
  <c r="CV1613" i="54"/>
  <c r="CV1614" i="54"/>
  <c r="CV1615" i="54"/>
  <c r="CV1616" i="54"/>
  <c r="CV1617" i="54"/>
  <c r="CV1618" i="54"/>
  <c r="CV1619" i="54"/>
  <c r="CV1620" i="54"/>
  <c r="CV1621" i="54"/>
  <c r="CV1622" i="54"/>
  <c r="CV1623" i="54"/>
  <c r="CV1624" i="54"/>
  <c r="CV1625" i="54"/>
  <c r="CV1626" i="54"/>
  <c r="CV1627" i="54"/>
  <c r="CV1628" i="54"/>
  <c r="CV1629" i="54"/>
  <c r="CV1630" i="54"/>
  <c r="CV1631" i="54"/>
  <c r="CV1632" i="54"/>
  <c r="CV1633" i="54"/>
  <c r="CV1634" i="54"/>
  <c r="CV1635" i="54"/>
  <c r="CV1636" i="54"/>
  <c r="CV1637" i="54"/>
  <c r="CV1638" i="54"/>
  <c r="CV1639" i="54"/>
  <c r="CV1640" i="54"/>
  <c r="CV1641" i="54"/>
  <c r="CV1642" i="54"/>
  <c r="CV1643" i="54"/>
  <c r="CV1644" i="54"/>
  <c r="CV1645" i="54"/>
  <c r="CV1646" i="54"/>
  <c r="CV1647" i="54"/>
  <c r="CV1648" i="54"/>
  <c r="CV1649" i="54"/>
  <c r="CV1650" i="54"/>
  <c r="CV1651" i="54"/>
  <c r="CV1652" i="54"/>
  <c r="CV1653" i="54"/>
  <c r="CV1654" i="54"/>
  <c r="CV1655" i="54"/>
  <c r="CV1656" i="54"/>
  <c r="CV1657" i="54"/>
  <c r="CV1658" i="54"/>
  <c r="CV1659" i="54"/>
  <c r="CV1660" i="54"/>
  <c r="CV1661" i="54"/>
  <c r="CV1662" i="54"/>
  <c r="CV1663" i="54"/>
  <c r="CV1664" i="54"/>
  <c r="CV1665" i="54"/>
  <c r="CV1666" i="54"/>
  <c r="CV1667" i="54"/>
  <c r="CV1668" i="54"/>
  <c r="CV5" i="54"/>
  <c r="CW6" i="54"/>
  <c r="CW7" i="54"/>
  <c r="CW8" i="54"/>
  <c r="CW9" i="54"/>
  <c r="CW10" i="54"/>
  <c r="CW11" i="54"/>
  <c r="CW12" i="54"/>
  <c r="CW13" i="54"/>
  <c r="CW14" i="54"/>
  <c r="CW15" i="54"/>
  <c r="CW16" i="54"/>
  <c r="CW17" i="54"/>
  <c r="CW18" i="54"/>
  <c r="CW19" i="54"/>
  <c r="CW20" i="54"/>
  <c r="CW21" i="54"/>
  <c r="CW22" i="54"/>
  <c r="CW23" i="54"/>
  <c r="CW24" i="54"/>
  <c r="CW25" i="54"/>
  <c r="CW26" i="54"/>
  <c r="CW27" i="54"/>
  <c r="CW28" i="54"/>
  <c r="CW29" i="54"/>
  <c r="CW30" i="54"/>
  <c r="CW31" i="54"/>
  <c r="CW32" i="54"/>
  <c r="CW33" i="54"/>
  <c r="CW34" i="54"/>
  <c r="CW35" i="54"/>
  <c r="CW36" i="54"/>
  <c r="CW37" i="54"/>
  <c r="CW38" i="54"/>
  <c r="CW39" i="54"/>
  <c r="CW40" i="54"/>
  <c r="CW41" i="54"/>
  <c r="CW42" i="54"/>
  <c r="CW43" i="54"/>
  <c r="CW44" i="54"/>
  <c r="CW45" i="54"/>
  <c r="CW46" i="54"/>
  <c r="CW47" i="54"/>
  <c r="CW48" i="54"/>
  <c r="CW49" i="54"/>
  <c r="CW50" i="54"/>
  <c r="CW51" i="54"/>
  <c r="CW52" i="54"/>
  <c r="CW53" i="54"/>
  <c r="CW54" i="54"/>
  <c r="CW55" i="54"/>
  <c r="CW56" i="54"/>
  <c r="CW57" i="54"/>
  <c r="CW58" i="54"/>
  <c r="CW59" i="54"/>
  <c r="CW60" i="54"/>
  <c r="CW61" i="54"/>
  <c r="CW62" i="54"/>
  <c r="CW63" i="54"/>
  <c r="CW64" i="54"/>
  <c r="CW65" i="54"/>
  <c r="CW66" i="54"/>
  <c r="CW67" i="54"/>
  <c r="CW68" i="54"/>
  <c r="CW69" i="54"/>
  <c r="CW70" i="54"/>
  <c r="CW71" i="54"/>
  <c r="CW72" i="54"/>
  <c r="CW73" i="54"/>
  <c r="CW74" i="54"/>
  <c r="CW75" i="54"/>
  <c r="CW76" i="54"/>
  <c r="CW77" i="54"/>
  <c r="CW78" i="54"/>
  <c r="CW79" i="54"/>
  <c r="CW80" i="54"/>
  <c r="CW81" i="54"/>
  <c r="CW82" i="54"/>
  <c r="CW83" i="54"/>
  <c r="CW84" i="54"/>
  <c r="CW85" i="54"/>
  <c r="CW86" i="54"/>
  <c r="CW87" i="54"/>
  <c r="CW88" i="54"/>
  <c r="CW89" i="54"/>
  <c r="CW90" i="54"/>
  <c r="CW91" i="54"/>
  <c r="CW92" i="54"/>
  <c r="CW93" i="54"/>
  <c r="CW94" i="54"/>
  <c r="CW95" i="54"/>
  <c r="CW96" i="54"/>
  <c r="CW97" i="54"/>
  <c r="CW98" i="54"/>
  <c r="CW99" i="54"/>
  <c r="CW100" i="54"/>
  <c r="CW101" i="54"/>
  <c r="CW102" i="54"/>
  <c r="CW103" i="54"/>
  <c r="CW104" i="54"/>
  <c r="CW105" i="54"/>
  <c r="CW106" i="54"/>
  <c r="CW107" i="54"/>
  <c r="CW108" i="54"/>
  <c r="CW109" i="54"/>
  <c r="CW110" i="54"/>
  <c r="CW111" i="54"/>
  <c r="CW112" i="54"/>
  <c r="CW113" i="54"/>
  <c r="CW114" i="54"/>
  <c r="CW115" i="54"/>
  <c r="CW116" i="54"/>
  <c r="CW117" i="54"/>
  <c r="CW118" i="54"/>
  <c r="CW119" i="54"/>
  <c r="CW120" i="54"/>
  <c r="CW121" i="54"/>
  <c r="CW122" i="54"/>
  <c r="CW123" i="54"/>
  <c r="CW124" i="54"/>
  <c r="CW125" i="54"/>
  <c r="CW126" i="54"/>
  <c r="CW127" i="54"/>
  <c r="CW128" i="54"/>
  <c r="CW129" i="54"/>
  <c r="CW130" i="54"/>
  <c r="CW131" i="54"/>
  <c r="CW132" i="54"/>
  <c r="CW133" i="54"/>
  <c r="CW134" i="54"/>
  <c r="CW135" i="54"/>
  <c r="CW136" i="54"/>
  <c r="CW137" i="54"/>
  <c r="CW138" i="54"/>
  <c r="CW139" i="54"/>
  <c r="CW140" i="54"/>
  <c r="CW141" i="54"/>
  <c r="CW142" i="54"/>
  <c r="CW143" i="54"/>
  <c r="CW144" i="54"/>
  <c r="CW145" i="54"/>
  <c r="CW146" i="54"/>
  <c r="CW147" i="54"/>
  <c r="CW148" i="54"/>
  <c r="CW149" i="54"/>
  <c r="CW150" i="54"/>
  <c r="CW151" i="54"/>
  <c r="CW152" i="54"/>
  <c r="CW153" i="54"/>
  <c r="CW154" i="54"/>
  <c r="CW155" i="54"/>
  <c r="CW156" i="54"/>
  <c r="CW157" i="54"/>
  <c r="CW158" i="54"/>
  <c r="CW159" i="54"/>
  <c r="CW160" i="54"/>
  <c r="CW161" i="54"/>
  <c r="CW162" i="54"/>
  <c r="CW163" i="54"/>
  <c r="CW164" i="54"/>
  <c r="CW165" i="54"/>
  <c r="CW166" i="54"/>
  <c r="CW167" i="54"/>
  <c r="CW168" i="54"/>
  <c r="CW169" i="54"/>
  <c r="CW170" i="54"/>
  <c r="CW171" i="54"/>
  <c r="CW172" i="54"/>
  <c r="CW173" i="54"/>
  <c r="CW174" i="54"/>
  <c r="CW175" i="54"/>
  <c r="CW176" i="54"/>
  <c r="CW177" i="54"/>
  <c r="CW178" i="54"/>
  <c r="CW179" i="54"/>
  <c r="CW180" i="54"/>
  <c r="CW181" i="54"/>
  <c r="CW182" i="54"/>
  <c r="CW183" i="54"/>
  <c r="CW184" i="54"/>
  <c r="CW185" i="54"/>
  <c r="CW186" i="54"/>
  <c r="CW187" i="54"/>
  <c r="CW188" i="54"/>
  <c r="CW189" i="54"/>
  <c r="CW190" i="54"/>
  <c r="CW191" i="54"/>
  <c r="CW192" i="54"/>
  <c r="CW193" i="54"/>
  <c r="CW194" i="54"/>
  <c r="CW195" i="54"/>
  <c r="CW196" i="54"/>
  <c r="CW197" i="54"/>
  <c r="CW198" i="54"/>
  <c r="CW199" i="54"/>
  <c r="CW200" i="54"/>
  <c r="CW201" i="54"/>
  <c r="CW202" i="54"/>
  <c r="CW203" i="54"/>
  <c r="CW204" i="54"/>
  <c r="CW205" i="54"/>
  <c r="CW206" i="54"/>
  <c r="CW207" i="54"/>
  <c r="CW208" i="54"/>
  <c r="CW209" i="54"/>
  <c r="CW210" i="54"/>
  <c r="CW211" i="54"/>
  <c r="CW212" i="54"/>
  <c r="CW213" i="54"/>
  <c r="CW214" i="54"/>
  <c r="CW215" i="54"/>
  <c r="CW216" i="54"/>
  <c r="CW217" i="54"/>
  <c r="CW218" i="54"/>
  <c r="CW219" i="54"/>
  <c r="CW220" i="54"/>
  <c r="CW221" i="54"/>
  <c r="CW222" i="54"/>
  <c r="CW223" i="54"/>
  <c r="CW224" i="54"/>
  <c r="CW225" i="54"/>
  <c r="CW226" i="54"/>
  <c r="CW227" i="54"/>
  <c r="CW228" i="54"/>
  <c r="CW229" i="54"/>
  <c r="CW230" i="54"/>
  <c r="CW231" i="54"/>
  <c r="CW232" i="54"/>
  <c r="CW233" i="54"/>
  <c r="CW234" i="54"/>
  <c r="CW235" i="54"/>
  <c r="CW236" i="54"/>
  <c r="CW237" i="54"/>
  <c r="CW238" i="54"/>
  <c r="CW239" i="54"/>
  <c r="CW240" i="54"/>
  <c r="CW241" i="54"/>
  <c r="CW242" i="54"/>
  <c r="CW243" i="54"/>
  <c r="CW244" i="54"/>
  <c r="CW245" i="54"/>
  <c r="CW246" i="54"/>
  <c r="CW247" i="54"/>
  <c r="CW248" i="54"/>
  <c r="CW249" i="54"/>
  <c r="CW250" i="54"/>
  <c r="CW251" i="54"/>
  <c r="CW252" i="54"/>
  <c r="CW253" i="54"/>
  <c r="CW254" i="54"/>
  <c r="CW255" i="54"/>
  <c r="CW256" i="54"/>
  <c r="CW257" i="54"/>
  <c r="CW258" i="54"/>
  <c r="CW259" i="54"/>
  <c r="CW260" i="54"/>
  <c r="CW261" i="54"/>
  <c r="CW262" i="54"/>
  <c r="CW263" i="54"/>
  <c r="CW264" i="54"/>
  <c r="CW265" i="54"/>
  <c r="CW266" i="54"/>
  <c r="CW267" i="54"/>
  <c r="CW268" i="54"/>
  <c r="CW269" i="54"/>
  <c r="CW270" i="54"/>
  <c r="CW271" i="54"/>
  <c r="CW272" i="54"/>
  <c r="CW273" i="54"/>
  <c r="CW274" i="54"/>
  <c r="CW275" i="54"/>
  <c r="CW276" i="54"/>
  <c r="CW277" i="54"/>
  <c r="CW278" i="54"/>
  <c r="CW279" i="54"/>
  <c r="CW280" i="54"/>
  <c r="CW281" i="54"/>
  <c r="CW282" i="54"/>
  <c r="CW283" i="54"/>
  <c r="CW284" i="54"/>
  <c r="CW285" i="54"/>
  <c r="CW286" i="54"/>
  <c r="CW287" i="54"/>
  <c r="CW288" i="54"/>
  <c r="CW289" i="54"/>
  <c r="CW290" i="54"/>
  <c r="CW291" i="54"/>
  <c r="CW292" i="54"/>
  <c r="CW293" i="54"/>
  <c r="CW294" i="54"/>
  <c r="CW295" i="54"/>
  <c r="CW296" i="54"/>
  <c r="CW297" i="54"/>
  <c r="CW298" i="54"/>
  <c r="CW299" i="54"/>
  <c r="CW300" i="54"/>
  <c r="CW301" i="54"/>
  <c r="CW302" i="54"/>
  <c r="CW303" i="54"/>
  <c r="CW304" i="54"/>
  <c r="CW305" i="54"/>
  <c r="CW306" i="54"/>
  <c r="CW307" i="54"/>
  <c r="CW308" i="54"/>
  <c r="CW309" i="54"/>
  <c r="CW310" i="54"/>
  <c r="CW311" i="54"/>
  <c r="CW312" i="54"/>
  <c r="CW313" i="54"/>
  <c r="CW314" i="54"/>
  <c r="CW315" i="54"/>
  <c r="CW316" i="54"/>
  <c r="CW317" i="54"/>
  <c r="CW318" i="54"/>
  <c r="CW319" i="54"/>
  <c r="CW320" i="54"/>
  <c r="CW321" i="54"/>
  <c r="CW322" i="54"/>
  <c r="CW323" i="54"/>
  <c r="CW324" i="54"/>
  <c r="CW325" i="54"/>
  <c r="CW326" i="54"/>
  <c r="CW327" i="54"/>
  <c r="CW328" i="54"/>
  <c r="CW329" i="54"/>
  <c r="CW330" i="54"/>
  <c r="CW331" i="54"/>
  <c r="CW332" i="54"/>
  <c r="CW333" i="54"/>
  <c r="CW334" i="54"/>
  <c r="CW335" i="54"/>
  <c r="CW336" i="54"/>
  <c r="CW337" i="54"/>
  <c r="CW338" i="54"/>
  <c r="CW339" i="54"/>
  <c r="CW340" i="54"/>
  <c r="CW341" i="54"/>
  <c r="CW342" i="54"/>
  <c r="CW343" i="54"/>
  <c r="CW344" i="54"/>
  <c r="CW345" i="54"/>
  <c r="CW346" i="54"/>
  <c r="CW347" i="54"/>
  <c r="CW348" i="54"/>
  <c r="CW349" i="54"/>
  <c r="CW350" i="54"/>
  <c r="CW351" i="54"/>
  <c r="CW352" i="54"/>
  <c r="CW353" i="54"/>
  <c r="CW354" i="54"/>
  <c r="CW355" i="54"/>
  <c r="CW356" i="54"/>
  <c r="CW357" i="54"/>
  <c r="CW358" i="54"/>
  <c r="CW359" i="54"/>
  <c r="CW360" i="54"/>
  <c r="CW361" i="54"/>
  <c r="CW362" i="54"/>
  <c r="CW363" i="54"/>
  <c r="CW364" i="54"/>
  <c r="CW365" i="54"/>
  <c r="CW366" i="54"/>
  <c r="CW367" i="54"/>
  <c r="CW368" i="54"/>
  <c r="CW369" i="54"/>
  <c r="CW370" i="54"/>
  <c r="CW371" i="54"/>
  <c r="CW372" i="54"/>
  <c r="CW373" i="54"/>
  <c r="CW374" i="54"/>
  <c r="CW375" i="54"/>
  <c r="CW376" i="54"/>
  <c r="CW377" i="54"/>
  <c r="CW378" i="54"/>
  <c r="CW379" i="54"/>
  <c r="CW380" i="54"/>
  <c r="CW381" i="54"/>
  <c r="CW382" i="54"/>
  <c r="CW383" i="54"/>
  <c r="CW384" i="54"/>
  <c r="CW385" i="54"/>
  <c r="CW386" i="54"/>
  <c r="CW387" i="54"/>
  <c r="CW388" i="54"/>
  <c r="CW389" i="54"/>
  <c r="CW390" i="54"/>
  <c r="CW391" i="54"/>
  <c r="CW392" i="54"/>
  <c r="CW393" i="54"/>
  <c r="CW394" i="54"/>
  <c r="CW395" i="54"/>
  <c r="CW396" i="54"/>
  <c r="CW397" i="54"/>
  <c r="CW398" i="54"/>
  <c r="CW399" i="54"/>
  <c r="CW400" i="54"/>
  <c r="CW401" i="54"/>
  <c r="CW402" i="54"/>
  <c r="CW403" i="54"/>
  <c r="CW404" i="54"/>
  <c r="CW405" i="54"/>
  <c r="CW406" i="54"/>
  <c r="CW407" i="54"/>
  <c r="CW408" i="54"/>
  <c r="CW409" i="54"/>
  <c r="CW410" i="54"/>
  <c r="CW411" i="54"/>
  <c r="CW412" i="54"/>
  <c r="CW413" i="54"/>
  <c r="CW414" i="54"/>
  <c r="CW415" i="54"/>
  <c r="CW416" i="54"/>
  <c r="CW417" i="54"/>
  <c r="CW418" i="54"/>
  <c r="CW419" i="54"/>
  <c r="CW420" i="54"/>
  <c r="CW421" i="54"/>
  <c r="CW422" i="54"/>
  <c r="CW423" i="54"/>
  <c r="CW424" i="54"/>
  <c r="CW425" i="54"/>
  <c r="CW426" i="54"/>
  <c r="CW427" i="54"/>
  <c r="CW428" i="54"/>
  <c r="CW429" i="54"/>
  <c r="CW430" i="54"/>
  <c r="CW431" i="54"/>
  <c r="CW432" i="54"/>
  <c r="CW433" i="54"/>
  <c r="CW434" i="54"/>
  <c r="CW435" i="54"/>
  <c r="CW436" i="54"/>
  <c r="CW437" i="54"/>
  <c r="CW438" i="54"/>
  <c r="CW439" i="54"/>
  <c r="CW440" i="54"/>
  <c r="CW441" i="54"/>
  <c r="CW442" i="54"/>
  <c r="CW443" i="54"/>
  <c r="CW444" i="54"/>
  <c r="CW445" i="54"/>
  <c r="CW446" i="54"/>
  <c r="CW447" i="54"/>
  <c r="CW448" i="54"/>
  <c r="CW449" i="54"/>
  <c r="CW450" i="54"/>
  <c r="CW451" i="54"/>
  <c r="CW452" i="54"/>
  <c r="CW453" i="54"/>
  <c r="CW454" i="54"/>
  <c r="CW455" i="54"/>
  <c r="CW456" i="54"/>
  <c r="CW457" i="54"/>
  <c r="CW458" i="54"/>
  <c r="CW459" i="54"/>
  <c r="CW460" i="54"/>
  <c r="CW461" i="54"/>
  <c r="CW462" i="54"/>
  <c r="CW463" i="54"/>
  <c r="CW464" i="54"/>
  <c r="CW465" i="54"/>
  <c r="CW466" i="54"/>
  <c r="CW467" i="54"/>
  <c r="CW468" i="54"/>
  <c r="CW469" i="54"/>
  <c r="CW470" i="54"/>
  <c r="CW471" i="54"/>
  <c r="CW472" i="54"/>
  <c r="CW473" i="54"/>
  <c r="CW474" i="54"/>
  <c r="CW475" i="54"/>
  <c r="CW476" i="54"/>
  <c r="CW477" i="54"/>
  <c r="CW478" i="54"/>
  <c r="CW479" i="54"/>
  <c r="CW480" i="54"/>
  <c r="CW481" i="54"/>
  <c r="CW482" i="54"/>
  <c r="CW483" i="54"/>
  <c r="CW484" i="54"/>
  <c r="CW485" i="54"/>
  <c r="CW486" i="54"/>
  <c r="CW487" i="54"/>
  <c r="CW488" i="54"/>
  <c r="CW489" i="54"/>
  <c r="CW490" i="54"/>
  <c r="CW491" i="54"/>
  <c r="CW492" i="54"/>
  <c r="CW493" i="54"/>
  <c r="CW494" i="54"/>
  <c r="CW495" i="54"/>
  <c r="CW496" i="54"/>
  <c r="CW497" i="54"/>
  <c r="CW498" i="54"/>
  <c r="CW499" i="54"/>
  <c r="CW500" i="54"/>
  <c r="CW501" i="54"/>
  <c r="CW502" i="54"/>
  <c r="CW503" i="54"/>
  <c r="CW504" i="54"/>
  <c r="CW505" i="54"/>
  <c r="CW506" i="54"/>
  <c r="CW507" i="54"/>
  <c r="CW508" i="54"/>
  <c r="CW509" i="54"/>
  <c r="CW510" i="54"/>
  <c r="CW511" i="54"/>
  <c r="CW512" i="54"/>
  <c r="CW513" i="54"/>
  <c r="CW514" i="54"/>
  <c r="CW515" i="54"/>
  <c r="CW516" i="54"/>
  <c r="CW517" i="54"/>
  <c r="CW518" i="54"/>
  <c r="CW519" i="54"/>
  <c r="CW520" i="54"/>
  <c r="CW521" i="54"/>
  <c r="CW522" i="54"/>
  <c r="CW523" i="54"/>
  <c r="CW524" i="54"/>
  <c r="CW525" i="54"/>
  <c r="CW526" i="54"/>
  <c r="CW527" i="54"/>
  <c r="CW528" i="54"/>
  <c r="CW529" i="54"/>
  <c r="CW530" i="54"/>
  <c r="CW531" i="54"/>
  <c r="CW532" i="54"/>
  <c r="CW533" i="54"/>
  <c r="CW534" i="54"/>
  <c r="CW535" i="54"/>
  <c r="CW536" i="54"/>
  <c r="CW537" i="54"/>
  <c r="CW538" i="54"/>
  <c r="CW539" i="54"/>
  <c r="CW540" i="54"/>
  <c r="CW541" i="54"/>
  <c r="CW542" i="54"/>
  <c r="CW543" i="54"/>
  <c r="CW544" i="54"/>
  <c r="CW545" i="54"/>
  <c r="CW546" i="54"/>
  <c r="CW547" i="54"/>
  <c r="CW548" i="54"/>
  <c r="CW549" i="54"/>
  <c r="CW550" i="54"/>
  <c r="CW551" i="54"/>
  <c r="CW552" i="54"/>
  <c r="CW553" i="54"/>
  <c r="CW554" i="54"/>
  <c r="CW555" i="54"/>
  <c r="CW556" i="54"/>
  <c r="CW557" i="54"/>
  <c r="CW558" i="54"/>
  <c r="CW559" i="54"/>
  <c r="CW560" i="54"/>
  <c r="CW561" i="54"/>
  <c r="CW562" i="54"/>
  <c r="CW563" i="54"/>
  <c r="CW564" i="54"/>
  <c r="CW565" i="54"/>
  <c r="CW566" i="54"/>
  <c r="CW567" i="54"/>
  <c r="CW568" i="54"/>
  <c r="CW569" i="54"/>
  <c r="CW570" i="54"/>
  <c r="CW571" i="54"/>
  <c r="CW572" i="54"/>
  <c r="CW573" i="54"/>
  <c r="CW574" i="54"/>
  <c r="CW575" i="54"/>
  <c r="CW576" i="54"/>
  <c r="CW577" i="54"/>
  <c r="CW578" i="54"/>
  <c r="CW579" i="54"/>
  <c r="CW580" i="54"/>
  <c r="CW581" i="54"/>
  <c r="CW582" i="54"/>
  <c r="CW583" i="54"/>
  <c r="CW584" i="54"/>
  <c r="CW585" i="54"/>
  <c r="CW586" i="54"/>
  <c r="CW587" i="54"/>
  <c r="CW588" i="54"/>
  <c r="CW589" i="54"/>
  <c r="CW590" i="54"/>
  <c r="CW591" i="54"/>
  <c r="CW592" i="54"/>
  <c r="CW593" i="54"/>
  <c r="CW594" i="54"/>
  <c r="CW595" i="54"/>
  <c r="CW596" i="54"/>
  <c r="CW597" i="54"/>
  <c r="CW598" i="54"/>
  <c r="CW599" i="54"/>
  <c r="CW600" i="54"/>
  <c r="CW601" i="54"/>
  <c r="CW602" i="54"/>
  <c r="CW603" i="54"/>
  <c r="CW604" i="54"/>
  <c r="CW605" i="54"/>
  <c r="CW606" i="54"/>
  <c r="CW607" i="54"/>
  <c r="CW608" i="54"/>
  <c r="CW609" i="54"/>
  <c r="CW610" i="54"/>
  <c r="CW611" i="54"/>
  <c r="CW612" i="54"/>
  <c r="CW613" i="54"/>
  <c r="CW614" i="54"/>
  <c r="CW615" i="54"/>
  <c r="CW616" i="54"/>
  <c r="CW617" i="54"/>
  <c r="CW618" i="54"/>
  <c r="CW619" i="54"/>
  <c r="CW620" i="54"/>
  <c r="CW621" i="54"/>
  <c r="CW622" i="54"/>
  <c r="CW623" i="54"/>
  <c r="CW624" i="54"/>
  <c r="CW625" i="54"/>
  <c r="CW626" i="54"/>
  <c r="CW627" i="54"/>
  <c r="CW628" i="54"/>
  <c r="CW629" i="54"/>
  <c r="CW630" i="54"/>
  <c r="CW631" i="54"/>
  <c r="CW632" i="54"/>
  <c r="CW633" i="54"/>
  <c r="CW634" i="54"/>
  <c r="CW635" i="54"/>
  <c r="CW636" i="54"/>
  <c r="CW637" i="54"/>
  <c r="CW638" i="54"/>
  <c r="CW639" i="54"/>
  <c r="CW640" i="54"/>
  <c r="CW641" i="54"/>
  <c r="CW642" i="54"/>
  <c r="CW643" i="54"/>
  <c r="CW644" i="54"/>
  <c r="CW645" i="54"/>
  <c r="CW646" i="54"/>
  <c r="CW647" i="54"/>
  <c r="CW648" i="54"/>
  <c r="CW649" i="54"/>
  <c r="CW650" i="54"/>
  <c r="CW651" i="54"/>
  <c r="CW652" i="54"/>
  <c r="CW653" i="54"/>
  <c r="CW654" i="54"/>
  <c r="CW655" i="54"/>
  <c r="CW656" i="54"/>
  <c r="CW657" i="54"/>
  <c r="CW658" i="54"/>
  <c r="CW659" i="54"/>
  <c r="CW660" i="54"/>
  <c r="CW661" i="54"/>
  <c r="CW662" i="54"/>
  <c r="CW663" i="54"/>
  <c r="CW664" i="54"/>
  <c r="CW665" i="54"/>
  <c r="CW666" i="54"/>
  <c r="CW667" i="54"/>
  <c r="CW668" i="54"/>
  <c r="CW669" i="54"/>
  <c r="CW670" i="54"/>
  <c r="CW671" i="54"/>
  <c r="CW672" i="54"/>
  <c r="CW673" i="54"/>
  <c r="CW674" i="54"/>
  <c r="CW675" i="54"/>
  <c r="CW676" i="54"/>
  <c r="CW677" i="54"/>
  <c r="CW678" i="54"/>
  <c r="CW679" i="54"/>
  <c r="CW680" i="54"/>
  <c r="CW681" i="54"/>
  <c r="CW682" i="54"/>
  <c r="CW683" i="54"/>
  <c r="CW684" i="54"/>
  <c r="CW685" i="54"/>
  <c r="CW686" i="54"/>
  <c r="CW687" i="54"/>
  <c r="CW688" i="54"/>
  <c r="CW689" i="54"/>
  <c r="CW690" i="54"/>
  <c r="CW691" i="54"/>
  <c r="CW692" i="54"/>
  <c r="CW693" i="54"/>
  <c r="CW694" i="54"/>
  <c r="CW695" i="54"/>
  <c r="CW696" i="54"/>
  <c r="CW697" i="54"/>
  <c r="CW698" i="54"/>
  <c r="CW699" i="54"/>
  <c r="CW700" i="54"/>
  <c r="CW701" i="54"/>
  <c r="CW702" i="54"/>
  <c r="CW703" i="54"/>
  <c r="CW704" i="54"/>
  <c r="CW705" i="54"/>
  <c r="CW706" i="54"/>
  <c r="CW707" i="54"/>
  <c r="CW708" i="54"/>
  <c r="CW709" i="54"/>
  <c r="CW710" i="54"/>
  <c r="CW711" i="54"/>
  <c r="CW712" i="54"/>
  <c r="CW713" i="54"/>
  <c r="CW714" i="54"/>
  <c r="CW715" i="54"/>
  <c r="CW716" i="54"/>
  <c r="CW717" i="54"/>
  <c r="CW718" i="54"/>
  <c r="CW719" i="54"/>
  <c r="CW720" i="54"/>
  <c r="CW721" i="54"/>
  <c r="CW722" i="54"/>
  <c r="CW723" i="54"/>
  <c r="CW724" i="54"/>
  <c r="CW725" i="54"/>
  <c r="CW726" i="54"/>
  <c r="CW727" i="54"/>
  <c r="CW728" i="54"/>
  <c r="CW729" i="54"/>
  <c r="CW730" i="54"/>
  <c r="CW731" i="54"/>
  <c r="CW732" i="54"/>
  <c r="CW733" i="54"/>
  <c r="CW734" i="54"/>
  <c r="CW735" i="54"/>
  <c r="CW736" i="54"/>
  <c r="CW737" i="54"/>
  <c r="CW738" i="54"/>
  <c r="CW739" i="54"/>
  <c r="CW740" i="54"/>
  <c r="CW741" i="54"/>
  <c r="CW742" i="54"/>
  <c r="CW743" i="54"/>
  <c r="CW744" i="54"/>
  <c r="CW745" i="54"/>
  <c r="CW746" i="54"/>
  <c r="CW747" i="54"/>
  <c r="CW748" i="54"/>
  <c r="CW749" i="54"/>
  <c r="CW750" i="54"/>
  <c r="CW751" i="54"/>
  <c r="CW752" i="54"/>
  <c r="CW753" i="54"/>
  <c r="CW754" i="54"/>
  <c r="CW755" i="54"/>
  <c r="CW756" i="54"/>
  <c r="CW757" i="54"/>
  <c r="CW758" i="54"/>
  <c r="CW759" i="54"/>
  <c r="CW760" i="54"/>
  <c r="CW761" i="54"/>
  <c r="CW762" i="54"/>
  <c r="CW763" i="54"/>
  <c r="CW764" i="54"/>
  <c r="CW765" i="54"/>
  <c r="CW766" i="54"/>
  <c r="CW767" i="54"/>
  <c r="CW768" i="54"/>
  <c r="CW769" i="54"/>
  <c r="CW770" i="54"/>
  <c r="CW771" i="54"/>
  <c r="CW772" i="54"/>
  <c r="CW773" i="54"/>
  <c r="CW774" i="54"/>
  <c r="CW775" i="54"/>
  <c r="CW776" i="54"/>
  <c r="CW777" i="54"/>
  <c r="CW778" i="54"/>
  <c r="CW779" i="54"/>
  <c r="CW780" i="54"/>
  <c r="CW781" i="54"/>
  <c r="CW782" i="54"/>
  <c r="CW783" i="54"/>
  <c r="CW784" i="54"/>
  <c r="CW785" i="54"/>
  <c r="CW786" i="54"/>
  <c r="CW787" i="54"/>
  <c r="CW788" i="54"/>
  <c r="CW789" i="54"/>
  <c r="CW790" i="54"/>
  <c r="CW791" i="54"/>
  <c r="CW792" i="54"/>
  <c r="CW793" i="54"/>
  <c r="CW794" i="54"/>
  <c r="CW795" i="54"/>
  <c r="CW796" i="54"/>
  <c r="CW797" i="54"/>
  <c r="CW798" i="54"/>
  <c r="CW799" i="54"/>
  <c r="CW800" i="54"/>
  <c r="CW801" i="54"/>
  <c r="CW802" i="54"/>
  <c r="CW803" i="54"/>
  <c r="CW804" i="54"/>
  <c r="CW805" i="54"/>
  <c r="CW806" i="54"/>
  <c r="CW807" i="54"/>
  <c r="CW808" i="54"/>
  <c r="CW809" i="54"/>
  <c r="CW810" i="54"/>
  <c r="CW811" i="54"/>
  <c r="CW812" i="54"/>
  <c r="CW813" i="54"/>
  <c r="CW814" i="54"/>
  <c r="CW815" i="54"/>
  <c r="CW816" i="54"/>
  <c r="CW817" i="54"/>
  <c r="CW818" i="54"/>
  <c r="CW819" i="54"/>
  <c r="CW820" i="54"/>
  <c r="CW821" i="54"/>
  <c r="CW822" i="54"/>
  <c r="CW823" i="54"/>
  <c r="CW824" i="54"/>
  <c r="CW825" i="54"/>
  <c r="CW826" i="54"/>
  <c r="CW827" i="54"/>
  <c r="CW828" i="54"/>
  <c r="CW829" i="54"/>
  <c r="CW830" i="54"/>
  <c r="CW831" i="54"/>
  <c r="CW832" i="54"/>
  <c r="CW833" i="54"/>
  <c r="CW834" i="54"/>
  <c r="CW835" i="54"/>
  <c r="CW836" i="54"/>
  <c r="CW837" i="54"/>
  <c r="CW838" i="54"/>
  <c r="CW839" i="54"/>
  <c r="CW840" i="54"/>
  <c r="CW841" i="54"/>
  <c r="CW842" i="54"/>
  <c r="CW843" i="54"/>
  <c r="CW844" i="54"/>
  <c r="CW845" i="54"/>
  <c r="CW846" i="54"/>
  <c r="CW847" i="54"/>
  <c r="CW848" i="54"/>
  <c r="CW849" i="54"/>
  <c r="CW850" i="54"/>
  <c r="CW851" i="54"/>
  <c r="CW852" i="54"/>
  <c r="CW853" i="54"/>
  <c r="CW854" i="54"/>
  <c r="CW855" i="54"/>
  <c r="CW856" i="54"/>
  <c r="CW857" i="54"/>
  <c r="CW858" i="54"/>
  <c r="CW859" i="54"/>
  <c r="CW860" i="54"/>
  <c r="CW861" i="54"/>
  <c r="CW862" i="54"/>
  <c r="CW863" i="54"/>
  <c r="CW864" i="54"/>
  <c r="CW865" i="54"/>
  <c r="CW866" i="54"/>
  <c r="CW867" i="54"/>
  <c r="CW868" i="54"/>
  <c r="CW869" i="54"/>
  <c r="CW870" i="54"/>
  <c r="CW871" i="54"/>
  <c r="CW872" i="54"/>
  <c r="CW873" i="54"/>
  <c r="CW874" i="54"/>
  <c r="CW875" i="54"/>
  <c r="CW876" i="54"/>
  <c r="CW877" i="54"/>
  <c r="CW878" i="54"/>
  <c r="CW879" i="54"/>
  <c r="CW880" i="54"/>
  <c r="CW881" i="54"/>
  <c r="CW882" i="54"/>
  <c r="CW883" i="54"/>
  <c r="CW884" i="54"/>
  <c r="CW885" i="54"/>
  <c r="CW886" i="54"/>
  <c r="CW887" i="54"/>
  <c r="CW888" i="54"/>
  <c r="CW889" i="54"/>
  <c r="CW890" i="54"/>
  <c r="CW891" i="54"/>
  <c r="CW892" i="54"/>
  <c r="CW893" i="54"/>
  <c r="CW894" i="54"/>
  <c r="CW895" i="54"/>
  <c r="CW896" i="54"/>
  <c r="CW897" i="54"/>
  <c r="CW898" i="54"/>
  <c r="CW899" i="54"/>
  <c r="CW900" i="54"/>
  <c r="CW901" i="54"/>
  <c r="CW902" i="54"/>
  <c r="CW903" i="54"/>
  <c r="CW904" i="54"/>
  <c r="CW905" i="54"/>
  <c r="CW906" i="54"/>
  <c r="CW907" i="54"/>
  <c r="CW908" i="54"/>
  <c r="CW909" i="54"/>
  <c r="CW910" i="54"/>
  <c r="CW911" i="54"/>
  <c r="CW912" i="54"/>
  <c r="CW913" i="54"/>
  <c r="CW914" i="54"/>
  <c r="CW915" i="54"/>
  <c r="CW916" i="54"/>
  <c r="CW917" i="54"/>
  <c r="CW918" i="54"/>
  <c r="CW919" i="54"/>
  <c r="CW920" i="54"/>
  <c r="CW921" i="54"/>
  <c r="CW922" i="54"/>
  <c r="CW923" i="54"/>
  <c r="CW924" i="54"/>
  <c r="CW925" i="54"/>
  <c r="CW926" i="54"/>
  <c r="CW927" i="54"/>
  <c r="CW928" i="54"/>
  <c r="CW929" i="54"/>
  <c r="CW930" i="54"/>
  <c r="CW931" i="54"/>
  <c r="CW932" i="54"/>
  <c r="CW933" i="54"/>
  <c r="CW934" i="54"/>
  <c r="CW935" i="54"/>
  <c r="CW936" i="54"/>
  <c r="CW937" i="54"/>
  <c r="CW938" i="54"/>
  <c r="CW939" i="54"/>
  <c r="CW940" i="54"/>
  <c r="CW941" i="54"/>
  <c r="CW942" i="54"/>
  <c r="CW943" i="54"/>
  <c r="CW944" i="54"/>
  <c r="CW945" i="54"/>
  <c r="CW946" i="54"/>
  <c r="CW947" i="54"/>
  <c r="CW948" i="54"/>
  <c r="CW949" i="54"/>
  <c r="CW950" i="54"/>
  <c r="CW951" i="54"/>
  <c r="CW952" i="54"/>
  <c r="CW953" i="54"/>
  <c r="CW954" i="54"/>
  <c r="CW955" i="54"/>
  <c r="CW956" i="54"/>
  <c r="CW957" i="54"/>
  <c r="CW958" i="54"/>
  <c r="CW959" i="54"/>
  <c r="CW960" i="54"/>
  <c r="CW961" i="54"/>
  <c r="CW962" i="54"/>
  <c r="CW963" i="54"/>
  <c r="CW964" i="54"/>
  <c r="CW965" i="54"/>
  <c r="CW966" i="54"/>
  <c r="CW967" i="54"/>
  <c r="CW968" i="54"/>
  <c r="CW969" i="54"/>
  <c r="CW970" i="54"/>
  <c r="CW971" i="54"/>
  <c r="CW972" i="54"/>
  <c r="CW973" i="54"/>
  <c r="CW974" i="54"/>
  <c r="CW975" i="54"/>
  <c r="CW976" i="54"/>
  <c r="CW977" i="54"/>
  <c r="CW978" i="54"/>
  <c r="CW979" i="54"/>
  <c r="CW980" i="54"/>
  <c r="CW981" i="54"/>
  <c r="CW982" i="54"/>
  <c r="CW983" i="54"/>
  <c r="CW984" i="54"/>
  <c r="CW985" i="54"/>
  <c r="CW986" i="54"/>
  <c r="CW987" i="54"/>
  <c r="CW988" i="54"/>
  <c r="CW989" i="54"/>
  <c r="CW990" i="54"/>
  <c r="CW991" i="54"/>
  <c r="CW992" i="54"/>
  <c r="CW993" i="54"/>
  <c r="CW994" i="54"/>
  <c r="CW995" i="54"/>
  <c r="CW996" i="54"/>
  <c r="CW997" i="54"/>
  <c r="CW998" i="54"/>
  <c r="CW999" i="54"/>
  <c r="CW1000" i="54"/>
  <c r="CW1001" i="54"/>
  <c r="CW1002" i="54"/>
  <c r="CW1003" i="54"/>
  <c r="CW1004" i="54"/>
  <c r="CW1005" i="54"/>
  <c r="CW1006" i="54"/>
  <c r="CW1007" i="54"/>
  <c r="CW1008" i="54"/>
  <c r="CW1009" i="54"/>
  <c r="CW1010" i="54"/>
  <c r="CW1011" i="54"/>
  <c r="CW1012" i="54"/>
  <c r="CW1013" i="54"/>
  <c r="CW1014" i="54"/>
  <c r="CW1015" i="54"/>
  <c r="CW1016" i="54"/>
  <c r="CW1017" i="54"/>
  <c r="CW1018" i="54"/>
  <c r="CW1019" i="54"/>
  <c r="CW1020" i="54"/>
  <c r="CW1021" i="54"/>
  <c r="CW1022" i="54"/>
  <c r="CW1023" i="54"/>
  <c r="CW1024" i="54"/>
  <c r="CW1025" i="54"/>
  <c r="CW1026" i="54"/>
  <c r="CW1027" i="54"/>
  <c r="CW1028" i="54"/>
  <c r="CW1029" i="54"/>
  <c r="CW1030" i="54"/>
  <c r="CW1031" i="54"/>
  <c r="CW1032" i="54"/>
  <c r="CW1033" i="54"/>
  <c r="CW1034" i="54"/>
  <c r="CW1035" i="54"/>
  <c r="CW1036" i="54"/>
  <c r="CW1037" i="54"/>
  <c r="CW1038" i="54"/>
  <c r="CW1039" i="54"/>
  <c r="CW1040" i="54"/>
  <c r="CW1041" i="54"/>
  <c r="CW1042" i="54"/>
  <c r="CW1043" i="54"/>
  <c r="CW1044" i="54"/>
  <c r="CW1045" i="54"/>
  <c r="CW1046" i="54"/>
  <c r="CW1047" i="54"/>
  <c r="CW1048" i="54"/>
  <c r="CW1049" i="54"/>
  <c r="CW1050" i="54"/>
  <c r="CW1051" i="54"/>
  <c r="CW1052" i="54"/>
  <c r="CW1053" i="54"/>
  <c r="CW1054" i="54"/>
  <c r="CW1055" i="54"/>
  <c r="CW1056" i="54"/>
  <c r="CW1057" i="54"/>
  <c r="CW1058" i="54"/>
  <c r="CW1059" i="54"/>
  <c r="CW1060" i="54"/>
  <c r="CW1061" i="54"/>
  <c r="CW1062" i="54"/>
  <c r="CW1063" i="54"/>
  <c r="CW1064" i="54"/>
  <c r="CW1065" i="54"/>
  <c r="CW1066" i="54"/>
  <c r="CW1067" i="54"/>
  <c r="CW1068" i="54"/>
  <c r="CW1069" i="54"/>
  <c r="CW1070" i="54"/>
  <c r="CW1071" i="54"/>
  <c r="CW1072" i="54"/>
  <c r="CW1073" i="54"/>
  <c r="CW1074" i="54"/>
  <c r="CW1075" i="54"/>
  <c r="CW1076" i="54"/>
  <c r="CW1077" i="54"/>
  <c r="CW1078" i="54"/>
  <c r="CW1079" i="54"/>
  <c r="CW1080" i="54"/>
  <c r="CW1081" i="54"/>
  <c r="CW1082" i="54"/>
  <c r="CW1083" i="54"/>
  <c r="CW1084" i="54"/>
  <c r="CW1085" i="54"/>
  <c r="CW1086" i="54"/>
  <c r="CW1087" i="54"/>
  <c r="CW1088" i="54"/>
  <c r="CW1089" i="54"/>
  <c r="CW1090" i="54"/>
  <c r="CW1091" i="54"/>
  <c r="CW1092" i="54"/>
  <c r="CW1093" i="54"/>
  <c r="CW1094" i="54"/>
  <c r="CW1095" i="54"/>
  <c r="CW1096" i="54"/>
  <c r="CW1097" i="54"/>
  <c r="CW1098" i="54"/>
  <c r="CW1099" i="54"/>
  <c r="CW1100" i="54"/>
  <c r="CW1101" i="54"/>
  <c r="CW1102" i="54"/>
  <c r="CW1103" i="54"/>
  <c r="CW1104" i="54"/>
  <c r="CW1105" i="54"/>
  <c r="CW1106" i="54"/>
  <c r="CW1107" i="54"/>
  <c r="CW1108" i="54"/>
  <c r="CW1109" i="54"/>
  <c r="CW1110" i="54"/>
  <c r="CW1111" i="54"/>
  <c r="CW1112" i="54"/>
  <c r="CW1113" i="54"/>
  <c r="CW1114" i="54"/>
  <c r="CW1115" i="54"/>
  <c r="CW1116" i="54"/>
  <c r="CW1117" i="54"/>
  <c r="CW1118" i="54"/>
  <c r="CW1119" i="54"/>
  <c r="CW1120" i="54"/>
  <c r="CW1121" i="54"/>
  <c r="CW1122" i="54"/>
  <c r="CW1123" i="54"/>
  <c r="CW1124" i="54"/>
  <c r="CW1125" i="54"/>
  <c r="CW1126" i="54"/>
  <c r="CW1127" i="54"/>
  <c r="CW1128" i="54"/>
  <c r="CW1129" i="54"/>
  <c r="CW1130" i="54"/>
  <c r="CW1131" i="54"/>
  <c r="CW1132" i="54"/>
  <c r="CW1133" i="54"/>
  <c r="CW1134" i="54"/>
  <c r="CW1135" i="54"/>
  <c r="CW1136" i="54"/>
  <c r="CW1137" i="54"/>
  <c r="CW1138" i="54"/>
  <c r="CW1139" i="54"/>
  <c r="CW1140" i="54"/>
  <c r="CW1141" i="54"/>
  <c r="CW1142" i="54"/>
  <c r="CW1143" i="54"/>
  <c r="CW1144" i="54"/>
  <c r="CW1145" i="54"/>
  <c r="CW1146" i="54"/>
  <c r="CW1147" i="54"/>
  <c r="CW1148" i="54"/>
  <c r="CW1149" i="54"/>
  <c r="CW1150" i="54"/>
  <c r="CW1151" i="54"/>
  <c r="CW1152" i="54"/>
  <c r="CW1153" i="54"/>
  <c r="CW1154" i="54"/>
  <c r="CW1155" i="54"/>
  <c r="CW1156" i="54"/>
  <c r="CW1157" i="54"/>
  <c r="CW1158" i="54"/>
  <c r="CW1159" i="54"/>
  <c r="CW1160" i="54"/>
  <c r="CW1161" i="54"/>
  <c r="CW1162" i="54"/>
  <c r="CW1163" i="54"/>
  <c r="CW1164" i="54"/>
  <c r="CW1165" i="54"/>
  <c r="CW1166" i="54"/>
  <c r="CW1167" i="54"/>
  <c r="CW1168" i="54"/>
  <c r="CW1169" i="54"/>
  <c r="CW1170" i="54"/>
  <c r="CW1171" i="54"/>
  <c r="CW1172" i="54"/>
  <c r="CW1173" i="54"/>
  <c r="CW1174" i="54"/>
  <c r="CW1175" i="54"/>
  <c r="CW1176" i="54"/>
  <c r="CW1177" i="54"/>
  <c r="CW1178" i="54"/>
  <c r="CW1179" i="54"/>
  <c r="CW1180" i="54"/>
  <c r="CW1181" i="54"/>
  <c r="CW1182" i="54"/>
  <c r="CW1183" i="54"/>
  <c r="CW1184" i="54"/>
  <c r="CW1185" i="54"/>
  <c r="CW1186" i="54"/>
  <c r="CW1187" i="54"/>
  <c r="CW1188" i="54"/>
  <c r="CW1189" i="54"/>
  <c r="CW1190" i="54"/>
  <c r="CW1191" i="54"/>
  <c r="CW1192" i="54"/>
  <c r="CW1193" i="54"/>
  <c r="CW1194" i="54"/>
  <c r="CW1195" i="54"/>
  <c r="CW1196" i="54"/>
  <c r="CW1197" i="54"/>
  <c r="CW1198" i="54"/>
  <c r="CW1199" i="54"/>
  <c r="CW1200" i="54"/>
  <c r="CW1201" i="54"/>
  <c r="CW1202" i="54"/>
  <c r="CW1203" i="54"/>
  <c r="CW1204" i="54"/>
  <c r="CW1205" i="54"/>
  <c r="CW1206" i="54"/>
  <c r="CW1207" i="54"/>
  <c r="CW1208" i="54"/>
  <c r="CW1209" i="54"/>
  <c r="CW1210" i="54"/>
  <c r="CW1211" i="54"/>
  <c r="CW1212" i="54"/>
  <c r="CW1213" i="54"/>
  <c r="CW1214" i="54"/>
  <c r="CW1215" i="54"/>
  <c r="CW1216" i="54"/>
  <c r="CW1217" i="54"/>
  <c r="CW1218" i="54"/>
  <c r="CW1219" i="54"/>
  <c r="CW1220" i="54"/>
  <c r="CW1221" i="54"/>
  <c r="CW1222" i="54"/>
  <c r="CW1223" i="54"/>
  <c r="CW1224" i="54"/>
  <c r="CW1225" i="54"/>
  <c r="CW1226" i="54"/>
  <c r="CW1227" i="54"/>
  <c r="CW1228" i="54"/>
  <c r="CW1229" i="54"/>
  <c r="CW1230" i="54"/>
  <c r="CW1231" i="54"/>
  <c r="CW1232" i="54"/>
  <c r="CW1233" i="54"/>
  <c r="CW1234" i="54"/>
  <c r="CW1235" i="54"/>
  <c r="CW1236" i="54"/>
  <c r="CW1237" i="54"/>
  <c r="CW1238" i="54"/>
  <c r="CW1239" i="54"/>
  <c r="CW1240" i="54"/>
  <c r="CW1241" i="54"/>
  <c r="CW1242" i="54"/>
  <c r="CW1243" i="54"/>
  <c r="CW1244" i="54"/>
  <c r="CW1245" i="54"/>
  <c r="CW1246" i="54"/>
  <c r="CW1247" i="54"/>
  <c r="CW1248" i="54"/>
  <c r="CW1249" i="54"/>
  <c r="CW1250" i="54"/>
  <c r="CW1251" i="54"/>
  <c r="CW1252" i="54"/>
  <c r="CW1253" i="54"/>
  <c r="CW1254" i="54"/>
  <c r="CW1255" i="54"/>
  <c r="CW1256" i="54"/>
  <c r="CW1257" i="54"/>
  <c r="CW1258" i="54"/>
  <c r="CW1259" i="54"/>
  <c r="CW1260" i="54"/>
  <c r="CW1261" i="54"/>
  <c r="CW1262" i="54"/>
  <c r="CW1263" i="54"/>
  <c r="CW1264" i="54"/>
  <c r="CW1265" i="54"/>
  <c r="CW1266" i="54"/>
  <c r="CW1267" i="54"/>
  <c r="CW1268" i="54"/>
  <c r="CW1269" i="54"/>
  <c r="CW1270" i="54"/>
  <c r="CW1271" i="54"/>
  <c r="CW1272" i="54"/>
  <c r="CW1273" i="54"/>
  <c r="CW1274" i="54"/>
  <c r="CW1275" i="54"/>
  <c r="CW1276" i="54"/>
  <c r="CW1277" i="54"/>
  <c r="CW1278" i="54"/>
  <c r="CW1279" i="54"/>
  <c r="CW1280" i="54"/>
  <c r="CW1281" i="54"/>
  <c r="CW1282" i="54"/>
  <c r="CW1283" i="54"/>
  <c r="CW1284" i="54"/>
  <c r="CW1285" i="54"/>
  <c r="CW1286" i="54"/>
  <c r="CW1287" i="54"/>
  <c r="CW1288" i="54"/>
  <c r="CW1289" i="54"/>
  <c r="CW1290" i="54"/>
  <c r="CW1291" i="54"/>
  <c r="CW1292" i="54"/>
  <c r="CW1293" i="54"/>
  <c r="CW1294" i="54"/>
  <c r="CW1295" i="54"/>
  <c r="CW1296" i="54"/>
  <c r="CW1297" i="54"/>
  <c r="CW1298" i="54"/>
  <c r="CW1299" i="54"/>
  <c r="CW1300" i="54"/>
  <c r="CW1301" i="54"/>
  <c r="CW1302" i="54"/>
  <c r="CW1303" i="54"/>
  <c r="CW1304" i="54"/>
  <c r="CW1305" i="54"/>
  <c r="CW1306" i="54"/>
  <c r="CW1307" i="54"/>
  <c r="CW1308" i="54"/>
  <c r="CW1309" i="54"/>
  <c r="CW1310" i="54"/>
  <c r="CW1311" i="54"/>
  <c r="CW1312" i="54"/>
  <c r="CW1313" i="54"/>
  <c r="CW1314" i="54"/>
  <c r="CW1315" i="54"/>
  <c r="CW1316" i="54"/>
  <c r="CW1317" i="54"/>
  <c r="CW1318" i="54"/>
  <c r="CW1319" i="54"/>
  <c r="CW1320" i="54"/>
  <c r="CW1321" i="54"/>
  <c r="CW1322" i="54"/>
  <c r="CW1323" i="54"/>
  <c r="CW1324" i="54"/>
  <c r="CW1325" i="54"/>
  <c r="CW1326" i="54"/>
  <c r="CW1327" i="54"/>
  <c r="CW1328" i="54"/>
  <c r="CW1329" i="54"/>
  <c r="CW1330" i="54"/>
  <c r="CW1331" i="54"/>
  <c r="CW1332" i="54"/>
  <c r="CW1333" i="54"/>
  <c r="CW1334" i="54"/>
  <c r="CW1335" i="54"/>
  <c r="CW1336" i="54"/>
  <c r="CW1337" i="54"/>
  <c r="CW1338" i="54"/>
  <c r="CW1339" i="54"/>
  <c r="CW1340" i="54"/>
  <c r="CW1341" i="54"/>
  <c r="CW1342" i="54"/>
  <c r="CW1343" i="54"/>
  <c r="CW1344" i="54"/>
  <c r="CW1345" i="54"/>
  <c r="CW1346" i="54"/>
  <c r="CW1347" i="54"/>
  <c r="CW1348" i="54"/>
  <c r="CW1349" i="54"/>
  <c r="CW1350" i="54"/>
  <c r="CW1351" i="54"/>
  <c r="CW1352" i="54"/>
  <c r="CW1353" i="54"/>
  <c r="CW1354" i="54"/>
  <c r="CW1355" i="54"/>
  <c r="CW1356" i="54"/>
  <c r="CW1357" i="54"/>
  <c r="CW1358" i="54"/>
  <c r="CW1359" i="54"/>
  <c r="CW1360" i="54"/>
  <c r="CW1361" i="54"/>
  <c r="CW1362" i="54"/>
  <c r="CW1363" i="54"/>
  <c r="CW1364" i="54"/>
  <c r="CW1365" i="54"/>
  <c r="CW1366" i="54"/>
  <c r="CW1367" i="54"/>
  <c r="CW1368" i="54"/>
  <c r="CW1369" i="54"/>
  <c r="CW1370" i="54"/>
  <c r="CW1371" i="54"/>
  <c r="CW1372" i="54"/>
  <c r="CW1373" i="54"/>
  <c r="CW1374" i="54"/>
  <c r="CW1375" i="54"/>
  <c r="CW1376" i="54"/>
  <c r="CW1377" i="54"/>
  <c r="CW1378" i="54"/>
  <c r="CW1379" i="54"/>
  <c r="CW1380" i="54"/>
  <c r="CW1381" i="54"/>
  <c r="CW1382" i="54"/>
  <c r="CW1383" i="54"/>
  <c r="CW1384" i="54"/>
  <c r="CW1385" i="54"/>
  <c r="CW1386" i="54"/>
  <c r="CW1387" i="54"/>
  <c r="CW1388" i="54"/>
  <c r="CW1389" i="54"/>
  <c r="CW1390" i="54"/>
  <c r="CW1391" i="54"/>
  <c r="CW1392" i="54"/>
  <c r="CW1393" i="54"/>
  <c r="CW1394" i="54"/>
  <c r="CW1395" i="54"/>
  <c r="CW1396" i="54"/>
  <c r="CW1397" i="54"/>
  <c r="CW1398" i="54"/>
  <c r="CW1399" i="54"/>
  <c r="CW1400" i="54"/>
  <c r="CW1401" i="54"/>
  <c r="CW1402" i="54"/>
  <c r="CW1403" i="54"/>
  <c r="CW1404" i="54"/>
  <c r="CW1405" i="54"/>
  <c r="CW1406" i="54"/>
  <c r="CW1407" i="54"/>
  <c r="CW1408" i="54"/>
  <c r="CW1409" i="54"/>
  <c r="CW1410" i="54"/>
  <c r="CW1411" i="54"/>
  <c r="CW1412" i="54"/>
  <c r="CW1413" i="54"/>
  <c r="CW1414" i="54"/>
  <c r="CW1415" i="54"/>
  <c r="CW1416" i="54"/>
  <c r="CW1417" i="54"/>
  <c r="CW1418" i="54"/>
  <c r="CW1419" i="54"/>
  <c r="CW1420" i="54"/>
  <c r="CW1421" i="54"/>
  <c r="CW1422" i="54"/>
  <c r="CW1423" i="54"/>
  <c r="CW1424" i="54"/>
  <c r="CW1425" i="54"/>
  <c r="CW1426" i="54"/>
  <c r="CW1427" i="54"/>
  <c r="CW1428" i="54"/>
  <c r="CW1429" i="54"/>
  <c r="CW1430" i="54"/>
  <c r="CW1431" i="54"/>
  <c r="CW1432" i="54"/>
  <c r="CW1433" i="54"/>
  <c r="CW1434" i="54"/>
  <c r="CW1435" i="54"/>
  <c r="CW1436" i="54"/>
  <c r="CW1437" i="54"/>
  <c r="CW1438" i="54"/>
  <c r="CW1439" i="54"/>
  <c r="CW1440" i="54"/>
  <c r="CW1441" i="54"/>
  <c r="CW1442" i="54"/>
  <c r="CW1443" i="54"/>
  <c r="CW1444" i="54"/>
  <c r="CW1445" i="54"/>
  <c r="CW1446" i="54"/>
  <c r="CW1447" i="54"/>
  <c r="CW1448" i="54"/>
  <c r="CW1449" i="54"/>
  <c r="CW1450" i="54"/>
  <c r="CW1451" i="54"/>
  <c r="CW1452" i="54"/>
  <c r="CW1453" i="54"/>
  <c r="CW1454" i="54"/>
  <c r="CW1455" i="54"/>
  <c r="CW1456" i="54"/>
  <c r="CW1457" i="54"/>
  <c r="CW1458" i="54"/>
  <c r="CW1459" i="54"/>
  <c r="CW1460" i="54"/>
  <c r="CW1461" i="54"/>
  <c r="CW1462" i="54"/>
  <c r="CW1463" i="54"/>
  <c r="CW1464" i="54"/>
  <c r="CW1465" i="54"/>
  <c r="CW1466" i="54"/>
  <c r="CW1467" i="54"/>
  <c r="CW1468" i="54"/>
  <c r="CW1469" i="54"/>
  <c r="CW1470" i="54"/>
  <c r="CW1471" i="54"/>
  <c r="CW1472" i="54"/>
  <c r="CW1473" i="54"/>
  <c r="CW1474" i="54"/>
  <c r="CW1475" i="54"/>
  <c r="CW1476" i="54"/>
  <c r="CW1477" i="54"/>
  <c r="CW1478" i="54"/>
  <c r="CW1479" i="54"/>
  <c r="CW1480" i="54"/>
  <c r="CW1481" i="54"/>
  <c r="CW1482" i="54"/>
  <c r="CW1483" i="54"/>
  <c r="CW1484" i="54"/>
  <c r="CW1485" i="54"/>
  <c r="CW1486" i="54"/>
  <c r="CW1487" i="54"/>
  <c r="CW1488" i="54"/>
  <c r="CW1489" i="54"/>
  <c r="CW1490" i="54"/>
  <c r="CW1491" i="54"/>
  <c r="CW1492" i="54"/>
  <c r="CW1493" i="54"/>
  <c r="CW1494" i="54"/>
  <c r="CW1495" i="54"/>
  <c r="CW1496" i="54"/>
  <c r="CW1497" i="54"/>
  <c r="CW1498" i="54"/>
  <c r="CW1499" i="54"/>
  <c r="CW1500" i="54"/>
  <c r="CW1501" i="54"/>
  <c r="CW1502" i="54"/>
  <c r="CW1503" i="54"/>
  <c r="CW1504" i="54"/>
  <c r="CW1505" i="54"/>
  <c r="CW1506" i="54"/>
  <c r="CW1507" i="54"/>
  <c r="CW1508" i="54"/>
  <c r="CW1509" i="54"/>
  <c r="CW1510" i="54"/>
  <c r="CW1511" i="54"/>
  <c r="CW1512" i="54"/>
  <c r="CW1513" i="54"/>
  <c r="CW1514" i="54"/>
  <c r="CW1515" i="54"/>
  <c r="CW1516" i="54"/>
  <c r="CW1517" i="54"/>
  <c r="CW1518" i="54"/>
  <c r="CW1519" i="54"/>
  <c r="CW1520" i="54"/>
  <c r="CW1521" i="54"/>
  <c r="CW1522" i="54"/>
  <c r="CW1523" i="54"/>
  <c r="CW1524" i="54"/>
  <c r="CW1525" i="54"/>
  <c r="CW1526" i="54"/>
  <c r="CW1527" i="54"/>
  <c r="CW1528" i="54"/>
  <c r="CW1529" i="54"/>
  <c r="CW1530" i="54"/>
  <c r="CW1531" i="54"/>
  <c r="CW1532" i="54"/>
  <c r="CW1533" i="54"/>
  <c r="CW1534" i="54"/>
  <c r="CW1535" i="54"/>
  <c r="CW1536" i="54"/>
  <c r="CW1537" i="54"/>
  <c r="CW1538" i="54"/>
  <c r="CW1539" i="54"/>
  <c r="CW1540" i="54"/>
  <c r="CW1541" i="54"/>
  <c r="CW1542" i="54"/>
  <c r="CW1543" i="54"/>
  <c r="CW1544" i="54"/>
  <c r="CW1545" i="54"/>
  <c r="CW1546" i="54"/>
  <c r="CW1547" i="54"/>
  <c r="CW1548" i="54"/>
  <c r="CW1549" i="54"/>
  <c r="CW1550" i="54"/>
  <c r="CW1551" i="54"/>
  <c r="CW1552" i="54"/>
  <c r="CW1553" i="54"/>
  <c r="CW1554" i="54"/>
  <c r="CW1555" i="54"/>
  <c r="CW1556" i="54"/>
  <c r="CW1557" i="54"/>
  <c r="CW1558" i="54"/>
  <c r="CW1559" i="54"/>
  <c r="CW1560" i="54"/>
  <c r="CW1561" i="54"/>
  <c r="CW1562" i="54"/>
  <c r="CW1563" i="54"/>
  <c r="CW1564" i="54"/>
  <c r="CW1565" i="54"/>
  <c r="CW1566" i="54"/>
  <c r="CW1567" i="54"/>
  <c r="CW1568" i="54"/>
  <c r="CW1569" i="54"/>
  <c r="CW1570" i="54"/>
  <c r="CW1571" i="54"/>
  <c r="CW1572" i="54"/>
  <c r="CW1573" i="54"/>
  <c r="CW1574" i="54"/>
  <c r="CW1575" i="54"/>
  <c r="CW1576" i="54"/>
  <c r="CW1577" i="54"/>
  <c r="CW1578" i="54"/>
  <c r="CW1579" i="54"/>
  <c r="CW1580" i="54"/>
  <c r="CW1581" i="54"/>
  <c r="CW1582" i="54"/>
  <c r="CW1583" i="54"/>
  <c r="CW1584" i="54"/>
  <c r="CW1585" i="54"/>
  <c r="CW1586" i="54"/>
  <c r="CW1587" i="54"/>
  <c r="CW1588" i="54"/>
  <c r="CW1589" i="54"/>
  <c r="CW1590" i="54"/>
  <c r="CW1591" i="54"/>
  <c r="CW1592" i="54"/>
  <c r="CW1593" i="54"/>
  <c r="CW1594" i="54"/>
  <c r="CW1595" i="54"/>
  <c r="CW1596" i="54"/>
  <c r="CW1597" i="54"/>
  <c r="CW1598" i="54"/>
  <c r="CW1599" i="54"/>
  <c r="CW1600" i="54"/>
  <c r="CW1601" i="54"/>
  <c r="CW1602" i="54"/>
  <c r="CW1603" i="54"/>
  <c r="CW1604" i="54"/>
  <c r="CW1605" i="54"/>
  <c r="CW1606" i="54"/>
  <c r="CW1607" i="54"/>
  <c r="CW1608" i="54"/>
  <c r="CW1609" i="54"/>
  <c r="CW1610" i="54"/>
  <c r="CW1611" i="54"/>
  <c r="CW1612" i="54"/>
  <c r="CW1613" i="54"/>
  <c r="CW1614" i="54"/>
  <c r="CW1615" i="54"/>
  <c r="CW1616" i="54"/>
  <c r="CW1617" i="54"/>
  <c r="CW1618" i="54"/>
  <c r="CW1619" i="54"/>
  <c r="CW1620" i="54"/>
  <c r="CW1621" i="54"/>
  <c r="CW1622" i="54"/>
  <c r="CW1623" i="54"/>
  <c r="CW1624" i="54"/>
  <c r="CW1625" i="54"/>
  <c r="CW1626" i="54"/>
  <c r="CW1627" i="54"/>
  <c r="CW1628" i="54"/>
  <c r="CW1629" i="54"/>
  <c r="CW1630" i="54"/>
  <c r="CW1631" i="54"/>
  <c r="CW1632" i="54"/>
  <c r="CW1633" i="54"/>
  <c r="CW1634" i="54"/>
  <c r="CW1635" i="54"/>
  <c r="CW1636" i="54"/>
  <c r="CW1637" i="54"/>
  <c r="CW1638" i="54"/>
  <c r="CW1639" i="54"/>
  <c r="CW1640" i="54"/>
  <c r="CW1641" i="54"/>
  <c r="CW1642" i="54"/>
  <c r="CW1643" i="54"/>
  <c r="CW1644" i="54"/>
  <c r="CW1645" i="54"/>
  <c r="CW1646" i="54"/>
  <c r="CW1647" i="54"/>
  <c r="CW1648" i="54"/>
  <c r="CW1649" i="54"/>
  <c r="CW1650" i="54"/>
  <c r="CW1651" i="54"/>
  <c r="CW1652" i="54"/>
  <c r="CW1653" i="54"/>
  <c r="CW1654" i="54"/>
  <c r="CW1655" i="54"/>
  <c r="CW1656" i="54"/>
  <c r="CW1657" i="54"/>
  <c r="CW1658" i="54"/>
  <c r="CW1659" i="54"/>
  <c r="CW1660" i="54"/>
  <c r="CW1661" i="54"/>
  <c r="CW1662" i="54"/>
  <c r="CW1663" i="54"/>
  <c r="CW1664" i="54"/>
  <c r="CW1665" i="54"/>
  <c r="CW1666" i="54"/>
  <c r="CW1667" i="54"/>
  <c r="CW1668" i="54"/>
  <c r="CT1461" i="54"/>
  <c r="CU1461" i="54" s="1"/>
  <c r="CT1462" i="54"/>
  <c r="CU1462" i="54" s="1"/>
  <c r="CT1463" i="54"/>
  <c r="CT1464" i="54"/>
  <c r="CU1464" i="54"/>
  <c r="CT1465" i="54"/>
  <c r="CU1465" i="54"/>
  <c r="DB1465" i="54"/>
  <c r="CT1466" i="54"/>
  <c r="CU1466" i="54" s="1"/>
  <c r="DB1466" i="54"/>
  <c r="DC1466" i="54"/>
  <c r="DD1466" i="54" s="1"/>
  <c r="CT1467" i="54"/>
  <c r="CT1468" i="54"/>
  <c r="CT1469" i="54"/>
  <c r="CU1469" i="54"/>
  <c r="DC1469" i="54" s="1"/>
  <c r="DD1469" i="54" s="1"/>
  <c r="DB1469" i="54"/>
  <c r="CT1470" i="54"/>
  <c r="CU1470" i="54" s="1"/>
  <c r="DC1470" i="54"/>
  <c r="DD1470" i="54" s="1"/>
  <c r="CT1471" i="54"/>
  <c r="CU1471" i="54" s="1"/>
  <c r="CT1472" i="54"/>
  <c r="CU1472" i="54"/>
  <c r="DC1472" i="54" s="1"/>
  <c r="DD1472" i="54" s="1"/>
  <c r="DB1472" i="54"/>
  <c r="CT1473" i="54"/>
  <c r="CU1473" i="54"/>
  <c r="DB1473" i="54"/>
  <c r="CT1474" i="54"/>
  <c r="CU1474" i="54" s="1"/>
  <c r="DB1474" i="54"/>
  <c r="CT1475" i="54"/>
  <c r="CT1476" i="54"/>
  <c r="CU1476" i="54"/>
  <c r="DB1476" i="54"/>
  <c r="CT1477" i="54"/>
  <c r="CU1477" i="54"/>
  <c r="CT1478" i="54"/>
  <c r="CU1478" i="54" s="1"/>
  <c r="DB1478" i="54"/>
  <c r="DC1478" i="54"/>
  <c r="DD1478" i="54" s="1"/>
  <c r="CT1479" i="54"/>
  <c r="CU1479" i="54" s="1"/>
  <c r="CT1480" i="54"/>
  <c r="CU1480" i="54"/>
  <c r="DC1480" i="54" s="1"/>
  <c r="DD1480" i="54" s="1"/>
  <c r="DB1480" i="54"/>
  <c r="CT1481" i="54"/>
  <c r="CU1481" i="54"/>
  <c r="DB1481" i="54"/>
  <c r="CT1482" i="54"/>
  <c r="CU1482" i="54" s="1"/>
  <c r="DB1482" i="54"/>
  <c r="DC1482" i="54"/>
  <c r="DD1482" i="54" s="1"/>
  <c r="CT1483" i="54"/>
  <c r="CT1484" i="54"/>
  <c r="CU1484" i="54"/>
  <c r="DB1484" i="54"/>
  <c r="CT1485" i="54"/>
  <c r="CU1485" i="54"/>
  <c r="CT1486" i="54"/>
  <c r="CT1487" i="54"/>
  <c r="CU1487" i="54"/>
  <c r="CT1488" i="54"/>
  <c r="CT1489" i="54"/>
  <c r="CU1489" i="54"/>
  <c r="DB1489" i="54" s="1"/>
  <c r="DC1489" i="54"/>
  <c r="DD1489" i="54" s="1"/>
  <c r="CT1490" i="54"/>
  <c r="CT1491" i="54"/>
  <c r="CU1491" i="54"/>
  <c r="CT1492" i="54"/>
  <c r="CU1492" i="54"/>
  <c r="DC1492" i="54" s="1"/>
  <c r="DD1492" i="54" s="1"/>
  <c r="DB1492" i="54"/>
  <c r="CT1493" i="54"/>
  <c r="CU1493" i="54"/>
  <c r="DB1493" i="54"/>
  <c r="DC1493" i="54"/>
  <c r="DD1493" i="54" s="1"/>
  <c r="CT1494" i="54"/>
  <c r="CT1495" i="54"/>
  <c r="CT1496" i="54"/>
  <c r="CU1496" i="54"/>
  <c r="DC1496" i="54" s="1"/>
  <c r="DD1496" i="54" s="1"/>
  <c r="DB1496" i="54"/>
  <c r="CT1497" i="54"/>
  <c r="CU1497" i="54"/>
  <c r="DB1497" i="54"/>
  <c r="DC1497" i="54"/>
  <c r="DD1497" i="54" s="1"/>
  <c r="CT1498" i="54"/>
  <c r="CT1499" i="54"/>
  <c r="CU1499" i="54" s="1"/>
  <c r="CT1500" i="54"/>
  <c r="CU1500" i="54"/>
  <c r="DC1500" i="54" s="1"/>
  <c r="DD1500" i="54" s="1"/>
  <c r="DB1500" i="54"/>
  <c r="CT1501" i="54"/>
  <c r="CU1501" i="54"/>
  <c r="DC1501" i="54" s="1"/>
  <c r="DD1501" i="54" s="1"/>
  <c r="DB1501" i="54"/>
  <c r="CT1502" i="54"/>
  <c r="CT1503" i="54"/>
  <c r="CU1503" i="54"/>
  <c r="DC1503" i="54"/>
  <c r="DD1503" i="54"/>
  <c r="CT1504" i="54"/>
  <c r="CU1504" i="54"/>
  <c r="DC1504" i="54" s="1"/>
  <c r="DB1504" i="54"/>
  <c r="DD1504" i="54"/>
  <c r="CT1505" i="54"/>
  <c r="CU1505" i="54"/>
  <c r="DB1505" i="54"/>
  <c r="DC1505" i="54"/>
  <c r="DD1505" i="54" s="1"/>
  <c r="CT1506" i="54"/>
  <c r="CU1506" i="54" s="1"/>
  <c r="DB1506" i="54"/>
  <c r="CT1507" i="54"/>
  <c r="CT1508" i="54"/>
  <c r="CU1508" i="54" s="1"/>
  <c r="CT1509" i="54"/>
  <c r="CU1509" i="54"/>
  <c r="DC1509" i="54" s="1"/>
  <c r="DD1509" i="54" s="1"/>
  <c r="DB1509" i="54"/>
  <c r="CT1510" i="54"/>
  <c r="CU1510" i="54"/>
  <c r="DB1510" i="54"/>
  <c r="DC1510" i="54"/>
  <c r="DD1510" i="54" s="1"/>
  <c r="CT1511" i="54"/>
  <c r="CT1512" i="54"/>
  <c r="CT1513" i="54"/>
  <c r="CU1513" i="54"/>
  <c r="DC1513" i="54" s="1"/>
  <c r="DD1513" i="54" s="1"/>
  <c r="DB1513" i="54"/>
  <c r="CT1514" i="54"/>
  <c r="CU1514" i="54"/>
  <c r="DB1514" i="54"/>
  <c r="DC1514" i="54"/>
  <c r="DD1514" i="54" s="1"/>
  <c r="CT1515" i="54"/>
  <c r="CT1516" i="54"/>
  <c r="CU1516" i="54"/>
  <c r="CT1517" i="54"/>
  <c r="CU1517" i="54"/>
  <c r="CT1518" i="54"/>
  <c r="CU1518" i="54"/>
  <c r="DB1518" i="54"/>
  <c r="DC1518" i="54"/>
  <c r="DD1518" i="54" s="1"/>
  <c r="CT1519" i="54"/>
  <c r="CU1519" i="54"/>
  <c r="DC1519" i="54"/>
  <c r="DD1519" i="54" s="1"/>
  <c r="CT1520" i="54"/>
  <c r="CU1520" i="54"/>
  <c r="DC1520" i="54" s="1"/>
  <c r="DB1520" i="54"/>
  <c r="DD1520" i="54"/>
  <c r="CT1521" i="54"/>
  <c r="CU1521" i="54"/>
  <c r="DB1521" i="54"/>
  <c r="DC1521" i="54"/>
  <c r="DD1521" i="54" s="1"/>
  <c r="CT1522" i="54"/>
  <c r="CU1522" i="54"/>
  <c r="CT1523" i="54"/>
  <c r="CU1523" i="54"/>
  <c r="DC1523" i="54" s="1"/>
  <c r="DD1523" i="54" s="1"/>
  <c r="DB1523" i="54"/>
  <c r="CT1524" i="54"/>
  <c r="CU1524" i="54"/>
  <c r="DB1524" i="54"/>
  <c r="DC1524" i="54"/>
  <c r="DD1524" i="54" s="1"/>
  <c r="CT1525" i="54"/>
  <c r="CT1526" i="54"/>
  <c r="CU1526" i="54"/>
  <c r="CT1527" i="54"/>
  <c r="CU1527" i="54"/>
  <c r="DC1527" i="54" s="1"/>
  <c r="DD1527" i="54" s="1"/>
  <c r="DB1527" i="54"/>
  <c r="CT1528" i="54"/>
  <c r="CU1528" i="54"/>
  <c r="DB1528" i="54"/>
  <c r="DC1528" i="54"/>
  <c r="DD1528" i="54" s="1"/>
  <c r="CT1529" i="54"/>
  <c r="CT1530" i="54"/>
  <c r="CU1530" i="54"/>
  <c r="CT1531" i="54"/>
  <c r="CU1531" i="54"/>
  <c r="DC1531" i="54" s="1"/>
  <c r="DD1531" i="54" s="1"/>
  <c r="CT1532" i="54"/>
  <c r="CU1532" i="54"/>
  <c r="DB1532" i="54"/>
  <c r="DC1532" i="54"/>
  <c r="DD1532" i="54" s="1"/>
  <c r="CT1533" i="54"/>
  <c r="CT1534" i="54"/>
  <c r="CT1535" i="54"/>
  <c r="CU1535" i="54"/>
  <c r="DC1535" i="54" s="1"/>
  <c r="DD1535" i="54" s="1"/>
  <c r="DB1535" i="54"/>
  <c r="CT1536" i="54"/>
  <c r="CU1536" i="54"/>
  <c r="DB1536" i="54"/>
  <c r="DC1536" i="54"/>
  <c r="DD1536" i="54" s="1"/>
  <c r="CT1537" i="54"/>
  <c r="CT1538" i="54"/>
  <c r="CU1538" i="54" s="1"/>
  <c r="CT1539" i="54"/>
  <c r="CU1539" i="54"/>
  <c r="DC1539" i="54" s="1"/>
  <c r="DD1539" i="54" s="1"/>
  <c r="DB1539" i="54"/>
  <c r="CT1540" i="54"/>
  <c r="CU1540" i="54"/>
  <c r="DB1540" i="54"/>
  <c r="DC1540" i="54"/>
  <c r="DD1540" i="54" s="1"/>
  <c r="CT1541" i="54"/>
  <c r="CT1542" i="54"/>
  <c r="CT1543" i="54"/>
  <c r="CU1543" i="54"/>
  <c r="DC1543" i="54" s="1"/>
  <c r="DD1543" i="54" s="1"/>
  <c r="DB1543" i="54"/>
  <c r="CT1544" i="54"/>
  <c r="CU1544" i="54"/>
  <c r="DB1544" i="54"/>
  <c r="CT1545" i="54"/>
  <c r="CU1545" i="54" s="1"/>
  <c r="DB1545" i="54"/>
  <c r="DC1545" i="54"/>
  <c r="DD1545" i="54" s="1"/>
  <c r="CT1546" i="54"/>
  <c r="CT1547" i="54"/>
  <c r="CU1547" i="54"/>
  <c r="DB1547" i="54"/>
  <c r="CT1548" i="54"/>
  <c r="CU1548" i="54"/>
  <c r="CT1549" i="54"/>
  <c r="CU1549" i="54" s="1"/>
  <c r="DB1549" i="54"/>
  <c r="DC1549" i="54"/>
  <c r="DD1549" i="54" s="1"/>
  <c r="CT1550" i="54"/>
  <c r="CU1550" i="54" s="1"/>
  <c r="CT1551" i="54"/>
  <c r="CU1551" i="54"/>
  <c r="DC1551" i="54" s="1"/>
  <c r="DD1551" i="54" s="1"/>
  <c r="DB1551" i="54"/>
  <c r="CT1552" i="54"/>
  <c r="CU1552" i="54"/>
  <c r="DB1552" i="54"/>
  <c r="CT1553" i="54"/>
  <c r="CU1553" i="54" s="1"/>
  <c r="DB1553" i="54"/>
  <c r="DC1553" i="54"/>
  <c r="DD1553" i="54" s="1"/>
  <c r="CT1554" i="54"/>
  <c r="CT1555" i="54"/>
  <c r="CU1555" i="54"/>
  <c r="DB1555" i="54"/>
  <c r="CT1556" i="54"/>
  <c r="CU1556" i="54"/>
  <c r="DB1556" i="54"/>
  <c r="CT1557" i="54"/>
  <c r="CU1557" i="54" s="1"/>
  <c r="DB1557" i="54"/>
  <c r="DC1557" i="54"/>
  <c r="DD1557" i="54" s="1"/>
  <c r="CT1558" i="54"/>
  <c r="CT1559" i="54"/>
  <c r="CU1559" i="54"/>
  <c r="DB1559" i="54"/>
  <c r="CT1560" i="54"/>
  <c r="CU1560" i="54"/>
  <c r="DC1560" i="54" s="1"/>
  <c r="DB1560" i="54"/>
  <c r="DD1560" i="54"/>
  <c r="CT1561" i="54"/>
  <c r="CU1561" i="54"/>
  <c r="DB1561" i="54"/>
  <c r="DC1561" i="54"/>
  <c r="DD1561" i="54" s="1"/>
  <c r="CT1562" i="54"/>
  <c r="CU1562" i="54" s="1"/>
  <c r="DB1562" i="54"/>
  <c r="CT1563" i="54"/>
  <c r="CU1563" i="54" s="1"/>
  <c r="CT1564" i="54"/>
  <c r="CU1564" i="54"/>
  <c r="DC1564" i="54" s="1"/>
  <c r="DD1564" i="54" s="1"/>
  <c r="DB1564" i="54"/>
  <c r="CT1565" i="54"/>
  <c r="CU1565" i="54"/>
  <c r="DB1565" i="54"/>
  <c r="CT1566" i="54"/>
  <c r="CU1566" i="54" s="1"/>
  <c r="DB1566" i="54"/>
  <c r="DC1566" i="54"/>
  <c r="DD1566" i="54" s="1"/>
  <c r="CT1567" i="54"/>
  <c r="CU1567" i="54"/>
  <c r="DB1567" i="54" s="1"/>
  <c r="DC1567" i="54"/>
  <c r="DD1567" i="54"/>
  <c r="CT1568" i="54"/>
  <c r="CT1569" i="54"/>
  <c r="CU1569" i="54"/>
  <c r="DB1569" i="54"/>
  <c r="DC1569" i="54"/>
  <c r="DD1569" i="54" s="1"/>
  <c r="CT1570" i="54"/>
  <c r="CU1570" i="54" s="1"/>
  <c r="DB1570" i="54"/>
  <c r="CT1571" i="54"/>
  <c r="CU1571" i="54" s="1"/>
  <c r="CT1572" i="54"/>
  <c r="CU1572" i="54"/>
  <c r="DC1572" i="54" s="1"/>
  <c r="DD1572" i="54" s="1"/>
  <c r="DB1572" i="54"/>
  <c r="CT1573" i="54"/>
  <c r="CU1573" i="54"/>
  <c r="DB1573" i="54"/>
  <c r="CT1574" i="54"/>
  <c r="CU1574" i="54" s="1"/>
  <c r="DB1574" i="54"/>
  <c r="DC1574" i="54"/>
  <c r="DD1574" i="54" s="1"/>
  <c r="CT1575" i="54"/>
  <c r="CU1575" i="54"/>
  <c r="DB1575" i="54" s="1"/>
  <c r="DC1575" i="54"/>
  <c r="DD1575" i="54"/>
  <c r="CT1576" i="54"/>
  <c r="CT1577" i="54"/>
  <c r="CU1577" i="54"/>
  <c r="DB1577" i="54"/>
  <c r="DC1577" i="54"/>
  <c r="DD1577" i="54" s="1"/>
  <c r="CT1578" i="54"/>
  <c r="CU1578" i="54" s="1"/>
  <c r="DB1578" i="54"/>
  <c r="CT1579" i="54"/>
  <c r="CT1580" i="54"/>
  <c r="CU1580" i="54"/>
  <c r="DB1580" i="54"/>
  <c r="CT1581" i="54"/>
  <c r="CU1581" i="54"/>
  <c r="CT1582" i="54"/>
  <c r="CU1582" i="54" s="1"/>
  <c r="DB1582" i="54"/>
  <c r="DC1582" i="54"/>
  <c r="DD1582" i="54" s="1"/>
  <c r="CT1583" i="54"/>
  <c r="CU1583" i="54"/>
  <c r="DB1583" i="54" s="1"/>
  <c r="DC1583" i="54"/>
  <c r="DD1583" i="54"/>
  <c r="CT1584" i="54"/>
  <c r="CT1585" i="54"/>
  <c r="CU1585" i="54"/>
  <c r="DB1585" i="54"/>
  <c r="DC1585" i="54"/>
  <c r="DD1585" i="54" s="1"/>
  <c r="CT1586" i="54"/>
  <c r="CU1586" i="54" s="1"/>
  <c r="DB1586" i="54"/>
  <c r="CT1587" i="54"/>
  <c r="CT1588" i="54"/>
  <c r="CU1588" i="54"/>
  <c r="DB1588" i="54" s="1"/>
  <c r="CT1589" i="54"/>
  <c r="CU1589" i="54" s="1"/>
  <c r="DC1589" i="54"/>
  <c r="DD1589" i="54" s="1"/>
  <c r="CT1590" i="54"/>
  <c r="CU1590" i="54"/>
  <c r="CT1591" i="54"/>
  <c r="CU1591" i="54"/>
  <c r="DC1591" i="54" s="1"/>
  <c r="DD1591" i="54" s="1"/>
  <c r="CT1592" i="54"/>
  <c r="CU1592" i="54"/>
  <c r="DB1592" i="54"/>
  <c r="DC1592" i="54"/>
  <c r="DD1592" i="54" s="1"/>
  <c r="CT1593" i="54"/>
  <c r="CT1594" i="54"/>
  <c r="CT1595" i="54"/>
  <c r="CU1595" i="54"/>
  <c r="DC1595" i="54" s="1"/>
  <c r="DD1595" i="54" s="1"/>
  <c r="DB1595" i="54"/>
  <c r="CT1596" i="54"/>
  <c r="CU1596" i="54"/>
  <c r="DB1596" i="54"/>
  <c r="DC1596" i="54"/>
  <c r="DD1596" i="54" s="1"/>
  <c r="CT1597" i="54"/>
  <c r="CT1598" i="54"/>
  <c r="CU1598" i="54" s="1"/>
  <c r="CT1599" i="54"/>
  <c r="CU1599" i="54"/>
  <c r="DC1599" i="54" s="1"/>
  <c r="DD1599" i="54" s="1"/>
  <c r="DB1599" i="54"/>
  <c r="CT1600" i="54"/>
  <c r="CU1600" i="54"/>
  <c r="DB1600" i="54"/>
  <c r="DC1600" i="54"/>
  <c r="DD1600" i="54" s="1"/>
  <c r="CT1601" i="54"/>
  <c r="CT1602" i="54"/>
  <c r="CT1603" i="54"/>
  <c r="CU1603" i="54"/>
  <c r="DC1603" i="54" s="1"/>
  <c r="DD1603" i="54" s="1"/>
  <c r="DB1603" i="54"/>
  <c r="CT1604" i="54"/>
  <c r="CU1604" i="54"/>
  <c r="DB1604" i="54"/>
  <c r="DC1604" i="54"/>
  <c r="DD1604" i="54" s="1"/>
  <c r="CT1605" i="54"/>
  <c r="CT1606" i="54"/>
  <c r="CU1606" i="54" s="1"/>
  <c r="CT1607" i="54"/>
  <c r="CU1607" i="54"/>
  <c r="DC1607" i="54" s="1"/>
  <c r="DD1607" i="54" s="1"/>
  <c r="DB1607" i="54"/>
  <c r="CT1608" i="54"/>
  <c r="CU1608" i="54"/>
  <c r="DB1608" i="54"/>
  <c r="DC1608" i="54"/>
  <c r="DD1608" i="54" s="1"/>
  <c r="CT1609" i="54"/>
  <c r="CT1610" i="54"/>
  <c r="CT1611" i="54"/>
  <c r="CU1611" i="54"/>
  <c r="DC1611" i="54" s="1"/>
  <c r="DD1611" i="54" s="1"/>
  <c r="DB1611" i="54"/>
  <c r="CT1612" i="54"/>
  <c r="CU1612" i="54"/>
  <c r="DB1612" i="54"/>
  <c r="CT1613" i="54"/>
  <c r="CU1613" i="54" s="1"/>
  <c r="DB1613" i="54"/>
  <c r="DC1613" i="54"/>
  <c r="DD1613" i="54" s="1"/>
  <c r="CT1614" i="54"/>
  <c r="CT1615" i="54"/>
  <c r="CU1615" i="54"/>
  <c r="DC1615" i="54" s="1"/>
  <c r="DD1615" i="54" s="1"/>
  <c r="DB1615" i="54"/>
  <c r="CT1616" i="54"/>
  <c r="CU1616" i="54"/>
  <c r="DC1616" i="54" s="1"/>
  <c r="DD1616" i="54" s="1"/>
  <c r="DB1616" i="54"/>
  <c r="CT1617" i="54"/>
  <c r="CU1617" i="54" s="1"/>
  <c r="DB1617" i="54"/>
  <c r="DC1617" i="54"/>
  <c r="DD1617" i="54" s="1"/>
  <c r="CT1618" i="54"/>
  <c r="CU1618" i="54" s="1"/>
  <c r="CT1619" i="54"/>
  <c r="CU1619" i="54"/>
  <c r="DC1619" i="54" s="1"/>
  <c r="DD1619" i="54" s="1"/>
  <c r="DB1619" i="54"/>
  <c r="CT1620" i="54"/>
  <c r="CU1620" i="54"/>
  <c r="DB1620" i="54"/>
  <c r="CT1621" i="54"/>
  <c r="CU1621" i="54" s="1"/>
  <c r="DB1621" i="54"/>
  <c r="DC1621" i="54"/>
  <c r="DD1621" i="54" s="1"/>
  <c r="CT1622" i="54"/>
  <c r="CT1623" i="54"/>
  <c r="CU1623" i="54"/>
  <c r="DB1623" i="54" s="1"/>
  <c r="CT1624" i="54"/>
  <c r="CU1624" i="54"/>
  <c r="DB1624" i="54"/>
  <c r="CT1625" i="54"/>
  <c r="CU1625" i="54" s="1"/>
  <c r="DB1625" i="54"/>
  <c r="DC1625" i="54"/>
  <c r="DD1625" i="54" s="1"/>
  <c r="CT1626" i="54"/>
  <c r="CU1626" i="54" s="1"/>
  <c r="CT1627" i="54"/>
  <c r="CU1627" i="54"/>
  <c r="DC1627" i="54" s="1"/>
  <c r="DD1627" i="54" s="1"/>
  <c r="DB1627" i="54"/>
  <c r="CT1628" i="54"/>
  <c r="CU1628" i="54"/>
  <c r="DB1628" i="54"/>
  <c r="CT1629" i="54"/>
  <c r="CU1629" i="54" s="1"/>
  <c r="DB1629" i="54"/>
  <c r="DC1629" i="54"/>
  <c r="DD1629" i="54" s="1"/>
  <c r="CT1630" i="54"/>
  <c r="CT1631" i="54"/>
  <c r="CU1631" i="54"/>
  <c r="DB1631" i="54" s="1"/>
  <c r="CT1632" i="54"/>
  <c r="CU1632" i="54"/>
  <c r="DB1632" i="54"/>
  <c r="CT1633" i="54"/>
  <c r="CU1633" i="54" s="1"/>
  <c r="DB1633" i="54"/>
  <c r="DC1633" i="54"/>
  <c r="DD1633" i="54" s="1"/>
  <c r="CT1634" i="54"/>
  <c r="CT1635" i="54"/>
  <c r="CU1635" i="54"/>
  <c r="DB1635" i="54" s="1"/>
  <c r="CT1636" i="54"/>
  <c r="CU1636" i="54"/>
  <c r="CT1637" i="54"/>
  <c r="CU1637" i="54" s="1"/>
  <c r="DB1637" i="54"/>
  <c r="DC1637" i="54"/>
  <c r="DD1637" i="54" s="1"/>
  <c r="CT1638" i="54"/>
  <c r="CT1639" i="54"/>
  <c r="CU1639" i="54"/>
  <c r="DB1639" i="54" s="1"/>
  <c r="CT1640" i="54"/>
  <c r="CU1640" i="54"/>
  <c r="DB1640" i="54" s="1"/>
  <c r="CT1641" i="54"/>
  <c r="CU1641" i="54" s="1"/>
  <c r="DB1641" i="54"/>
  <c r="DC1641" i="54"/>
  <c r="DD1641" i="54" s="1"/>
  <c r="CT1642" i="54"/>
  <c r="CT1643" i="54"/>
  <c r="CU1643" i="54"/>
  <c r="DB1643" i="54"/>
  <c r="CT1644" i="54"/>
  <c r="CU1644" i="54"/>
  <c r="CT1645" i="54"/>
  <c r="CU1645" i="54" s="1"/>
  <c r="DB1645" i="54"/>
  <c r="DC1645" i="54"/>
  <c r="DD1645" i="54" s="1"/>
  <c r="CT1646" i="54"/>
  <c r="CT1647" i="54"/>
  <c r="CU1647" i="54"/>
  <c r="CT1648" i="54"/>
  <c r="CU1648" i="54"/>
  <c r="CT1649" i="54"/>
  <c r="CU1649" i="54" s="1"/>
  <c r="DB1649" i="54"/>
  <c r="DC1649" i="54"/>
  <c r="DD1649" i="54" s="1"/>
  <c r="CT1650" i="54"/>
  <c r="CT1651" i="54"/>
  <c r="CU1651" i="54"/>
  <c r="DB1651" i="54" s="1"/>
  <c r="CT1652" i="54"/>
  <c r="CU1652" i="54"/>
  <c r="CT1653" i="54"/>
  <c r="CU1653" i="54" s="1"/>
  <c r="DB1653" i="54"/>
  <c r="DC1653" i="54"/>
  <c r="DD1653" i="54" s="1"/>
  <c r="CT1654" i="54"/>
  <c r="CT1655" i="54"/>
  <c r="CU1655" i="54"/>
  <c r="DB1655" i="54" s="1"/>
  <c r="CT1656" i="54"/>
  <c r="CU1656" i="54"/>
  <c r="DB1656" i="54" s="1"/>
  <c r="CT1657" i="54"/>
  <c r="CU1657" i="54" s="1"/>
  <c r="DB1657" i="54"/>
  <c r="DC1657" i="54"/>
  <c r="DD1657" i="54" s="1"/>
  <c r="CT1658" i="54"/>
  <c r="CT1659" i="54"/>
  <c r="CU1659" i="54"/>
  <c r="DB1659" i="54"/>
  <c r="CT1660" i="54"/>
  <c r="CU1660" i="54"/>
  <c r="CT1661" i="54"/>
  <c r="CU1661" i="54" s="1"/>
  <c r="DC1661" i="54" s="1"/>
  <c r="DB1661" i="54"/>
  <c r="DD1661" i="54"/>
  <c r="CT1662" i="54"/>
  <c r="CU1662" i="54"/>
  <c r="DB1662" i="54" s="1"/>
  <c r="DC1662" i="54"/>
  <c r="DD1662" i="54" s="1"/>
  <c r="CT1663" i="54"/>
  <c r="CU1663" i="54" s="1"/>
  <c r="DB1663" i="54"/>
  <c r="CT1664" i="54"/>
  <c r="CU1664" i="54" s="1"/>
  <c r="CT1665" i="54"/>
  <c r="CU1665" i="54"/>
  <c r="DC1665" i="54" s="1"/>
  <c r="DD1665" i="54" s="1"/>
  <c r="DB1665" i="54"/>
  <c r="CT1666" i="54"/>
  <c r="CU1666" i="54"/>
  <c r="DB1666" i="54"/>
  <c r="CT1667" i="54"/>
  <c r="CU1667" i="54" s="1"/>
  <c r="DB1667" i="54"/>
  <c r="DC1667" i="54"/>
  <c r="DD1667" i="54" s="1"/>
  <c r="CT1668" i="54"/>
  <c r="CU1668" i="54" s="1"/>
  <c r="CW5" i="54"/>
  <c r="DB1664" i="54" l="1"/>
  <c r="DC1664" i="54"/>
  <c r="DD1664" i="54" s="1"/>
  <c r="DB1668" i="54"/>
  <c r="DC1668" i="54"/>
  <c r="DD1668" i="54" s="1"/>
  <c r="DC1666" i="54"/>
  <c r="DD1666" i="54" s="1"/>
  <c r="CU1658" i="54"/>
  <c r="DC1652" i="54"/>
  <c r="DD1652" i="54" s="1"/>
  <c r="CU1646" i="54"/>
  <c r="CU1642" i="54"/>
  <c r="DC1636" i="54"/>
  <c r="DD1636" i="54" s="1"/>
  <c r="DB1606" i="54"/>
  <c r="DC1606" i="54"/>
  <c r="DD1606" i="54" s="1"/>
  <c r="DC1659" i="54"/>
  <c r="DD1659" i="54" s="1"/>
  <c r="DB1652" i="54"/>
  <c r="DC1648" i="54"/>
  <c r="DD1648" i="54" s="1"/>
  <c r="DC1647" i="54"/>
  <c r="DD1647" i="54" s="1"/>
  <c r="DC1643" i="54"/>
  <c r="DD1643" i="54" s="1"/>
  <c r="DB1636" i="54"/>
  <c r="DC1660" i="54"/>
  <c r="DD1660" i="54" s="1"/>
  <c r="CU1654" i="54"/>
  <c r="CU1650" i="54"/>
  <c r="DB1648" i="54"/>
  <c r="DB1647" i="54"/>
  <c r="DC1644" i="54"/>
  <c r="DD1644" i="54" s="1"/>
  <c r="CU1638" i="54"/>
  <c r="CU1634" i="54"/>
  <c r="DC1632" i="54"/>
  <c r="DD1632" i="54" s="1"/>
  <c r="DB1626" i="54"/>
  <c r="DC1626" i="54"/>
  <c r="DD1626" i="54" s="1"/>
  <c r="DC1624" i="54"/>
  <c r="DD1624" i="54" s="1"/>
  <c r="DB1618" i="54"/>
  <c r="DC1618" i="54"/>
  <c r="DD1618" i="54" s="1"/>
  <c r="DB1598" i="54"/>
  <c r="DC1598" i="54"/>
  <c r="DD1598" i="54" s="1"/>
  <c r="DC1663" i="54"/>
  <c r="DD1663" i="54" s="1"/>
  <c r="DB1660" i="54"/>
  <c r="DC1656" i="54"/>
  <c r="DD1656" i="54" s="1"/>
  <c r="DC1655" i="54"/>
  <c r="DD1655" i="54" s="1"/>
  <c r="DC1651" i="54"/>
  <c r="DD1651" i="54" s="1"/>
  <c r="DB1644" i="54"/>
  <c r="DC1640" i="54"/>
  <c r="DD1640" i="54" s="1"/>
  <c r="DC1639" i="54"/>
  <c r="DD1639" i="54" s="1"/>
  <c r="DC1635" i="54"/>
  <c r="DD1635" i="54" s="1"/>
  <c r="DC1631" i="54"/>
  <c r="DD1631" i="54" s="1"/>
  <c r="CU1630" i="54"/>
  <c r="DC1623" i="54"/>
  <c r="DD1623" i="54" s="1"/>
  <c r="CU1622" i="54"/>
  <c r="DC1628" i="54"/>
  <c r="DD1628" i="54" s="1"/>
  <c r="DC1620" i="54"/>
  <c r="DD1620" i="54" s="1"/>
  <c r="DC1612" i="54"/>
  <c r="DD1612" i="54" s="1"/>
  <c r="CU1605" i="54"/>
  <c r="CU1597" i="54"/>
  <c r="DB1590" i="54"/>
  <c r="DC1590" i="54"/>
  <c r="DD1590" i="54" s="1"/>
  <c r="DC1581" i="54"/>
  <c r="DD1581" i="54" s="1"/>
  <c r="DB1591" i="54"/>
  <c r="DB1589" i="54"/>
  <c r="DB1581" i="54"/>
  <c r="DC1580" i="54"/>
  <c r="DD1580" i="54" s="1"/>
  <c r="CU1579" i="54"/>
  <c r="CU1614" i="54"/>
  <c r="CU1610" i="54"/>
  <c r="CU1609" i="54"/>
  <c r="CU1602" i="54"/>
  <c r="CU1601" i="54"/>
  <c r="CU1594" i="54"/>
  <c r="CU1593" i="54"/>
  <c r="DC1588" i="54"/>
  <c r="DD1588" i="54" s="1"/>
  <c r="CU1587" i="54"/>
  <c r="DB1571" i="54"/>
  <c r="DC1571" i="54"/>
  <c r="DD1571" i="54" s="1"/>
  <c r="DB1563" i="54"/>
  <c r="DC1563" i="54"/>
  <c r="DD1563" i="54" s="1"/>
  <c r="DC1573" i="54"/>
  <c r="DD1573" i="54" s="1"/>
  <c r="DC1565" i="54"/>
  <c r="DD1565" i="54" s="1"/>
  <c r="DC1556" i="54"/>
  <c r="DD1556" i="54" s="1"/>
  <c r="DC1555" i="54"/>
  <c r="DD1555" i="54" s="1"/>
  <c r="DC1517" i="54"/>
  <c r="DD1517" i="54" s="1"/>
  <c r="DB1517" i="54"/>
  <c r="DB1462" i="54"/>
  <c r="DC1462" i="54"/>
  <c r="DD1462" i="54" s="1"/>
  <c r="CU1558" i="54"/>
  <c r="DC1559" i="54"/>
  <c r="DD1559" i="54" s="1"/>
  <c r="DB1550" i="54"/>
  <c r="DC1550" i="54"/>
  <c r="DD1550" i="54" s="1"/>
  <c r="DC1548" i="54"/>
  <c r="DD1548" i="54" s="1"/>
  <c r="CU1534" i="54"/>
  <c r="DC1586" i="54"/>
  <c r="DD1586" i="54" s="1"/>
  <c r="CU1584" i="54"/>
  <c r="DC1578" i="54"/>
  <c r="DD1578" i="54" s="1"/>
  <c r="CU1576" i="54"/>
  <c r="DC1570" i="54"/>
  <c r="DD1570" i="54" s="1"/>
  <c r="CU1568" i="54"/>
  <c r="DC1562" i="54"/>
  <c r="DD1562" i="54" s="1"/>
  <c r="CU1554" i="54"/>
  <c r="DB1548" i="54"/>
  <c r="DC1547" i="54"/>
  <c r="DD1547" i="54" s="1"/>
  <c r="CU1546" i="54"/>
  <c r="CU1542" i="54"/>
  <c r="DB1538" i="54"/>
  <c r="DC1538" i="54"/>
  <c r="DD1538" i="54" s="1"/>
  <c r="DC1552" i="54"/>
  <c r="DD1552" i="54" s="1"/>
  <c r="DC1544" i="54"/>
  <c r="DD1544" i="54" s="1"/>
  <c r="CU1537" i="54"/>
  <c r="DB1530" i="54"/>
  <c r="DC1530" i="54"/>
  <c r="DD1530" i="54" s="1"/>
  <c r="CU1529" i="54"/>
  <c r="DB1526" i="54"/>
  <c r="DC1526" i="54"/>
  <c r="DD1526" i="54" s="1"/>
  <c r="DB1522" i="54"/>
  <c r="DC1522" i="54"/>
  <c r="DD1522" i="54" s="1"/>
  <c r="DB1508" i="54"/>
  <c r="DC1508" i="54"/>
  <c r="DD1508" i="54" s="1"/>
  <c r="DB1531" i="54"/>
  <c r="CU1525" i="54"/>
  <c r="DB1519" i="54"/>
  <c r="CU1515" i="54"/>
  <c r="CU1512" i="54"/>
  <c r="CU1541" i="54"/>
  <c r="CU1533" i="54"/>
  <c r="DB1516" i="54"/>
  <c r="DC1516" i="54"/>
  <c r="DD1516" i="54" s="1"/>
  <c r="CU1507" i="54"/>
  <c r="CU1502" i="54"/>
  <c r="CU1495" i="54"/>
  <c r="CU1490" i="54"/>
  <c r="CU1511" i="54"/>
  <c r="DB1503" i="54"/>
  <c r="DB1499" i="54"/>
  <c r="DC1499" i="54"/>
  <c r="DD1499" i="54" s="1"/>
  <c r="CU1486" i="54"/>
  <c r="DC1506" i="54"/>
  <c r="DD1506" i="54" s="1"/>
  <c r="CU1498" i="54"/>
  <c r="DC1485" i="54"/>
  <c r="DD1485" i="54" s="1"/>
  <c r="DC1477" i="54"/>
  <c r="DD1477" i="54" s="1"/>
  <c r="CU1468" i="54"/>
  <c r="DB1485" i="54"/>
  <c r="DC1484" i="54"/>
  <c r="DD1484" i="54" s="1"/>
  <c r="CU1483" i="54"/>
  <c r="DB1479" i="54"/>
  <c r="DC1479" i="54"/>
  <c r="DD1479" i="54" s="1"/>
  <c r="DB1477" i="54"/>
  <c r="DC1476" i="54"/>
  <c r="DD1476" i="54" s="1"/>
  <c r="CU1475" i="54"/>
  <c r="CU1463" i="54"/>
  <c r="CU1494" i="54"/>
  <c r="DB1491" i="54"/>
  <c r="DC1491" i="54"/>
  <c r="DD1491" i="54" s="1"/>
  <c r="DB1487" i="54"/>
  <c r="DC1487" i="54"/>
  <c r="DD1487" i="54" s="1"/>
  <c r="DB1471" i="54"/>
  <c r="DC1471" i="54"/>
  <c r="DD1471" i="54" s="1"/>
  <c r="DC1465" i="54"/>
  <c r="DD1465" i="54" s="1"/>
  <c r="CU1488" i="54"/>
  <c r="DC1481" i="54"/>
  <c r="DD1481" i="54" s="1"/>
  <c r="DC1473" i="54"/>
  <c r="DD1473" i="54" s="1"/>
  <c r="DC1474" i="54"/>
  <c r="DD1474" i="54" s="1"/>
  <c r="DB1470" i="54"/>
  <c r="CU1467" i="54"/>
  <c r="DC1464" i="54"/>
  <c r="DD1464" i="54" s="1"/>
  <c r="DB1464" i="54"/>
  <c r="DB1461" i="54"/>
  <c r="DC1461" i="54"/>
  <c r="DD1461" i="54" s="1"/>
  <c r="DT6" i="54"/>
  <c r="DU6" i="54"/>
  <c r="DV6" i="54"/>
  <c r="DT7" i="54"/>
  <c r="DU7" i="54"/>
  <c r="DV7" i="54"/>
  <c r="DT8" i="54"/>
  <c r="DU8" i="54"/>
  <c r="DV8" i="54"/>
  <c r="DT9" i="54"/>
  <c r="DU9" i="54"/>
  <c r="DV9" i="54"/>
  <c r="DT10" i="54"/>
  <c r="DU10" i="54"/>
  <c r="DV10" i="54"/>
  <c r="DT11" i="54"/>
  <c r="DU11" i="54"/>
  <c r="DV11" i="54"/>
  <c r="DT12" i="54"/>
  <c r="DU12" i="54"/>
  <c r="DV12" i="54"/>
  <c r="DT13" i="54"/>
  <c r="DU13" i="54"/>
  <c r="DV13" i="54"/>
  <c r="DT14" i="54"/>
  <c r="DU14" i="54"/>
  <c r="DV14" i="54"/>
  <c r="DT15" i="54"/>
  <c r="DU15" i="54"/>
  <c r="DV15" i="54"/>
  <c r="DT16" i="54"/>
  <c r="DU16" i="54"/>
  <c r="DV16" i="54"/>
  <c r="DT17" i="54"/>
  <c r="DU17" i="54"/>
  <c r="DV17" i="54"/>
  <c r="DT18" i="54"/>
  <c r="DU18" i="54"/>
  <c r="DV18" i="54"/>
  <c r="DT19" i="54"/>
  <c r="DU19" i="54"/>
  <c r="DV19" i="54"/>
  <c r="DT20" i="54"/>
  <c r="DU20" i="54"/>
  <c r="DV20" i="54"/>
  <c r="DT21" i="54"/>
  <c r="DU21" i="54"/>
  <c r="DV21" i="54"/>
  <c r="DT22" i="54"/>
  <c r="DU22" i="54"/>
  <c r="DV22" i="54"/>
  <c r="DT23" i="54"/>
  <c r="DU23" i="54"/>
  <c r="DV23" i="54"/>
  <c r="DT24" i="54"/>
  <c r="DU24" i="54"/>
  <c r="DV24" i="54"/>
  <c r="DT25" i="54"/>
  <c r="DU25" i="54"/>
  <c r="DV25" i="54"/>
  <c r="DT26" i="54"/>
  <c r="DU26" i="54"/>
  <c r="DV26" i="54"/>
  <c r="DT27" i="54"/>
  <c r="DU27" i="54"/>
  <c r="DV27" i="54"/>
  <c r="DT28" i="54"/>
  <c r="DU28" i="54"/>
  <c r="DV28" i="54"/>
  <c r="DT29" i="54"/>
  <c r="DU29" i="54"/>
  <c r="DV29" i="54"/>
  <c r="DT30" i="54"/>
  <c r="DU30" i="54"/>
  <c r="DV30" i="54"/>
  <c r="DT31" i="54"/>
  <c r="DU31" i="54"/>
  <c r="DV31" i="54"/>
  <c r="DT32" i="54"/>
  <c r="DU32" i="54"/>
  <c r="DV32" i="54"/>
  <c r="DT33" i="54"/>
  <c r="DU33" i="54"/>
  <c r="DV33" i="54"/>
  <c r="DT34" i="54"/>
  <c r="DU34" i="54"/>
  <c r="DV34" i="54"/>
  <c r="DT35" i="54"/>
  <c r="DU35" i="54"/>
  <c r="DV35" i="54"/>
  <c r="DT36" i="54"/>
  <c r="DU36" i="54"/>
  <c r="DV36" i="54"/>
  <c r="DT37" i="54"/>
  <c r="DU37" i="54"/>
  <c r="DV37" i="54"/>
  <c r="DT38" i="54"/>
  <c r="DU38" i="54"/>
  <c r="DV38" i="54"/>
  <c r="DT39" i="54"/>
  <c r="DU39" i="54"/>
  <c r="DV39" i="54"/>
  <c r="DT40" i="54"/>
  <c r="DU40" i="54"/>
  <c r="DV40" i="54"/>
  <c r="DT41" i="54"/>
  <c r="DU41" i="54"/>
  <c r="DV41" i="54"/>
  <c r="DT42" i="54"/>
  <c r="DU42" i="54"/>
  <c r="DV42" i="54"/>
  <c r="DT43" i="54"/>
  <c r="DU43" i="54"/>
  <c r="DV43" i="54"/>
  <c r="DT44" i="54"/>
  <c r="DU44" i="54"/>
  <c r="DV44" i="54"/>
  <c r="DT45" i="54"/>
  <c r="DU45" i="54"/>
  <c r="DV45" i="54"/>
  <c r="DT46" i="54"/>
  <c r="DU46" i="54"/>
  <c r="DV46" i="54"/>
  <c r="DT47" i="54"/>
  <c r="DU47" i="54"/>
  <c r="DV47" i="54"/>
  <c r="DT48" i="54"/>
  <c r="DU48" i="54"/>
  <c r="DV48" i="54"/>
  <c r="DT49" i="54"/>
  <c r="DU49" i="54"/>
  <c r="DV49" i="54"/>
  <c r="DT50" i="54"/>
  <c r="DU50" i="54"/>
  <c r="DV50" i="54"/>
  <c r="DT51" i="54"/>
  <c r="DU51" i="54"/>
  <c r="DV51" i="54"/>
  <c r="DT52" i="54"/>
  <c r="DU52" i="54"/>
  <c r="DV52" i="54"/>
  <c r="DT53" i="54"/>
  <c r="DU53" i="54"/>
  <c r="DV53" i="54"/>
  <c r="DT54" i="54"/>
  <c r="DU54" i="54"/>
  <c r="DV54" i="54"/>
  <c r="DT55" i="54"/>
  <c r="DU55" i="54"/>
  <c r="DV55" i="54"/>
  <c r="DT56" i="54"/>
  <c r="DU56" i="54"/>
  <c r="DV56" i="54"/>
  <c r="DT57" i="54"/>
  <c r="DU57" i="54"/>
  <c r="DV57" i="54"/>
  <c r="DT58" i="54"/>
  <c r="DU58" i="54"/>
  <c r="DV58" i="54"/>
  <c r="DT59" i="54"/>
  <c r="DU59" i="54"/>
  <c r="DV59" i="54"/>
  <c r="DT60" i="54"/>
  <c r="DU60" i="54"/>
  <c r="DV60" i="54"/>
  <c r="DT61" i="54"/>
  <c r="DU61" i="54"/>
  <c r="DV61" i="54"/>
  <c r="DT62" i="54"/>
  <c r="DU62" i="54"/>
  <c r="DV62" i="54"/>
  <c r="DT63" i="54"/>
  <c r="DU63" i="54"/>
  <c r="DV63" i="54"/>
  <c r="DT64" i="54"/>
  <c r="DU64" i="54"/>
  <c r="DV64" i="54"/>
  <c r="DT65" i="54"/>
  <c r="DU65" i="54"/>
  <c r="DV65" i="54"/>
  <c r="DT66" i="54"/>
  <c r="DU66" i="54"/>
  <c r="DV66" i="54"/>
  <c r="DT67" i="54"/>
  <c r="DU67" i="54"/>
  <c r="DV67" i="54"/>
  <c r="DT68" i="54"/>
  <c r="DU68" i="54"/>
  <c r="DV68" i="54"/>
  <c r="DT69" i="54"/>
  <c r="DU69" i="54"/>
  <c r="DV69" i="54"/>
  <c r="DT70" i="54"/>
  <c r="DU70" i="54"/>
  <c r="DV70" i="54"/>
  <c r="DT71" i="54"/>
  <c r="DU71" i="54"/>
  <c r="DV71" i="54"/>
  <c r="DT72" i="54"/>
  <c r="DU72" i="54"/>
  <c r="DV72" i="54"/>
  <c r="DT73" i="54"/>
  <c r="DU73" i="54"/>
  <c r="DV73" i="54"/>
  <c r="DT74" i="54"/>
  <c r="DU74" i="54"/>
  <c r="DV74" i="54"/>
  <c r="DT75" i="54"/>
  <c r="DU75" i="54"/>
  <c r="DV75" i="54"/>
  <c r="DT76" i="54"/>
  <c r="DU76" i="54"/>
  <c r="DV76" i="54"/>
  <c r="DT77" i="54"/>
  <c r="DU77" i="54"/>
  <c r="DV77" i="54"/>
  <c r="DT78" i="54"/>
  <c r="DU78" i="54"/>
  <c r="DV78" i="54"/>
  <c r="DT79" i="54"/>
  <c r="DU79" i="54"/>
  <c r="DV79" i="54"/>
  <c r="DT80" i="54"/>
  <c r="DU80" i="54"/>
  <c r="DV80" i="54"/>
  <c r="DT81" i="54"/>
  <c r="DU81" i="54"/>
  <c r="DV81" i="54"/>
  <c r="DT82" i="54"/>
  <c r="DU82" i="54"/>
  <c r="DV82" i="54"/>
  <c r="DT83" i="54"/>
  <c r="DU83" i="54"/>
  <c r="DV83" i="54"/>
  <c r="DT84" i="54"/>
  <c r="DU84" i="54"/>
  <c r="DV84" i="54"/>
  <c r="DT85" i="54"/>
  <c r="DU85" i="54"/>
  <c r="DV85" i="54"/>
  <c r="DT86" i="54"/>
  <c r="DU86" i="54"/>
  <c r="DV86" i="54"/>
  <c r="DT87" i="54"/>
  <c r="DU87" i="54"/>
  <c r="DV87" i="54"/>
  <c r="DT88" i="54"/>
  <c r="DU88" i="54"/>
  <c r="DV88" i="54"/>
  <c r="DT89" i="54"/>
  <c r="DU89" i="54"/>
  <c r="DV89" i="54"/>
  <c r="DT90" i="54"/>
  <c r="DU90" i="54"/>
  <c r="DV90" i="54"/>
  <c r="DT91" i="54"/>
  <c r="DU91" i="54"/>
  <c r="DV91" i="54"/>
  <c r="DT92" i="54"/>
  <c r="DU92" i="54"/>
  <c r="DV92" i="54"/>
  <c r="DT93" i="54"/>
  <c r="DU93" i="54"/>
  <c r="DV93" i="54"/>
  <c r="DT94" i="54"/>
  <c r="DU94" i="54"/>
  <c r="DV94" i="54"/>
  <c r="DT95" i="54"/>
  <c r="DU95" i="54"/>
  <c r="DV95" i="54"/>
  <c r="DT96" i="54"/>
  <c r="DU96" i="54"/>
  <c r="DV96" i="54"/>
  <c r="DT97" i="54"/>
  <c r="DU97" i="54"/>
  <c r="DV97" i="54"/>
  <c r="DT98" i="54"/>
  <c r="DU98" i="54"/>
  <c r="DV98" i="54"/>
  <c r="DT99" i="54"/>
  <c r="DU99" i="54"/>
  <c r="DV99" i="54"/>
  <c r="DT100" i="54"/>
  <c r="DU100" i="54"/>
  <c r="DV100" i="54"/>
  <c r="DT101" i="54"/>
  <c r="DU101" i="54"/>
  <c r="DV101" i="54"/>
  <c r="DT102" i="54"/>
  <c r="DU102" i="54"/>
  <c r="DV102" i="54"/>
  <c r="DT103" i="54"/>
  <c r="DU103" i="54"/>
  <c r="DV103" i="54"/>
  <c r="DT104" i="54"/>
  <c r="DU104" i="54"/>
  <c r="DV104" i="54"/>
  <c r="DT105" i="54"/>
  <c r="DU105" i="54"/>
  <c r="DV105" i="54"/>
  <c r="DT106" i="54"/>
  <c r="DU106" i="54"/>
  <c r="DV106" i="54"/>
  <c r="DT107" i="54"/>
  <c r="DU107" i="54"/>
  <c r="DV107" i="54"/>
  <c r="DT108" i="54"/>
  <c r="DU108" i="54"/>
  <c r="DV108" i="54"/>
  <c r="DT109" i="54"/>
  <c r="DU109" i="54"/>
  <c r="DV109" i="54"/>
  <c r="DT110" i="54"/>
  <c r="DU110" i="54"/>
  <c r="DV110" i="54"/>
  <c r="DT111" i="54"/>
  <c r="DU111" i="54"/>
  <c r="DV111" i="54"/>
  <c r="DT112" i="54"/>
  <c r="DU112" i="54"/>
  <c r="DV112" i="54"/>
  <c r="DT113" i="54"/>
  <c r="DU113" i="54"/>
  <c r="DV113" i="54"/>
  <c r="DT114" i="54"/>
  <c r="DU114" i="54"/>
  <c r="DV114" i="54"/>
  <c r="DT115" i="54"/>
  <c r="DU115" i="54"/>
  <c r="DV115" i="54"/>
  <c r="DT116" i="54"/>
  <c r="DU116" i="54"/>
  <c r="DV116" i="54"/>
  <c r="DT117" i="54"/>
  <c r="DU117" i="54"/>
  <c r="DV117" i="54"/>
  <c r="DT118" i="54"/>
  <c r="DU118" i="54"/>
  <c r="DV118" i="54"/>
  <c r="DT119" i="54"/>
  <c r="DU119" i="54"/>
  <c r="DV119" i="54"/>
  <c r="DT120" i="54"/>
  <c r="DU120" i="54"/>
  <c r="DV120" i="54"/>
  <c r="DT121" i="54"/>
  <c r="DU121" i="54"/>
  <c r="DV121" i="54"/>
  <c r="DT122" i="54"/>
  <c r="DU122" i="54"/>
  <c r="DV122" i="54"/>
  <c r="DT123" i="54"/>
  <c r="DU123" i="54"/>
  <c r="DV123" i="54"/>
  <c r="DT124" i="54"/>
  <c r="DU124" i="54"/>
  <c r="DV124" i="54"/>
  <c r="DT125" i="54"/>
  <c r="DU125" i="54"/>
  <c r="DV125" i="54"/>
  <c r="DT126" i="54"/>
  <c r="DU126" i="54"/>
  <c r="DV126" i="54"/>
  <c r="DT127" i="54"/>
  <c r="DU127" i="54"/>
  <c r="DV127" i="54"/>
  <c r="DT128" i="54"/>
  <c r="DU128" i="54"/>
  <c r="DV128" i="54"/>
  <c r="DT129" i="54"/>
  <c r="DU129" i="54"/>
  <c r="DV129" i="54"/>
  <c r="DT130" i="54"/>
  <c r="DU130" i="54"/>
  <c r="DV130" i="54"/>
  <c r="DT131" i="54"/>
  <c r="DU131" i="54"/>
  <c r="DV131" i="54"/>
  <c r="DT132" i="54"/>
  <c r="DU132" i="54"/>
  <c r="DV132" i="54"/>
  <c r="DT133" i="54"/>
  <c r="DU133" i="54"/>
  <c r="DV133" i="54"/>
  <c r="DT134" i="54"/>
  <c r="DU134" i="54"/>
  <c r="DV134" i="54"/>
  <c r="DT135" i="54"/>
  <c r="DU135" i="54"/>
  <c r="DV135" i="54"/>
  <c r="DT136" i="54"/>
  <c r="DU136" i="54"/>
  <c r="DV136" i="54"/>
  <c r="DT137" i="54"/>
  <c r="DU137" i="54"/>
  <c r="DV137" i="54"/>
  <c r="DT138" i="54"/>
  <c r="DU138" i="54"/>
  <c r="DV138" i="54"/>
  <c r="DT139" i="54"/>
  <c r="DU139" i="54"/>
  <c r="DV139" i="54"/>
  <c r="DT140" i="54"/>
  <c r="DU140" i="54"/>
  <c r="DV140" i="54"/>
  <c r="DT141" i="54"/>
  <c r="DU141" i="54"/>
  <c r="DV141" i="54"/>
  <c r="DT142" i="54"/>
  <c r="DU142" i="54"/>
  <c r="DV142" i="54"/>
  <c r="DT143" i="54"/>
  <c r="DU143" i="54"/>
  <c r="DV143" i="54"/>
  <c r="DT144" i="54"/>
  <c r="DU144" i="54"/>
  <c r="DV144" i="54"/>
  <c r="DT145" i="54"/>
  <c r="DU145" i="54"/>
  <c r="DV145" i="54"/>
  <c r="DT146" i="54"/>
  <c r="DU146" i="54"/>
  <c r="DV146" i="54"/>
  <c r="DT147" i="54"/>
  <c r="DU147" i="54"/>
  <c r="DV147" i="54"/>
  <c r="DT148" i="54"/>
  <c r="DU148" i="54"/>
  <c r="DV148" i="54"/>
  <c r="DT149" i="54"/>
  <c r="DU149" i="54"/>
  <c r="DV149" i="54"/>
  <c r="DT150" i="54"/>
  <c r="DU150" i="54"/>
  <c r="DV150" i="54"/>
  <c r="DT151" i="54"/>
  <c r="DU151" i="54"/>
  <c r="DV151" i="54"/>
  <c r="DT152" i="54"/>
  <c r="DU152" i="54"/>
  <c r="DV152" i="54"/>
  <c r="DT153" i="54"/>
  <c r="DU153" i="54"/>
  <c r="DV153" i="54"/>
  <c r="DT154" i="54"/>
  <c r="DU154" i="54"/>
  <c r="DV154" i="54"/>
  <c r="DT155" i="54"/>
  <c r="DU155" i="54"/>
  <c r="DV155" i="54"/>
  <c r="DT156" i="54"/>
  <c r="DU156" i="54"/>
  <c r="DV156" i="54"/>
  <c r="DT157" i="54"/>
  <c r="DU157" i="54"/>
  <c r="DV157" i="54"/>
  <c r="DT158" i="54"/>
  <c r="DU158" i="54"/>
  <c r="DV158" i="54"/>
  <c r="DT159" i="54"/>
  <c r="DU159" i="54"/>
  <c r="DV159" i="54"/>
  <c r="DT160" i="54"/>
  <c r="DU160" i="54"/>
  <c r="DV160" i="54"/>
  <c r="DT161" i="54"/>
  <c r="DU161" i="54"/>
  <c r="DV161" i="54"/>
  <c r="DT162" i="54"/>
  <c r="DU162" i="54"/>
  <c r="DV162" i="54"/>
  <c r="DT163" i="54"/>
  <c r="DU163" i="54"/>
  <c r="DV163" i="54"/>
  <c r="DT164" i="54"/>
  <c r="DU164" i="54"/>
  <c r="DV164" i="54"/>
  <c r="DT165" i="54"/>
  <c r="DU165" i="54"/>
  <c r="DV165" i="54"/>
  <c r="DT166" i="54"/>
  <c r="DU166" i="54"/>
  <c r="DV166" i="54"/>
  <c r="DT167" i="54"/>
  <c r="DU167" i="54"/>
  <c r="DV167" i="54"/>
  <c r="DT168" i="54"/>
  <c r="DU168" i="54"/>
  <c r="DV168" i="54"/>
  <c r="DT169" i="54"/>
  <c r="DU169" i="54"/>
  <c r="DV169" i="54"/>
  <c r="DT170" i="54"/>
  <c r="DU170" i="54"/>
  <c r="DV170" i="54"/>
  <c r="DT171" i="54"/>
  <c r="DU171" i="54"/>
  <c r="DV171" i="54"/>
  <c r="DT172" i="54"/>
  <c r="DU172" i="54"/>
  <c r="DV172" i="54"/>
  <c r="DT173" i="54"/>
  <c r="DU173" i="54"/>
  <c r="DV173" i="54"/>
  <c r="DT174" i="54"/>
  <c r="DU174" i="54"/>
  <c r="DV174" i="54"/>
  <c r="DT175" i="54"/>
  <c r="DU175" i="54"/>
  <c r="DV175" i="54"/>
  <c r="DT176" i="54"/>
  <c r="DU176" i="54"/>
  <c r="DV176" i="54"/>
  <c r="DT177" i="54"/>
  <c r="DU177" i="54"/>
  <c r="DV177" i="54"/>
  <c r="DT178" i="54"/>
  <c r="DU178" i="54"/>
  <c r="DV178" i="54"/>
  <c r="DT179" i="54"/>
  <c r="DU179" i="54"/>
  <c r="DV179" i="54"/>
  <c r="DT180" i="54"/>
  <c r="DU180" i="54"/>
  <c r="DV180" i="54"/>
  <c r="DT181" i="54"/>
  <c r="DU181" i="54"/>
  <c r="DV181" i="54"/>
  <c r="DT182" i="54"/>
  <c r="DU182" i="54"/>
  <c r="DV182" i="54"/>
  <c r="DT183" i="54"/>
  <c r="DU183" i="54"/>
  <c r="DV183" i="54"/>
  <c r="DT184" i="54"/>
  <c r="DU184" i="54"/>
  <c r="DV184" i="54"/>
  <c r="DT185" i="54"/>
  <c r="DU185" i="54"/>
  <c r="DV185" i="54"/>
  <c r="DT186" i="54"/>
  <c r="DU186" i="54"/>
  <c r="DV186" i="54"/>
  <c r="DT187" i="54"/>
  <c r="DU187" i="54"/>
  <c r="DV187" i="54"/>
  <c r="DT188" i="54"/>
  <c r="DU188" i="54"/>
  <c r="DV188" i="54"/>
  <c r="DT189" i="54"/>
  <c r="DU189" i="54"/>
  <c r="DV189" i="54"/>
  <c r="DT190" i="54"/>
  <c r="DU190" i="54"/>
  <c r="DV190" i="54"/>
  <c r="DT191" i="54"/>
  <c r="DU191" i="54"/>
  <c r="DV191" i="54"/>
  <c r="DT192" i="54"/>
  <c r="DU192" i="54"/>
  <c r="DV192" i="54"/>
  <c r="DT193" i="54"/>
  <c r="DU193" i="54"/>
  <c r="DV193" i="54"/>
  <c r="DT194" i="54"/>
  <c r="DU194" i="54"/>
  <c r="DV194" i="54"/>
  <c r="DT195" i="54"/>
  <c r="DU195" i="54"/>
  <c r="DV195" i="54"/>
  <c r="DT196" i="54"/>
  <c r="DU196" i="54"/>
  <c r="DV196" i="54"/>
  <c r="DT197" i="54"/>
  <c r="DU197" i="54"/>
  <c r="DV197" i="54"/>
  <c r="DT198" i="54"/>
  <c r="DU198" i="54"/>
  <c r="DV198" i="54"/>
  <c r="DT199" i="54"/>
  <c r="DU199" i="54"/>
  <c r="DV199" i="54"/>
  <c r="DT200" i="54"/>
  <c r="DU200" i="54"/>
  <c r="DV200" i="54"/>
  <c r="DT201" i="54"/>
  <c r="DU201" i="54"/>
  <c r="DV201" i="54"/>
  <c r="DT202" i="54"/>
  <c r="DU202" i="54"/>
  <c r="DV202" i="54"/>
  <c r="DT203" i="54"/>
  <c r="DU203" i="54"/>
  <c r="DV203" i="54"/>
  <c r="DT204" i="54"/>
  <c r="DU204" i="54"/>
  <c r="DV204" i="54"/>
  <c r="DT205" i="54"/>
  <c r="DU205" i="54"/>
  <c r="DV205" i="54"/>
  <c r="DT206" i="54"/>
  <c r="DU206" i="54"/>
  <c r="DV206" i="54"/>
  <c r="DT207" i="54"/>
  <c r="DU207" i="54"/>
  <c r="DV207" i="54"/>
  <c r="DT208" i="54"/>
  <c r="DU208" i="54"/>
  <c r="DV208" i="54"/>
  <c r="DT209" i="54"/>
  <c r="DU209" i="54"/>
  <c r="DV209" i="54"/>
  <c r="DT210" i="54"/>
  <c r="DU210" i="54"/>
  <c r="DV210" i="54"/>
  <c r="DT211" i="54"/>
  <c r="DU211" i="54"/>
  <c r="DV211" i="54"/>
  <c r="DT212" i="54"/>
  <c r="DU212" i="54"/>
  <c r="DV212" i="54"/>
  <c r="DT213" i="54"/>
  <c r="DU213" i="54"/>
  <c r="DV213" i="54"/>
  <c r="DT214" i="54"/>
  <c r="DU214" i="54"/>
  <c r="DV214" i="54"/>
  <c r="DT215" i="54"/>
  <c r="DU215" i="54"/>
  <c r="DV215" i="54"/>
  <c r="DT216" i="54"/>
  <c r="DU216" i="54"/>
  <c r="DV216" i="54"/>
  <c r="DT217" i="54"/>
  <c r="DU217" i="54"/>
  <c r="DV217" i="54"/>
  <c r="DT218" i="54"/>
  <c r="DU218" i="54"/>
  <c r="DV218" i="54"/>
  <c r="DT219" i="54"/>
  <c r="DU219" i="54"/>
  <c r="DV219" i="54"/>
  <c r="DT220" i="54"/>
  <c r="DU220" i="54"/>
  <c r="DV220" i="54"/>
  <c r="DT221" i="54"/>
  <c r="DU221" i="54"/>
  <c r="DV221" i="54"/>
  <c r="DT222" i="54"/>
  <c r="DU222" i="54"/>
  <c r="DV222" i="54"/>
  <c r="DT223" i="54"/>
  <c r="DU223" i="54"/>
  <c r="DV223" i="54"/>
  <c r="DT224" i="54"/>
  <c r="DU224" i="54"/>
  <c r="DV224" i="54"/>
  <c r="DT225" i="54"/>
  <c r="DU225" i="54"/>
  <c r="DV225" i="54"/>
  <c r="DT226" i="54"/>
  <c r="DU226" i="54"/>
  <c r="DV226" i="54"/>
  <c r="DT227" i="54"/>
  <c r="DU227" i="54"/>
  <c r="DV227" i="54"/>
  <c r="DT228" i="54"/>
  <c r="DU228" i="54"/>
  <c r="DV228" i="54"/>
  <c r="DT229" i="54"/>
  <c r="DU229" i="54"/>
  <c r="DV229" i="54"/>
  <c r="DT230" i="54"/>
  <c r="DU230" i="54"/>
  <c r="DV230" i="54"/>
  <c r="DT231" i="54"/>
  <c r="DU231" i="54"/>
  <c r="DV231" i="54"/>
  <c r="DT232" i="54"/>
  <c r="DU232" i="54"/>
  <c r="DV232" i="54"/>
  <c r="DT233" i="54"/>
  <c r="DU233" i="54"/>
  <c r="DV233" i="54"/>
  <c r="DT234" i="54"/>
  <c r="DU234" i="54"/>
  <c r="DV234" i="54"/>
  <c r="DT235" i="54"/>
  <c r="DU235" i="54"/>
  <c r="DV235" i="54"/>
  <c r="DT236" i="54"/>
  <c r="DU236" i="54"/>
  <c r="DV236" i="54"/>
  <c r="DT237" i="54"/>
  <c r="DU237" i="54"/>
  <c r="DV237" i="54"/>
  <c r="DT238" i="54"/>
  <c r="DU238" i="54"/>
  <c r="DV238" i="54"/>
  <c r="DT239" i="54"/>
  <c r="DU239" i="54"/>
  <c r="DV239" i="54"/>
  <c r="DT240" i="54"/>
  <c r="DU240" i="54"/>
  <c r="DV240" i="54"/>
  <c r="DT241" i="54"/>
  <c r="DU241" i="54"/>
  <c r="DV241" i="54"/>
  <c r="DT242" i="54"/>
  <c r="DU242" i="54"/>
  <c r="DV242" i="54"/>
  <c r="DT243" i="54"/>
  <c r="DU243" i="54"/>
  <c r="DV243" i="54"/>
  <c r="DT244" i="54"/>
  <c r="DU244" i="54"/>
  <c r="DV244" i="54"/>
  <c r="DU245" i="54"/>
  <c r="DU246" i="54"/>
  <c r="DU247" i="54"/>
  <c r="DU248" i="54"/>
  <c r="DU249" i="54"/>
  <c r="DU250" i="54"/>
  <c r="DU251" i="54"/>
  <c r="DU252" i="54"/>
  <c r="DU253" i="54"/>
  <c r="DU254" i="54"/>
  <c r="DU255" i="54"/>
  <c r="DU256" i="54"/>
  <c r="DU257" i="54"/>
  <c r="DU258" i="54"/>
  <c r="DU259" i="54"/>
  <c r="DU260" i="54"/>
  <c r="DU261" i="54"/>
  <c r="DU262" i="54"/>
  <c r="DU263" i="54"/>
  <c r="DU264" i="54"/>
  <c r="DT265" i="54"/>
  <c r="DU265" i="54"/>
  <c r="DV265" i="54"/>
  <c r="DT266" i="54"/>
  <c r="DU266" i="54"/>
  <c r="DV266" i="54"/>
  <c r="DT267" i="54"/>
  <c r="DU267" i="54"/>
  <c r="DV267" i="54"/>
  <c r="DT268" i="54"/>
  <c r="DU268" i="54"/>
  <c r="DV268" i="54"/>
  <c r="DT269" i="54"/>
  <c r="DU269" i="54"/>
  <c r="DV269" i="54"/>
  <c r="DT270" i="54"/>
  <c r="DU270" i="54"/>
  <c r="DV270" i="54"/>
  <c r="DT271" i="54"/>
  <c r="DU271" i="54"/>
  <c r="DV271" i="54"/>
  <c r="DT272" i="54"/>
  <c r="DU272" i="54"/>
  <c r="DV272" i="54"/>
  <c r="DT273" i="54"/>
  <c r="DU273" i="54"/>
  <c r="DV273" i="54"/>
  <c r="DT274" i="54"/>
  <c r="DU274" i="54"/>
  <c r="DV274" i="54"/>
  <c r="DT275" i="54"/>
  <c r="DU275" i="54"/>
  <c r="DV275" i="54"/>
  <c r="DT276" i="54"/>
  <c r="DU276" i="54"/>
  <c r="DV276" i="54"/>
  <c r="DT277" i="54"/>
  <c r="DU277" i="54"/>
  <c r="DV277" i="54"/>
  <c r="DT278" i="54"/>
  <c r="DU278" i="54"/>
  <c r="DV278" i="54"/>
  <c r="DT279" i="54"/>
  <c r="DU279" i="54"/>
  <c r="DV279" i="54"/>
  <c r="DT280" i="54"/>
  <c r="DU280" i="54"/>
  <c r="DV280" i="54"/>
  <c r="DT281" i="54"/>
  <c r="DU281" i="54"/>
  <c r="DV281" i="54"/>
  <c r="DT282" i="54"/>
  <c r="DU282" i="54"/>
  <c r="DV282" i="54"/>
  <c r="DT283" i="54"/>
  <c r="DU283" i="54"/>
  <c r="DV283" i="54"/>
  <c r="DT284" i="54"/>
  <c r="DU284" i="54"/>
  <c r="DV284" i="54"/>
  <c r="DT285" i="54"/>
  <c r="DU285" i="54"/>
  <c r="DV285" i="54"/>
  <c r="DT286" i="54"/>
  <c r="DU286" i="54"/>
  <c r="DV286" i="54"/>
  <c r="DT287" i="54"/>
  <c r="DU287" i="54"/>
  <c r="DV287" i="54"/>
  <c r="DT288" i="54"/>
  <c r="DU288" i="54"/>
  <c r="DV288" i="54"/>
  <c r="DT289" i="54"/>
  <c r="DU289" i="54"/>
  <c r="DV289" i="54"/>
  <c r="DT290" i="54"/>
  <c r="DU290" i="54"/>
  <c r="DV290" i="54"/>
  <c r="DT291" i="54"/>
  <c r="DU291" i="54"/>
  <c r="DV291" i="54"/>
  <c r="DT292" i="54"/>
  <c r="DU292" i="54"/>
  <c r="DV292" i="54"/>
  <c r="DT293" i="54"/>
  <c r="DU293" i="54"/>
  <c r="DV293" i="54"/>
  <c r="DT294" i="54"/>
  <c r="DU294" i="54"/>
  <c r="DV294" i="54"/>
  <c r="DT295" i="54"/>
  <c r="DU295" i="54"/>
  <c r="DV295" i="54"/>
  <c r="DT296" i="54"/>
  <c r="DU296" i="54"/>
  <c r="DV296" i="54"/>
  <c r="DT297" i="54"/>
  <c r="DU297" i="54"/>
  <c r="DV297" i="54"/>
  <c r="DT298" i="54"/>
  <c r="DU298" i="54"/>
  <c r="DV298" i="54"/>
  <c r="DT299" i="54"/>
  <c r="DU299" i="54"/>
  <c r="DV299" i="54"/>
  <c r="DT300" i="54"/>
  <c r="DU300" i="54"/>
  <c r="DV300" i="54"/>
  <c r="DT301" i="54"/>
  <c r="DU301" i="54"/>
  <c r="DV301" i="54"/>
  <c r="DT302" i="54"/>
  <c r="DU302" i="54"/>
  <c r="DV302" i="54"/>
  <c r="DT303" i="54"/>
  <c r="DU303" i="54"/>
  <c r="DV303" i="54"/>
  <c r="DT304" i="54"/>
  <c r="DU304" i="54"/>
  <c r="DV304" i="54"/>
  <c r="DT305" i="54"/>
  <c r="DU305" i="54"/>
  <c r="DV305" i="54"/>
  <c r="DT306" i="54"/>
  <c r="DU306" i="54"/>
  <c r="DV306" i="54"/>
  <c r="DT307" i="54"/>
  <c r="DU307" i="54"/>
  <c r="DV307" i="54"/>
  <c r="DT308" i="54"/>
  <c r="DU308" i="54"/>
  <c r="DV308" i="54"/>
  <c r="DT309" i="54"/>
  <c r="DU309" i="54"/>
  <c r="DV309" i="54"/>
  <c r="DT310" i="54"/>
  <c r="DU310" i="54"/>
  <c r="DV310" i="54"/>
  <c r="DT311" i="54"/>
  <c r="DU311" i="54"/>
  <c r="DV311" i="54"/>
  <c r="DT312" i="54"/>
  <c r="DU312" i="54"/>
  <c r="DV312" i="54"/>
  <c r="DT313" i="54"/>
  <c r="DU313" i="54"/>
  <c r="DV313" i="54"/>
  <c r="DT314" i="54"/>
  <c r="DU314" i="54"/>
  <c r="DV314" i="54"/>
  <c r="DT315" i="54"/>
  <c r="DU315" i="54"/>
  <c r="DV315" i="54"/>
  <c r="DT316" i="54"/>
  <c r="DU316" i="54"/>
  <c r="DV316" i="54"/>
  <c r="DT317" i="54"/>
  <c r="DU317" i="54"/>
  <c r="DV317" i="54"/>
  <c r="DT318" i="54"/>
  <c r="DU318" i="54"/>
  <c r="DV318" i="54"/>
  <c r="DT319" i="54"/>
  <c r="DU319" i="54"/>
  <c r="DV319" i="54"/>
  <c r="DT320" i="54"/>
  <c r="DU320" i="54"/>
  <c r="DV320" i="54"/>
  <c r="DT321" i="54"/>
  <c r="DU321" i="54"/>
  <c r="DV321" i="54"/>
  <c r="DT322" i="54"/>
  <c r="DU322" i="54"/>
  <c r="DV322" i="54"/>
  <c r="DT323" i="54"/>
  <c r="DU323" i="54"/>
  <c r="DV323" i="54"/>
  <c r="DT324" i="54"/>
  <c r="DU324" i="54"/>
  <c r="DV324" i="54"/>
  <c r="DT325" i="54"/>
  <c r="DU325" i="54"/>
  <c r="DV325" i="54"/>
  <c r="DT326" i="54"/>
  <c r="DU326" i="54"/>
  <c r="DV326" i="54"/>
  <c r="DT327" i="54"/>
  <c r="DU327" i="54"/>
  <c r="DV327" i="54"/>
  <c r="DT328" i="54"/>
  <c r="DU328" i="54"/>
  <c r="DV328" i="54"/>
  <c r="DT329" i="54"/>
  <c r="DU329" i="54"/>
  <c r="DV329" i="54"/>
  <c r="DT330" i="54"/>
  <c r="DU330" i="54"/>
  <c r="DV330" i="54"/>
  <c r="DT331" i="54"/>
  <c r="DU331" i="54"/>
  <c r="DV331" i="54"/>
  <c r="DT332" i="54"/>
  <c r="DU332" i="54"/>
  <c r="DV332" i="54"/>
  <c r="DT333" i="54"/>
  <c r="DU333" i="54"/>
  <c r="DV333" i="54"/>
  <c r="DT334" i="54"/>
  <c r="DU334" i="54"/>
  <c r="DV334" i="54"/>
  <c r="DT335" i="54"/>
  <c r="DU335" i="54"/>
  <c r="DV335" i="54"/>
  <c r="DT336" i="54"/>
  <c r="DU336" i="54"/>
  <c r="DV336" i="54"/>
  <c r="DT337" i="54"/>
  <c r="DU337" i="54"/>
  <c r="DV337" i="54"/>
  <c r="DT338" i="54"/>
  <c r="DU338" i="54"/>
  <c r="DV338" i="54"/>
  <c r="DT339" i="54"/>
  <c r="DU339" i="54"/>
  <c r="DV339" i="54"/>
  <c r="DT340" i="54"/>
  <c r="DU340" i="54"/>
  <c r="DV340" i="54"/>
  <c r="DT341" i="54"/>
  <c r="DU341" i="54"/>
  <c r="DV341" i="54"/>
  <c r="DT342" i="54"/>
  <c r="DU342" i="54"/>
  <c r="DV342" i="54"/>
  <c r="DT343" i="54"/>
  <c r="DU343" i="54"/>
  <c r="DV343" i="54"/>
  <c r="DT344" i="54"/>
  <c r="DU344" i="54"/>
  <c r="DV344" i="54"/>
  <c r="DT345" i="54"/>
  <c r="DU345" i="54"/>
  <c r="DV345" i="54"/>
  <c r="DT346" i="54"/>
  <c r="DU346" i="54"/>
  <c r="DV346" i="54"/>
  <c r="DT347" i="54"/>
  <c r="DU347" i="54"/>
  <c r="DV347" i="54"/>
  <c r="DT348" i="54"/>
  <c r="DU348" i="54"/>
  <c r="DV348" i="54"/>
  <c r="DT349" i="54"/>
  <c r="DU349" i="54"/>
  <c r="DV349" i="54"/>
  <c r="DT350" i="54"/>
  <c r="DU350" i="54"/>
  <c r="DV350" i="54"/>
  <c r="DT351" i="54"/>
  <c r="DU351" i="54"/>
  <c r="DV351" i="54"/>
  <c r="DT352" i="54"/>
  <c r="DU352" i="54"/>
  <c r="DV352" i="54"/>
  <c r="DT353" i="54"/>
  <c r="DU353" i="54"/>
  <c r="DV353" i="54"/>
  <c r="DT354" i="54"/>
  <c r="DU354" i="54"/>
  <c r="DV354" i="54"/>
  <c r="DT355" i="54"/>
  <c r="DU355" i="54"/>
  <c r="DV355" i="54"/>
  <c r="DT356" i="54"/>
  <c r="DU356" i="54"/>
  <c r="DV356" i="54"/>
  <c r="DT357" i="54"/>
  <c r="DU357" i="54"/>
  <c r="DV357" i="54"/>
  <c r="DT358" i="54"/>
  <c r="DU358" i="54"/>
  <c r="DV358" i="54"/>
  <c r="DT359" i="54"/>
  <c r="DU359" i="54"/>
  <c r="DV359" i="54"/>
  <c r="DT360" i="54"/>
  <c r="DU360" i="54"/>
  <c r="DV360" i="54"/>
  <c r="DT361" i="54"/>
  <c r="DU361" i="54"/>
  <c r="DV361" i="54"/>
  <c r="DT362" i="54"/>
  <c r="DU362" i="54"/>
  <c r="DV362" i="54"/>
  <c r="DT363" i="54"/>
  <c r="DU363" i="54"/>
  <c r="DV363" i="54"/>
  <c r="DT364" i="54"/>
  <c r="DU364" i="54"/>
  <c r="DV364" i="54"/>
  <c r="DT385" i="54"/>
  <c r="DU385" i="54"/>
  <c r="DV385" i="54"/>
  <c r="DT386" i="54"/>
  <c r="DU386" i="54"/>
  <c r="DV386" i="54"/>
  <c r="DT387" i="54"/>
  <c r="DU387" i="54"/>
  <c r="DV387" i="54"/>
  <c r="DT388" i="54"/>
  <c r="DU388" i="54"/>
  <c r="DV388" i="54"/>
  <c r="DT389" i="54"/>
  <c r="DU389" i="54"/>
  <c r="DV389" i="54"/>
  <c r="DT390" i="54"/>
  <c r="DU390" i="54"/>
  <c r="DV390" i="54"/>
  <c r="DT391" i="54"/>
  <c r="DU391" i="54"/>
  <c r="DV391" i="54"/>
  <c r="DT392" i="54"/>
  <c r="DU392" i="54"/>
  <c r="DV392" i="54"/>
  <c r="DT393" i="54"/>
  <c r="DU393" i="54"/>
  <c r="DV393" i="54"/>
  <c r="DT394" i="54"/>
  <c r="DU394" i="54"/>
  <c r="DV394" i="54"/>
  <c r="DT395" i="54"/>
  <c r="DU395" i="54"/>
  <c r="DV395" i="54"/>
  <c r="DT396" i="54"/>
  <c r="DU396" i="54"/>
  <c r="DV396" i="54"/>
  <c r="DT397" i="54"/>
  <c r="DU397" i="54"/>
  <c r="DV397" i="54"/>
  <c r="DT398" i="54"/>
  <c r="DU398" i="54"/>
  <c r="DV398" i="54"/>
  <c r="DT399" i="54"/>
  <c r="DU399" i="54"/>
  <c r="DV399" i="54"/>
  <c r="DT400" i="54"/>
  <c r="DU400" i="54"/>
  <c r="DV400" i="54"/>
  <c r="DT401" i="54"/>
  <c r="DU401" i="54"/>
  <c r="DV401" i="54"/>
  <c r="DT402" i="54"/>
  <c r="DU402" i="54"/>
  <c r="DV402" i="54"/>
  <c r="DT403" i="54"/>
  <c r="DU403" i="54"/>
  <c r="DV403" i="54"/>
  <c r="DT404" i="54"/>
  <c r="DU404" i="54"/>
  <c r="DV404" i="54"/>
  <c r="DT405" i="54"/>
  <c r="DU405" i="54"/>
  <c r="DV405" i="54"/>
  <c r="DT406" i="54"/>
  <c r="DU406" i="54"/>
  <c r="DV406" i="54"/>
  <c r="DT407" i="54"/>
  <c r="DU407" i="54"/>
  <c r="DV407" i="54"/>
  <c r="DT408" i="54"/>
  <c r="DU408" i="54"/>
  <c r="DV408" i="54"/>
  <c r="DT409" i="54"/>
  <c r="DU409" i="54"/>
  <c r="DV409" i="54"/>
  <c r="DT410" i="54"/>
  <c r="DU410" i="54"/>
  <c r="DV410" i="54"/>
  <c r="DT411" i="54"/>
  <c r="DU411" i="54"/>
  <c r="DV411" i="54"/>
  <c r="DT412" i="54"/>
  <c r="DU412" i="54"/>
  <c r="DV412" i="54"/>
  <c r="DT413" i="54"/>
  <c r="DU413" i="54"/>
  <c r="DV413" i="54"/>
  <c r="DT414" i="54"/>
  <c r="DU414" i="54"/>
  <c r="DV414" i="54"/>
  <c r="DT415" i="54"/>
  <c r="DU415" i="54"/>
  <c r="DV415" i="54"/>
  <c r="DT416" i="54"/>
  <c r="DU416" i="54"/>
  <c r="DV416" i="54"/>
  <c r="DT417" i="54"/>
  <c r="DU417" i="54"/>
  <c r="DV417" i="54"/>
  <c r="DT418" i="54"/>
  <c r="DU418" i="54"/>
  <c r="DV418" i="54"/>
  <c r="DT419" i="54"/>
  <c r="DU419" i="54"/>
  <c r="DV419" i="54"/>
  <c r="DT420" i="54"/>
  <c r="DU420" i="54"/>
  <c r="DV420" i="54"/>
  <c r="DT421" i="54"/>
  <c r="DU421" i="54"/>
  <c r="DV421" i="54"/>
  <c r="DT422" i="54"/>
  <c r="DU422" i="54"/>
  <c r="DV422" i="54"/>
  <c r="DT423" i="54"/>
  <c r="DU423" i="54"/>
  <c r="DV423" i="54"/>
  <c r="DT424" i="54"/>
  <c r="DU424" i="54"/>
  <c r="DV424" i="54"/>
  <c r="DT445" i="54"/>
  <c r="DU445" i="54"/>
  <c r="DV445" i="54"/>
  <c r="DT446" i="54"/>
  <c r="DU446" i="54"/>
  <c r="DV446" i="54"/>
  <c r="DT447" i="54"/>
  <c r="DU447" i="54"/>
  <c r="DV447" i="54"/>
  <c r="DT448" i="54"/>
  <c r="DU448" i="54"/>
  <c r="DV448" i="54"/>
  <c r="DT449" i="54"/>
  <c r="DU449" i="54"/>
  <c r="DV449" i="54"/>
  <c r="DT450" i="54"/>
  <c r="DU450" i="54"/>
  <c r="DV450" i="54"/>
  <c r="DT451" i="54"/>
  <c r="DU451" i="54"/>
  <c r="DV451" i="54"/>
  <c r="DT452" i="54"/>
  <c r="DU452" i="54"/>
  <c r="DV452" i="54"/>
  <c r="DT453" i="54"/>
  <c r="DU453" i="54"/>
  <c r="DV453" i="54"/>
  <c r="DT454" i="54"/>
  <c r="DU454" i="54"/>
  <c r="DV454" i="54"/>
  <c r="DT455" i="54"/>
  <c r="DU455" i="54"/>
  <c r="DV455" i="54"/>
  <c r="DT456" i="54"/>
  <c r="DU456" i="54"/>
  <c r="DV456" i="54"/>
  <c r="DT457" i="54"/>
  <c r="DU457" i="54"/>
  <c r="DV457" i="54"/>
  <c r="DT458" i="54"/>
  <c r="DU458" i="54"/>
  <c r="DV458" i="54"/>
  <c r="DT459" i="54"/>
  <c r="DU459" i="54"/>
  <c r="DV459" i="54"/>
  <c r="DT460" i="54"/>
  <c r="DU460" i="54"/>
  <c r="DV460" i="54"/>
  <c r="DT461" i="54"/>
  <c r="DU461" i="54"/>
  <c r="DV461" i="54"/>
  <c r="DT462" i="54"/>
  <c r="DU462" i="54"/>
  <c r="DV462" i="54"/>
  <c r="DT463" i="54"/>
  <c r="DU463" i="54"/>
  <c r="DV463" i="54"/>
  <c r="DT464" i="54"/>
  <c r="DU464" i="54"/>
  <c r="DV464" i="54"/>
  <c r="DT465" i="54"/>
  <c r="DU465" i="54"/>
  <c r="DV465" i="54"/>
  <c r="DT466" i="54"/>
  <c r="DU466" i="54"/>
  <c r="DV466" i="54"/>
  <c r="DT467" i="54"/>
  <c r="DU467" i="54"/>
  <c r="DV467" i="54"/>
  <c r="DT468" i="54"/>
  <c r="DU468" i="54"/>
  <c r="DV468" i="54"/>
  <c r="DT469" i="54"/>
  <c r="DU469" i="54"/>
  <c r="DV469" i="54"/>
  <c r="DT470" i="54"/>
  <c r="DU470" i="54"/>
  <c r="DV470" i="54"/>
  <c r="DT471" i="54"/>
  <c r="DU471" i="54"/>
  <c r="DV471" i="54"/>
  <c r="DT472" i="54"/>
  <c r="DU472" i="54"/>
  <c r="DV472" i="54"/>
  <c r="DT473" i="54"/>
  <c r="DU473" i="54"/>
  <c r="DV473" i="54"/>
  <c r="DT474" i="54"/>
  <c r="DU474" i="54"/>
  <c r="DV474" i="54"/>
  <c r="DT475" i="54"/>
  <c r="DU475" i="54"/>
  <c r="DV475" i="54"/>
  <c r="DT476" i="54"/>
  <c r="DU476" i="54"/>
  <c r="DV476" i="54"/>
  <c r="DT477" i="54"/>
  <c r="DU477" i="54"/>
  <c r="DV477" i="54"/>
  <c r="DT478" i="54"/>
  <c r="DU478" i="54"/>
  <c r="DV478" i="54"/>
  <c r="DT479" i="54"/>
  <c r="DU479" i="54"/>
  <c r="DV479" i="54"/>
  <c r="DT480" i="54"/>
  <c r="DU480" i="54"/>
  <c r="DV480" i="54"/>
  <c r="DT481" i="54"/>
  <c r="DU481" i="54"/>
  <c r="DV481" i="54"/>
  <c r="DT482" i="54"/>
  <c r="DU482" i="54"/>
  <c r="DV482" i="54"/>
  <c r="DT483" i="54"/>
  <c r="DU483" i="54"/>
  <c r="DV483" i="54"/>
  <c r="DT484" i="54"/>
  <c r="DU484" i="54"/>
  <c r="DV484" i="54"/>
  <c r="DT485" i="54"/>
  <c r="DU485" i="54"/>
  <c r="DV485" i="54"/>
  <c r="DT486" i="54"/>
  <c r="DU486" i="54"/>
  <c r="DV486" i="54"/>
  <c r="DT487" i="54"/>
  <c r="DU487" i="54"/>
  <c r="DV487" i="54"/>
  <c r="DT488" i="54"/>
  <c r="DU488" i="54"/>
  <c r="DV488" i="54"/>
  <c r="DT489" i="54"/>
  <c r="DU489" i="54"/>
  <c r="DV489" i="54"/>
  <c r="DT490" i="54"/>
  <c r="DU490" i="54"/>
  <c r="DV490" i="54"/>
  <c r="DT491" i="54"/>
  <c r="DU491" i="54"/>
  <c r="DV491" i="54"/>
  <c r="DT492" i="54"/>
  <c r="DU492" i="54"/>
  <c r="DV492" i="54"/>
  <c r="DT493" i="54"/>
  <c r="DU493" i="54"/>
  <c r="DV493" i="54"/>
  <c r="DT494" i="54"/>
  <c r="DU494" i="54"/>
  <c r="DV494" i="54"/>
  <c r="DT495" i="54"/>
  <c r="DU495" i="54"/>
  <c r="DV495" i="54"/>
  <c r="DT496" i="54"/>
  <c r="DU496" i="54"/>
  <c r="DV496" i="54"/>
  <c r="DT497" i="54"/>
  <c r="DU497" i="54"/>
  <c r="DV497" i="54"/>
  <c r="DT498" i="54"/>
  <c r="DU498" i="54"/>
  <c r="DV498" i="54"/>
  <c r="DT499" i="54"/>
  <c r="DU499" i="54"/>
  <c r="DV499" i="54"/>
  <c r="DT500" i="54"/>
  <c r="DU500" i="54"/>
  <c r="DV500" i="54"/>
  <c r="DT501" i="54"/>
  <c r="DU501" i="54"/>
  <c r="DV501" i="54"/>
  <c r="DT502" i="54"/>
  <c r="DU502" i="54"/>
  <c r="DV502" i="54"/>
  <c r="DT503" i="54"/>
  <c r="DU503" i="54"/>
  <c r="DV503" i="54"/>
  <c r="DT504" i="54"/>
  <c r="DU504" i="54"/>
  <c r="DV504" i="54"/>
  <c r="DT505" i="54"/>
  <c r="DU505" i="54"/>
  <c r="DV505" i="54"/>
  <c r="DT506" i="54"/>
  <c r="DU506" i="54"/>
  <c r="DV506" i="54"/>
  <c r="DT507" i="54"/>
  <c r="DU507" i="54"/>
  <c r="DV507" i="54"/>
  <c r="DT508" i="54"/>
  <c r="DU508" i="54"/>
  <c r="DV508" i="54"/>
  <c r="DT509" i="54"/>
  <c r="DU509" i="54"/>
  <c r="DV509" i="54"/>
  <c r="DT510" i="54"/>
  <c r="DU510" i="54"/>
  <c r="DV510" i="54"/>
  <c r="DT511" i="54"/>
  <c r="DU511" i="54"/>
  <c r="DV511" i="54"/>
  <c r="DT512" i="54"/>
  <c r="DU512" i="54"/>
  <c r="DV512" i="54"/>
  <c r="DT513" i="54"/>
  <c r="DU513" i="54"/>
  <c r="DV513" i="54"/>
  <c r="DT514" i="54"/>
  <c r="DU514" i="54"/>
  <c r="DV514" i="54"/>
  <c r="DT515" i="54"/>
  <c r="DU515" i="54"/>
  <c r="DV515" i="54"/>
  <c r="DT516" i="54"/>
  <c r="DU516" i="54"/>
  <c r="DV516" i="54"/>
  <c r="DT517" i="54"/>
  <c r="DU517" i="54"/>
  <c r="DV517" i="54"/>
  <c r="DT518" i="54"/>
  <c r="DU518" i="54"/>
  <c r="DV518" i="54"/>
  <c r="DT519" i="54"/>
  <c r="DU519" i="54"/>
  <c r="DV519" i="54"/>
  <c r="DT520" i="54"/>
  <c r="DU520" i="54"/>
  <c r="DV520" i="54"/>
  <c r="DT521" i="54"/>
  <c r="DU521" i="54"/>
  <c r="DV521" i="54"/>
  <c r="DT522" i="54"/>
  <c r="DU522" i="54"/>
  <c r="DV522" i="54"/>
  <c r="DT523" i="54"/>
  <c r="DU523" i="54"/>
  <c r="DV523" i="54"/>
  <c r="DT524" i="54"/>
  <c r="DU524" i="54"/>
  <c r="DV524" i="54"/>
  <c r="DT525" i="54"/>
  <c r="DU525" i="54"/>
  <c r="DV525" i="54"/>
  <c r="DT526" i="54"/>
  <c r="DU526" i="54"/>
  <c r="DV526" i="54"/>
  <c r="DT527" i="54"/>
  <c r="DU527" i="54"/>
  <c r="DV527" i="54"/>
  <c r="DT528" i="54"/>
  <c r="DU528" i="54"/>
  <c r="DV528" i="54"/>
  <c r="DT529" i="54"/>
  <c r="DU529" i="54"/>
  <c r="DV529" i="54"/>
  <c r="DT530" i="54"/>
  <c r="DU530" i="54"/>
  <c r="DV530" i="54"/>
  <c r="DT531" i="54"/>
  <c r="DU531" i="54"/>
  <c r="DV531" i="54"/>
  <c r="DT532" i="54"/>
  <c r="DU532" i="54"/>
  <c r="DV532" i="54"/>
  <c r="DT533" i="54"/>
  <c r="DU533" i="54"/>
  <c r="DV533" i="54"/>
  <c r="DT534" i="54"/>
  <c r="DU534" i="54"/>
  <c r="DV534" i="54"/>
  <c r="DT535" i="54"/>
  <c r="DU535" i="54"/>
  <c r="DV535" i="54"/>
  <c r="DT536" i="54"/>
  <c r="DU536" i="54"/>
  <c r="DV536" i="54"/>
  <c r="DT537" i="54"/>
  <c r="DU537" i="54"/>
  <c r="DV537" i="54"/>
  <c r="DT538" i="54"/>
  <c r="DU538" i="54"/>
  <c r="DV538" i="54"/>
  <c r="DT539" i="54"/>
  <c r="DU539" i="54"/>
  <c r="DV539" i="54"/>
  <c r="DT540" i="54"/>
  <c r="DU540" i="54"/>
  <c r="DV540" i="54"/>
  <c r="DT541" i="54"/>
  <c r="DU541" i="54"/>
  <c r="DV541" i="54"/>
  <c r="DT542" i="54"/>
  <c r="DU542" i="54"/>
  <c r="DV542" i="54"/>
  <c r="DT543" i="54"/>
  <c r="DU543" i="54"/>
  <c r="DV543" i="54"/>
  <c r="DT544" i="54"/>
  <c r="DU544" i="54"/>
  <c r="DV544" i="54"/>
  <c r="DT545" i="54"/>
  <c r="DU545" i="54"/>
  <c r="DV545" i="54"/>
  <c r="DT546" i="54"/>
  <c r="DU546" i="54"/>
  <c r="DV546" i="54"/>
  <c r="DT547" i="54"/>
  <c r="DU547" i="54"/>
  <c r="DV547" i="54"/>
  <c r="DT548" i="54"/>
  <c r="DU548" i="54"/>
  <c r="DV548" i="54"/>
  <c r="DT549" i="54"/>
  <c r="DU549" i="54"/>
  <c r="DV549" i="54"/>
  <c r="DT550" i="54"/>
  <c r="DU550" i="54"/>
  <c r="DV550" i="54"/>
  <c r="DT551" i="54"/>
  <c r="DU551" i="54"/>
  <c r="DV551" i="54"/>
  <c r="DT552" i="54"/>
  <c r="DU552" i="54"/>
  <c r="DV552" i="54"/>
  <c r="DT553" i="54"/>
  <c r="DU553" i="54"/>
  <c r="DV553" i="54"/>
  <c r="DT554" i="54"/>
  <c r="DU554" i="54"/>
  <c r="DV554" i="54"/>
  <c r="DT555" i="54"/>
  <c r="DU555" i="54"/>
  <c r="DV555" i="54"/>
  <c r="DT556" i="54"/>
  <c r="DU556" i="54"/>
  <c r="DV556" i="54"/>
  <c r="DT557" i="54"/>
  <c r="DU557" i="54"/>
  <c r="DV557" i="54"/>
  <c r="DT558" i="54"/>
  <c r="DU558" i="54"/>
  <c r="DV558" i="54"/>
  <c r="DT559" i="54"/>
  <c r="DU559" i="54"/>
  <c r="DV559" i="54"/>
  <c r="DT560" i="54"/>
  <c r="DU560" i="54"/>
  <c r="DV560" i="54"/>
  <c r="DT561" i="54"/>
  <c r="DU561" i="54"/>
  <c r="DV561" i="54"/>
  <c r="DT562" i="54"/>
  <c r="DU562" i="54"/>
  <c r="DV562" i="54"/>
  <c r="DT563" i="54"/>
  <c r="DU563" i="54"/>
  <c r="DV563" i="54"/>
  <c r="DT564" i="54"/>
  <c r="DU564" i="54"/>
  <c r="DV564" i="54"/>
  <c r="DT565" i="54"/>
  <c r="EF565" i="54" s="1"/>
  <c r="DU565" i="54"/>
  <c r="EJ565" i="54" s="1"/>
  <c r="DV565" i="54"/>
  <c r="FF565" i="54" s="1"/>
  <c r="DT566" i="54"/>
  <c r="DU566" i="54"/>
  <c r="DV566" i="54"/>
  <c r="FD566" i="54" s="1"/>
  <c r="DT567" i="54"/>
  <c r="ET567" i="54" s="1"/>
  <c r="DU567" i="54"/>
  <c r="EY567" i="54" s="1"/>
  <c r="DV567" i="54"/>
  <c r="DT568" i="54"/>
  <c r="ET568" i="54" s="1"/>
  <c r="DU568" i="54"/>
  <c r="EX568" i="54" s="1"/>
  <c r="DV568" i="54"/>
  <c r="DT569" i="54"/>
  <c r="DU569" i="54"/>
  <c r="DV569" i="54"/>
  <c r="FC569" i="54" s="1"/>
  <c r="DT570" i="54"/>
  <c r="DU570" i="54"/>
  <c r="DV570" i="54"/>
  <c r="FF570" i="54" s="1"/>
  <c r="DT571" i="54"/>
  <c r="ES571" i="54" s="1"/>
  <c r="DU571" i="54"/>
  <c r="DV571" i="54"/>
  <c r="DT572" i="54"/>
  <c r="EW572" i="54" s="1"/>
  <c r="DU572" i="54"/>
  <c r="DV572" i="54"/>
  <c r="DT573" i="54"/>
  <c r="DU573" i="54"/>
  <c r="EX573" i="54" s="1"/>
  <c r="DV573" i="54"/>
  <c r="FD573" i="54" s="1"/>
  <c r="DT574" i="54"/>
  <c r="DU574" i="54"/>
  <c r="DV574" i="54"/>
  <c r="FG574" i="54" s="1"/>
  <c r="DT575" i="54"/>
  <c r="ES575" i="54" s="1"/>
  <c r="DU575" i="54"/>
  <c r="EZ575" i="54" s="1"/>
  <c r="DV575" i="54"/>
  <c r="DT576" i="54"/>
  <c r="DU576" i="54"/>
  <c r="EY576" i="54" s="1"/>
  <c r="DV576" i="54"/>
  <c r="DT577" i="54"/>
  <c r="DU577" i="54"/>
  <c r="DV577" i="54"/>
  <c r="DT578" i="54"/>
  <c r="DU578" i="54"/>
  <c r="DV578" i="54"/>
  <c r="DT579" i="54"/>
  <c r="ET579" i="54" s="1"/>
  <c r="DU579" i="54"/>
  <c r="EX579" i="54" s="1"/>
  <c r="DV579" i="54"/>
  <c r="DT580" i="54"/>
  <c r="DU580" i="54"/>
  <c r="EZ580" i="54" s="1"/>
  <c r="DV580" i="54"/>
  <c r="DT581" i="54"/>
  <c r="DU581" i="54"/>
  <c r="DV581" i="54"/>
  <c r="FC581" i="54" s="1"/>
  <c r="DT582" i="54"/>
  <c r="DU582" i="54"/>
  <c r="DV582" i="54"/>
  <c r="DT583" i="54"/>
  <c r="ET583" i="54" s="1"/>
  <c r="DU583" i="54"/>
  <c r="EX583" i="54" s="1"/>
  <c r="DV583" i="54"/>
  <c r="DT584" i="54"/>
  <c r="DU584" i="54"/>
  <c r="EZ584" i="54" s="1"/>
  <c r="DV584" i="54"/>
  <c r="DT585" i="54"/>
  <c r="EH585" i="54" s="1"/>
  <c r="DU585" i="54"/>
  <c r="EK585" i="54" s="1"/>
  <c r="DV585" i="54"/>
  <c r="FC585" i="54" s="1"/>
  <c r="DT586" i="54"/>
  <c r="DU586" i="54"/>
  <c r="DV586" i="54"/>
  <c r="DT587" i="54"/>
  <c r="ET587" i="54" s="1"/>
  <c r="DU587" i="54"/>
  <c r="EZ587" i="54" s="1"/>
  <c r="DV587" i="54"/>
  <c r="DT588" i="54"/>
  <c r="DU588" i="54"/>
  <c r="FA588" i="54" s="1"/>
  <c r="DV588" i="54"/>
  <c r="DT589" i="54"/>
  <c r="DU589" i="54"/>
  <c r="DV589" i="54"/>
  <c r="DT590" i="54"/>
  <c r="DU590" i="54"/>
  <c r="DV590" i="54"/>
  <c r="DT591" i="54"/>
  <c r="DU591" i="54"/>
  <c r="DV591" i="54"/>
  <c r="DT592" i="54"/>
  <c r="DU592" i="54"/>
  <c r="FA592" i="54" s="1"/>
  <c r="DV592" i="54"/>
  <c r="DT593" i="54"/>
  <c r="DU593" i="54"/>
  <c r="DV593" i="54"/>
  <c r="FC593" i="54" s="1"/>
  <c r="DT594" i="54"/>
  <c r="DU594" i="54"/>
  <c r="DV594" i="54"/>
  <c r="DT595" i="54"/>
  <c r="ET595" i="54" s="1"/>
  <c r="DU595" i="54"/>
  <c r="FA595" i="54" s="1"/>
  <c r="DV595" i="54"/>
  <c r="DT596" i="54"/>
  <c r="DU596" i="54"/>
  <c r="EX596" i="54" s="1"/>
  <c r="DV596" i="54"/>
  <c r="DT597" i="54"/>
  <c r="DU597" i="54"/>
  <c r="DV597" i="54"/>
  <c r="FG597" i="54" s="1"/>
  <c r="DT598" i="54"/>
  <c r="DU598" i="54"/>
  <c r="DV598" i="54"/>
  <c r="DT599" i="54"/>
  <c r="ES599" i="54" s="1"/>
  <c r="DU599" i="54"/>
  <c r="DV599" i="54"/>
  <c r="DT600" i="54"/>
  <c r="DU600" i="54"/>
  <c r="EX600" i="54" s="1"/>
  <c r="DV600" i="54"/>
  <c r="DT601" i="54"/>
  <c r="DU601" i="54"/>
  <c r="DV601" i="54"/>
  <c r="FD601" i="54" s="1"/>
  <c r="DT602" i="54"/>
  <c r="DU602" i="54"/>
  <c r="DV602" i="54"/>
  <c r="DT603" i="54"/>
  <c r="EU603" i="54" s="1"/>
  <c r="DU603" i="54"/>
  <c r="EY603" i="54" s="1"/>
  <c r="DV603" i="54"/>
  <c r="DT604" i="54"/>
  <c r="DU604" i="54"/>
  <c r="EY604" i="54" s="1"/>
  <c r="DV604" i="54"/>
  <c r="DT605" i="54"/>
  <c r="EF605" i="54" s="1"/>
  <c r="DU605" i="54"/>
  <c r="EL605" i="54" s="1"/>
  <c r="DV605" i="54"/>
  <c r="FE605" i="54" s="1"/>
  <c r="DT606" i="54"/>
  <c r="DU606" i="54"/>
  <c r="DV606" i="54"/>
  <c r="DT607" i="54"/>
  <c r="ET607" i="54" s="1"/>
  <c r="DU607" i="54"/>
  <c r="EZ607" i="54" s="1"/>
  <c r="DV607" i="54"/>
  <c r="DT608" i="54"/>
  <c r="DU608" i="54"/>
  <c r="EY608" i="54" s="1"/>
  <c r="DV608" i="54"/>
  <c r="DT609" i="54"/>
  <c r="DU609" i="54"/>
  <c r="DV609" i="54"/>
  <c r="FD609" i="54" s="1"/>
  <c r="DT610" i="54"/>
  <c r="DU610" i="54"/>
  <c r="DV610" i="54"/>
  <c r="DT611" i="54"/>
  <c r="ET611" i="54" s="1"/>
  <c r="DU611" i="54"/>
  <c r="EX611" i="54" s="1"/>
  <c r="DV611" i="54"/>
  <c r="DT612" i="54"/>
  <c r="DU612" i="54"/>
  <c r="EY612" i="54" s="1"/>
  <c r="DV612" i="54"/>
  <c r="DT613" i="54"/>
  <c r="DU613" i="54"/>
  <c r="DV613" i="54"/>
  <c r="FD613" i="54" s="1"/>
  <c r="DT614" i="54"/>
  <c r="DU614" i="54"/>
  <c r="DV614" i="54"/>
  <c r="DT615" i="54"/>
  <c r="ET615" i="54" s="1"/>
  <c r="DU615" i="54"/>
  <c r="EX615" i="54" s="1"/>
  <c r="DV615" i="54"/>
  <c r="DT616" i="54"/>
  <c r="DU616" i="54"/>
  <c r="FA616" i="54" s="1"/>
  <c r="DV616" i="54"/>
  <c r="DT617" i="54"/>
  <c r="DU617" i="54"/>
  <c r="DV617" i="54"/>
  <c r="FE617" i="54" s="1"/>
  <c r="DT618" i="54"/>
  <c r="DU618" i="54"/>
  <c r="DV618" i="54"/>
  <c r="DT619" i="54"/>
  <c r="ET619" i="54" s="1"/>
  <c r="DU619" i="54"/>
  <c r="DV619" i="54"/>
  <c r="DT620" i="54"/>
  <c r="DU620" i="54"/>
  <c r="EZ620" i="54" s="1"/>
  <c r="DV620" i="54"/>
  <c r="DT621" i="54"/>
  <c r="DU621" i="54"/>
  <c r="DV621" i="54"/>
  <c r="DT622" i="54"/>
  <c r="DU622" i="54"/>
  <c r="DV622" i="54"/>
  <c r="DT623" i="54"/>
  <c r="EU623" i="54" s="1"/>
  <c r="DU623" i="54"/>
  <c r="EZ623" i="54" s="1"/>
  <c r="DV623" i="54"/>
  <c r="DT624" i="54"/>
  <c r="DU624" i="54"/>
  <c r="EY624" i="54" s="1"/>
  <c r="DV624" i="54"/>
  <c r="DT625" i="54"/>
  <c r="EH625" i="54" s="1"/>
  <c r="DU625" i="54"/>
  <c r="EM625" i="54" s="1"/>
  <c r="DV625" i="54"/>
  <c r="EQ625" i="54" s="1"/>
  <c r="DT626" i="54"/>
  <c r="DU626" i="54"/>
  <c r="DV626" i="54"/>
  <c r="DT627" i="54"/>
  <c r="EV627" i="54" s="1"/>
  <c r="DU627" i="54"/>
  <c r="EX627" i="54" s="1"/>
  <c r="DV627" i="54"/>
  <c r="DT628" i="54"/>
  <c r="DU628" i="54"/>
  <c r="EY628" i="54" s="1"/>
  <c r="DV628" i="54"/>
  <c r="DT629" i="54"/>
  <c r="DU629" i="54"/>
  <c r="EZ629" i="54" s="1"/>
  <c r="DV629" i="54"/>
  <c r="FE629" i="54" s="1"/>
  <c r="DT630" i="54"/>
  <c r="DU630" i="54"/>
  <c r="DV630" i="54"/>
  <c r="DT631" i="54"/>
  <c r="DU631" i="54"/>
  <c r="DV631" i="54"/>
  <c r="DT632" i="54"/>
  <c r="DU632" i="54"/>
  <c r="FB632" i="54" s="1"/>
  <c r="DV632" i="54"/>
  <c r="DT633" i="54"/>
  <c r="DU633" i="54"/>
  <c r="EX633" i="54" s="1"/>
  <c r="DV633" i="54"/>
  <c r="FG633" i="54" s="1"/>
  <c r="DT634" i="54"/>
  <c r="DU634" i="54"/>
  <c r="DV634" i="54"/>
  <c r="DT635" i="54"/>
  <c r="ES635" i="54" s="1"/>
  <c r="DU635" i="54"/>
  <c r="DV635" i="54"/>
  <c r="DT636" i="54"/>
  <c r="DU636" i="54"/>
  <c r="EZ636" i="54" s="1"/>
  <c r="DV636" i="54"/>
  <c r="DT637" i="54"/>
  <c r="DU637" i="54"/>
  <c r="DV637" i="54"/>
  <c r="FF637" i="54" s="1"/>
  <c r="DT638" i="54"/>
  <c r="DU638" i="54"/>
  <c r="DV638" i="54"/>
  <c r="DT639" i="54"/>
  <c r="EU639" i="54" s="1"/>
  <c r="DU639" i="54"/>
  <c r="DV639" i="54"/>
  <c r="DT640" i="54"/>
  <c r="DU640" i="54"/>
  <c r="EZ640" i="54" s="1"/>
  <c r="DV640" i="54"/>
  <c r="DT641" i="54"/>
  <c r="DU641" i="54"/>
  <c r="DV641" i="54"/>
  <c r="FG641" i="54" s="1"/>
  <c r="DT642" i="54"/>
  <c r="DU642" i="54"/>
  <c r="DV642" i="54"/>
  <c r="DT643" i="54"/>
  <c r="ES643" i="54" s="1"/>
  <c r="DU643" i="54"/>
  <c r="FA643" i="54" s="1"/>
  <c r="DV643" i="54"/>
  <c r="DT644" i="54"/>
  <c r="DU644" i="54"/>
  <c r="EY644" i="54" s="1"/>
  <c r="DV644" i="54"/>
  <c r="DV5" i="54"/>
  <c r="DU5" i="54"/>
  <c r="DT5" i="54"/>
  <c r="DR565" i="54"/>
  <c r="DS565" i="54"/>
  <c r="DW565" i="54"/>
  <c r="DX565" i="54"/>
  <c r="DY565" i="54"/>
  <c r="ES565" i="54"/>
  <c r="ET565" i="54"/>
  <c r="EU565" i="54"/>
  <c r="EV565" i="54"/>
  <c r="EW565" i="54"/>
  <c r="FE565" i="54"/>
  <c r="DR566" i="54"/>
  <c r="DS566" i="54"/>
  <c r="DW566" i="54"/>
  <c r="DX566" i="54"/>
  <c r="DR567" i="54"/>
  <c r="DS567" i="54"/>
  <c r="EZ567" i="54"/>
  <c r="DW567" i="54"/>
  <c r="DX567" i="54"/>
  <c r="FF567" i="54" s="1"/>
  <c r="DY567" i="54"/>
  <c r="EV567" i="54"/>
  <c r="FC567" i="54"/>
  <c r="FD567" i="54"/>
  <c r="FE567" i="54"/>
  <c r="FG567" i="54"/>
  <c r="DR568" i="54"/>
  <c r="DS568" i="54"/>
  <c r="DW568" i="54"/>
  <c r="DY568" i="54" s="1"/>
  <c r="DX568" i="54"/>
  <c r="FD568" i="54"/>
  <c r="FF568" i="54"/>
  <c r="DR569" i="54"/>
  <c r="DS569" i="54"/>
  <c r="DW569" i="54"/>
  <c r="DX569" i="54"/>
  <c r="ES569" i="54"/>
  <c r="ET569" i="54"/>
  <c r="EU569" i="54"/>
  <c r="EV569" i="54"/>
  <c r="EW569" i="54"/>
  <c r="EY569" i="54"/>
  <c r="FA569" i="54"/>
  <c r="FG569" i="54"/>
  <c r="DR570" i="54"/>
  <c r="DS570" i="54"/>
  <c r="EV570" i="54"/>
  <c r="DW570" i="54"/>
  <c r="DX570" i="54"/>
  <c r="DY570" i="54"/>
  <c r="ES570" i="54"/>
  <c r="ET570" i="54"/>
  <c r="EX570" i="54"/>
  <c r="FA570" i="54"/>
  <c r="FE570" i="54"/>
  <c r="DR571" i="54"/>
  <c r="DS571" i="54"/>
  <c r="DW571" i="54"/>
  <c r="DX571" i="54"/>
  <c r="FD571" i="54" s="1"/>
  <c r="EY571" i="54"/>
  <c r="FC571" i="54"/>
  <c r="FE571" i="54"/>
  <c r="DR572" i="54"/>
  <c r="DS572" i="54"/>
  <c r="DW572" i="54"/>
  <c r="DX572" i="54"/>
  <c r="DR573" i="54"/>
  <c r="DS573" i="54"/>
  <c r="EV573" i="54"/>
  <c r="DW573" i="54"/>
  <c r="DX573" i="54"/>
  <c r="ET573" i="54"/>
  <c r="EU573" i="54"/>
  <c r="EZ573" i="54"/>
  <c r="FC573" i="54"/>
  <c r="DR574" i="54"/>
  <c r="DS574" i="54"/>
  <c r="EZ574" i="54"/>
  <c r="FD574" i="54"/>
  <c r="DW574" i="54"/>
  <c r="DX574" i="54"/>
  <c r="ES574" i="54"/>
  <c r="ET574" i="54"/>
  <c r="EU574" i="54"/>
  <c r="EV574" i="54"/>
  <c r="EW574" i="54"/>
  <c r="EX574" i="54"/>
  <c r="FA574" i="54"/>
  <c r="FE574" i="54"/>
  <c r="FF574" i="54"/>
  <c r="DR575" i="54"/>
  <c r="DS575" i="54"/>
  <c r="FD575" i="54"/>
  <c r="DW575" i="54"/>
  <c r="DX575" i="54"/>
  <c r="DY575" i="54"/>
  <c r="EW575" i="54"/>
  <c r="FE575" i="54"/>
  <c r="FF575" i="54"/>
  <c r="DR576" i="54"/>
  <c r="DS576" i="54"/>
  <c r="DW576" i="54"/>
  <c r="DX576" i="54"/>
  <c r="FD576" i="54" s="1"/>
  <c r="ES576" i="54"/>
  <c r="DR577" i="54"/>
  <c r="DS577" i="54"/>
  <c r="DW577" i="54"/>
  <c r="DX577" i="54"/>
  <c r="FD577" i="54" s="1"/>
  <c r="ET577" i="54"/>
  <c r="EY577" i="54"/>
  <c r="DR578" i="54"/>
  <c r="DS578" i="54"/>
  <c r="EZ578" i="54"/>
  <c r="FD578" i="54"/>
  <c r="DW578" i="54"/>
  <c r="DX578" i="54"/>
  <c r="DY578" i="54"/>
  <c r="ES578" i="54"/>
  <c r="ET578" i="54"/>
  <c r="EU578" i="54"/>
  <c r="EV578" i="54"/>
  <c r="EW578" i="54"/>
  <c r="EX578" i="54"/>
  <c r="EY578" i="54"/>
  <c r="FB578" i="54"/>
  <c r="FE578" i="54"/>
  <c r="FG578" i="54"/>
  <c r="DR579" i="54"/>
  <c r="DS579" i="54"/>
  <c r="DW579" i="54"/>
  <c r="DX579" i="54"/>
  <c r="DY579" i="54" s="1"/>
  <c r="DR580" i="54"/>
  <c r="DS580" i="54"/>
  <c r="DW580" i="54"/>
  <c r="DX580" i="54"/>
  <c r="FF580" i="54" s="1"/>
  <c r="DY580" i="54"/>
  <c r="ES580" i="54"/>
  <c r="EU580" i="54"/>
  <c r="EV580" i="54"/>
  <c r="EW580" i="54"/>
  <c r="FC580" i="54"/>
  <c r="FD580" i="54"/>
  <c r="FE580" i="54"/>
  <c r="FG580" i="54"/>
  <c r="DR581" i="54"/>
  <c r="DS581" i="54"/>
  <c r="DW581" i="54"/>
  <c r="DX581" i="54"/>
  <c r="FA581" i="54" s="1"/>
  <c r="ET581" i="54"/>
  <c r="EU581" i="54"/>
  <c r="EV581" i="54"/>
  <c r="EX581" i="54"/>
  <c r="EY581" i="54"/>
  <c r="EZ581" i="54"/>
  <c r="FB581" i="54"/>
  <c r="DR582" i="54"/>
  <c r="DS582" i="54"/>
  <c r="EX582" i="54"/>
  <c r="DW582" i="54"/>
  <c r="DX582" i="54"/>
  <c r="ES582" i="54"/>
  <c r="ET582" i="54"/>
  <c r="EU582" i="54"/>
  <c r="EV582" i="54"/>
  <c r="EW582" i="54"/>
  <c r="EY582" i="54"/>
  <c r="FC582" i="54"/>
  <c r="FE582" i="54"/>
  <c r="FF582" i="54"/>
  <c r="DR583" i="54"/>
  <c r="DS583" i="54"/>
  <c r="DW583" i="54"/>
  <c r="DX583" i="54"/>
  <c r="DY583" i="54" s="1"/>
  <c r="FF583" i="54"/>
  <c r="DR584" i="54"/>
  <c r="DS584" i="54"/>
  <c r="DW584" i="54"/>
  <c r="DX584" i="54"/>
  <c r="FF584" i="54" s="1"/>
  <c r="DY584" i="54"/>
  <c r="ES584" i="54"/>
  <c r="EU584" i="54"/>
  <c r="EV584" i="54"/>
  <c r="EW584" i="54"/>
  <c r="FC584" i="54"/>
  <c r="FD584" i="54"/>
  <c r="FE584" i="54"/>
  <c r="FG584" i="54"/>
  <c r="DR585" i="54"/>
  <c r="DS585" i="54"/>
  <c r="DW585" i="54"/>
  <c r="DX585" i="54"/>
  <c r="FA585" i="54" s="1"/>
  <c r="ET585" i="54"/>
  <c r="EU585" i="54"/>
  <c r="EV585" i="54"/>
  <c r="EX585" i="54"/>
  <c r="EY585" i="54"/>
  <c r="EZ585" i="54"/>
  <c r="FB585" i="54"/>
  <c r="FG585" i="54"/>
  <c r="DR586" i="54"/>
  <c r="DS586" i="54"/>
  <c r="FD586" i="54"/>
  <c r="DW586" i="54"/>
  <c r="DX586" i="54"/>
  <c r="DY586" i="54"/>
  <c r="ES586" i="54"/>
  <c r="ET586" i="54"/>
  <c r="EU586" i="54"/>
  <c r="EV586" i="54"/>
  <c r="EW586" i="54"/>
  <c r="EX586" i="54"/>
  <c r="FC586" i="54"/>
  <c r="FE586" i="54"/>
  <c r="FF586" i="54"/>
  <c r="DR587" i="54"/>
  <c r="DS587" i="54"/>
  <c r="EY587" i="54"/>
  <c r="DW587" i="54"/>
  <c r="DX587" i="54"/>
  <c r="DY587" i="54"/>
  <c r="ES587" i="54"/>
  <c r="FD587" i="54"/>
  <c r="FE587" i="54"/>
  <c r="DR588" i="54"/>
  <c r="DS588" i="54"/>
  <c r="EU588" i="54"/>
  <c r="DW588" i="54"/>
  <c r="DY588" i="54" s="1"/>
  <c r="DX588" i="54"/>
  <c r="FF588" i="54" s="1"/>
  <c r="ES588" i="54"/>
  <c r="EV588" i="54"/>
  <c r="FD588" i="54"/>
  <c r="FG588" i="54"/>
  <c r="DR589" i="54"/>
  <c r="DS589" i="54"/>
  <c r="EU589" i="54"/>
  <c r="DW589" i="54"/>
  <c r="DX589" i="54"/>
  <c r="FA589" i="54" s="1"/>
  <c r="ET589" i="54"/>
  <c r="EV589" i="54"/>
  <c r="EY589" i="54"/>
  <c r="FB589" i="54"/>
  <c r="DR590" i="54"/>
  <c r="DS590" i="54"/>
  <c r="EZ590" i="54"/>
  <c r="DW590" i="54"/>
  <c r="DY590" i="54" s="1"/>
  <c r="DX590" i="54"/>
  <c r="ES590" i="54"/>
  <c r="ET590" i="54"/>
  <c r="EU590" i="54"/>
  <c r="EV590" i="54"/>
  <c r="EW590" i="54"/>
  <c r="EX590" i="54"/>
  <c r="EY590" i="54"/>
  <c r="FA590" i="54"/>
  <c r="FB590" i="54"/>
  <c r="FE590" i="54"/>
  <c r="DR591" i="54"/>
  <c r="DS591" i="54"/>
  <c r="DW591" i="54"/>
  <c r="DX591" i="54"/>
  <c r="DR592" i="54"/>
  <c r="DS592" i="54"/>
  <c r="EV592" i="54"/>
  <c r="DW592" i="54"/>
  <c r="DX592" i="54"/>
  <c r="FF592" i="54" s="1"/>
  <c r="ES592" i="54"/>
  <c r="EU592" i="54"/>
  <c r="EW592" i="54"/>
  <c r="FC592" i="54"/>
  <c r="FD592" i="54"/>
  <c r="FE592" i="54"/>
  <c r="DR593" i="54"/>
  <c r="DS593" i="54"/>
  <c r="EV593" i="54"/>
  <c r="DW593" i="54"/>
  <c r="DX593" i="54"/>
  <c r="FA593" i="54" s="1"/>
  <c r="ET593" i="54"/>
  <c r="EU593" i="54"/>
  <c r="EX593" i="54"/>
  <c r="EY593" i="54"/>
  <c r="EZ593" i="54"/>
  <c r="DR594" i="54"/>
  <c r="DS594" i="54"/>
  <c r="EZ594" i="54"/>
  <c r="FD594" i="54"/>
  <c r="DW594" i="54"/>
  <c r="DX594" i="54"/>
  <c r="ES594" i="54"/>
  <c r="ET594" i="54"/>
  <c r="EU594" i="54"/>
  <c r="EV594" i="54"/>
  <c r="EW594" i="54"/>
  <c r="EX594" i="54"/>
  <c r="FA594" i="54"/>
  <c r="FC594" i="54"/>
  <c r="FE594" i="54"/>
  <c r="FF594" i="54"/>
  <c r="FG594" i="54"/>
  <c r="DR595" i="54"/>
  <c r="DS595" i="54"/>
  <c r="FF595" i="54"/>
  <c r="DW595" i="54"/>
  <c r="DX595" i="54"/>
  <c r="DY595" i="54"/>
  <c r="ES595" i="54"/>
  <c r="EW595" i="54"/>
  <c r="EY595" i="54"/>
  <c r="FC595" i="54"/>
  <c r="FD595" i="54"/>
  <c r="FE595" i="54"/>
  <c r="FG595" i="54"/>
  <c r="DR596" i="54"/>
  <c r="DS596" i="54"/>
  <c r="FD596" i="54"/>
  <c r="DW596" i="54"/>
  <c r="DY596" i="54" s="1"/>
  <c r="DX596" i="54"/>
  <c r="ET596" i="54"/>
  <c r="EV596" i="54"/>
  <c r="FB596" i="54"/>
  <c r="FF596" i="54"/>
  <c r="DR597" i="54"/>
  <c r="DS597" i="54"/>
  <c r="FD597" i="54"/>
  <c r="DW597" i="54"/>
  <c r="DX597" i="54"/>
  <c r="DY597" i="54"/>
  <c r="ES597" i="54"/>
  <c r="ET597" i="54"/>
  <c r="EU597" i="54"/>
  <c r="EV597" i="54"/>
  <c r="EW597" i="54"/>
  <c r="FB597" i="54"/>
  <c r="FF597" i="54"/>
  <c r="DR598" i="54"/>
  <c r="DS598" i="54"/>
  <c r="ET598" i="54"/>
  <c r="DW598" i="54"/>
  <c r="DX598" i="54"/>
  <c r="DY598" i="54" s="1"/>
  <c r="ES598" i="54"/>
  <c r="EV598" i="54"/>
  <c r="EX598" i="54"/>
  <c r="FA598" i="54"/>
  <c r="FF598" i="54"/>
  <c r="DR599" i="54"/>
  <c r="DS599" i="54"/>
  <c r="DW599" i="54"/>
  <c r="DX599" i="54"/>
  <c r="FF599" i="54" s="1"/>
  <c r="DY599" i="54"/>
  <c r="EW599" i="54"/>
  <c r="EZ599" i="54"/>
  <c r="FC599" i="54"/>
  <c r="FD599" i="54"/>
  <c r="FE599" i="54"/>
  <c r="FG599" i="54"/>
  <c r="DR600" i="54"/>
  <c r="DS600" i="54"/>
  <c r="FE600" i="54"/>
  <c r="DW600" i="54"/>
  <c r="DX600" i="54"/>
  <c r="ET600" i="54"/>
  <c r="EU600" i="54"/>
  <c r="EV600" i="54"/>
  <c r="FC600" i="54"/>
  <c r="FF600" i="54"/>
  <c r="FG600" i="54"/>
  <c r="DR601" i="54"/>
  <c r="DS601" i="54"/>
  <c r="EX601" i="54"/>
  <c r="DW601" i="54"/>
  <c r="DX601" i="54"/>
  <c r="DY601" i="54"/>
  <c r="ES601" i="54"/>
  <c r="ET601" i="54"/>
  <c r="EU601" i="54"/>
  <c r="EV601" i="54"/>
  <c r="EW601" i="54"/>
  <c r="FF601" i="54"/>
  <c r="DR602" i="54"/>
  <c r="DS602" i="54"/>
  <c r="EV602" i="54"/>
  <c r="EY602" i="54"/>
  <c r="DW602" i="54"/>
  <c r="DX602" i="54"/>
  <c r="DY602" i="54"/>
  <c r="ES602" i="54"/>
  <c r="ET602" i="54"/>
  <c r="EW602" i="54"/>
  <c r="EZ602" i="54"/>
  <c r="FB602" i="54"/>
  <c r="FD602" i="54"/>
  <c r="FE602" i="54"/>
  <c r="DR603" i="54"/>
  <c r="DS603" i="54"/>
  <c r="DW603" i="54"/>
  <c r="DY603" i="54" s="1"/>
  <c r="DX603" i="54"/>
  <c r="FF603" i="54" s="1"/>
  <c r="ES603" i="54"/>
  <c r="FD603" i="54"/>
  <c r="FG603" i="54"/>
  <c r="DR604" i="54"/>
  <c r="DS604" i="54"/>
  <c r="EU604" i="54"/>
  <c r="DW604" i="54"/>
  <c r="DX604" i="54"/>
  <c r="ET604" i="54"/>
  <c r="EV604" i="54"/>
  <c r="FG604" i="54"/>
  <c r="DR605" i="54"/>
  <c r="DS605" i="54"/>
  <c r="EZ605" i="54"/>
  <c r="DW605" i="54"/>
  <c r="DY605" i="54" s="1"/>
  <c r="DX605" i="54"/>
  <c r="ES605" i="54"/>
  <c r="ET605" i="54"/>
  <c r="EU605" i="54"/>
  <c r="EV605" i="54"/>
  <c r="EW605" i="54"/>
  <c r="EX605" i="54"/>
  <c r="EY605" i="54"/>
  <c r="FA605" i="54"/>
  <c r="FB605" i="54"/>
  <c r="DR606" i="54"/>
  <c r="DS606" i="54"/>
  <c r="EV606" i="54"/>
  <c r="DW606" i="54"/>
  <c r="DX606" i="54"/>
  <c r="ES606" i="54"/>
  <c r="EX606" i="54"/>
  <c r="FA606" i="54"/>
  <c r="FG606" i="54"/>
  <c r="DR607" i="54"/>
  <c r="DS607" i="54"/>
  <c r="DW607" i="54"/>
  <c r="DY607" i="54" s="1"/>
  <c r="DX607" i="54"/>
  <c r="DR608" i="54"/>
  <c r="DS608" i="54"/>
  <c r="FD608" i="54"/>
  <c r="DW608" i="54"/>
  <c r="DX608" i="54"/>
  <c r="ES608" i="54"/>
  <c r="ET608" i="54"/>
  <c r="EU608" i="54"/>
  <c r="EV608" i="54"/>
  <c r="EW608" i="54"/>
  <c r="FC608" i="54"/>
  <c r="FE608" i="54"/>
  <c r="FF608" i="54"/>
  <c r="FG608" i="54"/>
  <c r="DR609" i="54"/>
  <c r="DS609" i="54"/>
  <c r="DW609" i="54"/>
  <c r="DX609" i="54"/>
  <c r="ET609" i="54"/>
  <c r="EV609" i="54"/>
  <c r="FB609" i="54"/>
  <c r="DR610" i="54"/>
  <c r="DS610" i="54"/>
  <c r="ET610" i="54"/>
  <c r="DW610" i="54"/>
  <c r="DX610" i="54"/>
  <c r="FF610" i="54" s="1"/>
  <c r="ES610" i="54"/>
  <c r="EU610" i="54"/>
  <c r="EV610" i="54"/>
  <c r="EW610" i="54"/>
  <c r="EY610" i="54"/>
  <c r="FA610" i="54"/>
  <c r="FC610" i="54"/>
  <c r="FD610" i="54"/>
  <c r="FE610" i="54"/>
  <c r="FG610" i="54"/>
  <c r="DR611" i="54"/>
  <c r="DS611" i="54"/>
  <c r="FD611" i="54"/>
  <c r="DW611" i="54"/>
  <c r="DY611" i="54" s="1"/>
  <c r="DX611" i="54"/>
  <c r="EV611" i="54"/>
  <c r="FB611" i="54"/>
  <c r="FF611" i="54"/>
  <c r="DR612" i="54"/>
  <c r="DS612" i="54"/>
  <c r="FD612" i="54"/>
  <c r="DW612" i="54"/>
  <c r="DX612" i="54"/>
  <c r="DY612" i="54"/>
  <c r="ES612" i="54"/>
  <c r="ET612" i="54"/>
  <c r="EU612" i="54"/>
  <c r="EV612" i="54"/>
  <c r="EW612" i="54"/>
  <c r="FC612" i="54"/>
  <c r="FE612" i="54"/>
  <c r="FF612" i="54"/>
  <c r="FG612" i="54"/>
  <c r="DR613" i="54"/>
  <c r="DS613" i="54"/>
  <c r="DW613" i="54"/>
  <c r="DX613" i="54"/>
  <c r="EX613" i="54" s="1"/>
  <c r="ES613" i="54"/>
  <c r="DR614" i="54"/>
  <c r="DS614" i="54"/>
  <c r="EU614" i="54"/>
  <c r="FA614" i="54"/>
  <c r="DW614" i="54"/>
  <c r="DX614" i="54"/>
  <c r="FF614" i="54" s="1"/>
  <c r="ES614" i="54"/>
  <c r="EW614" i="54"/>
  <c r="EY614" i="54"/>
  <c r="FC614" i="54"/>
  <c r="FD614" i="54"/>
  <c r="DR615" i="54"/>
  <c r="DS615" i="54"/>
  <c r="EU615" i="54"/>
  <c r="DW615" i="54"/>
  <c r="DX615" i="54"/>
  <c r="EY615" i="54"/>
  <c r="FC615" i="54"/>
  <c r="FD615" i="54"/>
  <c r="DR616" i="54"/>
  <c r="DS616" i="54"/>
  <c r="FD616" i="54"/>
  <c r="DW616" i="54"/>
  <c r="DX616" i="54"/>
  <c r="ES616" i="54"/>
  <c r="ET616" i="54"/>
  <c r="EU616" i="54"/>
  <c r="EV616" i="54"/>
  <c r="EW616" i="54"/>
  <c r="FC616" i="54"/>
  <c r="FE616" i="54"/>
  <c r="FF616" i="54"/>
  <c r="FG616" i="54"/>
  <c r="DR617" i="54"/>
  <c r="DS617" i="54"/>
  <c r="DW617" i="54"/>
  <c r="DX617" i="54"/>
  <c r="DY617" i="54"/>
  <c r="ES617" i="54"/>
  <c r="ET617" i="54"/>
  <c r="EV617" i="54"/>
  <c r="EW617" i="54"/>
  <c r="EZ617" i="54"/>
  <c r="DR618" i="54"/>
  <c r="DS618" i="54"/>
  <c r="FA618" i="54"/>
  <c r="DW618" i="54"/>
  <c r="DX618" i="54"/>
  <c r="ES618" i="54"/>
  <c r="EY618" i="54"/>
  <c r="FD618" i="54"/>
  <c r="DR619" i="54"/>
  <c r="DS619" i="54"/>
  <c r="FC619" i="54"/>
  <c r="DW619" i="54"/>
  <c r="DX619" i="54"/>
  <c r="EY619" i="54"/>
  <c r="FD619" i="54"/>
  <c r="DR620" i="54"/>
  <c r="DS620" i="54"/>
  <c r="FD620" i="54"/>
  <c r="DW620" i="54"/>
  <c r="DX620" i="54"/>
  <c r="DY620" i="54"/>
  <c r="ES620" i="54"/>
  <c r="ET620" i="54"/>
  <c r="EU620" i="54"/>
  <c r="EV620" i="54"/>
  <c r="EW620" i="54"/>
  <c r="FC620" i="54"/>
  <c r="FE620" i="54"/>
  <c r="FG620" i="54"/>
  <c r="DR621" i="54"/>
  <c r="DS621" i="54"/>
  <c r="ET621" i="54"/>
  <c r="DW621" i="54"/>
  <c r="DX621" i="54"/>
  <c r="DY621" i="54" s="1"/>
  <c r="ES621" i="54"/>
  <c r="EV621" i="54"/>
  <c r="EW621" i="54"/>
  <c r="EX621" i="54"/>
  <c r="FA621" i="54"/>
  <c r="FB621" i="54"/>
  <c r="DR622" i="54"/>
  <c r="DS622" i="54"/>
  <c r="DW622" i="54"/>
  <c r="DX622" i="54"/>
  <c r="FF622" i="54" s="1"/>
  <c r="DY622" i="54"/>
  <c r="ES622" i="54"/>
  <c r="EU622" i="54"/>
  <c r="EV622" i="54"/>
  <c r="EW622" i="54"/>
  <c r="EZ622" i="54"/>
  <c r="FC622" i="54"/>
  <c r="FD622" i="54"/>
  <c r="FE622" i="54"/>
  <c r="FG622" i="54"/>
  <c r="DR623" i="54"/>
  <c r="DS623" i="54"/>
  <c r="FE623" i="54"/>
  <c r="DW623" i="54"/>
  <c r="DX623" i="54"/>
  <c r="FA623" i="54" s="1"/>
  <c r="ET623" i="54"/>
  <c r="EY623" i="54"/>
  <c r="FF623" i="54"/>
  <c r="FG623" i="54"/>
  <c r="DR624" i="54"/>
  <c r="DS624" i="54"/>
  <c r="DW624" i="54"/>
  <c r="DX624" i="54"/>
  <c r="DY624" i="54"/>
  <c r="ES624" i="54"/>
  <c r="ET624" i="54"/>
  <c r="EU624" i="54"/>
  <c r="EV624" i="54"/>
  <c r="EW624" i="54"/>
  <c r="FE624" i="54"/>
  <c r="DR625" i="54"/>
  <c r="DS625" i="54"/>
  <c r="ES625" i="54"/>
  <c r="DW625" i="54"/>
  <c r="DX625" i="54"/>
  <c r="FA625" i="54" s="1"/>
  <c r="ET625" i="54"/>
  <c r="FF625" i="54"/>
  <c r="DR626" i="54"/>
  <c r="DS626" i="54"/>
  <c r="EZ626" i="54"/>
  <c r="FC626" i="54"/>
  <c r="DW626" i="54"/>
  <c r="DX626" i="54"/>
  <c r="DY626" i="54"/>
  <c r="ES626" i="54"/>
  <c r="EV626" i="54"/>
  <c r="EW626" i="54"/>
  <c r="FA626" i="54"/>
  <c r="FD626" i="54"/>
  <c r="FE626" i="54"/>
  <c r="DR627" i="54"/>
  <c r="DS627" i="54"/>
  <c r="DW627" i="54"/>
  <c r="DX627" i="54"/>
  <c r="EU627" i="54"/>
  <c r="FC627" i="54"/>
  <c r="FD627" i="54"/>
  <c r="FG627" i="54"/>
  <c r="DR628" i="54"/>
  <c r="DS628" i="54"/>
  <c r="FE628" i="54"/>
  <c r="DW628" i="54"/>
  <c r="DX628" i="54"/>
  <c r="ET628" i="54"/>
  <c r="EU628" i="54"/>
  <c r="EV628" i="54"/>
  <c r="FC628" i="54"/>
  <c r="FF628" i="54"/>
  <c r="FG628" i="54"/>
  <c r="DR629" i="54"/>
  <c r="DS629" i="54"/>
  <c r="DW629" i="54"/>
  <c r="DX629" i="54"/>
  <c r="ES629" i="54"/>
  <c r="ET629" i="54"/>
  <c r="EU629" i="54"/>
  <c r="EV629" i="54"/>
  <c r="EW629" i="54"/>
  <c r="FC629" i="54"/>
  <c r="DR630" i="54"/>
  <c r="DS630" i="54"/>
  <c r="DW630" i="54"/>
  <c r="DX630" i="54"/>
  <c r="DY630" i="54"/>
  <c r="ES630" i="54"/>
  <c r="ET630" i="54"/>
  <c r="EW630" i="54"/>
  <c r="FB630" i="54"/>
  <c r="FD630" i="54"/>
  <c r="FE630" i="54"/>
  <c r="DR631" i="54"/>
  <c r="DS631" i="54"/>
  <c r="DW631" i="54"/>
  <c r="DX631" i="54"/>
  <c r="FD631" i="54"/>
  <c r="DR632" i="54"/>
  <c r="DS632" i="54"/>
  <c r="DW632" i="54"/>
  <c r="DX632" i="54"/>
  <c r="ET632" i="54"/>
  <c r="EV632" i="54"/>
  <c r="EY632" i="54"/>
  <c r="FG632" i="54"/>
  <c r="DR633" i="54"/>
  <c r="DS633" i="54"/>
  <c r="DW633" i="54"/>
  <c r="DX633" i="54"/>
  <c r="ES633" i="54"/>
  <c r="ET633" i="54"/>
  <c r="EU633" i="54"/>
  <c r="EV633" i="54"/>
  <c r="EW633" i="54"/>
  <c r="EY633" i="54"/>
  <c r="DR634" i="54"/>
  <c r="DS634" i="54"/>
  <c r="DW634" i="54"/>
  <c r="DX634" i="54"/>
  <c r="ES634" i="54"/>
  <c r="EV634" i="54"/>
  <c r="FA634" i="54"/>
  <c r="FD634" i="54"/>
  <c r="FF634" i="54"/>
  <c r="DR635" i="54"/>
  <c r="DS635" i="54"/>
  <c r="DW635" i="54"/>
  <c r="DX635" i="54"/>
  <c r="FF635" i="54" s="1"/>
  <c r="EW635" i="54"/>
  <c r="FC635" i="54"/>
  <c r="FD635" i="54"/>
  <c r="FE635" i="54"/>
  <c r="DR636" i="54"/>
  <c r="DS636" i="54"/>
  <c r="DW636" i="54"/>
  <c r="DX636" i="54"/>
  <c r="FA636" i="54" s="1"/>
  <c r="ET636" i="54"/>
  <c r="EU636" i="54"/>
  <c r="FC636" i="54"/>
  <c r="FD636" i="54"/>
  <c r="FF636" i="54"/>
  <c r="DR637" i="54"/>
  <c r="DS637" i="54"/>
  <c r="FD637" i="54"/>
  <c r="DW637" i="54"/>
  <c r="DX637" i="54"/>
  <c r="ES637" i="54"/>
  <c r="ET637" i="54"/>
  <c r="EU637" i="54"/>
  <c r="EV637" i="54"/>
  <c r="EW637" i="54"/>
  <c r="EX637" i="54"/>
  <c r="FA637" i="54"/>
  <c r="FB637" i="54"/>
  <c r="FE637" i="54"/>
  <c r="DR638" i="54"/>
  <c r="DS638" i="54"/>
  <c r="DW638" i="54"/>
  <c r="DX638" i="54"/>
  <c r="DY638" i="54"/>
  <c r="ES638" i="54"/>
  <c r="ET638" i="54"/>
  <c r="EV638" i="54"/>
  <c r="EW638" i="54"/>
  <c r="EZ638" i="54"/>
  <c r="FA638" i="54"/>
  <c r="DR639" i="54"/>
  <c r="DS639" i="54"/>
  <c r="DW639" i="54"/>
  <c r="DX639" i="54"/>
  <c r="DY639" i="54" s="1"/>
  <c r="EV639" i="54"/>
  <c r="EZ639" i="54"/>
  <c r="FD639" i="54"/>
  <c r="FG639" i="54"/>
  <c r="DR640" i="54"/>
  <c r="DS640" i="54"/>
  <c r="DW640" i="54"/>
  <c r="DX640" i="54"/>
  <c r="ET640" i="54"/>
  <c r="EU640" i="54"/>
  <c r="EV640" i="54"/>
  <c r="FD640" i="54"/>
  <c r="FF640" i="54"/>
  <c r="DR641" i="54"/>
  <c r="DS641" i="54"/>
  <c r="DW641" i="54"/>
  <c r="DX641" i="54"/>
  <c r="DY641" i="54"/>
  <c r="ES641" i="54"/>
  <c r="ET641" i="54"/>
  <c r="EU641" i="54"/>
  <c r="EV641" i="54"/>
  <c r="EW641" i="54"/>
  <c r="EX641" i="54"/>
  <c r="EY641" i="54"/>
  <c r="FB641" i="54"/>
  <c r="FC641" i="54"/>
  <c r="DR642" i="54"/>
  <c r="DS642" i="54"/>
  <c r="FF642" i="54"/>
  <c r="DW642" i="54"/>
  <c r="DX642" i="54"/>
  <c r="FA642" i="54"/>
  <c r="DR643" i="54"/>
  <c r="DS643" i="54"/>
  <c r="DW643" i="54"/>
  <c r="DX643" i="54"/>
  <c r="FF643" i="54" s="1"/>
  <c r="EY643" i="54"/>
  <c r="FD643" i="54"/>
  <c r="FG643" i="54"/>
  <c r="DR644" i="54"/>
  <c r="DS644" i="54"/>
  <c r="EU644" i="54"/>
  <c r="DW644" i="54"/>
  <c r="DX644" i="54"/>
  <c r="ET644" i="54"/>
  <c r="EV644" i="54"/>
  <c r="CD6" i="54"/>
  <c r="CD7" i="54"/>
  <c r="CD8" i="54"/>
  <c r="CD9" i="54"/>
  <c r="CA9" i="54" s="1"/>
  <c r="CD10" i="54"/>
  <c r="CD11" i="54"/>
  <c r="CD12" i="54"/>
  <c r="CD13" i="54"/>
  <c r="CA13" i="54" s="1"/>
  <c r="CD14" i="54"/>
  <c r="CD15" i="54"/>
  <c r="CD16" i="54"/>
  <c r="CD17" i="54"/>
  <c r="CA17" i="54" s="1"/>
  <c r="CD18" i="54"/>
  <c r="CD19" i="54"/>
  <c r="CD20" i="54"/>
  <c r="CD21" i="54"/>
  <c r="CA21" i="54" s="1"/>
  <c r="CD22" i="54"/>
  <c r="CD23" i="54"/>
  <c r="CD24" i="54"/>
  <c r="CD25" i="54"/>
  <c r="CA25" i="54" s="1"/>
  <c r="CD26" i="54"/>
  <c r="CD27" i="54"/>
  <c r="CD28" i="54"/>
  <c r="CD29" i="54"/>
  <c r="CA29" i="54" s="1"/>
  <c r="CD30" i="54"/>
  <c r="CD31" i="54"/>
  <c r="CD32" i="54"/>
  <c r="CD33" i="54"/>
  <c r="CA33" i="54" s="1"/>
  <c r="CD34" i="54"/>
  <c r="CD35" i="54"/>
  <c r="CD36" i="54"/>
  <c r="CD37" i="54"/>
  <c r="CA37" i="54" s="1"/>
  <c r="CD38" i="54"/>
  <c r="CD39" i="54"/>
  <c r="CD40" i="54"/>
  <c r="CD41" i="54"/>
  <c r="CA41" i="54" s="1"/>
  <c r="CD42" i="54"/>
  <c r="CD43" i="54"/>
  <c r="CD44" i="54"/>
  <c r="CD45" i="54"/>
  <c r="CA45" i="54" s="1"/>
  <c r="CD46" i="54"/>
  <c r="CD47" i="54"/>
  <c r="CD48" i="54"/>
  <c r="CD49" i="54"/>
  <c r="CA49" i="54" s="1"/>
  <c r="CD50" i="54"/>
  <c r="CD51" i="54"/>
  <c r="CD52" i="54"/>
  <c r="CD53" i="54"/>
  <c r="CA53" i="54" s="1"/>
  <c r="CD54" i="54"/>
  <c r="CD55" i="54"/>
  <c r="CD56" i="54"/>
  <c r="CD57" i="54"/>
  <c r="CA57" i="54" s="1"/>
  <c r="CD58" i="54"/>
  <c r="CD59" i="54"/>
  <c r="CD60" i="54"/>
  <c r="CD61" i="54"/>
  <c r="CA61" i="54" s="1"/>
  <c r="CD62" i="54"/>
  <c r="CD63" i="54"/>
  <c r="CD64" i="54"/>
  <c r="CD65" i="54"/>
  <c r="CA65" i="54" s="1"/>
  <c r="CD66" i="54"/>
  <c r="CD67" i="54"/>
  <c r="CD68" i="54"/>
  <c r="CD69" i="54"/>
  <c r="CA69" i="54" s="1"/>
  <c r="CD70" i="54"/>
  <c r="CD71" i="54"/>
  <c r="CD72" i="54"/>
  <c r="CD73" i="54"/>
  <c r="CA73" i="54" s="1"/>
  <c r="CD74" i="54"/>
  <c r="CD75" i="54"/>
  <c r="CD76" i="54"/>
  <c r="CD77" i="54"/>
  <c r="CA77" i="54" s="1"/>
  <c r="CD78" i="54"/>
  <c r="CD79" i="54"/>
  <c r="CD80" i="54"/>
  <c r="CD81" i="54"/>
  <c r="CA81" i="54" s="1"/>
  <c r="CD82" i="54"/>
  <c r="CD83" i="54"/>
  <c r="CD84" i="54"/>
  <c r="CD85" i="54"/>
  <c r="CA85" i="54" s="1"/>
  <c r="CD86" i="54"/>
  <c r="CD87" i="54"/>
  <c r="CD88" i="54"/>
  <c r="CD89" i="54"/>
  <c r="CA89" i="54" s="1"/>
  <c r="CD90" i="54"/>
  <c r="CD91" i="54"/>
  <c r="CD92" i="54"/>
  <c r="CD93" i="54"/>
  <c r="CA93" i="54" s="1"/>
  <c r="CD94" i="54"/>
  <c r="CD95" i="54"/>
  <c r="CD96" i="54"/>
  <c r="CD97" i="54"/>
  <c r="CA97" i="54" s="1"/>
  <c r="CD98" i="54"/>
  <c r="CD99" i="54"/>
  <c r="CD100" i="54"/>
  <c r="CD101" i="54"/>
  <c r="CA101" i="54" s="1"/>
  <c r="CD102" i="54"/>
  <c r="CD103" i="54"/>
  <c r="CD104" i="54"/>
  <c r="CD105" i="54"/>
  <c r="CA105" i="54" s="1"/>
  <c r="CD106" i="54"/>
  <c r="CD107" i="54"/>
  <c r="CD108" i="54"/>
  <c r="CD109" i="54"/>
  <c r="CA109" i="54" s="1"/>
  <c r="CD110" i="54"/>
  <c r="CD111" i="54"/>
  <c r="CD112" i="54"/>
  <c r="CD113" i="54"/>
  <c r="CA113" i="54" s="1"/>
  <c r="CD114" i="54"/>
  <c r="CD115" i="54"/>
  <c r="CD116" i="54"/>
  <c r="CD117" i="54"/>
  <c r="CA117" i="54" s="1"/>
  <c r="CD118" i="54"/>
  <c r="CD119" i="54"/>
  <c r="CD120" i="54"/>
  <c r="CD121" i="54"/>
  <c r="CA121" i="54" s="1"/>
  <c r="CD122" i="54"/>
  <c r="CD123" i="54"/>
  <c r="CD124" i="54"/>
  <c r="CD125" i="54"/>
  <c r="CA125" i="54" s="1"/>
  <c r="CD126" i="54"/>
  <c r="CD127" i="54"/>
  <c r="CD128" i="54"/>
  <c r="CD129" i="54"/>
  <c r="CA129" i="54" s="1"/>
  <c r="CD130" i="54"/>
  <c r="CD131" i="54"/>
  <c r="CD132" i="54"/>
  <c r="CD133" i="54"/>
  <c r="CA133" i="54" s="1"/>
  <c r="CD134" i="54"/>
  <c r="CD135" i="54"/>
  <c r="CD136" i="54"/>
  <c r="CD137" i="54"/>
  <c r="CA137" i="54" s="1"/>
  <c r="CD138" i="54"/>
  <c r="CD139" i="54"/>
  <c r="CD140" i="54"/>
  <c r="CD141" i="54"/>
  <c r="CA141" i="54" s="1"/>
  <c r="CD142" i="54"/>
  <c r="CD143" i="54"/>
  <c r="CD144" i="54"/>
  <c r="CD145" i="54"/>
  <c r="CA145" i="54" s="1"/>
  <c r="CD146" i="54"/>
  <c r="CD147" i="54"/>
  <c r="CD148" i="54"/>
  <c r="CD149" i="54"/>
  <c r="CA149" i="54" s="1"/>
  <c r="CD150" i="54"/>
  <c r="CD151" i="54"/>
  <c r="CD152" i="54"/>
  <c r="CD153" i="54"/>
  <c r="CA153" i="54" s="1"/>
  <c r="CD154" i="54"/>
  <c r="CD155" i="54"/>
  <c r="CD156" i="54"/>
  <c r="CD157" i="54"/>
  <c r="CA157" i="54" s="1"/>
  <c r="CD158" i="54"/>
  <c r="CD159" i="54"/>
  <c r="CD160" i="54"/>
  <c r="CD161" i="54"/>
  <c r="CA161" i="54" s="1"/>
  <c r="CD162" i="54"/>
  <c r="CD163" i="54"/>
  <c r="CD164" i="54"/>
  <c r="CD165" i="54"/>
  <c r="CA165" i="54" s="1"/>
  <c r="CD166" i="54"/>
  <c r="CD167" i="54"/>
  <c r="CD168" i="54"/>
  <c r="CD169" i="54"/>
  <c r="CA169" i="54" s="1"/>
  <c r="CD170" i="54"/>
  <c r="CD171" i="54"/>
  <c r="CD172" i="54"/>
  <c r="CD173" i="54"/>
  <c r="CA173" i="54" s="1"/>
  <c r="CD174" i="54"/>
  <c r="CD175" i="54"/>
  <c r="CD176" i="54"/>
  <c r="CD177" i="54"/>
  <c r="CA177" i="54" s="1"/>
  <c r="CD178" i="54"/>
  <c r="CD179" i="54"/>
  <c r="CD180" i="54"/>
  <c r="CD181" i="54"/>
  <c r="CA181" i="54" s="1"/>
  <c r="CD182" i="54"/>
  <c r="CD183" i="54"/>
  <c r="CD184" i="54"/>
  <c r="CD185" i="54"/>
  <c r="CA185" i="54" s="1"/>
  <c r="CD186" i="54"/>
  <c r="CD187" i="54"/>
  <c r="CD188" i="54"/>
  <c r="CD189" i="54"/>
  <c r="CA189" i="54" s="1"/>
  <c r="CD190" i="54"/>
  <c r="CD191" i="54"/>
  <c r="CD192" i="54"/>
  <c r="CD193" i="54"/>
  <c r="CA193" i="54" s="1"/>
  <c r="CD194" i="54"/>
  <c r="CD195" i="54"/>
  <c r="CD196" i="54"/>
  <c r="CD197" i="54"/>
  <c r="CA197" i="54" s="1"/>
  <c r="CD198" i="54"/>
  <c r="CD199" i="54"/>
  <c r="CD200" i="54"/>
  <c r="CD201" i="54"/>
  <c r="CA201" i="54" s="1"/>
  <c r="CD202" i="54"/>
  <c r="CD203" i="54"/>
  <c r="CD204" i="54"/>
  <c r="CD205" i="54"/>
  <c r="CA205" i="54" s="1"/>
  <c r="CD206" i="54"/>
  <c r="CD207" i="54"/>
  <c r="CD208" i="54"/>
  <c r="CD209" i="54"/>
  <c r="CA209" i="54" s="1"/>
  <c r="CD210" i="54"/>
  <c r="CD211" i="54"/>
  <c r="CD212" i="54"/>
  <c r="CD213" i="54"/>
  <c r="CA213" i="54" s="1"/>
  <c r="CD214" i="54"/>
  <c r="CD215" i="54"/>
  <c r="CD216" i="54"/>
  <c r="CD217" i="54"/>
  <c r="CA217" i="54" s="1"/>
  <c r="CD218" i="54"/>
  <c r="CD219" i="54"/>
  <c r="CD220" i="54"/>
  <c r="CD221" i="54"/>
  <c r="CA221" i="54" s="1"/>
  <c r="CD222" i="54"/>
  <c r="CD223" i="54"/>
  <c r="CD224" i="54"/>
  <c r="CD225" i="54"/>
  <c r="CA225" i="54" s="1"/>
  <c r="CD226" i="54"/>
  <c r="CD227" i="54"/>
  <c r="CD228" i="54"/>
  <c r="CD229" i="54"/>
  <c r="CA229" i="54" s="1"/>
  <c r="CD230" i="54"/>
  <c r="CD231" i="54"/>
  <c r="CD232" i="54"/>
  <c r="CD233" i="54"/>
  <c r="CA233" i="54" s="1"/>
  <c r="CD234" i="54"/>
  <c r="CD235" i="54"/>
  <c r="CD236" i="54"/>
  <c r="CD237" i="54"/>
  <c r="CA237" i="54" s="1"/>
  <c r="CD238" i="54"/>
  <c r="CD239" i="54"/>
  <c r="CD240" i="54"/>
  <c r="CD241" i="54"/>
  <c r="CA241" i="54" s="1"/>
  <c r="CD242" i="54"/>
  <c r="CD243" i="54"/>
  <c r="CD244" i="54"/>
  <c r="CD245" i="54"/>
  <c r="CA245" i="54" s="1"/>
  <c r="CD246" i="54"/>
  <c r="CD247" i="54"/>
  <c r="CD248" i="54"/>
  <c r="CD249" i="54"/>
  <c r="CA249" i="54" s="1"/>
  <c r="CD250" i="54"/>
  <c r="CD251" i="54"/>
  <c r="CD252" i="54"/>
  <c r="CD253" i="54"/>
  <c r="CA253" i="54" s="1"/>
  <c r="CD254" i="54"/>
  <c r="CD255" i="54"/>
  <c r="CD256" i="54"/>
  <c r="CD257" i="54"/>
  <c r="CA257" i="54" s="1"/>
  <c r="CD258" i="54"/>
  <c r="CD259" i="54"/>
  <c r="CD260" i="54"/>
  <c r="CD261" i="54"/>
  <c r="CA261" i="54" s="1"/>
  <c r="CD262" i="54"/>
  <c r="CD263" i="54"/>
  <c r="CD264" i="54"/>
  <c r="CD265" i="54"/>
  <c r="CA265" i="54" s="1"/>
  <c r="CD266" i="54"/>
  <c r="CD267" i="54"/>
  <c r="CD268" i="54"/>
  <c r="CD269" i="54"/>
  <c r="CA269" i="54" s="1"/>
  <c r="CD270" i="54"/>
  <c r="CD271" i="54"/>
  <c r="CD272" i="54"/>
  <c r="CD273" i="54"/>
  <c r="CA273" i="54" s="1"/>
  <c r="CD274" i="54"/>
  <c r="CD275" i="54"/>
  <c r="CD276" i="54"/>
  <c r="CD277" i="54"/>
  <c r="CA277" i="54" s="1"/>
  <c r="CD278" i="54"/>
  <c r="CD279" i="54"/>
  <c r="CD280" i="54"/>
  <c r="CD281" i="54"/>
  <c r="CA281" i="54" s="1"/>
  <c r="CD282" i="54"/>
  <c r="CD283" i="54"/>
  <c r="CD284" i="54"/>
  <c r="CD285" i="54"/>
  <c r="CA285" i="54" s="1"/>
  <c r="CD286" i="54"/>
  <c r="CD287" i="54"/>
  <c r="CD288" i="54"/>
  <c r="CD289" i="54"/>
  <c r="CA289" i="54" s="1"/>
  <c r="CD290" i="54"/>
  <c r="CD291" i="54"/>
  <c r="CD292" i="54"/>
  <c r="CD293" i="54"/>
  <c r="CA293" i="54" s="1"/>
  <c r="CD294" i="54"/>
  <c r="CD295" i="54"/>
  <c r="CD296" i="54"/>
  <c r="CD297" i="54"/>
  <c r="CA297" i="54" s="1"/>
  <c r="CD298" i="54"/>
  <c r="CD299" i="54"/>
  <c r="CD300" i="54"/>
  <c r="CD301" i="54"/>
  <c r="CA301" i="54" s="1"/>
  <c r="CD302" i="54"/>
  <c r="CD303" i="54"/>
  <c r="CD304" i="54"/>
  <c r="CD305" i="54"/>
  <c r="CA305" i="54" s="1"/>
  <c r="CD306" i="54"/>
  <c r="CD307" i="54"/>
  <c r="CD308" i="54"/>
  <c r="CD309" i="54"/>
  <c r="CA309" i="54" s="1"/>
  <c r="CD310" i="54"/>
  <c r="CD311" i="54"/>
  <c r="CD312" i="54"/>
  <c r="CD313" i="54"/>
  <c r="CA313" i="54" s="1"/>
  <c r="CD314" i="54"/>
  <c r="CD315" i="54"/>
  <c r="CD316" i="54"/>
  <c r="CD317" i="54"/>
  <c r="CA317" i="54" s="1"/>
  <c r="CD318" i="54"/>
  <c r="CD319" i="54"/>
  <c r="CD320" i="54"/>
  <c r="CD321" i="54"/>
  <c r="CA321" i="54" s="1"/>
  <c r="CD322" i="54"/>
  <c r="CD323" i="54"/>
  <c r="CD324" i="54"/>
  <c r="CD325" i="54"/>
  <c r="CA325" i="54" s="1"/>
  <c r="CD326" i="54"/>
  <c r="CD327" i="54"/>
  <c r="CD328" i="54"/>
  <c r="CD329" i="54"/>
  <c r="CA329" i="54" s="1"/>
  <c r="CD330" i="54"/>
  <c r="CD331" i="54"/>
  <c r="CD332" i="54"/>
  <c r="CD333" i="54"/>
  <c r="CA333" i="54" s="1"/>
  <c r="CD334" i="54"/>
  <c r="CD335" i="54"/>
  <c r="CD336" i="54"/>
  <c r="CD337" i="54"/>
  <c r="CA337" i="54" s="1"/>
  <c r="CD338" i="54"/>
  <c r="CD339" i="54"/>
  <c r="CD340" i="54"/>
  <c r="CD341" i="54"/>
  <c r="CA341" i="54" s="1"/>
  <c r="CD342" i="54"/>
  <c r="CD343" i="54"/>
  <c r="CD344" i="54"/>
  <c r="CD345" i="54"/>
  <c r="CA345" i="54" s="1"/>
  <c r="CD346" i="54"/>
  <c r="CD347" i="54"/>
  <c r="CD348" i="54"/>
  <c r="CD349" i="54"/>
  <c r="CA349" i="54" s="1"/>
  <c r="CD350" i="54"/>
  <c r="CD351" i="54"/>
  <c r="CD352" i="54"/>
  <c r="CD353" i="54"/>
  <c r="CA353" i="54" s="1"/>
  <c r="CD354" i="54"/>
  <c r="CD355" i="54"/>
  <c r="CD356" i="54"/>
  <c r="CD357" i="54"/>
  <c r="CA357" i="54" s="1"/>
  <c r="CD358" i="54"/>
  <c r="CD359" i="54"/>
  <c r="CD360" i="54"/>
  <c r="CD361" i="54"/>
  <c r="CA361" i="54" s="1"/>
  <c r="CD362" i="54"/>
  <c r="CD363" i="54"/>
  <c r="CD364" i="54"/>
  <c r="CD365" i="54"/>
  <c r="CA365" i="54" s="1"/>
  <c r="CD366" i="54"/>
  <c r="CD367" i="54"/>
  <c r="CD368" i="54"/>
  <c r="CD369" i="54"/>
  <c r="CA369" i="54" s="1"/>
  <c r="CD370" i="54"/>
  <c r="CD371" i="54"/>
  <c r="CD372" i="54"/>
  <c r="CD373" i="54"/>
  <c r="CA373" i="54" s="1"/>
  <c r="CD374" i="54"/>
  <c r="CD375" i="54"/>
  <c r="CD376" i="54"/>
  <c r="CD377" i="54"/>
  <c r="CA377" i="54" s="1"/>
  <c r="CD378" i="54"/>
  <c r="CD379" i="54"/>
  <c r="CD380" i="54"/>
  <c r="CD381" i="54"/>
  <c r="CA381" i="54" s="1"/>
  <c r="CD382" i="54"/>
  <c r="CD383" i="54"/>
  <c r="CD384" i="54"/>
  <c r="CD385" i="54"/>
  <c r="CA385" i="54" s="1"/>
  <c r="CD386" i="54"/>
  <c r="CD387" i="54"/>
  <c r="CD388" i="54"/>
  <c r="CD389" i="54"/>
  <c r="CA389" i="54" s="1"/>
  <c r="CD390" i="54"/>
  <c r="CD391" i="54"/>
  <c r="CD392" i="54"/>
  <c r="CD393" i="54"/>
  <c r="CA393" i="54" s="1"/>
  <c r="CD394" i="54"/>
  <c r="CD395" i="54"/>
  <c r="CD396" i="54"/>
  <c r="CD397" i="54"/>
  <c r="CA397" i="54" s="1"/>
  <c r="CD398" i="54"/>
  <c r="CD399" i="54"/>
  <c r="CD400" i="54"/>
  <c r="CD401" i="54"/>
  <c r="CA401" i="54" s="1"/>
  <c r="CD402" i="54"/>
  <c r="CD403" i="54"/>
  <c r="CD404" i="54"/>
  <c r="CD405" i="54"/>
  <c r="CA405" i="54" s="1"/>
  <c r="CD406" i="54"/>
  <c r="CD407" i="54"/>
  <c r="CD408" i="54"/>
  <c r="CD409" i="54"/>
  <c r="CA409" i="54" s="1"/>
  <c r="CD410" i="54"/>
  <c r="CD411" i="54"/>
  <c r="CD412" i="54"/>
  <c r="CD413" i="54"/>
  <c r="CA413" i="54" s="1"/>
  <c r="CD414" i="54"/>
  <c r="CD415" i="54"/>
  <c r="CD416" i="54"/>
  <c r="CD417" i="54"/>
  <c r="CA417" i="54" s="1"/>
  <c r="CD418" i="54"/>
  <c r="CD419" i="54"/>
  <c r="CD420" i="54"/>
  <c r="CD421" i="54"/>
  <c r="CA421" i="54" s="1"/>
  <c r="CD422" i="54"/>
  <c r="CD423" i="54"/>
  <c r="CD424" i="54"/>
  <c r="CD425" i="54"/>
  <c r="CA425" i="54" s="1"/>
  <c r="CD426" i="54"/>
  <c r="CD427" i="54"/>
  <c r="CD428" i="54"/>
  <c r="CD429" i="54"/>
  <c r="CA429" i="54" s="1"/>
  <c r="CD430" i="54"/>
  <c r="CD431" i="54"/>
  <c r="CD432" i="54"/>
  <c r="CD433" i="54"/>
  <c r="CA433" i="54" s="1"/>
  <c r="CD434" i="54"/>
  <c r="CD435" i="54"/>
  <c r="CD436" i="54"/>
  <c r="CD437" i="54"/>
  <c r="CA437" i="54" s="1"/>
  <c r="CD438" i="54"/>
  <c r="CD439" i="54"/>
  <c r="CD440" i="54"/>
  <c r="CD441" i="54"/>
  <c r="CA441" i="54" s="1"/>
  <c r="CD442" i="54"/>
  <c r="CD443" i="54"/>
  <c r="CD444" i="54"/>
  <c r="CD445" i="54"/>
  <c r="CA445" i="54" s="1"/>
  <c r="CD446" i="54"/>
  <c r="CD447" i="54"/>
  <c r="CD448" i="54"/>
  <c r="CD449" i="54"/>
  <c r="CA449" i="54" s="1"/>
  <c r="CD450" i="54"/>
  <c r="CD451" i="54"/>
  <c r="CD452" i="54"/>
  <c r="CD453" i="54"/>
  <c r="CA453" i="54" s="1"/>
  <c r="CD454" i="54"/>
  <c r="CD455" i="54"/>
  <c r="CD456" i="54"/>
  <c r="CD457" i="54"/>
  <c r="CA457" i="54" s="1"/>
  <c r="CD458" i="54"/>
  <c r="CD459" i="54"/>
  <c r="CD460" i="54"/>
  <c r="CD461" i="54"/>
  <c r="CA461" i="54" s="1"/>
  <c r="CD462" i="54"/>
  <c r="CD463" i="54"/>
  <c r="CD464" i="54"/>
  <c r="CD465" i="54"/>
  <c r="CA465" i="54" s="1"/>
  <c r="CD466" i="54"/>
  <c r="CD467" i="54"/>
  <c r="CD468" i="54"/>
  <c r="CD469" i="54"/>
  <c r="CA469" i="54" s="1"/>
  <c r="CD470" i="54"/>
  <c r="CD471" i="54"/>
  <c r="CD472" i="54"/>
  <c r="CD473" i="54"/>
  <c r="CA473" i="54" s="1"/>
  <c r="CD474" i="54"/>
  <c r="CD475" i="54"/>
  <c r="CD476" i="54"/>
  <c r="CD477" i="54"/>
  <c r="CA477" i="54" s="1"/>
  <c r="CD478" i="54"/>
  <c r="CD479" i="54"/>
  <c r="CD480" i="54"/>
  <c r="CD481" i="54"/>
  <c r="CA481" i="54" s="1"/>
  <c r="CD482" i="54"/>
  <c r="CD483" i="54"/>
  <c r="CD484" i="54"/>
  <c r="CD485" i="54"/>
  <c r="CA485" i="54" s="1"/>
  <c r="CD486" i="54"/>
  <c r="CD487" i="54"/>
  <c r="CD488" i="54"/>
  <c r="CD489" i="54"/>
  <c r="CA489" i="54" s="1"/>
  <c r="CD490" i="54"/>
  <c r="CD491" i="54"/>
  <c r="CD492" i="54"/>
  <c r="CD493" i="54"/>
  <c r="CA493" i="54" s="1"/>
  <c r="CD494" i="54"/>
  <c r="CD495" i="54"/>
  <c r="CD496" i="54"/>
  <c r="CD497" i="54"/>
  <c r="CA497" i="54" s="1"/>
  <c r="CD498" i="54"/>
  <c r="CD499" i="54"/>
  <c r="CD500" i="54"/>
  <c r="CD501" i="54"/>
  <c r="CA501" i="54" s="1"/>
  <c r="CD502" i="54"/>
  <c r="CD503" i="54"/>
  <c r="CD504" i="54"/>
  <c r="CD505" i="54"/>
  <c r="CA505" i="54" s="1"/>
  <c r="CD506" i="54"/>
  <c r="CD507" i="54"/>
  <c r="CD508" i="54"/>
  <c r="CD509" i="54"/>
  <c r="CA509" i="54" s="1"/>
  <c r="CD510" i="54"/>
  <c r="CD511" i="54"/>
  <c r="CD512" i="54"/>
  <c r="CD513" i="54"/>
  <c r="CA513" i="54" s="1"/>
  <c r="CD514" i="54"/>
  <c r="CD515" i="54"/>
  <c r="CD516" i="54"/>
  <c r="CD517" i="54"/>
  <c r="CA517" i="54" s="1"/>
  <c r="CD518" i="54"/>
  <c r="CD519" i="54"/>
  <c r="CD520" i="54"/>
  <c r="CD521" i="54"/>
  <c r="CA521" i="54" s="1"/>
  <c r="CD522" i="54"/>
  <c r="CD523" i="54"/>
  <c r="CD524" i="54"/>
  <c r="CD525" i="54"/>
  <c r="CA525" i="54" s="1"/>
  <c r="CD526" i="54"/>
  <c r="CD527" i="54"/>
  <c r="CD528" i="54"/>
  <c r="CD529" i="54"/>
  <c r="CA529" i="54" s="1"/>
  <c r="CD530" i="54"/>
  <c r="CD531" i="54"/>
  <c r="CD532" i="54"/>
  <c r="CD533" i="54"/>
  <c r="CA533" i="54" s="1"/>
  <c r="CD534" i="54"/>
  <c r="CD535" i="54"/>
  <c r="CD536" i="54"/>
  <c r="CD537" i="54"/>
  <c r="CA537" i="54" s="1"/>
  <c r="CD538" i="54"/>
  <c r="CD539" i="54"/>
  <c r="CD540" i="54"/>
  <c r="CD541" i="54"/>
  <c r="CA541" i="54" s="1"/>
  <c r="CD542" i="54"/>
  <c r="CD543" i="54"/>
  <c r="CD544" i="54"/>
  <c r="CD545" i="54"/>
  <c r="CA545" i="54" s="1"/>
  <c r="CD546" i="54"/>
  <c r="CD547" i="54"/>
  <c r="CD548" i="54"/>
  <c r="CD549" i="54"/>
  <c r="CA549" i="54" s="1"/>
  <c r="CD550" i="54"/>
  <c r="CD551" i="54"/>
  <c r="CD552" i="54"/>
  <c r="CD553" i="54"/>
  <c r="CA553" i="54" s="1"/>
  <c r="CD554" i="54"/>
  <c r="CD555" i="54"/>
  <c r="CD556" i="54"/>
  <c r="CD557" i="54"/>
  <c r="CA557" i="54" s="1"/>
  <c r="CD558" i="54"/>
  <c r="CD559" i="54"/>
  <c r="CD560" i="54"/>
  <c r="CD561" i="54"/>
  <c r="CA561" i="54" s="1"/>
  <c r="CD562" i="54"/>
  <c r="CD563" i="54"/>
  <c r="CD564" i="54"/>
  <c r="CD565" i="54"/>
  <c r="CJ565" i="54" s="1"/>
  <c r="CD566" i="54"/>
  <c r="CD567" i="54"/>
  <c r="CD568" i="54"/>
  <c r="CD569" i="54"/>
  <c r="CA569" i="54" s="1"/>
  <c r="CD570" i="54"/>
  <c r="CD571" i="54"/>
  <c r="CD572" i="54"/>
  <c r="CD573" i="54"/>
  <c r="CA573" i="54" s="1"/>
  <c r="CD574" i="54"/>
  <c r="CD575" i="54"/>
  <c r="CD576" i="54"/>
  <c r="CD577" i="54"/>
  <c r="CP577" i="54" s="1"/>
  <c r="CD578" i="54"/>
  <c r="CD579" i="54"/>
  <c r="CD580" i="54"/>
  <c r="CD581" i="54"/>
  <c r="CD582" i="54"/>
  <c r="CD583" i="54"/>
  <c r="CD584" i="54"/>
  <c r="CD585" i="54"/>
  <c r="CA585" i="54" s="1"/>
  <c r="CD586" i="54"/>
  <c r="CD587" i="54"/>
  <c r="CD588" i="54"/>
  <c r="CD589" i="54"/>
  <c r="CD590" i="54"/>
  <c r="CD591" i="54"/>
  <c r="CD592" i="54"/>
  <c r="CD593" i="54"/>
  <c r="CA593" i="54" s="1"/>
  <c r="CD594" i="54"/>
  <c r="CD595" i="54"/>
  <c r="CD596" i="54"/>
  <c r="CD597" i="54"/>
  <c r="CD598" i="54"/>
  <c r="CD599" i="54"/>
  <c r="CD600" i="54"/>
  <c r="CD601" i="54"/>
  <c r="CL601" i="54" s="1"/>
  <c r="CD602" i="54"/>
  <c r="CD603" i="54"/>
  <c r="CD604" i="54"/>
  <c r="CD605" i="54"/>
  <c r="CA605" i="54" s="1"/>
  <c r="CD606" i="54"/>
  <c r="CD607" i="54"/>
  <c r="CD608" i="54"/>
  <c r="CD609" i="54"/>
  <c r="CP609" i="54" s="1"/>
  <c r="CD610" i="54"/>
  <c r="CD611" i="54"/>
  <c r="CD612" i="54"/>
  <c r="CD613" i="54"/>
  <c r="CD614" i="54"/>
  <c r="CD615" i="54"/>
  <c r="CD616" i="54"/>
  <c r="CD617" i="54"/>
  <c r="CD618" i="54"/>
  <c r="CD619" i="54"/>
  <c r="CD620" i="54"/>
  <c r="CD621" i="54"/>
  <c r="CP621" i="54" s="1"/>
  <c r="CD622" i="54"/>
  <c r="CD623" i="54"/>
  <c r="CD624" i="54"/>
  <c r="CD625" i="54"/>
  <c r="CA625" i="54" s="1"/>
  <c r="CD626" i="54"/>
  <c r="CD627" i="54"/>
  <c r="CD628" i="54"/>
  <c r="CD629" i="54"/>
  <c r="CA629" i="54" s="1"/>
  <c r="CD630" i="54"/>
  <c r="CD631" i="54"/>
  <c r="CD632" i="54"/>
  <c r="CD633" i="54"/>
  <c r="CA633" i="54" s="1"/>
  <c r="CD634" i="54"/>
  <c r="CD635" i="54"/>
  <c r="CD636" i="54"/>
  <c r="CD637" i="54"/>
  <c r="CA637" i="54" s="1"/>
  <c r="CD638" i="54"/>
  <c r="CD639" i="54"/>
  <c r="CD640" i="54"/>
  <c r="CD641" i="54"/>
  <c r="CA641" i="54" s="1"/>
  <c r="CD642" i="54"/>
  <c r="CD643" i="54"/>
  <c r="CD644" i="54"/>
  <c r="CA6" i="54"/>
  <c r="CA7" i="54"/>
  <c r="CA8" i="54"/>
  <c r="CA10" i="54"/>
  <c r="CA11" i="54"/>
  <c r="CA12" i="54"/>
  <c r="CA14" i="54"/>
  <c r="CA15" i="54"/>
  <c r="CA16" i="54"/>
  <c r="CA18" i="54"/>
  <c r="CA19" i="54"/>
  <c r="CA20" i="54"/>
  <c r="CA22" i="54"/>
  <c r="CA23" i="54"/>
  <c r="CA24" i="54"/>
  <c r="CA26" i="54"/>
  <c r="CA27" i="54"/>
  <c r="CA28" i="54"/>
  <c r="CA30" i="54"/>
  <c r="CA31" i="54"/>
  <c r="CA32" i="54"/>
  <c r="CA34" i="54"/>
  <c r="CA35" i="54"/>
  <c r="CA36" i="54"/>
  <c r="CA38" i="54"/>
  <c r="CA39" i="54"/>
  <c r="CA40" i="54"/>
  <c r="CA42" i="54"/>
  <c r="CA43" i="54"/>
  <c r="CA44" i="54"/>
  <c r="CA46" i="54"/>
  <c r="CA47" i="54"/>
  <c r="CA48" i="54"/>
  <c r="CA50" i="54"/>
  <c r="CA51" i="54"/>
  <c r="CA52" i="54"/>
  <c r="CA54" i="54"/>
  <c r="CA55" i="54"/>
  <c r="CA56" i="54"/>
  <c r="CA58" i="54"/>
  <c r="CA59" i="54"/>
  <c r="CA60" i="54"/>
  <c r="CA62" i="54"/>
  <c r="CA63" i="54"/>
  <c r="CA64" i="54"/>
  <c r="CA66" i="54"/>
  <c r="CA67" i="54"/>
  <c r="CA68" i="54"/>
  <c r="CA70" i="54"/>
  <c r="CA71" i="54"/>
  <c r="CA72" i="54"/>
  <c r="CA74" i="54"/>
  <c r="CA75" i="54"/>
  <c r="CA76" i="54"/>
  <c r="CA78" i="54"/>
  <c r="CA79" i="54"/>
  <c r="CA80" i="54"/>
  <c r="CA82" i="54"/>
  <c r="CA83" i="54"/>
  <c r="CA84" i="54"/>
  <c r="CA86" i="54"/>
  <c r="CA87" i="54"/>
  <c r="CA88" i="54"/>
  <c r="CA90" i="54"/>
  <c r="CA91" i="54"/>
  <c r="CA92" i="54"/>
  <c r="CA94" i="54"/>
  <c r="CA95" i="54"/>
  <c r="CA96" i="54"/>
  <c r="CA98" i="54"/>
  <c r="CA99" i="54"/>
  <c r="CA100" i="54"/>
  <c r="CA102" i="54"/>
  <c r="CA103" i="54"/>
  <c r="CA104" i="54"/>
  <c r="CA106" i="54"/>
  <c r="CA107" i="54"/>
  <c r="CA108" i="54"/>
  <c r="CA110" i="54"/>
  <c r="CA111" i="54"/>
  <c r="CA112" i="54"/>
  <c r="CA114" i="54"/>
  <c r="CA115" i="54"/>
  <c r="CA116" i="54"/>
  <c r="CA118" i="54"/>
  <c r="CA119" i="54"/>
  <c r="CA120" i="54"/>
  <c r="CA122" i="54"/>
  <c r="CA123" i="54"/>
  <c r="CA124" i="54"/>
  <c r="CA126" i="54"/>
  <c r="CA127" i="54"/>
  <c r="CA128" i="54"/>
  <c r="CA130" i="54"/>
  <c r="CA131" i="54"/>
  <c r="CA132" i="54"/>
  <c r="CA134" i="54"/>
  <c r="CA135" i="54"/>
  <c r="CA136" i="54"/>
  <c r="CA138" i="54"/>
  <c r="CA139" i="54"/>
  <c r="CA140" i="54"/>
  <c r="CA142" i="54"/>
  <c r="CA143" i="54"/>
  <c r="CA144" i="54"/>
  <c r="CA146" i="54"/>
  <c r="CA147" i="54"/>
  <c r="CA148" i="54"/>
  <c r="CA150" i="54"/>
  <c r="CA151" i="54"/>
  <c r="CA152" i="54"/>
  <c r="CA154" i="54"/>
  <c r="CA155" i="54"/>
  <c r="CA156" i="54"/>
  <c r="CA158" i="54"/>
  <c r="CA159" i="54"/>
  <c r="CA160" i="54"/>
  <c r="CA162" i="54"/>
  <c r="CA163" i="54"/>
  <c r="CA164" i="54"/>
  <c r="CA166" i="54"/>
  <c r="CA167" i="54"/>
  <c r="CA168" i="54"/>
  <c r="CA170" i="54"/>
  <c r="CA171" i="54"/>
  <c r="CA172" i="54"/>
  <c r="CA174" i="54"/>
  <c r="CA175" i="54"/>
  <c r="CA176" i="54"/>
  <c r="CA178" i="54"/>
  <c r="CA179" i="54"/>
  <c r="CA180" i="54"/>
  <c r="CA182" i="54"/>
  <c r="CA183" i="54"/>
  <c r="CA184" i="54"/>
  <c r="CA186" i="54"/>
  <c r="CA187" i="54"/>
  <c r="CA188" i="54"/>
  <c r="CA190" i="54"/>
  <c r="CA191" i="54"/>
  <c r="CA192" i="54"/>
  <c r="CA194" i="54"/>
  <c r="CA195" i="54"/>
  <c r="CA196" i="54"/>
  <c r="CA198" i="54"/>
  <c r="CA199" i="54"/>
  <c r="CA200" i="54"/>
  <c r="CA202" i="54"/>
  <c r="CA203" i="54"/>
  <c r="CA204" i="54"/>
  <c r="CA206" i="54"/>
  <c r="CA207" i="54"/>
  <c r="CA208" i="54"/>
  <c r="CA210" i="54"/>
  <c r="CA211" i="54"/>
  <c r="CA212" i="54"/>
  <c r="CA214" i="54"/>
  <c r="CA215" i="54"/>
  <c r="CA216" i="54"/>
  <c r="CA218" i="54"/>
  <c r="CA219" i="54"/>
  <c r="CA220" i="54"/>
  <c r="CA222" i="54"/>
  <c r="CA223" i="54"/>
  <c r="CA224" i="54"/>
  <c r="CA226" i="54"/>
  <c r="CA227" i="54"/>
  <c r="CA228" i="54"/>
  <c r="CA230" i="54"/>
  <c r="CA231" i="54"/>
  <c r="CA232" i="54"/>
  <c r="CA234" i="54"/>
  <c r="CA235" i="54"/>
  <c r="CA236" i="54"/>
  <c r="CA238" i="54"/>
  <c r="CA239" i="54"/>
  <c r="CA240" i="54"/>
  <c r="CA242" i="54"/>
  <c r="CA243" i="54"/>
  <c r="CA244" i="54"/>
  <c r="CA246" i="54"/>
  <c r="CA247" i="54"/>
  <c r="CA248" i="54"/>
  <c r="CA250" i="54"/>
  <c r="CA251" i="54"/>
  <c r="CA252" i="54"/>
  <c r="CA254" i="54"/>
  <c r="CA255" i="54"/>
  <c r="CA256" i="54"/>
  <c r="CA258" i="54"/>
  <c r="CA259" i="54"/>
  <c r="CA260" i="54"/>
  <c r="CA262" i="54"/>
  <c r="CA263" i="54"/>
  <c r="CA264" i="54"/>
  <c r="CA266" i="54"/>
  <c r="CA267" i="54"/>
  <c r="CA268" i="54"/>
  <c r="CA270" i="54"/>
  <c r="CA271" i="54"/>
  <c r="CA272" i="54"/>
  <c r="CA274" i="54"/>
  <c r="CA275" i="54"/>
  <c r="CA276" i="54"/>
  <c r="CA278" i="54"/>
  <c r="CA279" i="54"/>
  <c r="CA280" i="54"/>
  <c r="CA282" i="54"/>
  <c r="CA283" i="54"/>
  <c r="CA284" i="54"/>
  <c r="CA286" i="54"/>
  <c r="CA287" i="54"/>
  <c r="CA288" i="54"/>
  <c r="CA290" i="54"/>
  <c r="CA291" i="54"/>
  <c r="CA292" i="54"/>
  <c r="CA294" i="54"/>
  <c r="CA295" i="54"/>
  <c r="CA296" i="54"/>
  <c r="CA298" i="54"/>
  <c r="CA299" i="54"/>
  <c r="CA300" i="54"/>
  <c r="CA302" i="54"/>
  <c r="CA303" i="54"/>
  <c r="CA304" i="54"/>
  <c r="CA306" i="54"/>
  <c r="CA307" i="54"/>
  <c r="CA308" i="54"/>
  <c r="CA310" i="54"/>
  <c r="CA311" i="54"/>
  <c r="CA312" i="54"/>
  <c r="CA314" i="54"/>
  <c r="CA315" i="54"/>
  <c r="CA316" i="54"/>
  <c r="CA318" i="54"/>
  <c r="CA319" i="54"/>
  <c r="CA320" i="54"/>
  <c r="CA322" i="54"/>
  <c r="CA323" i="54"/>
  <c r="CA324" i="54"/>
  <c r="CA326" i="54"/>
  <c r="CA327" i="54"/>
  <c r="CA328" i="54"/>
  <c r="CA330" i="54"/>
  <c r="CA331" i="54"/>
  <c r="CA332" i="54"/>
  <c r="CA334" i="54"/>
  <c r="CA335" i="54"/>
  <c r="CA336" i="54"/>
  <c r="CA338" i="54"/>
  <c r="CA339" i="54"/>
  <c r="CA340" i="54"/>
  <c r="CA342" i="54"/>
  <c r="CA343" i="54"/>
  <c r="CA344" i="54"/>
  <c r="CA346" i="54"/>
  <c r="CA347" i="54"/>
  <c r="CA348" i="54"/>
  <c r="CA350" i="54"/>
  <c r="CA351" i="54"/>
  <c r="CA352" i="54"/>
  <c r="CA354" i="54"/>
  <c r="CA355" i="54"/>
  <c r="CA356" i="54"/>
  <c r="CA358" i="54"/>
  <c r="CA359" i="54"/>
  <c r="CA360" i="54"/>
  <c r="CA362" i="54"/>
  <c r="CA363" i="54"/>
  <c r="CA364" i="54"/>
  <c r="CA366" i="54"/>
  <c r="CA367" i="54"/>
  <c r="CA368" i="54"/>
  <c r="CA370" i="54"/>
  <c r="CA371" i="54"/>
  <c r="CA372" i="54"/>
  <c r="CA374" i="54"/>
  <c r="CA375" i="54"/>
  <c r="CA376" i="54"/>
  <c r="CA378" i="54"/>
  <c r="CA379" i="54"/>
  <c r="CA380" i="54"/>
  <c r="CA382" i="54"/>
  <c r="CA383" i="54"/>
  <c r="CA384" i="54"/>
  <c r="CA386" i="54"/>
  <c r="CA387" i="54"/>
  <c r="CA388" i="54"/>
  <c r="CA390" i="54"/>
  <c r="CA391" i="54"/>
  <c r="CA392" i="54"/>
  <c r="CA394" i="54"/>
  <c r="CA395" i="54"/>
  <c r="CA396" i="54"/>
  <c r="CA398" i="54"/>
  <c r="CA399" i="54"/>
  <c r="CA400" i="54"/>
  <c r="CA402" i="54"/>
  <c r="CA403" i="54"/>
  <c r="CA404" i="54"/>
  <c r="CA406" i="54"/>
  <c r="CA407" i="54"/>
  <c r="CA408" i="54"/>
  <c r="CA410" i="54"/>
  <c r="CA411" i="54"/>
  <c r="CA412" i="54"/>
  <c r="CA414" i="54"/>
  <c r="CA415" i="54"/>
  <c r="CA416" i="54"/>
  <c r="CA418" i="54"/>
  <c r="CA419" i="54"/>
  <c r="CA420" i="54"/>
  <c r="CA422" i="54"/>
  <c r="CA423" i="54"/>
  <c r="CA424" i="54"/>
  <c r="CA426" i="54"/>
  <c r="CA427" i="54"/>
  <c r="CA428" i="54"/>
  <c r="CA430" i="54"/>
  <c r="CA431" i="54"/>
  <c r="CA432" i="54"/>
  <c r="CA434" i="54"/>
  <c r="CA435" i="54"/>
  <c r="CA436" i="54"/>
  <c r="CA438" i="54"/>
  <c r="CA439" i="54"/>
  <c r="CA440" i="54"/>
  <c r="CA442" i="54"/>
  <c r="CA443" i="54"/>
  <c r="CA444" i="54"/>
  <c r="CA446" i="54"/>
  <c r="CA447" i="54"/>
  <c r="CA448" i="54"/>
  <c r="CA450" i="54"/>
  <c r="CA451" i="54"/>
  <c r="CA452" i="54"/>
  <c r="CA454" i="54"/>
  <c r="CA455" i="54"/>
  <c r="CA456" i="54"/>
  <c r="CA458" i="54"/>
  <c r="CA459" i="54"/>
  <c r="CA460" i="54"/>
  <c r="CA462" i="54"/>
  <c r="CA463" i="54"/>
  <c r="CA464" i="54"/>
  <c r="CA466" i="54"/>
  <c r="CA467" i="54"/>
  <c r="CA468" i="54"/>
  <c r="CA470" i="54"/>
  <c r="CA471" i="54"/>
  <c r="CA472" i="54"/>
  <c r="CA474" i="54"/>
  <c r="CA475" i="54"/>
  <c r="CA476" i="54"/>
  <c r="CA478" i="54"/>
  <c r="CA479" i="54"/>
  <c r="CA480" i="54"/>
  <c r="CA482" i="54"/>
  <c r="CA483" i="54"/>
  <c r="CA484" i="54"/>
  <c r="CA486" i="54"/>
  <c r="CA487" i="54"/>
  <c r="CA488" i="54"/>
  <c r="CA490" i="54"/>
  <c r="CA491" i="54"/>
  <c r="CA492" i="54"/>
  <c r="CA494" i="54"/>
  <c r="CA495" i="54"/>
  <c r="CA496" i="54"/>
  <c r="CA498" i="54"/>
  <c r="CA499" i="54"/>
  <c r="CA500" i="54"/>
  <c r="CA502" i="54"/>
  <c r="CA503" i="54"/>
  <c r="CA504" i="54"/>
  <c r="CA506" i="54"/>
  <c r="CA507" i="54"/>
  <c r="CA508" i="54"/>
  <c r="CA510" i="54"/>
  <c r="CA511" i="54"/>
  <c r="CA512" i="54"/>
  <c r="CA514" i="54"/>
  <c r="CA515" i="54"/>
  <c r="CA516" i="54"/>
  <c r="CA518" i="54"/>
  <c r="CA519" i="54"/>
  <c r="CA520" i="54"/>
  <c r="CA522" i="54"/>
  <c r="CA523" i="54"/>
  <c r="CA524" i="54"/>
  <c r="CA526" i="54"/>
  <c r="CA527" i="54"/>
  <c r="CA528" i="54"/>
  <c r="CA530" i="54"/>
  <c r="CA531" i="54"/>
  <c r="CA532" i="54"/>
  <c r="CA534" i="54"/>
  <c r="CA535" i="54"/>
  <c r="CA536" i="54"/>
  <c r="CA538" i="54"/>
  <c r="CA539" i="54"/>
  <c r="CA540" i="54"/>
  <c r="CA542" i="54"/>
  <c r="CA543" i="54"/>
  <c r="CA544" i="54"/>
  <c r="CA546" i="54"/>
  <c r="CA547" i="54"/>
  <c r="CA548" i="54"/>
  <c r="CA550" i="54"/>
  <c r="CA551" i="54"/>
  <c r="CA552" i="54"/>
  <c r="CA554" i="54"/>
  <c r="CA555" i="54"/>
  <c r="CA556" i="54"/>
  <c r="CA558" i="54"/>
  <c r="CA559" i="54"/>
  <c r="CA560" i="54"/>
  <c r="CA562" i="54"/>
  <c r="CA563" i="54"/>
  <c r="CA564" i="54"/>
  <c r="CA566" i="54"/>
  <c r="CA567" i="54"/>
  <c r="CA568" i="54"/>
  <c r="CA570" i="54"/>
  <c r="CA571" i="54"/>
  <c r="CA572" i="54"/>
  <c r="CA574" i="54"/>
  <c r="CA575" i="54"/>
  <c r="CA576" i="54"/>
  <c r="CA578" i="54"/>
  <c r="CA579" i="54"/>
  <c r="CA580" i="54"/>
  <c r="CA582" i="54"/>
  <c r="CA583" i="54"/>
  <c r="CA584" i="54"/>
  <c r="CA586" i="54"/>
  <c r="CA587" i="54"/>
  <c r="CA588" i="54"/>
  <c r="CA590" i="54"/>
  <c r="CA591" i="54"/>
  <c r="CA592" i="54"/>
  <c r="CA594" i="54"/>
  <c r="CA595" i="54"/>
  <c r="CA596" i="54"/>
  <c r="CA598" i="54"/>
  <c r="CA599" i="54"/>
  <c r="CA600" i="54"/>
  <c r="CA602" i="54"/>
  <c r="CA603" i="54"/>
  <c r="CA604" i="54"/>
  <c r="CA606" i="54"/>
  <c r="CA607" i="54"/>
  <c r="CA608" i="54"/>
  <c r="CA610" i="54"/>
  <c r="CA611" i="54"/>
  <c r="CA612" i="54"/>
  <c r="CA614" i="54"/>
  <c r="CA615" i="54"/>
  <c r="CA616" i="54"/>
  <c r="CA618" i="54"/>
  <c r="CA619" i="54"/>
  <c r="CA620" i="54"/>
  <c r="CA622" i="54"/>
  <c r="CA623" i="54"/>
  <c r="CA624" i="54"/>
  <c r="CA626" i="54"/>
  <c r="CA627" i="54"/>
  <c r="CA628" i="54"/>
  <c r="CA630" i="54"/>
  <c r="CA631" i="54"/>
  <c r="CA632" i="54"/>
  <c r="CA634" i="54"/>
  <c r="CA635" i="54"/>
  <c r="CA636" i="54"/>
  <c r="CA638" i="54"/>
  <c r="CA639" i="54"/>
  <c r="CA640" i="54"/>
  <c r="CA642" i="54"/>
  <c r="CA643" i="54"/>
  <c r="CA644" i="54"/>
  <c r="CA5" i="54"/>
  <c r="BZ6" i="54"/>
  <c r="BZ7" i="54"/>
  <c r="BZ8" i="54"/>
  <c r="BZ9" i="54"/>
  <c r="BZ10" i="54"/>
  <c r="BZ11" i="54"/>
  <c r="BZ12" i="54"/>
  <c r="BZ13" i="54"/>
  <c r="BZ14" i="54"/>
  <c r="BZ15" i="54"/>
  <c r="BZ16" i="54"/>
  <c r="BZ17" i="54"/>
  <c r="BZ18" i="54"/>
  <c r="BZ19" i="54"/>
  <c r="BZ20" i="54"/>
  <c r="BZ21" i="54"/>
  <c r="BZ22" i="54"/>
  <c r="BZ23" i="54"/>
  <c r="BZ24" i="54"/>
  <c r="BZ25" i="54"/>
  <c r="BZ26" i="54"/>
  <c r="BZ27" i="54"/>
  <c r="BZ28" i="54"/>
  <c r="BZ29" i="54"/>
  <c r="BZ30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Z43" i="54"/>
  <c r="BZ44" i="54"/>
  <c r="BZ45" i="54"/>
  <c r="BZ46" i="54"/>
  <c r="BZ47" i="54"/>
  <c r="BZ48" i="54"/>
  <c r="BZ49" i="54"/>
  <c r="BZ50" i="54"/>
  <c r="BZ51" i="54"/>
  <c r="BZ52" i="54"/>
  <c r="BZ53" i="54"/>
  <c r="BZ54" i="54"/>
  <c r="BZ55" i="54"/>
  <c r="BZ56" i="54"/>
  <c r="BZ57" i="54"/>
  <c r="BZ58" i="54"/>
  <c r="BZ59" i="54"/>
  <c r="BZ60" i="54"/>
  <c r="BZ61" i="54"/>
  <c r="BZ62" i="54"/>
  <c r="BZ63" i="54"/>
  <c r="BZ64" i="54"/>
  <c r="BZ65" i="54"/>
  <c r="BZ66" i="54"/>
  <c r="BZ67" i="54"/>
  <c r="BZ68" i="54"/>
  <c r="BZ69" i="54"/>
  <c r="BZ70" i="54"/>
  <c r="BZ71" i="54"/>
  <c r="BZ72" i="54"/>
  <c r="BZ73" i="54"/>
  <c r="BZ74" i="54"/>
  <c r="BZ75" i="54"/>
  <c r="BZ76" i="54"/>
  <c r="BZ77" i="54"/>
  <c r="BZ78" i="54"/>
  <c r="BZ79" i="54"/>
  <c r="BZ80" i="54"/>
  <c r="BZ81" i="54"/>
  <c r="BZ82" i="54"/>
  <c r="BZ83" i="54"/>
  <c r="BZ84" i="54"/>
  <c r="BZ85" i="54"/>
  <c r="BZ86" i="54"/>
  <c r="BZ87" i="54"/>
  <c r="BZ88" i="54"/>
  <c r="BZ89" i="54"/>
  <c r="BZ90" i="54"/>
  <c r="BZ91" i="54"/>
  <c r="BZ92" i="54"/>
  <c r="BZ93" i="54"/>
  <c r="BZ94" i="54"/>
  <c r="BZ95" i="54"/>
  <c r="BZ96" i="54"/>
  <c r="BZ97" i="54"/>
  <c r="BZ98" i="54"/>
  <c r="BZ99" i="54"/>
  <c r="BZ100" i="54"/>
  <c r="BZ101" i="54"/>
  <c r="BZ102" i="54"/>
  <c r="BZ103" i="54"/>
  <c r="BZ104" i="54"/>
  <c r="BZ105" i="54"/>
  <c r="BZ106" i="54"/>
  <c r="BZ107" i="54"/>
  <c r="BZ108" i="54"/>
  <c r="BZ109" i="54"/>
  <c r="BZ110" i="54"/>
  <c r="BZ111" i="54"/>
  <c r="BZ112" i="54"/>
  <c r="BZ113" i="54"/>
  <c r="BZ114" i="54"/>
  <c r="BZ115" i="54"/>
  <c r="BZ116" i="54"/>
  <c r="BZ117" i="54"/>
  <c r="BZ118" i="54"/>
  <c r="BZ119" i="54"/>
  <c r="BZ120" i="54"/>
  <c r="BZ121" i="54"/>
  <c r="BZ122" i="54"/>
  <c r="BZ123" i="54"/>
  <c r="BZ124" i="54"/>
  <c r="BZ125" i="54"/>
  <c r="BZ126" i="54"/>
  <c r="BZ127" i="54"/>
  <c r="BZ128" i="54"/>
  <c r="BZ129" i="54"/>
  <c r="BZ130" i="54"/>
  <c r="BZ131" i="54"/>
  <c r="BZ132" i="54"/>
  <c r="BZ133" i="54"/>
  <c r="BZ134" i="54"/>
  <c r="BZ135" i="54"/>
  <c r="BZ136" i="54"/>
  <c r="BZ137" i="54"/>
  <c r="BZ138" i="54"/>
  <c r="BZ139" i="54"/>
  <c r="BZ140" i="54"/>
  <c r="BZ141" i="54"/>
  <c r="BZ142" i="54"/>
  <c r="BZ143" i="54"/>
  <c r="BZ144" i="54"/>
  <c r="BZ145" i="54"/>
  <c r="BZ146" i="54"/>
  <c r="BZ147" i="54"/>
  <c r="BZ148" i="54"/>
  <c r="BZ149" i="54"/>
  <c r="BZ150" i="54"/>
  <c r="BZ151" i="54"/>
  <c r="BZ152" i="54"/>
  <c r="BZ153" i="54"/>
  <c r="BZ154" i="54"/>
  <c r="BZ155" i="54"/>
  <c r="BZ156" i="54"/>
  <c r="BZ157" i="54"/>
  <c r="BZ158" i="54"/>
  <c r="BZ159" i="54"/>
  <c r="BZ160" i="54"/>
  <c r="BZ161" i="54"/>
  <c r="BZ162" i="54"/>
  <c r="BZ163" i="54"/>
  <c r="BZ164" i="54"/>
  <c r="BZ165" i="54"/>
  <c r="BZ166" i="54"/>
  <c r="BZ167" i="54"/>
  <c r="BZ168" i="54"/>
  <c r="BZ169" i="54"/>
  <c r="BZ170" i="54"/>
  <c r="BZ171" i="54"/>
  <c r="BZ172" i="54"/>
  <c r="BZ173" i="54"/>
  <c r="BZ174" i="54"/>
  <c r="BZ175" i="54"/>
  <c r="BZ176" i="54"/>
  <c r="BZ177" i="54"/>
  <c r="BZ178" i="54"/>
  <c r="BZ179" i="54"/>
  <c r="BZ180" i="54"/>
  <c r="BZ181" i="54"/>
  <c r="BZ182" i="54"/>
  <c r="BZ183" i="54"/>
  <c r="BZ184" i="54"/>
  <c r="BZ185" i="54"/>
  <c r="BZ186" i="54"/>
  <c r="BZ187" i="54"/>
  <c r="BZ188" i="54"/>
  <c r="BZ189" i="54"/>
  <c r="BZ190" i="54"/>
  <c r="BZ191" i="54"/>
  <c r="BZ192" i="54"/>
  <c r="BZ193" i="54"/>
  <c r="BZ194" i="54"/>
  <c r="BZ195" i="54"/>
  <c r="BZ196" i="54"/>
  <c r="BZ197" i="54"/>
  <c r="BZ198" i="54"/>
  <c r="BZ199" i="54"/>
  <c r="BZ200" i="54"/>
  <c r="BZ201" i="54"/>
  <c r="BZ202" i="54"/>
  <c r="BZ203" i="54"/>
  <c r="BZ204" i="54"/>
  <c r="BZ205" i="54"/>
  <c r="BZ206" i="54"/>
  <c r="BZ207" i="54"/>
  <c r="BZ208" i="54"/>
  <c r="BZ209" i="54"/>
  <c r="BZ210" i="54"/>
  <c r="BZ211" i="54"/>
  <c r="BZ212" i="54"/>
  <c r="BZ213" i="54"/>
  <c r="BZ214" i="54"/>
  <c r="BZ215" i="54"/>
  <c r="BZ216" i="54"/>
  <c r="BZ217" i="54"/>
  <c r="BZ218" i="54"/>
  <c r="BZ219" i="54"/>
  <c r="BZ220" i="54"/>
  <c r="BZ221" i="54"/>
  <c r="BZ222" i="54"/>
  <c r="BZ223" i="54"/>
  <c r="BZ224" i="54"/>
  <c r="BZ225" i="54"/>
  <c r="BZ226" i="54"/>
  <c r="BZ227" i="54"/>
  <c r="BZ228" i="54"/>
  <c r="BZ229" i="54"/>
  <c r="BZ230" i="54"/>
  <c r="BZ231" i="54"/>
  <c r="BZ232" i="54"/>
  <c r="BZ233" i="54"/>
  <c r="BZ234" i="54"/>
  <c r="BZ235" i="54"/>
  <c r="BZ236" i="54"/>
  <c r="BZ237" i="54"/>
  <c r="BZ238" i="54"/>
  <c r="BZ239" i="54"/>
  <c r="BZ240" i="54"/>
  <c r="BZ241" i="54"/>
  <c r="BZ242" i="54"/>
  <c r="BZ243" i="54"/>
  <c r="BZ244" i="54"/>
  <c r="BZ245" i="54"/>
  <c r="BZ246" i="54"/>
  <c r="BZ247" i="54"/>
  <c r="BZ248" i="54"/>
  <c r="BZ249" i="54"/>
  <c r="BZ250" i="54"/>
  <c r="BZ251" i="54"/>
  <c r="BZ252" i="54"/>
  <c r="BZ253" i="54"/>
  <c r="BZ254" i="54"/>
  <c r="BZ255" i="54"/>
  <c r="BZ256" i="54"/>
  <c r="BZ257" i="54"/>
  <c r="BZ258" i="54"/>
  <c r="BZ259" i="54"/>
  <c r="BZ260" i="54"/>
  <c r="BZ261" i="54"/>
  <c r="BZ262" i="54"/>
  <c r="BZ263" i="54"/>
  <c r="BZ264" i="54"/>
  <c r="BZ265" i="54"/>
  <c r="BZ266" i="54"/>
  <c r="BZ267" i="54"/>
  <c r="BZ268" i="54"/>
  <c r="BZ269" i="54"/>
  <c r="BZ270" i="54"/>
  <c r="BZ271" i="54"/>
  <c r="BZ272" i="54"/>
  <c r="BZ273" i="54"/>
  <c r="BZ274" i="54"/>
  <c r="BZ275" i="54"/>
  <c r="BZ276" i="54"/>
  <c r="BZ277" i="54"/>
  <c r="BZ278" i="54"/>
  <c r="BZ279" i="54"/>
  <c r="BZ280" i="54"/>
  <c r="BZ281" i="54"/>
  <c r="BZ282" i="54"/>
  <c r="BZ283" i="54"/>
  <c r="BZ284" i="54"/>
  <c r="BZ285" i="54"/>
  <c r="BZ286" i="54"/>
  <c r="BZ287" i="54"/>
  <c r="BZ288" i="54"/>
  <c r="BZ289" i="54"/>
  <c r="BZ290" i="54"/>
  <c r="BZ291" i="54"/>
  <c r="BZ292" i="54"/>
  <c r="BZ293" i="54"/>
  <c r="BZ294" i="54"/>
  <c r="BZ295" i="54"/>
  <c r="BZ296" i="54"/>
  <c r="BZ297" i="54"/>
  <c r="BZ298" i="54"/>
  <c r="BZ299" i="54"/>
  <c r="BZ300" i="54"/>
  <c r="BZ301" i="54"/>
  <c r="BZ302" i="54"/>
  <c r="BZ303" i="54"/>
  <c r="BZ304" i="54"/>
  <c r="BZ305" i="54"/>
  <c r="BZ306" i="54"/>
  <c r="BZ307" i="54"/>
  <c r="BZ308" i="54"/>
  <c r="BZ309" i="54"/>
  <c r="BZ310" i="54"/>
  <c r="BZ311" i="54"/>
  <c r="BZ312" i="54"/>
  <c r="BZ313" i="54"/>
  <c r="BZ314" i="54"/>
  <c r="BZ315" i="54"/>
  <c r="BZ316" i="54"/>
  <c r="BZ317" i="54"/>
  <c r="BZ318" i="54"/>
  <c r="BZ319" i="54"/>
  <c r="BZ320" i="54"/>
  <c r="BZ321" i="54"/>
  <c r="BZ322" i="54"/>
  <c r="BZ323" i="54"/>
  <c r="BZ324" i="54"/>
  <c r="BZ325" i="54"/>
  <c r="BZ326" i="54"/>
  <c r="BZ327" i="54"/>
  <c r="BZ328" i="54"/>
  <c r="BZ329" i="54"/>
  <c r="BZ330" i="54"/>
  <c r="BZ331" i="54"/>
  <c r="BZ332" i="54"/>
  <c r="BZ333" i="54"/>
  <c r="BZ334" i="54"/>
  <c r="BZ335" i="54"/>
  <c r="BZ336" i="54"/>
  <c r="BZ337" i="54"/>
  <c r="BZ338" i="54"/>
  <c r="BZ339" i="54"/>
  <c r="BZ340" i="54"/>
  <c r="BZ341" i="54"/>
  <c r="BZ342" i="54"/>
  <c r="BZ343" i="54"/>
  <c r="BZ344" i="54"/>
  <c r="BZ345" i="54"/>
  <c r="BZ346" i="54"/>
  <c r="BZ347" i="54"/>
  <c r="BZ348" i="54"/>
  <c r="BZ349" i="54"/>
  <c r="BZ350" i="54"/>
  <c r="BZ351" i="54"/>
  <c r="BZ352" i="54"/>
  <c r="BZ353" i="54"/>
  <c r="BZ354" i="54"/>
  <c r="BZ355" i="54"/>
  <c r="BZ356" i="54"/>
  <c r="BZ357" i="54"/>
  <c r="BZ358" i="54"/>
  <c r="BZ359" i="54"/>
  <c r="BZ360" i="54"/>
  <c r="BZ361" i="54"/>
  <c r="BZ362" i="54"/>
  <c r="BZ363" i="54"/>
  <c r="BZ364" i="54"/>
  <c r="BZ365" i="54"/>
  <c r="BZ366" i="54"/>
  <c r="BZ367" i="54"/>
  <c r="BZ368" i="54"/>
  <c r="BZ369" i="54"/>
  <c r="BZ370" i="54"/>
  <c r="BZ371" i="54"/>
  <c r="BZ372" i="54"/>
  <c r="BZ373" i="54"/>
  <c r="BZ374" i="54"/>
  <c r="BZ375" i="54"/>
  <c r="BZ376" i="54"/>
  <c r="BZ377" i="54"/>
  <c r="BZ378" i="54"/>
  <c r="BZ379" i="54"/>
  <c r="BZ380" i="54"/>
  <c r="BZ381" i="54"/>
  <c r="BZ382" i="54"/>
  <c r="BZ383" i="54"/>
  <c r="BZ384" i="54"/>
  <c r="BZ385" i="54"/>
  <c r="BZ386" i="54"/>
  <c r="BZ387" i="54"/>
  <c r="BZ388" i="54"/>
  <c r="BZ389" i="54"/>
  <c r="BZ390" i="54"/>
  <c r="BZ391" i="54"/>
  <c r="BZ392" i="54"/>
  <c r="BZ393" i="54"/>
  <c r="BZ394" i="54"/>
  <c r="BZ395" i="54"/>
  <c r="BZ396" i="54"/>
  <c r="BZ397" i="54"/>
  <c r="BZ398" i="54"/>
  <c r="BZ399" i="54"/>
  <c r="BZ400" i="54"/>
  <c r="BZ401" i="54"/>
  <c r="BZ402" i="54"/>
  <c r="BZ403" i="54"/>
  <c r="BZ404" i="54"/>
  <c r="BZ405" i="54"/>
  <c r="BZ406" i="54"/>
  <c r="BZ407" i="54"/>
  <c r="BZ408" i="54"/>
  <c r="BZ409" i="54"/>
  <c r="BZ410" i="54"/>
  <c r="BZ411" i="54"/>
  <c r="BZ412" i="54"/>
  <c r="BZ413" i="54"/>
  <c r="BZ414" i="54"/>
  <c r="BZ415" i="54"/>
  <c r="BZ416" i="54"/>
  <c r="BZ417" i="54"/>
  <c r="BZ418" i="54"/>
  <c r="BZ419" i="54"/>
  <c r="BZ420" i="54"/>
  <c r="BZ421" i="54"/>
  <c r="BZ422" i="54"/>
  <c r="BZ423" i="54"/>
  <c r="BZ424" i="54"/>
  <c r="BZ425" i="54"/>
  <c r="BZ426" i="54"/>
  <c r="BZ427" i="54"/>
  <c r="BZ428" i="54"/>
  <c r="BZ429" i="54"/>
  <c r="BZ430" i="54"/>
  <c r="BZ431" i="54"/>
  <c r="BZ432" i="54"/>
  <c r="BZ433" i="54"/>
  <c r="BZ434" i="54"/>
  <c r="BZ435" i="54"/>
  <c r="BZ436" i="54"/>
  <c r="BZ437" i="54"/>
  <c r="BZ438" i="54"/>
  <c r="BZ439" i="54"/>
  <c r="BZ440" i="54"/>
  <c r="BZ441" i="54"/>
  <c r="BZ442" i="54"/>
  <c r="BZ443" i="54"/>
  <c r="BZ444" i="54"/>
  <c r="BZ445" i="54"/>
  <c r="BZ446" i="54"/>
  <c r="BZ447" i="54"/>
  <c r="BZ448" i="54"/>
  <c r="BZ449" i="54"/>
  <c r="BZ450" i="54"/>
  <c r="BZ451" i="54"/>
  <c r="BZ452" i="54"/>
  <c r="BZ453" i="54"/>
  <c r="BZ454" i="54"/>
  <c r="BZ455" i="54"/>
  <c r="BZ456" i="54"/>
  <c r="BZ457" i="54"/>
  <c r="BZ458" i="54"/>
  <c r="BZ459" i="54"/>
  <c r="BZ460" i="54"/>
  <c r="BZ461" i="54"/>
  <c r="BZ462" i="54"/>
  <c r="BZ463" i="54"/>
  <c r="BZ464" i="54"/>
  <c r="BZ465" i="54"/>
  <c r="BZ466" i="54"/>
  <c r="BZ467" i="54"/>
  <c r="BZ468" i="54"/>
  <c r="BZ469" i="54"/>
  <c r="BZ470" i="54"/>
  <c r="BZ471" i="54"/>
  <c r="BZ472" i="54"/>
  <c r="BZ473" i="54"/>
  <c r="BZ474" i="54"/>
  <c r="BZ475" i="54"/>
  <c r="BZ476" i="54"/>
  <c r="BZ477" i="54"/>
  <c r="BZ478" i="54"/>
  <c r="BZ479" i="54"/>
  <c r="BZ480" i="54"/>
  <c r="BZ481" i="54"/>
  <c r="BZ482" i="54"/>
  <c r="BZ483" i="54"/>
  <c r="BZ484" i="54"/>
  <c r="BZ485" i="54"/>
  <c r="BZ486" i="54"/>
  <c r="BZ487" i="54"/>
  <c r="BZ488" i="54"/>
  <c r="BZ489" i="54"/>
  <c r="BZ490" i="54"/>
  <c r="BZ491" i="54"/>
  <c r="BZ492" i="54"/>
  <c r="BZ493" i="54"/>
  <c r="BZ494" i="54"/>
  <c r="BZ495" i="54"/>
  <c r="BZ496" i="54"/>
  <c r="BZ497" i="54"/>
  <c r="BZ498" i="54"/>
  <c r="BZ499" i="54"/>
  <c r="BZ500" i="54"/>
  <c r="BZ501" i="54"/>
  <c r="BZ502" i="54"/>
  <c r="BZ503" i="54"/>
  <c r="BZ504" i="54"/>
  <c r="BZ505" i="54"/>
  <c r="BZ506" i="54"/>
  <c r="BZ507" i="54"/>
  <c r="BZ508" i="54"/>
  <c r="BZ509" i="54"/>
  <c r="BZ510" i="54"/>
  <c r="BZ511" i="54"/>
  <c r="BZ512" i="54"/>
  <c r="BZ513" i="54"/>
  <c r="BZ514" i="54"/>
  <c r="BZ515" i="54"/>
  <c r="BZ516" i="54"/>
  <c r="BZ517" i="54"/>
  <c r="BZ518" i="54"/>
  <c r="BZ519" i="54"/>
  <c r="BZ520" i="54"/>
  <c r="BZ521" i="54"/>
  <c r="BZ522" i="54"/>
  <c r="BZ523" i="54"/>
  <c r="BZ524" i="54"/>
  <c r="BZ525" i="54"/>
  <c r="BZ526" i="54"/>
  <c r="BZ527" i="54"/>
  <c r="BZ528" i="54"/>
  <c r="BZ529" i="54"/>
  <c r="BZ530" i="54"/>
  <c r="BZ531" i="54"/>
  <c r="BZ532" i="54"/>
  <c r="BZ533" i="54"/>
  <c r="BZ534" i="54"/>
  <c r="BZ535" i="54"/>
  <c r="BZ536" i="54"/>
  <c r="BZ537" i="54"/>
  <c r="BZ538" i="54"/>
  <c r="BZ539" i="54"/>
  <c r="BZ540" i="54"/>
  <c r="BZ541" i="54"/>
  <c r="BZ542" i="54"/>
  <c r="BZ543" i="54"/>
  <c r="BZ544" i="54"/>
  <c r="BZ545" i="54"/>
  <c r="BZ546" i="54"/>
  <c r="BZ547" i="54"/>
  <c r="BZ548" i="54"/>
  <c r="BZ549" i="54"/>
  <c r="BZ550" i="54"/>
  <c r="BZ551" i="54"/>
  <c r="BZ552" i="54"/>
  <c r="BZ553" i="54"/>
  <c r="BZ554" i="54"/>
  <c r="BZ555" i="54"/>
  <c r="BZ556" i="54"/>
  <c r="BZ557" i="54"/>
  <c r="BZ558" i="54"/>
  <c r="BZ559" i="54"/>
  <c r="BZ560" i="54"/>
  <c r="BZ561" i="54"/>
  <c r="BZ562" i="54"/>
  <c r="BZ563" i="54"/>
  <c r="BZ564" i="54"/>
  <c r="BZ565" i="54"/>
  <c r="BZ566" i="54"/>
  <c r="BZ567" i="54"/>
  <c r="BZ568" i="54"/>
  <c r="BZ569" i="54"/>
  <c r="BZ570" i="54"/>
  <c r="BZ571" i="54"/>
  <c r="BZ572" i="54"/>
  <c r="BZ573" i="54"/>
  <c r="BZ574" i="54"/>
  <c r="BZ575" i="54"/>
  <c r="BZ576" i="54"/>
  <c r="BZ577" i="54"/>
  <c r="BZ578" i="54"/>
  <c r="BZ579" i="54"/>
  <c r="BZ580" i="54"/>
  <c r="BZ581" i="54"/>
  <c r="BZ582" i="54"/>
  <c r="BZ583" i="54"/>
  <c r="BZ584" i="54"/>
  <c r="BZ585" i="54"/>
  <c r="BZ586" i="54"/>
  <c r="BZ587" i="54"/>
  <c r="BZ588" i="54"/>
  <c r="BZ589" i="54"/>
  <c r="BZ590" i="54"/>
  <c r="BZ591" i="54"/>
  <c r="BZ592" i="54"/>
  <c r="BZ593" i="54"/>
  <c r="BZ594" i="54"/>
  <c r="BZ595" i="54"/>
  <c r="BZ596" i="54"/>
  <c r="BZ597" i="54"/>
  <c r="BZ598" i="54"/>
  <c r="BZ599" i="54"/>
  <c r="BZ600" i="54"/>
  <c r="BZ601" i="54"/>
  <c r="BZ602" i="54"/>
  <c r="BZ603" i="54"/>
  <c r="BZ604" i="54"/>
  <c r="BZ605" i="54"/>
  <c r="BZ606" i="54"/>
  <c r="BZ607" i="54"/>
  <c r="BZ608" i="54"/>
  <c r="BZ609" i="54"/>
  <c r="BZ610" i="54"/>
  <c r="BZ611" i="54"/>
  <c r="BZ612" i="54"/>
  <c r="BZ613" i="54"/>
  <c r="BZ614" i="54"/>
  <c r="BZ615" i="54"/>
  <c r="BZ616" i="54"/>
  <c r="BZ617" i="54"/>
  <c r="BZ618" i="54"/>
  <c r="BZ619" i="54"/>
  <c r="BZ620" i="54"/>
  <c r="BZ621" i="54"/>
  <c r="BZ622" i="54"/>
  <c r="BZ623" i="54"/>
  <c r="BZ624" i="54"/>
  <c r="BZ625" i="54"/>
  <c r="BZ626" i="54"/>
  <c r="BZ627" i="54"/>
  <c r="BZ628" i="54"/>
  <c r="BZ629" i="54"/>
  <c r="BZ630" i="54"/>
  <c r="BZ631" i="54"/>
  <c r="BZ632" i="54"/>
  <c r="BZ633" i="54"/>
  <c r="BZ634" i="54"/>
  <c r="BZ635" i="54"/>
  <c r="BZ636" i="54"/>
  <c r="BZ637" i="54"/>
  <c r="BZ638" i="54"/>
  <c r="BZ639" i="54"/>
  <c r="BZ640" i="54"/>
  <c r="BZ641" i="54"/>
  <c r="BZ642" i="54"/>
  <c r="BZ643" i="54"/>
  <c r="BZ644" i="54"/>
  <c r="BZ5" i="54"/>
  <c r="BX565" i="54"/>
  <c r="BY565" i="54" s="1"/>
  <c r="CH565" i="54"/>
  <c r="BX566" i="54"/>
  <c r="BX567" i="54"/>
  <c r="BY567" i="54"/>
  <c r="BX568" i="54"/>
  <c r="BY568" i="54"/>
  <c r="CP568" i="54"/>
  <c r="BX569" i="54"/>
  <c r="BY569" i="54" s="1"/>
  <c r="BX570" i="54"/>
  <c r="BX571" i="54"/>
  <c r="BX572" i="54"/>
  <c r="BY572" i="54"/>
  <c r="BX573" i="54"/>
  <c r="BY573" i="54" s="1"/>
  <c r="BX574" i="54"/>
  <c r="BX575" i="54"/>
  <c r="BY575" i="54"/>
  <c r="BX576" i="54"/>
  <c r="BY576" i="54"/>
  <c r="BX577" i="54"/>
  <c r="BY577" i="54" s="1"/>
  <c r="BX578" i="54"/>
  <c r="BX579" i="54"/>
  <c r="BY579" i="54"/>
  <c r="CL579" i="54"/>
  <c r="BX580" i="54"/>
  <c r="BY580" i="54"/>
  <c r="CP580" i="54"/>
  <c r="BX581" i="54"/>
  <c r="BY581" i="54" s="1"/>
  <c r="BX582" i="54"/>
  <c r="BX583" i="54"/>
  <c r="BY583" i="54"/>
  <c r="BX584" i="54"/>
  <c r="BY584" i="54"/>
  <c r="BX585" i="54"/>
  <c r="BY585" i="54" s="1"/>
  <c r="BX586" i="54"/>
  <c r="BX587" i="54"/>
  <c r="BX588" i="54"/>
  <c r="BY588" i="54"/>
  <c r="CP588" i="54"/>
  <c r="BX589" i="54"/>
  <c r="BY589" i="54" s="1"/>
  <c r="BX590" i="54"/>
  <c r="BX591" i="54"/>
  <c r="BY591" i="54"/>
  <c r="BX592" i="54"/>
  <c r="BY592" i="54"/>
  <c r="BX593" i="54"/>
  <c r="BY593" i="54" s="1"/>
  <c r="BX594" i="54"/>
  <c r="BX595" i="54"/>
  <c r="BY595" i="54" s="1"/>
  <c r="BX596" i="54"/>
  <c r="BY596" i="54"/>
  <c r="CP596" i="54"/>
  <c r="BX597" i="54"/>
  <c r="BY597" i="54" s="1"/>
  <c r="BX598" i="54"/>
  <c r="BX599" i="54"/>
  <c r="BY599" i="54"/>
  <c r="BX600" i="54"/>
  <c r="BY600" i="54"/>
  <c r="BX601" i="54"/>
  <c r="BY601" i="54" s="1"/>
  <c r="BX602" i="54"/>
  <c r="BY602" i="54"/>
  <c r="BX603" i="54"/>
  <c r="BY603" i="54"/>
  <c r="CL603" i="54"/>
  <c r="BX604" i="54"/>
  <c r="BY604" i="54"/>
  <c r="BX605" i="54"/>
  <c r="BY605" i="54"/>
  <c r="CF605" i="54"/>
  <c r="BX606" i="54"/>
  <c r="BX607" i="54"/>
  <c r="BX608" i="54"/>
  <c r="BX609" i="54"/>
  <c r="BY609" i="54"/>
  <c r="BX610" i="54"/>
  <c r="BX611" i="54"/>
  <c r="BY611" i="54"/>
  <c r="BX612" i="54"/>
  <c r="BY612" i="54"/>
  <c r="BX613" i="54"/>
  <c r="BY613" i="54"/>
  <c r="CL613" i="54" s="1"/>
  <c r="BX614" i="54"/>
  <c r="BY614" i="54" s="1"/>
  <c r="BX615" i="54"/>
  <c r="BY615" i="54"/>
  <c r="BX616" i="54"/>
  <c r="BY616" i="54"/>
  <c r="BX617" i="54"/>
  <c r="BY617" i="54"/>
  <c r="BX618" i="54"/>
  <c r="BY618" i="54" s="1"/>
  <c r="CL618" i="54"/>
  <c r="CP618" i="54"/>
  <c r="BX619" i="54"/>
  <c r="BY619" i="54"/>
  <c r="BX620" i="54"/>
  <c r="BY620" i="54"/>
  <c r="CL620" i="54"/>
  <c r="BX621" i="54"/>
  <c r="BY621" i="54"/>
  <c r="BX622" i="54"/>
  <c r="BX623" i="54"/>
  <c r="BX624" i="54"/>
  <c r="BY624" i="54"/>
  <c r="CL624" i="54" s="1"/>
  <c r="CP624" i="54"/>
  <c r="BX625" i="54"/>
  <c r="BX626" i="54"/>
  <c r="BY626" i="54"/>
  <c r="BX627" i="54"/>
  <c r="BY627" i="54"/>
  <c r="BX628" i="54"/>
  <c r="BY628" i="54"/>
  <c r="CL628" i="54" s="1"/>
  <c r="CP628" i="54"/>
  <c r="BX629" i="54"/>
  <c r="BX630" i="54"/>
  <c r="BY630" i="54"/>
  <c r="BX631" i="54"/>
  <c r="BY631" i="54"/>
  <c r="CP631" i="54"/>
  <c r="BX632" i="54"/>
  <c r="BY632" i="54"/>
  <c r="CL632" i="54" s="1"/>
  <c r="CP632" i="54"/>
  <c r="BX633" i="54"/>
  <c r="BX634" i="54"/>
  <c r="BX635" i="54"/>
  <c r="BY635" i="54"/>
  <c r="CP635" i="54"/>
  <c r="BX636" i="54"/>
  <c r="BY636" i="54"/>
  <c r="CL636" i="54" s="1"/>
  <c r="CP636" i="54"/>
  <c r="BX637" i="54"/>
  <c r="BY637" i="54" s="1"/>
  <c r="BX638" i="54"/>
  <c r="BX639" i="54"/>
  <c r="BX640" i="54"/>
  <c r="BY640" i="54"/>
  <c r="CL640" i="54" s="1"/>
  <c r="CP640" i="54"/>
  <c r="BX641" i="54"/>
  <c r="BY641" i="54" s="1"/>
  <c r="BX642" i="54"/>
  <c r="BY642" i="54"/>
  <c r="BX643" i="54"/>
  <c r="BY643" i="54"/>
  <c r="BX644" i="54"/>
  <c r="BY644" i="54"/>
  <c r="CL644" i="54" s="1"/>
  <c r="CP644" i="54"/>
  <c r="AF521" i="54"/>
  <c r="AG521" i="54" s="1"/>
  <c r="AN521" i="54"/>
  <c r="AF522" i="54"/>
  <c r="AG522" i="54" s="1"/>
  <c r="AF523" i="54"/>
  <c r="AG523" i="54"/>
  <c r="AJ523" i="54"/>
  <c r="AK523" i="54" s="1"/>
  <c r="AN523" i="54"/>
  <c r="AF524" i="54"/>
  <c r="AG524" i="54"/>
  <c r="AJ524" i="54"/>
  <c r="AK524" i="54" s="1"/>
  <c r="AN524" i="54"/>
  <c r="AF465" i="54"/>
  <c r="AG465" i="54" s="1"/>
  <c r="AN465" i="54"/>
  <c r="AF466" i="54"/>
  <c r="AN466" i="54"/>
  <c r="AF467" i="54"/>
  <c r="AG467" i="54"/>
  <c r="AJ467" i="54"/>
  <c r="AK467" i="54" s="1"/>
  <c r="AN467" i="54"/>
  <c r="AF468" i="54"/>
  <c r="AG468" i="54"/>
  <c r="AJ468" i="54"/>
  <c r="AK468" i="54" s="1"/>
  <c r="AN468" i="54"/>
  <c r="AF469" i="54"/>
  <c r="AN469" i="54"/>
  <c r="AF470" i="54"/>
  <c r="AF471" i="54"/>
  <c r="AG471" i="54"/>
  <c r="AJ471" i="54"/>
  <c r="AK471" i="54" s="1"/>
  <c r="AN471" i="54"/>
  <c r="AF472" i="54"/>
  <c r="AG472" i="54"/>
  <c r="AJ472" i="54"/>
  <c r="AK472" i="54" s="1"/>
  <c r="AN472" i="54"/>
  <c r="AF473" i="54"/>
  <c r="AJ473" i="54"/>
  <c r="AF474" i="54"/>
  <c r="AN474" i="54"/>
  <c r="AF475" i="54"/>
  <c r="AN475" i="54" s="1"/>
  <c r="AJ475" i="54"/>
  <c r="AK475" i="54" s="1"/>
  <c r="AF476" i="54"/>
  <c r="AF477" i="54"/>
  <c r="AJ477" i="54" s="1"/>
  <c r="AK477" i="54"/>
  <c r="AN477" i="54"/>
  <c r="AF478" i="54"/>
  <c r="AF479" i="54"/>
  <c r="AG479" i="54"/>
  <c r="AJ479" i="54"/>
  <c r="AK479" i="54" s="1"/>
  <c r="AN479" i="54"/>
  <c r="AF480" i="54"/>
  <c r="AN480" i="54"/>
  <c r="AF481" i="54"/>
  <c r="AG481" i="54"/>
  <c r="AF482" i="54"/>
  <c r="AG482" i="54"/>
  <c r="AJ482" i="54"/>
  <c r="AK482" i="54" s="1"/>
  <c r="AN482" i="54"/>
  <c r="AF483" i="54"/>
  <c r="AG483" i="54" s="1"/>
  <c r="AJ483" i="54"/>
  <c r="AK483" i="54"/>
  <c r="AN483" i="54"/>
  <c r="AF484" i="54"/>
  <c r="AF485" i="54"/>
  <c r="AJ485" i="54" s="1"/>
  <c r="AG485" i="54"/>
  <c r="AN485" i="54"/>
  <c r="AO485" i="54"/>
  <c r="AF486" i="54"/>
  <c r="AG486" i="54"/>
  <c r="AJ486" i="54"/>
  <c r="AK486" i="54" s="1"/>
  <c r="AN486" i="54"/>
  <c r="AF487" i="54"/>
  <c r="AG487" i="54" s="1"/>
  <c r="AJ487" i="54"/>
  <c r="AK487" i="54" s="1"/>
  <c r="AN487" i="54"/>
  <c r="AF488" i="54"/>
  <c r="AN488" i="54"/>
  <c r="AF489" i="54"/>
  <c r="AG489" i="54"/>
  <c r="AF490" i="54"/>
  <c r="AG490" i="54"/>
  <c r="AJ490" i="54"/>
  <c r="AK490" i="54" s="1"/>
  <c r="AN490" i="54"/>
  <c r="AF491" i="54"/>
  <c r="AG491" i="54" s="1"/>
  <c r="AJ491" i="54"/>
  <c r="AF492" i="54"/>
  <c r="AF493" i="54"/>
  <c r="AN493" i="54" s="1"/>
  <c r="AG493" i="54"/>
  <c r="AJ493" i="54"/>
  <c r="AK493" i="54" s="1"/>
  <c r="AF494" i="54"/>
  <c r="AJ494" i="54" s="1"/>
  <c r="AN494" i="54"/>
  <c r="AF495" i="54"/>
  <c r="AG495" i="54"/>
  <c r="AJ495" i="54"/>
  <c r="AK495" i="54" s="1"/>
  <c r="AN495" i="54"/>
  <c r="AF496" i="54"/>
  <c r="AG496" i="54"/>
  <c r="AJ496" i="54"/>
  <c r="AK496" i="54" s="1"/>
  <c r="AN496" i="54"/>
  <c r="AF497" i="54"/>
  <c r="AF498" i="54"/>
  <c r="AJ498" i="54" s="1"/>
  <c r="AG498" i="54"/>
  <c r="AN498" i="54"/>
  <c r="AF499" i="54"/>
  <c r="AG499" i="54"/>
  <c r="AJ499" i="54"/>
  <c r="AN499" i="54"/>
  <c r="AF500" i="54"/>
  <c r="AG500" i="54"/>
  <c r="AJ500" i="54"/>
  <c r="AK500" i="54" s="1"/>
  <c r="AN500" i="54"/>
  <c r="AF501" i="54"/>
  <c r="AF502" i="54"/>
  <c r="AF503" i="54"/>
  <c r="AG503" i="54" s="1"/>
  <c r="AJ503" i="54"/>
  <c r="AN503" i="54"/>
  <c r="AF504" i="54"/>
  <c r="AG504" i="54"/>
  <c r="AJ504" i="54"/>
  <c r="AK504" i="54"/>
  <c r="AN504" i="54"/>
  <c r="AF505" i="54"/>
  <c r="AG505" i="54" s="1"/>
  <c r="AJ505" i="54"/>
  <c r="AF506" i="54"/>
  <c r="AJ506" i="54" s="1"/>
  <c r="AN506" i="54"/>
  <c r="AK506" i="54" s="1"/>
  <c r="AF507" i="54"/>
  <c r="AJ507" i="54" s="1"/>
  <c r="AG507" i="54"/>
  <c r="AF508" i="54"/>
  <c r="AG508" i="54"/>
  <c r="AJ508" i="54"/>
  <c r="AK508" i="54" s="1"/>
  <c r="AN508" i="54"/>
  <c r="AF509" i="54"/>
  <c r="AG509" i="54" s="1"/>
  <c r="AJ509" i="54"/>
  <c r="AK509" i="54"/>
  <c r="AN509" i="54"/>
  <c r="AF510" i="54"/>
  <c r="AJ510" i="54" s="1"/>
  <c r="AF511" i="54"/>
  <c r="AG511" i="54"/>
  <c r="AJ511" i="54"/>
  <c r="AK511" i="54" s="1"/>
  <c r="AN511" i="54"/>
  <c r="AF512" i="54"/>
  <c r="AG512" i="54"/>
  <c r="AJ512" i="54"/>
  <c r="AK512" i="54"/>
  <c r="AN512" i="54"/>
  <c r="AF513" i="54"/>
  <c r="AG513" i="54" s="1"/>
  <c r="AN513" i="54"/>
  <c r="AF514" i="54"/>
  <c r="AJ514" i="54" s="1"/>
  <c r="AG514" i="54"/>
  <c r="AF515" i="54"/>
  <c r="AG515" i="54" s="1"/>
  <c r="AJ515" i="54"/>
  <c r="AN515" i="54"/>
  <c r="AF516" i="54"/>
  <c r="AG516" i="54"/>
  <c r="AJ516" i="54"/>
  <c r="AK516" i="54"/>
  <c r="AN516" i="54"/>
  <c r="AF517" i="54"/>
  <c r="AG517" i="54" s="1"/>
  <c r="AF518" i="54"/>
  <c r="AJ518" i="54" s="1"/>
  <c r="AG518" i="54"/>
  <c r="AK518" i="54"/>
  <c r="AN518" i="54"/>
  <c r="AF519" i="54"/>
  <c r="AG519" i="54" s="1"/>
  <c r="AF520" i="54"/>
  <c r="AG520" i="54"/>
  <c r="AJ520" i="54"/>
  <c r="AK520" i="54" s="1"/>
  <c r="AN520" i="54"/>
  <c r="Y34" i="54"/>
  <c r="Z34" i="54"/>
  <c r="AB34" i="54" s="1"/>
  <c r="AA34" i="54"/>
  <c r="Y35" i="54"/>
  <c r="Z35" i="54"/>
  <c r="AB35" i="54" s="1"/>
  <c r="AA35" i="54"/>
  <c r="Y36" i="54"/>
  <c r="AB36" i="54" s="1"/>
  <c r="Z36" i="54"/>
  <c r="AA36" i="54"/>
  <c r="Y37" i="54"/>
  <c r="AB37" i="54" s="1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FB644" i="54" l="1"/>
  <c r="EY640" i="54"/>
  <c r="EX628" i="54"/>
  <c r="FA628" i="54"/>
  <c r="EZ592" i="54"/>
  <c r="EY636" i="54"/>
  <c r="FB600" i="54"/>
  <c r="EY588" i="54"/>
  <c r="FB568" i="54"/>
  <c r="FA644" i="54"/>
  <c r="FB620" i="54"/>
  <c r="EX616" i="54"/>
  <c r="FA600" i="54"/>
  <c r="EX623" i="54"/>
  <c r="EZ611" i="54"/>
  <c r="FB587" i="54"/>
  <c r="FA583" i="54"/>
  <c r="FA579" i="54"/>
  <c r="EZ627" i="54"/>
  <c r="FB623" i="54"/>
  <c r="FA615" i="54"/>
  <c r="FB607" i="54"/>
  <c r="FA603" i="54"/>
  <c r="FA567" i="54"/>
  <c r="EY627" i="54"/>
  <c r="FB633" i="54"/>
  <c r="EZ633" i="54"/>
  <c r="FA629" i="54"/>
  <c r="EX625" i="54"/>
  <c r="FA633" i="54"/>
  <c r="EX629" i="54"/>
  <c r="FB625" i="54"/>
  <c r="EQ565" i="54"/>
  <c r="EP585" i="54"/>
  <c r="EO605" i="54"/>
  <c r="EN625" i="54"/>
  <c r="ER625" i="54"/>
  <c r="EN565" i="54"/>
  <c r="ER565" i="54"/>
  <c r="EQ585" i="54"/>
  <c r="EP605" i="54"/>
  <c r="EO625" i="54"/>
  <c r="EO565" i="54"/>
  <c r="EN585" i="54"/>
  <c r="ER585" i="54"/>
  <c r="EQ605" i="54"/>
  <c r="EP625" i="54"/>
  <c r="EP565" i="54"/>
  <c r="EO585" i="54"/>
  <c r="EN605" i="54"/>
  <c r="ER605" i="54"/>
  <c r="EG565" i="54"/>
  <c r="EE585" i="54"/>
  <c r="EG605" i="54"/>
  <c r="EE625" i="54"/>
  <c r="ED565" i="54"/>
  <c r="EH565" i="54"/>
  <c r="EF585" i="54"/>
  <c r="ED605" i="54"/>
  <c r="EH605" i="54"/>
  <c r="EF625" i="54"/>
  <c r="EE565" i="54"/>
  <c r="EG585" i="54"/>
  <c r="EE605" i="54"/>
  <c r="EG625" i="54"/>
  <c r="ED585" i="54"/>
  <c r="ED625" i="54"/>
  <c r="EK565" i="54"/>
  <c r="EL585" i="54"/>
  <c r="EI605" i="54"/>
  <c r="EM605" i="54"/>
  <c r="EJ625" i="54"/>
  <c r="EL565" i="54"/>
  <c r="EI585" i="54"/>
  <c r="EM585" i="54"/>
  <c r="EJ605" i="54"/>
  <c r="EK625" i="54"/>
  <c r="EI565" i="54"/>
  <c r="EM565" i="54"/>
  <c r="EJ585" i="54"/>
  <c r="EK605" i="54"/>
  <c r="EL625" i="54"/>
  <c r="EI625" i="54"/>
  <c r="DC1488" i="54"/>
  <c r="DD1488" i="54" s="1"/>
  <c r="DB1488" i="54"/>
  <c r="DB1512" i="54"/>
  <c r="DC1512" i="54"/>
  <c r="DD1512" i="54" s="1"/>
  <c r="DC1568" i="54"/>
  <c r="DD1568" i="54" s="1"/>
  <c r="DB1568" i="54"/>
  <c r="DC1576" i="54"/>
  <c r="DD1576" i="54" s="1"/>
  <c r="DB1576" i="54"/>
  <c r="DB1609" i="54"/>
  <c r="DC1609" i="54"/>
  <c r="DD1609" i="54" s="1"/>
  <c r="DB1614" i="54"/>
  <c r="DC1614" i="54"/>
  <c r="DD1614" i="54" s="1"/>
  <c r="DB1654" i="54"/>
  <c r="DC1654" i="54"/>
  <c r="DD1654" i="54" s="1"/>
  <c r="DB1646" i="54"/>
  <c r="DC1646" i="54"/>
  <c r="DD1646" i="54" s="1"/>
  <c r="DB1463" i="54"/>
  <c r="DC1463" i="54"/>
  <c r="DD1463" i="54" s="1"/>
  <c r="DC1468" i="54"/>
  <c r="DD1468" i="54" s="1"/>
  <c r="DB1468" i="54"/>
  <c r="DB1511" i="54"/>
  <c r="DC1511" i="54"/>
  <c r="DD1511" i="54" s="1"/>
  <c r="DB1541" i="54"/>
  <c r="DC1541" i="54"/>
  <c r="DD1541" i="54" s="1"/>
  <c r="DB1525" i="54"/>
  <c r="DC1525" i="54"/>
  <c r="DD1525" i="54" s="1"/>
  <c r="DB1593" i="54"/>
  <c r="DC1593" i="54"/>
  <c r="DD1593" i="54" s="1"/>
  <c r="DB1601" i="54"/>
  <c r="DC1601" i="54"/>
  <c r="DD1601" i="54" s="1"/>
  <c r="DB1610" i="54"/>
  <c r="DC1610" i="54"/>
  <c r="DD1610" i="54" s="1"/>
  <c r="DB1579" i="54"/>
  <c r="DC1579" i="54"/>
  <c r="DD1579" i="54" s="1"/>
  <c r="DB1605" i="54"/>
  <c r="DC1605" i="54"/>
  <c r="DD1605" i="54" s="1"/>
  <c r="DB1622" i="54"/>
  <c r="DC1622" i="54"/>
  <c r="DD1622" i="54" s="1"/>
  <c r="DB1630" i="54"/>
  <c r="DC1630" i="54"/>
  <c r="DD1630" i="54" s="1"/>
  <c r="DB1638" i="54"/>
  <c r="DC1638" i="54"/>
  <c r="DD1638" i="54" s="1"/>
  <c r="DB1650" i="54"/>
  <c r="DC1650" i="54"/>
  <c r="DD1650" i="54" s="1"/>
  <c r="DB1642" i="54"/>
  <c r="DC1642" i="54"/>
  <c r="DD1642" i="54" s="1"/>
  <c r="DB1495" i="54"/>
  <c r="DC1495" i="54"/>
  <c r="DD1495" i="54" s="1"/>
  <c r="DB1467" i="54"/>
  <c r="DC1467" i="54"/>
  <c r="DD1467" i="54" s="1"/>
  <c r="DB1494" i="54"/>
  <c r="DC1494" i="54"/>
  <c r="DD1494" i="54" s="1"/>
  <c r="DB1475" i="54"/>
  <c r="DC1475" i="54"/>
  <c r="DD1475" i="54" s="1"/>
  <c r="DB1483" i="54"/>
  <c r="DC1483" i="54"/>
  <c r="DD1483" i="54" s="1"/>
  <c r="DB1498" i="54"/>
  <c r="DC1498" i="54"/>
  <c r="DD1498" i="54" s="1"/>
  <c r="DB1486" i="54"/>
  <c r="DC1486" i="54"/>
  <c r="DD1486" i="54" s="1"/>
  <c r="DB1490" i="54"/>
  <c r="DC1490" i="54"/>
  <c r="DD1490" i="54" s="1"/>
  <c r="DC1502" i="54"/>
  <c r="DD1502" i="54" s="1"/>
  <c r="DB1502" i="54"/>
  <c r="DB1507" i="54"/>
  <c r="DC1507" i="54"/>
  <c r="DD1507" i="54" s="1"/>
  <c r="DB1529" i="54"/>
  <c r="DC1529" i="54"/>
  <c r="DD1529" i="54" s="1"/>
  <c r="DB1537" i="54"/>
  <c r="DC1537" i="54"/>
  <c r="DD1537" i="54" s="1"/>
  <c r="DB1542" i="54"/>
  <c r="DC1542" i="54"/>
  <c r="DD1542" i="54" s="1"/>
  <c r="DB1546" i="54"/>
  <c r="DC1546" i="54"/>
  <c r="DD1546" i="54" s="1"/>
  <c r="DB1554" i="54"/>
  <c r="DC1554" i="54"/>
  <c r="DD1554" i="54" s="1"/>
  <c r="DB1594" i="54"/>
  <c r="DC1594" i="54"/>
  <c r="DD1594" i="54" s="1"/>
  <c r="DB1602" i="54"/>
  <c r="DC1602" i="54"/>
  <c r="DD1602" i="54" s="1"/>
  <c r="DB1634" i="54"/>
  <c r="DC1634" i="54"/>
  <c r="DD1634" i="54" s="1"/>
  <c r="DB1658" i="54"/>
  <c r="DC1658" i="54"/>
  <c r="DD1658" i="54" s="1"/>
  <c r="DB1533" i="54"/>
  <c r="DC1533" i="54"/>
  <c r="DD1533" i="54" s="1"/>
  <c r="DB1515" i="54"/>
  <c r="DC1515" i="54"/>
  <c r="DD1515" i="54" s="1"/>
  <c r="DC1584" i="54"/>
  <c r="DD1584" i="54" s="1"/>
  <c r="DB1584" i="54"/>
  <c r="DB1534" i="54"/>
  <c r="DC1534" i="54"/>
  <c r="DD1534" i="54" s="1"/>
  <c r="DB1558" i="54"/>
  <c r="DC1558" i="54"/>
  <c r="DD1558" i="54" s="1"/>
  <c r="DB1587" i="54"/>
  <c r="DC1587" i="54"/>
  <c r="DD1587" i="54" s="1"/>
  <c r="DB1597" i="54"/>
  <c r="DC1597" i="54"/>
  <c r="DD1597" i="54" s="1"/>
  <c r="ES639" i="54"/>
  <c r="FC637" i="54"/>
  <c r="EX636" i="54"/>
  <c r="EU635" i="54"/>
  <c r="FB628" i="54"/>
  <c r="EX624" i="54"/>
  <c r="EX620" i="54"/>
  <c r="FD617" i="54"/>
  <c r="EZ616" i="54"/>
  <c r="FA608" i="54"/>
  <c r="EV607" i="54"/>
  <c r="FB604" i="54"/>
  <c r="FA604" i="54"/>
  <c r="FE601" i="54"/>
  <c r="EZ600" i="54"/>
  <c r="EV599" i="54"/>
  <c r="FE597" i="54"/>
  <c r="EZ596" i="54"/>
  <c r="EV595" i="54"/>
  <c r="FF593" i="54"/>
  <c r="FF585" i="54"/>
  <c r="FE585" i="54"/>
  <c r="EV583" i="54"/>
  <c r="FG581" i="54"/>
  <c r="FE581" i="54"/>
  <c r="EV579" i="54"/>
  <c r="EV575" i="54"/>
  <c r="EU571" i="54"/>
  <c r="EW571" i="54"/>
  <c r="FF569" i="54"/>
  <c r="FD569" i="54"/>
  <c r="EZ568" i="54"/>
  <c r="EU567" i="54"/>
  <c r="FC565" i="54"/>
  <c r="FD565" i="54"/>
  <c r="EV643" i="54"/>
  <c r="EU643" i="54"/>
  <c r="FB640" i="54"/>
  <c r="FG637" i="54"/>
  <c r="FF629" i="54"/>
  <c r="FD629" i="54"/>
  <c r="EZ628" i="54"/>
  <c r="EV623" i="54"/>
  <c r="FF617" i="54"/>
  <c r="FB616" i="54"/>
  <c r="FG605" i="54"/>
  <c r="FC601" i="54"/>
  <c r="EY600" i="54"/>
  <c r="EU599" i="54"/>
  <c r="FC597" i="54"/>
  <c r="EU595" i="54"/>
  <c r="FD593" i="54"/>
  <c r="EW587" i="54"/>
  <c r="EV587" i="54"/>
  <c r="ES583" i="54"/>
  <c r="FF581" i="54"/>
  <c r="ES579" i="54"/>
  <c r="ET575" i="54"/>
  <c r="FC574" i="54"/>
  <c r="FF573" i="54"/>
  <c r="EY573" i="54"/>
  <c r="FA573" i="54"/>
  <c r="FE569" i="54"/>
  <c r="EV568" i="54"/>
  <c r="ES567" i="54"/>
  <c r="FG565" i="54"/>
  <c r="EV603" i="54"/>
  <c r="EW567" i="54"/>
  <c r="EX565" i="54"/>
  <c r="FB565" i="54"/>
  <c r="EY565" i="54"/>
  <c r="EZ565" i="54"/>
  <c r="FA565" i="54"/>
  <c r="FE644" i="54"/>
  <c r="FC644" i="54"/>
  <c r="FD644" i="54"/>
  <c r="FF644" i="54"/>
  <c r="FG644" i="54"/>
  <c r="DY628" i="54"/>
  <c r="FC638" i="54"/>
  <c r="FG638" i="54"/>
  <c r="FD638" i="54"/>
  <c r="FE638" i="54"/>
  <c r="FF638" i="54"/>
  <c r="FC621" i="54"/>
  <c r="FG621" i="54"/>
  <c r="FD621" i="54"/>
  <c r="FE621" i="54"/>
  <c r="FF621" i="54"/>
  <c r="FD633" i="54"/>
  <c r="FC633" i="54"/>
  <c r="FF633" i="54"/>
  <c r="FE633" i="54"/>
  <c r="FF631" i="54"/>
  <c r="EZ631" i="54"/>
  <c r="FE631" i="54"/>
  <c r="FC631" i="54"/>
  <c r="FG631" i="54"/>
  <c r="EY631" i="54"/>
  <c r="FA631" i="54"/>
  <c r="ET631" i="54"/>
  <c r="EU631" i="54"/>
  <c r="EW631" i="54"/>
  <c r="EV631" i="54"/>
  <c r="DY629" i="54"/>
  <c r="DY642" i="54"/>
  <c r="EZ642" i="54"/>
  <c r="FB642" i="54"/>
  <c r="FD642" i="54"/>
  <c r="EX642" i="54"/>
  <c r="EU642" i="54"/>
  <c r="ET642" i="54"/>
  <c r="EV642" i="54"/>
  <c r="EW642" i="54"/>
  <c r="DY636" i="54"/>
  <c r="DY635" i="54"/>
  <c r="ES642" i="54"/>
  <c r="ES631" i="54"/>
  <c r="EZ644" i="54"/>
  <c r="FE643" i="54"/>
  <c r="EZ643" i="54"/>
  <c r="DY643" i="54"/>
  <c r="EX643" i="54"/>
  <c r="FB643" i="54"/>
  <c r="FE640" i="54"/>
  <c r="FC640" i="54"/>
  <c r="FA639" i="54"/>
  <c r="EX639" i="54"/>
  <c r="FB639" i="54"/>
  <c r="EY638" i="54"/>
  <c r="EX638" i="54"/>
  <c r="DY634" i="54"/>
  <c r="EZ634" i="54"/>
  <c r="EU634" i="54"/>
  <c r="EW634" i="54"/>
  <c r="ET634" i="54"/>
  <c r="FE632" i="54"/>
  <c r="FF632" i="54"/>
  <c r="FC632" i="54"/>
  <c r="FC607" i="54"/>
  <c r="FG607" i="54"/>
  <c r="FE607" i="54"/>
  <c r="FD607" i="54"/>
  <c r="FF607" i="54"/>
  <c r="DY591" i="54"/>
  <c r="EZ591" i="54"/>
  <c r="FA591" i="54"/>
  <c r="FF591" i="54"/>
  <c r="EX591" i="54"/>
  <c r="FD591" i="54"/>
  <c r="EU591" i="54"/>
  <c r="ET591" i="54"/>
  <c r="EV591" i="54"/>
  <c r="EW591" i="54"/>
  <c r="ES591" i="54"/>
  <c r="ES644" i="54"/>
  <c r="EW644" i="54"/>
  <c r="ET643" i="54"/>
  <c r="FC642" i="54"/>
  <c r="FG642" i="54"/>
  <c r="FE642" i="54"/>
  <c r="FD641" i="54"/>
  <c r="FF641" i="54"/>
  <c r="FF639" i="54"/>
  <c r="FC639" i="54"/>
  <c r="ET639" i="54"/>
  <c r="EW639" i="54"/>
  <c r="EX635" i="54"/>
  <c r="FB635" i="54"/>
  <c r="FA635" i="54"/>
  <c r="EY635" i="54"/>
  <c r="EY630" i="54"/>
  <c r="FA630" i="54"/>
  <c r="EX630" i="54"/>
  <c r="DY627" i="54"/>
  <c r="DY615" i="54"/>
  <c r="EX644" i="54"/>
  <c r="DY644" i="54"/>
  <c r="FC643" i="54"/>
  <c r="EW643" i="54"/>
  <c r="FE641" i="54"/>
  <c r="EZ641" i="54"/>
  <c r="FA641" i="54"/>
  <c r="FG640" i="54"/>
  <c r="FA640" i="54"/>
  <c r="EX640" i="54"/>
  <c r="ES640" i="54"/>
  <c r="EW640" i="54"/>
  <c r="FE639" i="54"/>
  <c r="EY639" i="54"/>
  <c r="FB638" i="54"/>
  <c r="DY637" i="54"/>
  <c r="EZ637" i="54"/>
  <c r="EY637" i="54"/>
  <c r="EZ635" i="54"/>
  <c r="EX634" i="54"/>
  <c r="FC634" i="54"/>
  <c r="FG634" i="54"/>
  <c r="FE634" i="54"/>
  <c r="FD632" i="54"/>
  <c r="FA632" i="54"/>
  <c r="EZ632" i="54"/>
  <c r="EX632" i="54"/>
  <c r="ES632" i="54"/>
  <c r="EW632" i="54"/>
  <c r="EU632" i="54"/>
  <c r="EZ630" i="54"/>
  <c r="ES636" i="54"/>
  <c r="EW636" i="54"/>
  <c r="ET635" i="54"/>
  <c r="EY634" i="54"/>
  <c r="DY632" i="54"/>
  <c r="EU630" i="54"/>
  <c r="EY629" i="54"/>
  <c r="EZ625" i="54"/>
  <c r="FD624" i="54"/>
  <c r="FF624" i="54"/>
  <c r="FG624" i="54"/>
  <c r="EY617" i="54"/>
  <c r="FA617" i="54"/>
  <c r="FB617" i="54"/>
  <c r="EX617" i="54"/>
  <c r="DY616" i="54"/>
  <c r="FA613" i="54"/>
  <c r="EZ612" i="54"/>
  <c r="FA612" i="54"/>
  <c r="FB612" i="54"/>
  <c r="EX612" i="54"/>
  <c r="DY610" i="54"/>
  <c r="EX599" i="54"/>
  <c r="FB599" i="54"/>
  <c r="FA599" i="54"/>
  <c r="EY599" i="54"/>
  <c r="EX626" i="54"/>
  <c r="FB626" i="54"/>
  <c r="EY626" i="54"/>
  <c r="DY625" i="54"/>
  <c r="EY625" i="54"/>
  <c r="FC625" i="54"/>
  <c r="FG625" i="54"/>
  <c r="FD625" i="54"/>
  <c r="EU625" i="54"/>
  <c r="EV625" i="54"/>
  <c r="EZ624" i="54"/>
  <c r="FA624" i="54"/>
  <c r="FB624" i="54"/>
  <c r="EX622" i="54"/>
  <c r="FB622" i="54"/>
  <c r="FA622" i="54"/>
  <c r="EY622" i="54"/>
  <c r="DY613" i="54"/>
  <c r="EZ613" i="54"/>
  <c r="FE613" i="54"/>
  <c r="FF613" i="54"/>
  <c r="EU613" i="54"/>
  <c r="ET613" i="54"/>
  <c r="EV613" i="54"/>
  <c r="EW613" i="54"/>
  <c r="FD606" i="54"/>
  <c r="FF606" i="54"/>
  <c r="FC606" i="54"/>
  <c r="FE606" i="54"/>
  <c r="EY642" i="54"/>
  <c r="DY640" i="54"/>
  <c r="EU638" i="54"/>
  <c r="FG636" i="54"/>
  <c r="FB636" i="54"/>
  <c r="EV636" i="54"/>
  <c r="FE636" i="54"/>
  <c r="FG635" i="54"/>
  <c r="EV635" i="54"/>
  <c r="FB634" i="54"/>
  <c r="DY633" i="54"/>
  <c r="DY631" i="54"/>
  <c r="EX631" i="54"/>
  <c r="FB631" i="54"/>
  <c r="FF630" i="54"/>
  <c r="EV630" i="54"/>
  <c r="FC630" i="54"/>
  <c r="FG630" i="54"/>
  <c r="FG629" i="54"/>
  <c r="FB629" i="54"/>
  <c r="FD628" i="54"/>
  <c r="ES628" i="54"/>
  <c r="EW628" i="54"/>
  <c r="FA627" i="54"/>
  <c r="FE627" i="54"/>
  <c r="FF627" i="54"/>
  <c r="ES627" i="54"/>
  <c r="EW627" i="54"/>
  <c r="ET627" i="54"/>
  <c r="FF626" i="54"/>
  <c r="ET626" i="54"/>
  <c r="EU626" i="54"/>
  <c r="FE625" i="54"/>
  <c r="EW625" i="54"/>
  <c r="FC624" i="54"/>
  <c r="FA619" i="54"/>
  <c r="EZ619" i="54"/>
  <c r="FF619" i="54"/>
  <c r="FB619" i="54"/>
  <c r="FG619" i="54"/>
  <c r="EX619" i="54"/>
  <c r="ES619" i="54"/>
  <c r="EW619" i="54"/>
  <c r="EU619" i="54"/>
  <c r="EV619" i="54"/>
  <c r="FF618" i="54"/>
  <c r="DY618" i="54"/>
  <c r="EZ618" i="54"/>
  <c r="FE618" i="54"/>
  <c r="FG618" i="54"/>
  <c r="FC618" i="54"/>
  <c r="ET618" i="54"/>
  <c r="EU618" i="54"/>
  <c r="EV618" i="54"/>
  <c r="EW618" i="54"/>
  <c r="DY614" i="54"/>
  <c r="FB627" i="54"/>
  <c r="FG626" i="54"/>
  <c r="FD623" i="54"/>
  <c r="ES623" i="54"/>
  <c r="EW623" i="54"/>
  <c r="ET622" i="54"/>
  <c r="EZ621" i="54"/>
  <c r="EY621" i="54"/>
  <c r="FF620" i="54"/>
  <c r="FA620" i="54"/>
  <c r="DY619" i="54"/>
  <c r="EU617" i="54"/>
  <c r="EY616" i="54"/>
  <c r="FG615" i="54"/>
  <c r="FB615" i="54"/>
  <c r="EV615" i="54"/>
  <c r="FE615" i="54"/>
  <c r="FG614" i="54"/>
  <c r="EV614" i="54"/>
  <c r="FB613" i="54"/>
  <c r="EY611" i="54"/>
  <c r="FA611" i="54"/>
  <c r="EU611" i="54"/>
  <c r="ES611" i="54"/>
  <c r="EW611" i="54"/>
  <c r="EZ609" i="54"/>
  <c r="FE609" i="54"/>
  <c r="FC609" i="54"/>
  <c r="FG609" i="54"/>
  <c r="DY608" i="54"/>
  <c r="EX608" i="54"/>
  <c r="FB608" i="54"/>
  <c r="EZ608" i="54"/>
  <c r="EX607" i="54"/>
  <c r="FB606" i="54"/>
  <c r="FD605" i="54"/>
  <c r="FF605" i="54"/>
  <c r="FC605" i="54"/>
  <c r="FC598" i="54"/>
  <c r="FG598" i="54"/>
  <c r="FD598" i="54"/>
  <c r="FE598" i="54"/>
  <c r="FE589" i="54"/>
  <c r="FC589" i="54"/>
  <c r="FD589" i="54"/>
  <c r="FF589" i="54"/>
  <c r="FG589" i="54"/>
  <c r="FC623" i="54"/>
  <c r="DY623" i="54"/>
  <c r="EU621" i="54"/>
  <c r="EY620" i="54"/>
  <c r="FE619" i="54"/>
  <c r="FF615" i="54"/>
  <c r="EZ615" i="54"/>
  <c r="FE614" i="54"/>
  <c r="EZ614" i="54"/>
  <c r="EX614" i="54"/>
  <c r="FB614" i="54"/>
  <c r="FC613" i="54"/>
  <c r="FG613" i="54"/>
  <c r="EZ610" i="54"/>
  <c r="EX610" i="54"/>
  <c r="FB610" i="54"/>
  <c r="FF609" i="54"/>
  <c r="EX609" i="54"/>
  <c r="EY609" i="54"/>
  <c r="EY607" i="54"/>
  <c r="FA607" i="54"/>
  <c r="EU607" i="54"/>
  <c r="ES607" i="54"/>
  <c r="EW607" i="54"/>
  <c r="DY606" i="54"/>
  <c r="EZ606" i="54"/>
  <c r="EU606" i="54"/>
  <c r="ET606" i="54"/>
  <c r="EW606" i="54"/>
  <c r="FE604" i="54"/>
  <c r="FC604" i="54"/>
  <c r="FD604" i="54"/>
  <c r="FF604" i="54"/>
  <c r="DY593" i="54"/>
  <c r="DY574" i="54"/>
  <c r="EX618" i="54"/>
  <c r="FB618" i="54"/>
  <c r="FC617" i="54"/>
  <c r="FG617" i="54"/>
  <c r="ES615" i="54"/>
  <c r="EW615" i="54"/>
  <c r="ET614" i="54"/>
  <c r="EY613" i="54"/>
  <c r="FC611" i="54"/>
  <c r="FG611" i="54"/>
  <c r="FE611" i="54"/>
  <c r="DY609" i="54"/>
  <c r="FA609" i="54"/>
  <c r="ES609" i="54"/>
  <c r="EW609" i="54"/>
  <c r="EU609" i="54"/>
  <c r="EZ601" i="54"/>
  <c r="EY601" i="54"/>
  <c r="FA601" i="54"/>
  <c r="FB601" i="54"/>
  <c r="EZ597" i="54"/>
  <c r="EX597" i="54"/>
  <c r="EY597" i="54"/>
  <c r="FA597" i="54"/>
  <c r="EZ604" i="54"/>
  <c r="FE603" i="54"/>
  <c r="EZ603" i="54"/>
  <c r="EX603" i="54"/>
  <c r="FB603" i="54"/>
  <c r="FF602" i="54"/>
  <c r="FA602" i="54"/>
  <c r="FC602" i="54"/>
  <c r="FG602" i="54"/>
  <c r="FG601" i="54"/>
  <c r="FD600" i="54"/>
  <c r="ES600" i="54"/>
  <c r="EW600" i="54"/>
  <c r="ET599" i="54"/>
  <c r="EZ598" i="54"/>
  <c r="EY598" i="54"/>
  <c r="EY596" i="54"/>
  <c r="FA596" i="54"/>
  <c r="EU596" i="54"/>
  <c r="ES596" i="54"/>
  <c r="EW596" i="54"/>
  <c r="DY592" i="54"/>
  <c r="EZ586" i="54"/>
  <c r="EY586" i="54"/>
  <c r="FA586" i="54"/>
  <c r="FB586" i="54"/>
  <c r="FC579" i="54"/>
  <c r="FG579" i="54"/>
  <c r="FD579" i="54"/>
  <c r="FE579" i="54"/>
  <c r="FF579" i="54"/>
  <c r="ES604" i="54"/>
  <c r="EW604" i="54"/>
  <c r="ET603" i="54"/>
  <c r="DY600" i="54"/>
  <c r="EU598" i="54"/>
  <c r="DY594" i="54"/>
  <c r="EX584" i="54"/>
  <c r="FB584" i="54"/>
  <c r="FA584" i="54"/>
  <c r="EY584" i="54"/>
  <c r="EX572" i="54"/>
  <c r="FB572" i="54"/>
  <c r="FF572" i="54"/>
  <c r="EY572" i="54"/>
  <c r="FD572" i="54"/>
  <c r="EZ572" i="54"/>
  <c r="FE572" i="54"/>
  <c r="FA572" i="54"/>
  <c r="FG572" i="54"/>
  <c r="FC572" i="54"/>
  <c r="ET572" i="54"/>
  <c r="ES572" i="54"/>
  <c r="EU572" i="54"/>
  <c r="EV572" i="54"/>
  <c r="EY606" i="54"/>
  <c r="EX604" i="54"/>
  <c r="DY604" i="54"/>
  <c r="FC603" i="54"/>
  <c r="EW603" i="54"/>
  <c r="EX602" i="54"/>
  <c r="EU602" i="54"/>
  <c r="FB598" i="54"/>
  <c r="EW598" i="54"/>
  <c r="FC596" i="54"/>
  <c r="FG596" i="54"/>
  <c r="FE596" i="54"/>
  <c r="EZ595" i="54"/>
  <c r="EX595" i="54"/>
  <c r="FB595" i="54"/>
  <c r="FB591" i="54"/>
  <c r="FD590" i="54"/>
  <c r="FF590" i="54"/>
  <c r="FG590" i="54"/>
  <c r="FC590" i="54"/>
  <c r="FC583" i="54"/>
  <c r="FG583" i="54"/>
  <c r="FD583" i="54"/>
  <c r="FE583" i="54"/>
  <c r="DY582" i="54"/>
  <c r="EY594" i="54"/>
  <c r="FG593" i="54"/>
  <c r="FB593" i="54"/>
  <c r="FE593" i="54"/>
  <c r="FG592" i="54"/>
  <c r="EZ589" i="54"/>
  <c r="FE588" i="54"/>
  <c r="EZ588" i="54"/>
  <c r="EX588" i="54"/>
  <c r="FB588" i="54"/>
  <c r="FF587" i="54"/>
  <c r="FA587" i="54"/>
  <c r="FC587" i="54"/>
  <c r="FG587" i="54"/>
  <c r="FG586" i="54"/>
  <c r="FD585" i="54"/>
  <c r="ES585" i="54"/>
  <c r="EW585" i="54"/>
  <c r="ET584" i="54"/>
  <c r="EZ583" i="54"/>
  <c r="EY583" i="54"/>
  <c r="FD582" i="54"/>
  <c r="FG582" i="54"/>
  <c r="FC577" i="54"/>
  <c r="EY575" i="54"/>
  <c r="FA575" i="54"/>
  <c r="FB575" i="54"/>
  <c r="EX575" i="54"/>
  <c r="EX592" i="54"/>
  <c r="FB592" i="54"/>
  <c r="FC591" i="54"/>
  <c r="FG591" i="54"/>
  <c r="ES589" i="54"/>
  <c r="EW589" i="54"/>
  <c r="ET588" i="54"/>
  <c r="DY585" i="54"/>
  <c r="EU583" i="54"/>
  <c r="EZ582" i="54"/>
  <c r="FB582" i="54"/>
  <c r="DY573" i="54"/>
  <c r="DY571" i="54"/>
  <c r="FB594" i="54"/>
  <c r="ES593" i="54"/>
  <c r="EW593" i="54"/>
  <c r="EY592" i="54"/>
  <c r="ET592" i="54"/>
  <c r="FE591" i="54"/>
  <c r="EY591" i="54"/>
  <c r="EX589" i="54"/>
  <c r="DY589" i="54"/>
  <c r="FC588" i="54"/>
  <c r="EW588" i="54"/>
  <c r="EX587" i="54"/>
  <c r="EU587" i="54"/>
  <c r="FB583" i="54"/>
  <c r="EW583" i="54"/>
  <c r="FA582" i="54"/>
  <c r="DY581" i="54"/>
  <c r="EX580" i="54"/>
  <c r="FB580" i="54"/>
  <c r="FA580" i="54"/>
  <c r="EY580" i="54"/>
  <c r="FA577" i="54"/>
  <c r="EZ577" i="54"/>
  <c r="FB577" i="54"/>
  <c r="FG577" i="54"/>
  <c r="EX577" i="54"/>
  <c r="ES577" i="54"/>
  <c r="EW577" i="54"/>
  <c r="EU577" i="54"/>
  <c r="EV577" i="54"/>
  <c r="FF576" i="54"/>
  <c r="DY576" i="54"/>
  <c r="EZ576" i="54"/>
  <c r="FE576" i="54"/>
  <c r="FA576" i="54"/>
  <c r="FG576" i="54"/>
  <c r="FC576" i="54"/>
  <c r="ET576" i="54"/>
  <c r="EU576" i="54"/>
  <c r="EV576" i="54"/>
  <c r="EW576" i="54"/>
  <c r="FD581" i="54"/>
  <c r="ES581" i="54"/>
  <c r="EW581" i="54"/>
  <c r="ET580" i="54"/>
  <c r="EZ579" i="54"/>
  <c r="EY579" i="54"/>
  <c r="FF578" i="54"/>
  <c r="FA578" i="54"/>
  <c r="DY577" i="54"/>
  <c r="EU575" i="54"/>
  <c r="EY574" i="54"/>
  <c r="FG573" i="54"/>
  <c r="FB573" i="54"/>
  <c r="FE573" i="54"/>
  <c r="DY572" i="54"/>
  <c r="FD570" i="54"/>
  <c r="FC570" i="54"/>
  <c r="FG570" i="54"/>
  <c r="EU579" i="54"/>
  <c r="FE577" i="54"/>
  <c r="EX571" i="54"/>
  <c r="FB571" i="54"/>
  <c r="FA571" i="54"/>
  <c r="EY570" i="54"/>
  <c r="FB570" i="54"/>
  <c r="DY566" i="54"/>
  <c r="FA566" i="54"/>
  <c r="EX566" i="54"/>
  <c r="FB566" i="54"/>
  <c r="FF566" i="54"/>
  <c r="EZ566" i="54"/>
  <c r="ES566" i="54"/>
  <c r="EW566" i="54"/>
  <c r="ET566" i="54"/>
  <c r="EU566" i="54"/>
  <c r="EV566" i="54"/>
  <c r="FB579" i="54"/>
  <c r="EW579" i="54"/>
  <c r="FC578" i="54"/>
  <c r="FF577" i="54"/>
  <c r="EX576" i="54"/>
  <c r="FB576" i="54"/>
  <c r="FC575" i="54"/>
  <c r="FG575" i="54"/>
  <c r="FB574" i="54"/>
  <c r="ES573" i="54"/>
  <c r="EW573" i="54"/>
  <c r="EZ571" i="54"/>
  <c r="FF571" i="54"/>
  <c r="FG571" i="54"/>
  <c r="ET571" i="54"/>
  <c r="EV571" i="54"/>
  <c r="EZ570" i="54"/>
  <c r="EU570" i="54"/>
  <c r="EW570" i="54"/>
  <c r="DY569" i="54"/>
  <c r="FC568" i="54"/>
  <c r="FG568" i="54"/>
  <c r="FE568" i="54"/>
  <c r="EX569" i="54"/>
  <c r="FB569" i="54"/>
  <c r="EZ569" i="54"/>
  <c r="FE566" i="54"/>
  <c r="EY568" i="54"/>
  <c r="FA568" i="54"/>
  <c r="EU568" i="54"/>
  <c r="ES568" i="54"/>
  <c r="EW568" i="54"/>
  <c r="EY566" i="54"/>
  <c r="FB567" i="54"/>
  <c r="EX567" i="54"/>
  <c r="FG566" i="54"/>
  <c r="FC566" i="54"/>
  <c r="CH605" i="54"/>
  <c r="CP597" i="54"/>
  <c r="CH585" i="54"/>
  <c r="CP581" i="54"/>
  <c r="CP569" i="54"/>
  <c r="CP601" i="54"/>
  <c r="CP585" i="54"/>
  <c r="CP565" i="54"/>
  <c r="CA621" i="54"/>
  <c r="CA617" i="54"/>
  <c r="CA613" i="54"/>
  <c r="CA609" i="54"/>
  <c r="CA601" i="54"/>
  <c r="CA597" i="54"/>
  <c r="CA589" i="54"/>
  <c r="CA581" i="54"/>
  <c r="CA577" i="54"/>
  <c r="CA565" i="54"/>
  <c r="CP613" i="54"/>
  <c r="CL609" i="54"/>
  <c r="BY608" i="54"/>
  <c r="BY606" i="54"/>
  <c r="BY598" i="54"/>
  <c r="BY590" i="54"/>
  <c r="CL584" i="54"/>
  <c r="CP584" i="54"/>
  <c r="BY566" i="54"/>
  <c r="CL635" i="54"/>
  <c r="BY633" i="54"/>
  <c r="CL630" i="54"/>
  <c r="CP627" i="54"/>
  <c r="CP626" i="54"/>
  <c r="CL621" i="54"/>
  <c r="CP617" i="54"/>
  <c r="CP605" i="54"/>
  <c r="CP602" i="54"/>
  <c r="CL591" i="54"/>
  <c r="CL573" i="54"/>
  <c r="CP573" i="54"/>
  <c r="BY571" i="54"/>
  <c r="CP641" i="54"/>
  <c r="CL631" i="54"/>
  <c r="BY629" i="54"/>
  <c r="CL626" i="54"/>
  <c r="BY623" i="54"/>
  <c r="BY622" i="54"/>
  <c r="CL619" i="54"/>
  <c r="CP612" i="54"/>
  <c r="CL612" i="54"/>
  <c r="CP611" i="54"/>
  <c r="BY610" i="54"/>
  <c r="CL604" i="54"/>
  <c r="CL602" i="54"/>
  <c r="CL572" i="54"/>
  <c r="CP572" i="54"/>
  <c r="CP630" i="54"/>
  <c r="BY607" i="54"/>
  <c r="CL643" i="54"/>
  <c r="CL642" i="54"/>
  <c r="BY639" i="54"/>
  <c r="BY638" i="54"/>
  <c r="BY634" i="54"/>
  <c r="CL627" i="54"/>
  <c r="BY625" i="54"/>
  <c r="CL617" i="54"/>
  <c r="CL605" i="54"/>
  <c r="CJ605" i="54"/>
  <c r="CL593" i="54"/>
  <c r="CP593" i="54"/>
  <c r="CL585" i="54"/>
  <c r="CF585" i="54"/>
  <c r="CJ585" i="54"/>
  <c r="CP583" i="54"/>
  <c r="CL583" i="54"/>
  <c r="CL576" i="54"/>
  <c r="CP576" i="54"/>
  <c r="BY570" i="54"/>
  <c r="CP619" i="54"/>
  <c r="CP603" i="54"/>
  <c r="CL600" i="54"/>
  <c r="CL588" i="54"/>
  <c r="BY582" i="54"/>
  <c r="CP579" i="54"/>
  <c r="CL577" i="54"/>
  <c r="CL568" i="54"/>
  <c r="CP620" i="54"/>
  <c r="CP615" i="54"/>
  <c r="CP604" i="54"/>
  <c r="CP600" i="54"/>
  <c r="CP599" i="54"/>
  <c r="CL599" i="54"/>
  <c r="CL592" i="54"/>
  <c r="CP592" i="54"/>
  <c r="CL589" i="54"/>
  <c r="CP589" i="54"/>
  <c r="BY587" i="54"/>
  <c r="BY586" i="54"/>
  <c r="BY574" i="54"/>
  <c r="CL569" i="54"/>
  <c r="CP567" i="54"/>
  <c r="CL567" i="54"/>
  <c r="CL597" i="54"/>
  <c r="CL596" i="54"/>
  <c r="BY594" i="54"/>
  <c r="CL581" i="54"/>
  <c r="CL580" i="54"/>
  <c r="BY578" i="54"/>
  <c r="CL565" i="54"/>
  <c r="CF565" i="54"/>
  <c r="AJ521" i="54"/>
  <c r="AK521" i="54" s="1"/>
  <c r="AN522" i="54"/>
  <c r="AJ522" i="54"/>
  <c r="AK510" i="54"/>
  <c r="AK507" i="54"/>
  <c r="AG484" i="54"/>
  <c r="AJ484" i="54"/>
  <c r="AK484" i="54" s="1"/>
  <c r="AN484" i="54"/>
  <c r="AN519" i="54"/>
  <c r="AK515" i="54"/>
  <c r="AN510" i="54"/>
  <c r="AK503" i="54"/>
  <c r="AJ519" i="54"/>
  <c r="AN514" i="54"/>
  <c r="AJ513" i="54"/>
  <c r="AK513" i="54" s="1"/>
  <c r="AN507" i="54"/>
  <c r="AG506" i="54"/>
  <c r="AN505" i="54"/>
  <c r="AK505" i="54" s="1"/>
  <c r="AG497" i="54"/>
  <c r="AJ497" i="54"/>
  <c r="AK497" i="54" s="1"/>
  <c r="AN497" i="54"/>
  <c r="AP485" i="54"/>
  <c r="AQ485" i="54"/>
  <c r="AR485" i="54"/>
  <c r="AS485" i="54"/>
  <c r="AJ478" i="54"/>
  <c r="AK478" i="54" s="1"/>
  <c r="AN478" i="54"/>
  <c r="AG478" i="54"/>
  <c r="AG501" i="54"/>
  <c r="AJ501" i="54"/>
  <c r="AN501" i="54"/>
  <c r="AJ492" i="54"/>
  <c r="AK492" i="54" s="1"/>
  <c r="AG492" i="54"/>
  <c r="AN492" i="54"/>
  <c r="AN517" i="54"/>
  <c r="AJ517" i="54"/>
  <c r="AK517" i="54" s="1"/>
  <c r="AG510" i="54"/>
  <c r="AJ502" i="54"/>
  <c r="AN502" i="54"/>
  <c r="AG502" i="54"/>
  <c r="AK494" i="54"/>
  <c r="AG476" i="54"/>
  <c r="AN476" i="54"/>
  <c r="AJ476" i="54"/>
  <c r="AK499" i="54"/>
  <c r="AK498" i="54"/>
  <c r="AG494" i="54"/>
  <c r="AJ489" i="54"/>
  <c r="AN489" i="54"/>
  <c r="AJ481" i="54"/>
  <c r="AN481" i="54"/>
  <c r="AJ470" i="54"/>
  <c r="AN470" i="54"/>
  <c r="AG470" i="54"/>
  <c r="AG488" i="54"/>
  <c r="AJ488" i="54"/>
  <c r="AK488" i="54" s="1"/>
  <c r="AT485" i="54"/>
  <c r="AG480" i="54"/>
  <c r="AJ480" i="54"/>
  <c r="AK480" i="54" s="1"/>
  <c r="AN491" i="54"/>
  <c r="AK485" i="54"/>
  <c r="AG477" i="54"/>
  <c r="AG475" i="54"/>
  <c r="AJ474" i="54"/>
  <c r="AK474" i="54" s="1"/>
  <c r="AG474" i="54"/>
  <c r="AG473" i="54"/>
  <c r="AN473" i="54"/>
  <c r="AK473" i="54" s="1"/>
  <c r="AG469" i="54"/>
  <c r="AJ469" i="54"/>
  <c r="AK469" i="54" s="1"/>
  <c r="AO465" i="54"/>
  <c r="AT465" i="54"/>
  <c r="AG466" i="54"/>
  <c r="AJ466" i="54"/>
  <c r="AK466" i="54" s="1"/>
  <c r="AJ465" i="54"/>
  <c r="AK465" i="54" s="1"/>
  <c r="GP115" i="54"/>
  <c r="GR115" i="54"/>
  <c r="GS115" i="54" s="1"/>
  <c r="GT115" i="54"/>
  <c r="GU115" i="54"/>
  <c r="GV115" i="54"/>
  <c r="GW115" i="54" s="1"/>
  <c r="GX115" i="54"/>
  <c r="GY115" i="54" s="1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 s="1"/>
  <c r="GX117" i="54"/>
  <c r="GY117" i="54" s="1"/>
  <c r="GP118" i="54"/>
  <c r="GR118" i="54"/>
  <c r="GS118" i="54" s="1"/>
  <c r="GT118" i="54"/>
  <c r="GU118" i="54" s="1"/>
  <c r="GV118" i="54"/>
  <c r="GW118" i="54" s="1"/>
  <c r="GX118" i="54"/>
  <c r="GY118" i="54" s="1"/>
  <c r="GP119" i="54"/>
  <c r="GR119" i="54"/>
  <c r="GS119" i="54" s="1"/>
  <c r="GT119" i="54"/>
  <c r="GU119" i="54" s="1"/>
  <c r="GV119" i="54"/>
  <c r="GW119" i="54" s="1"/>
  <c r="GX119" i="54"/>
  <c r="GY119" i="54" s="1"/>
  <c r="GO115" i="54"/>
  <c r="GO116" i="54"/>
  <c r="GO117" i="54"/>
  <c r="GO118" i="54"/>
  <c r="GO119" i="54"/>
  <c r="AN445" i="54"/>
  <c r="AJ447" i="54"/>
  <c r="AN447" i="54"/>
  <c r="AJ451" i="54"/>
  <c r="AN451" i="54"/>
  <c r="AN453" i="54"/>
  <c r="AJ455" i="54"/>
  <c r="AN455" i="54"/>
  <c r="AN457" i="54"/>
  <c r="AJ459" i="54"/>
  <c r="AN459" i="54"/>
  <c r="AN461" i="54"/>
  <c r="AJ463" i="54"/>
  <c r="AN463" i="54"/>
  <c r="AF445" i="54"/>
  <c r="AJ445" i="54" s="1"/>
  <c r="AK445" i="54" s="1"/>
  <c r="AF446" i="54"/>
  <c r="AJ446" i="54" s="1"/>
  <c r="AF447" i="54"/>
  <c r="AG447" i="54" s="1"/>
  <c r="AF448" i="54"/>
  <c r="AJ448" i="54" s="1"/>
  <c r="AF449" i="54"/>
  <c r="AJ449" i="54" s="1"/>
  <c r="AF450" i="54"/>
  <c r="AJ450" i="54" s="1"/>
  <c r="AF451" i="54"/>
  <c r="AG451" i="54" s="1"/>
  <c r="AF452" i="54"/>
  <c r="AJ452" i="54" s="1"/>
  <c r="AF453" i="54"/>
  <c r="AJ453" i="54" s="1"/>
  <c r="AK453" i="54" s="1"/>
  <c r="AF454" i="54"/>
  <c r="AJ454" i="54" s="1"/>
  <c r="AF455" i="54"/>
  <c r="AG455" i="54" s="1"/>
  <c r="AF456" i="54"/>
  <c r="AJ456" i="54" s="1"/>
  <c r="AF457" i="54"/>
  <c r="AJ457" i="54" s="1"/>
  <c r="AK457" i="54" s="1"/>
  <c r="AF458" i="54"/>
  <c r="AJ458" i="54" s="1"/>
  <c r="AF459" i="54"/>
  <c r="AG459" i="54" s="1"/>
  <c r="AF460" i="54"/>
  <c r="AJ460" i="54" s="1"/>
  <c r="AF461" i="54"/>
  <c r="AJ461" i="54" s="1"/>
  <c r="AK461" i="54" s="1"/>
  <c r="AF462" i="54"/>
  <c r="AG462" i="54" s="1"/>
  <c r="AF463" i="54"/>
  <c r="AG463" i="54" s="1"/>
  <c r="AF464" i="54"/>
  <c r="AJ464" i="54" s="1"/>
  <c r="J28" i="54"/>
  <c r="K28" i="54"/>
  <c r="L28" i="54"/>
  <c r="F28" i="54"/>
  <c r="CL622" i="54" l="1"/>
  <c r="CP622" i="54"/>
  <c r="CP594" i="54"/>
  <c r="CL594" i="54"/>
  <c r="CL575" i="54"/>
  <c r="CP614" i="54"/>
  <c r="CP582" i="54"/>
  <c r="CL582" i="54"/>
  <c r="CP634" i="54"/>
  <c r="CL634" i="54"/>
  <c r="CL639" i="54"/>
  <c r="CP639" i="54"/>
  <c r="CP607" i="54"/>
  <c r="CL607" i="54"/>
  <c r="CP571" i="54"/>
  <c r="CL571" i="54"/>
  <c r="CL611" i="54"/>
  <c r="CP633" i="54"/>
  <c r="CL633" i="54"/>
  <c r="CP637" i="54"/>
  <c r="CP643" i="54"/>
  <c r="CL606" i="54"/>
  <c r="CP606" i="54"/>
  <c r="CP616" i="54"/>
  <c r="CP578" i="54"/>
  <c r="CL578" i="54"/>
  <c r="CP629" i="54"/>
  <c r="CL629" i="54"/>
  <c r="CP586" i="54"/>
  <c r="CL586" i="54"/>
  <c r="CP575" i="54"/>
  <c r="CF625" i="54"/>
  <c r="CH625" i="54"/>
  <c r="CP625" i="54"/>
  <c r="CL625" i="54"/>
  <c r="CJ625" i="54"/>
  <c r="CL610" i="54"/>
  <c r="CP610" i="54"/>
  <c r="CL615" i="54"/>
  <c r="CL623" i="54"/>
  <c r="CP623" i="54"/>
  <c r="CP566" i="54"/>
  <c r="CL566" i="54"/>
  <c r="CP590" i="54"/>
  <c r="CL590" i="54"/>
  <c r="CP598" i="54"/>
  <c r="CL598" i="54"/>
  <c r="CP595" i="54"/>
  <c r="CL637" i="54"/>
  <c r="CP574" i="54"/>
  <c r="CL574" i="54"/>
  <c r="CL614" i="54"/>
  <c r="CP570" i="54"/>
  <c r="CL570" i="54"/>
  <c r="CP638" i="54"/>
  <c r="CL638" i="54"/>
  <c r="CP587" i="54"/>
  <c r="CL587" i="54"/>
  <c r="CL641" i="54"/>
  <c r="CP591" i="54"/>
  <c r="CL616" i="54"/>
  <c r="CL608" i="54"/>
  <c r="CP608" i="54"/>
  <c r="CP642" i="54"/>
  <c r="CL595" i="54"/>
  <c r="AK522" i="54"/>
  <c r="AV465" i="54"/>
  <c r="AW465" i="54"/>
  <c r="AX465" i="54"/>
  <c r="AU465" i="54"/>
  <c r="AK514" i="54"/>
  <c r="AR465" i="54"/>
  <c r="AS465" i="54"/>
  <c r="AP465" i="54"/>
  <c r="AQ465" i="54"/>
  <c r="AX485" i="54"/>
  <c r="AU485" i="54"/>
  <c r="AV485" i="54"/>
  <c r="AW485" i="54"/>
  <c r="AK502" i="54"/>
  <c r="AK501" i="54"/>
  <c r="AT505" i="54"/>
  <c r="AO505" i="54"/>
  <c r="AK491" i="54"/>
  <c r="AK481" i="54"/>
  <c r="AK489" i="54"/>
  <c r="AK470" i="54"/>
  <c r="AK476" i="54"/>
  <c r="AK519" i="54"/>
  <c r="AK464" i="54"/>
  <c r="AK452" i="54"/>
  <c r="AG458" i="54"/>
  <c r="AG454" i="54"/>
  <c r="AG450" i="54"/>
  <c r="AG446" i="54"/>
  <c r="AN449" i="54"/>
  <c r="AK449" i="54" s="1"/>
  <c r="AG461" i="54"/>
  <c r="AG457" i="54"/>
  <c r="AG453" i="54"/>
  <c r="AG449" i="54"/>
  <c r="AG445" i="54"/>
  <c r="AK463" i="54"/>
  <c r="AK459" i="54"/>
  <c r="AK455" i="54"/>
  <c r="AK447" i="54"/>
  <c r="AG464" i="54"/>
  <c r="AG460" i="54"/>
  <c r="AG456" i="54"/>
  <c r="AG452" i="54"/>
  <c r="AG448" i="54"/>
  <c r="AN464" i="54"/>
  <c r="AN462" i="54"/>
  <c r="AN460" i="54"/>
  <c r="AK460" i="54" s="1"/>
  <c r="AN458" i="54"/>
  <c r="AK458" i="54" s="1"/>
  <c r="AN456" i="54"/>
  <c r="AK456" i="54" s="1"/>
  <c r="AN454" i="54"/>
  <c r="AN452" i="54"/>
  <c r="AN450" i="54"/>
  <c r="AN448" i="54"/>
  <c r="AK448" i="54" s="1"/>
  <c r="AN446" i="54"/>
  <c r="AJ462" i="54"/>
  <c r="AT445" i="54"/>
  <c r="AU445" i="54" s="1"/>
  <c r="AO445" i="54"/>
  <c r="AS445" i="54" s="1"/>
  <c r="AK451" i="54"/>
  <c r="AK450" i="54"/>
  <c r="AV445" i="54" l="1"/>
  <c r="AW445" i="54"/>
  <c r="AX445" i="54"/>
  <c r="AW505" i="54"/>
  <c r="AX505" i="54"/>
  <c r="AU505" i="54"/>
  <c r="AV505" i="54"/>
  <c r="AS505" i="54"/>
  <c r="AR505" i="54"/>
  <c r="AP505" i="54"/>
  <c r="AQ505" i="54"/>
  <c r="AK446" i="54"/>
  <c r="AK454" i="54"/>
  <c r="AK462" i="54"/>
  <c r="AR445" i="54"/>
  <c r="AP445" i="54"/>
  <c r="AQ445" i="54"/>
  <c r="DH46" i="66"/>
  <c r="AY505" i="54" s="1"/>
  <c r="BB505" i="54" s="1"/>
  <c r="DH26" i="66"/>
  <c r="AY485" i="54" s="1"/>
  <c r="DH6" i="66"/>
  <c r="AY465" i="54" s="1"/>
  <c r="BA505" i="54" l="1"/>
  <c r="AZ505" i="54"/>
  <c r="BC505" i="54"/>
  <c r="BA485" i="54"/>
  <c r="BB485" i="54"/>
  <c r="BC485" i="54"/>
  <c r="AZ485" i="54"/>
  <c r="BB465" i="54"/>
  <c r="AZ465" i="54"/>
  <c r="BC465" i="54"/>
  <c r="BA465" i="54"/>
  <c r="AY445" i="54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BA445" i="54" l="1"/>
  <c r="AZ445" i="54"/>
  <c r="BB445" i="54"/>
  <c r="BC445" i="54"/>
  <c r="JG5" i="54"/>
  <c r="BA5" i="57" l="1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JG7" i="54" l="1"/>
  <c r="JG8" i="54"/>
  <c r="JG9" i="54"/>
  <c r="JG11" i="54"/>
  <c r="JG13" i="54"/>
  <c r="JG15" i="54"/>
  <c r="JG17" i="54"/>
  <c r="JG18" i="54"/>
  <c r="JG19" i="54"/>
  <c r="JG22" i="54"/>
  <c r="JG23" i="54"/>
  <c r="JG24" i="54"/>
  <c r="JG25" i="54"/>
  <c r="JG27" i="54"/>
  <c r="JG29" i="54"/>
  <c r="JG31" i="54"/>
  <c r="JG33" i="54"/>
  <c r="JG34" i="54"/>
  <c r="JG35" i="54"/>
  <c r="JG38" i="54"/>
  <c r="JG39" i="54"/>
  <c r="JG40" i="54"/>
  <c r="JG41" i="54"/>
  <c r="JG43" i="54"/>
  <c r="JG45" i="54"/>
  <c r="JG47" i="54"/>
  <c r="JG49" i="54"/>
  <c r="JG50" i="54"/>
  <c r="JG51" i="54"/>
  <c r="JG54" i="54"/>
  <c r="JG55" i="54"/>
  <c r="JG56" i="54"/>
  <c r="JG57" i="54"/>
  <c r="JG59" i="54"/>
  <c r="JG61" i="54"/>
  <c r="JG63" i="54"/>
  <c r="JG65" i="54"/>
  <c r="JG66" i="54"/>
  <c r="JG67" i="54"/>
  <c r="JG70" i="54"/>
  <c r="JG71" i="54"/>
  <c r="JG72" i="54"/>
  <c r="JG73" i="54"/>
  <c r="JG75" i="54"/>
  <c r="JG77" i="54"/>
  <c r="JG79" i="54"/>
  <c r="JG81" i="54"/>
  <c r="JG82" i="54"/>
  <c r="JG83" i="54"/>
  <c r="JG86" i="54"/>
  <c r="JG87" i="54"/>
  <c r="JG88" i="54"/>
  <c r="JG89" i="54"/>
  <c r="JG91" i="54"/>
  <c r="JG93" i="54"/>
  <c r="JG95" i="54"/>
  <c r="JG97" i="54"/>
  <c r="JG98" i="54"/>
  <c r="JG99" i="54"/>
  <c r="JG102" i="54"/>
  <c r="JG103" i="54"/>
  <c r="JG104" i="54"/>
  <c r="JG107" i="54"/>
  <c r="JG109" i="54"/>
  <c r="JG111" i="54"/>
  <c r="JG113" i="54"/>
  <c r="JG114" i="54"/>
  <c r="JG115" i="54"/>
  <c r="JG117" i="54"/>
  <c r="JG118" i="54"/>
  <c r="JG119" i="54"/>
  <c r="JG120" i="54"/>
  <c r="JG123" i="54"/>
  <c r="JG125" i="54"/>
  <c r="JG127" i="54"/>
  <c r="JG129" i="54"/>
  <c r="JG130" i="54"/>
  <c r="JG131" i="54"/>
  <c r="JG133" i="54"/>
  <c r="JG134" i="54"/>
  <c r="JG135" i="54"/>
  <c r="JG136" i="54"/>
  <c r="JG137" i="54"/>
  <c r="JG139" i="54"/>
  <c r="JG141" i="54"/>
  <c r="JG143" i="54"/>
  <c r="JG145" i="54"/>
  <c r="JG146" i="54"/>
  <c r="JG147" i="54"/>
  <c r="JG150" i="54"/>
  <c r="JG151" i="54"/>
  <c r="JG152" i="54"/>
  <c r="JG153" i="54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4" i="54" l="1"/>
  <c r="JG154" i="54"/>
  <c r="IZ142" i="54"/>
  <c r="JG142" i="54"/>
  <c r="IZ138" i="54"/>
  <c r="JG138" i="54"/>
  <c r="IZ126" i="54"/>
  <c r="JG126" i="54"/>
  <c r="IZ122" i="54"/>
  <c r="JG122" i="54"/>
  <c r="IZ110" i="54"/>
  <c r="JG110" i="54"/>
  <c r="IZ106" i="54"/>
  <c r="JG106" i="54"/>
  <c r="IZ94" i="54"/>
  <c r="JG94" i="54"/>
  <c r="IZ90" i="54"/>
  <c r="JG90" i="54"/>
  <c r="IZ78" i="54"/>
  <c r="JG78" i="54"/>
  <c r="IZ74" i="54"/>
  <c r="JG74" i="54"/>
  <c r="IZ62" i="54"/>
  <c r="JG62" i="54"/>
  <c r="IZ58" i="54"/>
  <c r="JG58" i="54"/>
  <c r="IZ46" i="54"/>
  <c r="JG46" i="54"/>
  <c r="IZ42" i="54"/>
  <c r="JG42" i="54"/>
  <c r="IZ30" i="54"/>
  <c r="JG30" i="54"/>
  <c r="IZ26" i="54"/>
  <c r="JG26" i="54"/>
  <c r="IZ14" i="54"/>
  <c r="JG14" i="54"/>
  <c r="IZ10" i="54"/>
  <c r="JG10" i="54"/>
  <c r="IZ149" i="54"/>
  <c r="JG149" i="54"/>
  <c r="IZ121" i="54"/>
  <c r="JG121" i="54"/>
  <c r="IZ105" i="54"/>
  <c r="JG105" i="54"/>
  <c r="IZ101" i="54"/>
  <c r="JG101" i="54"/>
  <c r="IZ85" i="54"/>
  <c r="JG85" i="54"/>
  <c r="IZ69" i="54"/>
  <c r="JG69" i="54"/>
  <c r="IZ53" i="54"/>
  <c r="JG53" i="54"/>
  <c r="IZ37" i="54"/>
  <c r="JG37" i="54"/>
  <c r="IZ21" i="54"/>
  <c r="JG21" i="54"/>
  <c r="IZ148" i="54"/>
  <c r="JG148" i="54"/>
  <c r="IZ144" i="54"/>
  <c r="JG144" i="54"/>
  <c r="IZ140" i="54"/>
  <c r="JG140" i="54"/>
  <c r="IZ132" i="54"/>
  <c r="JG132" i="54"/>
  <c r="IZ128" i="54"/>
  <c r="JG128" i="54"/>
  <c r="IZ124" i="54"/>
  <c r="JG124" i="54"/>
  <c r="IZ116" i="54"/>
  <c r="JG116" i="54"/>
  <c r="IZ112" i="54"/>
  <c r="JG112" i="54"/>
  <c r="IZ108" i="54"/>
  <c r="JG108" i="54"/>
  <c r="IZ100" i="54"/>
  <c r="JG100" i="54"/>
  <c r="IZ96" i="54"/>
  <c r="JG96" i="54"/>
  <c r="IZ92" i="54"/>
  <c r="JG92" i="54"/>
  <c r="IZ84" i="54"/>
  <c r="JG84" i="54"/>
  <c r="IZ80" i="54"/>
  <c r="JG80" i="54"/>
  <c r="IZ76" i="54"/>
  <c r="JG76" i="54"/>
  <c r="IZ68" i="54"/>
  <c r="JG68" i="54"/>
  <c r="IZ64" i="54"/>
  <c r="JG64" i="54"/>
  <c r="IZ60" i="54"/>
  <c r="JG60" i="54"/>
  <c r="IZ52" i="54"/>
  <c r="JG52" i="54"/>
  <c r="IZ48" i="54"/>
  <c r="JG48" i="54"/>
  <c r="IZ44" i="54"/>
  <c r="JG44" i="54"/>
  <c r="IZ36" i="54"/>
  <c r="JG36" i="54"/>
  <c r="IZ32" i="54"/>
  <c r="JG32" i="54"/>
  <c r="IZ28" i="54"/>
  <c r="JG28" i="54"/>
  <c r="IZ20" i="54"/>
  <c r="JG20" i="54"/>
  <c r="IZ16" i="54"/>
  <c r="JG16" i="54"/>
  <c r="IZ12" i="54"/>
  <c r="JG12" i="54"/>
  <c r="IZ6" i="54"/>
  <c r="JG6" i="54"/>
  <c r="IZ150" i="54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X11" i="65" l="1"/>
  <c r="GX55" i="65"/>
  <c r="GX71" i="65"/>
  <c r="GX87" i="65"/>
  <c r="GX20" i="65"/>
  <c r="GX32" i="65"/>
  <c r="GX44" i="65"/>
  <c r="GX56" i="65"/>
  <c r="GX68" i="65"/>
  <c r="GX84" i="65"/>
  <c r="GX96" i="65"/>
  <c r="GX8" i="65"/>
  <c r="GX76" i="65"/>
  <c r="GX9" i="65"/>
  <c r="GX13" i="65"/>
  <c r="GX17" i="65"/>
  <c r="GX21" i="65"/>
  <c r="GX25" i="65"/>
  <c r="GX29" i="65"/>
  <c r="GX33" i="65"/>
  <c r="GX37" i="65"/>
  <c r="GX41" i="65"/>
  <c r="GX45" i="65"/>
  <c r="GX49" i="65"/>
  <c r="GX53" i="65"/>
  <c r="GX57" i="65"/>
  <c r="GX61" i="65"/>
  <c r="GX65" i="65"/>
  <c r="GX69" i="65"/>
  <c r="GX73" i="65"/>
  <c r="GX77" i="65"/>
  <c r="GX81" i="65"/>
  <c r="GX85" i="65"/>
  <c r="GX89" i="65"/>
  <c r="GX93" i="65"/>
  <c r="GX97" i="65"/>
  <c r="GX15" i="65"/>
  <c r="GX23" i="65"/>
  <c r="GX31" i="65"/>
  <c r="GX39" i="65"/>
  <c r="GX47" i="65"/>
  <c r="GX59" i="65"/>
  <c r="GX67" i="65"/>
  <c r="GX79" i="65"/>
  <c r="GX91" i="65"/>
  <c r="GX12" i="65"/>
  <c r="GX24" i="65"/>
  <c r="GX36" i="65"/>
  <c r="GX48" i="65"/>
  <c r="GX60" i="65"/>
  <c r="GX72" i="65"/>
  <c r="GX88" i="65"/>
  <c r="GX10" i="65"/>
  <c r="GX14" i="65"/>
  <c r="GX18" i="65"/>
  <c r="GX22" i="65"/>
  <c r="GX26" i="65"/>
  <c r="GX30" i="65"/>
  <c r="GX34" i="65"/>
  <c r="GX38" i="65"/>
  <c r="GX42" i="65"/>
  <c r="GX46" i="65"/>
  <c r="GX50" i="65"/>
  <c r="GX54" i="65"/>
  <c r="GX58" i="65"/>
  <c r="GX62" i="65"/>
  <c r="GX66" i="65"/>
  <c r="GX70" i="65"/>
  <c r="GX74" i="65"/>
  <c r="GX78" i="65"/>
  <c r="GX82" i="65"/>
  <c r="GX86" i="65"/>
  <c r="GX90" i="65"/>
  <c r="GX94" i="65"/>
  <c r="GX6" i="65"/>
  <c r="GX7" i="65"/>
  <c r="GX19" i="65"/>
  <c r="GX27" i="65"/>
  <c r="GX35" i="65"/>
  <c r="GX43" i="65"/>
  <c r="GX51" i="65"/>
  <c r="GX63" i="65"/>
  <c r="GX75" i="65"/>
  <c r="GX83" i="65"/>
  <c r="GX95" i="65"/>
  <c r="GX16" i="65"/>
  <c r="GX28" i="65"/>
  <c r="GX40" i="65"/>
  <c r="GX52" i="65"/>
  <c r="GX64" i="65"/>
  <c r="GX80" i="65"/>
  <c r="GX92" i="65"/>
  <c r="EX3" i="65"/>
  <c r="HL7" i="65"/>
  <c r="HO7" i="65"/>
  <c r="HL8" i="65"/>
  <c r="HO8" i="65"/>
  <c r="HL9" i="65"/>
  <c r="HO9" i="65"/>
  <c r="HL10" i="65"/>
  <c r="HO10" i="65"/>
  <c r="HL11" i="65"/>
  <c r="HO11" i="65"/>
  <c r="HL12" i="65"/>
  <c r="HO12" i="65"/>
  <c r="HL13" i="65"/>
  <c r="HO13" i="65"/>
  <c r="HL14" i="65"/>
  <c r="HO14" i="65"/>
  <c r="HL15" i="65"/>
  <c r="HO15" i="65"/>
  <c r="HL16" i="65"/>
  <c r="HO16" i="65"/>
  <c r="HL17" i="65"/>
  <c r="HO17" i="65"/>
  <c r="HL18" i="65"/>
  <c r="HO18" i="65"/>
  <c r="HL19" i="65"/>
  <c r="HO19" i="65"/>
  <c r="HL20" i="65"/>
  <c r="HO20" i="65"/>
  <c r="HL21" i="65"/>
  <c r="HO21" i="65"/>
  <c r="HL22" i="65"/>
  <c r="HO22" i="65"/>
  <c r="HL23" i="65"/>
  <c r="HO23" i="65"/>
  <c r="HL24" i="65"/>
  <c r="HO24" i="65"/>
  <c r="HL25" i="65"/>
  <c r="HO25" i="65"/>
  <c r="HL26" i="65"/>
  <c r="HO26" i="65"/>
  <c r="HL27" i="65"/>
  <c r="HO27" i="65"/>
  <c r="HL28" i="65"/>
  <c r="HO28" i="65"/>
  <c r="HL29" i="65"/>
  <c r="HO29" i="65"/>
  <c r="HL30" i="65"/>
  <c r="HO30" i="65"/>
  <c r="HL31" i="65"/>
  <c r="HO31" i="65"/>
  <c r="HL32" i="65"/>
  <c r="HO32" i="65"/>
  <c r="HL33" i="65"/>
  <c r="HO33" i="65"/>
  <c r="HL34" i="65"/>
  <c r="HO34" i="65"/>
  <c r="HL35" i="65"/>
  <c r="HO35" i="65"/>
  <c r="HL36" i="65"/>
  <c r="HO36" i="65"/>
  <c r="HL37" i="65"/>
  <c r="HO37" i="65"/>
  <c r="HL38" i="65"/>
  <c r="HO38" i="65"/>
  <c r="HL39" i="65"/>
  <c r="HO39" i="65"/>
  <c r="HL40" i="65"/>
  <c r="HO40" i="65"/>
  <c r="HL41" i="65"/>
  <c r="HO41" i="65"/>
  <c r="HL42" i="65"/>
  <c r="HO42" i="65"/>
  <c r="HL43" i="65"/>
  <c r="HO43" i="65"/>
  <c r="HL44" i="65"/>
  <c r="HO44" i="65"/>
  <c r="HL45" i="65"/>
  <c r="HO45" i="65"/>
  <c r="HL46" i="65"/>
  <c r="HO46" i="65"/>
  <c r="HL47" i="65"/>
  <c r="HO47" i="65"/>
  <c r="HL48" i="65"/>
  <c r="HO48" i="65"/>
  <c r="HL49" i="65"/>
  <c r="HO49" i="65"/>
  <c r="HL50" i="65"/>
  <c r="HO50" i="65"/>
  <c r="HL51" i="65"/>
  <c r="HO51" i="65"/>
  <c r="HL52" i="65"/>
  <c r="HO52" i="65"/>
  <c r="HL53" i="65"/>
  <c r="HO53" i="65"/>
  <c r="HL54" i="65"/>
  <c r="HO54" i="65"/>
  <c r="HL55" i="65"/>
  <c r="HO55" i="65"/>
  <c r="HL56" i="65"/>
  <c r="HO56" i="65"/>
  <c r="HL57" i="65"/>
  <c r="HO57" i="65"/>
  <c r="HL58" i="65"/>
  <c r="HO58" i="65"/>
  <c r="HL59" i="65"/>
  <c r="HO59" i="65"/>
  <c r="HL60" i="65"/>
  <c r="HO60" i="65"/>
  <c r="HL61" i="65"/>
  <c r="HO61" i="65"/>
  <c r="HL62" i="65"/>
  <c r="HO62" i="65"/>
  <c r="HL63" i="65"/>
  <c r="HO63" i="65"/>
  <c r="HL64" i="65"/>
  <c r="HO64" i="65"/>
  <c r="HL65" i="65"/>
  <c r="HO65" i="65"/>
  <c r="HL66" i="65"/>
  <c r="HO66" i="65"/>
  <c r="HL67" i="65"/>
  <c r="HO67" i="65"/>
  <c r="HL68" i="65"/>
  <c r="HO68" i="65"/>
  <c r="HL69" i="65"/>
  <c r="HO69" i="65"/>
  <c r="HL70" i="65"/>
  <c r="HO70" i="65"/>
  <c r="HL71" i="65"/>
  <c r="HO71" i="65"/>
  <c r="HL72" i="65"/>
  <c r="HO72" i="65"/>
  <c r="HL73" i="65"/>
  <c r="HO73" i="65"/>
  <c r="HL74" i="65"/>
  <c r="HO74" i="65"/>
  <c r="HL75" i="65"/>
  <c r="HO75" i="65"/>
  <c r="HL76" i="65"/>
  <c r="HO76" i="65"/>
  <c r="HL77" i="65"/>
  <c r="HO77" i="65"/>
  <c r="HL78" i="65"/>
  <c r="HO78" i="65"/>
  <c r="HL79" i="65"/>
  <c r="HO79" i="65"/>
  <c r="HL80" i="65"/>
  <c r="HO80" i="65"/>
  <c r="HL81" i="65"/>
  <c r="HO81" i="65"/>
  <c r="HL82" i="65"/>
  <c r="HO82" i="65"/>
  <c r="HL83" i="65"/>
  <c r="HO83" i="65"/>
  <c r="HL84" i="65"/>
  <c r="HO84" i="65"/>
  <c r="HL85" i="65"/>
  <c r="HO85" i="65"/>
  <c r="HL86" i="65"/>
  <c r="HO86" i="65"/>
  <c r="HL87" i="65"/>
  <c r="HO87" i="65"/>
  <c r="HL88" i="65"/>
  <c r="HO88" i="65"/>
  <c r="HL89" i="65"/>
  <c r="HO89" i="65"/>
  <c r="HL90" i="65"/>
  <c r="HO90" i="65"/>
  <c r="HL91" i="65"/>
  <c r="HO91" i="65"/>
  <c r="HL92" i="65"/>
  <c r="HO92" i="65"/>
  <c r="HL93" i="65"/>
  <c r="HO93" i="65"/>
  <c r="HL94" i="65"/>
  <c r="HO94" i="65"/>
  <c r="HL95" i="65"/>
  <c r="HO95" i="65"/>
  <c r="HL96" i="65"/>
  <c r="HO96" i="65"/>
  <c r="HL97" i="65"/>
  <c r="HO97" i="65"/>
  <c r="HL98" i="65"/>
  <c r="HO98" i="65"/>
  <c r="HL99" i="65"/>
  <c r="HO99" i="65"/>
  <c r="HL100" i="65"/>
  <c r="HO100" i="65"/>
  <c r="HL101" i="65"/>
  <c r="HO101" i="65"/>
  <c r="HL102" i="65"/>
  <c r="HO102" i="65"/>
  <c r="HL103" i="65"/>
  <c r="HO103" i="65"/>
  <c r="HL104" i="65"/>
  <c r="HO104" i="65"/>
  <c r="HL105" i="65"/>
  <c r="HO105" i="65"/>
  <c r="HL106" i="65"/>
  <c r="HO106" i="65"/>
  <c r="HL107" i="65"/>
  <c r="HO107" i="65"/>
  <c r="HL108" i="65"/>
  <c r="HO108" i="65"/>
  <c r="HL109" i="65"/>
  <c r="HO109" i="65"/>
  <c r="HL110" i="65"/>
  <c r="HO110" i="65"/>
  <c r="HL111" i="65"/>
  <c r="HO111" i="65"/>
  <c r="HL112" i="65"/>
  <c r="HO112" i="65"/>
  <c r="HL113" i="65"/>
  <c r="HO113" i="65"/>
  <c r="HL114" i="65"/>
  <c r="HO114" i="65"/>
  <c r="HL115" i="65"/>
  <c r="HO115" i="65"/>
  <c r="HL116" i="65"/>
  <c r="HO116" i="65"/>
  <c r="HL117" i="65"/>
  <c r="HO117" i="65"/>
  <c r="HL118" i="65"/>
  <c r="HO118" i="65"/>
  <c r="HL119" i="65"/>
  <c r="HO119" i="65"/>
  <c r="HL120" i="65"/>
  <c r="HO120" i="65"/>
  <c r="HL121" i="65"/>
  <c r="HO121" i="65"/>
  <c r="HL122" i="65"/>
  <c r="HO122" i="65"/>
  <c r="HL123" i="65"/>
  <c r="HO123" i="65"/>
  <c r="HL124" i="65"/>
  <c r="HO124" i="65"/>
  <c r="HL125" i="65"/>
  <c r="HO125" i="65"/>
  <c r="HL126" i="65"/>
  <c r="HO126" i="65"/>
  <c r="HL127" i="65"/>
  <c r="HO127" i="65"/>
  <c r="HL128" i="65"/>
  <c r="HO128" i="65"/>
  <c r="HL129" i="65"/>
  <c r="HO129" i="65"/>
  <c r="HL130" i="65"/>
  <c r="HO130" i="65"/>
  <c r="HL131" i="65"/>
  <c r="HO131" i="65"/>
  <c r="HL132" i="65"/>
  <c r="HO132" i="65"/>
  <c r="HL133" i="65"/>
  <c r="HO133" i="65"/>
  <c r="HL134" i="65"/>
  <c r="HO134" i="65"/>
  <c r="HL135" i="65"/>
  <c r="HO135" i="65"/>
  <c r="HL136" i="65"/>
  <c r="HO136" i="65"/>
  <c r="HL137" i="65"/>
  <c r="HO137" i="65"/>
  <c r="HL138" i="65"/>
  <c r="HO138" i="65"/>
  <c r="HL139" i="65"/>
  <c r="HO139" i="65"/>
  <c r="HL140" i="65"/>
  <c r="HO140" i="65"/>
  <c r="HL141" i="65"/>
  <c r="HO141" i="65"/>
  <c r="HL142" i="65"/>
  <c r="HO142" i="65"/>
  <c r="HL143" i="65"/>
  <c r="HO143" i="65"/>
  <c r="HL144" i="65"/>
  <c r="HO144" i="65"/>
  <c r="HL145" i="65"/>
  <c r="HO145" i="65"/>
  <c r="HL146" i="65"/>
  <c r="HO146" i="65"/>
  <c r="HL147" i="65"/>
  <c r="HO147" i="65"/>
  <c r="HL148" i="65"/>
  <c r="HO148" i="65"/>
  <c r="HL149" i="65"/>
  <c r="HO149" i="65"/>
  <c r="HL150" i="65"/>
  <c r="HO150" i="65"/>
  <c r="HL151" i="65"/>
  <c r="HO151" i="65"/>
  <c r="HL152" i="65"/>
  <c r="HO152" i="65"/>
  <c r="HL153" i="65"/>
  <c r="HO153" i="65"/>
  <c r="HL154" i="65"/>
  <c r="HO154" i="65"/>
  <c r="HL155" i="65"/>
  <c r="HO155" i="65"/>
  <c r="HL156" i="65"/>
  <c r="HO156" i="65"/>
  <c r="HL157" i="65"/>
  <c r="HO157" i="65"/>
  <c r="HL158" i="65"/>
  <c r="HO158" i="65"/>
  <c r="HL159" i="65"/>
  <c r="HO159" i="65"/>
  <c r="HL160" i="65"/>
  <c r="HO160" i="65"/>
  <c r="HL161" i="65"/>
  <c r="HO161" i="65"/>
  <c r="HL162" i="65"/>
  <c r="HO162" i="65"/>
  <c r="HL163" i="65"/>
  <c r="HO163" i="65"/>
  <c r="HL164" i="65"/>
  <c r="HO164" i="65"/>
  <c r="HL165" i="65"/>
  <c r="HO165" i="65"/>
  <c r="HL166" i="65"/>
  <c r="HO166" i="65"/>
  <c r="HL167" i="65"/>
  <c r="HO167" i="65"/>
  <c r="HL168" i="65"/>
  <c r="HO168" i="65"/>
  <c r="HL169" i="65"/>
  <c r="HO169" i="65"/>
  <c r="HL170" i="65"/>
  <c r="HO170" i="65"/>
  <c r="HL171" i="65"/>
  <c r="HO171" i="65"/>
  <c r="HL172" i="65"/>
  <c r="HO172" i="65"/>
  <c r="HL173" i="65"/>
  <c r="HO173" i="65"/>
  <c r="HL174" i="65"/>
  <c r="HO174" i="65"/>
  <c r="HL175" i="65"/>
  <c r="HO175" i="65"/>
  <c r="HL176" i="65"/>
  <c r="HO176" i="65"/>
  <c r="HL177" i="65"/>
  <c r="HO177" i="65"/>
  <c r="HL178" i="65"/>
  <c r="HO178" i="65"/>
  <c r="HL179" i="65"/>
  <c r="HO179" i="65"/>
  <c r="HL180" i="65"/>
  <c r="HO180" i="65"/>
  <c r="HL181" i="65"/>
  <c r="HO181" i="65"/>
  <c r="HL182" i="65"/>
  <c r="HO182" i="65"/>
  <c r="HL183" i="65"/>
  <c r="HO183" i="65"/>
  <c r="HL184" i="65"/>
  <c r="HO184" i="65"/>
  <c r="HL185" i="65"/>
  <c r="HO185" i="65"/>
  <c r="HL186" i="65"/>
  <c r="HO186" i="65"/>
  <c r="HL187" i="65"/>
  <c r="HO187" i="65"/>
  <c r="HL188" i="65"/>
  <c r="HO188" i="65"/>
  <c r="HL189" i="65"/>
  <c r="HO189" i="65"/>
  <c r="HL190" i="65"/>
  <c r="HO190" i="65"/>
  <c r="HL191" i="65"/>
  <c r="HO191" i="65"/>
  <c r="HL192" i="65"/>
  <c r="HO192" i="65"/>
  <c r="HL193" i="65"/>
  <c r="HO193" i="65"/>
  <c r="HL194" i="65"/>
  <c r="HO194" i="65"/>
  <c r="HL195" i="65"/>
  <c r="HO195" i="65"/>
  <c r="HL196" i="65"/>
  <c r="HO196" i="65"/>
  <c r="HL197" i="65"/>
  <c r="HO197" i="65"/>
  <c r="HL198" i="65"/>
  <c r="HO198" i="65"/>
  <c r="HL199" i="65"/>
  <c r="HO199" i="65"/>
  <c r="HL200" i="65"/>
  <c r="HO200" i="65"/>
  <c r="HL201" i="65"/>
  <c r="HO201" i="65"/>
  <c r="HL202" i="65"/>
  <c r="HO202" i="65"/>
  <c r="HL203" i="65"/>
  <c r="HO203" i="65"/>
  <c r="HL204" i="65"/>
  <c r="HO204" i="65"/>
  <c r="HL205" i="65"/>
  <c r="HO205" i="65"/>
  <c r="HL206" i="65"/>
  <c r="HO206" i="65"/>
  <c r="HL207" i="65"/>
  <c r="HO207" i="65"/>
  <c r="HL208" i="65"/>
  <c r="HO208" i="65"/>
  <c r="HL209" i="65"/>
  <c r="HO209" i="65"/>
  <c r="HL210" i="65"/>
  <c r="HO210" i="65"/>
  <c r="HL211" i="65"/>
  <c r="HO211" i="65"/>
  <c r="HL212" i="65"/>
  <c r="HO212" i="65"/>
  <c r="HL213" i="65"/>
  <c r="HO213" i="65"/>
  <c r="HL214" i="65"/>
  <c r="HO214" i="65"/>
  <c r="HL215" i="65"/>
  <c r="HO215" i="65"/>
  <c r="HL216" i="65"/>
  <c r="HO216" i="65"/>
  <c r="HL217" i="65"/>
  <c r="HO217" i="65"/>
  <c r="HL218" i="65"/>
  <c r="HO218" i="65"/>
  <c r="HL219" i="65"/>
  <c r="HO219" i="65"/>
  <c r="HL220" i="65"/>
  <c r="HO220" i="65"/>
  <c r="HL221" i="65"/>
  <c r="HO221" i="65"/>
  <c r="HL222" i="65"/>
  <c r="HO222" i="65"/>
  <c r="HL223" i="65"/>
  <c r="HO223" i="65"/>
  <c r="HL224" i="65"/>
  <c r="HO224" i="65"/>
  <c r="HL225" i="65"/>
  <c r="HO225" i="65"/>
  <c r="HL226" i="65"/>
  <c r="HO226" i="65"/>
  <c r="HL227" i="65"/>
  <c r="HO227" i="65"/>
  <c r="HL228" i="65"/>
  <c r="HO228" i="65"/>
  <c r="HL229" i="65"/>
  <c r="HO229" i="65"/>
  <c r="HL230" i="65"/>
  <c r="HO230" i="65"/>
  <c r="HL231" i="65"/>
  <c r="HO231" i="65"/>
  <c r="HL232" i="65"/>
  <c r="HO232" i="65"/>
  <c r="HL233" i="65"/>
  <c r="HO233" i="65"/>
  <c r="HL234" i="65"/>
  <c r="HO234" i="65"/>
  <c r="HL235" i="65"/>
  <c r="HO235" i="65"/>
  <c r="HL236" i="65"/>
  <c r="HO236" i="65"/>
  <c r="HL237" i="65"/>
  <c r="HO237" i="65"/>
  <c r="HL238" i="65"/>
  <c r="HO238" i="65"/>
  <c r="HL239" i="65"/>
  <c r="HO239" i="65"/>
  <c r="HL240" i="65"/>
  <c r="HO240" i="65"/>
  <c r="HL241" i="65"/>
  <c r="HO241" i="65"/>
  <c r="HL242" i="65"/>
  <c r="HO242" i="65"/>
  <c r="HL243" i="65"/>
  <c r="HO243" i="65"/>
  <c r="HL244" i="65"/>
  <c r="HO244" i="65"/>
  <c r="HL245" i="65"/>
  <c r="HO245" i="65"/>
  <c r="HL246" i="65"/>
  <c r="HO246" i="65"/>
  <c r="HL247" i="65"/>
  <c r="HO247" i="65"/>
  <c r="HL248" i="65"/>
  <c r="HO248" i="65"/>
  <c r="HL249" i="65"/>
  <c r="HO249" i="65"/>
  <c r="HL250" i="65"/>
  <c r="HO250" i="65"/>
  <c r="HL251" i="65"/>
  <c r="HO251" i="65"/>
  <c r="HL252" i="65"/>
  <c r="HO252" i="65"/>
  <c r="HL253" i="65"/>
  <c r="HO253" i="65"/>
  <c r="HL254" i="65"/>
  <c r="HO254" i="65"/>
  <c r="HL255" i="65"/>
  <c r="HO255" i="65"/>
  <c r="HL256" i="65"/>
  <c r="HO256" i="65"/>
  <c r="HL257" i="65"/>
  <c r="HO257" i="65"/>
  <c r="HL258" i="65"/>
  <c r="HO258" i="65"/>
  <c r="HL259" i="65"/>
  <c r="HO259" i="65"/>
  <c r="HL260" i="65"/>
  <c r="HO260" i="65"/>
  <c r="HL261" i="65"/>
  <c r="HO261" i="65"/>
  <c r="HL262" i="65"/>
  <c r="HO262" i="65"/>
  <c r="HL263" i="65"/>
  <c r="HO263" i="65"/>
  <c r="HL264" i="65"/>
  <c r="HO264" i="65"/>
  <c r="HL265" i="65"/>
  <c r="HO265" i="65"/>
  <c r="HL266" i="65"/>
  <c r="HO266" i="65"/>
  <c r="HL267" i="65"/>
  <c r="HO267" i="65"/>
  <c r="HL268" i="65"/>
  <c r="HO268" i="65"/>
  <c r="HL269" i="65"/>
  <c r="HO269" i="65"/>
  <c r="HL270" i="65"/>
  <c r="HO270" i="65"/>
  <c r="HL271" i="65"/>
  <c r="HO271" i="65"/>
  <c r="HL272" i="65"/>
  <c r="HO272" i="65"/>
  <c r="HL273" i="65"/>
  <c r="HO273" i="65"/>
  <c r="HL274" i="65"/>
  <c r="HO274" i="65"/>
  <c r="HL275" i="65"/>
  <c r="HO275" i="65"/>
  <c r="HL276" i="65"/>
  <c r="HO276" i="65"/>
  <c r="HL277" i="65"/>
  <c r="HO277" i="65"/>
  <c r="HL278" i="65"/>
  <c r="HO278" i="65"/>
  <c r="HL279" i="65"/>
  <c r="HO279" i="65"/>
  <c r="HL280" i="65"/>
  <c r="HO280" i="65"/>
  <c r="HL281" i="65"/>
  <c r="HO281" i="65"/>
  <c r="HL282" i="65"/>
  <c r="HO282" i="65"/>
  <c r="HL283" i="65"/>
  <c r="HO283" i="65"/>
  <c r="HL284" i="65"/>
  <c r="HO284" i="65"/>
  <c r="HL285" i="65"/>
  <c r="HO285" i="65"/>
  <c r="HL286" i="65"/>
  <c r="HO286" i="65"/>
  <c r="HL287" i="65"/>
  <c r="HO287" i="65"/>
  <c r="HL288" i="65"/>
  <c r="HO288" i="65"/>
  <c r="HL289" i="65"/>
  <c r="HO289" i="65"/>
  <c r="HL290" i="65"/>
  <c r="HO290" i="65"/>
  <c r="HL291" i="65"/>
  <c r="HO291" i="65"/>
  <c r="HL292" i="65"/>
  <c r="HO292" i="65"/>
  <c r="HL293" i="65"/>
  <c r="HO293" i="65"/>
  <c r="HL294" i="65"/>
  <c r="HO294" i="65"/>
  <c r="HL295" i="65"/>
  <c r="HO295" i="65"/>
  <c r="HL296" i="65"/>
  <c r="HO296" i="65"/>
  <c r="HL297" i="65"/>
  <c r="HO297" i="65"/>
  <c r="HL298" i="65"/>
  <c r="HO298" i="65"/>
  <c r="HL299" i="65"/>
  <c r="HO299" i="65"/>
  <c r="HL300" i="65"/>
  <c r="HO300" i="65"/>
  <c r="HL301" i="65"/>
  <c r="HO301" i="65"/>
  <c r="HL302" i="65"/>
  <c r="HO302" i="65"/>
  <c r="HL303" i="65"/>
  <c r="HO303" i="65"/>
  <c r="HL304" i="65"/>
  <c r="HO304" i="65"/>
  <c r="HL305" i="65"/>
  <c r="HO305" i="65"/>
  <c r="HL306" i="65"/>
  <c r="HO306" i="65"/>
  <c r="HL307" i="65"/>
  <c r="HO307" i="65"/>
  <c r="HL308" i="65"/>
  <c r="HO308" i="65"/>
  <c r="HL309" i="65"/>
  <c r="HO309" i="65"/>
  <c r="HL310" i="65"/>
  <c r="HO310" i="65"/>
  <c r="HL311" i="65"/>
  <c r="HO311" i="65"/>
  <c r="HL312" i="65"/>
  <c r="HO312" i="65"/>
  <c r="HL313" i="65"/>
  <c r="HO313" i="65"/>
  <c r="HL314" i="65"/>
  <c r="HO314" i="65"/>
  <c r="HL315" i="65"/>
  <c r="HO315" i="65"/>
  <c r="HL316" i="65"/>
  <c r="HO316" i="65"/>
  <c r="HL317" i="65"/>
  <c r="HO317" i="65"/>
  <c r="HL318" i="65"/>
  <c r="HO318" i="65"/>
  <c r="HL319" i="65"/>
  <c r="HO319" i="65"/>
  <c r="HL320" i="65"/>
  <c r="HO320" i="65"/>
  <c r="HL321" i="65"/>
  <c r="HO321" i="65"/>
  <c r="HL322" i="65"/>
  <c r="HO322" i="65"/>
  <c r="HL323" i="65"/>
  <c r="HO323" i="65"/>
  <c r="HL324" i="65"/>
  <c r="HO324" i="65"/>
  <c r="HL325" i="65"/>
  <c r="HO325" i="65"/>
  <c r="HL326" i="65"/>
  <c r="HO326" i="65"/>
  <c r="HL327" i="65"/>
  <c r="HO327" i="65"/>
  <c r="HL328" i="65"/>
  <c r="HO328" i="65"/>
  <c r="HL329" i="65"/>
  <c r="HO329" i="65"/>
  <c r="HL330" i="65"/>
  <c r="HO330" i="65"/>
  <c r="HL331" i="65"/>
  <c r="HO331" i="65"/>
  <c r="HL332" i="65"/>
  <c r="HO332" i="65"/>
  <c r="HL333" i="65"/>
  <c r="HO333" i="65"/>
  <c r="HL334" i="65"/>
  <c r="HO334" i="65"/>
  <c r="HL335" i="65"/>
  <c r="HO335" i="65"/>
  <c r="HL336" i="65"/>
  <c r="HO336" i="65"/>
  <c r="HL337" i="65"/>
  <c r="HO337" i="65"/>
  <c r="HL338" i="65"/>
  <c r="HO338" i="65"/>
  <c r="HL339" i="65"/>
  <c r="HO339" i="65"/>
  <c r="HL340" i="65"/>
  <c r="HO340" i="65"/>
  <c r="HL341" i="65"/>
  <c r="HO341" i="65"/>
  <c r="HL342" i="65"/>
  <c r="HO342" i="65"/>
  <c r="HL343" i="65"/>
  <c r="HO343" i="65"/>
  <c r="HL344" i="65"/>
  <c r="HO344" i="65"/>
  <c r="HL345" i="65"/>
  <c r="HO345" i="65"/>
  <c r="HL346" i="65"/>
  <c r="HO346" i="65"/>
  <c r="HL347" i="65"/>
  <c r="HO347" i="65"/>
  <c r="HL348" i="65"/>
  <c r="HO348" i="65"/>
  <c r="HL349" i="65"/>
  <c r="HO349" i="65"/>
  <c r="HL350" i="65"/>
  <c r="HO350" i="65"/>
  <c r="HL351" i="65"/>
  <c r="HO351" i="65"/>
  <c r="HL352" i="65"/>
  <c r="HO352" i="65"/>
  <c r="HL353" i="65"/>
  <c r="HO353" i="65"/>
  <c r="HL354" i="65"/>
  <c r="HO354" i="65"/>
  <c r="HL355" i="65"/>
  <c r="HO355" i="65"/>
  <c r="HL356" i="65"/>
  <c r="HO356" i="65"/>
  <c r="HL357" i="65"/>
  <c r="HO357" i="65"/>
  <c r="HL358" i="65"/>
  <c r="HO358" i="65"/>
  <c r="HL359" i="65"/>
  <c r="HO359" i="65"/>
  <c r="HL360" i="65"/>
  <c r="HO360" i="65"/>
  <c r="HL361" i="65"/>
  <c r="HO361" i="65"/>
  <c r="HL362" i="65"/>
  <c r="HO362" i="65"/>
  <c r="HL363" i="65"/>
  <c r="HO363" i="65"/>
  <c r="HL364" i="65"/>
  <c r="HO364" i="65"/>
  <c r="HL365" i="65"/>
  <c r="HO365" i="65"/>
  <c r="HL366" i="65"/>
  <c r="HO366" i="65"/>
  <c r="HL367" i="65"/>
  <c r="HO367" i="65"/>
  <c r="HL368" i="65"/>
  <c r="HO368" i="65"/>
  <c r="HL369" i="65"/>
  <c r="HO369" i="65"/>
  <c r="HL370" i="65"/>
  <c r="HO370" i="65"/>
  <c r="HL371" i="65"/>
  <c r="HO371" i="65"/>
  <c r="HL372" i="65"/>
  <c r="HO372" i="65"/>
  <c r="HL373" i="65"/>
  <c r="HO373" i="65"/>
  <c r="HL374" i="65"/>
  <c r="HO374" i="65"/>
  <c r="HL375" i="65"/>
  <c r="HO375" i="65"/>
  <c r="HL376" i="65"/>
  <c r="HO376" i="65"/>
  <c r="HL377" i="65"/>
  <c r="HO377" i="65"/>
  <c r="HL378" i="65"/>
  <c r="HO378" i="65"/>
  <c r="HL379" i="65"/>
  <c r="HO379" i="65"/>
  <c r="HL380" i="65"/>
  <c r="HO380" i="65"/>
  <c r="HL381" i="65"/>
  <c r="HO381" i="65"/>
  <c r="HL382" i="65"/>
  <c r="HO382" i="65"/>
  <c r="HL383" i="65"/>
  <c r="HO383" i="65"/>
  <c r="HL384" i="65"/>
  <c r="HO384" i="65"/>
  <c r="HL385" i="65"/>
  <c r="HO385" i="65"/>
  <c r="HL386" i="65"/>
  <c r="HO386" i="65"/>
  <c r="HL387" i="65"/>
  <c r="HO387" i="65"/>
  <c r="HL388" i="65"/>
  <c r="HO388" i="65"/>
  <c r="HL389" i="65"/>
  <c r="HO389" i="65"/>
  <c r="HL390" i="65"/>
  <c r="HO390" i="65"/>
  <c r="HL391" i="65"/>
  <c r="HO391" i="65"/>
  <c r="HL392" i="65"/>
  <c r="HO392" i="65"/>
  <c r="HL393" i="65"/>
  <c r="HO393" i="65"/>
  <c r="HL394" i="65"/>
  <c r="HO394" i="65"/>
  <c r="HL395" i="65"/>
  <c r="HO395" i="65"/>
  <c r="HL396" i="65"/>
  <c r="HO396" i="65"/>
  <c r="HL397" i="65"/>
  <c r="HO397" i="65"/>
  <c r="HL398" i="65"/>
  <c r="HO398" i="65"/>
  <c r="HL399" i="65"/>
  <c r="HO399" i="65"/>
  <c r="HL400" i="65"/>
  <c r="HO400" i="65"/>
  <c r="HL401" i="65"/>
  <c r="HO401" i="65"/>
  <c r="HL402" i="65"/>
  <c r="HO402" i="65"/>
  <c r="HL403" i="65"/>
  <c r="HO403" i="65"/>
  <c r="HL404" i="65"/>
  <c r="HO404" i="65"/>
  <c r="HL405" i="65"/>
  <c r="HO405" i="65"/>
  <c r="HL406" i="65"/>
  <c r="HO406" i="65"/>
  <c r="HL407" i="65"/>
  <c r="HO407" i="65"/>
  <c r="HL408" i="65"/>
  <c r="HO408" i="65"/>
  <c r="HL409" i="65"/>
  <c r="HO409" i="65"/>
  <c r="HL410" i="65"/>
  <c r="HO410" i="65"/>
  <c r="HL411" i="65"/>
  <c r="HO411" i="65"/>
  <c r="HL412" i="65"/>
  <c r="HO412" i="65"/>
  <c r="HL413" i="65"/>
  <c r="HO413" i="65"/>
  <c r="HL414" i="65"/>
  <c r="HO414" i="65"/>
  <c r="HL415" i="65"/>
  <c r="HO415" i="65"/>
  <c r="HL416" i="65"/>
  <c r="HO416" i="65"/>
  <c r="HL417" i="65"/>
  <c r="HO417" i="65"/>
  <c r="HL418" i="65"/>
  <c r="HO418" i="65"/>
  <c r="HL419" i="65"/>
  <c r="HO419" i="65"/>
  <c r="HL420" i="65"/>
  <c r="HO420" i="65"/>
  <c r="HL421" i="65"/>
  <c r="HO421" i="65"/>
  <c r="HL422" i="65"/>
  <c r="HO422" i="65"/>
  <c r="HL423" i="65"/>
  <c r="HO423" i="65"/>
  <c r="HL424" i="65"/>
  <c r="HO424" i="65"/>
  <c r="HL425" i="65"/>
  <c r="HO425" i="65"/>
  <c r="HL426" i="65"/>
  <c r="HO426" i="65"/>
  <c r="HL427" i="65"/>
  <c r="HO427" i="65"/>
  <c r="HL428" i="65"/>
  <c r="HO428" i="65"/>
  <c r="HL429" i="65"/>
  <c r="HO429" i="65"/>
  <c r="HL430" i="65"/>
  <c r="HO430" i="65"/>
  <c r="HL431" i="65"/>
  <c r="HO431" i="65"/>
  <c r="HL432" i="65"/>
  <c r="HO432" i="65"/>
  <c r="HL433" i="65"/>
  <c r="HO433" i="65"/>
  <c r="HL434" i="65"/>
  <c r="HO434" i="65"/>
  <c r="HL435" i="65"/>
  <c r="HO435" i="65"/>
  <c r="HL436" i="65"/>
  <c r="HO436" i="65"/>
  <c r="HL437" i="65"/>
  <c r="HO437" i="65"/>
  <c r="HL438" i="65"/>
  <c r="HO438" i="65"/>
  <c r="HL439" i="65"/>
  <c r="HO439" i="65"/>
  <c r="HL440" i="65"/>
  <c r="HO440" i="65"/>
  <c r="HL441" i="65"/>
  <c r="HO441" i="65"/>
  <c r="HL442" i="65"/>
  <c r="HO442" i="65"/>
  <c r="HL443" i="65"/>
  <c r="HO443" i="65"/>
  <c r="HL444" i="65"/>
  <c r="HO444" i="65"/>
  <c r="HL445" i="65"/>
  <c r="HO445" i="65"/>
  <c r="HL446" i="65"/>
  <c r="HO446" i="65"/>
  <c r="HL447" i="65"/>
  <c r="HO447" i="65"/>
  <c r="HL448" i="65"/>
  <c r="HO448" i="65"/>
  <c r="HL449" i="65"/>
  <c r="HO449" i="65"/>
  <c r="HL450" i="65"/>
  <c r="HO450" i="65"/>
  <c r="HL451" i="65"/>
  <c r="HO451" i="65"/>
  <c r="HL452" i="65"/>
  <c r="HO452" i="65"/>
  <c r="HL453" i="65"/>
  <c r="HO453" i="65"/>
  <c r="HL454" i="65"/>
  <c r="HO454" i="65"/>
  <c r="HL455" i="65"/>
  <c r="HO455" i="65"/>
  <c r="HL456" i="65"/>
  <c r="HO456" i="65"/>
  <c r="HL457" i="65"/>
  <c r="HO457" i="65"/>
  <c r="HL458" i="65"/>
  <c r="HO458" i="65"/>
  <c r="HL459" i="65"/>
  <c r="HO459" i="65"/>
  <c r="HL460" i="65"/>
  <c r="HO460" i="65"/>
  <c r="HL461" i="65"/>
  <c r="HO461" i="65"/>
  <c r="HL462" i="65"/>
  <c r="HO462" i="65"/>
  <c r="HL463" i="65"/>
  <c r="HO463" i="65"/>
  <c r="HL464" i="65"/>
  <c r="HO464" i="65"/>
  <c r="HL465" i="65"/>
  <c r="HO465" i="65"/>
  <c r="HL466" i="65"/>
  <c r="HO466" i="65"/>
  <c r="HL467" i="65"/>
  <c r="HO467" i="65"/>
  <c r="HL468" i="65"/>
  <c r="HO468" i="65"/>
  <c r="HL469" i="65"/>
  <c r="HO469" i="65"/>
  <c r="HL470" i="65"/>
  <c r="HO470" i="65"/>
  <c r="HL471" i="65"/>
  <c r="HO471" i="65"/>
  <c r="HL472" i="65"/>
  <c r="HO472" i="65"/>
  <c r="HL473" i="65"/>
  <c r="HO473" i="65"/>
  <c r="HL474" i="65"/>
  <c r="HO474" i="65"/>
  <c r="HL475" i="65"/>
  <c r="HO475" i="65"/>
  <c r="HL476" i="65"/>
  <c r="HO476" i="65"/>
  <c r="HL477" i="65"/>
  <c r="HO477" i="65"/>
  <c r="HL478" i="65"/>
  <c r="HO478" i="65"/>
  <c r="HL479" i="65"/>
  <c r="HO479" i="65"/>
  <c r="HL480" i="65"/>
  <c r="HO480" i="65"/>
  <c r="HL481" i="65"/>
  <c r="HO481" i="65"/>
  <c r="HL482" i="65"/>
  <c r="HO482" i="65"/>
  <c r="HL483" i="65"/>
  <c r="HO483" i="65"/>
  <c r="HL484" i="65"/>
  <c r="HO484" i="65"/>
  <c r="HL485" i="65"/>
  <c r="HO485" i="65"/>
  <c r="HL486" i="65"/>
  <c r="HO486" i="65"/>
  <c r="HL487" i="65"/>
  <c r="HO487" i="65"/>
  <c r="HL488" i="65"/>
  <c r="HO488" i="65"/>
  <c r="HL489" i="65"/>
  <c r="HO489" i="65"/>
  <c r="HL490" i="65"/>
  <c r="HO490" i="65"/>
  <c r="HL491" i="65"/>
  <c r="HO491" i="65"/>
  <c r="HL492" i="65"/>
  <c r="HO492" i="65"/>
  <c r="HL493" i="65"/>
  <c r="HO493" i="65"/>
  <c r="HL494" i="65"/>
  <c r="HO494" i="65"/>
  <c r="HL495" i="65"/>
  <c r="HO495" i="65"/>
  <c r="HL496" i="65"/>
  <c r="HO496" i="65"/>
  <c r="HL497" i="65"/>
  <c r="HO497" i="65"/>
  <c r="HL498" i="65"/>
  <c r="HO498" i="65"/>
  <c r="HL499" i="65"/>
  <c r="HO499" i="65"/>
  <c r="HL500" i="65"/>
  <c r="HO500" i="65"/>
  <c r="HL501" i="65"/>
  <c r="HO501" i="65"/>
  <c r="HL502" i="65"/>
  <c r="HO502" i="65"/>
  <c r="HL503" i="65"/>
  <c r="HO503" i="65"/>
  <c r="HL504" i="65"/>
  <c r="HO504" i="65"/>
  <c r="HL505" i="65"/>
  <c r="HO505" i="65"/>
  <c r="HL506" i="65"/>
  <c r="HO506" i="65"/>
  <c r="HL507" i="65"/>
  <c r="HO507" i="65"/>
  <c r="HL508" i="65"/>
  <c r="HO508" i="65"/>
  <c r="HL509" i="65"/>
  <c r="HO509" i="65"/>
  <c r="HL510" i="65"/>
  <c r="HO510" i="65"/>
  <c r="HL511" i="65"/>
  <c r="HO511" i="65"/>
  <c r="HL512" i="65"/>
  <c r="HO512" i="65"/>
  <c r="HL513" i="65"/>
  <c r="HO513" i="65"/>
  <c r="HL514" i="65"/>
  <c r="HO514" i="65"/>
  <c r="HL515" i="65"/>
  <c r="HO515" i="65"/>
  <c r="HL516" i="65"/>
  <c r="HO516" i="65"/>
  <c r="HL517" i="65"/>
  <c r="HO517" i="65"/>
  <c r="HL518" i="65"/>
  <c r="HO518" i="65"/>
  <c r="HL519" i="65"/>
  <c r="HO519" i="65"/>
  <c r="HL520" i="65"/>
  <c r="HO520" i="65"/>
  <c r="HL521" i="65"/>
  <c r="HO521" i="65"/>
  <c r="HL522" i="65"/>
  <c r="HO522" i="65"/>
  <c r="HL523" i="65"/>
  <c r="HO523" i="65"/>
  <c r="HL524" i="65"/>
  <c r="HO524" i="65"/>
  <c r="HL525" i="65"/>
  <c r="HO525" i="65"/>
  <c r="HL526" i="65"/>
  <c r="HO526" i="65"/>
  <c r="HL527" i="65"/>
  <c r="HO527" i="65"/>
  <c r="HL528" i="65"/>
  <c r="HO528" i="65"/>
  <c r="HL529" i="65"/>
  <c r="HO529" i="65"/>
  <c r="HL530" i="65"/>
  <c r="HO530" i="65"/>
  <c r="HL531" i="65"/>
  <c r="HO531" i="65"/>
  <c r="HL532" i="65"/>
  <c r="HO532" i="65"/>
  <c r="HL533" i="65"/>
  <c r="HO533" i="65"/>
  <c r="HR7" i="65"/>
  <c r="HT7" i="65" s="1"/>
  <c r="HR8" i="65"/>
  <c r="HR9" i="65"/>
  <c r="HT9" i="65" s="1"/>
  <c r="HR10" i="65"/>
  <c r="HT10" i="65" s="1"/>
  <c r="HR11" i="65"/>
  <c r="HS11" i="65" s="1"/>
  <c r="HR12" i="65"/>
  <c r="HR13" i="65"/>
  <c r="HT13" i="65" s="1"/>
  <c r="HR14" i="65"/>
  <c r="HT14" i="65" s="1"/>
  <c r="HR15" i="65"/>
  <c r="HT15" i="65" s="1"/>
  <c r="HR16" i="65"/>
  <c r="HR17" i="65"/>
  <c r="HT17" i="65" s="1"/>
  <c r="HR18" i="65"/>
  <c r="HT18" i="65" s="1"/>
  <c r="HR19" i="65"/>
  <c r="HR20" i="65"/>
  <c r="HR21" i="65"/>
  <c r="HT21" i="65" s="1"/>
  <c r="HR22" i="65"/>
  <c r="HT22" i="65" s="1"/>
  <c r="HR23" i="65"/>
  <c r="HT23" i="65" s="1"/>
  <c r="HR24" i="65"/>
  <c r="HR25" i="65"/>
  <c r="HT25" i="65" s="1"/>
  <c r="HR26" i="65"/>
  <c r="HT26" i="65" s="1"/>
  <c r="HR27" i="65"/>
  <c r="HS27" i="65" s="1"/>
  <c r="HR28" i="65"/>
  <c r="HR29" i="65"/>
  <c r="HT29" i="65" s="1"/>
  <c r="HR30" i="65"/>
  <c r="HT30" i="65" s="1"/>
  <c r="HR31" i="65"/>
  <c r="HT31" i="65" s="1"/>
  <c r="HR32" i="65"/>
  <c r="HR33" i="65"/>
  <c r="HT33" i="65" s="1"/>
  <c r="HR34" i="65"/>
  <c r="HT34" i="65" s="1"/>
  <c r="HR35" i="65"/>
  <c r="HV35" i="65" s="1"/>
  <c r="HU35" i="65" s="1"/>
  <c r="HR36" i="65"/>
  <c r="HR37" i="65"/>
  <c r="HT37" i="65" s="1"/>
  <c r="HR38" i="65"/>
  <c r="HT38" i="65" s="1"/>
  <c r="HR39" i="65"/>
  <c r="HT39" i="65" s="1"/>
  <c r="HR40" i="65"/>
  <c r="HR41" i="65"/>
  <c r="HT41" i="65" s="1"/>
  <c r="HR42" i="65"/>
  <c r="HT42" i="65" s="1"/>
  <c r="HR43" i="65"/>
  <c r="HS43" i="65" s="1"/>
  <c r="HR44" i="65"/>
  <c r="HR45" i="65"/>
  <c r="HT45" i="65" s="1"/>
  <c r="HR46" i="65"/>
  <c r="HT46" i="65" s="1"/>
  <c r="HR47" i="65"/>
  <c r="HR48" i="65"/>
  <c r="HR49" i="65"/>
  <c r="HT49" i="65" s="1"/>
  <c r="HR50" i="65"/>
  <c r="HT50" i="65" s="1"/>
  <c r="HR51" i="65"/>
  <c r="HT51" i="65" s="1"/>
  <c r="HR52" i="65"/>
  <c r="HS52" i="65" s="1"/>
  <c r="HR53" i="65"/>
  <c r="HT53" i="65" s="1"/>
  <c r="HR54" i="65"/>
  <c r="HT54" i="65" s="1"/>
  <c r="HR55" i="65"/>
  <c r="HR56" i="65"/>
  <c r="HR57" i="65"/>
  <c r="HT57" i="65" s="1"/>
  <c r="HR58" i="65"/>
  <c r="HT58" i="65" s="1"/>
  <c r="HR59" i="65"/>
  <c r="HS59" i="65" s="1"/>
  <c r="HR60" i="65"/>
  <c r="HR61" i="65"/>
  <c r="HT61" i="65" s="1"/>
  <c r="HR62" i="65"/>
  <c r="HT62" i="65" s="1"/>
  <c r="HR63" i="65"/>
  <c r="HV63" i="65" s="1"/>
  <c r="HU63" i="65" s="1"/>
  <c r="HR64" i="65"/>
  <c r="HR65" i="65"/>
  <c r="HT65" i="65" s="1"/>
  <c r="HR66" i="65"/>
  <c r="HT66" i="65" s="1"/>
  <c r="HR67" i="65"/>
  <c r="HT67" i="65" s="1"/>
  <c r="HR68" i="65"/>
  <c r="HT68" i="65" s="1"/>
  <c r="HR69" i="65"/>
  <c r="HT69" i="65" s="1"/>
  <c r="HR70" i="65"/>
  <c r="HT70" i="65" s="1"/>
  <c r="HR71" i="65"/>
  <c r="HV71" i="65" s="1"/>
  <c r="HU71" i="65" s="1"/>
  <c r="HR72" i="65"/>
  <c r="HR73" i="65"/>
  <c r="HT73" i="65" s="1"/>
  <c r="HR74" i="65"/>
  <c r="HT74" i="65" s="1"/>
  <c r="HR75" i="65"/>
  <c r="HS75" i="65" s="1"/>
  <c r="HR76" i="65"/>
  <c r="HS76" i="65" s="1"/>
  <c r="HR77" i="65"/>
  <c r="HT77" i="65" s="1"/>
  <c r="HR78" i="65"/>
  <c r="HT78" i="65" s="1"/>
  <c r="HR79" i="65"/>
  <c r="HT79" i="65" s="1"/>
  <c r="HR80" i="65"/>
  <c r="HR81" i="65"/>
  <c r="HT81" i="65" s="1"/>
  <c r="HR82" i="65"/>
  <c r="HT82" i="65" s="1"/>
  <c r="HR83" i="65"/>
  <c r="HV83" i="65" s="1"/>
  <c r="HU83" i="65" s="1"/>
  <c r="HR84" i="65"/>
  <c r="HR85" i="65"/>
  <c r="HT85" i="65" s="1"/>
  <c r="HR86" i="65"/>
  <c r="HT86" i="65" s="1"/>
  <c r="HR87" i="65"/>
  <c r="HT87" i="65" s="1"/>
  <c r="HR88" i="65"/>
  <c r="HR89" i="65"/>
  <c r="HT89" i="65" s="1"/>
  <c r="HR90" i="65"/>
  <c r="HT90" i="65" s="1"/>
  <c r="HR91" i="65"/>
  <c r="HS91" i="65" s="1"/>
  <c r="HR92" i="65"/>
  <c r="HR93" i="65"/>
  <c r="HT93" i="65" s="1"/>
  <c r="HR94" i="65"/>
  <c r="HT94" i="65" s="1"/>
  <c r="HR95" i="65"/>
  <c r="HT95" i="65" s="1"/>
  <c r="HR96" i="65"/>
  <c r="HR97" i="65"/>
  <c r="HT97" i="65" s="1"/>
  <c r="HR98" i="65"/>
  <c r="HT98" i="65" s="1"/>
  <c r="HR99" i="65"/>
  <c r="HV99" i="65" s="1"/>
  <c r="HU99" i="65" s="1"/>
  <c r="HR100" i="65"/>
  <c r="HT100" i="65" s="1"/>
  <c r="HR101" i="65"/>
  <c r="HT101" i="65" s="1"/>
  <c r="HR102" i="65"/>
  <c r="HT102" i="65" s="1"/>
  <c r="HR103" i="65"/>
  <c r="HT103" i="65" s="1"/>
  <c r="HR104" i="65"/>
  <c r="HR105" i="65"/>
  <c r="HT105" i="65" s="1"/>
  <c r="HR106" i="65"/>
  <c r="HT106" i="65" s="1"/>
  <c r="HR107" i="65"/>
  <c r="HS107" i="65" s="1"/>
  <c r="HR108" i="65"/>
  <c r="HT108" i="65" s="1"/>
  <c r="HR109" i="65"/>
  <c r="HT109" i="65" s="1"/>
  <c r="HR110" i="65"/>
  <c r="HT110" i="65" s="1"/>
  <c r="HR111" i="65"/>
  <c r="HR112" i="65"/>
  <c r="HR113" i="65"/>
  <c r="HT113" i="65" s="1"/>
  <c r="HR114" i="65"/>
  <c r="HT114" i="65" s="1"/>
  <c r="HR115" i="65"/>
  <c r="HT115" i="65" s="1"/>
  <c r="HR116" i="65"/>
  <c r="HR117" i="65"/>
  <c r="HT117" i="65" s="1"/>
  <c r="HR118" i="65"/>
  <c r="HT118" i="65" s="1"/>
  <c r="HR119" i="65"/>
  <c r="HR120" i="65"/>
  <c r="HR121" i="65"/>
  <c r="HT121" i="65" s="1"/>
  <c r="HR122" i="65"/>
  <c r="HT122" i="65" s="1"/>
  <c r="HR123" i="65"/>
  <c r="HS123" i="65" s="1"/>
  <c r="HR124" i="65"/>
  <c r="HR125" i="65"/>
  <c r="HT125" i="65" s="1"/>
  <c r="HR126" i="65"/>
  <c r="HT126" i="65" s="1"/>
  <c r="HR127" i="65"/>
  <c r="HT127" i="65" s="1"/>
  <c r="HR128" i="65"/>
  <c r="HR129" i="65"/>
  <c r="HT129" i="65" s="1"/>
  <c r="HR130" i="65"/>
  <c r="HT130" i="65" s="1"/>
  <c r="HR131" i="65"/>
  <c r="HT131" i="65" s="1"/>
  <c r="HR132" i="65"/>
  <c r="HS132" i="65" s="1"/>
  <c r="HR133" i="65"/>
  <c r="HT133" i="65" s="1"/>
  <c r="HR134" i="65"/>
  <c r="HT134" i="65" s="1"/>
  <c r="HR135" i="65"/>
  <c r="HR136" i="65"/>
  <c r="HR137" i="65"/>
  <c r="HT137" i="65" s="1"/>
  <c r="HR138" i="65"/>
  <c r="HT138" i="65" s="1"/>
  <c r="HR139" i="65"/>
  <c r="HS139" i="65" s="1"/>
  <c r="HR140" i="65"/>
  <c r="HT140" i="65" s="1"/>
  <c r="HR141" i="65"/>
  <c r="HT141" i="65" s="1"/>
  <c r="HR142" i="65"/>
  <c r="HT142" i="65" s="1"/>
  <c r="HR143" i="65"/>
  <c r="HR144" i="65"/>
  <c r="HR145" i="65"/>
  <c r="HT145" i="65" s="1"/>
  <c r="HR146" i="65"/>
  <c r="HT146" i="65" s="1"/>
  <c r="HR147" i="65"/>
  <c r="HT147" i="65" s="1"/>
  <c r="HR148" i="65"/>
  <c r="HS148" i="65" s="1"/>
  <c r="HR149" i="65"/>
  <c r="HT149" i="65" s="1"/>
  <c r="HR150" i="65"/>
  <c r="HT150" i="65" s="1"/>
  <c r="HR151" i="65"/>
  <c r="HR152" i="65"/>
  <c r="HR153" i="65"/>
  <c r="HT153" i="65" s="1"/>
  <c r="HR154" i="65"/>
  <c r="HT154" i="65" s="1"/>
  <c r="HR155" i="65"/>
  <c r="HS155" i="65" s="1"/>
  <c r="HR156" i="65"/>
  <c r="HR157" i="65"/>
  <c r="HT157" i="65" s="1"/>
  <c r="HR158" i="65"/>
  <c r="HT158" i="65" s="1"/>
  <c r="HR159" i="65"/>
  <c r="HT159" i="65" s="1"/>
  <c r="HR160" i="65"/>
  <c r="HR161" i="65"/>
  <c r="HT161" i="65" s="1"/>
  <c r="HR162" i="65"/>
  <c r="HT162" i="65" s="1"/>
  <c r="HR163" i="65"/>
  <c r="HT163" i="65" s="1"/>
  <c r="HR164" i="65"/>
  <c r="HT164" i="65" s="1"/>
  <c r="HR165" i="65"/>
  <c r="HT165" i="65" s="1"/>
  <c r="HR166" i="65"/>
  <c r="HT166" i="65" s="1"/>
  <c r="HR167" i="65"/>
  <c r="HT167" i="65" s="1"/>
  <c r="HR168" i="65"/>
  <c r="HR169" i="65"/>
  <c r="HT169" i="65" s="1"/>
  <c r="HR170" i="65"/>
  <c r="HT170" i="65" s="1"/>
  <c r="HR171" i="65"/>
  <c r="HS171" i="65" s="1"/>
  <c r="HR172" i="65"/>
  <c r="HR173" i="65"/>
  <c r="HT173" i="65" s="1"/>
  <c r="HR174" i="65"/>
  <c r="HT174" i="65" s="1"/>
  <c r="HR175" i="65"/>
  <c r="HT175" i="65" s="1"/>
  <c r="HR176" i="65"/>
  <c r="HR177" i="65"/>
  <c r="HT177" i="65" s="1"/>
  <c r="HR178" i="65"/>
  <c r="HT178" i="65" s="1"/>
  <c r="HR179" i="65"/>
  <c r="HR180" i="65"/>
  <c r="HR181" i="65"/>
  <c r="HT181" i="65" s="1"/>
  <c r="HR182" i="65"/>
  <c r="HT182" i="65" s="1"/>
  <c r="HR183" i="65"/>
  <c r="HS183" i="65" s="1"/>
  <c r="HR184" i="65"/>
  <c r="HR185" i="65"/>
  <c r="HT185" i="65" s="1"/>
  <c r="HR186" i="65"/>
  <c r="HT186" i="65" s="1"/>
  <c r="HR187" i="65"/>
  <c r="HS187" i="65" s="1"/>
  <c r="HR188" i="65"/>
  <c r="HT188" i="65" s="1"/>
  <c r="HR189" i="65"/>
  <c r="HT189" i="65" s="1"/>
  <c r="HR190" i="65"/>
  <c r="HT190" i="65" s="1"/>
  <c r="HR191" i="65"/>
  <c r="HR192" i="65"/>
  <c r="HR193" i="65"/>
  <c r="HT193" i="65" s="1"/>
  <c r="HR194" i="65"/>
  <c r="HT194" i="65" s="1"/>
  <c r="HR195" i="65"/>
  <c r="HT195" i="65" s="1"/>
  <c r="HR196" i="65"/>
  <c r="HR197" i="65"/>
  <c r="HT197" i="65" s="1"/>
  <c r="HR198" i="65"/>
  <c r="HT198" i="65" s="1"/>
  <c r="HR199" i="65"/>
  <c r="HT199" i="65" s="1"/>
  <c r="HR200" i="65"/>
  <c r="HR201" i="65"/>
  <c r="HT201" i="65" s="1"/>
  <c r="HR202" i="65"/>
  <c r="HT202" i="65" s="1"/>
  <c r="HR203" i="65"/>
  <c r="HS203" i="65" s="1"/>
  <c r="HR204" i="65"/>
  <c r="HR205" i="65"/>
  <c r="HT205" i="65" s="1"/>
  <c r="HR206" i="65"/>
  <c r="HT206" i="65" s="1"/>
  <c r="HR207" i="65"/>
  <c r="HR208" i="65"/>
  <c r="HR209" i="65"/>
  <c r="HT209" i="65" s="1"/>
  <c r="HR210" i="65"/>
  <c r="HT210" i="65" s="1"/>
  <c r="HR211" i="65"/>
  <c r="HT211" i="65" s="1"/>
  <c r="HR212" i="65"/>
  <c r="HR213" i="65"/>
  <c r="HT213" i="65" s="1"/>
  <c r="HR214" i="65"/>
  <c r="HT214" i="65" s="1"/>
  <c r="HR215" i="65"/>
  <c r="HV215" i="65" s="1"/>
  <c r="HU215" i="65" s="1"/>
  <c r="HR216" i="65"/>
  <c r="HR217" i="65"/>
  <c r="HT217" i="65" s="1"/>
  <c r="HR218" i="65"/>
  <c r="HT218" i="65" s="1"/>
  <c r="HR219" i="65"/>
  <c r="HS219" i="65" s="1"/>
  <c r="HR220" i="65"/>
  <c r="HS220" i="65" s="1"/>
  <c r="HR221" i="65"/>
  <c r="HT221" i="65" s="1"/>
  <c r="HR222" i="65"/>
  <c r="HT222" i="65" s="1"/>
  <c r="HR223" i="65"/>
  <c r="HT223" i="65" s="1"/>
  <c r="HR224" i="65"/>
  <c r="HR225" i="65"/>
  <c r="HT225" i="65" s="1"/>
  <c r="HR226" i="65"/>
  <c r="HT226" i="65" s="1"/>
  <c r="HR227" i="65"/>
  <c r="HT227" i="65" s="1"/>
  <c r="HR228" i="65"/>
  <c r="HR229" i="65"/>
  <c r="HT229" i="65" s="1"/>
  <c r="HR230" i="65"/>
  <c r="HT230" i="65" s="1"/>
  <c r="HR231" i="65"/>
  <c r="HV231" i="65" s="1"/>
  <c r="HU231" i="65" s="1"/>
  <c r="HR232" i="65"/>
  <c r="HR233" i="65"/>
  <c r="HT233" i="65" s="1"/>
  <c r="HR234" i="65"/>
  <c r="HT234" i="65" s="1"/>
  <c r="HR235" i="65"/>
  <c r="HS235" i="65" s="1"/>
  <c r="HR236" i="65"/>
  <c r="HR237" i="65"/>
  <c r="HT237" i="65" s="1"/>
  <c r="HR238" i="65"/>
  <c r="HT238" i="65" s="1"/>
  <c r="HR239" i="65"/>
  <c r="HV239" i="65" s="1"/>
  <c r="HU239" i="65" s="1"/>
  <c r="HR240" i="65"/>
  <c r="HR241" i="65"/>
  <c r="HT241" i="65" s="1"/>
  <c r="HR242" i="65"/>
  <c r="HT242" i="65" s="1"/>
  <c r="HR243" i="65"/>
  <c r="HR244" i="65"/>
  <c r="HR245" i="65"/>
  <c r="HT245" i="65" s="1"/>
  <c r="HR246" i="65"/>
  <c r="HT246" i="65" s="1"/>
  <c r="HR247" i="65"/>
  <c r="HT247" i="65" s="1"/>
  <c r="HR248" i="65"/>
  <c r="HR249" i="65"/>
  <c r="HT249" i="65" s="1"/>
  <c r="HR250" i="65"/>
  <c r="HT250" i="65" s="1"/>
  <c r="HR251" i="65"/>
  <c r="HS251" i="65" s="1"/>
  <c r="HR252" i="65"/>
  <c r="HR253" i="65"/>
  <c r="HT253" i="65" s="1"/>
  <c r="HR254" i="65"/>
  <c r="HT254" i="65" s="1"/>
  <c r="HR255" i="65"/>
  <c r="HT255" i="65" s="1"/>
  <c r="HR256" i="65"/>
  <c r="HR257" i="65"/>
  <c r="HT257" i="65" s="1"/>
  <c r="HR258" i="65"/>
  <c r="HT258" i="65" s="1"/>
  <c r="HR259" i="65"/>
  <c r="HT259" i="65" s="1"/>
  <c r="HR260" i="65"/>
  <c r="HT260" i="65" s="1"/>
  <c r="HR261" i="65"/>
  <c r="HT261" i="65" s="1"/>
  <c r="HR262" i="65"/>
  <c r="HT262" i="65" s="1"/>
  <c r="HR263" i="65"/>
  <c r="HT263" i="65" s="1"/>
  <c r="HR264" i="65"/>
  <c r="HR265" i="65"/>
  <c r="HT265" i="65" s="1"/>
  <c r="HR266" i="65"/>
  <c r="HT266" i="65" s="1"/>
  <c r="HR267" i="65"/>
  <c r="HS267" i="65" s="1"/>
  <c r="HR268" i="65"/>
  <c r="HR269" i="65"/>
  <c r="HT269" i="65" s="1"/>
  <c r="HR270" i="65"/>
  <c r="HT270" i="65" s="1"/>
  <c r="HR271" i="65"/>
  <c r="HT271" i="65" s="1"/>
  <c r="HR272" i="65"/>
  <c r="HR273" i="65"/>
  <c r="HT273" i="65" s="1"/>
  <c r="HR274" i="65"/>
  <c r="HT274" i="65" s="1"/>
  <c r="HR275" i="65"/>
  <c r="HR276" i="65"/>
  <c r="HR277" i="65"/>
  <c r="HT277" i="65" s="1"/>
  <c r="HR278" i="65"/>
  <c r="HT278" i="65" s="1"/>
  <c r="HR279" i="65"/>
  <c r="HT279" i="65" s="1"/>
  <c r="HR280" i="65"/>
  <c r="HR281" i="65"/>
  <c r="HT281" i="65" s="1"/>
  <c r="HR282" i="65"/>
  <c r="HT282" i="65" s="1"/>
  <c r="HR283" i="65"/>
  <c r="HS283" i="65" s="1"/>
  <c r="HR284" i="65"/>
  <c r="HS284" i="65" s="1"/>
  <c r="HR285" i="65"/>
  <c r="HT285" i="65" s="1"/>
  <c r="HR286" i="65"/>
  <c r="HT286" i="65" s="1"/>
  <c r="HR287" i="65"/>
  <c r="HT287" i="65" s="1"/>
  <c r="HR288" i="65"/>
  <c r="HR289" i="65"/>
  <c r="HT289" i="65" s="1"/>
  <c r="HR290" i="65"/>
  <c r="HT290" i="65" s="1"/>
  <c r="HR291" i="65"/>
  <c r="HT291" i="65" s="1"/>
  <c r="HR292" i="65"/>
  <c r="HR293" i="65"/>
  <c r="HT293" i="65" s="1"/>
  <c r="HR294" i="65"/>
  <c r="HT294" i="65" s="1"/>
  <c r="HR295" i="65"/>
  <c r="HT295" i="65" s="1"/>
  <c r="HR296" i="65"/>
  <c r="HR297" i="65"/>
  <c r="HT297" i="65" s="1"/>
  <c r="HR298" i="65"/>
  <c r="HT298" i="65" s="1"/>
  <c r="HR299" i="65"/>
  <c r="HS299" i="65" s="1"/>
  <c r="HR300" i="65"/>
  <c r="HR301" i="65"/>
  <c r="HT301" i="65" s="1"/>
  <c r="HR302" i="65"/>
  <c r="HT302" i="65" s="1"/>
  <c r="HR303" i="65"/>
  <c r="HT303" i="65" s="1"/>
  <c r="HR304" i="65"/>
  <c r="HR305" i="65"/>
  <c r="HT305" i="65" s="1"/>
  <c r="HR306" i="65"/>
  <c r="HT306" i="65" s="1"/>
  <c r="HR307" i="65"/>
  <c r="HT307" i="65" s="1"/>
  <c r="HR308" i="65"/>
  <c r="HR309" i="65"/>
  <c r="HT309" i="65" s="1"/>
  <c r="HR310" i="65"/>
  <c r="HT310" i="65" s="1"/>
  <c r="HR311" i="65"/>
  <c r="HT311" i="65" s="1"/>
  <c r="HR312" i="65"/>
  <c r="HR313" i="65"/>
  <c r="HT313" i="65" s="1"/>
  <c r="HR314" i="65"/>
  <c r="HT314" i="65" s="1"/>
  <c r="HR315" i="65"/>
  <c r="HS315" i="65" s="1"/>
  <c r="HR316" i="65"/>
  <c r="HT316" i="65" s="1"/>
  <c r="HR317" i="65"/>
  <c r="HT317" i="65" s="1"/>
  <c r="HR318" i="65"/>
  <c r="HT318" i="65" s="1"/>
  <c r="HR319" i="65"/>
  <c r="HT319" i="65" s="1"/>
  <c r="HR320" i="65"/>
  <c r="HR321" i="65"/>
  <c r="HT321" i="65" s="1"/>
  <c r="HR322" i="65"/>
  <c r="HT322" i="65" s="1"/>
  <c r="HR323" i="65"/>
  <c r="HT323" i="65" s="1"/>
  <c r="HR324" i="65"/>
  <c r="HT324" i="65" s="1"/>
  <c r="HR325" i="65"/>
  <c r="HT325" i="65" s="1"/>
  <c r="HR326" i="65"/>
  <c r="HT326" i="65" s="1"/>
  <c r="HR327" i="65"/>
  <c r="HT327" i="65" s="1"/>
  <c r="HR328" i="65"/>
  <c r="HR329" i="65"/>
  <c r="HT329" i="65" s="1"/>
  <c r="HR330" i="65"/>
  <c r="HT330" i="65" s="1"/>
  <c r="HR331" i="65"/>
  <c r="HS331" i="65" s="1"/>
  <c r="HR332" i="65"/>
  <c r="HT332" i="65" s="1"/>
  <c r="HR333" i="65"/>
  <c r="HT333" i="65" s="1"/>
  <c r="HR334" i="65"/>
  <c r="HT334" i="65" s="1"/>
  <c r="HR335" i="65"/>
  <c r="HT335" i="65" s="1"/>
  <c r="HR336" i="65"/>
  <c r="HR337" i="65"/>
  <c r="HT337" i="65" s="1"/>
  <c r="HR338" i="65"/>
  <c r="HT338" i="65" s="1"/>
  <c r="HR339" i="65"/>
  <c r="HT339" i="65" s="1"/>
  <c r="HR340" i="65"/>
  <c r="HS340" i="65" s="1"/>
  <c r="HR341" i="65"/>
  <c r="HT341" i="65" s="1"/>
  <c r="HR342" i="65"/>
  <c r="HT342" i="65" s="1"/>
  <c r="HR343" i="65"/>
  <c r="HT343" i="65" s="1"/>
  <c r="HR344" i="65"/>
  <c r="HR345" i="65"/>
  <c r="HT345" i="65" s="1"/>
  <c r="HR346" i="65"/>
  <c r="HT346" i="65" s="1"/>
  <c r="HR347" i="65"/>
  <c r="HS347" i="65" s="1"/>
  <c r="HR348" i="65"/>
  <c r="HR349" i="65"/>
  <c r="HT349" i="65" s="1"/>
  <c r="HR350" i="65"/>
  <c r="HT350" i="65" s="1"/>
  <c r="HR351" i="65"/>
  <c r="HT351" i="65" s="1"/>
  <c r="HR352" i="65"/>
  <c r="HR353" i="65"/>
  <c r="HT353" i="65" s="1"/>
  <c r="HR354" i="65"/>
  <c r="HT354" i="65" s="1"/>
  <c r="HR355" i="65"/>
  <c r="HT355" i="65" s="1"/>
  <c r="HR356" i="65"/>
  <c r="HT356" i="65" s="1"/>
  <c r="HR357" i="65"/>
  <c r="HT357" i="65" s="1"/>
  <c r="HR358" i="65"/>
  <c r="HT358" i="65" s="1"/>
  <c r="HR359" i="65"/>
  <c r="HT359" i="65" s="1"/>
  <c r="HR360" i="65"/>
  <c r="HR361" i="65"/>
  <c r="HT361" i="65" s="1"/>
  <c r="HR362" i="65"/>
  <c r="HT362" i="65" s="1"/>
  <c r="HR363" i="65"/>
  <c r="HS363" i="65" s="1"/>
  <c r="HR364" i="65"/>
  <c r="HR365" i="65"/>
  <c r="HT365" i="65" s="1"/>
  <c r="HR366" i="65"/>
  <c r="HT366" i="65" s="1"/>
  <c r="HR367" i="65"/>
  <c r="HT367" i="65" s="1"/>
  <c r="HR368" i="65"/>
  <c r="HR369" i="65"/>
  <c r="HT369" i="65" s="1"/>
  <c r="HR370" i="65"/>
  <c r="HT370" i="65" s="1"/>
  <c r="HR371" i="65"/>
  <c r="HT371" i="65" s="1"/>
  <c r="HR372" i="65"/>
  <c r="HR373" i="65"/>
  <c r="HT373" i="65" s="1"/>
  <c r="HR374" i="65"/>
  <c r="HT374" i="65" s="1"/>
  <c r="HR375" i="65"/>
  <c r="HT375" i="65" s="1"/>
  <c r="HR376" i="65"/>
  <c r="HR377" i="65"/>
  <c r="HT377" i="65" s="1"/>
  <c r="HR378" i="65"/>
  <c r="HT378" i="65" s="1"/>
  <c r="HR379" i="65"/>
  <c r="HS379" i="65" s="1"/>
  <c r="HR380" i="65"/>
  <c r="HT380" i="65" s="1"/>
  <c r="HR381" i="65"/>
  <c r="HT381" i="65" s="1"/>
  <c r="HR382" i="65"/>
  <c r="HT382" i="65" s="1"/>
  <c r="HR383" i="65"/>
  <c r="HT383" i="65" s="1"/>
  <c r="HR384" i="65"/>
  <c r="HR385" i="65"/>
  <c r="HT385" i="65" s="1"/>
  <c r="HR386" i="65"/>
  <c r="HT386" i="65" s="1"/>
  <c r="HR387" i="65"/>
  <c r="HT387" i="65" s="1"/>
  <c r="HR388" i="65"/>
  <c r="HR389" i="65"/>
  <c r="HT389" i="65" s="1"/>
  <c r="HR390" i="65"/>
  <c r="HT390" i="65" s="1"/>
  <c r="HR391" i="65"/>
  <c r="HT391" i="65" s="1"/>
  <c r="HR392" i="65"/>
  <c r="HR393" i="65"/>
  <c r="HT393" i="65" s="1"/>
  <c r="HR394" i="65"/>
  <c r="HT394" i="65" s="1"/>
  <c r="HR395" i="65"/>
  <c r="HS395" i="65" s="1"/>
  <c r="HR396" i="65"/>
  <c r="HR397" i="65"/>
  <c r="HT397" i="65" s="1"/>
  <c r="HR398" i="65"/>
  <c r="HR399" i="65"/>
  <c r="HT399" i="65" s="1"/>
  <c r="HR400" i="65"/>
  <c r="HR401" i="65"/>
  <c r="HT401" i="65" s="1"/>
  <c r="HR402" i="65"/>
  <c r="HT402" i="65" s="1"/>
  <c r="HR403" i="65"/>
  <c r="HT403" i="65" s="1"/>
  <c r="HR404" i="65"/>
  <c r="HT404" i="65" s="1"/>
  <c r="HR405" i="65"/>
  <c r="HT405" i="65" s="1"/>
  <c r="HR406" i="65"/>
  <c r="HT406" i="65" s="1"/>
  <c r="HR407" i="65"/>
  <c r="HT407" i="65" s="1"/>
  <c r="HR408" i="65"/>
  <c r="HR409" i="65"/>
  <c r="HT409" i="65" s="1"/>
  <c r="HR410" i="65"/>
  <c r="HT410" i="65" s="1"/>
  <c r="HR411" i="65"/>
  <c r="HS411" i="65" s="1"/>
  <c r="HR412" i="65"/>
  <c r="HR413" i="65"/>
  <c r="HT413" i="65" s="1"/>
  <c r="HR414" i="65"/>
  <c r="HT414" i="65" s="1"/>
  <c r="HR415" i="65"/>
  <c r="HT415" i="65" s="1"/>
  <c r="HR416" i="65"/>
  <c r="HR417" i="65"/>
  <c r="HT417" i="65" s="1"/>
  <c r="HR418" i="65"/>
  <c r="HT418" i="65" s="1"/>
  <c r="HR419" i="65"/>
  <c r="HT419" i="65" s="1"/>
  <c r="HR420" i="65"/>
  <c r="HT420" i="65" s="1"/>
  <c r="HR421" i="65"/>
  <c r="HT421" i="65" s="1"/>
  <c r="HR422" i="65"/>
  <c r="HT422" i="65" s="1"/>
  <c r="HR423" i="65"/>
  <c r="HT423" i="65" s="1"/>
  <c r="HR424" i="65"/>
  <c r="HR425" i="65"/>
  <c r="HT425" i="65" s="1"/>
  <c r="HR426" i="65"/>
  <c r="HT426" i="65" s="1"/>
  <c r="HR427" i="65"/>
  <c r="HS427" i="65" s="1"/>
  <c r="HR428" i="65"/>
  <c r="HT428" i="65" s="1"/>
  <c r="HR429" i="65"/>
  <c r="HT429" i="65" s="1"/>
  <c r="HR430" i="65"/>
  <c r="HT430" i="65" s="1"/>
  <c r="HR431" i="65"/>
  <c r="HT431" i="65" s="1"/>
  <c r="HR432" i="65"/>
  <c r="HR433" i="65"/>
  <c r="HT433" i="65" s="1"/>
  <c r="HR434" i="65"/>
  <c r="HT434" i="65" s="1"/>
  <c r="HR435" i="65"/>
  <c r="HT435" i="65" s="1"/>
  <c r="HR436" i="65"/>
  <c r="HR437" i="65"/>
  <c r="HT437" i="65" s="1"/>
  <c r="HR438" i="65"/>
  <c r="HT438" i="65" s="1"/>
  <c r="HR439" i="65"/>
  <c r="HT439" i="65" s="1"/>
  <c r="HR440" i="65"/>
  <c r="HR441" i="65"/>
  <c r="HT441" i="65" s="1"/>
  <c r="HR442" i="65"/>
  <c r="HT442" i="65" s="1"/>
  <c r="HR443" i="65"/>
  <c r="HS443" i="65" s="1"/>
  <c r="HR444" i="65"/>
  <c r="HT444" i="65" s="1"/>
  <c r="HR445" i="65"/>
  <c r="HT445" i="65" s="1"/>
  <c r="HR446" i="65"/>
  <c r="HT446" i="65" s="1"/>
  <c r="HR447" i="65"/>
  <c r="HT447" i="65" s="1"/>
  <c r="HR448" i="65"/>
  <c r="HR449" i="65"/>
  <c r="HT449" i="65" s="1"/>
  <c r="HR450" i="65"/>
  <c r="HT450" i="65" s="1"/>
  <c r="HR451" i="65"/>
  <c r="HT451" i="65" s="1"/>
  <c r="HR452" i="65"/>
  <c r="HR453" i="65"/>
  <c r="HT453" i="65" s="1"/>
  <c r="HR454" i="65"/>
  <c r="HT454" i="65" s="1"/>
  <c r="HR455" i="65"/>
  <c r="HT455" i="65" s="1"/>
  <c r="HR456" i="65"/>
  <c r="HR457" i="65"/>
  <c r="HT457" i="65" s="1"/>
  <c r="HR458" i="65"/>
  <c r="HT458" i="65" s="1"/>
  <c r="HR459" i="65"/>
  <c r="HS459" i="65" s="1"/>
  <c r="HR460" i="65"/>
  <c r="HR461" i="65"/>
  <c r="HT461" i="65" s="1"/>
  <c r="HR462" i="65"/>
  <c r="HT462" i="65" s="1"/>
  <c r="HR463" i="65"/>
  <c r="HT463" i="65" s="1"/>
  <c r="HR464" i="65"/>
  <c r="HR465" i="65"/>
  <c r="HT465" i="65" s="1"/>
  <c r="HR466" i="65"/>
  <c r="HT466" i="65" s="1"/>
  <c r="HR467" i="65"/>
  <c r="HT467" i="65" s="1"/>
  <c r="HR468" i="65"/>
  <c r="HS468" i="65" s="1"/>
  <c r="HR469" i="65"/>
  <c r="HT469" i="65" s="1"/>
  <c r="HR470" i="65"/>
  <c r="HT470" i="65" s="1"/>
  <c r="HR471" i="65"/>
  <c r="HT471" i="65" s="1"/>
  <c r="HR472" i="65"/>
  <c r="HR473" i="65"/>
  <c r="HT473" i="65" s="1"/>
  <c r="HR474" i="65"/>
  <c r="HT474" i="65" s="1"/>
  <c r="HR475" i="65"/>
  <c r="HS475" i="65" s="1"/>
  <c r="HR476" i="65"/>
  <c r="HS476" i="65" s="1"/>
  <c r="HR477" i="65"/>
  <c r="HT477" i="65" s="1"/>
  <c r="HR478" i="65"/>
  <c r="HR479" i="65"/>
  <c r="HT479" i="65" s="1"/>
  <c r="HR480" i="65"/>
  <c r="HR481" i="65"/>
  <c r="HT481" i="65" s="1"/>
  <c r="HR482" i="65"/>
  <c r="HT482" i="65" s="1"/>
  <c r="HR483" i="65"/>
  <c r="HT483" i="65" s="1"/>
  <c r="HR484" i="65"/>
  <c r="HR485" i="65"/>
  <c r="HT485" i="65" s="1"/>
  <c r="HR486" i="65"/>
  <c r="HR487" i="65"/>
  <c r="HT487" i="65" s="1"/>
  <c r="HR488" i="65"/>
  <c r="HR489" i="65"/>
  <c r="HT489" i="65" s="1"/>
  <c r="HR490" i="65"/>
  <c r="HT490" i="65" s="1"/>
  <c r="HR491" i="65"/>
  <c r="HS491" i="65" s="1"/>
  <c r="HR492" i="65"/>
  <c r="HT492" i="65" s="1"/>
  <c r="HR493" i="65"/>
  <c r="HT493" i="65" s="1"/>
  <c r="HR494" i="65"/>
  <c r="HR495" i="65"/>
  <c r="HT495" i="65" s="1"/>
  <c r="HR496" i="65"/>
  <c r="HR497" i="65"/>
  <c r="HT497" i="65" s="1"/>
  <c r="HR498" i="65"/>
  <c r="HT498" i="65" s="1"/>
  <c r="HR499" i="65"/>
  <c r="HT499" i="65" s="1"/>
  <c r="HR500" i="65"/>
  <c r="HT500" i="65" s="1"/>
  <c r="HR501" i="65"/>
  <c r="HT501" i="65" s="1"/>
  <c r="HR502" i="65"/>
  <c r="HR503" i="65"/>
  <c r="HT503" i="65" s="1"/>
  <c r="HR504" i="65"/>
  <c r="HR505" i="65"/>
  <c r="HT505" i="65" s="1"/>
  <c r="HR506" i="65"/>
  <c r="HT506" i="65" s="1"/>
  <c r="HR507" i="65"/>
  <c r="HS507" i="65" s="1"/>
  <c r="HR508" i="65"/>
  <c r="HT508" i="65" s="1"/>
  <c r="HR509" i="65"/>
  <c r="HT509" i="65" s="1"/>
  <c r="HR510" i="65"/>
  <c r="HR511" i="65"/>
  <c r="HT511" i="65" s="1"/>
  <c r="HR512" i="65"/>
  <c r="HR513" i="65"/>
  <c r="HT513" i="65" s="1"/>
  <c r="HR514" i="65"/>
  <c r="HR515" i="65"/>
  <c r="HT515" i="65" s="1"/>
  <c r="HR516" i="65"/>
  <c r="HR517" i="65"/>
  <c r="HT517" i="65" s="1"/>
  <c r="HR518" i="65"/>
  <c r="HR519" i="65"/>
  <c r="HT519" i="65" s="1"/>
  <c r="HR520" i="65"/>
  <c r="HR521" i="65"/>
  <c r="HT521" i="65" s="1"/>
  <c r="HR522" i="65"/>
  <c r="HT522" i="65" s="1"/>
  <c r="HR523" i="65"/>
  <c r="HS523" i="65" s="1"/>
  <c r="HR524" i="65"/>
  <c r="HR525" i="65"/>
  <c r="HT525" i="65" s="1"/>
  <c r="HR526" i="65"/>
  <c r="HR527" i="65"/>
  <c r="HT527" i="65" s="1"/>
  <c r="HR528" i="65"/>
  <c r="HR529" i="65"/>
  <c r="HT529" i="65" s="1"/>
  <c r="HR530" i="65"/>
  <c r="HR531" i="65"/>
  <c r="HT531" i="65" s="1"/>
  <c r="HR532" i="65"/>
  <c r="HR533" i="65"/>
  <c r="HT533" i="65" s="1"/>
  <c r="HS9" i="65"/>
  <c r="HS12" i="65"/>
  <c r="HS13" i="65"/>
  <c r="HS17" i="65"/>
  <c r="HS21" i="65"/>
  <c r="HS25" i="65"/>
  <c r="HS29" i="65"/>
  <c r="HS33" i="65"/>
  <c r="HS37" i="65"/>
  <c r="HS41" i="65"/>
  <c r="HS45" i="65"/>
  <c r="HS49" i="65"/>
  <c r="HS53" i="65"/>
  <c r="HS57" i="65"/>
  <c r="HS61" i="65"/>
  <c r="HS65" i="65"/>
  <c r="HS69" i="65"/>
  <c r="HS73" i="65"/>
  <c r="HS77" i="65"/>
  <c r="HS79" i="65"/>
  <c r="HS81" i="65"/>
  <c r="HS85" i="65"/>
  <c r="HS89" i="65"/>
  <c r="HS93" i="65"/>
  <c r="HS97" i="65"/>
  <c r="HS99" i="65"/>
  <c r="HS101" i="65"/>
  <c r="HS105" i="65"/>
  <c r="HS109" i="65"/>
  <c r="HS113" i="65"/>
  <c r="HS117" i="65"/>
  <c r="HS121" i="65"/>
  <c r="HS125" i="65"/>
  <c r="HS129" i="65"/>
  <c r="HS131" i="65"/>
  <c r="HS133" i="65"/>
  <c r="HS137" i="65"/>
  <c r="HS140" i="65"/>
  <c r="HS141" i="65"/>
  <c r="HS145" i="65"/>
  <c r="HS149" i="65"/>
  <c r="HS153" i="65"/>
  <c r="HS157" i="65"/>
  <c r="HS161" i="65"/>
  <c r="HS165" i="65"/>
  <c r="HS169" i="65"/>
  <c r="HS173" i="65"/>
  <c r="HS177" i="65"/>
  <c r="HS181" i="65"/>
  <c r="HS185" i="65"/>
  <c r="HS189" i="65"/>
  <c r="HS191" i="65"/>
  <c r="HS193" i="65"/>
  <c r="HS197" i="65"/>
  <c r="HS199" i="65"/>
  <c r="HS201" i="65"/>
  <c r="HS205" i="65"/>
  <c r="HS209" i="65"/>
  <c r="HS211" i="65"/>
  <c r="HS213" i="65"/>
  <c r="HS217" i="65"/>
  <c r="HS221" i="65"/>
  <c r="HS223" i="65"/>
  <c r="HS225" i="65"/>
  <c r="HS229" i="65"/>
  <c r="HS231" i="65"/>
  <c r="HS233" i="65"/>
  <c r="HS237" i="65"/>
  <c r="HS241" i="65"/>
  <c r="HS245" i="65"/>
  <c r="HS249" i="65"/>
  <c r="HS253" i="65"/>
  <c r="HS257" i="65"/>
  <c r="HS260" i="65"/>
  <c r="HS261" i="65"/>
  <c r="HS265" i="65"/>
  <c r="HS268" i="65"/>
  <c r="HS269" i="65"/>
  <c r="HS273" i="65"/>
  <c r="HS277" i="65"/>
  <c r="HS281" i="65"/>
  <c r="HS285" i="65"/>
  <c r="HS287" i="65"/>
  <c r="HS289" i="65"/>
  <c r="HS293" i="65"/>
  <c r="HS295" i="65"/>
  <c r="HS297" i="65"/>
  <c r="HS301" i="65"/>
  <c r="HS305" i="65"/>
  <c r="HS309" i="65"/>
  <c r="HS313" i="65"/>
  <c r="HS317" i="65"/>
  <c r="HS321" i="65"/>
  <c r="HS323" i="65"/>
  <c r="HS325" i="65"/>
  <c r="HS329" i="65"/>
  <c r="HS333" i="65"/>
  <c r="HS337" i="65"/>
  <c r="HS341" i="65"/>
  <c r="HS345" i="65"/>
  <c r="HS349" i="65"/>
  <c r="HS351" i="65"/>
  <c r="HS353" i="65"/>
  <c r="HS357" i="65"/>
  <c r="HS359" i="65"/>
  <c r="HS361" i="65"/>
  <c r="HS365" i="65"/>
  <c r="HS369" i="65"/>
  <c r="HS373" i="65"/>
  <c r="HS377" i="65"/>
  <c r="HS381" i="65"/>
  <c r="HS389" i="65"/>
  <c r="HS393" i="65"/>
  <c r="HS397" i="65"/>
  <c r="HS399" i="65"/>
  <c r="HS401" i="65"/>
  <c r="HS409" i="65"/>
  <c r="HS417" i="65"/>
  <c r="HS425" i="65"/>
  <c r="HS429" i="65"/>
  <c r="HS433" i="65"/>
  <c r="HS437" i="65"/>
  <c r="HS441" i="65"/>
  <c r="HS445" i="65"/>
  <c r="HS453" i="65"/>
  <c r="HS461" i="65"/>
  <c r="HS473" i="65"/>
  <c r="HS481" i="65"/>
  <c r="HS489" i="65"/>
  <c r="HS493" i="65"/>
  <c r="HS501" i="65"/>
  <c r="HS503" i="65"/>
  <c r="HS509" i="65"/>
  <c r="HS517" i="65"/>
  <c r="HS525" i="65"/>
  <c r="HV37" i="65"/>
  <c r="HU37" i="65" s="1"/>
  <c r="HV45" i="65"/>
  <c r="HU45" i="65" s="1"/>
  <c r="HV49" i="65"/>
  <c r="HU49" i="65" s="1"/>
  <c r="HV51" i="65"/>
  <c r="HU51" i="65" s="1"/>
  <c r="HV53" i="65"/>
  <c r="HU53" i="65" s="1"/>
  <c r="HV57" i="65"/>
  <c r="HU57" i="65" s="1"/>
  <c r="HV61" i="65"/>
  <c r="HU61" i="65" s="1"/>
  <c r="HV65" i="65"/>
  <c r="HU65" i="65" s="1"/>
  <c r="HV69" i="65"/>
  <c r="HU69" i="65" s="1"/>
  <c r="HV73" i="65"/>
  <c r="HU73" i="65" s="1"/>
  <c r="HV75" i="65"/>
  <c r="HU75" i="65" s="1"/>
  <c r="HV77" i="65"/>
  <c r="HU77" i="65" s="1"/>
  <c r="HV81" i="65"/>
  <c r="HU81" i="65" s="1"/>
  <c r="HV85" i="65"/>
  <c r="HU85" i="65" s="1"/>
  <c r="HV89" i="65"/>
  <c r="HU89" i="65" s="1"/>
  <c r="HV93" i="65"/>
  <c r="HU93" i="65" s="1"/>
  <c r="HV95" i="65"/>
  <c r="HU95" i="65" s="1"/>
  <c r="HV97" i="65"/>
  <c r="HU97" i="65" s="1"/>
  <c r="HV101" i="65"/>
  <c r="HU101" i="65" s="1"/>
  <c r="HV105" i="65"/>
  <c r="HU105" i="65" s="1"/>
  <c r="HV109" i="65"/>
  <c r="HU109" i="65" s="1"/>
  <c r="HV113" i="65"/>
  <c r="HU113" i="65" s="1"/>
  <c r="HV117" i="65"/>
  <c r="HU117" i="65" s="1"/>
  <c r="HV119" i="65"/>
  <c r="HU119" i="65" s="1"/>
  <c r="HV121" i="65"/>
  <c r="HU121" i="65" s="1"/>
  <c r="HV129" i="65"/>
  <c r="HU129" i="65" s="1"/>
  <c r="HV131" i="65"/>
  <c r="HU131" i="65" s="1"/>
  <c r="HV133" i="65"/>
  <c r="HU133" i="65" s="1"/>
  <c r="HV137" i="65"/>
  <c r="HU137" i="65" s="1"/>
  <c r="HV141" i="65"/>
  <c r="HU141" i="65" s="1"/>
  <c r="HV145" i="65"/>
  <c r="HU145" i="65" s="1"/>
  <c r="HV149" i="65"/>
  <c r="HU149" i="65" s="1"/>
  <c r="HV153" i="65"/>
  <c r="HU153" i="65" s="1"/>
  <c r="HV161" i="65"/>
  <c r="HU161" i="65" s="1"/>
  <c r="HV169" i="65"/>
  <c r="HU169" i="65" s="1"/>
  <c r="HV189" i="65"/>
  <c r="HU189" i="65" s="1"/>
  <c r="HV201" i="65"/>
  <c r="HU201" i="65" s="1"/>
  <c r="HV209" i="65"/>
  <c r="HU209" i="65" s="1"/>
  <c r="HV213" i="65"/>
  <c r="HU213" i="65" s="1"/>
  <c r="HV217" i="65"/>
  <c r="HU217" i="65" s="1"/>
  <c r="HV221" i="65"/>
  <c r="HU221" i="65" s="1"/>
  <c r="HV225" i="65"/>
  <c r="HU225" i="65" s="1"/>
  <c r="HV227" i="65"/>
  <c r="HU227" i="65" s="1"/>
  <c r="HV229" i="65"/>
  <c r="HU229" i="65" s="1"/>
  <c r="HV233" i="65"/>
  <c r="HU233" i="65" s="1"/>
  <c r="HV237" i="65"/>
  <c r="HU237" i="65" s="1"/>
  <c r="HV241" i="65"/>
  <c r="HU241" i="65" s="1"/>
  <c r="HV249" i="65"/>
  <c r="HU249" i="65" s="1"/>
  <c r="HV253" i="65"/>
  <c r="HU253" i="65" s="1"/>
  <c r="HV257" i="65"/>
  <c r="HU257" i="65" s="1"/>
  <c r="HV261" i="65"/>
  <c r="HU261" i="65" s="1"/>
  <c r="HV265" i="65"/>
  <c r="HU265" i="65" s="1"/>
  <c r="HV269" i="65"/>
  <c r="HU269" i="65" s="1"/>
  <c r="HV273" i="65"/>
  <c r="HU273" i="65" s="1"/>
  <c r="HV275" i="65"/>
  <c r="HU275" i="65" s="1"/>
  <c r="HV277" i="65"/>
  <c r="HU277" i="65" s="1"/>
  <c r="HV281" i="65"/>
  <c r="HU281" i="65" s="1"/>
  <c r="HV285" i="65"/>
  <c r="HU285" i="65" s="1"/>
  <c r="HV289" i="65"/>
  <c r="HU289" i="65" s="1"/>
  <c r="HV293" i="65"/>
  <c r="HU293" i="65" s="1"/>
  <c r="HV297" i="65"/>
  <c r="HU297" i="65" s="1"/>
  <c r="HV299" i="65"/>
  <c r="HU299" i="65" s="1"/>
  <c r="HV301" i="65"/>
  <c r="HU301" i="65" s="1"/>
  <c r="HV305" i="65"/>
  <c r="HU305" i="65" s="1"/>
  <c r="HV309" i="65"/>
  <c r="HU309" i="65" s="1"/>
  <c r="HV313" i="65"/>
  <c r="HU313" i="65" s="1"/>
  <c r="HV317" i="65"/>
  <c r="HU317" i="65" s="1"/>
  <c r="HV321" i="65"/>
  <c r="HU321" i="65" s="1"/>
  <c r="HV329" i="65"/>
  <c r="HU329" i="65" s="1"/>
  <c r="HV333" i="65"/>
  <c r="HU333" i="65" s="1"/>
  <c r="HV337" i="65"/>
  <c r="HU337" i="65" s="1"/>
  <c r="HV341" i="65"/>
  <c r="HU341" i="65" s="1"/>
  <c r="HV345" i="65"/>
  <c r="HU345" i="65" s="1"/>
  <c r="HV349" i="65"/>
  <c r="HU349" i="65" s="1"/>
  <c r="HV353" i="65"/>
  <c r="HU353" i="65" s="1"/>
  <c r="HV357" i="65"/>
  <c r="HU357" i="65" s="1"/>
  <c r="HV359" i="65"/>
  <c r="HU359" i="65" s="1"/>
  <c r="HV361" i="65"/>
  <c r="HU361" i="65" s="1"/>
  <c r="HV365" i="65"/>
  <c r="HU365" i="65" s="1"/>
  <c r="HV369" i="65"/>
  <c r="HU369" i="65" s="1"/>
  <c r="HV373" i="65"/>
  <c r="HU373" i="65" s="1"/>
  <c r="HV377" i="65"/>
  <c r="HU377" i="65" s="1"/>
  <c r="HV381" i="65"/>
  <c r="HU381" i="65" s="1"/>
  <c r="HV385" i="65"/>
  <c r="HU385" i="65" s="1"/>
  <c r="HV389" i="65"/>
  <c r="HU389" i="65" s="1"/>
  <c r="HV393" i="65"/>
  <c r="HU393" i="65" s="1"/>
  <c r="HV397" i="65"/>
  <c r="HU397" i="65" s="1"/>
  <c r="HV401" i="65"/>
  <c r="HU401" i="65" s="1"/>
  <c r="HV405" i="65"/>
  <c r="HU405" i="65" s="1"/>
  <c r="HV409" i="65"/>
  <c r="HU409" i="65" s="1"/>
  <c r="HV413" i="65"/>
  <c r="HU413" i="65" s="1"/>
  <c r="HV417" i="65"/>
  <c r="HU417" i="65" s="1"/>
  <c r="HV421" i="65"/>
  <c r="HU421" i="65" s="1"/>
  <c r="HV425" i="65"/>
  <c r="HU425" i="65" s="1"/>
  <c r="HV429" i="65"/>
  <c r="HU429" i="65" s="1"/>
  <c r="HV433" i="65"/>
  <c r="HU433" i="65" s="1"/>
  <c r="HV437" i="65"/>
  <c r="HU437" i="65" s="1"/>
  <c r="HV441" i="65"/>
  <c r="HU441" i="65" s="1"/>
  <c r="HV445" i="65"/>
  <c r="HU445" i="65" s="1"/>
  <c r="HV449" i="65"/>
  <c r="HU449" i="65" s="1"/>
  <c r="HV453" i="65"/>
  <c r="HU453" i="65" s="1"/>
  <c r="HV457" i="65"/>
  <c r="HU457" i="65" s="1"/>
  <c r="HV461" i="65"/>
  <c r="HU461" i="65" s="1"/>
  <c r="HV465" i="65"/>
  <c r="HU465" i="65" s="1"/>
  <c r="HV473" i="65"/>
  <c r="HU473" i="65" s="1"/>
  <c r="HV477" i="65"/>
  <c r="HU477" i="65" s="1"/>
  <c r="HV481" i="65"/>
  <c r="HU481" i="65" s="1"/>
  <c r="HV489" i="65"/>
  <c r="HU489" i="65" s="1"/>
  <c r="HV493" i="65"/>
  <c r="HU493" i="65" s="1"/>
  <c r="HV497" i="65"/>
  <c r="HU497" i="65" s="1"/>
  <c r="HV501" i="65"/>
  <c r="HU501" i="65" s="1"/>
  <c r="HV505" i="65"/>
  <c r="HU505" i="65" s="1"/>
  <c r="HV509" i="65"/>
  <c r="HU509" i="65" s="1"/>
  <c r="HV513" i="65"/>
  <c r="HU513" i="65" s="1"/>
  <c r="HV521" i="65"/>
  <c r="HU521" i="65" s="1"/>
  <c r="HV525" i="65"/>
  <c r="HU525" i="65" s="1"/>
  <c r="HV529" i="65"/>
  <c r="HU529" i="65" s="1"/>
  <c r="HV533" i="65"/>
  <c r="HU533" i="65" s="1"/>
  <c r="HO6" i="65"/>
  <c r="HL6" i="65"/>
  <c r="HM532" i="65" l="1"/>
  <c r="HN532" i="65"/>
  <c r="HM530" i="65"/>
  <c r="HN530" i="65"/>
  <c r="HM528" i="65"/>
  <c r="HN528" i="65"/>
  <c r="HM526" i="65"/>
  <c r="HN526" i="65"/>
  <c r="HM524" i="65"/>
  <c r="HN524" i="65"/>
  <c r="HM522" i="65"/>
  <c r="HN522" i="65"/>
  <c r="HM520" i="65"/>
  <c r="HN520" i="65"/>
  <c r="HM518" i="65"/>
  <c r="HN518" i="65"/>
  <c r="HM516" i="65"/>
  <c r="HN516" i="65"/>
  <c r="HM514" i="65"/>
  <c r="HN514" i="65"/>
  <c r="HM510" i="65"/>
  <c r="HN510" i="65"/>
  <c r="HM508" i="65"/>
  <c r="HM506" i="65"/>
  <c r="HN506" i="65"/>
  <c r="HM504" i="65"/>
  <c r="HM502" i="65"/>
  <c r="HN502" i="65"/>
  <c r="HM500" i="65"/>
  <c r="HM498" i="65"/>
  <c r="HN498" i="65"/>
  <c r="HM496" i="65"/>
  <c r="HM494" i="65"/>
  <c r="HN494" i="65"/>
  <c r="HM492" i="65"/>
  <c r="HM490" i="65"/>
  <c r="HN490" i="65"/>
  <c r="HM488" i="65"/>
  <c r="HM486" i="65"/>
  <c r="HN486" i="65"/>
  <c r="HM484" i="65"/>
  <c r="HM482" i="65"/>
  <c r="HN482" i="65"/>
  <c r="HM480" i="65"/>
  <c r="HM478" i="65"/>
  <c r="HN478" i="65"/>
  <c r="HM476" i="65"/>
  <c r="HM474" i="65"/>
  <c r="HN474" i="65"/>
  <c r="HM472" i="65"/>
  <c r="HM470" i="65"/>
  <c r="HN470" i="65"/>
  <c r="HM468" i="65"/>
  <c r="HM466" i="65"/>
  <c r="HN466" i="65"/>
  <c r="HM464" i="65"/>
  <c r="HM462" i="65"/>
  <c r="HN462" i="65"/>
  <c r="HM460" i="65"/>
  <c r="HM458" i="65"/>
  <c r="HN458" i="65" s="1"/>
  <c r="HM456" i="65"/>
  <c r="HM454" i="65"/>
  <c r="HN454" i="65" s="1"/>
  <c r="HM452" i="65"/>
  <c r="HM450" i="65"/>
  <c r="HN450" i="65" s="1"/>
  <c r="HM446" i="65"/>
  <c r="HN446" i="65"/>
  <c r="HM444" i="65"/>
  <c r="HN444" i="65"/>
  <c r="HM442" i="65"/>
  <c r="HN442" i="65"/>
  <c r="HM438" i="65"/>
  <c r="HM436" i="65"/>
  <c r="HN436" i="65" s="1"/>
  <c r="HM434" i="65"/>
  <c r="HM430" i="65"/>
  <c r="HN430" i="65"/>
  <c r="HM428" i="65"/>
  <c r="HN428" i="65"/>
  <c r="HM426" i="65"/>
  <c r="HN426" i="65"/>
  <c r="HM422" i="65"/>
  <c r="HN422" i="65" s="1"/>
  <c r="HM420" i="65"/>
  <c r="HM418" i="65"/>
  <c r="HN418" i="65" s="1"/>
  <c r="HM414" i="65"/>
  <c r="HN414" i="65"/>
  <c r="HM412" i="65"/>
  <c r="HN412" i="65"/>
  <c r="HM410" i="65"/>
  <c r="HN410" i="65"/>
  <c r="HM406" i="65"/>
  <c r="HM404" i="65"/>
  <c r="HN404" i="65" s="1"/>
  <c r="HM402" i="65"/>
  <c r="HM398" i="65"/>
  <c r="HN398" i="65"/>
  <c r="HM396" i="65"/>
  <c r="HN396" i="65"/>
  <c r="HM394" i="65"/>
  <c r="HN394" i="65"/>
  <c r="HM392" i="65"/>
  <c r="HN392" i="65"/>
  <c r="HM390" i="65"/>
  <c r="HN390" i="65"/>
  <c r="HM388" i="65"/>
  <c r="HN388" i="65"/>
  <c r="HM386" i="65"/>
  <c r="HN386" i="65"/>
  <c r="HM384" i="65"/>
  <c r="HN384" i="65"/>
  <c r="HM382" i="65"/>
  <c r="HN382" i="65"/>
  <c r="HM380" i="65"/>
  <c r="HN380" i="65"/>
  <c r="HM378" i="65"/>
  <c r="HN378" i="65"/>
  <c r="HM374" i="65"/>
  <c r="HN374" i="65" s="1"/>
  <c r="HM372" i="65"/>
  <c r="HM370" i="65"/>
  <c r="HN370" i="65" s="1"/>
  <c r="HM368" i="65"/>
  <c r="HM366" i="65"/>
  <c r="HN366" i="65" s="1"/>
  <c r="HM364" i="65"/>
  <c r="HM362" i="65"/>
  <c r="HN362" i="65" s="1"/>
  <c r="HM358" i="65"/>
  <c r="HN358" i="65"/>
  <c r="HM356" i="65"/>
  <c r="HN356" i="65"/>
  <c r="HM354" i="65"/>
  <c r="HN354" i="65"/>
  <c r="HM350" i="65"/>
  <c r="HM348" i="65"/>
  <c r="HN348" i="65" s="1"/>
  <c r="HM346" i="65"/>
  <c r="HM344" i="65"/>
  <c r="HN344" i="65" s="1"/>
  <c r="HM342" i="65"/>
  <c r="HM340" i="65"/>
  <c r="HN340" i="65" s="1"/>
  <c r="HM338" i="65"/>
  <c r="HM336" i="65"/>
  <c r="HN336" i="65" s="1"/>
  <c r="HM334" i="65"/>
  <c r="HM330" i="65"/>
  <c r="HN330" i="65"/>
  <c r="HM328" i="65"/>
  <c r="HN328" i="65"/>
  <c r="HM326" i="65"/>
  <c r="HN326" i="65"/>
  <c r="HM324" i="65"/>
  <c r="HN324" i="65"/>
  <c r="HM322" i="65"/>
  <c r="HN322" i="65"/>
  <c r="HM320" i="65"/>
  <c r="HN320" i="65"/>
  <c r="HM318" i="65"/>
  <c r="HN318" i="65"/>
  <c r="HM314" i="65"/>
  <c r="HN314" i="65" s="1"/>
  <c r="HM312" i="65"/>
  <c r="HM310" i="65"/>
  <c r="HN310" i="65" s="1"/>
  <c r="HM308" i="65"/>
  <c r="HM306" i="65"/>
  <c r="HN306" i="65" s="1"/>
  <c r="HM304" i="65"/>
  <c r="HM302" i="65"/>
  <c r="HN302" i="65" s="1"/>
  <c r="HM300" i="65"/>
  <c r="HM298" i="65"/>
  <c r="HN298" i="65" s="1"/>
  <c r="HM296" i="65"/>
  <c r="HM294" i="65"/>
  <c r="HN294" i="65" s="1"/>
  <c r="HM292" i="65"/>
  <c r="HM290" i="65"/>
  <c r="HN290" i="65" s="1"/>
  <c r="HM288" i="65"/>
  <c r="HM286" i="65"/>
  <c r="HN286" i="65" s="1"/>
  <c r="HM284" i="65"/>
  <c r="HM282" i="65"/>
  <c r="HN282" i="65" s="1"/>
  <c r="HM280" i="65"/>
  <c r="HM278" i="65"/>
  <c r="HN278" i="65" s="1"/>
  <c r="HM276" i="65"/>
  <c r="HM274" i="65"/>
  <c r="HN274" i="65" s="1"/>
  <c r="HM272" i="65"/>
  <c r="HM270" i="65"/>
  <c r="HN270" i="65" s="1"/>
  <c r="HM268" i="65"/>
  <c r="HM266" i="65"/>
  <c r="HN266" i="65" s="1"/>
  <c r="HM264" i="65"/>
  <c r="HM262" i="65"/>
  <c r="HN262" i="65" s="1"/>
  <c r="HM258" i="65"/>
  <c r="HN258" i="65"/>
  <c r="HM256" i="65"/>
  <c r="HN256" i="65"/>
  <c r="HM254" i="65"/>
  <c r="HN254" i="65"/>
  <c r="HM252" i="65"/>
  <c r="HN252" i="65"/>
  <c r="HM250" i="65"/>
  <c r="HN250" i="65"/>
  <c r="HM248" i="65"/>
  <c r="HN248" i="65"/>
  <c r="HM246" i="65"/>
  <c r="HN246" i="65"/>
  <c r="HM244" i="65"/>
  <c r="HN244" i="65"/>
  <c r="HM242" i="65"/>
  <c r="HN242" i="65"/>
  <c r="HM238" i="65"/>
  <c r="HM236" i="65"/>
  <c r="HN236" i="65" s="1"/>
  <c r="HM234" i="65"/>
  <c r="HM232" i="65"/>
  <c r="HN232" i="65" s="1"/>
  <c r="HM230" i="65"/>
  <c r="HM228" i="65"/>
  <c r="HN228" i="65" s="1"/>
  <c r="HM226" i="65"/>
  <c r="HM222" i="65"/>
  <c r="HN222" i="65"/>
  <c r="HM220" i="65"/>
  <c r="HN220" i="65"/>
  <c r="HM218" i="65"/>
  <c r="HN218" i="65"/>
  <c r="HM216" i="65"/>
  <c r="HN216" i="65"/>
  <c r="HM214" i="65"/>
  <c r="HN214" i="65"/>
  <c r="HM212" i="65"/>
  <c r="HN212" i="65"/>
  <c r="HM210" i="65"/>
  <c r="HN210" i="65"/>
  <c r="HM208" i="65"/>
  <c r="HN208" i="65"/>
  <c r="HM206" i="65"/>
  <c r="HN206" i="65"/>
  <c r="HM204" i="65"/>
  <c r="HN204" i="65"/>
  <c r="HM202" i="65"/>
  <c r="HN202" i="65"/>
  <c r="HM200" i="65"/>
  <c r="HN200" i="65"/>
  <c r="HM198" i="65"/>
  <c r="HN198" i="65"/>
  <c r="HM196" i="65"/>
  <c r="HN196" i="65"/>
  <c r="HM194" i="65"/>
  <c r="HN194" i="65"/>
  <c r="HM190" i="65"/>
  <c r="HN190" i="65" s="1"/>
  <c r="HM188" i="65"/>
  <c r="HM186" i="65"/>
  <c r="HN186" i="65" s="1"/>
  <c r="HM184" i="65"/>
  <c r="HM182" i="65"/>
  <c r="HN182" i="65" s="1"/>
  <c r="HM180" i="65"/>
  <c r="HM178" i="65"/>
  <c r="HN178" i="65" s="1"/>
  <c r="HM174" i="65"/>
  <c r="HN174" i="65"/>
  <c r="HM172" i="65"/>
  <c r="HN172" i="65"/>
  <c r="HM170" i="65"/>
  <c r="HN170" i="65"/>
  <c r="HM168" i="65"/>
  <c r="HN168" i="65"/>
  <c r="HM166" i="65"/>
  <c r="HN166" i="65"/>
  <c r="HM162" i="65"/>
  <c r="HM160" i="65"/>
  <c r="HN160" i="65" s="1"/>
  <c r="HM158" i="65"/>
  <c r="HM156" i="65"/>
  <c r="HN156" i="65" s="1"/>
  <c r="HM154" i="65"/>
  <c r="HM152" i="65"/>
  <c r="HN152" i="65" s="1"/>
  <c r="HM150" i="65"/>
  <c r="HM148" i="65"/>
  <c r="HN148" i="65" s="1"/>
  <c r="HM146" i="65"/>
  <c r="HM144" i="65"/>
  <c r="HN144" i="65" s="1"/>
  <c r="HM142" i="65"/>
  <c r="HM140" i="65"/>
  <c r="HN140" i="65" s="1"/>
  <c r="HM138" i="65"/>
  <c r="HM136" i="65"/>
  <c r="HN136" i="65" s="1"/>
  <c r="HM134" i="65"/>
  <c r="HM132" i="65"/>
  <c r="HN132" i="65" s="1"/>
  <c r="HM130" i="65"/>
  <c r="HM128" i="65"/>
  <c r="HN128" i="65" s="1"/>
  <c r="HM126" i="65"/>
  <c r="HM124" i="65"/>
  <c r="HN124" i="65" s="1"/>
  <c r="HM122" i="65"/>
  <c r="HM118" i="65"/>
  <c r="HN118" i="65"/>
  <c r="HM116" i="65"/>
  <c r="HN116" i="65"/>
  <c r="HM114" i="65"/>
  <c r="HN114" i="65"/>
  <c r="HM112" i="65"/>
  <c r="HN112" i="65"/>
  <c r="HM110" i="65"/>
  <c r="HN110" i="65"/>
  <c r="HM106" i="65"/>
  <c r="HN106" i="65" s="1"/>
  <c r="HM104" i="65"/>
  <c r="HM102" i="65"/>
  <c r="HN102" i="65" s="1"/>
  <c r="HM100" i="65"/>
  <c r="HM98" i="65"/>
  <c r="HN98" i="65" s="1"/>
  <c r="HM94" i="65"/>
  <c r="HN94" i="65"/>
  <c r="HM90" i="65"/>
  <c r="HM88" i="65"/>
  <c r="HN88" i="65" s="1"/>
  <c r="HM86" i="65"/>
  <c r="HM84" i="65"/>
  <c r="HN84" i="65" s="1"/>
  <c r="HM82" i="65"/>
  <c r="HM80" i="65"/>
  <c r="HN80" i="65" s="1"/>
  <c r="HM78" i="65"/>
  <c r="HM76" i="65"/>
  <c r="HN76" i="65" s="1"/>
  <c r="HM74" i="65"/>
  <c r="HM70" i="65"/>
  <c r="HN70" i="65"/>
  <c r="HM68" i="65"/>
  <c r="HN68" i="65"/>
  <c r="HM66" i="65"/>
  <c r="HN66" i="65"/>
  <c r="HM64" i="65"/>
  <c r="HN64" i="65"/>
  <c r="HM62" i="65"/>
  <c r="HN62" i="65"/>
  <c r="HM60" i="65"/>
  <c r="HN60" i="65"/>
  <c r="HM58" i="65"/>
  <c r="HN58" i="65"/>
  <c r="HM54" i="65"/>
  <c r="HN54" i="65" s="1"/>
  <c r="HM52" i="65"/>
  <c r="HM50" i="65"/>
  <c r="HN50" i="65" s="1"/>
  <c r="HM48" i="65"/>
  <c r="HM46" i="65"/>
  <c r="HN46" i="65" s="1"/>
  <c r="HM44" i="65"/>
  <c r="HM42" i="65"/>
  <c r="HN42" i="65" s="1"/>
  <c r="HM38" i="65"/>
  <c r="HN38" i="65"/>
  <c r="HM36" i="65"/>
  <c r="HN36" i="65"/>
  <c r="HM34" i="65"/>
  <c r="HN34" i="65"/>
  <c r="HM32" i="65"/>
  <c r="HN32" i="65"/>
  <c r="HM30" i="65"/>
  <c r="HN30" i="65"/>
  <c r="HM28" i="65"/>
  <c r="HN28" i="65"/>
  <c r="HM26" i="65"/>
  <c r="HN26" i="65"/>
  <c r="HM24" i="65"/>
  <c r="HN24" i="65"/>
  <c r="HM22" i="65"/>
  <c r="HN22" i="65"/>
  <c r="HM20" i="65"/>
  <c r="HN20" i="65"/>
  <c r="HM18" i="65"/>
  <c r="HN18" i="65"/>
  <c r="HM14" i="65"/>
  <c r="HM12" i="65"/>
  <c r="HN12" i="65" s="1"/>
  <c r="HM10" i="65"/>
  <c r="HM8" i="65"/>
  <c r="HN8" i="65" s="1"/>
  <c r="HS467" i="65"/>
  <c r="HM6" i="65"/>
  <c r="HN6" i="65"/>
  <c r="HS423" i="65"/>
  <c r="HM533" i="65"/>
  <c r="HM529" i="65"/>
  <c r="HN529" i="65"/>
  <c r="HM525" i="65"/>
  <c r="HN525" i="65" s="1"/>
  <c r="HM523" i="65"/>
  <c r="HM521" i="65"/>
  <c r="HN521" i="65" s="1"/>
  <c r="HM517" i="65"/>
  <c r="HN517" i="65"/>
  <c r="HM513" i="65"/>
  <c r="HM509" i="65"/>
  <c r="HN509" i="65"/>
  <c r="HM507" i="65"/>
  <c r="HN507" i="65"/>
  <c r="HM505" i="65"/>
  <c r="HN505" i="65"/>
  <c r="HM501" i="65"/>
  <c r="HN501" i="65" s="1"/>
  <c r="HM497" i="65"/>
  <c r="HN497" i="65"/>
  <c r="HM493" i="65"/>
  <c r="HM491" i="65"/>
  <c r="HN491" i="65" s="1"/>
  <c r="HM489" i="65"/>
  <c r="HM481" i="65"/>
  <c r="HN481" i="65"/>
  <c r="HM477" i="65"/>
  <c r="HM475" i="65"/>
  <c r="HN475" i="65" s="1"/>
  <c r="HM473" i="65"/>
  <c r="HM465" i="65"/>
  <c r="HN465" i="65"/>
  <c r="HM461" i="65"/>
  <c r="HM459" i="65"/>
  <c r="HN459" i="65" s="1"/>
  <c r="HM457" i="65"/>
  <c r="HM453" i="65"/>
  <c r="HN453" i="65"/>
  <c r="HM449" i="65"/>
  <c r="HN449" i="65" s="1"/>
  <c r="HM445" i="65"/>
  <c r="HN445" i="65"/>
  <c r="HM443" i="65"/>
  <c r="HN443" i="65"/>
  <c r="HM441" i="65"/>
  <c r="HN441" i="65"/>
  <c r="HM437" i="65"/>
  <c r="HM433" i="65"/>
  <c r="HN433" i="65"/>
  <c r="HM429" i="65"/>
  <c r="HN429" i="65" s="1"/>
  <c r="HM427" i="65"/>
  <c r="HM425" i="65"/>
  <c r="HN425" i="65" s="1"/>
  <c r="HM421" i="65"/>
  <c r="HN421" i="65"/>
  <c r="HM417" i="65"/>
  <c r="HM413" i="65"/>
  <c r="HN413" i="65"/>
  <c r="HM411" i="65"/>
  <c r="HN411" i="65"/>
  <c r="HM409" i="65"/>
  <c r="HN409" i="65"/>
  <c r="HM405" i="65"/>
  <c r="HN405" i="65" s="1"/>
  <c r="HM401" i="65"/>
  <c r="HN401" i="65"/>
  <c r="HM397" i="65"/>
  <c r="HM393" i="65"/>
  <c r="HN393" i="65"/>
  <c r="HM389" i="65"/>
  <c r="HN389" i="65" s="1"/>
  <c r="HM385" i="65"/>
  <c r="HN385" i="65"/>
  <c r="HM381" i="65"/>
  <c r="HM377" i="65"/>
  <c r="HN377" i="65"/>
  <c r="HM373" i="65"/>
  <c r="HN373" i="65" s="1"/>
  <c r="HM369" i="65"/>
  <c r="HN369" i="65"/>
  <c r="HM365" i="65"/>
  <c r="HM363" i="65"/>
  <c r="HN363" i="65" s="1"/>
  <c r="HM361" i="65"/>
  <c r="HM357" i="65"/>
  <c r="HN357" i="65"/>
  <c r="HM353" i="65"/>
  <c r="HN353" i="65" s="1"/>
  <c r="HM349" i="65"/>
  <c r="HN349" i="65"/>
  <c r="HM345" i="65"/>
  <c r="HM343" i="65"/>
  <c r="HN343" i="65" s="1"/>
  <c r="HM341" i="65"/>
  <c r="HM339" i="65"/>
  <c r="HN339" i="65" s="1"/>
  <c r="HM337" i="65"/>
  <c r="HM335" i="65"/>
  <c r="HN335" i="65" s="1"/>
  <c r="HM333" i="65"/>
  <c r="HM331" i="65"/>
  <c r="HN331" i="65" s="1"/>
  <c r="HM329" i="65"/>
  <c r="HM327" i="65"/>
  <c r="HN327" i="65" s="1"/>
  <c r="HM325" i="65"/>
  <c r="HM321" i="65"/>
  <c r="HN321" i="65"/>
  <c r="HM319" i="65"/>
  <c r="HN319" i="65"/>
  <c r="HM317" i="65"/>
  <c r="HN317" i="65"/>
  <c r="HM315" i="65"/>
  <c r="HN315" i="65"/>
  <c r="HM313" i="65"/>
  <c r="HN313" i="65"/>
  <c r="HM309" i="65"/>
  <c r="HN309" i="65" s="1"/>
  <c r="HM307" i="65"/>
  <c r="HM305" i="65"/>
  <c r="HN305" i="65" s="1"/>
  <c r="HM303" i="65"/>
  <c r="HM301" i="65"/>
  <c r="HN301" i="65" s="1"/>
  <c r="HM299" i="65"/>
  <c r="HM297" i="65"/>
  <c r="HN297" i="65" s="1"/>
  <c r="HM293" i="65"/>
  <c r="HN293" i="65"/>
  <c r="HM291" i="65"/>
  <c r="HN291" i="65"/>
  <c r="HM289" i="65"/>
  <c r="HN289" i="65"/>
  <c r="HM285" i="65"/>
  <c r="HM283" i="65"/>
  <c r="HN283" i="65" s="1"/>
  <c r="HM281" i="65"/>
  <c r="HM277" i="65"/>
  <c r="HN277" i="65"/>
  <c r="HM275" i="65"/>
  <c r="HN275" i="65"/>
  <c r="HM273" i="65"/>
  <c r="HN273" i="65"/>
  <c r="HM271" i="65"/>
  <c r="HN271" i="65"/>
  <c r="HM269" i="65"/>
  <c r="HN269" i="65"/>
  <c r="HM267" i="65"/>
  <c r="HN267" i="65"/>
  <c r="HM265" i="65"/>
  <c r="HN265" i="65"/>
  <c r="HM263" i="65"/>
  <c r="HN263" i="65"/>
  <c r="HM261" i="65"/>
  <c r="HN261" i="65"/>
  <c r="HM259" i="65"/>
  <c r="HN259" i="65"/>
  <c r="HM257" i="65"/>
  <c r="HN257" i="65"/>
  <c r="HM253" i="65"/>
  <c r="HN253" i="65" s="1"/>
  <c r="HM251" i="65"/>
  <c r="HM249" i="65"/>
  <c r="HN249" i="65" s="1"/>
  <c r="HM247" i="65"/>
  <c r="HM243" i="65"/>
  <c r="HN243" i="65"/>
  <c r="HM241" i="65"/>
  <c r="HN241" i="65"/>
  <c r="HM239" i="65"/>
  <c r="HN239" i="65"/>
  <c r="HM237" i="65"/>
  <c r="HN237" i="65"/>
  <c r="HM235" i="65"/>
  <c r="HN235" i="65"/>
  <c r="HM233" i="65"/>
  <c r="HN233" i="65"/>
  <c r="HM231" i="65"/>
  <c r="HN231" i="65"/>
  <c r="HM227" i="65"/>
  <c r="HN227" i="65" s="1"/>
  <c r="HM225" i="65"/>
  <c r="HM223" i="65"/>
  <c r="HN223" i="65" s="1"/>
  <c r="HM221" i="65"/>
  <c r="HM217" i="65"/>
  <c r="HN217" i="65"/>
  <c r="HM215" i="65"/>
  <c r="HN215" i="65"/>
  <c r="HM213" i="65"/>
  <c r="HN213" i="65"/>
  <c r="HM191" i="65"/>
  <c r="HN191" i="65"/>
  <c r="HM183" i="65"/>
  <c r="HM155" i="65"/>
  <c r="HN155" i="65"/>
  <c r="HM153" i="65"/>
  <c r="HN153" i="65"/>
  <c r="HM151" i="65"/>
  <c r="HN151" i="65"/>
  <c r="HM149" i="65"/>
  <c r="HN149" i="65"/>
  <c r="HM147" i="65"/>
  <c r="HN147" i="65"/>
  <c r="HM145" i="65"/>
  <c r="HN145" i="65"/>
  <c r="HM143" i="65"/>
  <c r="HN143" i="65"/>
  <c r="HM141" i="65"/>
  <c r="HN141" i="65"/>
  <c r="HM139" i="65"/>
  <c r="HN139" i="65"/>
  <c r="HM137" i="65"/>
  <c r="HN137" i="65"/>
  <c r="HM135" i="65"/>
  <c r="HN135" i="65"/>
  <c r="HM133" i="65"/>
  <c r="HN133" i="65"/>
  <c r="HM131" i="65"/>
  <c r="HN131" i="65"/>
  <c r="HM129" i="65"/>
  <c r="HN129" i="65"/>
  <c r="HM127" i="65"/>
  <c r="HN127" i="65"/>
  <c r="HM125" i="65"/>
  <c r="HN125" i="65"/>
  <c r="HM123" i="65"/>
  <c r="HN123" i="65"/>
  <c r="HM121" i="65"/>
  <c r="HN121" i="65"/>
  <c r="HM119" i="65"/>
  <c r="HN119" i="65"/>
  <c r="HM117" i="65"/>
  <c r="HN117" i="65"/>
  <c r="HM115" i="65"/>
  <c r="HN115" i="65"/>
  <c r="HM113" i="65"/>
  <c r="HN113" i="65"/>
  <c r="HM111" i="65"/>
  <c r="HN111" i="65"/>
  <c r="HM109" i="65"/>
  <c r="HN109" i="65"/>
  <c r="HM105" i="65"/>
  <c r="HM103" i="65"/>
  <c r="HN103" i="65" s="1"/>
  <c r="HM101" i="65"/>
  <c r="HM99" i="65"/>
  <c r="HN99" i="65" s="1"/>
  <c r="HM97" i="65"/>
  <c r="HM95" i="65"/>
  <c r="HN95" i="65" s="1"/>
  <c r="HM93" i="65"/>
  <c r="HM91" i="65"/>
  <c r="HN91" i="65" s="1"/>
  <c r="HM89" i="65"/>
  <c r="HM87" i="65"/>
  <c r="HN87" i="65" s="1"/>
  <c r="HM85" i="65"/>
  <c r="HM83" i="65"/>
  <c r="HN83" i="65" s="1"/>
  <c r="HM81" i="65"/>
  <c r="HM79" i="65"/>
  <c r="HN79" i="65" s="1"/>
  <c r="HM77" i="65"/>
  <c r="HM75" i="65"/>
  <c r="HN75" i="65" s="1"/>
  <c r="HM73" i="65"/>
  <c r="HM71" i="65"/>
  <c r="HN71" i="65" s="1"/>
  <c r="HM69" i="65"/>
  <c r="HM67" i="65"/>
  <c r="HN67" i="65" s="1"/>
  <c r="HM65" i="65"/>
  <c r="HM63" i="65"/>
  <c r="HN63" i="65" s="1"/>
  <c r="HM61" i="65"/>
  <c r="HM59" i="65"/>
  <c r="HN59" i="65" s="1"/>
  <c r="HM57" i="65"/>
  <c r="HM55" i="65"/>
  <c r="HN55" i="65" s="1"/>
  <c r="HM53" i="65"/>
  <c r="HM51" i="65"/>
  <c r="HN51" i="65" s="1"/>
  <c r="HM49" i="65"/>
  <c r="HM47" i="65"/>
  <c r="HN47" i="65" s="1"/>
  <c r="HM45" i="65"/>
  <c r="HM43" i="65"/>
  <c r="HN43" i="65" s="1"/>
  <c r="HM39" i="65"/>
  <c r="HN39" i="65"/>
  <c r="HM37" i="65"/>
  <c r="HN37" i="65"/>
  <c r="HM35" i="65"/>
  <c r="HN35" i="65"/>
  <c r="HT179" i="65"/>
  <c r="HS179" i="65"/>
  <c r="HT111" i="65"/>
  <c r="HS111" i="65"/>
  <c r="HV315" i="65"/>
  <c r="HU315" i="65" s="1"/>
  <c r="HV263" i="65"/>
  <c r="HU263" i="65" s="1"/>
  <c r="HV251" i="65"/>
  <c r="HU251" i="65" s="1"/>
  <c r="HV155" i="65"/>
  <c r="HU155" i="65" s="1"/>
  <c r="HV59" i="65"/>
  <c r="HU59" i="65" s="1"/>
  <c r="HS531" i="65"/>
  <c r="HS515" i="65"/>
  <c r="HS479" i="65"/>
  <c r="HS463" i="65"/>
  <c r="HS451" i="65"/>
  <c r="HS439" i="65"/>
  <c r="HS431" i="65"/>
  <c r="HS419" i="65"/>
  <c r="HS407" i="65"/>
  <c r="HS387" i="65"/>
  <c r="HS375" i="65"/>
  <c r="HS367" i="65"/>
  <c r="HS339" i="65"/>
  <c r="HS311" i="65"/>
  <c r="HS303" i="65"/>
  <c r="HS259" i="65"/>
  <c r="HS239" i="65"/>
  <c r="HS167" i="65"/>
  <c r="HS159" i="65"/>
  <c r="HS147" i="65"/>
  <c r="HS87" i="65"/>
  <c r="HS67" i="65"/>
  <c r="HS35" i="65"/>
  <c r="HS15" i="65"/>
  <c r="HS7" i="65"/>
  <c r="HT275" i="65"/>
  <c r="HS275" i="65"/>
  <c r="HT215" i="65"/>
  <c r="HS215" i="65"/>
  <c r="HT151" i="65"/>
  <c r="HS151" i="65"/>
  <c r="HV143" i="65"/>
  <c r="HU143" i="65" s="1"/>
  <c r="HS143" i="65"/>
  <c r="HV135" i="65"/>
  <c r="HU135" i="65" s="1"/>
  <c r="HS135" i="65"/>
  <c r="HT83" i="65"/>
  <c r="HS83" i="65"/>
  <c r="HT47" i="65"/>
  <c r="HS47" i="65"/>
  <c r="HT19" i="65"/>
  <c r="HS19" i="65"/>
  <c r="HV507" i="65"/>
  <c r="HU507" i="65" s="1"/>
  <c r="HV459" i="65"/>
  <c r="HU459" i="65" s="1"/>
  <c r="HV327" i="65"/>
  <c r="HU327" i="65" s="1"/>
  <c r="HV303" i="65"/>
  <c r="HU303" i="65" s="1"/>
  <c r="HV179" i="65"/>
  <c r="HU179" i="65" s="1"/>
  <c r="HV123" i="65"/>
  <c r="HU123" i="65" s="1"/>
  <c r="HV47" i="65"/>
  <c r="HU47" i="65" s="1"/>
  <c r="HS511" i="65"/>
  <c r="HS499" i="65"/>
  <c r="HS487" i="65"/>
  <c r="HS447" i="65"/>
  <c r="HS403" i="65"/>
  <c r="HS383" i="65"/>
  <c r="HS355" i="65"/>
  <c r="HS327" i="65"/>
  <c r="HS319" i="65"/>
  <c r="HS291" i="65"/>
  <c r="HS271" i="65"/>
  <c r="HS263" i="65"/>
  <c r="HS247" i="65"/>
  <c r="HS227" i="65"/>
  <c r="HS195" i="65"/>
  <c r="HS175" i="65"/>
  <c r="HS127" i="65"/>
  <c r="HS115" i="65"/>
  <c r="HS103" i="65"/>
  <c r="HS95" i="65"/>
  <c r="HS23" i="65"/>
  <c r="HT243" i="65"/>
  <c r="HS243" i="65"/>
  <c r="HT207" i="65"/>
  <c r="HS207" i="65"/>
  <c r="HT119" i="65"/>
  <c r="HS119" i="65"/>
  <c r="HT55" i="65"/>
  <c r="HS55" i="65"/>
  <c r="HV491" i="65"/>
  <c r="HU491" i="65" s="1"/>
  <c r="HV335" i="65"/>
  <c r="HU335" i="65" s="1"/>
  <c r="HV311" i="65"/>
  <c r="HU311" i="65" s="1"/>
  <c r="HV291" i="65"/>
  <c r="HU291" i="65" s="1"/>
  <c r="HV267" i="65"/>
  <c r="HU267" i="65" s="1"/>
  <c r="HV243" i="65"/>
  <c r="HU243" i="65" s="1"/>
  <c r="HV219" i="65"/>
  <c r="HU219" i="65" s="1"/>
  <c r="HV111" i="65"/>
  <c r="HU111" i="65" s="1"/>
  <c r="HV87" i="65"/>
  <c r="HU87" i="65" s="1"/>
  <c r="HS519" i="65"/>
  <c r="HS495" i="65"/>
  <c r="HS483" i="65"/>
  <c r="HS471" i="65"/>
  <c r="HS455" i="65"/>
  <c r="HS435" i="65"/>
  <c r="HS415" i="65"/>
  <c r="HS391" i="65"/>
  <c r="HS371" i="65"/>
  <c r="HS343" i="65"/>
  <c r="HS335" i="65"/>
  <c r="HS307" i="65"/>
  <c r="HS279" i="65"/>
  <c r="HS255" i="65"/>
  <c r="HS163" i="65"/>
  <c r="HS71" i="65"/>
  <c r="HS63" i="65"/>
  <c r="HS51" i="65"/>
  <c r="HS39" i="65"/>
  <c r="HS31" i="65"/>
  <c r="HV528" i="65"/>
  <c r="HU528" i="65" s="1"/>
  <c r="HV496" i="65"/>
  <c r="HU496" i="65" s="1"/>
  <c r="HV484" i="65"/>
  <c r="HU484" i="65" s="1"/>
  <c r="HV456" i="65"/>
  <c r="HU456" i="65" s="1"/>
  <c r="HV448" i="65"/>
  <c r="HU448" i="65" s="1"/>
  <c r="HV424" i="65"/>
  <c r="HU424" i="65" s="1"/>
  <c r="HV384" i="65"/>
  <c r="HU384" i="65" s="1"/>
  <c r="HV264" i="65"/>
  <c r="HU264" i="65" s="1"/>
  <c r="HV256" i="65"/>
  <c r="HU256" i="65" s="1"/>
  <c r="HV240" i="65"/>
  <c r="HU240" i="65" s="1"/>
  <c r="HV192" i="65"/>
  <c r="HU192" i="65" s="1"/>
  <c r="HV12" i="65"/>
  <c r="HU12" i="65" s="1"/>
  <c r="HV197" i="65"/>
  <c r="HU197" i="65" s="1"/>
  <c r="HV144" i="65"/>
  <c r="HU144" i="65" s="1"/>
  <c r="HV48" i="65"/>
  <c r="HU48" i="65" s="1"/>
  <c r="HT524" i="65"/>
  <c r="HS524" i="65"/>
  <c r="HT460" i="65"/>
  <c r="HS460" i="65"/>
  <c r="HT348" i="65"/>
  <c r="HS348" i="65"/>
  <c r="HT308" i="65"/>
  <c r="HS276" i="65"/>
  <c r="HT236" i="65"/>
  <c r="HT212" i="65"/>
  <c r="HS212" i="65"/>
  <c r="HV184" i="65"/>
  <c r="HU184" i="65" s="1"/>
  <c r="HV168" i="65"/>
  <c r="HU168" i="65" s="1"/>
  <c r="HT36" i="65"/>
  <c r="HT20" i="65"/>
  <c r="HS20" i="65"/>
  <c r="HM29" i="65"/>
  <c r="HV29" i="65"/>
  <c r="HU29" i="65" s="1"/>
  <c r="HM25" i="65"/>
  <c r="HV25" i="65"/>
  <c r="HU25" i="65" s="1"/>
  <c r="HM17" i="65"/>
  <c r="HN17" i="65" s="1"/>
  <c r="HV17" i="65"/>
  <c r="HU17" i="65" s="1"/>
  <c r="HM13" i="65"/>
  <c r="HV13" i="65"/>
  <c r="HU13" i="65" s="1"/>
  <c r="HM9" i="65"/>
  <c r="HV9" i="65"/>
  <c r="HU9" i="65" s="1"/>
  <c r="HM7" i="65"/>
  <c r="HN7" i="65" s="1"/>
  <c r="HT532" i="65"/>
  <c r="HS532" i="65"/>
  <c r="HS412" i="65"/>
  <c r="HT372" i="65"/>
  <c r="HV372" i="65"/>
  <c r="HU372" i="65" s="1"/>
  <c r="HT364" i="65"/>
  <c r="HV216" i="65"/>
  <c r="HU216" i="65" s="1"/>
  <c r="HS156" i="65"/>
  <c r="HT84" i="65"/>
  <c r="HS84" i="65"/>
  <c r="HT28" i="65"/>
  <c r="HS28" i="65"/>
  <c r="HM31" i="65"/>
  <c r="HN31" i="65" s="1"/>
  <c r="HM23" i="65"/>
  <c r="HM11" i="65"/>
  <c r="HV11" i="65"/>
  <c r="HU11" i="65" s="1"/>
  <c r="HS404" i="65"/>
  <c r="HS332" i="65"/>
  <c r="HS324" i="65"/>
  <c r="HS204" i="65"/>
  <c r="HS196" i="65"/>
  <c r="HS68" i="65"/>
  <c r="HM120" i="65"/>
  <c r="HT516" i="65"/>
  <c r="HV516" i="65"/>
  <c r="HU516" i="65" s="1"/>
  <c r="HS516" i="65"/>
  <c r="HT452" i="65"/>
  <c r="HS452" i="65"/>
  <c r="HT436" i="65"/>
  <c r="HV436" i="65"/>
  <c r="HU436" i="65" s="1"/>
  <c r="HT396" i="65"/>
  <c r="HS396" i="65"/>
  <c r="HV396" i="65"/>
  <c r="HU396" i="65" s="1"/>
  <c r="HT388" i="65"/>
  <c r="HS388" i="65"/>
  <c r="HV160" i="65"/>
  <c r="HU160" i="65" s="1"/>
  <c r="HT92" i="65"/>
  <c r="HS92" i="65"/>
  <c r="HT44" i="65"/>
  <c r="HT12" i="65"/>
  <c r="HM33" i="65"/>
  <c r="HN33" i="65" s="1"/>
  <c r="HV33" i="65"/>
  <c r="HU33" i="65" s="1"/>
  <c r="HM27" i="65"/>
  <c r="HM15" i="65"/>
  <c r="HN15" i="65" s="1"/>
  <c r="HV15" i="65"/>
  <c r="HU15" i="65" s="1"/>
  <c r="HV364" i="65"/>
  <c r="HU364" i="65" s="1"/>
  <c r="HV23" i="65"/>
  <c r="HU23" i="65" s="1"/>
  <c r="HM211" i="65"/>
  <c r="HM209" i="65"/>
  <c r="HM207" i="65"/>
  <c r="HN207" i="65" s="1"/>
  <c r="HV207" i="65"/>
  <c r="HU207" i="65" s="1"/>
  <c r="HM205" i="65"/>
  <c r="HN205" i="65" s="1"/>
  <c r="HV205" i="65"/>
  <c r="HU205" i="65" s="1"/>
  <c r="HM203" i="65"/>
  <c r="HV203" i="65"/>
  <c r="HU203" i="65" s="1"/>
  <c r="HM201" i="65"/>
  <c r="HM199" i="65"/>
  <c r="HM195" i="65"/>
  <c r="HV195" i="65"/>
  <c r="HU195" i="65" s="1"/>
  <c r="HM193" i="65"/>
  <c r="HN193" i="65" s="1"/>
  <c r="HV193" i="65"/>
  <c r="HU193" i="65" s="1"/>
  <c r="HM189" i="65"/>
  <c r="HM185" i="65"/>
  <c r="HN185" i="65" s="1"/>
  <c r="HV185" i="65"/>
  <c r="HU185" i="65" s="1"/>
  <c r="HM181" i="65"/>
  <c r="HN181" i="65" s="1"/>
  <c r="HV181" i="65"/>
  <c r="HU181" i="65" s="1"/>
  <c r="HM179" i="65"/>
  <c r="HM177" i="65"/>
  <c r="HN177" i="65" s="1"/>
  <c r="HV177" i="65"/>
  <c r="HU177" i="65" s="1"/>
  <c r="HM175" i="65"/>
  <c r="HM173" i="65"/>
  <c r="HV173" i="65"/>
  <c r="HU173" i="65" s="1"/>
  <c r="HM171" i="65"/>
  <c r="HN171" i="65" s="1"/>
  <c r="HV171" i="65"/>
  <c r="HU171" i="65" s="1"/>
  <c r="HM169" i="65"/>
  <c r="HN169" i="65" s="1"/>
  <c r="HM167" i="65"/>
  <c r="HV167" i="65"/>
  <c r="HU167" i="65" s="1"/>
  <c r="HM165" i="65"/>
  <c r="HV165" i="65"/>
  <c r="HU165" i="65" s="1"/>
  <c r="HM163" i="65"/>
  <c r="HN163" i="65" s="1"/>
  <c r="HM161" i="65"/>
  <c r="HM159" i="65"/>
  <c r="HV159" i="65"/>
  <c r="HU159" i="65" s="1"/>
  <c r="HM157" i="65"/>
  <c r="HV157" i="65"/>
  <c r="HU157" i="65" s="1"/>
  <c r="HV191" i="65"/>
  <c r="HU191" i="65" s="1"/>
  <c r="HV183" i="65"/>
  <c r="HU183" i="65" s="1"/>
  <c r="HA80" i="65"/>
  <c r="GY80" i="65"/>
  <c r="HD80" i="65" s="1"/>
  <c r="HA28" i="65"/>
  <c r="GY28" i="65"/>
  <c r="HD28" i="65" s="1"/>
  <c r="HA75" i="65"/>
  <c r="GY75" i="65"/>
  <c r="HD75" i="65" s="1"/>
  <c r="HA35" i="65"/>
  <c r="GY35" i="65"/>
  <c r="HD35" i="65" s="1"/>
  <c r="HA6" i="65"/>
  <c r="GY6" i="65"/>
  <c r="HB6" i="65" s="1"/>
  <c r="HA82" i="65"/>
  <c r="GY82" i="65"/>
  <c r="HD82" i="65" s="1"/>
  <c r="HA66" i="65"/>
  <c r="GY66" i="65"/>
  <c r="HD66" i="65" s="1"/>
  <c r="HA50" i="65"/>
  <c r="GY50" i="65"/>
  <c r="HD50" i="65" s="1"/>
  <c r="HA34" i="65"/>
  <c r="GY34" i="65"/>
  <c r="HD34" i="65" s="1"/>
  <c r="HA18" i="65"/>
  <c r="GY18" i="65"/>
  <c r="HD18" i="65" s="1"/>
  <c r="HA72" i="65"/>
  <c r="GY72" i="65"/>
  <c r="HD72" i="65" s="1"/>
  <c r="HA24" i="65"/>
  <c r="GY24" i="65"/>
  <c r="HD24" i="65" s="1"/>
  <c r="HA67" i="65"/>
  <c r="GY67" i="65"/>
  <c r="HD67" i="65" s="1"/>
  <c r="HA31" i="65"/>
  <c r="GY31" i="65"/>
  <c r="HD31" i="65" s="1"/>
  <c r="HA93" i="65"/>
  <c r="GY93" i="65"/>
  <c r="HD93" i="65" s="1"/>
  <c r="HA77" i="65"/>
  <c r="GY77" i="65"/>
  <c r="HD77" i="65" s="1"/>
  <c r="HA61" i="65"/>
  <c r="GY61" i="65"/>
  <c r="HD61" i="65" s="1"/>
  <c r="HA45" i="65"/>
  <c r="GY45" i="65"/>
  <c r="HD45" i="65" s="1"/>
  <c r="HA29" i="65"/>
  <c r="GY29" i="65"/>
  <c r="HD29" i="65" s="1"/>
  <c r="HA13" i="65"/>
  <c r="GY13" i="65"/>
  <c r="HD13" i="65" s="1"/>
  <c r="HA96" i="65"/>
  <c r="GY96" i="65"/>
  <c r="HD96" i="65" s="1"/>
  <c r="HA44" i="65"/>
  <c r="GY44" i="65"/>
  <c r="HD44" i="65" s="1"/>
  <c r="HA71" i="65"/>
  <c r="GY71" i="65"/>
  <c r="HD71" i="65" s="1"/>
  <c r="HA64" i="65"/>
  <c r="GY64" i="65"/>
  <c r="HD64" i="65" s="1"/>
  <c r="HA16" i="65"/>
  <c r="GY16" i="65"/>
  <c r="HD16" i="65" s="1"/>
  <c r="HA63" i="65"/>
  <c r="GY63" i="65"/>
  <c r="HD63" i="65" s="1"/>
  <c r="HA27" i="65"/>
  <c r="GY27" i="65"/>
  <c r="HD27" i="65" s="1"/>
  <c r="HA94" i="65"/>
  <c r="GY94" i="65"/>
  <c r="HD94" i="65" s="1"/>
  <c r="HA78" i="65"/>
  <c r="GY78" i="65"/>
  <c r="HD78" i="65" s="1"/>
  <c r="HA62" i="65"/>
  <c r="GY62" i="65"/>
  <c r="HD62" i="65" s="1"/>
  <c r="HA46" i="65"/>
  <c r="GY46" i="65"/>
  <c r="HD46" i="65" s="1"/>
  <c r="HA30" i="65"/>
  <c r="GY30" i="65"/>
  <c r="HD30" i="65" s="1"/>
  <c r="HA14" i="65"/>
  <c r="GY14" i="65"/>
  <c r="HD14" i="65" s="1"/>
  <c r="HA60" i="65"/>
  <c r="GY60" i="65"/>
  <c r="HD60" i="65" s="1"/>
  <c r="HA12" i="65"/>
  <c r="GY12" i="65"/>
  <c r="HD12" i="65" s="1"/>
  <c r="HA59" i="65"/>
  <c r="GY59" i="65"/>
  <c r="HD59" i="65" s="1"/>
  <c r="HA23" i="65"/>
  <c r="GY23" i="65"/>
  <c r="HD23" i="65" s="1"/>
  <c r="HA89" i="65"/>
  <c r="GY89" i="65"/>
  <c r="HD89" i="65" s="1"/>
  <c r="HA73" i="65"/>
  <c r="GY73" i="65"/>
  <c r="HD73" i="65" s="1"/>
  <c r="HE57" i="65"/>
  <c r="HA57" i="65"/>
  <c r="GY57" i="65"/>
  <c r="HD57" i="65" s="1"/>
  <c r="HA41" i="65"/>
  <c r="GY41" i="65"/>
  <c r="HD41" i="65" s="1"/>
  <c r="HA25" i="65"/>
  <c r="GY25" i="65"/>
  <c r="HD25" i="65" s="1"/>
  <c r="HA9" i="65"/>
  <c r="GY9" i="65"/>
  <c r="HD9" i="65" s="1"/>
  <c r="HA84" i="65"/>
  <c r="GY84" i="65"/>
  <c r="HD84" i="65" s="1"/>
  <c r="HA32" i="65"/>
  <c r="GY32" i="65"/>
  <c r="HD32" i="65" s="1"/>
  <c r="HA55" i="65"/>
  <c r="GY55" i="65"/>
  <c r="HD55" i="65" s="1"/>
  <c r="HA52" i="65"/>
  <c r="GY52" i="65"/>
  <c r="HD52" i="65" s="1"/>
  <c r="HA95" i="65"/>
  <c r="GY95" i="65"/>
  <c r="HD95" i="65" s="1"/>
  <c r="HA51" i="65"/>
  <c r="GY51" i="65"/>
  <c r="HD51" i="65" s="1"/>
  <c r="HA19" i="65"/>
  <c r="GY19" i="65"/>
  <c r="HD19" i="65" s="1"/>
  <c r="HA90" i="65"/>
  <c r="GY90" i="65"/>
  <c r="HD90" i="65" s="1"/>
  <c r="HA74" i="65"/>
  <c r="GY74" i="65"/>
  <c r="HD74" i="65" s="1"/>
  <c r="HA58" i="65"/>
  <c r="GY58" i="65"/>
  <c r="HD58" i="65" s="1"/>
  <c r="HA42" i="65"/>
  <c r="GY42" i="65"/>
  <c r="HD42" i="65" s="1"/>
  <c r="HA26" i="65"/>
  <c r="GY26" i="65"/>
  <c r="HD26" i="65" s="1"/>
  <c r="HA10" i="65"/>
  <c r="GY10" i="65"/>
  <c r="HD10" i="65" s="1"/>
  <c r="HA48" i="65"/>
  <c r="GY48" i="65"/>
  <c r="HD48" i="65" s="1"/>
  <c r="HA91" i="65"/>
  <c r="GY91" i="65"/>
  <c r="HD91" i="65" s="1"/>
  <c r="HA47" i="65"/>
  <c r="GY47" i="65"/>
  <c r="HD47" i="65" s="1"/>
  <c r="HA15" i="65"/>
  <c r="GY15" i="65"/>
  <c r="HD15" i="65" s="1"/>
  <c r="HA85" i="65"/>
  <c r="GY85" i="65"/>
  <c r="HD85" i="65" s="1"/>
  <c r="HA69" i="65"/>
  <c r="GY69" i="65"/>
  <c r="HD69" i="65" s="1"/>
  <c r="HA53" i="65"/>
  <c r="GY53" i="65"/>
  <c r="HD53" i="65" s="1"/>
  <c r="HA37" i="65"/>
  <c r="GY37" i="65"/>
  <c r="HD37" i="65" s="1"/>
  <c r="HA21" i="65"/>
  <c r="GY21" i="65"/>
  <c r="HD21" i="65" s="1"/>
  <c r="HA76" i="65"/>
  <c r="GY76" i="65"/>
  <c r="HD76" i="65" s="1"/>
  <c r="HA68" i="65"/>
  <c r="GY68" i="65"/>
  <c r="HD68" i="65" s="1"/>
  <c r="HA20" i="65"/>
  <c r="GY20" i="65"/>
  <c r="HD20" i="65" s="1"/>
  <c r="HA11" i="65"/>
  <c r="GY11" i="65"/>
  <c r="HD11" i="65" s="1"/>
  <c r="HS527" i="65"/>
  <c r="HA92" i="65"/>
  <c r="GY92" i="65"/>
  <c r="HD92" i="65" s="1"/>
  <c r="HA40" i="65"/>
  <c r="GY40" i="65"/>
  <c r="HD40" i="65" s="1"/>
  <c r="HA83" i="65"/>
  <c r="GY83" i="65"/>
  <c r="HD83" i="65" s="1"/>
  <c r="HA43" i="65"/>
  <c r="GY43" i="65"/>
  <c r="HD43" i="65" s="1"/>
  <c r="HA7" i="65"/>
  <c r="GY7" i="65"/>
  <c r="HD7" i="65" s="1"/>
  <c r="HA86" i="65"/>
  <c r="GY86" i="65"/>
  <c r="HD86" i="65" s="1"/>
  <c r="HA70" i="65"/>
  <c r="GY70" i="65"/>
  <c r="HD70" i="65" s="1"/>
  <c r="HA54" i="65"/>
  <c r="GY54" i="65"/>
  <c r="HD54" i="65" s="1"/>
  <c r="HA38" i="65"/>
  <c r="GY38" i="65"/>
  <c r="HD38" i="65" s="1"/>
  <c r="HA22" i="65"/>
  <c r="GY22" i="65"/>
  <c r="HD22" i="65" s="1"/>
  <c r="HA88" i="65"/>
  <c r="GY88" i="65"/>
  <c r="HD88" i="65" s="1"/>
  <c r="HA36" i="65"/>
  <c r="GY36" i="65"/>
  <c r="HD36" i="65" s="1"/>
  <c r="HA79" i="65"/>
  <c r="GY79" i="65"/>
  <c r="HD79" i="65" s="1"/>
  <c r="HA39" i="65"/>
  <c r="GY39" i="65"/>
  <c r="HD39" i="65" s="1"/>
  <c r="HA97" i="65"/>
  <c r="GY97" i="65"/>
  <c r="HD97" i="65" s="1"/>
  <c r="HA81" i="65"/>
  <c r="GY81" i="65"/>
  <c r="HD81" i="65" s="1"/>
  <c r="HA65" i="65"/>
  <c r="GY65" i="65"/>
  <c r="HD65" i="65" s="1"/>
  <c r="HA49" i="65"/>
  <c r="GY49" i="65"/>
  <c r="HD49" i="65" s="1"/>
  <c r="HA33" i="65"/>
  <c r="GY33" i="65"/>
  <c r="HD33" i="65" s="1"/>
  <c r="HA17" i="65"/>
  <c r="GY17" i="65"/>
  <c r="HD17" i="65" s="1"/>
  <c r="HA8" i="65"/>
  <c r="GY8" i="65"/>
  <c r="HD8" i="65" s="1"/>
  <c r="HA56" i="65"/>
  <c r="GY56" i="65"/>
  <c r="HD56" i="65" s="1"/>
  <c r="HA87" i="65"/>
  <c r="GY87" i="65"/>
  <c r="HD87" i="65" s="1"/>
  <c r="HS529" i="65"/>
  <c r="HS521" i="65"/>
  <c r="HS505" i="65"/>
  <c r="HS497" i="65"/>
  <c r="HS465" i="65"/>
  <c r="HS457" i="65"/>
  <c r="HT239" i="65"/>
  <c r="HT231" i="65"/>
  <c r="HT191" i="65"/>
  <c r="HT183" i="65"/>
  <c r="HT143" i="65"/>
  <c r="HT135" i="65"/>
  <c r="HT71" i="65"/>
  <c r="HT63" i="65"/>
  <c r="HS533" i="65"/>
  <c r="HS513" i="65"/>
  <c r="HS485" i="65"/>
  <c r="HS477" i="65"/>
  <c r="HS469" i="65"/>
  <c r="HS449" i="65"/>
  <c r="HS421" i="65"/>
  <c r="HS413" i="65"/>
  <c r="HS405" i="65"/>
  <c r="HS385" i="65"/>
  <c r="HT315" i="65"/>
  <c r="HT299" i="65"/>
  <c r="HT283" i="65"/>
  <c r="HT267" i="65"/>
  <c r="HT251" i="65"/>
  <c r="HT235" i="65"/>
  <c r="HT219" i="65"/>
  <c r="HT203" i="65"/>
  <c r="HT187" i="65"/>
  <c r="HT171" i="65"/>
  <c r="HT155" i="65"/>
  <c r="HT139" i="65"/>
  <c r="HT123" i="65"/>
  <c r="HT107" i="65"/>
  <c r="HT99" i="65"/>
  <c r="HT91" i="65"/>
  <c r="HT75" i="65"/>
  <c r="HT59" i="65"/>
  <c r="HT43" i="65"/>
  <c r="HT35" i="65"/>
  <c r="HT27" i="65"/>
  <c r="HT11" i="65"/>
  <c r="HV400" i="65"/>
  <c r="HU400" i="65" s="1"/>
  <c r="HT523" i="65"/>
  <c r="HT507" i="65"/>
  <c r="HT491" i="65"/>
  <c r="HT475" i="65"/>
  <c r="HT459" i="65"/>
  <c r="HT443" i="65"/>
  <c r="HT427" i="65"/>
  <c r="HT411" i="65"/>
  <c r="HT395" i="65"/>
  <c r="HT379" i="65"/>
  <c r="HT363" i="65"/>
  <c r="HT347" i="65"/>
  <c r="HT331" i="65"/>
  <c r="HM469" i="65"/>
  <c r="HN469" i="65" s="1"/>
  <c r="HM395" i="65"/>
  <c r="HV395" i="65"/>
  <c r="HU395" i="65" s="1"/>
  <c r="HM323" i="65"/>
  <c r="HN323" i="65" s="1"/>
  <c r="HV323" i="65"/>
  <c r="HU323" i="65" s="1"/>
  <c r="HM245" i="65"/>
  <c r="HM240" i="65"/>
  <c r="HN240" i="65" s="1"/>
  <c r="HM229" i="65"/>
  <c r="HM107" i="65"/>
  <c r="HN107" i="65" s="1"/>
  <c r="HV107" i="65"/>
  <c r="HU107" i="65" s="1"/>
  <c r="HM19" i="65"/>
  <c r="HM16" i="65"/>
  <c r="HN16" i="65" s="1"/>
  <c r="HV16" i="65"/>
  <c r="HU16" i="65" s="1"/>
  <c r="HV363" i="65"/>
  <c r="HU363" i="65" s="1"/>
  <c r="HT528" i="65"/>
  <c r="HS528" i="65"/>
  <c r="HT512" i="65"/>
  <c r="HS512" i="65"/>
  <c r="HT496" i="65"/>
  <c r="HS496" i="65"/>
  <c r="HT488" i="65"/>
  <c r="HS488" i="65"/>
  <c r="HT480" i="65"/>
  <c r="HS480" i="65"/>
  <c r="HT472" i="65"/>
  <c r="HS472" i="65"/>
  <c r="HT456" i="65"/>
  <c r="HS456" i="65"/>
  <c r="HT440" i="65"/>
  <c r="HS440" i="65"/>
  <c r="HT424" i="65"/>
  <c r="HS424" i="65"/>
  <c r="HT416" i="65"/>
  <c r="HS416" i="65"/>
  <c r="HT400" i="65"/>
  <c r="HS400" i="65"/>
  <c r="HT384" i="65"/>
  <c r="HS384" i="65"/>
  <c r="HT360" i="65"/>
  <c r="HS360" i="65"/>
  <c r="HT340" i="65"/>
  <c r="HT336" i="65"/>
  <c r="HS336" i="65"/>
  <c r="HV336" i="65"/>
  <c r="HU336" i="65" s="1"/>
  <c r="HT320" i="65"/>
  <c r="HS320" i="65"/>
  <c r="HT300" i="65"/>
  <c r="HV300" i="65"/>
  <c r="HU300" i="65" s="1"/>
  <c r="HT292" i="65"/>
  <c r="HV292" i="65"/>
  <c r="HU292" i="65" s="1"/>
  <c r="HT280" i="65"/>
  <c r="HS280" i="65"/>
  <c r="HT272" i="65"/>
  <c r="HS272" i="65"/>
  <c r="HT252" i="65"/>
  <c r="HV252" i="65"/>
  <c r="HU252" i="65" s="1"/>
  <c r="HT244" i="65"/>
  <c r="HV244" i="65"/>
  <c r="HU244" i="65" s="1"/>
  <c r="HT240" i="65"/>
  <c r="HS240" i="65"/>
  <c r="HT232" i="65"/>
  <c r="HS232" i="65"/>
  <c r="HT224" i="65"/>
  <c r="HS224" i="65"/>
  <c r="HT208" i="65"/>
  <c r="HS208" i="65"/>
  <c r="HT200" i="65"/>
  <c r="HS200" i="65"/>
  <c r="HT180" i="65"/>
  <c r="HV180" i="65"/>
  <c r="HU180" i="65" s="1"/>
  <c r="HT156" i="65"/>
  <c r="HV156" i="65"/>
  <c r="HU156" i="65" s="1"/>
  <c r="HT148" i="65"/>
  <c r="HV148" i="65"/>
  <c r="HU148" i="65" s="1"/>
  <c r="HT144" i="65"/>
  <c r="HS144" i="65"/>
  <c r="HT136" i="65"/>
  <c r="HS136" i="65"/>
  <c r="HT128" i="65"/>
  <c r="HS128" i="65"/>
  <c r="HT124" i="65"/>
  <c r="HV124" i="65"/>
  <c r="HU124" i="65" s="1"/>
  <c r="HT116" i="65"/>
  <c r="HT112" i="65"/>
  <c r="HS112" i="65"/>
  <c r="HT96" i="65"/>
  <c r="HS96" i="65"/>
  <c r="HT76" i="65"/>
  <c r="HT60" i="65"/>
  <c r="HV60" i="65"/>
  <c r="HU60" i="65" s="1"/>
  <c r="HT40" i="65"/>
  <c r="HS40" i="65"/>
  <c r="HT24" i="65"/>
  <c r="HS24" i="65"/>
  <c r="HV24" i="65"/>
  <c r="HU24" i="65" s="1"/>
  <c r="HM485" i="65"/>
  <c r="HV485" i="65"/>
  <c r="HU485" i="65" s="1"/>
  <c r="HM440" i="65"/>
  <c r="HN440" i="65" s="1"/>
  <c r="HM408" i="65"/>
  <c r="HM295" i="65"/>
  <c r="HN295" i="65" s="1"/>
  <c r="HM255" i="65"/>
  <c r="HV255" i="65"/>
  <c r="HU255" i="65" s="1"/>
  <c r="HV532" i="65"/>
  <c r="HU532" i="65" s="1"/>
  <c r="HV492" i="65"/>
  <c r="HU492" i="65" s="1"/>
  <c r="HV472" i="65"/>
  <c r="HU472" i="65" s="1"/>
  <c r="HV460" i="65"/>
  <c r="HU460" i="65" s="1"/>
  <c r="HV444" i="65"/>
  <c r="HU444" i="65" s="1"/>
  <c r="HV340" i="65"/>
  <c r="HU340" i="65" s="1"/>
  <c r="HV324" i="65"/>
  <c r="HU324" i="65" s="1"/>
  <c r="HV280" i="65"/>
  <c r="HU280" i="65" s="1"/>
  <c r="HV208" i="65"/>
  <c r="HU208" i="65" s="1"/>
  <c r="HV147" i="65"/>
  <c r="HU147" i="65" s="1"/>
  <c r="HV120" i="65"/>
  <c r="HU120" i="65" s="1"/>
  <c r="HV112" i="65"/>
  <c r="HU112" i="65" s="1"/>
  <c r="HV84" i="65"/>
  <c r="HU84" i="65" s="1"/>
  <c r="HV76" i="65"/>
  <c r="HU76" i="65" s="1"/>
  <c r="HV28" i="65"/>
  <c r="HU28" i="65" s="1"/>
  <c r="HS508" i="65"/>
  <c r="HS500" i="65"/>
  <c r="HS444" i="65"/>
  <c r="HS436" i="65"/>
  <c r="HS380" i="65"/>
  <c r="HS372" i="65"/>
  <c r="HS316" i="65"/>
  <c r="HS308" i="65"/>
  <c r="HS252" i="65"/>
  <c r="HS244" i="65"/>
  <c r="HS188" i="65"/>
  <c r="HS180" i="65"/>
  <c r="HS124" i="65"/>
  <c r="HS116" i="65"/>
  <c r="HS60" i="65"/>
  <c r="HM512" i="65"/>
  <c r="HM448" i="65"/>
  <c r="HN448" i="65" s="1"/>
  <c r="HM416" i="65"/>
  <c r="HN416" i="65" s="1"/>
  <c r="HM352" i="65"/>
  <c r="HN352" i="65" s="1"/>
  <c r="HV352" i="65"/>
  <c r="HU352" i="65" s="1"/>
  <c r="HM187" i="65"/>
  <c r="HM432" i="65"/>
  <c r="HN432" i="65" s="1"/>
  <c r="HV432" i="65"/>
  <c r="HU432" i="65" s="1"/>
  <c r="HM400" i="65"/>
  <c r="HM287" i="65"/>
  <c r="HV287" i="65"/>
  <c r="HU287" i="65" s="1"/>
  <c r="HM224" i="65"/>
  <c r="HM96" i="65"/>
  <c r="HV96" i="65"/>
  <c r="HU96" i="65" s="1"/>
  <c r="HM41" i="65"/>
  <c r="HV41" i="65"/>
  <c r="HU41" i="65" s="1"/>
  <c r="HM21" i="65"/>
  <c r="HV21" i="65"/>
  <c r="HU21" i="65" s="1"/>
  <c r="HV325" i="65"/>
  <c r="HU325" i="65" s="1"/>
  <c r="HV245" i="65"/>
  <c r="HU245" i="65" s="1"/>
  <c r="HV39" i="65"/>
  <c r="HU39" i="65" s="1"/>
  <c r="HT520" i="65"/>
  <c r="HV520" i="65"/>
  <c r="HU520" i="65" s="1"/>
  <c r="HS520" i="65"/>
  <c r="HT504" i="65"/>
  <c r="HV504" i="65"/>
  <c r="HU504" i="65" s="1"/>
  <c r="HS504" i="65"/>
  <c r="HT484" i="65"/>
  <c r="HT476" i="65"/>
  <c r="HT468" i="65"/>
  <c r="HV468" i="65"/>
  <c r="HU468" i="65" s="1"/>
  <c r="HT464" i="65"/>
  <c r="HS464" i="65"/>
  <c r="HT448" i="65"/>
  <c r="HS448" i="65"/>
  <c r="HT432" i="65"/>
  <c r="HS432" i="65"/>
  <c r="HT412" i="65"/>
  <c r="HV412" i="65"/>
  <c r="HU412" i="65" s="1"/>
  <c r="HT408" i="65"/>
  <c r="HS408" i="65"/>
  <c r="HT392" i="65"/>
  <c r="HS392" i="65"/>
  <c r="HT376" i="65"/>
  <c r="HS376" i="65"/>
  <c r="HT368" i="65"/>
  <c r="HS368" i="65"/>
  <c r="HT352" i="65"/>
  <c r="HS352" i="65"/>
  <c r="HT344" i="65"/>
  <c r="HS344" i="65"/>
  <c r="HT328" i="65"/>
  <c r="HV328" i="65"/>
  <c r="HU328" i="65" s="1"/>
  <c r="HS328" i="65"/>
  <c r="HT312" i="65"/>
  <c r="HS312" i="65"/>
  <c r="HT304" i="65"/>
  <c r="HS304" i="65"/>
  <c r="HT296" i="65"/>
  <c r="HS296" i="65"/>
  <c r="HT288" i="65"/>
  <c r="HS288" i="65"/>
  <c r="HT284" i="65"/>
  <c r="HT276" i="65"/>
  <c r="HV276" i="65"/>
  <c r="HU276" i="65" s="1"/>
  <c r="HT268" i="65"/>
  <c r="HV268" i="65"/>
  <c r="HU268" i="65" s="1"/>
  <c r="HT264" i="65"/>
  <c r="HS264" i="65"/>
  <c r="HT256" i="65"/>
  <c r="HS256" i="65"/>
  <c r="HT248" i="65"/>
  <c r="HS248" i="65"/>
  <c r="HT228" i="65"/>
  <c r="HV228" i="65"/>
  <c r="HU228" i="65" s="1"/>
  <c r="HT220" i="65"/>
  <c r="HV220" i="65"/>
  <c r="HU220" i="65" s="1"/>
  <c r="HT216" i="65"/>
  <c r="HS216" i="65"/>
  <c r="HT204" i="65"/>
  <c r="HV204" i="65"/>
  <c r="HU204" i="65" s="1"/>
  <c r="HT196" i="65"/>
  <c r="HV196" i="65"/>
  <c r="HU196" i="65" s="1"/>
  <c r="HT192" i="65"/>
  <c r="HS192" i="65"/>
  <c r="HT184" i="65"/>
  <c r="HS184" i="65"/>
  <c r="HT176" i="65"/>
  <c r="HS176" i="65"/>
  <c r="HT172" i="65"/>
  <c r="HV172" i="65"/>
  <c r="HU172" i="65" s="1"/>
  <c r="HT168" i="65"/>
  <c r="HS168" i="65"/>
  <c r="HT160" i="65"/>
  <c r="HS160" i="65"/>
  <c r="HT152" i="65"/>
  <c r="HS152" i="65"/>
  <c r="HT132" i="65"/>
  <c r="HV132" i="65"/>
  <c r="HU132" i="65" s="1"/>
  <c r="HT120" i="65"/>
  <c r="HS120" i="65"/>
  <c r="HT104" i="65"/>
  <c r="HS104" i="65"/>
  <c r="HT88" i="65"/>
  <c r="HS88" i="65"/>
  <c r="HV88" i="65"/>
  <c r="HU88" i="65" s="1"/>
  <c r="HT80" i="65"/>
  <c r="HS80" i="65"/>
  <c r="HT72" i="65"/>
  <c r="HS72" i="65"/>
  <c r="HT64" i="65"/>
  <c r="HS64" i="65"/>
  <c r="HT56" i="65"/>
  <c r="HS56" i="65"/>
  <c r="HT52" i="65"/>
  <c r="HV52" i="65"/>
  <c r="HU52" i="65" s="1"/>
  <c r="HT48" i="65"/>
  <c r="HS48" i="65"/>
  <c r="HT32" i="65"/>
  <c r="HS32" i="65"/>
  <c r="HT16" i="65"/>
  <c r="HS16" i="65"/>
  <c r="HT8" i="65"/>
  <c r="HS8" i="65"/>
  <c r="HM376" i="65"/>
  <c r="HV376" i="65"/>
  <c r="HU376" i="65" s="1"/>
  <c r="HV517" i="65"/>
  <c r="HU517" i="65" s="1"/>
  <c r="HV508" i="65"/>
  <c r="HU508" i="65" s="1"/>
  <c r="HV480" i="65"/>
  <c r="HU480" i="65" s="1"/>
  <c r="HV469" i="65"/>
  <c r="HU469" i="65" s="1"/>
  <c r="HV420" i="65"/>
  <c r="HU420" i="65" s="1"/>
  <c r="HV408" i="65"/>
  <c r="HU408" i="65" s="1"/>
  <c r="HV388" i="65"/>
  <c r="HU388" i="65" s="1"/>
  <c r="HV348" i="65"/>
  <c r="HU348" i="65" s="1"/>
  <c r="HV339" i="65"/>
  <c r="HU339" i="65" s="1"/>
  <c r="HV312" i="65"/>
  <c r="HU312" i="65" s="1"/>
  <c r="HV304" i="65"/>
  <c r="HU304" i="65" s="1"/>
  <c r="HV288" i="65"/>
  <c r="HU288" i="65" s="1"/>
  <c r="HV232" i="65"/>
  <c r="HU232" i="65" s="1"/>
  <c r="HV136" i="65"/>
  <c r="HU136" i="65" s="1"/>
  <c r="HV125" i="65"/>
  <c r="HU125" i="65" s="1"/>
  <c r="HV100" i="65"/>
  <c r="HU100" i="65" s="1"/>
  <c r="HV64" i="65"/>
  <c r="HU64" i="65" s="1"/>
  <c r="HV36" i="65"/>
  <c r="HU36" i="65" s="1"/>
  <c r="HS492" i="65"/>
  <c r="HS484" i="65"/>
  <c r="HS428" i="65"/>
  <c r="HS420" i="65"/>
  <c r="HS364" i="65"/>
  <c r="HS356" i="65"/>
  <c r="HS300" i="65"/>
  <c r="HS292" i="65"/>
  <c r="HS236" i="65"/>
  <c r="HS228" i="65"/>
  <c r="HS172" i="65"/>
  <c r="HS164" i="65"/>
  <c r="HS108" i="65"/>
  <c r="HS100" i="65"/>
  <c r="HS44" i="65"/>
  <c r="HS36" i="65"/>
  <c r="HV530" i="65"/>
  <c r="HU530" i="65" s="1"/>
  <c r="HT530" i="65"/>
  <c r="HS526" i="65"/>
  <c r="HT526" i="65"/>
  <c r="HS518" i="65"/>
  <c r="HT518" i="65"/>
  <c r="HV514" i="65"/>
  <c r="HU514" i="65" s="1"/>
  <c r="HT514" i="65"/>
  <c r="HS510" i="65"/>
  <c r="HT510" i="65"/>
  <c r="HS502" i="65"/>
  <c r="HT502" i="65"/>
  <c r="HS494" i="65"/>
  <c r="HT494" i="65"/>
  <c r="HS486" i="65"/>
  <c r="HT486" i="65"/>
  <c r="HS478" i="65"/>
  <c r="HT478" i="65"/>
  <c r="HV398" i="65"/>
  <c r="HU398" i="65" s="1"/>
  <c r="HT398" i="65"/>
  <c r="HM424" i="65"/>
  <c r="HM360" i="65"/>
  <c r="HV360" i="65"/>
  <c r="HU360" i="65" s="1"/>
  <c r="HM311" i="65"/>
  <c r="HM279" i="65"/>
  <c r="HV279" i="65"/>
  <c r="HU279" i="65" s="1"/>
  <c r="HM219" i="65"/>
  <c r="HM197" i="65"/>
  <c r="HN197" i="65" s="1"/>
  <c r="HM192" i="65"/>
  <c r="HV27" i="65"/>
  <c r="HU27" i="65" s="1"/>
  <c r="HV40" i="65"/>
  <c r="HU40" i="65" s="1"/>
  <c r="HM519" i="65"/>
  <c r="HN519" i="65" s="1"/>
  <c r="HV519" i="65"/>
  <c r="HU519" i="65" s="1"/>
  <c r="HM503" i="65"/>
  <c r="HV503" i="65"/>
  <c r="HU503" i="65" s="1"/>
  <c r="HM419" i="65"/>
  <c r="HN419" i="65" s="1"/>
  <c r="HV419" i="65"/>
  <c r="HU419" i="65" s="1"/>
  <c r="HM379" i="65"/>
  <c r="HM260" i="65"/>
  <c r="HN260" i="65" s="1"/>
  <c r="HM164" i="65"/>
  <c r="HM92" i="65"/>
  <c r="HN92" i="65" s="1"/>
  <c r="HM72" i="65"/>
  <c r="HV443" i="65"/>
  <c r="HU443" i="65" s="1"/>
  <c r="HV72" i="65"/>
  <c r="HU72" i="65" s="1"/>
  <c r="HM515" i="65"/>
  <c r="HN515" i="65" s="1"/>
  <c r="HV515" i="65"/>
  <c r="HU515" i="65" s="1"/>
  <c r="HM499" i="65"/>
  <c r="HM483" i="65"/>
  <c r="HN483" i="65" s="1"/>
  <c r="HV483" i="65"/>
  <c r="HU483" i="65" s="1"/>
  <c r="HM467" i="65"/>
  <c r="HN467" i="65" s="1"/>
  <c r="HV467" i="65"/>
  <c r="HU467" i="65" s="1"/>
  <c r="HM451" i="65"/>
  <c r="HM487" i="65"/>
  <c r="HN487" i="65" s="1"/>
  <c r="HM455" i="65"/>
  <c r="HV455" i="65"/>
  <c r="HU455" i="65" s="1"/>
  <c r="HM403" i="65"/>
  <c r="HN403" i="65" s="1"/>
  <c r="HM387" i="65"/>
  <c r="HN387" i="65" s="1"/>
  <c r="HV387" i="65"/>
  <c r="HU387" i="65" s="1"/>
  <c r="HM347" i="65"/>
  <c r="HV347" i="65"/>
  <c r="HU347" i="65" s="1"/>
  <c r="HM332" i="65"/>
  <c r="HM56" i="65"/>
  <c r="HM511" i="65"/>
  <c r="HM495" i="65"/>
  <c r="HN495" i="65" s="1"/>
  <c r="HV495" i="65"/>
  <c r="HU495" i="65" s="1"/>
  <c r="HM479" i="65"/>
  <c r="HN479" i="65" s="1"/>
  <c r="HV479" i="65"/>
  <c r="HU479" i="65" s="1"/>
  <c r="HM463" i="65"/>
  <c r="HM447" i="65"/>
  <c r="HN447" i="65" s="1"/>
  <c r="HV447" i="65"/>
  <c r="HU447" i="65" s="1"/>
  <c r="HM439" i="65"/>
  <c r="HN439" i="65" s="1"/>
  <c r="HM431" i="65"/>
  <c r="HV431" i="65"/>
  <c r="HU431" i="65" s="1"/>
  <c r="HM423" i="65"/>
  <c r="HN423" i="65" s="1"/>
  <c r="HV423" i="65"/>
  <c r="HU423" i="65" s="1"/>
  <c r="HM415" i="65"/>
  <c r="HN415" i="65" s="1"/>
  <c r="HM407" i="65"/>
  <c r="HV407" i="65"/>
  <c r="HU407" i="65" s="1"/>
  <c r="HM399" i="65"/>
  <c r="HN399" i="65" s="1"/>
  <c r="HV399" i="65"/>
  <c r="HU399" i="65" s="1"/>
  <c r="HM391" i="65"/>
  <c r="HM383" i="65"/>
  <c r="HV383" i="65"/>
  <c r="HU383" i="65" s="1"/>
  <c r="HM375" i="65"/>
  <c r="HV375" i="65"/>
  <c r="HU375" i="65" s="1"/>
  <c r="HM367" i="65"/>
  <c r="HN367" i="65" s="1"/>
  <c r="HM359" i="65"/>
  <c r="HM351" i="65"/>
  <c r="HN351" i="65" s="1"/>
  <c r="HV351" i="65"/>
  <c r="HU351" i="65" s="1"/>
  <c r="HM527" i="65"/>
  <c r="HV527" i="65"/>
  <c r="HU527" i="65" s="1"/>
  <c r="HM471" i="65"/>
  <c r="HV471" i="65"/>
  <c r="HU471" i="65" s="1"/>
  <c r="HM435" i="65"/>
  <c r="HV435" i="65"/>
  <c r="HU435" i="65" s="1"/>
  <c r="HM371" i="65"/>
  <c r="HN371" i="65" s="1"/>
  <c r="HV371" i="65"/>
  <c r="HU371" i="65" s="1"/>
  <c r="HM355" i="65"/>
  <c r="HM316" i="65"/>
  <c r="HV316" i="65"/>
  <c r="HU316" i="65" s="1"/>
  <c r="HM176" i="65"/>
  <c r="HN176" i="65" s="1"/>
  <c r="HM108" i="65"/>
  <c r="HV108" i="65"/>
  <c r="HU108" i="65" s="1"/>
  <c r="HM40" i="65"/>
  <c r="HN40" i="65" s="1"/>
  <c r="HV411" i="65"/>
  <c r="HU411" i="65" s="1"/>
  <c r="HM531" i="65"/>
  <c r="HV531" i="65"/>
  <c r="HU531" i="65" s="1"/>
  <c r="HS466" i="65"/>
  <c r="HS454" i="65"/>
  <c r="HS442" i="65"/>
  <c r="HS430" i="65"/>
  <c r="HS418" i="65"/>
  <c r="HS410" i="65"/>
  <c r="HS402" i="65"/>
  <c r="HS390" i="65"/>
  <c r="HS378" i="65"/>
  <c r="HS362" i="65"/>
  <c r="HV362" i="65"/>
  <c r="HU362" i="65" s="1"/>
  <c r="HS350" i="65"/>
  <c r="HV350" i="65"/>
  <c r="HU350" i="65" s="1"/>
  <c r="HS338" i="65"/>
  <c r="HV338" i="65"/>
  <c r="HU338" i="65" s="1"/>
  <c r="HS326" i="65"/>
  <c r="HV326" i="65"/>
  <c r="HU326" i="65" s="1"/>
  <c r="HS322" i="65"/>
  <c r="HV322" i="65"/>
  <c r="HU322" i="65" s="1"/>
  <c r="HS310" i="65"/>
  <c r="HV310" i="65"/>
  <c r="HU310" i="65" s="1"/>
  <c r="HS298" i="65"/>
  <c r="HV298" i="65"/>
  <c r="HU298" i="65" s="1"/>
  <c r="HS286" i="65"/>
  <c r="HV286" i="65"/>
  <c r="HU286" i="65" s="1"/>
  <c r="HS278" i="65"/>
  <c r="HV278" i="65"/>
  <c r="HU278" i="65" s="1"/>
  <c r="HS270" i="65"/>
  <c r="HS258" i="65"/>
  <c r="HS246" i="65"/>
  <c r="HS234" i="65"/>
  <c r="HS222" i="65"/>
  <c r="HS214" i="65"/>
  <c r="HV214" i="65"/>
  <c r="HU214" i="65" s="1"/>
  <c r="HS202" i="65"/>
  <c r="HV202" i="65"/>
  <c r="HU202" i="65" s="1"/>
  <c r="HS190" i="65"/>
  <c r="HV190" i="65"/>
  <c r="HU190" i="65" s="1"/>
  <c r="HS182" i="65"/>
  <c r="HV182" i="65"/>
  <c r="HU182" i="65" s="1"/>
  <c r="HS170" i="65"/>
  <c r="HV170" i="65"/>
  <c r="HU170" i="65" s="1"/>
  <c r="HS158" i="65"/>
  <c r="HV158" i="65"/>
  <c r="HU158" i="65" s="1"/>
  <c r="HS146" i="65"/>
  <c r="HV146" i="65"/>
  <c r="HU146" i="65" s="1"/>
  <c r="HS138" i="65"/>
  <c r="HS126" i="65"/>
  <c r="HS114" i="65"/>
  <c r="HS102" i="65"/>
  <c r="HS90" i="65"/>
  <c r="HS78" i="65"/>
  <c r="HS66" i="65"/>
  <c r="HS58" i="65"/>
  <c r="HV58" i="65"/>
  <c r="HU58" i="65" s="1"/>
  <c r="HS46" i="65"/>
  <c r="HV46" i="65"/>
  <c r="HU46" i="65" s="1"/>
  <c r="HS34" i="65"/>
  <c r="HV34" i="65"/>
  <c r="HU34" i="65" s="1"/>
  <c r="HS30" i="65"/>
  <c r="HS18" i="65"/>
  <c r="HS506" i="65"/>
  <c r="HS490" i="65"/>
  <c r="HS482" i="65"/>
  <c r="HS470" i="65"/>
  <c r="HS458" i="65"/>
  <c r="HS446" i="65"/>
  <c r="HS434" i="65"/>
  <c r="HS422" i="65"/>
  <c r="HS406" i="65"/>
  <c r="HS394" i="65"/>
  <c r="HS382" i="65"/>
  <c r="HV382" i="65"/>
  <c r="HU382" i="65" s="1"/>
  <c r="HS374" i="65"/>
  <c r="HV374" i="65"/>
  <c r="HU374" i="65" s="1"/>
  <c r="HS366" i="65"/>
  <c r="HS354" i="65"/>
  <c r="HS342" i="65"/>
  <c r="HS334" i="65"/>
  <c r="HV334" i="65"/>
  <c r="HU334" i="65" s="1"/>
  <c r="HS318" i="65"/>
  <c r="HS302" i="65"/>
  <c r="HV302" i="65"/>
  <c r="HU302" i="65" s="1"/>
  <c r="HS290" i="65"/>
  <c r="HV290" i="65"/>
  <c r="HU290" i="65" s="1"/>
  <c r="HS274" i="65"/>
  <c r="HV274" i="65"/>
  <c r="HU274" i="65" s="1"/>
  <c r="HS262" i="65"/>
  <c r="HV262" i="65"/>
  <c r="HU262" i="65" s="1"/>
  <c r="HS250" i="65"/>
  <c r="HV250" i="65"/>
  <c r="HU250" i="65" s="1"/>
  <c r="HS238" i="65"/>
  <c r="HV238" i="65"/>
  <c r="HU238" i="65" s="1"/>
  <c r="HS226" i="65"/>
  <c r="HV226" i="65"/>
  <c r="HU226" i="65" s="1"/>
  <c r="HS210" i="65"/>
  <c r="HS198" i="65"/>
  <c r="HS186" i="65"/>
  <c r="HS174" i="65"/>
  <c r="HS162" i="65"/>
  <c r="HS154" i="65"/>
  <c r="HV154" i="65"/>
  <c r="HU154" i="65" s="1"/>
  <c r="HS142" i="65"/>
  <c r="HV142" i="65"/>
  <c r="HU142" i="65" s="1"/>
  <c r="HS130" i="65"/>
  <c r="HV130" i="65"/>
  <c r="HU130" i="65" s="1"/>
  <c r="HS122" i="65"/>
  <c r="HV122" i="65"/>
  <c r="HU122" i="65" s="1"/>
  <c r="HS110" i="65"/>
  <c r="HV110" i="65"/>
  <c r="HU110" i="65" s="1"/>
  <c r="HS98" i="65"/>
  <c r="HV98" i="65"/>
  <c r="HU98" i="65" s="1"/>
  <c r="HS86" i="65"/>
  <c r="HV86" i="65"/>
  <c r="HU86" i="65" s="1"/>
  <c r="HS74" i="65"/>
  <c r="HV74" i="65"/>
  <c r="HU74" i="65" s="1"/>
  <c r="HS62" i="65"/>
  <c r="HV62" i="65"/>
  <c r="HU62" i="65" s="1"/>
  <c r="HS50" i="65"/>
  <c r="HV50" i="65"/>
  <c r="HU50" i="65" s="1"/>
  <c r="HS38" i="65"/>
  <c r="HV38" i="65"/>
  <c r="HU38" i="65" s="1"/>
  <c r="HS22" i="65"/>
  <c r="HV22" i="65"/>
  <c r="HU22" i="65" s="1"/>
  <c r="HS10" i="65"/>
  <c r="HV10" i="65"/>
  <c r="HU10" i="65" s="1"/>
  <c r="HV526" i="65"/>
  <c r="HU526" i="65" s="1"/>
  <c r="HV518" i="65"/>
  <c r="HU518" i="65" s="1"/>
  <c r="HV506" i="65"/>
  <c r="HU506" i="65" s="1"/>
  <c r="HV502" i="65"/>
  <c r="HU502" i="65" s="1"/>
  <c r="HV494" i="65"/>
  <c r="HU494" i="65" s="1"/>
  <c r="HV490" i="65"/>
  <c r="HU490" i="65" s="1"/>
  <c r="HV482" i="65"/>
  <c r="HU482" i="65" s="1"/>
  <c r="HV478" i="65"/>
  <c r="HU478" i="65" s="1"/>
  <c r="HV470" i="65"/>
  <c r="HU470" i="65" s="1"/>
  <c r="HV466" i="65"/>
  <c r="HU466" i="65" s="1"/>
  <c r="HV458" i="65"/>
  <c r="HU458" i="65" s="1"/>
  <c r="HV454" i="65"/>
  <c r="HU454" i="65" s="1"/>
  <c r="HV446" i="65"/>
  <c r="HU446" i="65" s="1"/>
  <c r="HV442" i="65"/>
  <c r="HU442" i="65" s="1"/>
  <c r="HV434" i="65"/>
  <c r="HU434" i="65" s="1"/>
  <c r="HV430" i="65"/>
  <c r="HU430" i="65" s="1"/>
  <c r="HV422" i="65"/>
  <c r="HU422" i="65" s="1"/>
  <c r="HV418" i="65"/>
  <c r="HU418" i="65" s="1"/>
  <c r="HV410" i="65"/>
  <c r="HU410" i="65" s="1"/>
  <c r="HV406" i="65"/>
  <c r="HU406" i="65" s="1"/>
  <c r="HV394" i="65"/>
  <c r="HU394" i="65" s="1"/>
  <c r="HS530" i="65"/>
  <c r="HS522" i="65"/>
  <c r="HS514" i="65"/>
  <c r="HS498" i="65"/>
  <c r="HS474" i="65"/>
  <c r="HS462" i="65"/>
  <c r="HS450" i="65"/>
  <c r="HS438" i="65"/>
  <c r="HS426" i="65"/>
  <c r="HS414" i="65"/>
  <c r="HS398" i="65"/>
  <c r="HS386" i="65"/>
  <c r="HV386" i="65"/>
  <c r="HU386" i="65" s="1"/>
  <c r="HS370" i="65"/>
  <c r="HV370" i="65"/>
  <c r="HU370" i="65" s="1"/>
  <c r="HS358" i="65"/>
  <c r="HV358" i="65"/>
  <c r="HU358" i="65" s="1"/>
  <c r="HS346" i="65"/>
  <c r="HV346" i="65"/>
  <c r="HU346" i="65" s="1"/>
  <c r="HS330" i="65"/>
  <c r="HS314" i="65"/>
  <c r="HV314" i="65"/>
  <c r="HU314" i="65" s="1"/>
  <c r="HS306" i="65"/>
  <c r="HS294" i="65"/>
  <c r="HS282" i="65"/>
  <c r="HS266" i="65"/>
  <c r="HV266" i="65"/>
  <c r="HU266" i="65" s="1"/>
  <c r="HS254" i="65"/>
  <c r="HV254" i="65"/>
  <c r="HU254" i="65" s="1"/>
  <c r="HS242" i="65"/>
  <c r="HV242" i="65"/>
  <c r="HU242" i="65" s="1"/>
  <c r="HS230" i="65"/>
  <c r="HV230" i="65"/>
  <c r="HU230" i="65" s="1"/>
  <c r="HS218" i="65"/>
  <c r="HV218" i="65"/>
  <c r="HU218" i="65" s="1"/>
  <c r="HS206" i="65"/>
  <c r="HV206" i="65"/>
  <c r="HU206" i="65" s="1"/>
  <c r="HS194" i="65"/>
  <c r="HV194" i="65"/>
  <c r="HU194" i="65" s="1"/>
  <c r="HS178" i="65"/>
  <c r="HV178" i="65"/>
  <c r="HU178" i="65" s="1"/>
  <c r="HS166" i="65"/>
  <c r="HV166" i="65"/>
  <c r="HU166" i="65" s="1"/>
  <c r="HS150" i="65"/>
  <c r="HS134" i="65"/>
  <c r="HV134" i="65"/>
  <c r="HU134" i="65" s="1"/>
  <c r="HS118" i="65"/>
  <c r="HV118" i="65"/>
  <c r="HU118" i="65" s="1"/>
  <c r="HS106" i="65"/>
  <c r="HV106" i="65"/>
  <c r="HU106" i="65" s="1"/>
  <c r="HS94" i="65"/>
  <c r="HV94" i="65"/>
  <c r="HU94" i="65" s="1"/>
  <c r="HS82" i="65"/>
  <c r="HV82" i="65"/>
  <c r="HU82" i="65" s="1"/>
  <c r="HS70" i="65"/>
  <c r="HV70" i="65"/>
  <c r="HU70" i="65" s="1"/>
  <c r="HS54" i="65"/>
  <c r="HS42" i="65"/>
  <c r="HS26" i="65"/>
  <c r="HV26" i="65"/>
  <c r="HU26" i="65" s="1"/>
  <c r="HS14" i="65"/>
  <c r="HV14" i="65"/>
  <c r="HU14" i="65" s="1"/>
  <c r="HQ527" i="65" l="1"/>
  <c r="HQ347" i="65"/>
  <c r="HQ499" i="65"/>
  <c r="HQ379" i="65"/>
  <c r="HQ41" i="65"/>
  <c r="HQ224" i="65"/>
  <c r="HQ175" i="65"/>
  <c r="HQ23" i="65"/>
  <c r="HQ25" i="65"/>
  <c r="HN23" i="65"/>
  <c r="HN41" i="65"/>
  <c r="HQ49" i="65"/>
  <c r="HQ65" i="65"/>
  <c r="HQ81" i="65"/>
  <c r="HQ97" i="65"/>
  <c r="HN161" i="65"/>
  <c r="HQ161" i="65" s="1"/>
  <c r="HQ251" i="65"/>
  <c r="HQ303" i="65"/>
  <c r="HQ361" i="65"/>
  <c r="HQ417" i="65"/>
  <c r="HQ461" i="65"/>
  <c r="HN499" i="65"/>
  <c r="HQ48" i="65"/>
  <c r="HQ82" i="65"/>
  <c r="HN96" i="65"/>
  <c r="HQ96" i="65" s="1"/>
  <c r="HQ100" i="65"/>
  <c r="HQ130" i="65"/>
  <c r="HQ146" i="65"/>
  <c r="HQ162" i="65"/>
  <c r="HQ226" i="65"/>
  <c r="HQ264" i="65"/>
  <c r="HQ280" i="65"/>
  <c r="HQ296" i="65"/>
  <c r="HQ312" i="65"/>
  <c r="HQ346" i="65"/>
  <c r="HN360" i="65"/>
  <c r="HQ360" i="65" s="1"/>
  <c r="HQ368" i="65"/>
  <c r="HQ420" i="65"/>
  <c r="HQ456" i="65"/>
  <c r="HQ472" i="65"/>
  <c r="HQ488" i="65"/>
  <c r="HQ504" i="65"/>
  <c r="HQ316" i="65"/>
  <c r="HQ423" i="65"/>
  <c r="HQ447" i="65"/>
  <c r="HQ332" i="65"/>
  <c r="HQ376" i="65"/>
  <c r="HQ407" i="65"/>
  <c r="HQ403" i="65"/>
  <c r="HQ164" i="65"/>
  <c r="HQ519" i="65"/>
  <c r="HQ21" i="65"/>
  <c r="HQ416" i="65"/>
  <c r="HQ255" i="65"/>
  <c r="HE32" i="65"/>
  <c r="HE18" i="65"/>
  <c r="HQ169" i="65"/>
  <c r="HN9" i="65"/>
  <c r="HQ9" i="65" s="1"/>
  <c r="HN25" i="65"/>
  <c r="HQ37" i="65"/>
  <c r="HQ111" i="65"/>
  <c r="HQ115" i="65"/>
  <c r="HQ119" i="65"/>
  <c r="HQ123" i="65"/>
  <c r="HQ127" i="65"/>
  <c r="HQ131" i="65"/>
  <c r="HQ135" i="65"/>
  <c r="HQ139" i="65"/>
  <c r="HQ143" i="65"/>
  <c r="HQ147" i="65"/>
  <c r="HQ151" i="65"/>
  <c r="HQ155" i="65"/>
  <c r="HN179" i="65"/>
  <c r="HQ179" i="65" s="1"/>
  <c r="HQ191" i="65"/>
  <c r="HN199" i="65"/>
  <c r="HQ199" i="65" s="1"/>
  <c r="HQ213" i="65"/>
  <c r="HQ217" i="65"/>
  <c r="HQ231" i="65"/>
  <c r="HQ235" i="65"/>
  <c r="HQ239" i="65"/>
  <c r="HQ243" i="65"/>
  <c r="HQ257" i="65"/>
  <c r="HQ261" i="65"/>
  <c r="HQ265" i="65"/>
  <c r="HQ269" i="65"/>
  <c r="HQ273" i="65"/>
  <c r="HQ277" i="65"/>
  <c r="HN287" i="65"/>
  <c r="HQ287" i="65" s="1"/>
  <c r="HQ291" i="65"/>
  <c r="HQ313" i="65"/>
  <c r="HQ317" i="65"/>
  <c r="HQ321" i="65"/>
  <c r="HN347" i="65"/>
  <c r="HQ357" i="65"/>
  <c r="HQ377" i="65"/>
  <c r="HN383" i="65"/>
  <c r="HQ383" i="65" s="1"/>
  <c r="HQ393" i="65"/>
  <c r="HQ409" i="65"/>
  <c r="HQ413" i="65"/>
  <c r="HQ433" i="65"/>
  <c r="HQ443" i="65"/>
  <c r="HQ453" i="65"/>
  <c r="HN463" i="65"/>
  <c r="HQ463" i="65" s="1"/>
  <c r="HN485" i="65"/>
  <c r="HQ485" i="65" s="1"/>
  <c r="HQ505" i="65"/>
  <c r="HQ509" i="65"/>
  <c r="HQ529" i="65"/>
  <c r="HQ20" i="65"/>
  <c r="HQ24" i="65"/>
  <c r="HQ28" i="65"/>
  <c r="HQ32" i="65"/>
  <c r="HQ36" i="65"/>
  <c r="HQ58" i="65"/>
  <c r="HQ62" i="65"/>
  <c r="HQ66" i="65"/>
  <c r="HQ70" i="65"/>
  <c r="HQ110" i="65"/>
  <c r="HQ114" i="65"/>
  <c r="HQ118" i="65"/>
  <c r="HN164" i="65"/>
  <c r="HQ168" i="65"/>
  <c r="HQ172" i="65"/>
  <c r="HQ194" i="65"/>
  <c r="HQ198" i="65"/>
  <c r="HQ202" i="65"/>
  <c r="HQ206" i="65"/>
  <c r="HQ210" i="65"/>
  <c r="HQ214" i="65"/>
  <c r="HQ218" i="65"/>
  <c r="HQ222" i="65"/>
  <c r="HQ244" i="65"/>
  <c r="HQ248" i="65"/>
  <c r="HQ252" i="65"/>
  <c r="HQ256" i="65"/>
  <c r="HQ318" i="65"/>
  <c r="HQ322" i="65"/>
  <c r="HQ326" i="65"/>
  <c r="HQ330" i="65"/>
  <c r="HQ356" i="65"/>
  <c r="HQ378" i="65"/>
  <c r="HQ382" i="65"/>
  <c r="HQ386" i="65"/>
  <c r="HQ390" i="65"/>
  <c r="HQ394" i="65"/>
  <c r="HQ398" i="65"/>
  <c r="HN408" i="65"/>
  <c r="HQ408" i="65" s="1"/>
  <c r="HQ412" i="65"/>
  <c r="HQ426" i="65"/>
  <c r="HQ430" i="65"/>
  <c r="HQ444" i="65"/>
  <c r="HQ514" i="65"/>
  <c r="HQ518" i="65"/>
  <c r="HQ522" i="65"/>
  <c r="HQ526" i="65"/>
  <c r="HQ530" i="65"/>
  <c r="HQ16" i="65"/>
  <c r="HQ107" i="65"/>
  <c r="HQ240" i="65"/>
  <c r="HQ163" i="65"/>
  <c r="HQ173" i="65"/>
  <c r="HQ177" i="65"/>
  <c r="HQ185" i="65"/>
  <c r="HQ207" i="65"/>
  <c r="HQ15" i="65"/>
  <c r="HQ31" i="65"/>
  <c r="HQ7" i="65"/>
  <c r="HQ17" i="65"/>
  <c r="HN11" i="65"/>
  <c r="HQ11" i="65" s="1"/>
  <c r="HN19" i="65"/>
  <c r="HQ19" i="65" s="1"/>
  <c r="HN27" i="65"/>
  <c r="HQ27" i="65" s="1"/>
  <c r="HQ43" i="65"/>
  <c r="HQ47" i="65"/>
  <c r="HQ51" i="65"/>
  <c r="HQ55" i="65"/>
  <c r="HQ59" i="65"/>
  <c r="HQ63" i="65"/>
  <c r="HQ67" i="65"/>
  <c r="HQ71" i="65"/>
  <c r="HQ75" i="65"/>
  <c r="HQ79" i="65"/>
  <c r="HQ83" i="65"/>
  <c r="HQ87" i="65"/>
  <c r="HQ91" i="65"/>
  <c r="HQ95" i="65"/>
  <c r="HQ99" i="65"/>
  <c r="HQ103" i="65"/>
  <c r="HN157" i="65"/>
  <c r="HQ157" i="65" s="1"/>
  <c r="HN165" i="65"/>
  <c r="HQ165" i="65" s="1"/>
  <c r="HN173" i="65"/>
  <c r="HN187" i="65"/>
  <c r="HQ187" i="65" s="1"/>
  <c r="HN201" i="65"/>
  <c r="HQ201" i="65" s="1"/>
  <c r="HN209" i="65"/>
  <c r="HQ209" i="65" s="1"/>
  <c r="HN219" i="65"/>
  <c r="HQ219" i="65" s="1"/>
  <c r="HQ223" i="65"/>
  <c r="HQ227" i="65"/>
  <c r="HN245" i="65"/>
  <c r="HQ245" i="65" s="1"/>
  <c r="HQ249" i="65"/>
  <c r="HQ253" i="65"/>
  <c r="HN279" i="65"/>
  <c r="HQ279" i="65" s="1"/>
  <c r="HQ283" i="65"/>
  <c r="HQ297" i="65"/>
  <c r="HQ301" i="65"/>
  <c r="HQ305" i="65"/>
  <c r="HQ309" i="65"/>
  <c r="HQ327" i="65"/>
  <c r="HQ331" i="65"/>
  <c r="HQ335" i="65"/>
  <c r="HQ339" i="65"/>
  <c r="HQ343" i="65"/>
  <c r="HQ353" i="65"/>
  <c r="HN359" i="65"/>
  <c r="HQ359" i="65" s="1"/>
  <c r="HQ363" i="65"/>
  <c r="HQ373" i="65"/>
  <c r="HN379" i="65"/>
  <c r="HQ389" i="65"/>
  <c r="HN395" i="65"/>
  <c r="HQ395" i="65" s="1"/>
  <c r="HQ405" i="65"/>
  <c r="HQ425" i="65"/>
  <c r="HQ429" i="65"/>
  <c r="HN435" i="65"/>
  <c r="HQ435" i="65" s="1"/>
  <c r="HQ449" i="65"/>
  <c r="HN455" i="65"/>
  <c r="HQ455" i="65" s="1"/>
  <c r="HQ459" i="65"/>
  <c r="HN471" i="65"/>
  <c r="HQ471" i="65" s="1"/>
  <c r="HQ475" i="65"/>
  <c r="HQ491" i="65"/>
  <c r="HQ501" i="65"/>
  <c r="HN511" i="65"/>
  <c r="HQ511" i="65" s="1"/>
  <c r="HQ521" i="65"/>
  <c r="HQ525" i="65"/>
  <c r="HN531" i="65"/>
  <c r="HQ531" i="65" s="1"/>
  <c r="HQ8" i="65"/>
  <c r="HQ12" i="65"/>
  <c r="HQ42" i="65"/>
  <c r="HQ46" i="65"/>
  <c r="HQ50" i="65"/>
  <c r="HQ54" i="65"/>
  <c r="HN72" i="65"/>
  <c r="HQ72" i="65" s="1"/>
  <c r="HQ76" i="65"/>
  <c r="HQ80" i="65"/>
  <c r="HQ84" i="65"/>
  <c r="HQ88" i="65"/>
  <c r="HQ98" i="65"/>
  <c r="HQ102" i="65"/>
  <c r="HQ106" i="65"/>
  <c r="HN120" i="65"/>
  <c r="HQ120" i="65" s="1"/>
  <c r="HQ124" i="65"/>
  <c r="HQ128" i="65"/>
  <c r="HQ132" i="65"/>
  <c r="HQ136" i="65"/>
  <c r="HQ140" i="65"/>
  <c r="HQ144" i="65"/>
  <c r="HQ148" i="65"/>
  <c r="HQ152" i="65"/>
  <c r="HQ156" i="65"/>
  <c r="HQ160" i="65"/>
  <c r="HQ178" i="65"/>
  <c r="HQ182" i="65"/>
  <c r="HQ186" i="65"/>
  <c r="HQ190" i="65"/>
  <c r="HN224" i="65"/>
  <c r="HQ228" i="65"/>
  <c r="HQ232" i="65"/>
  <c r="HQ236" i="65"/>
  <c r="HQ262" i="65"/>
  <c r="HQ266" i="65"/>
  <c r="HQ270" i="65"/>
  <c r="HQ274" i="65"/>
  <c r="HQ278" i="65"/>
  <c r="HQ282" i="65"/>
  <c r="HQ286" i="65"/>
  <c r="HQ290" i="65"/>
  <c r="HQ294" i="65"/>
  <c r="HQ298" i="65"/>
  <c r="HQ302" i="65"/>
  <c r="HQ306" i="65"/>
  <c r="HQ310" i="65"/>
  <c r="HQ314" i="65"/>
  <c r="HN332" i="65"/>
  <c r="HQ336" i="65"/>
  <c r="HQ340" i="65"/>
  <c r="HQ344" i="65"/>
  <c r="HQ348" i="65"/>
  <c r="HQ362" i="65"/>
  <c r="HQ366" i="65"/>
  <c r="HQ370" i="65"/>
  <c r="HQ374" i="65"/>
  <c r="HN400" i="65"/>
  <c r="HQ400" i="65" s="1"/>
  <c r="HQ404" i="65"/>
  <c r="HQ418" i="65"/>
  <c r="HQ422" i="65"/>
  <c r="HQ436" i="65"/>
  <c r="HQ450" i="65"/>
  <c r="HQ454" i="65"/>
  <c r="HQ458" i="65"/>
  <c r="HQ462" i="65"/>
  <c r="HQ466" i="65"/>
  <c r="HQ470" i="65"/>
  <c r="HQ474" i="65"/>
  <c r="HQ478" i="65"/>
  <c r="HQ482" i="65"/>
  <c r="HQ486" i="65"/>
  <c r="HQ490" i="65"/>
  <c r="HQ494" i="65"/>
  <c r="HQ498" i="65"/>
  <c r="HQ502" i="65"/>
  <c r="HQ506" i="65"/>
  <c r="HQ510" i="65"/>
  <c r="HQ399" i="65"/>
  <c r="HQ495" i="65"/>
  <c r="HQ487" i="65"/>
  <c r="HQ483" i="65"/>
  <c r="HQ40" i="65"/>
  <c r="HQ176" i="65"/>
  <c r="HQ371" i="65"/>
  <c r="HQ351" i="65"/>
  <c r="HQ367" i="65"/>
  <c r="HQ415" i="65"/>
  <c r="HQ439" i="65"/>
  <c r="HQ479" i="65"/>
  <c r="HQ387" i="65"/>
  <c r="HQ467" i="65"/>
  <c r="HQ515" i="65"/>
  <c r="HQ92" i="65"/>
  <c r="HQ260" i="65"/>
  <c r="HQ419" i="65"/>
  <c r="HQ197" i="65"/>
  <c r="HQ432" i="65"/>
  <c r="HQ352" i="65"/>
  <c r="HQ448" i="65"/>
  <c r="HQ295" i="65"/>
  <c r="HQ440" i="65"/>
  <c r="HQ323" i="65"/>
  <c r="HQ469" i="65"/>
  <c r="HE41" i="65"/>
  <c r="HE13" i="65"/>
  <c r="HB18" i="65"/>
  <c r="HQ167" i="65"/>
  <c r="HQ171" i="65"/>
  <c r="HQ181" i="65"/>
  <c r="HQ193" i="65"/>
  <c r="HQ205" i="65"/>
  <c r="HQ33" i="65"/>
  <c r="HQ29" i="65"/>
  <c r="HN13" i="65"/>
  <c r="HQ13" i="65" s="1"/>
  <c r="HN21" i="65"/>
  <c r="HN29" i="65"/>
  <c r="HQ35" i="65"/>
  <c r="HQ39" i="65"/>
  <c r="HN45" i="65"/>
  <c r="HQ45" i="65" s="1"/>
  <c r="HN49" i="65"/>
  <c r="HN53" i="65"/>
  <c r="HQ53" i="65" s="1"/>
  <c r="HN57" i="65"/>
  <c r="HQ57" i="65" s="1"/>
  <c r="HN61" i="65"/>
  <c r="HQ61" i="65" s="1"/>
  <c r="HN65" i="65"/>
  <c r="HN69" i="65"/>
  <c r="HQ69" i="65" s="1"/>
  <c r="HN73" i="65"/>
  <c r="HQ73" i="65" s="1"/>
  <c r="HN77" i="65"/>
  <c r="HQ77" i="65" s="1"/>
  <c r="HN81" i="65"/>
  <c r="HN85" i="65"/>
  <c r="HQ85" i="65" s="1"/>
  <c r="HN89" i="65"/>
  <c r="HQ89" i="65" s="1"/>
  <c r="HN93" i="65"/>
  <c r="HQ93" i="65" s="1"/>
  <c r="HN97" i="65"/>
  <c r="HN101" i="65"/>
  <c r="HQ101" i="65" s="1"/>
  <c r="HN105" i="65"/>
  <c r="HQ105" i="65" s="1"/>
  <c r="HQ109" i="65"/>
  <c r="HQ113" i="65"/>
  <c r="HQ117" i="65"/>
  <c r="HQ121" i="65"/>
  <c r="HQ125" i="65"/>
  <c r="HQ129" i="65"/>
  <c r="HQ133" i="65"/>
  <c r="HQ137" i="65"/>
  <c r="HQ141" i="65"/>
  <c r="HQ145" i="65"/>
  <c r="HQ149" i="65"/>
  <c r="HQ153" i="65"/>
  <c r="HN159" i="65"/>
  <c r="HQ159" i="65" s="1"/>
  <c r="HN167" i="65"/>
  <c r="HN175" i="65"/>
  <c r="HN183" i="65"/>
  <c r="HQ183" i="65" s="1"/>
  <c r="HN189" i="65"/>
  <c r="HQ189" i="65" s="1"/>
  <c r="HN195" i="65"/>
  <c r="HQ195" i="65" s="1"/>
  <c r="HN203" i="65"/>
  <c r="HQ203" i="65" s="1"/>
  <c r="HN211" i="65"/>
  <c r="HQ211" i="65" s="1"/>
  <c r="HQ215" i="65"/>
  <c r="HN221" i="65"/>
  <c r="HQ221" i="65" s="1"/>
  <c r="HN225" i="65"/>
  <c r="HQ225" i="65" s="1"/>
  <c r="HN229" i="65"/>
  <c r="HQ229" i="65" s="1"/>
  <c r="HQ233" i="65"/>
  <c r="HQ237" i="65"/>
  <c r="HQ241" i="65"/>
  <c r="HN247" i="65"/>
  <c r="HQ247" i="65" s="1"/>
  <c r="HN251" i="65"/>
  <c r="HN255" i="65"/>
  <c r="HQ259" i="65"/>
  <c r="HQ263" i="65"/>
  <c r="HQ267" i="65"/>
  <c r="HQ271" i="65"/>
  <c r="HQ275" i="65"/>
  <c r="HN281" i="65"/>
  <c r="HQ281" i="65" s="1"/>
  <c r="HN285" i="65"/>
  <c r="HQ285" i="65" s="1"/>
  <c r="HQ289" i="65"/>
  <c r="HQ293" i="65"/>
  <c r="HN299" i="65"/>
  <c r="HQ299" i="65" s="1"/>
  <c r="HN303" i="65"/>
  <c r="HN307" i="65"/>
  <c r="HQ307" i="65" s="1"/>
  <c r="HN311" i="65"/>
  <c r="HQ311" i="65" s="1"/>
  <c r="HQ315" i="65"/>
  <c r="HQ319" i="65"/>
  <c r="HN325" i="65"/>
  <c r="HQ325" i="65" s="1"/>
  <c r="HN329" i="65"/>
  <c r="HQ329" i="65" s="1"/>
  <c r="HN333" i="65"/>
  <c r="HQ333" i="65" s="1"/>
  <c r="HN337" i="65"/>
  <c r="HQ337" i="65" s="1"/>
  <c r="HN341" i="65"/>
  <c r="HQ341" i="65" s="1"/>
  <c r="HN345" i="65"/>
  <c r="HQ345" i="65" s="1"/>
  <c r="HQ349" i="65"/>
  <c r="HN355" i="65"/>
  <c r="HQ355" i="65" s="1"/>
  <c r="HN361" i="65"/>
  <c r="HN365" i="65"/>
  <c r="HQ365" i="65" s="1"/>
  <c r="HQ369" i="65"/>
  <c r="HN375" i="65"/>
  <c r="HQ375" i="65" s="1"/>
  <c r="HN381" i="65"/>
  <c r="HQ381" i="65" s="1"/>
  <c r="HQ385" i="65"/>
  <c r="HN391" i="65"/>
  <c r="HQ391" i="65" s="1"/>
  <c r="HN397" i="65"/>
  <c r="HQ397" i="65" s="1"/>
  <c r="HQ401" i="65"/>
  <c r="HN407" i="65"/>
  <c r="HQ411" i="65"/>
  <c r="HN417" i="65"/>
  <c r="HQ421" i="65"/>
  <c r="HN427" i="65"/>
  <c r="HQ427" i="65" s="1"/>
  <c r="HN431" i="65"/>
  <c r="HQ431" i="65" s="1"/>
  <c r="HN437" i="65"/>
  <c r="HQ437" i="65" s="1"/>
  <c r="HQ441" i="65"/>
  <c r="HQ445" i="65"/>
  <c r="HN451" i="65"/>
  <c r="HQ451" i="65" s="1"/>
  <c r="HN457" i="65"/>
  <c r="HQ457" i="65" s="1"/>
  <c r="HN461" i="65"/>
  <c r="HQ465" i="65"/>
  <c r="HN473" i="65"/>
  <c r="HQ473" i="65" s="1"/>
  <c r="HN477" i="65"/>
  <c r="HQ477" i="65" s="1"/>
  <c r="HQ481" i="65"/>
  <c r="HN489" i="65"/>
  <c r="HQ489" i="65" s="1"/>
  <c r="HN493" i="65"/>
  <c r="HQ493" i="65" s="1"/>
  <c r="HQ497" i="65"/>
  <c r="HN503" i="65"/>
  <c r="HQ503" i="65" s="1"/>
  <c r="HQ507" i="65"/>
  <c r="HN513" i="65"/>
  <c r="HQ513" i="65" s="1"/>
  <c r="HQ517" i="65"/>
  <c r="HN523" i="65"/>
  <c r="HQ523" i="65" s="1"/>
  <c r="HN527" i="65"/>
  <c r="HN533" i="65"/>
  <c r="HQ533" i="65" s="1"/>
  <c r="HQ6" i="65"/>
  <c r="HN10" i="65"/>
  <c r="HQ10" i="65" s="1"/>
  <c r="HN14" i="65"/>
  <c r="HQ14" i="65" s="1"/>
  <c r="HQ18" i="65"/>
  <c r="HQ22" i="65"/>
  <c r="HQ26" i="65"/>
  <c r="HQ30" i="65"/>
  <c r="HQ34" i="65"/>
  <c r="HQ38" i="65"/>
  <c r="HN44" i="65"/>
  <c r="HQ44" i="65" s="1"/>
  <c r="HN48" i="65"/>
  <c r="HN52" i="65"/>
  <c r="HQ52" i="65" s="1"/>
  <c r="HN56" i="65"/>
  <c r="HQ56" i="65" s="1"/>
  <c r="HQ60" i="65"/>
  <c r="HQ64" i="65"/>
  <c r="HQ68" i="65"/>
  <c r="HN74" i="65"/>
  <c r="HQ74" i="65" s="1"/>
  <c r="HN78" i="65"/>
  <c r="HQ78" i="65" s="1"/>
  <c r="HN82" i="65"/>
  <c r="HN86" i="65"/>
  <c r="HQ86" i="65" s="1"/>
  <c r="HN90" i="65"/>
  <c r="HQ90" i="65" s="1"/>
  <c r="HQ94" i="65"/>
  <c r="HN100" i="65"/>
  <c r="HN104" i="65"/>
  <c r="HQ104" i="65" s="1"/>
  <c r="HN108" i="65"/>
  <c r="HQ108" i="65" s="1"/>
  <c r="HQ112" i="65"/>
  <c r="HQ116" i="65"/>
  <c r="HN122" i="65"/>
  <c r="HQ122" i="65" s="1"/>
  <c r="HN126" i="65"/>
  <c r="HQ126" i="65" s="1"/>
  <c r="HN130" i="65"/>
  <c r="HN134" i="65"/>
  <c r="HQ134" i="65" s="1"/>
  <c r="HN138" i="65"/>
  <c r="HQ138" i="65" s="1"/>
  <c r="HN142" i="65"/>
  <c r="HQ142" i="65" s="1"/>
  <c r="HN146" i="65"/>
  <c r="HN150" i="65"/>
  <c r="HQ150" i="65" s="1"/>
  <c r="HN154" i="65"/>
  <c r="HQ154" i="65" s="1"/>
  <c r="HN158" i="65"/>
  <c r="HQ158" i="65" s="1"/>
  <c r="HN162" i="65"/>
  <c r="HQ166" i="65"/>
  <c r="HQ170" i="65"/>
  <c r="HQ174" i="65"/>
  <c r="HN180" i="65"/>
  <c r="HQ180" i="65" s="1"/>
  <c r="HN184" i="65"/>
  <c r="HQ184" i="65" s="1"/>
  <c r="HN188" i="65"/>
  <c r="HQ188" i="65" s="1"/>
  <c r="HN192" i="65"/>
  <c r="HQ192" i="65" s="1"/>
  <c r="HQ196" i="65"/>
  <c r="HQ200" i="65"/>
  <c r="HQ204" i="65"/>
  <c r="HQ208" i="65"/>
  <c r="HQ212" i="65"/>
  <c r="HQ216" i="65"/>
  <c r="HQ220" i="65"/>
  <c r="HN226" i="65"/>
  <c r="HN230" i="65"/>
  <c r="HQ230" i="65" s="1"/>
  <c r="HN234" i="65"/>
  <c r="HQ234" i="65" s="1"/>
  <c r="HN238" i="65"/>
  <c r="HQ238" i="65" s="1"/>
  <c r="HQ242" i="65"/>
  <c r="HQ246" i="65"/>
  <c r="HQ250" i="65"/>
  <c r="HQ254" i="65"/>
  <c r="HQ258" i="65"/>
  <c r="HN264" i="65"/>
  <c r="HN268" i="65"/>
  <c r="HQ268" i="65" s="1"/>
  <c r="HN272" i="65"/>
  <c r="HQ272" i="65" s="1"/>
  <c r="HN276" i="65"/>
  <c r="HQ276" i="65" s="1"/>
  <c r="HN280" i="65"/>
  <c r="HN284" i="65"/>
  <c r="HQ284" i="65" s="1"/>
  <c r="HN288" i="65"/>
  <c r="HQ288" i="65" s="1"/>
  <c r="HN292" i="65"/>
  <c r="HQ292" i="65" s="1"/>
  <c r="HN296" i="65"/>
  <c r="HN300" i="65"/>
  <c r="HQ300" i="65" s="1"/>
  <c r="HN304" i="65"/>
  <c r="HQ304" i="65" s="1"/>
  <c r="HN308" i="65"/>
  <c r="HQ308" i="65" s="1"/>
  <c r="HN312" i="65"/>
  <c r="HN316" i="65"/>
  <c r="HQ320" i="65"/>
  <c r="HQ324" i="65"/>
  <c r="HQ328" i="65"/>
  <c r="HN334" i="65"/>
  <c r="HQ334" i="65" s="1"/>
  <c r="HN338" i="65"/>
  <c r="HQ338" i="65" s="1"/>
  <c r="HN342" i="65"/>
  <c r="HQ342" i="65" s="1"/>
  <c r="HN346" i="65"/>
  <c r="HN350" i="65"/>
  <c r="HQ350" i="65" s="1"/>
  <c r="HQ354" i="65"/>
  <c r="HQ358" i="65"/>
  <c r="HN364" i="65"/>
  <c r="HQ364" i="65" s="1"/>
  <c r="HN368" i="65"/>
  <c r="HN372" i="65"/>
  <c r="HQ372" i="65" s="1"/>
  <c r="HN376" i="65"/>
  <c r="HQ380" i="65"/>
  <c r="HQ384" i="65"/>
  <c r="HQ388" i="65"/>
  <c r="HQ392" i="65"/>
  <c r="HQ396" i="65"/>
  <c r="HN402" i="65"/>
  <c r="HQ402" i="65" s="1"/>
  <c r="HN406" i="65"/>
  <c r="HQ406" i="65" s="1"/>
  <c r="HQ410" i="65"/>
  <c r="HQ414" i="65"/>
  <c r="HN420" i="65"/>
  <c r="HN424" i="65"/>
  <c r="HQ424" i="65" s="1"/>
  <c r="HQ428" i="65"/>
  <c r="HN434" i="65"/>
  <c r="HQ434" i="65" s="1"/>
  <c r="HN438" i="65"/>
  <c r="HQ438" i="65" s="1"/>
  <c r="HQ442" i="65"/>
  <c r="HQ446" i="65"/>
  <c r="HN452" i="65"/>
  <c r="HQ452" i="65" s="1"/>
  <c r="HN456" i="65"/>
  <c r="HN460" i="65"/>
  <c r="HQ460" i="65" s="1"/>
  <c r="HN464" i="65"/>
  <c r="HQ464" i="65" s="1"/>
  <c r="HN468" i="65"/>
  <c r="HQ468" i="65" s="1"/>
  <c r="HN472" i="65"/>
  <c r="HN476" i="65"/>
  <c r="HQ476" i="65" s="1"/>
  <c r="HN480" i="65"/>
  <c r="HQ480" i="65" s="1"/>
  <c r="HN484" i="65"/>
  <c r="HQ484" i="65" s="1"/>
  <c r="HN488" i="65"/>
  <c r="HN492" i="65"/>
  <c r="HQ492" i="65" s="1"/>
  <c r="HN496" i="65"/>
  <c r="HQ496" i="65" s="1"/>
  <c r="HN500" i="65"/>
  <c r="HQ500" i="65" s="1"/>
  <c r="HN504" i="65"/>
  <c r="HN508" i="65"/>
  <c r="HQ508" i="65" s="1"/>
  <c r="HN512" i="65"/>
  <c r="HQ512" i="65" s="1"/>
  <c r="HQ516" i="65"/>
  <c r="HQ520" i="65"/>
  <c r="HQ524" i="65"/>
  <c r="HQ528" i="65"/>
  <c r="HQ532" i="65"/>
  <c r="HE39" i="65"/>
  <c r="HB36" i="65"/>
  <c r="HE25" i="65"/>
  <c r="HE97" i="65"/>
  <c r="HE9" i="65"/>
  <c r="GZ31" i="65"/>
  <c r="HF31" i="65" s="1"/>
  <c r="HE28" i="65"/>
  <c r="HB45" i="65"/>
  <c r="HB31" i="65"/>
  <c r="HB28" i="65"/>
  <c r="HE64" i="65"/>
  <c r="GZ72" i="65"/>
  <c r="HF72" i="65" s="1"/>
  <c r="HB39" i="65"/>
  <c r="HB32" i="65"/>
  <c r="GZ32" i="65"/>
  <c r="HF32" i="65" s="1"/>
  <c r="HB9" i="65"/>
  <c r="HB25" i="65"/>
  <c r="HB41" i="65"/>
  <c r="HB57" i="65"/>
  <c r="HB13" i="65"/>
  <c r="HE45" i="65"/>
  <c r="HB72" i="65"/>
  <c r="HE82" i="65"/>
  <c r="HB81" i="65"/>
  <c r="HB64" i="65"/>
  <c r="GZ64" i="65"/>
  <c r="HF64" i="65" s="1"/>
  <c r="HB24" i="65"/>
  <c r="HB33" i="65"/>
  <c r="HE65" i="65"/>
  <c r="GZ81" i="65"/>
  <c r="HF81" i="65" s="1"/>
  <c r="HB22" i="65"/>
  <c r="HE86" i="65"/>
  <c r="HB43" i="65"/>
  <c r="HB92" i="65"/>
  <c r="HE21" i="65"/>
  <c r="HE37" i="65"/>
  <c r="HE53" i="65"/>
  <c r="HB48" i="65"/>
  <c r="HE26" i="65"/>
  <c r="HB58" i="65"/>
  <c r="HB74" i="65"/>
  <c r="HE19" i="65"/>
  <c r="HE89" i="65"/>
  <c r="HE14" i="65"/>
  <c r="HB46" i="65"/>
  <c r="HE27" i="65"/>
  <c r="HB16" i="65"/>
  <c r="GZ24" i="65"/>
  <c r="HF24" i="65" s="1"/>
  <c r="HE72" i="65"/>
  <c r="HE50" i="65"/>
  <c r="HE35" i="65"/>
  <c r="HB80" i="65"/>
  <c r="GZ87" i="65"/>
  <c r="HF87" i="65" s="1"/>
  <c r="HE56" i="65"/>
  <c r="HE85" i="65"/>
  <c r="HE15" i="65"/>
  <c r="HE48" i="65"/>
  <c r="GZ73" i="65"/>
  <c r="HE16" i="65"/>
  <c r="HE71" i="65"/>
  <c r="GZ77" i="65"/>
  <c r="HF77" i="65" s="1"/>
  <c r="HE93" i="65"/>
  <c r="GZ50" i="65"/>
  <c r="HF50" i="65" s="1"/>
  <c r="HE80" i="65"/>
  <c r="HB87" i="65"/>
  <c r="HB56" i="65"/>
  <c r="GZ56" i="65"/>
  <c r="HF56" i="65" s="1"/>
  <c r="HE33" i="65"/>
  <c r="HB65" i="65"/>
  <c r="HE22" i="65"/>
  <c r="HB86" i="65"/>
  <c r="HE43" i="65"/>
  <c r="HE92" i="65"/>
  <c r="HB21" i="65"/>
  <c r="HB37" i="65"/>
  <c r="HB53" i="65"/>
  <c r="HB15" i="65"/>
  <c r="GZ15" i="65"/>
  <c r="HF15" i="65" s="1"/>
  <c r="HB26" i="65"/>
  <c r="HE58" i="65"/>
  <c r="HE74" i="65"/>
  <c r="HB19" i="65"/>
  <c r="HB73" i="65"/>
  <c r="HB14" i="65"/>
  <c r="HE46" i="65"/>
  <c r="HB27" i="65"/>
  <c r="HB77" i="65"/>
  <c r="HB93" i="65"/>
  <c r="GZ93" i="65"/>
  <c r="HF93" i="65" s="1"/>
  <c r="GZ18" i="65"/>
  <c r="HF18" i="65" s="1"/>
  <c r="HB50" i="65"/>
  <c r="HB35" i="65"/>
  <c r="HE8" i="65"/>
  <c r="GZ49" i="65"/>
  <c r="GZ97" i="65"/>
  <c r="GZ88" i="65"/>
  <c r="GZ54" i="65"/>
  <c r="HF54" i="65" s="1"/>
  <c r="HE70" i="65"/>
  <c r="GZ7" i="65"/>
  <c r="GZ40" i="65"/>
  <c r="HE11" i="65"/>
  <c r="HE20" i="65"/>
  <c r="GZ76" i="65"/>
  <c r="GZ91" i="65"/>
  <c r="GZ42" i="65"/>
  <c r="HE90" i="65"/>
  <c r="GZ51" i="65"/>
  <c r="GZ23" i="65"/>
  <c r="HE59" i="65"/>
  <c r="GZ60" i="65"/>
  <c r="GZ62" i="65"/>
  <c r="HE78" i="65"/>
  <c r="GZ63" i="65"/>
  <c r="HF63" i="65" s="1"/>
  <c r="HE44" i="65"/>
  <c r="GZ61" i="65"/>
  <c r="GZ67" i="65"/>
  <c r="HB34" i="65"/>
  <c r="GZ34" i="65"/>
  <c r="HB66" i="65"/>
  <c r="GZ82" i="65"/>
  <c r="HE6" i="65"/>
  <c r="GZ28" i="65"/>
  <c r="HE87" i="65"/>
  <c r="HB8" i="65"/>
  <c r="GZ8" i="65"/>
  <c r="HF8" i="65" s="1"/>
  <c r="HE17" i="65"/>
  <c r="HB49" i="65"/>
  <c r="GZ65" i="65"/>
  <c r="HE81" i="65"/>
  <c r="GZ39" i="65"/>
  <c r="HE79" i="65"/>
  <c r="HE36" i="65"/>
  <c r="HB88" i="65"/>
  <c r="GZ22" i="65"/>
  <c r="HE38" i="65"/>
  <c r="HB54" i="65"/>
  <c r="HB70" i="65"/>
  <c r="GZ70" i="65"/>
  <c r="HB7" i="65"/>
  <c r="GZ43" i="65"/>
  <c r="HE83" i="65"/>
  <c r="HB40" i="65"/>
  <c r="GZ92" i="65"/>
  <c r="HB11" i="65"/>
  <c r="GZ11" i="65"/>
  <c r="HE68" i="65"/>
  <c r="HB76" i="65"/>
  <c r="GZ21" i="65"/>
  <c r="GZ53" i="65"/>
  <c r="HE69" i="65"/>
  <c r="HE47" i="65"/>
  <c r="HB91" i="65"/>
  <c r="GZ48" i="65"/>
  <c r="HE10" i="65"/>
  <c r="HB42" i="65"/>
  <c r="GZ58" i="65"/>
  <c r="HB90" i="65"/>
  <c r="GZ90" i="65"/>
  <c r="HB51" i="65"/>
  <c r="HE95" i="65"/>
  <c r="HE52" i="65"/>
  <c r="HE55" i="65"/>
  <c r="HB84" i="65"/>
  <c r="GZ84" i="65"/>
  <c r="GZ25" i="65"/>
  <c r="GZ57" i="65"/>
  <c r="HF57" i="65" s="1"/>
  <c r="HE73" i="65"/>
  <c r="HB23" i="65"/>
  <c r="HB59" i="65"/>
  <c r="GZ59" i="65"/>
  <c r="HE12" i="65"/>
  <c r="HB60" i="65"/>
  <c r="GZ14" i="65"/>
  <c r="HE30" i="65"/>
  <c r="HB62" i="65"/>
  <c r="HB78" i="65"/>
  <c r="GZ78" i="65"/>
  <c r="HE94" i="65"/>
  <c r="HB63" i="65"/>
  <c r="GZ16" i="65"/>
  <c r="HB44" i="65"/>
  <c r="HE96" i="65"/>
  <c r="GZ13" i="65"/>
  <c r="HE29" i="65"/>
  <c r="HB61" i="65"/>
  <c r="HE77" i="65"/>
  <c r="HE31" i="65"/>
  <c r="HB67" i="65"/>
  <c r="HE24" i="65"/>
  <c r="HG50" i="65"/>
  <c r="HB82" i="65"/>
  <c r="GZ35" i="65"/>
  <c r="HE75" i="65"/>
  <c r="GZ80" i="65"/>
  <c r="GZ17" i="65"/>
  <c r="GZ79" i="65"/>
  <c r="GZ83" i="65"/>
  <c r="GZ20" i="65"/>
  <c r="GZ69" i="65"/>
  <c r="GZ47" i="65"/>
  <c r="GZ10" i="65"/>
  <c r="GZ95" i="65"/>
  <c r="GZ12" i="65"/>
  <c r="GZ30" i="65"/>
  <c r="GZ94" i="65"/>
  <c r="GZ44" i="65"/>
  <c r="GZ29" i="65"/>
  <c r="HE34" i="65"/>
  <c r="HE66" i="65"/>
  <c r="GZ6" i="65"/>
  <c r="HD6" i="65"/>
  <c r="HB75" i="65"/>
  <c r="GZ75" i="65"/>
  <c r="HB17" i="65"/>
  <c r="GZ33" i="65"/>
  <c r="HF33" i="65" s="1"/>
  <c r="HE49" i="65"/>
  <c r="HB97" i="65"/>
  <c r="HB79" i="65"/>
  <c r="GZ36" i="65"/>
  <c r="HE88" i="65"/>
  <c r="HB38" i="65"/>
  <c r="GZ38" i="65"/>
  <c r="HE54" i="65"/>
  <c r="GZ86" i="65"/>
  <c r="HE7" i="65"/>
  <c r="HB83" i="65"/>
  <c r="HE40" i="65"/>
  <c r="HB20" i="65"/>
  <c r="HB68" i="65"/>
  <c r="GZ68" i="65"/>
  <c r="HE76" i="65"/>
  <c r="GZ37" i="65"/>
  <c r="HB69" i="65"/>
  <c r="HB85" i="65"/>
  <c r="GZ85" i="65"/>
  <c r="HB47" i="65"/>
  <c r="HE91" i="65"/>
  <c r="HB10" i="65"/>
  <c r="GZ26" i="65"/>
  <c r="HE42" i="65"/>
  <c r="GZ74" i="65"/>
  <c r="GZ19" i="65"/>
  <c r="HE51" i="65"/>
  <c r="HB95" i="65"/>
  <c r="HB52" i="65"/>
  <c r="GZ52" i="65"/>
  <c r="HB55" i="65"/>
  <c r="GZ55" i="65"/>
  <c r="HE84" i="65"/>
  <c r="GZ9" i="65"/>
  <c r="GZ41" i="65"/>
  <c r="HB89" i="65"/>
  <c r="GZ89" i="65"/>
  <c r="HE23" i="65"/>
  <c r="HB12" i="65"/>
  <c r="HE60" i="65"/>
  <c r="HB30" i="65"/>
  <c r="GZ46" i="65"/>
  <c r="HE62" i="65"/>
  <c r="HB94" i="65"/>
  <c r="GZ27" i="65"/>
  <c r="HF27" i="65" s="1"/>
  <c r="HE63" i="65"/>
  <c r="HB71" i="65"/>
  <c r="GZ71" i="65"/>
  <c r="HB96" i="65"/>
  <c r="GZ96" i="65"/>
  <c r="HB29" i="65"/>
  <c r="GZ45" i="65"/>
  <c r="HE61" i="65"/>
  <c r="HG77" i="65"/>
  <c r="HE67" i="65"/>
  <c r="GZ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V3" i="65" s="1"/>
  <c r="AQ7" i="65"/>
  <c r="HG31" i="65" l="1"/>
  <c r="HG64" i="65"/>
  <c r="HG24" i="65"/>
  <c r="HG93" i="65"/>
  <c r="HG18" i="65"/>
  <c r="HG15" i="65"/>
  <c r="HF73" i="65"/>
  <c r="HG87" i="65"/>
  <c r="HF71" i="65"/>
  <c r="HG71" i="65"/>
  <c r="HF80" i="65"/>
  <c r="HG80" i="65"/>
  <c r="HF84" i="65"/>
  <c r="HG84" i="65"/>
  <c r="HF53" i="65"/>
  <c r="HF42" i="65"/>
  <c r="HF66" i="65"/>
  <c r="HF96" i="65"/>
  <c r="HG96" i="65"/>
  <c r="HF41" i="65"/>
  <c r="HG41" i="65"/>
  <c r="HF26" i="65"/>
  <c r="HF85" i="65"/>
  <c r="HF36" i="65"/>
  <c r="HF75" i="65"/>
  <c r="HF94" i="65"/>
  <c r="HF10" i="65"/>
  <c r="HF83" i="65"/>
  <c r="HG83" i="65"/>
  <c r="HF35" i="65"/>
  <c r="HF59" i="65"/>
  <c r="HF90" i="65"/>
  <c r="HG90" i="65"/>
  <c r="HF92" i="65"/>
  <c r="HF61" i="65"/>
  <c r="HG61" i="65"/>
  <c r="HF62" i="65"/>
  <c r="HF51" i="65"/>
  <c r="HG51" i="65"/>
  <c r="HF76" i="65"/>
  <c r="HF7" i="65"/>
  <c r="HF97" i="65"/>
  <c r="HG97" i="65"/>
  <c r="HF12" i="65"/>
  <c r="HG12" i="65"/>
  <c r="HF17" i="65"/>
  <c r="HF16" i="65"/>
  <c r="HF46" i="65"/>
  <c r="HF9" i="65"/>
  <c r="HF52" i="65"/>
  <c r="HF19" i="65"/>
  <c r="HF68" i="65"/>
  <c r="HF38" i="65"/>
  <c r="HG38" i="65"/>
  <c r="HF30" i="65"/>
  <c r="HF47" i="65"/>
  <c r="HG47" i="65"/>
  <c r="HF79" i="65"/>
  <c r="HF78" i="65"/>
  <c r="HF14" i="65"/>
  <c r="HF25" i="65"/>
  <c r="HG25" i="65"/>
  <c r="HF48" i="65"/>
  <c r="HF70" i="65"/>
  <c r="HG70" i="65"/>
  <c r="HF22" i="65"/>
  <c r="HF39" i="65"/>
  <c r="HF28" i="65"/>
  <c r="HG28" i="65"/>
  <c r="HF34" i="65"/>
  <c r="HG34" i="65"/>
  <c r="HF60" i="65"/>
  <c r="HF49" i="65"/>
  <c r="HF45" i="65"/>
  <c r="HF89" i="65"/>
  <c r="HF69" i="65"/>
  <c r="HF11" i="65"/>
  <c r="HF74" i="65"/>
  <c r="HG74" i="65"/>
  <c r="HF29" i="65"/>
  <c r="HF58" i="65"/>
  <c r="HG58" i="65"/>
  <c r="HF55" i="65"/>
  <c r="HG55" i="65"/>
  <c r="HF37" i="65"/>
  <c r="HG37" i="65"/>
  <c r="HF86" i="65"/>
  <c r="HF6" i="65"/>
  <c r="HF44" i="65"/>
  <c r="HG44" i="65"/>
  <c r="HF95" i="65"/>
  <c r="HF20" i="65"/>
  <c r="HF13" i="65"/>
  <c r="HF21" i="65"/>
  <c r="HG21" i="65"/>
  <c r="HF43" i="65"/>
  <c r="HF65" i="65"/>
  <c r="HF82" i="65"/>
  <c r="HF67" i="65"/>
  <c r="HG67" i="65"/>
  <c r="HF23" i="65"/>
  <c r="HF91" i="65"/>
  <c r="HF40" i="65"/>
  <c r="HF88" i="65"/>
  <c r="EV443" i="65"/>
  <c r="EW445" i="65"/>
  <c r="EV446" i="65"/>
  <c r="EW448" i="65"/>
  <c r="EV451" i="65"/>
  <c r="EW453" i="65"/>
  <c r="EV457" i="65"/>
  <c r="EW441" i="65"/>
  <c r="EV442" i="65"/>
  <c r="EW444" i="65"/>
  <c r="EV447" i="65"/>
  <c r="EW449" i="65"/>
  <c r="EV450" i="65"/>
  <c r="EW452" i="65"/>
  <c r="EW454" i="65"/>
  <c r="EW455" i="65"/>
  <c r="EW456" i="65"/>
  <c r="EV458" i="65"/>
  <c r="EW459" i="65"/>
  <c r="EV461" i="65"/>
  <c r="EV463" i="65"/>
  <c r="EV464" i="65"/>
  <c r="EW465" i="65"/>
  <c r="EW466" i="65"/>
  <c r="EW471" i="65"/>
  <c r="EW472" i="65"/>
  <c r="EW479" i="65"/>
  <c r="EW480" i="65"/>
  <c r="EW483" i="65"/>
  <c r="EW484" i="65"/>
  <c r="EW487" i="65"/>
  <c r="EW488" i="65"/>
  <c r="EW493" i="65"/>
  <c r="EW494" i="65"/>
  <c r="EV495" i="65"/>
  <c r="EV496" i="65"/>
  <c r="EV499" i="65"/>
  <c r="EV502" i="65"/>
  <c r="EW505" i="65"/>
  <c r="EW508" i="65"/>
  <c r="EV509" i="65"/>
  <c r="EW511" i="65"/>
  <c r="EV512" i="65"/>
  <c r="EV516" i="65"/>
  <c r="EW519" i="65"/>
  <c r="EW525" i="65"/>
  <c r="EW531" i="65"/>
  <c r="EW532" i="65"/>
  <c r="EV533" i="65"/>
  <c r="EW534" i="65"/>
  <c r="EW535" i="65"/>
  <c r="EW536" i="65"/>
  <c r="EW539" i="65"/>
  <c r="EW540" i="65"/>
  <c r="EV545" i="65"/>
  <c r="EV546" i="65"/>
  <c r="EW547" i="65"/>
  <c r="EW550" i="65"/>
  <c r="EV552" i="65"/>
  <c r="EV553" i="65"/>
  <c r="EW442" i="65"/>
  <c r="EV445" i="65"/>
  <c r="EW447" i="65"/>
  <c r="EV448" i="65"/>
  <c r="EW450" i="65"/>
  <c r="EV453" i="65"/>
  <c r="EW458" i="65"/>
  <c r="EV460" i="65"/>
  <c r="EW461" i="65"/>
  <c r="EW463" i="65"/>
  <c r="EW464" i="65"/>
  <c r="EV467" i="65"/>
  <c r="EV468" i="65"/>
  <c r="EV470" i="65"/>
  <c r="EV474" i="65"/>
  <c r="EV476" i="65"/>
  <c r="EV477" i="65"/>
  <c r="EV478" i="65"/>
  <c r="EV481" i="65"/>
  <c r="EV482" i="65"/>
  <c r="EV485" i="65"/>
  <c r="EV486" i="65"/>
  <c r="EV489" i="65"/>
  <c r="EV490" i="65"/>
  <c r="EW495" i="65"/>
  <c r="EW496" i="65"/>
  <c r="EV497" i="65"/>
  <c r="EV498" i="65"/>
  <c r="FH498" i="65" s="1"/>
  <c r="EW499" i="65"/>
  <c r="EV500" i="65"/>
  <c r="EW502" i="65"/>
  <c r="EV503" i="65"/>
  <c r="EV507" i="65"/>
  <c r="EW509" i="65"/>
  <c r="EW512" i="65"/>
  <c r="EV513" i="65"/>
  <c r="EV514" i="65"/>
  <c r="EV515" i="65"/>
  <c r="EW516" i="65"/>
  <c r="EV518" i="65"/>
  <c r="EV521" i="65"/>
  <c r="EV522" i="65"/>
  <c r="EV529" i="65"/>
  <c r="EV530" i="65"/>
  <c r="EW533" i="65"/>
  <c r="EV537" i="65"/>
  <c r="EV538" i="65"/>
  <c r="EV541" i="65"/>
  <c r="EV542" i="65"/>
  <c r="FH542" i="65" s="1"/>
  <c r="EW545" i="65"/>
  <c r="EW546" i="65"/>
  <c r="EV548" i="65"/>
  <c r="EV549" i="65"/>
  <c r="EW552" i="65"/>
  <c r="EW553" i="65"/>
  <c r="EV452" i="65"/>
  <c r="EV455" i="65"/>
  <c r="EV466" i="65"/>
  <c r="EW469" i="65"/>
  <c r="EV471" i="65"/>
  <c r="EW473" i="65"/>
  <c r="EV483" i="65"/>
  <c r="EV484" i="65"/>
  <c r="EW491" i="65"/>
  <c r="EV493" i="65"/>
  <c r="EV505" i="65"/>
  <c r="EV456" i="65"/>
  <c r="EV459" i="65"/>
  <c r="EW462" i="65"/>
  <c r="EV465" i="65"/>
  <c r="EV472" i="65"/>
  <c r="EW475" i="65"/>
  <c r="EV479" i="65"/>
  <c r="EV480" i="65"/>
  <c r="EV487" i="65"/>
  <c r="EV488" i="65"/>
  <c r="EW492" i="65"/>
  <c r="EV494" i="65"/>
  <c r="EW501" i="65"/>
  <c r="EW504" i="65"/>
  <c r="EW506" i="65"/>
  <c r="EV508" i="65"/>
  <c r="EV511" i="65"/>
  <c r="EW517" i="65"/>
  <c r="EV519" i="65"/>
  <c r="EW524" i="65"/>
  <c r="EV525" i="65"/>
  <c r="EW528" i="65"/>
  <c r="EV531" i="65"/>
  <c r="EV534" i="65"/>
  <c r="EV535" i="65"/>
  <c r="EV540" i="65"/>
  <c r="EW543" i="65"/>
  <c r="EV550" i="65"/>
  <c r="EW551" i="65"/>
  <c r="EV555" i="65"/>
  <c r="EV560" i="65"/>
  <c r="EV561" i="65"/>
  <c r="EV564" i="65"/>
  <c r="EV565" i="65"/>
  <c r="EV568" i="65"/>
  <c r="EV569" i="65"/>
  <c r="EV572" i="65"/>
  <c r="EV573" i="65"/>
  <c r="EV576" i="65"/>
  <c r="EV577" i="65"/>
  <c r="EV580" i="65"/>
  <c r="EV581" i="65"/>
  <c r="EV584" i="65"/>
  <c r="EW585" i="65"/>
  <c r="EV587" i="65"/>
  <c r="EW590" i="65"/>
  <c r="EV592" i="65"/>
  <c r="EW593" i="65"/>
  <c r="EW596" i="65"/>
  <c r="EV597" i="65"/>
  <c r="EV600" i="65"/>
  <c r="EV605" i="65"/>
  <c r="EW606" i="65"/>
  <c r="EV607" i="65"/>
  <c r="EV608" i="65"/>
  <c r="EV613" i="65"/>
  <c r="EW614" i="65"/>
  <c r="EV615" i="65"/>
  <c r="EV616" i="65"/>
  <c r="EV626" i="65"/>
  <c r="FH626" i="65" s="1"/>
  <c r="EV627" i="65"/>
  <c r="EW628" i="65"/>
  <c r="EW629" i="65"/>
  <c r="EV634" i="65"/>
  <c r="FH634" i="65" s="1"/>
  <c r="EV635" i="65"/>
  <c r="EW443" i="65"/>
  <c r="EW446" i="65"/>
  <c r="EW451" i="65"/>
  <c r="EV454" i="65"/>
  <c r="EW457" i="65"/>
  <c r="EW460" i="65"/>
  <c r="EW468" i="65"/>
  <c r="EV469" i="65"/>
  <c r="EV473" i="65"/>
  <c r="EW476" i="65"/>
  <c r="EW481" i="65"/>
  <c r="EW482" i="65"/>
  <c r="EW489" i="65"/>
  <c r="EV491" i="65"/>
  <c r="EW498" i="65"/>
  <c r="EW500" i="65"/>
  <c r="EW503" i="65"/>
  <c r="EW507" i="65"/>
  <c r="EV510" i="65"/>
  <c r="EW513" i="65"/>
  <c r="EW515" i="65"/>
  <c r="EW518" i="65"/>
  <c r="EV520" i="65"/>
  <c r="EW522" i="65"/>
  <c r="EV523" i="65"/>
  <c r="EV526" i="65"/>
  <c r="EV527" i="65"/>
  <c r="EW529" i="65"/>
  <c r="EW537" i="65"/>
  <c r="EW542" i="65"/>
  <c r="EV544" i="65"/>
  <c r="EW548" i="65"/>
  <c r="EW549" i="65"/>
  <c r="EV554" i="65"/>
  <c r="EW555" i="65"/>
  <c r="EW560" i="65"/>
  <c r="EW561" i="65"/>
  <c r="EW564" i="65"/>
  <c r="EW565" i="65"/>
  <c r="EW568" i="65"/>
  <c r="EW569" i="65"/>
  <c r="EW572" i="65"/>
  <c r="EW573" i="65"/>
  <c r="EW576" i="65"/>
  <c r="EW577" i="65"/>
  <c r="EW580" i="65"/>
  <c r="EW581" i="65"/>
  <c r="EW584" i="65"/>
  <c r="EV586" i="65"/>
  <c r="EW587" i="65"/>
  <c r="EV589" i="65"/>
  <c r="EW592" i="65"/>
  <c r="EV594" i="65"/>
  <c r="EV595" i="65"/>
  <c r="EW597" i="65"/>
  <c r="EW600" i="65"/>
  <c r="EV602" i="65"/>
  <c r="EW605" i="65"/>
  <c r="EW607" i="65"/>
  <c r="EW608" i="65"/>
  <c r="EV610" i="65"/>
  <c r="EW613" i="65"/>
  <c r="EW615" i="65"/>
  <c r="EW616" i="65"/>
  <c r="EV618" i="65"/>
  <c r="FH618" i="65" s="1"/>
  <c r="EV620" i="65"/>
  <c r="EV622" i="65"/>
  <c r="EV624" i="65"/>
  <c r="EV625" i="65"/>
  <c r="EW626" i="65"/>
  <c r="EW627" i="65"/>
  <c r="EV632" i="65"/>
  <c r="EV633" i="65"/>
  <c r="EW634" i="65"/>
  <c r="EV441" i="65"/>
  <c r="EV462" i="65"/>
  <c r="EW467" i="65"/>
  <c r="EW477" i="65"/>
  <c r="EW490" i="65"/>
  <c r="EW497" i="65"/>
  <c r="EV504" i="65"/>
  <c r="EW510" i="65"/>
  <c r="EW520" i="65"/>
  <c r="EW527" i="65"/>
  <c r="EV532" i="65"/>
  <c r="EW544" i="65"/>
  <c r="EV547" i="65"/>
  <c r="EW554" i="65"/>
  <c r="EV562" i="65"/>
  <c r="EV563" i="65"/>
  <c r="EV570" i="65"/>
  <c r="EV571" i="65"/>
  <c r="EV578" i="65"/>
  <c r="EV579" i="65"/>
  <c r="EW586" i="65"/>
  <c r="EV588" i="65"/>
  <c r="EW589" i="65"/>
  <c r="EV591" i="65"/>
  <c r="EV598" i="65"/>
  <c r="EV599" i="65"/>
  <c r="EV601" i="65"/>
  <c r="EV603" i="65"/>
  <c r="EW610" i="65"/>
  <c r="EV612" i="65"/>
  <c r="EV617" i="65"/>
  <c r="EV619" i="65"/>
  <c r="EV621" i="65"/>
  <c r="EV623" i="65"/>
  <c r="EW625" i="65"/>
  <c r="EV630" i="65"/>
  <c r="EW632" i="65"/>
  <c r="EV636" i="65"/>
  <c r="EW638" i="65"/>
  <c r="EW639" i="65"/>
  <c r="EV642" i="65"/>
  <c r="EV444" i="65"/>
  <c r="EW474" i="65"/>
  <c r="EW478" i="65"/>
  <c r="EW485" i="65"/>
  <c r="EV492" i="65"/>
  <c r="EV506" i="65"/>
  <c r="EW514" i="65"/>
  <c r="EV517" i="65"/>
  <c r="EV528" i="65"/>
  <c r="EW530" i="65"/>
  <c r="EW538" i="65"/>
  <c r="EW541" i="65"/>
  <c r="EW562" i="65"/>
  <c r="EW563" i="65"/>
  <c r="EW570" i="65"/>
  <c r="EW571" i="65"/>
  <c r="EW578" i="65"/>
  <c r="EW579" i="65"/>
  <c r="EW588" i="65"/>
  <c r="EV590" i="65"/>
  <c r="EW591" i="65"/>
  <c r="EV593" i="65"/>
  <c r="EW598" i="65"/>
  <c r="EW599" i="65"/>
  <c r="EW601" i="65"/>
  <c r="EW603" i="65"/>
  <c r="EW612" i="65"/>
  <c r="EV614" i="65"/>
  <c r="EW617" i="65"/>
  <c r="EW619" i="65"/>
  <c r="EW621" i="65"/>
  <c r="EW623" i="65"/>
  <c r="EV628" i="65"/>
  <c r="EW630" i="65"/>
  <c r="EW636" i="65"/>
  <c r="EV637" i="65"/>
  <c r="EV640" i="65"/>
  <c r="EW642" i="65"/>
  <c r="EV643" i="65"/>
  <c r="EW644" i="65"/>
  <c r="EV645" i="65"/>
  <c r="EW646" i="65"/>
  <c r="EV648" i="65"/>
  <c r="EW650" i="65"/>
  <c r="EV651" i="65"/>
  <c r="EW652" i="65"/>
  <c r="EV655" i="65"/>
  <c r="EW657" i="65"/>
  <c r="EV661" i="65"/>
  <c r="EW662" i="65"/>
  <c r="EV664" i="65"/>
  <c r="EW666" i="65"/>
  <c r="EV667" i="65"/>
  <c r="EW668" i="65"/>
  <c r="EV671" i="65"/>
  <c r="EW672" i="65"/>
  <c r="EW673" i="65"/>
  <c r="EV679" i="65"/>
  <c r="EV681" i="65"/>
  <c r="EV682" i="65"/>
  <c r="EW684" i="65"/>
  <c r="EW688" i="65"/>
  <c r="EW690" i="65"/>
  <c r="EW691" i="65"/>
  <c r="EV694" i="65"/>
  <c r="EV695" i="65"/>
  <c r="EV700" i="65"/>
  <c r="EW701" i="65"/>
  <c r="EV704" i="65"/>
  <c r="EW705" i="65"/>
  <c r="EV709" i="65"/>
  <c r="EW710" i="65"/>
  <c r="EW711" i="65"/>
  <c r="EV713" i="65"/>
  <c r="EW716" i="65"/>
  <c r="EW720" i="65"/>
  <c r="EW724" i="65"/>
  <c r="EV730" i="65"/>
  <c r="EV731" i="65"/>
  <c r="EV733" i="65"/>
  <c r="EW734" i="65"/>
  <c r="EW735" i="65"/>
  <c r="EV736" i="65"/>
  <c r="EW737" i="65"/>
  <c r="EW740" i="65"/>
  <c r="EV746" i="65"/>
  <c r="EV747" i="65"/>
  <c r="EV749" i="65"/>
  <c r="EW750" i="65"/>
  <c r="EV751" i="65"/>
  <c r="EV756" i="65"/>
  <c r="EV757" i="65"/>
  <c r="EW758" i="65"/>
  <c r="EV759" i="65"/>
  <c r="EV764" i="65"/>
  <c r="EV765" i="65"/>
  <c r="EW766" i="65"/>
  <c r="EV767" i="65"/>
  <c r="EV449" i="65"/>
  <c r="EW470" i="65"/>
  <c r="EV475" i="65"/>
  <c r="EW486" i="65"/>
  <c r="EV501" i="65"/>
  <c r="EW523" i="65"/>
  <c r="EW526" i="65"/>
  <c r="EV536" i="65"/>
  <c r="EV539" i="65"/>
  <c r="EV556" i="65"/>
  <c r="EV557" i="65"/>
  <c r="EV558" i="65"/>
  <c r="EV559" i="65"/>
  <c r="EV566" i="65"/>
  <c r="EV567" i="65"/>
  <c r="EV574" i="65"/>
  <c r="EV575" i="65"/>
  <c r="EV582" i="65"/>
  <c r="EV583" i="65"/>
  <c r="EW594" i="65"/>
  <c r="EW595" i="65"/>
  <c r="EW602" i="65"/>
  <c r="EV604" i="65"/>
  <c r="EV609" i="65"/>
  <c r="EV611" i="65"/>
  <c r="EW618" i="65"/>
  <c r="EW620" i="65"/>
  <c r="EW622" i="65"/>
  <c r="EW624" i="65"/>
  <c r="EV631" i="65"/>
  <c r="EW633" i="65"/>
  <c r="EW635" i="65"/>
  <c r="EW637" i="65"/>
  <c r="EW640" i="65"/>
  <c r="EV641" i="65"/>
  <c r="EW643" i="65"/>
  <c r="EW645" i="65"/>
  <c r="EW648" i="65"/>
  <c r="EV649" i="65"/>
  <c r="EW651" i="65"/>
  <c r="EV654" i="65"/>
  <c r="EW655" i="65"/>
  <c r="EV658" i="65"/>
  <c r="EV660" i="65"/>
  <c r="EW661" i="65"/>
  <c r="EW664" i="65"/>
  <c r="EV665" i="65"/>
  <c r="EW667" i="65"/>
  <c r="EV670" i="65"/>
  <c r="EW671" i="65"/>
  <c r="EV676" i="65"/>
  <c r="EV677" i="65"/>
  <c r="EW679" i="65"/>
  <c r="EW681" i="65"/>
  <c r="EW682" i="65"/>
  <c r="EV683" i="65"/>
  <c r="EV686" i="65"/>
  <c r="EV687" i="65"/>
  <c r="EV693" i="65"/>
  <c r="EW694" i="65"/>
  <c r="EW695" i="65"/>
  <c r="EV697" i="65"/>
  <c r="EW700" i="65"/>
  <c r="EW704" i="65"/>
  <c r="EV708" i="65"/>
  <c r="EW709" i="65"/>
  <c r="EV712" i="65"/>
  <c r="EW713" i="65"/>
  <c r="EV714" i="65"/>
  <c r="EV715" i="65"/>
  <c r="EV718" i="65"/>
  <c r="EV719" i="65"/>
  <c r="EV722" i="65"/>
  <c r="EV723" i="65"/>
  <c r="EV726" i="65"/>
  <c r="EV727" i="65"/>
  <c r="EV729" i="65"/>
  <c r="EW730" i="65"/>
  <c r="EW731" i="65"/>
  <c r="EV732" i="65"/>
  <c r="EW733" i="65"/>
  <c r="EW736" i="65"/>
  <c r="EV742" i="65"/>
  <c r="EV743" i="65"/>
  <c r="EV745" i="65"/>
  <c r="EW746" i="65"/>
  <c r="EW747" i="65"/>
  <c r="EV748" i="65"/>
  <c r="EW749" i="65"/>
  <c r="EW751" i="65"/>
  <c r="EV754" i="65"/>
  <c r="EW756" i="65"/>
  <c r="EW757" i="65"/>
  <c r="EW759" i="65"/>
  <c r="EV762" i="65"/>
  <c r="EW764" i="65"/>
  <c r="EW765" i="65"/>
  <c r="EW767" i="65"/>
  <c r="EV770" i="65"/>
  <c r="EW556" i="65"/>
  <c r="EW567" i="65"/>
  <c r="EW574" i="65"/>
  <c r="EW631" i="65"/>
  <c r="EW647" i="65"/>
  <c r="EV650" i="65"/>
  <c r="EV652" i="65"/>
  <c r="EW656" i="65"/>
  <c r="EW659" i="65"/>
  <c r="EV662" i="65"/>
  <c r="EW669" i="65"/>
  <c r="EV672" i="65"/>
  <c r="EW674" i="65"/>
  <c r="EW678" i="65"/>
  <c r="EW680" i="65"/>
  <c r="EW685" i="65"/>
  <c r="EV688" i="65"/>
  <c r="EV691" i="65"/>
  <c r="EW696" i="65"/>
  <c r="EW699" i="65"/>
  <c r="EW702" i="65"/>
  <c r="EV705" i="65"/>
  <c r="EW707" i="65"/>
  <c r="EV710" i="65"/>
  <c r="EV551" i="65"/>
  <c r="EW557" i="65"/>
  <c r="EW575" i="65"/>
  <c r="EW582" i="65"/>
  <c r="EV596" i="65"/>
  <c r="EW609" i="65"/>
  <c r="EV638" i="65"/>
  <c r="EW649" i="65"/>
  <c r="EV653" i="65"/>
  <c r="EW658" i="65"/>
  <c r="EW660" i="65"/>
  <c r="EV663" i="65"/>
  <c r="EW670" i="65"/>
  <c r="EV675" i="65"/>
  <c r="EW677" i="65"/>
  <c r="EW683" i="65"/>
  <c r="EW686" i="65"/>
  <c r="EV689" i="65"/>
  <c r="EV692" i="65"/>
  <c r="EW697" i="65"/>
  <c r="EV698" i="65"/>
  <c r="EV703" i="65"/>
  <c r="EV706" i="65"/>
  <c r="EW708" i="65"/>
  <c r="EW714" i="65"/>
  <c r="EV717" i="65"/>
  <c r="EW719" i="65"/>
  <c r="EW722" i="65"/>
  <c r="EV725" i="65"/>
  <c r="EW727" i="65"/>
  <c r="EW729" i="65"/>
  <c r="EV738" i="65"/>
  <c r="EW742" i="65"/>
  <c r="EV744" i="65"/>
  <c r="FH744" i="65" s="1"/>
  <c r="EW748" i="65"/>
  <c r="EV752" i="65"/>
  <c r="EW754" i="65"/>
  <c r="EV761" i="65"/>
  <c r="EV763" i="65"/>
  <c r="EV768" i="65"/>
  <c r="EW770" i="65"/>
  <c r="EV771" i="65"/>
  <c r="EV776" i="65"/>
  <c r="EV777" i="65"/>
  <c r="EW778" i="65"/>
  <c r="EV779" i="65"/>
  <c r="EV783" i="65"/>
  <c r="EW826" i="65"/>
  <c r="EV829" i="65"/>
  <c r="EW830" i="65"/>
  <c r="EV833" i="65"/>
  <c r="EW834" i="65"/>
  <c r="EW521" i="65"/>
  <c r="EV543" i="65"/>
  <c r="EW558" i="65"/>
  <c r="EW583" i="65"/>
  <c r="EW604" i="65"/>
  <c r="EW611" i="65"/>
  <c r="EW641" i="65"/>
  <c r="EV644" i="65"/>
  <c r="EV646" i="65"/>
  <c r="EW653" i="65"/>
  <c r="EV657" i="65"/>
  <c r="EW663" i="65"/>
  <c r="EV666" i="65"/>
  <c r="EV668" i="65"/>
  <c r="EV673" i="65"/>
  <c r="EW675" i="65"/>
  <c r="EV684" i="65"/>
  <c r="EW689" i="65"/>
  <c r="EV690" i="65"/>
  <c r="EW692" i="65"/>
  <c r="EW698" i="65"/>
  <c r="EV701" i="65"/>
  <c r="EW703" i="65"/>
  <c r="EW706" i="65"/>
  <c r="EV711" i="65"/>
  <c r="EW717" i="65"/>
  <c r="EV720" i="65"/>
  <c r="EW725" i="65"/>
  <c r="EV734" i="65"/>
  <c r="EW738" i="65"/>
  <c r="EV740" i="65"/>
  <c r="EW744" i="65"/>
  <c r="EW752" i="65"/>
  <c r="EV758" i="65"/>
  <c r="EW761" i="65"/>
  <c r="EW763" i="65"/>
  <c r="EW768" i="65"/>
  <c r="EW771" i="65"/>
  <c r="EV774" i="65"/>
  <c r="EW776" i="65"/>
  <c r="EW777" i="65"/>
  <c r="EW779" i="65"/>
  <c r="EV782" i="65"/>
  <c r="EW783" i="65"/>
  <c r="EV785" i="65"/>
  <c r="EV787" i="65"/>
  <c r="EV789" i="65"/>
  <c r="FH789" i="65" s="1"/>
  <c r="EV791" i="65"/>
  <c r="EV793" i="65"/>
  <c r="FH793" i="65" s="1"/>
  <c r="EV795" i="65"/>
  <c r="EV797" i="65"/>
  <c r="FH797" i="65" s="1"/>
  <c r="EV799" i="65"/>
  <c r="EV801" i="65"/>
  <c r="EV803" i="65"/>
  <c r="EV805" i="65"/>
  <c r="EV807" i="65"/>
  <c r="EV809" i="65"/>
  <c r="EV811" i="65"/>
  <c r="FH811" i="65" s="1"/>
  <c r="EV813" i="65"/>
  <c r="EV815" i="65"/>
  <c r="EV817" i="65"/>
  <c r="EV819" i="65"/>
  <c r="EV821" i="65"/>
  <c r="EV823" i="65"/>
  <c r="EV825" i="65"/>
  <c r="EV828" i="65"/>
  <c r="EW829" i="65"/>
  <c r="EV832" i="65"/>
  <c r="EW833" i="65"/>
  <c r="EV836" i="65"/>
  <c r="EW837" i="65"/>
  <c r="EV524" i="65"/>
  <c r="EW559" i="65"/>
  <c r="EW566" i="65"/>
  <c r="EV585" i="65"/>
  <c r="EV606" i="65"/>
  <c r="EV629" i="65"/>
  <c r="EV639" i="65"/>
  <c r="EV647" i="65"/>
  <c r="EW654" i="65"/>
  <c r="EV656" i="65"/>
  <c r="EV659" i="65"/>
  <c r="EW665" i="65"/>
  <c r="EV669" i="65"/>
  <c r="EV674" i="65"/>
  <c r="EW676" i="65"/>
  <c r="EV678" i="65"/>
  <c r="EV680" i="65"/>
  <c r="EV685" i="65"/>
  <c r="EW687" i="65"/>
  <c r="EW693" i="65"/>
  <c r="EV696" i="65"/>
  <c r="EV699" i="65"/>
  <c r="EV702" i="65"/>
  <c r="EV707" i="65"/>
  <c r="EW712" i="65"/>
  <c r="EW715" i="65"/>
  <c r="EW718" i="65"/>
  <c r="EV721" i="65"/>
  <c r="EW723" i="65"/>
  <c r="EW726" i="65"/>
  <c r="EV728" i="65"/>
  <c r="FH728" i="65" s="1"/>
  <c r="EW732" i="65"/>
  <c r="EV739" i="65"/>
  <c r="EV741" i="65"/>
  <c r="EW743" i="65"/>
  <c r="EW745" i="65"/>
  <c r="EV753" i="65"/>
  <c r="EV755" i="65"/>
  <c r="EV760" i="65"/>
  <c r="EW762" i="65"/>
  <c r="EV769" i="65"/>
  <c r="EV772" i="65"/>
  <c r="EV773" i="65"/>
  <c r="EW774" i="65"/>
  <c r="EV775" i="65"/>
  <c r="EV780" i="65"/>
  <c r="EV781" i="65"/>
  <c r="EW782" i="65"/>
  <c r="EV784" i="65"/>
  <c r="EW785" i="65"/>
  <c r="EV786" i="65"/>
  <c r="EW787" i="65"/>
  <c r="EV788" i="65"/>
  <c r="EW789" i="65"/>
  <c r="EV790" i="65"/>
  <c r="EW791" i="65"/>
  <c r="EV792" i="65"/>
  <c r="EW793" i="65"/>
  <c r="EV794" i="65"/>
  <c r="EW795" i="65"/>
  <c r="EV796" i="65"/>
  <c r="EW797" i="65"/>
  <c r="EV798" i="65"/>
  <c r="EW799" i="65"/>
  <c r="EV800" i="65"/>
  <c r="EW801" i="65"/>
  <c r="EV802" i="65"/>
  <c r="EW803" i="65"/>
  <c r="EV804" i="65"/>
  <c r="EW805" i="65"/>
  <c r="EV806" i="65"/>
  <c r="EW807" i="65"/>
  <c r="EV808" i="65"/>
  <c r="EW809" i="65"/>
  <c r="EV810" i="65"/>
  <c r="EW811" i="65"/>
  <c r="EV812" i="65"/>
  <c r="EW813" i="65"/>
  <c r="EV814" i="65"/>
  <c r="EW815" i="65"/>
  <c r="EV816" i="65"/>
  <c r="EW817" i="65"/>
  <c r="EV818" i="65"/>
  <c r="EW819" i="65"/>
  <c r="EV820" i="65"/>
  <c r="EW821" i="65"/>
  <c r="EV822" i="65"/>
  <c r="EW823" i="65"/>
  <c r="EV824" i="65"/>
  <c r="EW825" i="65"/>
  <c r="EV827" i="65"/>
  <c r="EW828" i="65"/>
  <c r="EV831" i="65"/>
  <c r="EW832" i="65"/>
  <c r="EV835" i="65"/>
  <c r="EW836" i="65"/>
  <c r="EV839" i="65"/>
  <c r="EW728" i="65"/>
  <c r="EV737" i="65"/>
  <c r="EW753" i="65"/>
  <c r="EW760" i="65"/>
  <c r="EW772" i="65"/>
  <c r="EV830" i="65"/>
  <c r="EW835" i="65"/>
  <c r="EW838" i="65"/>
  <c r="EV840" i="65"/>
  <c r="EW841" i="65"/>
  <c r="EV844" i="65"/>
  <c r="EW845" i="65"/>
  <c r="EV848" i="65"/>
  <c r="EW849" i="65"/>
  <c r="EV852" i="65"/>
  <c r="EW853" i="65"/>
  <c r="EV856" i="65"/>
  <c r="EW857" i="65"/>
  <c r="EV860" i="65"/>
  <c r="EW861" i="65"/>
  <c r="EW864" i="65"/>
  <c r="EW866" i="65"/>
  <c r="EW868" i="65"/>
  <c r="EW870" i="65"/>
  <c r="EW872" i="65"/>
  <c r="EV875" i="65"/>
  <c r="EW739" i="65"/>
  <c r="EW755" i="65"/>
  <c r="EW769" i="65"/>
  <c r="EW773" i="65"/>
  <c r="EW780" i="65"/>
  <c r="EW784" i="65"/>
  <c r="EW788" i="65"/>
  <c r="EW792" i="65"/>
  <c r="EW796" i="65"/>
  <c r="EW800" i="65"/>
  <c r="EW804" i="65"/>
  <c r="EW808" i="65"/>
  <c r="EW812" i="65"/>
  <c r="EW816" i="65"/>
  <c r="EW820" i="65"/>
  <c r="EW824" i="65"/>
  <c r="EV826" i="65"/>
  <c r="EW831" i="65"/>
  <c r="EW840" i="65"/>
  <c r="EV843" i="65"/>
  <c r="EW844" i="65"/>
  <c r="EV847" i="65"/>
  <c r="EW848" i="65"/>
  <c r="EV851" i="65"/>
  <c r="EW852" i="65"/>
  <c r="EV855" i="65"/>
  <c r="EW856" i="65"/>
  <c r="EV859" i="65"/>
  <c r="EW860" i="65"/>
  <c r="EV863" i="65"/>
  <c r="EV865" i="65"/>
  <c r="EV867" i="65"/>
  <c r="EV869" i="65"/>
  <c r="EV871" i="65"/>
  <c r="EV874" i="65"/>
  <c r="EW875" i="65"/>
  <c r="EV724" i="65"/>
  <c r="EW741" i="65"/>
  <c r="EV750" i="65"/>
  <c r="EV778" i="65"/>
  <c r="EW781" i="65"/>
  <c r="EW827" i="65"/>
  <c r="EV837" i="65"/>
  <c r="EW839" i="65"/>
  <c r="EV842" i="65"/>
  <c r="EW843" i="65"/>
  <c r="EV846" i="65"/>
  <c r="EW847" i="65"/>
  <c r="EV850" i="65"/>
  <c r="EW851" i="65"/>
  <c r="EV854" i="65"/>
  <c r="EW855" i="65"/>
  <c r="EV858" i="65"/>
  <c r="EW859" i="65"/>
  <c r="EV862" i="65"/>
  <c r="EW863" i="65"/>
  <c r="EW865" i="65"/>
  <c r="EW867" i="65"/>
  <c r="EW869" i="65"/>
  <c r="EW871" i="65"/>
  <c r="EV873" i="65"/>
  <c r="EW874" i="65"/>
  <c r="EV716" i="65"/>
  <c r="EW721" i="65"/>
  <c r="EV735" i="65"/>
  <c r="EV766" i="65"/>
  <c r="EW775" i="65"/>
  <c r="EW786" i="65"/>
  <c r="EW790" i="65"/>
  <c r="EW794" i="65"/>
  <c r="EW798" i="65"/>
  <c r="EW802" i="65"/>
  <c r="EW806" i="65"/>
  <c r="EW810" i="65"/>
  <c r="EW814" i="65"/>
  <c r="EW818" i="65"/>
  <c r="EW822" i="65"/>
  <c r="EV834" i="65"/>
  <c r="EV838" i="65"/>
  <c r="EV841" i="65"/>
  <c r="EW842" i="65"/>
  <c r="EV845" i="65"/>
  <c r="EW846" i="65"/>
  <c r="EV849" i="65"/>
  <c r="EW850" i="65"/>
  <c r="EV853" i="65"/>
  <c r="EW854" i="65"/>
  <c r="EV857" i="65"/>
  <c r="EW858" i="65"/>
  <c r="EV861" i="65"/>
  <c r="EW862" i="65"/>
  <c r="EV864" i="65"/>
  <c r="EV866" i="65"/>
  <c r="EV868" i="65"/>
  <c r="EV870" i="65"/>
  <c r="EV872" i="65"/>
  <c r="EW873" i="65"/>
  <c r="EV10" i="65"/>
  <c r="EV14" i="65"/>
  <c r="EV18" i="65"/>
  <c r="EV22" i="65"/>
  <c r="EV26" i="65"/>
  <c r="EV30" i="65"/>
  <c r="EV34" i="65"/>
  <c r="EV38" i="65"/>
  <c r="EV42" i="65"/>
  <c r="EV46" i="65"/>
  <c r="EV50" i="65"/>
  <c r="EV8" i="65"/>
  <c r="EV12" i="65"/>
  <c r="EV16" i="65"/>
  <c r="EV20" i="65"/>
  <c r="EV24" i="65"/>
  <c r="EV28" i="65"/>
  <c r="EV32" i="65"/>
  <c r="EV36" i="65"/>
  <c r="EV40" i="65"/>
  <c r="EV44" i="65"/>
  <c r="EV48" i="65"/>
  <c r="EV52" i="65"/>
  <c r="EV56" i="65"/>
  <c r="EV60" i="65"/>
  <c r="EV64" i="65"/>
  <c r="EV9" i="65"/>
  <c r="EV13" i="65"/>
  <c r="EV17" i="65"/>
  <c r="EV21" i="65"/>
  <c r="EV25" i="65"/>
  <c r="EV29" i="65"/>
  <c r="EV33" i="65"/>
  <c r="EV37" i="65"/>
  <c r="EV41" i="65"/>
  <c r="EV45" i="65"/>
  <c r="EV49" i="65"/>
  <c r="EV53" i="65"/>
  <c r="EV57" i="65"/>
  <c r="EV61" i="65"/>
  <c r="EV65" i="65"/>
  <c r="EV11" i="65"/>
  <c r="EV27" i="65"/>
  <c r="EV43" i="65"/>
  <c r="EV55" i="65"/>
  <c r="EV63" i="65"/>
  <c r="EV69" i="65"/>
  <c r="EV73" i="65"/>
  <c r="EV77" i="65"/>
  <c r="EV81" i="65"/>
  <c r="EV85" i="65"/>
  <c r="EV89" i="65"/>
  <c r="EV93" i="65"/>
  <c r="EV97" i="65"/>
  <c r="EV101" i="65"/>
  <c r="EV105" i="65"/>
  <c r="EV109" i="65"/>
  <c r="EV113" i="65"/>
  <c r="EV117" i="65"/>
  <c r="EV121" i="65"/>
  <c r="EV125" i="65"/>
  <c r="EV129" i="65"/>
  <c r="EV133" i="65"/>
  <c r="EV137" i="65"/>
  <c r="EV141" i="65"/>
  <c r="EV145" i="65"/>
  <c r="EV149" i="65"/>
  <c r="EV153" i="65"/>
  <c r="EV157" i="65"/>
  <c r="EV161" i="65"/>
  <c r="EV165" i="65"/>
  <c r="EV169" i="65"/>
  <c r="EV173" i="65"/>
  <c r="EV177" i="65"/>
  <c r="EV181" i="65"/>
  <c r="EV185" i="65"/>
  <c r="EV189" i="65"/>
  <c r="EV193" i="65"/>
  <c r="EV197" i="65"/>
  <c r="EV201" i="65"/>
  <c r="EV205" i="65"/>
  <c r="EV209" i="65"/>
  <c r="EV213" i="65"/>
  <c r="EV217" i="65"/>
  <c r="EV221" i="65"/>
  <c r="EV225" i="65"/>
  <c r="EV229" i="65"/>
  <c r="EV233" i="65"/>
  <c r="EV237" i="65"/>
  <c r="EV241" i="65"/>
  <c r="EV245" i="65"/>
  <c r="EV249" i="65"/>
  <c r="EV253" i="65"/>
  <c r="EV257" i="65"/>
  <c r="EV261" i="65"/>
  <c r="EV265" i="65"/>
  <c r="EV269" i="65"/>
  <c r="EV273" i="65"/>
  <c r="EV277" i="65"/>
  <c r="EV281" i="65"/>
  <c r="EV285" i="65"/>
  <c r="EV289" i="65"/>
  <c r="EV293" i="65"/>
  <c r="EV297" i="65"/>
  <c r="EV301" i="65"/>
  <c r="EV305" i="65"/>
  <c r="EV309" i="65"/>
  <c r="EV313" i="65"/>
  <c r="EV317" i="65"/>
  <c r="EV321" i="65"/>
  <c r="EV325" i="65"/>
  <c r="EV329" i="65"/>
  <c r="EV333" i="65"/>
  <c r="EV337" i="65"/>
  <c r="EV341" i="65"/>
  <c r="EV345" i="65"/>
  <c r="EV349" i="65"/>
  <c r="EV353" i="65"/>
  <c r="EV357" i="65"/>
  <c r="EV361" i="65"/>
  <c r="EV365" i="65"/>
  <c r="EV369" i="65"/>
  <c r="EV373" i="65"/>
  <c r="EV377" i="65"/>
  <c r="EV381" i="65"/>
  <c r="EV385" i="65"/>
  <c r="EV389" i="65"/>
  <c r="EV393" i="65"/>
  <c r="EV397" i="65"/>
  <c r="EV401" i="65"/>
  <c r="EV405" i="65"/>
  <c r="EV409" i="65"/>
  <c r="EV413" i="65"/>
  <c r="EV417" i="65"/>
  <c r="EV421" i="65"/>
  <c r="EV425" i="65"/>
  <c r="EV429" i="65"/>
  <c r="EV433" i="65"/>
  <c r="EV437" i="65"/>
  <c r="EV6" i="65"/>
  <c r="EW10" i="65"/>
  <c r="EW14" i="65"/>
  <c r="EW18" i="65"/>
  <c r="EW22" i="65"/>
  <c r="EW26" i="65"/>
  <c r="EW30" i="65"/>
  <c r="EW34" i="65"/>
  <c r="EW38" i="65"/>
  <c r="EW42" i="65"/>
  <c r="EW46" i="65"/>
  <c r="EW50" i="65"/>
  <c r="EW54" i="65"/>
  <c r="EW58" i="65"/>
  <c r="EW62" i="65"/>
  <c r="EW66" i="65"/>
  <c r="EW70" i="65"/>
  <c r="EW74" i="65"/>
  <c r="EW78" i="65"/>
  <c r="EW82" i="65"/>
  <c r="EW86" i="65"/>
  <c r="EW90" i="65"/>
  <c r="EW94" i="65"/>
  <c r="EW98" i="65"/>
  <c r="EW102" i="65"/>
  <c r="EW106" i="65"/>
  <c r="EW110" i="65"/>
  <c r="EW114" i="65"/>
  <c r="EW118" i="65"/>
  <c r="EW122" i="65"/>
  <c r="EW126" i="65"/>
  <c r="EW130" i="65"/>
  <c r="EW134" i="65"/>
  <c r="EW138" i="65"/>
  <c r="EW142" i="65"/>
  <c r="EW146" i="65"/>
  <c r="EW150" i="65"/>
  <c r="EW154" i="65"/>
  <c r="EW158" i="65"/>
  <c r="EW162" i="65"/>
  <c r="EW166" i="65"/>
  <c r="EW170" i="65"/>
  <c r="EW174" i="65"/>
  <c r="EW178" i="65"/>
  <c r="EW182" i="65"/>
  <c r="EW186" i="65"/>
  <c r="EW190" i="65"/>
  <c r="EW194" i="65"/>
  <c r="EW198" i="65"/>
  <c r="EW202" i="65"/>
  <c r="EW206" i="65"/>
  <c r="EW210" i="65"/>
  <c r="EW214" i="65"/>
  <c r="EW218" i="65"/>
  <c r="EW222" i="65"/>
  <c r="EW226" i="65"/>
  <c r="EW230" i="65"/>
  <c r="EW234" i="65"/>
  <c r="EW238" i="65"/>
  <c r="EW242" i="65"/>
  <c r="EW246" i="65"/>
  <c r="EW250" i="65"/>
  <c r="EW254" i="65"/>
  <c r="EW258" i="65"/>
  <c r="EW262" i="65"/>
  <c r="EW266" i="65"/>
  <c r="EW270" i="65"/>
  <c r="EW274" i="65"/>
  <c r="EW278" i="65"/>
  <c r="EW282" i="65"/>
  <c r="EW286" i="65"/>
  <c r="EW290" i="65"/>
  <c r="EW294" i="65"/>
  <c r="EW298" i="65"/>
  <c r="EW302" i="65"/>
  <c r="EW306" i="65"/>
  <c r="EW310" i="65"/>
  <c r="EW314" i="65"/>
  <c r="EW318" i="65"/>
  <c r="EW322" i="65"/>
  <c r="EW326" i="65"/>
  <c r="EW330" i="65"/>
  <c r="EW334" i="65"/>
  <c r="EW338" i="65"/>
  <c r="EW342" i="65"/>
  <c r="EW346" i="65"/>
  <c r="EW350" i="65"/>
  <c r="EW354" i="65"/>
  <c r="EW358" i="65"/>
  <c r="EW362" i="65"/>
  <c r="EW366" i="65"/>
  <c r="EW370" i="65"/>
  <c r="EW374" i="65"/>
  <c r="EW378" i="65"/>
  <c r="EW382" i="65"/>
  <c r="EW386" i="65"/>
  <c r="EW390" i="65"/>
  <c r="EW394" i="65"/>
  <c r="EW398" i="65"/>
  <c r="EW402" i="65"/>
  <c r="EW406" i="65"/>
  <c r="EW410" i="65"/>
  <c r="EW414" i="65"/>
  <c r="EW418" i="65"/>
  <c r="EW422" i="65"/>
  <c r="EW426" i="65"/>
  <c r="EW430" i="65"/>
  <c r="EW434" i="65"/>
  <c r="EW438" i="65"/>
  <c r="EV15" i="65"/>
  <c r="EV31" i="65"/>
  <c r="EV47" i="65"/>
  <c r="EV58" i="65"/>
  <c r="EV66" i="65"/>
  <c r="EV70" i="65"/>
  <c r="EV74" i="65"/>
  <c r="EV78" i="65"/>
  <c r="EV82" i="65"/>
  <c r="EV86" i="65"/>
  <c r="EV90" i="65"/>
  <c r="EV94" i="65"/>
  <c r="EV98" i="65"/>
  <c r="EV102" i="65"/>
  <c r="EV106" i="65"/>
  <c r="EV110" i="65"/>
  <c r="EV114" i="65"/>
  <c r="EV118" i="65"/>
  <c r="EV122" i="65"/>
  <c r="EV126" i="65"/>
  <c r="EV130" i="65"/>
  <c r="EV134" i="65"/>
  <c r="EV138" i="65"/>
  <c r="EV142" i="65"/>
  <c r="EV146" i="65"/>
  <c r="EV150" i="65"/>
  <c r="EV154" i="65"/>
  <c r="EV158" i="65"/>
  <c r="EV162" i="65"/>
  <c r="EV166" i="65"/>
  <c r="EV170" i="65"/>
  <c r="EV174" i="65"/>
  <c r="EV178" i="65"/>
  <c r="EV182" i="65"/>
  <c r="EV186" i="65"/>
  <c r="EV190" i="65"/>
  <c r="EV194" i="65"/>
  <c r="EV198" i="65"/>
  <c r="EV202" i="65"/>
  <c r="EV206" i="65"/>
  <c r="EV210" i="65"/>
  <c r="EV214" i="65"/>
  <c r="EV218" i="65"/>
  <c r="EV222" i="65"/>
  <c r="EV226" i="65"/>
  <c r="EV230" i="65"/>
  <c r="EV234" i="65"/>
  <c r="EV238" i="65"/>
  <c r="EV242" i="65"/>
  <c r="EV246" i="65"/>
  <c r="EV250" i="65"/>
  <c r="EV254" i="65"/>
  <c r="EV258" i="65"/>
  <c r="EV262" i="65"/>
  <c r="EV266" i="65"/>
  <c r="EV270" i="65"/>
  <c r="EV274" i="65"/>
  <c r="EV278" i="65"/>
  <c r="EV282" i="65"/>
  <c r="EV286" i="65"/>
  <c r="EV290" i="65"/>
  <c r="EV294" i="65"/>
  <c r="EV298" i="65"/>
  <c r="EV302" i="65"/>
  <c r="EV306" i="65"/>
  <c r="EV310" i="65"/>
  <c r="EV314" i="65"/>
  <c r="EV318" i="65"/>
  <c r="EV322" i="65"/>
  <c r="EV326" i="65"/>
  <c r="EV330" i="65"/>
  <c r="EV334" i="65"/>
  <c r="EV338" i="65"/>
  <c r="EV342" i="65"/>
  <c r="EV346" i="65"/>
  <c r="EV350" i="65"/>
  <c r="EV354" i="65"/>
  <c r="EV358" i="65"/>
  <c r="EV362" i="65"/>
  <c r="EV366" i="65"/>
  <c r="EV370" i="65"/>
  <c r="EV374" i="65"/>
  <c r="EV378" i="65"/>
  <c r="EV382" i="65"/>
  <c r="EV386" i="65"/>
  <c r="EV390" i="65"/>
  <c r="EV394" i="65"/>
  <c r="EV398" i="65"/>
  <c r="EV402" i="65"/>
  <c r="EV406" i="65"/>
  <c r="EV410" i="65"/>
  <c r="EV414" i="65"/>
  <c r="EV418" i="65"/>
  <c r="EV422" i="65"/>
  <c r="EV426" i="65"/>
  <c r="EV430" i="65"/>
  <c r="EV434" i="65"/>
  <c r="EV438" i="65"/>
  <c r="EW7" i="65"/>
  <c r="EW11" i="65"/>
  <c r="EW15" i="65"/>
  <c r="EW19" i="65"/>
  <c r="EW23" i="65"/>
  <c r="EW27" i="65"/>
  <c r="EW31" i="65"/>
  <c r="EW35" i="65"/>
  <c r="EW39" i="65"/>
  <c r="EW43" i="65"/>
  <c r="EW47" i="65"/>
  <c r="EW51" i="65"/>
  <c r="EW55" i="65"/>
  <c r="EW59" i="65"/>
  <c r="EW63" i="65"/>
  <c r="EW67" i="65"/>
  <c r="EW71" i="65"/>
  <c r="EW75" i="65"/>
  <c r="EW79" i="65"/>
  <c r="EW83" i="65"/>
  <c r="EW87" i="65"/>
  <c r="EW91" i="65"/>
  <c r="EW95" i="65"/>
  <c r="EW99" i="65"/>
  <c r="EW103" i="65"/>
  <c r="EW107" i="65"/>
  <c r="EW111" i="65"/>
  <c r="EW115" i="65"/>
  <c r="EW119" i="65"/>
  <c r="EW123" i="65"/>
  <c r="EW127" i="65"/>
  <c r="EW131" i="65"/>
  <c r="EW135" i="65"/>
  <c r="EW139" i="65"/>
  <c r="EW143" i="65"/>
  <c r="EW147" i="65"/>
  <c r="EW151" i="65"/>
  <c r="EW155" i="65"/>
  <c r="EW159" i="65"/>
  <c r="EW163" i="65"/>
  <c r="EW167" i="65"/>
  <c r="EW171" i="65"/>
  <c r="EW175" i="65"/>
  <c r="EW179" i="65"/>
  <c r="EW183" i="65"/>
  <c r="EW187" i="65"/>
  <c r="EW191" i="65"/>
  <c r="EW195" i="65"/>
  <c r="EW199" i="65"/>
  <c r="EW203" i="65"/>
  <c r="EW207" i="65"/>
  <c r="EW211" i="65"/>
  <c r="EW215" i="65"/>
  <c r="EW219" i="65"/>
  <c r="EW223" i="65"/>
  <c r="EW227" i="65"/>
  <c r="EW231" i="65"/>
  <c r="EW235" i="65"/>
  <c r="EW239" i="65"/>
  <c r="EW243" i="65"/>
  <c r="EW247" i="65"/>
  <c r="EW251" i="65"/>
  <c r="EW255" i="65"/>
  <c r="EW259" i="65"/>
  <c r="EW263" i="65"/>
  <c r="EW267" i="65"/>
  <c r="EW271" i="65"/>
  <c r="EW275" i="65"/>
  <c r="EW279" i="65"/>
  <c r="EW283" i="65"/>
  <c r="EW287" i="65"/>
  <c r="EW291" i="65"/>
  <c r="EW295" i="65"/>
  <c r="EW299" i="65"/>
  <c r="EW303" i="65"/>
  <c r="EW307" i="65"/>
  <c r="EW311" i="65"/>
  <c r="EW315" i="65"/>
  <c r="EW319" i="65"/>
  <c r="EW323" i="65"/>
  <c r="EW327" i="65"/>
  <c r="EW331" i="65"/>
  <c r="EW335" i="65"/>
  <c r="EW339" i="65"/>
  <c r="EW343" i="65"/>
  <c r="EW347" i="65"/>
  <c r="EW351" i="65"/>
  <c r="EW355" i="65"/>
  <c r="EW359" i="65"/>
  <c r="EW363" i="65"/>
  <c r="EW367" i="65"/>
  <c r="EW371" i="65"/>
  <c r="EW375" i="65"/>
  <c r="EW379" i="65"/>
  <c r="EW383" i="65"/>
  <c r="EW387" i="65"/>
  <c r="EW391" i="65"/>
  <c r="EW395" i="65"/>
  <c r="EW399" i="65"/>
  <c r="EW403" i="65"/>
  <c r="EW407" i="65"/>
  <c r="EW411" i="65"/>
  <c r="EW415" i="65"/>
  <c r="EW419" i="65"/>
  <c r="EW423" i="65"/>
  <c r="EW427" i="65"/>
  <c r="EW431" i="65"/>
  <c r="EW435" i="65"/>
  <c r="EW439" i="65"/>
  <c r="EV19" i="65"/>
  <c r="EV35" i="65"/>
  <c r="EV51" i="65"/>
  <c r="EV59" i="65"/>
  <c r="EV67" i="65"/>
  <c r="EV71" i="65"/>
  <c r="EV75" i="65"/>
  <c r="EV79" i="65"/>
  <c r="EV83" i="65"/>
  <c r="EV87" i="65"/>
  <c r="EV91" i="65"/>
  <c r="EV95" i="65"/>
  <c r="EV99" i="65"/>
  <c r="EV103" i="65"/>
  <c r="EV107" i="65"/>
  <c r="EV111" i="65"/>
  <c r="EV115" i="65"/>
  <c r="EV119" i="65"/>
  <c r="EV123" i="65"/>
  <c r="EV127" i="65"/>
  <c r="EV131" i="65"/>
  <c r="EV135" i="65"/>
  <c r="EV139" i="65"/>
  <c r="EV143" i="65"/>
  <c r="EV147" i="65"/>
  <c r="EV151" i="65"/>
  <c r="EV155" i="65"/>
  <c r="EV159" i="65"/>
  <c r="EV163" i="65"/>
  <c r="EV167" i="65"/>
  <c r="EV171" i="65"/>
  <c r="EV175" i="65"/>
  <c r="EV179" i="65"/>
  <c r="EV183" i="65"/>
  <c r="EV187" i="65"/>
  <c r="EV191" i="65"/>
  <c r="EV195" i="65"/>
  <c r="EV199" i="65"/>
  <c r="EV203" i="65"/>
  <c r="EV207" i="65"/>
  <c r="EV211" i="65"/>
  <c r="EV215" i="65"/>
  <c r="EV219" i="65"/>
  <c r="EV223" i="65"/>
  <c r="EV227" i="65"/>
  <c r="EV231" i="65"/>
  <c r="EV235" i="65"/>
  <c r="EV239" i="65"/>
  <c r="EV243" i="65"/>
  <c r="EV247" i="65"/>
  <c r="EV251" i="65"/>
  <c r="EV255" i="65"/>
  <c r="EV259" i="65"/>
  <c r="EV263" i="65"/>
  <c r="EV267" i="65"/>
  <c r="EV271" i="65"/>
  <c r="EV275" i="65"/>
  <c r="EV279" i="65"/>
  <c r="EV283" i="65"/>
  <c r="EV287" i="65"/>
  <c r="EV291" i="65"/>
  <c r="EV295" i="65"/>
  <c r="EV299" i="65"/>
  <c r="EV303" i="65"/>
  <c r="EV307" i="65"/>
  <c r="EV311" i="65"/>
  <c r="EV315" i="65"/>
  <c r="EV319" i="65"/>
  <c r="EV323" i="65"/>
  <c r="EV327" i="65"/>
  <c r="EV331" i="65"/>
  <c r="EV335" i="65"/>
  <c r="EV339" i="65"/>
  <c r="EV343" i="65"/>
  <c r="EV347" i="65"/>
  <c r="EV351" i="65"/>
  <c r="EV355" i="65"/>
  <c r="EV359" i="65"/>
  <c r="EV363" i="65"/>
  <c r="EV367" i="65"/>
  <c r="EV371" i="65"/>
  <c r="EV375" i="65"/>
  <c r="EV379" i="65"/>
  <c r="EV383" i="65"/>
  <c r="EV387" i="65"/>
  <c r="EV391" i="65"/>
  <c r="EV395" i="65"/>
  <c r="EV399" i="65"/>
  <c r="EV403" i="65"/>
  <c r="EV407" i="65"/>
  <c r="EV411" i="65"/>
  <c r="EV415" i="65"/>
  <c r="EV419" i="65"/>
  <c r="EV423" i="65"/>
  <c r="EV427" i="65"/>
  <c r="EV431" i="65"/>
  <c r="EV435" i="65"/>
  <c r="EV439" i="65"/>
  <c r="EW8" i="65"/>
  <c r="EW12" i="65"/>
  <c r="EW16" i="65"/>
  <c r="EW20" i="65"/>
  <c r="EW24" i="65"/>
  <c r="EW28" i="65"/>
  <c r="EW32" i="65"/>
  <c r="EW36" i="65"/>
  <c r="EW40" i="65"/>
  <c r="EW44" i="65"/>
  <c r="EW48" i="65"/>
  <c r="EW52" i="65"/>
  <c r="EW56" i="65"/>
  <c r="EW60" i="65"/>
  <c r="EW64" i="65"/>
  <c r="EW68" i="65"/>
  <c r="EW72" i="65"/>
  <c r="EW76" i="65"/>
  <c r="EW80" i="65"/>
  <c r="EW84" i="65"/>
  <c r="EW88" i="65"/>
  <c r="EW92" i="65"/>
  <c r="EW96" i="65"/>
  <c r="EW100" i="65"/>
  <c r="EW104" i="65"/>
  <c r="EW108" i="65"/>
  <c r="EW112" i="65"/>
  <c r="EW116" i="65"/>
  <c r="EW120" i="65"/>
  <c r="EW124" i="65"/>
  <c r="EW128" i="65"/>
  <c r="EW132" i="65"/>
  <c r="EW136" i="65"/>
  <c r="EW140" i="65"/>
  <c r="EW144" i="65"/>
  <c r="EW148" i="65"/>
  <c r="EW152" i="65"/>
  <c r="EW156" i="65"/>
  <c r="EW160" i="65"/>
  <c r="EW164" i="65"/>
  <c r="EW168" i="65"/>
  <c r="EW172" i="65"/>
  <c r="EW176" i="65"/>
  <c r="EW180" i="65"/>
  <c r="EW184" i="65"/>
  <c r="EW188" i="65"/>
  <c r="EW192" i="65"/>
  <c r="EW196" i="65"/>
  <c r="EW200" i="65"/>
  <c r="EW204" i="65"/>
  <c r="EW208" i="65"/>
  <c r="EW212" i="65"/>
  <c r="EW216" i="65"/>
  <c r="EW220" i="65"/>
  <c r="EW224" i="65"/>
  <c r="EW228" i="65"/>
  <c r="EW232" i="65"/>
  <c r="EW236" i="65"/>
  <c r="EW240" i="65"/>
  <c r="EW244" i="65"/>
  <c r="EW248" i="65"/>
  <c r="EW252" i="65"/>
  <c r="EW256" i="65"/>
  <c r="EW260" i="65"/>
  <c r="EW264" i="65"/>
  <c r="EW268" i="65"/>
  <c r="EW272" i="65"/>
  <c r="EW276" i="65"/>
  <c r="EW280" i="65"/>
  <c r="EW284" i="65"/>
  <c r="EW288" i="65"/>
  <c r="EW292" i="65"/>
  <c r="EW296" i="65"/>
  <c r="EW300" i="65"/>
  <c r="EW304" i="65"/>
  <c r="EW308" i="65"/>
  <c r="EW312" i="65"/>
  <c r="EW316" i="65"/>
  <c r="EW320" i="65"/>
  <c r="EW324" i="65"/>
  <c r="EW328" i="65"/>
  <c r="EW332" i="65"/>
  <c r="EW336" i="65"/>
  <c r="EW340" i="65"/>
  <c r="EW344" i="65"/>
  <c r="EW348" i="65"/>
  <c r="EW352" i="65"/>
  <c r="EW356" i="65"/>
  <c r="EW360" i="65"/>
  <c r="EW364" i="65"/>
  <c r="EW368" i="65"/>
  <c r="EW372" i="65"/>
  <c r="EW376" i="65"/>
  <c r="EW380" i="65"/>
  <c r="EW384" i="65"/>
  <c r="EW388" i="65"/>
  <c r="EW392" i="65"/>
  <c r="EW396" i="65"/>
  <c r="EW400" i="65"/>
  <c r="EW404" i="65"/>
  <c r="EW408" i="65"/>
  <c r="EW412" i="65"/>
  <c r="EW416" i="65"/>
  <c r="EW420" i="65"/>
  <c r="EW424" i="65"/>
  <c r="EW428" i="65"/>
  <c r="EW432" i="65"/>
  <c r="EW436" i="65"/>
  <c r="EW440" i="65"/>
  <c r="EV7" i="65"/>
  <c r="EV23" i="65"/>
  <c r="EV39" i="65"/>
  <c r="EV54" i="65"/>
  <c r="EV62" i="65"/>
  <c r="EV68" i="65"/>
  <c r="EV72" i="65"/>
  <c r="EV76" i="65"/>
  <c r="EV80" i="65"/>
  <c r="EV84" i="65"/>
  <c r="EV88" i="65"/>
  <c r="EV92" i="65"/>
  <c r="EV96" i="65"/>
  <c r="EV100" i="65"/>
  <c r="EV104" i="65"/>
  <c r="EV108" i="65"/>
  <c r="EV112" i="65"/>
  <c r="EV116" i="65"/>
  <c r="EV120" i="65"/>
  <c r="EV124" i="65"/>
  <c r="EV128" i="65"/>
  <c r="EV132" i="65"/>
  <c r="EV136" i="65"/>
  <c r="EV140" i="65"/>
  <c r="EV144" i="65"/>
  <c r="EV148" i="65"/>
  <c r="EV152" i="65"/>
  <c r="EV156" i="65"/>
  <c r="EV160" i="65"/>
  <c r="EV164" i="65"/>
  <c r="EV168" i="65"/>
  <c r="EV172" i="65"/>
  <c r="EV176" i="65"/>
  <c r="EV180" i="65"/>
  <c r="EV184" i="65"/>
  <c r="EV188" i="65"/>
  <c r="EV192" i="65"/>
  <c r="EV196" i="65"/>
  <c r="EV200" i="65"/>
  <c r="EV204" i="65"/>
  <c r="EV208" i="65"/>
  <c r="EV212" i="65"/>
  <c r="EV216" i="65"/>
  <c r="EV220" i="65"/>
  <c r="EV224" i="65"/>
  <c r="EV228" i="65"/>
  <c r="EV232" i="65"/>
  <c r="EV236" i="65"/>
  <c r="EV240" i="65"/>
  <c r="EV244" i="65"/>
  <c r="EV248" i="65"/>
  <c r="EV252" i="65"/>
  <c r="EV256" i="65"/>
  <c r="EV260" i="65"/>
  <c r="EV264" i="65"/>
  <c r="EV268" i="65"/>
  <c r="EV272" i="65"/>
  <c r="EV276" i="65"/>
  <c r="EV280" i="65"/>
  <c r="EV284" i="65"/>
  <c r="EV288" i="65"/>
  <c r="EV292" i="65"/>
  <c r="EV296" i="65"/>
  <c r="EV300" i="65"/>
  <c r="EV304" i="65"/>
  <c r="EV308" i="65"/>
  <c r="EV312" i="65"/>
  <c r="EV316" i="65"/>
  <c r="EV320" i="65"/>
  <c r="EV324" i="65"/>
  <c r="EV328" i="65"/>
  <c r="EV332" i="65"/>
  <c r="EV336" i="65"/>
  <c r="EV340" i="65"/>
  <c r="EV344" i="65"/>
  <c r="EV348" i="65"/>
  <c r="EV352" i="65"/>
  <c r="EV356" i="65"/>
  <c r="EV360" i="65"/>
  <c r="EV364" i="65"/>
  <c r="EV368" i="65"/>
  <c r="EV372" i="65"/>
  <c r="EV376" i="65"/>
  <c r="EV380" i="65"/>
  <c r="EV384" i="65"/>
  <c r="EV388" i="65"/>
  <c r="EV392" i="65"/>
  <c r="EV396" i="65"/>
  <c r="EV400" i="65"/>
  <c r="EV404" i="65"/>
  <c r="EV408" i="65"/>
  <c r="EV412" i="65"/>
  <c r="EV416" i="65"/>
  <c r="EV420" i="65"/>
  <c r="EV424" i="65"/>
  <c r="EV428" i="65"/>
  <c r="EV432" i="65"/>
  <c r="EV436" i="65"/>
  <c r="EV440" i="65"/>
  <c r="EW9" i="65"/>
  <c r="EW13" i="65"/>
  <c r="EW17" i="65"/>
  <c r="EW21" i="65"/>
  <c r="EW25" i="65"/>
  <c r="EW29" i="65"/>
  <c r="EW33" i="65"/>
  <c r="EW37" i="65"/>
  <c r="EW41" i="65"/>
  <c r="EW45" i="65"/>
  <c r="EW49" i="65"/>
  <c r="EW53" i="65"/>
  <c r="EW57" i="65"/>
  <c r="EW61" i="65"/>
  <c r="EW65" i="65"/>
  <c r="EW69" i="65"/>
  <c r="EW73" i="65"/>
  <c r="EW77" i="65"/>
  <c r="EW81" i="65"/>
  <c r="EW85" i="65"/>
  <c r="EW89" i="65"/>
  <c r="EW93" i="65"/>
  <c r="EW97" i="65"/>
  <c r="EW101" i="65"/>
  <c r="EW105" i="65"/>
  <c r="EW109" i="65"/>
  <c r="EW113" i="65"/>
  <c r="EW117" i="65"/>
  <c r="EW121" i="65"/>
  <c r="EW125" i="65"/>
  <c r="EW129" i="65"/>
  <c r="EW133" i="65"/>
  <c r="EW137" i="65"/>
  <c r="EW141" i="65"/>
  <c r="EW145" i="65"/>
  <c r="EW149" i="65"/>
  <c r="EW153" i="65"/>
  <c r="EW157" i="65"/>
  <c r="EW161" i="65"/>
  <c r="EW165" i="65"/>
  <c r="EW169" i="65"/>
  <c r="EW173" i="65"/>
  <c r="EW177" i="65"/>
  <c r="EW181" i="65"/>
  <c r="EW185" i="65"/>
  <c r="EW189" i="65"/>
  <c r="EW193" i="65"/>
  <c r="EW197" i="65"/>
  <c r="EW201" i="65"/>
  <c r="EW205" i="65"/>
  <c r="EW209" i="65"/>
  <c r="EW213" i="65"/>
  <c r="EW217" i="65"/>
  <c r="EW221" i="65"/>
  <c r="EW225" i="65"/>
  <c r="EW229" i="65"/>
  <c r="EW233" i="65"/>
  <c r="EW237" i="65"/>
  <c r="EW241" i="65"/>
  <c r="EW245" i="65"/>
  <c r="EW249" i="65"/>
  <c r="EW253" i="65"/>
  <c r="EW257" i="65"/>
  <c r="EW261" i="65"/>
  <c r="EW265" i="65"/>
  <c r="EW269" i="65"/>
  <c r="EW273" i="65"/>
  <c r="EW277" i="65"/>
  <c r="EW281" i="65"/>
  <c r="EW285" i="65"/>
  <c r="EW289" i="65"/>
  <c r="EW293" i="65"/>
  <c r="EW297" i="65"/>
  <c r="EW301" i="65"/>
  <c r="EW305" i="65"/>
  <c r="EW309" i="65"/>
  <c r="EW313" i="65"/>
  <c r="EW317" i="65"/>
  <c r="EW321" i="65"/>
  <c r="EW325" i="65"/>
  <c r="EW329" i="65"/>
  <c r="EW333" i="65"/>
  <c r="EW337" i="65"/>
  <c r="EW341" i="65"/>
  <c r="EW345" i="65"/>
  <c r="EW349" i="65"/>
  <c r="EW353" i="65"/>
  <c r="EW357" i="65"/>
  <c r="EW361" i="65"/>
  <c r="EW365" i="65"/>
  <c r="EW369" i="65"/>
  <c r="EW373" i="65"/>
  <c r="EW377" i="65"/>
  <c r="EW381" i="65"/>
  <c r="EW385" i="65"/>
  <c r="EW389" i="65"/>
  <c r="EW393" i="65"/>
  <c r="EW397" i="65"/>
  <c r="EW401" i="65"/>
  <c r="EW405" i="65"/>
  <c r="EW409" i="65"/>
  <c r="EW413" i="65"/>
  <c r="EW417" i="65"/>
  <c r="EW421" i="65"/>
  <c r="EW425" i="65"/>
  <c r="EW429" i="65"/>
  <c r="EW433" i="65"/>
  <c r="EW437" i="65"/>
  <c r="EW6" i="65"/>
  <c r="EX373" i="65" l="1"/>
  <c r="FC373" i="65" s="1"/>
  <c r="EX277" i="65"/>
  <c r="FC277" i="65" s="1"/>
  <c r="EX197" i="65"/>
  <c r="FC197" i="65" s="1"/>
  <c r="EX69" i="65"/>
  <c r="FC69" i="65" s="1"/>
  <c r="EX356" i="65"/>
  <c r="FC356" i="65" s="1"/>
  <c r="EX212" i="65"/>
  <c r="FC212" i="65" s="1"/>
  <c r="EX68" i="65"/>
  <c r="FC68" i="65" s="1"/>
  <c r="EX367" i="65"/>
  <c r="FC367" i="65" s="1"/>
  <c r="EX191" i="65"/>
  <c r="FC191" i="65" s="1"/>
  <c r="EX47" i="65"/>
  <c r="FC47" i="65" s="1"/>
  <c r="EX362" i="65"/>
  <c r="FC362" i="65" s="1"/>
  <c r="EX234" i="65"/>
  <c r="FC234" i="65" s="1"/>
  <c r="EX138" i="65"/>
  <c r="FC138" i="65" s="1"/>
  <c r="EX42" i="65"/>
  <c r="FC42" i="65" s="1"/>
  <c r="EX810" i="65"/>
  <c r="FC810" i="65" s="1"/>
  <c r="EX794" i="65"/>
  <c r="FC794" i="65" s="1"/>
  <c r="EX874" i="65"/>
  <c r="FC874" i="65" s="1"/>
  <c r="EX867" i="65"/>
  <c r="FC867" i="65" s="1"/>
  <c r="EX859" i="65"/>
  <c r="FC859" i="65" s="1"/>
  <c r="EX851" i="65"/>
  <c r="FC851" i="65" s="1"/>
  <c r="EX843" i="65"/>
  <c r="FC843" i="65" s="1"/>
  <c r="EX827" i="65"/>
  <c r="FC827" i="65" s="1"/>
  <c r="EX741" i="65"/>
  <c r="FC741" i="65" s="1"/>
  <c r="EX831" i="65"/>
  <c r="FC831" i="65" s="1"/>
  <c r="EX816" i="65"/>
  <c r="FC816" i="65" s="1"/>
  <c r="EX755" i="65"/>
  <c r="FC755" i="65" s="1"/>
  <c r="EX861" i="65"/>
  <c r="FC861" i="65" s="1"/>
  <c r="EX853" i="65"/>
  <c r="FC853" i="65" s="1"/>
  <c r="EX845" i="65"/>
  <c r="FC845" i="65" s="1"/>
  <c r="EX838" i="65"/>
  <c r="FC838" i="65" s="1"/>
  <c r="EX760" i="65"/>
  <c r="FC760" i="65" s="1"/>
  <c r="EX723" i="65"/>
  <c r="FC723" i="65" s="1"/>
  <c r="EX712" i="65"/>
  <c r="FC712" i="65" s="1"/>
  <c r="EX654" i="65"/>
  <c r="FC654" i="65" s="1"/>
  <c r="EX783" i="65"/>
  <c r="FC783" i="65" s="1"/>
  <c r="EX776" i="65"/>
  <c r="FC776" i="65" s="1"/>
  <c r="EX763" i="65"/>
  <c r="FC763" i="65" s="1"/>
  <c r="EX744" i="65"/>
  <c r="FC744" i="65" s="1"/>
  <c r="EX725" i="65"/>
  <c r="FC725" i="65" s="1"/>
  <c r="EX706" i="65"/>
  <c r="FC706" i="65" s="1"/>
  <c r="EX692" i="65"/>
  <c r="FC692" i="65" s="1"/>
  <c r="EX675" i="65"/>
  <c r="FC675" i="65" s="1"/>
  <c r="EX663" i="65"/>
  <c r="FC663" i="65" s="1"/>
  <c r="EX583" i="65"/>
  <c r="FC583" i="65" s="1"/>
  <c r="EX834" i="65"/>
  <c r="FC834" i="65" s="1"/>
  <c r="EX826" i="65"/>
  <c r="FC826" i="65" s="1"/>
  <c r="EX722" i="65"/>
  <c r="FC722" i="65" s="1"/>
  <c r="EX708" i="65"/>
  <c r="FC708" i="65" s="1"/>
  <c r="EX697" i="65"/>
  <c r="FC697" i="65" s="1"/>
  <c r="EX683" i="65"/>
  <c r="FC683" i="65" s="1"/>
  <c r="EX649" i="65"/>
  <c r="FC649" i="65" s="1"/>
  <c r="EX582" i="65"/>
  <c r="FC582" i="65" s="1"/>
  <c r="EX699" i="65"/>
  <c r="FC699" i="65" s="1"/>
  <c r="EX685" i="65"/>
  <c r="FC685" i="65" s="1"/>
  <c r="EX656" i="65"/>
  <c r="FC656" i="65" s="1"/>
  <c r="EX631" i="65"/>
  <c r="FC631" i="65" s="1"/>
  <c r="EX747" i="65"/>
  <c r="FC747" i="65" s="1"/>
  <c r="EX731" i="65"/>
  <c r="FC731" i="65" s="1"/>
  <c r="EX700" i="65"/>
  <c r="FC700" i="65" s="1"/>
  <c r="EX682" i="65"/>
  <c r="FC682" i="65" s="1"/>
  <c r="EX633" i="65"/>
  <c r="FC633" i="65" s="1"/>
  <c r="EX620" i="65"/>
  <c r="FC620" i="65" s="1"/>
  <c r="EX526" i="65"/>
  <c r="FC526" i="65" s="1"/>
  <c r="EX766" i="65"/>
  <c r="FC766" i="65" s="1"/>
  <c r="EX758" i="65"/>
  <c r="FC758" i="65" s="1"/>
  <c r="EX750" i="65"/>
  <c r="FC750" i="65" s="1"/>
  <c r="EX740" i="65"/>
  <c r="FC740" i="65" s="1"/>
  <c r="EX734" i="65"/>
  <c r="FC734" i="65" s="1"/>
  <c r="EX724" i="65"/>
  <c r="FC724" i="65" s="1"/>
  <c r="EX711" i="65"/>
  <c r="FC711" i="65" s="1"/>
  <c r="EX684" i="65"/>
  <c r="FC684" i="65" s="1"/>
  <c r="EX673" i="65"/>
  <c r="FC673" i="65" s="1"/>
  <c r="EX617" i="65"/>
  <c r="FC617" i="65" s="1"/>
  <c r="EX601" i="65"/>
  <c r="FC601" i="65" s="1"/>
  <c r="EX591" i="65"/>
  <c r="FC591" i="65" s="1"/>
  <c r="EX578" i="65"/>
  <c r="FC578" i="65" s="1"/>
  <c r="EX562" i="65"/>
  <c r="FC562" i="65" s="1"/>
  <c r="EX554" i="65"/>
  <c r="FC554" i="65" s="1"/>
  <c r="EX527" i="65"/>
  <c r="FC527" i="65" s="1"/>
  <c r="EX497" i="65"/>
  <c r="FC497" i="65" s="1"/>
  <c r="EX616" i="65"/>
  <c r="FC616" i="65" s="1"/>
  <c r="EX608" i="65"/>
  <c r="FC608" i="65" s="1"/>
  <c r="EX600" i="65"/>
  <c r="FC600" i="65" s="1"/>
  <c r="EX592" i="65"/>
  <c r="FC592" i="65" s="1"/>
  <c r="EX584" i="65"/>
  <c r="FC584" i="65" s="1"/>
  <c r="EX576" i="65"/>
  <c r="FC576" i="65" s="1"/>
  <c r="EX568" i="65"/>
  <c r="FC568" i="65" s="1"/>
  <c r="EX560" i="65"/>
  <c r="FC560" i="65" s="1"/>
  <c r="EX548" i="65"/>
  <c r="FC548" i="65" s="1"/>
  <c r="EX529" i="65"/>
  <c r="FC529" i="65" s="1"/>
  <c r="EX522" i="65"/>
  <c r="FC522" i="65" s="1"/>
  <c r="EX513" i="65"/>
  <c r="FC513" i="65" s="1"/>
  <c r="EX500" i="65"/>
  <c r="FC500" i="65" s="1"/>
  <c r="EX482" i="65"/>
  <c r="FC482" i="65" s="1"/>
  <c r="EX614" i="65"/>
  <c r="FC614" i="65" s="1"/>
  <c r="EX606" i="65"/>
  <c r="FC606" i="65" s="1"/>
  <c r="EX596" i="65"/>
  <c r="FC596" i="65" s="1"/>
  <c r="EX551" i="65"/>
  <c r="FC551" i="65" s="1"/>
  <c r="EX501" i="65"/>
  <c r="FC501" i="65" s="1"/>
  <c r="EX469" i="65"/>
  <c r="FC469" i="65" s="1"/>
  <c r="EX553" i="65"/>
  <c r="FC553" i="65" s="1"/>
  <c r="EX546" i="65"/>
  <c r="FC546" i="65" s="1"/>
  <c r="EX516" i="65"/>
  <c r="FC516" i="65" s="1"/>
  <c r="EX512" i="65"/>
  <c r="FC512" i="65" s="1"/>
  <c r="EX502" i="65"/>
  <c r="FC502" i="65" s="1"/>
  <c r="EX464" i="65"/>
  <c r="FC464" i="65" s="1"/>
  <c r="EX458" i="65"/>
  <c r="FC458" i="65" s="1"/>
  <c r="EX447" i="65"/>
  <c r="FC447" i="65" s="1"/>
  <c r="EX535" i="65"/>
  <c r="FC535" i="65" s="1"/>
  <c r="EX531" i="65"/>
  <c r="FC531" i="65" s="1"/>
  <c r="EX505" i="65"/>
  <c r="FC505" i="65" s="1"/>
  <c r="EX487" i="65"/>
  <c r="FC487" i="65" s="1"/>
  <c r="EX479" i="65"/>
  <c r="FC479" i="65" s="1"/>
  <c r="EX465" i="65"/>
  <c r="FC465" i="65" s="1"/>
  <c r="EX459" i="65"/>
  <c r="FC459" i="65" s="1"/>
  <c r="EX454" i="65"/>
  <c r="FC454" i="65" s="1"/>
  <c r="EX421" i="65"/>
  <c r="FC421" i="65" s="1"/>
  <c r="EX325" i="65"/>
  <c r="FC325" i="65" s="1"/>
  <c r="EX245" i="65"/>
  <c r="FC245" i="65" s="1"/>
  <c r="EX165" i="65"/>
  <c r="FC165" i="65" s="1"/>
  <c r="EX101" i="65"/>
  <c r="FC101" i="65" s="1"/>
  <c r="EX37" i="65"/>
  <c r="FC37" i="65" s="1"/>
  <c r="EX436" i="65"/>
  <c r="FC436" i="65" s="1"/>
  <c r="EX372" i="65"/>
  <c r="FC372" i="65" s="1"/>
  <c r="EX292" i="65"/>
  <c r="FC292" i="65" s="1"/>
  <c r="EX228" i="65"/>
  <c r="FC228" i="65" s="1"/>
  <c r="EX164" i="65"/>
  <c r="FC164" i="65" s="1"/>
  <c r="EX100" i="65"/>
  <c r="FC100" i="65" s="1"/>
  <c r="EX20" i="65"/>
  <c r="FC20" i="65" s="1"/>
  <c r="EX383" i="65"/>
  <c r="FC383" i="65" s="1"/>
  <c r="EX319" i="65"/>
  <c r="FC319" i="65" s="1"/>
  <c r="EX255" i="65"/>
  <c r="FC255" i="65" s="1"/>
  <c r="EX207" i="65"/>
  <c r="FC207" i="65" s="1"/>
  <c r="EX143" i="65"/>
  <c r="FC143" i="65" s="1"/>
  <c r="EX95" i="65"/>
  <c r="FC95" i="65" s="1"/>
  <c r="EX31" i="65"/>
  <c r="FC31" i="65" s="1"/>
  <c r="EX394" i="65"/>
  <c r="FC394" i="65" s="1"/>
  <c r="EX330" i="65"/>
  <c r="FC330" i="65" s="1"/>
  <c r="EX266" i="65"/>
  <c r="FC266" i="65" s="1"/>
  <c r="EX186" i="65"/>
  <c r="FC186" i="65" s="1"/>
  <c r="EX122" i="65"/>
  <c r="FC122" i="65" s="1"/>
  <c r="EX74" i="65"/>
  <c r="FC74" i="65" s="1"/>
  <c r="EX58" i="65"/>
  <c r="FC58" i="65" s="1"/>
  <c r="EX800" i="65"/>
  <c r="FC800" i="65" s="1"/>
  <c r="EX417" i="65"/>
  <c r="FC417" i="65" s="1"/>
  <c r="EX401" i="65"/>
  <c r="FC401" i="65" s="1"/>
  <c r="EX385" i="65"/>
  <c r="FC385" i="65" s="1"/>
  <c r="EX369" i="65"/>
  <c r="FC369" i="65" s="1"/>
  <c r="EX353" i="65"/>
  <c r="FC353" i="65" s="1"/>
  <c r="EX337" i="65"/>
  <c r="FC337" i="65" s="1"/>
  <c r="EX321" i="65"/>
  <c r="FC321" i="65" s="1"/>
  <c r="EX305" i="65"/>
  <c r="FC305" i="65" s="1"/>
  <c r="EX289" i="65"/>
  <c r="FC289" i="65" s="1"/>
  <c r="EX273" i="65"/>
  <c r="FC273" i="65" s="1"/>
  <c r="EX257" i="65"/>
  <c r="FC257" i="65" s="1"/>
  <c r="EX241" i="65"/>
  <c r="FC241" i="65" s="1"/>
  <c r="EX225" i="65"/>
  <c r="FC225" i="65" s="1"/>
  <c r="EX209" i="65"/>
  <c r="FC209" i="65" s="1"/>
  <c r="EX193" i="65"/>
  <c r="FC193" i="65" s="1"/>
  <c r="EX177" i="65"/>
  <c r="FC177" i="65" s="1"/>
  <c r="EX161" i="65"/>
  <c r="FC161" i="65" s="1"/>
  <c r="EX145" i="65"/>
  <c r="FC145" i="65" s="1"/>
  <c r="EX129" i="65"/>
  <c r="FC129" i="65" s="1"/>
  <c r="EX113" i="65"/>
  <c r="FC113" i="65" s="1"/>
  <c r="EX97" i="65"/>
  <c r="FC97" i="65" s="1"/>
  <c r="EX81" i="65"/>
  <c r="FC81" i="65" s="1"/>
  <c r="EX65" i="65"/>
  <c r="FC65" i="65" s="1"/>
  <c r="EX49" i="65"/>
  <c r="FC49" i="65" s="1"/>
  <c r="EX33" i="65"/>
  <c r="FC33" i="65" s="1"/>
  <c r="EX17" i="65"/>
  <c r="FC17" i="65" s="1"/>
  <c r="EX432" i="65"/>
  <c r="FC432" i="65" s="1"/>
  <c r="EX416" i="65"/>
  <c r="FC416" i="65" s="1"/>
  <c r="EX400" i="65"/>
  <c r="FC400" i="65" s="1"/>
  <c r="EX384" i="65"/>
  <c r="FC384" i="65" s="1"/>
  <c r="EX368" i="65"/>
  <c r="FC368" i="65" s="1"/>
  <c r="EX352" i="65"/>
  <c r="FC352" i="65" s="1"/>
  <c r="EX336" i="65"/>
  <c r="FC336" i="65" s="1"/>
  <c r="EX320" i="65"/>
  <c r="FC320" i="65" s="1"/>
  <c r="EX304" i="65"/>
  <c r="FC304" i="65" s="1"/>
  <c r="EX288" i="65"/>
  <c r="FC288" i="65" s="1"/>
  <c r="EX272" i="65"/>
  <c r="FC272" i="65" s="1"/>
  <c r="EX256" i="65"/>
  <c r="FC256" i="65" s="1"/>
  <c r="EX240" i="65"/>
  <c r="FC240" i="65" s="1"/>
  <c r="EX224" i="65"/>
  <c r="FC224" i="65" s="1"/>
  <c r="EX208" i="65"/>
  <c r="FC208" i="65" s="1"/>
  <c r="EX192" i="65"/>
  <c r="FC192" i="65" s="1"/>
  <c r="EX176" i="65"/>
  <c r="FC176" i="65" s="1"/>
  <c r="EX160" i="65"/>
  <c r="FC160" i="65" s="1"/>
  <c r="EX144" i="65"/>
  <c r="FC144" i="65" s="1"/>
  <c r="EX128" i="65"/>
  <c r="FC128" i="65" s="1"/>
  <c r="EX112" i="65"/>
  <c r="FC112" i="65" s="1"/>
  <c r="EX96" i="65"/>
  <c r="FC96" i="65" s="1"/>
  <c r="EX80" i="65"/>
  <c r="FC80" i="65" s="1"/>
  <c r="EX64" i="65"/>
  <c r="FC64" i="65" s="1"/>
  <c r="EX48" i="65"/>
  <c r="FC48" i="65" s="1"/>
  <c r="EX32" i="65"/>
  <c r="FC32" i="65" s="1"/>
  <c r="EX16" i="65"/>
  <c r="FC16" i="65" s="1"/>
  <c r="EX427" i="65"/>
  <c r="FC427" i="65" s="1"/>
  <c r="EX411" i="65"/>
  <c r="FC411" i="65" s="1"/>
  <c r="EX395" i="65"/>
  <c r="FC395" i="65" s="1"/>
  <c r="EX379" i="65"/>
  <c r="FC379" i="65" s="1"/>
  <c r="EX363" i="65"/>
  <c r="FC363" i="65" s="1"/>
  <c r="EX347" i="65"/>
  <c r="FC347" i="65" s="1"/>
  <c r="EX331" i="65"/>
  <c r="FC331" i="65" s="1"/>
  <c r="EX315" i="65"/>
  <c r="FC315" i="65" s="1"/>
  <c r="EX299" i="65"/>
  <c r="FC299" i="65" s="1"/>
  <c r="EX283" i="65"/>
  <c r="FC283" i="65" s="1"/>
  <c r="EX267" i="65"/>
  <c r="FC267" i="65" s="1"/>
  <c r="EX251" i="65"/>
  <c r="FC251" i="65" s="1"/>
  <c r="EX235" i="65"/>
  <c r="FC235" i="65" s="1"/>
  <c r="EX219" i="65"/>
  <c r="FC219" i="65" s="1"/>
  <c r="EX203" i="65"/>
  <c r="FC203" i="65" s="1"/>
  <c r="EX187" i="65"/>
  <c r="FC187" i="65" s="1"/>
  <c r="EX171" i="65"/>
  <c r="FC171" i="65" s="1"/>
  <c r="EX155" i="65"/>
  <c r="FC155" i="65" s="1"/>
  <c r="EX139" i="65"/>
  <c r="FC139" i="65" s="1"/>
  <c r="EX123" i="65"/>
  <c r="FC123" i="65" s="1"/>
  <c r="EX107" i="65"/>
  <c r="FC107" i="65" s="1"/>
  <c r="EX91" i="65"/>
  <c r="FC91" i="65" s="1"/>
  <c r="EX75" i="65"/>
  <c r="FC75" i="65" s="1"/>
  <c r="EX59" i="65"/>
  <c r="FC59" i="65" s="1"/>
  <c r="EX43" i="65"/>
  <c r="FC43" i="65" s="1"/>
  <c r="EX27" i="65"/>
  <c r="FC27" i="65" s="1"/>
  <c r="EX11" i="65"/>
  <c r="FC11" i="65" s="1"/>
  <c r="EX438" i="65"/>
  <c r="FC438" i="65" s="1"/>
  <c r="EX422" i="65"/>
  <c r="FC422" i="65" s="1"/>
  <c r="EX406" i="65"/>
  <c r="FC406" i="65" s="1"/>
  <c r="EX390" i="65"/>
  <c r="FC390" i="65" s="1"/>
  <c r="EX374" i="65"/>
  <c r="FC374" i="65" s="1"/>
  <c r="EX358" i="65"/>
  <c r="FC358" i="65" s="1"/>
  <c r="EX342" i="65"/>
  <c r="EX326" i="65"/>
  <c r="FC326" i="65" s="1"/>
  <c r="EX310" i="65"/>
  <c r="EX294" i="65"/>
  <c r="FC294" i="65" s="1"/>
  <c r="EX278" i="65"/>
  <c r="EX262" i="65"/>
  <c r="FC262" i="65" s="1"/>
  <c r="EX246" i="65"/>
  <c r="EX230" i="65"/>
  <c r="FC230" i="65" s="1"/>
  <c r="EX214" i="65"/>
  <c r="EX198" i="65"/>
  <c r="FC198" i="65" s="1"/>
  <c r="EX182" i="65"/>
  <c r="EX166" i="65"/>
  <c r="FC166" i="65" s="1"/>
  <c r="EX150" i="65"/>
  <c r="EX134" i="65"/>
  <c r="FC134" i="65" s="1"/>
  <c r="EX118" i="65"/>
  <c r="EX102" i="65"/>
  <c r="FC102" i="65" s="1"/>
  <c r="EX86" i="65"/>
  <c r="EX70" i="65"/>
  <c r="FC70" i="65" s="1"/>
  <c r="EX54" i="65"/>
  <c r="EX38" i="65"/>
  <c r="FC38" i="65" s="1"/>
  <c r="EX22" i="65"/>
  <c r="EX873" i="65"/>
  <c r="FC873" i="65" s="1"/>
  <c r="EX858" i="65"/>
  <c r="EX850" i="65"/>
  <c r="FC850" i="65" s="1"/>
  <c r="EX842" i="65"/>
  <c r="EX822" i="65"/>
  <c r="FC822" i="65" s="1"/>
  <c r="EX806" i="65"/>
  <c r="EX790" i="65"/>
  <c r="FC790" i="65" s="1"/>
  <c r="EX865" i="65"/>
  <c r="EX781" i="65"/>
  <c r="FC781" i="65" s="1"/>
  <c r="EX860" i="65"/>
  <c r="EX852" i="65"/>
  <c r="FC852" i="65" s="1"/>
  <c r="EX844" i="65"/>
  <c r="EX812" i="65"/>
  <c r="FC812" i="65" s="1"/>
  <c r="EX796" i="65"/>
  <c r="EX780" i="65"/>
  <c r="FC780" i="65" s="1"/>
  <c r="EX739" i="65"/>
  <c r="EX868" i="65"/>
  <c r="FC868" i="65" s="1"/>
  <c r="EX835" i="65"/>
  <c r="EX753" i="65"/>
  <c r="FC753" i="65" s="1"/>
  <c r="EX836" i="65"/>
  <c r="EX828" i="65"/>
  <c r="FC828" i="65" s="1"/>
  <c r="EX823" i="65"/>
  <c r="EX819" i="65"/>
  <c r="FC819" i="65" s="1"/>
  <c r="EX815" i="65"/>
  <c r="EX811" i="65"/>
  <c r="FC811" i="65" s="1"/>
  <c r="EX807" i="65"/>
  <c r="EX803" i="65"/>
  <c r="FC803" i="65" s="1"/>
  <c r="EX799" i="65"/>
  <c r="EX795" i="65"/>
  <c r="FC795" i="65" s="1"/>
  <c r="EX791" i="65"/>
  <c r="EX787" i="65"/>
  <c r="FC787" i="65" s="1"/>
  <c r="EX782" i="65"/>
  <c r="EX774" i="65"/>
  <c r="FC774" i="65" s="1"/>
  <c r="EX762" i="65"/>
  <c r="EX745" i="65"/>
  <c r="FC745" i="65" s="1"/>
  <c r="EX732" i="65"/>
  <c r="EX693" i="65"/>
  <c r="FC693" i="65" s="1"/>
  <c r="EX665" i="65"/>
  <c r="EX837" i="65"/>
  <c r="FC837" i="65" s="1"/>
  <c r="EX829" i="65"/>
  <c r="EX761" i="65"/>
  <c r="FC761" i="65" s="1"/>
  <c r="EX703" i="65"/>
  <c r="EX641" i="65"/>
  <c r="FC641" i="65" s="1"/>
  <c r="EX558" i="65"/>
  <c r="EX748" i="65"/>
  <c r="FC748" i="65" s="1"/>
  <c r="EX729" i="65"/>
  <c r="EX719" i="65"/>
  <c r="FC719" i="65" s="1"/>
  <c r="EX677" i="65"/>
  <c r="EX660" i="65"/>
  <c r="FC660" i="65" s="1"/>
  <c r="EX575" i="65"/>
  <c r="EX707" i="65"/>
  <c r="FC707" i="65" s="1"/>
  <c r="EX696" i="65"/>
  <c r="EX680" i="65"/>
  <c r="FC680" i="65" s="1"/>
  <c r="EX669" i="65"/>
  <c r="EX574" i="65"/>
  <c r="FC574" i="65" s="1"/>
  <c r="EX767" i="65"/>
  <c r="EX759" i="65"/>
  <c r="FC759" i="65" s="1"/>
  <c r="EX751" i="65"/>
  <c r="EX746" i="65"/>
  <c r="FC746" i="65" s="1"/>
  <c r="EX736" i="65"/>
  <c r="EX730" i="65"/>
  <c r="FC730" i="65" s="1"/>
  <c r="EX709" i="65"/>
  <c r="EX681" i="65"/>
  <c r="FC681" i="65" s="1"/>
  <c r="EX671" i="65"/>
  <c r="EX664" i="65"/>
  <c r="FC664" i="65" s="1"/>
  <c r="EX655" i="65"/>
  <c r="EX648" i="65"/>
  <c r="FC648" i="65" s="1"/>
  <c r="EX640" i="65"/>
  <c r="EX618" i="65"/>
  <c r="FC618" i="65" s="1"/>
  <c r="EX602" i="65"/>
  <c r="EX523" i="65"/>
  <c r="FC523" i="65" s="1"/>
  <c r="EX470" i="65"/>
  <c r="EX737" i="65"/>
  <c r="FC737" i="65" s="1"/>
  <c r="EX720" i="65"/>
  <c r="EX710" i="65"/>
  <c r="FC710" i="65" s="1"/>
  <c r="EX701" i="65"/>
  <c r="EX691" i="65"/>
  <c r="FC691" i="65" s="1"/>
  <c r="EX672" i="65"/>
  <c r="EX666" i="65"/>
  <c r="FC666" i="65" s="1"/>
  <c r="EX657" i="65"/>
  <c r="EX650" i="65"/>
  <c r="FC650" i="65" s="1"/>
  <c r="EX644" i="65"/>
  <c r="EX623" i="65"/>
  <c r="FC623" i="65" s="1"/>
  <c r="EX599" i="65"/>
  <c r="EX571" i="65"/>
  <c r="FC571" i="65" s="1"/>
  <c r="EX541" i="65"/>
  <c r="EX485" i="65"/>
  <c r="FC485" i="65" s="1"/>
  <c r="EX632" i="65"/>
  <c r="EX610" i="65"/>
  <c r="FC610" i="65" s="1"/>
  <c r="EX586" i="65"/>
  <c r="EX520" i="65"/>
  <c r="FC520" i="65" s="1"/>
  <c r="EX490" i="65"/>
  <c r="EX627" i="65"/>
  <c r="FC627" i="65" s="1"/>
  <c r="EX615" i="65"/>
  <c r="EX607" i="65"/>
  <c r="FC607" i="65" s="1"/>
  <c r="EX597" i="65"/>
  <c r="EX581" i="65"/>
  <c r="FC581" i="65" s="1"/>
  <c r="EX573" i="65"/>
  <c r="EX565" i="65"/>
  <c r="FC565" i="65" s="1"/>
  <c r="EX555" i="65"/>
  <c r="EX498" i="65"/>
  <c r="FC498" i="65" s="1"/>
  <c r="EX481" i="65"/>
  <c r="EX468" i="65"/>
  <c r="FC468" i="65" s="1"/>
  <c r="EX451" i="65"/>
  <c r="EX593" i="65"/>
  <c r="FC593" i="65" s="1"/>
  <c r="EX585" i="65"/>
  <c r="EX524" i="65"/>
  <c r="FC524" i="65" s="1"/>
  <c r="EX552" i="65"/>
  <c r="EX545" i="65"/>
  <c r="FC545" i="65" s="1"/>
  <c r="EX509" i="65"/>
  <c r="EX496" i="65"/>
  <c r="FC496" i="65" s="1"/>
  <c r="EX463" i="65"/>
  <c r="EX550" i="65"/>
  <c r="FC550" i="65" s="1"/>
  <c r="EX540" i="65"/>
  <c r="EX534" i="65"/>
  <c r="FC534" i="65" s="1"/>
  <c r="EX525" i="65"/>
  <c r="EX511" i="65"/>
  <c r="FC511" i="65" s="1"/>
  <c r="EX494" i="65"/>
  <c r="EX484" i="65"/>
  <c r="FC484" i="65" s="1"/>
  <c r="EX472" i="65"/>
  <c r="EX452" i="65"/>
  <c r="FC452" i="65" s="1"/>
  <c r="EX444" i="65"/>
  <c r="EX453" i="65"/>
  <c r="FC453" i="65" s="1"/>
  <c r="EX445" i="65"/>
  <c r="EX405" i="65"/>
  <c r="FC405" i="65" s="1"/>
  <c r="EX341" i="65"/>
  <c r="EX293" i="65"/>
  <c r="FC293" i="65" s="1"/>
  <c r="EX229" i="65"/>
  <c r="EX149" i="65"/>
  <c r="FC149" i="65" s="1"/>
  <c r="EX117" i="65"/>
  <c r="EX53" i="65"/>
  <c r="FC53" i="65" s="1"/>
  <c r="EX404" i="65"/>
  <c r="EX340" i="65"/>
  <c r="FC340" i="65" s="1"/>
  <c r="EX308" i="65"/>
  <c r="EX260" i="65"/>
  <c r="FC260" i="65" s="1"/>
  <c r="EX180" i="65"/>
  <c r="EX132" i="65"/>
  <c r="FC132" i="65" s="1"/>
  <c r="EX84" i="65"/>
  <c r="EX36" i="65"/>
  <c r="EX415" i="65"/>
  <c r="EX351" i="65"/>
  <c r="EX303" i="65"/>
  <c r="EX271" i="65"/>
  <c r="EX223" i="65"/>
  <c r="EX159" i="65"/>
  <c r="EX111" i="65"/>
  <c r="EX63" i="65"/>
  <c r="EX426" i="65"/>
  <c r="EX378" i="65"/>
  <c r="EX314" i="65"/>
  <c r="EX282" i="65"/>
  <c r="EX218" i="65"/>
  <c r="EX154" i="65"/>
  <c r="EX90" i="65"/>
  <c r="EX26" i="65"/>
  <c r="EX784" i="65"/>
  <c r="EX413" i="65"/>
  <c r="EX365" i="65"/>
  <c r="EX333" i="65"/>
  <c r="EX301" i="65"/>
  <c r="EX285" i="65"/>
  <c r="EX253" i="65"/>
  <c r="EX237" i="65"/>
  <c r="EX221" i="65"/>
  <c r="EX205" i="65"/>
  <c r="EX189" i="65"/>
  <c r="EX173" i="65"/>
  <c r="EX157" i="65"/>
  <c r="EX141" i="65"/>
  <c r="EX125" i="65"/>
  <c r="EX109" i="65"/>
  <c r="EX93" i="65"/>
  <c r="EX77" i="65"/>
  <c r="EX61" i="65"/>
  <c r="EX45" i="65"/>
  <c r="EX29" i="65"/>
  <c r="EX13" i="65"/>
  <c r="EX428" i="65"/>
  <c r="EX412" i="65"/>
  <c r="EX396" i="65"/>
  <c r="EX380" i="65"/>
  <c r="EX364" i="65"/>
  <c r="EX348" i="65"/>
  <c r="EX332" i="65"/>
  <c r="EX316" i="65"/>
  <c r="EX300" i="65"/>
  <c r="EX284" i="65"/>
  <c r="EX268" i="65"/>
  <c r="EX252" i="65"/>
  <c r="EX236" i="65"/>
  <c r="EX220" i="65"/>
  <c r="EX204" i="65"/>
  <c r="EX188" i="65"/>
  <c r="EX172" i="65"/>
  <c r="EX156" i="65"/>
  <c r="EX140" i="65"/>
  <c r="EX124" i="65"/>
  <c r="EX108" i="65"/>
  <c r="EX92" i="65"/>
  <c r="EX76" i="65"/>
  <c r="EX60" i="65"/>
  <c r="EX44" i="65"/>
  <c r="EX28" i="65"/>
  <c r="EX12" i="65"/>
  <c r="EX439" i="65"/>
  <c r="EX423" i="65"/>
  <c r="EX407" i="65"/>
  <c r="EX391" i="65"/>
  <c r="EX375" i="65"/>
  <c r="EX359" i="65"/>
  <c r="EX343" i="65"/>
  <c r="EX327" i="65"/>
  <c r="EX311" i="65"/>
  <c r="EX295" i="65"/>
  <c r="EX279" i="65"/>
  <c r="EX263" i="65"/>
  <c r="EX247" i="65"/>
  <c r="EX231" i="65"/>
  <c r="EX215" i="65"/>
  <c r="EX199" i="65"/>
  <c r="EX183" i="65"/>
  <c r="EX167" i="65"/>
  <c r="EX151" i="65"/>
  <c r="EX135" i="65"/>
  <c r="EX119" i="65"/>
  <c r="EX103" i="65"/>
  <c r="EX87" i="65"/>
  <c r="EX71" i="65"/>
  <c r="EX55" i="65"/>
  <c r="EX39" i="65"/>
  <c r="EX23" i="65"/>
  <c r="EX7" i="65"/>
  <c r="EX434" i="65"/>
  <c r="EX418" i="65"/>
  <c r="EX402" i="65"/>
  <c r="EX386" i="65"/>
  <c r="EX370" i="65"/>
  <c r="EX354" i="65"/>
  <c r="EX338" i="65"/>
  <c r="EX322" i="65"/>
  <c r="EX306" i="65"/>
  <c r="EX290" i="65"/>
  <c r="EX274" i="65"/>
  <c r="EX258" i="65"/>
  <c r="EX242" i="65"/>
  <c r="EX226" i="65"/>
  <c r="EX210" i="65"/>
  <c r="EX194" i="65"/>
  <c r="EX178" i="65"/>
  <c r="EX162" i="65"/>
  <c r="EX146" i="65"/>
  <c r="EX130" i="65"/>
  <c r="EX114" i="65"/>
  <c r="EX98" i="65"/>
  <c r="EX82" i="65"/>
  <c r="EX66" i="65"/>
  <c r="EX50" i="65"/>
  <c r="EX34" i="65"/>
  <c r="EX18" i="65"/>
  <c r="EX818" i="65"/>
  <c r="EX802" i="65"/>
  <c r="EX786" i="65"/>
  <c r="EX721" i="65"/>
  <c r="EX871" i="65"/>
  <c r="EX863" i="65"/>
  <c r="EX855" i="65"/>
  <c r="EX847" i="65"/>
  <c r="EX839" i="65"/>
  <c r="EX875" i="65"/>
  <c r="EX824" i="65"/>
  <c r="EX808" i="65"/>
  <c r="EX792" i="65"/>
  <c r="EX773" i="65"/>
  <c r="EX866" i="65"/>
  <c r="EX857" i="65"/>
  <c r="EX849" i="65"/>
  <c r="EX841" i="65"/>
  <c r="EX743" i="65"/>
  <c r="EX718" i="65"/>
  <c r="EX687" i="65"/>
  <c r="EX676" i="65"/>
  <c r="EX566" i="65"/>
  <c r="EX779" i="65"/>
  <c r="EX771" i="65"/>
  <c r="EX738" i="65"/>
  <c r="EX717" i="65"/>
  <c r="EX689" i="65"/>
  <c r="EX653" i="65"/>
  <c r="EX611" i="65"/>
  <c r="EX830" i="65"/>
  <c r="EX727" i="65"/>
  <c r="EX658" i="65"/>
  <c r="EX609" i="65"/>
  <c r="EX557" i="65"/>
  <c r="EX678" i="65"/>
  <c r="EX567" i="65"/>
  <c r="EX765" i="65"/>
  <c r="EX757" i="65"/>
  <c r="EX749" i="65"/>
  <c r="EX733" i="65"/>
  <c r="EX695" i="65"/>
  <c r="EX679" i="65"/>
  <c r="EX661" i="65"/>
  <c r="EX645" i="65"/>
  <c r="EX637" i="65"/>
  <c r="EX624" i="65"/>
  <c r="EX595" i="65"/>
  <c r="EX716" i="65"/>
  <c r="EX690" i="65"/>
  <c r="EX636" i="65"/>
  <c r="EX621" i="65"/>
  <c r="EX612" i="65"/>
  <c r="EX598" i="65"/>
  <c r="EX588" i="65"/>
  <c r="EX570" i="65"/>
  <c r="EX538" i="65"/>
  <c r="EX514" i="65"/>
  <c r="EX478" i="65"/>
  <c r="EX639" i="65"/>
  <c r="EX544" i="65"/>
  <c r="EX510" i="65"/>
  <c r="EX477" i="65"/>
  <c r="EX634" i="65"/>
  <c r="EX626" i="65"/>
  <c r="EX613" i="65"/>
  <c r="EX605" i="65"/>
  <c r="EX587" i="65"/>
  <c r="EX580" i="65"/>
  <c r="EX572" i="65"/>
  <c r="EX564" i="65"/>
  <c r="EX542" i="65"/>
  <c r="EX518" i="65"/>
  <c r="EX507" i="65"/>
  <c r="EX476" i="65"/>
  <c r="EX460" i="65"/>
  <c r="EX446" i="65"/>
  <c r="EX629" i="65"/>
  <c r="EX543" i="65"/>
  <c r="EX506" i="65"/>
  <c r="EX492" i="65"/>
  <c r="EX462" i="65"/>
  <c r="EX473" i="65"/>
  <c r="EX533" i="65"/>
  <c r="FC533" i="65"/>
  <c r="EX499" i="65"/>
  <c r="EX495" i="65"/>
  <c r="FC495" i="65"/>
  <c r="EX461" i="65"/>
  <c r="EX450" i="65"/>
  <c r="FC450" i="65" s="1"/>
  <c r="EX442" i="65"/>
  <c r="EX547" i="65"/>
  <c r="EX539" i="65"/>
  <c r="EX519" i="65"/>
  <c r="FC519" i="65"/>
  <c r="EX493" i="65"/>
  <c r="EX483" i="65"/>
  <c r="FC483" i="65"/>
  <c r="EX471" i="65"/>
  <c r="EX456" i="65"/>
  <c r="FC456" i="65" s="1"/>
  <c r="EX437" i="65"/>
  <c r="EX389" i="65"/>
  <c r="EX357" i="65"/>
  <c r="EX309" i="65"/>
  <c r="FC309" i="65"/>
  <c r="EX261" i="65"/>
  <c r="EX213" i="65"/>
  <c r="FC213" i="65"/>
  <c r="EX181" i="65"/>
  <c r="EX133" i="65"/>
  <c r="FC133" i="65" s="1"/>
  <c r="EX85" i="65"/>
  <c r="EX21" i="65"/>
  <c r="EX420" i="65"/>
  <c r="EX388" i="65"/>
  <c r="FC388" i="65"/>
  <c r="EX324" i="65"/>
  <c r="EX276" i="65"/>
  <c r="FC276" i="65"/>
  <c r="EX244" i="65"/>
  <c r="EX196" i="65"/>
  <c r="FC196" i="65" s="1"/>
  <c r="EX148" i="65"/>
  <c r="EX116" i="65"/>
  <c r="EX52" i="65"/>
  <c r="EX431" i="65"/>
  <c r="FC431" i="65"/>
  <c r="EX399" i="65"/>
  <c r="EX335" i="65"/>
  <c r="FC335" i="65"/>
  <c r="EX287" i="65"/>
  <c r="EX239" i="65"/>
  <c r="FC239" i="65" s="1"/>
  <c r="EX175" i="65"/>
  <c r="EX127" i="65"/>
  <c r="EX79" i="65"/>
  <c r="EX15" i="65"/>
  <c r="FC15" i="65"/>
  <c r="EX410" i="65"/>
  <c r="EX346" i="65"/>
  <c r="FC346" i="65"/>
  <c r="EX298" i="65"/>
  <c r="EX250" i="65"/>
  <c r="FC250" i="65" s="1"/>
  <c r="EX202" i="65"/>
  <c r="EX170" i="65"/>
  <c r="EX106" i="65"/>
  <c r="EX10" i="65"/>
  <c r="FC10" i="65"/>
  <c r="EX870" i="65"/>
  <c r="EX433" i="65"/>
  <c r="FC433" i="65"/>
  <c r="EX429" i="65"/>
  <c r="EX397" i="65"/>
  <c r="FC397" i="65" s="1"/>
  <c r="EX381" i="65"/>
  <c r="EX349" i="65"/>
  <c r="EX317" i="65"/>
  <c r="EX269" i="65"/>
  <c r="FC269" i="65"/>
  <c r="EX6" i="65"/>
  <c r="EX425" i="65"/>
  <c r="FC425" i="65"/>
  <c r="EX409" i="65"/>
  <c r="EX393" i="65"/>
  <c r="FC393" i="65" s="1"/>
  <c r="EX377" i="65"/>
  <c r="EX361" i="65"/>
  <c r="EX345" i="65"/>
  <c r="EX329" i="65"/>
  <c r="FC329" i="65"/>
  <c r="EX313" i="65"/>
  <c r="EX297" i="65"/>
  <c r="FC297" i="65"/>
  <c r="EX281" i="65"/>
  <c r="EX265" i="65"/>
  <c r="FC265" i="65" s="1"/>
  <c r="EX249" i="65"/>
  <c r="EX233" i="65"/>
  <c r="EX217" i="65"/>
  <c r="EX201" i="65"/>
  <c r="FC201" i="65"/>
  <c r="EX185" i="65"/>
  <c r="EX169" i="65"/>
  <c r="FC169" i="65"/>
  <c r="EX153" i="65"/>
  <c r="EX137" i="65"/>
  <c r="FC137" i="65" s="1"/>
  <c r="EX121" i="65"/>
  <c r="EX105" i="65"/>
  <c r="EX89" i="65"/>
  <c r="EX73" i="65"/>
  <c r="FC73" i="65"/>
  <c r="EX57" i="65"/>
  <c r="EX41" i="65"/>
  <c r="FC41" i="65"/>
  <c r="EX25" i="65"/>
  <c r="EX9" i="65"/>
  <c r="FC9" i="65" s="1"/>
  <c r="EX440" i="65"/>
  <c r="EX424" i="65"/>
  <c r="EX408" i="65"/>
  <c r="EX392" i="65"/>
  <c r="FC392" i="65"/>
  <c r="EX376" i="65"/>
  <c r="FC376" i="65" s="1"/>
  <c r="EX360" i="65"/>
  <c r="FC360" i="65"/>
  <c r="EX344" i="65"/>
  <c r="FC344" i="65" s="1"/>
  <c r="EX328" i="65"/>
  <c r="FC328" i="65"/>
  <c r="EX312" i="65"/>
  <c r="FC312" i="65" s="1"/>
  <c r="EX296" i="65"/>
  <c r="FC296" i="65"/>
  <c r="EX280" i="65"/>
  <c r="FC280" i="65" s="1"/>
  <c r="EX264" i="65"/>
  <c r="FC264" i="65"/>
  <c r="EX248" i="65"/>
  <c r="FC248" i="65" s="1"/>
  <c r="EX232" i="65"/>
  <c r="FC232" i="65"/>
  <c r="EX216" i="65"/>
  <c r="FC216" i="65" s="1"/>
  <c r="EX200" i="65"/>
  <c r="FC200" i="65"/>
  <c r="EX184" i="65"/>
  <c r="FC184" i="65" s="1"/>
  <c r="EX168" i="65"/>
  <c r="FC168" i="65"/>
  <c r="EX152" i="65"/>
  <c r="FC152" i="65" s="1"/>
  <c r="EX136" i="65"/>
  <c r="FC136" i="65"/>
  <c r="EX120" i="65"/>
  <c r="FC120" i="65" s="1"/>
  <c r="EX104" i="65"/>
  <c r="FC104" i="65"/>
  <c r="EX88" i="65"/>
  <c r="FC88" i="65" s="1"/>
  <c r="EX72" i="65"/>
  <c r="FC72" i="65"/>
  <c r="EX56" i="65"/>
  <c r="FC56" i="65" s="1"/>
  <c r="EX40" i="65"/>
  <c r="FC40" i="65"/>
  <c r="EX24" i="65"/>
  <c r="FC24" i="65" s="1"/>
  <c r="EX8" i="65"/>
  <c r="FC8" i="65"/>
  <c r="EX435" i="65"/>
  <c r="FC435" i="65" s="1"/>
  <c r="EX419" i="65"/>
  <c r="FC419" i="65"/>
  <c r="EX403" i="65"/>
  <c r="FC403" i="65" s="1"/>
  <c r="EX387" i="65"/>
  <c r="FC387" i="65"/>
  <c r="EX371" i="65"/>
  <c r="FC371" i="65" s="1"/>
  <c r="EX355" i="65"/>
  <c r="FC355" i="65"/>
  <c r="EX339" i="65"/>
  <c r="FC339" i="65" s="1"/>
  <c r="EX323" i="65"/>
  <c r="FC323" i="65"/>
  <c r="EX307" i="65"/>
  <c r="FC307" i="65" s="1"/>
  <c r="EX291" i="65"/>
  <c r="FC291" i="65"/>
  <c r="EX275" i="65"/>
  <c r="FC275" i="65" s="1"/>
  <c r="EX259" i="65"/>
  <c r="FC259" i="65"/>
  <c r="EX243" i="65"/>
  <c r="FC243" i="65" s="1"/>
  <c r="EX227" i="65"/>
  <c r="FC227" i="65"/>
  <c r="EX211" i="65"/>
  <c r="FC211" i="65" s="1"/>
  <c r="EX195" i="65"/>
  <c r="FC195" i="65"/>
  <c r="EX179" i="65"/>
  <c r="FC179" i="65" s="1"/>
  <c r="EX163" i="65"/>
  <c r="FC163" i="65"/>
  <c r="EX147" i="65"/>
  <c r="FC147" i="65" s="1"/>
  <c r="EX131" i="65"/>
  <c r="FC131" i="65"/>
  <c r="EX115" i="65"/>
  <c r="FC115" i="65" s="1"/>
  <c r="EX99" i="65"/>
  <c r="FC99" i="65"/>
  <c r="EX83" i="65"/>
  <c r="FC83" i="65" s="1"/>
  <c r="EX67" i="65"/>
  <c r="FC67" i="65"/>
  <c r="EX51" i="65"/>
  <c r="FC51" i="65" s="1"/>
  <c r="EX35" i="65"/>
  <c r="FC35" i="65"/>
  <c r="EX19" i="65"/>
  <c r="FC19" i="65" s="1"/>
  <c r="EX430" i="65"/>
  <c r="FC430" i="65"/>
  <c r="EX414" i="65"/>
  <c r="FC414" i="65" s="1"/>
  <c r="EX398" i="65"/>
  <c r="FC398" i="65"/>
  <c r="EX382" i="65"/>
  <c r="FC382" i="65" s="1"/>
  <c r="EX366" i="65"/>
  <c r="FC366" i="65"/>
  <c r="EX350" i="65"/>
  <c r="FC350" i="65" s="1"/>
  <c r="EX334" i="65"/>
  <c r="FC334" i="65"/>
  <c r="EX318" i="65"/>
  <c r="FC318" i="65" s="1"/>
  <c r="EX302" i="65"/>
  <c r="FC302" i="65"/>
  <c r="EX286" i="65"/>
  <c r="FC286" i="65" s="1"/>
  <c r="EX270" i="65"/>
  <c r="FC270" i="65"/>
  <c r="EX254" i="65"/>
  <c r="FC254" i="65" s="1"/>
  <c r="EX238" i="65"/>
  <c r="FC238" i="65"/>
  <c r="EX222" i="65"/>
  <c r="FC222" i="65" s="1"/>
  <c r="EX206" i="65"/>
  <c r="FC206" i="65"/>
  <c r="EX190" i="65"/>
  <c r="FC190" i="65" s="1"/>
  <c r="EX174" i="65"/>
  <c r="FC174" i="65"/>
  <c r="EX158" i="65"/>
  <c r="FC158" i="65" s="1"/>
  <c r="EX142" i="65"/>
  <c r="FC142" i="65"/>
  <c r="EX126" i="65"/>
  <c r="FC126" i="65" s="1"/>
  <c r="EX110" i="65"/>
  <c r="FC110" i="65"/>
  <c r="EX94" i="65"/>
  <c r="FC94" i="65" s="1"/>
  <c r="EX78" i="65"/>
  <c r="FC78" i="65"/>
  <c r="EX62" i="65"/>
  <c r="FC62" i="65" s="1"/>
  <c r="EX46" i="65"/>
  <c r="FC46" i="65"/>
  <c r="EX30" i="65"/>
  <c r="FC30" i="65" s="1"/>
  <c r="EX14" i="65"/>
  <c r="FC14" i="65"/>
  <c r="EX862" i="65"/>
  <c r="FC862" i="65" s="1"/>
  <c r="EX854" i="65"/>
  <c r="FC854" i="65"/>
  <c r="EX846" i="65"/>
  <c r="FC846" i="65" s="1"/>
  <c r="EX814" i="65"/>
  <c r="FC814" i="65"/>
  <c r="EX798" i="65"/>
  <c r="FC798" i="65" s="1"/>
  <c r="EX775" i="65"/>
  <c r="FC775" i="65"/>
  <c r="EX869" i="65"/>
  <c r="FC869" i="65" s="1"/>
  <c r="EX856" i="65"/>
  <c r="FC856" i="65"/>
  <c r="EX848" i="65"/>
  <c r="FC848" i="65" s="1"/>
  <c r="EX840" i="65"/>
  <c r="FC840" i="65"/>
  <c r="EX820" i="65"/>
  <c r="FC820" i="65" s="1"/>
  <c r="EX804" i="65"/>
  <c r="FC804" i="65"/>
  <c r="EX788" i="65"/>
  <c r="FC788" i="65" s="1"/>
  <c r="EX769" i="65"/>
  <c r="FC769" i="65"/>
  <c r="EX872" i="65"/>
  <c r="FC872" i="65" s="1"/>
  <c r="EX864" i="65"/>
  <c r="FC864" i="65"/>
  <c r="EX772" i="65"/>
  <c r="FC772" i="65" s="1"/>
  <c r="EX728" i="65"/>
  <c r="FC728" i="65"/>
  <c r="EX832" i="65"/>
  <c r="FC832" i="65" s="1"/>
  <c r="EX825" i="65"/>
  <c r="FC825" i="65"/>
  <c r="EX821" i="65"/>
  <c r="FC821" i="65" s="1"/>
  <c r="EX817" i="65"/>
  <c r="FC817" i="65"/>
  <c r="EX813" i="65"/>
  <c r="FC813" i="65" s="1"/>
  <c r="EX809" i="65"/>
  <c r="FC809" i="65"/>
  <c r="EX805" i="65"/>
  <c r="FC805" i="65" s="1"/>
  <c r="EX801" i="65"/>
  <c r="FC801" i="65"/>
  <c r="EX797" i="65"/>
  <c r="FC797" i="65" s="1"/>
  <c r="EX793" i="65"/>
  <c r="FC793" i="65"/>
  <c r="EX789" i="65"/>
  <c r="FC789" i="65" s="1"/>
  <c r="EX785" i="65"/>
  <c r="FC785" i="65"/>
  <c r="EX726" i="65"/>
  <c r="FC726" i="65" s="1"/>
  <c r="EX715" i="65"/>
  <c r="FC715" i="65"/>
  <c r="EX559" i="65"/>
  <c r="FC559" i="65" s="1"/>
  <c r="EX833" i="65"/>
  <c r="FC833" i="65"/>
  <c r="EX777" i="65"/>
  <c r="FC777" i="65" s="1"/>
  <c r="EX768" i="65"/>
  <c r="FC768" i="65"/>
  <c r="EX752" i="65"/>
  <c r="FC752" i="65" s="1"/>
  <c r="EX698" i="65"/>
  <c r="FC698" i="65"/>
  <c r="EX604" i="65"/>
  <c r="FC604" i="65" s="1"/>
  <c r="EX521" i="65"/>
  <c r="FC521" i="65"/>
  <c r="EX778" i="65"/>
  <c r="FC778" i="65" s="1"/>
  <c r="EX770" i="65"/>
  <c r="FC770" i="65"/>
  <c r="EX754" i="65"/>
  <c r="FC754" i="65" s="1"/>
  <c r="EX742" i="65"/>
  <c r="FC742" i="65"/>
  <c r="EX714" i="65"/>
  <c r="FC714" i="65" s="1"/>
  <c r="EX686" i="65"/>
  <c r="FC686" i="65"/>
  <c r="EX670" i="65"/>
  <c r="FC670" i="65" s="1"/>
  <c r="EX702" i="65"/>
  <c r="FC702" i="65"/>
  <c r="EX674" i="65"/>
  <c r="FC674" i="65" s="1"/>
  <c r="EX659" i="65"/>
  <c r="FC659" i="65"/>
  <c r="EX647" i="65"/>
  <c r="FC647" i="65" s="1"/>
  <c r="EX556" i="65"/>
  <c r="FC556" i="65"/>
  <c r="EX764" i="65"/>
  <c r="FC764" i="65" s="1"/>
  <c r="EX756" i="65"/>
  <c r="FC756" i="65"/>
  <c r="EX713" i="65"/>
  <c r="FC713" i="65" s="1"/>
  <c r="EX704" i="65"/>
  <c r="FC704" i="65"/>
  <c r="EX694" i="65"/>
  <c r="FC694" i="65" s="1"/>
  <c r="EX667" i="65"/>
  <c r="FC667" i="65"/>
  <c r="EX651" i="65"/>
  <c r="FC651" i="65" s="1"/>
  <c r="EX643" i="65"/>
  <c r="FC643" i="65"/>
  <c r="EX635" i="65"/>
  <c r="FC635" i="65" s="1"/>
  <c r="EX622" i="65"/>
  <c r="FC622" i="65"/>
  <c r="EX594" i="65"/>
  <c r="FC594" i="65" s="1"/>
  <c r="EX486" i="65"/>
  <c r="FC486" i="65"/>
  <c r="EX735" i="65"/>
  <c r="FC735" i="65" s="1"/>
  <c r="EX705" i="65"/>
  <c r="FC705" i="65"/>
  <c r="EX688" i="65"/>
  <c r="FC688" i="65" s="1"/>
  <c r="EX668" i="65"/>
  <c r="FC668" i="65"/>
  <c r="EX662" i="65"/>
  <c r="FC662" i="65" s="1"/>
  <c r="EX652" i="65"/>
  <c r="FC652" i="65"/>
  <c r="EX646" i="65"/>
  <c r="FC646" i="65" s="1"/>
  <c r="EX642" i="65"/>
  <c r="FC642" i="65"/>
  <c r="EX630" i="65"/>
  <c r="FC630" i="65" s="1"/>
  <c r="EX619" i="65"/>
  <c r="FC619" i="65"/>
  <c r="EX603" i="65"/>
  <c r="FC603" i="65" s="1"/>
  <c r="EX579" i="65"/>
  <c r="FC579" i="65"/>
  <c r="EX563" i="65"/>
  <c r="FC563" i="65" s="1"/>
  <c r="EX530" i="65"/>
  <c r="FC530" i="65"/>
  <c r="EX474" i="65"/>
  <c r="FC474" i="65" s="1"/>
  <c r="EX638" i="65"/>
  <c r="FC638" i="65"/>
  <c r="EX625" i="65"/>
  <c r="FC625" i="65" s="1"/>
  <c r="EX589" i="65"/>
  <c r="FC589" i="65"/>
  <c r="EX467" i="65"/>
  <c r="FC467" i="65" s="1"/>
  <c r="EX577" i="65"/>
  <c r="FC577" i="65"/>
  <c r="EX569" i="65"/>
  <c r="FC569" i="65" s="1"/>
  <c r="EX561" i="65"/>
  <c r="FC561" i="65"/>
  <c r="EX549" i="65"/>
  <c r="FC549" i="65" s="1"/>
  <c r="EX537" i="65"/>
  <c r="FC537" i="65"/>
  <c r="EX515" i="65"/>
  <c r="FC515" i="65" s="1"/>
  <c r="EX503" i="65"/>
  <c r="FC503" i="65"/>
  <c r="EX489" i="65"/>
  <c r="FC489" i="65" s="1"/>
  <c r="EX457" i="65"/>
  <c r="FC457" i="65"/>
  <c r="EX443" i="65"/>
  <c r="FC443" i="65" s="1"/>
  <c r="EX628" i="65"/>
  <c r="FC628" i="65"/>
  <c r="EX590" i="65"/>
  <c r="FC590" i="65" s="1"/>
  <c r="EX528" i="65"/>
  <c r="FC528" i="65"/>
  <c r="EX517" i="65"/>
  <c r="FC517" i="65" s="1"/>
  <c r="EX504" i="65"/>
  <c r="FC504" i="65"/>
  <c r="EX475" i="65"/>
  <c r="FC475" i="65" s="1"/>
  <c r="EX491" i="65"/>
  <c r="FC491" i="65"/>
  <c r="EX536" i="65"/>
  <c r="FC536" i="65" s="1"/>
  <c r="EX532" i="65"/>
  <c r="FC532" i="65"/>
  <c r="EX508" i="65"/>
  <c r="FC508" i="65" s="1"/>
  <c r="EX488" i="65"/>
  <c r="FC488" i="65"/>
  <c r="EX480" i="65"/>
  <c r="FC480" i="65" s="1"/>
  <c r="EX466" i="65"/>
  <c r="FC466" i="65"/>
  <c r="EX455" i="65"/>
  <c r="FC455" i="65" s="1"/>
  <c r="EX449" i="65"/>
  <c r="FC449" i="65"/>
  <c r="EX441" i="65"/>
  <c r="FC441" i="65" s="1"/>
  <c r="EX448" i="65"/>
  <c r="FC448" i="65"/>
  <c r="FJ249" i="65"/>
  <c r="FD433" i="65"/>
  <c r="FD369" i="65"/>
  <c r="FD305" i="65"/>
  <c r="FD257" i="65"/>
  <c r="FD193" i="65"/>
  <c r="FD145" i="65"/>
  <c r="FD81" i="65"/>
  <c r="FD33" i="65"/>
  <c r="FD425" i="65"/>
  <c r="FD393" i="65"/>
  <c r="FD361" i="65"/>
  <c r="FD329" i="65"/>
  <c r="FD297" i="65"/>
  <c r="FD265" i="65"/>
  <c r="FD249" i="65"/>
  <c r="FG249" i="65" s="1"/>
  <c r="FD217" i="65"/>
  <c r="FM217" i="65" s="1"/>
  <c r="FD201" i="65"/>
  <c r="FM201" i="65" s="1"/>
  <c r="FD185" i="65"/>
  <c r="FD169" i="65"/>
  <c r="FD137" i="65"/>
  <c r="FD121" i="65"/>
  <c r="FM121" i="65" s="1"/>
  <c r="FD89" i="65"/>
  <c r="FD73" i="65"/>
  <c r="FD57" i="65"/>
  <c r="FM57" i="65" s="1"/>
  <c r="FD41" i="65"/>
  <c r="FD9" i="65"/>
  <c r="FG9" i="65" s="1"/>
  <c r="FD440" i="65"/>
  <c r="FD408" i="65"/>
  <c r="FD392" i="65"/>
  <c r="FD376" i="65"/>
  <c r="FD360" i="65"/>
  <c r="FD344" i="65"/>
  <c r="FD328" i="65"/>
  <c r="FD312" i="65"/>
  <c r="FD296" i="65"/>
  <c r="FD280" i="65"/>
  <c r="FD264" i="65"/>
  <c r="FD248" i="65"/>
  <c r="FD232" i="65"/>
  <c r="FD216" i="65"/>
  <c r="FD200" i="65"/>
  <c r="FD184" i="65"/>
  <c r="FD168" i="65"/>
  <c r="FD152" i="65"/>
  <c r="FD136" i="65"/>
  <c r="FD120" i="65"/>
  <c r="FD104" i="65"/>
  <c r="FG104" i="65" s="1"/>
  <c r="FD88" i="65"/>
  <c r="FD72" i="65"/>
  <c r="FD56" i="65"/>
  <c r="FD40" i="65"/>
  <c r="FD24" i="65"/>
  <c r="FD8" i="65"/>
  <c r="FD435" i="65"/>
  <c r="FD419" i="65"/>
  <c r="FD403" i="65"/>
  <c r="FD387" i="65"/>
  <c r="FD371" i="65"/>
  <c r="FD355" i="65"/>
  <c r="FD339" i="65"/>
  <c r="FD323" i="65"/>
  <c r="FD307" i="65"/>
  <c r="FD291" i="65"/>
  <c r="FD275" i="65"/>
  <c r="FD259" i="65"/>
  <c r="FD243" i="65"/>
  <c r="FD227" i="65"/>
  <c r="FD211" i="65"/>
  <c r="FD195" i="65"/>
  <c r="FD179" i="65"/>
  <c r="FD163" i="65"/>
  <c r="FD147" i="65"/>
  <c r="FD131" i="65"/>
  <c r="FD115" i="65"/>
  <c r="FD99" i="65"/>
  <c r="FD83" i="65"/>
  <c r="FD67" i="65"/>
  <c r="FD51" i="65"/>
  <c r="FD35" i="65"/>
  <c r="FD19" i="65"/>
  <c r="FD430" i="65"/>
  <c r="FD414" i="65"/>
  <c r="FD398" i="65"/>
  <c r="FD382" i="65"/>
  <c r="FD366" i="65"/>
  <c r="FG366" i="65" s="1"/>
  <c r="FD350" i="65"/>
  <c r="FM350" i="65" s="1"/>
  <c r="FD334" i="65"/>
  <c r="FG334" i="65" s="1"/>
  <c r="FD318" i="65"/>
  <c r="FD302" i="65"/>
  <c r="FD286" i="65"/>
  <c r="FD270" i="65"/>
  <c r="FD254" i="65"/>
  <c r="FD238" i="65"/>
  <c r="FD222" i="65"/>
  <c r="FD206" i="65"/>
  <c r="FD190" i="65"/>
  <c r="FG190" i="65" s="1"/>
  <c r="FD174" i="65"/>
  <c r="FD158" i="65"/>
  <c r="FD142" i="65"/>
  <c r="FD126" i="65"/>
  <c r="FM126" i="65" s="1"/>
  <c r="FD110" i="65"/>
  <c r="FD94" i="65"/>
  <c r="FG94" i="65" s="1"/>
  <c r="FD78" i="65"/>
  <c r="FD62" i="65"/>
  <c r="FD46" i="65"/>
  <c r="FG46" i="65" s="1"/>
  <c r="FD30" i="65"/>
  <c r="FG30" i="65" s="1"/>
  <c r="FD14" i="65"/>
  <c r="FD401" i="65"/>
  <c r="FD353" i="65"/>
  <c r="FD289" i="65"/>
  <c r="FD241" i="65"/>
  <c r="FD177" i="65"/>
  <c r="FD113" i="65"/>
  <c r="FD65" i="65"/>
  <c r="FD416" i="65"/>
  <c r="FD6" i="65"/>
  <c r="FF6" i="65" s="1"/>
  <c r="FD409" i="65"/>
  <c r="FD377" i="65"/>
  <c r="FD345" i="65"/>
  <c r="FD313" i="65"/>
  <c r="FD437" i="65"/>
  <c r="FD421" i="65"/>
  <c r="FD405" i="65"/>
  <c r="FD373" i="65"/>
  <c r="FD357" i="65"/>
  <c r="FD341" i="65"/>
  <c r="FD325" i="65"/>
  <c r="FD309" i="65"/>
  <c r="FD293" i="65"/>
  <c r="FD277" i="65"/>
  <c r="FD261" i="65"/>
  <c r="FD245" i="65"/>
  <c r="FD229" i="65"/>
  <c r="FD213" i="65"/>
  <c r="FD197" i="65"/>
  <c r="FD181" i="65"/>
  <c r="FD165" i="65"/>
  <c r="FD149" i="65"/>
  <c r="FD133" i="65"/>
  <c r="FD117" i="65"/>
  <c r="FD101" i="65"/>
  <c r="FD85" i="65"/>
  <c r="FD69" i="65"/>
  <c r="FD53" i="65"/>
  <c r="FD37" i="65"/>
  <c r="FD436" i="65"/>
  <c r="FD420" i="65"/>
  <c r="FD404" i="65"/>
  <c r="FD388" i="65"/>
  <c r="FD372" i="65"/>
  <c r="FD356" i="65"/>
  <c r="FD340" i="65"/>
  <c r="FD324" i="65"/>
  <c r="FD308" i="65"/>
  <c r="FD292" i="65"/>
  <c r="FD276" i="65"/>
  <c r="FD260" i="65"/>
  <c r="FD228" i="65"/>
  <c r="FD212" i="65"/>
  <c r="FD196" i="65"/>
  <c r="FD180" i="65"/>
  <c r="FD164" i="65"/>
  <c r="FD148" i="65"/>
  <c r="FD132" i="65"/>
  <c r="FD100" i="65"/>
  <c r="FD84" i="65"/>
  <c r="FD68" i="65"/>
  <c r="FD52" i="65"/>
  <c r="FD36" i="65"/>
  <c r="FD20" i="65"/>
  <c r="FD431" i="65"/>
  <c r="FD415" i="65"/>
  <c r="FD399" i="65"/>
  <c r="FD383" i="65"/>
  <c r="FD367" i="65"/>
  <c r="FD335" i="65"/>
  <c r="FD319" i="65"/>
  <c r="FD303" i="65"/>
  <c r="FD271" i="65"/>
  <c r="FD255" i="65"/>
  <c r="FD239" i="65"/>
  <c r="FD223" i="65"/>
  <c r="FD207" i="65"/>
  <c r="FD191" i="65"/>
  <c r="FD175" i="65"/>
  <c r="FD143" i="65"/>
  <c r="FD111" i="65"/>
  <c r="FD95" i="65"/>
  <c r="FD79" i="65"/>
  <c r="FD63" i="65"/>
  <c r="FD47" i="65"/>
  <c r="FD31" i="65"/>
  <c r="FD15" i="65"/>
  <c r="FD426" i="65"/>
  <c r="FD410" i="65"/>
  <c r="FD394" i="65"/>
  <c r="FD378" i="65"/>
  <c r="FD362" i="65"/>
  <c r="FD346" i="65"/>
  <c r="FD330" i="65"/>
  <c r="FD314" i="65"/>
  <c r="FD282" i="65"/>
  <c r="FD266" i="65"/>
  <c r="FD250" i="65"/>
  <c r="FD234" i="65"/>
  <c r="FD218" i="65"/>
  <c r="FD202" i="65"/>
  <c r="FD186" i="65"/>
  <c r="FD138" i="65"/>
  <c r="FD122" i="65"/>
  <c r="FD106" i="65"/>
  <c r="FD90" i="65"/>
  <c r="FD74" i="65"/>
  <c r="FD58" i="65"/>
  <c r="FD42" i="65"/>
  <c r="FD26" i="65"/>
  <c r="FD10" i="65"/>
  <c r="FD417" i="65"/>
  <c r="FD321" i="65"/>
  <c r="FD225" i="65"/>
  <c r="FD129" i="65"/>
  <c r="FD17" i="65"/>
  <c r="FD432" i="65"/>
  <c r="FD400" i="65"/>
  <c r="FD384" i="65"/>
  <c r="FD352" i="65"/>
  <c r="FD336" i="65"/>
  <c r="FD320" i="65"/>
  <c r="FD304" i="65"/>
  <c r="FD288" i="65"/>
  <c r="FD272" i="65"/>
  <c r="FD256" i="65"/>
  <c r="FD240" i="65"/>
  <c r="FD224" i="65"/>
  <c r="FM224" i="65" s="1"/>
  <c r="FD208" i="65"/>
  <c r="FD192" i="65"/>
  <c r="FD176" i="65"/>
  <c r="FD160" i="65"/>
  <c r="FD144" i="65"/>
  <c r="FD128" i="65"/>
  <c r="FD112" i="65"/>
  <c r="FD96" i="65"/>
  <c r="FD80" i="65"/>
  <c r="FD64" i="65"/>
  <c r="FD48" i="65"/>
  <c r="FD32" i="65"/>
  <c r="FD16" i="65"/>
  <c r="FD427" i="65"/>
  <c r="FD411" i="65"/>
  <c r="FD395" i="65"/>
  <c r="FD379" i="65"/>
  <c r="FD363" i="65"/>
  <c r="FD347" i="65"/>
  <c r="FD331" i="65"/>
  <c r="FG331" i="65" s="1"/>
  <c r="FD315" i="65"/>
  <c r="FD299" i="65"/>
  <c r="FD283" i="65"/>
  <c r="FD267" i="65"/>
  <c r="FD251" i="65"/>
  <c r="FD235" i="65"/>
  <c r="FD219" i="65"/>
  <c r="FD203" i="65"/>
  <c r="FD187" i="65"/>
  <c r="FD171" i="65"/>
  <c r="FD155" i="65"/>
  <c r="FD139" i="65"/>
  <c r="FD123" i="65"/>
  <c r="FD107" i="65"/>
  <c r="FD91" i="65"/>
  <c r="FD75" i="65"/>
  <c r="FD59" i="65"/>
  <c r="FD43" i="65"/>
  <c r="FD27" i="65"/>
  <c r="FD11" i="65"/>
  <c r="FD438" i="65"/>
  <c r="FD422" i="65"/>
  <c r="FD406" i="65"/>
  <c r="FD390" i="65"/>
  <c r="FG390" i="65" s="1"/>
  <c r="FD374" i="65"/>
  <c r="FD358" i="65"/>
  <c r="FD342" i="65"/>
  <c r="FG342" i="65" s="1"/>
  <c r="FD326" i="65"/>
  <c r="FD310" i="65"/>
  <c r="FG310" i="65" s="1"/>
  <c r="FD294" i="65"/>
  <c r="FD278" i="65"/>
  <c r="FD262" i="65"/>
  <c r="FD246" i="65"/>
  <c r="FD230" i="65"/>
  <c r="FD214" i="65"/>
  <c r="FD198" i="65"/>
  <c r="FD182" i="65"/>
  <c r="FD166" i="65"/>
  <c r="FD150" i="65"/>
  <c r="FD134" i="65"/>
  <c r="FG134" i="65" s="1"/>
  <c r="FD118" i="65"/>
  <c r="FD102" i="65"/>
  <c r="FG102" i="65" s="1"/>
  <c r="FD86" i="65"/>
  <c r="FD70" i="65"/>
  <c r="FD54" i="65"/>
  <c r="FD38" i="65"/>
  <c r="FD22" i="65"/>
  <c r="FG22" i="65" s="1"/>
  <c r="FD385" i="65"/>
  <c r="FD337" i="65"/>
  <c r="FD273" i="65"/>
  <c r="FD209" i="65"/>
  <c r="FD161" i="65"/>
  <c r="FD97" i="65"/>
  <c r="FD49" i="65"/>
  <c r="FD368" i="65"/>
  <c r="FD429" i="65"/>
  <c r="FD397" i="65"/>
  <c r="FD381" i="65"/>
  <c r="FD365" i="65"/>
  <c r="FD333" i="65"/>
  <c r="FD317" i="65"/>
  <c r="FD301" i="65"/>
  <c r="FD269" i="65"/>
  <c r="FD253" i="65"/>
  <c r="FD237" i="65"/>
  <c r="FD221" i="65"/>
  <c r="FD189" i="65"/>
  <c r="FD173" i="65"/>
  <c r="FD157" i="65"/>
  <c r="FD125" i="65"/>
  <c r="FD109" i="65"/>
  <c r="FD93" i="65"/>
  <c r="FD61" i="65"/>
  <c r="FD45" i="65"/>
  <c r="FD29" i="65"/>
  <c r="FD428" i="65"/>
  <c r="FD412" i="65"/>
  <c r="FD396" i="65"/>
  <c r="FD364" i="65"/>
  <c r="FD348" i="65"/>
  <c r="FD332" i="65"/>
  <c r="FD300" i="65"/>
  <c r="FD284" i="65"/>
  <c r="FD268" i="65"/>
  <c r="FD236" i="65"/>
  <c r="FD220" i="65"/>
  <c r="FD204" i="65"/>
  <c r="FD172" i="65"/>
  <c r="FD156" i="65"/>
  <c r="FD140" i="65"/>
  <c r="FD108" i="65"/>
  <c r="FD92" i="65"/>
  <c r="FD76" i="65"/>
  <c r="FD44" i="65"/>
  <c r="FD28" i="65"/>
  <c r="FD12" i="65"/>
  <c r="FD423" i="65"/>
  <c r="FD407" i="65"/>
  <c r="FD391" i="65"/>
  <c r="FD359" i="65"/>
  <c r="FD343" i="65"/>
  <c r="FD327" i="65"/>
  <c r="FD295" i="65"/>
  <c r="FD279" i="65"/>
  <c r="FD263" i="65"/>
  <c r="FD231" i="65"/>
  <c r="FD215" i="65"/>
  <c r="FD199" i="65"/>
  <c r="FD167" i="65"/>
  <c r="FD151" i="65"/>
  <c r="FD135" i="65"/>
  <c r="FD103" i="65"/>
  <c r="FD87" i="65"/>
  <c r="FD71" i="65"/>
  <c r="FD39" i="65"/>
  <c r="FD23" i="65"/>
  <c r="FD7" i="65"/>
  <c r="FD418" i="65"/>
  <c r="FD402" i="65"/>
  <c r="FD386" i="65"/>
  <c r="FD354" i="65"/>
  <c r="FG354" i="65" s="1"/>
  <c r="FD338" i="65"/>
  <c r="FG338" i="65" s="1"/>
  <c r="FD322" i="65"/>
  <c r="FD290" i="65"/>
  <c r="FD274" i="65"/>
  <c r="FD258" i="65"/>
  <c r="FD226" i="65"/>
  <c r="FD210" i="65"/>
  <c r="FD194" i="65"/>
  <c r="FD162" i="65"/>
  <c r="FD146" i="65"/>
  <c r="FD130" i="65"/>
  <c r="FG130" i="65" s="1"/>
  <c r="FD98" i="65"/>
  <c r="FG98" i="65" s="1"/>
  <c r="FD82" i="65"/>
  <c r="FG82" i="65" s="1"/>
  <c r="FD66" i="65"/>
  <c r="FD34" i="65"/>
  <c r="FD18" i="65"/>
  <c r="FH428" i="65"/>
  <c r="FH412" i="65"/>
  <c r="FH396" i="65"/>
  <c r="FH380" i="65"/>
  <c r="FH364" i="65"/>
  <c r="FH348" i="65"/>
  <c r="FH332" i="65"/>
  <c r="FH316" i="65"/>
  <c r="FH300" i="65"/>
  <c r="FH284" i="65"/>
  <c r="FH268" i="65"/>
  <c r="FH252" i="65"/>
  <c r="FH236" i="65"/>
  <c r="FH220" i="65"/>
  <c r="FH204" i="65"/>
  <c r="FH188" i="65"/>
  <c r="FH172" i="65"/>
  <c r="FH156" i="65"/>
  <c r="FH140" i="65"/>
  <c r="FH124" i="65"/>
  <c r="FH108" i="65"/>
  <c r="FH92" i="65"/>
  <c r="FH76" i="65"/>
  <c r="FH54" i="65"/>
  <c r="FH427" i="65"/>
  <c r="FH411" i="65"/>
  <c r="FH395" i="65"/>
  <c r="FH379" i="65"/>
  <c r="FH363" i="65"/>
  <c r="FH347" i="65"/>
  <c r="FH331" i="65"/>
  <c r="FH315" i="65"/>
  <c r="FH299" i="65"/>
  <c r="FH283" i="65"/>
  <c r="FH267" i="65"/>
  <c r="FH251" i="65"/>
  <c r="FH235" i="65"/>
  <c r="FH219" i="65"/>
  <c r="FH203" i="65"/>
  <c r="FH187" i="65"/>
  <c r="FH171" i="65"/>
  <c r="FH155" i="65"/>
  <c r="FH139" i="65"/>
  <c r="FH123" i="65"/>
  <c r="FH107" i="65"/>
  <c r="FH91" i="65"/>
  <c r="FH75" i="65"/>
  <c r="FH51" i="65"/>
  <c r="FH438" i="65"/>
  <c r="FH422" i="65"/>
  <c r="FH406" i="65"/>
  <c r="FH390" i="65"/>
  <c r="FH374" i="65"/>
  <c r="FH358" i="65"/>
  <c r="FH342" i="65"/>
  <c r="FH326" i="65"/>
  <c r="FH310" i="65"/>
  <c r="FH294" i="65"/>
  <c r="FH278" i="65"/>
  <c r="FH262" i="65"/>
  <c r="FH246" i="65"/>
  <c r="FH230" i="65"/>
  <c r="FH214" i="65"/>
  <c r="FH198" i="65"/>
  <c r="FH182" i="65"/>
  <c r="FH166" i="65"/>
  <c r="FH150" i="65"/>
  <c r="FH134" i="65"/>
  <c r="FH118" i="65"/>
  <c r="FH102" i="65"/>
  <c r="FH86" i="65"/>
  <c r="FH70" i="65"/>
  <c r="FH31" i="65"/>
  <c r="FH433" i="65"/>
  <c r="FH417" i="65"/>
  <c r="FH401" i="65"/>
  <c r="FH385" i="65"/>
  <c r="FH369" i="65"/>
  <c r="FH353" i="65"/>
  <c r="FH337" i="65"/>
  <c r="FH321" i="65"/>
  <c r="FH305" i="65"/>
  <c r="FH289" i="65"/>
  <c r="FH273" i="65"/>
  <c r="FH257" i="65"/>
  <c r="FH241" i="65"/>
  <c r="FH225" i="65"/>
  <c r="FH209" i="65"/>
  <c r="FH193" i="65"/>
  <c r="FH177" i="65"/>
  <c r="FH161" i="65"/>
  <c r="FH145" i="65"/>
  <c r="FH129" i="65"/>
  <c r="FH113" i="65"/>
  <c r="FH97" i="65"/>
  <c r="FH81" i="65"/>
  <c r="FH63" i="65"/>
  <c r="FH11" i="65"/>
  <c r="FH53" i="65"/>
  <c r="FH37" i="65"/>
  <c r="FH21" i="65"/>
  <c r="FH64" i="65"/>
  <c r="FH48" i="65"/>
  <c r="FH32" i="65"/>
  <c r="FH16" i="65"/>
  <c r="FH46" i="65"/>
  <c r="FH30" i="65"/>
  <c r="FH14" i="65"/>
  <c r="FH870" i="65"/>
  <c r="FD862" i="65"/>
  <c r="FM862" i="65" s="1"/>
  <c r="FA862" i="65"/>
  <c r="FI862" i="65"/>
  <c r="FL862" i="65"/>
  <c r="EY862" i="65"/>
  <c r="FJ862" i="65"/>
  <c r="FB862" i="65"/>
  <c r="FD854" i="65"/>
  <c r="FM854" i="65" s="1"/>
  <c r="EY854" i="65"/>
  <c r="FI854" i="65"/>
  <c r="FB854" i="65"/>
  <c r="FL854" i="65"/>
  <c r="FA854" i="65"/>
  <c r="FJ854" i="65"/>
  <c r="FD846" i="65"/>
  <c r="FM846" i="65" s="1"/>
  <c r="FB846" i="65"/>
  <c r="FX846" i="65" s="1"/>
  <c r="GN846" i="65" s="1"/>
  <c r="FI846" i="65"/>
  <c r="FL846" i="65"/>
  <c r="FJ846" i="65"/>
  <c r="FA846" i="65"/>
  <c r="EY846" i="65"/>
  <c r="FH838" i="65"/>
  <c r="FD814" i="65"/>
  <c r="FM814" i="65" s="1"/>
  <c r="EY814" i="65"/>
  <c r="FA814" i="65"/>
  <c r="FL814" i="65"/>
  <c r="EZ814" i="65" s="1"/>
  <c r="FB814" i="65"/>
  <c r="FJ814" i="65"/>
  <c r="FI814" i="65"/>
  <c r="FD798" i="65"/>
  <c r="FM798" i="65" s="1"/>
  <c r="FJ798" i="65"/>
  <c r="FA798" i="65"/>
  <c r="EY798" i="65"/>
  <c r="FL798" i="65"/>
  <c r="FB798" i="65"/>
  <c r="FX798" i="65" s="1"/>
  <c r="GN798" i="65" s="1"/>
  <c r="FI798" i="65"/>
  <c r="FD775" i="65"/>
  <c r="FM775" i="65" s="1"/>
  <c r="FB775" i="65"/>
  <c r="FI775" i="65"/>
  <c r="FJ775" i="65"/>
  <c r="EY775" i="65"/>
  <c r="FL775" i="65"/>
  <c r="FA775" i="65"/>
  <c r="FH716" i="65"/>
  <c r="FL869" i="65"/>
  <c r="FD869" i="65"/>
  <c r="FM869" i="65" s="1"/>
  <c r="EY869" i="65"/>
  <c r="FA869" i="65"/>
  <c r="FI869" i="65"/>
  <c r="FB869" i="65"/>
  <c r="FJ869" i="65"/>
  <c r="FH862" i="65"/>
  <c r="FH854" i="65"/>
  <c r="FH846" i="65"/>
  <c r="FH837" i="65"/>
  <c r="FH750" i="65"/>
  <c r="FH874" i="65"/>
  <c r="FH865" i="65"/>
  <c r="FD856" i="65"/>
  <c r="FM856" i="65" s="1"/>
  <c r="EY856" i="65"/>
  <c r="FB856" i="65"/>
  <c r="FI856" i="65"/>
  <c r="FA856" i="65"/>
  <c r="FL856" i="65"/>
  <c r="FJ856" i="65"/>
  <c r="FD848" i="65"/>
  <c r="FM848" i="65" s="1"/>
  <c r="FA848" i="65"/>
  <c r="FI848" i="65"/>
  <c r="FL848" i="65"/>
  <c r="EY848" i="65"/>
  <c r="FJ848" i="65"/>
  <c r="FB848" i="65"/>
  <c r="FX848" i="65" s="1"/>
  <c r="GN848" i="65" s="1"/>
  <c r="FD840" i="65"/>
  <c r="FM840" i="65" s="1"/>
  <c r="FL840" i="65"/>
  <c r="FJ840" i="65"/>
  <c r="FA840" i="65"/>
  <c r="EY840" i="65"/>
  <c r="FI840" i="65"/>
  <c r="FB840" i="65"/>
  <c r="FX840" i="65" s="1"/>
  <c r="GN840" i="65" s="1"/>
  <c r="FA820" i="65"/>
  <c r="FD820" i="65"/>
  <c r="FM820" i="65" s="1"/>
  <c r="FJ820" i="65"/>
  <c r="EY820" i="65"/>
  <c r="FB820" i="65"/>
  <c r="FL820" i="65"/>
  <c r="FI820" i="65"/>
  <c r="FD804" i="65"/>
  <c r="FM804" i="65" s="1"/>
  <c r="EY804" i="65"/>
  <c r="FB804" i="65"/>
  <c r="FX804" i="65" s="1"/>
  <c r="GN804" i="65" s="1"/>
  <c r="FL804" i="65"/>
  <c r="FA804" i="65"/>
  <c r="FJ804" i="65"/>
  <c r="FI804" i="65"/>
  <c r="FA788" i="65"/>
  <c r="FD788" i="65"/>
  <c r="FM788" i="65" s="1"/>
  <c r="FL788" i="65"/>
  <c r="FB788" i="65"/>
  <c r="FJ788" i="65"/>
  <c r="EY788" i="65"/>
  <c r="FI788" i="65"/>
  <c r="FD769" i="65"/>
  <c r="FM769" i="65" s="1"/>
  <c r="EY769" i="65"/>
  <c r="FI769" i="65"/>
  <c r="FL769" i="65"/>
  <c r="FB769" i="65"/>
  <c r="FX769" i="65" s="1"/>
  <c r="GN769" i="65" s="1"/>
  <c r="FA769" i="65"/>
  <c r="FJ769" i="65"/>
  <c r="FD872" i="65"/>
  <c r="FM872" i="65" s="1"/>
  <c r="FL872" i="65"/>
  <c r="FB872" i="65"/>
  <c r="FJ872" i="65"/>
  <c r="FA872" i="65"/>
  <c r="EY872" i="65"/>
  <c r="FI872" i="65"/>
  <c r="FD864" i="65"/>
  <c r="FM864" i="65" s="1"/>
  <c r="FJ864" i="65"/>
  <c r="EY864" i="65"/>
  <c r="FA864" i="65"/>
  <c r="FB864" i="65"/>
  <c r="FI864" i="65"/>
  <c r="FL864" i="65"/>
  <c r="FH856" i="65"/>
  <c r="FH848" i="65"/>
  <c r="EZ848" i="65"/>
  <c r="FH840" i="65"/>
  <c r="FL772" i="65"/>
  <c r="EZ772" i="65" s="1"/>
  <c r="FD772" i="65"/>
  <c r="FM772" i="65" s="1"/>
  <c r="FJ772" i="65"/>
  <c r="EY772" i="65"/>
  <c r="FA772" i="65"/>
  <c r="FB772" i="65"/>
  <c r="FX772" i="65" s="1"/>
  <c r="GN772" i="65" s="1"/>
  <c r="FI772" i="65"/>
  <c r="FD728" i="65"/>
  <c r="FJ728" i="65"/>
  <c r="FB728" i="65"/>
  <c r="FX728" i="65" s="1"/>
  <c r="GN728" i="65" s="1"/>
  <c r="FA728" i="65"/>
  <c r="FI728" i="65"/>
  <c r="EY728" i="65"/>
  <c r="FL728" i="65"/>
  <c r="FD832" i="65"/>
  <c r="FM832" i="65" s="1"/>
  <c r="FA832" i="65"/>
  <c r="FJ832" i="65"/>
  <c r="EY832" i="65"/>
  <c r="FI832" i="65"/>
  <c r="FB832" i="65"/>
  <c r="FL832" i="65"/>
  <c r="FD825" i="65"/>
  <c r="FM825" i="65" s="1"/>
  <c r="EY825" i="65"/>
  <c r="FB825" i="65"/>
  <c r="FJ825" i="65"/>
  <c r="FL825" i="65"/>
  <c r="FI825" i="65"/>
  <c r="FA825" i="65"/>
  <c r="FI821" i="65"/>
  <c r="FD821" i="65"/>
  <c r="FM821" i="65" s="1"/>
  <c r="FA821" i="65"/>
  <c r="EY821" i="65"/>
  <c r="FB821" i="65"/>
  <c r="FJ821" i="65"/>
  <c r="FL821" i="65"/>
  <c r="FI817" i="65"/>
  <c r="FD817" i="65"/>
  <c r="FM817" i="65" s="1"/>
  <c r="FA817" i="65"/>
  <c r="FB817" i="65"/>
  <c r="FJ817" i="65"/>
  <c r="FG817" i="65"/>
  <c r="FL817" i="65"/>
  <c r="EY817" i="65"/>
  <c r="FI813" i="65"/>
  <c r="FD813" i="65"/>
  <c r="FM813" i="65" s="1"/>
  <c r="FA813" i="65"/>
  <c r="FL813" i="65"/>
  <c r="EY813" i="65"/>
  <c r="FB813" i="65"/>
  <c r="FJ813" i="65"/>
  <c r="FI809" i="65"/>
  <c r="FD809" i="65"/>
  <c r="FM809" i="65" s="1"/>
  <c r="FA809" i="65"/>
  <c r="EY809" i="65"/>
  <c r="FB809" i="65"/>
  <c r="FX809" i="65" s="1"/>
  <c r="GN809" i="65" s="1"/>
  <c r="FJ809" i="65"/>
  <c r="FL809" i="65"/>
  <c r="FI805" i="65"/>
  <c r="FD805" i="65"/>
  <c r="FM805" i="65" s="1"/>
  <c r="FA805" i="65"/>
  <c r="EY805" i="65"/>
  <c r="FB805" i="65"/>
  <c r="FX805" i="65" s="1"/>
  <c r="GN805" i="65" s="1"/>
  <c r="FJ805" i="65"/>
  <c r="FL805" i="65"/>
  <c r="FI801" i="65"/>
  <c r="FD801" i="65"/>
  <c r="FM801" i="65" s="1"/>
  <c r="FA801" i="65"/>
  <c r="FB801" i="65"/>
  <c r="FX801" i="65" s="1"/>
  <c r="GN801" i="65" s="1"/>
  <c r="FJ801" i="65"/>
  <c r="FG801" i="65"/>
  <c r="FL801" i="65"/>
  <c r="EY801" i="65"/>
  <c r="FI797" i="65"/>
  <c r="FD797" i="65"/>
  <c r="FM797" i="65" s="1"/>
  <c r="FA797" i="65"/>
  <c r="FB797" i="65"/>
  <c r="FX797" i="65" s="1"/>
  <c r="GN797" i="65" s="1"/>
  <c r="FJ797" i="65"/>
  <c r="FG797" i="65"/>
  <c r="FL797" i="65"/>
  <c r="EY797" i="65"/>
  <c r="FI793" i="65"/>
  <c r="FD793" i="65"/>
  <c r="FM793" i="65" s="1"/>
  <c r="FA793" i="65"/>
  <c r="FL793" i="65"/>
  <c r="EY793" i="65"/>
  <c r="FB793" i="65"/>
  <c r="FJ793" i="65"/>
  <c r="FI789" i="65"/>
  <c r="FD789" i="65"/>
  <c r="FM789" i="65" s="1"/>
  <c r="FA789" i="65"/>
  <c r="FL789" i="65"/>
  <c r="EY789" i="65"/>
  <c r="FB789" i="65"/>
  <c r="FJ789" i="65"/>
  <c r="FI785" i="65"/>
  <c r="FD785" i="65"/>
  <c r="FM785" i="65" s="1"/>
  <c r="FA785" i="65"/>
  <c r="FL785" i="65"/>
  <c r="EY785" i="65"/>
  <c r="FB785" i="65"/>
  <c r="FJ785" i="65"/>
  <c r="FH780" i="65"/>
  <c r="FH772" i="65"/>
  <c r="FH755" i="65"/>
  <c r="FH741" i="65"/>
  <c r="FD726" i="65"/>
  <c r="FM726" i="65" s="1"/>
  <c r="FJ726" i="65"/>
  <c r="FB726" i="65"/>
  <c r="FX726" i="65" s="1"/>
  <c r="GN726" i="65" s="1"/>
  <c r="FA726" i="65"/>
  <c r="FI726" i="65"/>
  <c r="EY726" i="65"/>
  <c r="FL726" i="65"/>
  <c r="FL715" i="65"/>
  <c r="FD715" i="65"/>
  <c r="FM715" i="65" s="1"/>
  <c r="EY715" i="65"/>
  <c r="FA715" i="65"/>
  <c r="FI715" i="65"/>
  <c r="FB715" i="65"/>
  <c r="FX715" i="65" s="1"/>
  <c r="GN715" i="65" s="1"/>
  <c r="FJ715" i="65"/>
  <c r="FH699" i="65"/>
  <c r="FH685" i="65"/>
  <c r="FH674" i="65"/>
  <c r="FH656" i="65"/>
  <c r="FH629" i="65"/>
  <c r="FD559" i="65"/>
  <c r="FM559" i="65" s="1"/>
  <c r="EY559" i="65"/>
  <c r="FI559" i="65"/>
  <c r="FB559" i="65"/>
  <c r="FX559" i="65" s="1"/>
  <c r="GN559" i="65" s="1"/>
  <c r="FL559" i="65"/>
  <c r="FA559" i="65"/>
  <c r="FJ559" i="65"/>
  <c r="FD833" i="65"/>
  <c r="FM833" i="65" s="1"/>
  <c r="FL833" i="65"/>
  <c r="EY833" i="65"/>
  <c r="FI833" i="65"/>
  <c r="FJ833" i="65"/>
  <c r="FB833" i="65"/>
  <c r="FX833" i="65" s="1"/>
  <c r="GN833" i="65" s="1"/>
  <c r="FA833" i="65"/>
  <c r="FH825" i="65"/>
  <c r="FH817" i="65"/>
  <c r="FH809" i="65"/>
  <c r="FH801" i="65"/>
  <c r="FH785" i="65"/>
  <c r="FB777" i="65"/>
  <c r="FD777" i="65"/>
  <c r="FM777" i="65" s="1"/>
  <c r="EY777" i="65"/>
  <c r="FL777" i="65"/>
  <c r="FA777" i="65"/>
  <c r="FI777" i="65"/>
  <c r="FJ777" i="65"/>
  <c r="FL768" i="65"/>
  <c r="FD768" i="65"/>
  <c r="FM768" i="65" s="1"/>
  <c r="FJ768" i="65"/>
  <c r="EY768" i="65"/>
  <c r="FA768" i="65"/>
  <c r="FB768" i="65"/>
  <c r="FX768" i="65" s="1"/>
  <c r="GN768" i="65" s="1"/>
  <c r="FI768" i="65"/>
  <c r="FG768" i="65"/>
  <c r="FL752" i="65"/>
  <c r="FD752" i="65"/>
  <c r="FM752" i="65" s="1"/>
  <c r="FJ752" i="65"/>
  <c r="EY752" i="65"/>
  <c r="FA752" i="65"/>
  <c r="FB752" i="65"/>
  <c r="FI752" i="65"/>
  <c r="FG752" i="65"/>
  <c r="FH734" i="65"/>
  <c r="FH711" i="65"/>
  <c r="FL698" i="65"/>
  <c r="FD698" i="65"/>
  <c r="FM698" i="65" s="1"/>
  <c r="FA698" i="65"/>
  <c r="FI698" i="65"/>
  <c r="EY698" i="65"/>
  <c r="FB698" i="65"/>
  <c r="FJ698" i="65"/>
  <c r="FH684" i="65"/>
  <c r="FH666" i="65"/>
  <c r="FH646" i="65"/>
  <c r="FL604" i="65"/>
  <c r="FD604" i="65"/>
  <c r="FM604" i="65" s="1"/>
  <c r="FA604" i="65"/>
  <c r="FI604" i="65"/>
  <c r="FJ604" i="65"/>
  <c r="FB604" i="65"/>
  <c r="FX604" i="65" s="1"/>
  <c r="GN604" i="65" s="1"/>
  <c r="EY604" i="65"/>
  <c r="FD521" i="65"/>
  <c r="FM521" i="65" s="1"/>
  <c r="FA521" i="65"/>
  <c r="EY521" i="65"/>
  <c r="FL521" i="65"/>
  <c r="FB521" i="65"/>
  <c r="FX521" i="65" s="1"/>
  <c r="GN521" i="65" s="1"/>
  <c r="FJ521" i="65"/>
  <c r="FI521" i="65"/>
  <c r="FH829" i="65"/>
  <c r="FD778" i="65"/>
  <c r="FM778" i="65" s="1"/>
  <c r="FL778" i="65"/>
  <c r="FJ778" i="65"/>
  <c r="EY778" i="65"/>
  <c r="FA778" i="65"/>
  <c r="FB778" i="65"/>
  <c r="FI778" i="65"/>
  <c r="FD770" i="65"/>
  <c r="FM770" i="65" s="1"/>
  <c r="FL770" i="65"/>
  <c r="FJ770" i="65"/>
  <c r="EY770" i="65"/>
  <c r="FA770" i="65"/>
  <c r="FB770" i="65"/>
  <c r="FX770" i="65" s="1"/>
  <c r="GN770" i="65" s="1"/>
  <c r="FI770" i="65"/>
  <c r="FD754" i="65"/>
  <c r="FM754" i="65" s="1"/>
  <c r="FL754" i="65"/>
  <c r="FJ754" i="65"/>
  <c r="EY754" i="65"/>
  <c r="FA754" i="65"/>
  <c r="FB754" i="65"/>
  <c r="FX754" i="65" s="1"/>
  <c r="GN754" i="65" s="1"/>
  <c r="FI754" i="65"/>
  <c r="FD742" i="65"/>
  <c r="FM742" i="65" s="1"/>
  <c r="FJ742" i="65"/>
  <c r="FI742" i="65"/>
  <c r="EY742" i="65"/>
  <c r="FL742" i="65"/>
  <c r="FB742" i="65"/>
  <c r="FA742" i="65"/>
  <c r="FH725" i="65"/>
  <c r="FL714" i="65"/>
  <c r="FD714" i="65"/>
  <c r="FM714" i="65" s="1"/>
  <c r="FA714" i="65"/>
  <c r="EY714" i="65"/>
  <c r="FB714" i="65"/>
  <c r="FX714" i="65" s="1"/>
  <c r="GN714" i="65" s="1"/>
  <c r="FJ714" i="65"/>
  <c r="FI714" i="65"/>
  <c r="FH698" i="65"/>
  <c r="EZ698" i="65"/>
  <c r="FL686" i="65"/>
  <c r="EZ686" i="65" s="1"/>
  <c r="FD686" i="65"/>
  <c r="FM686" i="65" s="1"/>
  <c r="FA686" i="65"/>
  <c r="FB686" i="65"/>
  <c r="FX686" i="65" s="1"/>
  <c r="GN686" i="65" s="1"/>
  <c r="FJ686" i="65"/>
  <c r="FI686" i="65"/>
  <c r="EY686" i="65"/>
  <c r="FD670" i="65"/>
  <c r="FM670" i="65" s="1"/>
  <c r="FA670" i="65"/>
  <c r="FJ670" i="65"/>
  <c r="EY670" i="65"/>
  <c r="FI670" i="65"/>
  <c r="FB670" i="65"/>
  <c r="FL670" i="65"/>
  <c r="FH653" i="65"/>
  <c r="FH596" i="65"/>
  <c r="FH551" i="65"/>
  <c r="FL702" i="65"/>
  <c r="FD702" i="65"/>
  <c r="FM702" i="65" s="1"/>
  <c r="FA702" i="65"/>
  <c r="EY702" i="65"/>
  <c r="FB702" i="65"/>
  <c r="FJ702" i="65"/>
  <c r="FI702" i="65"/>
  <c r="FH688" i="65"/>
  <c r="FD674" i="65"/>
  <c r="FM674" i="65" s="1"/>
  <c r="FL674" i="65"/>
  <c r="FJ674" i="65"/>
  <c r="FA674" i="65"/>
  <c r="EY674" i="65"/>
  <c r="FI674" i="65"/>
  <c r="FB674" i="65"/>
  <c r="FD659" i="65"/>
  <c r="FM659" i="65" s="1"/>
  <c r="FL659" i="65"/>
  <c r="FB659" i="65"/>
  <c r="FJ659" i="65"/>
  <c r="EY659" i="65"/>
  <c r="FA659" i="65"/>
  <c r="FI659" i="65"/>
  <c r="FD647" i="65"/>
  <c r="FM647" i="65" s="1"/>
  <c r="EY647" i="65"/>
  <c r="FB647" i="65"/>
  <c r="FX647" i="65" s="1"/>
  <c r="GN647" i="65" s="1"/>
  <c r="FJ647" i="65"/>
  <c r="FI647" i="65"/>
  <c r="FA647" i="65"/>
  <c r="FL647" i="65"/>
  <c r="FD556" i="65"/>
  <c r="FM556" i="65" s="1"/>
  <c r="EY556" i="65"/>
  <c r="FI556" i="65"/>
  <c r="FB556" i="65"/>
  <c r="FA556" i="65"/>
  <c r="FJ556" i="65"/>
  <c r="FL556" i="65"/>
  <c r="FL764" i="65"/>
  <c r="EZ764" i="65" s="1"/>
  <c r="FD764" i="65"/>
  <c r="FM764" i="65" s="1"/>
  <c r="FJ764" i="65"/>
  <c r="EY764" i="65"/>
  <c r="FA764" i="65"/>
  <c r="FB764" i="65"/>
  <c r="FX764" i="65" s="1"/>
  <c r="GN764" i="65" s="1"/>
  <c r="FI764" i="65"/>
  <c r="FL756" i="65"/>
  <c r="FD756" i="65"/>
  <c r="FM756" i="65" s="1"/>
  <c r="FJ756" i="65"/>
  <c r="EY756" i="65"/>
  <c r="FA756" i="65"/>
  <c r="FB756" i="65"/>
  <c r="FI756" i="65"/>
  <c r="FH748" i="65"/>
  <c r="FH743" i="65"/>
  <c r="FH732" i="65"/>
  <c r="FH727" i="65"/>
  <c r="FH719" i="65"/>
  <c r="FL713" i="65"/>
  <c r="FD713" i="65"/>
  <c r="FM713" i="65" s="1"/>
  <c r="FA713" i="65"/>
  <c r="FB713" i="65"/>
  <c r="FI713" i="65"/>
  <c r="EY713" i="65"/>
  <c r="FJ713" i="65"/>
  <c r="FD704" i="65"/>
  <c r="FM704" i="65" s="1"/>
  <c r="EY704" i="65"/>
  <c r="FI704" i="65"/>
  <c r="FB704" i="65"/>
  <c r="FL704" i="65"/>
  <c r="FJ704" i="65"/>
  <c r="FA704" i="65"/>
  <c r="FL694" i="65"/>
  <c r="FD694" i="65"/>
  <c r="FM694" i="65" s="1"/>
  <c r="FA694" i="65"/>
  <c r="FJ694" i="65"/>
  <c r="FI694" i="65"/>
  <c r="EY694" i="65"/>
  <c r="FB694" i="65"/>
  <c r="FH683" i="65"/>
  <c r="FH677" i="65"/>
  <c r="FD667" i="65"/>
  <c r="FM667" i="65" s="1"/>
  <c r="EY667" i="65"/>
  <c r="FJ667" i="65"/>
  <c r="FI667" i="65"/>
  <c r="FA667" i="65"/>
  <c r="FL667" i="65"/>
  <c r="FB667" i="65"/>
  <c r="FH660" i="65"/>
  <c r="FD651" i="65"/>
  <c r="FM651" i="65" s="1"/>
  <c r="FI651" i="65"/>
  <c r="FA651" i="65"/>
  <c r="FL651" i="65"/>
  <c r="FB651" i="65"/>
  <c r="FX651" i="65" s="1"/>
  <c r="GN651" i="65" s="1"/>
  <c r="EY651" i="65"/>
  <c r="FJ651" i="65"/>
  <c r="FD643" i="65"/>
  <c r="FM643" i="65" s="1"/>
  <c r="FJ643" i="65"/>
  <c r="FI643" i="65"/>
  <c r="FA643" i="65"/>
  <c r="FL643" i="65"/>
  <c r="FB643" i="65"/>
  <c r="FX643" i="65" s="1"/>
  <c r="GN643" i="65" s="1"/>
  <c r="EY643" i="65"/>
  <c r="FD635" i="65"/>
  <c r="FM635" i="65" s="1"/>
  <c r="FL635" i="65"/>
  <c r="EY635" i="65"/>
  <c r="FJ635" i="65"/>
  <c r="FB635" i="65"/>
  <c r="FI635" i="65"/>
  <c r="FA635" i="65"/>
  <c r="FD622" i="65"/>
  <c r="FM622" i="65" s="1"/>
  <c r="FA622" i="65"/>
  <c r="FI622" i="65"/>
  <c r="FJ622" i="65"/>
  <c r="EY622" i="65"/>
  <c r="FB622" i="65"/>
  <c r="FL622" i="65"/>
  <c r="FH609" i="65"/>
  <c r="FD594" i="65"/>
  <c r="FM594" i="65" s="1"/>
  <c r="EY594" i="65"/>
  <c r="FI594" i="65"/>
  <c r="FA594" i="65"/>
  <c r="FB594" i="65"/>
  <c r="FJ594" i="65"/>
  <c r="FL594" i="65"/>
  <c r="FH574" i="65"/>
  <c r="FH558" i="65"/>
  <c r="FH536" i="65"/>
  <c r="FL486" i="65"/>
  <c r="FD486" i="65"/>
  <c r="FM486" i="65" s="1"/>
  <c r="EY486" i="65"/>
  <c r="FB486" i="65"/>
  <c r="FX486" i="65" s="1"/>
  <c r="GN486" i="65" s="1"/>
  <c r="FJ486" i="65"/>
  <c r="FA486" i="65"/>
  <c r="FI486" i="65"/>
  <c r="FH767" i="65"/>
  <c r="FH759" i="65"/>
  <c r="FH751" i="65"/>
  <c r="FH746" i="65"/>
  <c r="FD735" i="65"/>
  <c r="FM735" i="65" s="1"/>
  <c r="FB735" i="65"/>
  <c r="FI735" i="65"/>
  <c r="FJ735" i="65"/>
  <c r="EY735" i="65"/>
  <c r="FA735" i="65"/>
  <c r="FL735" i="65"/>
  <c r="FH730" i="65"/>
  <c r="FH713" i="65"/>
  <c r="FL705" i="65"/>
  <c r="FD705" i="65"/>
  <c r="FM705" i="65" s="1"/>
  <c r="FA705" i="65"/>
  <c r="FI705" i="65"/>
  <c r="FB705" i="65"/>
  <c r="FX705" i="65" s="1"/>
  <c r="GN705" i="65" s="1"/>
  <c r="EY705" i="65"/>
  <c r="FJ705" i="65"/>
  <c r="FH695" i="65"/>
  <c r="FD688" i="65"/>
  <c r="FM688" i="65" s="1"/>
  <c r="FJ688" i="65"/>
  <c r="FA688" i="65"/>
  <c r="EY688" i="65"/>
  <c r="FI688" i="65"/>
  <c r="FB688" i="65"/>
  <c r="FX688" i="65" s="1"/>
  <c r="GN688" i="65" s="1"/>
  <c r="FL688" i="65"/>
  <c r="FG688" i="65"/>
  <c r="FH679" i="65"/>
  <c r="FL668" i="65"/>
  <c r="FD668" i="65"/>
  <c r="FM668" i="65" s="1"/>
  <c r="EY668" i="65"/>
  <c r="FI668" i="65"/>
  <c r="FJ668" i="65"/>
  <c r="FB668" i="65"/>
  <c r="FA668" i="65"/>
  <c r="FD662" i="65"/>
  <c r="FM662" i="65" s="1"/>
  <c r="FA662" i="65"/>
  <c r="EY662" i="65"/>
  <c r="FI662" i="65"/>
  <c r="FB662" i="65"/>
  <c r="FL662" i="65"/>
  <c r="FJ662" i="65"/>
  <c r="FL652" i="65"/>
  <c r="FD652" i="65"/>
  <c r="FM652" i="65" s="1"/>
  <c r="FA652" i="65"/>
  <c r="FJ652" i="65"/>
  <c r="EY652" i="65"/>
  <c r="FI652" i="65"/>
  <c r="FB652" i="65"/>
  <c r="FX652" i="65" s="1"/>
  <c r="GN652" i="65" s="1"/>
  <c r="FD646" i="65"/>
  <c r="FM646" i="65" s="1"/>
  <c r="FA646" i="65"/>
  <c r="EY646" i="65"/>
  <c r="FI646" i="65"/>
  <c r="FB646" i="65"/>
  <c r="FX646" i="65" s="1"/>
  <c r="GN646" i="65" s="1"/>
  <c r="FL646" i="65"/>
  <c r="FJ646" i="65"/>
  <c r="FD642" i="65"/>
  <c r="FM642" i="65" s="1"/>
  <c r="FJ642" i="65"/>
  <c r="FL642" i="65"/>
  <c r="EY642" i="65"/>
  <c r="FB642" i="65"/>
  <c r="FX642" i="65" s="1"/>
  <c r="GN642" i="65" s="1"/>
  <c r="FA642" i="65"/>
  <c r="FI642" i="65"/>
  <c r="FI630" i="65"/>
  <c r="FD630" i="65"/>
  <c r="FM630" i="65" s="1"/>
  <c r="FA630" i="65"/>
  <c r="FB630" i="65"/>
  <c r="FL630" i="65"/>
  <c r="FJ630" i="65"/>
  <c r="EY630" i="65"/>
  <c r="FD619" i="65"/>
  <c r="FM619" i="65" s="1"/>
  <c r="FL619" i="65"/>
  <c r="EY619" i="65"/>
  <c r="FJ619" i="65"/>
  <c r="FB619" i="65"/>
  <c r="FI619" i="65"/>
  <c r="FA619" i="65"/>
  <c r="FD603" i="65"/>
  <c r="FM603" i="65" s="1"/>
  <c r="FA603" i="65"/>
  <c r="EY603" i="65"/>
  <c r="FI603" i="65"/>
  <c r="FB603" i="65"/>
  <c r="FX603" i="65" s="1"/>
  <c r="GN603" i="65" s="1"/>
  <c r="FL603" i="65"/>
  <c r="EZ603" i="65" s="1"/>
  <c r="FJ603" i="65"/>
  <c r="FH593" i="65"/>
  <c r="FD579" i="65"/>
  <c r="FM579" i="65" s="1"/>
  <c r="FA579" i="65"/>
  <c r="FJ579" i="65"/>
  <c r="EY579" i="65"/>
  <c r="FI579" i="65"/>
  <c r="FB579" i="65"/>
  <c r="FL579" i="65"/>
  <c r="FD563" i="65"/>
  <c r="FM563" i="65" s="1"/>
  <c r="FA563" i="65"/>
  <c r="FJ563" i="65"/>
  <c r="EY563" i="65"/>
  <c r="FI563" i="65"/>
  <c r="FB563" i="65"/>
  <c r="FX563" i="65" s="1"/>
  <c r="GN563" i="65" s="1"/>
  <c r="FL563" i="65"/>
  <c r="FL530" i="65"/>
  <c r="FD530" i="65"/>
  <c r="FM530" i="65" s="1"/>
  <c r="EY530" i="65"/>
  <c r="FI530" i="65"/>
  <c r="FA530" i="65"/>
  <c r="FB530" i="65"/>
  <c r="FX530" i="65" s="1"/>
  <c r="GN530" i="65" s="1"/>
  <c r="FJ530" i="65"/>
  <c r="FH506" i="65"/>
  <c r="FD474" i="65"/>
  <c r="FM474" i="65" s="1"/>
  <c r="EY474" i="65"/>
  <c r="FI474" i="65"/>
  <c r="FA474" i="65"/>
  <c r="FB474" i="65"/>
  <c r="FL474" i="65"/>
  <c r="FJ474" i="65"/>
  <c r="FD638" i="65"/>
  <c r="FM638" i="65" s="1"/>
  <c r="FB638" i="65"/>
  <c r="FX638" i="65" s="1"/>
  <c r="GN638" i="65" s="1"/>
  <c r="EY638" i="65"/>
  <c r="FI638" i="65"/>
  <c r="FA638" i="65"/>
  <c r="FJ638" i="65"/>
  <c r="FL638" i="65"/>
  <c r="FD625" i="65"/>
  <c r="FM625" i="65" s="1"/>
  <c r="FB625" i="65"/>
  <c r="FI625" i="65"/>
  <c r="FA625" i="65"/>
  <c r="FL625" i="65"/>
  <c r="EY625" i="65"/>
  <c r="FJ625" i="65"/>
  <c r="FH617" i="65"/>
  <c r="FH601" i="65"/>
  <c r="FD589" i="65"/>
  <c r="FM589" i="65" s="1"/>
  <c r="FA589" i="65"/>
  <c r="FI589" i="65"/>
  <c r="EY589" i="65"/>
  <c r="FL589" i="65"/>
  <c r="FB589" i="65"/>
  <c r="FJ589" i="65"/>
  <c r="FH578" i="65"/>
  <c r="FH562" i="65"/>
  <c r="FH532" i="65"/>
  <c r="FH504" i="65"/>
  <c r="FD467" i="65"/>
  <c r="FM467" i="65" s="1"/>
  <c r="FA467" i="65"/>
  <c r="FJ467" i="65"/>
  <c r="EY467" i="65"/>
  <c r="FI467" i="65"/>
  <c r="FB467" i="65"/>
  <c r="FL467" i="65"/>
  <c r="FH633" i="65"/>
  <c r="FH625" i="65"/>
  <c r="FH610" i="65"/>
  <c r="FH602" i="65"/>
  <c r="FH594" i="65"/>
  <c r="FH586" i="65"/>
  <c r="FL577" i="65"/>
  <c r="FD577" i="65"/>
  <c r="FM577" i="65" s="1"/>
  <c r="FB577" i="65"/>
  <c r="FJ577" i="65"/>
  <c r="FA577" i="65"/>
  <c r="FI577" i="65"/>
  <c r="EY577" i="65"/>
  <c r="FL569" i="65"/>
  <c r="FD569" i="65"/>
  <c r="FM569" i="65" s="1"/>
  <c r="FA569" i="65"/>
  <c r="FI569" i="65"/>
  <c r="EY569" i="65"/>
  <c r="FB569" i="65"/>
  <c r="FX569" i="65" s="1"/>
  <c r="GN569" i="65" s="1"/>
  <c r="FJ569" i="65"/>
  <c r="FL561" i="65"/>
  <c r="FD561" i="65"/>
  <c r="FM561" i="65" s="1"/>
  <c r="FB561" i="65"/>
  <c r="FX561" i="65" s="1"/>
  <c r="GN561" i="65" s="1"/>
  <c r="FJ561" i="65"/>
  <c r="FA561" i="65"/>
  <c r="EY561" i="65"/>
  <c r="FI561" i="65"/>
  <c r="FD549" i="65"/>
  <c r="FM549" i="65" s="1"/>
  <c r="FJ549" i="65"/>
  <c r="EY549" i="65"/>
  <c r="FI549" i="65"/>
  <c r="FL549" i="65"/>
  <c r="FB549" i="65"/>
  <c r="FA549" i="65"/>
  <c r="FD537" i="65"/>
  <c r="FM537" i="65" s="1"/>
  <c r="FA537" i="65"/>
  <c r="FJ537" i="65"/>
  <c r="EY537" i="65"/>
  <c r="FI537" i="65"/>
  <c r="FB537" i="65"/>
  <c r="FL537" i="65"/>
  <c r="FH523" i="65"/>
  <c r="FD515" i="65"/>
  <c r="FM515" i="65" s="1"/>
  <c r="FB515" i="65"/>
  <c r="FJ515" i="65"/>
  <c r="EY515" i="65"/>
  <c r="FL515" i="65"/>
  <c r="FA515" i="65"/>
  <c r="FI515" i="65"/>
  <c r="FD503" i="65"/>
  <c r="FM503" i="65" s="1"/>
  <c r="EY503" i="65"/>
  <c r="FB503" i="65"/>
  <c r="FJ503" i="65"/>
  <c r="FI503" i="65"/>
  <c r="FA503" i="65"/>
  <c r="FL503" i="65"/>
  <c r="FD489" i="65"/>
  <c r="FM489" i="65" s="1"/>
  <c r="FI489" i="65"/>
  <c r="EY489" i="65"/>
  <c r="FL489" i="65"/>
  <c r="FA489" i="65"/>
  <c r="FB489" i="65"/>
  <c r="FX489" i="65" s="1"/>
  <c r="GN489" i="65" s="1"/>
  <c r="FJ489" i="65"/>
  <c r="FH473" i="65"/>
  <c r="FD457" i="65"/>
  <c r="FM457" i="65" s="1"/>
  <c r="FA457" i="65"/>
  <c r="EY457" i="65"/>
  <c r="FI457" i="65"/>
  <c r="FB457" i="65"/>
  <c r="FJ457" i="65"/>
  <c r="FL457" i="65"/>
  <c r="FD443" i="65"/>
  <c r="FA443" i="65"/>
  <c r="EY443" i="65"/>
  <c r="FB443" i="65"/>
  <c r="FX443" i="65" s="1"/>
  <c r="GN443" i="65" s="1"/>
  <c r="FL443" i="65"/>
  <c r="FI443" i="65"/>
  <c r="FJ443" i="65"/>
  <c r="FI628" i="65"/>
  <c r="FD628" i="65"/>
  <c r="FM628" i="65" s="1"/>
  <c r="FA628" i="65"/>
  <c r="FJ628" i="65"/>
  <c r="EY628" i="65"/>
  <c r="FL628" i="65"/>
  <c r="FB628" i="65"/>
  <c r="FH615" i="65"/>
  <c r="FH607" i="65"/>
  <c r="FH597" i="65"/>
  <c r="FD590" i="65"/>
  <c r="FM590" i="65" s="1"/>
  <c r="EY590" i="65"/>
  <c r="FB590" i="65"/>
  <c r="FJ590" i="65"/>
  <c r="FI590" i="65"/>
  <c r="FL590" i="65"/>
  <c r="FA590" i="65"/>
  <c r="FH581" i="65"/>
  <c r="FH573" i="65"/>
  <c r="FH565" i="65"/>
  <c r="FH555" i="65"/>
  <c r="FH540" i="65"/>
  <c r="FL528" i="65"/>
  <c r="FD528" i="65"/>
  <c r="FM528" i="65" s="1"/>
  <c r="FB528" i="65"/>
  <c r="FX528" i="65" s="1"/>
  <c r="GN528" i="65" s="1"/>
  <c r="EY528" i="65"/>
  <c r="FA528" i="65"/>
  <c r="FI528" i="65"/>
  <c r="FJ528" i="65"/>
  <c r="FD517" i="65"/>
  <c r="FM517" i="65" s="1"/>
  <c r="FI517" i="65"/>
  <c r="FL517" i="65"/>
  <c r="FA517" i="65"/>
  <c r="FJ517" i="65"/>
  <c r="FG517" i="65"/>
  <c r="FB517" i="65"/>
  <c r="FX517" i="65" s="1"/>
  <c r="GN517" i="65" s="1"/>
  <c r="EY517" i="65"/>
  <c r="FD504" i="65"/>
  <c r="FM504" i="65" s="1"/>
  <c r="FL504" i="65"/>
  <c r="FJ504" i="65"/>
  <c r="EY504" i="65"/>
  <c r="FI504" i="65"/>
  <c r="FB504" i="65"/>
  <c r="FX504" i="65" s="1"/>
  <c r="GN504" i="65" s="1"/>
  <c r="FA504" i="65"/>
  <c r="FH488" i="65"/>
  <c r="FD475" i="65"/>
  <c r="FM475" i="65" s="1"/>
  <c r="FA475" i="65"/>
  <c r="EY475" i="65"/>
  <c r="FJ475" i="65"/>
  <c r="FB475" i="65"/>
  <c r="FL475" i="65"/>
  <c r="FI475" i="65"/>
  <c r="FH459" i="65"/>
  <c r="FD491" i="65"/>
  <c r="FM491" i="65" s="1"/>
  <c r="FJ491" i="65"/>
  <c r="FI491" i="65"/>
  <c r="EY491" i="65"/>
  <c r="FL491" i="65"/>
  <c r="FA491" i="65"/>
  <c r="FB491" i="65"/>
  <c r="FX491" i="65" s="1"/>
  <c r="GN491" i="65" s="1"/>
  <c r="FH471" i="65"/>
  <c r="FH452" i="65"/>
  <c r="FH548" i="65"/>
  <c r="FH541" i="65"/>
  <c r="FH530" i="65"/>
  <c r="FH518" i="65"/>
  <c r="FH513" i="65"/>
  <c r="FH503" i="65"/>
  <c r="FH490" i="65"/>
  <c r="FH482" i="65"/>
  <c r="FH476" i="65"/>
  <c r="FH467" i="65"/>
  <c r="FH460" i="65"/>
  <c r="FH448" i="65"/>
  <c r="FH553" i="65"/>
  <c r="FH546" i="65"/>
  <c r="FL536" i="65"/>
  <c r="FD536" i="65"/>
  <c r="FM536" i="65" s="1"/>
  <c r="FI536" i="65"/>
  <c r="FA536" i="65"/>
  <c r="EY536" i="65"/>
  <c r="FJ536" i="65"/>
  <c r="FB536" i="65"/>
  <c r="FL532" i="65"/>
  <c r="FD532" i="65"/>
  <c r="FM532" i="65" s="1"/>
  <c r="FB532" i="65"/>
  <c r="FX532" i="65" s="1"/>
  <c r="GN532" i="65" s="1"/>
  <c r="FA532" i="65"/>
  <c r="FI532" i="65"/>
  <c r="EY532" i="65"/>
  <c r="FJ532" i="65"/>
  <c r="FH516" i="65"/>
  <c r="FD508" i="65"/>
  <c r="FM508" i="65" s="1"/>
  <c r="FL508" i="65"/>
  <c r="FJ508" i="65"/>
  <c r="FA508" i="65"/>
  <c r="FI508" i="65"/>
  <c r="EY508" i="65"/>
  <c r="FB508" i="65"/>
  <c r="FH496" i="65"/>
  <c r="FD488" i="65"/>
  <c r="FM488" i="65" s="1"/>
  <c r="FA488" i="65"/>
  <c r="FJ488" i="65"/>
  <c r="EY488" i="65"/>
  <c r="FI488" i="65"/>
  <c r="FB488" i="65"/>
  <c r="FX488" i="65" s="1"/>
  <c r="GN488" i="65" s="1"/>
  <c r="FL488" i="65"/>
  <c r="FD480" i="65"/>
  <c r="FM480" i="65" s="1"/>
  <c r="FB480" i="65"/>
  <c r="FL480" i="65"/>
  <c r="FJ480" i="65"/>
  <c r="FA480" i="65"/>
  <c r="EY480" i="65"/>
  <c r="FI480" i="65"/>
  <c r="FL466" i="65"/>
  <c r="FD466" i="65"/>
  <c r="FM466" i="65" s="1"/>
  <c r="FA466" i="65"/>
  <c r="FB466" i="65"/>
  <c r="FI466" i="65"/>
  <c r="EY466" i="65"/>
  <c r="FJ466" i="65"/>
  <c r="FH461" i="65"/>
  <c r="FD455" i="65"/>
  <c r="FM455" i="65" s="1"/>
  <c r="EY455" i="65"/>
  <c r="FL455" i="65"/>
  <c r="FI455" i="65"/>
  <c r="FB455" i="65"/>
  <c r="FX455" i="65" s="1"/>
  <c r="GN455" i="65" s="1"/>
  <c r="FA455" i="65"/>
  <c r="FJ455" i="65"/>
  <c r="FD449" i="65"/>
  <c r="FM449" i="65" s="1"/>
  <c r="EY449" i="65"/>
  <c r="FL449" i="65"/>
  <c r="FA449" i="65"/>
  <c r="FJ449" i="65"/>
  <c r="FI449" i="65"/>
  <c r="FB449" i="65"/>
  <c r="FX449" i="65" s="1"/>
  <c r="GN449" i="65" s="1"/>
  <c r="EY441" i="65"/>
  <c r="FD441" i="65"/>
  <c r="FM441" i="65" s="1"/>
  <c r="FB441" i="65"/>
  <c r="FX441" i="65" s="1"/>
  <c r="GN441" i="65" s="1"/>
  <c r="FJ441" i="65"/>
  <c r="FI441" i="65"/>
  <c r="FA441" i="65"/>
  <c r="FL441" i="65"/>
  <c r="FD448" i="65"/>
  <c r="FM448" i="65" s="1"/>
  <c r="FA448" i="65"/>
  <c r="FI448" i="65"/>
  <c r="EY448" i="65"/>
  <c r="FL448" i="65"/>
  <c r="FB448" i="65"/>
  <c r="FX448" i="65" s="1"/>
  <c r="GN448" i="65" s="1"/>
  <c r="FJ448" i="65"/>
  <c r="FH440" i="65"/>
  <c r="FH424" i="65"/>
  <c r="FH408" i="65"/>
  <c r="FH392" i="65"/>
  <c r="FH376" i="65"/>
  <c r="FH360" i="65"/>
  <c r="FH344" i="65"/>
  <c r="FH328" i="65"/>
  <c r="FH312" i="65"/>
  <c r="FH296" i="65"/>
  <c r="FH280" i="65"/>
  <c r="FH264" i="65"/>
  <c r="FH248" i="65"/>
  <c r="FH232" i="65"/>
  <c r="FH216" i="65"/>
  <c r="FH200" i="65"/>
  <c r="FH184" i="65"/>
  <c r="FH168" i="65"/>
  <c r="FH152" i="65"/>
  <c r="FH136" i="65"/>
  <c r="FH120" i="65"/>
  <c r="FH104" i="65"/>
  <c r="FH88" i="65"/>
  <c r="FH72" i="65"/>
  <c r="FH39" i="65"/>
  <c r="FH439" i="65"/>
  <c r="FH423" i="65"/>
  <c r="FH407" i="65"/>
  <c r="FH391" i="65"/>
  <c r="FH375" i="65"/>
  <c r="FH359" i="65"/>
  <c r="FH343" i="65"/>
  <c r="FH327" i="65"/>
  <c r="FH311" i="65"/>
  <c r="FH295" i="65"/>
  <c r="FH279" i="65"/>
  <c r="FH263" i="65"/>
  <c r="FH247" i="65"/>
  <c r="FH231" i="65"/>
  <c r="FH215" i="65"/>
  <c r="FH199" i="65"/>
  <c r="FH183" i="65"/>
  <c r="FH167" i="65"/>
  <c r="FH151" i="65"/>
  <c r="FH135" i="65"/>
  <c r="FH119" i="65"/>
  <c r="FH103" i="65"/>
  <c r="FH87" i="65"/>
  <c r="FH71" i="65"/>
  <c r="FH35" i="65"/>
  <c r="FH434" i="65"/>
  <c r="FH418" i="65"/>
  <c r="FH402" i="65"/>
  <c r="FH386" i="65"/>
  <c r="FH370" i="65"/>
  <c r="FH354" i="65"/>
  <c r="FH338" i="65"/>
  <c r="FH322" i="65"/>
  <c r="FH306" i="65"/>
  <c r="FH290" i="65"/>
  <c r="FH274" i="65"/>
  <c r="FH258" i="65"/>
  <c r="FH242" i="65"/>
  <c r="FH226" i="65"/>
  <c r="FH210" i="65"/>
  <c r="FH194" i="65"/>
  <c r="FH178" i="65"/>
  <c r="FH162" i="65"/>
  <c r="FH146" i="65"/>
  <c r="FH130" i="65"/>
  <c r="FH114" i="65"/>
  <c r="FH98" i="65"/>
  <c r="FH82" i="65"/>
  <c r="FH66" i="65"/>
  <c r="FH15" i="65"/>
  <c r="FH429" i="65"/>
  <c r="FH413" i="65"/>
  <c r="FH397" i="65"/>
  <c r="FH381" i="65"/>
  <c r="FH365" i="65"/>
  <c r="FH349" i="65"/>
  <c r="FH333" i="65"/>
  <c r="FH317" i="65"/>
  <c r="FH301" i="65"/>
  <c r="FH285" i="65"/>
  <c r="FH269" i="65"/>
  <c r="FH253" i="65"/>
  <c r="FH237" i="65"/>
  <c r="FH221" i="65"/>
  <c r="FH205" i="65"/>
  <c r="FH189" i="65"/>
  <c r="FH173" i="65"/>
  <c r="FH157" i="65"/>
  <c r="FH141" i="65"/>
  <c r="FH125" i="65"/>
  <c r="FH109" i="65"/>
  <c r="FH93" i="65"/>
  <c r="FH77" i="65"/>
  <c r="FH55" i="65"/>
  <c r="FH65" i="65"/>
  <c r="FH49" i="65"/>
  <c r="FH33" i="65"/>
  <c r="FH17" i="65"/>
  <c r="FH60" i="65"/>
  <c r="FH44" i="65"/>
  <c r="FH28" i="65"/>
  <c r="FH12" i="65"/>
  <c r="FH42" i="65"/>
  <c r="FH26" i="65"/>
  <c r="FH10" i="65"/>
  <c r="FH868" i="65"/>
  <c r="FH861" i="65"/>
  <c r="FH853" i="65"/>
  <c r="FH845" i="65"/>
  <c r="FH834" i="65"/>
  <c r="FA810" i="65"/>
  <c r="FD810" i="65"/>
  <c r="FM810" i="65" s="1"/>
  <c r="FL810" i="65"/>
  <c r="FI810" i="65"/>
  <c r="FJ810" i="65"/>
  <c r="EY810" i="65"/>
  <c r="FB810" i="65"/>
  <c r="FX810" i="65" s="1"/>
  <c r="GN810" i="65" s="1"/>
  <c r="FA794" i="65"/>
  <c r="FD794" i="65"/>
  <c r="FM794" i="65" s="1"/>
  <c r="EY794" i="65"/>
  <c r="FI794" i="65"/>
  <c r="FL794" i="65"/>
  <c r="FB794" i="65"/>
  <c r="FJ794" i="65"/>
  <c r="FH766" i="65"/>
  <c r="FJ874" i="65"/>
  <c r="FD874" i="65"/>
  <c r="FM874" i="65" s="1"/>
  <c r="FA874" i="65"/>
  <c r="EY874" i="65"/>
  <c r="FI874" i="65"/>
  <c r="FL874" i="65"/>
  <c r="FB874" i="65"/>
  <c r="FL867" i="65"/>
  <c r="FD867" i="65"/>
  <c r="FM867" i="65" s="1"/>
  <c r="EY867" i="65"/>
  <c r="FA867" i="65"/>
  <c r="FI867" i="65"/>
  <c r="FB867" i="65"/>
  <c r="FJ867" i="65"/>
  <c r="FD859" i="65"/>
  <c r="FM859" i="65" s="1"/>
  <c r="FA859" i="65"/>
  <c r="FJ859" i="65"/>
  <c r="FG859" i="65"/>
  <c r="FI859" i="65"/>
  <c r="EY859" i="65"/>
  <c r="FB859" i="65"/>
  <c r="FL859" i="65"/>
  <c r="FD851" i="65"/>
  <c r="FM851" i="65" s="1"/>
  <c r="FI851" i="65"/>
  <c r="FJ851" i="65"/>
  <c r="FG851" i="65"/>
  <c r="EY851" i="65"/>
  <c r="FB851" i="65"/>
  <c r="FL851" i="65"/>
  <c r="FA851" i="65"/>
  <c r="FD843" i="65"/>
  <c r="FM843" i="65" s="1"/>
  <c r="EY843" i="65"/>
  <c r="FL843" i="65"/>
  <c r="FA843" i="65"/>
  <c r="FI843" i="65"/>
  <c r="FJ843" i="65"/>
  <c r="FB843" i="65"/>
  <c r="FX843" i="65" s="1"/>
  <c r="GN843" i="65" s="1"/>
  <c r="FD827" i="65"/>
  <c r="FM827" i="65" s="1"/>
  <c r="FL827" i="65"/>
  <c r="FB827" i="65"/>
  <c r="FI827" i="65"/>
  <c r="FJ827" i="65"/>
  <c r="EY827" i="65"/>
  <c r="FA827" i="65"/>
  <c r="FI741" i="65"/>
  <c r="FD741" i="65"/>
  <c r="FM741" i="65" s="1"/>
  <c r="FL741" i="65"/>
  <c r="FJ741" i="65"/>
  <c r="FA741" i="65"/>
  <c r="EY741" i="65"/>
  <c r="FB741" i="65"/>
  <c r="FX741" i="65" s="1"/>
  <c r="GN741" i="65" s="1"/>
  <c r="FH871" i="65"/>
  <c r="FH863" i="65"/>
  <c r="FH855" i="65"/>
  <c r="FH847" i="65"/>
  <c r="FD831" i="65"/>
  <c r="FM831" i="65" s="1"/>
  <c r="FI831" i="65"/>
  <c r="FL831" i="65"/>
  <c r="FA831" i="65"/>
  <c r="FJ831" i="65"/>
  <c r="EY831" i="65"/>
  <c r="FB831" i="65"/>
  <c r="FA816" i="65"/>
  <c r="FD816" i="65"/>
  <c r="FM816" i="65" s="1"/>
  <c r="FL816" i="65"/>
  <c r="FB816" i="65"/>
  <c r="FJ816" i="65"/>
  <c r="EY816" i="65"/>
  <c r="FI816" i="65"/>
  <c r="FD800" i="65"/>
  <c r="FJ800" i="65"/>
  <c r="FA800" i="65"/>
  <c r="EY800" i="65"/>
  <c r="FL800" i="65"/>
  <c r="FB800" i="65"/>
  <c r="FX800" i="65" s="1"/>
  <c r="GN800" i="65" s="1"/>
  <c r="FI800" i="65"/>
  <c r="FA784" i="65"/>
  <c r="FD784" i="65"/>
  <c r="FM784" i="65" s="1"/>
  <c r="FJ784" i="65"/>
  <c r="EY784" i="65"/>
  <c r="FL784" i="65"/>
  <c r="FB784" i="65"/>
  <c r="FI784" i="65"/>
  <c r="FD755" i="65"/>
  <c r="FM755" i="65" s="1"/>
  <c r="FB755" i="65"/>
  <c r="FI755" i="65"/>
  <c r="FJ755" i="65"/>
  <c r="EY755" i="65"/>
  <c r="FL755" i="65"/>
  <c r="FA755" i="65"/>
  <c r="FD870" i="65"/>
  <c r="FM870" i="65" s="1"/>
  <c r="FJ870" i="65"/>
  <c r="FA870" i="65"/>
  <c r="EY870" i="65"/>
  <c r="FI870" i="65"/>
  <c r="FB870" i="65"/>
  <c r="FL870" i="65"/>
  <c r="FD861" i="65"/>
  <c r="FM861" i="65" s="1"/>
  <c r="FI861" i="65"/>
  <c r="FJ861" i="65"/>
  <c r="FB861" i="65"/>
  <c r="EY861" i="65"/>
  <c r="FL861" i="65"/>
  <c r="FA861" i="65"/>
  <c r="FD853" i="65"/>
  <c r="FM853" i="65" s="1"/>
  <c r="FI853" i="65"/>
  <c r="FJ853" i="65"/>
  <c r="FB853" i="65"/>
  <c r="EY853" i="65"/>
  <c r="FL853" i="65"/>
  <c r="FA853" i="65"/>
  <c r="FD845" i="65"/>
  <c r="FM845" i="65" s="1"/>
  <c r="FI845" i="65"/>
  <c r="EY845" i="65"/>
  <c r="FJ845" i="65"/>
  <c r="FB845" i="65"/>
  <c r="FX845" i="65" s="1"/>
  <c r="GN845" i="65" s="1"/>
  <c r="FL845" i="65"/>
  <c r="FA845" i="65"/>
  <c r="FD838" i="65"/>
  <c r="FM838" i="65" s="1"/>
  <c r="EY838" i="65"/>
  <c r="FI838" i="65"/>
  <c r="FB838" i="65"/>
  <c r="FX838" i="65" s="1"/>
  <c r="GN838" i="65" s="1"/>
  <c r="FL838" i="65"/>
  <c r="FJ838" i="65"/>
  <c r="FA838" i="65"/>
  <c r="FL760" i="65"/>
  <c r="FD760" i="65"/>
  <c r="FM760" i="65" s="1"/>
  <c r="FJ760" i="65"/>
  <c r="EY760" i="65"/>
  <c r="FA760" i="65"/>
  <c r="FB760" i="65"/>
  <c r="FX760" i="65" s="1"/>
  <c r="GN760" i="65" s="1"/>
  <c r="FI760" i="65"/>
  <c r="FH839" i="65"/>
  <c r="FH831" i="65"/>
  <c r="FH824" i="65"/>
  <c r="FH820" i="65"/>
  <c r="FH816" i="65"/>
  <c r="FH812" i="65"/>
  <c r="FH808" i="65"/>
  <c r="FH804" i="65"/>
  <c r="FH800" i="65"/>
  <c r="FH796" i="65"/>
  <c r="FH792" i="65"/>
  <c r="FH788" i="65"/>
  <c r="FH784" i="65"/>
  <c r="FH775" i="65"/>
  <c r="EZ775" i="65"/>
  <c r="FH769" i="65"/>
  <c r="FH753" i="65"/>
  <c r="FH739" i="65"/>
  <c r="FL723" i="65"/>
  <c r="FD723" i="65"/>
  <c r="FM723" i="65" s="1"/>
  <c r="EY723" i="65"/>
  <c r="FI723" i="65"/>
  <c r="FA723" i="65"/>
  <c r="FB723" i="65"/>
  <c r="FX723" i="65" s="1"/>
  <c r="GN723" i="65" s="1"/>
  <c r="FJ723" i="65"/>
  <c r="FD712" i="65"/>
  <c r="FM712" i="65" s="1"/>
  <c r="EY712" i="65"/>
  <c r="FI712" i="65"/>
  <c r="FB712" i="65"/>
  <c r="FL712" i="65"/>
  <c r="FJ712" i="65"/>
  <c r="FA712" i="65"/>
  <c r="FH696" i="65"/>
  <c r="FH680" i="65"/>
  <c r="FH669" i="65"/>
  <c r="FD654" i="65"/>
  <c r="FM654" i="65" s="1"/>
  <c r="EY654" i="65"/>
  <c r="FI654" i="65"/>
  <c r="FB654" i="65"/>
  <c r="FL654" i="65"/>
  <c r="FA654" i="65"/>
  <c r="FJ654" i="65"/>
  <c r="FH606" i="65"/>
  <c r="FH524" i="65"/>
  <c r="FH832" i="65"/>
  <c r="FH823" i="65"/>
  <c r="FH815" i="65"/>
  <c r="FH807" i="65"/>
  <c r="FH799" i="65"/>
  <c r="FH791" i="65"/>
  <c r="FD783" i="65"/>
  <c r="FM783" i="65" s="1"/>
  <c r="FI783" i="65"/>
  <c r="FA783" i="65"/>
  <c r="EY783" i="65"/>
  <c r="FB783" i="65"/>
  <c r="FJ783" i="65"/>
  <c r="FL783" i="65"/>
  <c r="FL776" i="65"/>
  <c r="FD776" i="65"/>
  <c r="FM776" i="65" s="1"/>
  <c r="FJ776" i="65"/>
  <c r="FA776" i="65"/>
  <c r="FI776" i="65"/>
  <c r="EY776" i="65"/>
  <c r="FB776" i="65"/>
  <c r="FD763" i="65"/>
  <c r="FM763" i="65" s="1"/>
  <c r="FB763" i="65"/>
  <c r="FX763" i="65" s="1"/>
  <c r="GN763" i="65" s="1"/>
  <c r="FI763" i="65"/>
  <c r="FJ763" i="65"/>
  <c r="EY763" i="65"/>
  <c r="FL763" i="65"/>
  <c r="FA763" i="65"/>
  <c r="FD744" i="65"/>
  <c r="FM744" i="65" s="1"/>
  <c r="FJ744" i="65"/>
  <c r="FB744" i="65"/>
  <c r="FA744" i="65"/>
  <c r="FI744" i="65"/>
  <c r="EY744" i="65"/>
  <c r="FL744" i="65"/>
  <c r="FD725" i="65"/>
  <c r="FM725" i="65" s="1"/>
  <c r="EY725" i="65"/>
  <c r="FA725" i="65"/>
  <c r="FL725" i="65"/>
  <c r="FI725" i="65"/>
  <c r="FJ725" i="65"/>
  <c r="FB725" i="65"/>
  <c r="FX725" i="65" s="1"/>
  <c r="GN725" i="65" s="1"/>
  <c r="FL706" i="65"/>
  <c r="FD706" i="65"/>
  <c r="FM706" i="65" s="1"/>
  <c r="FA706" i="65"/>
  <c r="FJ706" i="65"/>
  <c r="EY706" i="65"/>
  <c r="FI706" i="65"/>
  <c r="FB706" i="65"/>
  <c r="FD692" i="65"/>
  <c r="FM692" i="65" s="1"/>
  <c r="FA692" i="65"/>
  <c r="EY692" i="65"/>
  <c r="FI692" i="65"/>
  <c r="FB692" i="65"/>
  <c r="FL692" i="65"/>
  <c r="FJ692" i="65"/>
  <c r="FL675" i="65"/>
  <c r="FD675" i="65"/>
  <c r="FM675" i="65" s="1"/>
  <c r="EY675" i="65"/>
  <c r="FB675" i="65"/>
  <c r="FI675" i="65"/>
  <c r="FA675" i="65"/>
  <c r="FJ675" i="65"/>
  <c r="FD663" i="65"/>
  <c r="FM663" i="65" s="1"/>
  <c r="EY663" i="65"/>
  <c r="FB663" i="65"/>
  <c r="FJ663" i="65"/>
  <c r="FI663" i="65"/>
  <c r="FA663" i="65"/>
  <c r="FL663" i="65"/>
  <c r="FH644" i="65"/>
  <c r="FD583" i="65"/>
  <c r="FM583" i="65" s="1"/>
  <c r="FB583" i="65"/>
  <c r="FJ583" i="65"/>
  <c r="FA583" i="65"/>
  <c r="FI583" i="65"/>
  <c r="EY583" i="65"/>
  <c r="FL583" i="65"/>
  <c r="FD834" i="65"/>
  <c r="FM834" i="65" s="1"/>
  <c r="FI834" i="65"/>
  <c r="FA834" i="65"/>
  <c r="FL834" i="65"/>
  <c r="EY834" i="65"/>
  <c r="FJ834" i="65"/>
  <c r="FB834" i="65"/>
  <c r="FX834" i="65" s="1"/>
  <c r="GN834" i="65" s="1"/>
  <c r="FD826" i="65"/>
  <c r="FM826" i="65" s="1"/>
  <c r="FJ826" i="65"/>
  <c r="FL826" i="65"/>
  <c r="EY826" i="65"/>
  <c r="FA826" i="65"/>
  <c r="FB826" i="65"/>
  <c r="FI826" i="65"/>
  <c r="FH777" i="65"/>
  <c r="FH768" i="65"/>
  <c r="FH752" i="65"/>
  <c r="FH738" i="65"/>
  <c r="FL722" i="65"/>
  <c r="FD722" i="65"/>
  <c r="FM722" i="65" s="1"/>
  <c r="FA722" i="65"/>
  <c r="EY722" i="65"/>
  <c r="FJ722" i="65"/>
  <c r="FB722" i="65"/>
  <c r="FX722" i="65" s="1"/>
  <c r="GN722" i="65" s="1"/>
  <c r="FI722" i="65"/>
  <c r="FD708" i="65"/>
  <c r="FM708" i="65" s="1"/>
  <c r="EY708" i="65"/>
  <c r="FL708" i="65"/>
  <c r="FB708" i="65"/>
  <c r="FJ708" i="65"/>
  <c r="FA708" i="65"/>
  <c r="FI708" i="65"/>
  <c r="FL697" i="65"/>
  <c r="FD697" i="65"/>
  <c r="FM697" i="65" s="1"/>
  <c r="EY697" i="65"/>
  <c r="FI697" i="65"/>
  <c r="FA697" i="65"/>
  <c r="FB697" i="65"/>
  <c r="FJ697" i="65"/>
  <c r="FL683" i="65"/>
  <c r="FD683" i="65"/>
  <c r="FM683" i="65" s="1"/>
  <c r="EY683" i="65"/>
  <c r="FA683" i="65"/>
  <c r="FI683" i="65"/>
  <c r="FB683" i="65"/>
  <c r="FX683" i="65" s="1"/>
  <c r="GN683" i="65" s="1"/>
  <c r="FJ683" i="65"/>
  <c r="FH663" i="65"/>
  <c r="FD649" i="65"/>
  <c r="FM649" i="65" s="1"/>
  <c r="FB649" i="65"/>
  <c r="FX649" i="65" s="1"/>
  <c r="GN649" i="65" s="1"/>
  <c r="EY649" i="65"/>
  <c r="FL649" i="65"/>
  <c r="FG649" i="65"/>
  <c r="FJ649" i="65"/>
  <c r="FI649" i="65"/>
  <c r="FA649" i="65"/>
  <c r="FD582" i="65"/>
  <c r="EY582" i="65"/>
  <c r="FA582" i="65"/>
  <c r="FB582" i="65"/>
  <c r="FI582" i="65"/>
  <c r="FL582" i="65"/>
  <c r="FJ582" i="65"/>
  <c r="FH710" i="65"/>
  <c r="FL699" i="65"/>
  <c r="FD699" i="65"/>
  <c r="FM699" i="65" s="1"/>
  <c r="EY699" i="65"/>
  <c r="FA699" i="65"/>
  <c r="FB699" i="65"/>
  <c r="FI699" i="65"/>
  <c r="FJ699" i="65"/>
  <c r="FL685" i="65"/>
  <c r="FD685" i="65"/>
  <c r="FM685" i="65" s="1"/>
  <c r="FB685" i="65"/>
  <c r="FX685" i="65" s="1"/>
  <c r="GN685" i="65" s="1"/>
  <c r="EY685" i="65"/>
  <c r="FI685" i="65"/>
  <c r="FA685" i="65"/>
  <c r="FJ685" i="65"/>
  <c r="FH672" i="65"/>
  <c r="FD656" i="65"/>
  <c r="FM656" i="65" s="1"/>
  <c r="FL656" i="65"/>
  <c r="FJ656" i="65"/>
  <c r="FA656" i="65"/>
  <c r="FI656" i="65"/>
  <c r="EY656" i="65"/>
  <c r="FB656" i="65"/>
  <c r="FD631" i="65"/>
  <c r="FM631" i="65" s="1"/>
  <c r="FL631" i="65"/>
  <c r="EY631" i="65"/>
  <c r="FJ631" i="65"/>
  <c r="FB631" i="65"/>
  <c r="FI631" i="65"/>
  <c r="FA631" i="65"/>
  <c r="FH770" i="65"/>
  <c r="FH762" i="65"/>
  <c r="FH754" i="65"/>
  <c r="EZ754" i="65"/>
  <c r="FD747" i="65"/>
  <c r="FM747" i="65" s="1"/>
  <c r="FI747" i="65"/>
  <c r="FB747" i="65"/>
  <c r="EY747" i="65"/>
  <c r="FA747" i="65"/>
  <c r="FL747" i="65"/>
  <c r="FJ747" i="65"/>
  <c r="FH742" i="65"/>
  <c r="FD731" i="65"/>
  <c r="FM731" i="65" s="1"/>
  <c r="FI731" i="65"/>
  <c r="FB731" i="65"/>
  <c r="FJ731" i="65"/>
  <c r="EY731" i="65"/>
  <c r="FA731" i="65"/>
  <c r="FL731" i="65"/>
  <c r="FH726" i="65"/>
  <c r="FH718" i="65"/>
  <c r="FH712" i="65"/>
  <c r="FD700" i="65"/>
  <c r="FM700" i="65" s="1"/>
  <c r="EY700" i="65"/>
  <c r="FL700" i="65"/>
  <c r="FB700" i="65"/>
  <c r="FJ700" i="65"/>
  <c r="FA700" i="65"/>
  <c r="FI700" i="65"/>
  <c r="FH693" i="65"/>
  <c r="FD682" i="65"/>
  <c r="FM682" i="65" s="1"/>
  <c r="FJ682" i="65"/>
  <c r="FL682" i="65"/>
  <c r="EY682" i="65"/>
  <c r="FB682" i="65"/>
  <c r="FX682" i="65" s="1"/>
  <c r="GN682" i="65" s="1"/>
  <c r="FI682" i="65"/>
  <c r="FA682" i="65"/>
  <c r="FH676" i="65"/>
  <c r="FH665" i="65"/>
  <c r="FH658" i="65"/>
  <c r="FH649" i="65"/>
  <c r="FH641" i="65"/>
  <c r="FD633" i="65"/>
  <c r="FM633" i="65" s="1"/>
  <c r="FA633" i="65"/>
  <c r="FL633" i="65"/>
  <c r="EY633" i="65"/>
  <c r="FJ633" i="65"/>
  <c r="FB633" i="65"/>
  <c r="FI633" i="65"/>
  <c r="FD620" i="65"/>
  <c r="FM620" i="65" s="1"/>
  <c r="FA620" i="65"/>
  <c r="FI620" i="65"/>
  <c r="FL620" i="65"/>
  <c r="FB620" i="65"/>
  <c r="FJ620" i="65"/>
  <c r="EY620" i="65"/>
  <c r="FH604" i="65"/>
  <c r="FH583" i="65"/>
  <c r="FH567" i="65"/>
  <c r="FH557" i="65"/>
  <c r="FL526" i="65"/>
  <c r="FD526" i="65"/>
  <c r="FM526" i="65" s="1"/>
  <c r="FI526" i="65"/>
  <c r="EY526" i="65"/>
  <c r="FB526" i="65"/>
  <c r="FX526" i="65" s="1"/>
  <c r="GN526" i="65" s="1"/>
  <c r="FA526" i="65"/>
  <c r="FJ526" i="65"/>
  <c r="FH475" i="65"/>
  <c r="FD766" i="65"/>
  <c r="FM766" i="65" s="1"/>
  <c r="FL766" i="65"/>
  <c r="FJ766" i="65"/>
  <c r="EY766" i="65"/>
  <c r="FA766" i="65"/>
  <c r="FB766" i="65"/>
  <c r="FX766" i="65" s="1"/>
  <c r="GN766" i="65" s="1"/>
  <c r="FI766" i="65"/>
  <c r="FD758" i="65"/>
  <c r="FM758" i="65" s="1"/>
  <c r="FL758" i="65"/>
  <c r="FJ758" i="65"/>
  <c r="EY758" i="65"/>
  <c r="FA758" i="65"/>
  <c r="FB758" i="65"/>
  <c r="FX758" i="65" s="1"/>
  <c r="GN758" i="65" s="1"/>
  <c r="FI758" i="65"/>
  <c r="FD750" i="65"/>
  <c r="FM750" i="65" s="1"/>
  <c r="FL750" i="65"/>
  <c r="FJ750" i="65"/>
  <c r="EY750" i="65"/>
  <c r="FA750" i="65"/>
  <c r="FB750" i="65"/>
  <c r="FI750" i="65"/>
  <c r="FD740" i="65"/>
  <c r="FM740" i="65" s="1"/>
  <c r="FJ740" i="65"/>
  <c r="EY740" i="65"/>
  <c r="FL740" i="65"/>
  <c r="FB740" i="65"/>
  <c r="FA740" i="65"/>
  <c r="FI740" i="65"/>
  <c r="FD734" i="65"/>
  <c r="FM734" i="65" s="1"/>
  <c r="FJ734" i="65"/>
  <c r="EY734" i="65"/>
  <c r="FL734" i="65"/>
  <c r="FB734" i="65"/>
  <c r="FA734" i="65"/>
  <c r="FI734" i="65"/>
  <c r="FD724" i="65"/>
  <c r="FM724" i="65" s="1"/>
  <c r="FJ724" i="65"/>
  <c r="EY724" i="65"/>
  <c r="FL724" i="65"/>
  <c r="FB724" i="65"/>
  <c r="FX724" i="65" s="1"/>
  <c r="GN724" i="65" s="1"/>
  <c r="FA724" i="65"/>
  <c r="FI724" i="65"/>
  <c r="FL711" i="65"/>
  <c r="FD711" i="65"/>
  <c r="FM711" i="65" s="1"/>
  <c r="FB711" i="65"/>
  <c r="FA711" i="65"/>
  <c r="FI711" i="65"/>
  <c r="EY711" i="65"/>
  <c r="FJ711" i="65"/>
  <c r="FH704" i="65"/>
  <c r="FH694" i="65"/>
  <c r="FD684" i="65"/>
  <c r="FM684" i="65" s="1"/>
  <c r="FI684" i="65"/>
  <c r="EY684" i="65"/>
  <c r="FL684" i="65"/>
  <c r="FB684" i="65"/>
  <c r="FX684" i="65" s="1"/>
  <c r="GN684" i="65" s="1"/>
  <c r="FJ684" i="65"/>
  <c r="FA684" i="65"/>
  <c r="FL673" i="65"/>
  <c r="FD673" i="65"/>
  <c r="FM673" i="65" s="1"/>
  <c r="FB673" i="65"/>
  <c r="FA673" i="65"/>
  <c r="FI673" i="65"/>
  <c r="EY673" i="65"/>
  <c r="FJ673" i="65"/>
  <c r="FH667" i="65"/>
  <c r="FH661" i="65"/>
  <c r="FH651" i="65"/>
  <c r="FH645" i="65"/>
  <c r="FH640" i="65"/>
  <c r="FH628" i="65"/>
  <c r="FD617" i="65"/>
  <c r="FM617" i="65" s="1"/>
  <c r="EY617" i="65"/>
  <c r="FJ617" i="65"/>
  <c r="FB617" i="65"/>
  <c r="FI617" i="65"/>
  <c r="FA617" i="65"/>
  <c r="FL617" i="65"/>
  <c r="FD601" i="65"/>
  <c r="FM601" i="65" s="1"/>
  <c r="EY601" i="65"/>
  <c r="FI601" i="65"/>
  <c r="FB601" i="65"/>
  <c r="FX601" i="65" s="1"/>
  <c r="GN601" i="65" s="1"/>
  <c r="FL601" i="65"/>
  <c r="FJ601" i="65"/>
  <c r="FA601" i="65"/>
  <c r="FD591" i="65"/>
  <c r="FM591" i="65" s="1"/>
  <c r="FA591" i="65"/>
  <c r="FI591" i="65"/>
  <c r="EY591" i="65"/>
  <c r="FL591" i="65"/>
  <c r="FB591" i="65"/>
  <c r="FJ591" i="65"/>
  <c r="FD578" i="65"/>
  <c r="FM578" i="65" s="1"/>
  <c r="EY578" i="65"/>
  <c r="FA578" i="65"/>
  <c r="FB578" i="65"/>
  <c r="FG578" i="65"/>
  <c r="FJ578" i="65"/>
  <c r="FI578" i="65"/>
  <c r="FL578" i="65"/>
  <c r="FD562" i="65"/>
  <c r="FM562" i="65" s="1"/>
  <c r="EY562" i="65"/>
  <c r="FA562" i="65"/>
  <c r="FB562" i="65"/>
  <c r="FX562" i="65" s="1"/>
  <c r="GN562" i="65" s="1"/>
  <c r="FG562" i="65"/>
  <c r="FJ562" i="65"/>
  <c r="FI562" i="65"/>
  <c r="FL562" i="65"/>
  <c r="FH528" i="65"/>
  <c r="FH492" i="65"/>
  <c r="FH444" i="65"/>
  <c r="FH636" i="65"/>
  <c r="FH623" i="65"/>
  <c r="FH612" i="65"/>
  <c r="FH599" i="65"/>
  <c r="FH588" i="65"/>
  <c r="FH571" i="65"/>
  <c r="FD554" i="65"/>
  <c r="FM554" i="65" s="1"/>
  <c r="EY554" i="65"/>
  <c r="FB554" i="65"/>
  <c r="FI554" i="65"/>
  <c r="FJ554" i="65"/>
  <c r="FL554" i="65"/>
  <c r="FA554" i="65"/>
  <c r="FD527" i="65"/>
  <c r="FM527" i="65" s="1"/>
  <c r="FA527" i="65"/>
  <c r="FI527" i="65"/>
  <c r="EY527" i="65"/>
  <c r="FL527" i="65"/>
  <c r="FB527" i="65"/>
  <c r="FX527" i="65" s="1"/>
  <c r="GN527" i="65" s="1"/>
  <c r="FJ527" i="65"/>
  <c r="FD497" i="65"/>
  <c r="FM497" i="65" s="1"/>
  <c r="FB497" i="65"/>
  <c r="FJ497" i="65"/>
  <c r="FI497" i="65"/>
  <c r="EY497" i="65"/>
  <c r="FL497" i="65"/>
  <c r="FA497" i="65"/>
  <c r="FH462" i="65"/>
  <c r="FH632" i="65"/>
  <c r="FH624" i="65"/>
  <c r="FL616" i="65"/>
  <c r="FD616" i="65"/>
  <c r="FM616" i="65" s="1"/>
  <c r="FI616" i="65"/>
  <c r="FA616" i="65"/>
  <c r="EY616" i="65"/>
  <c r="FJ616" i="65"/>
  <c r="FB616" i="65"/>
  <c r="FL608" i="65"/>
  <c r="FD608" i="65"/>
  <c r="FM608" i="65" s="1"/>
  <c r="FI608" i="65"/>
  <c r="FA608" i="65"/>
  <c r="EY608" i="65"/>
  <c r="FJ608" i="65"/>
  <c r="FB608" i="65"/>
  <c r="FX608" i="65" s="1"/>
  <c r="GN608" i="65" s="1"/>
  <c r="FL600" i="65"/>
  <c r="FD600" i="65"/>
  <c r="FM600" i="65" s="1"/>
  <c r="FI600" i="65"/>
  <c r="FA600" i="65"/>
  <c r="EY600" i="65"/>
  <c r="FJ600" i="65"/>
  <c r="FB600" i="65"/>
  <c r="FX600" i="65" s="1"/>
  <c r="GN600" i="65" s="1"/>
  <c r="FD592" i="65"/>
  <c r="FM592" i="65" s="1"/>
  <c r="FB592" i="65"/>
  <c r="EY592" i="65"/>
  <c r="FJ592" i="65"/>
  <c r="FA592" i="65"/>
  <c r="FI592" i="65"/>
  <c r="FL592" i="65"/>
  <c r="FD584" i="65"/>
  <c r="FM584" i="65" s="1"/>
  <c r="FB584" i="65"/>
  <c r="EY584" i="65"/>
  <c r="FJ584" i="65"/>
  <c r="FA584" i="65"/>
  <c r="FI584" i="65"/>
  <c r="FL584" i="65"/>
  <c r="FD576" i="65"/>
  <c r="FM576" i="65" s="1"/>
  <c r="FA576" i="65"/>
  <c r="FB576" i="65"/>
  <c r="EY576" i="65"/>
  <c r="FJ576" i="65"/>
  <c r="FL576" i="65"/>
  <c r="FI576" i="65"/>
  <c r="FD568" i="65"/>
  <c r="FM568" i="65" s="1"/>
  <c r="FA568" i="65"/>
  <c r="FB568" i="65"/>
  <c r="FX568" i="65" s="1"/>
  <c r="GN568" i="65" s="1"/>
  <c r="EY568" i="65"/>
  <c r="FG568" i="65"/>
  <c r="FJ568" i="65"/>
  <c r="FL568" i="65"/>
  <c r="FI568" i="65"/>
  <c r="FD560" i="65"/>
  <c r="FM560" i="65" s="1"/>
  <c r="FA560" i="65"/>
  <c r="FB560" i="65"/>
  <c r="FX560" i="65" s="1"/>
  <c r="GN560" i="65" s="1"/>
  <c r="EY560" i="65"/>
  <c r="FJ560" i="65"/>
  <c r="FL560" i="65"/>
  <c r="FI560" i="65"/>
  <c r="FD548" i="65"/>
  <c r="FM548" i="65" s="1"/>
  <c r="EY548" i="65"/>
  <c r="FI548" i="65"/>
  <c r="FB548" i="65"/>
  <c r="FJ548" i="65"/>
  <c r="FA548" i="65"/>
  <c r="FL548" i="65"/>
  <c r="FD529" i="65"/>
  <c r="FM529" i="65" s="1"/>
  <c r="FA529" i="65"/>
  <c r="FJ529" i="65"/>
  <c r="FI529" i="65"/>
  <c r="EY529" i="65"/>
  <c r="FL529" i="65"/>
  <c r="FB529" i="65"/>
  <c r="FX529" i="65" s="1"/>
  <c r="GN529" i="65" s="1"/>
  <c r="FL522" i="65"/>
  <c r="FD522" i="65"/>
  <c r="FM522" i="65" s="1"/>
  <c r="EY522" i="65"/>
  <c r="FA522" i="65"/>
  <c r="FI522" i="65"/>
  <c r="FB522" i="65"/>
  <c r="FX522" i="65" s="1"/>
  <c r="GN522" i="65" s="1"/>
  <c r="FJ522" i="65"/>
  <c r="FD513" i="65"/>
  <c r="FM513" i="65" s="1"/>
  <c r="FB513" i="65"/>
  <c r="FJ513" i="65"/>
  <c r="FI513" i="65"/>
  <c r="FA513" i="65"/>
  <c r="FL513" i="65"/>
  <c r="EY513" i="65"/>
  <c r="FD500" i="65"/>
  <c r="FM500" i="65" s="1"/>
  <c r="FJ500" i="65"/>
  <c r="FL500" i="65"/>
  <c r="FA500" i="65"/>
  <c r="FI500" i="65"/>
  <c r="EY500" i="65"/>
  <c r="FB500" i="65"/>
  <c r="FX500" i="65" s="1"/>
  <c r="GN500" i="65" s="1"/>
  <c r="FL482" i="65"/>
  <c r="FD482" i="65"/>
  <c r="FM482" i="65" s="1"/>
  <c r="FA482" i="65"/>
  <c r="FI482" i="65"/>
  <c r="FJ482" i="65"/>
  <c r="EY482" i="65"/>
  <c r="FB482" i="65"/>
  <c r="FX482" i="65" s="1"/>
  <c r="GN482" i="65" s="1"/>
  <c r="FH469" i="65"/>
  <c r="FH454" i="65"/>
  <c r="FH635" i="65"/>
  <c r="FH627" i="65"/>
  <c r="FL614" i="65"/>
  <c r="FD614" i="65"/>
  <c r="FM614" i="65" s="1"/>
  <c r="FA614" i="65"/>
  <c r="FI614" i="65"/>
  <c r="FB614" i="65"/>
  <c r="FJ614" i="65"/>
  <c r="EY614" i="65"/>
  <c r="FL606" i="65"/>
  <c r="FD606" i="65"/>
  <c r="FM606" i="65" s="1"/>
  <c r="FA606" i="65"/>
  <c r="FI606" i="65"/>
  <c r="FB606" i="65"/>
  <c r="FX606" i="65" s="1"/>
  <c r="GN606" i="65" s="1"/>
  <c r="FJ606" i="65"/>
  <c r="EY606" i="65"/>
  <c r="FD596" i="65"/>
  <c r="FM596" i="65" s="1"/>
  <c r="FB596" i="65"/>
  <c r="FX596" i="65" s="1"/>
  <c r="GN596" i="65" s="1"/>
  <c r="EY596" i="65"/>
  <c r="FA596" i="65"/>
  <c r="FI596" i="65"/>
  <c r="FL596" i="65"/>
  <c r="FG596" i="65"/>
  <c r="FJ596" i="65"/>
  <c r="FH587" i="65"/>
  <c r="FH580" i="65"/>
  <c r="FH572" i="65"/>
  <c r="FH564" i="65"/>
  <c r="FD551" i="65"/>
  <c r="FM551" i="65" s="1"/>
  <c r="FJ551" i="65"/>
  <c r="EY551" i="65"/>
  <c r="FA551" i="65"/>
  <c r="FB551" i="65"/>
  <c r="FL551" i="65"/>
  <c r="FI551" i="65"/>
  <c r="FH535" i="65"/>
  <c r="FH525" i="65"/>
  <c r="FH511" i="65"/>
  <c r="FD501" i="65"/>
  <c r="FM501" i="65" s="1"/>
  <c r="EY501" i="65"/>
  <c r="FB501" i="65"/>
  <c r="FI501" i="65"/>
  <c r="FG501" i="65"/>
  <c r="FL501" i="65"/>
  <c r="FJ501" i="65"/>
  <c r="FA501" i="65"/>
  <c r="FH487" i="65"/>
  <c r="FH472" i="65"/>
  <c r="FH456" i="65"/>
  <c r="FH484" i="65"/>
  <c r="FD469" i="65"/>
  <c r="FM469" i="65" s="1"/>
  <c r="EY469" i="65"/>
  <c r="FI469" i="65"/>
  <c r="FB469" i="65"/>
  <c r="FL469" i="65"/>
  <c r="FJ469" i="65"/>
  <c r="FA469" i="65"/>
  <c r="FD553" i="65"/>
  <c r="FM553" i="65" s="1"/>
  <c r="FJ553" i="65"/>
  <c r="FI553" i="65"/>
  <c r="EY553" i="65"/>
  <c r="FA553" i="65"/>
  <c r="FB553" i="65"/>
  <c r="FL553" i="65"/>
  <c r="FD546" i="65"/>
  <c r="FM546" i="65" s="1"/>
  <c r="FB546" i="65"/>
  <c r="EY546" i="65"/>
  <c r="FI546" i="65"/>
  <c r="FL546" i="65"/>
  <c r="FJ546" i="65"/>
  <c r="FA546" i="65"/>
  <c r="FH538" i="65"/>
  <c r="FH529" i="65"/>
  <c r="FD516" i="65"/>
  <c r="FM516" i="65" s="1"/>
  <c r="FJ516" i="65"/>
  <c r="EY516" i="65"/>
  <c r="FL516" i="65"/>
  <c r="FI516" i="65"/>
  <c r="FA516" i="65"/>
  <c r="FB516" i="65"/>
  <c r="FD512" i="65"/>
  <c r="FM512" i="65" s="1"/>
  <c r="FJ512" i="65"/>
  <c r="FL512" i="65"/>
  <c r="FA512" i="65"/>
  <c r="EY512" i="65"/>
  <c r="FI512" i="65"/>
  <c r="FB512" i="65"/>
  <c r="FX512" i="65" s="1"/>
  <c r="GN512" i="65" s="1"/>
  <c r="FD502" i="65"/>
  <c r="FM502" i="65" s="1"/>
  <c r="FJ502" i="65"/>
  <c r="FL502" i="65"/>
  <c r="FB502" i="65"/>
  <c r="FA502" i="65"/>
  <c r="FI502" i="65"/>
  <c r="EY502" i="65"/>
  <c r="FH497" i="65"/>
  <c r="FH489" i="65"/>
  <c r="FH481" i="65"/>
  <c r="FH474" i="65"/>
  <c r="FL464" i="65"/>
  <c r="FD464" i="65"/>
  <c r="FM464" i="65" s="1"/>
  <c r="FI464" i="65"/>
  <c r="FA464" i="65"/>
  <c r="EY464" i="65"/>
  <c r="FB464" i="65"/>
  <c r="FJ464" i="65"/>
  <c r="FD458" i="65"/>
  <c r="FM458" i="65" s="1"/>
  <c r="FL458" i="65"/>
  <c r="FA458" i="65"/>
  <c r="EY458" i="65"/>
  <c r="FI458" i="65"/>
  <c r="FB458" i="65"/>
  <c r="FX458" i="65" s="1"/>
  <c r="GN458" i="65" s="1"/>
  <c r="FJ458" i="65"/>
  <c r="FD447" i="65"/>
  <c r="FM447" i="65" s="1"/>
  <c r="EY447" i="65"/>
  <c r="FL447" i="65"/>
  <c r="FB447" i="65"/>
  <c r="FX447" i="65" s="1"/>
  <c r="GN447" i="65" s="1"/>
  <c r="FJ447" i="65"/>
  <c r="FA447" i="65"/>
  <c r="FI447" i="65"/>
  <c r="FH552" i="65"/>
  <c r="FH545" i="65"/>
  <c r="FD535" i="65"/>
  <c r="FM535" i="65" s="1"/>
  <c r="FA535" i="65"/>
  <c r="EY535" i="65"/>
  <c r="FI535" i="65"/>
  <c r="FB535" i="65"/>
  <c r="FL535" i="65"/>
  <c r="FJ535" i="65"/>
  <c r="FD531" i="65"/>
  <c r="FM531" i="65" s="1"/>
  <c r="FA531" i="65"/>
  <c r="FB531" i="65"/>
  <c r="FX531" i="65" s="1"/>
  <c r="GN531" i="65" s="1"/>
  <c r="FL531" i="65"/>
  <c r="FJ531" i="65"/>
  <c r="EY531" i="65"/>
  <c r="FI531" i="65"/>
  <c r="FG531" i="65"/>
  <c r="FH512" i="65"/>
  <c r="FD505" i="65"/>
  <c r="FM505" i="65" s="1"/>
  <c r="FI505" i="65"/>
  <c r="FA505" i="65"/>
  <c r="FL505" i="65"/>
  <c r="FG505" i="65"/>
  <c r="EY505" i="65"/>
  <c r="FJ505" i="65"/>
  <c r="FB505" i="65"/>
  <c r="FH495" i="65"/>
  <c r="FD487" i="65"/>
  <c r="FM487" i="65" s="1"/>
  <c r="FB487" i="65"/>
  <c r="FX487" i="65" s="1"/>
  <c r="GN487" i="65" s="1"/>
  <c r="FA487" i="65"/>
  <c r="EY487" i="65"/>
  <c r="FL487" i="65"/>
  <c r="FI487" i="65"/>
  <c r="FJ487" i="65"/>
  <c r="FD479" i="65"/>
  <c r="FM479" i="65" s="1"/>
  <c r="FB479" i="65"/>
  <c r="FA479" i="65"/>
  <c r="EY479" i="65"/>
  <c r="FL479" i="65"/>
  <c r="FI479" i="65"/>
  <c r="FJ479" i="65"/>
  <c r="FD465" i="65"/>
  <c r="FM465" i="65" s="1"/>
  <c r="FA465" i="65"/>
  <c r="FB465" i="65"/>
  <c r="FJ465" i="65"/>
  <c r="FI465" i="65"/>
  <c r="EY465" i="65"/>
  <c r="FL465" i="65"/>
  <c r="FD459" i="65"/>
  <c r="FM459" i="65" s="1"/>
  <c r="FB459" i="65"/>
  <c r="FA459" i="65"/>
  <c r="EY459" i="65"/>
  <c r="FI459" i="65"/>
  <c r="FJ459" i="65"/>
  <c r="FL459" i="65"/>
  <c r="FD454" i="65"/>
  <c r="FM454" i="65" s="1"/>
  <c r="FJ454" i="65"/>
  <c r="FB454" i="65"/>
  <c r="FX454" i="65" s="1"/>
  <c r="GN454" i="65" s="1"/>
  <c r="FA454" i="65"/>
  <c r="FI454" i="65"/>
  <c r="FL454" i="65"/>
  <c r="EY454" i="65"/>
  <c r="FH447" i="65"/>
  <c r="FH457" i="65"/>
  <c r="FH446" i="65"/>
  <c r="FH436" i="65"/>
  <c r="FH420" i="65"/>
  <c r="FH404" i="65"/>
  <c r="FH388" i="65"/>
  <c r="FH372" i="65"/>
  <c r="FH356" i="65"/>
  <c r="FH340" i="65"/>
  <c r="FH324" i="65"/>
  <c r="FH308" i="65"/>
  <c r="FH292" i="65"/>
  <c r="FH276" i="65"/>
  <c r="FH260" i="65"/>
  <c r="FH244" i="65"/>
  <c r="FH228" i="65"/>
  <c r="FH212" i="65"/>
  <c r="FH196" i="65"/>
  <c r="FH180" i="65"/>
  <c r="FH164" i="65"/>
  <c r="FH148" i="65"/>
  <c r="FH132" i="65"/>
  <c r="FH116" i="65"/>
  <c r="FH100" i="65"/>
  <c r="FH84" i="65"/>
  <c r="FH68" i="65"/>
  <c r="FH23" i="65"/>
  <c r="FH435" i="65"/>
  <c r="FH419" i="65"/>
  <c r="FH403" i="65"/>
  <c r="FH387" i="65"/>
  <c r="FH371" i="65"/>
  <c r="FH355" i="65"/>
  <c r="FH339" i="65"/>
  <c r="FH323" i="65"/>
  <c r="FH307" i="65"/>
  <c r="FH291" i="65"/>
  <c r="FH275" i="65"/>
  <c r="FH259" i="65"/>
  <c r="FH243" i="65"/>
  <c r="FH227" i="65"/>
  <c r="FH211" i="65"/>
  <c r="FH195" i="65"/>
  <c r="FH179" i="65"/>
  <c r="FH163" i="65"/>
  <c r="FH147" i="65"/>
  <c r="FH131" i="65"/>
  <c r="FH115" i="65"/>
  <c r="FH99" i="65"/>
  <c r="FH83" i="65"/>
  <c r="FH67" i="65"/>
  <c r="FH19" i="65"/>
  <c r="FH430" i="65"/>
  <c r="FH414" i="65"/>
  <c r="FH398" i="65"/>
  <c r="FH382" i="65"/>
  <c r="FH366" i="65"/>
  <c r="FH350" i="65"/>
  <c r="FH334" i="65"/>
  <c r="FH318" i="65"/>
  <c r="FH302" i="65"/>
  <c r="FH286" i="65"/>
  <c r="FH270" i="65"/>
  <c r="FH254" i="65"/>
  <c r="FH238" i="65"/>
  <c r="FH222" i="65"/>
  <c r="FH206" i="65"/>
  <c r="FH190" i="65"/>
  <c r="FH174" i="65"/>
  <c r="FH158" i="65"/>
  <c r="FH142" i="65"/>
  <c r="FH126" i="65"/>
  <c r="FH110" i="65"/>
  <c r="FH94" i="65"/>
  <c r="FH78" i="65"/>
  <c r="FH58" i="65"/>
  <c r="FH6" i="65"/>
  <c r="FH425" i="65"/>
  <c r="FH409" i="65"/>
  <c r="FH393" i="65"/>
  <c r="FH377" i="65"/>
  <c r="FH361" i="65"/>
  <c r="FH345" i="65"/>
  <c r="FH329" i="65"/>
  <c r="FH313" i="65"/>
  <c r="FH297" i="65"/>
  <c r="FH281" i="65"/>
  <c r="FH265" i="65"/>
  <c r="FH249" i="65"/>
  <c r="FH233" i="65"/>
  <c r="FH217" i="65"/>
  <c r="FH201" i="65"/>
  <c r="FH185" i="65"/>
  <c r="FH169" i="65"/>
  <c r="FH153" i="65"/>
  <c r="FH137" i="65"/>
  <c r="FH121" i="65"/>
  <c r="FH105" i="65"/>
  <c r="FH89" i="65"/>
  <c r="FH73" i="65"/>
  <c r="FH43" i="65"/>
  <c r="FH61" i="65"/>
  <c r="FH45" i="65"/>
  <c r="FH29" i="65"/>
  <c r="FH13" i="65"/>
  <c r="FH56" i="65"/>
  <c r="FH40" i="65"/>
  <c r="FH24" i="65"/>
  <c r="FH8" i="65"/>
  <c r="FH38" i="65"/>
  <c r="FH22" i="65"/>
  <c r="FL873" i="65"/>
  <c r="FD873" i="65"/>
  <c r="FM873" i="65" s="1"/>
  <c r="EY873" i="65"/>
  <c r="FA873" i="65"/>
  <c r="FI873" i="65"/>
  <c r="FB873" i="65"/>
  <c r="FJ873" i="65"/>
  <c r="FH866" i="65"/>
  <c r="FD858" i="65"/>
  <c r="FM858" i="65" s="1"/>
  <c r="FB858" i="65"/>
  <c r="FI858" i="65"/>
  <c r="FL858" i="65"/>
  <c r="FJ858" i="65"/>
  <c r="FA858" i="65"/>
  <c r="EY858" i="65"/>
  <c r="FD850" i="65"/>
  <c r="FM850" i="65" s="1"/>
  <c r="FB850" i="65"/>
  <c r="FA850" i="65"/>
  <c r="FI850" i="65"/>
  <c r="FL850" i="65"/>
  <c r="EY850" i="65"/>
  <c r="FJ850" i="65"/>
  <c r="FD842" i="65"/>
  <c r="FM842" i="65" s="1"/>
  <c r="FB842" i="65"/>
  <c r="FX842" i="65" s="1"/>
  <c r="GN842" i="65" s="1"/>
  <c r="FL842" i="65"/>
  <c r="FA842" i="65"/>
  <c r="FJ842" i="65"/>
  <c r="EY842" i="65"/>
  <c r="FI842" i="65"/>
  <c r="FD822" i="65"/>
  <c r="FM822" i="65" s="1"/>
  <c r="EY822" i="65"/>
  <c r="FL822" i="65"/>
  <c r="FB822" i="65"/>
  <c r="FA822" i="65"/>
  <c r="FI822" i="65"/>
  <c r="FJ822" i="65"/>
  <c r="FD806" i="65"/>
  <c r="FM806" i="65" s="1"/>
  <c r="FL806" i="65"/>
  <c r="FB806" i="65"/>
  <c r="FX806" i="65" s="1"/>
  <c r="GN806" i="65" s="1"/>
  <c r="FJ806" i="65"/>
  <c r="FA806" i="65"/>
  <c r="EY806" i="65"/>
  <c r="FI806" i="65"/>
  <c r="FD790" i="65"/>
  <c r="FM790" i="65" s="1"/>
  <c r="FJ790" i="65"/>
  <c r="FA790" i="65"/>
  <c r="EY790" i="65"/>
  <c r="FL790" i="65"/>
  <c r="FB790" i="65"/>
  <c r="FI790" i="65"/>
  <c r="FH735" i="65"/>
  <c r="FH873" i="65"/>
  <c r="FL865" i="65"/>
  <c r="FD865" i="65"/>
  <c r="FM865" i="65" s="1"/>
  <c r="EY865" i="65"/>
  <c r="FA865" i="65"/>
  <c r="FI865" i="65"/>
  <c r="FB865" i="65"/>
  <c r="FJ865" i="65"/>
  <c r="FH858" i="65"/>
  <c r="FH850" i="65"/>
  <c r="FH842" i="65"/>
  <c r="FD781" i="65"/>
  <c r="FM781" i="65" s="1"/>
  <c r="EY781" i="65"/>
  <c r="FI781" i="65"/>
  <c r="FL781" i="65"/>
  <c r="FA781" i="65"/>
  <c r="FJ781" i="65"/>
  <c r="FB781" i="65"/>
  <c r="FH724" i="65"/>
  <c r="FG869" i="65"/>
  <c r="FH869" i="65"/>
  <c r="EZ869" i="65"/>
  <c r="FD860" i="65"/>
  <c r="FM860" i="65" s="1"/>
  <c r="FB860" i="65"/>
  <c r="FL860" i="65"/>
  <c r="FJ860" i="65"/>
  <c r="FA860" i="65"/>
  <c r="EY860" i="65"/>
  <c r="FI860" i="65"/>
  <c r="FD852" i="65"/>
  <c r="FM852" i="65" s="1"/>
  <c r="FA852" i="65"/>
  <c r="EY852" i="65"/>
  <c r="FI852" i="65"/>
  <c r="FB852" i="65"/>
  <c r="FL852" i="65"/>
  <c r="FJ852" i="65"/>
  <c r="FD844" i="65"/>
  <c r="FM844" i="65" s="1"/>
  <c r="FB844" i="65"/>
  <c r="FX844" i="65" s="1"/>
  <c r="GN844" i="65" s="1"/>
  <c r="FL844" i="65"/>
  <c r="FJ844" i="65"/>
  <c r="FA844" i="65"/>
  <c r="EY844" i="65"/>
  <c r="FI844" i="65"/>
  <c r="FH826" i="65"/>
  <c r="FA812" i="65"/>
  <c r="FD812" i="65"/>
  <c r="FM812" i="65" s="1"/>
  <c r="FJ812" i="65"/>
  <c r="EY812" i="65"/>
  <c r="FL812" i="65"/>
  <c r="FB812" i="65"/>
  <c r="FI812" i="65"/>
  <c r="FD796" i="65"/>
  <c r="FM796" i="65" s="1"/>
  <c r="FB796" i="65"/>
  <c r="FX796" i="65" s="1"/>
  <c r="GN796" i="65" s="1"/>
  <c r="FL796" i="65"/>
  <c r="FA796" i="65"/>
  <c r="FJ796" i="65"/>
  <c r="EY796" i="65"/>
  <c r="FI796" i="65"/>
  <c r="FL780" i="65"/>
  <c r="FD780" i="65"/>
  <c r="FM780" i="65" s="1"/>
  <c r="FJ780" i="65"/>
  <c r="EY780" i="65"/>
  <c r="FA780" i="65"/>
  <c r="FI780" i="65"/>
  <c r="FB780" i="65"/>
  <c r="FD739" i="65"/>
  <c r="FM739" i="65" s="1"/>
  <c r="FB739" i="65"/>
  <c r="FI739" i="65"/>
  <c r="EY739" i="65"/>
  <c r="FA739" i="65"/>
  <c r="FL739" i="65"/>
  <c r="FJ739" i="65"/>
  <c r="FD868" i="65"/>
  <c r="FM868" i="65" s="1"/>
  <c r="EY868" i="65"/>
  <c r="FI868" i="65"/>
  <c r="FB868" i="65"/>
  <c r="FL868" i="65"/>
  <c r="FA868" i="65"/>
  <c r="FJ868" i="65"/>
  <c r="FH860" i="65"/>
  <c r="FH852" i="65"/>
  <c r="FH844" i="65"/>
  <c r="FD835" i="65"/>
  <c r="FM835" i="65" s="1"/>
  <c r="FL835" i="65"/>
  <c r="FB835" i="65"/>
  <c r="FX835" i="65" s="1"/>
  <c r="GN835" i="65" s="1"/>
  <c r="FI835" i="65"/>
  <c r="FJ835" i="65"/>
  <c r="EY835" i="65"/>
  <c r="FA835" i="65"/>
  <c r="FD753" i="65"/>
  <c r="FM753" i="65" s="1"/>
  <c r="FL753" i="65"/>
  <c r="FA753" i="65"/>
  <c r="FI753" i="65"/>
  <c r="FJ753" i="65"/>
  <c r="FB753" i="65"/>
  <c r="FX753" i="65" s="1"/>
  <c r="GN753" i="65" s="1"/>
  <c r="EY753" i="65"/>
  <c r="FD836" i="65"/>
  <c r="FM836" i="65" s="1"/>
  <c r="FA836" i="65"/>
  <c r="EY836" i="65"/>
  <c r="FI836" i="65"/>
  <c r="FB836" i="65"/>
  <c r="FX836" i="65" s="1"/>
  <c r="GN836" i="65" s="1"/>
  <c r="FL836" i="65"/>
  <c r="FJ836" i="65"/>
  <c r="FD828" i="65"/>
  <c r="FM828" i="65" s="1"/>
  <c r="FI828" i="65"/>
  <c r="FA828" i="65"/>
  <c r="FL828" i="65"/>
  <c r="EY828" i="65"/>
  <c r="FJ828" i="65"/>
  <c r="FB828" i="65"/>
  <c r="FI823" i="65"/>
  <c r="FD823" i="65"/>
  <c r="FM823" i="65" s="1"/>
  <c r="FA823" i="65"/>
  <c r="EY823" i="65"/>
  <c r="FB823" i="65"/>
  <c r="FJ823" i="65"/>
  <c r="FL823" i="65"/>
  <c r="FI819" i="65"/>
  <c r="FD819" i="65"/>
  <c r="FM819" i="65" s="1"/>
  <c r="FA819" i="65"/>
  <c r="FB819" i="65"/>
  <c r="FJ819" i="65"/>
  <c r="FL819" i="65"/>
  <c r="EY819" i="65"/>
  <c r="FI815" i="65"/>
  <c r="FD815" i="65"/>
  <c r="FM815" i="65" s="1"/>
  <c r="FA815" i="65"/>
  <c r="FL815" i="65"/>
  <c r="EY815" i="65"/>
  <c r="FB815" i="65"/>
  <c r="FJ815" i="65"/>
  <c r="FI811" i="65"/>
  <c r="FD811" i="65"/>
  <c r="FM811" i="65" s="1"/>
  <c r="FA811" i="65"/>
  <c r="FL811" i="65"/>
  <c r="EY811" i="65"/>
  <c r="FB811" i="65"/>
  <c r="FJ811" i="65"/>
  <c r="FI807" i="65"/>
  <c r="FD807" i="65"/>
  <c r="FM807" i="65" s="1"/>
  <c r="FA807" i="65"/>
  <c r="EY807" i="65"/>
  <c r="FB807" i="65"/>
  <c r="FX807" i="65" s="1"/>
  <c r="GN807" i="65" s="1"/>
  <c r="FJ807" i="65"/>
  <c r="FL807" i="65"/>
  <c r="FI803" i="65"/>
  <c r="FD803" i="65"/>
  <c r="FM803" i="65" s="1"/>
  <c r="FA803" i="65"/>
  <c r="EY803" i="65"/>
  <c r="FB803" i="65"/>
  <c r="FX803" i="65" s="1"/>
  <c r="GN803" i="65" s="1"/>
  <c r="FJ803" i="65"/>
  <c r="FL803" i="65"/>
  <c r="FI799" i="65"/>
  <c r="FD799" i="65"/>
  <c r="FM799" i="65" s="1"/>
  <c r="FA799" i="65"/>
  <c r="FB799" i="65"/>
  <c r="FX799" i="65" s="1"/>
  <c r="GN799" i="65" s="1"/>
  <c r="FJ799" i="65"/>
  <c r="FL799" i="65"/>
  <c r="EY799" i="65"/>
  <c r="FI795" i="65"/>
  <c r="FD795" i="65"/>
  <c r="FM795" i="65" s="1"/>
  <c r="FA795" i="65"/>
  <c r="FB795" i="65"/>
  <c r="FX795" i="65" s="1"/>
  <c r="GN795" i="65" s="1"/>
  <c r="FJ795" i="65"/>
  <c r="FL795" i="65"/>
  <c r="EY795" i="65"/>
  <c r="FI791" i="65"/>
  <c r="FD791" i="65"/>
  <c r="FM791" i="65" s="1"/>
  <c r="FA791" i="65"/>
  <c r="FL791" i="65"/>
  <c r="EY791" i="65"/>
  <c r="FB791" i="65"/>
  <c r="FJ791" i="65"/>
  <c r="FI787" i="65"/>
  <c r="FD787" i="65"/>
  <c r="FM787" i="65" s="1"/>
  <c r="FA787" i="65"/>
  <c r="FL787" i="65"/>
  <c r="EY787" i="65"/>
  <c r="FB787" i="65"/>
  <c r="FJ787" i="65"/>
  <c r="FD782" i="65"/>
  <c r="FM782" i="65" s="1"/>
  <c r="FB782" i="65"/>
  <c r="FL782" i="65"/>
  <c r="FJ782" i="65"/>
  <c r="FA782" i="65"/>
  <c r="EY782" i="65"/>
  <c r="FI782" i="65"/>
  <c r="FD774" i="65"/>
  <c r="FM774" i="65" s="1"/>
  <c r="FL774" i="65"/>
  <c r="FJ774" i="65"/>
  <c r="FB774" i="65"/>
  <c r="FI774" i="65"/>
  <c r="FG774" i="65"/>
  <c r="EY774" i="65"/>
  <c r="FA774" i="65"/>
  <c r="FD762" i="65"/>
  <c r="FM762" i="65" s="1"/>
  <c r="FL762" i="65"/>
  <c r="FJ762" i="65"/>
  <c r="EY762" i="65"/>
  <c r="FA762" i="65"/>
  <c r="FB762" i="65"/>
  <c r="FX762" i="65" s="1"/>
  <c r="GN762" i="65" s="1"/>
  <c r="FI762" i="65"/>
  <c r="FI745" i="65"/>
  <c r="FD745" i="65"/>
  <c r="FM745" i="65" s="1"/>
  <c r="FJ745" i="65"/>
  <c r="FA745" i="65"/>
  <c r="EY745" i="65"/>
  <c r="FL745" i="65"/>
  <c r="FB745" i="65"/>
  <c r="FD732" i="65"/>
  <c r="FM732" i="65" s="1"/>
  <c r="FJ732" i="65"/>
  <c r="FA732" i="65"/>
  <c r="FI732" i="65"/>
  <c r="EY732" i="65"/>
  <c r="FL732" i="65"/>
  <c r="FB732" i="65"/>
  <c r="FH721" i="65"/>
  <c r="FH707" i="65"/>
  <c r="FL693" i="65"/>
  <c r="FD693" i="65"/>
  <c r="FM693" i="65" s="1"/>
  <c r="EY693" i="65"/>
  <c r="FA693" i="65"/>
  <c r="FB693" i="65"/>
  <c r="FX693" i="65" s="1"/>
  <c r="GN693" i="65" s="1"/>
  <c r="FI693" i="65"/>
  <c r="FJ693" i="65"/>
  <c r="FH678" i="65"/>
  <c r="FD665" i="65"/>
  <c r="FM665" i="65" s="1"/>
  <c r="FB665" i="65"/>
  <c r="EY665" i="65"/>
  <c r="FL665" i="65"/>
  <c r="FJ665" i="65"/>
  <c r="FA665" i="65"/>
  <c r="FI665" i="65"/>
  <c r="FH647" i="65"/>
  <c r="FH585" i="65"/>
  <c r="FD837" i="65"/>
  <c r="FM837" i="65" s="1"/>
  <c r="FI837" i="65"/>
  <c r="FB837" i="65"/>
  <c r="FX837" i="65" s="1"/>
  <c r="GN837" i="65" s="1"/>
  <c r="EY837" i="65"/>
  <c r="FJ837" i="65"/>
  <c r="FA837" i="65"/>
  <c r="FL837" i="65"/>
  <c r="FG837" i="65"/>
  <c r="FD829" i="65"/>
  <c r="FM829" i="65" s="1"/>
  <c r="FI829" i="65"/>
  <c r="FJ829" i="65"/>
  <c r="EY829" i="65"/>
  <c r="FA829" i="65"/>
  <c r="FL829" i="65"/>
  <c r="FB829" i="65"/>
  <c r="FH821" i="65"/>
  <c r="FH813" i="65"/>
  <c r="FH805" i="65"/>
  <c r="FH782" i="65"/>
  <c r="FH774" i="65"/>
  <c r="FD761" i="65"/>
  <c r="FM761" i="65" s="1"/>
  <c r="FI761" i="65"/>
  <c r="FL761" i="65"/>
  <c r="FA761" i="65"/>
  <c r="FB761" i="65"/>
  <c r="FX761" i="65" s="1"/>
  <c r="GN761" i="65" s="1"/>
  <c r="FJ761" i="65"/>
  <c r="EY761" i="65"/>
  <c r="FH740" i="65"/>
  <c r="FH720" i="65"/>
  <c r="FL703" i="65"/>
  <c r="FD703" i="65"/>
  <c r="FM703" i="65" s="1"/>
  <c r="EY703" i="65"/>
  <c r="FB703" i="65"/>
  <c r="FI703" i="65"/>
  <c r="FA703" i="65"/>
  <c r="FJ703" i="65"/>
  <c r="FH690" i="65"/>
  <c r="FH673" i="65"/>
  <c r="FH657" i="65"/>
  <c r="FD641" i="65"/>
  <c r="FM641" i="65" s="1"/>
  <c r="EY641" i="65"/>
  <c r="FB641" i="65"/>
  <c r="FX641" i="65" s="1"/>
  <c r="GN641" i="65" s="1"/>
  <c r="FA641" i="65"/>
  <c r="FI641" i="65"/>
  <c r="FL641" i="65"/>
  <c r="FJ641" i="65"/>
  <c r="FD558" i="65"/>
  <c r="FM558" i="65" s="1"/>
  <c r="EY558" i="65"/>
  <c r="FA558" i="65"/>
  <c r="FB558" i="65"/>
  <c r="FX558" i="65" s="1"/>
  <c r="GN558" i="65" s="1"/>
  <c r="FI558" i="65"/>
  <c r="FL558" i="65"/>
  <c r="FJ558" i="65"/>
  <c r="FH833" i="65"/>
  <c r="FH783" i="65"/>
  <c r="FH776" i="65"/>
  <c r="FH763" i="65"/>
  <c r="FD748" i="65"/>
  <c r="FG748" i="65" s="1"/>
  <c r="FJ748" i="65"/>
  <c r="FA748" i="65"/>
  <c r="FI748" i="65"/>
  <c r="EY748" i="65"/>
  <c r="FL748" i="65"/>
  <c r="FB748" i="65"/>
  <c r="FD729" i="65"/>
  <c r="FM729" i="65" s="1"/>
  <c r="EY729" i="65"/>
  <c r="FA729" i="65"/>
  <c r="FL729" i="65"/>
  <c r="FI729" i="65"/>
  <c r="FJ729" i="65"/>
  <c r="FB729" i="65"/>
  <c r="FX729" i="65" s="1"/>
  <c r="GN729" i="65" s="1"/>
  <c r="FL719" i="65"/>
  <c r="FD719" i="65"/>
  <c r="FM719" i="65" s="1"/>
  <c r="EY719" i="65"/>
  <c r="FA719" i="65"/>
  <c r="FI719" i="65"/>
  <c r="FB719" i="65"/>
  <c r="FX719" i="65" s="1"/>
  <c r="GN719" i="65" s="1"/>
  <c r="FJ719" i="65"/>
  <c r="FH706" i="65"/>
  <c r="FH692" i="65"/>
  <c r="FL677" i="65"/>
  <c r="FD677" i="65"/>
  <c r="FM677" i="65" s="1"/>
  <c r="EY677" i="65"/>
  <c r="FB677" i="65"/>
  <c r="FX677" i="65" s="1"/>
  <c r="GN677" i="65" s="1"/>
  <c r="FI677" i="65"/>
  <c r="FA677" i="65"/>
  <c r="FJ677" i="65"/>
  <c r="FL660" i="65"/>
  <c r="FD660" i="65"/>
  <c r="FM660" i="65" s="1"/>
  <c r="FA660" i="65"/>
  <c r="EY660" i="65"/>
  <c r="FI660" i="65"/>
  <c r="FJ660" i="65"/>
  <c r="FB660" i="65"/>
  <c r="FH638" i="65"/>
  <c r="FD575" i="65"/>
  <c r="FM575" i="65" s="1"/>
  <c r="FA575" i="65"/>
  <c r="FJ575" i="65"/>
  <c r="EY575" i="65"/>
  <c r="FI575" i="65"/>
  <c r="FB575" i="65"/>
  <c r="FL575" i="65"/>
  <c r="FL707" i="65"/>
  <c r="FD707" i="65"/>
  <c r="FM707" i="65" s="1"/>
  <c r="EY707" i="65"/>
  <c r="FA707" i="65"/>
  <c r="FB707" i="65"/>
  <c r="FX707" i="65" s="1"/>
  <c r="GN707" i="65" s="1"/>
  <c r="FI707" i="65"/>
  <c r="FJ707" i="65"/>
  <c r="FD696" i="65"/>
  <c r="FM696" i="65" s="1"/>
  <c r="FA696" i="65"/>
  <c r="EY696" i="65"/>
  <c r="FI696" i="65"/>
  <c r="FB696" i="65"/>
  <c r="FL696" i="65"/>
  <c r="FJ696" i="65"/>
  <c r="FD680" i="65"/>
  <c r="FM680" i="65" s="1"/>
  <c r="FL680" i="65"/>
  <c r="FJ680" i="65"/>
  <c r="FB680" i="65"/>
  <c r="FX680" i="65" s="1"/>
  <c r="GN680" i="65" s="1"/>
  <c r="FI680" i="65"/>
  <c r="FA680" i="65"/>
  <c r="EY680" i="65"/>
  <c r="FD669" i="65"/>
  <c r="FM669" i="65" s="1"/>
  <c r="FI669" i="65"/>
  <c r="FA669" i="65"/>
  <c r="FB669" i="65"/>
  <c r="FJ669" i="65"/>
  <c r="FL669" i="65"/>
  <c r="EY669" i="65"/>
  <c r="FH652" i="65"/>
  <c r="FD574" i="65"/>
  <c r="FM574" i="65" s="1"/>
  <c r="EY574" i="65"/>
  <c r="FA574" i="65"/>
  <c r="FB574" i="65"/>
  <c r="FI574" i="65"/>
  <c r="FL574" i="65"/>
  <c r="FJ574" i="65"/>
  <c r="FD767" i="65"/>
  <c r="FM767" i="65" s="1"/>
  <c r="FI767" i="65"/>
  <c r="FB767" i="65"/>
  <c r="FX767" i="65" s="1"/>
  <c r="GN767" i="65" s="1"/>
  <c r="FJ767" i="65"/>
  <c r="EY767" i="65"/>
  <c r="FL767" i="65"/>
  <c r="FA767" i="65"/>
  <c r="FD759" i="65"/>
  <c r="FM759" i="65" s="1"/>
  <c r="FI759" i="65"/>
  <c r="FB759" i="65"/>
  <c r="FX759" i="65" s="1"/>
  <c r="GN759" i="65" s="1"/>
  <c r="FJ759" i="65"/>
  <c r="EY759" i="65"/>
  <c r="FL759" i="65"/>
  <c r="FA759" i="65"/>
  <c r="FD751" i="65"/>
  <c r="FM751" i="65" s="1"/>
  <c r="FI751" i="65"/>
  <c r="FB751" i="65"/>
  <c r="FJ751" i="65"/>
  <c r="EY751" i="65"/>
  <c r="FL751" i="65"/>
  <c r="FA751" i="65"/>
  <c r="FD746" i="65"/>
  <c r="FM746" i="65" s="1"/>
  <c r="FJ746" i="65"/>
  <c r="EY746" i="65"/>
  <c r="FL746" i="65"/>
  <c r="FB746" i="65"/>
  <c r="FA746" i="65"/>
  <c r="FI746" i="65"/>
  <c r="FD736" i="65"/>
  <c r="FJ736" i="65"/>
  <c r="FI736" i="65"/>
  <c r="EY736" i="65"/>
  <c r="FL736" i="65"/>
  <c r="FB736" i="65"/>
  <c r="FA736" i="65"/>
  <c r="FD730" i="65"/>
  <c r="FM730" i="65" s="1"/>
  <c r="FJ730" i="65"/>
  <c r="FA730" i="65"/>
  <c r="FI730" i="65"/>
  <c r="EY730" i="65"/>
  <c r="FL730" i="65"/>
  <c r="FB730" i="65"/>
  <c r="FH723" i="65"/>
  <c r="FH715" i="65"/>
  <c r="FL709" i="65"/>
  <c r="FD709" i="65"/>
  <c r="FM709" i="65" s="1"/>
  <c r="FA709" i="65"/>
  <c r="FI709" i="65"/>
  <c r="EY709" i="65"/>
  <c r="FB709" i="65"/>
  <c r="FJ709" i="65"/>
  <c r="FH697" i="65"/>
  <c r="FH687" i="65"/>
  <c r="FD681" i="65"/>
  <c r="FM681" i="65" s="1"/>
  <c r="FB681" i="65"/>
  <c r="FX681" i="65" s="1"/>
  <c r="GN681" i="65" s="1"/>
  <c r="EY681" i="65"/>
  <c r="FI681" i="65"/>
  <c r="FL681" i="65"/>
  <c r="FA681" i="65"/>
  <c r="FJ681" i="65"/>
  <c r="FL671" i="65"/>
  <c r="FD671" i="65"/>
  <c r="FM671" i="65" s="1"/>
  <c r="FA671" i="65"/>
  <c r="FI671" i="65"/>
  <c r="FB671" i="65"/>
  <c r="FX671" i="65" s="1"/>
  <c r="GN671" i="65" s="1"/>
  <c r="EY671" i="65"/>
  <c r="FJ671" i="65"/>
  <c r="FD664" i="65"/>
  <c r="FM664" i="65" s="1"/>
  <c r="FJ664" i="65"/>
  <c r="FL664" i="65"/>
  <c r="EY664" i="65"/>
  <c r="FI664" i="65"/>
  <c r="FB664" i="65"/>
  <c r="FA664" i="65"/>
  <c r="FD655" i="65"/>
  <c r="FM655" i="65" s="1"/>
  <c r="EY655" i="65"/>
  <c r="FB655" i="65"/>
  <c r="FJ655" i="65"/>
  <c r="FA655" i="65"/>
  <c r="FI655" i="65"/>
  <c r="FL655" i="65"/>
  <c r="FD648" i="65"/>
  <c r="FM648" i="65" s="1"/>
  <c r="FJ648" i="65"/>
  <c r="FL648" i="65"/>
  <c r="FB648" i="65"/>
  <c r="FX648" i="65" s="1"/>
  <c r="GN648" i="65" s="1"/>
  <c r="FA648" i="65"/>
  <c r="EY648" i="65"/>
  <c r="FI648" i="65"/>
  <c r="FD640" i="65"/>
  <c r="FM640" i="65" s="1"/>
  <c r="FJ640" i="65"/>
  <c r="FL640" i="65"/>
  <c r="EY640" i="65"/>
  <c r="FB640" i="65"/>
  <c r="FX640" i="65" s="1"/>
  <c r="GN640" i="65" s="1"/>
  <c r="FA640" i="65"/>
  <c r="FI640" i="65"/>
  <c r="FH631" i="65"/>
  <c r="FD618" i="65"/>
  <c r="FM618" i="65" s="1"/>
  <c r="FA618" i="65"/>
  <c r="FI618" i="65"/>
  <c r="EY618" i="65"/>
  <c r="FB618" i="65"/>
  <c r="FL618" i="65"/>
  <c r="FJ618" i="65"/>
  <c r="FL602" i="65"/>
  <c r="FD602" i="65"/>
  <c r="FM602" i="65" s="1"/>
  <c r="FA602" i="65"/>
  <c r="FI602" i="65"/>
  <c r="FB602" i="65"/>
  <c r="FX602" i="65" s="1"/>
  <c r="GN602" i="65" s="1"/>
  <c r="EY602" i="65"/>
  <c r="FJ602" i="65"/>
  <c r="FH582" i="65"/>
  <c r="FH566" i="65"/>
  <c r="FH556" i="65"/>
  <c r="FD523" i="65"/>
  <c r="FM523" i="65" s="1"/>
  <c r="FA523" i="65"/>
  <c r="FJ523" i="65"/>
  <c r="EY523" i="65"/>
  <c r="FI523" i="65"/>
  <c r="FB523" i="65"/>
  <c r="FX523" i="65" s="1"/>
  <c r="GN523" i="65" s="1"/>
  <c r="FL523" i="65"/>
  <c r="FL470" i="65"/>
  <c r="FD470" i="65"/>
  <c r="FM470" i="65" s="1"/>
  <c r="FA470" i="65"/>
  <c r="FI470" i="65"/>
  <c r="EY470" i="65"/>
  <c r="FJ470" i="65"/>
  <c r="FB470" i="65"/>
  <c r="FH765" i="65"/>
  <c r="FH757" i="65"/>
  <c r="FH749" i="65"/>
  <c r="FD737" i="65"/>
  <c r="FM737" i="65" s="1"/>
  <c r="EY737" i="65"/>
  <c r="FA737" i="65"/>
  <c r="FL737" i="65"/>
  <c r="FI737" i="65"/>
  <c r="FJ737" i="65"/>
  <c r="FB737" i="65"/>
  <c r="FH733" i="65"/>
  <c r="FD720" i="65"/>
  <c r="FM720" i="65" s="1"/>
  <c r="EY720" i="65"/>
  <c r="FI720" i="65"/>
  <c r="FB720" i="65"/>
  <c r="FX720" i="65" s="1"/>
  <c r="GN720" i="65" s="1"/>
  <c r="FL720" i="65"/>
  <c r="FJ720" i="65"/>
  <c r="FA720" i="65"/>
  <c r="FL710" i="65"/>
  <c r="FD710" i="65"/>
  <c r="FM710" i="65" s="1"/>
  <c r="FA710" i="65"/>
  <c r="FJ710" i="65"/>
  <c r="FI710" i="65"/>
  <c r="EY710" i="65"/>
  <c r="FB710" i="65"/>
  <c r="FL701" i="65"/>
  <c r="FD701" i="65"/>
  <c r="FM701" i="65" s="1"/>
  <c r="FA701" i="65"/>
  <c r="FI701" i="65"/>
  <c r="FB701" i="65"/>
  <c r="FX701" i="65" s="1"/>
  <c r="GN701" i="65" s="1"/>
  <c r="EY701" i="65"/>
  <c r="FJ701" i="65"/>
  <c r="FL691" i="65"/>
  <c r="FD691" i="65"/>
  <c r="FM691" i="65" s="1"/>
  <c r="FB691" i="65"/>
  <c r="FX691" i="65" s="1"/>
  <c r="GN691" i="65" s="1"/>
  <c r="FI691" i="65"/>
  <c r="EY691" i="65"/>
  <c r="FA691" i="65"/>
  <c r="FJ691" i="65"/>
  <c r="FH682" i="65"/>
  <c r="FD672" i="65"/>
  <c r="FM672" i="65" s="1"/>
  <c r="FL672" i="65"/>
  <c r="FJ672" i="65"/>
  <c r="FA672" i="65"/>
  <c r="FG672" i="65"/>
  <c r="EY672" i="65"/>
  <c r="FI672" i="65"/>
  <c r="FB672" i="65"/>
  <c r="FD666" i="65"/>
  <c r="FM666" i="65" s="1"/>
  <c r="FL666" i="65"/>
  <c r="FJ666" i="65"/>
  <c r="FA666" i="65"/>
  <c r="FI666" i="65"/>
  <c r="EY666" i="65"/>
  <c r="FB666" i="65"/>
  <c r="FD657" i="65"/>
  <c r="FM657" i="65" s="1"/>
  <c r="EY657" i="65"/>
  <c r="FB657" i="65"/>
  <c r="FL657" i="65"/>
  <c r="FJ657" i="65"/>
  <c r="FI657" i="65"/>
  <c r="FA657" i="65"/>
  <c r="FG657" i="65"/>
  <c r="FD650" i="65"/>
  <c r="FM650" i="65" s="1"/>
  <c r="FL650" i="65"/>
  <c r="FJ650" i="65"/>
  <c r="FA650" i="65"/>
  <c r="FI650" i="65"/>
  <c r="EY650" i="65"/>
  <c r="FB650" i="65"/>
  <c r="FX650" i="65" s="1"/>
  <c r="GN650" i="65" s="1"/>
  <c r="FD644" i="65"/>
  <c r="FM644" i="65" s="1"/>
  <c r="FL644" i="65"/>
  <c r="FJ644" i="65"/>
  <c r="EY644" i="65"/>
  <c r="FI644" i="65"/>
  <c r="FB644" i="65"/>
  <c r="FX644" i="65" s="1"/>
  <c r="GN644" i="65" s="1"/>
  <c r="FA644" i="65"/>
  <c r="FH637" i="65"/>
  <c r="FD623" i="65"/>
  <c r="FM623" i="65" s="1"/>
  <c r="EY623" i="65"/>
  <c r="FJ623" i="65"/>
  <c r="FB623" i="65"/>
  <c r="FI623" i="65"/>
  <c r="FA623" i="65"/>
  <c r="FL623" i="65"/>
  <c r="FH614" i="65"/>
  <c r="FD599" i="65"/>
  <c r="FM599" i="65" s="1"/>
  <c r="EY599" i="65"/>
  <c r="FA599" i="65"/>
  <c r="FB599" i="65"/>
  <c r="FX599" i="65" s="1"/>
  <c r="GN599" i="65" s="1"/>
  <c r="FI599" i="65"/>
  <c r="FL599" i="65"/>
  <c r="FJ599" i="65"/>
  <c r="FH590" i="65"/>
  <c r="FD571" i="65"/>
  <c r="FM571" i="65" s="1"/>
  <c r="FB571" i="65"/>
  <c r="FX571" i="65" s="1"/>
  <c r="GN571" i="65" s="1"/>
  <c r="FL571" i="65"/>
  <c r="FJ571" i="65"/>
  <c r="FA571" i="65"/>
  <c r="EY571" i="65"/>
  <c r="FI571" i="65"/>
  <c r="FG571" i="65"/>
  <c r="FD541" i="65"/>
  <c r="FM541" i="65" s="1"/>
  <c r="FI541" i="65"/>
  <c r="FL541" i="65"/>
  <c r="EY541" i="65"/>
  <c r="FJ541" i="65"/>
  <c r="FB541" i="65"/>
  <c r="FA541" i="65"/>
  <c r="FH517" i="65"/>
  <c r="FD485" i="65"/>
  <c r="FM485" i="65" s="1"/>
  <c r="EY485" i="65"/>
  <c r="FA485" i="65"/>
  <c r="FB485" i="65"/>
  <c r="FX485" i="65" s="1"/>
  <c r="GN485" i="65" s="1"/>
  <c r="FL485" i="65"/>
  <c r="FJ485" i="65"/>
  <c r="FI485" i="65"/>
  <c r="FH642" i="65"/>
  <c r="FI632" i="65"/>
  <c r="FD632" i="65"/>
  <c r="FM632" i="65" s="1"/>
  <c r="FA632" i="65"/>
  <c r="FJ632" i="65"/>
  <c r="EY632" i="65"/>
  <c r="FL632" i="65"/>
  <c r="FB632" i="65"/>
  <c r="FH621" i="65"/>
  <c r="FL610" i="65"/>
  <c r="FD610" i="65"/>
  <c r="FM610" i="65" s="1"/>
  <c r="FA610" i="65"/>
  <c r="FI610" i="65"/>
  <c r="FB610" i="65"/>
  <c r="FX610" i="65" s="1"/>
  <c r="GN610" i="65" s="1"/>
  <c r="EY610" i="65"/>
  <c r="FJ610" i="65"/>
  <c r="FH598" i="65"/>
  <c r="FD586" i="65"/>
  <c r="FM586" i="65" s="1"/>
  <c r="EY586" i="65"/>
  <c r="FB586" i="65"/>
  <c r="FJ586" i="65"/>
  <c r="FI586" i="65"/>
  <c r="FL586" i="65"/>
  <c r="FA586" i="65"/>
  <c r="FH570" i="65"/>
  <c r="FH547" i="65"/>
  <c r="FL520" i="65"/>
  <c r="FD520" i="65"/>
  <c r="FM520" i="65" s="1"/>
  <c r="FB520" i="65"/>
  <c r="FX520" i="65" s="1"/>
  <c r="GN520" i="65" s="1"/>
  <c r="EY520" i="65"/>
  <c r="FA520" i="65"/>
  <c r="FI520" i="65"/>
  <c r="FJ520" i="65"/>
  <c r="FD490" i="65"/>
  <c r="FM490" i="65" s="1"/>
  <c r="FI490" i="65"/>
  <c r="FJ490" i="65"/>
  <c r="FL490" i="65"/>
  <c r="FA490" i="65"/>
  <c r="EY490" i="65"/>
  <c r="FB490" i="65"/>
  <c r="FH441" i="65"/>
  <c r="FD627" i="65"/>
  <c r="FM627" i="65" s="1"/>
  <c r="FL627" i="65"/>
  <c r="EY627" i="65"/>
  <c r="FJ627" i="65"/>
  <c r="FB627" i="65"/>
  <c r="FI627" i="65"/>
  <c r="FA627" i="65"/>
  <c r="FG627" i="65"/>
  <c r="FH622" i="65"/>
  <c r="FD615" i="65"/>
  <c r="FM615" i="65" s="1"/>
  <c r="FA615" i="65"/>
  <c r="FB615" i="65"/>
  <c r="FJ615" i="65"/>
  <c r="FI615" i="65"/>
  <c r="EY615" i="65"/>
  <c r="FL615" i="65"/>
  <c r="FD607" i="65"/>
  <c r="FM607" i="65" s="1"/>
  <c r="FA607" i="65"/>
  <c r="FJ607" i="65"/>
  <c r="FI607" i="65"/>
  <c r="EY607" i="65"/>
  <c r="FL607" i="65"/>
  <c r="FB607" i="65"/>
  <c r="FX607" i="65" s="1"/>
  <c r="GN607" i="65" s="1"/>
  <c r="FG607" i="65"/>
  <c r="FD597" i="65"/>
  <c r="FM597" i="65" s="1"/>
  <c r="EY597" i="65"/>
  <c r="FJ597" i="65"/>
  <c r="FB597" i="65"/>
  <c r="FX597" i="65" s="1"/>
  <c r="GN597" i="65" s="1"/>
  <c r="FA597" i="65"/>
  <c r="FI597" i="65"/>
  <c r="FL597" i="65"/>
  <c r="FH589" i="65"/>
  <c r="FL581" i="65"/>
  <c r="FD581" i="65"/>
  <c r="FM581" i="65" s="1"/>
  <c r="FA581" i="65"/>
  <c r="FI581" i="65"/>
  <c r="EY581" i="65"/>
  <c r="FJ581" i="65"/>
  <c r="FB581" i="65"/>
  <c r="FL573" i="65"/>
  <c r="FD573" i="65"/>
  <c r="FM573" i="65" s="1"/>
  <c r="EY573" i="65"/>
  <c r="FJ573" i="65"/>
  <c r="FB573" i="65"/>
  <c r="FA573" i="65"/>
  <c r="FI573" i="65"/>
  <c r="FL565" i="65"/>
  <c r="FD565" i="65"/>
  <c r="FM565" i="65" s="1"/>
  <c r="FA565" i="65"/>
  <c r="FI565" i="65"/>
  <c r="EY565" i="65"/>
  <c r="FJ565" i="65"/>
  <c r="FB565" i="65"/>
  <c r="FX565" i="65" s="1"/>
  <c r="GN565" i="65" s="1"/>
  <c r="FD555" i="65"/>
  <c r="FM555" i="65" s="1"/>
  <c r="FJ555" i="65"/>
  <c r="FI555" i="65"/>
  <c r="EY555" i="65"/>
  <c r="FA555" i="65"/>
  <c r="FL555" i="65"/>
  <c r="FB555" i="65"/>
  <c r="FH544" i="65"/>
  <c r="FH527" i="65"/>
  <c r="FH520" i="65"/>
  <c r="FH510" i="65"/>
  <c r="FD498" i="65"/>
  <c r="FM498" i="65" s="1"/>
  <c r="FI498" i="65"/>
  <c r="EY498" i="65"/>
  <c r="FL498" i="65"/>
  <c r="FB498" i="65"/>
  <c r="FA498" i="65"/>
  <c r="FJ498" i="65"/>
  <c r="FD481" i="65"/>
  <c r="FM481" i="65" s="1"/>
  <c r="EY481" i="65"/>
  <c r="FA481" i="65"/>
  <c r="FB481" i="65"/>
  <c r="FX481" i="65" s="1"/>
  <c r="GN481" i="65" s="1"/>
  <c r="FJ481" i="65"/>
  <c r="FI481" i="65"/>
  <c r="FL481" i="65"/>
  <c r="FL468" i="65"/>
  <c r="FD468" i="65"/>
  <c r="FM468" i="65" s="1"/>
  <c r="EY468" i="65"/>
  <c r="FI468" i="65"/>
  <c r="FA468" i="65"/>
  <c r="FB468" i="65"/>
  <c r="FJ468" i="65"/>
  <c r="FD451" i="65"/>
  <c r="FM451" i="65" s="1"/>
  <c r="EY451" i="65"/>
  <c r="FJ451" i="65"/>
  <c r="FI451" i="65"/>
  <c r="FA451" i="65"/>
  <c r="FL451" i="65"/>
  <c r="FB451" i="65"/>
  <c r="FX451" i="65" s="1"/>
  <c r="GN451" i="65" s="1"/>
  <c r="FG451" i="65"/>
  <c r="FH613" i="65"/>
  <c r="FH605" i="65"/>
  <c r="FD593" i="65"/>
  <c r="FM593" i="65" s="1"/>
  <c r="FA593" i="65"/>
  <c r="FL593" i="65"/>
  <c r="EY593" i="65"/>
  <c r="FI593" i="65"/>
  <c r="FB593" i="65"/>
  <c r="FJ593" i="65"/>
  <c r="FD585" i="65"/>
  <c r="FM585" i="65" s="1"/>
  <c r="EY585" i="65"/>
  <c r="FL585" i="65"/>
  <c r="FB585" i="65"/>
  <c r="FJ585" i="65"/>
  <c r="FA585" i="65"/>
  <c r="FI585" i="65"/>
  <c r="FH577" i="65"/>
  <c r="FH569" i="65"/>
  <c r="FH561" i="65"/>
  <c r="FH550" i="65"/>
  <c r="FH534" i="65"/>
  <c r="FL524" i="65"/>
  <c r="FD524" i="65"/>
  <c r="FM524" i="65" s="1"/>
  <c r="EY524" i="65"/>
  <c r="FI524" i="65"/>
  <c r="FA524" i="65"/>
  <c r="FB524" i="65"/>
  <c r="FX524" i="65" s="1"/>
  <c r="GN524" i="65" s="1"/>
  <c r="FJ524" i="65"/>
  <c r="FH508" i="65"/>
  <c r="FH494" i="65"/>
  <c r="FH480" i="65"/>
  <c r="FH465" i="65"/>
  <c r="FH505" i="65"/>
  <c r="FH483" i="65"/>
  <c r="FH466" i="65"/>
  <c r="FD552" i="65"/>
  <c r="FM552" i="65" s="1"/>
  <c r="FB552" i="65"/>
  <c r="EY552" i="65"/>
  <c r="FI552" i="65"/>
  <c r="FG552" i="65"/>
  <c r="FL552" i="65"/>
  <c r="FA552" i="65"/>
  <c r="FJ552" i="65"/>
  <c r="FD545" i="65"/>
  <c r="FM545" i="65" s="1"/>
  <c r="FI545" i="65"/>
  <c r="EY545" i="65"/>
  <c r="FJ545" i="65"/>
  <c r="FB545" i="65"/>
  <c r="FL545" i="65"/>
  <c r="FA545" i="65"/>
  <c r="FH537" i="65"/>
  <c r="FH522" i="65"/>
  <c r="FH515" i="65"/>
  <c r="FD509" i="65"/>
  <c r="FM509" i="65" s="1"/>
  <c r="FB509" i="65"/>
  <c r="EY509" i="65"/>
  <c r="FL509" i="65"/>
  <c r="FJ509" i="65"/>
  <c r="FI509" i="65"/>
  <c r="FA509" i="65"/>
  <c r="FH500" i="65"/>
  <c r="FD496" i="65"/>
  <c r="FM496" i="65" s="1"/>
  <c r="FJ496" i="65"/>
  <c r="FI496" i="65"/>
  <c r="FL496" i="65"/>
  <c r="FB496" i="65"/>
  <c r="FX496" i="65" s="1"/>
  <c r="GN496" i="65" s="1"/>
  <c r="FA496" i="65"/>
  <c r="EY496" i="65"/>
  <c r="FH486" i="65"/>
  <c r="FH478" i="65"/>
  <c r="FH470" i="65"/>
  <c r="FD463" i="65"/>
  <c r="FM463" i="65" s="1"/>
  <c r="FB463" i="65"/>
  <c r="FL463" i="65"/>
  <c r="FJ463" i="65"/>
  <c r="EY463" i="65"/>
  <c r="FI463" i="65"/>
  <c r="FA463" i="65"/>
  <c r="FH453" i="65"/>
  <c r="FH445" i="65"/>
  <c r="FD550" i="65"/>
  <c r="FM550" i="65" s="1"/>
  <c r="FI550" i="65"/>
  <c r="EY550" i="65"/>
  <c r="FB550" i="65"/>
  <c r="FJ550" i="65"/>
  <c r="FA550" i="65"/>
  <c r="FL550" i="65"/>
  <c r="FL540" i="65"/>
  <c r="FD540" i="65"/>
  <c r="FM540" i="65" s="1"/>
  <c r="FI540" i="65"/>
  <c r="FA540" i="65"/>
  <c r="FB540" i="65"/>
  <c r="FJ540" i="65"/>
  <c r="EY540" i="65"/>
  <c r="FL534" i="65"/>
  <c r="FD534" i="65"/>
  <c r="FM534" i="65" s="1"/>
  <c r="FB534" i="65"/>
  <c r="FX534" i="65" s="1"/>
  <c r="GN534" i="65" s="1"/>
  <c r="FI534" i="65"/>
  <c r="EY534" i="65"/>
  <c r="FA534" i="65"/>
  <c r="FJ534" i="65"/>
  <c r="FD525" i="65"/>
  <c r="FM525" i="65" s="1"/>
  <c r="EY525" i="65"/>
  <c r="FI525" i="65"/>
  <c r="FB525" i="65"/>
  <c r="FX525" i="65" s="1"/>
  <c r="GN525" i="65" s="1"/>
  <c r="FL525" i="65"/>
  <c r="FJ525" i="65"/>
  <c r="FA525" i="65"/>
  <c r="FD511" i="65"/>
  <c r="FM511" i="65" s="1"/>
  <c r="EY511" i="65"/>
  <c r="FI511" i="65"/>
  <c r="FB511" i="65"/>
  <c r="FL511" i="65"/>
  <c r="FJ511" i="65"/>
  <c r="FA511" i="65"/>
  <c r="FH502" i="65"/>
  <c r="FD494" i="65"/>
  <c r="FM494" i="65" s="1"/>
  <c r="FL494" i="65"/>
  <c r="FJ494" i="65"/>
  <c r="FI494" i="65"/>
  <c r="EY494" i="65"/>
  <c r="FB494" i="65"/>
  <c r="FX494" i="65" s="1"/>
  <c r="GN494" i="65" s="1"/>
  <c r="FA494" i="65"/>
  <c r="FD484" i="65"/>
  <c r="FM484" i="65" s="1"/>
  <c r="FA484" i="65"/>
  <c r="FJ484" i="65"/>
  <c r="EY484" i="65"/>
  <c r="FI484" i="65"/>
  <c r="FB484" i="65"/>
  <c r="FX484" i="65" s="1"/>
  <c r="GN484" i="65" s="1"/>
  <c r="FL484" i="65"/>
  <c r="FD472" i="65"/>
  <c r="FM472" i="65" s="1"/>
  <c r="FB472" i="65"/>
  <c r="FA472" i="65"/>
  <c r="FI472" i="65"/>
  <c r="EY472" i="65"/>
  <c r="FL472" i="65"/>
  <c r="FJ472" i="65"/>
  <c r="FH464" i="65"/>
  <c r="FH458" i="65"/>
  <c r="FD452" i="65"/>
  <c r="FM452" i="65" s="1"/>
  <c r="FJ452" i="65"/>
  <c r="FL452" i="65"/>
  <c r="EY452" i="65"/>
  <c r="FG452" i="65"/>
  <c r="FB452" i="65"/>
  <c r="FX452" i="65" s="1"/>
  <c r="GN452" i="65" s="1"/>
  <c r="FA452" i="65"/>
  <c r="FI452" i="65"/>
  <c r="FD444" i="65"/>
  <c r="FM444" i="65" s="1"/>
  <c r="EY444" i="65"/>
  <c r="FL444" i="65"/>
  <c r="FB444" i="65"/>
  <c r="FX444" i="65" s="1"/>
  <c r="GN444" i="65" s="1"/>
  <c r="FJ444" i="65"/>
  <c r="FA444" i="65"/>
  <c r="FI444" i="65"/>
  <c r="EY453" i="65"/>
  <c r="FD453" i="65"/>
  <c r="FM453" i="65" s="1"/>
  <c r="FB453" i="65"/>
  <c r="FX453" i="65" s="1"/>
  <c r="GN453" i="65" s="1"/>
  <c r="FA453" i="65"/>
  <c r="FJ453" i="65"/>
  <c r="FI453" i="65"/>
  <c r="FL453" i="65"/>
  <c r="FD445" i="65"/>
  <c r="FM445" i="65" s="1"/>
  <c r="EY445" i="65"/>
  <c r="FL445" i="65"/>
  <c r="FA445" i="65"/>
  <c r="FJ445" i="65"/>
  <c r="FI445" i="65"/>
  <c r="FB445" i="65"/>
  <c r="FX445" i="65" s="1"/>
  <c r="GN445" i="65" s="1"/>
  <c r="FH432" i="65"/>
  <c r="FH416" i="65"/>
  <c r="FH400" i="65"/>
  <c r="FH384" i="65"/>
  <c r="FH368" i="65"/>
  <c r="FH352" i="65"/>
  <c r="FH336" i="65"/>
  <c r="FH320" i="65"/>
  <c r="FH304" i="65"/>
  <c r="FH288" i="65"/>
  <c r="FH272" i="65"/>
  <c r="FH256" i="65"/>
  <c r="FH240" i="65"/>
  <c r="FH224" i="65"/>
  <c r="FH208" i="65"/>
  <c r="FH192" i="65"/>
  <c r="FH176" i="65"/>
  <c r="FH160" i="65"/>
  <c r="FH144" i="65"/>
  <c r="FH128" i="65"/>
  <c r="FH112" i="65"/>
  <c r="FH96" i="65"/>
  <c r="FH80" i="65"/>
  <c r="FH62" i="65"/>
  <c r="FH7" i="65"/>
  <c r="FH431" i="65"/>
  <c r="FH415" i="65"/>
  <c r="FH399" i="65"/>
  <c r="FH383" i="65"/>
  <c r="FH367" i="65"/>
  <c r="FH351" i="65"/>
  <c r="FH335" i="65"/>
  <c r="FH319" i="65"/>
  <c r="FH303" i="65"/>
  <c r="FH287" i="65"/>
  <c r="FH271" i="65"/>
  <c r="FH255" i="65"/>
  <c r="FH239" i="65"/>
  <c r="FH223" i="65"/>
  <c r="FH207" i="65"/>
  <c r="FH191" i="65"/>
  <c r="FH175" i="65"/>
  <c r="FH159" i="65"/>
  <c r="FH143" i="65"/>
  <c r="FH127" i="65"/>
  <c r="FH111" i="65"/>
  <c r="FH95" i="65"/>
  <c r="FH79" i="65"/>
  <c r="FH59" i="65"/>
  <c r="FH426" i="65"/>
  <c r="FH410" i="65"/>
  <c r="FH394" i="65"/>
  <c r="FH378" i="65"/>
  <c r="FH362" i="65"/>
  <c r="FH346" i="65"/>
  <c r="FH330" i="65"/>
  <c r="FH314" i="65"/>
  <c r="FH298" i="65"/>
  <c r="FH282" i="65"/>
  <c r="FH266" i="65"/>
  <c r="FH250" i="65"/>
  <c r="FH234" i="65"/>
  <c r="FH218" i="65"/>
  <c r="FH202" i="65"/>
  <c r="FH186" i="65"/>
  <c r="FH170" i="65"/>
  <c r="FH154" i="65"/>
  <c r="FH138" i="65"/>
  <c r="FH122" i="65"/>
  <c r="FH106" i="65"/>
  <c r="FH90" i="65"/>
  <c r="FH74" i="65"/>
  <c r="FH47" i="65"/>
  <c r="FH437" i="65"/>
  <c r="FH421" i="65"/>
  <c r="FH405" i="65"/>
  <c r="FH389" i="65"/>
  <c r="FH373" i="65"/>
  <c r="FH357" i="65"/>
  <c r="FH341" i="65"/>
  <c r="FH325" i="65"/>
  <c r="FH309" i="65"/>
  <c r="FH293" i="65"/>
  <c r="FH277" i="65"/>
  <c r="FH261" i="65"/>
  <c r="FH245" i="65"/>
  <c r="FH229" i="65"/>
  <c r="FH213" i="65"/>
  <c r="FH197" i="65"/>
  <c r="FH181" i="65"/>
  <c r="FH165" i="65"/>
  <c r="FH149" i="65"/>
  <c r="FH133" i="65"/>
  <c r="FH117" i="65"/>
  <c r="FH101" i="65"/>
  <c r="FH85" i="65"/>
  <c r="FH69" i="65"/>
  <c r="FH27" i="65"/>
  <c r="FH57" i="65"/>
  <c r="FH41" i="65"/>
  <c r="FH25" i="65"/>
  <c r="FH9" i="65"/>
  <c r="FH52" i="65"/>
  <c r="FH36" i="65"/>
  <c r="FH20" i="65"/>
  <c r="FH50" i="65"/>
  <c r="FH34" i="65"/>
  <c r="FH18" i="65"/>
  <c r="FH872" i="65"/>
  <c r="FH864" i="65"/>
  <c r="FH857" i="65"/>
  <c r="FH849" i="65"/>
  <c r="FH841" i="65"/>
  <c r="FD818" i="65"/>
  <c r="FM818" i="65" s="1"/>
  <c r="FI818" i="65"/>
  <c r="FJ818" i="65"/>
  <c r="FA818" i="65"/>
  <c r="EY818" i="65"/>
  <c r="FL818" i="65"/>
  <c r="FB818" i="65"/>
  <c r="FA802" i="65"/>
  <c r="FD802" i="65"/>
  <c r="FM802" i="65" s="1"/>
  <c r="FJ802" i="65"/>
  <c r="FI802" i="65"/>
  <c r="EY802" i="65"/>
  <c r="FL802" i="65"/>
  <c r="FB802" i="65"/>
  <c r="FX802" i="65" s="1"/>
  <c r="GN802" i="65" s="1"/>
  <c r="FD786" i="65"/>
  <c r="FM786" i="65" s="1"/>
  <c r="FL786" i="65"/>
  <c r="FB786" i="65"/>
  <c r="FI786" i="65"/>
  <c r="FJ786" i="65"/>
  <c r="EY786" i="65"/>
  <c r="FA786" i="65"/>
  <c r="FL721" i="65"/>
  <c r="FD721" i="65"/>
  <c r="FM721" i="65" s="1"/>
  <c r="FB721" i="65"/>
  <c r="FX721" i="65" s="1"/>
  <c r="GN721" i="65" s="1"/>
  <c r="EY721" i="65"/>
  <c r="FA721" i="65"/>
  <c r="FI721" i="65"/>
  <c r="FJ721" i="65"/>
  <c r="FL871" i="65"/>
  <c r="FD871" i="65"/>
  <c r="FM871" i="65" s="1"/>
  <c r="EY871" i="65"/>
  <c r="FA871" i="65"/>
  <c r="FI871" i="65"/>
  <c r="FB871" i="65"/>
  <c r="FJ871" i="65"/>
  <c r="FL863" i="65"/>
  <c r="FD863" i="65"/>
  <c r="FM863" i="65" s="1"/>
  <c r="EY863" i="65"/>
  <c r="FA863" i="65"/>
  <c r="FI863" i="65"/>
  <c r="FB863" i="65"/>
  <c r="FJ863" i="65"/>
  <c r="FD855" i="65"/>
  <c r="FM855" i="65" s="1"/>
  <c r="FI855" i="65"/>
  <c r="FA855" i="65"/>
  <c r="FL855" i="65"/>
  <c r="EY855" i="65"/>
  <c r="FJ855" i="65"/>
  <c r="FB855" i="65"/>
  <c r="FD847" i="65"/>
  <c r="FM847" i="65" s="1"/>
  <c r="FJ847" i="65"/>
  <c r="EY847" i="65"/>
  <c r="FB847" i="65"/>
  <c r="FX847" i="65" s="1"/>
  <c r="GN847" i="65" s="1"/>
  <c r="FI847" i="65"/>
  <c r="FL847" i="65"/>
  <c r="FA847" i="65"/>
  <c r="FD839" i="65"/>
  <c r="FM839" i="65" s="1"/>
  <c r="FI839" i="65"/>
  <c r="FJ839" i="65"/>
  <c r="FB839" i="65"/>
  <c r="FX839" i="65" s="1"/>
  <c r="GN839" i="65" s="1"/>
  <c r="FA839" i="65"/>
  <c r="FL839" i="65"/>
  <c r="EY839" i="65"/>
  <c r="FH778" i="65"/>
  <c r="FL875" i="65"/>
  <c r="FD875" i="65"/>
  <c r="FM875" i="65" s="1"/>
  <c r="FA875" i="65"/>
  <c r="FI875" i="65"/>
  <c r="FB875" i="65"/>
  <c r="FX875" i="65" s="1"/>
  <c r="GN875" i="65" s="1"/>
  <c r="EY875" i="65"/>
  <c r="FJ875" i="65"/>
  <c r="FH867" i="65"/>
  <c r="FH859" i="65"/>
  <c r="FH851" i="65"/>
  <c r="FH843" i="65"/>
  <c r="FA824" i="65"/>
  <c r="FD824" i="65"/>
  <c r="FM824" i="65" s="1"/>
  <c r="EY824" i="65"/>
  <c r="FL824" i="65"/>
  <c r="FB824" i="65"/>
  <c r="FJ824" i="65"/>
  <c r="FI824" i="65"/>
  <c r="FD808" i="65"/>
  <c r="FM808" i="65" s="1"/>
  <c r="FB808" i="65"/>
  <c r="FX808" i="65" s="1"/>
  <c r="GN808" i="65" s="1"/>
  <c r="FL808" i="65"/>
  <c r="FJ808" i="65"/>
  <c r="FA808" i="65"/>
  <c r="EY808" i="65"/>
  <c r="FI808" i="65"/>
  <c r="FD792" i="65"/>
  <c r="FM792" i="65" s="1"/>
  <c r="EY792" i="65"/>
  <c r="FA792" i="65"/>
  <c r="FB792" i="65"/>
  <c r="FL792" i="65"/>
  <c r="FJ792" i="65"/>
  <c r="FI792" i="65"/>
  <c r="FD773" i="65"/>
  <c r="FM773" i="65" s="1"/>
  <c r="FL773" i="65"/>
  <c r="FA773" i="65"/>
  <c r="FJ773" i="65"/>
  <c r="FG773" i="65"/>
  <c r="FB773" i="65"/>
  <c r="FX773" i="65" s="1"/>
  <c r="GN773" i="65" s="1"/>
  <c r="EY773" i="65"/>
  <c r="FI773" i="65"/>
  <c r="FH875" i="65"/>
  <c r="FD866" i="65"/>
  <c r="FM866" i="65" s="1"/>
  <c r="FA866" i="65"/>
  <c r="FB866" i="65"/>
  <c r="FI866" i="65"/>
  <c r="FL866" i="65"/>
  <c r="EY866" i="65"/>
  <c r="FJ866" i="65"/>
  <c r="FD857" i="65"/>
  <c r="FM857" i="65" s="1"/>
  <c r="FL857" i="65"/>
  <c r="EY857" i="65"/>
  <c r="FI857" i="65"/>
  <c r="FJ857" i="65"/>
  <c r="FB857" i="65"/>
  <c r="FA857" i="65"/>
  <c r="FD849" i="65"/>
  <c r="FM849" i="65" s="1"/>
  <c r="FL849" i="65"/>
  <c r="FA849" i="65"/>
  <c r="FI849" i="65"/>
  <c r="FJ849" i="65"/>
  <c r="EY849" i="65"/>
  <c r="FB849" i="65"/>
  <c r="FD841" i="65"/>
  <c r="FM841" i="65" s="1"/>
  <c r="FA841" i="65"/>
  <c r="FJ841" i="65"/>
  <c r="FI841" i="65"/>
  <c r="EY841" i="65"/>
  <c r="FB841" i="65"/>
  <c r="FX841" i="65" s="1"/>
  <c r="GN841" i="65" s="1"/>
  <c r="FL841" i="65"/>
  <c r="FH830" i="65"/>
  <c r="FH737" i="65"/>
  <c r="FH835" i="65"/>
  <c r="FH827" i="65"/>
  <c r="FH822" i="65"/>
  <c r="FH818" i="65"/>
  <c r="FH814" i="65"/>
  <c r="FH810" i="65"/>
  <c r="FH806" i="65"/>
  <c r="FH802" i="65"/>
  <c r="FH798" i="65"/>
  <c r="EZ798" i="65"/>
  <c r="FH794" i="65"/>
  <c r="FH790" i="65"/>
  <c r="FH786" i="65"/>
  <c r="FH781" i="65"/>
  <c r="FH773" i="65"/>
  <c r="FH760" i="65"/>
  <c r="FD743" i="65"/>
  <c r="FM743" i="65" s="1"/>
  <c r="FB743" i="65"/>
  <c r="FI743" i="65"/>
  <c r="EY743" i="65"/>
  <c r="FA743" i="65"/>
  <c r="FL743" i="65"/>
  <c r="FJ743" i="65"/>
  <c r="FL718" i="65"/>
  <c r="FD718" i="65"/>
  <c r="FM718" i="65" s="1"/>
  <c r="FA718" i="65"/>
  <c r="EY718" i="65"/>
  <c r="FB718" i="65"/>
  <c r="FX718" i="65" s="1"/>
  <c r="GN718" i="65" s="1"/>
  <c r="FJ718" i="65"/>
  <c r="FI718" i="65"/>
  <c r="FH702" i="65"/>
  <c r="FL687" i="65"/>
  <c r="FD687" i="65"/>
  <c r="FM687" i="65" s="1"/>
  <c r="EY687" i="65"/>
  <c r="FA687" i="65"/>
  <c r="FI687" i="65"/>
  <c r="FB687" i="65"/>
  <c r="FX687" i="65" s="1"/>
  <c r="GN687" i="65" s="1"/>
  <c r="FJ687" i="65"/>
  <c r="FD676" i="65"/>
  <c r="FM676" i="65" s="1"/>
  <c r="FJ676" i="65"/>
  <c r="FL676" i="65"/>
  <c r="EY676" i="65"/>
  <c r="FB676" i="65"/>
  <c r="FX676" i="65" s="1"/>
  <c r="GN676" i="65" s="1"/>
  <c r="FA676" i="65"/>
  <c r="FI676" i="65"/>
  <c r="FG676" i="65"/>
  <c r="FH659" i="65"/>
  <c r="FH639" i="65"/>
  <c r="FD566" i="65"/>
  <c r="FM566" i="65" s="1"/>
  <c r="EY566" i="65"/>
  <c r="FA566" i="65"/>
  <c r="FB566" i="65"/>
  <c r="FX566" i="65" s="1"/>
  <c r="GN566" i="65" s="1"/>
  <c r="FI566" i="65"/>
  <c r="FL566" i="65"/>
  <c r="FJ566" i="65"/>
  <c r="FH836" i="65"/>
  <c r="FH828" i="65"/>
  <c r="FH819" i="65"/>
  <c r="FH803" i="65"/>
  <c r="FH795" i="65"/>
  <c r="FH787" i="65"/>
  <c r="FD779" i="65"/>
  <c r="FM779" i="65" s="1"/>
  <c r="FI779" i="65"/>
  <c r="FB779" i="65"/>
  <c r="FL779" i="65"/>
  <c r="FA779" i="65"/>
  <c r="FJ779" i="65"/>
  <c r="EY779" i="65"/>
  <c r="FD771" i="65"/>
  <c r="FM771" i="65" s="1"/>
  <c r="FI771" i="65"/>
  <c r="FB771" i="65"/>
  <c r="FX771" i="65" s="1"/>
  <c r="GN771" i="65" s="1"/>
  <c r="FJ771" i="65"/>
  <c r="EY771" i="65"/>
  <c r="FL771" i="65"/>
  <c r="FA771" i="65"/>
  <c r="FH758" i="65"/>
  <c r="FD738" i="65"/>
  <c r="FM738" i="65" s="1"/>
  <c r="FJ738" i="65"/>
  <c r="FB738" i="65"/>
  <c r="FA738" i="65"/>
  <c r="FI738" i="65"/>
  <c r="EY738" i="65"/>
  <c r="FL738" i="65"/>
  <c r="FL717" i="65"/>
  <c r="FD717" i="65"/>
  <c r="FM717" i="65" s="1"/>
  <c r="FB717" i="65"/>
  <c r="FX717" i="65" s="1"/>
  <c r="GN717" i="65" s="1"/>
  <c r="EY717" i="65"/>
  <c r="FI717" i="65"/>
  <c r="FA717" i="65"/>
  <c r="FJ717" i="65"/>
  <c r="FH701" i="65"/>
  <c r="FL689" i="65"/>
  <c r="FD689" i="65"/>
  <c r="FM689" i="65" s="1"/>
  <c r="EY689" i="65"/>
  <c r="FI689" i="65"/>
  <c r="FB689" i="65"/>
  <c r="FX689" i="65" s="1"/>
  <c r="GN689" i="65" s="1"/>
  <c r="FA689" i="65"/>
  <c r="FJ689" i="65"/>
  <c r="FH668" i="65"/>
  <c r="FD653" i="65"/>
  <c r="FM653" i="65" s="1"/>
  <c r="FI653" i="65"/>
  <c r="FA653" i="65"/>
  <c r="FL653" i="65"/>
  <c r="EY653" i="65"/>
  <c r="FB653" i="65"/>
  <c r="FX653" i="65" s="1"/>
  <c r="GN653" i="65" s="1"/>
  <c r="FJ653" i="65"/>
  <c r="FD611" i="65"/>
  <c r="FM611" i="65" s="1"/>
  <c r="FA611" i="65"/>
  <c r="EY611" i="65"/>
  <c r="FL611" i="65"/>
  <c r="FB611" i="65"/>
  <c r="FJ611" i="65"/>
  <c r="FI611" i="65"/>
  <c r="FH543" i="65"/>
  <c r="FD830" i="65"/>
  <c r="FM830" i="65" s="1"/>
  <c r="FL830" i="65"/>
  <c r="FJ830" i="65"/>
  <c r="FA830" i="65"/>
  <c r="EY830" i="65"/>
  <c r="FG830" i="65"/>
  <c r="FB830" i="65"/>
  <c r="FI830" i="65"/>
  <c r="FH779" i="65"/>
  <c r="FH771" i="65"/>
  <c r="FH761" i="65"/>
  <c r="FD727" i="65"/>
  <c r="FM727" i="65" s="1"/>
  <c r="FB727" i="65"/>
  <c r="FX727" i="65" s="1"/>
  <c r="GN727" i="65" s="1"/>
  <c r="FI727" i="65"/>
  <c r="FJ727" i="65"/>
  <c r="FA727" i="65"/>
  <c r="EY727" i="65"/>
  <c r="FL727" i="65"/>
  <c r="FG727" i="65"/>
  <c r="FH717" i="65"/>
  <c r="FH703" i="65"/>
  <c r="FH689" i="65"/>
  <c r="FH675" i="65"/>
  <c r="FD658" i="65"/>
  <c r="FM658" i="65" s="1"/>
  <c r="FJ658" i="65"/>
  <c r="FL658" i="65"/>
  <c r="FA658" i="65"/>
  <c r="FI658" i="65"/>
  <c r="EY658" i="65"/>
  <c r="FB658" i="65"/>
  <c r="FX658" i="65" s="1"/>
  <c r="GN658" i="65" s="1"/>
  <c r="FD609" i="65"/>
  <c r="FM609" i="65" s="1"/>
  <c r="EY609" i="65"/>
  <c r="FI609" i="65"/>
  <c r="FB609" i="65"/>
  <c r="FX609" i="65" s="1"/>
  <c r="GN609" i="65" s="1"/>
  <c r="FL609" i="65"/>
  <c r="FJ609" i="65"/>
  <c r="FA609" i="65"/>
  <c r="FG609" i="65"/>
  <c r="FD557" i="65"/>
  <c r="FM557" i="65" s="1"/>
  <c r="FI557" i="65"/>
  <c r="FJ557" i="65"/>
  <c r="EY557" i="65"/>
  <c r="FB557" i="65"/>
  <c r="FX557" i="65" s="1"/>
  <c r="GN557" i="65" s="1"/>
  <c r="FL557" i="65"/>
  <c r="FA557" i="65"/>
  <c r="FH705" i="65"/>
  <c r="FG691" i="65"/>
  <c r="FH691" i="65"/>
  <c r="FD678" i="65"/>
  <c r="FM678" i="65" s="1"/>
  <c r="FL678" i="65"/>
  <c r="FA678" i="65"/>
  <c r="FJ678" i="65"/>
  <c r="FI678" i="65"/>
  <c r="EY678" i="65"/>
  <c r="FB678" i="65"/>
  <c r="FX678" i="65" s="1"/>
  <c r="GN678" i="65" s="1"/>
  <c r="FH662" i="65"/>
  <c r="FH650" i="65"/>
  <c r="FD567" i="65"/>
  <c r="FM567" i="65" s="1"/>
  <c r="EY567" i="65"/>
  <c r="FI567" i="65"/>
  <c r="FB567" i="65"/>
  <c r="FX567" i="65" s="1"/>
  <c r="GN567" i="65" s="1"/>
  <c r="FL567" i="65"/>
  <c r="FJ567" i="65"/>
  <c r="FA567" i="65"/>
  <c r="FD765" i="65"/>
  <c r="FM765" i="65" s="1"/>
  <c r="FJ765" i="65"/>
  <c r="EY765" i="65"/>
  <c r="FB765" i="65"/>
  <c r="FX765" i="65" s="1"/>
  <c r="GN765" i="65" s="1"/>
  <c r="FI765" i="65"/>
  <c r="FL765" i="65"/>
  <c r="FA765" i="65"/>
  <c r="FD757" i="65"/>
  <c r="FM757" i="65" s="1"/>
  <c r="FL757" i="65"/>
  <c r="FA757" i="65"/>
  <c r="FB757" i="65"/>
  <c r="FX757" i="65" s="1"/>
  <c r="GN757" i="65" s="1"/>
  <c r="FJ757" i="65"/>
  <c r="EY757" i="65"/>
  <c r="FI757" i="65"/>
  <c r="FB749" i="65"/>
  <c r="FD749" i="65"/>
  <c r="FM749" i="65" s="1"/>
  <c r="EY749" i="65"/>
  <c r="FL749" i="65"/>
  <c r="FI749" i="65"/>
  <c r="FA749" i="65"/>
  <c r="FJ749" i="65"/>
  <c r="FH745" i="65"/>
  <c r="FI733" i="65"/>
  <c r="FD733" i="65"/>
  <c r="FM733" i="65" s="1"/>
  <c r="FJ733" i="65"/>
  <c r="FA733" i="65"/>
  <c r="EY733" i="65"/>
  <c r="FL733" i="65"/>
  <c r="FB733" i="65"/>
  <c r="FH729" i="65"/>
  <c r="FH722" i="65"/>
  <c r="FH714" i="65"/>
  <c r="FH708" i="65"/>
  <c r="FL695" i="65"/>
  <c r="FD695" i="65"/>
  <c r="FM695" i="65" s="1"/>
  <c r="FA695" i="65"/>
  <c r="FI695" i="65"/>
  <c r="FB695" i="65"/>
  <c r="FX695" i="65" s="1"/>
  <c r="GN695" i="65" s="1"/>
  <c r="EY695" i="65"/>
  <c r="FJ695" i="65"/>
  <c r="FH686" i="65"/>
  <c r="FL679" i="65"/>
  <c r="FD679" i="65"/>
  <c r="FM679" i="65" s="1"/>
  <c r="FA679" i="65"/>
  <c r="FI679" i="65"/>
  <c r="FB679" i="65"/>
  <c r="FX679" i="65" s="1"/>
  <c r="GN679" i="65" s="1"/>
  <c r="EY679" i="65"/>
  <c r="FJ679" i="65"/>
  <c r="FH670" i="65"/>
  <c r="FD661" i="65"/>
  <c r="FM661" i="65" s="1"/>
  <c r="FL661" i="65"/>
  <c r="EY661" i="65"/>
  <c r="FJ661" i="65"/>
  <c r="FB661" i="65"/>
  <c r="FA661" i="65"/>
  <c r="FI661" i="65"/>
  <c r="FH654" i="65"/>
  <c r="FD645" i="65"/>
  <c r="FM645" i="65" s="1"/>
  <c r="FA645" i="65"/>
  <c r="FI645" i="65"/>
  <c r="FL645" i="65"/>
  <c r="EY645" i="65"/>
  <c r="FJ645" i="65"/>
  <c r="FB645" i="65"/>
  <c r="FX645" i="65" s="1"/>
  <c r="GN645" i="65" s="1"/>
  <c r="FD637" i="65"/>
  <c r="FM637" i="65" s="1"/>
  <c r="FB637" i="65"/>
  <c r="FI637" i="65"/>
  <c r="FJ637" i="65"/>
  <c r="FL637" i="65"/>
  <c r="EY637" i="65"/>
  <c r="FA637" i="65"/>
  <c r="FI624" i="65"/>
  <c r="FD624" i="65"/>
  <c r="FM624" i="65" s="1"/>
  <c r="FA624" i="65"/>
  <c r="EY624" i="65"/>
  <c r="FL624" i="65"/>
  <c r="FB624" i="65"/>
  <c r="FJ624" i="65"/>
  <c r="FH611" i="65"/>
  <c r="FD595" i="65"/>
  <c r="FM595" i="65" s="1"/>
  <c r="FL595" i="65"/>
  <c r="EY595" i="65"/>
  <c r="FJ595" i="65"/>
  <c r="FB595" i="65"/>
  <c r="FX595" i="65" s="1"/>
  <c r="GN595" i="65" s="1"/>
  <c r="FA595" i="65"/>
  <c r="FI595" i="65"/>
  <c r="FH575" i="65"/>
  <c r="FH559" i="65"/>
  <c r="EZ559" i="65"/>
  <c r="FH539" i="65"/>
  <c r="FH501" i="65"/>
  <c r="FH449" i="65"/>
  <c r="FH764" i="65"/>
  <c r="FH756" i="65"/>
  <c r="FH747" i="65"/>
  <c r="FH736" i="65"/>
  <c r="FH731" i="65"/>
  <c r="FD716" i="65"/>
  <c r="FM716" i="65" s="1"/>
  <c r="EY716" i="65"/>
  <c r="FL716" i="65"/>
  <c r="FB716" i="65"/>
  <c r="FX716" i="65" s="1"/>
  <c r="GN716" i="65" s="1"/>
  <c r="FJ716" i="65"/>
  <c r="FA716" i="65"/>
  <c r="FI716" i="65"/>
  <c r="FH709" i="65"/>
  <c r="FH700" i="65"/>
  <c r="FL690" i="65"/>
  <c r="FD690" i="65"/>
  <c r="FM690" i="65" s="1"/>
  <c r="FA690" i="65"/>
  <c r="FB690" i="65"/>
  <c r="FX690" i="65" s="1"/>
  <c r="GN690" i="65" s="1"/>
  <c r="FJ690" i="65"/>
  <c r="FI690" i="65"/>
  <c r="EY690" i="65"/>
  <c r="FH681" i="65"/>
  <c r="FH671" i="65"/>
  <c r="EZ671" i="65"/>
  <c r="FH664" i="65"/>
  <c r="FH655" i="65"/>
  <c r="FH648" i="65"/>
  <c r="FH643" i="65"/>
  <c r="FD636" i="65"/>
  <c r="FM636" i="65" s="1"/>
  <c r="FA636" i="65"/>
  <c r="FI636" i="65"/>
  <c r="FB636" i="65"/>
  <c r="EY636" i="65"/>
  <c r="FL636" i="65"/>
  <c r="FJ636" i="65"/>
  <c r="FD621" i="65"/>
  <c r="FM621" i="65" s="1"/>
  <c r="FA621" i="65"/>
  <c r="FL621" i="65"/>
  <c r="EY621" i="65"/>
  <c r="FJ621" i="65"/>
  <c r="FB621" i="65"/>
  <c r="FI621" i="65"/>
  <c r="FL612" i="65"/>
  <c r="FD612" i="65"/>
  <c r="FM612" i="65" s="1"/>
  <c r="FA612" i="65"/>
  <c r="FI612" i="65"/>
  <c r="FJ612" i="65"/>
  <c r="FB612" i="65"/>
  <c r="EY612" i="65"/>
  <c r="FD598" i="65"/>
  <c r="FM598" i="65" s="1"/>
  <c r="EY598" i="65"/>
  <c r="FI598" i="65"/>
  <c r="FA598" i="65"/>
  <c r="FB598" i="65"/>
  <c r="FX598" i="65" s="1"/>
  <c r="GN598" i="65" s="1"/>
  <c r="FL598" i="65"/>
  <c r="FJ598" i="65"/>
  <c r="FD588" i="65"/>
  <c r="FM588" i="65" s="1"/>
  <c r="EY588" i="65"/>
  <c r="FB588" i="65"/>
  <c r="FJ588" i="65"/>
  <c r="FI588" i="65"/>
  <c r="FA588" i="65"/>
  <c r="FL588" i="65"/>
  <c r="FD570" i="65"/>
  <c r="FM570" i="65" s="1"/>
  <c r="EY570" i="65"/>
  <c r="FA570" i="65"/>
  <c r="FB570" i="65"/>
  <c r="FX570" i="65" s="1"/>
  <c r="GN570" i="65" s="1"/>
  <c r="FG570" i="65"/>
  <c r="FJ570" i="65"/>
  <c r="FI570" i="65"/>
  <c r="FL570" i="65"/>
  <c r="FL538" i="65"/>
  <c r="FD538" i="65"/>
  <c r="FM538" i="65" s="1"/>
  <c r="FA538" i="65"/>
  <c r="FI538" i="65"/>
  <c r="FB538" i="65"/>
  <c r="FX538" i="65" s="1"/>
  <c r="GN538" i="65" s="1"/>
  <c r="EY538" i="65"/>
  <c r="FJ538" i="65"/>
  <c r="FD514" i="65"/>
  <c r="FM514" i="65" s="1"/>
  <c r="FJ514" i="65"/>
  <c r="FA514" i="65"/>
  <c r="EY514" i="65"/>
  <c r="FI514" i="65"/>
  <c r="FB514" i="65"/>
  <c r="FL514" i="65"/>
  <c r="FL478" i="65"/>
  <c r="FD478" i="65"/>
  <c r="FM478" i="65" s="1"/>
  <c r="FB478" i="65"/>
  <c r="FA478" i="65"/>
  <c r="FI478" i="65"/>
  <c r="EY478" i="65"/>
  <c r="FJ478" i="65"/>
  <c r="FD639" i="65"/>
  <c r="FM639" i="65" s="1"/>
  <c r="EY639" i="65"/>
  <c r="FB639" i="65"/>
  <c r="FX639" i="65" s="1"/>
  <c r="GN639" i="65" s="1"/>
  <c r="FA639" i="65"/>
  <c r="FI639" i="65"/>
  <c r="FL639" i="65"/>
  <c r="FJ639" i="65"/>
  <c r="FH630" i="65"/>
  <c r="FH619" i="65"/>
  <c r="FH603" i="65"/>
  <c r="FH591" i="65"/>
  <c r="FH579" i="65"/>
  <c r="FH563" i="65"/>
  <c r="FD544" i="65"/>
  <c r="FM544" i="65" s="1"/>
  <c r="FA544" i="65"/>
  <c r="FI544" i="65"/>
  <c r="FJ544" i="65"/>
  <c r="FG544" i="65"/>
  <c r="EY544" i="65"/>
  <c r="FL544" i="65"/>
  <c r="FB544" i="65"/>
  <c r="FD510" i="65"/>
  <c r="FM510" i="65" s="1"/>
  <c r="FL510" i="65"/>
  <c r="FJ510" i="65"/>
  <c r="FA510" i="65"/>
  <c r="FI510" i="65"/>
  <c r="EY510" i="65"/>
  <c r="FB510" i="65"/>
  <c r="FD477" i="65"/>
  <c r="FM477" i="65" s="1"/>
  <c r="EY477" i="65"/>
  <c r="FA477" i="65"/>
  <c r="FB477" i="65"/>
  <c r="FG477" i="65"/>
  <c r="FL477" i="65"/>
  <c r="FJ477" i="65"/>
  <c r="FI477" i="65"/>
  <c r="FI634" i="65"/>
  <c r="FD634" i="65"/>
  <c r="FM634" i="65" s="1"/>
  <c r="FA634" i="65"/>
  <c r="EY634" i="65"/>
  <c r="FB634" i="65"/>
  <c r="FL634" i="65"/>
  <c r="FJ634" i="65"/>
  <c r="FI626" i="65"/>
  <c r="FD626" i="65"/>
  <c r="FM626" i="65" s="1"/>
  <c r="FA626" i="65"/>
  <c r="FL626" i="65"/>
  <c r="FJ626" i="65"/>
  <c r="EY626" i="65"/>
  <c r="FB626" i="65"/>
  <c r="FH620" i="65"/>
  <c r="FD613" i="65"/>
  <c r="FM613" i="65" s="1"/>
  <c r="FJ613" i="65"/>
  <c r="EY613" i="65"/>
  <c r="FI613" i="65"/>
  <c r="FA613" i="65"/>
  <c r="FB613" i="65"/>
  <c r="FL613" i="65"/>
  <c r="FD605" i="65"/>
  <c r="FM605" i="65" s="1"/>
  <c r="EY605" i="65"/>
  <c r="FI605" i="65"/>
  <c r="FA605" i="65"/>
  <c r="FB605" i="65"/>
  <c r="FX605" i="65" s="1"/>
  <c r="GN605" i="65" s="1"/>
  <c r="FL605" i="65"/>
  <c r="FJ605" i="65"/>
  <c r="FH595" i="65"/>
  <c r="FD587" i="65"/>
  <c r="FM587" i="65" s="1"/>
  <c r="FA587" i="65"/>
  <c r="FI587" i="65"/>
  <c r="EY587" i="65"/>
  <c r="FL587" i="65"/>
  <c r="FB587" i="65"/>
  <c r="FJ587" i="65"/>
  <c r="FD580" i="65"/>
  <c r="FM580" i="65" s="1"/>
  <c r="FA580" i="65"/>
  <c r="FB580" i="65"/>
  <c r="EY580" i="65"/>
  <c r="FL580" i="65"/>
  <c r="FI580" i="65"/>
  <c r="FJ580" i="65"/>
  <c r="FD572" i="65"/>
  <c r="FM572" i="65" s="1"/>
  <c r="FA572" i="65"/>
  <c r="FB572" i="65"/>
  <c r="FX572" i="65" s="1"/>
  <c r="GN572" i="65" s="1"/>
  <c r="EY572" i="65"/>
  <c r="FL572" i="65"/>
  <c r="FI572" i="65"/>
  <c r="FJ572" i="65"/>
  <c r="FD564" i="65"/>
  <c r="FM564" i="65" s="1"/>
  <c r="FA564" i="65"/>
  <c r="FB564" i="65"/>
  <c r="FX564" i="65" s="1"/>
  <c r="GN564" i="65" s="1"/>
  <c r="EY564" i="65"/>
  <c r="FL564" i="65"/>
  <c r="FI564" i="65"/>
  <c r="FJ564" i="65"/>
  <c r="FH554" i="65"/>
  <c r="FD542" i="65"/>
  <c r="FM542" i="65" s="1"/>
  <c r="FA542" i="65"/>
  <c r="FI542" i="65"/>
  <c r="FJ542" i="65"/>
  <c r="FG542" i="65"/>
  <c r="EY542" i="65"/>
  <c r="FL542" i="65"/>
  <c r="FB542" i="65"/>
  <c r="FH526" i="65"/>
  <c r="FD518" i="65"/>
  <c r="FM518" i="65" s="1"/>
  <c r="FL518" i="65"/>
  <c r="FJ518" i="65"/>
  <c r="EY518" i="65"/>
  <c r="FG518" i="65"/>
  <c r="FB518" i="65"/>
  <c r="FI518" i="65"/>
  <c r="FA518" i="65"/>
  <c r="FD507" i="65"/>
  <c r="FM507" i="65" s="1"/>
  <c r="FB507" i="65"/>
  <c r="EY507" i="65"/>
  <c r="FL507" i="65"/>
  <c r="FJ507" i="65"/>
  <c r="FA507" i="65"/>
  <c r="FI507" i="65"/>
  <c r="FH491" i="65"/>
  <c r="FD476" i="65"/>
  <c r="FM476" i="65" s="1"/>
  <c r="EY476" i="65"/>
  <c r="FL476" i="65"/>
  <c r="FJ476" i="65"/>
  <c r="FB476" i="65"/>
  <c r="FI476" i="65"/>
  <c r="FA476" i="65"/>
  <c r="FD460" i="65"/>
  <c r="FM460" i="65" s="1"/>
  <c r="FL460" i="65"/>
  <c r="FA460" i="65"/>
  <c r="EY460" i="65"/>
  <c r="FI460" i="65"/>
  <c r="FB460" i="65"/>
  <c r="FJ460" i="65"/>
  <c r="FD446" i="65"/>
  <c r="FM446" i="65" s="1"/>
  <c r="FA446" i="65"/>
  <c r="FI446" i="65"/>
  <c r="EY446" i="65"/>
  <c r="FL446" i="65"/>
  <c r="FB446" i="65"/>
  <c r="FX446" i="65" s="1"/>
  <c r="GN446" i="65" s="1"/>
  <c r="FJ446" i="65"/>
  <c r="FD629" i="65"/>
  <c r="FM629" i="65" s="1"/>
  <c r="EY629" i="65"/>
  <c r="FJ629" i="65"/>
  <c r="FB629" i="65"/>
  <c r="FI629" i="65"/>
  <c r="FA629" i="65"/>
  <c r="FL629" i="65"/>
  <c r="FH616" i="65"/>
  <c r="FH608" i="65"/>
  <c r="FH600" i="65"/>
  <c r="FH592" i="65"/>
  <c r="FH584" i="65"/>
  <c r="FH576" i="65"/>
  <c r="FH568" i="65"/>
  <c r="FH560" i="65"/>
  <c r="FD543" i="65"/>
  <c r="FM543" i="65" s="1"/>
  <c r="FI543" i="65"/>
  <c r="FL543" i="65"/>
  <c r="EY543" i="65"/>
  <c r="FJ543" i="65"/>
  <c r="FB543" i="65"/>
  <c r="FA543" i="65"/>
  <c r="FH531" i="65"/>
  <c r="FH519" i="65"/>
  <c r="FD506" i="65"/>
  <c r="FM506" i="65" s="1"/>
  <c r="EY506" i="65"/>
  <c r="FI506" i="65"/>
  <c r="FB506" i="65"/>
  <c r="FL506" i="65"/>
  <c r="FA506" i="65"/>
  <c r="FJ506" i="65"/>
  <c r="FD492" i="65"/>
  <c r="FM492" i="65" s="1"/>
  <c r="FL492" i="65"/>
  <c r="FI492" i="65"/>
  <c r="FJ492" i="65"/>
  <c r="FG492" i="65"/>
  <c r="EY492" i="65"/>
  <c r="FB492" i="65"/>
  <c r="FA492" i="65"/>
  <c r="FH479" i="65"/>
  <c r="FD462" i="65"/>
  <c r="FM462" i="65" s="1"/>
  <c r="FA462" i="65"/>
  <c r="EY462" i="65"/>
  <c r="FI462" i="65"/>
  <c r="FL462" i="65"/>
  <c r="FB462" i="65"/>
  <c r="FJ462" i="65"/>
  <c r="FH493" i="65"/>
  <c r="FD473" i="65"/>
  <c r="FM473" i="65" s="1"/>
  <c r="FA473" i="65"/>
  <c r="EY473" i="65"/>
  <c r="FJ473" i="65"/>
  <c r="FB473" i="65"/>
  <c r="FL473" i="65"/>
  <c r="FI473" i="65"/>
  <c r="FH455" i="65"/>
  <c r="FH549" i="65"/>
  <c r="FD533" i="65"/>
  <c r="FM533" i="65" s="1"/>
  <c r="FB533" i="65"/>
  <c r="FX533" i="65" s="1"/>
  <c r="GN533" i="65" s="1"/>
  <c r="FL533" i="65"/>
  <c r="FJ533" i="65"/>
  <c r="EY533" i="65"/>
  <c r="FI533" i="65"/>
  <c r="FA533" i="65"/>
  <c r="FH521" i="65"/>
  <c r="FH514" i="65"/>
  <c r="FH507" i="65"/>
  <c r="FD499" i="65"/>
  <c r="FM499" i="65" s="1"/>
  <c r="FB499" i="65"/>
  <c r="FA499" i="65"/>
  <c r="FI499" i="65"/>
  <c r="FL499" i="65"/>
  <c r="EY499" i="65"/>
  <c r="FJ499" i="65"/>
  <c r="FD495" i="65"/>
  <c r="FM495" i="65" s="1"/>
  <c r="FI495" i="65"/>
  <c r="FA495" i="65"/>
  <c r="FL495" i="65"/>
  <c r="FB495" i="65"/>
  <c r="FX495" i="65" s="1"/>
  <c r="GN495" i="65" s="1"/>
  <c r="FJ495" i="65"/>
  <c r="EY495" i="65"/>
  <c r="FH485" i="65"/>
  <c r="FH477" i="65"/>
  <c r="FH468" i="65"/>
  <c r="FD461" i="65"/>
  <c r="FM461" i="65" s="1"/>
  <c r="FA461" i="65"/>
  <c r="FB461" i="65"/>
  <c r="FI461" i="65"/>
  <c r="EY461" i="65"/>
  <c r="FL461" i="65"/>
  <c r="FJ461" i="65"/>
  <c r="FD450" i="65"/>
  <c r="FM450" i="65" s="1"/>
  <c r="FA450" i="65"/>
  <c r="FI450" i="65"/>
  <c r="EY450" i="65"/>
  <c r="FL450" i="65"/>
  <c r="FB450" i="65"/>
  <c r="FX450" i="65" s="1"/>
  <c r="GN450" i="65" s="1"/>
  <c r="FJ450" i="65"/>
  <c r="FL442" i="65"/>
  <c r="FD442" i="65"/>
  <c r="FM442" i="65" s="1"/>
  <c r="FA442" i="65"/>
  <c r="FI442" i="65"/>
  <c r="EY442" i="65"/>
  <c r="FB442" i="65"/>
  <c r="FX442" i="65" s="1"/>
  <c r="GN442" i="65" s="1"/>
  <c r="FJ442" i="65"/>
  <c r="FD547" i="65"/>
  <c r="FM547" i="65" s="1"/>
  <c r="FJ547" i="65"/>
  <c r="EY547" i="65"/>
  <c r="FI547" i="65"/>
  <c r="FB547" i="65"/>
  <c r="FA547" i="65"/>
  <c r="FL547" i="65"/>
  <c r="FD539" i="65"/>
  <c r="FM539" i="65" s="1"/>
  <c r="FA539" i="65"/>
  <c r="EY539" i="65"/>
  <c r="FI539" i="65"/>
  <c r="FB539" i="65"/>
  <c r="FL539" i="65"/>
  <c r="FJ539" i="65"/>
  <c r="FH533" i="65"/>
  <c r="FA519" i="65"/>
  <c r="FD519" i="65"/>
  <c r="FM519" i="65" s="1"/>
  <c r="FI519" i="65"/>
  <c r="EY519" i="65"/>
  <c r="FL519" i="65"/>
  <c r="FB519" i="65"/>
  <c r="FX519" i="65" s="1"/>
  <c r="GN519" i="65" s="1"/>
  <c r="FJ519" i="65"/>
  <c r="FH509" i="65"/>
  <c r="FH499" i="65"/>
  <c r="FD493" i="65"/>
  <c r="FM493" i="65" s="1"/>
  <c r="FI493" i="65"/>
  <c r="EY493" i="65"/>
  <c r="FL493" i="65"/>
  <c r="FA493" i="65"/>
  <c r="FB493" i="65"/>
  <c r="FX493" i="65" s="1"/>
  <c r="GN493" i="65" s="1"/>
  <c r="FJ493" i="65"/>
  <c r="FD483" i="65"/>
  <c r="FM483" i="65" s="1"/>
  <c r="FB483" i="65"/>
  <c r="FX483" i="65" s="1"/>
  <c r="GN483" i="65" s="1"/>
  <c r="FA483" i="65"/>
  <c r="EY483" i="65"/>
  <c r="FI483" i="65"/>
  <c r="FJ483" i="65"/>
  <c r="FL483" i="65"/>
  <c r="FD471" i="65"/>
  <c r="FM471" i="65" s="1"/>
  <c r="FA471" i="65"/>
  <c r="FB471" i="65"/>
  <c r="FL471" i="65"/>
  <c r="FG471" i="65"/>
  <c r="FJ471" i="65"/>
  <c r="EY471" i="65"/>
  <c r="FI471" i="65"/>
  <c r="FH463" i="65"/>
  <c r="FD456" i="65"/>
  <c r="FM456" i="65" s="1"/>
  <c r="FL456" i="65"/>
  <c r="FA456" i="65"/>
  <c r="EY456" i="65"/>
  <c r="FI456" i="65"/>
  <c r="FB456" i="65"/>
  <c r="FX456" i="65" s="1"/>
  <c r="GN456" i="65" s="1"/>
  <c r="FJ456" i="65"/>
  <c r="FH450" i="65"/>
  <c r="FH442" i="65"/>
  <c r="FH451" i="65"/>
  <c r="FH443" i="65"/>
  <c r="FB249" i="65"/>
  <c r="FX249" i="65" s="1"/>
  <c r="GN249" i="65" s="1"/>
  <c r="FM249" i="65"/>
  <c r="FL249" i="65"/>
  <c r="EY62" i="65"/>
  <c r="FI62" i="65"/>
  <c r="FJ62" i="65"/>
  <c r="FB62" i="65"/>
  <c r="FL62" i="65"/>
  <c r="FA62" i="65"/>
  <c r="EY160" i="65"/>
  <c r="FJ160" i="65"/>
  <c r="FI160" i="65"/>
  <c r="FL160" i="65"/>
  <c r="EZ160" i="65" s="1"/>
  <c r="FA160" i="65"/>
  <c r="FB160" i="65"/>
  <c r="FX160" i="65" s="1"/>
  <c r="EY134" i="65"/>
  <c r="FI134" i="65"/>
  <c r="FJ134" i="65"/>
  <c r="FB134" i="65"/>
  <c r="FX134" i="65" s="1"/>
  <c r="FL134" i="65"/>
  <c r="FA134" i="65"/>
  <c r="EY241" i="65"/>
  <c r="FJ241" i="65"/>
  <c r="FI241" i="65"/>
  <c r="FA241" i="65"/>
  <c r="FB241" i="65"/>
  <c r="FX241" i="65" s="1"/>
  <c r="FL241" i="65"/>
  <c r="EY326" i="65"/>
  <c r="FI326" i="65"/>
  <c r="FJ326" i="65"/>
  <c r="FB326" i="65"/>
  <c r="FX326" i="65" s="1"/>
  <c r="FL326" i="65"/>
  <c r="FA326" i="65"/>
  <c r="EY390" i="65"/>
  <c r="FI390" i="65"/>
  <c r="FJ390" i="65"/>
  <c r="FB390" i="65"/>
  <c r="FL390" i="65"/>
  <c r="FA390" i="65"/>
  <c r="EY34" i="65"/>
  <c r="FI34" i="65"/>
  <c r="FJ34" i="65"/>
  <c r="FB34" i="65"/>
  <c r="FL34" i="65"/>
  <c r="FA34" i="65"/>
  <c r="EY141" i="65"/>
  <c r="FJ141" i="65"/>
  <c r="FI141" i="65"/>
  <c r="FA141" i="65"/>
  <c r="FB141" i="65"/>
  <c r="FL141" i="65"/>
  <c r="EY226" i="65"/>
  <c r="FI226" i="65"/>
  <c r="FJ226" i="65"/>
  <c r="FB226" i="65"/>
  <c r="FL226" i="65"/>
  <c r="EZ226" i="65" s="1"/>
  <c r="FA226" i="65"/>
  <c r="EY290" i="65"/>
  <c r="FI290" i="65"/>
  <c r="FJ290" i="65"/>
  <c r="FB290" i="65"/>
  <c r="FX290" i="65" s="1"/>
  <c r="FL290" i="65"/>
  <c r="FA290" i="65"/>
  <c r="EY376" i="65"/>
  <c r="FJ376" i="65"/>
  <c r="FI376" i="65"/>
  <c r="FL376" i="65"/>
  <c r="FA376" i="65"/>
  <c r="FB376" i="65"/>
  <c r="EY383" i="65"/>
  <c r="FJ383" i="65"/>
  <c r="FI383" i="65"/>
  <c r="FL383" i="65"/>
  <c r="FA383" i="65"/>
  <c r="FB383" i="65"/>
  <c r="EY319" i="65"/>
  <c r="FJ319" i="65"/>
  <c r="FI319" i="65"/>
  <c r="FL319" i="65"/>
  <c r="FA319" i="65"/>
  <c r="FB319" i="65"/>
  <c r="EY255" i="65"/>
  <c r="FJ255" i="65"/>
  <c r="FI255" i="65"/>
  <c r="FL255" i="65"/>
  <c r="FA255" i="65"/>
  <c r="FB255" i="65"/>
  <c r="FX255" i="65" s="1"/>
  <c r="EY207" i="65"/>
  <c r="FJ207" i="65"/>
  <c r="FI207" i="65"/>
  <c r="FL207" i="65"/>
  <c r="FA207" i="65"/>
  <c r="FB207" i="65"/>
  <c r="FX207" i="65" s="1"/>
  <c r="EY143" i="65"/>
  <c r="FJ143" i="65"/>
  <c r="FI143" i="65"/>
  <c r="FM143" i="65"/>
  <c r="FL143" i="65"/>
  <c r="FA143" i="65"/>
  <c r="FB143" i="65"/>
  <c r="EY79" i="65"/>
  <c r="FJ79" i="65"/>
  <c r="FI79" i="65"/>
  <c r="FM79" i="65"/>
  <c r="FL79" i="65"/>
  <c r="FA79" i="65"/>
  <c r="FB79" i="65"/>
  <c r="EY15" i="65"/>
  <c r="FJ15" i="65"/>
  <c r="FI15" i="65"/>
  <c r="FM15" i="65"/>
  <c r="FL15" i="65"/>
  <c r="FA15" i="65"/>
  <c r="FB15" i="65"/>
  <c r="FX15" i="65" s="1"/>
  <c r="EY73" i="65"/>
  <c r="FJ73" i="65"/>
  <c r="FI73" i="65"/>
  <c r="FA73" i="65"/>
  <c r="FB73" i="65"/>
  <c r="FL73" i="65"/>
  <c r="EZ73" i="65" s="1"/>
  <c r="EY121" i="65"/>
  <c r="FJ121" i="65"/>
  <c r="FI121" i="65"/>
  <c r="FA121" i="65"/>
  <c r="FB121" i="65"/>
  <c r="FL121" i="65"/>
  <c r="EY101" i="65"/>
  <c r="FJ101" i="65"/>
  <c r="FI101" i="65"/>
  <c r="FA101" i="65"/>
  <c r="FB101" i="65"/>
  <c r="FL101" i="65"/>
  <c r="EY165" i="65"/>
  <c r="FJ165" i="65"/>
  <c r="FI165" i="65"/>
  <c r="FA165" i="65"/>
  <c r="FB165" i="65"/>
  <c r="FX165" i="65" s="1"/>
  <c r="FL165" i="65"/>
  <c r="EY96" i="65"/>
  <c r="FJ96" i="65"/>
  <c r="FI96" i="65"/>
  <c r="FL96" i="65"/>
  <c r="FA96" i="65"/>
  <c r="FB96" i="65"/>
  <c r="FX96" i="65" s="1"/>
  <c r="EY140" i="65"/>
  <c r="FJ140" i="65"/>
  <c r="FI140" i="65"/>
  <c r="FL140" i="65"/>
  <c r="FA140" i="65"/>
  <c r="FB140" i="65"/>
  <c r="EY204" i="65"/>
  <c r="FJ204" i="65"/>
  <c r="FI204" i="65"/>
  <c r="FA204" i="65"/>
  <c r="FL204" i="65"/>
  <c r="FB204" i="65"/>
  <c r="FX204" i="65" s="1"/>
  <c r="EY268" i="65"/>
  <c r="FJ268" i="65"/>
  <c r="FI268" i="65"/>
  <c r="FL268" i="65"/>
  <c r="FA268" i="65"/>
  <c r="FB268" i="65"/>
  <c r="EY332" i="65"/>
  <c r="FJ332" i="65"/>
  <c r="FI332" i="65"/>
  <c r="FL332" i="65"/>
  <c r="FA332" i="65"/>
  <c r="FB332" i="65"/>
  <c r="FX332" i="65" s="1"/>
  <c r="EY42" i="65"/>
  <c r="FI42" i="65"/>
  <c r="FJ42" i="65"/>
  <c r="FB42" i="65"/>
  <c r="FL42" i="65"/>
  <c r="FA42" i="65"/>
  <c r="EY74" i="65"/>
  <c r="FI74" i="65"/>
  <c r="FJ74" i="65"/>
  <c r="FB74" i="65"/>
  <c r="FL74" i="65"/>
  <c r="FG74" i="65"/>
  <c r="FA74" i="65"/>
  <c r="EY125" i="65"/>
  <c r="FJ125" i="65"/>
  <c r="FI125" i="65"/>
  <c r="FA125" i="65"/>
  <c r="FB125" i="65"/>
  <c r="FX125" i="65" s="1"/>
  <c r="FL125" i="65"/>
  <c r="EY168" i="65"/>
  <c r="FJ168" i="65"/>
  <c r="FI168" i="65"/>
  <c r="FL168" i="65"/>
  <c r="FA168" i="65"/>
  <c r="FB168" i="65"/>
  <c r="FX168" i="65" s="1"/>
  <c r="EY232" i="65"/>
  <c r="FJ232" i="65"/>
  <c r="FI232" i="65"/>
  <c r="FL232" i="65"/>
  <c r="FA232" i="65"/>
  <c r="FB232" i="65"/>
  <c r="EY274" i="65"/>
  <c r="FI274" i="65"/>
  <c r="FJ274" i="65"/>
  <c r="FB274" i="65"/>
  <c r="FL274" i="65"/>
  <c r="FA274" i="65"/>
  <c r="EY317" i="65"/>
  <c r="FJ317" i="65"/>
  <c r="FI317" i="65"/>
  <c r="FA317" i="65"/>
  <c r="FB317" i="65"/>
  <c r="FL317" i="65"/>
  <c r="EY6" i="65"/>
  <c r="FJ6" i="65"/>
  <c r="FI6" i="65"/>
  <c r="FA6" i="65"/>
  <c r="FB6" i="65"/>
  <c r="FX6" i="65" s="1"/>
  <c r="FL6" i="65"/>
  <c r="EY46" i="65"/>
  <c r="FI46" i="65"/>
  <c r="FJ46" i="65"/>
  <c r="FB46" i="65"/>
  <c r="FX46" i="65" s="1"/>
  <c r="FL46" i="65"/>
  <c r="EZ46" i="65" s="1"/>
  <c r="FA46" i="65"/>
  <c r="EY78" i="65"/>
  <c r="FI78" i="65"/>
  <c r="FJ78" i="65"/>
  <c r="FB78" i="65"/>
  <c r="FL78" i="65"/>
  <c r="EZ78" i="65" s="1"/>
  <c r="FA78" i="65"/>
  <c r="EY106" i="65"/>
  <c r="FI106" i="65"/>
  <c r="FJ106" i="65"/>
  <c r="FB106" i="65"/>
  <c r="FL106" i="65"/>
  <c r="FA106" i="65"/>
  <c r="EY128" i="65"/>
  <c r="FJ128" i="65"/>
  <c r="FI128" i="65"/>
  <c r="FL128" i="65"/>
  <c r="EZ128" i="65" s="1"/>
  <c r="FA128" i="65"/>
  <c r="FB128" i="65"/>
  <c r="FX128" i="65" s="1"/>
  <c r="EY149" i="65"/>
  <c r="FJ149" i="65"/>
  <c r="FI149" i="65"/>
  <c r="FA149" i="65"/>
  <c r="FB149" i="65"/>
  <c r="FL149" i="65"/>
  <c r="EY170" i="65"/>
  <c r="FI170" i="65"/>
  <c r="FJ170" i="65"/>
  <c r="FB170" i="65"/>
  <c r="FX170" i="65" s="1"/>
  <c r="FL170" i="65"/>
  <c r="FA170" i="65"/>
  <c r="EY40" i="65"/>
  <c r="FJ40" i="65"/>
  <c r="FI40" i="65"/>
  <c r="FL40" i="65"/>
  <c r="FA40" i="65"/>
  <c r="FB40" i="65"/>
  <c r="EY72" i="65"/>
  <c r="FJ72" i="65"/>
  <c r="FI72" i="65"/>
  <c r="FL72" i="65"/>
  <c r="FA72" i="65"/>
  <c r="FB72" i="65"/>
  <c r="EY102" i="65"/>
  <c r="FI102" i="65"/>
  <c r="FJ102" i="65"/>
  <c r="FB102" i="65"/>
  <c r="FL102" i="65"/>
  <c r="FA102" i="65"/>
  <c r="EY124" i="65"/>
  <c r="FJ124" i="65"/>
  <c r="FI124" i="65"/>
  <c r="FL124" i="65"/>
  <c r="FA124" i="65"/>
  <c r="FB124" i="65"/>
  <c r="FX124" i="65" s="1"/>
  <c r="EY145" i="65"/>
  <c r="FJ145" i="65"/>
  <c r="FI145" i="65"/>
  <c r="FA145" i="65"/>
  <c r="FB145" i="65"/>
  <c r="FL145" i="65"/>
  <c r="EY166" i="65"/>
  <c r="FI166" i="65"/>
  <c r="FJ166" i="65"/>
  <c r="FB166" i="65"/>
  <c r="FX166" i="65" s="1"/>
  <c r="FL166" i="65"/>
  <c r="EZ166" i="65" s="1"/>
  <c r="FA166" i="65"/>
  <c r="EY188" i="65"/>
  <c r="FJ188" i="65"/>
  <c r="FI188" i="65"/>
  <c r="FA188" i="65"/>
  <c r="FL188" i="65"/>
  <c r="FB188" i="65"/>
  <c r="EY209" i="65"/>
  <c r="FJ209" i="65"/>
  <c r="FI209" i="65"/>
  <c r="FA209" i="65"/>
  <c r="FB209" i="65"/>
  <c r="FX209" i="65" s="1"/>
  <c r="FL209" i="65"/>
  <c r="EY230" i="65"/>
  <c r="FI230" i="65"/>
  <c r="FJ230" i="65"/>
  <c r="FB230" i="65"/>
  <c r="FL230" i="65"/>
  <c r="FG230" i="65"/>
  <c r="FA230" i="65"/>
  <c r="EY252" i="65"/>
  <c r="FJ252" i="65"/>
  <c r="FI252" i="65"/>
  <c r="FL252" i="65"/>
  <c r="FA252" i="65"/>
  <c r="FB252" i="65"/>
  <c r="FX252" i="65" s="1"/>
  <c r="EY273" i="65"/>
  <c r="FJ273" i="65"/>
  <c r="FI273" i="65"/>
  <c r="FA273" i="65"/>
  <c r="FB273" i="65"/>
  <c r="FL273" i="65"/>
  <c r="EY294" i="65"/>
  <c r="FI294" i="65"/>
  <c r="FJ294" i="65"/>
  <c r="FB294" i="65"/>
  <c r="FX294" i="65" s="1"/>
  <c r="FL294" i="65"/>
  <c r="FA294" i="65"/>
  <c r="EY316" i="65"/>
  <c r="FJ316" i="65"/>
  <c r="FI316" i="65"/>
  <c r="FL316" i="65"/>
  <c r="FA316" i="65"/>
  <c r="FB316" i="65"/>
  <c r="EY337" i="65"/>
  <c r="FJ337" i="65"/>
  <c r="FI337" i="65"/>
  <c r="FA337" i="65"/>
  <c r="FB337" i="65"/>
  <c r="FX337" i="65" s="1"/>
  <c r="FL337" i="65"/>
  <c r="EY358" i="65"/>
  <c r="FI358" i="65"/>
  <c r="FJ358" i="65"/>
  <c r="FB358" i="65"/>
  <c r="FL358" i="65"/>
  <c r="FA358" i="65"/>
  <c r="EY380" i="65"/>
  <c r="FJ380" i="65"/>
  <c r="FI380" i="65"/>
  <c r="FL380" i="65"/>
  <c r="FA380" i="65"/>
  <c r="FB380" i="65"/>
  <c r="EY12" i="65"/>
  <c r="FJ12" i="65"/>
  <c r="FI12" i="65"/>
  <c r="FL12" i="65"/>
  <c r="FA12" i="65"/>
  <c r="FB12" i="65"/>
  <c r="FX12" i="65" s="1"/>
  <c r="EY50" i="65"/>
  <c r="FI50" i="65"/>
  <c r="FJ50" i="65"/>
  <c r="FB50" i="65"/>
  <c r="FX50" i="65" s="1"/>
  <c r="FL50" i="65"/>
  <c r="FA50" i="65"/>
  <c r="EY82" i="65"/>
  <c r="FI82" i="65"/>
  <c r="FJ82" i="65"/>
  <c r="FB82" i="65"/>
  <c r="FL82" i="65"/>
  <c r="FA82" i="65"/>
  <c r="EY109" i="65"/>
  <c r="FJ109" i="65"/>
  <c r="FI109" i="65"/>
  <c r="FA109" i="65"/>
  <c r="FB109" i="65"/>
  <c r="FL109" i="65"/>
  <c r="EY130" i="65"/>
  <c r="FI130" i="65"/>
  <c r="FJ130" i="65"/>
  <c r="FB130" i="65"/>
  <c r="FX130" i="65" s="1"/>
  <c r="FL130" i="65"/>
  <c r="EZ130" i="65" s="1"/>
  <c r="FA130" i="65"/>
  <c r="EY152" i="65"/>
  <c r="FJ152" i="65"/>
  <c r="FI152" i="65"/>
  <c r="FL152" i="65"/>
  <c r="FA152" i="65"/>
  <c r="FB152" i="65"/>
  <c r="EY173" i="65"/>
  <c r="FJ173" i="65"/>
  <c r="FI173" i="65"/>
  <c r="FA173" i="65"/>
  <c r="FB173" i="65"/>
  <c r="FX173" i="65" s="1"/>
  <c r="FL173" i="65"/>
  <c r="EZ173" i="65" s="1"/>
  <c r="EY194" i="65"/>
  <c r="FI194" i="65"/>
  <c r="FJ194" i="65"/>
  <c r="FA194" i="65"/>
  <c r="FB194" i="65"/>
  <c r="FL194" i="65"/>
  <c r="EY216" i="65"/>
  <c r="FJ216" i="65"/>
  <c r="FI216" i="65"/>
  <c r="FL216" i="65"/>
  <c r="FA216" i="65"/>
  <c r="FB216" i="65"/>
  <c r="FX216" i="65" s="1"/>
  <c r="EY237" i="65"/>
  <c r="FJ237" i="65"/>
  <c r="FI237" i="65"/>
  <c r="FA237" i="65"/>
  <c r="FB237" i="65"/>
  <c r="FL237" i="65"/>
  <c r="EY258" i="65"/>
  <c r="FI258" i="65"/>
  <c r="FJ258" i="65"/>
  <c r="FB258" i="65"/>
  <c r="FL258" i="65"/>
  <c r="FA258" i="65"/>
  <c r="EY280" i="65"/>
  <c r="FJ280" i="65"/>
  <c r="FI280" i="65"/>
  <c r="FL280" i="65"/>
  <c r="FA280" i="65"/>
  <c r="FB280" i="65"/>
  <c r="FX280" i="65" s="1"/>
  <c r="EY301" i="65"/>
  <c r="FJ301" i="65"/>
  <c r="FI301" i="65"/>
  <c r="FA301" i="65"/>
  <c r="FB301" i="65"/>
  <c r="FL301" i="65"/>
  <c r="EY322" i="65"/>
  <c r="FI322" i="65"/>
  <c r="FJ322" i="65"/>
  <c r="FB322" i="65"/>
  <c r="FX322" i="65" s="1"/>
  <c r="FL322" i="65"/>
  <c r="FA322" i="65"/>
  <c r="EY344" i="65"/>
  <c r="FJ344" i="65"/>
  <c r="FI344" i="65"/>
  <c r="FL344" i="65"/>
  <c r="FA344" i="65"/>
  <c r="FB344" i="65"/>
  <c r="EY365" i="65"/>
  <c r="FJ365" i="65"/>
  <c r="FI365" i="65"/>
  <c r="FA365" i="65"/>
  <c r="FB365" i="65"/>
  <c r="FX365" i="65" s="1"/>
  <c r="FL365" i="65"/>
  <c r="EZ365" i="65" s="1"/>
  <c r="EY386" i="65"/>
  <c r="FI386" i="65"/>
  <c r="FJ386" i="65"/>
  <c r="FB386" i="65"/>
  <c r="FL386" i="65"/>
  <c r="FA386" i="65"/>
  <c r="EY375" i="65"/>
  <c r="FJ375" i="65"/>
  <c r="FI375" i="65"/>
  <c r="FL375" i="65"/>
  <c r="FA375" i="65"/>
  <c r="FB375" i="65"/>
  <c r="FX375" i="65" s="1"/>
  <c r="EY359" i="65"/>
  <c r="FJ359" i="65"/>
  <c r="FI359" i="65"/>
  <c r="FL359" i="65"/>
  <c r="FA359" i="65"/>
  <c r="FB359" i="65"/>
  <c r="EY343" i="65"/>
  <c r="FJ343" i="65"/>
  <c r="FI343" i="65"/>
  <c r="FL343" i="65"/>
  <c r="FA343" i="65"/>
  <c r="FB343" i="65"/>
  <c r="EY327" i="65"/>
  <c r="FJ327" i="65"/>
  <c r="FI327" i="65"/>
  <c r="FL327" i="65"/>
  <c r="FA327" i="65"/>
  <c r="FB327" i="65"/>
  <c r="FX327" i="65" s="1"/>
  <c r="EY311" i="65"/>
  <c r="FJ311" i="65"/>
  <c r="FI311" i="65"/>
  <c r="FL311" i="65"/>
  <c r="FA311" i="65"/>
  <c r="FB311" i="65"/>
  <c r="EY295" i="65"/>
  <c r="FJ295" i="65"/>
  <c r="FI295" i="65"/>
  <c r="FL295" i="65"/>
  <c r="FA295" i="65"/>
  <c r="FB295" i="65"/>
  <c r="EY279" i="65"/>
  <c r="FJ279" i="65"/>
  <c r="FI279" i="65"/>
  <c r="FL279" i="65"/>
  <c r="FA279" i="65"/>
  <c r="FB279" i="65"/>
  <c r="FX279" i="65" s="1"/>
  <c r="EY263" i="65"/>
  <c r="FJ263" i="65"/>
  <c r="FI263" i="65"/>
  <c r="FL263" i="65"/>
  <c r="FA263" i="65"/>
  <c r="FB263" i="65"/>
  <c r="EY247" i="65"/>
  <c r="FJ247" i="65"/>
  <c r="FI247" i="65"/>
  <c r="FL247" i="65"/>
  <c r="FA247" i="65"/>
  <c r="FB247" i="65"/>
  <c r="FX247" i="65" s="1"/>
  <c r="EY231" i="65"/>
  <c r="FJ231" i="65"/>
  <c r="FI231" i="65"/>
  <c r="FL231" i="65"/>
  <c r="FA231" i="65"/>
  <c r="FB231" i="65"/>
  <c r="EY215" i="65"/>
  <c r="FJ215" i="65"/>
  <c r="FI215" i="65"/>
  <c r="FL215" i="65"/>
  <c r="FA215" i="65"/>
  <c r="FB215" i="65"/>
  <c r="FX215" i="65" s="1"/>
  <c r="EY199" i="65"/>
  <c r="FJ199" i="65"/>
  <c r="FI199" i="65"/>
  <c r="FL199" i="65"/>
  <c r="FB199" i="65"/>
  <c r="FA199" i="65"/>
  <c r="EY183" i="65"/>
  <c r="FJ183" i="65"/>
  <c r="FI183" i="65"/>
  <c r="FL183" i="65"/>
  <c r="FA183" i="65"/>
  <c r="FB183" i="65"/>
  <c r="EY167" i="65"/>
  <c r="FJ167" i="65"/>
  <c r="FI167" i="65"/>
  <c r="FL167" i="65"/>
  <c r="FA167" i="65"/>
  <c r="FB167" i="65"/>
  <c r="FX167" i="65" s="1"/>
  <c r="EY151" i="65"/>
  <c r="FJ151" i="65"/>
  <c r="FI151" i="65"/>
  <c r="FL151" i="65"/>
  <c r="FA151" i="65"/>
  <c r="FB151" i="65"/>
  <c r="EY135" i="65"/>
  <c r="FJ135" i="65"/>
  <c r="FI135" i="65"/>
  <c r="FL135" i="65"/>
  <c r="FA135" i="65"/>
  <c r="FB135" i="65"/>
  <c r="FX135" i="65" s="1"/>
  <c r="EY119" i="65"/>
  <c r="FJ119" i="65"/>
  <c r="FI119" i="65"/>
  <c r="FL119" i="65"/>
  <c r="FA119" i="65"/>
  <c r="FB119" i="65"/>
  <c r="EY103" i="65"/>
  <c r="FJ103" i="65"/>
  <c r="FI103" i="65"/>
  <c r="FL103" i="65"/>
  <c r="FA103" i="65"/>
  <c r="FB103" i="65"/>
  <c r="EY87" i="65"/>
  <c r="FJ87" i="65"/>
  <c r="FI87" i="65"/>
  <c r="FL87" i="65"/>
  <c r="FA87" i="65"/>
  <c r="FB87" i="65"/>
  <c r="FX87" i="65" s="1"/>
  <c r="EY71" i="65"/>
  <c r="FJ71" i="65"/>
  <c r="FI71" i="65"/>
  <c r="FL71" i="65"/>
  <c r="FA71" i="65"/>
  <c r="FB71" i="65"/>
  <c r="EY55" i="65"/>
  <c r="FJ55" i="65"/>
  <c r="FI55" i="65"/>
  <c r="FL55" i="65"/>
  <c r="FA55" i="65"/>
  <c r="FB55" i="65"/>
  <c r="FX55" i="65" s="1"/>
  <c r="EY39" i="65"/>
  <c r="FJ39" i="65"/>
  <c r="FI39" i="65"/>
  <c r="FL39" i="65"/>
  <c r="FA39" i="65"/>
  <c r="FB39" i="65"/>
  <c r="EY23" i="65"/>
  <c r="FJ23" i="65"/>
  <c r="FI23" i="65"/>
  <c r="FL23" i="65"/>
  <c r="FA23" i="65"/>
  <c r="FB23" i="65"/>
  <c r="EY22" i="65"/>
  <c r="FI22" i="65"/>
  <c r="FJ22" i="65"/>
  <c r="FB22" i="65"/>
  <c r="FL22" i="65"/>
  <c r="FA22" i="65"/>
  <c r="EY97" i="65"/>
  <c r="FJ97" i="65"/>
  <c r="FI97" i="65"/>
  <c r="FA97" i="65"/>
  <c r="FB97" i="65"/>
  <c r="FX97" i="65" s="1"/>
  <c r="FL97" i="65"/>
  <c r="EY81" i="65"/>
  <c r="FJ81" i="65"/>
  <c r="FI81" i="65"/>
  <c r="FA81" i="65"/>
  <c r="FB81" i="65"/>
  <c r="FL81" i="65"/>
  <c r="EY65" i="65"/>
  <c r="FJ65" i="65"/>
  <c r="FI65" i="65"/>
  <c r="FA65" i="65"/>
  <c r="FB65" i="65"/>
  <c r="FL65" i="65"/>
  <c r="EY49" i="65"/>
  <c r="FJ49" i="65"/>
  <c r="FI49" i="65"/>
  <c r="FA49" i="65"/>
  <c r="FB49" i="65"/>
  <c r="FX49" i="65" s="1"/>
  <c r="FL49" i="65"/>
  <c r="EY33" i="65"/>
  <c r="FJ33" i="65"/>
  <c r="FI33" i="65"/>
  <c r="FA33" i="65"/>
  <c r="FB33" i="65"/>
  <c r="FL33" i="65"/>
  <c r="EZ33" i="65" s="1"/>
  <c r="EY17" i="65"/>
  <c r="FJ17" i="65"/>
  <c r="FI17" i="65"/>
  <c r="FA17" i="65"/>
  <c r="FB17" i="65"/>
  <c r="FX17" i="65" s="1"/>
  <c r="FL17" i="65"/>
  <c r="EY222" i="65"/>
  <c r="FI222" i="65"/>
  <c r="FJ222" i="65"/>
  <c r="FB222" i="65"/>
  <c r="FL222" i="65"/>
  <c r="FA222" i="65"/>
  <c r="EY180" i="65"/>
  <c r="FJ180" i="65"/>
  <c r="FI180" i="65"/>
  <c r="FL180" i="65"/>
  <c r="FA180" i="65"/>
  <c r="FB180" i="65"/>
  <c r="EY142" i="65"/>
  <c r="FI142" i="65"/>
  <c r="FJ142" i="65"/>
  <c r="FB142" i="65"/>
  <c r="FL142" i="65"/>
  <c r="FA142" i="65"/>
  <c r="EY100" i="65"/>
  <c r="FJ100" i="65"/>
  <c r="FI100" i="65"/>
  <c r="FL100" i="65"/>
  <c r="EZ100" i="65" s="1"/>
  <c r="FA100" i="65"/>
  <c r="FB100" i="65"/>
  <c r="EY36" i="65"/>
  <c r="FJ36" i="65"/>
  <c r="FI36" i="65"/>
  <c r="FL36" i="65"/>
  <c r="FA36" i="65"/>
  <c r="FB36" i="65"/>
  <c r="EY196" i="65"/>
  <c r="FJ196" i="65"/>
  <c r="FI196" i="65"/>
  <c r="FA196" i="65"/>
  <c r="FL196" i="65"/>
  <c r="FB196" i="65"/>
  <c r="EY148" i="65"/>
  <c r="FJ148" i="65"/>
  <c r="FI148" i="65"/>
  <c r="FL148" i="65"/>
  <c r="FA148" i="65"/>
  <c r="FB148" i="65"/>
  <c r="EY105" i="65"/>
  <c r="FJ105" i="65"/>
  <c r="FI105" i="65"/>
  <c r="FA105" i="65"/>
  <c r="FB105" i="65"/>
  <c r="FL105" i="65"/>
  <c r="EZ105" i="65" s="1"/>
  <c r="EY44" i="65"/>
  <c r="FJ44" i="65"/>
  <c r="FI44" i="65"/>
  <c r="FL44" i="65"/>
  <c r="FA44" i="65"/>
  <c r="FB44" i="65"/>
  <c r="EY213" i="65"/>
  <c r="FJ213" i="65"/>
  <c r="FI213" i="65"/>
  <c r="FA213" i="65"/>
  <c r="FB213" i="65"/>
  <c r="FX213" i="65" s="1"/>
  <c r="FL213" i="65"/>
  <c r="EY192" i="65"/>
  <c r="FJ192" i="65"/>
  <c r="FI192" i="65"/>
  <c r="FA192" i="65"/>
  <c r="FB192" i="65"/>
  <c r="FL192" i="65"/>
  <c r="EY276" i="65"/>
  <c r="FJ276" i="65"/>
  <c r="FI276" i="65"/>
  <c r="FL276" i="65"/>
  <c r="FA276" i="65"/>
  <c r="FB276" i="65"/>
  <c r="EY254" i="65"/>
  <c r="FI254" i="65"/>
  <c r="FJ254" i="65"/>
  <c r="FB254" i="65"/>
  <c r="FX254" i="65" s="1"/>
  <c r="FL254" i="65"/>
  <c r="FA254" i="65"/>
  <c r="EY261" i="65"/>
  <c r="FJ261" i="65"/>
  <c r="FI261" i="65"/>
  <c r="FG261" i="65"/>
  <c r="FA261" i="65"/>
  <c r="FB261" i="65"/>
  <c r="FL261" i="65"/>
  <c r="EY297" i="65"/>
  <c r="FJ297" i="65"/>
  <c r="FI297" i="65"/>
  <c r="FA297" i="65"/>
  <c r="FB297" i="65"/>
  <c r="FL297" i="65"/>
  <c r="EY292" i="65"/>
  <c r="FJ292" i="65"/>
  <c r="FI292" i="65"/>
  <c r="FL292" i="65"/>
  <c r="FA292" i="65"/>
  <c r="FB292" i="65"/>
  <c r="FX292" i="65" s="1"/>
  <c r="EY293" i="65"/>
  <c r="FJ293" i="65"/>
  <c r="FI293" i="65"/>
  <c r="FA293" i="65"/>
  <c r="FB293" i="65"/>
  <c r="FX293" i="65" s="1"/>
  <c r="FL293" i="65"/>
  <c r="EY233" i="65"/>
  <c r="FJ233" i="65"/>
  <c r="FI233" i="65"/>
  <c r="FA233" i="65"/>
  <c r="FB233" i="65"/>
  <c r="FL233" i="65"/>
  <c r="EY240" i="65"/>
  <c r="FJ240" i="65"/>
  <c r="FI240" i="65"/>
  <c r="FL240" i="65"/>
  <c r="FA240" i="65"/>
  <c r="FB240" i="65"/>
  <c r="EY324" i="65"/>
  <c r="FJ324" i="65"/>
  <c r="FI324" i="65"/>
  <c r="FL324" i="65"/>
  <c r="FA324" i="65"/>
  <c r="FB324" i="65"/>
  <c r="FX324" i="65" s="1"/>
  <c r="EY336" i="65"/>
  <c r="FJ336" i="65"/>
  <c r="FI336" i="65"/>
  <c r="FL336" i="65"/>
  <c r="FA336" i="65"/>
  <c r="FB336" i="65"/>
  <c r="FX336" i="65" s="1"/>
  <c r="EY314" i="65"/>
  <c r="FI314" i="65"/>
  <c r="FJ314" i="65"/>
  <c r="FG314" i="65"/>
  <c r="FB314" i="65"/>
  <c r="FL314" i="65"/>
  <c r="FA314" i="65"/>
  <c r="EY356" i="65"/>
  <c r="FJ356" i="65"/>
  <c r="FI356" i="65"/>
  <c r="FL356" i="65"/>
  <c r="EZ356" i="65" s="1"/>
  <c r="FA356" i="65"/>
  <c r="FB356" i="65"/>
  <c r="EY372" i="65"/>
  <c r="FJ372" i="65"/>
  <c r="FI372" i="65"/>
  <c r="FL372" i="65"/>
  <c r="FA372" i="65"/>
  <c r="FB372" i="65"/>
  <c r="FX372" i="65" s="1"/>
  <c r="EY373" i="65"/>
  <c r="FJ373" i="65"/>
  <c r="FI373" i="65"/>
  <c r="FA373" i="65"/>
  <c r="FB373" i="65"/>
  <c r="FX373" i="65" s="1"/>
  <c r="FL373" i="65"/>
  <c r="EY352" i="65"/>
  <c r="FJ352" i="65"/>
  <c r="FI352" i="65"/>
  <c r="FL352" i="65"/>
  <c r="FA352" i="65"/>
  <c r="FB352" i="65"/>
  <c r="EY30" i="65"/>
  <c r="FI30" i="65"/>
  <c r="FJ30" i="65"/>
  <c r="FB30" i="65"/>
  <c r="FL30" i="65"/>
  <c r="FA30" i="65"/>
  <c r="EY138" i="65"/>
  <c r="FI138" i="65"/>
  <c r="FJ138" i="65"/>
  <c r="FB138" i="65"/>
  <c r="FL138" i="65"/>
  <c r="FA138" i="65"/>
  <c r="EY88" i="65"/>
  <c r="FJ88" i="65"/>
  <c r="FI88" i="65"/>
  <c r="FL88" i="65"/>
  <c r="FA88" i="65"/>
  <c r="FB88" i="65"/>
  <c r="FX88" i="65" s="1"/>
  <c r="EY177" i="65"/>
  <c r="FJ177" i="65"/>
  <c r="FI177" i="65"/>
  <c r="FA177" i="65"/>
  <c r="FB177" i="65"/>
  <c r="FL177" i="65"/>
  <c r="EY220" i="65"/>
  <c r="FJ220" i="65"/>
  <c r="FI220" i="65"/>
  <c r="FL220" i="65"/>
  <c r="FA220" i="65"/>
  <c r="FB220" i="65"/>
  <c r="EY305" i="65"/>
  <c r="FJ305" i="65"/>
  <c r="FI305" i="65"/>
  <c r="FA305" i="65"/>
  <c r="FB305" i="65"/>
  <c r="FL305" i="65"/>
  <c r="EY66" i="65"/>
  <c r="FI66" i="65"/>
  <c r="FJ66" i="65"/>
  <c r="FB66" i="65"/>
  <c r="FL66" i="65"/>
  <c r="EZ66" i="65" s="1"/>
  <c r="FA66" i="65"/>
  <c r="EY162" i="65"/>
  <c r="FI162" i="65"/>
  <c r="FJ162" i="65"/>
  <c r="FB162" i="65"/>
  <c r="FX162" i="65" s="1"/>
  <c r="FL162" i="65"/>
  <c r="FA162" i="65"/>
  <c r="EY248" i="65"/>
  <c r="FJ248" i="65"/>
  <c r="FI248" i="65"/>
  <c r="FL248" i="65"/>
  <c r="FA248" i="65"/>
  <c r="FB248" i="65"/>
  <c r="FX248" i="65" s="1"/>
  <c r="EY333" i="65"/>
  <c r="FJ333" i="65"/>
  <c r="FI333" i="65"/>
  <c r="FA333" i="65"/>
  <c r="FB333" i="65"/>
  <c r="FX333" i="65" s="1"/>
  <c r="FL333" i="65"/>
  <c r="EY351" i="65"/>
  <c r="FJ351" i="65"/>
  <c r="FI351" i="65"/>
  <c r="FL351" i="65"/>
  <c r="FA351" i="65"/>
  <c r="FB351" i="65"/>
  <c r="EY287" i="65"/>
  <c r="FJ287" i="65"/>
  <c r="FI287" i="65"/>
  <c r="FL287" i="65"/>
  <c r="FA287" i="65"/>
  <c r="FB287" i="65"/>
  <c r="FX287" i="65" s="1"/>
  <c r="EY223" i="65"/>
  <c r="FJ223" i="65"/>
  <c r="FI223" i="65"/>
  <c r="FL223" i="65"/>
  <c r="FA223" i="65"/>
  <c r="FB223" i="65"/>
  <c r="EY159" i="65"/>
  <c r="FJ159" i="65"/>
  <c r="FI159" i="65"/>
  <c r="FL159" i="65"/>
  <c r="FA159" i="65"/>
  <c r="FB159" i="65"/>
  <c r="EY95" i="65"/>
  <c r="FJ95" i="65"/>
  <c r="FI95" i="65"/>
  <c r="FL95" i="65"/>
  <c r="FA95" i="65"/>
  <c r="FB95" i="65"/>
  <c r="FX95" i="65" s="1"/>
  <c r="EY31" i="65"/>
  <c r="FJ31" i="65"/>
  <c r="FI31" i="65"/>
  <c r="FL31" i="65"/>
  <c r="FA31" i="65"/>
  <c r="FB31" i="65"/>
  <c r="EY68" i="65"/>
  <c r="FJ68" i="65"/>
  <c r="FI68" i="65"/>
  <c r="FL68" i="65"/>
  <c r="FA68" i="65"/>
  <c r="FB68" i="65"/>
  <c r="EY70" i="65"/>
  <c r="FI70" i="65"/>
  <c r="FJ70" i="65"/>
  <c r="FB70" i="65"/>
  <c r="FL70" i="65"/>
  <c r="FA70" i="65"/>
  <c r="EY144" i="65"/>
  <c r="FJ144" i="65"/>
  <c r="FI144" i="65"/>
  <c r="FL144" i="65"/>
  <c r="FA144" i="65"/>
  <c r="FB144" i="65"/>
  <c r="EY32" i="65"/>
  <c r="FJ32" i="65"/>
  <c r="FI32" i="65"/>
  <c r="FL32" i="65"/>
  <c r="FA32" i="65"/>
  <c r="FB32" i="65"/>
  <c r="EY118" i="65"/>
  <c r="FI118" i="65"/>
  <c r="FJ118" i="65"/>
  <c r="FB118" i="65"/>
  <c r="FL118" i="65"/>
  <c r="FA118" i="65"/>
  <c r="EY182" i="65"/>
  <c r="FI182" i="65"/>
  <c r="FJ182" i="65"/>
  <c r="FB182" i="65"/>
  <c r="FL182" i="65"/>
  <c r="FA182" i="65"/>
  <c r="EY225" i="65"/>
  <c r="FJ225" i="65"/>
  <c r="FI225" i="65"/>
  <c r="FG225" i="65"/>
  <c r="FA225" i="65"/>
  <c r="FB225" i="65"/>
  <c r="FL225" i="65"/>
  <c r="EY289" i="65"/>
  <c r="FJ289" i="65"/>
  <c r="FI289" i="65"/>
  <c r="FG289" i="65"/>
  <c r="FA289" i="65"/>
  <c r="FB289" i="65"/>
  <c r="FX289" i="65" s="1"/>
  <c r="FL289" i="65"/>
  <c r="EY353" i="65"/>
  <c r="FJ353" i="65"/>
  <c r="FI353" i="65"/>
  <c r="FA353" i="65"/>
  <c r="FB353" i="65"/>
  <c r="FL353" i="65"/>
  <c r="EY210" i="65"/>
  <c r="FI210" i="65"/>
  <c r="FJ210" i="65"/>
  <c r="FB210" i="65"/>
  <c r="FX210" i="65" s="1"/>
  <c r="FL210" i="65"/>
  <c r="FA210" i="65"/>
  <c r="EY20" i="65"/>
  <c r="FJ20" i="65"/>
  <c r="FI20" i="65"/>
  <c r="FL20" i="65"/>
  <c r="FG20" i="65"/>
  <c r="FA20" i="65"/>
  <c r="FB20" i="65"/>
  <c r="FX20" i="65" s="1"/>
  <c r="EY54" i="65"/>
  <c r="FI54" i="65"/>
  <c r="FJ54" i="65"/>
  <c r="FB54" i="65"/>
  <c r="FX54" i="65" s="1"/>
  <c r="FL54" i="65"/>
  <c r="EZ54" i="65" s="1"/>
  <c r="FA54" i="65"/>
  <c r="EY86" i="65"/>
  <c r="FI86" i="65"/>
  <c r="FJ86" i="65"/>
  <c r="FB86" i="65"/>
  <c r="FX86" i="65" s="1"/>
  <c r="FL86" i="65"/>
  <c r="FA86" i="65"/>
  <c r="EY112" i="65"/>
  <c r="FJ112" i="65"/>
  <c r="FI112" i="65"/>
  <c r="FL112" i="65"/>
  <c r="FA112" i="65"/>
  <c r="FB112" i="65"/>
  <c r="EY133" i="65"/>
  <c r="FJ133" i="65"/>
  <c r="FI133" i="65"/>
  <c r="FA133" i="65"/>
  <c r="FB133" i="65"/>
  <c r="FX133" i="65" s="1"/>
  <c r="FG133" i="65"/>
  <c r="FL133" i="65"/>
  <c r="EY154" i="65"/>
  <c r="FI154" i="65"/>
  <c r="FJ154" i="65"/>
  <c r="FB154" i="65"/>
  <c r="FL154" i="65"/>
  <c r="FA154" i="65"/>
  <c r="EY7" i="65"/>
  <c r="FJ7" i="65"/>
  <c r="FI7" i="65"/>
  <c r="FL7" i="65"/>
  <c r="FA7" i="65"/>
  <c r="FB7" i="65"/>
  <c r="FX7" i="65" s="1"/>
  <c r="EY48" i="65"/>
  <c r="FJ48" i="65"/>
  <c r="FI48" i="65"/>
  <c r="FL48" i="65"/>
  <c r="FA48" i="65"/>
  <c r="FB48" i="65"/>
  <c r="FX48" i="65" s="1"/>
  <c r="EY80" i="65"/>
  <c r="FJ80" i="65"/>
  <c r="FI80" i="65"/>
  <c r="FL80" i="65"/>
  <c r="FA80" i="65"/>
  <c r="FB80" i="65"/>
  <c r="EY108" i="65"/>
  <c r="FJ108" i="65"/>
  <c r="FI108" i="65"/>
  <c r="FL108" i="65"/>
  <c r="FA108" i="65"/>
  <c r="FB108" i="65"/>
  <c r="EY129" i="65"/>
  <c r="FJ129" i="65"/>
  <c r="FI129" i="65"/>
  <c r="FA129" i="65"/>
  <c r="FB129" i="65"/>
  <c r="FX129" i="65" s="1"/>
  <c r="FL129" i="65"/>
  <c r="EY150" i="65"/>
  <c r="FI150" i="65"/>
  <c r="FJ150" i="65"/>
  <c r="FB150" i="65"/>
  <c r="FL150" i="65"/>
  <c r="FA150" i="65"/>
  <c r="EY172" i="65"/>
  <c r="FJ172" i="65"/>
  <c r="FI172" i="65"/>
  <c r="FL172" i="65"/>
  <c r="FA172" i="65"/>
  <c r="FB172" i="65"/>
  <c r="FX172" i="65" s="1"/>
  <c r="EY193" i="65"/>
  <c r="FJ193" i="65"/>
  <c r="FI193" i="65"/>
  <c r="FB193" i="65"/>
  <c r="FL193" i="65"/>
  <c r="FA193" i="65"/>
  <c r="EY214" i="65"/>
  <c r="FI214" i="65"/>
  <c r="FJ214" i="65"/>
  <c r="FB214" i="65"/>
  <c r="FX214" i="65" s="1"/>
  <c r="FL214" i="65"/>
  <c r="FG214" i="65"/>
  <c r="FA214" i="65"/>
  <c r="EY236" i="65"/>
  <c r="FJ236" i="65"/>
  <c r="FI236" i="65"/>
  <c r="FL236" i="65"/>
  <c r="FA236" i="65"/>
  <c r="FB236" i="65"/>
  <c r="EY257" i="65"/>
  <c r="FJ257" i="65"/>
  <c r="FI257" i="65"/>
  <c r="FA257" i="65"/>
  <c r="FB257" i="65"/>
  <c r="FL257" i="65"/>
  <c r="EY278" i="65"/>
  <c r="FI278" i="65"/>
  <c r="FJ278" i="65"/>
  <c r="FB278" i="65"/>
  <c r="FL278" i="65"/>
  <c r="FA278" i="65"/>
  <c r="EY300" i="65"/>
  <c r="FJ300" i="65"/>
  <c r="FI300" i="65"/>
  <c r="FL300" i="65"/>
  <c r="FA300" i="65"/>
  <c r="FB300" i="65"/>
  <c r="EY321" i="65"/>
  <c r="FJ321" i="65"/>
  <c r="FI321" i="65"/>
  <c r="FA321" i="65"/>
  <c r="FB321" i="65"/>
  <c r="FL321" i="65"/>
  <c r="EY342" i="65"/>
  <c r="FI342" i="65"/>
  <c r="FJ342" i="65"/>
  <c r="FB342" i="65"/>
  <c r="FL342" i="65"/>
  <c r="FA342" i="65"/>
  <c r="EY364" i="65"/>
  <c r="FJ364" i="65"/>
  <c r="FI364" i="65"/>
  <c r="FL364" i="65"/>
  <c r="FA364" i="65"/>
  <c r="FB364" i="65"/>
  <c r="FX364" i="65" s="1"/>
  <c r="EY385" i="65"/>
  <c r="FJ385" i="65"/>
  <c r="FI385" i="65"/>
  <c r="FA385" i="65"/>
  <c r="FB385" i="65"/>
  <c r="FL385" i="65"/>
  <c r="EY26" i="65"/>
  <c r="FI26" i="65"/>
  <c r="FJ26" i="65"/>
  <c r="FB26" i="65"/>
  <c r="FL26" i="65"/>
  <c r="FA26" i="65"/>
  <c r="EY58" i="65"/>
  <c r="FI58" i="65"/>
  <c r="FJ58" i="65"/>
  <c r="FB58" i="65"/>
  <c r="FX58" i="65" s="1"/>
  <c r="FL58" i="65"/>
  <c r="FG58" i="65"/>
  <c r="FA58" i="65"/>
  <c r="EY90" i="65"/>
  <c r="FI90" i="65"/>
  <c r="FJ90" i="65"/>
  <c r="FB90" i="65"/>
  <c r="FX90" i="65" s="1"/>
  <c r="FL90" i="65"/>
  <c r="FA90" i="65"/>
  <c r="EY114" i="65"/>
  <c r="FI114" i="65"/>
  <c r="FJ114" i="65"/>
  <c r="FB114" i="65"/>
  <c r="FL114" i="65"/>
  <c r="FA114" i="65"/>
  <c r="EY136" i="65"/>
  <c r="FJ136" i="65"/>
  <c r="FI136" i="65"/>
  <c r="FL136" i="65"/>
  <c r="FA136" i="65"/>
  <c r="FB136" i="65"/>
  <c r="FX136" i="65" s="1"/>
  <c r="EY157" i="65"/>
  <c r="FJ157" i="65"/>
  <c r="FI157" i="65"/>
  <c r="FA157" i="65"/>
  <c r="FB157" i="65"/>
  <c r="FL157" i="65"/>
  <c r="EY178" i="65"/>
  <c r="FI178" i="65"/>
  <c r="FJ178" i="65"/>
  <c r="FB178" i="65"/>
  <c r="FL178" i="65"/>
  <c r="FA178" i="65"/>
  <c r="EY200" i="65"/>
  <c r="FJ200" i="65"/>
  <c r="FI200" i="65"/>
  <c r="FA200" i="65"/>
  <c r="FL200" i="65"/>
  <c r="FB200" i="65"/>
  <c r="EY221" i="65"/>
  <c r="FJ221" i="65"/>
  <c r="FI221" i="65"/>
  <c r="FA221" i="65"/>
  <c r="FB221" i="65"/>
  <c r="FL221" i="65"/>
  <c r="EY242" i="65"/>
  <c r="FI242" i="65"/>
  <c r="FJ242" i="65"/>
  <c r="FB242" i="65"/>
  <c r="FX242" i="65" s="1"/>
  <c r="FL242" i="65"/>
  <c r="FA242" i="65"/>
  <c r="EY264" i="65"/>
  <c r="FJ264" i="65"/>
  <c r="FI264" i="65"/>
  <c r="FL264" i="65"/>
  <c r="FA264" i="65"/>
  <c r="FB264" i="65"/>
  <c r="EY285" i="65"/>
  <c r="FJ285" i="65"/>
  <c r="FI285" i="65"/>
  <c r="FA285" i="65"/>
  <c r="FB285" i="65"/>
  <c r="FX285" i="65" s="1"/>
  <c r="FL285" i="65"/>
  <c r="EY306" i="65"/>
  <c r="FI306" i="65"/>
  <c r="FJ306" i="65"/>
  <c r="FB306" i="65"/>
  <c r="FL306" i="65"/>
  <c r="FA306" i="65"/>
  <c r="EY328" i="65"/>
  <c r="FJ328" i="65"/>
  <c r="FI328" i="65"/>
  <c r="FL328" i="65"/>
  <c r="FA328" i="65"/>
  <c r="FB328" i="65"/>
  <c r="FX328" i="65" s="1"/>
  <c r="EY349" i="65"/>
  <c r="FJ349" i="65"/>
  <c r="FI349" i="65"/>
  <c r="FA349" i="65"/>
  <c r="FB349" i="65"/>
  <c r="FL349" i="65"/>
  <c r="EY370" i="65"/>
  <c r="FI370" i="65"/>
  <c r="FJ370" i="65"/>
  <c r="FB370" i="65"/>
  <c r="FX370" i="65" s="1"/>
  <c r="FL370" i="65"/>
  <c r="FA370" i="65"/>
  <c r="EY387" i="65"/>
  <c r="FJ387" i="65"/>
  <c r="FI387" i="65"/>
  <c r="FL387" i="65"/>
  <c r="FA387" i="65"/>
  <c r="FB387" i="65"/>
  <c r="EY371" i="65"/>
  <c r="FJ371" i="65"/>
  <c r="FI371" i="65"/>
  <c r="FL371" i="65"/>
  <c r="FA371" i="65"/>
  <c r="FB371" i="65"/>
  <c r="FX371" i="65" s="1"/>
  <c r="EY355" i="65"/>
  <c r="FJ355" i="65"/>
  <c r="FI355" i="65"/>
  <c r="FL355" i="65"/>
  <c r="FA355" i="65"/>
  <c r="FB355" i="65"/>
  <c r="EY339" i="65"/>
  <c r="FJ339" i="65"/>
  <c r="FI339" i="65"/>
  <c r="FL339" i="65"/>
  <c r="EZ339" i="65" s="1"/>
  <c r="FA339" i="65"/>
  <c r="FB339" i="65"/>
  <c r="EY323" i="65"/>
  <c r="FJ323" i="65"/>
  <c r="FI323" i="65"/>
  <c r="FL323" i="65"/>
  <c r="FA323" i="65"/>
  <c r="FB323" i="65"/>
  <c r="FX323" i="65" s="1"/>
  <c r="EY307" i="65"/>
  <c r="FJ307" i="65"/>
  <c r="FI307" i="65"/>
  <c r="FL307" i="65"/>
  <c r="FA307" i="65"/>
  <c r="FB307" i="65"/>
  <c r="EY291" i="65"/>
  <c r="FJ291" i="65"/>
  <c r="FI291" i="65"/>
  <c r="FL291" i="65"/>
  <c r="FA291" i="65"/>
  <c r="FB291" i="65"/>
  <c r="FX291" i="65" s="1"/>
  <c r="EY275" i="65"/>
  <c r="FJ275" i="65"/>
  <c r="FI275" i="65"/>
  <c r="FL275" i="65"/>
  <c r="EZ275" i="65" s="1"/>
  <c r="FA275" i="65"/>
  <c r="FB275" i="65"/>
  <c r="EY259" i="65"/>
  <c r="FJ259" i="65"/>
  <c r="FI259" i="65"/>
  <c r="FL259" i="65"/>
  <c r="FA259" i="65"/>
  <c r="FB259" i="65"/>
  <c r="EY243" i="65"/>
  <c r="FJ243" i="65"/>
  <c r="FI243" i="65"/>
  <c r="FL243" i="65"/>
  <c r="FA243" i="65"/>
  <c r="FB243" i="65"/>
  <c r="FX243" i="65" s="1"/>
  <c r="EY227" i="65"/>
  <c r="FJ227" i="65"/>
  <c r="FI227" i="65"/>
  <c r="FL227" i="65"/>
  <c r="FA227" i="65"/>
  <c r="FB227" i="65"/>
  <c r="EY211" i="65"/>
  <c r="FJ211" i="65"/>
  <c r="FI211" i="65"/>
  <c r="FL211" i="65"/>
  <c r="FA211" i="65"/>
  <c r="FB211" i="65"/>
  <c r="FX211" i="65" s="1"/>
  <c r="EY195" i="65"/>
  <c r="FJ195" i="65"/>
  <c r="FI195" i="65"/>
  <c r="FL195" i="65"/>
  <c r="FA195" i="65"/>
  <c r="FB195" i="65"/>
  <c r="EY179" i="65"/>
  <c r="FJ179" i="65"/>
  <c r="FI179" i="65"/>
  <c r="FL179" i="65"/>
  <c r="FA179" i="65"/>
  <c r="FB179" i="65"/>
  <c r="EY163" i="65"/>
  <c r="FJ163" i="65"/>
  <c r="FI163" i="65"/>
  <c r="FL163" i="65"/>
  <c r="FA163" i="65"/>
  <c r="FB163" i="65"/>
  <c r="FX163" i="65" s="1"/>
  <c r="EY147" i="65"/>
  <c r="FJ147" i="65"/>
  <c r="FI147" i="65"/>
  <c r="FL147" i="65"/>
  <c r="FA147" i="65"/>
  <c r="FB147" i="65"/>
  <c r="EY131" i="65"/>
  <c r="FJ131" i="65"/>
  <c r="FI131" i="65"/>
  <c r="FL131" i="65"/>
  <c r="FA131" i="65"/>
  <c r="FB131" i="65"/>
  <c r="FX131" i="65" s="1"/>
  <c r="EY115" i="65"/>
  <c r="FJ115" i="65"/>
  <c r="FI115" i="65"/>
  <c r="FL115" i="65"/>
  <c r="EZ115" i="65" s="1"/>
  <c r="FA115" i="65"/>
  <c r="FB115" i="65"/>
  <c r="EY99" i="65"/>
  <c r="FJ99" i="65"/>
  <c r="FI99" i="65"/>
  <c r="FL99" i="65"/>
  <c r="FA99" i="65"/>
  <c r="FB99" i="65"/>
  <c r="FX99" i="65" s="1"/>
  <c r="EY83" i="65"/>
  <c r="FJ83" i="65"/>
  <c r="FI83" i="65"/>
  <c r="FL83" i="65"/>
  <c r="FA83" i="65"/>
  <c r="FB83" i="65"/>
  <c r="EY67" i="65"/>
  <c r="FJ67" i="65"/>
  <c r="FI67" i="65"/>
  <c r="FL67" i="65"/>
  <c r="FA67" i="65"/>
  <c r="FB67" i="65"/>
  <c r="EY51" i="65"/>
  <c r="FJ51" i="65"/>
  <c r="FI51" i="65"/>
  <c r="FL51" i="65"/>
  <c r="FA51" i="65"/>
  <c r="FB51" i="65"/>
  <c r="FX51" i="65" s="1"/>
  <c r="EY35" i="65"/>
  <c r="FJ35" i="65"/>
  <c r="FI35" i="65"/>
  <c r="FL35" i="65"/>
  <c r="FA35" i="65"/>
  <c r="FB35" i="65"/>
  <c r="EY19" i="65"/>
  <c r="FJ19" i="65"/>
  <c r="FI19" i="65"/>
  <c r="FL19" i="65"/>
  <c r="FA19" i="65"/>
  <c r="FB19" i="65"/>
  <c r="FX19" i="65" s="1"/>
  <c r="EY18" i="65"/>
  <c r="FI18" i="65"/>
  <c r="FJ18" i="65"/>
  <c r="FB18" i="65"/>
  <c r="FX18" i="65" s="1"/>
  <c r="FL18" i="65"/>
  <c r="FA18" i="65"/>
  <c r="EY93" i="65"/>
  <c r="FJ93" i="65"/>
  <c r="FI93" i="65"/>
  <c r="FA93" i="65"/>
  <c r="FB93" i="65"/>
  <c r="FX93" i="65" s="1"/>
  <c r="FL93" i="65"/>
  <c r="EY77" i="65"/>
  <c r="FJ77" i="65"/>
  <c r="FI77" i="65"/>
  <c r="FA77" i="65"/>
  <c r="FB77" i="65"/>
  <c r="FL77" i="65"/>
  <c r="EY61" i="65"/>
  <c r="FJ61" i="65"/>
  <c r="FI61" i="65"/>
  <c r="FA61" i="65"/>
  <c r="FB61" i="65"/>
  <c r="FX61" i="65" s="1"/>
  <c r="FL61" i="65"/>
  <c r="EY45" i="65"/>
  <c r="FJ45" i="65"/>
  <c r="FI45" i="65"/>
  <c r="FA45" i="65"/>
  <c r="FB45" i="65"/>
  <c r="FL45" i="65"/>
  <c r="EY29" i="65"/>
  <c r="FJ29" i="65"/>
  <c r="FI29" i="65"/>
  <c r="FA29" i="65"/>
  <c r="FB29" i="65"/>
  <c r="FL29" i="65"/>
  <c r="EZ29" i="65" s="1"/>
  <c r="EY13" i="65"/>
  <c r="FJ13" i="65"/>
  <c r="FI13" i="65"/>
  <c r="FA13" i="65"/>
  <c r="FB13" i="65"/>
  <c r="FX13" i="65" s="1"/>
  <c r="FL13" i="65"/>
  <c r="EY212" i="65"/>
  <c r="FJ212" i="65"/>
  <c r="FI212" i="65"/>
  <c r="FL212" i="65"/>
  <c r="FA212" i="65"/>
  <c r="FB212" i="65"/>
  <c r="FX212" i="65" s="1"/>
  <c r="EY169" i="65"/>
  <c r="FJ169" i="65"/>
  <c r="FI169" i="65"/>
  <c r="FA169" i="65"/>
  <c r="FB169" i="65"/>
  <c r="FX169" i="65" s="1"/>
  <c r="FL169" i="65"/>
  <c r="EY132" i="65"/>
  <c r="FJ132" i="65"/>
  <c r="FI132" i="65"/>
  <c r="FL132" i="65"/>
  <c r="FA132" i="65"/>
  <c r="FB132" i="65"/>
  <c r="FX132" i="65" s="1"/>
  <c r="EY84" i="65"/>
  <c r="FJ84" i="65"/>
  <c r="FI84" i="65"/>
  <c r="FL84" i="65"/>
  <c r="FA84" i="65"/>
  <c r="FB84" i="65"/>
  <c r="FX84" i="65" s="1"/>
  <c r="EY16" i="65"/>
  <c r="FJ16" i="65"/>
  <c r="FI16" i="65"/>
  <c r="FL16" i="65"/>
  <c r="FA16" i="65"/>
  <c r="FB16" i="65"/>
  <c r="FX16" i="65" s="1"/>
  <c r="EY185" i="65"/>
  <c r="FJ185" i="65"/>
  <c r="FI185" i="65"/>
  <c r="FB185" i="65"/>
  <c r="FA185" i="65"/>
  <c r="FL185" i="65"/>
  <c r="EY137" i="65"/>
  <c r="FJ137" i="65"/>
  <c r="FI137" i="65"/>
  <c r="FA137" i="65"/>
  <c r="FB137" i="65"/>
  <c r="FX137" i="65" s="1"/>
  <c r="FL137" i="65"/>
  <c r="EY92" i="65"/>
  <c r="FJ92" i="65"/>
  <c r="FI92" i="65"/>
  <c r="FL92" i="65"/>
  <c r="FA92" i="65"/>
  <c r="FB92" i="65"/>
  <c r="FX92" i="65" s="1"/>
  <c r="EY28" i="65"/>
  <c r="FJ28" i="65"/>
  <c r="FI28" i="65"/>
  <c r="FL28" i="65"/>
  <c r="FA28" i="65"/>
  <c r="FB28" i="65"/>
  <c r="EY208" i="65"/>
  <c r="FJ208" i="65"/>
  <c r="FI208" i="65"/>
  <c r="FL208" i="65"/>
  <c r="FA208" i="65"/>
  <c r="FB208" i="65"/>
  <c r="FX208" i="65" s="1"/>
  <c r="EY186" i="65"/>
  <c r="FI186" i="65"/>
  <c r="FJ186" i="65"/>
  <c r="FG186" i="65"/>
  <c r="FL186" i="65"/>
  <c r="FA186" i="65"/>
  <c r="FB186" i="65"/>
  <c r="EY270" i="65"/>
  <c r="FI270" i="65"/>
  <c r="FJ270" i="65"/>
  <c r="FB270" i="65"/>
  <c r="FL270" i="65"/>
  <c r="FA270" i="65"/>
  <c r="EY277" i="65"/>
  <c r="FJ277" i="65"/>
  <c r="FI277" i="65"/>
  <c r="FA277" i="65"/>
  <c r="FB277" i="65"/>
  <c r="FL277" i="65"/>
  <c r="EY256" i="65"/>
  <c r="FJ256" i="65"/>
  <c r="FI256" i="65"/>
  <c r="FL256" i="65"/>
  <c r="FA256" i="65"/>
  <c r="FB256" i="65"/>
  <c r="FX256" i="65" s="1"/>
  <c r="EY286" i="65"/>
  <c r="FI286" i="65"/>
  <c r="FJ286" i="65"/>
  <c r="FB286" i="65"/>
  <c r="FX286" i="65" s="1"/>
  <c r="FL286" i="65"/>
  <c r="FA286" i="65"/>
  <c r="EY309" i="65"/>
  <c r="FJ309" i="65"/>
  <c r="FI309" i="65"/>
  <c r="FA309" i="65"/>
  <c r="FB309" i="65"/>
  <c r="FL309" i="65"/>
  <c r="EY288" i="65"/>
  <c r="FJ288" i="65"/>
  <c r="FI288" i="65"/>
  <c r="FL288" i="65"/>
  <c r="FA288" i="65"/>
  <c r="FB288" i="65"/>
  <c r="FX288" i="65" s="1"/>
  <c r="EY238" i="65"/>
  <c r="FI238" i="65"/>
  <c r="FJ238" i="65"/>
  <c r="FB238" i="65"/>
  <c r="FL238" i="65"/>
  <c r="EZ238" i="65" s="1"/>
  <c r="FA238" i="65"/>
  <c r="EY234" i="65"/>
  <c r="FI234" i="65"/>
  <c r="FJ234" i="65"/>
  <c r="FG234" i="65"/>
  <c r="FB234" i="65"/>
  <c r="FL234" i="65"/>
  <c r="FA234" i="65"/>
  <c r="EY313" i="65"/>
  <c r="FJ313" i="65"/>
  <c r="FI313" i="65"/>
  <c r="FA313" i="65"/>
  <c r="FB313" i="65"/>
  <c r="FL313" i="65"/>
  <c r="EY330" i="65"/>
  <c r="FI330" i="65"/>
  <c r="FJ330" i="65"/>
  <c r="FB330" i="65"/>
  <c r="FX330" i="65" s="1"/>
  <c r="FL330" i="65"/>
  <c r="FA330" i="65"/>
  <c r="EY388" i="65"/>
  <c r="FJ388" i="65"/>
  <c r="FI388" i="65"/>
  <c r="FL388" i="65"/>
  <c r="FA388" i="65"/>
  <c r="FB388" i="65"/>
  <c r="EY345" i="65"/>
  <c r="FJ345" i="65"/>
  <c r="FI345" i="65"/>
  <c r="FA345" i="65"/>
  <c r="FB345" i="65"/>
  <c r="FL345" i="65"/>
  <c r="EY361" i="65"/>
  <c r="FJ361" i="65"/>
  <c r="FI361" i="65"/>
  <c r="FA361" i="65"/>
  <c r="FB361" i="65"/>
  <c r="FX361" i="65" s="1"/>
  <c r="FL361" i="65"/>
  <c r="EZ361" i="65" s="1"/>
  <c r="EY389" i="65"/>
  <c r="FJ389" i="65"/>
  <c r="FI389" i="65"/>
  <c r="FA389" i="65"/>
  <c r="FB389" i="65"/>
  <c r="FL389" i="65"/>
  <c r="EY368" i="65"/>
  <c r="FJ368" i="65"/>
  <c r="FI368" i="65"/>
  <c r="FL368" i="65"/>
  <c r="FA368" i="65"/>
  <c r="FB368" i="65"/>
  <c r="FX368" i="65" s="1"/>
  <c r="EY346" i="65"/>
  <c r="FI346" i="65"/>
  <c r="FJ346" i="65"/>
  <c r="FB346" i="65"/>
  <c r="FL346" i="65"/>
  <c r="FA346" i="65"/>
  <c r="EY117" i="65"/>
  <c r="FJ117" i="65"/>
  <c r="FI117" i="65"/>
  <c r="FA117" i="65"/>
  <c r="FB117" i="65"/>
  <c r="FL117" i="65"/>
  <c r="EY24" i="65"/>
  <c r="FJ24" i="65"/>
  <c r="FI24" i="65"/>
  <c r="FL24" i="65"/>
  <c r="FA24" i="65"/>
  <c r="FB24" i="65"/>
  <c r="EY113" i="65"/>
  <c r="FJ113" i="65"/>
  <c r="FI113" i="65"/>
  <c r="FA113" i="65"/>
  <c r="FB113" i="65"/>
  <c r="FL113" i="65"/>
  <c r="EY198" i="65"/>
  <c r="FI198" i="65"/>
  <c r="FJ198" i="65"/>
  <c r="FL198" i="65"/>
  <c r="FA198" i="65"/>
  <c r="FB198" i="65"/>
  <c r="EY284" i="65"/>
  <c r="FJ284" i="65"/>
  <c r="FI284" i="65"/>
  <c r="FL284" i="65"/>
  <c r="FA284" i="65"/>
  <c r="FB284" i="65"/>
  <c r="FX284" i="65" s="1"/>
  <c r="EY369" i="65"/>
  <c r="FJ369" i="65"/>
  <c r="FI369" i="65"/>
  <c r="FA369" i="65"/>
  <c r="FB369" i="65"/>
  <c r="FX369" i="65" s="1"/>
  <c r="FL369" i="65"/>
  <c r="EY98" i="65"/>
  <c r="FI98" i="65"/>
  <c r="FJ98" i="65"/>
  <c r="FB98" i="65"/>
  <c r="FX98" i="65" s="1"/>
  <c r="FL98" i="65"/>
  <c r="FA98" i="65"/>
  <c r="EY205" i="65"/>
  <c r="FJ205" i="65"/>
  <c r="FI205" i="65"/>
  <c r="FB205" i="65"/>
  <c r="FX205" i="65" s="1"/>
  <c r="FL205" i="65"/>
  <c r="FA205" i="65"/>
  <c r="EY312" i="65"/>
  <c r="FJ312" i="65"/>
  <c r="FI312" i="65"/>
  <c r="FL312" i="65"/>
  <c r="FA312" i="65"/>
  <c r="FB312" i="65"/>
  <c r="EY335" i="65"/>
  <c r="FJ335" i="65"/>
  <c r="FI335" i="65"/>
  <c r="FL335" i="65"/>
  <c r="FA335" i="65"/>
  <c r="FB335" i="65"/>
  <c r="FX335" i="65" s="1"/>
  <c r="EY271" i="65"/>
  <c r="FJ271" i="65"/>
  <c r="FI271" i="65"/>
  <c r="FL271" i="65"/>
  <c r="FA271" i="65"/>
  <c r="FB271" i="65"/>
  <c r="EY175" i="65"/>
  <c r="FJ175" i="65"/>
  <c r="FI175" i="65"/>
  <c r="FL175" i="65"/>
  <c r="EZ175" i="65" s="1"/>
  <c r="FA175" i="65"/>
  <c r="FB175" i="65"/>
  <c r="FX175" i="65" s="1"/>
  <c r="EY111" i="65"/>
  <c r="FJ111" i="65"/>
  <c r="FI111" i="65"/>
  <c r="FM111" i="65"/>
  <c r="FL111" i="65"/>
  <c r="EZ111" i="65" s="1"/>
  <c r="FA111" i="65"/>
  <c r="FB111" i="65"/>
  <c r="EY47" i="65"/>
  <c r="FJ47" i="65"/>
  <c r="FI47" i="65"/>
  <c r="FM47" i="65"/>
  <c r="FL47" i="65"/>
  <c r="FA47" i="65"/>
  <c r="FB47" i="65"/>
  <c r="FX47" i="65" s="1"/>
  <c r="EY89" i="65"/>
  <c r="FJ89" i="65"/>
  <c r="FI89" i="65"/>
  <c r="FA89" i="65"/>
  <c r="FB89" i="65"/>
  <c r="FX89" i="65" s="1"/>
  <c r="FM89" i="65"/>
  <c r="FL89" i="65"/>
  <c r="EY57" i="65"/>
  <c r="FJ57" i="65"/>
  <c r="FI57" i="65"/>
  <c r="FA57" i="65"/>
  <c r="FB57" i="65"/>
  <c r="FX57" i="65" s="1"/>
  <c r="FL57" i="65"/>
  <c r="EY41" i="65"/>
  <c r="FJ41" i="65"/>
  <c r="FI41" i="65"/>
  <c r="FA41" i="65"/>
  <c r="FB41" i="65"/>
  <c r="FG41" i="65"/>
  <c r="FL41" i="65"/>
  <c r="EY25" i="65"/>
  <c r="FJ25" i="65"/>
  <c r="FI25" i="65"/>
  <c r="FA25" i="65"/>
  <c r="FB25" i="65"/>
  <c r="FL25" i="65"/>
  <c r="EY9" i="65"/>
  <c r="FJ9" i="65"/>
  <c r="FI9" i="65"/>
  <c r="FA9" i="65"/>
  <c r="FB9" i="65"/>
  <c r="FX9" i="65" s="1"/>
  <c r="FL9" i="65"/>
  <c r="EY158" i="65"/>
  <c r="FI158" i="65"/>
  <c r="FJ158" i="65"/>
  <c r="FB158" i="65"/>
  <c r="FL158" i="65"/>
  <c r="FA158" i="65"/>
  <c r="EY217" i="65"/>
  <c r="FJ217" i="65"/>
  <c r="FI217" i="65"/>
  <c r="FA217" i="65"/>
  <c r="FB217" i="65"/>
  <c r="FX217" i="65" s="1"/>
  <c r="FL217" i="65"/>
  <c r="EY174" i="65"/>
  <c r="FI174" i="65"/>
  <c r="FJ174" i="65"/>
  <c r="FB174" i="65"/>
  <c r="FX174" i="65" s="1"/>
  <c r="FL174" i="65"/>
  <c r="FA174" i="65"/>
  <c r="EY126" i="65"/>
  <c r="FI126" i="65"/>
  <c r="FJ126" i="65"/>
  <c r="FB126" i="65"/>
  <c r="FX126" i="65" s="1"/>
  <c r="FL126" i="65"/>
  <c r="FA126" i="65"/>
  <c r="EY76" i="65"/>
  <c r="FJ76" i="65"/>
  <c r="FI76" i="65"/>
  <c r="FL76" i="65"/>
  <c r="FA76" i="65"/>
  <c r="FB76" i="65"/>
  <c r="EY224" i="65"/>
  <c r="FJ224" i="65"/>
  <c r="FI224" i="65"/>
  <c r="FL224" i="65"/>
  <c r="EZ224" i="65" s="1"/>
  <c r="FA224" i="65"/>
  <c r="FB224" i="65"/>
  <c r="EY202" i="65"/>
  <c r="FI202" i="65"/>
  <c r="FJ202" i="65"/>
  <c r="FG202" i="65"/>
  <c r="FL202" i="65"/>
  <c r="FA202" i="65"/>
  <c r="FB202" i="65"/>
  <c r="EY181" i="65"/>
  <c r="FJ181" i="65"/>
  <c r="FI181" i="65"/>
  <c r="FA181" i="65"/>
  <c r="FB181" i="65"/>
  <c r="FM181" i="65"/>
  <c r="FL181" i="65"/>
  <c r="EY265" i="65"/>
  <c r="FJ265" i="65"/>
  <c r="FI265" i="65"/>
  <c r="FA265" i="65"/>
  <c r="FB265" i="65"/>
  <c r="FL265" i="65"/>
  <c r="EY272" i="65"/>
  <c r="FJ272" i="65"/>
  <c r="FI272" i="65"/>
  <c r="FM272" i="65"/>
  <c r="FL272" i="65"/>
  <c r="FA272" i="65"/>
  <c r="FB272" i="65"/>
  <c r="EY250" i="65"/>
  <c r="FI250" i="65"/>
  <c r="FJ250" i="65"/>
  <c r="FB250" i="65"/>
  <c r="FX250" i="65" s="1"/>
  <c r="FL250" i="65"/>
  <c r="EZ250" i="65" s="1"/>
  <c r="FA250" i="65"/>
  <c r="EY281" i="65"/>
  <c r="FJ281" i="65"/>
  <c r="FI281" i="65"/>
  <c r="FA281" i="65"/>
  <c r="FB281" i="65"/>
  <c r="FX281" i="65" s="1"/>
  <c r="FL281" i="65"/>
  <c r="EY304" i="65"/>
  <c r="FJ304" i="65"/>
  <c r="FI304" i="65"/>
  <c r="FL304" i="65"/>
  <c r="FA304" i="65"/>
  <c r="FB304" i="65"/>
  <c r="EY282" i="65"/>
  <c r="FI282" i="65"/>
  <c r="FJ282" i="65"/>
  <c r="FM282" i="65"/>
  <c r="FB282" i="65"/>
  <c r="FX282" i="65" s="1"/>
  <c r="FL282" i="65"/>
  <c r="FA282" i="65"/>
  <c r="EY228" i="65"/>
  <c r="FJ228" i="65"/>
  <c r="FI228" i="65"/>
  <c r="FL228" i="65"/>
  <c r="EZ228" i="65" s="1"/>
  <c r="FA228" i="65"/>
  <c r="FB228" i="65"/>
  <c r="EY229" i="65"/>
  <c r="FJ229" i="65"/>
  <c r="FI229" i="65"/>
  <c r="FM229" i="65"/>
  <c r="FA229" i="65"/>
  <c r="FB229" i="65"/>
  <c r="FL229" i="65"/>
  <c r="EY329" i="65"/>
  <c r="FJ329" i="65"/>
  <c r="FI329" i="65"/>
  <c r="FA329" i="65"/>
  <c r="FB329" i="65"/>
  <c r="FX329" i="65" s="1"/>
  <c r="FL329" i="65"/>
  <c r="EY325" i="65"/>
  <c r="FJ325" i="65"/>
  <c r="FI325" i="65"/>
  <c r="FM325" i="65"/>
  <c r="FA325" i="65"/>
  <c r="FB325" i="65"/>
  <c r="FX325" i="65" s="1"/>
  <c r="FL325" i="65"/>
  <c r="EY377" i="65"/>
  <c r="FJ377" i="65"/>
  <c r="FI377" i="65"/>
  <c r="FA377" i="65"/>
  <c r="FB377" i="65"/>
  <c r="FL377" i="65"/>
  <c r="EY350" i="65"/>
  <c r="FI350" i="65"/>
  <c r="FJ350" i="65"/>
  <c r="FB350" i="65"/>
  <c r="FL350" i="65"/>
  <c r="FA350" i="65"/>
  <c r="EY384" i="65"/>
  <c r="FJ384" i="65"/>
  <c r="FI384" i="65"/>
  <c r="FM384" i="65"/>
  <c r="FL384" i="65"/>
  <c r="FA384" i="65"/>
  <c r="FB384" i="65"/>
  <c r="EY362" i="65"/>
  <c r="FI362" i="65"/>
  <c r="FJ362" i="65"/>
  <c r="FM362" i="65"/>
  <c r="FB362" i="65"/>
  <c r="FX362" i="65" s="1"/>
  <c r="FL362" i="65"/>
  <c r="FA362" i="65"/>
  <c r="EY341" i="65"/>
  <c r="FJ341" i="65"/>
  <c r="FI341" i="65"/>
  <c r="FM341" i="65"/>
  <c r="FA341" i="65"/>
  <c r="FB341" i="65"/>
  <c r="FL341" i="65"/>
  <c r="EY94" i="65"/>
  <c r="FI94" i="65"/>
  <c r="FJ94" i="65"/>
  <c r="FB94" i="65"/>
  <c r="FX94" i="65" s="1"/>
  <c r="FL94" i="65"/>
  <c r="FA94" i="65"/>
  <c r="EY56" i="65"/>
  <c r="FJ56" i="65"/>
  <c r="FI56" i="65"/>
  <c r="FL56" i="65"/>
  <c r="FA56" i="65"/>
  <c r="FB56" i="65"/>
  <c r="FX56" i="65" s="1"/>
  <c r="EY156" i="65"/>
  <c r="FJ156" i="65"/>
  <c r="FI156" i="65"/>
  <c r="FL156" i="65"/>
  <c r="FA156" i="65"/>
  <c r="FB156" i="65"/>
  <c r="EY262" i="65"/>
  <c r="FI262" i="65"/>
  <c r="FJ262" i="65"/>
  <c r="FB262" i="65"/>
  <c r="FL262" i="65"/>
  <c r="FA262" i="65"/>
  <c r="EY348" i="65"/>
  <c r="FJ348" i="65"/>
  <c r="FI348" i="65"/>
  <c r="FL348" i="65"/>
  <c r="FA348" i="65"/>
  <c r="FB348" i="65"/>
  <c r="EY120" i="65"/>
  <c r="FJ120" i="65"/>
  <c r="FI120" i="65"/>
  <c r="FL120" i="65"/>
  <c r="FA120" i="65"/>
  <c r="FB120" i="65"/>
  <c r="EY184" i="65"/>
  <c r="FJ184" i="65"/>
  <c r="FI184" i="65"/>
  <c r="FL184" i="65"/>
  <c r="FG184" i="65"/>
  <c r="FA184" i="65"/>
  <c r="FB184" i="65"/>
  <c r="EY269" i="65"/>
  <c r="FJ269" i="65"/>
  <c r="FI269" i="65"/>
  <c r="FA269" i="65"/>
  <c r="FB269" i="65"/>
  <c r="FL269" i="65"/>
  <c r="EZ269" i="65" s="1"/>
  <c r="EY354" i="65"/>
  <c r="FI354" i="65"/>
  <c r="FJ354" i="65"/>
  <c r="FB354" i="65"/>
  <c r="FL354" i="65"/>
  <c r="FA354" i="65"/>
  <c r="EY367" i="65"/>
  <c r="FJ367" i="65"/>
  <c r="FI367" i="65"/>
  <c r="FG367" i="65"/>
  <c r="FL367" i="65"/>
  <c r="FA367" i="65"/>
  <c r="FB367" i="65"/>
  <c r="FX367" i="65" s="1"/>
  <c r="EY303" i="65"/>
  <c r="FJ303" i="65"/>
  <c r="FI303" i="65"/>
  <c r="FL303" i="65"/>
  <c r="EZ303" i="65" s="1"/>
  <c r="FA303" i="65"/>
  <c r="FB303" i="65"/>
  <c r="EY239" i="65"/>
  <c r="FJ239" i="65"/>
  <c r="FI239" i="65"/>
  <c r="FG239" i="65"/>
  <c r="FL239" i="65"/>
  <c r="EZ239" i="65" s="1"/>
  <c r="FA239" i="65"/>
  <c r="FB239" i="65"/>
  <c r="EY191" i="65"/>
  <c r="FJ191" i="65"/>
  <c r="FI191" i="65"/>
  <c r="FL191" i="65"/>
  <c r="FA191" i="65"/>
  <c r="FB191" i="65"/>
  <c r="EY127" i="65"/>
  <c r="FJ127" i="65"/>
  <c r="FI127" i="65"/>
  <c r="FL127" i="65"/>
  <c r="FA127" i="65"/>
  <c r="FB127" i="65"/>
  <c r="FX127" i="65" s="1"/>
  <c r="EY63" i="65"/>
  <c r="FJ63" i="65"/>
  <c r="FI63" i="65"/>
  <c r="FL63" i="65"/>
  <c r="FA63" i="65"/>
  <c r="FB63" i="65"/>
  <c r="EY14" i="65"/>
  <c r="FI14" i="65"/>
  <c r="FJ14" i="65"/>
  <c r="FB14" i="65"/>
  <c r="FX14" i="65" s="1"/>
  <c r="FL14" i="65"/>
  <c r="FA14" i="65"/>
  <c r="EY201" i="65"/>
  <c r="FJ201" i="65"/>
  <c r="FI201" i="65"/>
  <c r="FB201" i="65"/>
  <c r="FA201" i="65"/>
  <c r="FL201" i="65"/>
  <c r="EZ201" i="65" s="1"/>
  <c r="EY38" i="65"/>
  <c r="FI38" i="65"/>
  <c r="FJ38" i="65"/>
  <c r="FB38" i="65"/>
  <c r="FL38" i="65"/>
  <c r="FA38" i="65"/>
  <c r="EY122" i="65"/>
  <c r="FI122" i="65"/>
  <c r="FJ122" i="65"/>
  <c r="FB122" i="65"/>
  <c r="FX122" i="65" s="1"/>
  <c r="FL122" i="65"/>
  <c r="FA122" i="65"/>
  <c r="EY64" i="65"/>
  <c r="FJ64" i="65"/>
  <c r="FI64" i="65"/>
  <c r="FL64" i="65"/>
  <c r="EZ64" i="65" s="1"/>
  <c r="FA64" i="65"/>
  <c r="FB64" i="65"/>
  <c r="EY161" i="65"/>
  <c r="FJ161" i="65"/>
  <c r="FI161" i="65"/>
  <c r="FA161" i="65"/>
  <c r="FB161" i="65"/>
  <c r="FX161" i="65" s="1"/>
  <c r="FL161" i="65"/>
  <c r="EY246" i="65"/>
  <c r="FI246" i="65"/>
  <c r="FJ246" i="65"/>
  <c r="FB246" i="65"/>
  <c r="FX246" i="65" s="1"/>
  <c r="FL246" i="65"/>
  <c r="FA246" i="65"/>
  <c r="EY310" i="65"/>
  <c r="FI310" i="65"/>
  <c r="FJ310" i="65"/>
  <c r="FB310" i="65"/>
  <c r="FL310" i="65"/>
  <c r="FA310" i="65"/>
  <c r="EY374" i="65"/>
  <c r="FI374" i="65"/>
  <c r="FJ374" i="65"/>
  <c r="FB374" i="65"/>
  <c r="FX374" i="65" s="1"/>
  <c r="FL374" i="65"/>
  <c r="FA374" i="65"/>
  <c r="EY104" i="65"/>
  <c r="FJ104" i="65"/>
  <c r="FI104" i="65"/>
  <c r="FL104" i="65"/>
  <c r="FA104" i="65"/>
  <c r="FB104" i="65"/>
  <c r="EY146" i="65"/>
  <c r="FI146" i="65"/>
  <c r="FJ146" i="65"/>
  <c r="FB146" i="65"/>
  <c r="FL146" i="65"/>
  <c r="FA146" i="65"/>
  <c r="EY189" i="65"/>
  <c r="FJ189" i="65"/>
  <c r="FI189" i="65"/>
  <c r="FB189" i="65"/>
  <c r="FL189" i="65"/>
  <c r="FA189" i="65"/>
  <c r="EY253" i="65"/>
  <c r="FJ253" i="65"/>
  <c r="FI253" i="65"/>
  <c r="FA253" i="65"/>
  <c r="FB253" i="65"/>
  <c r="FX253" i="65" s="1"/>
  <c r="FL253" i="65"/>
  <c r="EY296" i="65"/>
  <c r="FJ296" i="65"/>
  <c r="FI296" i="65"/>
  <c r="FL296" i="65"/>
  <c r="FA296" i="65"/>
  <c r="FB296" i="65"/>
  <c r="EY338" i="65"/>
  <c r="FI338" i="65"/>
  <c r="FJ338" i="65"/>
  <c r="FB338" i="65"/>
  <c r="FL338" i="65"/>
  <c r="FA338" i="65"/>
  <c r="EY360" i="65"/>
  <c r="FJ360" i="65"/>
  <c r="FI360" i="65"/>
  <c r="FL360" i="65"/>
  <c r="FA360" i="65"/>
  <c r="FB360" i="65"/>
  <c r="FX360" i="65" s="1"/>
  <c r="EY381" i="65"/>
  <c r="FJ381" i="65"/>
  <c r="FI381" i="65"/>
  <c r="FA381" i="65"/>
  <c r="FB381" i="65"/>
  <c r="FL381" i="65"/>
  <c r="EY379" i="65"/>
  <c r="FJ379" i="65"/>
  <c r="FI379" i="65"/>
  <c r="FL379" i="65"/>
  <c r="FA379" i="65"/>
  <c r="FB379" i="65"/>
  <c r="EY363" i="65"/>
  <c r="FJ363" i="65"/>
  <c r="FI363" i="65"/>
  <c r="FL363" i="65"/>
  <c r="FA363" i="65"/>
  <c r="FB363" i="65"/>
  <c r="FX363" i="65" s="1"/>
  <c r="EY347" i="65"/>
  <c r="FJ347" i="65"/>
  <c r="FI347" i="65"/>
  <c r="FL347" i="65"/>
  <c r="FA347" i="65"/>
  <c r="FB347" i="65"/>
  <c r="EY331" i="65"/>
  <c r="FJ331" i="65"/>
  <c r="FI331" i="65"/>
  <c r="FL331" i="65"/>
  <c r="FA331" i="65"/>
  <c r="FB331" i="65"/>
  <c r="FX331" i="65" s="1"/>
  <c r="EY315" i="65"/>
  <c r="FJ315" i="65"/>
  <c r="FI315" i="65"/>
  <c r="FL315" i="65"/>
  <c r="FA315" i="65"/>
  <c r="FB315" i="65"/>
  <c r="EY299" i="65"/>
  <c r="FJ299" i="65"/>
  <c r="FI299" i="65"/>
  <c r="FL299" i="65"/>
  <c r="FA299" i="65"/>
  <c r="FB299" i="65"/>
  <c r="EY283" i="65"/>
  <c r="FJ283" i="65"/>
  <c r="FI283" i="65"/>
  <c r="FL283" i="65"/>
  <c r="FA283" i="65"/>
  <c r="FB283" i="65"/>
  <c r="FX283" i="65" s="1"/>
  <c r="EY267" i="65"/>
  <c r="FJ267" i="65"/>
  <c r="FI267" i="65"/>
  <c r="FL267" i="65"/>
  <c r="FA267" i="65"/>
  <c r="FB267" i="65"/>
  <c r="EY251" i="65"/>
  <c r="FJ251" i="65"/>
  <c r="FI251" i="65"/>
  <c r="FL251" i="65"/>
  <c r="FA251" i="65"/>
  <c r="FB251" i="65"/>
  <c r="FX251" i="65" s="1"/>
  <c r="EY235" i="65"/>
  <c r="FJ235" i="65"/>
  <c r="FI235" i="65"/>
  <c r="FL235" i="65"/>
  <c r="FA235" i="65"/>
  <c r="FB235" i="65"/>
  <c r="EY219" i="65"/>
  <c r="FJ219" i="65"/>
  <c r="FI219" i="65"/>
  <c r="FL219" i="65"/>
  <c r="FA219" i="65"/>
  <c r="FB219" i="65"/>
  <c r="EY203" i="65"/>
  <c r="FJ203" i="65"/>
  <c r="FI203" i="65"/>
  <c r="FL203" i="65"/>
  <c r="FA203" i="65"/>
  <c r="FB203" i="65"/>
  <c r="FX203" i="65" s="1"/>
  <c r="EY187" i="65"/>
  <c r="FJ187" i="65"/>
  <c r="FI187" i="65"/>
  <c r="FL187" i="65"/>
  <c r="FA187" i="65"/>
  <c r="FB187" i="65"/>
  <c r="EY171" i="65"/>
  <c r="FJ171" i="65"/>
  <c r="FI171" i="65"/>
  <c r="FL171" i="65"/>
  <c r="FA171" i="65"/>
  <c r="FB171" i="65"/>
  <c r="FX171" i="65" s="1"/>
  <c r="EY155" i="65"/>
  <c r="FJ155" i="65"/>
  <c r="FI155" i="65"/>
  <c r="FL155" i="65"/>
  <c r="FA155" i="65"/>
  <c r="FB155" i="65"/>
  <c r="EY139" i="65"/>
  <c r="FJ139" i="65"/>
  <c r="FI139" i="65"/>
  <c r="FL139" i="65"/>
  <c r="FA139" i="65"/>
  <c r="FB139" i="65"/>
  <c r="EY123" i="65"/>
  <c r="FJ123" i="65"/>
  <c r="FI123" i="65"/>
  <c r="FL123" i="65"/>
  <c r="FA123" i="65"/>
  <c r="FB123" i="65"/>
  <c r="FX123" i="65" s="1"/>
  <c r="EY107" i="65"/>
  <c r="FJ107" i="65"/>
  <c r="FI107" i="65"/>
  <c r="FL107" i="65"/>
  <c r="FA107" i="65"/>
  <c r="FB107" i="65"/>
  <c r="EY91" i="65"/>
  <c r="FJ91" i="65"/>
  <c r="FI91" i="65"/>
  <c r="FL91" i="65"/>
  <c r="FA91" i="65"/>
  <c r="FB91" i="65"/>
  <c r="FX91" i="65" s="1"/>
  <c r="EY75" i="65"/>
  <c r="FJ75" i="65"/>
  <c r="FI75" i="65"/>
  <c r="FL75" i="65"/>
  <c r="FA75" i="65"/>
  <c r="FB75" i="65"/>
  <c r="EY59" i="65"/>
  <c r="FJ59" i="65"/>
  <c r="FI59" i="65"/>
  <c r="FL59" i="65"/>
  <c r="FA59" i="65"/>
  <c r="FB59" i="65"/>
  <c r="FX59" i="65" s="1"/>
  <c r="EY43" i="65"/>
  <c r="FJ43" i="65"/>
  <c r="FI43" i="65"/>
  <c r="FL43" i="65"/>
  <c r="FA43" i="65"/>
  <c r="FB43" i="65"/>
  <c r="EY27" i="65"/>
  <c r="FJ27" i="65"/>
  <c r="FI27" i="65"/>
  <c r="FL27" i="65"/>
  <c r="FA27" i="65"/>
  <c r="FB27" i="65"/>
  <c r="EY11" i="65"/>
  <c r="FJ11" i="65"/>
  <c r="FI11" i="65"/>
  <c r="FL11" i="65"/>
  <c r="FA11" i="65"/>
  <c r="FB11" i="65"/>
  <c r="FX11" i="65" s="1"/>
  <c r="EY10" i="65"/>
  <c r="FI10" i="65"/>
  <c r="FJ10" i="65"/>
  <c r="FB10" i="65"/>
  <c r="FX10" i="65" s="1"/>
  <c r="FL10" i="65"/>
  <c r="FG10" i="65"/>
  <c r="FA10" i="65"/>
  <c r="EY85" i="65"/>
  <c r="FJ85" i="65"/>
  <c r="FI85" i="65"/>
  <c r="FA85" i="65"/>
  <c r="FB85" i="65"/>
  <c r="FX85" i="65" s="1"/>
  <c r="FL85" i="65"/>
  <c r="EY69" i="65"/>
  <c r="FJ69" i="65"/>
  <c r="FI69" i="65"/>
  <c r="FA69" i="65"/>
  <c r="FB69" i="65"/>
  <c r="FL69" i="65"/>
  <c r="EY53" i="65"/>
  <c r="FJ53" i="65"/>
  <c r="FI53" i="65"/>
  <c r="FA53" i="65"/>
  <c r="FB53" i="65"/>
  <c r="FX53" i="65" s="1"/>
  <c r="FL53" i="65"/>
  <c r="EY37" i="65"/>
  <c r="FJ37" i="65"/>
  <c r="FI37" i="65"/>
  <c r="FA37" i="65"/>
  <c r="FB37" i="65"/>
  <c r="FL37" i="65"/>
  <c r="EY21" i="65"/>
  <c r="FJ21" i="65"/>
  <c r="FI21" i="65"/>
  <c r="FA21" i="65"/>
  <c r="FB21" i="65"/>
  <c r="FX21" i="65" s="1"/>
  <c r="FL21" i="65"/>
  <c r="EY8" i="65"/>
  <c r="FJ8" i="65"/>
  <c r="FI8" i="65"/>
  <c r="FL8" i="65"/>
  <c r="FA8" i="65"/>
  <c r="FB8" i="65"/>
  <c r="FX8" i="65" s="1"/>
  <c r="EY190" i="65"/>
  <c r="FI190" i="65"/>
  <c r="FJ190" i="65"/>
  <c r="FB190" i="65"/>
  <c r="FL190" i="65"/>
  <c r="FA190" i="65"/>
  <c r="EY153" i="65"/>
  <c r="FJ153" i="65"/>
  <c r="FI153" i="65"/>
  <c r="FA153" i="65"/>
  <c r="FB153" i="65"/>
  <c r="FL153" i="65"/>
  <c r="EY110" i="65"/>
  <c r="FI110" i="65"/>
  <c r="FJ110" i="65"/>
  <c r="FB110" i="65"/>
  <c r="FL110" i="65"/>
  <c r="FA110" i="65"/>
  <c r="EY52" i="65"/>
  <c r="FJ52" i="65"/>
  <c r="FI52" i="65"/>
  <c r="FL52" i="65"/>
  <c r="FA52" i="65"/>
  <c r="FB52" i="65"/>
  <c r="FX52" i="65" s="1"/>
  <c r="EY206" i="65"/>
  <c r="FI206" i="65"/>
  <c r="FJ206" i="65"/>
  <c r="FB206" i="65"/>
  <c r="FX206" i="65" s="1"/>
  <c r="FL206" i="65"/>
  <c r="FA206" i="65"/>
  <c r="EY164" i="65"/>
  <c r="FJ164" i="65"/>
  <c r="FI164" i="65"/>
  <c r="FL164" i="65"/>
  <c r="FG164" i="65"/>
  <c r="FA164" i="65"/>
  <c r="FB164" i="65"/>
  <c r="FX164" i="65" s="1"/>
  <c r="EY116" i="65"/>
  <c r="FJ116" i="65"/>
  <c r="FI116" i="65"/>
  <c r="FL116" i="65"/>
  <c r="FA116" i="65"/>
  <c r="FB116" i="65"/>
  <c r="EY60" i="65"/>
  <c r="FJ60" i="65"/>
  <c r="FI60" i="65"/>
  <c r="FL60" i="65"/>
  <c r="FA60" i="65"/>
  <c r="FB60" i="65"/>
  <c r="FX60" i="65" s="1"/>
  <c r="EY218" i="65"/>
  <c r="FI218" i="65"/>
  <c r="FJ218" i="65"/>
  <c r="FB218" i="65"/>
  <c r="FX218" i="65" s="1"/>
  <c r="FL218" i="65"/>
  <c r="FA218" i="65"/>
  <c r="EY197" i="65"/>
  <c r="FJ197" i="65"/>
  <c r="FI197" i="65"/>
  <c r="FB197" i="65"/>
  <c r="FL197" i="65"/>
  <c r="FA197" i="65"/>
  <c r="EY176" i="65"/>
  <c r="FJ176" i="65"/>
  <c r="FI176" i="65"/>
  <c r="FL176" i="65"/>
  <c r="FA176" i="65"/>
  <c r="FB176" i="65"/>
  <c r="EY260" i="65"/>
  <c r="FJ260" i="65"/>
  <c r="FI260" i="65"/>
  <c r="FL260" i="65"/>
  <c r="FA260" i="65"/>
  <c r="FB260" i="65"/>
  <c r="EY266" i="65"/>
  <c r="FI266" i="65"/>
  <c r="FJ266" i="65"/>
  <c r="FB266" i="65"/>
  <c r="FL266" i="65"/>
  <c r="FA266" i="65"/>
  <c r="EY302" i="65"/>
  <c r="FI302" i="65"/>
  <c r="FJ302" i="65"/>
  <c r="FB302" i="65"/>
  <c r="FL302" i="65"/>
  <c r="FA302" i="65"/>
  <c r="EY308" i="65"/>
  <c r="FJ308" i="65"/>
  <c r="FI308" i="65"/>
  <c r="FL308" i="65"/>
  <c r="FA308" i="65"/>
  <c r="FB308" i="65"/>
  <c r="EY298" i="65"/>
  <c r="FI298" i="65"/>
  <c r="FJ298" i="65"/>
  <c r="FB298" i="65"/>
  <c r="FL298" i="65"/>
  <c r="FA298" i="65"/>
  <c r="EY244" i="65"/>
  <c r="FJ244" i="65"/>
  <c r="FI244" i="65"/>
  <c r="FL244" i="65"/>
  <c r="FA244" i="65"/>
  <c r="FB244" i="65"/>
  <c r="FX244" i="65" s="1"/>
  <c r="EY245" i="65"/>
  <c r="FJ245" i="65"/>
  <c r="FI245" i="65"/>
  <c r="FA245" i="65"/>
  <c r="FB245" i="65"/>
  <c r="FX245" i="65" s="1"/>
  <c r="FL245" i="65"/>
  <c r="EY334" i="65"/>
  <c r="FI334" i="65"/>
  <c r="FJ334" i="65"/>
  <c r="FB334" i="65"/>
  <c r="FX334" i="65" s="1"/>
  <c r="FL334" i="65"/>
  <c r="FA334" i="65"/>
  <c r="EY318" i="65"/>
  <c r="FI318" i="65"/>
  <c r="FJ318" i="65"/>
  <c r="FB318" i="65"/>
  <c r="FL318" i="65"/>
  <c r="FA318" i="65"/>
  <c r="EY320" i="65"/>
  <c r="FJ320" i="65"/>
  <c r="FI320" i="65"/>
  <c r="FL320" i="65"/>
  <c r="FA320" i="65"/>
  <c r="FB320" i="65"/>
  <c r="EY366" i="65"/>
  <c r="FI366" i="65"/>
  <c r="FJ366" i="65"/>
  <c r="FB366" i="65"/>
  <c r="FX366" i="65" s="1"/>
  <c r="FL366" i="65"/>
  <c r="FA366" i="65"/>
  <c r="EY382" i="65"/>
  <c r="FI382" i="65"/>
  <c r="FJ382" i="65"/>
  <c r="FB382" i="65"/>
  <c r="FL382" i="65"/>
  <c r="FA382" i="65"/>
  <c r="EY340" i="65"/>
  <c r="FJ340" i="65"/>
  <c r="FI340" i="65"/>
  <c r="FL340" i="65"/>
  <c r="FA340" i="65"/>
  <c r="FB340" i="65"/>
  <c r="EY378" i="65"/>
  <c r="FI378" i="65"/>
  <c r="FJ378" i="65"/>
  <c r="FB378" i="65"/>
  <c r="FL378" i="65"/>
  <c r="EZ378" i="65" s="1"/>
  <c r="FA378" i="65"/>
  <c r="EY357" i="65"/>
  <c r="FJ357" i="65"/>
  <c r="FI357" i="65"/>
  <c r="FA357" i="65"/>
  <c r="FB357" i="65"/>
  <c r="FL357" i="65"/>
  <c r="EY406" i="65"/>
  <c r="FJ406" i="65"/>
  <c r="FB406" i="65"/>
  <c r="FX406" i="65" s="1"/>
  <c r="FI406" i="65"/>
  <c r="FL406" i="65"/>
  <c r="FA406" i="65"/>
  <c r="EY419" i="65"/>
  <c r="FI419" i="65"/>
  <c r="FL419" i="65"/>
  <c r="FJ419" i="65"/>
  <c r="FA419" i="65"/>
  <c r="FB419" i="65"/>
  <c r="EY396" i="65"/>
  <c r="FA396" i="65"/>
  <c r="FI396" i="65"/>
  <c r="FB396" i="65"/>
  <c r="FL396" i="65"/>
  <c r="FJ396" i="65"/>
  <c r="EY417" i="65"/>
  <c r="FB417" i="65"/>
  <c r="FA417" i="65"/>
  <c r="FJ417" i="65"/>
  <c r="FI417" i="65"/>
  <c r="FL417" i="65"/>
  <c r="EY438" i="65"/>
  <c r="FJ438" i="65"/>
  <c r="FA438" i="65"/>
  <c r="FI438" i="65"/>
  <c r="FL438" i="65"/>
  <c r="FB438" i="65"/>
  <c r="EY427" i="65"/>
  <c r="FI427" i="65"/>
  <c r="FJ427" i="65"/>
  <c r="FB427" i="65"/>
  <c r="FL427" i="65"/>
  <c r="FA427" i="65"/>
  <c r="EY411" i="65"/>
  <c r="FI411" i="65"/>
  <c r="FL411" i="65"/>
  <c r="FJ411" i="65"/>
  <c r="FA411" i="65"/>
  <c r="FB411" i="65"/>
  <c r="FX411" i="65" s="1"/>
  <c r="EY395" i="65"/>
  <c r="FI395" i="65"/>
  <c r="FL395" i="65"/>
  <c r="FJ395" i="65"/>
  <c r="FA395" i="65"/>
  <c r="FB395" i="65"/>
  <c r="EY409" i="65"/>
  <c r="FB409" i="65"/>
  <c r="FX409" i="65" s="1"/>
  <c r="FJ409" i="65"/>
  <c r="FA409" i="65"/>
  <c r="FI409" i="65"/>
  <c r="FL409" i="65"/>
  <c r="EY425" i="65"/>
  <c r="FL425" i="65"/>
  <c r="FJ425" i="65"/>
  <c r="FB425" i="65"/>
  <c r="FI425" i="65"/>
  <c r="FA425" i="65"/>
  <c r="EY421" i="65"/>
  <c r="FJ421" i="65"/>
  <c r="FL421" i="65"/>
  <c r="FB421" i="65"/>
  <c r="FI421" i="65"/>
  <c r="FA421" i="65"/>
  <c r="EY400" i="65"/>
  <c r="FA400" i="65"/>
  <c r="FI400" i="65"/>
  <c r="FB400" i="65"/>
  <c r="FX400" i="65" s="1"/>
  <c r="FL400" i="65"/>
  <c r="FJ400" i="65"/>
  <c r="EY428" i="65"/>
  <c r="FI428" i="65"/>
  <c r="FA428" i="65"/>
  <c r="FJ428" i="65"/>
  <c r="FB428" i="65"/>
  <c r="FL428" i="65"/>
  <c r="EY392" i="65"/>
  <c r="FA392" i="65"/>
  <c r="FI392" i="65"/>
  <c r="FB392" i="65"/>
  <c r="FL392" i="65"/>
  <c r="FJ392" i="65"/>
  <c r="EY413" i="65"/>
  <c r="FB413" i="65"/>
  <c r="FX413" i="65" s="1"/>
  <c r="FJ413" i="65"/>
  <c r="FL413" i="65"/>
  <c r="FA413" i="65"/>
  <c r="FI413" i="65"/>
  <c r="EY434" i="65"/>
  <c r="FJ434" i="65"/>
  <c r="FI434" i="65"/>
  <c r="FA434" i="65"/>
  <c r="FL434" i="65"/>
  <c r="FB434" i="65"/>
  <c r="EY435" i="65"/>
  <c r="FI435" i="65"/>
  <c r="FJ435" i="65"/>
  <c r="FB435" i="65"/>
  <c r="FL435" i="65"/>
  <c r="FA435" i="65"/>
  <c r="EY403" i="65"/>
  <c r="FI403" i="65"/>
  <c r="FL403" i="65"/>
  <c r="FJ403" i="65"/>
  <c r="FA403" i="65"/>
  <c r="FB403" i="65"/>
  <c r="FX403" i="65" s="1"/>
  <c r="EY430" i="65"/>
  <c r="FJ430" i="65"/>
  <c r="FA430" i="65"/>
  <c r="FI430" i="65"/>
  <c r="FL430" i="65"/>
  <c r="FB430" i="65"/>
  <c r="EY404" i="65"/>
  <c r="FA404" i="65"/>
  <c r="FI404" i="65"/>
  <c r="FL404" i="65"/>
  <c r="FJ404" i="65"/>
  <c r="FB404" i="65"/>
  <c r="FX404" i="65" s="1"/>
  <c r="EY432" i="65"/>
  <c r="FI432" i="65"/>
  <c r="FA432" i="65"/>
  <c r="FB432" i="65"/>
  <c r="FJ432" i="65"/>
  <c r="FL432" i="65"/>
  <c r="EY410" i="65"/>
  <c r="FJ410" i="65"/>
  <c r="FI410" i="65"/>
  <c r="FA410" i="65"/>
  <c r="FL410" i="65"/>
  <c r="FB410" i="65"/>
  <c r="FX410" i="65" s="1"/>
  <c r="EY412" i="65"/>
  <c r="FA412" i="65"/>
  <c r="FI412" i="65"/>
  <c r="FL412" i="65"/>
  <c r="FJ412" i="65"/>
  <c r="FB412" i="65"/>
  <c r="FX412" i="65" s="1"/>
  <c r="EY433" i="65"/>
  <c r="FL433" i="65"/>
  <c r="FJ433" i="65"/>
  <c r="FB433" i="65"/>
  <c r="FI433" i="65"/>
  <c r="FA433" i="65"/>
  <c r="EY397" i="65"/>
  <c r="FB397" i="65"/>
  <c r="FJ397" i="65"/>
  <c r="FA397" i="65"/>
  <c r="FI397" i="65"/>
  <c r="FL397" i="65"/>
  <c r="EZ397" i="65" s="1"/>
  <c r="EY418" i="65"/>
  <c r="FJ418" i="65"/>
  <c r="FI418" i="65"/>
  <c r="FA418" i="65"/>
  <c r="FB418" i="65"/>
  <c r="FL418" i="65"/>
  <c r="EY440" i="65"/>
  <c r="FI440" i="65"/>
  <c r="FA440" i="65"/>
  <c r="FB440" i="65"/>
  <c r="FJ440" i="65"/>
  <c r="FL440" i="65"/>
  <c r="EY431" i="65"/>
  <c r="FI431" i="65"/>
  <c r="FJ431" i="65"/>
  <c r="FB431" i="65"/>
  <c r="FL431" i="65"/>
  <c r="FA431" i="65"/>
  <c r="EY415" i="65"/>
  <c r="FI415" i="65"/>
  <c r="FL415" i="65"/>
  <c r="FJ415" i="65"/>
  <c r="FB415" i="65"/>
  <c r="FA415" i="65"/>
  <c r="EY399" i="65"/>
  <c r="FI399" i="65"/>
  <c r="FL399" i="65"/>
  <c r="EZ399" i="65" s="1"/>
  <c r="FJ399" i="65"/>
  <c r="FA399" i="65"/>
  <c r="FB399" i="65"/>
  <c r="FX399" i="65" s="1"/>
  <c r="EY420" i="65"/>
  <c r="FA420" i="65"/>
  <c r="FI420" i="65"/>
  <c r="FL420" i="65"/>
  <c r="FJ420" i="65"/>
  <c r="FB420" i="65"/>
  <c r="EY436" i="65"/>
  <c r="FI436" i="65"/>
  <c r="FA436" i="65"/>
  <c r="FJ436" i="65"/>
  <c r="FB436" i="65"/>
  <c r="FL436" i="65"/>
  <c r="EY393" i="65"/>
  <c r="FB393" i="65"/>
  <c r="FA393" i="65"/>
  <c r="FJ393" i="65"/>
  <c r="FI393" i="65"/>
  <c r="FL393" i="65"/>
  <c r="EZ393" i="65" s="1"/>
  <c r="EY426" i="65"/>
  <c r="FJ426" i="65"/>
  <c r="FI426" i="65"/>
  <c r="FA426" i="65"/>
  <c r="FL426" i="65"/>
  <c r="FB426" i="65"/>
  <c r="EY405" i="65"/>
  <c r="FB405" i="65"/>
  <c r="FX405" i="65" s="1"/>
  <c r="FJ405" i="65"/>
  <c r="FL405" i="65"/>
  <c r="EZ405" i="65" s="1"/>
  <c r="FI405" i="65"/>
  <c r="FA405" i="65"/>
  <c r="EY402" i="65"/>
  <c r="FJ402" i="65"/>
  <c r="FI402" i="65"/>
  <c r="FA402" i="65"/>
  <c r="FB402" i="65"/>
  <c r="FX402" i="65" s="1"/>
  <c r="FL402" i="65"/>
  <c r="EY424" i="65"/>
  <c r="FI424" i="65"/>
  <c r="FA424" i="65"/>
  <c r="FB424" i="65"/>
  <c r="FJ424" i="65"/>
  <c r="FL424" i="65"/>
  <c r="EY401" i="65"/>
  <c r="FB401" i="65"/>
  <c r="FX401" i="65" s="1"/>
  <c r="FA401" i="65"/>
  <c r="FJ401" i="65"/>
  <c r="FI401" i="65"/>
  <c r="FL401" i="65"/>
  <c r="FV401" i="65" s="1"/>
  <c r="EY422" i="65"/>
  <c r="FJ422" i="65"/>
  <c r="FA422" i="65"/>
  <c r="FI422" i="65"/>
  <c r="FL422" i="65"/>
  <c r="FB422" i="65"/>
  <c r="EY408" i="65"/>
  <c r="FA408" i="65"/>
  <c r="FI408" i="65"/>
  <c r="FB408" i="65"/>
  <c r="FX408" i="65" s="1"/>
  <c r="FL408" i="65"/>
  <c r="FJ408" i="65"/>
  <c r="EY429" i="65"/>
  <c r="FJ429" i="65"/>
  <c r="FL429" i="65"/>
  <c r="FB429" i="65"/>
  <c r="FI429" i="65"/>
  <c r="FA429" i="65"/>
  <c r="EY439" i="65"/>
  <c r="FI439" i="65"/>
  <c r="FJ439" i="65"/>
  <c r="FB439" i="65"/>
  <c r="FL439" i="65"/>
  <c r="FA439" i="65"/>
  <c r="EY423" i="65"/>
  <c r="FI423" i="65"/>
  <c r="FJ423" i="65"/>
  <c r="FB423" i="65"/>
  <c r="FL423" i="65"/>
  <c r="FA423" i="65"/>
  <c r="EY407" i="65"/>
  <c r="FI407" i="65"/>
  <c r="FL407" i="65"/>
  <c r="FJ407" i="65"/>
  <c r="FB407" i="65"/>
  <c r="FX407" i="65" s="1"/>
  <c r="FA407" i="65"/>
  <c r="EY391" i="65"/>
  <c r="FI391" i="65"/>
  <c r="FL391" i="65"/>
  <c r="FJ391" i="65"/>
  <c r="FA391" i="65"/>
  <c r="FB391" i="65"/>
  <c r="EY398" i="65"/>
  <c r="FJ398" i="65"/>
  <c r="FL398" i="65"/>
  <c r="FB398" i="65"/>
  <c r="FX398" i="65" s="1"/>
  <c r="FI398" i="65"/>
  <c r="FA398" i="65"/>
  <c r="EY414" i="65"/>
  <c r="FJ414" i="65"/>
  <c r="FL414" i="65"/>
  <c r="FI414" i="65"/>
  <c r="FB414" i="65"/>
  <c r="FA414" i="65"/>
  <c r="EY437" i="65"/>
  <c r="FJ437" i="65"/>
  <c r="FL437" i="65"/>
  <c r="FB437" i="65"/>
  <c r="FI437" i="65"/>
  <c r="FA437" i="65"/>
  <c r="EY416" i="65"/>
  <c r="FA416" i="65"/>
  <c r="FI416" i="65"/>
  <c r="FB416" i="65"/>
  <c r="FJ416" i="65"/>
  <c r="FL416" i="65"/>
  <c r="EY394" i="65"/>
  <c r="FJ394" i="65"/>
  <c r="FL394" i="65"/>
  <c r="FI394" i="65"/>
  <c r="FB394" i="65"/>
  <c r="FA394" i="65"/>
  <c r="D24" i="65"/>
  <c r="D25" i="65"/>
  <c r="D26" i="65"/>
  <c r="D27" i="65"/>
  <c r="D13" i="65"/>
  <c r="D14" i="65"/>
  <c r="D15" i="65"/>
  <c r="D16" i="65"/>
  <c r="FN424" i="65" l="1"/>
  <c r="FN25" i="65"/>
  <c r="FC25" i="65"/>
  <c r="FN105" i="65"/>
  <c r="FN153" i="65"/>
  <c r="FC153" i="65"/>
  <c r="FN233" i="65"/>
  <c r="FN281" i="65"/>
  <c r="FC281" i="65"/>
  <c r="FN361" i="65"/>
  <c r="FF361" i="65"/>
  <c r="FN409" i="65"/>
  <c r="FF409" i="65"/>
  <c r="FC409" i="65"/>
  <c r="FN349" i="65"/>
  <c r="FN429" i="65"/>
  <c r="FF429" i="65"/>
  <c r="FC429" i="65"/>
  <c r="FN170" i="65"/>
  <c r="FN298" i="65"/>
  <c r="FC298" i="65"/>
  <c r="FN127" i="65"/>
  <c r="FN287" i="65"/>
  <c r="FF287" i="65"/>
  <c r="FC287" i="65"/>
  <c r="FN116" i="65"/>
  <c r="FN244" i="65"/>
  <c r="FC244" i="65"/>
  <c r="FN21" i="65"/>
  <c r="FN181" i="65"/>
  <c r="FF181" i="65"/>
  <c r="FC181" i="65"/>
  <c r="FN389" i="65"/>
  <c r="FF389" i="65"/>
  <c r="FN471" i="65"/>
  <c r="FF471" i="65"/>
  <c r="FC471" i="65"/>
  <c r="FN547" i="65"/>
  <c r="FF547" i="65"/>
  <c r="FN461" i="65"/>
  <c r="FF461" i="65"/>
  <c r="FC461" i="65"/>
  <c r="FN462" i="65"/>
  <c r="FF462" i="65"/>
  <c r="FN629" i="65"/>
  <c r="FF629" i="65"/>
  <c r="FC629" i="65"/>
  <c r="FN507" i="65"/>
  <c r="FF507" i="65"/>
  <c r="FC507" i="65"/>
  <c r="FN572" i="65"/>
  <c r="FF572" i="65"/>
  <c r="FC572" i="65"/>
  <c r="FN613" i="65"/>
  <c r="FF613" i="65"/>
  <c r="FC613" i="65"/>
  <c r="FN510" i="65"/>
  <c r="FF510" i="65"/>
  <c r="FC510" i="65"/>
  <c r="FN514" i="65"/>
  <c r="FF514" i="65"/>
  <c r="FC514" i="65"/>
  <c r="FN598" i="65"/>
  <c r="FF598" i="65"/>
  <c r="FC598" i="65"/>
  <c r="FN690" i="65"/>
  <c r="FF690" i="65"/>
  <c r="FC690" i="65"/>
  <c r="FN637" i="65"/>
  <c r="FF637" i="65"/>
  <c r="FC637" i="65"/>
  <c r="FN695" i="65"/>
  <c r="FF695" i="65"/>
  <c r="FC695" i="65"/>
  <c r="FN765" i="65"/>
  <c r="FF765" i="65"/>
  <c r="FC765" i="65"/>
  <c r="FN609" i="65"/>
  <c r="FF609" i="65"/>
  <c r="FC609" i="65"/>
  <c r="FN611" i="65"/>
  <c r="FF611" i="65"/>
  <c r="FC611" i="65"/>
  <c r="FN738" i="65"/>
  <c r="FF738" i="65"/>
  <c r="FC738" i="65"/>
  <c r="FN676" i="65"/>
  <c r="FF676" i="65"/>
  <c r="FC676" i="65"/>
  <c r="FN841" i="65"/>
  <c r="FF841" i="65"/>
  <c r="FC841" i="65"/>
  <c r="FN773" i="65"/>
  <c r="FF773" i="65"/>
  <c r="FC773" i="65"/>
  <c r="FN875" i="65"/>
  <c r="FF875" i="65"/>
  <c r="FC875" i="65"/>
  <c r="FN863" i="65"/>
  <c r="FF863" i="65"/>
  <c r="FC863" i="65"/>
  <c r="FN802" i="65"/>
  <c r="FF802" i="65"/>
  <c r="FC802" i="65"/>
  <c r="FN50" i="65"/>
  <c r="FC50" i="65"/>
  <c r="FN114" i="65"/>
  <c r="FC114" i="65"/>
  <c r="FN178" i="65"/>
  <c r="FC178" i="65"/>
  <c r="FN242" i="65"/>
  <c r="FC242" i="65"/>
  <c r="FN306" i="65"/>
  <c r="FC306" i="65"/>
  <c r="FN370" i="65"/>
  <c r="FC370" i="65"/>
  <c r="FN434" i="65"/>
  <c r="FC434" i="65"/>
  <c r="FN55" i="65"/>
  <c r="FC55" i="65"/>
  <c r="FN119" i="65"/>
  <c r="FC119" i="65"/>
  <c r="FN183" i="65"/>
  <c r="FC183" i="65"/>
  <c r="FN247" i="65"/>
  <c r="FC247" i="65"/>
  <c r="FN311" i="65"/>
  <c r="FC311" i="65"/>
  <c r="FN375" i="65"/>
  <c r="FC375" i="65"/>
  <c r="FN439" i="65"/>
  <c r="FC439" i="65"/>
  <c r="FN60" i="65"/>
  <c r="FC60" i="65"/>
  <c r="FN124" i="65"/>
  <c r="FC124" i="65"/>
  <c r="FN188" i="65"/>
  <c r="FC188" i="65"/>
  <c r="FN252" i="65"/>
  <c r="FC252" i="65"/>
  <c r="FN316" i="65"/>
  <c r="FC316" i="65"/>
  <c r="FN380" i="65"/>
  <c r="FC380" i="65"/>
  <c r="FN13" i="65"/>
  <c r="FC13" i="65"/>
  <c r="FN77" i="65"/>
  <c r="FC77" i="65"/>
  <c r="FN141" i="65"/>
  <c r="FC141" i="65"/>
  <c r="FN205" i="65"/>
  <c r="FC205" i="65"/>
  <c r="FN285" i="65"/>
  <c r="FC285" i="65"/>
  <c r="FN413" i="65"/>
  <c r="FC413" i="65"/>
  <c r="FN154" i="65"/>
  <c r="FC154" i="65"/>
  <c r="FN378" i="65"/>
  <c r="FF378" i="65"/>
  <c r="FC378" i="65"/>
  <c r="FN159" i="65"/>
  <c r="FC159" i="65"/>
  <c r="FN351" i="65"/>
  <c r="FF351" i="65"/>
  <c r="FC351" i="65"/>
  <c r="FG450" i="65"/>
  <c r="FG525" i="65"/>
  <c r="FG593" i="65"/>
  <c r="FG644" i="65"/>
  <c r="FG730" i="65"/>
  <c r="FG828" i="65"/>
  <c r="FG500" i="65"/>
  <c r="FG513" i="65"/>
  <c r="FD159" i="65"/>
  <c r="FF159" i="65" s="1"/>
  <c r="FD287" i="65"/>
  <c r="FD351" i="65"/>
  <c r="FD116" i="65"/>
  <c r="FF116" i="65" s="1"/>
  <c r="FD244" i="65"/>
  <c r="FF244" i="65" s="1"/>
  <c r="FD389" i="65"/>
  <c r="FD25" i="65"/>
  <c r="FM25" i="65" s="1"/>
  <c r="FD153" i="65"/>
  <c r="FF153" i="65" s="1"/>
  <c r="FD281" i="65"/>
  <c r="FM281" i="65" s="1"/>
  <c r="FN448" i="65"/>
  <c r="FF448" i="65"/>
  <c r="FN449" i="65"/>
  <c r="FF449" i="65"/>
  <c r="FN466" i="65"/>
  <c r="FF466" i="65"/>
  <c r="FN488" i="65"/>
  <c r="FF488" i="65"/>
  <c r="FN532" i="65"/>
  <c r="FF532" i="65"/>
  <c r="FN491" i="65"/>
  <c r="FF491" i="65"/>
  <c r="FN504" i="65"/>
  <c r="FF504" i="65"/>
  <c r="FN528" i="65"/>
  <c r="FF528" i="65"/>
  <c r="FN628" i="65"/>
  <c r="FF628" i="65"/>
  <c r="FN457" i="65"/>
  <c r="FF457" i="65"/>
  <c r="FN503" i="65"/>
  <c r="FF503" i="65"/>
  <c r="FN537" i="65"/>
  <c r="FF537" i="65"/>
  <c r="FN561" i="65"/>
  <c r="FF561" i="65"/>
  <c r="FN577" i="65"/>
  <c r="FF577" i="65"/>
  <c r="FN589" i="65"/>
  <c r="FF589" i="65"/>
  <c r="FN638" i="65"/>
  <c r="FF638" i="65"/>
  <c r="FN530" i="65"/>
  <c r="FF530" i="65"/>
  <c r="FN579" i="65"/>
  <c r="FF579" i="65"/>
  <c r="FN619" i="65"/>
  <c r="FF619" i="65"/>
  <c r="FN642" i="65"/>
  <c r="FF642" i="65"/>
  <c r="FN652" i="65"/>
  <c r="FF652" i="65"/>
  <c r="FN668" i="65"/>
  <c r="FF668" i="65"/>
  <c r="FN705" i="65"/>
  <c r="FF705" i="65"/>
  <c r="FN486" i="65"/>
  <c r="FF486" i="65"/>
  <c r="FN622" i="65"/>
  <c r="FF622" i="65"/>
  <c r="FN643" i="65"/>
  <c r="FF643" i="65"/>
  <c r="FN667" i="65"/>
  <c r="FF667" i="65"/>
  <c r="FN704" i="65"/>
  <c r="FF704" i="65"/>
  <c r="FN756" i="65"/>
  <c r="FF756" i="65"/>
  <c r="FN556" i="65"/>
  <c r="FF556" i="65"/>
  <c r="FN659" i="65"/>
  <c r="FF659" i="65"/>
  <c r="FN702" i="65"/>
  <c r="FF702" i="65"/>
  <c r="FN686" i="65"/>
  <c r="FF686" i="65"/>
  <c r="FN742" i="65"/>
  <c r="FF742" i="65"/>
  <c r="FN770" i="65"/>
  <c r="FF770" i="65"/>
  <c r="FN521" i="65"/>
  <c r="FF521" i="65"/>
  <c r="FN698" i="65"/>
  <c r="FF698" i="65"/>
  <c r="FN768" i="65"/>
  <c r="FF768" i="65"/>
  <c r="FN833" i="65"/>
  <c r="FF833" i="65"/>
  <c r="FN715" i="65"/>
  <c r="FF715" i="65"/>
  <c r="FN785" i="65"/>
  <c r="FF785" i="65"/>
  <c r="FN793" i="65"/>
  <c r="FF793" i="65"/>
  <c r="FN801" i="65"/>
  <c r="FF801" i="65"/>
  <c r="FN809" i="65"/>
  <c r="FF809" i="65"/>
  <c r="FN817" i="65"/>
  <c r="FF817" i="65"/>
  <c r="FN825" i="65"/>
  <c r="FF825" i="65"/>
  <c r="FN728" i="65"/>
  <c r="FF728" i="65"/>
  <c r="FN864" i="65"/>
  <c r="FF864" i="65"/>
  <c r="FN769" i="65"/>
  <c r="FF769" i="65"/>
  <c r="FN804" i="65"/>
  <c r="FF804" i="65"/>
  <c r="FN840" i="65"/>
  <c r="FF840" i="65"/>
  <c r="FN856" i="65"/>
  <c r="FF856" i="65"/>
  <c r="FN775" i="65"/>
  <c r="FF775" i="65"/>
  <c r="FN814" i="65"/>
  <c r="FF814" i="65"/>
  <c r="FN854" i="65"/>
  <c r="FF854" i="65"/>
  <c r="FN14" i="65"/>
  <c r="FF14" i="65"/>
  <c r="FN46" i="65"/>
  <c r="FF46" i="65"/>
  <c r="FN78" i="65"/>
  <c r="FF78" i="65"/>
  <c r="FN110" i="65"/>
  <c r="FF110" i="65"/>
  <c r="FN142" i="65"/>
  <c r="FF142" i="65"/>
  <c r="FN174" i="65"/>
  <c r="FF174" i="65"/>
  <c r="FN206" i="65"/>
  <c r="FF206" i="65"/>
  <c r="FN238" i="65"/>
  <c r="FF238" i="65"/>
  <c r="FN270" i="65"/>
  <c r="FF270" i="65"/>
  <c r="FN302" i="65"/>
  <c r="FF302" i="65"/>
  <c r="FN334" i="65"/>
  <c r="FF334" i="65"/>
  <c r="FN366" i="65"/>
  <c r="FF366" i="65"/>
  <c r="FN398" i="65"/>
  <c r="FF398" i="65"/>
  <c r="FN430" i="65"/>
  <c r="FF430" i="65"/>
  <c r="FN35" i="65"/>
  <c r="FF35" i="65"/>
  <c r="FN67" i="65"/>
  <c r="FF67" i="65"/>
  <c r="FN99" i="65"/>
  <c r="FF99" i="65"/>
  <c r="FN131" i="65"/>
  <c r="FF131" i="65"/>
  <c r="FN163" i="65"/>
  <c r="FF163" i="65"/>
  <c r="FN195" i="65"/>
  <c r="FF195" i="65"/>
  <c r="FN227" i="65"/>
  <c r="FF227" i="65"/>
  <c r="FN259" i="65"/>
  <c r="FF259" i="65"/>
  <c r="FN291" i="65"/>
  <c r="FF291" i="65"/>
  <c r="FN323" i="65"/>
  <c r="FF323" i="65"/>
  <c r="FN355" i="65"/>
  <c r="FF355" i="65"/>
  <c r="FN387" i="65"/>
  <c r="FF387" i="65"/>
  <c r="FN419" i="65"/>
  <c r="FF419" i="65"/>
  <c r="FN8" i="65"/>
  <c r="FF8" i="65"/>
  <c r="FN40" i="65"/>
  <c r="FF40" i="65"/>
  <c r="FN72" i="65"/>
  <c r="FF72" i="65"/>
  <c r="FN104" i="65"/>
  <c r="FF104" i="65"/>
  <c r="FN136" i="65"/>
  <c r="FF136" i="65"/>
  <c r="FN168" i="65"/>
  <c r="FF168" i="65"/>
  <c r="FN200" i="65"/>
  <c r="FF200" i="65"/>
  <c r="FN232" i="65"/>
  <c r="FF232" i="65"/>
  <c r="FN264" i="65"/>
  <c r="FF264" i="65"/>
  <c r="FN296" i="65"/>
  <c r="FF296" i="65"/>
  <c r="FN328" i="65"/>
  <c r="FF328" i="65"/>
  <c r="FN360" i="65"/>
  <c r="FF360" i="65"/>
  <c r="FN392" i="65"/>
  <c r="FF392" i="65"/>
  <c r="FN440" i="65"/>
  <c r="FF440" i="65"/>
  <c r="FC440" i="65"/>
  <c r="FN73" i="65"/>
  <c r="FF73" i="65"/>
  <c r="FN121" i="65"/>
  <c r="FF121" i="65"/>
  <c r="FC121" i="65"/>
  <c r="FN201" i="65"/>
  <c r="FF201" i="65"/>
  <c r="EY249" i="65"/>
  <c r="FN249" i="65"/>
  <c r="FF249" i="65"/>
  <c r="FI249" i="65"/>
  <c r="FA249" i="65"/>
  <c r="FC249" i="65"/>
  <c r="FN329" i="65"/>
  <c r="FF329" i="65"/>
  <c r="FN377" i="65"/>
  <c r="FF377" i="65"/>
  <c r="FC377" i="65"/>
  <c r="FN269" i="65"/>
  <c r="FF269" i="65"/>
  <c r="FN381" i="65"/>
  <c r="FF381" i="65"/>
  <c r="FC381" i="65"/>
  <c r="FN10" i="65"/>
  <c r="FF10" i="65"/>
  <c r="FN202" i="65"/>
  <c r="FF202" i="65"/>
  <c r="FC202" i="65"/>
  <c r="FN15" i="65"/>
  <c r="FF15" i="65"/>
  <c r="FN175" i="65"/>
  <c r="FF175" i="65"/>
  <c r="FC175" i="65"/>
  <c r="FN431" i="65"/>
  <c r="FF431" i="65"/>
  <c r="FN148" i="65"/>
  <c r="FF148" i="65"/>
  <c r="FC148" i="65"/>
  <c r="FN388" i="65"/>
  <c r="FF388" i="65"/>
  <c r="FN85" i="65"/>
  <c r="FF85" i="65"/>
  <c r="FC85" i="65"/>
  <c r="FN309" i="65"/>
  <c r="FF309" i="65"/>
  <c r="FN437" i="65"/>
  <c r="FF437" i="65"/>
  <c r="FC437" i="65"/>
  <c r="FN519" i="65"/>
  <c r="FF519" i="65"/>
  <c r="FN442" i="65"/>
  <c r="FF442" i="65"/>
  <c r="FC442" i="65"/>
  <c r="FN533" i="65"/>
  <c r="FF533" i="65"/>
  <c r="FN492" i="65"/>
  <c r="FF492" i="65"/>
  <c r="FC492" i="65"/>
  <c r="FN446" i="65"/>
  <c r="FF446" i="65"/>
  <c r="FC446" i="65"/>
  <c r="FN518" i="65"/>
  <c r="FF518" i="65"/>
  <c r="FC518" i="65"/>
  <c r="FN580" i="65"/>
  <c r="FF580" i="65"/>
  <c r="FC580" i="65"/>
  <c r="FN626" i="65"/>
  <c r="FF626" i="65"/>
  <c r="FC626" i="65"/>
  <c r="FN544" i="65"/>
  <c r="FF544" i="65"/>
  <c r="FC544" i="65"/>
  <c r="FN538" i="65"/>
  <c r="FF538" i="65"/>
  <c r="FC538" i="65"/>
  <c r="FN612" i="65"/>
  <c r="FF612" i="65"/>
  <c r="FC612" i="65"/>
  <c r="FN716" i="65"/>
  <c r="FF716" i="65"/>
  <c r="FC716" i="65"/>
  <c r="FN645" i="65"/>
  <c r="FF645" i="65"/>
  <c r="FC645" i="65"/>
  <c r="FN733" i="65"/>
  <c r="FF733" i="65"/>
  <c r="FC733" i="65"/>
  <c r="FN567" i="65"/>
  <c r="FF567" i="65"/>
  <c r="FC567" i="65"/>
  <c r="FN658" i="65"/>
  <c r="FF658" i="65"/>
  <c r="FC658" i="65"/>
  <c r="FN653" i="65"/>
  <c r="FF653" i="65"/>
  <c r="FC653" i="65"/>
  <c r="FN771" i="65"/>
  <c r="FF771" i="65"/>
  <c r="FC771" i="65"/>
  <c r="FN687" i="65"/>
  <c r="FF687" i="65"/>
  <c r="FC687" i="65"/>
  <c r="FN849" i="65"/>
  <c r="FF849" i="65"/>
  <c r="FC849" i="65"/>
  <c r="FN792" i="65"/>
  <c r="FF792" i="65"/>
  <c r="FC792" i="65"/>
  <c r="FN839" i="65"/>
  <c r="FF839" i="65"/>
  <c r="FC839" i="65"/>
  <c r="FN871" i="65"/>
  <c r="FF871" i="65"/>
  <c r="FC871" i="65"/>
  <c r="FN818" i="65"/>
  <c r="FF818" i="65"/>
  <c r="FC818" i="65"/>
  <c r="FN66" i="65"/>
  <c r="FF66" i="65"/>
  <c r="FC66" i="65"/>
  <c r="FN130" i="65"/>
  <c r="FF130" i="65"/>
  <c r="FC130" i="65"/>
  <c r="FN194" i="65"/>
  <c r="FF194" i="65"/>
  <c r="FC194" i="65"/>
  <c r="FN258" i="65"/>
  <c r="FF258" i="65"/>
  <c r="FC258" i="65"/>
  <c r="FN322" i="65"/>
  <c r="FF322" i="65"/>
  <c r="FC322" i="65"/>
  <c r="FN386" i="65"/>
  <c r="FF386" i="65"/>
  <c r="FC386" i="65"/>
  <c r="FN7" i="65"/>
  <c r="FF7" i="65"/>
  <c r="FC7" i="65"/>
  <c r="FN71" i="65"/>
  <c r="FF71" i="65"/>
  <c r="FC71" i="65"/>
  <c r="FN135" i="65"/>
  <c r="FF135" i="65"/>
  <c r="FC135" i="65"/>
  <c r="FN199" i="65"/>
  <c r="FF199" i="65"/>
  <c r="FC199" i="65"/>
  <c r="FN263" i="65"/>
  <c r="FF263" i="65"/>
  <c r="FC263" i="65"/>
  <c r="FN327" i="65"/>
  <c r="FF327" i="65"/>
  <c r="FC327" i="65"/>
  <c r="FN391" i="65"/>
  <c r="FF391" i="65"/>
  <c r="FC391" i="65"/>
  <c r="FN12" i="65"/>
  <c r="FF12" i="65"/>
  <c r="FC12" i="65"/>
  <c r="FN76" i="65"/>
  <c r="FF76" i="65"/>
  <c r="FC76" i="65"/>
  <c r="FN140" i="65"/>
  <c r="FF140" i="65"/>
  <c r="FC140" i="65"/>
  <c r="FN204" i="65"/>
  <c r="FF204" i="65"/>
  <c r="FC204" i="65"/>
  <c r="FN268" i="65"/>
  <c r="FF268" i="65"/>
  <c r="FC268" i="65"/>
  <c r="FN332" i="65"/>
  <c r="FF332" i="65"/>
  <c r="FC332" i="65"/>
  <c r="FN396" i="65"/>
  <c r="FF396" i="65"/>
  <c r="FC396" i="65"/>
  <c r="FN29" i="65"/>
  <c r="FF29" i="65"/>
  <c r="FC29" i="65"/>
  <c r="FN93" i="65"/>
  <c r="FF93" i="65"/>
  <c r="FC93" i="65"/>
  <c r="FN157" i="65"/>
  <c r="FF157" i="65"/>
  <c r="FC157" i="65"/>
  <c r="FN221" i="65"/>
  <c r="FF221" i="65"/>
  <c r="FC221" i="65"/>
  <c r="FN301" i="65"/>
  <c r="FF301" i="65"/>
  <c r="FC301" i="65"/>
  <c r="FN784" i="65"/>
  <c r="FF784" i="65"/>
  <c r="FC784" i="65"/>
  <c r="FN218" i="65"/>
  <c r="FF218" i="65"/>
  <c r="FC218" i="65"/>
  <c r="FN426" i="65"/>
  <c r="FF426" i="65"/>
  <c r="FC426" i="65"/>
  <c r="FN223" i="65"/>
  <c r="FF223" i="65"/>
  <c r="FC223" i="65"/>
  <c r="FN415" i="65"/>
  <c r="FF415" i="65"/>
  <c r="FC415" i="65"/>
  <c r="FN180" i="65"/>
  <c r="FF180" i="65"/>
  <c r="FC180" i="65"/>
  <c r="FN404" i="65"/>
  <c r="FF404" i="65"/>
  <c r="FC404" i="65"/>
  <c r="FN229" i="65"/>
  <c r="FF229" i="65"/>
  <c r="FC229" i="65"/>
  <c r="FN445" i="65"/>
  <c r="FF445" i="65"/>
  <c r="FC445" i="65"/>
  <c r="FN472" i="65"/>
  <c r="FF472" i="65"/>
  <c r="FC472" i="65"/>
  <c r="FN525" i="65"/>
  <c r="FF525" i="65"/>
  <c r="FC525" i="65"/>
  <c r="FN463" i="65"/>
  <c r="FF463" i="65"/>
  <c r="FC463" i="65"/>
  <c r="FN552" i="65"/>
  <c r="FF552" i="65"/>
  <c r="FC552" i="65"/>
  <c r="FN451" i="65"/>
  <c r="FF451" i="65"/>
  <c r="FC451" i="65"/>
  <c r="FN555" i="65"/>
  <c r="FF555" i="65"/>
  <c r="FC555" i="65"/>
  <c r="FN597" i="65"/>
  <c r="FF597" i="65"/>
  <c r="FC597" i="65"/>
  <c r="FN490" i="65"/>
  <c r="FF490" i="65"/>
  <c r="FC490" i="65"/>
  <c r="FN632" i="65"/>
  <c r="FF632" i="65"/>
  <c r="FC632" i="65"/>
  <c r="FN599" i="65"/>
  <c r="FF599" i="65"/>
  <c r="FC599" i="65"/>
  <c r="FN657" i="65"/>
  <c r="FF657" i="65"/>
  <c r="FC657" i="65"/>
  <c r="FN701" i="65"/>
  <c r="FF701" i="65"/>
  <c r="FC701" i="65"/>
  <c r="FN470" i="65"/>
  <c r="FF470" i="65"/>
  <c r="FC470" i="65"/>
  <c r="FN640" i="65"/>
  <c r="FF640" i="65"/>
  <c r="FC640" i="65"/>
  <c r="FN671" i="65"/>
  <c r="FF671" i="65"/>
  <c r="FC671" i="65"/>
  <c r="FN736" i="65"/>
  <c r="FF736" i="65"/>
  <c r="FC736" i="65"/>
  <c r="FN767" i="65"/>
  <c r="FF767" i="65"/>
  <c r="FC767" i="65"/>
  <c r="FN696" i="65"/>
  <c r="FF696" i="65"/>
  <c r="FC696" i="65"/>
  <c r="FN677" i="65"/>
  <c r="FF677" i="65"/>
  <c r="FC677" i="65"/>
  <c r="FN558" i="65"/>
  <c r="FF558" i="65"/>
  <c r="FC558" i="65"/>
  <c r="FN829" i="65"/>
  <c r="FF829" i="65"/>
  <c r="FC829" i="65"/>
  <c r="FN732" i="65"/>
  <c r="FF732" i="65"/>
  <c r="FC732" i="65"/>
  <c r="FN782" i="65"/>
  <c r="FF782" i="65"/>
  <c r="FC782" i="65"/>
  <c r="FN799" i="65"/>
  <c r="FF799" i="65"/>
  <c r="FC799" i="65"/>
  <c r="FN815" i="65"/>
  <c r="FF815" i="65"/>
  <c r="FC815" i="65"/>
  <c r="FN836" i="65"/>
  <c r="FF836" i="65"/>
  <c r="FC836" i="65"/>
  <c r="FN739" i="65"/>
  <c r="FF739" i="65"/>
  <c r="FC739" i="65"/>
  <c r="FN844" i="65"/>
  <c r="FF844" i="65"/>
  <c r="FC844" i="65"/>
  <c r="FN865" i="65"/>
  <c r="FF865" i="65"/>
  <c r="FC865" i="65"/>
  <c r="FN842" i="65"/>
  <c r="FF842" i="65"/>
  <c r="FC842" i="65"/>
  <c r="FN22" i="65"/>
  <c r="FF22" i="65"/>
  <c r="FC22" i="65"/>
  <c r="FN86" i="65"/>
  <c r="FF86" i="65"/>
  <c r="FC86" i="65"/>
  <c r="FN150" i="65"/>
  <c r="FF150" i="65"/>
  <c r="FC150" i="65"/>
  <c r="FN214" i="65"/>
  <c r="FF214" i="65"/>
  <c r="FC214" i="65"/>
  <c r="FN278" i="65"/>
  <c r="FF278" i="65"/>
  <c r="FC278" i="65"/>
  <c r="FN342" i="65"/>
  <c r="FF342" i="65"/>
  <c r="FC342" i="65"/>
  <c r="FG718" i="65"/>
  <c r="FG641" i="65"/>
  <c r="FG673" i="65"/>
  <c r="FG569" i="65"/>
  <c r="FG702" i="65"/>
  <c r="FD50" i="65"/>
  <c r="FF50" i="65" s="1"/>
  <c r="FD114" i="65"/>
  <c r="FF114" i="65" s="1"/>
  <c r="FD178" i="65"/>
  <c r="FF178" i="65" s="1"/>
  <c r="FD242" i="65"/>
  <c r="FF242" i="65" s="1"/>
  <c r="FD306" i="65"/>
  <c r="FF306" i="65" s="1"/>
  <c r="FD370" i="65"/>
  <c r="FF370" i="65" s="1"/>
  <c r="FD434" i="65"/>
  <c r="FF434" i="65" s="1"/>
  <c r="FD55" i="65"/>
  <c r="FF55" i="65" s="1"/>
  <c r="FD119" i="65"/>
  <c r="FF119" i="65" s="1"/>
  <c r="FD183" i="65"/>
  <c r="FF183" i="65" s="1"/>
  <c r="FD247" i="65"/>
  <c r="FF247" i="65" s="1"/>
  <c r="FD311" i="65"/>
  <c r="FF311" i="65" s="1"/>
  <c r="FD375" i="65"/>
  <c r="FF375" i="65" s="1"/>
  <c r="FD439" i="65"/>
  <c r="FF439" i="65" s="1"/>
  <c r="FD60" i="65"/>
  <c r="FF60" i="65" s="1"/>
  <c r="FD124" i="65"/>
  <c r="FF124" i="65" s="1"/>
  <c r="FD188" i="65"/>
  <c r="FF188" i="65" s="1"/>
  <c r="FD252" i="65"/>
  <c r="FF252" i="65" s="1"/>
  <c r="FD316" i="65"/>
  <c r="FF316" i="65" s="1"/>
  <c r="FD380" i="65"/>
  <c r="FF380" i="65" s="1"/>
  <c r="FD13" i="65"/>
  <c r="FF13" i="65" s="1"/>
  <c r="FD77" i="65"/>
  <c r="FF77" i="65" s="1"/>
  <c r="FD141" i="65"/>
  <c r="FF141" i="65" s="1"/>
  <c r="FD205" i="65"/>
  <c r="FF205" i="65" s="1"/>
  <c r="FD154" i="65"/>
  <c r="FF154" i="65" s="1"/>
  <c r="FD21" i="65"/>
  <c r="FF21" i="65" s="1"/>
  <c r="FD424" i="65"/>
  <c r="FF424" i="65" s="1"/>
  <c r="FD105" i="65"/>
  <c r="FD233" i="65"/>
  <c r="FF233" i="65" s="1"/>
  <c r="FN408" i="65"/>
  <c r="FF408" i="65"/>
  <c r="FC408" i="65"/>
  <c r="FN41" i="65"/>
  <c r="FF41" i="65"/>
  <c r="FN89" i="65"/>
  <c r="FF89" i="65"/>
  <c r="FC89" i="65"/>
  <c r="FN169" i="65"/>
  <c r="FF169" i="65"/>
  <c r="FN217" i="65"/>
  <c r="FF217" i="65"/>
  <c r="FC217" i="65"/>
  <c r="FN297" i="65"/>
  <c r="FF297" i="65"/>
  <c r="FN345" i="65"/>
  <c r="FF345" i="65"/>
  <c r="FC345" i="65"/>
  <c r="FN425" i="65"/>
  <c r="FF425" i="65"/>
  <c r="FN317" i="65"/>
  <c r="FF317" i="65"/>
  <c r="FC317" i="65"/>
  <c r="FN433" i="65"/>
  <c r="FF433" i="65"/>
  <c r="FN106" i="65"/>
  <c r="FF106" i="65"/>
  <c r="FC106" i="65"/>
  <c r="FN346" i="65"/>
  <c r="FF346" i="65"/>
  <c r="FN79" i="65"/>
  <c r="FF79" i="65"/>
  <c r="FC79" i="65"/>
  <c r="FN335" i="65"/>
  <c r="FF335" i="65"/>
  <c r="FN52" i="65"/>
  <c r="FF52" i="65"/>
  <c r="FC52" i="65"/>
  <c r="FN276" i="65"/>
  <c r="FF276" i="65"/>
  <c r="FN420" i="65"/>
  <c r="FF420" i="65"/>
  <c r="FC420" i="65"/>
  <c r="FN213" i="65"/>
  <c r="FF213" i="65"/>
  <c r="FN357" i="65"/>
  <c r="FF357" i="65"/>
  <c r="FC357" i="65"/>
  <c r="FN483" i="65"/>
  <c r="FF483" i="65"/>
  <c r="FN539" i="65"/>
  <c r="FF539" i="65"/>
  <c r="FC539" i="65"/>
  <c r="FN495" i="65"/>
  <c r="FF495" i="65"/>
  <c r="FN473" i="65"/>
  <c r="FF473" i="65"/>
  <c r="FC473" i="65"/>
  <c r="FN506" i="65"/>
  <c r="FF506" i="65"/>
  <c r="FC506" i="65"/>
  <c r="FN460" i="65"/>
  <c r="FF460" i="65"/>
  <c r="FC460" i="65"/>
  <c r="FN542" i="65"/>
  <c r="FF542" i="65"/>
  <c r="FC542" i="65"/>
  <c r="FN587" i="65"/>
  <c r="FF587" i="65"/>
  <c r="FC587" i="65"/>
  <c r="FN634" i="65"/>
  <c r="FF634" i="65"/>
  <c r="FC634" i="65"/>
  <c r="FN639" i="65"/>
  <c r="FF639" i="65"/>
  <c r="FC639" i="65"/>
  <c r="FN570" i="65"/>
  <c r="FF570" i="65"/>
  <c r="FC570" i="65"/>
  <c r="FN621" i="65"/>
  <c r="FF621" i="65"/>
  <c r="FC621" i="65"/>
  <c r="FN595" i="65"/>
  <c r="FF595" i="65"/>
  <c r="FC595" i="65"/>
  <c r="FN661" i="65"/>
  <c r="FF661" i="65"/>
  <c r="FC661" i="65"/>
  <c r="FN749" i="65"/>
  <c r="FF749" i="65"/>
  <c r="FC749" i="65"/>
  <c r="FN678" i="65"/>
  <c r="FF678" i="65"/>
  <c r="FC678" i="65"/>
  <c r="FN727" i="65"/>
  <c r="FF727" i="65"/>
  <c r="FC727" i="65"/>
  <c r="FN689" i="65"/>
  <c r="FF689" i="65"/>
  <c r="FC689" i="65"/>
  <c r="FN779" i="65"/>
  <c r="FF779" i="65"/>
  <c r="FC779" i="65"/>
  <c r="FN718" i="65"/>
  <c r="FF718" i="65"/>
  <c r="FC718" i="65"/>
  <c r="FN857" i="65"/>
  <c r="FF857" i="65"/>
  <c r="FC857" i="65"/>
  <c r="FN808" i="65"/>
  <c r="FF808" i="65"/>
  <c r="FC808" i="65"/>
  <c r="FN847" i="65"/>
  <c r="FF847" i="65"/>
  <c r="FC847" i="65"/>
  <c r="FN721" i="65"/>
  <c r="FF721" i="65"/>
  <c r="FC721" i="65"/>
  <c r="FN18" i="65"/>
  <c r="FF18" i="65"/>
  <c r="FC18" i="65"/>
  <c r="FN82" i="65"/>
  <c r="FF82" i="65"/>
  <c r="FC82" i="65"/>
  <c r="FN146" i="65"/>
  <c r="FF146" i="65"/>
  <c r="FC146" i="65"/>
  <c r="FN210" i="65"/>
  <c r="FF210" i="65"/>
  <c r="FC210" i="65"/>
  <c r="FN274" i="65"/>
  <c r="FF274" i="65"/>
  <c r="FC274" i="65"/>
  <c r="FN338" i="65"/>
  <c r="FF338" i="65"/>
  <c r="FC338" i="65"/>
  <c r="FN402" i="65"/>
  <c r="FF402" i="65"/>
  <c r="FC402" i="65"/>
  <c r="FN23" i="65"/>
  <c r="FF23" i="65"/>
  <c r="FC23" i="65"/>
  <c r="FN87" i="65"/>
  <c r="FF87" i="65"/>
  <c r="FC87" i="65"/>
  <c r="FN151" i="65"/>
  <c r="FF151" i="65"/>
  <c r="FC151" i="65"/>
  <c r="FN215" i="65"/>
  <c r="FF215" i="65"/>
  <c r="FC215" i="65"/>
  <c r="FN279" i="65"/>
  <c r="FF279" i="65"/>
  <c r="FC279" i="65"/>
  <c r="FN343" i="65"/>
  <c r="FF343" i="65"/>
  <c r="FC343" i="65"/>
  <c r="FN407" i="65"/>
  <c r="FF407" i="65"/>
  <c r="FC407" i="65"/>
  <c r="FN28" i="65"/>
  <c r="FF28" i="65"/>
  <c r="FC28" i="65"/>
  <c r="FN92" i="65"/>
  <c r="FF92" i="65"/>
  <c r="FC92" i="65"/>
  <c r="FN156" i="65"/>
  <c r="FF156" i="65"/>
  <c r="FC156" i="65"/>
  <c r="FN220" i="65"/>
  <c r="FF220" i="65"/>
  <c r="FC220" i="65"/>
  <c r="FN284" i="65"/>
  <c r="FF284" i="65"/>
  <c r="FC284" i="65"/>
  <c r="FN348" i="65"/>
  <c r="FF348" i="65"/>
  <c r="FC348" i="65"/>
  <c r="FN412" i="65"/>
  <c r="FF412" i="65"/>
  <c r="FC412" i="65"/>
  <c r="FN45" i="65"/>
  <c r="FF45" i="65"/>
  <c r="FC45" i="65"/>
  <c r="FN109" i="65"/>
  <c r="FF109" i="65"/>
  <c r="FC109" i="65"/>
  <c r="FN173" i="65"/>
  <c r="FF173" i="65"/>
  <c r="FC173" i="65"/>
  <c r="FN237" i="65"/>
  <c r="FF237" i="65"/>
  <c r="FC237" i="65"/>
  <c r="FN333" i="65"/>
  <c r="FF333" i="65"/>
  <c r="FC333" i="65"/>
  <c r="FN26" i="65"/>
  <c r="FF26" i="65"/>
  <c r="FC26" i="65"/>
  <c r="FN282" i="65"/>
  <c r="FF282" i="65"/>
  <c r="FC282" i="65"/>
  <c r="FN63" i="65"/>
  <c r="FF63" i="65"/>
  <c r="FC63" i="65"/>
  <c r="FN271" i="65"/>
  <c r="FF271" i="65"/>
  <c r="FC271" i="65"/>
  <c r="FN36" i="65"/>
  <c r="FF36" i="65"/>
  <c r="FC36" i="65"/>
  <c r="FG675" i="65"/>
  <c r="FG715" i="65"/>
  <c r="FD285" i="65"/>
  <c r="FF285" i="65" s="1"/>
  <c r="FD349" i="65"/>
  <c r="FF349" i="65" s="1"/>
  <c r="FD413" i="65"/>
  <c r="FF413" i="65" s="1"/>
  <c r="FD170" i="65"/>
  <c r="FF170" i="65" s="1"/>
  <c r="FD298" i="65"/>
  <c r="FF298" i="65" s="1"/>
  <c r="FD127" i="65"/>
  <c r="FF127" i="65" s="1"/>
  <c r="FN441" i="65"/>
  <c r="FF441" i="65"/>
  <c r="FN455" i="65"/>
  <c r="FF455" i="65"/>
  <c r="FN480" i="65"/>
  <c r="FF480" i="65"/>
  <c r="FN508" i="65"/>
  <c r="FF508" i="65"/>
  <c r="FN536" i="65"/>
  <c r="FF536" i="65"/>
  <c r="FN475" i="65"/>
  <c r="FF475" i="65"/>
  <c r="FN517" i="65"/>
  <c r="FF517" i="65"/>
  <c r="FN590" i="65"/>
  <c r="FF590" i="65"/>
  <c r="FN443" i="65"/>
  <c r="FF443" i="65"/>
  <c r="FN489" i="65"/>
  <c r="FF489" i="65"/>
  <c r="FN515" i="65"/>
  <c r="FF515" i="65"/>
  <c r="FN549" i="65"/>
  <c r="FF549" i="65"/>
  <c r="FN569" i="65"/>
  <c r="FF569" i="65"/>
  <c r="FN467" i="65"/>
  <c r="FF467" i="65"/>
  <c r="FN625" i="65"/>
  <c r="FF625" i="65"/>
  <c r="FN474" i="65"/>
  <c r="FF474" i="65"/>
  <c r="FN563" i="65"/>
  <c r="FF563" i="65"/>
  <c r="FN603" i="65"/>
  <c r="FF603" i="65"/>
  <c r="FN630" i="65"/>
  <c r="FF630" i="65"/>
  <c r="FN646" i="65"/>
  <c r="FF646" i="65"/>
  <c r="FN662" i="65"/>
  <c r="FF662" i="65"/>
  <c r="FN688" i="65"/>
  <c r="FF688" i="65"/>
  <c r="FN735" i="65"/>
  <c r="FF735" i="65"/>
  <c r="FN594" i="65"/>
  <c r="FF594" i="65"/>
  <c r="FN635" i="65"/>
  <c r="FF635" i="65"/>
  <c r="FN651" i="65"/>
  <c r="FF651" i="65"/>
  <c r="FN694" i="65"/>
  <c r="FF694" i="65"/>
  <c r="FN713" i="65"/>
  <c r="FF713" i="65"/>
  <c r="FN764" i="65"/>
  <c r="FF764" i="65"/>
  <c r="FN647" i="65"/>
  <c r="FF647" i="65"/>
  <c r="FN674" i="65"/>
  <c r="FF674" i="65"/>
  <c r="FN670" i="65"/>
  <c r="FF670" i="65"/>
  <c r="FN714" i="65"/>
  <c r="FF714" i="65"/>
  <c r="FN754" i="65"/>
  <c r="FF754" i="65"/>
  <c r="FN778" i="65"/>
  <c r="FF778" i="65"/>
  <c r="FN604" i="65"/>
  <c r="FF604" i="65"/>
  <c r="FN752" i="65"/>
  <c r="FF752" i="65"/>
  <c r="FN777" i="65"/>
  <c r="FF777" i="65"/>
  <c r="FN559" i="65"/>
  <c r="FF559" i="65"/>
  <c r="FN726" i="65"/>
  <c r="FF726" i="65"/>
  <c r="FN789" i="65"/>
  <c r="FF789" i="65"/>
  <c r="FN797" i="65"/>
  <c r="FF797" i="65"/>
  <c r="FN805" i="65"/>
  <c r="FF805" i="65"/>
  <c r="FN813" i="65"/>
  <c r="FF813" i="65"/>
  <c r="FN821" i="65"/>
  <c r="FF821" i="65"/>
  <c r="FN832" i="65"/>
  <c r="FF832" i="65"/>
  <c r="FN772" i="65"/>
  <c r="FF772" i="65"/>
  <c r="FN872" i="65"/>
  <c r="FF872" i="65"/>
  <c r="FN788" i="65"/>
  <c r="FF788" i="65"/>
  <c r="FN820" i="65"/>
  <c r="FF820" i="65"/>
  <c r="FN848" i="65"/>
  <c r="FF848" i="65"/>
  <c r="FN869" i="65"/>
  <c r="FF869" i="65"/>
  <c r="FN798" i="65"/>
  <c r="FF798" i="65"/>
  <c r="FN846" i="65"/>
  <c r="FF846" i="65"/>
  <c r="FN862" i="65"/>
  <c r="FF862" i="65"/>
  <c r="FN30" i="65"/>
  <c r="FF30" i="65"/>
  <c r="FN62" i="65"/>
  <c r="FF62" i="65"/>
  <c r="FN94" i="65"/>
  <c r="FF94" i="65"/>
  <c r="FN126" i="65"/>
  <c r="FF126" i="65"/>
  <c r="FN158" i="65"/>
  <c r="FF158" i="65"/>
  <c r="FN190" i="65"/>
  <c r="FF190" i="65"/>
  <c r="FN222" i="65"/>
  <c r="FF222" i="65"/>
  <c r="FN254" i="65"/>
  <c r="FF254" i="65"/>
  <c r="FN286" i="65"/>
  <c r="FF286" i="65"/>
  <c r="FN318" i="65"/>
  <c r="FF318" i="65"/>
  <c r="FN350" i="65"/>
  <c r="FF350" i="65"/>
  <c r="FN382" i="65"/>
  <c r="FF382" i="65"/>
  <c r="FN414" i="65"/>
  <c r="FF414" i="65"/>
  <c r="FN19" i="65"/>
  <c r="FF19" i="65"/>
  <c r="FN51" i="65"/>
  <c r="FF51" i="65"/>
  <c r="FN83" i="65"/>
  <c r="FF83" i="65"/>
  <c r="FN115" i="65"/>
  <c r="FF115" i="65"/>
  <c r="FN147" i="65"/>
  <c r="FF147" i="65"/>
  <c r="FN179" i="65"/>
  <c r="FF179" i="65"/>
  <c r="FN211" i="65"/>
  <c r="FF211" i="65"/>
  <c r="FN243" i="65"/>
  <c r="FF243" i="65"/>
  <c r="FN275" i="65"/>
  <c r="FF275" i="65"/>
  <c r="FN307" i="65"/>
  <c r="FF307" i="65"/>
  <c r="FN339" i="65"/>
  <c r="FF339" i="65"/>
  <c r="FN371" i="65"/>
  <c r="FF371" i="65"/>
  <c r="FN403" i="65"/>
  <c r="FF403" i="65"/>
  <c r="FN435" i="65"/>
  <c r="FF435" i="65"/>
  <c r="FN24" i="65"/>
  <c r="FF24" i="65"/>
  <c r="FN56" i="65"/>
  <c r="FF56" i="65"/>
  <c r="FN88" i="65"/>
  <c r="FF88" i="65"/>
  <c r="FN120" i="65"/>
  <c r="FF120" i="65"/>
  <c r="FN152" i="65"/>
  <c r="FF152" i="65"/>
  <c r="FN184" i="65"/>
  <c r="FF184" i="65"/>
  <c r="FN216" i="65"/>
  <c r="FF216" i="65"/>
  <c r="FN248" i="65"/>
  <c r="FF248" i="65"/>
  <c r="FN280" i="65"/>
  <c r="FF280" i="65"/>
  <c r="FN312" i="65"/>
  <c r="FF312" i="65"/>
  <c r="FN344" i="65"/>
  <c r="FF344" i="65"/>
  <c r="FN376" i="65"/>
  <c r="FF376" i="65"/>
  <c r="FC424" i="65"/>
  <c r="FN9" i="65"/>
  <c r="FF9" i="65"/>
  <c r="FN57" i="65"/>
  <c r="FF57" i="65"/>
  <c r="FC57" i="65"/>
  <c r="FC105" i="65"/>
  <c r="FN137" i="65"/>
  <c r="FF137" i="65"/>
  <c r="FN185" i="65"/>
  <c r="FF185" i="65"/>
  <c r="FC185" i="65"/>
  <c r="FC233" i="65"/>
  <c r="FN265" i="65"/>
  <c r="FF265" i="65"/>
  <c r="FN313" i="65"/>
  <c r="FF313" i="65"/>
  <c r="FC313" i="65"/>
  <c r="FC361" i="65"/>
  <c r="FN393" i="65"/>
  <c r="FF393" i="65"/>
  <c r="FN6" i="65"/>
  <c r="FC6" i="65"/>
  <c r="FC349" i="65"/>
  <c r="FN397" i="65"/>
  <c r="FF397" i="65"/>
  <c r="FN870" i="65"/>
  <c r="FF870" i="65"/>
  <c r="FC870" i="65"/>
  <c r="FC170" i="65"/>
  <c r="FN250" i="65"/>
  <c r="FF250" i="65"/>
  <c r="FN410" i="65"/>
  <c r="FF410" i="65"/>
  <c r="FC410" i="65"/>
  <c r="FC127" i="65"/>
  <c r="FN239" i="65"/>
  <c r="FF239" i="65"/>
  <c r="FN399" i="65"/>
  <c r="FF399" i="65"/>
  <c r="FC399" i="65"/>
  <c r="FC116" i="65"/>
  <c r="FN196" i="65"/>
  <c r="FF196" i="65"/>
  <c r="FN324" i="65"/>
  <c r="FF324" i="65"/>
  <c r="FC324" i="65"/>
  <c r="FC21" i="65"/>
  <c r="FN133" i="65"/>
  <c r="FF133" i="65"/>
  <c r="FN261" i="65"/>
  <c r="FF261" i="65"/>
  <c r="FC261" i="65"/>
  <c r="FC389" i="65"/>
  <c r="FN456" i="65"/>
  <c r="FF456" i="65"/>
  <c r="FN493" i="65"/>
  <c r="FF493" i="65"/>
  <c r="FC493" i="65"/>
  <c r="FC547" i="65"/>
  <c r="FN450" i="65"/>
  <c r="FF450" i="65"/>
  <c r="FN499" i="65"/>
  <c r="FF499" i="65"/>
  <c r="FC499" i="65"/>
  <c r="FC462" i="65"/>
  <c r="FN543" i="65"/>
  <c r="FF543" i="65"/>
  <c r="FC543" i="65"/>
  <c r="FN476" i="65"/>
  <c r="FF476" i="65"/>
  <c r="FC476" i="65"/>
  <c r="FN564" i="65"/>
  <c r="FF564" i="65"/>
  <c r="FC564" i="65"/>
  <c r="FN605" i="65"/>
  <c r="FF605" i="65"/>
  <c r="FC605" i="65"/>
  <c r="FN477" i="65"/>
  <c r="FF477" i="65"/>
  <c r="FC477" i="65"/>
  <c r="FN478" i="65"/>
  <c r="FF478" i="65"/>
  <c r="FC478" i="65"/>
  <c r="FN588" i="65"/>
  <c r="FF588" i="65"/>
  <c r="FC588" i="65"/>
  <c r="FN636" i="65"/>
  <c r="FF636" i="65"/>
  <c r="FC636" i="65"/>
  <c r="FN624" i="65"/>
  <c r="FF624" i="65"/>
  <c r="FC624" i="65"/>
  <c r="FN679" i="65"/>
  <c r="FF679" i="65"/>
  <c r="FC679" i="65"/>
  <c r="FN757" i="65"/>
  <c r="FF757" i="65"/>
  <c r="FC757" i="65"/>
  <c r="FN557" i="65"/>
  <c r="FF557" i="65"/>
  <c r="FC557" i="65"/>
  <c r="FN830" i="65"/>
  <c r="FF830" i="65"/>
  <c r="FC830" i="65"/>
  <c r="FN717" i="65"/>
  <c r="FF717" i="65"/>
  <c r="FC717" i="65"/>
  <c r="FN566" i="65"/>
  <c r="FF566" i="65"/>
  <c r="FC566" i="65"/>
  <c r="FN743" i="65"/>
  <c r="FF743" i="65"/>
  <c r="FC743" i="65"/>
  <c r="FN866" i="65"/>
  <c r="FF866" i="65"/>
  <c r="FC866" i="65"/>
  <c r="FN824" i="65"/>
  <c r="FF824" i="65"/>
  <c r="FC824" i="65"/>
  <c r="FN855" i="65"/>
  <c r="FF855" i="65"/>
  <c r="FC855" i="65"/>
  <c r="FN786" i="65"/>
  <c r="FF786" i="65"/>
  <c r="FC786" i="65"/>
  <c r="FN34" i="65"/>
  <c r="FF34" i="65"/>
  <c r="FC34" i="65"/>
  <c r="FN98" i="65"/>
  <c r="FF98" i="65"/>
  <c r="FC98" i="65"/>
  <c r="FN162" i="65"/>
  <c r="FF162" i="65"/>
  <c r="FC162" i="65"/>
  <c r="FN226" i="65"/>
  <c r="FF226" i="65"/>
  <c r="FC226" i="65"/>
  <c r="FN290" i="65"/>
  <c r="FF290" i="65"/>
  <c r="FC290" i="65"/>
  <c r="FN354" i="65"/>
  <c r="FF354" i="65"/>
  <c r="FC354" i="65"/>
  <c r="FN418" i="65"/>
  <c r="FF418" i="65"/>
  <c r="FC418" i="65"/>
  <c r="FN39" i="65"/>
  <c r="FF39" i="65"/>
  <c r="FC39" i="65"/>
  <c r="FN103" i="65"/>
  <c r="FF103" i="65"/>
  <c r="FC103" i="65"/>
  <c r="FN167" i="65"/>
  <c r="FF167" i="65"/>
  <c r="FC167" i="65"/>
  <c r="FN231" i="65"/>
  <c r="FF231" i="65"/>
  <c r="FC231" i="65"/>
  <c r="FN295" i="65"/>
  <c r="FF295" i="65"/>
  <c r="FC295" i="65"/>
  <c r="FN359" i="65"/>
  <c r="FF359" i="65"/>
  <c r="FC359" i="65"/>
  <c r="FN423" i="65"/>
  <c r="FF423" i="65"/>
  <c r="FC423" i="65"/>
  <c r="FN44" i="65"/>
  <c r="FF44" i="65"/>
  <c r="FC44" i="65"/>
  <c r="FN108" i="65"/>
  <c r="FF108" i="65"/>
  <c r="FC108" i="65"/>
  <c r="FN172" i="65"/>
  <c r="FF172" i="65"/>
  <c r="FC172" i="65"/>
  <c r="FN236" i="65"/>
  <c r="FF236" i="65"/>
  <c r="FC236" i="65"/>
  <c r="FN300" i="65"/>
  <c r="FF300" i="65"/>
  <c r="FC300" i="65"/>
  <c r="FN364" i="65"/>
  <c r="FF364" i="65"/>
  <c r="FC364" i="65"/>
  <c r="FN428" i="65"/>
  <c r="FF428" i="65"/>
  <c r="FC428" i="65"/>
  <c r="FN61" i="65"/>
  <c r="FF61" i="65"/>
  <c r="FC61" i="65"/>
  <c r="FN125" i="65"/>
  <c r="FF125" i="65"/>
  <c r="FC125" i="65"/>
  <c r="FN189" i="65"/>
  <c r="FF189" i="65"/>
  <c r="FC189" i="65"/>
  <c r="FN253" i="65"/>
  <c r="FF253" i="65"/>
  <c r="FC253" i="65"/>
  <c r="FN365" i="65"/>
  <c r="FF365" i="65"/>
  <c r="FC365" i="65"/>
  <c r="FN90" i="65"/>
  <c r="FF90" i="65"/>
  <c r="FC90" i="65"/>
  <c r="FN314" i="65"/>
  <c r="FF314" i="65"/>
  <c r="FC314" i="65"/>
  <c r="FN111" i="65"/>
  <c r="FF111" i="65"/>
  <c r="FC111" i="65"/>
  <c r="FN303" i="65"/>
  <c r="FF303" i="65"/>
  <c r="FC303" i="65"/>
  <c r="FN84" i="65"/>
  <c r="FF84" i="65"/>
  <c r="FC84" i="65"/>
  <c r="FN308" i="65"/>
  <c r="FF308" i="65"/>
  <c r="FC308" i="65"/>
  <c r="FN117" i="65"/>
  <c r="FF117" i="65"/>
  <c r="FC117" i="65"/>
  <c r="FN341" i="65"/>
  <c r="FF341" i="65"/>
  <c r="FC341" i="65"/>
  <c r="FN444" i="65"/>
  <c r="FF444" i="65"/>
  <c r="FC444" i="65"/>
  <c r="FN494" i="65"/>
  <c r="FF494" i="65"/>
  <c r="FC494" i="65"/>
  <c r="FN540" i="65"/>
  <c r="FF540" i="65"/>
  <c r="FC540" i="65"/>
  <c r="FN509" i="65"/>
  <c r="FF509" i="65"/>
  <c r="FC509" i="65"/>
  <c r="FN585" i="65"/>
  <c r="FF585" i="65"/>
  <c r="FC585" i="65"/>
  <c r="FN481" i="65"/>
  <c r="FF481" i="65"/>
  <c r="FC481" i="65"/>
  <c r="FN573" i="65"/>
  <c r="FF573" i="65"/>
  <c r="FC573" i="65"/>
  <c r="FN615" i="65"/>
  <c r="FF615" i="65"/>
  <c r="FC615" i="65"/>
  <c r="FN586" i="65"/>
  <c r="FF586" i="65"/>
  <c r="FC586" i="65"/>
  <c r="FN541" i="65"/>
  <c r="FF541" i="65"/>
  <c r="FC541" i="65"/>
  <c r="FN644" i="65"/>
  <c r="FF644" i="65"/>
  <c r="FC644" i="65"/>
  <c r="FN672" i="65"/>
  <c r="FF672" i="65"/>
  <c r="FC672" i="65"/>
  <c r="FN720" i="65"/>
  <c r="FF720" i="65"/>
  <c r="FC720" i="65"/>
  <c r="FN602" i="65"/>
  <c r="FF602" i="65"/>
  <c r="FC602" i="65"/>
  <c r="FN655" i="65"/>
  <c r="FF655" i="65"/>
  <c r="FC655" i="65"/>
  <c r="FN709" i="65"/>
  <c r="FF709" i="65"/>
  <c r="FC709" i="65"/>
  <c r="FN751" i="65"/>
  <c r="FF751" i="65"/>
  <c r="FC751" i="65"/>
  <c r="FN669" i="65"/>
  <c r="FF669" i="65"/>
  <c r="FC669" i="65"/>
  <c r="FN575" i="65"/>
  <c r="FF575" i="65"/>
  <c r="FC575" i="65"/>
  <c r="FN729" i="65"/>
  <c r="FF729" i="65"/>
  <c r="FC729" i="65"/>
  <c r="FN703" i="65"/>
  <c r="FF703" i="65"/>
  <c r="FC703" i="65"/>
  <c r="FN665" i="65"/>
  <c r="FF665" i="65"/>
  <c r="FC665" i="65"/>
  <c r="FN762" i="65"/>
  <c r="FF762" i="65"/>
  <c r="FC762" i="65"/>
  <c r="FN791" i="65"/>
  <c r="FF791" i="65"/>
  <c r="FC791" i="65"/>
  <c r="FN807" i="65"/>
  <c r="FF807" i="65"/>
  <c r="FC807" i="65"/>
  <c r="FN823" i="65"/>
  <c r="FF823" i="65"/>
  <c r="FC823" i="65"/>
  <c r="FN835" i="65"/>
  <c r="FF835" i="65"/>
  <c r="FC835" i="65"/>
  <c r="FN796" i="65"/>
  <c r="FF796" i="65"/>
  <c r="FC796" i="65"/>
  <c r="FN860" i="65"/>
  <c r="FF860" i="65"/>
  <c r="FC860" i="65"/>
  <c r="FN806" i="65"/>
  <c r="FF806" i="65"/>
  <c r="FC806" i="65"/>
  <c r="FN858" i="65"/>
  <c r="FF858" i="65"/>
  <c r="FC858" i="65"/>
  <c r="FN54" i="65"/>
  <c r="FF54" i="65"/>
  <c r="FC54" i="65"/>
  <c r="FN118" i="65"/>
  <c r="FF118" i="65"/>
  <c r="FC118" i="65"/>
  <c r="FN182" i="65"/>
  <c r="FF182" i="65"/>
  <c r="FC182" i="65"/>
  <c r="FN246" i="65"/>
  <c r="FF246" i="65"/>
  <c r="FC246" i="65"/>
  <c r="FN310" i="65"/>
  <c r="FF310" i="65"/>
  <c r="FC310" i="65"/>
  <c r="FN132" i="65"/>
  <c r="FF132" i="65"/>
  <c r="FN260" i="65"/>
  <c r="FF260" i="65"/>
  <c r="FN340" i="65"/>
  <c r="FF340" i="65"/>
  <c r="FN53" i="65"/>
  <c r="FF53" i="65"/>
  <c r="FN149" i="65"/>
  <c r="FF149" i="65"/>
  <c r="FN293" i="65"/>
  <c r="FF293" i="65"/>
  <c r="FN405" i="65"/>
  <c r="FF405" i="65"/>
  <c r="FN453" i="65"/>
  <c r="FF453" i="65"/>
  <c r="FN452" i="65"/>
  <c r="FF452" i="65"/>
  <c r="FN484" i="65"/>
  <c r="FF484" i="65"/>
  <c r="FN511" i="65"/>
  <c r="FF511" i="65"/>
  <c r="FN534" i="65"/>
  <c r="FF534" i="65"/>
  <c r="FN550" i="65"/>
  <c r="FF550" i="65"/>
  <c r="FN496" i="65"/>
  <c r="FF496" i="65"/>
  <c r="FN545" i="65"/>
  <c r="FF545" i="65"/>
  <c r="FN524" i="65"/>
  <c r="FF524" i="65"/>
  <c r="FN593" i="65"/>
  <c r="FF593" i="65"/>
  <c r="FN468" i="65"/>
  <c r="FF468" i="65"/>
  <c r="FN498" i="65"/>
  <c r="FF498" i="65"/>
  <c r="FN565" i="65"/>
  <c r="FF565" i="65"/>
  <c r="FN581" i="65"/>
  <c r="FF581" i="65"/>
  <c r="FN607" i="65"/>
  <c r="FF607" i="65"/>
  <c r="FN627" i="65"/>
  <c r="FF627" i="65"/>
  <c r="FN520" i="65"/>
  <c r="FF520" i="65"/>
  <c r="FN610" i="65"/>
  <c r="FF610" i="65"/>
  <c r="FN485" i="65"/>
  <c r="FF485" i="65"/>
  <c r="FN571" i="65"/>
  <c r="FF571" i="65"/>
  <c r="FN623" i="65"/>
  <c r="FF623" i="65"/>
  <c r="FN650" i="65"/>
  <c r="FF650" i="65"/>
  <c r="FN666" i="65"/>
  <c r="FF666" i="65"/>
  <c r="FN691" i="65"/>
  <c r="FF691" i="65"/>
  <c r="FN710" i="65"/>
  <c r="FF710" i="65"/>
  <c r="FN737" i="65"/>
  <c r="FF737" i="65"/>
  <c r="FN523" i="65"/>
  <c r="FF523" i="65"/>
  <c r="FN618" i="65"/>
  <c r="FF618" i="65"/>
  <c r="FN648" i="65"/>
  <c r="FF648" i="65"/>
  <c r="FN664" i="65"/>
  <c r="FF664" i="65"/>
  <c r="FN681" i="65"/>
  <c r="FF681" i="65"/>
  <c r="FN730" i="65"/>
  <c r="FF730" i="65"/>
  <c r="FN746" i="65"/>
  <c r="FF746" i="65"/>
  <c r="FN759" i="65"/>
  <c r="FF759" i="65"/>
  <c r="FN574" i="65"/>
  <c r="FF574" i="65"/>
  <c r="FN680" i="65"/>
  <c r="FF680" i="65"/>
  <c r="FN707" i="65"/>
  <c r="FF707" i="65"/>
  <c r="FN660" i="65"/>
  <c r="FF660" i="65"/>
  <c r="FN719" i="65"/>
  <c r="FF719" i="65"/>
  <c r="FN748" i="65"/>
  <c r="FF748" i="65"/>
  <c r="FN641" i="65"/>
  <c r="FF641" i="65"/>
  <c r="FN761" i="65"/>
  <c r="FF761" i="65"/>
  <c r="FN837" i="65"/>
  <c r="FF837" i="65"/>
  <c r="FN693" i="65"/>
  <c r="FF693" i="65"/>
  <c r="FN745" i="65"/>
  <c r="FF745" i="65"/>
  <c r="FN774" i="65"/>
  <c r="FF774" i="65"/>
  <c r="FN787" i="65"/>
  <c r="FF787" i="65"/>
  <c r="FN795" i="65"/>
  <c r="FF795" i="65"/>
  <c r="FN803" i="65"/>
  <c r="FF803" i="65"/>
  <c r="FN811" i="65"/>
  <c r="FF811" i="65"/>
  <c r="FN819" i="65"/>
  <c r="FF819" i="65"/>
  <c r="FN828" i="65"/>
  <c r="FF828" i="65"/>
  <c r="FN753" i="65"/>
  <c r="FF753" i="65"/>
  <c r="FN868" i="65"/>
  <c r="FF868" i="65"/>
  <c r="FN780" i="65"/>
  <c r="FF780" i="65"/>
  <c r="FN812" i="65"/>
  <c r="FF812" i="65"/>
  <c r="FN852" i="65"/>
  <c r="FF852" i="65"/>
  <c r="FN781" i="65"/>
  <c r="FF781" i="65"/>
  <c r="FN790" i="65"/>
  <c r="FF790" i="65"/>
  <c r="FN822" i="65"/>
  <c r="FF822" i="65"/>
  <c r="FN850" i="65"/>
  <c r="FF850" i="65"/>
  <c r="FN873" i="65"/>
  <c r="FF873" i="65"/>
  <c r="FN38" i="65"/>
  <c r="FF38" i="65"/>
  <c r="FN70" i="65"/>
  <c r="FF70" i="65"/>
  <c r="FN102" i="65"/>
  <c r="FF102" i="65"/>
  <c r="FN134" i="65"/>
  <c r="FF134" i="65"/>
  <c r="FN166" i="65"/>
  <c r="FF166" i="65"/>
  <c r="FN198" i="65"/>
  <c r="FF198" i="65"/>
  <c r="FN230" i="65"/>
  <c r="FF230" i="65"/>
  <c r="FN262" i="65"/>
  <c r="FF262" i="65"/>
  <c r="FN294" i="65"/>
  <c r="FF294" i="65"/>
  <c r="FN326" i="65"/>
  <c r="FF326" i="65"/>
  <c r="FN358" i="65"/>
  <c r="FF358" i="65"/>
  <c r="FN390" i="65"/>
  <c r="FF390" i="65"/>
  <c r="FN422" i="65"/>
  <c r="FF422" i="65"/>
  <c r="FN11" i="65"/>
  <c r="FF11" i="65"/>
  <c r="FN43" i="65"/>
  <c r="FF43" i="65"/>
  <c r="FN75" i="65"/>
  <c r="FF75" i="65"/>
  <c r="FN107" i="65"/>
  <c r="FF107" i="65"/>
  <c r="FN139" i="65"/>
  <c r="FF139" i="65"/>
  <c r="FN171" i="65"/>
  <c r="FF171" i="65"/>
  <c r="FN203" i="65"/>
  <c r="FF203" i="65"/>
  <c r="FN235" i="65"/>
  <c r="FF235" i="65"/>
  <c r="FN267" i="65"/>
  <c r="FF267" i="65"/>
  <c r="FN299" i="65"/>
  <c r="FF299" i="65"/>
  <c r="FN331" i="65"/>
  <c r="FF331" i="65"/>
  <c r="FN363" i="65"/>
  <c r="FF363" i="65"/>
  <c r="FN395" i="65"/>
  <c r="FF395" i="65"/>
  <c r="FN427" i="65"/>
  <c r="FF427" i="65"/>
  <c r="FN32" i="65"/>
  <c r="FF32" i="65"/>
  <c r="FN64" i="65"/>
  <c r="FF64" i="65"/>
  <c r="FN96" i="65"/>
  <c r="FF96" i="65"/>
  <c r="FN128" i="65"/>
  <c r="FF128" i="65"/>
  <c r="FN160" i="65"/>
  <c r="FF160" i="65"/>
  <c r="FN192" i="65"/>
  <c r="FF192" i="65"/>
  <c r="FN224" i="65"/>
  <c r="FF224" i="65"/>
  <c r="FN256" i="65"/>
  <c r="FF256" i="65"/>
  <c r="FN288" i="65"/>
  <c r="FF288" i="65"/>
  <c r="FN320" i="65"/>
  <c r="FF320" i="65"/>
  <c r="FN352" i="65"/>
  <c r="FF352" i="65"/>
  <c r="FN384" i="65"/>
  <c r="FF384" i="65"/>
  <c r="FN416" i="65"/>
  <c r="FF416" i="65"/>
  <c r="FN17" i="65"/>
  <c r="FF17" i="65"/>
  <c r="FN49" i="65"/>
  <c r="FF49" i="65"/>
  <c r="FN81" i="65"/>
  <c r="FF81" i="65"/>
  <c r="FN113" i="65"/>
  <c r="FF113" i="65"/>
  <c r="FN145" i="65"/>
  <c r="FF145" i="65"/>
  <c r="FN177" i="65"/>
  <c r="FF177" i="65"/>
  <c r="FN209" i="65"/>
  <c r="FF209" i="65"/>
  <c r="FN241" i="65"/>
  <c r="FF241" i="65"/>
  <c r="FN273" i="65"/>
  <c r="FF273" i="65"/>
  <c r="FN305" i="65"/>
  <c r="FF305" i="65"/>
  <c r="FN337" i="65"/>
  <c r="FF337" i="65"/>
  <c r="FN369" i="65"/>
  <c r="FF369" i="65"/>
  <c r="FN401" i="65"/>
  <c r="FF401" i="65"/>
  <c r="FN800" i="65"/>
  <c r="FF800" i="65"/>
  <c r="FN74" i="65"/>
  <c r="FF74" i="65"/>
  <c r="FN186" i="65"/>
  <c r="FF186" i="65"/>
  <c r="FN330" i="65"/>
  <c r="FF330" i="65"/>
  <c r="FN31" i="65"/>
  <c r="FF31" i="65"/>
  <c r="FN143" i="65"/>
  <c r="FF143" i="65"/>
  <c r="FN255" i="65"/>
  <c r="FF255" i="65"/>
  <c r="FN383" i="65"/>
  <c r="FF383" i="65"/>
  <c r="FN100" i="65"/>
  <c r="FF100" i="65"/>
  <c r="FN228" i="65"/>
  <c r="FF228" i="65"/>
  <c r="FN372" i="65"/>
  <c r="FF372" i="65"/>
  <c r="FN37" i="65"/>
  <c r="FF37" i="65"/>
  <c r="FN165" i="65"/>
  <c r="FF165" i="65"/>
  <c r="FN325" i="65"/>
  <c r="FF325" i="65"/>
  <c r="FN454" i="65"/>
  <c r="FF454" i="65"/>
  <c r="FN465" i="65"/>
  <c r="FF465" i="65"/>
  <c r="FN487" i="65"/>
  <c r="FF487" i="65"/>
  <c r="FN531" i="65"/>
  <c r="FF531" i="65"/>
  <c r="FN447" i="65"/>
  <c r="FF447" i="65"/>
  <c r="FN464" i="65"/>
  <c r="FF464" i="65"/>
  <c r="FN512" i="65"/>
  <c r="FF512" i="65"/>
  <c r="FN546" i="65"/>
  <c r="FF546" i="65"/>
  <c r="FN469" i="65"/>
  <c r="FF469" i="65"/>
  <c r="FN551" i="65"/>
  <c r="FF551" i="65"/>
  <c r="FN606" i="65"/>
  <c r="FF606" i="65"/>
  <c r="FN482" i="65"/>
  <c r="FF482" i="65"/>
  <c r="FN513" i="65"/>
  <c r="FF513" i="65"/>
  <c r="FN529" i="65"/>
  <c r="FF529" i="65"/>
  <c r="FN560" i="65"/>
  <c r="FF560" i="65"/>
  <c r="FN576" i="65"/>
  <c r="FF576" i="65"/>
  <c r="FN592" i="65"/>
  <c r="FF592" i="65"/>
  <c r="FN608" i="65"/>
  <c r="FF608" i="65"/>
  <c r="FN497" i="65"/>
  <c r="FF497" i="65"/>
  <c r="FN554" i="65"/>
  <c r="FF554" i="65"/>
  <c r="FN578" i="65"/>
  <c r="FF578" i="65"/>
  <c r="FN601" i="65"/>
  <c r="FF601" i="65"/>
  <c r="FN673" i="65"/>
  <c r="FF673" i="65"/>
  <c r="FN711" i="65"/>
  <c r="FF711" i="65"/>
  <c r="FN734" i="65"/>
  <c r="FF734" i="65"/>
  <c r="FN750" i="65"/>
  <c r="FF750" i="65"/>
  <c r="FN766" i="65"/>
  <c r="FF766" i="65"/>
  <c r="FN620" i="65"/>
  <c r="FF620" i="65"/>
  <c r="FN682" i="65"/>
  <c r="FF682" i="65"/>
  <c r="FN731" i="65"/>
  <c r="FF731" i="65"/>
  <c r="FN631" i="65"/>
  <c r="FF631" i="65"/>
  <c r="FN685" i="65"/>
  <c r="FF685" i="65"/>
  <c r="FN582" i="65"/>
  <c r="FF582" i="65"/>
  <c r="FN683" i="65"/>
  <c r="FF683" i="65"/>
  <c r="FN708" i="65"/>
  <c r="FF708" i="65"/>
  <c r="FN826" i="65"/>
  <c r="FF826" i="65"/>
  <c r="FN583" i="65"/>
  <c r="FF583" i="65"/>
  <c r="FN675" i="65"/>
  <c r="FF675" i="65"/>
  <c r="FN706" i="65"/>
  <c r="FF706" i="65"/>
  <c r="FN744" i="65"/>
  <c r="FF744" i="65"/>
  <c r="FN776" i="65"/>
  <c r="FF776" i="65"/>
  <c r="FN654" i="65"/>
  <c r="FF654" i="65"/>
  <c r="FN723" i="65"/>
  <c r="FF723" i="65"/>
  <c r="FN838" i="65"/>
  <c r="FF838" i="65"/>
  <c r="FN853" i="65"/>
  <c r="FF853" i="65"/>
  <c r="FN755" i="65"/>
  <c r="FF755" i="65"/>
  <c r="FN831" i="65"/>
  <c r="FF831" i="65"/>
  <c r="FN827" i="65"/>
  <c r="FF827" i="65"/>
  <c r="FN851" i="65"/>
  <c r="FF851" i="65"/>
  <c r="FN867" i="65"/>
  <c r="FF867" i="65"/>
  <c r="FN794" i="65"/>
  <c r="FF794" i="65"/>
  <c r="FN42" i="65"/>
  <c r="FF42" i="65"/>
  <c r="FN234" i="65"/>
  <c r="FF234" i="65"/>
  <c r="FN47" i="65"/>
  <c r="FF47" i="65"/>
  <c r="FN367" i="65"/>
  <c r="FF367" i="65"/>
  <c r="FN212" i="65"/>
  <c r="FF212" i="65"/>
  <c r="FN69" i="65"/>
  <c r="FF69" i="65"/>
  <c r="FN277" i="65"/>
  <c r="FF277" i="65"/>
  <c r="FN374" i="65"/>
  <c r="FF374" i="65"/>
  <c r="FN406" i="65"/>
  <c r="FF406" i="65"/>
  <c r="FN438" i="65"/>
  <c r="FF438" i="65"/>
  <c r="FN27" i="65"/>
  <c r="FF27" i="65"/>
  <c r="FN59" i="65"/>
  <c r="FF59" i="65"/>
  <c r="FN91" i="65"/>
  <c r="FF91" i="65"/>
  <c r="FN123" i="65"/>
  <c r="FF123" i="65"/>
  <c r="FN155" i="65"/>
  <c r="FF155" i="65"/>
  <c r="FN187" i="65"/>
  <c r="FF187" i="65"/>
  <c r="FN219" i="65"/>
  <c r="FF219" i="65"/>
  <c r="FN251" i="65"/>
  <c r="FF251" i="65"/>
  <c r="FN283" i="65"/>
  <c r="FF283" i="65"/>
  <c r="FN315" i="65"/>
  <c r="FF315" i="65"/>
  <c r="FN347" i="65"/>
  <c r="FF347" i="65"/>
  <c r="FN379" i="65"/>
  <c r="FF379" i="65"/>
  <c r="FN411" i="65"/>
  <c r="FF411" i="65"/>
  <c r="FN16" i="65"/>
  <c r="FF16" i="65"/>
  <c r="FN48" i="65"/>
  <c r="FF48" i="65"/>
  <c r="FN80" i="65"/>
  <c r="FF80" i="65"/>
  <c r="FN112" i="65"/>
  <c r="FF112" i="65"/>
  <c r="FN144" i="65"/>
  <c r="FF144" i="65"/>
  <c r="FN176" i="65"/>
  <c r="FF176" i="65"/>
  <c r="FN208" i="65"/>
  <c r="FF208" i="65"/>
  <c r="FN240" i="65"/>
  <c r="FF240" i="65"/>
  <c r="FN272" i="65"/>
  <c r="FF272" i="65"/>
  <c r="FN304" i="65"/>
  <c r="FF304" i="65"/>
  <c r="FN336" i="65"/>
  <c r="FF336" i="65"/>
  <c r="FN368" i="65"/>
  <c r="FF368" i="65"/>
  <c r="FN400" i="65"/>
  <c r="FF400" i="65"/>
  <c r="FN432" i="65"/>
  <c r="FF432" i="65"/>
  <c r="FN33" i="65"/>
  <c r="FF33" i="65"/>
  <c r="FN65" i="65"/>
  <c r="FF65" i="65"/>
  <c r="FN97" i="65"/>
  <c r="FF97" i="65"/>
  <c r="FN129" i="65"/>
  <c r="FF129" i="65"/>
  <c r="FN161" i="65"/>
  <c r="FF161" i="65"/>
  <c r="FN193" i="65"/>
  <c r="FF193" i="65"/>
  <c r="FN225" i="65"/>
  <c r="FF225" i="65"/>
  <c r="FN257" i="65"/>
  <c r="FF257" i="65"/>
  <c r="FN289" i="65"/>
  <c r="FF289" i="65"/>
  <c r="FN321" i="65"/>
  <c r="FF321" i="65"/>
  <c r="FN353" i="65"/>
  <c r="FF353" i="65"/>
  <c r="FN385" i="65"/>
  <c r="FF385" i="65"/>
  <c r="FN417" i="65"/>
  <c r="FF417" i="65"/>
  <c r="FN58" i="65"/>
  <c r="FF58" i="65"/>
  <c r="FN122" i="65"/>
  <c r="FF122" i="65"/>
  <c r="FN266" i="65"/>
  <c r="FF266" i="65"/>
  <c r="FN394" i="65"/>
  <c r="FF394" i="65"/>
  <c r="FN95" i="65"/>
  <c r="FF95" i="65"/>
  <c r="FN207" i="65"/>
  <c r="FF207" i="65"/>
  <c r="FN319" i="65"/>
  <c r="FF319" i="65"/>
  <c r="FN20" i="65"/>
  <c r="FF20" i="65"/>
  <c r="FN164" i="65"/>
  <c r="FF164" i="65"/>
  <c r="FN292" i="65"/>
  <c r="FF292" i="65"/>
  <c r="FN436" i="65"/>
  <c r="FF436" i="65"/>
  <c r="FN101" i="65"/>
  <c r="FF101" i="65"/>
  <c r="FN245" i="65"/>
  <c r="FF245" i="65"/>
  <c r="FN421" i="65"/>
  <c r="FF421" i="65"/>
  <c r="FN459" i="65"/>
  <c r="FF459" i="65"/>
  <c r="FN479" i="65"/>
  <c r="FF479" i="65"/>
  <c r="FN505" i="65"/>
  <c r="FF505" i="65"/>
  <c r="FN535" i="65"/>
  <c r="FF535" i="65"/>
  <c r="FN458" i="65"/>
  <c r="FF458" i="65"/>
  <c r="FN502" i="65"/>
  <c r="FF502" i="65"/>
  <c r="FN516" i="65"/>
  <c r="FF516" i="65"/>
  <c r="FN553" i="65"/>
  <c r="FF553" i="65"/>
  <c r="FN501" i="65"/>
  <c r="FF501" i="65"/>
  <c r="FN596" i="65"/>
  <c r="FF596" i="65"/>
  <c r="FN614" i="65"/>
  <c r="FF614" i="65"/>
  <c r="FN500" i="65"/>
  <c r="FF500" i="65"/>
  <c r="FN522" i="65"/>
  <c r="FF522" i="65"/>
  <c r="FN548" i="65"/>
  <c r="FF548" i="65"/>
  <c r="FN568" i="65"/>
  <c r="FF568" i="65"/>
  <c r="FN584" i="65"/>
  <c r="FF584" i="65"/>
  <c r="FN600" i="65"/>
  <c r="FF600" i="65"/>
  <c r="FN616" i="65"/>
  <c r="FF616" i="65"/>
  <c r="FN527" i="65"/>
  <c r="FF527" i="65"/>
  <c r="FN562" i="65"/>
  <c r="FF562" i="65"/>
  <c r="FN591" i="65"/>
  <c r="FF591" i="65"/>
  <c r="FN617" i="65"/>
  <c r="FF617" i="65"/>
  <c r="FN684" i="65"/>
  <c r="FF684" i="65"/>
  <c r="FN724" i="65"/>
  <c r="FF724" i="65"/>
  <c r="FN740" i="65"/>
  <c r="FF740" i="65"/>
  <c r="FN758" i="65"/>
  <c r="FF758" i="65"/>
  <c r="FN526" i="65"/>
  <c r="FF526" i="65"/>
  <c r="FN633" i="65"/>
  <c r="FF633" i="65"/>
  <c r="FN700" i="65"/>
  <c r="FF700" i="65"/>
  <c r="FN747" i="65"/>
  <c r="FF747" i="65"/>
  <c r="FN656" i="65"/>
  <c r="FF656" i="65"/>
  <c r="FN699" i="65"/>
  <c r="FF699" i="65"/>
  <c r="FN649" i="65"/>
  <c r="FF649" i="65"/>
  <c r="FN697" i="65"/>
  <c r="FF697" i="65"/>
  <c r="FN722" i="65"/>
  <c r="FF722" i="65"/>
  <c r="FN834" i="65"/>
  <c r="FF834" i="65"/>
  <c r="FN663" i="65"/>
  <c r="FF663" i="65"/>
  <c r="FN692" i="65"/>
  <c r="FF692" i="65"/>
  <c r="FN725" i="65"/>
  <c r="FF725" i="65"/>
  <c r="FN763" i="65"/>
  <c r="FF763" i="65"/>
  <c r="FN783" i="65"/>
  <c r="FF783" i="65"/>
  <c r="FN712" i="65"/>
  <c r="FF712" i="65"/>
  <c r="FN760" i="65"/>
  <c r="FF760" i="65"/>
  <c r="FN845" i="65"/>
  <c r="FF845" i="65"/>
  <c r="FN861" i="65"/>
  <c r="FF861" i="65"/>
  <c r="FN816" i="65"/>
  <c r="FF816" i="65"/>
  <c r="FN741" i="65"/>
  <c r="FF741" i="65"/>
  <c r="FN843" i="65"/>
  <c r="FF843" i="65"/>
  <c r="FN859" i="65"/>
  <c r="FF859" i="65"/>
  <c r="FN874" i="65"/>
  <c r="FF874" i="65"/>
  <c r="FN810" i="65"/>
  <c r="FF810" i="65"/>
  <c r="FN138" i="65"/>
  <c r="FF138" i="65"/>
  <c r="FN362" i="65"/>
  <c r="FF362" i="65"/>
  <c r="FN191" i="65"/>
  <c r="FF191" i="65"/>
  <c r="FN68" i="65"/>
  <c r="FF68" i="65"/>
  <c r="FN356" i="65"/>
  <c r="FF356" i="65"/>
  <c r="FN197" i="65"/>
  <c r="FF197" i="65"/>
  <c r="FN373" i="65"/>
  <c r="FF373" i="65"/>
  <c r="FG507" i="65"/>
  <c r="FG514" i="65"/>
  <c r="FG779" i="65"/>
  <c r="FG782" i="65"/>
  <c r="FG836" i="65"/>
  <c r="FG546" i="65"/>
  <c r="FG685" i="65"/>
  <c r="FG825" i="65"/>
  <c r="FG802" i="65"/>
  <c r="FG575" i="65"/>
  <c r="FG549" i="65"/>
  <c r="FG867" i="65"/>
  <c r="FG545" i="65"/>
  <c r="FG470" i="65"/>
  <c r="FG522" i="65"/>
  <c r="FG783" i="65"/>
  <c r="FG784" i="65"/>
  <c r="FG590" i="65"/>
  <c r="FG777" i="65"/>
  <c r="GP495" i="65"/>
  <c r="GL495" i="65"/>
  <c r="GC543" i="65"/>
  <c r="GF543" i="65" s="1"/>
  <c r="GD543" i="65"/>
  <c r="GP460" i="65"/>
  <c r="GL460" i="65"/>
  <c r="GD587" i="65"/>
  <c r="GI587" i="65" s="1"/>
  <c r="GC587" i="65"/>
  <c r="GF587" i="65" s="1"/>
  <c r="EZ544" i="65"/>
  <c r="GP544" i="65"/>
  <c r="GL544" i="65"/>
  <c r="GC598" i="65"/>
  <c r="GF598" i="65" s="1"/>
  <c r="GD598" i="65"/>
  <c r="GL661" i="65"/>
  <c r="GP661" i="65"/>
  <c r="GC678" i="65"/>
  <c r="GF678" i="65" s="1"/>
  <c r="GD678" i="65"/>
  <c r="GI678" i="65" s="1"/>
  <c r="GC609" i="65"/>
  <c r="GF609" i="65" s="1"/>
  <c r="GD609" i="65"/>
  <c r="GI609" i="65" s="1"/>
  <c r="GD611" i="65"/>
  <c r="GC611" i="65"/>
  <c r="GF611" i="65" s="1"/>
  <c r="EZ689" i="65"/>
  <c r="GP689" i="65"/>
  <c r="GL689" i="65"/>
  <c r="EZ717" i="65"/>
  <c r="GP717" i="65"/>
  <c r="GL717" i="65"/>
  <c r="GC566" i="65"/>
  <c r="GF566" i="65" s="1"/>
  <c r="GD566" i="65"/>
  <c r="EZ676" i="65"/>
  <c r="GP676" i="65"/>
  <c r="GL676" i="65"/>
  <c r="GC786" i="65"/>
  <c r="GF786" i="65" s="1"/>
  <c r="GD786" i="65"/>
  <c r="GP444" i="65"/>
  <c r="GL444" i="65"/>
  <c r="GD484" i="65"/>
  <c r="GC484" i="65"/>
  <c r="GF484" i="65" s="1"/>
  <c r="EZ511" i="65"/>
  <c r="GL511" i="65"/>
  <c r="GP511" i="65"/>
  <c r="EZ540" i="65"/>
  <c r="GP540" i="65"/>
  <c r="GL540" i="65"/>
  <c r="GD509" i="65"/>
  <c r="GC509" i="65"/>
  <c r="GF509" i="65" s="1"/>
  <c r="EZ585" i="65"/>
  <c r="GP585" i="65"/>
  <c r="GL585" i="65"/>
  <c r="EZ451" i="65"/>
  <c r="GP451" i="65"/>
  <c r="GL451" i="65"/>
  <c r="GC498" i="65"/>
  <c r="GF498" i="65" s="1"/>
  <c r="GD498" i="65"/>
  <c r="GD610" i="65"/>
  <c r="GI610" i="65" s="1"/>
  <c r="GC610" i="65"/>
  <c r="GF610" i="65" s="1"/>
  <c r="GD571" i="65"/>
  <c r="GI571" i="65" s="1"/>
  <c r="GC571" i="65"/>
  <c r="GF571" i="65" s="1"/>
  <c r="EZ657" i="65"/>
  <c r="GP657" i="65"/>
  <c r="GL657" i="65"/>
  <c r="GP641" i="65"/>
  <c r="GL641" i="65"/>
  <c r="GC761" i="65"/>
  <c r="GF761" i="65" s="1"/>
  <c r="GD761" i="65"/>
  <c r="EZ823" i="65"/>
  <c r="GP823" i="65"/>
  <c r="GL823" i="65"/>
  <c r="EZ828" i="65"/>
  <c r="GP828" i="65"/>
  <c r="GL828" i="65"/>
  <c r="GC739" i="65"/>
  <c r="GF739" i="65" s="1"/>
  <c r="GD739" i="65"/>
  <c r="GC852" i="65"/>
  <c r="GF852" i="65" s="1"/>
  <c r="GD852" i="65"/>
  <c r="EZ806" i="65"/>
  <c r="GP806" i="65"/>
  <c r="GL806" i="65"/>
  <c r="GC459" i="65"/>
  <c r="GF459" i="65" s="1"/>
  <c r="GD459" i="65"/>
  <c r="GI459" i="65" s="1"/>
  <c r="GD516" i="65"/>
  <c r="GC516" i="65"/>
  <c r="GF516" i="65" s="1"/>
  <c r="EZ529" i="65"/>
  <c r="GP529" i="65"/>
  <c r="GL529" i="65"/>
  <c r="GC548" i="65"/>
  <c r="GF548" i="65" s="1"/>
  <c r="GD548" i="65"/>
  <c r="GC568" i="65"/>
  <c r="GF568" i="65" s="1"/>
  <c r="GD568" i="65"/>
  <c r="EZ616" i="65"/>
  <c r="GL616" i="65"/>
  <c r="GP616" i="65"/>
  <c r="GC527" i="65"/>
  <c r="GF527" i="65" s="1"/>
  <c r="GD527" i="65"/>
  <c r="GC617" i="65"/>
  <c r="GF617" i="65" s="1"/>
  <c r="GD617" i="65"/>
  <c r="GI617" i="65" s="1"/>
  <c r="GC750" i="65"/>
  <c r="GF750" i="65" s="1"/>
  <c r="GD750" i="65"/>
  <c r="GI750" i="65" s="1"/>
  <c r="GC706" i="65"/>
  <c r="GF706" i="65" s="1"/>
  <c r="GD706" i="65"/>
  <c r="GI706" i="65" s="1"/>
  <c r="GC744" i="65"/>
  <c r="GF744" i="65" s="1"/>
  <c r="GD744" i="65"/>
  <c r="GI744" i="65" s="1"/>
  <c r="GC712" i="65"/>
  <c r="GF712" i="65" s="1"/>
  <c r="GD712" i="65"/>
  <c r="GP741" i="65"/>
  <c r="GL741" i="65"/>
  <c r="GL827" i="65"/>
  <c r="GP827" i="65"/>
  <c r="EZ843" i="65"/>
  <c r="GL843" i="65"/>
  <c r="GP843" i="65"/>
  <c r="EZ859" i="65"/>
  <c r="GL859" i="65"/>
  <c r="GP859" i="65"/>
  <c r="EZ466" i="65"/>
  <c r="GP466" i="65"/>
  <c r="GL466" i="65"/>
  <c r="EZ536" i="65"/>
  <c r="GP536" i="65"/>
  <c r="GL536" i="65"/>
  <c r="EZ475" i="65"/>
  <c r="GP475" i="65"/>
  <c r="GL475" i="65"/>
  <c r="FG561" i="65"/>
  <c r="GC577" i="65"/>
  <c r="GF577" i="65" s="1"/>
  <c r="GD577" i="65"/>
  <c r="GC630" i="65"/>
  <c r="GF630" i="65" s="1"/>
  <c r="GD630" i="65"/>
  <c r="GD642" i="65"/>
  <c r="GC642" i="65"/>
  <c r="GF642" i="65" s="1"/>
  <c r="GD756" i="65"/>
  <c r="GI756" i="65" s="1"/>
  <c r="GC756" i="65"/>
  <c r="GF756" i="65" s="1"/>
  <c r="GD670" i="65"/>
  <c r="GC670" i="65"/>
  <c r="GF670" i="65" s="1"/>
  <c r="GC754" i="65"/>
  <c r="GF754" i="65" s="1"/>
  <c r="GD754" i="65"/>
  <c r="GI754" i="65" s="1"/>
  <c r="EZ785" i="65"/>
  <c r="GP785" i="65"/>
  <c r="GL785" i="65"/>
  <c r="GC793" i="65"/>
  <c r="GF793" i="65" s="1"/>
  <c r="GD793" i="65"/>
  <c r="GD797" i="65"/>
  <c r="GI797" i="65" s="1"/>
  <c r="GC797" i="65"/>
  <c r="GF797" i="65" s="1"/>
  <c r="GC801" i="65"/>
  <c r="GF801" i="65" s="1"/>
  <c r="GD801" i="65"/>
  <c r="GI801" i="65" s="1"/>
  <c r="GD864" i="65"/>
  <c r="GI864" i="65" s="1"/>
  <c r="GC864" i="65"/>
  <c r="GF864" i="65" s="1"/>
  <c r="GD788" i="65"/>
  <c r="GI788" i="65" s="1"/>
  <c r="GC788" i="65"/>
  <c r="GF788" i="65" s="1"/>
  <c r="GC798" i="65"/>
  <c r="GF798" i="65" s="1"/>
  <c r="GD798" i="65"/>
  <c r="EZ846" i="65"/>
  <c r="GP846" i="65"/>
  <c r="GL846" i="65"/>
  <c r="GC456" i="65"/>
  <c r="GF456" i="65" s="1"/>
  <c r="GD456" i="65"/>
  <c r="GI456" i="65" s="1"/>
  <c r="GC483" i="65"/>
  <c r="GF483" i="65" s="1"/>
  <c r="GD483" i="65"/>
  <c r="GI483" i="65" s="1"/>
  <c r="EZ493" i="65"/>
  <c r="GP493" i="65"/>
  <c r="GL493" i="65"/>
  <c r="GC519" i="65"/>
  <c r="GF519" i="65" s="1"/>
  <c r="GD519" i="65"/>
  <c r="EZ539" i="65"/>
  <c r="GL539" i="65"/>
  <c r="GP539" i="65"/>
  <c r="GC442" i="65"/>
  <c r="GF442" i="65" s="1"/>
  <c r="GD442" i="65"/>
  <c r="GD461" i="65"/>
  <c r="GC461" i="65"/>
  <c r="GF461" i="65" s="1"/>
  <c r="EZ629" i="65"/>
  <c r="GL629" i="65"/>
  <c r="GP629" i="65"/>
  <c r="GD460" i="65"/>
  <c r="GC460" i="65"/>
  <c r="GF460" i="65" s="1"/>
  <c r="GC476" i="65"/>
  <c r="GF476" i="65" s="1"/>
  <c r="GD476" i="65"/>
  <c r="GC542" i="65"/>
  <c r="GF542" i="65" s="1"/>
  <c r="GD542" i="65"/>
  <c r="GI542" i="65" s="1"/>
  <c r="GP572" i="65"/>
  <c r="GL572" i="65"/>
  <c r="GD572" i="65"/>
  <c r="GI572" i="65" s="1"/>
  <c r="GC572" i="65"/>
  <c r="GF572" i="65" s="1"/>
  <c r="FG587" i="65"/>
  <c r="GC605" i="65"/>
  <c r="GF605" i="65" s="1"/>
  <c r="GD605" i="65"/>
  <c r="GI605" i="65" s="1"/>
  <c r="GD613" i="65"/>
  <c r="GI613" i="65" s="1"/>
  <c r="GC613" i="65"/>
  <c r="GF613" i="65" s="1"/>
  <c r="GD477" i="65"/>
  <c r="GC477" i="65"/>
  <c r="GF477" i="65" s="1"/>
  <c r="GC510" i="65"/>
  <c r="GF510" i="65" s="1"/>
  <c r="GD510" i="65"/>
  <c r="GC639" i="65"/>
  <c r="GF639" i="65" s="1"/>
  <c r="GD639" i="65"/>
  <c r="GC514" i="65"/>
  <c r="GF514" i="65" s="1"/>
  <c r="GD514" i="65"/>
  <c r="GP570" i="65"/>
  <c r="GL570" i="65"/>
  <c r="GC570" i="65"/>
  <c r="GF570" i="65" s="1"/>
  <c r="GD570" i="65"/>
  <c r="GD588" i="65"/>
  <c r="GI588" i="65" s="1"/>
  <c r="GC588" i="65"/>
  <c r="GF588" i="65" s="1"/>
  <c r="GC636" i="65"/>
  <c r="GF636" i="65" s="1"/>
  <c r="GD636" i="65"/>
  <c r="GC645" i="65"/>
  <c r="GF645" i="65" s="1"/>
  <c r="GD645" i="65"/>
  <c r="GI645" i="65" s="1"/>
  <c r="GC661" i="65"/>
  <c r="GF661" i="65" s="1"/>
  <c r="GD661" i="65"/>
  <c r="GI661" i="65" s="1"/>
  <c r="GP679" i="65"/>
  <c r="GL679" i="65"/>
  <c r="GL749" i="65"/>
  <c r="GP749" i="65"/>
  <c r="GL765" i="65"/>
  <c r="GP765" i="65"/>
  <c r="GL567" i="65"/>
  <c r="GP567" i="65"/>
  <c r="GC567" i="65"/>
  <c r="GF567" i="65" s="1"/>
  <c r="GD567" i="65"/>
  <c r="GI567" i="65" s="1"/>
  <c r="FG678" i="65"/>
  <c r="EZ557" i="65"/>
  <c r="GL557" i="65"/>
  <c r="GP557" i="65"/>
  <c r="FG658" i="65"/>
  <c r="FG703" i="65"/>
  <c r="GP727" i="65"/>
  <c r="GL727" i="65"/>
  <c r="FG611" i="65"/>
  <c r="EZ611" i="65"/>
  <c r="GL611" i="65"/>
  <c r="GP611" i="65"/>
  <c r="FG653" i="65"/>
  <c r="EZ653" i="65"/>
  <c r="GP653" i="65"/>
  <c r="GL653" i="65"/>
  <c r="GL738" i="65"/>
  <c r="GP738" i="65"/>
  <c r="FG771" i="65"/>
  <c r="GD779" i="65"/>
  <c r="GI779" i="65" s="1"/>
  <c r="GC779" i="65"/>
  <c r="GF779" i="65" s="1"/>
  <c r="FG566" i="65"/>
  <c r="GL687" i="65"/>
  <c r="GP687" i="65"/>
  <c r="EZ743" i="65"/>
  <c r="GL743" i="65"/>
  <c r="GP743" i="65"/>
  <c r="GC841" i="65"/>
  <c r="GF841" i="65" s="1"/>
  <c r="GD841" i="65"/>
  <c r="GC773" i="65"/>
  <c r="GF773" i="65" s="1"/>
  <c r="GD773" i="65"/>
  <c r="GP808" i="65"/>
  <c r="GL808" i="65"/>
  <c r="FG839" i="65"/>
  <c r="GD847" i="65"/>
  <c r="GI847" i="65" s="1"/>
  <c r="GC847" i="65"/>
  <c r="GF847" i="65" s="1"/>
  <c r="GD855" i="65"/>
  <c r="GI855" i="65" s="1"/>
  <c r="GC855" i="65"/>
  <c r="GF855" i="65" s="1"/>
  <c r="EZ863" i="65"/>
  <c r="GP863" i="65"/>
  <c r="GL863" i="65"/>
  <c r="FG445" i="65"/>
  <c r="EZ453" i="65"/>
  <c r="GP453" i="65"/>
  <c r="GL453" i="65"/>
  <c r="FG484" i="65"/>
  <c r="GC511" i="65"/>
  <c r="GF511" i="65" s="1"/>
  <c r="GD511" i="65"/>
  <c r="GI511" i="65" s="1"/>
  <c r="EZ534" i="65"/>
  <c r="GL534" i="65"/>
  <c r="GP534" i="65"/>
  <c r="EZ550" i="65"/>
  <c r="GL550" i="65"/>
  <c r="GP550" i="65"/>
  <c r="GC463" i="65"/>
  <c r="GF463" i="65" s="1"/>
  <c r="GD463" i="65"/>
  <c r="GI463" i="65" s="1"/>
  <c r="EZ509" i="65"/>
  <c r="GP509" i="65"/>
  <c r="GL509" i="65"/>
  <c r="GP524" i="65"/>
  <c r="GL524" i="65"/>
  <c r="GD451" i="65"/>
  <c r="GI451" i="65" s="1"/>
  <c r="GC451" i="65"/>
  <c r="GF451" i="65" s="1"/>
  <c r="EZ481" i="65"/>
  <c r="GP481" i="65"/>
  <c r="GL481" i="65"/>
  <c r="FG555" i="65"/>
  <c r="GC573" i="65"/>
  <c r="GF573" i="65" s="1"/>
  <c r="GD573" i="65"/>
  <c r="EZ581" i="65"/>
  <c r="GP581" i="65"/>
  <c r="GL581" i="65"/>
  <c r="GP607" i="65"/>
  <c r="GL607" i="65"/>
  <c r="GD615" i="65"/>
  <c r="GC615" i="65"/>
  <c r="GF615" i="65" s="1"/>
  <c r="GL627" i="65"/>
  <c r="GP627" i="65"/>
  <c r="GC520" i="65"/>
  <c r="GF520" i="65" s="1"/>
  <c r="GD520" i="65"/>
  <c r="EZ610" i="65"/>
  <c r="GP610" i="65"/>
  <c r="GL610" i="65"/>
  <c r="GD632" i="65"/>
  <c r="GC632" i="65"/>
  <c r="GF632" i="65" s="1"/>
  <c r="GL541" i="65"/>
  <c r="GP541" i="65"/>
  <c r="EZ644" i="65"/>
  <c r="GL644" i="65"/>
  <c r="GP644" i="65"/>
  <c r="EZ650" i="65"/>
  <c r="GL650" i="65"/>
  <c r="GP650" i="65"/>
  <c r="EZ666" i="65"/>
  <c r="GP666" i="65"/>
  <c r="GL666" i="65"/>
  <c r="GD470" i="65"/>
  <c r="GC470" i="65"/>
  <c r="GF470" i="65" s="1"/>
  <c r="EZ640" i="65"/>
  <c r="GL640" i="65"/>
  <c r="GP640" i="65"/>
  <c r="GD655" i="65"/>
  <c r="GC655" i="65"/>
  <c r="GF655" i="65" s="1"/>
  <c r="GP730" i="65"/>
  <c r="GL730" i="65"/>
  <c r="EZ736" i="65"/>
  <c r="GL736" i="65"/>
  <c r="GP746" i="65"/>
  <c r="GL746" i="65"/>
  <c r="EZ759" i="65"/>
  <c r="GP759" i="65"/>
  <c r="GL759" i="65"/>
  <c r="GC767" i="65"/>
  <c r="GF767" i="65" s="1"/>
  <c r="GD767" i="65"/>
  <c r="GI767" i="65" s="1"/>
  <c r="EZ696" i="65"/>
  <c r="GP696" i="65"/>
  <c r="GL696" i="65"/>
  <c r="GD707" i="65"/>
  <c r="GI707" i="65" s="1"/>
  <c r="GC707" i="65"/>
  <c r="GF707" i="65" s="1"/>
  <c r="GC660" i="65"/>
  <c r="GF660" i="65" s="1"/>
  <c r="GD660" i="65"/>
  <c r="GI660" i="65" s="1"/>
  <c r="GL677" i="65"/>
  <c r="GP677" i="65"/>
  <c r="GC719" i="65"/>
  <c r="GF719" i="65" s="1"/>
  <c r="GD719" i="65"/>
  <c r="GC558" i="65"/>
  <c r="GF558" i="65" s="1"/>
  <c r="GD558" i="65"/>
  <c r="EZ703" i="65"/>
  <c r="GP703" i="65"/>
  <c r="GL703" i="65"/>
  <c r="FG761" i="65"/>
  <c r="GD829" i="65"/>
  <c r="GI829" i="65" s="1"/>
  <c r="GC829" i="65"/>
  <c r="GF829" i="65" s="1"/>
  <c r="GC665" i="65"/>
  <c r="GF665" i="65" s="1"/>
  <c r="GD665" i="65"/>
  <c r="GC693" i="65"/>
  <c r="GF693" i="65" s="1"/>
  <c r="GD693" i="65"/>
  <c r="EZ745" i="65"/>
  <c r="GP745" i="65"/>
  <c r="GL745" i="65"/>
  <c r="GD745" i="65"/>
  <c r="GI745" i="65" s="1"/>
  <c r="GC745" i="65"/>
  <c r="GF745" i="65" s="1"/>
  <c r="GC762" i="65"/>
  <c r="GF762" i="65" s="1"/>
  <c r="GD762" i="65"/>
  <c r="GC774" i="65"/>
  <c r="GF774" i="65" s="1"/>
  <c r="GD774" i="65"/>
  <c r="GD803" i="65"/>
  <c r="GC803" i="65"/>
  <c r="GF803" i="65" s="1"/>
  <c r="GL811" i="65"/>
  <c r="GP811" i="65"/>
  <c r="GP815" i="65"/>
  <c r="GL815" i="65"/>
  <c r="GC823" i="65"/>
  <c r="GF823" i="65" s="1"/>
  <c r="GD823" i="65"/>
  <c r="EZ753" i="65"/>
  <c r="GL753" i="65"/>
  <c r="GP753" i="65"/>
  <c r="GC835" i="65"/>
  <c r="GF835" i="65" s="1"/>
  <c r="GD835" i="65"/>
  <c r="GI835" i="65" s="1"/>
  <c r="FG739" i="65"/>
  <c r="FG780" i="65"/>
  <c r="EZ780" i="65"/>
  <c r="GP780" i="65"/>
  <c r="GL780" i="65"/>
  <c r="GC796" i="65"/>
  <c r="GF796" i="65" s="1"/>
  <c r="GD796" i="65"/>
  <c r="GC844" i="65"/>
  <c r="GF844" i="65" s="1"/>
  <c r="GD844" i="65"/>
  <c r="EZ860" i="65"/>
  <c r="GP860" i="65"/>
  <c r="GL860" i="65"/>
  <c r="GC806" i="65"/>
  <c r="GF806" i="65" s="1"/>
  <c r="GD806" i="65"/>
  <c r="GD873" i="65"/>
  <c r="GI873" i="65" s="1"/>
  <c r="GC873" i="65"/>
  <c r="GF873" i="65" s="1"/>
  <c r="GD454" i="65"/>
  <c r="GC454" i="65"/>
  <c r="GF454" i="65" s="1"/>
  <c r="EZ465" i="65"/>
  <c r="GP465" i="65"/>
  <c r="GL465" i="65"/>
  <c r="FG487" i="65"/>
  <c r="GD505" i="65"/>
  <c r="GC505" i="65"/>
  <c r="GF505" i="65" s="1"/>
  <c r="EZ535" i="65"/>
  <c r="GP535" i="65"/>
  <c r="GL535" i="65"/>
  <c r="FG447" i="65"/>
  <c r="GC512" i="65"/>
  <c r="GF512" i="65" s="1"/>
  <c r="GD512" i="65"/>
  <c r="GI512" i="65" s="1"/>
  <c r="EZ516" i="65"/>
  <c r="GL516" i="65"/>
  <c r="GP516" i="65"/>
  <c r="GP469" i="65"/>
  <c r="GL469" i="65"/>
  <c r="GC469" i="65"/>
  <c r="GF469" i="65" s="1"/>
  <c r="GD469" i="65"/>
  <c r="EZ501" i="65"/>
  <c r="GL501" i="65"/>
  <c r="GP501" i="65"/>
  <c r="GC551" i="65"/>
  <c r="GF551" i="65" s="1"/>
  <c r="GD551" i="65"/>
  <c r="GP596" i="65"/>
  <c r="GL596" i="65"/>
  <c r="GP606" i="65"/>
  <c r="GL606" i="65"/>
  <c r="GC614" i="65"/>
  <c r="GF614" i="65" s="1"/>
  <c r="GD614" i="65"/>
  <c r="GP482" i="65"/>
  <c r="GL482" i="65"/>
  <c r="GP513" i="65"/>
  <c r="GL513" i="65"/>
  <c r="GC522" i="65"/>
  <c r="GF522" i="65" s="1"/>
  <c r="GD522" i="65"/>
  <c r="GD529" i="65"/>
  <c r="GI529" i="65" s="1"/>
  <c r="GC529" i="65"/>
  <c r="GF529" i="65" s="1"/>
  <c r="EZ584" i="65"/>
  <c r="GP584" i="65"/>
  <c r="GL584" i="65"/>
  <c r="EZ600" i="65"/>
  <c r="GP600" i="65"/>
  <c r="GL600" i="65"/>
  <c r="FG527" i="65"/>
  <c r="GD562" i="65"/>
  <c r="GC562" i="65"/>
  <c r="GF562" i="65" s="1"/>
  <c r="GD578" i="65"/>
  <c r="GC578" i="65"/>
  <c r="GF578" i="65" s="1"/>
  <c r="FG601" i="65"/>
  <c r="GC673" i="65"/>
  <c r="GF673" i="65" s="1"/>
  <c r="GD673" i="65"/>
  <c r="GC684" i="65"/>
  <c r="GF684" i="65" s="1"/>
  <c r="GD684" i="65"/>
  <c r="GC711" i="65"/>
  <c r="GF711" i="65" s="1"/>
  <c r="GD711" i="65"/>
  <c r="GC724" i="65"/>
  <c r="GF724" i="65" s="1"/>
  <c r="GD724" i="65"/>
  <c r="GI724" i="65" s="1"/>
  <c r="GP734" i="65"/>
  <c r="GL734" i="65"/>
  <c r="GC758" i="65"/>
  <c r="GF758" i="65" s="1"/>
  <c r="GD758" i="65"/>
  <c r="FG620" i="65"/>
  <c r="EZ620" i="65"/>
  <c r="GL620" i="65"/>
  <c r="GP620" i="65"/>
  <c r="EZ633" i="65"/>
  <c r="GL633" i="65"/>
  <c r="GP633" i="65"/>
  <c r="FG682" i="65"/>
  <c r="EZ631" i="65"/>
  <c r="GP631" i="65"/>
  <c r="GL631" i="65"/>
  <c r="GC656" i="65"/>
  <c r="GF656" i="65" s="1"/>
  <c r="GD656" i="65"/>
  <c r="GI656" i="65" s="1"/>
  <c r="GD649" i="65"/>
  <c r="GC649" i="65"/>
  <c r="GF649" i="65" s="1"/>
  <c r="GC683" i="65"/>
  <c r="GF683" i="65" s="1"/>
  <c r="GD683" i="65"/>
  <c r="GI683" i="65" s="1"/>
  <c r="GC697" i="65"/>
  <c r="GF697" i="65" s="1"/>
  <c r="GD697" i="65"/>
  <c r="GD708" i="65"/>
  <c r="GC708" i="65"/>
  <c r="GF708" i="65" s="1"/>
  <c r="EZ826" i="65"/>
  <c r="GP826" i="65"/>
  <c r="GL826" i="65"/>
  <c r="GC583" i="65"/>
  <c r="GF583" i="65" s="1"/>
  <c r="GD583" i="65"/>
  <c r="GI583" i="65" s="1"/>
  <c r="GC663" i="65"/>
  <c r="GF663" i="65" s="1"/>
  <c r="GD663" i="65"/>
  <c r="FG692" i="65"/>
  <c r="FG706" i="65"/>
  <c r="EZ706" i="65"/>
  <c r="GP706" i="65"/>
  <c r="GL706" i="65"/>
  <c r="EZ725" i="65"/>
  <c r="GP725" i="65"/>
  <c r="GL725" i="65"/>
  <c r="GP744" i="65"/>
  <c r="GL744" i="65"/>
  <c r="GC776" i="65"/>
  <c r="GF776" i="65" s="1"/>
  <c r="GD776" i="65"/>
  <c r="EZ845" i="65"/>
  <c r="GP845" i="65"/>
  <c r="GL845" i="65"/>
  <c r="GD853" i="65"/>
  <c r="GC853" i="65"/>
  <c r="GF853" i="65" s="1"/>
  <c r="GP870" i="65"/>
  <c r="GL870" i="65"/>
  <c r="EZ755" i="65"/>
  <c r="GP755" i="65"/>
  <c r="GL755" i="65"/>
  <c r="EZ784" i="65"/>
  <c r="GL784" i="65"/>
  <c r="GP784" i="65"/>
  <c r="GC784" i="65"/>
  <c r="GF784" i="65" s="1"/>
  <c r="GD784" i="65"/>
  <c r="EZ800" i="65"/>
  <c r="GL800" i="65"/>
  <c r="EZ831" i="65"/>
  <c r="GP831" i="65"/>
  <c r="GL831" i="65"/>
  <c r="GC741" i="65"/>
  <c r="GF741" i="65" s="1"/>
  <c r="GD741" i="65"/>
  <c r="GD827" i="65"/>
  <c r="GC827" i="65"/>
  <c r="GF827" i="65" s="1"/>
  <c r="FG843" i="65"/>
  <c r="EZ851" i="65"/>
  <c r="GL851" i="65"/>
  <c r="GP851" i="65"/>
  <c r="GP874" i="65"/>
  <c r="GL874" i="65"/>
  <c r="GC874" i="65"/>
  <c r="GF874" i="65" s="1"/>
  <c r="GD874" i="65"/>
  <c r="FG810" i="65"/>
  <c r="GC449" i="65"/>
  <c r="GF449" i="65" s="1"/>
  <c r="GD449" i="65"/>
  <c r="FG480" i="65"/>
  <c r="EZ488" i="65"/>
  <c r="GL488" i="65"/>
  <c r="GP488" i="65"/>
  <c r="GP532" i="65"/>
  <c r="GL532" i="65"/>
  <c r="FG491" i="65"/>
  <c r="GC475" i="65"/>
  <c r="GF475" i="65" s="1"/>
  <c r="GD475" i="65"/>
  <c r="GI475" i="65" s="1"/>
  <c r="GC504" i="65"/>
  <c r="GF504" i="65" s="1"/>
  <c r="GD504" i="65"/>
  <c r="GI504" i="65" s="1"/>
  <c r="EZ528" i="65"/>
  <c r="GP528" i="65"/>
  <c r="GL528" i="65"/>
  <c r="EZ457" i="65"/>
  <c r="GP457" i="65"/>
  <c r="GL457" i="65"/>
  <c r="EZ515" i="65"/>
  <c r="GP515" i="65"/>
  <c r="GL515" i="65"/>
  <c r="GD515" i="65"/>
  <c r="GI515" i="65" s="1"/>
  <c r="GC515" i="65"/>
  <c r="GF515" i="65" s="1"/>
  <c r="GD537" i="65"/>
  <c r="GI537" i="65" s="1"/>
  <c r="GC537" i="65"/>
  <c r="GF537" i="65" s="1"/>
  <c r="GC549" i="65"/>
  <c r="GF549" i="65" s="1"/>
  <c r="GD549" i="65"/>
  <c r="GI549" i="65" s="1"/>
  <c r="EZ561" i="65"/>
  <c r="GP561" i="65"/>
  <c r="GL561" i="65"/>
  <c r="GC569" i="65"/>
  <c r="GF569" i="65" s="1"/>
  <c r="GD569" i="65"/>
  <c r="EZ577" i="65"/>
  <c r="GP577" i="65"/>
  <c r="GL577" i="65"/>
  <c r="GC474" i="65"/>
  <c r="GF474" i="65" s="1"/>
  <c r="GD474" i="65"/>
  <c r="EZ530" i="65"/>
  <c r="GP530" i="65"/>
  <c r="GL530" i="65"/>
  <c r="EZ579" i="65"/>
  <c r="GP579" i="65"/>
  <c r="GL579" i="65"/>
  <c r="EZ619" i="65"/>
  <c r="GL619" i="65"/>
  <c r="GP619" i="65"/>
  <c r="EZ630" i="65"/>
  <c r="GP630" i="65"/>
  <c r="GL630" i="65"/>
  <c r="GC652" i="65"/>
  <c r="GF652" i="65" s="1"/>
  <c r="GD652" i="65"/>
  <c r="GI652" i="65" s="1"/>
  <c r="GC662" i="65"/>
  <c r="GF662" i="65" s="1"/>
  <c r="GD662" i="65"/>
  <c r="GC688" i="65"/>
  <c r="GF688" i="65" s="1"/>
  <c r="GD688" i="65"/>
  <c r="GC705" i="65"/>
  <c r="GF705" i="65" s="1"/>
  <c r="GD705" i="65"/>
  <c r="EZ735" i="65"/>
  <c r="GP735" i="65"/>
  <c r="GL735" i="65"/>
  <c r="GD594" i="65"/>
  <c r="GI594" i="65" s="1"/>
  <c r="GC594" i="65"/>
  <c r="GF594" i="65" s="1"/>
  <c r="GC622" i="65"/>
  <c r="GF622" i="65" s="1"/>
  <c r="GD622" i="65"/>
  <c r="EZ667" i="65"/>
  <c r="GP667" i="65"/>
  <c r="GL667" i="65"/>
  <c r="EZ713" i="65"/>
  <c r="GP713" i="65"/>
  <c r="GL713" i="65"/>
  <c r="EZ756" i="65"/>
  <c r="GP756" i="65"/>
  <c r="GL756" i="65"/>
  <c r="EZ556" i="65"/>
  <c r="GP556" i="65"/>
  <c r="GL556" i="65"/>
  <c r="EZ647" i="65"/>
  <c r="GP647" i="65"/>
  <c r="GL647" i="65"/>
  <c r="EZ659" i="65"/>
  <c r="GL659" i="65"/>
  <c r="GP659" i="65"/>
  <c r="GD674" i="65"/>
  <c r="GI674" i="65" s="1"/>
  <c r="GC674" i="65"/>
  <c r="GF674" i="65" s="1"/>
  <c r="GC702" i="65"/>
  <c r="GF702" i="65" s="1"/>
  <c r="GD702" i="65"/>
  <c r="GI702" i="65" s="1"/>
  <c r="GC742" i="65"/>
  <c r="GF742" i="65" s="1"/>
  <c r="GD742" i="65"/>
  <c r="EZ778" i="65"/>
  <c r="GP778" i="65"/>
  <c r="GL778" i="65"/>
  <c r="GC604" i="65"/>
  <c r="GF604" i="65" s="1"/>
  <c r="GD604" i="65"/>
  <c r="GD752" i="65"/>
  <c r="GC752" i="65"/>
  <c r="GF752" i="65" s="1"/>
  <c r="GC768" i="65"/>
  <c r="GF768" i="65" s="1"/>
  <c r="GD768" i="65"/>
  <c r="GC777" i="65"/>
  <c r="GF777" i="65" s="1"/>
  <c r="GD777" i="65"/>
  <c r="GC715" i="65"/>
  <c r="GF715" i="65" s="1"/>
  <c r="GD715" i="65"/>
  <c r="GC789" i="65"/>
  <c r="GF789" i="65" s="1"/>
  <c r="GD789" i="65"/>
  <c r="EZ809" i="65"/>
  <c r="GL809" i="65"/>
  <c r="GP809" i="65"/>
  <c r="EZ813" i="65"/>
  <c r="GP813" i="65"/>
  <c r="GL813" i="65"/>
  <c r="EZ821" i="65"/>
  <c r="GP821" i="65"/>
  <c r="GL821" i="65"/>
  <c r="EZ832" i="65"/>
  <c r="GP832" i="65"/>
  <c r="GL832" i="65"/>
  <c r="GP772" i="65"/>
  <c r="GL772" i="65"/>
  <c r="EZ804" i="65"/>
  <c r="GP804" i="65"/>
  <c r="GL804" i="65"/>
  <c r="EZ856" i="65"/>
  <c r="GP856" i="65"/>
  <c r="GL856" i="65"/>
  <c r="GC862" i="65"/>
  <c r="GF862" i="65" s="1"/>
  <c r="GD862" i="65"/>
  <c r="GP456" i="65"/>
  <c r="GL456" i="65"/>
  <c r="GC493" i="65"/>
  <c r="GF493" i="65" s="1"/>
  <c r="GD493" i="65"/>
  <c r="GP461" i="65"/>
  <c r="GL461" i="65"/>
  <c r="FG499" i="65"/>
  <c r="GD492" i="65"/>
  <c r="GC492" i="65"/>
  <c r="GF492" i="65" s="1"/>
  <c r="EZ580" i="65"/>
  <c r="GP580" i="65"/>
  <c r="GL580" i="65"/>
  <c r="GP587" i="65"/>
  <c r="GL587" i="65"/>
  <c r="EZ477" i="65"/>
  <c r="GP477" i="65"/>
  <c r="GL477" i="65"/>
  <c r="GP621" i="65"/>
  <c r="GL621" i="65"/>
  <c r="EZ636" i="65"/>
  <c r="GL636" i="65"/>
  <c r="GP636" i="65"/>
  <c r="GC679" i="65"/>
  <c r="GF679" i="65" s="1"/>
  <c r="GD679" i="65"/>
  <c r="GD687" i="65"/>
  <c r="GC687" i="65"/>
  <c r="GF687" i="65" s="1"/>
  <c r="GC849" i="65"/>
  <c r="GF849" i="65" s="1"/>
  <c r="GD849" i="65"/>
  <c r="GL773" i="65"/>
  <c r="GP773" i="65"/>
  <c r="GL792" i="65"/>
  <c r="GP792" i="65"/>
  <c r="EZ824" i="65"/>
  <c r="GP824" i="65"/>
  <c r="GL824" i="65"/>
  <c r="GD863" i="65"/>
  <c r="GI863" i="65" s="1"/>
  <c r="GC863" i="65"/>
  <c r="GF863" i="65" s="1"/>
  <c r="GP721" i="65"/>
  <c r="GL721" i="65"/>
  <c r="GC472" i="65"/>
  <c r="GF472" i="65" s="1"/>
  <c r="GD472" i="65"/>
  <c r="GI472" i="65" s="1"/>
  <c r="GC534" i="65"/>
  <c r="GF534" i="65" s="1"/>
  <c r="GD534" i="65"/>
  <c r="GI534" i="65" s="1"/>
  <c r="EZ496" i="65"/>
  <c r="GP496" i="65"/>
  <c r="GL496" i="65"/>
  <c r="FG509" i="65"/>
  <c r="GP593" i="65"/>
  <c r="GL593" i="65"/>
  <c r="GC481" i="65"/>
  <c r="GF481" i="65" s="1"/>
  <c r="GD481" i="65"/>
  <c r="GC574" i="65"/>
  <c r="GF574" i="65" s="1"/>
  <c r="GD574" i="65"/>
  <c r="EZ575" i="65"/>
  <c r="GP575" i="65"/>
  <c r="GL575" i="65"/>
  <c r="GC677" i="65"/>
  <c r="GF677" i="65" s="1"/>
  <c r="GD677" i="65"/>
  <c r="GL748" i="65"/>
  <c r="EZ829" i="65"/>
  <c r="GP829" i="65"/>
  <c r="GL829" i="65"/>
  <c r="GD787" i="65"/>
  <c r="GI787" i="65" s="1"/>
  <c r="GC787" i="65"/>
  <c r="GF787" i="65" s="1"/>
  <c r="EZ803" i="65"/>
  <c r="GL803" i="65"/>
  <c r="GP803" i="65"/>
  <c r="GD780" i="65"/>
  <c r="GI780" i="65" s="1"/>
  <c r="GC780" i="65"/>
  <c r="GF780" i="65" s="1"/>
  <c r="GC822" i="65"/>
  <c r="GF822" i="65" s="1"/>
  <c r="GD822" i="65"/>
  <c r="GP454" i="65"/>
  <c r="GL454" i="65"/>
  <c r="GD487" i="65"/>
  <c r="GI487" i="65" s="1"/>
  <c r="GC487" i="65"/>
  <c r="GF487" i="65" s="1"/>
  <c r="GL553" i="65"/>
  <c r="GP553" i="65"/>
  <c r="GD606" i="65"/>
  <c r="GC606" i="65"/>
  <c r="GF606" i="65" s="1"/>
  <c r="EZ592" i="65"/>
  <c r="GP592" i="65"/>
  <c r="GL592" i="65"/>
  <c r="EZ608" i="65"/>
  <c r="GP608" i="65"/>
  <c r="GL608" i="65"/>
  <c r="GC497" i="65"/>
  <c r="GF497" i="65" s="1"/>
  <c r="GD497" i="65"/>
  <c r="GC554" i="65"/>
  <c r="GF554" i="65" s="1"/>
  <c r="GD554" i="65"/>
  <c r="EZ591" i="65"/>
  <c r="GP591" i="65"/>
  <c r="GL591" i="65"/>
  <c r="GP601" i="65"/>
  <c r="GL601" i="65"/>
  <c r="GD734" i="65"/>
  <c r="GC734" i="65"/>
  <c r="GF734" i="65" s="1"/>
  <c r="EZ758" i="65"/>
  <c r="GP758" i="65"/>
  <c r="GL758" i="65"/>
  <c r="GC766" i="65"/>
  <c r="GF766" i="65" s="1"/>
  <c r="GD766" i="65"/>
  <c r="EZ526" i="65"/>
  <c r="GL526" i="65"/>
  <c r="GP526" i="65"/>
  <c r="GC700" i="65"/>
  <c r="GF700" i="65" s="1"/>
  <c r="GD700" i="65"/>
  <c r="GP656" i="65"/>
  <c r="GL656" i="65"/>
  <c r="GC692" i="65"/>
  <c r="GF692" i="65" s="1"/>
  <c r="GD692" i="65"/>
  <c r="GD725" i="65"/>
  <c r="GC725" i="65"/>
  <c r="GF725" i="65" s="1"/>
  <c r="EZ712" i="65"/>
  <c r="GL712" i="65"/>
  <c r="GP712" i="65"/>
  <c r="GD861" i="65"/>
  <c r="GC861" i="65"/>
  <c r="GF861" i="65" s="1"/>
  <c r="GD455" i="65"/>
  <c r="GI455" i="65" s="1"/>
  <c r="GC455" i="65"/>
  <c r="GF455" i="65" s="1"/>
  <c r="GC508" i="65"/>
  <c r="GF508" i="65" s="1"/>
  <c r="GD508" i="65"/>
  <c r="GC491" i="65"/>
  <c r="GF491" i="65" s="1"/>
  <c r="GD491" i="65"/>
  <c r="GI491" i="65" s="1"/>
  <c r="EZ517" i="65"/>
  <c r="GL517" i="65"/>
  <c r="GP517" i="65"/>
  <c r="EZ628" i="65"/>
  <c r="GP628" i="65"/>
  <c r="GL628" i="65"/>
  <c r="GL443" i="65"/>
  <c r="EZ489" i="65"/>
  <c r="GP489" i="65"/>
  <c r="GL489" i="65"/>
  <c r="GC561" i="65"/>
  <c r="GF561" i="65" s="1"/>
  <c r="GD561" i="65"/>
  <c r="EZ638" i="65"/>
  <c r="GP638" i="65"/>
  <c r="GL638" i="65"/>
  <c r="EZ474" i="65"/>
  <c r="GL474" i="65"/>
  <c r="GP474" i="65"/>
  <c r="GC530" i="65"/>
  <c r="GF530" i="65" s="1"/>
  <c r="GD530" i="65"/>
  <c r="GD556" i="65"/>
  <c r="GC556" i="65"/>
  <c r="GF556" i="65" s="1"/>
  <c r="EZ674" i="65"/>
  <c r="GP674" i="65"/>
  <c r="GL674" i="65"/>
  <c r="EZ742" i="65"/>
  <c r="GP742" i="65"/>
  <c r="GL742" i="65"/>
  <c r="GL698" i="65"/>
  <c r="GP698" i="65"/>
  <c r="GL728" i="65"/>
  <c r="GD772" i="65"/>
  <c r="GI772" i="65" s="1"/>
  <c r="GC772" i="65"/>
  <c r="GF772" i="65" s="1"/>
  <c r="GC804" i="65"/>
  <c r="GF804" i="65" s="1"/>
  <c r="GD804" i="65"/>
  <c r="GP869" i="65"/>
  <c r="GL869" i="65"/>
  <c r="EZ443" i="65"/>
  <c r="GD471" i="65"/>
  <c r="GI471" i="65" s="1"/>
  <c r="GC471" i="65"/>
  <c r="GF471" i="65" s="1"/>
  <c r="GP519" i="65"/>
  <c r="GL519" i="65"/>
  <c r="GD539" i="65"/>
  <c r="GC539" i="65"/>
  <c r="GF539" i="65" s="1"/>
  <c r="GD547" i="65"/>
  <c r="GC547" i="65"/>
  <c r="GF547" i="65" s="1"/>
  <c r="EZ442" i="65"/>
  <c r="GP442" i="65"/>
  <c r="GL442" i="65"/>
  <c r="GP450" i="65"/>
  <c r="GL450" i="65"/>
  <c r="GD450" i="65"/>
  <c r="GC450" i="65"/>
  <c r="GF450" i="65" s="1"/>
  <c r="GC533" i="65"/>
  <c r="GF533" i="65" s="1"/>
  <c r="GD533" i="65"/>
  <c r="GI533" i="65" s="1"/>
  <c r="GP473" i="65"/>
  <c r="GL473" i="65"/>
  <c r="GP543" i="65"/>
  <c r="GL543" i="65"/>
  <c r="GP446" i="65"/>
  <c r="GL446" i="65"/>
  <c r="GC446" i="65"/>
  <c r="GF446" i="65" s="1"/>
  <c r="GD446" i="65"/>
  <c r="GC507" i="65"/>
  <c r="GF507" i="65" s="1"/>
  <c r="GD507" i="65"/>
  <c r="GI507" i="65" s="1"/>
  <c r="GL518" i="65"/>
  <c r="GP518" i="65"/>
  <c r="EZ564" i="65"/>
  <c r="GP564" i="65"/>
  <c r="GL564" i="65"/>
  <c r="GC564" i="65"/>
  <c r="GF564" i="65" s="1"/>
  <c r="GD564" i="65"/>
  <c r="GI564" i="65" s="1"/>
  <c r="FG613" i="65"/>
  <c r="GP626" i="65"/>
  <c r="GL626" i="65"/>
  <c r="FG510" i="65"/>
  <c r="GC544" i="65"/>
  <c r="GF544" i="65" s="1"/>
  <c r="GD544" i="65"/>
  <c r="FG639" i="65"/>
  <c r="EZ514" i="65"/>
  <c r="GP514" i="65"/>
  <c r="GL514" i="65"/>
  <c r="FG588" i="65"/>
  <c r="GC612" i="65"/>
  <c r="GF612" i="65" s="1"/>
  <c r="GD612" i="65"/>
  <c r="GC621" i="65"/>
  <c r="GF621" i="65" s="1"/>
  <c r="GD621" i="65"/>
  <c r="GI621" i="65" s="1"/>
  <c r="GC690" i="65"/>
  <c r="GF690" i="65" s="1"/>
  <c r="GD690" i="65"/>
  <c r="GI690" i="65" s="1"/>
  <c r="EZ716" i="65"/>
  <c r="GL716" i="65"/>
  <c r="GP716" i="65"/>
  <c r="EZ595" i="65"/>
  <c r="GL595" i="65"/>
  <c r="GP595" i="65"/>
  <c r="GC624" i="65"/>
  <c r="GF624" i="65" s="1"/>
  <c r="GD624" i="65"/>
  <c r="GP637" i="65"/>
  <c r="GL637" i="65"/>
  <c r="GC637" i="65"/>
  <c r="GF637" i="65" s="1"/>
  <c r="GD637" i="65"/>
  <c r="GP645" i="65"/>
  <c r="GL645" i="65"/>
  <c r="GC695" i="65"/>
  <c r="GF695" i="65" s="1"/>
  <c r="GD695" i="65"/>
  <c r="GP733" i="65"/>
  <c r="GL733" i="65"/>
  <c r="GC733" i="65"/>
  <c r="GF733" i="65" s="1"/>
  <c r="GD733" i="65"/>
  <c r="EZ757" i="65"/>
  <c r="GL757" i="65"/>
  <c r="GP757" i="65"/>
  <c r="GC765" i="65"/>
  <c r="GF765" i="65" s="1"/>
  <c r="GD765" i="65"/>
  <c r="GP658" i="65"/>
  <c r="GL658" i="65"/>
  <c r="EZ830" i="65"/>
  <c r="GP830" i="65"/>
  <c r="GL830" i="65"/>
  <c r="EZ779" i="65"/>
  <c r="GP779" i="65"/>
  <c r="GL779" i="65"/>
  <c r="EZ566" i="65"/>
  <c r="GL566" i="65"/>
  <c r="GP566" i="65"/>
  <c r="GD676" i="65"/>
  <c r="GC676" i="65"/>
  <c r="GF676" i="65" s="1"/>
  <c r="GD718" i="65"/>
  <c r="GC718" i="65"/>
  <c r="GF718" i="65" s="1"/>
  <c r="GD743" i="65"/>
  <c r="GC743" i="65"/>
  <c r="GF743" i="65" s="1"/>
  <c r="EZ827" i="65"/>
  <c r="EZ857" i="65"/>
  <c r="GP857" i="65"/>
  <c r="GL857" i="65"/>
  <c r="GL866" i="65"/>
  <c r="GP866" i="65"/>
  <c r="GD824" i="65"/>
  <c r="GC824" i="65"/>
  <c r="GF824" i="65" s="1"/>
  <c r="GC875" i="65"/>
  <c r="GF875" i="65" s="1"/>
  <c r="GD875" i="65"/>
  <c r="GP855" i="65"/>
  <c r="GL855" i="65"/>
  <c r="FG721" i="65"/>
  <c r="EZ818" i="65"/>
  <c r="GP818" i="65"/>
  <c r="GL818" i="65"/>
  <c r="EZ445" i="65"/>
  <c r="GP445" i="65"/>
  <c r="GL445" i="65"/>
  <c r="GC453" i="65"/>
  <c r="GF453" i="65" s="1"/>
  <c r="GD453" i="65"/>
  <c r="GD444" i="65"/>
  <c r="GC444" i="65"/>
  <c r="GF444" i="65" s="1"/>
  <c r="GC452" i="65"/>
  <c r="GF452" i="65" s="1"/>
  <c r="GD452" i="65"/>
  <c r="GP472" i="65"/>
  <c r="GL472" i="65"/>
  <c r="FG472" i="65"/>
  <c r="GL484" i="65"/>
  <c r="GP484" i="65"/>
  <c r="GP494" i="65"/>
  <c r="GL494" i="65"/>
  <c r="FG511" i="65"/>
  <c r="GL525" i="65"/>
  <c r="GP525" i="65"/>
  <c r="GC525" i="65"/>
  <c r="GF525" i="65" s="1"/>
  <c r="GD525" i="65"/>
  <c r="GI525" i="65" s="1"/>
  <c r="GP545" i="65"/>
  <c r="GL545" i="65"/>
  <c r="GP552" i="65"/>
  <c r="GL552" i="65"/>
  <c r="GC585" i="65"/>
  <c r="GF585" i="65" s="1"/>
  <c r="GD585" i="65"/>
  <c r="GC593" i="65"/>
  <c r="GF593" i="65" s="1"/>
  <c r="GD593" i="65"/>
  <c r="GI593" i="65" s="1"/>
  <c r="GP555" i="65"/>
  <c r="GL555" i="65"/>
  <c r="GD565" i="65"/>
  <c r="GC565" i="65"/>
  <c r="GF565" i="65" s="1"/>
  <c r="GL573" i="65"/>
  <c r="GP573" i="65"/>
  <c r="GD597" i="65"/>
  <c r="GI597" i="65" s="1"/>
  <c r="GC597" i="65"/>
  <c r="GF597" i="65" s="1"/>
  <c r="GC607" i="65"/>
  <c r="GF607" i="65" s="1"/>
  <c r="GD607" i="65"/>
  <c r="GC627" i="65"/>
  <c r="GF627" i="65" s="1"/>
  <c r="GD627" i="65"/>
  <c r="EZ520" i="65"/>
  <c r="GP520" i="65"/>
  <c r="GL520" i="65"/>
  <c r="GP586" i="65"/>
  <c r="GL586" i="65"/>
  <c r="FG610" i="65"/>
  <c r="EZ485" i="65"/>
  <c r="GL485" i="65"/>
  <c r="GP485" i="65"/>
  <c r="GC485" i="65"/>
  <c r="GF485" i="65" s="1"/>
  <c r="GD485" i="65"/>
  <c r="GP571" i="65"/>
  <c r="GL571" i="65"/>
  <c r="GP623" i="65"/>
  <c r="GL623" i="65"/>
  <c r="GC644" i="65"/>
  <c r="GF644" i="65" s="1"/>
  <c r="GD644" i="65"/>
  <c r="GI644" i="65" s="1"/>
  <c r="GC650" i="65"/>
  <c r="GF650" i="65" s="1"/>
  <c r="GD650" i="65"/>
  <c r="GC666" i="65"/>
  <c r="GF666" i="65" s="1"/>
  <c r="GD666" i="65"/>
  <c r="GL672" i="65"/>
  <c r="GP672" i="65"/>
  <c r="GD701" i="65"/>
  <c r="GC701" i="65"/>
  <c r="GF701" i="65" s="1"/>
  <c r="GC710" i="65"/>
  <c r="GF710" i="65" s="1"/>
  <c r="GD710" i="65"/>
  <c r="GI710" i="65" s="1"/>
  <c r="EZ470" i="65"/>
  <c r="GP470" i="65"/>
  <c r="GL470" i="65"/>
  <c r="GD523" i="65"/>
  <c r="GC523" i="65"/>
  <c r="GF523" i="65" s="1"/>
  <c r="GP618" i="65"/>
  <c r="GL618" i="65"/>
  <c r="GC648" i="65"/>
  <c r="GF648" i="65" s="1"/>
  <c r="GD648" i="65"/>
  <c r="GI648" i="65" s="1"/>
  <c r="EZ664" i="65"/>
  <c r="GP664" i="65"/>
  <c r="GL664" i="65"/>
  <c r="GC671" i="65"/>
  <c r="GF671" i="65" s="1"/>
  <c r="GD671" i="65"/>
  <c r="EZ681" i="65"/>
  <c r="GP681" i="65"/>
  <c r="GL681" i="65"/>
  <c r="GD681" i="65"/>
  <c r="GC681" i="65"/>
  <c r="GF681" i="65" s="1"/>
  <c r="GC709" i="65"/>
  <c r="GF709" i="65" s="1"/>
  <c r="GD709" i="65"/>
  <c r="GC730" i="65"/>
  <c r="GF730" i="65" s="1"/>
  <c r="GD730" i="65"/>
  <c r="EZ751" i="65"/>
  <c r="GP751" i="65"/>
  <c r="GL751" i="65"/>
  <c r="GC759" i="65"/>
  <c r="GF759" i="65" s="1"/>
  <c r="GD759" i="65"/>
  <c r="GI759" i="65" s="1"/>
  <c r="EZ680" i="65"/>
  <c r="GP680" i="65"/>
  <c r="GL680" i="65"/>
  <c r="EZ707" i="65"/>
  <c r="GP707" i="65"/>
  <c r="GL707" i="65"/>
  <c r="GC575" i="65"/>
  <c r="GF575" i="65" s="1"/>
  <c r="GD575" i="65"/>
  <c r="GI575" i="65" s="1"/>
  <c r="GP660" i="65"/>
  <c r="GL660" i="65"/>
  <c r="EZ719" i="65"/>
  <c r="GP719" i="65"/>
  <c r="GL719" i="65"/>
  <c r="GC729" i="65"/>
  <c r="GF729" i="65" s="1"/>
  <c r="GD729" i="65"/>
  <c r="GI729" i="65" s="1"/>
  <c r="GC641" i="65"/>
  <c r="GF641" i="65" s="1"/>
  <c r="GD641" i="65"/>
  <c r="EZ761" i="65"/>
  <c r="GP761" i="65"/>
  <c r="GL761" i="65"/>
  <c r="FG829" i="65"/>
  <c r="GD837" i="65"/>
  <c r="GC837" i="65"/>
  <c r="GF837" i="65" s="1"/>
  <c r="FG665" i="65"/>
  <c r="GL665" i="65"/>
  <c r="GP665" i="65"/>
  <c r="GP693" i="65"/>
  <c r="GL693" i="65"/>
  <c r="GP732" i="65"/>
  <c r="GL732" i="65"/>
  <c r="GC782" i="65"/>
  <c r="GF782" i="65" s="1"/>
  <c r="GD782" i="65"/>
  <c r="EZ787" i="65"/>
  <c r="GP787" i="65"/>
  <c r="GL787" i="65"/>
  <c r="EZ791" i="65"/>
  <c r="GP791" i="65"/>
  <c r="GL791" i="65"/>
  <c r="EZ799" i="65"/>
  <c r="GP799" i="65"/>
  <c r="GL799" i="65"/>
  <c r="GC799" i="65"/>
  <c r="GF799" i="65" s="1"/>
  <c r="GD799" i="65"/>
  <c r="EZ819" i="65"/>
  <c r="GL819" i="65"/>
  <c r="GP819" i="65"/>
  <c r="GD819" i="65"/>
  <c r="GC819" i="65"/>
  <c r="GF819" i="65" s="1"/>
  <c r="EZ836" i="65"/>
  <c r="GP836" i="65"/>
  <c r="GL836" i="65"/>
  <c r="GC753" i="65"/>
  <c r="GF753" i="65" s="1"/>
  <c r="GD753" i="65"/>
  <c r="FG796" i="65"/>
  <c r="GC781" i="65"/>
  <c r="GF781" i="65" s="1"/>
  <c r="GD781" i="65"/>
  <c r="FG873" i="65"/>
  <c r="EZ790" i="65"/>
  <c r="GP790" i="65"/>
  <c r="GL790" i="65"/>
  <c r="GC790" i="65"/>
  <c r="GF790" i="65" s="1"/>
  <c r="GD790" i="65"/>
  <c r="EZ822" i="65"/>
  <c r="GP822" i="65"/>
  <c r="GL822" i="65"/>
  <c r="EZ842" i="65"/>
  <c r="GL842" i="65"/>
  <c r="GP842" i="65"/>
  <c r="GD858" i="65"/>
  <c r="GC858" i="65"/>
  <c r="GF858" i="65" s="1"/>
  <c r="EZ873" i="65"/>
  <c r="GL873" i="65"/>
  <c r="GP873" i="65"/>
  <c r="EZ459" i="65"/>
  <c r="GP459" i="65"/>
  <c r="GL459" i="65"/>
  <c r="EZ479" i="65"/>
  <c r="GP479" i="65"/>
  <c r="GL479" i="65"/>
  <c r="EZ505" i="65"/>
  <c r="GP505" i="65"/>
  <c r="GL505" i="65"/>
  <c r="GC535" i="65"/>
  <c r="GF535" i="65" s="1"/>
  <c r="GD535" i="65"/>
  <c r="EZ447" i="65"/>
  <c r="GP447" i="65"/>
  <c r="GL447" i="65"/>
  <c r="EZ458" i="65"/>
  <c r="GP458" i="65"/>
  <c r="GL458" i="65"/>
  <c r="GD464" i="65"/>
  <c r="GI464" i="65" s="1"/>
  <c r="GC464" i="65"/>
  <c r="GF464" i="65" s="1"/>
  <c r="GC502" i="65"/>
  <c r="GF502" i="65" s="1"/>
  <c r="GD502" i="65"/>
  <c r="GC553" i="65"/>
  <c r="GF553" i="65" s="1"/>
  <c r="GD553" i="65"/>
  <c r="GI553" i="65" s="1"/>
  <c r="GC501" i="65"/>
  <c r="GF501" i="65" s="1"/>
  <c r="GD501" i="65"/>
  <c r="GC596" i="65"/>
  <c r="GF596" i="65" s="1"/>
  <c r="GD596" i="65"/>
  <c r="FG614" i="65"/>
  <c r="EZ614" i="65"/>
  <c r="GP614" i="65"/>
  <c r="GL614" i="65"/>
  <c r="GC500" i="65"/>
  <c r="GF500" i="65" s="1"/>
  <c r="GD500" i="65"/>
  <c r="GC513" i="65"/>
  <c r="GF513" i="65" s="1"/>
  <c r="GD513" i="65"/>
  <c r="EZ522" i="65"/>
  <c r="GP522" i="65"/>
  <c r="GL522" i="65"/>
  <c r="EZ548" i="65"/>
  <c r="GP548" i="65"/>
  <c r="GL548" i="65"/>
  <c r="EZ560" i="65"/>
  <c r="GL560" i="65"/>
  <c r="GP560" i="65"/>
  <c r="EZ568" i="65"/>
  <c r="GP568" i="65"/>
  <c r="GL568" i="65"/>
  <c r="EZ576" i="65"/>
  <c r="GL576" i="65"/>
  <c r="GP576" i="65"/>
  <c r="GC592" i="65"/>
  <c r="GF592" i="65" s="1"/>
  <c r="GD592" i="65"/>
  <c r="FG616" i="65"/>
  <c r="EZ497" i="65"/>
  <c r="GL497" i="65"/>
  <c r="GP497" i="65"/>
  <c r="EZ554" i="65"/>
  <c r="GP554" i="65"/>
  <c r="GL554" i="65"/>
  <c r="EZ562" i="65"/>
  <c r="GP562" i="65"/>
  <c r="GL562" i="65"/>
  <c r="EZ578" i="65"/>
  <c r="GP578" i="65"/>
  <c r="GL578" i="65"/>
  <c r="EZ617" i="65"/>
  <c r="GP617" i="65"/>
  <c r="GL617" i="65"/>
  <c r="EZ673" i="65"/>
  <c r="GP673" i="65"/>
  <c r="GL673" i="65"/>
  <c r="GL684" i="65"/>
  <c r="GP684" i="65"/>
  <c r="GP711" i="65"/>
  <c r="GL711" i="65"/>
  <c r="EZ724" i="65"/>
  <c r="GP724" i="65"/>
  <c r="GL724" i="65"/>
  <c r="FG758" i="65"/>
  <c r="EZ682" i="65"/>
  <c r="GP682" i="65"/>
  <c r="GL682" i="65"/>
  <c r="EZ700" i="65"/>
  <c r="GP700" i="65"/>
  <c r="GL700" i="65"/>
  <c r="GD731" i="65"/>
  <c r="GC731" i="65"/>
  <c r="GF731" i="65" s="1"/>
  <c r="EZ747" i="65"/>
  <c r="GP747" i="65"/>
  <c r="GL747" i="65"/>
  <c r="GC631" i="65"/>
  <c r="GF631" i="65" s="1"/>
  <c r="GD631" i="65"/>
  <c r="GC685" i="65"/>
  <c r="GF685" i="65" s="1"/>
  <c r="GD685" i="65"/>
  <c r="GC699" i="65"/>
  <c r="GF699" i="65" s="1"/>
  <c r="GD699" i="65"/>
  <c r="GI699" i="65" s="1"/>
  <c r="EZ582" i="65"/>
  <c r="GL582" i="65"/>
  <c r="EZ649" i="65"/>
  <c r="GP649" i="65"/>
  <c r="GL649" i="65"/>
  <c r="EZ683" i="65"/>
  <c r="GP683" i="65"/>
  <c r="GL683" i="65"/>
  <c r="EZ697" i="65"/>
  <c r="GP697" i="65"/>
  <c r="GL697" i="65"/>
  <c r="GD834" i="65"/>
  <c r="GC834" i="65"/>
  <c r="GF834" i="65" s="1"/>
  <c r="EZ763" i="65"/>
  <c r="GP763" i="65"/>
  <c r="GL763" i="65"/>
  <c r="EZ776" i="65"/>
  <c r="GL776" i="65"/>
  <c r="GP776" i="65"/>
  <c r="EZ654" i="65"/>
  <c r="GP654" i="65"/>
  <c r="GL654" i="65"/>
  <c r="GC654" i="65"/>
  <c r="GF654" i="65" s="1"/>
  <c r="GD654" i="65"/>
  <c r="GD723" i="65"/>
  <c r="GC723" i="65"/>
  <c r="GF723" i="65" s="1"/>
  <c r="GD845" i="65"/>
  <c r="GC845" i="65"/>
  <c r="GF845" i="65" s="1"/>
  <c r="GD755" i="65"/>
  <c r="GI755" i="65" s="1"/>
  <c r="GC755" i="65"/>
  <c r="GF755" i="65" s="1"/>
  <c r="EZ816" i="65"/>
  <c r="GP816" i="65"/>
  <c r="GL816" i="65"/>
  <c r="GC843" i="65"/>
  <c r="GF843" i="65" s="1"/>
  <c r="GD843" i="65"/>
  <c r="GI843" i="65" s="1"/>
  <c r="GC867" i="65"/>
  <c r="GF867" i="65" s="1"/>
  <c r="GD867" i="65"/>
  <c r="GI867" i="65" s="1"/>
  <c r="GC794" i="65"/>
  <c r="GF794" i="65" s="1"/>
  <c r="GD794" i="65"/>
  <c r="EZ810" i="65"/>
  <c r="GP810" i="65"/>
  <c r="GL810" i="65"/>
  <c r="GP448" i="65"/>
  <c r="GL448" i="65"/>
  <c r="GD448" i="65"/>
  <c r="GI448" i="65" s="1"/>
  <c r="GC448" i="65"/>
  <c r="GF448" i="65" s="1"/>
  <c r="EZ455" i="65"/>
  <c r="GP455" i="65"/>
  <c r="GL455" i="65"/>
  <c r="EZ480" i="65"/>
  <c r="GP480" i="65"/>
  <c r="GL480" i="65"/>
  <c r="GC517" i="65"/>
  <c r="GF517" i="65" s="1"/>
  <c r="GD517" i="65"/>
  <c r="GI517" i="65" s="1"/>
  <c r="EZ590" i="65"/>
  <c r="GP590" i="65"/>
  <c r="GL590" i="65"/>
  <c r="GC503" i="65"/>
  <c r="GF503" i="65" s="1"/>
  <c r="GD503" i="65"/>
  <c r="GI503" i="65" s="1"/>
  <c r="EZ569" i="65"/>
  <c r="GP569" i="65"/>
  <c r="GL569" i="65"/>
  <c r="GD467" i="65"/>
  <c r="GI467" i="65" s="1"/>
  <c r="GC467" i="65"/>
  <c r="GF467" i="65" s="1"/>
  <c r="EZ589" i="65"/>
  <c r="GL589" i="65"/>
  <c r="GP589" i="65"/>
  <c r="GC589" i="65"/>
  <c r="GF589" i="65" s="1"/>
  <c r="GD589" i="65"/>
  <c r="GD638" i="65"/>
  <c r="GC638" i="65"/>
  <c r="GF638" i="65" s="1"/>
  <c r="EZ563" i="65"/>
  <c r="GP563" i="65"/>
  <c r="GL563" i="65"/>
  <c r="GP603" i="65"/>
  <c r="GL603" i="65"/>
  <c r="GD619" i="65"/>
  <c r="GC619" i="65"/>
  <c r="GF619" i="65" s="1"/>
  <c r="EZ642" i="65"/>
  <c r="GP642" i="65"/>
  <c r="GL642" i="65"/>
  <c r="GL646" i="65"/>
  <c r="GP646" i="65"/>
  <c r="EZ652" i="65"/>
  <c r="GP652" i="65"/>
  <c r="GL652" i="65"/>
  <c r="EZ705" i="65"/>
  <c r="GL705" i="65"/>
  <c r="GP705" i="65"/>
  <c r="GC486" i="65"/>
  <c r="GF486" i="65" s="1"/>
  <c r="GD486" i="65"/>
  <c r="GC651" i="65"/>
  <c r="GF651" i="65" s="1"/>
  <c r="GD651" i="65"/>
  <c r="GC667" i="65"/>
  <c r="GF667" i="65" s="1"/>
  <c r="GD667" i="65"/>
  <c r="GD694" i="65"/>
  <c r="GI694" i="65" s="1"/>
  <c r="GC694" i="65"/>
  <c r="GF694" i="65" s="1"/>
  <c r="EZ704" i="65"/>
  <c r="GP704" i="65"/>
  <c r="GL704" i="65"/>
  <c r="GC704" i="65"/>
  <c r="GF704" i="65" s="1"/>
  <c r="GD704" i="65"/>
  <c r="GD659" i="65"/>
  <c r="GC659" i="65"/>
  <c r="GF659" i="65" s="1"/>
  <c r="EZ702" i="65"/>
  <c r="GP702" i="65"/>
  <c r="GL702" i="65"/>
  <c r="EZ670" i="65"/>
  <c r="GP670" i="65"/>
  <c r="GL670" i="65"/>
  <c r="GD686" i="65"/>
  <c r="GI686" i="65" s="1"/>
  <c r="GC686" i="65"/>
  <c r="GF686" i="65" s="1"/>
  <c r="EZ770" i="65"/>
  <c r="GP770" i="65"/>
  <c r="GL770" i="65"/>
  <c r="GC778" i="65"/>
  <c r="GF778" i="65" s="1"/>
  <c r="GD778" i="65"/>
  <c r="GD521" i="65"/>
  <c r="GI521" i="65" s="1"/>
  <c r="GC521" i="65"/>
  <c r="GF521" i="65" s="1"/>
  <c r="EZ604" i="65"/>
  <c r="GP604" i="65"/>
  <c r="GL604" i="65"/>
  <c r="EZ752" i="65"/>
  <c r="GP752" i="65"/>
  <c r="GL752" i="65"/>
  <c r="EZ768" i="65"/>
  <c r="GL768" i="65"/>
  <c r="GP768" i="65"/>
  <c r="EZ833" i="65"/>
  <c r="GP833" i="65"/>
  <c r="GL833" i="65"/>
  <c r="GP559" i="65"/>
  <c r="GL559" i="65"/>
  <c r="GC559" i="65"/>
  <c r="GF559" i="65" s="1"/>
  <c r="GD559" i="65"/>
  <c r="GI559" i="65" s="1"/>
  <c r="EZ715" i="65"/>
  <c r="GP715" i="65"/>
  <c r="GL715" i="65"/>
  <c r="GC726" i="65"/>
  <c r="GF726" i="65" s="1"/>
  <c r="GD726" i="65"/>
  <c r="GC785" i="65"/>
  <c r="GF785" i="65" s="1"/>
  <c r="GD785" i="65"/>
  <c r="GP793" i="65"/>
  <c r="GL793" i="65"/>
  <c r="EZ805" i="65"/>
  <c r="GP805" i="65"/>
  <c r="GL805" i="65"/>
  <c r="FG809" i="65"/>
  <c r="EZ817" i="65"/>
  <c r="GL817" i="65"/>
  <c r="GP817" i="65"/>
  <c r="GD821" i="65"/>
  <c r="GI821" i="65" s="1"/>
  <c r="GC821" i="65"/>
  <c r="GF821" i="65" s="1"/>
  <c r="EZ825" i="65"/>
  <c r="GL825" i="65"/>
  <c r="GP825" i="65"/>
  <c r="EZ864" i="65"/>
  <c r="GP864" i="65"/>
  <c r="GL864" i="65"/>
  <c r="EZ872" i="65"/>
  <c r="GP872" i="65"/>
  <c r="GL872" i="65"/>
  <c r="GC769" i="65"/>
  <c r="GF769" i="65" s="1"/>
  <c r="GD769" i="65"/>
  <c r="EZ840" i="65"/>
  <c r="GP840" i="65"/>
  <c r="GL840" i="65"/>
  <c r="GC848" i="65"/>
  <c r="GF848" i="65" s="1"/>
  <c r="GD848" i="65"/>
  <c r="GI848" i="65" s="1"/>
  <c r="GC856" i="65"/>
  <c r="GF856" i="65" s="1"/>
  <c r="GD856" i="65"/>
  <c r="GI856" i="65" s="1"/>
  <c r="FG798" i="65"/>
  <c r="EZ854" i="65"/>
  <c r="GP854" i="65"/>
  <c r="GL854" i="65"/>
  <c r="GC854" i="65"/>
  <c r="GF854" i="65" s="1"/>
  <c r="GD854" i="65"/>
  <c r="EZ862" i="65"/>
  <c r="GP862" i="65"/>
  <c r="GL862" i="65"/>
  <c r="GD499" i="65"/>
  <c r="GI499" i="65" s="1"/>
  <c r="GC499" i="65"/>
  <c r="GF499" i="65" s="1"/>
  <c r="EZ533" i="65"/>
  <c r="GL533" i="65"/>
  <c r="GP533" i="65"/>
  <c r="GC580" i="65"/>
  <c r="GF580" i="65" s="1"/>
  <c r="GD580" i="65"/>
  <c r="GI580" i="65" s="1"/>
  <c r="GP605" i="65"/>
  <c r="GL605" i="65"/>
  <c r="GC626" i="65"/>
  <c r="GF626" i="65" s="1"/>
  <c r="GD626" i="65"/>
  <c r="GI626" i="65" s="1"/>
  <c r="GL510" i="65"/>
  <c r="GP510" i="65"/>
  <c r="EZ639" i="65"/>
  <c r="GP639" i="65"/>
  <c r="GL639" i="65"/>
  <c r="GL478" i="65"/>
  <c r="GP478" i="65"/>
  <c r="GP538" i="65"/>
  <c r="GL538" i="65"/>
  <c r="GC716" i="65"/>
  <c r="GF716" i="65" s="1"/>
  <c r="GD716" i="65"/>
  <c r="GI716" i="65" s="1"/>
  <c r="GP609" i="65"/>
  <c r="GL609" i="65"/>
  <c r="GC658" i="65"/>
  <c r="GF658" i="65" s="1"/>
  <c r="GD658" i="65"/>
  <c r="GD653" i="65"/>
  <c r="GI653" i="65" s="1"/>
  <c r="GC653" i="65"/>
  <c r="GF653" i="65" s="1"/>
  <c r="GD771" i="65"/>
  <c r="GI771" i="65" s="1"/>
  <c r="GC771" i="65"/>
  <c r="GF771" i="65" s="1"/>
  <c r="GC792" i="65"/>
  <c r="GF792" i="65" s="1"/>
  <c r="GD792" i="65"/>
  <c r="GC839" i="65"/>
  <c r="GF839" i="65" s="1"/>
  <c r="GD839" i="65"/>
  <c r="GI839" i="65" s="1"/>
  <c r="GP871" i="65"/>
  <c r="GL871" i="65"/>
  <c r="GD445" i="65"/>
  <c r="GC445" i="65"/>
  <c r="GF445" i="65" s="1"/>
  <c r="GP452" i="65"/>
  <c r="GL452" i="65"/>
  <c r="GC550" i="65"/>
  <c r="GF550" i="65" s="1"/>
  <c r="GD550" i="65"/>
  <c r="GI550" i="65" s="1"/>
  <c r="GC524" i="65"/>
  <c r="GF524" i="65" s="1"/>
  <c r="GD524" i="65"/>
  <c r="EZ468" i="65"/>
  <c r="GP468" i="65"/>
  <c r="GL468" i="65"/>
  <c r="GP498" i="65"/>
  <c r="GL498" i="65"/>
  <c r="GC555" i="65"/>
  <c r="GF555" i="65" s="1"/>
  <c r="GD555" i="65"/>
  <c r="GD581" i="65"/>
  <c r="GC581" i="65"/>
  <c r="GF581" i="65" s="1"/>
  <c r="GP490" i="65"/>
  <c r="GL490" i="65"/>
  <c r="EZ632" i="65"/>
  <c r="GP632" i="65"/>
  <c r="GL632" i="65"/>
  <c r="GD599" i="65"/>
  <c r="GC599" i="65"/>
  <c r="GF599" i="65" s="1"/>
  <c r="GC623" i="65"/>
  <c r="GF623" i="65" s="1"/>
  <c r="GD623" i="65"/>
  <c r="EZ691" i="65"/>
  <c r="GP691" i="65"/>
  <c r="GL691" i="65"/>
  <c r="EZ737" i="65"/>
  <c r="GP737" i="65"/>
  <c r="GL737" i="65"/>
  <c r="GL523" i="65"/>
  <c r="GP523" i="65"/>
  <c r="EZ602" i="65"/>
  <c r="GP602" i="65"/>
  <c r="GL602" i="65"/>
  <c r="EZ648" i="65"/>
  <c r="GP648" i="65"/>
  <c r="GL648" i="65"/>
  <c r="GD664" i="65"/>
  <c r="GI664" i="65" s="1"/>
  <c r="GC664" i="65"/>
  <c r="GF664" i="65" s="1"/>
  <c r="GC746" i="65"/>
  <c r="GF746" i="65" s="1"/>
  <c r="GD746" i="65"/>
  <c r="EZ767" i="65"/>
  <c r="GP767" i="65"/>
  <c r="GL767" i="65"/>
  <c r="GC669" i="65"/>
  <c r="GF669" i="65" s="1"/>
  <c r="GD669" i="65"/>
  <c r="GI669" i="65" s="1"/>
  <c r="GC703" i="65"/>
  <c r="GF703" i="65" s="1"/>
  <c r="GD703" i="65"/>
  <c r="GP762" i="65"/>
  <c r="GL762" i="65"/>
  <c r="EZ774" i="65"/>
  <c r="GP774" i="65"/>
  <c r="GL774" i="65"/>
  <c r="EZ782" i="65"/>
  <c r="GP782" i="65"/>
  <c r="GL782" i="65"/>
  <c r="GC791" i="65"/>
  <c r="GF791" i="65" s="1"/>
  <c r="GD791" i="65"/>
  <c r="GI791" i="65" s="1"/>
  <c r="GC807" i="65"/>
  <c r="GF807" i="65" s="1"/>
  <c r="GD807" i="65"/>
  <c r="EZ835" i="65"/>
  <c r="GL835" i="65"/>
  <c r="GP835" i="65"/>
  <c r="GP812" i="65"/>
  <c r="GL812" i="65"/>
  <c r="GL865" i="65"/>
  <c r="GP865" i="65"/>
  <c r="GD842" i="65"/>
  <c r="GC842" i="65"/>
  <c r="GF842" i="65" s="1"/>
  <c r="EZ531" i="65"/>
  <c r="GL531" i="65"/>
  <c r="GP531" i="65"/>
  <c r="GC447" i="65"/>
  <c r="GF447" i="65" s="1"/>
  <c r="GD447" i="65"/>
  <c r="GI447" i="65" s="1"/>
  <c r="EZ502" i="65"/>
  <c r="GP502" i="65"/>
  <c r="GL502" i="65"/>
  <c r="GD482" i="65"/>
  <c r="GC482" i="65"/>
  <c r="GF482" i="65" s="1"/>
  <c r="EZ500" i="65"/>
  <c r="GP500" i="65"/>
  <c r="GL500" i="65"/>
  <c r="GC560" i="65"/>
  <c r="GF560" i="65" s="1"/>
  <c r="GD560" i="65"/>
  <c r="GC576" i="65"/>
  <c r="GF576" i="65" s="1"/>
  <c r="GD576" i="65"/>
  <c r="GC600" i="65"/>
  <c r="GF600" i="65" s="1"/>
  <c r="GD600" i="65"/>
  <c r="FG497" i="65"/>
  <c r="EZ527" i="65"/>
  <c r="GP527" i="65"/>
  <c r="GL527" i="65"/>
  <c r="GC591" i="65"/>
  <c r="GF591" i="65" s="1"/>
  <c r="GD591" i="65"/>
  <c r="GI591" i="65" s="1"/>
  <c r="GD601" i="65"/>
  <c r="GI601" i="65" s="1"/>
  <c r="GC601" i="65"/>
  <c r="GF601" i="65" s="1"/>
  <c r="EZ740" i="65"/>
  <c r="GL740" i="65"/>
  <c r="GP740" i="65"/>
  <c r="GC620" i="65"/>
  <c r="GF620" i="65" s="1"/>
  <c r="GD620" i="65"/>
  <c r="GC682" i="65"/>
  <c r="GF682" i="65" s="1"/>
  <c r="GD682" i="65"/>
  <c r="GI682" i="65" s="1"/>
  <c r="EZ731" i="65"/>
  <c r="GP731" i="65"/>
  <c r="GL731" i="65"/>
  <c r="EZ722" i="65"/>
  <c r="GP722" i="65"/>
  <c r="GL722" i="65"/>
  <c r="EZ675" i="65"/>
  <c r="GP675" i="65"/>
  <c r="GL675" i="65"/>
  <c r="EZ760" i="65"/>
  <c r="GL760" i="65"/>
  <c r="GP760" i="65"/>
  <c r="EZ853" i="65"/>
  <c r="GP853" i="65"/>
  <c r="GL853" i="65"/>
  <c r="GC441" i="65"/>
  <c r="GF441" i="65" s="1"/>
  <c r="GD441" i="65"/>
  <c r="GC480" i="65"/>
  <c r="GF480" i="65" s="1"/>
  <c r="GD480" i="65"/>
  <c r="GI480" i="65" s="1"/>
  <c r="GC532" i="65"/>
  <c r="GF532" i="65" s="1"/>
  <c r="GD532" i="65"/>
  <c r="EZ491" i="65"/>
  <c r="GP491" i="65"/>
  <c r="GL491" i="65"/>
  <c r="EZ504" i="65"/>
  <c r="GP504" i="65"/>
  <c r="GL504" i="65"/>
  <c r="GC528" i="65"/>
  <c r="GF528" i="65" s="1"/>
  <c r="GD528" i="65"/>
  <c r="GC628" i="65"/>
  <c r="GF628" i="65" s="1"/>
  <c r="GD628" i="65"/>
  <c r="EZ503" i="65"/>
  <c r="GL503" i="65"/>
  <c r="GP503" i="65"/>
  <c r="EZ549" i="65"/>
  <c r="GL549" i="65"/>
  <c r="GP549" i="65"/>
  <c r="EZ467" i="65"/>
  <c r="GP467" i="65"/>
  <c r="GL467" i="65"/>
  <c r="GC563" i="65"/>
  <c r="GF563" i="65" s="1"/>
  <c r="GD563" i="65"/>
  <c r="GI563" i="65" s="1"/>
  <c r="GP662" i="65"/>
  <c r="GL662" i="65"/>
  <c r="EZ668" i="65"/>
  <c r="GP668" i="65"/>
  <c r="GL668" i="65"/>
  <c r="GC635" i="65"/>
  <c r="GF635" i="65" s="1"/>
  <c r="GD635" i="65"/>
  <c r="GI635" i="65" s="1"/>
  <c r="GC713" i="65"/>
  <c r="GF713" i="65" s="1"/>
  <c r="GD713" i="65"/>
  <c r="GP764" i="65"/>
  <c r="GL764" i="65"/>
  <c r="EZ714" i="65"/>
  <c r="GL714" i="65"/>
  <c r="GP714" i="65"/>
  <c r="GC809" i="65"/>
  <c r="GF809" i="65" s="1"/>
  <c r="GD809" i="65"/>
  <c r="GI809" i="65" s="1"/>
  <c r="GC775" i="65"/>
  <c r="GF775" i="65" s="1"/>
  <c r="GD775" i="65"/>
  <c r="GI775" i="65" s="1"/>
  <c r="GP814" i="65"/>
  <c r="GL814" i="65"/>
  <c r="EZ471" i="65"/>
  <c r="GP471" i="65"/>
  <c r="GL471" i="65"/>
  <c r="GP483" i="65"/>
  <c r="GL483" i="65"/>
  <c r="FG519" i="65"/>
  <c r="EZ547" i="65"/>
  <c r="GL547" i="65"/>
  <c r="GP547" i="65"/>
  <c r="FG442" i="65"/>
  <c r="GC495" i="65"/>
  <c r="GF495" i="65" s="1"/>
  <c r="GD495" i="65"/>
  <c r="GI495" i="65" s="1"/>
  <c r="EZ499" i="65"/>
  <c r="GP499" i="65"/>
  <c r="GL499" i="65"/>
  <c r="GD473" i="65"/>
  <c r="GC473" i="65"/>
  <c r="GF473" i="65" s="1"/>
  <c r="EZ462" i="65"/>
  <c r="GP462" i="65"/>
  <c r="GL462" i="65"/>
  <c r="GC462" i="65"/>
  <c r="GF462" i="65" s="1"/>
  <c r="GD462" i="65"/>
  <c r="GL492" i="65"/>
  <c r="GP492" i="65"/>
  <c r="EZ506" i="65"/>
  <c r="GP506" i="65"/>
  <c r="GL506" i="65"/>
  <c r="GC506" i="65"/>
  <c r="GF506" i="65" s="1"/>
  <c r="GD506" i="65"/>
  <c r="GC629" i="65"/>
  <c r="GF629" i="65" s="1"/>
  <c r="GD629" i="65"/>
  <c r="GI629" i="65" s="1"/>
  <c r="EZ476" i="65"/>
  <c r="GP476" i="65"/>
  <c r="GL476" i="65"/>
  <c r="EZ507" i="65"/>
  <c r="GP507" i="65"/>
  <c r="GL507" i="65"/>
  <c r="GC518" i="65"/>
  <c r="GF518" i="65" s="1"/>
  <c r="GD518" i="65"/>
  <c r="GI518" i="65" s="1"/>
  <c r="GL542" i="65"/>
  <c r="GP542" i="65"/>
  <c r="EZ613" i="65"/>
  <c r="GP613" i="65"/>
  <c r="GL613" i="65"/>
  <c r="GP634" i="65"/>
  <c r="GL634" i="65"/>
  <c r="GC634" i="65"/>
  <c r="GF634" i="65" s="1"/>
  <c r="GD634" i="65"/>
  <c r="GC478" i="65"/>
  <c r="GF478" i="65" s="1"/>
  <c r="GD478" i="65"/>
  <c r="GC538" i="65"/>
  <c r="GF538" i="65" s="1"/>
  <c r="GD538" i="65"/>
  <c r="GP588" i="65"/>
  <c r="GL588" i="65"/>
  <c r="GP598" i="65"/>
  <c r="GL598" i="65"/>
  <c r="GP612" i="65"/>
  <c r="GL612" i="65"/>
  <c r="EZ690" i="65"/>
  <c r="GP690" i="65"/>
  <c r="GL690" i="65"/>
  <c r="GD595" i="65"/>
  <c r="GC595" i="65"/>
  <c r="GF595" i="65" s="1"/>
  <c r="GP624" i="65"/>
  <c r="GL624" i="65"/>
  <c r="GP695" i="65"/>
  <c r="GL695" i="65"/>
  <c r="GC749" i="65"/>
  <c r="GF749" i="65" s="1"/>
  <c r="GD749" i="65"/>
  <c r="GC757" i="65"/>
  <c r="GF757" i="65" s="1"/>
  <c r="GD757" i="65"/>
  <c r="EZ662" i="65"/>
  <c r="GL678" i="65"/>
  <c r="GP678" i="65"/>
  <c r="GC557" i="65"/>
  <c r="GF557" i="65" s="1"/>
  <c r="GD557" i="65"/>
  <c r="GC727" i="65"/>
  <c r="GF727" i="65" s="1"/>
  <c r="GD727" i="65"/>
  <c r="GC830" i="65"/>
  <c r="GF830" i="65" s="1"/>
  <c r="GD830" i="65"/>
  <c r="GD689" i="65"/>
  <c r="GC689" i="65"/>
  <c r="GF689" i="65" s="1"/>
  <c r="GC717" i="65"/>
  <c r="GF717" i="65" s="1"/>
  <c r="GD717" i="65"/>
  <c r="GD738" i="65"/>
  <c r="GC738" i="65"/>
  <c r="GF738" i="65" s="1"/>
  <c r="EZ771" i="65"/>
  <c r="GP771" i="65"/>
  <c r="GL771" i="65"/>
  <c r="GL718" i="65"/>
  <c r="GP718" i="65"/>
  <c r="EZ841" i="65"/>
  <c r="GP841" i="65"/>
  <c r="GL841" i="65"/>
  <c r="EZ849" i="65"/>
  <c r="GP849" i="65"/>
  <c r="GL849" i="65"/>
  <c r="GC857" i="65"/>
  <c r="GF857" i="65" s="1"/>
  <c r="GD857" i="65"/>
  <c r="GD866" i="65"/>
  <c r="GC866" i="65"/>
  <c r="GF866" i="65" s="1"/>
  <c r="GD808" i="65"/>
  <c r="GC808" i="65"/>
  <c r="GF808" i="65" s="1"/>
  <c r="EZ875" i="65"/>
  <c r="GP875" i="65"/>
  <c r="GL875" i="65"/>
  <c r="EZ839" i="65"/>
  <c r="GP839" i="65"/>
  <c r="GL839" i="65"/>
  <c r="GP847" i="65"/>
  <c r="GL847" i="65"/>
  <c r="FG847" i="65"/>
  <c r="GD871" i="65"/>
  <c r="GC871" i="65"/>
  <c r="GF871" i="65" s="1"/>
  <c r="GC721" i="65"/>
  <c r="GF721" i="65" s="1"/>
  <c r="GD721" i="65"/>
  <c r="GI721" i="65" s="1"/>
  <c r="EZ786" i="65"/>
  <c r="GP786" i="65"/>
  <c r="GL786" i="65"/>
  <c r="EZ802" i="65"/>
  <c r="GP802" i="65"/>
  <c r="GL802" i="65"/>
  <c r="GC802" i="65"/>
  <c r="GF802" i="65" s="1"/>
  <c r="GD802" i="65"/>
  <c r="GI802" i="65" s="1"/>
  <c r="GC818" i="65"/>
  <c r="GF818" i="65" s="1"/>
  <c r="GD818" i="65"/>
  <c r="GI818" i="65" s="1"/>
  <c r="GC494" i="65"/>
  <c r="GF494" i="65" s="1"/>
  <c r="GD494" i="65"/>
  <c r="GC540" i="65"/>
  <c r="GF540" i="65" s="1"/>
  <c r="GD540" i="65"/>
  <c r="EZ463" i="65"/>
  <c r="GP463" i="65"/>
  <c r="GL463" i="65"/>
  <c r="GD496" i="65"/>
  <c r="GI496" i="65" s="1"/>
  <c r="GC496" i="65"/>
  <c r="GF496" i="65" s="1"/>
  <c r="GD545" i="65"/>
  <c r="GI545" i="65" s="1"/>
  <c r="GC545" i="65"/>
  <c r="GF545" i="65" s="1"/>
  <c r="GC552" i="65"/>
  <c r="GF552" i="65" s="1"/>
  <c r="GD552" i="65"/>
  <c r="GC468" i="65"/>
  <c r="GF468" i="65" s="1"/>
  <c r="GD468" i="65"/>
  <c r="FG481" i="65"/>
  <c r="EZ565" i="65"/>
  <c r="GP565" i="65"/>
  <c r="GL565" i="65"/>
  <c r="GP597" i="65"/>
  <c r="GL597" i="65"/>
  <c r="EZ615" i="65"/>
  <c r="GL615" i="65"/>
  <c r="GP615" i="65"/>
  <c r="GC490" i="65"/>
  <c r="GF490" i="65" s="1"/>
  <c r="GD490" i="65"/>
  <c r="GC586" i="65"/>
  <c r="GF586" i="65" s="1"/>
  <c r="GD586" i="65"/>
  <c r="GC541" i="65"/>
  <c r="GF541" i="65" s="1"/>
  <c r="GD541" i="65"/>
  <c r="GI541" i="65" s="1"/>
  <c r="GL599" i="65"/>
  <c r="GP599" i="65"/>
  <c r="GC657" i="65"/>
  <c r="GF657" i="65" s="1"/>
  <c r="GD657" i="65"/>
  <c r="GC672" i="65"/>
  <c r="GF672" i="65" s="1"/>
  <c r="GD672" i="65"/>
  <c r="GI672" i="65" s="1"/>
  <c r="GC691" i="65"/>
  <c r="GF691" i="65" s="1"/>
  <c r="GD691" i="65"/>
  <c r="GI691" i="65" s="1"/>
  <c r="EZ701" i="65"/>
  <c r="GP701" i="65"/>
  <c r="GL701" i="65"/>
  <c r="EZ710" i="65"/>
  <c r="GL710" i="65"/>
  <c r="GP710" i="65"/>
  <c r="GL720" i="65"/>
  <c r="GP720" i="65"/>
  <c r="GC720" i="65"/>
  <c r="GF720" i="65" s="1"/>
  <c r="GD720" i="65"/>
  <c r="GI720" i="65" s="1"/>
  <c r="GC737" i="65"/>
  <c r="GF737" i="65" s="1"/>
  <c r="GD737" i="65"/>
  <c r="GI737" i="65" s="1"/>
  <c r="GC602" i="65"/>
  <c r="GF602" i="65" s="1"/>
  <c r="GD602" i="65"/>
  <c r="GI602" i="65" s="1"/>
  <c r="GD618" i="65"/>
  <c r="GI618" i="65" s="1"/>
  <c r="GC618" i="65"/>
  <c r="GF618" i="65" s="1"/>
  <c r="GC640" i="65"/>
  <c r="GF640" i="65" s="1"/>
  <c r="GD640" i="65"/>
  <c r="GI640" i="65" s="1"/>
  <c r="EZ655" i="65"/>
  <c r="GL655" i="65"/>
  <c r="GP655" i="65"/>
  <c r="GP671" i="65"/>
  <c r="GL671" i="65"/>
  <c r="EZ709" i="65"/>
  <c r="GP709" i="65"/>
  <c r="GL709" i="65"/>
  <c r="GD751" i="65"/>
  <c r="GI751" i="65" s="1"/>
  <c r="GC751" i="65"/>
  <c r="GF751" i="65" s="1"/>
  <c r="EZ574" i="65"/>
  <c r="GP574" i="65"/>
  <c r="GL574" i="65"/>
  <c r="GP669" i="65"/>
  <c r="GL669" i="65"/>
  <c r="GC680" i="65"/>
  <c r="GF680" i="65" s="1"/>
  <c r="GD680" i="65"/>
  <c r="GD696" i="65"/>
  <c r="GC696" i="65"/>
  <c r="GF696" i="65" s="1"/>
  <c r="EZ729" i="65"/>
  <c r="GP729" i="65"/>
  <c r="GL729" i="65"/>
  <c r="EZ558" i="65"/>
  <c r="GP558" i="65"/>
  <c r="GL558" i="65"/>
  <c r="GP837" i="65"/>
  <c r="GL837" i="65"/>
  <c r="GD732" i="65"/>
  <c r="GI732" i="65" s="1"/>
  <c r="GC732" i="65"/>
  <c r="GF732" i="65" s="1"/>
  <c r="EZ795" i="65"/>
  <c r="GL795" i="65"/>
  <c r="GP795" i="65"/>
  <c r="GD795" i="65"/>
  <c r="GC795" i="65"/>
  <c r="GF795" i="65" s="1"/>
  <c r="EZ807" i="65"/>
  <c r="GP807" i="65"/>
  <c r="GL807" i="65"/>
  <c r="GD811" i="65"/>
  <c r="GC811" i="65"/>
  <c r="GF811" i="65" s="1"/>
  <c r="GC815" i="65"/>
  <c r="GF815" i="65" s="1"/>
  <c r="GD815" i="65"/>
  <c r="GC828" i="65"/>
  <c r="GF828" i="65" s="1"/>
  <c r="GD828" i="65"/>
  <c r="GC836" i="65"/>
  <c r="GF836" i="65" s="1"/>
  <c r="GD836" i="65"/>
  <c r="GP868" i="65"/>
  <c r="GL868" i="65"/>
  <c r="GC868" i="65"/>
  <c r="GF868" i="65" s="1"/>
  <c r="GD868" i="65"/>
  <c r="EZ739" i="65"/>
  <c r="GP739" i="65"/>
  <c r="GL739" i="65"/>
  <c r="GP796" i="65"/>
  <c r="GL796" i="65"/>
  <c r="GC812" i="65"/>
  <c r="GF812" i="65" s="1"/>
  <c r="GD812" i="65"/>
  <c r="EZ844" i="65"/>
  <c r="GL844" i="65"/>
  <c r="GP844" i="65"/>
  <c r="EZ852" i="65"/>
  <c r="GP852" i="65"/>
  <c r="GL852" i="65"/>
  <c r="GC860" i="65"/>
  <c r="GF860" i="65" s="1"/>
  <c r="GD860" i="65"/>
  <c r="EZ781" i="65"/>
  <c r="GL781" i="65"/>
  <c r="GP781" i="65"/>
  <c r="GC865" i="65"/>
  <c r="GF865" i="65" s="1"/>
  <c r="GD865" i="65"/>
  <c r="FG842" i="65"/>
  <c r="EZ850" i="65"/>
  <c r="GL850" i="65"/>
  <c r="GP850" i="65"/>
  <c r="GD850" i="65"/>
  <c r="GC850" i="65"/>
  <c r="GF850" i="65" s="1"/>
  <c r="GL858" i="65"/>
  <c r="GP858" i="65"/>
  <c r="GC465" i="65"/>
  <c r="GF465" i="65" s="1"/>
  <c r="GD465" i="65"/>
  <c r="GC479" i="65"/>
  <c r="GF479" i="65" s="1"/>
  <c r="GD479" i="65"/>
  <c r="GI479" i="65" s="1"/>
  <c r="EZ487" i="65"/>
  <c r="GP487" i="65"/>
  <c r="GL487" i="65"/>
  <c r="GD531" i="65"/>
  <c r="GC531" i="65"/>
  <c r="GF531" i="65" s="1"/>
  <c r="GC458" i="65"/>
  <c r="GF458" i="65" s="1"/>
  <c r="GD458" i="65"/>
  <c r="EZ464" i="65"/>
  <c r="GP464" i="65"/>
  <c r="GL464" i="65"/>
  <c r="FX502" i="65"/>
  <c r="GN502" i="65" s="1"/>
  <c r="EZ512" i="65"/>
  <c r="GP512" i="65"/>
  <c r="GL512" i="65"/>
  <c r="GP546" i="65"/>
  <c r="GL546" i="65"/>
  <c r="GC546" i="65"/>
  <c r="GF546" i="65" s="1"/>
  <c r="GD546" i="65"/>
  <c r="GL551" i="65"/>
  <c r="GP551" i="65"/>
  <c r="GC584" i="65"/>
  <c r="GF584" i="65" s="1"/>
  <c r="GD584" i="65"/>
  <c r="GC608" i="65"/>
  <c r="GF608" i="65" s="1"/>
  <c r="GD608" i="65"/>
  <c r="GC616" i="65"/>
  <c r="GF616" i="65" s="1"/>
  <c r="GD616" i="65"/>
  <c r="FG554" i="65"/>
  <c r="GC740" i="65"/>
  <c r="GF740" i="65" s="1"/>
  <c r="GD740" i="65"/>
  <c r="GI740" i="65" s="1"/>
  <c r="FG750" i="65"/>
  <c r="EZ750" i="65"/>
  <c r="GP750" i="65"/>
  <c r="GL750" i="65"/>
  <c r="EZ766" i="65"/>
  <c r="GP766" i="65"/>
  <c r="GL766" i="65"/>
  <c r="GC526" i="65"/>
  <c r="GF526" i="65" s="1"/>
  <c r="GD526" i="65"/>
  <c r="GI526" i="65" s="1"/>
  <c r="GC633" i="65"/>
  <c r="GF633" i="65" s="1"/>
  <c r="GD633" i="65"/>
  <c r="GC747" i="65"/>
  <c r="GF747" i="65" s="1"/>
  <c r="GD747" i="65"/>
  <c r="GP685" i="65"/>
  <c r="GL685" i="65"/>
  <c r="EZ699" i="65"/>
  <c r="GL699" i="65"/>
  <c r="GP699" i="65"/>
  <c r="EZ708" i="65"/>
  <c r="GP708" i="65"/>
  <c r="GL708" i="65"/>
  <c r="GC722" i="65"/>
  <c r="GF722" i="65" s="1"/>
  <c r="GD722" i="65"/>
  <c r="GC826" i="65"/>
  <c r="GF826" i="65" s="1"/>
  <c r="GD826" i="65"/>
  <c r="GI826" i="65" s="1"/>
  <c r="GL834" i="65"/>
  <c r="GP834" i="65"/>
  <c r="EZ583" i="65"/>
  <c r="GL583" i="65"/>
  <c r="GP583" i="65"/>
  <c r="EZ663" i="65"/>
  <c r="GP663" i="65"/>
  <c r="GL663" i="65"/>
  <c r="GD675" i="65"/>
  <c r="GI675" i="65" s="1"/>
  <c r="GC675" i="65"/>
  <c r="GF675" i="65" s="1"/>
  <c r="EZ692" i="65"/>
  <c r="GL692" i="65"/>
  <c r="GP692" i="65"/>
  <c r="GD763" i="65"/>
  <c r="GI763" i="65" s="1"/>
  <c r="GC763" i="65"/>
  <c r="GF763" i="65" s="1"/>
  <c r="EZ783" i="65"/>
  <c r="GP783" i="65"/>
  <c r="GL783" i="65"/>
  <c r="GC783" i="65"/>
  <c r="GF783" i="65" s="1"/>
  <c r="GD783" i="65"/>
  <c r="GI783" i="65" s="1"/>
  <c r="EZ723" i="65"/>
  <c r="GL723" i="65"/>
  <c r="GP723" i="65"/>
  <c r="GC760" i="65"/>
  <c r="GF760" i="65" s="1"/>
  <c r="GD760" i="65"/>
  <c r="GP838" i="65"/>
  <c r="GL838" i="65"/>
  <c r="GC838" i="65"/>
  <c r="GF838" i="65" s="1"/>
  <c r="GD838" i="65"/>
  <c r="EZ861" i="65"/>
  <c r="GP861" i="65"/>
  <c r="GL861" i="65"/>
  <c r="GC870" i="65"/>
  <c r="GF870" i="65" s="1"/>
  <c r="GD870" i="65"/>
  <c r="GD816" i="65"/>
  <c r="GC816" i="65"/>
  <c r="GF816" i="65" s="1"/>
  <c r="GC831" i="65"/>
  <c r="GF831" i="65" s="1"/>
  <c r="GD831" i="65"/>
  <c r="GI831" i="65" s="1"/>
  <c r="GC851" i="65"/>
  <c r="GF851" i="65" s="1"/>
  <c r="GD851" i="65"/>
  <c r="GI851" i="65" s="1"/>
  <c r="GC859" i="65"/>
  <c r="GF859" i="65" s="1"/>
  <c r="GD859" i="65"/>
  <c r="GI859" i="65" s="1"/>
  <c r="EZ867" i="65"/>
  <c r="GL867" i="65"/>
  <c r="GP867" i="65"/>
  <c r="EZ794" i="65"/>
  <c r="GP794" i="65"/>
  <c r="GL794" i="65"/>
  <c r="GC810" i="65"/>
  <c r="GF810" i="65" s="1"/>
  <c r="GD810" i="65"/>
  <c r="GI810" i="65" s="1"/>
  <c r="EZ441" i="65"/>
  <c r="GP441" i="65"/>
  <c r="GL441" i="65"/>
  <c r="EZ449" i="65"/>
  <c r="GP449" i="65"/>
  <c r="GL449" i="65"/>
  <c r="GD466" i="65"/>
  <c r="GC466" i="65"/>
  <c r="GF466" i="65" s="1"/>
  <c r="GC488" i="65"/>
  <c r="GF488" i="65" s="1"/>
  <c r="GD488" i="65"/>
  <c r="GI488" i="65" s="1"/>
  <c r="EZ508" i="65"/>
  <c r="GP508" i="65"/>
  <c r="GL508" i="65"/>
  <c r="GC536" i="65"/>
  <c r="GF536" i="65" s="1"/>
  <c r="GD536" i="65"/>
  <c r="GC590" i="65"/>
  <c r="GF590" i="65" s="1"/>
  <c r="GD590" i="65"/>
  <c r="GD457" i="65"/>
  <c r="GC457" i="65"/>
  <c r="GF457" i="65" s="1"/>
  <c r="GC489" i="65"/>
  <c r="GF489" i="65" s="1"/>
  <c r="GD489" i="65"/>
  <c r="EZ537" i="65"/>
  <c r="GP537" i="65"/>
  <c r="GL537" i="65"/>
  <c r="EZ625" i="65"/>
  <c r="GP625" i="65"/>
  <c r="GL625" i="65"/>
  <c r="GD625" i="65"/>
  <c r="GI625" i="65" s="1"/>
  <c r="GC625" i="65"/>
  <c r="GF625" i="65" s="1"/>
  <c r="GC579" i="65"/>
  <c r="GF579" i="65" s="1"/>
  <c r="GD579" i="65"/>
  <c r="GI579" i="65" s="1"/>
  <c r="GC603" i="65"/>
  <c r="GF603" i="65" s="1"/>
  <c r="GD603" i="65"/>
  <c r="GC646" i="65"/>
  <c r="GF646" i="65" s="1"/>
  <c r="GD646" i="65"/>
  <c r="GD668" i="65"/>
  <c r="GI668" i="65" s="1"/>
  <c r="GC668" i="65"/>
  <c r="GF668" i="65" s="1"/>
  <c r="EZ688" i="65"/>
  <c r="GP688" i="65"/>
  <c r="GL688" i="65"/>
  <c r="GC735" i="65"/>
  <c r="GF735" i="65" s="1"/>
  <c r="GD735" i="65"/>
  <c r="EZ486" i="65"/>
  <c r="GP486" i="65"/>
  <c r="GL486" i="65"/>
  <c r="EZ594" i="65"/>
  <c r="GP594" i="65"/>
  <c r="GL594" i="65"/>
  <c r="EZ622" i="65"/>
  <c r="GL622" i="65"/>
  <c r="GP622" i="65"/>
  <c r="EZ635" i="65"/>
  <c r="GP635" i="65"/>
  <c r="GL635" i="65"/>
  <c r="EZ643" i="65"/>
  <c r="GP643" i="65"/>
  <c r="GL643" i="65"/>
  <c r="GC643" i="65"/>
  <c r="GF643" i="65" s="1"/>
  <c r="GD643" i="65"/>
  <c r="EZ651" i="65"/>
  <c r="GP651" i="65"/>
  <c r="GL651" i="65"/>
  <c r="EZ694" i="65"/>
  <c r="GP694" i="65"/>
  <c r="GL694" i="65"/>
  <c r="GD764" i="65"/>
  <c r="GI764" i="65" s="1"/>
  <c r="GC764" i="65"/>
  <c r="GF764" i="65" s="1"/>
  <c r="GC647" i="65"/>
  <c r="GF647" i="65" s="1"/>
  <c r="GD647" i="65"/>
  <c r="GP686" i="65"/>
  <c r="GL686" i="65"/>
  <c r="GD714" i="65"/>
  <c r="GC714" i="65"/>
  <c r="GF714" i="65" s="1"/>
  <c r="GP754" i="65"/>
  <c r="GL754" i="65"/>
  <c r="GC770" i="65"/>
  <c r="GF770" i="65" s="1"/>
  <c r="GD770" i="65"/>
  <c r="EZ521" i="65"/>
  <c r="GP521" i="65"/>
  <c r="GL521" i="65"/>
  <c r="GC698" i="65"/>
  <c r="GF698" i="65" s="1"/>
  <c r="GD698" i="65"/>
  <c r="GI698" i="65" s="1"/>
  <c r="EZ777" i="65"/>
  <c r="GP777" i="65"/>
  <c r="GL777" i="65"/>
  <c r="GC833" i="65"/>
  <c r="GF833" i="65" s="1"/>
  <c r="GD833" i="65"/>
  <c r="EZ726" i="65"/>
  <c r="GP726" i="65"/>
  <c r="GL726" i="65"/>
  <c r="GL789" i="65"/>
  <c r="GP789" i="65"/>
  <c r="GP797" i="65"/>
  <c r="GL797" i="65"/>
  <c r="EZ801" i="65"/>
  <c r="GL801" i="65"/>
  <c r="GP801" i="65"/>
  <c r="GD805" i="65"/>
  <c r="GI805" i="65" s="1"/>
  <c r="GC805" i="65"/>
  <c r="GF805" i="65" s="1"/>
  <c r="GD813" i="65"/>
  <c r="GI813" i="65" s="1"/>
  <c r="GC813" i="65"/>
  <c r="GF813" i="65" s="1"/>
  <c r="GC817" i="65"/>
  <c r="GF817" i="65" s="1"/>
  <c r="GD817" i="65"/>
  <c r="GI817" i="65" s="1"/>
  <c r="GC825" i="65"/>
  <c r="GF825" i="65" s="1"/>
  <c r="GD825" i="65"/>
  <c r="GI825" i="65" s="1"/>
  <c r="GC832" i="65"/>
  <c r="GF832" i="65" s="1"/>
  <c r="GD832" i="65"/>
  <c r="GI832" i="65" s="1"/>
  <c r="GD872" i="65"/>
  <c r="GC872" i="65"/>
  <c r="GF872" i="65" s="1"/>
  <c r="EZ769" i="65"/>
  <c r="GP769" i="65"/>
  <c r="GL769" i="65"/>
  <c r="EZ788" i="65"/>
  <c r="GP788" i="65"/>
  <c r="GL788" i="65"/>
  <c r="EZ820" i="65"/>
  <c r="GP820" i="65"/>
  <c r="GL820" i="65"/>
  <c r="GC820" i="65"/>
  <c r="GF820" i="65" s="1"/>
  <c r="GD820" i="65"/>
  <c r="GC840" i="65"/>
  <c r="GF840" i="65" s="1"/>
  <c r="GD840" i="65"/>
  <c r="GI840" i="65" s="1"/>
  <c r="GP848" i="65"/>
  <c r="GL848" i="65"/>
  <c r="GD869" i="65"/>
  <c r="GC869" i="65"/>
  <c r="GF869" i="65" s="1"/>
  <c r="GP775" i="65"/>
  <c r="GL775" i="65"/>
  <c r="GP798" i="65"/>
  <c r="GL798" i="65"/>
  <c r="GC814" i="65"/>
  <c r="GF814" i="65" s="1"/>
  <c r="GD814" i="65"/>
  <c r="GC846" i="65"/>
  <c r="GF846" i="65" s="1"/>
  <c r="GD846" i="65"/>
  <c r="FX778" i="65"/>
  <c r="GN778" i="65" s="1"/>
  <c r="FX734" i="65"/>
  <c r="GN734" i="65" s="1"/>
  <c r="FX702" i="65"/>
  <c r="GN702" i="65" s="1"/>
  <c r="FX518" i="65"/>
  <c r="GN518" i="65" s="1"/>
  <c r="FG564" i="65"/>
  <c r="FG636" i="65"/>
  <c r="FG637" i="65"/>
  <c r="FG645" i="65"/>
  <c r="FG749" i="65"/>
  <c r="FG567" i="65"/>
  <c r="FG855" i="65"/>
  <c r="FG494" i="65"/>
  <c r="FG496" i="65"/>
  <c r="FG615" i="65"/>
  <c r="FG599" i="65"/>
  <c r="FG650" i="65"/>
  <c r="FG753" i="65"/>
  <c r="FG844" i="65"/>
  <c r="FG852" i="65"/>
  <c r="FG781" i="65"/>
  <c r="FG454" i="65"/>
  <c r="FG458" i="65"/>
  <c r="FG502" i="65"/>
  <c r="FG512" i="65"/>
  <c r="FG529" i="65"/>
  <c r="FG700" i="65"/>
  <c r="FG731" i="65"/>
  <c r="FG712" i="65"/>
  <c r="FG504" i="65"/>
  <c r="FG704" i="65"/>
  <c r="FG495" i="65"/>
  <c r="FG661" i="65"/>
  <c r="FG738" i="65"/>
  <c r="FG453" i="65"/>
  <c r="FG444" i="65"/>
  <c r="FG490" i="65"/>
  <c r="FG586" i="65"/>
  <c r="FM736" i="65"/>
  <c r="GP736" i="65" s="1"/>
  <c r="FG680" i="65"/>
  <c r="FG745" i="65"/>
  <c r="FG535" i="65"/>
  <c r="FG553" i="65"/>
  <c r="FG584" i="65"/>
  <c r="FG592" i="65"/>
  <c r="FG617" i="65"/>
  <c r="FG816" i="65"/>
  <c r="FG443" i="65"/>
  <c r="FG457" i="65"/>
  <c r="FG668" i="65"/>
  <c r="FG833" i="65"/>
  <c r="FG789" i="65"/>
  <c r="FG793" i="65"/>
  <c r="FG671" i="65"/>
  <c r="FG818" i="65"/>
  <c r="FG565" i="65"/>
  <c r="FG573" i="65"/>
  <c r="FG736" i="65"/>
  <c r="FG660" i="65"/>
  <c r="FG459" i="65"/>
  <c r="FG551" i="65"/>
  <c r="FG576" i="65"/>
  <c r="FG747" i="65"/>
  <c r="FG656" i="65"/>
  <c r="FG723" i="65"/>
  <c r="FG805" i="65"/>
  <c r="FG821" i="65"/>
  <c r="FX460" i="65"/>
  <c r="GN460" i="65" s="1"/>
  <c r="FX573" i="65"/>
  <c r="GN573" i="65" s="1"/>
  <c r="FV191" i="65"/>
  <c r="FX239" i="65"/>
  <c r="GN239" i="65" s="1"/>
  <c r="FV94" i="65"/>
  <c r="FV350" i="65"/>
  <c r="FX228" i="65"/>
  <c r="GN228" i="65" s="1"/>
  <c r="FX202" i="65"/>
  <c r="GN202" i="65" s="1"/>
  <c r="FV25" i="65"/>
  <c r="FX271" i="65"/>
  <c r="FX185" i="65"/>
  <c r="GN185" i="65" s="1"/>
  <c r="FV19" i="65"/>
  <c r="FX67" i="65"/>
  <c r="GN67" i="65" s="1"/>
  <c r="FV83" i="65"/>
  <c r="FV259" i="65"/>
  <c r="FX275" i="65"/>
  <c r="GN275" i="65" s="1"/>
  <c r="FV323" i="65"/>
  <c r="FX339" i="65"/>
  <c r="FV7" i="65"/>
  <c r="FX746" i="65"/>
  <c r="GN746" i="65" s="1"/>
  <c r="FV335" i="65"/>
  <c r="FV368" i="65"/>
  <c r="FV388" i="65"/>
  <c r="FX300" i="65"/>
  <c r="GN300" i="65" s="1"/>
  <c r="FX498" i="65"/>
  <c r="GN498" i="65" s="1"/>
  <c r="FX776" i="65"/>
  <c r="GN776" i="65" s="1"/>
  <c r="FX816" i="65"/>
  <c r="GN816" i="65" s="1"/>
  <c r="FV190" i="65"/>
  <c r="FV379" i="65"/>
  <c r="FX463" i="65"/>
  <c r="GN463" i="65" s="1"/>
  <c r="FV153" i="65"/>
  <c r="FV8" i="65"/>
  <c r="FX549" i="65"/>
  <c r="GN549" i="65" s="1"/>
  <c r="FX659" i="65"/>
  <c r="GN659" i="65" s="1"/>
  <c r="FX872" i="65"/>
  <c r="GN872" i="65" s="1"/>
  <c r="FX814" i="65"/>
  <c r="GN814" i="65" s="1"/>
  <c r="FX462" i="65"/>
  <c r="GN462" i="65" s="1"/>
  <c r="FX871" i="65"/>
  <c r="GN871" i="65" s="1"/>
  <c r="FX551" i="65"/>
  <c r="GN551" i="65" s="1"/>
  <c r="FV414" i="65"/>
  <c r="FV415" i="65"/>
  <c r="FX787" i="65"/>
  <c r="GN787" i="65" s="1"/>
  <c r="FX437" i="65"/>
  <c r="GN437" i="65" s="1"/>
  <c r="FV438" i="65"/>
  <c r="FX76" i="65"/>
  <c r="FX24" i="65"/>
  <c r="FX342" i="65"/>
  <c r="GN342" i="65" s="1"/>
  <c r="FX225" i="65"/>
  <c r="GN225" i="65" s="1"/>
  <c r="FW249" i="65"/>
  <c r="GM249" i="65" s="1"/>
  <c r="FX471" i="65"/>
  <c r="GN471" i="65" s="1"/>
  <c r="FX855" i="65"/>
  <c r="GN855" i="65" s="1"/>
  <c r="FX545" i="65"/>
  <c r="GN545" i="65" s="1"/>
  <c r="FX423" i="65"/>
  <c r="GN423" i="65" s="1"/>
  <c r="FV420" i="65"/>
  <c r="FV412" i="65"/>
  <c r="FX435" i="65"/>
  <c r="GN435" i="65" s="1"/>
  <c r="FX395" i="65"/>
  <c r="GN395" i="65" s="1"/>
  <c r="FX419" i="65"/>
  <c r="GL249" i="65"/>
  <c r="FX320" i="65"/>
  <c r="GN320" i="65" s="1"/>
  <c r="FV91" i="65"/>
  <c r="FX139" i="65"/>
  <c r="FV155" i="65"/>
  <c r="FX267" i="65"/>
  <c r="GN267" i="65" s="1"/>
  <c r="FV283" i="65"/>
  <c r="FV63" i="65"/>
  <c r="FX303" i="65"/>
  <c r="GN303" i="65" s="1"/>
  <c r="FX224" i="65"/>
  <c r="GN224" i="65" s="1"/>
  <c r="FX28" i="65"/>
  <c r="FV92" i="65"/>
  <c r="FX147" i="65"/>
  <c r="GN147" i="65" s="1"/>
  <c r="FV163" i="65"/>
  <c r="FV227" i="65"/>
  <c r="FX264" i="65"/>
  <c r="FV32" i="65"/>
  <c r="FV220" i="65"/>
  <c r="FV240" i="65"/>
  <c r="FV180" i="65"/>
  <c r="FX119" i="65"/>
  <c r="FX183" i="65"/>
  <c r="GN183" i="65" s="1"/>
  <c r="FV375" i="65"/>
  <c r="FV252" i="65"/>
  <c r="FV168" i="65"/>
  <c r="FV15" i="65"/>
  <c r="FV255" i="65"/>
  <c r="FX376" i="65"/>
  <c r="FX510" i="65"/>
  <c r="GN510" i="65" s="1"/>
  <c r="FX544" i="65"/>
  <c r="GN544" i="65" s="1"/>
  <c r="FX612" i="65"/>
  <c r="GN612" i="65" s="1"/>
  <c r="FX555" i="65"/>
  <c r="GN555" i="65" s="1"/>
  <c r="FX732" i="65"/>
  <c r="GN732" i="65" s="1"/>
  <c r="FX590" i="65"/>
  <c r="GN590" i="65" s="1"/>
  <c r="FV439" i="65"/>
  <c r="FV431" i="65"/>
  <c r="FV427" i="65"/>
  <c r="FV116" i="65"/>
  <c r="FV206" i="65"/>
  <c r="FV110" i="65"/>
  <c r="FV381" i="65"/>
  <c r="FV374" i="65"/>
  <c r="FV14" i="65"/>
  <c r="FV369" i="65"/>
  <c r="FV346" i="65"/>
  <c r="FV389" i="65"/>
  <c r="FV345" i="65"/>
  <c r="FV58" i="65"/>
  <c r="FV257" i="65"/>
  <c r="FV86" i="65"/>
  <c r="FV353" i="65"/>
  <c r="FV118" i="65"/>
  <c r="FV159" i="65"/>
  <c r="FX223" i="65"/>
  <c r="GN223" i="65" s="1"/>
  <c r="FV373" i="65"/>
  <c r="FV372" i="65"/>
  <c r="FX356" i="65"/>
  <c r="GN356" i="65" s="1"/>
  <c r="FX276" i="65"/>
  <c r="GN276" i="65" s="1"/>
  <c r="FV148" i="65"/>
  <c r="FV142" i="65"/>
  <c r="FV222" i="65"/>
  <c r="FV65" i="65"/>
  <c r="FX81" i="65"/>
  <c r="GN81" i="65" s="1"/>
  <c r="FX39" i="65"/>
  <c r="FV55" i="65"/>
  <c r="FV231" i="65"/>
  <c r="FV295" i="65"/>
  <c r="FX311" i="65"/>
  <c r="FV152" i="65"/>
  <c r="FV337" i="65"/>
  <c r="FX72" i="65"/>
  <c r="GN72" i="65" s="1"/>
  <c r="FV332" i="65"/>
  <c r="FX140" i="65"/>
  <c r="FV96" i="65"/>
  <c r="FV121" i="65"/>
  <c r="FV207" i="65"/>
  <c r="FX818" i="65"/>
  <c r="GN818" i="65" s="1"/>
  <c r="FX585" i="65"/>
  <c r="GN585" i="65" s="1"/>
  <c r="FX748" i="65"/>
  <c r="GN748" i="65" s="1"/>
  <c r="FX546" i="65"/>
  <c r="GN546" i="65" s="1"/>
  <c r="FX591" i="65"/>
  <c r="GN591" i="65" s="1"/>
  <c r="FX740" i="65"/>
  <c r="GN740" i="65" s="1"/>
  <c r="FX667" i="65"/>
  <c r="GN667" i="65" s="1"/>
  <c r="FX382" i="65"/>
  <c r="FX64" i="65"/>
  <c r="GN64" i="65" s="1"/>
  <c r="FX265" i="65"/>
  <c r="GN265" i="65" s="1"/>
  <c r="FX114" i="65"/>
  <c r="GN114" i="65" s="1"/>
  <c r="FX385" i="65"/>
  <c r="FX33" i="65"/>
  <c r="GN33" i="65" s="1"/>
  <c r="FX109" i="65"/>
  <c r="GN109" i="65" s="1"/>
  <c r="FX74" i="65"/>
  <c r="FX73" i="65"/>
  <c r="FX62" i="65"/>
  <c r="FX543" i="65"/>
  <c r="GN543" i="65" s="1"/>
  <c r="FX618" i="65"/>
  <c r="GN618" i="65" s="1"/>
  <c r="FX828" i="65"/>
  <c r="GN828" i="65" s="1"/>
  <c r="FX516" i="65"/>
  <c r="GN516" i="65" s="1"/>
  <c r="FX553" i="65"/>
  <c r="GN553" i="65" s="1"/>
  <c r="FV417" i="65"/>
  <c r="FV429" i="65"/>
  <c r="FX378" i="65"/>
  <c r="GN378" i="65" s="1"/>
  <c r="FX176" i="65"/>
  <c r="GN176" i="65" s="1"/>
  <c r="FX38" i="65"/>
  <c r="FX120" i="65"/>
  <c r="FV416" i="65"/>
  <c r="FX433" i="65"/>
  <c r="GN433" i="65" s="1"/>
  <c r="FV432" i="65"/>
  <c r="FV404" i="65"/>
  <c r="FV366" i="65"/>
  <c r="FV43" i="65"/>
  <c r="FV348" i="65"/>
  <c r="FX158" i="65"/>
  <c r="FV9" i="65"/>
  <c r="FV89" i="65"/>
  <c r="FV93" i="65"/>
  <c r="FX112" i="65"/>
  <c r="FV88" i="65"/>
  <c r="FV292" i="65"/>
  <c r="FX626" i="65"/>
  <c r="GN626" i="65" s="1"/>
  <c r="FX779" i="65"/>
  <c r="GN779" i="65" s="1"/>
  <c r="FX472" i="65"/>
  <c r="GN472" i="65" s="1"/>
  <c r="FX703" i="65"/>
  <c r="GN703" i="65" s="1"/>
  <c r="FX780" i="65"/>
  <c r="GN780" i="65" s="1"/>
  <c r="FX860" i="65"/>
  <c r="GN860" i="65" s="1"/>
  <c r="FX781" i="65"/>
  <c r="GN781" i="65" s="1"/>
  <c r="FX592" i="65"/>
  <c r="GN592" i="65" s="1"/>
  <c r="FX616" i="65"/>
  <c r="GN616" i="65" s="1"/>
  <c r="FX675" i="65"/>
  <c r="GN675" i="65" s="1"/>
  <c r="FX474" i="65"/>
  <c r="GN474" i="65" s="1"/>
  <c r="FX694" i="65"/>
  <c r="GN694" i="65" s="1"/>
  <c r="FV421" i="65"/>
  <c r="FX146" i="65"/>
  <c r="FX269" i="65"/>
  <c r="GN269" i="65" s="1"/>
  <c r="FV396" i="65"/>
  <c r="FV218" i="65"/>
  <c r="FV262" i="65"/>
  <c r="FV341" i="65"/>
  <c r="FV377" i="65"/>
  <c r="FX234" i="65"/>
  <c r="GN234" i="65" s="1"/>
  <c r="FV277" i="65"/>
  <c r="FV370" i="65"/>
  <c r="FV242" i="65"/>
  <c r="FV200" i="65"/>
  <c r="FV129" i="65"/>
  <c r="FV20" i="65"/>
  <c r="FV68" i="65"/>
  <c r="FX66" i="65"/>
  <c r="FX30" i="65"/>
  <c r="FX297" i="65"/>
  <c r="GN297" i="65" s="1"/>
  <c r="FV192" i="65"/>
  <c r="FV322" i="65"/>
  <c r="FV237" i="65"/>
  <c r="FV194" i="65"/>
  <c r="FV294" i="65"/>
  <c r="FV209" i="65"/>
  <c r="FX78" i="65"/>
  <c r="FV274" i="65"/>
  <c r="FV101" i="65"/>
  <c r="FX226" i="65"/>
  <c r="GN226" i="65" s="1"/>
  <c r="FX34" i="65"/>
  <c r="FV326" i="65"/>
  <c r="FV134" i="65"/>
  <c r="FX792" i="65"/>
  <c r="GN792" i="65" s="1"/>
  <c r="FX593" i="65"/>
  <c r="GN593" i="65" s="1"/>
  <c r="FW490" i="65"/>
  <c r="GM490" i="65" s="1"/>
  <c r="FX632" i="65"/>
  <c r="GN632" i="65" s="1"/>
  <c r="FX811" i="65"/>
  <c r="GN811" i="65" s="1"/>
  <c r="FX784" i="65"/>
  <c r="GN784" i="65" s="1"/>
  <c r="FX674" i="65"/>
  <c r="GN674" i="65" s="1"/>
  <c r="FX742" i="65"/>
  <c r="GN742" i="65" s="1"/>
  <c r="FV394" i="65"/>
  <c r="FV398" i="65"/>
  <c r="FV422" i="65"/>
  <c r="FV430" i="65"/>
  <c r="FX428" i="65"/>
  <c r="GN428" i="65" s="1"/>
  <c r="FV406" i="65"/>
  <c r="FV340" i="65"/>
  <c r="FV308" i="65"/>
  <c r="FX266" i="65"/>
  <c r="GN266" i="65" s="1"/>
  <c r="FX260" i="65"/>
  <c r="FV85" i="65"/>
  <c r="FX347" i="65"/>
  <c r="GN347" i="65" s="1"/>
  <c r="FV363" i="65"/>
  <c r="FX189" i="65"/>
  <c r="FV384" i="65"/>
  <c r="FV272" i="65"/>
  <c r="FV57" i="65"/>
  <c r="FV312" i="65"/>
  <c r="FV286" i="65"/>
  <c r="FX186" i="65"/>
  <c r="GN186" i="65" s="1"/>
  <c r="FV132" i="65"/>
  <c r="FX29" i="65"/>
  <c r="FV35" i="65"/>
  <c r="FV99" i="65"/>
  <c r="FX115" i="65"/>
  <c r="FV307" i="65"/>
  <c r="FX355" i="65"/>
  <c r="FV371" i="65"/>
  <c r="FV108" i="65"/>
  <c r="FX80" i="65"/>
  <c r="FV133" i="65"/>
  <c r="FX31" i="65"/>
  <c r="GN31" i="65" s="1"/>
  <c r="FV95" i="65"/>
  <c r="FV351" i="65"/>
  <c r="FX177" i="65"/>
  <c r="GN177" i="65" s="1"/>
  <c r="FX352" i="65"/>
  <c r="GN352" i="65" s="1"/>
  <c r="FX44" i="65"/>
  <c r="GN44" i="65" s="1"/>
  <c r="FX23" i="65"/>
  <c r="FV71" i="65"/>
  <c r="FV215" i="65"/>
  <c r="FX263" i="65"/>
  <c r="GN263" i="65" s="1"/>
  <c r="FV279" i="65"/>
  <c r="FV216" i="65"/>
  <c r="FV380" i="65"/>
  <c r="FX316" i="65"/>
  <c r="GN316" i="65" s="1"/>
  <c r="FX145" i="65"/>
  <c r="FX40" i="65"/>
  <c r="GN40" i="65" s="1"/>
  <c r="FV268" i="65"/>
  <c r="FV79" i="65"/>
  <c r="FX478" i="65"/>
  <c r="GN478" i="65" s="1"/>
  <c r="FG690" i="65"/>
  <c r="FG624" i="65"/>
  <c r="FX749" i="65"/>
  <c r="GN749" i="65" s="1"/>
  <c r="FG808" i="65"/>
  <c r="FX511" i="65"/>
  <c r="GN511" i="65" s="1"/>
  <c r="FG550" i="65"/>
  <c r="FG585" i="65"/>
  <c r="FG468" i="65"/>
  <c r="FX581" i="65"/>
  <c r="GN581" i="65" s="1"/>
  <c r="FG541" i="65"/>
  <c r="FX657" i="65"/>
  <c r="GN657" i="65" s="1"/>
  <c r="FG666" i="65"/>
  <c r="FG710" i="65"/>
  <c r="FG737" i="65"/>
  <c r="FG664" i="65"/>
  <c r="FG681" i="65"/>
  <c r="FX574" i="65"/>
  <c r="GN574" i="65" s="1"/>
  <c r="FX660" i="65"/>
  <c r="GN660" i="65" s="1"/>
  <c r="FG558" i="65"/>
  <c r="FG693" i="65"/>
  <c r="FG868" i="65"/>
  <c r="FX868" i="65"/>
  <c r="GN868" i="65" s="1"/>
  <c r="FG860" i="65"/>
  <c r="FG479" i="65"/>
  <c r="FG482" i="65"/>
  <c r="FG633" i="65"/>
  <c r="FG631" i="65"/>
  <c r="FG697" i="65"/>
  <c r="FX826" i="65"/>
  <c r="GN826" i="65" s="1"/>
  <c r="FX692" i="65"/>
  <c r="GN692" i="65" s="1"/>
  <c r="FG744" i="65"/>
  <c r="FG776" i="65"/>
  <c r="FG760" i="65"/>
  <c r="FX861" i="65"/>
  <c r="GN861" i="65" s="1"/>
  <c r="FG827" i="65"/>
  <c r="FX851" i="65"/>
  <c r="GN851" i="65" s="1"/>
  <c r="FG625" i="65"/>
  <c r="FG619" i="65"/>
  <c r="FG630" i="65"/>
  <c r="FX635" i="65"/>
  <c r="GN635" i="65" s="1"/>
  <c r="FG756" i="65"/>
  <c r="FG556" i="65"/>
  <c r="FG714" i="65"/>
  <c r="FG698" i="65"/>
  <c r="FX793" i="65"/>
  <c r="GN793" i="65" s="1"/>
  <c r="FX813" i="65"/>
  <c r="GN813" i="65" s="1"/>
  <c r="FG813" i="65"/>
  <c r="FV825" i="65"/>
  <c r="FX832" i="65"/>
  <c r="GN832" i="65" s="1"/>
  <c r="FG772" i="65"/>
  <c r="FV402" i="65"/>
  <c r="FX426" i="65"/>
  <c r="GN426" i="65" s="1"/>
  <c r="FV436" i="65"/>
  <c r="FX440" i="65"/>
  <c r="FV418" i="65"/>
  <c r="FX434" i="65"/>
  <c r="FV425" i="65"/>
  <c r="FX318" i="65"/>
  <c r="GN318" i="65" s="1"/>
  <c r="FV298" i="65"/>
  <c r="FV302" i="65"/>
  <c r="FV164" i="65"/>
  <c r="FV52" i="65"/>
  <c r="FV37" i="65"/>
  <c r="FV69" i="65"/>
  <c r="FV27" i="65"/>
  <c r="FX75" i="65"/>
  <c r="GN75" i="65" s="1"/>
  <c r="FV219" i="65"/>
  <c r="FV104" i="65"/>
  <c r="FV310" i="65"/>
  <c r="FX201" i="65"/>
  <c r="GN201" i="65" s="1"/>
  <c r="FX156" i="65"/>
  <c r="GN156" i="65" s="1"/>
  <c r="FV282" i="65"/>
  <c r="FV281" i="65"/>
  <c r="FV217" i="65"/>
  <c r="FV41" i="65"/>
  <c r="FX111" i="65"/>
  <c r="GN111" i="65" s="1"/>
  <c r="FV98" i="65"/>
  <c r="FX313" i="65"/>
  <c r="GN313" i="65" s="1"/>
  <c r="FV288" i="65"/>
  <c r="FV309" i="65"/>
  <c r="FV45" i="65"/>
  <c r="FV77" i="65"/>
  <c r="FV349" i="65"/>
  <c r="FV221" i="65"/>
  <c r="FX26" i="65"/>
  <c r="FV364" i="65"/>
  <c r="FX321" i="65"/>
  <c r="GN321" i="65" s="1"/>
  <c r="FV278" i="65"/>
  <c r="FV210" i="65"/>
  <c r="FX70" i="65"/>
  <c r="GN70" i="65" s="1"/>
  <c r="FV162" i="65"/>
  <c r="FX305" i="65"/>
  <c r="FX138" i="65"/>
  <c r="FV314" i="65"/>
  <c r="FV233" i="65"/>
  <c r="FV261" i="65"/>
  <c r="FV135" i="65"/>
  <c r="FV199" i="65"/>
  <c r="FV301" i="65"/>
  <c r="FV82" i="65"/>
  <c r="FV358" i="65"/>
  <c r="FV273" i="65"/>
  <c r="FV102" i="65"/>
  <c r="FX149" i="65"/>
  <c r="FV106" i="65"/>
  <c r="FV317" i="65"/>
  <c r="FV125" i="65"/>
  <c r="FV290" i="65"/>
  <c r="FX141" i="65"/>
  <c r="FV241" i="65"/>
  <c r="FV249" i="65"/>
  <c r="FX542" i="65"/>
  <c r="GN542" i="65" s="1"/>
  <c r="FG580" i="65"/>
  <c r="FX514" i="65"/>
  <c r="GN514" i="65" s="1"/>
  <c r="FG598" i="65"/>
  <c r="FG621" i="65"/>
  <c r="FX661" i="65"/>
  <c r="GN661" i="65" s="1"/>
  <c r="FG733" i="65"/>
  <c r="FX666" i="65"/>
  <c r="GN666" i="65" s="1"/>
  <c r="FG701" i="65"/>
  <c r="FG709" i="65"/>
  <c r="FG574" i="65"/>
  <c r="FX669" i="65"/>
  <c r="GN669" i="65" s="1"/>
  <c r="FX865" i="65"/>
  <c r="GN865" i="65" s="1"/>
  <c r="FX822" i="65"/>
  <c r="GN822" i="65" s="1"/>
  <c r="FX858" i="65"/>
  <c r="GN858" i="65" s="1"/>
  <c r="FX873" i="65"/>
  <c r="GN873" i="65" s="1"/>
  <c r="FG516" i="65"/>
  <c r="FG560" i="65"/>
  <c r="FG724" i="65"/>
  <c r="FX700" i="65"/>
  <c r="GN700" i="65" s="1"/>
  <c r="FX697" i="65"/>
  <c r="GN697" i="65" s="1"/>
  <c r="FX870" i="65"/>
  <c r="GN870" i="65" s="1"/>
  <c r="FG831" i="65"/>
  <c r="FG794" i="65"/>
  <c r="FG441" i="65"/>
  <c r="FG475" i="65"/>
  <c r="FG628" i="65"/>
  <c r="FM443" i="65"/>
  <c r="GP443" i="65" s="1"/>
  <c r="FX577" i="65"/>
  <c r="GN577" i="65" s="1"/>
  <c r="FG652" i="65"/>
  <c r="FX662" i="65"/>
  <c r="GN662" i="65" s="1"/>
  <c r="FG486" i="65"/>
  <c r="FG635" i="65"/>
  <c r="FG694" i="65"/>
  <c r="FG764" i="65"/>
  <c r="FG686" i="65"/>
  <c r="FG770" i="65"/>
  <c r="FG604" i="65"/>
  <c r="FX752" i="65"/>
  <c r="GN752" i="65" s="1"/>
  <c r="FG769" i="65"/>
  <c r="FG788" i="65"/>
  <c r="FG820" i="65"/>
  <c r="FX820" i="65"/>
  <c r="GN820" i="65" s="1"/>
  <c r="FG848" i="65"/>
  <c r="FG854" i="65"/>
  <c r="FX862" i="65"/>
  <c r="GN862" i="65" s="1"/>
  <c r="FX479" i="65"/>
  <c r="GN479" i="65" s="1"/>
  <c r="FX391" i="65"/>
  <c r="FV424" i="65"/>
  <c r="FX393" i="65"/>
  <c r="GN393" i="65" s="1"/>
  <c r="FX397" i="65"/>
  <c r="GN397" i="65" s="1"/>
  <c r="FX392" i="65"/>
  <c r="FX357" i="65"/>
  <c r="GN357" i="65" s="1"/>
  <c r="FX197" i="65"/>
  <c r="GN197" i="65" s="1"/>
  <c r="FV107" i="65"/>
  <c r="FV171" i="65"/>
  <c r="FX187" i="65"/>
  <c r="GN187" i="65" s="1"/>
  <c r="FV235" i="65"/>
  <c r="FV299" i="65"/>
  <c r="FX315" i="65"/>
  <c r="FV338" i="65"/>
  <c r="FV296" i="65"/>
  <c r="FV127" i="65"/>
  <c r="FV354" i="65"/>
  <c r="FX184" i="65"/>
  <c r="GN184" i="65" s="1"/>
  <c r="FV229" i="65"/>
  <c r="FX304" i="65"/>
  <c r="FV181" i="65"/>
  <c r="FX198" i="65"/>
  <c r="GN198" i="65" s="1"/>
  <c r="FX113" i="65"/>
  <c r="GN113" i="65" s="1"/>
  <c r="FV117" i="65"/>
  <c r="FX238" i="65"/>
  <c r="FV270" i="65"/>
  <c r="FV18" i="65"/>
  <c r="FV179" i="65"/>
  <c r="FX195" i="65"/>
  <c r="FV243" i="65"/>
  <c r="FV387" i="65"/>
  <c r="FX306" i="65"/>
  <c r="GN306" i="65" s="1"/>
  <c r="FX178" i="65"/>
  <c r="FV157" i="65"/>
  <c r="FV90" i="65"/>
  <c r="FV236" i="65"/>
  <c r="FV193" i="65"/>
  <c r="FV150" i="65"/>
  <c r="FV154" i="65"/>
  <c r="FV182" i="65"/>
  <c r="FV144" i="65"/>
  <c r="FV324" i="65"/>
  <c r="FX105" i="65"/>
  <c r="GN105" i="65" s="1"/>
  <c r="FV196" i="65"/>
  <c r="FV36" i="65"/>
  <c r="FX100" i="65"/>
  <c r="GN100" i="65" s="1"/>
  <c r="FV17" i="65"/>
  <c r="FV22" i="65"/>
  <c r="FV87" i="65"/>
  <c r="FX103" i="65"/>
  <c r="FV151" i="65"/>
  <c r="FX343" i="65"/>
  <c r="GN343" i="65" s="1"/>
  <c r="FV359" i="65"/>
  <c r="FX386" i="65"/>
  <c r="GN386" i="65" s="1"/>
  <c r="FV344" i="65"/>
  <c r="FV258" i="65"/>
  <c r="FV230" i="65"/>
  <c r="FV188" i="65"/>
  <c r="FV124" i="65"/>
  <c r="FV232" i="65"/>
  <c r="FV42" i="65"/>
  <c r="FV143" i="65"/>
  <c r="FV319" i="65"/>
  <c r="FX383" i="65"/>
  <c r="GN383" i="65" s="1"/>
  <c r="FX390" i="65"/>
  <c r="FG456" i="65"/>
  <c r="FX461" i="65"/>
  <c r="GN461" i="65" s="1"/>
  <c r="FX473" i="65"/>
  <c r="GN473" i="65" s="1"/>
  <c r="FG446" i="65"/>
  <c r="FX507" i="65"/>
  <c r="GN507" i="65" s="1"/>
  <c r="FX613" i="65"/>
  <c r="GN613" i="65" s="1"/>
  <c r="FG626" i="65"/>
  <c r="FG841" i="65"/>
  <c r="FX849" i="65"/>
  <c r="GN849" i="65" s="1"/>
  <c r="FG849" i="65"/>
  <c r="FX866" i="65"/>
  <c r="GN866" i="65" s="1"/>
  <c r="FG792" i="65"/>
  <c r="FG824" i="65"/>
  <c r="FG786" i="65"/>
  <c r="FG463" i="65"/>
  <c r="FG623" i="65"/>
  <c r="FX575" i="65"/>
  <c r="GN575" i="65" s="1"/>
  <c r="FG762" i="65"/>
  <c r="FX782" i="65"/>
  <c r="GN782" i="65" s="1"/>
  <c r="FG465" i="65"/>
  <c r="FG469" i="65"/>
  <c r="FX576" i="65"/>
  <c r="GN576" i="65" s="1"/>
  <c r="FG766" i="65"/>
  <c r="FG708" i="65"/>
  <c r="FG722" i="65"/>
  <c r="FX706" i="65"/>
  <c r="GN706" i="65" s="1"/>
  <c r="FX859" i="65"/>
  <c r="GN859" i="65" s="1"/>
  <c r="FG874" i="65"/>
  <c r="FG536" i="65"/>
  <c r="FG577" i="65"/>
  <c r="FX619" i="65"/>
  <c r="GN619" i="65" s="1"/>
  <c r="FX713" i="65"/>
  <c r="GN713" i="65" s="1"/>
  <c r="FG647" i="65"/>
  <c r="FG659" i="65"/>
  <c r="FX789" i="65"/>
  <c r="GN789" i="65" s="1"/>
  <c r="FG832" i="65"/>
  <c r="FG728" i="65"/>
  <c r="FM728" i="65"/>
  <c r="FV403" i="65"/>
  <c r="FV419" i="65"/>
  <c r="FX394" i="65"/>
  <c r="FX416" i="65"/>
  <c r="FV437" i="65"/>
  <c r="FX429" i="65"/>
  <c r="GN429" i="65" s="1"/>
  <c r="FX422" i="65"/>
  <c r="FX424" i="65"/>
  <c r="FV426" i="65"/>
  <c r="FX420" i="65"/>
  <c r="GN420" i="65" s="1"/>
  <c r="FX415" i="65"/>
  <c r="GN415" i="65" s="1"/>
  <c r="FX431" i="65"/>
  <c r="FV440" i="65"/>
  <c r="FX418" i="65"/>
  <c r="GN418" i="65" s="1"/>
  <c r="FV410" i="65"/>
  <c r="FX432" i="65"/>
  <c r="FX430" i="65"/>
  <c r="GN430" i="65" s="1"/>
  <c r="FV435" i="65"/>
  <c r="FV392" i="65"/>
  <c r="FV411" i="65"/>
  <c r="FX340" i="65"/>
  <c r="FV382" i="65"/>
  <c r="FV320" i="65"/>
  <c r="FV245" i="65"/>
  <c r="FX298" i="65"/>
  <c r="GN298" i="65" s="1"/>
  <c r="FV266" i="65"/>
  <c r="FV260" i="65"/>
  <c r="FV176" i="65"/>
  <c r="FX153" i="65"/>
  <c r="GN153" i="65" s="1"/>
  <c r="FV53" i="65"/>
  <c r="FV10" i="65"/>
  <c r="FV11" i="65"/>
  <c r="FX43" i="65"/>
  <c r="GN43" i="65" s="1"/>
  <c r="FV75" i="65"/>
  <c r="FX107" i="65"/>
  <c r="GN107" i="65" s="1"/>
  <c r="FV139" i="65"/>
  <c r="FV203" i="65"/>
  <c r="FX235" i="65"/>
  <c r="GN235" i="65" s="1"/>
  <c r="FV267" i="65"/>
  <c r="FX299" i="65"/>
  <c r="FV331" i="65"/>
  <c r="FV347" i="65"/>
  <c r="FX379" i="65"/>
  <c r="GN379" i="65" s="1"/>
  <c r="FX381" i="65"/>
  <c r="FV360" i="65"/>
  <c r="FX338" i="65"/>
  <c r="GN338" i="65" s="1"/>
  <c r="FV253" i="65"/>
  <c r="FV189" i="65"/>
  <c r="FV146" i="65"/>
  <c r="FX310" i="65"/>
  <c r="GN310" i="65" s="1"/>
  <c r="FV161" i="65"/>
  <c r="FV122" i="65"/>
  <c r="FV38" i="65"/>
  <c r="FX191" i="65"/>
  <c r="GN191" i="65" s="1"/>
  <c r="FV367" i="65"/>
  <c r="FV184" i="65"/>
  <c r="FV120" i="65"/>
  <c r="FV56" i="65"/>
  <c r="FX350" i="65"/>
  <c r="GN350" i="65" s="1"/>
  <c r="FV325" i="65"/>
  <c r="FV329" i="65"/>
  <c r="FX229" i="65"/>
  <c r="GN229" i="65" s="1"/>
  <c r="FV304" i="65"/>
  <c r="FX272" i="65"/>
  <c r="FV265" i="65"/>
  <c r="FV126" i="65"/>
  <c r="FV174" i="65"/>
  <c r="FV158" i="65"/>
  <c r="FV271" i="65"/>
  <c r="FX312" i="65"/>
  <c r="GN312" i="65" s="1"/>
  <c r="FV205" i="65"/>
  <c r="FV198" i="65"/>
  <c r="FV24" i="65"/>
  <c r="FX389" i="65"/>
  <c r="GN389" i="65" s="1"/>
  <c r="FX388" i="65"/>
  <c r="GN388" i="65" s="1"/>
  <c r="FV330" i="65"/>
  <c r="FX309" i="65"/>
  <c r="GN309" i="65" s="1"/>
  <c r="FV256" i="65"/>
  <c r="FV28" i="65"/>
  <c r="FV137" i="65"/>
  <c r="FV185" i="65"/>
  <c r="FV84" i="65"/>
  <c r="FV169" i="65"/>
  <c r="FV61" i="65"/>
  <c r="FX77" i="65"/>
  <c r="GN77" i="65" s="1"/>
  <c r="FX35" i="65"/>
  <c r="GN35" i="65" s="1"/>
  <c r="FV67" i="65"/>
  <c r="FV147" i="65"/>
  <c r="FX179" i="65"/>
  <c r="GN179" i="65" s="1"/>
  <c r="FV211" i="65"/>
  <c r="FX259" i="65"/>
  <c r="GN259" i="65" s="1"/>
  <c r="FV291" i="65"/>
  <c r="FV355" i="65"/>
  <c r="FX349" i="65"/>
  <c r="GN349" i="65" s="1"/>
  <c r="FV328" i="65"/>
  <c r="FV285" i="65"/>
  <c r="FX200" i="65"/>
  <c r="GN200" i="65" s="1"/>
  <c r="FV178" i="65"/>
  <c r="FX157" i="65"/>
  <c r="GN157" i="65" s="1"/>
  <c r="FV136" i="65"/>
  <c r="FV26" i="65"/>
  <c r="FV321" i="65"/>
  <c r="FX278" i="65"/>
  <c r="GN278" i="65" s="1"/>
  <c r="FX150" i="65"/>
  <c r="FX108" i="65"/>
  <c r="GN108" i="65" s="1"/>
  <c r="FV48" i="65"/>
  <c r="FX353" i="65"/>
  <c r="GN353" i="65" s="1"/>
  <c r="FX182" i="65"/>
  <c r="FX118" i="65"/>
  <c r="GN118" i="65" s="1"/>
  <c r="FX144" i="65"/>
  <c r="GN144" i="65" s="1"/>
  <c r="FV70" i="65"/>
  <c r="FV31" i="65"/>
  <c r="FX159" i="65"/>
  <c r="GN159" i="65" s="1"/>
  <c r="FV287" i="65"/>
  <c r="FV333" i="65"/>
  <c r="FV305" i="65"/>
  <c r="FX220" i="65"/>
  <c r="GN220" i="65" s="1"/>
  <c r="FV177" i="65"/>
  <c r="FV138" i="65"/>
  <c r="FV30" i="65"/>
  <c r="FV352" i="65"/>
  <c r="FX314" i="65"/>
  <c r="GN314" i="65" s="1"/>
  <c r="FV336" i="65"/>
  <c r="FX240" i="65"/>
  <c r="FX233" i="65"/>
  <c r="GN233" i="65" s="1"/>
  <c r="FV297" i="65"/>
  <c r="FX261" i="65"/>
  <c r="GN261" i="65" s="1"/>
  <c r="FV254" i="65"/>
  <c r="FV276" i="65"/>
  <c r="FV213" i="65"/>
  <c r="FX196" i="65"/>
  <c r="FX36" i="65"/>
  <c r="FX142" i="65"/>
  <c r="GN142" i="65" s="1"/>
  <c r="FV81" i="65"/>
  <c r="FV97" i="65"/>
  <c r="FV39" i="65"/>
  <c r="FX71" i="65"/>
  <c r="FV119" i="65"/>
  <c r="FX151" i="65"/>
  <c r="GN151" i="65" s="1"/>
  <c r="FV183" i="65"/>
  <c r="FX231" i="65"/>
  <c r="GN231" i="65" s="1"/>
  <c r="FV263" i="65"/>
  <c r="FX295" i="65"/>
  <c r="GN295" i="65" s="1"/>
  <c r="FV327" i="65"/>
  <c r="FV343" i="65"/>
  <c r="FV386" i="65"/>
  <c r="FX301" i="65"/>
  <c r="GN301" i="65" s="1"/>
  <c r="FX258" i="65"/>
  <c r="FX194" i="65"/>
  <c r="GN194" i="65" s="1"/>
  <c r="FV109" i="65"/>
  <c r="FV50" i="65"/>
  <c r="FV12" i="65"/>
  <c r="FV316" i="65"/>
  <c r="FV145" i="65"/>
  <c r="FV40" i="65"/>
  <c r="FV149" i="65"/>
  <c r="FX106" i="65"/>
  <c r="GN106" i="65" s="1"/>
  <c r="FV6" i="65"/>
  <c r="FX317" i="65"/>
  <c r="GN317" i="65" s="1"/>
  <c r="FX274" i="65"/>
  <c r="FV74" i="65"/>
  <c r="FX42" i="65"/>
  <c r="GN42" i="65" s="1"/>
  <c r="FX268" i="65"/>
  <c r="GN268" i="65" s="1"/>
  <c r="FV204" i="65"/>
  <c r="FV140" i="65"/>
  <c r="FV165" i="65"/>
  <c r="FX101" i="65"/>
  <c r="GN101" i="65" s="1"/>
  <c r="FX121" i="65"/>
  <c r="FX319" i="65"/>
  <c r="FV376" i="65"/>
  <c r="FV141" i="65"/>
  <c r="FV34" i="65"/>
  <c r="FV390" i="65"/>
  <c r="FV62" i="65"/>
  <c r="FW456" i="65"/>
  <c r="GM456" i="65" s="1"/>
  <c r="FV456" i="65"/>
  <c r="FG493" i="65"/>
  <c r="FG547" i="65"/>
  <c r="FX547" i="65"/>
  <c r="GN547" i="65" s="1"/>
  <c r="FW461" i="65"/>
  <c r="GM461" i="65" s="1"/>
  <c r="FV461" i="65"/>
  <c r="FV495" i="65"/>
  <c r="FW495" i="65"/>
  <c r="GM495" i="65" s="1"/>
  <c r="FX499" i="65"/>
  <c r="GN499" i="65" s="1"/>
  <c r="FW499" i="65"/>
  <c r="GM499" i="65" s="1"/>
  <c r="FV499" i="65"/>
  <c r="FG473" i="65"/>
  <c r="FG462" i="65"/>
  <c r="FG506" i="65"/>
  <c r="FG460" i="65"/>
  <c r="FW460" i="65"/>
  <c r="GM460" i="65" s="1"/>
  <c r="FV460" i="65"/>
  <c r="FX476" i="65"/>
  <c r="GN476" i="65" s="1"/>
  <c r="FG572" i="65"/>
  <c r="FX587" i="65"/>
  <c r="GN587" i="65" s="1"/>
  <c r="FG605" i="65"/>
  <c r="FW639" i="65"/>
  <c r="GM639" i="65" s="1"/>
  <c r="FV639" i="65"/>
  <c r="FG478" i="65"/>
  <c r="FW478" i="65"/>
  <c r="GM478" i="65" s="1"/>
  <c r="FV478" i="65"/>
  <c r="FG538" i="65"/>
  <c r="FW538" i="65"/>
  <c r="GM538" i="65" s="1"/>
  <c r="FV538" i="65"/>
  <c r="FG612" i="65"/>
  <c r="FW612" i="65"/>
  <c r="GM612" i="65" s="1"/>
  <c r="FV612" i="65"/>
  <c r="FX621" i="65"/>
  <c r="GN621" i="65" s="1"/>
  <c r="FG716" i="65"/>
  <c r="FG595" i="65"/>
  <c r="FV637" i="65"/>
  <c r="FW637" i="65"/>
  <c r="GM637" i="65" s="1"/>
  <c r="FX637" i="65"/>
  <c r="GN637" i="65" s="1"/>
  <c r="FX733" i="65"/>
  <c r="GN733" i="65" s="1"/>
  <c r="FV749" i="65"/>
  <c r="FW749" i="65"/>
  <c r="GM749" i="65" s="1"/>
  <c r="FG757" i="65"/>
  <c r="FG557" i="65"/>
  <c r="FV609" i="65"/>
  <c r="FW609" i="65"/>
  <c r="GM609" i="65" s="1"/>
  <c r="FV658" i="65"/>
  <c r="FW658" i="65"/>
  <c r="GM658" i="65" s="1"/>
  <c r="FV727" i="65"/>
  <c r="FW727" i="65"/>
  <c r="GM727" i="65" s="1"/>
  <c r="FW689" i="65"/>
  <c r="GM689" i="65" s="1"/>
  <c r="FV689" i="65"/>
  <c r="FW717" i="65"/>
  <c r="GM717" i="65" s="1"/>
  <c r="FV717" i="65"/>
  <c r="FX738" i="65"/>
  <c r="GN738" i="65" s="1"/>
  <c r="FW771" i="65"/>
  <c r="GM771" i="65" s="1"/>
  <c r="FV771" i="65"/>
  <c r="FV779" i="65"/>
  <c r="FW779" i="65"/>
  <c r="GM779" i="65" s="1"/>
  <c r="FG743" i="65"/>
  <c r="FW849" i="65"/>
  <c r="GM849" i="65" s="1"/>
  <c r="FV849" i="65"/>
  <c r="FX857" i="65"/>
  <c r="GN857" i="65" s="1"/>
  <c r="FG875" i="65"/>
  <c r="FV792" i="65"/>
  <c r="FW792" i="65"/>
  <c r="GM792" i="65" s="1"/>
  <c r="FW808" i="65"/>
  <c r="GM808" i="65" s="1"/>
  <c r="FV808" i="65"/>
  <c r="FX824" i="65"/>
  <c r="GN824" i="65" s="1"/>
  <c r="FW871" i="65"/>
  <c r="GM871" i="65" s="1"/>
  <c r="FV871" i="65"/>
  <c r="FV818" i="65"/>
  <c r="FW818" i="65"/>
  <c r="GM818" i="65" s="1"/>
  <c r="EZ36" i="65"/>
  <c r="EZ9" i="65"/>
  <c r="EZ41" i="65"/>
  <c r="EZ27" i="65"/>
  <c r="EZ85" i="65"/>
  <c r="EZ117" i="65"/>
  <c r="EZ149" i="65"/>
  <c r="EZ181" i="65"/>
  <c r="EZ213" i="65"/>
  <c r="EZ245" i="65"/>
  <c r="EZ277" i="65"/>
  <c r="EZ309" i="65"/>
  <c r="EZ341" i="65"/>
  <c r="EZ373" i="65"/>
  <c r="EZ437" i="65"/>
  <c r="EZ79" i="65"/>
  <c r="EZ143" i="65"/>
  <c r="EZ207" i="65"/>
  <c r="EZ271" i="65"/>
  <c r="EZ335" i="65"/>
  <c r="EZ367" i="65"/>
  <c r="EZ431" i="65"/>
  <c r="EZ96" i="65"/>
  <c r="EZ192" i="65"/>
  <c r="EZ256" i="65"/>
  <c r="EZ288" i="65"/>
  <c r="EZ320" i="65"/>
  <c r="EZ352" i="65"/>
  <c r="EZ384" i="65"/>
  <c r="EZ416" i="65"/>
  <c r="FV484" i="65"/>
  <c r="FW484" i="65"/>
  <c r="GM484" i="65" s="1"/>
  <c r="FV534" i="65"/>
  <c r="FW534" i="65"/>
  <c r="GM534" i="65" s="1"/>
  <c r="FX540" i="65"/>
  <c r="GN540" i="65" s="1"/>
  <c r="FX550" i="65"/>
  <c r="GN550" i="65" s="1"/>
  <c r="FV550" i="65"/>
  <c r="FW550" i="65"/>
  <c r="GM550" i="65" s="1"/>
  <c r="FV463" i="65"/>
  <c r="FW463" i="65"/>
  <c r="GM463" i="65" s="1"/>
  <c r="FX509" i="65"/>
  <c r="GN509" i="65" s="1"/>
  <c r="FW545" i="65"/>
  <c r="GM545" i="65" s="1"/>
  <c r="FV545" i="65"/>
  <c r="FG524" i="65"/>
  <c r="FV524" i="65"/>
  <c r="FW524" i="65"/>
  <c r="GM524" i="65" s="1"/>
  <c r="FV593" i="65"/>
  <c r="FW593" i="65"/>
  <c r="GM593" i="65" s="1"/>
  <c r="FX468" i="65"/>
  <c r="GN468" i="65" s="1"/>
  <c r="FG498" i="65"/>
  <c r="FW555" i="65"/>
  <c r="GM555" i="65" s="1"/>
  <c r="FV555" i="65"/>
  <c r="FV573" i="65"/>
  <c r="FW573" i="65"/>
  <c r="GM573" i="65" s="1"/>
  <c r="FG597" i="65"/>
  <c r="FX615" i="65"/>
  <c r="GN615" i="65" s="1"/>
  <c r="FW520" i="65"/>
  <c r="GM520" i="65" s="1"/>
  <c r="FV520" i="65"/>
  <c r="FX586" i="65"/>
  <c r="GN586" i="65" s="1"/>
  <c r="FW586" i="65"/>
  <c r="GM586" i="65" s="1"/>
  <c r="FV586" i="65"/>
  <c r="FG632" i="65"/>
  <c r="FG485" i="65"/>
  <c r="FX541" i="65"/>
  <c r="GN541" i="65" s="1"/>
  <c r="FW657" i="65"/>
  <c r="GM657" i="65" s="1"/>
  <c r="FV657" i="65"/>
  <c r="FX710" i="65"/>
  <c r="GN710" i="65" s="1"/>
  <c r="FG720" i="65"/>
  <c r="FX737" i="65"/>
  <c r="GN737" i="65" s="1"/>
  <c r="FG602" i="65"/>
  <c r="FG618" i="65"/>
  <c r="EZ618" i="65"/>
  <c r="FV618" i="65"/>
  <c r="FW618" i="65"/>
  <c r="GM618" i="65" s="1"/>
  <c r="FG640" i="65"/>
  <c r="FG655" i="65"/>
  <c r="FV671" i="65"/>
  <c r="FW671" i="65"/>
  <c r="GM671" i="65" s="1"/>
  <c r="FX709" i="65"/>
  <c r="GN709" i="65" s="1"/>
  <c r="FX730" i="65"/>
  <c r="GN730" i="65" s="1"/>
  <c r="FX736" i="65"/>
  <c r="GN736" i="65" s="1"/>
  <c r="FG746" i="65"/>
  <c r="FX751" i="65"/>
  <c r="GN751" i="65" s="1"/>
  <c r="FG759" i="65"/>
  <c r="FG669" i="65"/>
  <c r="FG696" i="65"/>
  <c r="FX696" i="65"/>
  <c r="GN696" i="65" s="1"/>
  <c r="FV660" i="65"/>
  <c r="FW660" i="65"/>
  <c r="GM660" i="65" s="1"/>
  <c r="FG729" i="65"/>
  <c r="FW748" i="65"/>
  <c r="GM748" i="65" s="1"/>
  <c r="FV748" i="65"/>
  <c r="FM748" i="65"/>
  <c r="FV703" i="65"/>
  <c r="FW703" i="65"/>
  <c r="GM703" i="65" s="1"/>
  <c r="FV761" i="65"/>
  <c r="FW761" i="65"/>
  <c r="GM761" i="65" s="1"/>
  <c r="FX829" i="65"/>
  <c r="GN829" i="65" s="1"/>
  <c r="FW837" i="65"/>
  <c r="GM837" i="65" s="1"/>
  <c r="FV837" i="65"/>
  <c r="FG732" i="65"/>
  <c r="FV782" i="65"/>
  <c r="FW782" i="65"/>
  <c r="GM782" i="65" s="1"/>
  <c r="FV787" i="65"/>
  <c r="FW787" i="65"/>
  <c r="GM787" i="65" s="1"/>
  <c r="FG799" i="65"/>
  <c r="FG803" i="65"/>
  <c r="EZ811" i="65"/>
  <c r="FW811" i="65"/>
  <c r="GM811" i="65" s="1"/>
  <c r="FV811" i="65"/>
  <c r="FW828" i="65"/>
  <c r="GM828" i="65" s="1"/>
  <c r="FV828" i="65"/>
  <c r="FG835" i="65"/>
  <c r="FX812" i="65"/>
  <c r="GN812" i="65" s="1"/>
  <c r="FG812" i="65"/>
  <c r="FV844" i="65"/>
  <c r="FW844" i="65"/>
  <c r="GM844" i="65" s="1"/>
  <c r="FX852" i="65"/>
  <c r="GN852" i="65" s="1"/>
  <c r="FV860" i="65"/>
  <c r="FW860" i="65"/>
  <c r="GM860" i="65" s="1"/>
  <c r="FW865" i="65"/>
  <c r="GM865" i="65" s="1"/>
  <c r="FV865" i="65"/>
  <c r="FG806" i="65"/>
  <c r="FW806" i="65"/>
  <c r="GM806" i="65" s="1"/>
  <c r="FV806" i="65"/>
  <c r="FV822" i="65"/>
  <c r="FW822" i="65"/>
  <c r="GM822" i="65" s="1"/>
  <c r="FG858" i="65"/>
  <c r="FW873" i="65"/>
  <c r="GM873" i="65" s="1"/>
  <c r="FV873" i="65"/>
  <c r="EZ24" i="65"/>
  <c r="EZ56" i="65"/>
  <c r="EZ61" i="65"/>
  <c r="EZ137" i="65"/>
  <c r="EZ169" i="65"/>
  <c r="EZ233" i="65"/>
  <c r="EZ265" i="65"/>
  <c r="EZ297" i="65"/>
  <c r="EZ329" i="65"/>
  <c r="EZ425" i="65"/>
  <c r="EZ19" i="65"/>
  <c r="EZ83" i="65"/>
  <c r="EZ147" i="65"/>
  <c r="EZ179" i="65"/>
  <c r="EZ211" i="65"/>
  <c r="EZ243" i="65"/>
  <c r="EZ307" i="65"/>
  <c r="EZ371" i="65"/>
  <c r="EZ403" i="65"/>
  <c r="EZ435" i="65"/>
  <c r="EZ68" i="65"/>
  <c r="EZ132" i="65"/>
  <c r="EZ164" i="65"/>
  <c r="EZ196" i="65"/>
  <c r="EZ260" i="65"/>
  <c r="EZ292" i="65"/>
  <c r="EZ324" i="65"/>
  <c r="EZ388" i="65"/>
  <c r="EZ420" i="65"/>
  <c r="FX465" i="65"/>
  <c r="GN465" i="65" s="1"/>
  <c r="FW487" i="65"/>
  <c r="GM487" i="65" s="1"/>
  <c r="FV487" i="65"/>
  <c r="FX535" i="65"/>
  <c r="GN535" i="65" s="1"/>
  <c r="FW447" i="65"/>
  <c r="GM447" i="65" s="1"/>
  <c r="FV447" i="65"/>
  <c r="FX464" i="65"/>
  <c r="GN464" i="65" s="1"/>
  <c r="FV512" i="65"/>
  <c r="FW512" i="65"/>
  <c r="GM512" i="65" s="1"/>
  <c r="EZ538" i="65"/>
  <c r="FW553" i="65"/>
  <c r="GM553" i="65" s="1"/>
  <c r="FV553" i="65"/>
  <c r="FV551" i="65"/>
  <c r="FW551" i="65"/>
  <c r="GM551" i="65" s="1"/>
  <c r="FG606" i="65"/>
  <c r="FW606" i="65"/>
  <c r="GM606" i="65" s="1"/>
  <c r="FV606" i="65"/>
  <c r="FX614" i="65"/>
  <c r="GN614" i="65" s="1"/>
  <c r="FV482" i="65"/>
  <c r="FW482" i="65"/>
  <c r="GM482" i="65" s="1"/>
  <c r="FV500" i="65"/>
  <c r="FW500" i="65"/>
  <c r="GM500" i="65" s="1"/>
  <c r="FG548" i="65"/>
  <c r="FW560" i="65"/>
  <c r="GM560" i="65" s="1"/>
  <c r="FV560" i="65"/>
  <c r="FW576" i="65"/>
  <c r="GM576" i="65" s="1"/>
  <c r="FV576" i="65"/>
  <c r="FW592" i="65"/>
  <c r="GM592" i="65" s="1"/>
  <c r="FV592" i="65"/>
  <c r="FG608" i="65"/>
  <c r="FV608" i="65"/>
  <c r="FW608" i="65"/>
  <c r="GM608" i="65" s="1"/>
  <c r="FX497" i="65"/>
  <c r="GN497" i="65" s="1"/>
  <c r="FV527" i="65"/>
  <c r="FW527" i="65"/>
  <c r="GM527" i="65" s="1"/>
  <c r="FV554" i="65"/>
  <c r="FW554" i="65"/>
  <c r="GM554" i="65" s="1"/>
  <c r="FX554" i="65"/>
  <c r="GN554" i="65" s="1"/>
  <c r="FX578" i="65"/>
  <c r="GN578" i="65" s="1"/>
  <c r="FV591" i="65"/>
  <c r="FW591" i="65"/>
  <c r="GM591" i="65" s="1"/>
  <c r="FG591" i="65"/>
  <c r="FV601" i="65"/>
  <c r="FW601" i="65"/>
  <c r="GM601" i="65" s="1"/>
  <c r="FG684" i="65"/>
  <c r="FX711" i="65"/>
  <c r="GN711" i="65" s="1"/>
  <c r="FV734" i="65"/>
  <c r="FW734" i="65"/>
  <c r="GM734" i="65" s="1"/>
  <c r="FG740" i="65"/>
  <c r="FW526" i="65"/>
  <c r="GM526" i="65" s="1"/>
  <c r="FV526" i="65"/>
  <c r="FX631" i="65"/>
  <c r="GN631" i="65" s="1"/>
  <c r="FX656" i="65"/>
  <c r="GN656" i="65" s="1"/>
  <c r="FW649" i="65"/>
  <c r="GM649" i="65" s="1"/>
  <c r="FV649" i="65"/>
  <c r="FX708" i="65"/>
  <c r="GN708" i="65" s="1"/>
  <c r="FG834" i="65"/>
  <c r="FV675" i="65"/>
  <c r="FW675" i="65"/>
  <c r="GM675" i="65" s="1"/>
  <c r="FV692" i="65"/>
  <c r="FW692" i="65"/>
  <c r="GM692" i="65" s="1"/>
  <c r="FV706" i="65"/>
  <c r="FW706" i="65"/>
  <c r="GM706" i="65" s="1"/>
  <c r="FG725" i="65"/>
  <c r="FG654" i="65"/>
  <c r="EZ792" i="65"/>
  <c r="EZ808" i="65"/>
  <c r="FG838" i="65"/>
  <c r="FG845" i="65"/>
  <c r="FG853" i="65"/>
  <c r="FG861" i="65"/>
  <c r="FG870" i="65"/>
  <c r="FV800" i="65"/>
  <c r="FW800" i="65"/>
  <c r="GM800" i="65" s="1"/>
  <c r="FG800" i="65"/>
  <c r="FM800" i="65"/>
  <c r="FV816" i="65"/>
  <c r="FW816" i="65"/>
  <c r="GM816" i="65" s="1"/>
  <c r="FX831" i="65"/>
  <c r="GN831" i="65" s="1"/>
  <c r="EZ871" i="65"/>
  <c r="FG741" i="65"/>
  <c r="FX827" i="65"/>
  <c r="GN827" i="65" s="1"/>
  <c r="FV851" i="65"/>
  <c r="FW851" i="65"/>
  <c r="GM851" i="65" s="1"/>
  <c r="FW859" i="65"/>
  <c r="GM859" i="65" s="1"/>
  <c r="FV859" i="65"/>
  <c r="FX867" i="65"/>
  <c r="GN867" i="65" s="1"/>
  <c r="FX874" i="65"/>
  <c r="GN874" i="65" s="1"/>
  <c r="EZ10" i="65"/>
  <c r="EZ42" i="65"/>
  <c r="EZ98" i="65"/>
  <c r="EZ162" i="65"/>
  <c r="EZ194" i="65"/>
  <c r="EZ258" i="65"/>
  <c r="EZ290" i="65"/>
  <c r="EZ322" i="65"/>
  <c r="EZ354" i="65"/>
  <c r="EZ386" i="65"/>
  <c r="EZ418" i="65"/>
  <c r="FG449" i="65"/>
  <c r="FG455" i="65"/>
  <c r="EZ461" i="65"/>
  <c r="FG466" i="65"/>
  <c r="FX466" i="65"/>
  <c r="GN466" i="65" s="1"/>
  <c r="FX480" i="65"/>
  <c r="GN480" i="65" s="1"/>
  <c r="FX508" i="65"/>
  <c r="GN508" i="65" s="1"/>
  <c r="FG532" i="65"/>
  <c r="FX536" i="65"/>
  <c r="GN536" i="65" s="1"/>
  <c r="EZ553" i="65"/>
  <c r="FX475" i="65"/>
  <c r="GN475" i="65" s="1"/>
  <c r="FW517" i="65"/>
  <c r="GM517" i="65" s="1"/>
  <c r="FV517" i="65"/>
  <c r="FW528" i="65"/>
  <c r="GM528" i="65" s="1"/>
  <c r="FV528" i="65"/>
  <c r="FX457" i="65"/>
  <c r="GN457" i="65" s="1"/>
  <c r="FG489" i="65"/>
  <c r="FW515" i="65"/>
  <c r="GM515" i="65" s="1"/>
  <c r="FV515" i="65"/>
  <c r="FX515" i="65"/>
  <c r="GN515" i="65" s="1"/>
  <c r="FG537" i="65"/>
  <c r="FX537" i="65"/>
  <c r="GN537" i="65" s="1"/>
  <c r="FV549" i="65"/>
  <c r="FW549" i="65"/>
  <c r="GM549" i="65" s="1"/>
  <c r="FX467" i="65"/>
  <c r="GN467" i="65" s="1"/>
  <c r="FG589" i="65"/>
  <c r="FX589" i="65"/>
  <c r="GN589" i="65" s="1"/>
  <c r="FV474" i="65"/>
  <c r="FW474" i="65"/>
  <c r="GM474" i="65" s="1"/>
  <c r="FG530" i="65"/>
  <c r="FG563" i="65"/>
  <c r="FX579" i="65"/>
  <c r="GN579" i="65" s="1"/>
  <c r="EZ593" i="65"/>
  <c r="FV619" i="65"/>
  <c r="FW619" i="65"/>
  <c r="GM619" i="65" s="1"/>
  <c r="FX630" i="65"/>
  <c r="GN630" i="65" s="1"/>
  <c r="FG642" i="65"/>
  <c r="FX668" i="65"/>
  <c r="GN668" i="65" s="1"/>
  <c r="FG679" i="65"/>
  <c r="FG705" i="65"/>
  <c r="FG735" i="65"/>
  <c r="FX735" i="65"/>
  <c r="GN735" i="65" s="1"/>
  <c r="EZ609" i="65"/>
  <c r="FV635" i="65"/>
  <c r="FW635" i="65"/>
  <c r="GM635" i="65" s="1"/>
  <c r="FG651" i="65"/>
  <c r="FG667" i="65"/>
  <c r="FW694" i="65"/>
  <c r="GM694" i="65" s="1"/>
  <c r="FV694" i="65"/>
  <c r="FW713" i="65"/>
  <c r="GM713" i="65" s="1"/>
  <c r="FV713" i="65"/>
  <c r="EZ727" i="65"/>
  <c r="FW647" i="65"/>
  <c r="GM647" i="65" s="1"/>
  <c r="FV647" i="65"/>
  <c r="FW659" i="65"/>
  <c r="GM659" i="65" s="1"/>
  <c r="FV659" i="65"/>
  <c r="EZ551" i="65"/>
  <c r="FX670" i="65"/>
  <c r="GN670" i="65" s="1"/>
  <c r="FW742" i="65"/>
  <c r="GM742" i="65" s="1"/>
  <c r="FV742" i="65"/>
  <c r="FV770" i="65"/>
  <c r="FW770" i="65"/>
  <c r="GM770" i="65" s="1"/>
  <c r="FG778" i="65"/>
  <c r="FV521" i="65"/>
  <c r="FW521" i="65"/>
  <c r="GM521" i="65" s="1"/>
  <c r="FX698" i="65"/>
  <c r="GN698" i="65" s="1"/>
  <c r="FG711" i="65"/>
  <c r="FW752" i="65"/>
  <c r="GM752" i="65" s="1"/>
  <c r="FV752" i="65"/>
  <c r="FV777" i="65"/>
  <c r="FW777" i="65"/>
  <c r="GM777" i="65" s="1"/>
  <c r="FX777" i="65"/>
  <c r="GN777" i="65" s="1"/>
  <c r="FV833" i="65"/>
  <c r="FW833" i="65"/>
  <c r="GM833" i="65" s="1"/>
  <c r="FW726" i="65"/>
  <c r="GM726" i="65" s="1"/>
  <c r="FV726" i="65"/>
  <c r="FX785" i="65"/>
  <c r="GN785" i="65" s="1"/>
  <c r="FG785" i="65"/>
  <c r="EZ789" i="65"/>
  <c r="FW789" i="65"/>
  <c r="GM789" i="65" s="1"/>
  <c r="FV789" i="65"/>
  <c r="FV801" i="65"/>
  <c r="FW801" i="65"/>
  <c r="GM801" i="65" s="1"/>
  <c r="FV805" i="65"/>
  <c r="FW805" i="65"/>
  <c r="GM805" i="65" s="1"/>
  <c r="FV813" i="65"/>
  <c r="FW813" i="65"/>
  <c r="GM813" i="65" s="1"/>
  <c r="FV817" i="65"/>
  <c r="FW817" i="65"/>
  <c r="GM817" i="65" s="1"/>
  <c r="FX817" i="65"/>
  <c r="GN817" i="65" s="1"/>
  <c r="FV821" i="65"/>
  <c r="FW821" i="65"/>
  <c r="GM821" i="65" s="1"/>
  <c r="FX821" i="65"/>
  <c r="GN821" i="65" s="1"/>
  <c r="FW825" i="65"/>
  <c r="GM825" i="65" s="1"/>
  <c r="FX825" i="65"/>
  <c r="GN825" i="65" s="1"/>
  <c r="FW832" i="65"/>
  <c r="GM832" i="65" s="1"/>
  <c r="FV832" i="65"/>
  <c r="FG864" i="65"/>
  <c r="FX864" i="65"/>
  <c r="GN864" i="65" s="1"/>
  <c r="FX788" i="65"/>
  <c r="GN788" i="65" s="1"/>
  <c r="FG804" i="65"/>
  <c r="FW840" i="65"/>
  <c r="GM840" i="65" s="1"/>
  <c r="FV840" i="65"/>
  <c r="FG865" i="65"/>
  <c r="FX869" i="65"/>
  <c r="GN869" i="65" s="1"/>
  <c r="FG775" i="65"/>
  <c r="FX775" i="65"/>
  <c r="GN775" i="65" s="1"/>
  <c r="FV798" i="65"/>
  <c r="FW798" i="65"/>
  <c r="GM798" i="65" s="1"/>
  <c r="FG846" i="65"/>
  <c r="FX854" i="65"/>
  <c r="GN854" i="65" s="1"/>
  <c r="FG862" i="65"/>
  <c r="FW862" i="65"/>
  <c r="GM862" i="65" s="1"/>
  <c r="FV862" i="65"/>
  <c r="EZ14" i="65"/>
  <c r="EZ70" i="65"/>
  <c r="EZ102" i="65"/>
  <c r="EZ134" i="65"/>
  <c r="EZ198" i="65"/>
  <c r="EZ230" i="65"/>
  <c r="EZ262" i="65"/>
  <c r="EZ294" i="65"/>
  <c r="EZ326" i="65"/>
  <c r="EZ358" i="65"/>
  <c r="EZ390" i="65"/>
  <c r="EZ422" i="65"/>
  <c r="FX414" i="65"/>
  <c r="GN414" i="65" s="1"/>
  <c r="FV407" i="65"/>
  <c r="FV433" i="65"/>
  <c r="FX425" i="65"/>
  <c r="FV395" i="65"/>
  <c r="FV334" i="65"/>
  <c r="FV244" i="65"/>
  <c r="FX308" i="65"/>
  <c r="FV60" i="65"/>
  <c r="FX190" i="65"/>
  <c r="GN190" i="65" s="1"/>
  <c r="FX69" i="65"/>
  <c r="GN69" i="65" s="1"/>
  <c r="FX27" i="65"/>
  <c r="FV59" i="65"/>
  <c r="FV123" i="65"/>
  <c r="FX155" i="65"/>
  <c r="GN155" i="65" s="1"/>
  <c r="FV187" i="65"/>
  <c r="FX219" i="65"/>
  <c r="GN219" i="65" s="1"/>
  <c r="FV251" i="65"/>
  <c r="FV315" i="65"/>
  <c r="FX296" i="65"/>
  <c r="FX63" i="65"/>
  <c r="GN63" i="65" s="1"/>
  <c r="FV239" i="65"/>
  <c r="FV303" i="65"/>
  <c r="FX354" i="65"/>
  <c r="FX348" i="65"/>
  <c r="GN348" i="65" s="1"/>
  <c r="FV156" i="65"/>
  <c r="FX384" i="65"/>
  <c r="GN384" i="65" s="1"/>
  <c r="FV228" i="65"/>
  <c r="FX181" i="65"/>
  <c r="GN181" i="65" s="1"/>
  <c r="FV202" i="65"/>
  <c r="FV224" i="65"/>
  <c r="FX25" i="65"/>
  <c r="FX41" i="65"/>
  <c r="GN41" i="65" s="1"/>
  <c r="FV47" i="65"/>
  <c r="FV111" i="65"/>
  <c r="FV175" i="65"/>
  <c r="FV284" i="65"/>
  <c r="FV113" i="65"/>
  <c r="FV186" i="65"/>
  <c r="FV208" i="65"/>
  <c r="FV16" i="65"/>
  <c r="FV212" i="65"/>
  <c r="FV29" i="65"/>
  <c r="FV51" i="65"/>
  <c r="FX83" i="65"/>
  <c r="GN83" i="65" s="1"/>
  <c r="FV115" i="65"/>
  <c r="FV131" i="65"/>
  <c r="FV195" i="65"/>
  <c r="FX227" i="65"/>
  <c r="GN227" i="65" s="1"/>
  <c r="FV275" i="65"/>
  <c r="FX307" i="65"/>
  <c r="GN307" i="65" s="1"/>
  <c r="FV339" i="65"/>
  <c r="FX387" i="65"/>
  <c r="GN387" i="65" s="1"/>
  <c r="FV264" i="65"/>
  <c r="FV300" i="65"/>
  <c r="FX236" i="65"/>
  <c r="FV172" i="65"/>
  <c r="FV80" i="65"/>
  <c r="FV112" i="65"/>
  <c r="FX32" i="65"/>
  <c r="FV223" i="65"/>
  <c r="FX351" i="65"/>
  <c r="GN351" i="65" s="1"/>
  <c r="FV248" i="65"/>
  <c r="FV356" i="65"/>
  <c r="FV44" i="65"/>
  <c r="FX148" i="65"/>
  <c r="GN148" i="65" s="1"/>
  <c r="FV100" i="65"/>
  <c r="FX180" i="65"/>
  <c r="FV49" i="65"/>
  <c r="FV23" i="65"/>
  <c r="FV103" i="65"/>
  <c r="FV167" i="65"/>
  <c r="FV247" i="65"/>
  <c r="FV311" i="65"/>
  <c r="FX359" i="65"/>
  <c r="FX344" i="65"/>
  <c r="FV280" i="65"/>
  <c r="FX152" i="65"/>
  <c r="GN152" i="65" s="1"/>
  <c r="FX380" i="65"/>
  <c r="FV72" i="65"/>
  <c r="FV128" i="65"/>
  <c r="FX232" i="65"/>
  <c r="GN232" i="65" s="1"/>
  <c r="FX79" i="65"/>
  <c r="FX143" i="65"/>
  <c r="FV383" i="65"/>
  <c r="FV160" i="65"/>
  <c r="FG483" i="65"/>
  <c r="FW539" i="65"/>
  <c r="GM539" i="65" s="1"/>
  <c r="FV539" i="65"/>
  <c r="FV450" i="65"/>
  <c r="FW450" i="65"/>
  <c r="GM450" i="65" s="1"/>
  <c r="FG461" i="65"/>
  <c r="FV492" i="65"/>
  <c r="FX492" i="65"/>
  <c r="GN492" i="65" s="1"/>
  <c r="FW506" i="65"/>
  <c r="GM506" i="65" s="1"/>
  <c r="FV506" i="65"/>
  <c r="FV543" i="65"/>
  <c r="FW543" i="65"/>
  <c r="GM543" i="65" s="1"/>
  <c r="FV629" i="65"/>
  <c r="FW629" i="65"/>
  <c r="GM629" i="65" s="1"/>
  <c r="FX629" i="65"/>
  <c r="GN629" i="65" s="1"/>
  <c r="FW572" i="65"/>
  <c r="GM572" i="65" s="1"/>
  <c r="FV572" i="65"/>
  <c r="FW587" i="65"/>
  <c r="GM587" i="65" s="1"/>
  <c r="FV587" i="65"/>
  <c r="FV605" i="65"/>
  <c r="FW605" i="65"/>
  <c r="GM605" i="65" s="1"/>
  <c r="EZ626" i="65"/>
  <c r="FV626" i="65"/>
  <c r="FW626" i="65"/>
  <c r="GM626" i="65" s="1"/>
  <c r="EZ634" i="65"/>
  <c r="FV634" i="65"/>
  <c r="FW634" i="65"/>
  <c r="GM634" i="65" s="1"/>
  <c r="FW510" i="65"/>
  <c r="GM510" i="65" s="1"/>
  <c r="FV510" i="65"/>
  <c r="FW570" i="65"/>
  <c r="GM570" i="65" s="1"/>
  <c r="FV570" i="65"/>
  <c r="FW588" i="65"/>
  <c r="GM588" i="65" s="1"/>
  <c r="FV588" i="65"/>
  <c r="FX588" i="65"/>
  <c r="GN588" i="65" s="1"/>
  <c r="FW598" i="65"/>
  <c r="GM598" i="65" s="1"/>
  <c r="FV598" i="65"/>
  <c r="FW695" i="65"/>
  <c r="GM695" i="65" s="1"/>
  <c r="FV695" i="65"/>
  <c r="FV567" i="65"/>
  <c r="FW567" i="65"/>
  <c r="GM567" i="65" s="1"/>
  <c r="FV830" i="65"/>
  <c r="FW830" i="65"/>
  <c r="GM830" i="65" s="1"/>
  <c r="FW653" i="65"/>
  <c r="GM653" i="65" s="1"/>
  <c r="FV653" i="65"/>
  <c r="FG689" i="65"/>
  <c r="FG717" i="65"/>
  <c r="FV738" i="65"/>
  <c r="FW738" i="65"/>
  <c r="GM738" i="65" s="1"/>
  <c r="FV687" i="65"/>
  <c r="FW687" i="65"/>
  <c r="GM687" i="65" s="1"/>
  <c r="FW718" i="65"/>
  <c r="GM718" i="65" s="1"/>
  <c r="FV718" i="65"/>
  <c r="FG857" i="65"/>
  <c r="FV773" i="65"/>
  <c r="FW773" i="65"/>
  <c r="GM773" i="65" s="1"/>
  <c r="FW824" i="65"/>
  <c r="GM824" i="65" s="1"/>
  <c r="FV824" i="65"/>
  <c r="FW847" i="65"/>
  <c r="GM847" i="65" s="1"/>
  <c r="FV847" i="65"/>
  <c r="FV802" i="65"/>
  <c r="FW802" i="65"/>
  <c r="GM802" i="65" s="1"/>
  <c r="EZ34" i="65"/>
  <c r="EZ90" i="65"/>
  <c r="EZ122" i="65"/>
  <c r="EZ154" i="65"/>
  <c r="EZ186" i="65"/>
  <c r="EZ218" i="65"/>
  <c r="EZ282" i="65"/>
  <c r="EZ314" i="65"/>
  <c r="EZ346" i="65"/>
  <c r="EZ410" i="65"/>
  <c r="FV472" i="65"/>
  <c r="FW472" i="65"/>
  <c r="GM472" i="65" s="1"/>
  <c r="FG534" i="65"/>
  <c r="EZ478" i="65"/>
  <c r="FV597" i="65"/>
  <c r="FW597" i="65"/>
  <c r="GM597" i="65" s="1"/>
  <c r="FV627" i="65"/>
  <c r="FW627" i="65"/>
  <c r="GM627" i="65" s="1"/>
  <c r="FV490" i="65"/>
  <c r="FX490" i="65"/>
  <c r="GN490" i="65" s="1"/>
  <c r="FG520" i="65"/>
  <c r="FW485" i="65"/>
  <c r="GM485" i="65" s="1"/>
  <c r="FV485" i="65"/>
  <c r="FV623" i="65"/>
  <c r="FW623" i="65"/>
  <c r="GM623" i="65" s="1"/>
  <c r="FX623" i="65"/>
  <c r="GN623" i="65" s="1"/>
  <c r="EZ637" i="65"/>
  <c r="FW650" i="65"/>
  <c r="GM650" i="65" s="1"/>
  <c r="FV650" i="65"/>
  <c r="FV666" i="65"/>
  <c r="FW666" i="65"/>
  <c r="GM666" i="65" s="1"/>
  <c r="FX672" i="65"/>
  <c r="GN672" i="65" s="1"/>
  <c r="FW701" i="65"/>
  <c r="GM701" i="65" s="1"/>
  <c r="FV701" i="65"/>
  <c r="FV720" i="65"/>
  <c r="FW720" i="65"/>
  <c r="GM720" i="65" s="1"/>
  <c r="FV470" i="65"/>
  <c r="FX470" i="65"/>
  <c r="GN470" i="65" s="1"/>
  <c r="FW470" i="65"/>
  <c r="GM470" i="65" s="1"/>
  <c r="FV523" i="65"/>
  <c r="FW523" i="65"/>
  <c r="GM523" i="65" s="1"/>
  <c r="FG648" i="65"/>
  <c r="FV648" i="65"/>
  <c r="FW648" i="65"/>
  <c r="GM648" i="65" s="1"/>
  <c r="FW664" i="65"/>
  <c r="GM664" i="65" s="1"/>
  <c r="FV664" i="65"/>
  <c r="FV681" i="65"/>
  <c r="FW681" i="65"/>
  <c r="GM681" i="65" s="1"/>
  <c r="FG687" i="65"/>
  <c r="FW709" i="65"/>
  <c r="GM709" i="65" s="1"/>
  <c r="FV709" i="65"/>
  <c r="FV730" i="65"/>
  <c r="FW730" i="65"/>
  <c r="GM730" i="65" s="1"/>
  <c r="FW736" i="65"/>
  <c r="GM736" i="65" s="1"/>
  <c r="FV736" i="65"/>
  <c r="FV751" i="65"/>
  <c r="FW751" i="65"/>
  <c r="GM751" i="65" s="1"/>
  <c r="FV767" i="65"/>
  <c r="FW767" i="65"/>
  <c r="GM767" i="65" s="1"/>
  <c r="FW641" i="65"/>
  <c r="GM641" i="65" s="1"/>
  <c r="FV641" i="65"/>
  <c r="EZ720" i="65"/>
  <c r="FV829" i="65"/>
  <c r="FW829" i="65"/>
  <c r="GM829" i="65" s="1"/>
  <c r="FG707" i="65"/>
  <c r="FX745" i="65"/>
  <c r="GN745" i="65" s="1"/>
  <c r="FW762" i="65"/>
  <c r="GM762" i="65" s="1"/>
  <c r="FV762" i="65"/>
  <c r="FX774" i="65"/>
  <c r="GN774" i="65" s="1"/>
  <c r="FG787" i="65"/>
  <c r="FV791" i="65"/>
  <c r="FW791" i="65"/>
  <c r="GM791" i="65" s="1"/>
  <c r="FV795" i="65"/>
  <c r="FW795" i="65"/>
  <c r="GM795" i="65" s="1"/>
  <c r="FW807" i="65"/>
  <c r="GM807" i="65" s="1"/>
  <c r="FV807" i="65"/>
  <c r="FG811" i="65"/>
  <c r="FW815" i="65"/>
  <c r="GM815" i="65" s="1"/>
  <c r="FV815" i="65"/>
  <c r="FW819" i="65"/>
  <c r="GM819" i="65" s="1"/>
  <c r="FV819" i="65"/>
  <c r="FX819" i="65"/>
  <c r="GN819" i="65" s="1"/>
  <c r="FW823" i="65"/>
  <c r="GM823" i="65" s="1"/>
  <c r="FV823" i="65"/>
  <c r="FX823" i="65"/>
  <c r="GN823" i="65" s="1"/>
  <c r="FW836" i="65"/>
  <c r="GM836" i="65" s="1"/>
  <c r="FV836" i="65"/>
  <c r="FW835" i="65"/>
  <c r="GM835" i="65" s="1"/>
  <c r="FV835" i="65"/>
  <c r="FV812" i="65"/>
  <c r="FW812" i="65"/>
  <c r="GM812" i="65" s="1"/>
  <c r="FG790" i="65"/>
  <c r="FG822" i="65"/>
  <c r="FV850" i="65"/>
  <c r="FW850" i="65"/>
  <c r="GM850" i="65" s="1"/>
  <c r="FW858" i="65"/>
  <c r="GM858" i="65" s="1"/>
  <c r="FV858" i="65"/>
  <c r="EZ22" i="65"/>
  <c r="EZ110" i="65"/>
  <c r="EZ142" i="65"/>
  <c r="EZ174" i="65"/>
  <c r="EZ206" i="65"/>
  <c r="EZ270" i="65"/>
  <c r="EZ302" i="65"/>
  <c r="EZ334" i="65"/>
  <c r="EZ366" i="65"/>
  <c r="EZ398" i="65"/>
  <c r="EZ430" i="65"/>
  <c r="EZ545" i="65"/>
  <c r="FW516" i="65"/>
  <c r="GM516" i="65" s="1"/>
  <c r="FV516" i="65"/>
  <c r="FW469" i="65"/>
  <c r="GM469" i="65" s="1"/>
  <c r="FV469" i="65"/>
  <c r="EZ456" i="65"/>
  <c r="FV596" i="65"/>
  <c r="FW596" i="65"/>
  <c r="GM596" i="65" s="1"/>
  <c r="EZ469" i="65"/>
  <c r="FV513" i="65"/>
  <c r="FW513" i="65"/>
  <c r="GM513" i="65" s="1"/>
  <c r="FX513" i="65"/>
  <c r="GN513" i="65" s="1"/>
  <c r="FX584" i="65"/>
  <c r="GN584" i="65" s="1"/>
  <c r="EZ588" i="65"/>
  <c r="FW562" i="65"/>
  <c r="GM562" i="65" s="1"/>
  <c r="FV562" i="65"/>
  <c r="FX673" i="65"/>
  <c r="GN673" i="65" s="1"/>
  <c r="FW684" i="65"/>
  <c r="GM684" i="65" s="1"/>
  <c r="FV684" i="65"/>
  <c r="FV724" i="65"/>
  <c r="FW724" i="65"/>
  <c r="GM724" i="65" s="1"/>
  <c r="FV758" i="65"/>
  <c r="FW758" i="65"/>
  <c r="GM758" i="65" s="1"/>
  <c r="FG526" i="65"/>
  <c r="FV633" i="65"/>
  <c r="FW633" i="65"/>
  <c r="GM633" i="65" s="1"/>
  <c r="EZ641" i="65"/>
  <c r="EZ658" i="65"/>
  <c r="FW731" i="65"/>
  <c r="GM731" i="65" s="1"/>
  <c r="FV731" i="65"/>
  <c r="FW656" i="65"/>
  <c r="GM656" i="65" s="1"/>
  <c r="FV656" i="65"/>
  <c r="FW697" i="65"/>
  <c r="GM697" i="65" s="1"/>
  <c r="FV697" i="65"/>
  <c r="FW708" i="65"/>
  <c r="GM708" i="65" s="1"/>
  <c r="FV708" i="65"/>
  <c r="FW722" i="65"/>
  <c r="GM722" i="65" s="1"/>
  <c r="FV722" i="65"/>
  <c r="FV834" i="65"/>
  <c r="FW834" i="65"/>
  <c r="GM834" i="65" s="1"/>
  <c r="FX663" i="65"/>
  <c r="GN663" i="65" s="1"/>
  <c r="FW763" i="65"/>
  <c r="GM763" i="65" s="1"/>
  <c r="FV763" i="65"/>
  <c r="FV776" i="65"/>
  <c r="FW776" i="65"/>
  <c r="GM776" i="65" s="1"/>
  <c r="EZ524" i="65"/>
  <c r="FW654" i="65"/>
  <c r="GM654" i="65" s="1"/>
  <c r="FV654" i="65"/>
  <c r="FV712" i="65"/>
  <c r="FW712" i="65"/>
  <c r="GM712" i="65" s="1"/>
  <c r="FV838" i="65"/>
  <c r="FW838" i="65"/>
  <c r="GM838" i="65" s="1"/>
  <c r="FW861" i="65"/>
  <c r="GM861" i="65" s="1"/>
  <c r="FV861" i="65"/>
  <c r="FV870" i="65"/>
  <c r="FW870" i="65"/>
  <c r="GM870" i="65" s="1"/>
  <c r="FW755" i="65"/>
  <c r="GM755" i="65" s="1"/>
  <c r="FV755" i="65"/>
  <c r="FW831" i="65"/>
  <c r="GM831" i="65" s="1"/>
  <c r="FV831" i="65"/>
  <c r="EZ847" i="65"/>
  <c r="FV827" i="65"/>
  <c r="FW827" i="65"/>
  <c r="GM827" i="65" s="1"/>
  <c r="FW843" i="65"/>
  <c r="GM843" i="65" s="1"/>
  <c r="FV843" i="65"/>
  <c r="FW867" i="65"/>
  <c r="GM867" i="65" s="1"/>
  <c r="FV867" i="65"/>
  <c r="FW874" i="65"/>
  <c r="GM874" i="65" s="1"/>
  <c r="FV874" i="65"/>
  <c r="EZ28" i="65"/>
  <c r="EZ60" i="65"/>
  <c r="EZ65" i="65"/>
  <c r="EZ77" i="65"/>
  <c r="EZ109" i="65"/>
  <c r="EZ141" i="65"/>
  <c r="EZ205" i="65"/>
  <c r="EZ237" i="65"/>
  <c r="EZ301" i="65"/>
  <c r="EZ333" i="65"/>
  <c r="EZ429" i="65"/>
  <c r="EZ35" i="65"/>
  <c r="EZ87" i="65"/>
  <c r="EZ119" i="65"/>
  <c r="EZ151" i="65"/>
  <c r="EZ183" i="65"/>
  <c r="EZ215" i="65"/>
  <c r="EZ247" i="65"/>
  <c r="EZ279" i="65"/>
  <c r="EZ311" i="65"/>
  <c r="EZ343" i="65"/>
  <c r="EZ375" i="65"/>
  <c r="EZ407" i="65"/>
  <c r="EZ439" i="65"/>
  <c r="EZ72" i="65"/>
  <c r="EZ104" i="65"/>
  <c r="EZ136" i="65"/>
  <c r="EZ168" i="65"/>
  <c r="EZ200" i="65"/>
  <c r="EZ232" i="65"/>
  <c r="EZ264" i="65"/>
  <c r="EZ296" i="65"/>
  <c r="EZ328" i="65"/>
  <c r="EZ360" i="65"/>
  <c r="EZ392" i="65"/>
  <c r="EZ424" i="65"/>
  <c r="FV536" i="65"/>
  <c r="FW536" i="65"/>
  <c r="GM536" i="65" s="1"/>
  <c r="EZ460" i="65"/>
  <c r="EZ490" i="65"/>
  <c r="EZ513" i="65"/>
  <c r="FG528" i="65"/>
  <c r="EZ597" i="65"/>
  <c r="FV457" i="65"/>
  <c r="FW457" i="65"/>
  <c r="GM457" i="65" s="1"/>
  <c r="FW561" i="65"/>
  <c r="GM561" i="65" s="1"/>
  <c r="FV561" i="65"/>
  <c r="FW577" i="65"/>
  <c r="GM577" i="65" s="1"/>
  <c r="FV577" i="65"/>
  <c r="FG467" i="65"/>
  <c r="FV589" i="65"/>
  <c r="FW589" i="65"/>
  <c r="GM589" i="65" s="1"/>
  <c r="FW638" i="65"/>
  <c r="GM638" i="65" s="1"/>
  <c r="FV638" i="65"/>
  <c r="FG474" i="65"/>
  <c r="FW652" i="65"/>
  <c r="GM652" i="65" s="1"/>
  <c r="FV652" i="65"/>
  <c r="FW668" i="65"/>
  <c r="GM668" i="65" s="1"/>
  <c r="FV668" i="65"/>
  <c r="FG695" i="65"/>
  <c r="FV622" i="65"/>
  <c r="FW622" i="65"/>
  <c r="GM622" i="65" s="1"/>
  <c r="FV704" i="65"/>
  <c r="FW704" i="65"/>
  <c r="GM704" i="65" s="1"/>
  <c r="FG713" i="65"/>
  <c r="FW756" i="65"/>
  <c r="GM756" i="65" s="1"/>
  <c r="FV756" i="65"/>
  <c r="FV556" i="65"/>
  <c r="FW556" i="65"/>
  <c r="GM556" i="65" s="1"/>
  <c r="FV686" i="65"/>
  <c r="FW686" i="65"/>
  <c r="GM686" i="65" s="1"/>
  <c r="FV714" i="65"/>
  <c r="FW714" i="65"/>
  <c r="GM714" i="65" s="1"/>
  <c r="FV604" i="65"/>
  <c r="FW604" i="65"/>
  <c r="GM604" i="65" s="1"/>
  <c r="FV698" i="65"/>
  <c r="FW698" i="65"/>
  <c r="GM698" i="65" s="1"/>
  <c r="EZ734" i="65"/>
  <c r="EZ728" i="65"/>
  <c r="FV728" i="65"/>
  <c r="FW728" i="65"/>
  <c r="GM728" i="65" s="1"/>
  <c r="FW772" i="65"/>
  <c r="GM772" i="65" s="1"/>
  <c r="FV772" i="65"/>
  <c r="FW788" i="65"/>
  <c r="GM788" i="65" s="1"/>
  <c r="FV788" i="65"/>
  <c r="EZ874" i="65"/>
  <c r="EZ837" i="65"/>
  <c r="FW869" i="65"/>
  <c r="GM869" i="65" s="1"/>
  <c r="FV869" i="65"/>
  <c r="FW846" i="65"/>
  <c r="GM846" i="65" s="1"/>
  <c r="FV846" i="65"/>
  <c r="EZ32" i="65"/>
  <c r="EZ37" i="65"/>
  <c r="EZ11" i="65"/>
  <c r="EZ81" i="65"/>
  <c r="EZ113" i="65"/>
  <c r="EZ145" i="65"/>
  <c r="EZ177" i="65"/>
  <c r="EZ209" i="65"/>
  <c r="EZ241" i="65"/>
  <c r="EZ273" i="65"/>
  <c r="EZ305" i="65"/>
  <c r="EZ337" i="65"/>
  <c r="EZ369" i="65"/>
  <c r="EZ401" i="65"/>
  <c r="EZ433" i="65"/>
  <c r="EZ51" i="65"/>
  <c r="EZ91" i="65"/>
  <c r="EZ123" i="65"/>
  <c r="EZ155" i="65"/>
  <c r="EZ187" i="65"/>
  <c r="EZ219" i="65"/>
  <c r="EZ251" i="65"/>
  <c r="EZ283" i="65"/>
  <c r="EZ315" i="65"/>
  <c r="EZ347" i="65"/>
  <c r="EZ379" i="65"/>
  <c r="EZ411" i="65"/>
  <c r="EZ92" i="65"/>
  <c r="EZ124" i="65"/>
  <c r="EZ156" i="65"/>
  <c r="EZ188" i="65"/>
  <c r="EZ220" i="65"/>
  <c r="EZ252" i="65"/>
  <c r="EZ284" i="65"/>
  <c r="EZ316" i="65"/>
  <c r="EZ348" i="65"/>
  <c r="EZ380" i="65"/>
  <c r="EZ412" i="65"/>
  <c r="FV391" i="65"/>
  <c r="FV423" i="65"/>
  <c r="FX439" i="65"/>
  <c r="GN439" i="65" s="1"/>
  <c r="FV408" i="65"/>
  <c r="FV405" i="65"/>
  <c r="FV393" i="65"/>
  <c r="FX436" i="65"/>
  <c r="GN436" i="65" s="1"/>
  <c r="FV397" i="65"/>
  <c r="FV434" i="65"/>
  <c r="FV413" i="65"/>
  <c r="FV428" i="65"/>
  <c r="FV400" i="65"/>
  <c r="FX421" i="65"/>
  <c r="GN421" i="65" s="1"/>
  <c r="FV409" i="65"/>
  <c r="FX427" i="65"/>
  <c r="GN427" i="65" s="1"/>
  <c r="FX438" i="65"/>
  <c r="GN438" i="65" s="1"/>
  <c r="FX417" i="65"/>
  <c r="FX396" i="65"/>
  <c r="FV357" i="65"/>
  <c r="FV378" i="65"/>
  <c r="FV318" i="65"/>
  <c r="FX302" i="65"/>
  <c r="FV197" i="65"/>
  <c r="FX116" i="65"/>
  <c r="GN116" i="65" s="1"/>
  <c r="FX110" i="65"/>
  <c r="GN110" i="65" s="1"/>
  <c r="FV21" i="65"/>
  <c r="FX37" i="65"/>
  <c r="GN37" i="65" s="1"/>
  <c r="FX104" i="65"/>
  <c r="GN104" i="65" s="1"/>
  <c r="FV246" i="65"/>
  <c r="FV64" i="65"/>
  <c r="FV201" i="65"/>
  <c r="FV269" i="65"/>
  <c r="FX262" i="65"/>
  <c r="GN262" i="65" s="1"/>
  <c r="FX341" i="65"/>
  <c r="FV362" i="65"/>
  <c r="FX377" i="65"/>
  <c r="GN377" i="65" s="1"/>
  <c r="FV250" i="65"/>
  <c r="FV76" i="65"/>
  <c r="FX117" i="65"/>
  <c r="GN117" i="65" s="1"/>
  <c r="FX346" i="65"/>
  <c r="GN346" i="65" s="1"/>
  <c r="FV361" i="65"/>
  <c r="FX345" i="65"/>
  <c r="FV313" i="65"/>
  <c r="FV234" i="65"/>
  <c r="FV238" i="65"/>
  <c r="FX277" i="65"/>
  <c r="FX270" i="65"/>
  <c r="GN270" i="65" s="1"/>
  <c r="FV13" i="65"/>
  <c r="FX45" i="65"/>
  <c r="GN45" i="65" s="1"/>
  <c r="FV306" i="65"/>
  <c r="FX221" i="65"/>
  <c r="GN221" i="65" s="1"/>
  <c r="FV114" i="65"/>
  <c r="FV385" i="65"/>
  <c r="FV342" i="65"/>
  <c r="FX257" i="65"/>
  <c r="GN257" i="65" s="1"/>
  <c r="FV214" i="65"/>
  <c r="FX193" i="65"/>
  <c r="GN193" i="65" s="1"/>
  <c r="FX154" i="65"/>
  <c r="FV54" i="65"/>
  <c r="FV289" i="65"/>
  <c r="FV225" i="65"/>
  <c r="FX68" i="65"/>
  <c r="FV66" i="65"/>
  <c r="FV293" i="65"/>
  <c r="FX192" i="65"/>
  <c r="GN192" i="65" s="1"/>
  <c r="FV105" i="65"/>
  <c r="FX222" i="65"/>
  <c r="GN222" i="65" s="1"/>
  <c r="FV33" i="65"/>
  <c r="FX65" i="65"/>
  <c r="FX22" i="65"/>
  <c r="FX199" i="65"/>
  <c r="GN199" i="65" s="1"/>
  <c r="FV365" i="65"/>
  <c r="FX237" i="65"/>
  <c r="FV173" i="65"/>
  <c r="FV130" i="65"/>
  <c r="FX82" i="65"/>
  <c r="GN82" i="65" s="1"/>
  <c r="FX358" i="65"/>
  <c r="GN358" i="65" s="1"/>
  <c r="FX273" i="65"/>
  <c r="FX230" i="65"/>
  <c r="GN230" i="65" s="1"/>
  <c r="FX188" i="65"/>
  <c r="GN188" i="65" s="1"/>
  <c r="FV166" i="65"/>
  <c r="FX102" i="65"/>
  <c r="FV170" i="65"/>
  <c r="FV78" i="65"/>
  <c r="FV46" i="65"/>
  <c r="FV73" i="65"/>
  <c r="FV226" i="65"/>
  <c r="GP249" i="65"/>
  <c r="EZ450" i="65"/>
  <c r="FW471" i="65"/>
  <c r="GM471" i="65" s="1"/>
  <c r="FV471" i="65"/>
  <c r="FW483" i="65"/>
  <c r="GM483" i="65" s="1"/>
  <c r="FV483" i="65"/>
  <c r="FV493" i="65"/>
  <c r="FW493" i="65"/>
  <c r="GM493" i="65" s="1"/>
  <c r="FV519" i="65"/>
  <c r="FW519" i="65"/>
  <c r="GM519" i="65" s="1"/>
  <c r="FG539" i="65"/>
  <c r="FX539" i="65"/>
  <c r="GN539" i="65" s="1"/>
  <c r="FV547" i="65"/>
  <c r="FW547" i="65"/>
  <c r="GM547" i="65" s="1"/>
  <c r="FG533" i="65"/>
  <c r="FW473" i="65"/>
  <c r="GM473" i="65" s="1"/>
  <c r="FV473" i="65"/>
  <c r="FV462" i="65"/>
  <c r="FW462" i="65"/>
  <c r="GM462" i="65" s="1"/>
  <c r="FW492" i="65"/>
  <c r="GM492" i="65" s="1"/>
  <c r="FX506" i="65"/>
  <c r="GN506" i="65" s="1"/>
  <c r="EZ519" i="65"/>
  <c r="FG543" i="65"/>
  <c r="FG629" i="65"/>
  <c r="FW507" i="65"/>
  <c r="GM507" i="65" s="1"/>
  <c r="FV507" i="65"/>
  <c r="EZ542" i="65"/>
  <c r="FV542" i="65"/>
  <c r="FW542" i="65"/>
  <c r="GM542" i="65" s="1"/>
  <c r="FX580" i="65"/>
  <c r="GN580" i="65" s="1"/>
  <c r="FV613" i="65"/>
  <c r="FW613" i="65"/>
  <c r="GM613" i="65" s="1"/>
  <c r="FG634" i="65"/>
  <c r="FX634" i="65"/>
  <c r="GN634" i="65" s="1"/>
  <c r="FX477" i="65"/>
  <c r="GN477" i="65" s="1"/>
  <c r="FW477" i="65"/>
  <c r="GM477" i="65" s="1"/>
  <c r="FV477" i="65"/>
  <c r="FV544" i="65"/>
  <c r="FW544" i="65"/>
  <c r="GM544" i="65" s="1"/>
  <c r="FV514" i="65"/>
  <c r="FW514" i="65"/>
  <c r="GM514" i="65" s="1"/>
  <c r="FV595" i="65"/>
  <c r="FW595" i="65"/>
  <c r="GM595" i="65" s="1"/>
  <c r="FX624" i="65"/>
  <c r="GN624" i="65" s="1"/>
  <c r="FW645" i="65"/>
  <c r="GM645" i="65" s="1"/>
  <c r="FV645" i="65"/>
  <c r="FW661" i="65"/>
  <c r="GM661" i="65" s="1"/>
  <c r="FV661" i="65"/>
  <c r="FW679" i="65"/>
  <c r="GM679" i="65" s="1"/>
  <c r="FV679" i="65"/>
  <c r="FV733" i="65"/>
  <c r="FW733" i="65"/>
  <c r="GM733" i="65" s="1"/>
  <c r="FG765" i="65"/>
  <c r="FV765" i="65"/>
  <c r="FW765" i="65"/>
  <c r="GM765" i="65" s="1"/>
  <c r="FV678" i="65"/>
  <c r="FW678" i="65"/>
  <c r="GM678" i="65" s="1"/>
  <c r="FV557" i="65"/>
  <c r="FW557" i="65"/>
  <c r="GM557" i="65" s="1"/>
  <c r="FX830" i="65"/>
  <c r="GN830" i="65" s="1"/>
  <c r="FX611" i="65"/>
  <c r="GN611" i="65" s="1"/>
  <c r="FW676" i="65"/>
  <c r="GM676" i="65" s="1"/>
  <c r="FV676" i="65"/>
  <c r="FV743" i="65"/>
  <c r="FW743" i="65"/>
  <c r="GM743" i="65" s="1"/>
  <c r="FX743" i="65"/>
  <c r="GN743" i="65" s="1"/>
  <c r="EZ773" i="65"/>
  <c r="FW857" i="65"/>
  <c r="GM857" i="65" s="1"/>
  <c r="FV857" i="65"/>
  <c r="FV866" i="65"/>
  <c r="FW866" i="65"/>
  <c r="GM866" i="65" s="1"/>
  <c r="FG866" i="65"/>
  <c r="FV875" i="65"/>
  <c r="FW875" i="65"/>
  <c r="GM875" i="65" s="1"/>
  <c r="FX863" i="65"/>
  <c r="GN863" i="65" s="1"/>
  <c r="FW721" i="65"/>
  <c r="GM721" i="65" s="1"/>
  <c r="FV721" i="65"/>
  <c r="FX786" i="65"/>
  <c r="GN786" i="65" s="1"/>
  <c r="EZ20" i="65"/>
  <c r="EZ52" i="65"/>
  <c r="EZ25" i="65"/>
  <c r="EZ57" i="65"/>
  <c r="EZ69" i="65"/>
  <c r="EZ101" i="65"/>
  <c r="EZ133" i="65"/>
  <c r="EZ165" i="65"/>
  <c r="EZ197" i="65"/>
  <c r="EZ229" i="65"/>
  <c r="EZ261" i="65"/>
  <c r="EZ293" i="65"/>
  <c r="EZ325" i="65"/>
  <c r="EZ357" i="65"/>
  <c r="EZ389" i="65"/>
  <c r="EZ421" i="65"/>
  <c r="EZ47" i="65"/>
  <c r="EZ59" i="65"/>
  <c r="EZ95" i="65"/>
  <c r="EZ127" i="65"/>
  <c r="EZ159" i="65"/>
  <c r="EZ191" i="65"/>
  <c r="EZ223" i="65"/>
  <c r="EZ255" i="65"/>
  <c r="EZ287" i="65"/>
  <c r="EZ319" i="65"/>
  <c r="EZ351" i="65"/>
  <c r="EZ383" i="65"/>
  <c r="EZ415" i="65"/>
  <c r="EZ7" i="65"/>
  <c r="EZ80" i="65"/>
  <c r="EZ112" i="65"/>
  <c r="EZ144" i="65"/>
  <c r="EZ176" i="65"/>
  <c r="EZ208" i="65"/>
  <c r="EZ240" i="65"/>
  <c r="EZ272" i="65"/>
  <c r="EZ304" i="65"/>
  <c r="EZ336" i="65"/>
  <c r="EZ368" i="65"/>
  <c r="EZ400" i="65"/>
  <c r="EZ432" i="65"/>
  <c r="FW445" i="65"/>
  <c r="GM445" i="65" s="1"/>
  <c r="FV445" i="65"/>
  <c r="FV453" i="65"/>
  <c r="FW453" i="65"/>
  <c r="GM453" i="65" s="1"/>
  <c r="FV444" i="65"/>
  <c r="FW444" i="65"/>
  <c r="GM444" i="65" s="1"/>
  <c r="FW511" i="65"/>
  <c r="GM511" i="65" s="1"/>
  <c r="FV511" i="65"/>
  <c r="FV525" i="65"/>
  <c r="FW525" i="65"/>
  <c r="GM525" i="65" s="1"/>
  <c r="FG540" i="65"/>
  <c r="FW540" i="65"/>
  <c r="GM540" i="65" s="1"/>
  <c r="FV540" i="65"/>
  <c r="FW509" i="65"/>
  <c r="GM509" i="65" s="1"/>
  <c r="FV509" i="65"/>
  <c r="FV585" i="65"/>
  <c r="FW585" i="65"/>
  <c r="GM585" i="65" s="1"/>
  <c r="FV468" i="65"/>
  <c r="FW468" i="65"/>
  <c r="GM468" i="65" s="1"/>
  <c r="EZ498" i="65"/>
  <c r="FV498" i="65"/>
  <c r="FW498" i="65"/>
  <c r="GM498" i="65" s="1"/>
  <c r="FW565" i="65"/>
  <c r="GM565" i="65" s="1"/>
  <c r="FV565" i="65"/>
  <c r="FG581" i="65"/>
  <c r="FW581" i="65"/>
  <c r="GM581" i="65" s="1"/>
  <c r="FV581" i="65"/>
  <c r="FV607" i="65"/>
  <c r="FW607" i="65"/>
  <c r="GM607" i="65" s="1"/>
  <c r="FV615" i="65"/>
  <c r="FW615" i="65"/>
  <c r="GM615" i="65" s="1"/>
  <c r="FX627" i="65"/>
  <c r="GN627" i="65" s="1"/>
  <c r="FV610" i="65"/>
  <c r="FW610" i="65"/>
  <c r="GM610" i="65" s="1"/>
  <c r="FV632" i="65"/>
  <c r="FW632" i="65"/>
  <c r="GM632" i="65" s="1"/>
  <c r="FV571" i="65"/>
  <c r="FW571" i="65"/>
  <c r="GM571" i="65" s="1"/>
  <c r="FV599" i="65"/>
  <c r="FW599" i="65"/>
  <c r="GM599" i="65" s="1"/>
  <c r="EZ733" i="65"/>
  <c r="FW737" i="65"/>
  <c r="GM737" i="65" s="1"/>
  <c r="FV737" i="65"/>
  <c r="EZ749" i="65"/>
  <c r="EZ765" i="65"/>
  <c r="FG523" i="65"/>
  <c r="FX655" i="65"/>
  <c r="GN655" i="65" s="1"/>
  <c r="FW655" i="65"/>
  <c r="GM655" i="65" s="1"/>
  <c r="FV655" i="65"/>
  <c r="FX664" i="65"/>
  <c r="GN664" i="65" s="1"/>
  <c r="FV746" i="65"/>
  <c r="FW746" i="65"/>
  <c r="GM746" i="65" s="1"/>
  <c r="FG751" i="65"/>
  <c r="FG767" i="65"/>
  <c r="FV574" i="65"/>
  <c r="FW574" i="65"/>
  <c r="GM574" i="65" s="1"/>
  <c r="FV669" i="65"/>
  <c r="FW669" i="65"/>
  <c r="GM669" i="65" s="1"/>
  <c r="FV680" i="65"/>
  <c r="FW680" i="65"/>
  <c r="GM680" i="65" s="1"/>
  <c r="FV707" i="65"/>
  <c r="FW707" i="65"/>
  <c r="GM707" i="65" s="1"/>
  <c r="FW575" i="65"/>
  <c r="GM575" i="65" s="1"/>
  <c r="FV575" i="65"/>
  <c r="FG677" i="65"/>
  <c r="FV677" i="65"/>
  <c r="FW677" i="65"/>
  <c r="GM677" i="65" s="1"/>
  <c r="FW729" i="65"/>
  <c r="GM729" i="65" s="1"/>
  <c r="FV729" i="65"/>
  <c r="FX665" i="65"/>
  <c r="GN665" i="65" s="1"/>
  <c r="FW665" i="65"/>
  <c r="GM665" i="65" s="1"/>
  <c r="FV665" i="65"/>
  <c r="FW693" i="65"/>
  <c r="GM693" i="65" s="1"/>
  <c r="FV693" i="65"/>
  <c r="FV732" i="65"/>
  <c r="FW732" i="65"/>
  <c r="GM732" i="65" s="1"/>
  <c r="FX791" i="65"/>
  <c r="GN791" i="65" s="1"/>
  <c r="FG791" i="65"/>
  <c r="FG795" i="65"/>
  <c r="FG807" i="65"/>
  <c r="FX815" i="65"/>
  <c r="GN815" i="65" s="1"/>
  <c r="FG815" i="65"/>
  <c r="FG819" i="65"/>
  <c r="FG823" i="65"/>
  <c r="FW868" i="65"/>
  <c r="GM868" i="65" s="1"/>
  <c r="FV868" i="65"/>
  <c r="FV780" i="65"/>
  <c r="FW780" i="65"/>
  <c r="GM780" i="65" s="1"/>
  <c r="FV796" i="65"/>
  <c r="FW796" i="65"/>
  <c r="GM796" i="65" s="1"/>
  <c r="FW781" i="65"/>
  <c r="GM781" i="65" s="1"/>
  <c r="FV781" i="65"/>
  <c r="EZ858" i="65"/>
  <c r="FX790" i="65"/>
  <c r="GN790" i="65" s="1"/>
  <c r="FG850" i="65"/>
  <c r="FX850" i="65"/>
  <c r="GN850" i="65" s="1"/>
  <c r="EZ866" i="65"/>
  <c r="EZ8" i="65"/>
  <c r="EZ40" i="65"/>
  <c r="EZ13" i="65"/>
  <c r="EZ45" i="65"/>
  <c r="EZ43" i="65"/>
  <c r="EZ89" i="65"/>
  <c r="EZ121" i="65"/>
  <c r="EZ153" i="65"/>
  <c r="EZ185" i="65"/>
  <c r="EZ217" i="65"/>
  <c r="EZ249" i="65"/>
  <c r="EZ281" i="65"/>
  <c r="EZ313" i="65"/>
  <c r="EZ345" i="65"/>
  <c r="EZ377" i="65"/>
  <c r="EZ409" i="65"/>
  <c r="EZ6" i="65"/>
  <c r="EZ67" i="65"/>
  <c r="EZ99" i="65"/>
  <c r="EZ131" i="65"/>
  <c r="EZ163" i="65"/>
  <c r="EZ195" i="65"/>
  <c r="EZ227" i="65"/>
  <c r="EZ259" i="65"/>
  <c r="EZ291" i="65"/>
  <c r="EZ323" i="65"/>
  <c r="EZ355" i="65"/>
  <c r="EZ387" i="65"/>
  <c r="EZ419" i="65"/>
  <c r="EZ23" i="65"/>
  <c r="EZ84" i="65"/>
  <c r="EZ116" i="65"/>
  <c r="EZ148" i="65"/>
  <c r="EZ180" i="65"/>
  <c r="EZ212" i="65"/>
  <c r="EZ244" i="65"/>
  <c r="EZ276" i="65"/>
  <c r="EZ308" i="65"/>
  <c r="EZ340" i="65"/>
  <c r="EZ372" i="65"/>
  <c r="EZ404" i="65"/>
  <c r="EZ436" i="65"/>
  <c r="FW479" i="65"/>
  <c r="GM479" i="65" s="1"/>
  <c r="FV479" i="65"/>
  <c r="FX505" i="65"/>
  <c r="GN505" i="65" s="1"/>
  <c r="FG464" i="65"/>
  <c r="FW464" i="65"/>
  <c r="GM464" i="65" s="1"/>
  <c r="FV464" i="65"/>
  <c r="FV502" i="65"/>
  <c r="FW502" i="65"/>
  <c r="GM502" i="65" s="1"/>
  <c r="FV546" i="65"/>
  <c r="FW546" i="65"/>
  <c r="GM546" i="65" s="1"/>
  <c r="FX469" i="65"/>
  <c r="GN469" i="65" s="1"/>
  <c r="FW501" i="65"/>
  <c r="GM501" i="65" s="1"/>
  <c r="FV501" i="65"/>
  <c r="FX501" i="65"/>
  <c r="GN501" i="65" s="1"/>
  <c r="FV614" i="65"/>
  <c r="FW614" i="65"/>
  <c r="GM614" i="65" s="1"/>
  <c r="FW522" i="65"/>
  <c r="GM522" i="65" s="1"/>
  <c r="FV522" i="65"/>
  <c r="FV529" i="65"/>
  <c r="FW529" i="65"/>
  <c r="GM529" i="65" s="1"/>
  <c r="FV568" i="65"/>
  <c r="FW568" i="65"/>
  <c r="GM568" i="65" s="1"/>
  <c r="FG600" i="65"/>
  <c r="FW600" i="65"/>
  <c r="GM600" i="65" s="1"/>
  <c r="FV600" i="65"/>
  <c r="FW616" i="65"/>
  <c r="GM616" i="65" s="1"/>
  <c r="FV616" i="65"/>
  <c r="EZ612" i="65"/>
  <c r="EZ492" i="65"/>
  <c r="FV617" i="65"/>
  <c r="FW617" i="65"/>
  <c r="GM617" i="65" s="1"/>
  <c r="FX617" i="65"/>
  <c r="GN617" i="65" s="1"/>
  <c r="FV711" i="65"/>
  <c r="FW711" i="65"/>
  <c r="GM711" i="65" s="1"/>
  <c r="FG734" i="65"/>
  <c r="FV740" i="65"/>
  <c r="FW740" i="65"/>
  <c r="GM740" i="65" s="1"/>
  <c r="FX750" i="65"/>
  <c r="GN750" i="65" s="1"/>
  <c r="FX620" i="65"/>
  <c r="GN620" i="65" s="1"/>
  <c r="FX633" i="65"/>
  <c r="GN633" i="65" s="1"/>
  <c r="FW682" i="65"/>
  <c r="GM682" i="65" s="1"/>
  <c r="FV682" i="65"/>
  <c r="EZ693" i="65"/>
  <c r="FW700" i="65"/>
  <c r="GM700" i="65" s="1"/>
  <c r="FV700" i="65"/>
  <c r="FX731" i="65"/>
  <c r="GN731" i="65" s="1"/>
  <c r="FX747" i="65"/>
  <c r="GN747" i="65" s="1"/>
  <c r="FW685" i="65"/>
  <c r="GM685" i="65" s="1"/>
  <c r="FV685" i="65"/>
  <c r="FX699" i="65"/>
  <c r="GN699" i="65" s="1"/>
  <c r="FX582" i="65"/>
  <c r="GN582" i="65" s="1"/>
  <c r="FG582" i="65"/>
  <c r="FM582" i="65"/>
  <c r="EZ738" i="65"/>
  <c r="FW826" i="65"/>
  <c r="GM826" i="65" s="1"/>
  <c r="FV826" i="65"/>
  <c r="FG826" i="65"/>
  <c r="FG583" i="65"/>
  <c r="FX583" i="65"/>
  <c r="GN583" i="65" s="1"/>
  <c r="FG663" i="65"/>
  <c r="FX744" i="65"/>
  <c r="GN744" i="65" s="1"/>
  <c r="FG763" i="65"/>
  <c r="FV783" i="65"/>
  <c r="FW783" i="65"/>
  <c r="GM783" i="65" s="1"/>
  <c r="FX783" i="65"/>
  <c r="GN783" i="65" s="1"/>
  <c r="EZ815" i="65"/>
  <c r="FX654" i="65"/>
  <c r="GN654" i="65" s="1"/>
  <c r="EZ669" i="65"/>
  <c r="FX712" i="65"/>
  <c r="GN712" i="65" s="1"/>
  <c r="EZ796" i="65"/>
  <c r="EZ812" i="65"/>
  <c r="FX853" i="65"/>
  <c r="GN853" i="65" s="1"/>
  <c r="FG755" i="65"/>
  <c r="FX755" i="65"/>
  <c r="GN755" i="65" s="1"/>
  <c r="FW784" i="65"/>
  <c r="GM784" i="65" s="1"/>
  <c r="FV784" i="65"/>
  <c r="FG871" i="65"/>
  <c r="FW741" i="65"/>
  <c r="GM741" i="65" s="1"/>
  <c r="FV741" i="65"/>
  <c r="FX794" i="65"/>
  <c r="GN794" i="65" s="1"/>
  <c r="EZ834" i="65"/>
  <c r="EZ868" i="65"/>
  <c r="EZ26" i="65"/>
  <c r="EZ82" i="65"/>
  <c r="EZ114" i="65"/>
  <c r="EZ146" i="65"/>
  <c r="EZ178" i="65"/>
  <c r="EZ210" i="65"/>
  <c r="EZ242" i="65"/>
  <c r="EZ274" i="65"/>
  <c r="EZ306" i="65"/>
  <c r="EZ338" i="65"/>
  <c r="EZ370" i="65"/>
  <c r="EZ402" i="65"/>
  <c r="EZ434" i="65"/>
  <c r="FV448" i="65"/>
  <c r="FW448" i="65"/>
  <c r="GM448" i="65" s="1"/>
  <c r="FG448" i="65"/>
  <c r="FG488" i="65"/>
  <c r="FG508" i="65"/>
  <c r="FV508" i="65"/>
  <c r="FW508" i="65"/>
  <c r="GM508" i="65" s="1"/>
  <c r="EZ546" i="65"/>
  <c r="EZ448" i="65"/>
  <c r="FG476" i="65"/>
  <c r="FV590" i="65"/>
  <c r="FW590" i="65"/>
  <c r="GM590" i="65" s="1"/>
  <c r="FX628" i="65"/>
  <c r="GN628" i="65" s="1"/>
  <c r="EZ473" i="65"/>
  <c r="FV489" i="65"/>
  <c r="FW489" i="65"/>
  <c r="GM489" i="65" s="1"/>
  <c r="FG503" i="65"/>
  <c r="FG515" i="65"/>
  <c r="EZ523" i="65"/>
  <c r="EZ586" i="65"/>
  <c r="EZ601" i="65"/>
  <c r="FW625" i="65"/>
  <c r="GM625" i="65" s="1"/>
  <c r="FV625" i="65"/>
  <c r="FX625" i="65"/>
  <c r="GN625" i="65" s="1"/>
  <c r="FG638" i="65"/>
  <c r="FG579" i="65"/>
  <c r="FG603" i="65"/>
  <c r="FW603" i="65"/>
  <c r="GM603" i="65" s="1"/>
  <c r="FV603" i="65"/>
  <c r="FG646" i="65"/>
  <c r="FW646" i="65"/>
  <c r="GM646" i="65" s="1"/>
  <c r="FV646" i="65"/>
  <c r="FG662" i="65"/>
  <c r="FV662" i="65"/>
  <c r="FW662" i="65"/>
  <c r="GM662" i="65" s="1"/>
  <c r="EZ679" i="65"/>
  <c r="EZ730" i="65"/>
  <c r="FW735" i="65"/>
  <c r="GM735" i="65" s="1"/>
  <c r="FV735" i="65"/>
  <c r="EZ746" i="65"/>
  <c r="FG594" i="65"/>
  <c r="FG622" i="65"/>
  <c r="FX622" i="65"/>
  <c r="GN622" i="65" s="1"/>
  <c r="FG643" i="65"/>
  <c r="FW643" i="65"/>
  <c r="GM643" i="65" s="1"/>
  <c r="FV643" i="65"/>
  <c r="FV651" i="65"/>
  <c r="FW651" i="65"/>
  <c r="GM651" i="65" s="1"/>
  <c r="EZ660" i="65"/>
  <c r="FW667" i="65"/>
  <c r="GM667" i="65" s="1"/>
  <c r="FV667" i="65"/>
  <c r="FG683" i="65"/>
  <c r="FX704" i="65"/>
  <c r="GN704" i="65" s="1"/>
  <c r="EZ732" i="65"/>
  <c r="EZ748" i="65"/>
  <c r="FX756" i="65"/>
  <c r="GN756" i="65" s="1"/>
  <c r="FX556" i="65"/>
  <c r="GN556" i="65" s="1"/>
  <c r="FG674" i="65"/>
  <c r="FV674" i="65"/>
  <c r="FW674" i="65"/>
  <c r="GM674" i="65" s="1"/>
  <c r="EZ596" i="65"/>
  <c r="FG670" i="65"/>
  <c r="FG742" i="65"/>
  <c r="FG754" i="65"/>
  <c r="FV754" i="65"/>
  <c r="FW754" i="65"/>
  <c r="GM754" i="65" s="1"/>
  <c r="FW778" i="65"/>
  <c r="GM778" i="65" s="1"/>
  <c r="FV778" i="65"/>
  <c r="FG521" i="65"/>
  <c r="EZ646" i="65"/>
  <c r="EZ684" i="65"/>
  <c r="EZ711" i="65"/>
  <c r="FV768" i="65"/>
  <c r="FW768" i="65"/>
  <c r="GM768" i="65" s="1"/>
  <c r="FG559" i="65"/>
  <c r="EZ656" i="65"/>
  <c r="FG699" i="65"/>
  <c r="FG726" i="65"/>
  <c r="EZ741" i="65"/>
  <c r="EZ793" i="65"/>
  <c r="FW793" i="65"/>
  <c r="GM793" i="65" s="1"/>
  <c r="FV793" i="65"/>
  <c r="EZ797" i="65"/>
  <c r="FV797" i="65"/>
  <c r="FW797" i="65"/>
  <c r="GM797" i="65" s="1"/>
  <c r="FV809" i="65"/>
  <c r="FW809" i="65"/>
  <c r="GM809" i="65" s="1"/>
  <c r="FW864" i="65"/>
  <c r="GM864" i="65" s="1"/>
  <c r="FV864" i="65"/>
  <c r="FG872" i="65"/>
  <c r="FW872" i="65"/>
  <c r="GM872" i="65" s="1"/>
  <c r="FV872" i="65"/>
  <c r="FW769" i="65"/>
  <c r="GM769" i="65" s="1"/>
  <c r="FV769" i="65"/>
  <c r="FV804" i="65"/>
  <c r="FW804" i="65"/>
  <c r="GM804" i="65" s="1"/>
  <c r="FV820" i="65"/>
  <c r="FW820" i="65"/>
  <c r="GM820" i="65" s="1"/>
  <c r="FG840" i="65"/>
  <c r="FV848" i="65"/>
  <c r="FW848" i="65"/>
  <c r="GM848" i="65" s="1"/>
  <c r="FG856" i="65"/>
  <c r="EZ865" i="65"/>
  <c r="FG814" i="65"/>
  <c r="FV814" i="65"/>
  <c r="FW814" i="65"/>
  <c r="GM814" i="65" s="1"/>
  <c r="EZ838" i="65"/>
  <c r="EZ870" i="65"/>
  <c r="EZ30" i="65"/>
  <c r="EZ86" i="65"/>
  <c r="EZ118" i="65"/>
  <c r="EZ150" i="65"/>
  <c r="EZ182" i="65"/>
  <c r="EZ214" i="65"/>
  <c r="EZ246" i="65"/>
  <c r="EZ278" i="65"/>
  <c r="EZ310" i="65"/>
  <c r="EZ342" i="65"/>
  <c r="EZ374" i="65"/>
  <c r="EZ406" i="65"/>
  <c r="EZ438" i="65"/>
  <c r="FV399" i="65"/>
  <c r="FW442" i="65"/>
  <c r="GM442" i="65" s="1"/>
  <c r="FV442" i="65"/>
  <c r="FV533" i="65"/>
  <c r="FW533" i="65"/>
  <c r="GM533" i="65" s="1"/>
  <c r="FW446" i="65"/>
  <c r="GM446" i="65" s="1"/>
  <c r="FV446" i="65"/>
  <c r="FW476" i="65"/>
  <c r="GM476" i="65" s="1"/>
  <c r="FV476" i="65"/>
  <c r="FW518" i="65"/>
  <c r="GM518" i="65" s="1"/>
  <c r="FV518" i="65"/>
  <c r="FV564" i="65"/>
  <c r="FW564" i="65"/>
  <c r="GM564" i="65" s="1"/>
  <c r="FW580" i="65"/>
  <c r="GM580" i="65" s="1"/>
  <c r="FV580" i="65"/>
  <c r="FV621" i="65"/>
  <c r="FW621" i="65"/>
  <c r="GM621" i="65" s="1"/>
  <c r="FX636" i="65"/>
  <c r="GN636" i="65" s="1"/>
  <c r="FV636" i="65"/>
  <c r="FW636" i="65"/>
  <c r="GM636" i="65" s="1"/>
  <c r="FW690" i="65"/>
  <c r="GM690" i="65" s="1"/>
  <c r="FV690" i="65"/>
  <c r="FW716" i="65"/>
  <c r="GM716" i="65" s="1"/>
  <c r="FV716" i="65"/>
  <c r="FV624" i="65"/>
  <c r="FW624" i="65"/>
  <c r="GM624" i="65" s="1"/>
  <c r="FV757" i="65"/>
  <c r="FW757" i="65"/>
  <c r="GM757" i="65" s="1"/>
  <c r="EZ543" i="65"/>
  <c r="FW611" i="65"/>
  <c r="GM611" i="65" s="1"/>
  <c r="FV611" i="65"/>
  <c r="FW566" i="65"/>
  <c r="GM566" i="65" s="1"/>
  <c r="FV566" i="65"/>
  <c r="FW841" i="65"/>
  <c r="GM841" i="65" s="1"/>
  <c r="FV841" i="65"/>
  <c r="FW839" i="65"/>
  <c r="GM839" i="65" s="1"/>
  <c r="FV839" i="65"/>
  <c r="FV855" i="65"/>
  <c r="FW855" i="65"/>
  <c r="GM855" i="65" s="1"/>
  <c r="FW863" i="65"/>
  <c r="GM863" i="65" s="1"/>
  <c r="FV863" i="65"/>
  <c r="FV786" i="65"/>
  <c r="FW786" i="65"/>
  <c r="GM786" i="65" s="1"/>
  <c r="EZ18" i="65"/>
  <c r="EZ50" i="65"/>
  <c r="EZ74" i="65"/>
  <c r="EZ106" i="65"/>
  <c r="EZ138" i="65"/>
  <c r="EZ170" i="65"/>
  <c r="EZ202" i="65"/>
  <c r="EZ234" i="65"/>
  <c r="EZ266" i="65"/>
  <c r="EZ298" i="65"/>
  <c r="EZ330" i="65"/>
  <c r="EZ362" i="65"/>
  <c r="EZ394" i="65"/>
  <c r="EZ426" i="65"/>
  <c r="EZ62" i="65"/>
  <c r="FW452" i="65"/>
  <c r="GM452" i="65" s="1"/>
  <c r="FV452" i="65"/>
  <c r="FV494" i="65"/>
  <c r="FW494" i="65"/>
  <c r="GM494" i="65" s="1"/>
  <c r="FV496" i="65"/>
  <c r="FW496" i="65"/>
  <c r="GM496" i="65" s="1"/>
  <c r="FW552" i="65"/>
  <c r="GM552" i="65" s="1"/>
  <c r="FV552" i="65"/>
  <c r="FX552" i="65"/>
  <c r="GN552" i="65" s="1"/>
  <c r="EZ483" i="65"/>
  <c r="EZ494" i="65"/>
  <c r="EZ605" i="65"/>
  <c r="FV451" i="65"/>
  <c r="FW451" i="65"/>
  <c r="GM451" i="65" s="1"/>
  <c r="FW481" i="65"/>
  <c r="GM481" i="65" s="1"/>
  <c r="FV481" i="65"/>
  <c r="EZ510" i="65"/>
  <c r="EZ570" i="65"/>
  <c r="EZ598" i="65"/>
  <c r="EZ621" i="65"/>
  <c r="FW541" i="65"/>
  <c r="GM541" i="65" s="1"/>
  <c r="FV541" i="65"/>
  <c r="FW644" i="65"/>
  <c r="GM644" i="65" s="1"/>
  <c r="FV644" i="65"/>
  <c r="FV672" i="65"/>
  <c r="FW672" i="65"/>
  <c r="GM672" i="65" s="1"/>
  <c r="FV691" i="65"/>
  <c r="FW691" i="65"/>
  <c r="GM691" i="65" s="1"/>
  <c r="FW710" i="65"/>
  <c r="GM710" i="65" s="1"/>
  <c r="FV710" i="65"/>
  <c r="FW602" i="65"/>
  <c r="GM602" i="65" s="1"/>
  <c r="FV602" i="65"/>
  <c r="FW640" i="65"/>
  <c r="GM640" i="65" s="1"/>
  <c r="FV640" i="65"/>
  <c r="EZ687" i="65"/>
  <c r="FV759" i="65"/>
  <c r="FW759" i="65"/>
  <c r="GM759" i="65" s="1"/>
  <c r="FV696" i="65"/>
  <c r="FW696" i="65"/>
  <c r="GM696" i="65" s="1"/>
  <c r="FV719" i="65"/>
  <c r="FW719" i="65"/>
  <c r="GM719" i="65" s="1"/>
  <c r="FW558" i="65"/>
  <c r="GM558" i="65" s="1"/>
  <c r="FV558" i="65"/>
  <c r="EZ678" i="65"/>
  <c r="EZ721" i="65"/>
  <c r="FW745" i="65"/>
  <c r="GM745" i="65" s="1"/>
  <c r="FV745" i="65"/>
  <c r="FW774" i="65"/>
  <c r="GM774" i="65" s="1"/>
  <c r="FV774" i="65"/>
  <c r="FV799" i="65"/>
  <c r="FW799" i="65"/>
  <c r="GM799" i="65" s="1"/>
  <c r="FW803" i="65"/>
  <c r="GM803" i="65" s="1"/>
  <c r="FV803" i="65"/>
  <c r="FV753" i="65"/>
  <c r="FW753" i="65"/>
  <c r="GM753" i="65" s="1"/>
  <c r="FW739" i="65"/>
  <c r="GM739" i="65" s="1"/>
  <c r="FV739" i="65"/>
  <c r="FX739" i="65"/>
  <c r="GN739" i="65" s="1"/>
  <c r="FV852" i="65"/>
  <c r="FW852" i="65"/>
  <c r="GM852" i="65" s="1"/>
  <c r="FV790" i="65"/>
  <c r="FW790" i="65"/>
  <c r="GM790" i="65" s="1"/>
  <c r="FV842" i="65"/>
  <c r="FW842" i="65"/>
  <c r="GM842" i="65" s="1"/>
  <c r="EZ38" i="65"/>
  <c r="EZ58" i="65"/>
  <c r="EZ94" i="65"/>
  <c r="EZ126" i="65"/>
  <c r="EZ158" i="65"/>
  <c r="EZ190" i="65"/>
  <c r="EZ222" i="65"/>
  <c r="EZ254" i="65"/>
  <c r="EZ286" i="65"/>
  <c r="EZ318" i="65"/>
  <c r="EZ350" i="65"/>
  <c r="EZ382" i="65"/>
  <c r="EZ414" i="65"/>
  <c r="EZ446" i="65"/>
  <c r="FW454" i="65"/>
  <c r="GM454" i="65" s="1"/>
  <c r="FV454" i="65"/>
  <c r="FV459" i="65"/>
  <c r="FW459" i="65"/>
  <c r="GM459" i="65" s="1"/>
  <c r="FX459" i="65"/>
  <c r="GN459" i="65" s="1"/>
  <c r="FV465" i="65"/>
  <c r="FW465" i="65"/>
  <c r="GM465" i="65" s="1"/>
  <c r="EZ495" i="65"/>
  <c r="FW505" i="65"/>
  <c r="GM505" i="65" s="1"/>
  <c r="FV505" i="65"/>
  <c r="FW531" i="65"/>
  <c r="GM531" i="65" s="1"/>
  <c r="FV531" i="65"/>
  <c r="FW535" i="65"/>
  <c r="GM535" i="65" s="1"/>
  <c r="FV535" i="65"/>
  <c r="EZ552" i="65"/>
  <c r="FW458" i="65"/>
  <c r="GM458" i="65" s="1"/>
  <c r="FV458" i="65"/>
  <c r="EZ484" i="65"/>
  <c r="EZ472" i="65"/>
  <c r="EZ525" i="65"/>
  <c r="EZ572" i="65"/>
  <c r="EZ587" i="65"/>
  <c r="EZ627" i="65"/>
  <c r="EZ454" i="65"/>
  <c r="FV548" i="65"/>
  <c r="FW548" i="65"/>
  <c r="GM548" i="65" s="1"/>
  <c r="FX548" i="65"/>
  <c r="GN548" i="65" s="1"/>
  <c r="FV584" i="65"/>
  <c r="FW584" i="65"/>
  <c r="GM584" i="65" s="1"/>
  <c r="EZ624" i="65"/>
  <c r="FV497" i="65"/>
  <c r="FW497" i="65"/>
  <c r="GM497" i="65" s="1"/>
  <c r="EZ571" i="65"/>
  <c r="EZ599" i="65"/>
  <c r="EZ623" i="65"/>
  <c r="EZ444" i="65"/>
  <c r="FV578" i="65"/>
  <c r="FW578" i="65"/>
  <c r="GM578" i="65" s="1"/>
  <c r="EZ645" i="65"/>
  <c r="EZ661" i="65"/>
  <c r="FV673" i="65"/>
  <c r="FW673" i="65"/>
  <c r="GM673" i="65" s="1"/>
  <c r="FW750" i="65"/>
  <c r="GM750" i="65" s="1"/>
  <c r="FV750" i="65"/>
  <c r="FW766" i="65"/>
  <c r="GM766" i="65" s="1"/>
  <c r="FV766" i="65"/>
  <c r="EZ567" i="65"/>
  <c r="FV620" i="65"/>
  <c r="FW620" i="65"/>
  <c r="GM620" i="65" s="1"/>
  <c r="EZ665" i="65"/>
  <c r="EZ718" i="65"/>
  <c r="FV747" i="65"/>
  <c r="FW747" i="65"/>
  <c r="GM747" i="65" s="1"/>
  <c r="EZ762" i="65"/>
  <c r="FV631" i="65"/>
  <c r="FW631" i="65"/>
  <c r="GM631" i="65" s="1"/>
  <c r="EZ672" i="65"/>
  <c r="FV699" i="65"/>
  <c r="FW699" i="65"/>
  <c r="GM699" i="65" s="1"/>
  <c r="FW582" i="65"/>
  <c r="GM582" i="65" s="1"/>
  <c r="FV582" i="65"/>
  <c r="FW683" i="65"/>
  <c r="GM683" i="65" s="1"/>
  <c r="FV683" i="65"/>
  <c r="FV583" i="65"/>
  <c r="FW583" i="65"/>
  <c r="GM583" i="65" s="1"/>
  <c r="FW663" i="65"/>
  <c r="GM663" i="65" s="1"/>
  <c r="FV663" i="65"/>
  <c r="FV725" i="65"/>
  <c r="FW725" i="65"/>
  <c r="GM725" i="65" s="1"/>
  <c r="EZ744" i="65"/>
  <c r="FV744" i="65"/>
  <c r="FW744" i="65"/>
  <c r="GM744" i="65" s="1"/>
  <c r="EZ606" i="65"/>
  <c r="FW723" i="65"/>
  <c r="GM723" i="65" s="1"/>
  <c r="FV723" i="65"/>
  <c r="FW760" i="65"/>
  <c r="GM760" i="65" s="1"/>
  <c r="FV760" i="65"/>
  <c r="FV845" i="65"/>
  <c r="FW845" i="65"/>
  <c r="GM845" i="65" s="1"/>
  <c r="FW853" i="65"/>
  <c r="GM853" i="65" s="1"/>
  <c r="FV853" i="65"/>
  <c r="EZ855" i="65"/>
  <c r="FG863" i="65"/>
  <c r="FW794" i="65"/>
  <c r="GM794" i="65" s="1"/>
  <c r="FV794" i="65"/>
  <c r="FV810" i="65"/>
  <c r="FW810" i="65"/>
  <c r="GM810" i="65" s="1"/>
  <c r="EZ12" i="65"/>
  <c r="EZ44" i="65"/>
  <c r="EZ17" i="65"/>
  <c r="EZ49" i="65"/>
  <c r="EZ55" i="65"/>
  <c r="EZ93" i="65"/>
  <c r="EZ125" i="65"/>
  <c r="EZ157" i="65"/>
  <c r="EZ189" i="65"/>
  <c r="EZ221" i="65"/>
  <c r="EZ253" i="65"/>
  <c r="EZ285" i="65"/>
  <c r="EZ317" i="65"/>
  <c r="EZ349" i="65"/>
  <c r="EZ381" i="65"/>
  <c r="EZ413" i="65"/>
  <c r="EZ15" i="65"/>
  <c r="EZ71" i="65"/>
  <c r="EZ103" i="65"/>
  <c r="EZ135" i="65"/>
  <c r="EZ167" i="65"/>
  <c r="EZ199" i="65"/>
  <c r="EZ231" i="65"/>
  <c r="EZ263" i="65"/>
  <c r="EZ295" i="65"/>
  <c r="EZ327" i="65"/>
  <c r="EZ359" i="65"/>
  <c r="EZ391" i="65"/>
  <c r="EZ423" i="65"/>
  <c r="EZ39" i="65"/>
  <c r="EZ88" i="65"/>
  <c r="EZ120" i="65"/>
  <c r="EZ152" i="65"/>
  <c r="EZ184" i="65"/>
  <c r="EZ216" i="65"/>
  <c r="EZ248" i="65"/>
  <c r="EZ280" i="65"/>
  <c r="EZ312" i="65"/>
  <c r="EZ344" i="65"/>
  <c r="EZ376" i="65"/>
  <c r="EZ408" i="65"/>
  <c r="EZ440" i="65"/>
  <c r="FW441" i="65"/>
  <c r="GM441" i="65" s="1"/>
  <c r="FV441" i="65"/>
  <c r="FW449" i="65"/>
  <c r="GM449" i="65" s="1"/>
  <c r="FV449" i="65"/>
  <c r="FV455" i="65"/>
  <c r="FW455" i="65"/>
  <c r="GM455" i="65" s="1"/>
  <c r="FW466" i="65"/>
  <c r="GM466" i="65" s="1"/>
  <c r="FV466" i="65"/>
  <c r="FW480" i="65"/>
  <c r="GM480" i="65" s="1"/>
  <c r="FV480" i="65"/>
  <c r="FW488" i="65"/>
  <c r="GM488" i="65" s="1"/>
  <c r="FV488" i="65"/>
  <c r="FV532" i="65"/>
  <c r="FW532" i="65"/>
  <c r="GM532" i="65" s="1"/>
  <c r="EZ482" i="65"/>
  <c r="EZ518" i="65"/>
  <c r="EZ541" i="65"/>
  <c r="EZ452" i="65"/>
  <c r="FW491" i="65"/>
  <c r="GM491" i="65" s="1"/>
  <c r="FV491" i="65"/>
  <c r="FW475" i="65"/>
  <c r="GM475" i="65" s="1"/>
  <c r="FV475" i="65"/>
  <c r="FV504" i="65"/>
  <c r="FW504" i="65"/>
  <c r="GM504" i="65" s="1"/>
  <c r="EZ555" i="65"/>
  <c r="EZ573" i="65"/>
  <c r="EZ607" i="65"/>
  <c r="FV628" i="65"/>
  <c r="FW628" i="65"/>
  <c r="GM628" i="65" s="1"/>
  <c r="FW443" i="65"/>
  <c r="GM443" i="65" s="1"/>
  <c r="FV443" i="65"/>
  <c r="FV503" i="65"/>
  <c r="FW503" i="65"/>
  <c r="GM503" i="65" s="1"/>
  <c r="FX503" i="65"/>
  <c r="GN503" i="65" s="1"/>
  <c r="FW537" i="65"/>
  <c r="GM537" i="65" s="1"/>
  <c r="FV537" i="65"/>
  <c r="FV569" i="65"/>
  <c r="FW569" i="65"/>
  <c r="GM569" i="65" s="1"/>
  <c r="FW467" i="65"/>
  <c r="GM467" i="65" s="1"/>
  <c r="FV467" i="65"/>
  <c r="EZ532" i="65"/>
  <c r="FW530" i="65"/>
  <c r="GM530" i="65" s="1"/>
  <c r="FV530" i="65"/>
  <c r="FW563" i="65"/>
  <c r="GM563" i="65" s="1"/>
  <c r="FV563" i="65"/>
  <c r="FV579" i="65"/>
  <c r="FW579" i="65"/>
  <c r="GM579" i="65" s="1"/>
  <c r="FV630" i="65"/>
  <c r="FW630" i="65"/>
  <c r="GM630" i="65" s="1"/>
  <c r="FW642" i="65"/>
  <c r="GM642" i="65" s="1"/>
  <c r="FV642" i="65"/>
  <c r="FV688" i="65"/>
  <c r="FW688" i="65"/>
  <c r="GM688" i="65" s="1"/>
  <c r="EZ695" i="65"/>
  <c r="FW705" i="65"/>
  <c r="GM705" i="65" s="1"/>
  <c r="FV705" i="65"/>
  <c r="FW486" i="65"/>
  <c r="GM486" i="65" s="1"/>
  <c r="FV486" i="65"/>
  <c r="FX594" i="65"/>
  <c r="GN594" i="65" s="1"/>
  <c r="FV594" i="65"/>
  <c r="FW594" i="65"/>
  <c r="GM594" i="65" s="1"/>
  <c r="EZ677" i="65"/>
  <c r="FG719" i="65"/>
  <c r="FW764" i="65"/>
  <c r="GM764" i="65" s="1"/>
  <c r="FV764" i="65"/>
  <c r="FW702" i="65"/>
  <c r="GM702" i="65" s="1"/>
  <c r="FV702" i="65"/>
  <c r="FV670" i="65"/>
  <c r="FW670" i="65"/>
  <c r="GM670" i="65" s="1"/>
  <c r="FW559" i="65"/>
  <c r="GM559" i="65" s="1"/>
  <c r="FV559" i="65"/>
  <c r="EZ685" i="65"/>
  <c r="FW715" i="65"/>
  <c r="GM715" i="65" s="1"/>
  <c r="FV715" i="65"/>
  <c r="FV785" i="65"/>
  <c r="FW785" i="65"/>
  <c r="GM785" i="65" s="1"/>
  <c r="FV856" i="65"/>
  <c r="FW856" i="65"/>
  <c r="GM856" i="65" s="1"/>
  <c r="FX856" i="65"/>
  <c r="GN856" i="65" s="1"/>
  <c r="FV775" i="65"/>
  <c r="FW775" i="65"/>
  <c r="GM775" i="65" s="1"/>
  <c r="FW854" i="65"/>
  <c r="GM854" i="65" s="1"/>
  <c r="FV854" i="65"/>
  <c r="EZ16" i="65"/>
  <c r="EZ48" i="65"/>
  <c r="EZ21" i="65"/>
  <c r="EZ53" i="65"/>
  <c r="EZ63" i="65"/>
  <c r="EZ97" i="65"/>
  <c r="EZ129" i="65"/>
  <c r="EZ161" i="65"/>
  <c r="EZ193" i="65"/>
  <c r="EZ225" i="65"/>
  <c r="EZ257" i="65"/>
  <c r="EZ289" i="65"/>
  <c r="EZ321" i="65"/>
  <c r="EZ353" i="65"/>
  <c r="EZ385" i="65"/>
  <c r="EZ417" i="65"/>
  <c r="EZ31" i="65"/>
  <c r="EZ75" i="65"/>
  <c r="EZ107" i="65"/>
  <c r="EZ139" i="65"/>
  <c r="EZ171" i="65"/>
  <c r="EZ203" i="65"/>
  <c r="EZ235" i="65"/>
  <c r="EZ267" i="65"/>
  <c r="EZ299" i="65"/>
  <c r="EZ331" i="65"/>
  <c r="EZ363" i="65"/>
  <c r="EZ395" i="65"/>
  <c r="EZ427" i="65"/>
  <c r="EZ76" i="65"/>
  <c r="EZ108" i="65"/>
  <c r="EZ140" i="65"/>
  <c r="EZ172" i="65"/>
  <c r="EZ204" i="65"/>
  <c r="EZ236" i="65"/>
  <c r="EZ268" i="65"/>
  <c r="EZ300" i="65"/>
  <c r="EZ332" i="65"/>
  <c r="EZ364" i="65"/>
  <c r="EZ396" i="65"/>
  <c r="EZ428" i="65"/>
  <c r="FG143" i="65"/>
  <c r="GN141" i="65"/>
  <c r="FG15" i="65"/>
  <c r="FM357" i="65"/>
  <c r="GP357" i="65" s="1"/>
  <c r="FG357" i="65"/>
  <c r="FG378" i="65"/>
  <c r="FM340" i="65"/>
  <c r="GP340" i="65" s="1"/>
  <c r="FG340" i="65"/>
  <c r="FM320" i="65"/>
  <c r="GP320" i="65" s="1"/>
  <c r="FG320" i="65"/>
  <c r="FM245" i="65"/>
  <c r="FG245" i="65"/>
  <c r="FM244" i="65"/>
  <c r="GP244" i="65" s="1"/>
  <c r="FG244" i="65"/>
  <c r="FM298" i="65"/>
  <c r="GP298" i="65" s="1"/>
  <c r="FG298" i="65"/>
  <c r="FM308" i="65"/>
  <c r="GP308" i="65" s="1"/>
  <c r="FG308" i="65"/>
  <c r="FM266" i="65"/>
  <c r="FG266" i="65"/>
  <c r="FM260" i="65"/>
  <c r="GP260" i="65" s="1"/>
  <c r="FG260" i="65"/>
  <c r="FM218" i="65"/>
  <c r="GP218" i="65" s="1"/>
  <c r="FG218" i="65"/>
  <c r="FM11" i="65"/>
  <c r="GP11" i="65" s="1"/>
  <c r="FG11" i="65"/>
  <c r="FM27" i="65"/>
  <c r="FG27" i="65"/>
  <c r="FM43" i="65"/>
  <c r="GP43" i="65" s="1"/>
  <c r="FG43" i="65"/>
  <c r="FM59" i="65"/>
  <c r="FG59" i="65"/>
  <c r="FG75" i="65"/>
  <c r="FM91" i="65"/>
  <c r="FG91" i="65"/>
  <c r="FM107" i="65"/>
  <c r="GP107" i="65" s="1"/>
  <c r="FG107" i="65"/>
  <c r="FM123" i="65"/>
  <c r="GP123" i="65" s="1"/>
  <c r="FG123" i="65"/>
  <c r="FM139" i="65"/>
  <c r="FG139" i="65"/>
  <c r="FM155" i="65"/>
  <c r="GP155" i="65" s="1"/>
  <c r="FG155" i="65"/>
  <c r="FM171" i="65"/>
  <c r="GP171" i="65" s="1"/>
  <c r="FG171" i="65"/>
  <c r="FG187" i="65"/>
  <c r="FM203" i="65"/>
  <c r="GP203" i="65" s="1"/>
  <c r="FG203" i="65"/>
  <c r="FM219" i="65"/>
  <c r="FG219" i="65"/>
  <c r="FM235" i="65"/>
  <c r="GP235" i="65" s="1"/>
  <c r="FG235" i="65"/>
  <c r="FM251" i="65"/>
  <c r="FG251" i="65"/>
  <c r="FM267" i="65"/>
  <c r="FG267" i="65"/>
  <c r="FM283" i="65"/>
  <c r="GP283" i="65" s="1"/>
  <c r="FG283" i="65"/>
  <c r="FM299" i="65"/>
  <c r="FG299" i="65"/>
  <c r="FG315" i="65"/>
  <c r="FM347" i="65"/>
  <c r="GP347" i="65" s="1"/>
  <c r="FG347" i="65"/>
  <c r="FM363" i="65"/>
  <c r="FG379" i="65"/>
  <c r="FM381" i="65"/>
  <c r="FG381" i="65"/>
  <c r="FM360" i="65"/>
  <c r="GP360" i="65" s="1"/>
  <c r="FG360" i="65"/>
  <c r="FG296" i="65"/>
  <c r="FM253" i="65"/>
  <c r="GP253" i="65" s="1"/>
  <c r="FG253" i="65"/>
  <c r="FM63" i="65"/>
  <c r="GP63" i="65" s="1"/>
  <c r="FM191" i="65"/>
  <c r="FM303" i="65"/>
  <c r="GP303" i="65" s="1"/>
  <c r="FG303" i="65"/>
  <c r="FM269" i="65"/>
  <c r="FM348" i="65"/>
  <c r="GP348" i="65" s="1"/>
  <c r="FG348" i="65"/>
  <c r="FM377" i="65"/>
  <c r="FM329" i="65"/>
  <c r="GP329" i="65" s="1"/>
  <c r="FM228" i="65"/>
  <c r="FM304" i="65"/>
  <c r="GP304" i="65" s="1"/>
  <c r="FM250" i="65"/>
  <c r="FG250" i="65"/>
  <c r="FM265" i="65"/>
  <c r="GP265" i="65" s="1"/>
  <c r="FM175" i="65"/>
  <c r="FG175" i="65"/>
  <c r="FM271" i="65"/>
  <c r="GP271" i="65" s="1"/>
  <c r="FG271" i="65"/>
  <c r="FM335" i="65"/>
  <c r="FG335" i="65"/>
  <c r="FM312" i="65"/>
  <c r="GP312" i="65" s="1"/>
  <c r="FM284" i="65"/>
  <c r="FM238" i="65"/>
  <c r="FG238" i="65"/>
  <c r="FM270" i="65"/>
  <c r="GP270" i="65" s="1"/>
  <c r="FG270" i="65"/>
  <c r="FM28" i="65"/>
  <c r="FG28" i="65"/>
  <c r="FM92" i="65"/>
  <c r="GP92" i="65" s="1"/>
  <c r="FG92" i="65"/>
  <c r="FM185" i="65"/>
  <c r="FG185" i="65"/>
  <c r="FM16" i="65"/>
  <c r="FG16" i="65"/>
  <c r="FM84" i="65"/>
  <c r="GP84" i="65" s="1"/>
  <c r="FG84" i="65"/>
  <c r="FM132" i="65"/>
  <c r="GP132" i="65" s="1"/>
  <c r="FG132" i="65"/>
  <c r="FM370" i="65"/>
  <c r="GP370" i="65" s="1"/>
  <c r="FM306" i="65"/>
  <c r="GP306" i="65" s="1"/>
  <c r="FG306" i="65"/>
  <c r="FM242" i="65"/>
  <c r="FM136" i="65"/>
  <c r="GP136" i="65" s="1"/>
  <c r="FG136" i="65"/>
  <c r="FM90" i="65"/>
  <c r="GP90" i="65" s="1"/>
  <c r="FG90" i="65"/>
  <c r="FM193" i="65"/>
  <c r="FG193" i="65"/>
  <c r="FM172" i="65"/>
  <c r="GP172" i="65" s="1"/>
  <c r="FG172" i="65"/>
  <c r="FM108" i="65"/>
  <c r="GP108" i="65" s="1"/>
  <c r="FG108" i="65"/>
  <c r="FM80" i="65"/>
  <c r="FG80" i="65"/>
  <c r="FM48" i="65"/>
  <c r="GP48" i="65" s="1"/>
  <c r="FG48" i="65"/>
  <c r="FM154" i="65"/>
  <c r="FG154" i="65"/>
  <c r="FM112" i="65"/>
  <c r="FG112" i="65"/>
  <c r="FM210" i="65"/>
  <c r="FM32" i="65"/>
  <c r="GP32" i="65" s="1"/>
  <c r="FG32" i="65"/>
  <c r="FG144" i="65"/>
  <c r="FM88" i="65"/>
  <c r="GP88" i="65" s="1"/>
  <c r="FG88" i="65"/>
  <c r="FM138" i="65"/>
  <c r="FM254" i="65"/>
  <c r="GP254" i="65" s="1"/>
  <c r="FG254" i="65"/>
  <c r="FM44" i="65"/>
  <c r="GP44" i="65" s="1"/>
  <c r="FG44" i="65"/>
  <c r="FM148" i="65"/>
  <c r="FG148" i="65"/>
  <c r="FM36" i="65"/>
  <c r="GP36" i="65" s="1"/>
  <c r="FG36" i="65"/>
  <c r="FM100" i="65"/>
  <c r="GP100" i="65" s="1"/>
  <c r="FG100" i="65"/>
  <c r="FM142" i="65"/>
  <c r="FG142" i="65"/>
  <c r="FM180" i="65"/>
  <c r="GP180" i="65" s="1"/>
  <c r="FG180" i="65"/>
  <c r="FM222" i="65"/>
  <c r="GP222" i="65" s="1"/>
  <c r="FG222" i="65"/>
  <c r="FM386" i="65"/>
  <c r="FM322" i="65"/>
  <c r="GP322" i="65" s="1"/>
  <c r="FG322" i="65"/>
  <c r="FM258" i="65"/>
  <c r="FM152" i="65"/>
  <c r="GP152" i="65" s="1"/>
  <c r="FG152" i="65"/>
  <c r="FM12" i="65"/>
  <c r="GP12" i="65" s="1"/>
  <c r="FG12" i="65"/>
  <c r="FM124" i="65"/>
  <c r="FG124" i="65"/>
  <c r="FM72" i="65"/>
  <c r="FG72" i="65"/>
  <c r="FM40" i="65"/>
  <c r="GP40" i="65" s="1"/>
  <c r="FG40" i="65"/>
  <c r="FM170" i="65"/>
  <c r="FG170" i="65"/>
  <c r="FM128" i="65"/>
  <c r="FG128" i="65"/>
  <c r="FM106" i="65"/>
  <c r="GP106" i="65" s="1"/>
  <c r="FM78" i="65"/>
  <c r="FG78" i="65"/>
  <c r="FM274" i="65"/>
  <c r="FG274" i="65"/>
  <c r="FM168" i="65"/>
  <c r="GP168" i="65" s="1"/>
  <c r="FG168" i="65"/>
  <c r="FM140" i="65"/>
  <c r="FG140" i="65"/>
  <c r="FM96" i="65"/>
  <c r="FG96" i="65"/>
  <c r="FM290" i="65"/>
  <c r="GP290" i="65" s="1"/>
  <c r="FM226" i="65"/>
  <c r="FG226" i="65"/>
  <c r="FM160" i="65"/>
  <c r="GP160" i="65" s="1"/>
  <c r="FG341" i="65"/>
  <c r="FG384" i="65"/>
  <c r="FG377" i="65"/>
  <c r="FG229" i="65"/>
  <c r="FG181" i="65"/>
  <c r="FG224" i="65"/>
  <c r="FG201" i="65"/>
  <c r="FG63" i="65"/>
  <c r="FG290" i="65"/>
  <c r="FG363" i="65"/>
  <c r="FG346" i="65"/>
  <c r="FG242" i="65"/>
  <c r="FG106" i="65"/>
  <c r="FG146" i="65"/>
  <c r="FM198" i="65"/>
  <c r="GP198" i="65" s="1"/>
  <c r="FG198" i="65"/>
  <c r="FM368" i="65"/>
  <c r="GP368" i="65" s="1"/>
  <c r="FG368" i="65"/>
  <c r="FM389" i="65"/>
  <c r="FG389" i="65"/>
  <c r="FM361" i="65"/>
  <c r="GP361" i="65" s="1"/>
  <c r="FG361" i="65"/>
  <c r="FM345" i="65"/>
  <c r="GP345" i="65" s="1"/>
  <c r="FG345" i="65"/>
  <c r="FM388" i="65"/>
  <c r="GP388" i="65" s="1"/>
  <c r="FG388" i="65"/>
  <c r="FM330" i="65"/>
  <c r="GP330" i="65" s="1"/>
  <c r="FM313" i="65"/>
  <c r="FG313" i="65"/>
  <c r="FM234" i="65"/>
  <c r="GP234" i="65" s="1"/>
  <c r="FM288" i="65"/>
  <c r="GP288" i="65" s="1"/>
  <c r="FG288" i="65"/>
  <c r="FM309" i="65"/>
  <c r="GP309" i="65" s="1"/>
  <c r="FG309" i="65"/>
  <c r="FM256" i="65"/>
  <c r="GP256" i="65" s="1"/>
  <c r="FG256" i="65"/>
  <c r="FM277" i="65"/>
  <c r="GP277" i="65" s="1"/>
  <c r="FM186" i="65"/>
  <c r="GP186" i="65" s="1"/>
  <c r="FM208" i="65"/>
  <c r="GP208" i="65" s="1"/>
  <c r="FG208" i="65"/>
  <c r="FM212" i="65"/>
  <c r="FG212" i="65"/>
  <c r="FM19" i="65"/>
  <c r="GP19" i="65" s="1"/>
  <c r="FG19" i="65"/>
  <c r="FM35" i="65"/>
  <c r="FG35" i="65"/>
  <c r="FM51" i="65"/>
  <c r="GP51" i="65" s="1"/>
  <c r="FG51" i="65"/>
  <c r="FM67" i="65"/>
  <c r="GP67" i="65" s="1"/>
  <c r="FG67" i="65"/>
  <c r="FM83" i="65"/>
  <c r="FG83" i="65"/>
  <c r="FM99" i="65"/>
  <c r="GP99" i="65" s="1"/>
  <c r="FG99" i="65"/>
  <c r="FM115" i="65"/>
  <c r="GP115" i="65" s="1"/>
  <c r="FG115" i="65"/>
  <c r="FM131" i="65"/>
  <c r="FG131" i="65"/>
  <c r="FM147" i="65"/>
  <c r="GP147" i="65" s="1"/>
  <c r="FG147" i="65"/>
  <c r="FM163" i="65"/>
  <c r="FG163" i="65"/>
  <c r="FM179" i="65"/>
  <c r="FG179" i="65"/>
  <c r="FM195" i="65"/>
  <c r="GP195" i="65" s="1"/>
  <c r="FG195" i="65"/>
  <c r="FM211" i="65"/>
  <c r="FG211" i="65"/>
  <c r="FM227" i="65"/>
  <c r="GP227" i="65" s="1"/>
  <c r="FG227" i="65"/>
  <c r="FM243" i="65"/>
  <c r="FG243" i="65"/>
  <c r="FM259" i="65"/>
  <c r="GP259" i="65" s="1"/>
  <c r="FG259" i="65"/>
  <c r="FM275" i="65"/>
  <c r="GP275" i="65" s="1"/>
  <c r="FG275" i="65"/>
  <c r="FM291" i="65"/>
  <c r="FG291" i="65"/>
  <c r="FM307" i="65"/>
  <c r="GP307" i="65" s="1"/>
  <c r="FG307" i="65"/>
  <c r="FM323" i="65"/>
  <c r="GP323" i="65" s="1"/>
  <c r="FG323" i="65"/>
  <c r="FM339" i="65"/>
  <c r="FG339" i="65"/>
  <c r="FM355" i="65"/>
  <c r="GP355" i="65" s="1"/>
  <c r="FG355" i="65"/>
  <c r="FM371" i="65"/>
  <c r="GP371" i="65" s="1"/>
  <c r="FG371" i="65"/>
  <c r="FM387" i="65"/>
  <c r="GP387" i="65" s="1"/>
  <c r="FG387" i="65"/>
  <c r="FM349" i="65"/>
  <c r="GP349" i="65" s="1"/>
  <c r="FG349" i="65"/>
  <c r="FM328" i="65"/>
  <c r="GP328" i="65" s="1"/>
  <c r="FG328" i="65"/>
  <c r="FM285" i="65"/>
  <c r="GP285" i="65" s="1"/>
  <c r="FG285" i="65"/>
  <c r="FM264" i="65"/>
  <c r="GP264" i="65" s="1"/>
  <c r="FG264" i="65"/>
  <c r="FM221" i="65"/>
  <c r="FG221" i="65"/>
  <c r="FM200" i="65"/>
  <c r="GP200" i="65" s="1"/>
  <c r="FG200" i="65"/>
  <c r="GN178" i="65"/>
  <c r="FM385" i="65"/>
  <c r="GP385" i="65" s="1"/>
  <c r="FG385" i="65"/>
  <c r="FM364" i="65"/>
  <c r="FG364" i="65"/>
  <c r="FM321" i="65"/>
  <c r="GP321" i="65" s="1"/>
  <c r="FG321" i="65"/>
  <c r="FM300" i="65"/>
  <c r="GP300" i="65" s="1"/>
  <c r="FG300" i="65"/>
  <c r="FM257" i="65"/>
  <c r="FG257" i="65"/>
  <c r="FM236" i="65"/>
  <c r="GP236" i="65" s="1"/>
  <c r="FG236" i="65"/>
  <c r="FM7" i="65"/>
  <c r="GP7" i="65" s="1"/>
  <c r="FG7" i="65"/>
  <c r="FM353" i="65"/>
  <c r="GP353" i="65" s="1"/>
  <c r="FG353" i="65"/>
  <c r="FM225" i="65"/>
  <c r="GP225" i="65" s="1"/>
  <c r="FM31" i="65"/>
  <c r="FM95" i="65"/>
  <c r="GP95" i="65" s="1"/>
  <c r="FM159" i="65"/>
  <c r="FM223" i="65"/>
  <c r="GP223" i="65" s="1"/>
  <c r="FM287" i="65"/>
  <c r="FM351" i="65"/>
  <c r="GP351" i="65" s="1"/>
  <c r="FM333" i="65"/>
  <c r="FG333" i="65"/>
  <c r="FM248" i="65"/>
  <c r="GP248" i="65" s="1"/>
  <c r="FG248" i="65"/>
  <c r="FM305" i="65"/>
  <c r="FG305" i="65"/>
  <c r="FM220" i="65"/>
  <c r="GP220" i="65" s="1"/>
  <c r="FG220" i="65"/>
  <c r="FM352" i="65"/>
  <c r="GP352" i="65" s="1"/>
  <c r="FM373" i="65"/>
  <c r="FG373" i="65"/>
  <c r="FM372" i="65"/>
  <c r="FG372" i="65"/>
  <c r="FM356" i="65"/>
  <c r="GP356" i="65" s="1"/>
  <c r="FG356" i="65"/>
  <c r="FM314" i="65"/>
  <c r="GP314" i="65" s="1"/>
  <c r="FM336" i="65"/>
  <c r="GP336" i="65" s="1"/>
  <c r="FG336" i="65"/>
  <c r="FM324" i="65"/>
  <c r="GP324" i="65" s="1"/>
  <c r="FG324" i="65"/>
  <c r="FM240" i="65"/>
  <c r="FG240" i="65"/>
  <c r="FM233" i="65"/>
  <c r="GP233" i="65" s="1"/>
  <c r="FG233" i="65"/>
  <c r="FM293" i="65"/>
  <c r="GP293" i="65" s="1"/>
  <c r="FG293" i="65"/>
  <c r="FM292" i="65"/>
  <c r="GP292" i="65" s="1"/>
  <c r="FG292" i="65"/>
  <c r="FM297" i="65"/>
  <c r="GP297" i="65" s="1"/>
  <c r="FG297" i="65"/>
  <c r="FM261" i="65"/>
  <c r="FM276" i="65"/>
  <c r="FG276" i="65"/>
  <c r="FM192" i="65"/>
  <c r="FG192" i="65"/>
  <c r="FM213" i="65"/>
  <c r="GP213" i="65" s="1"/>
  <c r="FM196" i="65"/>
  <c r="FG196" i="65"/>
  <c r="FM23" i="65"/>
  <c r="GP23" i="65" s="1"/>
  <c r="FG23" i="65"/>
  <c r="FM39" i="65"/>
  <c r="FG39" i="65"/>
  <c r="FM55" i="65"/>
  <c r="GP55" i="65" s="1"/>
  <c r="FG55" i="65"/>
  <c r="FM71" i="65"/>
  <c r="GP71" i="65" s="1"/>
  <c r="FG71" i="65"/>
  <c r="FM87" i="65"/>
  <c r="GP87" i="65" s="1"/>
  <c r="FG87" i="65"/>
  <c r="FM103" i="65"/>
  <c r="GP103" i="65" s="1"/>
  <c r="FG103" i="65"/>
  <c r="FM119" i="65"/>
  <c r="FG119" i="65"/>
  <c r="FM135" i="65"/>
  <c r="FG135" i="65"/>
  <c r="FM151" i="65"/>
  <c r="GP151" i="65" s="1"/>
  <c r="FG151" i="65"/>
  <c r="FM167" i="65"/>
  <c r="GP167" i="65" s="1"/>
  <c r="FG167" i="65"/>
  <c r="FM183" i="65"/>
  <c r="GP183" i="65" s="1"/>
  <c r="FG183" i="65"/>
  <c r="FM199" i="65"/>
  <c r="FG199" i="65"/>
  <c r="FM215" i="65"/>
  <c r="GP215" i="65" s="1"/>
  <c r="FG215" i="65"/>
  <c r="FM231" i="65"/>
  <c r="GP231" i="65" s="1"/>
  <c r="FG231" i="65"/>
  <c r="FM247" i="65"/>
  <c r="GP247" i="65" s="1"/>
  <c r="FG247" i="65"/>
  <c r="FM263" i="65"/>
  <c r="GP263" i="65" s="1"/>
  <c r="FG263" i="65"/>
  <c r="FM279" i="65"/>
  <c r="GP279" i="65" s="1"/>
  <c r="FG279" i="65"/>
  <c r="FM295" i="65"/>
  <c r="GP295" i="65" s="1"/>
  <c r="FG295" i="65"/>
  <c r="FM311" i="65"/>
  <c r="GP311" i="65" s="1"/>
  <c r="FG311" i="65"/>
  <c r="FM327" i="65"/>
  <c r="GP327" i="65" s="1"/>
  <c r="FG327" i="65"/>
  <c r="FM343" i="65"/>
  <c r="GP343" i="65" s="1"/>
  <c r="FG343" i="65"/>
  <c r="FM359" i="65"/>
  <c r="GP359" i="65" s="1"/>
  <c r="FM375" i="65"/>
  <c r="FG375" i="65"/>
  <c r="FM365" i="65"/>
  <c r="GP365" i="65" s="1"/>
  <c r="FG365" i="65"/>
  <c r="FM344" i="65"/>
  <c r="GP344" i="65" s="1"/>
  <c r="FG344" i="65"/>
  <c r="FM301" i="65"/>
  <c r="FG301" i="65"/>
  <c r="FM280" i="65"/>
  <c r="GP280" i="65" s="1"/>
  <c r="FG280" i="65"/>
  <c r="FM237" i="65"/>
  <c r="FG237" i="65"/>
  <c r="FM216" i="65"/>
  <c r="GP216" i="65" s="1"/>
  <c r="FG216" i="65"/>
  <c r="FM380" i="65"/>
  <c r="GP380" i="65" s="1"/>
  <c r="FG380" i="65"/>
  <c r="FM337" i="65"/>
  <c r="GP337" i="65" s="1"/>
  <c r="FG337" i="65"/>
  <c r="FM316" i="65"/>
  <c r="GP316" i="65" s="1"/>
  <c r="FG316" i="65"/>
  <c r="FM273" i="65"/>
  <c r="GP273" i="65" s="1"/>
  <c r="FG273" i="65"/>
  <c r="FM252" i="65"/>
  <c r="GP252" i="65" s="1"/>
  <c r="FG252" i="65"/>
  <c r="FM209" i="65"/>
  <c r="GP209" i="65" s="1"/>
  <c r="FG209" i="65"/>
  <c r="FM188" i="65"/>
  <c r="GP188" i="65" s="1"/>
  <c r="FG188" i="65"/>
  <c r="FM317" i="65"/>
  <c r="GP317" i="65" s="1"/>
  <c r="FM232" i="65"/>
  <c r="GP232" i="65" s="1"/>
  <c r="FG232" i="65"/>
  <c r="FM332" i="65"/>
  <c r="FG332" i="65"/>
  <c r="FM268" i="65"/>
  <c r="GP268" i="65" s="1"/>
  <c r="FG268" i="65"/>
  <c r="FM204" i="65"/>
  <c r="GP204" i="65" s="1"/>
  <c r="FG204" i="65"/>
  <c r="FM207" i="65"/>
  <c r="GP207" i="65" s="1"/>
  <c r="FG207" i="65"/>
  <c r="FM255" i="65"/>
  <c r="FM319" i="65"/>
  <c r="GP319" i="65" s="1"/>
  <c r="FM383" i="65"/>
  <c r="FM376" i="65"/>
  <c r="GP376" i="65" s="1"/>
  <c r="FG376" i="65"/>
  <c r="FM241" i="65"/>
  <c r="GP241" i="65" s="1"/>
  <c r="FG325" i="65"/>
  <c r="FG304" i="65"/>
  <c r="FG76" i="65"/>
  <c r="FG121" i="65"/>
  <c r="FG89" i="65"/>
  <c r="FG31" i="65"/>
  <c r="FG111" i="65"/>
  <c r="FG159" i="65"/>
  <c r="FG223" i="65"/>
  <c r="FG287" i="65"/>
  <c r="FG351" i="65"/>
  <c r="FG269" i="65"/>
  <c r="FG369" i="65"/>
  <c r="FG284" i="65"/>
  <c r="FG113" i="65"/>
  <c r="FG160" i="65"/>
  <c r="FG317" i="65"/>
  <c r="FG370" i="65"/>
  <c r="FG359" i="65"/>
  <c r="FG258" i="65"/>
  <c r="FG210" i="65"/>
  <c r="FM153" i="65"/>
  <c r="GP153" i="65" s="1"/>
  <c r="FM21" i="65"/>
  <c r="GP21" i="65" s="1"/>
  <c r="FG21" i="65"/>
  <c r="FM37" i="65"/>
  <c r="GP37" i="65" s="1"/>
  <c r="FG37" i="65"/>
  <c r="FG53" i="65"/>
  <c r="FM69" i="65"/>
  <c r="GP69" i="65" s="1"/>
  <c r="FG69" i="65"/>
  <c r="FM85" i="65"/>
  <c r="FM10" i="65"/>
  <c r="FM374" i="65"/>
  <c r="GP374" i="65" s="1"/>
  <c r="FG374" i="65"/>
  <c r="FM310" i="65"/>
  <c r="FG246" i="65"/>
  <c r="FG161" i="65"/>
  <c r="FM38" i="65"/>
  <c r="GP38" i="65" s="1"/>
  <c r="FG38" i="65"/>
  <c r="FM14" i="65"/>
  <c r="GP14" i="65" s="1"/>
  <c r="FG14" i="65"/>
  <c r="FM262" i="65"/>
  <c r="GP262" i="65" s="1"/>
  <c r="FM9" i="65"/>
  <c r="GP9" i="65" s="1"/>
  <c r="FM41" i="65"/>
  <c r="GP41" i="65" s="1"/>
  <c r="FM117" i="65"/>
  <c r="GP117" i="65" s="1"/>
  <c r="FG117" i="65"/>
  <c r="FM18" i="65"/>
  <c r="GP18" i="65" s="1"/>
  <c r="FG18" i="65"/>
  <c r="FM178" i="65"/>
  <c r="GP178" i="65" s="1"/>
  <c r="FG178" i="65"/>
  <c r="FM114" i="65"/>
  <c r="FM162" i="65"/>
  <c r="FM66" i="65"/>
  <c r="GP66" i="65" s="1"/>
  <c r="FM130" i="65"/>
  <c r="GP130" i="65" s="1"/>
  <c r="FM82" i="65"/>
  <c r="FM50" i="65"/>
  <c r="GP50" i="65" s="1"/>
  <c r="FG50" i="65"/>
  <c r="FM34" i="65"/>
  <c r="GP34" i="65" s="1"/>
  <c r="FG34" i="65"/>
  <c r="FG362" i="65"/>
  <c r="FG350" i="65"/>
  <c r="FG228" i="65"/>
  <c r="FG272" i="65"/>
  <c r="FG126" i="65"/>
  <c r="FG217" i="65"/>
  <c r="FG57" i="65"/>
  <c r="FG79" i="65"/>
  <c r="FG127" i="65"/>
  <c r="FG162" i="65"/>
  <c r="FG66" i="65"/>
  <c r="FG262" i="65"/>
  <c r="FG138" i="65"/>
  <c r="FG189" i="65"/>
  <c r="FG286" i="65"/>
  <c r="FG352" i="65"/>
  <c r="FG213" i="65"/>
  <c r="FG386" i="65"/>
  <c r="FM382" i="65"/>
  <c r="GP382" i="65" s="1"/>
  <c r="FG382" i="65"/>
  <c r="FM366" i="65"/>
  <c r="FM318" i="65"/>
  <c r="GP318" i="65" s="1"/>
  <c r="FG318" i="65"/>
  <c r="FM334" i="65"/>
  <c r="GP334" i="65" s="1"/>
  <c r="FM302" i="65"/>
  <c r="FG302" i="65"/>
  <c r="FM176" i="65"/>
  <c r="GP176" i="65" s="1"/>
  <c r="FG176" i="65"/>
  <c r="FM197" i="65"/>
  <c r="FG197" i="65"/>
  <c r="FM60" i="65"/>
  <c r="FG60" i="65"/>
  <c r="FM116" i="65"/>
  <c r="GP116" i="65" s="1"/>
  <c r="FG116" i="65"/>
  <c r="FM206" i="65"/>
  <c r="GP206" i="65" s="1"/>
  <c r="FG206" i="65"/>
  <c r="FM52" i="65"/>
  <c r="FG52" i="65"/>
  <c r="FM110" i="65"/>
  <c r="GP110" i="65" s="1"/>
  <c r="FG110" i="65"/>
  <c r="FM190" i="65"/>
  <c r="GP190" i="65" s="1"/>
  <c r="FM8" i="65"/>
  <c r="FG8" i="65"/>
  <c r="FM338" i="65"/>
  <c r="GP338" i="65" s="1"/>
  <c r="FM64" i="65"/>
  <c r="FG64" i="65"/>
  <c r="FM122" i="65"/>
  <c r="GP122" i="65" s="1"/>
  <c r="FG122" i="65"/>
  <c r="FM184" i="65"/>
  <c r="GP184" i="65" s="1"/>
  <c r="FM120" i="65"/>
  <c r="FG120" i="65"/>
  <c r="FM156" i="65"/>
  <c r="GP156" i="65" s="1"/>
  <c r="FM56" i="65"/>
  <c r="FM94" i="65"/>
  <c r="GP94" i="65" s="1"/>
  <c r="FM174" i="65"/>
  <c r="GP174" i="65" s="1"/>
  <c r="FG174" i="65"/>
  <c r="FM158" i="65"/>
  <c r="GP158" i="65" s="1"/>
  <c r="FG158" i="65"/>
  <c r="FM205" i="65"/>
  <c r="GP205" i="65" s="1"/>
  <c r="FG205" i="65"/>
  <c r="FM24" i="65"/>
  <c r="GP24" i="65" s="1"/>
  <c r="FG24" i="65"/>
  <c r="FM137" i="65"/>
  <c r="FG137" i="65"/>
  <c r="FM169" i="65"/>
  <c r="GP169" i="65" s="1"/>
  <c r="FG169" i="65"/>
  <c r="FM13" i="65"/>
  <c r="GP13" i="65" s="1"/>
  <c r="FG13" i="65"/>
  <c r="FM29" i="65"/>
  <c r="GP29" i="65" s="1"/>
  <c r="FG29" i="65"/>
  <c r="FM45" i="65"/>
  <c r="GP45" i="65" s="1"/>
  <c r="FG45" i="65"/>
  <c r="FM61" i="65"/>
  <c r="FG61" i="65"/>
  <c r="FM77" i="65"/>
  <c r="GP77" i="65" s="1"/>
  <c r="FG77" i="65"/>
  <c r="FM93" i="65"/>
  <c r="GP93" i="65" s="1"/>
  <c r="FG93" i="65"/>
  <c r="FM157" i="65"/>
  <c r="GP157" i="65" s="1"/>
  <c r="FG157" i="65"/>
  <c r="FM58" i="65"/>
  <c r="GP58" i="65" s="1"/>
  <c r="FM26" i="65"/>
  <c r="GP26" i="65" s="1"/>
  <c r="FG26" i="65"/>
  <c r="FM342" i="65"/>
  <c r="FM278" i="65"/>
  <c r="FG278" i="65"/>
  <c r="FM214" i="65"/>
  <c r="GP214" i="65" s="1"/>
  <c r="FM150" i="65"/>
  <c r="GP150" i="65" s="1"/>
  <c r="FG150" i="65"/>
  <c r="FM129" i="65"/>
  <c r="FG129" i="65"/>
  <c r="FM133" i="65"/>
  <c r="GP133" i="65" s="1"/>
  <c r="FM86" i="65"/>
  <c r="FM54" i="65"/>
  <c r="FG54" i="65"/>
  <c r="FM182" i="65"/>
  <c r="GP182" i="65" s="1"/>
  <c r="FG182" i="65"/>
  <c r="FM118" i="65"/>
  <c r="FG118" i="65"/>
  <c r="FM70" i="65"/>
  <c r="FM177" i="65"/>
  <c r="FG177" i="65"/>
  <c r="FM30" i="65"/>
  <c r="GP30" i="65" s="1"/>
  <c r="FM105" i="65"/>
  <c r="FG105" i="65"/>
  <c r="FM17" i="65"/>
  <c r="GP17" i="65" s="1"/>
  <c r="FG17" i="65"/>
  <c r="FM33" i="65"/>
  <c r="FG33" i="65"/>
  <c r="FM49" i="65"/>
  <c r="FG49" i="65"/>
  <c r="FM65" i="65"/>
  <c r="GP65" i="65" s="1"/>
  <c r="FG65" i="65"/>
  <c r="FM81" i="65"/>
  <c r="FG81" i="65"/>
  <c r="FM97" i="65"/>
  <c r="FG97" i="65"/>
  <c r="FM22" i="65"/>
  <c r="GP22" i="65" s="1"/>
  <c r="FM194" i="65"/>
  <c r="GP194" i="65" s="1"/>
  <c r="FG194" i="65"/>
  <c r="FM173" i="65"/>
  <c r="FG173" i="65"/>
  <c r="FM109" i="65"/>
  <c r="GP109" i="65" s="1"/>
  <c r="FG109" i="65"/>
  <c r="FM358" i="65"/>
  <c r="GP358" i="65" s="1"/>
  <c r="FM294" i="65"/>
  <c r="GP294" i="65" s="1"/>
  <c r="FG294" i="65"/>
  <c r="FM230" i="65"/>
  <c r="GP230" i="65" s="1"/>
  <c r="FM166" i="65"/>
  <c r="FG166" i="65"/>
  <c r="FM145" i="65"/>
  <c r="GP145" i="65" s="1"/>
  <c r="FG145" i="65"/>
  <c r="FM102" i="65"/>
  <c r="FM149" i="65"/>
  <c r="GP149" i="65" s="1"/>
  <c r="FM46" i="65"/>
  <c r="GP46" i="65" s="1"/>
  <c r="FM125" i="65"/>
  <c r="FG125" i="65"/>
  <c r="FM74" i="65"/>
  <c r="GP74" i="65" s="1"/>
  <c r="FM42" i="65"/>
  <c r="GP42" i="65" s="1"/>
  <c r="FG42" i="65"/>
  <c r="FM165" i="65"/>
  <c r="GP165" i="65" s="1"/>
  <c r="FG165" i="65"/>
  <c r="FM101" i="65"/>
  <c r="GP101" i="65" s="1"/>
  <c r="FG101" i="65"/>
  <c r="FM73" i="65"/>
  <c r="GP73" i="65" s="1"/>
  <c r="FM141" i="65"/>
  <c r="GP141" i="65" s="1"/>
  <c r="FM390" i="65"/>
  <c r="GP390" i="65" s="1"/>
  <c r="FM326" i="65"/>
  <c r="GP326" i="65" s="1"/>
  <c r="FG326" i="65"/>
  <c r="FM134" i="65"/>
  <c r="FM62" i="65"/>
  <c r="GP62" i="65" s="1"/>
  <c r="FG62" i="65"/>
  <c r="FG329" i="65"/>
  <c r="FG282" i="65"/>
  <c r="FG281" i="65"/>
  <c r="FG265" i="65"/>
  <c r="FG68" i="65"/>
  <c r="FG25" i="65"/>
  <c r="FG73" i="65"/>
  <c r="FG47" i="65"/>
  <c r="FG95" i="65"/>
  <c r="FG191" i="65"/>
  <c r="FG255" i="65"/>
  <c r="FG319" i="65"/>
  <c r="FG383" i="65"/>
  <c r="FG312" i="65"/>
  <c r="FG141" i="65"/>
  <c r="FG241" i="65"/>
  <c r="FG156" i="65"/>
  <c r="FG56" i="65"/>
  <c r="FG153" i="65"/>
  <c r="FG330" i="65"/>
  <c r="FG277" i="65"/>
  <c r="FG114" i="65"/>
  <c r="FG86" i="65"/>
  <c r="FG70" i="65"/>
  <c r="FG358" i="65"/>
  <c r="FG149" i="65"/>
  <c r="FG85" i="65"/>
  <c r="FM394" i="65"/>
  <c r="GP394" i="65" s="1"/>
  <c r="FG394" i="65"/>
  <c r="FM398" i="65"/>
  <c r="GP398" i="65" s="1"/>
  <c r="FG398" i="65"/>
  <c r="FM426" i="65"/>
  <c r="FG426" i="65"/>
  <c r="FM412" i="65"/>
  <c r="GP412" i="65" s="1"/>
  <c r="FG412" i="65"/>
  <c r="FM428" i="65"/>
  <c r="GP428" i="65" s="1"/>
  <c r="FG428" i="65"/>
  <c r="FM406" i="65"/>
  <c r="GP406" i="65" s="1"/>
  <c r="FG406" i="65"/>
  <c r="FM416" i="65"/>
  <c r="FG416" i="65"/>
  <c r="FM408" i="65"/>
  <c r="GP408" i="65" s="1"/>
  <c r="FG408" i="65"/>
  <c r="FM405" i="65"/>
  <c r="GP405" i="65" s="1"/>
  <c r="FG405" i="65"/>
  <c r="FM402" i="65"/>
  <c r="GP402" i="65" s="1"/>
  <c r="FG402" i="65"/>
  <c r="FM436" i="65"/>
  <c r="GP436" i="65" s="1"/>
  <c r="FG436" i="65"/>
  <c r="FM433" i="65"/>
  <c r="GP433" i="65" s="1"/>
  <c r="FG433" i="65"/>
  <c r="FM434" i="65"/>
  <c r="GP434" i="65" s="1"/>
  <c r="FG434" i="65"/>
  <c r="FM425" i="65"/>
  <c r="GP425" i="65" s="1"/>
  <c r="FG425" i="65"/>
  <c r="FM6" i="65"/>
  <c r="GP6" i="65" s="1"/>
  <c r="FG6" i="65"/>
  <c r="FM437" i="65"/>
  <c r="GP437" i="65" s="1"/>
  <c r="FG437" i="65"/>
  <c r="FM391" i="65"/>
  <c r="FG391" i="65"/>
  <c r="FM407" i="65"/>
  <c r="GP407" i="65" s="1"/>
  <c r="FG407" i="65"/>
  <c r="FM429" i="65"/>
  <c r="GP429" i="65" s="1"/>
  <c r="FG429" i="65"/>
  <c r="FM424" i="65"/>
  <c r="GP424" i="65" s="1"/>
  <c r="FG424" i="65"/>
  <c r="FM399" i="65"/>
  <c r="FG399" i="65"/>
  <c r="FM415" i="65"/>
  <c r="GP415" i="65" s="1"/>
  <c r="FG415" i="65"/>
  <c r="FM440" i="65"/>
  <c r="GP440" i="65" s="1"/>
  <c r="FG440" i="65"/>
  <c r="FM397" i="65"/>
  <c r="GP397" i="65" s="1"/>
  <c r="FG397" i="65"/>
  <c r="FM432" i="65"/>
  <c r="FG432" i="65"/>
  <c r="FM403" i="65"/>
  <c r="GP403" i="65" s="1"/>
  <c r="FG403" i="65"/>
  <c r="FM413" i="65"/>
  <c r="GP413" i="65" s="1"/>
  <c r="FG413" i="65"/>
  <c r="FM421" i="65"/>
  <c r="FG421" i="65"/>
  <c r="FM395" i="65"/>
  <c r="FG395" i="65"/>
  <c r="FM411" i="65"/>
  <c r="GP411" i="65" s="1"/>
  <c r="FG411" i="65"/>
  <c r="FM419" i="65"/>
  <c r="GP419" i="65" s="1"/>
  <c r="FG419" i="65"/>
  <c r="FM414" i="65"/>
  <c r="GP414" i="65" s="1"/>
  <c r="FG414" i="65"/>
  <c r="FM422" i="65"/>
  <c r="FG422" i="65"/>
  <c r="FM418" i="65"/>
  <c r="GP418" i="65" s="1"/>
  <c r="FG418" i="65"/>
  <c r="FM410" i="65"/>
  <c r="GP410" i="65" s="1"/>
  <c r="FG410" i="65"/>
  <c r="FM430" i="65"/>
  <c r="GP430" i="65" s="1"/>
  <c r="FG430" i="65"/>
  <c r="FM392" i="65"/>
  <c r="FG392" i="65"/>
  <c r="FM400" i="65"/>
  <c r="FG400" i="65"/>
  <c r="FM438" i="65"/>
  <c r="GP438" i="65" s="1"/>
  <c r="FG438" i="65"/>
  <c r="FM423" i="65"/>
  <c r="GP423" i="65" s="1"/>
  <c r="FG423" i="65"/>
  <c r="FM439" i="65"/>
  <c r="FG439" i="65"/>
  <c r="FM401" i="65"/>
  <c r="GP401" i="65" s="1"/>
  <c r="FG401" i="65"/>
  <c r="FM393" i="65"/>
  <c r="GP393" i="65" s="1"/>
  <c r="FG393" i="65"/>
  <c r="FM420" i="65"/>
  <c r="GP420" i="65" s="1"/>
  <c r="FG420" i="65"/>
  <c r="FM431" i="65"/>
  <c r="FG431" i="65"/>
  <c r="FM404" i="65"/>
  <c r="GP404" i="65" s="1"/>
  <c r="FG404" i="65"/>
  <c r="FM435" i="65"/>
  <c r="GP435" i="65" s="1"/>
  <c r="FG435" i="65"/>
  <c r="FM409" i="65"/>
  <c r="GP409" i="65" s="1"/>
  <c r="FG409" i="65"/>
  <c r="FM427" i="65"/>
  <c r="FG427" i="65"/>
  <c r="FM417" i="65"/>
  <c r="GP417" i="65" s="1"/>
  <c r="FG417" i="65"/>
  <c r="FM396" i="65"/>
  <c r="GP396" i="65" s="1"/>
  <c r="FG396" i="65"/>
  <c r="GP201" i="65"/>
  <c r="GN264" i="65"/>
  <c r="GN274" i="65"/>
  <c r="GN121" i="65"/>
  <c r="GN394" i="65"/>
  <c r="GN385" i="65"/>
  <c r="GN440" i="65"/>
  <c r="GN425" i="65"/>
  <c r="GN27" i="65"/>
  <c r="GN296" i="65"/>
  <c r="GP181" i="65"/>
  <c r="GN76" i="65"/>
  <c r="GN24" i="65"/>
  <c r="GP83" i="65"/>
  <c r="GN195" i="65"/>
  <c r="GP39" i="65"/>
  <c r="GN422" i="65"/>
  <c r="GP301" i="65"/>
  <c r="GN396" i="65"/>
  <c r="GN308" i="65"/>
  <c r="GN120" i="65"/>
  <c r="GP384" i="65"/>
  <c r="GN304" i="65"/>
  <c r="GN272" i="65"/>
  <c r="GN158" i="65"/>
  <c r="GP137" i="65"/>
  <c r="GN431" i="65"/>
  <c r="GN345" i="65"/>
  <c r="GN150" i="65"/>
  <c r="GN182" i="65"/>
  <c r="GN22" i="65"/>
  <c r="GN74" i="65"/>
  <c r="GN34" i="65"/>
  <c r="GN236" i="65"/>
  <c r="GN154" i="65"/>
  <c r="GN23" i="65"/>
  <c r="GN39" i="65"/>
  <c r="GP386" i="65"/>
  <c r="GN380" i="65"/>
  <c r="GN319" i="65"/>
  <c r="GN139" i="65"/>
  <c r="GN399" i="65"/>
  <c r="GN392" i="65"/>
  <c r="GN400" i="65"/>
  <c r="GN244" i="65"/>
  <c r="GN218" i="65"/>
  <c r="GN8" i="65"/>
  <c r="GN21" i="65"/>
  <c r="GN53" i="65"/>
  <c r="GN59" i="65"/>
  <c r="GN283" i="65"/>
  <c r="GN253" i="65"/>
  <c r="GN374" i="65"/>
  <c r="GN246" i="65"/>
  <c r="GP64" i="65"/>
  <c r="GN354" i="65"/>
  <c r="GN282" i="65"/>
  <c r="GN250" i="65"/>
  <c r="GN217" i="65"/>
  <c r="GN369" i="65"/>
  <c r="GN361" i="65"/>
  <c r="GN238" i="65"/>
  <c r="GN137" i="65"/>
  <c r="GN19" i="65"/>
  <c r="GN243" i="65"/>
  <c r="GN136" i="65"/>
  <c r="GN214" i="65"/>
  <c r="GN133" i="65"/>
  <c r="GN20" i="65"/>
  <c r="GN210" i="65"/>
  <c r="GN333" i="65"/>
  <c r="GN88" i="65"/>
  <c r="GN135" i="65"/>
  <c r="GN167" i="65"/>
  <c r="GN359" i="65"/>
  <c r="GN375" i="65"/>
  <c r="GN280" i="65"/>
  <c r="GN258" i="65"/>
  <c r="GN130" i="65"/>
  <c r="GN50" i="65"/>
  <c r="GN124" i="65"/>
  <c r="GN128" i="65"/>
  <c r="GN46" i="65"/>
  <c r="GN165" i="65"/>
  <c r="GN290" i="65"/>
  <c r="GN326" i="65"/>
  <c r="GN402" i="65"/>
  <c r="GN412" i="65"/>
  <c r="GN410" i="65"/>
  <c r="GN403" i="65"/>
  <c r="GN434" i="65"/>
  <c r="GN411" i="65"/>
  <c r="GN382" i="65"/>
  <c r="GN366" i="65"/>
  <c r="GN245" i="65"/>
  <c r="GN85" i="65"/>
  <c r="GN91" i="65"/>
  <c r="GN123" i="65"/>
  <c r="GP251" i="65"/>
  <c r="GN315" i="65"/>
  <c r="GN331" i="65"/>
  <c r="GN363" i="65"/>
  <c r="GN122" i="65"/>
  <c r="GN127" i="65"/>
  <c r="GN367" i="65"/>
  <c r="GN325" i="65"/>
  <c r="GN329" i="65"/>
  <c r="GN9" i="65"/>
  <c r="GN25" i="65"/>
  <c r="GN57" i="65"/>
  <c r="GN47" i="65"/>
  <c r="GP111" i="65"/>
  <c r="GP175" i="65"/>
  <c r="GN288" i="65"/>
  <c r="GN286" i="65"/>
  <c r="GN169" i="65"/>
  <c r="GP212" i="65"/>
  <c r="GN13" i="65"/>
  <c r="GN51" i="65"/>
  <c r="GN99" i="65"/>
  <c r="GN115" i="65"/>
  <c r="GN131" i="65"/>
  <c r="GN291" i="65"/>
  <c r="GN285" i="65"/>
  <c r="GN242" i="65"/>
  <c r="GN172" i="65"/>
  <c r="GN80" i="65"/>
  <c r="GN48" i="65"/>
  <c r="GN7" i="65"/>
  <c r="GN86" i="65"/>
  <c r="GN32" i="65"/>
  <c r="GN68" i="65"/>
  <c r="GN305" i="65"/>
  <c r="GP138" i="65"/>
  <c r="GN372" i="65"/>
  <c r="GN336" i="65"/>
  <c r="GN324" i="65"/>
  <c r="GN254" i="65"/>
  <c r="GN17" i="65"/>
  <c r="GN365" i="65"/>
  <c r="GN216" i="65"/>
  <c r="GN12" i="65"/>
  <c r="GN294" i="65"/>
  <c r="GN209" i="65"/>
  <c r="GN168" i="65"/>
  <c r="GN332" i="65"/>
  <c r="GN204" i="65"/>
  <c r="GN140" i="65"/>
  <c r="GN96" i="65"/>
  <c r="GN134" i="65"/>
  <c r="GN398" i="65"/>
  <c r="GN407" i="65"/>
  <c r="GN401" i="65"/>
  <c r="GN424" i="65"/>
  <c r="GN405" i="65"/>
  <c r="GN404" i="65"/>
  <c r="GN406" i="65"/>
  <c r="GN60" i="65"/>
  <c r="GN206" i="65"/>
  <c r="GN10" i="65"/>
  <c r="GN381" i="65"/>
  <c r="GN38" i="65"/>
  <c r="GN14" i="65"/>
  <c r="GN94" i="65"/>
  <c r="GN362" i="65"/>
  <c r="GN126" i="65"/>
  <c r="GN174" i="65"/>
  <c r="GN89" i="65"/>
  <c r="GN205" i="65"/>
  <c r="GN98" i="65"/>
  <c r="GN330" i="65"/>
  <c r="GN256" i="65"/>
  <c r="GN208" i="65"/>
  <c r="GN28" i="65"/>
  <c r="GN92" i="65"/>
  <c r="GN16" i="65"/>
  <c r="GN61" i="65"/>
  <c r="GN93" i="65"/>
  <c r="GN163" i="65"/>
  <c r="GN323" i="65"/>
  <c r="GN339" i="65"/>
  <c r="GN355" i="65"/>
  <c r="GN370" i="65"/>
  <c r="GN54" i="65"/>
  <c r="GN289" i="65"/>
  <c r="GN95" i="65"/>
  <c r="GN287" i="65"/>
  <c r="GN373" i="65"/>
  <c r="GN240" i="65"/>
  <c r="GN292" i="65"/>
  <c r="GP105" i="65"/>
  <c r="GN196" i="65"/>
  <c r="GN36" i="65"/>
  <c r="GN180" i="65"/>
  <c r="GN49" i="65"/>
  <c r="GN65" i="65"/>
  <c r="GN97" i="65"/>
  <c r="GN215" i="65"/>
  <c r="GN247" i="65"/>
  <c r="GN337" i="65"/>
  <c r="GN252" i="65"/>
  <c r="GN149" i="65"/>
  <c r="GN6" i="65"/>
  <c r="GN15" i="65"/>
  <c r="GN143" i="65"/>
  <c r="GN241" i="65"/>
  <c r="GN408" i="65"/>
  <c r="GN413" i="65"/>
  <c r="GN409" i="65"/>
  <c r="GN334" i="65"/>
  <c r="GN164" i="65"/>
  <c r="GN52" i="65"/>
  <c r="GN11" i="65"/>
  <c r="GN171" i="65"/>
  <c r="GN203" i="65"/>
  <c r="GN251" i="65"/>
  <c r="GN360" i="65"/>
  <c r="GN161" i="65"/>
  <c r="GN56" i="65"/>
  <c r="GN281" i="65"/>
  <c r="GN175" i="65"/>
  <c r="GN335" i="65"/>
  <c r="GN284" i="65"/>
  <c r="GN368" i="65"/>
  <c r="GN277" i="65"/>
  <c r="GN84" i="65"/>
  <c r="GN132" i="65"/>
  <c r="GN212" i="65"/>
  <c r="GN18" i="65"/>
  <c r="GN211" i="65"/>
  <c r="GN371" i="65"/>
  <c r="GN328" i="65"/>
  <c r="GN90" i="65"/>
  <c r="GN58" i="65"/>
  <c r="GN364" i="65"/>
  <c r="GN129" i="65"/>
  <c r="GN248" i="65"/>
  <c r="GN162" i="65"/>
  <c r="GN66" i="65"/>
  <c r="GN293" i="65"/>
  <c r="GN213" i="65"/>
  <c r="GN55" i="65"/>
  <c r="GN71" i="65"/>
  <c r="GN87" i="65"/>
  <c r="GN279" i="65"/>
  <c r="GN311" i="65"/>
  <c r="GN327" i="65"/>
  <c r="GN322" i="65"/>
  <c r="GN173" i="65"/>
  <c r="GN166" i="65"/>
  <c r="GN170" i="65"/>
  <c r="GP128" i="65"/>
  <c r="GN78" i="65"/>
  <c r="GN125" i="65"/>
  <c r="GN207" i="65"/>
  <c r="GN255" i="65"/>
  <c r="GN160" i="65"/>
  <c r="GN62" i="65"/>
  <c r="FM187" i="65"/>
  <c r="GP187" i="65" s="1"/>
  <c r="FM246" i="65"/>
  <c r="GP246" i="65" s="1"/>
  <c r="FM202" i="65"/>
  <c r="GP202" i="65" s="1"/>
  <c r="FM369" i="65"/>
  <c r="GP369" i="65" s="1"/>
  <c r="FM346" i="65"/>
  <c r="GP346" i="65" s="1"/>
  <c r="FM53" i="65"/>
  <c r="GP53" i="65" s="1"/>
  <c r="FM98" i="65"/>
  <c r="GP98" i="65" s="1"/>
  <c r="GP416" i="65"/>
  <c r="FM75" i="65"/>
  <c r="GP75" i="65" s="1"/>
  <c r="FM331" i="65"/>
  <c r="GP331" i="65" s="1"/>
  <c r="FM239" i="65"/>
  <c r="GP239" i="65" s="1"/>
  <c r="FM113" i="65"/>
  <c r="GP113" i="65" s="1"/>
  <c r="FM286" i="65"/>
  <c r="GP286" i="65" s="1"/>
  <c r="FM378" i="65"/>
  <c r="GP378" i="65" s="1"/>
  <c r="FM164" i="65"/>
  <c r="GP164" i="65" s="1"/>
  <c r="FM76" i="65"/>
  <c r="GP76" i="65" s="1"/>
  <c r="GP310" i="65"/>
  <c r="GP131" i="65"/>
  <c r="GP342" i="65"/>
  <c r="GN112" i="65"/>
  <c r="GP81" i="65"/>
  <c r="GP199" i="65"/>
  <c r="GN340" i="65"/>
  <c r="GP59" i="65"/>
  <c r="GP272" i="65"/>
  <c r="GP25" i="65"/>
  <c r="GP114" i="65"/>
  <c r="GP118" i="65"/>
  <c r="GP240" i="65"/>
  <c r="GP192" i="65"/>
  <c r="GP148" i="65"/>
  <c r="GP79" i="65"/>
  <c r="GP191" i="65"/>
  <c r="GP269" i="65"/>
  <c r="GP282" i="65"/>
  <c r="GP211" i="65"/>
  <c r="GP339" i="65"/>
  <c r="GP193" i="65"/>
  <c r="GP86" i="65"/>
  <c r="GP159" i="65"/>
  <c r="GP162" i="65"/>
  <c r="GP102" i="65"/>
  <c r="GP170" i="65"/>
  <c r="GP255" i="65"/>
  <c r="GP276" i="65"/>
  <c r="GP142" i="65"/>
  <c r="GP274" i="65"/>
  <c r="GP8" i="65"/>
  <c r="FM379" i="65"/>
  <c r="GP379" i="65" s="1"/>
  <c r="FM146" i="65"/>
  <c r="GP146" i="65" s="1"/>
  <c r="FM354" i="65"/>
  <c r="GP354" i="65" s="1"/>
  <c r="GP391" i="65"/>
  <c r="GP422" i="65"/>
  <c r="GP426" i="65"/>
  <c r="GP399" i="65"/>
  <c r="GP432" i="65"/>
  <c r="GP421" i="65"/>
  <c r="GP427" i="65"/>
  <c r="GP266" i="65"/>
  <c r="GN260" i="65"/>
  <c r="GP60" i="65"/>
  <c r="GP52" i="65"/>
  <c r="GP10" i="65"/>
  <c r="GP139" i="65"/>
  <c r="GP267" i="65"/>
  <c r="FM315" i="65"/>
  <c r="GP315" i="65" s="1"/>
  <c r="GP381" i="65"/>
  <c r="FM161" i="65"/>
  <c r="GP161" i="65" s="1"/>
  <c r="FM367" i="65"/>
  <c r="GP367" i="65" s="1"/>
  <c r="GP439" i="65"/>
  <c r="GP395" i="65"/>
  <c r="GP366" i="65"/>
  <c r="GP245" i="65"/>
  <c r="GN302" i="65"/>
  <c r="GP85" i="65"/>
  <c r="GP27" i="65"/>
  <c r="GP91" i="65"/>
  <c r="GP219" i="65"/>
  <c r="GP363" i="65"/>
  <c r="FM189" i="65"/>
  <c r="GP189" i="65" s="1"/>
  <c r="FM104" i="65"/>
  <c r="GP104" i="65" s="1"/>
  <c r="GN416" i="65"/>
  <c r="GL414" i="65"/>
  <c r="GP431" i="65"/>
  <c r="GP392" i="65"/>
  <c r="GP400" i="65"/>
  <c r="GP302" i="65"/>
  <c r="GP197" i="65"/>
  <c r="GP299" i="65"/>
  <c r="FM296" i="65"/>
  <c r="GP296" i="65" s="1"/>
  <c r="FM127" i="65"/>
  <c r="GP127" i="65" s="1"/>
  <c r="GP120" i="65"/>
  <c r="GP341" i="65"/>
  <c r="GP350" i="65"/>
  <c r="GP377" i="65"/>
  <c r="GP229" i="65"/>
  <c r="GP281" i="65"/>
  <c r="GP185" i="65"/>
  <c r="GP16" i="65"/>
  <c r="GP257" i="65"/>
  <c r="GP56" i="65"/>
  <c r="GN341" i="65"/>
  <c r="GP250" i="65"/>
  <c r="GP224" i="65"/>
  <c r="GP126" i="65"/>
  <c r="GP217" i="65"/>
  <c r="GP57" i="65"/>
  <c r="GP89" i="65"/>
  <c r="GP47" i="65"/>
  <c r="GP335" i="65"/>
  <c r="GP389" i="65"/>
  <c r="GP238" i="65"/>
  <c r="GP28" i="65"/>
  <c r="GP61" i="65"/>
  <c r="GP35" i="65"/>
  <c r="GP163" i="65"/>
  <c r="GP291" i="65"/>
  <c r="GP242" i="65"/>
  <c r="GP221" i="65"/>
  <c r="FM144" i="65"/>
  <c r="GP144" i="65" s="1"/>
  <c r="FM68" i="65"/>
  <c r="GP68" i="65" s="1"/>
  <c r="GN189" i="65"/>
  <c r="GP362" i="65"/>
  <c r="GP325" i="65"/>
  <c r="GP228" i="65"/>
  <c r="GP284" i="65"/>
  <c r="GP313" i="65"/>
  <c r="GP179" i="65"/>
  <c r="GP243" i="65"/>
  <c r="GP364" i="65"/>
  <c r="GP278" i="65"/>
  <c r="GP129" i="65"/>
  <c r="GP112" i="65"/>
  <c r="GP54" i="65"/>
  <c r="FM289" i="65"/>
  <c r="GP289" i="65" s="1"/>
  <c r="GP80" i="65"/>
  <c r="GP154" i="65"/>
  <c r="FM20" i="65"/>
  <c r="GP20" i="65" s="1"/>
  <c r="GP210" i="65"/>
  <c r="GP31" i="65"/>
  <c r="GP287" i="65"/>
  <c r="GP333" i="65"/>
  <c r="GP372" i="65"/>
  <c r="GP196" i="65"/>
  <c r="GN344" i="65"/>
  <c r="GP258" i="65"/>
  <c r="GP173" i="65"/>
  <c r="GP166" i="65"/>
  <c r="GN102" i="65"/>
  <c r="GP78" i="65"/>
  <c r="GP15" i="65"/>
  <c r="GP70" i="65"/>
  <c r="GP305" i="65"/>
  <c r="GP373" i="65"/>
  <c r="GP49" i="65"/>
  <c r="GN103" i="65"/>
  <c r="GP119" i="65"/>
  <c r="GP135" i="65"/>
  <c r="GP82" i="65"/>
  <c r="GP72" i="65"/>
  <c r="GP383" i="65"/>
  <c r="GP134" i="65"/>
  <c r="GP332" i="65"/>
  <c r="GP177" i="65"/>
  <c r="GP261" i="65"/>
  <c r="GP33" i="65"/>
  <c r="GP97" i="65"/>
  <c r="GP375" i="65"/>
  <c r="GP237" i="65"/>
  <c r="GP124" i="65"/>
  <c r="GP125" i="65"/>
  <c r="GP140" i="65"/>
  <c r="GP96" i="65"/>
  <c r="GP121" i="65"/>
  <c r="GP143" i="65"/>
  <c r="GP226" i="65"/>
  <c r="GL366" i="65"/>
  <c r="FW366" i="65"/>
  <c r="GM366" i="65" s="1"/>
  <c r="GL318" i="65"/>
  <c r="FW318" i="65"/>
  <c r="GM318" i="65" s="1"/>
  <c r="GL298" i="65"/>
  <c r="FW298" i="65"/>
  <c r="GM298" i="65" s="1"/>
  <c r="GL302" i="65"/>
  <c r="FW302" i="65"/>
  <c r="GM302" i="65" s="1"/>
  <c r="GL197" i="65"/>
  <c r="FW197" i="65"/>
  <c r="GM197" i="65" s="1"/>
  <c r="GL189" i="65"/>
  <c r="FW189" i="65"/>
  <c r="GM189" i="65" s="1"/>
  <c r="GL146" i="65"/>
  <c r="FW146" i="65"/>
  <c r="GM146" i="65" s="1"/>
  <c r="GL374" i="65"/>
  <c r="FW374" i="65"/>
  <c r="GM374" i="65" s="1"/>
  <c r="GL246" i="65"/>
  <c r="FW246" i="65"/>
  <c r="GM246" i="65" s="1"/>
  <c r="GL122" i="65"/>
  <c r="FW122" i="65"/>
  <c r="GM122" i="65" s="1"/>
  <c r="GL38" i="65"/>
  <c r="FW38" i="65"/>
  <c r="GM38" i="65" s="1"/>
  <c r="GL14" i="65"/>
  <c r="FW14" i="65"/>
  <c r="GM14" i="65" s="1"/>
  <c r="GL354" i="65"/>
  <c r="FW354" i="65"/>
  <c r="GM354" i="65" s="1"/>
  <c r="GL262" i="65"/>
  <c r="FW262" i="65"/>
  <c r="GM262" i="65" s="1"/>
  <c r="GL94" i="65"/>
  <c r="FW94" i="65"/>
  <c r="GM94" i="65" s="1"/>
  <c r="GL384" i="65"/>
  <c r="FW384" i="65"/>
  <c r="GM384" i="65" s="1"/>
  <c r="GL325" i="65"/>
  <c r="FW325" i="65"/>
  <c r="GM325" i="65" s="1"/>
  <c r="GL229" i="65"/>
  <c r="FW229" i="65"/>
  <c r="GM229" i="65" s="1"/>
  <c r="GL228" i="65"/>
  <c r="FW228" i="65"/>
  <c r="GM228" i="65" s="1"/>
  <c r="GL304" i="65"/>
  <c r="FW304" i="65"/>
  <c r="GM304" i="65" s="1"/>
  <c r="GL281" i="65"/>
  <c r="FW281" i="65"/>
  <c r="GM281" i="65" s="1"/>
  <c r="GL181" i="65"/>
  <c r="FW181" i="65"/>
  <c r="GM181" i="65" s="1"/>
  <c r="GL202" i="65"/>
  <c r="FW202" i="65"/>
  <c r="GM202" i="65" s="1"/>
  <c r="GL217" i="65"/>
  <c r="FW217" i="65"/>
  <c r="GM217" i="65" s="1"/>
  <c r="GL9" i="65"/>
  <c r="FW9" i="65"/>
  <c r="GM9" i="65" s="1"/>
  <c r="GL41" i="65"/>
  <c r="FW41" i="65"/>
  <c r="GM41" i="65" s="1"/>
  <c r="GL89" i="65"/>
  <c r="FW89" i="65"/>
  <c r="GM89" i="65" s="1"/>
  <c r="GL47" i="65"/>
  <c r="FW47" i="65"/>
  <c r="GM47" i="65" s="1"/>
  <c r="GL175" i="65"/>
  <c r="FW175" i="65"/>
  <c r="GM175" i="65" s="1"/>
  <c r="GN271" i="65"/>
  <c r="GL335" i="65"/>
  <c r="FW335" i="65"/>
  <c r="GM335" i="65" s="1"/>
  <c r="GL113" i="65"/>
  <c r="FW113" i="65"/>
  <c r="GM113" i="65" s="1"/>
  <c r="GL117" i="65"/>
  <c r="FW117" i="65"/>
  <c r="GM117" i="65" s="1"/>
  <c r="GL346" i="65"/>
  <c r="FW346" i="65"/>
  <c r="GM346" i="65" s="1"/>
  <c r="GL330" i="65"/>
  <c r="FW330" i="65"/>
  <c r="GM330" i="65" s="1"/>
  <c r="GL234" i="65"/>
  <c r="FW234" i="65"/>
  <c r="GM234" i="65" s="1"/>
  <c r="GL286" i="65"/>
  <c r="FW286" i="65"/>
  <c r="GM286" i="65" s="1"/>
  <c r="GL18" i="65"/>
  <c r="FW18" i="65"/>
  <c r="GM18" i="65" s="1"/>
  <c r="GL370" i="65"/>
  <c r="FW370" i="65"/>
  <c r="GM370" i="65" s="1"/>
  <c r="GL242" i="65"/>
  <c r="FW242" i="65"/>
  <c r="GM242" i="65" s="1"/>
  <c r="GL200" i="65"/>
  <c r="FW200" i="65"/>
  <c r="GM200" i="65" s="1"/>
  <c r="GL178" i="65"/>
  <c r="FW178" i="65"/>
  <c r="GM178" i="65" s="1"/>
  <c r="GL26" i="65"/>
  <c r="FW26" i="65"/>
  <c r="GM26" i="65" s="1"/>
  <c r="GL278" i="65"/>
  <c r="FW278" i="65"/>
  <c r="GM278" i="65" s="1"/>
  <c r="GL150" i="65"/>
  <c r="FW150" i="65"/>
  <c r="GM150" i="65" s="1"/>
  <c r="GL54" i="65"/>
  <c r="FW54" i="65"/>
  <c r="GM54" i="65" s="1"/>
  <c r="GL182" i="65"/>
  <c r="FW182" i="65"/>
  <c r="GM182" i="65" s="1"/>
  <c r="GL70" i="65"/>
  <c r="FW70" i="65"/>
  <c r="GM70" i="65" s="1"/>
  <c r="GL162" i="65"/>
  <c r="FW162" i="65"/>
  <c r="GM162" i="65" s="1"/>
  <c r="GL352" i="65"/>
  <c r="FW352" i="65"/>
  <c r="GM352" i="65" s="1"/>
  <c r="GL373" i="65"/>
  <c r="FW373" i="65"/>
  <c r="GM373" i="65" s="1"/>
  <c r="GL372" i="65"/>
  <c r="FW372" i="65"/>
  <c r="GM372" i="65" s="1"/>
  <c r="GL324" i="65"/>
  <c r="FW324" i="65"/>
  <c r="GM324" i="65" s="1"/>
  <c r="GL293" i="65"/>
  <c r="FW293" i="65"/>
  <c r="GM293" i="65" s="1"/>
  <c r="GL292" i="65"/>
  <c r="FW292" i="65"/>
  <c r="GM292" i="65" s="1"/>
  <c r="GL297" i="65"/>
  <c r="FW297" i="65"/>
  <c r="GM297" i="65" s="1"/>
  <c r="GL276" i="65"/>
  <c r="FW276" i="65"/>
  <c r="GM276" i="65" s="1"/>
  <c r="GL192" i="65"/>
  <c r="FW192" i="65"/>
  <c r="GM192" i="65" s="1"/>
  <c r="GL44" i="65"/>
  <c r="FW44" i="65"/>
  <c r="GM44" i="65" s="1"/>
  <c r="GL148" i="65"/>
  <c r="FW148" i="65"/>
  <c r="GM148" i="65" s="1"/>
  <c r="GL36" i="65"/>
  <c r="FW36" i="65"/>
  <c r="GM36" i="65" s="1"/>
  <c r="GL33" i="65"/>
  <c r="FW33" i="65"/>
  <c r="GM33" i="65" s="1"/>
  <c r="GL65" i="65"/>
  <c r="FW65" i="65"/>
  <c r="GM65" i="65" s="1"/>
  <c r="GL97" i="65"/>
  <c r="FW97" i="65"/>
  <c r="GM97" i="65" s="1"/>
  <c r="GL39" i="65"/>
  <c r="FW39" i="65"/>
  <c r="GM39" i="65" s="1"/>
  <c r="GL71" i="65"/>
  <c r="FW71" i="65"/>
  <c r="GM71" i="65" s="1"/>
  <c r="GL103" i="65"/>
  <c r="FW103" i="65"/>
  <c r="GM103" i="65" s="1"/>
  <c r="GN119" i="65"/>
  <c r="GL135" i="65"/>
  <c r="FW135" i="65"/>
  <c r="GM135" i="65" s="1"/>
  <c r="GL167" i="65"/>
  <c r="FW167" i="65"/>
  <c r="GM167" i="65" s="1"/>
  <c r="GL199" i="65"/>
  <c r="FW199" i="65"/>
  <c r="GM199" i="65" s="1"/>
  <c r="GL231" i="65"/>
  <c r="FW231" i="65"/>
  <c r="GM231" i="65" s="1"/>
  <c r="GL263" i="65"/>
  <c r="FW263" i="65"/>
  <c r="GM263" i="65" s="1"/>
  <c r="GL295" i="65"/>
  <c r="FW295" i="65"/>
  <c r="GM295" i="65" s="1"/>
  <c r="GL327" i="65"/>
  <c r="FW327" i="65"/>
  <c r="GM327" i="65" s="1"/>
  <c r="GL359" i="65"/>
  <c r="FW359" i="65"/>
  <c r="GM359" i="65" s="1"/>
  <c r="GL365" i="65"/>
  <c r="FW365" i="65"/>
  <c r="GM365" i="65" s="1"/>
  <c r="GL344" i="65"/>
  <c r="FW344" i="65"/>
  <c r="GM344" i="65" s="1"/>
  <c r="GL237" i="65"/>
  <c r="FW237" i="65"/>
  <c r="GM237" i="65" s="1"/>
  <c r="GL216" i="65"/>
  <c r="FW216" i="65"/>
  <c r="GM216" i="65" s="1"/>
  <c r="GL194" i="65"/>
  <c r="FW194" i="65"/>
  <c r="GM194" i="65" s="1"/>
  <c r="GL152" i="65"/>
  <c r="FW152" i="65"/>
  <c r="GM152" i="65" s="1"/>
  <c r="GL109" i="65"/>
  <c r="FW109" i="65"/>
  <c r="GM109" i="65" s="1"/>
  <c r="GL337" i="65"/>
  <c r="FW337" i="65"/>
  <c r="GM337" i="65" s="1"/>
  <c r="GL316" i="65"/>
  <c r="FW316" i="65"/>
  <c r="GM316" i="65" s="1"/>
  <c r="GL209" i="65"/>
  <c r="FW209" i="65"/>
  <c r="GM209" i="65" s="1"/>
  <c r="GL124" i="65"/>
  <c r="FW124" i="65"/>
  <c r="GM124" i="65" s="1"/>
  <c r="GL72" i="65"/>
  <c r="FW72" i="65"/>
  <c r="GM72" i="65" s="1"/>
  <c r="GL128" i="65"/>
  <c r="FW128" i="65"/>
  <c r="GM128" i="65" s="1"/>
  <c r="FW6" i="65"/>
  <c r="GM6" i="65" s="1"/>
  <c r="GL6" i="65"/>
  <c r="GL317" i="65"/>
  <c r="FW317" i="65"/>
  <c r="GM317" i="65" s="1"/>
  <c r="GL125" i="65"/>
  <c r="FW125" i="65"/>
  <c r="GM125" i="65" s="1"/>
  <c r="GL332" i="65"/>
  <c r="FW332" i="65"/>
  <c r="GM332" i="65" s="1"/>
  <c r="GL140" i="65"/>
  <c r="FW140" i="65"/>
  <c r="GM140" i="65" s="1"/>
  <c r="GL165" i="65"/>
  <c r="FW165" i="65"/>
  <c r="GM165" i="65" s="1"/>
  <c r="GL121" i="65"/>
  <c r="FW121" i="65"/>
  <c r="GM121" i="65" s="1"/>
  <c r="GL79" i="65"/>
  <c r="FW79" i="65"/>
  <c r="GM79" i="65" s="1"/>
  <c r="GL207" i="65"/>
  <c r="FW207" i="65"/>
  <c r="GM207" i="65" s="1"/>
  <c r="GL319" i="65"/>
  <c r="FW319" i="65"/>
  <c r="GM319" i="65" s="1"/>
  <c r="GL376" i="65"/>
  <c r="FW376" i="65"/>
  <c r="GM376" i="65" s="1"/>
  <c r="GL141" i="65"/>
  <c r="FW141" i="65"/>
  <c r="GM141" i="65" s="1"/>
  <c r="GL390" i="65"/>
  <c r="FW390" i="65"/>
  <c r="GM390" i="65" s="1"/>
  <c r="GL241" i="65"/>
  <c r="FW241" i="65"/>
  <c r="GM241" i="65" s="1"/>
  <c r="GL160" i="65"/>
  <c r="FW160" i="65"/>
  <c r="GM160" i="65" s="1"/>
  <c r="GN417" i="65"/>
  <c r="GL340" i="65"/>
  <c r="FW340" i="65"/>
  <c r="GM340" i="65" s="1"/>
  <c r="GL260" i="65"/>
  <c r="FW260" i="65"/>
  <c r="GM260" i="65" s="1"/>
  <c r="GL176" i="65"/>
  <c r="FW176" i="65"/>
  <c r="GM176" i="65" s="1"/>
  <c r="GL116" i="65"/>
  <c r="FW116" i="65"/>
  <c r="GM116" i="65" s="1"/>
  <c r="GL21" i="65"/>
  <c r="FW21" i="65"/>
  <c r="GM21" i="65" s="1"/>
  <c r="GL53" i="65"/>
  <c r="FW53" i="65"/>
  <c r="GM53" i="65" s="1"/>
  <c r="GL85" i="65"/>
  <c r="FW85" i="65"/>
  <c r="GM85" i="65" s="1"/>
  <c r="GL27" i="65"/>
  <c r="FW27" i="65"/>
  <c r="GM27" i="65" s="1"/>
  <c r="GL59" i="65"/>
  <c r="FW59" i="65"/>
  <c r="GM59" i="65" s="1"/>
  <c r="GL91" i="65"/>
  <c r="FW91" i="65"/>
  <c r="GM91" i="65" s="1"/>
  <c r="GL123" i="65"/>
  <c r="FW123" i="65"/>
  <c r="GM123" i="65" s="1"/>
  <c r="GL155" i="65"/>
  <c r="FW155" i="65"/>
  <c r="GM155" i="65" s="1"/>
  <c r="GL187" i="65"/>
  <c r="FW187" i="65"/>
  <c r="GM187" i="65" s="1"/>
  <c r="FW219" i="65"/>
  <c r="GM219" i="65" s="1"/>
  <c r="GL219" i="65"/>
  <c r="GL251" i="65"/>
  <c r="FW251" i="65"/>
  <c r="GM251" i="65" s="1"/>
  <c r="GL283" i="65"/>
  <c r="FW283" i="65"/>
  <c r="GM283" i="65" s="1"/>
  <c r="GN299" i="65"/>
  <c r="GL315" i="65"/>
  <c r="FW315" i="65"/>
  <c r="GM315" i="65" s="1"/>
  <c r="GL347" i="65"/>
  <c r="FW347" i="65"/>
  <c r="GM347" i="65" s="1"/>
  <c r="GL379" i="65"/>
  <c r="FW379" i="65"/>
  <c r="GM379" i="65" s="1"/>
  <c r="GL381" i="65"/>
  <c r="FW381" i="65"/>
  <c r="GM381" i="65" s="1"/>
  <c r="GL360" i="65"/>
  <c r="FW360" i="65"/>
  <c r="GM360" i="65" s="1"/>
  <c r="GL296" i="65"/>
  <c r="FW296" i="65"/>
  <c r="GM296" i="65" s="1"/>
  <c r="GL253" i="65"/>
  <c r="FW253" i="65"/>
  <c r="GM253" i="65" s="1"/>
  <c r="GN146" i="65"/>
  <c r="GL64" i="65"/>
  <c r="FW64" i="65"/>
  <c r="GM64" i="65" s="1"/>
  <c r="GL63" i="65"/>
  <c r="FW63" i="65"/>
  <c r="GM63" i="65" s="1"/>
  <c r="GL191" i="65"/>
  <c r="FW191" i="65"/>
  <c r="GM191" i="65" s="1"/>
  <c r="GL303" i="65"/>
  <c r="FW303" i="65"/>
  <c r="GM303" i="65" s="1"/>
  <c r="GL269" i="65"/>
  <c r="FW269" i="65"/>
  <c r="GM269" i="65" s="1"/>
  <c r="GL120" i="65"/>
  <c r="FW120" i="65"/>
  <c r="GM120" i="65" s="1"/>
  <c r="GL348" i="65"/>
  <c r="FW348" i="65"/>
  <c r="GM348" i="65" s="1"/>
  <c r="GL56" i="65"/>
  <c r="FW56" i="65"/>
  <c r="GM56" i="65" s="1"/>
  <c r="GL362" i="65"/>
  <c r="FW362" i="65"/>
  <c r="GM362" i="65" s="1"/>
  <c r="GL350" i="65"/>
  <c r="FW350" i="65"/>
  <c r="GM350" i="65" s="1"/>
  <c r="GL282" i="65"/>
  <c r="FW282" i="65"/>
  <c r="GM282" i="65" s="1"/>
  <c r="GL126" i="65"/>
  <c r="FW126" i="65"/>
  <c r="GM126" i="65" s="1"/>
  <c r="GL361" i="65"/>
  <c r="FW361" i="65"/>
  <c r="GM361" i="65" s="1"/>
  <c r="GL313" i="65"/>
  <c r="FW313" i="65"/>
  <c r="GM313" i="65" s="1"/>
  <c r="GL288" i="65"/>
  <c r="FW288" i="65"/>
  <c r="GM288" i="65" s="1"/>
  <c r="GL309" i="65"/>
  <c r="FW309" i="65"/>
  <c r="GM309" i="65" s="1"/>
  <c r="GL186" i="65"/>
  <c r="FW186" i="65"/>
  <c r="GM186" i="65" s="1"/>
  <c r="GL92" i="65"/>
  <c r="FW92" i="65"/>
  <c r="GM92" i="65" s="1"/>
  <c r="GL185" i="65"/>
  <c r="FW185" i="65"/>
  <c r="GM185" i="65" s="1"/>
  <c r="GL84" i="65"/>
  <c r="FW84" i="65"/>
  <c r="GM84" i="65" s="1"/>
  <c r="GL169" i="65"/>
  <c r="FW169" i="65"/>
  <c r="GM169" i="65" s="1"/>
  <c r="GL212" i="65"/>
  <c r="FW212" i="65"/>
  <c r="GM212" i="65" s="1"/>
  <c r="GL13" i="65"/>
  <c r="FW13" i="65"/>
  <c r="GM13" i="65" s="1"/>
  <c r="GL45" i="65"/>
  <c r="FW45" i="65"/>
  <c r="GM45" i="65" s="1"/>
  <c r="GL77" i="65"/>
  <c r="FW77" i="65"/>
  <c r="GM77" i="65" s="1"/>
  <c r="GL19" i="65"/>
  <c r="FW19" i="65"/>
  <c r="GM19" i="65" s="1"/>
  <c r="GL51" i="65"/>
  <c r="FW51" i="65"/>
  <c r="GM51" i="65" s="1"/>
  <c r="GL83" i="65"/>
  <c r="FW83" i="65"/>
  <c r="GM83" i="65" s="1"/>
  <c r="GL115" i="65"/>
  <c r="FW115" i="65"/>
  <c r="GM115" i="65" s="1"/>
  <c r="GL147" i="65"/>
  <c r="FW147" i="65"/>
  <c r="GM147" i="65" s="1"/>
  <c r="GL179" i="65"/>
  <c r="FW179" i="65"/>
  <c r="GM179" i="65" s="1"/>
  <c r="GL211" i="65"/>
  <c r="FW211" i="65"/>
  <c r="GM211" i="65" s="1"/>
  <c r="GL243" i="65"/>
  <c r="FW243" i="65"/>
  <c r="GM243" i="65" s="1"/>
  <c r="GL275" i="65"/>
  <c r="FW275" i="65"/>
  <c r="GM275" i="65" s="1"/>
  <c r="GL307" i="65"/>
  <c r="FW307" i="65"/>
  <c r="GM307" i="65" s="1"/>
  <c r="GL339" i="65"/>
  <c r="FW339" i="65"/>
  <c r="GM339" i="65" s="1"/>
  <c r="GL371" i="65"/>
  <c r="FW371" i="65"/>
  <c r="GM371" i="65" s="1"/>
  <c r="GL349" i="65"/>
  <c r="FW349" i="65"/>
  <c r="GM349" i="65" s="1"/>
  <c r="GL328" i="65"/>
  <c r="FW328" i="65"/>
  <c r="GM328" i="65" s="1"/>
  <c r="GL221" i="65"/>
  <c r="FW221" i="65"/>
  <c r="GM221" i="65" s="1"/>
  <c r="GL136" i="65"/>
  <c r="FW136" i="65"/>
  <c r="GM136" i="65" s="1"/>
  <c r="GN26" i="65"/>
  <c r="GL321" i="65"/>
  <c r="FW321" i="65"/>
  <c r="GM321" i="65" s="1"/>
  <c r="GL300" i="65"/>
  <c r="FW300" i="65"/>
  <c r="GM300" i="65" s="1"/>
  <c r="GL108" i="65"/>
  <c r="FW108" i="65"/>
  <c r="GM108" i="65" s="1"/>
  <c r="FW48" i="65"/>
  <c r="GM48" i="65" s="1"/>
  <c r="GL48" i="65"/>
  <c r="GL7" i="65"/>
  <c r="FW7" i="65"/>
  <c r="GM7" i="65" s="1"/>
  <c r="GL112" i="65"/>
  <c r="FW112" i="65"/>
  <c r="GM112" i="65" s="1"/>
  <c r="GL289" i="65"/>
  <c r="FW289" i="65"/>
  <c r="GM289" i="65" s="1"/>
  <c r="FW32" i="65"/>
  <c r="GM32" i="65" s="1"/>
  <c r="GL32" i="65"/>
  <c r="GL95" i="65"/>
  <c r="FW95" i="65"/>
  <c r="GM95" i="65" s="1"/>
  <c r="GL223" i="65"/>
  <c r="FW223" i="65"/>
  <c r="GM223" i="65" s="1"/>
  <c r="GL351" i="65"/>
  <c r="FW351" i="65"/>
  <c r="GM351" i="65" s="1"/>
  <c r="GL333" i="65"/>
  <c r="FW333" i="65"/>
  <c r="GM333" i="65" s="1"/>
  <c r="GL248" i="65"/>
  <c r="FW248" i="65"/>
  <c r="GM248" i="65" s="1"/>
  <c r="GL305" i="65"/>
  <c r="FW305" i="65"/>
  <c r="GM305" i="65" s="1"/>
  <c r="GL220" i="65"/>
  <c r="FW220" i="65"/>
  <c r="GM220" i="65" s="1"/>
  <c r="GL177" i="65"/>
  <c r="FW177" i="65"/>
  <c r="GM177" i="65" s="1"/>
  <c r="GN138" i="65"/>
  <c r="GL254" i="65"/>
  <c r="FW254" i="65"/>
  <c r="GM254" i="65" s="1"/>
  <c r="GL142" i="65"/>
  <c r="FW142" i="65"/>
  <c r="GM142" i="65" s="1"/>
  <c r="GL222" i="65"/>
  <c r="FW222" i="65"/>
  <c r="GM222" i="65" s="1"/>
  <c r="GL22" i="65"/>
  <c r="FW22" i="65"/>
  <c r="GM22" i="65" s="1"/>
  <c r="GL322" i="65"/>
  <c r="FW322" i="65"/>
  <c r="GM322" i="65" s="1"/>
  <c r="GN237" i="65"/>
  <c r="GL130" i="65"/>
  <c r="FW130" i="65"/>
  <c r="GM130" i="65" s="1"/>
  <c r="GL82" i="65"/>
  <c r="FW82" i="65"/>
  <c r="GM82" i="65" s="1"/>
  <c r="GL358" i="65"/>
  <c r="FW358" i="65"/>
  <c r="GM358" i="65" s="1"/>
  <c r="GL230" i="65"/>
  <c r="FW230" i="65"/>
  <c r="GM230" i="65" s="1"/>
  <c r="GN145" i="65"/>
  <c r="GL102" i="65"/>
  <c r="FW102" i="65"/>
  <c r="GM102" i="65" s="1"/>
  <c r="GL170" i="65"/>
  <c r="FW170" i="65"/>
  <c r="GM170" i="65" s="1"/>
  <c r="GL78" i="65"/>
  <c r="FW78" i="65"/>
  <c r="GM78" i="65" s="1"/>
  <c r="GL46" i="65"/>
  <c r="FW46" i="65"/>
  <c r="GM46" i="65" s="1"/>
  <c r="GL74" i="65"/>
  <c r="FW74" i="65"/>
  <c r="GM74" i="65" s="1"/>
  <c r="GN73" i="65"/>
  <c r="GL290" i="65"/>
  <c r="FW290" i="65"/>
  <c r="GM290" i="65" s="1"/>
  <c r="GL34" i="65"/>
  <c r="FW34" i="65"/>
  <c r="GM34" i="65" s="1"/>
  <c r="GN390" i="65"/>
  <c r="GL326" i="65"/>
  <c r="FW326" i="65"/>
  <c r="GM326" i="65" s="1"/>
  <c r="GL134" i="65"/>
  <c r="FW134" i="65"/>
  <c r="GM134" i="65" s="1"/>
  <c r="GL62" i="65"/>
  <c r="FW62" i="65"/>
  <c r="GM62" i="65" s="1"/>
  <c r="GL415" i="65"/>
  <c r="GL378" i="65"/>
  <c r="FW378" i="65"/>
  <c r="GM378" i="65" s="1"/>
  <c r="GL382" i="65"/>
  <c r="FW382" i="65"/>
  <c r="GM382" i="65" s="1"/>
  <c r="GL334" i="65"/>
  <c r="FW334" i="65"/>
  <c r="GM334" i="65" s="1"/>
  <c r="GL266" i="65"/>
  <c r="FW266" i="65"/>
  <c r="GM266" i="65" s="1"/>
  <c r="GL218" i="65"/>
  <c r="FW218" i="65"/>
  <c r="GM218" i="65" s="1"/>
  <c r="GL206" i="65"/>
  <c r="FW206" i="65"/>
  <c r="GM206" i="65" s="1"/>
  <c r="GL110" i="65"/>
  <c r="FW110" i="65"/>
  <c r="GM110" i="65" s="1"/>
  <c r="GL190" i="65"/>
  <c r="FW190" i="65"/>
  <c r="GM190" i="65" s="1"/>
  <c r="GL10" i="65"/>
  <c r="FW10" i="65"/>
  <c r="GM10" i="65" s="1"/>
  <c r="GL338" i="65"/>
  <c r="FW338" i="65"/>
  <c r="GM338" i="65" s="1"/>
  <c r="GL310" i="65"/>
  <c r="FW310" i="65"/>
  <c r="GM310" i="65" s="1"/>
  <c r="GL341" i="65"/>
  <c r="FW341" i="65"/>
  <c r="GM341" i="65" s="1"/>
  <c r="GL377" i="65"/>
  <c r="FW377" i="65"/>
  <c r="GM377" i="65" s="1"/>
  <c r="GL329" i="65"/>
  <c r="FW329" i="65"/>
  <c r="GM329" i="65" s="1"/>
  <c r="GL272" i="65"/>
  <c r="FW272" i="65"/>
  <c r="GM272" i="65" s="1"/>
  <c r="GL265" i="65"/>
  <c r="FW265" i="65"/>
  <c r="GM265" i="65" s="1"/>
  <c r="GL224" i="65"/>
  <c r="FW224" i="65"/>
  <c r="GM224" i="65" s="1"/>
  <c r="GL76" i="65"/>
  <c r="FW76" i="65"/>
  <c r="GM76" i="65" s="1"/>
  <c r="GL25" i="65"/>
  <c r="FW25" i="65"/>
  <c r="GM25" i="65" s="1"/>
  <c r="GL57" i="65"/>
  <c r="FW57" i="65"/>
  <c r="GM57" i="65" s="1"/>
  <c r="GL111" i="65"/>
  <c r="FW111" i="65"/>
  <c r="GM111" i="65" s="1"/>
  <c r="GL271" i="65"/>
  <c r="FW271" i="65"/>
  <c r="GM271" i="65" s="1"/>
  <c r="GL312" i="65"/>
  <c r="FW312" i="65"/>
  <c r="GM312" i="65" s="1"/>
  <c r="GL369" i="65"/>
  <c r="FW369" i="65"/>
  <c r="GM369" i="65" s="1"/>
  <c r="GL284" i="65"/>
  <c r="FW284" i="65"/>
  <c r="GM284" i="65" s="1"/>
  <c r="GL198" i="65"/>
  <c r="FW198" i="65"/>
  <c r="GM198" i="65" s="1"/>
  <c r="FW24" i="65"/>
  <c r="GM24" i="65" s="1"/>
  <c r="GL24" i="65"/>
  <c r="GL238" i="65"/>
  <c r="FW238" i="65"/>
  <c r="GM238" i="65" s="1"/>
  <c r="GL270" i="65"/>
  <c r="FW270" i="65"/>
  <c r="GM270" i="65" s="1"/>
  <c r="GN29" i="65"/>
  <c r="GL306" i="65"/>
  <c r="FW306" i="65"/>
  <c r="GM306" i="65" s="1"/>
  <c r="GL114" i="65"/>
  <c r="FW114" i="65"/>
  <c r="GM114" i="65" s="1"/>
  <c r="GL90" i="65"/>
  <c r="FW90" i="65"/>
  <c r="GM90" i="65" s="1"/>
  <c r="GL58" i="65"/>
  <c r="FW58" i="65"/>
  <c r="GM58" i="65" s="1"/>
  <c r="GL342" i="65"/>
  <c r="FW342" i="65"/>
  <c r="GM342" i="65" s="1"/>
  <c r="GL214" i="65"/>
  <c r="FW214" i="65"/>
  <c r="GM214" i="65" s="1"/>
  <c r="GL193" i="65"/>
  <c r="FW193" i="65"/>
  <c r="GM193" i="65" s="1"/>
  <c r="GL154" i="65"/>
  <c r="FW154" i="65"/>
  <c r="GM154" i="65" s="1"/>
  <c r="GL86" i="65"/>
  <c r="FW86" i="65"/>
  <c r="GM86" i="65" s="1"/>
  <c r="GL210" i="65"/>
  <c r="FW210" i="65"/>
  <c r="GM210" i="65" s="1"/>
  <c r="GL118" i="65"/>
  <c r="FW118" i="65"/>
  <c r="GM118" i="65" s="1"/>
  <c r="GL66" i="65"/>
  <c r="FW66" i="65"/>
  <c r="GM66" i="65" s="1"/>
  <c r="GL138" i="65"/>
  <c r="FW138" i="65"/>
  <c r="GM138" i="65" s="1"/>
  <c r="GL30" i="65"/>
  <c r="FW30" i="65"/>
  <c r="GM30" i="65" s="1"/>
  <c r="GL356" i="65"/>
  <c r="FW356" i="65"/>
  <c r="GM356" i="65" s="1"/>
  <c r="GL336" i="65"/>
  <c r="FW336" i="65"/>
  <c r="GM336" i="65" s="1"/>
  <c r="GL240" i="65"/>
  <c r="FW240" i="65"/>
  <c r="GM240" i="65" s="1"/>
  <c r="GL233" i="65"/>
  <c r="FW233" i="65"/>
  <c r="GM233" i="65" s="1"/>
  <c r="GL261" i="65"/>
  <c r="FW261" i="65"/>
  <c r="GM261" i="65" s="1"/>
  <c r="GL213" i="65"/>
  <c r="FW213" i="65"/>
  <c r="GM213" i="65" s="1"/>
  <c r="GL105" i="65"/>
  <c r="FW105" i="65"/>
  <c r="GM105" i="65" s="1"/>
  <c r="GL100" i="65"/>
  <c r="FW100" i="65"/>
  <c r="GM100" i="65" s="1"/>
  <c r="GL180" i="65"/>
  <c r="FW180" i="65"/>
  <c r="GM180" i="65" s="1"/>
  <c r="GL17" i="65"/>
  <c r="FW17" i="65"/>
  <c r="GM17" i="65" s="1"/>
  <c r="GL49" i="65"/>
  <c r="FW49" i="65"/>
  <c r="GM49" i="65" s="1"/>
  <c r="GL81" i="65"/>
  <c r="FW81" i="65"/>
  <c r="GM81" i="65" s="1"/>
  <c r="GL23" i="65"/>
  <c r="FW23" i="65"/>
  <c r="GM23" i="65" s="1"/>
  <c r="GL55" i="65"/>
  <c r="FW55" i="65"/>
  <c r="GM55" i="65" s="1"/>
  <c r="GL87" i="65"/>
  <c r="FW87" i="65"/>
  <c r="GM87" i="65" s="1"/>
  <c r="GL119" i="65"/>
  <c r="FW119" i="65"/>
  <c r="GM119" i="65" s="1"/>
  <c r="GL151" i="65"/>
  <c r="FW151" i="65"/>
  <c r="GM151" i="65" s="1"/>
  <c r="GL183" i="65"/>
  <c r="FW183" i="65"/>
  <c r="GM183" i="65" s="1"/>
  <c r="GL215" i="65"/>
  <c r="FW215" i="65"/>
  <c r="GM215" i="65" s="1"/>
  <c r="GL247" i="65"/>
  <c r="FW247" i="65"/>
  <c r="GM247" i="65" s="1"/>
  <c r="GL279" i="65"/>
  <c r="FW279" i="65"/>
  <c r="GM279" i="65" s="1"/>
  <c r="GL311" i="65"/>
  <c r="FW311" i="65"/>
  <c r="GM311" i="65" s="1"/>
  <c r="GL343" i="65"/>
  <c r="FW343" i="65"/>
  <c r="GM343" i="65" s="1"/>
  <c r="GL375" i="65"/>
  <c r="FW375" i="65"/>
  <c r="GM375" i="65" s="1"/>
  <c r="GL301" i="65"/>
  <c r="FW301" i="65"/>
  <c r="GM301" i="65" s="1"/>
  <c r="GL280" i="65"/>
  <c r="FW280" i="65"/>
  <c r="GM280" i="65" s="1"/>
  <c r="GL173" i="65"/>
  <c r="FW173" i="65"/>
  <c r="GM173" i="65" s="1"/>
  <c r="GL12" i="65"/>
  <c r="FW12" i="65"/>
  <c r="GM12" i="65" s="1"/>
  <c r="GL380" i="65"/>
  <c r="FW380" i="65"/>
  <c r="GM380" i="65" s="1"/>
  <c r="GL273" i="65"/>
  <c r="FW273" i="65"/>
  <c r="GM273" i="65" s="1"/>
  <c r="GL252" i="65"/>
  <c r="FW252" i="65"/>
  <c r="GM252" i="65" s="1"/>
  <c r="GL145" i="65"/>
  <c r="FW145" i="65"/>
  <c r="GM145" i="65" s="1"/>
  <c r="GL40" i="65"/>
  <c r="FW40" i="65"/>
  <c r="GM40" i="65" s="1"/>
  <c r="GL149" i="65"/>
  <c r="FW149" i="65"/>
  <c r="GM149" i="65" s="1"/>
  <c r="GL232" i="65"/>
  <c r="FW232" i="65"/>
  <c r="GM232" i="65" s="1"/>
  <c r="GL168" i="65"/>
  <c r="FW168" i="65"/>
  <c r="GM168" i="65" s="1"/>
  <c r="GL268" i="65"/>
  <c r="FW268" i="65"/>
  <c r="GM268" i="65" s="1"/>
  <c r="GL96" i="65"/>
  <c r="FW96" i="65"/>
  <c r="GM96" i="65" s="1"/>
  <c r="GL101" i="65"/>
  <c r="FW101" i="65"/>
  <c r="GM101" i="65" s="1"/>
  <c r="GL73" i="65"/>
  <c r="FW73" i="65"/>
  <c r="GM73" i="65" s="1"/>
  <c r="GL15" i="65"/>
  <c r="FW15" i="65"/>
  <c r="GM15" i="65" s="1"/>
  <c r="GN79" i="65"/>
  <c r="GL143" i="65"/>
  <c r="FW143" i="65"/>
  <c r="GM143" i="65" s="1"/>
  <c r="GL255" i="65"/>
  <c r="FW255" i="65"/>
  <c r="GM255" i="65" s="1"/>
  <c r="GL383" i="65"/>
  <c r="FW383" i="65"/>
  <c r="GM383" i="65" s="1"/>
  <c r="GN376" i="65"/>
  <c r="GL357" i="65"/>
  <c r="FW357" i="65"/>
  <c r="GM357" i="65" s="1"/>
  <c r="GL320" i="65"/>
  <c r="FW320" i="65"/>
  <c r="GM320" i="65" s="1"/>
  <c r="GL245" i="65"/>
  <c r="FW245" i="65"/>
  <c r="GM245" i="65" s="1"/>
  <c r="GL244" i="65"/>
  <c r="FW244" i="65"/>
  <c r="GM244" i="65" s="1"/>
  <c r="GL308" i="65"/>
  <c r="FW308" i="65"/>
  <c r="GM308" i="65" s="1"/>
  <c r="GL60" i="65"/>
  <c r="FW60" i="65"/>
  <c r="GM60" i="65" s="1"/>
  <c r="GL164" i="65"/>
  <c r="FW164" i="65"/>
  <c r="GM164" i="65" s="1"/>
  <c r="GL52" i="65"/>
  <c r="FW52" i="65"/>
  <c r="GM52" i="65" s="1"/>
  <c r="GL153" i="65"/>
  <c r="FW153" i="65"/>
  <c r="GM153" i="65" s="1"/>
  <c r="GL8" i="65"/>
  <c r="FW8" i="65"/>
  <c r="GM8" i="65" s="1"/>
  <c r="GL37" i="65"/>
  <c r="FW37" i="65"/>
  <c r="GM37" i="65" s="1"/>
  <c r="GL69" i="65"/>
  <c r="FW69" i="65"/>
  <c r="GM69" i="65" s="1"/>
  <c r="GL11" i="65"/>
  <c r="FW11" i="65"/>
  <c r="GM11" i="65" s="1"/>
  <c r="GL43" i="65"/>
  <c r="FW43" i="65"/>
  <c r="GM43" i="65" s="1"/>
  <c r="GL75" i="65"/>
  <c r="FW75" i="65"/>
  <c r="GM75" i="65" s="1"/>
  <c r="GL107" i="65"/>
  <c r="FW107" i="65"/>
  <c r="GM107" i="65" s="1"/>
  <c r="GL139" i="65"/>
  <c r="FW139" i="65"/>
  <c r="GM139" i="65" s="1"/>
  <c r="GL171" i="65"/>
  <c r="FW171" i="65"/>
  <c r="GM171" i="65" s="1"/>
  <c r="FW203" i="65"/>
  <c r="GM203" i="65" s="1"/>
  <c r="GL203" i="65"/>
  <c r="FW235" i="65"/>
  <c r="GM235" i="65" s="1"/>
  <c r="GL235" i="65"/>
  <c r="GL267" i="65"/>
  <c r="FW267" i="65"/>
  <c r="GM267" i="65" s="1"/>
  <c r="GL299" i="65"/>
  <c r="FW299" i="65"/>
  <c r="GM299" i="65" s="1"/>
  <c r="GL331" i="65"/>
  <c r="FW331" i="65"/>
  <c r="GM331" i="65" s="1"/>
  <c r="GL363" i="65"/>
  <c r="FW363" i="65"/>
  <c r="GM363" i="65" s="1"/>
  <c r="GL104" i="65"/>
  <c r="FW104" i="65"/>
  <c r="GM104" i="65" s="1"/>
  <c r="GL161" i="65"/>
  <c r="FW161" i="65"/>
  <c r="GM161" i="65" s="1"/>
  <c r="GL201" i="65"/>
  <c r="FW201" i="65"/>
  <c r="GM201" i="65" s="1"/>
  <c r="GL127" i="65"/>
  <c r="FW127" i="65"/>
  <c r="GM127" i="65" s="1"/>
  <c r="GL239" i="65"/>
  <c r="FW239" i="65"/>
  <c r="GM239" i="65" s="1"/>
  <c r="GL367" i="65"/>
  <c r="FW367" i="65"/>
  <c r="GM367" i="65" s="1"/>
  <c r="GL184" i="65"/>
  <c r="FW184" i="65"/>
  <c r="GM184" i="65" s="1"/>
  <c r="GL156" i="65"/>
  <c r="FW156" i="65"/>
  <c r="GM156" i="65" s="1"/>
  <c r="GL250" i="65"/>
  <c r="FW250" i="65"/>
  <c r="GM250" i="65" s="1"/>
  <c r="GL174" i="65"/>
  <c r="FW174" i="65"/>
  <c r="GM174" i="65" s="1"/>
  <c r="GL158" i="65"/>
  <c r="FW158" i="65"/>
  <c r="GM158" i="65" s="1"/>
  <c r="GL205" i="65"/>
  <c r="FW205" i="65"/>
  <c r="GM205" i="65" s="1"/>
  <c r="GL98" i="65"/>
  <c r="FW98" i="65"/>
  <c r="GM98" i="65" s="1"/>
  <c r="GL368" i="65"/>
  <c r="FW368" i="65"/>
  <c r="GM368" i="65" s="1"/>
  <c r="GL389" i="65"/>
  <c r="FW389" i="65"/>
  <c r="GM389" i="65" s="1"/>
  <c r="GL345" i="65"/>
  <c r="FW345" i="65"/>
  <c r="GM345" i="65" s="1"/>
  <c r="GL388" i="65"/>
  <c r="FW388" i="65"/>
  <c r="GM388" i="65" s="1"/>
  <c r="GL256" i="65"/>
  <c r="FW256" i="65"/>
  <c r="GM256" i="65" s="1"/>
  <c r="GL277" i="65"/>
  <c r="FW277" i="65"/>
  <c r="GM277" i="65" s="1"/>
  <c r="GL208" i="65"/>
  <c r="FW208" i="65"/>
  <c r="GM208" i="65" s="1"/>
  <c r="GL28" i="65"/>
  <c r="FW28" i="65"/>
  <c r="GM28" i="65" s="1"/>
  <c r="GL137" i="65"/>
  <c r="FW137" i="65"/>
  <c r="GM137" i="65" s="1"/>
  <c r="FW16" i="65"/>
  <c r="GM16" i="65" s="1"/>
  <c r="GL16" i="65"/>
  <c r="GL132" i="65"/>
  <c r="FW132" i="65"/>
  <c r="GM132" i="65" s="1"/>
  <c r="GL29" i="65"/>
  <c r="FW29" i="65"/>
  <c r="GM29" i="65" s="1"/>
  <c r="GL61" i="65"/>
  <c r="FW61" i="65"/>
  <c r="GM61" i="65" s="1"/>
  <c r="GL93" i="65"/>
  <c r="FW93" i="65"/>
  <c r="GM93" i="65" s="1"/>
  <c r="GL35" i="65"/>
  <c r="FW35" i="65"/>
  <c r="GM35" i="65" s="1"/>
  <c r="GL67" i="65"/>
  <c r="FW67" i="65"/>
  <c r="GM67" i="65" s="1"/>
  <c r="GL99" i="65"/>
  <c r="FW99" i="65"/>
  <c r="GM99" i="65" s="1"/>
  <c r="GL131" i="65"/>
  <c r="FW131" i="65"/>
  <c r="GM131" i="65" s="1"/>
  <c r="GL163" i="65"/>
  <c r="FW163" i="65"/>
  <c r="GM163" i="65" s="1"/>
  <c r="GL195" i="65"/>
  <c r="FW195" i="65"/>
  <c r="GM195" i="65" s="1"/>
  <c r="GL227" i="65"/>
  <c r="FW227" i="65"/>
  <c r="GM227" i="65" s="1"/>
  <c r="GL259" i="65"/>
  <c r="FW259" i="65"/>
  <c r="GM259" i="65" s="1"/>
  <c r="GL291" i="65"/>
  <c r="FW291" i="65"/>
  <c r="GM291" i="65" s="1"/>
  <c r="GL323" i="65"/>
  <c r="FW323" i="65"/>
  <c r="GM323" i="65" s="1"/>
  <c r="GL355" i="65"/>
  <c r="FW355" i="65"/>
  <c r="GM355" i="65" s="1"/>
  <c r="GL387" i="65"/>
  <c r="FW387" i="65"/>
  <c r="GM387" i="65" s="1"/>
  <c r="GL285" i="65"/>
  <c r="FW285" i="65"/>
  <c r="GM285" i="65" s="1"/>
  <c r="GL264" i="65"/>
  <c r="FW264" i="65"/>
  <c r="GM264" i="65" s="1"/>
  <c r="GL157" i="65"/>
  <c r="FW157" i="65"/>
  <c r="GM157" i="65" s="1"/>
  <c r="GL385" i="65"/>
  <c r="FW385" i="65"/>
  <c r="GM385" i="65" s="1"/>
  <c r="GL364" i="65"/>
  <c r="FW364" i="65"/>
  <c r="GM364" i="65" s="1"/>
  <c r="GL257" i="65"/>
  <c r="FW257" i="65"/>
  <c r="GM257" i="65" s="1"/>
  <c r="GL236" i="65"/>
  <c r="FW236" i="65"/>
  <c r="GM236" i="65" s="1"/>
  <c r="GL172" i="65"/>
  <c r="FW172" i="65"/>
  <c r="GM172" i="65" s="1"/>
  <c r="GL129" i="65"/>
  <c r="FW129" i="65"/>
  <c r="GM129" i="65" s="1"/>
  <c r="GL80" i="65"/>
  <c r="FW80" i="65"/>
  <c r="GM80" i="65" s="1"/>
  <c r="GL133" i="65"/>
  <c r="FW133" i="65"/>
  <c r="GM133" i="65" s="1"/>
  <c r="GL20" i="65"/>
  <c r="FW20" i="65"/>
  <c r="GM20" i="65" s="1"/>
  <c r="GL353" i="65"/>
  <c r="FW353" i="65"/>
  <c r="GM353" i="65" s="1"/>
  <c r="GL225" i="65"/>
  <c r="FW225" i="65"/>
  <c r="GM225" i="65" s="1"/>
  <c r="GL144" i="65"/>
  <c r="FW144" i="65"/>
  <c r="GM144" i="65" s="1"/>
  <c r="GL68" i="65"/>
  <c r="FW68" i="65"/>
  <c r="GM68" i="65" s="1"/>
  <c r="GL31" i="65"/>
  <c r="FW31" i="65"/>
  <c r="GM31" i="65" s="1"/>
  <c r="GL159" i="65"/>
  <c r="FW159" i="65"/>
  <c r="GM159" i="65" s="1"/>
  <c r="GL287" i="65"/>
  <c r="FW287" i="65"/>
  <c r="GM287" i="65" s="1"/>
  <c r="GL88" i="65"/>
  <c r="FW88" i="65"/>
  <c r="GM88" i="65" s="1"/>
  <c r="GN30" i="65"/>
  <c r="GL314" i="65"/>
  <c r="FW314" i="65"/>
  <c r="GM314" i="65" s="1"/>
  <c r="GL196" i="65"/>
  <c r="FW196" i="65"/>
  <c r="GM196" i="65" s="1"/>
  <c r="GL386" i="65"/>
  <c r="FW386" i="65"/>
  <c r="GM386" i="65" s="1"/>
  <c r="GL258" i="65"/>
  <c r="FW258" i="65"/>
  <c r="GM258" i="65" s="1"/>
  <c r="GL50" i="65"/>
  <c r="FW50" i="65"/>
  <c r="GM50" i="65" s="1"/>
  <c r="GL294" i="65"/>
  <c r="FW294" i="65"/>
  <c r="GM294" i="65" s="1"/>
  <c r="GN273" i="65"/>
  <c r="GL188" i="65"/>
  <c r="FW188" i="65"/>
  <c r="GM188" i="65" s="1"/>
  <c r="GL166" i="65"/>
  <c r="FW166" i="65"/>
  <c r="GM166" i="65" s="1"/>
  <c r="GL106" i="65"/>
  <c r="FW106" i="65"/>
  <c r="GM106" i="65" s="1"/>
  <c r="GL274" i="65"/>
  <c r="FW274" i="65"/>
  <c r="GM274" i="65" s="1"/>
  <c r="GL42" i="65"/>
  <c r="FW42" i="65"/>
  <c r="GM42" i="65" s="1"/>
  <c r="GL204" i="65"/>
  <c r="FW204" i="65"/>
  <c r="GM204" i="65" s="1"/>
  <c r="GL226" i="65"/>
  <c r="FW226" i="65"/>
  <c r="GM226" i="65" s="1"/>
  <c r="GL405" i="65"/>
  <c r="GN391" i="65"/>
  <c r="GL394" i="65"/>
  <c r="GL426" i="65"/>
  <c r="GL433" i="65"/>
  <c r="GL432" i="65"/>
  <c r="FW401" i="65"/>
  <c r="GM401" i="65" s="1"/>
  <c r="GL401" i="65"/>
  <c r="FW424" i="65"/>
  <c r="GM424" i="65" s="1"/>
  <c r="GL424" i="65"/>
  <c r="FW402" i="65"/>
  <c r="GM402" i="65" s="1"/>
  <c r="GL402" i="65"/>
  <c r="FW420" i="65"/>
  <c r="GM420" i="65" s="1"/>
  <c r="GL420" i="65"/>
  <c r="GL431" i="65"/>
  <c r="GN432" i="65"/>
  <c r="FW435" i="65"/>
  <c r="GM435" i="65" s="1"/>
  <c r="GL435" i="65"/>
  <c r="FW413" i="65"/>
  <c r="GM413" i="65" s="1"/>
  <c r="GL413" i="65"/>
  <c r="FW392" i="65"/>
  <c r="GM392" i="65" s="1"/>
  <c r="GL392" i="65"/>
  <c r="FW400" i="65"/>
  <c r="GM400" i="65" s="1"/>
  <c r="GL400" i="65"/>
  <c r="GL395" i="65"/>
  <c r="FW427" i="65"/>
  <c r="GM427" i="65" s="1"/>
  <c r="GL427" i="65"/>
  <c r="FW396" i="65"/>
  <c r="GM396" i="65" s="1"/>
  <c r="GL396" i="65"/>
  <c r="FW434" i="65"/>
  <c r="GM434" i="65" s="1"/>
  <c r="GL434" i="65"/>
  <c r="FW409" i="65"/>
  <c r="GM409" i="65" s="1"/>
  <c r="GL409" i="65"/>
  <c r="FW438" i="65"/>
  <c r="GM438" i="65" s="1"/>
  <c r="GL438" i="65"/>
  <c r="FW419" i="65"/>
  <c r="GM419" i="65" s="1"/>
  <c r="GL419" i="65"/>
  <c r="FW416" i="65"/>
  <c r="GM416" i="65" s="1"/>
  <c r="GL416" i="65"/>
  <c r="FW437" i="65"/>
  <c r="GM437" i="65" s="1"/>
  <c r="GL437" i="65"/>
  <c r="FW429" i="65"/>
  <c r="GM429" i="65" s="1"/>
  <c r="GL429" i="65"/>
  <c r="FW391" i="65"/>
  <c r="GM391" i="65" s="1"/>
  <c r="GL391" i="65"/>
  <c r="FW407" i="65"/>
  <c r="GM407" i="65" s="1"/>
  <c r="GL407" i="65"/>
  <c r="FW408" i="65"/>
  <c r="GM408" i="65" s="1"/>
  <c r="GL408" i="65"/>
  <c r="GL422" i="65"/>
  <c r="FW393" i="65"/>
  <c r="GM393" i="65" s="1"/>
  <c r="GL393" i="65"/>
  <c r="FW436" i="65"/>
  <c r="GM436" i="65" s="1"/>
  <c r="GL436" i="65"/>
  <c r="FW412" i="65"/>
  <c r="GM412" i="65" s="1"/>
  <c r="GL412" i="65"/>
  <c r="GL404" i="65"/>
  <c r="FW410" i="65"/>
  <c r="GM410" i="65" s="1"/>
  <c r="GL410" i="65"/>
  <c r="FW430" i="65"/>
  <c r="GM430" i="65" s="1"/>
  <c r="GL430" i="65"/>
  <c r="FW403" i="65"/>
  <c r="GM403" i="65" s="1"/>
  <c r="GL403" i="65"/>
  <c r="FW425" i="65"/>
  <c r="GM425" i="65" s="1"/>
  <c r="GL425" i="65"/>
  <c r="FW406" i="65"/>
  <c r="GM406" i="65" s="1"/>
  <c r="GL406" i="65"/>
  <c r="FW398" i="65"/>
  <c r="GM398" i="65" s="1"/>
  <c r="GL398" i="65"/>
  <c r="FW423" i="65"/>
  <c r="GM423" i="65" s="1"/>
  <c r="GL423" i="65"/>
  <c r="FW439" i="65"/>
  <c r="GM439" i="65" s="1"/>
  <c r="GL439" i="65"/>
  <c r="GL399" i="65"/>
  <c r="FW440" i="65"/>
  <c r="GM440" i="65" s="1"/>
  <c r="GL440" i="65"/>
  <c r="GL418" i="65"/>
  <c r="FW397" i="65"/>
  <c r="GM397" i="65" s="1"/>
  <c r="GL397" i="65"/>
  <c r="GL428" i="65"/>
  <c r="GL421" i="65"/>
  <c r="GL411" i="65"/>
  <c r="GL417" i="65"/>
  <c r="GN419" i="65"/>
  <c r="FW422" i="65"/>
  <c r="GM422" i="65" s="1"/>
  <c r="FW426" i="65"/>
  <c r="GM426" i="65" s="1"/>
  <c r="FW431" i="65"/>
  <c r="GM431" i="65" s="1"/>
  <c r="FW395" i="65"/>
  <c r="GM395" i="65" s="1"/>
  <c r="FW415" i="65"/>
  <c r="GM415" i="65" s="1"/>
  <c r="FW414" i="65"/>
  <c r="GM414" i="65" s="1"/>
  <c r="FW399" i="65"/>
  <c r="GM399" i="65" s="1"/>
  <c r="FW404" i="65"/>
  <c r="GM404" i="65" s="1"/>
  <c r="FW394" i="65"/>
  <c r="GM394" i="65" s="1"/>
  <c r="FW405" i="65"/>
  <c r="GM405" i="65" s="1"/>
  <c r="FW418" i="65"/>
  <c r="GM418" i="65" s="1"/>
  <c r="FW433" i="65"/>
  <c r="GM433" i="65" s="1"/>
  <c r="FW432" i="65"/>
  <c r="GM432" i="65" s="1"/>
  <c r="FW428" i="65"/>
  <c r="GM428" i="65" s="1"/>
  <c r="FW421" i="65"/>
  <c r="GM421" i="65" s="1"/>
  <c r="FW411" i="65"/>
  <c r="GM411" i="65" s="1"/>
  <c r="FW417" i="65"/>
  <c r="GM417" i="65" s="1"/>
  <c r="FF105" i="65" l="1"/>
  <c r="FF281" i="65"/>
  <c r="FF25" i="65"/>
  <c r="GK643" i="65"/>
  <c r="GI643" i="65"/>
  <c r="GJ643" i="65"/>
  <c r="GI646" i="65"/>
  <c r="GJ646" i="65"/>
  <c r="GK646" i="65"/>
  <c r="GJ536" i="65"/>
  <c r="GK536" i="65"/>
  <c r="GI536" i="65"/>
  <c r="GJ466" i="65"/>
  <c r="GI466" i="65"/>
  <c r="GK466" i="65"/>
  <c r="GJ838" i="65"/>
  <c r="GK838" i="65"/>
  <c r="GI838" i="65"/>
  <c r="GJ458" i="65"/>
  <c r="GI458" i="65"/>
  <c r="GK458" i="65"/>
  <c r="GJ860" i="65"/>
  <c r="GI860" i="65"/>
  <c r="GK860" i="65"/>
  <c r="GJ812" i="65"/>
  <c r="GI812" i="65"/>
  <c r="GK812" i="65"/>
  <c r="GJ680" i="65"/>
  <c r="GI680" i="65"/>
  <c r="GK680" i="65"/>
  <c r="GI490" i="65"/>
  <c r="GJ490" i="65"/>
  <c r="GK490" i="65"/>
  <c r="GK871" i="65"/>
  <c r="GI871" i="65"/>
  <c r="GJ871" i="65"/>
  <c r="GI738" i="65"/>
  <c r="GJ738" i="65"/>
  <c r="GK738" i="65"/>
  <c r="GI749" i="65"/>
  <c r="GK749" i="65"/>
  <c r="GJ749" i="65"/>
  <c r="GK473" i="65"/>
  <c r="GI473" i="65"/>
  <c r="GJ473" i="65"/>
  <c r="GJ620" i="65"/>
  <c r="GI620" i="65"/>
  <c r="GK620" i="65"/>
  <c r="GK623" i="65"/>
  <c r="GJ623" i="65"/>
  <c r="GI623" i="65"/>
  <c r="GI486" i="65"/>
  <c r="GK486" i="65"/>
  <c r="GJ486" i="65"/>
  <c r="GI685" i="65"/>
  <c r="GK685" i="65"/>
  <c r="GJ685" i="65"/>
  <c r="GK731" i="65"/>
  <c r="GI731" i="65"/>
  <c r="GJ731" i="65"/>
  <c r="GI596" i="65"/>
  <c r="GK596" i="65"/>
  <c r="GJ596" i="65"/>
  <c r="GK819" i="65"/>
  <c r="GI819" i="65"/>
  <c r="GJ819" i="65"/>
  <c r="GK799" i="65"/>
  <c r="GI799" i="65"/>
  <c r="GJ799" i="65"/>
  <c r="GI730" i="65"/>
  <c r="GJ730" i="65"/>
  <c r="GK730" i="65"/>
  <c r="GK607" i="65"/>
  <c r="GI607" i="65"/>
  <c r="GJ607" i="65"/>
  <c r="GK875" i="65"/>
  <c r="GI875" i="65"/>
  <c r="GJ875" i="65"/>
  <c r="GI765" i="65"/>
  <c r="GK765" i="65"/>
  <c r="GJ765" i="65"/>
  <c r="GI677" i="65"/>
  <c r="GK677" i="65"/>
  <c r="GJ677" i="65"/>
  <c r="GJ493" i="65"/>
  <c r="GK493" i="65"/>
  <c r="GI493" i="65"/>
  <c r="GJ752" i="65"/>
  <c r="GI752" i="65"/>
  <c r="GK752" i="65"/>
  <c r="GK758" i="65"/>
  <c r="GI758" i="65"/>
  <c r="GJ758" i="65"/>
  <c r="GI684" i="65"/>
  <c r="GJ684" i="65"/>
  <c r="GK684" i="65"/>
  <c r="GJ454" i="65"/>
  <c r="GI454" i="65"/>
  <c r="GK454" i="65"/>
  <c r="GI762" i="65"/>
  <c r="GJ762" i="65"/>
  <c r="GK762" i="65"/>
  <c r="GI773" i="65"/>
  <c r="GK773" i="65"/>
  <c r="GJ773" i="65"/>
  <c r="GJ852" i="65"/>
  <c r="GI852" i="65"/>
  <c r="GK852" i="65"/>
  <c r="GK611" i="65"/>
  <c r="GI611" i="65"/>
  <c r="GJ611" i="65"/>
  <c r="GJ846" i="65"/>
  <c r="GK846" i="65"/>
  <c r="GI846" i="65"/>
  <c r="GK735" i="65"/>
  <c r="GI735" i="65"/>
  <c r="GJ735" i="65"/>
  <c r="GK457" i="65"/>
  <c r="GI457" i="65"/>
  <c r="GJ457" i="65"/>
  <c r="GK747" i="65"/>
  <c r="GI747" i="65"/>
  <c r="GJ747" i="65"/>
  <c r="GI608" i="65"/>
  <c r="GJ608" i="65"/>
  <c r="GK608" i="65"/>
  <c r="GI546" i="65"/>
  <c r="GJ546" i="65"/>
  <c r="GK546" i="65"/>
  <c r="GI465" i="65"/>
  <c r="GJ465" i="65"/>
  <c r="GK465" i="65"/>
  <c r="GJ828" i="65"/>
  <c r="GI828" i="65"/>
  <c r="GK828" i="65"/>
  <c r="GI494" i="65"/>
  <c r="GK494" i="65"/>
  <c r="GJ494" i="65"/>
  <c r="GI866" i="65"/>
  <c r="GK866" i="65"/>
  <c r="GJ866" i="65"/>
  <c r="GK717" i="65"/>
  <c r="GI717" i="65"/>
  <c r="GJ717" i="65"/>
  <c r="GJ830" i="65"/>
  <c r="GK830" i="65"/>
  <c r="GI830" i="65"/>
  <c r="GI557" i="65"/>
  <c r="GK557" i="65"/>
  <c r="GJ557" i="65"/>
  <c r="GI478" i="65"/>
  <c r="GK478" i="65"/>
  <c r="GJ478" i="65"/>
  <c r="GJ528" i="65"/>
  <c r="GI528" i="65"/>
  <c r="GK528" i="65"/>
  <c r="GK532" i="65"/>
  <c r="GI532" i="65"/>
  <c r="GJ532" i="65"/>
  <c r="GI441" i="65"/>
  <c r="GK441" i="65"/>
  <c r="GJ441" i="65"/>
  <c r="GI600" i="65"/>
  <c r="GJ600" i="65"/>
  <c r="GK600" i="65"/>
  <c r="GJ560" i="65"/>
  <c r="GK560" i="65"/>
  <c r="GI560" i="65"/>
  <c r="GK445" i="65"/>
  <c r="GI445" i="65"/>
  <c r="GJ445" i="65"/>
  <c r="GI658" i="65"/>
  <c r="GJ658" i="65"/>
  <c r="GK658" i="65"/>
  <c r="GI785" i="65"/>
  <c r="GK785" i="65"/>
  <c r="GJ785" i="65"/>
  <c r="GI704" i="65"/>
  <c r="GJ704" i="65"/>
  <c r="GK704" i="65"/>
  <c r="GK638" i="65"/>
  <c r="GI638" i="65"/>
  <c r="GJ638" i="65"/>
  <c r="GI654" i="65"/>
  <c r="GJ654" i="65"/>
  <c r="GK654" i="65"/>
  <c r="GI834" i="65"/>
  <c r="GJ834" i="65"/>
  <c r="GK834" i="65"/>
  <c r="GI500" i="65"/>
  <c r="GJ500" i="65"/>
  <c r="GK500" i="65"/>
  <c r="GK535" i="65"/>
  <c r="GJ535" i="65"/>
  <c r="GI535" i="65"/>
  <c r="GI781" i="65"/>
  <c r="GK781" i="65"/>
  <c r="GJ781" i="65"/>
  <c r="GI837" i="65"/>
  <c r="GK837" i="65"/>
  <c r="GJ837" i="65"/>
  <c r="GI681" i="65"/>
  <c r="GK681" i="65"/>
  <c r="GJ681" i="65"/>
  <c r="GK671" i="65"/>
  <c r="GI671" i="65"/>
  <c r="GJ671" i="65"/>
  <c r="GJ666" i="65"/>
  <c r="GK666" i="65"/>
  <c r="GI666" i="65"/>
  <c r="GI585" i="65"/>
  <c r="GK585" i="65"/>
  <c r="GJ585" i="65"/>
  <c r="GI718" i="65"/>
  <c r="GJ718" i="65"/>
  <c r="GK718" i="65"/>
  <c r="GI733" i="65"/>
  <c r="GJ733" i="65"/>
  <c r="GK733" i="65"/>
  <c r="GK695" i="65"/>
  <c r="GI695" i="65"/>
  <c r="GJ695" i="65"/>
  <c r="GI637" i="65"/>
  <c r="GK637" i="65"/>
  <c r="GJ637" i="65"/>
  <c r="GI624" i="65"/>
  <c r="GK624" i="65"/>
  <c r="GJ624" i="65"/>
  <c r="GI612" i="65"/>
  <c r="GJ612" i="65"/>
  <c r="GK612" i="65"/>
  <c r="GJ446" i="65"/>
  <c r="GI446" i="65"/>
  <c r="GK446" i="65"/>
  <c r="GJ450" i="65"/>
  <c r="GI450" i="65"/>
  <c r="GK450" i="65"/>
  <c r="GK556" i="65"/>
  <c r="GI556" i="65"/>
  <c r="GJ556" i="65"/>
  <c r="GI508" i="65"/>
  <c r="GJ508" i="65"/>
  <c r="GK508" i="65"/>
  <c r="GI692" i="65"/>
  <c r="GJ692" i="65"/>
  <c r="GK692" i="65"/>
  <c r="GI700" i="65"/>
  <c r="GK700" i="65"/>
  <c r="GJ700" i="65"/>
  <c r="GK734" i="65"/>
  <c r="GI734" i="65"/>
  <c r="GJ734" i="65"/>
  <c r="GI497" i="65"/>
  <c r="GJ497" i="65"/>
  <c r="GK497" i="65"/>
  <c r="GJ822" i="65"/>
  <c r="GK822" i="65"/>
  <c r="GI822" i="65"/>
  <c r="GJ574" i="65"/>
  <c r="GK574" i="65"/>
  <c r="GI574" i="65"/>
  <c r="GK715" i="65"/>
  <c r="GJ715" i="65"/>
  <c r="GI715" i="65"/>
  <c r="GJ768" i="65"/>
  <c r="GI768" i="65"/>
  <c r="GK768" i="65"/>
  <c r="GI604" i="65"/>
  <c r="GK604" i="65"/>
  <c r="GJ604" i="65"/>
  <c r="GK705" i="65"/>
  <c r="GJ705" i="65"/>
  <c r="GI705" i="65"/>
  <c r="GJ662" i="65"/>
  <c r="GK662" i="65"/>
  <c r="GI662" i="65"/>
  <c r="GI474" i="65"/>
  <c r="GJ474" i="65"/>
  <c r="GK474" i="65"/>
  <c r="GK697" i="65"/>
  <c r="GI697" i="65"/>
  <c r="GJ697" i="65"/>
  <c r="GK562" i="65"/>
  <c r="GI562" i="65"/>
  <c r="GJ562" i="65"/>
  <c r="GI614" i="65"/>
  <c r="GJ614" i="65"/>
  <c r="GK614" i="65"/>
  <c r="GK803" i="65"/>
  <c r="GI803" i="65"/>
  <c r="GJ803" i="65"/>
  <c r="GI665" i="65"/>
  <c r="GK665" i="65"/>
  <c r="GJ665" i="65"/>
  <c r="GJ558" i="65"/>
  <c r="GK558" i="65"/>
  <c r="GI558" i="65"/>
  <c r="GK477" i="65"/>
  <c r="GI477" i="65"/>
  <c r="GJ477" i="65"/>
  <c r="GI476" i="65"/>
  <c r="GJ476" i="65"/>
  <c r="GK476" i="65"/>
  <c r="GK461" i="65"/>
  <c r="GI461" i="65"/>
  <c r="GJ461" i="65"/>
  <c r="GI793" i="65"/>
  <c r="GK793" i="65"/>
  <c r="GJ793" i="65"/>
  <c r="GK670" i="65"/>
  <c r="GI670" i="65"/>
  <c r="GJ670" i="65"/>
  <c r="GI577" i="65"/>
  <c r="GK577" i="65"/>
  <c r="GJ577" i="65"/>
  <c r="GK527" i="65"/>
  <c r="GJ527" i="65"/>
  <c r="GI527" i="65"/>
  <c r="GD800" i="65"/>
  <c r="GC800" i="65"/>
  <c r="GF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C582" i="65"/>
  <c r="GF582" i="65" s="1"/>
  <c r="GD582" i="65"/>
  <c r="GD748" i="65"/>
  <c r="GI748" i="65" s="1"/>
  <c r="GC748" i="65"/>
  <c r="GF748" i="65" s="1"/>
  <c r="GC728" i="65"/>
  <c r="GF728" i="65" s="1"/>
  <c r="GD728" i="65"/>
  <c r="GI728" i="65" s="1"/>
  <c r="GI869" i="65"/>
  <c r="GJ869" i="65"/>
  <c r="GK869" i="65"/>
  <c r="GI770" i="65"/>
  <c r="GJ770" i="65"/>
  <c r="GK770" i="65"/>
  <c r="GK647" i="65"/>
  <c r="GJ647" i="65"/>
  <c r="GI647" i="65"/>
  <c r="GK603" i="65"/>
  <c r="GI603" i="65"/>
  <c r="GJ603" i="65"/>
  <c r="GJ489" i="65"/>
  <c r="GK489" i="65"/>
  <c r="GI489" i="65"/>
  <c r="GJ590" i="65"/>
  <c r="GK590" i="65"/>
  <c r="GI590" i="65"/>
  <c r="GJ816" i="65"/>
  <c r="GI816" i="65"/>
  <c r="GK816" i="65"/>
  <c r="GI850" i="65"/>
  <c r="GJ850" i="65"/>
  <c r="GK850" i="65"/>
  <c r="GK811" i="65"/>
  <c r="GI811" i="65"/>
  <c r="GJ811" i="65"/>
  <c r="GI586" i="65"/>
  <c r="GJ586" i="65"/>
  <c r="GK586" i="65"/>
  <c r="GJ552" i="65"/>
  <c r="GI552" i="65"/>
  <c r="GK552" i="65"/>
  <c r="GI857" i="65"/>
  <c r="GK857" i="65"/>
  <c r="GJ857" i="65"/>
  <c r="GI757" i="65"/>
  <c r="GK757" i="65"/>
  <c r="GJ757" i="65"/>
  <c r="GI538" i="65"/>
  <c r="GJ538" i="65"/>
  <c r="GK538" i="65"/>
  <c r="GJ462" i="65"/>
  <c r="GI462" i="65"/>
  <c r="GK462" i="65"/>
  <c r="GI842" i="65"/>
  <c r="GJ842" i="65"/>
  <c r="GK842" i="65"/>
  <c r="GK807" i="65"/>
  <c r="GI807" i="65"/>
  <c r="GJ807" i="65"/>
  <c r="GJ746" i="65"/>
  <c r="GK746" i="65"/>
  <c r="GI746" i="65"/>
  <c r="GI581" i="65"/>
  <c r="GK581" i="65"/>
  <c r="GJ581" i="65"/>
  <c r="GK524" i="65"/>
  <c r="GJ524" i="65"/>
  <c r="GI524" i="65"/>
  <c r="GJ854" i="65"/>
  <c r="GK854" i="65"/>
  <c r="GI854" i="65"/>
  <c r="GI778" i="65"/>
  <c r="GJ778" i="65"/>
  <c r="GK778" i="65"/>
  <c r="GK651" i="65"/>
  <c r="GJ651" i="65"/>
  <c r="GI651" i="65"/>
  <c r="GK619" i="65"/>
  <c r="GI619" i="65"/>
  <c r="GJ619" i="65"/>
  <c r="GI589" i="65"/>
  <c r="GK589" i="65"/>
  <c r="GJ589" i="65"/>
  <c r="GI794" i="65"/>
  <c r="GJ794" i="65"/>
  <c r="GK794" i="65"/>
  <c r="GI845" i="65"/>
  <c r="GJ845" i="65"/>
  <c r="GK845" i="65"/>
  <c r="GK631" i="65"/>
  <c r="GI631" i="65"/>
  <c r="GJ631" i="65"/>
  <c r="GI592" i="65"/>
  <c r="GJ592" i="65"/>
  <c r="GK592" i="65"/>
  <c r="GI501" i="65"/>
  <c r="GJ501" i="65"/>
  <c r="GK501" i="65"/>
  <c r="GI753" i="65"/>
  <c r="GK753" i="65"/>
  <c r="GJ753" i="65"/>
  <c r="GI641" i="65"/>
  <c r="GK641" i="65"/>
  <c r="GJ641" i="65"/>
  <c r="GK709" i="65"/>
  <c r="GJ709" i="65"/>
  <c r="GI709" i="65"/>
  <c r="GK701" i="65"/>
  <c r="GI701" i="65"/>
  <c r="GJ701" i="65"/>
  <c r="GK627" i="65"/>
  <c r="GI627" i="65"/>
  <c r="GJ627" i="65"/>
  <c r="GI444" i="65"/>
  <c r="GJ444" i="65"/>
  <c r="GK444" i="65"/>
  <c r="GK539" i="65"/>
  <c r="GI539" i="65"/>
  <c r="GJ539" i="65"/>
  <c r="GJ804" i="65"/>
  <c r="GI804" i="65"/>
  <c r="GK804" i="65"/>
  <c r="GP728" i="65"/>
  <c r="GI530" i="65"/>
  <c r="GJ530" i="65"/>
  <c r="GK530" i="65"/>
  <c r="GI561" i="65"/>
  <c r="GK561" i="65"/>
  <c r="GJ561" i="65"/>
  <c r="GI861" i="65"/>
  <c r="GK861" i="65"/>
  <c r="GJ861" i="65"/>
  <c r="GK766" i="65"/>
  <c r="GI766" i="65"/>
  <c r="GJ766" i="65"/>
  <c r="GK606" i="65"/>
  <c r="GI606" i="65"/>
  <c r="GJ606" i="65"/>
  <c r="GK687" i="65"/>
  <c r="GI687" i="65"/>
  <c r="GJ687" i="65"/>
  <c r="GI742" i="65"/>
  <c r="GJ742" i="65"/>
  <c r="GK742" i="65"/>
  <c r="GI622" i="65"/>
  <c r="GJ622" i="65"/>
  <c r="GK622" i="65"/>
  <c r="GI569" i="65"/>
  <c r="GK569" i="65"/>
  <c r="GJ569" i="65"/>
  <c r="GI449" i="65"/>
  <c r="GJ449" i="65"/>
  <c r="GK449" i="65"/>
  <c r="GK874" i="65"/>
  <c r="GJ874" i="65"/>
  <c r="GI874" i="65"/>
  <c r="GP800" i="65"/>
  <c r="GI649" i="65"/>
  <c r="GK649" i="65"/>
  <c r="GJ649" i="65"/>
  <c r="GK711" i="65"/>
  <c r="GJ711" i="65"/>
  <c r="GI711" i="65"/>
  <c r="GI673" i="65"/>
  <c r="GK673" i="65"/>
  <c r="GJ673" i="65"/>
  <c r="GK505" i="65"/>
  <c r="GI505" i="65"/>
  <c r="GJ505" i="65"/>
  <c r="GJ796" i="65"/>
  <c r="GI796" i="65"/>
  <c r="GK796" i="65"/>
  <c r="GK823" i="65"/>
  <c r="GI823" i="65"/>
  <c r="GJ823" i="65"/>
  <c r="GK774" i="65"/>
  <c r="GI774" i="65"/>
  <c r="GJ774" i="65"/>
  <c r="GI632" i="65"/>
  <c r="GK632" i="65"/>
  <c r="GJ632" i="65"/>
  <c r="GI573" i="65"/>
  <c r="GK573" i="65"/>
  <c r="GJ573" i="65"/>
  <c r="GI841" i="65"/>
  <c r="GK841" i="65"/>
  <c r="GJ841" i="65"/>
  <c r="GI636" i="65"/>
  <c r="GK636" i="65"/>
  <c r="GJ636" i="65"/>
  <c r="GI570" i="65"/>
  <c r="GJ570" i="65"/>
  <c r="GK570" i="65"/>
  <c r="GI514" i="65"/>
  <c r="GJ514" i="65"/>
  <c r="GK514" i="65"/>
  <c r="GI510" i="65"/>
  <c r="GJ510" i="65"/>
  <c r="GK510" i="65"/>
  <c r="GJ442" i="65"/>
  <c r="GI442" i="65"/>
  <c r="GK442" i="65"/>
  <c r="GK642" i="65"/>
  <c r="GI642" i="65"/>
  <c r="GJ642" i="65"/>
  <c r="GJ568" i="65"/>
  <c r="GK568" i="65"/>
  <c r="GI568" i="65"/>
  <c r="GK516" i="65"/>
  <c r="GJ516" i="65"/>
  <c r="GI516" i="65"/>
  <c r="GI498" i="65"/>
  <c r="GJ498" i="65"/>
  <c r="GK498" i="65"/>
  <c r="GI786" i="65"/>
  <c r="GJ786" i="65"/>
  <c r="GK786" i="65"/>
  <c r="GC736" i="65"/>
  <c r="GF736" i="65" s="1"/>
  <c r="GD736" i="65"/>
  <c r="GI736" i="65" s="1"/>
  <c r="GI833" i="65"/>
  <c r="GK833" i="65"/>
  <c r="GJ833" i="65"/>
  <c r="GJ760" i="65"/>
  <c r="GI760" i="65"/>
  <c r="GK760" i="65"/>
  <c r="GI468" i="65"/>
  <c r="GK468" i="65"/>
  <c r="GJ468" i="65"/>
  <c r="GK689" i="65"/>
  <c r="GJ689" i="65"/>
  <c r="GI689" i="65"/>
  <c r="GK659" i="65"/>
  <c r="GI659" i="65"/>
  <c r="GJ659" i="65"/>
  <c r="GK667" i="65"/>
  <c r="GI667" i="65"/>
  <c r="GJ667" i="65"/>
  <c r="GK723" i="65"/>
  <c r="GI723" i="65"/>
  <c r="GJ723" i="65"/>
  <c r="GI858" i="65"/>
  <c r="GJ858" i="65"/>
  <c r="GK858" i="65"/>
  <c r="GJ544" i="65"/>
  <c r="GK544" i="65"/>
  <c r="GI544" i="65"/>
  <c r="GK547" i="65"/>
  <c r="GI547" i="65"/>
  <c r="GJ547" i="65"/>
  <c r="GI725" i="65"/>
  <c r="GK725" i="65"/>
  <c r="GJ725" i="65"/>
  <c r="GK679" i="65"/>
  <c r="GJ679" i="65"/>
  <c r="GI679" i="65"/>
  <c r="GI492" i="65"/>
  <c r="GJ492" i="65"/>
  <c r="GK492" i="65"/>
  <c r="GJ862" i="65"/>
  <c r="GK862" i="65"/>
  <c r="GI862" i="65"/>
  <c r="GI741" i="65"/>
  <c r="GJ741" i="65"/>
  <c r="GK741" i="65"/>
  <c r="GJ784" i="65"/>
  <c r="GI784" i="65"/>
  <c r="GK784" i="65"/>
  <c r="GK663" i="65"/>
  <c r="GI663" i="65"/>
  <c r="GJ663" i="65"/>
  <c r="GI708" i="65"/>
  <c r="GK708" i="65"/>
  <c r="GJ708" i="65"/>
  <c r="GI469" i="65"/>
  <c r="GJ469" i="65"/>
  <c r="GK469" i="65"/>
  <c r="GJ844" i="65"/>
  <c r="GI844" i="65"/>
  <c r="GK844" i="65"/>
  <c r="GJ470" i="65"/>
  <c r="GI470" i="65"/>
  <c r="GK470" i="65"/>
  <c r="GK615" i="65"/>
  <c r="GI615" i="65"/>
  <c r="GJ615" i="65"/>
  <c r="GK639" i="65"/>
  <c r="GI639" i="65"/>
  <c r="GJ639" i="65"/>
  <c r="GI460" i="65"/>
  <c r="GJ460" i="65"/>
  <c r="GK460" i="65"/>
  <c r="GK548" i="65"/>
  <c r="GJ548" i="65"/>
  <c r="GI548" i="65"/>
  <c r="GK543" i="65"/>
  <c r="GJ543" i="65"/>
  <c r="GI543" i="65"/>
  <c r="GC443" i="65"/>
  <c r="GF443" i="65" s="1"/>
  <c r="GD443" i="65"/>
  <c r="GI443" i="65" s="1"/>
  <c r="GJ814" i="65"/>
  <c r="GK814" i="65"/>
  <c r="GI814" i="65"/>
  <c r="GJ820" i="65"/>
  <c r="GI820" i="65"/>
  <c r="GK820" i="65"/>
  <c r="GJ872" i="65"/>
  <c r="GI872" i="65"/>
  <c r="GK872" i="65"/>
  <c r="GI714" i="65"/>
  <c r="GJ714" i="65"/>
  <c r="GK714" i="65"/>
  <c r="GJ870" i="65"/>
  <c r="GK870" i="65"/>
  <c r="GI870" i="65"/>
  <c r="GI722" i="65"/>
  <c r="GJ722" i="65"/>
  <c r="GK722" i="65"/>
  <c r="GI633" i="65"/>
  <c r="GK633" i="65"/>
  <c r="GJ633" i="65"/>
  <c r="GJ616" i="65"/>
  <c r="GI616" i="65"/>
  <c r="GK616" i="65"/>
  <c r="GJ584" i="65"/>
  <c r="GK584" i="65"/>
  <c r="GI584" i="65"/>
  <c r="GK531" i="65"/>
  <c r="GI531" i="65"/>
  <c r="GJ531" i="65"/>
  <c r="GI865" i="65"/>
  <c r="GJ865" i="65"/>
  <c r="GK865" i="65"/>
  <c r="GJ868" i="65"/>
  <c r="GI868" i="65"/>
  <c r="GK868" i="65"/>
  <c r="GJ836" i="65"/>
  <c r="GI836" i="65"/>
  <c r="GK836" i="65"/>
  <c r="GK815" i="65"/>
  <c r="GI815" i="65"/>
  <c r="GJ815" i="65"/>
  <c r="GK795" i="65"/>
  <c r="GI795" i="65"/>
  <c r="GJ795" i="65"/>
  <c r="GI696" i="65"/>
  <c r="GJ696" i="65"/>
  <c r="GK696" i="65"/>
  <c r="GI657" i="65"/>
  <c r="GK657" i="65"/>
  <c r="GJ657" i="65"/>
  <c r="GK540" i="65"/>
  <c r="GJ540" i="65"/>
  <c r="GI540" i="65"/>
  <c r="GJ808" i="65"/>
  <c r="GI808" i="65"/>
  <c r="GK808" i="65"/>
  <c r="GK727" i="65"/>
  <c r="GJ727" i="65"/>
  <c r="GI727" i="65"/>
  <c r="GK595" i="65"/>
  <c r="GI595" i="65"/>
  <c r="GJ595" i="65"/>
  <c r="GJ634" i="65"/>
  <c r="GK634" i="65"/>
  <c r="GI634" i="65"/>
  <c r="GK506" i="65"/>
  <c r="GI506" i="65"/>
  <c r="GJ506" i="65"/>
  <c r="GK713" i="65"/>
  <c r="GI713" i="65"/>
  <c r="GJ713" i="65"/>
  <c r="GI628" i="65"/>
  <c r="GJ628" i="65"/>
  <c r="GK628" i="65"/>
  <c r="GJ576" i="65"/>
  <c r="GI576" i="65"/>
  <c r="GK576" i="65"/>
  <c r="GI482" i="65"/>
  <c r="GJ482" i="65"/>
  <c r="GK482" i="65"/>
  <c r="GK703" i="65"/>
  <c r="GI703" i="65"/>
  <c r="GJ703" i="65"/>
  <c r="GK599" i="65"/>
  <c r="GI599" i="65"/>
  <c r="GJ599" i="65"/>
  <c r="GK555" i="65"/>
  <c r="GI555" i="65"/>
  <c r="GJ555" i="65"/>
  <c r="GJ792" i="65"/>
  <c r="GI792" i="65"/>
  <c r="GK792" i="65"/>
  <c r="GI769" i="65"/>
  <c r="GJ769" i="65"/>
  <c r="GK769" i="65"/>
  <c r="GJ726" i="65"/>
  <c r="GK726" i="65"/>
  <c r="GI726" i="65"/>
  <c r="GP582" i="65"/>
  <c r="GI513" i="65"/>
  <c r="GK513" i="65"/>
  <c r="GJ513" i="65"/>
  <c r="GK502" i="65"/>
  <c r="GJ502" i="65"/>
  <c r="GI502" i="65"/>
  <c r="GK790" i="65"/>
  <c r="GI790" i="65"/>
  <c r="GJ790" i="65"/>
  <c r="GK782" i="65"/>
  <c r="GI782" i="65"/>
  <c r="GJ782" i="65"/>
  <c r="GK523" i="65"/>
  <c r="GI523" i="65"/>
  <c r="GJ523" i="65"/>
  <c r="GI650" i="65"/>
  <c r="GJ650" i="65"/>
  <c r="GK650" i="65"/>
  <c r="GI485" i="65"/>
  <c r="GJ485" i="65"/>
  <c r="GK485" i="65"/>
  <c r="GI565" i="65"/>
  <c r="GK565" i="65"/>
  <c r="GJ565" i="65"/>
  <c r="GI452" i="65"/>
  <c r="GK452" i="65"/>
  <c r="GJ452" i="65"/>
  <c r="GI453" i="65"/>
  <c r="GJ453" i="65"/>
  <c r="GK453" i="65"/>
  <c r="GJ824" i="65"/>
  <c r="GI824" i="65"/>
  <c r="GK824" i="65"/>
  <c r="GK743" i="65"/>
  <c r="GI743" i="65"/>
  <c r="GJ743" i="65"/>
  <c r="GI676" i="65"/>
  <c r="GK676" i="65"/>
  <c r="GJ676" i="65"/>
  <c r="GJ554" i="65"/>
  <c r="GK554" i="65"/>
  <c r="GI554" i="65"/>
  <c r="GP748" i="65"/>
  <c r="GI481" i="65"/>
  <c r="GJ481" i="65"/>
  <c r="GK481" i="65"/>
  <c r="GI849" i="65"/>
  <c r="GJ849" i="65"/>
  <c r="GK849" i="65"/>
  <c r="GI789" i="65"/>
  <c r="GK789" i="65"/>
  <c r="GJ789" i="65"/>
  <c r="GI777" i="65"/>
  <c r="GJ777" i="65"/>
  <c r="GK777" i="65"/>
  <c r="GI688" i="65"/>
  <c r="GJ688" i="65"/>
  <c r="GK688" i="65"/>
  <c r="GK827" i="65"/>
  <c r="GI827" i="65"/>
  <c r="GJ827" i="65"/>
  <c r="GI853" i="65"/>
  <c r="GJ853" i="65"/>
  <c r="GK853" i="65"/>
  <c r="GJ776" i="65"/>
  <c r="GI776" i="65"/>
  <c r="GK776" i="65"/>
  <c r="GK578" i="65"/>
  <c r="GI578" i="65"/>
  <c r="GJ578" i="65"/>
  <c r="GI522" i="65"/>
  <c r="GJ522" i="65"/>
  <c r="GK522" i="65"/>
  <c r="GK551" i="65"/>
  <c r="GI551" i="65"/>
  <c r="GJ551" i="65"/>
  <c r="GJ806" i="65"/>
  <c r="GK806" i="65"/>
  <c r="GI806" i="65"/>
  <c r="GK693" i="65"/>
  <c r="GJ693" i="65"/>
  <c r="GI693" i="65"/>
  <c r="GK719" i="65"/>
  <c r="GJ719" i="65"/>
  <c r="GI719" i="65"/>
  <c r="GK655" i="65"/>
  <c r="GI655" i="65"/>
  <c r="GJ655" i="65"/>
  <c r="GJ520" i="65"/>
  <c r="GK520" i="65"/>
  <c r="GI520" i="65"/>
  <c r="GK519" i="65"/>
  <c r="GJ519" i="65"/>
  <c r="GI519" i="65"/>
  <c r="GJ798" i="65"/>
  <c r="GK798" i="65"/>
  <c r="GI798" i="65"/>
  <c r="GJ630" i="65"/>
  <c r="GK630" i="65"/>
  <c r="GI630" i="65"/>
  <c r="GI712" i="65"/>
  <c r="GJ712" i="65"/>
  <c r="GK712" i="65"/>
  <c r="GK739" i="65"/>
  <c r="GJ739" i="65"/>
  <c r="GI739" i="65"/>
  <c r="GI761" i="65"/>
  <c r="GK761" i="65"/>
  <c r="GJ761" i="65"/>
  <c r="GI509" i="65"/>
  <c r="GK509" i="65"/>
  <c r="GJ509" i="65"/>
  <c r="GI484" i="65"/>
  <c r="GJ484" i="65"/>
  <c r="GK484" i="65"/>
  <c r="GI566" i="65"/>
  <c r="GJ566" i="65"/>
  <c r="GK566" i="65"/>
  <c r="GI598" i="65"/>
  <c r="GJ598" i="65"/>
  <c r="GK598" i="65"/>
  <c r="AI4" i="57"/>
  <c r="AM4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BE1567" i="57" l="1"/>
  <c r="BE1605" i="57"/>
  <c r="BE1646" i="57"/>
  <c r="BK1531" i="57"/>
  <c r="BK1572" i="57"/>
  <c r="BK1616" i="57"/>
  <c r="BE1483" i="57"/>
  <c r="GJ800" i="65"/>
  <c r="GI800" i="65"/>
  <c r="GK800" i="65"/>
  <c r="GI582" i="65"/>
  <c r="GJ582" i="65"/>
  <c r="GK582" i="65"/>
  <c r="BH1609" i="57" l="1"/>
  <c r="BH1605" i="57"/>
  <c r="BK1553" i="57"/>
  <c r="BH1590" i="57"/>
  <c r="BH1550" i="57"/>
  <c r="BH1602" i="57"/>
  <c r="BH1521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BH1381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N305" i="70"/>
  <c r="AN249" i="70"/>
  <c r="AN177" i="70"/>
  <c r="AN14" i="70"/>
  <c r="AS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R81" i="70" l="1"/>
  <c r="BE81" i="70"/>
  <c r="BD81" i="70"/>
  <c r="AR212" i="70"/>
  <c r="BD212" i="70"/>
  <c r="BE212" i="70"/>
  <c r="AR340" i="70"/>
  <c r="BD340" i="70"/>
  <c r="AR468" i="70"/>
  <c r="BD468" i="70"/>
  <c r="BE468" i="70"/>
  <c r="AR549" i="70"/>
  <c r="BD549" i="70"/>
  <c r="BE549" i="70"/>
  <c r="AR609" i="70"/>
  <c r="BD609" i="70"/>
  <c r="AR673" i="70"/>
  <c r="BB673" i="70" s="1"/>
  <c r="BD673" i="70"/>
  <c r="BE673" i="70"/>
  <c r="AR511" i="70"/>
  <c r="BB511" i="70" s="1"/>
  <c r="BD511" i="70"/>
  <c r="BE511" i="70"/>
  <c r="AR96" i="70"/>
  <c r="BB96" i="70" s="1"/>
  <c r="BD96" i="70"/>
  <c r="BE96" i="70"/>
  <c r="AR49" i="70"/>
  <c r="BE49" i="70"/>
  <c r="BD49" i="70"/>
  <c r="AR192" i="70"/>
  <c r="BD192" i="70"/>
  <c r="BE192" i="70"/>
  <c r="AR260" i="70"/>
  <c r="BD260" i="70"/>
  <c r="BE260" i="70"/>
  <c r="AR356" i="70"/>
  <c r="BD356" i="70"/>
  <c r="BE356" i="70"/>
  <c r="AR420" i="70"/>
  <c r="BB420" i="70" s="1"/>
  <c r="BD420" i="70"/>
  <c r="BE420" i="70"/>
  <c r="AR484" i="70"/>
  <c r="BD484" i="70"/>
  <c r="BE484" i="70"/>
  <c r="AR539" i="70"/>
  <c r="BD539" i="70"/>
  <c r="BE539" i="70"/>
  <c r="AR560" i="70"/>
  <c r="BB560" i="70" s="1"/>
  <c r="BD560" i="70"/>
  <c r="BE560" i="70"/>
  <c r="AR581" i="70"/>
  <c r="BD581" i="70"/>
  <c r="AR601" i="70"/>
  <c r="BD601" i="70"/>
  <c r="AR617" i="70"/>
  <c r="BD617" i="70"/>
  <c r="AR633" i="70"/>
  <c r="BD633" i="70"/>
  <c r="BE633" i="70"/>
  <c r="AR649" i="70"/>
  <c r="BD649" i="70"/>
  <c r="BE649" i="70"/>
  <c r="AR665" i="70"/>
  <c r="BB665" i="70" s="1"/>
  <c r="BD665" i="70"/>
  <c r="BE665" i="70"/>
  <c r="AR681" i="70"/>
  <c r="BD681" i="70"/>
  <c r="BE681" i="70"/>
  <c r="AR697" i="70"/>
  <c r="BD697" i="70"/>
  <c r="BE697" i="70"/>
  <c r="AR713" i="70"/>
  <c r="BD713" i="70"/>
  <c r="BE713" i="70"/>
  <c r="AR729" i="70"/>
  <c r="BB729" i="70" s="1"/>
  <c r="BD729" i="70"/>
  <c r="BE729" i="70"/>
  <c r="AR12" i="70"/>
  <c r="BD12" i="70"/>
  <c r="BE12" i="70"/>
  <c r="AR519" i="70"/>
  <c r="BD519" i="70"/>
  <c r="BE519" i="70"/>
  <c r="AR503" i="70"/>
  <c r="BB503" i="70" s="1"/>
  <c r="BD503" i="70"/>
  <c r="BE503" i="70"/>
  <c r="AR487" i="70"/>
  <c r="BD487" i="70"/>
  <c r="BE487" i="70"/>
  <c r="AR471" i="70"/>
  <c r="BD471" i="70"/>
  <c r="BE471" i="70"/>
  <c r="AR455" i="70"/>
  <c r="BD455" i="70"/>
  <c r="BE455" i="70"/>
  <c r="AR439" i="70"/>
  <c r="BD439" i="70"/>
  <c r="BE439" i="70"/>
  <c r="AR423" i="70"/>
  <c r="BB423" i="70" s="1"/>
  <c r="BD423" i="70"/>
  <c r="BE423" i="70"/>
  <c r="AR407" i="70"/>
  <c r="BD407" i="70"/>
  <c r="BE407" i="70"/>
  <c r="AR391" i="70"/>
  <c r="BD391" i="70"/>
  <c r="BE391" i="70"/>
  <c r="AR375" i="70"/>
  <c r="BD375" i="70"/>
  <c r="BE375" i="70"/>
  <c r="AR359" i="70"/>
  <c r="BD359" i="70"/>
  <c r="BE359" i="70"/>
  <c r="AR343" i="70"/>
  <c r="BD343" i="70"/>
  <c r="BE343" i="70"/>
  <c r="AR327" i="70"/>
  <c r="BD327" i="70"/>
  <c r="AR311" i="70"/>
  <c r="BB311" i="70" s="1"/>
  <c r="BD311" i="70"/>
  <c r="BE311" i="70"/>
  <c r="AR295" i="70"/>
  <c r="BD295" i="70"/>
  <c r="BE295" i="70"/>
  <c r="AR279" i="70"/>
  <c r="BE279" i="70"/>
  <c r="BD279" i="70"/>
  <c r="AR263" i="70"/>
  <c r="BE263" i="70"/>
  <c r="BD263" i="70"/>
  <c r="AR247" i="70"/>
  <c r="BE247" i="70"/>
  <c r="BD247" i="70"/>
  <c r="AR231" i="70"/>
  <c r="BD231" i="70"/>
  <c r="AR215" i="70"/>
  <c r="BE215" i="70"/>
  <c r="BD215" i="70"/>
  <c r="AR196" i="70"/>
  <c r="BD196" i="70"/>
  <c r="BE196" i="70"/>
  <c r="AR174" i="70"/>
  <c r="BD174" i="70"/>
  <c r="BE174" i="70"/>
  <c r="AR153" i="70"/>
  <c r="BE153" i="70"/>
  <c r="BD153" i="70"/>
  <c r="AR132" i="70"/>
  <c r="BD132" i="70"/>
  <c r="BE132" i="70"/>
  <c r="AR110" i="70"/>
  <c r="BB110" i="70" s="1"/>
  <c r="BD110" i="70"/>
  <c r="BE110" i="70"/>
  <c r="AR86" i="70"/>
  <c r="BD86" i="70"/>
  <c r="BE86" i="70"/>
  <c r="AR54" i="70"/>
  <c r="BD54" i="70"/>
  <c r="BE54" i="70"/>
  <c r="AR594" i="70"/>
  <c r="BD594" i="70"/>
  <c r="AR578" i="70"/>
  <c r="BD578" i="70"/>
  <c r="AR562" i="70"/>
  <c r="BB562" i="70" s="1"/>
  <c r="BD562" i="70"/>
  <c r="BE562" i="70"/>
  <c r="AR546" i="70"/>
  <c r="BD546" i="70"/>
  <c r="BE546" i="70"/>
  <c r="AR530" i="70"/>
  <c r="BD530" i="70"/>
  <c r="BE530" i="70"/>
  <c r="AR514" i="70"/>
  <c r="BD514" i="70"/>
  <c r="BE514" i="70"/>
  <c r="AR498" i="70"/>
  <c r="BB498" i="70" s="1"/>
  <c r="BD498" i="70"/>
  <c r="BE498" i="70"/>
  <c r="AR482" i="70"/>
  <c r="BD482" i="70"/>
  <c r="BE482" i="70"/>
  <c r="AR466" i="70"/>
  <c r="BD466" i="70"/>
  <c r="BE466" i="70"/>
  <c r="AR450" i="70"/>
  <c r="BD450" i="70"/>
  <c r="BE450" i="70"/>
  <c r="AR434" i="70"/>
  <c r="BD434" i="70"/>
  <c r="BE434" i="70"/>
  <c r="AR418" i="70"/>
  <c r="BB418" i="70" s="1"/>
  <c r="BD418" i="70"/>
  <c r="BE418" i="70"/>
  <c r="AR402" i="70"/>
  <c r="BD402" i="70"/>
  <c r="BE402" i="70"/>
  <c r="AR386" i="70"/>
  <c r="BD386" i="70"/>
  <c r="BE386" i="70"/>
  <c r="AR370" i="70"/>
  <c r="BD370" i="70"/>
  <c r="BE370" i="70"/>
  <c r="AR354" i="70"/>
  <c r="BD354" i="70"/>
  <c r="BE354" i="70"/>
  <c r="AR338" i="70"/>
  <c r="BD338" i="70"/>
  <c r="AR322" i="70"/>
  <c r="BB322" i="70" s="1"/>
  <c r="BE322" i="70"/>
  <c r="BD322" i="70"/>
  <c r="AR306" i="70"/>
  <c r="BB306" i="70" s="1"/>
  <c r="BE306" i="70"/>
  <c r="BD306" i="70"/>
  <c r="AR290" i="70"/>
  <c r="BE290" i="70"/>
  <c r="BD290" i="70"/>
  <c r="AR274" i="70"/>
  <c r="BD274" i="70"/>
  <c r="BE274" i="70"/>
  <c r="AR258" i="70"/>
  <c r="BD258" i="70"/>
  <c r="BE258" i="70"/>
  <c r="AR242" i="70"/>
  <c r="BD242" i="70"/>
  <c r="BE242" i="70"/>
  <c r="AR226" i="70"/>
  <c r="BD226" i="70"/>
  <c r="AR210" i="70"/>
  <c r="BD210" i="70"/>
  <c r="BE210" i="70"/>
  <c r="AR189" i="70"/>
  <c r="BE189" i="70"/>
  <c r="BD189" i="70"/>
  <c r="AR168" i="70"/>
  <c r="BD168" i="70"/>
  <c r="BE168" i="70"/>
  <c r="AR146" i="70"/>
  <c r="BD146" i="70"/>
  <c r="BE146" i="70"/>
  <c r="AR125" i="70"/>
  <c r="BE125" i="70"/>
  <c r="BD125" i="70"/>
  <c r="AR104" i="70"/>
  <c r="BB104" i="70" s="1"/>
  <c r="BD104" i="70"/>
  <c r="BE104" i="70"/>
  <c r="AR77" i="70"/>
  <c r="BB77" i="70" s="1"/>
  <c r="BE77" i="70"/>
  <c r="BD77" i="70"/>
  <c r="AR45" i="70"/>
  <c r="BE45" i="70"/>
  <c r="BD45" i="70"/>
  <c r="AR88" i="70"/>
  <c r="BD88" i="70"/>
  <c r="BE88" i="70"/>
  <c r="AR72" i="70"/>
  <c r="BB72" i="70" s="1"/>
  <c r="BD72" i="70"/>
  <c r="BE72" i="70"/>
  <c r="AR56" i="70"/>
  <c r="BD56" i="70"/>
  <c r="BE56" i="70"/>
  <c r="AR40" i="70"/>
  <c r="BD40" i="70"/>
  <c r="BE40" i="70"/>
  <c r="AR24" i="70"/>
  <c r="BD24" i="70"/>
  <c r="BE24" i="70"/>
  <c r="AR195" i="70"/>
  <c r="BE195" i="70"/>
  <c r="BD195" i="70"/>
  <c r="AR179" i="70"/>
  <c r="BE179" i="70"/>
  <c r="BD179" i="70"/>
  <c r="AR163" i="70"/>
  <c r="BE163" i="70"/>
  <c r="BD163" i="70"/>
  <c r="AR147" i="70"/>
  <c r="BE147" i="70"/>
  <c r="BD147" i="70"/>
  <c r="AR131" i="70"/>
  <c r="BE131" i="70"/>
  <c r="BD131" i="70"/>
  <c r="AR115" i="70"/>
  <c r="BE115" i="70"/>
  <c r="BD115" i="70"/>
  <c r="AR99" i="70"/>
  <c r="BB99" i="70" s="1"/>
  <c r="BE99" i="70"/>
  <c r="BD99" i="70"/>
  <c r="AR83" i="70"/>
  <c r="BE83" i="70"/>
  <c r="BD83" i="70"/>
  <c r="AR67" i="70"/>
  <c r="BB67" i="70" s="1"/>
  <c r="BE67" i="70"/>
  <c r="BD67" i="70"/>
  <c r="AR51" i="70"/>
  <c r="BE51" i="70"/>
  <c r="BD51" i="70"/>
  <c r="AR35" i="70"/>
  <c r="BD35" i="70"/>
  <c r="BE35" i="70"/>
  <c r="AR197" i="70"/>
  <c r="BE197" i="70"/>
  <c r="BD197" i="70"/>
  <c r="AR264" i="70"/>
  <c r="BD264" i="70"/>
  <c r="BE264" i="70"/>
  <c r="AR320" i="70"/>
  <c r="BB320" i="70" s="1"/>
  <c r="BE320" i="70"/>
  <c r="BD320" i="70"/>
  <c r="AR400" i="70"/>
  <c r="BD400" i="70"/>
  <c r="BE400" i="70"/>
  <c r="AR464" i="70"/>
  <c r="BD464" i="70"/>
  <c r="BE464" i="70"/>
  <c r="AR525" i="70"/>
  <c r="BD525" i="70"/>
  <c r="BE525" i="70"/>
  <c r="AR568" i="70"/>
  <c r="BB568" i="70" s="1"/>
  <c r="BD568" i="70"/>
  <c r="BE568" i="70"/>
  <c r="AR607" i="70"/>
  <c r="BD607" i="70"/>
  <c r="AR639" i="70"/>
  <c r="BD639" i="70"/>
  <c r="BE639" i="70"/>
  <c r="AR667" i="70"/>
  <c r="BB667" i="70" s="1"/>
  <c r="BD667" i="70"/>
  <c r="BE667" i="70"/>
  <c r="AR699" i="70"/>
  <c r="BD699" i="70"/>
  <c r="BE699" i="70"/>
  <c r="AR731" i="70"/>
  <c r="BB731" i="70" s="1"/>
  <c r="BD731" i="70"/>
  <c r="BE731" i="70"/>
  <c r="AR265" i="70"/>
  <c r="BE265" i="70"/>
  <c r="BD265" i="70"/>
  <c r="AR353" i="70"/>
  <c r="BD353" i="70"/>
  <c r="BE353" i="70"/>
  <c r="AR409" i="70"/>
  <c r="BD409" i="70"/>
  <c r="BE409" i="70"/>
  <c r="AR473" i="70"/>
  <c r="BD473" i="70"/>
  <c r="BE473" i="70"/>
  <c r="AR532" i="70"/>
  <c r="BD532" i="70"/>
  <c r="BE532" i="70"/>
  <c r="AR575" i="70"/>
  <c r="BB575" i="70" s="1"/>
  <c r="BD575" i="70"/>
  <c r="BE575" i="70"/>
  <c r="AR612" i="70"/>
  <c r="BD612" i="70"/>
  <c r="AR640" i="70"/>
  <c r="BD640" i="70"/>
  <c r="BE640" i="70"/>
  <c r="AR672" i="70"/>
  <c r="BB672" i="70" s="1"/>
  <c r="BE672" i="70"/>
  <c r="BD672" i="70"/>
  <c r="AR704" i="70"/>
  <c r="BE704" i="70"/>
  <c r="BD704" i="70"/>
  <c r="AR732" i="70"/>
  <c r="BB732" i="70" s="1"/>
  <c r="BD732" i="70"/>
  <c r="BE732" i="70"/>
  <c r="AR97" i="70"/>
  <c r="BB97" i="70" s="1"/>
  <c r="BE97" i="70"/>
  <c r="BD97" i="70"/>
  <c r="AR140" i="70"/>
  <c r="BD140" i="70"/>
  <c r="BE140" i="70"/>
  <c r="AR182" i="70"/>
  <c r="BD182" i="70"/>
  <c r="BE182" i="70"/>
  <c r="AR221" i="70"/>
  <c r="BD221" i="70"/>
  <c r="AR253" i="70"/>
  <c r="BE253" i="70"/>
  <c r="BD253" i="70"/>
  <c r="AR285" i="70"/>
  <c r="BD285" i="70"/>
  <c r="BE285" i="70"/>
  <c r="AR317" i="70"/>
  <c r="BB317" i="70" s="1"/>
  <c r="BD317" i="70"/>
  <c r="BE317" i="70"/>
  <c r="AR349" i="70"/>
  <c r="BD349" i="70"/>
  <c r="BE349" i="70"/>
  <c r="AR381" i="70"/>
  <c r="BD381" i="70"/>
  <c r="BE381" i="70"/>
  <c r="AR413" i="70"/>
  <c r="BD413" i="70"/>
  <c r="BE413" i="70"/>
  <c r="AR445" i="70"/>
  <c r="BD445" i="70"/>
  <c r="BE445" i="70"/>
  <c r="AR477" i="70"/>
  <c r="BD477" i="70"/>
  <c r="BE477" i="70"/>
  <c r="AR509" i="70"/>
  <c r="BB509" i="70" s="1"/>
  <c r="BD509" i="70"/>
  <c r="BE509" i="70"/>
  <c r="AR535" i="70"/>
  <c r="BD535" i="70"/>
  <c r="BE535" i="70"/>
  <c r="AR556" i="70"/>
  <c r="BB556" i="70" s="1"/>
  <c r="BD556" i="70"/>
  <c r="BE556" i="70"/>
  <c r="AR577" i="70"/>
  <c r="BD577" i="70"/>
  <c r="AR598" i="70"/>
  <c r="BD598" i="70"/>
  <c r="AR614" i="70"/>
  <c r="BD614" i="70"/>
  <c r="AR630" i="70"/>
  <c r="BE630" i="70"/>
  <c r="BD630" i="70"/>
  <c r="AR646" i="70"/>
  <c r="BE646" i="70"/>
  <c r="BD646" i="70"/>
  <c r="AR662" i="70"/>
  <c r="BB662" i="70" s="1"/>
  <c r="BE662" i="70"/>
  <c r="BD662" i="70"/>
  <c r="AR678" i="70"/>
  <c r="BB678" i="70" s="1"/>
  <c r="BD678" i="70"/>
  <c r="BE678" i="70"/>
  <c r="AR694" i="70"/>
  <c r="BE694" i="70"/>
  <c r="BD694" i="70"/>
  <c r="AR710" i="70"/>
  <c r="BE710" i="70"/>
  <c r="BD710" i="70"/>
  <c r="AR726" i="70"/>
  <c r="BB726" i="70" s="1"/>
  <c r="BE726" i="70"/>
  <c r="BD726" i="70"/>
  <c r="AR17" i="70"/>
  <c r="BD17" i="70"/>
  <c r="BE17" i="70"/>
  <c r="AR224" i="70"/>
  <c r="BD224" i="70"/>
  <c r="AR288" i="70"/>
  <c r="BE288" i="70"/>
  <c r="BD288" i="70"/>
  <c r="AR360" i="70"/>
  <c r="BD360" i="70"/>
  <c r="BE360" i="70"/>
  <c r="AR424" i="70"/>
  <c r="BB424" i="70" s="1"/>
  <c r="BD424" i="70"/>
  <c r="BE424" i="70"/>
  <c r="AR488" i="70"/>
  <c r="BD488" i="70"/>
  <c r="BE488" i="70"/>
  <c r="AR541" i="70"/>
  <c r="BD541" i="70"/>
  <c r="BE541" i="70"/>
  <c r="AR584" i="70"/>
  <c r="BD584" i="70"/>
  <c r="AR619" i="70"/>
  <c r="BD619" i="70"/>
  <c r="BE619" i="70"/>
  <c r="AR651" i="70"/>
  <c r="BD651" i="70"/>
  <c r="BE651" i="70"/>
  <c r="AR687" i="70"/>
  <c r="BD687" i="70"/>
  <c r="BE687" i="70"/>
  <c r="AR719" i="70"/>
  <c r="BD719" i="70"/>
  <c r="BE719" i="70"/>
  <c r="AR188" i="70"/>
  <c r="BD188" i="70"/>
  <c r="BE188" i="70"/>
  <c r="AR257" i="70"/>
  <c r="BE257" i="70"/>
  <c r="BD257" i="70"/>
  <c r="AR345" i="70"/>
  <c r="BD345" i="70"/>
  <c r="BE345" i="70"/>
  <c r="AR417" i="70"/>
  <c r="BB417" i="70" s="1"/>
  <c r="BD417" i="70"/>
  <c r="BE417" i="70"/>
  <c r="AR481" i="70"/>
  <c r="BD481" i="70"/>
  <c r="BE481" i="70"/>
  <c r="AR537" i="70"/>
  <c r="BD537" i="70"/>
  <c r="BE537" i="70"/>
  <c r="AR580" i="70"/>
  <c r="BD580" i="70"/>
  <c r="AR616" i="70"/>
  <c r="BD616" i="70"/>
  <c r="AR652" i="70"/>
  <c r="BE652" i="70"/>
  <c r="BD652" i="70"/>
  <c r="AR684" i="70"/>
  <c r="BD684" i="70"/>
  <c r="BE684" i="70"/>
  <c r="AR716" i="70"/>
  <c r="BD716" i="70"/>
  <c r="BE716" i="70"/>
  <c r="AR57" i="70"/>
  <c r="BE57" i="70"/>
  <c r="BD57" i="70"/>
  <c r="AR154" i="70"/>
  <c r="BD154" i="70"/>
  <c r="BE154" i="70"/>
  <c r="AR26" i="70"/>
  <c r="BD26" i="70"/>
  <c r="BE26" i="70"/>
  <c r="AR134" i="70"/>
  <c r="BD134" i="70"/>
  <c r="BE134" i="70"/>
  <c r="AR9" i="70"/>
  <c r="BD9" i="70"/>
  <c r="BE9" i="70"/>
  <c r="AR101" i="70"/>
  <c r="BB101" i="70" s="1"/>
  <c r="BE101" i="70"/>
  <c r="BD101" i="70"/>
  <c r="AR11" i="70"/>
  <c r="BD11" i="70"/>
  <c r="BE11" i="70"/>
  <c r="AR102" i="70"/>
  <c r="BB102" i="70" s="1"/>
  <c r="BD102" i="70"/>
  <c r="BE102" i="70"/>
  <c r="AR124" i="70"/>
  <c r="BD124" i="70"/>
  <c r="BE124" i="70"/>
  <c r="AR249" i="70"/>
  <c r="BE249" i="70"/>
  <c r="BD249" i="70"/>
  <c r="AR779" i="70"/>
  <c r="BD779" i="70"/>
  <c r="AR773" i="70"/>
  <c r="BD773" i="70"/>
  <c r="AR784" i="70"/>
  <c r="BD784" i="70"/>
  <c r="AR756" i="70"/>
  <c r="BD756" i="70"/>
  <c r="AR741" i="70"/>
  <c r="BB741" i="70" s="1"/>
  <c r="BD741" i="70"/>
  <c r="BE741" i="70"/>
  <c r="AR775" i="70"/>
  <c r="BD775" i="70"/>
  <c r="AR752" i="70"/>
  <c r="BD752" i="70"/>
  <c r="AR762" i="70"/>
  <c r="BD762" i="70"/>
  <c r="AR744" i="70"/>
  <c r="BD744" i="70"/>
  <c r="AR748" i="70"/>
  <c r="BD748" i="70"/>
  <c r="AR764" i="70"/>
  <c r="BD764" i="70"/>
  <c r="AR747" i="70"/>
  <c r="BD747" i="70"/>
  <c r="AR128" i="70"/>
  <c r="BD128" i="70"/>
  <c r="BE128" i="70"/>
  <c r="AR308" i="70"/>
  <c r="BB308" i="70" s="1"/>
  <c r="BE308" i="70"/>
  <c r="BD308" i="70"/>
  <c r="AR404" i="70"/>
  <c r="BD404" i="70"/>
  <c r="BE404" i="70"/>
  <c r="AR528" i="70"/>
  <c r="BD528" i="70"/>
  <c r="BE528" i="70"/>
  <c r="AR625" i="70"/>
  <c r="BD625" i="70"/>
  <c r="BE625" i="70"/>
  <c r="AR20" i="70"/>
  <c r="BD20" i="70"/>
  <c r="BE20" i="70"/>
  <c r="AR33" i="70"/>
  <c r="BD33" i="70"/>
  <c r="BE33" i="70"/>
  <c r="AR181" i="70"/>
  <c r="BE181" i="70"/>
  <c r="BD181" i="70"/>
  <c r="AR106" i="70"/>
  <c r="BB106" i="70" s="1"/>
  <c r="BD106" i="70"/>
  <c r="BE106" i="70"/>
  <c r="AR149" i="70"/>
  <c r="BE149" i="70"/>
  <c r="BD149" i="70"/>
  <c r="AR228" i="70"/>
  <c r="BD228" i="70"/>
  <c r="AR292" i="70"/>
  <c r="BE292" i="70"/>
  <c r="BD292" i="70"/>
  <c r="AR324" i="70"/>
  <c r="BD324" i="70"/>
  <c r="AR388" i="70"/>
  <c r="BD388" i="70"/>
  <c r="BE388" i="70"/>
  <c r="AR452" i="70"/>
  <c r="BD452" i="70"/>
  <c r="BE452" i="70"/>
  <c r="AR516" i="70"/>
  <c r="BD516" i="70"/>
  <c r="BE516" i="70"/>
  <c r="AR65" i="70"/>
  <c r="BE65" i="70"/>
  <c r="BD65" i="70"/>
  <c r="AR117" i="70"/>
  <c r="BE117" i="70"/>
  <c r="BD117" i="70"/>
  <c r="AR160" i="70"/>
  <c r="BD160" i="70"/>
  <c r="BE160" i="70"/>
  <c r="AR202" i="70"/>
  <c r="BD202" i="70"/>
  <c r="BE202" i="70"/>
  <c r="AR236" i="70"/>
  <c r="BD236" i="70"/>
  <c r="BE236" i="70"/>
  <c r="AR268" i="70"/>
  <c r="BD268" i="70"/>
  <c r="BE268" i="70"/>
  <c r="AR300" i="70"/>
  <c r="BE300" i="70"/>
  <c r="BD300" i="70"/>
  <c r="AR332" i="70"/>
  <c r="BD332" i="70"/>
  <c r="AR364" i="70"/>
  <c r="BD364" i="70"/>
  <c r="BE364" i="70"/>
  <c r="AR396" i="70"/>
  <c r="BD396" i="70"/>
  <c r="BE396" i="70"/>
  <c r="AR428" i="70"/>
  <c r="BB428" i="70" s="1"/>
  <c r="BD428" i="70"/>
  <c r="BE428" i="70"/>
  <c r="AR460" i="70"/>
  <c r="BD460" i="70"/>
  <c r="BE460" i="70"/>
  <c r="AR492" i="70"/>
  <c r="BB492" i="70" s="1"/>
  <c r="BD492" i="70"/>
  <c r="BE492" i="70"/>
  <c r="AR523" i="70"/>
  <c r="BD523" i="70"/>
  <c r="BE523" i="70"/>
  <c r="AR544" i="70"/>
  <c r="BD544" i="70"/>
  <c r="BE544" i="70"/>
  <c r="AR565" i="70"/>
  <c r="BB565" i="70" s="1"/>
  <c r="BD565" i="70"/>
  <c r="BE565" i="70"/>
  <c r="AR587" i="70"/>
  <c r="BD587" i="70"/>
  <c r="AR605" i="70"/>
  <c r="BD605" i="70"/>
  <c r="AR621" i="70"/>
  <c r="BD621" i="70"/>
  <c r="BE621" i="70"/>
  <c r="AR637" i="70"/>
  <c r="BD637" i="70"/>
  <c r="BE637" i="70"/>
  <c r="AR653" i="70"/>
  <c r="BD653" i="70"/>
  <c r="BE653" i="70"/>
  <c r="AR669" i="70"/>
  <c r="BB669" i="70" s="1"/>
  <c r="BD669" i="70"/>
  <c r="BE669" i="70"/>
  <c r="AR685" i="70"/>
  <c r="BD685" i="70"/>
  <c r="BE685" i="70"/>
  <c r="AR701" i="70"/>
  <c r="BD701" i="70"/>
  <c r="BE701" i="70"/>
  <c r="AR717" i="70"/>
  <c r="BD717" i="70"/>
  <c r="BE717" i="70"/>
  <c r="AR733" i="70"/>
  <c r="BB733" i="70" s="1"/>
  <c r="BD733" i="70"/>
  <c r="BE733" i="70"/>
  <c r="AR16" i="70"/>
  <c r="BD16" i="70"/>
  <c r="BE16" i="70"/>
  <c r="AR515" i="70"/>
  <c r="BD515" i="70"/>
  <c r="BE515" i="70"/>
  <c r="AR499" i="70"/>
  <c r="BB499" i="70" s="1"/>
  <c r="BD499" i="70"/>
  <c r="BE499" i="70"/>
  <c r="AR483" i="70"/>
  <c r="BD483" i="70"/>
  <c r="BE483" i="70"/>
  <c r="AR467" i="70"/>
  <c r="BD467" i="70"/>
  <c r="BE467" i="70"/>
  <c r="AR451" i="70"/>
  <c r="BD451" i="70"/>
  <c r="BE451" i="70"/>
  <c r="AR435" i="70"/>
  <c r="BD435" i="70"/>
  <c r="BE435" i="70"/>
  <c r="AR419" i="70"/>
  <c r="BB419" i="70" s="1"/>
  <c r="BD419" i="70"/>
  <c r="BE419" i="70"/>
  <c r="AR403" i="70"/>
  <c r="BD403" i="70"/>
  <c r="BE403" i="70"/>
  <c r="AR387" i="70"/>
  <c r="BD387" i="70"/>
  <c r="BE387" i="70"/>
  <c r="AR371" i="70"/>
  <c r="BD371" i="70"/>
  <c r="BE371" i="70"/>
  <c r="AR355" i="70"/>
  <c r="BD355" i="70"/>
  <c r="BE355" i="70"/>
  <c r="AR339" i="70"/>
  <c r="BD339" i="70"/>
  <c r="AR323" i="70"/>
  <c r="BB323" i="70" s="1"/>
  <c r="BD323" i="70"/>
  <c r="BE323" i="70"/>
  <c r="AR307" i="70"/>
  <c r="BB307" i="70" s="1"/>
  <c r="BD307" i="70"/>
  <c r="BE307" i="70"/>
  <c r="AR291" i="70"/>
  <c r="BD291" i="70"/>
  <c r="BE291" i="70"/>
  <c r="AR275" i="70"/>
  <c r="BE275" i="70"/>
  <c r="BD275" i="70"/>
  <c r="AR259" i="70"/>
  <c r="BE259" i="70"/>
  <c r="BD259" i="70"/>
  <c r="AR243" i="70"/>
  <c r="BE243" i="70"/>
  <c r="BD243" i="70"/>
  <c r="AR227" i="70"/>
  <c r="BD227" i="70"/>
  <c r="AR211" i="70"/>
  <c r="BE211" i="70"/>
  <c r="BD211" i="70"/>
  <c r="AR190" i="70"/>
  <c r="BD190" i="70"/>
  <c r="BE190" i="70"/>
  <c r="AR169" i="70"/>
  <c r="BE169" i="70"/>
  <c r="BD169" i="70"/>
  <c r="AR148" i="70"/>
  <c r="BD148" i="70"/>
  <c r="BE148" i="70"/>
  <c r="AR126" i="70"/>
  <c r="BD126" i="70"/>
  <c r="BE126" i="70"/>
  <c r="AR105" i="70"/>
  <c r="BB105" i="70" s="1"/>
  <c r="BE105" i="70"/>
  <c r="BD105" i="70"/>
  <c r="AR78" i="70"/>
  <c r="BB78" i="70" s="1"/>
  <c r="BD78" i="70"/>
  <c r="BE78" i="70"/>
  <c r="AR46" i="70"/>
  <c r="BD46" i="70"/>
  <c r="BE46" i="70"/>
  <c r="AR590" i="70"/>
  <c r="BD590" i="70"/>
  <c r="AR574" i="70"/>
  <c r="BB574" i="70" s="1"/>
  <c r="BE574" i="70"/>
  <c r="BD574" i="70"/>
  <c r="AR558" i="70"/>
  <c r="BB558" i="70" s="1"/>
  <c r="BD558" i="70"/>
  <c r="BE558" i="70"/>
  <c r="AR542" i="70"/>
  <c r="BD542" i="70"/>
  <c r="BE542" i="70"/>
  <c r="AR526" i="70"/>
  <c r="BD526" i="70"/>
  <c r="BE526" i="70"/>
  <c r="AR510" i="70"/>
  <c r="BB510" i="70" s="1"/>
  <c r="BD510" i="70"/>
  <c r="BE510" i="70"/>
  <c r="AR494" i="70"/>
  <c r="BB494" i="70" s="1"/>
  <c r="BD494" i="70"/>
  <c r="BE494" i="70"/>
  <c r="AR478" i="70"/>
  <c r="BD478" i="70"/>
  <c r="BE478" i="70"/>
  <c r="AR462" i="70"/>
  <c r="BD462" i="70"/>
  <c r="BE462" i="70"/>
  <c r="AR446" i="70"/>
  <c r="BD446" i="70"/>
  <c r="BE446" i="70"/>
  <c r="AR430" i="70"/>
  <c r="BB430" i="70" s="1"/>
  <c r="BD430" i="70"/>
  <c r="BE430" i="70"/>
  <c r="AR414" i="70"/>
  <c r="BB414" i="70" s="1"/>
  <c r="BD414" i="70"/>
  <c r="BE414" i="70"/>
  <c r="AR398" i="70"/>
  <c r="BD398" i="70"/>
  <c r="BE398" i="70"/>
  <c r="AR382" i="70"/>
  <c r="BD382" i="70"/>
  <c r="BE382" i="70"/>
  <c r="AR366" i="70"/>
  <c r="BD366" i="70"/>
  <c r="BE366" i="70"/>
  <c r="AR350" i="70"/>
  <c r="BD350" i="70"/>
  <c r="BE350" i="70"/>
  <c r="AR334" i="70"/>
  <c r="BD334" i="70"/>
  <c r="AR318" i="70"/>
  <c r="BB318" i="70" s="1"/>
  <c r="BE318" i="70"/>
  <c r="BD318" i="70"/>
  <c r="AR302" i="70"/>
  <c r="BE302" i="70"/>
  <c r="BD302" i="70"/>
  <c r="AR286" i="70"/>
  <c r="BE286" i="70"/>
  <c r="BD286" i="70"/>
  <c r="AR270" i="70"/>
  <c r="BD270" i="70"/>
  <c r="BE270" i="70"/>
  <c r="AR254" i="70"/>
  <c r="BD254" i="70"/>
  <c r="BE254" i="70"/>
  <c r="AR238" i="70"/>
  <c r="BD238" i="70"/>
  <c r="BE238" i="70"/>
  <c r="AR222" i="70"/>
  <c r="BD222" i="70"/>
  <c r="AR205" i="70"/>
  <c r="BE205" i="70"/>
  <c r="BD205" i="70"/>
  <c r="AR184" i="70"/>
  <c r="BD184" i="70"/>
  <c r="BE184" i="70"/>
  <c r="AR162" i="70"/>
  <c r="BD162" i="70"/>
  <c r="BE162" i="70"/>
  <c r="AR141" i="70"/>
  <c r="BE141" i="70"/>
  <c r="BD141" i="70"/>
  <c r="AR120" i="70"/>
  <c r="BD120" i="70"/>
  <c r="BE120" i="70"/>
  <c r="AR98" i="70"/>
  <c r="BB98" i="70" s="1"/>
  <c r="BD98" i="70"/>
  <c r="BE98" i="70"/>
  <c r="AR69" i="70"/>
  <c r="BB69" i="70" s="1"/>
  <c r="BE69" i="70"/>
  <c r="BD69" i="70"/>
  <c r="AR37" i="70"/>
  <c r="BE37" i="70"/>
  <c r="BD37" i="70"/>
  <c r="AR84" i="70"/>
  <c r="BD84" i="70"/>
  <c r="BE84" i="70"/>
  <c r="AR68" i="70"/>
  <c r="BB68" i="70" s="1"/>
  <c r="BD68" i="70"/>
  <c r="BE68" i="70"/>
  <c r="AR52" i="70"/>
  <c r="BD52" i="70"/>
  <c r="BE52" i="70"/>
  <c r="AR36" i="70"/>
  <c r="BD36" i="70"/>
  <c r="BE36" i="70"/>
  <c r="AR207" i="70"/>
  <c r="BE207" i="70"/>
  <c r="BD207" i="70"/>
  <c r="AR191" i="70"/>
  <c r="BE191" i="70"/>
  <c r="BD191" i="70"/>
  <c r="AR175" i="70"/>
  <c r="BE175" i="70"/>
  <c r="BD175" i="70"/>
  <c r="AR159" i="70"/>
  <c r="BE159" i="70"/>
  <c r="BD159" i="70"/>
  <c r="AR143" i="70"/>
  <c r="BE143" i="70"/>
  <c r="BD143" i="70"/>
  <c r="AR127" i="70"/>
  <c r="BE127" i="70"/>
  <c r="BD127" i="70"/>
  <c r="AR111" i="70"/>
  <c r="BE111" i="70"/>
  <c r="BD111" i="70"/>
  <c r="AR95" i="70"/>
  <c r="BE95" i="70"/>
  <c r="BD95" i="70"/>
  <c r="AR79" i="70"/>
  <c r="BB79" i="70" s="1"/>
  <c r="BE79" i="70"/>
  <c r="BD79" i="70"/>
  <c r="AR63" i="70"/>
  <c r="BE63" i="70"/>
  <c r="BD63" i="70"/>
  <c r="AR47" i="70"/>
  <c r="BE47" i="70"/>
  <c r="BD47" i="70"/>
  <c r="AR31" i="70"/>
  <c r="BD31" i="70"/>
  <c r="BE31" i="70"/>
  <c r="AR216" i="70"/>
  <c r="BD216" i="70"/>
  <c r="AR280" i="70"/>
  <c r="BD280" i="70"/>
  <c r="BE280" i="70"/>
  <c r="AR352" i="70"/>
  <c r="BD352" i="70"/>
  <c r="BE352" i="70"/>
  <c r="AR416" i="70"/>
  <c r="BB416" i="70" s="1"/>
  <c r="BD416" i="70"/>
  <c r="BE416" i="70"/>
  <c r="AR480" i="70"/>
  <c r="BD480" i="70"/>
  <c r="BE480" i="70"/>
  <c r="AR536" i="70"/>
  <c r="BD536" i="70"/>
  <c r="BE536" i="70"/>
  <c r="AR579" i="70"/>
  <c r="BD579" i="70"/>
  <c r="AR615" i="70"/>
  <c r="BD615" i="70"/>
  <c r="AR647" i="70"/>
  <c r="BD647" i="70"/>
  <c r="BE647" i="70"/>
  <c r="AR675" i="70"/>
  <c r="BB675" i="70" s="1"/>
  <c r="BD675" i="70"/>
  <c r="BE675" i="70"/>
  <c r="AR707" i="70"/>
  <c r="BD707" i="70"/>
  <c r="BE707" i="70"/>
  <c r="AR198" i="70"/>
  <c r="BD198" i="70"/>
  <c r="BE198" i="70"/>
  <c r="AR273" i="70"/>
  <c r="BE273" i="70"/>
  <c r="BD273" i="70"/>
  <c r="AR369" i="70"/>
  <c r="BD369" i="70"/>
  <c r="BE369" i="70"/>
  <c r="AR425" i="70"/>
  <c r="BB425" i="70" s="1"/>
  <c r="BD425" i="70"/>
  <c r="BE425" i="70"/>
  <c r="AR489" i="70"/>
  <c r="BD489" i="70"/>
  <c r="BE489" i="70"/>
  <c r="AR543" i="70"/>
  <c r="BD543" i="70"/>
  <c r="BE543" i="70"/>
  <c r="AR585" i="70"/>
  <c r="BD585" i="70"/>
  <c r="AR620" i="70"/>
  <c r="BE620" i="70"/>
  <c r="BD620" i="70"/>
  <c r="AR648" i="70"/>
  <c r="BD648" i="70"/>
  <c r="BE648" i="70"/>
  <c r="AR680" i="70"/>
  <c r="BB680" i="70" s="1"/>
  <c r="BE680" i="70"/>
  <c r="BD680" i="70"/>
  <c r="AR712" i="70"/>
  <c r="BE712" i="70"/>
  <c r="BD712" i="70"/>
  <c r="AR50" i="70"/>
  <c r="BD50" i="70"/>
  <c r="BE50" i="70"/>
  <c r="AR108" i="70"/>
  <c r="BB108" i="70" s="1"/>
  <c r="BD108" i="70"/>
  <c r="BE108" i="70"/>
  <c r="AR150" i="70"/>
  <c r="BD150" i="70"/>
  <c r="BE150" i="70"/>
  <c r="AR193" i="70"/>
  <c r="BE193" i="70"/>
  <c r="BD193" i="70"/>
  <c r="AR229" i="70"/>
  <c r="BD229" i="70"/>
  <c r="AR261" i="70"/>
  <c r="BE261" i="70"/>
  <c r="BD261" i="70"/>
  <c r="AR293" i="70"/>
  <c r="BD293" i="70"/>
  <c r="BE293" i="70"/>
  <c r="AR325" i="70"/>
  <c r="BD325" i="70"/>
  <c r="AR357" i="70"/>
  <c r="BD357" i="70"/>
  <c r="BE357" i="70"/>
  <c r="AR389" i="70"/>
  <c r="BD389" i="70"/>
  <c r="BE389" i="70"/>
  <c r="AR421" i="70"/>
  <c r="BB421" i="70" s="1"/>
  <c r="BD421" i="70"/>
  <c r="BE421" i="70"/>
  <c r="AR453" i="70"/>
  <c r="BD453" i="70"/>
  <c r="BE453" i="70"/>
  <c r="AR485" i="70"/>
  <c r="BD485" i="70"/>
  <c r="BE485" i="70"/>
  <c r="AR517" i="70"/>
  <c r="BD517" i="70"/>
  <c r="BE517" i="70"/>
  <c r="AR540" i="70"/>
  <c r="BD540" i="70"/>
  <c r="BE540" i="70"/>
  <c r="AR561" i="70"/>
  <c r="BB561" i="70" s="1"/>
  <c r="BD561" i="70"/>
  <c r="BE561" i="70"/>
  <c r="AR583" i="70"/>
  <c r="BD583" i="70"/>
  <c r="AR602" i="70"/>
  <c r="BD602" i="70"/>
  <c r="AR618" i="70"/>
  <c r="BD618" i="70"/>
  <c r="BE618" i="70"/>
  <c r="AR634" i="70"/>
  <c r="BE634" i="70"/>
  <c r="BD634" i="70"/>
  <c r="AR650" i="70"/>
  <c r="BE650" i="70"/>
  <c r="BD650" i="70"/>
  <c r="AR666" i="70"/>
  <c r="BB666" i="70" s="1"/>
  <c r="BE666" i="70"/>
  <c r="BD666" i="70"/>
  <c r="AR682" i="70"/>
  <c r="BE682" i="70"/>
  <c r="BD682" i="70"/>
  <c r="AR698" i="70"/>
  <c r="BE698" i="70"/>
  <c r="BD698" i="70"/>
  <c r="AR714" i="70"/>
  <c r="BE714" i="70"/>
  <c r="BD714" i="70"/>
  <c r="AR730" i="70"/>
  <c r="BB730" i="70" s="1"/>
  <c r="BE730" i="70"/>
  <c r="BD730" i="70"/>
  <c r="AR21" i="70"/>
  <c r="BD21" i="70"/>
  <c r="BE21" i="70"/>
  <c r="AR240" i="70"/>
  <c r="BD240" i="70"/>
  <c r="BE240" i="70"/>
  <c r="AR312" i="70"/>
  <c r="BB312" i="70" s="1"/>
  <c r="BE312" i="70"/>
  <c r="BD312" i="70"/>
  <c r="AR376" i="70"/>
  <c r="BD376" i="70"/>
  <c r="BE376" i="70"/>
  <c r="AR440" i="70"/>
  <c r="BD440" i="70"/>
  <c r="BE440" i="70"/>
  <c r="AR504" i="70"/>
  <c r="BB504" i="70" s="1"/>
  <c r="BD504" i="70"/>
  <c r="BE504" i="70"/>
  <c r="AR552" i="70"/>
  <c r="BD552" i="70"/>
  <c r="BE552" i="70"/>
  <c r="AR595" i="70"/>
  <c r="BD595" i="70"/>
  <c r="AR627" i="70"/>
  <c r="BD627" i="70"/>
  <c r="BE627" i="70"/>
  <c r="AR659" i="70"/>
  <c r="BD659" i="70"/>
  <c r="BE659" i="70"/>
  <c r="AR695" i="70"/>
  <c r="BD695" i="70"/>
  <c r="BE695" i="70"/>
  <c r="AR727" i="70"/>
  <c r="BB727" i="70" s="1"/>
  <c r="BD727" i="70"/>
  <c r="BE727" i="70"/>
  <c r="AR209" i="70"/>
  <c r="BE209" i="70"/>
  <c r="BD209" i="70"/>
  <c r="AR297" i="70"/>
  <c r="BD297" i="70"/>
  <c r="BE297" i="70"/>
  <c r="AR361" i="70"/>
  <c r="BD361" i="70"/>
  <c r="BE361" i="70"/>
  <c r="AR433" i="70"/>
  <c r="BD433" i="70"/>
  <c r="BE433" i="70"/>
  <c r="AR497" i="70"/>
  <c r="BB497" i="70" s="1"/>
  <c r="BD497" i="70"/>
  <c r="BE497" i="70"/>
  <c r="AR548" i="70"/>
  <c r="BD548" i="70"/>
  <c r="BE548" i="70"/>
  <c r="AR591" i="70"/>
  <c r="BD591" i="70"/>
  <c r="AR628" i="70"/>
  <c r="BE628" i="70"/>
  <c r="BD628" i="70"/>
  <c r="AR660" i="70"/>
  <c r="BB660" i="70" s="1"/>
  <c r="BD660" i="70"/>
  <c r="BE660" i="70"/>
  <c r="AR692" i="70"/>
  <c r="BE692" i="70"/>
  <c r="BD692" i="70"/>
  <c r="AR728" i="70"/>
  <c r="BB728" i="70" s="1"/>
  <c r="BE728" i="70"/>
  <c r="BD728" i="70"/>
  <c r="AR89" i="70"/>
  <c r="BE89" i="70"/>
  <c r="BD89" i="70"/>
  <c r="AR7" i="70"/>
  <c r="BD7" i="70"/>
  <c r="BE7" i="70"/>
  <c r="AR58" i="70"/>
  <c r="BD58" i="70"/>
  <c r="BE58" i="70"/>
  <c r="AR156" i="70"/>
  <c r="BD156" i="70"/>
  <c r="BE156" i="70"/>
  <c r="AR289" i="70"/>
  <c r="BD289" i="70"/>
  <c r="BE289" i="70"/>
  <c r="AR122" i="70"/>
  <c r="BD122" i="70"/>
  <c r="BE122" i="70"/>
  <c r="AR19" i="70"/>
  <c r="BD19" i="70"/>
  <c r="BE19" i="70"/>
  <c r="AR22" i="70"/>
  <c r="BD22" i="70"/>
  <c r="BE22" i="70"/>
  <c r="AS305" i="70"/>
  <c r="AR305" i="70"/>
  <c r="BD305" i="70"/>
  <c r="BE305" i="70"/>
  <c r="AR785" i="70"/>
  <c r="BD785" i="70"/>
  <c r="AR771" i="70"/>
  <c r="BD771" i="70"/>
  <c r="AR778" i="70"/>
  <c r="BD778" i="70"/>
  <c r="AR776" i="70"/>
  <c r="BD776" i="70"/>
  <c r="AR783" i="70"/>
  <c r="BD783" i="70"/>
  <c r="AR772" i="70"/>
  <c r="BD772" i="70"/>
  <c r="AR738" i="70"/>
  <c r="BB738" i="70" s="1"/>
  <c r="BD738" i="70"/>
  <c r="BE738" i="70"/>
  <c r="AR759" i="70"/>
  <c r="BD759" i="70"/>
  <c r="AR740" i="70"/>
  <c r="BB740" i="70" s="1"/>
  <c r="BE740" i="70"/>
  <c r="BD740" i="70"/>
  <c r="AR746" i="70"/>
  <c r="BD746" i="70"/>
  <c r="AR760" i="70"/>
  <c r="BD760" i="70"/>
  <c r="AR745" i="70"/>
  <c r="BD745" i="70"/>
  <c r="AR244" i="70"/>
  <c r="BD244" i="70"/>
  <c r="BE244" i="70"/>
  <c r="AR436" i="70"/>
  <c r="BD436" i="70"/>
  <c r="BE436" i="70"/>
  <c r="AR571" i="70"/>
  <c r="BB571" i="70" s="1"/>
  <c r="BD571" i="70"/>
  <c r="BE571" i="70"/>
  <c r="AR641" i="70"/>
  <c r="BD641" i="70"/>
  <c r="BE641" i="70"/>
  <c r="AR689" i="70"/>
  <c r="BD689" i="70"/>
  <c r="BE689" i="70"/>
  <c r="AR705" i="70"/>
  <c r="BD705" i="70"/>
  <c r="BE705" i="70"/>
  <c r="AR737" i="70"/>
  <c r="BB737" i="70" s="1"/>
  <c r="BD737" i="70"/>
  <c r="BE737" i="70"/>
  <c r="AR495" i="70"/>
  <c r="BB495" i="70" s="1"/>
  <c r="BD495" i="70"/>
  <c r="BE495" i="70"/>
  <c r="AR479" i="70"/>
  <c r="BD479" i="70"/>
  <c r="BE479" i="70"/>
  <c r="AR463" i="70"/>
  <c r="BD463" i="70"/>
  <c r="BE463" i="70"/>
  <c r="AR447" i="70"/>
  <c r="BD447" i="70"/>
  <c r="BE447" i="70"/>
  <c r="AR431" i="70"/>
  <c r="BB431" i="70" s="1"/>
  <c r="BD431" i="70"/>
  <c r="BE431" i="70"/>
  <c r="AR415" i="70"/>
  <c r="BB415" i="70" s="1"/>
  <c r="BD415" i="70"/>
  <c r="BE415" i="70"/>
  <c r="AR399" i="70"/>
  <c r="BD399" i="70"/>
  <c r="BE399" i="70"/>
  <c r="AR383" i="70"/>
  <c r="BD383" i="70"/>
  <c r="BE383" i="70"/>
  <c r="AR367" i="70"/>
  <c r="BD367" i="70"/>
  <c r="BE367" i="70"/>
  <c r="AR351" i="70"/>
  <c r="BD351" i="70"/>
  <c r="BE351" i="70"/>
  <c r="AR335" i="70"/>
  <c r="BD335" i="70"/>
  <c r="AR319" i="70"/>
  <c r="BB319" i="70" s="1"/>
  <c r="BD319" i="70"/>
  <c r="BE319" i="70"/>
  <c r="AR303" i="70"/>
  <c r="BD303" i="70"/>
  <c r="BE303" i="70"/>
  <c r="AR287" i="70"/>
  <c r="BD287" i="70"/>
  <c r="BE287" i="70"/>
  <c r="AR271" i="70"/>
  <c r="BE271" i="70"/>
  <c r="BD271" i="70"/>
  <c r="AR255" i="70"/>
  <c r="BE255" i="70"/>
  <c r="BD255" i="70"/>
  <c r="AR239" i="70"/>
  <c r="BE239" i="70"/>
  <c r="BD239" i="70"/>
  <c r="AR223" i="70"/>
  <c r="BD223" i="70"/>
  <c r="AR206" i="70"/>
  <c r="BD206" i="70"/>
  <c r="BE206" i="70"/>
  <c r="AR185" i="70"/>
  <c r="BE185" i="70"/>
  <c r="BD185" i="70"/>
  <c r="AR164" i="70"/>
  <c r="BD164" i="70"/>
  <c r="BE164" i="70"/>
  <c r="AR142" i="70"/>
  <c r="BD142" i="70"/>
  <c r="BE142" i="70"/>
  <c r="AR121" i="70"/>
  <c r="BE121" i="70"/>
  <c r="BD121" i="70"/>
  <c r="AR100" i="70"/>
  <c r="BB100" i="70" s="1"/>
  <c r="BD100" i="70"/>
  <c r="BE100" i="70"/>
  <c r="AR70" i="70"/>
  <c r="BB70" i="70" s="1"/>
  <c r="BD70" i="70"/>
  <c r="BE70" i="70"/>
  <c r="AR38" i="70"/>
  <c r="BD38" i="70"/>
  <c r="BE38" i="70"/>
  <c r="AR586" i="70"/>
  <c r="BD586" i="70"/>
  <c r="AR570" i="70"/>
  <c r="BB570" i="70" s="1"/>
  <c r="BE570" i="70"/>
  <c r="BD570" i="70"/>
  <c r="AR554" i="70"/>
  <c r="BD554" i="70"/>
  <c r="BE554" i="70"/>
  <c r="AR538" i="70"/>
  <c r="BD538" i="70"/>
  <c r="BE538" i="70"/>
  <c r="AR522" i="70"/>
  <c r="BD522" i="70"/>
  <c r="BE522" i="70"/>
  <c r="AR506" i="70"/>
  <c r="BB506" i="70" s="1"/>
  <c r="BD506" i="70"/>
  <c r="BE506" i="70"/>
  <c r="AR490" i="70"/>
  <c r="BD490" i="70"/>
  <c r="BE490" i="70"/>
  <c r="AR474" i="70"/>
  <c r="BD474" i="70"/>
  <c r="BE474" i="70"/>
  <c r="AR458" i="70"/>
  <c r="BD458" i="70"/>
  <c r="BE458" i="70"/>
  <c r="AR442" i="70"/>
  <c r="BD442" i="70"/>
  <c r="BE442" i="70"/>
  <c r="AR426" i="70"/>
  <c r="BB426" i="70" s="1"/>
  <c r="BD426" i="70"/>
  <c r="BE426" i="70"/>
  <c r="AR410" i="70"/>
  <c r="BD410" i="70"/>
  <c r="BE410" i="70"/>
  <c r="AR394" i="70"/>
  <c r="BD394" i="70"/>
  <c r="BE394" i="70"/>
  <c r="AR378" i="70"/>
  <c r="BD378" i="70"/>
  <c r="BE378" i="70"/>
  <c r="AR362" i="70"/>
  <c r="BD362" i="70"/>
  <c r="BE362" i="70"/>
  <c r="AR346" i="70"/>
  <c r="BD346" i="70"/>
  <c r="BE346" i="70"/>
  <c r="AR330" i="70"/>
  <c r="BD330" i="70"/>
  <c r="AR314" i="70"/>
  <c r="BB314" i="70" s="1"/>
  <c r="BE314" i="70"/>
  <c r="BD314" i="70"/>
  <c r="AR298" i="70"/>
  <c r="BE298" i="70"/>
  <c r="BD298" i="70"/>
  <c r="AR282" i="70"/>
  <c r="BD282" i="70"/>
  <c r="BE282" i="70"/>
  <c r="AR266" i="70"/>
  <c r="BD266" i="70"/>
  <c r="BE266" i="70"/>
  <c r="AR250" i="70"/>
  <c r="BD250" i="70"/>
  <c r="BE250" i="70"/>
  <c r="AR234" i="70"/>
  <c r="BD234" i="70"/>
  <c r="BE234" i="70"/>
  <c r="AR218" i="70"/>
  <c r="BD218" i="70"/>
  <c r="AR200" i="70"/>
  <c r="BD200" i="70"/>
  <c r="BE200" i="70"/>
  <c r="AR178" i="70"/>
  <c r="BD178" i="70"/>
  <c r="BE178" i="70"/>
  <c r="AR157" i="70"/>
  <c r="BE157" i="70"/>
  <c r="BD157" i="70"/>
  <c r="AR136" i="70"/>
  <c r="BD136" i="70"/>
  <c r="BE136" i="70"/>
  <c r="AR114" i="70"/>
  <c r="BD114" i="70"/>
  <c r="BE114" i="70"/>
  <c r="AR93" i="70"/>
  <c r="BE93" i="70"/>
  <c r="BD93" i="70"/>
  <c r="AR61" i="70"/>
  <c r="BE61" i="70"/>
  <c r="BD61" i="70"/>
  <c r="AR29" i="70"/>
  <c r="BD29" i="70"/>
  <c r="BE29" i="70"/>
  <c r="AR80" i="70"/>
  <c r="BB80" i="70" s="1"/>
  <c r="BD80" i="70"/>
  <c r="BE80" i="70"/>
  <c r="AR64" i="70"/>
  <c r="BD64" i="70"/>
  <c r="BE64" i="70"/>
  <c r="AR48" i="70"/>
  <c r="BD48" i="70"/>
  <c r="BE48" i="70"/>
  <c r="AR32" i="70"/>
  <c r="BD32" i="70"/>
  <c r="BE32" i="70"/>
  <c r="AR203" i="70"/>
  <c r="BE203" i="70"/>
  <c r="BD203" i="70"/>
  <c r="AR187" i="70"/>
  <c r="BE187" i="70"/>
  <c r="BD187" i="70"/>
  <c r="AR171" i="70"/>
  <c r="BE171" i="70"/>
  <c r="BD171" i="70"/>
  <c r="AR155" i="70"/>
  <c r="BE155" i="70"/>
  <c r="BD155" i="70"/>
  <c r="AR139" i="70"/>
  <c r="BE139" i="70"/>
  <c r="BD139" i="70"/>
  <c r="AR123" i="70"/>
  <c r="BE123" i="70"/>
  <c r="BD123" i="70"/>
  <c r="AR107" i="70"/>
  <c r="BB107" i="70" s="1"/>
  <c r="BE107" i="70"/>
  <c r="BD107" i="70"/>
  <c r="AR91" i="70"/>
  <c r="BE91" i="70"/>
  <c r="BD91" i="70"/>
  <c r="AR75" i="70"/>
  <c r="BB75" i="70" s="1"/>
  <c r="BE75" i="70"/>
  <c r="BD75" i="70"/>
  <c r="AR59" i="70"/>
  <c r="BE59" i="70"/>
  <c r="BD59" i="70"/>
  <c r="AR43" i="70"/>
  <c r="BE43" i="70"/>
  <c r="BD43" i="70"/>
  <c r="AR27" i="70"/>
  <c r="BD27" i="70"/>
  <c r="BE27" i="70"/>
  <c r="AR232" i="70"/>
  <c r="BD232" i="70"/>
  <c r="AR296" i="70"/>
  <c r="BE296" i="70"/>
  <c r="BD296" i="70"/>
  <c r="AR368" i="70"/>
  <c r="BD368" i="70"/>
  <c r="BE368" i="70"/>
  <c r="AR432" i="70"/>
  <c r="BD432" i="70"/>
  <c r="BE432" i="70"/>
  <c r="AR496" i="70"/>
  <c r="BB496" i="70" s="1"/>
  <c r="BD496" i="70"/>
  <c r="BE496" i="70"/>
  <c r="AR547" i="70"/>
  <c r="BD547" i="70"/>
  <c r="BE547" i="70"/>
  <c r="AR589" i="70"/>
  <c r="BD589" i="70"/>
  <c r="AR623" i="70"/>
  <c r="BD623" i="70"/>
  <c r="BE623" i="70"/>
  <c r="AR655" i="70"/>
  <c r="BD655" i="70"/>
  <c r="BE655" i="70"/>
  <c r="AR683" i="70"/>
  <c r="BD683" i="70"/>
  <c r="BE683" i="70"/>
  <c r="AR715" i="70"/>
  <c r="BD715" i="70"/>
  <c r="BE715" i="70"/>
  <c r="AR217" i="70"/>
  <c r="BD217" i="70"/>
  <c r="AR321" i="70"/>
  <c r="BB321" i="70" s="1"/>
  <c r="BD321" i="70"/>
  <c r="BE321" i="70"/>
  <c r="AR385" i="70"/>
  <c r="BD385" i="70"/>
  <c r="BE385" i="70"/>
  <c r="AR441" i="70"/>
  <c r="BD441" i="70"/>
  <c r="BE441" i="70"/>
  <c r="AR505" i="70"/>
  <c r="BB505" i="70" s="1"/>
  <c r="BD505" i="70"/>
  <c r="BE505" i="70"/>
  <c r="AR553" i="70"/>
  <c r="BD553" i="70"/>
  <c r="BE553" i="70"/>
  <c r="AR596" i="70"/>
  <c r="BD596" i="70"/>
  <c r="AR624" i="70"/>
  <c r="BE624" i="70"/>
  <c r="BD624" i="70"/>
  <c r="AR656" i="70"/>
  <c r="BE656" i="70"/>
  <c r="BD656" i="70"/>
  <c r="AR688" i="70"/>
  <c r="BD688" i="70"/>
  <c r="BE688" i="70"/>
  <c r="AR720" i="70"/>
  <c r="BE720" i="70"/>
  <c r="BD720" i="70"/>
  <c r="AR66" i="70"/>
  <c r="BB66" i="70" s="1"/>
  <c r="BD66" i="70"/>
  <c r="BE66" i="70"/>
  <c r="AR118" i="70"/>
  <c r="BD118" i="70"/>
  <c r="BE118" i="70"/>
  <c r="AR161" i="70"/>
  <c r="BE161" i="70"/>
  <c r="BD161" i="70"/>
  <c r="AR204" i="70"/>
  <c r="BD204" i="70"/>
  <c r="BE204" i="70"/>
  <c r="AR237" i="70"/>
  <c r="BE237" i="70"/>
  <c r="BD237" i="70"/>
  <c r="AR269" i="70"/>
  <c r="BE269" i="70"/>
  <c r="BD269" i="70"/>
  <c r="AR301" i="70"/>
  <c r="BD301" i="70"/>
  <c r="BE301" i="70"/>
  <c r="AR333" i="70"/>
  <c r="BD333" i="70"/>
  <c r="AR365" i="70"/>
  <c r="BD365" i="70"/>
  <c r="BE365" i="70"/>
  <c r="AR397" i="70"/>
  <c r="BD397" i="70"/>
  <c r="BE397" i="70"/>
  <c r="AR429" i="70"/>
  <c r="BB429" i="70" s="1"/>
  <c r="BD429" i="70"/>
  <c r="BE429" i="70"/>
  <c r="AR461" i="70"/>
  <c r="BD461" i="70"/>
  <c r="BE461" i="70"/>
  <c r="AR493" i="70"/>
  <c r="BB493" i="70" s="1"/>
  <c r="BD493" i="70"/>
  <c r="BE493" i="70"/>
  <c r="AR524" i="70"/>
  <c r="BD524" i="70"/>
  <c r="BE524" i="70"/>
  <c r="AR545" i="70"/>
  <c r="BD545" i="70"/>
  <c r="BE545" i="70"/>
  <c r="AR567" i="70"/>
  <c r="BB567" i="70" s="1"/>
  <c r="BD567" i="70"/>
  <c r="BE567" i="70"/>
  <c r="AR588" i="70"/>
  <c r="BD588" i="70"/>
  <c r="AR606" i="70"/>
  <c r="BD606" i="70"/>
  <c r="AR622" i="70"/>
  <c r="BE622" i="70"/>
  <c r="BD622" i="70"/>
  <c r="AR638" i="70"/>
  <c r="BE638" i="70"/>
  <c r="BD638" i="70"/>
  <c r="AR654" i="70"/>
  <c r="BD654" i="70"/>
  <c r="BE654" i="70"/>
  <c r="AR670" i="70"/>
  <c r="BB670" i="70" s="1"/>
  <c r="BE670" i="70"/>
  <c r="BD670" i="70"/>
  <c r="AR686" i="70"/>
  <c r="BD686" i="70"/>
  <c r="BE686" i="70"/>
  <c r="AR702" i="70"/>
  <c r="BD702" i="70"/>
  <c r="BE702" i="70"/>
  <c r="AR718" i="70"/>
  <c r="BE718" i="70"/>
  <c r="BD718" i="70"/>
  <c r="AR734" i="70"/>
  <c r="BB734" i="70" s="1"/>
  <c r="BE734" i="70"/>
  <c r="BD734" i="70"/>
  <c r="AR186" i="70"/>
  <c r="BD186" i="70"/>
  <c r="BE186" i="70"/>
  <c r="AR256" i="70"/>
  <c r="BD256" i="70"/>
  <c r="BE256" i="70"/>
  <c r="AR328" i="70"/>
  <c r="BD328" i="70"/>
  <c r="AR392" i="70"/>
  <c r="BD392" i="70"/>
  <c r="BE392" i="70"/>
  <c r="AR456" i="70"/>
  <c r="BD456" i="70"/>
  <c r="BE456" i="70"/>
  <c r="AR520" i="70"/>
  <c r="BD520" i="70"/>
  <c r="BE520" i="70"/>
  <c r="AR563" i="70"/>
  <c r="BB563" i="70" s="1"/>
  <c r="BD563" i="70"/>
  <c r="BE563" i="70"/>
  <c r="AR603" i="70"/>
  <c r="BD603" i="70"/>
  <c r="AR635" i="70"/>
  <c r="BD635" i="70"/>
  <c r="BE635" i="70"/>
  <c r="AR671" i="70"/>
  <c r="BB671" i="70" s="1"/>
  <c r="BD671" i="70"/>
  <c r="BE671" i="70"/>
  <c r="AR703" i="70"/>
  <c r="BD703" i="70"/>
  <c r="BE703" i="70"/>
  <c r="AR735" i="70"/>
  <c r="BB735" i="70" s="1"/>
  <c r="BD735" i="70"/>
  <c r="BE735" i="70"/>
  <c r="AR225" i="70"/>
  <c r="BD225" i="70"/>
  <c r="AR313" i="70"/>
  <c r="BB313" i="70" s="1"/>
  <c r="BD313" i="70"/>
  <c r="BE313" i="70"/>
  <c r="AR377" i="70"/>
  <c r="BD377" i="70"/>
  <c r="BE377" i="70"/>
  <c r="AR449" i="70"/>
  <c r="BD449" i="70"/>
  <c r="BE449" i="70"/>
  <c r="AR513" i="70"/>
  <c r="BD513" i="70"/>
  <c r="BE513" i="70"/>
  <c r="AR559" i="70"/>
  <c r="BB559" i="70" s="1"/>
  <c r="BD559" i="70"/>
  <c r="BE559" i="70"/>
  <c r="AR600" i="70"/>
  <c r="BD600" i="70"/>
  <c r="AR636" i="70"/>
  <c r="BE636" i="70"/>
  <c r="BD636" i="70"/>
  <c r="AR668" i="70"/>
  <c r="BB668" i="70" s="1"/>
  <c r="BD668" i="70"/>
  <c r="BE668" i="70"/>
  <c r="AR700" i="70"/>
  <c r="BE700" i="70"/>
  <c r="BD700" i="70"/>
  <c r="AR736" i="70"/>
  <c r="BB736" i="70" s="1"/>
  <c r="BE736" i="70"/>
  <c r="BD736" i="70"/>
  <c r="AR112" i="70"/>
  <c r="BD112" i="70"/>
  <c r="BE112" i="70"/>
  <c r="AR15" i="70"/>
  <c r="BD15" i="70"/>
  <c r="BE15" i="70"/>
  <c r="AR90" i="70"/>
  <c r="BD90" i="70"/>
  <c r="BE90" i="70"/>
  <c r="AR10" i="70"/>
  <c r="BD10" i="70"/>
  <c r="BE10" i="70"/>
  <c r="AR41" i="70"/>
  <c r="BE41" i="70"/>
  <c r="BD41" i="70"/>
  <c r="AR144" i="70"/>
  <c r="BD144" i="70"/>
  <c r="BE144" i="70"/>
  <c r="AR165" i="70"/>
  <c r="BE165" i="70"/>
  <c r="BD165" i="70"/>
  <c r="AR34" i="70"/>
  <c r="BD34" i="70"/>
  <c r="BE34" i="70"/>
  <c r="AS14" i="70"/>
  <c r="AR14" i="70"/>
  <c r="BD14" i="70"/>
  <c r="BE14" i="70"/>
  <c r="AV336" i="70"/>
  <c r="BE336" i="70" s="1"/>
  <c r="AR336" i="70"/>
  <c r="BD336" i="70"/>
  <c r="AR781" i="70"/>
  <c r="BD781" i="70"/>
  <c r="AR768" i="70"/>
  <c r="BD768" i="70"/>
  <c r="AR770" i="70"/>
  <c r="BD770" i="70"/>
  <c r="AR757" i="70"/>
  <c r="BD757" i="70"/>
  <c r="AR780" i="70"/>
  <c r="BD780" i="70"/>
  <c r="AR766" i="70"/>
  <c r="BD766" i="70"/>
  <c r="AR769" i="70"/>
  <c r="BD769" i="70"/>
  <c r="AR758" i="70"/>
  <c r="BD758" i="70"/>
  <c r="AR751" i="70"/>
  <c r="BD751" i="70"/>
  <c r="AR743" i="70"/>
  <c r="BB743" i="70" s="1"/>
  <c r="BD743" i="70"/>
  <c r="BE743" i="70"/>
  <c r="AR753" i="70"/>
  <c r="BD753" i="70"/>
  <c r="AR742" i="70"/>
  <c r="BB742" i="70" s="1"/>
  <c r="BE742" i="70"/>
  <c r="BD742" i="70"/>
  <c r="AR170" i="70"/>
  <c r="BD170" i="70"/>
  <c r="BE170" i="70"/>
  <c r="AR276" i="70"/>
  <c r="BD276" i="70"/>
  <c r="BE276" i="70"/>
  <c r="AR372" i="70"/>
  <c r="BD372" i="70"/>
  <c r="BE372" i="70"/>
  <c r="AR500" i="70"/>
  <c r="BB500" i="70" s="1"/>
  <c r="BD500" i="70"/>
  <c r="BE500" i="70"/>
  <c r="AR592" i="70"/>
  <c r="BD592" i="70"/>
  <c r="AR657" i="70"/>
  <c r="BD657" i="70"/>
  <c r="BE657" i="70"/>
  <c r="AR721" i="70"/>
  <c r="BD721" i="70"/>
  <c r="BE721" i="70"/>
  <c r="AR138" i="70"/>
  <c r="BD138" i="70"/>
  <c r="BE138" i="70"/>
  <c r="AR220" i="70"/>
  <c r="BD220" i="70"/>
  <c r="AR252" i="70"/>
  <c r="BD252" i="70"/>
  <c r="BE252" i="70"/>
  <c r="AR284" i="70"/>
  <c r="BD284" i="70"/>
  <c r="BE284" i="70"/>
  <c r="AR316" i="70"/>
  <c r="BB316" i="70" s="1"/>
  <c r="BE316" i="70"/>
  <c r="BD316" i="70"/>
  <c r="AR348" i="70"/>
  <c r="BD348" i="70"/>
  <c r="BE348" i="70"/>
  <c r="AR380" i="70"/>
  <c r="BD380" i="70"/>
  <c r="BE380" i="70"/>
  <c r="AR412" i="70"/>
  <c r="BD412" i="70"/>
  <c r="BE412" i="70"/>
  <c r="AR444" i="70"/>
  <c r="BD444" i="70"/>
  <c r="BE444" i="70"/>
  <c r="AR476" i="70"/>
  <c r="BD476" i="70"/>
  <c r="BE476" i="70"/>
  <c r="AR508" i="70"/>
  <c r="BB508" i="70" s="1"/>
  <c r="BD508" i="70"/>
  <c r="BE508" i="70"/>
  <c r="AR533" i="70"/>
  <c r="BD533" i="70"/>
  <c r="BE533" i="70"/>
  <c r="AR555" i="70"/>
  <c r="BB555" i="70" s="1"/>
  <c r="BD555" i="70"/>
  <c r="BE555" i="70"/>
  <c r="AR576" i="70"/>
  <c r="BD576" i="70"/>
  <c r="AR597" i="70"/>
  <c r="BD597" i="70"/>
  <c r="AR613" i="70"/>
  <c r="BD613" i="70"/>
  <c r="AR629" i="70"/>
  <c r="BD629" i="70"/>
  <c r="BE629" i="70"/>
  <c r="AR645" i="70"/>
  <c r="BD645" i="70"/>
  <c r="BE645" i="70"/>
  <c r="AR661" i="70"/>
  <c r="BB661" i="70" s="1"/>
  <c r="BD661" i="70"/>
  <c r="BE661" i="70"/>
  <c r="AR677" i="70"/>
  <c r="BB677" i="70" s="1"/>
  <c r="BD677" i="70"/>
  <c r="BE677" i="70"/>
  <c r="AR693" i="70"/>
  <c r="BD693" i="70"/>
  <c r="BE693" i="70"/>
  <c r="AR709" i="70"/>
  <c r="BD709" i="70"/>
  <c r="BE709" i="70"/>
  <c r="AR725" i="70"/>
  <c r="BB725" i="70" s="1"/>
  <c r="BD725" i="70"/>
  <c r="BE725" i="70"/>
  <c r="AR8" i="70"/>
  <c r="BD8" i="70"/>
  <c r="BE8" i="70"/>
  <c r="AR6" i="70"/>
  <c r="BD6" i="70"/>
  <c r="BE6" i="70"/>
  <c r="AR507" i="70"/>
  <c r="BB507" i="70" s="1"/>
  <c r="BD507" i="70"/>
  <c r="BE507" i="70"/>
  <c r="AR491" i="70"/>
  <c r="BD491" i="70"/>
  <c r="BE491" i="70"/>
  <c r="AR475" i="70"/>
  <c r="BD475" i="70"/>
  <c r="BE475" i="70"/>
  <c r="AR459" i="70"/>
  <c r="BD459" i="70"/>
  <c r="BE459" i="70"/>
  <c r="AR443" i="70"/>
  <c r="BD443" i="70"/>
  <c r="BE443" i="70"/>
  <c r="AR427" i="70"/>
  <c r="BB427" i="70" s="1"/>
  <c r="BD427" i="70"/>
  <c r="BE427" i="70"/>
  <c r="AR411" i="70"/>
  <c r="BD411" i="70"/>
  <c r="BE411" i="70"/>
  <c r="AR395" i="70"/>
  <c r="BD395" i="70"/>
  <c r="BE395" i="70"/>
  <c r="AR379" i="70"/>
  <c r="BD379" i="70"/>
  <c r="BE379" i="70"/>
  <c r="AR363" i="70"/>
  <c r="BD363" i="70"/>
  <c r="BE363" i="70"/>
  <c r="AR347" i="70"/>
  <c r="BD347" i="70"/>
  <c r="BE347" i="70"/>
  <c r="AR331" i="70"/>
  <c r="BD331" i="70"/>
  <c r="AR315" i="70"/>
  <c r="BB315" i="70" s="1"/>
  <c r="BD315" i="70"/>
  <c r="BE315" i="70"/>
  <c r="AR299" i="70"/>
  <c r="BD299" i="70"/>
  <c r="BE299" i="70"/>
  <c r="AR283" i="70"/>
  <c r="BE283" i="70"/>
  <c r="BD283" i="70"/>
  <c r="AR267" i="70"/>
  <c r="BE267" i="70"/>
  <c r="BD267" i="70"/>
  <c r="AR251" i="70"/>
  <c r="BE251" i="70"/>
  <c r="BD251" i="70"/>
  <c r="AR235" i="70"/>
  <c r="BE235" i="70"/>
  <c r="BD235" i="70"/>
  <c r="AR219" i="70"/>
  <c r="BD219" i="70"/>
  <c r="AR201" i="70"/>
  <c r="BE201" i="70"/>
  <c r="BD201" i="70"/>
  <c r="AR180" i="70"/>
  <c r="BD180" i="70"/>
  <c r="BE180" i="70"/>
  <c r="AR158" i="70"/>
  <c r="BD158" i="70"/>
  <c r="BE158" i="70"/>
  <c r="AR137" i="70"/>
  <c r="BE137" i="70"/>
  <c r="BD137" i="70"/>
  <c r="AR116" i="70"/>
  <c r="BD116" i="70"/>
  <c r="BE116" i="70"/>
  <c r="AR94" i="70"/>
  <c r="BD94" i="70"/>
  <c r="BE94" i="70"/>
  <c r="AR62" i="70"/>
  <c r="BD62" i="70"/>
  <c r="BE62" i="70"/>
  <c r="AR30" i="70"/>
  <c r="BD30" i="70"/>
  <c r="BE30" i="70"/>
  <c r="AR582" i="70"/>
  <c r="BD582" i="70"/>
  <c r="AR566" i="70"/>
  <c r="BB566" i="70" s="1"/>
  <c r="BD566" i="70"/>
  <c r="BE566" i="70"/>
  <c r="AR550" i="70"/>
  <c r="BD550" i="70"/>
  <c r="BE550" i="70"/>
  <c r="AR534" i="70"/>
  <c r="BD534" i="70"/>
  <c r="BE534" i="70"/>
  <c r="AR518" i="70"/>
  <c r="BD518" i="70"/>
  <c r="BE518" i="70"/>
  <c r="AR502" i="70"/>
  <c r="BB502" i="70" s="1"/>
  <c r="BD502" i="70"/>
  <c r="BE502" i="70"/>
  <c r="AR486" i="70"/>
  <c r="BD486" i="70"/>
  <c r="BE486" i="70"/>
  <c r="AR470" i="70"/>
  <c r="BD470" i="70"/>
  <c r="BE470" i="70"/>
  <c r="AR454" i="70"/>
  <c r="BD454" i="70"/>
  <c r="BE454" i="70"/>
  <c r="AR438" i="70"/>
  <c r="BD438" i="70"/>
  <c r="BE438" i="70"/>
  <c r="AR422" i="70"/>
  <c r="BB422" i="70" s="1"/>
  <c r="BD422" i="70"/>
  <c r="BE422" i="70"/>
  <c r="AR406" i="70"/>
  <c r="BD406" i="70"/>
  <c r="BE406" i="70"/>
  <c r="AR390" i="70"/>
  <c r="BD390" i="70"/>
  <c r="BE390" i="70"/>
  <c r="AR374" i="70"/>
  <c r="BD374" i="70"/>
  <c r="BE374" i="70"/>
  <c r="AR358" i="70"/>
  <c r="BD358" i="70"/>
  <c r="BE358" i="70"/>
  <c r="AR342" i="70"/>
  <c r="BD342" i="70"/>
  <c r="BE342" i="70"/>
  <c r="AR326" i="70"/>
  <c r="BD326" i="70"/>
  <c r="AR310" i="70"/>
  <c r="BB310" i="70" s="1"/>
  <c r="BE310" i="70"/>
  <c r="BD310" i="70"/>
  <c r="AR294" i="70"/>
  <c r="BE294" i="70"/>
  <c r="BD294" i="70"/>
  <c r="AR278" i="70"/>
  <c r="BD278" i="70"/>
  <c r="BE278" i="70"/>
  <c r="AR262" i="70"/>
  <c r="BD262" i="70"/>
  <c r="BE262" i="70"/>
  <c r="AR246" i="70"/>
  <c r="BD246" i="70"/>
  <c r="BE246" i="70"/>
  <c r="AR230" i="70"/>
  <c r="BD230" i="70"/>
  <c r="AR214" i="70"/>
  <c r="BD214" i="70"/>
  <c r="BE214" i="70"/>
  <c r="AR194" i="70"/>
  <c r="BD194" i="70"/>
  <c r="BE194" i="70"/>
  <c r="AR173" i="70"/>
  <c r="BE173" i="70"/>
  <c r="BD173" i="70"/>
  <c r="AR152" i="70"/>
  <c r="BD152" i="70"/>
  <c r="BE152" i="70"/>
  <c r="AR130" i="70"/>
  <c r="BD130" i="70"/>
  <c r="BE130" i="70"/>
  <c r="AR109" i="70"/>
  <c r="BB109" i="70" s="1"/>
  <c r="BE109" i="70"/>
  <c r="BD109" i="70"/>
  <c r="AR85" i="70"/>
  <c r="BE85" i="70"/>
  <c r="BD85" i="70"/>
  <c r="AR53" i="70"/>
  <c r="BE53" i="70"/>
  <c r="BD53" i="70"/>
  <c r="AR92" i="70"/>
  <c r="BD92" i="70"/>
  <c r="BE92" i="70"/>
  <c r="AR76" i="70"/>
  <c r="BB76" i="70" s="1"/>
  <c r="BD76" i="70"/>
  <c r="BE76" i="70"/>
  <c r="AR60" i="70"/>
  <c r="BD60" i="70"/>
  <c r="BE60" i="70"/>
  <c r="AR44" i="70"/>
  <c r="BD44" i="70"/>
  <c r="BE44" i="70"/>
  <c r="AR28" i="70"/>
  <c r="BD28" i="70"/>
  <c r="BE28" i="70"/>
  <c r="AR199" i="70"/>
  <c r="BE199" i="70"/>
  <c r="BD199" i="70"/>
  <c r="AR183" i="70"/>
  <c r="BE183" i="70"/>
  <c r="BD183" i="70"/>
  <c r="AR167" i="70"/>
  <c r="BE167" i="70"/>
  <c r="BD167" i="70"/>
  <c r="AR151" i="70"/>
  <c r="BE151" i="70"/>
  <c r="BD151" i="70"/>
  <c r="AR135" i="70"/>
  <c r="BE135" i="70"/>
  <c r="BD135" i="70"/>
  <c r="AR119" i="70"/>
  <c r="BE119" i="70"/>
  <c r="BD119" i="70"/>
  <c r="AR103" i="70"/>
  <c r="BB103" i="70" s="1"/>
  <c r="BE103" i="70"/>
  <c r="BD103" i="70"/>
  <c r="AR87" i="70"/>
  <c r="BE87" i="70"/>
  <c r="BD87" i="70"/>
  <c r="AR71" i="70"/>
  <c r="BB71" i="70" s="1"/>
  <c r="BE71" i="70"/>
  <c r="BD71" i="70"/>
  <c r="AR55" i="70"/>
  <c r="BE55" i="70"/>
  <c r="BD55" i="70"/>
  <c r="AR39" i="70"/>
  <c r="BE39" i="70"/>
  <c r="BD39" i="70"/>
  <c r="AR176" i="70"/>
  <c r="BD176" i="70"/>
  <c r="BE176" i="70"/>
  <c r="AR248" i="70"/>
  <c r="BD248" i="70"/>
  <c r="BE248" i="70"/>
  <c r="AR304" i="70"/>
  <c r="BE304" i="70"/>
  <c r="BD304" i="70"/>
  <c r="AR384" i="70"/>
  <c r="BD384" i="70"/>
  <c r="BE384" i="70"/>
  <c r="AR448" i="70"/>
  <c r="BD448" i="70"/>
  <c r="BE448" i="70"/>
  <c r="AR512" i="70"/>
  <c r="BB512" i="70" s="1"/>
  <c r="BD512" i="70"/>
  <c r="BE512" i="70"/>
  <c r="AR557" i="70"/>
  <c r="BB557" i="70" s="1"/>
  <c r="BD557" i="70"/>
  <c r="BE557" i="70"/>
  <c r="AR599" i="70"/>
  <c r="BD599" i="70"/>
  <c r="AR631" i="70"/>
  <c r="BD631" i="70"/>
  <c r="BE631" i="70"/>
  <c r="AR663" i="70"/>
  <c r="BB663" i="70" s="1"/>
  <c r="BD663" i="70"/>
  <c r="BE663" i="70"/>
  <c r="AR691" i="70"/>
  <c r="BD691" i="70"/>
  <c r="BE691" i="70"/>
  <c r="AR723" i="70"/>
  <c r="BB723" i="70" s="1"/>
  <c r="BD723" i="70"/>
  <c r="BE723" i="70"/>
  <c r="AR233" i="70"/>
  <c r="BD233" i="70"/>
  <c r="AR337" i="70"/>
  <c r="BD337" i="70"/>
  <c r="AR401" i="70"/>
  <c r="BD401" i="70"/>
  <c r="BE401" i="70"/>
  <c r="AR457" i="70"/>
  <c r="BD457" i="70"/>
  <c r="BE457" i="70"/>
  <c r="AR521" i="70"/>
  <c r="BD521" i="70"/>
  <c r="BE521" i="70"/>
  <c r="AR564" i="70"/>
  <c r="BB564" i="70" s="1"/>
  <c r="BE564" i="70"/>
  <c r="BD564" i="70"/>
  <c r="AR604" i="70"/>
  <c r="BD604" i="70"/>
  <c r="AR632" i="70"/>
  <c r="BD632" i="70"/>
  <c r="BE632" i="70"/>
  <c r="AR664" i="70"/>
  <c r="BB664" i="70" s="1"/>
  <c r="BE664" i="70"/>
  <c r="BD664" i="70"/>
  <c r="AR696" i="70"/>
  <c r="BD696" i="70"/>
  <c r="BE696" i="70"/>
  <c r="AR724" i="70"/>
  <c r="BB724" i="70" s="1"/>
  <c r="BD724" i="70"/>
  <c r="BE724" i="70"/>
  <c r="AR82" i="70"/>
  <c r="BD82" i="70"/>
  <c r="BE82" i="70"/>
  <c r="AR129" i="70"/>
  <c r="BE129" i="70"/>
  <c r="BD129" i="70"/>
  <c r="AR172" i="70"/>
  <c r="BD172" i="70"/>
  <c r="BE172" i="70"/>
  <c r="AR213" i="70"/>
  <c r="BE213" i="70"/>
  <c r="BD213" i="70"/>
  <c r="AR245" i="70"/>
  <c r="BE245" i="70"/>
  <c r="BD245" i="70"/>
  <c r="AR277" i="70"/>
  <c r="BE277" i="70"/>
  <c r="BD277" i="70"/>
  <c r="AR309" i="70"/>
  <c r="BB309" i="70" s="1"/>
  <c r="BD309" i="70"/>
  <c r="BE309" i="70"/>
  <c r="AR341" i="70"/>
  <c r="BD341" i="70"/>
  <c r="AR373" i="70"/>
  <c r="BD373" i="70"/>
  <c r="BE373" i="70"/>
  <c r="AR405" i="70"/>
  <c r="BD405" i="70"/>
  <c r="BE405" i="70"/>
  <c r="AR437" i="70"/>
  <c r="BD437" i="70"/>
  <c r="BE437" i="70"/>
  <c r="AR469" i="70"/>
  <c r="BD469" i="70"/>
  <c r="BE469" i="70"/>
  <c r="AR501" i="70"/>
  <c r="BB501" i="70" s="1"/>
  <c r="BD501" i="70"/>
  <c r="BE501" i="70"/>
  <c r="AR529" i="70"/>
  <c r="BD529" i="70"/>
  <c r="BE529" i="70"/>
  <c r="AR551" i="70"/>
  <c r="BD551" i="70"/>
  <c r="BE551" i="70"/>
  <c r="AR572" i="70"/>
  <c r="BB572" i="70" s="1"/>
  <c r="BD572" i="70"/>
  <c r="BE572" i="70"/>
  <c r="AR593" i="70"/>
  <c r="BD593" i="70"/>
  <c r="AR610" i="70"/>
  <c r="BD610" i="70"/>
  <c r="AR626" i="70"/>
  <c r="BD626" i="70"/>
  <c r="BE626" i="70"/>
  <c r="AR642" i="70"/>
  <c r="BE642" i="70"/>
  <c r="BD642" i="70"/>
  <c r="AR658" i="70"/>
  <c r="BE658" i="70"/>
  <c r="BD658" i="70"/>
  <c r="AR674" i="70"/>
  <c r="BB674" i="70" s="1"/>
  <c r="BD674" i="70"/>
  <c r="BE674" i="70"/>
  <c r="AR690" i="70"/>
  <c r="BE690" i="70"/>
  <c r="BD690" i="70"/>
  <c r="AR706" i="70"/>
  <c r="BE706" i="70"/>
  <c r="BD706" i="70"/>
  <c r="AR722" i="70"/>
  <c r="BE722" i="70"/>
  <c r="BD722" i="70"/>
  <c r="AR13" i="70"/>
  <c r="BD13" i="70"/>
  <c r="BE13" i="70"/>
  <c r="AR208" i="70"/>
  <c r="BD208" i="70"/>
  <c r="BE208" i="70"/>
  <c r="AR272" i="70"/>
  <c r="BD272" i="70"/>
  <c r="BE272" i="70"/>
  <c r="AR344" i="70"/>
  <c r="BD344" i="70"/>
  <c r="BE344" i="70"/>
  <c r="AR408" i="70"/>
  <c r="BD408" i="70"/>
  <c r="BE408" i="70"/>
  <c r="AR472" i="70"/>
  <c r="BD472" i="70"/>
  <c r="BE472" i="70"/>
  <c r="AR531" i="70"/>
  <c r="BD531" i="70"/>
  <c r="BE531" i="70"/>
  <c r="AR573" i="70"/>
  <c r="BB573" i="70" s="1"/>
  <c r="BD573" i="70"/>
  <c r="BE573" i="70"/>
  <c r="AR611" i="70"/>
  <c r="BD611" i="70"/>
  <c r="AR643" i="70"/>
  <c r="BD643" i="70"/>
  <c r="BE643" i="70"/>
  <c r="AR679" i="70"/>
  <c r="BB679" i="70" s="1"/>
  <c r="BD679" i="70"/>
  <c r="BE679" i="70"/>
  <c r="AR711" i="70"/>
  <c r="BD711" i="70"/>
  <c r="BE711" i="70"/>
  <c r="AR166" i="70"/>
  <c r="BD166" i="70"/>
  <c r="BE166" i="70"/>
  <c r="AR241" i="70"/>
  <c r="BE241" i="70"/>
  <c r="BD241" i="70"/>
  <c r="AR329" i="70"/>
  <c r="BD329" i="70"/>
  <c r="AR393" i="70"/>
  <c r="BD393" i="70"/>
  <c r="BE393" i="70"/>
  <c r="AR465" i="70"/>
  <c r="BD465" i="70"/>
  <c r="BE465" i="70"/>
  <c r="AR527" i="70"/>
  <c r="BD527" i="70"/>
  <c r="BE527" i="70"/>
  <c r="AR569" i="70"/>
  <c r="BB569" i="70" s="1"/>
  <c r="BD569" i="70"/>
  <c r="BE569" i="70"/>
  <c r="AR608" i="70"/>
  <c r="BD608" i="70"/>
  <c r="AR644" i="70"/>
  <c r="BE644" i="70"/>
  <c r="BD644" i="70"/>
  <c r="AR676" i="70"/>
  <c r="BB676" i="70" s="1"/>
  <c r="BE676" i="70"/>
  <c r="BD676" i="70"/>
  <c r="AR708" i="70"/>
  <c r="BD708" i="70"/>
  <c r="BE708" i="70"/>
  <c r="AR25" i="70"/>
  <c r="BD25" i="70"/>
  <c r="BE25" i="70"/>
  <c r="AR133" i="70"/>
  <c r="BE133" i="70"/>
  <c r="BD133" i="70"/>
  <c r="AR23" i="70"/>
  <c r="BD23" i="70"/>
  <c r="BE23" i="70"/>
  <c r="AR113" i="70"/>
  <c r="BE113" i="70"/>
  <c r="BD113" i="70"/>
  <c r="AR18" i="70"/>
  <c r="BD18" i="70"/>
  <c r="BE18" i="70"/>
  <c r="AR73" i="70"/>
  <c r="BB73" i="70" s="1"/>
  <c r="BE73" i="70"/>
  <c r="BD73" i="70"/>
  <c r="AR281" i="70"/>
  <c r="BE281" i="70"/>
  <c r="BD281" i="70"/>
  <c r="AR42" i="70"/>
  <c r="BD42" i="70"/>
  <c r="BE42" i="70"/>
  <c r="AR145" i="70"/>
  <c r="BE145" i="70"/>
  <c r="BD145" i="70"/>
  <c r="AS177" i="70"/>
  <c r="AR177" i="70"/>
  <c r="BE177" i="70"/>
  <c r="BD177" i="70"/>
  <c r="AR782" i="70"/>
  <c r="BD782" i="70"/>
  <c r="AR774" i="70"/>
  <c r="BD774" i="70"/>
  <c r="AR761" i="70"/>
  <c r="BD761" i="70"/>
  <c r="BE761" i="70"/>
  <c r="AR767" i="70"/>
  <c r="BD767" i="70"/>
  <c r="AR754" i="70"/>
  <c r="BD754" i="70"/>
  <c r="AR777" i="70"/>
  <c r="BD777" i="70"/>
  <c r="AR763" i="70"/>
  <c r="BD763" i="70"/>
  <c r="BE763" i="70"/>
  <c r="AR765" i="70"/>
  <c r="BD765" i="70"/>
  <c r="AR755" i="70"/>
  <c r="BD755" i="70"/>
  <c r="AR750" i="70"/>
  <c r="BD750" i="70"/>
  <c r="AR739" i="70"/>
  <c r="BB739" i="70" s="1"/>
  <c r="BD739" i="70"/>
  <c r="BE739" i="70"/>
  <c r="AR749" i="70"/>
  <c r="BD749" i="70"/>
  <c r="BE749" i="70"/>
  <c r="AR74" i="70"/>
  <c r="BB74" i="70" s="1"/>
  <c r="BD74" i="70"/>
  <c r="BE74" i="70"/>
  <c r="AP74" i="70"/>
  <c r="AS336" i="70"/>
  <c r="AV74" i="70"/>
  <c r="AO74" i="70" s="1"/>
  <c r="AQ74" i="70"/>
  <c r="AZ74" i="70" s="1"/>
  <c r="AS779" i="70"/>
  <c r="AP779" i="70"/>
  <c r="AX779" i="70" s="1"/>
  <c r="AQ779" i="70"/>
  <c r="AV779" i="70"/>
  <c r="AO779" i="70" s="1"/>
  <c r="AS773" i="70"/>
  <c r="AV773" i="70"/>
  <c r="AO773" i="70" s="1"/>
  <c r="AQ773" i="70"/>
  <c r="AP773" i="70"/>
  <c r="AX773" i="70" s="1"/>
  <c r="AT773" i="70"/>
  <c r="AV784" i="70"/>
  <c r="AO784" i="70" s="1"/>
  <c r="AP784" i="70"/>
  <c r="AX784" i="70" s="1"/>
  <c r="AQ784" i="70"/>
  <c r="AS784" i="70"/>
  <c r="AT784" i="70"/>
  <c r="AV756" i="70"/>
  <c r="AO756" i="70" s="1"/>
  <c r="AQ756" i="70"/>
  <c r="AP756" i="70"/>
  <c r="AX756" i="70" s="1"/>
  <c r="AS756" i="70"/>
  <c r="AS741" i="70"/>
  <c r="AV741" i="70"/>
  <c r="AO741" i="70" s="1"/>
  <c r="AP741" i="70"/>
  <c r="AX741" i="70" s="1"/>
  <c r="AQ741" i="70"/>
  <c r="AS775" i="70"/>
  <c r="AQ775" i="70"/>
  <c r="AP775" i="70"/>
  <c r="AX775" i="70" s="1"/>
  <c r="AV775" i="70"/>
  <c r="AO775" i="70" s="1"/>
  <c r="AS752" i="70"/>
  <c r="AV752" i="70"/>
  <c r="AO752" i="70" s="1"/>
  <c r="AP752" i="70"/>
  <c r="AX752" i="70" s="1"/>
  <c r="AQ752" i="70"/>
  <c r="AV762" i="70"/>
  <c r="AO762" i="70" s="1"/>
  <c r="AP762" i="70"/>
  <c r="AX762" i="70" s="1"/>
  <c r="AS762" i="70"/>
  <c r="AQ762" i="70"/>
  <c r="AP744" i="70"/>
  <c r="AX744" i="70" s="1"/>
  <c r="AQ744" i="70"/>
  <c r="AS744" i="70"/>
  <c r="AV744" i="70"/>
  <c r="AO744" i="70" s="1"/>
  <c r="AS748" i="70"/>
  <c r="AQ748" i="70"/>
  <c r="AP748" i="70"/>
  <c r="AX748" i="70" s="1"/>
  <c r="AV748" i="70"/>
  <c r="AO748" i="70" s="1"/>
  <c r="AP764" i="70"/>
  <c r="AX764" i="70" s="1"/>
  <c r="AV764" i="70"/>
  <c r="AO764" i="70" s="1"/>
  <c r="AQ764" i="70"/>
  <c r="AS764" i="70"/>
  <c r="AS747" i="70"/>
  <c r="AV747" i="70"/>
  <c r="AO747" i="70" s="1"/>
  <c r="AP747" i="70"/>
  <c r="AX747" i="70" s="1"/>
  <c r="AQ747" i="70"/>
  <c r="AS785" i="70"/>
  <c r="AP785" i="70"/>
  <c r="AX785" i="70" s="1"/>
  <c r="AQ785" i="70"/>
  <c r="AV785" i="70"/>
  <c r="AO785" i="70" s="1"/>
  <c r="AS771" i="70"/>
  <c r="AV771" i="70"/>
  <c r="AO771" i="70" s="1"/>
  <c r="AP771" i="70"/>
  <c r="AX771" i="70" s="1"/>
  <c r="AQ771" i="70"/>
  <c r="AS778" i="70"/>
  <c r="AV778" i="70"/>
  <c r="AO778" i="70" s="1"/>
  <c r="AQ778" i="70"/>
  <c r="AP778" i="70"/>
  <c r="AX778" i="70" s="1"/>
  <c r="AP776" i="70"/>
  <c r="AX776" i="70" s="1"/>
  <c r="AQ776" i="70"/>
  <c r="AS776" i="70"/>
  <c r="AV776" i="70"/>
  <c r="AO776" i="70" s="1"/>
  <c r="AS783" i="70"/>
  <c r="AP783" i="70"/>
  <c r="AX783" i="70" s="1"/>
  <c r="AQ783" i="70"/>
  <c r="AV783" i="70"/>
  <c r="AO783" i="70" s="1"/>
  <c r="AV772" i="70"/>
  <c r="BE772" i="70" s="1"/>
  <c r="AP772" i="70"/>
  <c r="AX772" i="70" s="1"/>
  <c r="AS772" i="70"/>
  <c r="AQ772" i="70"/>
  <c r="AS738" i="70"/>
  <c r="AQ738" i="70"/>
  <c r="AP738" i="70"/>
  <c r="AX738" i="70" s="1"/>
  <c r="AV738" i="70"/>
  <c r="AO738" i="70" s="1"/>
  <c r="AQ759" i="70"/>
  <c r="AS759" i="70"/>
  <c r="AV759" i="70"/>
  <c r="AO759" i="70" s="1"/>
  <c r="AP759" i="70"/>
  <c r="AX759" i="70" s="1"/>
  <c r="AP740" i="70"/>
  <c r="AX740" i="70" s="1"/>
  <c r="AQ740" i="70"/>
  <c r="AS740" i="70"/>
  <c r="AV740" i="70"/>
  <c r="AO740" i="70" s="1"/>
  <c r="AS746" i="70"/>
  <c r="AQ746" i="70"/>
  <c r="AP746" i="70"/>
  <c r="AX746" i="70" s="1"/>
  <c r="AV746" i="70"/>
  <c r="AO746" i="70" s="1"/>
  <c r="AP760" i="70"/>
  <c r="AX760" i="70" s="1"/>
  <c r="AV760" i="70"/>
  <c r="AO760" i="70" s="1"/>
  <c r="AS760" i="70"/>
  <c r="AQ760" i="70"/>
  <c r="AS745" i="70"/>
  <c r="AV745" i="70"/>
  <c r="AO745" i="70" s="1"/>
  <c r="AP745" i="70"/>
  <c r="AX745" i="70" s="1"/>
  <c r="AQ745" i="70"/>
  <c r="AS781" i="70"/>
  <c r="AP781" i="70"/>
  <c r="AX781" i="70" s="1"/>
  <c r="AV781" i="70"/>
  <c r="AO781" i="70" s="1"/>
  <c r="AQ781" i="70"/>
  <c r="AS768" i="70"/>
  <c r="AV768" i="70"/>
  <c r="AO768" i="70" s="1"/>
  <c r="AP768" i="70"/>
  <c r="AX768" i="70" s="1"/>
  <c r="AQ768" i="70"/>
  <c r="AS770" i="70"/>
  <c r="AQ770" i="70"/>
  <c r="AP770" i="70"/>
  <c r="AX770" i="70" s="1"/>
  <c r="AV770" i="70"/>
  <c r="AO770" i="70" s="1"/>
  <c r="AQ757" i="70"/>
  <c r="AS757" i="70"/>
  <c r="AP757" i="70"/>
  <c r="AX757" i="70" s="1"/>
  <c r="AV757" i="70"/>
  <c r="AO757" i="70" s="1"/>
  <c r="AV780" i="70"/>
  <c r="BE780" i="70" s="1"/>
  <c r="AP780" i="70"/>
  <c r="AX780" i="70" s="1"/>
  <c r="AQ780" i="70"/>
  <c r="AS780" i="70"/>
  <c r="AS766" i="70"/>
  <c r="AQ766" i="70"/>
  <c r="AV766" i="70"/>
  <c r="AO766" i="70" s="1"/>
  <c r="AP766" i="70"/>
  <c r="AX766" i="70" s="1"/>
  <c r="AV769" i="70"/>
  <c r="AO769" i="70" s="1"/>
  <c r="AP769" i="70"/>
  <c r="AX769" i="70" s="1"/>
  <c r="AQ769" i="70"/>
  <c r="AS769" i="70"/>
  <c r="AT769" i="70"/>
  <c r="AS758" i="70"/>
  <c r="AQ758" i="70"/>
  <c r="AV758" i="70"/>
  <c r="AO758" i="70" s="1"/>
  <c r="AP758" i="70"/>
  <c r="AX758" i="70" s="1"/>
  <c r="AT758" i="70"/>
  <c r="AV751" i="70"/>
  <c r="AO751" i="70" s="1"/>
  <c r="AP751" i="70"/>
  <c r="AX751" i="70" s="1"/>
  <c r="AQ751" i="70"/>
  <c r="AS751" i="70"/>
  <c r="AQ743" i="70"/>
  <c r="AS743" i="70"/>
  <c r="AV743" i="70"/>
  <c r="AO743" i="70" s="1"/>
  <c r="AP743" i="70"/>
  <c r="AX743" i="70" s="1"/>
  <c r="AS753" i="70"/>
  <c r="AV753" i="70"/>
  <c r="AO753" i="70" s="1"/>
  <c r="AP753" i="70"/>
  <c r="AX753" i="70" s="1"/>
  <c r="AQ753" i="70"/>
  <c r="AQ742" i="70"/>
  <c r="AS742" i="70"/>
  <c r="AP742" i="70"/>
  <c r="AX742" i="70" s="1"/>
  <c r="AV742" i="70"/>
  <c r="AO742" i="70" s="1"/>
  <c r="AV177" i="70"/>
  <c r="AO177" i="70" s="1"/>
  <c r="AV782" i="70"/>
  <c r="AO782" i="70" s="1"/>
  <c r="AP782" i="70"/>
  <c r="AX782" i="70" s="1"/>
  <c r="AQ782" i="70"/>
  <c r="AS782" i="70"/>
  <c r="AT782" i="70"/>
  <c r="AV774" i="70"/>
  <c r="AO774" i="70" s="1"/>
  <c r="AP774" i="70"/>
  <c r="AX774" i="70" s="1"/>
  <c r="AQ774" i="70"/>
  <c r="AS774" i="70"/>
  <c r="AQ761" i="70"/>
  <c r="AS761" i="70"/>
  <c r="AV761" i="70"/>
  <c r="AO761" i="70" s="1"/>
  <c r="AP761" i="70"/>
  <c r="AX761" i="70" s="1"/>
  <c r="AS767" i="70"/>
  <c r="AV767" i="70"/>
  <c r="AO767" i="70" s="1"/>
  <c r="AP767" i="70"/>
  <c r="AX767" i="70" s="1"/>
  <c r="AQ767" i="70"/>
  <c r="AQ754" i="70"/>
  <c r="AS754" i="70"/>
  <c r="AP754" i="70"/>
  <c r="AX754" i="70" s="1"/>
  <c r="AV754" i="70"/>
  <c r="AO754" i="70" s="1"/>
  <c r="AP777" i="70"/>
  <c r="AX777" i="70" s="1"/>
  <c r="AS777" i="70"/>
  <c r="AQ777" i="70"/>
  <c r="AV777" i="70"/>
  <c r="AO777" i="70" s="1"/>
  <c r="AS763" i="70"/>
  <c r="AQ763" i="70"/>
  <c r="AV763" i="70"/>
  <c r="AO763" i="70" s="1"/>
  <c r="AP763" i="70"/>
  <c r="AX763" i="70" s="1"/>
  <c r="AV765" i="70"/>
  <c r="AO765" i="70" s="1"/>
  <c r="AP765" i="70"/>
  <c r="AX765" i="70" s="1"/>
  <c r="AS765" i="70"/>
  <c r="AQ765" i="70"/>
  <c r="AT765" i="70"/>
  <c r="AV755" i="70"/>
  <c r="AO755" i="70" s="1"/>
  <c r="AP755" i="70"/>
  <c r="AX755" i="70" s="1"/>
  <c r="AQ755" i="70"/>
  <c r="AS755" i="70"/>
  <c r="AQ750" i="70"/>
  <c r="AS750" i="70"/>
  <c r="AP750" i="70"/>
  <c r="AX750" i="70" s="1"/>
  <c r="AV750" i="70"/>
  <c r="AO750" i="70" s="1"/>
  <c r="AQ739" i="70"/>
  <c r="AS739" i="70"/>
  <c r="AV739" i="70"/>
  <c r="AP739" i="70"/>
  <c r="AX739" i="70" s="1"/>
  <c r="AS749" i="70"/>
  <c r="AV749" i="70"/>
  <c r="AO749" i="70" s="1"/>
  <c r="AP749" i="70"/>
  <c r="AX749" i="70" s="1"/>
  <c r="AQ749" i="70"/>
  <c r="AT749" i="70"/>
  <c r="AV305" i="70"/>
  <c r="AO305" i="70" s="1"/>
  <c r="AS249" i="70"/>
  <c r="AO336" i="70"/>
  <c r="AX74" i="70"/>
  <c r="AP117" i="70"/>
  <c r="AQ117" i="70"/>
  <c r="AP268" i="70"/>
  <c r="AQ268" i="70"/>
  <c r="AP396" i="70"/>
  <c r="AQ396" i="70"/>
  <c r="AP523" i="70"/>
  <c r="AQ523" i="70"/>
  <c r="AQ605" i="70"/>
  <c r="AP605" i="70"/>
  <c r="AQ669" i="70"/>
  <c r="AP669" i="70"/>
  <c r="AP483" i="70"/>
  <c r="AQ483" i="70"/>
  <c r="AP419" i="70"/>
  <c r="AQ419" i="70"/>
  <c r="AQ307" i="70"/>
  <c r="AP307" i="70"/>
  <c r="AQ243" i="70"/>
  <c r="AP243" i="70"/>
  <c r="AP169" i="70"/>
  <c r="AQ169" i="70"/>
  <c r="AP78" i="70"/>
  <c r="AQ78" i="70"/>
  <c r="AP558" i="70"/>
  <c r="AQ558" i="70"/>
  <c r="AP494" i="70"/>
  <c r="AQ494" i="70"/>
  <c r="AP446" i="70"/>
  <c r="AQ446" i="70"/>
  <c r="AP382" i="70"/>
  <c r="AQ382" i="70"/>
  <c r="AP318" i="70"/>
  <c r="AQ318" i="70"/>
  <c r="AP238" i="70"/>
  <c r="AQ238" i="70"/>
  <c r="AP162" i="70"/>
  <c r="AQ162" i="70"/>
  <c r="AP69" i="70"/>
  <c r="AQ69" i="70"/>
  <c r="AQ52" i="70"/>
  <c r="AP52" i="70"/>
  <c r="AP175" i="70"/>
  <c r="AQ175" i="70"/>
  <c r="AP111" i="70"/>
  <c r="AQ111" i="70"/>
  <c r="AP47" i="70"/>
  <c r="AQ47" i="70"/>
  <c r="AQ416" i="70"/>
  <c r="AP416" i="70"/>
  <c r="AP615" i="70"/>
  <c r="AQ615" i="70"/>
  <c r="AQ273" i="70"/>
  <c r="AP273" i="70"/>
  <c r="AP489" i="70"/>
  <c r="AQ489" i="70"/>
  <c r="AP648" i="70"/>
  <c r="AQ648" i="70"/>
  <c r="AQ108" i="70"/>
  <c r="AP108" i="70"/>
  <c r="AQ261" i="70"/>
  <c r="AP261" i="70"/>
  <c r="AQ389" i="70"/>
  <c r="AP389" i="70"/>
  <c r="AP517" i="70"/>
  <c r="AQ517" i="70"/>
  <c r="AP602" i="70"/>
  <c r="AQ602" i="70"/>
  <c r="AP666" i="70"/>
  <c r="AQ666" i="70"/>
  <c r="AP376" i="70"/>
  <c r="AQ376" i="70"/>
  <c r="AQ595" i="70"/>
  <c r="AP595" i="70"/>
  <c r="AQ361" i="70"/>
  <c r="AP361" i="70"/>
  <c r="AP433" i="70"/>
  <c r="AQ433" i="70"/>
  <c r="AP497" i="70"/>
  <c r="AQ497" i="70"/>
  <c r="AP548" i="70"/>
  <c r="AQ548" i="70"/>
  <c r="AQ591" i="70"/>
  <c r="AP591" i="70"/>
  <c r="AP628" i="70"/>
  <c r="AQ628" i="70"/>
  <c r="AP660" i="70"/>
  <c r="AQ660" i="70"/>
  <c r="AP692" i="70"/>
  <c r="AQ692" i="70"/>
  <c r="AP89" i="70"/>
  <c r="AQ89" i="70"/>
  <c r="AP7" i="70"/>
  <c r="AQ7" i="70"/>
  <c r="AQ289" i="70"/>
  <c r="AP289" i="70"/>
  <c r="AP122" i="70"/>
  <c r="AQ122" i="70"/>
  <c r="AP19" i="70"/>
  <c r="AQ19" i="70"/>
  <c r="AQ249" i="70"/>
  <c r="AP249" i="70"/>
  <c r="AP65" i="70"/>
  <c r="AQ65" i="70"/>
  <c r="AP236" i="70"/>
  <c r="AQ236" i="70"/>
  <c r="AP364" i="70"/>
  <c r="AQ364" i="70"/>
  <c r="AQ428" i="70"/>
  <c r="AP428" i="70"/>
  <c r="AQ544" i="70"/>
  <c r="AP544" i="70"/>
  <c r="AQ621" i="70"/>
  <c r="AP621" i="70"/>
  <c r="AQ685" i="70"/>
  <c r="AP685" i="70"/>
  <c r="AP515" i="70"/>
  <c r="AQ515" i="70"/>
  <c r="AP435" i="70"/>
  <c r="AQ435" i="70"/>
  <c r="AQ371" i="70"/>
  <c r="AP371" i="70"/>
  <c r="AQ355" i="70"/>
  <c r="AP355" i="70"/>
  <c r="AQ275" i="70"/>
  <c r="AP275" i="70"/>
  <c r="AQ211" i="70"/>
  <c r="AP211" i="70"/>
  <c r="AP126" i="70"/>
  <c r="AQ126" i="70"/>
  <c r="AP590" i="70"/>
  <c r="AQ590" i="70"/>
  <c r="AP526" i="70"/>
  <c r="AQ526" i="70"/>
  <c r="AP462" i="70"/>
  <c r="AQ462" i="70"/>
  <c r="AP398" i="70"/>
  <c r="AQ398" i="70"/>
  <c r="AP350" i="70"/>
  <c r="AQ350" i="70"/>
  <c r="AP286" i="70"/>
  <c r="AQ286" i="70"/>
  <c r="AP222" i="70"/>
  <c r="AQ222" i="70"/>
  <c r="AQ120" i="70"/>
  <c r="AP120" i="70"/>
  <c r="AQ84" i="70"/>
  <c r="AP84" i="70"/>
  <c r="AP191" i="70"/>
  <c r="AQ191" i="70"/>
  <c r="AP127" i="70"/>
  <c r="AQ127" i="70"/>
  <c r="AP63" i="70"/>
  <c r="AQ63" i="70"/>
  <c r="AP31" i="70"/>
  <c r="AQ31" i="70"/>
  <c r="AQ480" i="70"/>
  <c r="AP480" i="70"/>
  <c r="AQ675" i="70"/>
  <c r="AP675" i="70"/>
  <c r="AQ369" i="70"/>
  <c r="AP369" i="70"/>
  <c r="AQ585" i="70"/>
  <c r="AP585" i="70"/>
  <c r="AP50" i="70"/>
  <c r="AQ50" i="70"/>
  <c r="AP150" i="70"/>
  <c r="AQ150" i="70"/>
  <c r="AQ293" i="70"/>
  <c r="AP293" i="70"/>
  <c r="AP453" i="70"/>
  <c r="AQ453" i="70"/>
  <c r="AQ583" i="70"/>
  <c r="AP583" i="70"/>
  <c r="AP650" i="70"/>
  <c r="AQ650" i="70"/>
  <c r="AP312" i="70"/>
  <c r="AQ312" i="70"/>
  <c r="AQ552" i="70"/>
  <c r="AP552" i="70"/>
  <c r="AP627" i="70"/>
  <c r="AQ627" i="70"/>
  <c r="AP209" i="70"/>
  <c r="AQ209" i="70"/>
  <c r="AP22" i="70"/>
  <c r="AQ22" i="70"/>
  <c r="AP81" i="70"/>
  <c r="AQ81" i="70"/>
  <c r="AQ128" i="70"/>
  <c r="AP128" i="70"/>
  <c r="AP170" i="70"/>
  <c r="AQ170" i="70"/>
  <c r="AP212" i="70"/>
  <c r="AQ212" i="70"/>
  <c r="AP244" i="70"/>
  <c r="AQ244" i="70"/>
  <c r="AP276" i="70"/>
  <c r="AQ276" i="70"/>
  <c r="AP308" i="70"/>
  <c r="AQ308" i="70"/>
  <c r="AP340" i="70"/>
  <c r="AQ340" i="70"/>
  <c r="AP372" i="70"/>
  <c r="AQ372" i="70"/>
  <c r="AQ404" i="70"/>
  <c r="AP404" i="70"/>
  <c r="AQ436" i="70"/>
  <c r="AP436" i="70"/>
  <c r="AQ468" i="70"/>
  <c r="AP468" i="70"/>
  <c r="AQ500" i="70"/>
  <c r="AP500" i="70"/>
  <c r="AQ528" i="70"/>
  <c r="AP528" i="70"/>
  <c r="AQ549" i="70"/>
  <c r="AP549" i="70"/>
  <c r="AP571" i="70"/>
  <c r="AQ571" i="70"/>
  <c r="AP592" i="70"/>
  <c r="AQ592" i="70"/>
  <c r="AQ609" i="70"/>
  <c r="AP609" i="70"/>
  <c r="AQ625" i="70"/>
  <c r="AP625" i="70"/>
  <c r="AQ641" i="70"/>
  <c r="AP641" i="70"/>
  <c r="AQ657" i="70"/>
  <c r="AP657" i="70"/>
  <c r="AQ673" i="70"/>
  <c r="AP673" i="70"/>
  <c r="AQ689" i="70"/>
  <c r="AP689" i="70"/>
  <c r="AQ705" i="70"/>
  <c r="AP705" i="70"/>
  <c r="AQ20" i="70"/>
  <c r="AP20" i="70"/>
  <c r="AP511" i="70"/>
  <c r="AQ511" i="70"/>
  <c r="AP495" i="70"/>
  <c r="AQ495" i="70"/>
  <c r="AP479" i="70"/>
  <c r="AQ479" i="70"/>
  <c r="AP463" i="70"/>
  <c r="AQ463" i="70"/>
  <c r="AP447" i="70"/>
  <c r="AQ447" i="70"/>
  <c r="AP431" i="70"/>
  <c r="AQ431" i="70"/>
  <c r="AP415" i="70"/>
  <c r="AQ415" i="70"/>
  <c r="AP399" i="70"/>
  <c r="AQ399" i="70"/>
  <c r="AQ383" i="70"/>
  <c r="AP383" i="70"/>
  <c r="AQ367" i="70"/>
  <c r="AP367" i="70"/>
  <c r="AQ351" i="70"/>
  <c r="AP351" i="70"/>
  <c r="AQ335" i="70"/>
  <c r="AP335" i="70"/>
  <c r="AQ319" i="70"/>
  <c r="AP319" i="70"/>
  <c r="AQ303" i="70"/>
  <c r="AP303" i="70"/>
  <c r="AQ287" i="70"/>
  <c r="AP287" i="70"/>
  <c r="AQ271" i="70"/>
  <c r="AP271" i="70"/>
  <c r="AQ255" i="70"/>
  <c r="AP255" i="70"/>
  <c r="AQ239" i="70"/>
  <c r="AP239" i="70"/>
  <c r="AQ223" i="70"/>
  <c r="AP223" i="70"/>
  <c r="AP206" i="70"/>
  <c r="AQ206" i="70"/>
  <c r="AP185" i="70"/>
  <c r="AQ185" i="70"/>
  <c r="AQ164" i="70"/>
  <c r="AP164" i="70"/>
  <c r="AP142" i="70"/>
  <c r="AQ142" i="70"/>
  <c r="AP121" i="70"/>
  <c r="AQ121" i="70"/>
  <c r="AQ100" i="70"/>
  <c r="AP100" i="70"/>
  <c r="AP70" i="70"/>
  <c r="AQ70" i="70"/>
  <c r="AP38" i="70"/>
  <c r="AQ38" i="70"/>
  <c r="AP586" i="70"/>
  <c r="AQ586" i="70"/>
  <c r="AP570" i="70"/>
  <c r="AQ570" i="70"/>
  <c r="AP554" i="70"/>
  <c r="AQ554" i="70"/>
  <c r="AP538" i="70"/>
  <c r="AQ538" i="70"/>
  <c r="AP522" i="70"/>
  <c r="AQ522" i="70"/>
  <c r="AP506" i="70"/>
  <c r="AQ506" i="70"/>
  <c r="AP490" i="70"/>
  <c r="AQ490" i="70"/>
  <c r="AP474" i="70"/>
  <c r="AQ474" i="70"/>
  <c r="AP458" i="70"/>
  <c r="AQ458" i="70"/>
  <c r="AP442" i="70"/>
  <c r="AQ442" i="70"/>
  <c r="AP426" i="70"/>
  <c r="AQ426" i="70"/>
  <c r="AP410" i="70"/>
  <c r="AQ410" i="70"/>
  <c r="AP394" i="70"/>
  <c r="AQ394" i="70"/>
  <c r="AP378" i="70"/>
  <c r="AQ378" i="70"/>
  <c r="AP362" i="70"/>
  <c r="AQ362" i="70"/>
  <c r="AP346" i="70"/>
  <c r="AQ346" i="70"/>
  <c r="AP330" i="70"/>
  <c r="AQ330" i="70"/>
  <c r="AP314" i="70"/>
  <c r="AQ314" i="70"/>
  <c r="AP298" i="70"/>
  <c r="AQ298" i="70"/>
  <c r="AP282" i="70"/>
  <c r="AQ282" i="70"/>
  <c r="AP266" i="70"/>
  <c r="AQ266" i="70"/>
  <c r="AP250" i="70"/>
  <c r="AQ250" i="70"/>
  <c r="AP234" i="70"/>
  <c r="AQ234" i="70"/>
  <c r="AP218" i="70"/>
  <c r="AQ218" i="70"/>
  <c r="AP200" i="70"/>
  <c r="AQ200" i="70"/>
  <c r="AP178" i="70"/>
  <c r="AQ178" i="70"/>
  <c r="AP157" i="70"/>
  <c r="AQ157" i="70"/>
  <c r="AQ136" i="70"/>
  <c r="AP136" i="70"/>
  <c r="AP114" i="70"/>
  <c r="AQ114" i="70"/>
  <c r="AP93" i="70"/>
  <c r="AQ93" i="70"/>
  <c r="AP61" i="70"/>
  <c r="AQ61" i="70"/>
  <c r="AP29" i="70"/>
  <c r="AQ29" i="70"/>
  <c r="AQ80" i="70"/>
  <c r="AP80" i="70"/>
  <c r="AQ64" i="70"/>
  <c r="AP64" i="70"/>
  <c r="AQ48" i="70"/>
  <c r="AP48" i="70"/>
  <c r="AQ32" i="70"/>
  <c r="AP32" i="70"/>
  <c r="AQ203" i="70"/>
  <c r="AP203" i="70"/>
  <c r="AP187" i="70"/>
  <c r="AQ187" i="70"/>
  <c r="AP171" i="70"/>
  <c r="AQ171" i="70"/>
  <c r="AP155" i="70"/>
  <c r="AQ155" i="70"/>
  <c r="AP139" i="70"/>
  <c r="AQ139" i="70"/>
  <c r="AP123" i="70"/>
  <c r="AQ123" i="70"/>
  <c r="AP107" i="70"/>
  <c r="AQ107" i="70"/>
  <c r="AP91" i="70"/>
  <c r="AQ91" i="70"/>
  <c r="AP75" i="70"/>
  <c r="AQ75" i="70"/>
  <c r="AP59" i="70"/>
  <c r="AQ59" i="70"/>
  <c r="AP43" i="70"/>
  <c r="AQ43" i="70"/>
  <c r="AP27" i="70"/>
  <c r="AQ27" i="70"/>
  <c r="AP232" i="70"/>
  <c r="AQ232" i="70"/>
  <c r="AP296" i="70"/>
  <c r="AQ296" i="70"/>
  <c r="AP368" i="70"/>
  <c r="AQ368" i="70"/>
  <c r="AQ432" i="70"/>
  <c r="AP432" i="70"/>
  <c r="AQ496" i="70"/>
  <c r="AP496" i="70"/>
  <c r="AP547" i="70"/>
  <c r="AQ547" i="70"/>
  <c r="AQ589" i="70"/>
  <c r="AP589" i="70"/>
  <c r="AP623" i="70"/>
  <c r="AQ623" i="70"/>
  <c r="AP655" i="70"/>
  <c r="AQ655" i="70"/>
  <c r="AP683" i="70"/>
  <c r="AQ683" i="70"/>
  <c r="AP217" i="70"/>
  <c r="AQ217" i="70"/>
  <c r="AQ321" i="70"/>
  <c r="AP321" i="70"/>
  <c r="AQ385" i="70"/>
  <c r="AP385" i="70"/>
  <c r="AP441" i="70"/>
  <c r="AQ441" i="70"/>
  <c r="AP505" i="70"/>
  <c r="AQ505" i="70"/>
  <c r="AQ553" i="70"/>
  <c r="AP553" i="70"/>
  <c r="AP596" i="70"/>
  <c r="AQ596" i="70"/>
  <c r="AP624" i="70"/>
  <c r="AQ624" i="70"/>
  <c r="AP656" i="70"/>
  <c r="AQ656" i="70"/>
  <c r="AP688" i="70"/>
  <c r="AQ688" i="70"/>
  <c r="AP66" i="70"/>
  <c r="AQ66" i="70"/>
  <c r="AP118" i="70"/>
  <c r="AQ118" i="70"/>
  <c r="AP161" i="70"/>
  <c r="AQ161" i="70"/>
  <c r="AP204" i="70"/>
  <c r="AQ204" i="70"/>
  <c r="AP237" i="70"/>
  <c r="AQ237" i="70"/>
  <c r="AQ269" i="70"/>
  <c r="AP269" i="70"/>
  <c r="AQ301" i="70"/>
  <c r="AP301" i="70"/>
  <c r="AQ333" i="70"/>
  <c r="AP333" i="70"/>
  <c r="AQ365" i="70"/>
  <c r="AP365" i="70"/>
  <c r="AQ397" i="70"/>
  <c r="AP397" i="70"/>
  <c r="AP429" i="70"/>
  <c r="AQ429" i="70"/>
  <c r="AP461" i="70"/>
  <c r="AQ461" i="70"/>
  <c r="AP493" i="70"/>
  <c r="AQ493" i="70"/>
  <c r="AQ524" i="70"/>
  <c r="AP524" i="70"/>
  <c r="AQ545" i="70"/>
  <c r="AP545" i="70"/>
  <c r="AP567" i="70"/>
  <c r="AQ567" i="70"/>
  <c r="AQ588" i="70"/>
  <c r="AP588" i="70"/>
  <c r="AP606" i="70"/>
  <c r="AQ606" i="70"/>
  <c r="AP622" i="70"/>
  <c r="AQ622" i="70"/>
  <c r="AP638" i="70"/>
  <c r="AQ638" i="70"/>
  <c r="AP654" i="70"/>
  <c r="AQ654" i="70"/>
  <c r="AP670" i="70"/>
  <c r="AQ670" i="70"/>
  <c r="AP686" i="70"/>
  <c r="AQ686" i="70"/>
  <c r="AP702" i="70"/>
  <c r="AQ702" i="70"/>
  <c r="AP186" i="70"/>
  <c r="AQ186" i="70"/>
  <c r="AP256" i="70"/>
  <c r="AQ256" i="70"/>
  <c r="AP328" i="70"/>
  <c r="AQ328" i="70"/>
  <c r="AP392" i="70"/>
  <c r="AQ392" i="70"/>
  <c r="AQ456" i="70"/>
  <c r="AP456" i="70"/>
  <c r="AQ520" i="70"/>
  <c r="AP520" i="70"/>
  <c r="AP563" i="70"/>
  <c r="AQ563" i="70"/>
  <c r="AP603" i="70"/>
  <c r="AQ603" i="70"/>
  <c r="AQ635" i="70"/>
  <c r="AP635" i="70"/>
  <c r="AQ671" i="70"/>
  <c r="AP671" i="70"/>
  <c r="AP703" i="70"/>
  <c r="AQ703" i="70"/>
  <c r="AP225" i="70"/>
  <c r="AQ225" i="70"/>
  <c r="AQ313" i="70"/>
  <c r="AP313" i="70"/>
  <c r="AQ377" i="70"/>
  <c r="AP377" i="70"/>
  <c r="AP449" i="70"/>
  <c r="AQ449" i="70"/>
  <c r="AP513" i="70"/>
  <c r="AQ513" i="70"/>
  <c r="AP559" i="70"/>
  <c r="AQ559" i="70"/>
  <c r="AQ600" i="70"/>
  <c r="AP600" i="70"/>
  <c r="AQ636" i="70"/>
  <c r="AP636" i="70"/>
  <c r="AQ668" i="70"/>
  <c r="AP668" i="70"/>
  <c r="AP700" i="70"/>
  <c r="AQ700" i="70"/>
  <c r="AQ112" i="70"/>
  <c r="AP112" i="70"/>
  <c r="AP15" i="70"/>
  <c r="AQ15" i="70"/>
  <c r="AP90" i="70"/>
  <c r="AQ90" i="70"/>
  <c r="AP10" i="70"/>
  <c r="AQ10" i="70"/>
  <c r="AP41" i="70"/>
  <c r="AQ41" i="70"/>
  <c r="AQ144" i="70"/>
  <c r="AP144" i="70"/>
  <c r="AP165" i="70"/>
  <c r="AQ165" i="70"/>
  <c r="AP34" i="70"/>
  <c r="AQ34" i="70"/>
  <c r="AQ305" i="70"/>
  <c r="AP305" i="70"/>
  <c r="AQ160" i="70"/>
  <c r="AP160" i="70"/>
  <c r="AP300" i="70"/>
  <c r="AQ300" i="70"/>
  <c r="AQ460" i="70"/>
  <c r="AP460" i="70"/>
  <c r="AQ565" i="70"/>
  <c r="AP565" i="70"/>
  <c r="AQ637" i="70"/>
  <c r="AP637" i="70"/>
  <c r="AQ701" i="70"/>
  <c r="AP701" i="70"/>
  <c r="AP499" i="70"/>
  <c r="AQ499" i="70"/>
  <c r="AP451" i="70"/>
  <c r="AQ451" i="70"/>
  <c r="AP403" i="70"/>
  <c r="AQ403" i="70"/>
  <c r="AQ323" i="70"/>
  <c r="AP323" i="70"/>
  <c r="AQ259" i="70"/>
  <c r="AP259" i="70"/>
  <c r="AP190" i="70"/>
  <c r="AQ190" i="70"/>
  <c r="AP105" i="70"/>
  <c r="AQ105" i="70"/>
  <c r="AP574" i="70"/>
  <c r="AQ574" i="70"/>
  <c r="AP510" i="70"/>
  <c r="AQ510" i="70"/>
  <c r="AP430" i="70"/>
  <c r="AQ430" i="70"/>
  <c r="AP366" i="70"/>
  <c r="AQ366" i="70"/>
  <c r="AP302" i="70"/>
  <c r="AQ302" i="70"/>
  <c r="AP254" i="70"/>
  <c r="AQ254" i="70"/>
  <c r="AQ184" i="70"/>
  <c r="AP184" i="70"/>
  <c r="AP141" i="70"/>
  <c r="AQ141" i="70"/>
  <c r="AP37" i="70"/>
  <c r="AQ37" i="70"/>
  <c r="AQ36" i="70"/>
  <c r="AP36" i="70"/>
  <c r="AP159" i="70"/>
  <c r="AQ159" i="70"/>
  <c r="AP79" i="70"/>
  <c r="AQ79" i="70"/>
  <c r="AP216" i="70"/>
  <c r="AQ216" i="70"/>
  <c r="AP352" i="70"/>
  <c r="AQ352" i="70"/>
  <c r="AQ579" i="70"/>
  <c r="AP579" i="70"/>
  <c r="AQ707" i="70"/>
  <c r="AP707" i="70"/>
  <c r="AP425" i="70"/>
  <c r="AQ425" i="70"/>
  <c r="AP620" i="70"/>
  <c r="AQ620" i="70"/>
  <c r="AP193" i="70"/>
  <c r="AQ193" i="70"/>
  <c r="AQ325" i="70"/>
  <c r="AP325" i="70"/>
  <c r="AP485" i="70"/>
  <c r="AQ485" i="70"/>
  <c r="AQ561" i="70"/>
  <c r="AP561" i="70"/>
  <c r="AP634" i="70"/>
  <c r="AQ634" i="70"/>
  <c r="AP698" i="70"/>
  <c r="AQ698" i="70"/>
  <c r="AP240" i="70"/>
  <c r="AQ240" i="70"/>
  <c r="AQ504" i="70"/>
  <c r="AP504" i="70"/>
  <c r="AQ695" i="70"/>
  <c r="AP695" i="70"/>
  <c r="AQ297" i="70"/>
  <c r="AP297" i="70"/>
  <c r="AP58" i="70"/>
  <c r="AQ58" i="70"/>
  <c r="AP33" i="70"/>
  <c r="AQ33" i="70"/>
  <c r="AQ96" i="70"/>
  <c r="AP96" i="70"/>
  <c r="AP138" i="70"/>
  <c r="AQ138" i="70"/>
  <c r="AP181" i="70"/>
  <c r="AQ181" i="70"/>
  <c r="AP220" i="70"/>
  <c r="AQ220" i="70"/>
  <c r="AP252" i="70"/>
  <c r="AQ252" i="70"/>
  <c r="AP284" i="70"/>
  <c r="AQ284" i="70"/>
  <c r="AP316" i="70"/>
  <c r="AQ316" i="70"/>
  <c r="AP348" i="70"/>
  <c r="AQ348" i="70"/>
  <c r="AP380" i="70"/>
  <c r="AQ380" i="70"/>
  <c r="AQ412" i="70"/>
  <c r="AP412" i="70"/>
  <c r="AQ444" i="70"/>
  <c r="AP444" i="70"/>
  <c r="AQ476" i="70"/>
  <c r="AP476" i="70"/>
  <c r="AQ508" i="70"/>
  <c r="AP508" i="70"/>
  <c r="AP533" i="70"/>
  <c r="AQ533" i="70"/>
  <c r="AP555" i="70"/>
  <c r="AQ555" i="70"/>
  <c r="AP576" i="70"/>
  <c r="AQ576" i="70"/>
  <c r="AQ597" i="70"/>
  <c r="AP597" i="70"/>
  <c r="AQ613" i="70"/>
  <c r="AP613" i="70"/>
  <c r="AQ629" i="70"/>
  <c r="AP629" i="70"/>
  <c r="AQ645" i="70"/>
  <c r="AP645" i="70"/>
  <c r="AQ661" i="70"/>
  <c r="AP661" i="70"/>
  <c r="AQ677" i="70"/>
  <c r="AP677" i="70"/>
  <c r="AQ693" i="70"/>
  <c r="AP693" i="70"/>
  <c r="AQ709" i="70"/>
  <c r="AP709" i="70"/>
  <c r="AQ8" i="70"/>
  <c r="AP8" i="70"/>
  <c r="AQ6" i="70"/>
  <c r="AP6" i="70"/>
  <c r="AP507" i="70"/>
  <c r="AQ507" i="70"/>
  <c r="AP491" i="70"/>
  <c r="AQ491" i="70"/>
  <c r="AP475" i="70"/>
  <c r="AQ475" i="70"/>
  <c r="AP459" i="70"/>
  <c r="AQ459" i="70"/>
  <c r="AP443" i="70"/>
  <c r="AQ443" i="70"/>
  <c r="AP427" i="70"/>
  <c r="AQ427" i="70"/>
  <c r="AP411" i="70"/>
  <c r="AQ411" i="70"/>
  <c r="AQ395" i="70"/>
  <c r="AP395" i="70"/>
  <c r="AQ379" i="70"/>
  <c r="AP379" i="70"/>
  <c r="AQ363" i="70"/>
  <c r="AP363" i="70"/>
  <c r="AQ347" i="70"/>
  <c r="AP347" i="70"/>
  <c r="AQ331" i="70"/>
  <c r="AP331" i="70"/>
  <c r="AQ315" i="70"/>
  <c r="AP315" i="70"/>
  <c r="AQ299" i="70"/>
  <c r="AP299" i="70"/>
  <c r="AQ283" i="70"/>
  <c r="AP283" i="70"/>
  <c r="AQ267" i="70"/>
  <c r="AP267" i="70"/>
  <c r="AQ251" i="70"/>
  <c r="AP251" i="70"/>
  <c r="AQ235" i="70"/>
  <c r="AP235" i="70"/>
  <c r="AQ219" i="70"/>
  <c r="AP219" i="70"/>
  <c r="AP201" i="70"/>
  <c r="AQ201" i="70"/>
  <c r="AQ180" i="70"/>
  <c r="AP180" i="70"/>
  <c r="AP158" i="70"/>
  <c r="AQ158" i="70"/>
  <c r="AP137" i="70"/>
  <c r="AQ137" i="70"/>
  <c r="AQ116" i="70"/>
  <c r="AP116" i="70"/>
  <c r="AP94" i="70"/>
  <c r="AQ94" i="70"/>
  <c r="AP62" i="70"/>
  <c r="AQ62" i="70"/>
  <c r="AP30" i="70"/>
  <c r="AQ30" i="70"/>
  <c r="AP582" i="70"/>
  <c r="AQ582" i="70"/>
  <c r="AP566" i="70"/>
  <c r="AQ566" i="70"/>
  <c r="AP550" i="70"/>
  <c r="AQ550" i="70"/>
  <c r="AP534" i="70"/>
  <c r="AQ534" i="70"/>
  <c r="AP518" i="70"/>
  <c r="AQ518" i="70"/>
  <c r="AP502" i="70"/>
  <c r="AQ502" i="70"/>
  <c r="AP486" i="70"/>
  <c r="AQ486" i="70"/>
  <c r="AP470" i="70"/>
  <c r="AQ470" i="70"/>
  <c r="AP454" i="70"/>
  <c r="AQ454" i="70"/>
  <c r="AP438" i="70"/>
  <c r="AQ438" i="70"/>
  <c r="AP422" i="70"/>
  <c r="AQ422" i="70"/>
  <c r="AP406" i="70"/>
  <c r="AQ406" i="70"/>
  <c r="AP390" i="70"/>
  <c r="AQ390" i="70"/>
  <c r="AP374" i="70"/>
  <c r="AQ374" i="70"/>
  <c r="AP358" i="70"/>
  <c r="AQ358" i="70"/>
  <c r="AP342" i="70"/>
  <c r="AQ342" i="70"/>
  <c r="AP326" i="70"/>
  <c r="AQ326" i="70"/>
  <c r="AP310" i="70"/>
  <c r="AQ310" i="70"/>
  <c r="AP294" i="70"/>
  <c r="AQ294" i="70"/>
  <c r="AP278" i="70"/>
  <c r="AQ278" i="70"/>
  <c r="AP262" i="70"/>
  <c r="AQ262" i="70"/>
  <c r="AP246" i="70"/>
  <c r="AQ246" i="70"/>
  <c r="AP230" i="70"/>
  <c r="AQ230" i="70"/>
  <c r="AP214" i="70"/>
  <c r="AQ214" i="70"/>
  <c r="AP194" i="70"/>
  <c r="AQ194" i="70"/>
  <c r="AP173" i="70"/>
  <c r="AQ173" i="70"/>
  <c r="AQ152" i="70"/>
  <c r="AP152" i="70"/>
  <c r="AP130" i="70"/>
  <c r="AQ130" i="70"/>
  <c r="AP109" i="70"/>
  <c r="AQ109" i="70"/>
  <c r="AP85" i="70"/>
  <c r="AQ85" i="70"/>
  <c r="AP53" i="70"/>
  <c r="AQ53" i="70"/>
  <c r="AQ92" i="70"/>
  <c r="AP92" i="70"/>
  <c r="AQ76" i="70"/>
  <c r="AP76" i="70"/>
  <c r="AQ60" i="70"/>
  <c r="AP60" i="70"/>
  <c r="AQ44" i="70"/>
  <c r="AP44" i="70"/>
  <c r="AQ28" i="70"/>
  <c r="AP28" i="70"/>
  <c r="AQ199" i="70"/>
  <c r="AP199" i="70"/>
  <c r="AP183" i="70"/>
  <c r="AQ183" i="70"/>
  <c r="AP167" i="70"/>
  <c r="AQ167" i="70"/>
  <c r="AP151" i="70"/>
  <c r="AQ151" i="70"/>
  <c r="AP135" i="70"/>
  <c r="AQ135" i="70"/>
  <c r="AP119" i="70"/>
  <c r="AQ119" i="70"/>
  <c r="AP103" i="70"/>
  <c r="AQ103" i="70"/>
  <c r="AP87" i="70"/>
  <c r="AQ87" i="70"/>
  <c r="AP71" i="70"/>
  <c r="AQ71" i="70"/>
  <c r="AP55" i="70"/>
  <c r="AQ55" i="70"/>
  <c r="AP39" i="70"/>
  <c r="AQ39" i="70"/>
  <c r="AQ176" i="70"/>
  <c r="AP176" i="70"/>
  <c r="AP248" i="70"/>
  <c r="AQ248" i="70"/>
  <c r="AP304" i="70"/>
  <c r="AQ304" i="70"/>
  <c r="AP384" i="70"/>
  <c r="AQ384" i="70"/>
  <c r="AQ448" i="70"/>
  <c r="AP448" i="70"/>
  <c r="AQ512" i="70"/>
  <c r="AP512" i="70"/>
  <c r="AQ557" i="70"/>
  <c r="AP557" i="70"/>
  <c r="AQ599" i="70"/>
  <c r="AP599" i="70"/>
  <c r="AP631" i="70"/>
  <c r="AQ631" i="70"/>
  <c r="AP663" i="70"/>
  <c r="AQ663" i="70"/>
  <c r="AP691" i="70"/>
  <c r="AQ691" i="70"/>
  <c r="AP233" i="70"/>
  <c r="AQ233" i="70"/>
  <c r="AQ337" i="70"/>
  <c r="AP337" i="70"/>
  <c r="AP401" i="70"/>
  <c r="AQ401" i="70"/>
  <c r="AP457" i="70"/>
  <c r="AQ457" i="70"/>
  <c r="AP521" i="70"/>
  <c r="AQ521" i="70"/>
  <c r="AP564" i="70"/>
  <c r="AQ564" i="70"/>
  <c r="AP604" i="70"/>
  <c r="AQ604" i="70"/>
  <c r="AP632" i="70"/>
  <c r="AQ632" i="70"/>
  <c r="AP664" i="70"/>
  <c r="AQ664" i="70"/>
  <c r="AQ696" i="70"/>
  <c r="AP696" i="70"/>
  <c r="AP82" i="70"/>
  <c r="AQ82" i="70"/>
  <c r="AP129" i="70"/>
  <c r="AQ129" i="70"/>
  <c r="AQ172" i="70"/>
  <c r="AP172" i="70"/>
  <c r="AP213" i="70"/>
  <c r="AQ213" i="70"/>
  <c r="AP245" i="70"/>
  <c r="AQ245" i="70"/>
  <c r="AQ277" i="70"/>
  <c r="AP277" i="70"/>
  <c r="AQ309" i="70"/>
  <c r="AP309" i="70"/>
  <c r="AQ341" i="70"/>
  <c r="AP341" i="70"/>
  <c r="AQ373" i="70"/>
  <c r="AP373" i="70"/>
  <c r="AP405" i="70"/>
  <c r="AQ405" i="70"/>
  <c r="AP437" i="70"/>
  <c r="AQ437" i="70"/>
  <c r="AP469" i="70"/>
  <c r="AQ469" i="70"/>
  <c r="AP501" i="70"/>
  <c r="AQ501" i="70"/>
  <c r="AP529" i="70"/>
  <c r="AQ529" i="70"/>
  <c r="AP551" i="70"/>
  <c r="AQ551" i="70"/>
  <c r="AP572" i="70"/>
  <c r="AQ572" i="70"/>
  <c r="AQ593" i="70"/>
  <c r="AP593" i="70"/>
  <c r="AP610" i="70"/>
  <c r="AQ610" i="70"/>
  <c r="AP626" i="70"/>
  <c r="AQ626" i="70"/>
  <c r="AP642" i="70"/>
  <c r="AQ642" i="70"/>
  <c r="AP658" i="70"/>
  <c r="AQ658" i="70"/>
  <c r="AP674" i="70"/>
  <c r="AQ674" i="70"/>
  <c r="AP690" i="70"/>
  <c r="AQ690" i="70"/>
  <c r="AP706" i="70"/>
  <c r="AQ706" i="70"/>
  <c r="AP13" i="70"/>
  <c r="AQ13" i="70"/>
  <c r="AP208" i="70"/>
  <c r="AQ208" i="70"/>
  <c r="AP272" i="70"/>
  <c r="AQ272" i="70"/>
  <c r="AP344" i="70"/>
  <c r="AQ344" i="70"/>
  <c r="AQ408" i="70"/>
  <c r="AP408" i="70"/>
  <c r="AQ472" i="70"/>
  <c r="AP472" i="70"/>
  <c r="AP531" i="70"/>
  <c r="AQ531" i="70"/>
  <c r="AQ573" i="70"/>
  <c r="AP573" i="70"/>
  <c r="AQ611" i="70"/>
  <c r="AP611" i="70"/>
  <c r="AP643" i="70"/>
  <c r="AQ643" i="70"/>
  <c r="AQ679" i="70"/>
  <c r="AP679" i="70"/>
  <c r="AP166" i="70"/>
  <c r="AQ166" i="70"/>
  <c r="AP241" i="70"/>
  <c r="AQ241" i="70"/>
  <c r="AQ329" i="70"/>
  <c r="AP329" i="70"/>
  <c r="AQ393" i="70"/>
  <c r="AP393" i="70"/>
  <c r="AP465" i="70"/>
  <c r="AQ465" i="70"/>
  <c r="AP527" i="70"/>
  <c r="AQ527" i="70"/>
  <c r="AQ569" i="70"/>
  <c r="AP569" i="70"/>
  <c r="AP608" i="70"/>
  <c r="AQ608" i="70"/>
  <c r="AP644" i="70"/>
  <c r="AQ644" i="70"/>
  <c r="AQ676" i="70"/>
  <c r="AP676" i="70"/>
  <c r="AQ708" i="70"/>
  <c r="AP708" i="70"/>
  <c r="AP25" i="70"/>
  <c r="AQ25" i="70"/>
  <c r="AP133" i="70"/>
  <c r="AQ133" i="70"/>
  <c r="AP23" i="70"/>
  <c r="AQ23" i="70"/>
  <c r="AP113" i="70"/>
  <c r="AQ113" i="70"/>
  <c r="AP18" i="70"/>
  <c r="AQ18" i="70"/>
  <c r="AP73" i="70"/>
  <c r="AQ73" i="70"/>
  <c r="AQ281" i="70"/>
  <c r="AP281" i="70"/>
  <c r="AP42" i="70"/>
  <c r="AQ42" i="70"/>
  <c r="AP145" i="70"/>
  <c r="AQ145" i="70"/>
  <c r="AP14" i="70"/>
  <c r="AQ14" i="70"/>
  <c r="AP336" i="70"/>
  <c r="AQ336" i="70"/>
  <c r="AP202" i="70"/>
  <c r="AQ202" i="70"/>
  <c r="AP332" i="70"/>
  <c r="AQ332" i="70"/>
  <c r="AQ492" i="70"/>
  <c r="AP492" i="70"/>
  <c r="AQ587" i="70"/>
  <c r="AP587" i="70"/>
  <c r="AQ653" i="70"/>
  <c r="AP653" i="70"/>
  <c r="AQ16" i="70"/>
  <c r="AP16" i="70"/>
  <c r="AP467" i="70"/>
  <c r="AQ467" i="70"/>
  <c r="AQ387" i="70"/>
  <c r="AP387" i="70"/>
  <c r="AQ339" i="70"/>
  <c r="AP339" i="70"/>
  <c r="AQ291" i="70"/>
  <c r="AP291" i="70"/>
  <c r="AQ227" i="70"/>
  <c r="AP227" i="70"/>
  <c r="AQ148" i="70"/>
  <c r="AP148" i="70"/>
  <c r="AP46" i="70"/>
  <c r="AQ46" i="70"/>
  <c r="AP542" i="70"/>
  <c r="AQ542" i="70"/>
  <c r="AP478" i="70"/>
  <c r="AQ478" i="70"/>
  <c r="AP414" i="70"/>
  <c r="AQ414" i="70"/>
  <c r="AP334" i="70"/>
  <c r="AQ334" i="70"/>
  <c r="AP270" i="70"/>
  <c r="AQ270" i="70"/>
  <c r="AP205" i="70"/>
  <c r="AQ205" i="70"/>
  <c r="AP98" i="70"/>
  <c r="AQ98" i="70"/>
  <c r="AQ68" i="70"/>
  <c r="AP68" i="70"/>
  <c r="AQ207" i="70"/>
  <c r="AP207" i="70"/>
  <c r="AP143" i="70"/>
  <c r="AQ143" i="70"/>
  <c r="AP95" i="70"/>
  <c r="AQ95" i="70"/>
  <c r="AP280" i="70"/>
  <c r="AQ280" i="70"/>
  <c r="AQ536" i="70"/>
  <c r="AP536" i="70"/>
  <c r="AQ647" i="70"/>
  <c r="AP647" i="70"/>
  <c r="AP198" i="70"/>
  <c r="AQ198" i="70"/>
  <c r="AP543" i="70"/>
  <c r="AQ543" i="70"/>
  <c r="AP680" i="70"/>
  <c r="AQ680" i="70"/>
  <c r="AP229" i="70"/>
  <c r="AQ229" i="70"/>
  <c r="AQ357" i="70"/>
  <c r="AP357" i="70"/>
  <c r="AP421" i="70"/>
  <c r="AQ421" i="70"/>
  <c r="AP540" i="70"/>
  <c r="AQ540" i="70"/>
  <c r="AP618" i="70"/>
  <c r="AQ618" i="70"/>
  <c r="AP682" i="70"/>
  <c r="AQ682" i="70"/>
  <c r="AP21" i="70"/>
  <c r="AQ21" i="70"/>
  <c r="AQ440" i="70"/>
  <c r="AP440" i="70"/>
  <c r="AQ659" i="70"/>
  <c r="AP659" i="70"/>
  <c r="AQ156" i="70"/>
  <c r="AP156" i="70"/>
  <c r="AP49" i="70"/>
  <c r="AQ49" i="70"/>
  <c r="AP106" i="70"/>
  <c r="AQ106" i="70"/>
  <c r="AP149" i="70"/>
  <c r="AQ149" i="70"/>
  <c r="AQ192" i="70"/>
  <c r="AP192" i="70"/>
  <c r="AP228" i="70"/>
  <c r="AQ228" i="70"/>
  <c r="AP260" i="70"/>
  <c r="AQ260" i="70"/>
  <c r="AP292" i="70"/>
  <c r="AQ292" i="70"/>
  <c r="AP324" i="70"/>
  <c r="AQ324" i="70"/>
  <c r="AP356" i="70"/>
  <c r="AQ356" i="70"/>
  <c r="AP388" i="70"/>
  <c r="AQ388" i="70"/>
  <c r="AQ420" i="70"/>
  <c r="AP420" i="70"/>
  <c r="AQ452" i="70"/>
  <c r="AP452" i="70"/>
  <c r="AQ484" i="70"/>
  <c r="AP484" i="70"/>
  <c r="AQ516" i="70"/>
  <c r="AP516" i="70"/>
  <c r="AP539" i="70"/>
  <c r="AQ539" i="70"/>
  <c r="AP560" i="70"/>
  <c r="AQ560" i="70"/>
  <c r="AQ581" i="70"/>
  <c r="AP581" i="70"/>
  <c r="AQ601" i="70"/>
  <c r="AP601" i="70"/>
  <c r="AQ617" i="70"/>
  <c r="AP617" i="70"/>
  <c r="AQ633" i="70"/>
  <c r="AP633" i="70"/>
  <c r="AQ649" i="70"/>
  <c r="AP649" i="70"/>
  <c r="AQ665" i="70"/>
  <c r="AP665" i="70"/>
  <c r="AQ681" i="70"/>
  <c r="AP681" i="70"/>
  <c r="AQ697" i="70"/>
  <c r="AP697" i="70"/>
  <c r="AQ12" i="70"/>
  <c r="AP12" i="70"/>
  <c r="AP519" i="70"/>
  <c r="AQ519" i="70"/>
  <c r="AP503" i="70"/>
  <c r="AQ503" i="70"/>
  <c r="AP487" i="70"/>
  <c r="AQ487" i="70"/>
  <c r="AP471" i="70"/>
  <c r="AQ471" i="70"/>
  <c r="AP455" i="70"/>
  <c r="AQ455" i="70"/>
  <c r="AP439" i="70"/>
  <c r="AQ439" i="70"/>
  <c r="AP423" i="70"/>
  <c r="AQ423" i="70"/>
  <c r="AP407" i="70"/>
  <c r="AQ407" i="70"/>
  <c r="AQ391" i="70"/>
  <c r="AP391" i="70"/>
  <c r="AQ375" i="70"/>
  <c r="AP375" i="70"/>
  <c r="AQ359" i="70"/>
  <c r="AP359" i="70"/>
  <c r="AQ343" i="70"/>
  <c r="AP343" i="70"/>
  <c r="AQ327" i="70"/>
  <c r="AP327" i="70"/>
  <c r="AQ311" i="70"/>
  <c r="AP311" i="70"/>
  <c r="AQ295" i="70"/>
  <c r="AP295" i="70"/>
  <c r="AQ279" i="70"/>
  <c r="AP279" i="70"/>
  <c r="AQ263" i="70"/>
  <c r="AP263" i="70"/>
  <c r="AQ247" i="70"/>
  <c r="AP247" i="70"/>
  <c r="AQ231" i="70"/>
  <c r="AP231" i="70"/>
  <c r="AQ215" i="70"/>
  <c r="AP215" i="70"/>
  <c r="AP196" i="70"/>
  <c r="AQ196" i="70"/>
  <c r="AP174" i="70"/>
  <c r="AQ174" i="70"/>
  <c r="AP153" i="70"/>
  <c r="AQ153" i="70"/>
  <c r="AQ132" i="70"/>
  <c r="AP132" i="70"/>
  <c r="AP110" i="70"/>
  <c r="AQ110" i="70"/>
  <c r="AP86" i="70"/>
  <c r="AQ86" i="70"/>
  <c r="AP54" i="70"/>
  <c r="AQ54" i="70"/>
  <c r="AP594" i="70"/>
  <c r="AQ594" i="70"/>
  <c r="AP578" i="70"/>
  <c r="AQ578" i="70"/>
  <c r="AP562" i="70"/>
  <c r="AQ562" i="70"/>
  <c r="AP546" i="70"/>
  <c r="AQ546" i="70"/>
  <c r="AP530" i="70"/>
  <c r="AQ530" i="70"/>
  <c r="AP514" i="70"/>
  <c r="AQ514" i="70"/>
  <c r="AP498" i="70"/>
  <c r="AQ498" i="70"/>
  <c r="AP482" i="70"/>
  <c r="AQ482" i="70"/>
  <c r="AP466" i="70"/>
  <c r="AQ466" i="70"/>
  <c r="AP450" i="70"/>
  <c r="AQ450" i="70"/>
  <c r="AP434" i="70"/>
  <c r="AQ434" i="70"/>
  <c r="AP418" i="70"/>
  <c r="AQ418" i="70"/>
  <c r="AP402" i="70"/>
  <c r="AQ402" i="70"/>
  <c r="AP386" i="70"/>
  <c r="AQ386" i="70"/>
  <c r="AP370" i="70"/>
  <c r="AQ370" i="70"/>
  <c r="AP354" i="70"/>
  <c r="AQ354" i="70"/>
  <c r="AP338" i="70"/>
  <c r="AQ338" i="70"/>
  <c r="AP322" i="70"/>
  <c r="AQ322" i="70"/>
  <c r="AP306" i="70"/>
  <c r="AQ306" i="70"/>
  <c r="AP290" i="70"/>
  <c r="AQ290" i="70"/>
  <c r="AP274" i="70"/>
  <c r="AQ274" i="70"/>
  <c r="AP258" i="70"/>
  <c r="AQ258" i="70"/>
  <c r="AP242" i="70"/>
  <c r="AQ242" i="70"/>
  <c r="AP226" i="70"/>
  <c r="AQ226" i="70"/>
  <c r="AP210" i="70"/>
  <c r="AQ210" i="70"/>
  <c r="AP189" i="70"/>
  <c r="AQ189" i="70"/>
  <c r="AQ168" i="70"/>
  <c r="AP168" i="70"/>
  <c r="AP146" i="70"/>
  <c r="AQ146" i="70"/>
  <c r="AP125" i="70"/>
  <c r="AQ125" i="70"/>
  <c r="AQ104" i="70"/>
  <c r="AP104" i="70"/>
  <c r="AP77" i="70"/>
  <c r="AQ77" i="70"/>
  <c r="AP45" i="70"/>
  <c r="AQ45" i="70"/>
  <c r="AQ88" i="70"/>
  <c r="AP88" i="70"/>
  <c r="AQ72" i="70"/>
  <c r="AP72" i="70"/>
  <c r="AQ56" i="70"/>
  <c r="AP56" i="70"/>
  <c r="AQ40" i="70"/>
  <c r="AP40" i="70"/>
  <c r="AQ24" i="70"/>
  <c r="AP24" i="70"/>
  <c r="AQ195" i="70"/>
  <c r="AP195" i="70"/>
  <c r="AP179" i="70"/>
  <c r="AQ179" i="70"/>
  <c r="AP163" i="70"/>
  <c r="AQ163" i="70"/>
  <c r="AP147" i="70"/>
  <c r="AQ147" i="70"/>
  <c r="AP131" i="70"/>
  <c r="AQ131" i="70"/>
  <c r="AP115" i="70"/>
  <c r="AQ115" i="70"/>
  <c r="AP99" i="70"/>
  <c r="AQ99" i="70"/>
  <c r="AP83" i="70"/>
  <c r="AQ83" i="70"/>
  <c r="AP67" i="70"/>
  <c r="AQ67" i="70"/>
  <c r="AP51" i="70"/>
  <c r="AQ51" i="70"/>
  <c r="AP35" i="70"/>
  <c r="AQ35" i="70"/>
  <c r="AP197" i="70"/>
  <c r="AQ197" i="70"/>
  <c r="AP264" i="70"/>
  <c r="AQ264" i="70"/>
  <c r="AP320" i="70"/>
  <c r="AQ320" i="70"/>
  <c r="AQ400" i="70"/>
  <c r="AP400" i="70"/>
  <c r="AQ464" i="70"/>
  <c r="AP464" i="70"/>
  <c r="AP525" i="70"/>
  <c r="AQ525" i="70"/>
  <c r="AP568" i="70"/>
  <c r="AQ568" i="70"/>
  <c r="AP607" i="70"/>
  <c r="AQ607" i="70"/>
  <c r="AP639" i="70"/>
  <c r="AQ639" i="70"/>
  <c r="AQ667" i="70"/>
  <c r="AP667" i="70"/>
  <c r="AP699" i="70"/>
  <c r="AQ699" i="70"/>
  <c r="AQ265" i="70"/>
  <c r="AP265" i="70"/>
  <c r="AQ353" i="70"/>
  <c r="AP353" i="70"/>
  <c r="AP409" i="70"/>
  <c r="AQ409" i="70"/>
  <c r="AP473" i="70"/>
  <c r="AQ473" i="70"/>
  <c r="AQ532" i="70"/>
  <c r="AP532" i="70"/>
  <c r="AP575" i="70"/>
  <c r="AQ575" i="70"/>
  <c r="AP612" i="70"/>
  <c r="AQ612" i="70"/>
  <c r="AP640" i="70"/>
  <c r="AQ640" i="70"/>
  <c r="AP672" i="70"/>
  <c r="AQ672" i="70"/>
  <c r="AP704" i="70"/>
  <c r="AQ704" i="70"/>
  <c r="AP97" i="70"/>
  <c r="AQ97" i="70"/>
  <c r="AQ140" i="70"/>
  <c r="AP140" i="70"/>
  <c r="AP182" i="70"/>
  <c r="AQ182" i="70"/>
  <c r="AP221" i="70"/>
  <c r="AQ221" i="70"/>
  <c r="AQ253" i="70"/>
  <c r="AP253" i="70"/>
  <c r="AQ285" i="70"/>
  <c r="AP285" i="70"/>
  <c r="AQ317" i="70"/>
  <c r="AP317" i="70"/>
  <c r="AQ349" i="70"/>
  <c r="AP349" i="70"/>
  <c r="AQ381" i="70"/>
  <c r="AP381" i="70"/>
  <c r="AP413" i="70"/>
  <c r="AQ413" i="70"/>
  <c r="AP445" i="70"/>
  <c r="AQ445" i="70"/>
  <c r="AP477" i="70"/>
  <c r="AQ477" i="70"/>
  <c r="AP509" i="70"/>
  <c r="AQ509" i="70"/>
  <c r="AP535" i="70"/>
  <c r="AQ535" i="70"/>
  <c r="AP556" i="70"/>
  <c r="AQ556" i="70"/>
  <c r="AQ577" i="70"/>
  <c r="AP577" i="70"/>
  <c r="AP598" i="70"/>
  <c r="AQ598" i="70"/>
  <c r="AP614" i="70"/>
  <c r="AQ614" i="70"/>
  <c r="AP630" i="70"/>
  <c r="AQ630" i="70"/>
  <c r="AP646" i="70"/>
  <c r="AQ646" i="70"/>
  <c r="AP662" i="70"/>
  <c r="AQ662" i="70"/>
  <c r="AP678" i="70"/>
  <c r="AQ678" i="70"/>
  <c r="AP694" i="70"/>
  <c r="AQ694" i="70"/>
  <c r="AP710" i="70"/>
  <c r="AQ710" i="70"/>
  <c r="AP17" i="70"/>
  <c r="AQ17" i="70"/>
  <c r="AP224" i="70"/>
  <c r="AQ224" i="70"/>
  <c r="AP288" i="70"/>
  <c r="AQ288" i="70"/>
  <c r="AP360" i="70"/>
  <c r="AQ360" i="70"/>
  <c r="AQ424" i="70"/>
  <c r="AP424" i="70"/>
  <c r="AQ488" i="70"/>
  <c r="AP488" i="70"/>
  <c r="AQ541" i="70"/>
  <c r="AP541" i="70"/>
  <c r="AQ584" i="70"/>
  <c r="AP584" i="70"/>
  <c r="AQ619" i="70"/>
  <c r="AP619" i="70"/>
  <c r="AQ651" i="70"/>
  <c r="AP651" i="70"/>
  <c r="AP687" i="70"/>
  <c r="AQ687" i="70"/>
  <c r="AQ188" i="70"/>
  <c r="AP188" i="70"/>
  <c r="AQ257" i="70"/>
  <c r="AP257" i="70"/>
  <c r="AQ345" i="70"/>
  <c r="AP345" i="70"/>
  <c r="AP417" i="70"/>
  <c r="AQ417" i="70"/>
  <c r="AP481" i="70"/>
  <c r="AQ481" i="70"/>
  <c r="AP537" i="70"/>
  <c r="AQ537" i="70"/>
  <c r="AP580" i="70"/>
  <c r="AQ580" i="70"/>
  <c r="AP616" i="70"/>
  <c r="AQ616" i="70"/>
  <c r="AQ652" i="70"/>
  <c r="AP652" i="70"/>
  <c r="AQ684" i="70"/>
  <c r="AP684" i="70"/>
  <c r="AP57" i="70"/>
  <c r="AQ57" i="70"/>
  <c r="AP154" i="70"/>
  <c r="AQ154" i="70"/>
  <c r="AP26" i="70"/>
  <c r="AQ26" i="70"/>
  <c r="AP134" i="70"/>
  <c r="AQ134" i="70"/>
  <c r="AP9" i="70"/>
  <c r="AQ9" i="70"/>
  <c r="AP101" i="70"/>
  <c r="AQ101" i="70"/>
  <c r="AP11" i="70"/>
  <c r="AQ11" i="70"/>
  <c r="AP102" i="70"/>
  <c r="AQ102" i="70"/>
  <c r="AQ124" i="70"/>
  <c r="AP124" i="70"/>
  <c r="AT305" i="70"/>
  <c r="AV249" i="70"/>
  <c r="AO249" i="70" s="1"/>
  <c r="AV14" i="70"/>
  <c r="AP177" i="70"/>
  <c r="AQ177" i="70"/>
  <c r="AP725" i="70"/>
  <c r="AQ725" i="70"/>
  <c r="AQ723" i="70"/>
  <c r="AP723" i="70"/>
  <c r="AP724" i="70"/>
  <c r="AQ724" i="70"/>
  <c r="AQ722" i="70"/>
  <c r="AP722" i="70"/>
  <c r="AQ711" i="70"/>
  <c r="AP711" i="70"/>
  <c r="AP713" i="70"/>
  <c r="AQ713" i="70"/>
  <c r="AP729" i="70"/>
  <c r="AQ729" i="70"/>
  <c r="AQ731" i="70"/>
  <c r="AP731" i="70"/>
  <c r="AP732" i="70"/>
  <c r="AQ732" i="70"/>
  <c r="AP726" i="70"/>
  <c r="AQ726" i="70"/>
  <c r="AQ719" i="70"/>
  <c r="AP719" i="70"/>
  <c r="AP716" i="70"/>
  <c r="AQ716" i="70"/>
  <c r="AP717" i="70"/>
  <c r="AQ717" i="70"/>
  <c r="AP733" i="70"/>
  <c r="AQ733" i="70"/>
  <c r="AP712" i="70"/>
  <c r="AQ712" i="70"/>
  <c r="AQ714" i="70"/>
  <c r="AP714" i="70"/>
  <c r="AP730" i="70"/>
  <c r="AQ730" i="70"/>
  <c r="AQ727" i="70"/>
  <c r="AP727" i="70"/>
  <c r="AP728" i="70"/>
  <c r="AQ728" i="70"/>
  <c r="AP721" i="70"/>
  <c r="AQ721" i="70"/>
  <c r="AP737" i="70"/>
  <c r="AQ737" i="70"/>
  <c r="AQ715" i="70"/>
  <c r="AP715" i="70"/>
  <c r="AP720" i="70"/>
  <c r="AQ720" i="70"/>
  <c r="AQ718" i="70"/>
  <c r="AP718" i="70"/>
  <c r="AP734" i="70"/>
  <c r="AQ734" i="70"/>
  <c r="AQ735" i="70"/>
  <c r="AP735" i="70"/>
  <c r="AP736" i="70"/>
  <c r="AQ736" i="70"/>
  <c r="AS33" i="70"/>
  <c r="AV33" i="70"/>
  <c r="AO33" i="70" s="1"/>
  <c r="AS96" i="70"/>
  <c r="AV96" i="70"/>
  <c r="AO96" i="70" s="1"/>
  <c r="AS138" i="70"/>
  <c r="AV138" i="70"/>
  <c r="AO138" i="70" s="1"/>
  <c r="AS181" i="70"/>
  <c r="AV181" i="70"/>
  <c r="AO181" i="70" s="1"/>
  <c r="AS220" i="70"/>
  <c r="AV220" i="70"/>
  <c r="BE220" i="70" s="1"/>
  <c r="AS252" i="70"/>
  <c r="AV252" i="70"/>
  <c r="AO252" i="70" s="1"/>
  <c r="AS284" i="70"/>
  <c r="AV284" i="70"/>
  <c r="AO284" i="70" s="1"/>
  <c r="AS316" i="70"/>
  <c r="AV316" i="70"/>
  <c r="AO316" i="70" s="1"/>
  <c r="AS348" i="70"/>
  <c r="AV348" i="70"/>
  <c r="AO348" i="70" s="1"/>
  <c r="AS380" i="70"/>
  <c r="AV380" i="70"/>
  <c r="AO380" i="70" s="1"/>
  <c r="AS412" i="70"/>
  <c r="AV412" i="70"/>
  <c r="AO412" i="70" s="1"/>
  <c r="AS444" i="70"/>
  <c r="AV444" i="70"/>
  <c r="AO444" i="70" s="1"/>
  <c r="AS476" i="70"/>
  <c r="AV476" i="70"/>
  <c r="AO476" i="70" s="1"/>
  <c r="AS508" i="70"/>
  <c r="AV508" i="70"/>
  <c r="AO508" i="70" s="1"/>
  <c r="AS533" i="70"/>
  <c r="AV533" i="70"/>
  <c r="AO533" i="70" s="1"/>
  <c r="AS555" i="70"/>
  <c r="AV555" i="70"/>
  <c r="AO555" i="70" s="1"/>
  <c r="AS576" i="70"/>
  <c r="AV576" i="70"/>
  <c r="BE576" i="70" s="1"/>
  <c r="AS597" i="70"/>
  <c r="AV597" i="70"/>
  <c r="AO597" i="70" s="1"/>
  <c r="AS613" i="70"/>
  <c r="AV613" i="70"/>
  <c r="AO613" i="70" s="1"/>
  <c r="AS629" i="70"/>
  <c r="AV629" i="70"/>
  <c r="AO629" i="70" s="1"/>
  <c r="AS645" i="70"/>
  <c r="AV645" i="70"/>
  <c r="AO645" i="70" s="1"/>
  <c r="AS661" i="70"/>
  <c r="AV661" i="70"/>
  <c r="AO661" i="70" s="1"/>
  <c r="AS677" i="70"/>
  <c r="AV677" i="70"/>
  <c r="AO677" i="70" s="1"/>
  <c r="AS693" i="70"/>
  <c r="AV693" i="70"/>
  <c r="AO693" i="70" s="1"/>
  <c r="AS709" i="70"/>
  <c r="AV709" i="70"/>
  <c r="AS725" i="70"/>
  <c r="AV725" i="70"/>
  <c r="AS8" i="70"/>
  <c r="AV8" i="70"/>
  <c r="AO8" i="70" s="1"/>
  <c r="AS6" i="70"/>
  <c r="AV6" i="70"/>
  <c r="AO6" i="70" s="1"/>
  <c r="AS507" i="70"/>
  <c r="AV507" i="70"/>
  <c r="AO507" i="70" s="1"/>
  <c r="AS491" i="70"/>
  <c r="AV491" i="70"/>
  <c r="AO491" i="70" s="1"/>
  <c r="AS475" i="70"/>
  <c r="AV475" i="70"/>
  <c r="AO475" i="70" s="1"/>
  <c r="AS459" i="70"/>
  <c r="AV459" i="70"/>
  <c r="AO459" i="70" s="1"/>
  <c r="AS443" i="70"/>
  <c r="AV443" i="70"/>
  <c r="AO443" i="70" s="1"/>
  <c r="AS427" i="70"/>
  <c r="AV427" i="70"/>
  <c r="AO427" i="70" s="1"/>
  <c r="AS411" i="70"/>
  <c r="AV411" i="70"/>
  <c r="AO411" i="70" s="1"/>
  <c r="AS395" i="70"/>
  <c r="AV395" i="70"/>
  <c r="AO395" i="70" s="1"/>
  <c r="AS379" i="70"/>
  <c r="AV379" i="70"/>
  <c r="AO379" i="70" s="1"/>
  <c r="AS363" i="70"/>
  <c r="AV363" i="70"/>
  <c r="AO363" i="70" s="1"/>
  <c r="AS347" i="70"/>
  <c r="AV347" i="70"/>
  <c r="AO347" i="70" s="1"/>
  <c r="AS331" i="70"/>
  <c r="AV331" i="70"/>
  <c r="BE331" i="70" s="1"/>
  <c r="AS315" i="70"/>
  <c r="AV315" i="70"/>
  <c r="AO315" i="70" s="1"/>
  <c r="AS299" i="70"/>
  <c r="AV299" i="70"/>
  <c r="AO299" i="70" s="1"/>
  <c r="AS283" i="70"/>
  <c r="AV283" i="70"/>
  <c r="AO283" i="70" s="1"/>
  <c r="AS267" i="70"/>
  <c r="AV267" i="70"/>
  <c r="AO267" i="70" s="1"/>
  <c r="AS251" i="70"/>
  <c r="AV251" i="70"/>
  <c r="AO251" i="70" s="1"/>
  <c r="AS235" i="70"/>
  <c r="AV235" i="70"/>
  <c r="AS219" i="70"/>
  <c r="AV219" i="70"/>
  <c r="BE219" i="70" s="1"/>
  <c r="AS201" i="70"/>
  <c r="AV201" i="70"/>
  <c r="AO201" i="70" s="1"/>
  <c r="AS180" i="70"/>
  <c r="AV180" i="70"/>
  <c r="AO180" i="70" s="1"/>
  <c r="AS158" i="70"/>
  <c r="AV158" i="70"/>
  <c r="AO158" i="70" s="1"/>
  <c r="AS137" i="70"/>
  <c r="AV137" i="70"/>
  <c r="AO137" i="70" s="1"/>
  <c r="AS116" i="70"/>
  <c r="AV116" i="70"/>
  <c r="AO116" i="70" s="1"/>
  <c r="AS94" i="70"/>
  <c r="AV94" i="70"/>
  <c r="AO94" i="70" s="1"/>
  <c r="AS62" i="70"/>
  <c r="AV62" i="70"/>
  <c r="AO62" i="70" s="1"/>
  <c r="AS30" i="70"/>
  <c r="AV30" i="70"/>
  <c r="AO30" i="70" s="1"/>
  <c r="AS582" i="70"/>
  <c r="AV582" i="70"/>
  <c r="BE582" i="70" s="1"/>
  <c r="AS566" i="70"/>
  <c r="AV566" i="70"/>
  <c r="AS550" i="70"/>
  <c r="AV550" i="70"/>
  <c r="AO550" i="70" s="1"/>
  <c r="AS534" i="70"/>
  <c r="AV534" i="70"/>
  <c r="AO534" i="70" s="1"/>
  <c r="AS518" i="70"/>
  <c r="AV518" i="70"/>
  <c r="AO518" i="70" s="1"/>
  <c r="AS502" i="70"/>
  <c r="AV502" i="70"/>
  <c r="AO502" i="70" s="1"/>
  <c r="AS486" i="70"/>
  <c r="AV486" i="70"/>
  <c r="AO486" i="70" s="1"/>
  <c r="AS470" i="70"/>
  <c r="AV470" i="70"/>
  <c r="AO470" i="70" s="1"/>
  <c r="AS454" i="70"/>
  <c r="AV454" i="70"/>
  <c r="AO454" i="70" s="1"/>
  <c r="AS438" i="70"/>
  <c r="AV438" i="70"/>
  <c r="AO438" i="70" s="1"/>
  <c r="AS422" i="70"/>
  <c r="AV422" i="70"/>
  <c r="AO422" i="70" s="1"/>
  <c r="AS406" i="70"/>
  <c r="AV406" i="70"/>
  <c r="AO406" i="70" s="1"/>
  <c r="AS390" i="70"/>
  <c r="AV390" i="70"/>
  <c r="AO390" i="70" s="1"/>
  <c r="AS374" i="70"/>
  <c r="AV374" i="70"/>
  <c r="AO374" i="70" s="1"/>
  <c r="AS358" i="70"/>
  <c r="AV358" i="70"/>
  <c r="AO358" i="70" s="1"/>
  <c r="AS342" i="70"/>
  <c r="AV342" i="70"/>
  <c r="AT342" i="70" s="1"/>
  <c r="AS326" i="70"/>
  <c r="AV326" i="70"/>
  <c r="BE326" i="70" s="1"/>
  <c r="AS310" i="70"/>
  <c r="AV310" i="70"/>
  <c r="AO310" i="70" s="1"/>
  <c r="AS294" i="70"/>
  <c r="AV294" i="70"/>
  <c r="AO294" i="70" s="1"/>
  <c r="AS278" i="70"/>
  <c r="AV278" i="70"/>
  <c r="AO278" i="70" s="1"/>
  <c r="AS262" i="70"/>
  <c r="AV262" i="70"/>
  <c r="AO262" i="70" s="1"/>
  <c r="AS246" i="70"/>
  <c r="AV246" i="70"/>
  <c r="AO246" i="70" s="1"/>
  <c r="AS230" i="70"/>
  <c r="AV230" i="70"/>
  <c r="BE230" i="70" s="1"/>
  <c r="AS214" i="70"/>
  <c r="AV214" i="70"/>
  <c r="AO214" i="70" s="1"/>
  <c r="AS194" i="70"/>
  <c r="AV194" i="70"/>
  <c r="AO194" i="70" s="1"/>
  <c r="AS173" i="70"/>
  <c r="AV173" i="70"/>
  <c r="AO173" i="70" s="1"/>
  <c r="AS152" i="70"/>
  <c r="AV152" i="70"/>
  <c r="AO152" i="70" s="1"/>
  <c r="AS130" i="70"/>
  <c r="AV130" i="70"/>
  <c r="AO130" i="70" s="1"/>
  <c r="AS109" i="70"/>
  <c r="AV109" i="70"/>
  <c r="AO109" i="70" s="1"/>
  <c r="AS85" i="70"/>
  <c r="AV85" i="70"/>
  <c r="AO85" i="70" s="1"/>
  <c r="AS53" i="70"/>
  <c r="AV53" i="70"/>
  <c r="AO53" i="70" s="1"/>
  <c r="AS92" i="70"/>
  <c r="AV92" i="70"/>
  <c r="AO92" i="70" s="1"/>
  <c r="AS76" i="70"/>
  <c r="AV76" i="70"/>
  <c r="AO76" i="70" s="1"/>
  <c r="AS60" i="70"/>
  <c r="AV60" i="70"/>
  <c r="AO60" i="70" s="1"/>
  <c r="AS44" i="70"/>
  <c r="AV44" i="70"/>
  <c r="AO44" i="70" s="1"/>
  <c r="AS28" i="70"/>
  <c r="AV28" i="70"/>
  <c r="AO28" i="70" s="1"/>
  <c r="AS199" i="70"/>
  <c r="AV199" i="70"/>
  <c r="AO199" i="70" s="1"/>
  <c r="AS183" i="70"/>
  <c r="AV183" i="70"/>
  <c r="AO183" i="70" s="1"/>
  <c r="AS167" i="70"/>
  <c r="AV167" i="70"/>
  <c r="AO167" i="70" s="1"/>
  <c r="AS151" i="70"/>
  <c r="AV151" i="70"/>
  <c r="AO151" i="70" s="1"/>
  <c r="AS135" i="70"/>
  <c r="AV135" i="70"/>
  <c r="AO135" i="70" s="1"/>
  <c r="AS119" i="70"/>
  <c r="AV119" i="70"/>
  <c r="AO119" i="70" s="1"/>
  <c r="AS103" i="70"/>
  <c r="AV103" i="70"/>
  <c r="AO103" i="70" s="1"/>
  <c r="AS87" i="70"/>
  <c r="AV87" i="70"/>
  <c r="AO87" i="70" s="1"/>
  <c r="AS71" i="70"/>
  <c r="AV71" i="70"/>
  <c r="AO71" i="70" s="1"/>
  <c r="AS55" i="70"/>
  <c r="AV55" i="70"/>
  <c r="AO55" i="70" s="1"/>
  <c r="AS39" i="70"/>
  <c r="AV39" i="70"/>
  <c r="AO39" i="70" s="1"/>
  <c r="AS176" i="70"/>
  <c r="AV176" i="70"/>
  <c r="AO176" i="70" s="1"/>
  <c r="AS248" i="70"/>
  <c r="AV248" i="70"/>
  <c r="AO248" i="70" s="1"/>
  <c r="AS304" i="70"/>
  <c r="AV304" i="70"/>
  <c r="AO304" i="70" s="1"/>
  <c r="AS384" i="70"/>
  <c r="AV384" i="70"/>
  <c r="AO384" i="70" s="1"/>
  <c r="AS448" i="70"/>
  <c r="AV448" i="70"/>
  <c r="AO448" i="70" s="1"/>
  <c r="AS512" i="70"/>
  <c r="AV512" i="70"/>
  <c r="AO512" i="70" s="1"/>
  <c r="AS557" i="70"/>
  <c r="AV557" i="70"/>
  <c r="AO557" i="70" s="1"/>
  <c r="AS599" i="70"/>
  <c r="AV599" i="70"/>
  <c r="AO599" i="70" s="1"/>
  <c r="AS631" i="70"/>
  <c r="AV631" i="70"/>
  <c r="AO631" i="70" s="1"/>
  <c r="AS663" i="70"/>
  <c r="AV663" i="70"/>
  <c r="AO663" i="70" s="1"/>
  <c r="AS691" i="70"/>
  <c r="AV691" i="70"/>
  <c r="AO691" i="70" s="1"/>
  <c r="AS723" i="70"/>
  <c r="AV723" i="70"/>
  <c r="AS233" i="70"/>
  <c r="AV233" i="70"/>
  <c r="BE233" i="70" s="1"/>
  <c r="AS337" i="70"/>
  <c r="AV337" i="70"/>
  <c r="BE337" i="70" s="1"/>
  <c r="AS401" i="70"/>
  <c r="AV401" i="70"/>
  <c r="AO401" i="70" s="1"/>
  <c r="AS457" i="70"/>
  <c r="AV457" i="70"/>
  <c r="AO457" i="70" s="1"/>
  <c r="AS521" i="70"/>
  <c r="AV521" i="70"/>
  <c r="AO521" i="70" s="1"/>
  <c r="AS564" i="70"/>
  <c r="AV564" i="70"/>
  <c r="AT564" i="70" s="1"/>
  <c r="AS604" i="70"/>
  <c r="AV604" i="70"/>
  <c r="AO604" i="70" s="1"/>
  <c r="AS632" i="70"/>
  <c r="AV632" i="70"/>
  <c r="AO632" i="70" s="1"/>
  <c r="AS664" i="70"/>
  <c r="AV664" i="70"/>
  <c r="AO664" i="70" s="1"/>
  <c r="AS696" i="70"/>
  <c r="AV696" i="70"/>
  <c r="AO696" i="70" s="1"/>
  <c r="AS724" i="70"/>
  <c r="AV724" i="70"/>
  <c r="AS82" i="70"/>
  <c r="AV82" i="70"/>
  <c r="AO82" i="70" s="1"/>
  <c r="AS129" i="70"/>
  <c r="AV129" i="70"/>
  <c r="AO129" i="70" s="1"/>
  <c r="AS172" i="70"/>
  <c r="AV172" i="70"/>
  <c r="AO172" i="70" s="1"/>
  <c r="AS213" i="70"/>
  <c r="AV213" i="70"/>
  <c r="AO213" i="70" s="1"/>
  <c r="AS245" i="70"/>
  <c r="AV245" i="70"/>
  <c r="AO245" i="70" s="1"/>
  <c r="AS277" i="70"/>
  <c r="AV277" i="70"/>
  <c r="AO277" i="70" s="1"/>
  <c r="AS309" i="70"/>
  <c r="AV309" i="70"/>
  <c r="AO309" i="70" s="1"/>
  <c r="AS341" i="70"/>
  <c r="AV341" i="70"/>
  <c r="BE341" i="70" s="1"/>
  <c r="AS373" i="70"/>
  <c r="AV373" i="70"/>
  <c r="AO373" i="70" s="1"/>
  <c r="AS405" i="70"/>
  <c r="AV405" i="70"/>
  <c r="AO405" i="70" s="1"/>
  <c r="AS437" i="70"/>
  <c r="AV437" i="70"/>
  <c r="AO437" i="70" s="1"/>
  <c r="AS469" i="70"/>
  <c r="AV469" i="70"/>
  <c r="AO469" i="70" s="1"/>
  <c r="AS501" i="70"/>
  <c r="AV501" i="70"/>
  <c r="AO501" i="70" s="1"/>
  <c r="AS529" i="70"/>
  <c r="AV529" i="70"/>
  <c r="AO529" i="70" s="1"/>
  <c r="AS551" i="70"/>
  <c r="AV551" i="70"/>
  <c r="AO551" i="70" s="1"/>
  <c r="AS572" i="70"/>
  <c r="AV572" i="70"/>
  <c r="AS593" i="70"/>
  <c r="AV593" i="70"/>
  <c r="BE593" i="70" s="1"/>
  <c r="AS610" i="70"/>
  <c r="AV610" i="70"/>
  <c r="AO610" i="70" s="1"/>
  <c r="AS626" i="70"/>
  <c r="AV626" i="70"/>
  <c r="AO626" i="70" s="1"/>
  <c r="AS642" i="70"/>
  <c r="AV642" i="70"/>
  <c r="AO642" i="70" s="1"/>
  <c r="AS658" i="70"/>
  <c r="AV658" i="70"/>
  <c r="AO658" i="70" s="1"/>
  <c r="AS674" i="70"/>
  <c r="AV674" i="70"/>
  <c r="AO674" i="70" s="1"/>
  <c r="AS690" i="70"/>
  <c r="AV690" i="70"/>
  <c r="AO690" i="70" s="1"/>
  <c r="AS706" i="70"/>
  <c r="AV706" i="70"/>
  <c r="AS722" i="70"/>
  <c r="AV722" i="70"/>
  <c r="AS13" i="70"/>
  <c r="AV13" i="70"/>
  <c r="AO13" i="70" s="1"/>
  <c r="AS208" i="70"/>
  <c r="AV208" i="70"/>
  <c r="AO208" i="70" s="1"/>
  <c r="AS272" i="70"/>
  <c r="AV272" i="70"/>
  <c r="AO272" i="70" s="1"/>
  <c r="AS344" i="70"/>
  <c r="AV344" i="70"/>
  <c r="AO344" i="70" s="1"/>
  <c r="AS408" i="70"/>
  <c r="AV408" i="70"/>
  <c r="AO408" i="70" s="1"/>
  <c r="AS472" i="70"/>
  <c r="AV472" i="70"/>
  <c r="AO472" i="70" s="1"/>
  <c r="AS531" i="70"/>
  <c r="AV531" i="70"/>
  <c r="AO531" i="70" s="1"/>
  <c r="AS573" i="70"/>
  <c r="AV573" i="70"/>
  <c r="AS611" i="70"/>
  <c r="AV611" i="70"/>
  <c r="AO611" i="70" s="1"/>
  <c r="AS643" i="70"/>
  <c r="AV643" i="70"/>
  <c r="AO643" i="70" s="1"/>
  <c r="AS679" i="70"/>
  <c r="AV679" i="70"/>
  <c r="AO679" i="70" s="1"/>
  <c r="AS711" i="70"/>
  <c r="AV711" i="70"/>
  <c r="AS166" i="70"/>
  <c r="AV166" i="70"/>
  <c r="AO166" i="70" s="1"/>
  <c r="AS241" i="70"/>
  <c r="AV241" i="70"/>
  <c r="AO241" i="70" s="1"/>
  <c r="AS329" i="70"/>
  <c r="AV329" i="70"/>
  <c r="BE329" i="70" s="1"/>
  <c r="AS393" i="70"/>
  <c r="AV393" i="70"/>
  <c r="AO393" i="70" s="1"/>
  <c r="AS465" i="70"/>
  <c r="AV465" i="70"/>
  <c r="AO465" i="70" s="1"/>
  <c r="AS527" i="70"/>
  <c r="AV527" i="70"/>
  <c r="AO527" i="70" s="1"/>
  <c r="AS569" i="70"/>
  <c r="AV569" i="70"/>
  <c r="AS608" i="70"/>
  <c r="AV608" i="70"/>
  <c r="AO608" i="70" s="1"/>
  <c r="AS644" i="70"/>
  <c r="AV644" i="70"/>
  <c r="AO644" i="70" s="1"/>
  <c r="AS676" i="70"/>
  <c r="AV676" i="70"/>
  <c r="AO676" i="70" s="1"/>
  <c r="AS708" i="70"/>
  <c r="AV708" i="70"/>
  <c r="AT708" i="70" s="1"/>
  <c r="AS25" i="70"/>
  <c r="AV25" i="70"/>
  <c r="AO25" i="70" s="1"/>
  <c r="AS133" i="70"/>
  <c r="AV133" i="70"/>
  <c r="AO133" i="70" s="1"/>
  <c r="AS23" i="70"/>
  <c r="AV23" i="70"/>
  <c r="AO23" i="70" s="1"/>
  <c r="AS113" i="70"/>
  <c r="AV113" i="70"/>
  <c r="AO113" i="70" s="1"/>
  <c r="AS18" i="70"/>
  <c r="AV18" i="70"/>
  <c r="AO18" i="70" s="1"/>
  <c r="AS73" i="70"/>
  <c r="AV73" i="70"/>
  <c r="AO73" i="70" s="1"/>
  <c r="AS281" i="70"/>
  <c r="AV281" i="70"/>
  <c r="AO281" i="70" s="1"/>
  <c r="AS42" i="70"/>
  <c r="AV42" i="70"/>
  <c r="AO42" i="70" s="1"/>
  <c r="AS145" i="70"/>
  <c r="AV145" i="70"/>
  <c r="AO145" i="70" s="1"/>
  <c r="AS49" i="70"/>
  <c r="AV49" i="70"/>
  <c r="AO49" i="70" s="1"/>
  <c r="AS106" i="70"/>
  <c r="AV106" i="70"/>
  <c r="AO106" i="70" s="1"/>
  <c r="AS149" i="70"/>
  <c r="AV149" i="70"/>
  <c r="AO149" i="70" s="1"/>
  <c r="AS192" i="70"/>
  <c r="AV192" i="70"/>
  <c r="AO192" i="70" s="1"/>
  <c r="AS228" i="70"/>
  <c r="AV228" i="70"/>
  <c r="BE228" i="70" s="1"/>
  <c r="AS260" i="70"/>
  <c r="AV260" i="70"/>
  <c r="AO260" i="70" s="1"/>
  <c r="AS292" i="70"/>
  <c r="AV292" i="70"/>
  <c r="AO292" i="70" s="1"/>
  <c r="AS324" i="70"/>
  <c r="AV324" i="70"/>
  <c r="BE324" i="70" s="1"/>
  <c r="AS356" i="70"/>
  <c r="AV356" i="70"/>
  <c r="AO356" i="70" s="1"/>
  <c r="AS388" i="70"/>
  <c r="AV388" i="70"/>
  <c r="AO388" i="70" s="1"/>
  <c r="AS420" i="70"/>
  <c r="AV420" i="70"/>
  <c r="AO420" i="70" s="1"/>
  <c r="AS452" i="70"/>
  <c r="AV452" i="70"/>
  <c r="AO452" i="70" s="1"/>
  <c r="AS484" i="70"/>
  <c r="AV484" i="70"/>
  <c r="AO484" i="70" s="1"/>
  <c r="AS516" i="70"/>
  <c r="AV516" i="70"/>
  <c r="AO516" i="70" s="1"/>
  <c r="AS539" i="70"/>
  <c r="AV539" i="70"/>
  <c r="AO539" i="70" s="1"/>
  <c r="AS560" i="70"/>
  <c r="AV560" i="70"/>
  <c r="AS581" i="70"/>
  <c r="AV581" i="70"/>
  <c r="BE581" i="70" s="1"/>
  <c r="AS601" i="70"/>
  <c r="AV601" i="70"/>
  <c r="AO601" i="70" s="1"/>
  <c r="AS617" i="70"/>
  <c r="AV617" i="70"/>
  <c r="AO617" i="70" s="1"/>
  <c r="AS633" i="70"/>
  <c r="AV633" i="70"/>
  <c r="AO633" i="70" s="1"/>
  <c r="AS649" i="70"/>
  <c r="AV649" i="70"/>
  <c r="AO649" i="70" s="1"/>
  <c r="AS665" i="70"/>
  <c r="AV665" i="70"/>
  <c r="AO665" i="70" s="1"/>
  <c r="AS681" i="70"/>
  <c r="AV681" i="70"/>
  <c r="AO681" i="70" s="1"/>
  <c r="AS697" i="70"/>
  <c r="AV697" i="70"/>
  <c r="AO697" i="70" s="1"/>
  <c r="AS713" i="70"/>
  <c r="AV713" i="70"/>
  <c r="AS729" i="70"/>
  <c r="AV729" i="70"/>
  <c r="AS12" i="70"/>
  <c r="AV12" i="70"/>
  <c r="AO12" i="70" s="1"/>
  <c r="AS519" i="70"/>
  <c r="AV519" i="70"/>
  <c r="AO519" i="70" s="1"/>
  <c r="AS503" i="70"/>
  <c r="AV503" i="70"/>
  <c r="AO503" i="70" s="1"/>
  <c r="AS487" i="70"/>
  <c r="AV487" i="70"/>
  <c r="AS471" i="70"/>
  <c r="AV471" i="70"/>
  <c r="AO471" i="70" s="1"/>
  <c r="AS455" i="70"/>
  <c r="AV455" i="70"/>
  <c r="AO455" i="70" s="1"/>
  <c r="AS439" i="70"/>
  <c r="AV439" i="70"/>
  <c r="AO439" i="70" s="1"/>
  <c r="AS423" i="70"/>
  <c r="AV423" i="70"/>
  <c r="AO423" i="70" s="1"/>
  <c r="AS407" i="70"/>
  <c r="AV407" i="70"/>
  <c r="AO407" i="70" s="1"/>
  <c r="AS391" i="70"/>
  <c r="AV391" i="70"/>
  <c r="AO391" i="70" s="1"/>
  <c r="AS375" i="70"/>
  <c r="AV375" i="70"/>
  <c r="AO375" i="70" s="1"/>
  <c r="AS359" i="70"/>
  <c r="AV359" i="70"/>
  <c r="AO359" i="70" s="1"/>
  <c r="AS343" i="70"/>
  <c r="AV343" i="70"/>
  <c r="AS327" i="70"/>
  <c r="AV327" i="70"/>
  <c r="BE327" i="70" s="1"/>
  <c r="AS311" i="70"/>
  <c r="AV311" i="70"/>
  <c r="AO311" i="70" s="1"/>
  <c r="AS295" i="70"/>
  <c r="AV295" i="70"/>
  <c r="AO295" i="70" s="1"/>
  <c r="AS279" i="70"/>
  <c r="AV279" i="70"/>
  <c r="AO279" i="70" s="1"/>
  <c r="AS263" i="70"/>
  <c r="AV263" i="70"/>
  <c r="AO263" i="70" s="1"/>
  <c r="AS247" i="70"/>
  <c r="AV247" i="70"/>
  <c r="AO247" i="70" s="1"/>
  <c r="AS231" i="70"/>
  <c r="AV231" i="70"/>
  <c r="BE231" i="70" s="1"/>
  <c r="AS215" i="70"/>
  <c r="AV215" i="70"/>
  <c r="AS196" i="70"/>
  <c r="AV196" i="70"/>
  <c r="AO196" i="70" s="1"/>
  <c r="AS174" i="70"/>
  <c r="AV174" i="70"/>
  <c r="AO174" i="70" s="1"/>
  <c r="AS153" i="70"/>
  <c r="AV153" i="70"/>
  <c r="AS132" i="70"/>
  <c r="AV132" i="70"/>
  <c r="AO132" i="70" s="1"/>
  <c r="AS110" i="70"/>
  <c r="AV110" i="70"/>
  <c r="AO110" i="70" s="1"/>
  <c r="AS86" i="70"/>
  <c r="AV86" i="70"/>
  <c r="AO86" i="70" s="1"/>
  <c r="AS54" i="70"/>
  <c r="AV54" i="70"/>
  <c r="AO54" i="70" s="1"/>
  <c r="AS594" i="70"/>
  <c r="AV594" i="70"/>
  <c r="BE594" i="70" s="1"/>
  <c r="AS578" i="70"/>
  <c r="AV578" i="70"/>
  <c r="BE578" i="70" s="1"/>
  <c r="AS562" i="70"/>
  <c r="AV562" i="70"/>
  <c r="AS546" i="70"/>
  <c r="AV546" i="70"/>
  <c r="AO546" i="70" s="1"/>
  <c r="AS530" i="70"/>
  <c r="AV530" i="70"/>
  <c r="AO530" i="70" s="1"/>
  <c r="AS514" i="70"/>
  <c r="AV514" i="70"/>
  <c r="AO514" i="70" s="1"/>
  <c r="AS498" i="70"/>
  <c r="AV498" i="70"/>
  <c r="AO498" i="70" s="1"/>
  <c r="AS482" i="70"/>
  <c r="AV482" i="70"/>
  <c r="AO482" i="70" s="1"/>
  <c r="AS466" i="70"/>
  <c r="AV466" i="70"/>
  <c r="AO466" i="70" s="1"/>
  <c r="AS450" i="70"/>
  <c r="AV450" i="70"/>
  <c r="AO450" i="70" s="1"/>
  <c r="AS434" i="70"/>
  <c r="AV434" i="70"/>
  <c r="AO434" i="70" s="1"/>
  <c r="AS418" i="70"/>
  <c r="AV418" i="70"/>
  <c r="AO418" i="70" s="1"/>
  <c r="AS402" i="70"/>
  <c r="AV402" i="70"/>
  <c r="AO402" i="70" s="1"/>
  <c r="AS386" i="70"/>
  <c r="AV386" i="70"/>
  <c r="AO386" i="70" s="1"/>
  <c r="AS370" i="70"/>
  <c r="AV370" i="70"/>
  <c r="AO370" i="70" s="1"/>
  <c r="AS354" i="70"/>
  <c r="AV354" i="70"/>
  <c r="AO354" i="70" s="1"/>
  <c r="AS338" i="70"/>
  <c r="AV338" i="70"/>
  <c r="BE338" i="70" s="1"/>
  <c r="AS322" i="70"/>
  <c r="AV322" i="70"/>
  <c r="AO322" i="70" s="1"/>
  <c r="AS306" i="70"/>
  <c r="AV306" i="70"/>
  <c r="AO306" i="70" s="1"/>
  <c r="AS290" i="70"/>
  <c r="AV290" i="70"/>
  <c r="AO290" i="70" s="1"/>
  <c r="AS274" i="70"/>
  <c r="AV274" i="70"/>
  <c r="AO274" i="70" s="1"/>
  <c r="AS258" i="70"/>
  <c r="AV258" i="70"/>
  <c r="AO258" i="70" s="1"/>
  <c r="AS242" i="70"/>
  <c r="AV242" i="70"/>
  <c r="AO242" i="70" s="1"/>
  <c r="AS226" i="70"/>
  <c r="AV226" i="70"/>
  <c r="BE226" i="70" s="1"/>
  <c r="AS210" i="70"/>
  <c r="AV210" i="70"/>
  <c r="AO210" i="70" s="1"/>
  <c r="AS189" i="70"/>
  <c r="AV189" i="70"/>
  <c r="AO189" i="70" s="1"/>
  <c r="AS168" i="70"/>
  <c r="AV168" i="70"/>
  <c r="AO168" i="70" s="1"/>
  <c r="AS146" i="70"/>
  <c r="AV146" i="70"/>
  <c r="AS125" i="70"/>
  <c r="AV125" i="70"/>
  <c r="AO125" i="70" s="1"/>
  <c r="AS104" i="70"/>
  <c r="AV104" i="70"/>
  <c r="AO104" i="70" s="1"/>
  <c r="AS77" i="70"/>
  <c r="AV77" i="70"/>
  <c r="AO77" i="70" s="1"/>
  <c r="AS45" i="70"/>
  <c r="AV45" i="70"/>
  <c r="AO45" i="70" s="1"/>
  <c r="AS88" i="70"/>
  <c r="AV88" i="70"/>
  <c r="AO88" i="70" s="1"/>
  <c r="AS72" i="70"/>
  <c r="AV72" i="70"/>
  <c r="AO72" i="70" s="1"/>
  <c r="AS56" i="70"/>
  <c r="AV56" i="70"/>
  <c r="AO56" i="70" s="1"/>
  <c r="AS40" i="70"/>
  <c r="AV40" i="70"/>
  <c r="AO40" i="70" s="1"/>
  <c r="AS24" i="70"/>
  <c r="AV24" i="70"/>
  <c r="AO24" i="70" s="1"/>
  <c r="AS195" i="70"/>
  <c r="AV195" i="70"/>
  <c r="AO195" i="70" s="1"/>
  <c r="AS179" i="70"/>
  <c r="AV179" i="70"/>
  <c r="AO179" i="70" s="1"/>
  <c r="AS163" i="70"/>
  <c r="AV163" i="70"/>
  <c r="AO163" i="70" s="1"/>
  <c r="AS147" i="70"/>
  <c r="AV147" i="70"/>
  <c r="AO147" i="70" s="1"/>
  <c r="AS131" i="70"/>
  <c r="AV131" i="70"/>
  <c r="AO131" i="70" s="1"/>
  <c r="AS115" i="70"/>
  <c r="AV115" i="70"/>
  <c r="AO115" i="70" s="1"/>
  <c r="AS99" i="70"/>
  <c r="AV99" i="70"/>
  <c r="AO99" i="70" s="1"/>
  <c r="AS83" i="70"/>
  <c r="AV83" i="70"/>
  <c r="AO83" i="70" s="1"/>
  <c r="AS67" i="70"/>
  <c r="AV67" i="70"/>
  <c r="AO67" i="70" s="1"/>
  <c r="AS51" i="70"/>
  <c r="AV51" i="70"/>
  <c r="AO51" i="70" s="1"/>
  <c r="AS35" i="70"/>
  <c r="AV35" i="70"/>
  <c r="AO35" i="70" s="1"/>
  <c r="AS197" i="70"/>
  <c r="AV197" i="70"/>
  <c r="AO197" i="70" s="1"/>
  <c r="AS264" i="70"/>
  <c r="AV264" i="70"/>
  <c r="AO264" i="70" s="1"/>
  <c r="AS320" i="70"/>
  <c r="AV320" i="70"/>
  <c r="AO320" i="70" s="1"/>
  <c r="AS400" i="70"/>
  <c r="AV400" i="70"/>
  <c r="AO400" i="70" s="1"/>
  <c r="AS464" i="70"/>
  <c r="AV464" i="70"/>
  <c r="AO464" i="70" s="1"/>
  <c r="AS525" i="70"/>
  <c r="AV525" i="70"/>
  <c r="AO525" i="70" s="1"/>
  <c r="AS568" i="70"/>
  <c r="AV568" i="70"/>
  <c r="AT568" i="70" s="1"/>
  <c r="AS607" i="70"/>
  <c r="AV607" i="70"/>
  <c r="AO607" i="70" s="1"/>
  <c r="AS639" i="70"/>
  <c r="AV639" i="70"/>
  <c r="AO639" i="70" s="1"/>
  <c r="AS667" i="70"/>
  <c r="AV667" i="70"/>
  <c r="AO667" i="70" s="1"/>
  <c r="AS699" i="70"/>
  <c r="AV699" i="70"/>
  <c r="AO699" i="70" s="1"/>
  <c r="AS731" i="70"/>
  <c r="AV731" i="70"/>
  <c r="AS265" i="70"/>
  <c r="AV265" i="70"/>
  <c r="AO265" i="70" s="1"/>
  <c r="AS353" i="70"/>
  <c r="AV353" i="70"/>
  <c r="AO353" i="70" s="1"/>
  <c r="AS409" i="70"/>
  <c r="AV409" i="70"/>
  <c r="AO409" i="70" s="1"/>
  <c r="AS473" i="70"/>
  <c r="AV473" i="70"/>
  <c r="AO473" i="70" s="1"/>
  <c r="AS532" i="70"/>
  <c r="AV532" i="70"/>
  <c r="AO532" i="70" s="1"/>
  <c r="AS575" i="70"/>
  <c r="AV575" i="70"/>
  <c r="AS612" i="70"/>
  <c r="AV612" i="70"/>
  <c r="BE612" i="70" s="1"/>
  <c r="AS640" i="70"/>
  <c r="AV640" i="70"/>
  <c r="AS672" i="70"/>
  <c r="AV672" i="70"/>
  <c r="AO672" i="70" s="1"/>
  <c r="AS704" i="70"/>
  <c r="AV704" i="70"/>
  <c r="AS732" i="70"/>
  <c r="AV732" i="70"/>
  <c r="AT732" i="70" s="1"/>
  <c r="AS97" i="70"/>
  <c r="AV97" i="70"/>
  <c r="AO97" i="70" s="1"/>
  <c r="AS140" i="70"/>
  <c r="AV140" i="70"/>
  <c r="AO140" i="70" s="1"/>
  <c r="AS182" i="70"/>
  <c r="AV182" i="70"/>
  <c r="AO182" i="70" s="1"/>
  <c r="AS221" i="70"/>
  <c r="AV221" i="70"/>
  <c r="BE221" i="70" s="1"/>
  <c r="AS253" i="70"/>
  <c r="AV253" i="70"/>
  <c r="AO253" i="70" s="1"/>
  <c r="AS285" i="70"/>
  <c r="AV285" i="70"/>
  <c r="AO285" i="70" s="1"/>
  <c r="AS317" i="70"/>
  <c r="AV317" i="70"/>
  <c r="AO317" i="70" s="1"/>
  <c r="AS349" i="70"/>
  <c r="AV349" i="70"/>
  <c r="AO349" i="70" s="1"/>
  <c r="AS381" i="70"/>
  <c r="AV381" i="70"/>
  <c r="AO381" i="70" s="1"/>
  <c r="AS413" i="70"/>
  <c r="AV413" i="70"/>
  <c r="AO413" i="70" s="1"/>
  <c r="AS445" i="70"/>
  <c r="AV445" i="70"/>
  <c r="AO445" i="70" s="1"/>
  <c r="AS477" i="70"/>
  <c r="AV477" i="70"/>
  <c r="AO477" i="70" s="1"/>
  <c r="AS509" i="70"/>
  <c r="AV509" i="70"/>
  <c r="AO509" i="70" s="1"/>
  <c r="AS535" i="70"/>
  <c r="AV535" i="70"/>
  <c r="AO535" i="70" s="1"/>
  <c r="AS556" i="70"/>
  <c r="AV556" i="70"/>
  <c r="AO556" i="70" s="1"/>
  <c r="AS577" i="70"/>
  <c r="AV577" i="70"/>
  <c r="BE577" i="70" s="1"/>
  <c r="AS598" i="70"/>
  <c r="AV598" i="70"/>
  <c r="AO598" i="70" s="1"/>
  <c r="AS614" i="70"/>
  <c r="AV614" i="70"/>
  <c r="AO614" i="70" s="1"/>
  <c r="AS630" i="70"/>
  <c r="AV630" i="70"/>
  <c r="AO630" i="70" s="1"/>
  <c r="AS646" i="70"/>
  <c r="AV646" i="70"/>
  <c r="AO646" i="70" s="1"/>
  <c r="AS662" i="70"/>
  <c r="AV662" i="70"/>
  <c r="AS678" i="70"/>
  <c r="AV678" i="70"/>
  <c r="AO678" i="70" s="1"/>
  <c r="AS694" i="70"/>
  <c r="AV694" i="70"/>
  <c r="AO694" i="70" s="1"/>
  <c r="AS710" i="70"/>
  <c r="AV710" i="70"/>
  <c r="AS726" i="70"/>
  <c r="AV726" i="70"/>
  <c r="AS17" i="70"/>
  <c r="AV17" i="70"/>
  <c r="AO17" i="70" s="1"/>
  <c r="AS224" i="70"/>
  <c r="AV224" i="70"/>
  <c r="BE224" i="70" s="1"/>
  <c r="AS288" i="70"/>
  <c r="AV288" i="70"/>
  <c r="AO288" i="70" s="1"/>
  <c r="AS360" i="70"/>
  <c r="AV360" i="70"/>
  <c r="AO360" i="70" s="1"/>
  <c r="AS424" i="70"/>
  <c r="AV424" i="70"/>
  <c r="AO424" i="70" s="1"/>
  <c r="AS488" i="70"/>
  <c r="AV488" i="70"/>
  <c r="AO488" i="70" s="1"/>
  <c r="AS541" i="70"/>
  <c r="AV541" i="70"/>
  <c r="AO541" i="70" s="1"/>
  <c r="AS584" i="70"/>
  <c r="AV584" i="70"/>
  <c r="BE584" i="70" s="1"/>
  <c r="AS619" i="70"/>
  <c r="AV619" i="70"/>
  <c r="AO619" i="70" s="1"/>
  <c r="AS651" i="70"/>
  <c r="AV651" i="70"/>
  <c r="AO651" i="70" s="1"/>
  <c r="AS687" i="70"/>
  <c r="AV687" i="70"/>
  <c r="AO687" i="70" s="1"/>
  <c r="AS719" i="70"/>
  <c r="AV719" i="70"/>
  <c r="AS188" i="70"/>
  <c r="AV188" i="70"/>
  <c r="AO188" i="70" s="1"/>
  <c r="AS257" i="70"/>
  <c r="AV257" i="70"/>
  <c r="AO257" i="70" s="1"/>
  <c r="AS345" i="70"/>
  <c r="AV345" i="70"/>
  <c r="AO345" i="70" s="1"/>
  <c r="AS417" i="70"/>
  <c r="AV417" i="70"/>
  <c r="AO417" i="70" s="1"/>
  <c r="AS481" i="70"/>
  <c r="AV481" i="70"/>
  <c r="AO481" i="70" s="1"/>
  <c r="AS537" i="70"/>
  <c r="AV537" i="70"/>
  <c r="AO537" i="70" s="1"/>
  <c r="AS580" i="70"/>
  <c r="AV580" i="70"/>
  <c r="BE580" i="70" s="1"/>
  <c r="AS616" i="70"/>
  <c r="AV616" i="70"/>
  <c r="AO616" i="70" s="1"/>
  <c r="AS652" i="70"/>
  <c r="AV652" i="70"/>
  <c r="AO652" i="70" s="1"/>
  <c r="AS684" i="70"/>
  <c r="AV684" i="70"/>
  <c r="AO684" i="70" s="1"/>
  <c r="AS716" i="70"/>
  <c r="AV716" i="70"/>
  <c r="AS57" i="70"/>
  <c r="AV57" i="70"/>
  <c r="AO57" i="70" s="1"/>
  <c r="AS154" i="70"/>
  <c r="AV154" i="70"/>
  <c r="AO154" i="70" s="1"/>
  <c r="AS26" i="70"/>
  <c r="AV26" i="70"/>
  <c r="AO26" i="70" s="1"/>
  <c r="AS134" i="70"/>
  <c r="AV134" i="70"/>
  <c r="AO134" i="70" s="1"/>
  <c r="AS9" i="70"/>
  <c r="AV9" i="70"/>
  <c r="AO9" i="70" s="1"/>
  <c r="AS101" i="70"/>
  <c r="AV101" i="70"/>
  <c r="AO101" i="70" s="1"/>
  <c r="AS11" i="70"/>
  <c r="AV11" i="70"/>
  <c r="AO11" i="70" s="1"/>
  <c r="AS102" i="70"/>
  <c r="AV102" i="70"/>
  <c r="AO102" i="70" s="1"/>
  <c r="AS124" i="70"/>
  <c r="AV124" i="70"/>
  <c r="AO124" i="70" s="1"/>
  <c r="AT336" i="70"/>
  <c r="AS65" i="70"/>
  <c r="AV65" i="70"/>
  <c r="AO65" i="70" s="1"/>
  <c r="AS117" i="70"/>
  <c r="AV117" i="70"/>
  <c r="AO117" i="70" s="1"/>
  <c r="AS160" i="70"/>
  <c r="AV160" i="70"/>
  <c r="AO160" i="70" s="1"/>
  <c r="AS202" i="70"/>
  <c r="AV202" i="70"/>
  <c r="AO202" i="70" s="1"/>
  <c r="AS236" i="70"/>
  <c r="AV236" i="70"/>
  <c r="AT236" i="70" s="1"/>
  <c r="AS268" i="70"/>
  <c r="AV268" i="70"/>
  <c r="AO268" i="70" s="1"/>
  <c r="AS300" i="70"/>
  <c r="AV300" i="70"/>
  <c r="AO300" i="70" s="1"/>
  <c r="AS332" i="70"/>
  <c r="AV332" i="70"/>
  <c r="BE332" i="70" s="1"/>
  <c r="AS364" i="70"/>
  <c r="AV364" i="70"/>
  <c r="AO364" i="70" s="1"/>
  <c r="AS396" i="70"/>
  <c r="AV396" i="70"/>
  <c r="AO396" i="70" s="1"/>
  <c r="AS428" i="70"/>
  <c r="AV428" i="70"/>
  <c r="AO428" i="70" s="1"/>
  <c r="AS460" i="70"/>
  <c r="AV460" i="70"/>
  <c r="AO460" i="70" s="1"/>
  <c r="AS492" i="70"/>
  <c r="AV492" i="70"/>
  <c r="AO492" i="70" s="1"/>
  <c r="AS523" i="70"/>
  <c r="AV523" i="70"/>
  <c r="AO523" i="70" s="1"/>
  <c r="AS544" i="70"/>
  <c r="AV544" i="70"/>
  <c r="AO544" i="70" s="1"/>
  <c r="AS565" i="70"/>
  <c r="AV565" i="70"/>
  <c r="AS587" i="70"/>
  <c r="AV587" i="70"/>
  <c r="BE587" i="70" s="1"/>
  <c r="AS605" i="70"/>
  <c r="AV605" i="70"/>
  <c r="AO605" i="70" s="1"/>
  <c r="AS621" i="70"/>
  <c r="AV621" i="70"/>
  <c r="AO621" i="70" s="1"/>
  <c r="AS637" i="70"/>
  <c r="AV637" i="70"/>
  <c r="AO637" i="70" s="1"/>
  <c r="AS653" i="70"/>
  <c r="AV653" i="70"/>
  <c r="AO653" i="70" s="1"/>
  <c r="AS669" i="70"/>
  <c r="AV669" i="70"/>
  <c r="AO669" i="70" s="1"/>
  <c r="AS685" i="70"/>
  <c r="AV685" i="70"/>
  <c r="AO685" i="70" s="1"/>
  <c r="AS701" i="70"/>
  <c r="AV701" i="70"/>
  <c r="AO701" i="70" s="1"/>
  <c r="AS717" i="70"/>
  <c r="AV717" i="70"/>
  <c r="AS733" i="70"/>
  <c r="AV733" i="70"/>
  <c r="AS16" i="70"/>
  <c r="AV16" i="70"/>
  <c r="AO16" i="70" s="1"/>
  <c r="AS515" i="70"/>
  <c r="AV515" i="70"/>
  <c r="AO515" i="70" s="1"/>
  <c r="AS499" i="70"/>
  <c r="AV499" i="70"/>
  <c r="AS483" i="70"/>
  <c r="AV483" i="70"/>
  <c r="AO483" i="70" s="1"/>
  <c r="AS467" i="70"/>
  <c r="AV467" i="70"/>
  <c r="AO467" i="70" s="1"/>
  <c r="AS451" i="70"/>
  <c r="AV451" i="70"/>
  <c r="AO451" i="70" s="1"/>
  <c r="AS435" i="70"/>
  <c r="AV435" i="70"/>
  <c r="AO435" i="70" s="1"/>
  <c r="AS419" i="70"/>
  <c r="AV419" i="70"/>
  <c r="AO419" i="70" s="1"/>
  <c r="AS403" i="70"/>
  <c r="AV403" i="70"/>
  <c r="AO403" i="70" s="1"/>
  <c r="AS387" i="70"/>
  <c r="AV387" i="70"/>
  <c r="AO387" i="70" s="1"/>
  <c r="AS371" i="70"/>
  <c r="AV371" i="70"/>
  <c r="AO371" i="70" s="1"/>
  <c r="AS355" i="70"/>
  <c r="AV355" i="70"/>
  <c r="AO355" i="70" s="1"/>
  <c r="AS339" i="70"/>
  <c r="AV339" i="70"/>
  <c r="BE339" i="70" s="1"/>
  <c r="AS323" i="70"/>
  <c r="AV323" i="70"/>
  <c r="AO323" i="70" s="1"/>
  <c r="AS307" i="70"/>
  <c r="AV307" i="70"/>
  <c r="AO307" i="70" s="1"/>
  <c r="AS291" i="70"/>
  <c r="AV291" i="70"/>
  <c r="AO291" i="70" s="1"/>
  <c r="AS275" i="70"/>
  <c r="AV275" i="70"/>
  <c r="AO275" i="70" s="1"/>
  <c r="AS259" i="70"/>
  <c r="AV259" i="70"/>
  <c r="AO259" i="70" s="1"/>
  <c r="AS243" i="70"/>
  <c r="AV243" i="70"/>
  <c r="AO243" i="70" s="1"/>
  <c r="AS227" i="70"/>
  <c r="AV227" i="70"/>
  <c r="BE227" i="70" s="1"/>
  <c r="AS211" i="70"/>
  <c r="AV211" i="70"/>
  <c r="AO211" i="70" s="1"/>
  <c r="AS190" i="70"/>
  <c r="AV190" i="70"/>
  <c r="AO190" i="70" s="1"/>
  <c r="AS169" i="70"/>
  <c r="AV169" i="70"/>
  <c r="AO169" i="70" s="1"/>
  <c r="AS148" i="70"/>
  <c r="AV148" i="70"/>
  <c r="AO148" i="70" s="1"/>
  <c r="AS126" i="70"/>
  <c r="AV126" i="70"/>
  <c r="AO126" i="70" s="1"/>
  <c r="AS105" i="70"/>
  <c r="AV105" i="70"/>
  <c r="AO105" i="70" s="1"/>
  <c r="AS78" i="70"/>
  <c r="AV78" i="70"/>
  <c r="AO78" i="70" s="1"/>
  <c r="AS46" i="70"/>
  <c r="AV46" i="70"/>
  <c r="AO46" i="70" s="1"/>
  <c r="AS590" i="70"/>
  <c r="AV590" i="70"/>
  <c r="BE590" i="70" s="1"/>
  <c r="AS574" i="70"/>
  <c r="AV574" i="70"/>
  <c r="AS558" i="70"/>
  <c r="AV558" i="70"/>
  <c r="AS542" i="70"/>
  <c r="AV542" i="70"/>
  <c r="AO542" i="70" s="1"/>
  <c r="AS526" i="70"/>
  <c r="AV526" i="70"/>
  <c r="AO526" i="70" s="1"/>
  <c r="AS510" i="70"/>
  <c r="AV510" i="70"/>
  <c r="AO510" i="70" s="1"/>
  <c r="AS494" i="70"/>
  <c r="AV494" i="70"/>
  <c r="AS478" i="70"/>
  <c r="AV478" i="70"/>
  <c r="AO478" i="70" s="1"/>
  <c r="AS462" i="70"/>
  <c r="AV462" i="70"/>
  <c r="AO462" i="70" s="1"/>
  <c r="AS446" i="70"/>
  <c r="AV446" i="70"/>
  <c r="AO446" i="70" s="1"/>
  <c r="AS430" i="70"/>
  <c r="AV430" i="70"/>
  <c r="AO430" i="70" s="1"/>
  <c r="AS414" i="70"/>
  <c r="AV414" i="70"/>
  <c r="AO414" i="70" s="1"/>
  <c r="AS398" i="70"/>
  <c r="AV398" i="70"/>
  <c r="AO398" i="70" s="1"/>
  <c r="AS382" i="70"/>
  <c r="AV382" i="70"/>
  <c r="AO382" i="70" s="1"/>
  <c r="AS366" i="70"/>
  <c r="AV366" i="70"/>
  <c r="AO366" i="70" s="1"/>
  <c r="AS350" i="70"/>
  <c r="AV350" i="70"/>
  <c r="AO350" i="70" s="1"/>
  <c r="AS334" i="70"/>
  <c r="AV334" i="70"/>
  <c r="BE334" i="70" s="1"/>
  <c r="AS318" i="70"/>
  <c r="AV318" i="70"/>
  <c r="AO318" i="70" s="1"/>
  <c r="AS302" i="70"/>
  <c r="AV302" i="70"/>
  <c r="AO302" i="70" s="1"/>
  <c r="AS286" i="70"/>
  <c r="AV286" i="70"/>
  <c r="AO286" i="70" s="1"/>
  <c r="AS270" i="70"/>
  <c r="AV270" i="70"/>
  <c r="AO270" i="70" s="1"/>
  <c r="AS254" i="70"/>
  <c r="AV254" i="70"/>
  <c r="AO254" i="70" s="1"/>
  <c r="AS238" i="70"/>
  <c r="AV238" i="70"/>
  <c r="AO238" i="70" s="1"/>
  <c r="AS222" i="70"/>
  <c r="AV222" i="70"/>
  <c r="AT222" i="70" s="1"/>
  <c r="AS205" i="70"/>
  <c r="AV205" i="70"/>
  <c r="AO205" i="70" s="1"/>
  <c r="AS184" i="70"/>
  <c r="AV184" i="70"/>
  <c r="AO184" i="70" s="1"/>
  <c r="AS162" i="70"/>
  <c r="AV162" i="70"/>
  <c r="AS141" i="70"/>
  <c r="AV141" i="70"/>
  <c r="AO141" i="70" s="1"/>
  <c r="AS120" i="70"/>
  <c r="AV120" i="70"/>
  <c r="AO120" i="70" s="1"/>
  <c r="AS98" i="70"/>
  <c r="AV98" i="70"/>
  <c r="AO98" i="70" s="1"/>
  <c r="AS69" i="70"/>
  <c r="AV69" i="70"/>
  <c r="AO69" i="70" s="1"/>
  <c r="AS37" i="70"/>
  <c r="AV37" i="70"/>
  <c r="AO37" i="70" s="1"/>
  <c r="AS84" i="70"/>
  <c r="AV84" i="70"/>
  <c r="AO84" i="70" s="1"/>
  <c r="AS68" i="70"/>
  <c r="AV68" i="70"/>
  <c r="AO68" i="70" s="1"/>
  <c r="AS52" i="70"/>
  <c r="AV52" i="70"/>
  <c r="AO52" i="70" s="1"/>
  <c r="AS36" i="70"/>
  <c r="AV36" i="70"/>
  <c r="AO36" i="70" s="1"/>
  <c r="AS207" i="70"/>
  <c r="AV207" i="70"/>
  <c r="AO207" i="70" s="1"/>
  <c r="AS191" i="70"/>
  <c r="AV191" i="70"/>
  <c r="AO191" i="70" s="1"/>
  <c r="AS175" i="70"/>
  <c r="AV175" i="70"/>
  <c r="AO175" i="70" s="1"/>
  <c r="AS159" i="70"/>
  <c r="AV159" i="70"/>
  <c r="AO159" i="70" s="1"/>
  <c r="AS143" i="70"/>
  <c r="AV143" i="70"/>
  <c r="AO143" i="70" s="1"/>
  <c r="AS127" i="70"/>
  <c r="AV127" i="70"/>
  <c r="AO127" i="70" s="1"/>
  <c r="AS111" i="70"/>
  <c r="AV111" i="70"/>
  <c r="AO111" i="70" s="1"/>
  <c r="AS95" i="70"/>
  <c r="AV95" i="70"/>
  <c r="AO95" i="70" s="1"/>
  <c r="AS79" i="70"/>
  <c r="AV79" i="70"/>
  <c r="AO79" i="70" s="1"/>
  <c r="AS63" i="70"/>
  <c r="AV63" i="70"/>
  <c r="AO63" i="70" s="1"/>
  <c r="AS47" i="70"/>
  <c r="AV47" i="70"/>
  <c r="AO47" i="70" s="1"/>
  <c r="AS31" i="70"/>
  <c r="AV31" i="70"/>
  <c r="AO31" i="70" s="1"/>
  <c r="AS216" i="70"/>
  <c r="AV216" i="70"/>
  <c r="BE216" i="70" s="1"/>
  <c r="AS280" i="70"/>
  <c r="AV280" i="70"/>
  <c r="AO280" i="70" s="1"/>
  <c r="AS352" i="70"/>
  <c r="AV352" i="70"/>
  <c r="AO352" i="70" s="1"/>
  <c r="AS416" i="70"/>
  <c r="AV416" i="70"/>
  <c r="AO416" i="70" s="1"/>
  <c r="AS480" i="70"/>
  <c r="AV480" i="70"/>
  <c r="AO480" i="70" s="1"/>
  <c r="AS536" i="70"/>
  <c r="AV536" i="70"/>
  <c r="AO536" i="70" s="1"/>
  <c r="AS579" i="70"/>
  <c r="AV579" i="70"/>
  <c r="BE579" i="70" s="1"/>
  <c r="AS615" i="70"/>
  <c r="AV615" i="70"/>
  <c r="AO615" i="70" s="1"/>
  <c r="AS647" i="70"/>
  <c r="AV647" i="70"/>
  <c r="AO647" i="70" s="1"/>
  <c r="AS675" i="70"/>
  <c r="AV675" i="70"/>
  <c r="AO675" i="70" s="1"/>
  <c r="AS707" i="70"/>
  <c r="AV707" i="70"/>
  <c r="AS198" i="70"/>
  <c r="AV198" i="70"/>
  <c r="AO198" i="70" s="1"/>
  <c r="AS273" i="70"/>
  <c r="AV273" i="70"/>
  <c r="AO273" i="70" s="1"/>
  <c r="AS369" i="70"/>
  <c r="AV369" i="70"/>
  <c r="AO369" i="70" s="1"/>
  <c r="AS425" i="70"/>
  <c r="AV425" i="70"/>
  <c r="AO425" i="70" s="1"/>
  <c r="AS489" i="70"/>
  <c r="AV489" i="70"/>
  <c r="AO489" i="70" s="1"/>
  <c r="AS543" i="70"/>
  <c r="AV543" i="70"/>
  <c r="AO543" i="70" s="1"/>
  <c r="AS585" i="70"/>
  <c r="AV585" i="70"/>
  <c r="BE585" i="70" s="1"/>
  <c r="AS620" i="70"/>
  <c r="AV620" i="70"/>
  <c r="AO620" i="70" s="1"/>
  <c r="AS648" i="70"/>
  <c r="AV648" i="70"/>
  <c r="AO648" i="70" s="1"/>
  <c r="AS680" i="70"/>
  <c r="AV680" i="70"/>
  <c r="AO680" i="70" s="1"/>
  <c r="AS712" i="70"/>
  <c r="AV712" i="70"/>
  <c r="AS50" i="70"/>
  <c r="AV50" i="70"/>
  <c r="AO50" i="70" s="1"/>
  <c r="AS108" i="70"/>
  <c r="AV108" i="70"/>
  <c r="AO108" i="70" s="1"/>
  <c r="AS150" i="70"/>
  <c r="AV150" i="70"/>
  <c r="AO150" i="70" s="1"/>
  <c r="AS193" i="70"/>
  <c r="AV193" i="70"/>
  <c r="AO193" i="70" s="1"/>
  <c r="AS229" i="70"/>
  <c r="AV229" i="70"/>
  <c r="AT229" i="70" s="1"/>
  <c r="AS261" i="70"/>
  <c r="AV261" i="70"/>
  <c r="AO261" i="70" s="1"/>
  <c r="AS293" i="70"/>
  <c r="AV293" i="70"/>
  <c r="AO293" i="70" s="1"/>
  <c r="AS325" i="70"/>
  <c r="AV325" i="70"/>
  <c r="BE325" i="70" s="1"/>
  <c r="AS357" i="70"/>
  <c r="AV357" i="70"/>
  <c r="AO357" i="70" s="1"/>
  <c r="AS389" i="70"/>
  <c r="AV389" i="70"/>
  <c r="AO389" i="70" s="1"/>
  <c r="AS421" i="70"/>
  <c r="AV421" i="70"/>
  <c r="AO421" i="70" s="1"/>
  <c r="AS453" i="70"/>
  <c r="AV453" i="70"/>
  <c r="AO453" i="70" s="1"/>
  <c r="AS485" i="70"/>
  <c r="AV485" i="70"/>
  <c r="AO485" i="70" s="1"/>
  <c r="AS517" i="70"/>
  <c r="AV517" i="70"/>
  <c r="AO517" i="70" s="1"/>
  <c r="AS540" i="70"/>
  <c r="AV540" i="70"/>
  <c r="AO540" i="70" s="1"/>
  <c r="AS561" i="70"/>
  <c r="AV561" i="70"/>
  <c r="AS583" i="70"/>
  <c r="AV583" i="70"/>
  <c r="BE583" i="70" s="1"/>
  <c r="AS602" i="70"/>
  <c r="AV602" i="70"/>
  <c r="AO602" i="70" s="1"/>
  <c r="AS618" i="70"/>
  <c r="AV618" i="70"/>
  <c r="AO618" i="70" s="1"/>
  <c r="AS634" i="70"/>
  <c r="AV634" i="70"/>
  <c r="AO634" i="70" s="1"/>
  <c r="AS650" i="70"/>
  <c r="AV650" i="70"/>
  <c r="AO650" i="70" s="1"/>
  <c r="AS666" i="70"/>
  <c r="AV666" i="70"/>
  <c r="AO666" i="70" s="1"/>
  <c r="AS682" i="70"/>
  <c r="AV682" i="70"/>
  <c r="AO682" i="70" s="1"/>
  <c r="AS698" i="70"/>
  <c r="AV698" i="70"/>
  <c r="AO698" i="70" s="1"/>
  <c r="AS714" i="70"/>
  <c r="AV714" i="70"/>
  <c r="AS730" i="70"/>
  <c r="AV730" i="70"/>
  <c r="AS21" i="70"/>
  <c r="AV21" i="70"/>
  <c r="AO21" i="70" s="1"/>
  <c r="AS240" i="70"/>
  <c r="AV240" i="70"/>
  <c r="AO240" i="70" s="1"/>
  <c r="AS312" i="70"/>
  <c r="AV312" i="70"/>
  <c r="AO312" i="70" s="1"/>
  <c r="AS376" i="70"/>
  <c r="AV376" i="70"/>
  <c r="AO376" i="70" s="1"/>
  <c r="AS440" i="70"/>
  <c r="AV440" i="70"/>
  <c r="AO440" i="70" s="1"/>
  <c r="AS504" i="70"/>
  <c r="AV504" i="70"/>
  <c r="AO504" i="70" s="1"/>
  <c r="AS552" i="70"/>
  <c r="AV552" i="70"/>
  <c r="AO552" i="70" s="1"/>
  <c r="AS595" i="70"/>
  <c r="AV595" i="70"/>
  <c r="BE595" i="70" s="1"/>
  <c r="AS627" i="70"/>
  <c r="AV627" i="70"/>
  <c r="AO627" i="70" s="1"/>
  <c r="AS659" i="70"/>
  <c r="AV659" i="70"/>
  <c r="AO659" i="70" s="1"/>
  <c r="AS695" i="70"/>
  <c r="AV695" i="70"/>
  <c r="AS727" i="70"/>
  <c r="AV727" i="70"/>
  <c r="AS209" i="70"/>
  <c r="AV209" i="70"/>
  <c r="AO209" i="70" s="1"/>
  <c r="AS297" i="70"/>
  <c r="AV297" i="70"/>
  <c r="AO297" i="70" s="1"/>
  <c r="AS361" i="70"/>
  <c r="AV361" i="70"/>
  <c r="AO361" i="70" s="1"/>
  <c r="AS433" i="70"/>
  <c r="AV433" i="70"/>
  <c r="AO433" i="70" s="1"/>
  <c r="AS497" i="70"/>
  <c r="AV497" i="70"/>
  <c r="AO497" i="70" s="1"/>
  <c r="AS548" i="70"/>
  <c r="AV548" i="70"/>
  <c r="AO548" i="70" s="1"/>
  <c r="AS591" i="70"/>
  <c r="AV591" i="70"/>
  <c r="BE591" i="70" s="1"/>
  <c r="AS628" i="70"/>
  <c r="AV628" i="70"/>
  <c r="AO628" i="70" s="1"/>
  <c r="AS660" i="70"/>
  <c r="AV660" i="70"/>
  <c r="AS692" i="70"/>
  <c r="AV692" i="70"/>
  <c r="AO692" i="70" s="1"/>
  <c r="AS728" i="70"/>
  <c r="AV728" i="70"/>
  <c r="AS89" i="70"/>
  <c r="AV89" i="70"/>
  <c r="AO89" i="70" s="1"/>
  <c r="AS7" i="70"/>
  <c r="AV7" i="70"/>
  <c r="AO7" i="70" s="1"/>
  <c r="AS58" i="70"/>
  <c r="AV58" i="70"/>
  <c r="AO58" i="70" s="1"/>
  <c r="AS156" i="70"/>
  <c r="AV156" i="70"/>
  <c r="AO156" i="70" s="1"/>
  <c r="AS289" i="70"/>
  <c r="AV289" i="70"/>
  <c r="AO289" i="70" s="1"/>
  <c r="AS122" i="70"/>
  <c r="AV122" i="70"/>
  <c r="AO122" i="70" s="1"/>
  <c r="AS19" i="70"/>
  <c r="AV19" i="70"/>
  <c r="AO19" i="70" s="1"/>
  <c r="AS22" i="70"/>
  <c r="AV22" i="70"/>
  <c r="AS81" i="70"/>
  <c r="AV81" i="70"/>
  <c r="AO81" i="70" s="1"/>
  <c r="AS128" i="70"/>
  <c r="AV128" i="70"/>
  <c r="AO128" i="70" s="1"/>
  <c r="AS170" i="70"/>
  <c r="AV170" i="70"/>
  <c r="AO170" i="70" s="1"/>
  <c r="AS212" i="70"/>
  <c r="AV212" i="70"/>
  <c r="AO212" i="70" s="1"/>
  <c r="AS244" i="70"/>
  <c r="AV244" i="70"/>
  <c r="AO244" i="70" s="1"/>
  <c r="AS276" i="70"/>
  <c r="AV276" i="70"/>
  <c r="AO276" i="70" s="1"/>
  <c r="AS308" i="70"/>
  <c r="AV308" i="70"/>
  <c r="AO308" i="70" s="1"/>
  <c r="AS340" i="70"/>
  <c r="AV340" i="70"/>
  <c r="BE340" i="70" s="1"/>
  <c r="AS372" i="70"/>
  <c r="AV372" i="70"/>
  <c r="AO372" i="70" s="1"/>
  <c r="AS404" i="70"/>
  <c r="AV404" i="70"/>
  <c r="AO404" i="70" s="1"/>
  <c r="AS436" i="70"/>
  <c r="AV436" i="70"/>
  <c r="AO436" i="70" s="1"/>
  <c r="AS468" i="70"/>
  <c r="AV468" i="70"/>
  <c r="AO468" i="70" s="1"/>
  <c r="AS500" i="70"/>
  <c r="AV500" i="70"/>
  <c r="AO500" i="70" s="1"/>
  <c r="AS528" i="70"/>
  <c r="AV528" i="70"/>
  <c r="AO528" i="70" s="1"/>
  <c r="AS549" i="70"/>
  <c r="AV549" i="70"/>
  <c r="AO549" i="70" s="1"/>
  <c r="AS571" i="70"/>
  <c r="AV571" i="70"/>
  <c r="AS592" i="70"/>
  <c r="AV592" i="70"/>
  <c r="BE592" i="70" s="1"/>
  <c r="AS609" i="70"/>
  <c r="AV609" i="70"/>
  <c r="AO609" i="70" s="1"/>
  <c r="AS625" i="70"/>
  <c r="AV625" i="70"/>
  <c r="AO625" i="70" s="1"/>
  <c r="AS641" i="70"/>
  <c r="AV641" i="70"/>
  <c r="AO641" i="70" s="1"/>
  <c r="AS657" i="70"/>
  <c r="AV657" i="70"/>
  <c r="AO657" i="70" s="1"/>
  <c r="AS673" i="70"/>
  <c r="AV673" i="70"/>
  <c r="AO673" i="70" s="1"/>
  <c r="AS689" i="70"/>
  <c r="AV689" i="70"/>
  <c r="AO689" i="70" s="1"/>
  <c r="AS705" i="70"/>
  <c r="AV705" i="70"/>
  <c r="AS721" i="70"/>
  <c r="AV721" i="70"/>
  <c r="AS737" i="70"/>
  <c r="AV737" i="70"/>
  <c r="AS20" i="70"/>
  <c r="AV20" i="70"/>
  <c r="AO20" i="70" s="1"/>
  <c r="AS511" i="70"/>
  <c r="AV511" i="70"/>
  <c r="AO511" i="70" s="1"/>
  <c r="AS495" i="70"/>
  <c r="AV495" i="70"/>
  <c r="AO495" i="70" s="1"/>
  <c r="AS479" i="70"/>
  <c r="AV479" i="70"/>
  <c r="AO479" i="70" s="1"/>
  <c r="AS463" i="70"/>
  <c r="AV463" i="70"/>
  <c r="AO463" i="70" s="1"/>
  <c r="AS447" i="70"/>
  <c r="AV447" i="70"/>
  <c r="AS431" i="70"/>
  <c r="AV431" i="70"/>
  <c r="AO431" i="70" s="1"/>
  <c r="AS415" i="70"/>
  <c r="AV415" i="70"/>
  <c r="AO415" i="70" s="1"/>
  <c r="AS399" i="70"/>
  <c r="AV399" i="70"/>
  <c r="AO399" i="70" s="1"/>
  <c r="AS383" i="70"/>
  <c r="AV383" i="70"/>
  <c r="AO383" i="70" s="1"/>
  <c r="AS367" i="70"/>
  <c r="AV367" i="70"/>
  <c r="AO367" i="70" s="1"/>
  <c r="AS351" i="70"/>
  <c r="AV351" i="70"/>
  <c r="AO351" i="70" s="1"/>
  <c r="AS335" i="70"/>
  <c r="AV335" i="70"/>
  <c r="BE335" i="70" s="1"/>
  <c r="AS319" i="70"/>
  <c r="AV319" i="70"/>
  <c r="AS303" i="70"/>
  <c r="AV303" i="70"/>
  <c r="AS287" i="70"/>
  <c r="AV287" i="70"/>
  <c r="AO287" i="70" s="1"/>
  <c r="AS271" i="70"/>
  <c r="AV271" i="70"/>
  <c r="AO271" i="70" s="1"/>
  <c r="AS255" i="70"/>
  <c r="AV255" i="70"/>
  <c r="AO255" i="70" s="1"/>
  <c r="AS239" i="70"/>
  <c r="AV239" i="70"/>
  <c r="AO239" i="70" s="1"/>
  <c r="AS223" i="70"/>
  <c r="AV223" i="70"/>
  <c r="BE223" i="70" s="1"/>
  <c r="AS206" i="70"/>
  <c r="AV206" i="70"/>
  <c r="AO206" i="70" s="1"/>
  <c r="AS185" i="70"/>
  <c r="AV185" i="70"/>
  <c r="AO185" i="70" s="1"/>
  <c r="AS164" i="70"/>
  <c r="AV164" i="70"/>
  <c r="AO164" i="70" s="1"/>
  <c r="AS142" i="70"/>
  <c r="AV142" i="70"/>
  <c r="AO142" i="70" s="1"/>
  <c r="AS121" i="70"/>
  <c r="AV121" i="70"/>
  <c r="AO121" i="70" s="1"/>
  <c r="AS100" i="70"/>
  <c r="AV100" i="70"/>
  <c r="AS70" i="70"/>
  <c r="AV70" i="70"/>
  <c r="AO70" i="70" s="1"/>
  <c r="AS38" i="70"/>
  <c r="AV38" i="70"/>
  <c r="AO38" i="70" s="1"/>
  <c r="AS586" i="70"/>
  <c r="AV586" i="70"/>
  <c r="BE586" i="70" s="1"/>
  <c r="AS570" i="70"/>
  <c r="AV570" i="70"/>
  <c r="AT570" i="70" s="1"/>
  <c r="AS554" i="70"/>
  <c r="AV554" i="70"/>
  <c r="AO554" i="70" s="1"/>
  <c r="AS538" i="70"/>
  <c r="AV538" i="70"/>
  <c r="AO538" i="70" s="1"/>
  <c r="AS522" i="70"/>
  <c r="AV522" i="70"/>
  <c r="AO522" i="70" s="1"/>
  <c r="AS506" i="70"/>
  <c r="AV506" i="70"/>
  <c r="AS490" i="70"/>
  <c r="AV490" i="70"/>
  <c r="AO490" i="70" s="1"/>
  <c r="AS474" i="70"/>
  <c r="AV474" i="70"/>
  <c r="AO474" i="70" s="1"/>
  <c r="AS458" i="70"/>
  <c r="AV458" i="70"/>
  <c r="AO458" i="70" s="1"/>
  <c r="AS442" i="70"/>
  <c r="AV442" i="70"/>
  <c r="AO442" i="70" s="1"/>
  <c r="AS426" i="70"/>
  <c r="AV426" i="70"/>
  <c r="AO426" i="70" s="1"/>
  <c r="AS410" i="70"/>
  <c r="AV410" i="70"/>
  <c r="AO410" i="70" s="1"/>
  <c r="AS394" i="70"/>
  <c r="AV394" i="70"/>
  <c r="AO394" i="70" s="1"/>
  <c r="AS378" i="70"/>
  <c r="AV378" i="70"/>
  <c r="AS362" i="70"/>
  <c r="AV362" i="70"/>
  <c r="AO362" i="70" s="1"/>
  <c r="AS346" i="70"/>
  <c r="AV346" i="70"/>
  <c r="AO346" i="70" s="1"/>
  <c r="AS330" i="70"/>
  <c r="AV330" i="70"/>
  <c r="BE330" i="70" s="1"/>
  <c r="AS314" i="70"/>
  <c r="AV314" i="70"/>
  <c r="AO314" i="70" s="1"/>
  <c r="AS298" i="70"/>
  <c r="AV298" i="70"/>
  <c r="AO298" i="70" s="1"/>
  <c r="AS282" i="70"/>
  <c r="AV282" i="70"/>
  <c r="AO282" i="70" s="1"/>
  <c r="AS266" i="70"/>
  <c r="AV266" i="70"/>
  <c r="AO266" i="70" s="1"/>
  <c r="AS250" i="70"/>
  <c r="AV250" i="70"/>
  <c r="AO250" i="70" s="1"/>
  <c r="AS234" i="70"/>
  <c r="AV234" i="70"/>
  <c r="AS218" i="70"/>
  <c r="AV218" i="70"/>
  <c r="BE218" i="70" s="1"/>
  <c r="AS200" i="70"/>
  <c r="AV200" i="70"/>
  <c r="AO200" i="70" s="1"/>
  <c r="AS178" i="70"/>
  <c r="AV178" i="70"/>
  <c r="AO178" i="70" s="1"/>
  <c r="AS157" i="70"/>
  <c r="AV157" i="70"/>
  <c r="AO157" i="70" s="1"/>
  <c r="AS136" i="70"/>
  <c r="AV136" i="70"/>
  <c r="AO136" i="70" s="1"/>
  <c r="AS114" i="70"/>
  <c r="AV114" i="70"/>
  <c r="AO114" i="70" s="1"/>
  <c r="AS93" i="70"/>
  <c r="AV93" i="70"/>
  <c r="AO93" i="70" s="1"/>
  <c r="AS61" i="70"/>
  <c r="AV61" i="70"/>
  <c r="AO61" i="70" s="1"/>
  <c r="AS29" i="70"/>
  <c r="AV29" i="70"/>
  <c r="AO29" i="70" s="1"/>
  <c r="AS80" i="70"/>
  <c r="AV80" i="70"/>
  <c r="AO80" i="70" s="1"/>
  <c r="AS64" i="70"/>
  <c r="AV64" i="70"/>
  <c r="AO64" i="70" s="1"/>
  <c r="AS48" i="70"/>
  <c r="AV48" i="70"/>
  <c r="AO48" i="70" s="1"/>
  <c r="AS32" i="70"/>
  <c r="AV32" i="70"/>
  <c r="AO32" i="70" s="1"/>
  <c r="AS203" i="70"/>
  <c r="AV203" i="70"/>
  <c r="AO203" i="70" s="1"/>
  <c r="AS187" i="70"/>
  <c r="AV187" i="70"/>
  <c r="AO187" i="70" s="1"/>
  <c r="AS171" i="70"/>
  <c r="AV171" i="70"/>
  <c r="AO171" i="70" s="1"/>
  <c r="AS155" i="70"/>
  <c r="AV155" i="70"/>
  <c r="AO155" i="70" s="1"/>
  <c r="AS139" i="70"/>
  <c r="AV139" i="70"/>
  <c r="AO139" i="70" s="1"/>
  <c r="AS123" i="70"/>
  <c r="AV123" i="70"/>
  <c r="AO123" i="70" s="1"/>
  <c r="AS107" i="70"/>
  <c r="AV107" i="70"/>
  <c r="AO107" i="70" s="1"/>
  <c r="AS91" i="70"/>
  <c r="AV91" i="70"/>
  <c r="AO91" i="70" s="1"/>
  <c r="AS75" i="70"/>
  <c r="AV75" i="70"/>
  <c r="AO75" i="70" s="1"/>
  <c r="AS59" i="70"/>
  <c r="AV59" i="70"/>
  <c r="AO59" i="70" s="1"/>
  <c r="AS43" i="70"/>
  <c r="AV43" i="70"/>
  <c r="AO43" i="70" s="1"/>
  <c r="AS27" i="70"/>
  <c r="AV27" i="70"/>
  <c r="AO27" i="70" s="1"/>
  <c r="AS232" i="70"/>
  <c r="AV232" i="70"/>
  <c r="BE232" i="70" s="1"/>
  <c r="AS296" i="70"/>
  <c r="AV296" i="70"/>
  <c r="AO296" i="70" s="1"/>
  <c r="AS368" i="70"/>
  <c r="AV368" i="70"/>
  <c r="AO368" i="70" s="1"/>
  <c r="AS432" i="70"/>
  <c r="AV432" i="70"/>
  <c r="AO432" i="70" s="1"/>
  <c r="AS496" i="70"/>
  <c r="AV496" i="70"/>
  <c r="AO496" i="70" s="1"/>
  <c r="AS547" i="70"/>
  <c r="AV547" i="70"/>
  <c r="AO547" i="70" s="1"/>
  <c r="AS589" i="70"/>
  <c r="AV589" i="70"/>
  <c r="BE589" i="70" s="1"/>
  <c r="AS623" i="70"/>
  <c r="AV623" i="70"/>
  <c r="AO623" i="70" s="1"/>
  <c r="AS655" i="70"/>
  <c r="AV655" i="70"/>
  <c r="AO655" i="70" s="1"/>
  <c r="AS683" i="70"/>
  <c r="AV683" i="70"/>
  <c r="AO683" i="70" s="1"/>
  <c r="AS715" i="70"/>
  <c r="AV715" i="70"/>
  <c r="AS217" i="70"/>
  <c r="AV217" i="70"/>
  <c r="BE217" i="70" s="1"/>
  <c r="AS321" i="70"/>
  <c r="AV321" i="70"/>
  <c r="AO321" i="70" s="1"/>
  <c r="AS385" i="70"/>
  <c r="AV385" i="70"/>
  <c r="AO385" i="70" s="1"/>
  <c r="AS441" i="70"/>
  <c r="AV441" i="70"/>
  <c r="AO441" i="70" s="1"/>
  <c r="AS505" i="70"/>
  <c r="AV505" i="70"/>
  <c r="AO505" i="70" s="1"/>
  <c r="AS553" i="70"/>
  <c r="AV553" i="70"/>
  <c r="AO553" i="70" s="1"/>
  <c r="AS596" i="70"/>
  <c r="AV596" i="70"/>
  <c r="BE596" i="70" s="1"/>
  <c r="AS624" i="70"/>
  <c r="AV624" i="70"/>
  <c r="AO624" i="70" s="1"/>
  <c r="AS656" i="70"/>
  <c r="AV656" i="70"/>
  <c r="AO656" i="70" s="1"/>
  <c r="AS688" i="70"/>
  <c r="AV688" i="70"/>
  <c r="AO688" i="70" s="1"/>
  <c r="AS720" i="70"/>
  <c r="AV720" i="70"/>
  <c r="AS66" i="70"/>
  <c r="AV66" i="70"/>
  <c r="AO66" i="70" s="1"/>
  <c r="AS118" i="70"/>
  <c r="AV118" i="70"/>
  <c r="AO118" i="70" s="1"/>
  <c r="AS161" i="70"/>
  <c r="AV161" i="70"/>
  <c r="AO161" i="70" s="1"/>
  <c r="AS204" i="70"/>
  <c r="AV204" i="70"/>
  <c r="AO204" i="70" s="1"/>
  <c r="AS237" i="70"/>
  <c r="AV237" i="70"/>
  <c r="AO237" i="70" s="1"/>
  <c r="AS269" i="70"/>
  <c r="AV269" i="70"/>
  <c r="AO269" i="70" s="1"/>
  <c r="AS301" i="70"/>
  <c r="AV301" i="70"/>
  <c r="AO301" i="70" s="1"/>
  <c r="AS333" i="70"/>
  <c r="AV333" i="70"/>
  <c r="BE333" i="70" s="1"/>
  <c r="AS365" i="70"/>
  <c r="AV365" i="70"/>
  <c r="AO365" i="70" s="1"/>
  <c r="AS397" i="70"/>
  <c r="AV397" i="70"/>
  <c r="AO397" i="70" s="1"/>
  <c r="AS429" i="70"/>
  <c r="AV429" i="70"/>
  <c r="AO429" i="70" s="1"/>
  <c r="AS461" i="70"/>
  <c r="AV461" i="70"/>
  <c r="AO461" i="70" s="1"/>
  <c r="AS493" i="70"/>
  <c r="AV493" i="70"/>
  <c r="AO493" i="70" s="1"/>
  <c r="AS524" i="70"/>
  <c r="AV524" i="70"/>
  <c r="AO524" i="70" s="1"/>
  <c r="AS545" i="70"/>
  <c r="AV545" i="70"/>
  <c r="AO545" i="70" s="1"/>
  <c r="AS567" i="70"/>
  <c r="AV567" i="70"/>
  <c r="AS588" i="70"/>
  <c r="AV588" i="70"/>
  <c r="BE588" i="70" s="1"/>
  <c r="AS606" i="70"/>
  <c r="AV606" i="70"/>
  <c r="AO606" i="70" s="1"/>
  <c r="AS622" i="70"/>
  <c r="AV622" i="70"/>
  <c r="AO622" i="70" s="1"/>
  <c r="AS638" i="70"/>
  <c r="AV638" i="70"/>
  <c r="AO638" i="70" s="1"/>
  <c r="AS654" i="70"/>
  <c r="AV654" i="70"/>
  <c r="AO654" i="70" s="1"/>
  <c r="AS670" i="70"/>
  <c r="AV670" i="70"/>
  <c r="AO670" i="70" s="1"/>
  <c r="AS686" i="70"/>
  <c r="AV686" i="70"/>
  <c r="AO686" i="70" s="1"/>
  <c r="AS702" i="70"/>
  <c r="AV702" i="70"/>
  <c r="AS718" i="70"/>
  <c r="AV718" i="70"/>
  <c r="AS734" i="70"/>
  <c r="AV734" i="70"/>
  <c r="AS186" i="70"/>
  <c r="AV186" i="70"/>
  <c r="AO186" i="70" s="1"/>
  <c r="AS256" i="70"/>
  <c r="AV256" i="70"/>
  <c r="AO256" i="70" s="1"/>
  <c r="AS328" i="70"/>
  <c r="AV328" i="70"/>
  <c r="BE328" i="70" s="1"/>
  <c r="AS392" i="70"/>
  <c r="AV392" i="70"/>
  <c r="AO392" i="70" s="1"/>
  <c r="AS456" i="70"/>
  <c r="AV456" i="70"/>
  <c r="AO456" i="70" s="1"/>
  <c r="AS520" i="70"/>
  <c r="AV520" i="70"/>
  <c r="AO520" i="70" s="1"/>
  <c r="AS563" i="70"/>
  <c r="AV563" i="70"/>
  <c r="AS603" i="70"/>
  <c r="AV603" i="70"/>
  <c r="AO603" i="70" s="1"/>
  <c r="AS635" i="70"/>
  <c r="AV635" i="70"/>
  <c r="AO635" i="70" s="1"/>
  <c r="AS671" i="70"/>
  <c r="AV671" i="70"/>
  <c r="AO671" i="70" s="1"/>
  <c r="AS703" i="70"/>
  <c r="AV703" i="70"/>
  <c r="AS735" i="70"/>
  <c r="AV735" i="70"/>
  <c r="AS225" i="70"/>
  <c r="AV225" i="70"/>
  <c r="BE225" i="70" s="1"/>
  <c r="AS313" i="70"/>
  <c r="AV313" i="70"/>
  <c r="AO313" i="70" s="1"/>
  <c r="AS377" i="70"/>
  <c r="AV377" i="70"/>
  <c r="AO377" i="70" s="1"/>
  <c r="AS449" i="70"/>
  <c r="AV449" i="70"/>
  <c r="AO449" i="70" s="1"/>
  <c r="AS513" i="70"/>
  <c r="AV513" i="70"/>
  <c r="AO513" i="70" s="1"/>
  <c r="AS559" i="70"/>
  <c r="AV559" i="70"/>
  <c r="AS600" i="70"/>
  <c r="AV600" i="70"/>
  <c r="AO600" i="70" s="1"/>
  <c r="AS636" i="70"/>
  <c r="AV636" i="70"/>
  <c r="AO636" i="70" s="1"/>
  <c r="AS668" i="70"/>
  <c r="AV668" i="70"/>
  <c r="AO668" i="70" s="1"/>
  <c r="AS700" i="70"/>
  <c r="AV700" i="70"/>
  <c r="AO700" i="70" s="1"/>
  <c r="AS736" i="70"/>
  <c r="AV736" i="70"/>
  <c r="AS112" i="70"/>
  <c r="AV112" i="70"/>
  <c r="AO112" i="70" s="1"/>
  <c r="AS15" i="70"/>
  <c r="AV15" i="70"/>
  <c r="AO15" i="70" s="1"/>
  <c r="AS90" i="70"/>
  <c r="AV90" i="70"/>
  <c r="AO90" i="70" s="1"/>
  <c r="AS10" i="70"/>
  <c r="AV10" i="70"/>
  <c r="AO10" i="70" s="1"/>
  <c r="AS41" i="70"/>
  <c r="AV41" i="70"/>
  <c r="AO41" i="70" s="1"/>
  <c r="AS144" i="70"/>
  <c r="AV144" i="70"/>
  <c r="AO144" i="70" s="1"/>
  <c r="AS165" i="70"/>
  <c r="AV165" i="70"/>
  <c r="AO165" i="70" s="1"/>
  <c r="AS34" i="70"/>
  <c r="AV34" i="70"/>
  <c r="AO34" i="70" s="1"/>
  <c r="AT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T745" i="70" l="1"/>
  <c r="BE755" i="70"/>
  <c r="BC763" i="70"/>
  <c r="BB763" i="70"/>
  <c r="BC761" i="70"/>
  <c r="BB761" i="70"/>
  <c r="BC42" i="70"/>
  <c r="BB42" i="70"/>
  <c r="BC113" i="70"/>
  <c r="BB113" i="70"/>
  <c r="BC708" i="70"/>
  <c r="BB708" i="70"/>
  <c r="BC329" i="70"/>
  <c r="BB329" i="70"/>
  <c r="BE611" i="70"/>
  <c r="BC531" i="70"/>
  <c r="BB531" i="70"/>
  <c r="BC272" i="70"/>
  <c r="BB272" i="70"/>
  <c r="BC706" i="70"/>
  <c r="BB706" i="70"/>
  <c r="BC642" i="70"/>
  <c r="BB642" i="70"/>
  <c r="BC469" i="70"/>
  <c r="BB469" i="70"/>
  <c r="BC341" i="70"/>
  <c r="BB341" i="70"/>
  <c r="BC213" i="70"/>
  <c r="BB213" i="70"/>
  <c r="BC604" i="70"/>
  <c r="BB604" i="70"/>
  <c r="BC401" i="70"/>
  <c r="BB401" i="70"/>
  <c r="BC691" i="70"/>
  <c r="BB691" i="70"/>
  <c r="BC304" i="70"/>
  <c r="BB304" i="70"/>
  <c r="BC55" i="70"/>
  <c r="BB55" i="70"/>
  <c r="BC119" i="70"/>
  <c r="BB119" i="70"/>
  <c r="BC183" i="70"/>
  <c r="BB183" i="70"/>
  <c r="BC60" i="70"/>
  <c r="BB60" i="70"/>
  <c r="BC85" i="70"/>
  <c r="BB85" i="70"/>
  <c r="BC173" i="70"/>
  <c r="BB173" i="70"/>
  <c r="BC246" i="70"/>
  <c r="BB246" i="70"/>
  <c r="BC374" i="70"/>
  <c r="BB374" i="70"/>
  <c r="BC438" i="70"/>
  <c r="BB438" i="70"/>
  <c r="BC94" i="70"/>
  <c r="BB94" i="70"/>
  <c r="BC180" i="70"/>
  <c r="BB180" i="70"/>
  <c r="BC251" i="70"/>
  <c r="BB251" i="70"/>
  <c r="BC379" i="70"/>
  <c r="BB379" i="70"/>
  <c r="BC443" i="70"/>
  <c r="BB443" i="70"/>
  <c r="BC709" i="70"/>
  <c r="BB709" i="70"/>
  <c r="BC645" i="70"/>
  <c r="BB645" i="70"/>
  <c r="BE613" i="70"/>
  <c r="BC576" i="70"/>
  <c r="BB576" i="70"/>
  <c r="BC476" i="70"/>
  <c r="BB476" i="70"/>
  <c r="BC348" i="70"/>
  <c r="BB348" i="70"/>
  <c r="BC220" i="70"/>
  <c r="BB220" i="70"/>
  <c r="BC592" i="70"/>
  <c r="BB592" i="70"/>
  <c r="BC170" i="70"/>
  <c r="BB170" i="70"/>
  <c r="BE753" i="70"/>
  <c r="BC751" i="70"/>
  <c r="BB751" i="70"/>
  <c r="BE769" i="70"/>
  <c r="BE766" i="70"/>
  <c r="BC780" i="70"/>
  <c r="BB780" i="70"/>
  <c r="BC781" i="70"/>
  <c r="BB781" i="70"/>
  <c r="BC41" i="70"/>
  <c r="BB41" i="70"/>
  <c r="BC112" i="70"/>
  <c r="BB112" i="70"/>
  <c r="BC636" i="70"/>
  <c r="BB636" i="70"/>
  <c r="BC449" i="70"/>
  <c r="BB449" i="70"/>
  <c r="BC603" i="70"/>
  <c r="BB603" i="70"/>
  <c r="BC392" i="70"/>
  <c r="BB392" i="70"/>
  <c r="BC606" i="70"/>
  <c r="BB606" i="70"/>
  <c r="BC524" i="70"/>
  <c r="BB524" i="70"/>
  <c r="BC397" i="70"/>
  <c r="BB397" i="70"/>
  <c r="BC269" i="70"/>
  <c r="BB269" i="70"/>
  <c r="BC118" i="70"/>
  <c r="BB118" i="70"/>
  <c r="BC656" i="70"/>
  <c r="BB656" i="70"/>
  <c r="BC217" i="70"/>
  <c r="BB217" i="70"/>
  <c r="BC623" i="70"/>
  <c r="BB623" i="70"/>
  <c r="BC432" i="70"/>
  <c r="BB432" i="70"/>
  <c r="BC27" i="70"/>
  <c r="BB27" i="70"/>
  <c r="BC91" i="70"/>
  <c r="BB91" i="70"/>
  <c r="BC155" i="70"/>
  <c r="BB155" i="70"/>
  <c r="BC32" i="70"/>
  <c r="BB32" i="70"/>
  <c r="BC29" i="70"/>
  <c r="BB29" i="70"/>
  <c r="BC136" i="70"/>
  <c r="BB136" i="70"/>
  <c r="BC218" i="70"/>
  <c r="BB218" i="70"/>
  <c r="BC282" i="70"/>
  <c r="BB282" i="70"/>
  <c r="BC346" i="70"/>
  <c r="BB346" i="70"/>
  <c r="BC410" i="70"/>
  <c r="BB410" i="70"/>
  <c r="BC474" i="70"/>
  <c r="BB474" i="70"/>
  <c r="BC538" i="70"/>
  <c r="BB538" i="70"/>
  <c r="BC38" i="70"/>
  <c r="BB38" i="70"/>
  <c r="BC142" i="70"/>
  <c r="BB142" i="70"/>
  <c r="BC223" i="70"/>
  <c r="BB223" i="70"/>
  <c r="BC287" i="70"/>
  <c r="BB287" i="70"/>
  <c r="BC351" i="70"/>
  <c r="BB351" i="70"/>
  <c r="BC479" i="70"/>
  <c r="BB479" i="70"/>
  <c r="BC689" i="70"/>
  <c r="BB689" i="70"/>
  <c r="BC244" i="70"/>
  <c r="BB244" i="70"/>
  <c r="BC783" i="70"/>
  <c r="BB783" i="70"/>
  <c r="BC785" i="70"/>
  <c r="BB785" i="70"/>
  <c r="BC289" i="70"/>
  <c r="BB289" i="70"/>
  <c r="BC89" i="70"/>
  <c r="BB89" i="70"/>
  <c r="BC628" i="70"/>
  <c r="BB628" i="70"/>
  <c r="BC433" i="70"/>
  <c r="BB433" i="70"/>
  <c r="BC595" i="70"/>
  <c r="BB595" i="70"/>
  <c r="BC376" i="70"/>
  <c r="BB376" i="70"/>
  <c r="BC602" i="70"/>
  <c r="BB602" i="70"/>
  <c r="BC517" i="70"/>
  <c r="BB517" i="70"/>
  <c r="BC389" i="70"/>
  <c r="BB389" i="70"/>
  <c r="BC261" i="70"/>
  <c r="BB261" i="70"/>
  <c r="BC648" i="70"/>
  <c r="BB648" i="70"/>
  <c r="BC489" i="70"/>
  <c r="BB489" i="70"/>
  <c r="BC198" i="70"/>
  <c r="BB198" i="70"/>
  <c r="BC615" i="70"/>
  <c r="BB615" i="70"/>
  <c r="BC31" i="70"/>
  <c r="BB31" i="70"/>
  <c r="BC95" i="70"/>
  <c r="BB95" i="70"/>
  <c r="BC159" i="70"/>
  <c r="BB159" i="70"/>
  <c r="BC36" i="70"/>
  <c r="BB36" i="70"/>
  <c r="BC37" i="70"/>
  <c r="BB37" i="70"/>
  <c r="BC141" i="70"/>
  <c r="BB141" i="70"/>
  <c r="BC222" i="70"/>
  <c r="BB222" i="70"/>
  <c r="BC286" i="70"/>
  <c r="BB286" i="70"/>
  <c r="BC350" i="70"/>
  <c r="BB350" i="70"/>
  <c r="BC478" i="70"/>
  <c r="BB478" i="70"/>
  <c r="BC542" i="70"/>
  <c r="BB542" i="70"/>
  <c r="BC46" i="70"/>
  <c r="BB46" i="70"/>
  <c r="BC148" i="70"/>
  <c r="BB148" i="70"/>
  <c r="BC227" i="70"/>
  <c r="BB227" i="70"/>
  <c r="BC291" i="70"/>
  <c r="BB291" i="70"/>
  <c r="BC355" i="70"/>
  <c r="BB355" i="70"/>
  <c r="BC483" i="70"/>
  <c r="BB483" i="70"/>
  <c r="BC605" i="70"/>
  <c r="BB605" i="70"/>
  <c r="BC523" i="70"/>
  <c r="BB523" i="70"/>
  <c r="BC396" i="70"/>
  <c r="BB396" i="70"/>
  <c r="BC268" i="70"/>
  <c r="BB268" i="70"/>
  <c r="BC117" i="70"/>
  <c r="BB117" i="70"/>
  <c r="BC388" i="70"/>
  <c r="BB388" i="70"/>
  <c r="BC149" i="70"/>
  <c r="BB149" i="70"/>
  <c r="BC20" i="70"/>
  <c r="BB20" i="70"/>
  <c r="BE747" i="70"/>
  <c r="BE764" i="70"/>
  <c r="BC748" i="70"/>
  <c r="BB748" i="70"/>
  <c r="BC775" i="70"/>
  <c r="BB775" i="70"/>
  <c r="BE784" i="70"/>
  <c r="BC773" i="70"/>
  <c r="BB773" i="70"/>
  <c r="BC134" i="70"/>
  <c r="BB134" i="70"/>
  <c r="BC716" i="70"/>
  <c r="BB716" i="70"/>
  <c r="BE616" i="70"/>
  <c r="BC580" i="70"/>
  <c r="BB580" i="70"/>
  <c r="BC345" i="70"/>
  <c r="BB345" i="70"/>
  <c r="BC687" i="70"/>
  <c r="BB687" i="70"/>
  <c r="BC541" i="70"/>
  <c r="BB541" i="70"/>
  <c r="BC288" i="70"/>
  <c r="BB288" i="70"/>
  <c r="BC710" i="70"/>
  <c r="BB710" i="70"/>
  <c r="BC646" i="70"/>
  <c r="BB646" i="70"/>
  <c r="BE598" i="70"/>
  <c r="BC577" i="70"/>
  <c r="BB577" i="70"/>
  <c r="BC477" i="70"/>
  <c r="BB477" i="70"/>
  <c r="BC349" i="70"/>
  <c r="BB349" i="70"/>
  <c r="BC221" i="70"/>
  <c r="BB221" i="70"/>
  <c r="BC612" i="70"/>
  <c r="BB612" i="70"/>
  <c r="BC409" i="70"/>
  <c r="BB409" i="70"/>
  <c r="BC699" i="70"/>
  <c r="BB699" i="70"/>
  <c r="BC51" i="70"/>
  <c r="BB51" i="70"/>
  <c r="BC115" i="70"/>
  <c r="BB115" i="70"/>
  <c r="BC179" i="70"/>
  <c r="BB179" i="70"/>
  <c r="BC56" i="70"/>
  <c r="BB56" i="70"/>
  <c r="BC168" i="70"/>
  <c r="BB168" i="70"/>
  <c r="BC242" i="70"/>
  <c r="BB242" i="70"/>
  <c r="BC370" i="70"/>
  <c r="BB370" i="70"/>
  <c r="BC434" i="70"/>
  <c r="BB434" i="70"/>
  <c r="BC86" i="70"/>
  <c r="BB86" i="70"/>
  <c r="BC174" i="70"/>
  <c r="BB174" i="70"/>
  <c r="BC247" i="70"/>
  <c r="BB247" i="70"/>
  <c r="BC375" i="70"/>
  <c r="BB375" i="70"/>
  <c r="BC439" i="70"/>
  <c r="BB439" i="70"/>
  <c r="BC713" i="70"/>
  <c r="BB713" i="70"/>
  <c r="BC649" i="70"/>
  <c r="BB649" i="70"/>
  <c r="BE617" i="70"/>
  <c r="BC581" i="70"/>
  <c r="BB581" i="70"/>
  <c r="BC49" i="70"/>
  <c r="BB49" i="70"/>
  <c r="BC609" i="70"/>
  <c r="BB609" i="70"/>
  <c r="BC212" i="70"/>
  <c r="BB212" i="70"/>
  <c r="AT747" i="70"/>
  <c r="BC749" i="70"/>
  <c r="BB749" i="70"/>
  <c r="BC765" i="70"/>
  <c r="BB765" i="70"/>
  <c r="BE777" i="70"/>
  <c r="BE754" i="70"/>
  <c r="BC767" i="70"/>
  <c r="BB767" i="70"/>
  <c r="BE782" i="70"/>
  <c r="BC177" i="70"/>
  <c r="BB177" i="70"/>
  <c r="BC145" i="70"/>
  <c r="BB145" i="70"/>
  <c r="BC18" i="70"/>
  <c r="BB18" i="70"/>
  <c r="BC25" i="70"/>
  <c r="BB25" i="70"/>
  <c r="BC608" i="70"/>
  <c r="BB608" i="70"/>
  <c r="BC393" i="70"/>
  <c r="BB393" i="70"/>
  <c r="BC711" i="70"/>
  <c r="BB711" i="70"/>
  <c r="BC344" i="70"/>
  <c r="BB344" i="70"/>
  <c r="BC722" i="70"/>
  <c r="BB722" i="70"/>
  <c r="BC658" i="70"/>
  <c r="BB658" i="70"/>
  <c r="BE610" i="70"/>
  <c r="BC593" i="70"/>
  <c r="BB593" i="70"/>
  <c r="BC373" i="70"/>
  <c r="BB373" i="70"/>
  <c r="BC245" i="70"/>
  <c r="BB245" i="70"/>
  <c r="BC82" i="70"/>
  <c r="BB82" i="70"/>
  <c r="BC632" i="70"/>
  <c r="BB632" i="70"/>
  <c r="BC457" i="70"/>
  <c r="BB457" i="70"/>
  <c r="BC599" i="70"/>
  <c r="BB599" i="70"/>
  <c r="BC384" i="70"/>
  <c r="BB384" i="70"/>
  <c r="BC39" i="70"/>
  <c r="BB39" i="70"/>
  <c r="BC167" i="70"/>
  <c r="BB167" i="70"/>
  <c r="BC44" i="70"/>
  <c r="BB44" i="70"/>
  <c r="BC53" i="70"/>
  <c r="BB53" i="70"/>
  <c r="BC152" i="70"/>
  <c r="BB152" i="70"/>
  <c r="BC230" i="70"/>
  <c r="BB230" i="70"/>
  <c r="BC294" i="70"/>
  <c r="BB294" i="70"/>
  <c r="BC358" i="70"/>
  <c r="BB358" i="70"/>
  <c r="BC486" i="70"/>
  <c r="BB486" i="70"/>
  <c r="BC550" i="70"/>
  <c r="BB550" i="70"/>
  <c r="BC62" i="70"/>
  <c r="BB62" i="70"/>
  <c r="BC158" i="70"/>
  <c r="BB158" i="70"/>
  <c r="BC235" i="70"/>
  <c r="BB235" i="70"/>
  <c r="BC299" i="70"/>
  <c r="BB299" i="70"/>
  <c r="BC363" i="70"/>
  <c r="BB363" i="70"/>
  <c r="BC491" i="70"/>
  <c r="BB491" i="70"/>
  <c r="BC597" i="70"/>
  <c r="BB597" i="70"/>
  <c r="BC380" i="70"/>
  <c r="BB380" i="70"/>
  <c r="BC252" i="70"/>
  <c r="BB252" i="70"/>
  <c r="BC657" i="70"/>
  <c r="BB657" i="70"/>
  <c r="BC276" i="70"/>
  <c r="BB276" i="70"/>
  <c r="BE758" i="70"/>
  <c r="BC766" i="70"/>
  <c r="BB766" i="70"/>
  <c r="BE757" i="70"/>
  <c r="BE770" i="70"/>
  <c r="BC768" i="70"/>
  <c r="BB768" i="70"/>
  <c r="BC144" i="70"/>
  <c r="BB144" i="70"/>
  <c r="BC15" i="70"/>
  <c r="BB15" i="70"/>
  <c r="BC513" i="70"/>
  <c r="BB513" i="70"/>
  <c r="BC225" i="70"/>
  <c r="BB225" i="70"/>
  <c r="BC635" i="70"/>
  <c r="BB635" i="70"/>
  <c r="BC456" i="70"/>
  <c r="BB456" i="70"/>
  <c r="BC186" i="70"/>
  <c r="BB186" i="70"/>
  <c r="BC686" i="70"/>
  <c r="BB686" i="70"/>
  <c r="BC622" i="70"/>
  <c r="BB622" i="70"/>
  <c r="BC545" i="70"/>
  <c r="BB545" i="70"/>
  <c r="BC301" i="70"/>
  <c r="BB301" i="70"/>
  <c r="BC161" i="70"/>
  <c r="BB161" i="70"/>
  <c r="BC688" i="70"/>
  <c r="BB688" i="70"/>
  <c r="BC553" i="70"/>
  <c r="BB553" i="70"/>
  <c r="BC655" i="70"/>
  <c r="BB655" i="70"/>
  <c r="BC232" i="70"/>
  <c r="BB232" i="70"/>
  <c r="BC139" i="70"/>
  <c r="BB139" i="70"/>
  <c r="BC203" i="70"/>
  <c r="BB203" i="70"/>
  <c r="BC114" i="70"/>
  <c r="BB114" i="70"/>
  <c r="BC200" i="70"/>
  <c r="BB200" i="70"/>
  <c r="BC266" i="70"/>
  <c r="BB266" i="70"/>
  <c r="BC330" i="70"/>
  <c r="BB330" i="70"/>
  <c r="BC394" i="70"/>
  <c r="BB394" i="70"/>
  <c r="BC458" i="70"/>
  <c r="BB458" i="70"/>
  <c r="BC522" i="70"/>
  <c r="BB522" i="70"/>
  <c r="BC586" i="70"/>
  <c r="BB586" i="70"/>
  <c r="BC121" i="70"/>
  <c r="BB121" i="70"/>
  <c r="BC206" i="70"/>
  <c r="BB206" i="70"/>
  <c r="BC271" i="70"/>
  <c r="BB271" i="70"/>
  <c r="BC335" i="70"/>
  <c r="BB335" i="70"/>
  <c r="BC399" i="70"/>
  <c r="BB399" i="70"/>
  <c r="BC463" i="70"/>
  <c r="BB463" i="70"/>
  <c r="BC705" i="70"/>
  <c r="BB705" i="70"/>
  <c r="BC436" i="70"/>
  <c r="BB436" i="70"/>
  <c r="BE745" i="70"/>
  <c r="BE760" i="70"/>
  <c r="BC746" i="70"/>
  <c r="BB746" i="70"/>
  <c r="BE759" i="70"/>
  <c r="BC772" i="70"/>
  <c r="BB772" i="70"/>
  <c r="BE778" i="70"/>
  <c r="BC771" i="70"/>
  <c r="BB771" i="70"/>
  <c r="BC122" i="70"/>
  <c r="BB122" i="70"/>
  <c r="BC7" i="70"/>
  <c r="BB7" i="70"/>
  <c r="BC209" i="70"/>
  <c r="BB209" i="70"/>
  <c r="BC627" i="70"/>
  <c r="BB627" i="70"/>
  <c r="BC440" i="70"/>
  <c r="BB440" i="70"/>
  <c r="BC21" i="70"/>
  <c r="BB21" i="70"/>
  <c r="BC682" i="70"/>
  <c r="BB682" i="70"/>
  <c r="BC618" i="70"/>
  <c r="BB618" i="70"/>
  <c r="BC540" i="70"/>
  <c r="BB540" i="70"/>
  <c r="BC293" i="70"/>
  <c r="BB293" i="70"/>
  <c r="BC150" i="70"/>
  <c r="BB150" i="70"/>
  <c r="BC543" i="70"/>
  <c r="BB543" i="70"/>
  <c r="BC273" i="70"/>
  <c r="BB273" i="70"/>
  <c r="BC647" i="70"/>
  <c r="BB647" i="70"/>
  <c r="BC480" i="70"/>
  <c r="BB480" i="70"/>
  <c r="BC216" i="70"/>
  <c r="BB216" i="70"/>
  <c r="BC143" i="70"/>
  <c r="BB143" i="70"/>
  <c r="BC207" i="70"/>
  <c r="BB207" i="70"/>
  <c r="BC84" i="70"/>
  <c r="BB84" i="70"/>
  <c r="BC120" i="70"/>
  <c r="BB120" i="70"/>
  <c r="BC205" i="70"/>
  <c r="BB205" i="70"/>
  <c r="BC270" i="70"/>
  <c r="BB270" i="70"/>
  <c r="BC334" i="70"/>
  <c r="BB334" i="70"/>
  <c r="BC398" i="70"/>
  <c r="BB398" i="70"/>
  <c r="BC462" i="70"/>
  <c r="BB462" i="70"/>
  <c r="BC526" i="70"/>
  <c r="BB526" i="70"/>
  <c r="BC590" i="70"/>
  <c r="BB590" i="70"/>
  <c r="BC126" i="70"/>
  <c r="BB126" i="70"/>
  <c r="BC211" i="70"/>
  <c r="BB211" i="70"/>
  <c r="BC275" i="70"/>
  <c r="BB275" i="70"/>
  <c r="BC339" i="70"/>
  <c r="BB339" i="70"/>
  <c r="BC403" i="70"/>
  <c r="BB403" i="70"/>
  <c r="BC467" i="70"/>
  <c r="BB467" i="70"/>
  <c r="BC16" i="70"/>
  <c r="BB16" i="70"/>
  <c r="BC685" i="70"/>
  <c r="BB685" i="70"/>
  <c r="BC621" i="70"/>
  <c r="BB621" i="70"/>
  <c r="BC544" i="70"/>
  <c r="BB544" i="70"/>
  <c r="BC300" i="70"/>
  <c r="BB300" i="70"/>
  <c r="BC160" i="70"/>
  <c r="BB160" i="70"/>
  <c r="BC452" i="70"/>
  <c r="BB452" i="70"/>
  <c r="BC228" i="70"/>
  <c r="BB228" i="70"/>
  <c r="BC33" i="70"/>
  <c r="BB33" i="70"/>
  <c r="BC404" i="70"/>
  <c r="BB404" i="70"/>
  <c r="BC764" i="70"/>
  <c r="BB764" i="70"/>
  <c r="BE762" i="70"/>
  <c r="BC752" i="70"/>
  <c r="BB752" i="70"/>
  <c r="BE756" i="70"/>
  <c r="BC784" i="70"/>
  <c r="BB784" i="70"/>
  <c r="BE779" i="70"/>
  <c r="BC124" i="70"/>
  <c r="BB124" i="70"/>
  <c r="BC9" i="70"/>
  <c r="BB9" i="70"/>
  <c r="BC57" i="70"/>
  <c r="BB57" i="70"/>
  <c r="BC616" i="70"/>
  <c r="BB616" i="70"/>
  <c r="BC719" i="70"/>
  <c r="BB719" i="70"/>
  <c r="BC584" i="70"/>
  <c r="BB584" i="70"/>
  <c r="BC360" i="70"/>
  <c r="BB360" i="70"/>
  <c r="BE614" i="70"/>
  <c r="BC598" i="70"/>
  <c r="BB598" i="70"/>
  <c r="BC381" i="70"/>
  <c r="BB381" i="70"/>
  <c r="BC253" i="70"/>
  <c r="BB253" i="70"/>
  <c r="BC640" i="70"/>
  <c r="BB640" i="70"/>
  <c r="BC473" i="70"/>
  <c r="BB473" i="70"/>
  <c r="BC607" i="70"/>
  <c r="BB607" i="70"/>
  <c r="BC400" i="70"/>
  <c r="BB400" i="70"/>
  <c r="BC35" i="70"/>
  <c r="BB35" i="70"/>
  <c r="BC163" i="70"/>
  <c r="BB163" i="70"/>
  <c r="BC40" i="70"/>
  <c r="BB40" i="70"/>
  <c r="BC45" i="70"/>
  <c r="BB45" i="70"/>
  <c r="BC146" i="70"/>
  <c r="BB146" i="70"/>
  <c r="BC226" i="70"/>
  <c r="BB226" i="70"/>
  <c r="BC290" i="70"/>
  <c r="BB290" i="70"/>
  <c r="BC354" i="70"/>
  <c r="BB354" i="70"/>
  <c r="BC482" i="70"/>
  <c r="BB482" i="70"/>
  <c r="BC546" i="70"/>
  <c r="BB546" i="70"/>
  <c r="BC54" i="70"/>
  <c r="BB54" i="70"/>
  <c r="BC153" i="70"/>
  <c r="BB153" i="70"/>
  <c r="BC231" i="70"/>
  <c r="BB231" i="70"/>
  <c r="BC295" i="70"/>
  <c r="BB295" i="70"/>
  <c r="BC359" i="70"/>
  <c r="BB359" i="70"/>
  <c r="BC487" i="70"/>
  <c r="BB487" i="70"/>
  <c r="BC601" i="70"/>
  <c r="BB601" i="70"/>
  <c r="BC484" i="70"/>
  <c r="BB484" i="70"/>
  <c r="BC192" i="70"/>
  <c r="BB192" i="70"/>
  <c r="BC340" i="70"/>
  <c r="BB340" i="70"/>
  <c r="BE750" i="70"/>
  <c r="BC755" i="70"/>
  <c r="BB755" i="70"/>
  <c r="BC754" i="70"/>
  <c r="BB754" i="70"/>
  <c r="BE774" i="70"/>
  <c r="BC782" i="70"/>
  <c r="BB782" i="70"/>
  <c r="BC133" i="70"/>
  <c r="BB133" i="70"/>
  <c r="BC644" i="70"/>
  <c r="BB644" i="70"/>
  <c r="BC465" i="70"/>
  <c r="BB465" i="70"/>
  <c r="BC166" i="70"/>
  <c r="BB166" i="70"/>
  <c r="BC611" i="70"/>
  <c r="BB611" i="70"/>
  <c r="BC408" i="70"/>
  <c r="BB408" i="70"/>
  <c r="BC13" i="70"/>
  <c r="BB13" i="70"/>
  <c r="BC610" i="70"/>
  <c r="BB610" i="70"/>
  <c r="BC529" i="70"/>
  <c r="BB529" i="70"/>
  <c r="BC405" i="70"/>
  <c r="BB405" i="70"/>
  <c r="BC277" i="70"/>
  <c r="BB277" i="70"/>
  <c r="BC129" i="70"/>
  <c r="BB129" i="70"/>
  <c r="BC521" i="70"/>
  <c r="BB521" i="70"/>
  <c r="BC233" i="70"/>
  <c r="BB233" i="70"/>
  <c r="BC631" i="70"/>
  <c r="BB631" i="70"/>
  <c r="BC448" i="70"/>
  <c r="BB448" i="70"/>
  <c r="BC176" i="70"/>
  <c r="BB176" i="70"/>
  <c r="BC87" i="70"/>
  <c r="BB87" i="70"/>
  <c r="BC151" i="70"/>
  <c r="BB151" i="70"/>
  <c r="BC28" i="70"/>
  <c r="BB28" i="70"/>
  <c r="BC92" i="70"/>
  <c r="BB92" i="70"/>
  <c r="BC130" i="70"/>
  <c r="BB130" i="70"/>
  <c r="BC214" i="70"/>
  <c r="BB214" i="70"/>
  <c r="BC278" i="70"/>
  <c r="BB278" i="70"/>
  <c r="BC342" i="70"/>
  <c r="BB342" i="70"/>
  <c r="BC406" i="70"/>
  <c r="BB406" i="70"/>
  <c r="BC470" i="70"/>
  <c r="BB470" i="70"/>
  <c r="BC534" i="70"/>
  <c r="BB534" i="70"/>
  <c r="BC30" i="70"/>
  <c r="BB30" i="70"/>
  <c r="BC137" i="70"/>
  <c r="BB137" i="70"/>
  <c r="BC219" i="70"/>
  <c r="BB219" i="70"/>
  <c r="BC283" i="70"/>
  <c r="BB283" i="70"/>
  <c r="BC347" i="70"/>
  <c r="BB347" i="70"/>
  <c r="BC411" i="70"/>
  <c r="BB411" i="70"/>
  <c r="BC475" i="70"/>
  <c r="BB475" i="70"/>
  <c r="BC8" i="70"/>
  <c r="BB8" i="70"/>
  <c r="BC613" i="70"/>
  <c r="BB613" i="70"/>
  <c r="BC533" i="70"/>
  <c r="BB533" i="70"/>
  <c r="BC412" i="70"/>
  <c r="BB412" i="70"/>
  <c r="BC284" i="70"/>
  <c r="BB284" i="70"/>
  <c r="BC721" i="70"/>
  <c r="BB721" i="70"/>
  <c r="BC372" i="70"/>
  <c r="BB372" i="70"/>
  <c r="BC753" i="70"/>
  <c r="BB753" i="70"/>
  <c r="BE751" i="70"/>
  <c r="BC769" i="70"/>
  <c r="BB769" i="70"/>
  <c r="BC770" i="70"/>
  <c r="BB770" i="70"/>
  <c r="BE781" i="70"/>
  <c r="BC165" i="70"/>
  <c r="BB165" i="70"/>
  <c r="BC90" i="70"/>
  <c r="BB90" i="70"/>
  <c r="BC700" i="70"/>
  <c r="BB700" i="70"/>
  <c r="BE600" i="70"/>
  <c r="BE603" i="70"/>
  <c r="BC520" i="70"/>
  <c r="BB520" i="70"/>
  <c r="BC256" i="70"/>
  <c r="BB256" i="70"/>
  <c r="BC702" i="70"/>
  <c r="BB702" i="70"/>
  <c r="BC638" i="70"/>
  <c r="BB638" i="70"/>
  <c r="BC461" i="70"/>
  <c r="BB461" i="70"/>
  <c r="BC333" i="70"/>
  <c r="BB333" i="70"/>
  <c r="BC204" i="70"/>
  <c r="BB204" i="70"/>
  <c r="BC720" i="70"/>
  <c r="BB720" i="70"/>
  <c r="BC596" i="70"/>
  <c r="BB596" i="70"/>
  <c r="BC385" i="70"/>
  <c r="BB385" i="70"/>
  <c r="BC683" i="70"/>
  <c r="BB683" i="70"/>
  <c r="BC547" i="70"/>
  <c r="BB547" i="70"/>
  <c r="BC296" i="70"/>
  <c r="BB296" i="70"/>
  <c r="BC59" i="70"/>
  <c r="BB59" i="70"/>
  <c r="BC123" i="70"/>
  <c r="BB123" i="70"/>
  <c r="BC187" i="70"/>
  <c r="BB187" i="70"/>
  <c r="BC64" i="70"/>
  <c r="BB64" i="70"/>
  <c r="BC93" i="70"/>
  <c r="BB93" i="70"/>
  <c r="BC178" i="70"/>
  <c r="BB178" i="70"/>
  <c r="BC250" i="70"/>
  <c r="BB250" i="70"/>
  <c r="BC378" i="70"/>
  <c r="BB378" i="70"/>
  <c r="BC442" i="70"/>
  <c r="BB442" i="70"/>
  <c r="BC185" i="70"/>
  <c r="BB185" i="70"/>
  <c r="BC255" i="70"/>
  <c r="BB255" i="70"/>
  <c r="BC383" i="70"/>
  <c r="BB383" i="70"/>
  <c r="BC447" i="70"/>
  <c r="BB447" i="70"/>
  <c r="BC760" i="70"/>
  <c r="BB760" i="70"/>
  <c r="BE783" i="70"/>
  <c r="BE776" i="70"/>
  <c r="BC778" i="70"/>
  <c r="BB778" i="70"/>
  <c r="BE785" i="70"/>
  <c r="BC19" i="70"/>
  <c r="BB19" i="70"/>
  <c r="BC58" i="70"/>
  <c r="BB58" i="70"/>
  <c r="BC692" i="70"/>
  <c r="BB692" i="70"/>
  <c r="BC548" i="70"/>
  <c r="BB548" i="70"/>
  <c r="BC297" i="70"/>
  <c r="BB297" i="70"/>
  <c r="BC659" i="70"/>
  <c r="BB659" i="70"/>
  <c r="BC240" i="70"/>
  <c r="BB240" i="70"/>
  <c r="BC698" i="70"/>
  <c r="BB698" i="70"/>
  <c r="BC634" i="70"/>
  <c r="BB634" i="70"/>
  <c r="BE602" i="70"/>
  <c r="BC453" i="70"/>
  <c r="BB453" i="70"/>
  <c r="BC325" i="70"/>
  <c r="BB325" i="70"/>
  <c r="BE229" i="70"/>
  <c r="BC193" i="70"/>
  <c r="BB193" i="70"/>
  <c r="BC712" i="70"/>
  <c r="BB712" i="70"/>
  <c r="BC585" i="70"/>
  <c r="BB585" i="70"/>
  <c r="BC369" i="70"/>
  <c r="BB369" i="70"/>
  <c r="BE615" i="70"/>
  <c r="BC536" i="70"/>
  <c r="BB536" i="70"/>
  <c r="BC280" i="70"/>
  <c r="BB280" i="70"/>
  <c r="BC63" i="70"/>
  <c r="BB63" i="70"/>
  <c r="BC127" i="70"/>
  <c r="BB127" i="70"/>
  <c r="BC191" i="70"/>
  <c r="BB191" i="70"/>
  <c r="BC184" i="70"/>
  <c r="BB184" i="70"/>
  <c r="BE222" i="70"/>
  <c r="BC254" i="70"/>
  <c r="BB254" i="70"/>
  <c r="BC382" i="70"/>
  <c r="BB382" i="70"/>
  <c r="BC446" i="70"/>
  <c r="BB446" i="70"/>
  <c r="BC190" i="70"/>
  <c r="BB190" i="70"/>
  <c r="BC259" i="70"/>
  <c r="BB259" i="70"/>
  <c r="BC387" i="70"/>
  <c r="BB387" i="70"/>
  <c r="BC451" i="70"/>
  <c r="BB451" i="70"/>
  <c r="BC515" i="70"/>
  <c r="BB515" i="70"/>
  <c r="BC701" i="70"/>
  <c r="BB701" i="70"/>
  <c r="BC637" i="70"/>
  <c r="BB637" i="70"/>
  <c r="BE605" i="70"/>
  <c r="BC460" i="70"/>
  <c r="BB460" i="70"/>
  <c r="BC332" i="70"/>
  <c r="BB332" i="70"/>
  <c r="BC202" i="70"/>
  <c r="BB202" i="70"/>
  <c r="BC516" i="70"/>
  <c r="BB516" i="70"/>
  <c r="BC292" i="70"/>
  <c r="BB292" i="70"/>
  <c r="BC181" i="70"/>
  <c r="BB181" i="70"/>
  <c r="BC528" i="70"/>
  <c r="BB528" i="70"/>
  <c r="BC747" i="70"/>
  <c r="BB747" i="70"/>
  <c r="BE744" i="70"/>
  <c r="BC762" i="70"/>
  <c r="BB762" i="70"/>
  <c r="BE775" i="70"/>
  <c r="BC756" i="70"/>
  <c r="BB756" i="70"/>
  <c r="BE773" i="70"/>
  <c r="BC249" i="70"/>
  <c r="BB249" i="70"/>
  <c r="BC154" i="70"/>
  <c r="BB154" i="70"/>
  <c r="BC652" i="70"/>
  <c r="BB652" i="70"/>
  <c r="BC481" i="70"/>
  <c r="BB481" i="70"/>
  <c r="BC188" i="70"/>
  <c r="BB188" i="70"/>
  <c r="BC619" i="70"/>
  <c r="BB619" i="70"/>
  <c r="BC17" i="70"/>
  <c r="BB17" i="70"/>
  <c r="BC614" i="70"/>
  <c r="BB614" i="70"/>
  <c r="BC535" i="70"/>
  <c r="BB535" i="70"/>
  <c r="BC413" i="70"/>
  <c r="BB413" i="70"/>
  <c r="BC285" i="70"/>
  <c r="BB285" i="70"/>
  <c r="BC140" i="70"/>
  <c r="BB140" i="70"/>
  <c r="BC532" i="70"/>
  <c r="BB532" i="70"/>
  <c r="BC265" i="70"/>
  <c r="BB265" i="70"/>
  <c r="BC639" i="70"/>
  <c r="BB639" i="70"/>
  <c r="BC464" i="70"/>
  <c r="BB464" i="70"/>
  <c r="BC197" i="70"/>
  <c r="BB197" i="70"/>
  <c r="BC83" i="70"/>
  <c r="BB83" i="70"/>
  <c r="BC147" i="70"/>
  <c r="BB147" i="70"/>
  <c r="BC24" i="70"/>
  <c r="BB24" i="70"/>
  <c r="BC88" i="70"/>
  <c r="BB88" i="70"/>
  <c r="BC125" i="70"/>
  <c r="BB125" i="70"/>
  <c r="BC210" i="70"/>
  <c r="BB210" i="70"/>
  <c r="BC274" i="70"/>
  <c r="BB274" i="70"/>
  <c r="BC338" i="70"/>
  <c r="BB338" i="70"/>
  <c r="BC402" i="70"/>
  <c r="BB402" i="70"/>
  <c r="BC466" i="70"/>
  <c r="BB466" i="70"/>
  <c r="BC530" i="70"/>
  <c r="BB530" i="70"/>
  <c r="BC594" i="70"/>
  <c r="BB594" i="70"/>
  <c r="BC132" i="70"/>
  <c r="BB132" i="70"/>
  <c r="BC215" i="70"/>
  <c r="BB215" i="70"/>
  <c r="BC279" i="70"/>
  <c r="BB279" i="70"/>
  <c r="BC343" i="70"/>
  <c r="BB343" i="70"/>
  <c r="BC407" i="70"/>
  <c r="BB407" i="70"/>
  <c r="BC471" i="70"/>
  <c r="BB471" i="70"/>
  <c r="BC12" i="70"/>
  <c r="BB12" i="70"/>
  <c r="BC681" i="70"/>
  <c r="BB681" i="70"/>
  <c r="BC617" i="70"/>
  <c r="BB617" i="70"/>
  <c r="BC539" i="70"/>
  <c r="BB539" i="70"/>
  <c r="BC260" i="70"/>
  <c r="BB260" i="70"/>
  <c r="BE609" i="70"/>
  <c r="BC468" i="70"/>
  <c r="BB468" i="70"/>
  <c r="BC750" i="70"/>
  <c r="BB750" i="70"/>
  <c r="BE765" i="70"/>
  <c r="BC777" i="70"/>
  <c r="BB777" i="70"/>
  <c r="BE767" i="70"/>
  <c r="BC774" i="70"/>
  <c r="BB774" i="70"/>
  <c r="BC281" i="70"/>
  <c r="BB281" i="70"/>
  <c r="BC23" i="70"/>
  <c r="BB23" i="70"/>
  <c r="BE608" i="70"/>
  <c r="BC527" i="70"/>
  <c r="BB527" i="70"/>
  <c r="BC241" i="70"/>
  <c r="BB241" i="70"/>
  <c r="BC643" i="70"/>
  <c r="BB643" i="70"/>
  <c r="BC472" i="70"/>
  <c r="BB472" i="70"/>
  <c r="BC208" i="70"/>
  <c r="BB208" i="70"/>
  <c r="BC690" i="70"/>
  <c r="BB690" i="70"/>
  <c r="BC626" i="70"/>
  <c r="BB626" i="70"/>
  <c r="BC551" i="70"/>
  <c r="BB551" i="70"/>
  <c r="BC437" i="70"/>
  <c r="BB437" i="70"/>
  <c r="BC172" i="70"/>
  <c r="BB172" i="70"/>
  <c r="BC696" i="70"/>
  <c r="BB696" i="70"/>
  <c r="BE604" i="70"/>
  <c r="BC337" i="70"/>
  <c r="BB337" i="70"/>
  <c r="BE599" i="70"/>
  <c r="BC248" i="70"/>
  <c r="BB248" i="70"/>
  <c r="BC135" i="70"/>
  <c r="BB135" i="70"/>
  <c r="BC199" i="70"/>
  <c r="BB199" i="70"/>
  <c r="BC194" i="70"/>
  <c r="BB194" i="70"/>
  <c r="BC262" i="70"/>
  <c r="BB262" i="70"/>
  <c r="BC326" i="70"/>
  <c r="BB326" i="70"/>
  <c r="BC390" i="70"/>
  <c r="BB390" i="70"/>
  <c r="BC454" i="70"/>
  <c r="BB454" i="70"/>
  <c r="BC518" i="70"/>
  <c r="BB518" i="70"/>
  <c r="BC582" i="70"/>
  <c r="BB582" i="70"/>
  <c r="BC116" i="70"/>
  <c r="BB116" i="70"/>
  <c r="BC201" i="70"/>
  <c r="BB201" i="70"/>
  <c r="BC267" i="70"/>
  <c r="BB267" i="70"/>
  <c r="BC331" i="70"/>
  <c r="BB331" i="70"/>
  <c r="BC395" i="70"/>
  <c r="BB395" i="70"/>
  <c r="BC459" i="70"/>
  <c r="BB459" i="70"/>
  <c r="BC6" i="70"/>
  <c r="BB6" i="70"/>
  <c r="AZ2" i="70" s="1"/>
  <c r="BC693" i="70"/>
  <c r="BB693" i="70"/>
  <c r="BC629" i="70"/>
  <c r="BB629" i="70"/>
  <c r="BE597" i="70"/>
  <c r="BC444" i="70"/>
  <c r="BB444" i="70"/>
  <c r="BC138" i="70"/>
  <c r="BB138" i="70"/>
  <c r="BC758" i="70"/>
  <c r="BB758" i="70"/>
  <c r="BC757" i="70"/>
  <c r="BB757" i="70"/>
  <c r="BE768" i="70"/>
  <c r="BC336" i="70"/>
  <c r="BB336" i="70"/>
  <c r="BC14" i="70"/>
  <c r="BB14" i="70"/>
  <c r="BC34" i="70"/>
  <c r="BB34" i="70"/>
  <c r="BC10" i="70"/>
  <c r="BB10" i="70"/>
  <c r="BC600" i="70"/>
  <c r="BB600" i="70"/>
  <c r="BC377" i="70"/>
  <c r="BB377" i="70"/>
  <c r="BC703" i="70"/>
  <c r="BB703" i="70"/>
  <c r="BC328" i="70"/>
  <c r="BB328" i="70"/>
  <c r="BC718" i="70"/>
  <c r="BB718" i="70"/>
  <c r="BC654" i="70"/>
  <c r="BB654" i="70"/>
  <c r="BE606" i="70"/>
  <c r="BC588" i="70"/>
  <c r="BB588" i="70"/>
  <c r="BC365" i="70"/>
  <c r="BB365" i="70"/>
  <c r="BC237" i="70"/>
  <c r="BB237" i="70"/>
  <c r="BC624" i="70"/>
  <c r="BB624" i="70"/>
  <c r="BC441" i="70"/>
  <c r="BB441" i="70"/>
  <c r="BC715" i="70"/>
  <c r="BB715" i="70"/>
  <c r="BC589" i="70"/>
  <c r="BB589" i="70"/>
  <c r="BC368" i="70"/>
  <c r="BB368" i="70"/>
  <c r="BC43" i="70"/>
  <c r="BB43" i="70"/>
  <c r="BC171" i="70"/>
  <c r="BB171" i="70"/>
  <c r="BC48" i="70"/>
  <c r="BB48" i="70"/>
  <c r="BC61" i="70"/>
  <c r="BB61" i="70"/>
  <c r="BC157" i="70"/>
  <c r="BB157" i="70"/>
  <c r="BC234" i="70"/>
  <c r="BB234" i="70"/>
  <c r="BC298" i="70"/>
  <c r="BB298" i="70"/>
  <c r="BC362" i="70"/>
  <c r="BB362" i="70"/>
  <c r="BC490" i="70"/>
  <c r="BB490" i="70"/>
  <c r="BC554" i="70"/>
  <c r="BB554" i="70"/>
  <c r="BC164" i="70"/>
  <c r="BB164" i="70"/>
  <c r="BC239" i="70"/>
  <c r="BB239" i="70"/>
  <c r="BC303" i="70"/>
  <c r="BB303" i="70"/>
  <c r="BC367" i="70"/>
  <c r="BB367" i="70"/>
  <c r="BC641" i="70"/>
  <c r="BB641" i="70"/>
  <c r="BC745" i="70"/>
  <c r="BB745" i="70"/>
  <c r="BE746" i="70"/>
  <c r="BC759" i="70"/>
  <c r="BB759" i="70"/>
  <c r="BC776" i="70"/>
  <c r="BB776" i="70"/>
  <c r="BE771" i="70"/>
  <c r="BC305" i="70"/>
  <c r="BB305" i="70"/>
  <c r="BC22" i="70"/>
  <c r="BB22" i="70"/>
  <c r="BC156" i="70"/>
  <c r="BB156" i="70"/>
  <c r="BC591" i="70"/>
  <c r="BB591" i="70"/>
  <c r="BC361" i="70"/>
  <c r="BB361" i="70"/>
  <c r="BC695" i="70"/>
  <c r="BB695" i="70"/>
  <c r="BC552" i="70"/>
  <c r="BB552" i="70"/>
  <c r="BC714" i="70"/>
  <c r="BB714" i="70"/>
  <c r="BC650" i="70"/>
  <c r="BB650" i="70"/>
  <c r="BC583" i="70"/>
  <c r="BB583" i="70"/>
  <c r="BC485" i="70"/>
  <c r="BB485" i="70"/>
  <c r="BC357" i="70"/>
  <c r="BB357" i="70"/>
  <c r="BC229" i="70"/>
  <c r="BB229" i="70"/>
  <c r="BC50" i="70"/>
  <c r="BB50" i="70"/>
  <c r="BC620" i="70"/>
  <c r="BB620" i="70"/>
  <c r="BC707" i="70"/>
  <c r="BB707" i="70"/>
  <c r="BC579" i="70"/>
  <c r="BB579" i="70"/>
  <c r="BC352" i="70"/>
  <c r="BB352" i="70"/>
  <c r="BC47" i="70"/>
  <c r="BB47" i="70"/>
  <c r="BC111" i="70"/>
  <c r="BB111" i="70"/>
  <c r="BC175" i="70"/>
  <c r="BB175" i="70"/>
  <c r="BC52" i="70"/>
  <c r="BB52" i="70"/>
  <c r="BC162" i="70"/>
  <c r="BB162" i="70"/>
  <c r="BC238" i="70"/>
  <c r="BB238" i="70"/>
  <c r="BC302" i="70"/>
  <c r="BB302" i="70"/>
  <c r="BC366" i="70"/>
  <c r="BB366" i="70"/>
  <c r="BC169" i="70"/>
  <c r="BB169" i="70"/>
  <c r="BC243" i="70"/>
  <c r="BB243" i="70"/>
  <c r="BC371" i="70"/>
  <c r="BB371" i="70"/>
  <c r="BC435" i="70"/>
  <c r="BB435" i="70"/>
  <c r="BC717" i="70"/>
  <c r="BB717" i="70"/>
  <c r="BC653" i="70"/>
  <c r="BB653" i="70"/>
  <c r="BC587" i="70"/>
  <c r="BB587" i="70"/>
  <c r="BC364" i="70"/>
  <c r="BB364" i="70"/>
  <c r="BC236" i="70"/>
  <c r="BB236" i="70"/>
  <c r="BC65" i="70"/>
  <c r="BB65" i="70"/>
  <c r="BC324" i="70"/>
  <c r="BB324" i="70"/>
  <c r="BC625" i="70"/>
  <c r="BB625" i="70"/>
  <c r="BC128" i="70"/>
  <c r="BB128" i="70"/>
  <c r="BE748" i="70"/>
  <c r="BC744" i="70"/>
  <c r="BB744" i="70"/>
  <c r="BE752" i="70"/>
  <c r="BC779" i="70"/>
  <c r="BB779" i="70"/>
  <c r="BC11" i="70"/>
  <c r="BB11" i="70"/>
  <c r="BC26" i="70"/>
  <c r="BB26" i="70"/>
  <c r="BC684" i="70"/>
  <c r="BB684" i="70"/>
  <c r="BC537" i="70"/>
  <c r="BB537" i="70"/>
  <c r="BC257" i="70"/>
  <c r="BB257" i="70"/>
  <c r="BC651" i="70"/>
  <c r="BB651" i="70"/>
  <c r="BC488" i="70"/>
  <c r="BB488" i="70"/>
  <c r="BC224" i="70"/>
  <c r="BB224" i="70"/>
  <c r="BC694" i="70"/>
  <c r="BB694" i="70"/>
  <c r="BC630" i="70"/>
  <c r="BB630" i="70"/>
  <c r="BC445" i="70"/>
  <c r="BB445" i="70"/>
  <c r="BC182" i="70"/>
  <c r="BB182" i="70"/>
  <c r="BC704" i="70"/>
  <c r="BB704" i="70"/>
  <c r="BC353" i="70"/>
  <c r="BB353" i="70"/>
  <c r="BE607" i="70"/>
  <c r="BC525" i="70"/>
  <c r="BB525" i="70"/>
  <c r="BC264" i="70"/>
  <c r="BB264" i="70"/>
  <c r="BC131" i="70"/>
  <c r="BB131" i="70"/>
  <c r="BC195" i="70"/>
  <c r="BB195" i="70"/>
  <c r="BC189" i="70"/>
  <c r="BB189" i="70"/>
  <c r="BC258" i="70"/>
  <c r="BB258" i="70"/>
  <c r="BC386" i="70"/>
  <c r="BB386" i="70"/>
  <c r="BC450" i="70"/>
  <c r="BB450" i="70"/>
  <c r="BC514" i="70"/>
  <c r="BB514" i="70"/>
  <c r="BC578" i="70"/>
  <c r="BB578" i="70"/>
  <c r="BC196" i="70"/>
  <c r="BB196" i="70"/>
  <c r="BC263" i="70"/>
  <c r="BB263" i="70"/>
  <c r="BC327" i="70"/>
  <c r="BB327" i="70"/>
  <c r="BC391" i="70"/>
  <c r="BB391" i="70"/>
  <c r="BC455" i="70"/>
  <c r="BB455" i="70"/>
  <c r="BC519" i="70"/>
  <c r="BB519" i="70"/>
  <c r="BC697" i="70"/>
  <c r="BB697" i="70"/>
  <c r="BC633" i="70"/>
  <c r="BB633" i="70"/>
  <c r="BE601" i="70"/>
  <c r="BC356" i="70"/>
  <c r="BB356" i="70"/>
  <c r="BC549" i="70"/>
  <c r="BB549" i="70"/>
  <c r="BC81" i="70"/>
  <c r="BB81" i="70"/>
  <c r="AT360" i="70"/>
  <c r="AT521" i="70"/>
  <c r="AT751" i="70"/>
  <c r="AT74" i="70"/>
  <c r="AT423" i="70"/>
  <c r="AT347" i="70"/>
  <c r="AT753" i="70"/>
  <c r="AT763" i="70"/>
  <c r="AT774" i="70"/>
  <c r="AT741" i="70"/>
  <c r="AT759" i="70"/>
  <c r="AT767" i="70"/>
  <c r="AT748" i="70"/>
  <c r="AT770" i="70"/>
  <c r="AT757" i="70"/>
  <c r="AT785" i="70"/>
  <c r="AT779" i="70"/>
  <c r="AT755" i="70"/>
  <c r="AT760" i="70"/>
  <c r="AT744" i="70"/>
  <c r="AT775" i="70"/>
  <c r="AT756" i="70"/>
  <c r="AT761" i="70"/>
  <c r="AT771" i="70"/>
  <c r="AT762" i="70"/>
  <c r="AT740" i="70"/>
  <c r="AZ750" i="70"/>
  <c r="AT777" i="70"/>
  <c r="AZ758" i="70"/>
  <c r="AZ766" i="70"/>
  <c r="AT746" i="70"/>
  <c r="AZ738" i="70"/>
  <c r="AZ772" i="70"/>
  <c r="AZ783" i="70"/>
  <c r="AT764" i="70"/>
  <c r="AZ764" i="70"/>
  <c r="AZ744" i="70"/>
  <c r="AZ775" i="70"/>
  <c r="AZ741" i="70"/>
  <c r="AZ756" i="70"/>
  <c r="AZ779" i="70"/>
  <c r="AC3" i="70"/>
  <c r="AB3" i="70"/>
  <c r="AA3" i="70"/>
  <c r="AZ749" i="70"/>
  <c r="AZ739" i="70"/>
  <c r="AT750" i="70"/>
  <c r="AZ763" i="70"/>
  <c r="AZ777" i="70"/>
  <c r="AZ761" i="70"/>
  <c r="AZ782" i="70"/>
  <c r="AZ753" i="70"/>
  <c r="AT743" i="70"/>
  <c r="AZ743" i="70"/>
  <c r="AZ751" i="70"/>
  <c r="AZ769" i="70"/>
  <c r="AT766" i="70"/>
  <c r="AT780" i="70"/>
  <c r="AO780" i="70"/>
  <c r="AZ768" i="70"/>
  <c r="AT781" i="70"/>
  <c r="AZ760" i="70"/>
  <c r="AZ740" i="70"/>
  <c r="AT738" i="70"/>
  <c r="AT772" i="70"/>
  <c r="AO772" i="70"/>
  <c r="AT776" i="70"/>
  <c r="AZ776" i="70"/>
  <c r="AZ778" i="70"/>
  <c r="AT778" i="70"/>
  <c r="AZ771" i="70"/>
  <c r="AZ748" i="70"/>
  <c r="AT752" i="70"/>
  <c r="AZ755" i="70"/>
  <c r="AZ780" i="70"/>
  <c r="AZ757" i="70"/>
  <c r="AZ746" i="70"/>
  <c r="AZ759" i="70"/>
  <c r="AZ747" i="70"/>
  <c r="AZ773" i="70"/>
  <c r="AT739" i="70"/>
  <c r="AO739" i="70"/>
  <c r="AZ765" i="70"/>
  <c r="AT754" i="70"/>
  <c r="AZ754" i="70"/>
  <c r="AZ767" i="70"/>
  <c r="AZ774" i="70"/>
  <c r="AT742" i="70"/>
  <c r="AZ742" i="70"/>
  <c r="AZ770" i="70"/>
  <c r="AT768" i="70"/>
  <c r="AZ781" i="70"/>
  <c r="AZ745" i="70"/>
  <c r="AT783" i="70"/>
  <c r="AZ785" i="70"/>
  <c r="AZ762" i="70"/>
  <c r="AZ752" i="70"/>
  <c r="AZ784" i="70"/>
  <c r="AT9" i="70"/>
  <c r="AT684" i="70"/>
  <c r="AT255" i="70"/>
  <c r="AT271" i="70"/>
  <c r="AT187" i="70"/>
  <c r="AT548" i="70"/>
  <c r="AT243" i="70"/>
  <c r="AT400" i="70"/>
  <c r="AT133" i="70"/>
  <c r="AT30" i="70"/>
  <c r="AT405" i="70"/>
  <c r="AT648" i="70"/>
  <c r="AT47" i="70"/>
  <c r="AT207" i="70"/>
  <c r="AT492" i="70"/>
  <c r="AT381" i="70"/>
  <c r="AT665" i="70"/>
  <c r="AT176" i="70"/>
  <c r="AT13" i="70"/>
  <c r="AT250" i="70"/>
  <c r="AT628" i="70"/>
  <c r="AT78" i="70"/>
  <c r="AT40" i="70"/>
  <c r="AT520" i="70"/>
  <c r="AO596" i="70"/>
  <c r="AO234" i="70"/>
  <c r="AT641" i="70"/>
  <c r="AT547" i="70"/>
  <c r="AT653" i="70"/>
  <c r="AT417" i="70"/>
  <c r="AT546" i="70"/>
  <c r="AT465" i="70"/>
  <c r="AT696" i="70"/>
  <c r="AZ734" i="70"/>
  <c r="AZ737" i="70"/>
  <c r="AZ721" i="70"/>
  <c r="AZ717" i="70"/>
  <c r="AZ719" i="70"/>
  <c r="AZ725" i="70"/>
  <c r="AZ154" i="70"/>
  <c r="AZ684" i="70"/>
  <c r="AZ580" i="70"/>
  <c r="AZ481" i="70"/>
  <c r="AZ687" i="70"/>
  <c r="AZ619" i="70"/>
  <c r="AZ424" i="70"/>
  <c r="AZ288" i="70"/>
  <c r="AZ678" i="70"/>
  <c r="AZ630" i="70"/>
  <c r="AZ477" i="70"/>
  <c r="AZ349" i="70"/>
  <c r="AZ182" i="70"/>
  <c r="AZ704" i="70"/>
  <c r="AZ640" i="70"/>
  <c r="AZ353" i="70"/>
  <c r="AZ667" i="70"/>
  <c r="AZ607" i="70"/>
  <c r="AZ568" i="70"/>
  <c r="AZ51" i="70"/>
  <c r="AZ115" i="70"/>
  <c r="AZ179" i="70"/>
  <c r="AZ195" i="70"/>
  <c r="AZ72" i="70"/>
  <c r="AZ104" i="70"/>
  <c r="AZ125" i="70"/>
  <c r="AZ146" i="70"/>
  <c r="AZ242" i="70"/>
  <c r="AZ306" i="70"/>
  <c r="AZ370" i="70"/>
  <c r="AZ418" i="70"/>
  <c r="AZ482" i="70"/>
  <c r="AZ54" i="70"/>
  <c r="AZ263" i="70"/>
  <c r="AZ327" i="70"/>
  <c r="AZ391" i="70"/>
  <c r="BA439" i="70"/>
  <c r="AZ439" i="70"/>
  <c r="AZ487" i="70"/>
  <c r="AZ503" i="70"/>
  <c r="AZ665" i="70"/>
  <c r="AZ601" i="70"/>
  <c r="AZ539" i="70"/>
  <c r="AZ516" i="70"/>
  <c r="AZ292" i="70"/>
  <c r="AZ228" i="70"/>
  <c r="AZ49" i="70"/>
  <c r="BA440" i="70"/>
  <c r="AZ440" i="70"/>
  <c r="AZ21" i="70"/>
  <c r="AZ421" i="70"/>
  <c r="AZ543" i="70"/>
  <c r="AZ536" i="70"/>
  <c r="AZ143" i="70"/>
  <c r="AZ207" i="70"/>
  <c r="AZ98" i="70"/>
  <c r="AZ334" i="70"/>
  <c r="AZ414" i="70"/>
  <c r="AZ291" i="70"/>
  <c r="AZ467" i="70"/>
  <c r="AZ16" i="70"/>
  <c r="BA336" i="70"/>
  <c r="AZ336" i="70"/>
  <c r="AZ113" i="70"/>
  <c r="AZ329" i="70"/>
  <c r="AZ241" i="70"/>
  <c r="AZ679" i="70"/>
  <c r="AZ208" i="70"/>
  <c r="AZ706" i="70"/>
  <c r="AZ572" i="70"/>
  <c r="AZ529" i="70"/>
  <c r="AZ405" i="70"/>
  <c r="AZ277" i="70"/>
  <c r="AZ245" i="70"/>
  <c r="AZ172" i="70"/>
  <c r="AZ129" i="70"/>
  <c r="AZ82" i="70"/>
  <c r="AZ604" i="70"/>
  <c r="AZ457" i="70"/>
  <c r="AZ599" i="70"/>
  <c r="AZ87" i="70"/>
  <c r="AZ151" i="70"/>
  <c r="AZ44" i="70"/>
  <c r="AZ85" i="70"/>
  <c r="AZ152" i="70"/>
  <c r="AZ173" i="70"/>
  <c r="AZ214" i="70"/>
  <c r="AZ310" i="70"/>
  <c r="AZ374" i="70"/>
  <c r="AZ454" i="70"/>
  <c r="AZ518" i="70"/>
  <c r="AZ566" i="70"/>
  <c r="AZ201" i="70"/>
  <c r="AZ235" i="70"/>
  <c r="AZ299" i="70"/>
  <c r="AZ363" i="70"/>
  <c r="AZ459" i="70"/>
  <c r="AZ709" i="70"/>
  <c r="AZ645" i="70"/>
  <c r="AZ476" i="70"/>
  <c r="AZ380" i="70"/>
  <c r="AZ252" i="70"/>
  <c r="AZ181" i="70"/>
  <c r="AZ138" i="70"/>
  <c r="AZ504" i="70"/>
  <c r="AZ240" i="70"/>
  <c r="AZ561" i="70"/>
  <c r="AZ485" i="70"/>
  <c r="AZ425" i="70"/>
  <c r="AT239" i="70"/>
  <c r="AT692" i="70"/>
  <c r="AO595" i="70"/>
  <c r="AO236" i="70"/>
  <c r="AZ735" i="70"/>
  <c r="AZ715" i="70"/>
  <c r="AZ727" i="70"/>
  <c r="AZ714" i="70"/>
  <c r="AZ716" i="70"/>
  <c r="AZ732" i="70"/>
  <c r="AZ723" i="70"/>
  <c r="AZ101" i="70"/>
  <c r="AZ652" i="70"/>
  <c r="AZ417" i="70"/>
  <c r="AZ188" i="70"/>
  <c r="AZ584" i="70"/>
  <c r="AZ662" i="70"/>
  <c r="AZ614" i="70"/>
  <c r="AZ577" i="70"/>
  <c r="AZ535" i="70"/>
  <c r="BA445" i="70"/>
  <c r="AZ445" i="70"/>
  <c r="AZ317" i="70"/>
  <c r="AZ612" i="70"/>
  <c r="AZ265" i="70"/>
  <c r="AZ699" i="70"/>
  <c r="AZ464" i="70"/>
  <c r="AZ320" i="70"/>
  <c r="AZ67" i="70"/>
  <c r="AZ131" i="70"/>
  <c r="AZ24" i="70"/>
  <c r="AZ88" i="70"/>
  <c r="AZ45" i="70"/>
  <c r="AZ258" i="70"/>
  <c r="AZ322" i="70"/>
  <c r="AZ386" i="70"/>
  <c r="BA434" i="70"/>
  <c r="AZ434" i="70"/>
  <c r="AZ498" i="70"/>
  <c r="AZ546" i="70"/>
  <c r="AZ578" i="70"/>
  <c r="AZ86" i="70"/>
  <c r="AZ132" i="70"/>
  <c r="AZ153" i="70"/>
  <c r="AZ174" i="70"/>
  <c r="AZ215" i="70"/>
  <c r="AZ279" i="70"/>
  <c r="AZ343" i="70"/>
  <c r="AZ519" i="70"/>
  <c r="AZ12" i="70"/>
  <c r="AZ649" i="70"/>
  <c r="AZ581" i="70"/>
  <c r="AZ484" i="70"/>
  <c r="AZ388" i="70"/>
  <c r="AZ260" i="70"/>
  <c r="AZ682" i="70"/>
  <c r="AZ618" i="70"/>
  <c r="AZ540" i="70"/>
  <c r="AZ357" i="70"/>
  <c r="AZ229" i="70"/>
  <c r="AZ680" i="70"/>
  <c r="AZ68" i="70"/>
  <c r="AZ205" i="70"/>
  <c r="AZ478" i="70"/>
  <c r="AZ339" i="70"/>
  <c r="AZ653" i="70"/>
  <c r="AZ332" i="70"/>
  <c r="AZ14" i="70"/>
  <c r="AZ281" i="70"/>
  <c r="AZ708" i="70"/>
  <c r="AZ569" i="70"/>
  <c r="AZ166" i="70"/>
  <c r="AZ531" i="70"/>
  <c r="AZ472" i="70"/>
  <c r="AZ344" i="70"/>
  <c r="AZ13" i="70"/>
  <c r="AZ690" i="70"/>
  <c r="AZ501" i="70"/>
  <c r="AZ373" i="70"/>
  <c r="AZ213" i="70"/>
  <c r="AZ564" i="70"/>
  <c r="AZ401" i="70"/>
  <c r="AZ631" i="70"/>
  <c r="AZ557" i="70"/>
  <c r="AZ39" i="70"/>
  <c r="AZ103" i="70"/>
  <c r="AZ167" i="70"/>
  <c r="AZ60" i="70"/>
  <c r="AZ109" i="70"/>
  <c r="AZ130" i="70"/>
  <c r="AZ230" i="70"/>
  <c r="AZ262" i="70"/>
  <c r="AZ326" i="70"/>
  <c r="AZ390" i="70"/>
  <c r="AZ406" i="70"/>
  <c r="AZ470" i="70"/>
  <c r="AZ534" i="70"/>
  <c r="AZ582" i="70"/>
  <c r="AZ30" i="70"/>
  <c r="AZ180" i="70"/>
  <c r="AZ251" i="70"/>
  <c r="AZ315" i="70"/>
  <c r="AZ379" i="70"/>
  <c r="AZ411" i="70"/>
  <c r="AZ475" i="70"/>
  <c r="AZ6" i="70"/>
  <c r="AZ693" i="70"/>
  <c r="AZ629" i="70"/>
  <c r="AZ533" i="70"/>
  <c r="BA444" i="70"/>
  <c r="AZ444" i="70"/>
  <c r="AZ348" i="70"/>
  <c r="AZ297" i="70"/>
  <c r="AZ698" i="70"/>
  <c r="AZ325" i="70"/>
  <c r="AZ620" i="70"/>
  <c r="AZ141" i="70"/>
  <c r="AZ366" i="70"/>
  <c r="AZ430" i="70"/>
  <c r="AZ105" i="70"/>
  <c r="AZ190" i="70"/>
  <c r="AZ323" i="70"/>
  <c r="AZ499" i="70"/>
  <c r="AZ701" i="70"/>
  <c r="AZ668" i="70"/>
  <c r="BA449" i="70"/>
  <c r="AZ449" i="70"/>
  <c r="AZ256" i="70"/>
  <c r="AZ670" i="70"/>
  <c r="AZ606" i="70"/>
  <c r="AZ429" i="70"/>
  <c r="AZ301" i="70"/>
  <c r="AZ161" i="70"/>
  <c r="AZ118" i="70"/>
  <c r="AZ596" i="70"/>
  <c r="AZ553" i="70"/>
  <c r="AZ505" i="70"/>
  <c r="AO594" i="70"/>
  <c r="AO343" i="70"/>
  <c r="AZ712" i="70"/>
  <c r="AZ729" i="70"/>
  <c r="AZ711" i="70"/>
  <c r="AZ722" i="70"/>
  <c r="AZ177" i="70"/>
  <c r="AZ102" i="70"/>
  <c r="AZ9" i="70"/>
  <c r="AZ134" i="70"/>
  <c r="AZ57" i="70"/>
  <c r="AZ345" i="70"/>
  <c r="AZ541" i="70"/>
  <c r="AZ224" i="70"/>
  <c r="AZ646" i="70"/>
  <c r="AZ598" i="70"/>
  <c r="AZ413" i="70"/>
  <c r="AZ285" i="70"/>
  <c r="AZ575" i="70"/>
  <c r="AZ532" i="70"/>
  <c r="AZ473" i="70"/>
  <c r="AZ400" i="70"/>
  <c r="AZ264" i="70"/>
  <c r="AZ83" i="70"/>
  <c r="AZ147" i="70"/>
  <c r="AZ40" i="70"/>
  <c r="AZ77" i="70"/>
  <c r="AZ210" i="70"/>
  <c r="AZ274" i="70"/>
  <c r="AZ338" i="70"/>
  <c r="AZ450" i="70"/>
  <c r="AZ514" i="70"/>
  <c r="AZ562" i="70"/>
  <c r="AZ110" i="70"/>
  <c r="AZ231" i="70"/>
  <c r="AZ295" i="70"/>
  <c r="AZ359" i="70"/>
  <c r="AZ455" i="70"/>
  <c r="AZ471" i="70"/>
  <c r="AZ697" i="70"/>
  <c r="AZ633" i="70"/>
  <c r="AZ452" i="70"/>
  <c r="AZ356" i="70"/>
  <c r="AZ192" i="70"/>
  <c r="AZ149" i="70"/>
  <c r="AZ106" i="70"/>
  <c r="AZ156" i="70"/>
  <c r="AZ148" i="70"/>
  <c r="AZ387" i="70"/>
  <c r="AZ587" i="70"/>
  <c r="AZ202" i="70"/>
  <c r="AZ73" i="70"/>
  <c r="AZ18" i="70"/>
  <c r="AZ133" i="70"/>
  <c r="AZ676" i="70"/>
  <c r="AZ644" i="70"/>
  <c r="AZ465" i="70"/>
  <c r="AZ643" i="70"/>
  <c r="AZ611" i="70"/>
  <c r="AZ408" i="70"/>
  <c r="AZ272" i="70"/>
  <c r="AZ642" i="70"/>
  <c r="AZ610" i="70"/>
  <c r="AZ593" i="70"/>
  <c r="AZ469" i="70"/>
  <c r="AZ341" i="70"/>
  <c r="AZ632" i="70"/>
  <c r="AZ337" i="70"/>
  <c r="AZ233" i="70"/>
  <c r="AZ512" i="70"/>
  <c r="AZ384" i="70"/>
  <c r="AZ55" i="70"/>
  <c r="AZ119" i="70"/>
  <c r="AZ183" i="70"/>
  <c r="AZ199" i="70"/>
  <c r="AZ76" i="70"/>
  <c r="AZ246" i="70"/>
  <c r="AZ278" i="70"/>
  <c r="AZ342" i="70"/>
  <c r="AZ422" i="70"/>
  <c r="AZ486" i="70"/>
  <c r="AZ62" i="70"/>
  <c r="AZ116" i="70"/>
  <c r="AZ137" i="70"/>
  <c r="AZ158" i="70"/>
  <c r="AZ267" i="70"/>
  <c r="AZ331" i="70"/>
  <c r="AZ395" i="70"/>
  <c r="AZ427" i="70"/>
  <c r="AZ491" i="70"/>
  <c r="AZ677" i="70"/>
  <c r="AZ613" i="70"/>
  <c r="AZ555" i="70"/>
  <c r="AZ412" i="70"/>
  <c r="AZ316" i="70"/>
  <c r="AZ634" i="70"/>
  <c r="AZ193" i="70"/>
  <c r="AZ707" i="70"/>
  <c r="AZ352" i="70"/>
  <c r="AZ510" i="70"/>
  <c r="AZ637" i="70"/>
  <c r="AZ565" i="70"/>
  <c r="AZ300" i="70"/>
  <c r="AZ160" i="70"/>
  <c r="AZ305" i="70"/>
  <c r="AZ34" i="70"/>
  <c r="AZ144" i="70"/>
  <c r="AZ41" i="70"/>
  <c r="AZ10" i="70"/>
  <c r="AZ636" i="70"/>
  <c r="AZ377" i="70"/>
  <c r="AZ671" i="70"/>
  <c r="AZ186" i="70"/>
  <c r="AZ654" i="70"/>
  <c r="AZ638" i="70"/>
  <c r="AZ545" i="70"/>
  <c r="AZ269" i="70"/>
  <c r="AZ237" i="70"/>
  <c r="AZ66" i="70"/>
  <c r="AZ688" i="70"/>
  <c r="BA441" i="70"/>
  <c r="AZ441" i="70"/>
  <c r="AZ655" i="70"/>
  <c r="AZ589" i="70"/>
  <c r="AZ75" i="70"/>
  <c r="AZ139" i="70"/>
  <c r="AZ48" i="70"/>
  <c r="AZ93" i="70"/>
  <c r="AZ114" i="70"/>
  <c r="AZ218" i="70"/>
  <c r="AZ282" i="70"/>
  <c r="AZ346" i="70"/>
  <c r="AZ458" i="70"/>
  <c r="AZ522" i="70"/>
  <c r="AZ164" i="70"/>
  <c r="AZ185" i="70"/>
  <c r="AZ206" i="70"/>
  <c r="AZ239" i="70"/>
  <c r="AZ303" i="70"/>
  <c r="AZ367" i="70"/>
  <c r="AZ415" i="70"/>
  <c r="AZ479" i="70"/>
  <c r="AZ689" i="70"/>
  <c r="AZ625" i="70"/>
  <c r="AZ549" i="70"/>
  <c r="BA436" i="70"/>
  <c r="AZ436" i="70"/>
  <c r="AZ340" i="70"/>
  <c r="AZ583" i="70"/>
  <c r="AZ675" i="70"/>
  <c r="AZ63" i="70"/>
  <c r="AZ286" i="70"/>
  <c r="AZ590" i="70"/>
  <c r="AZ211" i="70"/>
  <c r="AZ249" i="70"/>
  <c r="BA433" i="70"/>
  <c r="AZ433" i="70"/>
  <c r="AZ602" i="70"/>
  <c r="AZ261" i="70"/>
  <c r="AZ648" i="70"/>
  <c r="AZ273" i="70"/>
  <c r="AZ615" i="70"/>
  <c r="AZ238" i="70"/>
  <c r="AZ494" i="70"/>
  <c r="AZ169" i="70"/>
  <c r="AT204" i="70"/>
  <c r="AT361" i="70"/>
  <c r="AT371" i="70"/>
  <c r="AT607" i="70"/>
  <c r="AT290" i="70"/>
  <c r="AT516" i="70"/>
  <c r="AT92" i="70"/>
  <c r="AO342" i="70"/>
  <c r="AO235" i="70"/>
  <c r="AT677" i="70"/>
  <c r="AZ736" i="70"/>
  <c r="AZ718" i="70"/>
  <c r="AZ720" i="70"/>
  <c r="AZ728" i="70"/>
  <c r="AZ730" i="70"/>
  <c r="AZ733" i="70"/>
  <c r="AZ726" i="70"/>
  <c r="AZ731" i="70"/>
  <c r="AZ713" i="70"/>
  <c r="AZ724" i="70"/>
  <c r="AZ124" i="70"/>
  <c r="AZ11" i="70"/>
  <c r="AZ26" i="70"/>
  <c r="AZ616" i="70"/>
  <c r="AZ537" i="70"/>
  <c r="AZ257" i="70"/>
  <c r="AZ651" i="70"/>
  <c r="AZ488" i="70"/>
  <c r="AZ360" i="70"/>
  <c r="AZ17" i="70"/>
  <c r="AZ710" i="70"/>
  <c r="AZ694" i="70"/>
  <c r="AZ556" i="70"/>
  <c r="AZ509" i="70"/>
  <c r="AZ381" i="70"/>
  <c r="AZ253" i="70"/>
  <c r="AZ221" i="70"/>
  <c r="AZ140" i="70"/>
  <c r="AZ97" i="70"/>
  <c r="AZ672" i="70"/>
  <c r="AZ409" i="70"/>
  <c r="AZ639" i="70"/>
  <c r="AZ525" i="70"/>
  <c r="AZ197" i="70"/>
  <c r="AZ35" i="70"/>
  <c r="AZ99" i="70"/>
  <c r="AZ163" i="70"/>
  <c r="AZ56" i="70"/>
  <c r="AZ168" i="70"/>
  <c r="AZ189" i="70"/>
  <c r="AZ226" i="70"/>
  <c r="AZ290" i="70"/>
  <c r="AZ354" i="70"/>
  <c r="AZ402" i="70"/>
  <c r="AZ466" i="70"/>
  <c r="AZ530" i="70"/>
  <c r="AZ594" i="70"/>
  <c r="AZ196" i="70"/>
  <c r="AZ247" i="70"/>
  <c r="AZ311" i="70"/>
  <c r="AZ375" i="70"/>
  <c r="AZ407" i="70"/>
  <c r="AZ423" i="70"/>
  <c r="AZ681" i="70"/>
  <c r="AZ617" i="70"/>
  <c r="AZ560" i="70"/>
  <c r="AZ420" i="70"/>
  <c r="AZ324" i="70"/>
  <c r="AZ659" i="70"/>
  <c r="AZ198" i="70"/>
  <c r="AZ647" i="70"/>
  <c r="AZ280" i="70"/>
  <c r="AZ95" i="70"/>
  <c r="AZ270" i="70"/>
  <c r="AZ542" i="70"/>
  <c r="AZ46" i="70"/>
  <c r="AZ227" i="70"/>
  <c r="AZ492" i="70"/>
  <c r="AZ145" i="70"/>
  <c r="AZ42" i="70"/>
  <c r="AZ23" i="70"/>
  <c r="AZ25" i="70"/>
  <c r="AZ608" i="70"/>
  <c r="AZ527" i="70"/>
  <c r="AZ393" i="70"/>
  <c r="AZ573" i="70"/>
  <c r="AZ674" i="70"/>
  <c r="AZ658" i="70"/>
  <c r="AZ626" i="70"/>
  <c r="AZ551" i="70"/>
  <c r="BA437" i="70"/>
  <c r="AZ437" i="70"/>
  <c r="AZ309" i="70"/>
  <c r="AZ696" i="70"/>
  <c r="AZ664" i="70"/>
  <c r="AZ521" i="70"/>
  <c r="AZ691" i="70"/>
  <c r="AZ663" i="70"/>
  <c r="BA448" i="70"/>
  <c r="AZ448" i="70"/>
  <c r="AZ304" i="70"/>
  <c r="AZ248" i="70"/>
  <c r="AZ176" i="70"/>
  <c r="AZ71" i="70"/>
  <c r="AZ135" i="70"/>
  <c r="AZ28" i="70"/>
  <c r="AZ92" i="70"/>
  <c r="AZ53" i="70"/>
  <c r="AZ194" i="70"/>
  <c r="AZ294" i="70"/>
  <c r="AZ358" i="70"/>
  <c r="BA438" i="70"/>
  <c r="AZ438" i="70"/>
  <c r="AZ502" i="70"/>
  <c r="AZ550" i="70"/>
  <c r="AZ94" i="70"/>
  <c r="AZ219" i="70"/>
  <c r="AZ283" i="70"/>
  <c r="AZ347" i="70"/>
  <c r="BA443" i="70"/>
  <c r="AZ443" i="70"/>
  <c r="AZ507" i="70"/>
  <c r="AZ8" i="70"/>
  <c r="AZ661" i="70"/>
  <c r="AZ597" i="70"/>
  <c r="AZ576" i="70"/>
  <c r="AZ508" i="70"/>
  <c r="AZ284" i="70"/>
  <c r="AZ220" i="70"/>
  <c r="AZ96" i="70"/>
  <c r="AZ33" i="70"/>
  <c r="AZ58" i="70"/>
  <c r="AZ695" i="70"/>
  <c r="AZ579" i="70"/>
  <c r="AZ79" i="70"/>
  <c r="AZ184" i="70"/>
  <c r="AZ254" i="70"/>
  <c r="AZ574" i="70"/>
  <c r="AZ403" i="70"/>
  <c r="AZ90" i="70"/>
  <c r="AZ15" i="70"/>
  <c r="AZ112" i="70"/>
  <c r="AZ700" i="70"/>
  <c r="AZ600" i="70"/>
  <c r="AZ559" i="70"/>
  <c r="AZ313" i="70"/>
  <c r="AZ225" i="70"/>
  <c r="AZ635" i="70"/>
  <c r="AZ603" i="70"/>
  <c r="AZ563" i="70"/>
  <c r="AZ520" i="70"/>
  <c r="AZ392" i="70"/>
  <c r="AZ702" i="70"/>
  <c r="AZ588" i="70"/>
  <c r="AZ567" i="70"/>
  <c r="AZ524" i="70"/>
  <c r="AZ493" i="70"/>
  <c r="AZ397" i="70"/>
  <c r="AZ365" i="70"/>
  <c r="AZ385" i="70"/>
  <c r="AZ623" i="70"/>
  <c r="AZ232" i="70"/>
  <c r="AZ27" i="70"/>
  <c r="AZ91" i="70"/>
  <c r="AZ155" i="70"/>
  <c r="AZ64" i="70"/>
  <c r="AZ200" i="70"/>
  <c r="AZ234" i="70"/>
  <c r="AZ298" i="70"/>
  <c r="AZ362" i="70"/>
  <c r="AZ410" i="70"/>
  <c r="AZ474" i="70"/>
  <c r="AZ38" i="70"/>
  <c r="AZ100" i="70"/>
  <c r="AZ121" i="70"/>
  <c r="AZ142" i="70"/>
  <c r="AZ255" i="70"/>
  <c r="AZ319" i="70"/>
  <c r="AZ383" i="70"/>
  <c r="AZ431" i="70"/>
  <c r="AZ495" i="70"/>
  <c r="AZ673" i="70"/>
  <c r="AZ609" i="70"/>
  <c r="AZ571" i="70"/>
  <c r="AZ528" i="70"/>
  <c r="AZ404" i="70"/>
  <c r="AZ308" i="70"/>
  <c r="AZ244" i="70"/>
  <c r="AZ128" i="70"/>
  <c r="AZ81" i="70"/>
  <c r="AZ22" i="70"/>
  <c r="AZ552" i="70"/>
  <c r="AZ312" i="70"/>
  <c r="AZ453" i="70"/>
  <c r="AZ480" i="70"/>
  <c r="AZ127" i="70"/>
  <c r="AZ350" i="70"/>
  <c r="AZ398" i="70"/>
  <c r="AZ126" i="70"/>
  <c r="AZ275" i="70"/>
  <c r="BA435" i="70"/>
  <c r="AZ435" i="70"/>
  <c r="AZ428" i="70"/>
  <c r="AZ122" i="70"/>
  <c r="AZ89" i="70"/>
  <c r="AZ548" i="70"/>
  <c r="AZ361" i="70"/>
  <c r="AZ47" i="70"/>
  <c r="AZ419" i="70"/>
  <c r="AZ216" i="70"/>
  <c r="AZ159" i="70"/>
  <c r="AZ36" i="70"/>
  <c r="AZ37" i="70"/>
  <c r="AZ302" i="70"/>
  <c r="AZ259" i="70"/>
  <c r="AZ451" i="70"/>
  <c r="AZ460" i="70"/>
  <c r="AZ165" i="70"/>
  <c r="AZ513" i="70"/>
  <c r="AZ703" i="70"/>
  <c r="AZ456" i="70"/>
  <c r="AZ328" i="70"/>
  <c r="AZ686" i="70"/>
  <c r="AZ622" i="70"/>
  <c r="AZ461" i="70"/>
  <c r="AZ333" i="70"/>
  <c r="AZ204" i="70"/>
  <c r="AZ656" i="70"/>
  <c r="AZ624" i="70"/>
  <c r="AZ321" i="70"/>
  <c r="AZ217" i="70"/>
  <c r="AZ683" i="70"/>
  <c r="AZ547" i="70"/>
  <c r="AZ496" i="70"/>
  <c r="AZ368" i="70"/>
  <c r="AZ43" i="70"/>
  <c r="AZ107" i="70"/>
  <c r="AZ171" i="70"/>
  <c r="AZ203" i="70"/>
  <c r="AZ80" i="70"/>
  <c r="AZ29" i="70"/>
  <c r="AZ250" i="70"/>
  <c r="AZ314" i="70"/>
  <c r="AZ378" i="70"/>
  <c r="AZ426" i="70"/>
  <c r="AZ490" i="70"/>
  <c r="AZ538" i="70"/>
  <c r="AZ70" i="70"/>
  <c r="AZ271" i="70"/>
  <c r="AZ335" i="70"/>
  <c r="AZ447" i="70"/>
  <c r="AZ511" i="70"/>
  <c r="AZ20" i="70"/>
  <c r="AZ657" i="70"/>
  <c r="AZ500" i="70"/>
  <c r="AZ276" i="70"/>
  <c r="AZ212" i="70"/>
  <c r="AZ170" i="70"/>
  <c r="AZ209" i="70"/>
  <c r="AZ650" i="70"/>
  <c r="AZ293" i="70"/>
  <c r="AZ150" i="70"/>
  <c r="AZ585" i="70"/>
  <c r="AZ369" i="70"/>
  <c r="AZ191" i="70"/>
  <c r="AZ84" i="70"/>
  <c r="AZ222" i="70"/>
  <c r="AZ462" i="70"/>
  <c r="AZ355" i="70"/>
  <c r="AZ515" i="70"/>
  <c r="AZ685" i="70"/>
  <c r="AZ236" i="70"/>
  <c r="AZ7" i="70"/>
  <c r="AZ692" i="70"/>
  <c r="AZ628" i="70"/>
  <c r="AZ591" i="70"/>
  <c r="AZ376" i="70"/>
  <c r="AZ666" i="70"/>
  <c r="AZ517" i="70"/>
  <c r="AZ108" i="70"/>
  <c r="AZ111" i="70"/>
  <c r="AZ318" i="70"/>
  <c r="AZ558" i="70"/>
  <c r="AZ78" i="70"/>
  <c r="AZ243" i="70"/>
  <c r="AZ483" i="70"/>
  <c r="AZ669" i="70"/>
  <c r="AZ523" i="70"/>
  <c r="AZ396" i="70"/>
  <c r="AZ117" i="70"/>
  <c r="BA432" i="70"/>
  <c r="AZ432" i="70"/>
  <c r="AZ296" i="70"/>
  <c r="AZ59" i="70"/>
  <c r="AZ123" i="70"/>
  <c r="AZ187" i="70"/>
  <c r="AZ32" i="70"/>
  <c r="AZ61" i="70"/>
  <c r="AZ136" i="70"/>
  <c r="AZ157" i="70"/>
  <c r="AZ178" i="70"/>
  <c r="AZ266" i="70"/>
  <c r="AZ330" i="70"/>
  <c r="AZ394" i="70"/>
  <c r="BA442" i="70"/>
  <c r="AZ442" i="70"/>
  <c r="AZ506" i="70"/>
  <c r="AZ554" i="70"/>
  <c r="AZ570" i="70"/>
  <c r="AZ586" i="70"/>
  <c r="AZ223" i="70"/>
  <c r="AZ287" i="70"/>
  <c r="AZ351" i="70"/>
  <c r="AZ399" i="70"/>
  <c r="AZ463" i="70"/>
  <c r="AZ705" i="70"/>
  <c r="AZ641" i="70"/>
  <c r="AZ592" i="70"/>
  <c r="AZ468" i="70"/>
  <c r="AZ372" i="70"/>
  <c r="AZ627" i="70"/>
  <c r="AZ50" i="70"/>
  <c r="AZ31" i="70"/>
  <c r="AZ120" i="70"/>
  <c r="AZ526" i="70"/>
  <c r="AZ371" i="70"/>
  <c r="AZ621" i="70"/>
  <c r="AZ544" i="70"/>
  <c r="AZ364" i="70"/>
  <c r="AZ65" i="70"/>
  <c r="AZ19" i="70"/>
  <c r="AZ289" i="70"/>
  <c r="AZ660" i="70"/>
  <c r="AZ497" i="70"/>
  <c r="AZ595" i="70"/>
  <c r="AZ389" i="70"/>
  <c r="AZ489" i="70"/>
  <c r="AZ416" i="70"/>
  <c r="AZ175" i="70"/>
  <c r="AZ52" i="70"/>
  <c r="AZ69" i="70"/>
  <c r="AZ162" i="70"/>
  <c r="AZ382" i="70"/>
  <c r="BA446" i="70"/>
  <c r="AZ446" i="70"/>
  <c r="AZ307" i="70"/>
  <c r="AZ605" i="70"/>
  <c r="AZ268" i="70"/>
  <c r="AO702" i="70"/>
  <c r="AO588" i="70"/>
  <c r="AO561" i="70"/>
  <c r="AO704" i="70"/>
  <c r="AO640" i="70"/>
  <c r="AT640" i="70"/>
  <c r="AO146" i="70"/>
  <c r="AT146" i="70"/>
  <c r="AO215" i="70"/>
  <c r="AT215" i="70"/>
  <c r="AO703" i="70"/>
  <c r="AO217" i="70"/>
  <c r="AT165" i="70"/>
  <c r="AO563" i="70"/>
  <c r="AT638" i="70"/>
  <c r="AT683" i="70"/>
  <c r="AT178" i="70"/>
  <c r="AO218" i="70"/>
  <c r="BA218" i="70" s="1"/>
  <c r="AT185" i="70"/>
  <c r="AO721" i="70"/>
  <c r="AT468" i="70"/>
  <c r="AO591" i="70"/>
  <c r="AT312" i="70"/>
  <c r="AO325" i="70"/>
  <c r="BA325" i="70" s="1"/>
  <c r="AT175" i="70"/>
  <c r="AT238" i="70"/>
  <c r="AO334" i="70"/>
  <c r="AO227" i="70"/>
  <c r="AO499" i="70"/>
  <c r="AT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T383" i="70"/>
  <c r="AO592" i="70"/>
  <c r="AT212" i="70"/>
  <c r="AT591" i="70"/>
  <c r="AO727" i="70"/>
  <c r="AT650" i="70"/>
  <c r="AO712" i="70"/>
  <c r="AT425" i="70"/>
  <c r="AO707" i="70"/>
  <c r="AO579" i="70"/>
  <c r="AO222" i="70"/>
  <c r="AT366" i="70"/>
  <c r="AO494" i="70"/>
  <c r="AT494" i="70"/>
  <c r="AO221" i="70"/>
  <c r="AO612" i="70"/>
  <c r="AT612" i="70"/>
  <c r="AO578" i="70"/>
  <c r="AO153" i="70"/>
  <c r="AT153" i="70"/>
  <c r="AO225" i="70"/>
  <c r="AO720" i="70"/>
  <c r="AO232" i="70"/>
  <c r="AO330" i="70"/>
  <c r="AO736" i="70"/>
  <c r="AT600" i="70"/>
  <c r="AT671" i="70"/>
  <c r="AT588" i="70"/>
  <c r="AT333" i="70"/>
  <c r="AO589" i="70"/>
  <c r="AT123" i="70"/>
  <c r="AT442" i="70"/>
  <c r="AO570" i="70"/>
  <c r="AT206" i="70"/>
  <c r="AO335" i="70"/>
  <c r="AT511" i="70"/>
  <c r="AO737" i="70"/>
  <c r="AT156" i="70"/>
  <c r="AO728" i="70"/>
  <c r="AO730" i="70"/>
  <c r="AT485" i="70"/>
  <c r="AO229" i="70"/>
  <c r="AO585" i="70"/>
  <c r="AT579" i="70"/>
  <c r="AO216" i="70"/>
  <c r="BA216" i="70" s="1"/>
  <c r="AT52" i="70"/>
  <c r="AO162" i="70"/>
  <c r="AT162" i="70"/>
  <c r="AO580" i="70"/>
  <c r="AT580" i="70"/>
  <c r="AO224" i="70"/>
  <c r="AO726" i="70"/>
  <c r="AO662" i="70"/>
  <c r="AT662" i="70"/>
  <c r="AO338" i="70"/>
  <c r="AO487" i="70"/>
  <c r="AT487" i="70"/>
  <c r="AO329" i="70"/>
  <c r="AO722" i="70"/>
  <c r="AO572" i="70"/>
  <c r="AO337" i="70"/>
  <c r="AO723" i="70"/>
  <c r="AO230" i="70"/>
  <c r="AO331" i="70"/>
  <c r="AO576" i="70"/>
  <c r="AX735" i="70"/>
  <c r="AX715" i="70"/>
  <c r="AX737" i="70"/>
  <c r="AX721" i="70"/>
  <c r="AX727" i="70"/>
  <c r="AX717" i="70"/>
  <c r="AX723" i="70"/>
  <c r="AX725" i="70"/>
  <c r="AX154" i="70"/>
  <c r="AX684" i="70"/>
  <c r="AX616" i="70"/>
  <c r="AX481" i="70"/>
  <c r="AX188" i="70"/>
  <c r="AX360" i="70"/>
  <c r="AX710" i="70"/>
  <c r="AX646" i="70"/>
  <c r="AX577" i="70"/>
  <c r="AX535" i="70"/>
  <c r="AX477" i="70"/>
  <c r="AX349" i="70"/>
  <c r="AX182" i="70"/>
  <c r="AX672" i="70"/>
  <c r="AX353" i="70"/>
  <c r="AX699" i="70"/>
  <c r="AX464" i="70"/>
  <c r="AX51" i="70"/>
  <c r="AX115" i="70"/>
  <c r="AX179" i="70"/>
  <c r="AX24" i="70"/>
  <c r="AX88" i="70"/>
  <c r="AX125" i="70"/>
  <c r="AX146" i="70"/>
  <c r="AX242" i="70"/>
  <c r="AX290" i="70"/>
  <c r="AX354" i="70"/>
  <c r="AX418" i="70"/>
  <c r="AX482" i="70"/>
  <c r="AX594" i="70"/>
  <c r="AX54" i="70"/>
  <c r="AX132" i="70"/>
  <c r="AX215" i="70"/>
  <c r="AX279" i="70"/>
  <c r="AX343" i="70"/>
  <c r="AX439" i="70"/>
  <c r="AX503" i="70"/>
  <c r="AX12" i="70"/>
  <c r="AX617" i="70"/>
  <c r="AX484" i="70"/>
  <c r="AX356" i="70"/>
  <c r="AX228" i="70"/>
  <c r="AX49" i="70"/>
  <c r="AX21" i="70"/>
  <c r="AX421" i="70"/>
  <c r="AX680" i="70"/>
  <c r="AX647" i="70"/>
  <c r="AX280" i="70"/>
  <c r="AX143" i="70"/>
  <c r="AX68" i="70"/>
  <c r="AX98" i="70"/>
  <c r="AX414" i="70"/>
  <c r="AX291" i="70"/>
  <c r="AX467" i="70"/>
  <c r="AX653" i="70"/>
  <c r="AX113" i="70"/>
  <c r="AX569" i="70"/>
  <c r="AX329" i="70"/>
  <c r="AX241" i="70"/>
  <c r="AX573" i="70"/>
  <c r="AX472" i="70"/>
  <c r="AX208" i="70"/>
  <c r="AX674" i="70"/>
  <c r="AX610" i="70"/>
  <c r="AX529" i="70"/>
  <c r="AX405" i="70"/>
  <c r="AX277" i="70"/>
  <c r="AX245" i="70"/>
  <c r="AX129" i="70"/>
  <c r="AX82" i="70"/>
  <c r="AX604" i="70"/>
  <c r="AX564" i="70"/>
  <c r="AX457" i="70"/>
  <c r="AX631" i="70"/>
  <c r="AX599" i="70"/>
  <c r="AX557" i="70"/>
  <c r="AX304" i="70"/>
  <c r="AX87" i="70"/>
  <c r="AX151" i="70"/>
  <c r="AX60" i="70"/>
  <c r="AX85" i="70"/>
  <c r="AX173" i="70"/>
  <c r="AX214" i="70"/>
  <c r="AX262" i="70"/>
  <c r="AX326" i="70"/>
  <c r="AX390" i="70"/>
  <c r="AX454" i="70"/>
  <c r="AX518" i="70"/>
  <c r="AX566" i="70"/>
  <c r="AX180" i="70"/>
  <c r="AX201" i="70"/>
  <c r="AX299" i="70"/>
  <c r="AX363" i="70"/>
  <c r="AX411" i="70"/>
  <c r="AO558" i="70"/>
  <c r="AO590" i="70"/>
  <c r="AO717" i="70"/>
  <c r="AO332" i="70"/>
  <c r="AO226" i="70"/>
  <c r="AO729" i="70"/>
  <c r="AO581" i="70"/>
  <c r="AT106" i="70"/>
  <c r="AT249" i="70"/>
  <c r="AT73" i="70"/>
  <c r="AT166" i="70"/>
  <c r="AO593" i="70"/>
  <c r="AT529" i="70"/>
  <c r="AT28" i="70"/>
  <c r="AO326" i="70"/>
  <c r="BA326" i="70" s="1"/>
  <c r="AT534" i="70"/>
  <c r="AO566" i="70"/>
  <c r="AO725" i="70"/>
  <c r="AT284" i="70"/>
  <c r="AO220" i="70"/>
  <c r="AX732" i="70"/>
  <c r="AX101" i="70"/>
  <c r="AX652" i="70"/>
  <c r="AX417" i="70"/>
  <c r="AX619" i="70"/>
  <c r="AX584" i="70"/>
  <c r="AX288" i="70"/>
  <c r="AX694" i="70"/>
  <c r="AX630" i="70"/>
  <c r="AX445" i="70"/>
  <c r="AX317" i="70"/>
  <c r="AX640" i="70"/>
  <c r="AX532" i="70"/>
  <c r="AX265" i="70"/>
  <c r="AX667" i="70"/>
  <c r="AX400" i="70"/>
  <c r="AX67" i="70"/>
  <c r="AX131" i="70"/>
  <c r="AX40" i="70"/>
  <c r="AX45" i="70"/>
  <c r="AX306" i="70"/>
  <c r="AX370" i="70"/>
  <c r="AX434" i="70"/>
  <c r="AX498" i="70"/>
  <c r="AX546" i="70"/>
  <c r="AX86" i="70"/>
  <c r="AX153" i="70"/>
  <c r="AX174" i="70"/>
  <c r="AX231" i="70"/>
  <c r="AX295" i="70"/>
  <c r="AX359" i="70"/>
  <c r="AX455" i="70"/>
  <c r="AX519" i="70"/>
  <c r="AX581" i="70"/>
  <c r="AX539" i="70"/>
  <c r="AX452" i="70"/>
  <c r="AX324" i="70"/>
  <c r="AX192" i="70"/>
  <c r="AX156" i="70"/>
  <c r="AX682" i="70"/>
  <c r="AX540" i="70"/>
  <c r="AX357" i="70"/>
  <c r="AX229" i="70"/>
  <c r="AX205" i="70"/>
  <c r="AX478" i="70"/>
  <c r="AX148" i="70"/>
  <c r="AX339" i="70"/>
  <c r="AX336" i="70"/>
  <c r="AX14" i="70"/>
  <c r="AX281" i="70"/>
  <c r="AX708" i="70"/>
  <c r="AX644" i="70"/>
  <c r="AX166" i="70"/>
  <c r="AX679" i="70"/>
  <c r="AX643" i="70"/>
  <c r="AX531" i="70"/>
  <c r="AX408" i="70"/>
  <c r="AX13" i="70"/>
  <c r="AX658" i="70"/>
  <c r="AX501" i="70"/>
  <c r="AX373" i="70"/>
  <c r="AX213" i="70"/>
  <c r="AX632" i="70"/>
  <c r="AX401" i="70"/>
  <c r="AX512" i="70"/>
  <c r="AX248" i="70"/>
  <c r="AX39" i="70"/>
  <c r="AX103" i="70"/>
  <c r="AX167" i="70"/>
  <c r="AX199" i="70"/>
  <c r="AX76" i="70"/>
  <c r="AX109" i="70"/>
  <c r="AX130" i="70"/>
  <c r="AX230" i="70"/>
  <c r="AX278" i="70"/>
  <c r="AX342" i="70"/>
  <c r="AX406" i="70"/>
  <c r="AX470" i="70"/>
  <c r="AX534" i="70"/>
  <c r="AX582" i="70"/>
  <c r="AX30" i="70"/>
  <c r="AX116" i="70"/>
  <c r="AX251" i="70"/>
  <c r="AX315" i="70"/>
  <c r="AX379" i="70"/>
  <c r="AX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AX718" i="70"/>
  <c r="AX714" i="70"/>
  <c r="AX716" i="70"/>
  <c r="AX726" i="70"/>
  <c r="AX731" i="70"/>
  <c r="AX729" i="70"/>
  <c r="AX711" i="70"/>
  <c r="AX177" i="70"/>
  <c r="AX124" i="70"/>
  <c r="AX102" i="70"/>
  <c r="AX11" i="70"/>
  <c r="AX9" i="70"/>
  <c r="AX134" i="70"/>
  <c r="AX57" i="70"/>
  <c r="AX345" i="70"/>
  <c r="AX541" i="70"/>
  <c r="AX488" i="70"/>
  <c r="AX224" i="70"/>
  <c r="AX678" i="70"/>
  <c r="AX614" i="70"/>
  <c r="AX413" i="70"/>
  <c r="AX285" i="70"/>
  <c r="AX140" i="70"/>
  <c r="AX612" i="70"/>
  <c r="AX575" i="70"/>
  <c r="AX473" i="70"/>
  <c r="AX639" i="70"/>
  <c r="AX320" i="70"/>
  <c r="AX83" i="70"/>
  <c r="AX147" i="70"/>
  <c r="AX56" i="70"/>
  <c r="AX77" i="70"/>
  <c r="AX168" i="70"/>
  <c r="AX210" i="70"/>
  <c r="AX258" i="70"/>
  <c r="AX322" i="70"/>
  <c r="AX386" i="70"/>
  <c r="AX450" i="70"/>
  <c r="AX514" i="70"/>
  <c r="AX562" i="70"/>
  <c r="AX110" i="70"/>
  <c r="AX247" i="70"/>
  <c r="AX311" i="70"/>
  <c r="AX375" i="70"/>
  <c r="AX407" i="70"/>
  <c r="AX471" i="70"/>
  <c r="AX697" i="70"/>
  <c r="AX649" i="70"/>
  <c r="AX633" i="70"/>
  <c r="AX560" i="70"/>
  <c r="AX420" i="70"/>
  <c r="AX292" i="70"/>
  <c r="AX149" i="70"/>
  <c r="AX106" i="70"/>
  <c r="AX618" i="70"/>
  <c r="AX270" i="70"/>
  <c r="AX227" i="70"/>
  <c r="AX387" i="70"/>
  <c r="AX492" i="70"/>
  <c r="AX202" i="70"/>
  <c r="AX73" i="70"/>
  <c r="AX18" i="70"/>
  <c r="AX133" i="70"/>
  <c r="AX676" i="70"/>
  <c r="AX608" i="70"/>
  <c r="AX465" i="70"/>
  <c r="AX344" i="70"/>
  <c r="AX706" i="70"/>
  <c r="AX642" i="70"/>
  <c r="AX593" i="70"/>
  <c r="AX551" i="70"/>
  <c r="AX469" i="70"/>
  <c r="AX341" i="70"/>
  <c r="AX664" i="70"/>
  <c r="AX337" i="70"/>
  <c r="AX233" i="70"/>
  <c r="AX691" i="70"/>
  <c r="AX448" i="70"/>
  <c r="AX176" i="70"/>
  <c r="AX55" i="70"/>
  <c r="AX119" i="70"/>
  <c r="AX183" i="70"/>
  <c r="AX28" i="70"/>
  <c r="AX92" i="70"/>
  <c r="AX194" i="70"/>
  <c r="AX246" i="70"/>
  <c r="AX294" i="70"/>
  <c r="AX358" i="70"/>
  <c r="AX422" i="70"/>
  <c r="AX486" i="70"/>
  <c r="AX62" i="70"/>
  <c r="AX137" i="70"/>
  <c r="AX158" i="70"/>
  <c r="AX219" i="70"/>
  <c r="AX267" i="70"/>
  <c r="AX331" i="70"/>
  <c r="AX395" i="70"/>
  <c r="AX443" i="70"/>
  <c r="AO339" i="70"/>
  <c r="AO733" i="70"/>
  <c r="AO719" i="70"/>
  <c r="AO584" i="70"/>
  <c r="AO577" i="70"/>
  <c r="AT97" i="70"/>
  <c r="AT473" i="70"/>
  <c r="AO731" i="70"/>
  <c r="AO568" i="70"/>
  <c r="AT99" i="70"/>
  <c r="AT418" i="70"/>
  <c r="AT359" i="70"/>
  <c r="AO713" i="70"/>
  <c r="AT601" i="70"/>
  <c r="AO560" i="70"/>
  <c r="AO708" i="70"/>
  <c r="AO569" i="70"/>
  <c r="AO711" i="70"/>
  <c r="AO573" i="70"/>
  <c r="AT674" i="70"/>
  <c r="AT572" i="70"/>
  <c r="AT604" i="70"/>
  <c r="AO564" i="70"/>
  <c r="AT448" i="70"/>
  <c r="AT278" i="70"/>
  <c r="AO582" i="70"/>
  <c r="AO709" i="70"/>
  <c r="AX736" i="70"/>
  <c r="AX734" i="70"/>
  <c r="AX720" i="70"/>
  <c r="AX728" i="70"/>
  <c r="AX730" i="70"/>
  <c r="AX712" i="70"/>
  <c r="AX733" i="70"/>
  <c r="AX719" i="70"/>
  <c r="AX713" i="70"/>
  <c r="AX722" i="70"/>
  <c r="AX724" i="70"/>
  <c r="AX26" i="70"/>
  <c r="AX580" i="70"/>
  <c r="AX537" i="70"/>
  <c r="AX257" i="70"/>
  <c r="AX687" i="70"/>
  <c r="AX651" i="70"/>
  <c r="AX424" i="70"/>
  <c r="AX17" i="70"/>
  <c r="AX662" i="70"/>
  <c r="AX598" i="70"/>
  <c r="AX556" i="70"/>
  <c r="AX509" i="70"/>
  <c r="AX381" i="70"/>
  <c r="AX253" i="70"/>
  <c r="AX221" i="70"/>
  <c r="AX97" i="70"/>
  <c r="AX704" i="70"/>
  <c r="AX409" i="70"/>
  <c r="AX607" i="70"/>
  <c r="AX568" i="70"/>
  <c r="AX525" i="70"/>
  <c r="AX264" i="70"/>
  <c r="AX197" i="70"/>
  <c r="AX35" i="70"/>
  <c r="AX99" i="70"/>
  <c r="AX163" i="70"/>
  <c r="AX195" i="70"/>
  <c r="AX72" i="70"/>
  <c r="AX104" i="70"/>
  <c r="AX189" i="70"/>
  <c r="AX226" i="70"/>
  <c r="AX274" i="70"/>
  <c r="AX338" i="70"/>
  <c r="AX402" i="70"/>
  <c r="AX466" i="70"/>
  <c r="AX530" i="70"/>
  <c r="AX578" i="70"/>
  <c r="AX196" i="70"/>
  <c r="AX263" i="70"/>
  <c r="AX327" i="70"/>
  <c r="AX391" i="70"/>
  <c r="AX423" i="70"/>
  <c r="AX487" i="70"/>
  <c r="AX681" i="70"/>
  <c r="AX665" i="70"/>
  <c r="AX601" i="70"/>
  <c r="AX516" i="70"/>
  <c r="AX388" i="70"/>
  <c r="AX260" i="70"/>
  <c r="AX659" i="70"/>
  <c r="AX440" i="70"/>
  <c r="AX543" i="70"/>
  <c r="AX198" i="70"/>
  <c r="AX536" i="70"/>
  <c r="AX95" i="70"/>
  <c r="AX207" i="70"/>
  <c r="AX334" i="70"/>
  <c r="AX542" i="70"/>
  <c r="AX46" i="70"/>
  <c r="AX16" i="70"/>
  <c r="AX587" i="70"/>
  <c r="AX332" i="70"/>
  <c r="AX145" i="70"/>
  <c r="AX42" i="70"/>
  <c r="AX23" i="70"/>
  <c r="AX25" i="70"/>
  <c r="AX527" i="70"/>
  <c r="AX393" i="70"/>
  <c r="AX611" i="70"/>
  <c r="AX272" i="70"/>
  <c r="AX690" i="70"/>
  <c r="AX626" i="70"/>
  <c r="AX572" i="70"/>
  <c r="AX437" i="70"/>
  <c r="AX309" i="70"/>
  <c r="AX172" i="70"/>
  <c r="AX696" i="70"/>
  <c r="AX521" i="70"/>
  <c r="AX663" i="70"/>
  <c r="AX384" i="70"/>
  <c r="AX71" i="70"/>
  <c r="AX135" i="70"/>
  <c r="AX44" i="70"/>
  <c r="AX53" i="70"/>
  <c r="AX152" i="70"/>
  <c r="AX310" i="70"/>
  <c r="AX374" i="70"/>
  <c r="AX438" i="70"/>
  <c r="AX502" i="70"/>
  <c r="AX550" i="70"/>
  <c r="AX94" i="70"/>
  <c r="AX235" i="70"/>
  <c r="AX283" i="70"/>
  <c r="AX347" i="70"/>
  <c r="AX459" i="70"/>
  <c r="AX709" i="70"/>
  <c r="AX645" i="70"/>
  <c r="AX613" i="70"/>
  <c r="AX597" i="70"/>
  <c r="AX555" i="70"/>
  <c r="AX476" i="70"/>
  <c r="AX348" i="70"/>
  <c r="AX220" i="70"/>
  <c r="AX33" i="70"/>
  <c r="AX58" i="70"/>
  <c r="AX504" i="70"/>
  <c r="AX561" i="70"/>
  <c r="AX352" i="70"/>
  <c r="AX79" i="70"/>
  <c r="AX36" i="70"/>
  <c r="AX302" i="70"/>
  <c r="AX403" i="70"/>
  <c r="AX565" i="70"/>
  <c r="AX460" i="70"/>
  <c r="AX90" i="70"/>
  <c r="AX15" i="70"/>
  <c r="AX600" i="70"/>
  <c r="AX313" i="70"/>
  <c r="AX225" i="70"/>
  <c r="AX671" i="70"/>
  <c r="AX635" i="70"/>
  <c r="AX456" i="70"/>
  <c r="AX654" i="70"/>
  <c r="AX588" i="70"/>
  <c r="AX567" i="70"/>
  <c r="AX493" i="70"/>
  <c r="AX365" i="70"/>
  <c r="AX688" i="70"/>
  <c r="AX385" i="70"/>
  <c r="AX683" i="70"/>
  <c r="AX496" i="70"/>
  <c r="AX232" i="70"/>
  <c r="AX43" i="70"/>
  <c r="AX107" i="70"/>
  <c r="AX171" i="70"/>
  <c r="AX203" i="70"/>
  <c r="AX80" i="70"/>
  <c r="AX200" i="70"/>
  <c r="AX234" i="70"/>
  <c r="AX282" i="70"/>
  <c r="AX346" i="70"/>
  <c r="AX410" i="70"/>
  <c r="AX474" i="70"/>
  <c r="AX586" i="70"/>
  <c r="AX38" i="70"/>
  <c r="AX121" i="70"/>
  <c r="AX142" i="70"/>
  <c r="AX271" i="70"/>
  <c r="AX335" i="70"/>
  <c r="AX431" i="70"/>
  <c r="AX495" i="70"/>
  <c r="AX20" i="70"/>
  <c r="AX657" i="70"/>
  <c r="AX625" i="70"/>
  <c r="AX500" i="70"/>
  <c r="AX372" i="70"/>
  <c r="AX244" i="70"/>
  <c r="AX81" i="70"/>
  <c r="AX22" i="70"/>
  <c r="AX552" i="70"/>
  <c r="AX453" i="70"/>
  <c r="AX585" i="70"/>
  <c r="AX127" i="70"/>
  <c r="AX84" i="70"/>
  <c r="AX222" i="70"/>
  <c r="AX590" i="70"/>
  <c r="AX126" i="70"/>
  <c r="AX275" i="70"/>
  <c r="AX435" i="70"/>
  <c r="AX685" i="70"/>
  <c r="AX364" i="70"/>
  <c r="AX122" i="70"/>
  <c r="AX89" i="70"/>
  <c r="AX692" i="70"/>
  <c r="AX628" i="70"/>
  <c r="AX361" i="70"/>
  <c r="AX602" i="70"/>
  <c r="AX108" i="70"/>
  <c r="AX47" i="70"/>
  <c r="AX318" i="70"/>
  <c r="AX243" i="70"/>
  <c r="AX419" i="70"/>
  <c r="AX669" i="70"/>
  <c r="AX523" i="70"/>
  <c r="AX268" i="70"/>
  <c r="AX475" i="70"/>
  <c r="AX693" i="70"/>
  <c r="AX629" i="70"/>
  <c r="AX444" i="70"/>
  <c r="AX316" i="70"/>
  <c r="AX181" i="70"/>
  <c r="AX138" i="70"/>
  <c r="AX695" i="70"/>
  <c r="AX240" i="70"/>
  <c r="AX485" i="70"/>
  <c r="AX620" i="70"/>
  <c r="AX425" i="70"/>
  <c r="AX579" i="70"/>
  <c r="AX216" i="70"/>
  <c r="AX159" i="70"/>
  <c r="AX37" i="70"/>
  <c r="AX366" i="70"/>
  <c r="AX574" i="70"/>
  <c r="AX259" i="70"/>
  <c r="AX451" i="70"/>
  <c r="AX701" i="70"/>
  <c r="AX300" i="70"/>
  <c r="AX165" i="70"/>
  <c r="AX513" i="70"/>
  <c r="AX703" i="70"/>
  <c r="AX563" i="70"/>
  <c r="AX392" i="70"/>
  <c r="AX702" i="70"/>
  <c r="AX638" i="70"/>
  <c r="AX461" i="70"/>
  <c r="AX333" i="70"/>
  <c r="AX204" i="70"/>
  <c r="AX656" i="70"/>
  <c r="AX596" i="70"/>
  <c r="AX553" i="70"/>
  <c r="AX321" i="70"/>
  <c r="AX217" i="70"/>
  <c r="AX432" i="70"/>
  <c r="AX59" i="70"/>
  <c r="AX123" i="70"/>
  <c r="AX187" i="70"/>
  <c r="AX32" i="70"/>
  <c r="AX29" i="70"/>
  <c r="AX136" i="70"/>
  <c r="AX298" i="70"/>
  <c r="AX362" i="70"/>
  <c r="AX426" i="70"/>
  <c r="AX490" i="70"/>
  <c r="AX538" i="70"/>
  <c r="AX70" i="70"/>
  <c r="AX223" i="70"/>
  <c r="AX287" i="70"/>
  <c r="AX351" i="70"/>
  <c r="AX447" i="70"/>
  <c r="AX511" i="70"/>
  <c r="AX705" i="70"/>
  <c r="AX673" i="70"/>
  <c r="AX592" i="70"/>
  <c r="AX468" i="70"/>
  <c r="AX340" i="70"/>
  <c r="AX212" i="70"/>
  <c r="AX170" i="70"/>
  <c r="AX209" i="70"/>
  <c r="AX627" i="70"/>
  <c r="AX312" i="70"/>
  <c r="AX293" i="70"/>
  <c r="AX150" i="70"/>
  <c r="AX369" i="70"/>
  <c r="AX191" i="70"/>
  <c r="AX120" i="70"/>
  <c r="AX398" i="70"/>
  <c r="AX462" i="70"/>
  <c r="AX355" i="70"/>
  <c r="AX515" i="70"/>
  <c r="AX621" i="70"/>
  <c r="AX236" i="70"/>
  <c r="AX7" i="70"/>
  <c r="AX660" i="70"/>
  <c r="AX591" i="70"/>
  <c r="AX517" i="70"/>
  <c r="AX416" i="70"/>
  <c r="AX111" i="70"/>
  <c r="AX52" i="70"/>
  <c r="AX382" i="70"/>
  <c r="AX558" i="70"/>
  <c r="AX78" i="70"/>
  <c r="AX483" i="70"/>
  <c r="AX605" i="70"/>
  <c r="AX117" i="70"/>
  <c r="AX491" i="70"/>
  <c r="AX6" i="70"/>
  <c r="AX677" i="70"/>
  <c r="AX533" i="70"/>
  <c r="AX412" i="70"/>
  <c r="AX284" i="70"/>
  <c r="AX297" i="70"/>
  <c r="AX698" i="70"/>
  <c r="AX325" i="70"/>
  <c r="AX141" i="70"/>
  <c r="AX430" i="70"/>
  <c r="AX105" i="70"/>
  <c r="AX190" i="70"/>
  <c r="AX323" i="70"/>
  <c r="AX499" i="70"/>
  <c r="AX637" i="70"/>
  <c r="AX160" i="70"/>
  <c r="AX144" i="70"/>
  <c r="AX668" i="70"/>
  <c r="AX449" i="70"/>
  <c r="AX328" i="70"/>
  <c r="AX686" i="70"/>
  <c r="AX622" i="70"/>
  <c r="AX545" i="70"/>
  <c r="AX429" i="70"/>
  <c r="AX301" i="70"/>
  <c r="AX161" i="70"/>
  <c r="AX118" i="70"/>
  <c r="AX624" i="70"/>
  <c r="AX505" i="70"/>
  <c r="AX655" i="70"/>
  <c r="AX589" i="70"/>
  <c r="AX547" i="70"/>
  <c r="AX368" i="70"/>
  <c r="AX75" i="70"/>
  <c r="AX139" i="70"/>
  <c r="AX48" i="70"/>
  <c r="AX61" i="70"/>
  <c r="AX157" i="70"/>
  <c r="AX178" i="70"/>
  <c r="AX250" i="70"/>
  <c r="AX314" i="70"/>
  <c r="AX378" i="70"/>
  <c r="AX442" i="70"/>
  <c r="AX506" i="70"/>
  <c r="AX554" i="70"/>
  <c r="AX164" i="70"/>
  <c r="AX206" i="70"/>
  <c r="AX239" i="70"/>
  <c r="AX303" i="70"/>
  <c r="AX367" i="70"/>
  <c r="AX399" i="70"/>
  <c r="AX463" i="70"/>
  <c r="AX689" i="70"/>
  <c r="AX641" i="70"/>
  <c r="AX436" i="70"/>
  <c r="AX308" i="70"/>
  <c r="AX650" i="70"/>
  <c r="AX50" i="70"/>
  <c r="AX31" i="70"/>
  <c r="AX286" i="70"/>
  <c r="AX526" i="70"/>
  <c r="AX211" i="70"/>
  <c r="AX371" i="70"/>
  <c r="AX544" i="70"/>
  <c r="AX65" i="70"/>
  <c r="AX19" i="70"/>
  <c r="AX289" i="70"/>
  <c r="AX497" i="70"/>
  <c r="AX376" i="70"/>
  <c r="AX389" i="70"/>
  <c r="AX648" i="70"/>
  <c r="AX489" i="70"/>
  <c r="AX615" i="70"/>
  <c r="AX175" i="70"/>
  <c r="AX69" i="70"/>
  <c r="AX162" i="70"/>
  <c r="AX238" i="70"/>
  <c r="AX446" i="70"/>
  <c r="AX307" i="70"/>
  <c r="AX507" i="70"/>
  <c r="AX8" i="70"/>
  <c r="AX661" i="70"/>
  <c r="AX576" i="70"/>
  <c r="AX508" i="70"/>
  <c r="AX380" i="70"/>
  <c r="AX252" i="70"/>
  <c r="AX96" i="70"/>
  <c r="AX634" i="70"/>
  <c r="AX193" i="70"/>
  <c r="AX707" i="70"/>
  <c r="AX184" i="70"/>
  <c r="AX254" i="70"/>
  <c r="AX510" i="70"/>
  <c r="AX305" i="70"/>
  <c r="AX34" i="70"/>
  <c r="AX41" i="70"/>
  <c r="AX10" i="70"/>
  <c r="AX112" i="70"/>
  <c r="AX700" i="70"/>
  <c r="AX636" i="70"/>
  <c r="AX559" i="70"/>
  <c r="AX377" i="70"/>
  <c r="AX603" i="70"/>
  <c r="AX520" i="70"/>
  <c r="AX256" i="70"/>
  <c r="AX186" i="70"/>
  <c r="AX670" i="70"/>
  <c r="AX606" i="70"/>
  <c r="AX524" i="70"/>
  <c r="AX397" i="70"/>
  <c r="AX269" i="70"/>
  <c r="AX237" i="70"/>
  <c r="AX66" i="70"/>
  <c r="AX441" i="70"/>
  <c r="AX623" i="70"/>
  <c r="AX296" i="70"/>
  <c r="AX27" i="70"/>
  <c r="AX91" i="70"/>
  <c r="AX155" i="70"/>
  <c r="AX64" i="70"/>
  <c r="AX93" i="70"/>
  <c r="AX114" i="70"/>
  <c r="AX218" i="70"/>
  <c r="AX266" i="70"/>
  <c r="AX330" i="70"/>
  <c r="AX394" i="70"/>
  <c r="AX458" i="70"/>
  <c r="AX522" i="70"/>
  <c r="AX570" i="70"/>
  <c r="AX100" i="70"/>
  <c r="AX185" i="70"/>
  <c r="AX255" i="70"/>
  <c r="AX319" i="70"/>
  <c r="AX383" i="70"/>
  <c r="AX415" i="70"/>
  <c r="AX479" i="70"/>
  <c r="AX609" i="70"/>
  <c r="AX571" i="70"/>
  <c r="AX549" i="70"/>
  <c r="AX528" i="70"/>
  <c r="AX404" i="70"/>
  <c r="AX276" i="70"/>
  <c r="AX128" i="70"/>
  <c r="AX583" i="70"/>
  <c r="AX675" i="70"/>
  <c r="AX480" i="70"/>
  <c r="AX63" i="70"/>
  <c r="AX350" i="70"/>
  <c r="AX428" i="70"/>
  <c r="AX249" i="70"/>
  <c r="AX548" i="70"/>
  <c r="AX433" i="70"/>
  <c r="AX595" i="70"/>
  <c r="AX666" i="70"/>
  <c r="AX261" i="70"/>
  <c r="AX273" i="70"/>
  <c r="AX494" i="70"/>
  <c r="AX169" i="70"/>
  <c r="AX396" i="70"/>
  <c r="AO319" i="70"/>
  <c r="AT319" i="70"/>
  <c r="AO340" i="70"/>
  <c r="AT340" i="70"/>
  <c r="AO714" i="70"/>
  <c r="AT714" i="70"/>
  <c r="AT559" i="70"/>
  <c r="AT256" i="70"/>
  <c r="AT567" i="70"/>
  <c r="AT720" i="70"/>
  <c r="AT296" i="70"/>
  <c r="AT64" i="70"/>
  <c r="AT314" i="70"/>
  <c r="AO378" i="70"/>
  <c r="AT378" i="70"/>
  <c r="AO223" i="70"/>
  <c r="AT223" i="70"/>
  <c r="AO447" i="70"/>
  <c r="AT447" i="70"/>
  <c r="AO22" i="70"/>
  <c r="AT22" i="70"/>
  <c r="AO583" i="70"/>
  <c r="AT583" i="70"/>
  <c r="AT90" i="70"/>
  <c r="AT636" i="70"/>
  <c r="AT313" i="70"/>
  <c r="AT702" i="70"/>
  <c r="AT461" i="70"/>
  <c r="AT385" i="70"/>
  <c r="AT59" i="70"/>
  <c r="AT93" i="70"/>
  <c r="AO506" i="70"/>
  <c r="AT506" i="70"/>
  <c r="AO303" i="70"/>
  <c r="AT303" i="70"/>
  <c r="AO705" i="70"/>
  <c r="AT705" i="70"/>
  <c r="AT668" i="70"/>
  <c r="AO100" i="70"/>
  <c r="AT100" i="70"/>
  <c r="AO571" i="70"/>
  <c r="AT571" i="70"/>
  <c r="AO660" i="70"/>
  <c r="AT660" i="70"/>
  <c r="AO695" i="70"/>
  <c r="AT695" i="70"/>
  <c r="AT357" i="70"/>
  <c r="AT352" i="70"/>
  <c r="AT430" i="70"/>
  <c r="AT169" i="70"/>
  <c r="AT435" i="70"/>
  <c r="AT587" i="70"/>
  <c r="AT65" i="70"/>
  <c r="AT124" i="70"/>
  <c r="AT716" i="70"/>
  <c r="AT719" i="70"/>
  <c r="AT598" i="70"/>
  <c r="AT556" i="70"/>
  <c r="AT253" i="70"/>
  <c r="AT163" i="70"/>
  <c r="AT226" i="70"/>
  <c r="AT482" i="70"/>
  <c r="AT676" i="70"/>
  <c r="AT230" i="70"/>
  <c r="AT283" i="70"/>
  <c r="AT8" i="70"/>
  <c r="AT412" i="70"/>
  <c r="AO14" i="70"/>
  <c r="AT14" i="70"/>
  <c r="AT50" i="70"/>
  <c r="AT680" i="70"/>
  <c r="AT707" i="70"/>
  <c r="AT111" i="70"/>
  <c r="AT69" i="70"/>
  <c r="AT302" i="70"/>
  <c r="AT558" i="70"/>
  <c r="AT307" i="70"/>
  <c r="AT717" i="70"/>
  <c r="AT364" i="70"/>
  <c r="AT57" i="70"/>
  <c r="AT652" i="70"/>
  <c r="AT726" i="70"/>
  <c r="AT509" i="70"/>
  <c r="AT731" i="70"/>
  <c r="AT35" i="70"/>
  <c r="AT45" i="70"/>
  <c r="AT354" i="70"/>
  <c r="AT54" i="70"/>
  <c r="AT247" i="70"/>
  <c r="AT295" i="70"/>
  <c r="AT729" i="70"/>
  <c r="AT388" i="70"/>
  <c r="AT611" i="70"/>
  <c r="AT610" i="70"/>
  <c r="AT277" i="70"/>
  <c r="AT233" i="70"/>
  <c r="AT87" i="70"/>
  <c r="AT130" i="70"/>
  <c r="AT406" i="70"/>
  <c r="AT137" i="70"/>
  <c r="AT411" i="70"/>
  <c r="AT613" i="70"/>
  <c r="AT138" i="70"/>
  <c r="AT260" i="70"/>
  <c r="AT408" i="70"/>
  <c r="AT129" i="70"/>
  <c r="AT724" i="70"/>
  <c r="AT632" i="70"/>
  <c r="AT631" i="70"/>
  <c r="AT151" i="70"/>
  <c r="AT470" i="70"/>
  <c r="AT219" i="70"/>
  <c r="AT475" i="70"/>
  <c r="AT533" i="70"/>
  <c r="AT712" i="70"/>
  <c r="AT377" i="70"/>
  <c r="AT703" i="70"/>
  <c r="AT563" i="70"/>
  <c r="AT328" i="70"/>
  <c r="AT718" i="70"/>
  <c r="AT654" i="70"/>
  <c r="AT493" i="70"/>
  <c r="AT365" i="70"/>
  <c r="AT237" i="70"/>
  <c r="AT66" i="70"/>
  <c r="AT624" i="70"/>
  <c r="AT441" i="70"/>
  <c r="AT715" i="70"/>
  <c r="AT589" i="70"/>
  <c r="AT368" i="70"/>
  <c r="AT43" i="70"/>
  <c r="AT107" i="70"/>
  <c r="AT171" i="70"/>
  <c r="AT48" i="70"/>
  <c r="AT61" i="70"/>
  <c r="AT157" i="70"/>
  <c r="AT234" i="70"/>
  <c r="AT298" i="70"/>
  <c r="AT362" i="70"/>
  <c r="AT426" i="70"/>
  <c r="AT490" i="70"/>
  <c r="AT554" i="70"/>
  <c r="AT70" i="70"/>
  <c r="AT164" i="70"/>
  <c r="AT367" i="70"/>
  <c r="AT431" i="70"/>
  <c r="AT495" i="70"/>
  <c r="AT721" i="70"/>
  <c r="AT657" i="70"/>
  <c r="AT592" i="70"/>
  <c r="AT500" i="70"/>
  <c r="AT372" i="70"/>
  <c r="AT244" i="70"/>
  <c r="AT81" i="70"/>
  <c r="AT289" i="70"/>
  <c r="AT89" i="70"/>
  <c r="AT433" i="70"/>
  <c r="AT727" i="70"/>
  <c r="AT595" i="70"/>
  <c r="AT376" i="70"/>
  <c r="AT730" i="70"/>
  <c r="AT666" i="70"/>
  <c r="AT602" i="70"/>
  <c r="AT517" i="70"/>
  <c r="AT389" i="70"/>
  <c r="AT261" i="70"/>
  <c r="AT108" i="70"/>
  <c r="AT489" i="70"/>
  <c r="AT198" i="70"/>
  <c r="AT615" i="70"/>
  <c r="AT416" i="70"/>
  <c r="AT31" i="70"/>
  <c r="AT95" i="70"/>
  <c r="AT159" i="70"/>
  <c r="AT36" i="70"/>
  <c r="AT37" i="70"/>
  <c r="AT141" i="70"/>
  <c r="AT286" i="70"/>
  <c r="AT350" i="70"/>
  <c r="AT414" i="70"/>
  <c r="AT478" i="70"/>
  <c r="AT542" i="70"/>
  <c r="AT46" i="70"/>
  <c r="AT148" i="70"/>
  <c r="AT227" i="70"/>
  <c r="AT291" i="70"/>
  <c r="AT355" i="70"/>
  <c r="AT419" i="70"/>
  <c r="AT483" i="70"/>
  <c r="AT733" i="70"/>
  <c r="AT669" i="70"/>
  <c r="AT605" i="70"/>
  <c r="AT523" i="70"/>
  <c r="AT396" i="70"/>
  <c r="AT268" i="70"/>
  <c r="AT117" i="70"/>
  <c r="AT101" i="70"/>
  <c r="AT154" i="70"/>
  <c r="AT481" i="70"/>
  <c r="AT188" i="70"/>
  <c r="AT619" i="70"/>
  <c r="AT424" i="70"/>
  <c r="AT17" i="70"/>
  <c r="AT678" i="70"/>
  <c r="AT614" i="70"/>
  <c r="AT535" i="70"/>
  <c r="AT413" i="70"/>
  <c r="AT285" i="70"/>
  <c r="AT140" i="70"/>
  <c r="AT672" i="70"/>
  <c r="AT532" i="70"/>
  <c r="AT265" i="70"/>
  <c r="AT639" i="70"/>
  <c r="AT464" i="70"/>
  <c r="AT197" i="70"/>
  <c r="AT83" i="70"/>
  <c r="AT147" i="70"/>
  <c r="AT24" i="70"/>
  <c r="AT88" i="70"/>
  <c r="AT125" i="70"/>
  <c r="AT210" i="70"/>
  <c r="AT274" i="70"/>
  <c r="AT338" i="70"/>
  <c r="AT402" i="70"/>
  <c r="AT466" i="70"/>
  <c r="AT530" i="70"/>
  <c r="AT594" i="70"/>
  <c r="AT132" i="70"/>
  <c r="AT279" i="70"/>
  <c r="AT343" i="70"/>
  <c r="AT407" i="70"/>
  <c r="AT471" i="70"/>
  <c r="AT12" i="70"/>
  <c r="AT681" i="70"/>
  <c r="AT617" i="70"/>
  <c r="AT539" i="70"/>
  <c r="AT420" i="70"/>
  <c r="AT292" i="70"/>
  <c r="AT149" i="70"/>
  <c r="AT281" i="70"/>
  <c r="AT23" i="70"/>
  <c r="AT527" i="70"/>
  <c r="AT241" i="70"/>
  <c r="AT643" i="70"/>
  <c r="AT472" i="70"/>
  <c r="AT208" i="70"/>
  <c r="AT690" i="70"/>
  <c r="AT626" i="70"/>
  <c r="AT551" i="70"/>
  <c r="AT437" i="70"/>
  <c r="AT309" i="70"/>
  <c r="AT172" i="70"/>
  <c r="AT337" i="70"/>
  <c r="AT663" i="70"/>
  <c r="AT512" i="70"/>
  <c r="AT248" i="70"/>
  <c r="AT71" i="70"/>
  <c r="AT135" i="70"/>
  <c r="AT199" i="70"/>
  <c r="AT76" i="70"/>
  <c r="AT109" i="70"/>
  <c r="AT194" i="70"/>
  <c r="AT262" i="70"/>
  <c r="AT326" i="70"/>
  <c r="AT390" i="70"/>
  <c r="AT454" i="70"/>
  <c r="AT518" i="70"/>
  <c r="AT582" i="70"/>
  <c r="AT116" i="70"/>
  <c r="AT201" i="70"/>
  <c r="AT267" i="70"/>
  <c r="AT331" i="70"/>
  <c r="AT395" i="70"/>
  <c r="AT459" i="70"/>
  <c r="AT6" i="70"/>
  <c r="AT693" i="70"/>
  <c r="AT629" i="70"/>
  <c r="AT555" i="70"/>
  <c r="AT444" i="70"/>
  <c r="AT316" i="70"/>
  <c r="AT181" i="70"/>
  <c r="AT736" i="70"/>
  <c r="AT449" i="70"/>
  <c r="AT735" i="70"/>
  <c r="AT603" i="70"/>
  <c r="AT392" i="70"/>
  <c r="AT734" i="70"/>
  <c r="AT670" i="70"/>
  <c r="AT606" i="70"/>
  <c r="AT524" i="70"/>
  <c r="AT397" i="70"/>
  <c r="AT269" i="70"/>
  <c r="AT118" i="70"/>
  <c r="AT656" i="70"/>
  <c r="AT505" i="70"/>
  <c r="AT217" i="70"/>
  <c r="AT623" i="70"/>
  <c r="AT432" i="70"/>
  <c r="AT27" i="70"/>
  <c r="AT91" i="70"/>
  <c r="AT155" i="70"/>
  <c r="AT32" i="70"/>
  <c r="AT29" i="70"/>
  <c r="AT136" i="70"/>
  <c r="AT218" i="70"/>
  <c r="AT282" i="70"/>
  <c r="AT346" i="70"/>
  <c r="AT410" i="70"/>
  <c r="AT474" i="70"/>
  <c r="AT538" i="70"/>
  <c r="AT38" i="70"/>
  <c r="AT142" i="70"/>
  <c r="AT287" i="70"/>
  <c r="AT351" i="70"/>
  <c r="AT415" i="70"/>
  <c r="AT479" i="70"/>
  <c r="AT737" i="70"/>
  <c r="AT673" i="70"/>
  <c r="AT609" i="70"/>
  <c r="AT528" i="70"/>
  <c r="AT404" i="70"/>
  <c r="AT276" i="70"/>
  <c r="AT128" i="70"/>
  <c r="AT122" i="70"/>
  <c r="AT7" i="70"/>
  <c r="AT497" i="70"/>
  <c r="AT209" i="70"/>
  <c r="AT627" i="70"/>
  <c r="AT440" i="70"/>
  <c r="AT21" i="70"/>
  <c r="AT682" i="70"/>
  <c r="AT618" i="70"/>
  <c r="AT540" i="70"/>
  <c r="AT421" i="70"/>
  <c r="AT293" i="70"/>
  <c r="AT150" i="70"/>
  <c r="AT543" i="70"/>
  <c r="AT273" i="70"/>
  <c r="AT647" i="70"/>
  <c r="AT480" i="70"/>
  <c r="AT216" i="70"/>
  <c r="AT79" i="70"/>
  <c r="AT143" i="70"/>
  <c r="AT84" i="70"/>
  <c r="AT120" i="70"/>
  <c r="AT205" i="70"/>
  <c r="AT270" i="70"/>
  <c r="AT334" i="70"/>
  <c r="AT398" i="70"/>
  <c r="AT462" i="70"/>
  <c r="AT526" i="70"/>
  <c r="AT590" i="70"/>
  <c r="AT126" i="70"/>
  <c r="AT211" i="70"/>
  <c r="AT275" i="70"/>
  <c r="AT339" i="70"/>
  <c r="AT403" i="70"/>
  <c r="AT467" i="70"/>
  <c r="AT16" i="70"/>
  <c r="AT685" i="70"/>
  <c r="AT621" i="70"/>
  <c r="AT544" i="70"/>
  <c r="AT428" i="70"/>
  <c r="AT300" i="70"/>
  <c r="AT160" i="70"/>
  <c r="AT11" i="70"/>
  <c r="AT26" i="70"/>
  <c r="AT537" i="70"/>
  <c r="AT257" i="70"/>
  <c r="AT651" i="70"/>
  <c r="AT488" i="70"/>
  <c r="AT224" i="70"/>
  <c r="AT694" i="70"/>
  <c r="AT630" i="70"/>
  <c r="AT445" i="70"/>
  <c r="AT317" i="70"/>
  <c r="AT182" i="70"/>
  <c r="AT704" i="70"/>
  <c r="AT575" i="70"/>
  <c r="AT353" i="70"/>
  <c r="AT667" i="70"/>
  <c r="AT525" i="70"/>
  <c r="AT264" i="70"/>
  <c r="AT67" i="70"/>
  <c r="AT131" i="70"/>
  <c r="AT195" i="70"/>
  <c r="AT72" i="70"/>
  <c r="AT104" i="70"/>
  <c r="AT189" i="70"/>
  <c r="AT258" i="70"/>
  <c r="AT322" i="70"/>
  <c r="AT386" i="70"/>
  <c r="AT450" i="70"/>
  <c r="AT514" i="70"/>
  <c r="AT578" i="70"/>
  <c r="AT110" i="70"/>
  <c r="AT196" i="70"/>
  <c r="AT263" i="70"/>
  <c r="AT327" i="70"/>
  <c r="AT391" i="70"/>
  <c r="AT455" i="70"/>
  <c r="AT519" i="70"/>
  <c r="AT697" i="70"/>
  <c r="AT633" i="70"/>
  <c r="AT560" i="70"/>
  <c r="AT452" i="70"/>
  <c r="AT324" i="70"/>
  <c r="AT192" i="70"/>
  <c r="AT42" i="70"/>
  <c r="AT113" i="70"/>
  <c r="AT569" i="70"/>
  <c r="AT329" i="70"/>
  <c r="AT679" i="70"/>
  <c r="AT531" i="70"/>
  <c r="AT272" i="70"/>
  <c r="AT706" i="70"/>
  <c r="AT642" i="70"/>
  <c r="AT469" i="70"/>
  <c r="AT341" i="70"/>
  <c r="AT213" i="70"/>
  <c r="AT401" i="70"/>
  <c r="AT691" i="70"/>
  <c r="AT557" i="70"/>
  <c r="AT304" i="70"/>
  <c r="AT55" i="70"/>
  <c r="AT119" i="70"/>
  <c r="AT183" i="70"/>
  <c r="AT60" i="70"/>
  <c r="AT85" i="70"/>
  <c r="AT173" i="70"/>
  <c r="AT246" i="70"/>
  <c r="AT310" i="70"/>
  <c r="AT374" i="70"/>
  <c r="AT438" i="70"/>
  <c r="AT502" i="70"/>
  <c r="AT566" i="70"/>
  <c r="AT94" i="70"/>
  <c r="AT180" i="70"/>
  <c r="AT251" i="70"/>
  <c r="AT315" i="70"/>
  <c r="AT379" i="70"/>
  <c r="AT443" i="70"/>
  <c r="AT507" i="70"/>
  <c r="AT709" i="70"/>
  <c r="AT645" i="70"/>
  <c r="AT576" i="70"/>
  <c r="AT476" i="70"/>
  <c r="AT348" i="70"/>
  <c r="AT220" i="70"/>
  <c r="AT33" i="70"/>
  <c r="AT34" i="70"/>
  <c r="AT10" i="70"/>
  <c r="AT41" i="70"/>
  <c r="AT112" i="70"/>
  <c r="AT144" i="70"/>
  <c r="AT15" i="70"/>
  <c r="AT700" i="70"/>
  <c r="AT513" i="70"/>
  <c r="AT225" i="70"/>
  <c r="AT635" i="70"/>
  <c r="AT456" i="70"/>
  <c r="AT186" i="70"/>
  <c r="AT686" i="70"/>
  <c r="AT622" i="70"/>
  <c r="AT545" i="70"/>
  <c r="AT429" i="70"/>
  <c r="AT301" i="70"/>
  <c r="AT161" i="70"/>
  <c r="AT688" i="70"/>
  <c r="AT596" i="70"/>
  <c r="AT553" i="70"/>
  <c r="AT321" i="70"/>
  <c r="AT655" i="70"/>
  <c r="AT496" i="70"/>
  <c r="AT232" i="70"/>
  <c r="AT75" i="70"/>
  <c r="AT139" i="70"/>
  <c r="AT203" i="70"/>
  <c r="AT80" i="70"/>
  <c r="AT114" i="70"/>
  <c r="AT200" i="70"/>
  <c r="AT266" i="70"/>
  <c r="AT330" i="70"/>
  <c r="AT394" i="70"/>
  <c r="AT458" i="70"/>
  <c r="AT522" i="70"/>
  <c r="AT586" i="70"/>
  <c r="AT121" i="70"/>
  <c r="AT335" i="70"/>
  <c r="AT399" i="70"/>
  <c r="AT463" i="70"/>
  <c r="AT20" i="70"/>
  <c r="AT689" i="70"/>
  <c r="AT625" i="70"/>
  <c r="AT549" i="70"/>
  <c r="AT436" i="70"/>
  <c r="AT308" i="70"/>
  <c r="AT170" i="70"/>
  <c r="AT19" i="70"/>
  <c r="AT58" i="70"/>
  <c r="AT728" i="70"/>
  <c r="AT297" i="70"/>
  <c r="AT659" i="70"/>
  <c r="AT552" i="70"/>
  <c r="AT504" i="70"/>
  <c r="AT240" i="70"/>
  <c r="AT698" i="70"/>
  <c r="AT634" i="70"/>
  <c r="AT561" i="70"/>
  <c r="AT453" i="70"/>
  <c r="AT325" i="70"/>
  <c r="AT193" i="70"/>
  <c r="AT620" i="70"/>
  <c r="AT585" i="70"/>
  <c r="AT369" i="70"/>
  <c r="AT675" i="70"/>
  <c r="AT536" i="70"/>
  <c r="AT280" i="70"/>
  <c r="AT63" i="70"/>
  <c r="AT127" i="70"/>
  <c r="AT191" i="70"/>
  <c r="AT68" i="70"/>
  <c r="AT98" i="70"/>
  <c r="AT184" i="70"/>
  <c r="AT254" i="70"/>
  <c r="AT318" i="70"/>
  <c r="AT382" i="70"/>
  <c r="AT446" i="70"/>
  <c r="AT510" i="70"/>
  <c r="AT574" i="70"/>
  <c r="AT105" i="70"/>
  <c r="AT190" i="70"/>
  <c r="AT259" i="70"/>
  <c r="AT323" i="70"/>
  <c r="AT387" i="70"/>
  <c r="AT451" i="70"/>
  <c r="AT515" i="70"/>
  <c r="AT701" i="70"/>
  <c r="AT637" i="70"/>
  <c r="AT565" i="70"/>
  <c r="AT460" i="70"/>
  <c r="AT332" i="70"/>
  <c r="AT202" i="70"/>
  <c r="AT102" i="70"/>
  <c r="AT134" i="70"/>
  <c r="AT616" i="70"/>
  <c r="AT345" i="70"/>
  <c r="AT687" i="70"/>
  <c r="AT584" i="70"/>
  <c r="AT541" i="70"/>
  <c r="AT288" i="70"/>
  <c r="AT710" i="70"/>
  <c r="AT646" i="70"/>
  <c r="AT577" i="70"/>
  <c r="AT477" i="70"/>
  <c r="AT349" i="70"/>
  <c r="AT221" i="70"/>
  <c r="AT409" i="70"/>
  <c r="AT699" i="70"/>
  <c r="AT320" i="70"/>
  <c r="AT51" i="70"/>
  <c r="AT115" i="70"/>
  <c r="AT179" i="70"/>
  <c r="AT56" i="70"/>
  <c r="AT77" i="70"/>
  <c r="AT168" i="70"/>
  <c r="AT242" i="70"/>
  <c r="AT306" i="70"/>
  <c r="AT370" i="70"/>
  <c r="AT434" i="70"/>
  <c r="AT498" i="70"/>
  <c r="AT562" i="70"/>
  <c r="AT86" i="70"/>
  <c r="AT174" i="70"/>
  <c r="AT231" i="70"/>
  <c r="AT311" i="70"/>
  <c r="AT375" i="70"/>
  <c r="AT439" i="70"/>
  <c r="AT503" i="70"/>
  <c r="AT713" i="70"/>
  <c r="AT649" i="70"/>
  <c r="AT581" i="70"/>
  <c r="AT484" i="70"/>
  <c r="AT356" i="70"/>
  <c r="AT228" i="70"/>
  <c r="AT49" i="70"/>
  <c r="AT145" i="70"/>
  <c r="AT18" i="70"/>
  <c r="AT25" i="70"/>
  <c r="AT644" i="70"/>
  <c r="AT608" i="70"/>
  <c r="AT393" i="70"/>
  <c r="AT711" i="70"/>
  <c r="AT573" i="70"/>
  <c r="AT344" i="70"/>
  <c r="AT722" i="70"/>
  <c r="AT658" i="70"/>
  <c r="AT593" i="70"/>
  <c r="AT501" i="70"/>
  <c r="AT373" i="70"/>
  <c r="AT245" i="70"/>
  <c r="AT82" i="70"/>
  <c r="AT664" i="70"/>
  <c r="AT457" i="70"/>
  <c r="AT723" i="70"/>
  <c r="AT599" i="70"/>
  <c r="AT384" i="70"/>
  <c r="AT39" i="70"/>
  <c r="AT103" i="70"/>
  <c r="AT167" i="70"/>
  <c r="AT44" i="70"/>
  <c r="AT53" i="70"/>
  <c r="AT152" i="70"/>
  <c r="AT214" i="70"/>
  <c r="AT294" i="70"/>
  <c r="AT358" i="70"/>
  <c r="AT422" i="70"/>
  <c r="AT486" i="70"/>
  <c r="AT550" i="70"/>
  <c r="AT62" i="70"/>
  <c r="AT158" i="70"/>
  <c r="AT235" i="70"/>
  <c r="AT299" i="70"/>
  <c r="AT363" i="70"/>
  <c r="AT427" i="70"/>
  <c r="AT491" i="70"/>
  <c r="AT725" i="70"/>
  <c r="AT661" i="70"/>
  <c r="AT597" i="70"/>
  <c r="AT508" i="70"/>
  <c r="AT380" i="70"/>
  <c r="AT252" i="70"/>
  <c r="AT96" i="70"/>
  <c r="V3" i="70"/>
  <c r="D14" i="70"/>
  <c r="C14" i="70"/>
  <c r="B14" i="70"/>
  <c r="D13" i="70"/>
  <c r="C13" i="70"/>
  <c r="B13" i="70"/>
  <c r="D12" i="70"/>
  <c r="C12" i="70"/>
  <c r="B12" i="70"/>
  <c r="L6" i="70"/>
  <c r="BA222" i="70" l="1"/>
  <c r="BA233" i="70"/>
  <c r="BA231" i="70"/>
  <c r="BA333" i="70"/>
  <c r="BA232" i="70"/>
  <c r="BA328" i="70"/>
  <c r="BA225" i="70"/>
  <c r="BA219" i="70"/>
  <c r="BA226" i="70"/>
  <c r="BA221" i="70"/>
  <c r="BA331" i="70"/>
  <c r="BA229" i="70"/>
  <c r="BA334" i="70"/>
  <c r="BA228" i="70"/>
  <c r="BA335" i="70"/>
  <c r="BA220" i="70"/>
  <c r="BA227" i="70"/>
  <c r="BA338" i="70"/>
  <c r="BA230" i="70"/>
  <c r="BA332" i="70"/>
  <c r="BA329" i="70"/>
  <c r="BA223" i="70"/>
  <c r="BA330" i="70"/>
  <c r="BA447" i="70"/>
  <c r="BA340" i="70"/>
  <c r="BA337" i="70"/>
  <c r="BA341" i="70"/>
  <c r="BA224" i="70"/>
  <c r="BA339" i="70"/>
  <c r="BA327" i="70"/>
  <c r="BA324" i="70"/>
  <c r="BA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8" i="69"/>
  <c r="F10" i="69"/>
  <c r="F11" i="69"/>
  <c r="F13" i="69"/>
  <c r="F15" i="69"/>
  <c r="F16" i="69"/>
  <c r="F18" i="69"/>
  <c r="F20" i="69"/>
  <c r="F21" i="69"/>
  <c r="F23" i="69"/>
  <c r="F25" i="69"/>
  <c r="F26" i="69"/>
  <c r="F28" i="69"/>
  <c r="F30" i="69"/>
  <c r="F31" i="69"/>
  <c r="F33" i="69"/>
  <c r="F35" i="69"/>
  <c r="F36" i="69"/>
  <c r="F38" i="69"/>
  <c r="F40" i="69"/>
  <c r="F41" i="69"/>
  <c r="F43" i="69"/>
  <c r="F45" i="69"/>
  <c r="F48" i="69"/>
  <c r="F50" i="69"/>
  <c r="F53" i="69"/>
  <c r="F55" i="69"/>
  <c r="F58" i="69"/>
  <c r="F60" i="69"/>
  <c r="F63" i="69"/>
  <c r="F65" i="69"/>
  <c r="F68" i="69"/>
  <c r="F70" i="69"/>
  <c r="F73" i="69"/>
  <c r="F75" i="69"/>
  <c r="F78" i="69"/>
  <c r="F80" i="69"/>
  <c r="F83" i="69"/>
  <c r="F85" i="69"/>
  <c r="F88" i="69"/>
  <c r="F90" i="69"/>
  <c r="F93" i="69"/>
  <c r="F95" i="69"/>
  <c r="F98" i="69"/>
  <c r="F100" i="69"/>
  <c r="F103" i="69"/>
  <c r="F105" i="69"/>
  <c r="F108" i="69"/>
  <c r="F110" i="69"/>
  <c r="F113" i="69"/>
  <c r="F115" i="69"/>
  <c r="F118" i="69"/>
  <c r="F120" i="69"/>
  <c r="F123" i="69"/>
  <c r="F125" i="69"/>
  <c r="F128" i="69"/>
  <c r="F130" i="69"/>
  <c r="F133" i="69"/>
  <c r="F135" i="69"/>
  <c r="F138" i="69"/>
  <c r="F140" i="69"/>
  <c r="F143" i="69"/>
  <c r="F145" i="69"/>
  <c r="F148" i="69"/>
  <c r="F150" i="69"/>
  <c r="F153" i="69"/>
  <c r="F5" i="69"/>
  <c r="HT5" i="54"/>
  <c r="C6" i="69"/>
  <c r="C7" i="69"/>
  <c r="F7" i="69" s="1"/>
  <c r="C8" i="69"/>
  <c r="C9" i="69"/>
  <c r="F9" i="69" s="1"/>
  <c r="C10" i="69"/>
  <c r="C11" i="69"/>
  <c r="C12" i="69"/>
  <c r="F12" i="69" s="1"/>
  <c r="C13" i="69"/>
  <c r="C14" i="69"/>
  <c r="F14" i="69" s="1"/>
  <c r="C15" i="69"/>
  <c r="C16" i="69"/>
  <c r="C17" i="69"/>
  <c r="F17" i="69" s="1"/>
  <c r="C18" i="69"/>
  <c r="C19" i="69"/>
  <c r="F19" i="69" s="1"/>
  <c r="C20" i="69"/>
  <c r="C21" i="69"/>
  <c r="C22" i="69"/>
  <c r="F22" i="69" s="1"/>
  <c r="C23" i="69"/>
  <c r="C24" i="69"/>
  <c r="F24" i="69" s="1"/>
  <c r="C25" i="69"/>
  <c r="C26" i="69"/>
  <c r="C27" i="69"/>
  <c r="F27" i="69" s="1"/>
  <c r="C28" i="69"/>
  <c r="C29" i="69"/>
  <c r="F29" i="69" s="1"/>
  <c r="C30" i="69"/>
  <c r="C31" i="69"/>
  <c r="C32" i="69"/>
  <c r="F32" i="69" s="1"/>
  <c r="C33" i="69"/>
  <c r="C34" i="69"/>
  <c r="F34" i="69" s="1"/>
  <c r="C35" i="69"/>
  <c r="C36" i="69"/>
  <c r="C37" i="69"/>
  <c r="F37" i="69" s="1"/>
  <c r="C38" i="69"/>
  <c r="C39" i="69"/>
  <c r="F39" i="69" s="1"/>
  <c r="C40" i="69"/>
  <c r="C41" i="69"/>
  <c r="C42" i="69"/>
  <c r="F42" i="69" s="1"/>
  <c r="C43" i="69"/>
  <c r="C44" i="69"/>
  <c r="F44" i="69" s="1"/>
  <c r="C45" i="69"/>
  <c r="C46" i="69"/>
  <c r="F46" i="69" s="1"/>
  <c r="C47" i="69"/>
  <c r="F47" i="69" s="1"/>
  <c r="C48" i="69"/>
  <c r="C49" i="69"/>
  <c r="F49" i="69" s="1"/>
  <c r="C50" i="69"/>
  <c r="C51" i="69"/>
  <c r="F51" i="69" s="1"/>
  <c r="C52" i="69"/>
  <c r="F52" i="69" s="1"/>
  <c r="C53" i="69"/>
  <c r="C54" i="69"/>
  <c r="F54" i="69" s="1"/>
  <c r="C55" i="69"/>
  <c r="C56" i="69"/>
  <c r="F56" i="69" s="1"/>
  <c r="C57" i="69"/>
  <c r="F57" i="69" s="1"/>
  <c r="C58" i="69"/>
  <c r="C59" i="69"/>
  <c r="F59" i="69" s="1"/>
  <c r="C60" i="69"/>
  <c r="C61" i="69"/>
  <c r="F61" i="69" s="1"/>
  <c r="C62" i="69"/>
  <c r="F62" i="69" s="1"/>
  <c r="C63" i="69"/>
  <c r="C64" i="69"/>
  <c r="F64" i="69" s="1"/>
  <c r="C65" i="69"/>
  <c r="C66" i="69"/>
  <c r="F66" i="69" s="1"/>
  <c r="C67" i="69"/>
  <c r="F67" i="69" s="1"/>
  <c r="C68" i="69"/>
  <c r="C69" i="69"/>
  <c r="F69" i="69" s="1"/>
  <c r="C70" i="69"/>
  <c r="C71" i="69"/>
  <c r="F71" i="69" s="1"/>
  <c r="C72" i="69"/>
  <c r="F72" i="69" s="1"/>
  <c r="C73" i="69"/>
  <c r="C74" i="69"/>
  <c r="F74" i="69" s="1"/>
  <c r="C75" i="69"/>
  <c r="C76" i="69"/>
  <c r="F76" i="69" s="1"/>
  <c r="C77" i="69"/>
  <c r="F77" i="69" s="1"/>
  <c r="C78" i="69"/>
  <c r="C79" i="69"/>
  <c r="F79" i="69" s="1"/>
  <c r="C80" i="69"/>
  <c r="C81" i="69"/>
  <c r="F81" i="69" s="1"/>
  <c r="C82" i="69"/>
  <c r="F82" i="69" s="1"/>
  <c r="C83" i="69"/>
  <c r="C84" i="69"/>
  <c r="F84" i="69" s="1"/>
  <c r="C85" i="69"/>
  <c r="C86" i="69"/>
  <c r="F86" i="69" s="1"/>
  <c r="C87" i="69"/>
  <c r="F87" i="69" s="1"/>
  <c r="C88" i="69"/>
  <c r="C89" i="69"/>
  <c r="F89" i="69" s="1"/>
  <c r="C90" i="69"/>
  <c r="C91" i="69"/>
  <c r="F91" i="69" s="1"/>
  <c r="C92" i="69"/>
  <c r="F92" i="69" s="1"/>
  <c r="C93" i="69"/>
  <c r="C94" i="69"/>
  <c r="F94" i="69" s="1"/>
  <c r="C95" i="69"/>
  <c r="C96" i="69"/>
  <c r="F96" i="69" s="1"/>
  <c r="C97" i="69"/>
  <c r="F97" i="69" s="1"/>
  <c r="C98" i="69"/>
  <c r="C99" i="69"/>
  <c r="F99" i="69" s="1"/>
  <c r="C100" i="69"/>
  <c r="C101" i="69"/>
  <c r="F101" i="69" s="1"/>
  <c r="C102" i="69"/>
  <c r="F102" i="69" s="1"/>
  <c r="C103" i="69"/>
  <c r="C104" i="69"/>
  <c r="F104" i="69" s="1"/>
  <c r="C105" i="69"/>
  <c r="C106" i="69"/>
  <c r="F106" i="69" s="1"/>
  <c r="C107" i="69"/>
  <c r="F107" i="69" s="1"/>
  <c r="C108" i="69"/>
  <c r="C109" i="69"/>
  <c r="F109" i="69" s="1"/>
  <c r="C110" i="69"/>
  <c r="C111" i="69"/>
  <c r="F111" i="69" s="1"/>
  <c r="C112" i="69"/>
  <c r="F112" i="69" s="1"/>
  <c r="C113" i="69"/>
  <c r="C114" i="69"/>
  <c r="F114" i="69" s="1"/>
  <c r="C115" i="69"/>
  <c r="C116" i="69"/>
  <c r="F116" i="69" s="1"/>
  <c r="C117" i="69"/>
  <c r="F117" i="69" s="1"/>
  <c r="C118" i="69"/>
  <c r="C119" i="69"/>
  <c r="F119" i="69" s="1"/>
  <c r="C120" i="69"/>
  <c r="C121" i="69"/>
  <c r="F121" i="69" s="1"/>
  <c r="C122" i="69"/>
  <c r="F122" i="69" s="1"/>
  <c r="C123" i="69"/>
  <c r="C124" i="69"/>
  <c r="F124" i="69" s="1"/>
  <c r="C125" i="69"/>
  <c r="C126" i="69"/>
  <c r="F126" i="69" s="1"/>
  <c r="C127" i="69"/>
  <c r="F127" i="69" s="1"/>
  <c r="C128" i="69"/>
  <c r="C129" i="69"/>
  <c r="F129" i="69" s="1"/>
  <c r="C130" i="69"/>
  <c r="C131" i="69"/>
  <c r="F131" i="69" s="1"/>
  <c r="C132" i="69"/>
  <c r="F132" i="69" s="1"/>
  <c r="C133" i="69"/>
  <c r="C134" i="69"/>
  <c r="F134" i="69" s="1"/>
  <c r="C135" i="69"/>
  <c r="C136" i="69"/>
  <c r="F136" i="69" s="1"/>
  <c r="C137" i="69"/>
  <c r="F137" i="69" s="1"/>
  <c r="C138" i="69"/>
  <c r="C139" i="69"/>
  <c r="F139" i="69" s="1"/>
  <c r="C140" i="69"/>
  <c r="C141" i="69"/>
  <c r="F141" i="69" s="1"/>
  <c r="C142" i="69"/>
  <c r="F142" i="69" s="1"/>
  <c r="C143" i="69"/>
  <c r="C144" i="69"/>
  <c r="F144" i="69" s="1"/>
  <c r="C145" i="69"/>
  <c r="C146" i="69"/>
  <c r="F146" i="69" s="1"/>
  <c r="C147" i="69"/>
  <c r="F147" i="69" s="1"/>
  <c r="C148" i="69"/>
  <c r="C149" i="69"/>
  <c r="F149" i="69" s="1"/>
  <c r="C150" i="69"/>
  <c r="C151" i="69"/>
  <c r="F151" i="69" s="1"/>
  <c r="C152" i="69"/>
  <c r="F152" i="69" s="1"/>
  <c r="C153" i="69"/>
  <c r="C154" i="69"/>
  <c r="F154" i="69" s="1"/>
  <c r="C5" i="69"/>
  <c r="HW5" i="54" l="1"/>
  <c r="HU5" i="54"/>
  <c r="HV5" i="54"/>
  <c r="E108" i="57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I26" i="66"/>
  <c r="AI7" i="66"/>
  <c r="AF368" i="54" l="1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I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04" i="54" l="1"/>
  <c r="AK375" i="54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T8" i="54"/>
  <c r="HT10" i="54"/>
  <c r="HT11" i="54"/>
  <c r="HT13" i="54"/>
  <c r="HT15" i="54"/>
  <c r="HT16" i="54"/>
  <c r="HT18" i="54"/>
  <c r="HT20" i="54"/>
  <c r="HT21" i="54"/>
  <c r="HT23" i="54"/>
  <c r="HT25" i="54"/>
  <c r="HT26" i="54"/>
  <c r="HT28" i="54"/>
  <c r="HT30" i="54"/>
  <c r="HT31" i="54"/>
  <c r="HT33" i="54"/>
  <c r="HT35" i="54"/>
  <c r="HT36" i="54"/>
  <c r="HT38" i="54"/>
  <c r="HT40" i="54"/>
  <c r="HT41" i="54"/>
  <c r="HT43" i="54"/>
  <c r="HT45" i="54"/>
  <c r="HT48" i="54"/>
  <c r="HT50" i="54"/>
  <c r="HT53" i="54"/>
  <c r="HT55" i="54"/>
  <c r="HT58" i="54"/>
  <c r="HT60" i="54"/>
  <c r="HT63" i="54"/>
  <c r="HT65" i="54"/>
  <c r="HT68" i="54"/>
  <c r="HT70" i="54"/>
  <c r="HT73" i="54"/>
  <c r="HT75" i="54"/>
  <c r="HT78" i="54"/>
  <c r="HT80" i="54"/>
  <c r="HT83" i="54"/>
  <c r="HT85" i="54"/>
  <c r="HT88" i="54"/>
  <c r="HT90" i="54"/>
  <c r="HT93" i="54"/>
  <c r="HT95" i="54"/>
  <c r="HT98" i="54"/>
  <c r="HT100" i="54"/>
  <c r="HT103" i="54"/>
  <c r="HT105" i="54"/>
  <c r="HT108" i="54"/>
  <c r="HT110" i="54"/>
  <c r="HT113" i="54"/>
  <c r="HT115" i="54"/>
  <c r="HT118" i="54"/>
  <c r="HT120" i="54"/>
  <c r="HT123" i="54"/>
  <c r="HT125" i="54"/>
  <c r="HT128" i="54"/>
  <c r="HT130" i="54"/>
  <c r="HT133" i="54"/>
  <c r="HT135" i="54"/>
  <c r="HT138" i="54"/>
  <c r="HT140" i="54"/>
  <c r="HT143" i="54"/>
  <c r="HT145" i="54"/>
  <c r="HT148" i="54"/>
  <c r="HT150" i="54"/>
  <c r="HT153" i="54"/>
  <c r="HD5" i="54"/>
  <c r="HE5" i="54"/>
  <c r="HD6" i="54"/>
  <c r="HE6" i="54"/>
  <c r="HG6" i="54"/>
  <c r="HD7" i="54"/>
  <c r="HE7" i="54"/>
  <c r="HT7" i="54" s="1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T12" i="54" s="1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T17" i="54" s="1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T22" i="54" s="1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T27" i="54" s="1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T32" i="54" s="1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T37" i="54" s="1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T42" i="54" s="1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T47" i="54" s="1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T52" i="54" s="1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T57" i="54" s="1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T62" i="54" s="1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T67" i="54" s="1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T72" i="54" s="1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T77" i="54" s="1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T82" i="54" s="1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T87" i="54" s="1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T92" i="54" s="1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T97" i="54" s="1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T102" i="54" s="1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T107" i="54" s="1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T112" i="54" s="1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T117" i="54" s="1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T122" i="54" s="1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T127" i="54" s="1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T132" i="54" s="1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T137" i="54" s="1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T142" i="54" s="1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T147" i="54" s="1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T152" i="54" s="1"/>
  <c r="HG152" i="54"/>
  <c r="HD153" i="54"/>
  <c r="HE153" i="54"/>
  <c r="HG153" i="54"/>
  <c r="HS7" i="54" l="1"/>
  <c r="HR7" i="54"/>
  <c r="HQ7" i="54"/>
  <c r="HV152" i="54"/>
  <c r="HW152" i="54"/>
  <c r="HU152" i="54"/>
  <c r="HV145" i="54"/>
  <c r="HW145" i="54"/>
  <c r="HU145" i="54"/>
  <c r="HV138" i="54"/>
  <c r="HW138" i="54"/>
  <c r="HU138" i="54"/>
  <c r="HV132" i="54"/>
  <c r="HW132" i="54"/>
  <c r="HU132" i="54"/>
  <c r="HV125" i="54"/>
  <c r="HW125" i="54"/>
  <c r="HU125" i="54"/>
  <c r="HV118" i="54"/>
  <c r="HW118" i="54"/>
  <c r="HU118" i="54"/>
  <c r="HV112" i="54"/>
  <c r="HW112" i="54"/>
  <c r="HU112" i="54"/>
  <c r="HV105" i="54"/>
  <c r="HW105" i="54"/>
  <c r="HU105" i="54"/>
  <c r="HV98" i="54"/>
  <c r="HW98" i="54"/>
  <c r="HU98" i="54"/>
  <c r="HV92" i="54"/>
  <c r="HW92" i="54"/>
  <c r="HU92" i="54"/>
  <c r="HV85" i="54"/>
  <c r="HW85" i="54"/>
  <c r="HU85" i="54"/>
  <c r="HV78" i="54"/>
  <c r="HW78" i="54"/>
  <c r="HU78" i="54"/>
  <c r="HV72" i="54"/>
  <c r="HW72" i="54"/>
  <c r="HU72" i="54"/>
  <c r="HV65" i="54"/>
  <c r="HW65" i="54"/>
  <c r="HU65" i="54"/>
  <c r="HV58" i="54"/>
  <c r="HW58" i="54"/>
  <c r="HU58" i="54"/>
  <c r="HV52" i="54"/>
  <c r="HW52" i="54"/>
  <c r="HU52" i="54"/>
  <c r="HV45" i="54"/>
  <c r="HW45" i="54"/>
  <c r="HU45" i="54"/>
  <c r="HV40" i="54"/>
  <c r="HW40" i="54"/>
  <c r="HU40" i="54"/>
  <c r="HV35" i="54"/>
  <c r="HW35" i="54"/>
  <c r="HU35" i="54"/>
  <c r="HV30" i="54"/>
  <c r="HW30" i="54"/>
  <c r="HU30" i="54"/>
  <c r="HV25" i="54"/>
  <c r="HW25" i="54"/>
  <c r="HU25" i="54"/>
  <c r="HV20" i="54"/>
  <c r="HW20" i="54"/>
  <c r="HU20" i="54"/>
  <c r="HV15" i="54"/>
  <c r="HW15" i="54"/>
  <c r="HU15" i="54"/>
  <c r="HV10" i="54"/>
  <c r="HW10" i="54"/>
  <c r="HU10" i="54"/>
  <c r="HS5" i="54"/>
  <c r="HR5" i="54"/>
  <c r="HQ5" i="54"/>
  <c r="HW137" i="54"/>
  <c r="HU137" i="54"/>
  <c r="HV137" i="54"/>
  <c r="HW130" i="54"/>
  <c r="HU130" i="54"/>
  <c r="HV130" i="54"/>
  <c r="HW123" i="54"/>
  <c r="HU123" i="54"/>
  <c r="HV123" i="54"/>
  <c r="HW110" i="54"/>
  <c r="HU110" i="54"/>
  <c r="HV110" i="54"/>
  <c r="HW103" i="54"/>
  <c r="HU103" i="54"/>
  <c r="HV103" i="54"/>
  <c r="HW97" i="54"/>
  <c r="HU97" i="54"/>
  <c r="HV97" i="54"/>
  <c r="HW90" i="54"/>
  <c r="HU90" i="54"/>
  <c r="HV90" i="54"/>
  <c r="HW83" i="54"/>
  <c r="HU83" i="54"/>
  <c r="HV83" i="54"/>
  <c r="HW77" i="54"/>
  <c r="HU77" i="54"/>
  <c r="HV77" i="54"/>
  <c r="HW70" i="54"/>
  <c r="HU70" i="54"/>
  <c r="HV70" i="54"/>
  <c r="HW63" i="54"/>
  <c r="HU63" i="54"/>
  <c r="HV63" i="54"/>
  <c r="HW57" i="54"/>
  <c r="HU57" i="54"/>
  <c r="HV57" i="54"/>
  <c r="HW50" i="54"/>
  <c r="HU50" i="54"/>
  <c r="HV50" i="54"/>
  <c r="HW43" i="54"/>
  <c r="HU43" i="54"/>
  <c r="HV43" i="54"/>
  <c r="HW38" i="54"/>
  <c r="HU38" i="54"/>
  <c r="HV38" i="54"/>
  <c r="HW33" i="54"/>
  <c r="HU33" i="54"/>
  <c r="HV33" i="54"/>
  <c r="HW28" i="54"/>
  <c r="HU28" i="54"/>
  <c r="HV28" i="54"/>
  <c r="HW23" i="54"/>
  <c r="HU23" i="54"/>
  <c r="HV23" i="54"/>
  <c r="HW18" i="54"/>
  <c r="HU18" i="54"/>
  <c r="HV18" i="54"/>
  <c r="HW13" i="54"/>
  <c r="HU13" i="54"/>
  <c r="HV13" i="54"/>
  <c r="HW8" i="54"/>
  <c r="HU8" i="54"/>
  <c r="HV8" i="54"/>
  <c r="HS8" i="54"/>
  <c r="HR8" i="54"/>
  <c r="HQ8" i="54"/>
  <c r="HW150" i="54"/>
  <c r="HU150" i="54"/>
  <c r="HV150" i="54"/>
  <c r="HW117" i="54"/>
  <c r="HU117" i="54"/>
  <c r="HV117" i="54"/>
  <c r="HW148" i="54"/>
  <c r="HU148" i="54"/>
  <c r="HV148" i="54"/>
  <c r="HW142" i="54"/>
  <c r="HU142" i="54"/>
  <c r="HV142" i="54"/>
  <c r="HW135" i="54"/>
  <c r="HU135" i="54"/>
  <c r="HV135" i="54"/>
  <c r="HW128" i="54"/>
  <c r="HU128" i="54"/>
  <c r="HV128" i="54"/>
  <c r="HW122" i="54"/>
  <c r="HU122" i="54"/>
  <c r="HV122" i="54"/>
  <c r="HW115" i="54"/>
  <c r="HU115" i="54"/>
  <c r="HV115" i="54"/>
  <c r="HW108" i="54"/>
  <c r="HU108" i="54"/>
  <c r="HV108" i="54"/>
  <c r="HW102" i="54"/>
  <c r="HU102" i="54"/>
  <c r="HV102" i="54"/>
  <c r="HW95" i="54"/>
  <c r="HU95" i="54"/>
  <c r="HV95" i="54"/>
  <c r="HW88" i="54"/>
  <c r="HU88" i="54"/>
  <c r="HV88" i="54"/>
  <c r="HW82" i="54"/>
  <c r="HU82" i="54"/>
  <c r="HV82" i="54"/>
  <c r="HW75" i="54"/>
  <c r="HU75" i="54"/>
  <c r="HV75" i="54"/>
  <c r="HW68" i="54"/>
  <c r="HU68" i="54"/>
  <c r="HV68" i="54"/>
  <c r="HW62" i="54"/>
  <c r="HU62" i="54"/>
  <c r="HV62" i="54"/>
  <c r="HW55" i="54"/>
  <c r="HU55" i="54"/>
  <c r="HV55" i="54"/>
  <c r="HW48" i="54"/>
  <c r="HU48" i="54"/>
  <c r="HV48" i="54"/>
  <c r="HW42" i="54"/>
  <c r="HU42" i="54"/>
  <c r="HV42" i="54"/>
  <c r="HW37" i="54"/>
  <c r="HU37" i="54"/>
  <c r="HV37" i="54"/>
  <c r="HW32" i="54"/>
  <c r="HU32" i="54"/>
  <c r="HV32" i="54"/>
  <c r="HW27" i="54"/>
  <c r="HU27" i="54"/>
  <c r="HV27" i="54"/>
  <c r="HW22" i="54"/>
  <c r="HU22" i="54"/>
  <c r="HV22" i="54"/>
  <c r="HW17" i="54"/>
  <c r="HU17" i="54"/>
  <c r="HV17" i="54"/>
  <c r="HW12" i="54"/>
  <c r="HU12" i="54"/>
  <c r="HV12" i="54"/>
  <c r="HW7" i="54"/>
  <c r="HU7" i="54"/>
  <c r="HV7" i="54"/>
  <c r="HW143" i="54"/>
  <c r="HU143" i="54"/>
  <c r="HV143" i="54"/>
  <c r="HS6" i="54"/>
  <c r="HR6" i="54"/>
  <c r="HQ6" i="54"/>
  <c r="HV153" i="54"/>
  <c r="HW153" i="54"/>
  <c r="HU153" i="54"/>
  <c r="HV147" i="54"/>
  <c r="HW147" i="54"/>
  <c r="HU147" i="54"/>
  <c r="HV140" i="54"/>
  <c r="HW140" i="54"/>
  <c r="HU140" i="54"/>
  <c r="HV133" i="54"/>
  <c r="HW133" i="54"/>
  <c r="HU133" i="54"/>
  <c r="HV127" i="54"/>
  <c r="HW127" i="54"/>
  <c r="HU127" i="54"/>
  <c r="HV120" i="54"/>
  <c r="HW120" i="54"/>
  <c r="HU120" i="54"/>
  <c r="HV113" i="54"/>
  <c r="HW113" i="54"/>
  <c r="HU113" i="54"/>
  <c r="HV107" i="54"/>
  <c r="HW107" i="54"/>
  <c r="HU107" i="54"/>
  <c r="HV100" i="54"/>
  <c r="HW100" i="54"/>
  <c r="HU100" i="54"/>
  <c r="HV93" i="54"/>
  <c r="HW93" i="54"/>
  <c r="HU93" i="54"/>
  <c r="HV87" i="54"/>
  <c r="HW87" i="54"/>
  <c r="HU87" i="54"/>
  <c r="HV80" i="54"/>
  <c r="HW80" i="54"/>
  <c r="HU80" i="54"/>
  <c r="HV73" i="54"/>
  <c r="HW73" i="54"/>
  <c r="HU73" i="54"/>
  <c r="HV67" i="54"/>
  <c r="HW67" i="54"/>
  <c r="HU67" i="54"/>
  <c r="HV60" i="54"/>
  <c r="HW60" i="54"/>
  <c r="HU60" i="54"/>
  <c r="HV53" i="54"/>
  <c r="HW53" i="54"/>
  <c r="HU53" i="54"/>
  <c r="HV47" i="54"/>
  <c r="HW47" i="54"/>
  <c r="HU47" i="54"/>
  <c r="HV41" i="54"/>
  <c r="HW41" i="54"/>
  <c r="HU41" i="54"/>
  <c r="HV36" i="54"/>
  <c r="HW36" i="54"/>
  <c r="HU36" i="54"/>
  <c r="HV31" i="54"/>
  <c r="HW31" i="54"/>
  <c r="HU31" i="54"/>
  <c r="HV26" i="54"/>
  <c r="HW26" i="54"/>
  <c r="HU26" i="54"/>
  <c r="HV21" i="54"/>
  <c r="HW21" i="54"/>
  <c r="HU21" i="54"/>
  <c r="HV16" i="54"/>
  <c r="HW16" i="54"/>
  <c r="HU16" i="54"/>
  <c r="HV11" i="54"/>
  <c r="HW11" i="54"/>
  <c r="HU11" i="54"/>
  <c r="HV6" i="54"/>
  <c r="HW6" i="54"/>
  <c r="HU6" i="54"/>
  <c r="HT29" i="54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M58" i="66"/>
  <c r="AL58" i="66"/>
  <c r="AM57" i="66"/>
  <c r="AL57" i="66"/>
  <c r="AM56" i="66"/>
  <c r="AL56" i="66"/>
  <c r="AM55" i="66"/>
  <c r="AL55" i="66"/>
  <c r="AM54" i="66"/>
  <c r="AL54" i="66"/>
  <c r="AM53" i="66"/>
  <c r="AL53" i="66"/>
  <c r="AM52" i="66"/>
  <c r="AL52" i="66"/>
  <c r="AM51" i="66"/>
  <c r="AL51" i="66"/>
  <c r="AM50" i="66"/>
  <c r="AL50" i="66"/>
  <c r="AM49" i="66"/>
  <c r="AL49" i="66"/>
  <c r="AM48" i="66"/>
  <c r="AL48" i="66"/>
  <c r="AM47" i="66"/>
  <c r="AL47" i="66"/>
  <c r="AM46" i="66"/>
  <c r="AL46" i="66"/>
  <c r="AM45" i="66"/>
  <c r="AL45" i="66"/>
  <c r="AM44" i="66"/>
  <c r="AL44" i="66"/>
  <c r="AM43" i="66"/>
  <c r="AL43" i="66"/>
  <c r="AM42" i="66"/>
  <c r="AL42" i="66"/>
  <c r="AM41" i="66"/>
  <c r="AL41" i="66"/>
  <c r="AM40" i="66"/>
  <c r="AL40" i="66"/>
  <c r="AM39" i="66"/>
  <c r="AL39" i="66"/>
  <c r="AM38" i="66"/>
  <c r="AL38" i="66"/>
  <c r="AM37" i="66"/>
  <c r="AL37" i="66"/>
  <c r="AM36" i="66"/>
  <c r="AL36" i="66"/>
  <c r="AM35" i="66"/>
  <c r="AL35" i="66"/>
  <c r="AM34" i="66"/>
  <c r="AL34" i="66"/>
  <c r="AM33" i="66"/>
  <c r="AL33" i="66"/>
  <c r="AM32" i="66"/>
  <c r="AL32" i="66"/>
  <c r="AM31" i="66"/>
  <c r="AL31" i="66"/>
  <c r="AM30" i="66"/>
  <c r="AL30" i="66"/>
  <c r="AM29" i="66"/>
  <c r="AL29" i="66"/>
  <c r="AM28" i="66"/>
  <c r="AL28" i="66"/>
  <c r="AM27" i="66"/>
  <c r="AL27" i="66"/>
  <c r="AM26" i="66"/>
  <c r="AL26" i="66"/>
  <c r="AM25" i="66"/>
  <c r="AL25" i="66"/>
  <c r="AM24" i="66"/>
  <c r="AL24" i="66"/>
  <c r="AM23" i="66"/>
  <c r="AL23" i="66"/>
  <c r="AM22" i="66"/>
  <c r="AL22" i="66"/>
  <c r="AM21" i="66"/>
  <c r="AL21" i="66"/>
  <c r="AM20" i="66"/>
  <c r="AL20" i="66"/>
  <c r="AM19" i="66"/>
  <c r="AL19" i="66"/>
  <c r="AM18" i="66"/>
  <c r="AL18" i="66"/>
  <c r="AM17" i="66"/>
  <c r="AL17" i="66"/>
  <c r="AM16" i="66"/>
  <c r="AL16" i="66"/>
  <c r="AM15" i="66"/>
  <c r="AL15" i="66"/>
  <c r="AM14" i="66"/>
  <c r="AL14" i="66"/>
  <c r="AM13" i="66"/>
  <c r="AL13" i="66"/>
  <c r="AM12" i="66"/>
  <c r="AL12" i="66"/>
  <c r="AM11" i="66"/>
  <c r="AL11" i="66"/>
  <c r="AM10" i="66"/>
  <c r="AL10" i="66"/>
  <c r="AM9" i="66"/>
  <c r="AL9" i="66"/>
  <c r="AM8" i="66"/>
  <c r="AL8" i="66"/>
  <c r="AM7" i="66"/>
  <c r="AL7" i="66"/>
  <c r="CZ1513" i="54" l="1"/>
  <c r="CX1513" i="54" s="1"/>
  <c r="CZ1461" i="54"/>
  <c r="CZ1617" i="54"/>
  <c r="CX1617" i="54" s="1"/>
  <c r="CZ1565" i="54"/>
  <c r="CX1565" i="54" s="1"/>
  <c r="CZ1619" i="54"/>
  <c r="CX1619" i="54" s="1"/>
  <c r="CZ1567" i="54"/>
  <c r="CX1567" i="54" s="1"/>
  <c r="CZ1463" i="54"/>
  <c r="CZ1515" i="54"/>
  <c r="CX1515" i="54" s="1"/>
  <c r="CZ1569" i="54"/>
  <c r="CX1569" i="54" s="1"/>
  <c r="CZ1465" i="54"/>
  <c r="CZ1621" i="54"/>
  <c r="CX1621" i="54" s="1"/>
  <c r="CZ1517" i="54"/>
  <c r="CX1517" i="54" s="1"/>
  <c r="CZ1623" i="54"/>
  <c r="CX1623" i="54" s="1"/>
  <c r="CZ1571" i="54"/>
  <c r="CX1571" i="54" s="1"/>
  <c r="CZ1519" i="54"/>
  <c r="CX1519" i="54" s="1"/>
  <c r="CZ1467" i="54"/>
  <c r="CZ1469" i="54"/>
  <c r="CZ1521" i="54"/>
  <c r="CX1521" i="54" s="1"/>
  <c r="CZ1625" i="54"/>
  <c r="CX1625" i="54" s="1"/>
  <c r="CZ1573" i="54"/>
  <c r="CX1573" i="54" s="1"/>
  <c r="CZ1523" i="54"/>
  <c r="CX1523" i="54" s="1"/>
  <c r="CZ1575" i="54"/>
  <c r="CX1575" i="54" s="1"/>
  <c r="CZ1471" i="54"/>
  <c r="CZ1627" i="54"/>
  <c r="CX1627" i="54" s="1"/>
  <c r="CZ1577" i="54"/>
  <c r="CX1577" i="54" s="1"/>
  <c r="CZ1629" i="54"/>
  <c r="CX1629" i="54" s="1"/>
  <c r="CZ1473" i="54"/>
  <c r="CZ1525" i="54"/>
  <c r="CX1525" i="54" s="1"/>
  <c r="CZ1527" i="54"/>
  <c r="CX1527" i="54" s="1"/>
  <c r="CZ1631" i="54"/>
  <c r="CX1631" i="54" s="1"/>
  <c r="CZ1579" i="54"/>
  <c r="CX1579" i="54" s="1"/>
  <c r="CZ1475" i="54"/>
  <c r="CZ1477" i="54"/>
  <c r="CZ1581" i="54"/>
  <c r="CX1581" i="54" s="1"/>
  <c r="CZ1633" i="54"/>
  <c r="CX1633" i="54" s="1"/>
  <c r="CZ1529" i="54"/>
  <c r="CX1529" i="54" s="1"/>
  <c r="CZ1531" i="54"/>
  <c r="CX1531" i="54" s="1"/>
  <c r="CZ1583" i="54"/>
  <c r="CX1583" i="54" s="1"/>
  <c r="CZ1635" i="54"/>
  <c r="CX1635" i="54" s="1"/>
  <c r="CZ1479" i="54"/>
  <c r="CZ1585" i="54"/>
  <c r="CX1585" i="54" s="1"/>
  <c r="CZ1481" i="54"/>
  <c r="CZ1637" i="54"/>
  <c r="CX1637" i="54" s="1"/>
  <c r="CZ1533" i="54"/>
  <c r="CX1533" i="54" s="1"/>
  <c r="CZ1639" i="54"/>
  <c r="CX1639" i="54" s="1"/>
  <c r="CZ1535" i="54"/>
  <c r="CX1535" i="54" s="1"/>
  <c r="CZ1587" i="54"/>
  <c r="CX1587" i="54" s="1"/>
  <c r="CZ1483" i="54"/>
  <c r="CZ1641" i="54"/>
  <c r="CX1641" i="54" s="1"/>
  <c r="CZ1589" i="54"/>
  <c r="CX1589" i="54" s="1"/>
  <c r="CZ1485" i="54"/>
  <c r="CZ1537" i="54"/>
  <c r="CX1537" i="54" s="1"/>
  <c r="CZ1591" i="54"/>
  <c r="CX1591" i="54" s="1"/>
  <c r="CZ1539" i="54"/>
  <c r="CX1539" i="54" s="1"/>
  <c r="CZ1643" i="54"/>
  <c r="CX1643" i="54" s="1"/>
  <c r="CZ1487" i="54"/>
  <c r="CZ1489" i="54"/>
  <c r="CZ1645" i="54"/>
  <c r="CX1645" i="54" s="1"/>
  <c r="CZ1541" i="54"/>
  <c r="CX1541" i="54" s="1"/>
  <c r="CZ1593" i="54"/>
  <c r="CX1593" i="54" s="1"/>
  <c r="CZ1543" i="54"/>
  <c r="CX1543" i="54" s="1"/>
  <c r="CZ1491" i="54"/>
  <c r="CZ1595" i="54"/>
  <c r="CX1595" i="54" s="1"/>
  <c r="CZ1647" i="54"/>
  <c r="CX1647" i="54" s="1"/>
  <c r="CZ1493" i="54"/>
  <c r="CZ1545" i="54"/>
  <c r="CX1545" i="54" s="1"/>
  <c r="CZ1649" i="54"/>
  <c r="CX1649" i="54" s="1"/>
  <c r="CZ1597" i="54"/>
  <c r="CX1597" i="54" s="1"/>
  <c r="CZ1599" i="54"/>
  <c r="CX1599" i="54" s="1"/>
  <c r="CZ1547" i="54"/>
  <c r="CX1547" i="54" s="1"/>
  <c r="CZ1651" i="54"/>
  <c r="CX1651" i="54" s="1"/>
  <c r="CZ1495" i="54"/>
  <c r="CZ1497" i="54"/>
  <c r="CZ1549" i="54"/>
  <c r="CX1549" i="54" s="1"/>
  <c r="CZ1653" i="54"/>
  <c r="CX1653" i="54" s="1"/>
  <c r="CZ1601" i="54"/>
  <c r="CX1601" i="54" s="1"/>
  <c r="CZ1603" i="54"/>
  <c r="CX1603" i="54" s="1"/>
  <c r="CZ1655" i="54"/>
  <c r="CX1655" i="54" s="1"/>
  <c r="CZ1551" i="54"/>
  <c r="CX1551" i="54" s="1"/>
  <c r="CZ1499" i="54"/>
  <c r="CZ1553" i="54"/>
  <c r="CX1553" i="54" s="1"/>
  <c r="CZ1657" i="54"/>
  <c r="CX1657" i="54" s="1"/>
  <c r="CZ1501" i="54"/>
  <c r="CZ1605" i="54"/>
  <c r="CX1605" i="54" s="1"/>
  <c r="CZ1607" i="54"/>
  <c r="CX1607" i="54" s="1"/>
  <c r="CZ1503" i="54"/>
  <c r="CZ1555" i="54"/>
  <c r="CX1555" i="54" s="1"/>
  <c r="CZ1659" i="54"/>
  <c r="CX1659" i="54" s="1"/>
  <c r="CZ1661" i="54"/>
  <c r="CX1661" i="54" s="1"/>
  <c r="CZ1557" i="54"/>
  <c r="CX1557" i="54" s="1"/>
  <c r="CZ1505" i="54"/>
  <c r="CZ1609" i="54"/>
  <c r="CX1609" i="54" s="1"/>
  <c r="CZ1663" i="54"/>
  <c r="CX1663" i="54" s="1"/>
  <c r="CZ1559" i="54"/>
  <c r="CX1559" i="54" s="1"/>
  <c r="CZ1611" i="54"/>
  <c r="CX1611" i="54" s="1"/>
  <c r="CZ1507" i="54"/>
  <c r="CZ1509" i="54"/>
  <c r="CZ1561" i="54"/>
  <c r="CX1561" i="54" s="1"/>
  <c r="CZ1613" i="54"/>
  <c r="CX1613" i="54" s="1"/>
  <c r="CZ1665" i="54"/>
  <c r="CX1665" i="54" s="1"/>
  <c r="CZ1667" i="54"/>
  <c r="CX1667" i="54" s="1"/>
  <c r="CZ1615" i="54"/>
  <c r="CX1615" i="54" s="1"/>
  <c r="CZ1563" i="54"/>
  <c r="CX1563" i="54" s="1"/>
  <c r="CZ1511" i="54"/>
  <c r="CZ1514" i="54"/>
  <c r="CX1514" i="54" s="1"/>
  <c r="CZ1462" i="54"/>
  <c r="CZ1566" i="54"/>
  <c r="CX1566" i="54" s="1"/>
  <c r="CZ1618" i="54"/>
  <c r="CX1618" i="54" s="1"/>
  <c r="CZ1464" i="54"/>
  <c r="CZ1620" i="54"/>
  <c r="CX1620" i="54" s="1"/>
  <c r="CZ1516" i="54"/>
  <c r="CX1516" i="54" s="1"/>
  <c r="CZ1568" i="54"/>
  <c r="CX1568" i="54" s="1"/>
  <c r="CZ1518" i="54"/>
  <c r="CX1518" i="54" s="1"/>
  <c r="CZ1466" i="54"/>
  <c r="CZ1570" i="54"/>
  <c r="CX1570" i="54" s="1"/>
  <c r="CZ1622" i="54"/>
  <c r="CX1622" i="54" s="1"/>
  <c r="CZ1624" i="54"/>
  <c r="CX1624" i="54" s="1"/>
  <c r="CZ1572" i="54"/>
  <c r="CX1572" i="54" s="1"/>
  <c r="CZ1520" i="54"/>
  <c r="CX1520" i="54" s="1"/>
  <c r="CZ1468" i="54"/>
  <c r="CZ1522" i="54"/>
  <c r="CX1522" i="54" s="1"/>
  <c r="CZ1574" i="54"/>
  <c r="CX1574" i="54" s="1"/>
  <c r="CZ1470" i="54"/>
  <c r="CZ1626" i="54"/>
  <c r="CX1626" i="54" s="1"/>
  <c r="CZ1524" i="54"/>
  <c r="CX1524" i="54" s="1"/>
  <c r="CZ1628" i="54"/>
  <c r="CX1628" i="54" s="1"/>
  <c r="CZ1472" i="54"/>
  <c r="CZ1576" i="54"/>
  <c r="CX1576" i="54" s="1"/>
  <c r="CZ1526" i="54"/>
  <c r="CX1526" i="54" s="1"/>
  <c r="CZ1578" i="54"/>
  <c r="CX1578" i="54" s="1"/>
  <c r="CZ1474" i="54"/>
  <c r="CZ1630" i="54"/>
  <c r="CX1630" i="54" s="1"/>
  <c r="CZ1528" i="54"/>
  <c r="CX1528" i="54" s="1"/>
  <c r="CZ1632" i="54"/>
  <c r="CX1632" i="54" s="1"/>
  <c r="CZ1580" i="54"/>
  <c r="CX1580" i="54" s="1"/>
  <c r="CZ1476" i="54"/>
  <c r="CZ1530" i="54"/>
  <c r="CX1530" i="54" s="1"/>
  <c r="CZ1582" i="54"/>
  <c r="CX1582" i="54" s="1"/>
  <c r="CZ1478" i="54"/>
  <c r="CZ1634" i="54"/>
  <c r="CX1634" i="54" s="1"/>
  <c r="CZ1532" i="54"/>
  <c r="CX1532" i="54" s="1"/>
  <c r="CZ1636" i="54"/>
  <c r="CX1636" i="54" s="1"/>
  <c r="CZ1480" i="54"/>
  <c r="CZ1584" i="54"/>
  <c r="CX1584" i="54" s="1"/>
  <c r="CZ1586" i="54"/>
  <c r="CX1586" i="54" s="1"/>
  <c r="CZ1482" i="54"/>
  <c r="CZ1638" i="54"/>
  <c r="CX1638" i="54" s="1"/>
  <c r="CZ1534" i="54"/>
  <c r="CX1534" i="54" s="1"/>
  <c r="CZ1536" i="54"/>
  <c r="CX1536" i="54" s="1"/>
  <c r="CZ1640" i="54"/>
  <c r="CX1640" i="54" s="1"/>
  <c r="CZ1484" i="54"/>
  <c r="CZ1588" i="54"/>
  <c r="CX1588" i="54" s="1"/>
  <c r="CZ1590" i="54"/>
  <c r="CX1590" i="54" s="1"/>
  <c r="CZ1538" i="54"/>
  <c r="CX1538" i="54" s="1"/>
  <c r="CZ1642" i="54"/>
  <c r="CX1642" i="54" s="1"/>
  <c r="CZ1486" i="54"/>
  <c r="CZ1540" i="54"/>
  <c r="CX1540" i="54" s="1"/>
  <c r="CZ1592" i="54"/>
  <c r="CX1592" i="54" s="1"/>
  <c r="CZ1644" i="54"/>
  <c r="CX1644" i="54" s="1"/>
  <c r="CZ1488" i="54"/>
  <c r="CZ1542" i="54"/>
  <c r="CX1542" i="54" s="1"/>
  <c r="CZ1646" i="54"/>
  <c r="CX1646" i="54" s="1"/>
  <c r="CZ1490" i="54"/>
  <c r="CZ1594" i="54"/>
  <c r="CX1594" i="54" s="1"/>
  <c r="CZ1596" i="54"/>
  <c r="CX1596" i="54" s="1"/>
  <c r="CZ1492" i="54"/>
  <c r="CZ1544" i="54"/>
  <c r="CX1544" i="54" s="1"/>
  <c r="CZ1648" i="54"/>
  <c r="CX1648" i="54" s="1"/>
  <c r="CZ1598" i="54"/>
  <c r="CX1598" i="54" s="1"/>
  <c r="CZ1650" i="54"/>
  <c r="CX1650" i="54" s="1"/>
  <c r="CZ1494" i="54"/>
  <c r="CZ1546" i="54"/>
  <c r="CX1546" i="54" s="1"/>
  <c r="CZ1600" i="54"/>
  <c r="CX1600" i="54" s="1"/>
  <c r="CZ1652" i="54"/>
  <c r="CX1652" i="54" s="1"/>
  <c r="CZ1548" i="54"/>
  <c r="CX1548" i="54" s="1"/>
  <c r="CZ1496" i="54"/>
  <c r="CZ1550" i="54"/>
  <c r="CX1550" i="54" s="1"/>
  <c r="CZ1498" i="54"/>
  <c r="CZ1602" i="54"/>
  <c r="CX1602" i="54" s="1"/>
  <c r="CZ1654" i="54"/>
  <c r="CX1654" i="54" s="1"/>
  <c r="CZ1604" i="54"/>
  <c r="CX1604" i="54" s="1"/>
  <c r="CZ1500" i="54"/>
  <c r="CZ1552" i="54"/>
  <c r="CX1552" i="54" s="1"/>
  <c r="CZ1656" i="54"/>
  <c r="CX1656" i="54" s="1"/>
  <c r="CZ1606" i="54"/>
  <c r="CX1606" i="54" s="1"/>
  <c r="CZ1502" i="54"/>
  <c r="CZ1658" i="54"/>
  <c r="CX1658" i="54" s="1"/>
  <c r="CZ1554" i="54"/>
  <c r="CX1554" i="54" s="1"/>
  <c r="CZ1608" i="54"/>
  <c r="CX1608" i="54" s="1"/>
  <c r="CZ1660" i="54"/>
  <c r="CX1660" i="54" s="1"/>
  <c r="CZ1556" i="54"/>
  <c r="CX1556" i="54" s="1"/>
  <c r="CZ1504" i="54"/>
  <c r="CZ1662" i="54"/>
  <c r="CX1662" i="54" s="1"/>
  <c r="CZ1506" i="54"/>
  <c r="CZ1558" i="54"/>
  <c r="CX1558" i="54" s="1"/>
  <c r="CZ1610" i="54"/>
  <c r="CX1610" i="54" s="1"/>
  <c r="CZ1508" i="54"/>
  <c r="CZ1560" i="54"/>
  <c r="CX1560" i="54" s="1"/>
  <c r="CZ1612" i="54"/>
  <c r="CX1612" i="54" s="1"/>
  <c r="CZ1664" i="54"/>
  <c r="CX1664" i="54" s="1"/>
  <c r="CZ1510" i="54"/>
  <c r="CZ1562" i="54"/>
  <c r="CX1562" i="54" s="1"/>
  <c r="CZ1666" i="54"/>
  <c r="CX1666" i="54" s="1"/>
  <c r="CZ1614" i="54"/>
  <c r="CX1614" i="54" s="1"/>
  <c r="CZ1668" i="54"/>
  <c r="CX1668" i="54" s="1"/>
  <c r="CZ1564" i="54"/>
  <c r="CX1564" i="54" s="1"/>
  <c r="CZ1616" i="54"/>
  <c r="CX1616" i="54" s="1"/>
  <c r="CZ1512" i="54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CX1506" i="54" l="1"/>
  <c r="CX1500" i="54"/>
  <c r="CX1482" i="54"/>
  <c r="CX1466" i="54"/>
  <c r="CX1462" i="54"/>
  <c r="CX1491" i="54"/>
  <c r="CX1512" i="54"/>
  <c r="CX1504" i="54"/>
  <c r="CX1496" i="54"/>
  <c r="CX1488" i="54"/>
  <c r="CX1486" i="54"/>
  <c r="CX1476" i="54"/>
  <c r="CX1468" i="54"/>
  <c r="CX1511" i="54"/>
  <c r="CX1507" i="54"/>
  <c r="CX1499" i="54"/>
  <c r="CX1495" i="54"/>
  <c r="CX1487" i="54"/>
  <c r="CX1483" i="54"/>
  <c r="CX1479" i="54"/>
  <c r="CX1475" i="54"/>
  <c r="CX1467" i="54"/>
  <c r="CX1502" i="54"/>
  <c r="CX1492" i="54"/>
  <c r="CX1465" i="54"/>
  <c r="CX1494" i="54"/>
  <c r="CX1490" i="54"/>
  <c r="CX1484" i="54"/>
  <c r="CX1480" i="54"/>
  <c r="CX1478" i="54"/>
  <c r="CX1474" i="54"/>
  <c r="CX1472" i="54"/>
  <c r="CX1470" i="54"/>
  <c r="CX1505" i="54"/>
  <c r="CX1501" i="54"/>
  <c r="CX1485" i="54"/>
  <c r="CX1473" i="54"/>
  <c r="CX1471" i="54"/>
  <c r="CX1463" i="54"/>
  <c r="CX1498" i="54"/>
  <c r="CX1503" i="54"/>
  <c r="CX1481" i="54"/>
  <c r="CX1461" i="54"/>
  <c r="CX1510" i="54"/>
  <c r="CX1508" i="54"/>
  <c r="CX1464" i="54"/>
  <c r="CX1509" i="54"/>
  <c r="CX1497" i="54"/>
  <c r="CX1493" i="54"/>
  <c r="CX1489" i="54"/>
  <c r="CX1477" i="54"/>
  <c r="CX1469" i="54"/>
  <c r="GR82" i="54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D26" i="66"/>
  <c r="CN585" i="54" s="1"/>
  <c r="BD27" i="66"/>
  <c r="CN586" i="54" s="1"/>
  <c r="BD28" i="66"/>
  <c r="CN587" i="54" s="1"/>
  <c r="BD29" i="66"/>
  <c r="CN588" i="54" s="1"/>
  <c r="BD30" i="66"/>
  <c r="CN589" i="54" s="1"/>
  <c r="BD31" i="66"/>
  <c r="CN590" i="54" s="1"/>
  <c r="BD32" i="66"/>
  <c r="CN591" i="54" s="1"/>
  <c r="BD33" i="66"/>
  <c r="CN592" i="54" s="1"/>
  <c r="BD34" i="66"/>
  <c r="CN593" i="54" s="1"/>
  <c r="BD35" i="66"/>
  <c r="CN594" i="54" s="1"/>
  <c r="BD36" i="66"/>
  <c r="CN595" i="54" s="1"/>
  <c r="BD37" i="66"/>
  <c r="CN596" i="54" s="1"/>
  <c r="BD38" i="66"/>
  <c r="CN597" i="54" s="1"/>
  <c r="BD39" i="66"/>
  <c r="CN598" i="54" s="1"/>
  <c r="BD40" i="66"/>
  <c r="CN599" i="54" s="1"/>
  <c r="BD41" i="66"/>
  <c r="CN600" i="54" s="1"/>
  <c r="BD42" i="66"/>
  <c r="CN601" i="54" s="1"/>
  <c r="BD43" i="66"/>
  <c r="CN602" i="54" s="1"/>
  <c r="BD44" i="66"/>
  <c r="CN603" i="54" s="1"/>
  <c r="BD45" i="66"/>
  <c r="CN604" i="54" s="1"/>
  <c r="BD46" i="66"/>
  <c r="CN605" i="54" s="1"/>
  <c r="BD47" i="66"/>
  <c r="CN606" i="54" s="1"/>
  <c r="BD48" i="66"/>
  <c r="CN607" i="54" s="1"/>
  <c r="BD49" i="66"/>
  <c r="CN608" i="54" s="1"/>
  <c r="BD50" i="66"/>
  <c r="CN609" i="54" s="1"/>
  <c r="BD51" i="66"/>
  <c r="CN610" i="54" s="1"/>
  <c r="BD52" i="66"/>
  <c r="CN611" i="54" s="1"/>
  <c r="BD53" i="66"/>
  <c r="CN612" i="54" s="1"/>
  <c r="BD54" i="66"/>
  <c r="CN613" i="54" s="1"/>
  <c r="BD55" i="66"/>
  <c r="CN614" i="54" s="1"/>
  <c r="BD56" i="66"/>
  <c r="CN615" i="54" s="1"/>
  <c r="BD57" i="66"/>
  <c r="CN616" i="54" s="1"/>
  <c r="BD58" i="66"/>
  <c r="CN617" i="54" s="1"/>
  <c r="BD59" i="66"/>
  <c r="CN618" i="54" s="1"/>
  <c r="BD60" i="66"/>
  <c r="CN619" i="54" s="1"/>
  <c r="BD61" i="66"/>
  <c r="CN620" i="54" s="1"/>
  <c r="BD62" i="66"/>
  <c r="CN621" i="54" s="1"/>
  <c r="BD63" i="66"/>
  <c r="CN622" i="54" s="1"/>
  <c r="BD64" i="66"/>
  <c r="CN623" i="54" s="1"/>
  <c r="BD65" i="66"/>
  <c r="CN624" i="54" s="1"/>
  <c r="BD66" i="66"/>
  <c r="CN625" i="54" s="1"/>
  <c r="BD67" i="66"/>
  <c r="CN626" i="54" s="1"/>
  <c r="BD68" i="66"/>
  <c r="CN627" i="54" s="1"/>
  <c r="BD69" i="66"/>
  <c r="CN628" i="54" s="1"/>
  <c r="BD70" i="66"/>
  <c r="CN629" i="54" s="1"/>
  <c r="BD71" i="66"/>
  <c r="CN630" i="54" s="1"/>
  <c r="BD72" i="66"/>
  <c r="CN631" i="54" s="1"/>
  <c r="BD73" i="66"/>
  <c r="CN632" i="54" s="1"/>
  <c r="BD74" i="66"/>
  <c r="CN633" i="54" s="1"/>
  <c r="BD75" i="66"/>
  <c r="CN634" i="54" s="1"/>
  <c r="BD76" i="66"/>
  <c r="CN635" i="54" s="1"/>
  <c r="BD77" i="66"/>
  <c r="CN636" i="54" s="1"/>
  <c r="BD78" i="66"/>
  <c r="CN637" i="54" s="1"/>
  <c r="BD79" i="66"/>
  <c r="CN638" i="54" s="1"/>
  <c r="BD80" i="66"/>
  <c r="CN639" i="54" s="1"/>
  <c r="BD81" i="66"/>
  <c r="CN640" i="54" s="1"/>
  <c r="BD82" i="66"/>
  <c r="CN641" i="54" s="1"/>
  <c r="BD83" i="66"/>
  <c r="CN642" i="54" s="1"/>
  <c r="BD84" i="66"/>
  <c r="CN643" i="54" s="1"/>
  <c r="BD85" i="66"/>
  <c r="CN644" i="54" s="1"/>
  <c r="BD7" i="66"/>
  <c r="CN566" i="54" s="1"/>
  <c r="BD8" i="66"/>
  <c r="CN567" i="54" s="1"/>
  <c r="BD9" i="66"/>
  <c r="CN568" i="54" s="1"/>
  <c r="BD10" i="66"/>
  <c r="CN569" i="54" s="1"/>
  <c r="BD11" i="66"/>
  <c r="CN570" i="54" s="1"/>
  <c r="BD12" i="66"/>
  <c r="CN571" i="54" s="1"/>
  <c r="BD13" i="66"/>
  <c r="CN572" i="54" s="1"/>
  <c r="BD14" i="66"/>
  <c r="CN573" i="54" s="1"/>
  <c r="BD15" i="66"/>
  <c r="CN574" i="54" s="1"/>
  <c r="BD16" i="66"/>
  <c r="CN575" i="54" s="1"/>
  <c r="BD17" i="66"/>
  <c r="CN576" i="54" s="1"/>
  <c r="BD18" i="66"/>
  <c r="CN577" i="54" s="1"/>
  <c r="BD19" i="66"/>
  <c r="CN578" i="54" s="1"/>
  <c r="BD20" i="66"/>
  <c r="CN579" i="54" s="1"/>
  <c r="BD21" i="66"/>
  <c r="CN580" i="54" s="1"/>
  <c r="BD22" i="66"/>
  <c r="CN581" i="54" s="1"/>
  <c r="BD23" i="66"/>
  <c r="CN582" i="54" s="1"/>
  <c r="BD24" i="66"/>
  <c r="CN583" i="54" s="1"/>
  <c r="BD25" i="66"/>
  <c r="CN584" i="54" s="1"/>
  <c r="BD6" i="66"/>
  <c r="CN565" i="54" s="1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DV245" i="54" l="1"/>
  <c r="DV247" i="54"/>
  <c r="DV249" i="54"/>
  <c r="DV251" i="54"/>
  <c r="DV253" i="54"/>
  <c r="DV255" i="54"/>
  <c r="DV257" i="54"/>
  <c r="DV259" i="54"/>
  <c r="DV261" i="54"/>
  <c r="DV263" i="54"/>
  <c r="DV246" i="54"/>
  <c r="DV248" i="54"/>
  <c r="DV250" i="54"/>
  <c r="DV252" i="54"/>
  <c r="DV254" i="54"/>
  <c r="DV256" i="54"/>
  <c r="DV258" i="54"/>
  <c r="DV260" i="54"/>
  <c r="DV262" i="54"/>
  <c r="DV264" i="54"/>
  <c r="DT245" i="54"/>
  <c r="DT249" i="54"/>
  <c r="DT253" i="54"/>
  <c r="DT257" i="54"/>
  <c r="DT261" i="54"/>
  <c r="DT248" i="54"/>
  <c r="DT252" i="54"/>
  <c r="DT256" i="54"/>
  <c r="DT260" i="54"/>
  <c r="DT264" i="54"/>
  <c r="DT247" i="54"/>
  <c r="DT251" i="54"/>
  <c r="DT255" i="54"/>
  <c r="DT259" i="54"/>
  <c r="DT263" i="54"/>
  <c r="DT246" i="54"/>
  <c r="DT250" i="54"/>
  <c r="DT254" i="54"/>
  <c r="DT258" i="54"/>
  <c r="DT262" i="54"/>
  <c r="DV365" i="54"/>
  <c r="DV369" i="54"/>
  <c r="DV373" i="54"/>
  <c r="DV377" i="54"/>
  <c r="DV381" i="54"/>
  <c r="DV366" i="54"/>
  <c r="DV370" i="54"/>
  <c r="DV374" i="54"/>
  <c r="DV378" i="54"/>
  <c r="DV382" i="54"/>
  <c r="DV367" i="54"/>
  <c r="DV371" i="54"/>
  <c r="DV375" i="54"/>
  <c r="DV379" i="54"/>
  <c r="DV383" i="54"/>
  <c r="DV368" i="54"/>
  <c r="DV372" i="54"/>
  <c r="DV376" i="54"/>
  <c r="DV380" i="54"/>
  <c r="DV384" i="54"/>
  <c r="DU365" i="54"/>
  <c r="DU367" i="54"/>
  <c r="DU369" i="54"/>
  <c r="DU371" i="54"/>
  <c r="DU373" i="54"/>
  <c r="DU375" i="54"/>
  <c r="DU377" i="54"/>
  <c r="DU379" i="54"/>
  <c r="DU381" i="54"/>
  <c r="DU383" i="54"/>
  <c r="DU366" i="54"/>
  <c r="DU368" i="54"/>
  <c r="DU370" i="54"/>
  <c r="DU372" i="54"/>
  <c r="DU374" i="54"/>
  <c r="DU376" i="54"/>
  <c r="DU378" i="54"/>
  <c r="DU380" i="54"/>
  <c r="DU382" i="54"/>
  <c r="DU384" i="54"/>
  <c r="DT365" i="54"/>
  <c r="DT369" i="54"/>
  <c r="DT373" i="54"/>
  <c r="DT377" i="54"/>
  <c r="DT381" i="54"/>
  <c r="DT368" i="54"/>
  <c r="DT372" i="54"/>
  <c r="DT376" i="54"/>
  <c r="DT380" i="54"/>
  <c r="DT384" i="54"/>
  <c r="DT367" i="54"/>
  <c r="DT371" i="54"/>
  <c r="DT375" i="54"/>
  <c r="DT379" i="54"/>
  <c r="DT383" i="54"/>
  <c r="DT366" i="54"/>
  <c r="DT370" i="54"/>
  <c r="DT374" i="54"/>
  <c r="DT378" i="54"/>
  <c r="DT382" i="54"/>
  <c r="DV425" i="54"/>
  <c r="DV429" i="54"/>
  <c r="DV433" i="54"/>
  <c r="DV437" i="54"/>
  <c r="DV441" i="54"/>
  <c r="DV426" i="54"/>
  <c r="DV430" i="54"/>
  <c r="DV434" i="54"/>
  <c r="DV438" i="54"/>
  <c r="DV442" i="54"/>
  <c r="DV427" i="54"/>
  <c r="DV431" i="54"/>
  <c r="DV435" i="54"/>
  <c r="DV439" i="54"/>
  <c r="DV443" i="54"/>
  <c r="DV428" i="54"/>
  <c r="DV432" i="54"/>
  <c r="DV436" i="54"/>
  <c r="DV440" i="54"/>
  <c r="DV444" i="54"/>
  <c r="DT425" i="54"/>
  <c r="DT427" i="54"/>
  <c r="DT429" i="54"/>
  <c r="DT431" i="54"/>
  <c r="DT433" i="54"/>
  <c r="DT435" i="54"/>
  <c r="DT437" i="54"/>
  <c r="DT439" i="54"/>
  <c r="DT441" i="54"/>
  <c r="DT443" i="54"/>
  <c r="DT426" i="54"/>
  <c r="DT428" i="54"/>
  <c r="DT430" i="54"/>
  <c r="DT432" i="54"/>
  <c r="DT434" i="54"/>
  <c r="DT436" i="54"/>
  <c r="DT438" i="54"/>
  <c r="DT440" i="54"/>
  <c r="DT442" i="54"/>
  <c r="DT444" i="54"/>
  <c r="DU426" i="54"/>
  <c r="DU430" i="54"/>
  <c r="DU434" i="54"/>
  <c r="DU438" i="54"/>
  <c r="DU442" i="54"/>
  <c r="DU425" i="54"/>
  <c r="DU429" i="54"/>
  <c r="DU433" i="54"/>
  <c r="DU437" i="54"/>
  <c r="DU441" i="54"/>
  <c r="DU428" i="54"/>
  <c r="DU432" i="54"/>
  <c r="DU436" i="54"/>
  <c r="DU440" i="54"/>
  <c r="DU444" i="54"/>
  <c r="DU427" i="54"/>
  <c r="DU431" i="54"/>
  <c r="DU435" i="54"/>
  <c r="DU439" i="54"/>
  <c r="DU443" i="54"/>
  <c r="GH111" i="54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K387" i="57" l="1"/>
  <c r="BK710" i="57"/>
  <c r="BK949" i="57"/>
  <c r="BH1130" i="57"/>
  <c r="BK443" i="57"/>
  <c r="BK414" i="57"/>
  <c r="BK755" i="57"/>
  <c r="BH30" i="57"/>
  <c r="BH510" i="57"/>
  <c r="BH557" i="57"/>
  <c r="BH528" i="57"/>
  <c r="BH809" i="57"/>
  <c r="BH845" i="57"/>
  <c r="BH836" i="57"/>
  <c r="BH822" i="57"/>
  <c r="BH824" i="57"/>
  <c r="BH209" i="57"/>
  <c r="BH231" i="57"/>
  <c r="BH223" i="57"/>
  <c r="BH193" i="57"/>
  <c r="BH130" i="57"/>
  <c r="BE4" i="57"/>
  <c r="BH247" i="57"/>
  <c r="BH291" i="57"/>
  <c r="BH271" i="57"/>
  <c r="BH281" i="57"/>
  <c r="BH301" i="57"/>
  <c r="BH311" i="57"/>
  <c r="BH628" i="57"/>
  <c r="BH580" i="57"/>
  <c r="BH618" i="57"/>
  <c r="BH589" i="57"/>
  <c r="BH573" i="57"/>
  <c r="BH605" i="57"/>
  <c r="BH598" i="57"/>
  <c r="BH1113" i="57"/>
  <c r="BH1123" i="57"/>
  <c r="BK247" i="57"/>
  <c r="BK845" i="57"/>
  <c r="BK837" i="57"/>
  <c r="BK850" i="57"/>
  <c r="BK883" i="57"/>
  <c r="BK858" i="57"/>
  <c r="BK852" i="57"/>
  <c r="BK872" i="57"/>
  <c r="BK841" i="57"/>
  <c r="BK148" i="57"/>
  <c r="BK88" i="57"/>
  <c r="BK122" i="57"/>
  <c r="BH1020" i="57"/>
  <c r="BK192" i="57"/>
  <c r="BK219" i="57"/>
  <c r="BK213" i="57"/>
  <c r="BH892" i="57"/>
  <c r="BH905" i="57"/>
  <c r="BH925" i="57"/>
  <c r="BH901" i="57"/>
  <c r="BK844" i="57"/>
  <c r="BK407" i="57"/>
  <c r="BK396" i="57"/>
  <c r="BK718" i="57"/>
  <c r="BH76" i="57"/>
  <c r="BH780" i="57"/>
  <c r="BH766" i="57"/>
  <c r="BH782" i="57"/>
  <c r="BH176" i="57"/>
  <c r="BH214" i="57"/>
  <c r="BH77" i="57"/>
  <c r="BH266" i="57"/>
  <c r="BH228" i="57"/>
  <c r="BH535" i="57"/>
  <c r="BH546" i="57"/>
  <c r="BK234" i="57"/>
  <c r="BK734" i="57"/>
  <c r="BK752" i="57"/>
  <c r="BK730" i="57"/>
  <c r="BK877" i="57"/>
  <c r="BK938" i="57"/>
  <c r="BK932" i="57"/>
  <c r="BK876" i="57"/>
  <c r="BH294" i="57"/>
  <c r="BH314" i="57"/>
  <c r="BH625" i="57"/>
  <c r="BH587" i="57"/>
  <c r="BH634" i="57"/>
  <c r="BK84" i="57"/>
  <c r="BH880" i="57"/>
  <c r="BH924" i="57"/>
  <c r="BH941" i="57"/>
  <c r="BH878" i="57"/>
  <c r="BH895" i="57"/>
  <c r="BK178" i="57"/>
  <c r="BK158" i="57"/>
  <c r="BH858" i="57"/>
  <c r="BH789" i="57"/>
  <c r="BH787" i="57"/>
  <c r="BH788" i="57"/>
  <c r="BH795" i="57"/>
  <c r="BH791" i="57"/>
  <c r="BH790" i="57"/>
  <c r="BH793" i="57"/>
  <c r="BK856" i="57"/>
  <c r="BK854" i="57"/>
  <c r="BK855" i="57"/>
  <c r="BH514" i="57"/>
  <c r="BH511" i="57"/>
  <c r="BK214" i="57"/>
  <c r="BH770" i="57"/>
  <c r="BH771" i="57"/>
  <c r="BH769" i="57"/>
  <c r="BK832" i="57"/>
  <c r="BH175" i="57"/>
  <c r="BK80" i="57"/>
  <c r="BK77" i="57"/>
  <c r="BH85" i="57"/>
  <c r="BK154" i="57"/>
  <c r="BH284" i="57"/>
  <c r="BH274" i="57"/>
  <c r="BH275" i="57"/>
  <c r="BH544" i="57"/>
  <c r="BH545" i="57"/>
  <c r="BK751" i="57"/>
  <c r="BK878" i="57"/>
  <c r="BK825" i="57"/>
  <c r="BK831" i="57"/>
  <c r="BH224" i="57"/>
  <c r="BH225" i="57"/>
  <c r="BH238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877" i="57"/>
  <c r="BK185" i="57"/>
  <c r="BK184" i="57"/>
  <c r="BH553" i="57"/>
  <c r="BH554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18" i="57"/>
  <c r="BH815" i="57"/>
  <c r="BH816" i="57"/>
  <c r="BH814" i="57"/>
  <c r="BH819" i="57"/>
  <c r="BH805" i="57"/>
  <c r="BH806" i="57"/>
  <c r="BK864" i="57"/>
  <c r="BH894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60" i="57"/>
  <c r="BK747" i="57"/>
  <c r="BK750" i="57"/>
  <c r="BK743" i="57"/>
  <c r="BK745" i="57"/>
  <c r="BK74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836" i="57" l="1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CU1196" i="54" l="1"/>
  <c r="CU1038" i="54"/>
  <c r="CU811" i="54"/>
  <c r="CU615" i="54"/>
  <c r="CU362" i="54"/>
  <c r="CU1156" i="54"/>
  <c r="CU792" i="54"/>
  <c r="CU647" i="54"/>
  <c r="CU543" i="54"/>
  <c r="CU426" i="54"/>
  <c r="CU240" i="54"/>
  <c r="CU14" i="54"/>
  <c r="CU1019" i="54"/>
  <c r="CU692" i="54"/>
  <c r="CU380" i="54"/>
  <c r="CU72" i="54"/>
  <c r="CU1117" i="54"/>
  <c r="CU1009" i="54"/>
  <c r="CU923" i="54"/>
  <c r="CU766" i="54"/>
  <c r="CU1205" i="54"/>
  <c r="CU1133" i="54"/>
  <c r="CU1032" i="54"/>
  <c r="CU972" i="54"/>
  <c r="CU887" i="54"/>
  <c r="CU824" i="54"/>
  <c r="CU756" i="54"/>
  <c r="CU679" i="54"/>
  <c r="CU570" i="54"/>
  <c r="CU303" i="54"/>
  <c r="CU1028" i="54"/>
  <c r="CU866" i="54"/>
  <c r="CU1165" i="54"/>
  <c r="CU1084" i="54"/>
  <c r="CU1013" i="54"/>
  <c r="CU945" i="54"/>
  <c r="CU876" i="54"/>
  <c r="CU830" i="54"/>
  <c r="CU720" i="54"/>
  <c r="CU651" i="54"/>
  <c r="CU538" i="54"/>
  <c r="CU384" i="54"/>
  <c r="CU253" i="54"/>
  <c r="CU1368" i="54"/>
  <c r="CU1185" i="54"/>
  <c r="CU255" i="54"/>
  <c r="CU226" i="54"/>
  <c r="CU165" i="54"/>
  <c r="CU81" i="54"/>
  <c r="CU30" i="54"/>
  <c r="CU1282" i="54"/>
  <c r="CU1210" i="54"/>
  <c r="CU1194" i="54"/>
  <c r="CU1178" i="54"/>
  <c r="CU1162" i="54"/>
  <c r="CU1146" i="54"/>
  <c r="CU1132" i="54"/>
  <c r="CU1116" i="54"/>
  <c r="CU1098" i="54"/>
  <c r="CU1079" i="54"/>
  <c r="CU1046" i="54"/>
  <c r="CU1026" i="54"/>
  <c r="CU1012" i="54"/>
  <c r="CU991" i="54"/>
  <c r="CU970" i="54"/>
  <c r="CU957" i="54"/>
  <c r="CU934" i="54"/>
  <c r="CU921" i="54"/>
  <c r="CU899" i="54"/>
  <c r="CU884" i="54"/>
  <c r="CU863" i="54"/>
  <c r="CU847" i="54"/>
  <c r="CU819" i="54"/>
  <c r="CU802" i="54"/>
  <c r="CU785" i="54"/>
  <c r="CU761" i="54"/>
  <c r="CU751" i="54"/>
  <c r="CU725" i="54"/>
  <c r="CU714" i="54"/>
  <c r="CU691" i="54"/>
  <c r="CU674" i="54"/>
  <c r="CU657" i="54"/>
  <c r="CU633" i="54"/>
  <c r="CU623" i="54"/>
  <c r="CU597" i="54"/>
  <c r="CU560" i="54"/>
  <c r="CU523" i="54"/>
  <c r="CU498" i="54"/>
  <c r="CU443" i="54"/>
  <c r="CU392" i="54"/>
  <c r="CU370" i="54"/>
  <c r="CU324" i="54"/>
  <c r="CU281" i="54"/>
  <c r="CU251" i="54"/>
  <c r="CU213" i="54"/>
  <c r="CU148" i="54"/>
  <c r="CU110" i="54"/>
  <c r="CU46" i="54"/>
  <c r="CU1200" i="54"/>
  <c r="CU1176" i="54"/>
  <c r="CU1153" i="54"/>
  <c r="CU1141" i="54"/>
  <c r="CU1125" i="54"/>
  <c r="CU1109" i="54"/>
  <c r="CU1083" i="54"/>
  <c r="CU1066" i="54"/>
  <c r="CU1047" i="54"/>
  <c r="CU1010" i="54"/>
  <c r="CU997" i="54"/>
  <c r="CU1164" i="54"/>
  <c r="CU977" i="54"/>
  <c r="CU760" i="54"/>
  <c r="CU585" i="54"/>
  <c r="CU329" i="54"/>
  <c r="CU1053" i="54"/>
  <c r="CU775" i="54"/>
  <c r="CU638" i="54"/>
  <c r="CU508" i="54"/>
  <c r="CU342" i="54"/>
  <c r="CU219" i="54"/>
  <c r="CU1157" i="54"/>
  <c r="CU917" i="54"/>
  <c r="CU624" i="54"/>
  <c r="CU346" i="54"/>
  <c r="CU1213" i="54"/>
  <c r="CU1089" i="54"/>
  <c r="CU983" i="54"/>
  <c r="CU898" i="54"/>
  <c r="CU724" i="54"/>
  <c r="CU1180" i="54"/>
  <c r="CU1123" i="54"/>
  <c r="CU1015" i="54"/>
  <c r="CU955" i="54"/>
  <c r="CU862" i="54"/>
  <c r="CU816" i="54"/>
  <c r="CU747" i="54"/>
  <c r="CU670" i="54"/>
  <c r="CU505" i="54"/>
  <c r="CU282" i="54"/>
  <c r="CU994" i="54"/>
  <c r="CU743" i="54"/>
  <c r="CU1204" i="54"/>
  <c r="CU1139" i="54"/>
  <c r="CU1058" i="54"/>
  <c r="CU1004" i="54"/>
  <c r="CU919" i="54"/>
  <c r="CU859" i="54"/>
  <c r="CU788" i="54"/>
  <c r="CU711" i="54"/>
  <c r="CU600" i="54"/>
  <c r="CU526" i="54"/>
  <c r="CU367" i="54"/>
  <c r="CU228" i="54"/>
  <c r="CU1209" i="54"/>
  <c r="CU1168" i="54"/>
  <c r="CU250" i="54"/>
  <c r="CU207" i="54"/>
  <c r="CU133" i="54"/>
  <c r="CU56" i="54"/>
  <c r="CU11" i="54"/>
  <c r="CU1418" i="54"/>
  <c r="CU1207" i="54"/>
  <c r="CU1191" i="54"/>
  <c r="CU1175" i="54"/>
  <c r="CU1159" i="54"/>
  <c r="CU1143" i="54"/>
  <c r="CU1127" i="54"/>
  <c r="CU1111" i="54"/>
  <c r="CU1093" i="54"/>
  <c r="CU1059" i="54"/>
  <c r="CU1041" i="54"/>
  <c r="CU1023" i="54"/>
  <c r="CU1002" i="54"/>
  <c r="CU989" i="54"/>
  <c r="CU966" i="54"/>
  <c r="CU953" i="54"/>
  <c r="CU931" i="54"/>
  <c r="CU916" i="54"/>
  <c r="CU895" i="54"/>
  <c r="CU874" i="54"/>
  <c r="CU861" i="54"/>
  <c r="CU834" i="54"/>
  <c r="CU817" i="54"/>
  <c r="CU793" i="54"/>
  <c r="CU783" i="54"/>
  <c r="CU757" i="54"/>
  <c r="CU746" i="54"/>
  <c r="CU723" i="54"/>
  <c r="CU706" i="54"/>
  <c r="CU689" i="54"/>
  <c r="CU665" i="54"/>
  <c r="CU655" i="54"/>
  <c r="CU629" i="54"/>
  <c r="CU618" i="54"/>
  <c r="CU592" i="54"/>
  <c r="CU555" i="54"/>
  <c r="CU520" i="54"/>
  <c r="CU473" i="54"/>
  <c r="CU439" i="54"/>
  <c r="CU388" i="54"/>
  <c r="CU341" i="54"/>
  <c r="CU315" i="54"/>
  <c r="CU275" i="54"/>
  <c r="CU239" i="54"/>
  <c r="CU208" i="54"/>
  <c r="CU142" i="54"/>
  <c r="CU91" i="54"/>
  <c r="CU20" i="54"/>
  <c r="CU1192" i="54"/>
  <c r="CU1169" i="54"/>
  <c r="CU1152" i="54"/>
  <c r="CU1136" i="54"/>
  <c r="CU1120" i="54"/>
  <c r="CU1102" i="54"/>
  <c r="CU1081" i="54"/>
  <c r="CU1061" i="54"/>
  <c r="CU1027" i="54"/>
  <c r="CU1006" i="54"/>
  <c r="CU993" i="54"/>
  <c r="CU1128" i="54"/>
  <c r="CU926" i="54"/>
  <c r="CU734" i="54"/>
  <c r="CU511" i="54"/>
  <c r="CU175" i="54"/>
  <c r="CU940" i="54"/>
  <c r="CU715" i="54"/>
  <c r="CU595" i="54"/>
  <c r="CU494" i="54"/>
  <c r="CU307" i="54"/>
  <c r="CU117" i="54"/>
  <c r="CU1138" i="54"/>
  <c r="CU820" i="54"/>
  <c r="CU606" i="54"/>
  <c r="CU292" i="54"/>
  <c r="CU1181" i="54"/>
  <c r="CU1071" i="54"/>
  <c r="CU958" i="54"/>
  <c r="CU881" i="54"/>
  <c r="CU656" i="54"/>
  <c r="CU1173" i="54"/>
  <c r="CU1078" i="54"/>
  <c r="CU990" i="54"/>
  <c r="CU930" i="54"/>
  <c r="CU853" i="54"/>
  <c r="CU807" i="54"/>
  <c r="CU696" i="54"/>
  <c r="CU628" i="54"/>
  <c r="CU371" i="54"/>
  <c r="CU188" i="54"/>
  <c r="CU951" i="54"/>
  <c r="CU683" i="54"/>
  <c r="CU1197" i="54"/>
  <c r="CU1122" i="54"/>
  <c r="CU1048" i="54"/>
  <c r="CU987" i="54"/>
  <c r="CU894" i="54"/>
  <c r="CU851" i="54"/>
  <c r="CU779" i="54"/>
  <c r="CU702" i="54"/>
  <c r="CU579" i="54"/>
  <c r="CU435" i="54"/>
  <c r="CU333" i="54"/>
  <c r="CU27" i="54"/>
  <c r="CU1201" i="54"/>
  <c r="CU1092" i="54"/>
  <c r="CU243" i="54"/>
  <c r="CU184" i="54"/>
  <c r="CU101" i="54"/>
  <c r="CU49" i="54"/>
  <c r="CU1317" i="54"/>
  <c r="CU1373" i="54"/>
  <c r="CU1202" i="54"/>
  <c r="CU1186" i="54"/>
  <c r="CU1170" i="54"/>
  <c r="CU1154" i="54"/>
  <c r="CU1142" i="54"/>
  <c r="CU1126" i="54"/>
  <c r="CU1110" i="54"/>
  <c r="CU1088" i="54"/>
  <c r="CU1057" i="54"/>
  <c r="CU1039" i="54"/>
  <c r="CU1021" i="54"/>
  <c r="CU998" i="54"/>
  <c r="CU985" i="54"/>
  <c r="CU963" i="54"/>
  <c r="CU948" i="54"/>
  <c r="CU927" i="54"/>
  <c r="CU906" i="54"/>
  <c r="CU893" i="54"/>
  <c r="CU870" i="54"/>
  <c r="CU857" i="54"/>
  <c r="CU825" i="54"/>
  <c r="CU815" i="54"/>
  <c r="CU789" i="54"/>
  <c r="CU778" i="54"/>
  <c r="CU755" i="54"/>
  <c r="CU738" i="54"/>
  <c r="CU721" i="54"/>
  <c r="CU697" i="54"/>
  <c r="CU687" i="54"/>
  <c r="CU661" i="54"/>
  <c r="CU650" i="54"/>
  <c r="CU627" i="54"/>
  <c r="CU610" i="54"/>
  <c r="CU576" i="54"/>
  <c r="CU550" i="54"/>
  <c r="CU517" i="54"/>
  <c r="CU456" i="54"/>
  <c r="CU434" i="54"/>
  <c r="CU379" i="54"/>
  <c r="CU337" i="54"/>
  <c r="CU311" i="54"/>
  <c r="CU270" i="54"/>
  <c r="CU234" i="54"/>
  <c r="CU203" i="54"/>
  <c r="CU123" i="54"/>
  <c r="CU78" i="54"/>
  <c r="CU13" i="54"/>
  <c r="CU1184" i="54"/>
  <c r="CU1161" i="54"/>
  <c r="CU1145" i="54"/>
  <c r="CU1131" i="54"/>
  <c r="CU1115" i="54"/>
  <c r="CU1099" i="54"/>
  <c r="CU1076" i="54"/>
  <c r="CU1056" i="54"/>
  <c r="CU1025" i="54"/>
  <c r="CU1003" i="54"/>
  <c r="CU988" i="54"/>
  <c r="CU967" i="54"/>
  <c r="CU946" i="54"/>
  <c r="CU933" i="54"/>
  <c r="CU910" i="54"/>
  <c r="CU897" i="54"/>
  <c r="CU875" i="54"/>
  <c r="CU860" i="54"/>
  <c r="CU832" i="54"/>
  <c r="CU808" i="54"/>
  <c r="CU791" i="54"/>
  <c r="CU768" i="54"/>
  <c r="CU744" i="54"/>
  <c r="CU727" i="54"/>
  <c r="CU704" i="54"/>
  <c r="CU680" i="54"/>
  <c r="CU663" i="54"/>
  <c r="CU640" i="54"/>
  <c r="CU616" i="54"/>
  <c r="CU599" i="54"/>
  <c r="CU574" i="54"/>
  <c r="CU554" i="54"/>
  <c r="CU516" i="54"/>
  <c r="CU476" i="54"/>
  <c r="CU433" i="54"/>
  <c r="CU399" i="54"/>
  <c r="CU348" i="54"/>
  <c r="CU310" i="54"/>
  <c r="CU274" i="54"/>
  <c r="CU1091" i="54"/>
  <c r="CU891" i="54"/>
  <c r="CU632" i="54"/>
  <c r="CU431" i="54"/>
  <c r="CU1188" i="54"/>
  <c r="CU855" i="54"/>
  <c r="CU664" i="54"/>
  <c r="CU553" i="54"/>
  <c r="CU444" i="54"/>
  <c r="CU265" i="54"/>
  <c r="CU65" i="54"/>
  <c r="CU1073" i="54"/>
  <c r="CU752" i="54"/>
  <c r="CU448" i="54"/>
  <c r="CU149" i="54"/>
  <c r="CU1149" i="54"/>
  <c r="CU1035" i="54"/>
  <c r="CU949" i="54"/>
  <c r="CU784" i="54"/>
  <c r="CU1212" i="54"/>
  <c r="CU1148" i="54"/>
  <c r="CU1069" i="54"/>
  <c r="CU981" i="54"/>
  <c r="CU913" i="54"/>
  <c r="CU841" i="54"/>
  <c r="CU798" i="54"/>
  <c r="CU688" i="54"/>
  <c r="CU619" i="54"/>
  <c r="CU320" i="54"/>
  <c r="CU1189" i="54"/>
  <c r="CU908" i="54"/>
  <c r="CU465" i="54"/>
  <c r="CU1172" i="54"/>
  <c r="CU1112" i="54"/>
  <c r="CU1022" i="54"/>
  <c r="CU962" i="54"/>
  <c r="CU885" i="54"/>
  <c r="CU839" i="54"/>
  <c r="CU728" i="54"/>
  <c r="CU660" i="54"/>
  <c r="CU548" i="54"/>
  <c r="CU401" i="54"/>
  <c r="CU316" i="54"/>
  <c r="CU1271" i="54"/>
  <c r="CU1193" i="54"/>
  <c r="CU267" i="54"/>
  <c r="CU238" i="54"/>
  <c r="CU178" i="54"/>
  <c r="CU88" i="54"/>
  <c r="CU43" i="54"/>
  <c r="CU1301" i="54"/>
  <c r="CU1215" i="54"/>
  <c r="CU1199" i="54"/>
  <c r="CU1183" i="54"/>
  <c r="CU1167" i="54"/>
  <c r="CU1151" i="54"/>
  <c r="CU1137" i="54"/>
  <c r="CU1121" i="54"/>
  <c r="CU1104" i="54"/>
  <c r="CU1082" i="54"/>
  <c r="CU1052" i="54"/>
  <c r="CU1037" i="54"/>
  <c r="CU1017" i="54"/>
  <c r="CU995" i="54"/>
  <c r="CU980" i="54"/>
  <c r="CU959" i="54"/>
  <c r="CU938" i="54"/>
  <c r="CU925" i="54"/>
  <c r="CU902" i="54"/>
  <c r="CU889" i="54"/>
  <c r="CU867" i="54"/>
  <c r="CU850" i="54"/>
  <c r="CU821" i="54"/>
  <c r="CU810" i="54"/>
  <c r="CU787" i="54"/>
  <c r="CU770" i="54"/>
  <c r="CU753" i="54"/>
  <c r="CU729" i="54"/>
  <c r="CU719" i="54"/>
  <c r="CU693" i="54"/>
  <c r="CU682" i="54"/>
  <c r="CU659" i="54"/>
  <c r="CU642" i="54"/>
  <c r="CU625" i="54"/>
  <c r="CU601" i="54"/>
  <c r="CU565" i="54"/>
  <c r="CU533" i="54"/>
  <c r="CU510" i="54"/>
  <c r="CU452" i="54"/>
  <c r="CU409" i="54"/>
  <c r="CU375" i="54"/>
  <c r="CU328" i="54"/>
  <c r="CU298" i="54"/>
  <c r="CU264" i="54"/>
  <c r="CU218" i="54"/>
  <c r="CU181" i="54"/>
  <c r="CU116" i="54"/>
  <c r="CU59" i="54"/>
  <c r="CU1208" i="54"/>
  <c r="CU1177" i="54"/>
  <c r="CU1160" i="54"/>
  <c r="CU1144" i="54"/>
  <c r="CU1130" i="54"/>
  <c r="CU1114" i="54"/>
  <c r="CU1096" i="54"/>
  <c r="CU1072" i="54"/>
  <c r="CU1050" i="54"/>
  <c r="CU1020" i="54"/>
  <c r="CU999" i="54"/>
  <c r="CU974" i="54"/>
  <c r="CU961" i="54"/>
  <c r="CU939" i="54"/>
  <c r="CU924" i="54"/>
  <c r="CU903" i="54"/>
  <c r="CU882" i="54"/>
  <c r="CU869" i="54"/>
  <c r="CU844" i="54"/>
  <c r="CU823" i="54"/>
  <c r="CU800" i="54"/>
  <c r="CU776" i="54"/>
  <c r="CU759" i="54"/>
  <c r="CU736" i="54"/>
  <c r="CU712" i="54"/>
  <c r="CU695" i="54"/>
  <c r="CU672" i="54"/>
  <c r="CU648" i="54"/>
  <c r="CU631" i="54"/>
  <c r="CU608" i="54"/>
  <c r="CU587" i="54"/>
  <c r="CU564" i="54"/>
  <c r="CU532" i="54"/>
  <c r="CU497" i="54"/>
  <c r="CU463" i="54"/>
  <c r="CU412" i="54"/>
  <c r="CU369" i="54"/>
  <c r="CU335" i="54"/>
  <c r="CU295" i="54"/>
  <c r="CU1211" i="54"/>
  <c r="CU1195" i="54"/>
  <c r="CU1179" i="54"/>
  <c r="CU1163" i="54"/>
  <c r="CU1147" i="54"/>
  <c r="CU1129" i="54"/>
  <c r="CU1113" i="54"/>
  <c r="CU1101" i="54"/>
  <c r="CU1070" i="54"/>
  <c r="CU1051" i="54"/>
  <c r="CU1034" i="54"/>
  <c r="CU1011" i="54"/>
  <c r="CU996" i="54"/>
  <c r="CU975" i="54"/>
  <c r="CU954" i="54"/>
  <c r="CU941" i="54"/>
  <c r="CU918" i="54"/>
  <c r="CU905" i="54"/>
  <c r="CU883" i="54"/>
  <c r="CU868" i="54"/>
  <c r="CU845" i="54"/>
  <c r="CU835" i="54"/>
  <c r="CU818" i="54"/>
  <c r="CU801" i="54"/>
  <c r="CU777" i="54"/>
  <c r="CU767" i="54"/>
  <c r="CU741" i="54"/>
  <c r="CU730" i="54"/>
  <c r="CU707" i="54"/>
  <c r="CU690" i="54"/>
  <c r="CU673" i="54"/>
  <c r="CU649" i="54"/>
  <c r="CU639" i="54"/>
  <c r="CU613" i="54"/>
  <c r="CU602" i="54"/>
  <c r="CU571" i="54"/>
  <c r="CU539" i="54"/>
  <c r="CU515" i="54"/>
  <c r="CU484" i="54"/>
  <c r="CU441" i="54"/>
  <c r="CU407" i="54"/>
  <c r="CU356" i="54"/>
  <c r="CU318" i="54"/>
  <c r="CU290" i="54"/>
  <c r="CU249" i="54"/>
  <c r="CU211" i="54"/>
  <c r="CU139" i="54"/>
  <c r="CU100" i="54"/>
  <c r="CU36" i="54"/>
  <c r="CU1256" i="54"/>
  <c r="CU583" i="54"/>
  <c r="CU575" i="54"/>
  <c r="CU561" i="54"/>
  <c r="CU545" i="54"/>
  <c r="CU522" i="54"/>
  <c r="CU500" i="54"/>
  <c r="CU481" i="54"/>
  <c r="CU460" i="54"/>
  <c r="CU442" i="54"/>
  <c r="CU417" i="54"/>
  <c r="CU396" i="54"/>
  <c r="CU378" i="54"/>
  <c r="CU353" i="54"/>
  <c r="CU332" i="54"/>
  <c r="CU319" i="54"/>
  <c r="CU299" i="54"/>
  <c r="CU280" i="54"/>
  <c r="CU258" i="54"/>
  <c r="CU233" i="54"/>
  <c r="CU212" i="54"/>
  <c r="CU183" i="54"/>
  <c r="CU125" i="54"/>
  <c r="CU80" i="54"/>
  <c r="CU48" i="54"/>
  <c r="CU19" i="54"/>
  <c r="CU1266" i="54"/>
  <c r="CU1100" i="54"/>
  <c r="CU1087" i="54"/>
  <c r="CU1074" i="54"/>
  <c r="CU1062" i="54"/>
  <c r="CU1043" i="54"/>
  <c r="CU1031" i="54"/>
  <c r="CU1008" i="54"/>
  <c r="CU976" i="54"/>
  <c r="CU944" i="54"/>
  <c r="CU912" i="54"/>
  <c r="CU880" i="54"/>
  <c r="CU849" i="54"/>
  <c r="CU829" i="54"/>
  <c r="CU812" i="54"/>
  <c r="CU790" i="54"/>
  <c r="CU765" i="54"/>
  <c r="CU748" i="54"/>
  <c r="CU726" i="54"/>
  <c r="CU701" i="54"/>
  <c r="CU684" i="54"/>
  <c r="CU662" i="54"/>
  <c r="CU637" i="54"/>
  <c r="CU620" i="54"/>
  <c r="CU598" i="54"/>
  <c r="CU573" i="54"/>
  <c r="CU557" i="54"/>
  <c r="CU541" i="54"/>
  <c r="CU527" i="54"/>
  <c r="CU513" i="54"/>
  <c r="CU499" i="54"/>
  <c r="CU482" i="54"/>
  <c r="CU457" i="54"/>
  <c r="CU436" i="54"/>
  <c r="CU418" i="54"/>
  <c r="CU393" i="54"/>
  <c r="CU372" i="54"/>
  <c r="CU354" i="54"/>
  <c r="CU334" i="54"/>
  <c r="CU321" i="54"/>
  <c r="CU302" i="54"/>
  <c r="CU279" i="54"/>
  <c r="CU259" i="54"/>
  <c r="CU242" i="54"/>
  <c r="CU224" i="54"/>
  <c r="CU204" i="54"/>
  <c r="CU190" i="54"/>
  <c r="CU147" i="54"/>
  <c r="CU124" i="54"/>
  <c r="CU102" i="54"/>
  <c r="CU83" i="54"/>
  <c r="CU51" i="54"/>
  <c r="CU21" i="54"/>
  <c r="CU1276" i="54"/>
  <c r="CU189" i="54"/>
  <c r="CU172" i="54"/>
  <c r="CU163" i="54"/>
  <c r="CU153" i="54"/>
  <c r="CU121" i="54"/>
  <c r="CU90" i="54"/>
  <c r="CU77" i="54"/>
  <c r="CU68" i="54"/>
  <c r="CU58" i="54"/>
  <c r="CU45" i="54"/>
  <c r="CU31" i="54"/>
  <c r="CU15" i="54"/>
  <c r="CU1349" i="54"/>
  <c r="CU488" i="54"/>
  <c r="CU478" i="54"/>
  <c r="CU462" i="54"/>
  <c r="CU446" i="54"/>
  <c r="CU430" i="54"/>
  <c r="CU414" i="54"/>
  <c r="CU398" i="54"/>
  <c r="CU382" i="54"/>
  <c r="CU366" i="54"/>
  <c r="CU350" i="54"/>
  <c r="CU289" i="54"/>
  <c r="CU268" i="54"/>
  <c r="CU252" i="54"/>
  <c r="CU236" i="54"/>
  <c r="CU209" i="54"/>
  <c r="CU194" i="54"/>
  <c r="CU180" i="54"/>
  <c r="CU168" i="54"/>
  <c r="CU159" i="54"/>
  <c r="CU146" i="54"/>
  <c r="CU136" i="54"/>
  <c r="CU127" i="54"/>
  <c r="CU114" i="54"/>
  <c r="CU104" i="54"/>
  <c r="CU95" i="54"/>
  <c r="CU63" i="54"/>
  <c r="CU40" i="54"/>
  <c r="CU24" i="54"/>
  <c r="CU8" i="54"/>
  <c r="CU1318" i="54"/>
  <c r="CU1246" i="54"/>
  <c r="CU1341" i="54"/>
  <c r="CU1310" i="54"/>
  <c r="CU1285" i="54"/>
  <c r="CU1263" i="54"/>
  <c r="CU1234" i="54"/>
  <c r="CU1336" i="54"/>
  <c r="CU1306" i="54"/>
  <c r="CU1374" i="54"/>
  <c r="CU1342" i="54"/>
  <c r="CU1322" i="54"/>
  <c r="CU1315" i="54"/>
  <c r="CU1303" i="54"/>
  <c r="CU1294" i="54"/>
  <c r="CU1284" i="54"/>
  <c r="CU1262" i="54"/>
  <c r="CU1459" i="54"/>
  <c r="CU1357" i="54"/>
  <c r="CU1326" i="54"/>
  <c r="CU1308" i="54"/>
  <c r="CU1291" i="54"/>
  <c r="CU1277" i="54"/>
  <c r="CU1458" i="54"/>
  <c r="CU1269" i="54"/>
  <c r="CU1239" i="54"/>
  <c r="CU1223" i="54"/>
  <c r="CU1445" i="54"/>
  <c r="CU1425" i="54"/>
  <c r="CU1408" i="54"/>
  <c r="CU1378" i="54"/>
  <c r="CU1356" i="54"/>
  <c r="CU1242" i="54"/>
  <c r="CU1229" i="54"/>
  <c r="CU1447" i="54"/>
  <c r="CU1440" i="54"/>
  <c r="CU1430" i="54"/>
  <c r="CU1413" i="54"/>
  <c r="CU1405" i="54"/>
  <c r="CU1388" i="54"/>
  <c r="CU1364" i="54"/>
  <c r="CU1221" i="54"/>
  <c r="CU1453" i="54"/>
  <c r="CU1422" i="54"/>
  <c r="CU1387" i="54"/>
  <c r="CU1375" i="54"/>
  <c r="CU1360" i="54"/>
  <c r="CU1252" i="54"/>
  <c r="CU1235" i="54"/>
  <c r="CU1217" i="54"/>
  <c r="CU1449" i="54"/>
  <c r="CU1426" i="54"/>
  <c r="CU1410" i="54"/>
  <c r="CU1393" i="54"/>
  <c r="CU1376" i="54"/>
  <c r="CU971" i="54"/>
  <c r="CU956" i="54"/>
  <c r="CU935" i="54"/>
  <c r="CU914" i="54"/>
  <c r="CU901" i="54"/>
  <c r="CU878" i="54"/>
  <c r="CU865" i="54"/>
  <c r="CU836" i="54"/>
  <c r="CU814" i="54"/>
  <c r="CU795" i="54"/>
  <c r="CU772" i="54"/>
  <c r="CU750" i="54"/>
  <c r="CU731" i="54"/>
  <c r="CU708" i="54"/>
  <c r="CU686" i="54"/>
  <c r="CU667" i="54"/>
  <c r="CU644" i="54"/>
  <c r="CU622" i="54"/>
  <c r="CU603" i="54"/>
  <c r="CU584" i="54"/>
  <c r="CU559" i="54"/>
  <c r="CU525" i="54"/>
  <c r="CU480" i="54"/>
  <c r="CU458" i="54"/>
  <c r="CU403" i="54"/>
  <c r="CU352" i="54"/>
  <c r="CU314" i="54"/>
  <c r="CU284" i="54"/>
  <c r="CU1206" i="54"/>
  <c r="CU1190" i="54"/>
  <c r="CU1174" i="54"/>
  <c r="CU1158" i="54"/>
  <c r="CU1140" i="54"/>
  <c r="CU1124" i="54"/>
  <c r="CU1108" i="54"/>
  <c r="CU1090" i="54"/>
  <c r="CU1067" i="54"/>
  <c r="CU1049" i="54"/>
  <c r="CU1029" i="54"/>
  <c r="CU1007" i="54"/>
  <c r="CU986" i="54"/>
  <c r="CU973" i="54"/>
  <c r="CU950" i="54"/>
  <c r="CU937" i="54"/>
  <c r="CU915" i="54"/>
  <c r="CU900" i="54"/>
  <c r="CU879" i="54"/>
  <c r="CU858" i="54"/>
  <c r="CU842" i="54"/>
  <c r="CU833" i="54"/>
  <c r="CU809" i="54"/>
  <c r="CU799" i="54"/>
  <c r="CU773" i="54"/>
  <c r="CU762" i="54"/>
  <c r="CU739" i="54"/>
  <c r="CU722" i="54"/>
  <c r="CU705" i="54"/>
  <c r="CU681" i="54"/>
  <c r="CU671" i="54"/>
  <c r="CU645" i="54"/>
  <c r="CU634" i="54"/>
  <c r="CU611" i="54"/>
  <c r="CU593" i="54"/>
  <c r="CU566" i="54"/>
  <c r="CU534" i="54"/>
  <c r="CU509" i="54"/>
  <c r="CU475" i="54"/>
  <c r="CU424" i="54"/>
  <c r="CU402" i="54"/>
  <c r="CU347" i="54"/>
  <c r="CU309" i="54"/>
  <c r="CU283" i="54"/>
  <c r="CU237" i="54"/>
  <c r="CU206" i="54"/>
  <c r="CU132" i="54"/>
  <c r="CU94" i="54"/>
  <c r="CU29" i="54"/>
  <c r="CU596" i="54"/>
  <c r="CU581" i="54"/>
  <c r="CU572" i="54"/>
  <c r="CU556" i="54"/>
  <c r="CU540" i="54"/>
  <c r="CU521" i="54"/>
  <c r="CU496" i="54"/>
  <c r="CU479" i="54"/>
  <c r="CU451" i="54"/>
  <c r="CU432" i="54"/>
  <c r="CU415" i="54"/>
  <c r="CU387" i="54"/>
  <c r="CU368" i="54"/>
  <c r="CU351" i="54"/>
  <c r="CU330" i="54"/>
  <c r="CU317" i="54"/>
  <c r="CU291" i="54"/>
  <c r="CU278" i="54"/>
  <c r="CU248" i="54"/>
  <c r="CU223" i="54"/>
  <c r="CU210" i="54"/>
  <c r="CU176" i="54"/>
  <c r="CU109" i="54"/>
  <c r="CU73" i="54"/>
  <c r="CU38" i="54"/>
  <c r="CU6" i="54"/>
  <c r="CU1394" i="54"/>
  <c r="CU1097" i="54"/>
  <c r="CU1086" i="54"/>
  <c r="CU1068" i="54"/>
  <c r="CU1055" i="54"/>
  <c r="CU1042" i="54"/>
  <c r="CU1030" i="54"/>
  <c r="CU1000" i="54"/>
  <c r="CU968" i="54"/>
  <c r="CU936" i="54"/>
  <c r="CU904" i="54"/>
  <c r="CU872" i="54"/>
  <c r="CU848" i="54"/>
  <c r="CU828" i="54"/>
  <c r="CU806" i="54"/>
  <c r="CU781" i="54"/>
  <c r="CU764" i="54"/>
  <c r="CU742" i="54"/>
  <c r="CU717" i="54"/>
  <c r="CU700" i="54"/>
  <c r="CU678" i="54"/>
  <c r="CU653" i="54"/>
  <c r="CU636" i="54"/>
  <c r="CU614" i="54"/>
  <c r="CU589" i="54"/>
  <c r="CU568" i="54"/>
  <c r="CU552" i="54"/>
  <c r="CU536" i="54"/>
  <c r="CU524" i="54"/>
  <c r="CU504" i="54"/>
  <c r="CU495" i="54"/>
  <c r="CU472" i="54"/>
  <c r="CU455" i="54"/>
  <c r="CU427" i="54"/>
  <c r="CU408" i="54"/>
  <c r="CU391" i="54"/>
  <c r="CU363" i="54"/>
  <c r="CU344" i="54"/>
  <c r="CU331" i="54"/>
  <c r="CU312" i="54"/>
  <c r="CU296" i="54"/>
  <c r="CU277" i="54"/>
  <c r="CU256" i="54"/>
  <c r="CU232" i="54"/>
  <c r="CU221" i="54"/>
  <c r="CU200" i="54"/>
  <c r="CU173" i="54"/>
  <c r="CU140" i="54"/>
  <c r="CU118" i="54"/>
  <c r="CU99" i="54"/>
  <c r="CU70" i="54"/>
  <c r="CU44" i="54"/>
  <c r="CU12" i="54"/>
  <c r="CU1265" i="54"/>
  <c r="CU186" i="54"/>
  <c r="CU171" i="54"/>
  <c r="CU161" i="54"/>
  <c r="CU145" i="54"/>
  <c r="CU113" i="54"/>
  <c r="CU85" i="54"/>
  <c r="CU76" i="54"/>
  <c r="CU66" i="54"/>
  <c r="CU53" i="54"/>
  <c r="CU42" i="54"/>
  <c r="CU26" i="54"/>
  <c r="CU10" i="54"/>
  <c r="CU1323" i="54"/>
  <c r="CU486" i="54"/>
  <c r="CU477" i="54"/>
  <c r="CU461" i="54"/>
  <c r="CU445" i="54"/>
  <c r="CU429" i="54"/>
  <c r="CU413" i="54"/>
  <c r="CU397" i="54"/>
  <c r="CU381" i="54"/>
  <c r="CU365" i="54"/>
  <c r="CU349" i="54"/>
  <c r="CU285" i="54"/>
  <c r="CU263" i="54"/>
  <c r="CU247" i="54"/>
  <c r="CU231" i="54"/>
  <c r="CU205" i="54"/>
  <c r="CU192" i="54"/>
  <c r="CU179" i="54"/>
  <c r="CU167" i="54"/>
  <c r="CU154" i="54"/>
  <c r="CU144" i="54"/>
  <c r="CU135" i="54"/>
  <c r="CU122" i="54"/>
  <c r="CU112" i="54"/>
  <c r="CU103" i="54"/>
  <c r="CU87" i="54"/>
  <c r="CU55" i="54"/>
  <c r="CU33" i="54"/>
  <c r="CU17" i="54"/>
  <c r="CU1351" i="54"/>
  <c r="CU1288" i="54"/>
  <c r="CU1424" i="54"/>
  <c r="CU1330" i="54"/>
  <c r="CU1304" i="54"/>
  <c r="CU1281" i="54"/>
  <c r="CU1260" i="54"/>
  <c r="CU1389" i="54"/>
  <c r="CU1331" i="54"/>
  <c r="CU1292" i="54"/>
  <c r="CU1350" i="54"/>
  <c r="CU1340" i="54"/>
  <c r="CU1320" i="54"/>
  <c r="CU1313" i="54"/>
  <c r="CU1298" i="54"/>
  <c r="CU1290" i="54"/>
  <c r="CU1280" i="54"/>
  <c r="CU1259" i="54"/>
  <c r="CU1448" i="54"/>
  <c r="CU1345" i="54"/>
  <c r="CU1314" i="54"/>
  <c r="CU1307" i="54"/>
  <c r="CU1286" i="54"/>
  <c r="CU1253" i="54"/>
  <c r="CU1431" i="54"/>
  <c r="CU1264" i="54"/>
  <c r="CU1233" i="54"/>
  <c r="CU1216" i="54"/>
  <c r="CU1441" i="54"/>
  <c r="CU1420" i="54"/>
  <c r="CU1404" i="54"/>
  <c r="CU1372" i="54"/>
  <c r="CU1254" i="54"/>
  <c r="CU1238" i="54"/>
  <c r="CU1226" i="54"/>
  <c r="CU1446" i="54"/>
  <c r="CU1438" i="54"/>
  <c r="CU1428" i="54"/>
  <c r="CU1411" i="54"/>
  <c r="CU1400" i="54"/>
  <c r="CU1385" i="54"/>
  <c r="CU1358" i="54"/>
  <c r="CU1220" i="54"/>
  <c r="CU1436" i="54"/>
  <c r="CU1421" i="54"/>
  <c r="CU1382" i="54"/>
  <c r="CU1359" i="54"/>
  <c r="CU1273" i="54"/>
  <c r="CU1250" i="54"/>
  <c r="CU1227" i="54"/>
  <c r="CU1454" i="54"/>
  <c r="CU1443" i="54"/>
  <c r="CU1423" i="54"/>
  <c r="CU1406" i="54"/>
  <c r="CU1391" i="54"/>
  <c r="CU1369" i="54"/>
  <c r="CU1203" i="54"/>
  <c r="CU1187" i="54"/>
  <c r="CU1171" i="54"/>
  <c r="CU1155" i="54"/>
  <c r="CU1135" i="54"/>
  <c r="CU1119" i="54"/>
  <c r="CU1105" i="54"/>
  <c r="CU1085" i="54"/>
  <c r="CU1064" i="54"/>
  <c r="CU1044" i="54"/>
  <c r="CU1018" i="54"/>
  <c r="CU1005" i="54"/>
  <c r="CU982" i="54"/>
  <c r="CU969" i="54"/>
  <c r="CU947" i="54"/>
  <c r="CU932" i="54"/>
  <c r="CU911" i="54"/>
  <c r="CU890" i="54"/>
  <c r="CU877" i="54"/>
  <c r="CU854" i="54"/>
  <c r="CU840" i="54"/>
  <c r="CU831" i="54"/>
  <c r="CU805" i="54"/>
  <c r="CU794" i="54"/>
  <c r="CU771" i="54"/>
  <c r="CU754" i="54"/>
  <c r="CU737" i="54"/>
  <c r="CU713" i="54"/>
  <c r="CU703" i="54"/>
  <c r="CU677" i="54"/>
  <c r="CU666" i="54"/>
  <c r="CU643" i="54"/>
  <c r="CU626" i="54"/>
  <c r="CU609" i="54"/>
  <c r="CU586" i="54"/>
  <c r="CU549" i="54"/>
  <c r="CU531" i="54"/>
  <c r="CU503" i="54"/>
  <c r="CU471" i="54"/>
  <c r="CU420" i="54"/>
  <c r="CU377" i="54"/>
  <c r="CU343" i="54"/>
  <c r="CU305" i="54"/>
  <c r="CU273" i="54"/>
  <c r="CU225" i="54"/>
  <c r="CU199" i="54"/>
  <c r="CU126" i="54"/>
  <c r="CU75" i="54"/>
  <c r="CU1332" i="54"/>
  <c r="CU594" i="54"/>
  <c r="CU580" i="54"/>
  <c r="CU567" i="54"/>
  <c r="CU551" i="54"/>
  <c r="CU535" i="54"/>
  <c r="CU512" i="54"/>
  <c r="CU489" i="54"/>
  <c r="CU474" i="54"/>
  <c r="CU449" i="54"/>
  <c r="CU428" i="54"/>
  <c r="CU410" i="54"/>
  <c r="CU385" i="54"/>
  <c r="CU364" i="54"/>
  <c r="CU345" i="54"/>
  <c r="CU326" i="54"/>
  <c r="CU313" i="54"/>
  <c r="CU288" i="54"/>
  <c r="CU271" i="54"/>
  <c r="CU245" i="54"/>
  <c r="CU217" i="54"/>
  <c r="CU201" i="54"/>
  <c r="CU157" i="54"/>
  <c r="CU93" i="54"/>
  <c r="CU64" i="54"/>
  <c r="CU35" i="54"/>
  <c r="CU1328" i="54"/>
  <c r="CU1107" i="54"/>
  <c r="CU1095" i="54"/>
  <c r="CU1077" i="54"/>
  <c r="CU1065" i="54"/>
  <c r="CU1054" i="54"/>
  <c r="CU1036" i="54"/>
  <c r="CU1024" i="54"/>
  <c r="CU992" i="54"/>
  <c r="CU960" i="54"/>
  <c r="CU928" i="54"/>
  <c r="CU896" i="54"/>
  <c r="CU864" i="54"/>
  <c r="CU843" i="54"/>
  <c r="CU822" i="54"/>
  <c r="CU797" i="54"/>
  <c r="CU780" i="54"/>
  <c r="CU758" i="54"/>
  <c r="CU733" i="54"/>
  <c r="CU716" i="54"/>
  <c r="CU694" i="54"/>
  <c r="CU669" i="54"/>
  <c r="CU652" i="54"/>
  <c r="CU630" i="54"/>
  <c r="CU605" i="54"/>
  <c r="CU588" i="54"/>
  <c r="CU563" i="54"/>
  <c r="CU547" i="54"/>
  <c r="CU530" i="54"/>
  <c r="CU519" i="54"/>
  <c r="CU502" i="54"/>
  <c r="CU493" i="54"/>
  <c r="CU468" i="54"/>
  <c r="CU450" i="54"/>
  <c r="CU425" i="54"/>
  <c r="CU404" i="54"/>
  <c r="CU386" i="54"/>
  <c r="CU361" i="54"/>
  <c r="CU340" i="54"/>
  <c r="CU327" i="54"/>
  <c r="CU308" i="54"/>
  <c r="CU294" i="54"/>
  <c r="CU269" i="54"/>
  <c r="CU254" i="54"/>
  <c r="CU229" i="54"/>
  <c r="CU216" i="54"/>
  <c r="CU197" i="54"/>
  <c r="CU166" i="54"/>
  <c r="CU134" i="54"/>
  <c r="CU115" i="54"/>
  <c r="CU92" i="54"/>
  <c r="CU67" i="54"/>
  <c r="CU37" i="54"/>
  <c r="CU1343" i="54"/>
  <c r="CU196" i="54"/>
  <c r="CU182" i="54"/>
  <c r="CU169" i="54"/>
  <c r="CU156" i="54"/>
  <c r="CU137" i="54"/>
  <c r="CU105" i="54"/>
  <c r="CU84" i="54"/>
  <c r="CU74" i="54"/>
  <c r="CU61" i="54"/>
  <c r="CU52" i="54"/>
  <c r="CU39" i="54"/>
  <c r="CU23" i="54"/>
  <c r="CU7" i="54"/>
  <c r="CU1270" i="54"/>
  <c r="CU485" i="54"/>
  <c r="CU470" i="54"/>
  <c r="CU454" i="54"/>
  <c r="CU438" i="54"/>
  <c r="CU422" i="54"/>
  <c r="CU406" i="54"/>
  <c r="CU390" i="54"/>
  <c r="CU374" i="54"/>
  <c r="CU358" i="54"/>
  <c r="CU297" i="54"/>
  <c r="CU276" i="54"/>
  <c r="CU262" i="54"/>
  <c r="CU246" i="54"/>
  <c r="CU230" i="54"/>
  <c r="CU202" i="54"/>
  <c r="CU191" i="54"/>
  <c r="CU177" i="54"/>
  <c r="CU162" i="54"/>
  <c r="CU152" i="54"/>
  <c r="CU143" i="54"/>
  <c r="CU130" i="54"/>
  <c r="CU120" i="54"/>
  <c r="CU111" i="54"/>
  <c r="CU98" i="54"/>
  <c r="CU79" i="54"/>
  <c r="CU47" i="54"/>
  <c r="CU32" i="54"/>
  <c r="CU16" i="54"/>
  <c r="CU1344" i="54"/>
  <c r="CU1283" i="54"/>
  <c r="CU1402" i="54"/>
  <c r="CU1327" i="54"/>
  <c r="CU1299" i="54"/>
  <c r="CU1274" i="54"/>
  <c r="CU1255" i="54"/>
  <c r="CU1352" i="54"/>
  <c r="CU1329" i="54"/>
  <c r="CU1228" i="54"/>
  <c r="CU1348" i="54"/>
  <c r="CU1339" i="54"/>
  <c r="CU1319" i="54"/>
  <c r="CU1309" i="54"/>
  <c r="CU1296" i="54"/>
  <c r="CU1289" i="54"/>
  <c r="CU1275" i="54"/>
  <c r="CU1249" i="54"/>
  <c r="CU1386" i="54"/>
  <c r="CU1337" i="54"/>
  <c r="CU1312" i="54"/>
  <c r="CU1302" i="54"/>
  <c r="CU1279" i="54"/>
  <c r="CU1231" i="54"/>
  <c r="CU1397" i="54"/>
  <c r="CU1243" i="54"/>
  <c r="CU1232" i="54"/>
  <c r="CU1455" i="54"/>
  <c r="CU1437" i="54"/>
  <c r="CU1416" i="54"/>
  <c r="CU1401" i="54"/>
  <c r="CU1367" i="54"/>
  <c r="CU1251" i="54"/>
  <c r="CU1237" i="54"/>
  <c r="CU1460" i="54"/>
  <c r="CU1444" i="54"/>
  <c r="CU1434" i="54"/>
  <c r="CU1417" i="54"/>
  <c r="CU1409" i="54"/>
  <c r="CU1398" i="54"/>
  <c r="CU1371" i="54"/>
  <c r="CU1257" i="54"/>
  <c r="CU1219" i="54"/>
  <c r="CU1433" i="54"/>
  <c r="CU1399" i="54"/>
  <c r="CU1381" i="54"/>
  <c r="CU1363" i="54"/>
  <c r="CU1268" i="54"/>
  <c r="CU1248" i="54"/>
  <c r="CU1224" i="54"/>
  <c r="CU1452" i="54"/>
  <c r="CU1439" i="54"/>
  <c r="CU1419" i="54"/>
  <c r="CU1403" i="54"/>
  <c r="CU1383" i="54"/>
  <c r="CU1365" i="54"/>
  <c r="CU978" i="54"/>
  <c r="CU965" i="54"/>
  <c r="CU942" i="54"/>
  <c r="CU929" i="54"/>
  <c r="CU907" i="54"/>
  <c r="CU892" i="54"/>
  <c r="CU871" i="54"/>
  <c r="CU846" i="54"/>
  <c r="CU827" i="54"/>
  <c r="CU804" i="54"/>
  <c r="CU782" i="54"/>
  <c r="CU763" i="54"/>
  <c r="CU740" i="54"/>
  <c r="CU718" i="54"/>
  <c r="CU699" i="54"/>
  <c r="CU676" i="54"/>
  <c r="CU654" i="54"/>
  <c r="CU635" i="54"/>
  <c r="CU612" i="54"/>
  <c r="CU590" i="54"/>
  <c r="CU569" i="54"/>
  <c r="CU537" i="54"/>
  <c r="CU506" i="54"/>
  <c r="CU467" i="54"/>
  <c r="CU416" i="54"/>
  <c r="CU394" i="54"/>
  <c r="CU339" i="54"/>
  <c r="CU301" i="54"/>
  <c r="CU1214" i="54"/>
  <c r="CU1198" i="54"/>
  <c r="CU1182" i="54"/>
  <c r="CU1166" i="54"/>
  <c r="CU1150" i="54"/>
  <c r="CU1134" i="54"/>
  <c r="CU1118" i="54"/>
  <c r="CU1103" i="54"/>
  <c r="CU1080" i="54"/>
  <c r="CU1060" i="54"/>
  <c r="CU1040" i="54"/>
  <c r="CU1014" i="54"/>
  <c r="CU1001" i="54"/>
  <c r="CU979" i="54"/>
  <c r="CU964" i="54"/>
  <c r="CU943" i="54"/>
  <c r="CU922" i="54"/>
  <c r="CU909" i="54"/>
  <c r="CU886" i="54"/>
  <c r="CU873" i="54"/>
  <c r="CU852" i="54"/>
  <c r="CU837" i="54"/>
  <c r="CU826" i="54"/>
  <c r="CU803" i="54"/>
  <c r="CU786" i="54"/>
  <c r="CU769" i="54"/>
  <c r="CU745" i="54"/>
  <c r="CU735" i="54"/>
  <c r="CU709" i="54"/>
  <c r="CU698" i="54"/>
  <c r="CU675" i="54"/>
  <c r="CU658" i="54"/>
  <c r="CU641" i="54"/>
  <c r="CU617" i="54"/>
  <c r="CU607" i="54"/>
  <c r="CU577" i="54"/>
  <c r="CU544" i="54"/>
  <c r="CU518" i="54"/>
  <c r="CU492" i="54"/>
  <c r="CU466" i="54"/>
  <c r="CU411" i="54"/>
  <c r="CU360" i="54"/>
  <c r="CU322" i="54"/>
  <c r="CU300" i="54"/>
  <c r="CU261" i="54"/>
  <c r="CU220" i="54"/>
  <c r="CU158" i="54"/>
  <c r="CU107" i="54"/>
  <c r="CU62" i="54"/>
  <c r="CU1300" i="54"/>
  <c r="CU591" i="54"/>
  <c r="CU578" i="54"/>
  <c r="CU562" i="54"/>
  <c r="CU546" i="54"/>
  <c r="CU528" i="54"/>
  <c r="CU507" i="54"/>
  <c r="CU487" i="54"/>
  <c r="CU464" i="54"/>
  <c r="CU447" i="54"/>
  <c r="CU419" i="54"/>
  <c r="CU400" i="54"/>
  <c r="CU383" i="54"/>
  <c r="CU355" i="54"/>
  <c r="CU336" i="54"/>
  <c r="CU323" i="54"/>
  <c r="CU304" i="54"/>
  <c r="CU286" i="54"/>
  <c r="CU260" i="54"/>
  <c r="CU235" i="54"/>
  <c r="CU215" i="54"/>
  <c r="CU187" i="54"/>
  <c r="CU141" i="54"/>
  <c r="CU89" i="54"/>
  <c r="CU57" i="54"/>
  <c r="CU22" i="54"/>
  <c r="CU1321" i="54"/>
  <c r="CU1106" i="54"/>
  <c r="CU1094" i="54"/>
  <c r="CU1075" i="54"/>
  <c r="CU1063" i="54"/>
  <c r="CU1045" i="54"/>
  <c r="CU1033" i="54"/>
  <c r="CU1016" i="54"/>
  <c r="CU984" i="54"/>
  <c r="CU952" i="54"/>
  <c r="CU920" i="54"/>
  <c r="CU888" i="54"/>
  <c r="CU856" i="54"/>
  <c r="CU838" i="54"/>
  <c r="CU813" i="54"/>
  <c r="CU796" i="54"/>
  <c r="CU774" i="54"/>
  <c r="CU749" i="54"/>
  <c r="CU732" i="54"/>
  <c r="CU710" i="54"/>
  <c r="CU685" i="54"/>
  <c r="CU668" i="54"/>
  <c r="CU646" i="54"/>
  <c r="CU621" i="54"/>
  <c r="CU604" i="54"/>
  <c r="CU582" i="54"/>
  <c r="CU558" i="54"/>
  <c r="CU542" i="54"/>
  <c r="CU529" i="54"/>
  <c r="CU514" i="54"/>
  <c r="CU501" i="54"/>
  <c r="CU490" i="54"/>
  <c r="CU459" i="54"/>
  <c r="CU440" i="54"/>
  <c r="CU423" i="54"/>
  <c r="CU395" i="54"/>
  <c r="CU376" i="54"/>
  <c r="CU359" i="54"/>
  <c r="CU338" i="54"/>
  <c r="CU325" i="54"/>
  <c r="CU306" i="54"/>
  <c r="CU287" i="54"/>
  <c r="CU266" i="54"/>
  <c r="CU244" i="54"/>
  <c r="CU227" i="54"/>
  <c r="CU214" i="54"/>
  <c r="CU193" i="54"/>
  <c r="CU150" i="54"/>
  <c r="CU131" i="54"/>
  <c r="CU108" i="54"/>
  <c r="CU86" i="54"/>
  <c r="CU54" i="54"/>
  <c r="CU28" i="54"/>
  <c r="CU1335" i="54"/>
  <c r="CU195" i="54"/>
  <c r="CU174" i="54"/>
  <c r="CU164" i="54"/>
  <c r="CU155" i="54"/>
  <c r="CU129" i="54"/>
  <c r="CU97" i="54"/>
  <c r="CU82" i="54"/>
  <c r="CU69" i="54"/>
  <c r="CU60" i="54"/>
  <c r="CU50" i="54"/>
  <c r="CU34" i="54"/>
  <c r="CU18" i="54"/>
  <c r="CU1354" i="54"/>
  <c r="CU491" i="54"/>
  <c r="CU483" i="54"/>
  <c r="CU469" i="54"/>
  <c r="CU453" i="54"/>
  <c r="CU437" i="54"/>
  <c r="CU421" i="54"/>
  <c r="CU405" i="54"/>
  <c r="CU389" i="54"/>
  <c r="CU373" i="54"/>
  <c r="CU357" i="54"/>
  <c r="CU293" i="54"/>
  <c r="CU272" i="54"/>
  <c r="CU257" i="54"/>
  <c r="CU241" i="54"/>
  <c r="CU222" i="54"/>
  <c r="CU198" i="54"/>
  <c r="CU185" i="54"/>
  <c r="CU170" i="54"/>
  <c r="CU160" i="54"/>
  <c r="CU151" i="54"/>
  <c r="CU138" i="54"/>
  <c r="CU128" i="54"/>
  <c r="CU119" i="54"/>
  <c r="CU106" i="54"/>
  <c r="CU96" i="54"/>
  <c r="CU71" i="54"/>
  <c r="CU41" i="54"/>
  <c r="CU25" i="54"/>
  <c r="CU9" i="54"/>
  <c r="CU1338" i="54"/>
  <c r="CU1261" i="54"/>
  <c r="CU1353" i="54"/>
  <c r="CU1324" i="54"/>
  <c r="CU1297" i="54"/>
  <c r="CU1267" i="54"/>
  <c r="CU1244" i="54"/>
  <c r="CU1346" i="54"/>
  <c r="CU1325" i="54"/>
  <c r="CU1384" i="54"/>
  <c r="CU1347" i="54"/>
  <c r="CU1334" i="54"/>
  <c r="CU1316" i="54"/>
  <c r="CU1305" i="54"/>
  <c r="CU1295" i="54"/>
  <c r="CU1287" i="54"/>
  <c r="CU1272" i="54"/>
  <c r="CU1225" i="54"/>
  <c r="CU1377" i="54"/>
  <c r="CU1333" i="54"/>
  <c r="CU1311" i="54"/>
  <c r="CU1293" i="54"/>
  <c r="CU1278" i="54"/>
  <c r="CU1218" i="54"/>
  <c r="CU1370" i="54"/>
  <c r="CU1241" i="54"/>
  <c r="CU1230" i="54"/>
  <c r="CU1450" i="54"/>
  <c r="CU1435" i="54"/>
  <c r="CU1412" i="54"/>
  <c r="CU1390" i="54"/>
  <c r="CU1361" i="54"/>
  <c r="CU1247" i="54"/>
  <c r="CU1236" i="54"/>
  <c r="CU1457" i="54"/>
  <c r="CU1442" i="54"/>
  <c r="CU1432" i="54"/>
  <c r="CU1415" i="54"/>
  <c r="CU1407" i="54"/>
  <c r="CU1396" i="54"/>
  <c r="CU1366" i="54"/>
  <c r="CU1240" i="54"/>
  <c r="CU1456" i="54"/>
  <c r="CU1427" i="54"/>
  <c r="CU1392" i="54"/>
  <c r="CU1380" i="54"/>
  <c r="CU1362" i="54"/>
  <c r="CU1258" i="54"/>
  <c r="CU1245" i="54"/>
  <c r="CU1222" i="54"/>
  <c r="CU1451" i="54"/>
  <c r="CU1429" i="54"/>
  <c r="CU1414" i="54"/>
  <c r="CU1395" i="54"/>
  <c r="CU1379" i="54"/>
  <c r="CU1355" i="54"/>
  <c r="DR442" i="54"/>
  <c r="DR419" i="54"/>
  <c r="DR403" i="54"/>
  <c r="DR351" i="54"/>
  <c r="DR440" i="54"/>
  <c r="DR392" i="54"/>
  <c r="DR376" i="54"/>
  <c r="DR328" i="54"/>
  <c r="DR429" i="54"/>
  <c r="DR413" i="54"/>
  <c r="DR381" i="54"/>
  <c r="DR361" i="54"/>
  <c r="DR426" i="54"/>
  <c r="DR410" i="54"/>
  <c r="DR356" i="54"/>
  <c r="DR339" i="54"/>
  <c r="DR306" i="54"/>
  <c r="DR319" i="54"/>
  <c r="DR303" i="54"/>
  <c r="DR312" i="54"/>
  <c r="DR296" i="54"/>
  <c r="DR276" i="54"/>
  <c r="DR297" i="54"/>
  <c r="DR274" i="54"/>
  <c r="DR258" i="54"/>
  <c r="DR212" i="54"/>
  <c r="DR180" i="54"/>
  <c r="DR177" i="54"/>
  <c r="DR236" i="54"/>
  <c r="DR147" i="54"/>
  <c r="DR273" i="54"/>
  <c r="DR225" i="54"/>
  <c r="DR205" i="54"/>
  <c r="DR179" i="54"/>
  <c r="DR163" i="54"/>
  <c r="DR186" i="54"/>
  <c r="DR145" i="54"/>
  <c r="DR129" i="54"/>
  <c r="DR106" i="54"/>
  <c r="DR95" i="54"/>
  <c r="DR152" i="54"/>
  <c r="DR94" i="54"/>
  <c r="DR101" i="54"/>
  <c r="DR85" i="54"/>
  <c r="DR78" i="54"/>
  <c r="DR56" i="54"/>
  <c r="DR104" i="54"/>
  <c r="DR88" i="54"/>
  <c r="DR34" i="54"/>
  <c r="DR28" i="54"/>
  <c r="DR36" i="54"/>
  <c r="DR35" i="54"/>
  <c r="DR19" i="54"/>
  <c r="BY481" i="54"/>
  <c r="DW481" i="54" s="1"/>
  <c r="DR481" i="54"/>
  <c r="DX481" i="54"/>
  <c r="DR473" i="54"/>
  <c r="BY473" i="54"/>
  <c r="DW473" i="54" s="1"/>
  <c r="DR459" i="54"/>
  <c r="BY459" i="54"/>
  <c r="DW459" i="54" s="1"/>
  <c r="DR447" i="54"/>
  <c r="BY447" i="54"/>
  <c r="DW447" i="54" s="1"/>
  <c r="DR464" i="54"/>
  <c r="BY464" i="54"/>
  <c r="DW464" i="54" s="1"/>
  <c r="DR448" i="54"/>
  <c r="BY448" i="54"/>
  <c r="DW448" i="54" s="1"/>
  <c r="DR487" i="54"/>
  <c r="BY487" i="54"/>
  <c r="DW487" i="54" s="1"/>
  <c r="DS469" i="54"/>
  <c r="DR469" i="54"/>
  <c r="DX469" i="54"/>
  <c r="BY469" i="54"/>
  <c r="DW469" i="54" s="1"/>
  <c r="DR457" i="54"/>
  <c r="BY457" i="54"/>
  <c r="DW457" i="54" s="1"/>
  <c r="BY477" i="54"/>
  <c r="DW477" i="54" s="1"/>
  <c r="DR477" i="54"/>
  <c r="DR451" i="54"/>
  <c r="BY451" i="54"/>
  <c r="DW451" i="54" s="1"/>
  <c r="DR467" i="54"/>
  <c r="BY467" i="54"/>
  <c r="DW467" i="54" s="1"/>
  <c r="BY501" i="54"/>
  <c r="DW501" i="54" s="1"/>
  <c r="DR501" i="54"/>
  <c r="BY511" i="54"/>
  <c r="DW511" i="54" s="1"/>
  <c r="DR511" i="54"/>
  <c r="DR539" i="54"/>
  <c r="BY539" i="54"/>
  <c r="DW539" i="54" s="1"/>
  <c r="DR556" i="54"/>
  <c r="BY556" i="54"/>
  <c r="DW556" i="54" s="1"/>
  <c r="DR494" i="54"/>
  <c r="BY494" i="54"/>
  <c r="DW494" i="54" s="1"/>
  <c r="BY515" i="54"/>
  <c r="DW515" i="54" s="1"/>
  <c r="DR515" i="54"/>
  <c r="DR546" i="54"/>
  <c r="BY546" i="54"/>
  <c r="DW546" i="54" s="1"/>
  <c r="BY528" i="54"/>
  <c r="DW528" i="54" s="1"/>
  <c r="DR528" i="54"/>
  <c r="BY508" i="54"/>
  <c r="DW508" i="54" s="1"/>
  <c r="DR508" i="54"/>
  <c r="BY498" i="54"/>
  <c r="DW498" i="54" s="1"/>
  <c r="DR498" i="54"/>
  <c r="BY524" i="54"/>
  <c r="DW524" i="54" s="1"/>
  <c r="DR524" i="54"/>
  <c r="BY545" i="54"/>
  <c r="DW545" i="54" s="1"/>
  <c r="DR545" i="54"/>
  <c r="BY561" i="54"/>
  <c r="DW561" i="54" s="1"/>
  <c r="DR561" i="54"/>
  <c r="BY502" i="54"/>
  <c r="DW502" i="54" s="1"/>
  <c r="DR502" i="54"/>
  <c r="DR521" i="54"/>
  <c r="DX521" i="54"/>
  <c r="BY521" i="54"/>
  <c r="DW521" i="54" s="1"/>
  <c r="DR550" i="54"/>
  <c r="BY550" i="54"/>
  <c r="DW550" i="54" s="1"/>
  <c r="DR538" i="54"/>
  <c r="BY538" i="54"/>
  <c r="DW538" i="54" s="1"/>
  <c r="BY563" i="54"/>
  <c r="DW563" i="54" s="1"/>
  <c r="DR563" i="54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DR434" i="54"/>
  <c r="DR415" i="54"/>
  <c r="DR399" i="54"/>
  <c r="DR383" i="54"/>
  <c r="DR337" i="54"/>
  <c r="DR420" i="54"/>
  <c r="DR372" i="54"/>
  <c r="DR333" i="54"/>
  <c r="DR425" i="54"/>
  <c r="DR393" i="54"/>
  <c r="DR360" i="54"/>
  <c r="DR441" i="54"/>
  <c r="DR406" i="54"/>
  <c r="DR374" i="54"/>
  <c r="DR366" i="54"/>
  <c r="DR334" i="54"/>
  <c r="DR302" i="54"/>
  <c r="DR280" i="54"/>
  <c r="DR299" i="54"/>
  <c r="DR235" i="54"/>
  <c r="DR292" i="54"/>
  <c r="DR325" i="54"/>
  <c r="DR293" i="54"/>
  <c r="DR254" i="54"/>
  <c r="DR172" i="54"/>
  <c r="DR223" i="54"/>
  <c r="DR201" i="54"/>
  <c r="DR232" i="54"/>
  <c r="DR269" i="54"/>
  <c r="DR197" i="54"/>
  <c r="DR175" i="54"/>
  <c r="DR146" i="54"/>
  <c r="DR182" i="54"/>
  <c r="DR157" i="54"/>
  <c r="DR138" i="54"/>
  <c r="DR98" i="54"/>
  <c r="DR115" i="54"/>
  <c r="DR148" i="54"/>
  <c r="DR116" i="54"/>
  <c r="DR97" i="54"/>
  <c r="DR59" i="54"/>
  <c r="DR49" i="54"/>
  <c r="DR50" i="54"/>
  <c r="DR84" i="54"/>
  <c r="DR10" i="54"/>
  <c r="DR33" i="54"/>
  <c r="DR38" i="54"/>
  <c r="DR22" i="54"/>
  <c r="DR15" i="54"/>
  <c r="BY480" i="54"/>
  <c r="DW480" i="54" s="1"/>
  <c r="DX480" i="54"/>
  <c r="DR480" i="54"/>
  <c r="DR472" i="54"/>
  <c r="BY472" i="54"/>
  <c r="DW472" i="54" s="1"/>
  <c r="BY453" i="54"/>
  <c r="DW453" i="54" s="1"/>
  <c r="DR453" i="54"/>
  <c r="BY488" i="54"/>
  <c r="DW488" i="54" s="1"/>
  <c r="DR488" i="54"/>
  <c r="BY458" i="54"/>
  <c r="DW458" i="54" s="1"/>
  <c r="DS458" i="54"/>
  <c r="DR458" i="54"/>
  <c r="DX458" i="54"/>
  <c r="DR446" i="54"/>
  <c r="BY446" i="54"/>
  <c r="DW446" i="54" s="1"/>
  <c r="BY486" i="54"/>
  <c r="DW486" i="54" s="1"/>
  <c r="DR486" i="54"/>
  <c r="DR468" i="54"/>
  <c r="BY468" i="54"/>
  <c r="DW468" i="54" s="1"/>
  <c r="BY489" i="54"/>
  <c r="DW489" i="54" s="1"/>
  <c r="DR489" i="54"/>
  <c r="BY476" i="54"/>
  <c r="DW476" i="54" s="1"/>
  <c r="DR476" i="54"/>
  <c r="BY445" i="54"/>
  <c r="DW445" i="54" s="1"/>
  <c r="DR445" i="54"/>
  <c r="DR462" i="54"/>
  <c r="BY462" i="54"/>
  <c r="DW462" i="54" s="1"/>
  <c r="DR522" i="54"/>
  <c r="BY522" i="54"/>
  <c r="DW522" i="54" s="1"/>
  <c r="DR551" i="54"/>
  <c r="BY551" i="54"/>
  <c r="DW551" i="54" s="1"/>
  <c r="DR535" i="54"/>
  <c r="BY535" i="54"/>
  <c r="DW535" i="54" s="1"/>
  <c r="BY554" i="54"/>
  <c r="DW554" i="54" s="1"/>
  <c r="DR554" i="54"/>
  <c r="BY492" i="54"/>
  <c r="DW492" i="54" s="1"/>
  <c r="DX492" i="54"/>
  <c r="DR492" i="54"/>
  <c r="DX513" i="54"/>
  <c r="DR513" i="54"/>
  <c r="BY513" i="54"/>
  <c r="DW513" i="54" s="1"/>
  <c r="DR541" i="54"/>
  <c r="BY541" i="54"/>
  <c r="DW541" i="54" s="1"/>
  <c r="DR557" i="54"/>
  <c r="BY557" i="54"/>
  <c r="DW557" i="54" s="1"/>
  <c r="BY506" i="54"/>
  <c r="DW506" i="54" s="1"/>
  <c r="DR506" i="54"/>
  <c r="BY496" i="54"/>
  <c r="DW496" i="54" s="1"/>
  <c r="DR496" i="54"/>
  <c r="DR514" i="54"/>
  <c r="BY514" i="54"/>
  <c r="DW514" i="54" s="1"/>
  <c r="BY532" i="54"/>
  <c r="DW532" i="54" s="1"/>
  <c r="DR532" i="54"/>
  <c r="DR560" i="54"/>
  <c r="BY560" i="54"/>
  <c r="DW560" i="54" s="1"/>
  <c r="BY500" i="54"/>
  <c r="DW500" i="54" s="1"/>
  <c r="DR500" i="54"/>
  <c r="BY519" i="54"/>
  <c r="DW519" i="54" s="1"/>
  <c r="DR519" i="54"/>
  <c r="BY544" i="54"/>
  <c r="DW544" i="54" s="1"/>
  <c r="DR544" i="54"/>
  <c r="BY536" i="54"/>
  <c r="DW536" i="54" s="1"/>
  <c r="DR536" i="54"/>
  <c r="BY562" i="54"/>
  <c r="DW562" i="54" s="1"/>
  <c r="DR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DR443" i="54"/>
  <c r="DR427" i="54"/>
  <c r="DR411" i="54"/>
  <c r="DR379" i="54"/>
  <c r="DR353" i="54"/>
  <c r="DR336" i="54"/>
  <c r="DR416" i="54"/>
  <c r="DR400" i="54"/>
  <c r="DR349" i="54"/>
  <c r="DR332" i="54"/>
  <c r="DR405" i="54"/>
  <c r="DR389" i="54"/>
  <c r="DR329" i="54"/>
  <c r="DR438" i="54"/>
  <c r="DR386" i="54"/>
  <c r="DR370" i="54"/>
  <c r="DR346" i="54"/>
  <c r="DR330" i="54"/>
  <c r="DR272" i="54"/>
  <c r="DR247" i="54"/>
  <c r="DR271" i="54"/>
  <c r="DR320" i="54"/>
  <c r="DR260" i="54"/>
  <c r="DR321" i="54"/>
  <c r="DR259" i="54"/>
  <c r="DR282" i="54"/>
  <c r="DR234" i="54"/>
  <c r="DR218" i="54"/>
  <c r="DR219" i="54"/>
  <c r="DR193" i="54"/>
  <c r="DR176" i="54"/>
  <c r="DR249" i="54"/>
  <c r="DR155" i="54"/>
  <c r="DR203" i="54"/>
  <c r="DR150" i="54"/>
  <c r="DR210" i="54"/>
  <c r="DR162" i="54"/>
  <c r="DR153" i="54"/>
  <c r="DR99" i="54"/>
  <c r="DR134" i="54"/>
  <c r="DR127" i="54"/>
  <c r="DR128" i="54"/>
  <c r="DR110" i="54"/>
  <c r="DR77" i="54"/>
  <c r="DR42" i="54"/>
  <c r="DR67" i="54"/>
  <c r="DR112" i="54"/>
  <c r="DR60" i="54"/>
  <c r="DR57" i="54"/>
  <c r="DR30" i="54"/>
  <c r="DR43" i="54"/>
  <c r="DR24" i="54"/>
  <c r="DR27" i="54"/>
  <c r="DR12" i="54"/>
  <c r="DR9" i="54"/>
  <c r="DR478" i="54"/>
  <c r="BY478" i="54"/>
  <c r="DW478" i="54" s="1"/>
  <c r="DR471" i="54"/>
  <c r="BY471" i="54"/>
  <c r="DW471" i="54" s="1"/>
  <c r="DX452" i="54"/>
  <c r="BY452" i="54"/>
  <c r="DW452" i="54" s="1"/>
  <c r="DR452" i="54"/>
  <c r="BY484" i="54"/>
  <c r="DW484" i="54" s="1"/>
  <c r="DR484" i="54"/>
  <c r="DR455" i="54"/>
  <c r="BY455" i="54"/>
  <c r="DW455" i="54" s="1"/>
  <c r="DR491" i="54"/>
  <c r="BY491" i="54"/>
  <c r="DW491" i="54" s="1"/>
  <c r="DR483" i="54"/>
  <c r="BY483" i="54"/>
  <c r="DW483" i="54" s="1"/>
  <c r="DR461" i="54"/>
  <c r="BY461" i="54"/>
  <c r="DW461" i="54" s="1"/>
  <c r="BY485" i="54"/>
  <c r="DW485" i="54" s="1"/>
  <c r="DR485" i="54"/>
  <c r="DR463" i="54"/>
  <c r="BY463" i="54"/>
  <c r="DW463" i="54" s="1"/>
  <c r="BY474" i="54"/>
  <c r="DW474" i="54" s="1"/>
  <c r="DR474" i="54"/>
  <c r="DR456" i="54"/>
  <c r="BY456" i="54"/>
  <c r="DW456" i="54" s="1"/>
  <c r="DR518" i="54"/>
  <c r="BY518" i="54"/>
  <c r="DW518" i="54" s="1"/>
  <c r="BY549" i="54"/>
  <c r="DW549" i="54" s="1"/>
  <c r="DR549" i="54"/>
  <c r="BY529" i="54"/>
  <c r="DW529" i="54" s="1"/>
  <c r="DR529" i="54"/>
  <c r="DR507" i="54"/>
  <c r="BY507" i="54"/>
  <c r="DW507" i="54" s="1"/>
  <c r="DR525" i="54"/>
  <c r="BY525" i="54"/>
  <c r="DW525" i="54" s="1"/>
  <c r="DR510" i="54"/>
  <c r="BY510" i="54"/>
  <c r="DW510" i="54" s="1"/>
  <c r="DR537" i="54"/>
  <c r="BY537" i="54"/>
  <c r="DW537" i="54" s="1"/>
  <c r="DR553" i="54"/>
  <c r="BY553" i="54"/>
  <c r="DW553" i="54" s="1"/>
  <c r="BY503" i="54"/>
  <c r="DW503" i="54" s="1"/>
  <c r="DR503" i="54"/>
  <c r="BY493" i="54"/>
  <c r="DW493" i="54" s="1"/>
  <c r="DR493" i="54"/>
  <c r="BY512" i="54"/>
  <c r="DW512" i="54" s="1"/>
  <c r="DR512" i="54"/>
  <c r="DR530" i="54"/>
  <c r="BY530" i="54"/>
  <c r="DW530" i="54" s="1"/>
  <c r="BY509" i="54"/>
  <c r="DW509" i="54" s="1"/>
  <c r="DR509" i="54"/>
  <c r="BY497" i="54"/>
  <c r="DW497" i="54" s="1"/>
  <c r="DR497" i="54"/>
  <c r="DR517" i="54"/>
  <c r="BY517" i="54"/>
  <c r="DW517" i="54" s="1"/>
  <c r="DR542" i="54"/>
  <c r="BY542" i="54"/>
  <c r="DW542" i="54" s="1"/>
  <c r="DR534" i="54"/>
  <c r="BY534" i="54"/>
  <c r="DW534" i="54" s="1"/>
  <c r="BY559" i="54"/>
  <c r="DW559" i="54" s="1"/>
  <c r="DR559" i="54"/>
  <c r="DX559" i="54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DR407" i="54"/>
  <c r="DR391" i="54"/>
  <c r="DR335" i="54"/>
  <c r="DR380" i="54"/>
  <c r="DR433" i="54"/>
  <c r="DR417" i="54"/>
  <c r="DR369" i="54"/>
  <c r="DR414" i="54"/>
  <c r="DR340" i="54"/>
  <c r="DR310" i="54"/>
  <c r="DR307" i="54"/>
  <c r="DR300" i="54"/>
  <c r="DR301" i="54"/>
  <c r="DR283" i="54"/>
  <c r="DR262" i="54"/>
  <c r="DR188" i="54"/>
  <c r="DR240" i="54"/>
  <c r="DR277" i="54"/>
  <c r="DR261" i="54"/>
  <c r="DR213" i="54"/>
  <c r="DR183" i="54"/>
  <c r="DR167" i="54"/>
  <c r="DR190" i="54"/>
  <c r="DR133" i="54"/>
  <c r="DR117" i="54"/>
  <c r="DR114" i="54"/>
  <c r="DR156" i="54"/>
  <c r="DR140" i="54"/>
  <c r="DR105" i="54"/>
  <c r="DR64" i="54"/>
  <c r="DR92" i="54"/>
  <c r="DR37" i="54"/>
  <c r="DR6" i="54"/>
  <c r="DR40" i="54"/>
  <c r="DR18" i="54"/>
  <c r="DR23" i="54"/>
  <c r="DS475" i="54"/>
  <c r="DR475" i="54"/>
  <c r="BY475" i="54"/>
  <c r="DW475" i="54" s="1"/>
  <c r="DX475" i="54"/>
  <c r="DS466" i="54"/>
  <c r="DR466" i="54"/>
  <c r="BY466" i="54"/>
  <c r="DW466" i="54" s="1"/>
  <c r="DX466" i="54"/>
  <c r="DS450" i="54"/>
  <c r="DR450" i="54"/>
  <c r="BY450" i="54"/>
  <c r="DW450" i="54" s="1"/>
  <c r="DX450" i="54"/>
  <c r="DS465" i="54"/>
  <c r="DX465" i="54"/>
  <c r="DR465" i="54"/>
  <c r="BY465" i="54"/>
  <c r="DW465" i="54" s="1"/>
  <c r="BY449" i="54"/>
  <c r="DW449" i="54" s="1"/>
  <c r="DR449" i="54"/>
  <c r="DR490" i="54"/>
  <c r="BY490" i="54"/>
  <c r="DW490" i="54" s="1"/>
  <c r="BY479" i="54"/>
  <c r="DW479" i="54" s="1"/>
  <c r="DR479" i="54"/>
  <c r="BY460" i="54"/>
  <c r="DW460" i="54" s="1"/>
  <c r="DR460" i="54"/>
  <c r="DR482" i="54"/>
  <c r="BY482" i="54"/>
  <c r="DW482" i="54" s="1"/>
  <c r="DR454" i="54"/>
  <c r="BY454" i="54"/>
  <c r="DW454" i="54" s="1"/>
  <c r="DR470" i="54"/>
  <c r="BY470" i="54"/>
  <c r="DW470" i="54" s="1"/>
  <c r="BY505" i="54"/>
  <c r="DW505" i="54" s="1"/>
  <c r="DR505" i="54"/>
  <c r="BY516" i="54"/>
  <c r="DW516" i="54" s="1"/>
  <c r="DR516" i="54"/>
  <c r="DR543" i="54"/>
  <c r="BY543" i="54"/>
  <c r="DW543" i="54" s="1"/>
  <c r="BY527" i="54"/>
  <c r="DW527" i="54" s="1"/>
  <c r="DR527" i="54"/>
  <c r="DR495" i="54"/>
  <c r="BY495" i="54"/>
  <c r="DW495" i="54" s="1"/>
  <c r="DR520" i="54"/>
  <c r="BY520" i="54"/>
  <c r="DW520" i="54" s="1"/>
  <c r="BY548" i="54"/>
  <c r="DW548" i="54" s="1"/>
  <c r="DR548" i="54"/>
  <c r="DR533" i="54"/>
  <c r="BY533" i="54"/>
  <c r="DW533" i="54" s="1"/>
  <c r="DR564" i="54"/>
  <c r="BY564" i="54"/>
  <c r="DW564" i="54" s="1"/>
  <c r="BY499" i="54"/>
  <c r="DW499" i="54" s="1"/>
  <c r="DR499" i="54"/>
  <c r="DR526" i="54"/>
  <c r="BY526" i="54"/>
  <c r="DW526" i="54" s="1"/>
  <c r="DR547" i="54"/>
  <c r="BY547" i="54"/>
  <c r="DW547" i="54" s="1"/>
  <c r="BY555" i="54"/>
  <c r="DW555" i="54" s="1"/>
  <c r="DR555" i="54"/>
  <c r="BY504" i="54"/>
  <c r="DW504" i="54" s="1"/>
  <c r="DS504" i="54"/>
  <c r="DX504" i="54"/>
  <c r="DR504" i="54"/>
  <c r="BY523" i="54"/>
  <c r="DW523" i="54" s="1"/>
  <c r="DR523" i="54"/>
  <c r="BY552" i="54"/>
  <c r="DW552" i="54" s="1"/>
  <c r="DR552" i="54"/>
  <c r="BY540" i="54"/>
  <c r="DW540" i="54" s="1"/>
  <c r="DR540" i="54"/>
  <c r="DR531" i="54"/>
  <c r="BY531" i="54"/>
  <c r="DW531" i="54" s="1"/>
  <c r="BY558" i="54"/>
  <c r="DW558" i="54" s="1"/>
  <c r="DR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X442" i="54"/>
  <c r="BY442" i="54"/>
  <c r="DW442" i="54" s="1"/>
  <c r="DS435" i="54"/>
  <c r="BY435" i="54"/>
  <c r="DW435" i="54" s="1"/>
  <c r="BY419" i="54"/>
  <c r="BY403" i="54"/>
  <c r="BY387" i="54"/>
  <c r="BY371" i="54"/>
  <c r="BY351" i="54"/>
  <c r="DX440" i="54"/>
  <c r="BY440" i="54"/>
  <c r="DW440" i="54" s="1"/>
  <c r="BY424" i="54"/>
  <c r="DR408" i="54"/>
  <c r="DX408" i="54"/>
  <c r="BY408" i="54"/>
  <c r="DW408" i="54" s="1"/>
  <c r="BY392" i="54"/>
  <c r="DW392" i="54" s="1"/>
  <c r="BY376" i="54"/>
  <c r="BY364" i="54"/>
  <c r="BY347" i="54"/>
  <c r="DW347" i="54" s="1"/>
  <c r="DX328" i="54"/>
  <c r="BY328" i="54"/>
  <c r="DX429" i="54"/>
  <c r="BY429" i="54"/>
  <c r="BY413" i="54"/>
  <c r="DW413" i="54" s="1"/>
  <c r="BY397" i="54"/>
  <c r="DW397" i="54" s="1"/>
  <c r="DX381" i="54"/>
  <c r="BY381" i="54"/>
  <c r="DW381" i="54" s="1"/>
  <c r="BY361" i="54"/>
  <c r="DW361" i="54" s="1"/>
  <c r="BY344" i="54"/>
  <c r="BY444" i="54"/>
  <c r="DR444" i="54"/>
  <c r="DX426" i="54"/>
  <c r="BY426" i="54"/>
  <c r="BY410" i="54"/>
  <c r="BY394" i="54"/>
  <c r="BY378" i="54"/>
  <c r="DR378" i="54"/>
  <c r="BY356" i="54"/>
  <c r="DW356" i="54" s="1"/>
  <c r="BY339" i="54"/>
  <c r="BY354" i="54"/>
  <c r="DW354" i="54" s="1"/>
  <c r="BY338" i="54"/>
  <c r="BY322" i="54"/>
  <c r="DX322" i="54"/>
  <c r="BY306" i="54"/>
  <c r="DW306" i="54" s="1"/>
  <c r="BY290" i="54"/>
  <c r="DW290" i="54" s="1"/>
  <c r="DX290" i="54"/>
  <c r="DR256" i="54"/>
  <c r="BY256" i="54"/>
  <c r="DW256" i="54" s="1"/>
  <c r="DX256" i="54"/>
  <c r="BY319" i="54"/>
  <c r="BY303" i="54"/>
  <c r="BY287" i="54"/>
  <c r="DR255" i="54"/>
  <c r="BY255" i="54"/>
  <c r="DX255" i="54"/>
  <c r="BY312" i="54"/>
  <c r="DW312" i="54" s="1"/>
  <c r="BY296" i="54"/>
  <c r="BY276" i="54"/>
  <c r="BY239" i="54"/>
  <c r="DW239" i="54" s="1"/>
  <c r="BY313" i="54"/>
  <c r="DW313" i="54" s="1"/>
  <c r="DX297" i="54"/>
  <c r="BY297" i="54"/>
  <c r="DW297" i="54" s="1"/>
  <c r="BY275" i="54"/>
  <c r="BY243" i="54"/>
  <c r="BY274" i="54"/>
  <c r="BY258" i="54"/>
  <c r="DW258" i="54" s="1"/>
  <c r="BY242" i="54"/>
  <c r="DW242" i="54" s="1"/>
  <c r="DX242" i="54"/>
  <c r="BY226" i="54"/>
  <c r="DW226" i="54" s="1"/>
  <c r="BY212" i="54"/>
  <c r="DX212" i="54"/>
  <c r="BY180" i="54"/>
  <c r="DW180" i="54" s="1"/>
  <c r="BY227" i="54"/>
  <c r="DW227" i="54" s="1"/>
  <c r="DX209" i="54"/>
  <c r="BY209" i="54"/>
  <c r="BY177" i="54"/>
  <c r="BY236" i="54"/>
  <c r="BY220" i="54"/>
  <c r="DW220" i="54" s="1"/>
  <c r="BY192" i="54"/>
  <c r="DW192" i="54" s="1"/>
  <c r="DX147" i="54"/>
  <c r="BY147" i="54"/>
  <c r="BY273" i="54"/>
  <c r="BY257" i="54"/>
  <c r="DW257" i="54" s="1"/>
  <c r="BY241" i="54"/>
  <c r="DW241" i="54" s="1"/>
  <c r="DX225" i="54"/>
  <c r="BY225" i="54"/>
  <c r="DW225" i="54" s="1"/>
  <c r="BY205" i="54"/>
  <c r="BY173" i="54"/>
  <c r="DW173" i="54" s="1"/>
  <c r="BY211" i="54"/>
  <c r="DR211" i="54"/>
  <c r="BY195" i="54"/>
  <c r="DW195" i="54" s="1"/>
  <c r="BY179" i="54"/>
  <c r="BY163" i="54"/>
  <c r="DW163" i="54" s="1"/>
  <c r="DR154" i="54"/>
  <c r="BY154" i="54"/>
  <c r="BY202" i="54"/>
  <c r="DR202" i="54"/>
  <c r="BY186" i="54"/>
  <c r="BY170" i="54"/>
  <c r="DW170" i="54" s="1"/>
  <c r="BY151" i="54"/>
  <c r="BY145" i="54"/>
  <c r="BY129" i="54"/>
  <c r="DW129" i="54" s="1"/>
  <c r="DX129" i="54"/>
  <c r="BY113" i="54"/>
  <c r="DW113" i="54" s="1"/>
  <c r="BY142" i="54"/>
  <c r="DW142" i="54" s="1"/>
  <c r="DR126" i="54"/>
  <c r="BY126" i="54"/>
  <c r="DW126" i="54" s="1"/>
  <c r="BY106" i="54"/>
  <c r="DW106" i="54" s="1"/>
  <c r="BY135" i="54"/>
  <c r="DR135" i="54"/>
  <c r="BY119" i="54"/>
  <c r="DR119" i="54"/>
  <c r="BY95" i="54"/>
  <c r="BY152" i="54"/>
  <c r="BY136" i="54"/>
  <c r="BY120" i="54"/>
  <c r="DW120" i="54" s="1"/>
  <c r="BY94" i="54"/>
  <c r="DW94" i="54" s="1"/>
  <c r="BY101" i="54"/>
  <c r="DX101" i="54"/>
  <c r="BY85" i="54"/>
  <c r="BY69" i="54"/>
  <c r="DR69" i="54"/>
  <c r="BY78" i="54"/>
  <c r="DW78" i="54" s="1"/>
  <c r="BY56" i="54"/>
  <c r="DW56" i="54" s="1"/>
  <c r="BY75" i="54"/>
  <c r="DW75" i="54" s="1"/>
  <c r="BY55" i="54"/>
  <c r="DX55" i="54"/>
  <c r="BY104" i="54"/>
  <c r="DW104" i="54" s="1"/>
  <c r="BY88" i="54"/>
  <c r="BY72" i="54"/>
  <c r="BY41" i="54"/>
  <c r="BY58" i="54"/>
  <c r="BY34" i="54"/>
  <c r="BY65" i="54"/>
  <c r="DW65" i="54" s="1"/>
  <c r="BY46" i="54"/>
  <c r="DW46" i="54" s="1"/>
  <c r="BY28" i="54"/>
  <c r="DW28" i="54" s="1"/>
  <c r="BY36" i="54"/>
  <c r="DX36" i="54"/>
  <c r="BY51" i="54"/>
  <c r="BY26" i="54"/>
  <c r="DW26" i="54" s="1"/>
  <c r="BY35" i="54"/>
  <c r="DW35" i="54" s="1"/>
  <c r="BY19" i="54"/>
  <c r="DW19" i="54" s="1"/>
  <c r="BY20" i="54"/>
  <c r="DR20" i="54"/>
  <c r="BY17" i="54"/>
  <c r="DX434" i="54"/>
  <c r="BY434" i="54"/>
  <c r="BY431" i="54"/>
  <c r="DW431" i="54" s="1"/>
  <c r="DX431" i="54"/>
  <c r="BY415" i="54"/>
  <c r="DW415" i="54" s="1"/>
  <c r="BY399" i="54"/>
  <c r="BY383" i="54"/>
  <c r="BY367" i="54"/>
  <c r="DW367" i="54" s="1"/>
  <c r="BY337" i="54"/>
  <c r="DW337" i="54" s="1"/>
  <c r="BY436" i="54"/>
  <c r="BY420" i="54"/>
  <c r="DW420" i="54" s="1"/>
  <c r="DR404" i="54"/>
  <c r="BY404" i="54"/>
  <c r="BY388" i="54"/>
  <c r="DW388" i="54" s="1"/>
  <c r="BY372" i="54"/>
  <c r="DW372" i="54" s="1"/>
  <c r="BY363" i="54"/>
  <c r="BY333" i="54"/>
  <c r="BY324" i="54"/>
  <c r="DR324" i="54"/>
  <c r="BY425" i="54"/>
  <c r="DW425" i="54" s="1"/>
  <c r="BY409" i="54"/>
  <c r="BY393" i="54"/>
  <c r="DW393" i="54" s="1"/>
  <c r="BY377" i="54"/>
  <c r="DX360" i="54"/>
  <c r="BY360" i="54"/>
  <c r="DW360" i="54" s="1"/>
  <c r="BY343" i="54"/>
  <c r="DW343" i="54" s="1"/>
  <c r="BY441" i="54"/>
  <c r="DW441" i="54" s="1"/>
  <c r="DX422" i="54"/>
  <c r="BY422" i="54"/>
  <c r="BY406" i="54"/>
  <c r="DX390" i="54"/>
  <c r="BY390" i="54"/>
  <c r="DR390" i="54"/>
  <c r="BY374" i="54"/>
  <c r="BY355" i="54"/>
  <c r="BY366" i="54"/>
  <c r="BY350" i="54"/>
  <c r="DW350" i="54" s="1"/>
  <c r="BY334" i="54"/>
  <c r="DW334" i="54" s="1"/>
  <c r="BY318" i="54"/>
  <c r="DW318" i="54" s="1"/>
  <c r="BY302" i="54"/>
  <c r="DW302" i="54" s="1"/>
  <c r="BY280" i="54"/>
  <c r="DW280" i="54" s="1"/>
  <c r="BY248" i="54"/>
  <c r="DW248" i="54" s="1"/>
  <c r="DX315" i="54"/>
  <c r="BY315" i="54"/>
  <c r="DW315" i="54" s="1"/>
  <c r="BY299" i="54"/>
  <c r="DW299" i="54" s="1"/>
  <c r="BY279" i="54"/>
  <c r="DW279" i="54" s="1"/>
  <c r="BY235" i="54"/>
  <c r="BY308" i="54"/>
  <c r="DW308" i="54" s="1"/>
  <c r="DR308" i="54"/>
  <c r="BY292" i="54"/>
  <c r="DW292" i="54" s="1"/>
  <c r="BY268" i="54"/>
  <c r="DW268" i="54" s="1"/>
  <c r="DX325" i="54"/>
  <c r="BY325" i="54"/>
  <c r="BY309" i="54"/>
  <c r="DW309" i="54" s="1"/>
  <c r="DR309" i="54"/>
  <c r="BY293" i="54"/>
  <c r="DW293" i="54" s="1"/>
  <c r="BY267" i="54"/>
  <c r="BY286" i="54"/>
  <c r="DW286" i="54" s="1"/>
  <c r="BY270" i="54"/>
  <c r="DW270" i="54" s="1"/>
  <c r="BY254" i="54"/>
  <c r="DW254" i="54" s="1"/>
  <c r="BY238" i="54"/>
  <c r="BY222" i="54"/>
  <c r="BY204" i="54"/>
  <c r="DX204" i="54"/>
  <c r="BY172" i="54"/>
  <c r="DW172" i="54" s="1"/>
  <c r="BY223" i="54"/>
  <c r="BY201" i="54"/>
  <c r="DR169" i="54"/>
  <c r="DX169" i="54"/>
  <c r="BY169" i="54"/>
  <c r="BY232" i="54"/>
  <c r="BY216" i="54"/>
  <c r="DW216" i="54" s="1"/>
  <c r="BY184" i="54"/>
  <c r="BY285" i="54"/>
  <c r="BY269" i="54"/>
  <c r="BY253" i="54"/>
  <c r="BY237" i="54"/>
  <c r="DW237" i="54" s="1"/>
  <c r="BY221" i="54"/>
  <c r="BY197" i="54"/>
  <c r="BY165" i="54"/>
  <c r="DW165" i="54" s="1"/>
  <c r="BY207" i="54"/>
  <c r="DR207" i="54"/>
  <c r="BY191" i="54"/>
  <c r="BY175" i="54"/>
  <c r="BY158" i="54"/>
  <c r="BY146" i="54"/>
  <c r="BY198" i="54"/>
  <c r="DW198" i="54" s="1"/>
  <c r="BY182" i="54"/>
  <c r="BY166" i="54"/>
  <c r="BY157" i="54"/>
  <c r="BY141" i="54"/>
  <c r="DW141" i="54" s="1"/>
  <c r="BY125" i="54"/>
  <c r="DR125" i="54"/>
  <c r="BY107" i="54"/>
  <c r="BY138" i="54"/>
  <c r="DR122" i="54"/>
  <c r="BY122" i="54"/>
  <c r="BY98" i="54"/>
  <c r="BY131" i="54"/>
  <c r="DW131" i="54" s="1"/>
  <c r="BY115" i="54"/>
  <c r="BY87" i="54"/>
  <c r="DW87" i="54" s="1"/>
  <c r="BY148" i="54"/>
  <c r="DW148" i="54" s="1"/>
  <c r="BY132" i="54"/>
  <c r="BY116" i="54"/>
  <c r="BY86" i="54"/>
  <c r="BY97" i="54"/>
  <c r="BY81" i="54"/>
  <c r="DW81" i="54" s="1"/>
  <c r="BY59" i="54"/>
  <c r="BY74" i="54"/>
  <c r="DW74" i="54" s="1"/>
  <c r="BY49" i="54"/>
  <c r="BY71" i="54"/>
  <c r="DW71" i="54" s="1"/>
  <c r="BY50" i="54"/>
  <c r="BY100" i="54"/>
  <c r="BY84" i="54"/>
  <c r="BY68" i="54"/>
  <c r="DW68" i="54" s="1"/>
  <c r="DR68" i="54"/>
  <c r="BY10" i="54"/>
  <c r="DW10" i="54" s="1"/>
  <c r="BY54" i="54"/>
  <c r="BY33" i="54"/>
  <c r="DW33" i="54" s="1"/>
  <c r="BY61" i="54"/>
  <c r="DW61" i="54" s="1"/>
  <c r="BY38" i="54"/>
  <c r="DW38" i="54" s="1"/>
  <c r="BY48" i="54"/>
  <c r="DW48" i="54" s="1"/>
  <c r="BY22" i="54"/>
  <c r="DW22" i="54" s="1"/>
  <c r="DR47" i="54"/>
  <c r="BY47" i="54"/>
  <c r="BY25" i="54"/>
  <c r="BY31" i="54"/>
  <c r="DW31" i="54" s="1"/>
  <c r="BY15" i="54"/>
  <c r="BY16" i="54"/>
  <c r="BY13" i="54"/>
  <c r="BY443" i="54"/>
  <c r="BY427" i="54"/>
  <c r="DW427" i="54" s="1"/>
  <c r="BY411" i="54"/>
  <c r="BY395" i="54"/>
  <c r="DW395" i="54" s="1"/>
  <c r="BY379" i="54"/>
  <c r="BY353" i="54"/>
  <c r="BY336" i="54"/>
  <c r="DX336" i="54"/>
  <c r="DR432" i="54"/>
  <c r="BY432" i="54"/>
  <c r="BY416" i="54"/>
  <c r="BY400" i="54"/>
  <c r="BY384" i="54"/>
  <c r="DW384" i="54" s="1"/>
  <c r="BY368" i="54"/>
  <c r="BY349" i="54"/>
  <c r="DW349" i="54" s="1"/>
  <c r="BY332" i="54"/>
  <c r="DW332" i="54" s="1"/>
  <c r="DX437" i="54"/>
  <c r="BY437" i="54"/>
  <c r="BY421" i="54"/>
  <c r="DW421" i="54" s="1"/>
  <c r="DR421" i="54"/>
  <c r="BY405" i="54"/>
  <c r="DW405" i="54" s="1"/>
  <c r="BY389" i="54"/>
  <c r="DW389" i="54" s="1"/>
  <c r="BY373" i="54"/>
  <c r="BY359" i="54"/>
  <c r="DW359" i="54" s="1"/>
  <c r="BY329" i="54"/>
  <c r="DW329" i="54" s="1"/>
  <c r="BY438" i="54"/>
  <c r="DW438" i="54" s="1"/>
  <c r="DX438" i="54"/>
  <c r="BY418" i="54"/>
  <c r="DR418" i="54"/>
  <c r="BY402" i="54"/>
  <c r="DW402" i="54" s="1"/>
  <c r="BY386" i="54"/>
  <c r="DW386" i="54" s="1"/>
  <c r="BY370" i="54"/>
  <c r="DW370" i="54" s="1"/>
  <c r="BY341" i="54"/>
  <c r="DW341" i="54" s="1"/>
  <c r="DX362" i="54"/>
  <c r="BY362" i="54"/>
  <c r="BY346" i="54"/>
  <c r="BY330" i="54"/>
  <c r="DW330" i="54" s="1"/>
  <c r="BY314" i="54"/>
  <c r="BY298" i="54"/>
  <c r="BY272" i="54"/>
  <c r="DW272" i="54" s="1"/>
  <c r="BY247" i="54"/>
  <c r="DW247" i="54" s="1"/>
  <c r="BY311" i="54"/>
  <c r="DX295" i="54"/>
  <c r="BY295" i="54"/>
  <c r="BY271" i="54"/>
  <c r="DX320" i="54"/>
  <c r="BY320" i="54"/>
  <c r="DW320" i="54" s="1"/>
  <c r="BY304" i="54"/>
  <c r="DR304" i="54"/>
  <c r="BY288" i="54"/>
  <c r="DR288" i="54"/>
  <c r="BY260" i="54"/>
  <c r="BY321" i="54"/>
  <c r="DW321" i="54" s="1"/>
  <c r="BY305" i="54"/>
  <c r="DW305" i="54" s="1"/>
  <c r="DR305" i="54"/>
  <c r="BY289" i="54"/>
  <c r="BY259" i="54"/>
  <c r="DW259" i="54" s="1"/>
  <c r="BY282" i="54"/>
  <c r="BY266" i="54"/>
  <c r="DW266" i="54" s="1"/>
  <c r="DR266" i="54"/>
  <c r="BY250" i="54"/>
  <c r="BY234" i="54"/>
  <c r="DW234" i="54" s="1"/>
  <c r="DX234" i="54"/>
  <c r="BY218" i="54"/>
  <c r="BY196" i="54"/>
  <c r="DR164" i="54"/>
  <c r="BY164" i="54"/>
  <c r="DX164" i="54"/>
  <c r="BY219" i="54"/>
  <c r="DW219" i="54" s="1"/>
  <c r="BY193" i="54"/>
  <c r="DW193" i="54" s="1"/>
  <c r="BY244" i="54"/>
  <c r="DW244" i="54" s="1"/>
  <c r="BY228" i="54"/>
  <c r="BY208" i="54"/>
  <c r="BY176" i="54"/>
  <c r="DW176" i="54" s="1"/>
  <c r="BY281" i="54"/>
  <c r="DW281" i="54" s="1"/>
  <c r="BY265" i="54"/>
  <c r="DW265" i="54" s="1"/>
  <c r="BY249" i="54"/>
  <c r="BY233" i="54"/>
  <c r="DW233" i="54" s="1"/>
  <c r="BY217" i="54"/>
  <c r="DW217" i="54" s="1"/>
  <c r="BY189" i="54"/>
  <c r="DW189" i="54" s="1"/>
  <c r="DX189" i="54"/>
  <c r="BY155" i="54"/>
  <c r="BY203" i="54"/>
  <c r="DW203" i="54" s="1"/>
  <c r="BY187" i="54"/>
  <c r="DX187" i="54"/>
  <c r="DR187" i="54"/>
  <c r="BY171" i="54"/>
  <c r="DW171" i="54" s="1"/>
  <c r="BY150" i="54"/>
  <c r="DW150" i="54" s="1"/>
  <c r="BY210" i="54"/>
  <c r="BY194" i="54"/>
  <c r="DW194" i="54" s="1"/>
  <c r="BY178" i="54"/>
  <c r="DR178" i="54"/>
  <c r="BY162" i="54"/>
  <c r="BY153" i="54"/>
  <c r="DW153" i="54" s="1"/>
  <c r="BY137" i="54"/>
  <c r="DR137" i="54"/>
  <c r="BY121" i="54"/>
  <c r="BY99" i="54"/>
  <c r="DW99" i="54" s="1"/>
  <c r="BY134" i="54"/>
  <c r="BY118" i="54"/>
  <c r="DR90" i="54"/>
  <c r="BY90" i="54"/>
  <c r="DW90" i="54" s="1"/>
  <c r="DX90" i="54"/>
  <c r="BY127" i="54"/>
  <c r="DW127" i="54" s="1"/>
  <c r="DR111" i="54"/>
  <c r="BY111" i="54"/>
  <c r="BY160" i="54"/>
  <c r="BY144" i="54"/>
  <c r="BY128" i="54"/>
  <c r="BY110" i="54"/>
  <c r="DW110" i="54" s="1"/>
  <c r="BY109" i="54"/>
  <c r="BY93" i="54"/>
  <c r="BY77" i="54"/>
  <c r="DX77" i="54"/>
  <c r="BY42" i="54"/>
  <c r="DW42" i="54" s="1"/>
  <c r="BY70" i="54"/>
  <c r="DW70" i="54" s="1"/>
  <c r="DX83" i="54"/>
  <c r="BY83" i="54"/>
  <c r="DW83" i="54" s="1"/>
  <c r="BY67" i="54"/>
  <c r="DW67" i="54" s="1"/>
  <c r="BY112" i="54"/>
  <c r="DW112" i="54" s="1"/>
  <c r="DR96" i="54"/>
  <c r="BY96" i="54"/>
  <c r="BY80" i="54"/>
  <c r="DR80" i="54"/>
  <c r="BY60" i="54"/>
  <c r="DW60" i="54" s="1"/>
  <c r="BY66" i="54"/>
  <c r="BY45" i="54"/>
  <c r="DW45" i="54" s="1"/>
  <c r="BY32" i="54"/>
  <c r="DW32" i="54" s="1"/>
  <c r="DX32" i="54"/>
  <c r="BY57" i="54"/>
  <c r="DW57" i="54" s="1"/>
  <c r="BY30" i="54"/>
  <c r="DW30" i="54" s="1"/>
  <c r="BY44" i="54"/>
  <c r="DX44" i="54"/>
  <c r="BY21" i="54"/>
  <c r="DW21" i="54" s="1"/>
  <c r="BY43" i="54"/>
  <c r="DW43" i="54" s="1"/>
  <c r="BY24" i="54"/>
  <c r="DW24" i="54" s="1"/>
  <c r="BY27" i="54"/>
  <c r="DX11" i="54"/>
  <c r="BY11" i="54"/>
  <c r="BY12" i="54"/>
  <c r="DW12" i="54" s="1"/>
  <c r="BY9" i="54"/>
  <c r="DW9" i="54" s="1"/>
  <c r="DX439" i="54"/>
  <c r="BY439" i="54"/>
  <c r="DR439" i="54"/>
  <c r="BY423" i="54"/>
  <c r="BY407" i="54"/>
  <c r="DW407" i="54" s="1"/>
  <c r="BY391" i="54"/>
  <c r="BY375" i="54"/>
  <c r="DR352" i="54"/>
  <c r="BY352" i="54"/>
  <c r="DW352" i="54" s="1"/>
  <c r="BY335" i="54"/>
  <c r="DW335" i="54" s="1"/>
  <c r="BY428" i="54"/>
  <c r="DW428" i="54" s="1"/>
  <c r="BY412" i="54"/>
  <c r="BY396" i="54"/>
  <c r="DS380" i="54"/>
  <c r="BY380" i="54"/>
  <c r="BY365" i="54"/>
  <c r="BY348" i="54"/>
  <c r="DW348" i="54" s="1"/>
  <c r="BY331" i="54"/>
  <c r="BY433" i="54"/>
  <c r="BY417" i="54"/>
  <c r="BY401" i="54"/>
  <c r="DW401" i="54" s="1"/>
  <c r="BY385" i="54"/>
  <c r="BY369" i="54"/>
  <c r="BY345" i="54"/>
  <c r="BY327" i="54"/>
  <c r="DW327" i="54" s="1"/>
  <c r="DX327" i="54"/>
  <c r="BY430" i="54"/>
  <c r="DW430" i="54" s="1"/>
  <c r="BY414" i="54"/>
  <c r="DW414" i="54" s="1"/>
  <c r="BY398" i="54"/>
  <c r="DR398" i="54"/>
  <c r="BY382" i="54"/>
  <c r="BY357" i="54"/>
  <c r="BY340" i="54"/>
  <c r="DW340" i="54" s="1"/>
  <c r="BY358" i="54"/>
  <c r="BY342" i="54"/>
  <c r="BY326" i="54"/>
  <c r="BY310" i="54"/>
  <c r="DW310" i="54" s="1"/>
  <c r="BY294" i="54"/>
  <c r="DR264" i="54"/>
  <c r="BY264" i="54"/>
  <c r="DW264" i="54" s="1"/>
  <c r="BY323" i="54"/>
  <c r="DW323" i="54" s="1"/>
  <c r="BY307" i="54"/>
  <c r="BY291" i="54"/>
  <c r="DW291" i="54" s="1"/>
  <c r="BY263" i="54"/>
  <c r="DW263" i="54" s="1"/>
  <c r="BY316" i="54"/>
  <c r="BY300" i="54"/>
  <c r="DR284" i="54"/>
  <c r="BY284" i="54"/>
  <c r="DR252" i="54"/>
  <c r="BY252" i="54"/>
  <c r="BY317" i="54"/>
  <c r="BY301" i="54"/>
  <c r="DW301" i="54" s="1"/>
  <c r="BY283" i="54"/>
  <c r="BY251" i="54"/>
  <c r="DW251" i="54" s="1"/>
  <c r="BY278" i="54"/>
  <c r="DW278" i="54" s="1"/>
  <c r="BY262" i="54"/>
  <c r="DW262" i="54" s="1"/>
  <c r="BY246" i="54"/>
  <c r="BY230" i="54"/>
  <c r="BY214" i="54"/>
  <c r="DR214" i="54"/>
  <c r="BY188" i="54"/>
  <c r="DW188" i="54" s="1"/>
  <c r="DR231" i="54"/>
  <c r="BY231" i="54"/>
  <c r="BY215" i="54"/>
  <c r="DR185" i="54"/>
  <c r="BY185" i="54"/>
  <c r="BY240" i="54"/>
  <c r="BY224" i="54"/>
  <c r="DR224" i="54"/>
  <c r="BY200" i="54"/>
  <c r="BY168" i="54"/>
  <c r="DX168" i="54"/>
  <c r="DX277" i="54"/>
  <c r="BY277" i="54"/>
  <c r="BY261" i="54"/>
  <c r="DX245" i="54"/>
  <c r="BY245" i="54"/>
  <c r="BY229" i="54"/>
  <c r="DW229" i="54" s="1"/>
  <c r="BY213" i="54"/>
  <c r="BY181" i="54"/>
  <c r="DW181" i="54" s="1"/>
  <c r="BY143" i="54"/>
  <c r="BY199" i="54"/>
  <c r="DR199" i="54"/>
  <c r="BY183" i="54"/>
  <c r="BY167" i="54"/>
  <c r="DR161" i="54"/>
  <c r="BY161" i="54"/>
  <c r="DW161" i="54" s="1"/>
  <c r="DX206" i="54"/>
  <c r="BY206" i="54"/>
  <c r="DR206" i="54"/>
  <c r="DX190" i="54"/>
  <c r="BY190" i="54"/>
  <c r="DW190" i="54" s="1"/>
  <c r="BY174" i="54"/>
  <c r="DR174" i="54"/>
  <c r="BY159" i="54"/>
  <c r="DW159" i="54" s="1"/>
  <c r="BY149" i="54"/>
  <c r="DR149" i="54"/>
  <c r="BY133" i="54"/>
  <c r="DW133" i="54" s="1"/>
  <c r="DX133" i="54"/>
  <c r="BY117" i="54"/>
  <c r="BY91" i="54"/>
  <c r="BY130" i="54"/>
  <c r="DW130" i="54" s="1"/>
  <c r="BY114" i="54"/>
  <c r="DW114" i="54" s="1"/>
  <c r="BY139" i="54"/>
  <c r="DW139" i="54" s="1"/>
  <c r="DR139" i="54"/>
  <c r="DX123" i="54"/>
  <c r="BY123" i="54"/>
  <c r="DR123" i="54"/>
  <c r="DR103" i="54"/>
  <c r="BY103" i="54"/>
  <c r="DW103" i="54" s="1"/>
  <c r="BY156" i="54"/>
  <c r="DW156" i="54" s="1"/>
  <c r="BY140" i="54"/>
  <c r="DW140" i="54" s="1"/>
  <c r="BY124" i="54"/>
  <c r="DW124" i="54" s="1"/>
  <c r="BY102" i="54"/>
  <c r="BY105" i="54"/>
  <c r="DW105" i="54" s="1"/>
  <c r="BY89" i="54"/>
  <c r="BY73" i="54"/>
  <c r="DW73" i="54" s="1"/>
  <c r="DR73" i="54"/>
  <c r="BY82" i="54"/>
  <c r="DW82" i="54" s="1"/>
  <c r="BY64" i="54"/>
  <c r="BY79" i="54"/>
  <c r="DW79" i="54" s="1"/>
  <c r="DR79" i="54"/>
  <c r="DR63" i="54"/>
  <c r="BY63" i="54"/>
  <c r="DX63" i="54"/>
  <c r="BY108" i="54"/>
  <c r="BY92" i="54"/>
  <c r="DW92" i="54" s="1"/>
  <c r="BY76" i="54"/>
  <c r="DW76" i="54" s="1"/>
  <c r="BY52" i="54"/>
  <c r="DX52" i="54"/>
  <c r="BY62" i="54"/>
  <c r="DW62" i="54" s="1"/>
  <c r="BY37" i="54"/>
  <c r="DX37" i="54"/>
  <c r="BY6" i="54"/>
  <c r="DX53" i="54"/>
  <c r="BY53" i="54"/>
  <c r="DW53" i="54" s="1"/>
  <c r="BY29" i="54"/>
  <c r="BY40" i="54"/>
  <c r="DW40" i="54" s="1"/>
  <c r="DX40" i="54"/>
  <c r="BY18" i="54"/>
  <c r="DX18" i="54"/>
  <c r="DR39" i="54"/>
  <c r="BY39" i="54"/>
  <c r="BY14" i="54"/>
  <c r="DW14" i="54" s="1"/>
  <c r="DX23" i="54"/>
  <c r="BY23" i="54"/>
  <c r="DW23" i="54" s="1"/>
  <c r="DR7" i="54"/>
  <c r="DX7" i="54"/>
  <c r="BY7" i="54"/>
  <c r="DW7" i="54" s="1"/>
  <c r="BY8" i="54"/>
  <c r="DW8" i="54" s="1"/>
  <c r="CD5" i="54"/>
  <c r="BY5" i="54"/>
  <c r="DW5" i="54" s="1"/>
  <c r="DW439" i="54"/>
  <c r="DX135" i="54"/>
  <c r="DW390" i="54"/>
  <c r="DW378" i="54"/>
  <c r="DR341" i="54"/>
  <c r="DR394" i="54"/>
  <c r="DW376" i="54"/>
  <c r="DX443" i="54"/>
  <c r="DX205" i="54"/>
  <c r="DX197" i="54"/>
  <c r="DR243" i="54"/>
  <c r="DR431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W375" i="54"/>
  <c r="DW365" i="54"/>
  <c r="DX22" i="54"/>
  <c r="DR402" i="54"/>
  <c r="DW175" i="54"/>
  <c r="DW146" i="54"/>
  <c r="DR239" i="54"/>
  <c r="DX229" i="54"/>
  <c r="DX419" i="54"/>
  <c r="DR397" i="54"/>
  <c r="DR435" i="54"/>
  <c r="DR204" i="54"/>
  <c r="DR437" i="54"/>
  <c r="DR192" i="54"/>
  <c r="DR357" i="54"/>
  <c r="DW398" i="54"/>
  <c r="DR422" i="54"/>
  <c r="DX107" i="54"/>
  <c r="DW269" i="54"/>
  <c r="DW362" i="54"/>
  <c r="DX345" i="54"/>
  <c r="DR275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92" i="54"/>
  <c r="DX444" i="54"/>
  <c r="DX288" i="54"/>
  <c r="DX361" i="54"/>
  <c r="DR295" i="54"/>
  <c r="DR377" i="54"/>
  <c r="DX317" i="54"/>
  <c r="DX102" i="54"/>
  <c r="DX335" i="54"/>
  <c r="DW387" i="54"/>
  <c r="DR263" i="54"/>
  <c r="DW236" i="54"/>
  <c r="DX244" i="54"/>
  <c r="DX232" i="54"/>
  <c r="DR209" i="54"/>
  <c r="DR326" i="54"/>
  <c r="DR285" i="54"/>
  <c r="DR314" i="54"/>
  <c r="DR317" i="54"/>
  <c r="DW288" i="54"/>
  <c r="DX236" i="54"/>
  <c r="DX387" i="54"/>
  <c r="DR244" i="54"/>
  <c r="DR32" i="54"/>
  <c r="DW317" i="54"/>
  <c r="DW260" i="54"/>
  <c r="DX263" i="54"/>
  <c r="DW232" i="54"/>
  <c r="DR189" i="54"/>
  <c r="DR5" i="54"/>
  <c r="DR53" i="54"/>
  <c r="DR141" i="54"/>
  <c r="DR173" i="54"/>
  <c r="DR171" i="54"/>
  <c r="DR143" i="54"/>
  <c r="DR313" i="54"/>
  <c r="DR365" i="54"/>
  <c r="DW422" i="54"/>
  <c r="DW417" i="54"/>
  <c r="DX10" i="54"/>
  <c r="DR74" i="54"/>
  <c r="DW204" i="54"/>
  <c r="DW373" i="54"/>
  <c r="DW157" i="54"/>
  <c r="DR248" i="54"/>
  <c r="DR373" i="54"/>
  <c r="DW437" i="54"/>
  <c r="DW36" i="54"/>
  <c r="DX71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R142" i="54"/>
  <c r="DR61" i="54"/>
  <c r="DR430" i="54"/>
  <c r="DW93" i="54"/>
  <c r="DW275" i="54"/>
  <c r="DX261" i="54"/>
  <c r="DR242" i="54"/>
  <c r="DR238" i="54"/>
  <c r="DR345" i="54"/>
  <c r="DX127" i="54"/>
  <c r="DR281" i="54"/>
  <c r="DR322" i="54"/>
  <c r="DR136" i="54"/>
  <c r="DR358" i="54"/>
  <c r="DR316" i="54"/>
  <c r="DR265" i="54"/>
  <c r="DR241" i="54"/>
  <c r="DR327" i="54"/>
  <c r="DW289" i="54"/>
  <c r="DR221" i="54"/>
  <c r="DR191" i="54"/>
  <c r="DR196" i="54"/>
  <c r="DR343" i="54"/>
  <c r="DR359" i="54"/>
  <c r="DR342" i="54"/>
  <c r="DR102" i="54"/>
  <c r="DR44" i="54"/>
  <c r="DR250" i="54"/>
  <c r="DR100" i="54"/>
  <c r="DR436" i="54"/>
  <c r="DW287" i="54"/>
  <c r="DR245" i="54"/>
  <c r="DR86" i="54"/>
  <c r="DX403" i="54"/>
  <c r="DR8" i="54"/>
  <c r="DX239" i="54"/>
  <c r="DR367" i="54"/>
  <c r="DR291" i="54"/>
  <c r="DW166" i="54"/>
  <c r="DR118" i="54"/>
  <c r="DR215" i="54"/>
  <c r="DR362" i="54"/>
  <c r="DR278" i="54"/>
  <c r="DR227" i="54"/>
  <c r="DW319" i="54"/>
  <c r="DR279" i="54"/>
  <c r="DR75" i="54"/>
  <c r="DW84" i="54"/>
  <c r="DR25" i="54"/>
  <c r="DR208" i="54"/>
  <c r="DW208" i="54"/>
  <c r="DR181" i="54"/>
  <c r="DW151" i="54"/>
  <c r="DR82" i="54"/>
  <c r="DW49" i="54"/>
  <c r="DR198" i="54"/>
  <c r="DW97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355" i="54"/>
  <c r="DR195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R160" i="54"/>
  <c r="DR270" i="54"/>
  <c r="DR222" i="54"/>
  <c r="DR124" i="54"/>
  <c r="DR66" i="54"/>
  <c r="DR347" i="54"/>
  <c r="DR315" i="54"/>
  <c r="DR298" i="54"/>
  <c r="DR253" i="54"/>
  <c r="DW253" i="54"/>
  <c r="DR237" i="54"/>
  <c r="DR132" i="54"/>
  <c r="DR144" i="54"/>
  <c r="DR424" i="54"/>
  <c r="DR246" i="54"/>
  <c r="DW246" i="54"/>
  <c r="DR375" i="54"/>
  <c r="DR350" i="54"/>
  <c r="DR318" i="54"/>
  <c r="DR251" i="54"/>
  <c r="DW374" i="54"/>
  <c r="DR168" i="54"/>
  <c r="DR48" i="54"/>
  <c r="DW273" i="54"/>
  <c r="DR229" i="54"/>
  <c r="DW385" i="54"/>
  <c r="DR194" i="54"/>
  <c r="DR216" i="54"/>
  <c r="DR423" i="54"/>
  <c r="DR76" i="54"/>
  <c r="DR120" i="54"/>
  <c r="DW64" i="54"/>
  <c r="DW145" i="54"/>
  <c r="DW221" i="54"/>
  <c r="DR289" i="54"/>
  <c r="DW267" i="54"/>
  <c r="DR62" i="54"/>
  <c r="DR385" i="54"/>
  <c r="DX402" i="54"/>
  <c r="DR368" i="54"/>
  <c r="DR14" i="54"/>
  <c r="DR91" i="54"/>
  <c r="DR364" i="54"/>
  <c r="DR267" i="54"/>
  <c r="DR290" i="54"/>
  <c r="DR55" i="54"/>
  <c r="DR217" i="54"/>
  <c r="DR109" i="54"/>
  <c r="DR71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87" i="54"/>
  <c r="DR83" i="54"/>
  <c r="DR108" i="54"/>
  <c r="DR87" i="54"/>
  <c r="DX128" i="54" l="1"/>
  <c r="DX380" i="54"/>
  <c r="DX303" i="54"/>
  <c r="DX260" i="54"/>
  <c r="DX266" i="54"/>
  <c r="DX251" i="54"/>
  <c r="DX213" i="54"/>
  <c r="DX394" i="54"/>
  <c r="DY481" i="54"/>
  <c r="DY465" i="54"/>
  <c r="FA187" i="54"/>
  <c r="DS513" i="54"/>
  <c r="DY469" i="54"/>
  <c r="DX166" i="54"/>
  <c r="DX349" i="54"/>
  <c r="DX357" i="54"/>
  <c r="EU187" i="54"/>
  <c r="DX392" i="54"/>
  <c r="DX435" i="54"/>
  <c r="AK343" i="54"/>
  <c r="DS531" i="54"/>
  <c r="DX531" i="54"/>
  <c r="DY531" i="54" s="1"/>
  <c r="DS540" i="54"/>
  <c r="DX540" i="54"/>
  <c r="DS547" i="54"/>
  <c r="DX547" i="54"/>
  <c r="DY547" i="54" s="1"/>
  <c r="DS533" i="54"/>
  <c r="DX533" i="54"/>
  <c r="DS527" i="54"/>
  <c r="DX527" i="54"/>
  <c r="DY527" i="54" s="1"/>
  <c r="DS470" i="54"/>
  <c r="DX470" i="54"/>
  <c r="DS454" i="54"/>
  <c r="DX454" i="54"/>
  <c r="DY559" i="54"/>
  <c r="DS534" i="54"/>
  <c r="DX534" i="54"/>
  <c r="DS509" i="54"/>
  <c r="DX509" i="54"/>
  <c r="DS493" i="54"/>
  <c r="DX493" i="54"/>
  <c r="DY493" i="54" s="1"/>
  <c r="DS549" i="54"/>
  <c r="DX549" i="54"/>
  <c r="DS463" i="54"/>
  <c r="DX463" i="54"/>
  <c r="DS491" i="54"/>
  <c r="DX491" i="54"/>
  <c r="DS452" i="54"/>
  <c r="AK359" i="54"/>
  <c r="DS500" i="54"/>
  <c r="DX500" i="54"/>
  <c r="DS496" i="54"/>
  <c r="DX496" i="54"/>
  <c r="DS506" i="54"/>
  <c r="DX506" i="54"/>
  <c r="DS492" i="54"/>
  <c r="DS554" i="54"/>
  <c r="DX554" i="54"/>
  <c r="DS522" i="54"/>
  <c r="DX522" i="54"/>
  <c r="DS489" i="54"/>
  <c r="DX489" i="54"/>
  <c r="DY489" i="54" s="1"/>
  <c r="DS488" i="54"/>
  <c r="DX488" i="54"/>
  <c r="DS453" i="54"/>
  <c r="DX453" i="54"/>
  <c r="DS472" i="54"/>
  <c r="DX472" i="54"/>
  <c r="DS480" i="54"/>
  <c r="DS550" i="54"/>
  <c r="DX550" i="54"/>
  <c r="DS498" i="54"/>
  <c r="DX498" i="54"/>
  <c r="DS467" i="54"/>
  <c r="DX467" i="54"/>
  <c r="DS451" i="54"/>
  <c r="DX451" i="54"/>
  <c r="DS487" i="54"/>
  <c r="DX487" i="54"/>
  <c r="DS464" i="54"/>
  <c r="DX464" i="54"/>
  <c r="DS459" i="54"/>
  <c r="DX459" i="54"/>
  <c r="CZ1379" i="54"/>
  <c r="CX1379" i="54" s="1"/>
  <c r="DB1379" i="54"/>
  <c r="DC1379" i="54"/>
  <c r="DD1379" i="54" s="1"/>
  <c r="DB1414" i="54"/>
  <c r="CZ1414" i="54"/>
  <c r="CX1414" i="54" s="1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CX1457" i="54" s="1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CX1412" i="54" s="1"/>
  <c r="DB1412" i="54"/>
  <c r="DC1412" i="54"/>
  <c r="DD1412" i="54" s="1"/>
  <c r="DC1225" i="54"/>
  <c r="DD1225" i="54" s="1"/>
  <c r="CZ1225" i="54"/>
  <c r="CX1225" i="54" s="1"/>
  <c r="DB1225" i="54"/>
  <c r="DC1300" i="54"/>
  <c r="DD1300" i="54" s="1"/>
  <c r="CZ1300" i="54"/>
  <c r="DB1300" i="54"/>
  <c r="DB1150" i="54"/>
  <c r="DC1150" i="54"/>
  <c r="DD1150" i="54" s="1"/>
  <c r="CZ1150" i="54"/>
  <c r="CX1150" i="54" s="1"/>
  <c r="DC1365" i="54"/>
  <c r="DD1365" i="54" s="1"/>
  <c r="DB1365" i="54"/>
  <c r="CZ1365" i="54"/>
  <c r="CX1365" i="54" s="1"/>
  <c r="DC1243" i="54"/>
  <c r="DD1243" i="54" s="1"/>
  <c r="CZ1243" i="54"/>
  <c r="CX1243" i="54" s="1"/>
  <c r="DB1243" i="54"/>
  <c r="DX415" i="54"/>
  <c r="DX173" i="54"/>
  <c r="DX371" i="54"/>
  <c r="DX309" i="54"/>
  <c r="DS558" i="54"/>
  <c r="DX558" i="54"/>
  <c r="DY540" i="54"/>
  <c r="DS564" i="54"/>
  <c r="DX564" i="54"/>
  <c r="DS495" i="54"/>
  <c r="DX495" i="54"/>
  <c r="DS516" i="54"/>
  <c r="DX516" i="54"/>
  <c r="DS505" i="54"/>
  <c r="DX505" i="54"/>
  <c r="DS482" i="54"/>
  <c r="DX482" i="54"/>
  <c r="DY450" i="54"/>
  <c r="DY466" i="54"/>
  <c r="DY475" i="54"/>
  <c r="DS497" i="54"/>
  <c r="DX497" i="54"/>
  <c r="DY497" i="54" s="1"/>
  <c r="DY509" i="54"/>
  <c r="DS503" i="54"/>
  <c r="DX503" i="54"/>
  <c r="DY503" i="54" s="1"/>
  <c r="DS510" i="54"/>
  <c r="DX510" i="54"/>
  <c r="DS525" i="54"/>
  <c r="DX525" i="54"/>
  <c r="DS529" i="54"/>
  <c r="DX529" i="54"/>
  <c r="DY463" i="54"/>
  <c r="DS483" i="54"/>
  <c r="DX483" i="54"/>
  <c r="DY491" i="54"/>
  <c r="DS471" i="54"/>
  <c r="DX471" i="54"/>
  <c r="DS519" i="54"/>
  <c r="DX519" i="54"/>
  <c r="DY500" i="54"/>
  <c r="DS514" i="54"/>
  <c r="DX514" i="54"/>
  <c r="DY514" i="54" s="1"/>
  <c r="DY496" i="54"/>
  <c r="DS541" i="54"/>
  <c r="DX541" i="54"/>
  <c r="DY541" i="54" s="1"/>
  <c r="DY554" i="54"/>
  <c r="DS551" i="54"/>
  <c r="DX551" i="54"/>
  <c r="DY551" i="54" s="1"/>
  <c r="DY453" i="54"/>
  <c r="DS538" i="54"/>
  <c r="DX538" i="54"/>
  <c r="DS521" i="54"/>
  <c r="DS524" i="54"/>
  <c r="DX524" i="54"/>
  <c r="DS528" i="54"/>
  <c r="DX528" i="54"/>
  <c r="DS546" i="54"/>
  <c r="DX546" i="54"/>
  <c r="DS556" i="54"/>
  <c r="DX556" i="54"/>
  <c r="DY556" i="54" s="1"/>
  <c r="DY467" i="54"/>
  <c r="DS457" i="54"/>
  <c r="DX457" i="54"/>
  <c r="DY487" i="54"/>
  <c r="DS448" i="54"/>
  <c r="DX448" i="54"/>
  <c r="DY459" i="54"/>
  <c r="DS473" i="54"/>
  <c r="DX473" i="54"/>
  <c r="DY473" i="54" s="1"/>
  <c r="DB1355" i="54"/>
  <c r="DC1355" i="54"/>
  <c r="DD1355" i="54" s="1"/>
  <c r="CZ1355" i="54"/>
  <c r="DB1222" i="54"/>
  <c r="DC1222" i="54"/>
  <c r="DD1222" i="54" s="1"/>
  <c r="CZ1222" i="54"/>
  <c r="CX1222" i="54" s="1"/>
  <c r="DC1380" i="54"/>
  <c r="DD1380" i="54" s="1"/>
  <c r="DB1380" i="54"/>
  <c r="CZ1380" i="54"/>
  <c r="CX1380" i="54" s="1"/>
  <c r="CZ1427" i="54"/>
  <c r="CX1427" i="54" s="1"/>
  <c r="DB1427" i="54"/>
  <c r="DC1427" i="54"/>
  <c r="DD1427" i="54" s="1"/>
  <c r="DC1366" i="54"/>
  <c r="DD1366" i="54" s="1"/>
  <c r="CZ1366" i="54"/>
  <c r="CX1366" i="54" s="1"/>
  <c r="DB1366" i="54"/>
  <c r="CZ1415" i="54"/>
  <c r="DC1415" i="54"/>
  <c r="DD1415" i="54" s="1"/>
  <c r="DB1415" i="54"/>
  <c r="DB1247" i="54"/>
  <c r="DC1247" i="54"/>
  <c r="DD1247" i="54" s="1"/>
  <c r="CZ1247" i="54"/>
  <c r="CX1247" i="54" s="1"/>
  <c r="CZ1435" i="54"/>
  <c r="CX1435" i="54" s="1"/>
  <c r="DB1435" i="54"/>
  <c r="DC1435" i="54"/>
  <c r="DD1435" i="54" s="1"/>
  <c r="CZ1311" i="54"/>
  <c r="DB1311" i="54"/>
  <c r="DC1311" i="54"/>
  <c r="DD1311" i="54" s="1"/>
  <c r="DB1377" i="54"/>
  <c r="CZ1377" i="54"/>
  <c r="CX1377" i="54" s="1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CX1353" i="54" s="1"/>
  <c r="DC1353" i="54"/>
  <c r="DD1353" i="54" s="1"/>
  <c r="DC1321" i="54"/>
  <c r="DD1321" i="54" s="1"/>
  <c r="DB1321" i="54"/>
  <c r="CZ1321" i="54"/>
  <c r="CX1321" i="54" s="1"/>
  <c r="CZ1198" i="54"/>
  <c r="DB1198" i="54"/>
  <c r="DC1198" i="54"/>
  <c r="DD1198" i="54" s="1"/>
  <c r="DC1383" i="54"/>
  <c r="DD1383" i="54" s="1"/>
  <c r="DB1383" i="54"/>
  <c r="CZ1383" i="54"/>
  <c r="CX1383" i="54" s="1"/>
  <c r="CZ1452" i="54"/>
  <c r="DB1452" i="54"/>
  <c r="DC1452" i="54"/>
  <c r="DD1452" i="54" s="1"/>
  <c r="CZ1257" i="54"/>
  <c r="CX1257" i="54" s="1"/>
  <c r="DC1257" i="54"/>
  <c r="DD1257" i="54" s="1"/>
  <c r="DB1257" i="54"/>
  <c r="DC1434" i="54"/>
  <c r="DD1434" i="54" s="1"/>
  <c r="CZ1434" i="54"/>
  <c r="CX1434" i="54" s="1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DS499" i="54"/>
  <c r="DX499" i="54"/>
  <c r="DS548" i="54"/>
  <c r="DX548" i="54"/>
  <c r="DY534" i="54"/>
  <c r="DS530" i="54"/>
  <c r="DX530" i="54"/>
  <c r="DS512" i="54"/>
  <c r="DX512" i="54"/>
  <c r="DY525" i="54"/>
  <c r="DS485" i="54"/>
  <c r="DX485" i="54"/>
  <c r="DY485" i="54" s="1"/>
  <c r="DS455" i="54"/>
  <c r="DX455" i="54"/>
  <c r="DS562" i="54"/>
  <c r="DX562" i="54"/>
  <c r="DY513" i="54"/>
  <c r="DS468" i="54"/>
  <c r="DX468" i="54"/>
  <c r="DY458" i="54"/>
  <c r="DY550" i="54"/>
  <c r="DS515" i="54"/>
  <c r="DX515" i="54"/>
  <c r="DX272" i="54"/>
  <c r="DS523" i="54"/>
  <c r="DX523" i="54"/>
  <c r="DY523" i="54" s="1"/>
  <c r="DS555" i="54"/>
  <c r="DX555" i="54"/>
  <c r="DY555" i="54" s="1"/>
  <c r="DY499" i="54"/>
  <c r="DS520" i="54"/>
  <c r="DX520" i="54"/>
  <c r="DS543" i="54"/>
  <c r="DX543" i="54"/>
  <c r="DY543" i="54" s="1"/>
  <c r="DY454" i="54"/>
  <c r="DY482" i="54"/>
  <c r="DS460" i="54"/>
  <c r="DX460" i="54"/>
  <c r="DS490" i="54"/>
  <c r="DX490" i="54"/>
  <c r="DS449" i="54"/>
  <c r="DX449" i="54"/>
  <c r="DY449" i="54" s="1"/>
  <c r="DS517" i="54"/>
  <c r="DX517" i="54"/>
  <c r="DY530" i="54"/>
  <c r="DY512" i="54"/>
  <c r="DS537" i="54"/>
  <c r="DX537" i="54"/>
  <c r="DY549" i="54"/>
  <c r="DS456" i="54"/>
  <c r="DX456" i="54"/>
  <c r="DS474" i="54"/>
  <c r="DX474" i="54"/>
  <c r="DY474" i="54" s="1"/>
  <c r="DS461" i="54"/>
  <c r="DX461" i="54"/>
  <c r="DY483" i="54"/>
  <c r="DS484" i="54"/>
  <c r="DX484" i="54"/>
  <c r="DY452" i="54"/>
  <c r="DY471" i="54"/>
  <c r="DS478" i="54"/>
  <c r="DX478" i="54"/>
  <c r="DY478" i="54" s="1"/>
  <c r="DS544" i="54"/>
  <c r="DX544" i="54"/>
  <c r="DY544" i="54" s="1"/>
  <c r="DS560" i="54"/>
  <c r="DX560" i="54"/>
  <c r="DS532" i="54"/>
  <c r="DX532" i="54"/>
  <c r="DS557" i="54"/>
  <c r="DX557" i="54"/>
  <c r="DY557" i="54" s="1"/>
  <c r="DY492" i="54"/>
  <c r="DS535" i="54"/>
  <c r="DX535" i="54"/>
  <c r="DY535" i="54" s="1"/>
  <c r="DS445" i="54"/>
  <c r="DX445" i="54"/>
  <c r="DS476" i="54"/>
  <c r="DX476" i="54"/>
  <c r="DS486" i="54"/>
  <c r="DX486" i="54"/>
  <c r="DS563" i="54"/>
  <c r="DX563" i="54"/>
  <c r="DY521" i="54"/>
  <c r="DS502" i="54"/>
  <c r="DX502" i="54"/>
  <c r="DS545" i="54"/>
  <c r="DX545" i="54"/>
  <c r="DS508" i="54"/>
  <c r="DX508" i="54"/>
  <c r="DY508" i="54" s="1"/>
  <c r="DY528" i="54"/>
  <c r="DS494" i="54"/>
  <c r="DX494" i="54"/>
  <c r="DS501" i="54"/>
  <c r="DX501" i="54"/>
  <c r="DS477" i="54"/>
  <c r="DX477" i="54"/>
  <c r="DY477" i="54" s="1"/>
  <c r="DY457" i="54"/>
  <c r="DY464" i="54"/>
  <c r="DS447" i="54"/>
  <c r="DX447" i="54"/>
  <c r="DB1395" i="54"/>
  <c r="DC1395" i="54"/>
  <c r="DD1395" i="54" s="1"/>
  <c r="CZ1395" i="54"/>
  <c r="CX1395" i="54" s="1"/>
  <c r="CZ1451" i="54"/>
  <c r="CX1451" i="54" s="1"/>
  <c r="DB1451" i="54"/>
  <c r="DC1451" i="54"/>
  <c r="DD1451" i="54" s="1"/>
  <c r="CZ1258" i="54"/>
  <c r="CX1258" i="54" s="1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CX1370" i="54" s="1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CX1316" i="54" s="1"/>
  <c r="DC1346" i="54"/>
  <c r="DD1346" i="54" s="1"/>
  <c r="DB1346" i="54"/>
  <c r="CZ1346" i="54"/>
  <c r="CX1346" i="54" s="1"/>
  <c r="DC1297" i="54"/>
  <c r="DD1297" i="54" s="1"/>
  <c r="DB1297" i="54"/>
  <c r="CZ1297" i="54"/>
  <c r="CX1297" i="54" s="1"/>
  <c r="DB1324" i="54"/>
  <c r="DC1324" i="54"/>
  <c r="DD1324" i="54" s="1"/>
  <c r="CZ1324" i="54"/>
  <c r="DC1338" i="54"/>
  <c r="DD1338" i="54" s="1"/>
  <c r="DB1338" i="54"/>
  <c r="CZ1338" i="54"/>
  <c r="CX1338" i="54" s="1"/>
  <c r="DB1182" i="54"/>
  <c r="DC1182" i="54"/>
  <c r="DD1182" i="54" s="1"/>
  <c r="CZ1182" i="54"/>
  <c r="CX1182" i="54" s="1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CX1237" i="54" s="1"/>
  <c r="DY558" i="54"/>
  <c r="DS552" i="54"/>
  <c r="DX552" i="54"/>
  <c r="DY504" i="54"/>
  <c r="DS526" i="54"/>
  <c r="DX526" i="54"/>
  <c r="DY516" i="54"/>
  <c r="DS479" i="54"/>
  <c r="DX479" i="54"/>
  <c r="DS542" i="54"/>
  <c r="DX542" i="54"/>
  <c r="DY542" i="54" s="1"/>
  <c r="DS553" i="54"/>
  <c r="DX553" i="54"/>
  <c r="DS507" i="54"/>
  <c r="DX507" i="54"/>
  <c r="DY507" i="54" s="1"/>
  <c r="DS518" i="54"/>
  <c r="DX518" i="54"/>
  <c r="DS536" i="54"/>
  <c r="DX536" i="54"/>
  <c r="DY532" i="54"/>
  <c r="DY506" i="54"/>
  <c r="DS462" i="54"/>
  <c r="DX462" i="54"/>
  <c r="DY462" i="54" s="1"/>
  <c r="DY476" i="54"/>
  <c r="DS446" i="54"/>
  <c r="DX446" i="54"/>
  <c r="DY480" i="54"/>
  <c r="DS561" i="54"/>
  <c r="DX561" i="54"/>
  <c r="DY498" i="54"/>
  <c r="DS539" i="54"/>
  <c r="DX539" i="54"/>
  <c r="DS511" i="54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CX1240" i="54" s="1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CX1361" i="54" s="1"/>
  <c r="DB1361" i="54"/>
  <c r="CZ1278" i="54"/>
  <c r="DB1278" i="54"/>
  <c r="DC1278" i="54"/>
  <c r="DD1278" i="54" s="1"/>
  <c r="DC1333" i="54"/>
  <c r="DD1333" i="54" s="1"/>
  <c r="DB1333" i="54"/>
  <c r="CZ1333" i="54"/>
  <c r="CX1333" i="54" s="1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CX1325" i="54" s="1"/>
  <c r="DB1244" i="54"/>
  <c r="DC1244" i="54"/>
  <c r="DD1244" i="54" s="1"/>
  <c r="CZ1244" i="54"/>
  <c r="CX1244" i="54" s="1"/>
  <c r="CZ1267" i="54"/>
  <c r="CX1267" i="54" s="1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CX1419" i="54" s="1"/>
  <c r="DB1419" i="54"/>
  <c r="DC1419" i="54"/>
  <c r="DD1419" i="54" s="1"/>
  <c r="CZ1224" i="54"/>
  <c r="CX1224" i="54" s="1"/>
  <c r="DC1224" i="54"/>
  <c r="DD1224" i="54" s="1"/>
  <c r="DB1224" i="54"/>
  <c r="DB1399" i="54"/>
  <c r="CZ1399" i="54"/>
  <c r="CX1399" i="54" s="1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CX1309" i="54" s="1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CX1343" i="54" s="1"/>
  <c r="DB1328" i="54"/>
  <c r="CZ1328" i="54"/>
  <c r="DC1328" i="54"/>
  <c r="DD1328" i="54" s="1"/>
  <c r="DC1155" i="54"/>
  <c r="DD1155" i="54" s="1"/>
  <c r="CZ1155" i="54"/>
  <c r="CX1155" i="54" s="1"/>
  <c r="DB1155" i="54"/>
  <c r="DC1454" i="54"/>
  <c r="DD1454" i="54" s="1"/>
  <c r="DB1454" i="54"/>
  <c r="CZ1454" i="54"/>
  <c r="DC1359" i="54"/>
  <c r="DD1359" i="54" s="1"/>
  <c r="DB1359" i="54"/>
  <c r="CZ1359" i="54"/>
  <c r="CX1359" i="54" s="1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CX1286" i="54" s="1"/>
  <c r="DB1345" i="54"/>
  <c r="CZ1345" i="54"/>
  <c r="DC1345" i="54"/>
  <c r="DD1345" i="54" s="1"/>
  <c r="CZ1298" i="54"/>
  <c r="CX1298" i="54" s="1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CX1252" i="54" s="1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CX1388" i="54" s="1"/>
  <c r="DC1430" i="54"/>
  <c r="DD1430" i="54" s="1"/>
  <c r="CZ1430" i="54"/>
  <c r="DB1430" i="54"/>
  <c r="DC1242" i="54"/>
  <c r="DD1242" i="54" s="1"/>
  <c r="CZ1242" i="54"/>
  <c r="CX1242" i="54" s="1"/>
  <c r="DB1242" i="54"/>
  <c r="CZ1408" i="54"/>
  <c r="DC1408" i="54"/>
  <c r="DD1408" i="54" s="1"/>
  <c r="DB1408" i="54"/>
  <c r="DC1269" i="54"/>
  <c r="DD1269" i="54" s="1"/>
  <c r="DB1269" i="54"/>
  <c r="CZ1269" i="54"/>
  <c r="CX1269" i="54" s="1"/>
  <c r="DC1277" i="54"/>
  <c r="DD1277" i="54" s="1"/>
  <c r="DB1277" i="54"/>
  <c r="CZ1277" i="54"/>
  <c r="CX1277" i="54" s="1"/>
  <c r="CZ1291" i="54"/>
  <c r="CX1291" i="54" s="1"/>
  <c r="DB1291" i="54"/>
  <c r="DC1291" i="54"/>
  <c r="DD1291" i="54" s="1"/>
  <c r="DC1342" i="54"/>
  <c r="DD1342" i="54" s="1"/>
  <c r="CZ1342" i="54"/>
  <c r="CX1342" i="54" s="1"/>
  <c r="DB1342" i="54"/>
  <c r="DB1306" i="54"/>
  <c r="DC1306" i="54"/>
  <c r="DD1306" i="54" s="1"/>
  <c r="CZ1306" i="54"/>
  <c r="CX1306" i="54" s="1"/>
  <c r="CZ1310" i="54"/>
  <c r="DC1310" i="54"/>
  <c r="DD1310" i="54" s="1"/>
  <c r="DB1310" i="54"/>
  <c r="DB1341" i="54"/>
  <c r="CZ1341" i="54"/>
  <c r="DC1341" i="54"/>
  <c r="DD1341" i="54" s="1"/>
  <c r="DB1266" i="54"/>
  <c r="CZ1266" i="54"/>
  <c r="CX1266" i="54" s="1"/>
  <c r="DC1266" i="54"/>
  <c r="DD1266" i="54" s="1"/>
  <c r="DC1179" i="54"/>
  <c r="DD1179" i="54" s="1"/>
  <c r="DB1179" i="54"/>
  <c r="CZ1179" i="54"/>
  <c r="CX1179" i="54" s="1"/>
  <c r="DB1177" i="54"/>
  <c r="CZ1177" i="54"/>
  <c r="DC1177" i="54"/>
  <c r="DD1177" i="54" s="1"/>
  <c r="CZ1167" i="54"/>
  <c r="CX1167" i="54" s="1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CX1189" i="54" s="1"/>
  <c r="FA531" i="54"/>
  <c r="EZ531" i="54"/>
  <c r="EY531" i="54"/>
  <c r="EX531" i="54"/>
  <c r="FB531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U520" i="54"/>
  <c r="FG495" i="54"/>
  <c r="EW527" i="54"/>
  <c r="ES527" i="54"/>
  <c r="EV527" i="54"/>
  <c r="EU527" i="54"/>
  <c r="ET527" i="54"/>
  <c r="FE516" i="54"/>
  <c r="FD516" i="54"/>
  <c r="FG516" i="54"/>
  <c r="FC516" i="54"/>
  <c r="FF516" i="54"/>
  <c r="EL505" i="54"/>
  <c r="FA505" i="54"/>
  <c r="EK505" i="54"/>
  <c r="EJ505" i="54"/>
  <c r="EM505" i="54"/>
  <c r="EI505" i="54"/>
  <c r="FB482" i="54"/>
  <c r="EX482" i="54"/>
  <c r="FA482" i="54"/>
  <c r="EZ482" i="54"/>
  <c r="EY482" i="54"/>
  <c r="EZ460" i="54"/>
  <c r="EY460" i="54"/>
  <c r="FB460" i="54"/>
  <c r="EX460" i="54"/>
  <c r="FA460" i="54"/>
  <c r="FB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CX1248" i="54" s="1"/>
  <c r="DB1248" i="54"/>
  <c r="DC1248" i="54"/>
  <c r="DD1248" i="54" s="1"/>
  <c r="DC1363" i="54"/>
  <c r="DD1363" i="54" s="1"/>
  <c r="CZ1363" i="54"/>
  <c r="CX1363" i="54" s="1"/>
  <c r="DB1363" i="54"/>
  <c r="CZ1381" i="54"/>
  <c r="DC1381" i="54"/>
  <c r="DD1381" i="54" s="1"/>
  <c r="DB1381" i="54"/>
  <c r="DB1433" i="54"/>
  <c r="DC1433" i="54"/>
  <c r="DD1433" i="54" s="1"/>
  <c r="CZ1433" i="54"/>
  <c r="CX1433" i="54" s="1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CX1398" i="54" s="1"/>
  <c r="DC1417" i="54"/>
  <c r="DD1417" i="54" s="1"/>
  <c r="DB1417" i="54"/>
  <c r="CZ1417" i="54"/>
  <c r="CX1417" i="54" s="1"/>
  <c r="CZ1455" i="54"/>
  <c r="CX1455" i="54" s="1"/>
  <c r="DB1455" i="54"/>
  <c r="DC1455" i="54"/>
  <c r="DD1455" i="54" s="1"/>
  <c r="CZ1279" i="54"/>
  <c r="CX1279" i="54" s="1"/>
  <c r="DC1279" i="54"/>
  <c r="DD1279" i="54" s="1"/>
  <c r="DB1279" i="54"/>
  <c r="DB1312" i="54"/>
  <c r="DC1312" i="54"/>
  <c r="DD1312" i="54" s="1"/>
  <c r="CZ1312" i="54"/>
  <c r="CX1312" i="54" s="1"/>
  <c r="DC1249" i="54"/>
  <c r="DD1249" i="54" s="1"/>
  <c r="CZ1249" i="54"/>
  <c r="DB1249" i="54"/>
  <c r="CZ1319" i="54"/>
  <c r="CX1319" i="54" s="1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CX1270" i="54" s="1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CX1406" i="54" s="1"/>
  <c r="DC1406" i="54"/>
  <c r="DD1406" i="54" s="1"/>
  <c r="DC1421" i="54"/>
  <c r="DD1421" i="54" s="1"/>
  <c r="DB1421" i="54"/>
  <c r="CZ1421" i="54"/>
  <c r="CX1421" i="54" s="1"/>
  <c r="DC1385" i="54"/>
  <c r="DD1385" i="54" s="1"/>
  <c r="CZ1385" i="54"/>
  <c r="CX1385" i="54" s="1"/>
  <c r="DB1385" i="54"/>
  <c r="DB1428" i="54"/>
  <c r="DC1428" i="54"/>
  <c r="DD1428" i="54" s="1"/>
  <c r="CZ1428" i="54"/>
  <c r="CX1428" i="54" s="1"/>
  <c r="CZ1226" i="54"/>
  <c r="DB1226" i="54"/>
  <c r="DC1226" i="54"/>
  <c r="DD1226" i="54" s="1"/>
  <c r="CZ1238" i="54"/>
  <c r="CX1238" i="54" s="1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CX1290" i="54" s="1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DC1410" i="54"/>
  <c r="DD1410" i="54" s="1"/>
  <c r="CZ1217" i="54"/>
  <c r="DC1217" i="54"/>
  <c r="DD1217" i="54" s="1"/>
  <c r="DB1217" i="54"/>
  <c r="DC1235" i="54"/>
  <c r="DD1235" i="54" s="1"/>
  <c r="CZ1235" i="54"/>
  <c r="DB1235" i="54"/>
  <c r="CZ1422" i="54"/>
  <c r="CX1422" i="54" s="1"/>
  <c r="DC1422" i="54"/>
  <c r="DD1422" i="54" s="1"/>
  <c r="DB1422" i="54"/>
  <c r="DB1364" i="54"/>
  <c r="DC1364" i="54"/>
  <c r="DD1364" i="54" s="1"/>
  <c r="CZ1364" i="54"/>
  <c r="CZ1413" i="54"/>
  <c r="DB1413" i="54"/>
  <c r="DC1413" i="54"/>
  <c r="DD1413" i="54" s="1"/>
  <c r="DB1447" i="54"/>
  <c r="CZ1447" i="54"/>
  <c r="DC1447" i="54"/>
  <c r="DD1447" i="54" s="1"/>
  <c r="CZ1229" i="54"/>
  <c r="CX1229" i="54" s="1"/>
  <c r="DC1229" i="54"/>
  <c r="DD1229" i="54" s="1"/>
  <c r="DB1229" i="54"/>
  <c r="CZ1356" i="54"/>
  <c r="DB1356" i="54"/>
  <c r="DC1356" i="54"/>
  <c r="DD1356" i="54" s="1"/>
  <c r="DB1445" i="54"/>
  <c r="CZ1445" i="54"/>
  <c r="CX1445" i="54" s="1"/>
  <c r="DC1445" i="54"/>
  <c r="DD1445" i="54" s="1"/>
  <c r="CZ1357" i="54"/>
  <c r="DB1357" i="54"/>
  <c r="DC1357" i="54"/>
  <c r="DD1357" i="54" s="1"/>
  <c r="CZ1315" i="54"/>
  <c r="CX1315" i="54" s="1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CX1163" i="54" s="1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CX1409" i="54" s="1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X1329" i="54" s="1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CX1369" i="54" s="1"/>
  <c r="DB1369" i="54"/>
  <c r="DC1369" i="54"/>
  <c r="DD1369" i="54" s="1"/>
  <c r="CZ1423" i="54"/>
  <c r="DB1423" i="54"/>
  <c r="DC1423" i="54"/>
  <c r="DD1423" i="54" s="1"/>
  <c r="DB1443" i="54"/>
  <c r="CZ1443" i="54"/>
  <c r="CX1443" i="54" s="1"/>
  <c r="DC1443" i="54"/>
  <c r="DD1443" i="54" s="1"/>
  <c r="CZ1250" i="54"/>
  <c r="DC1250" i="54"/>
  <c r="DD1250" i="54" s="1"/>
  <c r="DB1250" i="54"/>
  <c r="CZ1220" i="54"/>
  <c r="CX1220" i="54" s="1"/>
  <c r="DC1220" i="54"/>
  <c r="DD1220" i="54" s="1"/>
  <c r="DB1220" i="54"/>
  <c r="CZ1411" i="54"/>
  <c r="DB1411" i="54"/>
  <c r="DC1411" i="54"/>
  <c r="DD1411" i="54" s="1"/>
  <c r="DB1438" i="54"/>
  <c r="CZ1438" i="54"/>
  <c r="CX1438" i="54" s="1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CX1264" i="54" s="1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CX1174" i="54" s="1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CX1221" i="54" s="1"/>
  <c r="DB1405" i="54"/>
  <c r="DC1405" i="54"/>
  <c r="DD1405" i="54" s="1"/>
  <c r="CZ1405" i="54"/>
  <c r="DC1378" i="54"/>
  <c r="DD1378" i="54" s="1"/>
  <c r="CZ1378" i="54"/>
  <c r="CX1378" i="54" s="1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CX1459" i="54" s="1"/>
  <c r="DB1459" i="54"/>
  <c r="DB1262" i="54"/>
  <c r="CZ1262" i="54"/>
  <c r="DC1262" i="54"/>
  <c r="DD1262" i="54" s="1"/>
  <c r="DB1303" i="54"/>
  <c r="CZ1303" i="54"/>
  <c r="CX1303" i="54" s="1"/>
  <c r="DC1303" i="54"/>
  <c r="DD1303" i="54" s="1"/>
  <c r="DB1336" i="54"/>
  <c r="DC1336" i="54"/>
  <c r="DD1336" i="54" s="1"/>
  <c r="CZ1336" i="54"/>
  <c r="CX1336" i="54" s="1"/>
  <c r="CZ1285" i="54"/>
  <c r="CX1285" i="54" s="1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CX1199" i="54" s="1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FA526" i="54"/>
  <c r="EW499" i="54"/>
  <c r="ES499" i="54"/>
  <c r="EV499" i="54"/>
  <c r="EU499" i="54"/>
  <c r="ET499" i="54"/>
  <c r="FA548" i="54"/>
  <c r="EZ548" i="54"/>
  <c r="EY548" i="54"/>
  <c r="FB548" i="54"/>
  <c r="EX548" i="54"/>
  <c r="FA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EV454" i="54"/>
  <c r="EU454" i="54"/>
  <c r="ET454" i="54"/>
  <c r="EW454" i="54"/>
  <c r="ES454" i="54"/>
  <c r="FF482" i="54"/>
  <c r="FE482" i="54"/>
  <c r="FD482" i="54"/>
  <c r="FG482" i="54"/>
  <c r="FC482" i="54"/>
  <c r="EU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X1444" i="54" s="1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CX1171" i="54" s="1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CX1382" i="54" s="1"/>
  <c r="DC1382" i="54"/>
  <c r="DD1382" i="54" s="1"/>
  <c r="DB1382" i="54"/>
  <c r="DC1400" i="54"/>
  <c r="DD1400" i="54" s="1"/>
  <c r="CZ1400" i="54"/>
  <c r="CX1400" i="54" s="1"/>
  <c r="DB1400" i="54"/>
  <c r="DB1420" i="54"/>
  <c r="DC1420" i="54"/>
  <c r="DD1420" i="54" s="1"/>
  <c r="CZ1420" i="54"/>
  <c r="CX1420" i="54" s="1"/>
  <c r="CZ1431" i="54"/>
  <c r="CX1431" i="54" s="1"/>
  <c r="DB1431" i="54"/>
  <c r="DC1431" i="54"/>
  <c r="DD1431" i="54" s="1"/>
  <c r="CZ1307" i="54"/>
  <c r="CX1307" i="54" s="1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X1292" i="54" s="1"/>
  <c r="CZ1331" i="54"/>
  <c r="CX1331" i="54" s="1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CX1424" i="54" s="1"/>
  <c r="DC1265" i="54"/>
  <c r="DD1265" i="54" s="1"/>
  <c r="DB1265" i="54"/>
  <c r="CZ1265" i="54"/>
  <c r="CX1265" i="54" s="1"/>
  <c r="CZ1394" i="54"/>
  <c r="CX1394" i="54" s="1"/>
  <c r="DC1394" i="54"/>
  <c r="DD1394" i="54" s="1"/>
  <c r="DB1394" i="54"/>
  <c r="CZ1158" i="54"/>
  <c r="CX1158" i="54" s="1"/>
  <c r="DC1158" i="54"/>
  <c r="DD1158" i="54" s="1"/>
  <c r="DB1158" i="54"/>
  <c r="CZ1206" i="54"/>
  <c r="DB1206" i="54"/>
  <c r="DC1206" i="54"/>
  <c r="DD1206" i="54" s="1"/>
  <c r="CZ1426" i="54"/>
  <c r="CX1426" i="54" s="1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CX1453" i="54" s="1"/>
  <c r="DC1453" i="54"/>
  <c r="DD1453" i="54" s="1"/>
  <c r="DB1440" i="54"/>
  <c r="DC1440" i="54"/>
  <c r="DD1440" i="54" s="1"/>
  <c r="CZ1440" i="54"/>
  <c r="CX1440" i="54" s="1"/>
  <c r="DB1425" i="54"/>
  <c r="CZ1425" i="54"/>
  <c r="DC1425" i="54"/>
  <c r="DD1425" i="54" s="1"/>
  <c r="DC1223" i="54"/>
  <c r="DD1223" i="54" s="1"/>
  <c r="CZ1223" i="54"/>
  <c r="CX1223" i="54" s="1"/>
  <c r="DB1223" i="54"/>
  <c r="DB1239" i="54"/>
  <c r="CZ1239" i="54"/>
  <c r="CX1239" i="54" s="1"/>
  <c r="DC1239" i="54"/>
  <c r="DD1239" i="54" s="1"/>
  <c r="DB1308" i="54"/>
  <c r="DC1308" i="54"/>
  <c r="DD1308" i="54" s="1"/>
  <c r="CZ1308" i="54"/>
  <c r="CX1308" i="54" s="1"/>
  <c r="DC1284" i="54"/>
  <c r="DD1284" i="54" s="1"/>
  <c r="CZ1284" i="54"/>
  <c r="CX1284" i="54" s="1"/>
  <c r="DB1284" i="54"/>
  <c r="DC1294" i="54"/>
  <c r="DD1294" i="54" s="1"/>
  <c r="CZ1294" i="54"/>
  <c r="CX1294" i="54" s="1"/>
  <c r="DB1294" i="54"/>
  <c r="DC1322" i="54"/>
  <c r="DD1322" i="54" s="1"/>
  <c r="DB1322" i="54"/>
  <c r="CZ1322" i="54"/>
  <c r="DC1263" i="54"/>
  <c r="DD1263" i="54" s="1"/>
  <c r="DB1263" i="54"/>
  <c r="CZ1263" i="54"/>
  <c r="CX1263" i="54" s="1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X1195" i="54" s="1"/>
  <c r="CZ1160" i="54"/>
  <c r="DC1160" i="54"/>
  <c r="DD1160" i="54" s="1"/>
  <c r="DB1160" i="54"/>
  <c r="CZ1208" i="54"/>
  <c r="CX1208" i="54" s="1"/>
  <c r="DB1208" i="54"/>
  <c r="DC1208" i="54"/>
  <c r="DD1208" i="54" s="1"/>
  <c r="DC1183" i="54"/>
  <c r="DD1183" i="54" s="1"/>
  <c r="CZ1183" i="54"/>
  <c r="CX1183" i="54" s="1"/>
  <c r="DB1183" i="54"/>
  <c r="CZ1193" i="54"/>
  <c r="DB1193" i="54"/>
  <c r="DC1193" i="54"/>
  <c r="DD1193" i="54" s="1"/>
  <c r="DB1212" i="54"/>
  <c r="DC1212" i="54"/>
  <c r="DD1212" i="54" s="1"/>
  <c r="CZ1212" i="54"/>
  <c r="CX1212" i="54" s="1"/>
  <c r="CZ1161" i="54"/>
  <c r="CX1161" i="54" s="1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EX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C518" i="54"/>
  <c r="FB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A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CX1159" i="54" s="1"/>
  <c r="DC1168" i="54"/>
  <c r="DD1168" i="54" s="1"/>
  <c r="DB1168" i="54"/>
  <c r="CZ1168" i="54"/>
  <c r="DB1157" i="54"/>
  <c r="CZ1157" i="54"/>
  <c r="CX1157" i="54" s="1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S468" i="54"/>
  <c r="FB446" i="54"/>
  <c r="EX446" i="54"/>
  <c r="FA446" i="54"/>
  <c r="EZ446" i="54"/>
  <c r="EY446" i="54"/>
  <c r="EV458" i="54"/>
  <c r="EU458" i="54"/>
  <c r="ET458" i="54"/>
  <c r="ES458" i="54"/>
  <c r="EW458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CX1176" i="54" s="1"/>
  <c r="DB1282" i="54"/>
  <c r="CZ1282" i="54"/>
  <c r="DC1282" i="54"/>
  <c r="DD1282" i="54" s="1"/>
  <c r="DB1368" i="54"/>
  <c r="DC1368" i="54"/>
  <c r="DD1368" i="54" s="1"/>
  <c r="CZ1368" i="54"/>
  <c r="CX1368" i="54" s="1"/>
  <c r="DC1196" i="54"/>
  <c r="DD1196" i="54" s="1"/>
  <c r="DB1196" i="54"/>
  <c r="CZ1196" i="54"/>
  <c r="CX1196" i="54" s="1"/>
  <c r="FE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C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U546" i="54"/>
  <c r="FE515" i="54"/>
  <c r="EZ556" i="54"/>
  <c r="EY556" i="54"/>
  <c r="FB556" i="54"/>
  <c r="EX556" i="54"/>
  <c r="FA556" i="54"/>
  <c r="EZ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T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CX1188" i="54" s="1"/>
  <c r="DB1188" i="54"/>
  <c r="EV558" i="54"/>
  <c r="EU558" i="54"/>
  <c r="ET558" i="54"/>
  <c r="ES558" i="54"/>
  <c r="EW558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U526" i="54"/>
  <c r="FD564" i="54"/>
  <c r="FG564" i="54"/>
  <c r="FC564" i="54"/>
  <c r="FF564" i="54"/>
  <c r="FE564" i="54"/>
  <c r="EW548" i="54"/>
  <c r="ES548" i="54"/>
  <c r="EV548" i="54"/>
  <c r="EU548" i="54"/>
  <c r="ET548" i="54"/>
  <c r="FA527" i="54"/>
  <c r="EZ527" i="54"/>
  <c r="EY527" i="54"/>
  <c r="FB527" i="54"/>
  <c r="EX527" i="54"/>
  <c r="EW543" i="54"/>
  <c r="ES543" i="54"/>
  <c r="EV543" i="54"/>
  <c r="EU543" i="54"/>
  <c r="ET543" i="54"/>
  <c r="EH505" i="54"/>
  <c r="ED505" i="54"/>
  <c r="EG505" i="54"/>
  <c r="EF505" i="54"/>
  <c r="EE505" i="54"/>
  <c r="FB470" i="54"/>
  <c r="FD454" i="54"/>
  <c r="FG454" i="54"/>
  <c r="FC454" i="54"/>
  <c r="FF454" i="54"/>
  <c r="FE454" i="54"/>
  <c r="FD460" i="54"/>
  <c r="FG460" i="54"/>
  <c r="FC460" i="54"/>
  <c r="FF460" i="54"/>
  <c r="FE460" i="54"/>
  <c r="FG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CX1170" i="54" s="1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D553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FB518" i="54"/>
  <c r="EW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V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CX1213" i="54" s="1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ET445" i="54"/>
  <c r="EH445" i="54"/>
  <c r="ED445" i="54"/>
  <c r="ES445" i="54"/>
  <c r="EG445" i="54"/>
  <c r="EE445" i="54"/>
  <c r="EF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EZ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E546" i="54"/>
  <c r="FG494" i="54"/>
  <c r="FC494" i="54"/>
  <c r="FF494" i="54"/>
  <c r="FE494" i="54"/>
  <c r="FD494" i="54"/>
  <c r="FD556" i="54"/>
  <c r="FG556" i="54"/>
  <c r="FC556" i="54"/>
  <c r="FF556" i="54"/>
  <c r="FE556" i="54"/>
  <c r="FG539" i="54"/>
  <c r="FD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X1317" i="54" s="1"/>
  <c r="CZ1197" i="54"/>
  <c r="CX1197" i="54" s="1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EV525" i="54"/>
  <c r="EF525" i="54"/>
  <c r="EU525" i="54"/>
  <c r="EE525" i="54"/>
  <c r="ET525" i="54"/>
  <c r="EH525" i="54"/>
  <c r="ED525" i="54"/>
  <c r="EW525" i="54"/>
  <c r="EG525" i="54"/>
  <c r="ES525" i="54"/>
  <c r="EY549" i="54"/>
  <c r="FB549" i="54"/>
  <c r="EX549" i="54"/>
  <c r="FA549" i="54"/>
  <c r="EZ549" i="54"/>
  <c r="ES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CX1169" i="54" s="1"/>
  <c r="DB1191" i="54"/>
  <c r="DC1191" i="54"/>
  <c r="DD1191" i="54" s="1"/>
  <c r="CZ1191" i="54"/>
  <c r="DC1418" i="54"/>
  <c r="DD1418" i="54" s="1"/>
  <c r="CZ1418" i="54"/>
  <c r="CX1418" i="54" s="1"/>
  <c r="DB1418" i="54"/>
  <c r="DB1164" i="54"/>
  <c r="DC1164" i="54"/>
  <c r="DD1164" i="54" s="1"/>
  <c r="CZ1164" i="54"/>
  <c r="CX1164" i="54" s="1"/>
  <c r="FD562" i="54"/>
  <c r="FG562" i="54"/>
  <c r="FC562" i="54"/>
  <c r="FF562" i="54"/>
  <c r="FE562" i="54"/>
  <c r="EU544" i="54"/>
  <c r="ET544" i="54"/>
  <c r="EW544" i="54"/>
  <c r="ES544" i="54"/>
  <c r="EV544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EP445" i="54"/>
  <c r="EO445" i="54"/>
  <c r="FG445" i="54"/>
  <c r="ER445" i="54"/>
  <c r="EQ445" i="54"/>
  <c r="EN445" i="54"/>
  <c r="ET476" i="54"/>
  <c r="EW476" i="54"/>
  <c r="ES476" i="54"/>
  <c r="EV476" i="54"/>
  <c r="EU476" i="54"/>
  <c r="FD468" i="54"/>
  <c r="EZ486" i="54"/>
  <c r="FF446" i="54"/>
  <c r="FE446" i="54"/>
  <c r="FD446" i="54"/>
  <c r="FC446" i="54"/>
  <c r="FG446" i="54"/>
  <c r="ES488" i="54"/>
  <c r="FF453" i="54"/>
  <c r="FE453" i="54"/>
  <c r="FD453" i="54"/>
  <c r="FC453" i="54"/>
  <c r="FG453" i="54"/>
  <c r="CZ1200" i="54"/>
  <c r="DB1200" i="54"/>
  <c r="DC1200" i="54"/>
  <c r="DD1200" i="54" s="1"/>
  <c r="CZ1178" i="54"/>
  <c r="DB1178" i="54"/>
  <c r="DC1178" i="54"/>
  <c r="DD1178" i="54" s="1"/>
  <c r="FA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S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F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G526" i="54"/>
  <c r="FC526" i="54"/>
  <c r="FF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E543" i="54"/>
  <c r="FD543" i="54"/>
  <c r="FG543" i="54"/>
  <c r="FC543" i="54"/>
  <c r="FF543" i="54"/>
  <c r="FA516" i="54"/>
  <c r="EZ516" i="54"/>
  <c r="EY516" i="54"/>
  <c r="EX516" i="54"/>
  <c r="FB516" i="54"/>
  <c r="EP505" i="54"/>
  <c r="EO505" i="54"/>
  <c r="ER505" i="54"/>
  <c r="EN505" i="54"/>
  <c r="EQ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T510" i="54"/>
  <c r="EU507" i="54"/>
  <c r="ET507" i="54"/>
  <c r="EW507" i="54"/>
  <c r="ES507" i="54"/>
  <c r="EV507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CX1192" i="54" s="1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S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C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CX1205" i="54" s="1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DS76" i="54"/>
  <c r="DX117" i="54"/>
  <c r="DS117" i="54"/>
  <c r="DS167" i="54"/>
  <c r="DS214" i="54"/>
  <c r="DS310" i="54"/>
  <c r="DS345" i="54"/>
  <c r="DS11" i="54"/>
  <c r="DS83" i="54"/>
  <c r="DX42" i="54"/>
  <c r="DS42" i="54"/>
  <c r="DX144" i="54"/>
  <c r="DX137" i="54"/>
  <c r="DS137" i="54"/>
  <c r="DX153" i="54"/>
  <c r="DX210" i="54"/>
  <c r="DS210" i="54"/>
  <c r="DS217" i="54"/>
  <c r="DS244" i="54"/>
  <c r="DS282" i="54"/>
  <c r="DX341" i="54"/>
  <c r="DS341" i="54"/>
  <c r="DX359" i="54"/>
  <c r="DX368" i="54"/>
  <c r="DS368" i="54"/>
  <c r="DX54" i="54"/>
  <c r="DS50" i="54"/>
  <c r="DX116" i="54"/>
  <c r="FG116" i="54" s="1"/>
  <c r="DX115" i="54"/>
  <c r="DS115" i="54"/>
  <c r="DX223" i="54"/>
  <c r="FC223" i="54" s="1"/>
  <c r="DX293" i="54"/>
  <c r="DS293" i="54"/>
  <c r="DS390" i="54"/>
  <c r="DS422" i="54"/>
  <c r="DX324" i="54"/>
  <c r="DS324" i="54"/>
  <c r="DX404" i="54"/>
  <c r="DS20" i="54"/>
  <c r="DX41" i="54"/>
  <c r="DS41" i="54"/>
  <c r="DX78" i="54"/>
  <c r="DS101" i="54"/>
  <c r="DS129" i="54"/>
  <c r="DX243" i="54"/>
  <c r="DS444" i="54"/>
  <c r="DS344" i="54"/>
  <c r="DS440" i="54"/>
  <c r="DS442" i="54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DS63" i="54"/>
  <c r="DX310" i="54"/>
  <c r="DX139" i="54"/>
  <c r="DX199" i="54"/>
  <c r="DS168" i="54"/>
  <c r="DX278" i="54"/>
  <c r="DS278" i="54"/>
  <c r="DS327" i="54"/>
  <c r="DS44" i="54"/>
  <c r="DX30" i="54"/>
  <c r="DS30" i="54"/>
  <c r="DS32" i="54"/>
  <c r="DX66" i="54"/>
  <c r="DS77" i="54"/>
  <c r="DX109" i="54"/>
  <c r="DS109" i="54"/>
  <c r="DS90" i="54"/>
  <c r="DS203" i="54"/>
  <c r="DS189" i="54"/>
  <c r="DX176" i="54"/>
  <c r="DS176" i="54"/>
  <c r="DX196" i="54"/>
  <c r="DS196" i="54"/>
  <c r="DS234" i="54"/>
  <c r="DX289" i="54"/>
  <c r="DX389" i="54"/>
  <c r="DS389" i="54"/>
  <c r="DS437" i="54"/>
  <c r="DX47" i="54"/>
  <c r="DS47" i="54"/>
  <c r="DX86" i="54"/>
  <c r="DS86" i="54"/>
  <c r="DX87" i="54"/>
  <c r="DX138" i="54"/>
  <c r="DS138" i="54"/>
  <c r="DX175" i="54"/>
  <c r="DX201" i="54"/>
  <c r="FB201" i="54" s="1"/>
  <c r="DS201" i="54"/>
  <c r="DS204" i="54"/>
  <c r="DS325" i="54"/>
  <c r="DS315" i="54"/>
  <c r="DX366" i="54"/>
  <c r="DS366" i="54"/>
  <c r="DX441" i="54"/>
  <c r="DS441" i="54"/>
  <c r="DX363" i="54"/>
  <c r="DS363" i="54"/>
  <c r="DS431" i="54"/>
  <c r="DS434" i="54"/>
  <c r="DX51" i="54"/>
  <c r="DX28" i="54"/>
  <c r="DS28" i="54"/>
  <c r="DS55" i="54"/>
  <c r="DX69" i="54"/>
  <c r="DX85" i="54"/>
  <c r="FD85" i="54" s="1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DS7" i="54"/>
  <c r="DS18" i="54"/>
  <c r="DS190" i="54"/>
  <c r="DS6" i="54"/>
  <c r="DS140" i="54"/>
  <c r="DS229" i="54"/>
  <c r="DS263" i="54"/>
  <c r="DX294" i="54"/>
  <c r="DS294" i="54"/>
  <c r="DS439" i="54"/>
  <c r="DX27" i="54"/>
  <c r="DS27" i="54"/>
  <c r="DX43" i="54"/>
  <c r="DS43" i="54"/>
  <c r="DX70" i="54"/>
  <c r="DS70" i="54"/>
  <c r="DX121" i="54"/>
  <c r="DS121" i="54"/>
  <c r="DS164" i="54"/>
  <c r="DS320" i="54"/>
  <c r="DS443" i="54"/>
  <c r="DX38" i="54"/>
  <c r="DS38" i="54"/>
  <c r="DS33" i="54"/>
  <c r="DS10" i="54"/>
  <c r="DS100" i="54"/>
  <c r="DS71" i="54"/>
  <c r="DS74" i="54"/>
  <c r="DX132" i="54"/>
  <c r="DS132" i="54"/>
  <c r="DX122" i="54"/>
  <c r="DS107" i="54"/>
  <c r="DX182" i="54"/>
  <c r="DS182" i="54"/>
  <c r="DS207" i="54"/>
  <c r="DS197" i="54"/>
  <c r="DX184" i="54"/>
  <c r="DS184" i="54"/>
  <c r="DS169" i="54"/>
  <c r="DX172" i="54"/>
  <c r="DS172" i="54"/>
  <c r="DS360" i="54"/>
  <c r="DX388" i="54"/>
  <c r="DS35" i="54"/>
  <c r="DX58" i="54"/>
  <c r="DS88" i="54"/>
  <c r="DX95" i="54"/>
  <c r="DS95" i="54"/>
  <c r="DS135" i="54"/>
  <c r="DS126" i="54"/>
  <c r="DX202" i="54"/>
  <c r="EU202" i="54" s="1"/>
  <c r="DS202" i="54"/>
  <c r="DX211" i="54"/>
  <c r="DS205" i="54"/>
  <c r="DS212" i="54"/>
  <c r="DS242" i="54"/>
  <c r="DX274" i="54"/>
  <c r="DS274" i="54"/>
  <c r="DX276" i="54"/>
  <c r="DS276" i="54"/>
  <c r="DS296" i="54"/>
  <c r="DS256" i="54"/>
  <c r="DX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DS52" i="54"/>
  <c r="DS123" i="54"/>
  <c r="DS92" i="54"/>
  <c r="DX89" i="54"/>
  <c r="DS89" i="54"/>
  <c r="DX149" i="54"/>
  <c r="DS206" i="54"/>
  <c r="DS213" i="54"/>
  <c r="DX224" i="54"/>
  <c r="DX231" i="54"/>
  <c r="DS231" i="54"/>
  <c r="DX230" i="54"/>
  <c r="DX262" i="54"/>
  <c r="DS262" i="54"/>
  <c r="DX284" i="54"/>
  <c r="DX307" i="54"/>
  <c r="DS307" i="54"/>
  <c r="DS264" i="54"/>
  <c r="DX358" i="54"/>
  <c r="DS358" i="54"/>
  <c r="DX433" i="54"/>
  <c r="DS433" i="54"/>
  <c r="DX412" i="54"/>
  <c r="DS412" i="54"/>
  <c r="DX21" i="54"/>
  <c r="DS21" i="54"/>
  <c r="DX80" i="54"/>
  <c r="DS80" i="54"/>
  <c r="DX111" i="54"/>
  <c r="DS111" i="54"/>
  <c r="DX178" i="54"/>
  <c r="DS187" i="54"/>
  <c r="DX218" i="54"/>
  <c r="DS218" i="54"/>
  <c r="DX304" i="54"/>
  <c r="DS304" i="54"/>
  <c r="DX271" i="54"/>
  <c r="DS295" i="54"/>
  <c r="DS362" i="54"/>
  <c r="DS438" i="54"/>
  <c r="DX329" i="54"/>
  <c r="DS373" i="54"/>
  <c r="DX416" i="54"/>
  <c r="DS336" i="54"/>
  <c r="DX59" i="54"/>
  <c r="DS141" i="54"/>
  <c r="DS158" i="54"/>
  <c r="DX237" i="54"/>
  <c r="DS237" i="54"/>
  <c r="DS269" i="54"/>
  <c r="DX222" i="54"/>
  <c r="DS222" i="54"/>
  <c r="DX343" i="54"/>
  <c r="FD343" i="54" s="1"/>
  <c r="DX425" i="54"/>
  <c r="DS425" i="54"/>
  <c r="DX420" i="54"/>
  <c r="DS420" i="54"/>
  <c r="DX383" i="54"/>
  <c r="DS383" i="54"/>
  <c r="DS36" i="54"/>
  <c r="DX34" i="54"/>
  <c r="DX136" i="54"/>
  <c r="DS136" i="54"/>
  <c r="DS154" i="54"/>
  <c r="DX306" i="54"/>
  <c r="DS306" i="54"/>
  <c r="DX339" i="54"/>
  <c r="DS426" i="54"/>
  <c r="DS328" i="54"/>
  <c r="DS408" i="54"/>
  <c r="CL531" i="54"/>
  <c r="CN531" i="54"/>
  <c r="CP531" i="54"/>
  <c r="CN564" i="54"/>
  <c r="CL564" i="54"/>
  <c r="CP564" i="54"/>
  <c r="CN449" i="54"/>
  <c r="CP449" i="54"/>
  <c r="CL449" i="54"/>
  <c r="DS23" i="54"/>
  <c r="DS40" i="54"/>
  <c r="DS277" i="54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DS209" i="54"/>
  <c r="DS297" i="54"/>
  <c r="DS255" i="54"/>
  <c r="DS378" i="54"/>
  <c r="DS429" i="54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DS481" i="54"/>
  <c r="AY345" i="54"/>
  <c r="AO345" i="54"/>
  <c r="AT345" i="54"/>
  <c r="AK347" i="54"/>
  <c r="AK350" i="54"/>
  <c r="AK354" i="54"/>
  <c r="DS559" i="54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DS225" i="54"/>
  <c r="DS147" i="54"/>
  <c r="DS290" i="54"/>
  <c r="DS381" i="54"/>
  <c r="DS387" i="54"/>
  <c r="DY438" i="54"/>
  <c r="DX39" i="54"/>
  <c r="DY390" i="54"/>
  <c r="DS289" i="54"/>
  <c r="DS116" i="54"/>
  <c r="DY408" i="54"/>
  <c r="DS271" i="54"/>
  <c r="DS223" i="54"/>
  <c r="DS78" i="54"/>
  <c r="DS178" i="54"/>
  <c r="DS416" i="54"/>
  <c r="DS85" i="54"/>
  <c r="DS243" i="54"/>
  <c r="DS322" i="54"/>
  <c r="DS5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DY303" i="54" s="1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Y213" i="54" s="1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CP111" i="54"/>
  <c r="CL111" i="54"/>
  <c r="CN111" i="54"/>
  <c r="DW111" i="54"/>
  <c r="CL127" i="54"/>
  <c r="CN127" i="54"/>
  <c r="CP127" i="54"/>
  <c r="CP99" i="54"/>
  <c r="CN99" i="54"/>
  <c r="CL99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EW267" i="54" s="1"/>
  <c r="DS347" i="54"/>
  <c r="DX347" i="54"/>
  <c r="DY347" i="54" s="1"/>
  <c r="DS151" i="54"/>
  <c r="DX151" i="54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EZ338" i="54" s="1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204" i="54"/>
  <c r="DW100" i="54"/>
  <c r="DW108" i="54"/>
  <c r="DY232" i="54"/>
  <c r="DW342" i="54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F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G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F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U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F184" i="54"/>
  <c r="ET210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ES164" i="54"/>
  <c r="ET164" i="54"/>
  <c r="EU164" i="54"/>
  <c r="EV164" i="54"/>
  <c r="EW164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V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T214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T182" i="54"/>
  <c r="FC349" i="54"/>
  <c r="FD349" i="54"/>
  <c r="FE349" i="54"/>
  <c r="FF349" i="54"/>
  <c r="FG349" i="54"/>
  <c r="FG355" i="54"/>
  <c r="FD355" i="54"/>
  <c r="FE355" i="54"/>
  <c r="FC355" i="54"/>
  <c r="FF355" i="54"/>
  <c r="FC363" i="54"/>
  <c r="FD363" i="54"/>
  <c r="FG363" i="54"/>
  <c r="FE363" i="54"/>
  <c r="FF363" i="54"/>
  <c r="FE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EZ59" i="54"/>
  <c r="EU135" i="54"/>
  <c r="EV135" i="54"/>
  <c r="EW135" i="54"/>
  <c r="ET135" i="54"/>
  <c r="ES135" i="54"/>
  <c r="EZ315" i="54"/>
  <c r="FA315" i="54"/>
  <c r="FB315" i="54"/>
  <c r="EY315" i="54"/>
  <c r="EX315" i="54"/>
  <c r="FA329" i="54"/>
  <c r="FB329" i="54"/>
  <c r="EX329" i="54"/>
  <c r="EY329" i="54"/>
  <c r="EZ329" i="54"/>
  <c r="FF42" i="54"/>
  <c r="EY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A428" i="54" s="1"/>
  <c r="DS26" i="54"/>
  <c r="DX26" i="54"/>
  <c r="EU26" i="54" s="1"/>
  <c r="DS45" i="54"/>
  <c r="DX45" i="54"/>
  <c r="FC45" i="54" s="1"/>
  <c r="DS165" i="54"/>
  <c r="DX165" i="54"/>
  <c r="DS31" i="54"/>
  <c r="DX31" i="54"/>
  <c r="DS67" i="54"/>
  <c r="DX67" i="54"/>
  <c r="FA67" i="54" s="1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373" i="54"/>
  <c r="DX171" i="54"/>
  <c r="DY40" i="54"/>
  <c r="DW44" i="54"/>
  <c r="DY92" i="54"/>
  <c r="DY308" i="54"/>
  <c r="DW102" i="54"/>
  <c r="DY266" i="54"/>
  <c r="DY288" i="54"/>
  <c r="DY23" i="54"/>
  <c r="FE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A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FF361" i="54"/>
  <c r="FE361" i="54"/>
  <c r="FG361" i="54"/>
  <c r="FC361" i="54"/>
  <c r="FD361" i="54"/>
  <c r="EY288" i="54"/>
  <c r="FB288" i="54"/>
  <c r="EZ288" i="54"/>
  <c r="EX288" i="54"/>
  <c r="FA288" i="54"/>
  <c r="EV308" i="54"/>
  <c r="FE92" i="54"/>
  <c r="FF92" i="54"/>
  <c r="FG92" i="54"/>
  <c r="FC92" i="54"/>
  <c r="FD92" i="54"/>
  <c r="EX11" i="54"/>
  <c r="FA11" i="54"/>
  <c r="FB11" i="54"/>
  <c r="EY11" i="54"/>
  <c r="EZ11" i="54"/>
  <c r="FA26" i="54"/>
  <c r="EM165" i="54"/>
  <c r="EL165" i="54"/>
  <c r="EK165" i="54"/>
  <c r="EJ165" i="54"/>
  <c r="EI165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C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FA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V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F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EX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Z214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X353" i="54"/>
  <c r="FB353" i="54"/>
  <c r="EV370" i="54"/>
  <c r="EU370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G59" i="54"/>
  <c r="EG105" i="54"/>
  <c r="EF105" i="54"/>
  <c r="EH105" i="54"/>
  <c r="EE105" i="54"/>
  <c r="ED105" i="54"/>
  <c r="FC135" i="54"/>
  <c r="FF135" i="54"/>
  <c r="FD135" i="54"/>
  <c r="FE135" i="54"/>
  <c r="FG135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DY256" i="54"/>
  <c r="DY320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S60" i="54"/>
  <c r="DX60" i="54"/>
  <c r="DS81" i="54"/>
  <c r="DX81" i="54"/>
  <c r="EV81" i="54" s="1"/>
  <c r="DS148" i="54"/>
  <c r="DX148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T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X428" i="54"/>
  <c r="EJ45" i="54"/>
  <c r="EL45" i="54"/>
  <c r="EM45" i="54"/>
  <c r="EK45" i="54"/>
  <c r="EI45" i="54"/>
  <c r="FB45" i="54"/>
  <c r="FE67" i="54"/>
  <c r="FG67" i="54"/>
  <c r="EU82" i="54"/>
  <c r="EV82" i="54"/>
  <c r="EW82" i="54"/>
  <c r="ES82" i="54"/>
  <c r="ET82" i="54"/>
  <c r="FC151" i="54"/>
  <c r="FF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CX36" i="54" s="1"/>
  <c r="DC164" i="54"/>
  <c r="DD164" i="54" s="1"/>
  <c r="DB164" i="54"/>
  <c r="CZ164" i="54"/>
  <c r="CX164" i="54" s="1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CX385" i="54" s="1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CX641" i="54" s="1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CX769" i="54" s="1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CX897" i="54" s="1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CX1025" i="54" s="1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CX935" i="54" s="1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CX66" i="54" s="1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CX194" i="54" s="1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CX322" i="54" s="1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CX450" i="54" s="1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CX578" i="54" s="1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CX706" i="54" s="1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CX866" i="54" s="1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CX962" i="54" s="1"/>
  <c r="DC994" i="54"/>
  <c r="DD994" i="54" s="1"/>
  <c r="CZ994" i="54"/>
  <c r="CX994" i="54" s="1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CX1067" i="54" s="1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CX119" i="54" s="1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CX247" i="54" s="1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CX375" i="54" s="1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CX503" i="54" s="1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CX631" i="54" s="1"/>
  <c r="DC663" i="54"/>
  <c r="DD663" i="54" s="1"/>
  <c r="CZ663" i="54"/>
  <c r="CX663" i="54" s="1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CX759" i="54" s="1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CX947" i="54" s="1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CX352" i="54" s="1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CX864" i="54" s="1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CX572" i="54" s="1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CX676" i="54" s="1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CX124" i="54" s="1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CX168" i="54" s="1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CX680" i="54" s="1"/>
  <c r="DC808" i="54"/>
  <c r="DD808" i="54" s="1"/>
  <c r="DB808" i="54"/>
  <c r="CZ808" i="54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CX140" i="54" s="1"/>
  <c r="DC508" i="54"/>
  <c r="DD508" i="54" s="1"/>
  <c r="DB508" i="54"/>
  <c r="CZ508" i="54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CX189" i="54" s="1"/>
  <c r="DC285" i="54"/>
  <c r="DD285" i="54" s="1"/>
  <c r="DB285" i="54"/>
  <c r="CZ285" i="54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CX973" i="54" s="1"/>
  <c r="DC1053" i="54"/>
  <c r="DD1053" i="54" s="1"/>
  <c r="DB1053" i="54"/>
  <c r="CZ1053" i="54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CX190" i="54" s="1"/>
  <c r="DC270" i="54"/>
  <c r="DD270" i="54" s="1"/>
  <c r="DB270" i="54"/>
  <c r="CZ270" i="54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CX542" i="54" s="1"/>
  <c r="DC638" i="54"/>
  <c r="DD638" i="54" s="1"/>
  <c r="DB638" i="54"/>
  <c r="CZ638" i="54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CX926" i="54" s="1"/>
  <c r="DC1006" i="54"/>
  <c r="DD1006" i="54" s="1"/>
  <c r="DB1006" i="54"/>
  <c r="CZ1006" i="54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CX99" i="54" s="1"/>
  <c r="DC195" i="54"/>
  <c r="DD195" i="54" s="1"/>
  <c r="DB195" i="54"/>
  <c r="CZ195" i="54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CX467" i="54" s="1"/>
  <c r="DC563" i="54"/>
  <c r="DD563" i="54" s="1"/>
  <c r="DB563" i="54"/>
  <c r="CZ563" i="54"/>
  <c r="DC659" i="54"/>
  <c r="DD659" i="54" s="1"/>
  <c r="CZ659" i="54"/>
  <c r="DB659" i="54"/>
  <c r="DC755" i="54"/>
  <c r="DD755" i="54" s="1"/>
  <c r="DB755" i="54"/>
  <c r="CZ755" i="54"/>
  <c r="DC859" i="54"/>
  <c r="DD859" i="54" s="1"/>
  <c r="DB859" i="54"/>
  <c r="CZ859" i="54"/>
  <c r="CX859" i="54" s="1"/>
  <c r="DC1099" i="54"/>
  <c r="DD1099" i="54" s="1"/>
  <c r="DB1099" i="54"/>
  <c r="CZ1099" i="54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CX1040" i="54" s="1"/>
  <c r="DC348" i="54"/>
  <c r="DD348" i="54" s="1"/>
  <c r="DB348" i="54"/>
  <c r="CZ348" i="54"/>
  <c r="DC84" i="54"/>
  <c r="DD84" i="54" s="1"/>
  <c r="CZ84" i="54"/>
  <c r="DB84" i="54"/>
  <c r="DC532" i="54"/>
  <c r="DD532" i="54" s="1"/>
  <c r="DB532" i="54"/>
  <c r="CZ532" i="54"/>
  <c r="DC980" i="54"/>
  <c r="DD980" i="54" s="1"/>
  <c r="DB980" i="54"/>
  <c r="CZ980" i="54"/>
  <c r="CX980" i="54" s="1"/>
  <c r="DC684" i="54"/>
  <c r="DD684" i="54" s="1"/>
  <c r="DB684" i="54"/>
  <c r="CZ684" i="54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CX984" i="54" s="1"/>
  <c r="DC652" i="54"/>
  <c r="DD652" i="54" s="1"/>
  <c r="DB652" i="54"/>
  <c r="CZ652" i="54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CX85" i="54" s="1"/>
  <c r="DC117" i="54"/>
  <c r="DD117" i="54" s="1"/>
  <c r="CZ117" i="54"/>
  <c r="CX117" i="54" s="1"/>
  <c r="DB117" i="54"/>
  <c r="DC149" i="54"/>
  <c r="DD149" i="54" s="1"/>
  <c r="CZ149" i="54"/>
  <c r="DB149" i="54"/>
  <c r="DC181" i="54"/>
  <c r="DD181" i="54" s="1"/>
  <c r="CZ181" i="54"/>
  <c r="DB181" i="54"/>
  <c r="DC213" i="54"/>
  <c r="DD213" i="54" s="1"/>
  <c r="DB213" i="54"/>
  <c r="CZ213" i="54"/>
  <c r="CX213" i="54" s="1"/>
  <c r="DC245" i="54"/>
  <c r="DD245" i="54" s="1"/>
  <c r="CZ245" i="54"/>
  <c r="CX245" i="54" s="1"/>
  <c r="DB245" i="54"/>
  <c r="DC277" i="54"/>
  <c r="DD277" i="54" s="1"/>
  <c r="CZ277" i="54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CX373" i="54" s="1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CX501" i="54" s="1"/>
  <c r="DB501" i="54"/>
  <c r="DC533" i="54"/>
  <c r="DD533" i="54" s="1"/>
  <c r="CZ533" i="54"/>
  <c r="DB533" i="54"/>
  <c r="DC565" i="54"/>
  <c r="DD565" i="54" s="1"/>
  <c r="CZ565" i="54"/>
  <c r="DB565" i="54"/>
  <c r="DC597" i="54"/>
  <c r="DD597" i="54" s="1"/>
  <c r="DB597" i="54"/>
  <c r="CZ597" i="54"/>
  <c r="CX597" i="54" s="1"/>
  <c r="DC629" i="54"/>
  <c r="DD629" i="54" s="1"/>
  <c r="DB629" i="54"/>
  <c r="CZ629" i="54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CX725" i="54" s="1"/>
  <c r="DC757" i="54"/>
  <c r="DD757" i="54" s="1"/>
  <c r="DB757" i="54"/>
  <c r="CZ757" i="54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CX853" i="54" s="1"/>
  <c r="DC885" i="54"/>
  <c r="DD885" i="54" s="1"/>
  <c r="DB885" i="54"/>
  <c r="CZ885" i="54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CX981" i="54" s="1"/>
  <c r="DC1013" i="54"/>
  <c r="DD1013" i="54" s="1"/>
  <c r="DB1013" i="54"/>
  <c r="CZ1013" i="54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CX1109" i="54" s="1"/>
  <c r="DC1141" i="54"/>
  <c r="DD1141" i="54" s="1"/>
  <c r="DB1141" i="54"/>
  <c r="CZ1141" i="54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CX1075" i="54" s="1"/>
  <c r="DC22" i="54"/>
  <c r="DD22" i="54" s="1"/>
  <c r="DB22" i="54"/>
  <c r="CZ22" i="54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CX118" i="54" s="1"/>
  <c r="DC150" i="54"/>
  <c r="DD150" i="54" s="1"/>
  <c r="DB150" i="54"/>
  <c r="CZ150" i="54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CX246" i="54" s="1"/>
  <c r="DC278" i="54"/>
  <c r="DD278" i="54" s="1"/>
  <c r="DB278" i="54"/>
  <c r="CZ278" i="54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CX374" i="54" s="1"/>
  <c r="DC406" i="54"/>
  <c r="DD406" i="54" s="1"/>
  <c r="DB406" i="54"/>
  <c r="CZ406" i="54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CX502" i="54" s="1"/>
  <c r="DC534" i="54"/>
  <c r="DD534" i="54" s="1"/>
  <c r="DB534" i="54"/>
  <c r="CZ534" i="54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CX630" i="54" s="1"/>
  <c r="DC662" i="54"/>
  <c r="DD662" i="54" s="1"/>
  <c r="DB662" i="54"/>
  <c r="CZ662" i="54"/>
  <c r="DC694" i="54"/>
  <c r="DD694" i="54" s="1"/>
  <c r="CZ694" i="54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CX790" i="54" s="1"/>
  <c r="DB790" i="54"/>
  <c r="DC822" i="54"/>
  <c r="DD822" i="54" s="1"/>
  <c r="CZ822" i="54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DC950" i="54"/>
  <c r="DD950" i="54" s="1"/>
  <c r="CZ950" i="54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CX1046" i="54" s="1"/>
  <c r="DB1046" i="54"/>
  <c r="DC1078" i="54"/>
  <c r="DD1078" i="54" s="1"/>
  <c r="CZ1078" i="54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CX11" i="54" s="1"/>
  <c r="DC43" i="54"/>
  <c r="DD43" i="54" s="1"/>
  <c r="DB43" i="54"/>
  <c r="CZ43" i="54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CX139" i="54" s="1"/>
  <c r="DC171" i="54"/>
  <c r="DD171" i="54" s="1"/>
  <c r="DB171" i="54"/>
  <c r="CZ171" i="54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CX267" i="54" s="1"/>
  <c r="DC299" i="54"/>
  <c r="DD299" i="54" s="1"/>
  <c r="DB299" i="54"/>
  <c r="CZ299" i="54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CX395" i="54" s="1"/>
  <c r="DC427" i="54"/>
  <c r="DD427" i="54" s="1"/>
  <c r="DB427" i="54"/>
  <c r="CZ427" i="54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CX523" i="54" s="1"/>
  <c r="DC555" i="54"/>
  <c r="DD555" i="54" s="1"/>
  <c r="DB555" i="54"/>
  <c r="CZ555" i="54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CX779" i="54" s="1"/>
  <c r="DC811" i="54"/>
  <c r="DD811" i="54" s="1"/>
  <c r="DB811" i="54"/>
  <c r="CZ811" i="54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CX1023" i="54" s="1"/>
  <c r="DC1123" i="54"/>
  <c r="DD1123" i="54" s="1"/>
  <c r="DB1123" i="54"/>
  <c r="CZ1123" i="54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CX304" i="54" s="1"/>
  <c r="DC432" i="54"/>
  <c r="DD432" i="54" s="1"/>
  <c r="DB432" i="54"/>
  <c r="CZ432" i="54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CX816" i="54" s="1"/>
  <c r="DC944" i="54"/>
  <c r="DD944" i="54" s="1"/>
  <c r="DB944" i="54"/>
  <c r="CZ944" i="54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CX428" i="54" s="1"/>
  <c r="DC812" i="54"/>
  <c r="DD812" i="54" s="1"/>
  <c r="DB812" i="54"/>
  <c r="CZ812" i="54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CX244" i="54" s="1"/>
  <c r="DC500" i="54"/>
  <c r="DD500" i="54" s="1"/>
  <c r="DB500" i="54"/>
  <c r="CZ500" i="54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CX884" i="54" s="1"/>
  <c r="DC1012" i="54"/>
  <c r="DD1012" i="54" s="1"/>
  <c r="DB1012" i="54"/>
  <c r="CZ1012" i="54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CX120" i="54" s="1"/>
  <c r="DC248" i="54"/>
  <c r="DD248" i="54" s="1"/>
  <c r="DB248" i="54"/>
  <c r="CZ248" i="54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CX632" i="54" s="1"/>
  <c r="DC760" i="54"/>
  <c r="DD760" i="54" s="1"/>
  <c r="DB760" i="54"/>
  <c r="CZ760" i="54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CX364" i="54" s="1"/>
  <c r="DC748" i="54"/>
  <c r="DD748" i="54" s="1"/>
  <c r="DB748" i="54"/>
  <c r="CZ748" i="54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CX317" i="54" s="1"/>
  <c r="DC429" i="54"/>
  <c r="DD429" i="54" s="1"/>
  <c r="DB429" i="54"/>
  <c r="CZ429" i="54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CX717" i="54" s="1"/>
  <c r="DC829" i="54"/>
  <c r="DD829" i="54" s="1"/>
  <c r="DB829" i="54"/>
  <c r="CZ829" i="54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CX1085" i="54" s="1"/>
  <c r="DC967" i="54"/>
  <c r="DD967" i="54" s="1"/>
  <c r="DB967" i="54"/>
  <c r="CZ967" i="54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CX206" i="54" s="1"/>
  <c r="DC302" i="54"/>
  <c r="DD302" i="54" s="1"/>
  <c r="DB302" i="54"/>
  <c r="CZ302" i="54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CX574" i="54" s="1"/>
  <c r="DC670" i="54"/>
  <c r="DD670" i="54" s="1"/>
  <c r="CZ670" i="54"/>
  <c r="CX670" i="54" s="1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CX942" i="54" s="1"/>
  <c r="DC1038" i="54"/>
  <c r="DD1038" i="54" s="1"/>
  <c r="DB1038" i="54"/>
  <c r="CZ1038" i="54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CX163" i="54" s="1"/>
  <c r="DC259" i="54"/>
  <c r="DD259" i="54" s="1"/>
  <c r="DB259" i="54"/>
  <c r="CZ259" i="54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CX547" i="54" s="1"/>
  <c r="DC627" i="54"/>
  <c r="DD627" i="54" s="1"/>
  <c r="DB627" i="54"/>
  <c r="CZ627" i="54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CX876" i="54" s="1"/>
  <c r="DC280" i="54"/>
  <c r="DD280" i="54" s="1"/>
  <c r="DB280" i="54"/>
  <c r="CZ280" i="54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CX460" i="54" s="1"/>
  <c r="DC25" i="54"/>
  <c r="DD25" i="54" s="1"/>
  <c r="DB25" i="54"/>
  <c r="CZ25" i="54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CX121" i="54" s="1"/>
  <c r="DC153" i="54"/>
  <c r="DD153" i="54" s="1"/>
  <c r="DB153" i="54"/>
  <c r="CZ153" i="54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CX249" i="54" s="1"/>
  <c r="DC281" i="54"/>
  <c r="DD281" i="54" s="1"/>
  <c r="DB281" i="54"/>
  <c r="CZ281" i="54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CX377" i="54" s="1"/>
  <c r="DC409" i="54"/>
  <c r="DD409" i="54" s="1"/>
  <c r="DB409" i="54"/>
  <c r="CZ409" i="54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CX175" i="54" s="1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CX303" i="54" s="1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CX431" i="54" s="1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CX559" i="54" s="1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CX687" i="54" s="1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CX815" i="54" s="1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CX1135" i="54" s="1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CX448" i="54" s="1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CX960" i="54" s="1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CX476" i="54" s="1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CX388" i="54" s="1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CX900" i="54" s="1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CX828" i="54" s="1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CX392" i="54" s="1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CX904" i="54" s="1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CX672" i="54" s="1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CX28" i="54" s="1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CX100" i="54" s="1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CX740" i="54" s="1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CX732" i="54" s="1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CX360" i="54" s="1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CX872" i="54" s="1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CX700" i="54" s="1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CX237" i="54" s="1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CX605" i="54" s="1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CX1021" i="54" s="1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CX142" i="54" s="1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CX510" i="54" s="1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CX51" i="54" s="1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CX419" i="54" s="1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CX803" i="54" s="1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CX848" i="54" s="1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CX788" i="54" s="1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CX728" i="54" s="1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CX101" i="54" s="1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CX613" i="54" s="1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CX741" i="54" s="1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CX869" i="54" s="1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CX997" i="54" s="1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CX1125" i="54" s="1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CX6" i="54" s="1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CX134" i="54" s="1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CX262" i="54" s="1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CX390" i="54" s="1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CX518" i="54" s="1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CX646" i="54" s="1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CX902" i="54" s="1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CX891" i="54" s="1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CX59" i="54" s="1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CX187" i="54" s="1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CX315" i="54" s="1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CX443" i="54" s="1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CX571" i="54" s="1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CX699" i="54" s="1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CX827" i="54" s="1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CX112" i="54" s="1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CX624" i="54" s="1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CX1136" i="54" s="1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CX52" i="54" s="1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CX692" i="54" s="1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CX172" i="54" s="1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CX184" i="54" s="1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CX696" i="54" s="1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CX188" i="54" s="1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CX957" i="54" s="1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CX62" i="54" s="1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CX446" i="54" s="1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CX814" i="54" s="1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CX963" i="54" s="1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CX307" i="54" s="1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CX400" i="54" s="1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CX148" i="54" s="1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CX472" i="54" s="1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CX9" i="54" s="1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CX137" i="54" s="1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CX265" i="54" s="1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CX393" i="54" s="1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CX521" i="54" s="1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CX649" i="54" s="1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CX777" i="54" s="1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CX905" i="54" s="1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CX1033" i="54" s="1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CX835" i="54" s="1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CX10" i="54" s="1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CX138" i="54" s="1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CX266" i="54" s="1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CX394" i="54" s="1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CX522" i="54" s="1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CX650" i="54" s="1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CX778" i="54" s="1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CX906" i="54" s="1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CX1034" i="54" s="1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CX903" i="54" s="1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CX63" i="54" s="1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CX191" i="54" s="1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CX319" i="54" s="1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CX447" i="54" s="1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CX575" i="54" s="1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CX703" i="54" s="1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CX831" i="54" s="1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CX128" i="54" s="1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CX640" i="54" s="1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CX1144" i="54" s="1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CX68" i="54" s="1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CX580" i="54" s="1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CX1108" i="54" s="1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CX72" i="54" s="1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CX584" i="54" s="1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CX1096" i="54" s="1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CX61" i="54" s="1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CX397" i="54" s="1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CX765" i="54" s="1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CX1011" i="54" s="1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CX334" i="54" s="1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CX750" i="54" s="1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CX1134" i="54" s="1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CX227" i="54" s="1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CX643" i="54" s="1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CX336" i="54" s="1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CX916" i="54" s="1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CX1048" i="54" s="1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998" i="54" l="1"/>
  <c r="CX742" i="54"/>
  <c r="CX197" i="54"/>
  <c r="CX1126" i="54"/>
  <c r="CX453" i="54"/>
  <c r="CX667" i="54"/>
  <c r="CX870" i="54"/>
  <c r="CX325" i="54"/>
  <c r="CX141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94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108" i="54"/>
  <c r="CX65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1068" i="54"/>
  <c r="CX1047" i="54"/>
  <c r="CX1175" i="54"/>
  <c r="CX1181" i="54"/>
  <c r="CX1320" i="54"/>
  <c r="CX1227" i="54"/>
  <c r="CX1211" i="54"/>
  <c r="CX1458" i="54"/>
  <c r="CX1387" i="54"/>
  <c r="CX1411" i="54"/>
  <c r="CX1423" i="54"/>
  <c r="CX1352" i="54"/>
  <c r="CX1151" i="54"/>
  <c r="CX1356" i="54"/>
  <c r="CX1350" i="54"/>
  <c r="CX1259" i="54"/>
  <c r="CX1216" i="54"/>
  <c r="CX1203" i="54"/>
  <c r="CX497" i="54"/>
  <c r="CX113" i="54"/>
  <c r="CX1086" i="54"/>
  <c r="CX1162" i="54"/>
  <c r="CX1335" i="54"/>
  <c r="CX426" i="54"/>
  <c r="CX1138" i="54"/>
  <c r="CX846" i="54"/>
  <c r="CX125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01" i="54"/>
  <c r="CX17" i="54"/>
  <c r="CX257" i="54"/>
  <c r="CX212" i="54"/>
  <c r="CX225" i="54"/>
  <c r="CX268" i="54"/>
  <c r="CX1140" i="54"/>
  <c r="CX976" i="54"/>
  <c r="CX787" i="54"/>
  <c r="CX387" i="54"/>
  <c r="CX839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862" i="54"/>
  <c r="CX982" i="54"/>
  <c r="CX854" i="54"/>
  <c r="CX565" i="54"/>
  <c r="CX437" i="54"/>
  <c r="CX309" i="54"/>
  <c r="CX181" i="54"/>
  <c r="CX1058" i="54"/>
  <c r="CX802" i="54"/>
  <c r="CX481" i="54"/>
  <c r="CX610" i="54"/>
  <c r="CX98" i="54"/>
  <c r="CX1019" i="54"/>
  <c r="CX1057" i="54"/>
  <c r="CX929" i="54"/>
  <c r="CX801" i="54"/>
  <c r="CX673" i="54"/>
  <c r="CX417" i="54"/>
  <c r="CX420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566" i="54"/>
  <c r="CX438" i="54"/>
  <c r="CX310" i="54"/>
  <c r="CX182" i="54"/>
  <c r="CX54" i="54"/>
  <c r="CX899" i="54"/>
  <c r="CX1045" i="54"/>
  <c r="CX917" i="54"/>
  <c r="CX789" i="54"/>
  <c r="CX661" i="54"/>
  <c r="CX405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567" i="54"/>
  <c r="CX439" i="54"/>
  <c r="CX311" i="54"/>
  <c r="CX183" i="54"/>
  <c r="CX55" i="54"/>
  <c r="CX879" i="54"/>
  <c r="CX898" i="54"/>
  <c r="CX770" i="54"/>
  <c r="CX642" i="54"/>
  <c r="CX514" i="54"/>
  <c r="CX386" i="54"/>
  <c r="CX258" i="54"/>
  <c r="CX130" i="54"/>
  <c r="CX1107" i="54"/>
  <c r="CX1089" i="54"/>
  <c r="CX961" i="54"/>
  <c r="CX833" i="54"/>
  <c r="CX354" i="54"/>
  <c r="CX226" i="54"/>
  <c r="CX1149" i="54"/>
  <c r="CX1191" i="54"/>
  <c r="CX1447" i="54"/>
  <c r="CX1219" i="54"/>
  <c r="CX1408" i="54"/>
  <c r="CX1436" i="54"/>
  <c r="CX1194" i="54"/>
  <c r="CX1407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245" i="54"/>
  <c r="CX1070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675" i="54"/>
  <c r="CX403" i="54"/>
  <c r="CX35" i="54"/>
  <c r="CX894" i="54"/>
  <c r="CX526" i="54"/>
  <c r="CX158" i="54"/>
  <c r="CX1037" i="54"/>
  <c r="CX669" i="54"/>
  <c r="CX573" i="54"/>
  <c r="CX269" i="54"/>
  <c r="CX157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475" i="54"/>
  <c r="CX347" i="54"/>
  <c r="CX219" i="54"/>
  <c r="CX91" i="54"/>
  <c r="CX983" i="54"/>
  <c r="CX1030" i="54"/>
  <c r="CX934" i="54"/>
  <c r="CX774" i="54"/>
  <c r="CX678" i="54"/>
  <c r="CX550" i="54"/>
  <c r="CX422" i="54"/>
  <c r="CX294" i="54"/>
  <c r="CX166" i="54"/>
  <c r="CX38" i="54"/>
  <c r="CX943" i="54"/>
  <c r="CX1029" i="54"/>
  <c r="CX901" i="54"/>
  <c r="CX773" i="54"/>
  <c r="CX485" i="54"/>
  <c r="CX357" i="54"/>
  <c r="CX229" i="54"/>
  <c r="CX1124" i="54"/>
  <c r="CX991" i="54"/>
  <c r="CX515" i="54"/>
  <c r="CX147" i="54"/>
  <c r="CX958" i="54"/>
  <c r="CX87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850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337" i="54"/>
  <c r="CX241" i="54"/>
  <c r="CX193" i="54"/>
  <c r="CX129" i="54"/>
  <c r="CX468" i="54"/>
  <c r="CX321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349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043" i="54"/>
  <c r="CX1082" i="54"/>
  <c r="CX954" i="54"/>
  <c r="CX826" i="54"/>
  <c r="CX698" i="54"/>
  <c r="CX570" i="54"/>
  <c r="CX442" i="54"/>
  <c r="CX314" i="54"/>
  <c r="CX186" i="54"/>
  <c r="CX58" i="54"/>
  <c r="CX911" i="54"/>
  <c r="CX1049" i="54"/>
  <c r="CX921" i="54"/>
  <c r="CX793" i="54"/>
  <c r="CX665" i="54"/>
  <c r="CX537" i="54"/>
  <c r="CX409" i="54"/>
  <c r="CX281" i="54"/>
  <c r="CX153" i="54"/>
  <c r="CX25" i="54"/>
  <c r="CX280" i="54"/>
  <c r="CX276" i="54"/>
  <c r="CX208" i="54"/>
  <c r="CX627" i="54"/>
  <c r="CX259" i="54"/>
  <c r="CX1038" i="54"/>
  <c r="CX302" i="54"/>
  <c r="CX967" i="54"/>
  <c r="CX829" i="54"/>
  <c r="CX429" i="54"/>
  <c r="CX748" i="54"/>
  <c r="CX760" i="54"/>
  <c r="CX248" i="54"/>
  <c r="CX1012" i="54"/>
  <c r="CX500" i="54"/>
  <c r="CX812" i="54"/>
  <c r="CX944" i="54"/>
  <c r="CX432" i="54"/>
  <c r="CX1123" i="54"/>
  <c r="CX811" i="54"/>
  <c r="CX683" i="54"/>
  <c r="CX651" i="54"/>
  <c r="CX555" i="54"/>
  <c r="CX427" i="54"/>
  <c r="CX299" i="54"/>
  <c r="CX171" i="54"/>
  <c r="CX43" i="54"/>
  <c r="CX939" i="54"/>
  <c r="CX1142" i="54"/>
  <c r="CX1014" i="54"/>
  <c r="CX918" i="54"/>
  <c r="CX886" i="54"/>
  <c r="CX758" i="54"/>
  <c r="CX662" i="54"/>
  <c r="CX534" i="54"/>
  <c r="CX406" i="54"/>
  <c r="CX278" i="54"/>
  <c r="CX150" i="54"/>
  <c r="CX22" i="54"/>
  <c r="CX1141" i="54"/>
  <c r="CX1013" i="54"/>
  <c r="CX885" i="54"/>
  <c r="CX757" i="54"/>
  <c r="CX629" i="54"/>
  <c r="CX469" i="54"/>
  <c r="CX341" i="54"/>
  <c r="CX652" i="54"/>
  <c r="CX684" i="54"/>
  <c r="CX348" i="54"/>
  <c r="CX1099" i="54"/>
  <c r="CX563" i="54"/>
  <c r="CX195" i="54"/>
  <c r="CX1006" i="54"/>
  <c r="CX638" i="54"/>
  <c r="CX270" i="54"/>
  <c r="CX1053" i="54"/>
  <c r="CX653" i="54"/>
  <c r="CX557" i="54"/>
  <c r="CX285" i="54"/>
  <c r="CX508" i="54"/>
  <c r="CX808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23" i="54"/>
  <c r="CX1122" i="54"/>
  <c r="CX1090" i="54"/>
  <c r="CX834" i="54"/>
  <c r="CX738" i="54"/>
  <c r="CX482" i="54"/>
  <c r="CX513" i="54"/>
  <c r="CX1373" i="54"/>
  <c r="CX1200" i="54"/>
  <c r="CX1165" i="54"/>
  <c r="CX1185" i="54"/>
  <c r="CX1209" i="54"/>
  <c r="CX1173" i="54"/>
  <c r="CX1193" i="54"/>
  <c r="CX1206" i="54"/>
  <c r="CX1273" i="54"/>
  <c r="CX1401" i="54"/>
  <c r="CX1301" i="54"/>
  <c r="CX1405" i="54"/>
  <c r="CX1339" i="54"/>
  <c r="CX1460" i="54"/>
  <c r="CX1256" i="54"/>
  <c r="CX1234" i="54"/>
  <c r="CX1413" i="54"/>
  <c r="CX1235" i="54"/>
  <c r="CX1217" i="54"/>
  <c r="CX1351" i="54"/>
  <c r="CX1288" i="54"/>
  <c r="CX1260" i="54"/>
  <c r="CX1389" i="54"/>
  <c r="CX1280" i="54"/>
  <c r="CX1299" i="54"/>
  <c r="CX1249" i="54"/>
  <c r="CX1381" i="54"/>
  <c r="CX1271" i="54"/>
  <c r="CX1375" i="54"/>
  <c r="CX1253" i="54"/>
  <c r="CX1327" i="54"/>
  <c r="CX1214" i="54"/>
  <c r="CX1354" i="54"/>
  <c r="CX1261" i="54"/>
  <c r="CX1334" i="54"/>
  <c r="CX1362" i="54"/>
  <c r="CX1241" i="54"/>
  <c r="CX1367" i="54"/>
  <c r="CX1198" i="54"/>
  <c r="CX1384" i="54"/>
  <c r="CX1347" i="54"/>
  <c r="CX1311" i="54"/>
  <c r="CX1300" i="54"/>
  <c r="CX152" i="54"/>
  <c r="CX716" i="54"/>
  <c r="CX843" i="54"/>
  <c r="CX435" i="54"/>
  <c r="CX19" i="54"/>
  <c r="CX974" i="54"/>
  <c r="CX558" i="54"/>
  <c r="CX126" i="54"/>
  <c r="CX941" i="54"/>
  <c r="CX589" i="54"/>
  <c r="CX205" i="54"/>
  <c r="CX604" i="54"/>
  <c r="CX840" i="54"/>
  <c r="CX328" i="54"/>
  <c r="CX636" i="54"/>
  <c r="CX836" i="54"/>
  <c r="CX324" i="54"/>
  <c r="CX668" i="54"/>
  <c r="CX458" i="54"/>
  <c r="CX658" i="54"/>
  <c r="CX705" i="54"/>
  <c r="CX577" i="54"/>
  <c r="CX545" i="54"/>
  <c r="CX449" i="54"/>
  <c r="CX372" i="54"/>
  <c r="CX1178" i="54"/>
  <c r="CX1207" i="54"/>
  <c r="CX1153" i="54"/>
  <c r="CX1168" i="54"/>
  <c r="CX1186" i="54"/>
  <c r="CX1160" i="54"/>
  <c r="CX1349" i="54"/>
  <c r="CX1425" i="54"/>
  <c r="CX1360" i="54"/>
  <c r="CX1449" i="54"/>
  <c r="CX1330" i="54"/>
  <c r="CX1448" i="54"/>
  <c r="CX1344" i="54"/>
  <c r="CX1251" i="54"/>
  <c r="CX1326" i="54"/>
  <c r="CX1376" i="54"/>
  <c r="CX1323" i="54"/>
  <c r="CX1233" i="54"/>
  <c r="CX1404" i="54"/>
  <c r="CX1250" i="54"/>
  <c r="CX1187" i="54"/>
  <c r="CX1348" i="54"/>
  <c r="CX1289" i="54"/>
  <c r="CX1231" i="54"/>
  <c r="CX1232" i="54"/>
  <c r="CX1172" i="54"/>
  <c r="CX1215" i="54"/>
  <c r="CX1318" i="54"/>
  <c r="CX1357" i="54"/>
  <c r="CX1364" i="54"/>
  <c r="CX1190" i="54"/>
  <c r="CX1281" i="54"/>
  <c r="CX1313" i="54"/>
  <c r="CX1226" i="54"/>
  <c r="CX1332" i="54"/>
  <c r="CX1283" i="54"/>
  <c r="CX1274" i="54"/>
  <c r="CX1177" i="54"/>
  <c r="CX1430" i="54"/>
  <c r="CX1393" i="54"/>
  <c r="CX1304" i="54"/>
  <c r="CX1345" i="54"/>
  <c r="CX1372" i="54"/>
  <c r="CX1254" i="54"/>
  <c r="CX1358" i="54"/>
  <c r="CX1328" i="54"/>
  <c r="CX1255" i="54"/>
  <c r="CX1228" i="54"/>
  <c r="CX1386" i="54"/>
  <c r="CX1337" i="54"/>
  <c r="CX1416" i="54"/>
  <c r="CX1403" i="54"/>
  <c r="CX1166" i="54"/>
  <c r="CX1295" i="54"/>
  <c r="CX1278" i="54"/>
  <c r="CX1432" i="54"/>
  <c r="CX1396" i="54"/>
  <c r="CX1429" i="54"/>
  <c r="CX1293" i="54"/>
  <c r="CX1230" i="54"/>
  <c r="CX1450" i="54"/>
  <c r="CX1392" i="54"/>
  <c r="CX1415" i="54"/>
  <c r="CX1236" i="54"/>
  <c r="CX145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365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711" i="54"/>
  <c r="CX679" i="54"/>
  <c r="CX583" i="54"/>
  <c r="CX455" i="54"/>
  <c r="CX327" i="54"/>
  <c r="CX199" i="54"/>
  <c r="CX71" i="54"/>
  <c r="CX1015" i="54"/>
  <c r="CX1042" i="54"/>
  <c r="CX1010" i="54"/>
  <c r="CX946" i="54"/>
  <c r="CX882" i="54"/>
  <c r="CX786" i="54"/>
  <c r="CX690" i="54"/>
  <c r="CX434" i="54"/>
  <c r="CX306" i="54"/>
  <c r="CX178" i="54"/>
  <c r="CX50" i="54"/>
  <c r="CX887" i="54"/>
  <c r="CX1073" i="54"/>
  <c r="CX945" i="54"/>
  <c r="CX817" i="54"/>
  <c r="CX689" i="54"/>
  <c r="CX529" i="54"/>
  <c r="CX433" i="54"/>
  <c r="CX273" i="54"/>
  <c r="CX177" i="54"/>
  <c r="CX145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541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1078" i="54"/>
  <c r="CX950" i="54"/>
  <c r="CX822" i="54"/>
  <c r="CX726" i="54"/>
  <c r="CX694" i="54"/>
  <c r="CX598" i="54"/>
  <c r="CX470" i="54"/>
  <c r="CX342" i="54"/>
  <c r="CX214" i="54"/>
  <c r="CX86" i="54"/>
  <c r="CX987" i="54"/>
  <c r="CX1077" i="54"/>
  <c r="CX949" i="54"/>
  <c r="CX821" i="54"/>
  <c r="CX693" i="54"/>
  <c r="CX533" i="54"/>
  <c r="CX277" i="54"/>
  <c r="CX149" i="54"/>
  <c r="CX53" i="54"/>
  <c r="CX536" i="54"/>
  <c r="CX532" i="54"/>
  <c r="CX84" i="54"/>
  <c r="CX656" i="54"/>
  <c r="CX755" i="54"/>
  <c r="CX659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1026" i="54"/>
  <c r="CX930" i="54"/>
  <c r="CX674" i="54"/>
  <c r="CX546" i="54"/>
  <c r="CX418" i="54"/>
  <c r="CX290" i="54"/>
  <c r="CX162" i="54"/>
  <c r="CX34" i="54"/>
  <c r="CX1121" i="54"/>
  <c r="CX993" i="54"/>
  <c r="CX865" i="54"/>
  <c r="CX737" i="54"/>
  <c r="CX609" i="54"/>
  <c r="CX20" i="54"/>
  <c r="CX1210" i="54"/>
  <c r="CX1201" i="54"/>
  <c r="CX1152" i="54"/>
  <c r="CX1202" i="54"/>
  <c r="CX1154" i="54"/>
  <c r="CX1156" i="54"/>
  <c r="CX1180" i="54"/>
  <c r="CX1204" i="54"/>
  <c r="CX1184" i="54"/>
  <c r="CX1282" i="54"/>
  <c r="CX1276" i="54"/>
  <c r="CX1322" i="54"/>
  <c r="CX1391" i="54"/>
  <c r="CX1296" i="54"/>
  <c r="CX1437" i="54"/>
  <c r="CX1246" i="54"/>
  <c r="CX1262" i="54"/>
  <c r="CX1314" i="54"/>
  <c r="CX1402" i="54"/>
  <c r="CX1374" i="54"/>
  <c r="CX1410" i="54"/>
  <c r="CX1371" i="54"/>
  <c r="CX1341" i="54"/>
  <c r="CX1310" i="54"/>
  <c r="CX1340" i="54"/>
  <c r="CX1441" i="54"/>
  <c r="CX1446" i="54"/>
  <c r="CX1454" i="54"/>
  <c r="CX1275" i="54"/>
  <c r="CX1268" i="54"/>
  <c r="CX1439" i="54"/>
  <c r="CX1324" i="54"/>
  <c r="CX1272" i="54"/>
  <c r="CX1218" i="54"/>
  <c r="CX1302" i="54"/>
  <c r="CX1397" i="54"/>
  <c r="CX1452" i="54"/>
  <c r="CX1305" i="54"/>
  <c r="CX1287" i="54"/>
  <c r="CX1355" i="54"/>
  <c r="CX1390" i="54"/>
  <c r="CX1442" i="54"/>
  <c r="FF332" i="54"/>
  <c r="EZ45" i="54"/>
  <c r="EZ428" i="54"/>
  <c r="EY428" i="54"/>
  <c r="DY428" i="54"/>
  <c r="ES428" i="54"/>
  <c r="DY143" i="54"/>
  <c r="FE337" i="54"/>
  <c r="FG292" i="54"/>
  <c r="EX45" i="54"/>
  <c r="FB428" i="54"/>
  <c r="FG65" i="54"/>
  <c r="FC337" i="54"/>
  <c r="FC292" i="54"/>
  <c r="EU192" i="54"/>
  <c r="EY45" i="54"/>
  <c r="FA45" i="54"/>
  <c r="FB347" i="54"/>
  <c r="HL57" i="54"/>
  <c r="HL60" i="54"/>
  <c r="IC60" i="54" s="1"/>
  <c r="HL58" i="54"/>
  <c r="IC58" i="54" s="1"/>
  <c r="HL59" i="54"/>
  <c r="IC59" i="54" s="1"/>
  <c r="HL61" i="54"/>
  <c r="FC299" i="54"/>
  <c r="FA299" i="54"/>
  <c r="FD299" i="54"/>
  <c r="EY299" i="54"/>
  <c r="FG299" i="54"/>
  <c r="FB299" i="54"/>
  <c r="FE15" i="54"/>
  <c r="FD15" i="54"/>
  <c r="EZ15" i="54"/>
  <c r="FC15" i="54"/>
  <c r="FA15" i="54"/>
  <c r="EX15" i="54"/>
  <c r="FF15" i="54"/>
  <c r="FB15" i="54"/>
  <c r="EU151" i="54"/>
  <c r="DY151" i="54"/>
  <c r="FF136" i="54"/>
  <c r="FB136" i="54"/>
  <c r="FD136" i="54"/>
  <c r="EY136" i="54"/>
  <c r="EX136" i="54"/>
  <c r="FC136" i="54"/>
  <c r="EZ136" i="54"/>
  <c r="EX237" i="54"/>
  <c r="FD237" i="54"/>
  <c r="FG237" i="54"/>
  <c r="FA237" i="54"/>
  <c r="FC237" i="54"/>
  <c r="EZ237" i="54"/>
  <c r="FE237" i="54"/>
  <c r="EY59" i="54"/>
  <c r="FD59" i="54"/>
  <c r="FB59" i="54"/>
  <c r="FA59" i="54"/>
  <c r="FC59" i="54"/>
  <c r="FE59" i="54"/>
  <c r="EX59" i="54"/>
  <c r="FF59" i="54"/>
  <c r="ET111" i="54"/>
  <c r="EU111" i="54"/>
  <c r="ES111" i="54"/>
  <c r="EV111" i="54"/>
  <c r="FB21" i="54"/>
  <c r="DY21" i="54"/>
  <c r="FA21" i="54"/>
  <c r="EY21" i="54"/>
  <c r="EZ21" i="54"/>
  <c r="EZ433" i="54"/>
  <c r="FB433" i="54"/>
  <c r="EY433" i="54"/>
  <c r="FA433" i="54"/>
  <c r="EW95" i="54"/>
  <c r="ET95" i="54"/>
  <c r="FB95" i="54"/>
  <c r="EZ95" i="54"/>
  <c r="EU95" i="54"/>
  <c r="EX95" i="54"/>
  <c r="EV95" i="54"/>
  <c r="FA95" i="54"/>
  <c r="FE184" i="54"/>
  <c r="FC184" i="54"/>
  <c r="FG184" i="54"/>
  <c r="FD184" i="54"/>
  <c r="ES182" i="54"/>
  <c r="EU182" i="54"/>
  <c r="EV182" i="54"/>
  <c r="EW182" i="54"/>
  <c r="FB38" i="54"/>
  <c r="FA38" i="54"/>
  <c r="EY38" i="54"/>
  <c r="EZ38" i="54"/>
  <c r="FC138" i="54"/>
  <c r="FG138" i="54"/>
  <c r="EU138" i="54"/>
  <c r="EU86" i="54"/>
  <c r="FD86" i="54"/>
  <c r="FD176" i="54"/>
  <c r="FG176" i="54"/>
  <c r="DY176" i="54"/>
  <c r="FE176" i="54"/>
  <c r="FC176" i="54"/>
  <c r="EX66" i="54"/>
  <c r="EZ66" i="54"/>
  <c r="FB66" i="54"/>
  <c r="FA66" i="54"/>
  <c r="ES368" i="54"/>
  <c r="FA368" i="54"/>
  <c r="ET368" i="54"/>
  <c r="EZ368" i="54"/>
  <c r="EW368" i="54"/>
  <c r="EU368" i="54"/>
  <c r="EX368" i="54"/>
  <c r="FE341" i="54"/>
  <c r="FG341" i="54"/>
  <c r="EW341" i="54"/>
  <c r="FC341" i="54"/>
  <c r="ET341" i="54"/>
  <c r="DY341" i="54"/>
  <c r="FD341" i="54"/>
  <c r="ES341" i="54"/>
  <c r="EU341" i="54"/>
  <c r="FF342" i="54"/>
  <c r="FC342" i="54"/>
  <c r="EX342" i="54"/>
  <c r="ET342" i="54"/>
  <c r="FD342" i="54"/>
  <c r="EY342" i="54"/>
  <c r="ES342" i="54"/>
  <c r="FE342" i="54"/>
  <c r="EZ342" i="54"/>
  <c r="FB342" i="54"/>
  <c r="EU342" i="54"/>
  <c r="EW308" i="54"/>
  <c r="ET308" i="54"/>
  <c r="ES308" i="54"/>
  <c r="EU308" i="54"/>
  <c r="DY519" i="54"/>
  <c r="FC519" i="54"/>
  <c r="EX519" i="54"/>
  <c r="FF519" i="54"/>
  <c r="FA519" i="54"/>
  <c r="FE519" i="54"/>
  <c r="EY519" i="54"/>
  <c r="EZ519" i="54"/>
  <c r="EU519" i="54"/>
  <c r="EV519" i="54"/>
  <c r="FG519" i="54"/>
  <c r="FB519" i="54"/>
  <c r="ET519" i="54"/>
  <c r="FD519" i="54"/>
  <c r="EW519" i="54"/>
  <c r="FD529" i="54"/>
  <c r="FA529" i="54"/>
  <c r="EX529" i="54"/>
  <c r="FG529" i="54"/>
  <c r="EZ529" i="54"/>
  <c r="DY529" i="54"/>
  <c r="FC529" i="54"/>
  <c r="EY529" i="54"/>
  <c r="EU529" i="54"/>
  <c r="FE529" i="54"/>
  <c r="EW529" i="54"/>
  <c r="ET529" i="54"/>
  <c r="FF529" i="54"/>
  <c r="ES529" i="54"/>
  <c r="FG510" i="54"/>
  <c r="FB510" i="54"/>
  <c r="FC510" i="54"/>
  <c r="FA510" i="54"/>
  <c r="EX510" i="54"/>
  <c r="FE510" i="54"/>
  <c r="FF510" i="54"/>
  <c r="EZ510" i="54"/>
  <c r="EY510" i="54"/>
  <c r="ES510" i="54"/>
  <c r="EV510" i="54"/>
  <c r="EU510" i="54"/>
  <c r="FB505" i="54"/>
  <c r="EY505" i="54"/>
  <c r="EW505" i="54"/>
  <c r="EX505" i="54"/>
  <c r="EZ505" i="54"/>
  <c r="ET505" i="54"/>
  <c r="ES505" i="54"/>
  <c r="DY505" i="54"/>
  <c r="EU505" i="54"/>
  <c r="EV505" i="54"/>
  <c r="FG505" i="54"/>
  <c r="FF505" i="54"/>
  <c r="FD505" i="54"/>
  <c r="FC505" i="54"/>
  <c r="DY495" i="54"/>
  <c r="FC495" i="54"/>
  <c r="EV495" i="54"/>
  <c r="FE495" i="54"/>
  <c r="FF495" i="54"/>
  <c r="EU495" i="54"/>
  <c r="FD495" i="54"/>
  <c r="EW495" i="54"/>
  <c r="ET495" i="54"/>
  <c r="EY495" i="54"/>
  <c r="FB495" i="54"/>
  <c r="ES495" i="54"/>
  <c r="FA495" i="54"/>
  <c r="EX495" i="54"/>
  <c r="EW371" i="54"/>
  <c r="FF371" i="54"/>
  <c r="ES371" i="54"/>
  <c r="ET371" i="54"/>
  <c r="FG371" i="54"/>
  <c r="EV371" i="54"/>
  <c r="FE371" i="54"/>
  <c r="FD371" i="54"/>
  <c r="EV472" i="54"/>
  <c r="FE472" i="54"/>
  <c r="FA472" i="54"/>
  <c r="DY472" i="54"/>
  <c r="ET472" i="54"/>
  <c r="EU472" i="54"/>
  <c r="FD472" i="54"/>
  <c r="EZ472" i="54"/>
  <c r="EW472" i="54"/>
  <c r="FG472" i="54"/>
  <c r="FB472" i="54"/>
  <c r="EY472" i="54"/>
  <c r="ES472" i="54"/>
  <c r="FF472" i="54"/>
  <c r="FC472" i="54"/>
  <c r="EX472" i="54"/>
  <c r="DY488" i="54"/>
  <c r="EY488" i="54"/>
  <c r="EZ488" i="54"/>
  <c r="EU488" i="54"/>
  <c r="EV488" i="54"/>
  <c r="FB488" i="54"/>
  <c r="ET488" i="54"/>
  <c r="EX488" i="54"/>
  <c r="EW488" i="54"/>
  <c r="FF488" i="54"/>
  <c r="FE488" i="54"/>
  <c r="FG488" i="54"/>
  <c r="FD488" i="54"/>
  <c r="FB522" i="54"/>
  <c r="FG522" i="54"/>
  <c r="DY522" i="54"/>
  <c r="FA522" i="54"/>
  <c r="EX522" i="54"/>
  <c r="FC522" i="54"/>
  <c r="EZ522" i="54"/>
  <c r="FE522" i="54"/>
  <c r="FF522" i="54"/>
  <c r="EY522" i="54"/>
  <c r="EV522" i="54"/>
  <c r="FD522" i="54"/>
  <c r="EU522" i="54"/>
  <c r="EW522" i="54"/>
  <c r="ET522" i="54"/>
  <c r="ES470" i="54"/>
  <c r="FE470" i="54"/>
  <c r="EX470" i="54"/>
  <c r="EV470" i="54"/>
  <c r="FD470" i="54"/>
  <c r="FA470" i="54"/>
  <c r="ET470" i="54"/>
  <c r="EU470" i="54"/>
  <c r="FG470" i="54"/>
  <c r="EZ470" i="54"/>
  <c r="EW470" i="54"/>
  <c r="FF470" i="54"/>
  <c r="EY470" i="54"/>
  <c r="FC470" i="54"/>
  <c r="DY470" i="54"/>
  <c r="DY533" i="54"/>
  <c r="ES533" i="54"/>
  <c r="FC533" i="54"/>
  <c r="FA533" i="54"/>
  <c r="EX533" i="54"/>
  <c r="EV533" i="54"/>
  <c r="FE533" i="54"/>
  <c r="FF533" i="54"/>
  <c r="EZ533" i="54"/>
  <c r="EU533" i="54"/>
  <c r="FD533" i="54"/>
  <c r="EY533" i="54"/>
  <c r="EW533" i="54"/>
  <c r="FB533" i="54"/>
  <c r="ET533" i="54"/>
  <c r="FG533" i="54"/>
  <c r="FE540" i="54"/>
  <c r="FA540" i="54"/>
  <c r="EW540" i="54"/>
  <c r="FG540" i="54"/>
  <c r="FD540" i="54"/>
  <c r="EY540" i="54"/>
  <c r="EZ540" i="54"/>
  <c r="ES540" i="54"/>
  <c r="FC540" i="54"/>
  <c r="FB540" i="54"/>
  <c r="EU540" i="54"/>
  <c r="EV540" i="54"/>
  <c r="EX540" i="54"/>
  <c r="FF540" i="54"/>
  <c r="EW357" i="54"/>
  <c r="EU357" i="54"/>
  <c r="ET357" i="54"/>
  <c r="ES357" i="54"/>
  <c r="FG394" i="54"/>
  <c r="FC394" i="54"/>
  <c r="FF394" i="54"/>
  <c r="FG260" i="54"/>
  <c r="DY260" i="54"/>
  <c r="FB260" i="54"/>
  <c r="EX260" i="54"/>
  <c r="ES260" i="54"/>
  <c r="FD260" i="54"/>
  <c r="EZ260" i="54"/>
  <c r="EU260" i="54"/>
  <c r="FE260" i="54"/>
  <c r="FC260" i="54"/>
  <c r="EY260" i="54"/>
  <c r="EV260" i="54"/>
  <c r="EW260" i="54"/>
  <c r="HK95" i="54"/>
  <c r="HK93" i="54"/>
  <c r="HK97" i="54"/>
  <c r="HK96" i="54"/>
  <c r="HK98" i="54"/>
  <c r="HK99" i="54"/>
  <c r="HK92" i="54"/>
  <c r="HK94" i="54"/>
  <c r="HK133" i="54"/>
  <c r="HK132" i="54"/>
  <c r="HK131" i="54"/>
  <c r="HK136" i="54"/>
  <c r="HK134" i="54"/>
  <c r="HK135" i="54"/>
  <c r="HK130" i="54"/>
  <c r="DY171" i="54"/>
  <c r="EX171" i="54"/>
  <c r="HL96" i="54"/>
  <c r="IC96" i="54" s="1"/>
  <c r="HL99" i="54"/>
  <c r="HL93" i="54"/>
  <c r="IC93" i="54" s="1"/>
  <c r="HL98" i="54"/>
  <c r="HL92" i="54"/>
  <c r="IC92" i="54" s="1"/>
  <c r="HL94" i="54"/>
  <c r="HL97" i="54"/>
  <c r="IC97" i="54" s="1"/>
  <c r="HL95" i="54"/>
  <c r="ES214" i="54"/>
  <c r="FB214" i="54"/>
  <c r="EU214" i="54"/>
  <c r="FA214" i="54"/>
  <c r="EV214" i="54"/>
  <c r="EW214" i="54"/>
  <c r="EX214" i="54"/>
  <c r="EY214" i="54"/>
  <c r="FG167" i="54"/>
  <c r="EV167" i="54"/>
  <c r="FF167" i="54"/>
  <c r="FD167" i="54"/>
  <c r="ES167" i="54"/>
  <c r="FC167" i="54"/>
  <c r="ET167" i="54"/>
  <c r="EW510" i="54"/>
  <c r="ET540" i="54"/>
  <c r="FD510" i="54"/>
  <c r="FG427" i="54"/>
  <c r="FF417" i="54"/>
  <c r="HM57" i="54"/>
  <c r="ID57" i="54" s="1"/>
  <c r="HM58" i="54"/>
  <c r="ID58" i="54" s="1"/>
  <c r="HM59" i="54"/>
  <c r="ID59" i="54" s="1"/>
  <c r="HM60" i="54"/>
  <c r="HM61" i="54"/>
  <c r="FE151" i="54"/>
  <c r="FG151" i="54"/>
  <c r="EU131" i="54"/>
  <c r="EY15" i="54"/>
  <c r="EZ299" i="54"/>
  <c r="EX433" i="54"/>
  <c r="EW111" i="54"/>
  <c r="EY95" i="54"/>
  <c r="EW86" i="54"/>
  <c r="FG15" i="54"/>
  <c r="FB237" i="54"/>
  <c r="FD338" i="54"/>
  <c r="FE299" i="54"/>
  <c r="EX38" i="54"/>
  <c r="FE136" i="54"/>
  <c r="ES95" i="54"/>
  <c r="EV529" i="54"/>
  <c r="FE505" i="54"/>
  <c r="EZ495" i="54"/>
  <c r="EX249" i="54"/>
  <c r="FE427" i="54"/>
  <c r="HJ5" i="54"/>
  <c r="HJ9" i="54"/>
  <c r="HJ7" i="54"/>
  <c r="HJ8" i="54"/>
  <c r="HJ6" i="54"/>
  <c r="DY299" i="54"/>
  <c r="FD151" i="54"/>
  <c r="HL80" i="54"/>
  <c r="IC80" i="54" s="1"/>
  <c r="HL78" i="54"/>
  <c r="IC78" i="54" s="1"/>
  <c r="HL82" i="54"/>
  <c r="IC82" i="54" s="1"/>
  <c r="HL84" i="54"/>
  <c r="IC84" i="54" s="1"/>
  <c r="HL83" i="54"/>
  <c r="IC83" i="54" s="1"/>
  <c r="HL77" i="54"/>
  <c r="IC77" i="54" s="1"/>
  <c r="HL81" i="54"/>
  <c r="IC81" i="54" s="1"/>
  <c r="HL79" i="54"/>
  <c r="FF237" i="54"/>
  <c r="EX299" i="54"/>
  <c r="DY38" i="54"/>
  <c r="EV341" i="54"/>
  <c r="FA342" i="54"/>
  <c r="EY31" i="54"/>
  <c r="FG31" i="54"/>
  <c r="FE31" i="54"/>
  <c r="DY31" i="54"/>
  <c r="FC428" i="54"/>
  <c r="EV428" i="54"/>
  <c r="EV397" i="54"/>
  <c r="DY397" i="54"/>
  <c r="EX316" i="54"/>
  <c r="FB316" i="54"/>
  <c r="EY237" i="54"/>
  <c r="FF299" i="54"/>
  <c r="FG136" i="54"/>
  <c r="HL72" i="54"/>
  <c r="IC72" i="54" s="1"/>
  <c r="HL70" i="54"/>
  <c r="IC70" i="54" s="1"/>
  <c r="HL76" i="54"/>
  <c r="IC76" i="54" s="1"/>
  <c r="HL73" i="54"/>
  <c r="IC73" i="54" s="1"/>
  <c r="HL74" i="54"/>
  <c r="IC74" i="54" s="1"/>
  <c r="HL75" i="54"/>
  <c r="IC75" i="54" s="1"/>
  <c r="HL71" i="54"/>
  <c r="IC71" i="54" s="1"/>
  <c r="ES519" i="54"/>
  <c r="FB529" i="54"/>
  <c r="FA488" i="54"/>
  <c r="HL85" i="54"/>
  <c r="IC85" i="54" s="1"/>
  <c r="HL91" i="54"/>
  <c r="IC91" i="54" s="1"/>
  <c r="HL88" i="54"/>
  <c r="IC88" i="54" s="1"/>
  <c r="HL89" i="54"/>
  <c r="IC89" i="54" s="1"/>
  <c r="HL86" i="54"/>
  <c r="IC86" i="54" s="1"/>
  <c r="HL90" i="54"/>
  <c r="IC90" i="54" s="1"/>
  <c r="HL87" i="54"/>
  <c r="IC87" i="54" s="1"/>
  <c r="DY342" i="54"/>
  <c r="EY526" i="54"/>
  <c r="ET526" i="54"/>
  <c r="FB526" i="54"/>
  <c r="ES526" i="54"/>
  <c r="EX526" i="54"/>
  <c r="EV526" i="54"/>
  <c r="EW526" i="54"/>
  <c r="FD526" i="54"/>
  <c r="FE526" i="54"/>
  <c r="DY501" i="54"/>
  <c r="FG501" i="54"/>
  <c r="EZ501" i="54"/>
  <c r="FC501" i="54"/>
  <c r="EY501" i="54"/>
  <c r="FE501" i="54"/>
  <c r="FF501" i="54"/>
  <c r="EX501" i="54"/>
  <c r="DY563" i="54"/>
  <c r="FD563" i="54"/>
  <c r="EZ563" i="54"/>
  <c r="FG563" i="54"/>
  <c r="FB563" i="54"/>
  <c r="EY563" i="54"/>
  <c r="FF563" i="54"/>
  <c r="FC563" i="54"/>
  <c r="EX563" i="54"/>
  <c r="EW448" i="54"/>
  <c r="FD448" i="54"/>
  <c r="FE448" i="54"/>
  <c r="EV448" i="54"/>
  <c r="ES448" i="54"/>
  <c r="FG448" i="54"/>
  <c r="EU448" i="54"/>
  <c r="FC448" i="54"/>
  <c r="EW546" i="54"/>
  <c r="FD546" i="54"/>
  <c r="DY546" i="54"/>
  <c r="ES546" i="54"/>
  <c r="FC546" i="54"/>
  <c r="EV546" i="54"/>
  <c r="FF546" i="54"/>
  <c r="FG546" i="54"/>
  <c r="FE524" i="54"/>
  <c r="FF524" i="54"/>
  <c r="ES524" i="54"/>
  <c r="FD524" i="54"/>
  <c r="EV524" i="54"/>
  <c r="FG524" i="54"/>
  <c r="EU524" i="54"/>
  <c r="HH8" i="54"/>
  <c r="HH9" i="54"/>
  <c r="HH5" i="54"/>
  <c r="HH6" i="54"/>
  <c r="HH7" i="54"/>
  <c r="HK75" i="54"/>
  <c r="HK73" i="54"/>
  <c r="HK74" i="54"/>
  <c r="HK70" i="54"/>
  <c r="HK71" i="54"/>
  <c r="HK76" i="54"/>
  <c r="HK72" i="54"/>
  <c r="FB561" i="54"/>
  <c r="EY561" i="54"/>
  <c r="EV561" i="54"/>
  <c r="EX561" i="54"/>
  <c r="ET561" i="54"/>
  <c r="EU561" i="54"/>
  <c r="FA561" i="54"/>
  <c r="EW561" i="54"/>
  <c r="FE518" i="54"/>
  <c r="FF518" i="54"/>
  <c r="EZ518" i="54"/>
  <c r="EV518" i="54"/>
  <c r="FD518" i="54"/>
  <c r="EY518" i="54"/>
  <c r="EU518" i="54"/>
  <c r="FG518" i="54"/>
  <c r="EX518" i="54"/>
  <c r="EW518" i="54"/>
  <c r="ET518" i="54"/>
  <c r="DY553" i="54"/>
  <c r="FA553" i="54"/>
  <c r="FC553" i="54"/>
  <c r="EZ553" i="54"/>
  <c r="FF553" i="54"/>
  <c r="FG553" i="54"/>
  <c r="FB553" i="54"/>
  <c r="EY553" i="54"/>
  <c r="FE553" i="54"/>
  <c r="FA479" i="54"/>
  <c r="ET479" i="54"/>
  <c r="FC479" i="54"/>
  <c r="EZ479" i="54"/>
  <c r="EW479" i="54"/>
  <c r="FF479" i="54"/>
  <c r="EY479" i="54"/>
  <c r="EV479" i="54"/>
  <c r="ES479" i="54"/>
  <c r="FD479" i="54"/>
  <c r="FE479" i="54"/>
  <c r="DY520" i="54"/>
  <c r="EW520" i="54"/>
  <c r="ET520" i="54"/>
  <c r="EZ520" i="54"/>
  <c r="ES520" i="54"/>
  <c r="EY520" i="54"/>
  <c r="EV520" i="54"/>
  <c r="FB520" i="54"/>
  <c r="DY515" i="54"/>
  <c r="FG515" i="54"/>
  <c r="FD515" i="54"/>
  <c r="FB515" i="54"/>
  <c r="FC515" i="54"/>
  <c r="EX515" i="54"/>
  <c r="FF515" i="54"/>
  <c r="FA515" i="54"/>
  <c r="EV468" i="54"/>
  <c r="FC468" i="54"/>
  <c r="ET468" i="54"/>
  <c r="EU468" i="54"/>
  <c r="FF468" i="54"/>
  <c r="FG468" i="54"/>
  <c r="EW468" i="54"/>
  <c r="FE468" i="54"/>
  <c r="DY539" i="54"/>
  <c r="EY539" i="54"/>
  <c r="FC539" i="54"/>
  <c r="EX539" i="54"/>
  <c r="FE539" i="54"/>
  <c r="FF539" i="54"/>
  <c r="FA539" i="54"/>
  <c r="FB539" i="54"/>
  <c r="FD539" i="54"/>
  <c r="DY486" i="54"/>
  <c r="FD486" i="54"/>
  <c r="EY486" i="54"/>
  <c r="FG486" i="54"/>
  <c r="EX486" i="54"/>
  <c r="FC486" i="54"/>
  <c r="FA486" i="54"/>
  <c r="FB486" i="54"/>
  <c r="DY445" i="54"/>
  <c r="EV445" i="54"/>
  <c r="FE445" i="54"/>
  <c r="FC445" i="54"/>
  <c r="EU445" i="54"/>
  <c r="EW445" i="54"/>
  <c r="FF445" i="54"/>
  <c r="FD445" i="54"/>
  <c r="DY461" i="54"/>
  <c r="EZ461" i="54"/>
  <c r="ET461" i="54"/>
  <c r="EU461" i="54"/>
  <c r="FB461" i="54"/>
  <c r="EY461" i="54"/>
  <c r="EW461" i="54"/>
  <c r="EX461" i="54"/>
  <c r="ES461" i="54"/>
  <c r="EX456" i="54"/>
  <c r="EV456" i="54"/>
  <c r="ES456" i="54"/>
  <c r="EZ456" i="54"/>
  <c r="FA456" i="54"/>
  <c r="EU456" i="54"/>
  <c r="EY456" i="54"/>
  <c r="ET456" i="54"/>
  <c r="HI6" i="54"/>
  <c r="HI7" i="54"/>
  <c r="HI5" i="54"/>
  <c r="HI8" i="54"/>
  <c r="HI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DY561" i="54"/>
  <c r="DY456" i="54"/>
  <c r="DY560" i="54"/>
  <c r="DY490" i="54"/>
  <c r="EZ347" i="54"/>
  <c r="FA347" i="54"/>
  <c r="EZ378" i="54"/>
  <c r="EX378" i="54"/>
  <c r="FB65" i="54"/>
  <c r="DY494" i="54"/>
  <c r="DY545" i="54"/>
  <c r="DY537" i="54"/>
  <c r="DY517" i="54"/>
  <c r="DY479" i="54"/>
  <c r="DY524" i="54"/>
  <c r="DY468" i="54"/>
  <c r="DY536" i="54"/>
  <c r="DY518" i="54"/>
  <c r="DY510" i="54"/>
  <c r="DY548" i="54"/>
  <c r="DY564" i="54"/>
  <c r="DY552" i="54"/>
  <c r="EU12" i="54"/>
  <c r="FB333" i="54"/>
  <c r="FA198" i="54"/>
  <c r="EX347" i="54"/>
  <c r="EY378" i="54"/>
  <c r="DY404" i="54"/>
  <c r="DY447" i="54"/>
  <c r="DY460" i="54"/>
  <c r="DY502" i="54"/>
  <c r="DY538" i="54"/>
  <c r="DY484" i="54"/>
  <c r="FA312" i="54"/>
  <c r="FF352" i="54"/>
  <c r="EY347" i="54"/>
  <c r="FB378" i="54"/>
  <c r="DY214" i="54"/>
  <c r="EX479" i="54"/>
  <c r="EX552" i="54"/>
  <c r="DY526" i="54"/>
  <c r="DY446" i="54"/>
  <c r="DY562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HL152" i="54" s="1"/>
  <c r="IC152" i="54" s="1"/>
  <c r="ES284" i="54"/>
  <c r="HK149" i="54" s="1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HK90" i="54" s="1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HL48" i="54" s="1"/>
  <c r="IC48" i="54" s="1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ET301" i="54"/>
  <c r="ES301" i="54"/>
  <c r="EW301" i="54"/>
  <c r="EY391" i="54"/>
  <c r="FG391" i="54"/>
  <c r="FF391" i="54"/>
  <c r="FC391" i="54"/>
  <c r="FD391" i="54"/>
  <c r="EX289" i="54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HM89" i="54" s="1"/>
  <c r="ID89" i="54" s="1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HK84" i="54" s="1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9" i="54" s="1"/>
  <c r="FC119" i="54"/>
  <c r="ES393" i="54"/>
  <c r="FA46" i="54"/>
  <c r="FB46" i="54"/>
  <c r="ES270" i="54"/>
  <c r="HK48" i="54" s="1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HM17" i="54" s="1"/>
  <c r="ID17" i="54" s="1"/>
  <c r="FA270" i="54"/>
  <c r="FE81" i="54"/>
  <c r="FA314" i="54"/>
  <c r="EZ424" i="54"/>
  <c r="FD233" i="54"/>
  <c r="FA171" i="54"/>
  <c r="FB171" i="54"/>
  <c r="FE375" i="54"/>
  <c r="FB385" i="54"/>
  <c r="EX385" i="54"/>
  <c r="FC270" i="54"/>
  <c r="HM47" i="54" s="1"/>
  <c r="FE265" i="54"/>
  <c r="ET314" i="54"/>
  <c r="IC57" i="54"/>
  <c r="IC79" i="54"/>
  <c r="IC99" i="54"/>
  <c r="IC95" i="54"/>
  <c r="IC94" i="54"/>
  <c r="IC98" i="54"/>
  <c r="ID60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DY19" i="54"/>
  <c r="FG268" i="54"/>
  <c r="EX268" i="54"/>
  <c r="HL36" i="54" s="1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EX298" i="54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HL64" i="54" s="1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HK63" i="54" s="1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HL144" i="54" s="1"/>
  <c r="IC144" i="54" s="1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ET372" i="54"/>
  <c r="FC287" i="54"/>
  <c r="FA395" i="54"/>
  <c r="FA13" i="54"/>
  <c r="FC17" i="54"/>
  <c r="FA188" i="54"/>
  <c r="EV203" i="54"/>
  <c r="EW158" i="54"/>
  <c r="FD374" i="54"/>
  <c r="ES103" i="54"/>
  <c r="FC273" i="54"/>
  <c r="HM62" i="54" s="1"/>
  <c r="EX119" i="54"/>
  <c r="ES268" i="54"/>
  <c r="HK35" i="54" s="1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FF344" i="54"/>
  <c r="FA352" i="54"/>
  <c r="FB352" i="54"/>
  <c r="EZ61" i="54"/>
  <c r="EV421" i="54"/>
  <c r="ET99" i="54"/>
  <c r="FA418" i="54"/>
  <c r="FG300" i="54"/>
  <c r="FD300" i="54"/>
  <c r="ES279" i="54"/>
  <c r="HK114" i="54" s="1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HM153" i="54" s="1"/>
  <c r="ID153" i="54" s="1"/>
  <c r="FC57" i="54"/>
  <c r="HM92" i="54" s="1"/>
  <c r="ID92" i="54" s="1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HM32" i="54" s="1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EZ291" i="54"/>
  <c r="EX291" i="54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HK141" i="54" s="1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HM141" i="54" s="1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Q66" i="66"/>
  <c r="BK66" i="66"/>
  <c r="AX85" i="66"/>
  <c r="AX84" i="66"/>
  <c r="AX83" i="66"/>
  <c r="AX82" i="66"/>
  <c r="AX81" i="66"/>
  <c r="AX80" i="66"/>
  <c r="AX79" i="66"/>
  <c r="AX78" i="66"/>
  <c r="AX77" i="66"/>
  <c r="AX76" i="66"/>
  <c r="AX75" i="66"/>
  <c r="AX74" i="66"/>
  <c r="AX73" i="66"/>
  <c r="AX72" i="66"/>
  <c r="AX71" i="66"/>
  <c r="AX70" i="66"/>
  <c r="AX69" i="66"/>
  <c r="AX68" i="66"/>
  <c r="AX67" i="66"/>
  <c r="AX66" i="66"/>
  <c r="BQ46" i="66"/>
  <c r="BK46" i="66"/>
  <c r="BK26" i="66"/>
  <c r="HM149" i="54" l="1"/>
  <c r="ID149" i="54" s="1"/>
  <c r="HM151" i="54"/>
  <c r="ID151" i="54" s="1"/>
  <c r="HM147" i="54"/>
  <c r="ID147" i="54" s="1"/>
  <c r="HM90" i="54"/>
  <c r="ID90" i="54" s="1"/>
  <c r="HM86" i="54"/>
  <c r="ID86" i="54" s="1"/>
  <c r="HM18" i="54"/>
  <c r="ID18" i="54" s="1"/>
  <c r="HM10" i="54"/>
  <c r="ID10" i="54" s="1"/>
  <c r="HM98" i="54"/>
  <c r="ID98" i="54" s="1"/>
  <c r="HM99" i="54"/>
  <c r="ID99" i="54" s="1"/>
  <c r="HM145" i="54"/>
  <c r="ID145" i="54" s="1"/>
  <c r="HM154" i="54"/>
  <c r="ID154" i="54" s="1"/>
  <c r="HM150" i="54"/>
  <c r="ID150" i="54" s="1"/>
  <c r="HM85" i="54"/>
  <c r="ID85" i="54" s="1"/>
  <c r="HM13" i="54"/>
  <c r="ID13" i="54" s="1"/>
  <c r="HM11" i="54"/>
  <c r="ID11" i="54" s="1"/>
  <c r="HM16" i="54"/>
  <c r="ID16" i="54" s="1"/>
  <c r="HM96" i="54"/>
  <c r="ID96" i="54" s="1"/>
  <c r="HM94" i="54"/>
  <c r="ID94" i="54" s="1"/>
  <c r="HM146" i="54"/>
  <c r="ID146" i="54" s="1"/>
  <c r="HM148" i="54"/>
  <c r="ID148" i="54" s="1"/>
  <c r="HM91" i="54"/>
  <c r="ID91" i="54" s="1"/>
  <c r="HM88" i="54"/>
  <c r="ID88" i="54" s="1"/>
  <c r="HM12" i="54"/>
  <c r="ID12" i="54" s="1"/>
  <c r="HM14" i="54"/>
  <c r="ID14" i="54" s="1"/>
  <c r="HM19" i="54"/>
  <c r="HM93" i="54"/>
  <c r="ID93" i="54" s="1"/>
  <c r="HM97" i="54"/>
  <c r="ID97" i="54" s="1"/>
  <c r="HM152" i="54"/>
  <c r="ID152" i="54" s="1"/>
  <c r="HM87" i="54"/>
  <c r="ID87" i="54" s="1"/>
  <c r="HM15" i="54"/>
  <c r="ID15" i="54" s="1"/>
  <c r="HM95" i="54"/>
  <c r="ID95" i="54" s="1"/>
  <c r="DZ505" i="54"/>
  <c r="DZ625" i="54"/>
  <c r="DZ509" i="54"/>
  <c r="DZ629" i="54"/>
  <c r="DZ513" i="54"/>
  <c r="DZ633" i="54"/>
  <c r="DZ517" i="54"/>
  <c r="DZ637" i="54"/>
  <c r="DZ521" i="54"/>
  <c r="DZ641" i="54"/>
  <c r="DZ506" i="54"/>
  <c r="DZ626" i="54"/>
  <c r="DZ510" i="54"/>
  <c r="DZ630" i="54"/>
  <c r="DZ514" i="54"/>
  <c r="DZ634" i="54"/>
  <c r="DZ518" i="54"/>
  <c r="DZ638" i="54"/>
  <c r="DZ522" i="54"/>
  <c r="DZ642" i="54"/>
  <c r="DZ507" i="54"/>
  <c r="DZ627" i="54"/>
  <c r="DZ511" i="54"/>
  <c r="DZ631" i="54"/>
  <c r="DZ515" i="54"/>
  <c r="DZ635" i="54"/>
  <c r="DZ519" i="54"/>
  <c r="DZ639" i="54"/>
  <c r="DZ523" i="54"/>
  <c r="DZ643" i="54"/>
  <c r="DZ508" i="54"/>
  <c r="DZ628" i="54"/>
  <c r="DZ512" i="54"/>
  <c r="DZ632" i="54"/>
  <c r="DZ516" i="54"/>
  <c r="DZ636" i="54"/>
  <c r="DZ520" i="54"/>
  <c r="DZ640" i="54"/>
  <c r="DZ524" i="54"/>
  <c r="DZ644" i="54"/>
  <c r="DF1305" i="54"/>
  <c r="DF1617" i="54"/>
  <c r="FJ625" i="54"/>
  <c r="FI625" i="54"/>
  <c r="FK625" i="54"/>
  <c r="FH625" i="54"/>
  <c r="FL625" i="54"/>
  <c r="EA625" i="54"/>
  <c r="N4" i="67"/>
  <c r="DF1565" i="54"/>
  <c r="FJ605" i="54"/>
  <c r="FK605" i="54"/>
  <c r="EA605" i="54"/>
  <c r="FI605" i="54"/>
  <c r="FL605" i="54"/>
  <c r="FH605" i="54"/>
  <c r="DF1253" i="54"/>
  <c r="DG1253" i="54" s="1"/>
  <c r="DF1513" i="54"/>
  <c r="HM77" i="54"/>
  <c r="HM78" i="54"/>
  <c r="HM50" i="54"/>
  <c r="ID50" i="54" s="1"/>
  <c r="HM63" i="54"/>
  <c r="HM65" i="54"/>
  <c r="HM37" i="54"/>
  <c r="HM30" i="54"/>
  <c r="ID30" i="54" s="1"/>
  <c r="HM35" i="54"/>
  <c r="HM137" i="54"/>
  <c r="HM138" i="54"/>
  <c r="HM81" i="54"/>
  <c r="ID81" i="54" s="1"/>
  <c r="HM83" i="54"/>
  <c r="HM48" i="54"/>
  <c r="ID48" i="54" s="1"/>
  <c r="HM66" i="54"/>
  <c r="HM67" i="54"/>
  <c r="ID67" i="54" s="1"/>
  <c r="HM31" i="54"/>
  <c r="HM36" i="54"/>
  <c r="HM38" i="54"/>
  <c r="HM139" i="54"/>
  <c r="ID139" i="54" s="1"/>
  <c r="HM144" i="54"/>
  <c r="ID144" i="54" s="1"/>
  <c r="HM84" i="54"/>
  <c r="ID84" i="54" s="1"/>
  <c r="HM49" i="54"/>
  <c r="ID49" i="54" s="1"/>
  <c r="HM51" i="54"/>
  <c r="ID51" i="54" s="1"/>
  <c r="HM69" i="54"/>
  <c r="ID69" i="54" s="1"/>
  <c r="HM68" i="54"/>
  <c r="HM34" i="54"/>
  <c r="HM39" i="54"/>
  <c r="ID39" i="54" s="1"/>
  <c r="HM140" i="54"/>
  <c r="HM142" i="54"/>
  <c r="ID78" i="54"/>
  <c r="HM80" i="54"/>
  <c r="ID80" i="54" s="1"/>
  <c r="HM82" i="54"/>
  <c r="HM64" i="54"/>
  <c r="HM33" i="54"/>
  <c r="HM143" i="54"/>
  <c r="ID143" i="54" s="1"/>
  <c r="HK142" i="54"/>
  <c r="HK138" i="54"/>
  <c r="HK51" i="54"/>
  <c r="HK80" i="54"/>
  <c r="IB80" i="54" s="1"/>
  <c r="HK81" i="54"/>
  <c r="HK86" i="54"/>
  <c r="HK85" i="54"/>
  <c r="HK107" i="54"/>
  <c r="HK113" i="54"/>
  <c r="HK66" i="54"/>
  <c r="HK65" i="54"/>
  <c r="HK150" i="54"/>
  <c r="HK146" i="54"/>
  <c r="HK32" i="54"/>
  <c r="HK33" i="54"/>
  <c r="HK139" i="54"/>
  <c r="HK137" i="54"/>
  <c r="HK49" i="54"/>
  <c r="HK83" i="54"/>
  <c r="HK79" i="54"/>
  <c r="IB79" i="54" s="1"/>
  <c r="HK88" i="54"/>
  <c r="HK110" i="54"/>
  <c r="HK109" i="54"/>
  <c r="HK64" i="54"/>
  <c r="HK68" i="54"/>
  <c r="HK152" i="54"/>
  <c r="HK153" i="54"/>
  <c r="HK39" i="54"/>
  <c r="HK34" i="54"/>
  <c r="HK140" i="54"/>
  <c r="HK143" i="54"/>
  <c r="HK50" i="54"/>
  <c r="IB50" i="54" s="1"/>
  <c r="HK47" i="54"/>
  <c r="HK82" i="54"/>
  <c r="HK77" i="54"/>
  <c r="HK91" i="54"/>
  <c r="IH91" i="54" s="1"/>
  <c r="HK89" i="54"/>
  <c r="HK112" i="54"/>
  <c r="HK111" i="54"/>
  <c r="HK67" i="54"/>
  <c r="HK69" i="54"/>
  <c r="HK151" i="54"/>
  <c r="HK148" i="54"/>
  <c r="HK154" i="54"/>
  <c r="IB154" i="54" s="1"/>
  <c r="HK31" i="54"/>
  <c r="HK37" i="54"/>
  <c r="HK30" i="54"/>
  <c r="HK144" i="54"/>
  <c r="IH144" i="54" s="1"/>
  <c r="HK78" i="54"/>
  <c r="HK87" i="54"/>
  <c r="HK108" i="54"/>
  <c r="HK62" i="54"/>
  <c r="HK147" i="54"/>
  <c r="HK145" i="54"/>
  <c r="HK36" i="54"/>
  <c r="HK38" i="54"/>
  <c r="HL151" i="54"/>
  <c r="IC151" i="54" s="1"/>
  <c r="HL149" i="54"/>
  <c r="IC149" i="54" s="1"/>
  <c r="HL31" i="54"/>
  <c r="HL37" i="54"/>
  <c r="IC37" i="54" s="1"/>
  <c r="HL35" i="54"/>
  <c r="HL138" i="54"/>
  <c r="HL139" i="54"/>
  <c r="HL69" i="54"/>
  <c r="IC69" i="54" s="1"/>
  <c r="HL63" i="54"/>
  <c r="HL49" i="54"/>
  <c r="IC49" i="54" s="1"/>
  <c r="HL145" i="54"/>
  <c r="IC145" i="54" s="1"/>
  <c r="HL150" i="54"/>
  <c r="IC150" i="54" s="1"/>
  <c r="HL147" i="54"/>
  <c r="IC147" i="54" s="1"/>
  <c r="HL39" i="54"/>
  <c r="IC39" i="54" s="1"/>
  <c r="HL34" i="54"/>
  <c r="HL32" i="54"/>
  <c r="IC32" i="54" s="1"/>
  <c r="HL143" i="54"/>
  <c r="HL141" i="54"/>
  <c r="HL66" i="54"/>
  <c r="HL62" i="54"/>
  <c r="IC62" i="54" s="1"/>
  <c r="HL51" i="54"/>
  <c r="IC51" i="54" s="1"/>
  <c r="HL154" i="54"/>
  <c r="HL153" i="54"/>
  <c r="IC153" i="54" s="1"/>
  <c r="HL148" i="54"/>
  <c r="IC148" i="54" s="1"/>
  <c r="HL30" i="54"/>
  <c r="HL33" i="54"/>
  <c r="HL137" i="54"/>
  <c r="HL142" i="54"/>
  <c r="IC142" i="54" s="1"/>
  <c r="HL65" i="54"/>
  <c r="HL68" i="54"/>
  <c r="HL47" i="54"/>
  <c r="IC47" i="54" s="1"/>
  <c r="HL146" i="54"/>
  <c r="IC146" i="54" s="1"/>
  <c r="HL38" i="54"/>
  <c r="HL140" i="54"/>
  <c r="HL67" i="54"/>
  <c r="HL50" i="54"/>
  <c r="IC50" i="54" s="1"/>
  <c r="HK57" i="54"/>
  <c r="HK61" i="54"/>
  <c r="HK58" i="54"/>
  <c r="HK60" i="54"/>
  <c r="IH60" i="54" s="1"/>
  <c r="HK59" i="54"/>
  <c r="HK53" i="54"/>
  <c r="HK52" i="54"/>
  <c r="HK56" i="54"/>
  <c r="IB56" i="54" s="1"/>
  <c r="HK54" i="54"/>
  <c r="HK55" i="54"/>
  <c r="HL16" i="54"/>
  <c r="IC16" i="54" s="1"/>
  <c r="HL13" i="54"/>
  <c r="IC13" i="54" s="1"/>
  <c r="HL17" i="54"/>
  <c r="IC17" i="54" s="1"/>
  <c r="HL11" i="54"/>
  <c r="HL19" i="54"/>
  <c r="HL12" i="54"/>
  <c r="IC12" i="54" s="1"/>
  <c r="HL14" i="54"/>
  <c r="IC14" i="54" s="1"/>
  <c r="HL15" i="54"/>
  <c r="HL18" i="54"/>
  <c r="HL10" i="54"/>
  <c r="IC10" i="54" s="1"/>
  <c r="HL7" i="54"/>
  <c r="IC7" i="54" s="1"/>
  <c r="HL8" i="54"/>
  <c r="HL5" i="54"/>
  <c r="IC5" i="54" s="1"/>
  <c r="HL9" i="54"/>
  <c r="IC9" i="54" s="1"/>
  <c r="HL6" i="54"/>
  <c r="IC6" i="54" s="1"/>
  <c r="HM102" i="54"/>
  <c r="HM106" i="54"/>
  <c r="HM103" i="54"/>
  <c r="ID103" i="54" s="1"/>
  <c r="HM100" i="54"/>
  <c r="ID100" i="54" s="1"/>
  <c r="HM101" i="54"/>
  <c r="HM105" i="54"/>
  <c r="ID105" i="54" s="1"/>
  <c r="HM104" i="54"/>
  <c r="ID104" i="54" s="1"/>
  <c r="HL128" i="54"/>
  <c r="HL122" i="54"/>
  <c r="HL126" i="54"/>
  <c r="HL127" i="54"/>
  <c r="IC127" i="54" s="1"/>
  <c r="HL124" i="54"/>
  <c r="HL123" i="54"/>
  <c r="HL125" i="54"/>
  <c r="IC125" i="54" s="1"/>
  <c r="HL129" i="54"/>
  <c r="IC129" i="54" s="1"/>
  <c r="HL55" i="54"/>
  <c r="IC55" i="54" s="1"/>
  <c r="HL52" i="54"/>
  <c r="HL54" i="54"/>
  <c r="HL56" i="54"/>
  <c r="IC56" i="54" s="1"/>
  <c r="HL53" i="54"/>
  <c r="IC53" i="54" s="1"/>
  <c r="HL121" i="54"/>
  <c r="HL116" i="54"/>
  <c r="HL119" i="54"/>
  <c r="IC119" i="54" s="1"/>
  <c r="HL120" i="54"/>
  <c r="IC120" i="54" s="1"/>
  <c r="HL115" i="54"/>
  <c r="HL117" i="54"/>
  <c r="IC117" i="54" s="1"/>
  <c r="HL118" i="54"/>
  <c r="IC118" i="54" s="1"/>
  <c r="HM54" i="54"/>
  <c r="HM55" i="54"/>
  <c r="ID55" i="54" s="1"/>
  <c r="HM56" i="54"/>
  <c r="HM52" i="54"/>
  <c r="ID52" i="54" s="1"/>
  <c r="HM53" i="54"/>
  <c r="HK26" i="54"/>
  <c r="IB26" i="54" s="1"/>
  <c r="HK20" i="54"/>
  <c r="IB20" i="54" s="1"/>
  <c r="HK27" i="54"/>
  <c r="IB27" i="54" s="1"/>
  <c r="HK24" i="54"/>
  <c r="HK28" i="54"/>
  <c r="IB28" i="54" s="1"/>
  <c r="HK22" i="54"/>
  <c r="HK29" i="54"/>
  <c r="HK23" i="54"/>
  <c r="HK25" i="54"/>
  <c r="IB25" i="54" s="1"/>
  <c r="HK21" i="54"/>
  <c r="HK10" i="54"/>
  <c r="IB10" i="54" s="1"/>
  <c r="HK13" i="54"/>
  <c r="HK14" i="54"/>
  <c r="IB14" i="54" s="1"/>
  <c r="HK19" i="54"/>
  <c r="HK18" i="54"/>
  <c r="IB18" i="54" s="1"/>
  <c r="HK12" i="54"/>
  <c r="HK17" i="54"/>
  <c r="IB17" i="54" s="1"/>
  <c r="HK16" i="54"/>
  <c r="HK11" i="54"/>
  <c r="IB11" i="54" s="1"/>
  <c r="HK15" i="54"/>
  <c r="HK9" i="54"/>
  <c r="HK6" i="54"/>
  <c r="HK8" i="54"/>
  <c r="HK5" i="54"/>
  <c r="HK7" i="54"/>
  <c r="HK42" i="54"/>
  <c r="IB42" i="54" s="1"/>
  <c r="HK46" i="54"/>
  <c r="IB46" i="54" s="1"/>
  <c r="HK40" i="54"/>
  <c r="HK45" i="54"/>
  <c r="HK41" i="54"/>
  <c r="HK44" i="54"/>
  <c r="IB44" i="54" s="1"/>
  <c r="HK43" i="54"/>
  <c r="HM41" i="54"/>
  <c r="HM45" i="54"/>
  <c r="HM42" i="54"/>
  <c r="ID42" i="54" s="1"/>
  <c r="HM46" i="54"/>
  <c r="HM43" i="54"/>
  <c r="HM40" i="54"/>
  <c r="ID40" i="54" s="1"/>
  <c r="HM44" i="54"/>
  <c r="ID44" i="54" s="1"/>
  <c r="HM118" i="54"/>
  <c r="HM115" i="54"/>
  <c r="HM121" i="54"/>
  <c r="ID121" i="54" s="1"/>
  <c r="HM119" i="54"/>
  <c r="ID119" i="54" s="1"/>
  <c r="HM116" i="54"/>
  <c r="HM117" i="54"/>
  <c r="HM120" i="54"/>
  <c r="HM122" i="54"/>
  <c r="ID122" i="54" s="1"/>
  <c r="HM129" i="54"/>
  <c r="HM126" i="54"/>
  <c r="HM123" i="54"/>
  <c r="ID123" i="54" s="1"/>
  <c r="HM127" i="54"/>
  <c r="ID127" i="54" s="1"/>
  <c r="HM128" i="54"/>
  <c r="HM125" i="54"/>
  <c r="HM124" i="54"/>
  <c r="ID124" i="54" s="1"/>
  <c r="HM22" i="54"/>
  <c r="ID22" i="54" s="1"/>
  <c r="HM26" i="54"/>
  <c r="HM23" i="54"/>
  <c r="HM20" i="54"/>
  <c r="HM29" i="54"/>
  <c r="ID29" i="54" s="1"/>
  <c r="HM27" i="54"/>
  <c r="HM24" i="54"/>
  <c r="HM28" i="54"/>
  <c r="HM21" i="54"/>
  <c r="ID21" i="54" s="1"/>
  <c r="HM25" i="54"/>
  <c r="HM70" i="54"/>
  <c r="HM74" i="54"/>
  <c r="IH74" i="54" s="1"/>
  <c r="HM71" i="54"/>
  <c r="ID71" i="54" s="1"/>
  <c r="HM75" i="54"/>
  <c r="HM73" i="54"/>
  <c r="ID73" i="54" s="1"/>
  <c r="HM72" i="54"/>
  <c r="ID72" i="54" s="1"/>
  <c r="HM76" i="54"/>
  <c r="ID76" i="54" s="1"/>
  <c r="HK125" i="54"/>
  <c r="HK122" i="54"/>
  <c r="IB122" i="54" s="1"/>
  <c r="HK129" i="54"/>
  <c r="HK127" i="54"/>
  <c r="IB127" i="54" s="1"/>
  <c r="HK124" i="54"/>
  <c r="HK126" i="54"/>
  <c r="IB126" i="54" s="1"/>
  <c r="HK123" i="54"/>
  <c r="HK128" i="54"/>
  <c r="IB128" i="54" s="1"/>
  <c r="HM134" i="54"/>
  <c r="HM131" i="54"/>
  <c r="HM132" i="54"/>
  <c r="ID132" i="54" s="1"/>
  <c r="HM135" i="54"/>
  <c r="ID135" i="54" s="1"/>
  <c r="HM130" i="54"/>
  <c r="HM133" i="54"/>
  <c r="ID133" i="54" s="1"/>
  <c r="HM136" i="54"/>
  <c r="HK117" i="54"/>
  <c r="HK121" i="54"/>
  <c r="HK116" i="54"/>
  <c r="HK118" i="54"/>
  <c r="HK119" i="54"/>
  <c r="HK115" i="54"/>
  <c r="HK120" i="54"/>
  <c r="HL132" i="54"/>
  <c r="HL130" i="54"/>
  <c r="IC130" i="54" s="1"/>
  <c r="HL136" i="54"/>
  <c r="IC136" i="54" s="1"/>
  <c r="HL131" i="54"/>
  <c r="HL134" i="54"/>
  <c r="IC134" i="54" s="1"/>
  <c r="HL135" i="54"/>
  <c r="IC135" i="54" s="1"/>
  <c r="HL133" i="54"/>
  <c r="IC133" i="54" s="1"/>
  <c r="HK101" i="54"/>
  <c r="IB101" i="54" s="1"/>
  <c r="HK103" i="54"/>
  <c r="IB103" i="54" s="1"/>
  <c r="HK105" i="54"/>
  <c r="IB105" i="54" s="1"/>
  <c r="HK100" i="54"/>
  <c r="HK106" i="54"/>
  <c r="HK104" i="54"/>
  <c r="HK102" i="54"/>
  <c r="HL100" i="54"/>
  <c r="IC100" i="54" s="1"/>
  <c r="HL105" i="54"/>
  <c r="HL104" i="54"/>
  <c r="HL102" i="54"/>
  <c r="IC102" i="54" s="1"/>
  <c r="HL106" i="54"/>
  <c r="IC106" i="54" s="1"/>
  <c r="HL101" i="54"/>
  <c r="HL103" i="54"/>
  <c r="IC103" i="54" s="1"/>
  <c r="HM6" i="54"/>
  <c r="HM7" i="54"/>
  <c r="HM5" i="54"/>
  <c r="HM8" i="54"/>
  <c r="HM9" i="54"/>
  <c r="ID9" i="54" s="1"/>
  <c r="HL29" i="54"/>
  <c r="HL23" i="54"/>
  <c r="HL20" i="54"/>
  <c r="HL24" i="54"/>
  <c r="IC24" i="54" s="1"/>
  <c r="HL21" i="54"/>
  <c r="IC21" i="54" s="1"/>
  <c r="HL22" i="54"/>
  <c r="HL26" i="54"/>
  <c r="HL28" i="54"/>
  <c r="IC28" i="54" s="1"/>
  <c r="HL25" i="54"/>
  <c r="HL27" i="54"/>
  <c r="HL45" i="54"/>
  <c r="IC45" i="54" s="1"/>
  <c r="HL41" i="54"/>
  <c r="IC41" i="54" s="1"/>
  <c r="HL40" i="54"/>
  <c r="HL46" i="54"/>
  <c r="IC46" i="54" s="1"/>
  <c r="HL42" i="54"/>
  <c r="IC42" i="54" s="1"/>
  <c r="HL44" i="54"/>
  <c r="IC44" i="54" s="1"/>
  <c r="HL43" i="54"/>
  <c r="IC43" i="54" s="1"/>
  <c r="HL112" i="54"/>
  <c r="HL113" i="54"/>
  <c r="HL110" i="54"/>
  <c r="IC110" i="54" s="1"/>
  <c r="HL108" i="54"/>
  <c r="IC108" i="54" s="1"/>
  <c r="HL111" i="54"/>
  <c r="HL114" i="54"/>
  <c r="IC114" i="54" s="1"/>
  <c r="HL107" i="54"/>
  <c r="IC107" i="54" s="1"/>
  <c r="HL109" i="54"/>
  <c r="IC109" i="54" s="1"/>
  <c r="HM110" i="54"/>
  <c r="ID110" i="54" s="1"/>
  <c r="HM107" i="54"/>
  <c r="ID107" i="54" s="1"/>
  <c r="HM109" i="54"/>
  <c r="ID109" i="54" s="1"/>
  <c r="HM114" i="54"/>
  <c r="HM111" i="54"/>
  <c r="ID111" i="54" s="1"/>
  <c r="HM113" i="54"/>
  <c r="ID113" i="54" s="1"/>
  <c r="HM108" i="54"/>
  <c r="ID108" i="54" s="1"/>
  <c r="HM112" i="54"/>
  <c r="ID112" i="54" s="1"/>
  <c r="FH505" i="54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F1357" i="54"/>
  <c r="DG1357" i="54" s="1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DG1409" i="54" s="1"/>
  <c r="EA505" i="54"/>
  <c r="EH506" i="54" s="1"/>
  <c r="IC40" i="54"/>
  <c r="IC123" i="54"/>
  <c r="IC128" i="54"/>
  <c r="IB124" i="54"/>
  <c r="ID75" i="54"/>
  <c r="ID74" i="54"/>
  <c r="IB125" i="54"/>
  <c r="ID70" i="54"/>
  <c r="DG1201" i="54"/>
  <c r="EA545" i="54"/>
  <c r="IC126" i="54"/>
  <c r="IC122" i="54"/>
  <c r="ID41" i="54"/>
  <c r="ID43" i="54"/>
  <c r="IC124" i="54"/>
  <c r="ID45" i="54"/>
  <c r="ID46" i="54"/>
  <c r="IB22" i="54"/>
  <c r="IB54" i="54"/>
  <c r="ID56" i="54"/>
  <c r="ID53" i="54"/>
  <c r="ID54" i="54"/>
  <c r="IC52" i="54"/>
  <c r="IC132" i="54"/>
  <c r="ID106" i="54"/>
  <c r="IC101" i="54"/>
  <c r="IC105" i="54"/>
  <c r="ID101" i="54"/>
  <c r="IH58" i="54"/>
  <c r="IC115" i="54"/>
  <c r="ID126" i="54"/>
  <c r="IB104" i="54"/>
  <c r="IC11" i="54"/>
  <c r="IB21" i="54"/>
  <c r="IB53" i="54"/>
  <c r="IB52" i="54"/>
  <c r="IC8" i="54"/>
  <c r="IC104" i="54"/>
  <c r="ID129" i="54"/>
  <c r="IH57" i="54"/>
  <c r="ID128" i="54"/>
  <c r="IB24" i="54"/>
  <c r="IC54" i="54"/>
  <c r="IC131" i="54"/>
  <c r="ID102" i="54"/>
  <c r="IB12" i="54"/>
  <c r="IC121" i="54"/>
  <c r="ID131" i="54"/>
  <c r="ID130" i="54"/>
  <c r="IB59" i="54"/>
  <c r="ID125" i="54"/>
  <c r="IC18" i="54"/>
  <c r="IB19" i="54"/>
  <c r="ID134" i="54"/>
  <c r="IC116" i="54"/>
  <c r="IC15" i="54"/>
  <c r="ID82" i="54"/>
  <c r="ID83" i="54"/>
  <c r="ID79" i="54"/>
  <c r="ID47" i="54"/>
  <c r="ID77" i="54"/>
  <c r="IB81" i="54"/>
  <c r="IB82" i="54"/>
  <c r="IB48" i="54"/>
  <c r="IH48" i="54"/>
  <c r="IB98" i="54"/>
  <c r="IH96" i="54"/>
  <c r="IB96" i="54"/>
  <c r="IB69" i="54"/>
  <c r="IB71" i="54"/>
  <c r="IH86" i="54"/>
  <c r="IB86" i="54"/>
  <c r="IH84" i="54"/>
  <c r="IB84" i="54"/>
  <c r="IB135" i="54"/>
  <c r="IB45" i="54"/>
  <c r="IB146" i="54"/>
  <c r="IB150" i="54"/>
  <c r="IB83" i="54"/>
  <c r="IB76" i="54"/>
  <c r="IH93" i="54"/>
  <c r="IB93" i="54"/>
  <c r="IH94" i="54"/>
  <c r="IB94" i="54"/>
  <c r="IB74" i="54"/>
  <c r="IH72" i="54"/>
  <c r="IB72" i="54"/>
  <c r="IB121" i="54"/>
  <c r="IH89" i="54"/>
  <c r="IB89" i="54"/>
  <c r="IH85" i="54"/>
  <c r="IB85" i="54"/>
  <c r="IB132" i="54"/>
  <c r="IB133" i="54"/>
  <c r="IB100" i="54"/>
  <c r="IH145" i="54"/>
  <c r="IB145" i="54"/>
  <c r="IH153" i="54"/>
  <c r="IB153" i="54"/>
  <c r="IH55" i="54"/>
  <c r="IB55" i="54"/>
  <c r="IH78" i="54"/>
  <c r="IB78" i="54"/>
  <c r="IH49" i="54"/>
  <c r="IB49" i="54"/>
  <c r="IB95" i="54"/>
  <c r="IH95" i="54"/>
  <c r="IH92" i="54"/>
  <c r="IB92" i="54"/>
  <c r="IH70" i="54"/>
  <c r="IB70" i="54"/>
  <c r="IB9" i="54"/>
  <c r="IB90" i="54"/>
  <c r="IH88" i="54"/>
  <c r="IB88" i="54"/>
  <c r="IB129" i="54"/>
  <c r="IB134" i="54"/>
  <c r="IB40" i="54"/>
  <c r="IB99" i="54"/>
  <c r="IH99" i="54"/>
  <c r="IB152" i="54"/>
  <c r="IB147" i="54"/>
  <c r="IH147" i="54"/>
  <c r="IB23" i="54"/>
  <c r="IB51" i="54"/>
  <c r="IB77" i="54"/>
  <c r="IB47" i="54"/>
  <c r="IH97" i="54"/>
  <c r="IB97" i="54"/>
  <c r="IB75" i="54"/>
  <c r="IH73" i="54"/>
  <c r="IB73" i="54"/>
  <c r="IH87" i="54"/>
  <c r="IB87" i="54"/>
  <c r="IB130" i="54"/>
  <c r="IB131" i="54"/>
  <c r="IH149" i="54"/>
  <c r="IB149" i="54"/>
  <c r="IH151" i="54"/>
  <c r="IB151" i="54"/>
  <c r="IB148" i="54"/>
  <c r="BR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8" i="54"/>
  <c r="ID136" i="54"/>
  <c r="ID140" i="54"/>
  <c r="ID142" i="54"/>
  <c r="ID25" i="54"/>
  <c r="ID23" i="54"/>
  <c r="ID24" i="54"/>
  <c r="ID20" i="54"/>
  <c r="ID26" i="54"/>
  <c r="ID27" i="54"/>
  <c r="ID28" i="54"/>
  <c r="ID19" i="54"/>
  <c r="ID34" i="54"/>
  <c r="ID31" i="54"/>
  <c r="ID32" i="54"/>
  <c r="ID35" i="54"/>
  <c r="ID37" i="54"/>
  <c r="ID33" i="54"/>
  <c r="ID36" i="54"/>
  <c r="ID38" i="54"/>
  <c r="IC20" i="54"/>
  <c r="IC25" i="54"/>
  <c r="IC27" i="54"/>
  <c r="IC26" i="54"/>
  <c r="IC23" i="54"/>
  <c r="IC19" i="54"/>
  <c r="IC22" i="54"/>
  <c r="IC29" i="54"/>
  <c r="IC35" i="54"/>
  <c r="IC33" i="54"/>
  <c r="IC31" i="54"/>
  <c r="IC34" i="54"/>
  <c r="IC36" i="54"/>
  <c r="IC30" i="54"/>
  <c r="IC38" i="54"/>
  <c r="ID66" i="54"/>
  <c r="ID63" i="54"/>
  <c r="ID62" i="54"/>
  <c r="ID65" i="54"/>
  <c r="ID61" i="54"/>
  <c r="ID68" i="54"/>
  <c r="ID64" i="54"/>
  <c r="ID114" i="54"/>
  <c r="ID118" i="54"/>
  <c r="ID115" i="54"/>
  <c r="ID117" i="54"/>
  <c r="ID116" i="54"/>
  <c r="ID120" i="54"/>
  <c r="IC141" i="54"/>
  <c r="IC137" i="54"/>
  <c r="IC143" i="54"/>
  <c r="IC140" i="54"/>
  <c r="IC139" i="54"/>
  <c r="IC138" i="54"/>
  <c r="IC61" i="54"/>
  <c r="IC63" i="54"/>
  <c r="IC65" i="54"/>
  <c r="IC67" i="54"/>
  <c r="IC64" i="54"/>
  <c r="IC68" i="54"/>
  <c r="IC66" i="54"/>
  <c r="IC111" i="54"/>
  <c r="IC112" i="54"/>
  <c r="IC113" i="54"/>
  <c r="DF1045" i="54"/>
  <c r="DG1045" i="54" s="1"/>
  <c r="EN7" i="66"/>
  <c r="DF57" i="54"/>
  <c r="DG57" i="54" s="1"/>
  <c r="DF109" i="54"/>
  <c r="DG109" i="54" s="1"/>
  <c r="DF213" i="54"/>
  <c r="DG213" i="54" s="1"/>
  <c r="BG85" i="66"/>
  <c r="DZ244" i="54"/>
  <c r="DZ124" i="54"/>
  <c r="DZ24" i="54"/>
  <c r="BG77" i="66"/>
  <c r="DZ116" i="54"/>
  <c r="DZ236" i="54"/>
  <c r="DZ16" i="54"/>
  <c r="BL66" i="66"/>
  <c r="DF473" i="54"/>
  <c r="DG473" i="54" s="1"/>
  <c r="DF577" i="54"/>
  <c r="DG577" i="54" s="1"/>
  <c r="DF5" i="54"/>
  <c r="DG5" i="54" s="1"/>
  <c r="BG73" i="66"/>
  <c r="DZ232" i="54"/>
  <c r="DZ112" i="54"/>
  <c r="DZ12" i="54"/>
  <c r="BH66" i="66"/>
  <c r="DZ225" i="54"/>
  <c r="DZ5" i="54"/>
  <c r="DZ105" i="54"/>
  <c r="BH70" i="66"/>
  <c r="DZ9" i="54"/>
  <c r="DZ229" i="54"/>
  <c r="DZ109" i="54"/>
  <c r="BH74" i="66"/>
  <c r="DZ113" i="54"/>
  <c r="DZ233" i="54"/>
  <c r="DZ13" i="54"/>
  <c r="BH78" i="66"/>
  <c r="DZ117" i="54"/>
  <c r="DZ237" i="54"/>
  <c r="DZ17" i="54"/>
  <c r="BH82" i="66"/>
  <c r="DZ121" i="54"/>
  <c r="DZ21" i="54"/>
  <c r="DZ241" i="54"/>
  <c r="DF525" i="54"/>
  <c r="DG525" i="54" s="1"/>
  <c r="DF785" i="54"/>
  <c r="DG785" i="54" s="1"/>
  <c r="BR46" i="66"/>
  <c r="BG69" i="66"/>
  <c r="DZ8" i="54"/>
  <c r="DZ228" i="54"/>
  <c r="DZ108" i="54"/>
  <c r="BG81" i="66"/>
  <c r="DZ20" i="54"/>
  <c r="DZ120" i="54"/>
  <c r="DZ240" i="54"/>
  <c r="DL1565" i="54"/>
  <c r="BL46" i="66"/>
  <c r="DI1565" i="54" s="1"/>
  <c r="DF681" i="54"/>
  <c r="DF837" i="54"/>
  <c r="DG837" i="54" s="1"/>
  <c r="DF317" i="54"/>
  <c r="DG317" i="54" s="1"/>
  <c r="DF369" i="54"/>
  <c r="DG369" i="54" s="1"/>
  <c r="BF68" i="66"/>
  <c r="DZ107" i="54"/>
  <c r="DZ7" i="54"/>
  <c r="DZ227" i="54"/>
  <c r="BF72" i="66"/>
  <c r="DZ111" i="54"/>
  <c r="DZ231" i="54"/>
  <c r="DZ11" i="54"/>
  <c r="BF76" i="66"/>
  <c r="DZ115" i="54"/>
  <c r="DZ235" i="54"/>
  <c r="DZ15" i="54"/>
  <c r="BF80" i="66"/>
  <c r="DZ239" i="54"/>
  <c r="DZ19" i="54"/>
  <c r="DZ119" i="54"/>
  <c r="BF84" i="66"/>
  <c r="DZ123" i="54"/>
  <c r="DZ23" i="54"/>
  <c r="DZ243" i="54"/>
  <c r="DF421" i="54"/>
  <c r="DG421" i="54" s="1"/>
  <c r="DF265" i="54"/>
  <c r="DG265" i="54" s="1"/>
  <c r="DF993" i="54"/>
  <c r="DG993" i="54" s="1"/>
  <c r="BL26" i="66"/>
  <c r="DI1513" i="54" s="1"/>
  <c r="BH67" i="66"/>
  <c r="DZ106" i="54"/>
  <c r="DZ6" i="54"/>
  <c r="DZ226" i="54"/>
  <c r="BH71" i="66"/>
  <c r="DZ230" i="54"/>
  <c r="DZ10" i="54"/>
  <c r="DZ110" i="54"/>
  <c r="BH75" i="66"/>
  <c r="DZ234" i="54"/>
  <c r="DZ114" i="54"/>
  <c r="DZ14" i="54"/>
  <c r="BH79" i="66"/>
  <c r="DZ18" i="54"/>
  <c r="DZ218" i="54"/>
  <c r="DZ118" i="54"/>
  <c r="DZ238" i="54"/>
  <c r="BH83" i="66"/>
  <c r="DZ122" i="54"/>
  <c r="DZ22" i="54"/>
  <c r="DZ242" i="54"/>
  <c r="BH72" i="66"/>
  <c r="BH84" i="66"/>
  <c r="BH68" i="66"/>
  <c r="BH76" i="66"/>
  <c r="BH80" i="66"/>
  <c r="BF67" i="66"/>
  <c r="BF71" i="66"/>
  <c r="BF75" i="66"/>
  <c r="BF79" i="66"/>
  <c r="BF83" i="66"/>
  <c r="BG67" i="66"/>
  <c r="BG71" i="66"/>
  <c r="BG75" i="66"/>
  <c r="BG79" i="66"/>
  <c r="BG83" i="66"/>
  <c r="BG68" i="66"/>
  <c r="BG72" i="66"/>
  <c r="BG76" i="66"/>
  <c r="BG80" i="66"/>
  <c r="BG84" i="66"/>
  <c r="BH69" i="66"/>
  <c r="BH73" i="66"/>
  <c r="BH81" i="66"/>
  <c r="BG66" i="66"/>
  <c r="BF77" i="66"/>
  <c r="BH77" i="66"/>
  <c r="BH85" i="66"/>
  <c r="BF66" i="66"/>
  <c r="BF70" i="66"/>
  <c r="BF74" i="66"/>
  <c r="BF78" i="66"/>
  <c r="BF82" i="66"/>
  <c r="BF69" i="66"/>
  <c r="BG70" i="66"/>
  <c r="BF73" i="66"/>
  <c r="BG74" i="66"/>
  <c r="BG78" i="66"/>
  <c r="BF81" i="66"/>
  <c r="BG82" i="66"/>
  <c r="BF85" i="66"/>
  <c r="AX65" i="66"/>
  <c r="AX64" i="66"/>
  <c r="DZ623" i="54" s="1"/>
  <c r="AX63" i="66"/>
  <c r="DZ622" i="54" s="1"/>
  <c r="AX62" i="66"/>
  <c r="DZ621" i="54" s="1"/>
  <c r="AX61" i="66"/>
  <c r="DZ620" i="54" s="1"/>
  <c r="AX60" i="66"/>
  <c r="DZ619" i="54" s="1"/>
  <c r="AX59" i="66"/>
  <c r="DZ618" i="54" s="1"/>
  <c r="AX58" i="66"/>
  <c r="DZ617" i="54" s="1"/>
  <c r="AX57" i="66"/>
  <c r="AX56" i="66"/>
  <c r="DZ615" i="54" s="1"/>
  <c r="AX55" i="66"/>
  <c r="DZ614" i="54" s="1"/>
  <c r="AX54" i="66"/>
  <c r="DZ613" i="54" s="1"/>
  <c r="AX53" i="66"/>
  <c r="DZ612" i="54" s="1"/>
  <c r="AX52" i="66"/>
  <c r="DZ611" i="54" s="1"/>
  <c r="AX51" i="66"/>
  <c r="DZ610" i="54" s="1"/>
  <c r="AX50" i="66"/>
  <c r="DZ609" i="54" s="1"/>
  <c r="AX49" i="66"/>
  <c r="DZ608" i="54" s="1"/>
  <c r="AX48" i="66"/>
  <c r="DZ607" i="54" s="1"/>
  <c r="AX47" i="66"/>
  <c r="DZ606" i="54" s="1"/>
  <c r="AX46" i="66"/>
  <c r="DZ605" i="54" s="1"/>
  <c r="IH39" i="54" l="1"/>
  <c r="IH16" i="54"/>
  <c r="IH152" i="54"/>
  <c r="IH90" i="54"/>
  <c r="IH98" i="54"/>
  <c r="DZ200" i="54"/>
  <c r="DZ197" i="54"/>
  <c r="DZ216" i="54"/>
  <c r="DZ616" i="54"/>
  <c r="DZ224" i="54"/>
  <c r="DZ624" i="54"/>
  <c r="DZ222" i="54"/>
  <c r="DZ202" i="54"/>
  <c r="DZ198" i="54"/>
  <c r="DZ194" i="54"/>
  <c r="DZ214" i="54"/>
  <c r="DZ190" i="54"/>
  <c r="DZ186" i="54"/>
  <c r="DZ209" i="54"/>
  <c r="IH69" i="54"/>
  <c r="DZ188" i="54"/>
  <c r="DZ204" i="54"/>
  <c r="IB91" i="54"/>
  <c r="IB60" i="54"/>
  <c r="IH146" i="54"/>
  <c r="IH50" i="54"/>
  <c r="IH150" i="54"/>
  <c r="IB39" i="54"/>
  <c r="IB144" i="54"/>
  <c r="IH148" i="54"/>
  <c r="ED506" i="54"/>
  <c r="EG506" i="54"/>
  <c r="EE506" i="54"/>
  <c r="EG626" i="54"/>
  <c r="EH626" i="54"/>
  <c r="EE626" i="54"/>
  <c r="EF626" i="54"/>
  <c r="ED626" i="54"/>
  <c r="DI1305" i="54"/>
  <c r="DI1617" i="54"/>
  <c r="DL1305" i="54"/>
  <c r="DM1305" i="54" s="1"/>
  <c r="DL1617" i="54"/>
  <c r="FR625" i="54"/>
  <c r="FV625" i="54"/>
  <c r="FT625" i="54"/>
  <c r="FU625" i="54"/>
  <c r="FS625" i="54"/>
  <c r="EC625" i="54"/>
  <c r="DG1617" i="54"/>
  <c r="FN625" i="54"/>
  <c r="FP625" i="54"/>
  <c r="FQ625" i="54"/>
  <c r="FM625" i="54"/>
  <c r="FO625" i="54"/>
  <c r="EB625" i="54"/>
  <c r="DM1565" i="54"/>
  <c r="FR605" i="54"/>
  <c r="FU605" i="54"/>
  <c r="FV605" i="54"/>
  <c r="FS605" i="54"/>
  <c r="FT605" i="54"/>
  <c r="EC605" i="54"/>
  <c r="DJ1565" i="54"/>
  <c r="FQ605" i="54"/>
  <c r="FM605" i="54"/>
  <c r="FO605" i="54"/>
  <c r="EB605" i="54"/>
  <c r="FP605" i="54"/>
  <c r="FN605" i="54"/>
  <c r="DG1565" i="54"/>
  <c r="EG606" i="54"/>
  <c r="EF606" i="54"/>
  <c r="EE606" i="54"/>
  <c r="EH606" i="54"/>
  <c r="ED606" i="54"/>
  <c r="EF506" i="54"/>
  <c r="DJ1513" i="54"/>
  <c r="DG1513" i="54"/>
  <c r="IH51" i="54"/>
  <c r="IC154" i="54"/>
  <c r="IH154" i="54"/>
  <c r="IH42" i="54"/>
  <c r="IH43" i="54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EH306" i="54" s="1"/>
  <c r="DZ545" i="54"/>
  <c r="EG546" i="54" s="1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T4" i="67" s="1"/>
  <c r="DL1409" i="54"/>
  <c r="DZ208" i="54"/>
  <c r="DZ189" i="54"/>
  <c r="DZ192" i="54"/>
  <c r="DJ1305" i="54"/>
  <c r="DZ316" i="54"/>
  <c r="DZ556" i="54"/>
  <c r="DZ324" i="54"/>
  <c r="DZ564" i="54"/>
  <c r="O4" i="67"/>
  <c r="S4" i="67" s="1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IH130" i="54"/>
  <c r="IH121" i="54"/>
  <c r="IB13" i="54"/>
  <c r="IH53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DG681" i="54"/>
  <c r="EG226" i="54"/>
  <c r="BV66" i="66"/>
  <c r="BB67" i="66" s="1"/>
  <c r="EO7" i="66"/>
  <c r="ED226" i="54"/>
  <c r="EH226" i="54"/>
  <c r="EE226" i="54"/>
  <c r="EH6" i="54"/>
  <c r="ED6" i="54"/>
  <c r="EG6" i="54"/>
  <c r="EE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T66" i="66"/>
  <c r="AZ67" i="66" s="1"/>
  <c r="BY66" i="66"/>
  <c r="BU66" i="66"/>
  <c r="BA67" i="66" s="1"/>
  <c r="BZ66" i="66"/>
  <c r="CA66" i="66"/>
  <c r="BF49" i="66"/>
  <c r="F7" i="67" s="1"/>
  <c r="BG49" i="66"/>
  <c r="G7" i="67" s="1"/>
  <c r="BH49" i="66"/>
  <c r="H7" i="67" s="1"/>
  <c r="BF53" i="66"/>
  <c r="F11" i="67" s="1"/>
  <c r="BH53" i="66"/>
  <c r="H11" i="67" s="1"/>
  <c r="BG53" i="66"/>
  <c r="G11" i="67" s="1"/>
  <c r="BF57" i="66"/>
  <c r="F15" i="67" s="1"/>
  <c r="BG57" i="66"/>
  <c r="G15" i="67" s="1"/>
  <c r="BH57" i="66"/>
  <c r="H15" i="67" s="1"/>
  <c r="BF61" i="66"/>
  <c r="F19" i="67" s="1"/>
  <c r="BG61" i="66"/>
  <c r="G19" i="67" s="1"/>
  <c r="BH61" i="66"/>
  <c r="H19" i="67" s="1"/>
  <c r="BF65" i="66"/>
  <c r="F23" i="67" s="1"/>
  <c r="BG65" i="66"/>
  <c r="G23" i="67" s="1"/>
  <c r="BH65" i="66"/>
  <c r="H23" i="67" s="1"/>
  <c r="BH63" i="66"/>
  <c r="H21" i="67" s="1"/>
  <c r="BF63" i="66"/>
  <c r="F21" i="67" s="1"/>
  <c r="BG63" i="66"/>
  <c r="G21" i="67" s="1"/>
  <c r="BG46" i="66"/>
  <c r="G4" i="67" s="1"/>
  <c r="BH46" i="66"/>
  <c r="H4" i="67" s="1"/>
  <c r="BF46" i="66"/>
  <c r="F4" i="67" s="1"/>
  <c r="BG50" i="66"/>
  <c r="G8" i="67" s="1"/>
  <c r="BH50" i="66"/>
  <c r="H8" i="67" s="1"/>
  <c r="BF50" i="66"/>
  <c r="F8" i="67" s="1"/>
  <c r="BG54" i="66"/>
  <c r="G12" i="67" s="1"/>
  <c r="BH54" i="66"/>
  <c r="H12" i="67" s="1"/>
  <c r="BF54" i="66"/>
  <c r="F12" i="67" s="1"/>
  <c r="BG58" i="66"/>
  <c r="G16" i="67" s="1"/>
  <c r="BH58" i="66"/>
  <c r="H16" i="67" s="1"/>
  <c r="BF58" i="66"/>
  <c r="F16" i="67" s="1"/>
  <c r="BG62" i="66"/>
  <c r="G20" i="67" s="1"/>
  <c r="BH62" i="66"/>
  <c r="H20" i="67" s="1"/>
  <c r="BF62" i="66"/>
  <c r="F20" i="67" s="1"/>
  <c r="BH47" i="66"/>
  <c r="H5" i="67" s="1"/>
  <c r="BF47" i="66"/>
  <c r="F5" i="67" s="1"/>
  <c r="BG47" i="66"/>
  <c r="G5" i="67" s="1"/>
  <c r="BH51" i="66"/>
  <c r="H9" i="67" s="1"/>
  <c r="BG51" i="66"/>
  <c r="G9" i="67" s="1"/>
  <c r="BF51" i="66"/>
  <c r="F9" i="67" s="1"/>
  <c r="BH55" i="66"/>
  <c r="H13" i="67" s="1"/>
  <c r="BF55" i="66"/>
  <c r="F13" i="67" s="1"/>
  <c r="BG55" i="66"/>
  <c r="G13" i="67" s="1"/>
  <c r="BH59" i="66"/>
  <c r="H17" i="67" s="1"/>
  <c r="BF59" i="66"/>
  <c r="F17" i="67" s="1"/>
  <c r="BG59" i="66"/>
  <c r="G17" i="67" s="1"/>
  <c r="BG48" i="66"/>
  <c r="G6" i="67" s="1"/>
  <c r="BH48" i="66"/>
  <c r="H6" i="67" s="1"/>
  <c r="BF48" i="66"/>
  <c r="F6" i="67" s="1"/>
  <c r="BF52" i="66"/>
  <c r="F10" i="67" s="1"/>
  <c r="BG52" i="66"/>
  <c r="G10" i="67" s="1"/>
  <c r="BH52" i="66"/>
  <c r="H10" i="67" s="1"/>
  <c r="BF56" i="66"/>
  <c r="F14" i="67" s="1"/>
  <c r="BG56" i="66"/>
  <c r="G14" i="67" s="1"/>
  <c r="BH56" i="66"/>
  <c r="H14" i="67" s="1"/>
  <c r="BF60" i="66"/>
  <c r="F18" i="67" s="1"/>
  <c r="BG60" i="66"/>
  <c r="G18" i="67" s="1"/>
  <c r="BH60" i="66"/>
  <c r="H18" i="67" s="1"/>
  <c r="BG64" i="66"/>
  <c r="G22" i="67" s="1"/>
  <c r="BH64" i="66"/>
  <c r="H22" i="67" s="1"/>
  <c r="BF64" i="66"/>
  <c r="F22" i="67" s="1"/>
  <c r="BQ26" i="66"/>
  <c r="DL1513" i="54"/>
  <c r="AX45" i="66"/>
  <c r="DZ604" i="54" s="1"/>
  <c r="AX44" i="66"/>
  <c r="DZ603" i="54" s="1"/>
  <c r="AX43" i="66"/>
  <c r="DZ602" i="54" s="1"/>
  <c r="AX42" i="66"/>
  <c r="DZ601" i="54" s="1"/>
  <c r="AX41" i="66"/>
  <c r="DZ600" i="54" s="1"/>
  <c r="AX40" i="66"/>
  <c r="DZ599" i="54" s="1"/>
  <c r="AX39" i="66"/>
  <c r="DZ598" i="54" s="1"/>
  <c r="AX38" i="66"/>
  <c r="DZ597" i="54" s="1"/>
  <c r="AX37" i="66"/>
  <c r="DZ596" i="54" s="1"/>
  <c r="AX36" i="66"/>
  <c r="DZ595" i="54" s="1"/>
  <c r="AX35" i="66"/>
  <c r="DZ594" i="54" s="1"/>
  <c r="AX34" i="66"/>
  <c r="DZ593" i="54" s="1"/>
  <c r="AX33" i="66"/>
  <c r="DZ592" i="54" s="1"/>
  <c r="AX32" i="66"/>
  <c r="DZ591" i="54" s="1"/>
  <c r="AX31" i="66"/>
  <c r="DZ590" i="54" s="1"/>
  <c r="AX30" i="66"/>
  <c r="DZ589" i="54" s="1"/>
  <c r="AX29" i="66"/>
  <c r="DZ588" i="54" s="1"/>
  <c r="AX28" i="66"/>
  <c r="DZ587" i="54" s="1"/>
  <c r="AX27" i="66"/>
  <c r="DZ586" i="54" s="1"/>
  <c r="AX26" i="66"/>
  <c r="DZ585" i="54" s="1"/>
  <c r="EF306" i="54" l="1"/>
  <c r="EM546" i="54"/>
  <c r="ED306" i="54"/>
  <c r="EE546" i="54"/>
  <c r="ER546" i="54"/>
  <c r="EG306" i="54"/>
  <c r="CH506" i="54"/>
  <c r="CH626" i="54"/>
  <c r="CJ506" i="54"/>
  <c r="CJ626" i="54"/>
  <c r="EO626" i="54"/>
  <c r="ER626" i="54"/>
  <c r="EP626" i="54"/>
  <c r="EQ626" i="54"/>
  <c r="EN626" i="54"/>
  <c r="DJ1617" i="54"/>
  <c r="CF506" i="54"/>
  <c r="CF626" i="54"/>
  <c r="EI626" i="54"/>
  <c r="EL626" i="54"/>
  <c r="EM626" i="54"/>
  <c r="EK626" i="54"/>
  <c r="EJ626" i="54"/>
  <c r="DM1617" i="54"/>
  <c r="EK606" i="54"/>
  <c r="EM606" i="54"/>
  <c r="EI606" i="54"/>
  <c r="EL606" i="54"/>
  <c r="EJ606" i="54"/>
  <c r="EO606" i="54"/>
  <c r="EN606" i="54"/>
  <c r="ER606" i="54"/>
  <c r="EQ606" i="54"/>
  <c r="EP606" i="54"/>
  <c r="EI546" i="54"/>
  <c r="FH585" i="54"/>
  <c r="FK585" i="54"/>
  <c r="FJ585" i="54"/>
  <c r="FL585" i="54"/>
  <c r="FI585" i="54"/>
  <c r="EA585" i="54"/>
  <c r="Q4" i="67"/>
  <c r="DM1513" i="54"/>
  <c r="EQ546" i="54"/>
  <c r="EJ546" i="54"/>
  <c r="EO546" i="54"/>
  <c r="EN546" i="54"/>
  <c r="ED546" i="54"/>
  <c r="EP546" i="54"/>
  <c r="EK546" i="54"/>
  <c r="EF546" i="54"/>
  <c r="EL546" i="54"/>
  <c r="EG186" i="54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M681" i="54" s="1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K67" i="66"/>
  <c r="DF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P7" i="66"/>
  <c r="EQ7" i="66" s="1"/>
  <c r="CK30" i="66"/>
  <c r="ER7" i="66"/>
  <c r="CJ30" i="66"/>
  <c r="CT30" i="66" s="1"/>
  <c r="BQ67" i="66"/>
  <c r="CI30" i="66"/>
  <c r="CO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G37" i="66"/>
  <c r="DZ416" i="54"/>
  <c r="DZ36" i="54"/>
  <c r="DZ396" i="54"/>
  <c r="DZ56" i="54"/>
  <c r="DZ96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G29" i="66"/>
  <c r="DZ408" i="54"/>
  <c r="DZ48" i="54"/>
  <c r="DZ388" i="54"/>
  <c r="DZ28" i="54"/>
  <c r="DZ88" i="54"/>
  <c r="BF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BG41" i="66"/>
  <c r="DZ40" i="54"/>
  <c r="DZ420" i="54"/>
  <c r="DZ400" i="54"/>
  <c r="DZ100" i="54"/>
  <c r="DZ60" i="54"/>
  <c r="BG26" i="66"/>
  <c r="DZ85" i="54"/>
  <c r="DZ385" i="54"/>
  <c r="DZ45" i="54"/>
  <c r="DZ405" i="54"/>
  <c r="DZ25" i="54"/>
  <c r="BF34" i="66"/>
  <c r="DZ413" i="54"/>
  <c r="DZ393" i="54"/>
  <c r="DZ53" i="54"/>
  <c r="DZ33" i="54"/>
  <c r="DZ93" i="54"/>
  <c r="BG31" i="66"/>
  <c r="DZ390" i="54"/>
  <c r="DZ30" i="54"/>
  <c r="DZ90" i="54"/>
  <c r="DZ50" i="54"/>
  <c r="DZ410" i="54"/>
  <c r="BG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G33" i="66"/>
  <c r="DZ412" i="54"/>
  <c r="DZ92" i="54"/>
  <c r="DZ392" i="54"/>
  <c r="DZ32" i="54"/>
  <c r="DZ52" i="54"/>
  <c r="BG45" i="66"/>
  <c r="DZ404" i="54"/>
  <c r="DZ424" i="54"/>
  <c r="DZ64" i="54"/>
  <c r="DZ104" i="54"/>
  <c r="DZ44" i="54"/>
  <c r="BF38" i="66"/>
  <c r="DZ397" i="54"/>
  <c r="DZ37" i="54"/>
  <c r="DZ97" i="54"/>
  <c r="DZ57" i="54"/>
  <c r="DZ417" i="54"/>
  <c r="BF42" i="66"/>
  <c r="DZ101" i="54"/>
  <c r="DZ61" i="54"/>
  <c r="DZ421" i="54"/>
  <c r="DZ41" i="54"/>
  <c r="DZ401" i="54"/>
  <c r="BH27" i="66"/>
  <c r="DZ86" i="54"/>
  <c r="DZ406" i="54"/>
  <c r="DZ26" i="54"/>
  <c r="DZ46" i="54"/>
  <c r="DZ386" i="54"/>
  <c r="BG35" i="66"/>
  <c r="DZ394" i="54"/>
  <c r="DZ34" i="54"/>
  <c r="DZ414" i="54"/>
  <c r="DZ94" i="54"/>
  <c r="DZ54" i="54"/>
  <c r="BG39" i="66"/>
  <c r="DZ58" i="54"/>
  <c r="DZ38" i="54"/>
  <c r="DZ418" i="54"/>
  <c r="DZ398" i="54"/>
  <c r="DZ98" i="54"/>
  <c r="BR26" i="66"/>
  <c r="BH28" i="66"/>
  <c r="DZ47" i="54"/>
  <c r="DZ407" i="54"/>
  <c r="DZ87" i="54"/>
  <c r="DZ387" i="54"/>
  <c r="DZ27" i="54"/>
  <c r="BH32" i="66"/>
  <c r="DZ31" i="54"/>
  <c r="DZ91" i="54"/>
  <c r="DZ391" i="54"/>
  <c r="DZ411" i="54"/>
  <c r="DZ51" i="54"/>
  <c r="BH36" i="66"/>
  <c r="DZ95" i="54"/>
  <c r="DZ55" i="54"/>
  <c r="DZ415" i="54"/>
  <c r="DZ35" i="54"/>
  <c r="DZ395" i="54"/>
  <c r="BH40" i="66"/>
  <c r="DZ39" i="54"/>
  <c r="DZ419" i="54"/>
  <c r="DZ99" i="54"/>
  <c r="DZ59" i="54"/>
  <c r="DZ399" i="54"/>
  <c r="BH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V46" i="66"/>
  <c r="BB47" i="66" s="1"/>
  <c r="CA46" i="66"/>
  <c r="BU46" i="66"/>
  <c r="BZ46" i="66"/>
  <c r="BT46" i="66"/>
  <c r="AZ47" i="66" s="1"/>
  <c r="BY46" i="66"/>
  <c r="BF31" i="66"/>
  <c r="BF43" i="66"/>
  <c r="BH38" i="66"/>
  <c r="BH42" i="66"/>
  <c r="BH37" i="66"/>
  <c r="BF27" i="66"/>
  <c r="BF35" i="66"/>
  <c r="BH30" i="66"/>
  <c r="BH33" i="66"/>
  <c r="BH26" i="66"/>
  <c r="BH41" i="66"/>
  <c r="BH45" i="66"/>
  <c r="BF39" i="66"/>
  <c r="BH34" i="66"/>
  <c r="BH29" i="66"/>
  <c r="BG40" i="66"/>
  <c r="BG32" i="66"/>
  <c r="BF28" i="66"/>
  <c r="BF26" i="66"/>
  <c r="BG27" i="66"/>
  <c r="BF45" i="66"/>
  <c r="BH43" i="66"/>
  <c r="BG42" i="66"/>
  <c r="BF41" i="66"/>
  <c r="BH39" i="66"/>
  <c r="BG38" i="66"/>
  <c r="BF37" i="66"/>
  <c r="BH35" i="66"/>
  <c r="BG34" i="66"/>
  <c r="BF33" i="66"/>
  <c r="BH31" i="66"/>
  <c r="BG30" i="66"/>
  <c r="BF29" i="66"/>
  <c r="BG44" i="66"/>
  <c r="BG36" i="66"/>
  <c r="BG28" i="66"/>
  <c r="BF44" i="66"/>
  <c r="BF40" i="66"/>
  <c r="BF36" i="66"/>
  <c r="BF32" i="66"/>
  <c r="CQ30" i="66" l="1"/>
  <c r="CU30" i="66"/>
  <c r="BY67" i="66"/>
  <c r="DF266" i="54"/>
  <c r="DF1618" i="54"/>
  <c r="DF1619" i="54"/>
  <c r="DF579" i="54"/>
  <c r="DF578" i="54"/>
  <c r="DG578" i="54" s="1"/>
  <c r="BL67" i="66"/>
  <c r="DI7" i="54" s="1"/>
  <c r="FH626" i="54"/>
  <c r="FI626" i="54"/>
  <c r="FL626" i="54"/>
  <c r="FJ626" i="54"/>
  <c r="FK626" i="54"/>
  <c r="EA626" i="54"/>
  <c r="BT67" i="66"/>
  <c r="AZ68" i="66" s="1"/>
  <c r="CF227" i="54" s="1"/>
  <c r="DF267" i="54"/>
  <c r="DL1307" i="54"/>
  <c r="CF546" i="54"/>
  <c r="CF606" i="54"/>
  <c r="CJ546" i="54"/>
  <c r="CJ606" i="54"/>
  <c r="EE586" i="54"/>
  <c r="EF586" i="54"/>
  <c r="ED586" i="54"/>
  <c r="EG586" i="54"/>
  <c r="EH586" i="54"/>
  <c r="FP585" i="54"/>
  <c r="FN585" i="54"/>
  <c r="FQ585" i="54"/>
  <c r="FO585" i="54"/>
  <c r="FM585" i="54"/>
  <c r="EB585" i="54"/>
  <c r="FS585" i="54"/>
  <c r="FV585" i="54"/>
  <c r="FT585" i="54"/>
  <c r="FR585" i="54"/>
  <c r="FU585" i="54"/>
  <c r="EC585" i="54"/>
  <c r="EH326" i="54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P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R67" i="66"/>
  <c r="BZ67" i="66" s="1"/>
  <c r="EF266" i="54"/>
  <c r="EG266" i="54"/>
  <c r="EH266" i="54"/>
  <c r="EF166" i="54"/>
  <c r="EG326" i="54"/>
  <c r="EF326" i="54"/>
  <c r="EH166" i="54"/>
  <c r="ED166" i="54"/>
  <c r="EE326" i="54"/>
  <c r="ED326" i="54"/>
  <c r="CS30" i="66"/>
  <c r="EE266" i="54"/>
  <c r="EG166" i="54"/>
  <c r="ED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U26" i="66"/>
  <c r="BA27" i="66" s="1"/>
  <c r="CH586" i="54" s="1"/>
  <c r="CK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I22" i="66"/>
  <c r="CS22" i="66" s="1"/>
  <c r="CJ22" i="66"/>
  <c r="CP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K47" i="66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6" i="54"/>
  <c r="DI579" i="54"/>
  <c r="DI578" i="54"/>
  <c r="ED26" i="54"/>
  <c r="EH26" i="54"/>
  <c r="EF26" i="54"/>
  <c r="EE26" i="54"/>
  <c r="EG26" i="54"/>
  <c r="DM1045" i="54"/>
  <c r="EH86" i="54"/>
  <c r="EE86" i="54"/>
  <c r="EF86" i="54"/>
  <c r="ED86" i="54"/>
  <c r="EG86" i="54"/>
  <c r="BZ26" i="66"/>
  <c r="DM109" i="54"/>
  <c r="EH386" i="54"/>
  <c r="EF386" i="54"/>
  <c r="EG386" i="54"/>
  <c r="ED386" i="54"/>
  <c r="EE386" i="54"/>
  <c r="DM213" i="54"/>
  <c r="DM57" i="54"/>
  <c r="BA47" i="66"/>
  <c r="CH606" i="54" s="1"/>
  <c r="BW46" i="66"/>
  <c r="BV26" i="66"/>
  <c r="BB27" i="66" s="1"/>
  <c r="CJ586" i="54" s="1"/>
  <c r="CA26" i="66"/>
  <c r="BT26" i="66"/>
  <c r="AZ27" i="66" s="1"/>
  <c r="CF586" i="54" s="1"/>
  <c r="BY26" i="66"/>
  <c r="BQ47" i="66"/>
  <c r="BK68" i="66"/>
  <c r="BQ68" i="66"/>
  <c r="AX6" i="66"/>
  <c r="CU22" i="66" l="1"/>
  <c r="CQ22" i="66"/>
  <c r="DZ445" i="54"/>
  <c r="DZ565" i="54"/>
  <c r="DL7" i="54"/>
  <c r="DI267" i="54"/>
  <c r="DI266" i="54"/>
  <c r="DL579" i="54"/>
  <c r="DL6" i="54"/>
  <c r="DL578" i="54"/>
  <c r="BU67" i="66"/>
  <c r="BA68" i="66" s="1"/>
  <c r="CH507" i="54" s="1"/>
  <c r="DL267" i="54"/>
  <c r="DL266" i="54"/>
  <c r="DG267" i="54"/>
  <c r="DG579" i="54"/>
  <c r="DG266" i="54"/>
  <c r="EC626" i="54"/>
  <c r="FT626" i="54"/>
  <c r="FU626" i="54"/>
  <c r="FV626" i="54"/>
  <c r="FS626" i="54"/>
  <c r="FR626" i="54"/>
  <c r="DL1619" i="54"/>
  <c r="DL1618" i="54"/>
  <c r="DI1618" i="54"/>
  <c r="DI1619" i="54"/>
  <c r="FI627" i="54"/>
  <c r="FJ627" i="54"/>
  <c r="FL627" i="54"/>
  <c r="FH627" i="54"/>
  <c r="FK627" i="54"/>
  <c r="EA627" i="54"/>
  <c r="DG1619" i="54"/>
  <c r="DG1618" i="54"/>
  <c r="DF1620" i="54"/>
  <c r="DF1621" i="54"/>
  <c r="FP626" i="54"/>
  <c r="FQ626" i="54"/>
  <c r="FM626" i="54"/>
  <c r="EB626" i="54"/>
  <c r="FN626" i="54"/>
  <c r="FO626" i="54"/>
  <c r="CF507" i="54"/>
  <c r="CF627" i="54"/>
  <c r="EF627" i="54"/>
  <c r="EG627" i="54"/>
  <c r="EH627" i="54"/>
  <c r="EE627" i="54"/>
  <c r="EE628" i="54" s="1"/>
  <c r="ED627" i="54"/>
  <c r="FI606" i="54"/>
  <c r="FK606" i="54"/>
  <c r="FL606" i="54"/>
  <c r="FJ606" i="54"/>
  <c r="FH606" i="54"/>
  <c r="EA606" i="54"/>
  <c r="DF526" i="54"/>
  <c r="DG526" i="54" s="1"/>
  <c r="DF1566" i="54"/>
  <c r="DF1567" i="54"/>
  <c r="EI586" i="54"/>
  <c r="EL586" i="54"/>
  <c r="EM586" i="54"/>
  <c r="EK586" i="54"/>
  <c r="EJ586" i="54"/>
  <c r="EQ586" i="54"/>
  <c r="EN586" i="54"/>
  <c r="EO586" i="54"/>
  <c r="ER586" i="54"/>
  <c r="EP586" i="54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CA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R5" i="67" s="1"/>
  <c r="DF1410" i="54"/>
  <c r="DF1411" i="54"/>
  <c r="DF527" i="54"/>
  <c r="EI486" i="54"/>
  <c r="EL486" i="54"/>
  <c r="EK486" i="54"/>
  <c r="EM486" i="54"/>
  <c r="EJ486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BQ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V67" i="66"/>
  <c r="BB68" i="66" s="1"/>
  <c r="EC6" i="54"/>
  <c r="EQ7" i="54" s="1"/>
  <c r="EC106" i="54"/>
  <c r="ER107" i="54" s="1"/>
  <c r="EC226" i="54"/>
  <c r="EQ227" i="54" s="1"/>
  <c r="EA7" i="54"/>
  <c r="EA227" i="54"/>
  <c r="EA107" i="54"/>
  <c r="EA46" i="54"/>
  <c r="EA126" i="54"/>
  <c r="EA146" i="54"/>
  <c r="EA306" i="54"/>
  <c r="IJ9" i="54"/>
  <c r="HN9" i="54"/>
  <c r="AY4" i="67"/>
  <c r="BT47" i="66"/>
  <c r="AZ48" i="66" s="1"/>
  <c r="CF607" i="54" s="1"/>
  <c r="V5" i="67"/>
  <c r="CH4" i="67"/>
  <c r="AX4" i="67"/>
  <c r="AV4" i="67"/>
  <c r="AW4" i="67"/>
  <c r="ED227" i="54"/>
  <c r="CT22" i="66"/>
  <c r="DJ66" i="66" s="1"/>
  <c r="EH227" i="54"/>
  <c r="EF227" i="54"/>
  <c r="EH107" i="54"/>
  <c r="EE227" i="54"/>
  <c r="EG107" i="54"/>
  <c r="CO22" i="66"/>
  <c r="DL66" i="66" s="1"/>
  <c r="ER86" i="54"/>
  <c r="EU7" i="66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I14" i="66"/>
  <c r="CO14" i="66" s="1"/>
  <c r="EM18" i="66"/>
  <c r="EM25" i="66"/>
  <c r="EM9" i="66"/>
  <c r="EM14" i="66"/>
  <c r="EM12" i="66"/>
  <c r="EM19" i="66"/>
  <c r="EM21" i="66"/>
  <c r="EM7" i="66"/>
  <c r="EM24" i="66"/>
  <c r="EM8" i="66"/>
  <c r="CJ14" i="66"/>
  <c r="CP14" i="66" s="1"/>
  <c r="DM26" i="66" s="1"/>
  <c r="BI485" i="54" s="1"/>
  <c r="EM23" i="66"/>
  <c r="EM22" i="66"/>
  <c r="EM17" i="66"/>
  <c r="EM15" i="66"/>
  <c r="EM20" i="66"/>
  <c r="CK14" i="66"/>
  <c r="EM11" i="66"/>
  <c r="EM10" i="66"/>
  <c r="EM13" i="66"/>
  <c r="EM26" i="66"/>
  <c r="EM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EC206" i="54"/>
  <c r="EP207" i="54" s="1"/>
  <c r="BR47" i="66"/>
  <c r="BR68" i="66"/>
  <c r="DZ245" i="54"/>
  <c r="DZ425" i="54"/>
  <c r="DZ365" i="54"/>
  <c r="DZ65" i="54"/>
  <c r="DZ345" i="54"/>
  <c r="DZ285" i="54"/>
  <c r="BL68" i="66"/>
  <c r="DF580" i="54"/>
  <c r="DF269" i="54"/>
  <c r="DF581" i="54"/>
  <c r="DF268" i="54"/>
  <c r="DF8" i="54"/>
  <c r="DF9" i="54"/>
  <c r="BK27" i="66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I46" i="66"/>
  <c r="DI66" i="66"/>
  <c r="DM6" i="54"/>
  <c r="DM7" i="54"/>
  <c r="EJ46" i="54"/>
  <c r="EK46" i="54"/>
  <c r="EM46" i="54"/>
  <c r="EI46" i="54"/>
  <c r="EL46" i="54"/>
  <c r="DJ7" i="54"/>
  <c r="DJ6" i="54"/>
  <c r="DJ266" i="54"/>
  <c r="BL47" i="66"/>
  <c r="DF319" i="54"/>
  <c r="DF371" i="54"/>
  <c r="DF370" i="54"/>
  <c r="DF318" i="54"/>
  <c r="DM266" i="54"/>
  <c r="EJ86" i="54"/>
  <c r="EL86" i="54"/>
  <c r="EK86" i="54"/>
  <c r="EI86" i="54"/>
  <c r="EM86" i="54"/>
  <c r="DJ578" i="54"/>
  <c r="DJ579" i="54"/>
  <c r="DM46" i="66"/>
  <c r="DM66" i="66"/>
  <c r="BY68" i="66"/>
  <c r="BY47" i="66"/>
  <c r="BT68" i="66"/>
  <c r="AZ69" i="66" s="1"/>
  <c r="BH6" i="66"/>
  <c r="BG6" i="66"/>
  <c r="BF6" i="66"/>
  <c r="BQ6" i="66"/>
  <c r="BK6" i="66"/>
  <c r="F6" i="66"/>
  <c r="F27" i="66"/>
  <c r="CU14" i="66" l="1"/>
  <c r="CQ14" i="66"/>
  <c r="F32" i="66"/>
  <c r="F36" i="66"/>
  <c r="F40" i="66"/>
  <c r="F44" i="66"/>
  <c r="F28" i="66"/>
  <c r="F29" i="66"/>
  <c r="F33" i="66"/>
  <c r="F37" i="66"/>
  <c r="F41" i="66"/>
  <c r="F45" i="66"/>
  <c r="F30" i="66"/>
  <c r="F34" i="66"/>
  <c r="F38" i="66"/>
  <c r="F42" i="66"/>
  <c r="F46" i="66"/>
  <c r="F39" i="66"/>
  <c r="F47" i="66"/>
  <c r="F31" i="66"/>
  <c r="F35" i="66"/>
  <c r="F43" i="66"/>
  <c r="FI565" i="54"/>
  <c r="FK565" i="54"/>
  <c r="EA565" i="54"/>
  <c r="FL565" i="54"/>
  <c r="FH565" i="54"/>
  <c r="FJ565" i="54"/>
  <c r="F8" i="66"/>
  <c r="F12" i="66"/>
  <c r="F16" i="66"/>
  <c r="F20" i="66"/>
  <c r="F9" i="66"/>
  <c r="F13" i="66"/>
  <c r="F17" i="66"/>
  <c r="F21" i="66"/>
  <c r="F25" i="66"/>
  <c r="F10" i="66"/>
  <c r="F14" i="66"/>
  <c r="F18" i="66"/>
  <c r="F22" i="66"/>
  <c r="F26" i="66"/>
  <c r="F11" i="66"/>
  <c r="F15" i="66"/>
  <c r="F19" i="66"/>
  <c r="F23" i="66"/>
  <c r="F7" i="66"/>
  <c r="F24" i="66"/>
  <c r="DF1149" i="54"/>
  <c r="DF1461" i="54"/>
  <c r="DJ267" i="54"/>
  <c r="DM267" i="54"/>
  <c r="DM579" i="54"/>
  <c r="CH107" i="54"/>
  <c r="CH227" i="54"/>
  <c r="CH7" i="54"/>
  <c r="CH627" i="54"/>
  <c r="DG527" i="54"/>
  <c r="EG628" i="54"/>
  <c r="ED628" i="54"/>
  <c r="EF628" i="54"/>
  <c r="EH628" i="54"/>
  <c r="FO627" i="54"/>
  <c r="FN627" i="54"/>
  <c r="FP627" i="54"/>
  <c r="FM627" i="54"/>
  <c r="FQ627" i="54"/>
  <c r="EB627" i="54"/>
  <c r="CJ507" i="54"/>
  <c r="CJ627" i="54"/>
  <c r="DG1620" i="54"/>
  <c r="EK627" i="54"/>
  <c r="EK628" i="54" s="1"/>
  <c r="EJ627" i="54"/>
  <c r="EL627" i="54"/>
  <c r="EI627" i="54"/>
  <c r="EM627" i="54"/>
  <c r="EM628" i="54" s="1"/>
  <c r="DG1621" i="54"/>
  <c r="DJ1619" i="54"/>
  <c r="DJ1618" i="54"/>
  <c r="EP627" i="54"/>
  <c r="ER627" i="54"/>
  <c r="EQ627" i="54"/>
  <c r="EN627" i="54"/>
  <c r="EO627" i="54"/>
  <c r="DI1621" i="54"/>
  <c r="DI1620" i="54"/>
  <c r="FS627" i="54"/>
  <c r="FV627" i="54"/>
  <c r="FU627" i="54"/>
  <c r="FR627" i="54"/>
  <c r="FT627" i="54"/>
  <c r="EC627" i="54"/>
  <c r="CF508" i="54"/>
  <c r="CF628" i="54"/>
  <c r="DM1618" i="54"/>
  <c r="DM1619" i="54"/>
  <c r="DL1621" i="54"/>
  <c r="DL1620" i="54"/>
  <c r="DG1566" i="54"/>
  <c r="DG1567" i="54"/>
  <c r="DL1566" i="54"/>
  <c r="DL1567" i="54"/>
  <c r="DI1566" i="54"/>
  <c r="DI1567" i="54"/>
  <c r="EB206" i="54"/>
  <c r="EJ207" i="54" s="1"/>
  <c r="FQ606" i="54"/>
  <c r="FO606" i="54"/>
  <c r="FN606" i="54"/>
  <c r="FP606" i="54"/>
  <c r="FM606" i="54"/>
  <c r="EB606" i="54"/>
  <c r="EG607" i="54"/>
  <c r="EE607" i="54"/>
  <c r="EF607" i="54"/>
  <c r="EH607" i="54"/>
  <c r="ED607" i="54"/>
  <c r="FS606" i="54"/>
  <c r="FU606" i="54"/>
  <c r="FR606" i="54"/>
  <c r="FT606" i="54"/>
  <c r="FV606" i="54"/>
  <c r="EC606" i="54"/>
  <c r="EG207" i="54"/>
  <c r="EF187" i="54"/>
  <c r="EH207" i="54"/>
  <c r="ED207" i="54"/>
  <c r="EE207" i="54"/>
  <c r="DG475" i="54"/>
  <c r="AM5" i="67"/>
  <c r="DO66" i="66"/>
  <c r="DR66" i="66" s="1"/>
  <c r="BD525" i="54"/>
  <c r="DP66" i="66"/>
  <c r="DS66" i="66" s="1"/>
  <c r="BI525" i="54"/>
  <c r="DF1514" i="54"/>
  <c r="DF1515" i="54"/>
  <c r="BI505" i="54"/>
  <c r="BI445" i="54"/>
  <c r="BL485" i="54"/>
  <c r="BM485" i="54"/>
  <c r="BJ485" i="54"/>
  <c r="BK485" i="54"/>
  <c r="FI586" i="54"/>
  <c r="FK586" i="54"/>
  <c r="FH586" i="54"/>
  <c r="FL586" i="54"/>
  <c r="EA586" i="54"/>
  <c r="FJ586" i="54"/>
  <c r="ED187" i="54"/>
  <c r="EG187" i="54"/>
  <c r="EE187" i="54"/>
  <c r="O5" i="67"/>
  <c r="S5" i="67" s="1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T5" i="67" s="1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EF167" i="54" s="1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P46" i="66"/>
  <c r="BI325" i="54"/>
  <c r="BI405" i="54"/>
  <c r="DP26" i="66"/>
  <c r="BI425" i="54"/>
  <c r="BI345" i="54"/>
  <c r="BI385" i="54"/>
  <c r="BK48" i="66"/>
  <c r="CF547" i="54"/>
  <c r="CL4" i="67"/>
  <c r="CM4" i="67" s="1"/>
  <c r="EK227" i="54"/>
  <c r="EJ227" i="54"/>
  <c r="EA326" i="54"/>
  <c r="EH327" i="54" s="1"/>
  <c r="BR27" i="66"/>
  <c r="EA386" i="54"/>
  <c r="EJ107" i="54"/>
  <c r="EI107" i="54"/>
  <c r="EK107" i="54"/>
  <c r="EM107" i="54"/>
  <c r="ER207" i="54"/>
  <c r="EN207" i="54"/>
  <c r="EL227" i="54"/>
  <c r="EI227" i="54"/>
  <c r="EN7" i="54"/>
  <c r="ER8" i="66"/>
  <c r="EA86" i="54"/>
  <c r="EA26" i="54"/>
  <c r="EA406" i="54"/>
  <c r="EO7" i="54"/>
  <c r="ET8" i="66"/>
  <c r="EA266" i="54"/>
  <c r="IQ18" i="54"/>
  <c r="IQ11" i="54"/>
  <c r="IQ12" i="54"/>
  <c r="IQ13" i="54"/>
  <c r="IQ14" i="54"/>
  <c r="IQ17" i="54"/>
  <c r="IQ15" i="54"/>
  <c r="IQ16" i="54"/>
  <c r="IQ10" i="54"/>
  <c r="IQ9" i="54"/>
  <c r="EP7" i="54"/>
  <c r="EN227" i="54"/>
  <c r="ER227" i="54"/>
  <c r="BQ48" i="66"/>
  <c r="ER7" i="54"/>
  <c r="EO227" i="54"/>
  <c r="EP227" i="54"/>
  <c r="HP9" i="54"/>
  <c r="EG8" i="54"/>
  <c r="EO207" i="54"/>
  <c r="EQ207" i="54"/>
  <c r="DF839" i="54"/>
  <c r="DL683" i="54"/>
  <c r="DJ46" i="66"/>
  <c r="CF108" i="54"/>
  <c r="CF8" i="54"/>
  <c r="CF228" i="54"/>
  <c r="CF307" i="54"/>
  <c r="CF47" i="54"/>
  <c r="CF147" i="54"/>
  <c r="CF127" i="54"/>
  <c r="CJ227" i="54"/>
  <c r="CJ7" i="54"/>
  <c r="CJ10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HO9" i="54"/>
  <c r="DF423" i="54"/>
  <c r="DF422" i="54"/>
  <c r="DG422" i="54" s="1"/>
  <c r="DF682" i="54"/>
  <c r="BV68" i="66"/>
  <c r="BB69" i="66" s="1"/>
  <c r="BT27" i="66"/>
  <c r="AZ28" i="66" s="1"/>
  <c r="CF587" i="54" s="1"/>
  <c r="DL46" i="66"/>
  <c r="DN66" i="66"/>
  <c r="DF838" i="54"/>
  <c r="ED228" i="54"/>
  <c r="EF228" i="54"/>
  <c r="EH228" i="54"/>
  <c r="EE228" i="54"/>
  <c r="BV47" i="66"/>
  <c r="BB48" i="66" s="1"/>
  <c r="CT14" i="66"/>
  <c r="DJ26" i="66" s="1"/>
  <c r="ED8" i="54"/>
  <c r="EH8" i="54"/>
  <c r="EE8" i="54"/>
  <c r="EG228" i="54"/>
  <c r="DI787" i="54"/>
  <c r="DI786" i="54"/>
  <c r="ED307" i="54"/>
  <c r="EE307" i="54"/>
  <c r="EG307" i="54"/>
  <c r="EF307" i="54"/>
  <c r="EH307" i="54"/>
  <c r="BU47" i="66"/>
  <c r="BA48" i="66" s="1"/>
  <c r="CH607" i="54" s="1"/>
  <c r="DG786" i="54"/>
  <c r="DG787" i="54"/>
  <c r="CS14" i="66"/>
  <c r="DK26" i="66" s="1"/>
  <c r="DL787" i="54"/>
  <c r="DL786" i="54"/>
  <c r="BZ47" i="66"/>
  <c r="BY6" i="66"/>
  <c r="CI6" i="66" s="1"/>
  <c r="CI31" i="66"/>
  <c r="CS31" i="66" s="1"/>
  <c r="EN8" i="66"/>
  <c r="EV7" i="66"/>
  <c r="EW7" i="66" s="1"/>
  <c r="EF8" i="54"/>
  <c r="DK46" i="66"/>
  <c r="DK66" i="66"/>
  <c r="DG268" i="54"/>
  <c r="DG269" i="54"/>
  <c r="CA47" i="66"/>
  <c r="BR6" i="66"/>
  <c r="DL110" i="54"/>
  <c r="DL111" i="54"/>
  <c r="BQ69" i="66"/>
  <c r="CA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L6" i="66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371" i="54"/>
  <c r="DL370" i="54"/>
  <c r="DL318" i="54"/>
  <c r="DG318" i="54"/>
  <c r="DG319" i="54"/>
  <c r="DI319" i="54"/>
  <c r="DI371" i="54"/>
  <c r="DI370" i="54"/>
  <c r="DI318" i="54"/>
  <c r="BY27" i="66"/>
  <c r="BL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DN26" i="66"/>
  <c r="BN485" i="54" s="1"/>
  <c r="DL26" i="66"/>
  <c r="BD485" i="54" s="1"/>
  <c r="BU68" i="66"/>
  <c r="BA69" i="66" s="1"/>
  <c r="BZ68" i="66"/>
  <c r="BK69" i="66"/>
  <c r="BT6" i="66"/>
  <c r="AZ7" i="66" s="1"/>
  <c r="AX8" i="66"/>
  <c r="AX9" i="66"/>
  <c r="AX10" i="66"/>
  <c r="AX11" i="66"/>
  <c r="AX12" i="66"/>
  <c r="AX13" i="66"/>
  <c r="AX14" i="66"/>
  <c r="AX15" i="66"/>
  <c r="AX16" i="66"/>
  <c r="AX17" i="66"/>
  <c r="AX18" i="66"/>
  <c r="AX19" i="66"/>
  <c r="AX20" i="66"/>
  <c r="AX21" i="66"/>
  <c r="AX22" i="66"/>
  <c r="AX23" i="66"/>
  <c r="AX24" i="66"/>
  <c r="AX25" i="66"/>
  <c r="AX7" i="66"/>
  <c r="DZ446" i="54" l="1"/>
  <c r="DZ566" i="54"/>
  <c r="DZ453" i="54"/>
  <c r="DZ573" i="54"/>
  <c r="DZ464" i="54"/>
  <c r="DZ584" i="54"/>
  <c r="DZ460" i="54"/>
  <c r="DZ580" i="54"/>
  <c r="DZ456" i="54"/>
  <c r="DZ576" i="54"/>
  <c r="DZ452" i="54"/>
  <c r="DZ572" i="54"/>
  <c r="DZ448" i="54"/>
  <c r="DZ568" i="54"/>
  <c r="DG1461" i="54"/>
  <c r="DZ457" i="54"/>
  <c r="DZ577" i="54"/>
  <c r="DZ463" i="54"/>
  <c r="DZ583" i="54"/>
  <c r="DZ459" i="54"/>
  <c r="DZ579" i="54"/>
  <c r="DZ455" i="54"/>
  <c r="DZ575" i="54"/>
  <c r="DZ451" i="54"/>
  <c r="DZ571" i="54"/>
  <c r="DZ447" i="54"/>
  <c r="DZ567" i="54"/>
  <c r="DI1149" i="54"/>
  <c r="DI1461" i="54"/>
  <c r="DZ462" i="54"/>
  <c r="DZ582" i="54"/>
  <c r="DZ458" i="54"/>
  <c r="DZ578" i="54"/>
  <c r="DZ454" i="54"/>
  <c r="DZ574" i="54"/>
  <c r="DZ450" i="54"/>
  <c r="DZ570" i="54"/>
  <c r="CF446" i="54"/>
  <c r="CF566" i="54"/>
  <c r="EH566" i="54"/>
  <c r="EG566" i="54"/>
  <c r="ED566" i="54"/>
  <c r="EF566" i="54"/>
  <c r="EE566" i="54"/>
  <c r="DZ461" i="54"/>
  <c r="DZ581" i="54"/>
  <c r="DZ449" i="54"/>
  <c r="DZ569" i="54"/>
  <c r="FQ565" i="54"/>
  <c r="FM565" i="54"/>
  <c r="FO565" i="54"/>
  <c r="EB565" i="54"/>
  <c r="FN565" i="54"/>
  <c r="FP565" i="54"/>
  <c r="DL1149" i="54"/>
  <c r="DL1461" i="54"/>
  <c r="FS565" i="54"/>
  <c r="FU565" i="54"/>
  <c r="FT565" i="54"/>
  <c r="FV565" i="54"/>
  <c r="EC565" i="54"/>
  <c r="FR565" i="54"/>
  <c r="DF67" i="66"/>
  <c r="AO526" i="54" s="1"/>
  <c r="AQ526" i="54" s="1"/>
  <c r="EI207" i="54"/>
  <c r="EL207" i="54"/>
  <c r="EN628" i="54"/>
  <c r="EI628" i="54"/>
  <c r="EM207" i="54"/>
  <c r="EK207" i="54"/>
  <c r="EL628" i="54"/>
  <c r="EJ628" i="54"/>
  <c r="FH628" i="54"/>
  <c r="FI628" i="54"/>
  <c r="FK628" i="54"/>
  <c r="FL628" i="54"/>
  <c r="FJ628" i="54"/>
  <c r="EA628" i="54"/>
  <c r="CJ508" i="54"/>
  <c r="CJ628" i="54"/>
  <c r="CH508" i="54"/>
  <c r="CH628" i="54"/>
  <c r="DM1620" i="54"/>
  <c r="EQ628" i="54"/>
  <c r="DF1623" i="54"/>
  <c r="DF1622" i="54"/>
  <c r="DM1621" i="54"/>
  <c r="ER628" i="54"/>
  <c r="DJ1621" i="54"/>
  <c r="EO628" i="54"/>
  <c r="EP628" i="54"/>
  <c r="DJ1620" i="54"/>
  <c r="EK607" i="54"/>
  <c r="EL607" i="54"/>
  <c r="EI607" i="54"/>
  <c r="EJ607" i="54"/>
  <c r="EM607" i="54"/>
  <c r="DJ1567" i="54"/>
  <c r="DJ1566" i="54"/>
  <c r="CJ547" i="54"/>
  <c r="CJ607" i="54"/>
  <c r="CJ187" i="54"/>
  <c r="EO607" i="54"/>
  <c r="ER607" i="54"/>
  <c r="EN607" i="54"/>
  <c r="EQ607" i="54"/>
  <c r="EP607" i="54"/>
  <c r="FJ607" i="54"/>
  <c r="FL607" i="54"/>
  <c r="FH607" i="54"/>
  <c r="EA607" i="54"/>
  <c r="EH608" i="54" s="1"/>
  <c r="FI607" i="54"/>
  <c r="FK607" i="54"/>
  <c r="DM1566" i="54"/>
  <c r="DM1567" i="54"/>
  <c r="DF1569" i="54"/>
  <c r="DF1568" i="54"/>
  <c r="DG67" i="66"/>
  <c r="AT526" i="54" s="1"/>
  <c r="AU526" i="54" s="1"/>
  <c r="ER187" i="54"/>
  <c r="EQ187" i="54"/>
  <c r="EP187" i="54"/>
  <c r="Q5" i="67"/>
  <c r="EN187" i="54"/>
  <c r="EL187" i="54"/>
  <c r="EK187" i="54"/>
  <c r="EJ187" i="54"/>
  <c r="EM187" i="54"/>
  <c r="AN5" i="67"/>
  <c r="DL1514" i="54"/>
  <c r="DL1515" i="54"/>
  <c r="BE485" i="54"/>
  <c r="BH485" i="54"/>
  <c r="BG485" i="54"/>
  <c r="BF485" i="54"/>
  <c r="BD505" i="54"/>
  <c r="BD445" i="54"/>
  <c r="BL445" i="54"/>
  <c r="BM445" i="54"/>
  <c r="BK445" i="54"/>
  <c r="BJ445" i="54"/>
  <c r="BL525" i="54"/>
  <c r="BK525" i="54"/>
  <c r="BM525" i="54"/>
  <c r="BJ525" i="54"/>
  <c r="BJ505" i="54"/>
  <c r="BK505" i="54"/>
  <c r="BL505" i="54"/>
  <c r="BM505" i="54"/>
  <c r="BR485" i="54"/>
  <c r="BO485" i="54"/>
  <c r="BP485" i="54"/>
  <c r="BQ485" i="54"/>
  <c r="FS586" i="54"/>
  <c r="FV586" i="54"/>
  <c r="FU586" i="54"/>
  <c r="EC586" i="54"/>
  <c r="FR586" i="54"/>
  <c r="FT586" i="54"/>
  <c r="FQ586" i="54"/>
  <c r="FN586" i="54"/>
  <c r="FM586" i="54"/>
  <c r="EB586" i="54"/>
  <c r="FO586" i="54"/>
  <c r="FP586" i="54"/>
  <c r="BH525" i="54"/>
  <c r="BG525" i="54"/>
  <c r="BF525" i="54"/>
  <c r="BE525" i="54"/>
  <c r="DI1514" i="54"/>
  <c r="DI1515" i="54"/>
  <c r="DQ66" i="66"/>
  <c r="DH67" i="66" s="1"/>
  <c r="AY526" i="54" s="1"/>
  <c r="BN525" i="54"/>
  <c r="EF587" i="54"/>
  <c r="EE587" i="54"/>
  <c r="EH587" i="54"/>
  <c r="ED587" i="54"/>
  <c r="EG587" i="54"/>
  <c r="DG1514" i="54"/>
  <c r="DG1515" i="54"/>
  <c r="AS526" i="54"/>
  <c r="DJ1149" i="54"/>
  <c r="DM1149" i="54"/>
  <c r="EA147" i="54"/>
  <c r="EF148" i="54" s="1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F548" i="54" s="1"/>
  <c r="EA187" i="54"/>
  <c r="EA207" i="54"/>
  <c r="EC86" i="54"/>
  <c r="ER87" i="54" s="1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J682" i="54" s="1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Q508" i="54"/>
  <c r="DG1359" i="54"/>
  <c r="DG1358" i="54"/>
  <c r="EK508" i="54"/>
  <c r="DJ1410" i="54"/>
  <c r="DJ1411" i="54"/>
  <c r="DL1046" i="54"/>
  <c r="DM1046" i="54" s="1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DM474" i="54"/>
  <c r="DM475" i="54"/>
  <c r="ER508" i="54"/>
  <c r="EO508" i="54"/>
  <c r="EJ508" i="54"/>
  <c r="DJ526" i="54"/>
  <c r="DJ527" i="54"/>
  <c r="DL788" i="54"/>
  <c r="DM788" i="54" s="1"/>
  <c r="DF1412" i="54"/>
  <c r="DF1413" i="54"/>
  <c r="DF529" i="54"/>
  <c r="DF528" i="54"/>
  <c r="DF477" i="54"/>
  <c r="DF476" i="54"/>
  <c r="EG467" i="54"/>
  <c r="ED467" i="54"/>
  <c r="EH467" i="54"/>
  <c r="EF467" i="54"/>
  <c r="EE467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R48" i="66"/>
  <c r="EB127" i="54" s="1"/>
  <c r="EB86" i="54"/>
  <c r="DF789" i="54"/>
  <c r="DF372" i="54"/>
  <c r="DG372" i="54" s="1"/>
  <c r="DF320" i="54"/>
  <c r="DG320" i="54" s="1"/>
  <c r="X6" i="67"/>
  <c r="N6" i="67"/>
  <c r="R6" i="67" s="1"/>
  <c r="DF373" i="54"/>
  <c r="DF321" i="54"/>
  <c r="BL48" i="66"/>
  <c r="DI372" i="54" s="1"/>
  <c r="DF788" i="54"/>
  <c r="DG788" i="54" s="1"/>
  <c r="BK28" i="66"/>
  <c r="DF217" i="54" s="1"/>
  <c r="CF487" i="54"/>
  <c r="CF467" i="54"/>
  <c r="CF527" i="54"/>
  <c r="DG27" i="66"/>
  <c r="DG47" i="66"/>
  <c r="DO26" i="66"/>
  <c r="BD425" i="54"/>
  <c r="BD345" i="54"/>
  <c r="BD385" i="54"/>
  <c r="DO46" i="66"/>
  <c r="DF47" i="66" s="1"/>
  <c r="BD405" i="54"/>
  <c r="BD325" i="54"/>
  <c r="BM385" i="54"/>
  <c r="BL385" i="54"/>
  <c r="BJ385" i="54"/>
  <c r="BK385" i="54"/>
  <c r="BK405" i="54"/>
  <c r="BJ405" i="54"/>
  <c r="BM405" i="54"/>
  <c r="BL405" i="54"/>
  <c r="DQ26" i="66"/>
  <c r="DT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S46" i="66"/>
  <c r="EB326" i="54"/>
  <c r="ES8" i="66"/>
  <c r="EU8" i="66" s="1"/>
  <c r="EC266" i="54"/>
  <c r="EP267" i="54" s="1"/>
  <c r="EJ228" i="54"/>
  <c r="EC26" i="54"/>
  <c r="EO27" i="54" s="1"/>
  <c r="EC326" i="54"/>
  <c r="EO327" i="54" s="1"/>
  <c r="EB166" i="54"/>
  <c r="EB266" i="54"/>
  <c r="BW47" i="66"/>
  <c r="DL839" i="54"/>
  <c r="EB386" i="54"/>
  <c r="EB26" i="54"/>
  <c r="EI108" i="54"/>
  <c r="DL1047" i="54"/>
  <c r="DL838" i="54"/>
  <c r="DM838" i="54" s="1"/>
  <c r="DL58" i="54"/>
  <c r="DM58" i="54" s="1"/>
  <c r="DL59" i="54"/>
  <c r="BQ28" i="66"/>
  <c r="BV27" i="66"/>
  <c r="BB28" i="66" s="1"/>
  <c r="DL423" i="54"/>
  <c r="DL215" i="54"/>
  <c r="DL994" i="54"/>
  <c r="DM994" i="54" s="1"/>
  <c r="DL995" i="54"/>
  <c r="EP8" i="66"/>
  <c r="CA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T48" i="66"/>
  <c r="AZ49" i="66" s="1"/>
  <c r="CF608" i="54" s="1"/>
  <c r="EA47" i="54"/>
  <c r="BY48" i="66"/>
  <c r="EA307" i="54"/>
  <c r="EG308" i="54" s="1"/>
  <c r="V6" i="67"/>
  <c r="DG839" i="54"/>
  <c r="DG838" i="54"/>
  <c r="Y5" i="67"/>
  <c r="AO5" i="67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U5" i="67"/>
  <c r="DI26" i="66"/>
  <c r="EC65" i="54"/>
  <c r="EC245" i="54"/>
  <c r="EC285" i="54"/>
  <c r="EC345" i="54"/>
  <c r="EC365" i="54"/>
  <c r="EC425" i="54"/>
  <c r="EB65" i="54"/>
  <c r="EB285" i="54"/>
  <c r="HZ19" i="54" s="1"/>
  <c r="IA19" i="54" s="1"/>
  <c r="EB245" i="54"/>
  <c r="EB365" i="54"/>
  <c r="EB345" i="54"/>
  <c r="EB425" i="54"/>
  <c r="DG683" i="54"/>
  <c r="DG423" i="54"/>
  <c r="DG682" i="54"/>
  <c r="BV6" i="66"/>
  <c r="BB7" i="66" s="1"/>
  <c r="BU6" i="66"/>
  <c r="BA7" i="66" s="1"/>
  <c r="DN46" i="66"/>
  <c r="EG327" i="54"/>
  <c r="ED327" i="54"/>
  <c r="EF327" i="54"/>
  <c r="EE327" i="54"/>
  <c r="DS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O31" i="66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K31" i="66"/>
  <c r="EY7" i="66"/>
  <c r="EX7" i="66"/>
  <c r="CJ31" i="66"/>
  <c r="CP31" i="66" s="1"/>
  <c r="EO8" i="66"/>
  <c r="EO8" i="54"/>
  <c r="ER8" i="54"/>
  <c r="ER47" i="54"/>
  <c r="EP47" i="54"/>
  <c r="EP8" i="54"/>
  <c r="EN8" i="54"/>
  <c r="EQ108" i="54"/>
  <c r="EP10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K7" i="66"/>
  <c r="CA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U27" i="66"/>
  <c r="BA28" i="66" s="1"/>
  <c r="CH587" i="54" s="1"/>
  <c r="BZ27" i="66"/>
  <c r="DJ318" i="54"/>
  <c r="DJ319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DM9" i="54"/>
  <c r="DM8" i="54"/>
  <c r="ER108" i="54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L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S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69" i="66"/>
  <c r="BZ6" i="66"/>
  <c r="BQ7" i="66"/>
  <c r="BT69" i="66"/>
  <c r="AZ70" i="66" s="1"/>
  <c r="BH20" i="66"/>
  <c r="BG20" i="66"/>
  <c r="BF20" i="66"/>
  <c r="BH16" i="66"/>
  <c r="BF16" i="66"/>
  <c r="BG16" i="66"/>
  <c r="BH12" i="66"/>
  <c r="BG12" i="66"/>
  <c r="BF12" i="66"/>
  <c r="BH8" i="66"/>
  <c r="BF8" i="66"/>
  <c r="BG8" i="66"/>
  <c r="BG19" i="66"/>
  <c r="BH19" i="66"/>
  <c r="BF19" i="66"/>
  <c r="BG11" i="66"/>
  <c r="BH11" i="66"/>
  <c r="BF11" i="66"/>
  <c r="BH24" i="66"/>
  <c r="BF24" i="66"/>
  <c r="BG24" i="66"/>
  <c r="BG23" i="66"/>
  <c r="BF23" i="66"/>
  <c r="BH23" i="66"/>
  <c r="BG15" i="66"/>
  <c r="BF15" i="66"/>
  <c r="BH15" i="66"/>
  <c r="BG7" i="66"/>
  <c r="BF7" i="66"/>
  <c r="BH7" i="66"/>
  <c r="BF22" i="66"/>
  <c r="BG22" i="66"/>
  <c r="BH22" i="66"/>
  <c r="BF18" i="66"/>
  <c r="BH18" i="66"/>
  <c r="BG18" i="66"/>
  <c r="BF14" i="66"/>
  <c r="BG14" i="66"/>
  <c r="BH14" i="66"/>
  <c r="BF10" i="66"/>
  <c r="BG10" i="66"/>
  <c r="BH10" i="66"/>
  <c r="BH25" i="66"/>
  <c r="BF25" i="66"/>
  <c r="BG25" i="66"/>
  <c r="BG21" i="66"/>
  <c r="BF21" i="66"/>
  <c r="BH21" i="66"/>
  <c r="BH17" i="66"/>
  <c r="BF17" i="66"/>
  <c r="BG17" i="66"/>
  <c r="BG13" i="66"/>
  <c r="BF13" i="66"/>
  <c r="BH13" i="66"/>
  <c r="BG9" i="66"/>
  <c r="BH9" i="66"/>
  <c r="BF9" i="66"/>
  <c r="CU31" i="66" l="1"/>
  <c r="CQ31" i="66"/>
  <c r="DF1462" i="54"/>
  <c r="DF1463" i="54"/>
  <c r="DG1463" i="54" s="1"/>
  <c r="DJ1461" i="54"/>
  <c r="FI566" i="54"/>
  <c r="FH566" i="54"/>
  <c r="FJ566" i="54"/>
  <c r="FL566" i="54"/>
  <c r="FK566" i="54"/>
  <c r="EA566" i="54"/>
  <c r="EH567" i="54" s="1"/>
  <c r="CH446" i="54"/>
  <c r="CH566" i="54"/>
  <c r="EL566" i="54"/>
  <c r="EM566" i="54"/>
  <c r="EI566" i="54"/>
  <c r="EJ566" i="54"/>
  <c r="EK566" i="54"/>
  <c r="EE567" i="54"/>
  <c r="EF567" i="54"/>
  <c r="CJ446" i="54"/>
  <c r="CJ566" i="54"/>
  <c r="EO566" i="54"/>
  <c r="EN566" i="54"/>
  <c r="ER566" i="54"/>
  <c r="EP566" i="54"/>
  <c r="EQ566" i="54"/>
  <c r="DM1461" i="54"/>
  <c r="DL1462" i="54"/>
  <c r="DM1462" i="54" s="1"/>
  <c r="DL1463" i="54"/>
  <c r="EG148" i="54"/>
  <c r="EE148" i="54"/>
  <c r="ED148" i="54"/>
  <c r="EH148" i="54"/>
  <c r="AP526" i="54"/>
  <c r="AR526" i="54"/>
  <c r="DL112" i="54"/>
  <c r="DM112" i="54" s="1"/>
  <c r="DL113" i="54"/>
  <c r="EB47" i="54"/>
  <c r="DL789" i="54"/>
  <c r="DM789" i="54" s="1"/>
  <c r="EG608" i="54"/>
  <c r="O6" i="67"/>
  <c r="S6" i="67" s="1"/>
  <c r="ED608" i="54"/>
  <c r="BZ48" i="66"/>
  <c r="DL1623" i="54"/>
  <c r="DL1622" i="54"/>
  <c r="DG373" i="54"/>
  <c r="CF509" i="54"/>
  <c r="CF629" i="54"/>
  <c r="DI1623" i="54"/>
  <c r="DI1622" i="54"/>
  <c r="FT628" i="54"/>
  <c r="FV628" i="54"/>
  <c r="FS628" i="54"/>
  <c r="FU628" i="54"/>
  <c r="FR628" i="54"/>
  <c r="EC628" i="54"/>
  <c r="EN629" i="54" s="1"/>
  <c r="FM628" i="54"/>
  <c r="FO628" i="54"/>
  <c r="FP628" i="54"/>
  <c r="FN628" i="54"/>
  <c r="FQ628" i="54"/>
  <c r="EB628" i="54"/>
  <c r="DG1622" i="54"/>
  <c r="DG1623" i="54"/>
  <c r="EH629" i="54"/>
  <c r="EG629" i="54"/>
  <c r="ED629" i="54"/>
  <c r="EF629" i="54"/>
  <c r="EE629" i="54"/>
  <c r="EB147" i="54"/>
  <c r="EJ148" i="54" s="1"/>
  <c r="DI1569" i="54"/>
  <c r="DI1568" i="54"/>
  <c r="FT607" i="54"/>
  <c r="FR607" i="54"/>
  <c r="FS607" i="54"/>
  <c r="FV607" i="54"/>
  <c r="FU607" i="54"/>
  <c r="EC607" i="54"/>
  <c r="EN608" i="54" s="1"/>
  <c r="DL373" i="54"/>
  <c r="DL372" i="54"/>
  <c r="DM372" i="54" s="1"/>
  <c r="DL321" i="54"/>
  <c r="EB607" i="54"/>
  <c r="EI608" i="54" s="1"/>
  <c r="FP607" i="54"/>
  <c r="FM607" i="54"/>
  <c r="FO607" i="54"/>
  <c r="FN607" i="54"/>
  <c r="FQ607" i="54"/>
  <c r="DL1569" i="54"/>
  <c r="DL1568" i="54"/>
  <c r="DG1569" i="54"/>
  <c r="DG1568" i="54"/>
  <c r="EF608" i="54"/>
  <c r="EB307" i="54"/>
  <c r="EL308" i="54" s="1"/>
  <c r="W6" i="67"/>
  <c r="Y6" i="67" s="1"/>
  <c r="DL320" i="54"/>
  <c r="DM320" i="54" s="1"/>
  <c r="EE608" i="54"/>
  <c r="EO87" i="54"/>
  <c r="EP87" i="54"/>
  <c r="AP5" i="67"/>
  <c r="AT5" i="67" s="1"/>
  <c r="AU5" i="67" s="1"/>
  <c r="EQ87" i="54"/>
  <c r="EN87" i="54"/>
  <c r="AX526" i="54"/>
  <c r="AW526" i="54"/>
  <c r="AV526" i="54"/>
  <c r="DT66" i="66"/>
  <c r="EG548" i="54"/>
  <c r="EE548" i="54"/>
  <c r="ED509" i="54"/>
  <c r="EF509" i="54"/>
  <c r="ED548" i="54"/>
  <c r="EH548" i="54"/>
  <c r="EG509" i="54"/>
  <c r="CJ27" i="54"/>
  <c r="CJ587" i="54"/>
  <c r="BP525" i="54"/>
  <c r="BR525" i="54"/>
  <c r="BQ525" i="54"/>
  <c r="BO525" i="54"/>
  <c r="ER587" i="54"/>
  <c r="EN587" i="54"/>
  <c r="EP587" i="54"/>
  <c r="EO587" i="54"/>
  <c r="EQ587" i="54"/>
  <c r="BE445" i="54"/>
  <c r="BG445" i="54"/>
  <c r="BH445" i="54"/>
  <c r="BF445" i="54"/>
  <c r="FJ587" i="54"/>
  <c r="FH587" i="54"/>
  <c r="FI587" i="54"/>
  <c r="EA587" i="54"/>
  <c r="ED588" i="54" s="1"/>
  <c r="FL587" i="54"/>
  <c r="FK587" i="54"/>
  <c r="DM1047" i="54"/>
  <c r="BH505" i="54"/>
  <c r="BF505" i="54"/>
  <c r="BE505" i="54"/>
  <c r="BG505" i="54"/>
  <c r="AT326" i="54"/>
  <c r="AU326" i="54" s="1"/>
  <c r="AT506" i="54"/>
  <c r="AT446" i="54"/>
  <c r="EL587" i="54"/>
  <c r="EK587" i="54"/>
  <c r="EM587" i="54"/>
  <c r="EI587" i="54"/>
  <c r="EJ587" i="54"/>
  <c r="BA526" i="54"/>
  <c r="BC526" i="54"/>
  <c r="BB526" i="54"/>
  <c r="AZ526" i="54"/>
  <c r="BN505" i="54"/>
  <c r="BN445" i="54"/>
  <c r="AT426" i="54"/>
  <c r="AV426" i="54" s="1"/>
  <c r="AT486" i="54"/>
  <c r="DF1517" i="54"/>
  <c r="DF1516" i="54"/>
  <c r="DJ1514" i="54"/>
  <c r="DJ1515" i="54"/>
  <c r="DM1514" i="54"/>
  <c r="DM1515" i="54"/>
  <c r="AO506" i="54"/>
  <c r="AO446" i="54"/>
  <c r="HH16" i="54"/>
  <c r="HN16" i="54" s="1"/>
  <c r="HH11" i="54"/>
  <c r="HN11" i="54" s="1"/>
  <c r="HH17" i="54"/>
  <c r="HN17" i="54" s="1"/>
  <c r="HH10" i="54"/>
  <c r="HN10" i="54" s="1"/>
  <c r="HH13" i="54"/>
  <c r="HN13" i="54" s="1"/>
  <c r="HH12" i="54"/>
  <c r="HH15" i="54"/>
  <c r="HN15" i="54" s="1"/>
  <c r="HH14" i="54"/>
  <c r="HN14" i="54" s="1"/>
  <c r="HH18" i="54"/>
  <c r="HN18" i="54" s="1"/>
  <c r="HH19" i="54"/>
  <c r="HN19" i="54" s="1"/>
  <c r="HQ11" i="54"/>
  <c r="HQ12" i="54"/>
  <c r="HQ10" i="54"/>
  <c r="HQ9" i="54"/>
  <c r="IE9" i="54" s="1"/>
  <c r="HQ13" i="54"/>
  <c r="EH509" i="54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G53" i="65" s="1"/>
  <c r="BY7" i="65"/>
  <c r="CC7" i="65" s="1"/>
  <c r="HG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EF168" i="54" s="1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DG529" i="54"/>
  <c r="DG528" i="54"/>
  <c r="P6" i="67"/>
  <c r="T6" i="67" s="1"/>
  <c r="DL1412" i="54"/>
  <c r="DL1413" i="54"/>
  <c r="DL477" i="54"/>
  <c r="DL529" i="54"/>
  <c r="DL528" i="54"/>
  <c r="DL476" i="54"/>
  <c r="EO446" i="54"/>
  <c r="EP446" i="54"/>
  <c r="EQ446" i="54"/>
  <c r="EN446" i="54"/>
  <c r="ER446" i="54"/>
  <c r="DM1358" i="54"/>
  <c r="DM1359" i="54"/>
  <c r="DJ1255" i="54"/>
  <c r="DJ1254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EN128" i="54" s="1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DM1203" i="54"/>
  <c r="DM1202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DF841" i="54"/>
  <c r="DF1361" i="54"/>
  <c r="DF1257" i="54"/>
  <c r="DF1204" i="54"/>
  <c r="DF1205" i="54"/>
  <c r="DF1256" i="54"/>
  <c r="DF1360" i="54"/>
  <c r="DG477" i="54"/>
  <c r="DG476" i="54"/>
  <c r="DM1254" i="54"/>
  <c r="DM1255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HN12" i="54"/>
  <c r="DI788" i="54"/>
  <c r="DI321" i="54"/>
  <c r="CA48" i="66"/>
  <c r="BV48" i="66"/>
  <c r="BB49" i="66" s="1"/>
  <c r="CJ608" i="54" s="1"/>
  <c r="EC307" i="54"/>
  <c r="ER308" i="54" s="1"/>
  <c r="DI373" i="54"/>
  <c r="DJ373" i="54" s="1"/>
  <c r="DI789" i="54"/>
  <c r="EC47" i="54"/>
  <c r="EO48" i="54" s="1"/>
  <c r="BU48" i="66"/>
  <c r="BW48" i="66" s="1"/>
  <c r="EC147" i="54"/>
  <c r="ER148" i="54" s="1"/>
  <c r="DF1049" i="54"/>
  <c r="BL28" i="66"/>
  <c r="DI841" i="54" s="1"/>
  <c r="DF60" i="54"/>
  <c r="DG60" i="54" s="1"/>
  <c r="CJ387" i="54"/>
  <c r="DF216" i="54"/>
  <c r="DG217" i="54" s="1"/>
  <c r="DF997" i="54"/>
  <c r="DF61" i="54"/>
  <c r="DG61" i="54" s="1"/>
  <c r="DM683" i="54"/>
  <c r="EN9" i="66"/>
  <c r="DF684" i="54"/>
  <c r="DF424" i="54"/>
  <c r="DG424" i="54" s="1"/>
  <c r="DF996" i="54"/>
  <c r="DG996" i="54" s="1"/>
  <c r="DF1048" i="54"/>
  <c r="DG1048" i="54" s="1"/>
  <c r="DF425" i="54"/>
  <c r="DF685" i="54"/>
  <c r="DF840" i="54"/>
  <c r="DG840" i="54" s="1"/>
  <c r="DG321" i="54"/>
  <c r="DM682" i="54"/>
  <c r="EQ167" i="54"/>
  <c r="EO167" i="54"/>
  <c r="BT28" i="66"/>
  <c r="AZ29" i="66" s="1"/>
  <c r="CF588" i="54" s="1"/>
  <c r="BR28" i="66"/>
  <c r="EB87" i="54" s="1"/>
  <c r="DH27" i="66"/>
  <c r="DG789" i="54"/>
  <c r="AM6" i="67"/>
  <c r="DR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R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BG345" i="54"/>
  <c r="BE345" i="54"/>
  <c r="BH345" i="54"/>
  <c r="BF345" i="54"/>
  <c r="BQ425" i="54"/>
  <c r="BR425" i="54"/>
  <c r="BP425" i="54"/>
  <c r="BO425" i="54"/>
  <c r="AO406" i="54"/>
  <c r="AO326" i="54"/>
  <c r="BH425" i="54"/>
  <c r="BG425" i="54"/>
  <c r="BF425" i="54"/>
  <c r="BE425" i="54"/>
  <c r="DQ46" i="66"/>
  <c r="DH47" i="66" s="1"/>
  <c r="BN405" i="54"/>
  <c r="BN325" i="54"/>
  <c r="ER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DM422" i="54"/>
  <c r="EA387" i="54"/>
  <c r="EF388" i="54" s="1"/>
  <c r="CJ407" i="54"/>
  <c r="EA327" i="54"/>
  <c r="EH328" i="54" s="1"/>
  <c r="BY28" i="66"/>
  <c r="CI15" i="66" s="1"/>
  <c r="CS15" i="66" s="1"/>
  <c r="DI27" i="66" s="1"/>
  <c r="EA87" i="54"/>
  <c r="EF88" i="54" s="1"/>
  <c r="EQ8" i="66"/>
  <c r="EV8" i="66" s="1"/>
  <c r="EX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EQ407" i="54"/>
  <c r="EE308" i="54"/>
  <c r="CI23" i="66"/>
  <c r="BK49" i="66"/>
  <c r="BQ49" i="66"/>
  <c r="DF27" i="66"/>
  <c r="AO486" i="54" s="1"/>
  <c r="CH27" i="54"/>
  <c r="CH87" i="54"/>
  <c r="CH267" i="54"/>
  <c r="CH327" i="54"/>
  <c r="CH167" i="54"/>
  <c r="CH407" i="54"/>
  <c r="CH387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EB8" i="54"/>
  <c r="EJ9" i="54" s="1"/>
  <c r="EB228" i="54"/>
  <c r="EK229" i="54" s="1"/>
  <c r="EB108" i="54"/>
  <c r="EA66" i="54"/>
  <c r="EF67" i="54" s="1"/>
  <c r="EA246" i="54"/>
  <c r="EF247" i="54" s="1"/>
  <c r="EA286" i="54"/>
  <c r="HY29" i="54" s="1"/>
  <c r="EA346" i="54"/>
  <c r="EG347" i="54" s="1"/>
  <c r="EA366" i="54"/>
  <c r="EG367" i="54" s="1"/>
  <c r="EA426" i="54"/>
  <c r="EH427" i="54" s="1"/>
  <c r="DJ683" i="54"/>
  <c r="EI128" i="54"/>
  <c r="CT31" i="66"/>
  <c r="DJ839" i="54"/>
  <c r="DJ423" i="54"/>
  <c r="DJ372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J6" i="66"/>
  <c r="CT6" i="66" s="1"/>
  <c r="DJ6" i="66" s="1"/>
  <c r="CJ23" i="66"/>
  <c r="CP23" i="66" s="1"/>
  <c r="DM68" i="66" s="1"/>
  <c r="CK6" i="66"/>
  <c r="EO9" i="66"/>
  <c r="DL6" i="66"/>
  <c r="BD465" i="54" s="1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Q70" i="66"/>
  <c r="DL10" i="54"/>
  <c r="DL583" i="54"/>
  <c r="DL271" i="54"/>
  <c r="DL270" i="54"/>
  <c r="DL11" i="54"/>
  <c r="DL582" i="54"/>
  <c r="BT7" i="66"/>
  <c r="AZ8" i="66" s="1"/>
  <c r="DI112" i="54"/>
  <c r="DJ112" i="54" s="1"/>
  <c r="DI113" i="54"/>
  <c r="EG109" i="54"/>
  <c r="DI6" i="66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L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R7" i="66"/>
  <c r="EL128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BA49" i="66"/>
  <c r="CH608" i="54" s="1"/>
  <c r="EJ128" i="54"/>
  <c r="BZ69" i="66"/>
  <c r="BU69" i="66"/>
  <c r="BA70" i="66" s="1"/>
  <c r="BV69" i="66"/>
  <c r="BB70" i="66" s="1"/>
  <c r="CA69" i="66"/>
  <c r="BY7" i="66"/>
  <c r="BK70" i="66"/>
  <c r="DC203" i="67"/>
  <c r="CJ308" i="54" l="1"/>
  <c r="CU6" i="66"/>
  <c r="DK6" i="66" s="1"/>
  <c r="CQ6" i="66"/>
  <c r="DN6" i="66" s="1"/>
  <c r="BN465" i="54" s="1"/>
  <c r="FM566" i="54"/>
  <c r="FQ566" i="54"/>
  <c r="FO566" i="54"/>
  <c r="FP566" i="54"/>
  <c r="FN566" i="54"/>
  <c r="EB566" i="54"/>
  <c r="EL567" i="54" s="1"/>
  <c r="DI1463" i="54"/>
  <c r="DJ1463" i="54" s="1"/>
  <c r="DI1462" i="54"/>
  <c r="EK567" i="54"/>
  <c r="EG567" i="54"/>
  <c r="CF447" i="54"/>
  <c r="CF567" i="54"/>
  <c r="EJ567" i="54"/>
  <c r="EI567" i="54"/>
  <c r="DG1462" i="54"/>
  <c r="EM567" i="54"/>
  <c r="ED567" i="54"/>
  <c r="FU566" i="54"/>
  <c r="FT566" i="54"/>
  <c r="FR566" i="54"/>
  <c r="FS566" i="54"/>
  <c r="FV566" i="54"/>
  <c r="EC566" i="54"/>
  <c r="EN567" i="54" s="1"/>
  <c r="DM1463" i="54"/>
  <c r="EM148" i="54"/>
  <c r="EK148" i="54"/>
  <c r="EI148" i="54"/>
  <c r="EK308" i="54"/>
  <c r="EL148" i="54"/>
  <c r="EG588" i="54"/>
  <c r="EE588" i="54"/>
  <c r="EH588" i="54"/>
  <c r="DM373" i="54"/>
  <c r="DM113" i="54"/>
  <c r="AW426" i="54"/>
  <c r="DM321" i="54"/>
  <c r="EJ308" i="54"/>
  <c r="AN6" i="67"/>
  <c r="EM308" i="54"/>
  <c r="EI308" i="54"/>
  <c r="CJ148" i="54"/>
  <c r="EP608" i="54"/>
  <c r="EK608" i="54"/>
  <c r="EP629" i="54"/>
  <c r="EM608" i="54"/>
  <c r="CJ48" i="54"/>
  <c r="EJ608" i="54"/>
  <c r="EQ608" i="54"/>
  <c r="EQ629" i="54"/>
  <c r="EO629" i="54"/>
  <c r="CJ509" i="54"/>
  <c r="CJ629" i="54"/>
  <c r="EM629" i="54"/>
  <c r="EI629" i="54"/>
  <c r="EK629" i="54"/>
  <c r="EL629" i="54"/>
  <c r="EJ629" i="54"/>
  <c r="DJ1623" i="54"/>
  <c r="DJ1622" i="54"/>
  <c r="FK629" i="54"/>
  <c r="FI629" i="54"/>
  <c r="FJ629" i="54"/>
  <c r="FH629" i="54"/>
  <c r="FL629" i="54"/>
  <c r="EA629" i="54"/>
  <c r="EH630" i="54" s="1"/>
  <c r="DM1623" i="54"/>
  <c r="DM1622" i="54"/>
  <c r="DF1625" i="54"/>
  <c r="DF1624" i="54"/>
  <c r="CH509" i="54"/>
  <c r="CH629" i="54"/>
  <c r="EO608" i="54"/>
  <c r="ER608" i="54"/>
  <c r="ER629" i="54"/>
  <c r="FK608" i="54"/>
  <c r="FI608" i="54"/>
  <c r="FJ608" i="54"/>
  <c r="FH608" i="54"/>
  <c r="FL608" i="54"/>
  <c r="EA608" i="54"/>
  <c r="EF609" i="54" s="1"/>
  <c r="DJ1568" i="54"/>
  <c r="DJ1569" i="54"/>
  <c r="DF1570" i="54"/>
  <c r="DF1571" i="54"/>
  <c r="DM1569" i="54"/>
  <c r="DM1568" i="54"/>
  <c r="EL608" i="54"/>
  <c r="CJ128" i="54"/>
  <c r="AU426" i="54"/>
  <c r="AX426" i="54"/>
  <c r="EG168" i="54"/>
  <c r="EE168" i="54"/>
  <c r="EH168" i="54"/>
  <c r="EQ128" i="54"/>
  <c r="AW326" i="54"/>
  <c r="EI548" i="54"/>
  <c r="EK548" i="54"/>
  <c r="ER128" i="54"/>
  <c r="ED168" i="54"/>
  <c r="EH488" i="54"/>
  <c r="EO509" i="54"/>
  <c r="EH468" i="54"/>
  <c r="EP128" i="54"/>
  <c r="U6" i="67"/>
  <c r="EI509" i="54"/>
  <c r="EO128" i="54"/>
  <c r="ER509" i="54"/>
  <c r="EN509" i="54"/>
  <c r="EF468" i="54"/>
  <c r="EJ509" i="54"/>
  <c r="Q6" i="67"/>
  <c r="EM509" i="54"/>
  <c r="DI1049" i="54"/>
  <c r="DI216" i="54"/>
  <c r="DJ216" i="54" s="1"/>
  <c r="EH528" i="54"/>
  <c r="EF588" i="54"/>
  <c r="EG488" i="54"/>
  <c r="AV326" i="54"/>
  <c r="DJ321" i="54"/>
  <c r="AX326" i="54"/>
  <c r="ER548" i="54"/>
  <c r="ED447" i="54"/>
  <c r="AO6" i="67"/>
  <c r="EG447" i="54"/>
  <c r="EG468" i="54"/>
  <c r="EH447" i="54"/>
  <c r="DP68" i="66"/>
  <c r="BI527" i="54"/>
  <c r="AY426" i="54"/>
  <c r="BA426" i="54" s="1"/>
  <c r="AY486" i="54"/>
  <c r="DI1517" i="54"/>
  <c r="DI1516" i="54"/>
  <c r="DG1516" i="54"/>
  <c r="DG1517" i="54"/>
  <c r="BO445" i="54"/>
  <c r="BR445" i="54"/>
  <c r="BQ445" i="54"/>
  <c r="BP445" i="54"/>
  <c r="AV446" i="54"/>
  <c r="AW446" i="54"/>
  <c r="AU446" i="54"/>
  <c r="AX446" i="54"/>
  <c r="AY506" i="54"/>
  <c r="AY446" i="54"/>
  <c r="FM587" i="54"/>
  <c r="EB587" i="54"/>
  <c r="EI588" i="54" s="1"/>
  <c r="FN587" i="54"/>
  <c r="FP587" i="54"/>
  <c r="FQ587" i="54"/>
  <c r="FO587" i="54"/>
  <c r="BR505" i="54"/>
  <c r="BO505" i="54"/>
  <c r="BP505" i="54"/>
  <c r="BQ505" i="54"/>
  <c r="AU506" i="54"/>
  <c r="AV506" i="54"/>
  <c r="AX506" i="54"/>
  <c r="AW506" i="54"/>
  <c r="FT587" i="54"/>
  <c r="FU587" i="54"/>
  <c r="FR587" i="54"/>
  <c r="FV587" i="54"/>
  <c r="FS587" i="54"/>
  <c r="EC587" i="54"/>
  <c r="EO588" i="54" s="1"/>
  <c r="DL1516" i="54"/>
  <c r="DL1517" i="54"/>
  <c r="EE468" i="54"/>
  <c r="AW486" i="54"/>
  <c r="AV486" i="54"/>
  <c r="AX486" i="54"/>
  <c r="AU486" i="54"/>
  <c r="IE10" i="54"/>
  <c r="AS446" i="54"/>
  <c r="AP446" i="54"/>
  <c r="AR446" i="54"/>
  <c r="AQ446" i="54"/>
  <c r="AP506" i="54"/>
  <c r="AS506" i="54"/>
  <c r="AQ506" i="54"/>
  <c r="AR506" i="54"/>
  <c r="AR486" i="54"/>
  <c r="AS486" i="54"/>
  <c r="AP486" i="54"/>
  <c r="AQ486" i="54"/>
  <c r="BG465" i="54"/>
  <c r="BE465" i="54"/>
  <c r="BF465" i="54"/>
  <c r="BH465" i="54"/>
  <c r="ED528" i="54"/>
  <c r="EE528" i="54"/>
  <c r="EM548" i="54"/>
  <c r="EJ548" i="54"/>
  <c r="BO465" i="54"/>
  <c r="BQ465" i="54"/>
  <c r="BR465" i="54"/>
  <c r="BP465" i="54"/>
  <c r="HJ11" i="54"/>
  <c r="HP11" i="54" s="1"/>
  <c r="HJ15" i="54"/>
  <c r="HP15" i="54" s="1"/>
  <c r="HJ17" i="54"/>
  <c r="HP17" i="54" s="1"/>
  <c r="HJ13" i="54"/>
  <c r="HP13" i="54" s="1"/>
  <c r="HJ14" i="54"/>
  <c r="HP14" i="54" s="1"/>
  <c r="HJ12" i="54"/>
  <c r="HP12" i="54" s="1"/>
  <c r="HJ18" i="54"/>
  <c r="HP18" i="54" s="1"/>
  <c r="HJ19" i="54"/>
  <c r="HP19" i="54" s="1"/>
  <c r="HJ10" i="54"/>
  <c r="HP10" i="54" s="1"/>
  <c r="HJ16" i="54"/>
  <c r="HP16" i="54" s="1"/>
  <c r="HR11" i="54"/>
  <c r="HR9" i="54"/>
  <c r="IF9" i="54" s="1"/>
  <c r="HR13" i="54"/>
  <c r="HR10" i="54"/>
  <c r="HR12" i="54"/>
  <c r="HS13" i="54"/>
  <c r="HS10" i="54"/>
  <c r="HS11" i="54"/>
  <c r="HS9" i="54"/>
  <c r="IG9" i="54" s="1"/>
  <c r="HS12" i="54"/>
  <c r="EF488" i="54"/>
  <c r="HI16" i="54"/>
  <c r="HO16" i="54" s="1"/>
  <c r="HI13" i="54"/>
  <c r="HO13" i="54" s="1"/>
  <c r="HI15" i="54"/>
  <c r="HO15" i="54" s="1"/>
  <c r="HI10" i="54"/>
  <c r="HO10" i="54" s="1"/>
  <c r="HI12" i="54"/>
  <c r="HO12" i="54" s="1"/>
  <c r="HI19" i="54"/>
  <c r="HO19" i="54" s="1"/>
  <c r="HI14" i="54"/>
  <c r="HO14" i="54" s="1"/>
  <c r="HI17" i="54"/>
  <c r="HO17" i="54" s="1"/>
  <c r="HI18" i="54"/>
  <c r="HO18" i="54" s="1"/>
  <c r="HI11" i="54"/>
  <c r="HO11" i="54" s="1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EJ268" i="54" s="1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L468" i="54" s="1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EQ268" i="54" s="1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M684" i="54" s="1"/>
  <c r="DL1361" i="54"/>
  <c r="DL1256" i="54"/>
  <c r="DL1204" i="54"/>
  <c r="DL1360" i="54"/>
  <c r="DL1257" i="54"/>
  <c r="DL1205" i="54"/>
  <c r="BZ7" i="65"/>
  <c r="BZ21" i="65"/>
  <c r="BV7" i="67" s="1"/>
  <c r="DG1361" i="54"/>
  <c r="DG1360" i="54"/>
  <c r="EO188" i="54"/>
  <c r="EN188" i="54"/>
  <c r="EP188" i="54"/>
  <c r="EQ188" i="54"/>
  <c r="ER188" i="54"/>
  <c r="DJ529" i="54"/>
  <c r="DJ528" i="54"/>
  <c r="DJ1412" i="54"/>
  <c r="DJ1413" i="54"/>
  <c r="DG1151" i="54"/>
  <c r="DG1150" i="54"/>
  <c r="HG52" i="65"/>
  <c r="CD21" i="65"/>
  <c r="HG54" i="65" s="1"/>
  <c r="HG6" i="65"/>
  <c r="CD7" i="65"/>
  <c r="HG8" i="65" s="1"/>
  <c r="DM1150" i="54"/>
  <c r="DM1151" i="54"/>
  <c r="DG1256" i="54"/>
  <c r="DG1257" i="54"/>
  <c r="EN208" i="54"/>
  <c r="EQ208" i="54"/>
  <c r="EO208" i="54"/>
  <c r="ER208" i="54"/>
  <c r="EP20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DJ477" i="54"/>
  <c r="DJ476" i="54"/>
  <c r="DM476" i="54"/>
  <c r="DM477" i="54"/>
  <c r="EM188" i="54"/>
  <c r="EI188" i="54"/>
  <c r="EL188" i="54"/>
  <c r="EK188" i="54"/>
  <c r="EJ188" i="54"/>
  <c r="CK23" i="66"/>
  <c r="ES9" i="66"/>
  <c r="EB27" i="54"/>
  <c r="EI28" i="54" s="1"/>
  <c r="EO308" i="54"/>
  <c r="EB407" i="54"/>
  <c r="EM408" i="54" s="1"/>
  <c r="EB327" i="54"/>
  <c r="EM328" i="54" s="1"/>
  <c r="EB387" i="54"/>
  <c r="EI388" i="54" s="1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IP11" i="54"/>
  <c r="IP12" i="54"/>
  <c r="IP13" i="54"/>
  <c r="IP9" i="54"/>
  <c r="IP10" i="54"/>
  <c r="EF287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Z28" i="66"/>
  <c r="CJ15" i="66" s="1"/>
  <c r="CT15" i="66" s="1"/>
  <c r="DI60" i="54"/>
  <c r="DJ60" i="54" s="1"/>
  <c r="DI217" i="54"/>
  <c r="BU28" i="66"/>
  <c r="BA29" i="66" s="1"/>
  <c r="DI425" i="54"/>
  <c r="DI684" i="54"/>
  <c r="DJ684" i="54" s="1"/>
  <c r="EP9" i="66"/>
  <c r="EQ9" i="66" s="1"/>
  <c r="DL1049" i="54"/>
  <c r="DL216" i="54"/>
  <c r="DM216" i="54" s="1"/>
  <c r="DL425" i="54"/>
  <c r="DL217" i="54"/>
  <c r="DG425" i="54"/>
  <c r="EC27" i="54"/>
  <c r="EP28" i="54" s="1"/>
  <c r="ET9" i="66"/>
  <c r="DG685" i="54"/>
  <c r="EC407" i="54"/>
  <c r="ER408" i="54" s="1"/>
  <c r="CA28" i="66"/>
  <c r="BV28" i="66"/>
  <c r="BB29" i="66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V406" i="54"/>
  <c r="AW406" i="54"/>
  <c r="CO15" i="66"/>
  <c r="DL27" i="66" s="1"/>
  <c r="BD486" i="54" s="1"/>
  <c r="EC87" i="54"/>
  <c r="EP88" i="54" s="1"/>
  <c r="AW386" i="54"/>
  <c r="AV386" i="54"/>
  <c r="AU346" i="54"/>
  <c r="AX386" i="54"/>
  <c r="AV346" i="54"/>
  <c r="AX346" i="54"/>
  <c r="DT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DO6" i="66"/>
  <c r="DR6" i="66" s="1"/>
  <c r="BD365" i="54"/>
  <c r="DQ6" i="66"/>
  <c r="DT6" i="66" s="1"/>
  <c r="BN365" i="54"/>
  <c r="EE268" i="54"/>
  <c r="EG88" i="54"/>
  <c r="EG408" i="54"/>
  <c r="EG388" i="54"/>
  <c r="EE28" i="54"/>
  <c r="EH388" i="54"/>
  <c r="EE388" i="54"/>
  <c r="EE32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AY5" i="67"/>
  <c r="EA48" i="54"/>
  <c r="EE49" i="54" s="1"/>
  <c r="EA128" i="54"/>
  <c r="EA148" i="54"/>
  <c r="V7" i="67"/>
  <c r="EA308" i="54"/>
  <c r="BR49" i="66"/>
  <c r="DF375" i="54"/>
  <c r="BL49" i="66"/>
  <c r="DF322" i="54"/>
  <c r="DF374" i="54"/>
  <c r="N7" i="67"/>
  <c r="BT49" i="66"/>
  <c r="AZ50" i="66" s="1"/>
  <c r="CF609" i="54" s="1"/>
  <c r="BY49" i="66"/>
  <c r="DF323" i="54"/>
  <c r="DF790" i="54"/>
  <c r="DF791" i="54"/>
  <c r="CO23" i="66"/>
  <c r="CS23" i="66"/>
  <c r="BT6" i="67"/>
  <c r="BT7" i="67"/>
  <c r="BT8" i="67"/>
  <c r="CJ229" i="54"/>
  <c r="CJ9" i="54"/>
  <c r="CJ109" i="54"/>
  <c r="BQ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V7" i="66"/>
  <c r="BB8" i="66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CP6" i="66"/>
  <c r="DM6" i="66" s="1"/>
  <c r="BI465" i="54" s="1"/>
  <c r="EM88" i="54"/>
  <c r="BQ29" i="66"/>
  <c r="DM67" i="66"/>
  <c r="DM47" i="66"/>
  <c r="CT23" i="66"/>
  <c r="DJ68" i="66" s="1"/>
  <c r="EL88" i="54"/>
  <c r="BU7" i="66"/>
  <c r="BA8" i="66" s="1"/>
  <c r="BK29" i="66"/>
  <c r="EL48" i="54"/>
  <c r="EJ88" i="54"/>
  <c r="EI88" i="54"/>
  <c r="EI48" i="54"/>
  <c r="EK88" i="54"/>
  <c r="EH347" i="54"/>
  <c r="CA7" i="66"/>
  <c r="DM48" i="66"/>
  <c r="ER229" i="54"/>
  <c r="EO229" i="54"/>
  <c r="BZ7" i="66"/>
  <c r="ED67" i="54"/>
  <c r="EW8" i="66"/>
  <c r="EY8" i="66"/>
  <c r="EE347" i="54"/>
  <c r="EE287" i="54"/>
  <c r="EK48" i="54"/>
  <c r="DJ113" i="54"/>
  <c r="DM163" i="54"/>
  <c r="EE427" i="54"/>
  <c r="EF367" i="54"/>
  <c r="EE367" i="54"/>
  <c r="DM162" i="54"/>
  <c r="EJ48" i="54"/>
  <c r="EH67" i="54"/>
  <c r="EM48" i="54"/>
  <c r="EN229" i="54"/>
  <c r="EG287" i="54"/>
  <c r="EG427" i="54"/>
  <c r="EG247" i="54"/>
  <c r="BL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ED367" i="54"/>
  <c r="ER48" i="54"/>
  <c r="EN48" i="54"/>
  <c r="EP48" i="54"/>
  <c r="EQ48" i="54"/>
  <c r="DI28" i="66"/>
  <c r="EE247" i="54"/>
  <c r="EH367" i="54"/>
  <c r="EQ229" i="54"/>
  <c r="DM583" i="54"/>
  <c r="DM582" i="54"/>
  <c r="DM735" i="54"/>
  <c r="DM734" i="54"/>
  <c r="EF347" i="54"/>
  <c r="EE67" i="54"/>
  <c r="DM943" i="54"/>
  <c r="DM942" i="54"/>
  <c r="DF115" i="54"/>
  <c r="DF114" i="54"/>
  <c r="DG942" i="54"/>
  <c r="DG943" i="54"/>
  <c r="DI1098" i="54"/>
  <c r="DI735" i="54"/>
  <c r="DI890" i="54"/>
  <c r="DI891" i="54"/>
  <c r="DI734" i="54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K8" i="66"/>
  <c r="DM11" i="54"/>
  <c r="DM10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Y70" i="66"/>
  <c r="BT70" i="66"/>
  <c r="AZ71" i="66" s="1"/>
  <c r="CU23" i="66" l="1"/>
  <c r="CQ23" i="66"/>
  <c r="DF1465" i="54"/>
  <c r="DF1464" i="54"/>
  <c r="DJ1462" i="54"/>
  <c r="CH447" i="54"/>
  <c r="CH567" i="54"/>
  <c r="FI567" i="54"/>
  <c r="FK567" i="54"/>
  <c r="FH567" i="54"/>
  <c r="FL567" i="54"/>
  <c r="EA567" i="54"/>
  <c r="FJ567" i="54"/>
  <c r="EG568" i="54"/>
  <c r="EP567" i="54"/>
  <c r="ED568" i="54"/>
  <c r="ER567" i="54"/>
  <c r="CJ447" i="54"/>
  <c r="CJ567" i="54"/>
  <c r="EO567" i="54"/>
  <c r="EQ567" i="54"/>
  <c r="FP8" i="65"/>
  <c r="FP12" i="65"/>
  <c r="FP16" i="65"/>
  <c r="FP20" i="65"/>
  <c r="FP24" i="65"/>
  <c r="FP28" i="65"/>
  <c r="FP32" i="65"/>
  <c r="FP36" i="65"/>
  <c r="FP40" i="65"/>
  <c r="FP44" i="65"/>
  <c r="FP6" i="65"/>
  <c r="FP9" i="65"/>
  <c r="FP13" i="65"/>
  <c r="FP17" i="65"/>
  <c r="FP21" i="65"/>
  <c r="FP25" i="65"/>
  <c r="FP29" i="65"/>
  <c r="FP33" i="65"/>
  <c r="FP37" i="65"/>
  <c r="FP41" i="65"/>
  <c r="FP45" i="65"/>
  <c r="FP10" i="65"/>
  <c r="FP14" i="65"/>
  <c r="FP18" i="65"/>
  <c r="FP22" i="65"/>
  <c r="FP26" i="65"/>
  <c r="FP30" i="65"/>
  <c r="FP34" i="65"/>
  <c r="FP38" i="65"/>
  <c r="FP42" i="65"/>
  <c r="FP7" i="65"/>
  <c r="FP11" i="65"/>
  <c r="FP15" i="65"/>
  <c r="FP19" i="65"/>
  <c r="FP23" i="65"/>
  <c r="FP27" i="65"/>
  <c r="FP31" i="65"/>
  <c r="FP35" i="65"/>
  <c r="FP39" i="65"/>
  <c r="FP43" i="65"/>
  <c r="FP444" i="65"/>
  <c r="FP448" i="65"/>
  <c r="FP452" i="65"/>
  <c r="FP456" i="65"/>
  <c r="GG456" i="65" s="1"/>
  <c r="FP460" i="65"/>
  <c r="FP464" i="65"/>
  <c r="FP468" i="65"/>
  <c r="FP472" i="65"/>
  <c r="GG472" i="65" s="1"/>
  <c r="FP476" i="65"/>
  <c r="FP480" i="65"/>
  <c r="FP441" i="65"/>
  <c r="FP445" i="65"/>
  <c r="FP449" i="65"/>
  <c r="GG449" i="65" s="1"/>
  <c r="FP453" i="65"/>
  <c r="FP457" i="65"/>
  <c r="FP461" i="65"/>
  <c r="FP465" i="65"/>
  <c r="GG465" i="65" s="1"/>
  <c r="FP469" i="65"/>
  <c r="FP473" i="65"/>
  <c r="FP477" i="65"/>
  <c r="FP442" i="65"/>
  <c r="FP446" i="65"/>
  <c r="FP450" i="65"/>
  <c r="FP454" i="65"/>
  <c r="FP458" i="65"/>
  <c r="FP462" i="65"/>
  <c r="FP466" i="65"/>
  <c r="FP470" i="65"/>
  <c r="FP474" i="65"/>
  <c r="FP478" i="65"/>
  <c r="FP443" i="65"/>
  <c r="FP447" i="65"/>
  <c r="GG447" i="65" s="1"/>
  <c r="FP451" i="65"/>
  <c r="FP455" i="65"/>
  <c r="FP459" i="65"/>
  <c r="FP463" i="65"/>
  <c r="GG463" i="65" s="1"/>
  <c r="FP467" i="65"/>
  <c r="FP471" i="65"/>
  <c r="FP475" i="65"/>
  <c r="FP479" i="65"/>
  <c r="GG479" i="65" s="1"/>
  <c r="ED630" i="54"/>
  <c r="BC426" i="54"/>
  <c r="EP268" i="54"/>
  <c r="AP6" i="67"/>
  <c r="AT6" i="67" s="1"/>
  <c r="CH6" i="67" s="1"/>
  <c r="BB426" i="54"/>
  <c r="AZ426" i="54"/>
  <c r="EE630" i="54"/>
  <c r="CF510" i="54"/>
  <c r="CF630" i="54"/>
  <c r="EG630" i="54"/>
  <c r="DL1625" i="54"/>
  <c r="DL1624" i="54"/>
  <c r="FT629" i="54"/>
  <c r="FV629" i="54"/>
  <c r="FR629" i="54"/>
  <c r="FU629" i="54"/>
  <c r="FS629" i="54"/>
  <c r="EC629" i="54"/>
  <c r="ER630" i="54" s="1"/>
  <c r="FM629" i="54"/>
  <c r="FN629" i="54"/>
  <c r="FO629" i="54"/>
  <c r="FQ629" i="54"/>
  <c r="FP629" i="54"/>
  <c r="EB629" i="54"/>
  <c r="EJ630" i="54" s="1"/>
  <c r="EE609" i="54"/>
  <c r="EF630" i="54"/>
  <c r="DI1625" i="54"/>
  <c r="DI1624" i="54"/>
  <c r="DG1624" i="54"/>
  <c r="DG1625" i="54"/>
  <c r="FS608" i="54"/>
  <c r="FU608" i="54"/>
  <c r="FV608" i="54"/>
  <c r="FT608" i="54"/>
  <c r="FR608" i="54"/>
  <c r="EC608" i="54"/>
  <c r="FQ608" i="54"/>
  <c r="FM608" i="54"/>
  <c r="FO608" i="54"/>
  <c r="FP608" i="54"/>
  <c r="FN608" i="54"/>
  <c r="EB608" i="54"/>
  <c r="EL609" i="54" s="1"/>
  <c r="DG1570" i="54"/>
  <c r="DG1571" i="54"/>
  <c r="EH609" i="54"/>
  <c r="EG609" i="54"/>
  <c r="ED609" i="54"/>
  <c r="DI1571" i="54"/>
  <c r="DI1570" i="54"/>
  <c r="DL1571" i="54"/>
  <c r="DL1570" i="54"/>
  <c r="EL447" i="54"/>
  <c r="ER268" i="54"/>
  <c r="EN268" i="54"/>
  <c r="EP528" i="54"/>
  <c r="EO268" i="54"/>
  <c r="EL488" i="54"/>
  <c r="EI408" i="54"/>
  <c r="EJ408" i="54"/>
  <c r="EM528" i="54"/>
  <c r="EI488" i="54"/>
  <c r="EI268" i="54"/>
  <c r="DJ217" i="54"/>
  <c r="EM468" i="54"/>
  <c r="EO488" i="54"/>
  <c r="EO528" i="54"/>
  <c r="EJ488" i="54"/>
  <c r="EK488" i="54"/>
  <c r="ER528" i="54"/>
  <c r="EQ528" i="54"/>
  <c r="EJ468" i="54"/>
  <c r="EL268" i="54"/>
  <c r="EM268" i="54"/>
  <c r="EK268" i="54"/>
  <c r="EI468" i="54"/>
  <c r="EK468" i="54"/>
  <c r="EK447" i="54"/>
  <c r="ER468" i="54"/>
  <c r="EK168" i="54"/>
  <c r="EI528" i="54"/>
  <c r="EJ528" i="54"/>
  <c r="EL528" i="54"/>
  <c r="EJ588" i="54"/>
  <c r="EN468" i="54"/>
  <c r="EP588" i="54"/>
  <c r="EL408" i="54"/>
  <c r="EO468" i="54"/>
  <c r="EJ447" i="54"/>
  <c r="EL588" i="54"/>
  <c r="EK588" i="54"/>
  <c r="EQ468" i="54"/>
  <c r="BI507" i="54"/>
  <c r="BI447" i="54"/>
  <c r="DF1518" i="54"/>
  <c r="DF1519" i="54"/>
  <c r="BI506" i="54"/>
  <c r="BI446" i="54"/>
  <c r="EN588" i="54"/>
  <c r="EM588" i="54"/>
  <c r="BB486" i="54"/>
  <c r="BC486" i="54"/>
  <c r="AZ486" i="54"/>
  <c r="BA486" i="54"/>
  <c r="ER588" i="54"/>
  <c r="BA446" i="54"/>
  <c r="AZ446" i="54"/>
  <c r="BC446" i="54"/>
  <c r="BB446" i="54"/>
  <c r="EQ588" i="54"/>
  <c r="DP67" i="66"/>
  <c r="BI526" i="54"/>
  <c r="CH488" i="54"/>
  <c r="CH588" i="54"/>
  <c r="FI588" i="54"/>
  <c r="FL588" i="54"/>
  <c r="EA588" i="54"/>
  <c r="FK588" i="54"/>
  <c r="FH588" i="54"/>
  <c r="FJ588" i="54"/>
  <c r="DM1517" i="54"/>
  <c r="DM1516" i="54"/>
  <c r="AZ506" i="54"/>
  <c r="BB506" i="54"/>
  <c r="BC506" i="54"/>
  <c r="BA506" i="54"/>
  <c r="DJ1516" i="54"/>
  <c r="DJ1517" i="54"/>
  <c r="BJ527" i="54"/>
  <c r="BK527" i="54"/>
  <c r="BM527" i="54"/>
  <c r="BL527" i="54"/>
  <c r="BG486" i="54"/>
  <c r="BF486" i="54"/>
  <c r="BH486" i="54"/>
  <c r="BE486" i="54"/>
  <c r="CJ88" i="54"/>
  <c r="CJ588" i="54"/>
  <c r="BL465" i="54"/>
  <c r="BJ465" i="54"/>
  <c r="BM465" i="54"/>
  <c r="BK465" i="54"/>
  <c r="EJ388" i="54"/>
  <c r="EM28" i="54"/>
  <c r="EL28" i="54"/>
  <c r="EN488" i="54"/>
  <c r="EK28" i="54"/>
  <c r="EK388" i="54"/>
  <c r="EL388" i="54"/>
  <c r="EM388" i="54"/>
  <c r="EJ28" i="54"/>
  <c r="HH24" i="54"/>
  <c r="HN24" i="54" s="1"/>
  <c r="HH20" i="54"/>
  <c r="HN20" i="54" s="1"/>
  <c r="HH21" i="54"/>
  <c r="HN21" i="54" s="1"/>
  <c r="HH25" i="54"/>
  <c r="HN25" i="54" s="1"/>
  <c r="HH29" i="54"/>
  <c r="HN29" i="54" s="1"/>
  <c r="HH28" i="54"/>
  <c r="HN28" i="54" s="1"/>
  <c r="HH26" i="54"/>
  <c r="HN26" i="54" s="1"/>
  <c r="HH22" i="54"/>
  <c r="HN22" i="54" s="1"/>
  <c r="HH27" i="54"/>
  <c r="HN27" i="54" s="1"/>
  <c r="HH23" i="54"/>
  <c r="HN23" i="54" s="1"/>
  <c r="HQ19" i="54"/>
  <c r="IE19" i="54" s="1"/>
  <c r="HQ23" i="54"/>
  <c r="HQ21" i="54"/>
  <c r="HQ20" i="54"/>
  <c r="HQ22" i="54"/>
  <c r="HV19" i="54"/>
  <c r="II19" i="54" s="1"/>
  <c r="HS19" i="54"/>
  <c r="IG19" i="54" s="1"/>
  <c r="HS23" i="54"/>
  <c r="HS21" i="54"/>
  <c r="HS20" i="54"/>
  <c r="HS22" i="54"/>
  <c r="HQ15" i="54"/>
  <c r="IE15" i="54" s="1"/>
  <c r="HQ17" i="54"/>
  <c r="IE17" i="54" s="1"/>
  <c r="HQ18" i="54"/>
  <c r="IE18" i="54" s="1"/>
  <c r="HQ16" i="54"/>
  <c r="HQ14" i="54"/>
  <c r="IE14" i="54" s="1"/>
  <c r="HV14" i="54"/>
  <c r="II14" i="54" s="1"/>
  <c r="HS15" i="54"/>
  <c r="IG15" i="54" s="1"/>
  <c r="HS17" i="54"/>
  <c r="IG17" i="54" s="1"/>
  <c r="HS16" i="54"/>
  <c r="IG16" i="54" s="1"/>
  <c r="HS18" i="54"/>
  <c r="IG18" i="54" s="1"/>
  <c r="HS14" i="54"/>
  <c r="IG14" i="54" s="1"/>
  <c r="HZ29" i="54"/>
  <c r="IA29" i="54" s="1"/>
  <c r="BV6" i="67"/>
  <c r="BW6" i="67" s="1"/>
  <c r="BV8" i="67"/>
  <c r="BW8" i="67" s="1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DF1259" i="54"/>
  <c r="DF1363" i="54"/>
  <c r="DF1362" i="54"/>
  <c r="DF1258" i="54"/>
  <c r="DF1206" i="54"/>
  <c r="DF1207" i="54"/>
  <c r="EC408" i="54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ED348" i="54" s="1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U9" i="66"/>
  <c r="EV9" i="66" s="1"/>
  <c r="EX9" i="66" s="1"/>
  <c r="EG510" i="54"/>
  <c r="EF510" i="54"/>
  <c r="EE510" i="54"/>
  <c r="EH510" i="54"/>
  <c r="ED510" i="54"/>
  <c r="EQ447" i="54"/>
  <c r="GG464" i="65"/>
  <c r="GG473" i="65"/>
  <c r="GG448" i="65"/>
  <c r="GG480" i="65"/>
  <c r="GG441" i="65"/>
  <c r="GG471" i="65"/>
  <c r="GG457" i="65"/>
  <c r="GG455" i="65"/>
  <c r="P6" i="65"/>
  <c r="S6" i="65" s="1"/>
  <c r="CJ268" i="54"/>
  <c r="EK328" i="54"/>
  <c r="EL328" i="54"/>
  <c r="CH468" i="54"/>
  <c r="CJ388" i="54"/>
  <c r="IK9" i="54"/>
  <c r="IL9" i="54" s="1"/>
  <c r="IF10" i="54"/>
  <c r="IG13" i="54"/>
  <c r="IG12" i="54"/>
  <c r="IF13" i="54"/>
  <c r="IG10" i="54"/>
  <c r="IE16" i="54"/>
  <c r="IF12" i="54"/>
  <c r="IG11" i="54"/>
  <c r="IF11" i="54"/>
  <c r="CP15" i="66"/>
  <c r="DM28" i="66" s="1"/>
  <c r="BI487" i="54" s="1"/>
  <c r="BU49" i="66"/>
  <c r="BW49" i="66" s="1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K15" i="66"/>
  <c r="EN28" i="54"/>
  <c r="CH328" i="54"/>
  <c r="EQ28" i="54"/>
  <c r="EO28" i="54"/>
  <c r="ER28" i="54"/>
  <c r="DL28" i="66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R29" i="66"/>
  <c r="ER388" i="54"/>
  <c r="EO388" i="54"/>
  <c r="EN388" i="54"/>
  <c r="AZ346" i="54"/>
  <c r="AZ386" i="54"/>
  <c r="BA386" i="54"/>
  <c r="BB386" i="54"/>
  <c r="BA346" i="54"/>
  <c r="BB346" i="54"/>
  <c r="ER88" i="54"/>
  <c r="DH7" i="66"/>
  <c r="EN88" i="54"/>
  <c r="EO88" i="54"/>
  <c r="EQ88" i="54"/>
  <c r="DF7" i="66"/>
  <c r="BY8" i="66"/>
  <c r="CI7" i="66" s="1"/>
  <c r="CS7" i="66" s="1"/>
  <c r="DP48" i="66"/>
  <c r="BI327" i="54"/>
  <c r="BI407" i="54"/>
  <c r="AS426" i="54"/>
  <c r="AR426" i="54"/>
  <c r="AQ426" i="54"/>
  <c r="AP426" i="54"/>
  <c r="AP346" i="54"/>
  <c r="AQ346" i="54"/>
  <c r="AR346" i="54"/>
  <c r="AS346" i="54"/>
  <c r="DP47" i="66"/>
  <c r="BI406" i="54"/>
  <c r="BI326" i="54"/>
  <c r="BC326" i="54"/>
  <c r="AZ326" i="54"/>
  <c r="BB326" i="54"/>
  <c r="BA326" i="54"/>
  <c r="DO27" i="66"/>
  <c r="DR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P6" i="66"/>
  <c r="DS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BW7" i="67"/>
  <c r="DI68" i="66"/>
  <c r="DI47" i="66"/>
  <c r="DI48" i="66"/>
  <c r="DI67" i="66"/>
  <c r="DG375" i="54"/>
  <c r="DG374" i="54"/>
  <c r="EC308" i="54"/>
  <c r="EC48" i="54"/>
  <c r="EO49" i="54" s="1"/>
  <c r="EC128" i="54"/>
  <c r="X7" i="67"/>
  <c r="EC148" i="54"/>
  <c r="DL48" i="66"/>
  <c r="DL47" i="66"/>
  <c r="DL68" i="66"/>
  <c r="DL67" i="66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Q50" i="66"/>
  <c r="BK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CA49" i="66"/>
  <c r="DL791" i="54"/>
  <c r="DL322" i="54"/>
  <c r="BV49" i="66"/>
  <c r="BB50" i="66" s="1"/>
  <c r="CJ609" i="54" s="1"/>
  <c r="DL790" i="54"/>
  <c r="DL374" i="54"/>
  <c r="DL375" i="54"/>
  <c r="EM67" i="54"/>
  <c r="EI67" i="54"/>
  <c r="EK67" i="54"/>
  <c r="BR8" i="66"/>
  <c r="EA287" i="54"/>
  <c r="HY39" i="54" s="1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R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N10" i="66"/>
  <c r="DF687" i="54"/>
  <c r="DF1051" i="54"/>
  <c r="EK347" i="54"/>
  <c r="EL347" i="54"/>
  <c r="DL62" i="54"/>
  <c r="DM62" i="54" s="1"/>
  <c r="DL427" i="54"/>
  <c r="EJ347" i="54"/>
  <c r="DF63" i="54"/>
  <c r="BT29" i="66"/>
  <c r="AZ30" i="66" s="1"/>
  <c r="CF589" i="54" s="1"/>
  <c r="DJ48" i="66"/>
  <c r="DJ47" i="66"/>
  <c r="DJ67" i="66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L29" i="66"/>
  <c r="DI62" i="54" s="1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Y29" i="66"/>
  <c r="EI427" i="54"/>
  <c r="EL427" i="54"/>
  <c r="ER427" i="54"/>
  <c r="EG230" i="54"/>
  <c r="EI347" i="54"/>
  <c r="EL247" i="54"/>
  <c r="EO67" i="54"/>
  <c r="EM247" i="54"/>
  <c r="EK247" i="54"/>
  <c r="EP367" i="54"/>
  <c r="BT8" i="66"/>
  <c r="AZ9" i="66" s="1"/>
  <c r="CF568" i="54" s="1"/>
  <c r="ER347" i="54"/>
  <c r="EO347" i="54"/>
  <c r="EN347" i="54"/>
  <c r="EP347" i="54"/>
  <c r="L6" i="65"/>
  <c r="O6" i="65" s="1"/>
  <c r="ED49" i="54"/>
  <c r="EH49" i="54"/>
  <c r="EF230" i="54"/>
  <c r="EH230" i="54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G272" i="54"/>
  <c r="DG273" i="54"/>
  <c r="BQ71" i="66"/>
  <c r="BL8" i="66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DJ28" i="66"/>
  <c r="DJ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G584" i="54"/>
  <c r="DG585" i="54"/>
  <c r="BA50" i="66"/>
  <c r="CH609" i="54" s="1"/>
  <c r="BZ70" i="66"/>
  <c r="BZ49" i="66"/>
  <c r="BU70" i="66"/>
  <c r="BA71" i="66" s="1"/>
  <c r="BV70" i="66"/>
  <c r="BB71" i="66" s="1"/>
  <c r="CA70" i="66"/>
  <c r="BK71" i="66"/>
  <c r="CU15" i="66" l="1"/>
  <c r="CQ15" i="66"/>
  <c r="DN27" i="66" s="1"/>
  <c r="BN486" i="54" s="1"/>
  <c r="DI1464" i="54"/>
  <c r="DI1465" i="54"/>
  <c r="DG1465" i="54"/>
  <c r="DG1464" i="54"/>
  <c r="FM567" i="54"/>
  <c r="FQ567" i="54"/>
  <c r="EB567" i="54"/>
  <c r="FP567" i="54"/>
  <c r="FO567" i="54"/>
  <c r="FN567" i="54"/>
  <c r="EF568" i="54"/>
  <c r="EE568" i="54"/>
  <c r="EH568" i="54"/>
  <c r="FU567" i="54"/>
  <c r="FV567" i="54"/>
  <c r="EC567" i="54"/>
  <c r="EO568" i="54" s="1"/>
  <c r="FS567" i="54"/>
  <c r="FR567" i="54"/>
  <c r="FT567" i="54"/>
  <c r="EQ568" i="54"/>
  <c r="DL1464" i="54"/>
  <c r="DL1465" i="54"/>
  <c r="FQ10" i="65"/>
  <c r="FQ14" i="65"/>
  <c r="FQ18" i="65"/>
  <c r="FQ22" i="65"/>
  <c r="FQ26" i="65"/>
  <c r="FQ30" i="65"/>
  <c r="FQ34" i="65"/>
  <c r="FQ38" i="65"/>
  <c r="FQ42" i="65"/>
  <c r="FQ7" i="65"/>
  <c r="FQ11" i="65"/>
  <c r="FQ15" i="65"/>
  <c r="FQ19" i="65"/>
  <c r="FQ23" i="65"/>
  <c r="FQ27" i="65"/>
  <c r="FQ31" i="65"/>
  <c r="FQ35" i="65"/>
  <c r="FQ39" i="65"/>
  <c r="FQ43" i="65"/>
  <c r="FQ8" i="65"/>
  <c r="FQ12" i="65"/>
  <c r="FQ16" i="65"/>
  <c r="FQ20" i="65"/>
  <c r="FQ24" i="65"/>
  <c r="FQ28" i="65"/>
  <c r="FQ32" i="65"/>
  <c r="FQ36" i="65"/>
  <c r="FQ40" i="65"/>
  <c r="FQ44" i="65"/>
  <c r="FQ9" i="65"/>
  <c r="FQ13" i="65"/>
  <c r="FQ17" i="65"/>
  <c r="FQ21" i="65"/>
  <c r="FQ25" i="65"/>
  <c r="FQ29" i="65"/>
  <c r="FQ33" i="65"/>
  <c r="FQ37" i="65"/>
  <c r="FQ41" i="65"/>
  <c r="FQ45" i="65"/>
  <c r="FQ6" i="65"/>
  <c r="FQ442" i="65"/>
  <c r="FQ446" i="65"/>
  <c r="FQ450" i="65"/>
  <c r="FQ454" i="65"/>
  <c r="FQ458" i="65"/>
  <c r="FQ462" i="65"/>
  <c r="FQ441" i="65"/>
  <c r="FQ445" i="65"/>
  <c r="FQ449" i="65"/>
  <c r="FQ453" i="65"/>
  <c r="FQ457" i="65"/>
  <c r="FQ461" i="65"/>
  <c r="FQ465" i="65"/>
  <c r="FQ469" i="65"/>
  <c r="FQ473" i="65"/>
  <c r="FQ477" i="65"/>
  <c r="FQ444" i="65"/>
  <c r="FQ452" i="65"/>
  <c r="FQ460" i="65"/>
  <c r="FQ467" i="65"/>
  <c r="GG467" i="65" s="1"/>
  <c r="FQ472" i="65"/>
  <c r="FQ478" i="65"/>
  <c r="FQ447" i="65"/>
  <c r="FQ455" i="65"/>
  <c r="GJ455" i="65" s="1"/>
  <c r="FQ463" i="65"/>
  <c r="FQ468" i="65"/>
  <c r="FQ474" i="65"/>
  <c r="FQ479" i="65"/>
  <c r="GJ479" i="65" s="1"/>
  <c r="FQ448" i="65"/>
  <c r="FQ456" i="65"/>
  <c r="FQ464" i="65"/>
  <c r="FQ470" i="65"/>
  <c r="FQ475" i="65"/>
  <c r="FQ480" i="65"/>
  <c r="FQ443" i="65"/>
  <c r="FQ451" i="65"/>
  <c r="GG451" i="65" s="1"/>
  <c r="FQ459" i="65"/>
  <c r="FQ466" i="65"/>
  <c r="FQ471" i="65"/>
  <c r="FQ476" i="65"/>
  <c r="GG476" i="65" s="1"/>
  <c r="FR442" i="65"/>
  <c r="FR446" i="65"/>
  <c r="GG446" i="65" s="1"/>
  <c r="FR450" i="65"/>
  <c r="FR454" i="65"/>
  <c r="GG454" i="65" s="1"/>
  <c r="FR458" i="65"/>
  <c r="FR462" i="65"/>
  <c r="GG462" i="65" s="1"/>
  <c r="FR466" i="65"/>
  <c r="FR470" i="65"/>
  <c r="GG470" i="65" s="1"/>
  <c r="FR474" i="65"/>
  <c r="FR478" i="65"/>
  <c r="FR444" i="65"/>
  <c r="FR448" i="65"/>
  <c r="GJ448" i="65" s="1"/>
  <c r="FR452" i="65"/>
  <c r="FR456" i="65"/>
  <c r="GJ456" i="65" s="1"/>
  <c r="FR460" i="65"/>
  <c r="FR464" i="65"/>
  <c r="GJ464" i="65" s="1"/>
  <c r="FR468" i="65"/>
  <c r="FR472" i="65"/>
  <c r="GJ472" i="65" s="1"/>
  <c r="FR476" i="65"/>
  <c r="FR480" i="65"/>
  <c r="GJ480" i="65" s="1"/>
  <c r="FR441" i="65"/>
  <c r="FR445" i="65"/>
  <c r="GG445" i="65" s="1"/>
  <c r="FR449" i="65"/>
  <c r="FR453" i="65"/>
  <c r="GG453" i="65" s="1"/>
  <c r="FR457" i="65"/>
  <c r="FR461" i="65"/>
  <c r="FR465" i="65"/>
  <c r="FR469" i="65"/>
  <c r="GG469" i="65" s="1"/>
  <c r="FR473" i="65"/>
  <c r="FR477" i="65"/>
  <c r="GG477" i="65" s="1"/>
  <c r="FR451" i="65"/>
  <c r="GJ451" i="65" s="1"/>
  <c r="FR467" i="65"/>
  <c r="GJ467" i="65" s="1"/>
  <c r="FR455" i="65"/>
  <c r="FR471" i="65"/>
  <c r="FR443" i="65"/>
  <c r="GJ443" i="65" s="1"/>
  <c r="FR459" i="65"/>
  <c r="GJ459" i="65" s="1"/>
  <c r="FR475" i="65"/>
  <c r="FR447" i="65"/>
  <c r="FR463" i="65"/>
  <c r="FR479" i="65"/>
  <c r="FS444" i="65"/>
  <c r="FS448" i="65"/>
  <c r="FS452" i="65"/>
  <c r="FS456" i="65"/>
  <c r="GH456" i="65" s="1"/>
  <c r="FS460" i="65"/>
  <c r="FS464" i="65"/>
  <c r="FS468" i="65"/>
  <c r="FS472" i="65"/>
  <c r="GH472" i="65" s="1"/>
  <c r="FS476" i="65"/>
  <c r="FS480" i="65"/>
  <c r="FS441" i="65"/>
  <c r="FS445" i="65"/>
  <c r="FS449" i="65"/>
  <c r="FS453" i="65"/>
  <c r="FS457" i="65"/>
  <c r="FS461" i="65"/>
  <c r="FS465" i="65"/>
  <c r="FS469" i="65"/>
  <c r="FS473" i="65"/>
  <c r="FS477" i="65"/>
  <c r="FS442" i="65"/>
  <c r="FS446" i="65"/>
  <c r="FS450" i="65"/>
  <c r="FS454" i="65"/>
  <c r="FS458" i="65"/>
  <c r="FS462" i="65"/>
  <c r="FS466" i="65"/>
  <c r="FS470" i="65"/>
  <c r="FS474" i="65"/>
  <c r="FS478" i="65"/>
  <c r="FS443" i="65"/>
  <c r="FS447" i="65"/>
  <c r="GH447" i="65" s="1"/>
  <c r="FS451" i="65"/>
  <c r="FS455" i="65"/>
  <c r="FS459" i="65"/>
  <c r="FS463" i="65"/>
  <c r="GH463" i="65" s="1"/>
  <c r="FS467" i="65"/>
  <c r="FS471" i="65"/>
  <c r="FS475" i="65"/>
  <c r="FS479" i="65"/>
  <c r="GH479" i="65" s="1"/>
  <c r="FR10" i="65"/>
  <c r="FR14" i="65"/>
  <c r="FR18" i="65"/>
  <c r="FR22" i="65"/>
  <c r="FR26" i="65"/>
  <c r="FR30" i="65"/>
  <c r="FR34" i="65"/>
  <c r="FR38" i="65"/>
  <c r="FR42" i="65"/>
  <c r="FR7" i="65"/>
  <c r="FR11" i="65"/>
  <c r="FR15" i="65"/>
  <c r="FR19" i="65"/>
  <c r="FR23" i="65"/>
  <c r="FR27" i="65"/>
  <c r="FR31" i="65"/>
  <c r="FR35" i="65"/>
  <c r="FR39" i="65"/>
  <c r="FR43" i="65"/>
  <c r="FR8" i="65"/>
  <c r="FR12" i="65"/>
  <c r="FR16" i="65"/>
  <c r="FR20" i="65"/>
  <c r="FR24" i="65"/>
  <c r="FR28" i="65"/>
  <c r="FR32" i="65"/>
  <c r="FR36" i="65"/>
  <c r="FR40" i="65"/>
  <c r="FR44" i="65"/>
  <c r="FR9" i="65"/>
  <c r="FR13" i="65"/>
  <c r="FR17" i="65"/>
  <c r="FR21" i="65"/>
  <c r="FR25" i="65"/>
  <c r="FR29" i="65"/>
  <c r="FR33" i="65"/>
  <c r="FR37" i="65"/>
  <c r="FR41" i="65"/>
  <c r="FR45" i="65"/>
  <c r="FR6" i="65"/>
  <c r="FS7" i="65"/>
  <c r="FS11" i="65"/>
  <c r="FS15" i="65"/>
  <c r="FS19" i="65"/>
  <c r="FS23" i="65"/>
  <c r="FS27" i="65"/>
  <c r="FS31" i="65"/>
  <c r="FS35" i="65"/>
  <c r="FS39" i="65"/>
  <c r="FS43" i="65"/>
  <c r="FS9" i="65"/>
  <c r="FS13" i="65"/>
  <c r="FS17" i="65"/>
  <c r="FS21" i="65"/>
  <c r="FS25" i="65"/>
  <c r="FS29" i="65"/>
  <c r="FS33" i="65"/>
  <c r="FS37" i="65"/>
  <c r="FS41" i="65"/>
  <c r="FS45" i="65"/>
  <c r="FS10" i="65"/>
  <c r="FS14" i="65"/>
  <c r="FS18" i="65"/>
  <c r="FS22" i="65"/>
  <c r="FS26" i="65"/>
  <c r="FS30" i="65"/>
  <c r="FS34" i="65"/>
  <c r="FS38" i="65"/>
  <c r="FS42" i="65"/>
  <c r="FS12" i="65"/>
  <c r="FS28" i="65"/>
  <c r="FS44" i="65"/>
  <c r="FS16" i="65"/>
  <c r="FS32" i="65"/>
  <c r="FS20" i="65"/>
  <c r="FS36" i="65"/>
  <c r="FS8" i="65"/>
  <c r="FS24" i="65"/>
  <c r="FS40" i="65"/>
  <c r="FS6" i="65"/>
  <c r="AX6" i="67"/>
  <c r="AV6" i="67"/>
  <c r="AY6" i="67"/>
  <c r="AW6" i="67"/>
  <c r="AU6" i="67"/>
  <c r="EI630" i="54"/>
  <c r="EK630" i="54"/>
  <c r="EL630" i="54"/>
  <c r="EM630" i="54"/>
  <c r="CJ510" i="54"/>
  <c r="CJ630" i="54"/>
  <c r="FJ630" i="54"/>
  <c r="FH630" i="54"/>
  <c r="FI630" i="54"/>
  <c r="FK630" i="54"/>
  <c r="EA630" i="54"/>
  <c r="EE631" i="54" s="1"/>
  <c r="FL630" i="54"/>
  <c r="DM1624" i="54"/>
  <c r="DM1625" i="54"/>
  <c r="CH510" i="54"/>
  <c r="CH630" i="54"/>
  <c r="DF1626" i="54"/>
  <c r="DF1627" i="54"/>
  <c r="DJ1625" i="54"/>
  <c r="DJ1624" i="54"/>
  <c r="EP630" i="54"/>
  <c r="EQ630" i="54"/>
  <c r="EO630" i="54"/>
  <c r="EN630" i="54"/>
  <c r="DJ1570" i="54"/>
  <c r="DJ1571" i="54"/>
  <c r="DF1573" i="54"/>
  <c r="DF1572" i="54"/>
  <c r="DM1571" i="54"/>
  <c r="DM1570" i="54"/>
  <c r="ER609" i="54"/>
  <c r="EP609" i="54"/>
  <c r="EN609" i="54"/>
  <c r="EO609" i="54"/>
  <c r="EQ609" i="54"/>
  <c r="FJ609" i="54"/>
  <c r="FL609" i="54"/>
  <c r="FH609" i="54"/>
  <c r="FK609" i="54"/>
  <c r="FI609" i="54"/>
  <c r="EA609" i="54"/>
  <c r="ED610" i="54" s="1"/>
  <c r="EI609" i="54"/>
  <c r="EK609" i="54"/>
  <c r="EJ609" i="54"/>
  <c r="EM609" i="54"/>
  <c r="DS67" i="66"/>
  <c r="EC328" i="54"/>
  <c r="EO329" i="54" s="1"/>
  <c r="EC168" i="54"/>
  <c r="EP169" i="54" s="1"/>
  <c r="ET10" i="66"/>
  <c r="EC388" i="54"/>
  <c r="EQ389" i="54" s="1"/>
  <c r="EC268" i="54"/>
  <c r="EO269" i="54" s="1"/>
  <c r="EC88" i="54"/>
  <c r="EP89" i="54" s="1"/>
  <c r="BV29" i="66"/>
  <c r="BB30" i="66" s="1"/>
  <c r="CJ589" i="54" s="1"/>
  <c r="DO67" i="66"/>
  <c r="DF68" i="66" s="1"/>
  <c r="AO527" i="54" s="1"/>
  <c r="BD526" i="54"/>
  <c r="EP10" i="66"/>
  <c r="DL1518" i="54"/>
  <c r="DL1519" i="54"/>
  <c r="BM526" i="54"/>
  <c r="BL526" i="54"/>
  <c r="BJ526" i="54"/>
  <c r="BK526" i="54"/>
  <c r="BJ446" i="54"/>
  <c r="BK446" i="54"/>
  <c r="BL446" i="54"/>
  <c r="BM446" i="54"/>
  <c r="BK447" i="54"/>
  <c r="BL447" i="54"/>
  <c r="BJ447" i="54"/>
  <c r="BM447" i="54"/>
  <c r="DI1518" i="54"/>
  <c r="DI1519" i="54"/>
  <c r="DO68" i="66"/>
  <c r="BD527" i="54"/>
  <c r="FT588" i="54"/>
  <c r="EC588" i="54"/>
  <c r="ER589" i="54" s="1"/>
  <c r="FS588" i="54"/>
  <c r="FR588" i="54"/>
  <c r="FV588" i="54"/>
  <c r="FU588" i="54"/>
  <c r="BK506" i="54"/>
  <c r="BM506" i="54"/>
  <c r="BJ506" i="54"/>
  <c r="BL506" i="54"/>
  <c r="BM507" i="54"/>
  <c r="BL507" i="54"/>
  <c r="BK507" i="54"/>
  <c r="BJ507" i="54"/>
  <c r="BD506" i="54"/>
  <c r="BD446" i="54"/>
  <c r="BD507" i="54"/>
  <c r="BD447" i="54"/>
  <c r="BO486" i="54"/>
  <c r="BQ486" i="54"/>
  <c r="BP486" i="54"/>
  <c r="BR486" i="54"/>
  <c r="FQ588" i="54"/>
  <c r="FO588" i="54"/>
  <c r="FP588" i="54"/>
  <c r="EB588" i="54"/>
  <c r="EM589" i="54" s="1"/>
  <c r="FM588" i="54"/>
  <c r="FN588" i="54"/>
  <c r="DO28" i="66"/>
  <c r="BD487" i="54"/>
  <c r="BL487" i="54"/>
  <c r="BJ487" i="54"/>
  <c r="BM487" i="54"/>
  <c r="BK487" i="54"/>
  <c r="ED589" i="54"/>
  <c r="EE589" i="54"/>
  <c r="EF589" i="54"/>
  <c r="EH589" i="54"/>
  <c r="EG589" i="54"/>
  <c r="DG1519" i="54"/>
  <c r="DG1518" i="54"/>
  <c r="AO366" i="54"/>
  <c r="AR366" i="54" s="1"/>
  <c r="AO466" i="54"/>
  <c r="AY366" i="54"/>
  <c r="AZ366" i="54" s="1"/>
  <c r="AY466" i="54"/>
  <c r="IP15" i="54"/>
  <c r="IP20" i="54"/>
  <c r="IP23" i="54"/>
  <c r="IP22" i="54"/>
  <c r="IP17" i="54"/>
  <c r="IP14" i="54"/>
  <c r="IP16" i="54"/>
  <c r="IP18" i="54"/>
  <c r="IP21" i="54"/>
  <c r="IP19" i="54"/>
  <c r="HJ27" i="54"/>
  <c r="HP27" i="54" s="1"/>
  <c r="HJ25" i="54"/>
  <c r="HP25" i="54" s="1"/>
  <c r="HJ23" i="54"/>
  <c r="HP23" i="54" s="1"/>
  <c r="IG23" i="54" s="1"/>
  <c r="HJ20" i="54"/>
  <c r="HP20" i="54" s="1"/>
  <c r="IG20" i="54" s="1"/>
  <c r="HJ24" i="54"/>
  <c r="HP24" i="54" s="1"/>
  <c r="HJ21" i="54"/>
  <c r="HP21" i="54" s="1"/>
  <c r="IG21" i="54" s="1"/>
  <c r="HJ29" i="54"/>
  <c r="HP29" i="54" s="1"/>
  <c r="HJ28" i="54"/>
  <c r="HP28" i="54" s="1"/>
  <c r="HJ26" i="54"/>
  <c r="HP26" i="54" s="1"/>
  <c r="HJ22" i="54"/>
  <c r="HP22" i="54" s="1"/>
  <c r="IG22" i="54" s="1"/>
  <c r="HR17" i="54"/>
  <c r="IF17" i="54" s="1"/>
  <c r="IK17" i="54" s="1"/>
  <c r="HR14" i="54"/>
  <c r="IF14" i="54" s="1"/>
  <c r="IK14" i="54" s="1"/>
  <c r="HR18" i="54"/>
  <c r="IF18" i="54" s="1"/>
  <c r="IK18" i="54" s="1"/>
  <c r="HR16" i="54"/>
  <c r="IF16" i="54" s="1"/>
  <c r="IK16" i="54" s="1"/>
  <c r="HR15" i="54"/>
  <c r="IF15" i="54" s="1"/>
  <c r="IK15" i="54" s="1"/>
  <c r="HR21" i="54"/>
  <c r="HR22" i="54"/>
  <c r="HR19" i="54"/>
  <c r="IF19" i="54" s="1"/>
  <c r="IK19" i="54" s="1"/>
  <c r="HR23" i="54"/>
  <c r="HR20" i="54"/>
  <c r="HI22" i="54"/>
  <c r="HO22" i="54" s="1"/>
  <c r="HI28" i="54"/>
  <c r="HO28" i="54" s="1"/>
  <c r="HI26" i="54"/>
  <c r="HO26" i="54" s="1"/>
  <c r="HI21" i="54"/>
  <c r="HO21" i="54" s="1"/>
  <c r="HI20" i="54"/>
  <c r="HO20" i="54" s="1"/>
  <c r="HI27" i="54"/>
  <c r="HO27" i="54" s="1"/>
  <c r="HI24" i="54"/>
  <c r="HO24" i="54" s="1"/>
  <c r="HI25" i="54"/>
  <c r="HO25" i="54" s="1"/>
  <c r="HI23" i="54"/>
  <c r="HO23" i="54" s="1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CA29" i="66"/>
  <c r="DL999" i="54"/>
  <c r="DL998" i="54"/>
  <c r="DM998" i="54" s="1"/>
  <c r="DL687" i="54"/>
  <c r="EB67" i="54"/>
  <c r="EI68" i="54" s="1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448" i="54" s="1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EJ269" i="54" s="1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GG466" i="65"/>
  <c r="GG458" i="65"/>
  <c r="GG450" i="65"/>
  <c r="GG468" i="65"/>
  <c r="GG444" i="65"/>
  <c r="GG442" i="65"/>
  <c r="GG460" i="65"/>
  <c r="GG459" i="65"/>
  <c r="GG475" i="65"/>
  <c r="GG443" i="65"/>
  <c r="GJ447" i="65"/>
  <c r="GG452" i="65"/>
  <c r="GJ463" i="65"/>
  <c r="GJ471" i="65"/>
  <c r="GG474" i="65"/>
  <c r="GG478" i="65"/>
  <c r="GG461" i="65"/>
  <c r="GJ475" i="65"/>
  <c r="DY6" i="65"/>
  <c r="HV18" i="65" s="1"/>
  <c r="HU18" i="65" s="1"/>
  <c r="DY17" i="65"/>
  <c r="HV270" i="65" s="1"/>
  <c r="HU270" i="65" s="1"/>
  <c r="GH464" i="65"/>
  <c r="GH473" i="65"/>
  <c r="GH448" i="65"/>
  <c r="GH465" i="65"/>
  <c r="GH441" i="65"/>
  <c r="GH480" i="65"/>
  <c r="GH455" i="65"/>
  <c r="GH471" i="65"/>
  <c r="GH457" i="65"/>
  <c r="GH449" i="65"/>
  <c r="R6" i="65"/>
  <c r="U6" i="65" s="1"/>
  <c r="ES10" i="66"/>
  <c r="EB388" i="54"/>
  <c r="EJ389" i="54" s="1"/>
  <c r="EB408" i="54"/>
  <c r="EL409" i="54" s="1"/>
  <c r="DM27" i="66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IJ29" i="54"/>
  <c r="EH288" i="54"/>
  <c r="IE20" i="54"/>
  <c r="IE23" i="54"/>
  <c r="IE22" i="54"/>
  <c r="IE21" i="54"/>
  <c r="EQ409" i="54"/>
  <c r="EY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DN28" i="66"/>
  <c r="EW9" i="66"/>
  <c r="CO7" i="66"/>
  <c r="DM115" i="54"/>
  <c r="EB347" i="54"/>
  <c r="EL348" i="54" s="1"/>
  <c r="BZ29" i="66"/>
  <c r="DI218" i="54"/>
  <c r="DJ218" i="54" s="1"/>
  <c r="DI999" i="54"/>
  <c r="DF28" i="66"/>
  <c r="DG7" i="66"/>
  <c r="CF529" i="54"/>
  <c r="CF469" i="54"/>
  <c r="CF489" i="54"/>
  <c r="BK9" i="66"/>
  <c r="BL9" i="66" s="1"/>
  <c r="CF448" i="54"/>
  <c r="CJ469" i="54"/>
  <c r="DG48" i="66"/>
  <c r="DO47" i="66"/>
  <c r="DR47" i="66" s="1"/>
  <c r="BD406" i="54"/>
  <c r="BD326" i="54"/>
  <c r="BH426" i="54"/>
  <c r="BG426" i="54"/>
  <c r="BF426" i="54"/>
  <c r="BE426" i="54"/>
  <c r="DO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P28" i="66"/>
  <c r="BI427" i="54"/>
  <c r="BI387" i="54"/>
  <c r="BI347" i="54"/>
  <c r="DQ27" i="66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O10" i="66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L50" i="66"/>
  <c r="DF377" i="54"/>
  <c r="BY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V8" i="67"/>
  <c r="EA309" i="54"/>
  <c r="EE310" i="54" s="1"/>
  <c r="BR50" i="66"/>
  <c r="EA149" i="54"/>
  <c r="EG150" i="54" s="1"/>
  <c r="EA49" i="54"/>
  <c r="EP129" i="54"/>
  <c r="EO129" i="54"/>
  <c r="EQ129" i="54"/>
  <c r="ER129" i="54"/>
  <c r="EN129" i="54"/>
  <c r="DK48" i="66"/>
  <c r="DK68" i="66"/>
  <c r="DK47" i="66"/>
  <c r="DK67" i="66"/>
  <c r="EC427" i="54"/>
  <c r="DM790" i="54"/>
  <c r="DM791" i="54"/>
  <c r="DJ374" i="54"/>
  <c r="DJ375" i="54"/>
  <c r="S7" i="67"/>
  <c r="BT50" i="66"/>
  <c r="AZ51" i="66" s="1"/>
  <c r="CF610" i="54" s="1"/>
  <c r="EM309" i="54"/>
  <c r="EK309" i="54"/>
  <c r="EL309" i="54"/>
  <c r="EJ309" i="54"/>
  <c r="EI309" i="54"/>
  <c r="DN67" i="66"/>
  <c r="DN48" i="66"/>
  <c r="DN68" i="66"/>
  <c r="DN47" i="66"/>
  <c r="EC247" i="54"/>
  <c r="EC67" i="54"/>
  <c r="DG999" i="54"/>
  <c r="EB287" i="54"/>
  <c r="EK288" i="54" s="1"/>
  <c r="EB427" i="54"/>
  <c r="EJ428" i="54" s="1"/>
  <c r="EB247" i="54"/>
  <c r="EK248" i="54" s="1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29" i="54"/>
  <c r="CJ26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Q9" i="66"/>
  <c r="DG686" i="54"/>
  <c r="EE389" i="54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DG843" i="54"/>
  <c r="DG998" i="54"/>
  <c r="EE89" i="54"/>
  <c r="EH89" i="54"/>
  <c r="EH29" i="54"/>
  <c r="EG29" i="54"/>
  <c r="DG68" i="66"/>
  <c r="EF29" i="54"/>
  <c r="ED389" i="54"/>
  <c r="DM63" i="54"/>
  <c r="BU29" i="66"/>
  <c r="BA30" i="66" s="1"/>
  <c r="CH589" i="54" s="1"/>
  <c r="DI686" i="54"/>
  <c r="DI842" i="54"/>
  <c r="DJ842" i="54" s="1"/>
  <c r="EF389" i="54"/>
  <c r="BK30" i="66"/>
  <c r="BL30" i="66" s="1"/>
  <c r="BQ30" i="66"/>
  <c r="DI427" i="54"/>
  <c r="DG219" i="54"/>
  <c r="DS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BU8" i="66"/>
  <c r="BA9" i="66" s="1"/>
  <c r="EF348" i="54"/>
  <c r="EO409" i="54"/>
  <c r="BZ8" i="66"/>
  <c r="CJ7" i="66" s="1"/>
  <c r="EP49" i="54"/>
  <c r="EP409" i="54"/>
  <c r="EN409" i="54"/>
  <c r="EQ110" i="54"/>
  <c r="ER40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CA8" i="66"/>
  <c r="BV8" i="66"/>
  <c r="BB9" i="66" s="1"/>
  <c r="DG633" i="54"/>
  <c r="DG632" i="54"/>
  <c r="EE348" i="54"/>
  <c r="EH348" i="54"/>
  <c r="EG348" i="54"/>
  <c r="EN49" i="54"/>
  <c r="EP29" i="54"/>
  <c r="EP10" i="54"/>
  <c r="BL71" i="66"/>
  <c r="DF586" i="54"/>
  <c r="DF15" i="54"/>
  <c r="DF587" i="54"/>
  <c r="DF275" i="54"/>
  <c r="DF14" i="54"/>
  <c r="DF274" i="54"/>
  <c r="DF117" i="54"/>
  <c r="DF116" i="54"/>
  <c r="DM13" i="54"/>
  <c r="DM12" i="54"/>
  <c r="DJ272" i="54"/>
  <c r="DJ273" i="54"/>
  <c r="ER29" i="54"/>
  <c r="EH68" i="54"/>
  <c r="ED68" i="54"/>
  <c r="EF68" i="54"/>
  <c r="DG165" i="54"/>
  <c r="DG164" i="54"/>
  <c r="DG737" i="54"/>
  <c r="DG736" i="54"/>
  <c r="EE288" i="54"/>
  <c r="EG288" i="54"/>
  <c r="EF288" i="54"/>
  <c r="DF946" i="54"/>
  <c r="DF634" i="54"/>
  <c r="DF166" i="54"/>
  <c r="DF1103" i="54"/>
  <c r="DF635" i="54"/>
  <c r="DI8" i="66"/>
  <c r="DI7" i="66"/>
  <c r="DJ115" i="54"/>
  <c r="DJ114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G68" i="54"/>
  <c r="EL49" i="54"/>
  <c r="EM49" i="54"/>
  <c r="EI49" i="54"/>
  <c r="EJ49" i="54"/>
  <c r="EK49" i="54"/>
  <c r="DJ62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R71" i="66"/>
  <c r="EO110" i="54"/>
  <c r="EK68" i="54"/>
  <c r="EL10" i="54"/>
  <c r="EM10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Y71" i="66"/>
  <c r="CI32" i="66" s="1"/>
  <c r="BT71" i="66"/>
  <c r="AZ72" i="66" s="1"/>
  <c r="CJ329" i="54" l="1"/>
  <c r="DK28" i="66"/>
  <c r="DK27" i="66"/>
  <c r="DT27" i="66" s="1"/>
  <c r="CJ529" i="54"/>
  <c r="DI1467" i="54"/>
  <c r="DI1466" i="54"/>
  <c r="DF947" i="54"/>
  <c r="DF1102" i="54"/>
  <c r="CH448" i="54"/>
  <c r="CH568" i="54"/>
  <c r="EM568" i="54"/>
  <c r="EI568" i="54"/>
  <c r="EJ568" i="54"/>
  <c r="EL568" i="54"/>
  <c r="EK568" i="54"/>
  <c r="DF1467" i="54"/>
  <c r="DF1466" i="54"/>
  <c r="BT9" i="66"/>
  <c r="AZ10" i="66" s="1"/>
  <c r="DF167" i="54"/>
  <c r="DF894" i="54"/>
  <c r="DG894" i="54" s="1"/>
  <c r="FJ568" i="54"/>
  <c r="FL568" i="54"/>
  <c r="EA568" i="54"/>
  <c r="FI568" i="54"/>
  <c r="FH568" i="54"/>
  <c r="FK568" i="54"/>
  <c r="EH569" i="54"/>
  <c r="EE569" i="54"/>
  <c r="DJ1464" i="54"/>
  <c r="DJ1467" i="54"/>
  <c r="DJ1466" i="54"/>
  <c r="DJ1465" i="54"/>
  <c r="CJ389" i="54"/>
  <c r="CJ169" i="54"/>
  <c r="DM1464" i="54"/>
  <c r="DM1465" i="54"/>
  <c r="EN568" i="54"/>
  <c r="ER568" i="54"/>
  <c r="EP568" i="54"/>
  <c r="CJ448" i="54"/>
  <c r="CJ568" i="54"/>
  <c r="CJ489" i="54"/>
  <c r="FU7" i="65"/>
  <c r="FU11" i="65"/>
  <c r="FU15" i="65"/>
  <c r="FU19" i="65"/>
  <c r="FU23" i="65"/>
  <c r="FU27" i="65"/>
  <c r="FU31" i="65"/>
  <c r="FU35" i="65"/>
  <c r="FU39" i="65"/>
  <c r="FU43" i="65"/>
  <c r="FU8" i="65"/>
  <c r="FU12" i="65"/>
  <c r="FU16" i="65"/>
  <c r="FU20" i="65"/>
  <c r="FU24" i="65"/>
  <c r="FU28" i="65"/>
  <c r="FU32" i="65"/>
  <c r="FU36" i="65"/>
  <c r="FU40" i="65"/>
  <c r="FU44" i="65"/>
  <c r="FU9" i="65"/>
  <c r="FU13" i="65"/>
  <c r="FU17" i="65"/>
  <c r="FU21" i="65"/>
  <c r="FU25" i="65"/>
  <c r="FU29" i="65"/>
  <c r="FU33" i="65"/>
  <c r="FU37" i="65"/>
  <c r="FU41" i="65"/>
  <c r="FU45" i="65"/>
  <c r="FU10" i="65"/>
  <c r="FU14" i="65"/>
  <c r="FU18" i="65"/>
  <c r="FU22" i="65"/>
  <c r="FU26" i="65"/>
  <c r="FU30" i="65"/>
  <c r="FU34" i="65"/>
  <c r="FU38" i="65"/>
  <c r="FU42" i="65"/>
  <c r="FU6" i="65"/>
  <c r="FT7" i="65"/>
  <c r="FT11" i="65"/>
  <c r="FT15" i="65"/>
  <c r="FT19" i="65"/>
  <c r="FT23" i="65"/>
  <c r="FT27" i="65"/>
  <c r="FT31" i="65"/>
  <c r="FT35" i="65"/>
  <c r="FT39" i="65"/>
  <c r="FT43" i="65"/>
  <c r="FT8" i="65"/>
  <c r="FT12" i="65"/>
  <c r="FT16" i="65"/>
  <c r="FT20" i="65"/>
  <c r="FT24" i="65"/>
  <c r="FT28" i="65"/>
  <c r="FT32" i="65"/>
  <c r="FT36" i="65"/>
  <c r="FT40" i="65"/>
  <c r="FT44" i="65"/>
  <c r="FT10" i="65"/>
  <c r="FT18" i="65"/>
  <c r="FT26" i="65"/>
  <c r="FT34" i="65"/>
  <c r="FT42" i="65"/>
  <c r="FT13" i="65"/>
  <c r="FT21" i="65"/>
  <c r="FT29" i="65"/>
  <c r="FT37" i="65"/>
  <c r="FT45" i="65"/>
  <c r="FT14" i="65"/>
  <c r="FT22" i="65"/>
  <c r="FT30" i="65"/>
  <c r="FT38" i="65"/>
  <c r="FT9" i="65"/>
  <c r="FT17" i="65"/>
  <c r="FT25" i="65"/>
  <c r="FT33" i="65"/>
  <c r="FT41" i="65"/>
  <c r="FT6" i="65"/>
  <c r="FT443" i="65"/>
  <c r="FT447" i="65"/>
  <c r="FT451" i="65"/>
  <c r="FT455" i="65"/>
  <c r="FT459" i="65"/>
  <c r="FT463" i="65"/>
  <c r="FT467" i="65"/>
  <c r="FT471" i="65"/>
  <c r="GK471" i="65" s="1"/>
  <c r="FT475" i="65"/>
  <c r="FT479" i="65"/>
  <c r="FT444" i="65"/>
  <c r="FT448" i="65"/>
  <c r="FT452" i="65"/>
  <c r="FT456" i="65"/>
  <c r="FT460" i="65"/>
  <c r="FT464" i="65"/>
  <c r="FT468" i="65"/>
  <c r="FT472" i="65"/>
  <c r="FT476" i="65"/>
  <c r="FT480" i="65"/>
  <c r="FT445" i="65"/>
  <c r="FT453" i="65"/>
  <c r="FT461" i="65"/>
  <c r="FT469" i="65"/>
  <c r="FT477" i="65"/>
  <c r="FT446" i="65"/>
  <c r="FT454" i="65"/>
  <c r="FT462" i="65"/>
  <c r="FT470" i="65"/>
  <c r="FT478" i="65"/>
  <c r="FT441" i="65"/>
  <c r="FT449" i="65"/>
  <c r="FT457" i="65"/>
  <c r="FT465" i="65"/>
  <c r="FT473" i="65"/>
  <c r="FT442" i="65"/>
  <c r="FT450" i="65"/>
  <c r="FT458" i="65"/>
  <c r="FT466" i="65"/>
  <c r="FT474" i="65"/>
  <c r="GH474" i="65" s="1"/>
  <c r="FU444" i="65"/>
  <c r="FU448" i="65"/>
  <c r="FU452" i="65"/>
  <c r="FU456" i="65"/>
  <c r="GK456" i="65" s="1"/>
  <c r="FU460" i="65"/>
  <c r="FU464" i="65"/>
  <c r="GK464" i="65" s="1"/>
  <c r="FU468" i="65"/>
  <c r="FU472" i="65"/>
  <c r="GK472" i="65" s="1"/>
  <c r="FU476" i="65"/>
  <c r="FU480" i="65"/>
  <c r="GK480" i="65" s="1"/>
  <c r="FU441" i="65"/>
  <c r="FU445" i="65"/>
  <c r="GH445" i="65" s="1"/>
  <c r="FU449" i="65"/>
  <c r="FU453" i="65"/>
  <c r="FU457" i="65"/>
  <c r="FU461" i="65"/>
  <c r="GH461" i="65" s="1"/>
  <c r="FU465" i="65"/>
  <c r="FU469" i="65"/>
  <c r="GH469" i="65" s="1"/>
  <c r="FU473" i="65"/>
  <c r="FU477" i="65"/>
  <c r="FU442" i="65"/>
  <c r="FU446" i="65"/>
  <c r="FU450" i="65"/>
  <c r="FU454" i="65"/>
  <c r="GH454" i="65" s="1"/>
  <c r="FU458" i="65"/>
  <c r="FU462" i="65"/>
  <c r="GH462" i="65" s="1"/>
  <c r="FU466" i="65"/>
  <c r="FU470" i="65"/>
  <c r="FU474" i="65"/>
  <c r="FU478" i="65"/>
  <c r="GH478" i="65" s="1"/>
  <c r="FU443" i="65"/>
  <c r="FU447" i="65"/>
  <c r="FU451" i="65"/>
  <c r="GK451" i="65" s="1"/>
  <c r="FU455" i="65"/>
  <c r="FU459" i="65"/>
  <c r="FU463" i="65"/>
  <c r="FU467" i="65"/>
  <c r="GK467" i="65" s="1"/>
  <c r="FU471" i="65"/>
  <c r="FU475" i="65"/>
  <c r="FU479" i="65"/>
  <c r="EF631" i="54"/>
  <c r="ER448" i="54"/>
  <c r="EQ169" i="54"/>
  <c r="EG631" i="54"/>
  <c r="EL68" i="54"/>
  <c r="EP389" i="54"/>
  <c r="EL269" i="54"/>
  <c r="EJ68" i="54"/>
  <c r="EM68" i="54"/>
  <c r="EN389" i="54"/>
  <c r="DR67" i="66"/>
  <c r="ER389" i="54"/>
  <c r="BC366" i="54"/>
  <c r="EO389" i="54"/>
  <c r="EQ269" i="54"/>
  <c r="EP329" i="54"/>
  <c r="EN329" i="54"/>
  <c r="BA366" i="54"/>
  <c r="DG1627" i="54"/>
  <c r="FR630" i="54"/>
  <c r="FT630" i="54"/>
  <c r="FU630" i="54"/>
  <c r="EC630" i="54"/>
  <c r="ER631" i="54" s="1"/>
  <c r="FV630" i="54"/>
  <c r="FS630" i="54"/>
  <c r="CF511" i="54"/>
  <c r="CF631" i="54"/>
  <c r="DI1627" i="54"/>
  <c r="DI1626" i="54"/>
  <c r="DG1626" i="54"/>
  <c r="DL1627" i="54"/>
  <c r="DL1626" i="54"/>
  <c r="FM630" i="54"/>
  <c r="FN630" i="54"/>
  <c r="FP630" i="54"/>
  <c r="FQ630" i="54"/>
  <c r="FO630" i="54"/>
  <c r="EB630" i="54"/>
  <c r="EO631" i="54"/>
  <c r="EH631" i="54"/>
  <c r="ED631" i="54"/>
  <c r="EL631" i="54"/>
  <c r="EQ631" i="54"/>
  <c r="DG1572" i="54"/>
  <c r="DG1573" i="54"/>
  <c r="FN609" i="54"/>
  <c r="FQ609" i="54"/>
  <c r="FO609" i="54"/>
  <c r="FM609" i="54"/>
  <c r="FP609" i="54"/>
  <c r="EB609" i="54"/>
  <c r="EL610" i="54" s="1"/>
  <c r="DI1573" i="54"/>
  <c r="DI1572" i="54"/>
  <c r="EE610" i="54"/>
  <c r="EF610" i="54"/>
  <c r="FR609" i="54"/>
  <c r="FT609" i="54"/>
  <c r="FS609" i="54"/>
  <c r="FU609" i="54"/>
  <c r="FV609" i="54"/>
  <c r="EC609" i="54"/>
  <c r="EQ610" i="54" s="1"/>
  <c r="DL1573" i="54"/>
  <c r="DL1572" i="54"/>
  <c r="EH610" i="54"/>
  <c r="EG610" i="54"/>
  <c r="BF7" i="67"/>
  <c r="EK409" i="54"/>
  <c r="EJ409" i="54"/>
  <c r="EP269" i="54"/>
  <c r="EQ329" i="54"/>
  <c r="EN269" i="54"/>
  <c r="ER269" i="54"/>
  <c r="ER329" i="54"/>
  <c r="BB366" i="54"/>
  <c r="EU10" i="66"/>
  <c r="EN169" i="54"/>
  <c r="EO169" i="54"/>
  <c r="ER169" i="54"/>
  <c r="EM269" i="54"/>
  <c r="EK269" i="54"/>
  <c r="EI269" i="54"/>
  <c r="IS19" i="54"/>
  <c r="EN89" i="54"/>
  <c r="EQ89" i="54"/>
  <c r="EG511" i="54"/>
  <c r="ED511" i="54"/>
  <c r="EG550" i="54"/>
  <c r="ER89" i="54"/>
  <c r="DM999" i="54"/>
  <c r="EO448" i="54"/>
  <c r="EN448" i="54"/>
  <c r="EO89" i="54"/>
  <c r="AP366" i="54"/>
  <c r="AQ366" i="54"/>
  <c r="AS366" i="54"/>
  <c r="EQ589" i="54"/>
  <c r="EQ10" i="66"/>
  <c r="EI409" i="54"/>
  <c r="EN589" i="54"/>
  <c r="DM687" i="54"/>
  <c r="DI1521" i="54"/>
  <c r="DI1520" i="54"/>
  <c r="FJ589" i="54"/>
  <c r="FL589" i="54"/>
  <c r="FI589" i="54"/>
  <c r="FK589" i="54"/>
  <c r="FH589" i="54"/>
  <c r="EA589" i="54"/>
  <c r="EE590" i="54" s="1"/>
  <c r="BN507" i="54"/>
  <c r="BN447" i="54"/>
  <c r="DP27" i="66"/>
  <c r="DS27" i="66" s="1"/>
  <c r="BI486" i="54"/>
  <c r="DM1518" i="54"/>
  <c r="DM1519" i="54"/>
  <c r="DF1521" i="54"/>
  <c r="DF1520" i="54"/>
  <c r="DS68" i="66"/>
  <c r="AT527" i="54"/>
  <c r="DQ67" i="66"/>
  <c r="DH68" i="66" s="1"/>
  <c r="AY527" i="54" s="1"/>
  <c r="BN526" i="54"/>
  <c r="EO589" i="54"/>
  <c r="EP589" i="54"/>
  <c r="BN506" i="54"/>
  <c r="BN446" i="54"/>
  <c r="AT327" i="54"/>
  <c r="AW327" i="54" s="1"/>
  <c r="AT507" i="54"/>
  <c r="AT447" i="54"/>
  <c r="DQ28" i="66"/>
  <c r="BN487" i="54"/>
  <c r="BH487" i="54"/>
  <c r="BG487" i="54"/>
  <c r="BF487" i="54"/>
  <c r="BE487" i="54"/>
  <c r="EJ589" i="54"/>
  <c r="EI589" i="54"/>
  <c r="EK589" i="54"/>
  <c r="EL589" i="54"/>
  <c r="BG447" i="54"/>
  <c r="BF447" i="54"/>
  <c r="BH447" i="54"/>
  <c r="BE447" i="54"/>
  <c r="BF446" i="54"/>
  <c r="BH446" i="54"/>
  <c r="BE446" i="54"/>
  <c r="BG446" i="54"/>
  <c r="DJ1519" i="54"/>
  <c r="DJ1518" i="54"/>
  <c r="BE526" i="54"/>
  <c r="BG526" i="54"/>
  <c r="BF526" i="54"/>
  <c r="BH526" i="54"/>
  <c r="DQ68" i="66"/>
  <c r="BN527" i="54"/>
  <c r="BG507" i="54"/>
  <c r="BH507" i="54"/>
  <c r="BF507" i="54"/>
  <c r="BE507" i="54"/>
  <c r="BE506" i="54"/>
  <c r="BG506" i="54"/>
  <c r="BF506" i="54"/>
  <c r="BH506" i="54"/>
  <c r="BF527" i="54"/>
  <c r="BG527" i="54"/>
  <c r="BH527" i="54"/>
  <c r="BE527" i="54"/>
  <c r="AP527" i="54"/>
  <c r="AR527" i="54"/>
  <c r="AQ527" i="54"/>
  <c r="AS527" i="54"/>
  <c r="AO427" i="54"/>
  <c r="AR427" i="54" s="1"/>
  <c r="AO487" i="54"/>
  <c r="AZ466" i="54"/>
  <c r="BB466" i="54"/>
  <c r="BC466" i="54"/>
  <c r="BA466" i="54"/>
  <c r="AR466" i="54"/>
  <c r="AP466" i="54"/>
  <c r="AQ466" i="54"/>
  <c r="AS466" i="54"/>
  <c r="AT366" i="54"/>
  <c r="AX366" i="54" s="1"/>
  <c r="AT466" i="54"/>
  <c r="EM389" i="54"/>
  <c r="HQ27" i="54"/>
  <c r="IE27" i="54" s="1"/>
  <c r="HQ28" i="54"/>
  <c r="IE28" i="54" s="1"/>
  <c r="HQ26" i="54"/>
  <c r="IE26" i="54" s="1"/>
  <c r="HQ25" i="54"/>
  <c r="IE25" i="54" s="1"/>
  <c r="HQ24" i="54"/>
  <c r="IE24" i="54" s="1"/>
  <c r="HQ31" i="54"/>
  <c r="HQ33" i="54"/>
  <c r="HQ32" i="54"/>
  <c r="HQ29" i="54"/>
  <c r="IE29" i="54" s="1"/>
  <c r="HQ30" i="54"/>
  <c r="HH36" i="54"/>
  <c r="HN36" i="54" s="1"/>
  <c r="HH33" i="54"/>
  <c r="HN33" i="54" s="1"/>
  <c r="HH30" i="54"/>
  <c r="HN30" i="54" s="1"/>
  <c r="HH34" i="54"/>
  <c r="HN34" i="54" s="1"/>
  <c r="HH38" i="54"/>
  <c r="HN38" i="54" s="1"/>
  <c r="HH35" i="54"/>
  <c r="HN35" i="54" s="1"/>
  <c r="HH39" i="54"/>
  <c r="HN39" i="54" s="1"/>
  <c r="HH32" i="54"/>
  <c r="HN32" i="54" s="1"/>
  <c r="HH31" i="54"/>
  <c r="HN31" i="54" s="1"/>
  <c r="HH37" i="54"/>
  <c r="HN37" i="54" s="1"/>
  <c r="HZ39" i="54"/>
  <c r="IA39" i="54" s="1"/>
  <c r="FR110" i="54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EH470" i="54" s="1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EF490" i="54" s="1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F511" i="54"/>
  <c r="DG533" i="54"/>
  <c r="DG532" i="54"/>
  <c r="EM529" i="54"/>
  <c r="EL529" i="54"/>
  <c r="EK529" i="54"/>
  <c r="EJ529" i="54"/>
  <c r="EI529" i="54"/>
  <c r="DJ1207" i="54"/>
  <c r="DJ1206" i="54"/>
  <c r="EJ448" i="54"/>
  <c r="EK448" i="54"/>
  <c r="EL448" i="54"/>
  <c r="EI448" i="54"/>
  <c r="DI1365" i="54"/>
  <c r="DI1209" i="54"/>
  <c r="DI1208" i="54"/>
  <c r="DJ1208" i="54" s="1"/>
  <c r="DI1364" i="54"/>
  <c r="DJ1364" i="54" s="1"/>
  <c r="DI1261" i="54"/>
  <c r="DI1260" i="54"/>
  <c r="EN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DG1416" i="54"/>
  <c r="DG1417" i="54"/>
  <c r="DG1314" i="54"/>
  <c r="DG1315" i="54"/>
  <c r="EE511" i="54"/>
  <c r="EJ489" i="54"/>
  <c r="EL489" i="54"/>
  <c r="EM489" i="54"/>
  <c r="EI489" i="54"/>
  <c r="EK489" i="54"/>
  <c r="DJ1259" i="54"/>
  <c r="DJ1258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D190" i="54"/>
  <c r="EF190" i="54"/>
  <c r="EG190" i="54"/>
  <c r="EH190" i="54"/>
  <c r="EE190" i="54"/>
  <c r="DM1258" i="54"/>
  <c r="DM1259" i="54"/>
  <c r="ED550" i="54"/>
  <c r="DI1155" i="54"/>
  <c r="DI1154" i="54"/>
  <c r="DJ1154" i="54" s="1"/>
  <c r="EA288" i="54"/>
  <c r="HY46" i="54" s="1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DL166" i="54"/>
  <c r="DF1155" i="54"/>
  <c r="DF1154" i="54"/>
  <c r="EQ489" i="54"/>
  <c r="EN489" i="54"/>
  <c r="ER489" i="54"/>
  <c r="EP489" i="54"/>
  <c r="EO489" i="54"/>
  <c r="EH210" i="54"/>
  <c r="ED210" i="54"/>
  <c r="EE210" i="54"/>
  <c r="EG210" i="54"/>
  <c r="EF210" i="54"/>
  <c r="EF550" i="54"/>
  <c r="DG481" i="54"/>
  <c r="DG480" i="54"/>
  <c r="EH550" i="54"/>
  <c r="EJ469" i="54"/>
  <c r="EI469" i="54"/>
  <c r="EL469" i="54"/>
  <c r="EK469" i="54"/>
  <c r="EM469" i="54"/>
  <c r="DJ1362" i="54"/>
  <c r="DJ1363" i="54"/>
  <c r="DJ1153" i="54"/>
  <c r="DJ1152" i="54"/>
  <c r="HV282" i="65"/>
  <c r="HU282" i="65" s="1"/>
  <c r="DZ6" i="65"/>
  <c r="HV7" i="65" s="1"/>
  <c r="HU7" i="65" s="1"/>
  <c r="EA6" i="65"/>
  <c r="DZ17" i="65"/>
  <c r="HV271" i="65" s="1"/>
  <c r="HU271" i="65" s="1"/>
  <c r="GH466" i="65"/>
  <c r="GH468" i="65"/>
  <c r="GH450" i="65"/>
  <c r="GH444" i="65"/>
  <c r="GH458" i="65"/>
  <c r="GH476" i="65"/>
  <c r="GH442" i="65"/>
  <c r="GH460" i="65"/>
  <c r="GH459" i="65"/>
  <c r="GH452" i="65"/>
  <c r="GK455" i="65"/>
  <c r="GH467" i="65"/>
  <c r="GK479" i="65"/>
  <c r="GK463" i="65"/>
  <c r="GH475" i="65"/>
  <c r="GH451" i="65"/>
  <c r="GH443" i="65"/>
  <c r="GK447" i="65"/>
  <c r="EA17" i="65"/>
  <c r="HV272" i="65" s="1"/>
  <c r="HU272" i="65" s="1"/>
  <c r="GH446" i="65"/>
  <c r="GK459" i="65"/>
  <c r="GK443" i="65"/>
  <c r="GK475" i="65"/>
  <c r="GH453" i="65"/>
  <c r="EM409" i="54"/>
  <c r="BR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IF23" i="54"/>
  <c r="IK23" i="54" s="1"/>
  <c r="IF22" i="54"/>
  <c r="IK22" i="54" s="1"/>
  <c r="IR22" i="54" s="1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U50" i="66"/>
  <c r="BA51" i="66" s="1"/>
  <c r="CH610" i="54" s="1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DL428" i="54"/>
  <c r="DF65" i="54"/>
  <c r="BN347" i="54"/>
  <c r="BQ347" i="54" s="1"/>
  <c r="BN387" i="54"/>
  <c r="BO387" i="54" s="1"/>
  <c r="BN427" i="54"/>
  <c r="BO427" i="54" s="1"/>
  <c r="EJ348" i="54"/>
  <c r="DH28" i="66"/>
  <c r="DG49" i="66"/>
  <c r="DL8" i="66"/>
  <c r="DL7" i="66"/>
  <c r="EM348" i="54"/>
  <c r="EI348" i="54"/>
  <c r="EK348" i="54"/>
  <c r="DS48" i="66"/>
  <c r="DF48" i="66"/>
  <c r="DF29" i="66"/>
  <c r="BY9" i="66"/>
  <c r="DL895" i="54"/>
  <c r="DF738" i="54"/>
  <c r="HU34" i="54" s="1"/>
  <c r="DF895" i="54"/>
  <c r="DG895" i="54" s="1"/>
  <c r="DF739" i="54"/>
  <c r="HU39" i="54" s="1"/>
  <c r="DL1102" i="54"/>
  <c r="DM1102" i="54" s="1"/>
  <c r="AO387" i="54"/>
  <c r="AR387" i="54" s="1"/>
  <c r="DR28" i="66"/>
  <c r="AO347" i="54"/>
  <c r="AS347" i="54" s="1"/>
  <c r="CH489" i="54"/>
  <c r="CH529" i="54"/>
  <c r="CH469" i="54"/>
  <c r="DQ48" i="66"/>
  <c r="BN327" i="54"/>
  <c r="BN407" i="54"/>
  <c r="BR386" i="54"/>
  <c r="BQ386" i="54"/>
  <c r="BO386" i="54"/>
  <c r="BP386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Q47" i="66"/>
  <c r="DT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BF6" i="67"/>
  <c r="EI248" i="54"/>
  <c r="DJ427" i="54"/>
  <c r="BY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F69" i="66"/>
  <c r="AO528" i="54" s="1"/>
  <c r="DR68" i="66"/>
  <c r="CF310" i="54"/>
  <c r="CF130" i="54"/>
  <c r="CF50" i="54"/>
  <c r="BQ51" i="66"/>
  <c r="CF150" i="54"/>
  <c r="BK51" i="66"/>
  <c r="ED310" i="54"/>
  <c r="EG310" i="54"/>
  <c r="EH310" i="54"/>
  <c r="DG324" i="54"/>
  <c r="DG325" i="54"/>
  <c r="P8" i="67"/>
  <c r="DL376" i="54"/>
  <c r="DL324" i="54"/>
  <c r="DL325" i="54"/>
  <c r="CA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V50" i="66"/>
  <c r="BB51" i="66" s="1"/>
  <c r="CJ610" i="54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B248" i="54"/>
  <c r="EK249" i="54" s="1"/>
  <c r="EB288" i="54"/>
  <c r="EB348" i="54"/>
  <c r="EB368" i="54"/>
  <c r="EB428" i="54"/>
  <c r="DJ687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R30" i="66"/>
  <c r="BU30" i="66" s="1"/>
  <c r="BA31" i="66" s="1"/>
  <c r="CH590" i="54" s="1"/>
  <c r="BT30" i="66"/>
  <c r="AZ31" i="66" s="1"/>
  <c r="CF590" i="54" s="1"/>
  <c r="BZ71" i="66"/>
  <c r="CJ32" i="66" s="1"/>
  <c r="CP32" i="66" s="1"/>
  <c r="ER11" i="66"/>
  <c r="EK428" i="54"/>
  <c r="DG69" i="66"/>
  <c r="AT528" i="54" s="1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P7" i="66"/>
  <c r="CT7" i="66"/>
  <c r="DJ8" i="66" s="1"/>
  <c r="BZ9" i="66"/>
  <c r="DL689" i="54"/>
  <c r="F18" i="65"/>
  <c r="DI688" i="54"/>
  <c r="DI844" i="54"/>
  <c r="DI429" i="54"/>
  <c r="DI428" i="54"/>
  <c r="DI845" i="54"/>
  <c r="DI689" i="54"/>
  <c r="BU9" i="66"/>
  <c r="BA10" i="66" s="1"/>
  <c r="EO11" i="66"/>
  <c r="CK7" i="66"/>
  <c r="DG947" i="54"/>
  <c r="DG946" i="54"/>
  <c r="BU71" i="66"/>
  <c r="BA72" i="66" s="1"/>
  <c r="DG1103" i="54"/>
  <c r="DG1102" i="54"/>
  <c r="EM368" i="54"/>
  <c r="EI368" i="54"/>
  <c r="EL368" i="54"/>
  <c r="EK368" i="54"/>
  <c r="EJ368" i="54"/>
  <c r="DG166" i="54"/>
  <c r="DG15" i="54"/>
  <c r="DG14" i="54"/>
  <c r="ED11" i="54"/>
  <c r="EG11" i="54"/>
  <c r="EH11" i="54"/>
  <c r="EE11" i="54"/>
  <c r="EF11" i="54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O32" i="66"/>
  <c r="CS32" i="66"/>
  <c r="DL117" i="54"/>
  <c r="DL116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Q72" i="66"/>
  <c r="DJ944" i="54"/>
  <c r="DJ945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EP288" i="54"/>
  <c r="EQ288" i="54"/>
  <c r="BZ50" i="66"/>
  <c r="BV71" i="66"/>
  <c r="BB72" i="66" s="1"/>
  <c r="CA71" i="66"/>
  <c r="CK32" i="66" s="1"/>
  <c r="BK72" i="66"/>
  <c r="BQ10" i="66"/>
  <c r="BK10" i="66"/>
  <c r="CU32" i="66" l="1"/>
  <c r="CQ32" i="66"/>
  <c r="CU7" i="66"/>
  <c r="CQ7" i="66"/>
  <c r="EG569" i="54"/>
  <c r="ED569" i="54"/>
  <c r="EK569" i="54"/>
  <c r="DF1468" i="54"/>
  <c r="DF1469" i="54"/>
  <c r="FN568" i="54"/>
  <c r="EB568" i="54"/>
  <c r="EM569" i="54" s="1"/>
  <c r="FP568" i="54"/>
  <c r="FO568" i="54"/>
  <c r="FQ568" i="54"/>
  <c r="FM568" i="54"/>
  <c r="CF449" i="54"/>
  <c r="CF569" i="54"/>
  <c r="EL569" i="54"/>
  <c r="EF569" i="54"/>
  <c r="FK569" i="54"/>
  <c r="FJ569" i="54"/>
  <c r="FH569" i="54"/>
  <c r="FI569" i="54"/>
  <c r="FL569" i="54"/>
  <c r="EA569" i="54"/>
  <c r="EH570" i="54" s="1"/>
  <c r="BZ30" i="66"/>
  <c r="CH449" i="54"/>
  <c r="CH569" i="54"/>
  <c r="DG1468" i="54"/>
  <c r="DG1469" i="54"/>
  <c r="DG1466" i="54"/>
  <c r="DG1467" i="54"/>
  <c r="EJ569" i="54"/>
  <c r="EE570" i="54"/>
  <c r="EI569" i="54"/>
  <c r="DL739" i="54"/>
  <c r="HW39" i="54" s="1"/>
  <c r="II39" i="54" s="1"/>
  <c r="DL947" i="54"/>
  <c r="DL946" i="54"/>
  <c r="DM946" i="54" s="1"/>
  <c r="DL1103" i="54"/>
  <c r="DM1103" i="54" s="1"/>
  <c r="FT568" i="54"/>
  <c r="FV568" i="54"/>
  <c r="FR568" i="54"/>
  <c r="EC568" i="54"/>
  <c r="EN569" i="54" s="1"/>
  <c r="FS568" i="54"/>
  <c r="FU568" i="54"/>
  <c r="F4" i="57"/>
  <c r="DL635" i="54"/>
  <c r="DL1466" i="54"/>
  <c r="DL1467" i="54"/>
  <c r="FO443" i="65"/>
  <c r="GE443" i="65" s="1"/>
  <c r="FO451" i="65"/>
  <c r="GE451" i="65" s="1"/>
  <c r="EM69" i="54"/>
  <c r="AS427" i="54"/>
  <c r="AP427" i="54"/>
  <c r="AQ427" i="54"/>
  <c r="EP610" i="54"/>
  <c r="EK610" i="54"/>
  <c r="BW50" i="66"/>
  <c r="EV10" i="66"/>
  <c r="EW10" i="66" s="1"/>
  <c r="EN130" i="54"/>
  <c r="DT67" i="66"/>
  <c r="DJ1627" i="54"/>
  <c r="DG28" i="66"/>
  <c r="AT487" i="54" s="1"/>
  <c r="DM1627" i="54"/>
  <c r="EJ610" i="54"/>
  <c r="EN610" i="54"/>
  <c r="EO610" i="54"/>
  <c r="EJ631" i="54"/>
  <c r="EI631" i="54"/>
  <c r="EK631" i="54"/>
  <c r="EM631" i="54"/>
  <c r="EN631" i="54"/>
  <c r="EP631" i="54"/>
  <c r="CJ511" i="54"/>
  <c r="CJ631" i="54"/>
  <c r="DF1628" i="54"/>
  <c r="DG1628" i="54" s="1"/>
  <c r="DF1629" i="54"/>
  <c r="FL631" i="54"/>
  <c r="FK631" i="54"/>
  <c r="FI631" i="54"/>
  <c r="FJ631" i="54"/>
  <c r="FH631" i="54"/>
  <c r="EA631" i="54"/>
  <c r="CH511" i="54"/>
  <c r="CH631" i="54"/>
  <c r="DM1626" i="54"/>
  <c r="DJ1626" i="54"/>
  <c r="DF1574" i="54"/>
  <c r="DG1574" i="54" s="1"/>
  <c r="DF1575" i="54"/>
  <c r="EM610" i="54"/>
  <c r="ER610" i="54"/>
  <c r="FL610" i="54"/>
  <c r="FJ610" i="54"/>
  <c r="FK610" i="54"/>
  <c r="FI610" i="54"/>
  <c r="FH610" i="54"/>
  <c r="EA610" i="54"/>
  <c r="ED611" i="54" s="1"/>
  <c r="DM1572" i="54"/>
  <c r="DM1573" i="54"/>
  <c r="DJ1573" i="54"/>
  <c r="DJ1572" i="54"/>
  <c r="EI610" i="54"/>
  <c r="ED490" i="54"/>
  <c r="EG490" i="54"/>
  <c r="EE490" i="54"/>
  <c r="AU327" i="54"/>
  <c r="AX327" i="54"/>
  <c r="EH490" i="54"/>
  <c r="AU366" i="54"/>
  <c r="ED590" i="54"/>
  <c r="AV327" i="54"/>
  <c r="EG470" i="54"/>
  <c r="EK550" i="54"/>
  <c r="EN511" i="54"/>
  <c r="EF590" i="54"/>
  <c r="EH590" i="54"/>
  <c r="DJ1521" i="54"/>
  <c r="EG590" i="54"/>
  <c r="DJ1365" i="54"/>
  <c r="DL221" i="54"/>
  <c r="EJ550" i="54"/>
  <c r="ED530" i="54"/>
  <c r="EI550" i="54"/>
  <c r="EF470" i="54"/>
  <c r="EE470" i="54"/>
  <c r="EG530" i="54"/>
  <c r="EE530" i="54"/>
  <c r="DJ1261" i="54"/>
  <c r="DL64" i="54"/>
  <c r="DM64" i="54" s="1"/>
  <c r="DL1001" i="54"/>
  <c r="DL1000" i="54"/>
  <c r="DM1000" i="54" s="1"/>
  <c r="DL1053" i="54"/>
  <c r="EP11" i="66"/>
  <c r="EQ11" i="66" s="1"/>
  <c r="AW366" i="54"/>
  <c r="EP550" i="54"/>
  <c r="DL429" i="54"/>
  <c r="DM429" i="54" s="1"/>
  <c r="ER511" i="54"/>
  <c r="EO550" i="54"/>
  <c r="DJ1520" i="54"/>
  <c r="DL65" i="54"/>
  <c r="DL1052" i="54"/>
  <c r="DM1052" i="54" s="1"/>
  <c r="DL220" i="54"/>
  <c r="DM220" i="54" s="1"/>
  <c r="DL844" i="54"/>
  <c r="DM844" i="54" s="1"/>
  <c r="AV366" i="54"/>
  <c r="EQ550" i="54"/>
  <c r="EO511" i="54"/>
  <c r="DL845" i="54"/>
  <c r="DL688" i="54"/>
  <c r="DM689" i="54" s="1"/>
  <c r="ED470" i="54"/>
  <c r="EP511" i="54"/>
  <c r="ER550" i="54"/>
  <c r="BB527" i="54"/>
  <c r="BA527" i="54"/>
  <c r="AZ527" i="54"/>
  <c r="BC527" i="54"/>
  <c r="FR589" i="54"/>
  <c r="FT589" i="54"/>
  <c r="FU589" i="54"/>
  <c r="FS589" i="54"/>
  <c r="FV589" i="54"/>
  <c r="EC589" i="54"/>
  <c r="EO590" i="54" s="1"/>
  <c r="BM386" i="54"/>
  <c r="AT427" i="54"/>
  <c r="AW427" i="54" s="1"/>
  <c r="DT28" i="66"/>
  <c r="AY487" i="54"/>
  <c r="BR446" i="54"/>
  <c r="BO446" i="54"/>
  <c r="BQ446" i="54"/>
  <c r="BP446" i="54"/>
  <c r="BL486" i="54"/>
  <c r="BJ486" i="54"/>
  <c r="BK486" i="54"/>
  <c r="BM486" i="54"/>
  <c r="FO589" i="54"/>
  <c r="FP589" i="54"/>
  <c r="FN589" i="54"/>
  <c r="FM589" i="54"/>
  <c r="FQ589" i="54"/>
  <c r="EB589" i="54"/>
  <c r="EM590" i="54" s="1"/>
  <c r="BK386" i="54"/>
  <c r="DO7" i="66"/>
  <c r="DF8" i="66" s="1"/>
  <c r="AO467" i="54" s="1"/>
  <c r="BD466" i="54"/>
  <c r="BR527" i="54"/>
  <c r="BP527" i="54"/>
  <c r="BQ527" i="54"/>
  <c r="BO527" i="54"/>
  <c r="AX447" i="54"/>
  <c r="AV447" i="54"/>
  <c r="AU447" i="54"/>
  <c r="AW447" i="54"/>
  <c r="BP506" i="54"/>
  <c r="BR506" i="54"/>
  <c r="BO506" i="54"/>
  <c r="BQ506" i="54"/>
  <c r="AX527" i="54"/>
  <c r="AU527" i="54"/>
  <c r="AW527" i="54"/>
  <c r="AV527" i="54"/>
  <c r="AU528" i="54"/>
  <c r="AW528" i="54"/>
  <c r="AX528" i="54"/>
  <c r="AV528" i="54"/>
  <c r="DO8" i="66"/>
  <c r="BD467" i="54"/>
  <c r="DL1521" i="54"/>
  <c r="DL1520" i="54"/>
  <c r="AV507" i="54"/>
  <c r="AU507" i="54"/>
  <c r="AW507" i="54"/>
  <c r="AX507" i="54"/>
  <c r="BO447" i="54"/>
  <c r="BP447" i="54"/>
  <c r="BQ447" i="54"/>
  <c r="BR447" i="54"/>
  <c r="AT328" i="54"/>
  <c r="AU328" i="54" s="1"/>
  <c r="AT508" i="54"/>
  <c r="AT448" i="54"/>
  <c r="BP487" i="54"/>
  <c r="BQ487" i="54"/>
  <c r="BO487" i="54"/>
  <c r="BR487" i="54"/>
  <c r="BQ526" i="54"/>
  <c r="BP526" i="54"/>
  <c r="BR526" i="54"/>
  <c r="BO526" i="54"/>
  <c r="DG1520" i="54"/>
  <c r="DG1521" i="54"/>
  <c r="BQ507" i="54"/>
  <c r="BO507" i="54"/>
  <c r="BR507" i="54"/>
  <c r="BP507" i="54"/>
  <c r="AQ528" i="54"/>
  <c r="AR528" i="54"/>
  <c r="AP528" i="54"/>
  <c r="AS528" i="54"/>
  <c r="AO327" i="54"/>
  <c r="AS327" i="54" s="1"/>
  <c r="AO507" i="54"/>
  <c r="AO447" i="54"/>
  <c r="AW466" i="54"/>
  <c r="AX466" i="54"/>
  <c r="AU466" i="54"/>
  <c r="AV466" i="54"/>
  <c r="BJ386" i="54"/>
  <c r="AO348" i="54"/>
  <c r="AQ348" i="54" s="1"/>
  <c r="AO488" i="54"/>
  <c r="AQ487" i="54"/>
  <c r="AR487" i="54"/>
  <c r="AP487" i="54"/>
  <c r="AS487" i="54"/>
  <c r="DJ1315" i="54"/>
  <c r="HV19" i="65"/>
  <c r="HU19" i="65" s="1"/>
  <c r="EG449" i="54"/>
  <c r="EG289" i="54"/>
  <c r="ED289" i="54"/>
  <c r="EH289" i="54"/>
  <c r="EF289" i="54"/>
  <c r="EE289" i="54"/>
  <c r="EM511" i="54"/>
  <c r="HJ31" i="54"/>
  <c r="HP31" i="54" s="1"/>
  <c r="HJ33" i="54"/>
  <c r="HP33" i="54" s="1"/>
  <c r="HJ37" i="54"/>
  <c r="HP37" i="54" s="1"/>
  <c r="HJ35" i="54"/>
  <c r="HP35" i="54" s="1"/>
  <c r="HJ39" i="54"/>
  <c r="HP39" i="54" s="1"/>
  <c r="HJ30" i="54"/>
  <c r="HP30" i="54" s="1"/>
  <c r="HJ32" i="54"/>
  <c r="HP32" i="54" s="1"/>
  <c r="HJ36" i="54"/>
  <c r="HP36" i="54" s="1"/>
  <c r="HJ38" i="54"/>
  <c r="HP38" i="54" s="1"/>
  <c r="HJ34" i="54"/>
  <c r="HP34" i="54" s="1"/>
  <c r="HR33" i="54"/>
  <c r="HR30" i="54"/>
  <c r="HR29" i="54"/>
  <c r="IF29" i="54" s="1"/>
  <c r="HR32" i="54"/>
  <c r="HR31" i="54"/>
  <c r="HR25" i="54"/>
  <c r="IF25" i="54" s="1"/>
  <c r="HR26" i="54"/>
  <c r="IF26" i="54" s="1"/>
  <c r="HR28" i="54"/>
  <c r="IF28" i="54" s="1"/>
  <c r="HR27" i="54"/>
  <c r="IF27" i="54" s="1"/>
  <c r="HR24" i="54"/>
  <c r="IF24" i="54" s="1"/>
  <c r="HZ46" i="54"/>
  <c r="HS24" i="54"/>
  <c r="IG24" i="54" s="1"/>
  <c r="HS27" i="54"/>
  <c r="IG27" i="54" s="1"/>
  <c r="HS25" i="54"/>
  <c r="IG25" i="54" s="1"/>
  <c r="HS26" i="54"/>
  <c r="IG26" i="54" s="1"/>
  <c r="HS28" i="54"/>
  <c r="IG28" i="54" s="1"/>
  <c r="HS31" i="54"/>
  <c r="HS29" i="54"/>
  <c r="IG29" i="54" s="1"/>
  <c r="HS33" i="54"/>
  <c r="HS32" i="54"/>
  <c r="HS30" i="54"/>
  <c r="HH40" i="54"/>
  <c r="HN40" i="54" s="1"/>
  <c r="HH42" i="54"/>
  <c r="HN42" i="54" s="1"/>
  <c r="HH41" i="54"/>
  <c r="HN41" i="54" s="1"/>
  <c r="HH45" i="54"/>
  <c r="HN45" i="54" s="1"/>
  <c r="HH43" i="54"/>
  <c r="HN43" i="54" s="1"/>
  <c r="HH46" i="54"/>
  <c r="HH44" i="54"/>
  <c r="HN44" i="54" s="1"/>
  <c r="DJ1260" i="54"/>
  <c r="HI38" i="54"/>
  <c r="HO38" i="54" s="1"/>
  <c r="HI37" i="54"/>
  <c r="HO37" i="54" s="1"/>
  <c r="HI35" i="54"/>
  <c r="HO35" i="54" s="1"/>
  <c r="HI31" i="54"/>
  <c r="HO31" i="54" s="1"/>
  <c r="HI33" i="54"/>
  <c r="HO33" i="54" s="1"/>
  <c r="HI36" i="54"/>
  <c r="HO36" i="54" s="1"/>
  <c r="HI30" i="54"/>
  <c r="HO30" i="54" s="1"/>
  <c r="HI39" i="54"/>
  <c r="HO39" i="54" s="1"/>
  <c r="HI34" i="54"/>
  <c r="HO34" i="54" s="1"/>
  <c r="HI32" i="54"/>
  <c r="HO32" i="54" s="1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O458" i="65"/>
  <c r="GE458" i="65" s="1"/>
  <c r="FO463" i="65"/>
  <c r="GE463" i="65" s="1"/>
  <c r="FO442" i="65"/>
  <c r="GE442" i="65" s="1"/>
  <c r="FO468" i="65"/>
  <c r="GE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T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S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EN69" i="54" s="1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O477" i="65"/>
  <c r="GE477" i="65" s="1"/>
  <c r="GH477" i="65"/>
  <c r="FO470" i="65"/>
  <c r="GE470" i="65" s="1"/>
  <c r="GH470" i="65"/>
  <c r="FO448" i="65"/>
  <c r="GE448" i="65" s="1"/>
  <c r="GK448" i="65"/>
  <c r="DG1156" i="54"/>
  <c r="DG1155" i="54"/>
  <c r="DG1154" i="54"/>
  <c r="DL634" i="54"/>
  <c r="DM634" i="54" s="1"/>
  <c r="DL1154" i="54"/>
  <c r="DL1155" i="54"/>
  <c r="DL167" i="54"/>
  <c r="DM167" i="54" s="1"/>
  <c r="DL894" i="54"/>
  <c r="DM894" i="54" s="1"/>
  <c r="DL738" i="54"/>
  <c r="HW34" i="54" s="1"/>
  <c r="DJ532" i="54"/>
  <c r="DJ533" i="54"/>
  <c r="DJ480" i="54"/>
  <c r="DJ481" i="54"/>
  <c r="DJ1417" i="54"/>
  <c r="DJ1416" i="54"/>
  <c r="CD22" i="65"/>
  <c r="HG57" i="65" s="1"/>
  <c r="HG56" i="65"/>
  <c r="CD8" i="65"/>
  <c r="HG11" i="65" s="1"/>
  <c r="HG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O445" i="65"/>
  <c r="GE445" i="65" s="1"/>
  <c r="HV283" i="65"/>
  <c r="HU283" i="65" s="1"/>
  <c r="FO450" i="65"/>
  <c r="GE450" i="65" s="1"/>
  <c r="FO446" i="65"/>
  <c r="GE446" i="65" s="1"/>
  <c r="FO472" i="65"/>
  <c r="GE472" i="65" s="1"/>
  <c r="FO480" i="65"/>
  <c r="GE480" i="65" s="1"/>
  <c r="FO473" i="65"/>
  <c r="GE473" i="65" s="1"/>
  <c r="FO454" i="65"/>
  <c r="GE454" i="65" s="1"/>
  <c r="FO462" i="65"/>
  <c r="GE462" i="65" s="1"/>
  <c r="FO455" i="65"/>
  <c r="GE455" i="65" s="1"/>
  <c r="FO478" i="65"/>
  <c r="GE478" i="65" s="1"/>
  <c r="HV284" i="65"/>
  <c r="HU284" i="65" s="1"/>
  <c r="FO457" i="65"/>
  <c r="GE457" i="65" s="1"/>
  <c r="FO475" i="65"/>
  <c r="GE475" i="65" s="1"/>
  <c r="FO449" i="65"/>
  <c r="GE449" i="65" s="1"/>
  <c r="FO469" i="65"/>
  <c r="GE469" i="65" s="1"/>
  <c r="FO447" i="65"/>
  <c r="GE447" i="65" s="1"/>
  <c r="FO474" i="65"/>
  <c r="GE474" i="65" s="1"/>
  <c r="FO479" i="65"/>
  <c r="GE479" i="65" s="1"/>
  <c r="FO441" i="65"/>
  <c r="GE441" i="65" s="1"/>
  <c r="FO460" i="65"/>
  <c r="GE460" i="65" s="1"/>
  <c r="FO476" i="65"/>
  <c r="GE476" i="65" s="1"/>
  <c r="FO464" i="65"/>
  <c r="GE464" i="65" s="1"/>
  <c r="FO452" i="65"/>
  <c r="GE452" i="65" s="1"/>
  <c r="FO459" i="65"/>
  <c r="GE459" i="65" s="1"/>
  <c r="FO456" i="65"/>
  <c r="GE456" i="65" s="1"/>
  <c r="FO461" i="65"/>
  <c r="GE461" i="65" s="1"/>
  <c r="FO471" i="65"/>
  <c r="GE471" i="65" s="1"/>
  <c r="FO467" i="65"/>
  <c r="GE467" i="65" s="1"/>
  <c r="FO453" i="65"/>
  <c r="GE453" i="65" s="1"/>
  <c r="FO465" i="65"/>
  <c r="GE465" i="65" s="1"/>
  <c r="FO444" i="65"/>
  <c r="GE444" i="65" s="1"/>
  <c r="FO466" i="65"/>
  <c r="GE466" i="65" s="1"/>
  <c r="HV20" i="65"/>
  <c r="HU20" i="65" s="1"/>
  <c r="HV8" i="65"/>
  <c r="HU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S22" i="54"/>
  <c r="IM22" i="54"/>
  <c r="IL23" i="54"/>
  <c r="IR23" i="54"/>
  <c r="IN23" i="54"/>
  <c r="IT23" i="54"/>
  <c r="IS23" i="54"/>
  <c r="IM23" i="54"/>
  <c r="DG738" i="54"/>
  <c r="IT22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H29" i="66"/>
  <c r="AY387" i="54"/>
  <c r="BC387" i="54" s="1"/>
  <c r="DM947" i="54"/>
  <c r="EI349" i="54"/>
  <c r="DF49" i="66"/>
  <c r="AT408" i="54"/>
  <c r="AW408" i="54" s="1"/>
  <c r="BD366" i="54"/>
  <c r="BE366" i="54" s="1"/>
  <c r="BD367" i="54"/>
  <c r="BF367" i="54" s="1"/>
  <c r="AO428" i="54"/>
  <c r="AP428" i="54" s="1"/>
  <c r="AO407" i="54"/>
  <c r="AP407" i="54" s="1"/>
  <c r="DR48" i="66"/>
  <c r="AO388" i="54"/>
  <c r="AR388" i="54" s="1"/>
  <c r="AQ347" i="54"/>
  <c r="AS387" i="54"/>
  <c r="AP347" i="54"/>
  <c r="AQ387" i="54"/>
  <c r="AR347" i="54"/>
  <c r="AP387" i="54"/>
  <c r="DR7" i="66"/>
  <c r="DH48" i="66"/>
  <c r="CH490" i="54"/>
  <c r="CH470" i="54"/>
  <c r="CH530" i="54"/>
  <c r="CF490" i="54"/>
  <c r="CF530" i="54"/>
  <c r="CF470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CA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T51" i="66"/>
  <c r="AZ52" i="66" s="1"/>
  <c r="CF611" i="54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Q31" i="66"/>
  <c r="BK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DF326" i="54"/>
  <c r="BY51" i="66"/>
  <c r="DF378" i="54"/>
  <c r="DF327" i="54"/>
  <c r="BL51" i="66"/>
  <c r="DF379" i="54"/>
  <c r="DF795" i="54"/>
  <c r="DF794" i="54"/>
  <c r="DT68" i="66"/>
  <c r="DH69" i="66"/>
  <c r="AY528" i="54" s="1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V30" i="66"/>
  <c r="BB31" i="66" s="1"/>
  <c r="CJ590" i="54" s="1"/>
  <c r="EH249" i="54"/>
  <c r="EH330" i="54"/>
  <c r="BV9" i="66"/>
  <c r="BB10" i="66" s="1"/>
  <c r="CJ569" i="54" s="1"/>
  <c r="EC288" i="54"/>
  <c r="EP289" i="54" s="1"/>
  <c r="EE249" i="54"/>
  <c r="CA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HY51" i="54" s="1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T32" i="66"/>
  <c r="EJ69" i="54"/>
  <c r="EJ349" i="54"/>
  <c r="EJ249" i="54"/>
  <c r="EM349" i="54"/>
  <c r="EL349" i="54"/>
  <c r="EL249" i="54"/>
  <c r="EM249" i="54"/>
  <c r="EM289" i="54"/>
  <c r="EK289" i="54"/>
  <c r="EI249" i="54"/>
  <c r="EI289" i="54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I429" i="54"/>
  <c r="EJ429" i="54"/>
  <c r="EM429" i="54"/>
  <c r="EL429" i="54"/>
  <c r="DJ7" i="66"/>
  <c r="EL69" i="54"/>
  <c r="EI69" i="54"/>
  <c r="EL289" i="54"/>
  <c r="EL369" i="54"/>
  <c r="DM8" i="66"/>
  <c r="BI467" i="54" s="1"/>
  <c r="DM7" i="66"/>
  <c r="BI466" i="54" s="1"/>
  <c r="EI369" i="54"/>
  <c r="EK429" i="54"/>
  <c r="EL111" i="54"/>
  <c r="DJ428" i="54"/>
  <c r="DJ429" i="54"/>
  <c r="EK69" i="54"/>
  <c r="DJ844" i="54"/>
  <c r="DJ845" i="54"/>
  <c r="DJ689" i="54"/>
  <c r="DJ688" i="54"/>
  <c r="J18" i="65"/>
  <c r="M18" i="65" s="1"/>
  <c r="DM428" i="54"/>
  <c r="G7" i="65"/>
  <c r="G18" i="65"/>
  <c r="EJ369" i="54"/>
  <c r="EM369" i="54"/>
  <c r="EK369" i="54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L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EM50" i="54"/>
  <c r="DJ894" i="54"/>
  <c r="DJ167" i="54"/>
  <c r="DJ1103" i="54"/>
  <c r="EN11" i="54"/>
  <c r="ER11" i="54"/>
  <c r="EQ11" i="54"/>
  <c r="BR10" i="66"/>
  <c r="DF118" i="54"/>
  <c r="DF119" i="54"/>
  <c r="BL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EK50" i="54"/>
  <c r="DM117" i="54"/>
  <c r="DM116" i="54"/>
  <c r="EQ50" i="54"/>
  <c r="EO50" i="54"/>
  <c r="ER50" i="54"/>
  <c r="EP50" i="54"/>
  <c r="DJ166" i="54"/>
  <c r="DJ1102" i="54"/>
  <c r="EJ50" i="54"/>
  <c r="DJ738" i="54"/>
  <c r="DJ635" i="54"/>
  <c r="EP111" i="54"/>
  <c r="EQ111" i="54"/>
  <c r="ER111" i="54"/>
  <c r="EO11" i="54"/>
  <c r="DJ1000" i="54"/>
  <c r="DJ1001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Y72" i="66"/>
  <c r="BY10" i="66"/>
  <c r="BT72" i="66"/>
  <c r="AZ73" i="66" s="1"/>
  <c r="BT10" i="66"/>
  <c r="AZ11" i="66" s="1"/>
  <c r="DK8" i="66" l="1"/>
  <c r="DK7" i="66"/>
  <c r="DN7" i="66"/>
  <c r="DN8" i="66"/>
  <c r="CF450" i="54"/>
  <c r="CF570" i="54"/>
  <c r="DI1468" i="54"/>
  <c r="DI1469" i="54"/>
  <c r="ED570" i="54"/>
  <c r="EG570" i="54"/>
  <c r="FO569" i="54"/>
  <c r="FM569" i="54"/>
  <c r="FP569" i="54"/>
  <c r="FN569" i="54"/>
  <c r="FQ569" i="54"/>
  <c r="EB569" i="54"/>
  <c r="EM570" i="54" s="1"/>
  <c r="EF570" i="54"/>
  <c r="EP569" i="54"/>
  <c r="ER569" i="54"/>
  <c r="EO569" i="54"/>
  <c r="EQ569" i="54"/>
  <c r="DM1467" i="54"/>
  <c r="DM1466" i="54"/>
  <c r="DL1469" i="54"/>
  <c r="DL1468" i="54"/>
  <c r="FS569" i="54"/>
  <c r="FU569" i="54"/>
  <c r="FV569" i="54"/>
  <c r="FT569" i="54"/>
  <c r="FR569" i="54"/>
  <c r="EC569" i="54"/>
  <c r="EP570" i="54" s="1"/>
  <c r="FP484" i="65"/>
  <c r="FP488" i="65"/>
  <c r="FP492" i="65"/>
  <c r="FP496" i="65"/>
  <c r="GG496" i="65" s="1"/>
  <c r="FP500" i="65"/>
  <c r="FP504" i="65"/>
  <c r="FP508" i="65"/>
  <c r="FP512" i="65"/>
  <c r="GG512" i="65" s="1"/>
  <c r="FP516" i="65"/>
  <c r="FP481" i="65"/>
  <c r="FP485" i="65"/>
  <c r="FP489" i="65"/>
  <c r="GG489" i="65" s="1"/>
  <c r="FP493" i="65"/>
  <c r="FP497" i="65"/>
  <c r="FP501" i="65"/>
  <c r="FP505" i="65"/>
  <c r="GG505" i="65" s="1"/>
  <c r="FP509" i="65"/>
  <c r="FP513" i="65"/>
  <c r="FP517" i="65"/>
  <c r="FP482" i="65"/>
  <c r="FP486" i="65"/>
  <c r="FP490" i="65"/>
  <c r="FP494" i="65"/>
  <c r="FP498" i="65"/>
  <c r="FP502" i="65"/>
  <c r="FP506" i="65"/>
  <c r="FP510" i="65"/>
  <c r="FP514" i="65"/>
  <c r="FP518" i="65"/>
  <c r="FP483" i="65"/>
  <c r="FP487" i="65"/>
  <c r="FP491" i="65"/>
  <c r="FP495" i="65"/>
  <c r="FP499" i="65"/>
  <c r="FP503" i="65"/>
  <c r="FP507" i="65"/>
  <c r="FP511" i="65"/>
  <c r="FP515" i="65"/>
  <c r="FP48" i="65"/>
  <c r="FP52" i="65"/>
  <c r="FP56" i="65"/>
  <c r="FP60" i="65"/>
  <c r="FP64" i="65"/>
  <c r="FP68" i="65"/>
  <c r="FP72" i="65"/>
  <c r="FP76" i="65"/>
  <c r="FP80" i="65"/>
  <c r="FP49" i="65"/>
  <c r="FP53" i="65"/>
  <c r="FP57" i="65"/>
  <c r="FP61" i="65"/>
  <c r="FP65" i="65"/>
  <c r="FP69" i="65"/>
  <c r="FP73" i="65"/>
  <c r="FP77" i="65"/>
  <c r="FP81" i="65"/>
  <c r="FP46" i="65"/>
  <c r="FP50" i="65"/>
  <c r="FP54" i="65"/>
  <c r="FP58" i="65"/>
  <c r="FP62" i="65"/>
  <c r="FP66" i="65"/>
  <c r="FP70" i="65"/>
  <c r="FP74" i="65"/>
  <c r="FP78" i="65"/>
  <c r="FP82" i="65"/>
  <c r="FP47" i="65"/>
  <c r="FP51" i="65"/>
  <c r="FP55" i="65"/>
  <c r="FP59" i="65"/>
  <c r="FP63" i="65"/>
  <c r="FP67" i="65"/>
  <c r="FP71" i="65"/>
  <c r="FP75" i="65"/>
  <c r="FP79" i="65"/>
  <c r="FP83" i="65"/>
  <c r="DM688" i="54"/>
  <c r="EJ590" i="54"/>
  <c r="EY10" i="66"/>
  <c r="DG29" i="66"/>
  <c r="AT388" i="54" s="1"/>
  <c r="AV388" i="54" s="1"/>
  <c r="AW328" i="54"/>
  <c r="EP590" i="54"/>
  <c r="DM1001" i="54"/>
  <c r="DM221" i="54"/>
  <c r="HN46" i="54"/>
  <c r="DM845" i="54"/>
  <c r="AT347" i="54"/>
  <c r="AV347" i="54" s="1"/>
  <c r="DS28" i="66"/>
  <c r="EX10" i="66"/>
  <c r="AT387" i="54"/>
  <c r="AU387" i="54" s="1"/>
  <c r="AV427" i="54"/>
  <c r="AP327" i="54"/>
  <c r="EG611" i="54"/>
  <c r="DG1575" i="54"/>
  <c r="DG1629" i="54"/>
  <c r="FO631" i="54"/>
  <c r="FM631" i="54"/>
  <c r="FQ631" i="54"/>
  <c r="FN631" i="54"/>
  <c r="FP631" i="54"/>
  <c r="EB631" i="54"/>
  <c r="EL632" i="54" s="1"/>
  <c r="FV631" i="54"/>
  <c r="FS631" i="54"/>
  <c r="FT631" i="54"/>
  <c r="FU631" i="54"/>
  <c r="FR631" i="54"/>
  <c r="EC631" i="54"/>
  <c r="EP632" i="54" s="1"/>
  <c r="DI1629" i="54"/>
  <c r="DI1628" i="54"/>
  <c r="DJ1628" i="54" s="1"/>
  <c r="EG632" i="54"/>
  <c r="EF632" i="54"/>
  <c r="EE632" i="54"/>
  <c r="ED632" i="54"/>
  <c r="CF512" i="54"/>
  <c r="CF632" i="54"/>
  <c r="DL1628" i="54"/>
  <c r="DM1628" i="54" s="1"/>
  <c r="DL1629" i="54"/>
  <c r="EE611" i="54"/>
  <c r="EH632" i="54"/>
  <c r="FO610" i="54"/>
  <c r="FP610" i="54"/>
  <c r="FN610" i="54"/>
  <c r="FQ610" i="54"/>
  <c r="FM610" i="54"/>
  <c r="EB610" i="54"/>
  <c r="EI611" i="54" s="1"/>
  <c r="EH611" i="54"/>
  <c r="FU610" i="54"/>
  <c r="FS610" i="54"/>
  <c r="FT610" i="54"/>
  <c r="FR610" i="54"/>
  <c r="FV610" i="54"/>
  <c r="EC610" i="54"/>
  <c r="ER611" i="54" s="1"/>
  <c r="DI1574" i="54"/>
  <c r="DJ1574" i="54" s="1"/>
  <c r="DI1575" i="54"/>
  <c r="DL1574" i="54"/>
  <c r="DM1574" i="54" s="1"/>
  <c r="DL1575" i="54"/>
  <c r="EF611" i="54"/>
  <c r="DR8" i="66"/>
  <c r="DM1053" i="54"/>
  <c r="DM65" i="54"/>
  <c r="DF9" i="66"/>
  <c r="AO368" i="54" s="1"/>
  <c r="AP368" i="54" s="1"/>
  <c r="AO367" i="54"/>
  <c r="AP367" i="54" s="1"/>
  <c r="EO69" i="54"/>
  <c r="DM739" i="54"/>
  <c r="EU11" i="66"/>
  <c r="EV11" i="66" s="1"/>
  <c r="EW11" i="66" s="1"/>
  <c r="AX328" i="54"/>
  <c r="AV328" i="54"/>
  <c r="ER69" i="54"/>
  <c r="AU427" i="54"/>
  <c r="AR327" i="54"/>
  <c r="EP69" i="54"/>
  <c r="AX427" i="54"/>
  <c r="AQ327" i="54"/>
  <c r="EQ69" i="54"/>
  <c r="AP348" i="54"/>
  <c r="DG1157" i="54"/>
  <c r="EK590" i="54"/>
  <c r="BK466" i="54"/>
  <c r="BJ466" i="54"/>
  <c r="BL466" i="54"/>
  <c r="BM466" i="54"/>
  <c r="FK590" i="54"/>
  <c r="FJ590" i="54"/>
  <c r="EA590" i="54"/>
  <c r="FL590" i="54"/>
  <c r="FI590" i="54"/>
  <c r="FH590" i="54"/>
  <c r="AY327" i="54"/>
  <c r="AZ327" i="54" s="1"/>
  <c r="AY507" i="54"/>
  <c r="AY447" i="54"/>
  <c r="AY388" i="54"/>
  <c r="AZ388" i="54" s="1"/>
  <c r="AY488" i="54"/>
  <c r="AW448" i="54"/>
  <c r="AV448" i="54"/>
  <c r="AX448" i="54"/>
  <c r="AU448" i="54"/>
  <c r="BB487" i="54"/>
  <c r="BA487" i="54"/>
  <c r="BC487" i="54"/>
  <c r="AZ487" i="54"/>
  <c r="BM467" i="54"/>
  <c r="BK467" i="54"/>
  <c r="BL467" i="54"/>
  <c r="BJ467" i="54"/>
  <c r="AV508" i="54"/>
  <c r="AU508" i="54"/>
  <c r="AW508" i="54"/>
  <c r="AX508" i="54"/>
  <c r="BF467" i="54"/>
  <c r="BG467" i="54"/>
  <c r="BH467" i="54"/>
  <c r="BE467" i="54"/>
  <c r="BG466" i="54"/>
  <c r="BF466" i="54"/>
  <c r="BH466" i="54"/>
  <c r="BE466" i="54"/>
  <c r="EN590" i="54"/>
  <c r="ER590" i="54"/>
  <c r="EQ590" i="54"/>
  <c r="BC528" i="54"/>
  <c r="BB528" i="54"/>
  <c r="BA528" i="54"/>
  <c r="AZ528" i="54"/>
  <c r="EL590" i="54"/>
  <c r="EI590" i="54"/>
  <c r="AW487" i="54"/>
  <c r="AU487" i="54"/>
  <c r="AX487" i="54"/>
  <c r="AV487" i="54"/>
  <c r="DF1523" i="54"/>
  <c r="DF1522" i="54"/>
  <c r="DG1522" i="54" s="1"/>
  <c r="DM1521" i="54"/>
  <c r="DM1520" i="54"/>
  <c r="AQ447" i="54"/>
  <c r="AP447" i="54"/>
  <c r="AR447" i="54"/>
  <c r="AS447" i="54"/>
  <c r="AS507" i="54"/>
  <c r="AP507" i="54"/>
  <c r="AQ507" i="54"/>
  <c r="AR507" i="54"/>
  <c r="AO328" i="54"/>
  <c r="AQ328" i="54" s="1"/>
  <c r="AO508" i="54"/>
  <c r="AO448" i="54"/>
  <c r="AS348" i="54"/>
  <c r="AR348" i="54"/>
  <c r="EE450" i="54"/>
  <c r="AS467" i="54"/>
  <c r="AP467" i="54"/>
  <c r="AQ467" i="54"/>
  <c r="AR467" i="54"/>
  <c r="AR488" i="54"/>
  <c r="AS488" i="54"/>
  <c r="AP488" i="54"/>
  <c r="AQ488" i="54"/>
  <c r="HQ35" i="54"/>
  <c r="IE35" i="54" s="1"/>
  <c r="HQ37" i="54"/>
  <c r="IE37" i="54" s="1"/>
  <c r="HQ34" i="54"/>
  <c r="IE34" i="54" s="1"/>
  <c r="HQ36" i="54"/>
  <c r="IE36" i="54" s="1"/>
  <c r="HQ38" i="54"/>
  <c r="IE38" i="54" s="1"/>
  <c r="HS40" i="54"/>
  <c r="HS42" i="54"/>
  <c r="HS39" i="54"/>
  <c r="IG39" i="54" s="1"/>
  <c r="HS43" i="54"/>
  <c r="HS41" i="54"/>
  <c r="HR41" i="54"/>
  <c r="HR42" i="54"/>
  <c r="HR39" i="54"/>
  <c r="IF39" i="54" s="1"/>
  <c r="HR40" i="54"/>
  <c r="HR43" i="54"/>
  <c r="HR37" i="54"/>
  <c r="IF37" i="54" s="1"/>
  <c r="HR34" i="54"/>
  <c r="IF34" i="54" s="1"/>
  <c r="HR38" i="54"/>
  <c r="IF38" i="54" s="1"/>
  <c r="HR35" i="54"/>
  <c r="IF35" i="54" s="1"/>
  <c r="HR36" i="54"/>
  <c r="IF36" i="54" s="1"/>
  <c r="IA46" i="54"/>
  <c r="IJ46" i="54" s="1"/>
  <c r="HQ39" i="54"/>
  <c r="IE39" i="54" s="1"/>
  <c r="HQ43" i="54"/>
  <c r="IE43" i="54" s="1"/>
  <c r="HQ41" i="54"/>
  <c r="IE41" i="54" s="1"/>
  <c r="HQ40" i="54"/>
  <c r="IE40" i="54" s="1"/>
  <c r="HQ42" i="54"/>
  <c r="IE42" i="54" s="1"/>
  <c r="HI42" i="54"/>
  <c r="HO42" i="54" s="1"/>
  <c r="HI43" i="54"/>
  <c r="HO43" i="54" s="1"/>
  <c r="HI40" i="54"/>
  <c r="HO40" i="54" s="1"/>
  <c r="HI46" i="54"/>
  <c r="HO46" i="54" s="1"/>
  <c r="HI45" i="54"/>
  <c r="HO45" i="54" s="1"/>
  <c r="HI41" i="54"/>
  <c r="HO41" i="54" s="1"/>
  <c r="HI44" i="54"/>
  <c r="HO44" i="54" s="1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IP40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EG271" i="54" s="1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GG504" i="65"/>
  <c r="GG518" i="65"/>
  <c r="GG495" i="65"/>
  <c r="GG513" i="65"/>
  <c r="GG497" i="65"/>
  <c r="GG517" i="65"/>
  <c r="GG488" i="65"/>
  <c r="GG481" i="65"/>
  <c r="GG511" i="65"/>
  <c r="GG487" i="65"/>
  <c r="GG503" i="65"/>
  <c r="P7" i="65"/>
  <c r="S7" i="65" s="1"/>
  <c r="CI24" i="66"/>
  <c r="CO24" i="66" s="1"/>
  <c r="L7" i="65"/>
  <c r="O7" i="65" s="1"/>
  <c r="IQ45" i="54"/>
  <c r="IQ39" i="54"/>
  <c r="IQ41" i="54"/>
  <c r="IQ43" i="54"/>
  <c r="IQ40" i="54"/>
  <c r="IQ44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IF30" i="54"/>
  <c r="IG30" i="54"/>
  <c r="EG290" i="54"/>
  <c r="IG31" i="54"/>
  <c r="BS8" i="67"/>
  <c r="BX8" i="67" s="1"/>
  <c r="CI8" i="67" s="1"/>
  <c r="BA427" i="54"/>
  <c r="AZ427" i="54"/>
  <c r="BC427" i="54"/>
  <c r="BC347" i="54"/>
  <c r="AY348" i="54"/>
  <c r="AZ348" i="54" s="1"/>
  <c r="EC90" i="54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BG367" i="54"/>
  <c r="BE367" i="54"/>
  <c r="BH367" i="54"/>
  <c r="AQ428" i="54"/>
  <c r="EL90" i="54"/>
  <c r="AS407" i="54"/>
  <c r="AR428" i="54"/>
  <c r="AS428" i="54"/>
  <c r="AQ407" i="54"/>
  <c r="AR407" i="54"/>
  <c r="DH49" i="66"/>
  <c r="DT48" i="66"/>
  <c r="AS388" i="54"/>
  <c r="AP388" i="54"/>
  <c r="AQ388" i="54"/>
  <c r="AY407" i="54"/>
  <c r="BA407" i="54" s="1"/>
  <c r="CJ249" i="54"/>
  <c r="CJ449" i="54"/>
  <c r="CJ490" i="54"/>
  <c r="CJ530" i="54"/>
  <c r="CJ470" i="54"/>
  <c r="DP7" i="66"/>
  <c r="DG8" i="66" s="1"/>
  <c r="AT467" i="54" s="1"/>
  <c r="BI366" i="54"/>
  <c r="DP8" i="66"/>
  <c r="BI367" i="54"/>
  <c r="CF51" i="54"/>
  <c r="CF551" i="54"/>
  <c r="DF1003" i="54"/>
  <c r="DF1002" i="54"/>
  <c r="DG1002" i="54" s="1"/>
  <c r="BT31" i="66"/>
  <c r="AZ32" i="66" s="1"/>
  <c r="CF591" i="54" s="1"/>
  <c r="BY31" i="66"/>
  <c r="DF846" i="54"/>
  <c r="DG846" i="54" s="1"/>
  <c r="DF66" i="54"/>
  <c r="DG66" i="54" s="1"/>
  <c r="DF1054" i="54"/>
  <c r="DG1054" i="54" s="1"/>
  <c r="DF222" i="54"/>
  <c r="DG222" i="54" s="1"/>
  <c r="DL846" i="54"/>
  <c r="DF690" i="54"/>
  <c r="DF67" i="54"/>
  <c r="DF223" i="54"/>
  <c r="DF1055" i="54"/>
  <c r="BL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R31" i="66"/>
  <c r="EA170" i="54"/>
  <c r="EG171" i="54" s="1"/>
  <c r="EI410" i="54"/>
  <c r="EK390" i="54"/>
  <c r="EH350" i="54"/>
  <c r="CJ429" i="54"/>
  <c r="BK52" i="66"/>
  <c r="BL52" i="66" s="1"/>
  <c r="ER249" i="54"/>
  <c r="CF131" i="54"/>
  <c r="BQ52" i="66"/>
  <c r="CF311" i="54"/>
  <c r="BU51" i="66"/>
  <c r="BA52" i="66" s="1"/>
  <c r="CH611" i="54" s="1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CA51" i="66"/>
  <c r="DL794" i="54"/>
  <c r="DL795" i="54"/>
  <c r="BV51" i="66"/>
  <c r="BB52" i="66" s="1"/>
  <c r="CJ611" i="54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HZ51" i="54" s="1"/>
  <c r="IA51" i="54" s="1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G350" i="54"/>
  <c r="ED70" i="54"/>
  <c r="L18" i="65"/>
  <c r="O18" i="65" s="1"/>
  <c r="K18" i="65"/>
  <c r="N18" i="65" s="1"/>
  <c r="K7" i="65"/>
  <c r="N7" i="65" s="1"/>
  <c r="EH112" i="54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18" i="54"/>
  <c r="DL119" i="54"/>
  <c r="BK11" i="66"/>
  <c r="DG948" i="54"/>
  <c r="DG949" i="54"/>
  <c r="DG1105" i="54"/>
  <c r="DG1104" i="54"/>
  <c r="ED290" i="54"/>
  <c r="EH290" i="54"/>
  <c r="EE430" i="54"/>
  <c r="ED430" i="54"/>
  <c r="EH430" i="54"/>
  <c r="EF430" i="54"/>
  <c r="EG430" i="54"/>
  <c r="DG589" i="54"/>
  <c r="DI589" i="54"/>
  <c r="DI277" i="54"/>
  <c r="DI16" i="54"/>
  <c r="DJ16" i="54" s="1"/>
  <c r="DI588" i="54"/>
  <c r="DJ588" i="54" s="1"/>
  <c r="DI276" i="54"/>
  <c r="DJ276" i="54" s="1"/>
  <c r="DI17" i="54"/>
  <c r="BZ72" i="66"/>
  <c r="BU72" i="66"/>
  <c r="BA73" i="66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U10" i="66"/>
  <c r="BA11" i="66" s="1"/>
  <c r="BZ10" i="66"/>
  <c r="CA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DG741" i="54"/>
  <c r="DG896" i="54"/>
  <c r="DG897" i="54"/>
  <c r="EF350" i="54"/>
  <c r="ED350" i="54"/>
  <c r="BZ51" i="66"/>
  <c r="BV72" i="66"/>
  <c r="BB73" i="66" s="1"/>
  <c r="CA72" i="66"/>
  <c r="BV10" i="66"/>
  <c r="BB11" i="66" s="1"/>
  <c r="BK73" i="66"/>
  <c r="BQ73" i="66"/>
  <c r="BQ11" i="66"/>
  <c r="BN467" i="54" l="1"/>
  <c r="BN367" i="54"/>
  <c r="DQ8" i="66"/>
  <c r="BN466" i="54"/>
  <c r="DQ7" i="66"/>
  <c r="BN366" i="54"/>
  <c r="EJ570" i="54"/>
  <c r="EK570" i="54"/>
  <c r="EI570" i="54"/>
  <c r="DJ1468" i="54"/>
  <c r="DJ1469" i="54"/>
  <c r="EL570" i="54"/>
  <c r="CH450" i="54"/>
  <c r="CH570" i="54"/>
  <c r="ED571" i="54"/>
  <c r="DF1471" i="54"/>
  <c r="DF1470" i="54"/>
  <c r="FI570" i="54"/>
  <c r="FL570" i="54"/>
  <c r="FJ570" i="54"/>
  <c r="EA570" i="54"/>
  <c r="FH570" i="54"/>
  <c r="FK570" i="54"/>
  <c r="EN570" i="54"/>
  <c r="DM1469" i="54"/>
  <c r="EQ570" i="54"/>
  <c r="CJ450" i="54"/>
  <c r="CJ570" i="54"/>
  <c r="EO570" i="54"/>
  <c r="ER570" i="54"/>
  <c r="DM1468" i="54"/>
  <c r="FQ481" i="65"/>
  <c r="FQ485" i="65"/>
  <c r="FQ489" i="65"/>
  <c r="FQ493" i="65"/>
  <c r="FQ497" i="65"/>
  <c r="FQ501" i="65"/>
  <c r="FQ505" i="65"/>
  <c r="FQ509" i="65"/>
  <c r="FQ513" i="65"/>
  <c r="FQ517" i="65"/>
  <c r="FQ483" i="65"/>
  <c r="FQ488" i="65"/>
  <c r="FQ494" i="65"/>
  <c r="FQ499" i="65"/>
  <c r="FQ504" i="65"/>
  <c r="FQ510" i="65"/>
  <c r="FQ515" i="65"/>
  <c r="FQ484" i="65"/>
  <c r="FQ490" i="65"/>
  <c r="FQ495" i="65"/>
  <c r="GJ495" i="65" s="1"/>
  <c r="FQ500" i="65"/>
  <c r="FQ506" i="65"/>
  <c r="FQ511" i="65"/>
  <c r="FQ516" i="65"/>
  <c r="FQ486" i="65"/>
  <c r="FQ491" i="65"/>
  <c r="FQ496" i="65"/>
  <c r="FQ502" i="65"/>
  <c r="FQ507" i="65"/>
  <c r="FQ512" i="65"/>
  <c r="FQ518" i="65"/>
  <c r="FQ482" i="65"/>
  <c r="GG482" i="65" s="1"/>
  <c r="FQ487" i="65"/>
  <c r="FQ492" i="65"/>
  <c r="FQ498" i="65"/>
  <c r="FQ503" i="65"/>
  <c r="GJ503" i="65" s="1"/>
  <c r="FQ508" i="65"/>
  <c r="FQ514" i="65"/>
  <c r="FS47" i="65"/>
  <c r="FS51" i="65"/>
  <c r="FS55" i="65"/>
  <c r="FS59" i="65"/>
  <c r="FS63" i="65"/>
  <c r="FS67" i="65"/>
  <c r="FS71" i="65"/>
  <c r="FS75" i="65"/>
  <c r="FS79" i="65"/>
  <c r="FS83" i="65"/>
  <c r="FS49" i="65"/>
  <c r="FS53" i="65"/>
  <c r="FS57" i="65"/>
  <c r="FS61" i="65"/>
  <c r="FS65" i="65"/>
  <c r="FS69" i="65"/>
  <c r="FS73" i="65"/>
  <c r="FS77" i="65"/>
  <c r="FS81" i="65"/>
  <c r="FS46" i="65"/>
  <c r="FS50" i="65"/>
  <c r="FS54" i="65"/>
  <c r="FS58" i="65"/>
  <c r="FS62" i="65"/>
  <c r="FS66" i="65"/>
  <c r="FS70" i="65"/>
  <c r="FS74" i="65"/>
  <c r="FS78" i="65"/>
  <c r="FS82" i="65"/>
  <c r="FS60" i="65"/>
  <c r="FS76" i="65"/>
  <c r="FS48" i="65"/>
  <c r="FS64" i="65"/>
  <c r="FS80" i="65"/>
  <c r="FS52" i="65"/>
  <c r="FS68" i="65"/>
  <c r="FS56" i="65"/>
  <c r="FS72" i="65"/>
  <c r="FR482" i="65"/>
  <c r="FR486" i="65"/>
  <c r="FR490" i="65"/>
  <c r="FR494" i="65"/>
  <c r="GG494" i="65" s="1"/>
  <c r="FR498" i="65"/>
  <c r="FR502" i="65"/>
  <c r="FR506" i="65"/>
  <c r="FR510" i="65"/>
  <c r="FR514" i="65"/>
  <c r="FR484" i="65"/>
  <c r="FR488" i="65"/>
  <c r="GJ488" i="65" s="1"/>
  <c r="FR492" i="65"/>
  <c r="FR496" i="65"/>
  <c r="GJ496" i="65" s="1"/>
  <c r="FR500" i="65"/>
  <c r="FR504" i="65"/>
  <c r="GJ504" i="65" s="1"/>
  <c r="FR508" i="65"/>
  <c r="FR512" i="65"/>
  <c r="GJ512" i="65" s="1"/>
  <c r="FR516" i="65"/>
  <c r="FR481" i="65"/>
  <c r="FR485" i="65"/>
  <c r="GG485" i="65" s="1"/>
  <c r="FR489" i="65"/>
  <c r="FR493" i="65"/>
  <c r="FR497" i="65"/>
  <c r="FR501" i="65"/>
  <c r="FR505" i="65"/>
  <c r="FR509" i="65"/>
  <c r="FR513" i="65"/>
  <c r="FR517" i="65"/>
  <c r="FR483" i="65"/>
  <c r="GJ483" i="65" s="1"/>
  <c r="FR499" i="65"/>
  <c r="FR515" i="65"/>
  <c r="GJ515" i="65" s="1"/>
  <c r="FR487" i="65"/>
  <c r="FR503" i="65"/>
  <c r="FR518" i="65"/>
  <c r="FR491" i="65"/>
  <c r="GJ491" i="65" s="1"/>
  <c r="FR507" i="65"/>
  <c r="GJ507" i="65" s="1"/>
  <c r="FR495" i="65"/>
  <c r="FR511" i="65"/>
  <c r="FR46" i="65"/>
  <c r="FR50" i="65"/>
  <c r="FR54" i="65"/>
  <c r="FR58" i="65"/>
  <c r="FR62" i="65"/>
  <c r="FR66" i="65"/>
  <c r="FR70" i="65"/>
  <c r="FR74" i="65"/>
  <c r="FR78" i="65"/>
  <c r="FR82" i="65"/>
  <c r="FR47" i="65"/>
  <c r="FR51" i="65"/>
  <c r="FR55" i="65"/>
  <c r="FR59" i="65"/>
  <c r="FR63" i="65"/>
  <c r="FR67" i="65"/>
  <c r="FR71" i="65"/>
  <c r="FR75" i="65"/>
  <c r="FR79" i="65"/>
  <c r="FR83" i="65"/>
  <c r="FR48" i="65"/>
  <c r="FR52" i="65"/>
  <c r="FR56" i="65"/>
  <c r="FR60" i="65"/>
  <c r="FR64" i="65"/>
  <c r="FR68" i="65"/>
  <c r="FR72" i="65"/>
  <c r="FR76" i="65"/>
  <c r="FR80" i="65"/>
  <c r="FR49" i="65"/>
  <c r="FR53" i="65"/>
  <c r="FR57" i="65"/>
  <c r="FR61" i="65"/>
  <c r="FR65" i="65"/>
  <c r="FR69" i="65"/>
  <c r="FR73" i="65"/>
  <c r="FR77" i="65"/>
  <c r="FR81" i="65"/>
  <c r="FQ46" i="65"/>
  <c r="FQ50" i="65"/>
  <c r="FQ54" i="65"/>
  <c r="FQ58" i="65"/>
  <c r="FQ62" i="65"/>
  <c r="FQ66" i="65"/>
  <c r="FQ70" i="65"/>
  <c r="FQ74" i="65"/>
  <c r="FQ78" i="65"/>
  <c r="FQ82" i="65"/>
  <c r="FQ47" i="65"/>
  <c r="FQ51" i="65"/>
  <c r="FQ55" i="65"/>
  <c r="FQ59" i="65"/>
  <c r="FQ63" i="65"/>
  <c r="FQ67" i="65"/>
  <c r="FQ71" i="65"/>
  <c r="FQ75" i="65"/>
  <c r="FQ79" i="65"/>
  <c r="FQ83" i="65"/>
  <c r="FQ48" i="65"/>
  <c r="FQ52" i="65"/>
  <c r="FQ56" i="65"/>
  <c r="FQ60" i="65"/>
  <c r="FQ64" i="65"/>
  <c r="FQ68" i="65"/>
  <c r="FQ72" i="65"/>
  <c r="FQ76" i="65"/>
  <c r="FQ80" i="65"/>
  <c r="FQ49" i="65"/>
  <c r="FQ53" i="65"/>
  <c r="FQ57" i="65"/>
  <c r="FQ61" i="65"/>
  <c r="FQ65" i="65"/>
  <c r="FQ69" i="65"/>
  <c r="FQ73" i="65"/>
  <c r="FQ77" i="65"/>
  <c r="FQ81" i="65"/>
  <c r="FS484" i="65"/>
  <c r="FS488" i="65"/>
  <c r="GH488" i="65" s="1"/>
  <c r="FS492" i="65"/>
  <c r="FS496" i="65"/>
  <c r="FS500" i="65"/>
  <c r="FS504" i="65"/>
  <c r="FS508" i="65"/>
  <c r="FS512" i="65"/>
  <c r="FS516" i="65"/>
  <c r="FS481" i="65"/>
  <c r="GH481" i="65" s="1"/>
  <c r="FS485" i="65"/>
  <c r="FS489" i="65"/>
  <c r="FS493" i="65"/>
  <c r="FS497" i="65"/>
  <c r="GH497" i="65" s="1"/>
  <c r="FS501" i="65"/>
  <c r="FS505" i="65"/>
  <c r="FS509" i="65"/>
  <c r="FS513" i="65"/>
  <c r="GH513" i="65" s="1"/>
  <c r="FS517" i="65"/>
  <c r="FS482" i="65"/>
  <c r="FS486" i="65"/>
  <c r="FS490" i="65"/>
  <c r="FS494" i="65"/>
  <c r="FS498" i="65"/>
  <c r="FS502" i="65"/>
  <c r="FS506" i="65"/>
  <c r="FS510" i="65"/>
  <c r="FS514" i="65"/>
  <c r="FS518" i="65"/>
  <c r="FS483" i="65"/>
  <c r="FS487" i="65"/>
  <c r="FS491" i="65"/>
  <c r="FS495" i="65"/>
  <c r="FS499" i="65"/>
  <c r="FS503" i="65"/>
  <c r="FS507" i="65"/>
  <c r="FS511" i="65"/>
  <c r="FS515" i="65"/>
  <c r="AT348" i="54"/>
  <c r="AX348" i="54" s="1"/>
  <c r="AT488" i="54"/>
  <c r="AV488" i="54" s="1"/>
  <c r="AT428" i="54"/>
  <c r="AX428" i="54" s="1"/>
  <c r="AV387" i="54"/>
  <c r="AW347" i="54"/>
  <c r="AW387" i="54"/>
  <c r="AX387" i="54"/>
  <c r="AU347" i="54"/>
  <c r="AX347" i="54"/>
  <c r="EM632" i="54"/>
  <c r="EJ632" i="54"/>
  <c r="EK632" i="54"/>
  <c r="EI632" i="54"/>
  <c r="BW51" i="66"/>
  <c r="DM1575" i="54"/>
  <c r="DI485" i="54"/>
  <c r="DI484" i="54"/>
  <c r="DJ484" i="54" s="1"/>
  <c r="DI536" i="54"/>
  <c r="DJ536" i="54" s="1"/>
  <c r="DI537" i="54"/>
  <c r="DJ1575" i="54"/>
  <c r="DJ1629" i="54"/>
  <c r="EQ632" i="54"/>
  <c r="EO632" i="54"/>
  <c r="ER632" i="54"/>
  <c r="FJ632" i="54"/>
  <c r="FL632" i="54"/>
  <c r="FI632" i="54"/>
  <c r="FK632" i="54"/>
  <c r="FH632" i="54"/>
  <c r="EA632" i="54"/>
  <c r="ED633" i="54" s="1"/>
  <c r="CJ512" i="54"/>
  <c r="CJ632" i="54"/>
  <c r="CH512" i="54"/>
  <c r="CH632" i="54"/>
  <c r="EM611" i="54"/>
  <c r="DF1631" i="54"/>
  <c r="DF1630" i="54"/>
  <c r="DG1630" i="54" s="1"/>
  <c r="DM1629" i="54"/>
  <c r="EN632" i="54"/>
  <c r="FH611" i="54"/>
  <c r="FJ611" i="54"/>
  <c r="FL611" i="54"/>
  <c r="FK611" i="54"/>
  <c r="FI611" i="54"/>
  <c r="EA611" i="54"/>
  <c r="EF612" i="54" s="1"/>
  <c r="DF1577" i="54"/>
  <c r="DF1576" i="54"/>
  <c r="DG1576" i="54" s="1"/>
  <c r="EQ611" i="54"/>
  <c r="EN611" i="54"/>
  <c r="EP611" i="54"/>
  <c r="EO611" i="54"/>
  <c r="EK611" i="54"/>
  <c r="EJ611" i="54"/>
  <c r="EL611" i="54"/>
  <c r="DI1577" i="54"/>
  <c r="DI1576" i="54"/>
  <c r="DJ1576" i="54" s="1"/>
  <c r="AO468" i="54"/>
  <c r="AR468" i="54" s="1"/>
  <c r="BA327" i="54"/>
  <c r="EH271" i="54"/>
  <c r="IP43" i="54"/>
  <c r="AQ367" i="54"/>
  <c r="AR367" i="54"/>
  <c r="AS367" i="54"/>
  <c r="AQ368" i="54"/>
  <c r="AR328" i="54"/>
  <c r="IF43" i="54"/>
  <c r="BK32" i="66"/>
  <c r="BC388" i="54"/>
  <c r="AW388" i="54"/>
  <c r="IP36" i="54"/>
  <c r="IP37" i="54"/>
  <c r="IP41" i="54"/>
  <c r="ED271" i="54"/>
  <c r="EE271" i="54"/>
  <c r="EF271" i="54"/>
  <c r="AX388" i="54"/>
  <c r="IP39" i="54"/>
  <c r="AR368" i="54"/>
  <c r="AP328" i="54"/>
  <c r="BB327" i="54"/>
  <c r="DJ1317" i="54"/>
  <c r="AS368" i="54"/>
  <c r="AS328" i="54"/>
  <c r="BC327" i="54"/>
  <c r="AU388" i="54"/>
  <c r="IP35" i="54"/>
  <c r="IP34" i="54"/>
  <c r="IP42" i="54"/>
  <c r="IP38" i="54"/>
  <c r="DL1055" i="54"/>
  <c r="BB388" i="54"/>
  <c r="DG1523" i="54"/>
  <c r="BQ32" i="66"/>
  <c r="FJ591" i="54" s="1"/>
  <c r="BA388" i="54"/>
  <c r="CS24" i="66"/>
  <c r="DI51" i="66" s="1"/>
  <c r="EC410" i="54"/>
  <c r="EO411" i="54" s="1"/>
  <c r="CF411" i="54"/>
  <c r="EC30" i="54"/>
  <c r="EP31" i="54" s="1"/>
  <c r="EC170" i="54"/>
  <c r="EO171" i="54" s="1"/>
  <c r="CF271" i="54"/>
  <c r="EC270" i="54"/>
  <c r="ER271" i="54" s="1"/>
  <c r="CF391" i="54"/>
  <c r="EC330" i="54"/>
  <c r="ER331" i="54" s="1"/>
  <c r="CF331" i="54"/>
  <c r="CF91" i="54"/>
  <c r="EC390" i="54"/>
  <c r="EP391" i="54" s="1"/>
  <c r="CF171" i="54"/>
  <c r="CF31" i="54"/>
  <c r="AY328" i="54"/>
  <c r="BB328" i="54" s="1"/>
  <c r="AY508" i="54"/>
  <c r="AY448" i="54"/>
  <c r="BA507" i="54"/>
  <c r="AZ507" i="54"/>
  <c r="BC507" i="54"/>
  <c r="BB507" i="54"/>
  <c r="FQ590" i="54"/>
  <c r="FM590" i="54"/>
  <c r="FO590" i="54"/>
  <c r="EB590" i="54"/>
  <c r="EI591" i="54" s="1"/>
  <c r="FP590" i="54"/>
  <c r="FN590" i="54"/>
  <c r="FR590" i="54"/>
  <c r="FU590" i="54"/>
  <c r="FV590" i="54"/>
  <c r="FS590" i="54"/>
  <c r="EC590" i="54"/>
  <c r="EN591" i="54" s="1"/>
  <c r="FT590" i="54"/>
  <c r="EE591" i="54"/>
  <c r="EF591" i="54"/>
  <c r="ED591" i="54"/>
  <c r="EG591" i="54"/>
  <c r="EH591" i="54"/>
  <c r="DF1524" i="54"/>
  <c r="DG1524" i="54" s="1"/>
  <c r="DF1525" i="54"/>
  <c r="DI1522" i="54"/>
  <c r="DI1523" i="54"/>
  <c r="DL1523" i="54"/>
  <c r="DL1522" i="54"/>
  <c r="DM1522" i="54" s="1"/>
  <c r="BB488" i="54"/>
  <c r="AZ488" i="54"/>
  <c r="BC488" i="54"/>
  <c r="BA488" i="54"/>
  <c r="BA447" i="54"/>
  <c r="BB447" i="54"/>
  <c r="AZ447" i="54"/>
  <c r="BC447" i="54"/>
  <c r="AS448" i="54"/>
  <c r="AP448" i="54"/>
  <c r="AR448" i="54"/>
  <c r="AQ448" i="54"/>
  <c r="AR508" i="54"/>
  <c r="AS508" i="54"/>
  <c r="AP508" i="54"/>
  <c r="AQ508" i="54"/>
  <c r="AX467" i="54"/>
  <c r="AU467" i="54"/>
  <c r="AV467" i="54"/>
  <c r="AW467" i="54"/>
  <c r="DM1317" i="54"/>
  <c r="HQ47" i="54"/>
  <c r="HQ48" i="54"/>
  <c r="HQ46" i="54"/>
  <c r="IE46" i="54" s="1"/>
  <c r="HS34" i="54"/>
  <c r="HS35" i="54"/>
  <c r="IG35" i="54" s="1"/>
  <c r="IK35" i="54" s="1"/>
  <c r="IM35" i="54" s="1"/>
  <c r="HS37" i="54"/>
  <c r="IG37" i="54" s="1"/>
  <c r="IK37" i="54" s="1"/>
  <c r="HS38" i="54"/>
  <c r="IG38" i="54" s="1"/>
  <c r="IK38" i="54" s="1"/>
  <c r="HS36" i="54"/>
  <c r="IG36" i="54" s="1"/>
  <c r="IK36" i="54" s="1"/>
  <c r="HQ44" i="54"/>
  <c r="IE44" i="54" s="1"/>
  <c r="HQ45" i="54"/>
  <c r="IE45" i="54" s="1"/>
  <c r="HH48" i="54"/>
  <c r="HN48" i="54" s="1"/>
  <c r="HH47" i="54"/>
  <c r="HN47" i="54" s="1"/>
  <c r="HH50" i="54"/>
  <c r="HN50" i="54" s="1"/>
  <c r="HH51" i="54"/>
  <c r="HN51" i="54" s="1"/>
  <c r="HH49" i="54"/>
  <c r="HN49" i="54" s="1"/>
  <c r="HJ44" i="54"/>
  <c r="HP44" i="54" s="1"/>
  <c r="HJ40" i="54"/>
  <c r="HP40" i="54" s="1"/>
  <c r="IG40" i="54" s="1"/>
  <c r="HJ43" i="54"/>
  <c r="HP43" i="54" s="1"/>
  <c r="IG43" i="54" s="1"/>
  <c r="HJ41" i="54"/>
  <c r="HP41" i="54" s="1"/>
  <c r="IG41" i="54" s="1"/>
  <c r="HJ42" i="54"/>
  <c r="HP42" i="54" s="1"/>
  <c r="IG42" i="54" s="1"/>
  <c r="HJ46" i="54"/>
  <c r="HP46" i="54" s="1"/>
  <c r="HJ45" i="54"/>
  <c r="HP45" i="54" s="1"/>
  <c r="CH551" i="54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K34" i="54" s="1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R10" i="67" s="1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J846" i="54" s="1"/>
  <c r="DI1210" i="54"/>
  <c r="DI1211" i="54"/>
  <c r="DI1367" i="54"/>
  <c r="DI1366" i="54"/>
  <c r="DI1263" i="54"/>
  <c r="DI1262" i="54"/>
  <c r="DL430" i="54"/>
  <c r="DM430" i="54" s="1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GG500" i="65"/>
  <c r="GG508" i="65"/>
  <c r="GG498" i="65"/>
  <c r="GG492" i="65"/>
  <c r="GG490" i="65"/>
  <c r="GG499" i="65"/>
  <c r="GG507" i="65"/>
  <c r="GG483" i="65"/>
  <c r="GG506" i="65"/>
  <c r="GG491" i="65"/>
  <c r="GG484" i="65"/>
  <c r="GG514" i="65"/>
  <c r="GG515" i="65"/>
  <c r="GJ517" i="65"/>
  <c r="GJ511" i="65"/>
  <c r="GJ487" i="65"/>
  <c r="GG510" i="65"/>
  <c r="GJ518" i="65"/>
  <c r="GG486" i="65"/>
  <c r="GG516" i="65"/>
  <c r="GG502" i="65"/>
  <c r="GG509" i="65"/>
  <c r="GJ499" i="65"/>
  <c r="GG493" i="65"/>
  <c r="GG501" i="65"/>
  <c r="DY18" i="65"/>
  <c r="HV294" i="65" s="1"/>
  <c r="HU294" i="65" s="1"/>
  <c r="GH496" i="65"/>
  <c r="GH504" i="65"/>
  <c r="GH518" i="65"/>
  <c r="GH512" i="65"/>
  <c r="GH505" i="65"/>
  <c r="GH495" i="65"/>
  <c r="GH489" i="65"/>
  <c r="GH511" i="65"/>
  <c r="GH487" i="65"/>
  <c r="GH503" i="65"/>
  <c r="GH517" i="65"/>
  <c r="DY7" i="65"/>
  <c r="Q7" i="65"/>
  <c r="T7" i="65" s="1"/>
  <c r="R7" i="65"/>
  <c r="U7" i="65" s="1"/>
  <c r="CK24" i="66"/>
  <c r="CJ24" i="66"/>
  <c r="CT24" i="66" s="1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I46" i="54"/>
  <c r="IK30" i="54"/>
  <c r="IT30" i="54" s="1"/>
  <c r="IN29" i="54"/>
  <c r="IS29" i="54"/>
  <c r="IM29" i="54"/>
  <c r="IR29" i="54"/>
  <c r="II44" i="54"/>
  <c r="IP45" i="54" s="1"/>
  <c r="IF42" i="54"/>
  <c r="CI16" i="66"/>
  <c r="CO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CA31" i="66"/>
  <c r="CK16" i="66" s="1"/>
  <c r="DL1003" i="54"/>
  <c r="DI1003" i="54"/>
  <c r="AQ408" i="54"/>
  <c r="AS408" i="54"/>
  <c r="AP408" i="54"/>
  <c r="AU428" i="54"/>
  <c r="AU348" i="54"/>
  <c r="AW348" i="54"/>
  <c r="AV348" i="54"/>
  <c r="BZ31" i="66"/>
  <c r="CJ16" i="66" s="1"/>
  <c r="CT16" i="66" s="1"/>
  <c r="DI223" i="54"/>
  <c r="BU31" i="66"/>
  <c r="BA32" i="66" s="1"/>
  <c r="CH591" i="54" s="1"/>
  <c r="DI690" i="54"/>
  <c r="DL1002" i="54"/>
  <c r="DM1002" i="54" s="1"/>
  <c r="DL691" i="54"/>
  <c r="DL66" i="54"/>
  <c r="DM66" i="54" s="1"/>
  <c r="DL67" i="54"/>
  <c r="DL223" i="54"/>
  <c r="DL847" i="54"/>
  <c r="DM847" i="54" s="1"/>
  <c r="BV31" i="66"/>
  <c r="BB32" i="66" s="1"/>
  <c r="CJ591" i="54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I66" i="54"/>
  <c r="DI1055" i="54"/>
  <c r="DI222" i="54"/>
  <c r="DJ222" i="54" s="1"/>
  <c r="DI431" i="54"/>
  <c r="DG1055" i="54"/>
  <c r="DG690" i="54"/>
  <c r="AY408" i="54"/>
  <c r="BC408" i="54" s="1"/>
  <c r="DG691" i="54"/>
  <c r="DS7" i="66"/>
  <c r="DG1003" i="54"/>
  <c r="DG67" i="54"/>
  <c r="BB407" i="54"/>
  <c r="AZ407" i="54"/>
  <c r="DG223" i="54"/>
  <c r="BC407" i="54"/>
  <c r="CF531" i="54"/>
  <c r="CF491" i="54"/>
  <c r="CF471" i="54"/>
  <c r="CJ531" i="54"/>
  <c r="BK367" i="54"/>
  <c r="BJ367" i="54"/>
  <c r="BM367" i="54"/>
  <c r="BL367" i="54"/>
  <c r="BM366" i="54"/>
  <c r="BL366" i="54"/>
  <c r="BJ366" i="54"/>
  <c r="BK366" i="54"/>
  <c r="DS8" i="66"/>
  <c r="AT367" i="54"/>
  <c r="CL6" i="67"/>
  <c r="DL431" i="54"/>
  <c r="EE331" i="54"/>
  <c r="EH31" i="54"/>
  <c r="DF380" i="54"/>
  <c r="DG380" i="54" s="1"/>
  <c r="BT52" i="66"/>
  <c r="AZ53" i="66" s="1"/>
  <c r="CF612" i="54" s="1"/>
  <c r="DF328" i="54"/>
  <c r="DF381" i="54"/>
  <c r="V10" i="67"/>
  <c r="DF329" i="54"/>
  <c r="BR52" i="66"/>
  <c r="EA151" i="54"/>
  <c r="EE152" i="54" s="1"/>
  <c r="BY52" i="66"/>
  <c r="EA51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AV8" i="67"/>
  <c r="AW8" i="67"/>
  <c r="Y9" i="67"/>
  <c r="AO9" i="67"/>
  <c r="DM794" i="54"/>
  <c r="DM795" i="54"/>
  <c r="DM378" i="54"/>
  <c r="DM379" i="54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T9" i="67"/>
  <c r="AX8" i="67"/>
  <c r="AU8" i="67"/>
  <c r="CH8" i="67"/>
  <c r="CK8" i="67" s="1"/>
  <c r="DJ378" i="54"/>
  <c r="DJ379" i="54"/>
  <c r="EO151" i="54"/>
  <c r="ER151" i="54"/>
  <c r="EP151" i="54"/>
  <c r="EQ151" i="54"/>
  <c r="EN151" i="54"/>
  <c r="DL49" i="66"/>
  <c r="DL51" i="66"/>
  <c r="DL50" i="66"/>
  <c r="DL69" i="66"/>
  <c r="DL70" i="66"/>
  <c r="DL71" i="66"/>
  <c r="AN9" i="67"/>
  <c r="S9" i="67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N91" i="54"/>
  <c r="CB8" i="67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EY11" i="66"/>
  <c r="DG9" i="66"/>
  <c r="EX11" i="66"/>
  <c r="ER91" i="54"/>
  <c r="DJ17" i="54"/>
  <c r="DF693" i="54"/>
  <c r="DF432" i="54"/>
  <c r="DF433" i="54"/>
  <c r="DF692" i="54"/>
  <c r="DF849" i="54"/>
  <c r="DF848" i="54"/>
  <c r="DM846" i="54"/>
  <c r="EN391" i="54"/>
  <c r="DJ277" i="54"/>
  <c r="EP51" i="54"/>
  <c r="EQ112" i="54"/>
  <c r="EQ51" i="54"/>
  <c r="EN51" i="54"/>
  <c r="EO51" i="54"/>
  <c r="BY11" i="66"/>
  <c r="CI8" i="66" s="1"/>
  <c r="CO8" i="66" s="1"/>
  <c r="BR11" i="66"/>
  <c r="DL170" i="54"/>
  <c r="DM170" i="54" s="1"/>
  <c r="DL639" i="54"/>
  <c r="DL171" i="54"/>
  <c r="DL638" i="54"/>
  <c r="DM638" i="54" s="1"/>
  <c r="DL742" i="54"/>
  <c r="DL743" i="54"/>
  <c r="HW51" i="54" s="1"/>
  <c r="DL951" i="54"/>
  <c r="DL950" i="54"/>
  <c r="DM950" i="54" s="1"/>
  <c r="DL1106" i="54"/>
  <c r="DM1106" i="54" s="1"/>
  <c r="DL899" i="54"/>
  <c r="DL898" i="54"/>
  <c r="DM898" i="54" s="1"/>
  <c r="DL1107" i="54"/>
  <c r="BL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R32" i="66"/>
  <c r="BL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L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M5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P112" i="54"/>
  <c r="EN112" i="54"/>
  <c r="EK131" i="54"/>
  <c r="EM151" i="54"/>
  <c r="EK151" i="54"/>
  <c r="EJ151" i="54"/>
  <c r="EI151" i="54"/>
  <c r="EL131" i="54"/>
  <c r="EM131" i="54"/>
  <c r="EJ131" i="54"/>
  <c r="BY73" i="66"/>
  <c r="BY32" i="66"/>
  <c r="BT73" i="66"/>
  <c r="AZ74" i="66" s="1"/>
  <c r="BT32" i="66"/>
  <c r="AZ33" i="66" s="1"/>
  <c r="CF592" i="54" s="1"/>
  <c r="BT11" i="66"/>
  <c r="AZ12" i="66" s="1"/>
  <c r="BP466" i="54" l="1"/>
  <c r="BO466" i="54"/>
  <c r="BR466" i="54"/>
  <c r="BQ466" i="54"/>
  <c r="CU24" i="66"/>
  <c r="CQ24" i="66"/>
  <c r="BP366" i="54"/>
  <c r="BR366" i="54"/>
  <c r="BO366" i="54"/>
  <c r="BQ366" i="54"/>
  <c r="BO367" i="54"/>
  <c r="BQ367" i="54"/>
  <c r="BP367" i="54"/>
  <c r="BR367" i="54"/>
  <c r="CU16" i="66"/>
  <c r="CQ16" i="66"/>
  <c r="DH8" i="66"/>
  <c r="DT7" i="66"/>
  <c r="BQ467" i="54"/>
  <c r="BO467" i="54"/>
  <c r="BP467" i="54"/>
  <c r="BR467" i="54"/>
  <c r="CF451" i="54"/>
  <c r="CF571" i="54"/>
  <c r="EE571" i="54"/>
  <c r="EH571" i="54"/>
  <c r="DG1470" i="54"/>
  <c r="DG1471" i="54"/>
  <c r="EG571" i="54"/>
  <c r="EF571" i="54"/>
  <c r="DI1470" i="54"/>
  <c r="DI1471" i="54"/>
  <c r="FN570" i="54"/>
  <c r="FP570" i="54"/>
  <c r="FM570" i="54"/>
  <c r="FQ570" i="54"/>
  <c r="FO570" i="54"/>
  <c r="EB570" i="54"/>
  <c r="EM571" i="54" s="1"/>
  <c r="EC570" i="54"/>
  <c r="EP571" i="54" s="1"/>
  <c r="FV570" i="54"/>
  <c r="FT570" i="54"/>
  <c r="FU570" i="54"/>
  <c r="FR570" i="54"/>
  <c r="FS570" i="54"/>
  <c r="DL1470" i="54"/>
  <c r="DM1470" i="54" s="1"/>
  <c r="DL1471" i="54"/>
  <c r="DM1471" i="54" s="1"/>
  <c r="HV306" i="65"/>
  <c r="HU306" i="65" s="1"/>
  <c r="FU47" i="65"/>
  <c r="FU51" i="65"/>
  <c r="FU55" i="65"/>
  <c r="FU59" i="65"/>
  <c r="FU63" i="65"/>
  <c r="FU67" i="65"/>
  <c r="FU71" i="65"/>
  <c r="FU75" i="65"/>
  <c r="FU79" i="65"/>
  <c r="FU83" i="65"/>
  <c r="FU48" i="65"/>
  <c r="FU52" i="65"/>
  <c r="FU56" i="65"/>
  <c r="FU60" i="65"/>
  <c r="FU64" i="65"/>
  <c r="FU68" i="65"/>
  <c r="FU72" i="65"/>
  <c r="FU76" i="65"/>
  <c r="FU80" i="65"/>
  <c r="FU49" i="65"/>
  <c r="FU53" i="65"/>
  <c r="FU57" i="65"/>
  <c r="FU61" i="65"/>
  <c r="FU65" i="65"/>
  <c r="FU69" i="65"/>
  <c r="FU73" i="65"/>
  <c r="FU77" i="65"/>
  <c r="FU81" i="65"/>
  <c r="FU46" i="65"/>
  <c r="FU50" i="65"/>
  <c r="FU54" i="65"/>
  <c r="FU58" i="65"/>
  <c r="FU62" i="65"/>
  <c r="FU66" i="65"/>
  <c r="FU70" i="65"/>
  <c r="FU74" i="65"/>
  <c r="FU78" i="65"/>
  <c r="FU82" i="65"/>
  <c r="FU484" i="65"/>
  <c r="FU488" i="65"/>
  <c r="GK488" i="65" s="1"/>
  <c r="FU492" i="65"/>
  <c r="FU496" i="65"/>
  <c r="GK496" i="65" s="1"/>
  <c r="FU500" i="65"/>
  <c r="FU504" i="65"/>
  <c r="GK504" i="65" s="1"/>
  <c r="FU508" i="65"/>
  <c r="FU512" i="65"/>
  <c r="GK512" i="65" s="1"/>
  <c r="FU516" i="65"/>
  <c r="GH516" i="65" s="1"/>
  <c r="FU481" i="65"/>
  <c r="FU485" i="65"/>
  <c r="GH485" i="65" s="1"/>
  <c r="FU489" i="65"/>
  <c r="FU493" i="65"/>
  <c r="GH493" i="65" s="1"/>
  <c r="FU497" i="65"/>
  <c r="FU501" i="65"/>
  <c r="FU505" i="65"/>
  <c r="FU509" i="65"/>
  <c r="GH509" i="65" s="1"/>
  <c r="FU513" i="65"/>
  <c r="FO513" i="65" s="1"/>
  <c r="GE513" i="65" s="1"/>
  <c r="FU517" i="65"/>
  <c r="FU482" i="65"/>
  <c r="FU486" i="65"/>
  <c r="GH486" i="65" s="1"/>
  <c r="FU490" i="65"/>
  <c r="FU494" i="65"/>
  <c r="FU498" i="65"/>
  <c r="FU502" i="65"/>
  <c r="GH502" i="65" s="1"/>
  <c r="FU506" i="65"/>
  <c r="FU510" i="65"/>
  <c r="GH510" i="65" s="1"/>
  <c r="FU514" i="65"/>
  <c r="FU518" i="65"/>
  <c r="GK518" i="65" s="1"/>
  <c r="FU483" i="65"/>
  <c r="GK483" i="65" s="1"/>
  <c r="FU487" i="65"/>
  <c r="FU491" i="65"/>
  <c r="GK491" i="65" s="1"/>
  <c r="FU495" i="65"/>
  <c r="FU499" i="65"/>
  <c r="GK499" i="65" s="1"/>
  <c r="FU503" i="65"/>
  <c r="FU507" i="65"/>
  <c r="FU511" i="65"/>
  <c r="FU515" i="65"/>
  <c r="GK515" i="65" s="1"/>
  <c r="FT483" i="65"/>
  <c r="FT487" i="65"/>
  <c r="FT491" i="65"/>
  <c r="FT495" i="65"/>
  <c r="FT499" i="65"/>
  <c r="FT503" i="65"/>
  <c r="FT507" i="65"/>
  <c r="FT511" i="65"/>
  <c r="GK511" i="65" s="1"/>
  <c r="FT515" i="65"/>
  <c r="FT484" i="65"/>
  <c r="FT488" i="65"/>
  <c r="FT492" i="65"/>
  <c r="FT496" i="65"/>
  <c r="FT500" i="65"/>
  <c r="FT504" i="65"/>
  <c r="FT508" i="65"/>
  <c r="FT512" i="65"/>
  <c r="FT516" i="65"/>
  <c r="FT485" i="65"/>
  <c r="FT493" i="65"/>
  <c r="FT501" i="65"/>
  <c r="FT509" i="65"/>
  <c r="FT517" i="65"/>
  <c r="FT486" i="65"/>
  <c r="FT494" i="65"/>
  <c r="FT502" i="65"/>
  <c r="FT510" i="65"/>
  <c r="FT518" i="65"/>
  <c r="FT481" i="65"/>
  <c r="FT489" i="65"/>
  <c r="FT497" i="65"/>
  <c r="FT505" i="65"/>
  <c r="FT513" i="65"/>
  <c r="FT482" i="65"/>
  <c r="FT490" i="65"/>
  <c r="FT498" i="65"/>
  <c r="FT506" i="65"/>
  <c r="FT514" i="65"/>
  <c r="FT47" i="65"/>
  <c r="FT51" i="65"/>
  <c r="FT55" i="65"/>
  <c r="FT59" i="65"/>
  <c r="FT63" i="65"/>
  <c r="FT67" i="65"/>
  <c r="FT71" i="65"/>
  <c r="FT75" i="65"/>
  <c r="FT79" i="65"/>
  <c r="FT83" i="65"/>
  <c r="FT48" i="65"/>
  <c r="FT52" i="65"/>
  <c r="FT56" i="65"/>
  <c r="FT60" i="65"/>
  <c r="FT64" i="65"/>
  <c r="FT68" i="65"/>
  <c r="FT72" i="65"/>
  <c r="FT76" i="65"/>
  <c r="FT80" i="65"/>
  <c r="FT50" i="65"/>
  <c r="FT58" i="65"/>
  <c r="FT66" i="65"/>
  <c r="FT74" i="65"/>
  <c r="FT82" i="65"/>
  <c r="FT53" i="65"/>
  <c r="FT61" i="65"/>
  <c r="FT69" i="65"/>
  <c r="FT77" i="65"/>
  <c r="FT46" i="65"/>
  <c r="FT54" i="65"/>
  <c r="FT62" i="65"/>
  <c r="FT70" i="65"/>
  <c r="FT78" i="65"/>
  <c r="FT49" i="65"/>
  <c r="FT57" i="65"/>
  <c r="FT65" i="65"/>
  <c r="FT73" i="65"/>
  <c r="FT81" i="65"/>
  <c r="ER391" i="54"/>
  <c r="AW488" i="54"/>
  <c r="AU488" i="54"/>
  <c r="AX488" i="54"/>
  <c r="EN271" i="54"/>
  <c r="AV428" i="54"/>
  <c r="AW428" i="54"/>
  <c r="EN31" i="54"/>
  <c r="ER31" i="54"/>
  <c r="EO31" i="54"/>
  <c r="EQ31" i="54"/>
  <c r="DJ485" i="54"/>
  <c r="EO271" i="54"/>
  <c r="EP271" i="54"/>
  <c r="BA328" i="54"/>
  <c r="EQ271" i="54"/>
  <c r="BC328" i="54"/>
  <c r="AZ328" i="54"/>
  <c r="DJ537" i="54"/>
  <c r="DG1631" i="54"/>
  <c r="EG633" i="54"/>
  <c r="EF633" i="54"/>
  <c r="EP331" i="54"/>
  <c r="DI69" i="66"/>
  <c r="EQ391" i="54"/>
  <c r="EO391" i="54"/>
  <c r="IK43" i="54"/>
  <c r="IR43" i="54" s="1"/>
  <c r="DG1577" i="54"/>
  <c r="AS468" i="54"/>
  <c r="EQ411" i="54"/>
  <c r="AQ468" i="54"/>
  <c r="AP468" i="54"/>
  <c r="EH612" i="54"/>
  <c r="DL1631" i="54"/>
  <c r="DL1630" i="54"/>
  <c r="DM1630" i="54" s="1"/>
  <c r="FO632" i="54"/>
  <c r="FN632" i="54"/>
  <c r="FM632" i="54"/>
  <c r="FQ632" i="54"/>
  <c r="FP632" i="54"/>
  <c r="EB632" i="54"/>
  <c r="EE633" i="54"/>
  <c r="DI1631" i="54"/>
  <c r="DI1630" i="54"/>
  <c r="DJ1630" i="54" s="1"/>
  <c r="FR632" i="54"/>
  <c r="FT632" i="54"/>
  <c r="FS632" i="54"/>
  <c r="FU632" i="54"/>
  <c r="FV632" i="54"/>
  <c r="EC632" i="54"/>
  <c r="EP633" i="54" s="1"/>
  <c r="EH633" i="54"/>
  <c r="CF513" i="54"/>
  <c r="CF633" i="54"/>
  <c r="EN633" i="54"/>
  <c r="FR611" i="54"/>
  <c r="FT611" i="54"/>
  <c r="FV611" i="54"/>
  <c r="FU611" i="54"/>
  <c r="FS611" i="54"/>
  <c r="EC611" i="54"/>
  <c r="ER612" i="54" s="1"/>
  <c r="EB611" i="54"/>
  <c r="EK612" i="54" s="1"/>
  <c r="FP611" i="54"/>
  <c r="FN611" i="54"/>
  <c r="FQ611" i="54"/>
  <c r="FO611" i="54"/>
  <c r="FM611" i="54"/>
  <c r="DJ1577" i="54"/>
  <c r="EQ612" i="54"/>
  <c r="EL612" i="54"/>
  <c r="DL1577" i="54"/>
  <c r="DL1576" i="54"/>
  <c r="DM1576" i="54" s="1"/>
  <c r="EE612" i="54"/>
  <c r="ED612" i="54"/>
  <c r="EG612" i="54"/>
  <c r="DK69" i="66"/>
  <c r="ER171" i="54"/>
  <c r="EP171" i="54"/>
  <c r="CP24" i="66"/>
  <c r="DM49" i="66" s="1"/>
  <c r="EL31" i="54"/>
  <c r="ER411" i="54"/>
  <c r="EP411" i="54"/>
  <c r="EN411" i="54"/>
  <c r="DG1525" i="54"/>
  <c r="ER591" i="54"/>
  <c r="EQ171" i="54"/>
  <c r="EO331" i="54"/>
  <c r="DI50" i="66"/>
  <c r="DI70" i="66"/>
  <c r="EN171" i="54"/>
  <c r="EN331" i="54"/>
  <c r="DI49" i="66"/>
  <c r="EQ331" i="54"/>
  <c r="DI71" i="66"/>
  <c r="IE48" i="54"/>
  <c r="EM31" i="54"/>
  <c r="EG132" i="54"/>
  <c r="EI31" i="54"/>
  <c r="EL591" i="54"/>
  <c r="FI591" i="54"/>
  <c r="EA591" i="54"/>
  <c r="EF592" i="54" s="1"/>
  <c r="FL591" i="54"/>
  <c r="FK591" i="54"/>
  <c r="FH591" i="54"/>
  <c r="DJ847" i="54"/>
  <c r="DM1523" i="54"/>
  <c r="AM10" i="67"/>
  <c r="DM431" i="54"/>
  <c r="CJ91" i="54"/>
  <c r="EF132" i="54"/>
  <c r="CH91" i="54"/>
  <c r="ED132" i="54"/>
  <c r="EJ31" i="54"/>
  <c r="CJ171" i="54"/>
  <c r="CJ391" i="54"/>
  <c r="CJ31" i="54"/>
  <c r="CH171" i="54"/>
  <c r="CJ491" i="54"/>
  <c r="CH531" i="54"/>
  <c r="CJ331" i="54"/>
  <c r="CH391" i="54"/>
  <c r="CH271" i="54"/>
  <c r="CH491" i="54"/>
  <c r="CJ411" i="54"/>
  <c r="CJ271" i="54"/>
  <c r="CH331" i="54"/>
  <c r="CH31" i="54"/>
  <c r="CJ471" i="54"/>
  <c r="CH471" i="54"/>
  <c r="FS591" i="54"/>
  <c r="FT591" i="54"/>
  <c r="FU591" i="54"/>
  <c r="FV591" i="54"/>
  <c r="FR591" i="54"/>
  <c r="EC591" i="54"/>
  <c r="EN592" i="54" s="1"/>
  <c r="DO71" i="66"/>
  <c r="BD530" i="54"/>
  <c r="BD510" i="54"/>
  <c r="BD450" i="54"/>
  <c r="EP591" i="54"/>
  <c r="EO591" i="54"/>
  <c r="DL1524" i="54"/>
  <c r="DM1524" i="54" s="1"/>
  <c r="DL1525" i="54"/>
  <c r="DI1524" i="54"/>
  <c r="DI1525" i="54"/>
  <c r="DO70" i="66"/>
  <c r="BD529" i="54"/>
  <c r="EK591" i="54"/>
  <c r="EJ591" i="54"/>
  <c r="EM591" i="54"/>
  <c r="AZ448" i="54"/>
  <c r="BC448" i="54"/>
  <c r="BB448" i="54"/>
  <c r="BA448" i="54"/>
  <c r="DO69" i="66"/>
  <c r="BD528" i="54"/>
  <c r="BD508" i="54"/>
  <c r="BD448" i="54"/>
  <c r="DJ1522" i="54"/>
  <c r="DJ1523" i="54"/>
  <c r="EQ591" i="54"/>
  <c r="AZ508" i="54"/>
  <c r="BA508" i="54"/>
  <c r="BB508" i="54"/>
  <c r="BC508" i="54"/>
  <c r="FP591" i="54"/>
  <c r="FM591" i="54"/>
  <c r="FO591" i="54"/>
  <c r="FN591" i="54"/>
  <c r="FQ591" i="54"/>
  <c r="EB591" i="54"/>
  <c r="BD509" i="54"/>
  <c r="BD449" i="54"/>
  <c r="AT368" i="54"/>
  <c r="AW368" i="54" s="1"/>
  <c r="AT468" i="54"/>
  <c r="EH132" i="54"/>
  <c r="HR45" i="54"/>
  <c r="IF45" i="54" s="1"/>
  <c r="HR44" i="54"/>
  <c r="IF44" i="54" s="1"/>
  <c r="HS47" i="54"/>
  <c r="HS48" i="54"/>
  <c r="HS46" i="54"/>
  <c r="IG46" i="54" s="1"/>
  <c r="HJ48" i="54"/>
  <c r="HP48" i="54" s="1"/>
  <c r="HJ47" i="54"/>
  <c r="HP47" i="54" s="1"/>
  <c r="HJ49" i="54"/>
  <c r="HP49" i="54" s="1"/>
  <c r="HJ51" i="54"/>
  <c r="HP51" i="54" s="1"/>
  <c r="HJ50" i="54"/>
  <c r="HP50" i="54" s="1"/>
  <c r="DM742" i="54"/>
  <c r="HW49" i="54"/>
  <c r="HS45" i="54"/>
  <c r="IG45" i="54" s="1"/>
  <c r="HS44" i="54"/>
  <c r="IG44" i="54" s="1"/>
  <c r="HR46" i="54"/>
  <c r="IF46" i="54" s="1"/>
  <c r="HR47" i="54"/>
  <c r="HR48" i="54"/>
  <c r="HI49" i="54"/>
  <c r="HO49" i="54" s="1"/>
  <c r="HI48" i="54"/>
  <c r="HO48" i="54" s="1"/>
  <c r="HI50" i="54"/>
  <c r="HO50" i="54" s="1"/>
  <c r="HI51" i="54"/>
  <c r="HO51" i="54" s="1"/>
  <c r="HI47" i="54"/>
  <c r="HO47" i="54" s="1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ER152" i="54" s="1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EM52" i="54" s="1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V42" i="65"/>
  <c r="HU42" i="65" s="1"/>
  <c r="HV30" i="65"/>
  <c r="HU30" i="65" s="1"/>
  <c r="DZ7" i="65"/>
  <c r="EA7" i="65"/>
  <c r="EA18" i="65"/>
  <c r="HV308" i="65" s="1"/>
  <c r="HU308" i="65" s="1"/>
  <c r="GH494" i="65"/>
  <c r="GK507" i="65"/>
  <c r="GH501" i="65"/>
  <c r="DZ18" i="65"/>
  <c r="HV307" i="65" s="1"/>
  <c r="HU307" i="65" s="1"/>
  <c r="GH500" i="65"/>
  <c r="GH490" i="65"/>
  <c r="GH492" i="65"/>
  <c r="GH514" i="65"/>
  <c r="GH499" i="65"/>
  <c r="GH491" i="65"/>
  <c r="GH507" i="65"/>
  <c r="GH484" i="65"/>
  <c r="GH515" i="65"/>
  <c r="GK517" i="65"/>
  <c r="GK487" i="65"/>
  <c r="GK503" i="65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M31" i="54"/>
  <c r="IL33" i="54"/>
  <c r="IN3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S34" i="54"/>
  <c r="IR34" i="54"/>
  <c r="IL34" i="54"/>
  <c r="IT34" i="54"/>
  <c r="IN34" i="54"/>
  <c r="IM34" i="54"/>
  <c r="IK42" i="54"/>
  <c r="IS37" i="54"/>
  <c r="IR37" i="54"/>
  <c r="IM37" i="54"/>
  <c r="IT37" i="54"/>
  <c r="IL37" i="54"/>
  <c r="IN37" i="54"/>
  <c r="IJ51" i="54"/>
  <c r="EJ271" i="54"/>
  <c r="EK171" i="54"/>
  <c r="DM1055" i="54"/>
  <c r="DL30" i="66"/>
  <c r="EJ91" i="54"/>
  <c r="EI91" i="54"/>
  <c r="BU52" i="66"/>
  <c r="EI411" i="54"/>
  <c r="EM91" i="54"/>
  <c r="EB311" i="54"/>
  <c r="EI312" i="54" s="1"/>
  <c r="DL31" i="66"/>
  <c r="DL29" i="66"/>
  <c r="CS16" i="66"/>
  <c r="DK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O49" i="66"/>
  <c r="BD408" i="54"/>
  <c r="BD328" i="54"/>
  <c r="DO50" i="66"/>
  <c r="BD329" i="54"/>
  <c r="BD409" i="54"/>
  <c r="DO51" i="66"/>
  <c r="BD330" i="54"/>
  <c r="BD410" i="54"/>
  <c r="CF132" i="54"/>
  <c r="CF552" i="54"/>
  <c r="CO6" i="67"/>
  <c r="CP6" i="67"/>
  <c r="CM6" i="67"/>
  <c r="CN6" i="67"/>
  <c r="AV367" i="54"/>
  <c r="AU367" i="54"/>
  <c r="AW367" i="54"/>
  <c r="AX367" i="54"/>
  <c r="DL380" i="54"/>
  <c r="EH32" i="54"/>
  <c r="ED152" i="54"/>
  <c r="EG152" i="54"/>
  <c r="DG381" i="54"/>
  <c r="EF152" i="54"/>
  <c r="EH152" i="54"/>
  <c r="CF152" i="54"/>
  <c r="BQ53" i="66"/>
  <c r="BK53" i="66"/>
  <c r="CF52" i="54"/>
  <c r="DL328" i="54"/>
  <c r="DM328" i="54" s="1"/>
  <c r="DG329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V52" i="66"/>
  <c r="BB53" i="66" s="1"/>
  <c r="CJ612" i="54" s="1"/>
  <c r="CA52" i="66"/>
  <c r="P10" i="67"/>
  <c r="T10" i="67" s="1"/>
  <c r="U10" i="67" s="1"/>
  <c r="DL329" i="54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DJ380" i="54"/>
  <c r="DJ381" i="54"/>
  <c r="DN51" i="66"/>
  <c r="DN70" i="66"/>
  <c r="DN69" i="66"/>
  <c r="DN71" i="66"/>
  <c r="DN49" i="66"/>
  <c r="DN50" i="66"/>
  <c r="DJ328" i="54"/>
  <c r="DJ329" i="54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C391" i="54"/>
  <c r="EC31" i="54"/>
  <c r="EC171" i="54"/>
  <c r="EC331" i="54"/>
  <c r="EC411" i="54"/>
  <c r="EC91" i="54"/>
  <c r="EP92" i="54" s="1"/>
  <c r="BV11" i="66"/>
  <c r="BB12" i="66" s="1"/>
  <c r="EC70" i="54"/>
  <c r="EO71" i="54" s="1"/>
  <c r="EC290" i="54"/>
  <c r="EN291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P16" i="66"/>
  <c r="DM29" i="66" s="1"/>
  <c r="BI488" i="54" s="1"/>
  <c r="EH371" i="54"/>
  <c r="BU32" i="66"/>
  <c r="BA33" i="66" s="1"/>
  <c r="CH592" i="54" s="1"/>
  <c r="DM1107" i="54"/>
  <c r="EF251" i="54"/>
  <c r="EF371" i="54"/>
  <c r="DG1005" i="54"/>
  <c r="DM743" i="54"/>
  <c r="ED371" i="54"/>
  <c r="BU11" i="66"/>
  <c r="BA12" i="66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Z73" i="66"/>
  <c r="BU73" i="66"/>
  <c r="BA74" i="66" s="1"/>
  <c r="EG52" i="54"/>
  <c r="ED52" i="54"/>
  <c r="EF52" i="54"/>
  <c r="EE52" i="54"/>
  <c r="EH52" i="54"/>
  <c r="EF32" i="54"/>
  <c r="EG32" i="54"/>
  <c r="ED32" i="54"/>
  <c r="DG898" i="54"/>
  <c r="DG899" i="54"/>
  <c r="CA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N29" i="66"/>
  <c r="BN488" i="54" s="1"/>
  <c r="DN31" i="66"/>
  <c r="BN490" i="54" s="1"/>
  <c r="DN30" i="66"/>
  <c r="BN489" i="54" s="1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Z32" i="66"/>
  <c r="BK33" i="66"/>
  <c r="DG171" i="54"/>
  <c r="DG742" i="54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Z11" i="66"/>
  <c r="CJ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S8" i="66"/>
  <c r="EG291" i="54"/>
  <c r="EE291" i="54"/>
  <c r="EF291" i="54"/>
  <c r="BK12" i="66"/>
  <c r="BV32" i="66"/>
  <c r="BB33" i="66" s="1"/>
  <c r="CJ592" i="54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J29" i="66"/>
  <c r="DJ30" i="66"/>
  <c r="DJ31" i="66"/>
  <c r="EG92" i="54"/>
  <c r="EF92" i="54"/>
  <c r="EE92" i="54"/>
  <c r="DG225" i="54"/>
  <c r="DJ69" i="66"/>
  <c r="DJ70" i="66"/>
  <c r="DJ50" i="66"/>
  <c r="DJ71" i="66"/>
  <c r="DJ51" i="66"/>
  <c r="DJ49" i="66"/>
  <c r="BA53" i="66"/>
  <c r="CH612" i="54" s="1"/>
  <c r="BW52" i="66"/>
  <c r="BZ52" i="66"/>
  <c r="BV73" i="66"/>
  <c r="BB74" i="66" s="1"/>
  <c r="CA73" i="66"/>
  <c r="CA11" i="66"/>
  <c r="CK8" i="66" s="1"/>
  <c r="BK74" i="66"/>
  <c r="BQ74" i="66"/>
  <c r="BQ33" i="66"/>
  <c r="BQ12" i="66"/>
  <c r="CU8" i="66" l="1"/>
  <c r="CQ8" i="66"/>
  <c r="DH9" i="66"/>
  <c r="AY367" i="54"/>
  <c r="DT8" i="66"/>
  <c r="AY467" i="54"/>
  <c r="FK571" i="54"/>
  <c r="FL571" i="54"/>
  <c r="FJ571" i="54"/>
  <c r="FI571" i="54"/>
  <c r="FH571" i="54"/>
  <c r="EA571" i="54"/>
  <c r="ED572" i="54" s="1"/>
  <c r="EK571" i="54"/>
  <c r="EH572" i="54"/>
  <c r="EJ571" i="54"/>
  <c r="EE572" i="54"/>
  <c r="EI571" i="54"/>
  <c r="DJ1470" i="54"/>
  <c r="DJ1471" i="54"/>
  <c r="EL571" i="54"/>
  <c r="DF1473" i="54"/>
  <c r="DG1473" i="54" s="1"/>
  <c r="DF1472" i="54"/>
  <c r="DG1472" i="54" s="1"/>
  <c r="CH451" i="54"/>
  <c r="CH571" i="54"/>
  <c r="EF572" i="54"/>
  <c r="EG572" i="54"/>
  <c r="CJ451" i="54"/>
  <c r="CJ571" i="54"/>
  <c r="EN571" i="54"/>
  <c r="EO571" i="54"/>
  <c r="EQ571" i="54"/>
  <c r="FO505" i="65"/>
  <c r="GE505" i="65" s="1"/>
  <c r="FO486" i="65"/>
  <c r="GE486" i="65" s="1"/>
  <c r="ER571" i="54"/>
  <c r="FO497" i="65"/>
  <c r="GE497" i="65" s="1"/>
  <c r="DM71" i="66"/>
  <c r="BI530" i="54" s="1"/>
  <c r="DM50" i="66"/>
  <c r="BI449" i="54" s="1"/>
  <c r="EO32" i="54"/>
  <c r="DK51" i="66"/>
  <c r="IM43" i="54"/>
  <c r="IT43" i="54"/>
  <c r="FO496" i="65"/>
  <c r="GE496" i="65" s="1"/>
  <c r="DK70" i="66"/>
  <c r="DK71" i="66"/>
  <c r="DK50" i="66"/>
  <c r="DK49" i="66"/>
  <c r="AU368" i="54"/>
  <c r="ER172" i="54"/>
  <c r="DM69" i="66"/>
  <c r="DP69" i="66" s="1"/>
  <c r="DS69" i="66" s="1"/>
  <c r="DM51" i="66"/>
  <c r="BI510" i="54" s="1"/>
  <c r="DM70" i="66"/>
  <c r="DP70" i="66" s="1"/>
  <c r="EO272" i="54"/>
  <c r="EJ612" i="54"/>
  <c r="DF70" i="66"/>
  <c r="AO529" i="54" s="1"/>
  <c r="AR529" i="54" s="1"/>
  <c r="IL43" i="54"/>
  <c r="IS43" i="54"/>
  <c r="DM1631" i="54"/>
  <c r="DM1577" i="54"/>
  <c r="DJ1631" i="54"/>
  <c r="EN612" i="54"/>
  <c r="EP612" i="54"/>
  <c r="EO612" i="54"/>
  <c r="ER633" i="54"/>
  <c r="CJ513" i="54"/>
  <c r="CJ633" i="54"/>
  <c r="EM633" i="54"/>
  <c r="EI633" i="54"/>
  <c r="EL633" i="54"/>
  <c r="EK633" i="54"/>
  <c r="EJ633" i="54"/>
  <c r="FJ633" i="54"/>
  <c r="FK633" i="54"/>
  <c r="FL633" i="54"/>
  <c r="FI633" i="54"/>
  <c r="FH633" i="54"/>
  <c r="EA633" i="54"/>
  <c r="EE634" i="54" s="1"/>
  <c r="DF1633" i="54"/>
  <c r="DF1632" i="54"/>
  <c r="DG1632" i="54" s="1"/>
  <c r="DF1634" i="54"/>
  <c r="EH634" i="54"/>
  <c r="CH513" i="54"/>
  <c r="CH633" i="54"/>
  <c r="EQ633" i="54"/>
  <c r="EO633" i="54"/>
  <c r="FK612" i="54"/>
  <c r="FJ612" i="54"/>
  <c r="FI612" i="54"/>
  <c r="EA612" i="54"/>
  <c r="ED613" i="54" s="1"/>
  <c r="FL612" i="54"/>
  <c r="FH612" i="54"/>
  <c r="EM612" i="54"/>
  <c r="EI612" i="54"/>
  <c r="DF1579" i="54"/>
  <c r="DF1578" i="54"/>
  <c r="DG1578" i="54" s="1"/>
  <c r="EH592" i="54"/>
  <c r="FO518" i="65"/>
  <c r="GE518" i="65" s="1"/>
  <c r="DR49" i="66"/>
  <c r="AX368" i="54"/>
  <c r="AV368" i="54"/>
  <c r="DJ1525" i="54"/>
  <c r="EL592" i="54"/>
  <c r="EG592" i="54"/>
  <c r="EP152" i="54"/>
  <c r="EE592" i="54"/>
  <c r="ED592" i="54"/>
  <c r="DR69" i="66"/>
  <c r="DM1525" i="54"/>
  <c r="EQ592" i="54"/>
  <c r="DJ1524" i="54"/>
  <c r="EO152" i="54"/>
  <c r="ER592" i="54"/>
  <c r="EO592" i="54"/>
  <c r="EP592" i="54"/>
  <c r="FH592" i="54"/>
  <c r="FK592" i="54"/>
  <c r="FI592" i="54"/>
  <c r="FJ592" i="54"/>
  <c r="FL592" i="54"/>
  <c r="EA592" i="54"/>
  <c r="BI508" i="54"/>
  <c r="BI448" i="54"/>
  <c r="BO489" i="54"/>
  <c r="BP489" i="54"/>
  <c r="BQ489" i="54"/>
  <c r="BR489" i="54"/>
  <c r="BJ488" i="54"/>
  <c r="BM488" i="54"/>
  <c r="BL488" i="54"/>
  <c r="BK488" i="54"/>
  <c r="BN509" i="54"/>
  <c r="BN449" i="54"/>
  <c r="DQ70" i="66"/>
  <c r="BN529" i="54"/>
  <c r="BD348" i="54"/>
  <c r="BH348" i="54" s="1"/>
  <c r="BD488" i="54"/>
  <c r="BD349" i="54"/>
  <c r="BF349" i="54" s="1"/>
  <c r="BD489" i="54"/>
  <c r="BG528" i="54"/>
  <c r="BF528" i="54"/>
  <c r="BH528" i="54"/>
  <c r="BE528" i="54"/>
  <c r="EK592" i="54"/>
  <c r="EI592" i="54"/>
  <c r="BG530" i="54"/>
  <c r="BE530" i="54"/>
  <c r="BF530" i="54"/>
  <c r="BH530" i="54"/>
  <c r="BP490" i="54"/>
  <c r="BQ490" i="54"/>
  <c r="BO490" i="54"/>
  <c r="BR490" i="54"/>
  <c r="BN508" i="54"/>
  <c r="BN448" i="54"/>
  <c r="BN450" i="54"/>
  <c r="BN510" i="54"/>
  <c r="DO31" i="66"/>
  <c r="BD490" i="54"/>
  <c r="BE449" i="54"/>
  <c r="BH449" i="54"/>
  <c r="BG449" i="54"/>
  <c r="BF449" i="54"/>
  <c r="DP71" i="66"/>
  <c r="DQ71" i="66"/>
  <c r="BN530" i="54"/>
  <c r="BE509" i="54"/>
  <c r="BG509" i="54"/>
  <c r="BH509" i="54"/>
  <c r="BF509" i="54"/>
  <c r="BH448" i="54"/>
  <c r="BG448" i="54"/>
  <c r="BE448" i="54"/>
  <c r="BF448" i="54"/>
  <c r="EM592" i="54"/>
  <c r="BG450" i="54"/>
  <c r="BH450" i="54"/>
  <c r="BF450" i="54"/>
  <c r="BE450" i="54"/>
  <c r="BR488" i="54"/>
  <c r="BQ488" i="54"/>
  <c r="BP488" i="54"/>
  <c r="BO488" i="54"/>
  <c r="DF1527" i="54"/>
  <c r="DF1526" i="54"/>
  <c r="DG1526" i="54" s="1"/>
  <c r="DQ69" i="66"/>
  <c r="DT69" i="66" s="1"/>
  <c r="BN528" i="54"/>
  <c r="BH508" i="54"/>
  <c r="BF508" i="54"/>
  <c r="BE508" i="54"/>
  <c r="BG508" i="54"/>
  <c r="EJ592" i="54"/>
  <c r="BG529" i="54"/>
  <c r="BF529" i="54"/>
  <c r="BE529" i="54"/>
  <c r="BH529" i="54"/>
  <c r="BG510" i="54"/>
  <c r="BE510" i="54"/>
  <c r="BF510" i="54"/>
  <c r="BH510" i="54"/>
  <c r="AU468" i="54"/>
  <c r="AW468" i="54"/>
  <c r="AX468" i="54"/>
  <c r="AV468" i="54"/>
  <c r="DM329" i="54"/>
  <c r="EN152" i="54"/>
  <c r="EQ152" i="54"/>
  <c r="IG48" i="54"/>
  <c r="HQ49" i="54"/>
  <c r="IE49" i="54" s="1"/>
  <c r="HQ50" i="54"/>
  <c r="IE50" i="54" s="1"/>
  <c r="HS51" i="54"/>
  <c r="IG51" i="54" s="1"/>
  <c r="HS53" i="54"/>
  <c r="HS52" i="54"/>
  <c r="HJ56" i="54"/>
  <c r="HJ55" i="54"/>
  <c r="HP55" i="54" s="1"/>
  <c r="HJ52" i="54"/>
  <c r="HP52" i="54" s="1"/>
  <c r="HJ54" i="54"/>
  <c r="HP54" i="54" s="1"/>
  <c r="HJ53" i="54"/>
  <c r="HP53" i="54" s="1"/>
  <c r="HS49" i="54"/>
  <c r="IG49" i="54" s="1"/>
  <c r="HS50" i="54"/>
  <c r="HZ56" i="54"/>
  <c r="IA56" i="54" s="1"/>
  <c r="DM381" i="54"/>
  <c r="HH56" i="54"/>
  <c r="HN56" i="54" s="1"/>
  <c r="HH52" i="54"/>
  <c r="HN52" i="54" s="1"/>
  <c r="HH54" i="54"/>
  <c r="HN54" i="54" s="1"/>
  <c r="HH55" i="54"/>
  <c r="HN55" i="54" s="1"/>
  <c r="HH53" i="54"/>
  <c r="HN53" i="54" s="1"/>
  <c r="HQ51" i="54"/>
  <c r="IE51" i="54" s="1"/>
  <c r="HQ53" i="54"/>
  <c r="HQ52" i="54"/>
  <c r="IL40" i="54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O483" i="65"/>
  <c r="GE483" i="65" s="1"/>
  <c r="GH483" i="65"/>
  <c r="FO506" i="65"/>
  <c r="GE506" i="65" s="1"/>
  <c r="GH506" i="65"/>
  <c r="FO495" i="65"/>
  <c r="GE495" i="65" s="1"/>
  <c r="GK495" i="65"/>
  <c r="FO498" i="65"/>
  <c r="GE498" i="65" s="1"/>
  <c r="GH498" i="65"/>
  <c r="FO482" i="65"/>
  <c r="GE482" i="65" s="1"/>
  <c r="GH482" i="65"/>
  <c r="FO508" i="65"/>
  <c r="GE508" i="65" s="1"/>
  <c r="GH508" i="65"/>
  <c r="FO501" i="65"/>
  <c r="GE501" i="65" s="1"/>
  <c r="FO489" i="65"/>
  <c r="GE489" i="65" s="1"/>
  <c r="FO504" i="65"/>
  <c r="GE504" i="65" s="1"/>
  <c r="FO481" i="65"/>
  <c r="GE481" i="65" s="1"/>
  <c r="FO507" i="65"/>
  <c r="GE507" i="65" s="1"/>
  <c r="FO514" i="65"/>
  <c r="GE514" i="65" s="1"/>
  <c r="FO492" i="65"/>
  <c r="GE492" i="65" s="1"/>
  <c r="FO484" i="65"/>
  <c r="GE484" i="65" s="1"/>
  <c r="FO491" i="65"/>
  <c r="GE491" i="65" s="1"/>
  <c r="FO493" i="65"/>
  <c r="GE493" i="65" s="1"/>
  <c r="FO490" i="65"/>
  <c r="GE490" i="65" s="1"/>
  <c r="HV296" i="65"/>
  <c r="HU296" i="65" s="1"/>
  <c r="FO511" i="65"/>
  <c r="GE511" i="65" s="1"/>
  <c r="FO488" i="65"/>
  <c r="GE488" i="65" s="1"/>
  <c r="FO500" i="65"/>
  <c r="GE500" i="65" s="1"/>
  <c r="HV295" i="65"/>
  <c r="HU295" i="65" s="1"/>
  <c r="FO517" i="65"/>
  <c r="GE517" i="65" s="1"/>
  <c r="FO502" i="65"/>
  <c r="GE502" i="65" s="1"/>
  <c r="FO485" i="65"/>
  <c r="GE485" i="65" s="1"/>
  <c r="FO509" i="65"/>
  <c r="GE509" i="65" s="1"/>
  <c r="FO487" i="65"/>
  <c r="GE487" i="65" s="1"/>
  <c r="FO515" i="65"/>
  <c r="GE515" i="65" s="1"/>
  <c r="FO510" i="65"/>
  <c r="GE510" i="65" s="1"/>
  <c r="FO499" i="65"/>
  <c r="GE499" i="65" s="1"/>
  <c r="FO516" i="65"/>
  <c r="GE516" i="65" s="1"/>
  <c r="FO494" i="65"/>
  <c r="GE494" i="65" s="1"/>
  <c r="FO503" i="65"/>
  <c r="GE503" i="65" s="1"/>
  <c r="FO512" i="65"/>
  <c r="GE512" i="65" s="1"/>
  <c r="HV43" i="65"/>
  <c r="HU43" i="65" s="1"/>
  <c r="HV31" i="65"/>
  <c r="HU31" i="65" s="1"/>
  <c r="HV32" i="65"/>
  <c r="HU32" i="65" s="1"/>
  <c r="HV44" i="65"/>
  <c r="HU44" i="65" s="1"/>
  <c r="II51" i="54"/>
  <c r="IT40" i="54"/>
  <c r="IS40" i="54"/>
  <c r="IR40" i="54"/>
  <c r="IN40" i="54"/>
  <c r="DO30" i="66"/>
  <c r="IN41" i="54"/>
  <c r="IM41" i="54"/>
  <c r="IS41" i="54"/>
  <c r="II49" i="54"/>
  <c r="IP49" i="54" s="1"/>
  <c r="IR41" i="54"/>
  <c r="IT41" i="54"/>
  <c r="IG50" i="54"/>
  <c r="IG47" i="54"/>
  <c r="IK46" i="54"/>
  <c r="DF330" i="54"/>
  <c r="DG330" i="54" s="1"/>
  <c r="IF48" i="54"/>
  <c r="IQ51" i="54"/>
  <c r="IQ53" i="54"/>
  <c r="IQ52" i="54"/>
  <c r="IQ55" i="54"/>
  <c r="IQ54" i="54"/>
  <c r="IF47" i="54"/>
  <c r="IM42" i="54"/>
  <c r="IT42" i="54"/>
  <c r="IL42" i="54"/>
  <c r="IR42" i="54"/>
  <c r="IS42" i="54"/>
  <c r="IN42" i="54"/>
  <c r="IK44" i="54"/>
  <c r="IK45" i="54"/>
  <c r="BD389" i="54"/>
  <c r="BH389" i="54" s="1"/>
  <c r="BD429" i="54"/>
  <c r="BE429" i="54" s="1"/>
  <c r="BD430" i="54"/>
  <c r="BG430" i="54" s="1"/>
  <c r="N11" i="67"/>
  <c r="R11" i="67" s="1"/>
  <c r="DK31" i="66"/>
  <c r="EI92" i="54"/>
  <c r="DK29" i="66"/>
  <c r="BD350" i="54"/>
  <c r="BE350" i="54" s="1"/>
  <c r="BD390" i="54"/>
  <c r="BE390" i="54" s="1"/>
  <c r="DI31" i="66"/>
  <c r="EI412" i="54"/>
  <c r="BD388" i="54"/>
  <c r="BE388" i="54" s="1"/>
  <c r="DO29" i="66"/>
  <c r="BD428" i="54"/>
  <c r="BG428" i="54" s="1"/>
  <c r="EJ312" i="54"/>
  <c r="EQ312" i="54"/>
  <c r="DF382" i="54"/>
  <c r="DG382" i="54" s="1"/>
  <c r="DF50" i="66"/>
  <c r="EM312" i="54"/>
  <c r="EK312" i="54"/>
  <c r="DF799" i="54"/>
  <c r="BL53" i="66"/>
  <c r="EL312" i="54"/>
  <c r="DF798" i="54"/>
  <c r="DG798" i="54" s="1"/>
  <c r="BY53" i="66"/>
  <c r="DF383" i="54"/>
  <c r="EA312" i="54"/>
  <c r="EF313" i="54" s="1"/>
  <c r="DI30" i="66"/>
  <c r="V11" i="67"/>
  <c r="EA52" i="54"/>
  <c r="ED53" i="54" s="1"/>
  <c r="DI29" i="66"/>
  <c r="EA152" i="54"/>
  <c r="EE153" i="54" s="1"/>
  <c r="BR53" i="66"/>
  <c r="BT53" i="66"/>
  <c r="AZ54" i="66" s="1"/>
  <c r="CF613" i="54" s="1"/>
  <c r="CH472" i="54"/>
  <c r="CH492" i="54"/>
  <c r="CH532" i="54"/>
  <c r="CJ472" i="54"/>
  <c r="CJ532" i="54"/>
  <c r="CJ492" i="54"/>
  <c r="DQ31" i="66"/>
  <c r="BN390" i="54"/>
  <c r="BN430" i="54"/>
  <c r="BN350" i="54"/>
  <c r="BF330" i="54"/>
  <c r="BG330" i="54"/>
  <c r="BE330" i="54"/>
  <c r="BH330" i="54"/>
  <c r="DQ29" i="66"/>
  <c r="BN388" i="54"/>
  <c r="BN348" i="54"/>
  <c r="BN428" i="54"/>
  <c r="DP29" i="66"/>
  <c r="DS29" i="66" s="1"/>
  <c r="BI388" i="54"/>
  <c r="BI348" i="54"/>
  <c r="BI428" i="54"/>
  <c r="BE328" i="54"/>
  <c r="BG328" i="54"/>
  <c r="BH328" i="54"/>
  <c r="BF328" i="54"/>
  <c r="DP50" i="66"/>
  <c r="BI409" i="54"/>
  <c r="DP49" i="66"/>
  <c r="DS49" i="66" s="1"/>
  <c r="BI408" i="54"/>
  <c r="BI328" i="54"/>
  <c r="DQ50" i="66"/>
  <c r="BN329" i="54"/>
  <c r="BN409" i="54"/>
  <c r="BF409" i="54"/>
  <c r="BE409" i="54"/>
  <c r="BG409" i="54"/>
  <c r="BH409" i="54"/>
  <c r="BH408" i="54"/>
  <c r="BE408" i="54"/>
  <c r="BF408" i="54"/>
  <c r="BG408" i="54"/>
  <c r="DQ30" i="66"/>
  <c r="BN349" i="54"/>
  <c r="BN429" i="54"/>
  <c r="BN389" i="54"/>
  <c r="DQ49" i="66"/>
  <c r="BN408" i="54"/>
  <c r="BN328" i="54"/>
  <c r="DQ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AU9" i="67"/>
  <c r="CH9" i="67"/>
  <c r="CK9" i="67" s="1"/>
  <c r="AX9" i="67"/>
  <c r="AW9" i="67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HY61" i="54" s="1"/>
  <c r="EA351" i="54"/>
  <c r="ED352" i="54" s="1"/>
  <c r="EA371" i="54"/>
  <c r="EA431" i="54"/>
  <c r="EF432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M30" i="66"/>
  <c r="BI489" i="54" s="1"/>
  <c r="EK71" i="54"/>
  <c r="DM31" i="66"/>
  <c r="BI490" i="54" s="1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EQ272" i="54"/>
  <c r="EN332" i="54"/>
  <c r="EQ332" i="54"/>
  <c r="EP332" i="54"/>
  <c r="ER332" i="54"/>
  <c r="EO332" i="54"/>
  <c r="EP272" i="54"/>
  <c r="DJ848" i="54"/>
  <c r="DJ849" i="54"/>
  <c r="ER272" i="54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T12" i="66"/>
  <c r="AZ13" i="66" s="1"/>
  <c r="BR12" i="66"/>
  <c r="BL12" i="66"/>
  <c r="DF640" i="54"/>
  <c r="DG640" i="54" s="1"/>
  <c r="DF1108" i="54"/>
  <c r="DG1108" i="54" s="1"/>
  <c r="DF744" i="54"/>
  <c r="HU54" i="54" s="1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DL10" i="66"/>
  <c r="BD469" i="54" s="1"/>
  <c r="DL9" i="66"/>
  <c r="BD468" i="54" s="1"/>
  <c r="DL11" i="66"/>
  <c r="BD470" i="54" s="1"/>
  <c r="ER233" i="54"/>
  <c r="CP8" i="66"/>
  <c r="CT8" i="66"/>
  <c r="DJ171" i="54"/>
  <c r="EN431" i="54"/>
  <c r="EP113" i="54"/>
  <c r="BL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EQ291" i="54"/>
  <c r="DM19" i="54"/>
  <c r="DI10" i="66"/>
  <c r="DI9" i="66"/>
  <c r="DI11" i="66"/>
  <c r="EO291" i="54"/>
  <c r="DJ742" i="54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R33" i="66"/>
  <c r="BY74" i="66"/>
  <c r="CI33" i="66" s="1"/>
  <c r="BL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EJ332" i="54"/>
  <c r="EJ152" i="54"/>
  <c r="EL332" i="54"/>
  <c r="EI172" i="54"/>
  <c r="EK332" i="54"/>
  <c r="EI132" i="54"/>
  <c r="EK132" i="54"/>
  <c r="EI272" i="54"/>
  <c r="EM132" i="54"/>
  <c r="BY33" i="66"/>
  <c r="BY12" i="66"/>
  <c r="BT74" i="66"/>
  <c r="AZ75" i="66" s="1"/>
  <c r="BT33" i="66"/>
  <c r="BB367" i="54" l="1"/>
  <c r="AZ367" i="54"/>
  <c r="BA367" i="54"/>
  <c r="BC367" i="54"/>
  <c r="AY368" i="54"/>
  <c r="AY468" i="54"/>
  <c r="BB467" i="54"/>
  <c r="BC467" i="54"/>
  <c r="BA467" i="54"/>
  <c r="AZ467" i="54"/>
  <c r="FM571" i="54"/>
  <c r="FN571" i="54"/>
  <c r="FO571" i="54"/>
  <c r="FQ571" i="54"/>
  <c r="FP571" i="54"/>
  <c r="EB571" i="54"/>
  <c r="EM572" i="54" s="1"/>
  <c r="DI1473" i="54"/>
  <c r="DI1472" i="54"/>
  <c r="DJ1472" i="54" s="1"/>
  <c r="EL572" i="54"/>
  <c r="EI572" i="54"/>
  <c r="EK572" i="54"/>
  <c r="CF452" i="54"/>
  <c r="CF572" i="54"/>
  <c r="EJ572" i="54"/>
  <c r="DL1473" i="54"/>
  <c r="DM1473" i="54" s="1"/>
  <c r="DL1472" i="54"/>
  <c r="DM1472" i="54" s="1"/>
  <c r="FS571" i="54"/>
  <c r="FR571" i="54"/>
  <c r="FV571" i="54"/>
  <c r="FT571" i="54"/>
  <c r="FU571" i="54"/>
  <c r="EC571" i="54"/>
  <c r="EP572" i="54" s="1"/>
  <c r="BI329" i="54"/>
  <c r="BM329" i="54" s="1"/>
  <c r="BI509" i="54"/>
  <c r="AP529" i="54"/>
  <c r="DF71" i="66"/>
  <c r="AO530" i="54" s="1"/>
  <c r="AQ530" i="54" s="1"/>
  <c r="BI410" i="54"/>
  <c r="BM410" i="54" s="1"/>
  <c r="DR70" i="66"/>
  <c r="BI330" i="54"/>
  <c r="BK330" i="54" s="1"/>
  <c r="BI529" i="54"/>
  <c r="BK529" i="54" s="1"/>
  <c r="BI528" i="54"/>
  <c r="BK528" i="54" s="1"/>
  <c r="AQ529" i="54"/>
  <c r="BI450" i="54"/>
  <c r="BL450" i="54" s="1"/>
  <c r="DH50" i="66"/>
  <c r="AY409" i="54" s="1"/>
  <c r="DP51" i="66"/>
  <c r="AS529" i="54"/>
  <c r="DG1579" i="54"/>
  <c r="DG1633" i="54"/>
  <c r="DG1634" i="54"/>
  <c r="EG613" i="54"/>
  <c r="CF514" i="54"/>
  <c r="CF634" i="54"/>
  <c r="FO633" i="54"/>
  <c r="FQ633" i="54"/>
  <c r="FM633" i="54"/>
  <c r="FP633" i="54"/>
  <c r="FN633" i="54"/>
  <c r="EB633" i="54"/>
  <c r="EM634" i="54" s="1"/>
  <c r="DI1633" i="54"/>
  <c r="DI1632" i="54"/>
  <c r="DJ1632" i="54" s="1"/>
  <c r="DI1634" i="54"/>
  <c r="DL1633" i="54"/>
  <c r="DL1632" i="54"/>
  <c r="DM1632" i="54" s="1"/>
  <c r="DL1634" i="54"/>
  <c r="FV633" i="54"/>
  <c r="FR633" i="54"/>
  <c r="FU633" i="54"/>
  <c r="FS633" i="54"/>
  <c r="FT633" i="54"/>
  <c r="EC633" i="54"/>
  <c r="ED634" i="54"/>
  <c r="EF634" i="54"/>
  <c r="EG634" i="54"/>
  <c r="FM612" i="54"/>
  <c r="FO612" i="54"/>
  <c r="FQ612" i="54"/>
  <c r="EB612" i="54"/>
  <c r="EM613" i="54" s="1"/>
  <c r="FP612" i="54"/>
  <c r="FN612" i="54"/>
  <c r="EF613" i="54"/>
  <c r="EH613" i="54"/>
  <c r="DI1579" i="54"/>
  <c r="DI1578" i="54"/>
  <c r="DJ1578" i="54" s="1"/>
  <c r="FR612" i="54"/>
  <c r="FU612" i="54"/>
  <c r="FV612" i="54"/>
  <c r="EC612" i="54"/>
  <c r="FS612" i="54"/>
  <c r="FT612" i="54"/>
  <c r="DL1578" i="54"/>
  <c r="DM1578" i="54" s="1"/>
  <c r="DL1579" i="54"/>
  <c r="EE613" i="54"/>
  <c r="EI613" i="54"/>
  <c r="IG53" i="54"/>
  <c r="BG349" i="54"/>
  <c r="BH349" i="54"/>
  <c r="DG70" i="66"/>
  <c r="AT529" i="54" s="1"/>
  <c r="AV529" i="54" s="1"/>
  <c r="BE349" i="54"/>
  <c r="DG1527" i="54"/>
  <c r="EH133" i="54"/>
  <c r="BG348" i="54"/>
  <c r="EE133" i="54"/>
  <c r="BF348" i="54"/>
  <c r="EF133" i="54"/>
  <c r="BE348" i="54"/>
  <c r="ED133" i="54"/>
  <c r="DH70" i="66"/>
  <c r="AY529" i="54" s="1"/>
  <c r="AZ529" i="54" s="1"/>
  <c r="FM592" i="54"/>
  <c r="FP592" i="54"/>
  <c r="FN592" i="54"/>
  <c r="FQ592" i="54"/>
  <c r="FO592" i="54"/>
  <c r="EB592" i="54"/>
  <c r="EL593" i="54" s="1"/>
  <c r="BG470" i="54"/>
  <c r="BH470" i="54"/>
  <c r="BE470" i="54"/>
  <c r="BF470" i="54"/>
  <c r="FS592" i="54"/>
  <c r="FR592" i="54"/>
  <c r="FT592" i="54"/>
  <c r="FU592" i="54"/>
  <c r="FV592" i="54"/>
  <c r="EC592" i="54"/>
  <c r="DI1527" i="54"/>
  <c r="DI1526" i="54"/>
  <c r="DJ1526" i="54" s="1"/>
  <c r="BG468" i="54"/>
  <c r="BE468" i="54"/>
  <c r="BF468" i="54"/>
  <c r="BH468" i="54"/>
  <c r="BJ490" i="54"/>
  <c r="BK490" i="54"/>
  <c r="BL490" i="54"/>
  <c r="BM490" i="54"/>
  <c r="BK530" i="54"/>
  <c r="BL530" i="54"/>
  <c r="BM530" i="54"/>
  <c r="BJ530" i="54"/>
  <c r="BQ510" i="54"/>
  <c r="BO510" i="54"/>
  <c r="BP510" i="54"/>
  <c r="BR510" i="54"/>
  <c r="BM508" i="54"/>
  <c r="BK508" i="54"/>
  <c r="BL508" i="54"/>
  <c r="BJ508" i="54"/>
  <c r="BO450" i="54"/>
  <c r="BQ450" i="54"/>
  <c r="BP450" i="54"/>
  <c r="BR450" i="54"/>
  <c r="BF488" i="54"/>
  <c r="BG488" i="54"/>
  <c r="BE488" i="54"/>
  <c r="BH488" i="54"/>
  <c r="BR449" i="54"/>
  <c r="BP449" i="54"/>
  <c r="BO449" i="54"/>
  <c r="BQ449" i="54"/>
  <c r="EF593" i="54"/>
  <c r="EH593" i="54"/>
  <c r="EG593" i="54"/>
  <c r="ED593" i="54"/>
  <c r="EE593" i="54"/>
  <c r="BF469" i="54"/>
  <c r="BG469" i="54"/>
  <c r="BH469" i="54"/>
  <c r="BE469" i="54"/>
  <c r="DL1527" i="54"/>
  <c r="DL1526" i="54"/>
  <c r="DM1526" i="54" s="1"/>
  <c r="BK489" i="54"/>
  <c r="BL489" i="54"/>
  <c r="BJ489" i="54"/>
  <c r="BM489" i="54"/>
  <c r="BO528" i="54"/>
  <c r="BR528" i="54"/>
  <c r="BQ528" i="54"/>
  <c r="BP528" i="54"/>
  <c r="BO530" i="54"/>
  <c r="BR530" i="54"/>
  <c r="BQ530" i="54"/>
  <c r="BP530" i="54"/>
  <c r="BJ449" i="54"/>
  <c r="BK449" i="54"/>
  <c r="BL449" i="54"/>
  <c r="BM449" i="54"/>
  <c r="BF490" i="54"/>
  <c r="BG490" i="54"/>
  <c r="BH490" i="54"/>
  <c r="BE490" i="54"/>
  <c r="BQ448" i="54"/>
  <c r="BO448" i="54"/>
  <c r="BP448" i="54"/>
  <c r="BR448" i="54"/>
  <c r="BQ509" i="54"/>
  <c r="BO509" i="54"/>
  <c r="BR509" i="54"/>
  <c r="BP509" i="54"/>
  <c r="BL510" i="54"/>
  <c r="BJ510" i="54"/>
  <c r="BM510" i="54"/>
  <c r="BK510" i="54"/>
  <c r="BK509" i="54"/>
  <c r="BL509" i="54"/>
  <c r="BJ509" i="54"/>
  <c r="BM509" i="54"/>
  <c r="BQ508" i="54"/>
  <c r="BP508" i="54"/>
  <c r="BO508" i="54"/>
  <c r="BR508" i="54"/>
  <c r="BE489" i="54"/>
  <c r="BH489" i="54"/>
  <c r="BF489" i="54"/>
  <c r="BG489" i="54"/>
  <c r="BR529" i="54"/>
  <c r="BQ529" i="54"/>
  <c r="BO529" i="54"/>
  <c r="BP529" i="54"/>
  <c r="BK448" i="54"/>
  <c r="BL448" i="54"/>
  <c r="BJ448" i="54"/>
  <c r="BM448" i="54"/>
  <c r="AO329" i="54"/>
  <c r="AS329" i="54" s="1"/>
  <c r="AO509" i="54"/>
  <c r="AO449" i="54"/>
  <c r="IP50" i="54"/>
  <c r="IK48" i="54"/>
  <c r="IR48" i="54" s="1"/>
  <c r="HR49" i="54"/>
  <c r="IF49" i="54" s="1"/>
  <c r="IK49" i="54" s="1"/>
  <c r="IL49" i="54" s="1"/>
  <c r="HR50" i="54"/>
  <c r="IF50" i="54" s="1"/>
  <c r="IK50" i="54" s="1"/>
  <c r="IR50" i="54" s="1"/>
  <c r="HR53" i="54"/>
  <c r="HR51" i="54"/>
  <c r="IF51" i="54" s="1"/>
  <c r="IK51" i="54" s="1"/>
  <c r="IR51" i="54" s="1"/>
  <c r="HR52" i="54"/>
  <c r="IK47" i="54"/>
  <c r="IM47" i="54" s="1"/>
  <c r="HI54" i="54"/>
  <c r="HO54" i="54" s="1"/>
  <c r="HI56" i="54"/>
  <c r="HO56" i="54" s="1"/>
  <c r="HI55" i="54"/>
  <c r="HO55" i="54" s="1"/>
  <c r="HI52" i="54"/>
  <c r="HO52" i="54" s="1"/>
  <c r="HI53" i="54"/>
  <c r="HO53" i="54" s="1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L1321" i="54"/>
  <c r="DL1320" i="54"/>
  <c r="DM1320" i="54" s="1"/>
  <c r="DI1322" i="54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EM53" i="54" s="1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T11" i="67" s="1"/>
  <c r="DL1422" i="54"/>
  <c r="DL1423" i="54"/>
  <c r="DI798" i="54"/>
  <c r="DJ798" i="54" s="1"/>
  <c r="DI1423" i="54"/>
  <c r="DI1422" i="54"/>
  <c r="DL1160" i="54"/>
  <c r="DL1161" i="54"/>
  <c r="DG331" i="54"/>
  <c r="BF430" i="54"/>
  <c r="IP52" i="54"/>
  <c r="IP51" i="54"/>
  <c r="IP53" i="54"/>
  <c r="IG52" i="54"/>
  <c r="IJ56" i="54"/>
  <c r="IQ56" i="54" s="1"/>
  <c r="IR46" i="54"/>
  <c r="IT46" i="54"/>
  <c r="IM46" i="54"/>
  <c r="IS46" i="54"/>
  <c r="IL46" i="54"/>
  <c r="IN46" i="54"/>
  <c r="DG744" i="54"/>
  <c r="ED292" i="54"/>
  <c r="IE52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E53" i="54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T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F30" i="66"/>
  <c r="BV53" i="66"/>
  <c r="BB54" i="66" s="1"/>
  <c r="CJ613" i="54" s="1"/>
  <c r="DR29" i="66"/>
  <c r="DL330" i="54"/>
  <c r="DM330" i="54" s="1"/>
  <c r="X11" i="67"/>
  <c r="DF51" i="66"/>
  <c r="CA53" i="66"/>
  <c r="EC152" i="54"/>
  <c r="EN153" i="54" s="1"/>
  <c r="DR50" i="66"/>
  <c r="DL331" i="54"/>
  <c r="EC132" i="54"/>
  <c r="EO133" i="54" s="1"/>
  <c r="DL382" i="54"/>
  <c r="AO409" i="54"/>
  <c r="AQ409" i="54" s="1"/>
  <c r="DH30" i="66"/>
  <c r="CF153" i="54"/>
  <c r="DG799" i="54"/>
  <c r="DG383" i="54"/>
  <c r="BQ54" i="66"/>
  <c r="CF133" i="54"/>
  <c r="EG313" i="54"/>
  <c r="BK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BU53" i="66"/>
  <c r="BA54" i="66" s="1"/>
  <c r="CH613" i="54" s="1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G30" i="66"/>
  <c r="DG50" i="66"/>
  <c r="DT49" i="66"/>
  <c r="DO10" i="66"/>
  <c r="BD36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P30" i="66"/>
  <c r="BI389" i="54"/>
  <c r="BI349" i="54"/>
  <c r="BI4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Q430" i="54"/>
  <c r="BO430" i="54"/>
  <c r="BP430" i="54"/>
  <c r="BR430" i="54"/>
  <c r="DO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Q390" i="54"/>
  <c r="BP390" i="54"/>
  <c r="BO390" i="54"/>
  <c r="BR390" i="54"/>
  <c r="DO9" i="66"/>
  <c r="DR9" i="66" s="1"/>
  <c r="BD368" i="54"/>
  <c r="DP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L329" i="54"/>
  <c r="BK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G273" i="54"/>
  <c r="BQ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V12" i="66"/>
  <c r="BB13" i="66" s="1"/>
  <c r="EC251" i="54"/>
  <c r="EP252" i="54" s="1"/>
  <c r="EC351" i="54"/>
  <c r="EC71" i="54"/>
  <c r="EQ72" i="54" s="1"/>
  <c r="EC291" i="54"/>
  <c r="EN292" i="54" s="1"/>
  <c r="EC371" i="54"/>
  <c r="EQ372" i="54" s="1"/>
  <c r="EC431" i="54"/>
  <c r="ER432" i="54" s="1"/>
  <c r="BS11" i="67"/>
  <c r="BX11" i="67" s="1"/>
  <c r="CI11" i="67" s="1"/>
  <c r="HP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U74" i="66"/>
  <c r="BA75" i="66" s="1"/>
  <c r="DG123" i="54"/>
  <c r="DI694" i="54"/>
  <c r="DI851" i="54"/>
  <c r="DI695" i="54"/>
  <c r="DI434" i="54"/>
  <c r="DI435" i="54"/>
  <c r="DI850" i="54"/>
  <c r="EH333" i="54"/>
  <c r="EE53" i="54"/>
  <c r="AZ34" i="66"/>
  <c r="CF593" i="54" s="1"/>
  <c r="BV33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K9" i="66"/>
  <c r="DK11" i="66"/>
  <c r="DK10" i="66"/>
  <c r="DJ9" i="66"/>
  <c r="DJ11" i="66"/>
  <c r="DJ10" i="66"/>
  <c r="DN9" i="66"/>
  <c r="BN468" i="54" s="1"/>
  <c r="DN11" i="66"/>
  <c r="BN470" i="54" s="1"/>
  <c r="DN10" i="66"/>
  <c r="BN469" i="54" s="1"/>
  <c r="BR13" i="66"/>
  <c r="EH114" i="54"/>
  <c r="ED14" i="54"/>
  <c r="DG21" i="54"/>
  <c r="DM173" i="54"/>
  <c r="DM172" i="54"/>
  <c r="DM640" i="54"/>
  <c r="DM641" i="54"/>
  <c r="CA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K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Z74" i="66"/>
  <c r="CJ33" i="66" s="1"/>
  <c r="DM952" i="54"/>
  <c r="DI640" i="54"/>
  <c r="DJ640" i="54" s="1"/>
  <c r="DI1108" i="54"/>
  <c r="DJ1108" i="54" s="1"/>
  <c r="DI744" i="54"/>
  <c r="HV54" i="54" s="1"/>
  <c r="DI172" i="54"/>
  <c r="DJ172" i="54" s="1"/>
  <c r="DI900" i="54"/>
  <c r="DJ900" i="54" s="1"/>
  <c r="DI745" i="54"/>
  <c r="DI901" i="54"/>
  <c r="DI173" i="54"/>
  <c r="DI1109" i="54"/>
  <c r="DI953" i="54"/>
  <c r="DI641" i="54"/>
  <c r="DI952" i="54"/>
  <c r="DJ952" i="54" s="1"/>
  <c r="BU12" i="66"/>
  <c r="BA13" i="66" s="1"/>
  <c r="BZ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S33" i="66"/>
  <c r="CO33" i="66"/>
  <c r="DM744" i="54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Z33" i="66"/>
  <c r="BU33" i="66"/>
  <c r="BA34" i="66" s="1"/>
  <c r="CH593" i="54" s="1"/>
  <c r="DM10" i="66"/>
  <c r="BI469" i="54" s="1"/>
  <c r="DM9" i="66"/>
  <c r="BI468" i="54" s="1"/>
  <c r="DM11" i="66"/>
  <c r="BI470" i="54" s="1"/>
  <c r="DG1109" i="54"/>
  <c r="EE72" i="54"/>
  <c r="EG72" i="54"/>
  <c r="BZ53" i="66"/>
  <c r="BV74" i="66"/>
  <c r="BB75" i="66" s="1"/>
  <c r="CA74" i="66"/>
  <c r="CK33" i="66" s="1"/>
  <c r="CA12" i="66"/>
  <c r="BK75" i="66"/>
  <c r="BQ75" i="66"/>
  <c r="CQ33" i="66" l="1"/>
  <c r="CU33" i="66"/>
  <c r="BB468" i="54"/>
  <c r="AZ468" i="54"/>
  <c r="BA468" i="54"/>
  <c r="BC468" i="54"/>
  <c r="BB368" i="54"/>
  <c r="BA368" i="54"/>
  <c r="AZ368" i="54"/>
  <c r="BC368" i="54"/>
  <c r="FJ572" i="54"/>
  <c r="FI572" i="54"/>
  <c r="FH572" i="54"/>
  <c r="FL572" i="54"/>
  <c r="FK572" i="54"/>
  <c r="EA572" i="54"/>
  <c r="BJ329" i="54"/>
  <c r="DJ1473" i="54"/>
  <c r="CH452" i="54"/>
  <c r="CH572" i="54"/>
  <c r="DF1474" i="54"/>
  <c r="DG1474" i="54" s="1"/>
  <c r="DF1475" i="54"/>
  <c r="DG1475" i="54" s="1"/>
  <c r="FO572" i="54"/>
  <c r="FP572" i="54"/>
  <c r="FQ572" i="54"/>
  <c r="FM572" i="54"/>
  <c r="FN572" i="54"/>
  <c r="EB572" i="54"/>
  <c r="EK573" i="54" s="1"/>
  <c r="EO572" i="54"/>
  <c r="ER572" i="54"/>
  <c r="EN572" i="54"/>
  <c r="EQ572" i="54"/>
  <c r="FS572" i="54"/>
  <c r="FR572" i="54"/>
  <c r="FT572" i="54"/>
  <c r="FV572" i="54"/>
  <c r="FU572" i="54"/>
  <c r="EC572" i="54"/>
  <c r="EP573" i="54" s="1"/>
  <c r="CJ452" i="54"/>
  <c r="CJ572" i="54"/>
  <c r="DF72" i="66"/>
  <c r="AO531" i="54" s="1"/>
  <c r="AP531" i="54" s="1"/>
  <c r="AY329" i="54"/>
  <c r="AZ329" i="54" s="1"/>
  <c r="AP530" i="54"/>
  <c r="BL528" i="54"/>
  <c r="BK450" i="54"/>
  <c r="BJ410" i="54"/>
  <c r="AR530" i="54"/>
  <c r="BL529" i="54"/>
  <c r="AY449" i="54"/>
  <c r="BB449" i="54" s="1"/>
  <c r="DH51" i="66"/>
  <c r="AY330" i="54" s="1"/>
  <c r="AS530" i="54"/>
  <c r="BJ529" i="54"/>
  <c r="AY509" i="54"/>
  <c r="BC509" i="54" s="1"/>
  <c r="BM529" i="54"/>
  <c r="DR71" i="66"/>
  <c r="DT50" i="66"/>
  <c r="BM330" i="54"/>
  <c r="BL410" i="54"/>
  <c r="BJ528" i="54"/>
  <c r="BK410" i="54"/>
  <c r="BM528" i="54"/>
  <c r="BL330" i="54"/>
  <c r="BJ330" i="54"/>
  <c r="BJ450" i="54"/>
  <c r="BM450" i="54"/>
  <c r="DJ1579" i="54"/>
  <c r="EL634" i="54"/>
  <c r="EK634" i="54"/>
  <c r="BW53" i="66"/>
  <c r="DJ1633" i="54"/>
  <c r="DJ1634" i="54"/>
  <c r="DM1634" i="54"/>
  <c r="EJ634" i="54"/>
  <c r="CH514" i="54"/>
  <c r="CH634" i="54"/>
  <c r="ER634" i="54"/>
  <c r="EN634" i="54"/>
  <c r="EP634" i="54"/>
  <c r="EQ634" i="54"/>
  <c r="CJ514" i="54"/>
  <c r="CJ634" i="54"/>
  <c r="EI634" i="54"/>
  <c r="FL634" i="54"/>
  <c r="FH634" i="54"/>
  <c r="FK634" i="54"/>
  <c r="FJ634" i="54"/>
  <c r="FI634" i="54"/>
  <c r="EA634" i="54"/>
  <c r="DF1637" i="54"/>
  <c r="DF1636" i="54"/>
  <c r="DF1635" i="54"/>
  <c r="DG1635" i="54" s="1"/>
  <c r="ED635" i="54"/>
  <c r="DM1633" i="54"/>
  <c r="EO634" i="54"/>
  <c r="FK613" i="54"/>
  <c r="FJ613" i="54"/>
  <c r="FH613" i="54"/>
  <c r="FL613" i="54"/>
  <c r="FI613" i="54"/>
  <c r="EA613" i="54"/>
  <c r="EH614" i="54" s="1"/>
  <c r="EJ613" i="54"/>
  <c r="EK613" i="54"/>
  <c r="EL613" i="54"/>
  <c r="DF1582" i="54"/>
  <c r="DF1580" i="54"/>
  <c r="DG1580" i="54" s="1"/>
  <c r="DF1581" i="54"/>
  <c r="DJ1527" i="54"/>
  <c r="EE614" i="54"/>
  <c r="DM1579" i="54"/>
  <c r="EN613" i="54"/>
  <c r="ER613" i="54"/>
  <c r="EP613" i="54"/>
  <c r="EO613" i="54"/>
  <c r="EQ613" i="54"/>
  <c r="DS70" i="66"/>
  <c r="DG71" i="66"/>
  <c r="AT530" i="54" s="1"/>
  <c r="AU530" i="54" s="1"/>
  <c r="AP329" i="54"/>
  <c r="IM48" i="54"/>
  <c r="AQ329" i="54"/>
  <c r="IT48" i="54"/>
  <c r="IN48" i="54"/>
  <c r="AR329" i="54"/>
  <c r="IL48" i="54"/>
  <c r="IS48" i="54"/>
  <c r="AU529" i="54"/>
  <c r="AW529" i="54"/>
  <c r="DT70" i="66"/>
  <c r="DH71" i="66"/>
  <c r="AY530" i="54" s="1"/>
  <c r="BB530" i="54" s="1"/>
  <c r="AX529" i="54"/>
  <c r="BA529" i="54"/>
  <c r="BB529" i="54"/>
  <c r="BC529" i="54"/>
  <c r="DJ799" i="54"/>
  <c r="EM593" i="54"/>
  <c r="IF52" i="54"/>
  <c r="IK52" i="54" s="1"/>
  <c r="IS52" i="54" s="1"/>
  <c r="EI593" i="54"/>
  <c r="DM1527" i="54"/>
  <c r="EJ593" i="54"/>
  <c r="DM1322" i="54"/>
  <c r="EK593" i="54"/>
  <c r="AT409" i="54"/>
  <c r="AV409" i="54" s="1"/>
  <c r="AT509" i="54"/>
  <c r="AT449" i="54"/>
  <c r="AY429" i="54"/>
  <c r="BB429" i="54" s="1"/>
  <c r="AY489" i="54"/>
  <c r="DJ1322" i="54"/>
  <c r="EN593" i="54"/>
  <c r="EQ593" i="54"/>
  <c r="ER593" i="54"/>
  <c r="EO593" i="54"/>
  <c r="EP593" i="54"/>
  <c r="BR469" i="54"/>
  <c r="BO469" i="54"/>
  <c r="BQ469" i="54"/>
  <c r="BP469" i="54"/>
  <c r="AT349" i="54"/>
  <c r="AV349" i="54" s="1"/>
  <c r="AT489" i="54"/>
  <c r="BL468" i="54"/>
  <c r="BM468" i="54"/>
  <c r="BJ468" i="54"/>
  <c r="BK468" i="54"/>
  <c r="BO470" i="54"/>
  <c r="BQ470" i="54"/>
  <c r="BR470" i="54"/>
  <c r="BP470" i="54"/>
  <c r="BK470" i="54"/>
  <c r="BL470" i="54"/>
  <c r="BM470" i="54"/>
  <c r="BJ470" i="54"/>
  <c r="BJ469" i="54"/>
  <c r="BK469" i="54"/>
  <c r="BM469" i="54"/>
  <c r="BL469" i="54"/>
  <c r="BO468" i="54"/>
  <c r="BR468" i="54"/>
  <c r="BP468" i="54"/>
  <c r="BQ468" i="54"/>
  <c r="AS531" i="54"/>
  <c r="AP509" i="54"/>
  <c r="AQ509" i="54"/>
  <c r="AR509" i="54"/>
  <c r="AS509" i="54"/>
  <c r="AQ449" i="54"/>
  <c r="AP449" i="54"/>
  <c r="AS449" i="54"/>
  <c r="AR449" i="54"/>
  <c r="AO330" i="54"/>
  <c r="AQ330" i="54" s="1"/>
  <c r="AO510" i="54"/>
  <c r="AO450" i="54"/>
  <c r="IN47" i="54"/>
  <c r="IR47" i="54"/>
  <c r="IL47" i="54"/>
  <c r="IS47" i="54"/>
  <c r="IT47" i="54"/>
  <c r="AO429" i="54"/>
  <c r="AR429" i="54" s="1"/>
  <c r="AO489" i="54"/>
  <c r="EO313" i="54"/>
  <c r="EP313" i="54"/>
  <c r="HS55" i="54"/>
  <c r="IG55" i="54" s="1"/>
  <c r="HS54" i="54"/>
  <c r="IG54" i="54" s="1"/>
  <c r="HV56" i="54"/>
  <c r="II56" i="54" s="1"/>
  <c r="HQ57" i="54"/>
  <c r="HQ56" i="54"/>
  <c r="IE56" i="54" s="1"/>
  <c r="HQ58" i="54"/>
  <c r="HJ60" i="54"/>
  <c r="HP60" i="54" s="1"/>
  <c r="HJ61" i="54"/>
  <c r="HJ58" i="54"/>
  <c r="HP58" i="54" s="1"/>
  <c r="HJ59" i="54"/>
  <c r="HP59" i="54" s="1"/>
  <c r="HJ57" i="54"/>
  <c r="HP57" i="54" s="1"/>
  <c r="HH60" i="54"/>
  <c r="HN60" i="54" s="1"/>
  <c r="HH59" i="54"/>
  <c r="HN59" i="54" s="1"/>
  <c r="HH58" i="54"/>
  <c r="HN58" i="54" s="1"/>
  <c r="HH57" i="54"/>
  <c r="HN57" i="54" s="1"/>
  <c r="HH61" i="54"/>
  <c r="HN61" i="54" s="1"/>
  <c r="HS56" i="54"/>
  <c r="IG56" i="54" s="1"/>
  <c r="HS57" i="54"/>
  <c r="HS58" i="54"/>
  <c r="HQ55" i="54"/>
  <c r="IE55" i="54" s="1"/>
  <c r="HQ54" i="54"/>
  <c r="IE54" i="54" s="1"/>
  <c r="HZ61" i="54"/>
  <c r="IA61" i="54" s="1"/>
  <c r="ER313" i="54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G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G13" i="65" s="1"/>
  <c r="BY23" i="65"/>
  <c r="CC23" i="65" s="1"/>
  <c r="HG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G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Y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ED373" i="54" s="1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X12" i="67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T30" i="66"/>
  <c r="IQ58" i="54"/>
  <c r="DM1007" i="54"/>
  <c r="IL50" i="54"/>
  <c r="IN49" i="54"/>
  <c r="IT49" i="54"/>
  <c r="IT50" i="54"/>
  <c r="IS49" i="54"/>
  <c r="IM50" i="54"/>
  <c r="DJ744" i="54"/>
  <c r="IN50" i="54"/>
  <c r="IS50" i="54"/>
  <c r="II54" i="54"/>
  <c r="DH31" i="66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DF52" i="66"/>
  <c r="DR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DR30" i="66"/>
  <c r="DF31" i="66"/>
  <c r="DF32" i="66" s="1"/>
  <c r="EQ153" i="54"/>
  <c r="AO349" i="54"/>
  <c r="AR349" i="54" s="1"/>
  <c r="AP409" i="54"/>
  <c r="AR409" i="54"/>
  <c r="AS409" i="54"/>
  <c r="EA133" i="54"/>
  <c r="EG134" i="54" s="1"/>
  <c r="BR54" i="66"/>
  <c r="EA153" i="54"/>
  <c r="EG154" i="54" s="1"/>
  <c r="BY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L54" i="66"/>
  <c r="DF334" i="54"/>
  <c r="BT54" i="66"/>
  <c r="AZ55" i="66" s="1"/>
  <c r="CF614" i="54" s="1"/>
  <c r="DF800" i="54"/>
  <c r="DF802" i="54"/>
  <c r="DF801" i="54"/>
  <c r="Y11" i="67"/>
  <c r="EM313" i="54"/>
  <c r="DM799" i="54"/>
  <c r="DM798" i="54"/>
  <c r="EI313" i="54"/>
  <c r="EJ313" i="54"/>
  <c r="DF10" i="66"/>
  <c r="DS50" i="66"/>
  <c r="DG51" i="66"/>
  <c r="AT329" i="54"/>
  <c r="AX329" i="54" s="1"/>
  <c r="AT389" i="54"/>
  <c r="AX389" i="54" s="1"/>
  <c r="AT429" i="54"/>
  <c r="AW429" i="54" s="1"/>
  <c r="DG31" i="66"/>
  <c r="DS30" i="66"/>
  <c r="CH533" i="54"/>
  <c r="CH473" i="54"/>
  <c r="CH493" i="54"/>
  <c r="CF533" i="54"/>
  <c r="CF473" i="54"/>
  <c r="CF493" i="54"/>
  <c r="DQ10" i="66"/>
  <c r="BN369" i="54"/>
  <c r="BK390" i="54"/>
  <c r="BM390" i="54"/>
  <c r="BL390" i="54"/>
  <c r="BJ390" i="54"/>
  <c r="DP10" i="66"/>
  <c r="BI369" i="54"/>
  <c r="DP11" i="66"/>
  <c r="BI370" i="54"/>
  <c r="DQ11" i="66"/>
  <c r="BN37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P9" i="66"/>
  <c r="DG10" i="66" s="1"/>
  <c r="BI368" i="54"/>
  <c r="DQ9" i="66"/>
  <c r="DH10" i="66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CH10" i="67"/>
  <c r="CK10" i="67" s="1"/>
  <c r="AY10" i="67"/>
  <c r="AU10" i="67"/>
  <c r="AV10" i="67"/>
  <c r="EO33" i="54"/>
  <c r="DM227" i="54"/>
  <c r="DM1059" i="54"/>
  <c r="DM71" i="54"/>
  <c r="U11" i="67"/>
  <c r="EA72" i="54"/>
  <c r="EG73" i="54" s="1"/>
  <c r="ER33" i="54"/>
  <c r="EP33" i="54"/>
  <c r="EQ33" i="54"/>
  <c r="EA432" i="54"/>
  <c r="EF433" i="54" s="1"/>
  <c r="EA352" i="54"/>
  <c r="EA292" i="54"/>
  <c r="HY69" i="54" s="1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Q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T13" i="66"/>
  <c r="AZ14" i="66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K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B34" i="66"/>
  <c r="CJ593" i="54" s="1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L13" i="66"/>
  <c r="DF955" i="54"/>
  <c r="DF903" i="54"/>
  <c r="DF643" i="54"/>
  <c r="DF746" i="54"/>
  <c r="HU59" i="54" s="1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L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T33" i="66"/>
  <c r="CP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Y75" i="66"/>
  <c r="BT75" i="66"/>
  <c r="AZ76" i="66" s="1"/>
  <c r="HR6" i="65"/>
  <c r="EL573" i="54" l="1"/>
  <c r="EH573" i="54"/>
  <c r="ED573" i="54"/>
  <c r="EF573" i="54"/>
  <c r="EG573" i="54"/>
  <c r="EE573" i="54"/>
  <c r="EI573" i="54"/>
  <c r="DI1475" i="54"/>
  <c r="DJ1475" i="54" s="1"/>
  <c r="DI1474" i="54"/>
  <c r="DJ1474" i="54" s="1"/>
  <c r="CF453" i="54"/>
  <c r="CF573" i="54"/>
  <c r="EM573" i="54"/>
  <c r="EJ573" i="54"/>
  <c r="EQ573" i="54"/>
  <c r="DL1474" i="54"/>
  <c r="DM1474" i="54" s="1"/>
  <c r="DL1475" i="54"/>
  <c r="DM1475" i="54" s="1"/>
  <c r="EN573" i="54"/>
  <c r="ER573" i="54"/>
  <c r="EO573" i="54"/>
  <c r="AR531" i="54"/>
  <c r="AQ531" i="54"/>
  <c r="DH52" i="66"/>
  <c r="AY450" i="54"/>
  <c r="AZ450" i="54" s="1"/>
  <c r="BB509" i="54"/>
  <c r="BA449" i="54"/>
  <c r="BA509" i="54"/>
  <c r="AZ449" i="54"/>
  <c r="AZ509" i="54"/>
  <c r="BC449" i="54"/>
  <c r="AX530" i="54"/>
  <c r="DG1636" i="54"/>
  <c r="DT51" i="66"/>
  <c r="AY410" i="54"/>
  <c r="AZ410" i="54" s="1"/>
  <c r="AY510" i="54"/>
  <c r="BC510" i="54" s="1"/>
  <c r="EF614" i="54"/>
  <c r="EC153" i="54"/>
  <c r="EN154" i="54" s="1"/>
  <c r="DG72" i="66"/>
  <c r="AT531" i="54" s="1"/>
  <c r="AW531" i="54" s="1"/>
  <c r="DH72" i="66"/>
  <c r="AY531" i="54" s="1"/>
  <c r="BC531" i="54" s="1"/>
  <c r="DG1637" i="54"/>
  <c r="DS71" i="66"/>
  <c r="EC313" i="54"/>
  <c r="EQ314" i="54" s="1"/>
  <c r="DG1581" i="54"/>
  <c r="DG1582" i="54"/>
  <c r="BC530" i="54"/>
  <c r="EH635" i="54"/>
  <c r="EE635" i="54"/>
  <c r="DI1637" i="54"/>
  <c r="DI1636" i="54"/>
  <c r="DI1635" i="54"/>
  <c r="DJ1635" i="54" s="1"/>
  <c r="FN634" i="54"/>
  <c r="FQ634" i="54"/>
  <c r="FM634" i="54"/>
  <c r="FP634" i="54"/>
  <c r="FO634" i="54"/>
  <c r="EB634" i="54"/>
  <c r="EG635" i="54"/>
  <c r="DL1637" i="54"/>
  <c r="DL1635" i="54"/>
  <c r="DM1635" i="54" s="1"/>
  <c r="DL1636" i="54"/>
  <c r="CF515" i="54"/>
  <c r="CF635" i="54"/>
  <c r="FV634" i="54"/>
  <c r="FT634" i="54"/>
  <c r="FS634" i="54"/>
  <c r="FR634" i="54"/>
  <c r="FU634" i="54"/>
  <c r="EC634" i="54"/>
  <c r="EN635" i="54" s="1"/>
  <c r="EF635" i="54"/>
  <c r="FN613" i="54"/>
  <c r="FQ613" i="54"/>
  <c r="FO613" i="54"/>
  <c r="FP613" i="54"/>
  <c r="FM613" i="54"/>
  <c r="EB613" i="54"/>
  <c r="EJ614" i="54" s="1"/>
  <c r="FU613" i="54"/>
  <c r="FR613" i="54"/>
  <c r="FV613" i="54"/>
  <c r="FT613" i="54"/>
  <c r="FS613" i="54"/>
  <c r="EC613" i="54"/>
  <c r="ER614" i="54" s="1"/>
  <c r="DI1580" i="54"/>
  <c r="DJ1580" i="54" s="1"/>
  <c r="DI1582" i="54"/>
  <c r="DI1581" i="54"/>
  <c r="DL1582" i="54"/>
  <c r="DL1581" i="54"/>
  <c r="DL1580" i="54"/>
  <c r="DM1580" i="54" s="1"/>
  <c r="ED614" i="54"/>
  <c r="EG614" i="54"/>
  <c r="AP429" i="54"/>
  <c r="AV530" i="54"/>
  <c r="AW530" i="54"/>
  <c r="AU349" i="54"/>
  <c r="BA429" i="54"/>
  <c r="AZ429" i="54"/>
  <c r="AW349" i="54"/>
  <c r="AW409" i="54"/>
  <c r="AP11" i="67"/>
  <c r="AT11" i="67" s="1"/>
  <c r="AV11" i="67" s="1"/>
  <c r="DT71" i="66"/>
  <c r="AU409" i="54"/>
  <c r="AX409" i="54"/>
  <c r="BA530" i="54"/>
  <c r="AZ530" i="54"/>
  <c r="AS429" i="54"/>
  <c r="AR330" i="54"/>
  <c r="DG334" i="54"/>
  <c r="BC429" i="54"/>
  <c r="AX349" i="54"/>
  <c r="AW509" i="54"/>
  <c r="AV509" i="54"/>
  <c r="AX509" i="54"/>
  <c r="AU509" i="54"/>
  <c r="AY511" i="54"/>
  <c r="AY451" i="54"/>
  <c r="AT430" i="54"/>
  <c r="AX430" i="54" s="1"/>
  <c r="AT490" i="54"/>
  <c r="AT330" i="54"/>
  <c r="AU330" i="54" s="1"/>
  <c r="AT510" i="54"/>
  <c r="AT450" i="54"/>
  <c r="AY350" i="54"/>
  <c r="BB350" i="54" s="1"/>
  <c r="AY490" i="54"/>
  <c r="BC489" i="54"/>
  <c r="AZ489" i="54"/>
  <c r="BB489" i="54"/>
  <c r="BA489" i="54"/>
  <c r="FI593" i="54"/>
  <c r="FL593" i="54"/>
  <c r="FK593" i="54"/>
  <c r="FJ593" i="54"/>
  <c r="FH593" i="54"/>
  <c r="EA593" i="54"/>
  <c r="DF1528" i="54"/>
  <c r="DG1528" i="54" s="1"/>
  <c r="DF1530" i="54"/>
  <c r="DF1529" i="54"/>
  <c r="AU489" i="54"/>
  <c r="AV489" i="54"/>
  <c r="AW489" i="54"/>
  <c r="AX489" i="54"/>
  <c r="AW449" i="54"/>
  <c r="AV449" i="54"/>
  <c r="AX449" i="54"/>
  <c r="AU449" i="54"/>
  <c r="AS330" i="54"/>
  <c r="AP330" i="54"/>
  <c r="AO331" i="54"/>
  <c r="AQ331" i="54" s="1"/>
  <c r="AO511" i="54"/>
  <c r="AO451" i="54"/>
  <c r="AS450" i="54"/>
  <c r="AR450" i="54"/>
  <c r="AP450" i="54"/>
  <c r="AQ450" i="54"/>
  <c r="AQ429" i="54"/>
  <c r="AP510" i="54"/>
  <c r="AQ510" i="54"/>
  <c r="AS510" i="54"/>
  <c r="AR510" i="54"/>
  <c r="AO431" i="54"/>
  <c r="AR431" i="54" s="1"/>
  <c r="AO491" i="54"/>
  <c r="AO390" i="54"/>
  <c r="AR390" i="54" s="1"/>
  <c r="AO490" i="54"/>
  <c r="AY369" i="54"/>
  <c r="AZ369" i="54" s="1"/>
  <c r="AY469" i="54"/>
  <c r="AS489" i="54"/>
  <c r="AP489" i="54"/>
  <c r="AQ489" i="54"/>
  <c r="AR489" i="54"/>
  <c r="AT369" i="54"/>
  <c r="AX369" i="54" s="1"/>
  <c r="AT469" i="54"/>
  <c r="AO369" i="54"/>
  <c r="AP369" i="54" s="1"/>
  <c r="AO469" i="54"/>
  <c r="HZ69" i="54"/>
  <c r="IA69" i="54" s="1"/>
  <c r="HR57" i="54"/>
  <c r="HR58" i="54"/>
  <c r="HR56" i="54"/>
  <c r="IF56" i="54" s="1"/>
  <c r="IK56" i="54" s="1"/>
  <c r="HR54" i="54"/>
  <c r="IF54" i="54" s="1"/>
  <c r="IK54" i="54" s="1"/>
  <c r="IR54" i="54" s="1"/>
  <c r="HR55" i="54"/>
  <c r="HI59" i="54"/>
  <c r="HO59" i="54" s="1"/>
  <c r="HI58" i="54"/>
  <c r="HO58" i="54" s="1"/>
  <c r="HI61" i="54"/>
  <c r="HO61" i="54" s="1"/>
  <c r="HI60" i="54"/>
  <c r="HO60" i="54" s="1"/>
  <c r="HI57" i="54"/>
  <c r="HO57" i="54" s="1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O54" i="54" s="1"/>
  <c r="EC133" i="54"/>
  <c r="ER134" i="54" s="1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L1324" i="54"/>
  <c r="DI1325" i="54"/>
  <c r="DI1323" i="54"/>
  <c r="DI1324" i="54"/>
  <c r="DL1163" i="54"/>
  <c r="DL1162" i="54"/>
  <c r="BU13" i="66"/>
  <c r="BA14" i="66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DL229" i="54"/>
  <c r="DF1269" i="54"/>
  <c r="DF1372" i="54"/>
  <c r="DF1268" i="54"/>
  <c r="DF1216" i="54"/>
  <c r="DF1373" i="54"/>
  <c r="DF1270" i="54"/>
  <c r="DF1374" i="54"/>
  <c r="DF1217" i="54"/>
  <c r="DF1218" i="54"/>
  <c r="EA93" i="54"/>
  <c r="ED94" i="54" s="1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Y12" i="67" s="1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T6" i="65"/>
  <c r="HV6" i="65"/>
  <c r="IE58" i="54"/>
  <c r="CI25" i="66"/>
  <c r="CO25" i="66" s="1"/>
  <c r="DL72" i="66" s="1"/>
  <c r="IM53" i="54"/>
  <c r="DH32" i="66"/>
  <c r="AY43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5" i="54"/>
  <c r="IK55" i="54" s="1"/>
  <c r="IM55" i="54" s="1"/>
  <c r="DG746" i="54"/>
  <c r="EE293" i="54"/>
  <c r="DI334" i="54"/>
  <c r="AY430" i="54"/>
  <c r="BC430" i="54" s="1"/>
  <c r="AY390" i="54"/>
  <c r="AZ390" i="54" s="1"/>
  <c r="DT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U54" i="66"/>
  <c r="BW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D134" i="54"/>
  <c r="AQ349" i="54"/>
  <c r="AS389" i="54"/>
  <c r="AQ389" i="54"/>
  <c r="AR389" i="54"/>
  <c r="EH154" i="54"/>
  <c r="BC349" i="54"/>
  <c r="EH134" i="54"/>
  <c r="EE134" i="54"/>
  <c r="AP349" i="54"/>
  <c r="BA349" i="54"/>
  <c r="AZ349" i="54"/>
  <c r="AS349" i="54"/>
  <c r="AO430" i="54"/>
  <c r="AR430" i="54" s="1"/>
  <c r="DG333" i="54"/>
  <c r="DR31" i="66"/>
  <c r="AO350" i="54"/>
  <c r="AS350" i="54" s="1"/>
  <c r="EF154" i="54"/>
  <c r="EF134" i="54"/>
  <c r="AM12" i="67"/>
  <c r="DG386" i="54"/>
  <c r="DG385" i="54"/>
  <c r="EE154" i="54"/>
  <c r="ED154" i="54"/>
  <c r="CF154" i="54"/>
  <c r="BV54" i="66"/>
  <c r="BB55" i="66" s="1"/>
  <c r="CJ614" i="54" s="1"/>
  <c r="DL800" i="54"/>
  <c r="DM800" i="54" s="1"/>
  <c r="BA389" i="54"/>
  <c r="DL386" i="54"/>
  <c r="DL385" i="54"/>
  <c r="BB389" i="54"/>
  <c r="CA54" i="66"/>
  <c r="DL384" i="54"/>
  <c r="DM384" i="54" s="1"/>
  <c r="AZ389" i="54"/>
  <c r="DL802" i="54"/>
  <c r="BK55" i="66"/>
  <c r="CF554" i="54"/>
  <c r="CF134" i="54"/>
  <c r="BQ55" i="66"/>
  <c r="CF54" i="54"/>
  <c r="DI801" i="54"/>
  <c r="DI800" i="54"/>
  <c r="DF11" i="66"/>
  <c r="DG800" i="54"/>
  <c r="DG802" i="54"/>
  <c r="DG801" i="54"/>
  <c r="DR10" i="66"/>
  <c r="AO391" i="54"/>
  <c r="AR391" i="54" s="1"/>
  <c r="AO351" i="54"/>
  <c r="AP351" i="54" s="1"/>
  <c r="DS51" i="66"/>
  <c r="DG52" i="66"/>
  <c r="AT410" i="54"/>
  <c r="AX410" i="54" s="1"/>
  <c r="AV389" i="54"/>
  <c r="AW329" i="54"/>
  <c r="AX429" i="54"/>
  <c r="AU429" i="54"/>
  <c r="DT9" i="66"/>
  <c r="DS9" i="66"/>
  <c r="BR34" i="66"/>
  <c r="AV429" i="54"/>
  <c r="AV329" i="54"/>
  <c r="AT350" i="54"/>
  <c r="AW350" i="54" s="1"/>
  <c r="AU389" i="54"/>
  <c r="AU329" i="54"/>
  <c r="AW389" i="54"/>
  <c r="DG32" i="66"/>
  <c r="AT390" i="54"/>
  <c r="AV390" i="54" s="1"/>
  <c r="DS31" i="66"/>
  <c r="CJ533" i="54"/>
  <c r="CJ473" i="54"/>
  <c r="CJ493" i="54"/>
  <c r="BM368" i="54"/>
  <c r="BL368" i="54"/>
  <c r="BJ368" i="54"/>
  <c r="BK368" i="54"/>
  <c r="BJ370" i="54"/>
  <c r="BL370" i="54"/>
  <c r="BK370" i="54"/>
  <c r="BM370" i="54"/>
  <c r="AY331" i="54"/>
  <c r="AY411" i="54"/>
  <c r="BA330" i="54"/>
  <c r="BB330" i="54"/>
  <c r="BC330" i="54"/>
  <c r="AZ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EA413" i="54"/>
  <c r="EG414" i="54" s="1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K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Q14" i="66"/>
  <c r="HP61" i="54"/>
  <c r="BT34" i="66"/>
  <c r="AZ35" i="66" s="1"/>
  <c r="CF594" i="54" s="1"/>
  <c r="EE433" i="54"/>
  <c r="DF853" i="54"/>
  <c r="DF1010" i="54"/>
  <c r="DF74" i="54"/>
  <c r="BY34" i="66"/>
  <c r="CI17" i="66" s="1"/>
  <c r="CO17" i="66" s="1"/>
  <c r="BL34" i="66"/>
  <c r="DF1060" i="54"/>
  <c r="DG1060" i="54" s="1"/>
  <c r="BV75" i="66"/>
  <c r="BB76" i="66" s="1"/>
  <c r="DF230" i="54"/>
  <c r="DF852" i="54"/>
  <c r="DF697" i="54"/>
  <c r="DF1008" i="54"/>
  <c r="DG1008" i="54" s="1"/>
  <c r="DF437" i="54"/>
  <c r="DF1061" i="54"/>
  <c r="DF854" i="54"/>
  <c r="DF1062" i="54"/>
  <c r="DF72" i="54"/>
  <c r="DG72" i="54" s="1"/>
  <c r="DF698" i="54"/>
  <c r="DF436" i="54"/>
  <c r="DG436" i="54" s="1"/>
  <c r="DF1009" i="54"/>
  <c r="DF229" i="54"/>
  <c r="DF696" i="54"/>
  <c r="DF228" i="54"/>
  <c r="DG228" i="54" s="1"/>
  <c r="DF438" i="54"/>
  <c r="DF73" i="54"/>
  <c r="EG293" i="54"/>
  <c r="EH253" i="54"/>
  <c r="EH293" i="54"/>
  <c r="EF253" i="54"/>
  <c r="EE253" i="54"/>
  <c r="DG11" i="66"/>
  <c r="DS10" i="66"/>
  <c r="DH11" i="66"/>
  <c r="DT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DG24" i="54"/>
  <c r="CA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Z75" i="66"/>
  <c r="BU75" i="66"/>
  <c r="BA76" i="66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DI125" i="54"/>
  <c r="DI126" i="54"/>
  <c r="DI124" i="54"/>
  <c r="DJ124" i="54" s="1"/>
  <c r="ED293" i="54"/>
  <c r="EF293" i="54"/>
  <c r="DI955" i="54"/>
  <c r="DI746" i="54"/>
  <c r="HV59" i="54" s="1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Z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DF177" i="54"/>
  <c r="DF905" i="54"/>
  <c r="DG125" i="54"/>
  <c r="CA13" i="66"/>
  <c r="EN353" i="54"/>
  <c r="EQ373" i="54"/>
  <c r="DL903" i="54"/>
  <c r="DL643" i="54"/>
  <c r="DL746" i="54"/>
  <c r="HW59" i="54" s="1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V13" i="66"/>
  <c r="BB14" i="66" s="1"/>
  <c r="DG955" i="54"/>
  <c r="EG433" i="54"/>
  <c r="BZ54" i="66"/>
  <c r="BK76" i="66"/>
  <c r="BQ76" i="66"/>
  <c r="HS6" i="65"/>
  <c r="DF1476" i="54" l="1"/>
  <c r="DG1476" i="54" s="1"/>
  <c r="DF1478" i="54"/>
  <c r="DG1478" i="54" s="1"/>
  <c r="DF1477" i="54"/>
  <c r="DG1477" i="54" s="1"/>
  <c r="DF646" i="54"/>
  <c r="DF1114" i="54"/>
  <c r="DF906" i="54"/>
  <c r="FH573" i="54"/>
  <c r="FJ573" i="54"/>
  <c r="FI573" i="54"/>
  <c r="FL573" i="54"/>
  <c r="FK573" i="54"/>
  <c r="EA573" i="54"/>
  <c r="ED574" i="54" s="1"/>
  <c r="CH453" i="54"/>
  <c r="CH573" i="54"/>
  <c r="EF574" i="54"/>
  <c r="EO614" i="54"/>
  <c r="BV34" i="66"/>
  <c r="BB35" i="66" s="1"/>
  <c r="CJ594" i="54" s="1"/>
  <c r="DL228" i="54"/>
  <c r="DM228" i="54" s="1"/>
  <c r="CJ453" i="54"/>
  <c r="CJ573" i="54"/>
  <c r="BB450" i="54"/>
  <c r="BA450" i="54"/>
  <c r="EN614" i="54"/>
  <c r="EP314" i="54"/>
  <c r="BB410" i="54"/>
  <c r="BC410" i="54"/>
  <c r="BC450" i="54"/>
  <c r="BA410" i="54"/>
  <c r="ER314" i="54"/>
  <c r="AU531" i="54"/>
  <c r="AZ510" i="54"/>
  <c r="BA510" i="54"/>
  <c r="BB510" i="54"/>
  <c r="BB531" i="54"/>
  <c r="EP154" i="54"/>
  <c r="EQ154" i="54"/>
  <c r="EP54" i="54"/>
  <c r="ER154" i="54"/>
  <c r="EO154" i="54"/>
  <c r="AX531" i="54"/>
  <c r="DJ1581" i="54"/>
  <c r="EN314" i="54"/>
  <c r="AV531" i="54"/>
  <c r="EO314" i="54"/>
  <c r="DJ1636" i="54"/>
  <c r="BA531" i="54"/>
  <c r="AZ531" i="54"/>
  <c r="EP614" i="54"/>
  <c r="DJ1637" i="54"/>
  <c r="DM1581" i="54"/>
  <c r="DJ1582" i="54"/>
  <c r="BA350" i="54"/>
  <c r="DM1636" i="54"/>
  <c r="EK614" i="54"/>
  <c r="EL614" i="54"/>
  <c r="DM1582" i="54"/>
  <c r="EP635" i="54"/>
  <c r="DM1637" i="54"/>
  <c r="EM635" i="54"/>
  <c r="EJ635" i="54"/>
  <c r="EK635" i="54"/>
  <c r="EL635" i="54"/>
  <c r="CH515" i="54"/>
  <c r="CH635" i="54"/>
  <c r="CJ515" i="54"/>
  <c r="CJ635" i="54"/>
  <c r="EQ635" i="54"/>
  <c r="ER635" i="54"/>
  <c r="FH635" i="54"/>
  <c r="FI635" i="54"/>
  <c r="FL635" i="54"/>
  <c r="FK635" i="54"/>
  <c r="FJ635" i="54"/>
  <c r="EA635" i="54"/>
  <c r="ED636" i="54" s="1"/>
  <c r="DF1639" i="54"/>
  <c r="DF1640" i="54"/>
  <c r="DF1638" i="54"/>
  <c r="DG1638" i="54" s="1"/>
  <c r="EQ614" i="54"/>
  <c r="EI635" i="54"/>
  <c r="EO635" i="54"/>
  <c r="DF1585" i="54"/>
  <c r="DF1583" i="54"/>
  <c r="DG1583" i="54" s="1"/>
  <c r="DF1584" i="54"/>
  <c r="EI614" i="54"/>
  <c r="EM614" i="54"/>
  <c r="FH614" i="54"/>
  <c r="FL614" i="54"/>
  <c r="FJ614" i="54"/>
  <c r="FI614" i="54"/>
  <c r="FK614" i="54"/>
  <c r="EA614" i="54"/>
  <c r="AZ350" i="54"/>
  <c r="BC350" i="54"/>
  <c r="EF94" i="54"/>
  <c r="AS431" i="54"/>
  <c r="AV430" i="54"/>
  <c r="BB369" i="54"/>
  <c r="AS331" i="54"/>
  <c r="AV330" i="54"/>
  <c r="AS369" i="54"/>
  <c r="EQ54" i="54"/>
  <c r="AQ431" i="54"/>
  <c r="BA369" i="54"/>
  <c r="AX330" i="54"/>
  <c r="AR331" i="54"/>
  <c r="AQ369" i="54"/>
  <c r="AP431" i="54"/>
  <c r="BC369" i="54"/>
  <c r="AW330" i="54"/>
  <c r="AP331" i="54"/>
  <c r="AR369" i="54"/>
  <c r="ER54" i="54"/>
  <c r="EN54" i="54"/>
  <c r="DL52" i="66"/>
  <c r="BD511" i="54" s="1"/>
  <c r="AU369" i="54"/>
  <c r="DJ1324" i="54"/>
  <c r="DL53" i="66"/>
  <c r="BD512" i="54" s="1"/>
  <c r="DL74" i="66"/>
  <c r="DO74" i="66" s="1"/>
  <c r="AV369" i="54"/>
  <c r="AW430" i="54"/>
  <c r="AS390" i="54"/>
  <c r="DM1325" i="54"/>
  <c r="DL54" i="66"/>
  <c r="BD513" i="54" s="1"/>
  <c r="AW369" i="54"/>
  <c r="AU430" i="54"/>
  <c r="DL73" i="66"/>
  <c r="DO73" i="66" s="1"/>
  <c r="DG1529" i="54"/>
  <c r="DG1530" i="54"/>
  <c r="DL697" i="54"/>
  <c r="DL853" i="54"/>
  <c r="DL438" i="54"/>
  <c r="DL1062" i="54"/>
  <c r="DL854" i="54"/>
  <c r="DL74" i="54"/>
  <c r="DL1060" i="54"/>
  <c r="DM1060" i="54" s="1"/>
  <c r="DL1008" i="54"/>
  <c r="DM1008" i="54" s="1"/>
  <c r="DL1009" i="54"/>
  <c r="AY351" i="54"/>
  <c r="BB351" i="54" s="1"/>
  <c r="DL437" i="54"/>
  <c r="DL436" i="54"/>
  <c r="DM436" i="54" s="1"/>
  <c r="DL852" i="54"/>
  <c r="DM852" i="54" s="1"/>
  <c r="DI1528" i="54"/>
  <c r="DJ1528" i="54" s="1"/>
  <c r="DI1530" i="54"/>
  <c r="DI1529" i="54"/>
  <c r="DO72" i="66"/>
  <c r="BD531" i="54"/>
  <c r="AW450" i="54"/>
  <c r="AV450" i="54"/>
  <c r="AX450" i="54"/>
  <c r="AU450" i="54"/>
  <c r="FQ593" i="54"/>
  <c r="FN593" i="54"/>
  <c r="FO593" i="54"/>
  <c r="FM593" i="54"/>
  <c r="FP593" i="54"/>
  <c r="EB593" i="54"/>
  <c r="DL73" i="54"/>
  <c r="DL1528" i="54"/>
  <c r="DM1528" i="54" s="1"/>
  <c r="DL1530" i="54"/>
  <c r="DL1529" i="54"/>
  <c r="AV510" i="54"/>
  <c r="AW510" i="54"/>
  <c r="AX510" i="54"/>
  <c r="AU510" i="54"/>
  <c r="BB451" i="54"/>
  <c r="AZ451" i="54"/>
  <c r="BA451" i="54"/>
  <c r="BC451" i="54"/>
  <c r="AT431" i="54"/>
  <c r="AV431" i="54" s="1"/>
  <c r="AT491" i="54"/>
  <c r="AT411" i="54"/>
  <c r="AW411" i="54" s="1"/>
  <c r="AT511" i="54"/>
  <c r="AT451" i="54"/>
  <c r="AY391" i="54"/>
  <c r="BB391" i="54" s="1"/>
  <c r="AY491" i="54"/>
  <c r="ED594" i="54"/>
  <c r="EG594" i="54"/>
  <c r="EE594" i="54"/>
  <c r="EH594" i="54"/>
  <c r="EF594" i="54"/>
  <c r="BA490" i="54"/>
  <c r="BB490" i="54"/>
  <c r="AZ490" i="54"/>
  <c r="BC490" i="54"/>
  <c r="BC511" i="54"/>
  <c r="BA511" i="54"/>
  <c r="BB511" i="54"/>
  <c r="AZ511" i="54"/>
  <c r="FS593" i="54"/>
  <c r="FT593" i="54"/>
  <c r="FV593" i="54"/>
  <c r="FR593" i="54"/>
  <c r="FU593" i="54"/>
  <c r="EC593" i="54"/>
  <c r="AW490" i="54"/>
  <c r="AU490" i="54"/>
  <c r="AV490" i="54"/>
  <c r="AX490" i="54"/>
  <c r="AP511" i="54"/>
  <c r="AR511" i="54"/>
  <c r="AS511" i="54"/>
  <c r="AQ511" i="54"/>
  <c r="AQ451" i="54"/>
  <c r="AR451" i="54"/>
  <c r="AS451" i="54"/>
  <c r="AP451" i="54"/>
  <c r="AP390" i="54"/>
  <c r="AQ390" i="54"/>
  <c r="AV469" i="54"/>
  <c r="AW469" i="54"/>
  <c r="AX469" i="54"/>
  <c r="AU469" i="54"/>
  <c r="AR490" i="54"/>
  <c r="AQ490" i="54"/>
  <c r="AP490" i="54"/>
  <c r="AS490" i="54"/>
  <c r="AT370" i="54"/>
  <c r="AV370" i="54" s="1"/>
  <c r="AT470" i="54"/>
  <c r="AO370" i="54"/>
  <c r="AS370" i="54" s="1"/>
  <c r="AO470" i="54"/>
  <c r="AR469" i="54"/>
  <c r="AS469" i="54"/>
  <c r="AP469" i="54"/>
  <c r="AQ469" i="54"/>
  <c r="AZ469" i="54"/>
  <c r="BA469" i="54"/>
  <c r="BB469" i="54"/>
  <c r="BC469" i="54"/>
  <c r="AR491" i="54"/>
  <c r="AS491" i="54"/>
  <c r="AP491" i="54"/>
  <c r="AQ491" i="54"/>
  <c r="AY370" i="54"/>
  <c r="BA370" i="54" s="1"/>
  <c r="AY470" i="54"/>
  <c r="EN134" i="54"/>
  <c r="EP134" i="54"/>
  <c r="DM1324" i="54"/>
  <c r="HQ59" i="54"/>
  <c r="IE59" i="54" s="1"/>
  <c r="HQ60" i="54"/>
  <c r="IE60" i="54" s="1"/>
  <c r="HH68" i="54"/>
  <c r="HN68" i="54" s="1"/>
  <c r="HH63" i="54"/>
  <c r="HN63" i="54" s="1"/>
  <c r="HH67" i="54"/>
  <c r="HN67" i="54" s="1"/>
  <c r="HH69" i="54"/>
  <c r="HH64" i="54"/>
  <c r="HN64" i="54" s="1"/>
  <c r="HH65" i="54"/>
  <c r="HN65" i="54" s="1"/>
  <c r="HH62" i="54"/>
  <c r="HN62" i="54" s="1"/>
  <c r="HH66" i="54"/>
  <c r="HN66" i="54" s="1"/>
  <c r="HQ63" i="54"/>
  <c r="HQ62" i="54"/>
  <c r="HQ61" i="54"/>
  <c r="IE61" i="54" s="1"/>
  <c r="DM802" i="54"/>
  <c r="EQ134" i="54"/>
  <c r="EO134" i="54"/>
  <c r="EM515" i="54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M230" i="54" s="1"/>
  <c r="DL698" i="54"/>
  <c r="DL72" i="54"/>
  <c r="DM72" i="54" s="1"/>
  <c r="DL1061" i="54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DL749" i="54"/>
  <c r="HW66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J25" i="66"/>
  <c r="CT25" i="66" s="1"/>
  <c r="CS25" i="66"/>
  <c r="DI52" i="66" s="1"/>
  <c r="CK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BA55" i="66"/>
  <c r="CH614" i="54" s="1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Q64" i="54"/>
  <c r="IQ66" i="54"/>
  <c r="IQ63" i="54"/>
  <c r="IQ61" i="54"/>
  <c r="IQ62" i="54"/>
  <c r="IQ65" i="54"/>
  <c r="IQ67" i="54"/>
  <c r="IQ68" i="54"/>
  <c r="DJ746" i="54"/>
  <c r="DM746" i="54"/>
  <c r="EI314" i="54"/>
  <c r="EJ314" i="54"/>
  <c r="EK314" i="54"/>
  <c r="DM125" i="54"/>
  <c r="DM126" i="54"/>
  <c r="AO12" i="67"/>
  <c r="DJ386" i="54"/>
  <c r="Q12" i="67"/>
  <c r="DF335" i="54"/>
  <c r="DG335" i="54" s="1"/>
  <c r="N13" i="67"/>
  <c r="R13" i="67" s="1"/>
  <c r="DJ385" i="54"/>
  <c r="DM333" i="54"/>
  <c r="DM334" i="54"/>
  <c r="CJ134" i="54"/>
  <c r="AP411" i="54"/>
  <c r="CJ54" i="54"/>
  <c r="AQ411" i="54"/>
  <c r="CJ154" i="54"/>
  <c r="DF337" i="54"/>
  <c r="DL805" i="54"/>
  <c r="DF388" i="54"/>
  <c r="DF389" i="54"/>
  <c r="DF336" i="54"/>
  <c r="DF12" i="66"/>
  <c r="DR11" i="66"/>
  <c r="AS430" i="54"/>
  <c r="AP430" i="54"/>
  <c r="AQ430" i="54"/>
  <c r="AP350" i="54"/>
  <c r="AQ350" i="54"/>
  <c r="DM385" i="54"/>
  <c r="AQ351" i="54"/>
  <c r="DM801" i="54"/>
  <c r="AS391" i="54"/>
  <c r="AR350" i="54"/>
  <c r="DM386" i="54"/>
  <c r="AX11" i="67"/>
  <c r="BR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Y55" i="66"/>
  <c r="BT55" i="66"/>
  <c r="AZ56" i="66" s="1"/>
  <c r="CF615" i="54" s="1"/>
  <c r="V13" i="67"/>
  <c r="BL55" i="66"/>
  <c r="DF805" i="54"/>
  <c r="DF803" i="54"/>
  <c r="DF804" i="54"/>
  <c r="DJ800" i="54"/>
  <c r="DJ801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CA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EC373" i="54"/>
  <c r="EQ374" i="54" s="1"/>
  <c r="BK35" i="66"/>
  <c r="DF856" i="54" s="1"/>
  <c r="CF474" i="54"/>
  <c r="CF494" i="54"/>
  <c r="CF534" i="54"/>
  <c r="CJ474" i="54"/>
  <c r="CJ494" i="54"/>
  <c r="CJ534" i="54"/>
  <c r="BC411" i="54"/>
  <c r="BA411" i="54"/>
  <c r="BB411" i="54"/>
  <c r="AZ411" i="54"/>
  <c r="BA331" i="54"/>
  <c r="BB331" i="54"/>
  <c r="BC331" i="54"/>
  <c r="AZ331" i="54"/>
  <c r="BA431" i="54"/>
  <c r="BC431" i="54"/>
  <c r="AZ431" i="54"/>
  <c r="BB431" i="54"/>
  <c r="EF34" i="54"/>
  <c r="BQ35" i="66"/>
  <c r="ED34" i="54"/>
  <c r="DF645" i="54"/>
  <c r="DF644" i="54"/>
  <c r="DG644" i="54" s="1"/>
  <c r="DF749" i="54"/>
  <c r="HU66" i="54" s="1"/>
  <c r="DF1113" i="54"/>
  <c r="BL14" i="66"/>
  <c r="DL958" i="54"/>
  <c r="DF956" i="54"/>
  <c r="DG956" i="54" s="1"/>
  <c r="DF958" i="54"/>
  <c r="DF904" i="54"/>
  <c r="DG904" i="54" s="1"/>
  <c r="DF178" i="54"/>
  <c r="DF748" i="54"/>
  <c r="DF957" i="54"/>
  <c r="DF176" i="54"/>
  <c r="DG176" i="54" s="1"/>
  <c r="DF1112" i="54"/>
  <c r="DG1112" i="54" s="1"/>
  <c r="DF750" i="54"/>
  <c r="HU69" i="54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HY76" i="54" s="1"/>
  <c r="EA373" i="54"/>
  <c r="ED374" i="54" s="1"/>
  <c r="EA73" i="54"/>
  <c r="EG74" i="54" s="1"/>
  <c r="BT14" i="66"/>
  <c r="AZ15" i="66" s="1"/>
  <c r="BY14" i="66"/>
  <c r="CI9" i="66" s="1"/>
  <c r="CS9" i="66" s="1"/>
  <c r="BR14" i="66"/>
  <c r="IM56" i="54"/>
  <c r="IN56" i="54"/>
  <c r="DG696" i="54"/>
  <c r="EG34" i="54"/>
  <c r="EH34" i="54"/>
  <c r="DG1061" i="54"/>
  <c r="EG94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U34" i="66"/>
  <c r="BA35" i="66" s="1"/>
  <c r="CH594" i="54" s="1"/>
  <c r="DI1060" i="54"/>
  <c r="DJ1060" i="54" s="1"/>
  <c r="DI436" i="54"/>
  <c r="DJ436" i="54" s="1"/>
  <c r="DI73" i="54"/>
  <c r="DM229" i="54"/>
  <c r="DI696" i="54"/>
  <c r="DI438" i="54"/>
  <c r="DI1010" i="54"/>
  <c r="BZ34" i="66"/>
  <c r="DI1061" i="54"/>
  <c r="DI1062" i="54"/>
  <c r="DI74" i="54"/>
  <c r="DI72" i="54"/>
  <c r="DJ72" i="54" s="1"/>
  <c r="DI852" i="54"/>
  <c r="DI853" i="54"/>
  <c r="DI697" i="54"/>
  <c r="DG852" i="54"/>
  <c r="DG73" i="54"/>
  <c r="DG698" i="54"/>
  <c r="DG854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CS17" i="66"/>
  <c r="DI32" i="66" s="1"/>
  <c r="EE414" i="54"/>
  <c r="ER115" i="54"/>
  <c r="EF414" i="54"/>
  <c r="EF334" i="54"/>
  <c r="DG74" i="54"/>
  <c r="EF274" i="54"/>
  <c r="EH274" i="54"/>
  <c r="DG1062" i="54"/>
  <c r="ED414" i="54"/>
  <c r="EH174" i="54"/>
  <c r="EE174" i="54"/>
  <c r="EE394" i="54"/>
  <c r="EH394" i="54"/>
  <c r="ED394" i="54"/>
  <c r="EG394" i="54"/>
  <c r="EF394" i="54"/>
  <c r="EK235" i="54"/>
  <c r="DM24" i="54"/>
  <c r="EJ235" i="54"/>
  <c r="EL115" i="54"/>
  <c r="EO235" i="54"/>
  <c r="EI235" i="54"/>
  <c r="DH12" i="66"/>
  <c r="DT11" i="66"/>
  <c r="DG12" i="66"/>
  <c r="DS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L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DF128" i="54"/>
  <c r="DF127" i="54"/>
  <c r="DG127" i="54" s="1"/>
  <c r="DF129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L32" i="66"/>
  <c r="BD491" i="54" s="1"/>
  <c r="DL34" i="66"/>
  <c r="BD493" i="54" s="1"/>
  <c r="DL33" i="66"/>
  <c r="BD492" i="54" s="1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EP253" i="54"/>
  <c r="ER253" i="54"/>
  <c r="EQ253" i="54"/>
  <c r="EN253" i="54"/>
  <c r="EO253" i="54"/>
  <c r="DM955" i="54"/>
  <c r="EP353" i="54"/>
  <c r="DI750" i="54"/>
  <c r="HV69" i="54" s="1"/>
  <c r="DI906" i="54"/>
  <c r="DI177" i="54"/>
  <c r="DI178" i="54"/>
  <c r="DI1113" i="54"/>
  <c r="DI749" i="54"/>
  <c r="HV66" i="54" s="1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EM134" i="54"/>
  <c r="EL154" i="54"/>
  <c r="BY76" i="66"/>
  <c r="BT76" i="66"/>
  <c r="AZ77" i="66" s="1"/>
  <c r="CQ25" i="66" l="1"/>
  <c r="DN73" i="66" s="1"/>
  <c r="CU25" i="66"/>
  <c r="CF454" i="54"/>
  <c r="CF574" i="54"/>
  <c r="EH574" i="54"/>
  <c r="EE574" i="54"/>
  <c r="FP573" i="54"/>
  <c r="FO573" i="54"/>
  <c r="FQ573" i="54"/>
  <c r="FN573" i="54"/>
  <c r="FM573" i="54"/>
  <c r="EB573" i="54"/>
  <c r="EG574" i="54"/>
  <c r="DI1477" i="54"/>
  <c r="DJ1477" i="54" s="1"/>
  <c r="DI1478" i="54"/>
  <c r="DJ1478" i="54" s="1"/>
  <c r="DI1476" i="54"/>
  <c r="DJ1476" i="54" s="1"/>
  <c r="DL904" i="54"/>
  <c r="DM904" i="54" s="1"/>
  <c r="DL906" i="54"/>
  <c r="DL177" i="54"/>
  <c r="DL646" i="54"/>
  <c r="DL748" i="54"/>
  <c r="HW64" i="54" s="1"/>
  <c r="FS573" i="54"/>
  <c r="FU573" i="54"/>
  <c r="FR573" i="54"/>
  <c r="FT573" i="54"/>
  <c r="FV573" i="54"/>
  <c r="EC573" i="54"/>
  <c r="EC73" i="54"/>
  <c r="DL905" i="54"/>
  <c r="DL956" i="54"/>
  <c r="DL176" i="54"/>
  <c r="DL1114" i="54"/>
  <c r="DL644" i="54"/>
  <c r="DL750" i="54"/>
  <c r="HW69" i="54" s="1"/>
  <c r="DL645" i="54"/>
  <c r="DL1478" i="54"/>
  <c r="DL1477" i="54"/>
  <c r="DM1477" i="54" s="1"/>
  <c r="DL1476" i="54"/>
  <c r="DM1476" i="54" s="1"/>
  <c r="DN52" i="66"/>
  <c r="BN411" i="54" s="1"/>
  <c r="DN72" i="66"/>
  <c r="DQ72" i="66" s="1"/>
  <c r="DN74" i="66"/>
  <c r="DQ74" i="66" s="1"/>
  <c r="AV411" i="54"/>
  <c r="DN54" i="66"/>
  <c r="BN513" i="54" s="1"/>
  <c r="BD413" i="54"/>
  <c r="BH413" i="54" s="1"/>
  <c r="DN53" i="66"/>
  <c r="BN452" i="54" s="1"/>
  <c r="AU411" i="54"/>
  <c r="AX370" i="54"/>
  <c r="BD412" i="54"/>
  <c r="BE412" i="54" s="1"/>
  <c r="AZ351" i="54"/>
  <c r="ER94" i="54"/>
  <c r="DG1639" i="54"/>
  <c r="DG1640" i="54"/>
  <c r="EF636" i="54"/>
  <c r="FP635" i="54"/>
  <c r="FN635" i="54"/>
  <c r="FQ635" i="54"/>
  <c r="FM635" i="54"/>
  <c r="FO635" i="54"/>
  <c r="EB635" i="54"/>
  <c r="EJ636" i="54" s="1"/>
  <c r="DI1640" i="54"/>
  <c r="DI1639" i="54"/>
  <c r="DI1638" i="54"/>
  <c r="DJ1638" i="54" s="1"/>
  <c r="EI636" i="54"/>
  <c r="EE636" i="54"/>
  <c r="DL1639" i="54"/>
  <c r="DL1640" i="54"/>
  <c r="DL1638" i="54"/>
  <c r="DM1638" i="54" s="1"/>
  <c r="FU635" i="54"/>
  <c r="FR635" i="54"/>
  <c r="FS635" i="54"/>
  <c r="FT635" i="54"/>
  <c r="FV635" i="54"/>
  <c r="EC635" i="54"/>
  <c r="EQ636" i="54" s="1"/>
  <c r="CF516" i="54"/>
  <c r="CF636" i="54"/>
  <c r="EH636" i="54"/>
  <c r="EG636" i="54"/>
  <c r="DL1585" i="54"/>
  <c r="DL1583" i="54"/>
  <c r="DM1583" i="54" s="1"/>
  <c r="DL1584" i="54"/>
  <c r="DI1585" i="54"/>
  <c r="DI1583" i="54"/>
  <c r="DJ1583" i="54" s="1"/>
  <c r="DI1584" i="54"/>
  <c r="FS614" i="54"/>
  <c r="FV614" i="54"/>
  <c r="FU614" i="54"/>
  <c r="FR614" i="54"/>
  <c r="FT614" i="54"/>
  <c r="EC614" i="54"/>
  <c r="EF615" i="54"/>
  <c r="EH615" i="54"/>
  <c r="EE615" i="54"/>
  <c r="ED615" i="54"/>
  <c r="EG615" i="54"/>
  <c r="FM614" i="54"/>
  <c r="FQ614" i="54"/>
  <c r="FO614" i="54"/>
  <c r="FN614" i="54"/>
  <c r="FP614" i="54"/>
  <c r="EB614" i="54"/>
  <c r="DG1585" i="54"/>
  <c r="DG1584" i="54"/>
  <c r="BD411" i="54"/>
  <c r="BE411" i="54" s="1"/>
  <c r="BD331" i="54"/>
  <c r="BH331" i="54" s="1"/>
  <c r="BD451" i="54"/>
  <c r="BF451" i="54" s="1"/>
  <c r="DO52" i="66"/>
  <c r="DR52" i="66" s="1"/>
  <c r="BD332" i="54"/>
  <c r="BG332" i="54" s="1"/>
  <c r="DO53" i="66"/>
  <c r="BD533" i="54"/>
  <c r="BE533" i="54" s="1"/>
  <c r="EN274" i="54"/>
  <c r="BC370" i="54"/>
  <c r="BA391" i="54"/>
  <c r="DM1010" i="54"/>
  <c r="BB370" i="54"/>
  <c r="AZ391" i="54"/>
  <c r="AW370" i="54"/>
  <c r="AZ370" i="54"/>
  <c r="AU370" i="54"/>
  <c r="BC391" i="54"/>
  <c r="DM1009" i="54"/>
  <c r="AX411" i="54"/>
  <c r="BD452" i="54"/>
  <c r="BF452" i="54" s="1"/>
  <c r="DM853" i="54"/>
  <c r="DM438" i="54"/>
  <c r="ER274" i="54"/>
  <c r="DM437" i="54"/>
  <c r="EN94" i="54"/>
  <c r="DO54" i="66"/>
  <c r="AW431" i="54"/>
  <c r="AU431" i="54"/>
  <c r="DM73" i="54"/>
  <c r="AX431" i="54"/>
  <c r="DM74" i="54"/>
  <c r="DM697" i="54"/>
  <c r="BD333" i="54"/>
  <c r="BG333" i="54" s="1"/>
  <c r="DM1061" i="54"/>
  <c r="CP25" i="66"/>
  <c r="DM74" i="66" s="1"/>
  <c r="DM854" i="54"/>
  <c r="BC351" i="54"/>
  <c r="BA351" i="54"/>
  <c r="BD453" i="54"/>
  <c r="BE453" i="54" s="1"/>
  <c r="EQ94" i="54"/>
  <c r="EO274" i="54"/>
  <c r="EQ274" i="54"/>
  <c r="EO94" i="54"/>
  <c r="DM1062" i="54"/>
  <c r="DM698" i="54"/>
  <c r="BD532" i="54"/>
  <c r="BF532" i="54" s="1"/>
  <c r="DM1529" i="54"/>
  <c r="DJ1529" i="54"/>
  <c r="DM1530" i="54"/>
  <c r="DJ1530" i="54"/>
  <c r="DF76" i="54"/>
  <c r="DF231" i="54"/>
  <c r="DG231" i="54" s="1"/>
  <c r="BL35" i="66"/>
  <c r="DI1531" i="54" s="1"/>
  <c r="DJ1531" i="54" s="1"/>
  <c r="DI72" i="66"/>
  <c r="DR72" i="66" s="1"/>
  <c r="DG388" i="54"/>
  <c r="FI594" i="54"/>
  <c r="FH594" i="54"/>
  <c r="FJ594" i="54"/>
  <c r="FL594" i="54"/>
  <c r="FK594" i="54"/>
  <c r="EA594" i="54"/>
  <c r="EH595" i="54" s="1"/>
  <c r="DI74" i="66"/>
  <c r="AZ491" i="54"/>
  <c r="BA491" i="54"/>
  <c r="BC491" i="54"/>
  <c r="BB491" i="54"/>
  <c r="BH511" i="54"/>
  <c r="BG511" i="54"/>
  <c r="BE511" i="54"/>
  <c r="BF511" i="54"/>
  <c r="BE513" i="54"/>
  <c r="BH513" i="54"/>
  <c r="BG513" i="54"/>
  <c r="BF513" i="54"/>
  <c r="BG492" i="54"/>
  <c r="BE492" i="54"/>
  <c r="BF492" i="54"/>
  <c r="BH492" i="54"/>
  <c r="DF1531" i="54"/>
  <c r="DG1531" i="54" s="1"/>
  <c r="DF1532" i="54"/>
  <c r="DF1533" i="54"/>
  <c r="DK54" i="66"/>
  <c r="EQ594" i="54"/>
  <c r="EP594" i="54"/>
  <c r="EO594" i="54"/>
  <c r="ER594" i="54"/>
  <c r="EN594" i="54"/>
  <c r="AV491" i="54"/>
  <c r="AX491" i="54"/>
  <c r="AW491" i="54"/>
  <c r="AU491" i="54"/>
  <c r="EI594" i="54"/>
  <c r="EJ594" i="54"/>
  <c r="EK594" i="54"/>
  <c r="EL594" i="54"/>
  <c r="EM594" i="54"/>
  <c r="BG531" i="54"/>
  <c r="BF531" i="54"/>
  <c r="BE531" i="54"/>
  <c r="BH531" i="54"/>
  <c r="BH493" i="54"/>
  <c r="BG493" i="54"/>
  <c r="BF493" i="54"/>
  <c r="BE493" i="54"/>
  <c r="BH512" i="54"/>
  <c r="BF512" i="54"/>
  <c r="BE512" i="54"/>
  <c r="BG512" i="54"/>
  <c r="AV451" i="54"/>
  <c r="AX451" i="54"/>
  <c r="AW451" i="54"/>
  <c r="AU451" i="54"/>
  <c r="BG491" i="54"/>
  <c r="BH491" i="54"/>
  <c r="BF491" i="54"/>
  <c r="BE491" i="54"/>
  <c r="DQ73" i="66"/>
  <c r="BN532" i="54"/>
  <c r="EG135" i="54"/>
  <c r="DI73" i="66"/>
  <c r="AW511" i="54"/>
  <c r="AX511" i="54"/>
  <c r="AV511" i="54"/>
  <c r="AU511" i="54"/>
  <c r="AP370" i="54"/>
  <c r="AQ370" i="54"/>
  <c r="AR370" i="54"/>
  <c r="AP12" i="67"/>
  <c r="AT12" i="67" s="1"/>
  <c r="CH12" i="67" s="1"/>
  <c r="CK12" i="67" s="1"/>
  <c r="IR57" i="54"/>
  <c r="AY371" i="54"/>
  <c r="AZ371" i="54" s="1"/>
  <c r="AY471" i="54"/>
  <c r="AS470" i="54"/>
  <c r="AP470" i="54"/>
  <c r="AQ470" i="54"/>
  <c r="AR470" i="54"/>
  <c r="AT371" i="54"/>
  <c r="AW371" i="54" s="1"/>
  <c r="AT471" i="54"/>
  <c r="AO371" i="54"/>
  <c r="AR371" i="54" s="1"/>
  <c r="AO471" i="54"/>
  <c r="BA470" i="54"/>
  <c r="BB470" i="54"/>
  <c r="BC470" i="54"/>
  <c r="AZ470" i="54"/>
  <c r="AW470" i="54"/>
  <c r="AX470" i="54"/>
  <c r="AU470" i="54"/>
  <c r="AV470" i="54"/>
  <c r="DG748" i="54"/>
  <c r="HU64" i="54"/>
  <c r="HR59" i="54"/>
  <c r="IF59" i="54" s="1"/>
  <c r="HR60" i="54"/>
  <c r="IF60" i="54" s="1"/>
  <c r="HJ65" i="54"/>
  <c r="HP65" i="54" s="1"/>
  <c r="HJ62" i="54"/>
  <c r="HP62" i="54" s="1"/>
  <c r="HJ67" i="54"/>
  <c r="HP67" i="54" s="1"/>
  <c r="HJ63" i="54"/>
  <c r="HP63" i="54" s="1"/>
  <c r="HJ69" i="54"/>
  <c r="HP69" i="54" s="1"/>
  <c r="HJ64" i="54"/>
  <c r="HP64" i="54" s="1"/>
  <c r="HJ66" i="54"/>
  <c r="HP66" i="54" s="1"/>
  <c r="HJ68" i="54"/>
  <c r="HP68" i="54" s="1"/>
  <c r="HR61" i="54"/>
  <c r="IF61" i="54" s="1"/>
  <c r="HR62" i="54"/>
  <c r="HR63" i="54"/>
  <c r="DJ748" i="54"/>
  <c r="HV64" i="54"/>
  <c r="HS63" i="54"/>
  <c r="HS61" i="54"/>
  <c r="IG61" i="54" s="1"/>
  <c r="HS62" i="54"/>
  <c r="HS59" i="54"/>
  <c r="IG59" i="54" s="1"/>
  <c r="HS60" i="54"/>
  <c r="IG60" i="54" s="1"/>
  <c r="HI68" i="54"/>
  <c r="HO68" i="54" s="1"/>
  <c r="HI64" i="54"/>
  <c r="HO64" i="54" s="1"/>
  <c r="HI62" i="54"/>
  <c r="HO62" i="54" s="1"/>
  <c r="HI69" i="54"/>
  <c r="HO69" i="54" s="1"/>
  <c r="HI67" i="54"/>
  <c r="HO67" i="54" s="1"/>
  <c r="HI66" i="54"/>
  <c r="HO66" i="54" s="1"/>
  <c r="HI65" i="54"/>
  <c r="HO65" i="54" s="1"/>
  <c r="HI63" i="54"/>
  <c r="HO63" i="54" s="1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I53" i="66"/>
  <c r="DL493" i="54"/>
  <c r="DL543" i="54"/>
  <c r="DL491" i="54"/>
  <c r="DL492" i="54"/>
  <c r="DL544" i="54"/>
  <c r="DL545" i="54"/>
  <c r="DI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377" i="54"/>
  <c r="DI1220" i="54"/>
  <c r="DI1327" i="54"/>
  <c r="DI1328" i="54"/>
  <c r="DI1326" i="54"/>
  <c r="EB253" i="54"/>
  <c r="EM254" i="54" s="1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DL1012" i="54"/>
  <c r="DF1375" i="54"/>
  <c r="DF1271" i="54"/>
  <c r="DF1377" i="54"/>
  <c r="DF1221" i="54"/>
  <c r="DF1220" i="54"/>
  <c r="DF1376" i="54"/>
  <c r="DF1272" i="54"/>
  <c r="DF1273" i="54"/>
  <c r="DF1219" i="54"/>
  <c r="EC253" i="54"/>
  <c r="EP254" i="54" s="1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EL155" i="54" s="1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M178" i="54" s="1"/>
  <c r="DL1165" i="54"/>
  <c r="DL1166" i="54"/>
  <c r="DL1164" i="54"/>
  <c r="DM1164" i="54" s="1"/>
  <c r="DL1064" i="54"/>
  <c r="DF1012" i="54"/>
  <c r="DF75" i="54"/>
  <c r="DG75" i="54" s="1"/>
  <c r="DF440" i="54"/>
  <c r="DF1063" i="54"/>
  <c r="DG1063" i="54" s="1"/>
  <c r="DF1065" i="54"/>
  <c r="DF701" i="54"/>
  <c r="DF441" i="54"/>
  <c r="DL439" i="54"/>
  <c r="DM439" i="54" s="1"/>
  <c r="DF1064" i="54"/>
  <c r="DF232" i="54"/>
  <c r="DF1011" i="54"/>
  <c r="DG1011" i="54" s="1"/>
  <c r="DF855" i="54"/>
  <c r="DG855" i="54" s="1"/>
  <c r="CK17" i="66"/>
  <c r="CH154" i="54"/>
  <c r="CH134" i="54"/>
  <c r="CH314" i="54"/>
  <c r="CH54" i="54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II69" i="54"/>
  <c r="IE62" i="54"/>
  <c r="II66" i="54"/>
  <c r="EH294" i="54"/>
  <c r="IE63" i="54"/>
  <c r="DM749" i="54"/>
  <c r="EB54" i="54"/>
  <c r="EM55" i="54" s="1"/>
  <c r="AM13" i="67"/>
  <c r="DG337" i="54"/>
  <c r="DL337" i="54"/>
  <c r="DG336" i="54"/>
  <c r="AU331" i="54"/>
  <c r="BU55" i="66"/>
  <c r="BW55" i="66" s="1"/>
  <c r="DG389" i="54"/>
  <c r="BK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Q56" i="66"/>
  <c r="EA31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CA55" i="66"/>
  <c r="X13" i="67"/>
  <c r="EC314" i="54"/>
  <c r="EN315" i="54" s="1"/>
  <c r="EP414" i="54"/>
  <c r="EH315" i="54"/>
  <c r="EH155" i="54"/>
  <c r="EE315" i="54"/>
  <c r="EP334" i="54"/>
  <c r="EG315" i="54"/>
  <c r="EK34" i="54"/>
  <c r="EF315" i="54"/>
  <c r="EC54" i="54"/>
  <c r="BV55" i="66"/>
  <c r="BB56" i="66" s="1"/>
  <c r="CJ615" i="54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EO334" i="54"/>
  <c r="EO34" i="54"/>
  <c r="EQ34" i="54"/>
  <c r="EP394" i="54"/>
  <c r="AX331" i="54"/>
  <c r="ER334" i="54"/>
  <c r="EN334" i="54"/>
  <c r="ER34" i="54"/>
  <c r="EN34" i="54"/>
  <c r="EO394" i="54"/>
  <c r="EC94" i="54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EM34" i="54"/>
  <c r="DF1013" i="54"/>
  <c r="DF233" i="54"/>
  <c r="DF77" i="54"/>
  <c r="DF439" i="54"/>
  <c r="DG439" i="54" s="1"/>
  <c r="DF699" i="54"/>
  <c r="BR35" i="66"/>
  <c r="EA414" i="54"/>
  <c r="EF415" i="54" s="1"/>
  <c r="BT35" i="66"/>
  <c r="AZ36" i="66" s="1"/>
  <c r="BY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J17" i="66"/>
  <c r="CP17" i="66" s="1"/>
  <c r="DM34" i="66" s="1"/>
  <c r="BI493" i="54" s="1"/>
  <c r="BQ15" i="66"/>
  <c r="EC353" i="54"/>
  <c r="EN354" i="54" s="1"/>
  <c r="BK15" i="66"/>
  <c r="BV14" i="66"/>
  <c r="BB15" i="66" s="1"/>
  <c r="CA14" i="66"/>
  <c r="CK9" i="66" s="1"/>
  <c r="EC293" i="54"/>
  <c r="ER294" i="54" s="1"/>
  <c r="EC433" i="54"/>
  <c r="ER434" i="54" s="1"/>
  <c r="BU14" i="66"/>
  <c r="BA15" i="66" s="1"/>
  <c r="CH474" i="54"/>
  <c r="CH494" i="54"/>
  <c r="CH534" i="54"/>
  <c r="DO34" i="66"/>
  <c r="BD433" i="54"/>
  <c r="BD353" i="54"/>
  <c r="BD393" i="54"/>
  <c r="DO32" i="66"/>
  <c r="DR32" i="66" s="1"/>
  <c r="BD431" i="54"/>
  <c r="BD351" i="54"/>
  <c r="BD391" i="54"/>
  <c r="DQ52" i="66"/>
  <c r="BN331" i="54"/>
  <c r="DO33" i="66"/>
  <c r="BD432" i="54"/>
  <c r="BD352" i="54"/>
  <c r="BD392" i="54"/>
  <c r="DG1114" i="54"/>
  <c r="DM645" i="54"/>
  <c r="DM644" i="54"/>
  <c r="DG1113" i="54"/>
  <c r="DG905" i="54"/>
  <c r="DG750" i="54"/>
  <c r="DM906" i="54"/>
  <c r="DM750" i="54"/>
  <c r="DM177" i="54"/>
  <c r="DM956" i="54"/>
  <c r="EH354" i="54"/>
  <c r="DM176" i="54"/>
  <c r="CO9" i="66"/>
  <c r="DL13" i="66" s="1"/>
  <c r="BD472" i="54" s="1"/>
  <c r="DM905" i="54"/>
  <c r="EF354" i="54"/>
  <c r="EE354" i="54"/>
  <c r="DG645" i="54"/>
  <c r="DG646" i="54"/>
  <c r="DG177" i="54"/>
  <c r="DG749" i="54"/>
  <c r="DG957" i="54"/>
  <c r="DG958" i="54"/>
  <c r="EE254" i="54"/>
  <c r="EG374" i="54"/>
  <c r="EF74" i="54"/>
  <c r="DM646" i="54"/>
  <c r="BZ14" i="66"/>
  <c r="CJ9" i="66" s="1"/>
  <c r="CP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DJ696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I33" i="66"/>
  <c r="DJ74" i="54"/>
  <c r="EM174" i="54"/>
  <c r="DJ437" i="54"/>
  <c r="DJ73" i="54"/>
  <c r="EJ174" i="54"/>
  <c r="EL174" i="54"/>
  <c r="DJ438" i="54"/>
  <c r="EK174" i="54"/>
  <c r="DJ230" i="54"/>
  <c r="DJ853" i="54"/>
  <c r="DJ229" i="54"/>
  <c r="DJ854" i="54"/>
  <c r="DJ852" i="54"/>
  <c r="DJ698" i="54"/>
  <c r="DJ1062" i="54"/>
  <c r="EI414" i="54"/>
  <c r="DJ1061" i="54"/>
  <c r="DJ697" i="54"/>
  <c r="EK334" i="54"/>
  <c r="EH55" i="54"/>
  <c r="DI34" i="66"/>
  <c r="EP74" i="54"/>
  <c r="EO74" i="54"/>
  <c r="EN74" i="54"/>
  <c r="ER74" i="54"/>
  <c r="EH236" i="54"/>
  <c r="ED236" i="54"/>
  <c r="DJ1114" i="54"/>
  <c r="BU76" i="66"/>
  <c r="BA77" i="66" s="1"/>
  <c r="EF236" i="54"/>
  <c r="EF16" i="54"/>
  <c r="EG236" i="54"/>
  <c r="EH16" i="54"/>
  <c r="DG288" i="54"/>
  <c r="DI855" i="54"/>
  <c r="DI439" i="54"/>
  <c r="DI701" i="54"/>
  <c r="EE55" i="54"/>
  <c r="ED55" i="54"/>
  <c r="EE16" i="54"/>
  <c r="EG16" i="54"/>
  <c r="DJ957" i="54"/>
  <c r="EO374" i="54"/>
  <c r="DJ905" i="54"/>
  <c r="DJ958" i="54"/>
  <c r="DJ646" i="54"/>
  <c r="DJ177" i="54"/>
  <c r="EP374" i="54"/>
  <c r="DG128" i="54"/>
  <c r="DG600" i="54"/>
  <c r="ED116" i="54"/>
  <c r="EG116" i="54"/>
  <c r="EH116" i="54"/>
  <c r="EF116" i="54"/>
  <c r="DI12" i="66"/>
  <c r="DI14" i="66"/>
  <c r="DI13" i="66"/>
  <c r="DJ749" i="54"/>
  <c r="DJ906" i="54"/>
  <c r="EN374" i="54"/>
  <c r="EF55" i="54"/>
  <c r="DG129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Z76" i="66"/>
  <c r="DJ178" i="54"/>
  <c r="BR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ER374" i="54"/>
  <c r="DI1065" i="54"/>
  <c r="DI128" i="54"/>
  <c r="DI127" i="54"/>
  <c r="DJ127" i="54" s="1"/>
  <c r="DI232" i="54"/>
  <c r="DI129" i="54"/>
  <c r="DI1064" i="54"/>
  <c r="DI1013" i="54"/>
  <c r="DG599" i="54"/>
  <c r="DG28" i="54"/>
  <c r="DG27" i="54"/>
  <c r="DJ52" i="66"/>
  <c r="DJ54" i="66"/>
  <c r="DJ74" i="66"/>
  <c r="DJ53" i="66"/>
  <c r="DJ73" i="66"/>
  <c r="DJ72" i="66"/>
  <c r="DM73" i="66"/>
  <c r="BZ55" i="66"/>
  <c r="BV76" i="66"/>
  <c r="BB77" i="66" s="1"/>
  <c r="CA76" i="66"/>
  <c r="BQ77" i="66"/>
  <c r="BK77" i="66"/>
  <c r="CQ17" i="66" l="1"/>
  <c r="CU17" i="66"/>
  <c r="DK32" i="66" s="1"/>
  <c r="CU9" i="66"/>
  <c r="CQ9" i="66"/>
  <c r="FO574" i="54"/>
  <c r="FP574" i="54"/>
  <c r="FN574" i="54"/>
  <c r="FM574" i="54"/>
  <c r="FQ574" i="54"/>
  <c r="EB574" i="54"/>
  <c r="CH454" i="54"/>
  <c r="CH574" i="54"/>
  <c r="EK574" i="54"/>
  <c r="EK575" i="54" s="1"/>
  <c r="EJ574" i="54"/>
  <c r="EJ575" i="54" s="1"/>
  <c r="EM574" i="54"/>
  <c r="EM575" i="54" s="1"/>
  <c r="EL574" i="54"/>
  <c r="EL575" i="54" s="1"/>
  <c r="EI574" i="54"/>
  <c r="EI575" i="54" s="1"/>
  <c r="DF1480" i="54"/>
  <c r="DG1480" i="54" s="1"/>
  <c r="DF1479" i="54"/>
  <c r="DG1479" i="54" s="1"/>
  <c r="DF1481" i="54"/>
  <c r="DG1481" i="54" s="1"/>
  <c r="DF647" i="54"/>
  <c r="DG647" i="54" s="1"/>
  <c r="FL574" i="54"/>
  <c r="FI574" i="54"/>
  <c r="FK574" i="54"/>
  <c r="FH574" i="54"/>
  <c r="FJ574" i="54"/>
  <c r="EA574" i="54"/>
  <c r="EH575" i="54" s="1"/>
  <c r="CJ454" i="54"/>
  <c r="CJ574" i="54"/>
  <c r="DM1478" i="54"/>
  <c r="EP574" i="54"/>
  <c r="EQ574" i="54"/>
  <c r="ER574" i="54"/>
  <c r="EO574" i="54"/>
  <c r="EN574" i="54"/>
  <c r="FV574" i="54"/>
  <c r="FR574" i="54"/>
  <c r="FS574" i="54"/>
  <c r="FU574" i="54"/>
  <c r="FT574" i="54"/>
  <c r="EC574" i="54"/>
  <c r="BF412" i="54"/>
  <c r="DM52" i="66"/>
  <c r="BI511" i="54" s="1"/>
  <c r="BN412" i="54"/>
  <c r="BO412" i="54" s="1"/>
  <c r="BN512" i="54"/>
  <c r="BQ512" i="54" s="1"/>
  <c r="BG331" i="54"/>
  <c r="BF413" i="54"/>
  <c r="DM53" i="66"/>
  <c r="BI512" i="54" s="1"/>
  <c r="BN332" i="54"/>
  <c r="BP332" i="54" s="1"/>
  <c r="BN533" i="54"/>
  <c r="BQ533" i="54" s="1"/>
  <c r="DM54" i="66"/>
  <c r="BI453" i="54" s="1"/>
  <c r="DQ53" i="66"/>
  <c r="BG412" i="54"/>
  <c r="BG413" i="54"/>
  <c r="BH533" i="54"/>
  <c r="BF533" i="54"/>
  <c r="BN451" i="54"/>
  <c r="BR451" i="54" s="1"/>
  <c r="BN511" i="54"/>
  <c r="BR511" i="54" s="1"/>
  <c r="DQ54" i="66"/>
  <c r="BH412" i="54"/>
  <c r="BE413" i="54"/>
  <c r="BN531" i="54"/>
  <c r="BR531" i="54" s="1"/>
  <c r="BH411" i="54"/>
  <c r="BN453" i="54"/>
  <c r="BR453" i="54" s="1"/>
  <c r="BF332" i="54"/>
  <c r="BN333" i="54"/>
  <c r="BP333" i="54" s="1"/>
  <c r="BN413" i="54"/>
  <c r="BO413" i="54" s="1"/>
  <c r="BG453" i="54"/>
  <c r="BG451" i="54"/>
  <c r="BH451" i="54"/>
  <c r="BG533" i="54"/>
  <c r="DF53" i="66"/>
  <c r="AO412" i="54" s="1"/>
  <c r="AR412" i="54" s="1"/>
  <c r="DJ1584" i="54"/>
  <c r="BE331" i="54"/>
  <c r="BF331" i="54"/>
  <c r="DM1584" i="54"/>
  <c r="BG411" i="54"/>
  <c r="BF411" i="54"/>
  <c r="BE451" i="54"/>
  <c r="EK636" i="54"/>
  <c r="CJ135" i="54"/>
  <c r="EL636" i="54"/>
  <c r="DJ1640" i="54"/>
  <c r="DJ1639" i="54"/>
  <c r="BA56" i="66"/>
  <c r="CH615" i="54" s="1"/>
  <c r="EM636" i="54"/>
  <c r="DM1640" i="54"/>
  <c r="BR56" i="66"/>
  <c r="FP615" i="54" s="1"/>
  <c r="CJ516" i="54"/>
  <c r="CJ636" i="54"/>
  <c r="EN636" i="54"/>
  <c r="EP636" i="54"/>
  <c r="DM1639" i="54"/>
  <c r="ER636" i="54"/>
  <c r="CH516" i="54"/>
  <c r="CH636" i="54"/>
  <c r="DF1641" i="54"/>
  <c r="DG1641" i="54" s="1"/>
  <c r="DF1643" i="54"/>
  <c r="DF1642" i="54"/>
  <c r="FI636" i="54"/>
  <c r="FL636" i="54"/>
  <c r="FK636" i="54"/>
  <c r="FH636" i="54"/>
  <c r="FJ636" i="54"/>
  <c r="EA636" i="54"/>
  <c r="ED637" i="54" s="1"/>
  <c r="EO636" i="54"/>
  <c r="EA55" i="54"/>
  <c r="EF56" i="54" s="1"/>
  <c r="FH615" i="54"/>
  <c r="FL615" i="54"/>
  <c r="FI615" i="54"/>
  <c r="FJ615" i="54"/>
  <c r="FK615" i="54"/>
  <c r="EA615" i="54"/>
  <c r="EH616" i="54" s="1"/>
  <c r="ER615" i="54"/>
  <c r="EN615" i="54"/>
  <c r="EQ615" i="54"/>
  <c r="EP615" i="54"/>
  <c r="EO615" i="54"/>
  <c r="DJ1585" i="54"/>
  <c r="DM1585" i="54"/>
  <c r="V14" i="67"/>
  <c r="DF1588" i="54"/>
  <c r="DF1586" i="54"/>
  <c r="DG1586" i="54" s="1"/>
  <c r="DF1587" i="54"/>
  <c r="EA155" i="54"/>
  <c r="EE156" i="54" s="1"/>
  <c r="BC371" i="54"/>
  <c r="EK615" i="54"/>
  <c r="EL615" i="54"/>
  <c r="EJ615" i="54"/>
  <c r="EI615" i="54"/>
  <c r="EM615" i="54"/>
  <c r="BH332" i="54"/>
  <c r="BE332" i="54"/>
  <c r="BA371" i="54"/>
  <c r="DF73" i="66"/>
  <c r="DR73" i="66" s="1"/>
  <c r="BH452" i="54"/>
  <c r="AS371" i="54"/>
  <c r="BG452" i="54"/>
  <c r="BE452" i="54"/>
  <c r="BH333" i="54"/>
  <c r="AX371" i="54"/>
  <c r="AV371" i="54"/>
  <c r="DK52" i="66"/>
  <c r="DT52" i="66" s="1"/>
  <c r="BF453" i="54"/>
  <c r="AU371" i="54"/>
  <c r="DK74" i="66"/>
  <c r="DK73" i="66"/>
  <c r="BH453" i="54"/>
  <c r="DM72" i="66"/>
  <c r="BI531" i="54" s="1"/>
  <c r="DK72" i="66"/>
  <c r="DT72" i="66" s="1"/>
  <c r="DK53" i="66"/>
  <c r="BB371" i="54"/>
  <c r="AP371" i="54"/>
  <c r="DG232" i="54"/>
  <c r="BH532" i="54"/>
  <c r="AQ371" i="54"/>
  <c r="BE333" i="54"/>
  <c r="DI1376" i="54"/>
  <c r="DJ1376" i="54" s="1"/>
  <c r="DI1272" i="54"/>
  <c r="DI1063" i="54"/>
  <c r="DJ1063" i="54" s="1"/>
  <c r="DI231" i="54"/>
  <c r="DJ231" i="54" s="1"/>
  <c r="DI1011" i="54"/>
  <c r="DJ1011" i="54" s="1"/>
  <c r="EL254" i="54"/>
  <c r="DI856" i="54"/>
  <c r="DJ856" i="54" s="1"/>
  <c r="DI440" i="54"/>
  <c r="ED35" i="54"/>
  <c r="EK254" i="54"/>
  <c r="DI76" i="54"/>
  <c r="DI77" i="54"/>
  <c r="DI75" i="54"/>
  <c r="DJ75" i="54" s="1"/>
  <c r="DI699" i="54"/>
  <c r="DJ699" i="54" s="1"/>
  <c r="DI857" i="54"/>
  <c r="BF333" i="54"/>
  <c r="DI1219" i="54"/>
  <c r="DJ1220" i="54" s="1"/>
  <c r="DI1221" i="54"/>
  <c r="DI1012" i="54"/>
  <c r="DI233" i="54"/>
  <c r="EG35" i="54"/>
  <c r="DI700" i="54"/>
  <c r="DI441" i="54"/>
  <c r="DI1273" i="54"/>
  <c r="DI1271" i="54"/>
  <c r="DJ1271" i="54" s="1"/>
  <c r="BG532" i="54"/>
  <c r="BE532" i="54"/>
  <c r="DL855" i="54"/>
  <c r="DM855" i="54" s="1"/>
  <c r="DL441" i="54"/>
  <c r="DL231" i="54"/>
  <c r="DM231" i="54" s="1"/>
  <c r="DL856" i="54"/>
  <c r="DL1011" i="54"/>
  <c r="DM1011" i="54" s="1"/>
  <c r="DL232" i="54"/>
  <c r="EC394" i="54"/>
  <c r="EP395" i="54" s="1"/>
  <c r="DM958" i="54"/>
  <c r="DL233" i="54"/>
  <c r="AO13" i="67"/>
  <c r="DL75" i="54"/>
  <c r="DM75" i="54" s="1"/>
  <c r="DL77" i="54"/>
  <c r="BV35" i="66"/>
  <c r="BB36" i="66" s="1"/>
  <c r="CJ595" i="54" s="1"/>
  <c r="DL700" i="54"/>
  <c r="DL857" i="54"/>
  <c r="DL76" i="54"/>
  <c r="DL699" i="54"/>
  <c r="DM699" i="54" s="1"/>
  <c r="DI1532" i="54"/>
  <c r="DJ1532" i="54" s="1"/>
  <c r="DG76" i="54"/>
  <c r="EG595" i="54"/>
  <c r="EE595" i="54"/>
  <c r="DG1532" i="54"/>
  <c r="DI1533" i="54"/>
  <c r="ED595" i="54"/>
  <c r="EF595" i="54"/>
  <c r="BP531" i="54"/>
  <c r="DP73" i="66"/>
  <c r="BI532" i="54"/>
  <c r="EO254" i="54"/>
  <c r="BE472" i="54"/>
  <c r="BF472" i="54"/>
  <c r="BH472" i="54"/>
  <c r="BG472" i="54"/>
  <c r="CF475" i="54"/>
  <c r="CF595" i="54"/>
  <c r="EC174" i="54"/>
  <c r="EP175" i="54" s="1"/>
  <c r="FS594" i="54"/>
  <c r="FT594" i="54"/>
  <c r="FV594" i="54"/>
  <c r="FR594" i="54"/>
  <c r="FU594" i="54"/>
  <c r="EC594" i="54"/>
  <c r="EN595" i="54" s="1"/>
  <c r="BQ532" i="54"/>
  <c r="BO532" i="54"/>
  <c r="BR532" i="54"/>
  <c r="BP532" i="54"/>
  <c r="BL493" i="54"/>
  <c r="BK493" i="54"/>
  <c r="BJ493" i="54"/>
  <c r="BM493" i="54"/>
  <c r="EJ254" i="54"/>
  <c r="EI254" i="54"/>
  <c r="EH35" i="54"/>
  <c r="EE35" i="54"/>
  <c r="EQ254" i="54"/>
  <c r="EP135" i="54"/>
  <c r="DL1531" i="54"/>
  <c r="DM1531" i="54" s="1"/>
  <c r="DL1532" i="54"/>
  <c r="DL1533" i="54"/>
  <c r="BR533" i="54"/>
  <c r="DG1533" i="54"/>
  <c r="DP74" i="66"/>
  <c r="BI533" i="54"/>
  <c r="EN254" i="54"/>
  <c r="ER254" i="54"/>
  <c r="FN594" i="54"/>
  <c r="FQ594" i="54"/>
  <c r="FM594" i="54"/>
  <c r="FP594" i="54"/>
  <c r="FO594" i="54"/>
  <c r="EB594" i="54"/>
  <c r="EJ595" i="54" s="1"/>
  <c r="BO452" i="54"/>
  <c r="BR452" i="54"/>
  <c r="BP452" i="54"/>
  <c r="BQ452" i="54"/>
  <c r="BP513" i="54"/>
  <c r="BO513" i="54"/>
  <c r="BR513" i="54"/>
  <c r="BQ513" i="54"/>
  <c r="AX471" i="54"/>
  <c r="AU471" i="54"/>
  <c r="AV471" i="54"/>
  <c r="AW471" i="54"/>
  <c r="HY84" i="54"/>
  <c r="AP471" i="54"/>
  <c r="AS471" i="54"/>
  <c r="AQ471" i="54"/>
  <c r="AR471" i="54"/>
  <c r="BC471" i="54"/>
  <c r="AZ471" i="54"/>
  <c r="BA471" i="54"/>
  <c r="BB471" i="54"/>
  <c r="HQ67" i="54"/>
  <c r="IE67" i="54" s="1"/>
  <c r="HQ68" i="54"/>
  <c r="IE68" i="54" s="1"/>
  <c r="HQ66" i="54"/>
  <c r="IE66" i="54" s="1"/>
  <c r="HQ69" i="54"/>
  <c r="IE69" i="54" s="1"/>
  <c r="HQ70" i="54"/>
  <c r="HZ76" i="54"/>
  <c r="IA76" i="54" s="1"/>
  <c r="HS65" i="54"/>
  <c r="IG65" i="54" s="1"/>
  <c r="HS64" i="54"/>
  <c r="IG64" i="54" s="1"/>
  <c r="HH72" i="54"/>
  <c r="HN72" i="54" s="1"/>
  <c r="HH75" i="54"/>
  <c r="HN75" i="54" s="1"/>
  <c r="HH71" i="54"/>
  <c r="HN71" i="54" s="1"/>
  <c r="HH73" i="54"/>
  <c r="HN73" i="54" s="1"/>
  <c r="HH74" i="54"/>
  <c r="HN74" i="54" s="1"/>
  <c r="HH76" i="54"/>
  <c r="HH70" i="54"/>
  <c r="HN70" i="54" s="1"/>
  <c r="HS69" i="54"/>
  <c r="IG69" i="54" s="1"/>
  <c r="HS70" i="54"/>
  <c r="HS66" i="54"/>
  <c r="IG66" i="54" s="1"/>
  <c r="HS67" i="54"/>
  <c r="IG67" i="54" s="1"/>
  <c r="HS68" i="54"/>
  <c r="IG68" i="54" s="1"/>
  <c r="HR69" i="54"/>
  <c r="IF69" i="54" s="1"/>
  <c r="HR70" i="54"/>
  <c r="HR67" i="54"/>
  <c r="IF67" i="54" s="1"/>
  <c r="HR66" i="54"/>
  <c r="IF66" i="54" s="1"/>
  <c r="HR68" i="54"/>
  <c r="IF68" i="54" s="1"/>
  <c r="HR65" i="54"/>
  <c r="IF65" i="54" s="1"/>
  <c r="HR64" i="54"/>
  <c r="IF64" i="54" s="1"/>
  <c r="HQ65" i="54"/>
  <c r="IE65" i="54" s="1"/>
  <c r="HQ64" i="54"/>
  <c r="IE64" i="54" s="1"/>
  <c r="ER135" i="54"/>
  <c r="EQ135" i="54"/>
  <c r="EN135" i="54"/>
  <c r="EG475" i="54"/>
  <c r="DM1114" i="54"/>
  <c r="CA35" i="66"/>
  <c r="EC334" i="54"/>
  <c r="EO335" i="54" s="1"/>
  <c r="EC34" i="54"/>
  <c r="EO35" i="54" s="1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CH254" i="54"/>
  <c r="EA135" i="54"/>
  <c r="EF136" i="54" s="1"/>
  <c r="CJ315" i="54"/>
  <c r="CJ215" i="54"/>
  <c r="CJ195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Q415" i="54" s="1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EP555" i="54"/>
  <c r="EE475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ED475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EJ316" i="54" s="1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L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G233" i="54"/>
  <c r="CF95" i="54"/>
  <c r="BL56" i="66"/>
  <c r="DI806" i="54" s="1"/>
  <c r="DJ806" i="54" s="1"/>
  <c r="DF807" i="54"/>
  <c r="DF390" i="54"/>
  <c r="DG390" i="54" s="1"/>
  <c r="DF340" i="54"/>
  <c r="DG856" i="54"/>
  <c r="DG1064" i="54"/>
  <c r="DG1065" i="54"/>
  <c r="DG77" i="54"/>
  <c r="DG857" i="54"/>
  <c r="DG1013" i="54"/>
  <c r="DG1012" i="54"/>
  <c r="BU35" i="66"/>
  <c r="BA36" i="66" s="1"/>
  <c r="CH475" i="54" s="1"/>
  <c r="EB94" i="54"/>
  <c r="EJ95" i="54" s="1"/>
  <c r="CF535" i="54"/>
  <c r="II64" i="54"/>
  <c r="IP66" i="54" s="1"/>
  <c r="BY56" i="66"/>
  <c r="D6" i="57" s="1"/>
  <c r="DL130" i="54"/>
  <c r="DM130" i="54" s="1"/>
  <c r="DF391" i="54"/>
  <c r="N14" i="67"/>
  <c r="R14" i="67" s="1"/>
  <c r="DF338" i="54"/>
  <c r="DG338" i="54" s="1"/>
  <c r="BT56" i="66"/>
  <c r="AZ57" i="66" s="1"/>
  <c r="DF806" i="54"/>
  <c r="DG806" i="54" s="1"/>
  <c r="DF808" i="54"/>
  <c r="IP60" i="54"/>
  <c r="IP62" i="54"/>
  <c r="IK59" i="54"/>
  <c r="IP63" i="54"/>
  <c r="IF62" i="54"/>
  <c r="IP59" i="54"/>
  <c r="IF63" i="54"/>
  <c r="IK61" i="54"/>
  <c r="IK60" i="54"/>
  <c r="IG62" i="54"/>
  <c r="IG63" i="54"/>
  <c r="EH295" i="54"/>
  <c r="EO315" i="54"/>
  <c r="EO294" i="54"/>
  <c r="ER315" i="54"/>
  <c r="EP315" i="54"/>
  <c r="EL315" i="54"/>
  <c r="EI315" i="54"/>
  <c r="EM315" i="54"/>
  <c r="EQ315" i="54"/>
  <c r="EK315" i="54"/>
  <c r="DM388" i="54"/>
  <c r="DM129" i="54"/>
  <c r="AU12" i="67"/>
  <c r="AX12" i="67"/>
  <c r="AW12" i="67"/>
  <c r="AY12" i="67"/>
  <c r="AV12" i="67"/>
  <c r="DM389" i="54"/>
  <c r="DM128" i="54"/>
  <c r="DM804" i="54"/>
  <c r="DM337" i="54"/>
  <c r="Y13" i="67"/>
  <c r="EF316" i="54"/>
  <c r="DF339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EG395" i="54"/>
  <c r="CF415" i="54"/>
  <c r="ED175" i="54"/>
  <c r="EB174" i="54"/>
  <c r="EI175" i="54" s="1"/>
  <c r="EB394" i="54"/>
  <c r="EM395" i="54" s="1"/>
  <c r="EB34" i="54"/>
  <c r="EK35" i="54" s="1"/>
  <c r="BZ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M33" i="66"/>
  <c r="DG701" i="54"/>
  <c r="DG440" i="54"/>
  <c r="EG175" i="54"/>
  <c r="EH415" i="54"/>
  <c r="EE415" i="54"/>
  <c r="DG441" i="54"/>
  <c r="EH175" i="54"/>
  <c r="EG415" i="54"/>
  <c r="DM32" i="66"/>
  <c r="EG335" i="54"/>
  <c r="EH335" i="54"/>
  <c r="EE95" i="54"/>
  <c r="CF335" i="54"/>
  <c r="CF35" i="54"/>
  <c r="EG95" i="54"/>
  <c r="CF495" i="54"/>
  <c r="BK36" i="66"/>
  <c r="DF1016" i="54" s="1"/>
  <c r="EE395" i="54"/>
  <c r="ER354" i="54"/>
  <c r="CF395" i="54"/>
  <c r="BQ36" i="66"/>
  <c r="BR36" i="66" s="1"/>
  <c r="EH395" i="54"/>
  <c r="EF395" i="54"/>
  <c r="CF175" i="54"/>
  <c r="CF275" i="54"/>
  <c r="ED335" i="54"/>
  <c r="CT17" i="66"/>
  <c r="DJ33" i="66" s="1"/>
  <c r="EE335" i="54"/>
  <c r="EQ354" i="54"/>
  <c r="EO354" i="54"/>
  <c r="EP354" i="54"/>
  <c r="EP294" i="54"/>
  <c r="EQ294" i="54"/>
  <c r="EN294" i="54"/>
  <c r="CJ254" i="54"/>
  <c r="CJ434" i="54"/>
  <c r="BT15" i="66"/>
  <c r="AZ16" i="66" s="1"/>
  <c r="BY15" i="66"/>
  <c r="DF908" i="54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F179" i="54"/>
  <c r="DG179" i="54" s="1"/>
  <c r="EP434" i="54"/>
  <c r="DF649" i="54"/>
  <c r="DF180" i="54"/>
  <c r="DF961" i="54"/>
  <c r="DF1117" i="54"/>
  <c r="EO434" i="54"/>
  <c r="DF33" i="66"/>
  <c r="CJ294" i="54"/>
  <c r="CJ74" i="54"/>
  <c r="CJ354" i="54"/>
  <c r="CJ374" i="54"/>
  <c r="CH294" i="54"/>
  <c r="CH374" i="54"/>
  <c r="CH354" i="54"/>
  <c r="CH434" i="54"/>
  <c r="CJ535" i="54"/>
  <c r="CJ495" i="54"/>
  <c r="CJ475" i="54"/>
  <c r="DP53" i="66"/>
  <c r="BI412" i="54"/>
  <c r="BI332" i="54"/>
  <c r="BH432" i="54"/>
  <c r="BE432" i="54"/>
  <c r="BF432" i="54"/>
  <c r="BG432" i="54"/>
  <c r="BG393" i="54"/>
  <c r="BF393" i="54"/>
  <c r="BH393" i="54"/>
  <c r="BE393" i="54"/>
  <c r="DP34" i="66"/>
  <c r="BI433" i="54"/>
  <c r="BI353" i="54"/>
  <c r="BI393" i="54"/>
  <c r="DO13" i="66"/>
  <c r="BD372" i="54"/>
  <c r="BQ412" i="54"/>
  <c r="BG391" i="54"/>
  <c r="BF391" i="54"/>
  <c r="BE391" i="54"/>
  <c r="BH391" i="54"/>
  <c r="BR333" i="54"/>
  <c r="BF353" i="54"/>
  <c r="BE353" i="54"/>
  <c r="BH353" i="54"/>
  <c r="BG353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Q413" i="54"/>
  <c r="BH433" i="54"/>
  <c r="BE433" i="54"/>
  <c r="BG433" i="54"/>
  <c r="BF433" i="54"/>
  <c r="BI333" i="54"/>
  <c r="DP52" i="66"/>
  <c r="DS52" i="66" s="1"/>
  <c r="BI331" i="54"/>
  <c r="BI411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N13" i="66"/>
  <c r="BN472" i="54" s="1"/>
  <c r="DL14" i="66"/>
  <c r="BD473" i="54" s="1"/>
  <c r="DL12" i="66"/>
  <c r="BD471" i="54" s="1"/>
  <c r="CT9" i="66"/>
  <c r="DJ13" i="66" s="1"/>
  <c r="ED316" i="54"/>
  <c r="EI294" i="54"/>
  <c r="EE355" i="54"/>
  <c r="EG316" i="54"/>
  <c r="W14" i="67"/>
  <c r="EB155" i="54"/>
  <c r="EB55" i="54"/>
  <c r="EB135" i="54"/>
  <c r="EE255" i="54"/>
  <c r="EJ354" i="54"/>
  <c r="EM354" i="54"/>
  <c r="EJ434" i="54"/>
  <c r="EI434" i="54"/>
  <c r="EM434" i="54"/>
  <c r="EJ294" i="54"/>
  <c r="EK294" i="54"/>
  <c r="EK434" i="54"/>
  <c r="EM294" i="54"/>
  <c r="EK354" i="54"/>
  <c r="EL354" i="54"/>
  <c r="EL374" i="54"/>
  <c r="EM374" i="54"/>
  <c r="EI374" i="54"/>
  <c r="EJ374" i="54"/>
  <c r="CH315" i="54"/>
  <c r="CH155" i="54"/>
  <c r="CH55" i="54"/>
  <c r="CH13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DK33" i="66"/>
  <c r="DK34" i="66"/>
  <c r="EF355" i="54"/>
  <c r="EH375" i="54"/>
  <c r="EE75" i="54"/>
  <c r="EE295" i="54"/>
  <c r="EG255" i="54"/>
  <c r="ED355" i="54"/>
  <c r="EG355" i="54"/>
  <c r="EH355" i="54"/>
  <c r="DJ439" i="54"/>
  <c r="DJ855" i="54"/>
  <c r="DJ129" i="54"/>
  <c r="DJ128" i="54"/>
  <c r="DM288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I181" i="54"/>
  <c r="DI649" i="54"/>
  <c r="BU15" i="66"/>
  <c r="BA16" i="66" s="1"/>
  <c r="BZ15" i="66"/>
  <c r="EF375" i="54"/>
  <c r="EE375" i="54"/>
  <c r="EH75" i="54"/>
  <c r="EI55" i="54"/>
  <c r="EL55" i="54"/>
  <c r="EK55" i="54"/>
  <c r="DM600" i="54"/>
  <c r="EO55" i="54"/>
  <c r="EN55" i="54"/>
  <c r="EP55" i="54"/>
  <c r="ER55" i="54"/>
  <c r="EQ55" i="54"/>
  <c r="EF435" i="54"/>
  <c r="EG435" i="54"/>
  <c r="EH435" i="54"/>
  <c r="DK13" i="66"/>
  <c r="DK12" i="66"/>
  <c r="DK14" i="66"/>
  <c r="ED435" i="54"/>
  <c r="EG375" i="54"/>
  <c r="EF295" i="54"/>
  <c r="BR77" i="66"/>
  <c r="DL960" i="54"/>
  <c r="EP95" i="54"/>
  <c r="EO95" i="54"/>
  <c r="EQ95" i="54"/>
  <c r="ER95" i="54"/>
  <c r="EN95" i="54"/>
  <c r="EN16" i="54"/>
  <c r="EP16" i="54"/>
  <c r="EQ16" i="54"/>
  <c r="DM27" i="54"/>
  <c r="DF131" i="54"/>
  <c r="DF130" i="54"/>
  <c r="DG130" i="54" s="1"/>
  <c r="DF132" i="54"/>
  <c r="DJ288" i="54"/>
  <c r="DJ599" i="54"/>
  <c r="DJ28" i="54"/>
  <c r="DJ287" i="54"/>
  <c r="EK16" i="54"/>
  <c r="DM12" i="66"/>
  <c r="BI471" i="54" s="1"/>
  <c r="DM13" i="66"/>
  <c r="BI472" i="54" s="1"/>
  <c r="DM14" i="66"/>
  <c r="BI473" i="54" s="1"/>
  <c r="EO116" i="54"/>
  <c r="EE435" i="54"/>
  <c r="EF255" i="54"/>
  <c r="EI16" i="54"/>
  <c r="EH255" i="54"/>
  <c r="ED75" i="54"/>
  <c r="EF75" i="54"/>
  <c r="BL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M28" i="54"/>
  <c r="EQ236" i="54"/>
  <c r="EO236" i="54"/>
  <c r="EP236" i="54"/>
  <c r="EK236" i="54"/>
  <c r="EM236" i="54"/>
  <c r="EJ236" i="54"/>
  <c r="EI236" i="54"/>
  <c r="DJ600" i="54"/>
  <c r="ER16" i="54"/>
  <c r="ER236" i="54"/>
  <c r="EO16" i="54"/>
  <c r="ED255" i="54"/>
  <c r="EL236" i="54"/>
  <c r="EG295" i="54"/>
  <c r="EJ55" i="54"/>
  <c r="EI155" i="54"/>
  <c r="EK155" i="54"/>
  <c r="EK135" i="54"/>
  <c r="EI135" i="54"/>
  <c r="EJ135" i="54"/>
  <c r="EL135" i="54"/>
  <c r="EJ155" i="54"/>
  <c r="EM155" i="54"/>
  <c r="BY77" i="66"/>
  <c r="CI34" i="66" s="1"/>
  <c r="BT77" i="66"/>
  <c r="AZ78" i="66" s="1"/>
  <c r="BK16" i="66"/>
  <c r="BQ16" i="66"/>
  <c r="EO575" i="54" l="1"/>
  <c r="DN33" i="66"/>
  <c r="DN32" i="66"/>
  <c r="DN34" i="66"/>
  <c r="BP412" i="54"/>
  <c r="BR412" i="54"/>
  <c r="DF1483" i="54"/>
  <c r="DG1483" i="54" s="1"/>
  <c r="DF1482" i="54"/>
  <c r="DG1482" i="54" s="1"/>
  <c r="DF1484" i="54"/>
  <c r="DG1484" i="54" s="1"/>
  <c r="CF455" i="54"/>
  <c r="CF575" i="54"/>
  <c r="FL575" i="54"/>
  <c r="FH575" i="54"/>
  <c r="FI575" i="54"/>
  <c r="FJ575" i="54"/>
  <c r="EA575" i="54"/>
  <c r="EH576" i="54" s="1"/>
  <c r="FK575" i="54"/>
  <c r="CH455" i="54"/>
  <c r="CH575" i="54"/>
  <c r="EG575" i="54"/>
  <c r="EE575" i="54"/>
  <c r="DI1481" i="54"/>
  <c r="DJ1481" i="54" s="1"/>
  <c r="DI1480" i="54"/>
  <c r="DI1479" i="54"/>
  <c r="DJ1479" i="54" s="1"/>
  <c r="ED575" i="54"/>
  <c r="EF575" i="54"/>
  <c r="EF576" i="54" s="1"/>
  <c r="EN575" i="54"/>
  <c r="EP575" i="54"/>
  <c r="ER575" i="54"/>
  <c r="DL1481" i="54"/>
  <c r="DM1481" i="54" s="1"/>
  <c r="DL1480" i="54"/>
  <c r="DL1479" i="54"/>
  <c r="DM1479" i="54" s="1"/>
  <c r="EQ575" i="54"/>
  <c r="BI451" i="54"/>
  <c r="BI513" i="54"/>
  <c r="BK513" i="54" s="1"/>
  <c r="BI452" i="54"/>
  <c r="BJ452" i="54" s="1"/>
  <c r="BR332" i="54"/>
  <c r="BP533" i="54"/>
  <c r="BO533" i="54"/>
  <c r="BQ451" i="54"/>
  <c r="BO512" i="54"/>
  <c r="BP512" i="54"/>
  <c r="BR512" i="54"/>
  <c r="BQ332" i="54"/>
  <c r="BO332" i="54"/>
  <c r="BP451" i="54"/>
  <c r="BI413" i="54"/>
  <c r="BP413" i="54"/>
  <c r="DP54" i="66"/>
  <c r="BR413" i="54"/>
  <c r="EO595" i="54"/>
  <c r="EP335" i="54"/>
  <c r="DI390" i="54"/>
  <c r="DJ390" i="54" s="1"/>
  <c r="BQ511" i="54"/>
  <c r="BP453" i="54"/>
  <c r="BO451" i="54"/>
  <c r="BP511" i="54"/>
  <c r="BQ333" i="54"/>
  <c r="BO333" i="54"/>
  <c r="BO511" i="54"/>
  <c r="EG156" i="54"/>
  <c r="DP72" i="66"/>
  <c r="DS72" i="66" s="1"/>
  <c r="BO531" i="54"/>
  <c r="BQ531" i="54"/>
  <c r="AO452" i="54"/>
  <c r="AQ452" i="54" s="1"/>
  <c r="BQ453" i="54"/>
  <c r="BO453" i="54"/>
  <c r="EQ395" i="54"/>
  <c r="DH73" i="66"/>
  <c r="AY532" i="54" s="1"/>
  <c r="EE136" i="54"/>
  <c r="DJ77" i="54"/>
  <c r="DJ701" i="54"/>
  <c r="DJ700" i="54"/>
  <c r="DM77" i="54"/>
  <c r="DF54" i="66"/>
  <c r="AO413" i="54" s="1"/>
  <c r="AS413" i="54" s="1"/>
  <c r="AO512" i="54"/>
  <c r="AS512" i="54" s="1"/>
  <c r="DJ1065" i="54"/>
  <c r="DJ857" i="54"/>
  <c r="AO332" i="54"/>
  <c r="AR332" i="54" s="1"/>
  <c r="DR53" i="66"/>
  <c r="DJ1064" i="54"/>
  <c r="DJ441" i="54"/>
  <c r="EF156" i="54"/>
  <c r="DJ232" i="54"/>
  <c r="DJ440" i="54"/>
  <c r="DM856" i="54"/>
  <c r="DJ233" i="54"/>
  <c r="HZ84" i="54"/>
  <c r="IA84" i="54" s="1"/>
  <c r="EH156" i="54"/>
  <c r="ED156" i="54"/>
  <c r="DJ1013" i="54"/>
  <c r="DJ1377" i="54"/>
  <c r="FN615" i="54"/>
  <c r="EB215" i="54"/>
  <c r="EK216" i="54" s="1"/>
  <c r="FQ615" i="54"/>
  <c r="EB195" i="54"/>
  <c r="EK196" i="54" s="1"/>
  <c r="DI339" i="54"/>
  <c r="DI392" i="54"/>
  <c r="DI391" i="54"/>
  <c r="DI807" i="54"/>
  <c r="DJ807" i="54" s="1"/>
  <c r="O14" i="67"/>
  <c r="S14" i="67" s="1"/>
  <c r="DI338" i="54"/>
  <c r="DJ338" i="54" s="1"/>
  <c r="DI808" i="54"/>
  <c r="DM76" i="54"/>
  <c r="DJ1272" i="54"/>
  <c r="EB615" i="54"/>
  <c r="EM616" i="54" s="1"/>
  <c r="FO615" i="54"/>
  <c r="FM615" i="54"/>
  <c r="DL131" i="54"/>
  <c r="DM131" i="54" s="1"/>
  <c r="EG616" i="54"/>
  <c r="EE616" i="54"/>
  <c r="ED616" i="54"/>
  <c r="DL132" i="54"/>
  <c r="DG1642" i="54"/>
  <c r="DG1643" i="54"/>
  <c r="FN636" i="54"/>
  <c r="FM636" i="54"/>
  <c r="FP636" i="54"/>
  <c r="FO636" i="54"/>
  <c r="FQ636" i="54"/>
  <c r="EB636" i="54"/>
  <c r="EF637" i="54"/>
  <c r="DL1641" i="54"/>
  <c r="DM1641" i="54" s="1"/>
  <c r="DL1643" i="54"/>
  <c r="DL1642" i="54"/>
  <c r="CF517" i="54"/>
  <c r="CF637" i="54"/>
  <c r="EE637" i="54"/>
  <c r="EG637" i="54"/>
  <c r="DI1641" i="54"/>
  <c r="DJ1641" i="54" s="1"/>
  <c r="DI1643" i="54"/>
  <c r="DI1642" i="54"/>
  <c r="FT636" i="54"/>
  <c r="FV636" i="54"/>
  <c r="FR636" i="54"/>
  <c r="FS636" i="54"/>
  <c r="FU636" i="54"/>
  <c r="EC636" i="54"/>
  <c r="EQ637" i="54" s="1"/>
  <c r="EH637" i="54"/>
  <c r="CF316" i="54"/>
  <c r="CF616" i="54"/>
  <c r="DL808" i="54"/>
  <c r="DL1588" i="54"/>
  <c r="DL1586" i="54"/>
  <c r="DM1586" i="54" s="1"/>
  <c r="DL1587" i="54"/>
  <c r="FT615" i="54"/>
  <c r="FV615" i="54"/>
  <c r="FU615" i="54"/>
  <c r="FR615" i="54"/>
  <c r="FS615" i="54"/>
  <c r="EC615" i="54"/>
  <c r="EN616" i="54" s="1"/>
  <c r="DL391" i="54"/>
  <c r="DG1588" i="54"/>
  <c r="DL340" i="54"/>
  <c r="CF156" i="54"/>
  <c r="DI1586" i="54"/>
  <c r="DJ1586" i="54" s="1"/>
  <c r="DI1588" i="54"/>
  <c r="DI1587" i="54"/>
  <c r="EP616" i="54"/>
  <c r="BV56" i="66"/>
  <c r="BB57" i="66" s="1"/>
  <c r="CJ216" i="54" s="1"/>
  <c r="DG1587" i="54"/>
  <c r="EF616" i="54"/>
  <c r="AO532" i="54"/>
  <c r="AS532" i="54" s="1"/>
  <c r="EN395" i="54"/>
  <c r="EO395" i="54"/>
  <c r="DH53" i="66"/>
  <c r="AY412" i="54" s="1"/>
  <c r="AZ412" i="54" s="1"/>
  <c r="DF74" i="66"/>
  <c r="AO533" i="54" s="1"/>
  <c r="ER395" i="54"/>
  <c r="EN335" i="54"/>
  <c r="EQ335" i="54"/>
  <c r="ER335" i="54"/>
  <c r="EO175" i="54"/>
  <c r="EP595" i="54"/>
  <c r="EN275" i="54"/>
  <c r="EQ35" i="54"/>
  <c r="EQ275" i="54"/>
  <c r="EQ175" i="54"/>
  <c r="DG73" i="66"/>
  <c r="AT532" i="54" s="1"/>
  <c r="AX532" i="54" s="1"/>
  <c r="ER35" i="54"/>
  <c r="ER275" i="54"/>
  <c r="EN175" i="54"/>
  <c r="EJ216" i="54"/>
  <c r="DJ1273" i="54"/>
  <c r="DM857" i="54"/>
  <c r="EJ335" i="54"/>
  <c r="ER175" i="54"/>
  <c r="EH136" i="54"/>
  <c r="DM1012" i="54"/>
  <c r="DM1013" i="54"/>
  <c r="DM232" i="54"/>
  <c r="EN415" i="54"/>
  <c r="EO415" i="54"/>
  <c r="ER415" i="54"/>
  <c r="EK335" i="54"/>
  <c r="EM335" i="54"/>
  <c r="EI335" i="54"/>
  <c r="DJ76" i="54"/>
  <c r="DJ1219" i="54"/>
  <c r="DJ1221" i="54"/>
  <c r="DJ1012" i="54"/>
  <c r="AS412" i="54"/>
  <c r="DM701" i="54"/>
  <c r="DM233" i="54"/>
  <c r="EN35" i="54"/>
  <c r="AQ412" i="54"/>
  <c r="DM700" i="54"/>
  <c r="EP35" i="54"/>
  <c r="AP412" i="54"/>
  <c r="AP13" i="67"/>
  <c r="AT13" i="67" s="1"/>
  <c r="AU13" i="67" s="1"/>
  <c r="DJ1533" i="54"/>
  <c r="CH175" i="54"/>
  <c r="EP415" i="54"/>
  <c r="CH335" i="54"/>
  <c r="CH495" i="54"/>
  <c r="DM1533" i="54"/>
  <c r="CH35" i="54"/>
  <c r="EI316" i="54"/>
  <c r="EG136" i="54"/>
  <c r="ED136" i="54"/>
  <c r="CH415" i="54"/>
  <c r="DF1066" i="54"/>
  <c r="DG1066" i="54" s="1"/>
  <c r="EP275" i="54"/>
  <c r="DF1014" i="54"/>
  <c r="DG1014" i="54" s="1"/>
  <c r="DM1065" i="54"/>
  <c r="DM1532" i="54"/>
  <c r="IE70" i="54"/>
  <c r="ER595" i="54"/>
  <c r="EM316" i="54"/>
  <c r="EL595" i="54"/>
  <c r="BL471" i="54"/>
  <c r="BM471" i="54"/>
  <c r="BJ471" i="54"/>
  <c r="BK471" i="54"/>
  <c r="BJ473" i="54"/>
  <c r="BK473" i="54"/>
  <c r="BM473" i="54"/>
  <c r="BL473" i="54"/>
  <c r="BJ472" i="54"/>
  <c r="BM472" i="54"/>
  <c r="BK472" i="54"/>
  <c r="BL472" i="54"/>
  <c r="FN595" i="54"/>
  <c r="FQ595" i="54"/>
  <c r="FO595" i="54"/>
  <c r="FP595" i="54"/>
  <c r="FM595" i="54"/>
  <c r="EB595" i="54"/>
  <c r="EJ596" i="54" s="1"/>
  <c r="FJ595" i="54"/>
  <c r="FK595" i="54"/>
  <c r="FI595" i="54"/>
  <c r="FH595" i="54"/>
  <c r="FL595" i="54"/>
  <c r="EA595" i="54"/>
  <c r="DF1536" i="54"/>
  <c r="DF1535" i="54"/>
  <c r="DF1534" i="54"/>
  <c r="DG1534" i="54" s="1"/>
  <c r="DP32" i="66"/>
  <c r="BI491" i="54"/>
  <c r="BL452" i="54"/>
  <c r="BM531" i="54"/>
  <c r="BK531" i="54"/>
  <c r="BL531" i="54"/>
  <c r="BJ531" i="54"/>
  <c r="EI595" i="54"/>
  <c r="BM453" i="54"/>
  <c r="BJ453" i="54"/>
  <c r="BK453" i="54"/>
  <c r="BL453" i="54"/>
  <c r="BM451" i="54"/>
  <c r="BK451" i="54"/>
  <c r="BL451" i="54"/>
  <c r="BJ451" i="54"/>
  <c r="EQ595" i="54"/>
  <c r="BL512" i="54"/>
  <c r="BK512" i="54"/>
  <c r="BM512" i="54"/>
  <c r="BJ512" i="54"/>
  <c r="EM595" i="54"/>
  <c r="BJ513" i="54"/>
  <c r="BM513" i="54"/>
  <c r="BL513" i="54"/>
  <c r="BM511" i="54"/>
  <c r="BK511" i="54"/>
  <c r="BL511" i="54"/>
  <c r="BJ511" i="54"/>
  <c r="BE471" i="54"/>
  <c r="BG471" i="54"/>
  <c r="BF471" i="54"/>
  <c r="BH471" i="54"/>
  <c r="BF473" i="54"/>
  <c r="BH473" i="54"/>
  <c r="BG473" i="54"/>
  <c r="BE473" i="54"/>
  <c r="AY512" i="54"/>
  <c r="DP33" i="66"/>
  <c r="BI492" i="54"/>
  <c r="DT73" i="66"/>
  <c r="CH535" i="54"/>
  <c r="CH595" i="54"/>
  <c r="BM533" i="54"/>
  <c r="BL533" i="54"/>
  <c r="BK533" i="54"/>
  <c r="BJ533" i="54"/>
  <c r="BM532" i="54"/>
  <c r="BK532" i="54"/>
  <c r="BJ532" i="54"/>
  <c r="BL532" i="54"/>
  <c r="EK595" i="54"/>
  <c r="BR472" i="54"/>
  <c r="BQ472" i="54"/>
  <c r="BP472" i="54"/>
  <c r="BO472" i="54"/>
  <c r="AR452" i="54"/>
  <c r="AO432" i="54"/>
  <c r="AP432" i="54" s="1"/>
  <c r="AO492" i="54"/>
  <c r="DJ751" i="54"/>
  <c r="HV71" i="54"/>
  <c r="HJ76" i="54"/>
  <c r="HP76" i="54" s="1"/>
  <c r="HJ72" i="54"/>
  <c r="HP72" i="54" s="1"/>
  <c r="HJ70" i="54"/>
  <c r="HP70" i="54" s="1"/>
  <c r="IG70" i="54" s="1"/>
  <c r="HJ75" i="54"/>
  <c r="HP75" i="54" s="1"/>
  <c r="HJ73" i="54"/>
  <c r="HP73" i="54" s="1"/>
  <c r="HJ71" i="54"/>
  <c r="HP71" i="54" s="1"/>
  <c r="HJ74" i="54"/>
  <c r="HP74" i="54" s="1"/>
  <c r="DG751" i="54"/>
  <c r="HU71" i="54"/>
  <c r="HH84" i="54"/>
  <c r="HH80" i="54"/>
  <c r="HN80" i="54" s="1"/>
  <c r="HH77" i="54"/>
  <c r="HN77" i="54" s="1"/>
  <c r="HH81" i="54"/>
  <c r="HN81" i="54" s="1"/>
  <c r="HH78" i="54"/>
  <c r="HN78" i="54" s="1"/>
  <c r="HH82" i="54"/>
  <c r="HN82" i="54" s="1"/>
  <c r="HH83" i="54"/>
  <c r="HN83" i="54" s="1"/>
  <c r="HH79" i="54"/>
  <c r="HN79" i="54" s="1"/>
  <c r="HI70" i="54"/>
  <c r="HO70" i="54" s="1"/>
  <c r="IF70" i="54" s="1"/>
  <c r="HI71" i="54"/>
  <c r="HO71" i="54" s="1"/>
  <c r="HI74" i="54"/>
  <c r="HO74" i="54" s="1"/>
  <c r="HI76" i="54"/>
  <c r="HI73" i="54"/>
  <c r="HO73" i="54" s="1"/>
  <c r="HI75" i="54"/>
  <c r="HO75" i="54" s="1"/>
  <c r="HI72" i="54"/>
  <c r="HO72" i="54" s="1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K57" i="66"/>
  <c r="DF1433" i="54" s="1"/>
  <c r="DG1433" i="54" s="1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Y14" i="67" s="1"/>
  <c r="EC195" i="54"/>
  <c r="EC155" i="54"/>
  <c r="EO156" i="54" s="1"/>
  <c r="EC55" i="54"/>
  <c r="EO56" i="54" s="1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K475" i="54"/>
  <c r="EP495" i="54"/>
  <c r="ER475" i="54"/>
  <c r="EI455" i="54"/>
  <c r="EL455" i="54"/>
  <c r="EP455" i="54"/>
  <c r="CH275" i="54"/>
  <c r="DL338" i="54"/>
  <c r="DM338" i="54" s="1"/>
  <c r="DL807" i="54"/>
  <c r="BQ57" i="66"/>
  <c r="EA316" i="54" s="1"/>
  <c r="EE317" i="54" s="1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B475" i="54"/>
  <c r="EM476" i="54" s="1"/>
  <c r="EB535" i="54"/>
  <c r="DL909" i="54"/>
  <c r="DL1168" i="54"/>
  <c r="DL1167" i="54"/>
  <c r="DM1167" i="54" s="1"/>
  <c r="DL1169" i="54"/>
  <c r="EA175" i="54"/>
  <c r="EE176" i="54" s="1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F1274" i="54"/>
  <c r="DG1274" i="54" s="1"/>
  <c r="DF1276" i="54"/>
  <c r="DF1223" i="54"/>
  <c r="DF1222" i="54"/>
  <c r="DG1222" i="54" s="1"/>
  <c r="DF1378" i="54"/>
  <c r="DG1378" i="54" s="1"/>
  <c r="DF1224" i="54"/>
  <c r="DL392" i="54"/>
  <c r="DL1430" i="54"/>
  <c r="DM1430" i="54" s="1"/>
  <c r="DL1431" i="54"/>
  <c r="DL1432" i="54"/>
  <c r="DI340" i="54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CF75" i="54"/>
  <c r="CF435" i="54"/>
  <c r="CF295" i="54"/>
  <c r="CF375" i="54"/>
  <c r="CF355" i="54"/>
  <c r="IK62" i="54"/>
  <c r="IT62" i="54" s="1"/>
  <c r="DL1117" i="54"/>
  <c r="DL181" i="54"/>
  <c r="CA15" i="66"/>
  <c r="DL752" i="54"/>
  <c r="EM95" i="54"/>
  <c r="EI95" i="54"/>
  <c r="EL95" i="54"/>
  <c r="EK95" i="54"/>
  <c r="AM14" i="67"/>
  <c r="IP69" i="54"/>
  <c r="CA56" i="66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DG340" i="54"/>
  <c r="DF343" i="54"/>
  <c r="N15" i="67"/>
  <c r="R15" i="67" s="1"/>
  <c r="EJ275" i="54"/>
  <c r="EI395" i="54"/>
  <c r="EJ395" i="54"/>
  <c r="EK275" i="54"/>
  <c r="EL275" i="54"/>
  <c r="EI275" i="54"/>
  <c r="EL395" i="54"/>
  <c r="EK395" i="54"/>
  <c r="HN7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BY36" i="66"/>
  <c r="DF1067" i="54"/>
  <c r="DF78" i="54"/>
  <c r="DG78" i="54" s="1"/>
  <c r="DF1068" i="54"/>
  <c r="DF236" i="54"/>
  <c r="BL36" i="66"/>
  <c r="DI442" i="54" s="1"/>
  <c r="EC395" i="54"/>
  <c r="DF703" i="54"/>
  <c r="DF443" i="54"/>
  <c r="DL702" i="54"/>
  <c r="EA335" i="54"/>
  <c r="EG336" i="54" s="1"/>
  <c r="EA35" i="54"/>
  <c r="EG36" i="54" s="1"/>
  <c r="DF79" i="54"/>
  <c r="DF858" i="54"/>
  <c r="DF444" i="54"/>
  <c r="EA275" i="54"/>
  <c r="BT36" i="66"/>
  <c r="AZ37" i="66" s="1"/>
  <c r="CF596" i="54" s="1"/>
  <c r="DF234" i="54"/>
  <c r="DG234" i="54" s="1"/>
  <c r="DF80" i="54"/>
  <c r="DF235" i="54"/>
  <c r="DF1015" i="54"/>
  <c r="DF442" i="54"/>
  <c r="DG442" i="54" s="1"/>
  <c r="EA415" i="54"/>
  <c r="EE416" i="54" s="1"/>
  <c r="BI392" i="54"/>
  <c r="BJ392" i="54" s="1"/>
  <c r="BI352" i="54"/>
  <c r="BK352" i="54" s="1"/>
  <c r="BI432" i="54"/>
  <c r="BK432" i="54" s="1"/>
  <c r="DJ34" i="66"/>
  <c r="DJ32" i="66"/>
  <c r="BI351" i="54"/>
  <c r="BJ351" i="54" s="1"/>
  <c r="BI391" i="54"/>
  <c r="BK391" i="54" s="1"/>
  <c r="BI431" i="54"/>
  <c r="BK431" i="54" s="1"/>
  <c r="DG961" i="54"/>
  <c r="DF34" i="66"/>
  <c r="AO352" i="54"/>
  <c r="AS352" i="54" s="1"/>
  <c r="AO392" i="54"/>
  <c r="AR392" i="54" s="1"/>
  <c r="DR33" i="66"/>
  <c r="DG1117" i="54"/>
  <c r="DG752" i="54"/>
  <c r="DG908" i="54"/>
  <c r="DN14" i="66"/>
  <c r="DG180" i="54"/>
  <c r="DG909" i="54"/>
  <c r="DG753" i="54"/>
  <c r="DG1116" i="54"/>
  <c r="DG649" i="54"/>
  <c r="DG181" i="54"/>
  <c r="BV15" i="66"/>
  <c r="BB16" i="66" s="1"/>
  <c r="CJ75" i="54" s="1"/>
  <c r="DL751" i="54"/>
  <c r="HW71" i="54" s="1"/>
  <c r="DL180" i="54"/>
  <c r="DL961" i="54"/>
  <c r="DL179" i="54"/>
  <c r="DM179" i="54" s="1"/>
  <c r="DL959" i="54"/>
  <c r="DM959" i="54" s="1"/>
  <c r="DL753" i="54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DG53" i="66"/>
  <c r="DP13" i="66"/>
  <c r="BI372" i="54"/>
  <c r="DO12" i="66"/>
  <c r="DR12" i="66" s="1"/>
  <c r="BD371" i="54"/>
  <c r="BJ331" i="54"/>
  <c r="BK331" i="54"/>
  <c r="BL331" i="54"/>
  <c r="BM331" i="54"/>
  <c r="DP12" i="66"/>
  <c r="BI371" i="54"/>
  <c r="DO14" i="66"/>
  <c r="BD373" i="54"/>
  <c r="BK393" i="54"/>
  <c r="BL393" i="54"/>
  <c r="BJ393" i="54"/>
  <c r="BM393" i="54"/>
  <c r="BK332" i="54"/>
  <c r="BL332" i="54"/>
  <c r="BM332" i="54"/>
  <c r="BJ332" i="54"/>
  <c r="BM333" i="54"/>
  <c r="BK333" i="54"/>
  <c r="BJ333" i="54"/>
  <c r="BL333" i="54"/>
  <c r="BL353" i="54"/>
  <c r="BK353" i="54"/>
  <c r="BJ353" i="54"/>
  <c r="BM353" i="54"/>
  <c r="BL412" i="54"/>
  <c r="BK412" i="54"/>
  <c r="BM412" i="54"/>
  <c r="BJ412" i="54"/>
  <c r="DP14" i="66"/>
  <c r="BI373" i="54"/>
  <c r="DQ13" i="66"/>
  <c r="BN372" i="54"/>
  <c r="BL411" i="54"/>
  <c r="BJ411" i="54"/>
  <c r="BM411" i="54"/>
  <c r="BK411" i="54"/>
  <c r="BL413" i="54"/>
  <c r="BM413" i="54"/>
  <c r="BJ413" i="54"/>
  <c r="BK413" i="54"/>
  <c r="BG372" i="54"/>
  <c r="BH372" i="54"/>
  <c r="BE372" i="54"/>
  <c r="BF372" i="54"/>
  <c r="BM433" i="54"/>
  <c r="BK433" i="54"/>
  <c r="BL433" i="54"/>
  <c r="BJ433" i="54"/>
  <c r="DN12" i="66"/>
  <c r="BN471" i="54" s="1"/>
  <c r="DJ14" i="66"/>
  <c r="DJ12" i="66"/>
  <c r="EJ355" i="54"/>
  <c r="IK69" i="54"/>
  <c r="IR69" i="54" s="1"/>
  <c r="CF23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236" i="54"/>
  <c r="EK237" i="54" s="1"/>
  <c r="EC236" i="54"/>
  <c r="EN237" i="54" s="1"/>
  <c r="EC116" i="54"/>
  <c r="EN117" i="54" s="1"/>
  <c r="EC16" i="54"/>
  <c r="ER17" i="54" s="1"/>
  <c r="EB95" i="54"/>
  <c r="EB275" i="54"/>
  <c r="EB395" i="54"/>
  <c r="EB415" i="54"/>
  <c r="EM416" i="54" s="1"/>
  <c r="EB35" i="54"/>
  <c r="EK36" i="54" s="1"/>
  <c r="EB175" i="54"/>
  <c r="EB335" i="54"/>
  <c r="EA75" i="54"/>
  <c r="EF76" i="54" s="1"/>
  <c r="EA255" i="54"/>
  <c r="ED256" i="54" s="1"/>
  <c r="EA295" i="54"/>
  <c r="HY91" i="54" s="1"/>
  <c r="EA355" i="54"/>
  <c r="EA375" i="54"/>
  <c r="EF376" i="54" s="1"/>
  <c r="EA435" i="54"/>
  <c r="EE436" i="54" s="1"/>
  <c r="DJ180" i="54"/>
  <c r="DJ649" i="54"/>
  <c r="DJ1116" i="54"/>
  <c r="DG131" i="54"/>
  <c r="EP375" i="54"/>
  <c r="DG602" i="54"/>
  <c r="EG117" i="54"/>
  <c r="ED117" i="54"/>
  <c r="DJ181" i="54"/>
  <c r="DJ648" i="54"/>
  <c r="DJ752" i="54"/>
  <c r="BR16" i="66"/>
  <c r="DG603" i="54"/>
  <c r="DG31" i="54"/>
  <c r="DG132" i="54"/>
  <c r="ED56" i="54"/>
  <c r="EG56" i="54"/>
  <c r="EH56" i="54"/>
  <c r="EE56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L16" i="66"/>
  <c r="DF650" i="54"/>
  <c r="DG650" i="54" s="1"/>
  <c r="DF964" i="54"/>
  <c r="DF1119" i="54"/>
  <c r="DF912" i="54"/>
  <c r="DF755" i="54"/>
  <c r="HU81" i="54" s="1"/>
  <c r="DF182" i="54"/>
  <c r="DG182" i="54" s="1"/>
  <c r="DF1120" i="54"/>
  <c r="DF183" i="54"/>
  <c r="DF184" i="54"/>
  <c r="DF756" i="54"/>
  <c r="HU84" i="54" s="1"/>
  <c r="DF1118" i="54"/>
  <c r="DG1118" i="54" s="1"/>
  <c r="DF754" i="54"/>
  <c r="DF911" i="54"/>
  <c r="DF651" i="54"/>
  <c r="DF652" i="54"/>
  <c r="DF910" i="54"/>
  <c r="DG910" i="54" s="1"/>
  <c r="DF963" i="54"/>
  <c r="DF962" i="54"/>
  <c r="DG962" i="54" s="1"/>
  <c r="CO34" i="66"/>
  <c r="CS34" i="66"/>
  <c r="DG290" i="54"/>
  <c r="DG30" i="54"/>
  <c r="EO75" i="54"/>
  <c r="EQ75" i="54"/>
  <c r="EN75" i="54"/>
  <c r="ER75" i="54"/>
  <c r="EP75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30" i="54"/>
  <c r="DI31" i="54"/>
  <c r="DI29" i="54"/>
  <c r="DJ29" i="54" s="1"/>
  <c r="DI601" i="54"/>
  <c r="DJ601" i="54" s="1"/>
  <c r="DI291" i="54"/>
  <c r="DI290" i="54"/>
  <c r="DI289" i="54"/>
  <c r="DJ289" i="54" s="1"/>
  <c r="DI603" i="54"/>
  <c r="DI602" i="54"/>
  <c r="BZ77" i="66"/>
  <c r="CJ34" i="66" s="1"/>
  <c r="BU77" i="66"/>
  <c r="BA78" i="66" s="1"/>
  <c r="DI131" i="54"/>
  <c r="DI132" i="54"/>
  <c r="DI1068" i="54"/>
  <c r="DI130" i="54"/>
  <c r="DJ130" i="54" s="1"/>
  <c r="EK56" i="54"/>
  <c r="ER435" i="54"/>
  <c r="EP435" i="54"/>
  <c r="EQ435" i="54"/>
  <c r="EN435" i="54"/>
  <c r="EO435" i="54"/>
  <c r="ER295" i="54"/>
  <c r="EN295" i="54"/>
  <c r="EQ295" i="54"/>
  <c r="EO295" i="54"/>
  <c r="EP295" i="54"/>
  <c r="EN375" i="54"/>
  <c r="EK355" i="54"/>
  <c r="EL355" i="54"/>
  <c r="EM355" i="54"/>
  <c r="EI355" i="54"/>
  <c r="DJ960" i="54"/>
  <c r="DJ909" i="54"/>
  <c r="DL30" i="54"/>
  <c r="DL31" i="54"/>
  <c r="DL29" i="54"/>
  <c r="DM29" i="54" s="1"/>
  <c r="DL601" i="54"/>
  <c r="DM601" i="54" s="1"/>
  <c r="DL602" i="54"/>
  <c r="DL291" i="54"/>
  <c r="DL290" i="54"/>
  <c r="DL603" i="54"/>
  <c r="DL289" i="54"/>
  <c r="DM289" i="54" s="1"/>
  <c r="DG291" i="54"/>
  <c r="ED237" i="54"/>
  <c r="EH237" i="54"/>
  <c r="EE237" i="54"/>
  <c r="EF237" i="54"/>
  <c r="EG237" i="54"/>
  <c r="EN355" i="54"/>
  <c r="EO355" i="54"/>
  <c r="EP355" i="54"/>
  <c r="EQ355" i="54"/>
  <c r="ER355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Z56" i="66"/>
  <c r="E6" i="57" s="1"/>
  <c r="EK156" i="54"/>
  <c r="EM136" i="54"/>
  <c r="BU56" i="66"/>
  <c r="BV77" i="66"/>
  <c r="BB78" i="66" s="1"/>
  <c r="CA77" i="66"/>
  <c r="CK34" i="66" s="1"/>
  <c r="BY16" i="66"/>
  <c r="BQ78" i="66"/>
  <c r="BK78" i="66"/>
  <c r="BT16" i="66"/>
  <c r="AZ17" i="66" s="1"/>
  <c r="BN493" i="54" l="1"/>
  <c r="DQ34" i="66"/>
  <c r="BN433" i="54"/>
  <c r="BN393" i="54"/>
  <c r="BN353" i="54"/>
  <c r="CU34" i="66"/>
  <c r="CQ34" i="66"/>
  <c r="BN491" i="54"/>
  <c r="DQ32" i="66"/>
  <c r="BN431" i="54"/>
  <c r="BN391" i="54"/>
  <c r="BN351" i="54"/>
  <c r="BN492" i="54"/>
  <c r="BN432" i="54"/>
  <c r="BN352" i="54"/>
  <c r="DQ33" i="66"/>
  <c r="BN392" i="54"/>
  <c r="FQ575" i="54"/>
  <c r="FM575" i="54"/>
  <c r="FN575" i="54"/>
  <c r="FP575" i="54"/>
  <c r="EB575" i="54"/>
  <c r="FO575" i="54"/>
  <c r="DM1480" i="54"/>
  <c r="ED576" i="54"/>
  <c r="EE576" i="54"/>
  <c r="CF456" i="54"/>
  <c r="CF576" i="54"/>
  <c r="DI1482" i="54"/>
  <c r="DJ1482" i="54" s="1"/>
  <c r="DI1483" i="54"/>
  <c r="DJ1483" i="54" s="1"/>
  <c r="DI1484" i="54"/>
  <c r="DJ1484" i="54" s="1"/>
  <c r="DJ1480" i="54"/>
  <c r="EG576" i="54"/>
  <c r="DL1482" i="54"/>
  <c r="DM1482" i="54" s="1"/>
  <c r="DL1484" i="54"/>
  <c r="DL1483" i="54"/>
  <c r="DM1483" i="54" s="1"/>
  <c r="FU575" i="54"/>
  <c r="FV575" i="54"/>
  <c r="FR575" i="54"/>
  <c r="FT575" i="54"/>
  <c r="EC575" i="54"/>
  <c r="FS575" i="54"/>
  <c r="EP576" i="54"/>
  <c r="CJ455" i="54"/>
  <c r="CJ575" i="54"/>
  <c r="EI596" i="54"/>
  <c r="BM452" i="54"/>
  <c r="BK452" i="54"/>
  <c r="DF1435" i="54"/>
  <c r="DH74" i="66"/>
  <c r="AY533" i="54" s="1"/>
  <c r="AZ533" i="54" s="1"/>
  <c r="DJ391" i="54"/>
  <c r="AS452" i="54"/>
  <c r="AP452" i="54"/>
  <c r="AP512" i="54"/>
  <c r="AR413" i="54"/>
  <c r="AP332" i="54"/>
  <c r="AP413" i="54"/>
  <c r="AQ332" i="54"/>
  <c r="DF55" i="66"/>
  <c r="AO514" i="54" s="1"/>
  <c r="AQ413" i="54"/>
  <c r="AO333" i="54"/>
  <c r="AS333" i="54" s="1"/>
  <c r="AR512" i="54"/>
  <c r="AQ512" i="54"/>
  <c r="AS332" i="54"/>
  <c r="DR74" i="66"/>
  <c r="DR54" i="66"/>
  <c r="AO453" i="54"/>
  <c r="AR453" i="54" s="1"/>
  <c r="AO513" i="54"/>
  <c r="AP513" i="54" s="1"/>
  <c r="DS73" i="66"/>
  <c r="Q14" i="67"/>
  <c r="AN14" i="67"/>
  <c r="DJ392" i="54"/>
  <c r="AY332" i="54"/>
  <c r="BC332" i="54" s="1"/>
  <c r="EM216" i="54"/>
  <c r="DG1015" i="54"/>
  <c r="DJ340" i="54"/>
  <c r="EI216" i="54"/>
  <c r="AY452" i="54"/>
  <c r="BC452" i="54" s="1"/>
  <c r="EL216" i="54"/>
  <c r="DG74" i="66"/>
  <c r="AT533" i="54" s="1"/>
  <c r="AV533" i="54" s="1"/>
  <c r="DJ339" i="54"/>
  <c r="DT53" i="66"/>
  <c r="DH54" i="66"/>
  <c r="DT54" i="66" s="1"/>
  <c r="DJ808" i="54"/>
  <c r="AP532" i="54"/>
  <c r="CJ316" i="54"/>
  <c r="CJ196" i="54"/>
  <c r="EL196" i="54"/>
  <c r="AQ333" i="54"/>
  <c r="DF393" i="54"/>
  <c r="DG393" i="54" s="1"/>
  <c r="DF341" i="54"/>
  <c r="DG341" i="54" s="1"/>
  <c r="BL57" i="66"/>
  <c r="O15" i="67" s="1"/>
  <c r="S15" i="67" s="1"/>
  <c r="DL499" i="54"/>
  <c r="DF1434" i="54"/>
  <c r="EM196" i="54"/>
  <c r="EI196" i="54"/>
  <c r="DF810" i="54"/>
  <c r="DF394" i="54"/>
  <c r="EJ196" i="54"/>
  <c r="EJ616" i="54"/>
  <c r="EL616" i="54"/>
  <c r="EK616" i="54"/>
  <c r="EI616" i="54"/>
  <c r="DG33" i="66"/>
  <c r="AT492" i="54" s="1"/>
  <c r="AU492" i="54" s="1"/>
  <c r="CJ156" i="54"/>
  <c r="AS432" i="54"/>
  <c r="DM132" i="54"/>
  <c r="CJ56" i="54"/>
  <c r="DM1587" i="54"/>
  <c r="CJ136" i="54"/>
  <c r="BT57" i="66"/>
  <c r="AZ58" i="66" s="1"/>
  <c r="CF317" i="54" s="1"/>
  <c r="AR532" i="54"/>
  <c r="AQ532" i="54"/>
  <c r="DF75" i="66"/>
  <c r="AO534" i="54" s="1"/>
  <c r="AR534" i="54" s="1"/>
  <c r="DM1642" i="54"/>
  <c r="FH196" i="54"/>
  <c r="EA156" i="54"/>
  <c r="EE157" i="54" s="1"/>
  <c r="FK136" i="54"/>
  <c r="FK156" i="54"/>
  <c r="FI136" i="54"/>
  <c r="FK216" i="54"/>
  <c r="EA136" i="54"/>
  <c r="EH137" i="54" s="1"/>
  <c r="FL316" i="54"/>
  <c r="FI156" i="54"/>
  <c r="DI79" i="54"/>
  <c r="DI1014" i="54"/>
  <c r="DJ1014" i="54" s="1"/>
  <c r="DI80" i="54"/>
  <c r="DI78" i="54"/>
  <c r="DJ78" i="54" s="1"/>
  <c r="DI1016" i="54"/>
  <c r="DI1066" i="54"/>
  <c r="DJ1066" i="54" s="1"/>
  <c r="DJ1642" i="54"/>
  <c r="DM1643" i="54"/>
  <c r="EO396" i="54"/>
  <c r="DM1588" i="54"/>
  <c r="FK316" i="54"/>
  <c r="FL556" i="54"/>
  <c r="FI216" i="54"/>
  <c r="FI316" i="54"/>
  <c r="FL196" i="54"/>
  <c r="FK556" i="54"/>
  <c r="FL56" i="54"/>
  <c r="FH156" i="54"/>
  <c r="EQ616" i="54"/>
  <c r="BR57" i="66"/>
  <c r="FN616" i="54" s="1"/>
  <c r="V15" i="67"/>
  <c r="AM15" i="67" s="1"/>
  <c r="FH316" i="54"/>
  <c r="FJ196" i="54"/>
  <c r="FH556" i="54"/>
  <c r="FK56" i="54"/>
  <c r="FI56" i="54"/>
  <c r="BY57" i="66"/>
  <c r="CI26" i="66" s="1"/>
  <c r="CO26" i="66" s="1"/>
  <c r="DL56" i="66" s="1"/>
  <c r="EA56" i="54"/>
  <c r="EF57" i="54" s="1"/>
  <c r="FH136" i="54"/>
  <c r="FJ136" i="54"/>
  <c r="FI196" i="54"/>
  <c r="FI556" i="54"/>
  <c r="FL156" i="54"/>
  <c r="FJ216" i="54"/>
  <c r="FH56" i="54"/>
  <c r="DJ1588" i="54"/>
  <c r="ER616" i="54"/>
  <c r="DJ1587" i="54"/>
  <c r="EO637" i="54"/>
  <c r="EP637" i="54"/>
  <c r="DF1645" i="54"/>
  <c r="DF1646" i="54"/>
  <c r="DF1644" i="54"/>
  <c r="DG1644" i="54" s="1"/>
  <c r="CJ517" i="54"/>
  <c r="CJ637" i="54"/>
  <c r="EN637" i="54"/>
  <c r="EI637" i="54"/>
  <c r="EK637" i="54"/>
  <c r="EL637" i="54"/>
  <c r="EM637" i="54"/>
  <c r="EJ637" i="54"/>
  <c r="CH517" i="54"/>
  <c r="CH637" i="54"/>
  <c r="FI637" i="54"/>
  <c r="FK637" i="54"/>
  <c r="FH637" i="54"/>
  <c r="FJ637" i="54"/>
  <c r="FL637" i="54"/>
  <c r="EA637" i="54"/>
  <c r="ED638" i="54" s="1"/>
  <c r="EO616" i="54"/>
  <c r="DJ1643" i="54"/>
  <c r="ER637" i="54"/>
  <c r="EF638" i="54"/>
  <c r="EC156" i="54"/>
  <c r="EA556" i="54"/>
  <c r="EH557" i="54" s="1"/>
  <c r="FJ316" i="54"/>
  <c r="FL136" i="54"/>
  <c r="FK196" i="54"/>
  <c r="FJ556" i="54"/>
  <c r="FJ156" i="54"/>
  <c r="FL216" i="54"/>
  <c r="FJ56" i="54"/>
  <c r="FH216" i="54"/>
  <c r="DF1591" i="54"/>
  <c r="DF1590" i="54"/>
  <c r="DF1589" i="54"/>
  <c r="DG1589" i="54" s="1"/>
  <c r="CJ556" i="54"/>
  <c r="CJ616" i="54"/>
  <c r="FH616" i="54"/>
  <c r="FL616" i="54"/>
  <c r="FJ616" i="54"/>
  <c r="FK616" i="54"/>
  <c r="FI616" i="54"/>
  <c r="EA616" i="54"/>
  <c r="EF617" i="54" s="1"/>
  <c r="DL1591" i="54"/>
  <c r="EK596" i="54"/>
  <c r="AV532" i="54"/>
  <c r="AU532" i="54"/>
  <c r="AW532" i="54"/>
  <c r="AR432" i="54"/>
  <c r="AQ432" i="54"/>
  <c r="EP56" i="54"/>
  <c r="EG317" i="54"/>
  <c r="ER56" i="54"/>
  <c r="EH176" i="54"/>
  <c r="EQ56" i="54"/>
  <c r="BA412" i="54"/>
  <c r="EF317" i="54"/>
  <c r="BB412" i="54"/>
  <c r="EJ536" i="54"/>
  <c r="EH317" i="54"/>
  <c r="EN56" i="54"/>
  <c r="BC412" i="54"/>
  <c r="EG176" i="54"/>
  <c r="EJ496" i="54"/>
  <c r="DM391" i="54"/>
  <c r="EF176" i="54"/>
  <c r="ED317" i="54"/>
  <c r="ED176" i="54"/>
  <c r="DM808" i="54"/>
  <c r="DI234" i="54"/>
  <c r="DJ234" i="54" s="1"/>
  <c r="DM807" i="54"/>
  <c r="DM392" i="54"/>
  <c r="DG1275" i="54"/>
  <c r="DM1168" i="54"/>
  <c r="DG1067" i="54"/>
  <c r="EL596" i="54"/>
  <c r="DH75" i="66"/>
  <c r="AY534" i="54" s="1"/>
  <c r="BC534" i="54" s="1"/>
  <c r="DM339" i="54"/>
  <c r="DG1535" i="54"/>
  <c r="T14" i="67"/>
  <c r="U14" i="67" s="1"/>
  <c r="DM340" i="54"/>
  <c r="DG1536" i="54"/>
  <c r="BZ36" i="66"/>
  <c r="DI1067" i="54"/>
  <c r="DI235" i="54"/>
  <c r="DI1015" i="54"/>
  <c r="DI236" i="54"/>
  <c r="DL704" i="54"/>
  <c r="DL1014" i="54"/>
  <c r="DM1014" i="54" s="1"/>
  <c r="DL235" i="54"/>
  <c r="BU36" i="66"/>
  <c r="BA37" i="66" s="1"/>
  <c r="CH596" i="54" s="1"/>
  <c r="DI443" i="54"/>
  <c r="DI704" i="54"/>
  <c r="CA36" i="66"/>
  <c r="DL860" i="54"/>
  <c r="BV36" i="66"/>
  <c r="BB37" i="66" s="1"/>
  <c r="CJ596" i="54" s="1"/>
  <c r="DL444" i="54"/>
  <c r="DI703" i="54"/>
  <c r="DL1016" i="54"/>
  <c r="DL236" i="54"/>
  <c r="DL859" i="54"/>
  <c r="DI859" i="54"/>
  <c r="DL78" i="54"/>
  <c r="DM78" i="54" s="1"/>
  <c r="DL1067" i="54"/>
  <c r="DT74" i="66"/>
  <c r="DL443" i="54"/>
  <c r="DL442" i="54"/>
  <c r="DM442" i="54" s="1"/>
  <c r="DI444" i="54"/>
  <c r="DI860" i="54"/>
  <c r="DL1066" i="54"/>
  <c r="DM1066" i="54" s="1"/>
  <c r="DL80" i="54"/>
  <c r="DL858" i="54"/>
  <c r="DM858" i="54" s="1"/>
  <c r="DL703" i="54"/>
  <c r="DI702" i="54"/>
  <c r="DJ702" i="54" s="1"/>
  <c r="DI858" i="54"/>
  <c r="DJ858" i="54" s="1"/>
  <c r="DL1068" i="54"/>
  <c r="DL79" i="54"/>
  <c r="DL234" i="54"/>
  <c r="DM234" i="54" s="1"/>
  <c r="EM596" i="54"/>
  <c r="DQ14" i="66"/>
  <c r="BN473" i="54"/>
  <c r="BL492" i="54"/>
  <c r="BK492" i="54"/>
  <c r="BJ492" i="54"/>
  <c r="BM492" i="54"/>
  <c r="FR595" i="54"/>
  <c r="FV595" i="54"/>
  <c r="FS595" i="54"/>
  <c r="FT595" i="54"/>
  <c r="FU595" i="54"/>
  <c r="EC595" i="54"/>
  <c r="EQ596" i="54" s="1"/>
  <c r="BJ491" i="54"/>
  <c r="BM491" i="54"/>
  <c r="BL491" i="54"/>
  <c r="BK491" i="54"/>
  <c r="BQ471" i="54"/>
  <c r="BP471" i="54"/>
  <c r="BO471" i="54"/>
  <c r="BR471" i="54"/>
  <c r="AT332" i="54"/>
  <c r="AW332" i="54" s="1"/>
  <c r="AT512" i="54"/>
  <c r="AT452" i="54"/>
  <c r="DL1536" i="54"/>
  <c r="DL1535" i="54"/>
  <c r="DL1534" i="54"/>
  <c r="DM1534" i="54" s="1"/>
  <c r="DI1536" i="54"/>
  <c r="DI1535" i="54"/>
  <c r="DI1534" i="54"/>
  <c r="DJ1534" i="54" s="1"/>
  <c r="BA532" i="54"/>
  <c r="BB532" i="54"/>
  <c r="BC532" i="54"/>
  <c r="AZ532" i="54"/>
  <c r="EH596" i="54"/>
  <c r="EF596" i="54"/>
  <c r="EE596" i="54"/>
  <c r="ED596" i="54"/>
  <c r="EG596" i="54"/>
  <c r="AZ512" i="54"/>
  <c r="BC512" i="54"/>
  <c r="BA512" i="54"/>
  <c r="BB512" i="54"/>
  <c r="AP534" i="54"/>
  <c r="AQ533" i="54"/>
  <c r="AS533" i="54"/>
  <c r="AR533" i="54"/>
  <c r="AP533" i="54"/>
  <c r="AO334" i="54"/>
  <c r="AP334" i="54" s="1"/>
  <c r="AS492" i="54"/>
  <c r="AP492" i="54"/>
  <c r="AQ492" i="54"/>
  <c r="AR492" i="54"/>
  <c r="AO433" i="54"/>
  <c r="AS433" i="54" s="1"/>
  <c r="AO493" i="54"/>
  <c r="DM1431" i="54"/>
  <c r="HQ76" i="54"/>
  <c r="IE76" i="54" s="1"/>
  <c r="HQ78" i="54"/>
  <c r="IE78" i="54" s="1"/>
  <c r="HQ77" i="54"/>
  <c r="IE77" i="54" s="1"/>
  <c r="HW76" i="54"/>
  <c r="II76" i="54" s="1"/>
  <c r="HQ75" i="54"/>
  <c r="IE75" i="54" s="1"/>
  <c r="HQ74" i="54"/>
  <c r="IE74" i="54" s="1"/>
  <c r="DJ1169" i="54"/>
  <c r="HR77" i="54"/>
  <c r="HR78" i="54"/>
  <c r="HR76" i="54"/>
  <c r="HW74" i="54"/>
  <c r="II74" i="54" s="1"/>
  <c r="HR75" i="54"/>
  <c r="IF75" i="54" s="1"/>
  <c r="HR74" i="54"/>
  <c r="IF74" i="54" s="1"/>
  <c r="HJ80" i="54"/>
  <c r="HP80" i="54" s="1"/>
  <c r="HJ77" i="54"/>
  <c r="HP77" i="54" s="1"/>
  <c r="HJ83" i="54"/>
  <c r="HP83" i="54" s="1"/>
  <c r="HJ84" i="54"/>
  <c r="HJ82" i="54"/>
  <c r="HP82" i="54" s="1"/>
  <c r="HJ79" i="54"/>
  <c r="HP79" i="54" s="1"/>
  <c r="HJ81" i="54"/>
  <c r="HP81" i="54" s="1"/>
  <c r="HJ78" i="54"/>
  <c r="HP78" i="54" s="1"/>
  <c r="DG754" i="54"/>
  <c r="HU79" i="54"/>
  <c r="DG1172" i="54"/>
  <c r="HQ71" i="54"/>
  <c r="IE71" i="54" s="1"/>
  <c r="HQ73" i="54"/>
  <c r="IE73" i="54" s="1"/>
  <c r="HQ72" i="54"/>
  <c r="IE72" i="54" s="1"/>
  <c r="HR73" i="54"/>
  <c r="IF73" i="54" s="1"/>
  <c r="HR72" i="54"/>
  <c r="IF72" i="54" s="1"/>
  <c r="HR71" i="54"/>
  <c r="IF71" i="54" s="1"/>
  <c r="HI80" i="54"/>
  <c r="HO80" i="54" s="1"/>
  <c r="HI77" i="54"/>
  <c r="HO77" i="54" s="1"/>
  <c r="HI84" i="54"/>
  <c r="HI83" i="54"/>
  <c r="HO83" i="54" s="1"/>
  <c r="HI78" i="54"/>
  <c r="HO78" i="54" s="1"/>
  <c r="HI81" i="54"/>
  <c r="HO81" i="54" s="1"/>
  <c r="HI82" i="54"/>
  <c r="HO82" i="54" s="1"/>
  <c r="HI79" i="54"/>
  <c r="HO79" i="54" s="1"/>
  <c r="DJ1330" i="54"/>
  <c r="EO316" i="54"/>
  <c r="EL96" i="54"/>
  <c r="EN156" i="54"/>
  <c r="EP316" i="54"/>
  <c r="DG1171" i="54"/>
  <c r="DG1224" i="54"/>
  <c r="DG1276" i="54"/>
  <c r="EQ316" i="54"/>
  <c r="DG1380" i="54"/>
  <c r="IJ84" i="54"/>
  <c r="IQ84" i="54" s="1"/>
  <c r="EG456" i="54"/>
  <c r="DJ1431" i="54"/>
  <c r="DM1432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H536" i="54"/>
  <c r="EK517" i="54"/>
  <c r="ED456" i="54"/>
  <c r="EJ476" i="54"/>
  <c r="DF342" i="54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R156" i="54"/>
  <c r="ER556" i="54"/>
  <c r="EP517" i="54"/>
  <c r="EI476" i="54"/>
  <c r="EF476" i="54"/>
  <c r="DJ1432" i="54"/>
  <c r="EE476" i="54"/>
  <c r="DJ494" i="54"/>
  <c r="DJ495" i="54"/>
  <c r="DJ496" i="54"/>
  <c r="EK496" i="54"/>
  <c r="EL476" i="54"/>
  <c r="EQ556" i="54"/>
  <c r="EP556" i="54"/>
  <c r="ED476" i="54"/>
  <c r="ER196" i="54"/>
  <c r="EP196" i="54"/>
  <c r="EN196" i="54"/>
  <c r="EO196" i="54"/>
  <c r="EQ196" i="54"/>
  <c r="ER517" i="54"/>
  <c r="ED496" i="54"/>
  <c r="EI517" i="54"/>
  <c r="EQ156" i="54"/>
  <c r="DJ1168" i="54"/>
  <c r="EF536" i="54"/>
  <c r="EM51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L1222" i="54"/>
  <c r="DM1222" i="54" s="1"/>
  <c r="DL1223" i="54"/>
  <c r="DL1224" i="54"/>
  <c r="DL1274" i="54"/>
  <c r="DM1274" i="54" s="1"/>
  <c r="DL1275" i="54"/>
  <c r="DL1276" i="54"/>
  <c r="DL1378" i="54"/>
  <c r="DM1378" i="54" s="1"/>
  <c r="DL1380" i="54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I1378" i="54"/>
  <c r="DJ1378" i="54" s="1"/>
  <c r="DI1224" i="54"/>
  <c r="DI1276" i="54"/>
  <c r="DI1223" i="54"/>
  <c r="DI1222" i="54"/>
  <c r="DJ1222" i="54" s="1"/>
  <c r="FS156" i="54"/>
  <c r="FT156" i="54"/>
  <c r="FT216" i="54"/>
  <c r="FV216" i="54"/>
  <c r="FT556" i="54"/>
  <c r="FV196" i="54"/>
  <c r="FR316" i="54"/>
  <c r="FV316" i="54"/>
  <c r="FU136" i="54"/>
  <c r="FM156" i="54"/>
  <c r="FP156" i="54"/>
  <c r="FN56" i="54"/>
  <c r="FP216" i="54"/>
  <c r="FO556" i="54"/>
  <c r="FM196" i="54"/>
  <c r="FQ196" i="54"/>
  <c r="FM136" i="54"/>
  <c r="FQ136" i="54"/>
  <c r="DI1435" i="54"/>
  <c r="DL343" i="54"/>
  <c r="DL1435" i="54"/>
  <c r="DL1434" i="54"/>
  <c r="DL1433" i="54"/>
  <c r="DM1433" i="54" s="1"/>
  <c r="IR62" i="54"/>
  <c r="IN62" i="54"/>
  <c r="IL62" i="54"/>
  <c r="IM62" i="54"/>
  <c r="EH396" i="54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L342" i="54"/>
  <c r="DL394" i="54"/>
  <c r="DL393" i="54"/>
  <c r="DM393" i="54" s="1"/>
  <c r="IN66" i="54"/>
  <c r="IQ81" i="54"/>
  <c r="IN65" i="54"/>
  <c r="IN67" i="54"/>
  <c r="IM67" i="54"/>
  <c r="IL65" i="54"/>
  <c r="IS65" i="54"/>
  <c r="IT65" i="54"/>
  <c r="IM65" i="54"/>
  <c r="IS68" i="54"/>
  <c r="IS63" i="54"/>
  <c r="IS64" i="54"/>
  <c r="IL64" i="54"/>
  <c r="CA57" i="66"/>
  <c r="EC56" i="54"/>
  <c r="EB56" i="54"/>
  <c r="IN64" i="54"/>
  <c r="IM63" i="54"/>
  <c r="IM64" i="54"/>
  <c r="IR64" i="54"/>
  <c r="IL63" i="54"/>
  <c r="IR63" i="54"/>
  <c r="IT63" i="54"/>
  <c r="IK70" i="54"/>
  <c r="IR70" i="54" s="1"/>
  <c r="EG296" i="54"/>
  <c r="DG860" i="54"/>
  <c r="DM751" i="54"/>
  <c r="II71" i="54"/>
  <c r="AX13" i="67"/>
  <c r="DG1016" i="54"/>
  <c r="HO76" i="54"/>
  <c r="CF57" i="54"/>
  <c r="CH13" i="67"/>
  <c r="CK13" i="67" s="1"/>
  <c r="AY13" i="67"/>
  <c r="AV13" i="67"/>
  <c r="AW13" i="67"/>
  <c r="EE96" i="54"/>
  <c r="EK276" i="54"/>
  <c r="EG96" i="54"/>
  <c r="ED96" i="54"/>
  <c r="EL396" i="54"/>
  <c r="DS32" i="66"/>
  <c r="ED396" i="54"/>
  <c r="EE396" i="54"/>
  <c r="EF396" i="54"/>
  <c r="EG416" i="54"/>
  <c r="EF96" i="54"/>
  <c r="DG1068" i="54"/>
  <c r="DG236" i="54"/>
  <c r="DG702" i="54"/>
  <c r="BM352" i="54"/>
  <c r="EK176" i="54"/>
  <c r="BJ432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DM909" i="54"/>
  <c r="BM431" i="54"/>
  <c r="DF35" i="66"/>
  <c r="AO353" i="54"/>
  <c r="AQ353" i="54" s="1"/>
  <c r="BL431" i="54"/>
  <c r="DR34" i="66"/>
  <c r="DM648" i="54"/>
  <c r="DM1117" i="54"/>
  <c r="AP392" i="54"/>
  <c r="DM1116" i="54"/>
  <c r="DM908" i="54"/>
  <c r="DM752" i="54"/>
  <c r="AT412" i="54"/>
  <c r="AW412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S12" i="66"/>
  <c r="DM961" i="54"/>
  <c r="DS53" i="66"/>
  <c r="DG54" i="66"/>
  <c r="DF13" i="66"/>
  <c r="DG13" i="66"/>
  <c r="BK37" i="66"/>
  <c r="CF536" i="54"/>
  <c r="CF496" i="54"/>
  <c r="CF476" i="54"/>
  <c r="CH536" i="54"/>
  <c r="CH496" i="54"/>
  <c r="CH476" i="54"/>
  <c r="BH371" i="54"/>
  <c r="BG371" i="54"/>
  <c r="BF371" i="54"/>
  <c r="BE371" i="54"/>
  <c r="BO372" i="54"/>
  <c r="BP372" i="54"/>
  <c r="BQ372" i="54"/>
  <c r="BR372" i="54"/>
  <c r="DQ12" i="66"/>
  <c r="BN371" i="54"/>
  <c r="BL371" i="54"/>
  <c r="BJ371" i="54"/>
  <c r="BM371" i="54"/>
  <c r="BK371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IM69" i="54"/>
  <c r="IL69" i="54"/>
  <c r="IT69" i="54"/>
  <c r="IN69" i="54"/>
  <c r="IS69" i="54"/>
  <c r="CF376" i="54"/>
  <c r="CF256" i="54"/>
  <c r="CF436" i="54"/>
  <c r="CF296" i="54"/>
  <c r="CF76" i="54"/>
  <c r="CF356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396" i="54"/>
  <c r="CJ36" i="54"/>
  <c r="CH396" i="54"/>
  <c r="CH96" i="54"/>
  <c r="CH416" i="54"/>
  <c r="CH276" i="54"/>
  <c r="CH176" i="54"/>
  <c r="CH336" i="54"/>
  <c r="CH36" i="54"/>
  <c r="EA117" i="54"/>
  <c r="EH118" i="54" s="1"/>
  <c r="EA17" i="54"/>
  <c r="ED18" i="54" s="1"/>
  <c r="EA237" i="54"/>
  <c r="EE238" i="54" s="1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BQ37" i="66"/>
  <c r="EN396" i="54"/>
  <c r="EQ396" i="54"/>
  <c r="ER396" i="54"/>
  <c r="ED436" i="54"/>
  <c r="EP396" i="54"/>
  <c r="ED76" i="54"/>
  <c r="EH76" i="54"/>
  <c r="EI17" i="54"/>
  <c r="EH256" i="54"/>
  <c r="DM702" i="54"/>
  <c r="DJ442" i="54"/>
  <c r="EF436" i="54"/>
  <c r="DJ602" i="54"/>
  <c r="EJ17" i="54"/>
  <c r="EG436" i="54"/>
  <c r="DG652" i="54"/>
  <c r="EF296" i="54"/>
  <c r="EP117" i="54"/>
  <c r="DM602" i="54"/>
  <c r="EI117" i="54"/>
  <c r="EM117" i="54"/>
  <c r="EK396" i="54"/>
  <c r="EO117" i="54"/>
  <c r="EM237" i="54"/>
  <c r="DM290" i="54"/>
  <c r="EL117" i="54"/>
  <c r="EL56" i="54"/>
  <c r="EL17" i="54"/>
  <c r="EQ117" i="54"/>
  <c r="EK96" i="54"/>
  <c r="EN17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DM291" i="54"/>
  <c r="DJ603" i="54"/>
  <c r="EJ396" i="54"/>
  <c r="EI416" i="54"/>
  <c r="DG963" i="54"/>
  <c r="DG184" i="54"/>
  <c r="EH436" i="54"/>
  <c r="EL36" i="54"/>
  <c r="EP23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HW84" i="54" s="1"/>
  <c r="DL755" i="54"/>
  <c r="HW81" i="54" s="1"/>
  <c r="DL1118" i="54"/>
  <c r="DM1118" i="54" s="1"/>
  <c r="DL754" i="54"/>
  <c r="DL911" i="54"/>
  <c r="DL962" i="54"/>
  <c r="DM962" i="54" s="1"/>
  <c r="DL963" i="54"/>
  <c r="BL78" i="66"/>
  <c r="DF604" i="54"/>
  <c r="DG604" i="54" s="1"/>
  <c r="DF293" i="54"/>
  <c r="DF32" i="54"/>
  <c r="DG32" i="54" s="1"/>
  <c r="DF606" i="54"/>
  <c r="DF292" i="54"/>
  <c r="DG292" i="54" s="1"/>
  <c r="DF605" i="54"/>
  <c r="DF33" i="54"/>
  <c r="DF34" i="54"/>
  <c r="DF294" i="54"/>
  <c r="DF134" i="54"/>
  <c r="DF135" i="54"/>
  <c r="DF133" i="54"/>
  <c r="DG133" i="54" s="1"/>
  <c r="BR78" i="66"/>
  <c r="EI36" i="54"/>
  <c r="DM603" i="54"/>
  <c r="DM30" i="54"/>
  <c r="EI56" i="54"/>
  <c r="EM56" i="54"/>
  <c r="DJ291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J56" i="54"/>
  <c r="EK416" i="54"/>
  <c r="EL416" i="54"/>
  <c r="DJ131" i="54"/>
  <c r="CP34" i="66"/>
  <c r="CT34" i="66"/>
  <c r="DJ31" i="54"/>
  <c r="EJ36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HV84" i="54" s="1"/>
  <c r="DI1118" i="54"/>
  <c r="DJ1118" i="54" s="1"/>
  <c r="DI755" i="54"/>
  <c r="HV81" i="54" s="1"/>
  <c r="DI754" i="54"/>
  <c r="DI911" i="54"/>
  <c r="DI962" i="54"/>
  <c r="DJ962" i="54" s="1"/>
  <c r="DI963" i="54"/>
  <c r="DI910" i="54"/>
  <c r="DJ910" i="54" s="1"/>
  <c r="DI651" i="54"/>
  <c r="DI652" i="54"/>
  <c r="BZ16" i="66"/>
  <c r="BU16" i="66"/>
  <c r="BA17" i="66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BA57" i="66"/>
  <c r="CH616" i="54" s="1"/>
  <c r="BW56" i="66"/>
  <c r="EI336" i="54"/>
  <c r="EM336" i="54"/>
  <c r="EL336" i="54"/>
  <c r="EJ336" i="54"/>
  <c r="EI276" i="54"/>
  <c r="EK336" i="54"/>
  <c r="EI156" i="54"/>
  <c r="EL156" i="54"/>
  <c r="BY78" i="66"/>
  <c r="BV16" i="66"/>
  <c r="BB17" i="66" s="1"/>
  <c r="CA16" i="66"/>
  <c r="BT78" i="66"/>
  <c r="AZ79" i="66" s="1"/>
  <c r="BK17" i="66"/>
  <c r="BQ17" i="66"/>
  <c r="BP351" i="54" l="1"/>
  <c r="BR351" i="54"/>
  <c r="BQ351" i="54"/>
  <c r="BO351" i="54"/>
  <c r="BR491" i="54"/>
  <c r="BO491" i="54"/>
  <c r="BP491" i="54"/>
  <c r="BQ491" i="54"/>
  <c r="BP393" i="54"/>
  <c r="BO393" i="54"/>
  <c r="BQ393" i="54"/>
  <c r="BR393" i="54"/>
  <c r="BO352" i="54"/>
  <c r="BQ352" i="54"/>
  <c r="BP352" i="54"/>
  <c r="BR352" i="54"/>
  <c r="BQ391" i="54"/>
  <c r="BR391" i="54"/>
  <c r="BO391" i="54"/>
  <c r="BP391" i="54"/>
  <c r="BQ433" i="54"/>
  <c r="BR433" i="54"/>
  <c r="BO433" i="54"/>
  <c r="BP433" i="54"/>
  <c r="BR432" i="54"/>
  <c r="BO432" i="54"/>
  <c r="BQ432" i="54"/>
  <c r="BP432" i="54"/>
  <c r="BP431" i="54"/>
  <c r="BO431" i="54"/>
  <c r="BR431" i="54"/>
  <c r="BQ431" i="54"/>
  <c r="BR392" i="54"/>
  <c r="BO392" i="54"/>
  <c r="BQ392" i="54"/>
  <c r="BP392" i="54"/>
  <c r="BQ492" i="54"/>
  <c r="BO492" i="54"/>
  <c r="BP492" i="54"/>
  <c r="BR492" i="54"/>
  <c r="DT32" i="66"/>
  <c r="DH33" i="66"/>
  <c r="BP353" i="54"/>
  <c r="BQ353" i="54"/>
  <c r="BO353" i="54"/>
  <c r="BR353" i="54"/>
  <c r="BO493" i="54"/>
  <c r="BR493" i="54"/>
  <c r="BP493" i="54"/>
  <c r="BQ493" i="54"/>
  <c r="CJ336" i="54"/>
  <c r="CJ96" i="54"/>
  <c r="CJ496" i="54"/>
  <c r="CJ176" i="54"/>
  <c r="CJ416" i="54"/>
  <c r="CJ476" i="54"/>
  <c r="CJ276" i="54"/>
  <c r="CJ536" i="54"/>
  <c r="DM1484" i="54"/>
  <c r="EI576" i="54"/>
  <c r="EM576" i="54"/>
  <c r="EK576" i="54"/>
  <c r="EL576" i="54"/>
  <c r="EJ576" i="54"/>
  <c r="FI576" i="54"/>
  <c r="FH576" i="54"/>
  <c r="FK576" i="54"/>
  <c r="FL576" i="54"/>
  <c r="FJ576" i="54"/>
  <c r="EA576" i="54"/>
  <c r="DF1486" i="54"/>
  <c r="DG1486" i="54" s="1"/>
  <c r="DF1487" i="54"/>
  <c r="DG1487" i="54" s="1"/>
  <c r="DF1485" i="54"/>
  <c r="DG1485" i="54" s="1"/>
  <c r="CH456" i="54"/>
  <c r="CH576" i="54"/>
  <c r="EG577" i="54"/>
  <c r="ED577" i="54"/>
  <c r="CJ456" i="54"/>
  <c r="CJ576" i="54"/>
  <c r="EN576" i="54"/>
  <c r="EO576" i="54"/>
  <c r="ER576" i="54"/>
  <c r="EQ576" i="54"/>
  <c r="AY413" i="54"/>
  <c r="BC413" i="54" s="1"/>
  <c r="DG1435" i="54"/>
  <c r="AS513" i="54"/>
  <c r="BB533" i="54"/>
  <c r="AO414" i="54"/>
  <c r="AQ414" i="54" s="1"/>
  <c r="BA533" i="54"/>
  <c r="DG1434" i="54"/>
  <c r="BB452" i="54"/>
  <c r="BC533" i="54"/>
  <c r="AO454" i="54"/>
  <c r="AS454" i="54" s="1"/>
  <c r="AR333" i="54"/>
  <c r="AP333" i="54"/>
  <c r="DS33" i="66"/>
  <c r="AP14" i="67"/>
  <c r="AP453" i="54"/>
  <c r="DH55" i="66"/>
  <c r="AY414" i="54" s="1"/>
  <c r="BA414" i="54" s="1"/>
  <c r="AS453" i="54"/>
  <c r="AQ453" i="54"/>
  <c r="AQ534" i="54"/>
  <c r="AZ452" i="54"/>
  <c r="DG394" i="54"/>
  <c r="DG395" i="54"/>
  <c r="AS534" i="54"/>
  <c r="BA452" i="54"/>
  <c r="EE137" i="54"/>
  <c r="AT14" i="67"/>
  <c r="AY14" i="67" s="1"/>
  <c r="AR513" i="54"/>
  <c r="AU533" i="54"/>
  <c r="AQ513" i="54"/>
  <c r="AZ332" i="54"/>
  <c r="EH157" i="54"/>
  <c r="EF157" i="54"/>
  <c r="ED157" i="54"/>
  <c r="BA332" i="54"/>
  <c r="BB332" i="54"/>
  <c r="EG157" i="54"/>
  <c r="EF557" i="54"/>
  <c r="EB156" i="54"/>
  <c r="EC136" i="54"/>
  <c r="EQ137" i="54" s="1"/>
  <c r="FM316" i="54"/>
  <c r="FN136" i="54"/>
  <c r="FO316" i="54"/>
  <c r="FN196" i="54"/>
  <c r="FP556" i="54"/>
  <c r="FQ216" i="54"/>
  <c r="FO56" i="54"/>
  <c r="FM216" i="54"/>
  <c r="FN156" i="54"/>
  <c r="FV136" i="54"/>
  <c r="FR136" i="54"/>
  <c r="FS316" i="54"/>
  <c r="FT196" i="54"/>
  <c r="FT56" i="54"/>
  <c r="FU556" i="54"/>
  <c r="FR56" i="54"/>
  <c r="FR216" i="54"/>
  <c r="FR156" i="54"/>
  <c r="X15" i="67"/>
  <c r="EC316" i="54"/>
  <c r="EP317" i="54" s="1"/>
  <c r="EB556" i="54"/>
  <c r="EL557" i="54" s="1"/>
  <c r="FO136" i="54"/>
  <c r="FQ316" i="54"/>
  <c r="FP196" i="54"/>
  <c r="FQ556" i="54"/>
  <c r="FN556" i="54"/>
  <c r="FQ56" i="54"/>
  <c r="FO216" i="54"/>
  <c r="FQ156" i="54"/>
  <c r="EB136" i="54"/>
  <c r="FS136" i="54"/>
  <c r="FU316" i="54"/>
  <c r="FS196" i="54"/>
  <c r="FU196" i="54"/>
  <c r="FR556" i="54"/>
  <c r="FS56" i="54"/>
  <c r="FU56" i="54"/>
  <c r="FV156" i="54"/>
  <c r="FV56" i="54"/>
  <c r="AX492" i="54"/>
  <c r="BV57" i="66"/>
  <c r="BB58" i="66" s="1"/>
  <c r="CJ317" i="54" s="1"/>
  <c r="W15" i="67"/>
  <c r="EB316" i="54"/>
  <c r="EJ317" i="54" s="1"/>
  <c r="FN316" i="54"/>
  <c r="FP136" i="54"/>
  <c r="FP316" i="54"/>
  <c r="FO196" i="54"/>
  <c r="FO156" i="54"/>
  <c r="FM556" i="54"/>
  <c r="FP56" i="54"/>
  <c r="FN216" i="54"/>
  <c r="FM56" i="54"/>
  <c r="EC556" i="54"/>
  <c r="EN557" i="54" s="1"/>
  <c r="FT136" i="54"/>
  <c r="FT316" i="54"/>
  <c r="FR196" i="54"/>
  <c r="FS556" i="54"/>
  <c r="FV556" i="54"/>
  <c r="FU216" i="54"/>
  <c r="FS216" i="54"/>
  <c r="FU156" i="54"/>
  <c r="DJ80" i="54"/>
  <c r="AY453" i="54"/>
  <c r="AZ453" i="54" s="1"/>
  <c r="AY333" i="54"/>
  <c r="BA333" i="54" s="1"/>
  <c r="BK58" i="66"/>
  <c r="DF502" i="54" s="1"/>
  <c r="BQ58" i="66"/>
  <c r="BR58" i="66" s="1"/>
  <c r="FQ617" i="54" s="1"/>
  <c r="AY513" i="54"/>
  <c r="BB513" i="54" s="1"/>
  <c r="DJ79" i="54"/>
  <c r="CF617" i="54"/>
  <c r="DG34" i="66"/>
  <c r="AT493" i="54" s="1"/>
  <c r="AX493" i="54" s="1"/>
  <c r="AT392" i="54"/>
  <c r="AV392" i="54" s="1"/>
  <c r="EF137" i="54"/>
  <c r="DI341" i="54"/>
  <c r="DJ341" i="54" s="1"/>
  <c r="DI394" i="54"/>
  <c r="EG557" i="54"/>
  <c r="AW533" i="54"/>
  <c r="AW492" i="54"/>
  <c r="DI1589" i="54"/>
  <c r="DJ1589" i="54" s="1"/>
  <c r="DJ1068" i="54"/>
  <c r="AT352" i="54"/>
  <c r="AV352" i="54" s="1"/>
  <c r="EG137" i="54"/>
  <c r="ED137" i="54"/>
  <c r="DI393" i="54"/>
  <c r="DJ393" i="54" s="1"/>
  <c r="DI395" i="54"/>
  <c r="DI1433" i="54"/>
  <c r="DJ1433" i="54" s="1"/>
  <c r="EE557" i="54"/>
  <c r="ED557" i="54"/>
  <c r="AX533" i="54"/>
  <c r="AV492" i="54"/>
  <c r="DJ1015" i="54"/>
  <c r="DI1590" i="54"/>
  <c r="DS74" i="66"/>
  <c r="DG75" i="66"/>
  <c r="AT534" i="54" s="1"/>
  <c r="AW534" i="54" s="1"/>
  <c r="AT432" i="54"/>
  <c r="AX432" i="54" s="1"/>
  <c r="DI1434" i="54"/>
  <c r="DI1591" i="54"/>
  <c r="DI343" i="54"/>
  <c r="DI549" i="54"/>
  <c r="DJ549" i="54" s="1"/>
  <c r="DI497" i="54"/>
  <c r="DJ497" i="54" s="1"/>
  <c r="DL1589" i="54"/>
  <c r="DM1589" i="54" s="1"/>
  <c r="DL551" i="54"/>
  <c r="DJ236" i="54"/>
  <c r="D7" i="57"/>
  <c r="CF557" i="54"/>
  <c r="CF137" i="54"/>
  <c r="DF554" i="54"/>
  <c r="IQ85" i="54"/>
  <c r="AU332" i="54"/>
  <c r="CF157" i="54"/>
  <c r="DG342" i="54"/>
  <c r="CF217" i="54"/>
  <c r="DI342" i="54"/>
  <c r="CJ217" i="54"/>
  <c r="CF197" i="54"/>
  <c r="EH638" i="54"/>
  <c r="DL1590" i="54"/>
  <c r="DM1591" i="54" s="1"/>
  <c r="DI498" i="54"/>
  <c r="DL497" i="54"/>
  <c r="DM497" i="54" s="1"/>
  <c r="DL549" i="54"/>
  <c r="DM549" i="54" s="1"/>
  <c r="DI810" i="54"/>
  <c r="DI550" i="54"/>
  <c r="DI551" i="54"/>
  <c r="DI499" i="54"/>
  <c r="DI811" i="54"/>
  <c r="DI809" i="54"/>
  <c r="EA197" i="54"/>
  <c r="DF501" i="54"/>
  <c r="DF553" i="54"/>
  <c r="IQ90" i="54"/>
  <c r="DG1645" i="54"/>
  <c r="DL550" i="54"/>
  <c r="DL810" i="54"/>
  <c r="DJ1067" i="54"/>
  <c r="FO616" i="54"/>
  <c r="FM616" i="54"/>
  <c r="DG1591" i="54"/>
  <c r="EB616" i="54"/>
  <c r="EL617" i="54" s="1"/>
  <c r="FP616" i="54"/>
  <c r="FQ616" i="54"/>
  <c r="DG1590" i="54"/>
  <c r="DL811" i="54"/>
  <c r="P15" i="67"/>
  <c r="DL809" i="54"/>
  <c r="DL341" i="54"/>
  <c r="DM341" i="54" s="1"/>
  <c r="DL498" i="54"/>
  <c r="DL395" i="54"/>
  <c r="DM395" i="54" s="1"/>
  <c r="DG1646" i="54"/>
  <c r="EO137" i="54"/>
  <c r="EB196" i="54"/>
  <c r="EB216" i="54"/>
  <c r="EG638" i="54"/>
  <c r="EE638" i="54"/>
  <c r="FM637" i="54"/>
  <c r="FN637" i="54"/>
  <c r="FQ637" i="54"/>
  <c r="FP637" i="54"/>
  <c r="FO637" i="54"/>
  <c r="EB637" i="54"/>
  <c r="EM638" i="54" s="1"/>
  <c r="FS637" i="54"/>
  <c r="FV637" i="54"/>
  <c r="FT637" i="54"/>
  <c r="FU637" i="54"/>
  <c r="FR637" i="54"/>
  <c r="EC637" i="54"/>
  <c r="EQ638" i="54" s="1"/>
  <c r="DI1645" i="54"/>
  <c r="DI1644" i="54"/>
  <c r="DJ1644" i="54" s="1"/>
  <c r="DI1646" i="54"/>
  <c r="CF518" i="54"/>
  <c r="CF638" i="54"/>
  <c r="DL1645" i="54"/>
  <c r="DL1644" i="54"/>
  <c r="DM1644" i="54" s="1"/>
  <c r="DL1646" i="54"/>
  <c r="CJ617" i="54"/>
  <c r="EH617" i="54"/>
  <c r="EG617" i="54"/>
  <c r="ED617" i="54"/>
  <c r="EE617" i="54"/>
  <c r="FV616" i="54"/>
  <c r="FR616" i="54"/>
  <c r="FS616" i="54"/>
  <c r="FU616" i="54"/>
  <c r="FT616" i="54"/>
  <c r="EC616" i="54"/>
  <c r="EC216" i="54"/>
  <c r="EO217" i="54" s="1"/>
  <c r="EC196" i="54"/>
  <c r="EQ197" i="54" s="1"/>
  <c r="FP617" i="54"/>
  <c r="DF1594" i="54"/>
  <c r="DF1593" i="54"/>
  <c r="AQ334" i="54"/>
  <c r="DJ444" i="54"/>
  <c r="DJ443" i="54"/>
  <c r="IQ88" i="54"/>
  <c r="IQ89" i="54"/>
  <c r="AX332" i="54"/>
  <c r="IQ86" i="54"/>
  <c r="IQ87" i="54"/>
  <c r="AV332" i="54"/>
  <c r="BB534" i="54"/>
  <c r="DM704" i="54"/>
  <c r="DM859" i="54"/>
  <c r="AS334" i="54"/>
  <c r="DJ235" i="54"/>
  <c r="AP433" i="54"/>
  <c r="AQ433" i="54"/>
  <c r="DM1016" i="54"/>
  <c r="DM80" i="54"/>
  <c r="DM443" i="54"/>
  <c r="DJ859" i="54"/>
  <c r="AZ534" i="54"/>
  <c r="AR433" i="54"/>
  <c r="AR334" i="54"/>
  <c r="EP157" i="54"/>
  <c r="BA534" i="54"/>
  <c r="DM703" i="54"/>
  <c r="DM79" i="54"/>
  <c r="DM860" i="54"/>
  <c r="DM1015" i="54"/>
  <c r="DM1068" i="54"/>
  <c r="DJ703" i="54"/>
  <c r="DL75" i="66"/>
  <c r="BD534" i="54" s="1"/>
  <c r="DM444" i="54"/>
  <c r="DJ1016" i="54"/>
  <c r="DJ860" i="54"/>
  <c r="DJ704" i="54"/>
  <c r="DM236" i="54"/>
  <c r="DM1067" i="54"/>
  <c r="DM235" i="54"/>
  <c r="DJ1535" i="54"/>
  <c r="ER157" i="54"/>
  <c r="DG810" i="54"/>
  <c r="EQ157" i="54"/>
  <c r="EN157" i="54"/>
  <c r="EO157" i="54"/>
  <c r="EN336" i="54"/>
  <c r="EP336" i="54"/>
  <c r="EO336" i="54"/>
  <c r="DM1535" i="54"/>
  <c r="DM1536" i="54"/>
  <c r="ER336" i="54"/>
  <c r="IF78" i="54"/>
  <c r="FJ596" i="54"/>
  <c r="FL596" i="54"/>
  <c r="FH596" i="54"/>
  <c r="EA596" i="54"/>
  <c r="EF597" i="54" s="1"/>
  <c r="FI596" i="54"/>
  <c r="FK596" i="54"/>
  <c r="AT413" i="54"/>
  <c r="AU413" i="54" s="1"/>
  <c r="AT513" i="54"/>
  <c r="AT453" i="54"/>
  <c r="BD515" i="54"/>
  <c r="BD455" i="54"/>
  <c r="AV512" i="54"/>
  <c r="AU512" i="54"/>
  <c r="AX512" i="54"/>
  <c r="AW512" i="54"/>
  <c r="ER596" i="54"/>
  <c r="EN596" i="54"/>
  <c r="EP596" i="54"/>
  <c r="EO596" i="54"/>
  <c r="DF1017" i="54"/>
  <c r="DG1017" i="54" s="1"/>
  <c r="DF1539" i="54"/>
  <c r="DF1538" i="54"/>
  <c r="DF1537" i="54"/>
  <c r="DG1537" i="54" s="1"/>
  <c r="DJ1536" i="54"/>
  <c r="BO473" i="54"/>
  <c r="BQ473" i="54"/>
  <c r="BP473" i="54"/>
  <c r="BR473" i="54"/>
  <c r="AV452" i="54"/>
  <c r="AU452" i="54"/>
  <c r="AW452" i="54"/>
  <c r="AX452" i="54"/>
  <c r="AR454" i="54"/>
  <c r="AP514" i="54"/>
  <c r="AR514" i="54"/>
  <c r="AS514" i="54"/>
  <c r="AQ514" i="54"/>
  <c r="ER317" i="54"/>
  <c r="AT372" i="54"/>
  <c r="AU372" i="54" s="1"/>
  <c r="AT472" i="54"/>
  <c r="DF14" i="66"/>
  <c r="DF15" i="66" s="1"/>
  <c r="AO472" i="54"/>
  <c r="DJ1224" i="54"/>
  <c r="DM1380" i="54"/>
  <c r="DM1379" i="54"/>
  <c r="AP493" i="54"/>
  <c r="AS493" i="54"/>
  <c r="AQ493" i="54"/>
  <c r="AR493" i="54"/>
  <c r="AO394" i="54"/>
  <c r="AQ394" i="54" s="1"/>
  <c r="AO494" i="54"/>
  <c r="DG343" i="54"/>
  <c r="DM1434" i="54"/>
  <c r="DJ1223" i="54"/>
  <c r="DJ1379" i="54"/>
  <c r="DJ754" i="54"/>
  <c r="HV79" i="54"/>
  <c r="HH88" i="54"/>
  <c r="HN88" i="54" s="1"/>
  <c r="HH85" i="54"/>
  <c r="HN85" i="54" s="1"/>
  <c r="HH90" i="54"/>
  <c r="HN90" i="54" s="1"/>
  <c r="HH87" i="54"/>
  <c r="HN87" i="54" s="1"/>
  <c r="HH86" i="54"/>
  <c r="HN86" i="54" s="1"/>
  <c r="HH89" i="54"/>
  <c r="HN89" i="54" s="1"/>
  <c r="HH91" i="54"/>
  <c r="DM754" i="54"/>
  <c r="HW79" i="54"/>
  <c r="HQ83" i="54"/>
  <c r="IE83" i="54" s="1"/>
  <c r="HQ81" i="54"/>
  <c r="IE81" i="54" s="1"/>
  <c r="HQ82" i="54"/>
  <c r="IE82" i="54" s="1"/>
  <c r="HS77" i="54"/>
  <c r="IG77" i="54" s="1"/>
  <c r="HS76" i="54"/>
  <c r="IG76" i="54" s="1"/>
  <c r="HS78" i="54"/>
  <c r="IG78" i="54" s="1"/>
  <c r="DM1223" i="54"/>
  <c r="HZ91" i="54"/>
  <c r="IA91" i="54" s="1"/>
  <c r="HQ79" i="54"/>
  <c r="IE79" i="54" s="1"/>
  <c r="HQ80" i="54"/>
  <c r="IE80" i="54" s="1"/>
  <c r="HQ85" i="54"/>
  <c r="HQ84" i="54"/>
  <c r="HS74" i="54"/>
  <c r="IG74" i="54" s="1"/>
  <c r="IK74" i="54" s="1"/>
  <c r="HS75" i="54"/>
  <c r="IG75" i="54" s="1"/>
  <c r="IK75" i="54" s="1"/>
  <c r="IN75" i="54" s="1"/>
  <c r="HS72" i="54"/>
  <c r="IG72" i="54" s="1"/>
  <c r="IK72" i="54" s="1"/>
  <c r="IM72" i="54" s="1"/>
  <c r="HS71" i="54"/>
  <c r="IG71" i="54" s="1"/>
  <c r="IK71" i="54" s="1"/>
  <c r="IN71" i="54" s="1"/>
  <c r="HS73" i="54"/>
  <c r="IG73" i="54" s="1"/>
  <c r="IK73" i="54" s="1"/>
  <c r="DM1172" i="54"/>
  <c r="DM1171" i="54"/>
  <c r="DG1333" i="54"/>
  <c r="EQ456" i="54"/>
  <c r="DG811" i="54"/>
  <c r="ED518" i="54"/>
  <c r="DM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L57" i="66"/>
  <c r="DO57" i="66" s="1"/>
  <c r="DJ1380" i="54"/>
  <c r="DM1224" i="54"/>
  <c r="EN496" i="54"/>
  <c r="EP496" i="54"/>
  <c r="EK456" i="54"/>
  <c r="EO456" i="54"/>
  <c r="DG549" i="54"/>
  <c r="DG551" i="54"/>
  <c r="DG550" i="54"/>
  <c r="CH556" i="54"/>
  <c r="CH196" i="54"/>
  <c r="CH216" i="54"/>
  <c r="DL55" i="66"/>
  <c r="DO55" i="66" s="1"/>
  <c r="DL77" i="66"/>
  <c r="CS26" i="66"/>
  <c r="DI56" i="66" s="1"/>
  <c r="EQ476" i="54"/>
  <c r="EN476" i="54"/>
  <c r="DM1276" i="54"/>
  <c r="DJ1171" i="54"/>
  <c r="EM456" i="54"/>
  <c r="EL456" i="54"/>
  <c r="ER456" i="54"/>
  <c r="ER476" i="54"/>
  <c r="EQ536" i="54"/>
  <c r="EI456" i="54"/>
  <c r="DL76" i="66"/>
  <c r="DJ1276" i="54"/>
  <c r="DJ1275" i="54"/>
  <c r="DM1275" i="54"/>
  <c r="DJ1172" i="54"/>
  <c r="DG1334" i="54"/>
  <c r="EQ496" i="54"/>
  <c r="EO476" i="54"/>
  <c r="EE518" i="54"/>
  <c r="EP456" i="54"/>
  <c r="EP536" i="54"/>
  <c r="ER496" i="54"/>
  <c r="EH518" i="54"/>
  <c r="EE217" i="54"/>
  <c r="EG217" i="54"/>
  <c r="EF217" i="54"/>
  <c r="EH217" i="54"/>
  <c r="ED217" i="54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R37" i="66"/>
  <c r="EB96" i="54" s="1"/>
  <c r="EM97" i="54" s="1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217" i="54"/>
  <c r="FM557" i="54"/>
  <c r="FP197" i="54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G396" i="54" s="1"/>
  <c r="DF1436" i="54"/>
  <c r="DG1436" i="54" s="1"/>
  <c r="DF1438" i="54"/>
  <c r="DF1437" i="54"/>
  <c r="FJ217" i="54"/>
  <c r="FJ557" i="54"/>
  <c r="CK26" i="66"/>
  <c r="DF83" i="54"/>
  <c r="DF1069" i="54"/>
  <c r="DG1069" i="54" s="1"/>
  <c r="DM394" i="54"/>
  <c r="IM70" i="54"/>
  <c r="CJ57" i="54"/>
  <c r="DF345" i="54"/>
  <c r="DF812" i="54"/>
  <c r="DG812" i="54" s="1"/>
  <c r="CJ157" i="54"/>
  <c r="CJ137" i="54"/>
  <c r="IS70" i="54"/>
  <c r="IT70" i="54"/>
  <c r="IN70" i="54"/>
  <c r="EP416" i="54"/>
  <c r="IF76" i="54"/>
  <c r="II84" i="54"/>
  <c r="II81" i="54"/>
  <c r="IF77" i="54"/>
  <c r="IP72" i="54"/>
  <c r="IP71" i="54"/>
  <c r="IP76" i="54"/>
  <c r="IP73" i="54"/>
  <c r="IP77" i="54"/>
  <c r="IP74" i="54"/>
  <c r="IP78" i="54"/>
  <c r="IP75" i="54"/>
  <c r="AP353" i="54"/>
  <c r="EP96" i="54"/>
  <c r="EQ96" i="54"/>
  <c r="DF813" i="54"/>
  <c r="N16" i="67"/>
  <c r="DF344" i="54"/>
  <c r="DG344" i="54" s="1"/>
  <c r="DL397" i="54"/>
  <c r="BL58" i="66"/>
  <c r="DI554" i="54" s="1"/>
  <c r="DF814" i="54"/>
  <c r="DF346" i="54"/>
  <c r="DF398" i="54"/>
  <c r="DF397" i="54"/>
  <c r="ER176" i="54"/>
  <c r="EO176" i="54"/>
  <c r="EP176" i="54"/>
  <c r="HN84" i="54"/>
  <c r="EQ176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T37" i="66"/>
  <c r="AZ38" i="66" s="1"/>
  <c r="CF477" i="54" s="1"/>
  <c r="BY37" i="66"/>
  <c r="DF1070" i="54"/>
  <c r="DF1019" i="54"/>
  <c r="DF237" i="54"/>
  <c r="DG237" i="54" s="1"/>
  <c r="AQ393" i="54"/>
  <c r="AP393" i="54"/>
  <c r="AS393" i="54"/>
  <c r="AO434" i="54"/>
  <c r="AP434" i="54" s="1"/>
  <c r="AR353" i="54"/>
  <c r="AS353" i="54"/>
  <c r="AO354" i="54"/>
  <c r="AP354" i="54" s="1"/>
  <c r="AS414" i="54"/>
  <c r="DF705" i="54"/>
  <c r="DF707" i="54"/>
  <c r="DF81" i="54"/>
  <c r="DG81" i="54" s="1"/>
  <c r="DF1018" i="54"/>
  <c r="BL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AV412" i="54"/>
  <c r="AU412" i="54"/>
  <c r="BP373" i="54"/>
  <c r="BQ373" i="54"/>
  <c r="BB413" i="54"/>
  <c r="BR373" i="54"/>
  <c r="BA413" i="54"/>
  <c r="DS13" i="66"/>
  <c r="DG55" i="66"/>
  <c r="DS54" i="66"/>
  <c r="AO372" i="54"/>
  <c r="AS372" i="54" s="1"/>
  <c r="DR13" i="66"/>
  <c r="AT333" i="54"/>
  <c r="AW333" i="54" s="1"/>
  <c r="DG14" i="66"/>
  <c r="BO371" i="54"/>
  <c r="BQ371" i="54"/>
  <c r="BP371" i="54"/>
  <c r="BR371" i="54"/>
  <c r="DO56" i="66"/>
  <c r="BD335" i="54"/>
  <c r="BD415" i="54"/>
  <c r="DH13" i="66"/>
  <c r="AY472" i="54" s="1"/>
  <c r="DT12" i="66"/>
  <c r="CJ376" i="54"/>
  <c r="CJ436" i="54"/>
  <c r="CJ256" i="54"/>
  <c r="CJ296" i="54"/>
  <c r="CJ76" i="54"/>
  <c r="CJ356" i="54"/>
  <c r="CH56" i="54"/>
  <c r="CH156" i="54"/>
  <c r="CH316" i="54"/>
  <c r="CH136" i="54"/>
  <c r="CF118" i="54"/>
  <c r="CF18" i="54"/>
  <c r="CF238" i="54"/>
  <c r="CH376" i="54"/>
  <c r="CH256" i="54"/>
  <c r="CH296" i="54"/>
  <c r="CH436" i="54"/>
  <c r="CH76" i="54"/>
  <c r="CH356" i="54"/>
  <c r="EC17" i="54"/>
  <c r="EQ18" i="54" s="1"/>
  <c r="EC237" i="54"/>
  <c r="ER238" i="54" s="1"/>
  <c r="EC117" i="54"/>
  <c r="ER118" i="54" s="1"/>
  <c r="EB17" i="54"/>
  <c r="EB117" i="54"/>
  <c r="EK118" i="54" s="1"/>
  <c r="EB237" i="54"/>
  <c r="EI238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HY99" i="54" s="1"/>
  <c r="EA256" i="54"/>
  <c r="EG257" i="54" s="1"/>
  <c r="EA376" i="54"/>
  <c r="EF377" i="54" s="1"/>
  <c r="EA436" i="54"/>
  <c r="EA356" i="54"/>
  <c r="EE357" i="54" s="1"/>
  <c r="HO84" i="54"/>
  <c r="EN256" i="54"/>
  <c r="EH18" i="54"/>
  <c r="EO436" i="54"/>
  <c r="EO356" i="54"/>
  <c r="EO296" i="54"/>
  <c r="BV78" i="66"/>
  <c r="BB79" i="66" s="1"/>
  <c r="EO376" i="54"/>
  <c r="EF118" i="54"/>
  <c r="EG238" i="54"/>
  <c r="ER376" i="54"/>
  <c r="EO256" i="54"/>
  <c r="EP296" i="54"/>
  <c r="EP256" i="54"/>
  <c r="EO76" i="54"/>
  <c r="ER76" i="54"/>
  <c r="ER436" i="54"/>
  <c r="EE57" i="54"/>
  <c r="ER296" i="54"/>
  <c r="ED238" i="54"/>
  <c r="EP76" i="54"/>
  <c r="DJ652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Q436" i="54"/>
  <c r="DG605" i="54"/>
  <c r="DG34" i="54"/>
  <c r="DM755" i="54"/>
  <c r="DM1120" i="54"/>
  <c r="EQ256" i="54"/>
  <c r="BR17" i="66"/>
  <c r="DL134" i="54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I604" i="54"/>
  <c r="DJ604" i="54" s="1"/>
  <c r="DI293" i="54"/>
  <c r="DI32" i="54"/>
  <c r="DJ32" i="54" s="1"/>
  <c r="DI606" i="54"/>
  <c r="DI292" i="54"/>
  <c r="DJ292" i="54" s="1"/>
  <c r="DI605" i="54"/>
  <c r="DI33" i="54"/>
  <c r="DI34" i="54"/>
  <c r="DI294" i="54"/>
  <c r="BZ78" i="66"/>
  <c r="DM756" i="54"/>
  <c r="DM912" i="54"/>
  <c r="EF238" i="54"/>
  <c r="EN356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33" i="54"/>
  <c r="DG606" i="54"/>
  <c r="DM184" i="54"/>
  <c r="DM1119" i="54"/>
  <c r="ED57" i="54"/>
  <c r="ER356" i="54"/>
  <c r="EL296" i="54"/>
  <c r="BL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HU91" i="54" s="1"/>
  <c r="DF185" i="54"/>
  <c r="DG185" i="54" s="1"/>
  <c r="DF758" i="54"/>
  <c r="HU89" i="54" s="1"/>
  <c r="DF653" i="54"/>
  <c r="DG653" i="54" s="1"/>
  <c r="DF913" i="54"/>
  <c r="DG913" i="54" s="1"/>
  <c r="DF914" i="54"/>
  <c r="DF757" i="54"/>
  <c r="DF1122" i="54"/>
  <c r="DJ651" i="54"/>
  <c r="CA78" i="66"/>
  <c r="DL604" i="54"/>
  <c r="DM604" i="54" s="1"/>
  <c r="DL32" i="54"/>
  <c r="DM32" i="54" s="1"/>
  <c r="DL606" i="54"/>
  <c r="DL293" i="54"/>
  <c r="DL605" i="54"/>
  <c r="DL33" i="54"/>
  <c r="DL34" i="54"/>
  <c r="DL292" i="54"/>
  <c r="DM292" i="54" s="1"/>
  <c r="DL294" i="54"/>
  <c r="EI376" i="54"/>
  <c r="EL376" i="54"/>
  <c r="EJ376" i="54"/>
  <c r="EM376" i="54"/>
  <c r="EK376" i="54"/>
  <c r="DJ963" i="54"/>
  <c r="DJ755" i="54"/>
  <c r="DJ183" i="54"/>
  <c r="DJ912" i="54"/>
  <c r="EE18" i="54"/>
  <c r="DG294" i="54"/>
  <c r="EG118" i="54"/>
  <c r="ED118" i="54"/>
  <c r="EE118" i="54"/>
  <c r="DM963" i="54"/>
  <c r="DM183" i="54"/>
  <c r="DM651" i="54"/>
  <c r="EP376" i="54"/>
  <c r="EQ376" i="54"/>
  <c r="EQ76" i="54"/>
  <c r="EP356" i="54"/>
  <c r="BU78" i="66"/>
  <c r="BA79" i="66" s="1"/>
  <c r="EM436" i="54"/>
  <c r="EK296" i="54"/>
  <c r="EM296" i="54"/>
  <c r="EI296" i="54"/>
  <c r="EK356" i="54"/>
  <c r="EI356" i="54"/>
  <c r="EL356" i="54"/>
  <c r="EJ356" i="54"/>
  <c r="DG293" i="54"/>
  <c r="DM964" i="54"/>
  <c r="EG18" i="54"/>
  <c r="EG57" i="54"/>
  <c r="EK256" i="54"/>
  <c r="BU57" i="66"/>
  <c r="BY17" i="66"/>
  <c r="CI10" i="66" s="1"/>
  <c r="BQ79" i="66"/>
  <c r="BK79" i="66"/>
  <c r="BT17" i="66"/>
  <c r="AZ18" i="66" s="1"/>
  <c r="CU26" i="66" l="1"/>
  <c r="CQ26" i="66"/>
  <c r="DN77" i="66" s="1"/>
  <c r="AY492" i="54"/>
  <c r="AY392" i="54"/>
  <c r="DH34" i="66"/>
  <c r="AY432" i="54"/>
  <c r="DT33" i="66"/>
  <c r="AY352" i="54"/>
  <c r="CJ197" i="54"/>
  <c r="EH577" i="54"/>
  <c r="EF577" i="54"/>
  <c r="DI1486" i="54"/>
  <c r="DJ1486" i="54" s="1"/>
  <c r="DI1487" i="54"/>
  <c r="DJ1487" i="54" s="1"/>
  <c r="DI1485" i="54"/>
  <c r="DJ1485" i="54" s="1"/>
  <c r="EM577" i="54"/>
  <c r="EJ577" i="54"/>
  <c r="CF457" i="54"/>
  <c r="CF577" i="54"/>
  <c r="FO576" i="54"/>
  <c r="FN576" i="54"/>
  <c r="FM576" i="54"/>
  <c r="FP576" i="54"/>
  <c r="FQ576" i="54"/>
  <c r="EB576" i="54"/>
  <c r="EK577" i="54" s="1"/>
  <c r="EL577" i="54"/>
  <c r="EE577" i="54"/>
  <c r="DL1487" i="54"/>
  <c r="DM1487" i="54" s="1"/>
  <c r="DL1485" i="54"/>
  <c r="DM1485" i="54" s="1"/>
  <c r="DL1486" i="54"/>
  <c r="DM1486" i="54" s="1"/>
  <c r="FT576" i="54"/>
  <c r="FU576" i="54"/>
  <c r="FS576" i="54"/>
  <c r="FV576" i="54"/>
  <c r="FR576" i="54"/>
  <c r="EC576" i="54"/>
  <c r="EP577" i="54" s="1"/>
  <c r="EN137" i="54"/>
  <c r="EN317" i="54"/>
  <c r="AR414" i="54"/>
  <c r="AP414" i="54"/>
  <c r="BC333" i="54"/>
  <c r="BB333" i="54"/>
  <c r="EM557" i="54"/>
  <c r="AX352" i="54"/>
  <c r="AZ333" i="54"/>
  <c r="EO317" i="54"/>
  <c r="ER137" i="54"/>
  <c r="EP137" i="54"/>
  <c r="EQ317" i="54"/>
  <c r="DF552" i="54"/>
  <c r="DG552" i="54" s="1"/>
  <c r="DF1592" i="54"/>
  <c r="DG1592" i="54" s="1"/>
  <c r="CJ557" i="54"/>
  <c r="DF500" i="54"/>
  <c r="DG500" i="54" s="1"/>
  <c r="AQ454" i="54"/>
  <c r="AP454" i="54"/>
  <c r="FI197" i="54"/>
  <c r="FH557" i="54"/>
  <c r="FH217" i="54"/>
  <c r="FP137" i="54"/>
  <c r="FM217" i="54"/>
  <c r="EB217" i="54"/>
  <c r="FH197" i="54"/>
  <c r="FL317" i="54"/>
  <c r="FM137" i="54"/>
  <c r="FP217" i="54"/>
  <c r="EA617" i="54"/>
  <c r="EF618" i="54" s="1"/>
  <c r="EB57" i="54"/>
  <c r="FJ137" i="54"/>
  <c r="FH317" i="54"/>
  <c r="FN557" i="54"/>
  <c r="FP317" i="54"/>
  <c r="FI617" i="54"/>
  <c r="FO617" i="54"/>
  <c r="CH14" i="67"/>
  <c r="CK14" i="67" s="1"/>
  <c r="AX392" i="54"/>
  <c r="AY454" i="54"/>
  <c r="BC454" i="54" s="1"/>
  <c r="AY334" i="54"/>
  <c r="BA334" i="54" s="1"/>
  <c r="AY514" i="54"/>
  <c r="BA514" i="54" s="1"/>
  <c r="EI557" i="54"/>
  <c r="AW14" i="67"/>
  <c r="BA453" i="54"/>
  <c r="AU14" i="67"/>
  <c r="AW392" i="54"/>
  <c r="BB453" i="54"/>
  <c r="AX14" i="67"/>
  <c r="AU392" i="54"/>
  <c r="BC513" i="54"/>
  <c r="BC453" i="54"/>
  <c r="AV14" i="67"/>
  <c r="AZ513" i="54"/>
  <c r="DG35" i="66"/>
  <c r="AT494" i="54" s="1"/>
  <c r="AX494" i="54" s="1"/>
  <c r="AV432" i="54"/>
  <c r="EF198" i="54"/>
  <c r="AT393" i="54"/>
  <c r="AU393" i="54" s="1"/>
  <c r="BA513" i="54"/>
  <c r="EK317" i="54"/>
  <c r="AU493" i="54"/>
  <c r="DM343" i="54"/>
  <c r="EM317" i="54"/>
  <c r="EL317" i="54"/>
  <c r="DJ498" i="54"/>
  <c r="EI317" i="54"/>
  <c r="AO15" i="67"/>
  <c r="Y15" i="67"/>
  <c r="EP557" i="54"/>
  <c r="EJ557" i="54"/>
  <c r="EO557" i="54"/>
  <c r="EQ557" i="54"/>
  <c r="ER557" i="54"/>
  <c r="EK557" i="54"/>
  <c r="AV534" i="54"/>
  <c r="EH198" i="54"/>
  <c r="DJ394" i="54"/>
  <c r="AU432" i="54"/>
  <c r="AN15" i="67"/>
  <c r="AP15" i="67" s="1"/>
  <c r="EA157" i="54"/>
  <c r="ED158" i="54" s="1"/>
  <c r="FO137" i="54"/>
  <c r="FQ57" i="54"/>
  <c r="FO217" i="54"/>
  <c r="FQ157" i="54"/>
  <c r="EG198" i="54"/>
  <c r="AV493" i="54"/>
  <c r="FH617" i="54"/>
  <c r="EB617" i="54"/>
  <c r="EL618" i="54" s="1"/>
  <c r="FN617" i="54"/>
  <c r="FO197" i="54"/>
  <c r="FQ557" i="54"/>
  <c r="FN57" i="54"/>
  <c r="FO317" i="54"/>
  <c r="FN217" i="54"/>
  <c r="W16" i="67"/>
  <c r="AW432" i="54"/>
  <c r="AT433" i="54"/>
  <c r="AV433" i="54" s="1"/>
  <c r="EA137" i="54"/>
  <c r="EE138" i="54" s="1"/>
  <c r="EA57" i="54"/>
  <c r="EG58" i="54" s="1"/>
  <c r="FK197" i="54"/>
  <c r="FL137" i="54"/>
  <c r="FL557" i="54"/>
  <c r="FK57" i="54"/>
  <c r="FI57" i="54"/>
  <c r="FJ317" i="54"/>
  <c r="FL217" i="54"/>
  <c r="FK157" i="54"/>
  <c r="FL157" i="54"/>
  <c r="EB557" i="54"/>
  <c r="FN197" i="54"/>
  <c r="FN137" i="54"/>
  <c r="FP557" i="54"/>
  <c r="FP57" i="54"/>
  <c r="FM57" i="54"/>
  <c r="FN317" i="54"/>
  <c r="FM157" i="54"/>
  <c r="FO157" i="54"/>
  <c r="ED198" i="54"/>
  <c r="AW493" i="54"/>
  <c r="FL617" i="54"/>
  <c r="FM617" i="54"/>
  <c r="EB197" i="54"/>
  <c r="EB317" i="54"/>
  <c r="EJ318" i="54" s="1"/>
  <c r="AT353" i="54"/>
  <c r="AU353" i="54" s="1"/>
  <c r="FL197" i="54"/>
  <c r="FI137" i="54"/>
  <c r="FH137" i="54"/>
  <c r="FL57" i="54"/>
  <c r="FJ57" i="54"/>
  <c r="FK317" i="54"/>
  <c r="FI157" i="54"/>
  <c r="FI217" i="54"/>
  <c r="FH157" i="54"/>
  <c r="EB137" i="54"/>
  <c r="EB157" i="54"/>
  <c r="DS34" i="66"/>
  <c r="BY58" i="66"/>
  <c r="BT58" i="66"/>
  <c r="AZ59" i="66" s="1"/>
  <c r="CF198" i="54" s="1"/>
  <c r="EA317" i="54"/>
  <c r="EE318" i="54" s="1"/>
  <c r="EC217" i="54"/>
  <c r="EA557" i="54"/>
  <c r="EH558" i="54" s="1"/>
  <c r="FJ197" i="54"/>
  <c r="FK137" i="54"/>
  <c r="FK557" i="54"/>
  <c r="FI557" i="54"/>
  <c r="FH57" i="54"/>
  <c r="FI317" i="54"/>
  <c r="FK217" i="54"/>
  <c r="FJ157" i="54"/>
  <c r="V16" i="67"/>
  <c r="AM16" i="67" s="1"/>
  <c r="FM197" i="54"/>
  <c r="FQ197" i="54"/>
  <c r="FQ137" i="54"/>
  <c r="FO557" i="54"/>
  <c r="FO57" i="54"/>
  <c r="FM317" i="54"/>
  <c r="FN157" i="54"/>
  <c r="FQ317" i="54"/>
  <c r="FP157" i="54"/>
  <c r="EE198" i="54"/>
  <c r="FK617" i="54"/>
  <c r="FJ617" i="54"/>
  <c r="DJ1590" i="54"/>
  <c r="EA217" i="54"/>
  <c r="EF218" i="54" s="1"/>
  <c r="DJ1591" i="54"/>
  <c r="DJ395" i="54"/>
  <c r="AU352" i="54"/>
  <c r="AW352" i="54"/>
  <c r="DG502" i="54"/>
  <c r="DO75" i="66"/>
  <c r="BB414" i="54"/>
  <c r="DM1590" i="54"/>
  <c r="DJ1435" i="54"/>
  <c r="AX534" i="54"/>
  <c r="DJ342" i="54"/>
  <c r="DJ1434" i="54"/>
  <c r="AU534" i="54"/>
  <c r="EK638" i="54"/>
  <c r="DJ499" i="54"/>
  <c r="EP638" i="54"/>
  <c r="EO638" i="54"/>
  <c r="DJ343" i="54"/>
  <c r="BD414" i="54"/>
  <c r="BG414" i="54" s="1"/>
  <c r="DJ550" i="54"/>
  <c r="DJ551" i="54"/>
  <c r="DJ809" i="54"/>
  <c r="DJ811" i="54"/>
  <c r="DJ810" i="54"/>
  <c r="DL501" i="54"/>
  <c r="DL554" i="54"/>
  <c r="DL814" i="54"/>
  <c r="DN75" i="66"/>
  <c r="BN534" i="54" s="1"/>
  <c r="DN55" i="66"/>
  <c r="BN454" i="54" s="1"/>
  <c r="DM550" i="54"/>
  <c r="DM551" i="54"/>
  <c r="EJ617" i="54"/>
  <c r="EK617" i="54"/>
  <c r="EI617" i="54"/>
  <c r="EM617" i="54"/>
  <c r="DM342" i="54"/>
  <c r="DM810" i="54"/>
  <c r="DM809" i="54"/>
  <c r="DM811" i="54"/>
  <c r="T15" i="67"/>
  <c r="U15" i="67" s="1"/>
  <c r="Q15" i="67"/>
  <c r="DM498" i="54"/>
  <c r="DM499" i="54"/>
  <c r="AV413" i="54"/>
  <c r="DL813" i="54"/>
  <c r="DI500" i="54"/>
  <c r="DJ500" i="54" s="1"/>
  <c r="EC197" i="54"/>
  <c r="EQ198" i="54" s="1"/>
  <c r="DL500" i="54"/>
  <c r="DM500" i="54" s="1"/>
  <c r="DL553" i="54"/>
  <c r="EC137" i="54"/>
  <c r="EO138" i="54" s="1"/>
  <c r="DL502" i="54"/>
  <c r="DL552" i="54"/>
  <c r="DM552" i="54" s="1"/>
  <c r="DL812" i="54"/>
  <c r="DM812" i="54" s="1"/>
  <c r="DM1645" i="54"/>
  <c r="DJ1645" i="54"/>
  <c r="DJ1646" i="54"/>
  <c r="DL346" i="54"/>
  <c r="EI638" i="54"/>
  <c r="EJ638" i="54"/>
  <c r="DI501" i="54"/>
  <c r="CF218" i="54"/>
  <c r="DI552" i="54"/>
  <c r="DJ552" i="54" s="1"/>
  <c r="EL638" i="54"/>
  <c r="EN197" i="54"/>
  <c r="EI217" i="54"/>
  <c r="EL217" i="54"/>
  <c r="EM217" i="54"/>
  <c r="EJ217" i="54"/>
  <c r="EK217" i="54"/>
  <c r="ER217" i="54"/>
  <c r="EK197" i="54"/>
  <c r="EL197" i="54"/>
  <c r="EJ197" i="54"/>
  <c r="EI197" i="54"/>
  <c r="EM197" i="54"/>
  <c r="EP217" i="54"/>
  <c r="DM1646" i="54"/>
  <c r="DF1649" i="54"/>
  <c r="DF1648" i="54"/>
  <c r="DF1647" i="54"/>
  <c r="DG1647" i="54" s="1"/>
  <c r="ER638" i="54"/>
  <c r="FJ638" i="54"/>
  <c r="FL638" i="54"/>
  <c r="FH638" i="54"/>
  <c r="FI638" i="54"/>
  <c r="EA638" i="54"/>
  <c r="FK638" i="54"/>
  <c r="CH518" i="54"/>
  <c r="CH638" i="54"/>
  <c r="CJ518" i="54"/>
  <c r="CJ638" i="54"/>
  <c r="EN638" i="54"/>
  <c r="DL1592" i="54"/>
  <c r="DM1592" i="54" s="1"/>
  <c r="DL1594" i="54"/>
  <c r="DL1593" i="54"/>
  <c r="CF558" i="54"/>
  <c r="CF618" i="54"/>
  <c r="EC157" i="54"/>
  <c r="ER158" i="54" s="1"/>
  <c r="FT617" i="54"/>
  <c r="FU617" i="54"/>
  <c r="FV617" i="54"/>
  <c r="FR617" i="54"/>
  <c r="EC617" i="54"/>
  <c r="FS617" i="54"/>
  <c r="EN617" i="54"/>
  <c r="EP617" i="54"/>
  <c r="EO617" i="54"/>
  <c r="ER617" i="54"/>
  <c r="EQ617" i="54"/>
  <c r="EQ217" i="54"/>
  <c r="ER197" i="54"/>
  <c r="EN217" i="54"/>
  <c r="EC57" i="54"/>
  <c r="DI553" i="54"/>
  <c r="DI1592" i="54"/>
  <c r="DJ1592" i="54" s="1"/>
  <c r="DI1593" i="54"/>
  <c r="DI1594" i="54"/>
  <c r="EO197" i="54"/>
  <c r="EP197" i="54"/>
  <c r="AS394" i="54"/>
  <c r="AW413" i="54"/>
  <c r="AX413" i="54"/>
  <c r="AP394" i="54"/>
  <c r="AZ414" i="54"/>
  <c r="DG1018" i="54"/>
  <c r="BC414" i="54"/>
  <c r="AX372" i="54"/>
  <c r="AR394" i="54"/>
  <c r="DG1538" i="54"/>
  <c r="DN57" i="66"/>
  <c r="BN516" i="54" s="1"/>
  <c r="DN56" i="66"/>
  <c r="BN515" i="54" s="1"/>
  <c r="BD334" i="54"/>
  <c r="BF334" i="54" s="1"/>
  <c r="DN76" i="66"/>
  <c r="BN535" i="54" s="1"/>
  <c r="DR14" i="66"/>
  <c r="IK78" i="54"/>
  <c r="IM78" i="54" s="1"/>
  <c r="EB336" i="54"/>
  <c r="EB36" i="54"/>
  <c r="EL37" i="54" s="1"/>
  <c r="AV372" i="54"/>
  <c r="AW372" i="54"/>
  <c r="DI76" i="66"/>
  <c r="DG1539" i="54"/>
  <c r="BD336" i="54"/>
  <c r="BG336" i="54" s="1"/>
  <c r="BD416" i="54"/>
  <c r="BE416" i="54" s="1"/>
  <c r="ED597" i="54"/>
  <c r="EH597" i="54"/>
  <c r="EE597" i="54"/>
  <c r="EG597" i="54"/>
  <c r="DI77" i="66"/>
  <c r="DI55" i="66"/>
  <c r="DF56" i="66" s="1"/>
  <c r="DI75" i="66"/>
  <c r="DI57" i="66"/>
  <c r="DK57" i="66"/>
  <c r="EB276" i="54"/>
  <c r="EB416" i="54"/>
  <c r="EM417" i="54" s="1"/>
  <c r="EB176" i="54"/>
  <c r="EB396" i="54"/>
  <c r="EM397" i="54" s="1"/>
  <c r="DG1174" i="54"/>
  <c r="DO76" i="66"/>
  <c r="BD535" i="54"/>
  <c r="BD516" i="54"/>
  <c r="BD456" i="54"/>
  <c r="BF534" i="54"/>
  <c r="BH534" i="54"/>
  <c r="BG534" i="54"/>
  <c r="BE534" i="54"/>
  <c r="AW513" i="54"/>
  <c r="AX513" i="54"/>
  <c r="AU513" i="54"/>
  <c r="AV513" i="54"/>
  <c r="DQ77" i="66"/>
  <c r="BN536" i="54"/>
  <c r="FR596" i="54"/>
  <c r="FT596" i="54"/>
  <c r="FV596" i="54"/>
  <c r="FS596" i="54"/>
  <c r="FU596" i="54"/>
  <c r="EC596" i="54"/>
  <c r="EQ597" i="54" s="1"/>
  <c r="DI1539" i="54"/>
  <c r="DI1538" i="54"/>
  <c r="DI1537" i="54"/>
  <c r="DJ1537" i="54" s="1"/>
  <c r="DL1539" i="54"/>
  <c r="DL1538" i="54"/>
  <c r="DL1537" i="54"/>
  <c r="DM1537" i="54" s="1"/>
  <c r="BH455" i="54"/>
  <c r="BE455" i="54"/>
  <c r="BF455" i="54"/>
  <c r="BG455" i="54"/>
  <c r="DL81" i="54"/>
  <c r="DM81" i="54" s="1"/>
  <c r="CF497" i="54"/>
  <c r="CF597" i="54"/>
  <c r="FP596" i="54"/>
  <c r="FN596" i="54"/>
  <c r="EB596" i="54"/>
  <c r="FQ596" i="54"/>
  <c r="FO596" i="54"/>
  <c r="FM596" i="54"/>
  <c r="DO77" i="66"/>
  <c r="BD536" i="54"/>
  <c r="BG515" i="54"/>
  <c r="BF515" i="54"/>
  <c r="BH515" i="54"/>
  <c r="BE515" i="54"/>
  <c r="AT334" i="54"/>
  <c r="AV334" i="54" s="1"/>
  <c r="AT454" i="54"/>
  <c r="AT514" i="54"/>
  <c r="BD514" i="54"/>
  <c r="BD454" i="54"/>
  <c r="AU453" i="54"/>
  <c r="AW453" i="54"/>
  <c r="AV453" i="54"/>
  <c r="AX453" i="54"/>
  <c r="AO374" i="54"/>
  <c r="AS374" i="54" s="1"/>
  <c r="AO474" i="54"/>
  <c r="AP472" i="54"/>
  <c r="AS472" i="54"/>
  <c r="AQ472" i="54"/>
  <c r="AR472" i="54"/>
  <c r="AT373" i="54"/>
  <c r="AX373" i="54" s="1"/>
  <c r="AT473" i="54"/>
  <c r="AO373" i="54"/>
  <c r="AO473" i="54"/>
  <c r="AV472" i="54"/>
  <c r="AW472" i="54"/>
  <c r="AX472" i="54"/>
  <c r="AU472" i="54"/>
  <c r="BA472" i="54"/>
  <c r="BB472" i="54"/>
  <c r="BC472" i="54"/>
  <c r="AZ472" i="54"/>
  <c r="AR494" i="54"/>
  <c r="AP494" i="54"/>
  <c r="AQ494" i="54"/>
  <c r="AS494" i="54"/>
  <c r="HR85" i="54"/>
  <c r="HR84" i="54"/>
  <c r="IF84" i="54" s="1"/>
  <c r="HS85" i="54"/>
  <c r="HS84" i="54"/>
  <c r="HR81" i="54"/>
  <c r="IF81" i="54" s="1"/>
  <c r="HR83" i="54"/>
  <c r="IF83" i="54" s="1"/>
  <c r="HR82" i="54"/>
  <c r="IF82" i="54" s="1"/>
  <c r="DG757" i="54"/>
  <c r="HU86" i="54"/>
  <c r="HS83" i="54"/>
  <c r="IG83" i="54" s="1"/>
  <c r="HS81" i="54"/>
  <c r="IG81" i="54" s="1"/>
  <c r="HS82" i="54"/>
  <c r="IG82" i="54" s="1"/>
  <c r="HJ88" i="54"/>
  <c r="HP88" i="54" s="1"/>
  <c r="HJ86" i="54"/>
  <c r="HP86" i="54" s="1"/>
  <c r="HJ91" i="54"/>
  <c r="HJ89" i="54"/>
  <c r="HP89" i="54" s="1"/>
  <c r="HJ87" i="54"/>
  <c r="HP87" i="54" s="1"/>
  <c r="HJ85" i="54"/>
  <c r="HP85" i="54" s="1"/>
  <c r="HJ90" i="54"/>
  <c r="HP90" i="54" s="1"/>
  <c r="HS79" i="54"/>
  <c r="IG79" i="54" s="1"/>
  <c r="HS80" i="54"/>
  <c r="IG80" i="54" s="1"/>
  <c r="DG1438" i="54"/>
  <c r="HR80" i="54"/>
  <c r="IF80" i="54" s="1"/>
  <c r="HR79" i="54"/>
  <c r="IF79" i="54" s="1"/>
  <c r="HI86" i="54"/>
  <c r="HO86" i="54" s="1"/>
  <c r="HI90" i="54"/>
  <c r="HO90" i="54" s="1"/>
  <c r="HI85" i="54"/>
  <c r="HO85" i="54" s="1"/>
  <c r="HI89" i="54"/>
  <c r="HO89" i="54" s="1"/>
  <c r="HI91" i="54"/>
  <c r="HI88" i="54"/>
  <c r="HO88" i="54" s="1"/>
  <c r="HI87" i="54"/>
  <c r="HO87" i="54" s="1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M518" i="54"/>
  <c r="DJ1333" i="54"/>
  <c r="EH537" i="54"/>
  <c r="EF457" i="54"/>
  <c r="EF537" i="54"/>
  <c r="EG477" i="54"/>
  <c r="EE497" i="54"/>
  <c r="ED477" i="54"/>
  <c r="EH457" i="54"/>
  <c r="EL518" i="54"/>
  <c r="EK518" i="54"/>
  <c r="EO518" i="54"/>
  <c r="ER518" i="54"/>
  <c r="EG497" i="54"/>
  <c r="EG537" i="54"/>
  <c r="EI518" i="54"/>
  <c r="DL1173" i="54"/>
  <c r="DM1173" i="54" s="1"/>
  <c r="DL1175" i="54"/>
  <c r="DL1174" i="54"/>
  <c r="DF1337" i="54"/>
  <c r="DF1336" i="54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EO37" i="54" s="1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I1227" i="54"/>
  <c r="DI1225" i="54"/>
  <c r="DJ1225" i="54" s="1"/>
  <c r="DI1383" i="54"/>
  <c r="DI1382" i="54"/>
  <c r="DI1226" i="54"/>
  <c r="DI1279" i="54"/>
  <c r="DL706" i="54"/>
  <c r="DL1226" i="54"/>
  <c r="DL1225" i="54"/>
  <c r="DM1225" i="54" s="1"/>
  <c r="DL1383" i="54"/>
  <c r="DL1227" i="54"/>
  <c r="DL1278" i="54"/>
  <c r="DL1279" i="54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L396" i="54"/>
  <c r="DM397" i="54" s="1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Q59" i="66"/>
  <c r="V17" i="67" s="1"/>
  <c r="BQ38" i="66"/>
  <c r="EA417" i="54" s="1"/>
  <c r="DG1070" i="54"/>
  <c r="DG813" i="54"/>
  <c r="BK59" i="66"/>
  <c r="BL59" i="66" s="1"/>
  <c r="DL398" i="54"/>
  <c r="CF158" i="54"/>
  <c r="P16" i="67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M71" i="54"/>
  <c r="IR71" i="54"/>
  <c r="IT71" i="54"/>
  <c r="IL71" i="54"/>
  <c r="IS74" i="54"/>
  <c r="II79" i="54"/>
  <c r="ED297" i="54"/>
  <c r="IN74" i="54"/>
  <c r="IR74" i="54"/>
  <c r="IM74" i="54"/>
  <c r="IL74" i="54"/>
  <c r="IT74" i="54"/>
  <c r="IS71" i="54"/>
  <c r="IS72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CA58" i="66"/>
  <c r="DL345" i="54"/>
  <c r="CF318" i="54"/>
  <c r="BV58" i="66"/>
  <c r="BB59" i="66" s="1"/>
  <c r="CJ198" i="54" s="1"/>
  <c r="DI812" i="54"/>
  <c r="DJ812" i="54" s="1"/>
  <c r="DI397" i="54"/>
  <c r="DI813" i="54"/>
  <c r="DI398" i="54"/>
  <c r="DI814" i="54"/>
  <c r="DI346" i="54"/>
  <c r="DI396" i="54"/>
  <c r="DJ396" i="54" s="1"/>
  <c r="DI344" i="54"/>
  <c r="DG814" i="54"/>
  <c r="DG345" i="54"/>
  <c r="DG346" i="54"/>
  <c r="DG398" i="54"/>
  <c r="HP84" i="54"/>
  <c r="IE85" i="54"/>
  <c r="DG1071" i="54"/>
  <c r="EC176" i="54"/>
  <c r="ER177" i="54" s="1"/>
  <c r="BK38" i="66"/>
  <c r="DF866" i="54" s="1"/>
  <c r="CF97" i="54"/>
  <c r="CF37" i="54"/>
  <c r="CF337" i="54"/>
  <c r="CF177" i="54"/>
  <c r="CF397" i="54"/>
  <c r="CF537" i="54"/>
  <c r="DG238" i="54"/>
  <c r="DI82" i="54"/>
  <c r="DL1019" i="54"/>
  <c r="DL1018" i="54"/>
  <c r="DL705" i="54"/>
  <c r="BZ37" i="66"/>
  <c r="CJ18" i="66" s="1"/>
  <c r="CT18" i="66" s="1"/>
  <c r="DL237" i="54"/>
  <c r="DM237" i="54" s="1"/>
  <c r="DL1071" i="54"/>
  <c r="DL447" i="54"/>
  <c r="BV37" i="66"/>
  <c r="BB38" i="66" s="1"/>
  <c r="CJ337" i="54" s="1"/>
  <c r="DL238" i="54"/>
  <c r="DL1070" i="54"/>
  <c r="DL1017" i="54"/>
  <c r="DM1017" i="54" s="1"/>
  <c r="DL239" i="54"/>
  <c r="CA37" i="66"/>
  <c r="CK18" i="66" s="1"/>
  <c r="DL861" i="54"/>
  <c r="DM861" i="54" s="1"/>
  <c r="DL863" i="54"/>
  <c r="DL446" i="54"/>
  <c r="CI18" i="66"/>
  <c r="CO18" i="66" s="1"/>
  <c r="DL37" i="66" s="1"/>
  <c r="BD496" i="54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AR434" i="54"/>
  <c r="AQ434" i="54"/>
  <c r="AS434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DI447" i="54"/>
  <c r="DI445" i="54"/>
  <c r="DJ445" i="54" s="1"/>
  <c r="DI706" i="54"/>
  <c r="BU37" i="66"/>
  <c r="BA38" i="66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EC396" i="54"/>
  <c r="EP397" i="54" s="1"/>
  <c r="EC276" i="54"/>
  <c r="EN277" i="54" s="1"/>
  <c r="EC416" i="54"/>
  <c r="ER417" i="54" s="1"/>
  <c r="EC336" i="54"/>
  <c r="EQ337" i="54" s="1"/>
  <c r="AT414" i="54"/>
  <c r="AU414" i="54" s="1"/>
  <c r="EH97" i="54"/>
  <c r="DS14" i="66"/>
  <c r="DG15" i="66"/>
  <c r="AU333" i="54"/>
  <c r="AP372" i="54"/>
  <c r="AQ372" i="54"/>
  <c r="AR372" i="54"/>
  <c r="AX333" i="54"/>
  <c r="AV333" i="54"/>
  <c r="EC96" i="54"/>
  <c r="EN97" i="54" s="1"/>
  <c r="AV393" i="54"/>
  <c r="AY372" i="54"/>
  <c r="DH14" i="66"/>
  <c r="AY473" i="54" s="1"/>
  <c r="DT13" i="66"/>
  <c r="BF415" i="54"/>
  <c r="BH415" i="54"/>
  <c r="BE415" i="54"/>
  <c r="BG415" i="54"/>
  <c r="BG335" i="54"/>
  <c r="BF335" i="54"/>
  <c r="BE335" i="54"/>
  <c r="BH335" i="54"/>
  <c r="EG417" i="54"/>
  <c r="EE97" i="54"/>
  <c r="EF97" i="54"/>
  <c r="EE397" i="54"/>
  <c r="EG97" i="54"/>
  <c r="EF397" i="54"/>
  <c r="EG397" i="54"/>
  <c r="EH417" i="54"/>
  <c r="EF277" i="54"/>
  <c r="EE417" i="54"/>
  <c r="EH177" i="54"/>
  <c r="ED397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8" i="54"/>
  <c r="CJ238" i="54"/>
  <c r="EA18" i="54"/>
  <c r="EE19" i="54" s="1"/>
  <c r="EA118" i="54"/>
  <c r="ED119" i="54" s="1"/>
  <c r="EA238" i="54"/>
  <c r="EF239" i="54" s="1"/>
  <c r="ED177" i="54"/>
  <c r="EE177" i="54"/>
  <c r="EF417" i="54"/>
  <c r="EG277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BU17" i="66"/>
  <c r="BA18" i="66" s="1"/>
  <c r="DJ294" i="54"/>
  <c r="DM605" i="54"/>
  <c r="DJ605" i="54"/>
  <c r="EG357" i="54"/>
  <c r="EE297" i="54"/>
  <c r="DG1122" i="54"/>
  <c r="EO238" i="54"/>
  <c r="EP238" i="54"/>
  <c r="EH377" i="54"/>
  <c r="EO18" i="54"/>
  <c r="DG966" i="54"/>
  <c r="DG967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HW91" i="54" s="1"/>
  <c r="DL914" i="54"/>
  <c r="BL79" i="66"/>
  <c r="DF607" i="54"/>
  <c r="DG607" i="54" s="1"/>
  <c r="DF297" i="54"/>
  <c r="DF35" i="54"/>
  <c r="DG35" i="54" s="1"/>
  <c r="DF608" i="54"/>
  <c r="DF609" i="54"/>
  <c r="DF36" i="54"/>
  <c r="DF37" i="54"/>
  <c r="DF295" i="54"/>
  <c r="DG295" i="54" s="1"/>
  <c r="DF296" i="54"/>
  <c r="BR79" i="66"/>
  <c r="DG915" i="54"/>
  <c r="EF77" i="54"/>
  <c r="EH77" i="54"/>
  <c r="ED77" i="54"/>
  <c r="EE77" i="54"/>
  <c r="EE257" i="54"/>
  <c r="DJ134" i="54"/>
  <c r="DF138" i="54"/>
  <c r="DF137" i="54"/>
  <c r="DF136" i="54"/>
  <c r="DG136" i="54" s="1"/>
  <c r="CO10" i="66"/>
  <c r="CS10" i="66"/>
  <c r="ER18" i="54"/>
  <c r="EN18" i="54"/>
  <c r="DM33" i="54"/>
  <c r="EQ238" i="54"/>
  <c r="EN238" i="54"/>
  <c r="DG758" i="54"/>
  <c r="DG655" i="54"/>
  <c r="DG654" i="54"/>
  <c r="ED357" i="54"/>
  <c r="EL218" i="54"/>
  <c r="EL97" i="54"/>
  <c r="EK97" i="54"/>
  <c r="EI97" i="54"/>
  <c r="EJ97" i="54"/>
  <c r="EG77" i="54"/>
  <c r="EP18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33" i="54"/>
  <c r="DJ606" i="54"/>
  <c r="DJ135" i="54"/>
  <c r="DM13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HV89" i="54" s="1"/>
  <c r="DI653" i="54"/>
  <c r="DJ653" i="54" s="1"/>
  <c r="DI914" i="54"/>
  <c r="DI185" i="54"/>
  <c r="DJ185" i="54" s="1"/>
  <c r="DI913" i="54"/>
  <c r="DJ913" i="54" s="1"/>
  <c r="DI757" i="54"/>
  <c r="DI1123" i="54"/>
  <c r="DI759" i="54"/>
  <c r="HV91" i="54" s="1"/>
  <c r="BZ17" i="66"/>
  <c r="CJ10" i="66" s="1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BA58" i="66"/>
  <c r="CH617" i="54" s="1"/>
  <c r="BW57" i="66"/>
  <c r="BZ57" i="66"/>
  <c r="E7" i="57" s="1"/>
  <c r="BY79" i="66"/>
  <c r="BV17" i="66"/>
  <c r="BB18" i="66" s="1"/>
  <c r="CA17" i="66"/>
  <c r="CK10" i="66" s="1"/>
  <c r="BT79" i="66"/>
  <c r="AZ80" i="66" s="1"/>
  <c r="BK18" i="66"/>
  <c r="BQ18" i="66"/>
  <c r="CU10" i="66" l="1"/>
  <c r="CQ10" i="66"/>
  <c r="CU18" i="66"/>
  <c r="CQ18" i="66"/>
  <c r="BB352" i="54"/>
  <c r="BA352" i="54"/>
  <c r="AZ352" i="54"/>
  <c r="BC352" i="54"/>
  <c r="BA392" i="54"/>
  <c r="AZ392" i="54"/>
  <c r="BC392" i="54"/>
  <c r="BB392" i="54"/>
  <c r="BB492" i="54"/>
  <c r="BA492" i="54"/>
  <c r="BC492" i="54"/>
  <c r="AZ492" i="54"/>
  <c r="AZ432" i="54"/>
  <c r="BA432" i="54"/>
  <c r="BB432" i="54"/>
  <c r="BC432" i="54"/>
  <c r="AY353" i="54"/>
  <c r="DT34" i="66"/>
  <c r="AY393" i="54"/>
  <c r="AY433" i="54"/>
  <c r="AY493" i="54"/>
  <c r="DH35" i="66"/>
  <c r="FJ577" i="54"/>
  <c r="FH577" i="54"/>
  <c r="FI577" i="54"/>
  <c r="FK577" i="54"/>
  <c r="FL577" i="54"/>
  <c r="EA577" i="54"/>
  <c r="EI577" i="54"/>
  <c r="DF1488" i="54"/>
  <c r="DG1488" i="54" s="1"/>
  <c r="DF1489" i="54"/>
  <c r="DG1489" i="54" s="1"/>
  <c r="DF1490" i="54"/>
  <c r="DG1490" i="54" s="1"/>
  <c r="CH457" i="54"/>
  <c r="CH577" i="54"/>
  <c r="EF578" i="54"/>
  <c r="EE578" i="54"/>
  <c r="EH578" i="54"/>
  <c r="ER577" i="54"/>
  <c r="CJ457" i="54"/>
  <c r="CJ577" i="54"/>
  <c r="EQ577" i="54"/>
  <c r="EO577" i="54"/>
  <c r="EN577" i="54"/>
  <c r="AW393" i="54"/>
  <c r="AX393" i="54"/>
  <c r="EO618" i="54"/>
  <c r="AZ454" i="54"/>
  <c r="EC317" i="54"/>
  <c r="EN318" i="54" s="1"/>
  <c r="AX353" i="54"/>
  <c r="EP218" i="54"/>
  <c r="ED218" i="54"/>
  <c r="EQ218" i="54"/>
  <c r="EM618" i="54"/>
  <c r="BC514" i="54"/>
  <c r="EG618" i="54"/>
  <c r="EH618" i="54"/>
  <c r="ED618" i="54"/>
  <c r="DM813" i="54"/>
  <c r="AT354" i="54"/>
  <c r="AW354" i="54" s="1"/>
  <c r="BB514" i="54"/>
  <c r="EE618" i="54"/>
  <c r="EL198" i="54"/>
  <c r="EF138" i="54"/>
  <c r="EH138" i="54"/>
  <c r="AZ514" i="54"/>
  <c r="EM198" i="54"/>
  <c r="EK198" i="54"/>
  <c r="DG554" i="54"/>
  <c r="DG553" i="54"/>
  <c r="ED138" i="54"/>
  <c r="EG138" i="54"/>
  <c r="DR75" i="66"/>
  <c r="DG1594" i="54"/>
  <c r="DG1593" i="54"/>
  <c r="DQ56" i="66"/>
  <c r="EK218" i="54"/>
  <c r="EI218" i="54"/>
  <c r="EJ218" i="54"/>
  <c r="DG501" i="54"/>
  <c r="EM218" i="54"/>
  <c r="EN138" i="54"/>
  <c r="ED318" i="54"/>
  <c r="EO558" i="54"/>
  <c r="EJ198" i="54"/>
  <c r="AU494" i="54"/>
  <c r="EJ558" i="54"/>
  <c r="DM814" i="54"/>
  <c r="BB454" i="54"/>
  <c r="EG158" i="54"/>
  <c r="BA454" i="54"/>
  <c r="BH416" i="54"/>
  <c r="AU433" i="54"/>
  <c r="BB334" i="54"/>
  <c r="AZ334" i="54"/>
  <c r="EK397" i="54"/>
  <c r="BC334" i="54"/>
  <c r="BG416" i="54"/>
  <c r="EM318" i="54"/>
  <c r="EK318" i="54"/>
  <c r="EH318" i="54"/>
  <c r="EF318" i="54"/>
  <c r="AT434" i="54"/>
  <c r="AX434" i="54" s="1"/>
  <c r="AT394" i="54"/>
  <c r="AU394" i="54" s="1"/>
  <c r="EG318" i="54"/>
  <c r="Y16" i="67"/>
  <c r="EO198" i="54"/>
  <c r="EP138" i="54"/>
  <c r="AU334" i="54"/>
  <c r="DJ501" i="54"/>
  <c r="ER138" i="54"/>
  <c r="ER218" i="54"/>
  <c r="AT15" i="67"/>
  <c r="CH15" i="67" s="1"/>
  <c r="CK15" i="67" s="1"/>
  <c r="EL318" i="54"/>
  <c r="EG218" i="54"/>
  <c r="EI618" i="54"/>
  <c r="EF158" i="54"/>
  <c r="EO218" i="54"/>
  <c r="AV353" i="54"/>
  <c r="EE158" i="54"/>
  <c r="AW494" i="54"/>
  <c r="EK618" i="54"/>
  <c r="EH218" i="54"/>
  <c r="AW353" i="54"/>
  <c r="EH158" i="54"/>
  <c r="AV494" i="54"/>
  <c r="EN218" i="54"/>
  <c r="EJ618" i="54"/>
  <c r="EE218" i="54"/>
  <c r="EK558" i="54"/>
  <c r="EI318" i="54"/>
  <c r="EQ158" i="54"/>
  <c r="AX433" i="54"/>
  <c r="ED558" i="54"/>
  <c r="EG558" i="54"/>
  <c r="EN198" i="54"/>
  <c r="AW433" i="54"/>
  <c r="EL558" i="54"/>
  <c r="EI558" i="54"/>
  <c r="EF558" i="54"/>
  <c r="EM558" i="54"/>
  <c r="EE558" i="54"/>
  <c r="BF416" i="54"/>
  <c r="EI198" i="54"/>
  <c r="EQ138" i="54"/>
  <c r="EM37" i="54"/>
  <c r="EI397" i="54"/>
  <c r="DK56" i="66"/>
  <c r="EN158" i="54"/>
  <c r="IR78" i="54"/>
  <c r="EP198" i="54"/>
  <c r="EO158" i="54"/>
  <c r="EP158" i="54"/>
  <c r="DQ75" i="66"/>
  <c r="IT78" i="54"/>
  <c r="BN415" i="54"/>
  <c r="BP415" i="54" s="1"/>
  <c r="IN78" i="54"/>
  <c r="IS78" i="54"/>
  <c r="BN335" i="54"/>
  <c r="BP335" i="54" s="1"/>
  <c r="IL78" i="54"/>
  <c r="BE414" i="54"/>
  <c r="BH414" i="54"/>
  <c r="BF414" i="54"/>
  <c r="DQ55" i="66"/>
  <c r="BF336" i="54"/>
  <c r="BN514" i="54"/>
  <c r="BR514" i="54" s="1"/>
  <c r="EK417" i="54"/>
  <c r="DM553" i="54"/>
  <c r="BH334" i="54"/>
  <c r="EA58" i="54"/>
  <c r="EA158" i="54"/>
  <c r="DF556" i="54"/>
  <c r="EJ397" i="54"/>
  <c r="DF347" i="54"/>
  <c r="BN416" i="54"/>
  <c r="BR416" i="54" s="1"/>
  <c r="DK76" i="66"/>
  <c r="DM554" i="54"/>
  <c r="DJ553" i="54"/>
  <c r="DM502" i="54"/>
  <c r="DM501" i="54"/>
  <c r="EJ37" i="54"/>
  <c r="EK37" i="54"/>
  <c r="BN334" i="54"/>
  <c r="BO334" i="54" s="1"/>
  <c r="BN336" i="54"/>
  <c r="BR336" i="54" s="1"/>
  <c r="DK55" i="66"/>
  <c r="DK77" i="66"/>
  <c r="DJ554" i="54"/>
  <c r="EL397" i="54"/>
  <c r="EI37" i="54"/>
  <c r="BN414" i="54"/>
  <c r="BP414" i="54" s="1"/>
  <c r="DQ57" i="66"/>
  <c r="DK75" i="66"/>
  <c r="DJ1594" i="54"/>
  <c r="BN456" i="54"/>
  <c r="BQ456" i="54" s="1"/>
  <c r="DQ76" i="66"/>
  <c r="EJ417" i="54"/>
  <c r="DG1648" i="54"/>
  <c r="DJ502" i="54"/>
  <c r="ER198" i="54"/>
  <c r="DF557" i="54"/>
  <c r="DF815" i="54"/>
  <c r="DG815" i="54" s="1"/>
  <c r="DF348" i="54"/>
  <c r="N17" i="67"/>
  <c r="R17" i="67" s="1"/>
  <c r="DF555" i="54"/>
  <c r="DG555" i="54" s="1"/>
  <c r="DF503" i="54"/>
  <c r="DG503" i="54" s="1"/>
  <c r="DF504" i="54"/>
  <c r="DF817" i="54"/>
  <c r="DF401" i="54"/>
  <c r="DF816" i="54"/>
  <c r="DF505" i="54"/>
  <c r="DL1597" i="54"/>
  <c r="DF399" i="54"/>
  <c r="DG399" i="54" s="1"/>
  <c r="EA138" i="54"/>
  <c r="EE139" i="54" s="1"/>
  <c r="FU618" i="54"/>
  <c r="EA218" i="54"/>
  <c r="EG219" i="54" s="1"/>
  <c r="BR59" i="66"/>
  <c r="FM618" i="54" s="1"/>
  <c r="BY59" i="66"/>
  <c r="DF349" i="54"/>
  <c r="DJ1593" i="54"/>
  <c r="DM1594" i="54"/>
  <c r="DG1649" i="54"/>
  <c r="DM1593" i="54"/>
  <c r="CJ138" i="54"/>
  <c r="CJ218" i="54"/>
  <c r="CF519" i="54"/>
  <c r="CF639" i="54"/>
  <c r="DL1649" i="54"/>
  <c r="DL1648" i="54"/>
  <c r="DL1647" i="54"/>
  <c r="DM1647" i="54" s="1"/>
  <c r="FP638" i="54"/>
  <c r="FQ638" i="54"/>
  <c r="FM638" i="54"/>
  <c r="FN638" i="54"/>
  <c r="FO638" i="54"/>
  <c r="EB638" i="54"/>
  <c r="FU638" i="54"/>
  <c r="FV638" i="54"/>
  <c r="FR638" i="54"/>
  <c r="FT638" i="54"/>
  <c r="FS638" i="54"/>
  <c r="EC638" i="54"/>
  <c r="ER639" i="54" s="1"/>
  <c r="EH639" i="54"/>
  <c r="EE639" i="54"/>
  <c r="EG639" i="54"/>
  <c r="EF639" i="54"/>
  <c r="ED639" i="54"/>
  <c r="DI1647" i="54"/>
  <c r="DJ1647" i="54" s="1"/>
  <c r="DI1649" i="54"/>
  <c r="DI1648" i="54"/>
  <c r="DF1596" i="54"/>
  <c r="DF1595" i="54"/>
  <c r="DG1595" i="54" s="1"/>
  <c r="DF1597" i="54"/>
  <c r="DL1595" i="54"/>
  <c r="DM1595" i="54" s="1"/>
  <c r="CJ558" i="54"/>
  <c r="CJ618" i="54"/>
  <c r="EP618" i="54"/>
  <c r="FO618" i="54"/>
  <c r="DI1596" i="54"/>
  <c r="DI1595" i="54"/>
  <c r="DJ1595" i="54" s="1"/>
  <c r="DI1597" i="54"/>
  <c r="FI618" i="54"/>
  <c r="FH618" i="54"/>
  <c r="FK618" i="54"/>
  <c r="FL618" i="54"/>
  <c r="FJ618" i="54"/>
  <c r="EA618" i="54"/>
  <c r="EQ618" i="54"/>
  <c r="EN618" i="54"/>
  <c r="EA198" i="54"/>
  <c r="EF199" i="54" s="1"/>
  <c r="EA318" i="54"/>
  <c r="BT59" i="66"/>
  <c r="AZ60" i="66" s="1"/>
  <c r="CF159" i="54" s="1"/>
  <c r="ER618" i="54"/>
  <c r="BN455" i="54"/>
  <c r="BO455" i="54" s="1"/>
  <c r="BG334" i="54"/>
  <c r="BE334" i="54"/>
  <c r="DF1021" i="54"/>
  <c r="AW334" i="54"/>
  <c r="EP37" i="54"/>
  <c r="DR55" i="66"/>
  <c r="DF240" i="54"/>
  <c r="DG240" i="54" s="1"/>
  <c r="EA277" i="54"/>
  <c r="EF278" i="54" s="1"/>
  <c r="CJ477" i="54"/>
  <c r="DF1073" i="54"/>
  <c r="EN37" i="54"/>
  <c r="EQ37" i="54"/>
  <c r="BE336" i="54"/>
  <c r="AU373" i="54"/>
  <c r="AW373" i="54"/>
  <c r="DF76" i="66"/>
  <c r="DR76" i="66" s="1"/>
  <c r="EL417" i="54"/>
  <c r="BH336" i="54"/>
  <c r="AV373" i="54"/>
  <c r="ER37" i="54"/>
  <c r="EI417" i="54"/>
  <c r="AO16" i="67"/>
  <c r="DG1336" i="54"/>
  <c r="AX334" i="54"/>
  <c r="DJ1278" i="54"/>
  <c r="DJ1437" i="54"/>
  <c r="DM1278" i="54"/>
  <c r="DJ1382" i="54"/>
  <c r="DM396" i="54"/>
  <c r="EO597" i="54"/>
  <c r="ER597" i="54"/>
  <c r="EN597" i="54"/>
  <c r="DF864" i="54"/>
  <c r="DG864" i="54" s="1"/>
  <c r="DM1538" i="54"/>
  <c r="CJ277" i="54"/>
  <c r="BY38" i="66"/>
  <c r="DF242" i="54"/>
  <c r="DF1074" i="54"/>
  <c r="DF1020" i="54"/>
  <c r="DG1020" i="54" s="1"/>
  <c r="DF450" i="54"/>
  <c r="DF448" i="54"/>
  <c r="DG448" i="54" s="1"/>
  <c r="DJ1383" i="54"/>
  <c r="DJ1538" i="54"/>
  <c r="DF710" i="54"/>
  <c r="DF449" i="54"/>
  <c r="DJ1279" i="54"/>
  <c r="DJ1539" i="54"/>
  <c r="DL1540" i="54"/>
  <c r="DM1540" i="54" s="1"/>
  <c r="DF85" i="54"/>
  <c r="DF84" i="54"/>
  <c r="DG84" i="54" s="1"/>
  <c r="DF1072" i="54"/>
  <c r="DG1072" i="54" s="1"/>
  <c r="CJ397" i="54"/>
  <c r="BT38" i="66"/>
  <c r="AZ39" i="66" s="1"/>
  <c r="CF598" i="54" s="1"/>
  <c r="DF241" i="54"/>
  <c r="DF86" i="54"/>
  <c r="DF1022" i="54"/>
  <c r="BL38" i="66"/>
  <c r="DI1540" i="54" s="1"/>
  <c r="DJ1540" i="54" s="1"/>
  <c r="DF708" i="54"/>
  <c r="DG708" i="54" s="1"/>
  <c r="DM1279" i="54"/>
  <c r="DJ1226" i="54"/>
  <c r="DJ1174" i="54"/>
  <c r="BF496" i="54"/>
  <c r="BG496" i="54"/>
  <c r="BH496" i="54"/>
  <c r="BE496" i="54"/>
  <c r="IG85" i="54"/>
  <c r="BF454" i="54"/>
  <c r="BG454" i="54"/>
  <c r="BH454" i="54"/>
  <c r="BE454" i="54"/>
  <c r="DM1539" i="54"/>
  <c r="BQ535" i="54"/>
  <c r="BR535" i="54"/>
  <c r="BP535" i="54"/>
  <c r="BO535" i="54"/>
  <c r="BH516" i="54"/>
  <c r="BG516" i="54"/>
  <c r="BF516" i="54"/>
  <c r="BE516" i="54"/>
  <c r="CJ537" i="54"/>
  <c r="CJ597" i="54"/>
  <c r="DF1540" i="54"/>
  <c r="DG1540" i="54" s="1"/>
  <c r="DF1542" i="54"/>
  <c r="DF1541" i="54"/>
  <c r="BH514" i="54"/>
  <c r="BE514" i="54"/>
  <c r="BG514" i="54"/>
  <c r="BF514" i="54"/>
  <c r="BF535" i="54"/>
  <c r="BG535" i="54"/>
  <c r="BH535" i="54"/>
  <c r="BE535" i="54"/>
  <c r="BR534" i="54"/>
  <c r="BO534" i="54"/>
  <c r="BQ534" i="54"/>
  <c r="BP534" i="54"/>
  <c r="CH477" i="54"/>
  <c r="CH597" i="54"/>
  <c r="AW514" i="54"/>
  <c r="AV514" i="54"/>
  <c r="AX514" i="54"/>
  <c r="AU514" i="54"/>
  <c r="BO515" i="54"/>
  <c r="BP515" i="54"/>
  <c r="BR515" i="54"/>
  <c r="BQ515" i="54"/>
  <c r="BF536" i="54"/>
  <c r="BH536" i="54"/>
  <c r="BG536" i="54"/>
  <c r="BE536" i="54"/>
  <c r="BQ536" i="54"/>
  <c r="BR536" i="54"/>
  <c r="BO536" i="54"/>
  <c r="BP536" i="54"/>
  <c r="EP597" i="54"/>
  <c r="FJ597" i="54"/>
  <c r="FK597" i="54"/>
  <c r="EA597" i="54"/>
  <c r="FL597" i="54"/>
  <c r="FI597" i="54"/>
  <c r="FH597" i="54"/>
  <c r="AV454" i="54"/>
  <c r="AX454" i="54"/>
  <c r="AU454" i="54"/>
  <c r="AW454" i="54"/>
  <c r="EL597" i="54"/>
  <c r="EJ597" i="54"/>
  <c r="EM597" i="54"/>
  <c r="EK597" i="54"/>
  <c r="EI597" i="54"/>
  <c r="BP516" i="54"/>
  <c r="BR516" i="54"/>
  <c r="BQ516" i="54"/>
  <c r="BO516" i="54"/>
  <c r="BF456" i="54"/>
  <c r="BH456" i="54"/>
  <c r="BE456" i="54"/>
  <c r="BG456" i="54"/>
  <c r="BP454" i="54"/>
  <c r="BO454" i="54"/>
  <c r="BQ454" i="54"/>
  <c r="BR454" i="54"/>
  <c r="AR374" i="54"/>
  <c r="AP374" i="54"/>
  <c r="AO335" i="54"/>
  <c r="AS335" i="54" s="1"/>
  <c r="AO515" i="54"/>
  <c r="AO455" i="54"/>
  <c r="AQ374" i="54"/>
  <c r="IK79" i="54"/>
  <c r="IT79" i="54" s="1"/>
  <c r="IL76" i="54"/>
  <c r="IS76" i="54"/>
  <c r="AU473" i="54"/>
  <c r="AW473" i="54"/>
  <c r="AV473" i="54"/>
  <c r="AX473" i="54"/>
  <c r="BB473" i="54"/>
  <c r="BA473" i="54"/>
  <c r="BC473" i="54"/>
  <c r="AZ473" i="54"/>
  <c r="AT374" i="54"/>
  <c r="AX374" i="54" s="1"/>
  <c r="AT474" i="54"/>
  <c r="IK80" i="54"/>
  <c r="IT80" i="54" s="1"/>
  <c r="AR473" i="54"/>
  <c r="AS473" i="54"/>
  <c r="AP473" i="54"/>
  <c r="AQ473" i="54"/>
  <c r="AS474" i="54"/>
  <c r="AP474" i="54"/>
  <c r="AQ474" i="54"/>
  <c r="AR474" i="54"/>
  <c r="AS373" i="54"/>
  <c r="AP373" i="54"/>
  <c r="AQ373" i="54"/>
  <c r="AR373" i="54"/>
  <c r="HP91" i="54"/>
  <c r="DM398" i="54"/>
  <c r="HZ99" i="54"/>
  <c r="IA99" i="54" s="1"/>
  <c r="HQ90" i="54"/>
  <c r="IE90" i="54" s="1"/>
  <c r="HQ89" i="54"/>
  <c r="IE89" i="54" s="1"/>
  <c r="DJ757" i="54"/>
  <c r="HV86" i="54"/>
  <c r="HQ91" i="54"/>
  <c r="IE91" i="54" s="1"/>
  <c r="HQ92" i="54"/>
  <c r="HQ93" i="54"/>
  <c r="IK81" i="54"/>
  <c r="IR81" i="54" s="1"/>
  <c r="HH97" i="54"/>
  <c r="HN97" i="54" s="1"/>
  <c r="HH98" i="54"/>
  <c r="HN98" i="54" s="1"/>
  <c r="HH92" i="54"/>
  <c r="HN92" i="54" s="1"/>
  <c r="HH96" i="54"/>
  <c r="HN96" i="54" s="1"/>
  <c r="HH95" i="54"/>
  <c r="HN95" i="54" s="1"/>
  <c r="HH93" i="54"/>
  <c r="HN93" i="54" s="1"/>
  <c r="HH94" i="54"/>
  <c r="HN94" i="54" s="1"/>
  <c r="HH99" i="54"/>
  <c r="DM757" i="54"/>
  <c r="HW86" i="54"/>
  <c r="IK83" i="54"/>
  <c r="IM83" i="54" s="1"/>
  <c r="HQ87" i="54"/>
  <c r="IE87" i="54" s="1"/>
  <c r="HQ88" i="54"/>
  <c r="IE88" i="54" s="1"/>
  <c r="HQ86" i="54"/>
  <c r="IE86" i="54" s="1"/>
  <c r="CH537" i="54"/>
  <c r="DJ1438" i="54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F1176" i="54"/>
  <c r="DG1176" i="54" s="1"/>
  <c r="DF1178" i="54"/>
  <c r="DL1337" i="54"/>
  <c r="DL1336" i="54"/>
  <c r="DL1335" i="54"/>
  <c r="DM133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I1335" i="54"/>
  <c r="DJ1335" i="54" s="1"/>
  <c r="DI1336" i="54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FU318" i="54"/>
  <c r="FS318" i="54"/>
  <c r="FV198" i="54"/>
  <c r="FS558" i="54"/>
  <c r="FT198" i="54"/>
  <c r="FV218" i="54"/>
  <c r="FU158" i="54"/>
  <c r="DL1441" i="54"/>
  <c r="DL1439" i="54"/>
  <c r="DM1439" i="54" s="1"/>
  <c r="DL1440" i="54"/>
  <c r="DI1441" i="54"/>
  <c r="DI1439" i="54"/>
  <c r="DJ1439" i="54" s="1"/>
  <c r="DI1440" i="54"/>
  <c r="DF865" i="54"/>
  <c r="DF1386" i="54"/>
  <c r="DF1228" i="54"/>
  <c r="DG1228" i="54" s="1"/>
  <c r="DF1384" i="54"/>
  <c r="DG1384" i="54" s="1"/>
  <c r="DF1280" i="54"/>
  <c r="DG1280" i="54" s="1"/>
  <c r="DF1229" i="54"/>
  <c r="DF1230" i="54"/>
  <c r="DF1385" i="54"/>
  <c r="DG1385" i="54" s="1"/>
  <c r="DF1282" i="54"/>
  <c r="DF1281" i="54"/>
  <c r="DF400" i="54"/>
  <c r="DF1440" i="54"/>
  <c r="DF1439" i="54"/>
  <c r="DG1439" i="54" s="1"/>
  <c r="DF1441" i="54"/>
  <c r="EA37" i="54"/>
  <c r="ED38" i="54" s="1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J26" i="66"/>
  <c r="CT26" i="66" s="1"/>
  <c r="BR38" i="66"/>
  <c r="EB277" i="54" s="1"/>
  <c r="EA337" i="54"/>
  <c r="EG338" i="54" s="1"/>
  <c r="EA97" i="54"/>
  <c r="ED98" i="54" s="1"/>
  <c r="EC277" i="54"/>
  <c r="EA177" i="54"/>
  <c r="EG178" i="54" s="1"/>
  <c r="EA397" i="54"/>
  <c r="EE398" i="54" s="1"/>
  <c r="DF709" i="54"/>
  <c r="CJ37" i="54"/>
  <c r="CJ177" i="54"/>
  <c r="CJ497" i="54"/>
  <c r="CJ97" i="54"/>
  <c r="CJ417" i="54"/>
  <c r="IL77" i="54"/>
  <c r="T16" i="67"/>
  <c r="U16" i="67" s="1"/>
  <c r="IT77" i="54"/>
  <c r="IN77" i="54"/>
  <c r="IR77" i="54"/>
  <c r="DJ344" i="54"/>
  <c r="IK82" i="54"/>
  <c r="IL82" i="54" s="1"/>
  <c r="CJ58" i="54"/>
  <c r="CJ318" i="54"/>
  <c r="Q16" i="67"/>
  <c r="CJ158" i="54"/>
  <c r="IF85" i="54"/>
  <c r="IG84" i="54"/>
  <c r="IK84" i="54" s="1"/>
  <c r="IP81" i="54"/>
  <c r="IP85" i="54"/>
  <c r="IP82" i="54"/>
  <c r="IP80" i="54"/>
  <c r="IP83" i="54"/>
  <c r="IP79" i="54"/>
  <c r="IP84" i="54"/>
  <c r="II89" i="54"/>
  <c r="DJ397" i="54"/>
  <c r="AN16" i="67"/>
  <c r="DJ398" i="54"/>
  <c r="DJ814" i="54"/>
  <c r="DM345" i="54"/>
  <c r="DM346" i="54"/>
  <c r="DJ813" i="54"/>
  <c r="DJ346" i="54"/>
  <c r="DM238" i="54"/>
  <c r="EP177" i="54"/>
  <c r="EQ177" i="54"/>
  <c r="EO177" i="54"/>
  <c r="EN177" i="54"/>
  <c r="DM447" i="54"/>
  <c r="DM83" i="54"/>
  <c r="DM239" i="54"/>
  <c r="DM82" i="54"/>
  <c r="DL36" i="66"/>
  <c r="DL35" i="66"/>
  <c r="DM1070" i="54"/>
  <c r="DJ1018" i="54"/>
  <c r="DM863" i="54"/>
  <c r="DN35" i="66"/>
  <c r="BN494" i="54" s="1"/>
  <c r="DM1071" i="54"/>
  <c r="CS18" i="66"/>
  <c r="DI36" i="66" s="1"/>
  <c r="DM862" i="54"/>
  <c r="DM705" i="54"/>
  <c r="DM445" i="54"/>
  <c r="DM706" i="54"/>
  <c r="DM707" i="54"/>
  <c r="DM1019" i="54"/>
  <c r="DM1018" i="54"/>
  <c r="DM446" i="54"/>
  <c r="DJ1019" i="54"/>
  <c r="DJ862" i="54"/>
  <c r="CH177" i="54"/>
  <c r="CH277" i="54"/>
  <c r="CH337" i="54"/>
  <c r="CH397" i="54"/>
  <c r="EO417" i="54"/>
  <c r="DJ446" i="54"/>
  <c r="EN397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EQ417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DF57" i="66"/>
  <c r="DR56" i="66"/>
  <c r="AO415" i="54"/>
  <c r="AR415" i="54" s="1"/>
  <c r="EO97" i="54"/>
  <c r="EP97" i="54"/>
  <c r="ER97" i="54"/>
  <c r="CF478" i="54"/>
  <c r="CF538" i="54"/>
  <c r="AY373" i="54"/>
  <c r="DT14" i="66"/>
  <c r="DH15" i="66"/>
  <c r="DO37" i="66"/>
  <c r="BD356" i="54"/>
  <c r="BD436" i="54"/>
  <c r="BD396" i="54"/>
  <c r="AV434" i="54"/>
  <c r="BA372" i="54"/>
  <c r="BC372" i="54"/>
  <c r="BB372" i="54"/>
  <c r="AZ372" i="54"/>
  <c r="AV354" i="54"/>
  <c r="EE418" i="54"/>
  <c r="EC158" i="54"/>
  <c r="CF59" i="54"/>
  <c r="BK60" i="66"/>
  <c r="CF319" i="54"/>
  <c r="O17" i="67"/>
  <c r="S17" i="67" s="1"/>
  <c r="DI348" i="54"/>
  <c r="DI399" i="54"/>
  <c r="DI401" i="54"/>
  <c r="DI349" i="54"/>
  <c r="DI400" i="54"/>
  <c r="DI347" i="54"/>
  <c r="EB318" i="54"/>
  <c r="EB158" i="54"/>
  <c r="W17" i="67"/>
  <c r="EB58" i="54"/>
  <c r="EB138" i="54"/>
  <c r="DG349" i="54"/>
  <c r="P17" i="67"/>
  <c r="T17" i="67" s="1"/>
  <c r="DL349" i="54"/>
  <c r="DL399" i="54"/>
  <c r="DL347" i="54"/>
  <c r="DL401" i="54"/>
  <c r="DL400" i="54"/>
  <c r="DL348" i="54"/>
  <c r="CH57" i="54"/>
  <c r="CH317" i="54"/>
  <c r="CH137" i="54"/>
  <c r="CH157" i="54"/>
  <c r="CF19" i="54"/>
  <c r="CF219" i="54"/>
  <c r="CF239" i="54"/>
  <c r="CF119" i="54"/>
  <c r="CF178" i="54"/>
  <c r="CF398" i="54"/>
  <c r="CF9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238" i="54"/>
  <c r="EN239" i="54" s="1"/>
  <c r="EB238" i="54"/>
  <c r="EK239" i="54" s="1"/>
  <c r="EB198" i="54"/>
  <c r="EB18" i="54"/>
  <c r="EL19" i="54" s="1"/>
  <c r="EB118" i="54"/>
  <c r="EK119" i="54" s="1"/>
  <c r="EB218" i="54"/>
  <c r="IJ91" i="54"/>
  <c r="CP18" i="66"/>
  <c r="DM35" i="66" s="1"/>
  <c r="BI494" i="54" s="1"/>
  <c r="EA257" i="54"/>
  <c r="EG258" i="54" s="1"/>
  <c r="EA357" i="54"/>
  <c r="EH358" i="54" s="1"/>
  <c r="EA437" i="54"/>
  <c r="EE438" i="54" s="1"/>
  <c r="EA77" i="54"/>
  <c r="EH78" i="54" s="1"/>
  <c r="EA297" i="54"/>
  <c r="HY106" i="54" s="1"/>
  <c r="EA377" i="54"/>
  <c r="ED378" i="54" s="1"/>
  <c r="EP357" i="54"/>
  <c r="EG418" i="54"/>
  <c r="BU79" i="66"/>
  <c r="BA80" i="66" s="1"/>
  <c r="DM914" i="54"/>
  <c r="EN357" i="54"/>
  <c r="DM1123" i="54"/>
  <c r="EH418" i="54"/>
  <c r="DG137" i="54"/>
  <c r="EE119" i="54"/>
  <c r="BV79" i="66"/>
  <c r="BB80" i="66" s="1"/>
  <c r="EG19" i="54"/>
  <c r="EP377" i="54"/>
  <c r="DI866" i="54"/>
  <c r="DI449" i="54"/>
  <c r="DI448" i="54"/>
  <c r="DI450" i="54"/>
  <c r="DI708" i="54"/>
  <c r="DI864" i="54"/>
  <c r="DI710" i="54"/>
  <c r="DM186" i="54"/>
  <c r="DG609" i="54"/>
  <c r="ED58" i="54"/>
  <c r="DM967" i="54"/>
  <c r="DM655" i="54"/>
  <c r="EG119" i="54"/>
  <c r="DG36" i="54"/>
  <c r="DM758" i="54"/>
  <c r="DM966" i="54"/>
  <c r="DJ1123" i="54"/>
  <c r="DJ914" i="54"/>
  <c r="DJ186" i="54"/>
  <c r="DM759" i="54"/>
  <c r="DM1122" i="54"/>
  <c r="DJ915" i="54"/>
  <c r="DJ654" i="54"/>
  <c r="DI16" i="66"/>
  <c r="DI17" i="66"/>
  <c r="DI15" i="66"/>
  <c r="EE239" i="54"/>
  <c r="EG239" i="54"/>
  <c r="EH239" i="54"/>
  <c r="ED239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DL16" i="66"/>
  <c r="BD475" i="54" s="1"/>
  <c r="DL17" i="66"/>
  <c r="BD476" i="54" s="1"/>
  <c r="DL15" i="66"/>
  <c r="BD474" i="54" s="1"/>
  <c r="EF418" i="54"/>
  <c r="ED418" i="54"/>
  <c r="DG296" i="54"/>
  <c r="DG37" i="54"/>
  <c r="DG608" i="54"/>
  <c r="DG297" i="54"/>
  <c r="DM187" i="54"/>
  <c r="DM654" i="54"/>
  <c r="EO357" i="54"/>
  <c r="EQ357" i="54"/>
  <c r="BR18" i="66"/>
  <c r="EJ257" i="54"/>
  <c r="EM257" i="54"/>
  <c r="EL257" i="54"/>
  <c r="EI257" i="54"/>
  <c r="BL18" i="66"/>
  <c r="DF916" i="54"/>
  <c r="DG916" i="54" s="1"/>
  <c r="DF970" i="54"/>
  <c r="DF969" i="54"/>
  <c r="DF968" i="54"/>
  <c r="DG968" i="54" s="1"/>
  <c r="DF762" i="54"/>
  <c r="HU99" i="54" s="1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F657" i="54"/>
  <c r="BK80" i="66"/>
  <c r="DL138" i="54"/>
  <c r="DL136" i="54"/>
  <c r="DM136" i="54" s="1"/>
  <c r="DL137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DJ37" i="66"/>
  <c r="DJ35" i="66"/>
  <c r="DJ36" i="66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Z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EJ297" i="54"/>
  <c r="EL297" i="54"/>
  <c r="EM297" i="54"/>
  <c r="EK297" i="54"/>
  <c r="CT10" i="66"/>
  <c r="CP10" i="66"/>
  <c r="EM377" i="54"/>
  <c r="EL377" i="54"/>
  <c r="EJ377" i="54"/>
  <c r="EK377" i="54"/>
  <c r="EM357" i="54"/>
  <c r="EI357" i="54"/>
  <c r="EK357" i="54"/>
  <c r="CA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DG138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HI92" i="54" s="1"/>
  <c r="BY18" i="66"/>
  <c r="BQ80" i="66"/>
  <c r="BQ39" i="66"/>
  <c r="BK39" i="66"/>
  <c r="BT18" i="66"/>
  <c r="AZ19" i="66" s="1"/>
  <c r="BA433" i="54" l="1"/>
  <c r="AZ433" i="54"/>
  <c r="BB433" i="54"/>
  <c r="BC433" i="54"/>
  <c r="BB393" i="54"/>
  <c r="BA393" i="54"/>
  <c r="AZ393" i="54"/>
  <c r="BC393" i="54"/>
  <c r="AY494" i="54"/>
  <c r="AY394" i="54"/>
  <c r="AY354" i="54"/>
  <c r="AY434" i="54"/>
  <c r="BA493" i="54"/>
  <c r="BB493" i="54"/>
  <c r="BC493" i="54"/>
  <c r="AZ493" i="54"/>
  <c r="AZ353" i="54"/>
  <c r="BA353" i="54"/>
  <c r="BC353" i="54"/>
  <c r="BB353" i="54"/>
  <c r="FO577" i="54"/>
  <c r="FM577" i="54"/>
  <c r="FN577" i="54"/>
  <c r="FQ577" i="54"/>
  <c r="FP577" i="54"/>
  <c r="EB577" i="54"/>
  <c r="EI578" i="54" s="1"/>
  <c r="CF458" i="54"/>
  <c r="CF578" i="54"/>
  <c r="DI1490" i="54"/>
  <c r="DJ1490" i="54" s="1"/>
  <c r="DI1488" i="54"/>
  <c r="DJ1488" i="54" s="1"/>
  <c r="DI1489" i="54"/>
  <c r="DJ1489" i="54" s="1"/>
  <c r="EG578" i="54"/>
  <c r="ED578" i="54"/>
  <c r="DL1384" i="54"/>
  <c r="DM1384" i="54" s="1"/>
  <c r="DL1489" i="54"/>
  <c r="DM1489" i="54" s="1"/>
  <c r="DL1490" i="54"/>
  <c r="DM1490" i="54" s="1"/>
  <c r="DL1488" i="54"/>
  <c r="DM1488" i="54" s="1"/>
  <c r="FT577" i="54"/>
  <c r="FV577" i="54"/>
  <c r="FR577" i="54"/>
  <c r="FS577" i="54"/>
  <c r="FU577" i="54"/>
  <c r="EC577" i="54"/>
  <c r="EN578" i="54" s="1"/>
  <c r="AX354" i="54"/>
  <c r="EM219" i="54"/>
  <c r="EH319" i="54"/>
  <c r="ED619" i="54"/>
  <c r="EO318" i="54"/>
  <c r="ER318" i="54"/>
  <c r="EP318" i="54"/>
  <c r="EQ318" i="54"/>
  <c r="EM199" i="54"/>
  <c r="AU354" i="54"/>
  <c r="BQ415" i="54"/>
  <c r="EG159" i="54"/>
  <c r="DG348" i="54"/>
  <c r="EC218" i="54"/>
  <c r="DG347" i="54"/>
  <c r="EC318" i="54"/>
  <c r="EC58" i="54"/>
  <c r="AU434" i="54"/>
  <c r="FT158" i="54"/>
  <c r="FS218" i="54"/>
  <c r="FS198" i="54"/>
  <c r="FR558" i="54"/>
  <c r="FR198" i="54"/>
  <c r="FU58" i="54"/>
  <c r="BR456" i="54"/>
  <c r="BP514" i="54"/>
  <c r="EG199" i="54"/>
  <c r="ED278" i="54"/>
  <c r="ED199" i="54"/>
  <c r="EC198" i="54"/>
  <c r="BV59" i="66"/>
  <c r="BB60" i="66" s="1"/>
  <c r="X17" i="67"/>
  <c r="AO17" i="67" s="1"/>
  <c r="AW434" i="54"/>
  <c r="EC558" i="54"/>
  <c r="EO559" i="54" s="1"/>
  <c r="FS158" i="54"/>
  <c r="FR218" i="54"/>
  <c r="FU558" i="54"/>
  <c r="FR138" i="54"/>
  <c r="FT138" i="54"/>
  <c r="FV318" i="54"/>
  <c r="CA59" i="66"/>
  <c r="EC138" i="54"/>
  <c r="BR414" i="54"/>
  <c r="FR158" i="54"/>
  <c r="FT218" i="54"/>
  <c r="FR318" i="54"/>
  <c r="FV138" i="54"/>
  <c r="FT318" i="54"/>
  <c r="FV58" i="54"/>
  <c r="FS58" i="54"/>
  <c r="FV618" i="54"/>
  <c r="DL1596" i="54"/>
  <c r="DM1596" i="54" s="1"/>
  <c r="EH219" i="54"/>
  <c r="BO335" i="54"/>
  <c r="ED159" i="54"/>
  <c r="AX394" i="54"/>
  <c r="BP416" i="54"/>
  <c r="EN219" i="54"/>
  <c r="EK319" i="54"/>
  <c r="AW394" i="54"/>
  <c r="BQ334" i="54"/>
  <c r="EI559" i="54"/>
  <c r="EF219" i="54"/>
  <c r="AM17" i="67"/>
  <c r="BR335" i="54"/>
  <c r="AV394" i="54"/>
  <c r="BO416" i="54"/>
  <c r="BR334" i="54"/>
  <c r="ED219" i="54"/>
  <c r="BQ335" i="54"/>
  <c r="BQ416" i="54"/>
  <c r="BP334" i="54"/>
  <c r="EG319" i="54"/>
  <c r="EE159" i="54"/>
  <c r="DG556" i="54"/>
  <c r="BQ336" i="54"/>
  <c r="DH56" i="66"/>
  <c r="AY415" i="54" s="1"/>
  <c r="BA415" i="54" s="1"/>
  <c r="EG278" i="54"/>
  <c r="BO415" i="54"/>
  <c r="EH199" i="54"/>
  <c r="EE199" i="54"/>
  <c r="DG557" i="54"/>
  <c r="EE278" i="54"/>
  <c r="BP336" i="54"/>
  <c r="BR415" i="54"/>
  <c r="EF139" i="54"/>
  <c r="AY15" i="67"/>
  <c r="DG817" i="54"/>
  <c r="EE219" i="54"/>
  <c r="EH159" i="54"/>
  <c r="EF159" i="54"/>
  <c r="EE319" i="54"/>
  <c r="EF319" i="54"/>
  <c r="ED319" i="54"/>
  <c r="AW15" i="67"/>
  <c r="DG504" i="54"/>
  <c r="DG505" i="54"/>
  <c r="ED139" i="54"/>
  <c r="AV15" i="67"/>
  <c r="DG816" i="54"/>
  <c r="AX15" i="67"/>
  <c r="EG139" i="54"/>
  <c r="AU15" i="67"/>
  <c r="DG401" i="54"/>
  <c r="BO414" i="54"/>
  <c r="BQ414" i="54"/>
  <c r="DT75" i="66"/>
  <c r="DT55" i="66"/>
  <c r="EH278" i="54"/>
  <c r="BO336" i="54"/>
  <c r="BR455" i="54"/>
  <c r="DF77" i="66"/>
  <c r="DF78" i="66" s="1"/>
  <c r="AO537" i="54" s="1"/>
  <c r="DH76" i="66"/>
  <c r="DH77" i="66" s="1"/>
  <c r="EH139" i="54"/>
  <c r="BP456" i="54"/>
  <c r="BQ514" i="54"/>
  <c r="FS618" i="54"/>
  <c r="FV158" i="54"/>
  <c r="FU218" i="54"/>
  <c r="FV558" i="54"/>
  <c r="FT558" i="54"/>
  <c r="FU198" i="54"/>
  <c r="FU138" i="54"/>
  <c r="FS138" i="54"/>
  <c r="FT58" i="54"/>
  <c r="FR58" i="54"/>
  <c r="BO456" i="54"/>
  <c r="BO514" i="54"/>
  <c r="FR618" i="54"/>
  <c r="EC618" i="54"/>
  <c r="EO619" i="54" s="1"/>
  <c r="FT618" i="54"/>
  <c r="FN618" i="54"/>
  <c r="FP618" i="54"/>
  <c r="FQ618" i="54"/>
  <c r="CF139" i="54"/>
  <c r="BQ60" i="66"/>
  <c r="FH619" i="54" s="1"/>
  <c r="CF199" i="54"/>
  <c r="AP16" i="67"/>
  <c r="AT16" i="67" s="1"/>
  <c r="AY16" i="67" s="1"/>
  <c r="IN81" i="54"/>
  <c r="IL81" i="54"/>
  <c r="IR79" i="54"/>
  <c r="IL79" i="54"/>
  <c r="IM79" i="54"/>
  <c r="AP335" i="54"/>
  <c r="IM81" i="54"/>
  <c r="AQ335" i="54"/>
  <c r="DM1648" i="54"/>
  <c r="EB618" i="54"/>
  <c r="EJ619" i="54" s="1"/>
  <c r="DG1596" i="54"/>
  <c r="DI1386" i="54"/>
  <c r="DI1281" i="54"/>
  <c r="DL1072" i="54"/>
  <c r="DM1072" i="54" s="1"/>
  <c r="DL448" i="54"/>
  <c r="DM448" i="54" s="1"/>
  <c r="DL1228" i="54"/>
  <c r="DM1228" i="54" s="1"/>
  <c r="DL450" i="54"/>
  <c r="DG1597" i="54"/>
  <c r="DL241" i="54"/>
  <c r="BU38" i="66"/>
  <c r="BA39" i="66" s="1"/>
  <c r="CH598" i="54" s="1"/>
  <c r="BZ38" i="66"/>
  <c r="DL84" i="54"/>
  <c r="DM84" i="54" s="1"/>
  <c r="DM1649" i="54"/>
  <c r="DJ1596" i="54"/>
  <c r="DJ1649" i="54"/>
  <c r="EN639" i="54"/>
  <c r="CH519" i="54"/>
  <c r="CH639" i="54"/>
  <c r="EA639" i="54"/>
  <c r="EG640" i="54" s="1"/>
  <c r="FK639" i="54"/>
  <c r="FI639" i="54"/>
  <c r="FH639" i="54"/>
  <c r="FJ639" i="54"/>
  <c r="FL639" i="54"/>
  <c r="DJ1597" i="54"/>
  <c r="EK639" i="54"/>
  <c r="EI639" i="54"/>
  <c r="EL639" i="54"/>
  <c r="EM639" i="54"/>
  <c r="EJ639" i="54"/>
  <c r="CJ519" i="54"/>
  <c r="CJ639" i="54"/>
  <c r="DJ1648" i="54"/>
  <c r="DF1652" i="54"/>
  <c r="DF1651" i="54"/>
  <c r="DF1650" i="54"/>
  <c r="DG1650" i="54" s="1"/>
  <c r="EP639" i="54"/>
  <c r="EO639" i="54"/>
  <c r="EQ639" i="54"/>
  <c r="FI619" i="54"/>
  <c r="EE619" i="54"/>
  <c r="EF619" i="54"/>
  <c r="EG619" i="54"/>
  <c r="EH619" i="54"/>
  <c r="CJ559" i="54"/>
  <c r="CJ619" i="54"/>
  <c r="DF1599" i="54"/>
  <c r="DF1600" i="54"/>
  <c r="DF1598" i="54"/>
  <c r="DG1598" i="54" s="1"/>
  <c r="CF559" i="54"/>
  <c r="CF619" i="54"/>
  <c r="BP455" i="54"/>
  <c r="BQ455" i="54"/>
  <c r="DG400" i="54"/>
  <c r="AR335" i="54"/>
  <c r="IN79" i="54"/>
  <c r="IS79" i="54"/>
  <c r="EG38" i="54"/>
  <c r="IR80" i="54"/>
  <c r="AO535" i="54"/>
  <c r="AP535" i="54" s="1"/>
  <c r="DI1385" i="54"/>
  <c r="EF38" i="54"/>
  <c r="EH38" i="54"/>
  <c r="IS81" i="54"/>
  <c r="EF98" i="54"/>
  <c r="EG398" i="54"/>
  <c r="EF398" i="54"/>
  <c r="IK85" i="54"/>
  <c r="IR85" i="54" s="1"/>
  <c r="DI1228" i="54"/>
  <c r="DJ1228" i="54" s="1"/>
  <c r="DI1282" i="54"/>
  <c r="DI1230" i="54"/>
  <c r="DI1229" i="54"/>
  <c r="DG85" i="54"/>
  <c r="DI709" i="54"/>
  <c r="DJ710" i="54" s="1"/>
  <c r="DI865" i="54"/>
  <c r="DJ865" i="54" s="1"/>
  <c r="CF418" i="54"/>
  <c r="CF38" i="54"/>
  <c r="CF498" i="54"/>
  <c r="DI1384" i="54"/>
  <c r="DJ1384" i="54" s="1"/>
  <c r="DI1280" i="54"/>
  <c r="DJ1280" i="54" s="1"/>
  <c r="DG1021" i="54"/>
  <c r="ED398" i="54"/>
  <c r="DG241" i="54"/>
  <c r="EH398" i="54"/>
  <c r="DG1022" i="54"/>
  <c r="EB177" i="54"/>
  <c r="EM178" i="54" s="1"/>
  <c r="EC337" i="54"/>
  <c r="EQ338" i="54" s="1"/>
  <c r="DG242" i="54"/>
  <c r="EC37" i="54"/>
  <c r="EN38" i="54" s="1"/>
  <c r="AW374" i="54"/>
  <c r="DG450" i="54"/>
  <c r="CP26" i="66"/>
  <c r="DM77" i="66" s="1"/>
  <c r="EC417" i="54"/>
  <c r="EN418" i="54" s="1"/>
  <c r="EC177" i="54"/>
  <c r="ER178" i="54" s="1"/>
  <c r="IR83" i="54"/>
  <c r="DG449" i="54"/>
  <c r="EC397" i="54"/>
  <c r="EP398" i="54" s="1"/>
  <c r="EC97" i="54"/>
  <c r="ER98" i="54" s="1"/>
  <c r="AV374" i="54"/>
  <c r="DG86" i="54"/>
  <c r="DG1073" i="54"/>
  <c r="AU374" i="54"/>
  <c r="DG709" i="54"/>
  <c r="DG866" i="54"/>
  <c r="DG1074" i="54"/>
  <c r="DL865" i="54"/>
  <c r="DL864" i="54"/>
  <c r="DM864" i="54" s="1"/>
  <c r="IM80" i="54"/>
  <c r="DL1230" i="54"/>
  <c r="DL1280" i="54"/>
  <c r="DM1280" i="54" s="1"/>
  <c r="DL1385" i="54"/>
  <c r="DM1385" i="54" s="1"/>
  <c r="DL1541" i="54"/>
  <c r="DL86" i="54"/>
  <c r="CA38" i="66"/>
  <c r="IL80" i="54"/>
  <c r="IS80" i="54"/>
  <c r="DL1282" i="54"/>
  <c r="DL1281" i="54"/>
  <c r="DL1542" i="54"/>
  <c r="DL242" i="54"/>
  <c r="DL1022" i="54"/>
  <c r="BV38" i="66"/>
  <c r="BB39" i="66" s="1"/>
  <c r="CJ598" i="54" s="1"/>
  <c r="DL85" i="54"/>
  <c r="DL240" i="54"/>
  <c r="DM240" i="54" s="1"/>
  <c r="DL1021" i="54"/>
  <c r="DL1073" i="54"/>
  <c r="DL449" i="54"/>
  <c r="DL710" i="54"/>
  <c r="DL708" i="54"/>
  <c r="DM708" i="54" s="1"/>
  <c r="DL1074" i="54"/>
  <c r="DL1020" i="54"/>
  <c r="DM1020" i="54" s="1"/>
  <c r="DL866" i="54"/>
  <c r="DL709" i="54"/>
  <c r="IN80" i="54"/>
  <c r="DL1229" i="54"/>
  <c r="DL1386" i="54"/>
  <c r="EB37" i="54"/>
  <c r="EL38" i="54" s="1"/>
  <c r="EE38" i="54"/>
  <c r="EB417" i="54"/>
  <c r="EK418" i="54" s="1"/>
  <c r="EB337" i="54"/>
  <c r="EK338" i="54" s="1"/>
  <c r="DI1542" i="54"/>
  <c r="DI1541" i="54"/>
  <c r="DG1541" i="54"/>
  <c r="DG865" i="54"/>
  <c r="EE98" i="54"/>
  <c r="EH98" i="54"/>
  <c r="EG98" i="54"/>
  <c r="BK494" i="54"/>
  <c r="BM494" i="54"/>
  <c r="BJ494" i="54"/>
  <c r="BL494" i="54"/>
  <c r="BD355" i="54"/>
  <c r="BE355" i="54" s="1"/>
  <c r="BD495" i="54"/>
  <c r="DF1545" i="54"/>
  <c r="DF1544" i="54"/>
  <c r="DF1543" i="54"/>
  <c r="DG1543" i="54" s="1"/>
  <c r="BH476" i="54"/>
  <c r="BG476" i="54"/>
  <c r="BE476" i="54"/>
  <c r="BF476" i="54"/>
  <c r="FI598" i="54"/>
  <c r="FL598" i="54"/>
  <c r="FJ598" i="54"/>
  <c r="EA598" i="54"/>
  <c r="FH598" i="54"/>
  <c r="FK598" i="54"/>
  <c r="BF475" i="54"/>
  <c r="BG475" i="54"/>
  <c r="BE475" i="54"/>
  <c r="BH475" i="54"/>
  <c r="FM597" i="54"/>
  <c r="FO597" i="54"/>
  <c r="EB597" i="54"/>
  <c r="EJ598" i="54" s="1"/>
  <c r="FQ597" i="54"/>
  <c r="FP597" i="54"/>
  <c r="FN597" i="54"/>
  <c r="DG1542" i="54"/>
  <c r="EB397" i="54"/>
  <c r="EK398" i="54" s="1"/>
  <c r="EB97" i="54"/>
  <c r="EM98" i="54" s="1"/>
  <c r="BO494" i="54"/>
  <c r="BQ494" i="54"/>
  <c r="BR494" i="54"/>
  <c r="BP494" i="54"/>
  <c r="FU597" i="54"/>
  <c r="FR597" i="54"/>
  <c r="EC597" i="54"/>
  <c r="EP598" i="54" s="1"/>
  <c r="FV597" i="54"/>
  <c r="FT597" i="54"/>
  <c r="FS597" i="54"/>
  <c r="EF598" i="54"/>
  <c r="EE598" i="54"/>
  <c r="EG598" i="54"/>
  <c r="ED598" i="54"/>
  <c r="EH598" i="54"/>
  <c r="BG474" i="54"/>
  <c r="BE474" i="54"/>
  <c r="BH474" i="54"/>
  <c r="BF474" i="54"/>
  <c r="DO35" i="66"/>
  <c r="BD494" i="54"/>
  <c r="AR515" i="54"/>
  <c r="AQ515" i="54"/>
  <c r="AS515" i="54"/>
  <c r="AP515" i="54"/>
  <c r="AO416" i="54"/>
  <c r="AP416" i="54" s="1"/>
  <c r="AO516" i="54"/>
  <c r="AO456" i="54"/>
  <c r="AP455" i="54"/>
  <c r="AR455" i="54"/>
  <c r="AQ455" i="54"/>
  <c r="AS455" i="54"/>
  <c r="IT83" i="54"/>
  <c r="IL83" i="54"/>
  <c r="IN83" i="54"/>
  <c r="IS83" i="54"/>
  <c r="AY374" i="54"/>
  <c r="BC374" i="54" s="1"/>
  <c r="AY474" i="54"/>
  <c r="HI95" i="54"/>
  <c r="HO95" i="54" s="1"/>
  <c r="HI94" i="54"/>
  <c r="HO94" i="54" s="1"/>
  <c r="HI93" i="54"/>
  <c r="HO93" i="54" s="1"/>
  <c r="HI97" i="54"/>
  <c r="HO97" i="54" s="1"/>
  <c r="HI96" i="54"/>
  <c r="HO96" i="54" s="1"/>
  <c r="HI99" i="54"/>
  <c r="AU474" i="54"/>
  <c r="AX474" i="54"/>
  <c r="AV474" i="54"/>
  <c r="AW474" i="54"/>
  <c r="HI98" i="54"/>
  <c r="HO98" i="54" s="1"/>
  <c r="IT81" i="54"/>
  <c r="DG1229" i="54"/>
  <c r="DG1440" i="54"/>
  <c r="DJ1440" i="54"/>
  <c r="DG1281" i="54"/>
  <c r="DJ1336" i="54"/>
  <c r="DM1336" i="54"/>
  <c r="DG1177" i="54"/>
  <c r="DJ1337" i="54"/>
  <c r="DG1178" i="54"/>
  <c r="EF458" i="54"/>
  <c r="EH338" i="54"/>
  <c r="HS89" i="54"/>
  <c r="IG89" i="54" s="1"/>
  <c r="HS90" i="54"/>
  <c r="IG90" i="54" s="1"/>
  <c r="HR93" i="54"/>
  <c r="HR92" i="54"/>
  <c r="HR91" i="54"/>
  <c r="HJ92" i="54"/>
  <c r="HP92" i="54" s="1"/>
  <c r="HJ98" i="54"/>
  <c r="HP98" i="54" s="1"/>
  <c r="HJ95" i="54"/>
  <c r="HP95" i="54" s="1"/>
  <c r="HJ96" i="54"/>
  <c r="HP96" i="54" s="1"/>
  <c r="HJ97" i="54"/>
  <c r="HP97" i="54" s="1"/>
  <c r="HJ94" i="54"/>
  <c r="HP94" i="54" s="1"/>
  <c r="HJ93" i="54"/>
  <c r="HP93" i="54" s="1"/>
  <c r="HJ99" i="54"/>
  <c r="HR89" i="54"/>
  <c r="IF89" i="54" s="1"/>
  <c r="HR90" i="54"/>
  <c r="IF90" i="54" s="1"/>
  <c r="DG760" i="54"/>
  <c r="HU94" i="54"/>
  <c r="HS93" i="54"/>
  <c r="HS91" i="54"/>
  <c r="IG91" i="54" s="1"/>
  <c r="HS92" i="54"/>
  <c r="EE338" i="54"/>
  <c r="ED178" i="54"/>
  <c r="HS87" i="54"/>
  <c r="IG87" i="54" s="1"/>
  <c r="HS88" i="54"/>
  <c r="IG88" i="54" s="1"/>
  <c r="HS86" i="54"/>
  <c r="IG86" i="54" s="1"/>
  <c r="HR87" i="54"/>
  <c r="IF87" i="54" s="1"/>
  <c r="HR88" i="54"/>
  <c r="IF88" i="54" s="1"/>
  <c r="HR86" i="54"/>
  <c r="IF86" i="54" s="1"/>
  <c r="EH178" i="54"/>
  <c r="EE178" i="54"/>
  <c r="EF178" i="54"/>
  <c r="ED338" i="54"/>
  <c r="DG1441" i="54"/>
  <c r="DJ1441" i="54"/>
  <c r="EF338" i="54"/>
  <c r="DM1440" i="54"/>
  <c r="DG1282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EH538" i="54"/>
  <c r="EL519" i="54"/>
  <c r="EG538" i="54"/>
  <c r="EG559" i="54"/>
  <c r="ED538" i="54"/>
  <c r="EF538" i="54"/>
  <c r="EK519" i="54"/>
  <c r="DG1230" i="54"/>
  <c r="DM1441" i="54"/>
  <c r="EN519" i="54"/>
  <c r="EQ519" i="54"/>
  <c r="ED498" i="54"/>
  <c r="EM559" i="54"/>
  <c r="ED559" i="54"/>
  <c r="EJ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L1177" i="54"/>
  <c r="DF1233" i="54"/>
  <c r="DF1388" i="54"/>
  <c r="DF1285" i="54"/>
  <c r="DF1231" i="54"/>
  <c r="DG1231" i="54" s="1"/>
  <c r="DF1232" i="54"/>
  <c r="DF1284" i="54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DL298" i="54"/>
  <c r="DM298" i="54" s="1"/>
  <c r="DF1340" i="54"/>
  <c r="DF1339" i="54"/>
  <c r="DF1338" i="54"/>
  <c r="DG1338" i="54" s="1"/>
  <c r="DI1176" i="54"/>
  <c r="DJ1176" i="54" s="1"/>
  <c r="DI1177" i="54"/>
  <c r="DI1178" i="54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L319" i="54"/>
  <c r="FH219" i="54"/>
  <c r="FI219" i="54"/>
  <c r="FK219" i="54"/>
  <c r="FL219" i="54"/>
  <c r="FL159" i="54"/>
  <c r="FK139" i="54"/>
  <c r="FH139" i="54"/>
  <c r="FI139" i="54"/>
  <c r="FJ139" i="54"/>
  <c r="FL139" i="54"/>
  <c r="FH559" i="54"/>
  <c r="FJ559" i="54"/>
  <c r="FK559" i="54"/>
  <c r="FH159" i="54"/>
  <c r="FI159" i="54"/>
  <c r="FH199" i="54"/>
  <c r="FI199" i="54"/>
  <c r="FL199" i="54"/>
  <c r="FK199" i="54"/>
  <c r="FH59" i="54"/>
  <c r="FI59" i="54"/>
  <c r="FJ59" i="54"/>
  <c r="FK59" i="54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IT82" i="54"/>
  <c r="IE92" i="54"/>
  <c r="IM82" i="54"/>
  <c r="IE93" i="54"/>
  <c r="IS82" i="54"/>
  <c r="II86" i="54"/>
  <c r="IP86" i="54" s="1"/>
  <c r="BD354" i="54"/>
  <c r="BE354" i="54" s="1"/>
  <c r="II91" i="54"/>
  <c r="EG298" i="54"/>
  <c r="BD394" i="54"/>
  <c r="BE394" i="54" s="1"/>
  <c r="BD434" i="54"/>
  <c r="BF434" i="54" s="1"/>
  <c r="DO36" i="66"/>
  <c r="BD435" i="54"/>
  <c r="BF435" i="54" s="1"/>
  <c r="BD395" i="54"/>
  <c r="BF395" i="54" s="1"/>
  <c r="DN36" i="66"/>
  <c r="DN37" i="66"/>
  <c r="DF58" i="66"/>
  <c r="DI37" i="66"/>
  <c r="DI35" i="66"/>
  <c r="DK35" i="66"/>
  <c r="ER278" i="54"/>
  <c r="DR57" i="66"/>
  <c r="AO336" i="54"/>
  <c r="AP336" i="54" s="1"/>
  <c r="AS415" i="54"/>
  <c r="AQ415" i="54"/>
  <c r="AP415" i="54"/>
  <c r="CH498" i="54"/>
  <c r="CH538" i="54"/>
  <c r="CH478" i="54"/>
  <c r="DO15" i="66"/>
  <c r="DF16" i="66" s="1"/>
  <c r="AO475" i="54" s="1"/>
  <c r="BD374" i="54"/>
  <c r="DO17" i="66"/>
  <c r="BD376" i="54"/>
  <c r="BH396" i="54"/>
  <c r="BE396" i="54"/>
  <c r="BF396" i="54"/>
  <c r="BG396" i="54"/>
  <c r="DQ35" i="66"/>
  <c r="BN434" i="54"/>
  <c r="BN354" i="54"/>
  <c r="BN394" i="54"/>
  <c r="DO16" i="66"/>
  <c r="BD375" i="54"/>
  <c r="DP35" i="66"/>
  <c r="DS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Y60" i="66"/>
  <c r="DF351" i="54"/>
  <c r="DF352" i="54"/>
  <c r="DF403" i="54"/>
  <c r="DF402" i="54"/>
  <c r="BT60" i="66"/>
  <c r="AZ61" i="66" s="1"/>
  <c r="BL60" i="66"/>
  <c r="DF350" i="54"/>
  <c r="DL560" i="54"/>
  <c r="CJ319" i="54"/>
  <c r="CJ139" i="54"/>
  <c r="CJ159" i="54"/>
  <c r="CJ59" i="54"/>
  <c r="DM347" i="54"/>
  <c r="DM349" i="54"/>
  <c r="DM348" i="54"/>
  <c r="AN17" i="67"/>
  <c r="V18" i="67"/>
  <c r="EA319" i="54"/>
  <c r="EA59" i="54"/>
  <c r="BR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M37" i="66"/>
  <c r="BI496" i="54" s="1"/>
  <c r="DM36" i="66"/>
  <c r="BI495" i="54" s="1"/>
  <c r="IM84" i="54"/>
  <c r="CF78" i="54"/>
  <c r="CF358" i="54"/>
  <c r="CF298" i="54"/>
  <c r="CF438" i="54"/>
  <c r="CF258" i="54"/>
  <c r="CF378" i="54"/>
  <c r="CJ41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A98" i="54"/>
  <c r="EA278" i="54"/>
  <c r="EA398" i="54"/>
  <c r="EA418" i="54"/>
  <c r="ED419" i="54" s="1"/>
  <c r="EA38" i="54"/>
  <c r="EA178" i="54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HZ106" i="54" s="1"/>
  <c r="EB377" i="54"/>
  <c r="EB437" i="54"/>
  <c r="EB77" i="54"/>
  <c r="HO91" i="54"/>
  <c r="HO92" i="54"/>
  <c r="HN99" i="54"/>
  <c r="ED438" i="54"/>
  <c r="DG761" i="54"/>
  <c r="ED78" i="54"/>
  <c r="EH438" i="54"/>
  <c r="EP278" i="54"/>
  <c r="DJ864" i="54"/>
  <c r="DJ708" i="54"/>
  <c r="DM137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J448" i="54"/>
  <c r="DJ450" i="54"/>
  <c r="DJ449" i="54"/>
  <c r="EJ19" i="54"/>
  <c r="EG438" i="54"/>
  <c r="EQ58" i="54"/>
  <c r="EF298" i="54"/>
  <c r="DG917" i="54"/>
  <c r="ED358" i="54"/>
  <c r="DG918" i="54"/>
  <c r="ED258" i="54"/>
  <c r="EI19" i="54"/>
  <c r="DG969" i="54"/>
  <c r="ER19" i="54"/>
  <c r="EJ219" i="54"/>
  <c r="EP119" i="54"/>
  <c r="ER58" i="54"/>
  <c r="EE378" i="54"/>
  <c r="EQ239" i="54"/>
  <c r="DM36" i="54"/>
  <c r="DJ1021" i="54"/>
  <c r="DG657" i="54"/>
  <c r="DG189" i="54"/>
  <c r="EQ219" i="54"/>
  <c r="EM119" i="54"/>
  <c r="EJ239" i="54"/>
  <c r="EM19" i="54"/>
  <c r="DJ85" i="54"/>
  <c r="DJ1074" i="54"/>
  <c r="EH258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N58" i="54"/>
  <c r="DG1125" i="54"/>
  <c r="BR80" i="66"/>
  <c r="EO199" i="54"/>
  <c r="ER199" i="54"/>
  <c r="EP199" i="54"/>
  <c r="EQ199" i="54"/>
  <c r="DM505" i="54"/>
  <c r="DM17" i="66"/>
  <c r="BI476" i="54" s="1"/>
  <c r="DM16" i="66"/>
  <c r="BI475" i="54" s="1"/>
  <c r="DM15" i="66"/>
  <c r="BI474" i="54" s="1"/>
  <c r="DJ505" i="54"/>
  <c r="DJ817" i="54"/>
  <c r="EJ58" i="54"/>
  <c r="EI58" i="54"/>
  <c r="DJ242" i="54"/>
  <c r="DJ1022" i="54"/>
  <c r="EN19" i="54"/>
  <c r="EK219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HV99" i="54" s="1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I918" i="54"/>
  <c r="DI658" i="54"/>
  <c r="DI190" i="54"/>
  <c r="DI189" i="54"/>
  <c r="BU18" i="66"/>
  <c r="BA19" i="66" s="1"/>
  <c r="BZ18" i="66"/>
  <c r="EF78" i="54"/>
  <c r="DK15" i="66"/>
  <c r="DK17" i="66"/>
  <c r="DK16" i="66"/>
  <c r="EQ119" i="54"/>
  <c r="DL916" i="54"/>
  <c r="DM916" i="54" s="1"/>
  <c r="DL970" i="54"/>
  <c r="DL969" i="54"/>
  <c r="DL968" i="54"/>
  <c r="DM968" i="54" s="1"/>
  <c r="DL762" i="54"/>
  <c r="HW99" i="54" s="1"/>
  <c r="DL657" i="54"/>
  <c r="DL760" i="54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BL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Y80" i="66"/>
  <c r="CI35" i="66" s="1"/>
  <c r="DM556" i="54"/>
  <c r="DM608" i="54"/>
  <c r="DM817" i="54"/>
  <c r="EP319" i="54"/>
  <c r="DJ17" i="66"/>
  <c r="DJ16" i="66"/>
  <c r="DJ15" i="66"/>
  <c r="EL319" i="54"/>
  <c r="EI319" i="54"/>
  <c r="EM319" i="54"/>
  <c r="DJ36" i="54"/>
  <c r="DJ556" i="54"/>
  <c r="DJ137" i="54"/>
  <c r="DJ241" i="54"/>
  <c r="DJ1073" i="54"/>
  <c r="EP219" i="54"/>
  <c r="EL58" i="54"/>
  <c r="DM138" i="54"/>
  <c r="DG658" i="54"/>
  <c r="EE298" i="54"/>
  <c r="ED298" i="54"/>
  <c r="EH298" i="54"/>
  <c r="EE78" i="54"/>
  <c r="DN15" i="66"/>
  <c r="BN474" i="54" s="1"/>
  <c r="DN17" i="66"/>
  <c r="BN476" i="54" s="1"/>
  <c r="DN16" i="66"/>
  <c r="BN475" i="54" s="1"/>
  <c r="EG78" i="54"/>
  <c r="EL119" i="54"/>
  <c r="EF258" i="54"/>
  <c r="EO219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DJ138" i="54"/>
  <c r="EN119" i="54"/>
  <c r="EG358" i="54"/>
  <c r="EE358" i="54"/>
  <c r="EK19" i="54"/>
  <c r="EL219" i="54"/>
  <c r="EI219" i="54"/>
  <c r="EI119" i="54"/>
  <c r="DJ504" i="54"/>
  <c r="DJ86" i="54"/>
  <c r="EJ119" i="54"/>
  <c r="BL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F438" i="54"/>
  <c r="EO119" i="54"/>
  <c r="EJ319" i="54"/>
  <c r="BZ58" i="66"/>
  <c r="EJ138" i="54"/>
  <c r="EM278" i="54"/>
  <c r="EM158" i="54"/>
  <c r="DJ75" i="66"/>
  <c r="DJ77" i="66"/>
  <c r="DJ57" i="66"/>
  <c r="DJ56" i="66"/>
  <c r="DJ55" i="66"/>
  <c r="DJ76" i="66"/>
  <c r="BU58" i="66"/>
  <c r="BY39" i="66"/>
  <c r="BV18" i="66"/>
  <c r="BB19" i="66" s="1"/>
  <c r="CA18" i="66"/>
  <c r="BT80" i="66"/>
  <c r="AZ81" i="66" s="1"/>
  <c r="BT39" i="66"/>
  <c r="AZ40" i="66" s="1"/>
  <c r="CF599" i="54" s="1"/>
  <c r="BK19" i="66"/>
  <c r="BQ19" i="66"/>
  <c r="BC434" i="54" l="1"/>
  <c r="BB434" i="54"/>
  <c r="BA434" i="54"/>
  <c r="AZ434" i="54"/>
  <c r="BC354" i="54"/>
  <c r="BB354" i="54"/>
  <c r="BA354" i="54"/>
  <c r="AZ354" i="54"/>
  <c r="BA394" i="54"/>
  <c r="BB394" i="54"/>
  <c r="BC394" i="54"/>
  <c r="AZ394" i="54"/>
  <c r="AZ494" i="54"/>
  <c r="BC494" i="54"/>
  <c r="BA494" i="54"/>
  <c r="BB494" i="54"/>
  <c r="CH458" i="54"/>
  <c r="CH578" i="54"/>
  <c r="DF1491" i="54"/>
  <c r="DG1491" i="54" s="1"/>
  <c r="DF1492" i="54"/>
  <c r="DG1492" i="54" s="1"/>
  <c r="DF1493" i="54"/>
  <c r="DG1493" i="54" s="1"/>
  <c r="EK578" i="54"/>
  <c r="EL578" i="54"/>
  <c r="EM578" i="54"/>
  <c r="EJ578" i="54"/>
  <c r="FK578" i="54"/>
  <c r="FI578" i="54"/>
  <c r="FJ578" i="54"/>
  <c r="FL578" i="54"/>
  <c r="EA578" i="54"/>
  <c r="FH578" i="54"/>
  <c r="ED579" i="54"/>
  <c r="CJ458" i="54"/>
  <c r="CJ578" i="54"/>
  <c r="EQ578" i="54"/>
  <c r="ER578" i="54"/>
  <c r="EP578" i="54"/>
  <c r="EO578" i="54"/>
  <c r="ER319" i="54"/>
  <c r="EN559" i="54"/>
  <c r="EP559" i="54"/>
  <c r="EQ319" i="54"/>
  <c r="EN319" i="54"/>
  <c r="Y17" i="67"/>
  <c r="EE200" i="54"/>
  <c r="EO319" i="54"/>
  <c r="DT56" i="66"/>
  <c r="EE640" i="54"/>
  <c r="DM1597" i="54"/>
  <c r="EQ559" i="54"/>
  <c r="FJ619" i="54"/>
  <c r="EA139" i="54"/>
  <c r="EG140" i="54" s="1"/>
  <c r="EA159" i="54"/>
  <c r="EE160" i="54" s="1"/>
  <c r="EA559" i="54"/>
  <c r="EH560" i="54" s="1"/>
  <c r="FL59" i="54"/>
  <c r="FJ199" i="54"/>
  <c r="FL559" i="54"/>
  <c r="FI559" i="54"/>
  <c r="FJ159" i="54"/>
  <c r="FK159" i="54"/>
  <c r="FJ219" i="54"/>
  <c r="FK319" i="54"/>
  <c r="EA619" i="54"/>
  <c r="ED620" i="54" s="1"/>
  <c r="FL619" i="54"/>
  <c r="FK619" i="54"/>
  <c r="DH57" i="66"/>
  <c r="AY416" i="54" s="1"/>
  <c r="BC416" i="54" s="1"/>
  <c r="AY455" i="54"/>
  <c r="BA455" i="54" s="1"/>
  <c r="AY515" i="54"/>
  <c r="BB515" i="54" s="1"/>
  <c r="EG320" i="54"/>
  <c r="AY335" i="54"/>
  <c r="BB335" i="54" s="1"/>
  <c r="DL38" i="54"/>
  <c r="DM38" i="54" s="1"/>
  <c r="DL612" i="54"/>
  <c r="DL39" i="54"/>
  <c r="DL610" i="54"/>
  <c r="DM610" i="54" s="1"/>
  <c r="DL300" i="54"/>
  <c r="DL611" i="54"/>
  <c r="DL299" i="54"/>
  <c r="DL40" i="54"/>
  <c r="DM1073" i="54"/>
  <c r="DR77" i="66"/>
  <c r="AO536" i="54"/>
  <c r="AQ536" i="54" s="1"/>
  <c r="EI598" i="54"/>
  <c r="AY535" i="54"/>
  <c r="BC535" i="54" s="1"/>
  <c r="DT76" i="66"/>
  <c r="ER619" i="54"/>
  <c r="DM76" i="66"/>
  <c r="BI535" i="54" s="1"/>
  <c r="EI398" i="54"/>
  <c r="IT85" i="54"/>
  <c r="IL85" i="54"/>
  <c r="EP619" i="54"/>
  <c r="EQ619" i="54"/>
  <c r="EI38" i="54"/>
  <c r="EN619" i="54"/>
  <c r="DG1651" i="54"/>
  <c r="DJ866" i="54"/>
  <c r="DL506" i="54"/>
  <c r="DM506" i="54" s="1"/>
  <c r="DM1074" i="54"/>
  <c r="EN98" i="54"/>
  <c r="EO178" i="54"/>
  <c r="DJ709" i="54"/>
  <c r="DM449" i="54"/>
  <c r="EQ178" i="54"/>
  <c r="EO98" i="54"/>
  <c r="EQ98" i="54"/>
  <c r="EL619" i="54"/>
  <c r="BF355" i="54"/>
  <c r="IN85" i="54"/>
  <c r="EK619" i="54"/>
  <c r="EM619" i="54"/>
  <c r="DM241" i="54"/>
  <c r="EJ398" i="54"/>
  <c r="BA374" i="54"/>
  <c r="IM85" i="54"/>
  <c r="IS85" i="54"/>
  <c r="EI619" i="54"/>
  <c r="DM55" i="66"/>
  <c r="BI454" i="54" s="1"/>
  <c r="EL398" i="54"/>
  <c r="DM57" i="66"/>
  <c r="BI456" i="54" s="1"/>
  <c r="DM75" i="66"/>
  <c r="BI534" i="54" s="1"/>
  <c r="EM398" i="54"/>
  <c r="EG599" i="54"/>
  <c r="DL507" i="54"/>
  <c r="DL508" i="54"/>
  <c r="DL558" i="54"/>
  <c r="DM558" i="54" s="1"/>
  <c r="DL559" i="54"/>
  <c r="DJ1282" i="54"/>
  <c r="DM86" i="54"/>
  <c r="EP98" i="54"/>
  <c r="EG39" i="54"/>
  <c r="CJ178" i="54"/>
  <c r="EG620" i="54"/>
  <c r="EF640" i="54"/>
  <c r="EH640" i="54"/>
  <c r="EN178" i="54"/>
  <c r="CJ278" i="54"/>
  <c r="EP178" i="54"/>
  <c r="ED399" i="54"/>
  <c r="CJ38" i="54"/>
  <c r="DM1229" i="54"/>
  <c r="DM85" i="54"/>
  <c r="DG1600" i="54"/>
  <c r="ED640" i="54"/>
  <c r="EF620" i="54"/>
  <c r="CF520" i="54"/>
  <c r="CF640" i="54"/>
  <c r="DI1652" i="54"/>
  <c r="DI1651" i="54"/>
  <c r="DI1650" i="54"/>
  <c r="DJ1650" i="54" s="1"/>
  <c r="FU639" i="54"/>
  <c r="FT639" i="54"/>
  <c r="FR639" i="54"/>
  <c r="FS639" i="54"/>
  <c r="FV639" i="54"/>
  <c r="EC639" i="54"/>
  <c r="EP640" i="54" s="1"/>
  <c r="DL1651" i="54"/>
  <c r="DL1652" i="54"/>
  <c r="DL1650" i="54"/>
  <c r="DM1650" i="54" s="1"/>
  <c r="FO639" i="54"/>
  <c r="FQ639" i="54"/>
  <c r="FP639" i="54"/>
  <c r="FN639" i="54"/>
  <c r="EB639" i="54"/>
  <c r="EJ640" i="54" s="1"/>
  <c r="FM639" i="54"/>
  <c r="DG1599" i="54"/>
  <c r="DG1652" i="54"/>
  <c r="DI1600" i="54"/>
  <c r="DI1599" i="54"/>
  <c r="DI1598" i="54"/>
  <c r="DJ1598" i="54" s="1"/>
  <c r="FO619" i="54"/>
  <c r="FM619" i="54"/>
  <c r="FQ619" i="54"/>
  <c r="FP619" i="54"/>
  <c r="FN619" i="54"/>
  <c r="EB619" i="54"/>
  <c r="CF560" i="54"/>
  <c r="CF620" i="54"/>
  <c r="FT619" i="54"/>
  <c r="FV619" i="54"/>
  <c r="FR619" i="54"/>
  <c r="FS619" i="54"/>
  <c r="FU619" i="54"/>
  <c r="EC619" i="54"/>
  <c r="DL1600" i="54"/>
  <c r="DL1599" i="54"/>
  <c r="DL1598" i="54"/>
  <c r="DM1598" i="54" s="1"/>
  <c r="AR535" i="54"/>
  <c r="AS535" i="54"/>
  <c r="AQ535" i="54"/>
  <c r="EK38" i="54"/>
  <c r="EN398" i="54"/>
  <c r="EP38" i="54"/>
  <c r="ER38" i="54"/>
  <c r="EL98" i="54"/>
  <c r="EJ38" i="54"/>
  <c r="EM38" i="54"/>
  <c r="EI98" i="54"/>
  <c r="DR35" i="66"/>
  <c r="EJ98" i="54"/>
  <c r="EK98" i="54"/>
  <c r="EQ418" i="54"/>
  <c r="AZ415" i="54"/>
  <c r="AR416" i="54"/>
  <c r="DJ1229" i="54"/>
  <c r="EL418" i="54"/>
  <c r="EO338" i="54"/>
  <c r="DM1281" i="54"/>
  <c r="DM865" i="54"/>
  <c r="BH355" i="54"/>
  <c r="AZ374" i="54"/>
  <c r="BB374" i="54"/>
  <c r="BG355" i="54"/>
  <c r="DJ1542" i="54"/>
  <c r="DM450" i="54"/>
  <c r="EN338" i="54"/>
  <c r="EP338" i="54"/>
  <c r="DJ1385" i="54"/>
  <c r="DJ1386" i="54"/>
  <c r="DJ1230" i="54"/>
  <c r="DM709" i="54"/>
  <c r="ER418" i="54"/>
  <c r="DM1386" i="54"/>
  <c r="DM1542" i="54"/>
  <c r="ER338" i="54"/>
  <c r="DM1021" i="54"/>
  <c r="DM1230" i="54"/>
  <c r="DJ1281" i="54"/>
  <c r="CJ538" i="54"/>
  <c r="DM866" i="54"/>
  <c r="CJ98" i="54"/>
  <c r="CJ498" i="54"/>
  <c r="CJ338" i="54"/>
  <c r="CJ398" i="54"/>
  <c r="CJ478" i="54"/>
  <c r="DM1282" i="54"/>
  <c r="BB415" i="54"/>
  <c r="AQ416" i="54"/>
  <c r="DM1022" i="54"/>
  <c r="EQ398" i="54"/>
  <c r="EP418" i="54"/>
  <c r="DM710" i="54"/>
  <c r="EJ418" i="54"/>
  <c r="EO418" i="54"/>
  <c r="EM418" i="54"/>
  <c r="ER398" i="54"/>
  <c r="EI418" i="54"/>
  <c r="EO38" i="54"/>
  <c r="EQ38" i="54"/>
  <c r="EO398" i="54"/>
  <c r="EH99" i="54"/>
  <c r="DM56" i="66"/>
  <c r="BI455" i="54" s="1"/>
  <c r="DM242" i="54"/>
  <c r="DM1541" i="54"/>
  <c r="DJ1541" i="54"/>
  <c r="DG1544" i="54"/>
  <c r="DG1545" i="54"/>
  <c r="BC415" i="54"/>
  <c r="AS416" i="54"/>
  <c r="EH179" i="54"/>
  <c r="EH599" i="54"/>
  <c r="EF599" i="54"/>
  <c r="DJ1178" i="54"/>
  <c r="DG1284" i="54"/>
  <c r="BQ474" i="54"/>
  <c r="BP474" i="54"/>
  <c r="BR474" i="54"/>
  <c r="BO474" i="54"/>
  <c r="FT598" i="54"/>
  <c r="FV598" i="54"/>
  <c r="FR598" i="54"/>
  <c r="FS598" i="54"/>
  <c r="FU598" i="54"/>
  <c r="EC598" i="54"/>
  <c r="EP599" i="54" s="1"/>
  <c r="BM495" i="54"/>
  <c r="BK495" i="54"/>
  <c r="BJ495" i="54"/>
  <c r="BL495" i="54"/>
  <c r="BN395" i="54"/>
  <c r="BR395" i="54" s="1"/>
  <c r="BN495" i="54"/>
  <c r="BQ475" i="54"/>
  <c r="BP475" i="54"/>
  <c r="BO475" i="54"/>
  <c r="BR475" i="54"/>
  <c r="DI1544" i="54"/>
  <c r="DI1545" i="54"/>
  <c r="DI1543" i="54"/>
  <c r="DJ1543" i="54" s="1"/>
  <c r="BL474" i="54"/>
  <c r="BK474" i="54"/>
  <c r="BM474" i="54"/>
  <c r="BJ474" i="54"/>
  <c r="BL496" i="54"/>
  <c r="BJ496" i="54"/>
  <c r="BK496" i="54"/>
  <c r="BM496" i="54"/>
  <c r="BN356" i="54"/>
  <c r="BO356" i="54" s="1"/>
  <c r="BN496" i="54"/>
  <c r="DT77" i="66"/>
  <c r="AY536" i="54"/>
  <c r="EM598" i="54"/>
  <c r="ED599" i="54"/>
  <c r="EK598" i="54"/>
  <c r="EO598" i="54"/>
  <c r="EN598" i="54"/>
  <c r="ER598" i="54"/>
  <c r="EQ598" i="54"/>
  <c r="DL1544" i="54"/>
  <c r="DL1545" i="54"/>
  <c r="DL1543" i="54"/>
  <c r="DM1543" i="54" s="1"/>
  <c r="DP77" i="66"/>
  <c r="BI536" i="54"/>
  <c r="BO476" i="54"/>
  <c r="BQ476" i="54"/>
  <c r="BP476" i="54"/>
  <c r="BR476" i="54"/>
  <c r="BK475" i="54"/>
  <c r="BM475" i="54"/>
  <c r="BL475" i="54"/>
  <c r="BJ475" i="54"/>
  <c r="BG494" i="54"/>
  <c r="BH494" i="54"/>
  <c r="BF494" i="54"/>
  <c r="BE494" i="54"/>
  <c r="BE495" i="54"/>
  <c r="BF495" i="54"/>
  <c r="BG495" i="54"/>
  <c r="BH495" i="54"/>
  <c r="FN598" i="54"/>
  <c r="FQ598" i="54"/>
  <c r="FM598" i="54"/>
  <c r="EB598" i="54"/>
  <c r="EJ599" i="54" s="1"/>
  <c r="FO598" i="54"/>
  <c r="FP598" i="54"/>
  <c r="BJ476" i="54"/>
  <c r="BM476" i="54"/>
  <c r="BL476" i="54"/>
  <c r="BK476" i="54"/>
  <c r="DG1285" i="54"/>
  <c r="DM1178" i="54"/>
  <c r="EE599" i="54"/>
  <c r="EL598" i="54"/>
  <c r="AS537" i="54"/>
  <c r="AR537" i="54"/>
  <c r="AP537" i="54"/>
  <c r="AQ537" i="54"/>
  <c r="AS456" i="54"/>
  <c r="AP456" i="54"/>
  <c r="AQ456" i="54"/>
  <c r="AR456" i="54"/>
  <c r="AO337" i="54"/>
  <c r="AS337" i="54" s="1"/>
  <c r="AO517" i="54"/>
  <c r="AO457" i="54"/>
  <c r="AR516" i="54"/>
  <c r="AP516" i="54"/>
  <c r="AQ516" i="54"/>
  <c r="AS516" i="54"/>
  <c r="AS475" i="54"/>
  <c r="AR475" i="54"/>
  <c r="AP475" i="54"/>
  <c r="AQ475" i="54"/>
  <c r="CH16" i="67"/>
  <c r="CK16" i="67" s="1"/>
  <c r="BC474" i="54"/>
  <c r="BB474" i="54"/>
  <c r="BA474" i="54"/>
  <c r="AZ474" i="54"/>
  <c r="IK88" i="54"/>
  <c r="IM88" i="54" s="1"/>
  <c r="IG93" i="54"/>
  <c r="IA106" i="54"/>
  <c r="IK86" i="54"/>
  <c r="IN86" i="54" s="1"/>
  <c r="HH104" i="54"/>
  <c r="HN104" i="54" s="1"/>
  <c r="HH100" i="54"/>
  <c r="HN100" i="54" s="1"/>
  <c r="HH106" i="54"/>
  <c r="HH102" i="54"/>
  <c r="HN102" i="54" s="1"/>
  <c r="HH101" i="54"/>
  <c r="HN101" i="54" s="1"/>
  <c r="HH103" i="54"/>
  <c r="HN103" i="54" s="1"/>
  <c r="HH105" i="54"/>
  <c r="HN105" i="54" s="1"/>
  <c r="DM760" i="54"/>
  <c r="HW94" i="54"/>
  <c r="HQ95" i="54"/>
  <c r="IE95" i="54" s="1"/>
  <c r="HQ94" i="54"/>
  <c r="IE94" i="54" s="1"/>
  <c r="HQ99" i="54"/>
  <c r="IE99" i="54" s="1"/>
  <c r="HQ100" i="54"/>
  <c r="DJ760" i="54"/>
  <c r="HV94" i="54"/>
  <c r="HQ97" i="54"/>
  <c r="IE97" i="54" s="1"/>
  <c r="HQ96" i="54"/>
  <c r="IE96" i="54" s="1"/>
  <c r="HQ98" i="54"/>
  <c r="IE98" i="54" s="1"/>
  <c r="DJ1177" i="54"/>
  <c r="DG1232" i="54"/>
  <c r="DG1443" i="54"/>
  <c r="DM1177" i="54"/>
  <c r="EO478" i="54"/>
  <c r="EQ478" i="54"/>
  <c r="EJ478" i="54"/>
  <c r="EN498" i="54"/>
  <c r="EH479" i="54"/>
  <c r="EP458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39" i="54"/>
  <c r="EN458" i="54"/>
  <c r="EI478" i="54"/>
  <c r="DG1444" i="54"/>
  <c r="DG1340" i="54"/>
  <c r="DG1389" i="54"/>
  <c r="DG1233" i="54"/>
  <c r="EK538" i="54"/>
  <c r="EK498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EE459" i="54" s="1"/>
  <c r="DF1179" i="54"/>
  <c r="DG1179" i="54" s="1"/>
  <c r="DF1181" i="54"/>
  <c r="DF1180" i="54"/>
  <c r="DL1387" i="54"/>
  <c r="DM1387" i="54" s="1"/>
  <c r="DL1388" i="54"/>
  <c r="DL1285" i="54"/>
  <c r="DL1232" i="54"/>
  <c r="DL1389" i="54"/>
  <c r="DL1231" i="54"/>
  <c r="DM1231" i="54" s="1"/>
  <c r="DL1284" i="54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I1389" i="54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I27" i="66"/>
  <c r="CO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K90" i="54"/>
  <c r="IM90" i="54" s="1"/>
  <c r="IP87" i="54"/>
  <c r="IP90" i="54"/>
  <c r="IP88" i="54"/>
  <c r="BF354" i="54"/>
  <c r="IG92" i="54"/>
  <c r="IP93" i="54"/>
  <c r="IF91" i="54"/>
  <c r="IK91" i="54" s="1"/>
  <c r="IR91" i="54" s="1"/>
  <c r="IP91" i="54"/>
  <c r="BG354" i="54"/>
  <c r="BH354" i="54"/>
  <c r="II96" i="54"/>
  <c r="II99" i="54"/>
  <c r="DH78" i="66"/>
  <c r="AY537" i="54" s="1"/>
  <c r="BG434" i="54"/>
  <c r="BE395" i="54"/>
  <c r="BH394" i="54"/>
  <c r="BH434" i="54"/>
  <c r="BG395" i="54"/>
  <c r="BE434" i="54"/>
  <c r="BG394" i="54"/>
  <c r="BF394" i="54"/>
  <c r="BG435" i="54"/>
  <c r="BE435" i="54"/>
  <c r="BH435" i="54"/>
  <c r="IK89" i="54"/>
  <c r="IR89" i="54" s="1"/>
  <c r="DQ37" i="66"/>
  <c r="AO417" i="54"/>
  <c r="AS417" i="54" s="1"/>
  <c r="BN436" i="54"/>
  <c r="BO436" i="54" s="1"/>
  <c r="DQ36" i="66"/>
  <c r="BN355" i="54"/>
  <c r="BP355" i="54" s="1"/>
  <c r="BN396" i="54"/>
  <c r="BR396" i="54" s="1"/>
  <c r="BN435" i="54"/>
  <c r="BP435" i="54" s="1"/>
  <c r="DK36" i="66"/>
  <c r="DT35" i="66"/>
  <c r="DK37" i="66"/>
  <c r="BH395" i="54"/>
  <c r="IK87" i="54"/>
  <c r="DF36" i="66"/>
  <c r="IF93" i="54"/>
  <c r="IF92" i="54"/>
  <c r="AQ336" i="54"/>
  <c r="AR336" i="54"/>
  <c r="AS336" i="54"/>
  <c r="DH36" i="66"/>
  <c r="AY495" i="54" s="1"/>
  <c r="DR15" i="66"/>
  <c r="DL818" i="54"/>
  <c r="DM818" i="54" s="1"/>
  <c r="DG36" i="66"/>
  <c r="CF539" i="54"/>
  <c r="CF499" i="54"/>
  <c r="CF479" i="54"/>
  <c r="DQ17" i="66"/>
  <c r="BN376" i="54"/>
  <c r="DQ15" i="66"/>
  <c r="DT15" i="66" s="1"/>
  <c r="BN374" i="54"/>
  <c r="DP15" i="66"/>
  <c r="DS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P16" i="66"/>
  <c r="BI375" i="54"/>
  <c r="BK434" i="54"/>
  <c r="BJ434" i="54"/>
  <c r="BM434" i="54"/>
  <c r="BL434" i="54"/>
  <c r="DP17" i="66"/>
  <c r="BI376" i="54"/>
  <c r="DP36" i="66"/>
  <c r="BI435" i="54"/>
  <c r="BI355" i="54"/>
  <c r="BI395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E374" i="54"/>
  <c r="BH374" i="54"/>
  <c r="BG374" i="54"/>
  <c r="BF374" i="54"/>
  <c r="DQ16" i="66"/>
  <c r="BN375" i="54"/>
  <c r="DP37" i="66"/>
  <c r="BI356" i="54"/>
  <c r="BI436" i="54"/>
  <c r="BI396" i="54"/>
  <c r="BO354" i="54"/>
  <c r="BP354" i="54"/>
  <c r="BQ354" i="54"/>
  <c r="BR354" i="54"/>
  <c r="DR16" i="66"/>
  <c r="AO375" i="54"/>
  <c r="DL820" i="54"/>
  <c r="AM18" i="67"/>
  <c r="AP17" i="67"/>
  <c r="AT17" i="67" s="1"/>
  <c r="X18" i="67"/>
  <c r="EC319" i="54"/>
  <c r="EC159" i="54"/>
  <c r="EC139" i="54"/>
  <c r="EO140" i="54" s="1"/>
  <c r="EC59" i="54"/>
  <c r="CF140" i="54"/>
  <c r="CF160" i="54"/>
  <c r="BK61" i="66"/>
  <c r="CF320" i="54"/>
  <c r="CF60" i="54"/>
  <c r="BQ61" i="66"/>
  <c r="EH160" i="54"/>
  <c r="EF160" i="54"/>
  <c r="P18" i="67"/>
  <c r="T18" i="67" s="1"/>
  <c r="DL350" i="54"/>
  <c r="CA60" i="66"/>
  <c r="DL351" i="54"/>
  <c r="DL402" i="54"/>
  <c r="DL404" i="54"/>
  <c r="DL403" i="54"/>
  <c r="DL352" i="54"/>
  <c r="BV60" i="66"/>
  <c r="BB61" i="66" s="1"/>
  <c r="DG402" i="54"/>
  <c r="DG404" i="54"/>
  <c r="DG403" i="54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C98" i="54"/>
  <c r="EC178" i="54"/>
  <c r="EC278" i="54"/>
  <c r="ER279" i="54" s="1"/>
  <c r="EC338" i="54"/>
  <c r="EC398" i="54"/>
  <c r="EC418" i="54"/>
  <c r="EB38" i="54"/>
  <c r="EB178" i="54"/>
  <c r="EB98" i="54"/>
  <c r="EB278" i="54"/>
  <c r="EB398" i="54"/>
  <c r="EB418" i="54"/>
  <c r="EB338" i="54"/>
  <c r="EA78" i="54"/>
  <c r="EF79" i="54" s="1"/>
  <c r="EA258" i="54"/>
  <c r="EF259" i="54" s="1"/>
  <c r="EA298" i="54"/>
  <c r="HY114" i="54" s="1"/>
  <c r="EA358" i="54"/>
  <c r="EG359" i="54" s="1"/>
  <c r="EA378" i="54"/>
  <c r="EH379" i="54" s="1"/>
  <c r="EA438" i="54"/>
  <c r="EF439" i="54" s="1"/>
  <c r="HP99" i="54"/>
  <c r="BV80" i="66"/>
  <c r="BB81" i="66" s="1"/>
  <c r="CA80" i="66"/>
  <c r="CK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EE399" i="54"/>
  <c r="DM189" i="54"/>
  <c r="EP298" i="54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U39" i="66"/>
  <c r="BA40" i="66" s="1"/>
  <c r="CH599" i="54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F17" i="66"/>
  <c r="EH39" i="54"/>
  <c r="EN78" i="54"/>
  <c r="EM338" i="54"/>
  <c r="EJ338" i="54"/>
  <c r="DG507" i="54"/>
  <c r="BV39" i="66"/>
  <c r="BB40" i="66" s="1"/>
  <c r="CJ599" i="54" s="1"/>
  <c r="DG1025" i="54"/>
  <c r="EF59" i="54"/>
  <c r="EO78" i="54"/>
  <c r="EE59" i="54"/>
  <c r="EJ158" i="54"/>
  <c r="DG88" i="54"/>
  <c r="DG245" i="54"/>
  <c r="EK158" i="54"/>
  <c r="DM918" i="54"/>
  <c r="DG820" i="54"/>
  <c r="EH220" i="54"/>
  <c r="ER78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L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EJ438" i="54"/>
  <c r="EK438" i="54"/>
  <c r="EL438" i="54"/>
  <c r="EI438" i="54"/>
  <c r="EM438" i="54"/>
  <c r="EL78" i="54"/>
  <c r="EM78" i="54"/>
  <c r="EJ78" i="54"/>
  <c r="EK78" i="54"/>
  <c r="EI78" i="54"/>
  <c r="DJ761" i="54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Z39" i="66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CA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Z80" i="66"/>
  <c r="CJ35" i="66" s="1"/>
  <c r="BU80" i="66"/>
  <c r="BA81" i="66" s="1"/>
  <c r="EO378" i="54"/>
  <c r="ED240" i="54"/>
  <c r="CO35" i="66"/>
  <c r="CS35" i="66"/>
  <c r="ED99" i="54"/>
  <c r="EF99" i="54"/>
  <c r="EE99" i="54"/>
  <c r="EG99" i="54"/>
  <c r="EE320" i="54"/>
  <c r="DM190" i="54"/>
  <c r="DM761" i="54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Q81" i="66"/>
  <c r="DG40" i="54"/>
  <c r="EF200" i="54"/>
  <c r="ED200" i="54"/>
  <c r="EH240" i="54"/>
  <c r="BR19" i="66"/>
  <c r="EG20" i="54"/>
  <c r="EE20" i="54"/>
  <c r="EF20" i="54"/>
  <c r="ED220" i="54"/>
  <c r="EG200" i="54"/>
  <c r="DG244" i="54"/>
  <c r="DG89" i="54"/>
  <c r="EG59" i="54"/>
  <c r="ED59" i="54"/>
  <c r="EN378" i="54"/>
  <c r="DM299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BA59" i="66"/>
  <c r="CH618" i="54" s="1"/>
  <c r="BW58" i="66"/>
  <c r="EL158" i="54"/>
  <c r="BY19" i="66"/>
  <c r="BK81" i="66"/>
  <c r="BK40" i="66"/>
  <c r="BQ40" i="66"/>
  <c r="BT19" i="66"/>
  <c r="AZ20" i="66" s="1"/>
  <c r="CU35" i="66" l="1"/>
  <c r="CQ35" i="66"/>
  <c r="FQ578" i="54"/>
  <c r="FM578" i="54"/>
  <c r="FN578" i="54"/>
  <c r="FO578" i="54"/>
  <c r="FP578" i="54"/>
  <c r="EB578" i="54"/>
  <c r="EI579" i="54" s="1"/>
  <c r="CF459" i="54"/>
  <c r="CF579" i="54"/>
  <c r="EE579" i="54"/>
  <c r="EH579" i="54"/>
  <c r="EF579" i="54"/>
  <c r="EK579" i="54"/>
  <c r="EG579" i="54"/>
  <c r="EJ579" i="54"/>
  <c r="EM579" i="54"/>
  <c r="DI1493" i="54"/>
  <c r="DJ1493" i="54" s="1"/>
  <c r="DI1491" i="54"/>
  <c r="DJ1491" i="54" s="1"/>
  <c r="DI1492" i="54"/>
  <c r="DJ1492" i="54" s="1"/>
  <c r="EL579" i="54"/>
  <c r="FV578" i="54"/>
  <c r="FR578" i="54"/>
  <c r="FS578" i="54"/>
  <c r="EC578" i="54"/>
  <c r="EN579" i="54" s="1"/>
  <c r="FU578" i="54"/>
  <c r="FT578" i="54"/>
  <c r="DL1493" i="54"/>
  <c r="DM1493" i="54" s="1"/>
  <c r="DL1491" i="54"/>
  <c r="DM1491" i="54" s="1"/>
  <c r="DL1492" i="54"/>
  <c r="DM1492" i="54" s="1"/>
  <c r="ED160" i="54"/>
  <c r="EG160" i="54"/>
  <c r="DM300" i="54"/>
  <c r="DH58" i="66"/>
  <c r="AY417" i="54" s="1"/>
  <c r="BC417" i="54" s="1"/>
  <c r="BB455" i="54"/>
  <c r="AZ335" i="54"/>
  <c r="EO320" i="54"/>
  <c r="ED560" i="54"/>
  <c r="DT57" i="66"/>
  <c r="EE140" i="54"/>
  <c r="ED140" i="54"/>
  <c r="EH140" i="54"/>
  <c r="EF140" i="54"/>
  <c r="IS86" i="54"/>
  <c r="BC515" i="54"/>
  <c r="AZ455" i="54"/>
  <c r="EE620" i="54"/>
  <c r="BC455" i="54"/>
  <c r="EO179" i="54"/>
  <c r="EH620" i="54"/>
  <c r="AY336" i="54"/>
  <c r="BA336" i="54" s="1"/>
  <c r="BC335" i="54"/>
  <c r="BA335" i="54"/>
  <c r="AY516" i="54"/>
  <c r="BB516" i="54" s="1"/>
  <c r="EL419" i="54"/>
  <c r="BI416" i="54"/>
  <c r="BK416" i="54" s="1"/>
  <c r="EE560" i="54"/>
  <c r="EG560" i="54"/>
  <c r="EF560" i="54"/>
  <c r="AY456" i="54"/>
  <c r="AZ456" i="54" s="1"/>
  <c r="DM611" i="54"/>
  <c r="AR536" i="54"/>
  <c r="AZ515" i="54"/>
  <c r="BA515" i="54"/>
  <c r="AP536" i="54"/>
  <c r="AS536" i="54"/>
  <c r="DM612" i="54"/>
  <c r="EL99" i="54"/>
  <c r="DM39" i="54"/>
  <c r="DM40" i="54"/>
  <c r="EI399" i="54"/>
  <c r="BA535" i="54"/>
  <c r="BI334" i="54"/>
  <c r="BJ334" i="54" s="1"/>
  <c r="DM508" i="54"/>
  <c r="AZ535" i="54"/>
  <c r="BB535" i="54"/>
  <c r="DP76" i="66"/>
  <c r="DP55" i="66"/>
  <c r="DS55" i="66" s="1"/>
  <c r="DM559" i="54"/>
  <c r="EP99" i="54"/>
  <c r="BI414" i="54"/>
  <c r="BJ414" i="54" s="1"/>
  <c r="DM507" i="54"/>
  <c r="BI514" i="54"/>
  <c r="BJ514" i="54" s="1"/>
  <c r="BI516" i="54"/>
  <c r="BM516" i="54" s="1"/>
  <c r="BI336" i="54"/>
  <c r="BM336" i="54" s="1"/>
  <c r="DP57" i="66"/>
  <c r="DP56" i="66"/>
  <c r="DM560" i="54"/>
  <c r="BI515" i="54"/>
  <c r="BJ515" i="54" s="1"/>
  <c r="DP75" i="66"/>
  <c r="DS75" i="66" s="1"/>
  <c r="EM39" i="54"/>
  <c r="EP39" i="54"/>
  <c r="BA416" i="54"/>
  <c r="BI335" i="54"/>
  <c r="BK335" i="54" s="1"/>
  <c r="BR356" i="54"/>
  <c r="DJ1651" i="54"/>
  <c r="BI415" i="54"/>
  <c r="BK415" i="54" s="1"/>
  <c r="DJ1652" i="54"/>
  <c r="BB416" i="54"/>
  <c r="BQ395" i="54"/>
  <c r="DM1652" i="54"/>
  <c r="DM1651" i="54"/>
  <c r="DM1600" i="54"/>
  <c r="DJ1599" i="54"/>
  <c r="DJ1600" i="54"/>
  <c r="EM640" i="54"/>
  <c r="DF1653" i="54"/>
  <c r="DG1653" i="54" s="1"/>
  <c r="DF1655" i="54"/>
  <c r="DF1654" i="54"/>
  <c r="CH520" i="54"/>
  <c r="CH640" i="54"/>
  <c r="ER640" i="54"/>
  <c r="EN640" i="54"/>
  <c r="EL640" i="54"/>
  <c r="EO640" i="54"/>
  <c r="EQ640" i="54"/>
  <c r="EI640" i="54"/>
  <c r="EK640" i="54"/>
  <c r="FJ640" i="54"/>
  <c r="FK640" i="54"/>
  <c r="FL640" i="54"/>
  <c r="FH640" i="54"/>
  <c r="FI640" i="54"/>
  <c r="EA640" i="54"/>
  <c r="CJ520" i="54"/>
  <c r="CJ640" i="54"/>
  <c r="FI620" i="54"/>
  <c r="FJ620" i="54"/>
  <c r="FK620" i="54"/>
  <c r="FL620" i="54"/>
  <c r="EA620" i="54"/>
  <c r="FH620" i="54"/>
  <c r="EL620" i="54"/>
  <c r="EI620" i="54"/>
  <c r="EJ620" i="54"/>
  <c r="CJ560" i="54"/>
  <c r="CJ620" i="54"/>
  <c r="DM1599" i="54"/>
  <c r="EK620" i="54"/>
  <c r="DF1603" i="54"/>
  <c r="DF1601" i="54"/>
  <c r="DG1601" i="54" s="1"/>
  <c r="DF1602" i="54"/>
  <c r="EM620" i="54"/>
  <c r="EO620" i="54"/>
  <c r="ER620" i="54"/>
  <c r="EN620" i="54"/>
  <c r="EQ620" i="54"/>
  <c r="EP620" i="54"/>
  <c r="BP395" i="54"/>
  <c r="BQ356" i="54"/>
  <c r="BO395" i="54"/>
  <c r="BP356" i="54"/>
  <c r="AZ416" i="54"/>
  <c r="DM1544" i="54"/>
  <c r="DJ1389" i="54"/>
  <c r="EO599" i="54"/>
  <c r="DM1388" i="54"/>
  <c r="IR88" i="54"/>
  <c r="AP337" i="54"/>
  <c r="IN88" i="54"/>
  <c r="CS27" i="66"/>
  <c r="DI80" i="66" s="1"/>
  <c r="EQ599" i="54"/>
  <c r="DJ1545" i="54"/>
  <c r="ER599" i="54"/>
  <c r="DJ1544" i="54"/>
  <c r="DJ1232" i="54"/>
  <c r="IT88" i="54"/>
  <c r="AR337" i="54"/>
  <c r="IL88" i="54"/>
  <c r="AQ337" i="54"/>
  <c r="IS88" i="54"/>
  <c r="EL599" i="54"/>
  <c r="EN599" i="54"/>
  <c r="AT395" i="54"/>
  <c r="AW395" i="54" s="1"/>
  <c r="AT495" i="54"/>
  <c r="EK599" i="54"/>
  <c r="BL454" i="54"/>
  <c r="BK454" i="54"/>
  <c r="BM454" i="54"/>
  <c r="BJ454" i="54"/>
  <c r="BK456" i="54"/>
  <c r="BM456" i="54"/>
  <c r="BL456" i="54"/>
  <c r="BJ456" i="54"/>
  <c r="DF1548" i="54"/>
  <c r="DF1547" i="54"/>
  <c r="DF1546" i="54"/>
  <c r="DG1546" i="54" s="1"/>
  <c r="BB495" i="54"/>
  <c r="BA495" i="54"/>
  <c r="AZ495" i="54"/>
  <c r="BC495" i="54"/>
  <c r="BR496" i="54"/>
  <c r="BO496" i="54"/>
  <c r="BP496" i="54"/>
  <c r="BQ496" i="54"/>
  <c r="BJ534" i="54"/>
  <c r="BL534" i="54"/>
  <c r="BM534" i="54"/>
  <c r="BK534" i="54"/>
  <c r="DM1545" i="54"/>
  <c r="EM599" i="54"/>
  <c r="BK455" i="54"/>
  <c r="BJ455" i="54"/>
  <c r="BM455" i="54"/>
  <c r="BL455" i="54"/>
  <c r="BK535" i="54"/>
  <c r="BJ535" i="54"/>
  <c r="BM535" i="54"/>
  <c r="BL535" i="54"/>
  <c r="EI599" i="54"/>
  <c r="BQ495" i="54"/>
  <c r="BR495" i="54"/>
  <c r="BO495" i="54"/>
  <c r="BP495" i="54"/>
  <c r="FH599" i="54"/>
  <c r="FK599" i="54"/>
  <c r="FI599" i="54"/>
  <c r="EA599" i="54"/>
  <c r="FL599" i="54"/>
  <c r="FJ599" i="54"/>
  <c r="BA537" i="54"/>
  <c r="BC537" i="54"/>
  <c r="AZ537" i="54"/>
  <c r="BB537" i="54"/>
  <c r="BK536" i="54"/>
  <c r="BJ536" i="54"/>
  <c r="BL536" i="54"/>
  <c r="BM536" i="54"/>
  <c r="AZ536" i="54"/>
  <c r="BC536" i="54"/>
  <c r="BB536" i="54"/>
  <c r="BA536" i="54"/>
  <c r="AP457" i="54"/>
  <c r="AR457" i="54"/>
  <c r="AQ457" i="54"/>
  <c r="AS457" i="54"/>
  <c r="AR517" i="54"/>
  <c r="AP517" i="54"/>
  <c r="AQ517" i="54"/>
  <c r="AS517" i="54"/>
  <c r="AO435" i="54"/>
  <c r="AP435" i="54" s="1"/>
  <c r="AO495" i="54"/>
  <c r="AO376" i="54"/>
  <c r="AQ376" i="54" s="1"/>
  <c r="AO476" i="54"/>
  <c r="IR86" i="54"/>
  <c r="IL86" i="54"/>
  <c r="IT86" i="54"/>
  <c r="IM86" i="54"/>
  <c r="IK93" i="54"/>
  <c r="IR93" i="54" s="1"/>
  <c r="HS99" i="54"/>
  <c r="IG99" i="54" s="1"/>
  <c r="HS100" i="54"/>
  <c r="HR97" i="54"/>
  <c r="IF97" i="54" s="1"/>
  <c r="HR98" i="54"/>
  <c r="IF98" i="54" s="1"/>
  <c r="HR96" i="54"/>
  <c r="IF96" i="54" s="1"/>
  <c r="HS98" i="54"/>
  <c r="IG98" i="54" s="1"/>
  <c r="HS97" i="54"/>
  <c r="IG97" i="54" s="1"/>
  <c r="HS96" i="54"/>
  <c r="HR94" i="54"/>
  <c r="IF94" i="54" s="1"/>
  <c r="HR95" i="54"/>
  <c r="IF95" i="54" s="1"/>
  <c r="HR99" i="54"/>
  <c r="HR100" i="54"/>
  <c r="DG763" i="54"/>
  <c r="HU101" i="54"/>
  <c r="DM1284" i="54"/>
  <c r="HS95" i="54"/>
  <c r="IG95" i="54" s="1"/>
  <c r="HS94" i="54"/>
  <c r="IG94" i="54" s="1"/>
  <c r="IK94" i="54" s="1"/>
  <c r="IL94" i="54" s="1"/>
  <c r="HJ104" i="54"/>
  <c r="HP104" i="54" s="1"/>
  <c r="HJ105" i="54"/>
  <c r="HP105" i="54" s="1"/>
  <c r="HJ103" i="54"/>
  <c r="HP103" i="54" s="1"/>
  <c r="HJ100" i="54"/>
  <c r="HP100" i="54" s="1"/>
  <c r="HJ102" i="54"/>
  <c r="HP102" i="54" s="1"/>
  <c r="HJ101" i="54"/>
  <c r="HJ106" i="54"/>
  <c r="HI102" i="54"/>
  <c r="HO102" i="54" s="1"/>
  <c r="HI101" i="54"/>
  <c r="HO101" i="54" s="1"/>
  <c r="HI100" i="54"/>
  <c r="HO100" i="54" s="1"/>
  <c r="HI106" i="54"/>
  <c r="HI104" i="54"/>
  <c r="HO104" i="54" s="1"/>
  <c r="HI105" i="54"/>
  <c r="HO105" i="54" s="1"/>
  <c r="HI103" i="54"/>
  <c r="HO103" i="54" s="1"/>
  <c r="DJ1443" i="54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CK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1" i="54"/>
  <c r="IG96" i="54"/>
  <c r="EE299" i="54"/>
  <c r="DM819" i="54"/>
  <c r="BR435" i="54"/>
  <c r="IL89" i="54"/>
  <c r="IN89" i="54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T36" i="66"/>
  <c r="DR36" i="66"/>
  <c r="BR355" i="54"/>
  <c r="AO395" i="54"/>
  <c r="AP395" i="54" s="1"/>
  <c r="BQ355" i="54"/>
  <c r="DF37" i="66"/>
  <c r="DH37" i="66"/>
  <c r="AY355" i="54"/>
  <c r="BC355" i="54" s="1"/>
  <c r="AY435" i="54"/>
  <c r="AZ435" i="54" s="1"/>
  <c r="AY395" i="54"/>
  <c r="BC395" i="54" s="1"/>
  <c r="BB336" i="54"/>
  <c r="AT435" i="54"/>
  <c r="AV435" i="54" s="1"/>
  <c r="DM820" i="54"/>
  <c r="DH16" i="66"/>
  <c r="AT355" i="54"/>
  <c r="AX355" i="54" s="1"/>
  <c r="DG37" i="66"/>
  <c r="CH499" i="54"/>
  <c r="CH479" i="54"/>
  <c r="CH539" i="54"/>
  <c r="CJ539" i="54"/>
  <c r="CJ499" i="54"/>
  <c r="CJ479" i="54"/>
  <c r="DS36" i="66"/>
  <c r="DG16" i="66"/>
  <c r="BL436" i="54"/>
  <c r="BK436" i="54"/>
  <c r="BJ436" i="54"/>
  <c r="BM436" i="54"/>
  <c r="BK375" i="54"/>
  <c r="BL375" i="54"/>
  <c r="BM375" i="54"/>
  <c r="BJ375" i="54"/>
  <c r="BL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R374" i="54"/>
  <c r="BP374" i="54"/>
  <c r="BO374" i="54"/>
  <c r="BQ374" i="54"/>
  <c r="BL355" i="54"/>
  <c r="BJ355" i="54"/>
  <c r="BK355" i="54"/>
  <c r="BM355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L78" i="66"/>
  <c r="DL79" i="66"/>
  <c r="DL80" i="66"/>
  <c r="DL58" i="66"/>
  <c r="DL59" i="66"/>
  <c r="DL60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V19" i="67"/>
  <c r="EA320" i="54"/>
  <c r="EG321" i="54" s="1"/>
  <c r="BR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DM350" i="54"/>
  <c r="DM352" i="54"/>
  <c r="DM351" i="54"/>
  <c r="BL61" i="66"/>
  <c r="DF407" i="54"/>
  <c r="BY61" i="66"/>
  <c r="BT61" i="66"/>
  <c r="AZ62" i="66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HO99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U19" i="66"/>
  <c r="BA20" i="66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EH299" i="54"/>
  <c r="EP179" i="54"/>
  <c r="EN179" i="54"/>
  <c r="EQ179" i="54"/>
  <c r="EO20" i="54"/>
  <c r="EM419" i="54"/>
  <c r="DR17" i="66"/>
  <c r="DF18" i="66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L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I919" i="54"/>
  <c r="DJ919" i="54" s="1"/>
  <c r="DI192" i="54"/>
  <c r="DI660" i="54"/>
  <c r="DI764" i="54"/>
  <c r="HV104" i="54" s="1"/>
  <c r="DI973" i="54"/>
  <c r="DI972" i="54"/>
  <c r="DI1128" i="54"/>
  <c r="BZ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BL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P35" i="66"/>
  <c r="CT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R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U59" i="66"/>
  <c r="BY40" i="66"/>
  <c r="BY81" i="66"/>
  <c r="BV19" i="66"/>
  <c r="BB20" i="66" s="1"/>
  <c r="CA19" i="66"/>
  <c r="BT81" i="66"/>
  <c r="AZ82" i="66" s="1"/>
  <c r="BT40" i="66"/>
  <c r="BK20" i="66"/>
  <c r="BQ20" i="66"/>
  <c r="CU27" i="66" l="1"/>
  <c r="CQ27" i="66"/>
  <c r="CH459" i="54"/>
  <c r="CH579" i="54"/>
  <c r="FI579" i="54"/>
  <c r="FL579" i="54"/>
  <c r="FJ579" i="54"/>
  <c r="EA579" i="54"/>
  <c r="ED580" i="54" s="1"/>
  <c r="FK579" i="54"/>
  <c r="FH579" i="54"/>
  <c r="EH580" i="54"/>
  <c r="DF1495" i="54"/>
  <c r="DG1495" i="54" s="1"/>
  <c r="DF1494" i="54"/>
  <c r="DG1494" i="54" s="1"/>
  <c r="DF1496" i="54"/>
  <c r="DG1496" i="54" s="1"/>
  <c r="EG580" i="54"/>
  <c r="EE580" i="54"/>
  <c r="ER579" i="54"/>
  <c r="EP579" i="54"/>
  <c r="EO579" i="54"/>
  <c r="EQ579" i="54"/>
  <c r="CJ459" i="54"/>
  <c r="CJ579" i="54"/>
  <c r="AY337" i="54"/>
  <c r="BB337" i="54" s="1"/>
  <c r="AY457" i="54"/>
  <c r="BC457" i="54" s="1"/>
  <c r="AY517" i="54"/>
  <c r="BC517" i="54" s="1"/>
  <c r="BL516" i="54"/>
  <c r="BA456" i="54"/>
  <c r="BL334" i="54"/>
  <c r="BM335" i="54"/>
  <c r="BC336" i="54"/>
  <c r="AZ336" i="54"/>
  <c r="BL514" i="54"/>
  <c r="BM416" i="54"/>
  <c r="BC456" i="54"/>
  <c r="BJ416" i="54"/>
  <c r="BB456" i="54"/>
  <c r="EH621" i="54"/>
  <c r="BC516" i="54"/>
  <c r="AZ516" i="54"/>
  <c r="BA516" i="54"/>
  <c r="DG56" i="66"/>
  <c r="AT515" i="54" s="1"/>
  <c r="BM414" i="54"/>
  <c r="BJ336" i="54"/>
  <c r="BL415" i="54"/>
  <c r="BL515" i="54"/>
  <c r="BK336" i="54"/>
  <c r="BL414" i="54"/>
  <c r="BK334" i="54"/>
  <c r="BM415" i="54"/>
  <c r="BK515" i="54"/>
  <c r="BL336" i="54"/>
  <c r="BK414" i="54"/>
  <c r="BM334" i="54"/>
  <c r="BJ415" i="54"/>
  <c r="BM515" i="54"/>
  <c r="BK516" i="54"/>
  <c r="BJ516" i="54"/>
  <c r="BK514" i="54"/>
  <c r="BM514" i="54"/>
  <c r="DK80" i="66"/>
  <c r="BJ335" i="54"/>
  <c r="BL335" i="54"/>
  <c r="DG76" i="66"/>
  <c r="DI60" i="66"/>
  <c r="DI59" i="66"/>
  <c r="DI78" i="66"/>
  <c r="DI58" i="66"/>
  <c r="DI79" i="66"/>
  <c r="DG1654" i="54"/>
  <c r="DG1655" i="54"/>
  <c r="EG641" i="54"/>
  <c r="EF641" i="54"/>
  <c r="EE641" i="54"/>
  <c r="EH641" i="54"/>
  <c r="ED641" i="54"/>
  <c r="CF521" i="54"/>
  <c r="CF641" i="54"/>
  <c r="DL1653" i="54"/>
  <c r="DM1653" i="54" s="1"/>
  <c r="DL1654" i="54"/>
  <c r="DL1655" i="54"/>
  <c r="DG1603" i="54"/>
  <c r="EE621" i="54"/>
  <c r="DI1655" i="54"/>
  <c r="DI1653" i="54"/>
  <c r="DJ1653" i="54" s="1"/>
  <c r="DI1654" i="54"/>
  <c r="FO640" i="54"/>
  <c r="FP640" i="54"/>
  <c r="FQ640" i="54"/>
  <c r="FN640" i="54"/>
  <c r="FM640" i="54"/>
  <c r="EB640" i="54"/>
  <c r="EK641" i="54" s="1"/>
  <c r="FV640" i="54"/>
  <c r="FR640" i="54"/>
  <c r="FT640" i="54"/>
  <c r="FU640" i="54"/>
  <c r="FS640" i="54"/>
  <c r="EC640" i="54"/>
  <c r="EP641" i="54" s="1"/>
  <c r="DI1603" i="54"/>
  <c r="DI1602" i="54"/>
  <c r="DI1601" i="54"/>
  <c r="DJ1601" i="54" s="1"/>
  <c r="CF561" i="54"/>
  <c r="CF621" i="54"/>
  <c r="DL1603" i="54"/>
  <c r="DL1602" i="54"/>
  <c r="DL1601" i="54"/>
  <c r="DM1601" i="54" s="1"/>
  <c r="FS620" i="54"/>
  <c r="FU620" i="54"/>
  <c r="FV620" i="54"/>
  <c r="EC620" i="54"/>
  <c r="EO621" i="54" s="1"/>
  <c r="FR620" i="54"/>
  <c r="FT620" i="54"/>
  <c r="DG1602" i="54"/>
  <c r="FN620" i="54"/>
  <c r="FO620" i="54"/>
  <c r="FQ620" i="54"/>
  <c r="FM620" i="54"/>
  <c r="EB620" i="54"/>
  <c r="EJ621" i="54" s="1"/>
  <c r="FP620" i="54"/>
  <c r="ED621" i="54"/>
  <c r="EG621" i="54"/>
  <c r="EF621" i="54"/>
  <c r="AZ417" i="54"/>
  <c r="BB417" i="54"/>
  <c r="AR435" i="54"/>
  <c r="AS435" i="54"/>
  <c r="AX395" i="54"/>
  <c r="AP376" i="54"/>
  <c r="IF100" i="54"/>
  <c r="AQ435" i="54"/>
  <c r="BA417" i="54"/>
  <c r="IN93" i="54"/>
  <c r="AR376" i="54"/>
  <c r="AV395" i="54"/>
  <c r="DG1547" i="54"/>
  <c r="AS376" i="54"/>
  <c r="AU395" i="54"/>
  <c r="DG1548" i="54"/>
  <c r="DG1446" i="54"/>
  <c r="DG1391" i="54"/>
  <c r="EF600" i="54"/>
  <c r="EG600" i="54"/>
  <c r="EH600" i="54"/>
  <c r="FP599" i="54"/>
  <c r="FM599" i="54"/>
  <c r="FO599" i="54"/>
  <c r="FN599" i="54"/>
  <c r="EB599" i="54"/>
  <c r="EI600" i="54" s="1"/>
  <c r="FQ599" i="54"/>
  <c r="FS599" i="54"/>
  <c r="FU599" i="54"/>
  <c r="EC599" i="54"/>
  <c r="FV599" i="54"/>
  <c r="FR599" i="54"/>
  <c r="FT599" i="54"/>
  <c r="BD518" i="54"/>
  <c r="BD458" i="54"/>
  <c r="DO78" i="66"/>
  <c r="BD537" i="54"/>
  <c r="EM600" i="54"/>
  <c r="ED600" i="54"/>
  <c r="AX495" i="54"/>
  <c r="AW495" i="54"/>
  <c r="AU495" i="54"/>
  <c r="AV495" i="54"/>
  <c r="DO79" i="66"/>
  <c r="BD538" i="54"/>
  <c r="DS37" i="66"/>
  <c r="AT496" i="54"/>
  <c r="DI1547" i="54"/>
  <c r="DI1548" i="54"/>
  <c r="DI1546" i="54"/>
  <c r="DJ1546" i="54" s="1"/>
  <c r="BD517" i="54"/>
  <c r="BD457" i="54"/>
  <c r="AY396" i="54"/>
  <c r="BB396" i="54" s="1"/>
  <c r="AY496" i="54"/>
  <c r="AZ457" i="54"/>
  <c r="BD519" i="54"/>
  <c r="BD459" i="54"/>
  <c r="DL1548" i="54"/>
  <c r="DL1547" i="54"/>
  <c r="DL1546" i="54"/>
  <c r="DM1546" i="54" s="1"/>
  <c r="DO80" i="66"/>
  <c r="BD539" i="54"/>
  <c r="EE600" i="54"/>
  <c r="AZ517" i="54"/>
  <c r="IM93" i="54"/>
  <c r="IS93" i="54"/>
  <c r="IL93" i="54"/>
  <c r="IT93" i="54"/>
  <c r="AO377" i="54"/>
  <c r="AP377" i="54" s="1"/>
  <c r="AO477" i="54"/>
  <c r="AO436" i="54"/>
  <c r="AR436" i="54" s="1"/>
  <c r="AO496" i="54"/>
  <c r="AQ476" i="54"/>
  <c r="AS476" i="54"/>
  <c r="AR476" i="54"/>
  <c r="AP476" i="54"/>
  <c r="DT16" i="66"/>
  <c r="AY475" i="54"/>
  <c r="AS495" i="54"/>
  <c r="AQ495" i="54"/>
  <c r="AR495" i="54"/>
  <c r="AP495" i="54"/>
  <c r="DS16" i="66"/>
  <c r="AT475" i="54"/>
  <c r="IK95" i="54"/>
  <c r="IL95" i="54" s="1"/>
  <c r="IK96" i="54"/>
  <c r="IR96" i="54" s="1"/>
  <c r="DM763" i="54"/>
  <c r="HW101" i="54"/>
  <c r="HH112" i="54"/>
  <c r="HN112" i="54" s="1"/>
  <c r="HH110" i="54"/>
  <c r="HN110" i="54" s="1"/>
  <c r="HH114" i="54"/>
  <c r="HH111" i="54"/>
  <c r="HN111" i="54" s="1"/>
  <c r="HH107" i="54"/>
  <c r="HN107" i="54" s="1"/>
  <c r="HH108" i="54"/>
  <c r="HN108" i="54" s="1"/>
  <c r="HH113" i="54"/>
  <c r="HN113" i="54" s="1"/>
  <c r="HH109" i="54"/>
  <c r="HN109" i="54" s="1"/>
  <c r="HQ103" i="54"/>
  <c r="IE103" i="54" s="1"/>
  <c r="HQ101" i="54"/>
  <c r="IE101" i="54" s="1"/>
  <c r="HQ102" i="54"/>
  <c r="IE102" i="54" s="1"/>
  <c r="HQ107" i="54"/>
  <c r="HQ108" i="54"/>
  <c r="HQ106" i="54"/>
  <c r="IE106" i="54" s="1"/>
  <c r="DJ763" i="54"/>
  <c r="HV101" i="54"/>
  <c r="HQ105" i="54"/>
  <c r="IE105" i="54" s="1"/>
  <c r="HQ104" i="54"/>
  <c r="IK98" i="54"/>
  <c r="IM98" i="54" s="1"/>
  <c r="HZ114" i="54"/>
  <c r="IA114" i="54" s="1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F1182" i="54"/>
  <c r="DG1182" i="54" s="1"/>
  <c r="DF1183" i="54"/>
  <c r="DL1343" i="54"/>
  <c r="DL1341" i="54"/>
  <c r="DM1341" i="54" s="1"/>
  <c r="DL1342" i="54"/>
  <c r="DL1390" i="54"/>
  <c r="DM1390" i="54" s="1"/>
  <c r="DL1236" i="54"/>
  <c r="DL1287" i="54"/>
  <c r="DL1288" i="54"/>
  <c r="DL1286" i="54"/>
  <c r="DM1286" i="54" s="1"/>
  <c r="DL1234" i="54"/>
  <c r="DM1234" i="54" s="1"/>
  <c r="DL1235" i="54"/>
  <c r="DL1391" i="54"/>
  <c r="DL1392" i="54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I1342" i="54"/>
  <c r="DI1390" i="54"/>
  <c r="DJ1390" i="54" s="1"/>
  <c r="DI1236" i="54"/>
  <c r="DI1286" i="54"/>
  <c r="DJ1286" i="54" s="1"/>
  <c r="DI1288" i="54"/>
  <c r="DI1287" i="54"/>
  <c r="DI1235" i="54"/>
  <c r="DI1392" i="54"/>
  <c r="DI1234" i="54"/>
  <c r="DJ1234" i="54" s="1"/>
  <c r="DI1391" i="54"/>
  <c r="DJ1391" i="54" s="1"/>
  <c r="DI1445" i="54"/>
  <c r="DJ1445" i="54" s="1"/>
  <c r="DI1446" i="54"/>
  <c r="DI1447" i="54"/>
  <c r="DL1445" i="54"/>
  <c r="DM1445" i="54" s="1"/>
  <c r="DL1446" i="54"/>
  <c r="DL1447" i="54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K97" i="54"/>
  <c r="IL97" i="54" s="1"/>
  <c r="IP100" i="54"/>
  <c r="IP98" i="54"/>
  <c r="IS98" i="54" s="1"/>
  <c r="IP97" i="54"/>
  <c r="IP94" i="54"/>
  <c r="IS94" i="54" s="1"/>
  <c r="IP99" i="54"/>
  <c r="IG100" i="54"/>
  <c r="II104" i="54"/>
  <c r="II106" i="54"/>
  <c r="IE104" i="54"/>
  <c r="BA337" i="54"/>
  <c r="AZ337" i="54"/>
  <c r="BA355" i="54"/>
  <c r="AP355" i="54"/>
  <c r="AR395" i="54"/>
  <c r="AS355" i="54"/>
  <c r="AQ395" i="54"/>
  <c r="AQ355" i="54"/>
  <c r="AS395" i="54"/>
  <c r="AO356" i="54"/>
  <c r="AR356" i="54" s="1"/>
  <c r="DR37" i="66"/>
  <c r="DF38" i="66"/>
  <c r="AO396" i="54"/>
  <c r="AQ396" i="54" s="1"/>
  <c r="AY356" i="54"/>
  <c r="AZ356" i="54" s="1"/>
  <c r="AY436" i="54"/>
  <c r="AZ436" i="54" s="1"/>
  <c r="DH38" i="66"/>
  <c r="DT37" i="66"/>
  <c r="BB435" i="54"/>
  <c r="AZ355" i="54"/>
  <c r="BB355" i="54"/>
  <c r="BA435" i="54"/>
  <c r="BB395" i="54"/>
  <c r="AZ395" i="54"/>
  <c r="BA395" i="54"/>
  <c r="BC435" i="54"/>
  <c r="DH17" i="66"/>
  <c r="AU435" i="54"/>
  <c r="AX435" i="54"/>
  <c r="AW435" i="54"/>
  <c r="DG17" i="66"/>
  <c r="DG38" i="66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O60" i="66"/>
  <c r="BD339" i="54"/>
  <c r="BD419" i="54"/>
  <c r="DO59" i="66"/>
  <c r="BD418" i="54"/>
  <c r="BD338" i="54"/>
  <c r="DO58" i="66"/>
  <c r="BD337" i="54"/>
  <c r="BD417" i="54"/>
  <c r="EG280" i="54"/>
  <c r="DG353" i="54"/>
  <c r="DG355" i="54"/>
  <c r="DG354" i="54"/>
  <c r="CF161" i="54"/>
  <c r="BK62" i="66"/>
  <c r="CF61" i="54"/>
  <c r="BQ62" i="66"/>
  <c r="CF321" i="54"/>
  <c r="CF141" i="54"/>
  <c r="P19" i="67"/>
  <c r="DL407" i="54"/>
  <c r="DL353" i="54"/>
  <c r="DL354" i="54"/>
  <c r="DL355" i="54"/>
  <c r="DL405" i="54"/>
  <c r="DL406" i="54"/>
  <c r="BV61" i="66"/>
  <c r="BB62" i="66" s="1"/>
  <c r="CA61" i="66"/>
  <c r="EF141" i="54"/>
  <c r="EG141" i="54"/>
  <c r="EE141" i="54"/>
  <c r="ED141" i="54"/>
  <c r="EH141" i="54"/>
  <c r="AP18" i="67"/>
  <c r="AT18" i="67" s="1"/>
  <c r="DN60" i="66"/>
  <c r="DN59" i="66"/>
  <c r="DN78" i="66"/>
  <c r="DN79" i="66"/>
  <c r="DN80" i="66"/>
  <c r="DN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EB60" i="54"/>
  <c r="EB140" i="54"/>
  <c r="EB160" i="54"/>
  <c r="W19" i="67"/>
  <c r="EB320" i="54"/>
  <c r="EF161" i="54"/>
  <c r="EG161" i="54"/>
  <c r="EE161" i="54"/>
  <c r="ED161" i="54"/>
  <c r="IM94" i="54"/>
  <c r="IR94" i="54"/>
  <c r="IT94" i="54"/>
  <c r="IQ106" i="54"/>
  <c r="IQ112" i="54"/>
  <c r="IQ108" i="54"/>
  <c r="IQ110" i="54"/>
  <c r="IQ107" i="54"/>
  <c r="IQ111" i="54"/>
  <c r="IQ113" i="54"/>
  <c r="IQ109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N94" i="54"/>
  <c r="EA79" i="54"/>
  <c r="ED80" i="54" s="1"/>
  <c r="EA259" i="54"/>
  <c r="EF260" i="54" s="1"/>
  <c r="EA299" i="54"/>
  <c r="HY121" i="54" s="1"/>
  <c r="EA359" i="54"/>
  <c r="EF360" i="54" s="1"/>
  <c r="EA379" i="54"/>
  <c r="EE380" i="54" s="1"/>
  <c r="EA439" i="54"/>
  <c r="EF440" i="54" s="1"/>
  <c r="HP106" i="54"/>
  <c r="EF100" i="54"/>
  <c r="ED100" i="54"/>
  <c r="EJ379" i="54"/>
  <c r="EG60" i="54"/>
  <c r="DJ764" i="54"/>
  <c r="EK359" i="54"/>
  <c r="EE100" i="54"/>
  <c r="EG420" i="54"/>
  <c r="EL259" i="54"/>
  <c r="EK259" i="54"/>
  <c r="EJ359" i="54"/>
  <c r="EF180" i="54"/>
  <c r="EG180" i="54"/>
  <c r="CI19" i="66"/>
  <c r="CS19" i="66" s="1"/>
  <c r="DG714" i="54"/>
  <c r="DG715" i="54"/>
  <c r="DG716" i="54"/>
  <c r="ED280" i="54"/>
  <c r="DG454" i="54"/>
  <c r="DG455" i="54"/>
  <c r="DG456" i="54"/>
  <c r="EE180" i="54"/>
  <c r="EG340" i="54"/>
  <c r="EE280" i="54"/>
  <c r="BV40" i="66"/>
  <c r="BB41" i="66" s="1"/>
  <c r="CJ600" i="54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Z41" i="66"/>
  <c r="CF600" i="54" s="1"/>
  <c r="EM379" i="54"/>
  <c r="EI379" i="54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Z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L20" i="66"/>
  <c r="DF767" i="54"/>
  <c r="HU111" i="54" s="1"/>
  <c r="DF196" i="54"/>
  <c r="DF975" i="54"/>
  <c r="DF1131" i="54"/>
  <c r="DF974" i="54"/>
  <c r="DG974" i="54" s="1"/>
  <c r="DF768" i="54"/>
  <c r="HU114" i="54" s="1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F194" i="54"/>
  <c r="DG194" i="54" s="1"/>
  <c r="BQ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CA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U81" i="66"/>
  <c r="BA82" i="66" s="1"/>
  <c r="EE21" i="54"/>
  <c r="DG91" i="54"/>
  <c r="DG143" i="54"/>
  <c r="EH40" i="54"/>
  <c r="EG40" i="54"/>
  <c r="BR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Z40" i="66"/>
  <c r="EL60" i="54"/>
  <c r="BU40" i="66"/>
  <c r="BA41" i="66" s="1"/>
  <c r="CH600" i="54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BA60" i="66"/>
  <c r="CH619" i="54" s="1"/>
  <c r="BW59" i="66"/>
  <c r="BZ59" i="66"/>
  <c r="BV81" i="66"/>
  <c r="BB82" i="66" s="1"/>
  <c r="CA81" i="66"/>
  <c r="BY20" i="66"/>
  <c r="CI11" i="66" s="1"/>
  <c r="BK82" i="66"/>
  <c r="BT20" i="66"/>
  <c r="AZ21" i="66" s="1"/>
  <c r="FN579" i="54" l="1"/>
  <c r="FQ579" i="54"/>
  <c r="FP579" i="54"/>
  <c r="FM579" i="54"/>
  <c r="EB579" i="54"/>
  <c r="FO579" i="54"/>
  <c r="DI1495" i="54"/>
  <c r="DJ1495" i="54" s="1"/>
  <c r="DI1494" i="54"/>
  <c r="DJ1494" i="54" s="1"/>
  <c r="DI1496" i="54"/>
  <c r="DJ1496" i="54" s="1"/>
  <c r="EF580" i="54"/>
  <c r="CF460" i="54"/>
  <c r="CF580" i="54"/>
  <c r="DL1496" i="54"/>
  <c r="DM1496" i="54" s="1"/>
  <c r="DL1494" i="54"/>
  <c r="DM1494" i="54" s="1"/>
  <c r="DL1495" i="54"/>
  <c r="DM1495" i="54" s="1"/>
  <c r="FT579" i="54"/>
  <c r="FV579" i="54"/>
  <c r="FS579" i="54"/>
  <c r="FR579" i="54"/>
  <c r="FU579" i="54"/>
  <c r="EC579" i="54"/>
  <c r="BB457" i="54"/>
  <c r="BC337" i="54"/>
  <c r="BA457" i="54"/>
  <c r="BA517" i="54"/>
  <c r="BB517" i="54"/>
  <c r="EK600" i="54"/>
  <c r="DR58" i="66"/>
  <c r="DG57" i="66"/>
  <c r="AT516" i="54" s="1"/>
  <c r="AT335" i="54"/>
  <c r="AV335" i="54" s="1"/>
  <c r="AT415" i="54"/>
  <c r="AV415" i="54" s="1"/>
  <c r="AT455" i="54"/>
  <c r="AV455" i="54" s="1"/>
  <c r="DS56" i="66"/>
  <c r="DK79" i="66"/>
  <c r="DK58" i="66"/>
  <c r="DK78" i="66"/>
  <c r="DK60" i="66"/>
  <c r="DK59" i="66"/>
  <c r="DR78" i="66"/>
  <c r="AT535" i="54"/>
  <c r="DG77" i="66"/>
  <c r="DS76" i="66"/>
  <c r="IM95" i="54"/>
  <c r="DJ1654" i="54"/>
  <c r="DM1392" i="54"/>
  <c r="DM1655" i="54"/>
  <c r="DM1602" i="54"/>
  <c r="DM1603" i="54"/>
  <c r="DJ1602" i="54"/>
  <c r="DJ1603" i="54"/>
  <c r="ER621" i="54"/>
  <c r="EN621" i="54"/>
  <c r="DJ1655" i="54"/>
  <c r="DM1654" i="54"/>
  <c r="EI641" i="54"/>
  <c r="EN641" i="54"/>
  <c r="FI641" i="54"/>
  <c r="FJ641" i="54"/>
  <c r="FK641" i="54"/>
  <c r="FH641" i="54"/>
  <c r="EA641" i="54"/>
  <c r="EH642" i="54" s="1"/>
  <c r="FL641" i="54"/>
  <c r="EL641" i="54"/>
  <c r="DF1657" i="54"/>
  <c r="DF1656" i="54"/>
  <c r="DG1656" i="54" s="1"/>
  <c r="DF1658" i="54"/>
  <c r="CH521" i="54"/>
  <c r="CH641" i="54"/>
  <c r="CJ521" i="54"/>
  <c r="CJ641" i="54"/>
  <c r="EO641" i="54"/>
  <c r="ER641" i="54"/>
  <c r="EJ641" i="54"/>
  <c r="EM641" i="54"/>
  <c r="EQ641" i="54"/>
  <c r="FI621" i="54"/>
  <c r="FL621" i="54"/>
  <c r="FH621" i="54"/>
  <c r="EA621" i="54"/>
  <c r="EG622" i="54" s="1"/>
  <c r="FJ621" i="54"/>
  <c r="FK621" i="54"/>
  <c r="EL621" i="54"/>
  <c r="EP621" i="54"/>
  <c r="EK621" i="54"/>
  <c r="EI621" i="54"/>
  <c r="CJ561" i="54"/>
  <c r="CJ621" i="54"/>
  <c r="DF1604" i="54"/>
  <c r="DG1604" i="54" s="1"/>
  <c r="DF1606" i="54"/>
  <c r="DF1605" i="54"/>
  <c r="EM621" i="54"/>
  <c r="EQ621" i="54"/>
  <c r="DF79" i="66"/>
  <c r="AO538" i="54" s="1"/>
  <c r="AQ538" i="54" s="1"/>
  <c r="IL96" i="54"/>
  <c r="AR377" i="54"/>
  <c r="IS96" i="54"/>
  <c r="IN96" i="54"/>
  <c r="IT96" i="54"/>
  <c r="IM96" i="54"/>
  <c r="IT98" i="54"/>
  <c r="AZ396" i="54"/>
  <c r="IR95" i="54"/>
  <c r="AQ377" i="54"/>
  <c r="IS95" i="54"/>
  <c r="IN95" i="54"/>
  <c r="AS377" i="54"/>
  <c r="IK100" i="54"/>
  <c r="IR100" i="54" s="1"/>
  <c r="DJ1547" i="54"/>
  <c r="BA396" i="54"/>
  <c r="IL98" i="54"/>
  <c r="AQ436" i="54"/>
  <c r="BC396" i="54"/>
  <c r="DM1548" i="54"/>
  <c r="IN98" i="54"/>
  <c r="AS436" i="54"/>
  <c r="IT95" i="54"/>
  <c r="DM1547" i="54"/>
  <c r="DG1183" i="54"/>
  <c r="DJ1548" i="54"/>
  <c r="BN517" i="54"/>
  <c r="BN457" i="54"/>
  <c r="BN518" i="54"/>
  <c r="BN458" i="54"/>
  <c r="AT397" i="54"/>
  <c r="AX397" i="54" s="1"/>
  <c r="AT497" i="54"/>
  <c r="BF538" i="54"/>
  <c r="BG538" i="54"/>
  <c r="BH538" i="54"/>
  <c r="BE538" i="54"/>
  <c r="BE537" i="54"/>
  <c r="BH537" i="54"/>
  <c r="BF537" i="54"/>
  <c r="BG537" i="54"/>
  <c r="DQ80" i="66"/>
  <c r="BN539" i="54"/>
  <c r="BN459" i="54"/>
  <c r="BN519" i="54"/>
  <c r="BG539" i="54"/>
  <c r="BE539" i="54"/>
  <c r="BH539" i="54"/>
  <c r="BF539" i="54"/>
  <c r="BF459" i="54"/>
  <c r="BH459" i="54"/>
  <c r="BG459" i="54"/>
  <c r="BE459" i="54"/>
  <c r="BF457" i="54"/>
  <c r="BG457" i="54"/>
  <c r="BH457" i="54"/>
  <c r="BE457" i="54"/>
  <c r="DQ79" i="66"/>
  <c r="BN538" i="54"/>
  <c r="BF519" i="54"/>
  <c r="BE519" i="54"/>
  <c r="BG519" i="54"/>
  <c r="BH519" i="54"/>
  <c r="BH517" i="54"/>
  <c r="BF517" i="54"/>
  <c r="BE517" i="54"/>
  <c r="BG517" i="54"/>
  <c r="AU496" i="54"/>
  <c r="AX496" i="54"/>
  <c r="AV496" i="54"/>
  <c r="AW496" i="54"/>
  <c r="BH458" i="54"/>
  <c r="BE458" i="54"/>
  <c r="BG458" i="54"/>
  <c r="BF458" i="54"/>
  <c r="DQ78" i="66"/>
  <c r="BN537" i="54"/>
  <c r="AY437" i="54"/>
  <c r="BB437" i="54" s="1"/>
  <c r="AY497" i="54"/>
  <c r="AU515" i="54"/>
  <c r="AX515" i="54"/>
  <c r="AV515" i="54"/>
  <c r="AW515" i="54"/>
  <c r="BA496" i="54"/>
  <c r="AZ496" i="54"/>
  <c r="BB496" i="54"/>
  <c r="BC496" i="54"/>
  <c r="BG518" i="54"/>
  <c r="BF518" i="54"/>
  <c r="BH518" i="54"/>
  <c r="BE518" i="54"/>
  <c r="ER600" i="54"/>
  <c r="EN600" i="54"/>
  <c r="EO600" i="54"/>
  <c r="EQ600" i="54"/>
  <c r="EP600" i="54"/>
  <c r="EJ600" i="54"/>
  <c r="EL600" i="54"/>
  <c r="AP436" i="54"/>
  <c r="AX475" i="54"/>
  <c r="AV475" i="54"/>
  <c r="AU475" i="54"/>
  <c r="AW475" i="54"/>
  <c r="AR496" i="54"/>
  <c r="AP496" i="54"/>
  <c r="AQ496" i="54"/>
  <c r="AS496" i="54"/>
  <c r="DG18" i="66"/>
  <c r="AT476" i="54"/>
  <c r="DH18" i="66"/>
  <c r="AY476" i="54"/>
  <c r="BC475" i="54"/>
  <c r="AZ475" i="54"/>
  <c r="BA475" i="54"/>
  <c r="BB475" i="54"/>
  <c r="AS477" i="54"/>
  <c r="AP477" i="54"/>
  <c r="AQ477" i="54"/>
  <c r="AR477" i="54"/>
  <c r="AO357" i="54"/>
  <c r="AQ357" i="54" s="1"/>
  <c r="AO497" i="54"/>
  <c r="IR98" i="54"/>
  <c r="DJ1342" i="54"/>
  <c r="DM1447" i="54"/>
  <c r="DJ1446" i="54"/>
  <c r="DJ1392" i="54"/>
  <c r="DJ1343" i="54"/>
  <c r="DM1235" i="54"/>
  <c r="DM1287" i="54"/>
  <c r="DG1184" i="54"/>
  <c r="IE107" i="54"/>
  <c r="DM1391" i="54"/>
  <c r="HR108" i="54"/>
  <c r="HR107" i="54"/>
  <c r="HR106" i="54"/>
  <c r="DG766" i="54"/>
  <c r="HU109" i="54"/>
  <c r="HS104" i="54"/>
  <c r="IG104" i="54" s="1"/>
  <c r="HS105" i="54"/>
  <c r="IG105" i="54" s="1"/>
  <c r="HR105" i="54"/>
  <c r="IF105" i="54" s="1"/>
  <c r="HR104" i="54"/>
  <c r="IF104" i="54" s="1"/>
  <c r="HS106" i="54"/>
  <c r="IG106" i="54" s="1"/>
  <c r="HS107" i="54"/>
  <c r="HS108" i="54"/>
  <c r="HJ108" i="54"/>
  <c r="HP108" i="54" s="1"/>
  <c r="HJ112" i="54"/>
  <c r="HP112" i="54" s="1"/>
  <c r="HJ107" i="54"/>
  <c r="HP107" i="54" s="1"/>
  <c r="IG107" i="54" s="1"/>
  <c r="HJ113" i="54"/>
  <c r="HP113" i="54" s="1"/>
  <c r="HJ110" i="54"/>
  <c r="HP110" i="54" s="1"/>
  <c r="HJ109" i="54"/>
  <c r="HP109" i="54" s="1"/>
  <c r="HJ114" i="54"/>
  <c r="HJ111" i="54"/>
  <c r="HP111" i="54" s="1"/>
  <c r="HR101" i="54"/>
  <c r="IF101" i="54" s="1"/>
  <c r="HR103" i="54"/>
  <c r="IF103" i="54" s="1"/>
  <c r="HR102" i="54"/>
  <c r="IF102" i="54" s="1"/>
  <c r="HS103" i="54"/>
  <c r="IG103" i="54" s="1"/>
  <c r="HS101" i="54"/>
  <c r="IG101" i="54" s="1"/>
  <c r="HS102" i="54"/>
  <c r="IG102" i="54" s="1"/>
  <c r="EN521" i="54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I1182" i="54"/>
  <c r="DJ1182" i="54" s="1"/>
  <c r="DI1184" i="54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E108" i="54"/>
  <c r="EG300" i="54"/>
  <c r="II101" i="54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T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S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F59" i="66"/>
  <c r="CJ480" i="54"/>
  <c r="CJ500" i="54"/>
  <c r="CJ540" i="54"/>
  <c r="AO338" i="54"/>
  <c r="BF339" i="54"/>
  <c r="BH339" i="54"/>
  <c r="BE339" i="54"/>
  <c r="BG339" i="54"/>
  <c r="DQ58" i="66"/>
  <c r="BN337" i="54"/>
  <c r="BN417" i="54"/>
  <c r="DQ59" i="66"/>
  <c r="BN338" i="54"/>
  <c r="BN418" i="54"/>
  <c r="BG338" i="54"/>
  <c r="BE338" i="54"/>
  <c r="BF338" i="54"/>
  <c r="BH338" i="54"/>
  <c r="DQ60" i="66"/>
  <c r="BN339" i="54"/>
  <c r="BN419" i="54"/>
  <c r="BH417" i="54"/>
  <c r="BE417" i="54"/>
  <c r="BF417" i="54"/>
  <c r="BG417" i="54"/>
  <c r="BF418" i="54"/>
  <c r="BG418" i="54"/>
  <c r="BH418" i="54"/>
  <c r="BE418" i="54"/>
  <c r="BE337" i="54"/>
  <c r="BG337" i="54"/>
  <c r="BF337" i="54"/>
  <c r="BH337" i="54"/>
  <c r="BH419" i="54"/>
  <c r="BG419" i="54"/>
  <c r="BE419" i="54"/>
  <c r="BF419" i="54"/>
  <c r="Q19" i="67"/>
  <c r="CH18" i="67"/>
  <c r="CK18" i="67" s="1"/>
  <c r="AX18" i="67"/>
  <c r="AW18" i="67"/>
  <c r="AU18" i="67"/>
  <c r="AV18" i="67"/>
  <c r="AN19" i="67"/>
  <c r="Y19" i="67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EA161" i="54"/>
  <c r="EG162" i="54" s="1"/>
  <c r="EA141" i="54"/>
  <c r="V20" i="67"/>
  <c r="EA61" i="54"/>
  <c r="DJ353" i="54"/>
  <c r="DJ354" i="54"/>
  <c r="DJ355" i="54"/>
  <c r="AY18" i="67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T62" i="66"/>
  <c r="AZ63" i="66" s="1"/>
  <c r="BL62" i="66"/>
  <c r="DF410" i="54"/>
  <c r="DF357" i="54"/>
  <c r="DF358" i="54"/>
  <c r="DF356" i="54"/>
  <c r="BY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K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N114" i="54"/>
  <c r="CO19" i="66"/>
  <c r="DL38" i="66" s="1"/>
  <c r="BD497" i="54" s="1"/>
  <c r="BQ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J19" i="66"/>
  <c r="CT19" i="66" s="1"/>
  <c r="DJ870" i="54"/>
  <c r="DJ871" i="54"/>
  <c r="DJ872" i="54"/>
  <c r="CK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DG1132" i="54"/>
  <c r="DG923" i="54"/>
  <c r="DG1131" i="54"/>
  <c r="EE80" i="54"/>
  <c r="EG80" i="54"/>
  <c r="EF80" i="54"/>
  <c r="EG360" i="54"/>
  <c r="EE360" i="54"/>
  <c r="DI38" i="66"/>
  <c r="DI40" i="66"/>
  <c r="DI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HW114" i="54" s="1"/>
  <c r="DL975" i="54"/>
  <c r="DL1130" i="54"/>
  <c r="DM1130" i="54" s="1"/>
  <c r="DL196" i="54"/>
  <c r="DL767" i="54"/>
  <c r="HW111" i="54" s="1"/>
  <c r="DL1131" i="54"/>
  <c r="DL664" i="54"/>
  <c r="DL766" i="54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L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HV114" i="54" s="1"/>
  <c r="DI767" i="54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I664" i="54"/>
  <c r="DI195" i="54"/>
  <c r="DI662" i="54"/>
  <c r="DJ662" i="54" s="1"/>
  <c r="BZ20" i="66"/>
  <c r="CJ11" i="66" s="1"/>
  <c r="BU20" i="66"/>
  <c r="BA21" i="66" s="1"/>
  <c r="DJ511" i="54"/>
  <c r="ER400" i="54"/>
  <c r="EM321" i="54"/>
  <c r="EE440" i="54"/>
  <c r="CS11" i="66"/>
  <c r="CO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Y82" i="66"/>
  <c r="BV20" i="66"/>
  <c r="BB21" i="66" s="1"/>
  <c r="CA20" i="66"/>
  <c r="CK11" i="66" s="1"/>
  <c r="BT82" i="66"/>
  <c r="AZ83" i="66" s="1"/>
  <c r="BK21" i="66"/>
  <c r="BQ21" i="66"/>
  <c r="CU11" i="66" l="1"/>
  <c r="CQ11" i="66"/>
  <c r="CU19" i="66"/>
  <c r="CQ19" i="66"/>
  <c r="DF1499" i="54"/>
  <c r="DG1499" i="54" s="1"/>
  <c r="DF1497" i="54"/>
  <c r="DG1497" i="54" s="1"/>
  <c r="DF1498" i="54"/>
  <c r="DG1498" i="54" s="1"/>
  <c r="FH580" i="54"/>
  <c r="FK580" i="54"/>
  <c r="FJ580" i="54"/>
  <c r="FI580" i="54"/>
  <c r="EA580" i="54"/>
  <c r="FL580" i="54"/>
  <c r="EK580" i="54"/>
  <c r="EJ580" i="54"/>
  <c r="EL580" i="54"/>
  <c r="EI580" i="54"/>
  <c r="EM580" i="54"/>
  <c r="EF581" i="54"/>
  <c r="CH460" i="54"/>
  <c r="CH580" i="54"/>
  <c r="CJ460" i="54"/>
  <c r="CJ580" i="54"/>
  <c r="EP580" i="54"/>
  <c r="EO580" i="54"/>
  <c r="EN580" i="54"/>
  <c r="EQ580" i="54"/>
  <c r="ER580" i="54"/>
  <c r="AW335" i="54"/>
  <c r="AX335" i="54"/>
  <c r="DS57" i="66"/>
  <c r="AT336" i="54"/>
  <c r="AV336" i="54" s="1"/>
  <c r="AT416" i="54"/>
  <c r="AW416" i="54" s="1"/>
  <c r="AT456" i="54"/>
  <c r="AX456" i="54" s="1"/>
  <c r="DG58" i="66"/>
  <c r="AT337" i="54" s="1"/>
  <c r="AX337" i="54" s="1"/>
  <c r="AU335" i="54"/>
  <c r="AU455" i="54"/>
  <c r="AP538" i="54"/>
  <c r="AX455" i="54"/>
  <c r="AW455" i="54"/>
  <c r="DF80" i="66"/>
  <c r="AO539" i="54" s="1"/>
  <c r="AP539" i="54" s="1"/>
  <c r="DT78" i="66"/>
  <c r="DT58" i="66"/>
  <c r="EF642" i="54"/>
  <c r="BB397" i="54"/>
  <c r="EE642" i="54"/>
  <c r="DR79" i="66"/>
  <c r="IS100" i="54"/>
  <c r="AT536" i="54"/>
  <c r="DG78" i="66"/>
  <c r="AT537" i="54" s="1"/>
  <c r="DS77" i="66"/>
  <c r="AU535" i="54"/>
  <c r="AX535" i="54"/>
  <c r="AW535" i="54"/>
  <c r="AV535" i="54"/>
  <c r="ED642" i="54"/>
  <c r="DG1658" i="54"/>
  <c r="EF622" i="54"/>
  <c r="DG1657" i="54"/>
  <c r="EG642" i="54"/>
  <c r="AS538" i="54"/>
  <c r="AR538" i="54"/>
  <c r="DG1605" i="54"/>
  <c r="DG1606" i="54"/>
  <c r="DI1657" i="54"/>
  <c r="DI1656" i="54"/>
  <c r="DJ1656" i="54" s="1"/>
  <c r="DI1658" i="54"/>
  <c r="FM641" i="54"/>
  <c r="FN641" i="54"/>
  <c r="FO641" i="54"/>
  <c r="FQ641" i="54"/>
  <c r="EB641" i="54"/>
  <c r="EJ642" i="54" s="1"/>
  <c r="FP641" i="54"/>
  <c r="FR641" i="54"/>
  <c r="FS641" i="54"/>
  <c r="FU641" i="54"/>
  <c r="EC641" i="54"/>
  <c r="EO642" i="54" s="1"/>
  <c r="FV641" i="54"/>
  <c r="FT641" i="54"/>
  <c r="ED622" i="54"/>
  <c r="CF522" i="54"/>
  <c r="CF642" i="54"/>
  <c r="DL1657" i="54"/>
  <c r="DL1656" i="54"/>
  <c r="DM1656" i="54" s="1"/>
  <c r="DL1658" i="54"/>
  <c r="DL1604" i="54"/>
  <c r="DM1604" i="54" s="1"/>
  <c r="DL1606" i="54"/>
  <c r="DL1605" i="54"/>
  <c r="CF562" i="54"/>
  <c r="CF622" i="54"/>
  <c r="FQ621" i="54"/>
  <c r="FM621" i="54"/>
  <c r="FN621" i="54"/>
  <c r="FP621" i="54"/>
  <c r="FO621" i="54"/>
  <c r="EB621" i="54"/>
  <c r="EJ622" i="54" s="1"/>
  <c r="FR621" i="54"/>
  <c r="FT621" i="54"/>
  <c r="FV621" i="54"/>
  <c r="FS621" i="54"/>
  <c r="EC621" i="54"/>
  <c r="EQ622" i="54" s="1"/>
  <c r="FU621" i="54"/>
  <c r="EH622" i="54"/>
  <c r="EE622" i="54"/>
  <c r="DI1604" i="54"/>
  <c r="DJ1604" i="54" s="1"/>
  <c r="DI1606" i="54"/>
  <c r="DI1605" i="54"/>
  <c r="IN100" i="54"/>
  <c r="AU397" i="54"/>
  <c r="IL100" i="54"/>
  <c r="IT100" i="54"/>
  <c r="IM100" i="54"/>
  <c r="DH79" i="66"/>
  <c r="AY538" i="54" s="1"/>
  <c r="BC538" i="54" s="1"/>
  <c r="AP357" i="54"/>
  <c r="BA437" i="54"/>
  <c r="IK102" i="54"/>
  <c r="IN102" i="54" s="1"/>
  <c r="AZ437" i="54"/>
  <c r="BC437" i="54"/>
  <c r="AV397" i="54"/>
  <c r="AW397" i="54"/>
  <c r="AS357" i="54"/>
  <c r="AR357" i="54"/>
  <c r="BB497" i="54"/>
  <c r="AZ497" i="54"/>
  <c r="BA497" i="54"/>
  <c r="BC497" i="54"/>
  <c r="BQ519" i="54"/>
  <c r="BR519" i="54"/>
  <c r="BO519" i="54"/>
  <c r="BP519" i="54"/>
  <c r="BQ458" i="54"/>
  <c r="BR458" i="54"/>
  <c r="BP458" i="54"/>
  <c r="BO458" i="54"/>
  <c r="FK600" i="54"/>
  <c r="FH600" i="54"/>
  <c r="FJ600" i="54"/>
  <c r="FI600" i="54"/>
  <c r="FL600" i="54"/>
  <c r="EA600" i="54"/>
  <c r="DF1549" i="54"/>
  <c r="DG1549" i="54" s="1"/>
  <c r="DF1550" i="54"/>
  <c r="DF1551" i="54"/>
  <c r="BR538" i="54"/>
  <c r="BQ538" i="54"/>
  <c r="BO538" i="54"/>
  <c r="BP538" i="54"/>
  <c r="BQ459" i="54"/>
  <c r="BO459" i="54"/>
  <c r="BR459" i="54"/>
  <c r="BP459" i="54"/>
  <c r="BR518" i="54"/>
  <c r="BO518" i="54"/>
  <c r="BP518" i="54"/>
  <c r="BQ518" i="54"/>
  <c r="BF497" i="54"/>
  <c r="BG497" i="54"/>
  <c r="BH497" i="54"/>
  <c r="BE497" i="54"/>
  <c r="BQ537" i="54"/>
  <c r="BR537" i="54"/>
  <c r="BP537" i="54"/>
  <c r="BO537" i="54"/>
  <c r="BO539" i="54"/>
  <c r="BR539" i="54"/>
  <c r="BP539" i="54"/>
  <c r="BQ539" i="54"/>
  <c r="AX497" i="54"/>
  <c r="AW497" i="54"/>
  <c r="AV497" i="54"/>
  <c r="AU497" i="54"/>
  <c r="BP457" i="54"/>
  <c r="BQ457" i="54"/>
  <c r="BO457" i="54"/>
  <c r="BR457" i="54"/>
  <c r="AV516" i="54"/>
  <c r="AW516" i="54"/>
  <c r="AX516" i="54"/>
  <c r="AU516" i="54"/>
  <c r="BR517" i="54"/>
  <c r="BO517" i="54"/>
  <c r="BQ517" i="54"/>
  <c r="BP517" i="54"/>
  <c r="AO418" i="54"/>
  <c r="AR418" i="54" s="1"/>
  <c r="AO518" i="54"/>
  <c r="AO458" i="54"/>
  <c r="IK105" i="54"/>
  <c r="IL105" i="54" s="1"/>
  <c r="BB476" i="54"/>
  <c r="BA476" i="54"/>
  <c r="BC476" i="54"/>
  <c r="AZ476" i="54"/>
  <c r="DM1183" i="54"/>
  <c r="AY377" i="54"/>
  <c r="AY477" i="54"/>
  <c r="HI113" i="54"/>
  <c r="HO113" i="54" s="1"/>
  <c r="HI112" i="54"/>
  <c r="HO112" i="54" s="1"/>
  <c r="HI111" i="54"/>
  <c r="HO111" i="54" s="1"/>
  <c r="HI109" i="54"/>
  <c r="HO109" i="54" s="1"/>
  <c r="HI107" i="54"/>
  <c r="HO107" i="54" s="1"/>
  <c r="IF107" i="54" s="1"/>
  <c r="IK107" i="54" s="1"/>
  <c r="HI114" i="54"/>
  <c r="HI110" i="54"/>
  <c r="HO110" i="54" s="1"/>
  <c r="HI108" i="54"/>
  <c r="HO108" i="54" s="1"/>
  <c r="IF108" i="54" s="1"/>
  <c r="AR497" i="54"/>
  <c r="AS497" i="54"/>
  <c r="AP497" i="54"/>
  <c r="AQ497" i="54"/>
  <c r="AU476" i="54"/>
  <c r="AW476" i="54"/>
  <c r="AX476" i="54"/>
  <c r="AV476" i="54"/>
  <c r="AT377" i="54"/>
  <c r="AT477" i="54"/>
  <c r="IK103" i="54"/>
  <c r="IR103" i="54" s="1"/>
  <c r="IK101" i="54"/>
  <c r="IL101" i="54" s="1"/>
  <c r="IG108" i="54"/>
  <c r="DJ1184" i="54"/>
  <c r="DM766" i="54"/>
  <c r="HW109" i="54"/>
  <c r="HZ121" i="54"/>
  <c r="IA121" i="54" s="1"/>
  <c r="HQ109" i="54"/>
  <c r="IE109" i="54" s="1"/>
  <c r="HQ110" i="54"/>
  <c r="IE110" i="54" s="1"/>
  <c r="HH116" i="54"/>
  <c r="HN116" i="54" s="1"/>
  <c r="HH118" i="54"/>
  <c r="HN118" i="54" s="1"/>
  <c r="HH115" i="54"/>
  <c r="HN115" i="54" s="1"/>
  <c r="HH119" i="54"/>
  <c r="HN119" i="54" s="1"/>
  <c r="HH120" i="54"/>
  <c r="HN120" i="54" s="1"/>
  <c r="HH121" i="54"/>
  <c r="HH117" i="54"/>
  <c r="HN117" i="54" s="1"/>
  <c r="DJ766" i="54"/>
  <c r="HV109" i="54"/>
  <c r="HQ111" i="54"/>
  <c r="IE111" i="54" s="1"/>
  <c r="HQ113" i="54"/>
  <c r="IE113" i="54" s="1"/>
  <c r="HQ112" i="54"/>
  <c r="IE112" i="54" s="1"/>
  <c r="DJ1183" i="54"/>
  <c r="HQ115" i="54"/>
  <c r="HQ114" i="54"/>
  <c r="IE114" i="54" s="1"/>
  <c r="HV111" i="54"/>
  <c r="II111" i="54" s="1"/>
  <c r="IK104" i="54"/>
  <c r="IL104" i="54" s="1"/>
  <c r="DM1184" i="54"/>
  <c r="DG1450" i="54"/>
  <c r="DG1449" i="54"/>
  <c r="DG1346" i="54"/>
  <c r="EK460" i="54"/>
  <c r="EE562" i="54"/>
  <c r="EM460" i="54"/>
  <c r="DG1345" i="54"/>
  <c r="EN460" i="54"/>
  <c r="EE522" i="54"/>
  <c r="ER460" i="54"/>
  <c r="ED562" i="54"/>
  <c r="EP460" i="54"/>
  <c r="EG522" i="54"/>
  <c r="EL460" i="54"/>
  <c r="EG562" i="54"/>
  <c r="EQ460" i="54"/>
  <c r="EF522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EC400" i="54"/>
  <c r="EP401" i="54" s="1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F1395" i="54"/>
  <c r="DF1394" i="54"/>
  <c r="DL1449" i="54"/>
  <c r="DL1448" i="54"/>
  <c r="DM1448" i="54" s="1"/>
  <c r="DL1450" i="54"/>
  <c r="DI1450" i="54"/>
  <c r="DI1448" i="54"/>
  <c r="DJ1448" i="54" s="1"/>
  <c r="DI1449" i="54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P106" i="54"/>
  <c r="IP104" i="54"/>
  <c r="IP103" i="54"/>
  <c r="IP105" i="54"/>
  <c r="IP107" i="54"/>
  <c r="IP101" i="54"/>
  <c r="IP108" i="54"/>
  <c r="IP102" i="54"/>
  <c r="AQ437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H59" i="66"/>
  <c r="AY338" i="54" s="1"/>
  <c r="AU376" i="54"/>
  <c r="AX376" i="54"/>
  <c r="DR59" i="66"/>
  <c r="AX357" i="54"/>
  <c r="AW357" i="54"/>
  <c r="AX437" i="54"/>
  <c r="AW437" i="54"/>
  <c r="AV357" i="54"/>
  <c r="AU437" i="54"/>
  <c r="DF60" i="66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BR338" i="54"/>
  <c r="BQ338" i="54"/>
  <c r="BO338" i="54"/>
  <c r="BP338" i="54"/>
  <c r="DO38" i="66"/>
  <c r="DR38" i="66" s="1"/>
  <c r="BD397" i="54"/>
  <c r="BD357" i="54"/>
  <c r="BD437" i="54"/>
  <c r="BP419" i="54"/>
  <c r="BO419" i="54"/>
  <c r="BQ419" i="54"/>
  <c r="BR419" i="54"/>
  <c r="AV337" i="54"/>
  <c r="BP417" i="54"/>
  <c r="BQ417" i="54"/>
  <c r="BR417" i="54"/>
  <c r="BO417" i="54"/>
  <c r="AR338" i="54"/>
  <c r="AP338" i="54"/>
  <c r="AQ338" i="54"/>
  <c r="AS338" i="54"/>
  <c r="BT41" i="66"/>
  <c r="AZ42" i="66" s="1"/>
  <c r="BY41" i="66"/>
  <c r="DF95" i="54"/>
  <c r="DF251" i="54"/>
  <c r="DF719" i="54"/>
  <c r="BR41" i="66"/>
  <c r="DF1031" i="54"/>
  <c r="DF873" i="54"/>
  <c r="DG873" i="54" s="1"/>
  <c r="AP19" i="67"/>
  <c r="AT19" i="67" s="1"/>
  <c r="DF1082" i="54"/>
  <c r="DF93" i="54"/>
  <c r="DG93" i="54" s="1"/>
  <c r="BL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CA62" i="66"/>
  <c r="DL358" i="54"/>
  <c r="DL356" i="54"/>
  <c r="DL410" i="54"/>
  <c r="DL408" i="54"/>
  <c r="DL409" i="54"/>
  <c r="BV62" i="66"/>
  <c r="BB63" i="66" s="1"/>
  <c r="CF62" i="54"/>
  <c r="CF322" i="54"/>
  <c r="CF142" i="54"/>
  <c r="BK63" i="66"/>
  <c r="BQ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G356" i="54"/>
  <c r="DG358" i="54"/>
  <c r="DG357" i="54"/>
  <c r="DG408" i="54"/>
  <c r="DG410" i="54"/>
  <c r="DG409" i="54"/>
  <c r="DF81" i="66"/>
  <c r="AO540" i="54" s="1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Q118" i="54"/>
  <c r="IQ114" i="54"/>
  <c r="IQ120" i="54"/>
  <c r="IQ119" i="54"/>
  <c r="IQ115" i="54"/>
  <c r="IQ117" i="54"/>
  <c r="IQ116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Y129" i="54" s="1"/>
  <c r="HO106" i="54"/>
  <c r="IF106" i="54" s="1"/>
  <c r="IK106" i="54" s="1"/>
  <c r="HP114" i="54"/>
  <c r="DL39" i="66"/>
  <c r="BD498" i="54" s="1"/>
  <c r="DN40" i="66"/>
  <c r="BN499" i="54" s="1"/>
  <c r="DL40" i="66"/>
  <c r="BD499" i="54" s="1"/>
  <c r="EQ80" i="54"/>
  <c r="DJ975" i="54"/>
  <c r="EN80" i="54"/>
  <c r="CP19" i="66"/>
  <c r="DM40" i="66" s="1"/>
  <c r="BI499" i="54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DJ195" i="54"/>
  <c r="DJ976" i="54"/>
  <c r="DJ924" i="54"/>
  <c r="DG147" i="54"/>
  <c r="DJ664" i="54"/>
  <c r="DJ1132" i="54"/>
  <c r="DJ923" i="54"/>
  <c r="DG513" i="54"/>
  <c r="DL18" i="66"/>
  <c r="BD477" i="54" s="1"/>
  <c r="DL20" i="66"/>
  <c r="BD479" i="54" s="1"/>
  <c r="DL19" i="66"/>
  <c r="BD478" i="54" s="1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Z82" i="66"/>
  <c r="DM924" i="54"/>
  <c r="DM664" i="54"/>
  <c r="EO360" i="54"/>
  <c r="EP360" i="54"/>
  <c r="EN360" i="54"/>
  <c r="ER360" i="54"/>
  <c r="EH22" i="54"/>
  <c r="EN300" i="54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U82" i="66"/>
  <c r="BA83" i="66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K39" i="66"/>
  <c r="DK38" i="66"/>
  <c r="DK40" i="66"/>
  <c r="ER80" i="54"/>
  <c r="EP260" i="54"/>
  <c r="EK380" i="54"/>
  <c r="DJ38" i="66"/>
  <c r="DJ40" i="66"/>
  <c r="DJ39" i="66"/>
  <c r="BR21" i="66"/>
  <c r="BK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I18" i="66"/>
  <c r="DI20" i="66"/>
  <c r="DI19" i="66"/>
  <c r="BL21" i="66"/>
  <c r="DF1134" i="54"/>
  <c r="DF771" i="54"/>
  <c r="HU121" i="54" s="1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F198" i="54"/>
  <c r="DF925" i="54"/>
  <c r="DG925" i="54" s="1"/>
  <c r="DF927" i="54"/>
  <c r="CT11" i="66"/>
  <c r="CP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Z60" i="66"/>
  <c r="EM140" i="54"/>
  <c r="EJ160" i="54"/>
  <c r="EJ180" i="54"/>
  <c r="EK340" i="54"/>
  <c r="EK280" i="54"/>
  <c r="BU60" i="66"/>
  <c r="BV82" i="66"/>
  <c r="BB83" i="66" s="1"/>
  <c r="CA82" i="66"/>
  <c r="BY21" i="66"/>
  <c r="BQ83" i="66"/>
  <c r="BT21" i="66"/>
  <c r="AZ22" i="66" s="1"/>
  <c r="DI1499" i="54" l="1"/>
  <c r="DJ1499" i="54" s="1"/>
  <c r="DI1498" i="54"/>
  <c r="DJ1498" i="54" s="1"/>
  <c r="DI1497" i="54"/>
  <c r="DJ1497" i="54" s="1"/>
  <c r="EE581" i="54"/>
  <c r="ED581" i="54"/>
  <c r="EG581" i="54"/>
  <c r="EH581" i="54"/>
  <c r="FM580" i="54"/>
  <c r="EB580" i="54"/>
  <c r="EL581" i="54" s="1"/>
  <c r="FP580" i="54"/>
  <c r="FQ580" i="54"/>
  <c r="FO580" i="54"/>
  <c r="FN580" i="54"/>
  <c r="CF461" i="54"/>
  <c r="CF581" i="54"/>
  <c r="EM581" i="54"/>
  <c r="EI581" i="54"/>
  <c r="AX416" i="54"/>
  <c r="FS580" i="54"/>
  <c r="FU580" i="54"/>
  <c r="FV580" i="54"/>
  <c r="FT580" i="54"/>
  <c r="EC580" i="54"/>
  <c r="ER581" i="54" s="1"/>
  <c r="FR580" i="54"/>
  <c r="DL1497" i="54"/>
  <c r="DM1497" i="54" s="1"/>
  <c r="DL1499" i="54"/>
  <c r="DM1499" i="54" s="1"/>
  <c r="DL1498" i="54"/>
  <c r="DM1498" i="54" s="1"/>
  <c r="AT457" i="54"/>
  <c r="AU457" i="54" s="1"/>
  <c r="AV416" i="54"/>
  <c r="AP418" i="54"/>
  <c r="AV456" i="54"/>
  <c r="AU336" i="54"/>
  <c r="AU337" i="54"/>
  <c r="AW337" i="54"/>
  <c r="AT517" i="54"/>
  <c r="AU517" i="54" s="1"/>
  <c r="AT417" i="54"/>
  <c r="AV417" i="54" s="1"/>
  <c r="AU416" i="54"/>
  <c r="BB538" i="54"/>
  <c r="AX336" i="54"/>
  <c r="AW336" i="54"/>
  <c r="AU456" i="54"/>
  <c r="AW456" i="54"/>
  <c r="DR80" i="66"/>
  <c r="AR539" i="54"/>
  <c r="IS102" i="54"/>
  <c r="AS539" i="54"/>
  <c r="AQ539" i="54"/>
  <c r="EC100" i="54"/>
  <c r="EQ101" i="54" s="1"/>
  <c r="EC40" i="54"/>
  <c r="EN41" i="54" s="1"/>
  <c r="AV537" i="54"/>
  <c r="AW537" i="54"/>
  <c r="AU537" i="54"/>
  <c r="AX537" i="54"/>
  <c r="AU536" i="54"/>
  <c r="AV536" i="54"/>
  <c r="AX536" i="54"/>
  <c r="AW536" i="54"/>
  <c r="DM1657" i="54"/>
  <c r="EL622" i="54"/>
  <c r="DH80" i="66"/>
  <c r="AY539" i="54" s="1"/>
  <c r="BA539" i="54" s="1"/>
  <c r="IN105" i="54"/>
  <c r="DJ1657" i="54"/>
  <c r="DJ1658" i="54"/>
  <c r="EL642" i="54"/>
  <c r="DM1605" i="54"/>
  <c r="DM1658" i="54"/>
  <c r="DM1606" i="54"/>
  <c r="DJ1605" i="54"/>
  <c r="DJ1606" i="54"/>
  <c r="FI642" i="54"/>
  <c r="FJ642" i="54"/>
  <c r="FL642" i="54"/>
  <c r="FH642" i="54"/>
  <c r="FK642" i="54"/>
  <c r="EA642" i="54"/>
  <c r="CJ522" i="54"/>
  <c r="CJ642" i="54"/>
  <c r="CH522" i="54"/>
  <c r="CH642" i="54"/>
  <c r="EN642" i="54"/>
  <c r="EP642" i="54"/>
  <c r="ER642" i="54"/>
  <c r="EK642" i="54"/>
  <c r="EI642" i="54"/>
  <c r="DF1661" i="54"/>
  <c r="DF1659" i="54"/>
  <c r="DG1659" i="54" s="1"/>
  <c r="DF1660" i="54"/>
  <c r="EM642" i="54"/>
  <c r="EQ642" i="54"/>
  <c r="FL622" i="54"/>
  <c r="FH622" i="54"/>
  <c r="FK622" i="54"/>
  <c r="FI622" i="54"/>
  <c r="EA622" i="54"/>
  <c r="EE623" i="54" s="1"/>
  <c r="FJ622" i="54"/>
  <c r="EO622" i="54"/>
  <c r="ER622" i="54"/>
  <c r="EN622" i="54"/>
  <c r="DF1608" i="54"/>
  <c r="DF1607" i="54"/>
  <c r="DG1607" i="54" s="1"/>
  <c r="DF1609" i="54"/>
  <c r="CJ562" i="54"/>
  <c r="CJ622" i="54"/>
  <c r="EK622" i="54"/>
  <c r="EP622" i="54"/>
  <c r="EH623" i="54"/>
  <c r="EM622" i="54"/>
  <c r="EI622" i="54"/>
  <c r="IT105" i="54"/>
  <c r="DT79" i="66"/>
  <c r="IR102" i="54"/>
  <c r="IT103" i="54"/>
  <c r="IL103" i="54"/>
  <c r="IM102" i="54"/>
  <c r="AZ538" i="54"/>
  <c r="BA538" i="54"/>
  <c r="IL102" i="54"/>
  <c r="IT102" i="54"/>
  <c r="EC180" i="54"/>
  <c r="ER181" i="54" s="1"/>
  <c r="EC280" i="54"/>
  <c r="ER281" i="54" s="1"/>
  <c r="DJ1449" i="54"/>
  <c r="IM105" i="54"/>
  <c r="EC420" i="54"/>
  <c r="EO421" i="54" s="1"/>
  <c r="IR105" i="54"/>
  <c r="IS105" i="54"/>
  <c r="IK108" i="54"/>
  <c r="IT108" i="54" s="1"/>
  <c r="EC340" i="54"/>
  <c r="EO341" i="54" s="1"/>
  <c r="AU417" i="54"/>
  <c r="IM103" i="54"/>
  <c r="AQ418" i="54"/>
  <c r="AS418" i="54"/>
  <c r="DG1239" i="54"/>
  <c r="DG1551" i="54"/>
  <c r="DG1550" i="54"/>
  <c r="IN103" i="54"/>
  <c r="IS103" i="54"/>
  <c r="DG1394" i="54"/>
  <c r="DG1395" i="54"/>
  <c r="BE477" i="54"/>
  <c r="BH477" i="54"/>
  <c r="BF477" i="54"/>
  <c r="BG477" i="54"/>
  <c r="BE498" i="54"/>
  <c r="BG498" i="54"/>
  <c r="BH498" i="54"/>
  <c r="BF498" i="54"/>
  <c r="DL1549" i="54"/>
  <c r="DM1549" i="54" s="1"/>
  <c r="DL1551" i="54"/>
  <c r="DL1550" i="54"/>
  <c r="FN600" i="54"/>
  <c r="FP600" i="54"/>
  <c r="FQ600" i="54"/>
  <c r="FM600" i="54"/>
  <c r="FO600" i="54"/>
  <c r="EB600" i="54"/>
  <c r="AV457" i="54"/>
  <c r="EH601" i="54"/>
  <c r="EF601" i="54"/>
  <c r="EE601" i="54"/>
  <c r="ED601" i="54"/>
  <c r="EG601" i="54"/>
  <c r="DI1549" i="54"/>
  <c r="DJ1549" i="54" s="1"/>
  <c r="DI1551" i="54"/>
  <c r="DI1550" i="54"/>
  <c r="CF281" i="54"/>
  <c r="CF601" i="54"/>
  <c r="AY418" i="54"/>
  <c r="AZ418" i="54" s="1"/>
  <c r="AY518" i="54"/>
  <c r="AY458" i="54"/>
  <c r="FV600" i="54"/>
  <c r="FS600" i="54"/>
  <c r="FR600" i="54"/>
  <c r="FU600" i="54"/>
  <c r="FT600" i="54"/>
  <c r="EC600" i="54"/>
  <c r="BH478" i="54"/>
  <c r="BE478" i="54"/>
  <c r="BG478" i="54"/>
  <c r="BF478" i="54"/>
  <c r="BK499" i="54"/>
  <c r="BJ499" i="54"/>
  <c r="BL499" i="54"/>
  <c r="BM499" i="54"/>
  <c r="BE499" i="54"/>
  <c r="BH499" i="54"/>
  <c r="BG499" i="54"/>
  <c r="BF499" i="54"/>
  <c r="BF479" i="54"/>
  <c r="BH479" i="54"/>
  <c r="BE479" i="54"/>
  <c r="BG479" i="54"/>
  <c r="BO499" i="54"/>
  <c r="BP499" i="54"/>
  <c r="BQ499" i="54"/>
  <c r="BR499" i="54"/>
  <c r="AR540" i="54"/>
  <c r="AS540" i="54"/>
  <c r="AP540" i="54"/>
  <c r="AQ540" i="54"/>
  <c r="AP458" i="54"/>
  <c r="AS458" i="54"/>
  <c r="AQ458" i="54"/>
  <c r="AR458" i="54"/>
  <c r="AR518" i="54"/>
  <c r="AP518" i="54"/>
  <c r="AQ518" i="54"/>
  <c r="AS518" i="54"/>
  <c r="AO339" i="54"/>
  <c r="AP339" i="54" s="1"/>
  <c r="AO519" i="54"/>
  <c r="AO459" i="54"/>
  <c r="IM104" i="54"/>
  <c r="IS101" i="54"/>
  <c r="IM101" i="54"/>
  <c r="IR101" i="54"/>
  <c r="IN101" i="54"/>
  <c r="HU119" i="54"/>
  <c r="AU377" i="54"/>
  <c r="AW377" i="54"/>
  <c r="AX377" i="54"/>
  <c r="AV377" i="54"/>
  <c r="BC477" i="54"/>
  <c r="BB477" i="54"/>
  <c r="AZ477" i="54"/>
  <c r="BA477" i="54"/>
  <c r="AZ377" i="54"/>
  <c r="BA377" i="54"/>
  <c r="BB377" i="54"/>
  <c r="BC377" i="54"/>
  <c r="AW477" i="54"/>
  <c r="AX477" i="54"/>
  <c r="AU477" i="54"/>
  <c r="AV477" i="54"/>
  <c r="IS104" i="54"/>
  <c r="IT104" i="54"/>
  <c r="IN104" i="54"/>
  <c r="IR104" i="54"/>
  <c r="EG461" i="54"/>
  <c r="EH461" i="54"/>
  <c r="ED461" i="54"/>
  <c r="HS115" i="54"/>
  <c r="HS114" i="54"/>
  <c r="IG114" i="54" s="1"/>
  <c r="HR115" i="54"/>
  <c r="HR114" i="54"/>
  <c r="HJ120" i="54"/>
  <c r="HP120" i="54" s="1"/>
  <c r="HJ119" i="54"/>
  <c r="HP119" i="54" s="1"/>
  <c r="HJ116" i="54"/>
  <c r="HP116" i="54" s="1"/>
  <c r="HJ117" i="54"/>
  <c r="HP117" i="54" s="1"/>
  <c r="HJ118" i="54"/>
  <c r="HP118" i="54" s="1"/>
  <c r="HJ115" i="54"/>
  <c r="HP115" i="54" s="1"/>
  <c r="HJ121" i="54"/>
  <c r="DG769" i="54"/>
  <c r="HU116" i="54"/>
  <c r="DG1186" i="54"/>
  <c r="EF461" i="54"/>
  <c r="HR113" i="54"/>
  <c r="IF113" i="54" s="1"/>
  <c r="HR111" i="54"/>
  <c r="IF111" i="54" s="1"/>
  <c r="HR112" i="54"/>
  <c r="IF112" i="54" s="1"/>
  <c r="HR109" i="54"/>
  <c r="HR110" i="54"/>
  <c r="HS111" i="54"/>
  <c r="IG111" i="54" s="1"/>
  <c r="HS113" i="54"/>
  <c r="IG113" i="54" s="1"/>
  <c r="HS112" i="54"/>
  <c r="IG112" i="54" s="1"/>
  <c r="HS109" i="54"/>
  <c r="IG109" i="54" s="1"/>
  <c r="HS110" i="54"/>
  <c r="IG110" i="54" s="1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DL621" i="54"/>
  <c r="DF1347" i="54"/>
  <c r="DG1347" i="54" s="1"/>
  <c r="DF1349" i="54"/>
  <c r="DF1348" i="54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F1453" i="54"/>
  <c r="DI457" i="54"/>
  <c r="DJ457" i="54" s="1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I1239" i="54"/>
  <c r="DL457" i="54"/>
  <c r="DM457" i="54" s="1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J27" i="66"/>
  <c r="CP27" i="66" s="1"/>
  <c r="DH60" i="66"/>
  <c r="IF109" i="54"/>
  <c r="IF110" i="54"/>
  <c r="EG301" i="54"/>
  <c r="II109" i="54"/>
  <c r="IE115" i="54"/>
  <c r="DI250" i="54"/>
  <c r="DI875" i="54"/>
  <c r="DL1030" i="54"/>
  <c r="DL1031" i="54"/>
  <c r="DL1083" i="54"/>
  <c r="BZ41" i="66"/>
  <c r="DL94" i="54"/>
  <c r="CA41" i="66"/>
  <c r="DM146" i="54"/>
  <c r="BV41" i="66"/>
  <c r="BB42" i="66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EB340" i="54"/>
  <c r="EB40" i="54"/>
  <c r="EJ41" i="54" s="1"/>
  <c r="DL873" i="54"/>
  <c r="DM873" i="54" s="1"/>
  <c r="EB420" i="54"/>
  <c r="EL421" i="54" s="1"/>
  <c r="BQ42" i="66"/>
  <c r="Q20" i="67"/>
  <c r="DT59" i="66"/>
  <c r="AO20" i="67"/>
  <c r="DF39" i="66"/>
  <c r="AO419" i="54"/>
  <c r="AQ419" i="54" s="1"/>
  <c r="DF61" i="66"/>
  <c r="DR60" i="66"/>
  <c r="CF421" i="54"/>
  <c r="CF541" i="54"/>
  <c r="CF481" i="54"/>
  <c r="CF501" i="54"/>
  <c r="DO18" i="66"/>
  <c r="DR18" i="66" s="1"/>
  <c r="BD377" i="54"/>
  <c r="BF397" i="54"/>
  <c r="BE397" i="54"/>
  <c r="BH397" i="54"/>
  <c r="BG397" i="54"/>
  <c r="DP40" i="66"/>
  <c r="BI439" i="54"/>
  <c r="BI399" i="54"/>
  <c r="BI359" i="54"/>
  <c r="DO40" i="66"/>
  <c r="BD439" i="54"/>
  <c r="BD399" i="54"/>
  <c r="BD359" i="54"/>
  <c r="DO19" i="66"/>
  <c r="BD378" i="54"/>
  <c r="DQ40" i="66"/>
  <c r="BN439" i="54"/>
  <c r="BN399" i="54"/>
  <c r="BN359" i="54"/>
  <c r="BG437" i="54"/>
  <c r="BF437" i="54"/>
  <c r="BH437" i="54"/>
  <c r="BE437" i="54"/>
  <c r="BA418" i="54"/>
  <c r="DO20" i="66"/>
  <c r="BD379" i="54"/>
  <c r="DO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U41" i="66"/>
  <c r="BA42" i="66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K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EA142" i="54"/>
  <c r="EH143" i="54" s="1"/>
  <c r="BR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L63" i="66"/>
  <c r="DF359" i="54"/>
  <c r="DL568" i="54"/>
  <c r="DF411" i="54"/>
  <c r="DF361" i="54"/>
  <c r="BY63" i="66"/>
  <c r="D9" i="57" s="1"/>
  <c r="BT63" i="66"/>
  <c r="AZ64" i="66" s="1"/>
  <c r="CJ322" i="54"/>
  <c r="CJ142" i="54"/>
  <c r="CJ162" i="54"/>
  <c r="CJ62" i="54"/>
  <c r="DM356" i="54"/>
  <c r="DM357" i="54"/>
  <c r="DM358" i="54"/>
  <c r="AN20" i="67"/>
  <c r="Y20" i="67"/>
  <c r="EP162" i="54"/>
  <c r="EO162" i="54"/>
  <c r="EN162" i="54"/>
  <c r="ER162" i="54"/>
  <c r="EQ162" i="54"/>
  <c r="IR106" i="54"/>
  <c r="IS106" i="54"/>
  <c r="IT106" i="54"/>
  <c r="IR107" i="54"/>
  <c r="IT107" i="54"/>
  <c r="IS107" i="54"/>
  <c r="DM38" i="66"/>
  <c r="BI497" i="54" s="1"/>
  <c r="ED421" i="54"/>
  <c r="DM39" i="66"/>
  <c r="BI498" i="54" s="1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6" i="54"/>
  <c r="IN106" i="54"/>
  <c r="IM106" i="54"/>
  <c r="DN38" i="66"/>
  <c r="BN497" i="54" s="1"/>
  <c r="DN39" i="66"/>
  <c r="BN498" i="54" s="1"/>
  <c r="EJ322" i="54"/>
  <c r="ED181" i="54"/>
  <c r="EG181" i="54"/>
  <c r="EF181" i="54"/>
  <c r="EH181" i="54"/>
  <c r="DJ825" i="54"/>
  <c r="EE81" i="54"/>
  <c r="BU21" i="66"/>
  <c r="BA22" i="66" s="1"/>
  <c r="EL242" i="54"/>
  <c r="EO202" i="54"/>
  <c r="EQ242" i="54"/>
  <c r="EP202" i="54"/>
  <c r="BY83" i="66"/>
  <c r="CI36" i="66" s="1"/>
  <c r="CO36" i="66" s="1"/>
  <c r="EI322" i="54"/>
  <c r="EP322" i="54"/>
  <c r="EJ242" i="54"/>
  <c r="DJ146" i="54"/>
  <c r="DJ45" i="54"/>
  <c r="ER401" i="54"/>
  <c r="ER61" i="54"/>
  <c r="DJ565" i="54"/>
  <c r="EH3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CA21" i="66"/>
  <c r="DL1134" i="54"/>
  <c r="DL771" i="54"/>
  <c r="HW121" i="54" s="1"/>
  <c r="DL199" i="54"/>
  <c r="DL925" i="54"/>
  <c r="DM925" i="54" s="1"/>
  <c r="DL770" i="54"/>
  <c r="HW119" i="54" s="1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L198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O322" i="54"/>
  <c r="ER202" i="54"/>
  <c r="EG361" i="54"/>
  <c r="EK202" i="54"/>
  <c r="EL202" i="54"/>
  <c r="EM202" i="54"/>
  <c r="DJ618" i="54"/>
  <c r="ER322" i="54"/>
  <c r="DM20" i="66"/>
  <c r="BI479" i="54" s="1"/>
  <c r="DM18" i="66"/>
  <c r="BI477" i="54" s="1"/>
  <c r="DM19" i="66"/>
  <c r="BI478" i="54" s="1"/>
  <c r="BK22" i="66"/>
  <c r="BR83" i="66"/>
  <c r="DJ18" i="66"/>
  <c r="DJ20" i="66"/>
  <c r="DJ19" i="66"/>
  <c r="DG978" i="54"/>
  <c r="DG771" i="54"/>
  <c r="EG261" i="54"/>
  <c r="EH261" i="54"/>
  <c r="EE261" i="54"/>
  <c r="EF261" i="54"/>
  <c r="DI1134" i="54"/>
  <c r="DI771" i="54"/>
  <c r="HV121" i="54" s="1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I198" i="54"/>
  <c r="BZ21" i="66"/>
  <c r="DK19" i="66"/>
  <c r="DK18" i="66"/>
  <c r="DK20" i="66"/>
  <c r="DM45" i="54"/>
  <c r="DM306" i="54"/>
  <c r="DM147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N19" i="66"/>
  <c r="BN478" i="54" s="1"/>
  <c r="DN18" i="66"/>
  <c r="BN477" i="54" s="1"/>
  <c r="DN20" i="66"/>
  <c r="BN479" i="54" s="1"/>
  <c r="ED301" i="54"/>
  <c r="ED381" i="54"/>
  <c r="DG770" i="54"/>
  <c r="DG667" i="54"/>
  <c r="DG1134" i="54"/>
  <c r="DM565" i="54"/>
  <c r="DM617" i="54"/>
  <c r="DM513" i="54"/>
  <c r="DM46" i="54"/>
  <c r="BL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HI121" i="54" s="1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BA61" i="66"/>
  <c r="CH620" i="54" s="1"/>
  <c r="BW60" i="66"/>
  <c r="EK180" i="54"/>
  <c r="BV21" i="66"/>
  <c r="BB22" i="66" s="1"/>
  <c r="BT83" i="66"/>
  <c r="AZ84" i="66" s="1"/>
  <c r="BQ22" i="66"/>
  <c r="EN581" i="54" l="1"/>
  <c r="EQ581" i="54"/>
  <c r="EP581" i="54"/>
  <c r="CH461" i="54"/>
  <c r="CH581" i="54"/>
  <c r="EK581" i="54"/>
  <c r="EJ581" i="54"/>
  <c r="DF1501" i="54"/>
  <c r="DF1500" i="54"/>
  <c r="DG1500" i="54" s="1"/>
  <c r="DF1502" i="54"/>
  <c r="EG582" i="54"/>
  <c r="FK581" i="54"/>
  <c r="FH581" i="54"/>
  <c r="FI581" i="54"/>
  <c r="FJ581" i="54"/>
  <c r="FL581" i="54"/>
  <c r="EA581" i="54"/>
  <c r="EF582" i="54" s="1"/>
  <c r="EE582" i="54"/>
  <c r="EO581" i="54"/>
  <c r="CJ461" i="54"/>
  <c r="CJ581" i="54"/>
  <c r="AX457" i="54"/>
  <c r="AX417" i="54"/>
  <c r="AW457" i="54"/>
  <c r="AX517" i="54"/>
  <c r="AV517" i="54"/>
  <c r="AW517" i="54"/>
  <c r="EQ41" i="54"/>
  <c r="AW417" i="54"/>
  <c r="EO101" i="54"/>
  <c r="EN101" i="54"/>
  <c r="EP101" i="54"/>
  <c r="ER101" i="54"/>
  <c r="EO41" i="54"/>
  <c r="DL309" i="54"/>
  <c r="DL48" i="54"/>
  <c r="ER41" i="54"/>
  <c r="EP41" i="54"/>
  <c r="EP421" i="54"/>
  <c r="EN181" i="54"/>
  <c r="DL308" i="54"/>
  <c r="DL47" i="54"/>
  <c r="DM47" i="54" s="1"/>
  <c r="ER341" i="54"/>
  <c r="DL307" i="54"/>
  <c r="DM307" i="54" s="1"/>
  <c r="DL49" i="54"/>
  <c r="EN421" i="54"/>
  <c r="ER421" i="54"/>
  <c r="DL620" i="54"/>
  <c r="DL619" i="54"/>
  <c r="DM619" i="54" s="1"/>
  <c r="DH81" i="66"/>
  <c r="AY540" i="54" s="1"/>
  <c r="BB540" i="54" s="1"/>
  <c r="AZ539" i="54"/>
  <c r="EP281" i="54"/>
  <c r="EN281" i="54"/>
  <c r="EO281" i="54"/>
  <c r="DT80" i="66"/>
  <c r="BC539" i="54"/>
  <c r="BB539" i="54"/>
  <c r="DL516" i="54"/>
  <c r="DL569" i="54"/>
  <c r="IM108" i="54"/>
  <c r="DG1660" i="54"/>
  <c r="DG1608" i="54"/>
  <c r="DG1609" i="54"/>
  <c r="DG1661" i="54"/>
  <c r="DL517" i="54"/>
  <c r="DL515" i="54"/>
  <c r="DM515" i="54" s="1"/>
  <c r="DL567" i="54"/>
  <c r="DM567" i="54" s="1"/>
  <c r="CF523" i="54"/>
  <c r="CF643" i="54"/>
  <c r="ED643" i="54"/>
  <c r="EH643" i="54"/>
  <c r="EE643" i="54"/>
  <c r="EF643" i="54"/>
  <c r="EG643" i="54"/>
  <c r="FM642" i="54"/>
  <c r="FN642" i="54"/>
  <c r="FP642" i="54"/>
  <c r="FQ642" i="54"/>
  <c r="FO642" i="54"/>
  <c r="EB642" i="54"/>
  <c r="EI643" i="54" s="1"/>
  <c r="DL1661" i="54"/>
  <c r="DL1660" i="54"/>
  <c r="DL1659" i="54"/>
  <c r="DM1659" i="54" s="1"/>
  <c r="EM643" i="54"/>
  <c r="DI1661" i="54"/>
  <c r="DI1660" i="54"/>
  <c r="DI1659" i="54"/>
  <c r="DJ1659" i="54" s="1"/>
  <c r="FT642" i="54"/>
  <c r="FV642" i="54"/>
  <c r="FR642" i="54"/>
  <c r="FU642" i="54"/>
  <c r="FS642" i="54"/>
  <c r="EC642" i="54"/>
  <c r="EO643" i="54" s="1"/>
  <c r="CF563" i="54"/>
  <c r="CF623" i="54"/>
  <c r="DL1608" i="54"/>
  <c r="DL1607" i="54"/>
  <c r="DM1607" i="54" s="1"/>
  <c r="DL1609" i="54"/>
  <c r="FS622" i="54"/>
  <c r="FU622" i="54"/>
  <c r="EC622" i="54"/>
  <c r="EQ623" i="54" s="1"/>
  <c r="FT622" i="54"/>
  <c r="FR622" i="54"/>
  <c r="FV622" i="54"/>
  <c r="ER623" i="54"/>
  <c r="EG623" i="54"/>
  <c r="EF623" i="54"/>
  <c r="ED623" i="54"/>
  <c r="DI1607" i="54"/>
  <c r="DJ1607" i="54" s="1"/>
  <c r="DI1608" i="54"/>
  <c r="DI1609" i="54"/>
  <c r="FM622" i="54"/>
  <c r="FP622" i="54"/>
  <c r="FQ622" i="54"/>
  <c r="FN622" i="54"/>
  <c r="FO622" i="54"/>
  <c r="EB622" i="54"/>
  <c r="EM623" i="54" s="1"/>
  <c r="EQ341" i="54"/>
  <c r="EP181" i="54"/>
  <c r="EQ421" i="54"/>
  <c r="EN341" i="54"/>
  <c r="EO181" i="54"/>
  <c r="EQ181" i="54"/>
  <c r="EP341" i="54"/>
  <c r="EQ281" i="54"/>
  <c r="BC418" i="54"/>
  <c r="IK109" i="54"/>
  <c r="IL109" i="54" s="1"/>
  <c r="BB418" i="54"/>
  <c r="IN108" i="54"/>
  <c r="IR108" i="54"/>
  <c r="IL108" i="54"/>
  <c r="IS108" i="54"/>
  <c r="IG115" i="54"/>
  <c r="IK110" i="54"/>
  <c r="IL110" i="54" s="1"/>
  <c r="CT27" i="66"/>
  <c r="DJ60" i="66" s="1"/>
  <c r="AQ339" i="54"/>
  <c r="DM1550" i="54"/>
  <c r="DG1348" i="54"/>
  <c r="DM1551" i="54"/>
  <c r="DJ1550" i="54"/>
  <c r="DG1452" i="54"/>
  <c r="BR498" i="54"/>
  <c r="BP498" i="54"/>
  <c r="BO498" i="54"/>
  <c r="BQ498" i="54"/>
  <c r="ER601" i="54"/>
  <c r="EQ601" i="54"/>
  <c r="EN601" i="54"/>
  <c r="EO601" i="54"/>
  <c r="EP601" i="54"/>
  <c r="DJ1551" i="54"/>
  <c r="BR478" i="54"/>
  <c r="BO478" i="54"/>
  <c r="BP478" i="54"/>
  <c r="BQ478" i="54"/>
  <c r="BM478" i="54"/>
  <c r="BK478" i="54"/>
  <c r="BL478" i="54"/>
  <c r="BJ478" i="54"/>
  <c r="BR497" i="54"/>
  <c r="BO497" i="54"/>
  <c r="BP497" i="54"/>
  <c r="BQ497" i="54"/>
  <c r="BM498" i="54"/>
  <c r="BK498" i="54"/>
  <c r="BJ498" i="54"/>
  <c r="BL498" i="54"/>
  <c r="DF1552" i="54"/>
  <c r="DG1552" i="54" s="1"/>
  <c r="DF1553" i="54"/>
  <c r="DF1554" i="54"/>
  <c r="BP477" i="54"/>
  <c r="BO477" i="54"/>
  <c r="BR477" i="54"/>
  <c r="BQ477" i="54"/>
  <c r="BK477" i="54"/>
  <c r="BL477" i="54"/>
  <c r="BJ477" i="54"/>
  <c r="BM477" i="54"/>
  <c r="CJ541" i="54"/>
  <c r="CJ601" i="54"/>
  <c r="AY419" i="54"/>
  <c r="AZ419" i="54" s="1"/>
  <c r="AY519" i="54"/>
  <c r="AY459" i="54"/>
  <c r="BA458" i="54"/>
  <c r="AZ458" i="54"/>
  <c r="BB458" i="54"/>
  <c r="BC458" i="54"/>
  <c r="BQ479" i="54"/>
  <c r="BO479" i="54"/>
  <c r="BR479" i="54"/>
  <c r="BP479" i="54"/>
  <c r="BJ479" i="54"/>
  <c r="BK479" i="54"/>
  <c r="BM479" i="54"/>
  <c r="BL479" i="54"/>
  <c r="BJ497" i="54"/>
  <c r="BL497" i="54"/>
  <c r="BM497" i="54"/>
  <c r="BK497" i="54"/>
  <c r="CH401" i="54"/>
  <c r="CH601" i="54"/>
  <c r="FI601" i="54"/>
  <c r="FK601" i="54"/>
  <c r="FL601" i="54"/>
  <c r="EA601" i="54"/>
  <c r="EG602" i="54" s="1"/>
  <c r="FJ601" i="54"/>
  <c r="FH601" i="54"/>
  <c r="BC518" i="54"/>
  <c r="BA518" i="54"/>
  <c r="BB518" i="54"/>
  <c r="AZ518" i="54"/>
  <c r="EK601" i="54"/>
  <c r="EM601" i="54"/>
  <c r="EI601" i="54"/>
  <c r="EJ601" i="54"/>
  <c r="EL601" i="54"/>
  <c r="AR339" i="54"/>
  <c r="AS339" i="54"/>
  <c r="AO340" i="54"/>
  <c r="AR340" i="54" s="1"/>
  <c r="AO520" i="54"/>
  <c r="AO460" i="54"/>
  <c r="AQ459" i="54"/>
  <c r="AP459" i="54"/>
  <c r="AR459" i="54"/>
  <c r="AS459" i="54"/>
  <c r="AQ519" i="54"/>
  <c r="AP519" i="54"/>
  <c r="AR519" i="54"/>
  <c r="AS519" i="54"/>
  <c r="HI117" i="54"/>
  <c r="HO117" i="54" s="1"/>
  <c r="HI119" i="54"/>
  <c r="HO119" i="54" s="1"/>
  <c r="HI116" i="54"/>
  <c r="HO116" i="54" s="1"/>
  <c r="HI118" i="54"/>
  <c r="HO118" i="54" s="1"/>
  <c r="AO398" i="54"/>
  <c r="AS398" i="54" s="1"/>
  <c r="AO498" i="54"/>
  <c r="HI115" i="54"/>
  <c r="HO115" i="54" s="1"/>
  <c r="IF115" i="54" s="1"/>
  <c r="HV119" i="54"/>
  <c r="II119" i="54" s="1"/>
  <c r="IK113" i="54"/>
  <c r="IM113" i="54" s="1"/>
  <c r="HI120" i="54"/>
  <c r="HO120" i="54" s="1"/>
  <c r="DJ1395" i="54"/>
  <c r="HZ129" i="54"/>
  <c r="IA129" i="54" s="1"/>
  <c r="DJ769" i="54"/>
  <c r="HV116" i="54"/>
  <c r="HH127" i="54"/>
  <c r="HN127" i="54" s="1"/>
  <c r="HH123" i="54"/>
  <c r="HN123" i="54" s="1"/>
  <c r="HH125" i="54"/>
  <c r="HN125" i="54" s="1"/>
  <c r="HH126" i="54"/>
  <c r="HN126" i="54" s="1"/>
  <c r="HH124" i="54"/>
  <c r="HN124" i="54" s="1"/>
  <c r="HH129" i="54"/>
  <c r="HH128" i="54"/>
  <c r="HN128" i="54" s="1"/>
  <c r="HH122" i="54"/>
  <c r="HN122" i="54" s="1"/>
  <c r="DM458" i="54"/>
  <c r="HJ124" i="54"/>
  <c r="HP124" i="54" s="1"/>
  <c r="HJ129" i="54"/>
  <c r="HJ126" i="54"/>
  <c r="HP126" i="54" s="1"/>
  <c r="HJ122" i="54"/>
  <c r="HP122" i="54" s="1"/>
  <c r="HJ127" i="54"/>
  <c r="HP127" i="54" s="1"/>
  <c r="HJ125" i="54"/>
  <c r="HP125" i="54" s="1"/>
  <c r="HJ128" i="54"/>
  <c r="HP128" i="54" s="1"/>
  <c r="HJ123" i="54"/>
  <c r="HP123" i="54" s="1"/>
  <c r="HQ119" i="54"/>
  <c r="IE119" i="54" s="1"/>
  <c r="HQ120" i="54"/>
  <c r="IE120" i="54" s="1"/>
  <c r="HQ121" i="54"/>
  <c r="IE121" i="54" s="1"/>
  <c r="HQ123" i="54"/>
  <c r="HQ122" i="54"/>
  <c r="DM769" i="54"/>
  <c r="HW116" i="54"/>
  <c r="HQ118" i="54"/>
  <c r="IE118" i="54" s="1"/>
  <c r="HQ117" i="54"/>
  <c r="IE117" i="54" s="1"/>
  <c r="HQ116" i="54"/>
  <c r="IE116" i="54" s="1"/>
  <c r="DM1394" i="54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DL668" i="54"/>
  <c r="DM668" i="54" s="1"/>
  <c r="DF1190" i="54"/>
  <c r="DF1189" i="54"/>
  <c r="DF1188" i="54"/>
  <c r="DG1188" i="54" s="1"/>
  <c r="DL828" i="54"/>
  <c r="DL1452" i="54"/>
  <c r="DL1453" i="54"/>
  <c r="DL1451" i="54"/>
  <c r="DM1451" i="54" s="1"/>
  <c r="DI1453" i="54"/>
  <c r="DI1452" i="54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F1398" i="54"/>
  <c r="DF1293" i="54"/>
  <c r="DG1293" i="54" s="1"/>
  <c r="DF1396" i="54"/>
  <c r="DG1396" i="54" s="1"/>
  <c r="DF1241" i="54"/>
  <c r="EA401" i="54"/>
  <c r="EG402" i="54" s="1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I28" i="66"/>
  <c r="CO28" i="66" s="1"/>
  <c r="DH61" i="66"/>
  <c r="AY420" i="54" s="1"/>
  <c r="BR42" i="66"/>
  <c r="EB101" i="54" s="1"/>
  <c r="IK111" i="54"/>
  <c r="IL111" i="54" s="1"/>
  <c r="EA101" i="54"/>
  <c r="EF102" i="54" s="1"/>
  <c r="DF98" i="54"/>
  <c r="DF1032" i="54"/>
  <c r="DG1032" i="54" s="1"/>
  <c r="DF1033" i="54"/>
  <c r="BL42" i="66"/>
  <c r="DI97" i="54" s="1"/>
  <c r="DF253" i="54"/>
  <c r="DF1084" i="54"/>
  <c r="DG1084" i="54" s="1"/>
  <c r="DF254" i="54"/>
  <c r="DF252" i="54"/>
  <c r="DG252" i="54" s="1"/>
  <c r="DF96" i="54"/>
  <c r="DG96" i="54" s="1"/>
  <c r="AY339" i="54"/>
  <c r="BB339" i="54" s="1"/>
  <c r="DT60" i="66"/>
  <c r="IK112" i="54"/>
  <c r="IT112" i="54" s="1"/>
  <c r="CJ281" i="54"/>
  <c r="IP109" i="54"/>
  <c r="IP111" i="54"/>
  <c r="IP112" i="54"/>
  <c r="IP115" i="54"/>
  <c r="IP110" i="54"/>
  <c r="IP113" i="54"/>
  <c r="IS113" i="54" s="1"/>
  <c r="IP114" i="54"/>
  <c r="EJ421" i="54"/>
  <c r="EK101" i="54"/>
  <c r="EI421" i="54"/>
  <c r="DM1030" i="54"/>
  <c r="DM717" i="54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Y42" i="66"/>
  <c r="DF97" i="54"/>
  <c r="DF1085" i="54"/>
  <c r="EA281" i="54"/>
  <c r="EA421" i="54"/>
  <c r="ED422" i="54" s="1"/>
  <c r="EA341" i="54"/>
  <c r="ED342" i="54" s="1"/>
  <c r="DR39" i="66"/>
  <c r="AP20" i="67"/>
  <c r="AT20" i="67" s="1"/>
  <c r="AO358" i="54"/>
  <c r="AR358" i="54" s="1"/>
  <c r="AO438" i="54"/>
  <c r="AP438" i="54" s="1"/>
  <c r="DF40" i="66"/>
  <c r="AP419" i="54"/>
  <c r="AS419" i="54"/>
  <c r="DF19" i="66"/>
  <c r="CH281" i="54"/>
  <c r="CH481" i="54"/>
  <c r="CH541" i="54"/>
  <c r="CH501" i="54"/>
  <c r="DQ20" i="66"/>
  <c r="BN379" i="54"/>
  <c r="DP20" i="66"/>
  <c r="BI379" i="54"/>
  <c r="BH398" i="54"/>
  <c r="BE398" i="54"/>
  <c r="BG398" i="54"/>
  <c r="BF398" i="54"/>
  <c r="AS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Q18" i="66"/>
  <c r="DT18" i="66" s="1"/>
  <c r="BN377" i="54"/>
  <c r="DQ39" i="66"/>
  <c r="BN398" i="54"/>
  <c r="BN438" i="54"/>
  <c r="BN358" i="54"/>
  <c r="DP39" i="66"/>
  <c r="BI398" i="54"/>
  <c r="BI438" i="54"/>
  <c r="BI358" i="54"/>
  <c r="BO399" i="54"/>
  <c r="BQ399" i="54"/>
  <c r="BR399" i="54"/>
  <c r="BP399" i="54"/>
  <c r="DQ19" i="66"/>
  <c r="BN378" i="54"/>
  <c r="DP19" i="66"/>
  <c r="BI378" i="54"/>
  <c r="DQ38" i="66"/>
  <c r="DT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P18" i="66"/>
  <c r="DS18" i="66" s="1"/>
  <c r="BI377" i="54"/>
  <c r="DP38" i="66"/>
  <c r="DS38" i="66" s="1"/>
  <c r="BI357" i="54"/>
  <c r="BI437" i="54"/>
  <c r="BI397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BT42" i="66"/>
  <c r="AZ43" i="66" s="1"/>
  <c r="DL96" i="54"/>
  <c r="DM96" i="54" s="1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Q64" i="66"/>
  <c r="BK64" i="66"/>
  <c r="P21" i="67"/>
  <c r="DL411" i="54"/>
  <c r="DL361" i="54"/>
  <c r="DL412" i="54"/>
  <c r="DL413" i="54"/>
  <c r="BV63" i="66"/>
  <c r="BB64" i="66" s="1"/>
  <c r="DL359" i="54"/>
  <c r="DL360" i="54"/>
  <c r="CA63" i="66"/>
  <c r="EF143" i="54"/>
  <c r="EG143" i="54"/>
  <c r="ED143" i="54"/>
  <c r="EE143" i="54"/>
  <c r="DG359" i="54"/>
  <c r="DG361" i="54"/>
  <c r="DG360" i="54"/>
  <c r="X21" i="67"/>
  <c r="EC322" i="54"/>
  <c r="EO323" i="54" s="1"/>
  <c r="EC62" i="54"/>
  <c r="EC142" i="54"/>
  <c r="EC162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BV83" i="66"/>
  <c r="BB84" i="66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A81" i="54"/>
  <c r="EG82" i="54" s="1"/>
  <c r="EA301" i="54"/>
  <c r="HY136" i="54" s="1"/>
  <c r="EA381" i="54"/>
  <c r="EA261" i="54"/>
  <c r="ED262" i="54" s="1"/>
  <c r="EA361" i="54"/>
  <c r="EA441" i="54"/>
  <c r="EE442" i="54" s="1"/>
  <c r="HP121" i="54"/>
  <c r="HO114" i="54"/>
  <c r="IF114" i="54" s="1"/>
  <c r="IK114" i="54" s="1"/>
  <c r="EP361" i="54"/>
  <c r="EO361" i="54"/>
  <c r="ER361" i="54"/>
  <c r="DM979" i="54"/>
  <c r="CS36" i="66"/>
  <c r="EI441" i="54"/>
  <c r="EM261" i="54"/>
  <c r="EO441" i="54"/>
  <c r="DJ978" i="54"/>
  <c r="EL81" i="54"/>
  <c r="EN361" i="54"/>
  <c r="CA83" i="66"/>
  <c r="CK36" i="66" s="1"/>
  <c r="BU83" i="66"/>
  <c r="BA84" i="66" s="1"/>
  <c r="EK261" i="54"/>
  <c r="EI261" i="54"/>
  <c r="EK381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EG323" i="54"/>
  <c r="EI81" i="54"/>
  <c r="DG569" i="54"/>
  <c r="DG48" i="54"/>
  <c r="DG150" i="54"/>
  <c r="EH23" i="54"/>
  <c r="DG309" i="54"/>
  <c r="DM927" i="54"/>
  <c r="DJ667" i="54"/>
  <c r="DL200" i="54"/>
  <c r="DM200" i="54" s="1"/>
  <c r="DL1138" i="54"/>
  <c r="EF62" i="54"/>
  <c r="EH62" i="54"/>
  <c r="DG149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223" i="54"/>
  <c r="DM978" i="54"/>
  <c r="EQ301" i="54"/>
  <c r="EP301" i="54"/>
  <c r="ER301" i="54"/>
  <c r="EO301" i="54"/>
  <c r="BR22" i="66"/>
  <c r="BK84" i="66"/>
  <c r="DL150" i="54"/>
  <c r="DL149" i="54"/>
  <c r="DL148" i="54"/>
  <c r="DM148" i="54" s="1"/>
  <c r="EN62" i="54"/>
  <c r="EF223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666" i="54"/>
  <c r="DM667" i="54"/>
  <c r="DM199" i="54"/>
  <c r="EN261" i="54"/>
  <c r="EO261" i="54"/>
  <c r="ER261" i="54"/>
  <c r="EO81" i="54"/>
  <c r="EQ81" i="54"/>
  <c r="EN81" i="54"/>
  <c r="DI149" i="54"/>
  <c r="DI150" i="54"/>
  <c r="DI148" i="54"/>
  <c r="DJ148" i="54" s="1"/>
  <c r="EJ62" i="54"/>
  <c r="EE223" i="54"/>
  <c r="DG517" i="54"/>
  <c r="DG829" i="54"/>
  <c r="DJ770" i="54"/>
  <c r="DJ771" i="54"/>
  <c r="EM441" i="54"/>
  <c r="EE62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Z83" i="66"/>
  <c r="CJ36" i="66" s="1"/>
  <c r="EF203" i="54"/>
  <c r="EK301" i="54"/>
  <c r="EM301" i="54"/>
  <c r="DJ1134" i="54"/>
  <c r="BL22" i="66"/>
  <c r="DF202" i="54"/>
  <c r="DF200" i="54"/>
  <c r="DG200" i="54" s="1"/>
  <c r="DF668" i="54"/>
  <c r="DG668" i="54" s="1"/>
  <c r="DF669" i="54"/>
  <c r="DF772" i="54"/>
  <c r="DF201" i="54"/>
  <c r="DF1136" i="54"/>
  <c r="DG1136" i="54" s="1"/>
  <c r="DF930" i="54"/>
  <c r="DF1138" i="54"/>
  <c r="DF774" i="54"/>
  <c r="HU129" i="54" s="1"/>
  <c r="DF773" i="54"/>
  <c r="HU126" i="54" s="1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M80" i="66"/>
  <c r="DM58" i="66"/>
  <c r="DM59" i="66"/>
  <c r="DM79" i="66"/>
  <c r="DM60" i="66"/>
  <c r="DM78" i="66"/>
  <c r="BU61" i="66"/>
  <c r="DJ78" i="66"/>
  <c r="DJ58" i="66"/>
  <c r="BY22" i="66"/>
  <c r="BQ84" i="66"/>
  <c r="BT22" i="66"/>
  <c r="AZ23" i="66" s="1"/>
  <c r="CU36" i="66" l="1"/>
  <c r="CQ36" i="66"/>
  <c r="DL1136" i="54"/>
  <c r="DM1136" i="54" s="1"/>
  <c r="CF462" i="54"/>
  <c r="CF582" i="54"/>
  <c r="DI1500" i="54"/>
  <c r="DJ1500" i="54" s="1"/>
  <c r="DI1502" i="54"/>
  <c r="DJ1502" i="54" s="1"/>
  <c r="DI1501" i="54"/>
  <c r="DJ1501" i="54" s="1"/>
  <c r="FP581" i="54"/>
  <c r="FM581" i="54"/>
  <c r="FO581" i="54"/>
  <c r="FN581" i="54"/>
  <c r="FQ581" i="54"/>
  <c r="EB581" i="54"/>
  <c r="EK582" i="54"/>
  <c r="DG1501" i="54"/>
  <c r="ED582" i="54"/>
  <c r="EH582" i="54"/>
  <c r="DG1502" i="54"/>
  <c r="EJ582" i="54"/>
  <c r="DL773" i="54"/>
  <c r="DL772" i="54"/>
  <c r="DM772" i="54" s="1"/>
  <c r="DL980" i="54"/>
  <c r="DM980" i="54" s="1"/>
  <c r="DL774" i="54"/>
  <c r="DL669" i="54"/>
  <c r="DL981" i="54"/>
  <c r="DM981" i="54" s="1"/>
  <c r="DL929" i="54"/>
  <c r="DM48" i="54"/>
  <c r="DL1137" i="54"/>
  <c r="DL201" i="54"/>
  <c r="DM201" i="54" s="1"/>
  <c r="DL202" i="54"/>
  <c r="DL928" i="54"/>
  <c r="DM928" i="54" s="1"/>
  <c r="DL982" i="54"/>
  <c r="DL930" i="54"/>
  <c r="DL670" i="54"/>
  <c r="DL1500" i="54"/>
  <c r="DM1500" i="54" s="1"/>
  <c r="DL1501" i="54"/>
  <c r="DL1502" i="54"/>
  <c r="FS581" i="54"/>
  <c r="FV581" i="54"/>
  <c r="FU581" i="54"/>
  <c r="FT581" i="54"/>
  <c r="FR581" i="54"/>
  <c r="EC581" i="54"/>
  <c r="IR109" i="54"/>
  <c r="DM49" i="54"/>
  <c r="DM516" i="54"/>
  <c r="DM309" i="54"/>
  <c r="IM110" i="54"/>
  <c r="DL253" i="54"/>
  <c r="BA540" i="54"/>
  <c r="DM620" i="54"/>
  <c r="DJ80" i="66"/>
  <c r="DI1033" i="54"/>
  <c r="DM621" i="54"/>
  <c r="DM308" i="54"/>
  <c r="DI96" i="54"/>
  <c r="DJ96" i="54" s="1"/>
  <c r="DM569" i="54"/>
  <c r="IT109" i="54"/>
  <c r="DJ59" i="66"/>
  <c r="IM109" i="54"/>
  <c r="IL113" i="54"/>
  <c r="IT110" i="54"/>
  <c r="BC540" i="54"/>
  <c r="IR113" i="54"/>
  <c r="IR110" i="54"/>
  <c r="AP398" i="54"/>
  <c r="AZ540" i="54"/>
  <c r="IN110" i="54"/>
  <c r="IS109" i="54"/>
  <c r="DJ79" i="66"/>
  <c r="IN109" i="54"/>
  <c r="EF402" i="54"/>
  <c r="DM517" i="54"/>
  <c r="DM1608" i="54"/>
  <c r="DM1660" i="54"/>
  <c r="DM1661" i="54"/>
  <c r="IS110" i="54"/>
  <c r="EK643" i="54"/>
  <c r="DJ1661" i="54"/>
  <c r="DM1609" i="54"/>
  <c r="DJ1660" i="54"/>
  <c r="EJ643" i="54"/>
  <c r="EL643" i="54"/>
  <c r="EQ643" i="54"/>
  <c r="CH523" i="54"/>
  <c r="CH643" i="54"/>
  <c r="CJ523" i="54"/>
  <c r="CJ643" i="54"/>
  <c r="FI643" i="54"/>
  <c r="FL643" i="54"/>
  <c r="FK643" i="54"/>
  <c r="FH643" i="54"/>
  <c r="FJ643" i="54"/>
  <c r="EA643" i="54"/>
  <c r="EH644" i="54" s="1"/>
  <c r="DF1664" i="54"/>
  <c r="DF1663" i="54"/>
  <c r="DF1662" i="54"/>
  <c r="DG1662" i="54" s="1"/>
  <c r="DJ1609" i="54"/>
  <c r="EN643" i="54"/>
  <c r="EO623" i="54"/>
  <c r="EP643" i="54"/>
  <c r="ER643" i="54"/>
  <c r="DF1611" i="54"/>
  <c r="DF1612" i="54"/>
  <c r="DF1610" i="54"/>
  <c r="DG1610" i="54" s="1"/>
  <c r="FH623" i="54"/>
  <c r="FK623" i="54"/>
  <c r="FL623" i="54"/>
  <c r="FJ623" i="54"/>
  <c r="FI623" i="54"/>
  <c r="EA623" i="54"/>
  <c r="DJ1608" i="54"/>
  <c r="EN623" i="54"/>
  <c r="CJ563" i="54"/>
  <c r="CJ623" i="54"/>
  <c r="EL623" i="54"/>
  <c r="EJ623" i="54"/>
  <c r="EK623" i="54"/>
  <c r="EI623" i="54"/>
  <c r="EP623" i="54"/>
  <c r="IK115" i="54"/>
  <c r="IS115" i="54" s="1"/>
  <c r="EB181" i="54"/>
  <c r="EB421" i="54"/>
  <c r="EM422" i="54" s="1"/>
  <c r="BB419" i="54"/>
  <c r="EB341" i="54"/>
  <c r="EB41" i="54"/>
  <c r="EL42" i="54" s="1"/>
  <c r="EH602" i="54"/>
  <c r="EB281" i="54"/>
  <c r="EB401" i="54"/>
  <c r="EM402" i="54" s="1"/>
  <c r="DI253" i="54"/>
  <c r="ED402" i="54"/>
  <c r="EH402" i="54"/>
  <c r="IT113" i="54"/>
  <c r="AR398" i="54"/>
  <c r="EE402" i="54"/>
  <c r="IN113" i="54"/>
  <c r="AQ398" i="54"/>
  <c r="DL1084" i="54"/>
  <c r="DM1084" i="54" s="1"/>
  <c r="BU42" i="66"/>
  <c r="BA43" i="66" s="1"/>
  <c r="CH602" i="54" s="1"/>
  <c r="DL1085" i="54"/>
  <c r="DG1553" i="54"/>
  <c r="DL1086" i="54"/>
  <c r="DL254" i="54"/>
  <c r="DL97" i="54"/>
  <c r="DM97" i="54" s="1"/>
  <c r="DI462" i="54"/>
  <c r="ED102" i="54"/>
  <c r="CS28" i="66"/>
  <c r="DI63" i="66" s="1"/>
  <c r="DL252" i="54"/>
  <c r="DM252" i="54" s="1"/>
  <c r="BC419" i="54"/>
  <c r="DG1554" i="54"/>
  <c r="BA419" i="54"/>
  <c r="AY340" i="54"/>
  <c r="BA340" i="54" s="1"/>
  <c r="DI1084" i="54"/>
  <c r="DJ1084" i="54" s="1"/>
  <c r="DI252" i="54"/>
  <c r="DJ252" i="54" s="1"/>
  <c r="DI1034" i="54"/>
  <c r="AP340" i="54"/>
  <c r="BZ42" i="66"/>
  <c r="DI98" i="54"/>
  <c r="DI1032" i="54"/>
  <c r="DJ1032" i="54" s="1"/>
  <c r="DI254" i="54"/>
  <c r="DI721" i="54"/>
  <c r="AQ340" i="54"/>
  <c r="DJ1452" i="54"/>
  <c r="EH102" i="54"/>
  <c r="CF422" i="54"/>
  <c r="CF602" i="54"/>
  <c r="AY520" i="54"/>
  <c r="AY460" i="54"/>
  <c r="BC459" i="54"/>
  <c r="BA459" i="54"/>
  <c r="BB459" i="54"/>
  <c r="AZ459" i="54"/>
  <c r="BI518" i="54"/>
  <c r="BI458" i="54"/>
  <c r="DI1553" i="54"/>
  <c r="DI1552" i="54"/>
  <c r="DJ1552" i="54" s="1"/>
  <c r="DI1554" i="54"/>
  <c r="ED602" i="54"/>
  <c r="AZ519" i="54"/>
  <c r="BB519" i="54"/>
  <c r="BC519" i="54"/>
  <c r="BA519" i="54"/>
  <c r="EF602" i="54"/>
  <c r="EE602" i="54"/>
  <c r="FS601" i="54"/>
  <c r="FV601" i="54"/>
  <c r="EC601" i="54"/>
  <c r="EN602" i="54" s="1"/>
  <c r="FR601" i="54"/>
  <c r="FU601" i="54"/>
  <c r="FT601" i="54"/>
  <c r="EQ602" i="54"/>
  <c r="DP78" i="66"/>
  <c r="DS78" i="66" s="1"/>
  <c r="BI537" i="54"/>
  <c r="BI517" i="54"/>
  <c r="BI457" i="54"/>
  <c r="BI519" i="54"/>
  <c r="BI459" i="54"/>
  <c r="DP80" i="66"/>
  <c r="BI539" i="54"/>
  <c r="DP79" i="66"/>
  <c r="BI538" i="54"/>
  <c r="DL1553" i="54"/>
  <c r="DL1552" i="54"/>
  <c r="DM1552" i="54" s="1"/>
  <c r="DL1554" i="54"/>
  <c r="FQ601" i="54"/>
  <c r="FN601" i="54"/>
  <c r="FP601" i="54"/>
  <c r="FM601" i="54"/>
  <c r="FO601" i="54"/>
  <c r="EB601" i="54"/>
  <c r="EI602" i="54" s="1"/>
  <c r="AS520" i="54"/>
  <c r="AR520" i="54"/>
  <c r="AQ520" i="54"/>
  <c r="AP520" i="54"/>
  <c r="AP460" i="54"/>
  <c r="AQ460" i="54"/>
  <c r="AR460" i="54"/>
  <c r="AS460" i="54"/>
  <c r="DF20" i="66"/>
  <c r="AO479" i="54" s="1"/>
  <c r="AO478" i="54"/>
  <c r="AR498" i="54"/>
  <c r="AS498" i="54"/>
  <c r="AP498" i="54"/>
  <c r="AQ498" i="54"/>
  <c r="AO399" i="54"/>
  <c r="AQ399" i="54" s="1"/>
  <c r="AO499" i="54"/>
  <c r="EG102" i="54"/>
  <c r="EE102" i="54"/>
  <c r="IR112" i="54"/>
  <c r="DG1241" i="54"/>
  <c r="DG1294" i="54"/>
  <c r="DJ1453" i="54"/>
  <c r="HS123" i="54"/>
  <c r="IG123" i="54" s="1"/>
  <c r="HS121" i="54"/>
  <c r="IG121" i="54" s="1"/>
  <c r="HS122" i="54"/>
  <c r="IG122" i="54" s="1"/>
  <c r="HR119" i="54"/>
  <c r="IF119" i="54" s="1"/>
  <c r="HR120" i="54"/>
  <c r="IF120" i="54" s="1"/>
  <c r="HR121" i="54"/>
  <c r="HR123" i="54"/>
  <c r="HR122" i="54"/>
  <c r="DG772" i="54"/>
  <c r="HU124" i="54"/>
  <c r="HS119" i="54"/>
  <c r="IG119" i="54" s="1"/>
  <c r="HS120" i="54"/>
  <c r="IG120" i="54" s="1"/>
  <c r="HS117" i="54"/>
  <c r="IG117" i="54" s="1"/>
  <c r="HS118" i="54"/>
  <c r="IG118" i="54" s="1"/>
  <c r="HS116" i="54"/>
  <c r="IG116" i="54" s="1"/>
  <c r="HR117" i="54"/>
  <c r="IF117" i="54" s="1"/>
  <c r="HR116" i="54"/>
  <c r="IF116" i="54" s="1"/>
  <c r="HR118" i="54"/>
  <c r="IF118" i="54" s="1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I1188" i="54"/>
  <c r="DJ1188" i="54" s="1"/>
  <c r="DL310" i="54"/>
  <c r="DM310" i="54" s="1"/>
  <c r="DF1350" i="54"/>
  <c r="DG1350" i="54" s="1"/>
  <c r="DF1352" i="54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M460" i="54" s="1"/>
  <c r="DL1241" i="54"/>
  <c r="DL1294" i="54"/>
  <c r="DL1240" i="54"/>
  <c r="DM1240" i="54" s="1"/>
  <c r="DL1292" i="54"/>
  <c r="DM1292" i="54" s="1"/>
  <c r="DL1293" i="54"/>
  <c r="DL1397" i="54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K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EH282" i="54"/>
  <c r="EG342" i="54"/>
  <c r="ED18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CA42" i="66"/>
  <c r="EC341" i="54"/>
  <c r="EO342" i="54" s="1"/>
  <c r="EC41" i="54"/>
  <c r="ER42" i="54" s="1"/>
  <c r="EF42" i="54"/>
  <c r="EH42" i="54"/>
  <c r="EE42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L722" i="54"/>
  <c r="HW129" i="54" s="1"/>
  <c r="BV42" i="66"/>
  <c r="BB43" i="66" s="1"/>
  <c r="CJ342" i="54" s="1"/>
  <c r="DL462" i="54"/>
  <c r="CF342" i="54"/>
  <c r="CF42" i="54"/>
  <c r="BK43" i="66"/>
  <c r="CF402" i="54"/>
  <c r="CF102" i="54"/>
  <c r="CF182" i="54"/>
  <c r="BQ43" i="66"/>
  <c r="CF282" i="54"/>
  <c r="DF41" i="66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R40" i="66"/>
  <c r="DH19" i="66"/>
  <c r="DG39" i="66"/>
  <c r="AO378" i="54"/>
  <c r="AR378" i="54" s="1"/>
  <c r="DG19" i="66"/>
  <c r="DH39" i="66"/>
  <c r="DR19" i="66"/>
  <c r="DG461" i="54"/>
  <c r="DG462" i="54"/>
  <c r="DG722" i="54"/>
  <c r="DG720" i="54"/>
  <c r="CF502" i="54"/>
  <c r="CF542" i="54"/>
  <c r="CF482" i="54"/>
  <c r="DP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P59" i="66"/>
  <c r="BI418" i="54"/>
  <c r="BI338" i="54"/>
  <c r="DP58" i="66"/>
  <c r="DG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DG878" i="54"/>
  <c r="DG877" i="54"/>
  <c r="DM828" i="54"/>
  <c r="DM829" i="54"/>
  <c r="CH20" i="67"/>
  <c r="CK20" i="67" s="1"/>
  <c r="AX20" i="67"/>
  <c r="AV20" i="67"/>
  <c r="AU20" i="67"/>
  <c r="T21" i="67"/>
  <c r="U21" i="67" s="1"/>
  <c r="AO21" i="67"/>
  <c r="AW20" i="67"/>
  <c r="ER163" i="54"/>
  <c r="EN163" i="54"/>
  <c r="EQ163" i="54"/>
  <c r="EO163" i="54"/>
  <c r="EP163" i="54"/>
  <c r="N22" i="67"/>
  <c r="DF363" i="54"/>
  <c r="BT64" i="66"/>
  <c r="AZ65" i="66" s="1"/>
  <c r="DF415" i="54"/>
  <c r="DF364" i="54"/>
  <c r="BL64" i="66"/>
  <c r="DF362" i="54"/>
  <c r="DF416" i="54"/>
  <c r="DL520" i="54"/>
  <c r="BY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L81" i="66"/>
  <c r="DL62" i="66"/>
  <c r="DL63" i="66"/>
  <c r="DL83" i="66"/>
  <c r="DL82" i="66"/>
  <c r="DL61" i="66"/>
  <c r="DM359" i="54"/>
  <c r="DM360" i="54"/>
  <c r="DM361" i="54"/>
  <c r="V22" i="67"/>
  <c r="EA323" i="54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AY20" i="67"/>
  <c r="IR114" i="54"/>
  <c r="IT114" i="54"/>
  <c r="IS114" i="54"/>
  <c r="CF82" i="54"/>
  <c r="CF442" i="54"/>
  <c r="CF362" i="54"/>
  <c r="CF382" i="54"/>
  <c r="CF262" i="54"/>
  <c r="CF30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BV22" i="66"/>
  <c r="BB23" i="66" s="1"/>
  <c r="EO223" i="54"/>
  <c r="DJ620" i="54"/>
  <c r="DM1137" i="54"/>
  <c r="CA22" i="66"/>
  <c r="DG201" i="54"/>
  <c r="EO62" i="54"/>
  <c r="EL203" i="54"/>
  <c r="DM1138" i="54"/>
  <c r="EQ203" i="54"/>
  <c r="DJ308" i="54"/>
  <c r="EQ323" i="54"/>
  <c r="EN243" i="54"/>
  <c r="EP243" i="54"/>
  <c r="DM670" i="54"/>
  <c r="DM149" i="54"/>
  <c r="DJ568" i="54"/>
  <c r="DG773" i="54"/>
  <c r="DJ150" i="54"/>
  <c r="EQ62" i="54"/>
  <c r="ER323" i="54"/>
  <c r="DJ97" i="54"/>
  <c r="DG929" i="54"/>
  <c r="DG1138" i="54"/>
  <c r="DG202" i="54"/>
  <c r="EM62" i="54"/>
  <c r="DM669" i="54"/>
  <c r="BK23" i="66"/>
  <c r="BR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DJ149" i="54"/>
  <c r="EP223" i="54"/>
  <c r="EN223" i="54"/>
  <c r="EQ223" i="54"/>
  <c r="EL23" i="54"/>
  <c r="EF262" i="54"/>
  <c r="EM23" i="54"/>
  <c r="DM929" i="54"/>
  <c r="DF152" i="54"/>
  <c r="DF153" i="54"/>
  <c r="DF151" i="54"/>
  <c r="DG151" i="54" s="1"/>
  <c r="EG63" i="54"/>
  <c r="ER123" i="54"/>
  <c r="EJ123" i="54"/>
  <c r="EN23" i="54"/>
  <c r="EP23" i="54"/>
  <c r="ER23" i="54"/>
  <c r="EO23" i="54"/>
  <c r="EQ23" i="54"/>
  <c r="EK102" i="54"/>
  <c r="BL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I201" i="54"/>
  <c r="DI1136" i="54"/>
  <c r="DJ1136" i="54" s="1"/>
  <c r="DI930" i="54"/>
  <c r="DI1138" i="54"/>
  <c r="DI774" i="54"/>
  <c r="HV129" i="54" s="1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Z22" i="66"/>
  <c r="BU22" i="66"/>
  <c r="BA23" i="66" s="1"/>
  <c r="EI243" i="54"/>
  <c r="EL243" i="54"/>
  <c r="EJ243" i="54"/>
  <c r="CP36" i="66"/>
  <c r="CT36" i="66"/>
  <c r="DL50" i="54"/>
  <c r="DM50" i="54" s="1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K123" i="54"/>
  <c r="ER62" i="54"/>
  <c r="EP62" i="54"/>
  <c r="ED82" i="54"/>
  <c r="EO243" i="54"/>
  <c r="EQ243" i="54"/>
  <c r="EH82" i="54"/>
  <c r="EM123" i="54"/>
  <c r="BA62" i="66"/>
  <c r="CH621" i="54" s="1"/>
  <c r="BW61" i="66"/>
  <c r="BZ61" i="66"/>
  <c r="BY84" i="66"/>
  <c r="BT84" i="66"/>
  <c r="AZ85" i="66" s="1"/>
  <c r="BQ23" i="66"/>
  <c r="DM930" i="54" l="1"/>
  <c r="DM1501" i="54"/>
  <c r="CU28" i="66"/>
  <c r="CQ28" i="66"/>
  <c r="DM202" i="54"/>
  <c r="DM982" i="54"/>
  <c r="DM774" i="54"/>
  <c r="DM773" i="54"/>
  <c r="DF1503" i="54"/>
  <c r="DG1503" i="54" s="1"/>
  <c r="DF1504" i="54"/>
  <c r="DG1504" i="54" s="1"/>
  <c r="DF1505" i="54"/>
  <c r="DG1505" i="54" s="1"/>
  <c r="EL582" i="54"/>
  <c r="EM582" i="54"/>
  <c r="EI582" i="54"/>
  <c r="CH462" i="54"/>
  <c r="CH582" i="54"/>
  <c r="FJ582" i="54"/>
  <c r="FI582" i="54"/>
  <c r="FH582" i="54"/>
  <c r="FL582" i="54"/>
  <c r="FK582" i="54"/>
  <c r="EA582" i="54"/>
  <c r="DM1502" i="54"/>
  <c r="CJ462" i="54"/>
  <c r="CJ582" i="54"/>
  <c r="ER582" i="54"/>
  <c r="EO582" i="54"/>
  <c r="EQ582" i="54"/>
  <c r="EN582" i="54"/>
  <c r="EP582" i="54"/>
  <c r="DL623" i="54"/>
  <c r="DL51" i="54"/>
  <c r="DJ98" i="54"/>
  <c r="DI81" i="66"/>
  <c r="EI42" i="54"/>
  <c r="AZ340" i="54"/>
  <c r="IR115" i="54"/>
  <c r="CH102" i="54"/>
  <c r="CH502" i="54"/>
  <c r="CH42" i="54"/>
  <c r="CH342" i="54"/>
  <c r="DL312" i="54"/>
  <c r="DL624" i="54"/>
  <c r="DL52" i="54"/>
  <c r="DL311" i="54"/>
  <c r="DM311" i="54" s="1"/>
  <c r="DL622" i="54"/>
  <c r="DM622" i="54" s="1"/>
  <c r="EM42" i="54"/>
  <c r="EJ42" i="54"/>
  <c r="EK42" i="54"/>
  <c r="EI402" i="54"/>
  <c r="EJ402" i="54"/>
  <c r="DL519" i="54"/>
  <c r="IN115" i="54"/>
  <c r="DJ253" i="54"/>
  <c r="DM1086" i="54"/>
  <c r="DJ1034" i="54"/>
  <c r="DJ1033" i="54"/>
  <c r="DL572" i="54"/>
  <c r="IM115" i="54"/>
  <c r="IT115" i="54"/>
  <c r="EL402" i="54"/>
  <c r="EK402" i="54"/>
  <c r="IL115" i="54"/>
  <c r="DG1663" i="54"/>
  <c r="DJ254" i="54"/>
  <c r="DM1085" i="54"/>
  <c r="EF644" i="54"/>
  <c r="DL518" i="54"/>
  <c r="DM518" i="54" s="1"/>
  <c r="DM253" i="54"/>
  <c r="DL570" i="54"/>
  <c r="DM570" i="54" s="1"/>
  <c r="DL571" i="54"/>
  <c r="EG644" i="54"/>
  <c r="DM254" i="54"/>
  <c r="EE644" i="54"/>
  <c r="DG1664" i="54"/>
  <c r="DG1611" i="54"/>
  <c r="ED644" i="54"/>
  <c r="CF524" i="54"/>
  <c r="CF644" i="54"/>
  <c r="FT643" i="54"/>
  <c r="FU643" i="54"/>
  <c r="FV643" i="54"/>
  <c r="FS643" i="54"/>
  <c r="FR643" i="54"/>
  <c r="EC643" i="54"/>
  <c r="EO644" i="54" s="1"/>
  <c r="DI1664" i="54"/>
  <c r="DI1663" i="54"/>
  <c r="DI1662" i="54"/>
  <c r="DJ1662" i="54" s="1"/>
  <c r="FO643" i="54"/>
  <c r="FQ643" i="54"/>
  <c r="FN643" i="54"/>
  <c r="FP643" i="54"/>
  <c r="FM643" i="54"/>
  <c r="EB643" i="54"/>
  <c r="EL644" i="54" s="1"/>
  <c r="DL1662" i="54"/>
  <c r="DM1662" i="54" s="1"/>
  <c r="DL1664" i="54"/>
  <c r="DL1663" i="54"/>
  <c r="DG1612" i="54"/>
  <c r="EE624" i="54"/>
  <c r="EH624" i="54"/>
  <c r="CF564" i="54"/>
  <c r="CF624" i="54"/>
  <c r="FR623" i="54"/>
  <c r="FS623" i="54"/>
  <c r="FV623" i="54"/>
  <c r="FU623" i="54"/>
  <c r="FT623" i="54"/>
  <c r="EC623" i="54"/>
  <c r="EN624" i="54" s="1"/>
  <c r="DI1612" i="54"/>
  <c r="DI1610" i="54"/>
  <c r="DJ1610" i="54" s="1"/>
  <c r="DI1611" i="54"/>
  <c r="ED624" i="54"/>
  <c r="EG624" i="54"/>
  <c r="EF624" i="54"/>
  <c r="FP623" i="54"/>
  <c r="FN623" i="54"/>
  <c r="FO623" i="54"/>
  <c r="FQ623" i="54"/>
  <c r="FM623" i="54"/>
  <c r="EB623" i="54"/>
  <c r="EM624" i="54" s="1"/>
  <c r="DL1612" i="54"/>
  <c r="DL1610" i="54"/>
  <c r="DM1610" i="54" s="1"/>
  <c r="DL1611" i="54"/>
  <c r="EP624" i="54"/>
  <c r="EL422" i="54"/>
  <c r="EK422" i="54"/>
  <c r="EI422" i="54"/>
  <c r="DI61" i="66"/>
  <c r="EJ422" i="54"/>
  <c r="DG79" i="66"/>
  <c r="AT538" i="54" s="1"/>
  <c r="AU538" i="54" s="1"/>
  <c r="BC340" i="54"/>
  <c r="DJ1085" i="54"/>
  <c r="ER182" i="54"/>
  <c r="EQ182" i="54"/>
  <c r="EP182" i="54"/>
  <c r="EN182" i="54"/>
  <c r="AS399" i="54"/>
  <c r="DI83" i="66"/>
  <c r="DI82" i="66"/>
  <c r="DR20" i="66"/>
  <c r="CH542" i="54"/>
  <c r="CH422" i="54"/>
  <c r="CH182" i="54"/>
  <c r="DK61" i="66"/>
  <c r="CH482" i="54"/>
  <c r="DF21" i="66"/>
  <c r="AO380" i="54" s="1"/>
  <c r="AQ380" i="54" s="1"/>
  <c r="CH402" i="54"/>
  <c r="DI62" i="66"/>
  <c r="AO379" i="54"/>
  <c r="AS379" i="54" s="1"/>
  <c r="BY43" i="66"/>
  <c r="CI20" i="66" s="1"/>
  <c r="CS20" i="66" s="1"/>
  <c r="DF99" i="54"/>
  <c r="DG99" i="54" s="1"/>
  <c r="EM602" i="54"/>
  <c r="DJ1397" i="54"/>
  <c r="DJ1189" i="54"/>
  <c r="DJ1553" i="54"/>
  <c r="BB340" i="54"/>
  <c r="DM1397" i="54"/>
  <c r="DM461" i="54"/>
  <c r="DJ1554" i="54"/>
  <c r="EP602" i="54"/>
  <c r="DM1554" i="54"/>
  <c r="DG1455" i="54"/>
  <c r="DG1352" i="54"/>
  <c r="ER602" i="54"/>
  <c r="DO83" i="66"/>
  <c r="BD542" i="54"/>
  <c r="DO81" i="66"/>
  <c r="BD540" i="54"/>
  <c r="AT398" i="54"/>
  <c r="AV398" i="54" s="1"/>
  <c r="AT498" i="54"/>
  <c r="BL519" i="54"/>
  <c r="BK519" i="54"/>
  <c r="BM519" i="54"/>
  <c r="BJ519" i="54"/>
  <c r="EO602" i="54"/>
  <c r="AZ520" i="54"/>
  <c r="BC520" i="54"/>
  <c r="BA520" i="54"/>
  <c r="BB520" i="54"/>
  <c r="AY358" i="54"/>
  <c r="BC358" i="54" s="1"/>
  <c r="AY498" i="54"/>
  <c r="BK539" i="54"/>
  <c r="BM539" i="54"/>
  <c r="BJ539" i="54"/>
  <c r="BL539" i="54"/>
  <c r="BK457" i="54"/>
  <c r="BJ457" i="54"/>
  <c r="BL457" i="54"/>
  <c r="BM457" i="54"/>
  <c r="EK602" i="54"/>
  <c r="BD520" i="54"/>
  <c r="BD460" i="54"/>
  <c r="BD522" i="54"/>
  <c r="BD462" i="54"/>
  <c r="DM1553" i="54"/>
  <c r="BJ517" i="54"/>
  <c r="BK517" i="54"/>
  <c r="BM517" i="54"/>
  <c r="BL517" i="54"/>
  <c r="EJ602" i="54"/>
  <c r="BM458" i="54"/>
  <c r="BL458" i="54"/>
  <c r="BK458" i="54"/>
  <c r="BJ458" i="54"/>
  <c r="EL602" i="54"/>
  <c r="AX538" i="54"/>
  <c r="DO82" i="66"/>
  <c r="BD541" i="54"/>
  <c r="BD521" i="54"/>
  <c r="BD461" i="54"/>
  <c r="AT518" i="54"/>
  <c r="AT458" i="54"/>
  <c r="FJ602" i="54"/>
  <c r="FH602" i="54"/>
  <c r="FI602" i="54"/>
  <c r="FK602" i="54"/>
  <c r="FL602" i="54"/>
  <c r="EA602" i="54"/>
  <c r="EE603" i="54" s="1"/>
  <c r="DF1557" i="54"/>
  <c r="DF1556" i="54"/>
  <c r="DF1555" i="54"/>
  <c r="DG1555" i="54" s="1"/>
  <c r="CJ502" i="54"/>
  <c r="CJ602" i="54"/>
  <c r="BJ538" i="54"/>
  <c r="BL538" i="54"/>
  <c r="BM538" i="54"/>
  <c r="BK538" i="54"/>
  <c r="BL459" i="54"/>
  <c r="BM459" i="54"/>
  <c r="BK459" i="54"/>
  <c r="BJ459" i="54"/>
  <c r="BM537" i="54"/>
  <c r="BK537" i="54"/>
  <c r="BJ537" i="54"/>
  <c r="BL537" i="54"/>
  <c r="BK518" i="54"/>
  <c r="BJ518" i="54"/>
  <c r="BL518" i="54"/>
  <c r="BM518" i="54"/>
  <c r="BA460" i="54"/>
  <c r="BC460" i="54"/>
  <c r="BB460" i="54"/>
  <c r="AZ460" i="54"/>
  <c r="AR399" i="54"/>
  <c r="AP399" i="54"/>
  <c r="AT378" i="54"/>
  <c r="AX378" i="54" s="1"/>
  <c r="AT478" i="54"/>
  <c r="AS499" i="54"/>
  <c r="AR499" i="54"/>
  <c r="AP499" i="54"/>
  <c r="AQ499" i="54"/>
  <c r="AP478" i="54"/>
  <c r="AQ478" i="54"/>
  <c r="AR478" i="54"/>
  <c r="AS478" i="54"/>
  <c r="AY378" i="54"/>
  <c r="BB378" i="54" s="1"/>
  <c r="AY478" i="54"/>
  <c r="AO400" i="54"/>
  <c r="AP400" i="54" s="1"/>
  <c r="AO500" i="54"/>
  <c r="AS479" i="54"/>
  <c r="AR479" i="54"/>
  <c r="AP479" i="54"/>
  <c r="AQ479" i="54"/>
  <c r="HQ126" i="54"/>
  <c r="IE126" i="54" s="1"/>
  <c r="HQ128" i="54"/>
  <c r="IE128" i="54" s="1"/>
  <c r="HQ127" i="54"/>
  <c r="IE127" i="54" s="1"/>
  <c r="IK117" i="54"/>
  <c r="IR117" i="54" s="1"/>
  <c r="HQ130" i="54"/>
  <c r="HQ129" i="54"/>
  <c r="DJ772" i="54"/>
  <c r="HV124" i="54"/>
  <c r="II124" i="54" s="1"/>
  <c r="HH132" i="54"/>
  <c r="HN132" i="54" s="1"/>
  <c r="HH136" i="54"/>
  <c r="HH133" i="54"/>
  <c r="HN133" i="54" s="1"/>
  <c r="HH130" i="54"/>
  <c r="HN130" i="54" s="1"/>
  <c r="HH131" i="54"/>
  <c r="HN131" i="54" s="1"/>
  <c r="HH135" i="54"/>
  <c r="HN135" i="54" s="1"/>
  <c r="HH134" i="54"/>
  <c r="HN134" i="54" s="1"/>
  <c r="HQ124" i="54"/>
  <c r="IE124" i="54" s="1"/>
  <c r="HQ125" i="54"/>
  <c r="IE125" i="54" s="1"/>
  <c r="HZ136" i="54"/>
  <c r="IA136" i="54" s="1"/>
  <c r="DM1189" i="54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DL985" i="54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F1401" i="54"/>
  <c r="DF1297" i="54"/>
  <c r="DF1400" i="54"/>
  <c r="DG1400" i="54" s="1"/>
  <c r="DF1245" i="54"/>
  <c r="DL1350" i="54"/>
  <c r="DM1350" i="54" s="1"/>
  <c r="DL1351" i="54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IP121" i="54"/>
  <c r="DM878" i="54"/>
  <c r="II126" i="54"/>
  <c r="II129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HS124" i="54" s="1"/>
  <c r="DM721" i="54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EC402" i="54"/>
  <c r="EO403" i="54" s="1"/>
  <c r="DF1089" i="54"/>
  <c r="EO282" i="54"/>
  <c r="EN282" i="54"/>
  <c r="HJ134" i="54" s="1"/>
  <c r="DM722" i="54"/>
  <c r="HS130" i="54" s="1"/>
  <c r="CJ542" i="54"/>
  <c r="ER402" i="54"/>
  <c r="EQ402" i="54"/>
  <c r="EP402" i="54"/>
  <c r="HN129" i="54"/>
  <c r="DF257" i="54"/>
  <c r="DF1037" i="54"/>
  <c r="DF1087" i="54"/>
  <c r="DG1087" i="54" s="1"/>
  <c r="DF723" i="54"/>
  <c r="EA182" i="54"/>
  <c r="ED183" i="54" s="1"/>
  <c r="CJ282" i="54"/>
  <c r="CJ102" i="54"/>
  <c r="DF100" i="54"/>
  <c r="DF1036" i="54"/>
  <c r="DF255" i="54"/>
  <c r="DG255" i="54" s="1"/>
  <c r="CJ402" i="54"/>
  <c r="CJ182" i="54"/>
  <c r="CJ482" i="54"/>
  <c r="BT43" i="66"/>
  <c r="AZ44" i="66" s="1"/>
  <c r="CF603" i="54" s="1"/>
  <c r="DL1036" i="54"/>
  <c r="BR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L43" i="66"/>
  <c r="DI1037" i="54" s="1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T19" i="66"/>
  <c r="AY398" i="54"/>
  <c r="BA398" i="54" s="1"/>
  <c r="AO360" i="54"/>
  <c r="AR360" i="54" s="1"/>
  <c r="AR359" i="54"/>
  <c r="DS58" i="66"/>
  <c r="DG20" i="66"/>
  <c r="AQ439" i="54"/>
  <c r="DG40" i="66"/>
  <c r="DS39" i="66"/>
  <c r="DS19" i="66"/>
  <c r="AP359" i="54"/>
  <c r="AS439" i="54"/>
  <c r="AT358" i="54"/>
  <c r="AW358" i="54" s="1"/>
  <c r="AP439" i="54"/>
  <c r="AQ359" i="54"/>
  <c r="AT438" i="54"/>
  <c r="AV438" i="54" s="1"/>
  <c r="DH40" i="66"/>
  <c r="DH20" i="66"/>
  <c r="DT39" i="66"/>
  <c r="AP378" i="54"/>
  <c r="AS378" i="54"/>
  <c r="BK337" i="54"/>
  <c r="BM337" i="54"/>
  <c r="BJ337" i="54"/>
  <c r="BL337" i="54"/>
  <c r="DO61" i="66"/>
  <c r="BD420" i="54"/>
  <c r="BD340" i="54"/>
  <c r="DO63" i="66"/>
  <c r="BD422" i="54"/>
  <c r="BD342" i="54"/>
  <c r="BK419" i="54"/>
  <c r="BJ419" i="54"/>
  <c r="BL419" i="54"/>
  <c r="BM419" i="54"/>
  <c r="AT418" i="54"/>
  <c r="AT338" i="54"/>
  <c r="DO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ED144" i="54"/>
  <c r="EF144" i="54"/>
  <c r="EG144" i="54"/>
  <c r="EH144" i="54"/>
  <c r="DN81" i="66"/>
  <c r="DN83" i="66"/>
  <c r="DN61" i="66"/>
  <c r="DN62" i="66"/>
  <c r="DN63" i="66"/>
  <c r="DN82" i="66"/>
  <c r="DG414" i="54"/>
  <c r="DG416" i="54"/>
  <c r="DG415" i="54"/>
  <c r="DG362" i="54"/>
  <c r="DG363" i="54"/>
  <c r="DG364" i="54"/>
  <c r="CF144" i="54"/>
  <c r="BQ65" i="66"/>
  <c r="CF164" i="54"/>
  <c r="CF324" i="54"/>
  <c r="CF64" i="54"/>
  <c r="BK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V64" i="66"/>
  <c r="BB65" i="66" s="1"/>
  <c r="CA64" i="66"/>
  <c r="DL362" i="54"/>
  <c r="DL416" i="54"/>
  <c r="DL414" i="54"/>
  <c r="DL363" i="54"/>
  <c r="R22" i="67"/>
  <c r="AM22" i="67"/>
  <c r="EE144" i="54"/>
  <c r="IQ132" i="54"/>
  <c r="IQ133" i="54"/>
  <c r="IQ134" i="54"/>
  <c r="IQ131" i="54"/>
  <c r="IQ130" i="54"/>
  <c r="IQ129" i="54"/>
  <c r="IQ135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CA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Q382" i="54"/>
  <c r="EA82" i="54"/>
  <c r="EG83" i="54" s="1"/>
  <c r="EA262" i="54"/>
  <c r="ED263" i="54" s="1"/>
  <c r="EA302" i="54"/>
  <c r="HY144" i="54" s="1"/>
  <c r="EA362" i="54"/>
  <c r="ED363" i="54" s="1"/>
  <c r="EA382" i="54"/>
  <c r="ED383" i="54" s="1"/>
  <c r="EA442" i="54"/>
  <c r="EE443" i="54" s="1"/>
  <c r="EO382" i="54"/>
  <c r="ER382" i="54"/>
  <c r="EP382" i="54"/>
  <c r="ER262" i="54"/>
  <c r="BV84" i="66"/>
  <c r="BB85" i="66" s="1"/>
  <c r="DG51" i="54"/>
  <c r="EE224" i="54"/>
  <c r="EN262" i="54"/>
  <c r="EO82" i="54"/>
  <c r="DG52" i="54"/>
  <c r="EQ82" i="54"/>
  <c r="ED124" i="54"/>
  <c r="EH63" i="54"/>
  <c r="DG60" i="66"/>
  <c r="DS59" i="66"/>
  <c r="DG80" i="66"/>
  <c r="AT539" i="54" s="1"/>
  <c r="EE24" i="54"/>
  <c r="EE63" i="54"/>
  <c r="DJ1137" i="54"/>
  <c r="ED63" i="54"/>
  <c r="EE124" i="54"/>
  <c r="EL302" i="54"/>
  <c r="EG244" i="54"/>
  <c r="EG224" i="54"/>
  <c r="EF224" i="54"/>
  <c r="DJ774" i="54"/>
  <c r="DJ201" i="54"/>
  <c r="DJ773" i="54"/>
  <c r="ER442" i="54"/>
  <c r="EK302" i="54"/>
  <c r="DJ1138" i="54"/>
  <c r="DM51" i="54"/>
  <c r="DJ670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EP302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Z84" i="66"/>
  <c r="BU84" i="66"/>
  <c r="BA85" i="66" s="1"/>
  <c r="ED224" i="54"/>
  <c r="EQ262" i="54"/>
  <c r="EP262" i="54"/>
  <c r="EP82" i="54"/>
  <c r="ER82" i="54"/>
  <c r="EQ302" i="54"/>
  <c r="EF24" i="54"/>
  <c r="BQ85" i="66"/>
  <c r="DL205" i="54"/>
  <c r="DL1139" i="54"/>
  <c r="DM1139" i="54" s="1"/>
  <c r="DL775" i="54"/>
  <c r="DL777" i="54"/>
  <c r="DL152" i="54"/>
  <c r="DL151" i="54"/>
  <c r="DM151" i="54" s="1"/>
  <c r="DL153" i="54"/>
  <c r="EP442" i="54"/>
  <c r="EO442" i="54"/>
  <c r="ER302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53" i="54"/>
  <c r="DI151" i="54"/>
  <c r="DJ151" i="54" s="1"/>
  <c r="EH204" i="54"/>
  <c r="EL362" i="54"/>
  <c r="BL23" i="66"/>
  <c r="DF671" i="54"/>
  <c r="DG671" i="54" s="1"/>
  <c r="DF205" i="54"/>
  <c r="DF776" i="54"/>
  <c r="HU134" i="54" s="1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F1140" i="54"/>
  <c r="DF777" i="54"/>
  <c r="HU136" i="54" s="1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U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Y23" i="66"/>
  <c r="CI12" i="66" s="1"/>
  <c r="BK85" i="66"/>
  <c r="BT23" i="66"/>
  <c r="AZ24" i="66" s="1"/>
  <c r="DL673" i="54" l="1"/>
  <c r="DI1505" i="54"/>
  <c r="DJ1505" i="54" s="1"/>
  <c r="DI1503" i="54"/>
  <c r="DJ1503" i="54" s="1"/>
  <c r="DI1504" i="54"/>
  <c r="DJ1504" i="54" s="1"/>
  <c r="EG583" i="54"/>
  <c r="EF583" i="54"/>
  <c r="EE583" i="54"/>
  <c r="FP582" i="54"/>
  <c r="FQ582" i="54"/>
  <c r="FO582" i="54"/>
  <c r="FM582" i="54"/>
  <c r="FN582" i="54"/>
  <c r="EB582" i="54"/>
  <c r="EM583" i="54" s="1"/>
  <c r="CF463" i="54"/>
  <c r="CF583" i="54"/>
  <c r="EL583" i="54"/>
  <c r="ED583" i="54"/>
  <c r="EH583" i="54"/>
  <c r="DL931" i="54"/>
  <c r="DM931" i="54" s="1"/>
  <c r="DL983" i="54"/>
  <c r="DM983" i="54" s="1"/>
  <c r="DL203" i="54"/>
  <c r="DM203" i="54" s="1"/>
  <c r="DL933" i="54"/>
  <c r="DL672" i="54"/>
  <c r="DL671" i="54"/>
  <c r="DM671" i="54" s="1"/>
  <c r="DL1140" i="54"/>
  <c r="DL932" i="54"/>
  <c r="FR582" i="54"/>
  <c r="FS582" i="54"/>
  <c r="FU582" i="54"/>
  <c r="FV582" i="54"/>
  <c r="FT582" i="54"/>
  <c r="EC582" i="54"/>
  <c r="EO583" i="54" s="1"/>
  <c r="DL1505" i="54"/>
  <c r="DL1504" i="54"/>
  <c r="DM1504" i="54" s="1"/>
  <c r="DL1503" i="54"/>
  <c r="DM1503" i="54" s="1"/>
  <c r="DL984" i="54"/>
  <c r="DL204" i="54"/>
  <c r="DL1141" i="54"/>
  <c r="DL776" i="54"/>
  <c r="EN583" i="54"/>
  <c r="DM312" i="54"/>
  <c r="DM624" i="54"/>
  <c r="DM623" i="54"/>
  <c r="DF82" i="66"/>
  <c r="AO541" i="54" s="1"/>
  <c r="AQ541" i="54" s="1"/>
  <c r="DM519" i="54"/>
  <c r="DM520" i="54"/>
  <c r="DM572" i="54"/>
  <c r="DM571" i="54"/>
  <c r="DJ1611" i="54"/>
  <c r="DS79" i="66"/>
  <c r="DJ1663" i="54"/>
  <c r="DM1612" i="54"/>
  <c r="DJ1612" i="54"/>
  <c r="DJ1664" i="54"/>
  <c r="DM1664" i="54"/>
  <c r="EK624" i="54"/>
  <c r="DF1667" i="54"/>
  <c r="DF1666" i="54"/>
  <c r="DF1665" i="54"/>
  <c r="DG1665" i="54" s="1"/>
  <c r="DF1668" i="54"/>
  <c r="FJ644" i="54"/>
  <c r="FL644" i="54"/>
  <c r="FI644" i="54"/>
  <c r="FK644" i="54"/>
  <c r="FH644" i="54"/>
  <c r="EA644" i="54"/>
  <c r="CH524" i="54"/>
  <c r="CH644" i="54"/>
  <c r="CJ524" i="54"/>
  <c r="CJ644" i="54"/>
  <c r="EK644" i="54"/>
  <c r="EM644" i="54"/>
  <c r="EI644" i="54"/>
  <c r="EQ644" i="54"/>
  <c r="EJ644" i="54"/>
  <c r="DM1663" i="54"/>
  <c r="EP644" i="54"/>
  <c r="ER644" i="54"/>
  <c r="EN644" i="54"/>
  <c r="CJ564" i="54"/>
  <c r="CJ624" i="54"/>
  <c r="DF1613" i="54"/>
  <c r="DG1613" i="54" s="1"/>
  <c r="DF1614" i="54"/>
  <c r="DF1616" i="54"/>
  <c r="DF1615" i="54"/>
  <c r="FI624" i="54"/>
  <c r="FJ624" i="54"/>
  <c r="FK624" i="54"/>
  <c r="EA624" i="54"/>
  <c r="FH624" i="54"/>
  <c r="FL624" i="54"/>
  <c r="EL624" i="54"/>
  <c r="EJ624" i="54"/>
  <c r="DM1611" i="54"/>
  <c r="EO624" i="54"/>
  <c r="ER624" i="54"/>
  <c r="EQ624" i="54"/>
  <c r="EI624" i="54"/>
  <c r="DK83" i="66"/>
  <c r="AZ358" i="54"/>
  <c r="DK82" i="66"/>
  <c r="BB358" i="54"/>
  <c r="DF62" i="66"/>
  <c r="AO521" i="54" s="1"/>
  <c r="DK81" i="66"/>
  <c r="DK62" i="66"/>
  <c r="BA358" i="54"/>
  <c r="DK63" i="66"/>
  <c r="AW538" i="54"/>
  <c r="AV538" i="54"/>
  <c r="AW378" i="54"/>
  <c r="DG100" i="54"/>
  <c r="AR400" i="54"/>
  <c r="AO480" i="54"/>
  <c r="AS480" i="54" s="1"/>
  <c r="DR81" i="66"/>
  <c r="AP379" i="54"/>
  <c r="EG403" i="54"/>
  <c r="AQ379" i="54"/>
  <c r="AR379" i="54"/>
  <c r="AW398" i="54"/>
  <c r="DI1036" i="54"/>
  <c r="ED403" i="54"/>
  <c r="AZ378" i="54"/>
  <c r="AQ400" i="54"/>
  <c r="AS400" i="54"/>
  <c r="AU378" i="54"/>
  <c r="AV378" i="54"/>
  <c r="DI257" i="54"/>
  <c r="AX398" i="54"/>
  <c r="AU398" i="54"/>
  <c r="DI99" i="54"/>
  <c r="DJ99" i="54" s="1"/>
  <c r="DI1089" i="54"/>
  <c r="EF403" i="54"/>
  <c r="DI1035" i="54"/>
  <c r="DJ1035" i="54" s="1"/>
  <c r="DI255" i="54"/>
  <c r="DJ255" i="54" s="1"/>
  <c r="EE403" i="54"/>
  <c r="BC378" i="54"/>
  <c r="BA378" i="54"/>
  <c r="AS380" i="54"/>
  <c r="DG1556" i="54"/>
  <c r="DL101" i="54"/>
  <c r="CA43" i="66"/>
  <c r="BZ43" i="66"/>
  <c r="CJ20" i="66" s="1"/>
  <c r="CT20" i="66" s="1"/>
  <c r="DI101" i="54"/>
  <c r="DI1088" i="54"/>
  <c r="DG1296" i="54"/>
  <c r="DG1557" i="54"/>
  <c r="DM1455" i="54"/>
  <c r="DQ82" i="66"/>
  <c r="BN541" i="54"/>
  <c r="DQ83" i="66"/>
  <c r="BN542" i="54"/>
  <c r="DS40" i="66"/>
  <c r="AT499" i="54"/>
  <c r="FM602" i="54"/>
  <c r="FP602" i="54"/>
  <c r="EB602" i="54"/>
  <c r="EL603" i="54" s="1"/>
  <c r="FN602" i="54"/>
  <c r="FO602" i="54"/>
  <c r="FQ602" i="54"/>
  <c r="AT519" i="54"/>
  <c r="AT459" i="54"/>
  <c r="EB102" i="54"/>
  <c r="EM103" i="54" s="1"/>
  <c r="BN522" i="54"/>
  <c r="BN462" i="54"/>
  <c r="DQ81" i="66"/>
  <c r="BN540" i="54"/>
  <c r="AY399" i="54"/>
  <c r="BC399" i="54" s="1"/>
  <c r="AY499" i="54"/>
  <c r="DL1557" i="54"/>
  <c r="DL1555" i="54"/>
  <c r="DM1555" i="54" s="1"/>
  <c r="DL1556" i="54"/>
  <c r="EG603" i="54"/>
  <c r="EH603" i="54"/>
  <c r="BF461" i="54"/>
  <c r="BH461" i="54"/>
  <c r="BE461" i="54"/>
  <c r="BG461" i="54"/>
  <c r="BF522" i="54"/>
  <c r="BH522" i="54"/>
  <c r="BE522" i="54"/>
  <c r="BG522" i="54"/>
  <c r="ED603" i="54"/>
  <c r="AV498" i="54"/>
  <c r="AW498" i="54"/>
  <c r="AU498" i="54"/>
  <c r="AX498" i="54"/>
  <c r="BF542" i="54"/>
  <c r="BG542" i="54"/>
  <c r="BE542" i="54"/>
  <c r="BH542" i="54"/>
  <c r="EB182" i="54"/>
  <c r="BN521" i="54"/>
  <c r="BN461" i="54"/>
  <c r="DI1555" i="54"/>
  <c r="DJ1555" i="54" s="1"/>
  <c r="DI1557" i="54"/>
  <c r="DI1556" i="54"/>
  <c r="BH521" i="54"/>
  <c r="BG521" i="54"/>
  <c r="BF521" i="54"/>
  <c r="BE521" i="54"/>
  <c r="BG460" i="54"/>
  <c r="BE460" i="54"/>
  <c r="BF460" i="54"/>
  <c r="BH460" i="54"/>
  <c r="AU539" i="54"/>
  <c r="AX539" i="54"/>
  <c r="AW539" i="54"/>
  <c r="AV539" i="54"/>
  <c r="BN520" i="54"/>
  <c r="BN460" i="54"/>
  <c r="AU458" i="54"/>
  <c r="AW458" i="54"/>
  <c r="AV458" i="54"/>
  <c r="AX458" i="54"/>
  <c r="BE541" i="54"/>
  <c r="BH541" i="54"/>
  <c r="BF541" i="54"/>
  <c r="BG541" i="54"/>
  <c r="BH520" i="54"/>
  <c r="BE520" i="54"/>
  <c r="BG520" i="54"/>
  <c r="BF520" i="54"/>
  <c r="EF603" i="54"/>
  <c r="BH540" i="54"/>
  <c r="BF540" i="54"/>
  <c r="BG540" i="54"/>
  <c r="BE540" i="54"/>
  <c r="FR602" i="54"/>
  <c r="FT602" i="54"/>
  <c r="FU602" i="54"/>
  <c r="FS602" i="54"/>
  <c r="EC602" i="54"/>
  <c r="FV602" i="54"/>
  <c r="AX518" i="54"/>
  <c r="AW518" i="54"/>
  <c r="AU518" i="54"/>
  <c r="AV518" i="54"/>
  <c r="BG462" i="54"/>
  <c r="BF462" i="54"/>
  <c r="BE462" i="54"/>
  <c r="BH462" i="54"/>
  <c r="BC498" i="54"/>
  <c r="AZ498" i="54"/>
  <c r="BA498" i="54"/>
  <c r="BB498" i="54"/>
  <c r="AP380" i="54"/>
  <c r="AR380" i="54"/>
  <c r="IL117" i="54"/>
  <c r="AT379" i="54"/>
  <c r="AW379" i="54" s="1"/>
  <c r="AT479" i="54"/>
  <c r="HJ130" i="54"/>
  <c r="HP130" i="54" s="1"/>
  <c r="HJ136" i="54"/>
  <c r="HS127" i="54"/>
  <c r="IG127" i="54" s="1"/>
  <c r="AR500" i="54"/>
  <c r="AP500" i="54"/>
  <c r="AS500" i="54"/>
  <c r="AQ500" i="54"/>
  <c r="AV478" i="54"/>
  <c r="AU478" i="54"/>
  <c r="AW478" i="54"/>
  <c r="AX478" i="54"/>
  <c r="DT20" i="66"/>
  <c r="AY479" i="54"/>
  <c r="IG124" i="54"/>
  <c r="HS125" i="54"/>
  <c r="IG125" i="54" s="1"/>
  <c r="HJ131" i="54"/>
  <c r="HP131" i="54" s="1"/>
  <c r="HJ135" i="54"/>
  <c r="HP135" i="54" s="1"/>
  <c r="HS126" i="54"/>
  <c r="IG126" i="54" s="1"/>
  <c r="HS129" i="54"/>
  <c r="BA478" i="54"/>
  <c r="BC478" i="54"/>
  <c r="BB478" i="54"/>
  <c r="AZ478" i="54"/>
  <c r="HI123" i="54"/>
  <c r="HO123" i="54" s="1"/>
  <c r="IF123" i="54" s="1"/>
  <c r="IK123" i="54" s="1"/>
  <c r="IT123" i="54" s="1"/>
  <c r="HI124" i="54"/>
  <c r="HO124" i="54" s="1"/>
  <c r="HI122" i="54"/>
  <c r="HO122" i="54" s="1"/>
  <c r="IF122" i="54" s="1"/>
  <c r="IK122" i="54" s="1"/>
  <c r="IT122" i="54" s="1"/>
  <c r="HI125" i="54"/>
  <c r="HO125" i="54" s="1"/>
  <c r="HI128" i="54"/>
  <c r="HO128" i="54" s="1"/>
  <c r="HI129" i="54"/>
  <c r="HI126" i="54"/>
  <c r="HO126" i="54" s="1"/>
  <c r="HI127" i="54"/>
  <c r="HO127" i="54" s="1"/>
  <c r="HW136" i="54"/>
  <c r="HJ132" i="54"/>
  <c r="HP132" i="54" s="1"/>
  <c r="HJ133" i="54"/>
  <c r="HP133" i="54" s="1"/>
  <c r="HS128" i="54"/>
  <c r="IG128" i="54" s="1"/>
  <c r="IS117" i="54"/>
  <c r="IM117" i="54"/>
  <c r="IT117" i="54"/>
  <c r="IN117" i="54"/>
  <c r="DM1351" i="54"/>
  <c r="HR125" i="54"/>
  <c r="HR124" i="54"/>
  <c r="HR129" i="54"/>
  <c r="HR130" i="54"/>
  <c r="DG775" i="54"/>
  <c r="HU131" i="54"/>
  <c r="DM775" i="54"/>
  <c r="HR126" i="54"/>
  <c r="HR127" i="54"/>
  <c r="HR128" i="54"/>
  <c r="IR120" i="54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L1244" i="54"/>
  <c r="EC42" i="54"/>
  <c r="ER43" i="54" s="1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L1191" i="54"/>
  <c r="DM1191" i="54" s="1"/>
  <c r="DL1193" i="54"/>
  <c r="EC422" i="54"/>
  <c r="EQ423" i="54" s="1"/>
  <c r="EC342" i="54"/>
  <c r="EP343" i="54" s="1"/>
  <c r="EC282" i="54"/>
  <c r="EN283" i="54" s="1"/>
  <c r="EC182" i="54"/>
  <c r="EO183" i="54" s="1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R118" i="54"/>
  <c r="IN118" i="54"/>
  <c r="IL118" i="54"/>
  <c r="IS118" i="54"/>
  <c r="IM118" i="54"/>
  <c r="DM831" i="54"/>
  <c r="ED103" i="54"/>
  <c r="DG723" i="54"/>
  <c r="DG465" i="54"/>
  <c r="DG464" i="54"/>
  <c r="EE103" i="54"/>
  <c r="EH103" i="54"/>
  <c r="EF103" i="54"/>
  <c r="DG101" i="54"/>
  <c r="DG463" i="54"/>
  <c r="DG1036" i="54"/>
  <c r="EF183" i="54"/>
  <c r="HP129" i="54"/>
  <c r="HP134" i="54"/>
  <c r="DI881" i="54"/>
  <c r="BU43" i="66"/>
  <c r="BA44" i="66" s="1"/>
  <c r="DI100" i="54"/>
  <c r="DI1087" i="54"/>
  <c r="DJ1087" i="54" s="1"/>
  <c r="DI256" i="54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V43" i="66"/>
  <c r="BB44" i="66" s="1"/>
  <c r="CJ4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S20" i="66"/>
  <c r="BC398" i="54"/>
  <c r="BB398" i="54"/>
  <c r="AQ360" i="54"/>
  <c r="AZ398" i="54"/>
  <c r="DG21" i="66"/>
  <c r="AT439" i="54"/>
  <c r="AW439" i="54" s="1"/>
  <c r="DG41" i="66"/>
  <c r="AT359" i="54"/>
  <c r="AU359" i="54" s="1"/>
  <c r="AX358" i="54"/>
  <c r="AT399" i="54"/>
  <c r="AV399" i="54" s="1"/>
  <c r="DH21" i="66"/>
  <c r="AY379" i="54"/>
  <c r="BB379" i="54" s="1"/>
  <c r="AU358" i="54"/>
  <c r="AV358" i="54"/>
  <c r="AW438" i="54"/>
  <c r="AU438" i="54"/>
  <c r="AX438" i="54"/>
  <c r="DT40" i="66"/>
  <c r="DH41" i="66"/>
  <c r="AY500" i="54" s="1"/>
  <c r="AY439" i="54"/>
  <c r="BA439" i="54" s="1"/>
  <c r="AY359" i="54"/>
  <c r="BA359" i="54" s="1"/>
  <c r="DR61" i="66"/>
  <c r="BK44" i="66"/>
  <c r="CF543" i="54"/>
  <c r="CF503" i="54"/>
  <c r="CF483" i="54"/>
  <c r="DQ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Q62" i="66"/>
  <c r="BN341" i="54"/>
  <c r="BN421" i="54"/>
  <c r="BG341" i="54"/>
  <c r="BE341" i="54"/>
  <c r="BF341" i="54"/>
  <c r="BH341" i="54"/>
  <c r="BE422" i="54"/>
  <c r="BG422" i="54"/>
  <c r="BF422" i="54"/>
  <c r="BH422" i="54"/>
  <c r="DQ61" i="66"/>
  <c r="DT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EP324" i="54"/>
  <c r="EQ324" i="54"/>
  <c r="EN324" i="54"/>
  <c r="EO324" i="54"/>
  <c r="EN24" i="54"/>
  <c r="U22" i="67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L65" i="66"/>
  <c r="DF420" i="54"/>
  <c r="DF417" i="54"/>
  <c r="DF366" i="54"/>
  <c r="DF365" i="54"/>
  <c r="BY65" i="66"/>
  <c r="D11" i="57" s="1"/>
  <c r="BT65" i="66"/>
  <c r="DF419" i="54"/>
  <c r="DF368" i="54"/>
  <c r="DF418" i="54"/>
  <c r="DF367" i="54"/>
  <c r="V23" i="67"/>
  <c r="EA324" i="54"/>
  <c r="BR65" i="66"/>
  <c r="EA64" i="54"/>
  <c r="EA144" i="54"/>
  <c r="EA164" i="54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HZ144" i="54" s="1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1" i="54"/>
  <c r="IF121" i="54" s="1"/>
  <c r="IK121" i="54" s="1"/>
  <c r="ER24" i="54"/>
  <c r="EP24" i="54"/>
  <c r="EO24" i="54"/>
  <c r="EO224" i="54"/>
  <c r="EQ124" i="54"/>
  <c r="EN124" i="54"/>
  <c r="ER124" i="54"/>
  <c r="CO20" i="66"/>
  <c r="DL41" i="66" s="1"/>
  <c r="BD500" i="54" s="1"/>
  <c r="EP124" i="54"/>
  <c r="BQ44" i="66"/>
  <c r="EN204" i="54"/>
  <c r="DG984" i="54"/>
  <c r="EJ24" i="54"/>
  <c r="BV23" i="66"/>
  <c r="BB24" i="66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CA23" i="66"/>
  <c r="CK12" i="66" s="1"/>
  <c r="CK20" i="66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G81" i="66"/>
  <c r="AT540" i="54" s="1"/>
  <c r="DS80" i="66"/>
  <c r="DG61" i="66"/>
  <c r="DS60" i="66"/>
  <c r="DG777" i="54"/>
  <c r="EM324" i="54"/>
  <c r="DJ519" i="54"/>
  <c r="DJ51" i="54"/>
  <c r="DG1141" i="54"/>
  <c r="DG204" i="54"/>
  <c r="EL324" i="54"/>
  <c r="DG673" i="54"/>
  <c r="DG1140" i="54"/>
  <c r="DM984" i="54"/>
  <c r="EK224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S12" i="66"/>
  <c r="CO12" i="66"/>
  <c r="BQ24" i="66"/>
  <c r="BL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HV134" i="54" s="1"/>
  <c r="DI985" i="54"/>
  <c r="DI203" i="54"/>
  <c r="DJ203" i="54" s="1"/>
  <c r="DI672" i="54"/>
  <c r="DI204" i="54"/>
  <c r="DI932" i="54"/>
  <c r="DI1140" i="54"/>
  <c r="DI983" i="54"/>
  <c r="DJ983" i="54" s="1"/>
  <c r="DI775" i="54"/>
  <c r="DI1139" i="54"/>
  <c r="DJ1139" i="54" s="1"/>
  <c r="DI984" i="54"/>
  <c r="DI673" i="54"/>
  <c r="DI1141" i="54"/>
  <c r="DI777" i="54"/>
  <c r="HV136" i="54" s="1"/>
  <c r="DI933" i="54"/>
  <c r="DI931" i="54"/>
  <c r="DJ931" i="54" s="1"/>
  <c r="BZ23" i="66"/>
  <c r="CJ12" i="66" s="1"/>
  <c r="EI63" i="54"/>
  <c r="EM63" i="54"/>
  <c r="EJ63" i="54"/>
  <c r="DJ153" i="54"/>
  <c r="EF363" i="54"/>
  <c r="EN63" i="54"/>
  <c r="EO63" i="54"/>
  <c r="EQ63" i="54"/>
  <c r="DM1141" i="54"/>
  <c r="DM776" i="54"/>
  <c r="EH303" i="54"/>
  <c r="BR85" i="66"/>
  <c r="EE383" i="54"/>
  <c r="EQ403" i="54"/>
  <c r="EM24" i="54"/>
  <c r="EL204" i="54"/>
  <c r="EM204" i="54"/>
  <c r="DJ624" i="54"/>
  <c r="EG383" i="54"/>
  <c r="EG363" i="54"/>
  <c r="EG443" i="54"/>
  <c r="EL63" i="54"/>
  <c r="EI224" i="54"/>
  <c r="EE83" i="54"/>
  <c r="EK204" i="54"/>
  <c r="EI24" i="54"/>
  <c r="EE363" i="54"/>
  <c r="DG932" i="54"/>
  <c r="DG205" i="54"/>
  <c r="ER403" i="54"/>
  <c r="ER63" i="54"/>
  <c r="DI42" i="66"/>
  <c r="DI41" i="66"/>
  <c r="DI43" i="66"/>
  <c r="DJ571" i="54"/>
  <c r="EP63" i="54"/>
  <c r="EM124" i="54"/>
  <c r="EF443" i="54"/>
  <c r="EF383" i="54"/>
  <c r="EH383" i="54"/>
  <c r="EP403" i="54"/>
  <c r="EF303" i="54"/>
  <c r="ED443" i="54"/>
  <c r="EH263" i="54"/>
  <c r="DM932" i="54"/>
  <c r="DM205" i="54"/>
  <c r="EH363" i="54"/>
  <c r="EN403" i="54"/>
  <c r="EK244" i="54"/>
  <c r="EM244" i="54"/>
  <c r="DJ572" i="54"/>
  <c r="EF83" i="54"/>
  <c r="EH83" i="54"/>
  <c r="ED83" i="54"/>
  <c r="EK24" i="54"/>
  <c r="EI244" i="54"/>
  <c r="EE303" i="54"/>
  <c r="EK63" i="54"/>
  <c r="EF263" i="54"/>
  <c r="BU23" i="66"/>
  <c r="BA24" i="66" s="1"/>
  <c r="EE263" i="54"/>
  <c r="DG985" i="54"/>
  <c r="DJ152" i="54"/>
  <c r="EG303" i="54"/>
  <c r="DM673" i="54"/>
  <c r="DM985" i="54"/>
  <c r="DJ312" i="54"/>
  <c r="DJ52" i="54"/>
  <c r="DJ831" i="54"/>
  <c r="EG263" i="54"/>
  <c r="EJ204" i="54"/>
  <c r="EH443" i="54"/>
  <c r="EJ324" i="54"/>
  <c r="EM224" i="54"/>
  <c r="EK324" i="54"/>
  <c r="EL244" i="54"/>
  <c r="BA63" i="66"/>
  <c r="CH622" i="54" s="1"/>
  <c r="BW62" i="66"/>
  <c r="EI342" i="54"/>
  <c r="EK142" i="54"/>
  <c r="EL282" i="54"/>
  <c r="EL162" i="54"/>
  <c r="EK182" i="54"/>
  <c r="BZ62" i="66"/>
  <c r="BY85" i="66"/>
  <c r="BT85" i="66"/>
  <c r="BK24" i="66"/>
  <c r="CU20" i="66" l="1"/>
  <c r="CQ20" i="66"/>
  <c r="CU12" i="66"/>
  <c r="CQ12" i="66"/>
  <c r="DF1506" i="54"/>
  <c r="DG1506" i="54" s="1"/>
  <c r="DF1508" i="54"/>
  <c r="DG1508" i="54" s="1"/>
  <c r="DF1507" i="54"/>
  <c r="DG1507" i="54" s="1"/>
  <c r="CH463" i="54"/>
  <c r="CH583" i="54"/>
  <c r="EI583" i="54"/>
  <c r="FI583" i="54"/>
  <c r="FL583" i="54"/>
  <c r="FK583" i="54"/>
  <c r="EA583" i="54"/>
  <c r="EF584" i="54" s="1"/>
  <c r="FJ583" i="54"/>
  <c r="FH583" i="54"/>
  <c r="EJ583" i="54"/>
  <c r="EK583" i="54"/>
  <c r="EQ583" i="54"/>
  <c r="DM1505" i="54"/>
  <c r="ER583" i="54"/>
  <c r="CJ463" i="54"/>
  <c r="CJ583" i="54"/>
  <c r="EP583" i="54"/>
  <c r="DJ1037" i="54"/>
  <c r="DR82" i="66"/>
  <c r="DF83" i="66"/>
  <c r="AO542" i="54" s="1"/>
  <c r="AR542" i="54" s="1"/>
  <c r="AR541" i="54"/>
  <c r="AP541" i="54"/>
  <c r="AS541" i="54"/>
  <c r="EM403" i="54"/>
  <c r="AQ480" i="54"/>
  <c r="DJ1036" i="54"/>
  <c r="EP43" i="54"/>
  <c r="EL403" i="54"/>
  <c r="EI403" i="54"/>
  <c r="EP423" i="54"/>
  <c r="EQ43" i="54"/>
  <c r="EK43" i="54"/>
  <c r="EJ43" i="54"/>
  <c r="EN43" i="54"/>
  <c r="IF124" i="54"/>
  <c r="IK124" i="54" s="1"/>
  <c r="IN124" i="54" s="1"/>
  <c r="EO43" i="54"/>
  <c r="EK403" i="54"/>
  <c r="DF63" i="66"/>
  <c r="AO522" i="54" s="1"/>
  <c r="AO341" i="54"/>
  <c r="AQ341" i="54" s="1"/>
  <c r="DR62" i="66"/>
  <c r="AO421" i="54"/>
  <c r="AS421" i="54" s="1"/>
  <c r="EQ183" i="54"/>
  <c r="AO461" i="54"/>
  <c r="AQ461" i="54" s="1"/>
  <c r="DG1615" i="54"/>
  <c r="ER183" i="54"/>
  <c r="DG1616" i="54"/>
  <c r="DG1614" i="54"/>
  <c r="DG1666" i="54"/>
  <c r="DG1667" i="54"/>
  <c r="DG1668" i="54"/>
  <c r="DL1666" i="54"/>
  <c r="DL1667" i="54"/>
  <c r="DL1668" i="54"/>
  <c r="DL1665" i="54"/>
  <c r="DM1665" i="54" s="1"/>
  <c r="FO644" i="54"/>
  <c r="FQ644" i="54"/>
  <c r="FP644" i="54"/>
  <c r="FN644" i="54"/>
  <c r="FM644" i="54"/>
  <c r="EB644" i="54"/>
  <c r="FR644" i="54"/>
  <c r="FT644" i="54"/>
  <c r="FV644" i="54"/>
  <c r="FS644" i="54"/>
  <c r="FU644" i="54"/>
  <c r="EC644" i="54"/>
  <c r="DI1666" i="54"/>
  <c r="DI1667" i="54"/>
  <c r="DI1668" i="54"/>
  <c r="DI1665" i="54"/>
  <c r="DJ1665" i="54" s="1"/>
  <c r="DL1613" i="54"/>
  <c r="DM1613" i="54" s="1"/>
  <c r="DL1614" i="54"/>
  <c r="DL1615" i="54"/>
  <c r="DL1616" i="54"/>
  <c r="DI1613" i="54"/>
  <c r="DJ1613" i="54" s="1"/>
  <c r="DI1615" i="54"/>
  <c r="DI1616" i="54"/>
  <c r="DI1614" i="54"/>
  <c r="FV624" i="54"/>
  <c r="FS624" i="54"/>
  <c r="FU624" i="54"/>
  <c r="EC624" i="54"/>
  <c r="FR624" i="54"/>
  <c r="FT624" i="54"/>
  <c r="FO624" i="54"/>
  <c r="FQ624" i="54"/>
  <c r="FN624" i="54"/>
  <c r="FM624" i="54"/>
  <c r="EB624" i="54"/>
  <c r="FP624" i="54"/>
  <c r="DH82" i="66"/>
  <c r="AY541" i="54" s="1"/>
  <c r="BA541" i="54" s="1"/>
  <c r="AP480" i="54"/>
  <c r="DT81" i="66"/>
  <c r="EP103" i="54"/>
  <c r="EO423" i="54"/>
  <c r="ER283" i="54"/>
  <c r="EK603" i="54"/>
  <c r="EP183" i="54"/>
  <c r="EJ603" i="54"/>
  <c r="AR480" i="54"/>
  <c r="EN183" i="54"/>
  <c r="EL103" i="54"/>
  <c r="AV379" i="54"/>
  <c r="DJ256" i="54"/>
  <c r="DJ101" i="54"/>
  <c r="BB399" i="54"/>
  <c r="EK103" i="54"/>
  <c r="EO283" i="54"/>
  <c r="EQ283" i="54"/>
  <c r="DM1556" i="54"/>
  <c r="AU379" i="54"/>
  <c r="EQ103" i="54"/>
  <c r="ER103" i="54"/>
  <c r="EN423" i="54"/>
  <c r="ER423" i="54"/>
  <c r="BA399" i="54"/>
  <c r="EI103" i="54"/>
  <c r="EP283" i="54"/>
  <c r="AZ399" i="54"/>
  <c r="IG129" i="54"/>
  <c r="DM1192" i="54"/>
  <c r="EJ103" i="54"/>
  <c r="EK423" i="54"/>
  <c r="AX379" i="54"/>
  <c r="DJ1400" i="54"/>
  <c r="DJ1556" i="54"/>
  <c r="DM1557" i="54"/>
  <c r="EO103" i="54"/>
  <c r="DM1401" i="54"/>
  <c r="FL603" i="54"/>
  <c r="FI603" i="54"/>
  <c r="EA603" i="54"/>
  <c r="EE604" i="54" s="1"/>
  <c r="FK603" i="54"/>
  <c r="FH603" i="54"/>
  <c r="FJ603" i="54"/>
  <c r="DF1560" i="54"/>
  <c r="DF1559" i="54"/>
  <c r="DF1558" i="54"/>
  <c r="DG1558" i="54" s="1"/>
  <c r="AZ500" i="54"/>
  <c r="BC500" i="54"/>
  <c r="BA500" i="54"/>
  <c r="BB500" i="54"/>
  <c r="AT400" i="54"/>
  <c r="AU400" i="54" s="1"/>
  <c r="AT500" i="54"/>
  <c r="BR522" i="54"/>
  <c r="BO522" i="54"/>
  <c r="BP522" i="54"/>
  <c r="BQ522" i="54"/>
  <c r="BR542" i="54"/>
  <c r="BP542" i="54"/>
  <c r="BQ542" i="54"/>
  <c r="BO542" i="54"/>
  <c r="AT520" i="54"/>
  <c r="AT460" i="54"/>
  <c r="CJ503" i="54"/>
  <c r="CJ603" i="54"/>
  <c r="DG1354" i="54"/>
  <c r="BP460" i="54"/>
  <c r="BQ460" i="54"/>
  <c r="BO460" i="54"/>
  <c r="BR460" i="54"/>
  <c r="BR461" i="54"/>
  <c r="BQ461" i="54"/>
  <c r="BO461" i="54"/>
  <c r="BP461" i="54"/>
  <c r="BP540" i="54"/>
  <c r="BQ540" i="54"/>
  <c r="BO540" i="54"/>
  <c r="BR540" i="54"/>
  <c r="BH500" i="54"/>
  <c r="BE500" i="54"/>
  <c r="BF500" i="54"/>
  <c r="BG500" i="54"/>
  <c r="IF128" i="54"/>
  <c r="IK128" i="54" s="1"/>
  <c r="IR128" i="54" s="1"/>
  <c r="BP520" i="54"/>
  <c r="BQ520" i="54"/>
  <c r="BR520" i="54"/>
  <c r="BO520" i="54"/>
  <c r="BP521" i="54"/>
  <c r="BQ521" i="54"/>
  <c r="BO521" i="54"/>
  <c r="BR521" i="54"/>
  <c r="AU459" i="54"/>
  <c r="AW459" i="54"/>
  <c r="AX459" i="54"/>
  <c r="AV459" i="54"/>
  <c r="AW499" i="54"/>
  <c r="AX499" i="54"/>
  <c r="AV499" i="54"/>
  <c r="AU499" i="54"/>
  <c r="BR541" i="54"/>
  <c r="BP541" i="54"/>
  <c r="BO541" i="54"/>
  <c r="BQ541" i="54"/>
  <c r="AV540" i="54"/>
  <c r="AX540" i="54"/>
  <c r="AU540" i="54"/>
  <c r="AW540" i="54"/>
  <c r="CH543" i="54"/>
  <c r="CH603" i="54"/>
  <c r="EN603" i="54"/>
  <c r="EP603" i="54"/>
  <c r="ER603" i="54"/>
  <c r="EQ603" i="54"/>
  <c r="EO603" i="54"/>
  <c r="DJ1557" i="54"/>
  <c r="BC499" i="54"/>
  <c r="BB499" i="54"/>
  <c r="BA499" i="54"/>
  <c r="AZ499" i="54"/>
  <c r="BO462" i="54"/>
  <c r="BQ462" i="54"/>
  <c r="BP462" i="54"/>
  <c r="BR462" i="54"/>
  <c r="AV519" i="54"/>
  <c r="AU519" i="54"/>
  <c r="AW519" i="54"/>
  <c r="AX519" i="54"/>
  <c r="EI603" i="54"/>
  <c r="EM603" i="54"/>
  <c r="AS542" i="54"/>
  <c r="AQ521" i="54"/>
  <c r="AP521" i="54"/>
  <c r="AS521" i="54"/>
  <c r="AR521" i="54"/>
  <c r="AV479" i="54"/>
  <c r="AW479" i="54"/>
  <c r="AX479" i="54"/>
  <c r="AU479" i="54"/>
  <c r="DM1089" i="54"/>
  <c r="AY380" i="54"/>
  <c r="AZ380" i="54" s="1"/>
  <c r="AY480" i="54"/>
  <c r="AT380" i="54"/>
  <c r="AU380" i="54" s="1"/>
  <c r="AT480" i="54"/>
  <c r="HW131" i="54"/>
  <c r="BB479" i="54"/>
  <c r="AZ479" i="54"/>
  <c r="BC479" i="54"/>
  <c r="BA479" i="54"/>
  <c r="IF125" i="54"/>
  <c r="IK125" i="54" s="1"/>
  <c r="IL125" i="54" s="1"/>
  <c r="DM1036" i="54"/>
  <c r="IA144" i="54"/>
  <c r="HS131" i="54"/>
  <c r="IG131" i="54" s="1"/>
  <c r="HS133" i="54"/>
  <c r="HS132" i="54"/>
  <c r="IG132" i="54" s="1"/>
  <c r="HQ134" i="54"/>
  <c r="IE134" i="54" s="1"/>
  <c r="HQ135" i="54"/>
  <c r="IE135" i="54" s="1"/>
  <c r="HJ140" i="54"/>
  <c r="HP140" i="54" s="1"/>
  <c r="HJ144" i="54"/>
  <c r="HJ141" i="54"/>
  <c r="HP141" i="54" s="1"/>
  <c r="HJ143" i="54"/>
  <c r="HP143" i="54" s="1"/>
  <c r="HJ139" i="54"/>
  <c r="HP139" i="54" s="1"/>
  <c r="HJ137" i="54"/>
  <c r="HP137" i="54" s="1"/>
  <c r="HJ138" i="54"/>
  <c r="HP138" i="54" s="1"/>
  <c r="HJ142" i="54"/>
  <c r="HP142" i="54" s="1"/>
  <c r="HQ133" i="54"/>
  <c r="IE133" i="54" s="1"/>
  <c r="HQ132" i="54"/>
  <c r="IE132" i="54" s="1"/>
  <c r="HQ131" i="54"/>
  <c r="HQ137" i="54"/>
  <c r="HQ138" i="54"/>
  <c r="HQ136" i="54"/>
  <c r="DJ775" i="54"/>
  <c r="HV131" i="54"/>
  <c r="II131" i="54" s="1"/>
  <c r="IP133" i="54" s="1"/>
  <c r="HH139" i="54"/>
  <c r="HN139" i="54" s="1"/>
  <c r="HH140" i="54"/>
  <c r="HN140" i="54" s="1"/>
  <c r="HH138" i="54"/>
  <c r="HN138" i="54" s="1"/>
  <c r="HH137" i="54"/>
  <c r="HN137" i="54" s="1"/>
  <c r="HH144" i="54"/>
  <c r="HH143" i="54"/>
  <c r="HN143" i="54" s="1"/>
  <c r="HH142" i="54"/>
  <c r="HN142" i="54" s="1"/>
  <c r="HH141" i="54"/>
  <c r="HN141" i="54" s="1"/>
  <c r="EQ343" i="54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F1195" i="54"/>
  <c r="DL1355" i="54"/>
  <c r="DL1353" i="54"/>
  <c r="DM1353" i="54" s="1"/>
  <c r="DL1356" i="54"/>
  <c r="DL1354" i="54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R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L1460" i="54"/>
  <c r="DI1459" i="54"/>
  <c r="DI1457" i="54"/>
  <c r="DJ1457" i="54" s="1"/>
  <c r="DI1460" i="54"/>
  <c r="DI1458" i="54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F19" i="65"/>
  <c r="F8" i="65"/>
  <c r="J8" i="65" s="1"/>
  <c r="M8" i="65" s="1"/>
  <c r="CI29" i="66"/>
  <c r="CO29" i="66" s="1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II136" i="54"/>
  <c r="II134" i="54"/>
  <c r="DJ1089" i="54"/>
  <c r="IE131" i="54"/>
  <c r="DJ100" i="54"/>
  <c r="DJ257" i="54"/>
  <c r="DJ1088" i="54"/>
  <c r="DJ723" i="54"/>
  <c r="IG130" i="54"/>
  <c r="DJ880" i="54"/>
  <c r="DM724" i="54"/>
  <c r="DJ725" i="54"/>
  <c r="DJ463" i="54"/>
  <c r="DJ465" i="54"/>
  <c r="DJ881" i="54"/>
  <c r="DM465" i="54"/>
  <c r="DM464" i="54"/>
  <c r="CJ343" i="54"/>
  <c r="CJ103" i="54"/>
  <c r="CJ183" i="54"/>
  <c r="CJ483" i="54"/>
  <c r="AX439" i="54"/>
  <c r="DM880" i="54"/>
  <c r="DJ724" i="54"/>
  <c r="DM725" i="54"/>
  <c r="HS136" i="54" s="1"/>
  <c r="DM881" i="54"/>
  <c r="DF103" i="54"/>
  <c r="DL258" i="54"/>
  <c r="DM258" i="54" s="1"/>
  <c r="DF104" i="54"/>
  <c r="DF1039" i="54"/>
  <c r="DF1090" i="54"/>
  <c r="DG1090" i="54" s="1"/>
  <c r="DF1038" i="54"/>
  <c r="DG1038" i="54" s="1"/>
  <c r="DF260" i="54"/>
  <c r="BL44" i="66"/>
  <c r="DI1040" i="54" s="1"/>
  <c r="EN25" i="66"/>
  <c r="HN136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V439" i="54"/>
  <c r="AU439" i="54"/>
  <c r="AX359" i="54"/>
  <c r="AX399" i="54"/>
  <c r="AT440" i="54"/>
  <c r="AX440" i="54" s="1"/>
  <c r="AW399" i="54"/>
  <c r="AT360" i="54"/>
  <c r="AV360" i="54" s="1"/>
  <c r="AW359" i="54"/>
  <c r="AV359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H62" i="66"/>
  <c r="DT62" i="66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O41" i="66"/>
  <c r="DR41" i="66" s="1"/>
  <c r="BD440" i="54"/>
  <c r="BD400" i="54"/>
  <c r="BD360" i="54"/>
  <c r="AO342" i="54"/>
  <c r="BO340" i="54"/>
  <c r="BP340" i="54"/>
  <c r="BQ340" i="54"/>
  <c r="BR340" i="54"/>
  <c r="AU419" i="54"/>
  <c r="AX419" i="54"/>
  <c r="AV419" i="54"/>
  <c r="AW419" i="54"/>
  <c r="BR342" i="54"/>
  <c r="BO342" i="54"/>
  <c r="BP342" i="54"/>
  <c r="BQ342" i="54"/>
  <c r="AQ421" i="54"/>
  <c r="BT44" i="66"/>
  <c r="AZ45" i="66" s="1"/>
  <c r="BY44" i="66"/>
  <c r="BR44" i="66"/>
  <c r="EP263" i="54"/>
  <c r="AP22" i="67"/>
  <c r="AT22" i="67" s="1"/>
  <c r="AV22" i="67" s="1"/>
  <c r="P23" i="67"/>
  <c r="T23" i="67" s="1"/>
  <c r="DL420" i="54"/>
  <c r="DL366" i="54"/>
  <c r="DL419" i="54"/>
  <c r="DL368" i="54"/>
  <c r="CA65" i="66"/>
  <c r="DL367" i="54"/>
  <c r="DL418" i="54"/>
  <c r="BV65" i="66"/>
  <c r="DL417" i="54"/>
  <c r="DL365" i="54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R23" i="67"/>
  <c r="AM23" i="67"/>
  <c r="X23" i="67"/>
  <c r="EC324" i="54"/>
  <c r="EC164" i="54"/>
  <c r="EC64" i="54"/>
  <c r="EC144" i="54"/>
  <c r="EB64" i="54"/>
  <c r="EB144" i="54"/>
  <c r="EB164" i="54"/>
  <c r="W23" i="67"/>
  <c r="EB324" i="54"/>
  <c r="DG417" i="54"/>
  <c r="DG418" i="54"/>
  <c r="DG419" i="54"/>
  <c r="DG420" i="54"/>
  <c r="AX21" i="67"/>
  <c r="CH21" i="67"/>
  <c r="CK21" i="67" s="1"/>
  <c r="AU21" i="67"/>
  <c r="AW21" i="67"/>
  <c r="AV21" i="67"/>
  <c r="DL43" i="66"/>
  <c r="BD502" i="54" s="1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P20" i="66"/>
  <c r="DM42" i="66" s="1"/>
  <c r="BI501" i="54" s="1"/>
  <c r="DL42" i="66"/>
  <c r="BD501" i="54" s="1"/>
  <c r="DN41" i="66"/>
  <c r="BN500" i="54" s="1"/>
  <c r="IL122" i="54"/>
  <c r="IN122" i="54"/>
  <c r="IM122" i="54"/>
  <c r="IL123" i="54"/>
  <c r="IN123" i="54"/>
  <c r="IM123" i="54"/>
  <c r="EA83" i="54"/>
  <c r="EG84" i="54" s="1"/>
  <c r="EA263" i="54"/>
  <c r="ED264" i="54" s="1"/>
  <c r="EA303" i="54"/>
  <c r="HY154" i="54" s="1"/>
  <c r="EA363" i="54"/>
  <c r="ED364" i="54" s="1"/>
  <c r="EA383" i="54"/>
  <c r="ED384" i="54" s="1"/>
  <c r="EA443" i="54"/>
  <c r="EE444" i="54" s="1"/>
  <c r="IL121" i="54"/>
  <c r="IN121" i="54"/>
  <c r="IM121" i="54"/>
  <c r="IG133" i="54"/>
  <c r="HP136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U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I37" i="66"/>
  <c r="CS37" i="66" s="1"/>
  <c r="DX17" i="66"/>
  <c r="DX18" i="66"/>
  <c r="E7" i="70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J43" i="66"/>
  <c r="DJ41" i="66"/>
  <c r="DJ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Z85" i="66"/>
  <c r="DI155" i="54"/>
  <c r="DI154" i="54"/>
  <c r="DJ154" i="54" s="1"/>
  <c r="DI156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154" i="54"/>
  <c r="DM154" i="54" s="1"/>
  <c r="BL24" i="66"/>
  <c r="DF1144" i="54"/>
  <c r="DF778" i="54"/>
  <c r="DF675" i="54"/>
  <c r="DF988" i="54"/>
  <c r="DF987" i="54"/>
  <c r="DF936" i="54"/>
  <c r="DF206" i="54"/>
  <c r="DG206" i="54" s="1"/>
  <c r="DF780" i="54"/>
  <c r="HU144" i="54" s="1"/>
  <c r="DF674" i="54"/>
  <c r="DG674" i="54" s="1"/>
  <c r="DF1143" i="54"/>
  <c r="DF934" i="54"/>
  <c r="DG934" i="54" s="1"/>
  <c r="DF207" i="54"/>
  <c r="DF208" i="54"/>
  <c r="DF779" i="54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CP12" i="66"/>
  <c r="CT12" i="66"/>
  <c r="DG627" i="54"/>
  <c r="DG575" i="54"/>
  <c r="DL22" i="66"/>
  <c r="BD481" i="54" s="1"/>
  <c r="DL23" i="66"/>
  <c r="BD482" i="54" s="1"/>
  <c r="DL21" i="66"/>
  <c r="BD480" i="54" s="1"/>
  <c r="DG155" i="54"/>
  <c r="DK41" i="66"/>
  <c r="DK43" i="66"/>
  <c r="DK42" i="66"/>
  <c r="EL443" i="54"/>
  <c r="EM443" i="54"/>
  <c r="DJ205" i="54"/>
  <c r="DG315" i="54"/>
  <c r="DG628" i="54"/>
  <c r="DI22" i="66"/>
  <c r="DI23" i="66"/>
  <c r="DI21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V85" i="66"/>
  <c r="CA85" i="66"/>
  <c r="BY24" i="66"/>
  <c r="BT24" i="66"/>
  <c r="AZ25" i="66" s="1"/>
  <c r="FN583" i="54" l="1"/>
  <c r="FQ583" i="54"/>
  <c r="EB583" i="54"/>
  <c r="FP583" i="54"/>
  <c r="FO583" i="54"/>
  <c r="FM583" i="54"/>
  <c r="CF464" i="54"/>
  <c r="CF584" i="54"/>
  <c r="EH584" i="54"/>
  <c r="DI1508" i="54"/>
  <c r="DJ1508" i="54" s="1"/>
  <c r="DI1506" i="54"/>
  <c r="DJ1506" i="54" s="1"/>
  <c r="DI1507" i="54"/>
  <c r="DJ1507" i="54" s="1"/>
  <c r="EJ584" i="54"/>
  <c r="EE584" i="54"/>
  <c r="EG584" i="54"/>
  <c r="ED584" i="54"/>
  <c r="EI584" i="54"/>
  <c r="DL1508" i="54"/>
  <c r="DM1508" i="54" s="1"/>
  <c r="DL1506" i="54"/>
  <c r="DM1506" i="54" s="1"/>
  <c r="DL1507" i="54"/>
  <c r="DM1507" i="54" s="1"/>
  <c r="F8" i="57"/>
  <c r="F9" i="57"/>
  <c r="F7" i="57"/>
  <c r="F5" i="57"/>
  <c r="F10" i="57"/>
  <c r="F11" i="57"/>
  <c r="F6" i="57"/>
  <c r="FT583" i="54"/>
  <c r="FV583" i="54"/>
  <c r="FU583" i="54"/>
  <c r="FS583" i="54"/>
  <c r="FR583" i="54"/>
  <c r="EC583" i="54"/>
  <c r="EP584" i="54" s="1"/>
  <c r="FP84" i="65"/>
  <c r="FP88" i="65"/>
  <c r="FP92" i="65"/>
  <c r="FP96" i="65"/>
  <c r="FP100" i="65"/>
  <c r="FP104" i="65"/>
  <c r="FP108" i="65"/>
  <c r="FP112" i="65"/>
  <c r="FP116" i="65"/>
  <c r="FP120" i="65"/>
  <c r="FP85" i="65"/>
  <c r="FP89" i="65"/>
  <c r="FP93" i="65"/>
  <c r="FP97" i="65"/>
  <c r="FP101" i="65"/>
  <c r="FP105" i="65"/>
  <c r="FP109" i="65"/>
  <c r="FP113" i="65"/>
  <c r="FP117" i="65"/>
  <c r="FP121" i="65"/>
  <c r="FP86" i="65"/>
  <c r="FP90" i="65"/>
  <c r="FP94" i="65"/>
  <c r="FP98" i="65"/>
  <c r="FP102" i="65"/>
  <c r="FP106" i="65"/>
  <c r="FP110" i="65"/>
  <c r="FP114" i="65"/>
  <c r="FP118" i="65"/>
  <c r="FP87" i="65"/>
  <c r="FP91" i="65"/>
  <c r="FP95" i="65"/>
  <c r="FP99" i="65"/>
  <c r="FP103" i="65"/>
  <c r="FP107" i="65"/>
  <c r="FP111" i="65"/>
  <c r="FP115" i="65"/>
  <c r="FP119" i="65"/>
  <c r="DR83" i="66"/>
  <c r="AP542" i="54"/>
  <c r="AQ542" i="54"/>
  <c r="DF84" i="66"/>
  <c r="AO543" i="54" s="1"/>
  <c r="AP543" i="54" s="1"/>
  <c r="DR63" i="66"/>
  <c r="DF64" i="66"/>
  <c r="AO343" i="54" s="1"/>
  <c r="AO422" i="54"/>
  <c r="AR422" i="54" s="1"/>
  <c r="IL124" i="54"/>
  <c r="IT124" i="54"/>
  <c r="IS124" i="54"/>
  <c r="IR124" i="54"/>
  <c r="AR421" i="54"/>
  <c r="AP421" i="54"/>
  <c r="BC380" i="54"/>
  <c r="IM124" i="54"/>
  <c r="DH83" i="66"/>
  <c r="AY542" i="54" s="1"/>
  <c r="BC542" i="54" s="1"/>
  <c r="AS341" i="54"/>
  <c r="AP461" i="54"/>
  <c r="AO462" i="54"/>
  <c r="AP462" i="54" s="1"/>
  <c r="AP341" i="54"/>
  <c r="AS461" i="54"/>
  <c r="AR341" i="54"/>
  <c r="AR461" i="54"/>
  <c r="DT82" i="66"/>
  <c r="DM1667" i="54"/>
  <c r="DJ1667" i="54"/>
  <c r="DM1615" i="54"/>
  <c r="DJ1668" i="54"/>
  <c r="DM1668" i="54"/>
  <c r="DJ1666" i="54"/>
  <c r="DM1666" i="54"/>
  <c r="DJ1614" i="54"/>
  <c r="DM1616" i="54"/>
  <c r="BB541" i="54"/>
  <c r="DM1614" i="54"/>
  <c r="BC541" i="54"/>
  <c r="AZ541" i="54"/>
  <c r="DJ1616" i="54"/>
  <c r="DJ1615" i="54"/>
  <c r="AW400" i="54"/>
  <c r="CS29" i="66"/>
  <c r="AX380" i="54"/>
  <c r="IL128" i="54"/>
  <c r="DG1559" i="54"/>
  <c r="AW380" i="54"/>
  <c r="AV380" i="54"/>
  <c r="BA380" i="54"/>
  <c r="IM128" i="54"/>
  <c r="IS128" i="54"/>
  <c r="IT128" i="54"/>
  <c r="BB380" i="54"/>
  <c r="EG604" i="54"/>
  <c r="ED604" i="54"/>
  <c r="IN128" i="54"/>
  <c r="EH604" i="54"/>
  <c r="EF604" i="54"/>
  <c r="AX400" i="54"/>
  <c r="AV400" i="54"/>
  <c r="DM1354" i="54"/>
  <c r="DG1195" i="54"/>
  <c r="DJ1458" i="54"/>
  <c r="DM1458" i="54"/>
  <c r="DG1560" i="54"/>
  <c r="BF480" i="54"/>
  <c r="BH480" i="54"/>
  <c r="BE480" i="54"/>
  <c r="BG480" i="54"/>
  <c r="BE482" i="54"/>
  <c r="BF482" i="54"/>
  <c r="BH482" i="54"/>
  <c r="BG482" i="54"/>
  <c r="BG501" i="54"/>
  <c r="BH501" i="54"/>
  <c r="BF501" i="54"/>
  <c r="BE501" i="54"/>
  <c r="BG502" i="54"/>
  <c r="BH502" i="54"/>
  <c r="BF502" i="54"/>
  <c r="BE502" i="54"/>
  <c r="FT603" i="54"/>
  <c r="FS603" i="54"/>
  <c r="FR603" i="54"/>
  <c r="FU603" i="54"/>
  <c r="FV603" i="54"/>
  <c r="EC603" i="54"/>
  <c r="ER604" i="54" s="1"/>
  <c r="AV460" i="54"/>
  <c r="AX460" i="54"/>
  <c r="AU460" i="54"/>
  <c r="AW460" i="54"/>
  <c r="BE481" i="54"/>
  <c r="BH481" i="54"/>
  <c r="BF481" i="54"/>
  <c r="BG481" i="54"/>
  <c r="BL501" i="54"/>
  <c r="BM501" i="54"/>
  <c r="BK501" i="54"/>
  <c r="BJ501" i="54"/>
  <c r="FO603" i="54"/>
  <c r="FQ603" i="54"/>
  <c r="EB603" i="54"/>
  <c r="EM604" i="54" s="1"/>
  <c r="FN603" i="54"/>
  <c r="FP603" i="54"/>
  <c r="FM603" i="54"/>
  <c r="AY341" i="54"/>
  <c r="BC341" i="54" s="1"/>
  <c r="AY521" i="54"/>
  <c r="AY461" i="54"/>
  <c r="DL1560" i="54"/>
  <c r="DL1559" i="54"/>
  <c r="DL1558" i="54"/>
  <c r="DM1558" i="54" s="1"/>
  <c r="AV520" i="54"/>
  <c r="AW520" i="54"/>
  <c r="AU520" i="54"/>
  <c r="AX520" i="54"/>
  <c r="AV500" i="54"/>
  <c r="AU500" i="54"/>
  <c r="AX500" i="54"/>
  <c r="AW500" i="54"/>
  <c r="DJ1460" i="54"/>
  <c r="DJ1355" i="54"/>
  <c r="DM1356" i="54"/>
  <c r="DG1196" i="54"/>
  <c r="BQ500" i="54"/>
  <c r="BP500" i="54"/>
  <c r="BO500" i="54"/>
  <c r="BR500" i="54"/>
  <c r="CF44" i="54"/>
  <c r="CF604" i="54"/>
  <c r="DI1560" i="54"/>
  <c r="DI1559" i="54"/>
  <c r="DI1558" i="54"/>
  <c r="DJ1558" i="54" s="1"/>
  <c r="AS522" i="54"/>
  <c r="AP522" i="54"/>
  <c r="AQ522" i="54"/>
  <c r="AR522" i="54"/>
  <c r="HI134" i="54"/>
  <c r="HO134" i="54" s="1"/>
  <c r="HI132" i="54"/>
  <c r="HO132" i="54" s="1"/>
  <c r="HI135" i="54"/>
  <c r="HO135" i="54" s="1"/>
  <c r="HI130" i="54"/>
  <c r="HO130" i="54" s="1"/>
  <c r="IF130" i="54" s="1"/>
  <c r="IK130" i="54" s="1"/>
  <c r="HI131" i="54"/>
  <c r="HO131" i="54" s="1"/>
  <c r="HI136" i="54"/>
  <c r="HI133" i="54"/>
  <c r="HO133" i="54" s="1"/>
  <c r="HS137" i="54"/>
  <c r="IG137" i="54" s="1"/>
  <c r="HS138" i="54"/>
  <c r="IG138" i="54" s="1"/>
  <c r="BC480" i="54"/>
  <c r="BA480" i="54"/>
  <c r="BB480" i="54"/>
  <c r="AZ480" i="54"/>
  <c r="DG1248" i="54"/>
  <c r="HS134" i="54"/>
  <c r="IG134" i="54" s="1"/>
  <c r="HS135" i="54"/>
  <c r="IG135" i="54" s="1"/>
  <c r="AV480" i="54"/>
  <c r="AW480" i="54"/>
  <c r="AX480" i="54"/>
  <c r="AU480" i="54"/>
  <c r="HR137" i="54"/>
  <c r="HR136" i="54"/>
  <c r="HR138" i="54"/>
  <c r="DG779" i="54"/>
  <c r="HU141" i="54"/>
  <c r="DG778" i="54"/>
  <c r="HU139" i="54"/>
  <c r="HR135" i="54"/>
  <c r="HR134" i="54"/>
  <c r="HR133" i="54"/>
  <c r="HR131" i="54"/>
  <c r="HR132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G81" i="65"/>
  <c r="CD27" i="65"/>
  <c r="HG73" i="65" s="1"/>
  <c r="HG72" i="65"/>
  <c r="CD24" i="65"/>
  <c r="HG63" i="65" s="1"/>
  <c r="HG62" i="65"/>
  <c r="J14" i="65"/>
  <c r="M14" i="65" s="1"/>
  <c r="CD26" i="65"/>
  <c r="HG68" i="65"/>
  <c r="J24" i="65"/>
  <c r="M24" i="65" s="1"/>
  <c r="CD10" i="65"/>
  <c r="HG17" i="65" s="1"/>
  <c r="HG16" i="65"/>
  <c r="EF544" i="54"/>
  <c r="ED484" i="54"/>
  <c r="CD25" i="65"/>
  <c r="HG66" i="65" s="1"/>
  <c r="CD32" i="65"/>
  <c r="HG89" i="65" s="1"/>
  <c r="HG88" i="65"/>
  <c r="HG22" i="65"/>
  <c r="CD12" i="65"/>
  <c r="J16" i="65"/>
  <c r="M16" i="65" s="1"/>
  <c r="HG78" i="65"/>
  <c r="CD29" i="65"/>
  <c r="HG79" i="65" s="1"/>
  <c r="J26" i="65"/>
  <c r="M26" i="65" s="1"/>
  <c r="CD11" i="65"/>
  <c r="HG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BY12" i="65"/>
  <c r="CC12" i="65" s="1"/>
  <c r="HG23" i="65" s="1"/>
  <c r="BY11" i="65"/>
  <c r="CC11" i="65" s="1"/>
  <c r="HG19" i="65" s="1"/>
  <c r="BY30" i="65"/>
  <c r="CC30" i="65" s="1"/>
  <c r="HG82" i="65" s="1"/>
  <c r="BY14" i="65"/>
  <c r="CC14" i="65" s="1"/>
  <c r="HG29" i="65" s="1"/>
  <c r="BY24" i="65"/>
  <c r="CC24" i="65" s="1"/>
  <c r="CJ24" i="65" s="1"/>
  <c r="G13" i="65"/>
  <c r="G24" i="65"/>
  <c r="BY26" i="65"/>
  <c r="CC26" i="65" s="1"/>
  <c r="HG69" i="65" s="1"/>
  <c r="BY16" i="65"/>
  <c r="CC16" i="65" s="1"/>
  <c r="HG36" i="65" s="1"/>
  <c r="BY27" i="65"/>
  <c r="CC27" i="65" s="1"/>
  <c r="BY25" i="65"/>
  <c r="CC25" i="65" s="1"/>
  <c r="HG65" i="65" s="1"/>
  <c r="BY28" i="65"/>
  <c r="CC28" i="65" s="1"/>
  <c r="HG75" i="65" s="1"/>
  <c r="E8" i="57"/>
  <c r="DG1404" i="54"/>
  <c r="DM1460" i="54"/>
  <c r="CD19" i="65"/>
  <c r="HG46" i="65" s="1"/>
  <c r="CD34" i="65"/>
  <c r="HG94" i="65"/>
  <c r="CD31" i="65"/>
  <c r="HG86" i="65" s="1"/>
  <c r="CD20" i="65"/>
  <c r="HG48" i="65"/>
  <c r="CD15" i="65"/>
  <c r="HG33" i="65" s="1"/>
  <c r="HG32" i="65"/>
  <c r="HG42" i="65"/>
  <c r="CD18" i="65"/>
  <c r="HG43" i="65" s="1"/>
  <c r="J13" i="65"/>
  <c r="M13" i="65" s="1"/>
  <c r="CD17" i="65"/>
  <c r="HG40" i="65" s="1"/>
  <c r="ED464" i="54"/>
  <c r="EF504" i="54"/>
  <c r="EH544" i="54"/>
  <c r="EF484" i="54"/>
  <c r="BZ33" i="65"/>
  <c r="BZ20" i="65"/>
  <c r="BZ26" i="65"/>
  <c r="BZ11" i="65"/>
  <c r="BZ28" i="65"/>
  <c r="H24" i="65"/>
  <c r="BZ15" i="65"/>
  <c r="BZ29" i="65"/>
  <c r="H27" i="65"/>
  <c r="BZ34" i="65"/>
  <c r="BZ30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EG484" i="54"/>
  <c r="CD28" i="65"/>
  <c r="HG76" i="65" s="1"/>
  <c r="J15" i="65"/>
  <c r="M15" i="65" s="1"/>
  <c r="CD16" i="65"/>
  <c r="HG35" i="65"/>
  <c r="J27" i="65"/>
  <c r="M27" i="65" s="1"/>
  <c r="CD14" i="65"/>
  <c r="HG30" i="65" s="1"/>
  <c r="J25" i="65"/>
  <c r="M25" i="65" s="1"/>
  <c r="CD13" i="65"/>
  <c r="HG27" i="65" s="1"/>
  <c r="HG26" i="65"/>
  <c r="CD33" i="65"/>
  <c r="HG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I1195" i="54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I1403" i="54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CK29" i="66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M259" i="54" s="1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M882" i="54" s="1"/>
  <c r="DL726" i="54"/>
  <c r="DM726" i="54" s="1"/>
  <c r="DL104" i="54"/>
  <c r="DL103" i="54"/>
  <c r="DL1091" i="54"/>
  <c r="EP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IS127" i="54"/>
  <c r="IM126" i="54"/>
  <c r="IL127" i="54"/>
  <c r="IP135" i="54"/>
  <c r="IN126" i="54"/>
  <c r="IL126" i="54"/>
  <c r="IS126" i="54"/>
  <c r="IM127" i="54"/>
  <c r="IN127" i="54"/>
  <c r="IT127" i="54"/>
  <c r="DG1040" i="54"/>
  <c r="DI259" i="54"/>
  <c r="DI1039" i="54"/>
  <c r="DI883" i="54"/>
  <c r="DG103" i="54"/>
  <c r="IP136" i="54"/>
  <c r="DI727" i="54"/>
  <c r="DI46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O25" i="66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37" i="54"/>
  <c r="IE136" i="54"/>
  <c r="DG259" i="54"/>
  <c r="DG727" i="54"/>
  <c r="DG467" i="54"/>
  <c r="DG468" i="54"/>
  <c r="DG884" i="54"/>
  <c r="DG882" i="54"/>
  <c r="DG104" i="54"/>
  <c r="DG1092" i="54"/>
  <c r="DG728" i="54"/>
  <c r="ET25" i="66"/>
  <c r="EC423" i="54"/>
  <c r="EQ424" i="54" s="1"/>
  <c r="EC343" i="54"/>
  <c r="EO344" i="54" s="1"/>
  <c r="AW440" i="54"/>
  <c r="AX360" i="54"/>
  <c r="DH63" i="66"/>
  <c r="AU440" i="54"/>
  <c r="AV440" i="54"/>
  <c r="AU360" i="54"/>
  <c r="AW360" i="54"/>
  <c r="DF42" i="66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O21" i="66"/>
  <c r="DR21" i="66" s="1"/>
  <c r="BD380" i="54"/>
  <c r="DQ41" i="66"/>
  <c r="DH42" i="66" s="1"/>
  <c r="AY501" i="54" s="1"/>
  <c r="BN440" i="54"/>
  <c r="BN400" i="54"/>
  <c r="BN360" i="54"/>
  <c r="DO43" i="66"/>
  <c r="BD402" i="54"/>
  <c r="BD362" i="54"/>
  <c r="BD442" i="54"/>
  <c r="BG360" i="54"/>
  <c r="BF360" i="54"/>
  <c r="BE360" i="54"/>
  <c r="BH360" i="54"/>
  <c r="DO42" i="66"/>
  <c r="BD441" i="54"/>
  <c r="BD361" i="54"/>
  <c r="BD401" i="54"/>
  <c r="BH400" i="54"/>
  <c r="BF400" i="54"/>
  <c r="BG400" i="54"/>
  <c r="BE400" i="54"/>
  <c r="DO22" i="66"/>
  <c r="BD381" i="54"/>
  <c r="DP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O23" i="66"/>
  <c r="BD382" i="54"/>
  <c r="AP422" i="54"/>
  <c r="AV420" i="54"/>
  <c r="AU420" i="54"/>
  <c r="AX420" i="54"/>
  <c r="AW420" i="54"/>
  <c r="BK45" i="66"/>
  <c r="CF344" i="54"/>
  <c r="CF404" i="54"/>
  <c r="BQ45" i="66"/>
  <c r="CF284" i="54"/>
  <c r="CF184" i="54"/>
  <c r="EH404" i="54"/>
  <c r="ES25" i="66"/>
  <c r="BZ44" i="66"/>
  <c r="EB183" i="54"/>
  <c r="EB283" i="54"/>
  <c r="BU44" i="66"/>
  <c r="BA45" i="66" s="1"/>
  <c r="CH604" i="54" s="1"/>
  <c r="EB43" i="54"/>
  <c r="EJ44" i="54" s="1"/>
  <c r="EB103" i="54"/>
  <c r="EI104" i="54" s="1"/>
  <c r="EB423" i="54"/>
  <c r="EK424" i="54" s="1"/>
  <c r="EB343" i="54"/>
  <c r="CA44" i="66"/>
  <c r="EC403" i="54"/>
  <c r="EO404" i="54" s="1"/>
  <c r="EC183" i="54"/>
  <c r="EP184" i="54" s="1"/>
  <c r="EC283" i="54"/>
  <c r="EN284" i="54" s="1"/>
  <c r="BV44" i="66"/>
  <c r="BB45" i="66" s="1"/>
  <c r="EC43" i="54"/>
  <c r="EQ44" i="54" s="1"/>
  <c r="EE424" i="54"/>
  <c r="EE104" i="54"/>
  <c r="DN43" i="66"/>
  <c r="BN502" i="54" s="1"/>
  <c r="EH424" i="54"/>
  <c r="EF424" i="54"/>
  <c r="EG44" i="54"/>
  <c r="EG404" i="54"/>
  <c r="EE404" i="54"/>
  <c r="DN42" i="66"/>
  <c r="BN501" i="54" s="1"/>
  <c r="ED104" i="54"/>
  <c r="EF104" i="54"/>
  <c r="EF404" i="54"/>
  <c r="EH104" i="54"/>
  <c r="EF44" i="54"/>
  <c r="ED44" i="54"/>
  <c r="EH44" i="54"/>
  <c r="DM41" i="66"/>
  <c r="BI500" i="54" s="1"/>
  <c r="EH284" i="54"/>
  <c r="U23" i="67"/>
  <c r="CH22" i="67"/>
  <c r="CK22" i="67" s="1"/>
  <c r="AX22" i="67"/>
  <c r="AU22" i="67"/>
  <c r="AN23" i="67"/>
  <c r="Y23" i="67"/>
  <c r="AW22" i="67"/>
  <c r="DJ365" i="54"/>
  <c r="DJ367" i="54"/>
  <c r="DJ366" i="54"/>
  <c r="DJ368" i="54"/>
  <c r="DM365" i="54"/>
  <c r="DM368" i="54"/>
  <c r="DM367" i="54"/>
  <c r="DM366" i="54"/>
  <c r="DJ417" i="54"/>
  <c r="DJ419" i="54"/>
  <c r="DJ420" i="54"/>
  <c r="DJ418" i="54"/>
  <c r="DM417" i="54"/>
  <c r="DM419" i="54"/>
  <c r="DM420" i="54"/>
  <c r="DM418" i="54"/>
  <c r="DL84" i="66"/>
  <c r="DL85" i="66"/>
  <c r="DL65" i="66"/>
  <c r="DL64" i="66"/>
  <c r="Q23" i="67"/>
  <c r="AY22" i="67"/>
  <c r="ED284" i="54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M43" i="66"/>
  <c r="BI502" i="54" s="1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O37" i="66"/>
  <c r="EU21" i="66"/>
  <c r="EP64" i="54"/>
  <c r="EQ13" i="66"/>
  <c r="BU24" i="66"/>
  <c r="BA25" i="66" s="1"/>
  <c r="ED84" i="54"/>
  <c r="EU15" i="66"/>
  <c r="EQ15" i="66"/>
  <c r="EN64" i="54"/>
  <c r="ER64" i="54"/>
  <c r="EQ64" i="54"/>
  <c r="EF364" i="54"/>
  <c r="EU20" i="66"/>
  <c r="EU12" i="66"/>
  <c r="EQ14" i="66"/>
  <c r="EF84" i="54"/>
  <c r="EQ22" i="66"/>
  <c r="DJ156" i="54"/>
  <c r="EQ23" i="66"/>
  <c r="EU24" i="66"/>
  <c r="EU18" i="66"/>
  <c r="EQ18" i="66"/>
  <c r="DG207" i="54"/>
  <c r="EQ17" i="66"/>
  <c r="EU16" i="66"/>
  <c r="J21" i="65"/>
  <c r="M21" i="65" s="1"/>
  <c r="EQ16" i="66"/>
  <c r="EU19" i="66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J23" i="65"/>
  <c r="M23" i="65" s="1"/>
  <c r="J20" i="65"/>
  <c r="M20" i="65" s="1"/>
  <c r="EU23" i="66"/>
  <c r="EQ24" i="66"/>
  <c r="EU13" i="66"/>
  <c r="ED444" i="54"/>
  <c r="CK37" i="66"/>
  <c r="DZ17" i="66"/>
  <c r="DZ18" i="66"/>
  <c r="G7" i="70" s="1"/>
  <c r="CJ37" i="66"/>
  <c r="CT37" i="66" s="1"/>
  <c r="DY18" i="66"/>
  <c r="F7" i="70" s="1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G780" i="54"/>
  <c r="DM626" i="54"/>
  <c r="EJ64" i="54"/>
  <c r="EE304" i="54"/>
  <c r="EH264" i="54"/>
  <c r="DG208" i="54"/>
  <c r="DG987" i="54"/>
  <c r="EF264" i="54"/>
  <c r="EG444" i="54"/>
  <c r="EG364" i="54"/>
  <c r="EE84" i="54"/>
  <c r="EF444" i="54"/>
  <c r="EH364" i="54"/>
  <c r="DG935" i="54"/>
  <c r="EG264" i="54"/>
  <c r="DM22" i="66"/>
  <c r="BI481" i="54" s="1"/>
  <c r="DM23" i="66"/>
  <c r="BI482" i="54" s="1"/>
  <c r="DM21" i="66"/>
  <c r="BI480" i="54" s="1"/>
  <c r="DG1144" i="54"/>
  <c r="DM575" i="54"/>
  <c r="DJ155" i="54"/>
  <c r="DJ836" i="54"/>
  <c r="EM64" i="54"/>
  <c r="EH84" i="54"/>
  <c r="BK25" i="66"/>
  <c r="DL1144" i="54"/>
  <c r="DL778" i="54"/>
  <c r="DL675" i="54"/>
  <c r="DL988" i="54"/>
  <c r="DL986" i="54"/>
  <c r="DM986" i="54" s="1"/>
  <c r="DL1142" i="54"/>
  <c r="DM1142" i="54" s="1"/>
  <c r="DL936" i="54"/>
  <c r="DL206" i="54"/>
  <c r="DM206" i="54" s="1"/>
  <c r="DL780" i="54"/>
  <c r="HW144" i="54" s="1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DL157" i="54"/>
  <c r="DM157" i="54" s="1"/>
  <c r="DL160" i="54"/>
  <c r="DK21" i="66"/>
  <c r="DK23" i="66"/>
  <c r="DK22" i="66"/>
  <c r="DG988" i="54"/>
  <c r="EH444" i="54"/>
  <c r="DM155" i="54"/>
  <c r="DM314" i="54"/>
  <c r="DM55" i="54"/>
  <c r="DM628" i="54"/>
  <c r="DM836" i="54"/>
  <c r="DJ628" i="54"/>
  <c r="DJ835" i="54"/>
  <c r="EF304" i="54"/>
  <c r="DN21" i="66"/>
  <c r="BN480" i="54" s="1"/>
  <c r="DN23" i="66"/>
  <c r="BN482" i="54" s="1"/>
  <c r="DN22" i="66"/>
  <c r="BN481" i="54" s="1"/>
  <c r="DG676" i="54"/>
  <c r="DG675" i="54"/>
  <c r="DI1144" i="54"/>
  <c r="DI778" i="54"/>
  <c r="DI988" i="54"/>
  <c r="DI675" i="54"/>
  <c r="DI987" i="54"/>
  <c r="DI936" i="54"/>
  <c r="DI206" i="54"/>
  <c r="DJ206" i="54" s="1"/>
  <c r="DI780" i="54"/>
  <c r="HV144" i="54" s="1"/>
  <c r="DI674" i="54"/>
  <c r="DJ674" i="54" s="1"/>
  <c r="DI934" i="54"/>
  <c r="DJ934" i="54" s="1"/>
  <c r="DI207" i="54"/>
  <c r="DI208" i="54"/>
  <c r="DI779" i="54"/>
  <c r="HV141" i="54" s="1"/>
  <c r="DI1143" i="54"/>
  <c r="DI1142" i="54"/>
  <c r="DJ1142" i="54" s="1"/>
  <c r="DI935" i="54"/>
  <c r="DI986" i="54"/>
  <c r="DJ986" i="54" s="1"/>
  <c r="DI676" i="54"/>
  <c r="BZ24" i="66"/>
  <c r="DM156" i="54"/>
  <c r="DM576" i="54"/>
  <c r="DM574" i="54"/>
  <c r="DM54" i="54"/>
  <c r="DM316" i="54"/>
  <c r="DM835" i="54"/>
  <c r="DJ834" i="54"/>
  <c r="DJ314" i="54"/>
  <c r="DJ524" i="54"/>
  <c r="DJ55" i="54"/>
  <c r="DJ316" i="54"/>
  <c r="DJ522" i="54"/>
  <c r="EE364" i="54"/>
  <c r="DJ21" i="66"/>
  <c r="DJ22" i="66"/>
  <c r="DJ23" i="66"/>
  <c r="DF159" i="54"/>
  <c r="DF158" i="54"/>
  <c r="DF157" i="54"/>
  <c r="DG157" i="54" s="1"/>
  <c r="DF160" i="54"/>
  <c r="DG1143" i="54"/>
  <c r="DG936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Z63" i="66"/>
  <c r="EI283" i="54"/>
  <c r="HI140" i="54" s="1"/>
  <c r="EL343" i="54"/>
  <c r="EK163" i="54"/>
  <c r="EM143" i="54"/>
  <c r="BU63" i="66"/>
  <c r="BV24" i="66"/>
  <c r="BB25" i="66" s="1"/>
  <c r="CA24" i="66"/>
  <c r="BQ25" i="66"/>
  <c r="CU37" i="66" l="1"/>
  <c r="CQ37" i="66"/>
  <c r="CU29" i="66"/>
  <c r="CQ29" i="66"/>
  <c r="FK584" i="54"/>
  <c r="FH584" i="54"/>
  <c r="FL584" i="54"/>
  <c r="FI584" i="54"/>
  <c r="EA584" i="54"/>
  <c r="FJ584" i="54"/>
  <c r="CH464" i="54"/>
  <c r="CH584" i="54"/>
  <c r="EM584" i="54"/>
  <c r="EL584" i="54"/>
  <c r="DF1512" i="54"/>
  <c r="DG1512" i="54" s="1"/>
  <c r="DF1511" i="54"/>
  <c r="DG1511" i="54" s="1"/>
  <c r="DF1510" i="54"/>
  <c r="DG1510" i="54" s="1"/>
  <c r="DF1509" i="54"/>
  <c r="DG1509" i="54" s="1"/>
  <c r="EK584" i="54"/>
  <c r="CJ464" i="54"/>
  <c r="CJ584" i="54"/>
  <c r="EO584" i="54"/>
  <c r="EQ584" i="54"/>
  <c r="EN584" i="54"/>
  <c r="ER584" i="54"/>
  <c r="FP204" i="65"/>
  <c r="FP208" i="65"/>
  <c r="FP212" i="65"/>
  <c r="FP216" i="65"/>
  <c r="FP220" i="65"/>
  <c r="FP224" i="65"/>
  <c r="FP228" i="65"/>
  <c r="FP232" i="65"/>
  <c r="FP236" i="65"/>
  <c r="FP240" i="65"/>
  <c r="FP205" i="65"/>
  <c r="FP209" i="65"/>
  <c r="FP213" i="65"/>
  <c r="FP217" i="65"/>
  <c r="FP221" i="65"/>
  <c r="FP225" i="65"/>
  <c r="FP229" i="65"/>
  <c r="FP233" i="65"/>
  <c r="FP237" i="65"/>
  <c r="FP206" i="65"/>
  <c r="FP210" i="65"/>
  <c r="FP214" i="65"/>
  <c r="FP218" i="65"/>
  <c r="FP222" i="65"/>
  <c r="FP226" i="65"/>
  <c r="FP230" i="65"/>
  <c r="FP234" i="65"/>
  <c r="FP238" i="65"/>
  <c r="FP203" i="65"/>
  <c r="FP207" i="65"/>
  <c r="FP211" i="65"/>
  <c r="FP215" i="65"/>
  <c r="FP219" i="65"/>
  <c r="FP223" i="65"/>
  <c r="FP227" i="65"/>
  <c r="FP231" i="65"/>
  <c r="FP235" i="65"/>
  <c r="FP239" i="65"/>
  <c r="FP596" i="65"/>
  <c r="FP600" i="65"/>
  <c r="FP604" i="65"/>
  <c r="FP608" i="65"/>
  <c r="FP612" i="65"/>
  <c r="FP616" i="65"/>
  <c r="FP620" i="65"/>
  <c r="FP624" i="65"/>
  <c r="FP628" i="65"/>
  <c r="FP632" i="65"/>
  <c r="FP636" i="65"/>
  <c r="FP597" i="65"/>
  <c r="FP601" i="65"/>
  <c r="FP605" i="65"/>
  <c r="FP609" i="65"/>
  <c r="FP613" i="65"/>
  <c r="FP617" i="65"/>
  <c r="FP621" i="65"/>
  <c r="FP625" i="65"/>
  <c r="FP629" i="65"/>
  <c r="FP633" i="65"/>
  <c r="FP637" i="65"/>
  <c r="FP598" i="65"/>
  <c r="FP602" i="65"/>
  <c r="FP606" i="65"/>
  <c r="FP610" i="65"/>
  <c r="FP614" i="65"/>
  <c r="FP618" i="65"/>
  <c r="FP622" i="65"/>
  <c r="FP626" i="65"/>
  <c r="FP630" i="65"/>
  <c r="FP634" i="65"/>
  <c r="FP595" i="65"/>
  <c r="FP599" i="65"/>
  <c r="FP603" i="65"/>
  <c r="FP607" i="65"/>
  <c r="FP611" i="65"/>
  <c r="FP615" i="65"/>
  <c r="FP619" i="65"/>
  <c r="FP623" i="65"/>
  <c r="FP627" i="65"/>
  <c r="FP631" i="65"/>
  <c r="FP635" i="65"/>
  <c r="FP520" i="65"/>
  <c r="FP524" i="65"/>
  <c r="FP528" i="65"/>
  <c r="FP532" i="65"/>
  <c r="FP536" i="65"/>
  <c r="FP540" i="65"/>
  <c r="FP544" i="65"/>
  <c r="FP548" i="65"/>
  <c r="FP552" i="65"/>
  <c r="FP556" i="65"/>
  <c r="FP521" i="65"/>
  <c r="FP525" i="65"/>
  <c r="FP529" i="65"/>
  <c r="FP533" i="65"/>
  <c r="FP537" i="65"/>
  <c r="FP541" i="65"/>
  <c r="FP545" i="65"/>
  <c r="FP549" i="65"/>
  <c r="FP553" i="65"/>
  <c r="FP522" i="65"/>
  <c r="FP526" i="65"/>
  <c r="FP530" i="65"/>
  <c r="FP534" i="65"/>
  <c r="FP538" i="65"/>
  <c r="FP542" i="65"/>
  <c r="FP546" i="65"/>
  <c r="FP550" i="65"/>
  <c r="FP554" i="65"/>
  <c r="FP519" i="65"/>
  <c r="FP523" i="65"/>
  <c r="FP527" i="65"/>
  <c r="FP531" i="65"/>
  <c r="FP535" i="65"/>
  <c r="FP539" i="65"/>
  <c r="FP543" i="65"/>
  <c r="FP547" i="65"/>
  <c r="FP551" i="65"/>
  <c r="FP555" i="65"/>
  <c r="FS87" i="65"/>
  <c r="FS91" i="65"/>
  <c r="FS95" i="65"/>
  <c r="FS99" i="65"/>
  <c r="FS103" i="65"/>
  <c r="FS107" i="65"/>
  <c r="FS111" i="65"/>
  <c r="FS115" i="65"/>
  <c r="FS85" i="65"/>
  <c r="FS89" i="65"/>
  <c r="FS93" i="65"/>
  <c r="FS97" i="65"/>
  <c r="FS101" i="65"/>
  <c r="FS105" i="65"/>
  <c r="FS109" i="65"/>
  <c r="FS113" i="65"/>
  <c r="FS117" i="65"/>
  <c r="FS121" i="65"/>
  <c r="FS86" i="65"/>
  <c r="FS90" i="65"/>
  <c r="FS94" i="65"/>
  <c r="FS98" i="65"/>
  <c r="FS102" i="65"/>
  <c r="FS106" i="65"/>
  <c r="FS110" i="65"/>
  <c r="FS114" i="65"/>
  <c r="FS118" i="65"/>
  <c r="FS92" i="65"/>
  <c r="FS108" i="65"/>
  <c r="FS120" i="65"/>
  <c r="FS96" i="65"/>
  <c r="FS112" i="65"/>
  <c r="FS84" i="65"/>
  <c r="FS100" i="65"/>
  <c r="FS116" i="65"/>
  <c r="FS88" i="65"/>
  <c r="FS104" i="65"/>
  <c r="FS119" i="65"/>
  <c r="P26" i="65"/>
  <c r="S26" i="65" s="1"/>
  <c r="FP796" i="65"/>
  <c r="FP800" i="65"/>
  <c r="FP804" i="65"/>
  <c r="FP808" i="65"/>
  <c r="FP812" i="65"/>
  <c r="FP816" i="65"/>
  <c r="FP820" i="65"/>
  <c r="FP824" i="65"/>
  <c r="FP828" i="65"/>
  <c r="FP832" i="65"/>
  <c r="FP797" i="65"/>
  <c r="FP801" i="65"/>
  <c r="FP805" i="65"/>
  <c r="FP809" i="65"/>
  <c r="FP813" i="65"/>
  <c r="FP817" i="65"/>
  <c r="FP821" i="65"/>
  <c r="FP825" i="65"/>
  <c r="FP829" i="65"/>
  <c r="FP798" i="65"/>
  <c r="FP802" i="65"/>
  <c r="FP806" i="65"/>
  <c r="FP810" i="65"/>
  <c r="FP814" i="65"/>
  <c r="FP818" i="65"/>
  <c r="FP822" i="65"/>
  <c r="FP826" i="65"/>
  <c r="FP830" i="65"/>
  <c r="FP795" i="65"/>
  <c r="FP799" i="65"/>
  <c r="FP803" i="65"/>
  <c r="FP807" i="65"/>
  <c r="FP811" i="65"/>
  <c r="FP815" i="65"/>
  <c r="FP819" i="65"/>
  <c r="FP823" i="65"/>
  <c r="FP827" i="65"/>
  <c r="FP831" i="65"/>
  <c r="FP124" i="65"/>
  <c r="FP128" i="65"/>
  <c r="FP132" i="65"/>
  <c r="FP136" i="65"/>
  <c r="FP140" i="65"/>
  <c r="FP144" i="65"/>
  <c r="FP148" i="65"/>
  <c r="FP152" i="65"/>
  <c r="FP156" i="65"/>
  <c r="FP125" i="65"/>
  <c r="FP129" i="65"/>
  <c r="FP133" i="65"/>
  <c r="FP137" i="65"/>
  <c r="FP141" i="65"/>
  <c r="FP145" i="65"/>
  <c r="FP149" i="65"/>
  <c r="FP153" i="65"/>
  <c r="FP157" i="65"/>
  <c r="FP122" i="65"/>
  <c r="FP126" i="65"/>
  <c r="FP130" i="65"/>
  <c r="FP134" i="65"/>
  <c r="FP138" i="65"/>
  <c r="FP142" i="65"/>
  <c r="FP146" i="65"/>
  <c r="FP150" i="65"/>
  <c r="FP154" i="65"/>
  <c r="FP158" i="65"/>
  <c r="FP123" i="65"/>
  <c r="FP127" i="65"/>
  <c r="FP131" i="65"/>
  <c r="FP135" i="65"/>
  <c r="FP139" i="65"/>
  <c r="FP143" i="65"/>
  <c r="FP147" i="65"/>
  <c r="FP151" i="65"/>
  <c r="FP155" i="65"/>
  <c r="FP159" i="65"/>
  <c r="FP160" i="65"/>
  <c r="FP164" i="65"/>
  <c r="FP168" i="65"/>
  <c r="FP172" i="65"/>
  <c r="FP176" i="65"/>
  <c r="FP180" i="65"/>
  <c r="FP184" i="65"/>
  <c r="FP188" i="65"/>
  <c r="FP192" i="65"/>
  <c r="FP196" i="65"/>
  <c r="FP200" i="65"/>
  <c r="FP161" i="65"/>
  <c r="FP165" i="65"/>
  <c r="FP169" i="65"/>
  <c r="FP173" i="65"/>
  <c r="FP177" i="65"/>
  <c r="FP181" i="65"/>
  <c r="FP185" i="65"/>
  <c r="FP189" i="65"/>
  <c r="FP193" i="65"/>
  <c r="FP197" i="65"/>
  <c r="FP201" i="65"/>
  <c r="FP162" i="65"/>
  <c r="FP166" i="65"/>
  <c r="FP170" i="65"/>
  <c r="FP174" i="65"/>
  <c r="FP178" i="65"/>
  <c r="FP182" i="65"/>
  <c r="FP186" i="65"/>
  <c r="FP190" i="65"/>
  <c r="FP194" i="65"/>
  <c r="FP198" i="65"/>
  <c r="FP202" i="65"/>
  <c r="FP163" i="65"/>
  <c r="FP167" i="65"/>
  <c r="FP171" i="65"/>
  <c r="FP175" i="65"/>
  <c r="FP179" i="65"/>
  <c r="FP183" i="65"/>
  <c r="FP187" i="65"/>
  <c r="FP191" i="65"/>
  <c r="FP195" i="65"/>
  <c r="FP199" i="65"/>
  <c r="FQ521" i="65"/>
  <c r="FQ525" i="65"/>
  <c r="FQ529" i="65"/>
  <c r="FQ533" i="65"/>
  <c r="FQ537" i="65"/>
  <c r="FQ541" i="65"/>
  <c r="FQ520" i="65"/>
  <c r="FQ526" i="65"/>
  <c r="FQ531" i="65"/>
  <c r="FQ536" i="65"/>
  <c r="FQ542" i="65"/>
  <c r="FQ546" i="65"/>
  <c r="FQ550" i="65"/>
  <c r="FQ554" i="65"/>
  <c r="FQ522" i="65"/>
  <c r="FQ527" i="65"/>
  <c r="FQ532" i="65"/>
  <c r="FQ538" i="65"/>
  <c r="FQ543" i="65"/>
  <c r="FQ547" i="65"/>
  <c r="FQ551" i="65"/>
  <c r="FQ555" i="65"/>
  <c r="FQ523" i="65"/>
  <c r="FQ528" i="65"/>
  <c r="FQ534" i="65"/>
  <c r="FQ539" i="65"/>
  <c r="FQ544" i="65"/>
  <c r="FQ548" i="65"/>
  <c r="FQ552" i="65"/>
  <c r="FQ556" i="65"/>
  <c r="FQ519" i="65"/>
  <c r="FQ524" i="65"/>
  <c r="FQ530" i="65"/>
  <c r="FQ535" i="65"/>
  <c r="FQ540" i="65"/>
  <c r="FQ545" i="65"/>
  <c r="FQ549" i="65"/>
  <c r="FQ553" i="65"/>
  <c r="P25" i="65"/>
  <c r="S25" i="65" s="1"/>
  <c r="FP760" i="65"/>
  <c r="FP764" i="65"/>
  <c r="FP768" i="65"/>
  <c r="FP772" i="65"/>
  <c r="FP776" i="65"/>
  <c r="FP780" i="65"/>
  <c r="FP784" i="65"/>
  <c r="FP788" i="65"/>
  <c r="FP792" i="65"/>
  <c r="FP757" i="65"/>
  <c r="FP761" i="65"/>
  <c r="FP765" i="65"/>
  <c r="FP769" i="65"/>
  <c r="FP773" i="65"/>
  <c r="FP777" i="65"/>
  <c r="FP781" i="65"/>
  <c r="FP785" i="65"/>
  <c r="FP789" i="65"/>
  <c r="FP793" i="65"/>
  <c r="FP758" i="65"/>
  <c r="FP762" i="65"/>
  <c r="FP766" i="65"/>
  <c r="FP770" i="65"/>
  <c r="FP774" i="65"/>
  <c r="FP778" i="65"/>
  <c r="FP782" i="65"/>
  <c r="FP786" i="65"/>
  <c r="FP790" i="65"/>
  <c r="FP794" i="65"/>
  <c r="FP759" i="65"/>
  <c r="FP763" i="65"/>
  <c r="FP767" i="65"/>
  <c r="FP771" i="65"/>
  <c r="FP775" i="65"/>
  <c r="FP779" i="65"/>
  <c r="FP783" i="65"/>
  <c r="FP787" i="65"/>
  <c r="FP791" i="65"/>
  <c r="P13" i="65"/>
  <c r="S13" i="65" s="1"/>
  <c r="FP280" i="65"/>
  <c r="FP284" i="65"/>
  <c r="FP288" i="65"/>
  <c r="FP292" i="65"/>
  <c r="FP296" i="65"/>
  <c r="FP300" i="65"/>
  <c r="FP304" i="65"/>
  <c r="FP308" i="65"/>
  <c r="FP312" i="65"/>
  <c r="FP316" i="65"/>
  <c r="FP320" i="65"/>
  <c r="FP281" i="65"/>
  <c r="FP285" i="65"/>
  <c r="FP289" i="65"/>
  <c r="FP293" i="65"/>
  <c r="FP297" i="65"/>
  <c r="FP301" i="65"/>
  <c r="FP305" i="65"/>
  <c r="FP309" i="65"/>
  <c r="FP313" i="65"/>
  <c r="FP317" i="65"/>
  <c r="FP321" i="65"/>
  <c r="FP282" i="65"/>
  <c r="FP286" i="65"/>
  <c r="FP290" i="65"/>
  <c r="FP294" i="65"/>
  <c r="FP298" i="65"/>
  <c r="FP302" i="65"/>
  <c r="FP306" i="65"/>
  <c r="FP310" i="65"/>
  <c r="FP314" i="65"/>
  <c r="FP318" i="65"/>
  <c r="FP279" i="65"/>
  <c r="FP283" i="65"/>
  <c r="FP287" i="65"/>
  <c r="FP291" i="65"/>
  <c r="FP295" i="65"/>
  <c r="FP299" i="65"/>
  <c r="FP303" i="65"/>
  <c r="FP307" i="65"/>
  <c r="FP311" i="65"/>
  <c r="FP315" i="65"/>
  <c r="FP319" i="65"/>
  <c r="P24" i="65"/>
  <c r="S24" i="65" s="1"/>
  <c r="FP716" i="65"/>
  <c r="FP720" i="65"/>
  <c r="FP724" i="65"/>
  <c r="FP728" i="65"/>
  <c r="FP732" i="65"/>
  <c r="FP736" i="65"/>
  <c r="FP740" i="65"/>
  <c r="FP744" i="65"/>
  <c r="FP748" i="65"/>
  <c r="FP752" i="65"/>
  <c r="FP756" i="65"/>
  <c r="FP717" i="65"/>
  <c r="FP721" i="65"/>
  <c r="FP725" i="65"/>
  <c r="FP729" i="65"/>
  <c r="FP733" i="65"/>
  <c r="FP737" i="65"/>
  <c r="FP741" i="65"/>
  <c r="FP745" i="65"/>
  <c r="FP749" i="65"/>
  <c r="FP753" i="65"/>
  <c r="FP714" i="65"/>
  <c r="FP718" i="65"/>
  <c r="FP722" i="65"/>
  <c r="FP726" i="65"/>
  <c r="FP730" i="65"/>
  <c r="FP734" i="65"/>
  <c r="FP738" i="65"/>
  <c r="FP742" i="65"/>
  <c r="FP746" i="65"/>
  <c r="FP750" i="65"/>
  <c r="FP754" i="65"/>
  <c r="FP715" i="65"/>
  <c r="FP719" i="65"/>
  <c r="FP723" i="65"/>
  <c r="FP727" i="65"/>
  <c r="FP731" i="65"/>
  <c r="FP735" i="65"/>
  <c r="FP739" i="65"/>
  <c r="FP743" i="65"/>
  <c r="FP747" i="65"/>
  <c r="FP751" i="65"/>
  <c r="FP755" i="65"/>
  <c r="FP560" i="65"/>
  <c r="FP564" i="65"/>
  <c r="FP568" i="65"/>
  <c r="FP572" i="65"/>
  <c r="FP576" i="65"/>
  <c r="FP580" i="65"/>
  <c r="FP584" i="65"/>
  <c r="FP588" i="65"/>
  <c r="FP592" i="65"/>
  <c r="FP557" i="65"/>
  <c r="FP561" i="65"/>
  <c r="FP565" i="65"/>
  <c r="FP569" i="65"/>
  <c r="FP573" i="65"/>
  <c r="FP577" i="65"/>
  <c r="FP581" i="65"/>
  <c r="FP585" i="65"/>
  <c r="FP589" i="65"/>
  <c r="FP593" i="65"/>
  <c r="FP558" i="65"/>
  <c r="FP562" i="65"/>
  <c r="FP566" i="65"/>
  <c r="FP570" i="65"/>
  <c r="FP574" i="65"/>
  <c r="FP578" i="65"/>
  <c r="FP582" i="65"/>
  <c r="FP586" i="65"/>
  <c r="FP590" i="65"/>
  <c r="FP594" i="65"/>
  <c r="FP559" i="65"/>
  <c r="FP563" i="65"/>
  <c r="FP567" i="65"/>
  <c r="FP571" i="65"/>
  <c r="FP575" i="65"/>
  <c r="FP579" i="65"/>
  <c r="FP583" i="65"/>
  <c r="FP587" i="65"/>
  <c r="FP591" i="65"/>
  <c r="FR520" i="65"/>
  <c r="FR524" i="65"/>
  <c r="FR528" i="65"/>
  <c r="FR532" i="65"/>
  <c r="FR536" i="65"/>
  <c r="FR540" i="65"/>
  <c r="FR544" i="65"/>
  <c r="FR548" i="65"/>
  <c r="FR552" i="65"/>
  <c r="FR556" i="65"/>
  <c r="FR521" i="65"/>
  <c r="GJ521" i="65" s="1"/>
  <c r="FR525" i="65"/>
  <c r="FR529" i="65"/>
  <c r="FR533" i="65"/>
  <c r="FR537" i="65"/>
  <c r="GJ537" i="65" s="1"/>
  <c r="FR541" i="65"/>
  <c r="FR545" i="65"/>
  <c r="FR549" i="65"/>
  <c r="FR553" i="65"/>
  <c r="GJ553" i="65" s="1"/>
  <c r="FR523" i="65"/>
  <c r="FR531" i="65"/>
  <c r="FR539" i="65"/>
  <c r="FR547" i="65"/>
  <c r="GG547" i="65" s="1"/>
  <c r="FR555" i="65"/>
  <c r="FR526" i="65"/>
  <c r="FR534" i="65"/>
  <c r="FR542" i="65"/>
  <c r="GJ542" i="65" s="1"/>
  <c r="FR550" i="65"/>
  <c r="FR519" i="65"/>
  <c r="FR527" i="65"/>
  <c r="FR535" i="65"/>
  <c r="FR543" i="65"/>
  <c r="FR551" i="65"/>
  <c r="FR522" i="65"/>
  <c r="FR530" i="65"/>
  <c r="FR538" i="65"/>
  <c r="FR546" i="65"/>
  <c r="FR554" i="65"/>
  <c r="FQ86" i="65"/>
  <c r="FQ90" i="65"/>
  <c r="FQ94" i="65"/>
  <c r="FQ98" i="65"/>
  <c r="FQ102" i="65"/>
  <c r="FQ106" i="65"/>
  <c r="FQ110" i="65"/>
  <c r="FQ114" i="65"/>
  <c r="FQ118" i="65"/>
  <c r="FQ87" i="65"/>
  <c r="FQ91" i="65"/>
  <c r="FQ95" i="65"/>
  <c r="FQ99" i="65"/>
  <c r="FQ103" i="65"/>
  <c r="FQ107" i="65"/>
  <c r="FQ111" i="65"/>
  <c r="FQ115" i="65"/>
  <c r="FQ119" i="65"/>
  <c r="FQ84" i="65"/>
  <c r="FQ88" i="65"/>
  <c r="FQ92" i="65"/>
  <c r="FQ96" i="65"/>
  <c r="FQ100" i="65"/>
  <c r="FQ104" i="65"/>
  <c r="FQ108" i="65"/>
  <c r="FQ112" i="65"/>
  <c r="FQ116" i="65"/>
  <c r="FQ120" i="65"/>
  <c r="FQ85" i="65"/>
  <c r="FQ89" i="65"/>
  <c r="FQ93" i="65"/>
  <c r="FQ97" i="65"/>
  <c r="FQ101" i="65"/>
  <c r="FQ105" i="65"/>
  <c r="FQ109" i="65"/>
  <c r="FQ113" i="65"/>
  <c r="FQ117" i="65"/>
  <c r="FQ121" i="65"/>
  <c r="P15" i="65"/>
  <c r="S15" i="65" s="1"/>
  <c r="FP360" i="65"/>
  <c r="FP364" i="65"/>
  <c r="FP368" i="65"/>
  <c r="FP372" i="65"/>
  <c r="FP376" i="65"/>
  <c r="FP380" i="65"/>
  <c r="FP384" i="65"/>
  <c r="FP388" i="65"/>
  <c r="FP392" i="65"/>
  <c r="FP396" i="65"/>
  <c r="FP361" i="65"/>
  <c r="FP365" i="65"/>
  <c r="FP369" i="65"/>
  <c r="FP373" i="65"/>
  <c r="FP377" i="65"/>
  <c r="FP381" i="65"/>
  <c r="FP385" i="65"/>
  <c r="FP389" i="65"/>
  <c r="FP393" i="65"/>
  <c r="FP397" i="65"/>
  <c r="FP362" i="65"/>
  <c r="FP366" i="65"/>
  <c r="FP370" i="65"/>
  <c r="FP374" i="65"/>
  <c r="FP378" i="65"/>
  <c r="FP382" i="65"/>
  <c r="FP386" i="65"/>
  <c r="FP390" i="65"/>
  <c r="FP394" i="65"/>
  <c r="FP363" i="65"/>
  <c r="FP367" i="65"/>
  <c r="FP371" i="65"/>
  <c r="FP375" i="65"/>
  <c r="FP379" i="65"/>
  <c r="FP383" i="65"/>
  <c r="FP387" i="65"/>
  <c r="FP391" i="65"/>
  <c r="FP395" i="65"/>
  <c r="P14" i="65"/>
  <c r="S14" i="65" s="1"/>
  <c r="FP324" i="65"/>
  <c r="FP328" i="65"/>
  <c r="FP332" i="65"/>
  <c r="FP336" i="65"/>
  <c r="FP340" i="65"/>
  <c r="FP344" i="65"/>
  <c r="FP348" i="65"/>
  <c r="FP352" i="65"/>
  <c r="FP356" i="65"/>
  <c r="FP325" i="65"/>
  <c r="FP329" i="65"/>
  <c r="FP333" i="65"/>
  <c r="FP337" i="65"/>
  <c r="FP341" i="65"/>
  <c r="FP345" i="65"/>
  <c r="FP349" i="65"/>
  <c r="FP353" i="65"/>
  <c r="FP357" i="65"/>
  <c r="FP322" i="65"/>
  <c r="FP326" i="65"/>
  <c r="FP330" i="65"/>
  <c r="FP334" i="65"/>
  <c r="FP338" i="65"/>
  <c r="FP342" i="65"/>
  <c r="FP346" i="65"/>
  <c r="FP350" i="65"/>
  <c r="FP354" i="65"/>
  <c r="FP358" i="65"/>
  <c r="FP323" i="65"/>
  <c r="FP327" i="65"/>
  <c r="FP331" i="65"/>
  <c r="FP335" i="65"/>
  <c r="FP339" i="65"/>
  <c r="FP343" i="65"/>
  <c r="FP347" i="65"/>
  <c r="FP351" i="65"/>
  <c r="FP355" i="65"/>
  <c r="FP359" i="65"/>
  <c r="FP676" i="65"/>
  <c r="FP680" i="65"/>
  <c r="FP684" i="65"/>
  <c r="FP688" i="65"/>
  <c r="FP692" i="65"/>
  <c r="FP696" i="65"/>
  <c r="FP700" i="65"/>
  <c r="FP704" i="65"/>
  <c r="FP708" i="65"/>
  <c r="FP712" i="65"/>
  <c r="FP677" i="65"/>
  <c r="FP681" i="65"/>
  <c r="FP685" i="65"/>
  <c r="FP689" i="65"/>
  <c r="FP693" i="65"/>
  <c r="FP697" i="65"/>
  <c r="FP701" i="65"/>
  <c r="FP705" i="65"/>
  <c r="FP709" i="65"/>
  <c r="FP713" i="65"/>
  <c r="FP678" i="65"/>
  <c r="FP682" i="65"/>
  <c r="FP686" i="65"/>
  <c r="FP690" i="65"/>
  <c r="FP694" i="65"/>
  <c r="FP698" i="65"/>
  <c r="FP702" i="65"/>
  <c r="FP706" i="65"/>
  <c r="FP710" i="65"/>
  <c r="FP679" i="65"/>
  <c r="FP683" i="65"/>
  <c r="FP687" i="65"/>
  <c r="FP691" i="65"/>
  <c r="FP695" i="65"/>
  <c r="FP699" i="65"/>
  <c r="FP703" i="65"/>
  <c r="FP707" i="65"/>
  <c r="FP711" i="65"/>
  <c r="FP640" i="65"/>
  <c r="FP644" i="65"/>
  <c r="FP648" i="65"/>
  <c r="FP652" i="65"/>
  <c r="FP656" i="65"/>
  <c r="FP660" i="65"/>
  <c r="FP664" i="65"/>
  <c r="FP668" i="65"/>
  <c r="FP672" i="65"/>
  <c r="FP641" i="65"/>
  <c r="FP645" i="65"/>
  <c r="FP649" i="65"/>
  <c r="FP653" i="65"/>
  <c r="FP657" i="65"/>
  <c r="FP661" i="65"/>
  <c r="FP665" i="65"/>
  <c r="FP669" i="65"/>
  <c r="FP673" i="65"/>
  <c r="FP638" i="65"/>
  <c r="FP642" i="65"/>
  <c r="FP646" i="65"/>
  <c r="FP650" i="65"/>
  <c r="FP654" i="65"/>
  <c r="FP658" i="65"/>
  <c r="FP662" i="65"/>
  <c r="FP666" i="65"/>
  <c r="FP670" i="65"/>
  <c r="FP674" i="65"/>
  <c r="FP639" i="65"/>
  <c r="FP643" i="65"/>
  <c r="FP647" i="65"/>
  <c r="FP651" i="65"/>
  <c r="FP655" i="65"/>
  <c r="FP659" i="65"/>
  <c r="FP663" i="65"/>
  <c r="FP667" i="65"/>
  <c r="FP671" i="65"/>
  <c r="FP675" i="65"/>
  <c r="FP244" i="65"/>
  <c r="FP248" i="65"/>
  <c r="FP252" i="65"/>
  <c r="FP256" i="65"/>
  <c r="FP260" i="65"/>
  <c r="FP264" i="65"/>
  <c r="FP268" i="65"/>
  <c r="FP272" i="65"/>
  <c r="FP276" i="65"/>
  <c r="FP241" i="65"/>
  <c r="FP245" i="65"/>
  <c r="FP249" i="65"/>
  <c r="FP253" i="65"/>
  <c r="FP257" i="65"/>
  <c r="FP261" i="65"/>
  <c r="FP265" i="65"/>
  <c r="FP269" i="65"/>
  <c r="FP273" i="65"/>
  <c r="FP277" i="65"/>
  <c r="FP242" i="65"/>
  <c r="FP246" i="65"/>
  <c r="FP250" i="65"/>
  <c r="FP254" i="65"/>
  <c r="FP258" i="65"/>
  <c r="FP262" i="65"/>
  <c r="FP266" i="65"/>
  <c r="FP270" i="65"/>
  <c r="FP274" i="65"/>
  <c r="FP278" i="65"/>
  <c r="FP243" i="65"/>
  <c r="FP247" i="65"/>
  <c r="FP251" i="65"/>
  <c r="FP255" i="65"/>
  <c r="FP259" i="65"/>
  <c r="FP263" i="65"/>
  <c r="FP267" i="65"/>
  <c r="FP271" i="65"/>
  <c r="FP275" i="65"/>
  <c r="P27" i="65"/>
  <c r="S27" i="65" s="1"/>
  <c r="FP836" i="65"/>
  <c r="FP840" i="65"/>
  <c r="FP844" i="65"/>
  <c r="FP848" i="65"/>
  <c r="GG848" i="65" s="1"/>
  <c r="FP852" i="65"/>
  <c r="FP856" i="65"/>
  <c r="FP860" i="65"/>
  <c r="FP864" i="65"/>
  <c r="FP868" i="65"/>
  <c r="FP872" i="65"/>
  <c r="FP833" i="65"/>
  <c r="GG833" i="65" s="1"/>
  <c r="FP837" i="65"/>
  <c r="FP841" i="65"/>
  <c r="FP845" i="65"/>
  <c r="FP849" i="65"/>
  <c r="GG849" i="65" s="1"/>
  <c r="FP853" i="65"/>
  <c r="FP857" i="65"/>
  <c r="FP861" i="65"/>
  <c r="FP865" i="65"/>
  <c r="FP869" i="65"/>
  <c r="FP873" i="65"/>
  <c r="FP834" i="65"/>
  <c r="FP838" i="65"/>
  <c r="FP842" i="65"/>
  <c r="FP846" i="65"/>
  <c r="FP850" i="65"/>
  <c r="FP854" i="65"/>
  <c r="FP858" i="65"/>
  <c r="FP862" i="65"/>
  <c r="FP866" i="65"/>
  <c r="FP870" i="65"/>
  <c r="FP874" i="65"/>
  <c r="FP835" i="65"/>
  <c r="FP839" i="65"/>
  <c r="FP843" i="65"/>
  <c r="FP847" i="65"/>
  <c r="GG847" i="65" s="1"/>
  <c r="FP851" i="65"/>
  <c r="FP855" i="65"/>
  <c r="FP859" i="65"/>
  <c r="FP863" i="65"/>
  <c r="GG863" i="65" s="1"/>
  <c r="FP867" i="65"/>
  <c r="FP871" i="65"/>
  <c r="FP875" i="65"/>
  <c r="P16" i="65"/>
  <c r="S16" i="65" s="1"/>
  <c r="FP400" i="65"/>
  <c r="FP404" i="65"/>
  <c r="FP408" i="65"/>
  <c r="FP412" i="65"/>
  <c r="FP416" i="65"/>
  <c r="FP420" i="65"/>
  <c r="FP424" i="65"/>
  <c r="FP428" i="65"/>
  <c r="FP432" i="65"/>
  <c r="FP436" i="65"/>
  <c r="FP440" i="65"/>
  <c r="FP401" i="65"/>
  <c r="FP405" i="65"/>
  <c r="FP409" i="65"/>
  <c r="FP413" i="65"/>
  <c r="FP417" i="65"/>
  <c r="FP421" i="65"/>
  <c r="FP425" i="65"/>
  <c r="FP429" i="65"/>
  <c r="FP433" i="65"/>
  <c r="FP437" i="65"/>
  <c r="FP398" i="65"/>
  <c r="FP402" i="65"/>
  <c r="FP406" i="65"/>
  <c r="FP410" i="65"/>
  <c r="FP414" i="65"/>
  <c r="FP418" i="65"/>
  <c r="FP422" i="65"/>
  <c r="FP426" i="65"/>
  <c r="FP430" i="65"/>
  <c r="FP434" i="65"/>
  <c r="FP438" i="65"/>
  <c r="FP399" i="65"/>
  <c r="FP403" i="65"/>
  <c r="FP407" i="65"/>
  <c r="FP411" i="65"/>
  <c r="FP415" i="65"/>
  <c r="FP419" i="65"/>
  <c r="FP423" i="65"/>
  <c r="FP427" i="65"/>
  <c r="FP431" i="65"/>
  <c r="FP435" i="65"/>
  <c r="FP439" i="65"/>
  <c r="AS422" i="54"/>
  <c r="AQ422" i="54"/>
  <c r="AO423" i="54"/>
  <c r="AO463" i="54"/>
  <c r="AP463" i="54" s="1"/>
  <c r="AO523" i="54"/>
  <c r="AQ523" i="54" s="1"/>
  <c r="AR543" i="54"/>
  <c r="AQ543" i="54"/>
  <c r="AS543" i="54"/>
  <c r="AZ542" i="54"/>
  <c r="BA542" i="54"/>
  <c r="DH84" i="66"/>
  <c r="AY543" i="54" s="1"/>
  <c r="AZ543" i="54" s="1"/>
  <c r="BB542" i="54"/>
  <c r="DT83" i="66"/>
  <c r="AS462" i="54"/>
  <c r="DI85" i="66"/>
  <c r="DI64" i="66"/>
  <c r="AR462" i="54"/>
  <c r="AQ462" i="54"/>
  <c r="DI65" i="66"/>
  <c r="DI84" i="66"/>
  <c r="AZ341" i="54"/>
  <c r="DM1039" i="54"/>
  <c r="EJ404" i="54"/>
  <c r="IF133" i="54"/>
  <c r="IK133" i="54" s="1"/>
  <c r="IS133" i="54" s="1"/>
  <c r="EM404" i="54"/>
  <c r="EK404" i="54"/>
  <c r="BA341" i="54"/>
  <c r="BB341" i="54"/>
  <c r="EP104" i="54"/>
  <c r="EQ604" i="54"/>
  <c r="EO104" i="54"/>
  <c r="ER104" i="54"/>
  <c r="EQ104" i="54"/>
  <c r="DM468" i="54"/>
  <c r="EO604" i="54"/>
  <c r="DM1559" i="54"/>
  <c r="EL404" i="54"/>
  <c r="EN604" i="54"/>
  <c r="DM1560" i="54"/>
  <c r="AP23" i="67"/>
  <c r="AT23" i="67" s="1"/>
  <c r="AY23" i="67" s="1"/>
  <c r="DJ1248" i="54"/>
  <c r="DM883" i="54"/>
  <c r="DJ1560" i="54"/>
  <c r="EI604" i="54"/>
  <c r="DJ1559" i="54"/>
  <c r="DM1091" i="54"/>
  <c r="EP604" i="54"/>
  <c r="CJ16" i="65"/>
  <c r="DM727" i="54"/>
  <c r="DM1040" i="54"/>
  <c r="BO481" i="54"/>
  <c r="BP481" i="54"/>
  <c r="BQ481" i="54"/>
  <c r="BR481" i="54"/>
  <c r="BK481" i="54"/>
  <c r="BM481" i="54"/>
  <c r="BJ481" i="54"/>
  <c r="BL481" i="54"/>
  <c r="BL502" i="54"/>
  <c r="BM502" i="54"/>
  <c r="BJ502" i="54"/>
  <c r="BK502" i="54"/>
  <c r="BC543" i="54"/>
  <c r="AY342" i="54"/>
  <c r="BB342" i="54" s="1"/>
  <c r="AY522" i="54"/>
  <c r="AY462" i="54"/>
  <c r="AZ461" i="54"/>
  <c r="BB461" i="54"/>
  <c r="BA461" i="54"/>
  <c r="BC461" i="54"/>
  <c r="BJ482" i="54"/>
  <c r="BL482" i="54"/>
  <c r="BK482" i="54"/>
  <c r="BM482" i="54"/>
  <c r="BR482" i="54"/>
  <c r="BQ482" i="54"/>
  <c r="BP482" i="54"/>
  <c r="BO482" i="54"/>
  <c r="BD524" i="54"/>
  <c r="BD464" i="54"/>
  <c r="BO502" i="54"/>
  <c r="BQ502" i="54"/>
  <c r="BR502" i="54"/>
  <c r="BP502" i="54"/>
  <c r="CJ184" i="54"/>
  <c r="CJ604" i="54"/>
  <c r="DF1561" i="54"/>
  <c r="DG1561" i="54" s="1"/>
  <c r="DF1564" i="54"/>
  <c r="DF1562" i="54"/>
  <c r="DF1563" i="54"/>
  <c r="EQ25" i="66"/>
  <c r="AZ521" i="54"/>
  <c r="BA521" i="54"/>
  <c r="BB521" i="54"/>
  <c r="BC521" i="54"/>
  <c r="BR480" i="54"/>
  <c r="BO480" i="54"/>
  <c r="BQ480" i="54"/>
  <c r="BP480" i="54"/>
  <c r="BJ480" i="54"/>
  <c r="BL480" i="54"/>
  <c r="BM480" i="54"/>
  <c r="BK480" i="54"/>
  <c r="DO85" i="66"/>
  <c r="BD544" i="54"/>
  <c r="FL604" i="54"/>
  <c r="FJ604" i="54"/>
  <c r="FK604" i="54"/>
  <c r="FI604" i="54"/>
  <c r="FH604" i="54"/>
  <c r="EA604" i="54"/>
  <c r="EJ604" i="54"/>
  <c r="EL604" i="54"/>
  <c r="EK604" i="54"/>
  <c r="BD523" i="54"/>
  <c r="BD463" i="54"/>
  <c r="DO84" i="66"/>
  <c r="BD543" i="54"/>
  <c r="BL500" i="54"/>
  <c r="BJ500" i="54"/>
  <c r="BK500" i="54"/>
  <c r="BM500" i="54"/>
  <c r="BR501" i="54"/>
  <c r="BO501" i="54"/>
  <c r="BQ501" i="54"/>
  <c r="BP501" i="54"/>
  <c r="BB501" i="54"/>
  <c r="BA501" i="54"/>
  <c r="BC501" i="54"/>
  <c r="AZ501" i="54"/>
  <c r="AP523" i="54"/>
  <c r="AS523" i="54"/>
  <c r="CJ27" i="65"/>
  <c r="HI139" i="54"/>
  <c r="HO139" i="54" s="1"/>
  <c r="HI138" i="54"/>
  <c r="HO138" i="54" s="1"/>
  <c r="IF138" i="54" s="1"/>
  <c r="IK138" i="54" s="1"/>
  <c r="HI142" i="54"/>
  <c r="HO142" i="54" s="1"/>
  <c r="HI137" i="54"/>
  <c r="HO137" i="54" s="1"/>
  <c r="IF137" i="54" s="1"/>
  <c r="IK137" i="54" s="1"/>
  <c r="AO401" i="54"/>
  <c r="AS401" i="54" s="1"/>
  <c r="AO501" i="54"/>
  <c r="CJ10" i="65"/>
  <c r="HI141" i="54"/>
  <c r="HO141" i="54" s="1"/>
  <c r="HI144" i="54"/>
  <c r="HI143" i="54"/>
  <c r="HO143" i="54" s="1"/>
  <c r="DJ1196" i="54"/>
  <c r="HQ144" i="54"/>
  <c r="HQ145" i="54"/>
  <c r="HQ142" i="54"/>
  <c r="IE142" i="54" s="1"/>
  <c r="HQ141" i="54"/>
  <c r="IE141" i="54" s="1"/>
  <c r="HQ143" i="54"/>
  <c r="IE143" i="54" s="1"/>
  <c r="DJ778" i="54"/>
  <c r="HV139" i="54"/>
  <c r="DM778" i="54"/>
  <c r="HW139" i="54"/>
  <c r="HH148" i="54"/>
  <c r="HN148" i="54" s="1"/>
  <c r="HH149" i="54"/>
  <c r="HN149" i="54" s="1"/>
  <c r="HH153" i="54"/>
  <c r="HN153" i="54" s="1"/>
  <c r="HH152" i="54"/>
  <c r="HN152" i="54" s="1"/>
  <c r="HH154" i="54"/>
  <c r="HN154" i="54" s="1"/>
  <c r="HH145" i="54"/>
  <c r="HN145" i="54" s="1"/>
  <c r="HH150" i="54"/>
  <c r="HN150" i="54" s="1"/>
  <c r="HH146" i="54"/>
  <c r="HN146" i="54" s="1"/>
  <c r="HH147" i="54"/>
  <c r="HN147" i="54" s="1"/>
  <c r="HH151" i="54"/>
  <c r="HN151" i="54" s="1"/>
  <c r="HZ154" i="54"/>
  <c r="IA154" i="54" s="1"/>
  <c r="HQ140" i="54"/>
  <c r="IE140" i="54" s="1"/>
  <c r="HQ139" i="54"/>
  <c r="IE139" i="54" s="1"/>
  <c r="DJ1403" i="54"/>
  <c r="DJ1247" i="54"/>
  <c r="DJ1195" i="54"/>
  <c r="CJ15" i="65"/>
  <c r="DM1247" i="54"/>
  <c r="DJ1300" i="54"/>
  <c r="EI544" i="54"/>
  <c r="DM1404" i="54"/>
  <c r="EN504" i="54"/>
  <c r="DM1196" i="54"/>
  <c r="CJ14" i="65"/>
  <c r="CJ30" i="65"/>
  <c r="DY14" i="65"/>
  <c r="DY26" i="65"/>
  <c r="G12" i="65"/>
  <c r="K12" i="65" s="1"/>
  <c r="N12" i="65" s="1"/>
  <c r="E9" i="57"/>
  <c r="DM1300" i="54"/>
  <c r="DM1195" i="54"/>
  <c r="EM544" i="54"/>
  <c r="GG779" i="65"/>
  <c r="GG757" i="65"/>
  <c r="GG765" i="65"/>
  <c r="GG789" i="65"/>
  <c r="GG773" i="65"/>
  <c r="GG780" i="65"/>
  <c r="GG764" i="65"/>
  <c r="GG787" i="65"/>
  <c r="GG788" i="65"/>
  <c r="GG781" i="65"/>
  <c r="GG772" i="65"/>
  <c r="GG771" i="65"/>
  <c r="GG763" i="65"/>
  <c r="GG841" i="65"/>
  <c r="GG864" i="65"/>
  <c r="GG839" i="65"/>
  <c r="GG855" i="65"/>
  <c r="GG857" i="65"/>
  <c r="GG856" i="65"/>
  <c r="GG840" i="65"/>
  <c r="GG871" i="65"/>
  <c r="GG865" i="65"/>
  <c r="EO544" i="54"/>
  <c r="L26" i="65"/>
  <c r="O26" i="65" s="1"/>
  <c r="L13" i="65"/>
  <c r="O13" i="65" s="1"/>
  <c r="L14" i="65"/>
  <c r="O14" i="65" s="1"/>
  <c r="L15" i="65"/>
  <c r="O15" i="65" s="1"/>
  <c r="EN544" i="54"/>
  <c r="EI484" i="54"/>
  <c r="BY31" i="65"/>
  <c r="CC31" i="65" s="1"/>
  <c r="G25" i="65"/>
  <c r="CJ12" i="65"/>
  <c r="ER484" i="54"/>
  <c r="EL504" i="54"/>
  <c r="EL544" i="54"/>
  <c r="GG750" i="65"/>
  <c r="GG714" i="65"/>
  <c r="GG745" i="65"/>
  <c r="GG729" i="65"/>
  <c r="GG720" i="65"/>
  <c r="GG728" i="65"/>
  <c r="GG755" i="65"/>
  <c r="GG737" i="65"/>
  <c r="GG751" i="65"/>
  <c r="GG746" i="65"/>
  <c r="GG738" i="65"/>
  <c r="GG722" i="65"/>
  <c r="GG721" i="65"/>
  <c r="GG736" i="65"/>
  <c r="GG756" i="65"/>
  <c r="GG744" i="65"/>
  <c r="GG752" i="65"/>
  <c r="GG730" i="65"/>
  <c r="DJ1404" i="54"/>
  <c r="EK484" i="54"/>
  <c r="EK504" i="54"/>
  <c r="DY25" i="65"/>
  <c r="DY27" i="65"/>
  <c r="DY15" i="65"/>
  <c r="L25" i="65"/>
  <c r="O25" i="65" s="1"/>
  <c r="EP484" i="54"/>
  <c r="DY13" i="65"/>
  <c r="ER464" i="54"/>
  <c r="K24" i="65"/>
  <c r="N24" i="65" s="1"/>
  <c r="EL464" i="54"/>
  <c r="EK464" i="54"/>
  <c r="GG818" i="65"/>
  <c r="GG809" i="65"/>
  <c r="GG817" i="65"/>
  <c r="GG825" i="65"/>
  <c r="GG832" i="65"/>
  <c r="GG819" i="65"/>
  <c r="GG826" i="65"/>
  <c r="GG831" i="65"/>
  <c r="GG801" i="65"/>
  <c r="GG802" i="65"/>
  <c r="GG810" i="65"/>
  <c r="GG811" i="65"/>
  <c r="GG795" i="65"/>
  <c r="GG803" i="65"/>
  <c r="GG827" i="65"/>
  <c r="DY16" i="65"/>
  <c r="CJ25" i="65"/>
  <c r="EQ464" i="54"/>
  <c r="EN484" i="54"/>
  <c r="EJ544" i="54"/>
  <c r="CJ26" i="65"/>
  <c r="DM1248" i="54"/>
  <c r="L27" i="65"/>
  <c r="L24" i="65"/>
  <c r="O24" i="65" s="1"/>
  <c r="EO484" i="54"/>
  <c r="G14" i="65"/>
  <c r="EP464" i="54"/>
  <c r="CJ11" i="65"/>
  <c r="EM464" i="54"/>
  <c r="EQ544" i="54"/>
  <c r="DM1299" i="54"/>
  <c r="EN464" i="54"/>
  <c r="EQ504" i="54"/>
  <c r="CJ13" i="65"/>
  <c r="CJ28" i="65"/>
  <c r="L16" i="65"/>
  <c r="O16" i="65" s="1"/>
  <c r="EI504" i="54"/>
  <c r="EM504" i="54"/>
  <c r="BY17" i="65"/>
  <c r="CC17" i="65" s="1"/>
  <c r="K13" i="65"/>
  <c r="N13" i="65" s="1"/>
  <c r="EM484" i="54"/>
  <c r="ER544" i="54"/>
  <c r="EL484" i="54"/>
  <c r="EP504" i="54"/>
  <c r="EI464" i="54"/>
  <c r="DY24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DL784" i="54"/>
  <c r="DF1198" i="54"/>
  <c r="DF1200" i="54"/>
  <c r="DF1199" i="54"/>
  <c r="DF1197" i="54"/>
  <c r="DG1197" i="54" s="1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G885" i="54" s="1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GG668" i="65"/>
  <c r="GG674" i="65"/>
  <c r="GG652" i="65"/>
  <c r="GG675" i="65"/>
  <c r="GG644" i="65"/>
  <c r="GG660" i="65"/>
  <c r="GG645" i="65"/>
  <c r="GG669" i="65"/>
  <c r="GG662" i="65"/>
  <c r="GG638" i="65"/>
  <c r="GG661" i="65"/>
  <c r="GG653" i="65"/>
  <c r="GG670" i="65"/>
  <c r="GG646" i="65"/>
  <c r="GG654" i="65"/>
  <c r="GG520" i="65"/>
  <c r="GG530" i="65"/>
  <c r="GG528" i="65"/>
  <c r="GG538" i="65"/>
  <c r="GG522" i="65"/>
  <c r="GG536" i="65"/>
  <c r="GG554" i="65"/>
  <c r="GG529" i="65"/>
  <c r="GJ549" i="65"/>
  <c r="GG537" i="65"/>
  <c r="GG544" i="65"/>
  <c r="GJ533" i="65"/>
  <c r="GJ525" i="65"/>
  <c r="GG545" i="65"/>
  <c r="GG552" i="65"/>
  <c r="GG546" i="65"/>
  <c r="GG553" i="65"/>
  <c r="GG521" i="65"/>
  <c r="GJ541" i="65"/>
  <c r="GJ534" i="65"/>
  <c r="GG524" i="65"/>
  <c r="GG532" i="65"/>
  <c r="GG540" i="65"/>
  <c r="GJ526" i="65"/>
  <c r="GG556" i="65"/>
  <c r="GG539" i="65"/>
  <c r="GJ529" i="65"/>
  <c r="GG548" i="65"/>
  <c r="GG531" i="65"/>
  <c r="GJ545" i="65"/>
  <c r="GJ550" i="65"/>
  <c r="GG523" i="65"/>
  <c r="GG555" i="65"/>
  <c r="Q8" i="65"/>
  <c r="T8" i="65" s="1"/>
  <c r="GG676" i="65"/>
  <c r="GG707" i="65"/>
  <c r="GG691" i="65"/>
  <c r="GG698" i="65"/>
  <c r="GG690" i="65"/>
  <c r="GG682" i="65"/>
  <c r="GG699" i="65"/>
  <c r="GG706" i="65"/>
  <c r="GG683" i="65"/>
  <c r="GG684" i="65"/>
  <c r="GG700" i="65"/>
  <c r="GG708" i="65"/>
  <c r="GG692" i="65"/>
  <c r="P9" i="65"/>
  <c r="S9" i="65" s="1"/>
  <c r="P10" i="65"/>
  <c r="S10" i="65" s="1"/>
  <c r="P12" i="65"/>
  <c r="S12" i="65" s="1"/>
  <c r="GG593" i="65"/>
  <c r="GG573" i="65"/>
  <c r="GG587" i="65"/>
  <c r="GG589" i="65"/>
  <c r="GG565" i="65"/>
  <c r="GG581" i="65"/>
  <c r="GG564" i="65"/>
  <c r="GG594" i="65"/>
  <c r="GG563" i="65"/>
  <c r="GG571" i="65"/>
  <c r="GG588" i="65"/>
  <c r="GG579" i="65"/>
  <c r="GG557" i="65"/>
  <c r="GG572" i="65"/>
  <c r="GG580" i="65"/>
  <c r="P11" i="65"/>
  <c r="S11" i="65" s="1"/>
  <c r="GG602" i="65"/>
  <c r="GG619" i="65"/>
  <c r="GG627" i="65"/>
  <c r="GG618" i="65"/>
  <c r="GG626" i="65"/>
  <c r="GG610" i="65"/>
  <c r="GG617" i="65"/>
  <c r="GG625" i="65"/>
  <c r="GG633" i="65"/>
  <c r="GG609" i="65"/>
  <c r="GG595" i="65"/>
  <c r="GG603" i="65"/>
  <c r="GG601" i="65"/>
  <c r="GG611" i="65"/>
  <c r="GG534" i="65"/>
  <c r="GG542" i="65"/>
  <c r="GG526" i="65"/>
  <c r="GG551" i="65"/>
  <c r="GG549" i="65"/>
  <c r="GG543" i="65"/>
  <c r="GG541" i="65"/>
  <c r="GG550" i="65"/>
  <c r="GG533" i="65"/>
  <c r="GG525" i="65"/>
  <c r="GG519" i="65"/>
  <c r="GG535" i="65"/>
  <c r="GG527" i="65"/>
  <c r="DY8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J28" i="66"/>
  <c r="CT28" i="66" s="1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F22" i="66"/>
  <c r="DF262" i="54"/>
  <c r="DJ259" i="54"/>
  <c r="EO424" i="54"/>
  <c r="EP424" i="54"/>
  <c r="DJ728" i="54"/>
  <c r="DJ727" i="54"/>
  <c r="EN424" i="54"/>
  <c r="ER344" i="54"/>
  <c r="EN26" i="66"/>
  <c r="DF1042" i="54"/>
  <c r="EU25" i="66"/>
  <c r="EP344" i="54"/>
  <c r="DF472" i="54"/>
  <c r="DF261" i="54"/>
  <c r="DG261" i="54" s="1"/>
  <c r="DF1093" i="54"/>
  <c r="DG1093" i="54" s="1"/>
  <c r="DF731" i="54"/>
  <c r="DF105" i="54"/>
  <c r="DG105" i="54" s="1"/>
  <c r="BL45" i="66"/>
  <c r="DI105" i="54" s="1"/>
  <c r="DJ105" i="54" s="1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H64" i="66"/>
  <c r="DF471" i="54"/>
  <c r="DF730" i="54"/>
  <c r="DF888" i="54"/>
  <c r="DF107" i="54"/>
  <c r="DF1094" i="54"/>
  <c r="DF1043" i="54"/>
  <c r="DF108" i="54"/>
  <c r="DF1044" i="54"/>
  <c r="DF1096" i="54"/>
  <c r="DF886" i="54"/>
  <c r="DF887" i="54"/>
  <c r="AY422" i="54"/>
  <c r="BA422" i="54" s="1"/>
  <c r="DT63" i="66"/>
  <c r="EI44" i="54"/>
  <c r="BA421" i="54"/>
  <c r="BC421" i="54"/>
  <c r="AZ421" i="54"/>
  <c r="AO361" i="54"/>
  <c r="AR361" i="54" s="1"/>
  <c r="DT41" i="66"/>
  <c r="DR42" i="66"/>
  <c r="AO441" i="54"/>
  <c r="AR441" i="54" s="1"/>
  <c r="DF43" i="66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Q22" i="66"/>
  <c r="BN381" i="54"/>
  <c r="DP21" i="66"/>
  <c r="DG22" i="66" s="1"/>
  <c r="BI380" i="54"/>
  <c r="DO64" i="66"/>
  <c r="BD343" i="54"/>
  <c r="BD423" i="54"/>
  <c r="DQ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Q23" i="66"/>
  <c r="BN382" i="54"/>
  <c r="DP23" i="66"/>
  <c r="BI382" i="54"/>
  <c r="DP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Q21" i="66"/>
  <c r="DT21" i="66" s="1"/>
  <c r="BN380" i="54"/>
  <c r="DP22" i="66"/>
  <c r="BI381" i="54"/>
  <c r="DO65" i="66"/>
  <c r="BD344" i="54"/>
  <c r="BD424" i="54"/>
  <c r="DP41" i="66"/>
  <c r="DG42" i="66" s="1"/>
  <c r="BI440" i="54"/>
  <c r="BI400" i="54"/>
  <c r="BI360" i="54"/>
  <c r="DQ42" i="66"/>
  <c r="DH43" i="66" s="1"/>
  <c r="AY502" i="54" s="1"/>
  <c r="BN441" i="54"/>
  <c r="BN401" i="54"/>
  <c r="BN361" i="54"/>
  <c r="BH362" i="54"/>
  <c r="BG362" i="54"/>
  <c r="BE362" i="54"/>
  <c r="BF362" i="54"/>
  <c r="BP400" i="54"/>
  <c r="BO400" i="54"/>
  <c r="BR400" i="54"/>
  <c r="BQ400" i="54"/>
  <c r="EA404" i="54"/>
  <c r="CH44" i="54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T45" i="66"/>
  <c r="ER26" i="66"/>
  <c r="EA344" i="54"/>
  <c r="EA44" i="54"/>
  <c r="CH184" i="54"/>
  <c r="CH104" i="54"/>
  <c r="BY45" i="66"/>
  <c r="EA284" i="54"/>
  <c r="CH284" i="54"/>
  <c r="CH404" i="54"/>
  <c r="BR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4" i="54"/>
  <c r="DN85" i="66"/>
  <c r="DN64" i="66"/>
  <c r="DN65" i="66"/>
  <c r="DN84" i="66"/>
  <c r="DK64" i="66"/>
  <c r="DK84" i="66"/>
  <c r="DK65" i="66"/>
  <c r="DK85" i="66"/>
  <c r="IR129" i="54"/>
  <c r="IT129" i="54"/>
  <c r="IS129" i="54"/>
  <c r="IR130" i="54"/>
  <c r="IT130" i="54"/>
  <c r="IS130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29" i="54"/>
  <c r="IN129" i="54"/>
  <c r="IM129" i="54"/>
  <c r="HO140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P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K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K21" i="65"/>
  <c r="N21" i="65" s="1"/>
  <c r="L23" i="65"/>
  <c r="O23" i="65" s="1"/>
  <c r="EA18" i="66"/>
  <c r="L22" i="65"/>
  <c r="O2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L25" i="66"/>
  <c r="DF1147" i="54"/>
  <c r="DF938" i="54"/>
  <c r="DF937" i="54"/>
  <c r="DG937" i="54" s="1"/>
  <c r="DF784" i="54"/>
  <c r="HU154" i="54" s="1"/>
  <c r="DF782" i="54"/>
  <c r="HU149" i="54" s="1"/>
  <c r="DF679" i="54"/>
  <c r="DF783" i="54"/>
  <c r="HU151" i="54" s="1"/>
  <c r="DF1146" i="54"/>
  <c r="DF989" i="54"/>
  <c r="DG989" i="54" s="1"/>
  <c r="DF1148" i="54"/>
  <c r="DF990" i="54"/>
  <c r="DF210" i="54"/>
  <c r="DF1145" i="54"/>
  <c r="DG1145" i="54" s="1"/>
  <c r="DF211" i="54"/>
  <c r="DF781" i="54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ER304" i="54"/>
  <c r="EO304" i="54"/>
  <c r="EQ304" i="54"/>
  <c r="EP304" i="54"/>
  <c r="EL304" i="54"/>
  <c r="DL937" i="54"/>
  <c r="DM937" i="54" s="1"/>
  <c r="DL783" i="54"/>
  <c r="DL782" i="54"/>
  <c r="DL990" i="54"/>
  <c r="DL781" i="54"/>
  <c r="DL1145" i="54"/>
  <c r="DM1145" i="54" s="1"/>
  <c r="DL211" i="54"/>
  <c r="DL212" i="54"/>
  <c r="DL939" i="54"/>
  <c r="DI159" i="54"/>
  <c r="DI158" i="54"/>
  <c r="DI157" i="54"/>
  <c r="DJ157" i="54" s="1"/>
  <c r="DI160" i="54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R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BA64" i="66"/>
  <c r="CH623" i="54" s="1"/>
  <c r="BW63" i="66"/>
  <c r="EI183" i="54"/>
  <c r="EM163" i="54"/>
  <c r="EJ163" i="54"/>
  <c r="EI163" i="54"/>
  <c r="EL163" i="54"/>
  <c r="EM283" i="54"/>
  <c r="BY25" i="66"/>
  <c r="BT25" i="66"/>
  <c r="DL1148" i="54" l="1"/>
  <c r="DL679" i="54"/>
  <c r="DL938" i="54"/>
  <c r="DL677" i="54"/>
  <c r="DM677" i="54" s="1"/>
  <c r="DL991" i="54"/>
  <c r="DL209" i="54"/>
  <c r="DM209" i="54" s="1"/>
  <c r="DL992" i="54"/>
  <c r="DL989" i="54"/>
  <c r="DM989" i="54" s="1"/>
  <c r="DL1147" i="54"/>
  <c r="DL680" i="54"/>
  <c r="DL678" i="54"/>
  <c r="DL210" i="54"/>
  <c r="DL940" i="54"/>
  <c r="DL1146" i="54"/>
  <c r="DI1510" i="54"/>
  <c r="DJ1510" i="54" s="1"/>
  <c r="DI1512" i="54"/>
  <c r="DJ1512" i="54" s="1"/>
  <c r="DI1511" i="54"/>
  <c r="DJ1511" i="54" s="1"/>
  <c r="DI1509" i="54"/>
  <c r="DJ1509" i="54" s="1"/>
  <c r="FM584" i="54"/>
  <c r="FP584" i="54"/>
  <c r="EB584" i="54"/>
  <c r="FN584" i="54"/>
  <c r="FQ584" i="54"/>
  <c r="FO584" i="54"/>
  <c r="FS584" i="54"/>
  <c r="FU584" i="54"/>
  <c r="EC584" i="54"/>
  <c r="FT584" i="54"/>
  <c r="FR584" i="54"/>
  <c r="FV584" i="54"/>
  <c r="DL1509" i="54"/>
  <c r="DM1509" i="54" s="1"/>
  <c r="DL1510" i="54"/>
  <c r="DL1511" i="54"/>
  <c r="DL1512" i="54"/>
  <c r="FQ678" i="65"/>
  <c r="FQ682" i="65"/>
  <c r="FQ686" i="65"/>
  <c r="FQ690" i="65"/>
  <c r="FQ694" i="65"/>
  <c r="FQ698" i="65"/>
  <c r="FQ702" i="65"/>
  <c r="FQ706" i="65"/>
  <c r="FQ710" i="65"/>
  <c r="FQ679" i="65"/>
  <c r="FQ683" i="65"/>
  <c r="FQ687" i="65"/>
  <c r="FQ691" i="65"/>
  <c r="FQ695" i="65"/>
  <c r="FQ699" i="65"/>
  <c r="FQ703" i="65"/>
  <c r="FQ707" i="65"/>
  <c r="FQ711" i="65"/>
  <c r="FQ676" i="65"/>
  <c r="FQ680" i="65"/>
  <c r="FQ684" i="65"/>
  <c r="FQ688" i="65"/>
  <c r="FQ692" i="65"/>
  <c r="FQ696" i="65"/>
  <c r="FQ700" i="65"/>
  <c r="FQ704" i="65"/>
  <c r="FQ708" i="65"/>
  <c r="FQ712" i="65"/>
  <c r="FQ677" i="65"/>
  <c r="FQ681" i="65"/>
  <c r="FQ685" i="65"/>
  <c r="FQ689" i="65"/>
  <c r="FQ693" i="65"/>
  <c r="FQ697" i="65"/>
  <c r="FQ701" i="65"/>
  <c r="FQ705" i="65"/>
  <c r="FQ709" i="65"/>
  <c r="FQ713" i="65"/>
  <c r="FU520" i="65"/>
  <c r="FU524" i="65"/>
  <c r="FU528" i="65"/>
  <c r="FU532" i="65"/>
  <c r="GH532" i="65" s="1"/>
  <c r="FU536" i="65"/>
  <c r="FU540" i="65"/>
  <c r="FU544" i="65"/>
  <c r="FU548" i="65"/>
  <c r="FU552" i="65"/>
  <c r="FU556" i="65"/>
  <c r="FU521" i="65"/>
  <c r="GK521" i="65" s="1"/>
  <c r="FU525" i="65"/>
  <c r="FU529" i="65"/>
  <c r="FU522" i="65"/>
  <c r="FU526" i="65"/>
  <c r="GK526" i="65" s="1"/>
  <c r="FU530" i="65"/>
  <c r="FU534" i="65"/>
  <c r="FU538" i="65"/>
  <c r="FU542" i="65"/>
  <c r="GK542" i="65" s="1"/>
  <c r="FU546" i="65"/>
  <c r="FU550" i="65"/>
  <c r="FU554" i="65"/>
  <c r="FU519" i="65"/>
  <c r="FU523" i="65"/>
  <c r="GH523" i="65" s="1"/>
  <c r="FU527" i="65"/>
  <c r="FU531" i="65"/>
  <c r="FU535" i="65"/>
  <c r="FU539" i="65"/>
  <c r="GH539" i="65" s="1"/>
  <c r="FU543" i="65"/>
  <c r="FU547" i="65"/>
  <c r="FU551" i="65"/>
  <c r="FU555" i="65"/>
  <c r="FU533" i="65"/>
  <c r="FU549" i="65"/>
  <c r="FU537" i="65"/>
  <c r="GK537" i="65" s="1"/>
  <c r="FU553" i="65"/>
  <c r="GK553" i="65" s="1"/>
  <c r="FU541" i="65"/>
  <c r="FU545" i="65"/>
  <c r="FS125" i="65"/>
  <c r="FS129" i="65"/>
  <c r="FS133" i="65"/>
  <c r="FS137" i="65"/>
  <c r="FS141" i="65"/>
  <c r="FS145" i="65"/>
  <c r="FS149" i="65"/>
  <c r="FS153" i="65"/>
  <c r="FS157" i="65"/>
  <c r="FS122" i="65"/>
  <c r="FS126" i="65"/>
  <c r="FS130" i="65"/>
  <c r="FS134" i="65"/>
  <c r="FS138" i="65"/>
  <c r="FS142" i="65"/>
  <c r="FS146" i="65"/>
  <c r="FS150" i="65"/>
  <c r="FS154" i="65"/>
  <c r="FS158" i="65"/>
  <c r="FS128" i="65"/>
  <c r="FS136" i="65"/>
  <c r="FS144" i="65"/>
  <c r="FS152" i="65"/>
  <c r="FS123" i="65"/>
  <c r="FS131" i="65"/>
  <c r="FS139" i="65"/>
  <c r="FS147" i="65"/>
  <c r="FS155" i="65"/>
  <c r="FS124" i="65"/>
  <c r="FS132" i="65"/>
  <c r="FS140" i="65"/>
  <c r="FS148" i="65"/>
  <c r="FS156" i="65"/>
  <c r="FS127" i="65"/>
  <c r="FS135" i="65"/>
  <c r="FS143" i="65"/>
  <c r="FS151" i="65"/>
  <c r="FS159" i="65"/>
  <c r="Q13" i="65"/>
  <c r="T13" i="65" s="1"/>
  <c r="FQ282" i="65"/>
  <c r="FQ286" i="65"/>
  <c r="FQ290" i="65"/>
  <c r="FQ294" i="65"/>
  <c r="FQ298" i="65"/>
  <c r="FQ302" i="65"/>
  <c r="FQ306" i="65"/>
  <c r="FQ310" i="65"/>
  <c r="FQ314" i="65"/>
  <c r="FQ318" i="65"/>
  <c r="FQ279" i="65"/>
  <c r="FQ283" i="65"/>
  <c r="FQ287" i="65"/>
  <c r="FQ291" i="65"/>
  <c r="FQ295" i="65"/>
  <c r="FQ299" i="65"/>
  <c r="FQ303" i="65"/>
  <c r="FQ307" i="65"/>
  <c r="FQ280" i="65"/>
  <c r="FQ284" i="65"/>
  <c r="FQ288" i="65"/>
  <c r="FQ292" i="65"/>
  <c r="FQ296" i="65"/>
  <c r="FQ300" i="65"/>
  <c r="FQ304" i="65"/>
  <c r="FQ308" i="65"/>
  <c r="FQ312" i="65"/>
  <c r="FQ316" i="65"/>
  <c r="FQ320" i="65"/>
  <c r="FQ281" i="65"/>
  <c r="FQ285" i="65"/>
  <c r="FQ289" i="65"/>
  <c r="FQ293" i="65"/>
  <c r="FQ297" i="65"/>
  <c r="FQ301" i="65"/>
  <c r="FQ305" i="65"/>
  <c r="FQ309" i="65"/>
  <c r="FQ313" i="65"/>
  <c r="FQ317" i="65"/>
  <c r="FQ321" i="65"/>
  <c r="FQ311" i="65"/>
  <c r="FQ315" i="65"/>
  <c r="FQ319" i="65"/>
  <c r="R16" i="65"/>
  <c r="U16" i="65" s="1"/>
  <c r="FR398" i="65"/>
  <c r="FR402" i="65"/>
  <c r="FR406" i="65"/>
  <c r="FR410" i="65"/>
  <c r="FR414" i="65"/>
  <c r="FR418" i="65"/>
  <c r="FR422" i="65"/>
  <c r="FR426" i="65"/>
  <c r="FR430" i="65"/>
  <c r="FR434" i="65"/>
  <c r="FR438" i="65"/>
  <c r="FR400" i="65"/>
  <c r="FR404" i="65"/>
  <c r="FR408" i="65"/>
  <c r="FR412" i="65"/>
  <c r="FR416" i="65"/>
  <c r="FR420" i="65"/>
  <c r="FR424" i="65"/>
  <c r="FR428" i="65"/>
  <c r="FR432" i="65"/>
  <c r="FR436" i="65"/>
  <c r="FR440" i="65"/>
  <c r="FR401" i="65"/>
  <c r="FR405" i="65"/>
  <c r="FR409" i="65"/>
  <c r="FR413" i="65"/>
  <c r="FR417" i="65"/>
  <c r="FR421" i="65"/>
  <c r="FR425" i="65"/>
  <c r="FR429" i="65"/>
  <c r="FR433" i="65"/>
  <c r="FR437" i="65"/>
  <c r="FR403" i="65"/>
  <c r="FR419" i="65"/>
  <c r="FR435" i="65"/>
  <c r="FR407" i="65"/>
  <c r="FR423" i="65"/>
  <c r="FR439" i="65"/>
  <c r="FR411" i="65"/>
  <c r="FR427" i="65"/>
  <c r="FR399" i="65"/>
  <c r="FR415" i="65"/>
  <c r="FR431" i="65"/>
  <c r="R24" i="65"/>
  <c r="U24" i="65" s="1"/>
  <c r="FR716" i="65"/>
  <c r="FR720" i="65"/>
  <c r="FR724" i="65"/>
  <c r="FR728" i="65"/>
  <c r="FR732" i="65"/>
  <c r="FR736" i="65"/>
  <c r="FR740" i="65"/>
  <c r="GJ740" i="65" s="1"/>
  <c r="FR744" i="65"/>
  <c r="FR748" i="65"/>
  <c r="FR752" i="65"/>
  <c r="FR756" i="65"/>
  <c r="GJ756" i="65" s="1"/>
  <c r="FR717" i="65"/>
  <c r="FR721" i="65"/>
  <c r="FR725" i="65"/>
  <c r="FR729" i="65"/>
  <c r="GJ729" i="65" s="1"/>
  <c r="FR733" i="65"/>
  <c r="FR737" i="65"/>
  <c r="FR741" i="65"/>
  <c r="FR745" i="65"/>
  <c r="GJ745" i="65" s="1"/>
  <c r="FR749" i="65"/>
  <c r="FR753" i="65"/>
  <c r="FR714" i="65"/>
  <c r="FR718" i="65"/>
  <c r="GG718" i="65" s="1"/>
  <c r="FR722" i="65"/>
  <c r="FR726" i="65"/>
  <c r="FR730" i="65"/>
  <c r="FR734" i="65"/>
  <c r="GG734" i="65" s="1"/>
  <c r="FR738" i="65"/>
  <c r="FR742" i="65"/>
  <c r="FR746" i="65"/>
  <c r="FR750" i="65"/>
  <c r="FR754" i="65"/>
  <c r="FR715" i="65"/>
  <c r="FR719" i="65"/>
  <c r="GG719" i="65" s="1"/>
  <c r="FR723" i="65"/>
  <c r="FR727" i="65"/>
  <c r="FR731" i="65"/>
  <c r="FR735" i="65"/>
  <c r="GG735" i="65" s="1"/>
  <c r="FR739" i="65"/>
  <c r="FR743" i="65"/>
  <c r="FR747" i="65"/>
  <c r="FR751" i="65"/>
  <c r="GJ751" i="65" s="1"/>
  <c r="FR755" i="65"/>
  <c r="R14" i="65"/>
  <c r="U14" i="65" s="1"/>
  <c r="FR322" i="65"/>
  <c r="FR326" i="65"/>
  <c r="FR330" i="65"/>
  <c r="FR334" i="65"/>
  <c r="FR338" i="65"/>
  <c r="FR342" i="65"/>
  <c r="FR346" i="65"/>
  <c r="FR350" i="65"/>
  <c r="FR354" i="65"/>
  <c r="FR358" i="65"/>
  <c r="FR324" i="65"/>
  <c r="FR328" i="65"/>
  <c r="FR332" i="65"/>
  <c r="FR336" i="65"/>
  <c r="FR340" i="65"/>
  <c r="FR344" i="65"/>
  <c r="FR348" i="65"/>
  <c r="FR352" i="65"/>
  <c r="FR356" i="65"/>
  <c r="FR325" i="65"/>
  <c r="FR329" i="65"/>
  <c r="FR333" i="65"/>
  <c r="FR337" i="65"/>
  <c r="FR341" i="65"/>
  <c r="FR345" i="65"/>
  <c r="FR349" i="65"/>
  <c r="FR353" i="65"/>
  <c r="FR357" i="65"/>
  <c r="FR323" i="65"/>
  <c r="FR339" i="65"/>
  <c r="FR355" i="65"/>
  <c r="FR327" i="65"/>
  <c r="FR343" i="65"/>
  <c r="FR359" i="65"/>
  <c r="FR331" i="65"/>
  <c r="FR347" i="65"/>
  <c r="FR335" i="65"/>
  <c r="FR351" i="65"/>
  <c r="FS324" i="65"/>
  <c r="FS328" i="65"/>
  <c r="FS332" i="65"/>
  <c r="FS336" i="65"/>
  <c r="FS340" i="65"/>
  <c r="FS344" i="65"/>
  <c r="FS348" i="65"/>
  <c r="FS352" i="65"/>
  <c r="FS356" i="65"/>
  <c r="FS325" i="65"/>
  <c r="FS329" i="65"/>
  <c r="FS333" i="65"/>
  <c r="FS337" i="65"/>
  <c r="FS341" i="65"/>
  <c r="FS345" i="65"/>
  <c r="FS349" i="65"/>
  <c r="FS353" i="65"/>
  <c r="FS357" i="65"/>
  <c r="FS322" i="65"/>
  <c r="FS326" i="65"/>
  <c r="FS330" i="65"/>
  <c r="FS334" i="65"/>
  <c r="FS338" i="65"/>
  <c r="FS342" i="65"/>
  <c r="FS346" i="65"/>
  <c r="FS350" i="65"/>
  <c r="FS354" i="65"/>
  <c r="FS358" i="65"/>
  <c r="FS323" i="65"/>
  <c r="FS327" i="65"/>
  <c r="FS331" i="65"/>
  <c r="FS335" i="65"/>
  <c r="FS339" i="65"/>
  <c r="FS343" i="65"/>
  <c r="FS347" i="65"/>
  <c r="FS351" i="65"/>
  <c r="FS355" i="65"/>
  <c r="FS359" i="65"/>
  <c r="FS758" i="65"/>
  <c r="FS762" i="65"/>
  <c r="FS766" i="65"/>
  <c r="FS770" i="65"/>
  <c r="FS774" i="65"/>
  <c r="FS778" i="65"/>
  <c r="FS782" i="65"/>
  <c r="FS786" i="65"/>
  <c r="FS790" i="65"/>
  <c r="FS794" i="65"/>
  <c r="FS759" i="65"/>
  <c r="FS763" i="65"/>
  <c r="FS767" i="65"/>
  <c r="FS771" i="65"/>
  <c r="FS775" i="65"/>
  <c r="FS779" i="65"/>
  <c r="FS783" i="65"/>
  <c r="FS787" i="65"/>
  <c r="FS791" i="65"/>
  <c r="FS761" i="65"/>
  <c r="FS769" i="65"/>
  <c r="FS777" i="65"/>
  <c r="FS785" i="65"/>
  <c r="FS793" i="65"/>
  <c r="FS764" i="65"/>
  <c r="FS772" i="65"/>
  <c r="FS780" i="65"/>
  <c r="FS788" i="65"/>
  <c r="FS757" i="65"/>
  <c r="FS765" i="65"/>
  <c r="FS773" i="65"/>
  <c r="FS781" i="65"/>
  <c r="FS789" i="65"/>
  <c r="FS760" i="65"/>
  <c r="FS768" i="65"/>
  <c r="FS776" i="65"/>
  <c r="FS784" i="65"/>
  <c r="FS792" i="65"/>
  <c r="FQ558" i="65"/>
  <c r="FQ562" i="65"/>
  <c r="FQ566" i="65"/>
  <c r="FQ570" i="65"/>
  <c r="FQ574" i="65"/>
  <c r="FQ578" i="65"/>
  <c r="FQ582" i="65"/>
  <c r="FQ586" i="65"/>
  <c r="FQ590" i="65"/>
  <c r="FQ594" i="65"/>
  <c r="FQ559" i="65"/>
  <c r="FQ563" i="65"/>
  <c r="FQ567" i="65"/>
  <c r="FQ571" i="65"/>
  <c r="FQ575" i="65"/>
  <c r="FQ579" i="65"/>
  <c r="FQ583" i="65"/>
  <c r="FQ587" i="65"/>
  <c r="FQ591" i="65"/>
  <c r="FQ560" i="65"/>
  <c r="FQ564" i="65"/>
  <c r="FQ568" i="65"/>
  <c r="FQ572" i="65"/>
  <c r="FQ576" i="65"/>
  <c r="FQ580" i="65"/>
  <c r="FQ584" i="65"/>
  <c r="FQ588" i="65"/>
  <c r="FQ592" i="65"/>
  <c r="FQ557" i="65"/>
  <c r="FQ561" i="65"/>
  <c r="FQ565" i="65"/>
  <c r="FQ569" i="65"/>
  <c r="FQ573" i="65"/>
  <c r="FQ577" i="65"/>
  <c r="FQ581" i="65"/>
  <c r="FQ585" i="65"/>
  <c r="FQ589" i="65"/>
  <c r="FQ593" i="65"/>
  <c r="FR242" i="65"/>
  <c r="FR246" i="65"/>
  <c r="FR250" i="65"/>
  <c r="FR254" i="65"/>
  <c r="FR258" i="65"/>
  <c r="FR262" i="65"/>
  <c r="FR266" i="65"/>
  <c r="FR270" i="65"/>
  <c r="FR274" i="65"/>
  <c r="FR278" i="65"/>
  <c r="FR243" i="65"/>
  <c r="FR247" i="65"/>
  <c r="FR251" i="65"/>
  <c r="FR255" i="65"/>
  <c r="FR259" i="65"/>
  <c r="FR263" i="65"/>
  <c r="FR267" i="65"/>
  <c r="FR271" i="65"/>
  <c r="FR275" i="65"/>
  <c r="FR244" i="65"/>
  <c r="FR248" i="65"/>
  <c r="FR252" i="65"/>
  <c r="FR256" i="65"/>
  <c r="FR260" i="65"/>
  <c r="FR264" i="65"/>
  <c r="FR268" i="65"/>
  <c r="FR272" i="65"/>
  <c r="FR276" i="65"/>
  <c r="FR241" i="65"/>
  <c r="FR245" i="65"/>
  <c r="FR249" i="65"/>
  <c r="FR253" i="65"/>
  <c r="FR257" i="65"/>
  <c r="FR261" i="65"/>
  <c r="FR265" i="65"/>
  <c r="FR269" i="65"/>
  <c r="FR273" i="65"/>
  <c r="FR277" i="65"/>
  <c r="FS596" i="65"/>
  <c r="FS600" i="65"/>
  <c r="FS604" i="65"/>
  <c r="FS608" i="65"/>
  <c r="FS612" i="65"/>
  <c r="FS616" i="65"/>
  <c r="FS620" i="65"/>
  <c r="FS624" i="65"/>
  <c r="FS628" i="65"/>
  <c r="FS632" i="65"/>
  <c r="FS598" i="65"/>
  <c r="FS602" i="65"/>
  <c r="FS606" i="65"/>
  <c r="FS610" i="65"/>
  <c r="FS614" i="65"/>
  <c r="FS618" i="65"/>
  <c r="FS622" i="65"/>
  <c r="FS626" i="65"/>
  <c r="FS630" i="65"/>
  <c r="FS634" i="65"/>
  <c r="FS595" i="65"/>
  <c r="FS599" i="65"/>
  <c r="FS603" i="65"/>
  <c r="FS607" i="65"/>
  <c r="FS611" i="65"/>
  <c r="FS615" i="65"/>
  <c r="FS619" i="65"/>
  <c r="FS623" i="65"/>
  <c r="FS627" i="65"/>
  <c r="FS631" i="65"/>
  <c r="FS635" i="65"/>
  <c r="FS601" i="65"/>
  <c r="FS617" i="65"/>
  <c r="FS633" i="65"/>
  <c r="FS605" i="65"/>
  <c r="FS621" i="65"/>
  <c r="FS636" i="65"/>
  <c r="FS609" i="65"/>
  <c r="FS625" i="65"/>
  <c r="FS637" i="65"/>
  <c r="FS597" i="65"/>
  <c r="FS613" i="65"/>
  <c r="FS629" i="65"/>
  <c r="FR122" i="65"/>
  <c r="FR126" i="65"/>
  <c r="FR130" i="65"/>
  <c r="FR134" i="65"/>
  <c r="FR138" i="65"/>
  <c r="FR142" i="65"/>
  <c r="FR146" i="65"/>
  <c r="FR150" i="65"/>
  <c r="FR154" i="65"/>
  <c r="FR158" i="65"/>
  <c r="FR123" i="65"/>
  <c r="FR127" i="65"/>
  <c r="FR131" i="65"/>
  <c r="FR135" i="65"/>
  <c r="FR139" i="65"/>
  <c r="FR143" i="65"/>
  <c r="FR147" i="65"/>
  <c r="FR151" i="65"/>
  <c r="FR155" i="65"/>
  <c r="FR159" i="65"/>
  <c r="FR124" i="65"/>
  <c r="FR128" i="65"/>
  <c r="FR132" i="65"/>
  <c r="FR136" i="65"/>
  <c r="FR140" i="65"/>
  <c r="FR144" i="65"/>
  <c r="FR148" i="65"/>
  <c r="FR152" i="65"/>
  <c r="FR156" i="65"/>
  <c r="FR125" i="65"/>
  <c r="FR129" i="65"/>
  <c r="FR133" i="65"/>
  <c r="FR137" i="65"/>
  <c r="FR141" i="65"/>
  <c r="FR145" i="65"/>
  <c r="FR149" i="65"/>
  <c r="FR153" i="65"/>
  <c r="FR157" i="65"/>
  <c r="FQ598" i="65"/>
  <c r="FQ602" i="65"/>
  <c r="FQ606" i="65"/>
  <c r="FQ610" i="65"/>
  <c r="FQ614" i="65"/>
  <c r="FQ618" i="65"/>
  <c r="FQ622" i="65"/>
  <c r="FQ626" i="65"/>
  <c r="FQ630" i="65"/>
  <c r="FQ634" i="65"/>
  <c r="FQ595" i="65"/>
  <c r="FQ599" i="65"/>
  <c r="FQ603" i="65"/>
  <c r="FQ607" i="65"/>
  <c r="FQ611" i="65"/>
  <c r="FQ615" i="65"/>
  <c r="FQ619" i="65"/>
  <c r="FQ623" i="65"/>
  <c r="FQ627" i="65"/>
  <c r="FQ631" i="65"/>
  <c r="FQ635" i="65"/>
  <c r="FQ596" i="65"/>
  <c r="FQ600" i="65"/>
  <c r="FQ604" i="65"/>
  <c r="FQ608" i="65"/>
  <c r="FQ612" i="65"/>
  <c r="FQ616" i="65"/>
  <c r="FQ620" i="65"/>
  <c r="FQ624" i="65"/>
  <c r="FQ628" i="65"/>
  <c r="FQ632" i="65"/>
  <c r="FQ636" i="65"/>
  <c r="FQ597" i="65"/>
  <c r="FQ601" i="65"/>
  <c r="FQ605" i="65"/>
  <c r="FQ609" i="65"/>
  <c r="FQ613" i="65"/>
  <c r="FQ617" i="65"/>
  <c r="FQ621" i="65"/>
  <c r="FQ625" i="65"/>
  <c r="FQ629" i="65"/>
  <c r="FQ633" i="65"/>
  <c r="FQ637" i="65"/>
  <c r="FQ122" i="65"/>
  <c r="FQ126" i="65"/>
  <c r="FQ130" i="65"/>
  <c r="FQ134" i="65"/>
  <c r="FQ138" i="65"/>
  <c r="FQ142" i="65"/>
  <c r="FQ146" i="65"/>
  <c r="FQ150" i="65"/>
  <c r="FQ154" i="65"/>
  <c r="FQ158" i="65"/>
  <c r="FQ123" i="65"/>
  <c r="FQ127" i="65"/>
  <c r="FQ131" i="65"/>
  <c r="FQ135" i="65"/>
  <c r="FQ139" i="65"/>
  <c r="FQ143" i="65"/>
  <c r="FQ147" i="65"/>
  <c r="FQ151" i="65"/>
  <c r="FQ155" i="65"/>
  <c r="FQ159" i="65"/>
  <c r="FQ124" i="65"/>
  <c r="FQ128" i="65"/>
  <c r="FQ132" i="65"/>
  <c r="FQ136" i="65"/>
  <c r="FQ140" i="65"/>
  <c r="FQ144" i="65"/>
  <c r="FQ148" i="65"/>
  <c r="FQ152" i="65"/>
  <c r="FQ156" i="65"/>
  <c r="FQ125" i="65"/>
  <c r="FQ129" i="65"/>
  <c r="FQ133" i="65"/>
  <c r="FQ137" i="65"/>
  <c r="FQ141" i="65"/>
  <c r="FQ145" i="65"/>
  <c r="FQ149" i="65"/>
  <c r="FQ153" i="65"/>
  <c r="FQ157" i="65"/>
  <c r="FQ162" i="65"/>
  <c r="FQ166" i="65"/>
  <c r="FQ170" i="65"/>
  <c r="FQ174" i="65"/>
  <c r="FQ178" i="65"/>
  <c r="FQ182" i="65"/>
  <c r="FQ186" i="65"/>
  <c r="FQ190" i="65"/>
  <c r="FQ194" i="65"/>
  <c r="FQ198" i="65"/>
  <c r="FQ202" i="65"/>
  <c r="FQ163" i="65"/>
  <c r="FQ167" i="65"/>
  <c r="FQ171" i="65"/>
  <c r="FQ175" i="65"/>
  <c r="FQ179" i="65"/>
  <c r="FQ183" i="65"/>
  <c r="FQ187" i="65"/>
  <c r="FQ191" i="65"/>
  <c r="FQ195" i="65"/>
  <c r="FQ199" i="65"/>
  <c r="FQ160" i="65"/>
  <c r="FQ164" i="65"/>
  <c r="FQ168" i="65"/>
  <c r="FQ172" i="65"/>
  <c r="FQ176" i="65"/>
  <c r="FQ180" i="65"/>
  <c r="FQ184" i="65"/>
  <c r="FQ188" i="65"/>
  <c r="FQ192" i="65"/>
  <c r="FQ196" i="65"/>
  <c r="FQ200" i="65"/>
  <c r="FQ161" i="65"/>
  <c r="FQ165" i="65"/>
  <c r="FQ169" i="65"/>
  <c r="FQ173" i="65"/>
  <c r="FQ177" i="65"/>
  <c r="FQ181" i="65"/>
  <c r="FQ185" i="65"/>
  <c r="FQ189" i="65"/>
  <c r="FQ193" i="65"/>
  <c r="FQ197" i="65"/>
  <c r="FQ201" i="65"/>
  <c r="FS520" i="65"/>
  <c r="FS524" i="65"/>
  <c r="FS528" i="65"/>
  <c r="FS532" i="65"/>
  <c r="FS536" i="65"/>
  <c r="FS540" i="65"/>
  <c r="FS544" i="65"/>
  <c r="FS548" i="65"/>
  <c r="FS552" i="65"/>
  <c r="FS556" i="65"/>
  <c r="FS521" i="65"/>
  <c r="FS525" i="65"/>
  <c r="FS529" i="65"/>
  <c r="FS533" i="65"/>
  <c r="FS537" i="65"/>
  <c r="FS541" i="65"/>
  <c r="FS545" i="65"/>
  <c r="FS549" i="65"/>
  <c r="FS522" i="65"/>
  <c r="FS526" i="65"/>
  <c r="FS530" i="65"/>
  <c r="FS534" i="65"/>
  <c r="FS538" i="65"/>
  <c r="FS542" i="65"/>
  <c r="FS546" i="65"/>
  <c r="FS550" i="65"/>
  <c r="FS554" i="65"/>
  <c r="FS519" i="65"/>
  <c r="FS523" i="65"/>
  <c r="FS527" i="65"/>
  <c r="FS531" i="65"/>
  <c r="FS535" i="65"/>
  <c r="FS539" i="65"/>
  <c r="FS543" i="65"/>
  <c r="FS547" i="65"/>
  <c r="FS551" i="65"/>
  <c r="FS555" i="65"/>
  <c r="FS553" i="65"/>
  <c r="R27" i="65"/>
  <c r="U27" i="65" s="1"/>
  <c r="EA27" i="65" s="1"/>
  <c r="FR836" i="65"/>
  <c r="FR840" i="65"/>
  <c r="FR844" i="65"/>
  <c r="FR848" i="65"/>
  <c r="GJ848" i="65" s="1"/>
  <c r="FR852" i="65"/>
  <c r="FR856" i="65"/>
  <c r="FR860" i="65"/>
  <c r="FR864" i="65"/>
  <c r="FR868" i="65"/>
  <c r="FR872" i="65"/>
  <c r="FR833" i="65"/>
  <c r="FR837" i="65"/>
  <c r="GG837" i="65" s="1"/>
  <c r="FR841" i="65"/>
  <c r="FR845" i="65"/>
  <c r="FR849" i="65"/>
  <c r="FR853" i="65"/>
  <c r="GG853" i="65" s="1"/>
  <c r="FR857" i="65"/>
  <c r="FR861" i="65"/>
  <c r="FR865" i="65"/>
  <c r="FR869" i="65"/>
  <c r="GG869" i="65" s="1"/>
  <c r="FR873" i="65"/>
  <c r="FR834" i="65"/>
  <c r="FR838" i="65"/>
  <c r="GG838" i="65" s="1"/>
  <c r="FR842" i="65"/>
  <c r="FR846" i="65"/>
  <c r="GG846" i="65" s="1"/>
  <c r="FR850" i="65"/>
  <c r="FR854" i="65"/>
  <c r="GG854" i="65" s="1"/>
  <c r="FR858" i="65"/>
  <c r="FR862" i="65"/>
  <c r="GG862" i="65" s="1"/>
  <c r="FR866" i="65"/>
  <c r="FR870" i="65"/>
  <c r="GG870" i="65" s="1"/>
  <c r="FR874" i="65"/>
  <c r="FR835" i="65"/>
  <c r="GJ835" i="65" s="1"/>
  <c r="FR839" i="65"/>
  <c r="FR843" i="65"/>
  <c r="GJ843" i="65" s="1"/>
  <c r="FR847" i="65"/>
  <c r="FR851" i="65"/>
  <c r="GJ851" i="65" s="1"/>
  <c r="FR855" i="65"/>
  <c r="FR859" i="65"/>
  <c r="FR863" i="65"/>
  <c r="FR867" i="65"/>
  <c r="GJ867" i="65" s="1"/>
  <c r="FR871" i="65"/>
  <c r="FR875" i="65"/>
  <c r="GG875" i="65" s="1"/>
  <c r="R13" i="65"/>
  <c r="U13" i="65" s="1"/>
  <c r="EA13" i="65" s="1"/>
  <c r="FR282" i="65"/>
  <c r="FR286" i="65"/>
  <c r="FR290" i="65"/>
  <c r="FR294" i="65"/>
  <c r="FR298" i="65"/>
  <c r="FR302" i="65"/>
  <c r="FR306" i="65"/>
  <c r="FR310" i="65"/>
  <c r="FR314" i="65"/>
  <c r="FR318" i="65"/>
  <c r="FR279" i="65"/>
  <c r="FR283" i="65"/>
  <c r="FR287" i="65"/>
  <c r="FR280" i="65"/>
  <c r="FR284" i="65"/>
  <c r="FR288" i="65"/>
  <c r="FR292" i="65"/>
  <c r="FR296" i="65"/>
  <c r="FR300" i="65"/>
  <c r="FR304" i="65"/>
  <c r="FR308" i="65"/>
  <c r="FR312" i="65"/>
  <c r="FR316" i="65"/>
  <c r="FR320" i="65"/>
  <c r="FR281" i="65"/>
  <c r="FR285" i="65"/>
  <c r="FR289" i="65"/>
  <c r="FR293" i="65"/>
  <c r="FR297" i="65"/>
  <c r="FR301" i="65"/>
  <c r="FR305" i="65"/>
  <c r="FR309" i="65"/>
  <c r="FR313" i="65"/>
  <c r="FR317" i="65"/>
  <c r="FR321" i="65"/>
  <c r="FR291" i="65"/>
  <c r="FR307" i="65"/>
  <c r="FR295" i="65"/>
  <c r="FR311" i="65"/>
  <c r="FR299" i="65"/>
  <c r="FR315" i="65"/>
  <c r="FR303" i="65"/>
  <c r="FR319" i="65"/>
  <c r="FS714" i="65"/>
  <c r="FS718" i="65"/>
  <c r="FS722" i="65"/>
  <c r="FS726" i="65"/>
  <c r="FS730" i="65"/>
  <c r="FS734" i="65"/>
  <c r="FS738" i="65"/>
  <c r="FS742" i="65"/>
  <c r="FS746" i="65"/>
  <c r="FS750" i="65"/>
  <c r="FS754" i="65"/>
  <c r="FS715" i="65"/>
  <c r="FS719" i="65"/>
  <c r="FS723" i="65"/>
  <c r="FS727" i="65"/>
  <c r="FS731" i="65"/>
  <c r="FS735" i="65"/>
  <c r="FS739" i="65"/>
  <c r="FS743" i="65"/>
  <c r="FS747" i="65"/>
  <c r="FS751" i="65"/>
  <c r="FS755" i="65"/>
  <c r="FS721" i="65"/>
  <c r="FS729" i="65"/>
  <c r="GH729" i="65" s="1"/>
  <c r="FS737" i="65"/>
  <c r="FS745" i="65"/>
  <c r="FS753" i="65"/>
  <c r="FS716" i="65"/>
  <c r="FS724" i="65"/>
  <c r="FS732" i="65"/>
  <c r="FS740" i="65"/>
  <c r="FS748" i="65"/>
  <c r="FS756" i="65"/>
  <c r="FS717" i="65"/>
  <c r="FS725" i="65"/>
  <c r="FS733" i="65"/>
  <c r="FS741" i="65"/>
  <c r="FS749" i="65"/>
  <c r="FS720" i="65"/>
  <c r="FS728" i="65"/>
  <c r="FS736" i="65"/>
  <c r="FS744" i="65"/>
  <c r="FS752" i="65"/>
  <c r="FS280" i="65"/>
  <c r="FS284" i="65"/>
  <c r="FS288" i="65"/>
  <c r="FS292" i="65"/>
  <c r="FS296" i="65"/>
  <c r="FS300" i="65"/>
  <c r="FS304" i="65"/>
  <c r="FS308" i="65"/>
  <c r="FS312" i="65"/>
  <c r="FS316" i="65"/>
  <c r="FS320" i="65"/>
  <c r="FS281" i="65"/>
  <c r="FS285" i="65"/>
  <c r="FS289" i="65"/>
  <c r="FS293" i="65"/>
  <c r="FS297" i="65"/>
  <c r="FS301" i="65"/>
  <c r="FS305" i="65"/>
  <c r="FS309" i="65"/>
  <c r="FS313" i="65"/>
  <c r="FS317" i="65"/>
  <c r="FS321" i="65"/>
  <c r="FS282" i="65"/>
  <c r="FS286" i="65"/>
  <c r="FS290" i="65"/>
  <c r="FS294" i="65"/>
  <c r="FS298" i="65"/>
  <c r="FS302" i="65"/>
  <c r="FS306" i="65"/>
  <c r="FS310" i="65"/>
  <c r="FS314" i="65"/>
  <c r="FS318" i="65"/>
  <c r="FS279" i="65"/>
  <c r="FS283" i="65"/>
  <c r="FS287" i="65"/>
  <c r="FS291" i="65"/>
  <c r="FS295" i="65"/>
  <c r="FS299" i="65"/>
  <c r="FS303" i="65"/>
  <c r="FS307" i="65"/>
  <c r="FS311" i="65"/>
  <c r="FS315" i="65"/>
  <c r="FS319" i="65"/>
  <c r="FR206" i="65"/>
  <c r="FR210" i="65"/>
  <c r="FR214" i="65"/>
  <c r="FR218" i="65"/>
  <c r="FR222" i="65"/>
  <c r="FR226" i="65"/>
  <c r="FR230" i="65"/>
  <c r="FR234" i="65"/>
  <c r="FR238" i="65"/>
  <c r="FR203" i="65"/>
  <c r="FR207" i="65"/>
  <c r="FR211" i="65"/>
  <c r="FR215" i="65"/>
  <c r="FR219" i="65"/>
  <c r="FR223" i="65"/>
  <c r="FR227" i="65"/>
  <c r="FR231" i="65"/>
  <c r="FR235" i="65"/>
  <c r="FR239" i="65"/>
  <c r="FR204" i="65"/>
  <c r="FR208" i="65"/>
  <c r="FR212" i="65"/>
  <c r="FR216" i="65"/>
  <c r="FR220" i="65"/>
  <c r="FR224" i="65"/>
  <c r="FR228" i="65"/>
  <c r="FR232" i="65"/>
  <c r="FR236" i="65"/>
  <c r="FR240" i="65"/>
  <c r="FR205" i="65"/>
  <c r="FR209" i="65"/>
  <c r="FR213" i="65"/>
  <c r="FR217" i="65"/>
  <c r="FR221" i="65"/>
  <c r="FR225" i="65"/>
  <c r="FR229" i="65"/>
  <c r="FR233" i="65"/>
  <c r="FR237" i="65"/>
  <c r="FR640" i="65"/>
  <c r="GJ640" i="65" s="1"/>
  <c r="FR644" i="65"/>
  <c r="FR648" i="65"/>
  <c r="FR652" i="65"/>
  <c r="FR656" i="65"/>
  <c r="GJ656" i="65" s="1"/>
  <c r="FR660" i="65"/>
  <c r="FR664" i="65"/>
  <c r="FR668" i="65"/>
  <c r="FR672" i="65"/>
  <c r="GJ672" i="65" s="1"/>
  <c r="FR641" i="65"/>
  <c r="FR645" i="65"/>
  <c r="FR649" i="65"/>
  <c r="FR653" i="65"/>
  <c r="GJ653" i="65" s="1"/>
  <c r="FR657" i="65"/>
  <c r="FR661" i="65"/>
  <c r="FR665" i="65"/>
  <c r="FR669" i="65"/>
  <c r="GJ669" i="65" s="1"/>
  <c r="FR673" i="65"/>
  <c r="GG673" i="65" s="1"/>
  <c r="FR638" i="65"/>
  <c r="FR642" i="65"/>
  <c r="FR646" i="65"/>
  <c r="FR650" i="65"/>
  <c r="GG650" i="65" s="1"/>
  <c r="FR654" i="65"/>
  <c r="FR658" i="65"/>
  <c r="FR662" i="65"/>
  <c r="FR666" i="65"/>
  <c r="FR670" i="65"/>
  <c r="FR674" i="65"/>
  <c r="FR639" i="65"/>
  <c r="FR643" i="65"/>
  <c r="FR647" i="65"/>
  <c r="FR651" i="65"/>
  <c r="FR655" i="65"/>
  <c r="FR659" i="65"/>
  <c r="GG659" i="65" s="1"/>
  <c r="FR663" i="65"/>
  <c r="FR667" i="65"/>
  <c r="FR671" i="65"/>
  <c r="FR675" i="65"/>
  <c r="GJ675" i="65" s="1"/>
  <c r="FR560" i="65"/>
  <c r="FR564" i="65"/>
  <c r="FR568" i="65"/>
  <c r="FR572" i="65"/>
  <c r="GJ572" i="65" s="1"/>
  <c r="FR576" i="65"/>
  <c r="FR580" i="65"/>
  <c r="FR584" i="65"/>
  <c r="FR557" i="65"/>
  <c r="FR561" i="65"/>
  <c r="FR565" i="65"/>
  <c r="FR569" i="65"/>
  <c r="GG569" i="65" s="1"/>
  <c r="FR573" i="65"/>
  <c r="FR577" i="65"/>
  <c r="FR581" i="65"/>
  <c r="FR585" i="65"/>
  <c r="GG585" i="65" s="1"/>
  <c r="FR589" i="65"/>
  <c r="FR593" i="65"/>
  <c r="FR563" i="65"/>
  <c r="FR571" i="65"/>
  <c r="FR579" i="65"/>
  <c r="FR587" i="65"/>
  <c r="FR592" i="65"/>
  <c r="FR558" i="65"/>
  <c r="FR566" i="65"/>
  <c r="FR574" i="65"/>
  <c r="FR582" i="65"/>
  <c r="FR588" i="65"/>
  <c r="GJ588" i="65" s="1"/>
  <c r="FR594" i="65"/>
  <c r="GJ594" i="65" s="1"/>
  <c r="FR559" i="65"/>
  <c r="FR567" i="65"/>
  <c r="FR575" i="65"/>
  <c r="GJ575" i="65" s="1"/>
  <c r="FR583" i="65"/>
  <c r="GJ583" i="65" s="1"/>
  <c r="FR590" i="65"/>
  <c r="FR562" i="65"/>
  <c r="FR570" i="65"/>
  <c r="GG570" i="65" s="1"/>
  <c r="FR578" i="65"/>
  <c r="FR586" i="65"/>
  <c r="FR591" i="65"/>
  <c r="FR162" i="65"/>
  <c r="FR166" i="65"/>
  <c r="FR170" i="65"/>
  <c r="FR174" i="65"/>
  <c r="FR178" i="65"/>
  <c r="FR182" i="65"/>
  <c r="FR186" i="65"/>
  <c r="FR190" i="65"/>
  <c r="FR194" i="65"/>
  <c r="FR198" i="65"/>
  <c r="FR202" i="65"/>
  <c r="FR163" i="65"/>
  <c r="FR167" i="65"/>
  <c r="FR171" i="65"/>
  <c r="FR175" i="65"/>
  <c r="FR179" i="65"/>
  <c r="FR183" i="65"/>
  <c r="FR187" i="65"/>
  <c r="FR191" i="65"/>
  <c r="FR195" i="65"/>
  <c r="FR199" i="65"/>
  <c r="FR160" i="65"/>
  <c r="FR164" i="65"/>
  <c r="FR168" i="65"/>
  <c r="FR172" i="65"/>
  <c r="FR176" i="65"/>
  <c r="FR180" i="65"/>
  <c r="FR184" i="65"/>
  <c r="FR188" i="65"/>
  <c r="FR192" i="65"/>
  <c r="FR196" i="65"/>
  <c r="FR200" i="65"/>
  <c r="FR161" i="65"/>
  <c r="FR165" i="65"/>
  <c r="FR169" i="65"/>
  <c r="FR173" i="65"/>
  <c r="FR177" i="65"/>
  <c r="FR181" i="65"/>
  <c r="FR185" i="65"/>
  <c r="FR189" i="65"/>
  <c r="FR193" i="65"/>
  <c r="FR197" i="65"/>
  <c r="FR201" i="65"/>
  <c r="FS205" i="65"/>
  <c r="FS209" i="65"/>
  <c r="FS213" i="65"/>
  <c r="FS217" i="65"/>
  <c r="FS221" i="65"/>
  <c r="FS225" i="65"/>
  <c r="FS229" i="65"/>
  <c r="FS233" i="65"/>
  <c r="FS206" i="65"/>
  <c r="FS210" i="65"/>
  <c r="FS214" i="65"/>
  <c r="FS218" i="65"/>
  <c r="FS222" i="65"/>
  <c r="FS226" i="65"/>
  <c r="FS230" i="65"/>
  <c r="FS234" i="65"/>
  <c r="FS238" i="65"/>
  <c r="FS208" i="65"/>
  <c r="FS216" i="65"/>
  <c r="FS224" i="65"/>
  <c r="FS232" i="65"/>
  <c r="FS239" i="65"/>
  <c r="FS203" i="65"/>
  <c r="FS211" i="65"/>
  <c r="FS219" i="65"/>
  <c r="FS227" i="65"/>
  <c r="FS235" i="65"/>
  <c r="FS240" i="65"/>
  <c r="FS204" i="65"/>
  <c r="FS212" i="65"/>
  <c r="FS220" i="65"/>
  <c r="FS228" i="65"/>
  <c r="FS236" i="65"/>
  <c r="FS207" i="65"/>
  <c r="FS215" i="65"/>
  <c r="FS223" i="65"/>
  <c r="FS231" i="65"/>
  <c r="FS237" i="65"/>
  <c r="FS242" i="65"/>
  <c r="FS246" i="65"/>
  <c r="FS250" i="65"/>
  <c r="FS254" i="65"/>
  <c r="FS258" i="65"/>
  <c r="FS244" i="65"/>
  <c r="FS249" i="65"/>
  <c r="FS255" i="65"/>
  <c r="FS260" i="65"/>
  <c r="FS264" i="65"/>
  <c r="FS268" i="65"/>
  <c r="FS272" i="65"/>
  <c r="FS276" i="65"/>
  <c r="FS245" i="65"/>
  <c r="FS251" i="65"/>
  <c r="FS256" i="65"/>
  <c r="FS261" i="65"/>
  <c r="FS265" i="65"/>
  <c r="FS269" i="65"/>
  <c r="FS273" i="65"/>
  <c r="FS277" i="65"/>
  <c r="FS241" i="65"/>
  <c r="FS247" i="65"/>
  <c r="FS252" i="65"/>
  <c r="FS257" i="65"/>
  <c r="FS262" i="65"/>
  <c r="FS266" i="65"/>
  <c r="FS270" i="65"/>
  <c r="FS274" i="65"/>
  <c r="FS278" i="65"/>
  <c r="FS243" i="65"/>
  <c r="FS248" i="65"/>
  <c r="FS253" i="65"/>
  <c r="FS259" i="65"/>
  <c r="FS263" i="65"/>
  <c r="FS267" i="65"/>
  <c r="FS271" i="65"/>
  <c r="FS275" i="65"/>
  <c r="FT87" i="65"/>
  <c r="FT84" i="65"/>
  <c r="FT89" i="65"/>
  <c r="FT93" i="65"/>
  <c r="FT97" i="65"/>
  <c r="FT101" i="65"/>
  <c r="FT105" i="65"/>
  <c r="FT109" i="65"/>
  <c r="FT113" i="65"/>
  <c r="FT117" i="65"/>
  <c r="FT121" i="65"/>
  <c r="FT85" i="65"/>
  <c r="FT90" i="65"/>
  <c r="FT94" i="65"/>
  <c r="FT98" i="65"/>
  <c r="FT102" i="65"/>
  <c r="FT106" i="65"/>
  <c r="FT110" i="65"/>
  <c r="FT114" i="65"/>
  <c r="FT118" i="65"/>
  <c r="FT86" i="65"/>
  <c r="FT91" i="65"/>
  <c r="FT95" i="65"/>
  <c r="FT99" i="65"/>
  <c r="FT103" i="65"/>
  <c r="FT107" i="65"/>
  <c r="FT111" i="65"/>
  <c r="FT115" i="65"/>
  <c r="FT119" i="65"/>
  <c r="FT88" i="65"/>
  <c r="FT92" i="65"/>
  <c r="FT96" i="65"/>
  <c r="FT100" i="65"/>
  <c r="FT104" i="65"/>
  <c r="FT108" i="65"/>
  <c r="FT112" i="65"/>
  <c r="FT116" i="65"/>
  <c r="FT120" i="65"/>
  <c r="Q24" i="65"/>
  <c r="T24" i="65" s="1"/>
  <c r="FQ714" i="65"/>
  <c r="FQ718" i="65"/>
  <c r="FQ722" i="65"/>
  <c r="FQ726" i="65"/>
  <c r="FQ730" i="65"/>
  <c r="FQ734" i="65"/>
  <c r="FQ738" i="65"/>
  <c r="FQ742" i="65"/>
  <c r="FQ746" i="65"/>
  <c r="FQ750" i="65"/>
  <c r="GJ750" i="65" s="1"/>
  <c r="FQ754" i="65"/>
  <c r="FQ715" i="65"/>
  <c r="FQ719" i="65"/>
  <c r="FQ723" i="65"/>
  <c r="GG723" i="65" s="1"/>
  <c r="FQ727" i="65"/>
  <c r="FQ731" i="65"/>
  <c r="FQ735" i="65"/>
  <c r="FQ739" i="65"/>
  <c r="GG739" i="65" s="1"/>
  <c r="FQ743" i="65"/>
  <c r="FQ747" i="65"/>
  <c r="FQ751" i="65"/>
  <c r="FQ755" i="65"/>
  <c r="FQ716" i="65"/>
  <c r="FQ720" i="65"/>
  <c r="FQ724" i="65"/>
  <c r="FQ728" i="65"/>
  <c r="GJ728" i="65" s="1"/>
  <c r="FQ732" i="65"/>
  <c r="FQ736" i="65"/>
  <c r="FQ740" i="65"/>
  <c r="FQ744" i="65"/>
  <c r="GJ744" i="65" s="1"/>
  <c r="FQ748" i="65"/>
  <c r="FQ752" i="65"/>
  <c r="FQ756" i="65"/>
  <c r="FQ717" i="65"/>
  <c r="GG717" i="65" s="1"/>
  <c r="FQ721" i="65"/>
  <c r="FQ725" i="65"/>
  <c r="FQ729" i="65"/>
  <c r="FQ733" i="65"/>
  <c r="GG733" i="65" s="1"/>
  <c r="FQ737" i="65"/>
  <c r="FQ741" i="65"/>
  <c r="FQ745" i="65"/>
  <c r="FQ749" i="65"/>
  <c r="FQ753" i="65"/>
  <c r="R25" i="65"/>
  <c r="U25" i="65" s="1"/>
  <c r="EA25" i="65" s="1"/>
  <c r="FR760" i="65"/>
  <c r="FR764" i="65"/>
  <c r="GJ764" i="65" s="1"/>
  <c r="FR768" i="65"/>
  <c r="FR772" i="65"/>
  <c r="FR776" i="65"/>
  <c r="FR780" i="65"/>
  <c r="GJ780" i="65" s="1"/>
  <c r="FR784" i="65"/>
  <c r="FR788" i="65"/>
  <c r="GJ788" i="65" s="1"/>
  <c r="FR792" i="65"/>
  <c r="FR757" i="65"/>
  <c r="FR761" i="65"/>
  <c r="FR765" i="65"/>
  <c r="FR769" i="65"/>
  <c r="FR773" i="65"/>
  <c r="FR777" i="65"/>
  <c r="GG777" i="65" s="1"/>
  <c r="FR781" i="65"/>
  <c r="FR785" i="65"/>
  <c r="FR789" i="65"/>
  <c r="FR793" i="65"/>
  <c r="FR758" i="65"/>
  <c r="FR762" i="65"/>
  <c r="FR766" i="65"/>
  <c r="FR770" i="65"/>
  <c r="GG770" i="65" s="1"/>
  <c r="FR774" i="65"/>
  <c r="FR778" i="65"/>
  <c r="FR782" i="65"/>
  <c r="FR786" i="65"/>
  <c r="GG786" i="65" s="1"/>
  <c r="FR790" i="65"/>
  <c r="FR794" i="65"/>
  <c r="FR759" i="65"/>
  <c r="GJ759" i="65" s="1"/>
  <c r="FR763" i="65"/>
  <c r="FR767" i="65"/>
  <c r="GJ767" i="65" s="1"/>
  <c r="FR771" i="65"/>
  <c r="FR775" i="65"/>
  <c r="GJ775" i="65" s="1"/>
  <c r="FR779" i="65"/>
  <c r="FR783" i="65"/>
  <c r="GJ783" i="65" s="1"/>
  <c r="FR787" i="65"/>
  <c r="FR791" i="65"/>
  <c r="GJ791" i="65" s="1"/>
  <c r="R26" i="65"/>
  <c r="U26" i="65" s="1"/>
  <c r="EA26" i="65" s="1"/>
  <c r="FR796" i="65"/>
  <c r="FR800" i="65"/>
  <c r="FR804" i="65"/>
  <c r="FR808" i="65"/>
  <c r="GG808" i="65" s="1"/>
  <c r="FR812" i="65"/>
  <c r="FR816" i="65"/>
  <c r="FR820" i="65"/>
  <c r="FR824" i="65"/>
  <c r="GG824" i="65" s="1"/>
  <c r="FR828" i="65"/>
  <c r="FR832" i="65"/>
  <c r="FR797" i="65"/>
  <c r="GJ797" i="65" s="1"/>
  <c r="FR801" i="65"/>
  <c r="FR805" i="65"/>
  <c r="GJ805" i="65" s="1"/>
  <c r="FR809" i="65"/>
  <c r="FR813" i="65"/>
  <c r="GJ813" i="65" s="1"/>
  <c r="FR817" i="65"/>
  <c r="FR821" i="65"/>
  <c r="GJ821" i="65" s="1"/>
  <c r="FR825" i="65"/>
  <c r="FR829" i="65"/>
  <c r="FR798" i="65"/>
  <c r="FR802" i="65"/>
  <c r="GJ802" i="65" s="1"/>
  <c r="FR806" i="65"/>
  <c r="FR810" i="65"/>
  <c r="GJ810" i="65" s="1"/>
  <c r="FR814" i="65"/>
  <c r="FR818" i="65"/>
  <c r="GJ818" i="65" s="1"/>
  <c r="FR822" i="65"/>
  <c r="FR826" i="65"/>
  <c r="GJ826" i="65" s="1"/>
  <c r="FR830" i="65"/>
  <c r="FR795" i="65"/>
  <c r="FR799" i="65"/>
  <c r="FR803" i="65"/>
  <c r="FR807" i="65"/>
  <c r="GG807" i="65" s="1"/>
  <c r="FR811" i="65"/>
  <c r="FR815" i="65"/>
  <c r="FR819" i="65"/>
  <c r="FR823" i="65"/>
  <c r="GG823" i="65" s="1"/>
  <c r="FR827" i="65"/>
  <c r="FR831" i="65"/>
  <c r="FS798" i="65"/>
  <c r="FS802" i="65"/>
  <c r="FS806" i="65"/>
  <c r="FS810" i="65"/>
  <c r="FS814" i="65"/>
  <c r="FS795" i="65"/>
  <c r="FS799" i="65"/>
  <c r="FS803" i="65"/>
  <c r="FS807" i="65"/>
  <c r="FS811" i="65"/>
  <c r="FS815" i="65"/>
  <c r="FS819" i="65"/>
  <c r="FS823" i="65"/>
  <c r="FS827" i="65"/>
  <c r="FS801" i="65"/>
  <c r="FS809" i="65"/>
  <c r="FS817" i="65"/>
  <c r="GH817" i="65" s="1"/>
  <c r="FS822" i="65"/>
  <c r="FS828" i="65"/>
  <c r="FS832" i="65"/>
  <c r="FS796" i="65"/>
  <c r="FS804" i="65"/>
  <c r="FS812" i="65"/>
  <c r="FS818" i="65"/>
  <c r="FS824" i="65"/>
  <c r="FS829" i="65"/>
  <c r="FS797" i="65"/>
  <c r="FS805" i="65"/>
  <c r="FS813" i="65"/>
  <c r="FS820" i="65"/>
  <c r="FS825" i="65"/>
  <c r="FS830" i="65"/>
  <c r="FS800" i="65"/>
  <c r="FS808" i="65"/>
  <c r="FS816" i="65"/>
  <c r="FS821" i="65"/>
  <c r="FS826" i="65"/>
  <c r="GH826" i="65" s="1"/>
  <c r="FS831" i="65"/>
  <c r="FR676" i="65"/>
  <c r="FR680" i="65"/>
  <c r="FR684" i="65"/>
  <c r="FR688" i="65"/>
  <c r="GG688" i="65" s="1"/>
  <c r="FR692" i="65"/>
  <c r="FR696" i="65"/>
  <c r="FR700" i="65"/>
  <c r="FR704" i="65"/>
  <c r="FR708" i="65"/>
  <c r="FR712" i="65"/>
  <c r="FR677" i="65"/>
  <c r="FR681" i="65"/>
  <c r="GG681" i="65" s="1"/>
  <c r="FR685" i="65"/>
  <c r="FR689" i="65"/>
  <c r="FR693" i="65"/>
  <c r="FR697" i="65"/>
  <c r="GG697" i="65" s="1"/>
  <c r="FR701" i="65"/>
  <c r="FR705" i="65"/>
  <c r="FR709" i="65"/>
  <c r="FR713" i="65"/>
  <c r="GG713" i="65" s="1"/>
  <c r="FR678" i="65"/>
  <c r="GJ678" i="65" s="1"/>
  <c r="FR682" i="65"/>
  <c r="FR686" i="65"/>
  <c r="FR690" i="65"/>
  <c r="FR694" i="65"/>
  <c r="GJ694" i="65" s="1"/>
  <c r="FR698" i="65"/>
  <c r="FR702" i="65"/>
  <c r="FR706" i="65"/>
  <c r="FR710" i="65"/>
  <c r="GJ710" i="65" s="1"/>
  <c r="FR679" i="65"/>
  <c r="FR683" i="65"/>
  <c r="FR687" i="65"/>
  <c r="FR691" i="65"/>
  <c r="GJ691" i="65" s="1"/>
  <c r="FR695" i="65"/>
  <c r="FR699" i="65"/>
  <c r="FR703" i="65"/>
  <c r="FR707" i="65"/>
  <c r="GJ707" i="65" s="1"/>
  <c r="FR711" i="65"/>
  <c r="FS678" i="65"/>
  <c r="FS682" i="65"/>
  <c r="FS686" i="65"/>
  <c r="FS690" i="65"/>
  <c r="FS694" i="65"/>
  <c r="FS698" i="65"/>
  <c r="FS702" i="65"/>
  <c r="FS706" i="65"/>
  <c r="FS710" i="65"/>
  <c r="FS679" i="65"/>
  <c r="FS683" i="65"/>
  <c r="FS687" i="65"/>
  <c r="FS691" i="65"/>
  <c r="FS695" i="65"/>
  <c r="FS699" i="65"/>
  <c r="FS703" i="65"/>
  <c r="FS707" i="65"/>
  <c r="FS711" i="65"/>
  <c r="FS681" i="65"/>
  <c r="FS689" i="65"/>
  <c r="FS697" i="65"/>
  <c r="FS705" i="65"/>
  <c r="FS713" i="65"/>
  <c r="FS676" i="65"/>
  <c r="FS684" i="65"/>
  <c r="FS692" i="65"/>
  <c r="FS700" i="65"/>
  <c r="FS708" i="65"/>
  <c r="FS677" i="65"/>
  <c r="FS685" i="65"/>
  <c r="FS693" i="65"/>
  <c r="FS701" i="65"/>
  <c r="FS709" i="65"/>
  <c r="FS680" i="65"/>
  <c r="FS688" i="65"/>
  <c r="FS696" i="65"/>
  <c r="FS704" i="65"/>
  <c r="FS712" i="65"/>
  <c r="FS560" i="65"/>
  <c r="FS564" i="65"/>
  <c r="FS568" i="65"/>
  <c r="FS572" i="65"/>
  <c r="FS576" i="65"/>
  <c r="FS580" i="65"/>
  <c r="FS584" i="65"/>
  <c r="FS588" i="65"/>
  <c r="FS592" i="65"/>
  <c r="FS558" i="65"/>
  <c r="FS562" i="65"/>
  <c r="FS566" i="65"/>
  <c r="FS570" i="65"/>
  <c r="FS574" i="65"/>
  <c r="FS578" i="65"/>
  <c r="FS582" i="65"/>
  <c r="FS586" i="65"/>
  <c r="FS590" i="65"/>
  <c r="FS594" i="65"/>
  <c r="FS559" i="65"/>
  <c r="FS563" i="65"/>
  <c r="FS567" i="65"/>
  <c r="FS571" i="65"/>
  <c r="FS575" i="65"/>
  <c r="FS579" i="65"/>
  <c r="FS583" i="65"/>
  <c r="FS587" i="65"/>
  <c r="FS591" i="65"/>
  <c r="FS569" i="65"/>
  <c r="FS585" i="65"/>
  <c r="FS557" i="65"/>
  <c r="FS573" i="65"/>
  <c r="FS589" i="65"/>
  <c r="FS561" i="65"/>
  <c r="FS577" i="65"/>
  <c r="FS593" i="65"/>
  <c r="FS565" i="65"/>
  <c r="FS581" i="65"/>
  <c r="FR597" i="65"/>
  <c r="FR601" i="65"/>
  <c r="FR605" i="65"/>
  <c r="GJ605" i="65" s="1"/>
  <c r="FR598" i="65"/>
  <c r="FR603" i="65"/>
  <c r="FR608" i="65"/>
  <c r="GG608" i="65" s="1"/>
  <c r="FR612" i="65"/>
  <c r="FR616" i="65"/>
  <c r="FR620" i="65"/>
  <c r="FR624" i="65"/>
  <c r="GG624" i="65" s="1"/>
  <c r="FR628" i="65"/>
  <c r="FR632" i="65"/>
  <c r="FR636" i="65"/>
  <c r="FR599" i="65"/>
  <c r="GG599" i="65" s="1"/>
  <c r="FR604" i="65"/>
  <c r="FR609" i="65"/>
  <c r="FR613" i="65"/>
  <c r="FR617" i="65"/>
  <c r="FR621" i="65"/>
  <c r="GJ621" i="65" s="1"/>
  <c r="FR625" i="65"/>
  <c r="FR629" i="65"/>
  <c r="FR633" i="65"/>
  <c r="FR637" i="65"/>
  <c r="FR595" i="65"/>
  <c r="FR600" i="65"/>
  <c r="FR606" i="65"/>
  <c r="FR610" i="65"/>
  <c r="FR614" i="65"/>
  <c r="FR618" i="65"/>
  <c r="FR622" i="65"/>
  <c r="FR626" i="65"/>
  <c r="FR630" i="65"/>
  <c r="FR634" i="65"/>
  <c r="FR596" i="65"/>
  <c r="FR602" i="65"/>
  <c r="GJ602" i="65" s="1"/>
  <c r="FR607" i="65"/>
  <c r="FR611" i="65"/>
  <c r="FR615" i="65"/>
  <c r="FR619" i="65"/>
  <c r="FR623" i="65"/>
  <c r="FR627" i="65"/>
  <c r="FR631" i="65"/>
  <c r="GG631" i="65" s="1"/>
  <c r="FR635" i="65"/>
  <c r="GJ635" i="65" s="1"/>
  <c r="FQ206" i="65"/>
  <c r="FQ210" i="65"/>
  <c r="FQ214" i="65"/>
  <c r="FQ218" i="65"/>
  <c r="FQ222" i="65"/>
  <c r="FQ226" i="65"/>
  <c r="FQ230" i="65"/>
  <c r="FQ234" i="65"/>
  <c r="FQ238" i="65"/>
  <c r="FQ203" i="65"/>
  <c r="FQ207" i="65"/>
  <c r="FQ211" i="65"/>
  <c r="FQ215" i="65"/>
  <c r="FQ219" i="65"/>
  <c r="FQ223" i="65"/>
  <c r="FQ227" i="65"/>
  <c r="FQ231" i="65"/>
  <c r="FQ235" i="65"/>
  <c r="FQ239" i="65"/>
  <c r="FQ204" i="65"/>
  <c r="FQ208" i="65"/>
  <c r="FQ212" i="65"/>
  <c r="FQ216" i="65"/>
  <c r="FQ220" i="65"/>
  <c r="FQ224" i="65"/>
  <c r="FQ228" i="65"/>
  <c r="FQ232" i="65"/>
  <c r="FQ236" i="65"/>
  <c r="FQ240" i="65"/>
  <c r="FQ205" i="65"/>
  <c r="FQ209" i="65"/>
  <c r="FQ213" i="65"/>
  <c r="FQ217" i="65"/>
  <c r="FQ221" i="65"/>
  <c r="FQ225" i="65"/>
  <c r="FQ229" i="65"/>
  <c r="FQ233" i="65"/>
  <c r="FQ237" i="65"/>
  <c r="FQ638" i="65"/>
  <c r="FQ642" i="65"/>
  <c r="FQ646" i="65"/>
  <c r="FQ650" i="65"/>
  <c r="FQ654" i="65"/>
  <c r="FQ658" i="65"/>
  <c r="FQ662" i="65"/>
  <c r="FQ666" i="65"/>
  <c r="FQ670" i="65"/>
  <c r="FQ674" i="65"/>
  <c r="FQ639" i="65"/>
  <c r="FQ643" i="65"/>
  <c r="FQ647" i="65"/>
  <c r="FQ651" i="65"/>
  <c r="FQ655" i="65"/>
  <c r="FQ659" i="65"/>
  <c r="FQ663" i="65"/>
  <c r="FQ667" i="65"/>
  <c r="FQ671" i="65"/>
  <c r="FQ675" i="65"/>
  <c r="FQ640" i="65"/>
  <c r="FQ644" i="65"/>
  <c r="FQ648" i="65"/>
  <c r="FQ652" i="65"/>
  <c r="FQ656" i="65"/>
  <c r="FQ660" i="65"/>
  <c r="FQ664" i="65"/>
  <c r="FQ668" i="65"/>
  <c r="FQ672" i="65"/>
  <c r="FQ641" i="65"/>
  <c r="FQ645" i="65"/>
  <c r="FQ649" i="65"/>
  <c r="FQ653" i="65"/>
  <c r="FQ657" i="65"/>
  <c r="FQ661" i="65"/>
  <c r="FQ665" i="65"/>
  <c r="FQ669" i="65"/>
  <c r="FQ673" i="65"/>
  <c r="FS638" i="65"/>
  <c r="FS642" i="65"/>
  <c r="FS646" i="65"/>
  <c r="FS650" i="65"/>
  <c r="FS654" i="65"/>
  <c r="FS658" i="65"/>
  <c r="FS662" i="65"/>
  <c r="FS666" i="65"/>
  <c r="FS670" i="65"/>
  <c r="FS674" i="65"/>
  <c r="FS639" i="65"/>
  <c r="FS643" i="65"/>
  <c r="FS647" i="65"/>
  <c r="FS651" i="65"/>
  <c r="FS655" i="65"/>
  <c r="FS659" i="65"/>
  <c r="FS663" i="65"/>
  <c r="FS667" i="65"/>
  <c r="FS671" i="65"/>
  <c r="FS675" i="65"/>
  <c r="FS641" i="65"/>
  <c r="FS649" i="65"/>
  <c r="FS657" i="65"/>
  <c r="FS665" i="65"/>
  <c r="FS673" i="65"/>
  <c r="FS644" i="65"/>
  <c r="FS652" i="65"/>
  <c r="FS660" i="65"/>
  <c r="FS668" i="65"/>
  <c r="FS645" i="65"/>
  <c r="FS653" i="65"/>
  <c r="FS661" i="65"/>
  <c r="FS669" i="65"/>
  <c r="FS640" i="65"/>
  <c r="FS648" i="65"/>
  <c r="FS656" i="65"/>
  <c r="FS664" i="65"/>
  <c r="FS672" i="65"/>
  <c r="FR86" i="65"/>
  <c r="FR90" i="65"/>
  <c r="FR94" i="65"/>
  <c r="FR98" i="65"/>
  <c r="FR102" i="65"/>
  <c r="FR106" i="65"/>
  <c r="FR110" i="65"/>
  <c r="FR114" i="65"/>
  <c r="FR118" i="65"/>
  <c r="FR87" i="65"/>
  <c r="FR91" i="65"/>
  <c r="FR95" i="65"/>
  <c r="FR99" i="65"/>
  <c r="FR103" i="65"/>
  <c r="FR107" i="65"/>
  <c r="FR111" i="65"/>
  <c r="FR115" i="65"/>
  <c r="FR119" i="65"/>
  <c r="FR84" i="65"/>
  <c r="FR88" i="65"/>
  <c r="FR92" i="65"/>
  <c r="FR96" i="65"/>
  <c r="FR100" i="65"/>
  <c r="FR104" i="65"/>
  <c r="FR108" i="65"/>
  <c r="FR112" i="65"/>
  <c r="FR116" i="65"/>
  <c r="FR120" i="65"/>
  <c r="FR85" i="65"/>
  <c r="FR89" i="65"/>
  <c r="FR93" i="65"/>
  <c r="FR97" i="65"/>
  <c r="FR101" i="65"/>
  <c r="FR105" i="65"/>
  <c r="FR109" i="65"/>
  <c r="FR113" i="65"/>
  <c r="FR117" i="65"/>
  <c r="FR121" i="65"/>
  <c r="FT519" i="65"/>
  <c r="FT523" i="65"/>
  <c r="FT527" i="65"/>
  <c r="FT531" i="65"/>
  <c r="FT535" i="65"/>
  <c r="FT539" i="65"/>
  <c r="FT520" i="65"/>
  <c r="FT524" i="65"/>
  <c r="FT528" i="65"/>
  <c r="FT532" i="65"/>
  <c r="FT536" i="65"/>
  <c r="FT540" i="65"/>
  <c r="FT525" i="65"/>
  <c r="FT533" i="65"/>
  <c r="FT541" i="65"/>
  <c r="FT545" i="65"/>
  <c r="FT549" i="65"/>
  <c r="FT553" i="65"/>
  <c r="FT526" i="65"/>
  <c r="FT534" i="65"/>
  <c r="FT542" i="65"/>
  <c r="FT546" i="65"/>
  <c r="FT550" i="65"/>
  <c r="FT554" i="65"/>
  <c r="FT521" i="65"/>
  <c r="FT529" i="65"/>
  <c r="FT537" i="65"/>
  <c r="FT543" i="65"/>
  <c r="FT547" i="65"/>
  <c r="FT551" i="65"/>
  <c r="FT555" i="65"/>
  <c r="FT522" i="65"/>
  <c r="FT530" i="65"/>
  <c r="FT538" i="65"/>
  <c r="FT544" i="65"/>
  <c r="FT548" i="65"/>
  <c r="FT552" i="65"/>
  <c r="FT556" i="65"/>
  <c r="FS161" i="65"/>
  <c r="FS165" i="65"/>
  <c r="FS169" i="65"/>
  <c r="FS173" i="65"/>
  <c r="FS177" i="65"/>
  <c r="FS181" i="65"/>
  <c r="FS185" i="65"/>
  <c r="FS189" i="65"/>
  <c r="FS193" i="65"/>
  <c r="FS197" i="65"/>
  <c r="FS201" i="65"/>
  <c r="FS162" i="65"/>
  <c r="FS166" i="65"/>
  <c r="FS170" i="65"/>
  <c r="FS174" i="65"/>
  <c r="FS178" i="65"/>
  <c r="FS182" i="65"/>
  <c r="FS186" i="65"/>
  <c r="FS190" i="65"/>
  <c r="FS194" i="65"/>
  <c r="FS198" i="65"/>
  <c r="FS202" i="65"/>
  <c r="FS160" i="65"/>
  <c r="FS168" i="65"/>
  <c r="FS176" i="65"/>
  <c r="FS184" i="65"/>
  <c r="FS192" i="65"/>
  <c r="FS200" i="65"/>
  <c r="FS163" i="65"/>
  <c r="FS171" i="65"/>
  <c r="FS179" i="65"/>
  <c r="FS187" i="65"/>
  <c r="FS195" i="65"/>
  <c r="FS164" i="65"/>
  <c r="FS172" i="65"/>
  <c r="FS180" i="65"/>
  <c r="FS188" i="65"/>
  <c r="FS196" i="65"/>
  <c r="FS167" i="65"/>
  <c r="FS175" i="65"/>
  <c r="FS183" i="65"/>
  <c r="FS191" i="65"/>
  <c r="FS199" i="65"/>
  <c r="R15" i="65"/>
  <c r="U15" i="65" s="1"/>
  <c r="EA15" i="65" s="1"/>
  <c r="FR362" i="65"/>
  <c r="FR366" i="65"/>
  <c r="FR370" i="65"/>
  <c r="FR374" i="65"/>
  <c r="FR378" i="65"/>
  <c r="FR382" i="65"/>
  <c r="FR386" i="65"/>
  <c r="FR390" i="65"/>
  <c r="FR394" i="65"/>
  <c r="FR360" i="65"/>
  <c r="FR364" i="65"/>
  <c r="FR368" i="65"/>
  <c r="FR372" i="65"/>
  <c r="FR376" i="65"/>
  <c r="FR380" i="65"/>
  <c r="FR384" i="65"/>
  <c r="FR388" i="65"/>
  <c r="FR392" i="65"/>
  <c r="FR396" i="65"/>
  <c r="FR361" i="65"/>
  <c r="FR365" i="65"/>
  <c r="FR369" i="65"/>
  <c r="FR373" i="65"/>
  <c r="FR377" i="65"/>
  <c r="FR381" i="65"/>
  <c r="FR385" i="65"/>
  <c r="FR389" i="65"/>
  <c r="FR393" i="65"/>
  <c r="FR397" i="65"/>
  <c r="FR371" i="65"/>
  <c r="FR387" i="65"/>
  <c r="FR375" i="65"/>
  <c r="FR391" i="65"/>
  <c r="FR363" i="65"/>
  <c r="FR379" i="65"/>
  <c r="FR395" i="65"/>
  <c r="FR367" i="65"/>
  <c r="FR383" i="65"/>
  <c r="FQ242" i="65"/>
  <c r="FQ246" i="65"/>
  <c r="FQ250" i="65"/>
  <c r="FQ254" i="65"/>
  <c r="FQ258" i="65"/>
  <c r="FQ262" i="65"/>
  <c r="FQ266" i="65"/>
  <c r="FQ270" i="65"/>
  <c r="FQ274" i="65"/>
  <c r="FQ278" i="65"/>
  <c r="FQ243" i="65"/>
  <c r="FQ247" i="65"/>
  <c r="FQ251" i="65"/>
  <c r="FQ255" i="65"/>
  <c r="FQ259" i="65"/>
  <c r="FQ263" i="65"/>
  <c r="FQ267" i="65"/>
  <c r="FQ271" i="65"/>
  <c r="FQ275" i="65"/>
  <c r="FQ244" i="65"/>
  <c r="FQ248" i="65"/>
  <c r="FQ252" i="65"/>
  <c r="FQ256" i="65"/>
  <c r="FQ260" i="65"/>
  <c r="FQ264" i="65"/>
  <c r="FQ268" i="65"/>
  <c r="FQ272" i="65"/>
  <c r="FQ276" i="65"/>
  <c r="FQ241" i="65"/>
  <c r="FQ245" i="65"/>
  <c r="FQ249" i="65"/>
  <c r="FQ253" i="65"/>
  <c r="FQ257" i="65"/>
  <c r="FQ261" i="65"/>
  <c r="FQ265" i="65"/>
  <c r="FQ269" i="65"/>
  <c r="FQ273" i="65"/>
  <c r="FQ277" i="65"/>
  <c r="FS400" i="65"/>
  <c r="FS404" i="65"/>
  <c r="FS408" i="65"/>
  <c r="FS412" i="65"/>
  <c r="FS416" i="65"/>
  <c r="FS420" i="65"/>
  <c r="FS424" i="65"/>
  <c r="FS428" i="65"/>
  <c r="FS432" i="65"/>
  <c r="FS436" i="65"/>
  <c r="FS440" i="65"/>
  <c r="FS401" i="65"/>
  <c r="FS405" i="65"/>
  <c r="FS409" i="65"/>
  <c r="FS413" i="65"/>
  <c r="FS417" i="65"/>
  <c r="FS421" i="65"/>
  <c r="FS425" i="65"/>
  <c r="FS429" i="65"/>
  <c r="FS433" i="65"/>
  <c r="FS437" i="65"/>
  <c r="FS398" i="65"/>
  <c r="FS402" i="65"/>
  <c r="FS406" i="65"/>
  <c r="FS410" i="65"/>
  <c r="FS414" i="65"/>
  <c r="FS418" i="65"/>
  <c r="FS422" i="65"/>
  <c r="FS426" i="65"/>
  <c r="FS430" i="65"/>
  <c r="FS434" i="65"/>
  <c r="FS438" i="65"/>
  <c r="FS399" i="65"/>
  <c r="FS403" i="65"/>
  <c r="FS407" i="65"/>
  <c r="FS411" i="65"/>
  <c r="FS415" i="65"/>
  <c r="FS419" i="65"/>
  <c r="FS423" i="65"/>
  <c r="FS427" i="65"/>
  <c r="FS431" i="65"/>
  <c r="FS435" i="65"/>
  <c r="FS439" i="65"/>
  <c r="FS836" i="65"/>
  <c r="FS840" i="65"/>
  <c r="FS844" i="65"/>
  <c r="FS848" i="65"/>
  <c r="GH848" i="65" s="1"/>
  <c r="FS852" i="65"/>
  <c r="FS856" i="65"/>
  <c r="FS860" i="65"/>
  <c r="FS864" i="65"/>
  <c r="GH864" i="65" s="1"/>
  <c r="FS868" i="65"/>
  <c r="FS872" i="65"/>
  <c r="FS833" i="65"/>
  <c r="GH833" i="65" s="1"/>
  <c r="FS837" i="65"/>
  <c r="FS841" i="65"/>
  <c r="GH841" i="65" s="1"/>
  <c r="FS845" i="65"/>
  <c r="FS849" i="65"/>
  <c r="FS853" i="65"/>
  <c r="FS857" i="65"/>
  <c r="GH857" i="65" s="1"/>
  <c r="FS861" i="65"/>
  <c r="FS865" i="65"/>
  <c r="FS869" i="65"/>
  <c r="FS873" i="65"/>
  <c r="FS834" i="65"/>
  <c r="FS838" i="65"/>
  <c r="FS842" i="65"/>
  <c r="FS846" i="65"/>
  <c r="FS850" i="65"/>
  <c r="FS854" i="65"/>
  <c r="FS858" i="65"/>
  <c r="FS862" i="65"/>
  <c r="FS866" i="65"/>
  <c r="FS870" i="65"/>
  <c r="FS874" i="65"/>
  <c r="FS835" i="65"/>
  <c r="FS839" i="65"/>
  <c r="GH839" i="65" s="1"/>
  <c r="FS843" i="65"/>
  <c r="FS847" i="65"/>
  <c r="FS851" i="65"/>
  <c r="FS855" i="65"/>
  <c r="GH855" i="65" s="1"/>
  <c r="FS859" i="65"/>
  <c r="FS863" i="65"/>
  <c r="FS867" i="65"/>
  <c r="FS871" i="65"/>
  <c r="FS875" i="65"/>
  <c r="FS360" i="65"/>
  <c r="FS364" i="65"/>
  <c r="FS368" i="65"/>
  <c r="FS372" i="65"/>
  <c r="FS376" i="65"/>
  <c r="FS380" i="65"/>
  <c r="FS384" i="65"/>
  <c r="FS388" i="65"/>
  <c r="FS392" i="65"/>
  <c r="FS396" i="65"/>
  <c r="FS361" i="65"/>
  <c r="FS365" i="65"/>
  <c r="FS369" i="65"/>
  <c r="FS373" i="65"/>
  <c r="FS377" i="65"/>
  <c r="FS381" i="65"/>
  <c r="FS385" i="65"/>
  <c r="FS389" i="65"/>
  <c r="FS393" i="65"/>
  <c r="FS397" i="65"/>
  <c r="FS362" i="65"/>
  <c r="FS366" i="65"/>
  <c r="FS370" i="65"/>
  <c r="FS374" i="65"/>
  <c r="FS378" i="65"/>
  <c r="FS382" i="65"/>
  <c r="FS386" i="65"/>
  <c r="FS390" i="65"/>
  <c r="FS394" i="65"/>
  <c r="FS363" i="65"/>
  <c r="FS367" i="65"/>
  <c r="FS371" i="65"/>
  <c r="FS375" i="65"/>
  <c r="FS379" i="65"/>
  <c r="FS383" i="65"/>
  <c r="FS387" i="65"/>
  <c r="FS391" i="65"/>
  <c r="FS395" i="65"/>
  <c r="AR523" i="54"/>
  <c r="AR463" i="54"/>
  <c r="AQ463" i="54"/>
  <c r="AS463" i="54"/>
  <c r="BA543" i="54"/>
  <c r="IR133" i="54"/>
  <c r="DR84" i="66"/>
  <c r="IL133" i="54"/>
  <c r="DF65" i="66"/>
  <c r="AO524" i="54" s="1"/>
  <c r="BB543" i="54"/>
  <c r="IM133" i="54"/>
  <c r="IN133" i="54"/>
  <c r="IT133" i="54"/>
  <c r="AR401" i="54"/>
  <c r="AQ401" i="54"/>
  <c r="BC342" i="54"/>
  <c r="DF85" i="66"/>
  <c r="DR85" i="66" s="1"/>
  <c r="DG886" i="54"/>
  <c r="BA342" i="54"/>
  <c r="EV25" i="66"/>
  <c r="EW25" i="66" s="1"/>
  <c r="AP401" i="54"/>
  <c r="AZ342" i="54"/>
  <c r="CP28" i="66"/>
  <c r="DM61" i="66" s="1"/>
  <c r="DG1562" i="54"/>
  <c r="DG1563" i="54"/>
  <c r="DG1564" i="54"/>
  <c r="BN523" i="54"/>
  <c r="BN463" i="54"/>
  <c r="AY423" i="54"/>
  <c r="BB423" i="54" s="1"/>
  <c r="AY523" i="54"/>
  <c r="AY463" i="54"/>
  <c r="BE523" i="54"/>
  <c r="BG523" i="54"/>
  <c r="BF523" i="54"/>
  <c r="BH523" i="54"/>
  <c r="BE524" i="54"/>
  <c r="BH524" i="54"/>
  <c r="BF524" i="54"/>
  <c r="BG524" i="54"/>
  <c r="DI1561" i="54"/>
  <c r="DJ1561" i="54" s="1"/>
  <c r="DI1562" i="54"/>
  <c r="DI1564" i="54"/>
  <c r="DI1563" i="54"/>
  <c r="BF543" i="54"/>
  <c r="BE543" i="54"/>
  <c r="BG543" i="54"/>
  <c r="BH543" i="54"/>
  <c r="BC462" i="54"/>
  <c r="BA462" i="54"/>
  <c r="AZ462" i="54"/>
  <c r="BB462" i="54"/>
  <c r="DQ85" i="66"/>
  <c r="BN544" i="54"/>
  <c r="FT604" i="54"/>
  <c r="FR604" i="54"/>
  <c r="FV604" i="54"/>
  <c r="FU604" i="54"/>
  <c r="FS604" i="54"/>
  <c r="EC604" i="54"/>
  <c r="DQ84" i="66"/>
  <c r="DH85" i="66" s="1"/>
  <c r="BN543" i="54"/>
  <c r="FO604" i="54"/>
  <c r="FN604" i="54"/>
  <c r="FQ604" i="54"/>
  <c r="FM604" i="54"/>
  <c r="FP604" i="54"/>
  <c r="EB604" i="54"/>
  <c r="DL1561" i="54"/>
  <c r="DM1561" i="54" s="1"/>
  <c r="DL1564" i="54"/>
  <c r="DL1563" i="54"/>
  <c r="DL1562" i="54"/>
  <c r="BF544" i="54"/>
  <c r="BE544" i="54"/>
  <c r="BH544" i="54"/>
  <c r="BG544" i="54"/>
  <c r="BB522" i="54"/>
  <c r="BC522" i="54"/>
  <c r="BA522" i="54"/>
  <c r="AZ522" i="54"/>
  <c r="BN524" i="54"/>
  <c r="BN464" i="54"/>
  <c r="BA502" i="54"/>
  <c r="BB502" i="54"/>
  <c r="AZ502" i="54"/>
  <c r="BC502" i="54"/>
  <c r="DG43" i="66"/>
  <c r="AT502" i="54" s="1"/>
  <c r="AT501" i="54"/>
  <c r="BF463" i="54"/>
  <c r="BH463" i="54"/>
  <c r="BG463" i="54"/>
  <c r="BE463" i="54"/>
  <c r="BH464" i="54"/>
  <c r="BE464" i="54"/>
  <c r="BG464" i="54"/>
  <c r="BF464" i="54"/>
  <c r="AO402" i="54"/>
  <c r="AQ402" i="54" s="1"/>
  <c r="AO502" i="54"/>
  <c r="AT381" i="54"/>
  <c r="AV381" i="54" s="1"/>
  <c r="AT481" i="54"/>
  <c r="AO381" i="54"/>
  <c r="AQ381" i="54" s="1"/>
  <c r="AO481" i="54"/>
  <c r="AR501" i="54"/>
  <c r="AS501" i="54"/>
  <c r="AQ501" i="54"/>
  <c r="AP501" i="54"/>
  <c r="HR141" i="54"/>
  <c r="IF141" i="54" s="1"/>
  <c r="HR142" i="54"/>
  <c r="IF142" i="54" s="1"/>
  <c r="HR143" i="54"/>
  <c r="IF143" i="54" s="1"/>
  <c r="HS145" i="54"/>
  <c r="HS144" i="54"/>
  <c r="IG144" i="54" s="1"/>
  <c r="HS139" i="54"/>
  <c r="IG139" i="54" s="1"/>
  <c r="HS140" i="54"/>
  <c r="IG140" i="54" s="1"/>
  <c r="DG781" i="54"/>
  <c r="HU146" i="54"/>
  <c r="HJ152" i="54"/>
  <c r="HP152" i="54" s="1"/>
  <c r="HJ150" i="54"/>
  <c r="HP150" i="54" s="1"/>
  <c r="HJ147" i="54"/>
  <c r="HP147" i="54" s="1"/>
  <c r="HJ148" i="54"/>
  <c r="HP148" i="54" s="1"/>
  <c r="HJ146" i="54"/>
  <c r="HP146" i="54" s="1"/>
  <c r="HJ153" i="54"/>
  <c r="HP153" i="54" s="1"/>
  <c r="HJ149" i="54"/>
  <c r="HP149" i="54" s="1"/>
  <c r="HJ154" i="54"/>
  <c r="HP154" i="54" s="1"/>
  <c r="HJ151" i="54"/>
  <c r="HP151" i="54" s="1"/>
  <c r="HJ145" i="54"/>
  <c r="HP145" i="54" s="1"/>
  <c r="HR145" i="54"/>
  <c r="HR144" i="54"/>
  <c r="HR139" i="54"/>
  <c r="IF139" i="54" s="1"/>
  <c r="IK139" i="54" s="1"/>
  <c r="HR140" i="54"/>
  <c r="IF140" i="54" s="1"/>
  <c r="DM781" i="54"/>
  <c r="HS143" i="54"/>
  <c r="IG143" i="54" s="1"/>
  <c r="HS141" i="54"/>
  <c r="IG141" i="54" s="1"/>
  <c r="HS142" i="54"/>
  <c r="IG142" i="54" s="1"/>
  <c r="IT135" i="54"/>
  <c r="DG1303" i="54"/>
  <c r="DG1302" i="54"/>
  <c r="DG1198" i="54"/>
  <c r="DG1200" i="54"/>
  <c r="DG1251" i="54"/>
  <c r="EA14" i="65"/>
  <c r="EA24" i="65"/>
  <c r="EA16" i="65"/>
  <c r="DG1252" i="54"/>
  <c r="GH750" i="65"/>
  <c r="GH730" i="65"/>
  <c r="GH744" i="65"/>
  <c r="DZ24" i="65"/>
  <c r="GH757" i="65"/>
  <c r="GG830" i="65"/>
  <c r="GJ832" i="65"/>
  <c r="GG816" i="65"/>
  <c r="GG800" i="65"/>
  <c r="GJ829" i="65"/>
  <c r="GG799" i="65"/>
  <c r="GG815" i="65"/>
  <c r="GH831" i="65"/>
  <c r="HV486" i="65"/>
  <c r="HU486" i="65" s="1"/>
  <c r="HV498" i="65"/>
  <c r="HU498" i="65" s="1"/>
  <c r="GH802" i="65"/>
  <c r="HV210" i="65"/>
  <c r="HU210" i="65" s="1"/>
  <c r="HV198" i="65"/>
  <c r="HU198" i="65" s="1"/>
  <c r="CH563" i="54"/>
  <c r="CH203" i="54"/>
  <c r="CH223" i="54"/>
  <c r="DG1408" i="54"/>
  <c r="DG1199" i="54"/>
  <c r="GH746" i="65"/>
  <c r="GH752" i="65"/>
  <c r="HV438" i="65"/>
  <c r="HU438" i="65" s="1"/>
  <c r="HV450" i="65"/>
  <c r="HU450" i="65" s="1"/>
  <c r="HG39" i="65"/>
  <c r="CJ17" i="65"/>
  <c r="K14" i="65"/>
  <c r="N14" i="65" s="1"/>
  <c r="GJ859" i="65"/>
  <c r="GG861" i="65"/>
  <c r="GJ856" i="65"/>
  <c r="GG845" i="65"/>
  <c r="GJ840" i="65"/>
  <c r="GJ873" i="65"/>
  <c r="GJ864" i="65"/>
  <c r="GG740" i="65"/>
  <c r="GG747" i="65"/>
  <c r="GG748" i="65"/>
  <c r="GG732" i="65"/>
  <c r="GJ755" i="65"/>
  <c r="GG754" i="65"/>
  <c r="GG731" i="65"/>
  <c r="GJ736" i="65"/>
  <c r="GG724" i="65"/>
  <c r="GG741" i="65"/>
  <c r="GG753" i="65"/>
  <c r="GG725" i="65"/>
  <c r="GJ720" i="65"/>
  <c r="GG716" i="65"/>
  <c r="GG715" i="65"/>
  <c r="GG794" i="65"/>
  <c r="GJ772" i="65"/>
  <c r="GG762" i="65"/>
  <c r="GG761" i="65"/>
  <c r="GG769" i="65"/>
  <c r="GG793" i="65"/>
  <c r="GG785" i="65"/>
  <c r="GG778" i="65"/>
  <c r="GH871" i="65"/>
  <c r="GH787" i="65"/>
  <c r="GH763" i="65"/>
  <c r="GH773" i="65"/>
  <c r="GH771" i="65"/>
  <c r="GH810" i="65"/>
  <c r="GH811" i="65"/>
  <c r="DG1304" i="54"/>
  <c r="DG1407" i="54"/>
  <c r="GH737" i="65"/>
  <c r="GH720" i="65"/>
  <c r="GH738" i="65"/>
  <c r="GH745" i="65"/>
  <c r="GH721" i="65"/>
  <c r="GH714" i="65"/>
  <c r="GH755" i="65"/>
  <c r="HV246" i="65"/>
  <c r="HU246" i="65" s="1"/>
  <c r="HV258" i="65"/>
  <c r="HU258" i="65" s="1"/>
  <c r="HV186" i="65"/>
  <c r="HU186" i="65" s="1"/>
  <c r="HV174" i="65"/>
  <c r="HU174" i="65" s="1"/>
  <c r="HV234" i="65"/>
  <c r="HU234" i="65" s="1"/>
  <c r="HV222" i="65"/>
  <c r="HU222" i="65" s="1"/>
  <c r="GH863" i="65"/>
  <c r="GH849" i="65"/>
  <c r="GH847" i="65"/>
  <c r="GH765" i="65"/>
  <c r="GH788" i="65"/>
  <c r="GH789" i="65"/>
  <c r="GH764" i="65"/>
  <c r="K25" i="65"/>
  <c r="N25" i="65" s="1"/>
  <c r="GH801" i="65"/>
  <c r="GH819" i="65"/>
  <c r="GH809" i="65"/>
  <c r="GH827" i="65"/>
  <c r="GH803" i="65"/>
  <c r="DG1406" i="54"/>
  <c r="GH751" i="65"/>
  <c r="GH722" i="65"/>
  <c r="GH756" i="65"/>
  <c r="GH736" i="65"/>
  <c r="GH728" i="65"/>
  <c r="DZ13" i="65"/>
  <c r="GG742" i="65"/>
  <c r="GJ724" i="65"/>
  <c r="GJ737" i="65"/>
  <c r="GJ748" i="65"/>
  <c r="GJ721" i="65"/>
  <c r="GJ754" i="65"/>
  <c r="GJ732" i="65"/>
  <c r="GG743" i="65"/>
  <c r="GG726" i="65"/>
  <c r="GG727" i="65"/>
  <c r="GG749" i="65"/>
  <c r="GJ716" i="65"/>
  <c r="HV522" i="65"/>
  <c r="HU522" i="65" s="1"/>
  <c r="HV510" i="65"/>
  <c r="HU510" i="65" s="1"/>
  <c r="GH856" i="65"/>
  <c r="GH840" i="65"/>
  <c r="GH865" i="65"/>
  <c r="GH779" i="65"/>
  <c r="GH772" i="65"/>
  <c r="HV462" i="65"/>
  <c r="HU462" i="65" s="1"/>
  <c r="HV474" i="65"/>
  <c r="HU474" i="65" s="1"/>
  <c r="GH781" i="65"/>
  <c r="GH780" i="65"/>
  <c r="HG85" i="65"/>
  <c r="CJ31" i="65"/>
  <c r="GH795" i="65"/>
  <c r="GH825" i="65"/>
  <c r="GH832" i="65"/>
  <c r="GH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I1200" i="54"/>
  <c r="DI1198" i="54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L1252" i="54"/>
  <c r="DL1251" i="54"/>
  <c r="DL1301" i="54"/>
  <c r="DM1301" i="54" s="1"/>
  <c r="DL1303" i="54"/>
  <c r="DL1405" i="54"/>
  <c r="DM1405" i="54" s="1"/>
  <c r="DI729" i="54"/>
  <c r="DJ729" i="54" s="1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A76" i="70"/>
  <c r="BA77" i="70"/>
  <c r="BA67" i="70"/>
  <c r="BA69" i="70"/>
  <c r="BA74" i="70"/>
  <c r="BA70" i="70"/>
  <c r="BA66" i="70"/>
  <c r="BA75" i="70"/>
  <c r="BA78" i="70"/>
  <c r="BA80" i="70"/>
  <c r="BA72" i="70"/>
  <c r="BA68" i="70"/>
  <c r="BA79" i="70"/>
  <c r="BA71" i="70"/>
  <c r="BA73" i="70"/>
  <c r="AY507" i="70"/>
  <c r="AY509" i="70"/>
  <c r="AY508" i="70"/>
  <c r="AY504" i="70"/>
  <c r="AY496" i="70"/>
  <c r="AY499" i="70"/>
  <c r="AY493" i="70"/>
  <c r="AY502" i="70"/>
  <c r="AY503" i="70"/>
  <c r="AY511" i="70"/>
  <c r="AY505" i="70"/>
  <c r="AY512" i="70"/>
  <c r="AY497" i="70"/>
  <c r="AY494" i="70"/>
  <c r="AY498" i="70"/>
  <c r="AY500" i="70"/>
  <c r="AY492" i="70"/>
  <c r="AY510" i="70"/>
  <c r="AY506" i="70"/>
  <c r="AY501" i="70"/>
  <c r="AY495" i="70"/>
  <c r="BA291" i="70"/>
  <c r="BA303" i="70"/>
  <c r="BA292" i="70"/>
  <c r="BA301" i="70"/>
  <c r="BA290" i="70"/>
  <c r="BA289" i="70"/>
  <c r="BA302" i="70"/>
  <c r="BA288" i="70"/>
  <c r="BA299" i="70"/>
  <c r="BA300" i="70"/>
  <c r="BA295" i="70"/>
  <c r="BA298" i="70"/>
  <c r="BA294" i="70"/>
  <c r="BA297" i="70"/>
  <c r="BA305" i="70"/>
  <c r="BA293" i="70"/>
  <c r="BA304" i="70"/>
  <c r="BA296" i="70"/>
  <c r="AY186" i="70"/>
  <c r="AY190" i="70"/>
  <c r="AY195" i="70"/>
  <c r="AY191" i="70"/>
  <c r="AY187" i="70"/>
  <c r="AY184" i="70"/>
  <c r="AY181" i="70"/>
  <c r="AY196" i="70"/>
  <c r="AY183" i="70"/>
  <c r="AY189" i="70"/>
  <c r="AY193" i="70"/>
  <c r="AY192" i="70"/>
  <c r="AY182" i="70"/>
  <c r="AY188" i="70"/>
  <c r="AY194" i="70"/>
  <c r="AY180" i="70"/>
  <c r="AY185" i="70"/>
  <c r="AY197" i="70"/>
  <c r="AY349" i="70"/>
  <c r="AY352" i="70"/>
  <c r="AY346" i="70"/>
  <c r="AY357" i="70"/>
  <c r="AY351" i="70"/>
  <c r="AY347" i="70"/>
  <c r="AY345" i="70"/>
  <c r="AY353" i="70"/>
  <c r="AY354" i="70"/>
  <c r="AY348" i="70"/>
  <c r="AY343" i="70"/>
  <c r="AY355" i="70"/>
  <c r="AY359" i="70"/>
  <c r="AY344" i="70"/>
  <c r="AY358" i="70"/>
  <c r="AY356" i="70"/>
  <c r="AY342" i="70"/>
  <c r="AY350" i="70"/>
  <c r="AY81" i="70"/>
  <c r="AY84" i="70"/>
  <c r="AY87" i="70"/>
  <c r="AY83" i="70"/>
  <c r="AY86" i="70"/>
  <c r="AY90" i="70"/>
  <c r="AY82" i="70"/>
  <c r="AY89" i="70"/>
  <c r="AY94" i="70"/>
  <c r="AY91" i="70"/>
  <c r="AY95" i="70"/>
  <c r="AY92" i="70"/>
  <c r="AY85" i="70"/>
  <c r="AY93" i="70"/>
  <c r="AY88" i="70"/>
  <c r="BA58" i="70"/>
  <c r="BA53" i="70"/>
  <c r="BA52" i="70"/>
  <c r="BA61" i="70"/>
  <c r="BA62" i="70"/>
  <c r="BA54" i="70"/>
  <c r="BA63" i="70"/>
  <c r="BA65" i="70"/>
  <c r="BA51" i="70"/>
  <c r="BA60" i="70"/>
  <c r="BA55" i="70"/>
  <c r="BA57" i="70"/>
  <c r="BA64" i="70"/>
  <c r="BA56" i="70"/>
  <c r="BA59" i="70"/>
  <c r="BA774" i="70"/>
  <c r="BA782" i="70"/>
  <c r="BA771" i="70"/>
  <c r="BA777" i="70"/>
  <c r="BA783" i="70"/>
  <c r="BA768" i="70"/>
  <c r="BA765" i="70"/>
  <c r="BA780" i="70"/>
  <c r="BA775" i="70"/>
  <c r="BA772" i="70"/>
  <c r="BA770" i="70"/>
  <c r="BA785" i="70"/>
  <c r="BA784" i="70"/>
  <c r="BA781" i="70"/>
  <c r="BA776" i="70"/>
  <c r="BA779" i="70"/>
  <c r="BA773" i="70"/>
  <c r="BA766" i="70"/>
  <c r="BA767" i="70"/>
  <c r="BA769" i="70"/>
  <c r="BA778" i="70"/>
  <c r="BA215" i="70"/>
  <c r="BA214" i="70"/>
  <c r="BA200" i="70"/>
  <c r="BA199" i="70"/>
  <c r="BA212" i="70"/>
  <c r="BA202" i="70"/>
  <c r="BA213" i="70"/>
  <c r="BA208" i="70"/>
  <c r="BA203" i="70"/>
  <c r="BA209" i="70"/>
  <c r="BA207" i="70"/>
  <c r="BA210" i="70"/>
  <c r="BA206" i="70"/>
  <c r="BA198" i="70"/>
  <c r="BA201" i="70"/>
  <c r="BA205" i="70"/>
  <c r="BA204" i="70"/>
  <c r="BA211" i="70"/>
  <c r="BA637" i="70"/>
  <c r="BA621" i="70"/>
  <c r="BA626" i="70"/>
  <c r="BA633" i="70"/>
  <c r="BA636" i="70"/>
  <c r="BA619" i="70"/>
  <c r="BA627" i="70"/>
  <c r="BA624" i="70"/>
  <c r="BA622" i="70"/>
  <c r="BA631" i="70"/>
  <c r="BA629" i="70"/>
  <c r="BA634" i="70"/>
  <c r="BA628" i="70"/>
  <c r="BA632" i="70"/>
  <c r="BA623" i="70"/>
  <c r="BA620" i="70"/>
  <c r="BA618" i="70"/>
  <c r="BA625" i="70"/>
  <c r="BA630" i="70"/>
  <c r="BA635" i="70"/>
  <c r="BA638" i="70"/>
  <c r="BA247" i="70"/>
  <c r="BA251" i="70"/>
  <c r="BA250" i="70"/>
  <c r="BA235" i="70"/>
  <c r="BA239" i="70"/>
  <c r="BA236" i="70"/>
  <c r="BA249" i="70"/>
  <c r="BA244" i="70"/>
  <c r="BA243" i="70"/>
  <c r="BA246" i="70"/>
  <c r="BA242" i="70"/>
  <c r="BA238" i="70"/>
  <c r="BA241" i="70"/>
  <c r="BA245" i="70"/>
  <c r="BA234" i="70"/>
  <c r="BA240" i="70"/>
  <c r="BA248" i="70"/>
  <c r="BA237" i="70"/>
  <c r="BA127" i="70"/>
  <c r="BA137" i="70"/>
  <c r="BA142" i="70"/>
  <c r="BA140" i="70"/>
  <c r="BA139" i="70"/>
  <c r="BA130" i="70"/>
  <c r="BA128" i="70"/>
  <c r="BA135" i="70"/>
  <c r="BA129" i="70"/>
  <c r="BA132" i="70"/>
  <c r="BA136" i="70"/>
  <c r="BA141" i="70"/>
  <c r="BA143" i="70"/>
  <c r="BA126" i="70"/>
  <c r="BA131" i="70"/>
  <c r="BA138" i="70"/>
  <c r="BA134" i="70"/>
  <c r="BA133" i="70"/>
  <c r="BA343" i="70"/>
  <c r="BA350" i="70"/>
  <c r="BA346" i="70"/>
  <c r="BA352" i="70"/>
  <c r="BA358" i="70"/>
  <c r="BA355" i="70"/>
  <c r="BA354" i="70"/>
  <c r="BA351" i="70"/>
  <c r="BA349" i="70"/>
  <c r="BA342" i="70"/>
  <c r="BA357" i="70"/>
  <c r="BA344" i="70"/>
  <c r="BA359" i="70"/>
  <c r="BA356" i="70"/>
  <c r="BA353" i="70"/>
  <c r="BA347" i="70"/>
  <c r="BA345" i="70"/>
  <c r="BA348" i="70"/>
  <c r="AY7" i="70"/>
  <c r="AY14" i="70"/>
  <c r="AY12" i="70"/>
  <c r="AY18" i="70"/>
  <c r="AY15" i="70"/>
  <c r="AY16" i="70"/>
  <c r="AY8" i="70"/>
  <c r="AY20" i="70"/>
  <c r="AY19" i="70"/>
  <c r="AY9" i="70"/>
  <c r="AY11" i="70"/>
  <c r="AY10" i="70"/>
  <c r="AY6" i="70"/>
  <c r="AY13" i="70"/>
  <c r="AY17" i="70"/>
  <c r="AY667" i="70"/>
  <c r="AY669" i="70"/>
  <c r="AY679" i="70"/>
  <c r="AY674" i="70"/>
  <c r="AY661" i="70"/>
  <c r="AY660" i="70"/>
  <c r="AY672" i="70"/>
  <c r="AY666" i="70"/>
  <c r="AY664" i="70"/>
  <c r="AY662" i="70"/>
  <c r="AY671" i="70"/>
  <c r="AY677" i="70"/>
  <c r="AY668" i="70"/>
  <c r="AY675" i="70"/>
  <c r="AY680" i="70"/>
  <c r="AY665" i="70"/>
  <c r="AY670" i="70"/>
  <c r="AY663" i="70"/>
  <c r="AY678" i="70"/>
  <c r="AY673" i="70"/>
  <c r="AY676" i="70"/>
  <c r="AY729" i="70"/>
  <c r="AY737" i="70"/>
  <c r="AY731" i="70"/>
  <c r="AY723" i="70"/>
  <c r="AY740" i="70"/>
  <c r="AY743" i="70"/>
  <c r="AY727" i="70"/>
  <c r="AY739" i="70"/>
  <c r="AY738" i="70"/>
  <c r="AY742" i="70"/>
  <c r="AY732" i="70"/>
  <c r="AY735" i="70"/>
  <c r="AY736" i="70"/>
  <c r="AY725" i="70"/>
  <c r="AY734" i="70"/>
  <c r="AY741" i="70"/>
  <c r="AY726" i="70"/>
  <c r="AY728" i="70"/>
  <c r="AY724" i="70"/>
  <c r="AY733" i="70"/>
  <c r="AY730" i="70"/>
  <c r="AY521" i="70"/>
  <c r="AY531" i="70"/>
  <c r="AY533" i="70"/>
  <c r="AY516" i="70"/>
  <c r="AY515" i="70"/>
  <c r="AY513" i="70"/>
  <c r="AY527" i="70"/>
  <c r="AY520" i="70"/>
  <c r="AY514" i="70"/>
  <c r="AY517" i="70"/>
  <c r="AY518" i="70"/>
  <c r="AY522" i="70"/>
  <c r="AY519" i="70"/>
  <c r="AY525" i="70"/>
  <c r="AY528" i="70"/>
  <c r="AY526" i="70"/>
  <c r="AY532" i="70"/>
  <c r="AY529" i="70"/>
  <c r="AY524" i="70"/>
  <c r="AY530" i="70"/>
  <c r="AY523" i="70"/>
  <c r="AY719" i="70"/>
  <c r="AY709" i="70"/>
  <c r="AY705" i="70"/>
  <c r="AY718" i="70"/>
  <c r="AY721" i="70"/>
  <c r="AY717" i="70"/>
  <c r="AY704" i="70"/>
  <c r="AY703" i="70"/>
  <c r="AY710" i="70"/>
  <c r="AY707" i="70"/>
  <c r="AY711" i="70"/>
  <c r="AY722" i="70"/>
  <c r="AY714" i="70"/>
  <c r="AY720" i="70"/>
  <c r="AY713" i="70"/>
  <c r="AY716" i="70"/>
  <c r="AY706" i="70"/>
  <c r="AY702" i="70"/>
  <c r="AY715" i="70"/>
  <c r="AY708" i="70"/>
  <c r="AY712" i="70"/>
  <c r="BA311" i="70"/>
  <c r="BA306" i="70"/>
  <c r="BA323" i="70"/>
  <c r="BA312" i="70"/>
  <c r="BA318" i="70"/>
  <c r="BA319" i="70"/>
  <c r="BA320" i="70"/>
  <c r="BA310" i="70"/>
  <c r="BA316" i="70"/>
  <c r="BA321" i="70"/>
  <c r="BA307" i="70"/>
  <c r="BA314" i="70"/>
  <c r="BA313" i="70"/>
  <c r="BA309" i="70"/>
  <c r="BA322" i="70"/>
  <c r="BA308" i="70"/>
  <c r="BA317" i="70"/>
  <c r="BA315" i="70"/>
  <c r="BA405" i="70"/>
  <c r="BA396" i="70"/>
  <c r="BA413" i="70"/>
  <c r="BA399" i="70"/>
  <c r="BA408" i="70"/>
  <c r="BA411" i="70"/>
  <c r="BA409" i="70"/>
  <c r="BA406" i="70"/>
  <c r="BA404" i="70"/>
  <c r="BA402" i="70"/>
  <c r="BA401" i="70"/>
  <c r="BA403" i="70"/>
  <c r="BA398" i="70"/>
  <c r="BA412" i="70"/>
  <c r="BA400" i="70"/>
  <c r="BA407" i="70"/>
  <c r="BA410" i="70"/>
  <c r="BA397" i="70"/>
  <c r="BC67" i="70"/>
  <c r="BC71" i="70"/>
  <c r="BC75" i="70"/>
  <c r="BC79" i="70"/>
  <c r="BC74" i="70"/>
  <c r="BC68" i="70"/>
  <c r="BC72" i="70"/>
  <c r="BC76" i="70"/>
  <c r="BC80" i="70"/>
  <c r="BC66" i="70"/>
  <c r="BC78" i="70"/>
  <c r="BC69" i="70"/>
  <c r="BC73" i="70"/>
  <c r="BC77" i="70"/>
  <c r="BC70" i="70"/>
  <c r="AY577" i="70"/>
  <c r="AY591" i="70"/>
  <c r="AY578" i="70"/>
  <c r="AY588" i="70"/>
  <c r="AY582" i="70"/>
  <c r="AY590" i="70"/>
  <c r="AY583" i="70"/>
  <c r="AY595" i="70"/>
  <c r="AY592" i="70"/>
  <c r="AY584" i="70"/>
  <c r="AY581" i="70"/>
  <c r="AY576" i="70"/>
  <c r="AY580" i="70"/>
  <c r="AY589" i="70"/>
  <c r="AY587" i="70"/>
  <c r="AY579" i="70"/>
  <c r="AY586" i="70"/>
  <c r="AY594" i="70"/>
  <c r="AY596" i="70"/>
  <c r="AY593" i="70"/>
  <c r="AY585" i="70"/>
  <c r="AY639" i="70"/>
  <c r="AY653" i="70"/>
  <c r="AY654" i="70"/>
  <c r="AY658" i="70"/>
  <c r="AY652" i="70"/>
  <c r="AY648" i="70"/>
  <c r="AY659" i="70"/>
  <c r="AY647" i="70"/>
  <c r="AY646" i="70"/>
  <c r="AY642" i="70"/>
  <c r="AY655" i="70"/>
  <c r="AY649" i="70"/>
  <c r="AY640" i="70"/>
  <c r="AY656" i="70"/>
  <c r="AY657" i="70"/>
  <c r="AY645" i="70"/>
  <c r="AY644" i="70"/>
  <c r="AY643" i="70"/>
  <c r="AY641" i="70"/>
  <c r="AY651" i="70"/>
  <c r="AY650" i="70"/>
  <c r="AY432" i="70"/>
  <c r="AW432" i="70" s="1"/>
  <c r="AY433" i="70"/>
  <c r="AW433" i="70" s="1"/>
  <c r="AY441" i="70"/>
  <c r="AW441" i="70" s="1"/>
  <c r="AY435" i="70"/>
  <c r="AW435" i="70" s="1"/>
  <c r="AY443" i="70"/>
  <c r="AW443" i="70" s="1"/>
  <c r="AY437" i="70"/>
  <c r="AW437" i="70" s="1"/>
  <c r="AY442" i="70"/>
  <c r="AW442" i="70" s="1"/>
  <c r="AY440" i="70"/>
  <c r="AW440" i="70" s="1"/>
  <c r="AY434" i="70"/>
  <c r="AW434" i="70" s="1"/>
  <c r="AY439" i="70"/>
  <c r="AW439" i="70" s="1"/>
  <c r="AY447" i="70"/>
  <c r="AW447" i="70" s="1"/>
  <c r="AY445" i="70"/>
  <c r="AW445" i="70" s="1"/>
  <c r="AY436" i="70"/>
  <c r="AW436" i="70" s="1"/>
  <c r="AY438" i="70"/>
  <c r="AW438" i="70" s="1"/>
  <c r="AY449" i="70"/>
  <c r="AW449" i="70" s="1"/>
  <c r="AY446" i="70"/>
  <c r="AW446" i="70" s="1"/>
  <c r="AY448" i="70"/>
  <c r="AW448" i="70" s="1"/>
  <c r="AY444" i="70"/>
  <c r="AW444" i="70" s="1"/>
  <c r="BA100" i="70"/>
  <c r="BA109" i="70"/>
  <c r="BA103" i="70"/>
  <c r="BA101" i="70"/>
  <c r="BA107" i="70"/>
  <c r="BA98" i="70"/>
  <c r="BA97" i="70"/>
  <c r="BA105" i="70"/>
  <c r="BA102" i="70"/>
  <c r="BA108" i="70"/>
  <c r="BA104" i="70"/>
  <c r="BA96" i="70"/>
  <c r="BA99" i="70"/>
  <c r="BA110" i="70"/>
  <c r="BA106" i="70"/>
  <c r="BA592" i="70"/>
  <c r="BA579" i="70"/>
  <c r="BA581" i="70"/>
  <c r="BA580" i="70"/>
  <c r="BA577" i="70"/>
  <c r="BA595" i="70"/>
  <c r="BA590" i="70"/>
  <c r="BA585" i="70"/>
  <c r="BA596" i="70"/>
  <c r="BA588" i="70"/>
  <c r="BA586" i="70"/>
  <c r="BA582" i="70"/>
  <c r="BA584" i="70"/>
  <c r="BA593" i="70"/>
  <c r="BA578" i="70"/>
  <c r="BA576" i="70"/>
  <c r="BA591" i="70"/>
  <c r="BA583" i="70"/>
  <c r="BA594" i="70"/>
  <c r="BA589" i="70"/>
  <c r="BA587" i="70"/>
  <c r="AY375" i="70"/>
  <c r="AY371" i="70"/>
  <c r="AY376" i="70"/>
  <c r="AY368" i="70"/>
  <c r="AY361" i="70"/>
  <c r="AY374" i="70"/>
  <c r="AY370" i="70"/>
  <c r="AY367" i="70"/>
  <c r="AY372" i="70"/>
  <c r="AY377" i="70"/>
  <c r="AY362" i="70"/>
  <c r="AY366" i="70"/>
  <c r="AY363" i="70"/>
  <c r="AY360" i="70"/>
  <c r="AY364" i="70"/>
  <c r="AY365" i="70"/>
  <c r="AY373" i="70"/>
  <c r="AY369" i="70"/>
  <c r="BA639" i="70"/>
  <c r="BA646" i="70"/>
  <c r="BA649" i="70"/>
  <c r="BA645" i="70"/>
  <c r="BA656" i="70"/>
  <c r="BA651" i="70"/>
  <c r="BA641" i="70"/>
  <c r="BA658" i="70"/>
  <c r="BA652" i="70"/>
  <c r="BA653" i="70"/>
  <c r="BA657" i="70"/>
  <c r="BA654" i="70"/>
  <c r="BA647" i="70"/>
  <c r="BA640" i="70"/>
  <c r="BA655" i="70"/>
  <c r="BA642" i="70"/>
  <c r="BA648" i="70"/>
  <c r="BA644" i="70"/>
  <c r="BA650" i="70"/>
  <c r="BA643" i="70"/>
  <c r="BA659" i="70"/>
  <c r="BA414" i="70"/>
  <c r="BA429" i="70"/>
  <c r="BA423" i="70"/>
  <c r="BA431" i="70"/>
  <c r="BA419" i="70"/>
  <c r="BA430" i="70"/>
  <c r="BA427" i="70"/>
  <c r="BA424" i="70"/>
  <c r="BA425" i="70"/>
  <c r="BA421" i="70"/>
  <c r="BA418" i="70"/>
  <c r="BA426" i="70"/>
  <c r="BA422" i="70"/>
  <c r="BA420" i="70"/>
  <c r="BA417" i="70"/>
  <c r="BA415" i="70"/>
  <c r="BA416" i="70"/>
  <c r="BA428" i="70"/>
  <c r="BA22" i="70"/>
  <c r="BA26" i="70"/>
  <c r="BA32" i="70"/>
  <c r="BA25" i="70"/>
  <c r="BA27" i="70"/>
  <c r="BA30" i="70"/>
  <c r="BA28" i="70"/>
  <c r="BA35" i="70"/>
  <c r="BA33" i="70"/>
  <c r="BA24" i="70"/>
  <c r="BA23" i="70"/>
  <c r="BA21" i="70"/>
  <c r="BA29" i="70"/>
  <c r="BA31" i="70"/>
  <c r="BA34" i="70"/>
  <c r="BA665" i="70"/>
  <c r="BA668" i="70"/>
  <c r="BA680" i="70"/>
  <c r="BA679" i="70"/>
  <c r="BA672" i="70"/>
  <c r="BA660" i="70"/>
  <c r="BA664" i="70"/>
  <c r="BA676" i="70"/>
  <c r="BA677" i="70"/>
  <c r="BA670" i="70"/>
  <c r="BA673" i="70"/>
  <c r="BA669" i="70"/>
  <c r="BA662" i="70"/>
  <c r="BA667" i="70"/>
  <c r="BA674" i="70"/>
  <c r="BA671" i="70"/>
  <c r="BA661" i="70"/>
  <c r="BA675" i="70"/>
  <c r="BA663" i="70"/>
  <c r="BA678" i="70"/>
  <c r="BA666" i="70"/>
  <c r="BA119" i="70"/>
  <c r="BA113" i="70"/>
  <c r="BA112" i="70"/>
  <c r="BA111" i="70"/>
  <c r="BA118" i="70"/>
  <c r="BA121" i="70"/>
  <c r="BA114" i="70"/>
  <c r="BA122" i="70"/>
  <c r="BA120" i="70"/>
  <c r="BA115" i="70"/>
  <c r="BA125" i="70"/>
  <c r="BA124" i="70"/>
  <c r="BA117" i="70"/>
  <c r="BA116" i="70"/>
  <c r="BA123" i="70"/>
  <c r="BA284" i="70"/>
  <c r="BA280" i="70"/>
  <c r="BA277" i="70"/>
  <c r="BA283" i="70"/>
  <c r="BA286" i="70"/>
  <c r="BA270" i="70"/>
  <c r="BA281" i="70"/>
  <c r="BA279" i="70"/>
  <c r="BA273" i="70"/>
  <c r="BA271" i="70"/>
  <c r="BA285" i="70"/>
  <c r="BA287" i="70"/>
  <c r="BA274" i="70"/>
  <c r="BA275" i="70"/>
  <c r="BA272" i="70"/>
  <c r="BA282" i="70"/>
  <c r="BA276" i="70"/>
  <c r="BA278" i="70"/>
  <c r="BC495" i="70"/>
  <c r="BC499" i="70"/>
  <c r="BC503" i="70"/>
  <c r="BC507" i="70"/>
  <c r="BC511" i="70"/>
  <c r="BC502" i="70"/>
  <c r="BC492" i="70"/>
  <c r="BC496" i="70"/>
  <c r="BC500" i="70"/>
  <c r="BC504" i="70"/>
  <c r="BC508" i="70"/>
  <c r="BC512" i="70"/>
  <c r="BC494" i="70"/>
  <c r="BC506" i="70"/>
  <c r="BC493" i="70"/>
  <c r="BC497" i="70"/>
  <c r="BC501" i="70"/>
  <c r="BC505" i="70"/>
  <c r="BC509" i="70"/>
  <c r="BC498" i="70"/>
  <c r="BC510" i="70"/>
  <c r="BC555" i="70"/>
  <c r="BC559" i="70"/>
  <c r="BC563" i="70"/>
  <c r="BC567" i="70"/>
  <c r="BC571" i="70"/>
  <c r="BC575" i="70"/>
  <c r="BC558" i="70"/>
  <c r="BC570" i="70"/>
  <c r="BC556" i="70"/>
  <c r="BC560" i="70"/>
  <c r="BC564" i="70"/>
  <c r="BC568" i="70"/>
  <c r="BC572" i="70"/>
  <c r="BC566" i="70"/>
  <c r="BC557" i="70"/>
  <c r="BC561" i="70"/>
  <c r="BC565" i="70"/>
  <c r="BC569" i="70"/>
  <c r="BC573" i="70"/>
  <c r="BC562" i="70"/>
  <c r="BC574" i="70"/>
  <c r="BA183" i="70"/>
  <c r="BA182" i="70"/>
  <c r="BA196" i="70"/>
  <c r="BA181" i="70"/>
  <c r="BA194" i="70"/>
  <c r="BA186" i="70"/>
  <c r="BA197" i="70"/>
  <c r="BA195" i="70"/>
  <c r="BA193" i="70"/>
  <c r="BA180" i="70"/>
  <c r="BA192" i="70"/>
  <c r="BA185" i="70"/>
  <c r="BA184" i="70"/>
  <c r="BA188" i="70"/>
  <c r="BA190" i="70"/>
  <c r="BA189" i="70"/>
  <c r="BA191" i="70"/>
  <c r="BA187" i="70"/>
  <c r="AY292" i="70"/>
  <c r="AW292" i="70" s="1"/>
  <c r="AY299" i="70"/>
  <c r="AY294" i="70"/>
  <c r="AW294" i="70" s="1"/>
  <c r="AY303" i="70"/>
  <c r="AW303" i="70" s="1"/>
  <c r="AY293" i="70"/>
  <c r="AY289" i="70"/>
  <c r="AY291" i="70"/>
  <c r="AW291" i="70" s="1"/>
  <c r="AY300" i="70"/>
  <c r="AW300" i="70" s="1"/>
  <c r="AY296" i="70"/>
  <c r="AY298" i="70"/>
  <c r="AW298" i="70" s="1"/>
  <c r="AY304" i="70"/>
  <c r="AW304" i="70" s="1"/>
  <c r="AY295" i="70"/>
  <c r="AY301" i="70"/>
  <c r="AY305" i="70"/>
  <c r="AY302" i="70"/>
  <c r="AY297" i="70"/>
  <c r="AW297" i="70" s="1"/>
  <c r="AY290" i="70"/>
  <c r="AY288" i="70"/>
  <c r="AW288" i="70" s="1"/>
  <c r="AY637" i="70"/>
  <c r="AY618" i="70"/>
  <c r="AY630" i="70"/>
  <c r="AY625" i="70"/>
  <c r="AY636" i="70"/>
  <c r="AY632" i="70"/>
  <c r="AY626" i="70"/>
  <c r="AY628" i="70"/>
  <c r="AW628" i="70" s="1"/>
  <c r="AY635" i="70"/>
  <c r="AY633" i="70"/>
  <c r="AY634" i="70"/>
  <c r="AW634" i="70" s="1"/>
  <c r="AY619" i="70"/>
  <c r="AY620" i="70"/>
  <c r="AY622" i="70"/>
  <c r="AY629" i="70"/>
  <c r="AY621" i="70"/>
  <c r="AY631" i="70"/>
  <c r="AW631" i="70" s="1"/>
  <c r="AY638" i="70"/>
  <c r="AY623" i="70"/>
  <c r="AY624" i="70"/>
  <c r="AY627" i="70"/>
  <c r="AY54" i="70"/>
  <c r="AY56" i="70"/>
  <c r="AW56" i="70" s="1"/>
  <c r="AY64" i="70"/>
  <c r="AY60" i="70"/>
  <c r="AY52" i="70"/>
  <c r="AY65" i="70"/>
  <c r="AY63" i="70"/>
  <c r="AW63" i="70" s="1"/>
  <c r="AY62" i="70"/>
  <c r="AY59" i="70"/>
  <c r="AY51" i="70"/>
  <c r="AY53" i="70"/>
  <c r="AY55" i="70"/>
  <c r="AY57" i="70"/>
  <c r="AY58" i="70"/>
  <c r="AY61" i="70"/>
  <c r="AY378" i="70"/>
  <c r="AY392" i="70"/>
  <c r="AY380" i="70"/>
  <c r="AY388" i="70"/>
  <c r="AY384" i="70"/>
  <c r="AY381" i="70"/>
  <c r="AY391" i="70"/>
  <c r="AY382" i="70"/>
  <c r="AY390" i="70"/>
  <c r="AY379" i="70"/>
  <c r="AY389" i="70"/>
  <c r="AY385" i="70"/>
  <c r="AY393" i="70"/>
  <c r="AY386" i="70"/>
  <c r="AY383" i="70"/>
  <c r="AY387" i="70"/>
  <c r="AY395" i="70"/>
  <c r="AY394" i="70"/>
  <c r="AY766" i="70"/>
  <c r="AY776" i="70"/>
  <c r="AY784" i="70"/>
  <c r="AW784" i="70" s="1"/>
  <c r="AY768" i="70"/>
  <c r="AW768" i="70" s="1"/>
  <c r="AY775" i="70"/>
  <c r="AY777" i="70"/>
  <c r="AW777" i="70" s="1"/>
  <c r="AY769" i="70"/>
  <c r="AY771" i="70"/>
  <c r="AY782" i="70"/>
  <c r="AY778" i="70"/>
  <c r="AY773" i="70"/>
  <c r="AW773" i="70" s="1"/>
  <c r="AY765" i="70"/>
  <c r="AY785" i="70"/>
  <c r="AY772" i="70"/>
  <c r="AY774" i="70"/>
  <c r="AW774" i="70" s="1"/>
  <c r="AY779" i="70"/>
  <c r="AY783" i="70"/>
  <c r="AY767" i="70"/>
  <c r="AY770" i="70"/>
  <c r="AY780" i="70"/>
  <c r="AY781" i="70"/>
  <c r="BA170" i="70"/>
  <c r="BA163" i="70"/>
  <c r="BA176" i="70"/>
  <c r="BA173" i="70"/>
  <c r="BA166" i="70"/>
  <c r="BA177" i="70"/>
  <c r="BA168" i="70"/>
  <c r="BA167" i="70"/>
  <c r="BA174" i="70"/>
  <c r="BA172" i="70"/>
  <c r="BA162" i="70"/>
  <c r="BA165" i="70"/>
  <c r="BA171" i="70"/>
  <c r="BA178" i="70"/>
  <c r="BA175" i="70"/>
  <c r="BA164" i="70"/>
  <c r="BA169" i="70"/>
  <c r="BA179" i="70"/>
  <c r="BA555" i="70"/>
  <c r="BA560" i="70"/>
  <c r="BA564" i="70"/>
  <c r="BA559" i="70"/>
  <c r="BA569" i="70"/>
  <c r="BA570" i="70"/>
  <c r="BA571" i="70"/>
  <c r="BA561" i="70"/>
  <c r="BA556" i="70"/>
  <c r="BA568" i="70"/>
  <c r="BA558" i="70"/>
  <c r="BA572" i="70"/>
  <c r="BA566" i="70"/>
  <c r="BA557" i="70"/>
  <c r="BA573" i="70"/>
  <c r="BA565" i="70"/>
  <c r="BA574" i="70"/>
  <c r="BA567" i="70"/>
  <c r="BA563" i="70"/>
  <c r="BA575" i="70"/>
  <c r="BA562" i="70"/>
  <c r="AY612" i="70"/>
  <c r="AY599" i="70"/>
  <c r="AY615" i="70"/>
  <c r="AY598" i="70"/>
  <c r="AY614" i="70"/>
  <c r="AY600" i="70"/>
  <c r="AY613" i="70"/>
  <c r="AY597" i="70"/>
  <c r="AY604" i="70"/>
  <c r="AY606" i="70"/>
  <c r="AY616" i="70"/>
  <c r="AY610" i="70"/>
  <c r="AY603" i="70"/>
  <c r="AY608" i="70"/>
  <c r="AY609" i="70"/>
  <c r="AY611" i="70"/>
  <c r="AY602" i="70"/>
  <c r="AY617" i="70"/>
  <c r="AY607" i="70"/>
  <c r="AY605" i="70"/>
  <c r="AY601" i="70"/>
  <c r="BA84" i="70"/>
  <c r="BA87" i="70"/>
  <c r="BA85" i="70"/>
  <c r="BA83" i="70"/>
  <c r="BA91" i="70"/>
  <c r="BA92" i="70"/>
  <c r="BA88" i="70"/>
  <c r="BA90" i="70"/>
  <c r="BA93" i="70"/>
  <c r="BA95" i="70"/>
  <c r="BA94" i="70"/>
  <c r="BA86" i="70"/>
  <c r="BA82" i="70"/>
  <c r="BA81" i="70"/>
  <c r="BA89" i="70"/>
  <c r="BC99" i="70"/>
  <c r="BC103" i="70"/>
  <c r="BC107" i="70"/>
  <c r="BC98" i="70"/>
  <c r="BC110" i="70"/>
  <c r="BC96" i="70"/>
  <c r="BC100" i="70"/>
  <c r="BC104" i="70"/>
  <c r="BC108" i="70"/>
  <c r="BC106" i="70"/>
  <c r="BC97" i="70"/>
  <c r="BC101" i="70"/>
  <c r="BC105" i="70"/>
  <c r="BC109" i="70"/>
  <c r="BC102" i="70"/>
  <c r="BA609" i="70"/>
  <c r="BA605" i="70"/>
  <c r="BA616" i="70"/>
  <c r="BA614" i="70"/>
  <c r="BA599" i="70"/>
  <c r="BA607" i="70"/>
  <c r="BA602" i="70"/>
  <c r="BA617" i="70"/>
  <c r="BA597" i="70"/>
  <c r="BA600" i="70"/>
  <c r="BA610" i="70"/>
  <c r="BA611" i="70"/>
  <c r="BA601" i="70"/>
  <c r="BA613" i="70"/>
  <c r="BA608" i="70"/>
  <c r="BA615" i="70"/>
  <c r="BA606" i="70"/>
  <c r="BA598" i="70"/>
  <c r="BA604" i="70"/>
  <c r="BA603" i="70"/>
  <c r="BA612" i="70"/>
  <c r="AY204" i="70"/>
  <c r="AY213" i="70"/>
  <c r="AW213" i="70" s="1"/>
  <c r="AY201" i="70"/>
  <c r="AY207" i="70"/>
  <c r="AY209" i="70"/>
  <c r="AW209" i="70" s="1"/>
  <c r="AY206" i="70"/>
  <c r="AY208" i="70"/>
  <c r="AW208" i="70" s="1"/>
  <c r="AY210" i="70"/>
  <c r="AY215" i="70"/>
  <c r="AY200" i="70"/>
  <c r="AW200" i="70" s="1"/>
  <c r="AY198" i="70"/>
  <c r="AY205" i="70"/>
  <c r="AY202" i="70"/>
  <c r="AW202" i="70" s="1"/>
  <c r="AY212" i="70"/>
  <c r="AY203" i="70"/>
  <c r="AY199" i="70"/>
  <c r="AY211" i="70"/>
  <c r="AW211" i="70" s="1"/>
  <c r="AY214" i="70"/>
  <c r="BA378" i="70"/>
  <c r="BA384" i="70"/>
  <c r="BA393" i="70"/>
  <c r="BA381" i="70"/>
  <c r="BA389" i="70"/>
  <c r="BA385" i="70"/>
  <c r="BA387" i="70"/>
  <c r="BA395" i="70"/>
  <c r="BA391" i="70"/>
  <c r="BA380" i="70"/>
  <c r="BA394" i="70"/>
  <c r="BA386" i="70"/>
  <c r="BA383" i="70"/>
  <c r="BA392" i="70"/>
  <c r="BA390" i="70"/>
  <c r="BA388" i="70"/>
  <c r="BA382" i="70"/>
  <c r="BA379" i="70"/>
  <c r="AY400" i="70"/>
  <c r="AY396" i="70"/>
  <c r="AY405" i="70"/>
  <c r="AY409" i="70"/>
  <c r="AW409" i="70" s="1"/>
  <c r="AY413" i="70"/>
  <c r="AY401" i="70"/>
  <c r="AY408" i="70"/>
  <c r="AY398" i="70"/>
  <c r="AY411" i="70"/>
  <c r="AY402" i="70"/>
  <c r="AY404" i="70"/>
  <c r="AY407" i="70"/>
  <c r="AY412" i="70"/>
  <c r="AY399" i="70"/>
  <c r="AY406" i="70"/>
  <c r="AY410" i="70"/>
  <c r="AY403" i="70"/>
  <c r="AW403" i="70" s="1"/>
  <c r="AY397" i="70"/>
  <c r="BA696" i="70"/>
  <c r="BA689" i="70"/>
  <c r="BA699" i="70"/>
  <c r="BA693" i="70"/>
  <c r="BA688" i="70"/>
  <c r="BA686" i="70"/>
  <c r="BA682" i="70"/>
  <c r="BA695" i="70"/>
  <c r="BA701" i="70"/>
  <c r="BA690" i="70"/>
  <c r="BA691" i="70"/>
  <c r="BA681" i="70"/>
  <c r="BA683" i="70"/>
  <c r="BA697" i="70"/>
  <c r="BA694" i="70"/>
  <c r="BA687" i="70"/>
  <c r="BA684" i="70"/>
  <c r="BA698" i="70"/>
  <c r="BA700" i="70"/>
  <c r="BA685" i="70"/>
  <c r="BA692" i="70"/>
  <c r="BA256" i="70"/>
  <c r="BA253" i="70"/>
  <c r="BA269" i="70"/>
  <c r="BA257" i="70"/>
  <c r="BA259" i="70"/>
  <c r="BA266" i="70"/>
  <c r="BA265" i="70"/>
  <c r="BA254" i="70"/>
  <c r="BA252" i="70"/>
  <c r="BA268" i="70"/>
  <c r="BA255" i="70"/>
  <c r="BA260" i="70"/>
  <c r="BA263" i="70"/>
  <c r="BA264" i="70"/>
  <c r="BA262" i="70"/>
  <c r="BA258" i="70"/>
  <c r="BA261" i="70"/>
  <c r="BA267" i="70"/>
  <c r="AY487" i="70"/>
  <c r="AY480" i="70"/>
  <c r="AY489" i="70"/>
  <c r="AY475" i="70"/>
  <c r="AY476" i="70"/>
  <c r="AY471" i="70"/>
  <c r="AY484" i="70"/>
  <c r="AY474" i="70"/>
  <c r="AY479" i="70"/>
  <c r="AY485" i="70"/>
  <c r="AY482" i="70"/>
  <c r="AY477" i="70"/>
  <c r="AY478" i="70"/>
  <c r="AY491" i="70"/>
  <c r="AY472" i="70"/>
  <c r="AY483" i="70"/>
  <c r="AY481" i="70"/>
  <c r="AY488" i="70"/>
  <c r="AY490" i="70"/>
  <c r="AY486" i="70"/>
  <c r="AY473" i="70"/>
  <c r="BA732" i="70"/>
  <c r="BA737" i="70"/>
  <c r="BA726" i="70"/>
  <c r="BA740" i="70"/>
  <c r="BA731" i="70"/>
  <c r="BA735" i="70"/>
  <c r="BA742" i="70"/>
  <c r="BA733" i="70"/>
  <c r="BA730" i="70"/>
  <c r="BA729" i="70"/>
  <c r="BA743" i="70"/>
  <c r="BA734" i="70"/>
  <c r="BA725" i="70"/>
  <c r="BA739" i="70"/>
  <c r="BA738" i="70"/>
  <c r="BA728" i="70"/>
  <c r="BA736" i="70"/>
  <c r="BA727" i="70"/>
  <c r="BA741" i="70"/>
  <c r="BA723" i="70"/>
  <c r="BA724" i="70"/>
  <c r="BA370" i="70"/>
  <c r="BA375" i="70"/>
  <c r="BA369" i="70"/>
  <c r="BA376" i="70"/>
  <c r="BA367" i="70"/>
  <c r="BA366" i="70"/>
  <c r="BA372" i="70"/>
  <c r="BA365" i="70"/>
  <c r="BA377" i="70"/>
  <c r="BA368" i="70"/>
  <c r="BA361" i="70"/>
  <c r="BA363" i="70"/>
  <c r="BA371" i="70"/>
  <c r="BA364" i="70"/>
  <c r="BA374" i="70"/>
  <c r="BA373" i="70"/>
  <c r="BA362" i="70"/>
  <c r="BA360" i="70"/>
  <c r="BC723" i="70"/>
  <c r="BC727" i="70"/>
  <c r="BC731" i="70"/>
  <c r="BC735" i="70"/>
  <c r="BC739" i="70"/>
  <c r="BC743" i="70"/>
  <c r="BC726" i="70"/>
  <c r="BC738" i="70"/>
  <c r="BC724" i="70"/>
  <c r="BC728" i="70"/>
  <c r="BC732" i="70"/>
  <c r="BC736" i="70"/>
  <c r="BC740" i="70"/>
  <c r="BC734" i="70"/>
  <c r="BC725" i="70"/>
  <c r="BC729" i="70"/>
  <c r="BC733" i="70"/>
  <c r="BC737" i="70"/>
  <c r="BC741" i="70"/>
  <c r="BC730" i="70"/>
  <c r="BC742" i="70"/>
  <c r="AY336" i="70"/>
  <c r="AW336" i="70" s="1"/>
  <c r="AY341" i="70"/>
  <c r="AW341" i="70" s="1"/>
  <c r="AY327" i="70"/>
  <c r="AW327" i="70" s="1"/>
  <c r="AY334" i="70"/>
  <c r="AW334" i="70" s="1"/>
  <c r="AY326" i="70"/>
  <c r="AW326" i="70" s="1"/>
  <c r="AY328" i="70"/>
  <c r="AW328" i="70" s="1"/>
  <c r="AY330" i="70"/>
  <c r="AW330" i="70" s="1"/>
  <c r="AY340" i="70"/>
  <c r="AW340" i="70" s="1"/>
  <c r="AY337" i="70"/>
  <c r="AW337" i="70" s="1"/>
  <c r="AY324" i="70"/>
  <c r="AW324" i="70" s="1"/>
  <c r="AY339" i="70"/>
  <c r="AW339" i="70" s="1"/>
  <c r="AY338" i="70"/>
  <c r="AW338" i="70" s="1"/>
  <c r="AY335" i="70"/>
  <c r="AW335" i="70" s="1"/>
  <c r="AY325" i="70"/>
  <c r="AW325" i="70" s="1"/>
  <c r="AY332" i="70"/>
  <c r="AW332" i="70" s="1"/>
  <c r="AY329" i="70"/>
  <c r="AW329" i="70" s="1"/>
  <c r="AY331" i="70"/>
  <c r="AW331" i="70" s="1"/>
  <c r="AY333" i="70"/>
  <c r="AW333" i="70" s="1"/>
  <c r="AY423" i="70"/>
  <c r="AY417" i="70"/>
  <c r="AY418" i="70"/>
  <c r="AY419" i="70"/>
  <c r="AY429" i="70"/>
  <c r="AY422" i="70"/>
  <c r="AY416" i="70"/>
  <c r="AY427" i="70"/>
  <c r="AY426" i="70"/>
  <c r="AY431" i="70"/>
  <c r="AY430" i="70"/>
  <c r="AY415" i="70"/>
  <c r="AY414" i="70"/>
  <c r="AY428" i="70"/>
  <c r="AY421" i="70"/>
  <c r="AY420" i="70"/>
  <c r="AY424" i="70"/>
  <c r="AY425" i="70"/>
  <c r="AY558" i="70"/>
  <c r="AY560" i="70"/>
  <c r="AY561" i="70"/>
  <c r="AY568" i="70"/>
  <c r="AY567" i="70"/>
  <c r="AY557" i="70"/>
  <c r="AY566" i="70"/>
  <c r="AY555" i="70"/>
  <c r="AY571" i="70"/>
  <c r="AY564" i="70"/>
  <c r="AY563" i="70"/>
  <c r="AY574" i="70"/>
  <c r="AY556" i="70"/>
  <c r="AY562" i="70"/>
  <c r="AY570" i="70"/>
  <c r="AW570" i="70" s="1"/>
  <c r="AY569" i="70"/>
  <c r="AY573" i="70"/>
  <c r="AY559" i="70"/>
  <c r="AY565" i="70"/>
  <c r="AY575" i="70"/>
  <c r="AY572" i="70"/>
  <c r="AY698" i="70"/>
  <c r="AW698" i="70" s="1"/>
  <c r="AY684" i="70"/>
  <c r="AY685" i="70"/>
  <c r="AW685" i="70" s="1"/>
  <c r="AY696" i="70"/>
  <c r="AW696" i="70" s="1"/>
  <c r="AY690" i="70"/>
  <c r="AW690" i="70" s="1"/>
  <c r="AY683" i="70"/>
  <c r="AY689" i="70"/>
  <c r="AY682" i="70"/>
  <c r="AY686" i="70"/>
  <c r="AW686" i="70" s="1"/>
  <c r="AY687" i="70"/>
  <c r="AY701" i="70"/>
  <c r="AY693" i="70"/>
  <c r="AY692" i="70"/>
  <c r="AY691" i="70"/>
  <c r="AW691" i="70" s="1"/>
  <c r="AY699" i="70"/>
  <c r="AY695" i="70"/>
  <c r="AY697" i="70"/>
  <c r="AW697" i="70" s="1"/>
  <c r="AY694" i="70"/>
  <c r="AW694" i="70" s="1"/>
  <c r="AY700" i="70"/>
  <c r="AY688" i="70"/>
  <c r="AY681" i="70"/>
  <c r="AY67" i="70"/>
  <c r="AY74" i="70"/>
  <c r="AY78" i="70"/>
  <c r="AY72" i="70"/>
  <c r="AY66" i="70"/>
  <c r="AW66" i="70" s="1"/>
  <c r="AY71" i="70"/>
  <c r="AY77" i="70"/>
  <c r="AY80" i="70"/>
  <c r="AW80" i="70" s="1"/>
  <c r="AY70" i="70"/>
  <c r="AY69" i="70"/>
  <c r="AY79" i="70"/>
  <c r="AW79" i="70" s="1"/>
  <c r="AY73" i="70"/>
  <c r="AY76" i="70"/>
  <c r="AY75" i="70"/>
  <c r="AW75" i="70" s="1"/>
  <c r="AY68" i="70"/>
  <c r="AY154" i="70"/>
  <c r="AY145" i="70"/>
  <c r="AY148" i="70"/>
  <c r="AY158" i="70"/>
  <c r="AY157" i="70"/>
  <c r="AY147" i="70"/>
  <c r="AY150" i="70"/>
  <c r="AY144" i="70"/>
  <c r="AY146" i="70"/>
  <c r="AY151" i="70"/>
  <c r="AY159" i="70"/>
  <c r="AY161" i="70"/>
  <c r="AY153" i="70"/>
  <c r="AY149" i="70"/>
  <c r="AY156" i="70"/>
  <c r="AY160" i="70"/>
  <c r="AY155" i="70"/>
  <c r="AY152" i="70"/>
  <c r="AY318" i="70"/>
  <c r="AY322" i="70"/>
  <c r="AY319" i="70"/>
  <c r="AY306" i="70"/>
  <c r="AY317" i="70"/>
  <c r="AY321" i="70"/>
  <c r="AY323" i="70"/>
  <c r="AY315" i="70"/>
  <c r="AY312" i="70"/>
  <c r="AY320" i="70"/>
  <c r="AY314" i="70"/>
  <c r="AY309" i="70"/>
  <c r="AY310" i="70"/>
  <c r="AY307" i="70"/>
  <c r="AY313" i="70"/>
  <c r="AY308" i="70"/>
  <c r="AY311" i="70"/>
  <c r="AY316" i="70"/>
  <c r="BA529" i="70"/>
  <c r="BA521" i="70"/>
  <c r="BA533" i="70"/>
  <c r="BA526" i="70"/>
  <c r="BA532" i="70"/>
  <c r="BA514" i="70"/>
  <c r="BA516" i="70"/>
  <c r="BA520" i="70"/>
  <c r="BA527" i="70"/>
  <c r="BA525" i="70"/>
  <c r="BA515" i="70"/>
  <c r="BA524" i="70"/>
  <c r="BA513" i="70"/>
  <c r="BA530" i="70"/>
  <c r="BA518" i="70"/>
  <c r="BA517" i="70"/>
  <c r="BA523" i="70"/>
  <c r="BA528" i="70"/>
  <c r="BA519" i="70"/>
  <c r="BA531" i="70"/>
  <c r="BA522" i="70"/>
  <c r="BC307" i="70"/>
  <c r="BC311" i="70"/>
  <c r="BC315" i="70"/>
  <c r="BC319" i="70"/>
  <c r="BC323" i="70"/>
  <c r="BC314" i="70"/>
  <c r="BC308" i="70"/>
  <c r="BC312" i="70"/>
  <c r="BC316" i="70"/>
  <c r="BC320" i="70"/>
  <c r="BC306" i="70"/>
  <c r="BC318" i="70"/>
  <c r="BC309" i="70"/>
  <c r="BC313" i="70"/>
  <c r="BC317" i="70"/>
  <c r="BC321" i="70"/>
  <c r="BC310" i="70"/>
  <c r="BC322" i="70"/>
  <c r="AY220" i="70"/>
  <c r="AW220" i="70" s="1"/>
  <c r="AY226" i="70"/>
  <c r="AW226" i="70" s="1"/>
  <c r="AY217" i="70"/>
  <c r="AW217" i="70" s="1"/>
  <c r="AY224" i="70"/>
  <c r="AW224" i="70" s="1"/>
  <c r="AY216" i="70"/>
  <c r="AW216" i="70" s="1"/>
  <c r="AY233" i="70"/>
  <c r="AW233" i="70" s="1"/>
  <c r="AY222" i="70"/>
  <c r="AW222" i="70" s="1"/>
  <c r="AY230" i="70"/>
  <c r="AW230" i="70" s="1"/>
  <c r="AY232" i="70"/>
  <c r="AW232" i="70" s="1"/>
  <c r="AY227" i="70"/>
  <c r="AW227" i="70" s="1"/>
  <c r="AY229" i="70"/>
  <c r="AW229" i="70" s="1"/>
  <c r="AY218" i="70"/>
  <c r="AW218" i="70" s="1"/>
  <c r="AY228" i="70"/>
  <c r="AW228" i="70" s="1"/>
  <c r="AY219" i="70"/>
  <c r="AW219" i="70" s="1"/>
  <c r="AY223" i="70"/>
  <c r="AW223" i="70" s="1"/>
  <c r="AY225" i="70"/>
  <c r="AW225" i="70" s="1"/>
  <c r="AY231" i="70"/>
  <c r="AW231" i="70" s="1"/>
  <c r="AY221" i="70"/>
  <c r="AW221" i="70" s="1"/>
  <c r="AY245" i="70"/>
  <c r="AY234" i="70"/>
  <c r="AY251" i="70"/>
  <c r="AY240" i="70"/>
  <c r="AY249" i="70"/>
  <c r="AW249" i="70" s="1"/>
  <c r="AY250" i="70"/>
  <c r="AY241" i="70"/>
  <c r="AW241" i="70" s="1"/>
  <c r="AY235" i="70"/>
  <c r="AY238" i="70"/>
  <c r="AY248" i="70"/>
  <c r="AY243" i="70"/>
  <c r="AW243" i="70" s="1"/>
  <c r="AY247" i="70"/>
  <c r="AY239" i="70"/>
  <c r="AY236" i="70"/>
  <c r="AY244" i="70"/>
  <c r="AY237" i="70"/>
  <c r="AW237" i="70" s="1"/>
  <c r="AY242" i="70"/>
  <c r="AW242" i="70" s="1"/>
  <c r="AY246" i="70"/>
  <c r="AY744" i="70"/>
  <c r="AY746" i="70"/>
  <c r="AY754" i="70"/>
  <c r="AY762" i="70"/>
  <c r="AY753" i="70"/>
  <c r="AY759" i="70"/>
  <c r="AY757" i="70"/>
  <c r="AY752" i="70"/>
  <c r="AY764" i="70"/>
  <c r="AY751" i="70"/>
  <c r="AY755" i="70"/>
  <c r="AY747" i="70"/>
  <c r="AY761" i="70"/>
  <c r="AY750" i="70"/>
  <c r="AY758" i="70"/>
  <c r="AY748" i="70"/>
  <c r="AY749" i="70"/>
  <c r="AY760" i="70"/>
  <c r="AY745" i="70"/>
  <c r="AY763" i="70"/>
  <c r="AY756" i="70"/>
  <c r="BC663" i="70"/>
  <c r="BC667" i="70"/>
  <c r="BC671" i="70"/>
  <c r="BC675" i="70"/>
  <c r="BC679" i="70"/>
  <c r="BC670" i="70"/>
  <c r="BC660" i="70"/>
  <c r="BC664" i="70"/>
  <c r="BC668" i="70"/>
  <c r="BC672" i="70"/>
  <c r="BC676" i="70"/>
  <c r="BC680" i="70"/>
  <c r="BC662" i="70"/>
  <c r="BC674" i="70"/>
  <c r="BC661" i="70"/>
  <c r="BC665" i="70"/>
  <c r="BC669" i="70"/>
  <c r="BC673" i="70"/>
  <c r="BC677" i="70"/>
  <c r="BC666" i="70"/>
  <c r="BC678" i="70"/>
  <c r="BA481" i="70"/>
  <c r="BA474" i="70"/>
  <c r="BA490" i="70"/>
  <c r="BA475" i="70"/>
  <c r="BA472" i="70"/>
  <c r="BA482" i="70"/>
  <c r="BA480" i="70"/>
  <c r="BA491" i="70"/>
  <c r="BA489" i="70"/>
  <c r="BA478" i="70"/>
  <c r="BA485" i="70"/>
  <c r="BA477" i="70"/>
  <c r="BA473" i="70"/>
  <c r="BA483" i="70"/>
  <c r="BA487" i="70"/>
  <c r="BA471" i="70"/>
  <c r="BA488" i="70"/>
  <c r="BA476" i="70"/>
  <c r="BA484" i="70"/>
  <c r="BA486" i="70"/>
  <c r="BA479" i="70"/>
  <c r="AY166" i="70"/>
  <c r="AW166" i="70" s="1"/>
  <c r="AY178" i="70"/>
  <c r="AW178" i="70" s="1"/>
  <c r="AY174" i="70"/>
  <c r="AY170" i="70"/>
  <c r="AY168" i="70"/>
  <c r="AY165" i="70"/>
  <c r="AY169" i="70"/>
  <c r="AY177" i="70"/>
  <c r="AY173" i="70"/>
  <c r="AY179" i="70"/>
  <c r="AW179" i="70" s="1"/>
  <c r="AY164" i="70"/>
  <c r="AY167" i="70"/>
  <c r="AW167" i="70" s="1"/>
  <c r="AY171" i="70"/>
  <c r="AW171" i="70" s="1"/>
  <c r="AY175" i="70"/>
  <c r="AY172" i="70"/>
  <c r="AY163" i="70"/>
  <c r="AY162" i="70"/>
  <c r="AY176" i="70"/>
  <c r="BA744" i="70"/>
  <c r="BA754" i="70"/>
  <c r="BA752" i="70"/>
  <c r="BA750" i="70"/>
  <c r="BA757" i="70"/>
  <c r="BA764" i="70"/>
  <c r="BA762" i="70"/>
  <c r="BA759" i="70"/>
  <c r="BA755" i="70"/>
  <c r="BA763" i="70"/>
  <c r="BA760" i="70"/>
  <c r="BA746" i="70"/>
  <c r="BA745" i="70"/>
  <c r="BA761" i="70"/>
  <c r="BA748" i="70"/>
  <c r="BA749" i="70"/>
  <c r="BA747" i="70"/>
  <c r="BA751" i="70"/>
  <c r="BA753" i="70"/>
  <c r="BA758" i="70"/>
  <c r="BA756" i="70"/>
  <c r="AY102" i="70"/>
  <c r="AY107" i="70"/>
  <c r="AY108" i="70"/>
  <c r="AY97" i="70"/>
  <c r="AY109" i="70"/>
  <c r="AY103" i="70"/>
  <c r="AY106" i="70"/>
  <c r="AY100" i="70"/>
  <c r="AY98" i="70"/>
  <c r="AY104" i="70"/>
  <c r="AY96" i="70"/>
  <c r="AY105" i="70"/>
  <c r="AY101" i="70"/>
  <c r="AY99" i="70"/>
  <c r="AY110" i="70"/>
  <c r="BA154" i="70"/>
  <c r="BA156" i="70"/>
  <c r="BA145" i="70"/>
  <c r="BA152" i="70"/>
  <c r="BA149" i="70"/>
  <c r="BA147" i="70"/>
  <c r="BA150" i="70"/>
  <c r="BA158" i="70"/>
  <c r="BA157" i="70"/>
  <c r="BA161" i="70"/>
  <c r="BA155" i="70"/>
  <c r="BA151" i="70"/>
  <c r="BA153" i="70"/>
  <c r="BA159" i="70"/>
  <c r="BA144" i="70"/>
  <c r="BA146" i="70"/>
  <c r="BA160" i="70"/>
  <c r="BA148" i="70"/>
  <c r="BA709" i="70"/>
  <c r="BA704" i="70"/>
  <c r="BA715" i="70"/>
  <c r="BA722" i="70"/>
  <c r="BA706" i="70"/>
  <c r="BA707" i="70"/>
  <c r="BA703" i="70"/>
  <c r="BA712" i="70"/>
  <c r="BA710" i="70"/>
  <c r="BA714" i="70"/>
  <c r="BA713" i="70"/>
  <c r="BA705" i="70"/>
  <c r="BA716" i="70"/>
  <c r="BA702" i="70"/>
  <c r="BA711" i="70"/>
  <c r="BA720" i="70"/>
  <c r="BA718" i="70"/>
  <c r="BA717" i="70"/>
  <c r="BA721" i="70"/>
  <c r="BA719" i="70"/>
  <c r="BA708" i="70"/>
  <c r="AY23" i="70"/>
  <c r="AY24" i="70"/>
  <c r="AY34" i="70"/>
  <c r="AY33" i="70"/>
  <c r="AY21" i="70"/>
  <c r="AW21" i="70" s="1"/>
  <c r="AY27" i="70"/>
  <c r="AW27" i="70" s="1"/>
  <c r="AY30" i="70"/>
  <c r="AW30" i="70" s="1"/>
  <c r="AY28" i="70"/>
  <c r="AW28" i="70" s="1"/>
  <c r="AY22" i="70"/>
  <c r="AY35" i="70"/>
  <c r="AY31" i="70"/>
  <c r="AW31" i="70" s="1"/>
  <c r="AY32" i="70"/>
  <c r="AW32" i="70" s="1"/>
  <c r="AY26" i="70"/>
  <c r="AY29" i="70"/>
  <c r="AW29" i="70" s="1"/>
  <c r="AY25" i="70"/>
  <c r="AY255" i="70"/>
  <c r="AW255" i="70" s="1"/>
  <c r="AY262" i="70"/>
  <c r="AY258" i="70"/>
  <c r="AY268" i="70"/>
  <c r="AW268" i="70" s="1"/>
  <c r="AY260" i="70"/>
  <c r="AY259" i="70"/>
  <c r="AY266" i="70"/>
  <c r="AY257" i="70"/>
  <c r="AY267" i="70"/>
  <c r="AY256" i="70"/>
  <c r="AY253" i="70"/>
  <c r="AY264" i="70"/>
  <c r="AW264" i="70" s="1"/>
  <c r="AY254" i="70"/>
  <c r="AY265" i="70"/>
  <c r="AY261" i="70"/>
  <c r="AW261" i="70" s="1"/>
  <c r="AY263" i="70"/>
  <c r="AY269" i="70"/>
  <c r="AW269" i="70" s="1"/>
  <c r="AY252" i="70"/>
  <c r="AY270" i="70"/>
  <c r="AW270" i="70" s="1"/>
  <c r="AY284" i="70"/>
  <c r="AY286" i="70"/>
  <c r="AY283" i="70"/>
  <c r="AY276" i="70"/>
  <c r="AY285" i="70"/>
  <c r="AW285" i="70" s="1"/>
  <c r="AY287" i="70"/>
  <c r="AW287" i="70" s="1"/>
  <c r="AY278" i="70"/>
  <c r="AY274" i="70"/>
  <c r="AY271" i="70"/>
  <c r="AY279" i="70"/>
  <c r="AW279" i="70" s="1"/>
  <c r="AY281" i="70"/>
  <c r="AY277" i="70"/>
  <c r="AY282" i="70"/>
  <c r="AY272" i="70"/>
  <c r="AY280" i="70"/>
  <c r="AY273" i="70"/>
  <c r="AY275" i="70"/>
  <c r="AY458" i="70"/>
  <c r="AY454" i="70"/>
  <c r="AY462" i="70"/>
  <c r="AY461" i="70"/>
  <c r="AY468" i="70"/>
  <c r="AY464" i="70"/>
  <c r="AY453" i="70"/>
  <c r="AY470" i="70"/>
  <c r="AY457" i="70"/>
  <c r="AY467" i="70"/>
  <c r="AY460" i="70"/>
  <c r="AY456" i="70"/>
  <c r="AY450" i="70"/>
  <c r="AY452" i="70"/>
  <c r="AY463" i="70"/>
  <c r="AY455" i="70"/>
  <c r="AY466" i="70"/>
  <c r="AY465" i="70"/>
  <c r="AY451" i="70"/>
  <c r="AY459" i="70"/>
  <c r="AY469" i="70"/>
  <c r="BA16" i="70"/>
  <c r="BA12" i="70"/>
  <c r="BA9" i="70"/>
  <c r="BA8" i="70"/>
  <c r="BA7" i="70"/>
  <c r="BA11" i="70"/>
  <c r="BA19" i="70"/>
  <c r="BA18" i="70"/>
  <c r="BA10" i="70"/>
  <c r="BA15" i="70"/>
  <c r="BA17" i="70"/>
  <c r="BA13" i="70"/>
  <c r="BA20" i="70"/>
  <c r="BA6" i="70"/>
  <c r="AY2" i="70" s="1"/>
  <c r="BA14" i="70"/>
  <c r="BA464" i="70"/>
  <c r="BA469" i="70"/>
  <c r="BA461" i="70"/>
  <c r="BA450" i="70"/>
  <c r="BA456" i="70"/>
  <c r="BA470" i="70"/>
  <c r="BA467" i="70"/>
  <c r="BA457" i="70"/>
  <c r="BA451" i="70"/>
  <c r="BA452" i="70"/>
  <c r="BA453" i="70"/>
  <c r="BA462" i="70"/>
  <c r="BA465" i="70"/>
  <c r="BA468" i="70"/>
  <c r="BA463" i="70"/>
  <c r="BA458" i="70"/>
  <c r="BA455" i="70"/>
  <c r="BA460" i="70"/>
  <c r="BA466" i="70"/>
  <c r="BA454" i="70"/>
  <c r="BA459" i="70"/>
  <c r="AY535" i="70"/>
  <c r="AY534" i="70"/>
  <c r="AY542" i="70"/>
  <c r="AY545" i="70"/>
  <c r="AY544" i="70"/>
  <c r="AY553" i="70"/>
  <c r="AY550" i="70"/>
  <c r="AY536" i="70"/>
  <c r="AY552" i="70"/>
  <c r="AY539" i="70"/>
  <c r="AY547" i="70"/>
  <c r="AY538" i="70"/>
  <c r="AY546" i="70"/>
  <c r="AY537" i="70"/>
  <c r="AY549" i="70"/>
  <c r="AY548" i="70"/>
  <c r="AY551" i="70"/>
  <c r="AY541" i="70"/>
  <c r="AY543" i="70"/>
  <c r="AY554" i="70"/>
  <c r="AY540" i="70"/>
  <c r="BA505" i="70"/>
  <c r="BA492" i="70"/>
  <c r="BA500" i="70"/>
  <c r="BA507" i="70"/>
  <c r="BA510" i="70"/>
  <c r="BA512" i="70"/>
  <c r="BA506" i="70"/>
  <c r="BA501" i="70"/>
  <c r="BA511" i="70"/>
  <c r="BA509" i="70"/>
  <c r="BA497" i="70"/>
  <c r="BA508" i="70"/>
  <c r="BA498" i="70"/>
  <c r="BA504" i="70"/>
  <c r="BA496" i="70"/>
  <c r="BA499" i="70"/>
  <c r="BA503" i="70"/>
  <c r="BA493" i="70"/>
  <c r="BA502" i="70"/>
  <c r="BA494" i="70"/>
  <c r="BA495" i="70"/>
  <c r="AY134" i="70"/>
  <c r="AW134" i="70" s="1"/>
  <c r="AY131" i="70"/>
  <c r="AY135" i="70"/>
  <c r="AY128" i="70"/>
  <c r="AY136" i="70"/>
  <c r="AY129" i="70"/>
  <c r="AY142" i="70"/>
  <c r="AW142" i="70" s="1"/>
  <c r="AY126" i="70"/>
  <c r="AY138" i="70"/>
  <c r="AY133" i="70"/>
  <c r="AW133" i="70" s="1"/>
  <c r="AY141" i="70"/>
  <c r="AY139" i="70"/>
  <c r="AY140" i="70"/>
  <c r="AY132" i="70"/>
  <c r="AW132" i="70" s="1"/>
  <c r="AY143" i="70"/>
  <c r="AY130" i="70"/>
  <c r="AY127" i="70"/>
  <c r="AW127" i="70" s="1"/>
  <c r="AY137" i="70"/>
  <c r="AW137" i="70" s="1"/>
  <c r="BA536" i="70"/>
  <c r="BA553" i="70"/>
  <c r="BA545" i="70"/>
  <c r="BA538" i="70"/>
  <c r="BA546" i="70"/>
  <c r="BA552" i="70"/>
  <c r="BA540" i="70"/>
  <c r="BA537" i="70"/>
  <c r="BA549" i="70"/>
  <c r="BA539" i="70"/>
  <c r="BA550" i="70"/>
  <c r="BA554" i="70"/>
  <c r="BA541" i="70"/>
  <c r="BA544" i="70"/>
  <c r="BA548" i="70"/>
  <c r="BA547" i="70"/>
  <c r="BA535" i="70"/>
  <c r="BA534" i="70"/>
  <c r="BA542" i="70"/>
  <c r="BA551" i="70"/>
  <c r="BA543" i="70"/>
  <c r="AY46" i="70"/>
  <c r="AY40" i="70"/>
  <c r="AY39" i="70"/>
  <c r="AY47" i="70"/>
  <c r="AY48" i="70"/>
  <c r="AY42" i="70"/>
  <c r="AY38" i="70"/>
  <c r="AY43" i="70"/>
  <c r="AY45" i="70"/>
  <c r="AY36" i="70"/>
  <c r="AY44" i="70"/>
  <c r="AY37" i="70"/>
  <c r="AY50" i="70"/>
  <c r="AY49" i="70"/>
  <c r="AY41" i="70"/>
  <c r="BC415" i="70"/>
  <c r="BC419" i="70"/>
  <c r="BC423" i="70"/>
  <c r="BC427" i="70"/>
  <c r="BC431" i="70"/>
  <c r="BC418" i="70"/>
  <c r="BC426" i="70"/>
  <c r="BC416" i="70"/>
  <c r="BC420" i="70"/>
  <c r="BC424" i="70"/>
  <c r="BC428" i="70"/>
  <c r="BC414" i="70"/>
  <c r="BC430" i="70"/>
  <c r="BC417" i="70"/>
  <c r="BC421" i="70"/>
  <c r="BC425" i="70"/>
  <c r="BC429" i="70"/>
  <c r="BC422" i="70"/>
  <c r="AY121" i="70"/>
  <c r="AW121" i="70" s="1"/>
  <c r="AY115" i="70"/>
  <c r="AY123" i="70"/>
  <c r="AY119" i="70"/>
  <c r="AW119" i="70" s="1"/>
  <c r="AY112" i="70"/>
  <c r="AY117" i="70"/>
  <c r="AY114" i="70"/>
  <c r="AY120" i="70"/>
  <c r="AW120" i="70" s="1"/>
  <c r="AY118" i="70"/>
  <c r="AY111" i="70"/>
  <c r="AY122" i="70"/>
  <c r="AW122" i="70" s="1"/>
  <c r="AY113" i="70"/>
  <c r="AY124" i="70"/>
  <c r="AY116" i="70"/>
  <c r="AY125" i="70"/>
  <c r="BA49" i="70"/>
  <c r="BA40" i="70"/>
  <c r="BA42" i="70"/>
  <c r="BA44" i="70"/>
  <c r="BA37" i="70"/>
  <c r="BA50" i="70"/>
  <c r="BA45" i="70"/>
  <c r="BA38" i="70"/>
  <c r="BA46" i="70"/>
  <c r="BA36" i="70"/>
  <c r="BA41" i="70"/>
  <c r="BA47" i="70"/>
  <c r="BA43" i="70"/>
  <c r="BA48" i="70"/>
  <c r="BA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GG705" i="65"/>
  <c r="GG689" i="65"/>
  <c r="GJ702" i="65"/>
  <c r="GJ686" i="65"/>
  <c r="GG680" i="65"/>
  <c r="GJ699" i="65"/>
  <c r="GJ683" i="65"/>
  <c r="GG696" i="65"/>
  <c r="GG704" i="65"/>
  <c r="GG712" i="65"/>
  <c r="DY9" i="65"/>
  <c r="Q11" i="65"/>
  <c r="T11" i="65" s="1"/>
  <c r="DY22" i="65"/>
  <c r="HV390" i="65" s="1"/>
  <c r="HU390" i="65" s="1"/>
  <c r="GH674" i="65"/>
  <c r="GH668" i="65"/>
  <c r="GH652" i="65"/>
  <c r="GH644" i="65"/>
  <c r="GH660" i="65"/>
  <c r="GH675" i="65"/>
  <c r="GH638" i="65"/>
  <c r="GH662" i="65"/>
  <c r="GH645" i="65"/>
  <c r="GH669" i="65"/>
  <c r="GH670" i="65"/>
  <c r="GH646" i="65"/>
  <c r="GH654" i="65"/>
  <c r="GH661" i="65"/>
  <c r="GH653" i="65"/>
  <c r="Q12" i="65"/>
  <c r="T12" i="65" s="1"/>
  <c r="GG634" i="65"/>
  <c r="GG612" i="65"/>
  <c r="GG614" i="65"/>
  <c r="GG635" i="65"/>
  <c r="GG606" i="65"/>
  <c r="GG622" i="65"/>
  <c r="GG630" i="65"/>
  <c r="GG604" i="65"/>
  <c r="GG629" i="65"/>
  <c r="GJ625" i="65"/>
  <c r="GJ617" i="65"/>
  <c r="GJ609" i="65"/>
  <c r="GG628" i="65"/>
  <c r="GG620" i="65"/>
  <c r="GG636" i="65"/>
  <c r="GG621" i="65"/>
  <c r="GG605" i="65"/>
  <c r="GG596" i="65"/>
  <c r="GG613" i="65"/>
  <c r="GJ601" i="65"/>
  <c r="GG597" i="65"/>
  <c r="GG598" i="65"/>
  <c r="R12" i="65"/>
  <c r="U12" i="65" s="1"/>
  <c r="R11" i="65"/>
  <c r="U11" i="65" s="1"/>
  <c r="DY23" i="65"/>
  <c r="HV426" i="65" s="1"/>
  <c r="HU426" i="65" s="1"/>
  <c r="GH698" i="65"/>
  <c r="GH690" i="65"/>
  <c r="GH707" i="65"/>
  <c r="GH691" i="65"/>
  <c r="GH676" i="65"/>
  <c r="GH706" i="65"/>
  <c r="GH683" i="65"/>
  <c r="GH682" i="65"/>
  <c r="GH699" i="65"/>
  <c r="GH700" i="65"/>
  <c r="GH708" i="65"/>
  <c r="GH692" i="65"/>
  <c r="GH684" i="65"/>
  <c r="DY21" i="65"/>
  <c r="HV366" i="65" s="1"/>
  <c r="HU366" i="65" s="1"/>
  <c r="GH619" i="65"/>
  <c r="GH627" i="65"/>
  <c r="GH602" i="65"/>
  <c r="GH618" i="65"/>
  <c r="GH626" i="65"/>
  <c r="GH625" i="65"/>
  <c r="GH633" i="65"/>
  <c r="GH610" i="65"/>
  <c r="GH617" i="65"/>
  <c r="GH609" i="65"/>
  <c r="GH595" i="65"/>
  <c r="GH603" i="65"/>
  <c r="GH601" i="65"/>
  <c r="GH611" i="65"/>
  <c r="DY20" i="65"/>
  <c r="HV354" i="65" s="1"/>
  <c r="HU354" i="65" s="1"/>
  <c r="GH565" i="65"/>
  <c r="GH581" i="65"/>
  <c r="GH587" i="65"/>
  <c r="GH589" i="65"/>
  <c r="GH593" i="65"/>
  <c r="GH573" i="65"/>
  <c r="GH563" i="65"/>
  <c r="GH594" i="65"/>
  <c r="GH564" i="65"/>
  <c r="GH557" i="65"/>
  <c r="GH572" i="65"/>
  <c r="GH580" i="65"/>
  <c r="GH571" i="65"/>
  <c r="GH579" i="65"/>
  <c r="GH588" i="65"/>
  <c r="R8" i="65"/>
  <c r="U8" i="65" s="1"/>
  <c r="DZ19" i="65"/>
  <c r="HV319" i="65" s="1"/>
  <c r="HU319" i="65" s="1"/>
  <c r="GH530" i="65"/>
  <c r="GH528" i="65"/>
  <c r="GH538" i="65"/>
  <c r="GH520" i="65"/>
  <c r="GH536" i="65"/>
  <c r="GH522" i="65"/>
  <c r="GH529" i="65"/>
  <c r="GH554" i="65"/>
  <c r="GK549" i="65"/>
  <c r="GH537" i="65"/>
  <c r="GH546" i="65"/>
  <c r="GH553" i="65"/>
  <c r="GK541" i="65"/>
  <c r="GH544" i="65"/>
  <c r="GH521" i="65"/>
  <c r="GK533" i="65"/>
  <c r="GH552" i="65"/>
  <c r="GK525" i="65"/>
  <c r="GH545" i="65"/>
  <c r="DY12" i="65"/>
  <c r="DY10" i="65"/>
  <c r="DZ8" i="65"/>
  <c r="HV66" i="65"/>
  <c r="HU66" i="65" s="1"/>
  <c r="HV54" i="65"/>
  <c r="HU54" i="65" s="1"/>
  <c r="DY11" i="65"/>
  <c r="GJ618" i="65"/>
  <c r="GJ626" i="65"/>
  <c r="GG623" i="65"/>
  <c r="GG600" i="65"/>
  <c r="GJ610" i="65"/>
  <c r="GG616" i="65"/>
  <c r="GJ629" i="65"/>
  <c r="GG637" i="65"/>
  <c r="GJ613" i="65"/>
  <c r="GG607" i="65"/>
  <c r="GG632" i="65"/>
  <c r="GG615" i="65"/>
  <c r="GJ597" i="65"/>
  <c r="GJ648" i="65"/>
  <c r="GG666" i="65"/>
  <c r="GG642" i="65"/>
  <c r="GG658" i="65"/>
  <c r="GJ664" i="65"/>
  <c r="GJ645" i="65"/>
  <c r="GG651" i="65"/>
  <c r="GG667" i="65"/>
  <c r="GJ661" i="65"/>
  <c r="GG643" i="65"/>
  <c r="Q9" i="65"/>
  <c r="T9" i="65" s="1"/>
  <c r="Q10" i="65"/>
  <c r="T10" i="65" s="1"/>
  <c r="GG709" i="65"/>
  <c r="GG701" i="65"/>
  <c r="GG677" i="65"/>
  <c r="GG693" i="65"/>
  <c r="GG685" i="65"/>
  <c r="GG687" i="65"/>
  <c r="GG702" i="65"/>
  <c r="GG678" i="65"/>
  <c r="GG686" i="65"/>
  <c r="GJ698" i="65"/>
  <c r="GJ690" i="65"/>
  <c r="GG711" i="65"/>
  <c r="GG695" i="65"/>
  <c r="GG679" i="65"/>
  <c r="GG703" i="65"/>
  <c r="GG710" i="65"/>
  <c r="GJ682" i="65"/>
  <c r="GJ706" i="65"/>
  <c r="GG694" i="65"/>
  <c r="EA19" i="65"/>
  <c r="HV332" i="65" s="1"/>
  <c r="HU332" i="65" s="1"/>
  <c r="GK534" i="65"/>
  <c r="GH524" i="65"/>
  <c r="GH540" i="65"/>
  <c r="GH531" i="65"/>
  <c r="GH548" i="65"/>
  <c r="GK529" i="65"/>
  <c r="GH556" i="65"/>
  <c r="GK550" i="65"/>
  <c r="GK545" i="65"/>
  <c r="GH555" i="65"/>
  <c r="GH547" i="65"/>
  <c r="R9" i="65"/>
  <c r="U9" i="65" s="1"/>
  <c r="GG671" i="65"/>
  <c r="GJ652" i="65"/>
  <c r="GJ674" i="65"/>
  <c r="GG640" i="65"/>
  <c r="GG648" i="65"/>
  <c r="GJ668" i="65"/>
  <c r="GG672" i="65"/>
  <c r="GJ660" i="65"/>
  <c r="GG664" i="65"/>
  <c r="GJ644" i="65"/>
  <c r="GG656" i="65"/>
  <c r="GG655" i="65"/>
  <c r="GG657" i="65"/>
  <c r="GG649" i="65"/>
  <c r="GG639" i="65"/>
  <c r="GG641" i="65"/>
  <c r="GG647" i="65"/>
  <c r="GG665" i="65"/>
  <c r="GG663" i="65"/>
  <c r="GJ587" i="65"/>
  <c r="GG591" i="65"/>
  <c r="GJ593" i="65"/>
  <c r="GG583" i="65"/>
  <c r="GG558" i="65"/>
  <c r="GJ563" i="65"/>
  <c r="GG590" i="65"/>
  <c r="GG560" i="65"/>
  <c r="GG568" i="65"/>
  <c r="GG576" i="65"/>
  <c r="GG567" i="65"/>
  <c r="GG584" i="65"/>
  <c r="GG566" i="65"/>
  <c r="GG574" i="65"/>
  <c r="GG575" i="65"/>
  <c r="GJ571" i="65"/>
  <c r="GG582" i="65"/>
  <c r="GG559" i="65"/>
  <c r="GJ579" i="65"/>
  <c r="GJ591" i="65"/>
  <c r="GG561" i="65"/>
  <c r="GG577" i="65"/>
  <c r="GJ564" i="65"/>
  <c r="GG562" i="65"/>
  <c r="GG578" i="65"/>
  <c r="GJ580" i="65"/>
  <c r="GJ559" i="65"/>
  <c r="GG586" i="65"/>
  <c r="GG592" i="65"/>
  <c r="GJ567" i="65"/>
  <c r="R10" i="65"/>
  <c r="U10" i="65" s="1"/>
  <c r="DY19" i="65"/>
  <c r="HV330" i="65" s="1"/>
  <c r="HU330" i="65" s="1"/>
  <c r="GH534" i="65"/>
  <c r="FO540" i="65"/>
  <c r="GE540" i="65" s="1"/>
  <c r="GH551" i="65"/>
  <c r="FO523" i="65"/>
  <c r="GE523" i="65" s="1"/>
  <c r="GH533" i="65"/>
  <c r="GH525" i="65"/>
  <c r="GH519" i="65"/>
  <c r="GH535" i="65"/>
  <c r="GH527" i="65"/>
  <c r="GH550" i="65"/>
  <c r="DI1094" i="54"/>
  <c r="DI106" i="54"/>
  <c r="DJ106" i="54" s="1"/>
  <c r="DI1041" i="54"/>
  <c r="DJ1041" i="54" s="1"/>
  <c r="IR135" i="54"/>
  <c r="IM135" i="54"/>
  <c r="IN135" i="54"/>
  <c r="IL135" i="54"/>
  <c r="EC44" i="54"/>
  <c r="IR131" i="54"/>
  <c r="IE145" i="54"/>
  <c r="II139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F23" i="66"/>
  <c r="DR22" i="66"/>
  <c r="IE144" i="54"/>
  <c r="DL888" i="54"/>
  <c r="DI10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O26" i="66"/>
  <c r="DG263" i="54"/>
  <c r="DI471" i="54"/>
  <c r="DI886" i="54"/>
  <c r="DG888" i="54"/>
  <c r="DG108" i="54"/>
  <c r="DG887" i="54"/>
  <c r="BU45" i="66"/>
  <c r="ET26" i="66"/>
  <c r="BZ45" i="66"/>
  <c r="DG106" i="54"/>
  <c r="DF44" i="66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CA45" i="66"/>
  <c r="DG1043" i="54"/>
  <c r="DL731" i="54"/>
  <c r="HW151" i="54" s="1"/>
  <c r="DL471" i="54"/>
  <c r="DL732" i="54"/>
  <c r="HW154" i="54" s="1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P26" i="66"/>
  <c r="DG729" i="54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V45" i="66"/>
  <c r="EC104" i="54"/>
  <c r="EC424" i="54"/>
  <c r="EC184" i="54"/>
  <c r="DR43" i="66"/>
  <c r="AP441" i="54"/>
  <c r="AS361" i="54"/>
  <c r="AQ361" i="54"/>
  <c r="AS441" i="54"/>
  <c r="AQ441" i="54"/>
  <c r="AP361" i="54"/>
  <c r="AO442" i="54"/>
  <c r="AQ442" i="54" s="1"/>
  <c r="AO362" i="54"/>
  <c r="AQ362" i="54" s="1"/>
  <c r="DS42" i="66"/>
  <c r="DT42" i="66"/>
  <c r="DR64" i="66"/>
  <c r="DS21" i="66"/>
  <c r="DH22" i="66"/>
  <c r="DS41" i="66"/>
  <c r="AY402" i="54"/>
  <c r="AY362" i="54"/>
  <c r="AY442" i="54"/>
  <c r="DQ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Q64" i="66"/>
  <c r="DH65" i="66" s="1"/>
  <c r="BN343" i="54"/>
  <c r="BN423" i="54"/>
  <c r="BR361" i="54"/>
  <c r="BO361" i="54"/>
  <c r="BQ361" i="54"/>
  <c r="BP361" i="54"/>
  <c r="BK360" i="54"/>
  <c r="BL360" i="54"/>
  <c r="BJ360" i="54"/>
  <c r="BM360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EC284" i="54"/>
  <c r="EC344" i="54"/>
  <c r="EB424" i="54"/>
  <c r="EB104" i="54"/>
  <c r="EB344" i="54"/>
  <c r="EB44" i="54"/>
  <c r="EB284" i="54"/>
  <c r="ES26" i="66"/>
  <c r="EB404" i="54"/>
  <c r="DX16" i="66"/>
  <c r="CI21" i="66"/>
  <c r="CS21" i="66" s="1"/>
  <c r="AW23" i="67"/>
  <c r="AV23" i="67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CA25" i="66"/>
  <c r="CK13" i="66" s="1"/>
  <c r="EW13" i="66"/>
  <c r="EY19" i="66"/>
  <c r="EY21" i="66"/>
  <c r="EW19" i="66"/>
  <c r="EX21" i="66"/>
  <c r="EY22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V25" i="66"/>
  <c r="DG991" i="54"/>
  <c r="DG990" i="54"/>
  <c r="CI13" i="66"/>
  <c r="CS13" i="66" s="1"/>
  <c r="DX15" i="66"/>
  <c r="DG23" i="66"/>
  <c r="DS22" i="66"/>
  <c r="DH44" i="66"/>
  <c r="AY503" i="54" s="1"/>
  <c r="DT43" i="66"/>
  <c r="DM938" i="54"/>
  <c r="DM940" i="54"/>
  <c r="DM784" i="54"/>
  <c r="DG940" i="54"/>
  <c r="DG939" i="54"/>
  <c r="DM991" i="54"/>
  <c r="DG992" i="54"/>
  <c r="DM939" i="54"/>
  <c r="DG1148" i="54"/>
  <c r="DG938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DI782" i="54"/>
  <c r="HV149" i="54" s="1"/>
  <c r="DI1146" i="54"/>
  <c r="DI989" i="54"/>
  <c r="DJ989" i="54" s="1"/>
  <c r="DI1148" i="54"/>
  <c r="DI679" i="54"/>
  <c r="DI783" i="54"/>
  <c r="HV151" i="54" s="1"/>
  <c r="DI939" i="54"/>
  <c r="DI781" i="54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Z25" i="66"/>
  <c r="BU25" i="66"/>
  <c r="DJ83" i="66"/>
  <c r="DJ61" i="66"/>
  <c r="DJ62" i="66"/>
  <c r="DJ82" i="66"/>
  <c r="DJ81" i="66"/>
  <c r="DJ63" i="66"/>
  <c r="BU64" i="66"/>
  <c r="CU13" i="66" l="1"/>
  <c r="CQ13" i="66"/>
  <c r="DM1510" i="54"/>
  <c r="DM1512" i="54"/>
  <c r="DM1511" i="54"/>
  <c r="HV414" i="65"/>
  <c r="HU414" i="65" s="1"/>
  <c r="FU243" i="65"/>
  <c r="FU247" i="65"/>
  <c r="FU251" i="65"/>
  <c r="FU255" i="65"/>
  <c r="FU259" i="65"/>
  <c r="FU263" i="65"/>
  <c r="FU267" i="65"/>
  <c r="FU271" i="65"/>
  <c r="FU275" i="65"/>
  <c r="FU244" i="65"/>
  <c r="FU248" i="65"/>
  <c r="FU252" i="65"/>
  <c r="FU256" i="65"/>
  <c r="FU260" i="65"/>
  <c r="FU264" i="65"/>
  <c r="FU268" i="65"/>
  <c r="FU272" i="65"/>
  <c r="FU276" i="65"/>
  <c r="FU241" i="65"/>
  <c r="FU245" i="65"/>
  <c r="FU249" i="65"/>
  <c r="FU253" i="65"/>
  <c r="FU257" i="65"/>
  <c r="FU261" i="65"/>
  <c r="FU265" i="65"/>
  <c r="FU269" i="65"/>
  <c r="FU273" i="65"/>
  <c r="FU277" i="65"/>
  <c r="FU242" i="65"/>
  <c r="FU246" i="65"/>
  <c r="FU250" i="65"/>
  <c r="FU254" i="65"/>
  <c r="FU258" i="65"/>
  <c r="FU262" i="65"/>
  <c r="FU266" i="65"/>
  <c r="FU270" i="65"/>
  <c r="FU274" i="65"/>
  <c r="FU278" i="65"/>
  <c r="FT205" i="65"/>
  <c r="FT209" i="65"/>
  <c r="FT213" i="65"/>
  <c r="FT217" i="65"/>
  <c r="FT221" i="65"/>
  <c r="FT225" i="65"/>
  <c r="FT229" i="65"/>
  <c r="FT233" i="65"/>
  <c r="FT237" i="65"/>
  <c r="FT206" i="65"/>
  <c r="FT210" i="65"/>
  <c r="FT214" i="65"/>
  <c r="FT218" i="65"/>
  <c r="FT222" i="65"/>
  <c r="FT226" i="65"/>
  <c r="FT230" i="65"/>
  <c r="FT234" i="65"/>
  <c r="FT238" i="65"/>
  <c r="FT203" i="65"/>
  <c r="FT207" i="65"/>
  <c r="FT211" i="65"/>
  <c r="FT215" i="65"/>
  <c r="FT219" i="65"/>
  <c r="FT223" i="65"/>
  <c r="FT227" i="65"/>
  <c r="FT231" i="65"/>
  <c r="FT235" i="65"/>
  <c r="FT239" i="65"/>
  <c r="FT204" i="65"/>
  <c r="FT208" i="65"/>
  <c r="FT212" i="65"/>
  <c r="FT216" i="65"/>
  <c r="FT220" i="65"/>
  <c r="FT224" i="65"/>
  <c r="FT228" i="65"/>
  <c r="FT232" i="65"/>
  <c r="FT236" i="65"/>
  <c r="FT240" i="65"/>
  <c r="Q25" i="65"/>
  <c r="T25" i="65" s="1"/>
  <c r="DZ25" i="65" s="1"/>
  <c r="FQ758" i="65"/>
  <c r="FQ762" i="65"/>
  <c r="FQ766" i="65"/>
  <c r="FQ770" i="65"/>
  <c r="FQ774" i="65"/>
  <c r="FQ778" i="65"/>
  <c r="FQ782" i="65"/>
  <c r="FQ786" i="65"/>
  <c r="FQ790" i="65"/>
  <c r="FQ794" i="65"/>
  <c r="FQ759" i="65"/>
  <c r="FQ763" i="65"/>
  <c r="GJ763" i="65" s="1"/>
  <c r="FQ767" i="65"/>
  <c r="FQ771" i="65"/>
  <c r="FQ775" i="65"/>
  <c r="FQ779" i="65"/>
  <c r="GJ779" i="65" s="1"/>
  <c r="FQ783" i="65"/>
  <c r="FQ787" i="65"/>
  <c r="FQ791" i="65"/>
  <c r="FQ760" i="65"/>
  <c r="GG760" i="65" s="1"/>
  <c r="FQ764" i="65"/>
  <c r="FQ768" i="65"/>
  <c r="FQ772" i="65"/>
  <c r="FQ776" i="65"/>
  <c r="GG776" i="65" s="1"/>
  <c r="FQ780" i="65"/>
  <c r="FQ784" i="65"/>
  <c r="FQ788" i="65"/>
  <c r="FQ792" i="65"/>
  <c r="GG792" i="65" s="1"/>
  <c r="FQ757" i="65"/>
  <c r="FQ761" i="65"/>
  <c r="FQ765" i="65"/>
  <c r="FQ769" i="65"/>
  <c r="FQ773" i="65"/>
  <c r="FQ777" i="65"/>
  <c r="FQ781" i="65"/>
  <c r="FQ785" i="65"/>
  <c r="FQ789" i="65"/>
  <c r="FQ793" i="65"/>
  <c r="FQ322" i="65"/>
  <c r="FQ326" i="65"/>
  <c r="FQ330" i="65"/>
  <c r="FQ334" i="65"/>
  <c r="FQ338" i="65"/>
  <c r="FQ342" i="65"/>
  <c r="FQ346" i="65"/>
  <c r="FQ350" i="65"/>
  <c r="FQ354" i="65"/>
  <c r="FQ358" i="65"/>
  <c r="FQ325" i="65"/>
  <c r="FQ329" i="65"/>
  <c r="FQ333" i="65"/>
  <c r="FQ337" i="65"/>
  <c r="FQ341" i="65"/>
  <c r="FQ345" i="65"/>
  <c r="FQ349" i="65"/>
  <c r="FQ353" i="65"/>
  <c r="FQ357" i="65"/>
  <c r="FQ324" i="65"/>
  <c r="FQ332" i="65"/>
  <c r="FQ340" i="65"/>
  <c r="FQ348" i="65"/>
  <c r="FQ356" i="65"/>
  <c r="FQ327" i="65"/>
  <c r="FQ335" i="65"/>
  <c r="FQ343" i="65"/>
  <c r="FQ351" i="65"/>
  <c r="FQ359" i="65"/>
  <c r="FQ328" i="65"/>
  <c r="FQ336" i="65"/>
  <c r="FQ344" i="65"/>
  <c r="FQ352" i="65"/>
  <c r="FQ323" i="65"/>
  <c r="FQ331" i="65"/>
  <c r="FQ339" i="65"/>
  <c r="FQ347" i="65"/>
  <c r="FQ355" i="65"/>
  <c r="FU360" i="65"/>
  <c r="FU364" i="65"/>
  <c r="FU368" i="65"/>
  <c r="FU372" i="65"/>
  <c r="FU376" i="65"/>
  <c r="FU380" i="65"/>
  <c r="FU384" i="65"/>
  <c r="FU388" i="65"/>
  <c r="FU392" i="65"/>
  <c r="FU396" i="65"/>
  <c r="FU361" i="65"/>
  <c r="FU365" i="65"/>
  <c r="FU369" i="65"/>
  <c r="FU373" i="65"/>
  <c r="FU377" i="65"/>
  <c r="FU381" i="65"/>
  <c r="FU385" i="65"/>
  <c r="FU389" i="65"/>
  <c r="FU393" i="65"/>
  <c r="FU397" i="65"/>
  <c r="FU362" i="65"/>
  <c r="FU366" i="65"/>
  <c r="FU370" i="65"/>
  <c r="FU374" i="65"/>
  <c r="FU378" i="65"/>
  <c r="FU382" i="65"/>
  <c r="FU386" i="65"/>
  <c r="FU390" i="65"/>
  <c r="FU394" i="65"/>
  <c r="FU363" i="65"/>
  <c r="FU367" i="65"/>
  <c r="FU371" i="65"/>
  <c r="FU375" i="65"/>
  <c r="FU379" i="65"/>
  <c r="FU383" i="65"/>
  <c r="FU387" i="65"/>
  <c r="FU391" i="65"/>
  <c r="FU395" i="65"/>
  <c r="FT641" i="65"/>
  <c r="FT645" i="65"/>
  <c r="FT649" i="65"/>
  <c r="FT653" i="65"/>
  <c r="FT657" i="65"/>
  <c r="FT661" i="65"/>
  <c r="FT665" i="65"/>
  <c r="FT669" i="65"/>
  <c r="FT673" i="65"/>
  <c r="FT638" i="65"/>
  <c r="FT642" i="65"/>
  <c r="FT646" i="65"/>
  <c r="FT650" i="65"/>
  <c r="FT654" i="65"/>
  <c r="FT658" i="65"/>
  <c r="FT662" i="65"/>
  <c r="FT666" i="65"/>
  <c r="FT670" i="65"/>
  <c r="FT674" i="65"/>
  <c r="FT639" i="65"/>
  <c r="FT643" i="65"/>
  <c r="FT647" i="65"/>
  <c r="FT651" i="65"/>
  <c r="FT655" i="65"/>
  <c r="FT659" i="65"/>
  <c r="FT663" i="65"/>
  <c r="GH663" i="65" s="1"/>
  <c r="FT667" i="65"/>
  <c r="FT671" i="65"/>
  <c r="FT675" i="65"/>
  <c r="FT640" i="65"/>
  <c r="FT644" i="65"/>
  <c r="FT648" i="65"/>
  <c r="FT652" i="65"/>
  <c r="FT656" i="65"/>
  <c r="GH656" i="65" s="1"/>
  <c r="FT660" i="65"/>
  <c r="FT664" i="65"/>
  <c r="FT668" i="65"/>
  <c r="FT672" i="65"/>
  <c r="FT597" i="65"/>
  <c r="FT601" i="65"/>
  <c r="FT605" i="65"/>
  <c r="FT609" i="65"/>
  <c r="FT613" i="65"/>
  <c r="FT617" i="65"/>
  <c r="FT621" i="65"/>
  <c r="FT625" i="65"/>
  <c r="FT629" i="65"/>
  <c r="FT633" i="65"/>
  <c r="FT637" i="65"/>
  <c r="FT598" i="65"/>
  <c r="FT602" i="65"/>
  <c r="FT606" i="65"/>
  <c r="FT610" i="65"/>
  <c r="FT614" i="65"/>
  <c r="GH614" i="65" s="1"/>
  <c r="FT618" i="65"/>
  <c r="FT622" i="65"/>
  <c r="FT626" i="65"/>
  <c r="FT630" i="65"/>
  <c r="FT634" i="65"/>
  <c r="FT595" i="65"/>
  <c r="FT599" i="65"/>
  <c r="FT603" i="65"/>
  <c r="FT607" i="65"/>
  <c r="FT611" i="65"/>
  <c r="FT615" i="65"/>
  <c r="FT619" i="65"/>
  <c r="FT623" i="65"/>
  <c r="FT627" i="65"/>
  <c r="FT631" i="65"/>
  <c r="FT635" i="65"/>
  <c r="GH635" i="65" s="1"/>
  <c r="FT596" i="65"/>
  <c r="FT600" i="65"/>
  <c r="FT604" i="65"/>
  <c r="FT608" i="65"/>
  <c r="FT612" i="65"/>
  <c r="FT616" i="65"/>
  <c r="FT620" i="65"/>
  <c r="FT624" i="65"/>
  <c r="FT628" i="65"/>
  <c r="FT632" i="65"/>
  <c r="FT636" i="65"/>
  <c r="FU123" i="65"/>
  <c r="FU127" i="65"/>
  <c r="FU131" i="65"/>
  <c r="FU135" i="65"/>
  <c r="FU139" i="65"/>
  <c r="FU143" i="65"/>
  <c r="FU147" i="65"/>
  <c r="FU151" i="65"/>
  <c r="FU155" i="65"/>
  <c r="FU159" i="65"/>
  <c r="FU124" i="65"/>
  <c r="FU128" i="65"/>
  <c r="FU132" i="65"/>
  <c r="FU136" i="65"/>
  <c r="FU140" i="65"/>
  <c r="FU144" i="65"/>
  <c r="FU148" i="65"/>
  <c r="FU152" i="65"/>
  <c r="FU156" i="65"/>
  <c r="FU125" i="65"/>
  <c r="FU129" i="65"/>
  <c r="FU133" i="65"/>
  <c r="FU137" i="65"/>
  <c r="FU141" i="65"/>
  <c r="FU145" i="65"/>
  <c r="FU149" i="65"/>
  <c r="FU153" i="65"/>
  <c r="FU157" i="65"/>
  <c r="FU122" i="65"/>
  <c r="FU126" i="65"/>
  <c r="FU130" i="65"/>
  <c r="FU134" i="65"/>
  <c r="FU138" i="65"/>
  <c r="FU142" i="65"/>
  <c r="FU146" i="65"/>
  <c r="FU150" i="65"/>
  <c r="FU154" i="65"/>
  <c r="FU158" i="65"/>
  <c r="FT161" i="65"/>
  <c r="FT165" i="65"/>
  <c r="FT169" i="65"/>
  <c r="FT173" i="65"/>
  <c r="FT177" i="65"/>
  <c r="FT181" i="65"/>
  <c r="FT185" i="65"/>
  <c r="FT189" i="65"/>
  <c r="FT193" i="65"/>
  <c r="FT197" i="65"/>
  <c r="FT201" i="65"/>
  <c r="FT162" i="65"/>
  <c r="FT166" i="65"/>
  <c r="FT170" i="65"/>
  <c r="FT174" i="65"/>
  <c r="FT178" i="65"/>
  <c r="FT182" i="65"/>
  <c r="FT186" i="65"/>
  <c r="FT190" i="65"/>
  <c r="FT194" i="65"/>
  <c r="FT198" i="65"/>
  <c r="FT202" i="65"/>
  <c r="FT163" i="65"/>
  <c r="FT167" i="65"/>
  <c r="FT171" i="65"/>
  <c r="FT175" i="65"/>
  <c r="FT179" i="65"/>
  <c r="FT183" i="65"/>
  <c r="FT187" i="65"/>
  <c r="FT191" i="65"/>
  <c r="FT195" i="65"/>
  <c r="FT199" i="65"/>
  <c r="FT160" i="65"/>
  <c r="FT164" i="65"/>
  <c r="FT168" i="65"/>
  <c r="FT172" i="65"/>
  <c r="FT176" i="65"/>
  <c r="FT180" i="65"/>
  <c r="FT184" i="65"/>
  <c r="FT188" i="65"/>
  <c r="FT192" i="65"/>
  <c r="FT196" i="65"/>
  <c r="FT200" i="65"/>
  <c r="FU87" i="65"/>
  <c r="FU91" i="65"/>
  <c r="FU95" i="65"/>
  <c r="FU99" i="65"/>
  <c r="FU103" i="65"/>
  <c r="FU107" i="65"/>
  <c r="FU111" i="65"/>
  <c r="FU115" i="65"/>
  <c r="FU119" i="65"/>
  <c r="FU84" i="65"/>
  <c r="FU88" i="65"/>
  <c r="FU92" i="65"/>
  <c r="FU96" i="65"/>
  <c r="FU100" i="65"/>
  <c r="FU104" i="65"/>
  <c r="FU108" i="65"/>
  <c r="FU112" i="65"/>
  <c r="FU116" i="65"/>
  <c r="FU120" i="65"/>
  <c r="FU85" i="65"/>
  <c r="FU89" i="65"/>
  <c r="FU93" i="65"/>
  <c r="FU97" i="65"/>
  <c r="FU101" i="65"/>
  <c r="FU105" i="65"/>
  <c r="FU109" i="65"/>
  <c r="FU113" i="65"/>
  <c r="FU117" i="65"/>
  <c r="FU121" i="65"/>
  <c r="FU86" i="65"/>
  <c r="FU90" i="65"/>
  <c r="FU94" i="65"/>
  <c r="FU98" i="65"/>
  <c r="FU102" i="65"/>
  <c r="FU106" i="65"/>
  <c r="FU110" i="65"/>
  <c r="FU114" i="65"/>
  <c r="FU118" i="65"/>
  <c r="FU323" i="65"/>
  <c r="FU327" i="65"/>
  <c r="FU331" i="65"/>
  <c r="FU335" i="65"/>
  <c r="FU339" i="65"/>
  <c r="FU343" i="65"/>
  <c r="FU325" i="65"/>
  <c r="FU329" i="65"/>
  <c r="FU333" i="65"/>
  <c r="FU337" i="65"/>
  <c r="FU341" i="65"/>
  <c r="FU345" i="65"/>
  <c r="FU322" i="65"/>
  <c r="FU326" i="65"/>
  <c r="FU330" i="65"/>
  <c r="FU334" i="65"/>
  <c r="FU338" i="65"/>
  <c r="FU342" i="65"/>
  <c r="FU346" i="65"/>
  <c r="FU336" i="65"/>
  <c r="FU348" i="65"/>
  <c r="FU352" i="65"/>
  <c r="FU356" i="65"/>
  <c r="FU324" i="65"/>
  <c r="FU340" i="65"/>
  <c r="FU349" i="65"/>
  <c r="FU353" i="65"/>
  <c r="FU357" i="65"/>
  <c r="FU328" i="65"/>
  <c r="FU344" i="65"/>
  <c r="FU350" i="65"/>
  <c r="FU354" i="65"/>
  <c r="FU358" i="65"/>
  <c r="FU332" i="65"/>
  <c r="FU347" i="65"/>
  <c r="FU351" i="65"/>
  <c r="FU355" i="65"/>
  <c r="FU359" i="65"/>
  <c r="FU715" i="65"/>
  <c r="FU719" i="65"/>
  <c r="GH719" i="65" s="1"/>
  <c r="FU723" i="65"/>
  <c r="FU727" i="65"/>
  <c r="GH727" i="65" s="1"/>
  <c r="FU731" i="65"/>
  <c r="FU735" i="65"/>
  <c r="GH735" i="65" s="1"/>
  <c r="FU739" i="65"/>
  <c r="FU743" i="65"/>
  <c r="GH743" i="65" s="1"/>
  <c r="FU747" i="65"/>
  <c r="FU751" i="65"/>
  <c r="GK751" i="65" s="1"/>
  <c r="FU755" i="65"/>
  <c r="FU716" i="65"/>
  <c r="GK716" i="65" s="1"/>
  <c r="FU717" i="65"/>
  <c r="FU721" i="65"/>
  <c r="GK721" i="65" s="1"/>
  <c r="FU725" i="65"/>
  <c r="FU729" i="65"/>
  <c r="GK729" i="65" s="1"/>
  <c r="FU733" i="65"/>
  <c r="FU737" i="65"/>
  <c r="GK737" i="65" s="1"/>
  <c r="FU741" i="65"/>
  <c r="FU745" i="65"/>
  <c r="GK745" i="65" s="1"/>
  <c r="FU749" i="65"/>
  <c r="GH749" i="65" s="1"/>
  <c r="FU753" i="65"/>
  <c r="FU714" i="65"/>
  <c r="FU718" i="65"/>
  <c r="GH718" i="65" s="1"/>
  <c r="FU722" i="65"/>
  <c r="FU726" i="65"/>
  <c r="GH726" i="65" s="1"/>
  <c r="FU730" i="65"/>
  <c r="FU734" i="65"/>
  <c r="GH734" i="65" s="1"/>
  <c r="FU738" i="65"/>
  <c r="FU742" i="65"/>
  <c r="GH742" i="65" s="1"/>
  <c r="FU746" i="65"/>
  <c r="FU750" i="65"/>
  <c r="FO750" i="65" s="1"/>
  <c r="GE750" i="65" s="1"/>
  <c r="FU754" i="65"/>
  <c r="GK754" i="65" s="1"/>
  <c r="FU720" i="65"/>
  <c r="FU736" i="65"/>
  <c r="FU752" i="65"/>
  <c r="FU724" i="65"/>
  <c r="GK724" i="65" s="1"/>
  <c r="FU740" i="65"/>
  <c r="GK740" i="65" s="1"/>
  <c r="FU756" i="65"/>
  <c r="GK756" i="65" s="1"/>
  <c r="FU728" i="65"/>
  <c r="FO728" i="65" s="1"/>
  <c r="GE728" i="65" s="1"/>
  <c r="FU744" i="65"/>
  <c r="FU732" i="65"/>
  <c r="GK732" i="65" s="1"/>
  <c r="FU748" i="65"/>
  <c r="GK748" i="65" s="1"/>
  <c r="FU400" i="65"/>
  <c r="FU404" i="65"/>
  <c r="FU408" i="65"/>
  <c r="FU412" i="65"/>
  <c r="FU416" i="65"/>
  <c r="FU420" i="65"/>
  <c r="FU424" i="65"/>
  <c r="FU428" i="65"/>
  <c r="FU432" i="65"/>
  <c r="FU436" i="65"/>
  <c r="FU440" i="65"/>
  <c r="FU401" i="65"/>
  <c r="FU405" i="65"/>
  <c r="FU409" i="65"/>
  <c r="FU413" i="65"/>
  <c r="FU417" i="65"/>
  <c r="FU421" i="65"/>
  <c r="FU425" i="65"/>
  <c r="FU429" i="65"/>
  <c r="FU433" i="65"/>
  <c r="FU437" i="65"/>
  <c r="FU398" i="65"/>
  <c r="FU402" i="65"/>
  <c r="FU406" i="65"/>
  <c r="FU410" i="65"/>
  <c r="FU414" i="65"/>
  <c r="FU418" i="65"/>
  <c r="FU422" i="65"/>
  <c r="FU426" i="65"/>
  <c r="FU430" i="65"/>
  <c r="FU434" i="65"/>
  <c r="FU438" i="65"/>
  <c r="FU399" i="65"/>
  <c r="FU403" i="65"/>
  <c r="FU407" i="65"/>
  <c r="FU411" i="65"/>
  <c r="FU415" i="65"/>
  <c r="FU419" i="65"/>
  <c r="FU423" i="65"/>
  <c r="FU427" i="65"/>
  <c r="FU431" i="65"/>
  <c r="FU435" i="65"/>
  <c r="FU439" i="65"/>
  <c r="FT281" i="65"/>
  <c r="FT285" i="65"/>
  <c r="FT289" i="65"/>
  <c r="FT293" i="65"/>
  <c r="FT297" i="65"/>
  <c r="FT301" i="65"/>
  <c r="FT305" i="65"/>
  <c r="FT309" i="65"/>
  <c r="FT313" i="65"/>
  <c r="FT317" i="65"/>
  <c r="FT321" i="65"/>
  <c r="FT282" i="65"/>
  <c r="FT286" i="65"/>
  <c r="FT290" i="65"/>
  <c r="FT294" i="65"/>
  <c r="FT298" i="65"/>
  <c r="FT302" i="65"/>
  <c r="FT306" i="65"/>
  <c r="FT310" i="65"/>
  <c r="FT314" i="65"/>
  <c r="FT318" i="65"/>
  <c r="FT279" i="65"/>
  <c r="FT283" i="65"/>
  <c r="FT287" i="65"/>
  <c r="FT291" i="65"/>
  <c r="FT295" i="65"/>
  <c r="FT299" i="65"/>
  <c r="FT303" i="65"/>
  <c r="FT307" i="65"/>
  <c r="FT311" i="65"/>
  <c r="FT315" i="65"/>
  <c r="FT319" i="65"/>
  <c r="FT280" i="65"/>
  <c r="FT284" i="65"/>
  <c r="FT288" i="65"/>
  <c r="FT292" i="65"/>
  <c r="FT296" i="65"/>
  <c r="FT300" i="65"/>
  <c r="FT304" i="65"/>
  <c r="FT308" i="65"/>
  <c r="FT312" i="65"/>
  <c r="FT316" i="65"/>
  <c r="FT320" i="65"/>
  <c r="FU679" i="65"/>
  <c r="FU683" i="65"/>
  <c r="FU687" i="65"/>
  <c r="FU691" i="65"/>
  <c r="FU695" i="65"/>
  <c r="FU699" i="65"/>
  <c r="FU703" i="65"/>
  <c r="FU707" i="65"/>
  <c r="FU711" i="65"/>
  <c r="FU676" i="65"/>
  <c r="FU680" i="65"/>
  <c r="GH680" i="65" s="1"/>
  <c r="FU684" i="65"/>
  <c r="FU688" i="65"/>
  <c r="FU692" i="65"/>
  <c r="FU696" i="65"/>
  <c r="GH696" i="65" s="1"/>
  <c r="FU700" i="65"/>
  <c r="FU704" i="65"/>
  <c r="FU708" i="65"/>
  <c r="FU712" i="65"/>
  <c r="FU677" i="65"/>
  <c r="FU681" i="65"/>
  <c r="FU685" i="65"/>
  <c r="FU689" i="65"/>
  <c r="GH689" i="65" s="1"/>
  <c r="FU693" i="65"/>
  <c r="FU697" i="65"/>
  <c r="FU701" i="65"/>
  <c r="FU705" i="65"/>
  <c r="GH705" i="65" s="1"/>
  <c r="FU709" i="65"/>
  <c r="FU713" i="65"/>
  <c r="FU678" i="65"/>
  <c r="FU682" i="65"/>
  <c r="FU686" i="65"/>
  <c r="FU690" i="65"/>
  <c r="FU694" i="65"/>
  <c r="FU698" i="65"/>
  <c r="FU702" i="65"/>
  <c r="FU706" i="65"/>
  <c r="FU710" i="65"/>
  <c r="FT557" i="65"/>
  <c r="FT561" i="65"/>
  <c r="FT565" i="65"/>
  <c r="FT569" i="65"/>
  <c r="FT573" i="65"/>
  <c r="FT577" i="65"/>
  <c r="FT581" i="65"/>
  <c r="FT585" i="65"/>
  <c r="FT589" i="65"/>
  <c r="FT593" i="65"/>
  <c r="FT558" i="65"/>
  <c r="FT562" i="65"/>
  <c r="FT566" i="65"/>
  <c r="GH566" i="65" s="1"/>
  <c r="FT570" i="65"/>
  <c r="FT574" i="65"/>
  <c r="FT578" i="65"/>
  <c r="FT582" i="65"/>
  <c r="GH582" i="65" s="1"/>
  <c r="FT586" i="65"/>
  <c r="FT590" i="65"/>
  <c r="FT594" i="65"/>
  <c r="FT559" i="65"/>
  <c r="FT563" i="65"/>
  <c r="FT567" i="65"/>
  <c r="FT571" i="65"/>
  <c r="FT575" i="65"/>
  <c r="GH575" i="65" s="1"/>
  <c r="FT579" i="65"/>
  <c r="FT583" i="65"/>
  <c r="FT587" i="65"/>
  <c r="FT591" i="65"/>
  <c r="FT560" i="65"/>
  <c r="FT564" i="65"/>
  <c r="FT568" i="65"/>
  <c r="FT572" i="65"/>
  <c r="FT576" i="65"/>
  <c r="FT580" i="65"/>
  <c r="FT584" i="65"/>
  <c r="FT588" i="65"/>
  <c r="FT592" i="65"/>
  <c r="FT125" i="65"/>
  <c r="FT129" i="65"/>
  <c r="FT133" i="65"/>
  <c r="FT137" i="65"/>
  <c r="FT141" i="65"/>
  <c r="FT145" i="65"/>
  <c r="FT149" i="65"/>
  <c r="FT153" i="65"/>
  <c r="FT157" i="65"/>
  <c r="FT122" i="65"/>
  <c r="FT126" i="65"/>
  <c r="FT130" i="65"/>
  <c r="FT134" i="65"/>
  <c r="FT138" i="65"/>
  <c r="FT142" i="65"/>
  <c r="FT146" i="65"/>
  <c r="FT150" i="65"/>
  <c r="FT154" i="65"/>
  <c r="FT158" i="65"/>
  <c r="FT123" i="65"/>
  <c r="FT127" i="65"/>
  <c r="FT131" i="65"/>
  <c r="FT135" i="65"/>
  <c r="FT139" i="65"/>
  <c r="FT143" i="65"/>
  <c r="FT147" i="65"/>
  <c r="FT151" i="65"/>
  <c r="FT155" i="65"/>
  <c r="FT159" i="65"/>
  <c r="FT124" i="65"/>
  <c r="FT128" i="65"/>
  <c r="FT132" i="65"/>
  <c r="FT136" i="65"/>
  <c r="FT140" i="65"/>
  <c r="FT144" i="65"/>
  <c r="FT148" i="65"/>
  <c r="FT152" i="65"/>
  <c r="FT156" i="65"/>
  <c r="FU759" i="65"/>
  <c r="GK759" i="65" s="1"/>
  <c r="FU763" i="65"/>
  <c r="FU767" i="65"/>
  <c r="GK767" i="65" s="1"/>
  <c r="FU771" i="65"/>
  <c r="FU775" i="65"/>
  <c r="GK775" i="65" s="1"/>
  <c r="FU779" i="65"/>
  <c r="FU783" i="65"/>
  <c r="GK783" i="65" s="1"/>
  <c r="FU757" i="65"/>
  <c r="FU761" i="65"/>
  <c r="GH761" i="65" s="1"/>
  <c r="FU765" i="65"/>
  <c r="FU769" i="65"/>
  <c r="GH769" i="65" s="1"/>
  <c r="FU773" i="65"/>
  <c r="FU777" i="65"/>
  <c r="GH777" i="65" s="1"/>
  <c r="FU781" i="65"/>
  <c r="FU785" i="65"/>
  <c r="GH785" i="65" s="1"/>
  <c r="FU789" i="65"/>
  <c r="FU793" i="65"/>
  <c r="GH793" i="65" s="1"/>
  <c r="FU758" i="65"/>
  <c r="FU762" i="65"/>
  <c r="GH762" i="65" s="1"/>
  <c r="FU766" i="65"/>
  <c r="FU770" i="65"/>
  <c r="GH770" i="65" s="1"/>
  <c r="FU774" i="65"/>
  <c r="FU778" i="65"/>
  <c r="GH778" i="65" s="1"/>
  <c r="FU782" i="65"/>
  <c r="FU786" i="65"/>
  <c r="GH786" i="65" s="1"/>
  <c r="FU790" i="65"/>
  <c r="FU794" i="65"/>
  <c r="GH794" i="65" s="1"/>
  <c r="FU768" i="65"/>
  <c r="FU784" i="65"/>
  <c r="FU792" i="65"/>
  <c r="FU772" i="65"/>
  <c r="GK772" i="65" s="1"/>
  <c r="FU787" i="65"/>
  <c r="FU760" i="65"/>
  <c r="FU776" i="65"/>
  <c r="FU788" i="65"/>
  <c r="GK788" i="65" s="1"/>
  <c r="FU764" i="65"/>
  <c r="GK764" i="65" s="1"/>
  <c r="FU780" i="65"/>
  <c r="GK780" i="65" s="1"/>
  <c r="FU791" i="65"/>
  <c r="GK791" i="65" s="1"/>
  <c r="FT717" i="65"/>
  <c r="GH717" i="65" s="1"/>
  <c r="FT721" i="65"/>
  <c r="FT725" i="65"/>
  <c r="GH725" i="65" s="1"/>
  <c r="FT729" i="65"/>
  <c r="FT733" i="65"/>
  <c r="GH733" i="65" s="1"/>
  <c r="FT737" i="65"/>
  <c r="FT741" i="65"/>
  <c r="GH741" i="65" s="1"/>
  <c r="FT745" i="65"/>
  <c r="FT749" i="65"/>
  <c r="FT753" i="65"/>
  <c r="GH753" i="65" s="1"/>
  <c r="FT714" i="65"/>
  <c r="FT718" i="65"/>
  <c r="FT722" i="65"/>
  <c r="FT726" i="65"/>
  <c r="FT730" i="65"/>
  <c r="FT734" i="65"/>
  <c r="FT738" i="65"/>
  <c r="FT742" i="65"/>
  <c r="FT746" i="65"/>
  <c r="FT750" i="65"/>
  <c r="GK750" i="65" s="1"/>
  <c r="FT754" i="65"/>
  <c r="GH754" i="65" s="1"/>
  <c r="FT715" i="65"/>
  <c r="GH715" i="65" s="1"/>
  <c r="FT719" i="65"/>
  <c r="FO719" i="65" s="1"/>
  <c r="GE719" i="65" s="1"/>
  <c r="FT723" i="65"/>
  <c r="GH723" i="65" s="1"/>
  <c r="FT727" i="65"/>
  <c r="FT731" i="65"/>
  <c r="GH731" i="65" s="1"/>
  <c r="FT735" i="65"/>
  <c r="FO735" i="65" s="1"/>
  <c r="GE735" i="65" s="1"/>
  <c r="FT739" i="65"/>
  <c r="GH739" i="65" s="1"/>
  <c r="FT743" i="65"/>
  <c r="FT747" i="65"/>
  <c r="GH747" i="65" s="1"/>
  <c r="FT751" i="65"/>
  <c r="FO751" i="65" s="1"/>
  <c r="GE751" i="65" s="1"/>
  <c r="FT755" i="65"/>
  <c r="GK755" i="65" s="1"/>
  <c r="FT716" i="65"/>
  <c r="GH716" i="65" s="1"/>
  <c r="FT720" i="65"/>
  <c r="GK720" i="65" s="1"/>
  <c r="FT724" i="65"/>
  <c r="GH724" i="65" s="1"/>
  <c r="FT728" i="65"/>
  <c r="GK728" i="65" s="1"/>
  <c r="FT732" i="65"/>
  <c r="GH732" i="65" s="1"/>
  <c r="FT736" i="65"/>
  <c r="GK736" i="65" s="1"/>
  <c r="FT740" i="65"/>
  <c r="GH740" i="65" s="1"/>
  <c r="FT744" i="65"/>
  <c r="GK744" i="65" s="1"/>
  <c r="FT748" i="65"/>
  <c r="GH748" i="65" s="1"/>
  <c r="FT752" i="65"/>
  <c r="FT756" i="65"/>
  <c r="FU560" i="65"/>
  <c r="FU564" i="65"/>
  <c r="FU568" i="65"/>
  <c r="FU572" i="65"/>
  <c r="GK572" i="65" s="1"/>
  <c r="FU558" i="65"/>
  <c r="FU562" i="65"/>
  <c r="FU566" i="65"/>
  <c r="FU570" i="65"/>
  <c r="FU574" i="65"/>
  <c r="FU578" i="65"/>
  <c r="FU582" i="65"/>
  <c r="FU586" i="65"/>
  <c r="FU590" i="65"/>
  <c r="FU594" i="65"/>
  <c r="FU559" i="65"/>
  <c r="FU563" i="65"/>
  <c r="FU567" i="65"/>
  <c r="FU571" i="65"/>
  <c r="FU575" i="65"/>
  <c r="FU579" i="65"/>
  <c r="FU583" i="65"/>
  <c r="FU587" i="65"/>
  <c r="FU591" i="65"/>
  <c r="FU565" i="65"/>
  <c r="FO565" i="65" s="1"/>
  <c r="GE565" i="65" s="1"/>
  <c r="FU577" i="65"/>
  <c r="FU585" i="65"/>
  <c r="FU593" i="65"/>
  <c r="FU569" i="65"/>
  <c r="GH569" i="65" s="1"/>
  <c r="FU580" i="65"/>
  <c r="FU588" i="65"/>
  <c r="FU557" i="65"/>
  <c r="FU573" i="65"/>
  <c r="FU581" i="65"/>
  <c r="FU589" i="65"/>
  <c r="FU561" i="65"/>
  <c r="FU576" i="65"/>
  <c r="FU584" i="65"/>
  <c r="FU592" i="65"/>
  <c r="FT677" i="65"/>
  <c r="FT681" i="65"/>
  <c r="FT685" i="65"/>
  <c r="FT689" i="65"/>
  <c r="FT693" i="65"/>
  <c r="FT697" i="65"/>
  <c r="FT701" i="65"/>
  <c r="FT705" i="65"/>
  <c r="FT709" i="65"/>
  <c r="FT713" i="65"/>
  <c r="FT678" i="65"/>
  <c r="FT682" i="65"/>
  <c r="FT686" i="65"/>
  <c r="FT690" i="65"/>
  <c r="FT694" i="65"/>
  <c r="FT698" i="65"/>
  <c r="FT702" i="65"/>
  <c r="FT706" i="65"/>
  <c r="GK706" i="65" s="1"/>
  <c r="FT710" i="65"/>
  <c r="FT679" i="65"/>
  <c r="FT683" i="65"/>
  <c r="FT687" i="65"/>
  <c r="FT691" i="65"/>
  <c r="FT695" i="65"/>
  <c r="FT699" i="65"/>
  <c r="FT703" i="65"/>
  <c r="GH703" i="65" s="1"/>
  <c r="FT707" i="65"/>
  <c r="FT711" i="65"/>
  <c r="FT676" i="65"/>
  <c r="FT680" i="65"/>
  <c r="FT684" i="65"/>
  <c r="FT688" i="65"/>
  <c r="FT692" i="65"/>
  <c r="FT696" i="65"/>
  <c r="FT700" i="65"/>
  <c r="FT704" i="65"/>
  <c r="FT708" i="65"/>
  <c r="FT712" i="65"/>
  <c r="FU638" i="65"/>
  <c r="FU642" i="65"/>
  <c r="FU646" i="65"/>
  <c r="FU650" i="65"/>
  <c r="FO650" i="65" s="1"/>
  <c r="GE650" i="65" s="1"/>
  <c r="FU654" i="65"/>
  <c r="FU658" i="65"/>
  <c r="FU662" i="65"/>
  <c r="FU666" i="65"/>
  <c r="FU670" i="65"/>
  <c r="FU674" i="65"/>
  <c r="FU639" i="65"/>
  <c r="FU643" i="65"/>
  <c r="GH643" i="65" s="1"/>
  <c r="FU647" i="65"/>
  <c r="FU651" i="65"/>
  <c r="FU655" i="65"/>
  <c r="FU659" i="65"/>
  <c r="FO659" i="65" s="1"/>
  <c r="GE659" i="65" s="1"/>
  <c r="FU663" i="65"/>
  <c r="FU667" i="65"/>
  <c r="FU671" i="65"/>
  <c r="FU675" i="65"/>
  <c r="FU641" i="65"/>
  <c r="FU649" i="65"/>
  <c r="FU657" i="65"/>
  <c r="FU665" i="65"/>
  <c r="FU673" i="65"/>
  <c r="FU644" i="65"/>
  <c r="FU652" i="65"/>
  <c r="FU660" i="65"/>
  <c r="FU668" i="65"/>
  <c r="FU645" i="65"/>
  <c r="FU653" i="65"/>
  <c r="FU661" i="65"/>
  <c r="GK661" i="65" s="1"/>
  <c r="FU669" i="65"/>
  <c r="FU640" i="65"/>
  <c r="FU648" i="65"/>
  <c r="FU656" i="65"/>
  <c r="GK656" i="65" s="1"/>
  <c r="FU664" i="65"/>
  <c r="FU672" i="65"/>
  <c r="FU598" i="65"/>
  <c r="FU602" i="65"/>
  <c r="GK602" i="65" s="1"/>
  <c r="FU606" i="65"/>
  <c r="FU610" i="65"/>
  <c r="FU614" i="65"/>
  <c r="FU618" i="65"/>
  <c r="GK618" i="65" s="1"/>
  <c r="FU622" i="65"/>
  <c r="FU626" i="65"/>
  <c r="FU630" i="65"/>
  <c r="FU634" i="65"/>
  <c r="FU595" i="65"/>
  <c r="FU599" i="65"/>
  <c r="FU603" i="65"/>
  <c r="FU607" i="65"/>
  <c r="FU611" i="65"/>
  <c r="FU615" i="65"/>
  <c r="FU619" i="65"/>
  <c r="FU623" i="65"/>
  <c r="GH623" i="65" s="1"/>
  <c r="FU627" i="65"/>
  <c r="FU631" i="65"/>
  <c r="FU635" i="65"/>
  <c r="FU601" i="65"/>
  <c r="FU609" i="65"/>
  <c r="FU617" i="65"/>
  <c r="FU625" i="65"/>
  <c r="FU633" i="65"/>
  <c r="FU596" i="65"/>
  <c r="FU604" i="65"/>
  <c r="FU612" i="65"/>
  <c r="FU620" i="65"/>
  <c r="FU628" i="65"/>
  <c r="FU636" i="65"/>
  <c r="FU597" i="65"/>
  <c r="FU605" i="65"/>
  <c r="GK605" i="65" s="1"/>
  <c r="FU613" i="65"/>
  <c r="FU621" i="65"/>
  <c r="FU629" i="65"/>
  <c r="FU637" i="65"/>
  <c r="GH637" i="65" s="1"/>
  <c r="FU600" i="65"/>
  <c r="FU608" i="65"/>
  <c r="FU616" i="65"/>
  <c r="FU624" i="65"/>
  <c r="GH624" i="65" s="1"/>
  <c r="FU632" i="65"/>
  <c r="FU163" i="65"/>
  <c r="FU167" i="65"/>
  <c r="FU171" i="65"/>
  <c r="FU175" i="65"/>
  <c r="FU179" i="65"/>
  <c r="FU183" i="65"/>
  <c r="FU187" i="65"/>
  <c r="FU191" i="65"/>
  <c r="FU195" i="65"/>
  <c r="FU199" i="65"/>
  <c r="FU160" i="65"/>
  <c r="FU164" i="65"/>
  <c r="FU168" i="65"/>
  <c r="FU172" i="65"/>
  <c r="FU176" i="65"/>
  <c r="FU180" i="65"/>
  <c r="FU184" i="65"/>
  <c r="FU188" i="65"/>
  <c r="FU192" i="65"/>
  <c r="FU196" i="65"/>
  <c r="FU200" i="65"/>
  <c r="FU161" i="65"/>
  <c r="FU165" i="65"/>
  <c r="FU169" i="65"/>
  <c r="FU173" i="65"/>
  <c r="FU177" i="65"/>
  <c r="FU181" i="65"/>
  <c r="FU185" i="65"/>
  <c r="FU189" i="65"/>
  <c r="FU193" i="65"/>
  <c r="FU197" i="65"/>
  <c r="FU201" i="65"/>
  <c r="FU162" i="65"/>
  <c r="FU166" i="65"/>
  <c r="FU170" i="65"/>
  <c r="FU174" i="65"/>
  <c r="FU178" i="65"/>
  <c r="FU182" i="65"/>
  <c r="FU186" i="65"/>
  <c r="FU190" i="65"/>
  <c r="FU194" i="65"/>
  <c r="FU198" i="65"/>
  <c r="FU202" i="65"/>
  <c r="FU203" i="65"/>
  <c r="FU207" i="65"/>
  <c r="FU211" i="65"/>
  <c r="FU215" i="65"/>
  <c r="FU219" i="65"/>
  <c r="FU223" i="65"/>
  <c r="FU227" i="65"/>
  <c r="FU231" i="65"/>
  <c r="FU235" i="65"/>
  <c r="FU239" i="65"/>
  <c r="FU204" i="65"/>
  <c r="FU208" i="65"/>
  <c r="FU212" i="65"/>
  <c r="FU216" i="65"/>
  <c r="FU220" i="65"/>
  <c r="FU224" i="65"/>
  <c r="FU228" i="65"/>
  <c r="FU232" i="65"/>
  <c r="FU236" i="65"/>
  <c r="FU240" i="65"/>
  <c r="FU205" i="65"/>
  <c r="FU209" i="65"/>
  <c r="FU213" i="65"/>
  <c r="FU217" i="65"/>
  <c r="FU221" i="65"/>
  <c r="FU225" i="65"/>
  <c r="FU229" i="65"/>
  <c r="FU233" i="65"/>
  <c r="FU237" i="65"/>
  <c r="FU206" i="65"/>
  <c r="FU210" i="65"/>
  <c r="FU214" i="65"/>
  <c r="FU218" i="65"/>
  <c r="FU222" i="65"/>
  <c r="FU226" i="65"/>
  <c r="FU230" i="65"/>
  <c r="FU234" i="65"/>
  <c r="FU238" i="65"/>
  <c r="FT241" i="65"/>
  <c r="FT245" i="65"/>
  <c r="FT249" i="65"/>
  <c r="FT253" i="65"/>
  <c r="FT257" i="65"/>
  <c r="FT261" i="65"/>
  <c r="FT265" i="65"/>
  <c r="FT269" i="65"/>
  <c r="FT273" i="65"/>
  <c r="FT277" i="65"/>
  <c r="FT242" i="65"/>
  <c r="FT246" i="65"/>
  <c r="FT250" i="65"/>
  <c r="FT254" i="65"/>
  <c r="FT258" i="65"/>
  <c r="FT262" i="65"/>
  <c r="FT266" i="65"/>
  <c r="FT270" i="65"/>
  <c r="FT274" i="65"/>
  <c r="FT278" i="65"/>
  <c r="FT243" i="65"/>
  <c r="FT247" i="65"/>
  <c r="FT251" i="65"/>
  <c r="FT255" i="65"/>
  <c r="FT259" i="65"/>
  <c r="FT263" i="65"/>
  <c r="FT267" i="65"/>
  <c r="FT271" i="65"/>
  <c r="FT275" i="65"/>
  <c r="FT244" i="65"/>
  <c r="FT248" i="65"/>
  <c r="FT252" i="65"/>
  <c r="FT256" i="65"/>
  <c r="FT260" i="65"/>
  <c r="FT264" i="65"/>
  <c r="FT268" i="65"/>
  <c r="FT272" i="65"/>
  <c r="FT276" i="65"/>
  <c r="FU797" i="65"/>
  <c r="GK797" i="65" s="1"/>
  <c r="FU801" i="65"/>
  <c r="FU805" i="65"/>
  <c r="GK805" i="65" s="1"/>
  <c r="FU809" i="65"/>
  <c r="FU813" i="65"/>
  <c r="GK813" i="65" s="1"/>
  <c r="FU817" i="65"/>
  <c r="FU821" i="65"/>
  <c r="GK821" i="65" s="1"/>
  <c r="FU825" i="65"/>
  <c r="FU829" i="65"/>
  <c r="GK829" i="65" s="1"/>
  <c r="FU798" i="65"/>
  <c r="FU802" i="65"/>
  <c r="GK802" i="65" s="1"/>
  <c r="FU806" i="65"/>
  <c r="FU810" i="65"/>
  <c r="GK810" i="65" s="1"/>
  <c r="FU814" i="65"/>
  <c r="FU818" i="65"/>
  <c r="GK818" i="65" s="1"/>
  <c r="FU822" i="65"/>
  <c r="FU826" i="65"/>
  <c r="GK826" i="65" s="1"/>
  <c r="FU830" i="65"/>
  <c r="GH830" i="65" s="1"/>
  <c r="FU800" i="65"/>
  <c r="GH800" i="65" s="1"/>
  <c r="FU808" i="65"/>
  <c r="GH808" i="65" s="1"/>
  <c r="FU816" i="65"/>
  <c r="GH816" i="65" s="1"/>
  <c r="FU824" i="65"/>
  <c r="GH824" i="65" s="1"/>
  <c r="FU832" i="65"/>
  <c r="GK832" i="65" s="1"/>
  <c r="FU795" i="65"/>
  <c r="FU803" i="65"/>
  <c r="FU811" i="65"/>
  <c r="FU819" i="65"/>
  <c r="FU827" i="65"/>
  <c r="FU796" i="65"/>
  <c r="FU804" i="65"/>
  <c r="FU812" i="65"/>
  <c r="FU820" i="65"/>
  <c r="FU828" i="65"/>
  <c r="FU799" i="65"/>
  <c r="GH799" i="65" s="1"/>
  <c r="FU807" i="65"/>
  <c r="GH807" i="65" s="1"/>
  <c r="FU815" i="65"/>
  <c r="GH815" i="65" s="1"/>
  <c r="FU823" i="65"/>
  <c r="GH823" i="65" s="1"/>
  <c r="FU831" i="65"/>
  <c r="FU279" i="65"/>
  <c r="FU283" i="65"/>
  <c r="FU287" i="65"/>
  <c r="FU291" i="65"/>
  <c r="FU295" i="65"/>
  <c r="FU299" i="65"/>
  <c r="FU303" i="65"/>
  <c r="FU307" i="65"/>
  <c r="FU311" i="65"/>
  <c r="FU315" i="65"/>
  <c r="FU319" i="65"/>
  <c r="FU280" i="65"/>
  <c r="FU284" i="65"/>
  <c r="FU288" i="65"/>
  <c r="FU292" i="65"/>
  <c r="FU296" i="65"/>
  <c r="FU300" i="65"/>
  <c r="FU281" i="65"/>
  <c r="FU285" i="65"/>
  <c r="FU289" i="65"/>
  <c r="FU293" i="65"/>
  <c r="FU297" i="65"/>
  <c r="FU301" i="65"/>
  <c r="FU305" i="65"/>
  <c r="FU309" i="65"/>
  <c r="FU313" i="65"/>
  <c r="FU317" i="65"/>
  <c r="FU321" i="65"/>
  <c r="FU282" i="65"/>
  <c r="FU286" i="65"/>
  <c r="FU290" i="65"/>
  <c r="FU294" i="65"/>
  <c r="FU298" i="65"/>
  <c r="FU302" i="65"/>
  <c r="FU306" i="65"/>
  <c r="FU310" i="65"/>
  <c r="FU314" i="65"/>
  <c r="FU318" i="65"/>
  <c r="FU304" i="65"/>
  <c r="FU320" i="65"/>
  <c r="FU308" i="65"/>
  <c r="FU312" i="65"/>
  <c r="FU316" i="65"/>
  <c r="FU833" i="65"/>
  <c r="FU837" i="65"/>
  <c r="GH837" i="65" s="1"/>
  <c r="FU841" i="65"/>
  <c r="FU845" i="65"/>
  <c r="GH845" i="65" s="1"/>
  <c r="FU849" i="65"/>
  <c r="FU853" i="65"/>
  <c r="GH853" i="65" s="1"/>
  <c r="FU857" i="65"/>
  <c r="FU861" i="65"/>
  <c r="GH861" i="65" s="1"/>
  <c r="FU865" i="65"/>
  <c r="FU869" i="65"/>
  <c r="GH869" i="65" s="1"/>
  <c r="FU873" i="65"/>
  <c r="GK873" i="65" s="1"/>
  <c r="FU834" i="65"/>
  <c r="FU838" i="65"/>
  <c r="GH838" i="65" s="1"/>
  <c r="FU842" i="65"/>
  <c r="FU846" i="65"/>
  <c r="GH846" i="65" s="1"/>
  <c r="FU850" i="65"/>
  <c r="FU854" i="65"/>
  <c r="GH854" i="65" s="1"/>
  <c r="FU858" i="65"/>
  <c r="FU862" i="65"/>
  <c r="GH862" i="65" s="1"/>
  <c r="FU866" i="65"/>
  <c r="FU870" i="65"/>
  <c r="GH870" i="65" s="1"/>
  <c r="FU874" i="65"/>
  <c r="FU840" i="65"/>
  <c r="GK840" i="65" s="1"/>
  <c r="FU848" i="65"/>
  <c r="GK848" i="65" s="1"/>
  <c r="FU856" i="65"/>
  <c r="GK856" i="65" s="1"/>
  <c r="FU864" i="65"/>
  <c r="GK864" i="65" s="1"/>
  <c r="FU872" i="65"/>
  <c r="FU835" i="65"/>
  <c r="GK835" i="65" s="1"/>
  <c r="FU843" i="65"/>
  <c r="GK843" i="65" s="1"/>
  <c r="FU851" i="65"/>
  <c r="GK851" i="65" s="1"/>
  <c r="FU859" i="65"/>
  <c r="GK859" i="65" s="1"/>
  <c r="FU867" i="65"/>
  <c r="GK867" i="65" s="1"/>
  <c r="FU875" i="65"/>
  <c r="GH875" i="65" s="1"/>
  <c r="FU836" i="65"/>
  <c r="FU844" i="65"/>
  <c r="FU852" i="65"/>
  <c r="FU860" i="65"/>
  <c r="FU868" i="65"/>
  <c r="FU839" i="65"/>
  <c r="FU847" i="65"/>
  <c r="FU855" i="65"/>
  <c r="FU863" i="65"/>
  <c r="FU871" i="65"/>
  <c r="AT402" i="54"/>
  <c r="AW402" i="54" s="1"/>
  <c r="AO424" i="54"/>
  <c r="AO344" i="54"/>
  <c r="AQ344" i="54" s="1"/>
  <c r="DR65" i="66"/>
  <c r="AO464" i="54"/>
  <c r="AQ464" i="54" s="1"/>
  <c r="AW688" i="70"/>
  <c r="DM62" i="66"/>
  <c r="BI521" i="54" s="1"/>
  <c r="EY25" i="66"/>
  <c r="AW381" i="54"/>
  <c r="AR402" i="54"/>
  <c r="BC423" i="54"/>
  <c r="AO544" i="54"/>
  <c r="AP544" i="54" s="1"/>
  <c r="EX25" i="66"/>
  <c r="AR381" i="54"/>
  <c r="DM63" i="66"/>
  <c r="BI522" i="54" s="1"/>
  <c r="DM82" i="66"/>
  <c r="DP82" i="66" s="1"/>
  <c r="DM83" i="66"/>
  <c r="DP83" i="66" s="1"/>
  <c r="DM81" i="66"/>
  <c r="DP81" i="66" s="1"/>
  <c r="DG82" i="66" s="1"/>
  <c r="AT541" i="54" s="1"/>
  <c r="BB343" i="54"/>
  <c r="DG44" i="66"/>
  <c r="AT503" i="54" s="1"/>
  <c r="AX503" i="54" s="1"/>
  <c r="AX381" i="54"/>
  <c r="AT442" i="54"/>
  <c r="AW442" i="54" s="1"/>
  <c r="AU381" i="54"/>
  <c r="AT362" i="54"/>
  <c r="AV362" i="54" s="1"/>
  <c r="DS43" i="66"/>
  <c r="AZ423" i="54"/>
  <c r="BA423" i="54"/>
  <c r="AW130" i="70"/>
  <c r="AW126" i="70"/>
  <c r="AW235" i="70"/>
  <c r="AW240" i="70"/>
  <c r="AW112" i="70"/>
  <c r="AW238" i="70"/>
  <c r="IG145" i="54"/>
  <c r="DT84" i="66"/>
  <c r="AP402" i="54"/>
  <c r="HV342" i="65"/>
  <c r="HU342" i="65" s="1"/>
  <c r="AW111" i="70"/>
  <c r="AW131" i="70"/>
  <c r="AW286" i="70"/>
  <c r="AW248" i="70"/>
  <c r="AS402" i="54"/>
  <c r="AP381" i="54"/>
  <c r="HV378" i="65"/>
  <c r="HU378" i="65" s="1"/>
  <c r="AW124" i="70"/>
  <c r="AW136" i="70"/>
  <c r="AW284" i="70"/>
  <c r="AW257" i="70"/>
  <c r="AW25" i="70"/>
  <c r="AW102" i="70"/>
  <c r="AW163" i="70"/>
  <c r="AW177" i="70"/>
  <c r="AW239" i="70"/>
  <c r="AW76" i="70"/>
  <c r="AW683" i="70"/>
  <c r="AW684" i="70"/>
  <c r="AW561" i="70"/>
  <c r="AW412" i="70"/>
  <c r="AW411" i="70"/>
  <c r="AW783" i="70"/>
  <c r="AW775" i="70"/>
  <c r="AW65" i="70"/>
  <c r="AW290" i="70"/>
  <c r="AS381" i="54"/>
  <c r="AW128" i="70"/>
  <c r="AW273" i="70"/>
  <c r="AW274" i="70"/>
  <c r="AW276" i="70"/>
  <c r="AW35" i="70"/>
  <c r="AW247" i="70"/>
  <c r="AW199" i="70"/>
  <c r="AW205" i="70"/>
  <c r="AW210" i="70"/>
  <c r="AW258" i="70"/>
  <c r="AW100" i="70"/>
  <c r="AW172" i="70"/>
  <c r="AW692" i="70"/>
  <c r="AW559" i="70"/>
  <c r="AW57" i="70"/>
  <c r="AW632" i="70"/>
  <c r="DM1303" i="54"/>
  <c r="DJ1562" i="54"/>
  <c r="AW69" i="70"/>
  <c r="AW254" i="70"/>
  <c r="AW260" i="70"/>
  <c r="AW107" i="70"/>
  <c r="AW397" i="70"/>
  <c r="AW402" i="70"/>
  <c r="AW396" i="70"/>
  <c r="AW778" i="70"/>
  <c r="AW61" i="70"/>
  <c r="AW299" i="70"/>
  <c r="DM1302" i="54"/>
  <c r="DM1564" i="54"/>
  <c r="AW118" i="70"/>
  <c r="AW140" i="70"/>
  <c r="AW138" i="70"/>
  <c r="AW141" i="70"/>
  <c r="AW135" i="70"/>
  <c r="AW275" i="70"/>
  <c r="AW271" i="70"/>
  <c r="AW245" i="70"/>
  <c r="AW67" i="70"/>
  <c r="DM1562" i="54"/>
  <c r="FO738" i="65"/>
  <c r="GE738" i="65" s="1"/>
  <c r="DJ1563" i="54"/>
  <c r="DM1563" i="54"/>
  <c r="DJ1564" i="54"/>
  <c r="AW263" i="70"/>
  <c r="AW98" i="70"/>
  <c r="AW566" i="70"/>
  <c r="AW413" i="70"/>
  <c r="AW400" i="70"/>
  <c r="AW215" i="70"/>
  <c r="AW204" i="70"/>
  <c r="AW781" i="70"/>
  <c r="AW782" i="70"/>
  <c r="AW766" i="70"/>
  <c r="AW58" i="70"/>
  <c r="AW51" i="70"/>
  <c r="AW623" i="70"/>
  <c r="AW629" i="70"/>
  <c r="AW626" i="70"/>
  <c r="AW630" i="70"/>
  <c r="AW296" i="70"/>
  <c r="AW282" i="70"/>
  <c r="AW34" i="70"/>
  <c r="AW101" i="70"/>
  <c r="AW109" i="70"/>
  <c r="AW170" i="70"/>
  <c r="AW70" i="70"/>
  <c r="AW687" i="70"/>
  <c r="AW565" i="70"/>
  <c r="AW563" i="70"/>
  <c r="AW785" i="70"/>
  <c r="AW301" i="70"/>
  <c r="AW293" i="70"/>
  <c r="AW169" i="70"/>
  <c r="AW174" i="70"/>
  <c r="AW681" i="70"/>
  <c r="AW564" i="70"/>
  <c r="AW410" i="70"/>
  <c r="AW398" i="70"/>
  <c r="AW207" i="70"/>
  <c r="AW780" i="70"/>
  <c r="AW779" i="70"/>
  <c r="AW59" i="70"/>
  <c r="AW52" i="70"/>
  <c r="AW638" i="70"/>
  <c r="AW622" i="70"/>
  <c r="AW618" i="70"/>
  <c r="AW125" i="70"/>
  <c r="AW114" i="70"/>
  <c r="AW123" i="70"/>
  <c r="AW283" i="70"/>
  <c r="AW265" i="70"/>
  <c r="AW262" i="70"/>
  <c r="AW23" i="70"/>
  <c r="AW96" i="70"/>
  <c r="AW244" i="70"/>
  <c r="AW78" i="70"/>
  <c r="AW695" i="70"/>
  <c r="AW693" i="70"/>
  <c r="AW572" i="70"/>
  <c r="AW571" i="70"/>
  <c r="AW404" i="70"/>
  <c r="AW408" i="70"/>
  <c r="AW405" i="70"/>
  <c r="AW201" i="70"/>
  <c r="AW769" i="70"/>
  <c r="AW55" i="70"/>
  <c r="AW636" i="70"/>
  <c r="AW637" i="70"/>
  <c r="AZ503" i="54"/>
  <c r="BB503" i="54"/>
  <c r="BA503" i="54"/>
  <c r="BC503" i="54"/>
  <c r="DT85" i="66"/>
  <c r="AY544" i="54"/>
  <c r="AY524" i="54"/>
  <c r="AY464" i="54"/>
  <c r="AV502" i="54"/>
  <c r="AX502" i="54"/>
  <c r="AW502" i="54"/>
  <c r="AU502" i="54"/>
  <c r="BC523" i="54"/>
  <c r="BA523" i="54"/>
  <c r="BB523" i="54"/>
  <c r="AZ523" i="54"/>
  <c r="BO464" i="54"/>
  <c r="BR464" i="54"/>
  <c r="BP464" i="54"/>
  <c r="BQ464" i="54"/>
  <c r="BO543" i="54"/>
  <c r="BQ543" i="54"/>
  <c r="BR543" i="54"/>
  <c r="BP543" i="54"/>
  <c r="BR544" i="54"/>
  <c r="BQ544" i="54"/>
  <c r="BO544" i="54"/>
  <c r="BP544" i="54"/>
  <c r="BI520" i="54"/>
  <c r="BI460" i="54"/>
  <c r="BO524" i="54"/>
  <c r="BR524" i="54"/>
  <c r="BQ524" i="54"/>
  <c r="BP524" i="54"/>
  <c r="BP463" i="54"/>
  <c r="BO463" i="54"/>
  <c r="BR463" i="54"/>
  <c r="BQ463" i="54"/>
  <c r="AV501" i="54"/>
  <c r="AX501" i="54"/>
  <c r="AU501" i="54"/>
  <c r="AW501" i="54"/>
  <c r="BB463" i="54"/>
  <c r="BA463" i="54"/>
  <c r="AZ463" i="54"/>
  <c r="BC463" i="54"/>
  <c r="BP523" i="54"/>
  <c r="BR523" i="54"/>
  <c r="BO523" i="54"/>
  <c r="BQ523" i="54"/>
  <c r="AQ524" i="54"/>
  <c r="AS524" i="54"/>
  <c r="AR524" i="54"/>
  <c r="AP524" i="54"/>
  <c r="AW42" i="70"/>
  <c r="AW547" i="70"/>
  <c r="AW459" i="70"/>
  <c r="AW455" i="70"/>
  <c r="AW456" i="70"/>
  <c r="AW145" i="70"/>
  <c r="AW602" i="70"/>
  <c r="AW604" i="70"/>
  <c r="AW653" i="70"/>
  <c r="AW596" i="70"/>
  <c r="AW587" i="70"/>
  <c r="AW45" i="70"/>
  <c r="AW541" i="70"/>
  <c r="AW537" i="70"/>
  <c r="AW451" i="70"/>
  <c r="AW460" i="70"/>
  <c r="AW760" i="70"/>
  <c r="AW313" i="70"/>
  <c r="AW314" i="70"/>
  <c r="AW155" i="70"/>
  <c r="AW482" i="70"/>
  <c r="AW611" i="70"/>
  <c r="AW610" i="70"/>
  <c r="AW386" i="70"/>
  <c r="AW381" i="70"/>
  <c r="AW369" i="70"/>
  <c r="AW374" i="70"/>
  <c r="AW650" i="70"/>
  <c r="AW644" i="70"/>
  <c r="AW640" i="70"/>
  <c r="AW646" i="70"/>
  <c r="AW584" i="70"/>
  <c r="AW591" i="70"/>
  <c r="AW344" i="70"/>
  <c r="AW347" i="70"/>
  <c r="AW352" i="70"/>
  <c r="AW465" i="70"/>
  <c r="AW464" i="70"/>
  <c r="AW320" i="70"/>
  <c r="FO722" i="65"/>
  <c r="GE722" i="65" s="1"/>
  <c r="AY381" i="54"/>
  <c r="AZ381" i="54" s="1"/>
  <c r="AY481" i="54"/>
  <c r="DR23" i="66"/>
  <c r="AO482" i="54"/>
  <c r="AW113" i="70"/>
  <c r="AW50" i="70"/>
  <c r="AW48" i="70"/>
  <c r="AW139" i="70"/>
  <c r="AW462" i="70"/>
  <c r="AW277" i="70"/>
  <c r="AW253" i="70"/>
  <c r="AW266" i="70"/>
  <c r="AW24" i="70"/>
  <c r="AW105" i="70"/>
  <c r="AW97" i="70"/>
  <c r="AW164" i="70"/>
  <c r="AW751" i="70"/>
  <c r="AW323" i="70"/>
  <c r="AW73" i="70"/>
  <c r="AW72" i="70"/>
  <c r="AW562" i="70"/>
  <c r="AW557" i="70"/>
  <c r="AW560" i="70"/>
  <c r="AW407" i="70"/>
  <c r="AW605" i="70"/>
  <c r="AW598" i="70"/>
  <c r="AW765" i="70"/>
  <c r="AW771" i="70"/>
  <c r="AW394" i="70"/>
  <c r="AW54" i="70"/>
  <c r="AW633" i="70"/>
  <c r="AW295" i="70"/>
  <c r="AW652" i="70"/>
  <c r="AW639" i="70"/>
  <c r="AW589" i="70"/>
  <c r="AT382" i="54"/>
  <c r="AU382" i="54" s="1"/>
  <c r="AT482" i="54"/>
  <c r="AO363" i="54"/>
  <c r="AR363" i="54" s="1"/>
  <c r="AO503" i="54"/>
  <c r="HV331" i="65"/>
  <c r="HU331" i="65" s="1"/>
  <c r="AW143" i="70"/>
  <c r="AW540" i="70"/>
  <c r="AW551" i="70"/>
  <c r="AW454" i="70"/>
  <c r="AW280" i="70"/>
  <c r="AW281" i="70"/>
  <c r="AW278" i="70"/>
  <c r="AW252" i="70"/>
  <c r="AW256" i="70"/>
  <c r="AW259" i="70"/>
  <c r="AW26" i="70"/>
  <c r="AW22" i="70"/>
  <c r="AW110" i="70"/>
  <c r="AW106" i="70"/>
  <c r="AW108" i="70"/>
  <c r="AW176" i="70"/>
  <c r="AW175" i="70"/>
  <c r="AW165" i="70"/>
  <c r="AW761" i="70"/>
  <c r="AW764" i="70"/>
  <c r="AW753" i="70"/>
  <c r="AW251" i="70"/>
  <c r="AW316" i="70"/>
  <c r="AW307" i="70"/>
  <c r="AW322" i="70"/>
  <c r="AW144" i="70"/>
  <c r="AW68" i="70"/>
  <c r="AW77" i="70"/>
  <c r="AW682" i="70"/>
  <c r="AW573" i="70"/>
  <c r="AW556" i="70"/>
  <c r="AW567" i="70"/>
  <c r="AW558" i="70"/>
  <c r="AW406" i="70"/>
  <c r="AW203" i="70"/>
  <c r="AW198" i="70"/>
  <c r="AW607" i="70"/>
  <c r="AW616" i="70"/>
  <c r="AW613" i="70"/>
  <c r="AW770" i="70"/>
  <c r="AW395" i="70"/>
  <c r="AW62" i="70"/>
  <c r="AW60" i="70"/>
  <c r="AW627" i="70"/>
  <c r="AW620" i="70"/>
  <c r="AW635" i="70"/>
  <c r="AW302" i="70"/>
  <c r="AW372" i="70"/>
  <c r="AW651" i="70"/>
  <c r="AW647" i="70"/>
  <c r="AW585" i="70"/>
  <c r="AW580" i="70"/>
  <c r="AW592" i="70"/>
  <c r="AW582" i="70"/>
  <c r="AW577" i="70"/>
  <c r="AW351" i="70"/>
  <c r="AW181" i="70"/>
  <c r="AW195" i="70"/>
  <c r="FO753" i="65"/>
  <c r="GE753" i="65" s="1"/>
  <c r="FO720" i="65"/>
  <c r="GE720" i="65" s="1"/>
  <c r="AS481" i="54"/>
  <c r="AP481" i="54"/>
  <c r="AQ481" i="54"/>
  <c r="AR481" i="54"/>
  <c r="AW116" i="70"/>
  <c r="AW117" i="70"/>
  <c r="AW115" i="70"/>
  <c r="AW129" i="70"/>
  <c r="AW272" i="70"/>
  <c r="AW267" i="70"/>
  <c r="AW33" i="70"/>
  <c r="AW99" i="70"/>
  <c r="AW104" i="70"/>
  <c r="AW103" i="70"/>
  <c r="AW162" i="70"/>
  <c r="AW173" i="70"/>
  <c r="AW168" i="70"/>
  <c r="AW246" i="70"/>
  <c r="AW236" i="70"/>
  <c r="AW250" i="70"/>
  <c r="AW234" i="70"/>
  <c r="AW71" i="70"/>
  <c r="AW74" i="70"/>
  <c r="AW399" i="70"/>
  <c r="AW214" i="70"/>
  <c r="AW212" i="70"/>
  <c r="AW206" i="70"/>
  <c r="AW767" i="70"/>
  <c r="AW776" i="70"/>
  <c r="AW53" i="70"/>
  <c r="AW624" i="70"/>
  <c r="AW305" i="70"/>
  <c r="FO726" i="65"/>
  <c r="GE726" i="65" s="1"/>
  <c r="FO755" i="65"/>
  <c r="GE755" i="65" s="1"/>
  <c r="FO723" i="65"/>
  <c r="GE723" i="65" s="1"/>
  <c r="AR502" i="54"/>
  <c r="AP502" i="54"/>
  <c r="AS502" i="54"/>
  <c r="AQ502" i="54"/>
  <c r="AW481" i="54"/>
  <c r="AX481" i="54"/>
  <c r="AU481" i="54"/>
  <c r="AV481" i="54"/>
  <c r="HV402" i="65"/>
  <c r="HU402" i="65" s="1"/>
  <c r="FO736" i="65"/>
  <c r="GE736" i="65" s="1"/>
  <c r="FO737" i="65"/>
  <c r="GE737" i="65" s="1"/>
  <c r="FO732" i="65"/>
  <c r="GE732" i="65" s="1"/>
  <c r="FO717" i="65"/>
  <c r="GE717" i="65" s="1"/>
  <c r="FO741" i="65"/>
  <c r="GE741" i="65" s="1"/>
  <c r="DJ1199" i="54"/>
  <c r="IK143" i="54"/>
  <c r="IR143" i="54" s="1"/>
  <c r="HQ154" i="54"/>
  <c r="IE154" i="54" s="1"/>
  <c r="HQ149" i="54"/>
  <c r="IE149" i="54" s="1"/>
  <c r="HQ150" i="54"/>
  <c r="IE150" i="54" s="1"/>
  <c r="DM1251" i="54"/>
  <c r="HQ147" i="54"/>
  <c r="IE147" i="54" s="1"/>
  <c r="HQ146" i="54"/>
  <c r="IE146" i="54" s="1"/>
  <c r="HQ148" i="54"/>
  <c r="IE148" i="54" s="1"/>
  <c r="DJ781" i="54"/>
  <c r="HV146" i="54"/>
  <c r="II146" i="54" s="1"/>
  <c r="HV154" i="54"/>
  <c r="II154" i="54" s="1"/>
  <c r="HQ151" i="54"/>
  <c r="IE151" i="54" s="1"/>
  <c r="HQ153" i="54"/>
  <c r="IE153" i="54" s="1"/>
  <c r="HQ152" i="54"/>
  <c r="IE152" i="54" s="1"/>
  <c r="DJ1042" i="54"/>
  <c r="IK140" i="54"/>
  <c r="IT140" i="54" s="1"/>
  <c r="DJ1198" i="54"/>
  <c r="FO731" i="65"/>
  <c r="GE731" i="65" s="1"/>
  <c r="FO748" i="65"/>
  <c r="GE748" i="65" s="1"/>
  <c r="FO742" i="65"/>
  <c r="GE742" i="65" s="1"/>
  <c r="DM1199" i="54"/>
  <c r="DM1200" i="54"/>
  <c r="DJ1304" i="54"/>
  <c r="DM1198" i="54"/>
  <c r="DJ1251" i="54"/>
  <c r="DM1252" i="54"/>
  <c r="DM1250" i="54"/>
  <c r="FO555" i="65"/>
  <c r="GE555" i="65" s="1"/>
  <c r="FO733" i="65"/>
  <c r="GE733" i="65" s="1"/>
  <c r="AW37" i="70"/>
  <c r="AW43" i="70"/>
  <c r="AW47" i="70"/>
  <c r="AW546" i="70"/>
  <c r="AW552" i="70"/>
  <c r="AW544" i="70"/>
  <c r="AW535" i="70"/>
  <c r="AW452" i="70"/>
  <c r="AW467" i="70"/>
  <c r="AW756" i="70"/>
  <c r="AW749" i="70"/>
  <c r="AW744" i="70"/>
  <c r="AW321" i="70"/>
  <c r="AW160" i="70"/>
  <c r="AW161" i="70"/>
  <c r="AW158" i="70"/>
  <c r="AW421" i="70"/>
  <c r="AW430" i="70"/>
  <c r="AW416" i="70"/>
  <c r="AW418" i="70"/>
  <c r="AW488" i="70"/>
  <c r="AW491" i="70"/>
  <c r="AW485" i="70"/>
  <c r="AW471" i="70"/>
  <c r="AW480" i="70"/>
  <c r="AW609" i="70"/>
  <c r="AW615" i="70"/>
  <c r="AW393" i="70"/>
  <c r="AW390" i="70"/>
  <c r="AW384" i="70"/>
  <c r="AW378" i="70"/>
  <c r="AW373" i="70"/>
  <c r="AW363" i="70"/>
  <c r="AW361" i="70"/>
  <c r="AW375" i="70"/>
  <c r="AW645" i="70"/>
  <c r="AW649" i="70"/>
  <c r="AW658" i="70"/>
  <c r="AW586" i="70"/>
  <c r="AW712" i="70"/>
  <c r="AW706" i="70"/>
  <c r="AW714" i="70"/>
  <c r="AW710" i="70"/>
  <c r="AW721" i="70"/>
  <c r="AW719" i="70"/>
  <c r="AW529" i="70"/>
  <c r="AW525" i="70"/>
  <c r="AW517" i="70"/>
  <c r="AW513" i="70"/>
  <c r="AW531" i="70"/>
  <c r="AW724" i="70"/>
  <c r="AW734" i="70"/>
  <c r="AW732" i="70"/>
  <c r="AW727" i="70"/>
  <c r="AW731" i="70"/>
  <c r="AW673" i="70"/>
  <c r="AW665" i="70"/>
  <c r="AW677" i="70"/>
  <c r="AW666" i="70"/>
  <c r="AW674" i="70"/>
  <c r="AW17" i="70"/>
  <c r="AW11" i="70"/>
  <c r="AW8" i="70"/>
  <c r="AW12" i="70"/>
  <c r="AW88" i="70"/>
  <c r="AW95" i="70"/>
  <c r="AW82" i="70"/>
  <c r="AW87" i="70"/>
  <c r="AW342" i="70"/>
  <c r="AW359" i="70"/>
  <c r="AW354" i="70"/>
  <c r="AW349" i="70"/>
  <c r="AW194" i="70"/>
  <c r="AW193" i="70"/>
  <c r="AW510" i="70"/>
  <c r="AW494" i="70"/>
  <c r="AW511" i="70"/>
  <c r="AW499" i="70"/>
  <c r="AW509" i="70"/>
  <c r="DJ1408" i="54"/>
  <c r="DJ1302" i="54"/>
  <c r="DM1304" i="54"/>
  <c r="DM1406" i="54"/>
  <c r="HV439" i="65"/>
  <c r="HU439" i="65" s="1"/>
  <c r="HV451" i="65"/>
  <c r="HU451" i="65" s="1"/>
  <c r="HV440" i="65"/>
  <c r="HU440" i="65" s="1"/>
  <c r="HV452" i="65"/>
  <c r="HU452" i="65" s="1"/>
  <c r="AW41" i="70"/>
  <c r="AW44" i="70"/>
  <c r="AW38" i="70"/>
  <c r="AW39" i="70"/>
  <c r="AW554" i="70"/>
  <c r="AW548" i="70"/>
  <c r="AW538" i="70"/>
  <c r="AW536" i="70"/>
  <c r="AW545" i="70"/>
  <c r="AW469" i="70"/>
  <c r="AW466" i="70"/>
  <c r="AW450" i="70"/>
  <c r="AW457" i="70"/>
  <c r="AW468" i="70"/>
  <c r="AW458" i="70"/>
  <c r="AW763" i="70"/>
  <c r="AW748" i="70"/>
  <c r="AW747" i="70"/>
  <c r="AW752" i="70"/>
  <c r="AW762" i="70"/>
  <c r="AW311" i="70"/>
  <c r="AW310" i="70"/>
  <c r="AW312" i="70"/>
  <c r="AW317" i="70"/>
  <c r="AW318" i="70"/>
  <c r="AW156" i="70"/>
  <c r="AW159" i="70"/>
  <c r="AW150" i="70"/>
  <c r="AW148" i="70"/>
  <c r="AW700" i="70"/>
  <c r="AW699" i="70"/>
  <c r="AW701" i="70"/>
  <c r="AW689" i="70"/>
  <c r="AW575" i="70"/>
  <c r="AW569" i="70"/>
  <c r="AW574" i="70"/>
  <c r="AW555" i="70"/>
  <c r="AW568" i="70"/>
  <c r="AW425" i="70"/>
  <c r="AW428" i="70"/>
  <c r="AW431" i="70"/>
  <c r="AW422" i="70"/>
  <c r="AW417" i="70"/>
  <c r="AW473" i="70"/>
  <c r="AW481" i="70"/>
  <c r="AW478" i="70"/>
  <c r="AW479" i="70"/>
  <c r="AW476" i="70"/>
  <c r="AW487" i="70"/>
  <c r="AW401" i="70"/>
  <c r="AW617" i="70"/>
  <c r="AW608" i="70"/>
  <c r="AW606" i="70"/>
  <c r="AW600" i="70"/>
  <c r="AW599" i="70"/>
  <c r="AW772" i="70"/>
  <c r="AW387" i="70"/>
  <c r="AW385" i="70"/>
  <c r="AW382" i="70"/>
  <c r="AW388" i="70"/>
  <c r="AW64" i="70"/>
  <c r="AW621" i="70"/>
  <c r="AW619" i="70"/>
  <c r="AW625" i="70"/>
  <c r="AW289" i="70"/>
  <c r="AW365" i="70"/>
  <c r="AW366" i="70"/>
  <c r="AW367" i="70"/>
  <c r="AW368" i="70"/>
  <c r="AW641" i="70"/>
  <c r="AW657" i="70"/>
  <c r="AW655" i="70"/>
  <c r="AW659" i="70"/>
  <c r="AW654" i="70"/>
  <c r="AW593" i="70"/>
  <c r="AW579" i="70"/>
  <c r="AW576" i="70"/>
  <c r="AW595" i="70"/>
  <c r="AW588" i="70"/>
  <c r="AW708" i="70"/>
  <c r="AW716" i="70"/>
  <c r="AW722" i="70"/>
  <c r="AW703" i="70"/>
  <c r="AW718" i="70"/>
  <c r="AW523" i="70"/>
  <c r="AW532" i="70"/>
  <c r="AW519" i="70"/>
  <c r="AW514" i="70"/>
  <c r="AW515" i="70"/>
  <c r="AW521" i="70"/>
  <c r="AW728" i="70"/>
  <c r="AW725" i="70"/>
  <c r="AW742" i="70"/>
  <c r="AW743" i="70"/>
  <c r="AW737" i="70"/>
  <c r="AW678" i="70"/>
  <c r="AW680" i="70"/>
  <c r="AW671" i="70"/>
  <c r="AW672" i="70"/>
  <c r="AW679" i="70"/>
  <c r="AW13" i="70"/>
  <c r="AW9" i="70"/>
  <c r="AW16" i="70"/>
  <c r="AW14" i="70"/>
  <c r="AW93" i="70"/>
  <c r="AW91" i="70"/>
  <c r="AW90" i="70"/>
  <c r="AW84" i="70"/>
  <c r="AW356" i="70"/>
  <c r="AW355" i="70"/>
  <c r="AW353" i="70"/>
  <c r="AW357" i="70"/>
  <c r="AW197" i="70"/>
  <c r="AW188" i="70"/>
  <c r="AW189" i="70"/>
  <c r="AW184" i="70"/>
  <c r="AW190" i="70"/>
  <c r="AW495" i="70"/>
  <c r="AW492" i="70"/>
  <c r="AW497" i="70"/>
  <c r="AW503" i="70"/>
  <c r="AW496" i="70"/>
  <c r="AW507" i="70"/>
  <c r="DJ1303" i="54"/>
  <c r="DJ1250" i="54"/>
  <c r="DJ1252" i="54"/>
  <c r="DM1407" i="54"/>
  <c r="DJ1200" i="54"/>
  <c r="HV188" i="65"/>
  <c r="HU188" i="65" s="1"/>
  <c r="HV176" i="65"/>
  <c r="HU176" i="65" s="1"/>
  <c r="HV224" i="65"/>
  <c r="HU224" i="65" s="1"/>
  <c r="HV236" i="65"/>
  <c r="HU236" i="65" s="1"/>
  <c r="HV524" i="65"/>
  <c r="HU524" i="65" s="1"/>
  <c r="HV512" i="65"/>
  <c r="HU512" i="65" s="1"/>
  <c r="FO739" i="65"/>
  <c r="GE739" i="65" s="1"/>
  <c r="HV476" i="65"/>
  <c r="HU476" i="65" s="1"/>
  <c r="HV464" i="65"/>
  <c r="HU464" i="65" s="1"/>
  <c r="FO754" i="65"/>
  <c r="GE754" i="65" s="1"/>
  <c r="HV200" i="65"/>
  <c r="HU200" i="65" s="1"/>
  <c r="HV212" i="65"/>
  <c r="HU212" i="65" s="1"/>
  <c r="AW49" i="70"/>
  <c r="AW36" i="70"/>
  <c r="AW40" i="70"/>
  <c r="AW543" i="70"/>
  <c r="AW549" i="70"/>
  <c r="AW550" i="70"/>
  <c r="AW542" i="70"/>
  <c r="AW470" i="70"/>
  <c r="AW461" i="70"/>
  <c r="AW745" i="70"/>
  <c r="AW758" i="70"/>
  <c r="AW755" i="70"/>
  <c r="AW757" i="70"/>
  <c r="AW754" i="70"/>
  <c r="AW308" i="70"/>
  <c r="AW309" i="70"/>
  <c r="AW315" i="70"/>
  <c r="AW306" i="70"/>
  <c r="AW152" i="70"/>
  <c r="AW149" i="70"/>
  <c r="AW151" i="70"/>
  <c r="AW147" i="70"/>
  <c r="AW424" i="70"/>
  <c r="AW414" i="70"/>
  <c r="AW426" i="70"/>
  <c r="AW429" i="70"/>
  <c r="AW423" i="70"/>
  <c r="AW486" i="70"/>
  <c r="AW483" i="70"/>
  <c r="AW477" i="70"/>
  <c r="AW474" i="70"/>
  <c r="AW475" i="70"/>
  <c r="AW601" i="70"/>
  <c r="AW603" i="70"/>
  <c r="AW614" i="70"/>
  <c r="AW612" i="70"/>
  <c r="AW383" i="70"/>
  <c r="AW389" i="70"/>
  <c r="AW391" i="70"/>
  <c r="AW380" i="70"/>
  <c r="AW364" i="70"/>
  <c r="AW362" i="70"/>
  <c r="AW370" i="70"/>
  <c r="AW376" i="70"/>
  <c r="AW643" i="70"/>
  <c r="AW656" i="70"/>
  <c r="AW642" i="70"/>
  <c r="AW648" i="70"/>
  <c r="AW581" i="70"/>
  <c r="AW583" i="70"/>
  <c r="AW578" i="70"/>
  <c r="AW715" i="70"/>
  <c r="AW713" i="70"/>
  <c r="AW711" i="70"/>
  <c r="AW704" i="70"/>
  <c r="AW705" i="70"/>
  <c r="AW530" i="70"/>
  <c r="AW526" i="70"/>
  <c r="AW522" i="70"/>
  <c r="AW520" i="70"/>
  <c r="AW516" i="70"/>
  <c r="AW730" i="70"/>
  <c r="AW726" i="70"/>
  <c r="AW736" i="70"/>
  <c r="AW738" i="70"/>
  <c r="AW740" i="70"/>
  <c r="AW729" i="70"/>
  <c r="AW663" i="70"/>
  <c r="AW675" i="70"/>
  <c r="AW662" i="70"/>
  <c r="AW660" i="70"/>
  <c r="AW669" i="70"/>
  <c r="AW19" i="70"/>
  <c r="AW15" i="70"/>
  <c r="AW7" i="70"/>
  <c r="AW85" i="70"/>
  <c r="AW94" i="70"/>
  <c r="AW86" i="70"/>
  <c r="AW81" i="70"/>
  <c r="AW358" i="70"/>
  <c r="AW343" i="70"/>
  <c r="AW345" i="70"/>
  <c r="AW346" i="70"/>
  <c r="AW185" i="70"/>
  <c r="AW182" i="70"/>
  <c r="AW183" i="70"/>
  <c r="AW187" i="70"/>
  <c r="AW186" i="70"/>
  <c r="AW501" i="70"/>
  <c r="AW500" i="70"/>
  <c r="AW512" i="70"/>
  <c r="AW502" i="70"/>
  <c r="AW504" i="70"/>
  <c r="DJ1407" i="54"/>
  <c r="HV500" i="65"/>
  <c r="HU500" i="65" s="1"/>
  <c r="HV488" i="65"/>
  <c r="HU488" i="65" s="1"/>
  <c r="Q14" i="65"/>
  <c r="T14" i="65" s="1"/>
  <c r="FO747" i="65"/>
  <c r="GE747" i="65" s="1"/>
  <c r="FO715" i="65"/>
  <c r="GE715" i="65" s="1"/>
  <c r="AW46" i="70"/>
  <c r="AW539" i="70"/>
  <c r="AW553" i="70"/>
  <c r="AW534" i="70"/>
  <c r="AW463" i="70"/>
  <c r="AW453" i="70"/>
  <c r="AW750" i="70"/>
  <c r="AW759" i="70"/>
  <c r="AW746" i="70"/>
  <c r="AW319" i="70"/>
  <c r="AW153" i="70"/>
  <c r="AW146" i="70"/>
  <c r="AW157" i="70"/>
  <c r="AW154" i="70"/>
  <c r="AW420" i="70"/>
  <c r="AW415" i="70"/>
  <c r="AW427" i="70"/>
  <c r="AW419" i="70"/>
  <c r="AW490" i="70"/>
  <c r="AW472" i="70"/>
  <c r="AW484" i="70"/>
  <c r="AW489" i="70"/>
  <c r="AW597" i="70"/>
  <c r="AW379" i="70"/>
  <c r="AW392" i="70"/>
  <c r="AW360" i="70"/>
  <c r="AW377" i="70"/>
  <c r="AW371" i="70"/>
  <c r="AW594" i="70"/>
  <c r="AW590" i="70"/>
  <c r="AW702" i="70"/>
  <c r="AW720" i="70"/>
  <c r="AW707" i="70"/>
  <c r="AW717" i="70"/>
  <c r="AW709" i="70"/>
  <c r="AW524" i="70"/>
  <c r="AW528" i="70"/>
  <c r="AW518" i="70"/>
  <c r="AW527" i="70"/>
  <c r="AW533" i="70"/>
  <c r="AW733" i="70"/>
  <c r="AW741" i="70"/>
  <c r="AW735" i="70"/>
  <c r="AW739" i="70"/>
  <c r="AW723" i="70"/>
  <c r="AW676" i="70"/>
  <c r="AW670" i="70"/>
  <c r="AW668" i="70"/>
  <c r="AW664" i="70"/>
  <c r="AW661" i="70"/>
  <c r="AW667" i="70"/>
  <c r="AW10" i="70"/>
  <c r="AW20" i="70"/>
  <c r="AW18" i="70"/>
  <c r="AW92" i="70"/>
  <c r="AW89" i="70"/>
  <c r="AW83" i="70"/>
  <c r="AW350" i="70"/>
  <c r="AW348" i="70"/>
  <c r="AW180" i="70"/>
  <c r="AW192" i="70"/>
  <c r="AW196" i="70"/>
  <c r="AW191" i="70"/>
  <c r="AW506" i="70"/>
  <c r="AW498" i="70"/>
  <c r="AW505" i="70"/>
  <c r="AW493" i="70"/>
  <c r="AW508" i="70"/>
  <c r="DJ1406" i="54"/>
  <c r="DM1408" i="54"/>
  <c r="HV187" i="65"/>
  <c r="HU187" i="65" s="1"/>
  <c r="HV175" i="65"/>
  <c r="HU175" i="65" s="1"/>
  <c r="GG767" i="65"/>
  <c r="GG759" i="65"/>
  <c r="GJ787" i="65"/>
  <c r="GG783" i="65"/>
  <c r="GG775" i="65"/>
  <c r="GG784" i="65"/>
  <c r="GJ771" i="65"/>
  <c r="GG790" i="65"/>
  <c r="GG774" i="65"/>
  <c r="GG791" i="65"/>
  <c r="GG766" i="65"/>
  <c r="GG768" i="65"/>
  <c r="GG782" i="65"/>
  <c r="GG758" i="65"/>
  <c r="FO744" i="65"/>
  <c r="GE744" i="65" s="1"/>
  <c r="HV260" i="65"/>
  <c r="HU260" i="65" s="1"/>
  <c r="HV248" i="65"/>
  <c r="HU248" i="65" s="1"/>
  <c r="FO541" i="65"/>
  <c r="GE541" i="65" s="1"/>
  <c r="GH541" i="65"/>
  <c r="FO543" i="65"/>
  <c r="GE543" i="65" s="1"/>
  <c r="GH543" i="65"/>
  <c r="FO549" i="65"/>
  <c r="GE549" i="65" s="1"/>
  <c r="GH549" i="65"/>
  <c r="FO526" i="65"/>
  <c r="GE526" i="65" s="1"/>
  <c r="GH526" i="65"/>
  <c r="FO542" i="65"/>
  <c r="GE542" i="65" s="1"/>
  <c r="GH542" i="65"/>
  <c r="AW6" i="70"/>
  <c r="AX2" i="70"/>
  <c r="HV320" i="65"/>
  <c r="HU320" i="65" s="1"/>
  <c r="FO537" i="65"/>
  <c r="GE537" i="65" s="1"/>
  <c r="FO546" i="65"/>
  <c r="GE546" i="65" s="1"/>
  <c r="FO533" i="65"/>
  <c r="GE533" i="65" s="1"/>
  <c r="FO554" i="65"/>
  <c r="GE554" i="65" s="1"/>
  <c r="FO556" i="65"/>
  <c r="GE556" i="65" s="1"/>
  <c r="FO527" i="65"/>
  <c r="GE527" i="65" s="1"/>
  <c r="FO547" i="65"/>
  <c r="GE547" i="65" s="1"/>
  <c r="FO545" i="65"/>
  <c r="GE545" i="65" s="1"/>
  <c r="FO521" i="65"/>
  <c r="GE521" i="65" s="1"/>
  <c r="FO532" i="65"/>
  <c r="GE532" i="65" s="1"/>
  <c r="FO520" i="65"/>
  <c r="GE520" i="65" s="1"/>
  <c r="FO553" i="65"/>
  <c r="GE553" i="65" s="1"/>
  <c r="FO525" i="65"/>
  <c r="GE525" i="65" s="1"/>
  <c r="FO548" i="65"/>
  <c r="GE548" i="65" s="1"/>
  <c r="FO539" i="65"/>
  <c r="GE539" i="65" s="1"/>
  <c r="FO531" i="65"/>
  <c r="GE531" i="65" s="1"/>
  <c r="FO524" i="65"/>
  <c r="GE524" i="65" s="1"/>
  <c r="FO530" i="65"/>
  <c r="GE530" i="65" s="1"/>
  <c r="HV318" i="65"/>
  <c r="HU318" i="65" s="1"/>
  <c r="FO552" i="65"/>
  <c r="GE552" i="65" s="1"/>
  <c r="FO519" i="65"/>
  <c r="GE519" i="65" s="1"/>
  <c r="FO529" i="65"/>
  <c r="GE529" i="65" s="1"/>
  <c r="FO536" i="65"/>
  <c r="GE536" i="65" s="1"/>
  <c r="FO538" i="65"/>
  <c r="GE538" i="65" s="1"/>
  <c r="FO522" i="65"/>
  <c r="GE522" i="65" s="1"/>
  <c r="FO550" i="65"/>
  <c r="GE550" i="65" s="1"/>
  <c r="FO544" i="65"/>
  <c r="GE544" i="65" s="1"/>
  <c r="FO535" i="65"/>
  <c r="GE535" i="65" s="1"/>
  <c r="FO551" i="65"/>
  <c r="GE551" i="65" s="1"/>
  <c r="FO534" i="65"/>
  <c r="GE534" i="65" s="1"/>
  <c r="FO528" i="65"/>
  <c r="GE528" i="65" s="1"/>
  <c r="EA21" i="65"/>
  <c r="HV368" i="65" s="1"/>
  <c r="HU368" i="65" s="1"/>
  <c r="GK626" i="65"/>
  <c r="GK635" i="65"/>
  <c r="GH608" i="65"/>
  <c r="GH600" i="65"/>
  <c r="GH616" i="65"/>
  <c r="GK610" i="65"/>
  <c r="GK629" i="65"/>
  <c r="GK621" i="65"/>
  <c r="GH615" i="65"/>
  <c r="GK613" i="65"/>
  <c r="GH631" i="65"/>
  <c r="GH632" i="65"/>
  <c r="GK597" i="65"/>
  <c r="GH607" i="65"/>
  <c r="GH599" i="65"/>
  <c r="EA9" i="65"/>
  <c r="DZ9" i="65"/>
  <c r="HV138" i="65"/>
  <c r="HU138" i="65" s="1"/>
  <c r="HV126" i="65"/>
  <c r="HU126" i="65" s="1"/>
  <c r="HV150" i="65"/>
  <c r="HU150" i="65" s="1"/>
  <c r="HV162" i="65"/>
  <c r="HU162" i="65" s="1"/>
  <c r="DZ12" i="65"/>
  <c r="EA22" i="65"/>
  <c r="HV392" i="65" s="1"/>
  <c r="HU392" i="65" s="1"/>
  <c r="GH666" i="65"/>
  <c r="GH642" i="65"/>
  <c r="GH673" i="65"/>
  <c r="GK640" i="65"/>
  <c r="GH658" i="65"/>
  <c r="GK648" i="65"/>
  <c r="GK675" i="65"/>
  <c r="GK672" i="65"/>
  <c r="GK664" i="65"/>
  <c r="GK645" i="65"/>
  <c r="GH651" i="65"/>
  <c r="GK669" i="65"/>
  <c r="GH667" i="65"/>
  <c r="GK653" i="65"/>
  <c r="DZ22" i="65"/>
  <c r="HV403" i="65" s="1"/>
  <c r="HU403" i="65" s="1"/>
  <c r="GK652" i="65"/>
  <c r="GH671" i="65"/>
  <c r="GK668" i="65"/>
  <c r="GH648" i="65"/>
  <c r="GH664" i="65"/>
  <c r="GK644" i="65"/>
  <c r="GK660" i="65"/>
  <c r="GH657" i="65"/>
  <c r="GH641" i="65"/>
  <c r="GH647" i="65"/>
  <c r="GH665" i="65"/>
  <c r="GH649" i="65"/>
  <c r="GH639" i="65"/>
  <c r="DZ21" i="65"/>
  <c r="HV379" i="65" s="1"/>
  <c r="HU379" i="65" s="1"/>
  <c r="GH622" i="65"/>
  <c r="GH630" i="65"/>
  <c r="GH606" i="65"/>
  <c r="GH604" i="65"/>
  <c r="FO608" i="65"/>
  <c r="GE608" i="65" s="1"/>
  <c r="FO627" i="65"/>
  <c r="GE627" i="65" s="1"/>
  <c r="GH629" i="65"/>
  <c r="GK609" i="65"/>
  <c r="GH636" i="65"/>
  <c r="GH620" i="65"/>
  <c r="GH621" i="65"/>
  <c r="GH597" i="65"/>
  <c r="GH613" i="65"/>
  <c r="GK601" i="65"/>
  <c r="DZ10" i="65"/>
  <c r="HV67" i="65"/>
  <c r="HU67" i="65" s="1"/>
  <c r="HV55" i="65"/>
  <c r="HU55" i="65" s="1"/>
  <c r="HV102" i="65"/>
  <c r="HU102" i="65" s="1"/>
  <c r="HV114" i="65"/>
  <c r="HU114" i="65" s="1"/>
  <c r="HV90" i="65"/>
  <c r="HU90" i="65" s="1"/>
  <c r="HV78" i="65"/>
  <c r="HU78" i="65" s="1"/>
  <c r="EA20" i="65"/>
  <c r="HV344" i="65" s="1"/>
  <c r="HU344" i="65" s="1"/>
  <c r="GH561" i="65"/>
  <c r="GK583" i="65"/>
  <c r="GH577" i="65"/>
  <c r="GK591" i="65"/>
  <c r="GK594" i="65"/>
  <c r="GH562" i="65"/>
  <c r="GK564" i="65"/>
  <c r="GK575" i="65"/>
  <c r="GH586" i="65"/>
  <c r="GH592" i="65"/>
  <c r="GK559" i="65"/>
  <c r="GH570" i="65"/>
  <c r="GK580" i="65"/>
  <c r="GK567" i="65"/>
  <c r="GK588" i="65"/>
  <c r="GH585" i="65"/>
  <c r="GH578" i="65"/>
  <c r="DZ23" i="65"/>
  <c r="HV427" i="65" s="1"/>
  <c r="HU427" i="65" s="1"/>
  <c r="GH693" i="65"/>
  <c r="GH685" i="65"/>
  <c r="GH709" i="65"/>
  <c r="GH701" i="65"/>
  <c r="GH677" i="65"/>
  <c r="GK690" i="65"/>
  <c r="GH711" i="65"/>
  <c r="GH695" i="65"/>
  <c r="GH702" i="65"/>
  <c r="GH687" i="65"/>
  <c r="GH678" i="65"/>
  <c r="GH686" i="65"/>
  <c r="GK698" i="65"/>
  <c r="GK682" i="65"/>
  <c r="GH694" i="65"/>
  <c r="GH710" i="65"/>
  <c r="GH679" i="65"/>
  <c r="EA23" i="65"/>
  <c r="HV416" i="65" s="1"/>
  <c r="HU416" i="65" s="1"/>
  <c r="GH713" i="65"/>
  <c r="GK691" i="65"/>
  <c r="GK702" i="65"/>
  <c r="GK678" i="65"/>
  <c r="GK686" i="65"/>
  <c r="GK707" i="65"/>
  <c r="GK699" i="65"/>
  <c r="GK683" i="65"/>
  <c r="GK694" i="65"/>
  <c r="GK710" i="65"/>
  <c r="GH697" i="65"/>
  <c r="GH704" i="65"/>
  <c r="GH688" i="65"/>
  <c r="GH712" i="65"/>
  <c r="GH681" i="65"/>
  <c r="DZ20" i="65"/>
  <c r="HV355" i="65" s="1"/>
  <c r="HU355" i="65" s="1"/>
  <c r="GK587" i="65"/>
  <c r="GH591" i="65"/>
  <c r="GK593" i="65"/>
  <c r="FO581" i="65"/>
  <c r="GE581" i="65" s="1"/>
  <c r="GH583" i="65"/>
  <c r="GK563" i="65"/>
  <c r="GH568" i="65"/>
  <c r="FO594" i="65"/>
  <c r="GE594" i="65" s="1"/>
  <c r="GH590" i="65"/>
  <c r="GH567" i="65"/>
  <c r="GH574" i="65"/>
  <c r="GK571" i="65"/>
  <c r="GH576" i="65"/>
  <c r="EA8" i="65"/>
  <c r="EA12" i="65"/>
  <c r="DZ11" i="65"/>
  <c r="EA10" i="65"/>
  <c r="EA11" i="65"/>
  <c r="BF16" i="67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I149" i="54"/>
  <c r="IQ154" i="54"/>
  <c r="DF24" i="66"/>
  <c r="AO382" i="54"/>
  <c r="AQ382" i="54" s="1"/>
  <c r="DJ1094" i="54"/>
  <c r="DJ1095" i="54"/>
  <c r="DJ1043" i="54"/>
  <c r="AS362" i="54"/>
  <c r="DJ1044" i="54"/>
  <c r="DJ888" i="54"/>
  <c r="DJ108" i="54"/>
  <c r="DJ886" i="54"/>
  <c r="DJ470" i="54"/>
  <c r="DJ730" i="54"/>
  <c r="DJ264" i="54"/>
  <c r="DJ1096" i="54"/>
  <c r="DJ263" i="54"/>
  <c r="DJ262" i="54"/>
  <c r="EQ26" i="66"/>
  <c r="CJ21" i="66"/>
  <c r="CT21" i="66" s="1"/>
  <c r="DJ45" i="66" s="1"/>
  <c r="DJ887" i="54"/>
  <c r="DJ471" i="54"/>
  <c r="DT22" i="66"/>
  <c r="BA343" i="54"/>
  <c r="DJ472" i="54"/>
  <c r="AZ343" i="54"/>
  <c r="DY16" i="66"/>
  <c r="DJ731" i="54"/>
  <c r="DJ732" i="54"/>
  <c r="EU26" i="66"/>
  <c r="DZ16" i="66"/>
  <c r="AO403" i="54"/>
  <c r="AS403" i="54" s="1"/>
  <c r="DM886" i="54"/>
  <c r="AO443" i="54"/>
  <c r="AQ443" i="54" s="1"/>
  <c r="DM887" i="54"/>
  <c r="DM888" i="54"/>
  <c r="DM106" i="54"/>
  <c r="DM1042" i="54"/>
  <c r="DM1096" i="54"/>
  <c r="DM1094" i="54"/>
  <c r="DM1095" i="54"/>
  <c r="DM729" i="54"/>
  <c r="HS148" i="54" s="1"/>
  <c r="CK21" i="66"/>
  <c r="DM472" i="54"/>
  <c r="DM108" i="54"/>
  <c r="DM470" i="54"/>
  <c r="DM471" i="54"/>
  <c r="DM732" i="54"/>
  <c r="HS154" i="54" s="1"/>
  <c r="IG154" i="54" s="1"/>
  <c r="DM731" i="54"/>
  <c r="DM263" i="54"/>
  <c r="DM262" i="54"/>
  <c r="DM730" i="54"/>
  <c r="DM264" i="54"/>
  <c r="DM1043" i="54"/>
  <c r="DM1044" i="54"/>
  <c r="DH23" i="66"/>
  <c r="AR362" i="54"/>
  <c r="AS442" i="54"/>
  <c r="AR442" i="54"/>
  <c r="AP362" i="54"/>
  <c r="AP442" i="54"/>
  <c r="DT64" i="66"/>
  <c r="DT65" i="66"/>
  <c r="AY344" i="54"/>
  <c r="AY424" i="54"/>
  <c r="AX401" i="54"/>
  <c r="AU401" i="54"/>
  <c r="AW401" i="54"/>
  <c r="AV401" i="54"/>
  <c r="BR344" i="54"/>
  <c r="BP344" i="54"/>
  <c r="BO344" i="54"/>
  <c r="BQ344" i="54"/>
  <c r="AV402" i="54"/>
  <c r="DP61" i="66"/>
  <c r="DS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BB362" i="54"/>
  <c r="BA362" i="54"/>
  <c r="BC362" i="54"/>
  <c r="AZ362" i="54"/>
  <c r="AP344" i="54"/>
  <c r="BR424" i="54"/>
  <c r="BP424" i="54"/>
  <c r="BQ424" i="54"/>
  <c r="BO424" i="54"/>
  <c r="BC402" i="54"/>
  <c r="BB402" i="54"/>
  <c r="BA402" i="54"/>
  <c r="AZ402" i="54"/>
  <c r="CO21" i="66"/>
  <c r="DL44" i="66" s="1"/>
  <c r="BD503" i="54" s="1"/>
  <c r="IR139" i="54"/>
  <c r="IT139" i="54"/>
  <c r="BF15" i="67"/>
  <c r="IL139" i="54"/>
  <c r="IN139" i="54"/>
  <c r="IM139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O13" i="66"/>
  <c r="DL25" i="66" s="1"/>
  <c r="BD484" i="54" s="1"/>
  <c r="DJ939" i="54"/>
  <c r="DI45" i="66"/>
  <c r="DI44" i="66"/>
  <c r="CJ13" i="66"/>
  <c r="CP13" i="66" s="1"/>
  <c r="DY15" i="66"/>
  <c r="DJ782" i="54"/>
  <c r="DG24" i="66"/>
  <c r="DS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DJ212" i="54"/>
  <c r="DJ210" i="54"/>
  <c r="DJ783" i="54"/>
  <c r="DJ1146" i="54"/>
  <c r="DI24" i="66"/>
  <c r="DI25" i="66"/>
  <c r="BA65" i="66"/>
  <c r="CH624" i="54" s="1"/>
  <c r="BW64" i="66"/>
  <c r="BZ64" i="66"/>
  <c r="CU21" i="66" l="1"/>
  <c r="CQ21" i="66"/>
  <c r="FO749" i="65"/>
  <c r="GE749" i="65" s="1"/>
  <c r="FO756" i="65"/>
  <c r="GE756" i="65" s="1"/>
  <c r="FO746" i="65"/>
  <c r="GE746" i="65" s="1"/>
  <c r="FO730" i="65"/>
  <c r="GE730" i="65" s="1"/>
  <c r="FO714" i="65"/>
  <c r="GE714" i="65" s="1"/>
  <c r="FO619" i="65"/>
  <c r="GE619" i="65" s="1"/>
  <c r="GH659" i="65"/>
  <c r="GH650" i="65"/>
  <c r="FO740" i="65"/>
  <c r="GE740" i="65" s="1"/>
  <c r="FO743" i="65"/>
  <c r="GE743" i="65" s="1"/>
  <c r="FO745" i="65"/>
  <c r="GE745" i="65" s="1"/>
  <c r="FO716" i="65"/>
  <c r="GE716" i="65" s="1"/>
  <c r="FO718" i="65"/>
  <c r="GE718" i="65" s="1"/>
  <c r="FO727" i="65"/>
  <c r="GE727" i="65" s="1"/>
  <c r="AT403" i="54"/>
  <c r="FO724" i="65"/>
  <c r="GE724" i="65" s="1"/>
  <c r="FO725" i="65"/>
  <c r="GE725" i="65" s="1"/>
  <c r="FO734" i="65"/>
  <c r="GE734" i="65" s="1"/>
  <c r="FO729" i="65"/>
  <c r="GE729" i="65" s="1"/>
  <c r="FO752" i="65"/>
  <c r="GE752" i="65" s="1"/>
  <c r="FO721" i="65"/>
  <c r="GE721" i="65" s="1"/>
  <c r="FT325" i="65"/>
  <c r="FT329" i="65"/>
  <c r="FT333" i="65"/>
  <c r="FT337" i="65"/>
  <c r="FT341" i="65"/>
  <c r="FT345" i="65"/>
  <c r="FT349" i="65"/>
  <c r="FT353" i="65"/>
  <c r="FT357" i="65"/>
  <c r="FT322" i="65"/>
  <c r="FT323" i="65"/>
  <c r="FT327" i="65"/>
  <c r="FT331" i="65"/>
  <c r="FT335" i="65"/>
  <c r="FT339" i="65"/>
  <c r="FT343" i="65"/>
  <c r="FT347" i="65"/>
  <c r="FT351" i="65"/>
  <c r="FT355" i="65"/>
  <c r="FT359" i="65"/>
  <c r="FT324" i="65"/>
  <c r="FT328" i="65"/>
  <c r="FT332" i="65"/>
  <c r="FT336" i="65"/>
  <c r="FT340" i="65"/>
  <c r="FT344" i="65"/>
  <c r="FT348" i="65"/>
  <c r="FT352" i="65"/>
  <c r="FT356" i="65"/>
  <c r="FT326" i="65"/>
  <c r="FT342" i="65"/>
  <c r="FT358" i="65"/>
  <c r="FT330" i="65"/>
  <c r="FT346" i="65"/>
  <c r="FT334" i="65"/>
  <c r="FT350" i="65"/>
  <c r="FT338" i="65"/>
  <c r="FT354" i="65"/>
  <c r="FT757" i="65"/>
  <c r="FO757" i="65" s="1"/>
  <c r="GE757" i="65" s="1"/>
  <c r="FT761" i="65"/>
  <c r="FO761" i="65" s="1"/>
  <c r="GE761" i="65" s="1"/>
  <c r="FT765" i="65"/>
  <c r="FO765" i="65" s="1"/>
  <c r="GE765" i="65" s="1"/>
  <c r="FT769" i="65"/>
  <c r="FO769" i="65" s="1"/>
  <c r="GE769" i="65" s="1"/>
  <c r="FT773" i="65"/>
  <c r="FO773" i="65" s="1"/>
  <c r="GE773" i="65" s="1"/>
  <c r="FT777" i="65"/>
  <c r="FO777" i="65" s="1"/>
  <c r="GE777" i="65" s="1"/>
  <c r="FT781" i="65"/>
  <c r="FO781" i="65" s="1"/>
  <c r="GE781" i="65" s="1"/>
  <c r="FT785" i="65"/>
  <c r="FO785" i="65" s="1"/>
  <c r="GE785" i="65" s="1"/>
  <c r="FT789" i="65"/>
  <c r="FO789" i="65" s="1"/>
  <c r="GE789" i="65" s="1"/>
  <c r="FT793" i="65"/>
  <c r="FO793" i="65" s="1"/>
  <c r="GE793" i="65" s="1"/>
  <c r="FT758" i="65"/>
  <c r="FT762" i="65"/>
  <c r="FO762" i="65" s="1"/>
  <c r="GE762" i="65" s="1"/>
  <c r="FT766" i="65"/>
  <c r="FT770" i="65"/>
  <c r="FO770" i="65" s="1"/>
  <c r="GE770" i="65" s="1"/>
  <c r="FT774" i="65"/>
  <c r="FT778" i="65"/>
  <c r="FO778" i="65" s="1"/>
  <c r="GE778" i="65" s="1"/>
  <c r="FT782" i="65"/>
  <c r="FT786" i="65"/>
  <c r="FO786" i="65" s="1"/>
  <c r="GE786" i="65" s="1"/>
  <c r="FT790" i="65"/>
  <c r="FT794" i="65"/>
  <c r="FO794" i="65" s="1"/>
  <c r="GE794" i="65" s="1"/>
  <c r="FT759" i="65"/>
  <c r="FT763" i="65"/>
  <c r="FT767" i="65"/>
  <c r="FT771" i="65"/>
  <c r="GK771" i="65" s="1"/>
  <c r="FT775" i="65"/>
  <c r="FT779" i="65"/>
  <c r="FO779" i="65" s="1"/>
  <c r="GE779" i="65" s="1"/>
  <c r="FT783" i="65"/>
  <c r="FT787" i="65"/>
  <c r="FT791" i="65"/>
  <c r="FT760" i="65"/>
  <c r="FO760" i="65" s="1"/>
  <c r="GE760" i="65" s="1"/>
  <c r="FT764" i="65"/>
  <c r="FO764" i="65" s="1"/>
  <c r="GE764" i="65" s="1"/>
  <c r="FT768" i="65"/>
  <c r="GH768" i="65" s="1"/>
  <c r="FT772" i="65"/>
  <c r="FO772" i="65" s="1"/>
  <c r="GE772" i="65" s="1"/>
  <c r="FT776" i="65"/>
  <c r="FT780" i="65"/>
  <c r="FO780" i="65" s="1"/>
  <c r="GE780" i="65" s="1"/>
  <c r="FT784" i="65"/>
  <c r="FT788" i="65"/>
  <c r="FO788" i="65" s="1"/>
  <c r="GE788" i="65" s="1"/>
  <c r="FT792" i="65"/>
  <c r="GH792" i="65" s="1"/>
  <c r="FO673" i="65"/>
  <c r="GE673" i="65" s="1"/>
  <c r="AU402" i="54"/>
  <c r="AX402" i="54"/>
  <c r="AR344" i="54"/>
  <c r="DP63" i="66"/>
  <c r="BI421" i="54"/>
  <c r="BJ421" i="54" s="1"/>
  <c r="AS344" i="54"/>
  <c r="BI342" i="54"/>
  <c r="BK342" i="54" s="1"/>
  <c r="AR464" i="54"/>
  <c r="AX362" i="54"/>
  <c r="AQ544" i="54"/>
  <c r="AW503" i="54"/>
  <c r="AS464" i="54"/>
  <c r="AP464" i="54"/>
  <c r="BI341" i="54"/>
  <c r="BJ341" i="54" s="1"/>
  <c r="BI422" i="54"/>
  <c r="BM422" i="54" s="1"/>
  <c r="DP62" i="66"/>
  <c r="BI461" i="54"/>
  <c r="BJ461" i="54" s="1"/>
  <c r="AV442" i="54"/>
  <c r="BI542" i="54"/>
  <c r="BK542" i="54" s="1"/>
  <c r="BI462" i="54"/>
  <c r="BM462" i="54" s="1"/>
  <c r="AS544" i="54"/>
  <c r="AU503" i="54"/>
  <c r="BI541" i="54"/>
  <c r="BM541" i="54" s="1"/>
  <c r="IT143" i="54"/>
  <c r="AU362" i="54"/>
  <c r="AT443" i="54"/>
  <c r="AW443" i="54" s="1"/>
  <c r="IL143" i="54"/>
  <c r="AS363" i="54"/>
  <c r="AW362" i="54"/>
  <c r="AR544" i="54"/>
  <c r="AV503" i="54"/>
  <c r="IN143" i="54"/>
  <c r="AT363" i="54"/>
  <c r="AU363" i="54" s="1"/>
  <c r="AU442" i="54"/>
  <c r="AX442" i="54"/>
  <c r="BI540" i="54"/>
  <c r="BK540" i="54" s="1"/>
  <c r="IM143" i="54"/>
  <c r="AW382" i="54"/>
  <c r="BC381" i="54"/>
  <c r="DS81" i="66"/>
  <c r="IR140" i="54"/>
  <c r="IL140" i="54"/>
  <c r="BA381" i="54"/>
  <c r="AX382" i="54"/>
  <c r="BB381" i="54"/>
  <c r="AV382" i="54"/>
  <c r="HV391" i="65"/>
  <c r="HU391" i="65" s="1"/>
  <c r="BK521" i="54"/>
  <c r="BJ521" i="54"/>
  <c r="BL521" i="54"/>
  <c r="BM521" i="54"/>
  <c r="BL540" i="54"/>
  <c r="BB464" i="54"/>
  <c r="BA464" i="54"/>
  <c r="AZ464" i="54"/>
  <c r="BC464" i="54"/>
  <c r="AW541" i="54"/>
  <c r="AU541" i="54"/>
  <c r="AX541" i="54"/>
  <c r="AV541" i="54"/>
  <c r="BH503" i="54"/>
  <c r="BG503" i="54"/>
  <c r="BF503" i="54"/>
  <c r="BE503" i="54"/>
  <c r="HV380" i="65"/>
  <c r="HU380" i="65" s="1"/>
  <c r="AZ524" i="54"/>
  <c r="BB524" i="54"/>
  <c r="BC524" i="54"/>
  <c r="BA524" i="54"/>
  <c r="BF484" i="54"/>
  <c r="BG484" i="54"/>
  <c r="BE484" i="54"/>
  <c r="BH484" i="54"/>
  <c r="BK460" i="54"/>
  <c r="BJ460" i="54"/>
  <c r="BL460" i="54"/>
  <c r="BM460" i="54"/>
  <c r="AZ544" i="54"/>
  <c r="BA544" i="54"/>
  <c r="BC544" i="54"/>
  <c r="BB544" i="54"/>
  <c r="FO632" i="65"/>
  <c r="GE632" i="65" s="1"/>
  <c r="FO637" i="65"/>
  <c r="GE637" i="65" s="1"/>
  <c r="FO602" i="65"/>
  <c r="GE602" i="65" s="1"/>
  <c r="BL461" i="54"/>
  <c r="BJ520" i="54"/>
  <c r="BK520" i="54"/>
  <c r="BL520" i="54"/>
  <c r="BM520" i="54"/>
  <c r="BM522" i="54"/>
  <c r="BJ522" i="54"/>
  <c r="BK522" i="54"/>
  <c r="BL522" i="54"/>
  <c r="AP363" i="54"/>
  <c r="AQ363" i="54"/>
  <c r="IN140" i="54"/>
  <c r="IM140" i="54"/>
  <c r="IS140" i="54"/>
  <c r="AT383" i="54"/>
  <c r="AX383" i="54" s="1"/>
  <c r="AT483" i="54"/>
  <c r="AY382" i="54"/>
  <c r="AZ382" i="54" s="1"/>
  <c r="AY482" i="54"/>
  <c r="HS151" i="54"/>
  <c r="IG151" i="54" s="1"/>
  <c r="HS149" i="54"/>
  <c r="IG149" i="54" s="1"/>
  <c r="AP503" i="54"/>
  <c r="AS503" i="54"/>
  <c r="AQ503" i="54"/>
  <c r="AR503" i="54"/>
  <c r="AS482" i="54"/>
  <c r="AQ482" i="54"/>
  <c r="AR482" i="54"/>
  <c r="AP482" i="54"/>
  <c r="HS146" i="54"/>
  <c r="IG146" i="54" s="1"/>
  <c r="AO383" i="54"/>
  <c r="AS383" i="54" s="1"/>
  <c r="AO483" i="54"/>
  <c r="HS147" i="54"/>
  <c r="IG147" i="54" s="1"/>
  <c r="HS153" i="54"/>
  <c r="IG153" i="54" s="1"/>
  <c r="AV482" i="54"/>
  <c r="AW482" i="54"/>
  <c r="AX482" i="54"/>
  <c r="AU482" i="54"/>
  <c r="BA481" i="54"/>
  <c r="BB481" i="54"/>
  <c r="BC481" i="54"/>
  <c r="AZ481" i="54"/>
  <c r="HS152" i="54"/>
  <c r="IG152" i="54" s="1"/>
  <c r="HS150" i="54"/>
  <c r="IG150" i="54" s="1"/>
  <c r="HR149" i="54"/>
  <c r="HR150" i="54"/>
  <c r="HR154" i="54"/>
  <c r="HR153" i="54"/>
  <c r="HR151" i="54"/>
  <c r="HR152" i="54"/>
  <c r="HR147" i="54"/>
  <c r="HR146" i="54"/>
  <c r="HR148" i="54"/>
  <c r="GH790" i="65"/>
  <c r="FO790" i="65"/>
  <c r="GE790" i="65" s="1"/>
  <c r="GH767" i="65"/>
  <c r="FO767" i="65"/>
  <c r="GE767" i="65" s="1"/>
  <c r="CH564" i="54"/>
  <c r="CH224" i="54"/>
  <c r="CH204" i="54"/>
  <c r="DZ14" i="65"/>
  <c r="GH775" i="65"/>
  <c r="FO775" i="65"/>
  <c r="GE775" i="65" s="1"/>
  <c r="E10" i="57"/>
  <c r="BY32" i="65"/>
  <c r="CC32" i="65" s="1"/>
  <c r="CJ32" i="65" s="1"/>
  <c r="G26" i="65"/>
  <c r="G15" i="65"/>
  <c r="BY18" i="65"/>
  <c r="CC18" i="65" s="1"/>
  <c r="CJ18" i="65" s="1"/>
  <c r="GH759" i="65"/>
  <c r="FO759" i="65"/>
  <c r="GE759" i="65" s="1"/>
  <c r="GK787" i="65"/>
  <c r="FO787" i="65"/>
  <c r="GE787" i="65" s="1"/>
  <c r="GH774" i="65"/>
  <c r="FO774" i="65"/>
  <c r="GE774" i="65" s="1"/>
  <c r="GH784" i="65"/>
  <c r="FO784" i="65"/>
  <c r="GE784" i="65" s="1"/>
  <c r="HV475" i="65"/>
  <c r="HU475" i="65" s="1"/>
  <c r="HV463" i="65"/>
  <c r="HU463" i="65" s="1"/>
  <c r="GH791" i="65"/>
  <c r="FO791" i="65"/>
  <c r="GE791" i="65" s="1"/>
  <c r="GH783" i="65"/>
  <c r="FO783" i="65"/>
  <c r="GE783" i="65" s="1"/>
  <c r="GH766" i="65"/>
  <c r="FO766" i="65"/>
  <c r="GE766" i="65" s="1"/>
  <c r="GH782" i="65"/>
  <c r="FO782" i="65"/>
  <c r="GE782" i="65" s="1"/>
  <c r="GH758" i="65"/>
  <c r="FO758" i="65"/>
  <c r="GE758" i="65" s="1"/>
  <c r="GK763" i="65"/>
  <c r="FO763" i="65"/>
  <c r="GE763" i="65" s="1"/>
  <c r="GH776" i="65"/>
  <c r="FO776" i="65"/>
  <c r="GE776" i="65" s="1"/>
  <c r="FO579" i="65"/>
  <c r="GE579" i="65" s="1"/>
  <c r="GK579" i="65"/>
  <c r="FO584" i="65"/>
  <c r="GE584" i="65" s="1"/>
  <c r="GH584" i="65"/>
  <c r="FO559" i="65"/>
  <c r="GE559" i="65" s="1"/>
  <c r="GH559" i="65"/>
  <c r="FO558" i="65"/>
  <c r="GE558" i="65" s="1"/>
  <c r="GH558" i="65"/>
  <c r="FO560" i="65"/>
  <c r="GE560" i="65" s="1"/>
  <c r="GH560" i="65"/>
  <c r="FO596" i="65"/>
  <c r="GE596" i="65" s="1"/>
  <c r="GH596" i="65"/>
  <c r="FO605" i="65"/>
  <c r="GE605" i="65" s="1"/>
  <c r="GH605" i="65"/>
  <c r="FO598" i="65"/>
  <c r="GE598" i="65" s="1"/>
  <c r="GH598" i="65"/>
  <c r="FO628" i="65"/>
  <c r="GE628" i="65" s="1"/>
  <c r="GH628" i="65"/>
  <c r="FO625" i="65"/>
  <c r="GE625" i="65" s="1"/>
  <c r="GK625" i="65"/>
  <c r="FO617" i="65"/>
  <c r="GE617" i="65" s="1"/>
  <c r="GK617" i="65"/>
  <c r="FO612" i="65"/>
  <c r="GE612" i="65" s="1"/>
  <c r="GH612" i="65"/>
  <c r="FO634" i="65"/>
  <c r="GE634" i="65" s="1"/>
  <c r="GH634" i="65"/>
  <c r="FO655" i="65"/>
  <c r="GE655" i="65" s="1"/>
  <c r="GH655" i="65"/>
  <c r="FO672" i="65"/>
  <c r="GE672" i="65" s="1"/>
  <c r="GH672" i="65"/>
  <c r="FO640" i="65"/>
  <c r="GE640" i="65" s="1"/>
  <c r="GH640" i="65"/>
  <c r="FO674" i="65"/>
  <c r="GE674" i="65" s="1"/>
  <c r="GK674" i="65"/>
  <c r="FO656" i="65"/>
  <c r="GE656" i="65" s="1"/>
  <c r="FO658" i="65"/>
  <c r="GE658" i="65" s="1"/>
  <c r="HV428" i="65"/>
  <c r="HU428" i="65" s="1"/>
  <c r="FO662" i="65"/>
  <c r="GE662" i="65" s="1"/>
  <c r="HV404" i="65"/>
  <c r="HU404" i="65" s="1"/>
  <c r="FO597" i="65"/>
  <c r="GE597" i="65" s="1"/>
  <c r="FO603" i="65"/>
  <c r="GE603" i="65" s="1"/>
  <c r="FO610" i="65"/>
  <c r="GE610" i="65" s="1"/>
  <c r="FO635" i="65"/>
  <c r="GE635" i="65" s="1"/>
  <c r="FO669" i="65"/>
  <c r="GE669" i="65" s="1"/>
  <c r="FO574" i="65"/>
  <c r="GE574" i="65" s="1"/>
  <c r="FO620" i="65"/>
  <c r="GE620" i="65" s="1"/>
  <c r="FO618" i="65"/>
  <c r="GE618" i="65" s="1"/>
  <c r="HV356" i="65"/>
  <c r="HU356" i="65" s="1"/>
  <c r="FO623" i="65"/>
  <c r="GE623" i="65" s="1"/>
  <c r="FO571" i="65"/>
  <c r="GE571" i="65" s="1"/>
  <c r="FO580" i="65"/>
  <c r="GE580" i="65" s="1"/>
  <c r="FO578" i="65"/>
  <c r="GE578" i="65" s="1"/>
  <c r="FO568" i="65"/>
  <c r="GE568" i="65" s="1"/>
  <c r="FO583" i="65"/>
  <c r="GE583" i="65" s="1"/>
  <c r="FO702" i="65"/>
  <c r="GE702" i="65" s="1"/>
  <c r="FO677" i="65"/>
  <c r="GE677" i="65" s="1"/>
  <c r="FO693" i="65"/>
  <c r="GE693" i="65" s="1"/>
  <c r="FO668" i="65"/>
  <c r="GE668" i="65" s="1"/>
  <c r="FO593" i="65"/>
  <c r="GE593" i="65" s="1"/>
  <c r="FO707" i="65"/>
  <c r="GE707" i="65" s="1"/>
  <c r="FO582" i="65"/>
  <c r="GE582" i="65" s="1"/>
  <c r="FO599" i="65"/>
  <c r="GE599" i="65" s="1"/>
  <c r="FO613" i="65"/>
  <c r="GE613" i="65" s="1"/>
  <c r="FO614" i="65"/>
  <c r="GE614" i="65" s="1"/>
  <c r="FO670" i="65"/>
  <c r="GE670" i="65" s="1"/>
  <c r="FO654" i="65"/>
  <c r="GE654" i="65" s="1"/>
  <c r="FO683" i="65"/>
  <c r="GE683" i="65" s="1"/>
  <c r="FO690" i="65"/>
  <c r="GE690" i="65" s="1"/>
  <c r="FO621" i="65"/>
  <c r="GE621" i="65" s="1"/>
  <c r="FO633" i="65"/>
  <c r="GE633" i="65" s="1"/>
  <c r="HV415" i="65"/>
  <c r="HU415" i="65" s="1"/>
  <c r="FO585" i="65"/>
  <c r="GE585" i="65" s="1"/>
  <c r="FO562" i="65"/>
  <c r="GE562" i="65" s="1"/>
  <c r="FO573" i="65"/>
  <c r="GE573" i="65" s="1"/>
  <c r="FO587" i="65"/>
  <c r="GE587" i="65" s="1"/>
  <c r="FO639" i="65"/>
  <c r="GE639" i="65" s="1"/>
  <c r="FO576" i="65"/>
  <c r="GE576" i="65" s="1"/>
  <c r="FO680" i="65"/>
  <c r="GE680" i="65" s="1"/>
  <c r="FO649" i="65"/>
  <c r="GE649" i="65" s="1"/>
  <c r="FO661" i="65"/>
  <c r="GE661" i="65" s="1"/>
  <c r="FO641" i="65"/>
  <c r="GE641" i="65" s="1"/>
  <c r="FO644" i="65"/>
  <c r="GE644" i="65" s="1"/>
  <c r="FO671" i="65"/>
  <c r="GE671" i="65" s="1"/>
  <c r="FO592" i="65"/>
  <c r="GE592" i="65" s="1"/>
  <c r="FO557" i="65"/>
  <c r="GE557" i="65" s="1"/>
  <c r="FO564" i="65"/>
  <c r="GE564" i="65" s="1"/>
  <c r="FO569" i="65"/>
  <c r="GE569" i="65" s="1"/>
  <c r="FO681" i="65"/>
  <c r="GE681" i="65" s="1"/>
  <c r="FO653" i="65"/>
  <c r="GE653" i="65" s="1"/>
  <c r="FO667" i="65"/>
  <c r="GE667" i="65" s="1"/>
  <c r="FO666" i="65"/>
  <c r="GE666" i="65" s="1"/>
  <c r="FO607" i="65"/>
  <c r="GE607" i="65" s="1"/>
  <c r="FO601" i="65"/>
  <c r="GE601" i="65" s="1"/>
  <c r="FO626" i="65"/>
  <c r="GE626" i="65" s="1"/>
  <c r="FO572" i="65"/>
  <c r="GE572" i="65" s="1"/>
  <c r="FO660" i="65"/>
  <c r="GE660" i="65" s="1"/>
  <c r="FO611" i="65"/>
  <c r="GE611" i="65" s="1"/>
  <c r="FO600" i="65"/>
  <c r="GE600" i="65" s="1"/>
  <c r="FO664" i="65"/>
  <c r="GE664" i="65" s="1"/>
  <c r="FO609" i="65"/>
  <c r="GE609" i="65" s="1"/>
  <c r="FO629" i="65"/>
  <c r="GE629" i="65" s="1"/>
  <c r="FO604" i="65"/>
  <c r="GE604" i="65" s="1"/>
  <c r="FO657" i="65"/>
  <c r="GE657" i="65" s="1"/>
  <c r="FO638" i="65"/>
  <c r="GE638" i="65" s="1"/>
  <c r="FO652" i="65"/>
  <c r="GE652" i="65" s="1"/>
  <c r="FO699" i="65"/>
  <c r="GE699" i="65" s="1"/>
  <c r="FO697" i="65"/>
  <c r="GE697" i="65" s="1"/>
  <c r="HV367" i="65"/>
  <c r="HU367" i="65" s="1"/>
  <c r="FO567" i="65"/>
  <c r="GE567" i="65" s="1"/>
  <c r="FO563" i="65"/>
  <c r="GE563" i="65" s="1"/>
  <c r="FO712" i="65"/>
  <c r="GE712" i="65" s="1"/>
  <c r="FO688" i="65"/>
  <c r="GE688" i="65" s="1"/>
  <c r="FO575" i="65"/>
  <c r="GE575" i="65" s="1"/>
  <c r="FO566" i="65"/>
  <c r="GE566" i="65" s="1"/>
  <c r="FO577" i="65"/>
  <c r="GE577" i="65" s="1"/>
  <c r="FO704" i="65"/>
  <c r="GE704" i="65" s="1"/>
  <c r="FO709" i="65"/>
  <c r="GE709" i="65" s="1"/>
  <c r="FO663" i="65"/>
  <c r="GE663" i="65" s="1"/>
  <c r="FO647" i="65"/>
  <c r="GE647" i="65" s="1"/>
  <c r="FO643" i="65"/>
  <c r="GE643" i="65" s="1"/>
  <c r="FO631" i="65"/>
  <c r="GE631" i="65" s="1"/>
  <c r="FO703" i="65"/>
  <c r="GE703" i="65" s="1"/>
  <c r="FO698" i="65"/>
  <c r="GE698" i="65" s="1"/>
  <c r="FO696" i="65"/>
  <c r="GE696" i="65" s="1"/>
  <c r="FO570" i="65"/>
  <c r="GE570" i="65" s="1"/>
  <c r="FO589" i="65"/>
  <c r="GE589" i="65" s="1"/>
  <c r="FO595" i="65"/>
  <c r="GE595" i="65" s="1"/>
  <c r="FO606" i="65"/>
  <c r="GE606" i="65" s="1"/>
  <c r="FO622" i="65"/>
  <c r="GE622" i="65" s="1"/>
  <c r="FO682" i="65"/>
  <c r="GE682" i="65" s="1"/>
  <c r="FO691" i="65"/>
  <c r="GE691" i="65" s="1"/>
  <c r="FO636" i="65"/>
  <c r="GE636" i="65" s="1"/>
  <c r="FO616" i="65"/>
  <c r="GE616" i="65" s="1"/>
  <c r="FO645" i="65"/>
  <c r="GE645" i="65" s="1"/>
  <c r="FO679" i="65"/>
  <c r="GE679" i="65" s="1"/>
  <c r="FO708" i="65"/>
  <c r="GE708" i="65" s="1"/>
  <c r="FO706" i="65"/>
  <c r="GE706" i="65" s="1"/>
  <c r="FO678" i="65"/>
  <c r="GE678" i="65" s="1"/>
  <c r="FO711" i="65"/>
  <c r="GE711" i="65" s="1"/>
  <c r="FO689" i="65"/>
  <c r="GE689" i="65" s="1"/>
  <c r="FO705" i="65"/>
  <c r="GE705" i="65" s="1"/>
  <c r="FO590" i="65"/>
  <c r="GE590" i="65" s="1"/>
  <c r="FO624" i="65"/>
  <c r="GE624" i="65" s="1"/>
  <c r="FO615" i="65"/>
  <c r="GE615" i="65" s="1"/>
  <c r="FO630" i="65"/>
  <c r="GE630" i="65" s="1"/>
  <c r="FO700" i="65"/>
  <c r="GE700" i="65" s="1"/>
  <c r="FO687" i="65"/>
  <c r="GE687" i="65" s="1"/>
  <c r="FO685" i="65"/>
  <c r="GE685" i="65" s="1"/>
  <c r="FO665" i="65"/>
  <c r="GE665" i="65" s="1"/>
  <c r="FO651" i="65"/>
  <c r="GE651" i="65" s="1"/>
  <c r="FO675" i="65"/>
  <c r="GE675" i="65" s="1"/>
  <c r="FO648" i="65"/>
  <c r="GE648" i="65" s="1"/>
  <c r="FO684" i="65"/>
  <c r="GE684" i="65" s="1"/>
  <c r="FO692" i="65"/>
  <c r="GE692" i="65" s="1"/>
  <c r="FO710" i="65"/>
  <c r="GE710" i="65" s="1"/>
  <c r="FO694" i="65"/>
  <c r="GE694" i="65" s="1"/>
  <c r="FO686" i="65"/>
  <c r="GE686" i="65" s="1"/>
  <c r="FO695" i="65"/>
  <c r="GE695" i="65" s="1"/>
  <c r="FO676" i="65"/>
  <c r="GE676" i="65" s="1"/>
  <c r="FO701" i="65"/>
  <c r="GE701" i="65" s="1"/>
  <c r="FO713" i="65"/>
  <c r="GE713" i="65" s="1"/>
  <c r="FO588" i="65"/>
  <c r="GE588" i="65" s="1"/>
  <c r="FO586" i="65"/>
  <c r="GE586" i="65" s="1"/>
  <c r="FO591" i="65"/>
  <c r="GE591" i="65" s="1"/>
  <c r="FO561" i="65"/>
  <c r="GE561" i="65" s="1"/>
  <c r="FO646" i="65"/>
  <c r="GE646" i="65" s="1"/>
  <c r="FO642" i="65"/>
  <c r="GE642" i="65" s="1"/>
  <c r="HV79" i="65"/>
  <c r="HU79" i="65" s="1"/>
  <c r="HV91" i="65"/>
  <c r="HU91" i="65" s="1"/>
  <c r="HV128" i="65"/>
  <c r="HU128" i="65" s="1"/>
  <c r="HV140" i="65"/>
  <c r="HU140" i="65" s="1"/>
  <c r="HV68" i="65"/>
  <c r="HU68" i="65" s="1"/>
  <c r="HV56" i="65"/>
  <c r="HU56" i="65" s="1"/>
  <c r="HV115" i="65"/>
  <c r="HU115" i="65" s="1"/>
  <c r="HV103" i="65"/>
  <c r="HU103" i="65" s="1"/>
  <c r="HV116" i="65"/>
  <c r="HU116" i="65" s="1"/>
  <c r="HV104" i="65"/>
  <c r="HU104" i="65" s="1"/>
  <c r="HV343" i="65"/>
  <c r="HU343" i="65" s="1"/>
  <c r="HV152" i="65"/>
  <c r="HU152" i="65" s="1"/>
  <c r="HV164" i="65"/>
  <c r="HU164" i="65" s="1"/>
  <c r="HV127" i="65"/>
  <c r="HU127" i="65" s="1"/>
  <c r="HV139" i="65"/>
  <c r="HU139" i="65" s="1"/>
  <c r="HV163" i="65"/>
  <c r="HU163" i="65" s="1"/>
  <c r="HV151" i="65"/>
  <c r="HU151" i="65" s="1"/>
  <c r="HV80" i="65"/>
  <c r="HU80" i="65" s="1"/>
  <c r="HV92" i="65"/>
  <c r="HU92" i="65" s="1"/>
  <c r="BJ13" i="67"/>
  <c r="IL141" i="54"/>
  <c r="IT141" i="54"/>
  <c r="IR141" i="54"/>
  <c r="IL142" i="54"/>
  <c r="EV26" i="66"/>
  <c r="EY26" i="66" s="1"/>
  <c r="AP382" i="54"/>
  <c r="IT142" i="54"/>
  <c r="IN142" i="54"/>
  <c r="IR142" i="54"/>
  <c r="IM141" i="54"/>
  <c r="IS141" i="54"/>
  <c r="IS142" i="54"/>
  <c r="IP148" i="54"/>
  <c r="IP146" i="54"/>
  <c r="IP154" i="54"/>
  <c r="IP147" i="54"/>
  <c r="IP149" i="54"/>
  <c r="AR382" i="54"/>
  <c r="AS382" i="54"/>
  <c r="DJ44" i="66"/>
  <c r="CP21" i="66"/>
  <c r="DM44" i="66" s="1"/>
  <c r="IP153" i="54"/>
  <c r="IP152" i="54"/>
  <c r="IP151" i="54"/>
  <c r="IP150" i="54"/>
  <c r="AS443" i="54"/>
  <c r="AP403" i="54"/>
  <c r="EA16" i="66"/>
  <c r="AP443" i="54"/>
  <c r="AR443" i="54"/>
  <c r="IG148" i="54"/>
  <c r="DG62" i="66"/>
  <c r="AQ403" i="54"/>
  <c r="AR403" i="54"/>
  <c r="DH24" i="66"/>
  <c r="DT23" i="66"/>
  <c r="DL45" i="66"/>
  <c r="DN44" i="66"/>
  <c r="BN503" i="54" s="1"/>
  <c r="BL421" i="54"/>
  <c r="BJ420" i="54"/>
  <c r="BK420" i="54"/>
  <c r="BL420" i="54"/>
  <c r="BM420" i="54"/>
  <c r="DO25" i="66"/>
  <c r="BD384" i="54"/>
  <c r="BA403" i="54"/>
  <c r="BC403" i="54"/>
  <c r="AZ403" i="54"/>
  <c r="BB403" i="54"/>
  <c r="AV403" i="54"/>
  <c r="AW403" i="54"/>
  <c r="AX403" i="54"/>
  <c r="AU403" i="54"/>
  <c r="BB363" i="54"/>
  <c r="AZ363" i="54"/>
  <c r="BC363" i="54"/>
  <c r="BA363" i="54"/>
  <c r="BA424" i="54"/>
  <c r="BB424" i="54"/>
  <c r="BC424" i="54"/>
  <c r="AZ424" i="54"/>
  <c r="DO44" i="66"/>
  <c r="DF45" i="66" s="1"/>
  <c r="AO504" i="54" s="1"/>
  <c r="BD363" i="54"/>
  <c r="BD443" i="54"/>
  <c r="BD403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DL24" i="66"/>
  <c r="BD483" i="54" s="1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DN25" i="66"/>
  <c r="BN484" i="54" s="1"/>
  <c r="CT13" i="66"/>
  <c r="DJ25" i="66" s="1"/>
  <c r="DK44" i="66"/>
  <c r="DK45" i="66"/>
  <c r="DG83" i="66"/>
  <c r="AT542" i="54" s="1"/>
  <c r="DS82" i="66"/>
  <c r="DK25" i="66"/>
  <c r="DK24" i="66"/>
  <c r="DM25" i="66"/>
  <c r="BI484" i="54" s="1"/>
  <c r="DM24" i="66"/>
  <c r="BI483" i="54" s="1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GH760" i="65" l="1"/>
  <c r="GK779" i="65"/>
  <c r="FO792" i="65"/>
  <c r="GE792" i="65" s="1"/>
  <c r="FO768" i="65"/>
  <c r="GE768" i="65" s="1"/>
  <c r="FO771" i="65"/>
  <c r="GE771" i="65" s="1"/>
  <c r="BL342" i="54"/>
  <c r="BM342" i="54"/>
  <c r="BJ342" i="54"/>
  <c r="BL422" i="54"/>
  <c r="BK421" i="54"/>
  <c r="BM421" i="54"/>
  <c r="BM341" i="54"/>
  <c r="BK341" i="54"/>
  <c r="BL341" i="54"/>
  <c r="BK422" i="54"/>
  <c r="BJ422" i="54"/>
  <c r="BM461" i="54"/>
  <c r="BK461" i="54"/>
  <c r="AV363" i="54"/>
  <c r="BK462" i="54"/>
  <c r="BL542" i="54"/>
  <c r="BJ542" i="54"/>
  <c r="BM542" i="54"/>
  <c r="AV443" i="54"/>
  <c r="AX443" i="54"/>
  <c r="AU443" i="54"/>
  <c r="BL462" i="54"/>
  <c r="BJ462" i="54"/>
  <c r="AX363" i="54"/>
  <c r="AW363" i="54"/>
  <c r="BL541" i="54"/>
  <c r="BK541" i="54"/>
  <c r="BJ541" i="54"/>
  <c r="BM540" i="54"/>
  <c r="BJ540" i="54"/>
  <c r="BC382" i="54"/>
  <c r="AV383" i="54"/>
  <c r="AW383" i="54"/>
  <c r="AU383" i="54"/>
  <c r="AQ383" i="54"/>
  <c r="AR383" i="54"/>
  <c r="AP383" i="54"/>
  <c r="BA382" i="54"/>
  <c r="BB382" i="54"/>
  <c r="BJ484" i="54"/>
  <c r="BK484" i="54"/>
  <c r="BL484" i="54"/>
  <c r="BM484" i="54"/>
  <c r="AX542" i="54"/>
  <c r="AU542" i="54"/>
  <c r="AV542" i="54"/>
  <c r="AW542" i="54"/>
  <c r="BR484" i="54"/>
  <c r="BQ484" i="54"/>
  <c r="BP484" i="54"/>
  <c r="BO484" i="54"/>
  <c r="BG483" i="54"/>
  <c r="BE483" i="54"/>
  <c r="BF483" i="54"/>
  <c r="BH483" i="54"/>
  <c r="BD444" i="54"/>
  <c r="BE444" i="54" s="1"/>
  <c r="BD504" i="54"/>
  <c r="BK483" i="54"/>
  <c r="BL483" i="54"/>
  <c r="BM483" i="54"/>
  <c r="BJ483" i="54"/>
  <c r="BO503" i="54"/>
  <c r="BP503" i="54"/>
  <c r="BR503" i="54"/>
  <c r="BQ503" i="54"/>
  <c r="AT421" i="54"/>
  <c r="AX421" i="54" s="1"/>
  <c r="AT521" i="54"/>
  <c r="AT461" i="54"/>
  <c r="BI403" i="54"/>
  <c r="BJ403" i="54" s="1"/>
  <c r="BI503" i="54"/>
  <c r="AP483" i="54"/>
  <c r="AQ483" i="54"/>
  <c r="AR483" i="54"/>
  <c r="AS483" i="54"/>
  <c r="BC482" i="54"/>
  <c r="AZ482" i="54"/>
  <c r="BA482" i="54"/>
  <c r="BB482" i="54"/>
  <c r="AQ504" i="54"/>
  <c r="AS504" i="54"/>
  <c r="AP504" i="54"/>
  <c r="AR504" i="54"/>
  <c r="AY383" i="54"/>
  <c r="BC383" i="54" s="1"/>
  <c r="AY483" i="54"/>
  <c r="AV483" i="54"/>
  <c r="AW483" i="54"/>
  <c r="AX483" i="54"/>
  <c r="AU483" i="54"/>
  <c r="HI154" i="54"/>
  <c r="HO154" i="54" s="1"/>
  <c r="IF154" i="54" s="1"/>
  <c r="IK154" i="54" s="1"/>
  <c r="HI152" i="54"/>
  <c r="HO152" i="54" s="1"/>
  <c r="IF152" i="54" s="1"/>
  <c r="IK152" i="54" s="1"/>
  <c r="HI150" i="54"/>
  <c r="HO150" i="54" s="1"/>
  <c r="IF150" i="54" s="1"/>
  <c r="IK150" i="54" s="1"/>
  <c r="HI149" i="54"/>
  <c r="HO149" i="54" s="1"/>
  <c r="IF149" i="54" s="1"/>
  <c r="IK149" i="54" s="1"/>
  <c r="HI146" i="54"/>
  <c r="HO146" i="54" s="1"/>
  <c r="IF146" i="54" s="1"/>
  <c r="IK146" i="54" s="1"/>
  <c r="HI153" i="54"/>
  <c r="HO153" i="54" s="1"/>
  <c r="IF153" i="54" s="1"/>
  <c r="IK153" i="54" s="1"/>
  <c r="HI148" i="54"/>
  <c r="HO148" i="54" s="1"/>
  <c r="IF148" i="54" s="1"/>
  <c r="IK148" i="54" s="1"/>
  <c r="HI151" i="54"/>
  <c r="HO151" i="54" s="1"/>
  <c r="IF151" i="54" s="1"/>
  <c r="IK151" i="54" s="1"/>
  <c r="HI147" i="54"/>
  <c r="HO147" i="54" s="1"/>
  <c r="IF147" i="54" s="1"/>
  <c r="IK147" i="54" s="1"/>
  <c r="HI145" i="54"/>
  <c r="HO145" i="54" s="1"/>
  <c r="IF145" i="54" s="1"/>
  <c r="IK145" i="54" s="1"/>
  <c r="K26" i="65"/>
  <c r="N26" i="65" s="1"/>
  <c r="HV211" i="65"/>
  <c r="HU211" i="65" s="1"/>
  <c r="HV199" i="65"/>
  <c r="HU199" i="65" s="1"/>
  <c r="K15" i="65"/>
  <c r="N15" i="65" s="1"/>
  <c r="EX26" i="66"/>
  <c r="EW26" i="66"/>
  <c r="BI443" i="54"/>
  <c r="BK443" i="54" s="1"/>
  <c r="BI363" i="54"/>
  <c r="BM363" i="54" s="1"/>
  <c r="DM45" i="66"/>
  <c r="DP44" i="66"/>
  <c r="DG45" i="66" s="1"/>
  <c r="AT341" i="54"/>
  <c r="AV341" i="54" s="1"/>
  <c r="DS62" i="66"/>
  <c r="DG63" i="66"/>
  <c r="DN45" i="66"/>
  <c r="BD364" i="54"/>
  <c r="BH364" i="54" s="1"/>
  <c r="DR44" i="66"/>
  <c r="BD404" i="54"/>
  <c r="BH404" i="54" s="1"/>
  <c r="DO45" i="66"/>
  <c r="DR45" i="66" s="1"/>
  <c r="DQ25" i="66"/>
  <c r="BN384" i="54"/>
  <c r="BF443" i="54"/>
  <c r="BE443" i="54"/>
  <c r="BG443" i="54"/>
  <c r="BH443" i="54"/>
  <c r="DP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Q44" i="66"/>
  <c r="DH45" i="66" s="1"/>
  <c r="AY504" i="54" s="1"/>
  <c r="BN443" i="54"/>
  <c r="BN363" i="54"/>
  <c r="BN403" i="54"/>
  <c r="DP24" i="66"/>
  <c r="BI383" i="54"/>
  <c r="DO24" i="66"/>
  <c r="DF25" i="66" s="1"/>
  <c r="BD383" i="54"/>
  <c r="AO404" i="54"/>
  <c r="AO364" i="54"/>
  <c r="AO444" i="54"/>
  <c r="BS13" i="67"/>
  <c r="BX13" i="67" s="1"/>
  <c r="CI13" i="67" s="1"/>
  <c r="BS16" i="67"/>
  <c r="BX16" i="67" s="1"/>
  <c r="HO144" i="54"/>
  <c r="IF144" i="54" s="1"/>
  <c r="IK144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N24" i="66"/>
  <c r="BN483" i="54" s="1"/>
  <c r="DJ24" i="66"/>
  <c r="DG84" i="66"/>
  <c r="AT543" i="54" s="1"/>
  <c r="DS83" i="66"/>
  <c r="BZ65" i="66"/>
  <c r="BU65" i="66"/>
  <c r="BW65" i="66" s="1"/>
  <c r="Q26" i="65" l="1"/>
  <c r="T26" i="65" s="1"/>
  <c r="FQ798" i="65"/>
  <c r="FQ802" i="65"/>
  <c r="FQ806" i="65"/>
  <c r="GG806" i="65" s="1"/>
  <c r="FQ810" i="65"/>
  <c r="FQ814" i="65"/>
  <c r="FQ818" i="65"/>
  <c r="FQ822" i="65"/>
  <c r="GG822" i="65" s="1"/>
  <c r="FQ826" i="65"/>
  <c r="FQ830" i="65"/>
  <c r="FQ795" i="65"/>
  <c r="FQ799" i="65"/>
  <c r="FQ803" i="65"/>
  <c r="FQ807" i="65"/>
  <c r="FQ811" i="65"/>
  <c r="FQ815" i="65"/>
  <c r="FQ819" i="65"/>
  <c r="FQ823" i="65"/>
  <c r="FQ827" i="65"/>
  <c r="FQ831" i="65"/>
  <c r="GJ831" i="65" s="1"/>
  <c r="FQ796" i="65"/>
  <c r="FQ800" i="65"/>
  <c r="FQ804" i="65"/>
  <c r="FQ808" i="65"/>
  <c r="FQ812" i="65"/>
  <c r="FQ816" i="65"/>
  <c r="FQ820" i="65"/>
  <c r="FQ824" i="65"/>
  <c r="FQ828" i="65"/>
  <c r="FQ832" i="65"/>
  <c r="FQ797" i="65"/>
  <c r="FQ801" i="65"/>
  <c r="GJ801" i="65" s="1"/>
  <c r="FQ805" i="65"/>
  <c r="FQ809" i="65"/>
  <c r="FQ813" i="65"/>
  <c r="FQ817" i="65"/>
  <c r="GJ817" i="65" s="1"/>
  <c r="FQ821" i="65"/>
  <c r="FQ825" i="65"/>
  <c r="FQ829" i="65"/>
  <c r="FQ362" i="65"/>
  <c r="FQ366" i="65"/>
  <c r="FQ370" i="65"/>
  <c r="FQ374" i="65"/>
  <c r="FQ378" i="65"/>
  <c r="FQ382" i="65"/>
  <c r="FQ386" i="65"/>
  <c r="FQ390" i="65"/>
  <c r="FQ394" i="65"/>
  <c r="FQ361" i="65"/>
  <c r="FQ365" i="65"/>
  <c r="FQ369" i="65"/>
  <c r="FQ373" i="65"/>
  <c r="FQ377" i="65"/>
  <c r="FQ381" i="65"/>
  <c r="FQ385" i="65"/>
  <c r="FQ389" i="65"/>
  <c r="FQ393" i="65"/>
  <c r="FQ397" i="65"/>
  <c r="FQ364" i="65"/>
  <c r="FQ372" i="65"/>
  <c r="FQ380" i="65"/>
  <c r="FQ388" i="65"/>
  <c r="FQ396" i="65"/>
  <c r="FQ367" i="65"/>
  <c r="FQ375" i="65"/>
  <c r="FQ383" i="65"/>
  <c r="FQ391" i="65"/>
  <c r="FQ360" i="65"/>
  <c r="FQ368" i="65"/>
  <c r="FQ376" i="65"/>
  <c r="FQ384" i="65"/>
  <c r="FQ392" i="65"/>
  <c r="FQ363" i="65"/>
  <c r="FQ371" i="65"/>
  <c r="FQ379" i="65"/>
  <c r="FQ387" i="65"/>
  <c r="FQ395" i="65"/>
  <c r="AU421" i="54"/>
  <c r="BM403" i="54"/>
  <c r="BH444" i="54"/>
  <c r="BG444" i="54"/>
  <c r="BF444" i="54"/>
  <c r="BL403" i="54"/>
  <c r="BK403" i="54"/>
  <c r="AV421" i="54"/>
  <c r="AW421" i="54"/>
  <c r="BA383" i="54"/>
  <c r="AZ383" i="54"/>
  <c r="BB383" i="54"/>
  <c r="BO483" i="54"/>
  <c r="BR483" i="54"/>
  <c r="BP483" i="54"/>
  <c r="BQ483" i="54"/>
  <c r="BN444" i="54"/>
  <c r="BO444" i="54" s="1"/>
  <c r="BN504" i="54"/>
  <c r="AT422" i="54"/>
  <c r="AX422" i="54" s="1"/>
  <c r="AT522" i="54"/>
  <c r="AT462" i="54"/>
  <c r="BI364" i="54"/>
  <c r="BJ364" i="54" s="1"/>
  <c r="BI504" i="54"/>
  <c r="AX521" i="54"/>
  <c r="AV521" i="54"/>
  <c r="AW521" i="54"/>
  <c r="AU521" i="54"/>
  <c r="BL503" i="54"/>
  <c r="BM503" i="54"/>
  <c r="BK503" i="54"/>
  <c r="BJ503" i="54"/>
  <c r="AU543" i="54"/>
  <c r="AV543" i="54"/>
  <c r="AW543" i="54"/>
  <c r="AX543" i="54"/>
  <c r="BH504" i="54"/>
  <c r="BF504" i="54"/>
  <c r="BE504" i="54"/>
  <c r="BG504" i="54"/>
  <c r="AZ504" i="54"/>
  <c r="BB504" i="54"/>
  <c r="BA504" i="54"/>
  <c r="BC504" i="54"/>
  <c r="AT364" i="54"/>
  <c r="AW364" i="54" s="1"/>
  <c r="AT504" i="54"/>
  <c r="AU461" i="54"/>
  <c r="AW461" i="54"/>
  <c r="AX461" i="54"/>
  <c r="AV461" i="54"/>
  <c r="IR154" i="54"/>
  <c r="IL154" i="54"/>
  <c r="IN154" i="54"/>
  <c r="IT154" i="54"/>
  <c r="IS154" i="54"/>
  <c r="IM154" i="54"/>
  <c r="DR25" i="66"/>
  <c r="AO484" i="54"/>
  <c r="BC483" i="54"/>
  <c r="BB483" i="54"/>
  <c r="AZ483" i="54"/>
  <c r="BA483" i="54"/>
  <c r="DZ26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GJ825" i="65"/>
  <c r="GG821" i="65"/>
  <c r="GG798" i="65"/>
  <c r="GG796" i="65"/>
  <c r="GG812" i="65"/>
  <c r="GG820" i="65"/>
  <c r="GJ809" i="65"/>
  <c r="GG797" i="65"/>
  <c r="GG828" i="65"/>
  <c r="GG814" i="65"/>
  <c r="GG813" i="65"/>
  <c r="GG804" i="65"/>
  <c r="GG805" i="65"/>
  <c r="GG829" i="65"/>
  <c r="DP45" i="66"/>
  <c r="DS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S44" i="66"/>
  <c r="BI404" i="54"/>
  <c r="BK404" i="54" s="1"/>
  <c r="BK363" i="54"/>
  <c r="BI444" i="54"/>
  <c r="BL444" i="54" s="1"/>
  <c r="AW341" i="54"/>
  <c r="AX341" i="54"/>
  <c r="DG64" i="66"/>
  <c r="DS63" i="66"/>
  <c r="AT342" i="54"/>
  <c r="AV342" i="54" s="1"/>
  <c r="DQ45" i="66"/>
  <c r="DT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T44" i="66"/>
  <c r="DS24" i="66"/>
  <c r="DR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BQ384" i="54"/>
  <c r="BR384" i="54"/>
  <c r="BP384" i="54"/>
  <c r="BO384" i="54"/>
  <c r="BK384" i="54"/>
  <c r="BL384" i="54"/>
  <c r="BJ384" i="54"/>
  <c r="BM384" i="54"/>
  <c r="DQ24" i="66"/>
  <c r="DT24" i="66" s="1"/>
  <c r="BN383" i="54"/>
  <c r="BG383" i="54"/>
  <c r="BE383" i="54"/>
  <c r="BH383" i="54"/>
  <c r="BF383" i="54"/>
  <c r="BR403" i="54"/>
  <c r="BQ403" i="54"/>
  <c r="BO403" i="54"/>
  <c r="BP403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G25" i="66"/>
  <c r="AT484" i="54" s="1"/>
  <c r="CJ29" i="66"/>
  <c r="CT29" i="66" s="1"/>
  <c r="DY17" i="66"/>
  <c r="FT361" i="65" l="1"/>
  <c r="FT365" i="65"/>
  <c r="FT369" i="65"/>
  <c r="FT373" i="65"/>
  <c r="FT377" i="65"/>
  <c r="FT381" i="65"/>
  <c r="FT385" i="65"/>
  <c r="FT363" i="65"/>
  <c r="FT367" i="65"/>
  <c r="FT371" i="65"/>
  <c r="FT375" i="65"/>
  <c r="FT379" i="65"/>
  <c r="FT383" i="65"/>
  <c r="FT387" i="65"/>
  <c r="FT391" i="65"/>
  <c r="FT395" i="65"/>
  <c r="FT360" i="65"/>
  <c r="FT364" i="65"/>
  <c r="FT368" i="65"/>
  <c r="FT372" i="65"/>
  <c r="FT376" i="65"/>
  <c r="FT380" i="65"/>
  <c r="FT384" i="65"/>
  <c r="FT388" i="65"/>
  <c r="FT392" i="65"/>
  <c r="FT396" i="65"/>
  <c r="FT374" i="65"/>
  <c r="FT389" i="65"/>
  <c r="FT397" i="65"/>
  <c r="FT362" i="65"/>
  <c r="FT378" i="65"/>
  <c r="FT390" i="65"/>
  <c r="FT366" i="65"/>
  <c r="FT382" i="65"/>
  <c r="FT393" i="65"/>
  <c r="FT370" i="65"/>
  <c r="FT386" i="65"/>
  <c r="FT394" i="65"/>
  <c r="FT797" i="65"/>
  <c r="FO797" i="65" s="1"/>
  <c r="GE797" i="65" s="1"/>
  <c r="FT801" i="65"/>
  <c r="GK801" i="65" s="1"/>
  <c r="FT805" i="65"/>
  <c r="FT809" i="65"/>
  <c r="FO809" i="65" s="1"/>
  <c r="GE809" i="65" s="1"/>
  <c r="FT813" i="65"/>
  <c r="GH813" i="65" s="1"/>
  <c r="FT817" i="65"/>
  <c r="GK817" i="65" s="1"/>
  <c r="FT821" i="65"/>
  <c r="FT825" i="65"/>
  <c r="FT829" i="65"/>
  <c r="GH829" i="65" s="1"/>
  <c r="FT798" i="65"/>
  <c r="GH798" i="65" s="1"/>
  <c r="FT795" i="65"/>
  <c r="FO795" i="65" s="1"/>
  <c r="GE795" i="65" s="1"/>
  <c r="FT799" i="65"/>
  <c r="FO799" i="65" s="1"/>
  <c r="GE799" i="65" s="1"/>
  <c r="FT803" i="65"/>
  <c r="FO803" i="65" s="1"/>
  <c r="GE803" i="65" s="1"/>
  <c r="FT807" i="65"/>
  <c r="FO807" i="65" s="1"/>
  <c r="GE807" i="65" s="1"/>
  <c r="FT811" i="65"/>
  <c r="FO811" i="65" s="1"/>
  <c r="GE811" i="65" s="1"/>
  <c r="FT815" i="65"/>
  <c r="FO815" i="65" s="1"/>
  <c r="GE815" i="65" s="1"/>
  <c r="FT819" i="65"/>
  <c r="FO819" i="65" s="1"/>
  <c r="GE819" i="65" s="1"/>
  <c r="FT823" i="65"/>
  <c r="FO823" i="65" s="1"/>
  <c r="GE823" i="65" s="1"/>
  <c r="FT827" i="65"/>
  <c r="FO827" i="65" s="1"/>
  <c r="GE827" i="65" s="1"/>
  <c r="FT831" i="65"/>
  <c r="GK831" i="65" s="1"/>
  <c r="FT796" i="65"/>
  <c r="GH796" i="65" s="1"/>
  <c r="FT800" i="65"/>
  <c r="FO800" i="65" s="1"/>
  <c r="GE800" i="65" s="1"/>
  <c r="FT804" i="65"/>
  <c r="FT808" i="65"/>
  <c r="FO808" i="65" s="1"/>
  <c r="GE808" i="65" s="1"/>
  <c r="FT812" i="65"/>
  <c r="GH812" i="65" s="1"/>
  <c r="FT816" i="65"/>
  <c r="FO816" i="65" s="1"/>
  <c r="GE816" i="65" s="1"/>
  <c r="FT820" i="65"/>
  <c r="FT824" i="65"/>
  <c r="FO824" i="65" s="1"/>
  <c r="GE824" i="65" s="1"/>
  <c r="FT828" i="65"/>
  <c r="FO828" i="65" s="1"/>
  <c r="GE828" i="65" s="1"/>
  <c r="FT832" i="65"/>
  <c r="FO832" i="65" s="1"/>
  <c r="GE832" i="65" s="1"/>
  <c r="FT802" i="65"/>
  <c r="FO802" i="65" s="1"/>
  <c r="GE802" i="65" s="1"/>
  <c r="FT818" i="65"/>
  <c r="FO818" i="65" s="1"/>
  <c r="GE818" i="65" s="1"/>
  <c r="FT806" i="65"/>
  <c r="GH806" i="65" s="1"/>
  <c r="FT822" i="65"/>
  <c r="GH822" i="65" s="1"/>
  <c r="FT810" i="65"/>
  <c r="FO810" i="65" s="1"/>
  <c r="GE810" i="65" s="1"/>
  <c r="FT826" i="65"/>
  <c r="FO826" i="65" s="1"/>
  <c r="GE826" i="65" s="1"/>
  <c r="FT814" i="65"/>
  <c r="FO814" i="65" s="1"/>
  <c r="GE814" i="65" s="1"/>
  <c r="FT830" i="65"/>
  <c r="FO830" i="65" s="1"/>
  <c r="GE830" i="65" s="1"/>
  <c r="BM364" i="54"/>
  <c r="AU422" i="54"/>
  <c r="AW422" i="54"/>
  <c r="AU364" i="54"/>
  <c r="AX364" i="54"/>
  <c r="AV364" i="54"/>
  <c r="BQ444" i="54"/>
  <c r="BK364" i="54"/>
  <c r="BL364" i="54"/>
  <c r="AV422" i="54"/>
  <c r="BR444" i="54"/>
  <c r="BP444" i="54"/>
  <c r="AT423" i="54"/>
  <c r="AW423" i="54" s="1"/>
  <c r="AT523" i="54"/>
  <c r="AT463" i="54"/>
  <c r="AX522" i="54"/>
  <c r="AU522" i="54"/>
  <c r="AW522" i="54"/>
  <c r="AV522" i="54"/>
  <c r="BL504" i="54"/>
  <c r="BJ504" i="54"/>
  <c r="BM504" i="54"/>
  <c r="BK504" i="54"/>
  <c r="BP504" i="54"/>
  <c r="BO504" i="54"/>
  <c r="BR504" i="54"/>
  <c r="BQ504" i="54"/>
  <c r="AV504" i="54"/>
  <c r="AW504" i="54"/>
  <c r="AX504" i="54"/>
  <c r="AU504" i="54"/>
  <c r="AW462" i="54"/>
  <c r="AU462" i="54"/>
  <c r="AV462" i="54"/>
  <c r="AX462" i="54"/>
  <c r="AR484" i="54"/>
  <c r="AS484" i="54"/>
  <c r="AP484" i="54"/>
  <c r="AQ484" i="54"/>
  <c r="AV484" i="54"/>
  <c r="AW484" i="54"/>
  <c r="AX484" i="54"/>
  <c r="AU484" i="54"/>
  <c r="HG91" i="65"/>
  <c r="CJ33" i="65"/>
  <c r="HG49" i="65"/>
  <c r="CJ20" i="65"/>
  <c r="GH805" i="65"/>
  <c r="FO805" i="65"/>
  <c r="GE805" i="65" s="1"/>
  <c r="FO812" i="65"/>
  <c r="GE812" i="65" s="1"/>
  <c r="FO796" i="65"/>
  <c r="GE796" i="65" s="1"/>
  <c r="K27" i="65"/>
  <c r="N27" i="65" s="1"/>
  <c r="HG95" i="65"/>
  <c r="CJ34" i="65"/>
  <c r="HV487" i="65"/>
  <c r="HU487" i="65" s="1"/>
  <c r="HV499" i="65"/>
  <c r="HU499" i="65" s="1"/>
  <c r="GH804" i="65"/>
  <c r="FO804" i="65"/>
  <c r="GE804" i="65" s="1"/>
  <c r="GH814" i="65"/>
  <c r="FO831" i="65"/>
  <c r="GE831" i="65" s="1"/>
  <c r="GH828" i="65"/>
  <c r="FO798" i="65"/>
  <c r="GE798" i="65" s="1"/>
  <c r="GH820" i="65"/>
  <c r="FO820" i="65"/>
  <c r="GE820" i="65" s="1"/>
  <c r="K16" i="65"/>
  <c r="N16" i="65" s="1"/>
  <c r="GH821" i="65"/>
  <c r="FO821" i="65"/>
  <c r="GE821" i="65" s="1"/>
  <c r="GH797" i="65"/>
  <c r="DZ15" i="65"/>
  <c r="HG45" i="65"/>
  <c r="CJ19" i="65"/>
  <c r="GK825" i="65"/>
  <c r="FO825" i="65"/>
  <c r="GE825" i="65" s="1"/>
  <c r="FO822" i="65"/>
  <c r="GE822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H25" i="66"/>
  <c r="AR384" i="54"/>
  <c r="AQ384" i="54"/>
  <c r="AP384" i="54"/>
  <c r="BC364" i="54"/>
  <c r="BB364" i="54"/>
  <c r="AZ364" i="54"/>
  <c r="BA364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S25" i="66"/>
  <c r="AT384" i="54"/>
  <c r="CP29" i="66"/>
  <c r="DM84" i="66" s="1"/>
  <c r="EA17" i="66"/>
  <c r="EB17" i="66" s="1"/>
  <c r="DJ64" i="66"/>
  <c r="DJ84" i="66"/>
  <c r="DJ65" i="66"/>
  <c r="DJ85" i="66"/>
  <c r="FO813" i="65" l="1"/>
  <c r="GE813" i="65" s="1"/>
  <c r="GK809" i="65"/>
  <c r="FO829" i="65"/>
  <c r="GE829" i="65" s="1"/>
  <c r="FO806" i="65"/>
  <c r="GE806" i="65" s="1"/>
  <c r="FO801" i="65"/>
  <c r="GE801" i="65" s="1"/>
  <c r="FO817" i="65"/>
  <c r="GE817" i="65" s="1"/>
  <c r="FQ398" i="65"/>
  <c r="FQ402" i="65"/>
  <c r="FQ406" i="65"/>
  <c r="FQ410" i="65"/>
  <c r="FQ414" i="65"/>
  <c r="FQ418" i="65"/>
  <c r="FQ422" i="65"/>
  <c r="FQ426" i="65"/>
  <c r="FQ430" i="65"/>
  <c r="FQ434" i="65"/>
  <c r="FQ438" i="65"/>
  <c r="FQ401" i="65"/>
  <c r="FQ405" i="65"/>
  <c r="FQ409" i="65"/>
  <c r="FQ413" i="65"/>
  <c r="FQ417" i="65"/>
  <c r="FQ421" i="65"/>
  <c r="FQ425" i="65"/>
  <c r="FQ429" i="65"/>
  <c r="FQ433" i="65"/>
  <c r="FQ437" i="65"/>
  <c r="FQ404" i="65"/>
  <c r="FQ412" i="65"/>
  <c r="FQ420" i="65"/>
  <c r="FQ428" i="65"/>
  <c r="FQ436" i="65"/>
  <c r="FQ399" i="65"/>
  <c r="FQ407" i="65"/>
  <c r="FQ415" i="65"/>
  <c r="FQ423" i="65"/>
  <c r="FQ431" i="65"/>
  <c r="FQ439" i="65"/>
  <c r="FQ400" i="65"/>
  <c r="FQ408" i="65"/>
  <c r="FQ416" i="65"/>
  <c r="FQ424" i="65"/>
  <c r="FQ432" i="65"/>
  <c r="FQ440" i="65"/>
  <c r="FQ403" i="65"/>
  <c r="FQ411" i="65"/>
  <c r="FQ419" i="65"/>
  <c r="FQ427" i="65"/>
  <c r="FQ435" i="65"/>
  <c r="FQ834" i="65"/>
  <c r="GG834" i="65" s="1"/>
  <c r="FQ838" i="65"/>
  <c r="FQ842" i="65"/>
  <c r="FQ846" i="65"/>
  <c r="FQ850" i="65"/>
  <c r="GG850" i="65" s="1"/>
  <c r="FQ854" i="65"/>
  <c r="FQ858" i="65"/>
  <c r="FQ862" i="65"/>
  <c r="FQ866" i="65"/>
  <c r="GG866" i="65" s="1"/>
  <c r="FQ870" i="65"/>
  <c r="FQ874" i="65"/>
  <c r="FQ835" i="65"/>
  <c r="FQ839" i="65"/>
  <c r="GJ839" i="65" s="1"/>
  <c r="FQ843" i="65"/>
  <c r="GG843" i="65" s="1"/>
  <c r="FQ847" i="65"/>
  <c r="FQ851" i="65"/>
  <c r="FQ855" i="65"/>
  <c r="GJ855" i="65" s="1"/>
  <c r="FQ859" i="65"/>
  <c r="GG859" i="65" s="1"/>
  <c r="FQ863" i="65"/>
  <c r="FQ867" i="65"/>
  <c r="FQ871" i="65"/>
  <c r="FQ875" i="65"/>
  <c r="FQ836" i="65"/>
  <c r="FQ840" i="65"/>
  <c r="FQ844" i="65"/>
  <c r="GG844" i="65" s="1"/>
  <c r="FQ848" i="65"/>
  <c r="FQ852" i="65"/>
  <c r="FQ856" i="65"/>
  <c r="FQ860" i="65"/>
  <c r="GG860" i="65" s="1"/>
  <c r="FQ864" i="65"/>
  <c r="FQ868" i="65"/>
  <c r="FQ872" i="65"/>
  <c r="FQ833" i="65"/>
  <c r="FQ837" i="65"/>
  <c r="FQ841" i="65"/>
  <c r="FQ845" i="65"/>
  <c r="FQ849" i="65"/>
  <c r="FQ853" i="65"/>
  <c r="FQ857" i="65"/>
  <c r="FQ861" i="65"/>
  <c r="FQ865" i="65"/>
  <c r="FQ869" i="65"/>
  <c r="FQ873" i="65"/>
  <c r="GG873" i="65" s="1"/>
  <c r="AX423" i="54"/>
  <c r="AV423" i="54"/>
  <c r="AU423" i="54"/>
  <c r="AU463" i="54"/>
  <c r="AV463" i="54"/>
  <c r="AX463" i="54"/>
  <c r="AW463" i="54"/>
  <c r="AU523" i="54"/>
  <c r="AV523" i="54"/>
  <c r="AX523" i="54"/>
  <c r="AW523" i="54"/>
  <c r="DP84" i="66"/>
  <c r="DS84" i="66" s="1"/>
  <c r="BI543" i="54"/>
  <c r="DT25" i="66"/>
  <c r="AY484" i="54"/>
  <c r="GJ863" i="65"/>
  <c r="GG851" i="65"/>
  <c r="GG852" i="65"/>
  <c r="GG842" i="65"/>
  <c r="GJ847" i="65"/>
  <c r="GG867" i="65"/>
  <c r="GG872" i="65"/>
  <c r="GG835" i="65"/>
  <c r="GG874" i="65"/>
  <c r="GG858" i="65"/>
  <c r="GG836" i="65"/>
  <c r="GG868" i="65"/>
  <c r="Q27" i="65"/>
  <c r="T27" i="65" s="1"/>
  <c r="HV235" i="65"/>
  <c r="HU235" i="65" s="1"/>
  <c r="HV223" i="65"/>
  <c r="HU223" i="65" s="1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C17" i="66"/>
  <c r="EC18" i="66"/>
  <c r="DM65" i="66"/>
  <c r="DM85" i="66"/>
  <c r="DM64" i="66"/>
  <c r="FT833" i="65" l="1"/>
  <c r="FT837" i="65"/>
  <c r="FT841" i="65"/>
  <c r="FO841" i="65" s="1"/>
  <c r="GE841" i="65" s="1"/>
  <c r="FT845" i="65"/>
  <c r="FT849" i="65"/>
  <c r="FT853" i="65"/>
  <c r="FT857" i="65"/>
  <c r="FO857" i="65" s="1"/>
  <c r="GE857" i="65" s="1"/>
  <c r="FT861" i="65"/>
  <c r="FT865" i="65"/>
  <c r="FT869" i="65"/>
  <c r="FT873" i="65"/>
  <c r="FT835" i="65"/>
  <c r="FT839" i="65"/>
  <c r="FT843" i="65"/>
  <c r="FT847" i="65"/>
  <c r="FT851" i="65"/>
  <c r="FT855" i="65"/>
  <c r="FT859" i="65"/>
  <c r="FT863" i="65"/>
  <c r="FT867" i="65"/>
  <c r="FT871" i="65"/>
  <c r="FT875" i="65"/>
  <c r="FT836" i="65"/>
  <c r="FT840" i="65"/>
  <c r="FT844" i="65"/>
  <c r="FT848" i="65"/>
  <c r="FT852" i="65"/>
  <c r="FT856" i="65"/>
  <c r="FT860" i="65"/>
  <c r="FT864" i="65"/>
  <c r="FT868" i="65"/>
  <c r="FT872" i="65"/>
  <c r="FT834" i="65"/>
  <c r="FT850" i="65"/>
  <c r="FT866" i="65"/>
  <c r="FT838" i="65"/>
  <c r="FT854" i="65"/>
  <c r="FT870" i="65"/>
  <c r="FT842" i="65"/>
  <c r="FT858" i="65"/>
  <c r="FT874" i="65"/>
  <c r="FT846" i="65"/>
  <c r="FT862" i="65"/>
  <c r="FO862" i="65" s="1"/>
  <c r="GE862" i="65" s="1"/>
  <c r="FT399" i="65"/>
  <c r="FT403" i="65"/>
  <c r="FT407" i="65"/>
  <c r="FT411" i="65"/>
  <c r="FT415" i="65"/>
  <c r="FT419" i="65"/>
  <c r="FT423" i="65"/>
  <c r="FT427" i="65"/>
  <c r="FT431" i="65"/>
  <c r="FT435" i="65"/>
  <c r="FT439" i="65"/>
  <c r="FT400" i="65"/>
  <c r="FT404" i="65"/>
  <c r="FT408" i="65"/>
  <c r="FT412" i="65"/>
  <c r="FT416" i="65"/>
  <c r="FT420" i="65"/>
  <c r="FT424" i="65"/>
  <c r="FT428" i="65"/>
  <c r="FT432" i="65"/>
  <c r="FT436" i="65"/>
  <c r="FT440" i="65"/>
  <c r="FT405" i="65"/>
  <c r="FT413" i="65"/>
  <c r="FT421" i="65"/>
  <c r="FT429" i="65"/>
  <c r="FT437" i="65"/>
  <c r="FT398" i="65"/>
  <c r="FT406" i="65"/>
  <c r="FT414" i="65"/>
  <c r="FT422" i="65"/>
  <c r="FT430" i="65"/>
  <c r="FT438" i="65"/>
  <c r="FT401" i="65"/>
  <c r="FT409" i="65"/>
  <c r="FT417" i="65"/>
  <c r="FT425" i="65"/>
  <c r="FT433" i="65"/>
  <c r="FT402" i="65"/>
  <c r="FT410" i="65"/>
  <c r="FT418" i="65"/>
  <c r="FT426" i="65"/>
  <c r="FT434" i="65"/>
  <c r="DG85" i="66"/>
  <c r="AT544" i="54" s="1"/>
  <c r="AX544" i="54" s="1"/>
  <c r="BI524" i="54"/>
  <c r="BI464" i="54"/>
  <c r="DP85" i="66"/>
  <c r="BI544" i="54"/>
  <c r="BI523" i="54"/>
  <c r="BI463" i="54"/>
  <c r="BK543" i="54"/>
  <c r="BL543" i="54"/>
  <c r="BM543" i="54"/>
  <c r="BJ543" i="54"/>
  <c r="AZ484" i="54"/>
  <c r="BA484" i="54"/>
  <c r="BB484" i="54"/>
  <c r="BC484" i="54"/>
  <c r="FO845" i="65"/>
  <c r="GE845" i="65" s="1"/>
  <c r="FO861" i="65"/>
  <c r="GE861" i="65" s="1"/>
  <c r="FO869" i="65"/>
  <c r="GE869" i="65" s="1"/>
  <c r="FO865" i="65"/>
  <c r="GE865" i="65" s="1"/>
  <c r="FO853" i="65"/>
  <c r="GE853" i="65" s="1"/>
  <c r="FO856" i="65"/>
  <c r="GE856" i="65" s="1"/>
  <c r="FO870" i="65"/>
  <c r="GE870" i="65" s="1"/>
  <c r="FO848" i="65"/>
  <c r="GE848" i="65" s="1"/>
  <c r="DZ27" i="65"/>
  <c r="FO864" i="65"/>
  <c r="GE864" i="65" s="1"/>
  <c r="FO837" i="65"/>
  <c r="GE837" i="65" s="1"/>
  <c r="FO846" i="65"/>
  <c r="GE846" i="65" s="1"/>
  <c r="FO871" i="65"/>
  <c r="GE871" i="65" s="1"/>
  <c r="FO840" i="65"/>
  <c r="GE840" i="65" s="1"/>
  <c r="FO854" i="65"/>
  <c r="GE854" i="65" s="1"/>
  <c r="FO833" i="65"/>
  <c r="GE833" i="65" s="1"/>
  <c r="FO875" i="65"/>
  <c r="GE875" i="65" s="1"/>
  <c r="FO849" i="65"/>
  <c r="GE849" i="65" s="1"/>
  <c r="FO838" i="65"/>
  <c r="GE838" i="65" s="1"/>
  <c r="DZ16" i="65"/>
  <c r="AZ384" i="54"/>
  <c r="BB384" i="54"/>
  <c r="BA384" i="54"/>
  <c r="DP65" i="66"/>
  <c r="BI344" i="54"/>
  <c r="BI424" i="54"/>
  <c r="DP64" i="66"/>
  <c r="DG65" i="66" s="1"/>
  <c r="BI343" i="54"/>
  <c r="BI423" i="54"/>
  <c r="AU544" i="54" l="1"/>
  <c r="DS85" i="66"/>
  <c r="AV544" i="54"/>
  <c r="AW544" i="54"/>
  <c r="BK544" i="54"/>
  <c r="BM544" i="54"/>
  <c r="BJ544" i="54"/>
  <c r="BL544" i="54"/>
  <c r="BK463" i="54"/>
  <c r="BJ463" i="54"/>
  <c r="BL463" i="54"/>
  <c r="BM463" i="54"/>
  <c r="BL464" i="54"/>
  <c r="BK464" i="54"/>
  <c r="BJ464" i="54"/>
  <c r="BM464" i="54"/>
  <c r="AT524" i="54"/>
  <c r="AT464" i="54"/>
  <c r="BJ523" i="54"/>
  <c r="BL523" i="54"/>
  <c r="BM523" i="54"/>
  <c r="BK523" i="54"/>
  <c r="BK524" i="54"/>
  <c r="BJ524" i="54"/>
  <c r="BM524" i="54"/>
  <c r="BL524" i="54"/>
  <c r="GH860" i="65"/>
  <c r="FO860" i="65"/>
  <c r="GE860" i="65" s="1"/>
  <c r="HV259" i="65"/>
  <c r="HU259" i="65" s="1"/>
  <c r="HV247" i="65"/>
  <c r="HU247" i="65" s="1"/>
  <c r="GK855" i="65"/>
  <c r="FO855" i="65"/>
  <c r="GE855" i="65" s="1"/>
  <c r="GH872" i="65"/>
  <c r="FO872" i="65"/>
  <c r="GE872" i="65" s="1"/>
  <c r="GH868" i="65"/>
  <c r="FO868" i="65"/>
  <c r="GE868" i="65" s="1"/>
  <c r="GH859" i="65"/>
  <c r="FO859" i="65"/>
  <c r="GE859" i="65" s="1"/>
  <c r="GH850" i="65"/>
  <c r="FO850" i="65"/>
  <c r="GE850" i="65" s="1"/>
  <c r="GK863" i="65"/>
  <c r="FO863" i="65"/>
  <c r="GE863" i="65" s="1"/>
  <c r="GH873" i="65"/>
  <c r="FO873" i="65"/>
  <c r="GE873" i="65" s="1"/>
  <c r="HV523" i="65"/>
  <c r="HU523" i="65" s="1"/>
  <c r="HV511" i="65"/>
  <c r="HU511" i="65" s="1"/>
  <c r="GH844" i="65"/>
  <c r="FO844" i="65"/>
  <c r="GE844" i="65" s="1"/>
  <c r="GH858" i="65"/>
  <c r="FO858" i="65"/>
  <c r="GE858" i="65" s="1"/>
  <c r="GK839" i="65"/>
  <c r="FO839" i="65"/>
  <c r="GE839" i="65" s="1"/>
  <c r="GH834" i="65"/>
  <c r="FO834" i="65"/>
  <c r="GE834" i="65" s="1"/>
  <c r="GH867" i="65"/>
  <c r="FO867" i="65"/>
  <c r="GE867" i="65" s="1"/>
  <c r="GH851" i="65"/>
  <c r="FO851" i="65"/>
  <c r="GE851" i="65" s="1"/>
  <c r="GH843" i="65"/>
  <c r="FO843" i="65"/>
  <c r="GE843" i="65" s="1"/>
  <c r="GH835" i="65"/>
  <c r="FO835" i="65"/>
  <c r="GE835" i="65" s="1"/>
  <c r="GH874" i="65"/>
  <c r="FO874" i="65"/>
  <c r="GE874" i="65" s="1"/>
  <c r="GK847" i="65"/>
  <c r="FO847" i="65"/>
  <c r="GE847" i="65" s="1"/>
  <c r="GH836" i="65"/>
  <c r="FO836" i="65"/>
  <c r="GE836" i="65" s="1"/>
  <c r="GH866" i="65"/>
  <c r="FO866" i="65"/>
  <c r="GE866" i="65" s="1"/>
  <c r="GH852" i="65"/>
  <c r="FO852" i="65"/>
  <c r="GE852" i="65" s="1"/>
  <c r="GH842" i="65"/>
  <c r="FO842" i="65"/>
  <c r="GE842" i="65" s="1"/>
  <c r="DS65" i="66"/>
  <c r="DS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64" i="54" l="1"/>
  <c r="AX464" i="54"/>
  <c r="AU464" i="54"/>
  <c r="AW464" i="54"/>
  <c r="AU524" i="54"/>
  <c r="AW524" i="54"/>
  <c r="AX524" i="54"/>
  <c r="AV524" i="54"/>
  <c r="AV424" i="54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S21" i="65"/>
  <c r="GS22" i="65"/>
  <c r="GS23" i="65"/>
  <c r="GS24" i="65"/>
  <c r="GS25" i="65"/>
  <c r="GS26" i="65"/>
  <c r="GS27" i="65"/>
  <c r="GS28" i="65"/>
  <c r="GS29" i="65"/>
  <c r="GS30" i="65"/>
  <c r="GS31" i="65"/>
  <c r="GS32" i="65"/>
  <c r="GS33" i="65"/>
  <c r="GS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D224" i="65"/>
  <c r="GC224" i="65"/>
  <c r="GD324" i="65"/>
  <c r="GC324" i="65"/>
  <c r="GD436" i="65"/>
  <c r="GC436" i="65"/>
  <c r="GD72" i="65"/>
  <c r="GC72" i="65"/>
  <c r="GD31" i="65"/>
  <c r="GC31" i="65"/>
  <c r="GD395" i="65"/>
  <c r="GC395" i="65"/>
  <c r="GD403" i="65"/>
  <c r="GC403" i="65"/>
  <c r="GD363" i="65"/>
  <c r="GC363" i="65"/>
  <c r="GC15" i="65"/>
  <c r="GD15" i="65"/>
  <c r="GD375" i="65"/>
  <c r="GC375" i="65"/>
  <c r="GD212" i="65"/>
  <c r="GC212" i="65"/>
  <c r="GD351" i="65"/>
  <c r="GC351" i="65"/>
  <c r="GD36" i="65"/>
  <c r="GC36" i="65"/>
  <c r="GD308" i="65"/>
  <c r="GC308" i="65"/>
  <c r="GC275" i="65"/>
  <c r="GD275" i="65"/>
  <c r="GC253" i="65"/>
  <c r="GD253" i="65"/>
  <c r="GD116" i="65"/>
  <c r="GC116" i="65"/>
  <c r="GD159" i="65"/>
  <c r="GC159" i="65"/>
  <c r="GD223" i="65"/>
  <c r="GC223" i="65"/>
  <c r="GD280" i="65"/>
  <c r="GC280" i="65"/>
  <c r="GD296" i="65"/>
  <c r="GC296" i="65"/>
  <c r="GD408" i="65"/>
  <c r="GC408" i="65"/>
  <c r="GC424" i="65"/>
  <c r="GD424" i="65"/>
  <c r="GC167" i="65"/>
  <c r="GD167" i="65"/>
  <c r="GC311" i="65"/>
  <c r="GD311" i="65"/>
  <c r="GD439" i="65"/>
  <c r="GC439" i="65"/>
  <c r="GD320" i="65"/>
  <c r="GC320" i="65"/>
  <c r="GD416" i="65"/>
  <c r="GC416" i="65"/>
  <c r="GD188" i="65"/>
  <c r="GC188" i="65"/>
  <c r="GC353" i="65"/>
  <c r="GD353" i="65"/>
  <c r="GD79" i="65"/>
  <c r="GC79" i="65"/>
  <c r="GD235" i="65"/>
  <c r="GC235" i="65"/>
  <c r="GD252" i="65"/>
  <c r="GC252" i="65"/>
  <c r="GD268" i="65"/>
  <c r="GC268" i="65"/>
  <c r="GC380" i="65"/>
  <c r="GD380" i="65"/>
  <c r="GC396" i="65"/>
  <c r="GD396" i="65"/>
  <c r="GC303" i="65"/>
  <c r="GD303" i="65"/>
  <c r="GD367" i="65"/>
  <c r="GC367" i="65"/>
  <c r="GD431" i="65"/>
  <c r="GC431" i="65"/>
  <c r="GD6" i="65"/>
  <c r="GC6" i="65"/>
  <c r="GD179" i="65"/>
  <c r="GC179" i="65"/>
  <c r="GC295" i="65"/>
  <c r="GD295" i="65"/>
  <c r="GD423" i="65"/>
  <c r="GC423" i="65"/>
  <c r="GD323" i="65"/>
  <c r="GC323" i="65"/>
  <c r="GD409" i="65"/>
  <c r="GC409" i="65"/>
  <c r="GD169" i="65"/>
  <c r="GC169" i="65"/>
  <c r="GC233" i="65"/>
  <c r="GD233" i="65"/>
  <c r="GD148" i="65"/>
  <c r="GC148" i="65"/>
  <c r="GD191" i="65"/>
  <c r="GC191" i="65"/>
  <c r="GC231" i="65"/>
  <c r="GD231" i="65"/>
  <c r="GD339" i="65"/>
  <c r="GC339" i="65"/>
  <c r="GD20" i="65"/>
  <c r="GC20" i="65"/>
  <c r="GD29" i="65"/>
  <c r="GC29" i="65"/>
  <c r="GD45" i="65"/>
  <c r="GC45" i="65"/>
  <c r="GC61" i="65"/>
  <c r="GD61" i="65"/>
  <c r="GD77" i="65"/>
  <c r="GC77" i="65"/>
  <c r="GD93" i="65"/>
  <c r="GC93" i="65"/>
  <c r="GD109" i="65"/>
  <c r="GC109" i="65"/>
  <c r="GC125" i="65"/>
  <c r="GD125" i="65"/>
  <c r="GC141" i="65"/>
  <c r="GD141" i="65"/>
  <c r="GD157" i="65"/>
  <c r="GC157" i="65"/>
  <c r="GD173" i="65"/>
  <c r="GC173" i="65"/>
  <c r="GC189" i="65"/>
  <c r="GD189" i="65"/>
  <c r="GC205" i="65"/>
  <c r="GD205" i="65"/>
  <c r="GD221" i="65"/>
  <c r="GC221" i="65"/>
  <c r="GD237" i="65"/>
  <c r="GC237" i="65"/>
  <c r="GD47" i="65"/>
  <c r="GC47" i="65"/>
  <c r="GD68" i="65"/>
  <c r="GC68" i="65"/>
  <c r="GC90" i="65"/>
  <c r="GD90" i="65"/>
  <c r="GC111" i="65"/>
  <c r="GD111" i="65"/>
  <c r="GD132" i="65"/>
  <c r="GC132" i="65"/>
  <c r="GC154" i="65"/>
  <c r="GD154" i="65"/>
  <c r="GC175" i="65"/>
  <c r="GD175" i="65"/>
  <c r="GD196" i="65"/>
  <c r="GC196" i="65"/>
  <c r="GC218" i="65"/>
  <c r="GD218" i="65"/>
  <c r="GC239" i="65"/>
  <c r="GD239" i="65"/>
  <c r="GD255" i="65"/>
  <c r="GC255" i="65"/>
  <c r="GD27" i="65"/>
  <c r="GC27" i="65"/>
  <c r="GC54" i="65"/>
  <c r="GD54" i="65"/>
  <c r="GD75" i="65"/>
  <c r="GC75" i="65"/>
  <c r="GD96" i="65"/>
  <c r="GC96" i="65"/>
  <c r="GD118" i="65"/>
  <c r="GC118" i="65"/>
  <c r="GD139" i="65"/>
  <c r="GC139" i="65"/>
  <c r="GD160" i="65"/>
  <c r="GC160" i="65"/>
  <c r="GD182" i="65"/>
  <c r="GC182" i="65"/>
  <c r="GD203" i="65"/>
  <c r="GC203" i="65"/>
  <c r="GD244" i="65"/>
  <c r="GC244" i="65"/>
  <c r="GD260" i="65"/>
  <c r="GC260" i="65"/>
  <c r="GD276" i="65"/>
  <c r="GC276" i="65"/>
  <c r="GD292" i="65"/>
  <c r="GC292" i="65"/>
  <c r="GD340" i="65"/>
  <c r="GC340" i="65"/>
  <c r="GD356" i="65"/>
  <c r="GC356" i="65"/>
  <c r="GD372" i="65"/>
  <c r="GC372" i="65"/>
  <c r="GD388" i="65"/>
  <c r="GC388" i="65"/>
  <c r="GD404" i="65"/>
  <c r="GC404" i="65"/>
  <c r="GD420" i="65"/>
  <c r="GC420" i="65"/>
  <c r="GD8" i="65"/>
  <c r="GC8" i="65"/>
  <c r="GC22" i="65"/>
  <c r="GD22" i="65"/>
  <c r="GC71" i="65"/>
  <c r="GD71" i="65"/>
  <c r="GC114" i="65"/>
  <c r="GD114" i="65"/>
  <c r="GD156" i="65"/>
  <c r="GC156" i="65"/>
  <c r="GD199" i="65"/>
  <c r="GC199" i="65"/>
  <c r="GD241" i="65"/>
  <c r="GC241" i="65"/>
  <c r="GD271" i="65"/>
  <c r="GC271" i="65"/>
  <c r="GD293" i="65"/>
  <c r="GC293" i="65"/>
  <c r="GC314" i="65"/>
  <c r="GD314" i="65"/>
  <c r="GD335" i="65"/>
  <c r="GC335" i="65"/>
  <c r="GD357" i="65"/>
  <c r="GC357" i="65"/>
  <c r="GC378" i="65"/>
  <c r="GD378" i="65"/>
  <c r="GD399" i="65"/>
  <c r="GC399" i="65"/>
  <c r="GD421" i="65"/>
  <c r="GC421" i="65"/>
  <c r="GD9" i="65"/>
  <c r="GC9" i="65"/>
  <c r="GD307" i="65"/>
  <c r="GC307" i="65"/>
  <c r="GC350" i="65"/>
  <c r="GD350" i="65"/>
  <c r="GD393" i="65"/>
  <c r="GC393" i="65"/>
  <c r="GD435" i="65"/>
  <c r="GC435" i="65"/>
  <c r="GC23" i="65"/>
  <c r="GD23" i="65"/>
  <c r="GD115" i="65"/>
  <c r="GC115" i="65"/>
  <c r="GC158" i="65"/>
  <c r="GD158" i="65"/>
  <c r="GD200" i="65"/>
  <c r="GC200" i="65"/>
  <c r="GC242" i="65"/>
  <c r="GD242" i="65"/>
  <c r="GD273" i="65"/>
  <c r="GC273" i="65"/>
  <c r="GD294" i="65"/>
  <c r="GC294" i="65"/>
  <c r="GD315" i="65"/>
  <c r="GC315" i="65"/>
  <c r="GC337" i="65"/>
  <c r="GD337" i="65"/>
  <c r="GC358" i="65"/>
  <c r="GD358" i="65"/>
  <c r="GD379" i="65"/>
  <c r="GC379" i="65"/>
  <c r="GC401" i="65"/>
  <c r="GD401" i="65"/>
  <c r="GC422" i="65"/>
  <c r="GD422" i="65"/>
  <c r="GC10" i="65"/>
  <c r="GD10" i="65"/>
  <c r="GD55" i="65"/>
  <c r="GC55" i="65"/>
  <c r="GC98" i="65"/>
  <c r="GD98" i="65"/>
  <c r="GD140" i="65"/>
  <c r="GC140" i="65"/>
  <c r="GC183" i="65"/>
  <c r="GD183" i="65"/>
  <c r="GC226" i="65"/>
  <c r="GD226" i="65"/>
  <c r="GC261" i="65"/>
  <c r="GD261" i="65"/>
  <c r="GD285" i="65"/>
  <c r="GC285" i="65"/>
  <c r="GC306" i="65"/>
  <c r="GD306" i="65"/>
  <c r="GD327" i="65"/>
  <c r="GC327" i="65"/>
  <c r="GC349" i="65"/>
  <c r="GD349" i="65"/>
  <c r="GC370" i="65"/>
  <c r="GD370" i="65"/>
  <c r="GD391" i="65"/>
  <c r="GC391" i="65"/>
  <c r="GC413" i="65"/>
  <c r="GD413" i="65"/>
  <c r="GC434" i="65"/>
  <c r="GD434" i="65"/>
  <c r="GD78" i="65"/>
  <c r="GC78" i="65"/>
  <c r="GD120" i="65"/>
  <c r="GC120" i="65"/>
  <c r="GD163" i="65"/>
  <c r="GC163" i="65"/>
  <c r="GC206" i="65"/>
  <c r="GD206" i="65"/>
  <c r="GD246" i="65"/>
  <c r="GC246" i="65"/>
  <c r="GC302" i="65"/>
  <c r="GD302" i="65"/>
  <c r="GD345" i="65"/>
  <c r="GC345" i="65"/>
  <c r="GD387" i="65"/>
  <c r="GC387" i="65"/>
  <c r="GC430" i="65"/>
  <c r="GD430" i="65"/>
  <c r="GC18" i="65"/>
  <c r="GD18" i="65"/>
  <c r="GD425" i="65"/>
  <c r="GC425" i="65"/>
  <c r="GD13" i="65"/>
  <c r="GC13" i="65"/>
  <c r="GC147" i="65"/>
  <c r="GD147" i="65"/>
  <c r="GC266" i="65"/>
  <c r="GD266" i="65"/>
  <c r="GD331" i="65"/>
  <c r="GC331" i="65"/>
  <c r="GC87" i="65"/>
  <c r="GD87" i="65"/>
  <c r="GC322" i="65"/>
  <c r="GD322" i="65"/>
  <c r="GC386" i="65"/>
  <c r="GD386" i="65"/>
  <c r="GD67" i="65"/>
  <c r="GC67" i="65"/>
  <c r="GC195" i="65"/>
  <c r="GD195" i="65"/>
  <c r="GD297" i="65"/>
  <c r="GC297" i="65"/>
  <c r="GD419" i="65"/>
  <c r="GC419" i="65"/>
  <c r="GD7" i="65"/>
  <c r="GC7" i="65"/>
  <c r="GD24" i="65"/>
  <c r="GC24" i="65"/>
  <c r="GD40" i="65"/>
  <c r="GC40" i="65"/>
  <c r="GC33" i="65"/>
  <c r="GD33" i="65"/>
  <c r="GD49" i="65"/>
  <c r="GC49" i="65"/>
  <c r="GD65" i="65"/>
  <c r="GC65" i="65"/>
  <c r="GC81" i="65"/>
  <c r="GD81" i="65"/>
  <c r="GD97" i="65"/>
  <c r="GC97" i="65"/>
  <c r="GD113" i="65"/>
  <c r="GC113" i="65"/>
  <c r="GD129" i="65"/>
  <c r="GC129" i="65"/>
  <c r="GD145" i="65"/>
  <c r="GC145" i="65"/>
  <c r="GD161" i="65"/>
  <c r="GC161" i="65"/>
  <c r="GD177" i="65"/>
  <c r="GC177" i="65"/>
  <c r="GD193" i="65"/>
  <c r="GC193" i="65"/>
  <c r="GD209" i="65"/>
  <c r="GC209" i="65"/>
  <c r="GD225" i="65"/>
  <c r="GC225" i="65"/>
  <c r="GC26" i="65"/>
  <c r="GD26" i="65"/>
  <c r="GD52" i="65"/>
  <c r="GC52" i="65"/>
  <c r="GC74" i="65"/>
  <c r="GD74" i="65"/>
  <c r="GD95" i="65"/>
  <c r="GC95" i="65"/>
  <c r="GC138" i="65"/>
  <c r="GD138" i="65"/>
  <c r="GD180" i="65"/>
  <c r="GC180" i="65"/>
  <c r="GC202" i="65"/>
  <c r="GD202" i="65"/>
  <c r="GD243" i="65"/>
  <c r="GC243" i="65"/>
  <c r="GC259" i="65"/>
  <c r="GD259" i="65"/>
  <c r="GD35" i="65"/>
  <c r="GC35" i="65"/>
  <c r="GD59" i="65"/>
  <c r="GC59" i="65"/>
  <c r="GD80" i="65"/>
  <c r="GC80" i="65"/>
  <c r="GD102" i="65"/>
  <c r="GC102" i="65"/>
  <c r="GD123" i="65"/>
  <c r="GC123" i="65"/>
  <c r="GD144" i="65"/>
  <c r="GC144" i="65"/>
  <c r="GD166" i="65"/>
  <c r="GC166" i="65"/>
  <c r="GD187" i="65"/>
  <c r="GC187" i="65"/>
  <c r="GD208" i="65"/>
  <c r="GC208" i="65"/>
  <c r="GD230" i="65"/>
  <c r="GC230" i="65"/>
  <c r="GD248" i="65"/>
  <c r="GC248" i="65"/>
  <c r="GD264" i="65"/>
  <c r="GC264" i="65"/>
  <c r="GD312" i="65"/>
  <c r="GC312" i="65"/>
  <c r="GC328" i="65"/>
  <c r="GD328" i="65"/>
  <c r="GC344" i="65"/>
  <c r="GD344" i="65"/>
  <c r="GC360" i="65"/>
  <c r="GD360" i="65"/>
  <c r="GC376" i="65"/>
  <c r="GD376" i="65"/>
  <c r="GC392" i="65"/>
  <c r="GD392" i="65"/>
  <c r="GD440" i="65"/>
  <c r="GC440" i="65"/>
  <c r="GD12" i="65"/>
  <c r="GC12" i="65"/>
  <c r="GC38" i="65"/>
  <c r="GD38" i="65"/>
  <c r="GC82" i="65"/>
  <c r="GD82" i="65"/>
  <c r="GD124" i="65"/>
  <c r="GC124" i="65"/>
  <c r="GC210" i="65"/>
  <c r="GD210" i="65"/>
  <c r="GD249" i="65"/>
  <c r="GC249" i="65"/>
  <c r="GD277" i="65"/>
  <c r="GC277" i="65"/>
  <c r="GC298" i="65"/>
  <c r="GD298" i="65"/>
  <c r="GD319" i="65"/>
  <c r="GC319" i="65"/>
  <c r="GD341" i="65"/>
  <c r="GC341" i="65"/>
  <c r="GC362" i="65"/>
  <c r="GD362" i="65"/>
  <c r="GD383" i="65"/>
  <c r="GC383" i="65"/>
  <c r="GD405" i="65"/>
  <c r="GC405" i="65"/>
  <c r="GC426" i="65"/>
  <c r="GD426" i="65"/>
  <c r="GD14" i="65"/>
  <c r="GC14" i="65"/>
  <c r="GC318" i="65"/>
  <c r="GD318" i="65"/>
  <c r="GD361" i="65"/>
  <c r="GC361" i="65"/>
  <c r="GC39" i="65"/>
  <c r="GD39" i="65"/>
  <c r="GD83" i="65"/>
  <c r="GC83" i="65"/>
  <c r="GC126" i="65"/>
  <c r="GD126" i="65"/>
  <c r="GD168" i="65"/>
  <c r="GC168" i="65"/>
  <c r="GC211" i="65"/>
  <c r="GD211" i="65"/>
  <c r="GC250" i="65"/>
  <c r="GD250" i="65"/>
  <c r="GD278" i="65"/>
  <c r="GC278" i="65"/>
  <c r="GD299" i="65"/>
  <c r="GC299" i="65"/>
  <c r="GC321" i="65"/>
  <c r="GD321" i="65"/>
  <c r="GC342" i="65"/>
  <c r="GD342" i="65"/>
  <c r="GC385" i="65"/>
  <c r="GD385" i="65"/>
  <c r="GC406" i="65"/>
  <c r="GD406" i="65"/>
  <c r="GD427" i="65"/>
  <c r="GC427" i="65"/>
  <c r="GC66" i="65"/>
  <c r="GD66" i="65"/>
  <c r="GD108" i="65"/>
  <c r="GC108" i="65"/>
  <c r="GC151" i="65"/>
  <c r="GD151" i="65"/>
  <c r="GC194" i="65"/>
  <c r="GD194" i="65"/>
  <c r="GD236" i="65"/>
  <c r="GC236" i="65"/>
  <c r="GC269" i="65"/>
  <c r="GD269" i="65"/>
  <c r="GC290" i="65"/>
  <c r="GD290" i="65"/>
  <c r="GC333" i="65"/>
  <c r="GD333" i="65"/>
  <c r="GC354" i="65"/>
  <c r="GD354" i="65"/>
  <c r="GC397" i="65"/>
  <c r="GD397" i="65"/>
  <c r="GC418" i="65"/>
  <c r="GD418" i="65"/>
  <c r="GD46" i="65"/>
  <c r="GC46" i="65"/>
  <c r="GD88" i="65"/>
  <c r="GC88" i="65"/>
  <c r="GC131" i="65"/>
  <c r="GD131" i="65"/>
  <c r="GC174" i="65"/>
  <c r="GD174" i="65"/>
  <c r="GD216" i="65"/>
  <c r="GC216" i="65"/>
  <c r="GC254" i="65"/>
  <c r="GD254" i="65"/>
  <c r="GD281" i="65"/>
  <c r="GC281" i="65"/>
  <c r="GD313" i="65"/>
  <c r="GC313" i="65"/>
  <c r="GD355" i="65"/>
  <c r="GC355" i="65"/>
  <c r="GC398" i="65"/>
  <c r="GD398" i="65"/>
  <c r="GD25" i="65"/>
  <c r="GC25" i="65"/>
  <c r="GD57" i="65"/>
  <c r="GC57" i="65"/>
  <c r="GD89" i="65"/>
  <c r="GC89" i="65"/>
  <c r="GD121" i="65"/>
  <c r="GC121" i="65"/>
  <c r="GD153" i="65"/>
  <c r="GC153" i="65"/>
  <c r="GD185" i="65"/>
  <c r="GC185" i="65"/>
  <c r="GC217" i="65"/>
  <c r="GD217" i="65"/>
  <c r="GD42" i="65"/>
  <c r="GC42" i="65"/>
  <c r="GD84" i="65"/>
  <c r="GC84" i="65"/>
  <c r="GD127" i="65"/>
  <c r="GC127" i="65"/>
  <c r="GC170" i="65"/>
  <c r="GD170" i="65"/>
  <c r="GD251" i="65"/>
  <c r="GC251" i="65"/>
  <c r="GD48" i="65"/>
  <c r="GC48" i="65"/>
  <c r="GD112" i="65"/>
  <c r="GC112" i="65"/>
  <c r="GD155" i="65"/>
  <c r="GC155" i="65"/>
  <c r="GD176" i="65"/>
  <c r="GC176" i="65"/>
  <c r="GD219" i="65"/>
  <c r="GC219" i="65"/>
  <c r="GD256" i="65"/>
  <c r="GC256" i="65"/>
  <c r="GD288" i="65"/>
  <c r="GC288" i="65"/>
  <c r="GD352" i="65"/>
  <c r="GC352" i="65"/>
  <c r="GD384" i="65"/>
  <c r="GC384" i="65"/>
  <c r="GD19" i="65"/>
  <c r="GC19" i="65"/>
  <c r="GC103" i="65"/>
  <c r="GD103" i="65"/>
  <c r="GD265" i="65"/>
  <c r="GC265" i="65"/>
  <c r="GD309" i="65"/>
  <c r="GC309" i="65"/>
  <c r="GD373" i="65"/>
  <c r="GC373" i="65"/>
  <c r="GD415" i="65"/>
  <c r="GC415" i="65"/>
  <c r="GC286" i="65"/>
  <c r="GD286" i="65"/>
  <c r="GC382" i="65"/>
  <c r="GD382" i="65"/>
  <c r="GD62" i="65"/>
  <c r="GC62" i="65"/>
  <c r="GC190" i="65"/>
  <c r="GD190" i="65"/>
  <c r="GD289" i="65"/>
  <c r="GC289" i="65"/>
  <c r="GC438" i="65"/>
  <c r="GD438" i="65"/>
  <c r="GD44" i="65"/>
  <c r="GC44" i="65"/>
  <c r="GC130" i="65"/>
  <c r="GD130" i="65"/>
  <c r="GC215" i="65"/>
  <c r="GD215" i="65"/>
  <c r="GD301" i="65"/>
  <c r="GC301" i="65"/>
  <c r="GD343" i="65"/>
  <c r="GC343" i="65"/>
  <c r="GD407" i="65"/>
  <c r="GC407" i="65"/>
  <c r="GC110" i="65"/>
  <c r="GD110" i="65"/>
  <c r="GC270" i="65"/>
  <c r="GD270" i="65"/>
  <c r="GD377" i="65"/>
  <c r="GC377" i="65"/>
  <c r="GD28" i="65"/>
  <c r="GC28" i="65"/>
  <c r="GD21" i="65"/>
  <c r="GC21" i="65"/>
  <c r="GD37" i="65"/>
  <c r="GC37" i="65"/>
  <c r="GD53" i="65"/>
  <c r="GC53" i="65"/>
  <c r="GC69" i="65"/>
  <c r="GD69" i="65"/>
  <c r="GD85" i="65"/>
  <c r="GC85" i="65"/>
  <c r="GD101" i="65"/>
  <c r="GC101" i="65"/>
  <c r="GD117" i="65"/>
  <c r="GC117" i="65"/>
  <c r="GC133" i="65"/>
  <c r="GD133" i="65"/>
  <c r="GD149" i="65"/>
  <c r="GC149" i="65"/>
  <c r="GD165" i="65"/>
  <c r="GC165" i="65"/>
  <c r="GD181" i="65"/>
  <c r="GC181" i="65"/>
  <c r="GD197" i="65"/>
  <c r="GC197" i="65"/>
  <c r="GD213" i="65"/>
  <c r="GC213" i="65"/>
  <c r="GD229" i="65"/>
  <c r="GC229" i="65"/>
  <c r="GD34" i="65"/>
  <c r="GC34" i="65"/>
  <c r="GC58" i="65"/>
  <c r="GD58" i="65"/>
  <c r="GD100" i="65"/>
  <c r="GC100" i="65"/>
  <c r="GC122" i="65"/>
  <c r="GD122" i="65"/>
  <c r="GD143" i="65"/>
  <c r="GC143" i="65"/>
  <c r="GD164" i="65"/>
  <c r="GC164" i="65"/>
  <c r="GC186" i="65"/>
  <c r="GD186" i="65"/>
  <c r="GD207" i="65"/>
  <c r="GC207" i="65"/>
  <c r="GD228" i="65"/>
  <c r="GC228" i="65"/>
  <c r="GC247" i="65"/>
  <c r="GD247" i="65"/>
  <c r="GD263" i="65"/>
  <c r="GC263" i="65"/>
  <c r="GD43" i="65"/>
  <c r="GC43" i="65"/>
  <c r="GD64" i="65"/>
  <c r="GC64" i="65"/>
  <c r="GC86" i="65"/>
  <c r="GD86" i="65"/>
  <c r="GD107" i="65"/>
  <c r="GC107" i="65"/>
  <c r="GD128" i="65"/>
  <c r="GC128" i="65"/>
  <c r="GD150" i="65"/>
  <c r="GC150" i="65"/>
  <c r="GD171" i="65"/>
  <c r="GC171" i="65"/>
  <c r="GD192" i="65"/>
  <c r="GC192" i="65"/>
  <c r="GD214" i="65"/>
  <c r="GC214" i="65"/>
  <c r="GD284" i="65"/>
  <c r="GC284" i="65"/>
  <c r="GD300" i="65"/>
  <c r="GC300" i="65"/>
  <c r="GC316" i="65"/>
  <c r="GD316" i="65"/>
  <c r="GC332" i="65"/>
  <c r="GD332" i="65"/>
  <c r="GC348" i="65"/>
  <c r="GD348" i="65"/>
  <c r="GC364" i="65"/>
  <c r="GD364" i="65"/>
  <c r="GC412" i="65"/>
  <c r="GD412" i="65"/>
  <c r="GC428" i="65"/>
  <c r="GD428" i="65"/>
  <c r="GD16" i="65"/>
  <c r="GC16" i="65"/>
  <c r="GC50" i="65"/>
  <c r="GD50" i="65"/>
  <c r="GD92" i="65"/>
  <c r="GC92" i="65"/>
  <c r="GD135" i="65"/>
  <c r="GC135" i="65"/>
  <c r="GC178" i="65"/>
  <c r="GD178" i="65"/>
  <c r="GD220" i="65"/>
  <c r="GC220" i="65"/>
  <c r="GD257" i="65"/>
  <c r="GC257" i="65"/>
  <c r="GC282" i="65"/>
  <c r="GD282" i="65"/>
  <c r="GD325" i="65"/>
  <c r="GC325" i="65"/>
  <c r="GC346" i="65"/>
  <c r="GD346" i="65"/>
  <c r="GD389" i="65"/>
  <c r="GC389" i="65"/>
  <c r="GC410" i="65"/>
  <c r="GD410" i="65"/>
  <c r="GD329" i="65"/>
  <c r="GC329" i="65"/>
  <c r="GD371" i="65"/>
  <c r="GC371" i="65"/>
  <c r="GC414" i="65"/>
  <c r="GD414" i="65"/>
  <c r="GD51" i="65"/>
  <c r="GC51" i="65"/>
  <c r="GC94" i="65"/>
  <c r="GD94" i="65"/>
  <c r="GD136" i="65"/>
  <c r="GC136" i="65"/>
  <c r="GC222" i="65"/>
  <c r="GD222" i="65"/>
  <c r="GC258" i="65"/>
  <c r="GD258" i="65"/>
  <c r="GD283" i="65"/>
  <c r="GC283" i="65"/>
  <c r="GD305" i="65"/>
  <c r="GC305" i="65"/>
  <c r="GC326" i="65"/>
  <c r="GD326" i="65"/>
  <c r="GD347" i="65"/>
  <c r="GC347" i="65"/>
  <c r="GC369" i="65"/>
  <c r="GD369" i="65"/>
  <c r="GC390" i="65"/>
  <c r="GD390" i="65"/>
  <c r="GD411" i="65"/>
  <c r="GC411" i="65"/>
  <c r="GC433" i="65"/>
  <c r="GD433" i="65"/>
  <c r="GD30" i="65"/>
  <c r="GC30" i="65"/>
  <c r="GD76" i="65"/>
  <c r="GC76" i="65"/>
  <c r="GC119" i="65"/>
  <c r="GD119" i="65"/>
  <c r="GC162" i="65"/>
  <c r="GD162" i="65"/>
  <c r="GD204" i="65"/>
  <c r="GC204" i="65"/>
  <c r="GD245" i="65"/>
  <c r="GC245" i="65"/>
  <c r="GC274" i="65"/>
  <c r="GD274" i="65"/>
  <c r="GC317" i="65"/>
  <c r="GD317" i="65"/>
  <c r="GC338" i="65"/>
  <c r="GD338" i="65"/>
  <c r="GD359" i="65"/>
  <c r="GC359" i="65"/>
  <c r="GC381" i="65"/>
  <c r="GD381" i="65"/>
  <c r="GC402" i="65"/>
  <c r="GD402" i="65"/>
  <c r="GD11" i="65"/>
  <c r="GC11" i="65"/>
  <c r="GD56" i="65"/>
  <c r="GC56" i="65"/>
  <c r="GD99" i="65"/>
  <c r="GC99" i="65"/>
  <c r="GC142" i="65"/>
  <c r="GD142" i="65"/>
  <c r="GD184" i="65"/>
  <c r="GC184" i="65"/>
  <c r="GD227" i="65"/>
  <c r="GC227" i="65"/>
  <c r="GD262" i="65"/>
  <c r="GC262" i="65"/>
  <c r="GD291" i="65"/>
  <c r="GC291" i="65"/>
  <c r="GC366" i="65"/>
  <c r="GD366" i="65"/>
  <c r="GD32" i="65"/>
  <c r="GC32" i="65"/>
  <c r="GD41" i="65"/>
  <c r="GC41" i="65"/>
  <c r="GD73" i="65"/>
  <c r="GC73" i="65"/>
  <c r="GC105" i="65"/>
  <c r="GD105" i="65"/>
  <c r="GD137" i="65"/>
  <c r="GC137" i="65"/>
  <c r="GD201" i="65"/>
  <c r="GC201" i="65"/>
  <c r="GD63" i="65"/>
  <c r="GC63" i="65"/>
  <c r="GC106" i="65"/>
  <c r="GD106" i="65"/>
  <c r="GC234" i="65"/>
  <c r="GD234" i="65"/>
  <c r="GD267" i="65"/>
  <c r="GC267" i="65"/>
  <c r="GD70" i="65"/>
  <c r="GC70" i="65"/>
  <c r="GD91" i="65"/>
  <c r="GC91" i="65"/>
  <c r="GD134" i="65"/>
  <c r="GC134" i="65"/>
  <c r="GD198" i="65"/>
  <c r="GC198" i="65"/>
  <c r="GD240" i="65"/>
  <c r="GC240" i="65"/>
  <c r="GD272" i="65"/>
  <c r="GC272" i="65"/>
  <c r="GD304" i="65"/>
  <c r="GC304" i="65"/>
  <c r="GD336" i="65"/>
  <c r="GC336" i="65"/>
  <c r="GD368" i="65"/>
  <c r="GC368" i="65"/>
  <c r="GD400" i="65"/>
  <c r="GC400" i="65"/>
  <c r="GD432" i="65"/>
  <c r="GC432" i="65"/>
  <c r="GD60" i="65"/>
  <c r="GC60" i="65"/>
  <c r="GC146" i="65"/>
  <c r="GD146" i="65"/>
  <c r="GD287" i="65"/>
  <c r="GC287" i="65"/>
  <c r="GC330" i="65"/>
  <c r="GD330" i="65"/>
  <c r="GC394" i="65"/>
  <c r="GD394" i="65"/>
  <c r="GD437" i="65"/>
  <c r="GC437" i="65"/>
  <c r="GD104" i="65"/>
  <c r="GC104" i="65"/>
  <c r="GD232" i="65"/>
  <c r="GC232" i="65"/>
  <c r="GD310" i="65"/>
  <c r="GC310" i="65"/>
  <c r="GC374" i="65"/>
  <c r="GD374" i="65"/>
  <c r="GC417" i="65"/>
  <c r="GD417" i="65"/>
  <c r="GD172" i="65"/>
  <c r="GC172" i="65"/>
  <c r="GC279" i="65"/>
  <c r="GD279" i="65"/>
  <c r="GC365" i="65"/>
  <c r="GD365" i="65"/>
  <c r="GD429" i="65"/>
  <c r="GC429" i="65"/>
  <c r="GD17" i="65"/>
  <c r="GC17" i="65"/>
  <c r="GD152" i="65"/>
  <c r="GC152" i="65"/>
  <c r="GC238" i="65"/>
  <c r="GD238" i="65"/>
  <c r="GC334" i="65"/>
  <c r="GD334" i="65"/>
  <c r="FO225" i="65" l="1"/>
  <c r="FO97" i="65"/>
  <c r="FO82" i="65"/>
  <c r="FO119" i="65"/>
  <c r="FO207" i="65"/>
  <c r="FO354" i="65"/>
  <c r="FO111" i="65"/>
  <c r="FO197" i="65"/>
  <c r="FO69" i="65"/>
  <c r="FO416" i="65"/>
  <c r="FO185" i="65"/>
  <c r="FO424" i="65"/>
  <c r="FO360" i="65"/>
  <c r="FO193" i="65"/>
  <c r="FO65" i="65"/>
  <c r="FO261" i="65"/>
  <c r="FO125" i="65"/>
  <c r="FO262" i="65"/>
  <c r="FO30" i="65"/>
  <c r="FO324" i="65"/>
  <c r="FO196" i="65"/>
  <c r="FO253" i="65"/>
  <c r="FO382" i="65"/>
  <c r="FO256" i="65"/>
  <c r="FO400" i="65"/>
  <c r="FO53" i="65"/>
  <c r="FO344" i="65"/>
  <c r="FO320" i="65"/>
  <c r="FO153" i="65"/>
  <c r="FO116" i="65"/>
  <c r="FO8" i="65"/>
  <c r="FO394" i="65"/>
  <c r="FO432" i="65"/>
  <c r="FO381" i="65"/>
  <c r="FO257" i="65"/>
  <c r="FO339" i="65"/>
  <c r="FO91" i="65"/>
  <c r="FO38" i="65"/>
  <c r="FO7" i="65"/>
  <c r="FO413" i="65"/>
  <c r="FO237" i="65"/>
  <c r="FO340" i="65"/>
  <c r="FO189" i="65"/>
  <c r="FO17" i="65"/>
  <c r="FO137" i="65"/>
  <c r="FO433" i="65"/>
  <c r="FO346" i="65"/>
  <c r="FO133" i="65"/>
  <c r="FO301" i="65"/>
  <c r="FO57" i="65"/>
  <c r="FO426" i="65"/>
  <c r="FO249" i="65"/>
  <c r="FO408" i="65"/>
  <c r="FO129" i="65"/>
  <c r="FO345" i="65"/>
  <c r="FO81" i="65"/>
  <c r="FO338" i="65"/>
  <c r="FO390" i="65"/>
  <c r="FO204" i="65"/>
  <c r="FO312" i="65"/>
  <c r="FO80" i="65"/>
  <c r="FO148" i="65"/>
  <c r="FO389" i="65"/>
  <c r="FO380" i="65"/>
  <c r="FO288" i="65"/>
  <c r="FO260" i="65"/>
  <c r="FO200" i="65"/>
  <c r="FO252" i="65"/>
  <c r="FO160" i="65"/>
  <c r="FO16" i="65"/>
  <c r="FO396" i="65"/>
  <c r="FO332" i="65"/>
  <c r="FO265" i="65"/>
  <c r="FO362" i="65"/>
  <c r="FO239" i="65"/>
  <c r="FO238" i="65"/>
  <c r="FO263" i="65"/>
  <c r="FO407" i="65"/>
  <c r="FO155" i="65"/>
  <c r="FO349" i="65"/>
  <c r="FO128" i="65"/>
  <c r="FO208" i="65"/>
  <c r="FO409" i="65"/>
  <c r="FO213" i="65"/>
  <c r="FO21" i="65"/>
  <c r="FO286" i="65"/>
  <c r="FO89" i="65"/>
  <c r="FO278" i="65"/>
  <c r="FO14" i="65"/>
  <c r="FO435" i="65"/>
  <c r="FO41" i="65"/>
  <c r="FO369" i="65"/>
  <c r="FO282" i="65"/>
  <c r="FO285" i="65"/>
  <c r="FO71" i="65"/>
  <c r="FO141" i="65"/>
  <c r="FO305" i="65"/>
  <c r="FO329" i="65"/>
  <c r="FO66" i="65"/>
  <c r="FO385" i="65"/>
  <c r="FO167" i="65"/>
  <c r="FO161" i="65"/>
  <c r="FO33" i="65"/>
  <c r="FO68" i="65"/>
  <c r="FO371" i="65"/>
  <c r="FO401" i="65"/>
  <c r="FO420" i="65"/>
  <c r="FO270" i="65"/>
  <c r="FO188" i="65"/>
  <c r="FO194" i="65"/>
  <c r="FO363" i="65"/>
  <c r="FO348" i="65"/>
  <c r="FO176" i="65"/>
  <c r="FO87" i="65"/>
  <c r="FO241" i="65"/>
  <c r="FO436" i="65"/>
  <c r="FO429" i="65"/>
  <c r="FO121" i="65"/>
  <c r="FO313" i="65"/>
  <c r="FO402" i="65"/>
  <c r="FO351" i="65"/>
  <c r="FO166" i="65"/>
  <c r="FO327" i="65"/>
  <c r="FO182" i="65"/>
  <c r="FO20" i="65"/>
  <c r="FO107" i="65"/>
  <c r="FO42" i="65"/>
  <c r="FO174" i="65"/>
  <c r="FO123" i="65"/>
  <c r="FO316" i="65"/>
  <c r="FO84" i="65"/>
  <c r="FO186" i="65"/>
  <c r="FO130" i="65"/>
  <c r="FO152" i="65"/>
  <c r="FO136" i="65"/>
  <c r="FO318" i="65"/>
  <c r="FO175" i="65"/>
  <c r="FO387" i="65"/>
  <c r="FO46" i="65"/>
  <c r="FO298" i="65"/>
  <c r="FO49" i="65"/>
  <c r="FO417" i="65"/>
  <c r="FO308" i="65"/>
  <c r="FO164" i="65"/>
  <c r="FO109" i="65"/>
  <c r="FO142" i="65"/>
  <c r="FO391" i="65"/>
  <c r="FO183" i="65"/>
  <c r="FO273" i="65"/>
  <c r="FO276" i="65"/>
  <c r="FO272" i="65"/>
  <c r="FO284" i="65"/>
  <c r="FO212" i="65"/>
  <c r="FO244" i="65"/>
  <c r="FO350" i="65"/>
  <c r="FO255" i="65"/>
  <c r="FO90" i="65"/>
  <c r="FO222" i="65"/>
  <c r="FO43" i="65"/>
  <c r="FO34" i="65"/>
  <c r="FO215" i="65"/>
  <c r="FO439" i="65"/>
  <c r="FO405" i="65"/>
  <c r="FO210" i="65"/>
  <c r="FO35" i="65"/>
  <c r="FO163" i="65"/>
  <c r="FO374" i="65"/>
  <c r="FO317" i="65"/>
  <c r="FO40" i="65"/>
  <c r="FO18" i="65"/>
  <c r="FO78" i="65"/>
  <c r="FO422" i="65"/>
  <c r="FO36" i="65"/>
  <c r="FO73" i="65"/>
  <c r="FO179" i="65"/>
  <c r="FO268" i="65"/>
  <c r="FO168" i="65"/>
  <c r="FO259" i="65"/>
  <c r="FO95" i="65"/>
  <c r="FO114" i="65"/>
  <c r="FO96" i="65"/>
  <c r="FO203" i="65"/>
  <c r="FO323" i="65"/>
  <c r="FO50" i="65"/>
  <c r="FO251" i="65"/>
  <c r="FO355" i="65"/>
  <c r="FO177" i="65"/>
  <c r="FO395" i="65"/>
  <c r="FO293" i="65"/>
  <c r="FO224" i="65"/>
  <c r="FO60" i="65"/>
  <c r="FO304" i="65"/>
  <c r="FO56" i="65"/>
  <c r="FO92" i="65"/>
  <c r="FO428" i="65"/>
  <c r="FO228" i="65"/>
  <c r="FO28" i="65"/>
  <c r="FO296" i="65"/>
  <c r="FO52" i="65"/>
  <c r="FO24" i="65"/>
  <c r="FO132" i="65"/>
  <c r="FO437" i="65"/>
  <c r="FO149" i="65"/>
  <c r="FO289" i="65"/>
  <c r="FO415" i="65"/>
  <c r="FO352" i="65"/>
  <c r="FO126" i="65"/>
  <c r="FO209" i="65"/>
  <c r="FO75" i="65"/>
  <c r="FO198" i="65"/>
  <c r="FO178" i="65"/>
  <c r="FO229" i="65"/>
  <c r="FO101" i="65"/>
  <c r="FO377" i="65"/>
  <c r="FO353" i="65"/>
  <c r="FO266" i="65"/>
  <c r="FO120" i="65"/>
  <c r="FO221" i="65"/>
  <c r="FO93" i="65"/>
  <c r="FO118" i="65"/>
  <c r="FO218" i="65"/>
  <c r="FO267" i="65"/>
  <c r="FO171" i="65"/>
  <c r="FO170" i="65"/>
  <c r="FO232" i="65"/>
  <c r="FO233" i="65"/>
  <c r="FO11" i="65"/>
  <c r="FO410" i="65"/>
  <c r="FO117" i="65"/>
  <c r="FO269" i="65"/>
  <c r="FO39" i="65"/>
  <c r="FO55" i="65"/>
  <c r="FO23" i="65"/>
  <c r="FO314" i="65"/>
  <c r="FO234" i="65"/>
  <c r="FO359" i="65"/>
  <c r="FO162" i="65"/>
  <c r="FO94" i="65"/>
  <c r="FO235" i="65"/>
  <c r="FO150" i="65"/>
  <c r="FO58" i="65"/>
  <c r="FO190" i="65"/>
  <c r="FO219" i="65"/>
  <c r="FO127" i="65"/>
  <c r="FO254" i="65"/>
  <c r="FO290" i="65"/>
  <c r="FO250" i="65"/>
  <c r="FO403" i="65"/>
  <c r="FO102" i="65"/>
  <c r="FO223" i="65"/>
  <c r="FO386" i="65"/>
  <c r="FO31" i="65"/>
  <c r="FO98" i="65"/>
  <c r="FO231" i="65"/>
  <c r="FO336" i="65"/>
  <c r="FO154" i="65"/>
  <c r="FO76" i="65"/>
  <c r="FO236" i="65"/>
  <c r="FO328" i="65"/>
  <c r="FO379" i="65"/>
  <c r="FO423" i="65"/>
  <c r="FO220" i="65"/>
  <c r="FO122" i="65"/>
  <c r="FO25" i="65"/>
  <c r="FO406" i="65"/>
  <c r="FO169" i="65"/>
  <c r="FO99" i="65"/>
  <c r="FO367" i="65"/>
  <c r="FO44" i="65"/>
  <c r="FO112" i="65"/>
  <c r="FO277" i="65"/>
  <c r="FO376" i="65"/>
  <c r="FO230" i="65"/>
  <c r="FO202" i="65"/>
  <c r="FO246" i="65"/>
  <c r="FO370" i="65"/>
  <c r="FO242" i="65"/>
  <c r="FO205" i="65"/>
  <c r="FO287" i="65"/>
  <c r="FO240" i="65"/>
  <c r="FO418" i="65"/>
  <c r="FO383" i="65"/>
  <c r="FO180" i="65"/>
  <c r="FO326" i="65"/>
  <c r="FO158" i="65"/>
  <c r="FO184" i="65"/>
  <c r="FO124" i="65"/>
  <c r="FO280" i="65"/>
  <c r="FO26" i="65"/>
  <c r="FO322" i="65"/>
  <c r="FO302" i="65"/>
  <c r="FO378" i="65"/>
  <c r="FO104" i="65"/>
  <c r="FO135" i="65"/>
  <c r="FO247" i="65"/>
  <c r="FO384" i="65"/>
  <c r="FO131" i="65"/>
  <c r="FO311" i="65"/>
  <c r="FO74" i="65"/>
  <c r="FO140" i="65"/>
  <c r="FO393" i="65"/>
  <c r="FO77" i="65"/>
  <c r="FO201" i="65"/>
  <c r="FO258" i="65"/>
  <c r="FO192" i="65"/>
  <c r="FO100" i="65"/>
  <c r="FO19" i="65"/>
  <c r="FO187" i="65"/>
  <c r="FO419" i="65"/>
  <c r="FO331" i="65"/>
  <c r="FO425" i="65"/>
  <c r="FO271" i="65"/>
  <c r="FO388" i="65"/>
  <c r="FO356" i="65"/>
  <c r="FO61" i="65"/>
  <c r="FO310" i="65"/>
  <c r="FO51" i="65"/>
  <c r="FO412" i="65"/>
  <c r="FO181" i="65"/>
  <c r="FO103" i="65"/>
  <c r="FO216" i="65"/>
  <c r="FO211" i="65"/>
  <c r="FO13" i="65"/>
  <c r="FO226" i="65"/>
  <c r="FO292" i="65"/>
  <c r="FO32" i="65"/>
  <c r="FO414" i="65"/>
  <c r="FO364" i="65"/>
  <c r="FO64" i="65"/>
  <c r="FO373" i="65"/>
  <c r="FO48" i="65"/>
  <c r="FO398" i="65"/>
  <c r="FO88" i="65"/>
  <c r="FO341" i="65"/>
  <c r="FO144" i="65"/>
  <c r="FO274" i="65"/>
  <c r="FO283" i="65"/>
  <c r="FO248" i="65"/>
  <c r="FO337" i="65"/>
  <c r="FO335" i="65"/>
  <c r="FO70" i="65"/>
  <c r="FO303" i="65"/>
  <c r="FO165" i="65"/>
  <c r="FO37" i="65"/>
  <c r="FO299" i="65"/>
  <c r="FO157" i="65"/>
  <c r="FO29" i="65"/>
  <c r="FO307" i="65"/>
  <c r="FO404" i="65"/>
  <c r="FO27" i="65"/>
  <c r="FO173" i="65"/>
  <c r="FO22" i="65"/>
  <c r="FO54" i="65"/>
  <c r="FO6" i="65"/>
  <c r="FO191" i="65"/>
  <c r="FO62" i="65"/>
  <c r="FO113" i="65"/>
  <c r="FO430" i="65"/>
  <c r="FO399" i="65"/>
  <c r="FO199" i="65"/>
  <c r="FO47" i="65"/>
  <c r="FO279" i="65"/>
  <c r="FO134" i="65"/>
  <c r="FO63" i="65"/>
  <c r="FO227" i="65"/>
  <c r="FO295" i="65"/>
  <c r="FO347" i="65"/>
  <c r="FO431" i="65"/>
  <c r="FO214" i="65"/>
  <c r="FO143" i="65"/>
  <c r="FO110" i="65"/>
  <c r="FO438" i="65"/>
  <c r="FO375" i="65"/>
  <c r="FO151" i="65"/>
  <c r="FO427" i="65"/>
  <c r="FO83" i="65"/>
  <c r="FO59" i="65"/>
  <c r="FO138" i="65"/>
  <c r="FO195" i="65"/>
  <c r="FO147" i="65"/>
  <c r="FO206" i="65"/>
  <c r="FO434" i="65"/>
  <c r="FO315" i="65"/>
  <c r="FO139" i="65"/>
  <c r="FO330" i="65"/>
  <c r="FO300" i="65"/>
  <c r="FO85" i="65"/>
  <c r="FO217" i="65"/>
  <c r="FO281" i="65"/>
  <c r="FO397" i="65"/>
  <c r="FO342" i="65"/>
  <c r="FO440" i="65"/>
  <c r="FO243" i="65"/>
  <c r="FO145" i="65"/>
  <c r="FO297" i="65"/>
  <c r="FO421" i="65"/>
  <c r="FO291" i="65"/>
  <c r="FO12" i="65"/>
  <c r="FO264" i="65"/>
  <c r="FO275" i="65"/>
  <c r="FO306" i="65"/>
  <c r="FO10" i="65"/>
  <c r="FO358" i="65"/>
  <c r="FO45" i="65"/>
  <c r="FO334" i="65"/>
  <c r="FO172" i="65"/>
  <c r="FO105" i="65"/>
  <c r="FO411" i="65"/>
  <c r="FO325" i="65"/>
  <c r="FO108" i="65"/>
  <c r="FO321" i="65"/>
  <c r="FO361" i="65"/>
  <c r="FO319" i="65"/>
  <c r="FO67" i="65"/>
  <c r="FO365" i="65"/>
  <c r="FO106" i="65"/>
  <c r="FO366" i="65"/>
  <c r="FO86" i="65"/>
  <c r="FO79" i="65"/>
  <c r="FO343" i="65"/>
  <c r="FO15" i="65"/>
  <c r="FO159" i="65"/>
  <c r="FO72" i="65"/>
  <c r="FO372" i="65"/>
  <c r="FO146" i="65"/>
  <c r="FO368" i="65"/>
  <c r="FO245" i="65"/>
  <c r="FO309" i="65"/>
  <c r="FO333" i="65"/>
  <c r="FO392" i="65"/>
  <c r="FO115" i="65"/>
  <c r="FO9" i="65"/>
  <c r="FO357" i="65"/>
  <c r="FO294" i="65"/>
  <c r="FO156" i="65"/>
  <c r="G136" i="64"/>
  <c r="J136" i="64" s="1"/>
  <c r="GF17" i="65"/>
  <c r="GF60" i="65"/>
  <c r="GK400" i="65"/>
  <c r="GI400" i="65"/>
  <c r="GJ400" i="65"/>
  <c r="GI304" i="65"/>
  <c r="GJ198" i="65"/>
  <c r="GK198" i="65"/>
  <c r="GI198" i="65"/>
  <c r="GK91" i="65"/>
  <c r="GJ91" i="65"/>
  <c r="GI91" i="65"/>
  <c r="GK234" i="65"/>
  <c r="GJ234" i="65"/>
  <c r="GI234" i="65"/>
  <c r="GK41" i="65"/>
  <c r="GI41" i="65"/>
  <c r="GJ41" i="65"/>
  <c r="GF291" i="65"/>
  <c r="GF184" i="65"/>
  <c r="GF11" i="65"/>
  <c r="GI402" i="65"/>
  <c r="GJ338" i="65"/>
  <c r="GK338" i="65"/>
  <c r="GI338" i="65"/>
  <c r="GI76" i="65"/>
  <c r="GF433" i="65"/>
  <c r="GI390" i="65"/>
  <c r="GF326" i="65"/>
  <c r="GF283" i="65"/>
  <c r="GI136" i="65"/>
  <c r="GI410" i="65"/>
  <c r="GJ270" i="65"/>
  <c r="GK270" i="65"/>
  <c r="GI270" i="65"/>
  <c r="GF110" i="65"/>
  <c r="GI407" i="65"/>
  <c r="GF301" i="65"/>
  <c r="GF286" i="65"/>
  <c r="GI415" i="65"/>
  <c r="GK265" i="65"/>
  <c r="GI265" i="65"/>
  <c r="GJ265" i="65"/>
  <c r="GI48" i="65"/>
  <c r="GF170" i="65"/>
  <c r="GK42" i="65"/>
  <c r="GJ42" i="65"/>
  <c r="GI42" i="65"/>
  <c r="GF89" i="65"/>
  <c r="GK355" i="65"/>
  <c r="GJ355" i="65"/>
  <c r="GI355" i="65"/>
  <c r="GF281" i="65"/>
  <c r="GF254" i="65"/>
  <c r="GF131" i="65"/>
  <c r="GF46" i="65"/>
  <c r="GI418" i="65"/>
  <c r="GF397" i="65"/>
  <c r="GK333" i="65"/>
  <c r="GJ333" i="65"/>
  <c r="GI333" i="65"/>
  <c r="GF290" i="65"/>
  <c r="GF236" i="65"/>
  <c r="GF194" i="65"/>
  <c r="GF108" i="65"/>
  <c r="GF66" i="65"/>
  <c r="GK427" i="65"/>
  <c r="GJ427" i="65"/>
  <c r="GI427" i="65"/>
  <c r="GF385" i="65"/>
  <c r="GF321" i="65"/>
  <c r="GF250" i="65"/>
  <c r="GI168" i="65"/>
  <c r="GF83" i="65"/>
  <c r="GJ318" i="65"/>
  <c r="GK318" i="65"/>
  <c r="GI318" i="65"/>
  <c r="GF426" i="65"/>
  <c r="GF383" i="65"/>
  <c r="GF362" i="65"/>
  <c r="GF319" i="65"/>
  <c r="GF298" i="65"/>
  <c r="GF249" i="65"/>
  <c r="GJ82" i="65"/>
  <c r="GK82" i="65"/>
  <c r="GI82" i="65"/>
  <c r="GK376" i="65"/>
  <c r="GI376" i="65"/>
  <c r="GJ376" i="65"/>
  <c r="GF328" i="65"/>
  <c r="GF248" i="65"/>
  <c r="GF187" i="65"/>
  <c r="GJ102" i="65"/>
  <c r="GK102" i="65"/>
  <c r="GI102" i="65"/>
  <c r="GF59" i="65"/>
  <c r="GK35" i="65"/>
  <c r="GJ35" i="65"/>
  <c r="GI35" i="65"/>
  <c r="GK202" i="65"/>
  <c r="GJ202" i="65"/>
  <c r="GI202" i="65"/>
  <c r="GI180" i="65"/>
  <c r="GK74" i="65"/>
  <c r="GJ74" i="65"/>
  <c r="GI74" i="65"/>
  <c r="GI52" i="65"/>
  <c r="GF209" i="65"/>
  <c r="GK193" i="65"/>
  <c r="GI193" i="65"/>
  <c r="GJ193" i="65"/>
  <c r="GF145" i="65"/>
  <c r="GK129" i="65"/>
  <c r="GJ129" i="65"/>
  <c r="GI129" i="65"/>
  <c r="GK81" i="65"/>
  <c r="GJ81" i="65"/>
  <c r="GI81" i="65"/>
  <c r="GK65" i="65"/>
  <c r="GI65" i="65"/>
  <c r="GJ65" i="65"/>
  <c r="GF40" i="65"/>
  <c r="GI24" i="65"/>
  <c r="GF419" i="65"/>
  <c r="GK297" i="65"/>
  <c r="GI297" i="65"/>
  <c r="GJ297" i="65"/>
  <c r="GF67" i="65"/>
  <c r="GI322" i="65"/>
  <c r="GF87" i="65"/>
  <c r="GF331" i="65"/>
  <c r="GF266" i="65"/>
  <c r="GF13" i="65"/>
  <c r="GJ18" i="65"/>
  <c r="GI18" i="65"/>
  <c r="GK18" i="65"/>
  <c r="GF345" i="65"/>
  <c r="GF302" i="65"/>
  <c r="GF163" i="65"/>
  <c r="GI120" i="65"/>
  <c r="GF391" i="65"/>
  <c r="GF370" i="65"/>
  <c r="GJ306" i="65"/>
  <c r="GK306" i="65"/>
  <c r="GI306" i="65"/>
  <c r="GI285" i="65"/>
  <c r="GK183" i="65"/>
  <c r="GJ183" i="65"/>
  <c r="GI183" i="65"/>
  <c r="GI140" i="65"/>
  <c r="GK10" i="65"/>
  <c r="GJ10" i="65"/>
  <c r="GI10" i="65"/>
  <c r="GF422" i="65"/>
  <c r="GI358" i="65"/>
  <c r="GF337" i="65"/>
  <c r="GF273" i="65"/>
  <c r="GF242" i="65"/>
  <c r="GF115" i="65"/>
  <c r="GF23" i="65"/>
  <c r="GF393" i="65"/>
  <c r="GF350" i="65"/>
  <c r="GF421" i="65"/>
  <c r="GF314" i="65"/>
  <c r="GF241" i="65"/>
  <c r="GF22" i="65"/>
  <c r="GK388" i="65"/>
  <c r="GJ388" i="65"/>
  <c r="GI388" i="65"/>
  <c r="GF340" i="65"/>
  <c r="GK203" i="65"/>
  <c r="GJ203" i="65"/>
  <c r="GI203" i="65"/>
  <c r="GF139" i="65"/>
  <c r="GK27" i="65"/>
  <c r="GJ27" i="65"/>
  <c r="GI27" i="65"/>
  <c r="GF132" i="65"/>
  <c r="GF47" i="65"/>
  <c r="GK237" i="65"/>
  <c r="GJ237" i="65"/>
  <c r="GI237" i="65"/>
  <c r="GI189" i="65"/>
  <c r="GI173" i="65"/>
  <c r="GI125" i="65"/>
  <c r="GI61" i="65"/>
  <c r="GK339" i="65"/>
  <c r="GJ339" i="65"/>
  <c r="GI339" i="65"/>
  <c r="GF231" i="65"/>
  <c r="GK191" i="65"/>
  <c r="GJ191" i="65"/>
  <c r="GI191" i="65"/>
  <c r="GF233" i="65"/>
  <c r="GK179" i="65"/>
  <c r="GJ179" i="65"/>
  <c r="GI179" i="65"/>
  <c r="GI367" i="65"/>
  <c r="GF396" i="65"/>
  <c r="GK235" i="65"/>
  <c r="GJ235" i="65"/>
  <c r="GI235" i="65"/>
  <c r="GI188" i="65"/>
  <c r="GF439" i="65"/>
  <c r="GK167" i="65"/>
  <c r="GJ167" i="65"/>
  <c r="GI167" i="65"/>
  <c r="GI296" i="65"/>
  <c r="GF223" i="65"/>
  <c r="GF116" i="65"/>
  <c r="GF253" i="65"/>
  <c r="GK275" i="65"/>
  <c r="GJ275" i="65"/>
  <c r="GI275" i="65"/>
  <c r="GI351" i="65"/>
  <c r="GF375" i="65"/>
  <c r="GF15" i="65"/>
  <c r="GK403" i="65"/>
  <c r="GJ403" i="65"/>
  <c r="GI403" i="65"/>
  <c r="GK31" i="65"/>
  <c r="GJ31" i="65"/>
  <c r="GI31" i="65"/>
  <c r="GF324" i="65"/>
  <c r="GI224" i="65"/>
  <c r="GJ334" i="65"/>
  <c r="GK334" i="65"/>
  <c r="GI334" i="65"/>
  <c r="GF238" i="65"/>
  <c r="GF365" i="65"/>
  <c r="GF417" i="65"/>
  <c r="GJ310" i="65"/>
  <c r="GK310" i="65"/>
  <c r="GI310" i="65"/>
  <c r="GF104" i="65"/>
  <c r="GK437" i="65"/>
  <c r="GJ437" i="65"/>
  <c r="GI437" i="65"/>
  <c r="GK287" i="65"/>
  <c r="GJ287" i="65"/>
  <c r="GI287" i="65"/>
  <c r="GF432" i="65"/>
  <c r="GF336" i="65"/>
  <c r="GF240" i="65"/>
  <c r="GF106" i="65"/>
  <c r="GF137" i="65"/>
  <c r="GJ262" i="65"/>
  <c r="GI262" i="65"/>
  <c r="GK262" i="65"/>
  <c r="GF99" i="65"/>
  <c r="GF381" i="65"/>
  <c r="GF317" i="65"/>
  <c r="GI204" i="65"/>
  <c r="GK119" i="65"/>
  <c r="GJ119" i="65"/>
  <c r="GI119" i="65"/>
  <c r="GK51" i="65"/>
  <c r="GJ51" i="65"/>
  <c r="GI51" i="65"/>
  <c r="GK329" i="65"/>
  <c r="GI329" i="65"/>
  <c r="GJ329" i="65"/>
  <c r="GK389" i="65"/>
  <c r="GJ389" i="65"/>
  <c r="GI389" i="65"/>
  <c r="GI325" i="65"/>
  <c r="GF257" i="65"/>
  <c r="GJ178" i="65"/>
  <c r="GK178" i="65"/>
  <c r="GI178" i="65"/>
  <c r="GF50" i="65"/>
  <c r="GF428" i="65"/>
  <c r="GK364" i="65"/>
  <c r="GJ364" i="65"/>
  <c r="GI364" i="65"/>
  <c r="GK332" i="65"/>
  <c r="GJ332" i="65"/>
  <c r="GI332" i="65"/>
  <c r="GF300" i="65"/>
  <c r="GI192" i="65"/>
  <c r="GF150" i="65"/>
  <c r="GF107" i="65"/>
  <c r="GF64" i="65"/>
  <c r="GF263" i="65"/>
  <c r="GF228" i="65"/>
  <c r="GK186" i="65"/>
  <c r="GJ186" i="65"/>
  <c r="GI186" i="65"/>
  <c r="GF122" i="65"/>
  <c r="GK58" i="65"/>
  <c r="GJ58" i="65"/>
  <c r="GI58" i="65"/>
  <c r="GF229" i="65"/>
  <c r="GI181" i="65"/>
  <c r="GF149" i="65"/>
  <c r="GF117" i="65"/>
  <c r="GF85" i="65"/>
  <c r="GF53" i="65"/>
  <c r="GF21" i="65"/>
  <c r="GF44" i="65"/>
  <c r="GF289" i="65"/>
  <c r="GF190" i="65"/>
  <c r="GI382" i="65"/>
  <c r="GF309" i="65"/>
  <c r="GF352" i="65"/>
  <c r="GF256" i="65"/>
  <c r="GK219" i="65"/>
  <c r="GJ219" i="65"/>
  <c r="GI219" i="65"/>
  <c r="GF112" i="65"/>
  <c r="GF185" i="65"/>
  <c r="GJ166" i="65"/>
  <c r="GK166" i="65"/>
  <c r="GI166" i="65"/>
  <c r="GI399" i="65"/>
  <c r="GF335" i="65"/>
  <c r="GK199" i="65"/>
  <c r="GJ199" i="65"/>
  <c r="GI199" i="65"/>
  <c r="GK71" i="65"/>
  <c r="GJ71" i="65"/>
  <c r="GI71" i="65"/>
  <c r="GF404" i="65"/>
  <c r="GI292" i="65"/>
  <c r="GF244" i="65"/>
  <c r="GJ118" i="65"/>
  <c r="GK118" i="65"/>
  <c r="GI118" i="65"/>
  <c r="GI54" i="65"/>
  <c r="GJ54" i="65"/>
  <c r="GK54" i="65"/>
  <c r="GK218" i="65"/>
  <c r="GJ218" i="65"/>
  <c r="GI218" i="65"/>
  <c r="GI196" i="65"/>
  <c r="GF111" i="65"/>
  <c r="GI109" i="65"/>
  <c r="GI45" i="65"/>
  <c r="GF334" i="65"/>
  <c r="GF152" i="65"/>
  <c r="GK17" i="65"/>
  <c r="GI17" i="65"/>
  <c r="GJ17" i="65"/>
  <c r="GF429" i="65"/>
  <c r="GF172" i="65"/>
  <c r="GI374" i="65"/>
  <c r="GI104" i="65"/>
  <c r="GI330" i="65"/>
  <c r="GJ146" i="65"/>
  <c r="GK146" i="65"/>
  <c r="GI146" i="65"/>
  <c r="GI60" i="65"/>
  <c r="GK432" i="65"/>
  <c r="GI432" i="65"/>
  <c r="GJ432" i="65"/>
  <c r="GF368" i="65"/>
  <c r="GI336" i="65"/>
  <c r="GF272" i="65"/>
  <c r="GK240" i="65"/>
  <c r="GI240" i="65"/>
  <c r="GJ240" i="65"/>
  <c r="GF134" i="65"/>
  <c r="GF267" i="65"/>
  <c r="GF234" i="65"/>
  <c r="GF201" i="65"/>
  <c r="GK137" i="65"/>
  <c r="GI137" i="65"/>
  <c r="GJ137" i="65"/>
  <c r="GF73" i="65"/>
  <c r="GK291" i="65"/>
  <c r="GJ291" i="65"/>
  <c r="GI291" i="65"/>
  <c r="GF227" i="65"/>
  <c r="GI184" i="65"/>
  <c r="GK99" i="65"/>
  <c r="GJ99" i="65"/>
  <c r="GI99" i="65"/>
  <c r="GK11" i="65"/>
  <c r="GJ11" i="65"/>
  <c r="GI11" i="65"/>
  <c r="GF402" i="65"/>
  <c r="GF359" i="65"/>
  <c r="GF338" i="65"/>
  <c r="GF245" i="65"/>
  <c r="GF119" i="65"/>
  <c r="GF390" i="65"/>
  <c r="GF347" i="65"/>
  <c r="GF305" i="65"/>
  <c r="GK283" i="65"/>
  <c r="GJ283" i="65"/>
  <c r="GI283" i="65"/>
  <c r="GJ222" i="65"/>
  <c r="GK222" i="65"/>
  <c r="GI222" i="65"/>
  <c r="GK94" i="65"/>
  <c r="GJ94" i="65"/>
  <c r="GI94" i="65"/>
  <c r="GF371" i="65"/>
  <c r="GF410" i="65"/>
  <c r="GK346" i="65"/>
  <c r="GJ346" i="65"/>
  <c r="GI346" i="65"/>
  <c r="GK282" i="65"/>
  <c r="GJ282" i="65"/>
  <c r="GI282" i="65"/>
  <c r="GK257" i="65"/>
  <c r="GI257" i="65"/>
  <c r="GJ257" i="65"/>
  <c r="GF178" i="65"/>
  <c r="GF92" i="65"/>
  <c r="GF16" i="65"/>
  <c r="GK412" i="65"/>
  <c r="GJ412" i="65"/>
  <c r="GI412" i="65"/>
  <c r="GF364" i="65"/>
  <c r="GF332" i="65"/>
  <c r="GI300" i="65"/>
  <c r="GF214" i="65"/>
  <c r="GF171" i="65"/>
  <c r="GJ150" i="65"/>
  <c r="GK150" i="65"/>
  <c r="GI150" i="65"/>
  <c r="GK107" i="65"/>
  <c r="GJ107" i="65"/>
  <c r="GI107" i="65"/>
  <c r="GI64" i="65"/>
  <c r="GK263" i="65"/>
  <c r="GJ263" i="65"/>
  <c r="GI263" i="65"/>
  <c r="GI228" i="65"/>
  <c r="GF186" i="65"/>
  <c r="GF143" i="65"/>
  <c r="GF58" i="65"/>
  <c r="GI229" i="65"/>
  <c r="GF197" i="65"/>
  <c r="GI149" i="65"/>
  <c r="GI117" i="65"/>
  <c r="GI85" i="65"/>
  <c r="GI53" i="65"/>
  <c r="GI21" i="65"/>
  <c r="GF270" i="65"/>
  <c r="GI301" i="65"/>
  <c r="GJ130" i="65"/>
  <c r="GK130" i="65"/>
  <c r="GI130" i="65"/>
  <c r="GI44" i="65"/>
  <c r="GJ438" i="65"/>
  <c r="GK438" i="65"/>
  <c r="GI438" i="65"/>
  <c r="GK289" i="65"/>
  <c r="GI289" i="65"/>
  <c r="GJ289" i="65"/>
  <c r="GF382" i="65"/>
  <c r="GF373" i="65"/>
  <c r="GI309" i="65"/>
  <c r="GF19" i="65"/>
  <c r="GK352" i="65"/>
  <c r="GI352" i="65"/>
  <c r="GJ352" i="65"/>
  <c r="GI256" i="65"/>
  <c r="GF155" i="65"/>
  <c r="GI112" i="65"/>
  <c r="GF251" i="65"/>
  <c r="GF84" i="65"/>
  <c r="GK217" i="65"/>
  <c r="GI217" i="65"/>
  <c r="GJ217" i="65"/>
  <c r="GK185" i="65"/>
  <c r="GI185" i="65"/>
  <c r="GJ185" i="65"/>
  <c r="GF121" i="65"/>
  <c r="GK89" i="65"/>
  <c r="GJ89" i="65"/>
  <c r="GI89" i="65"/>
  <c r="GF25" i="65"/>
  <c r="GI398" i="65"/>
  <c r="GK281" i="65"/>
  <c r="GI281" i="65"/>
  <c r="GJ281" i="65"/>
  <c r="GJ174" i="65"/>
  <c r="GK174" i="65"/>
  <c r="GI174" i="65"/>
  <c r="GK46" i="65"/>
  <c r="GI46" i="65"/>
  <c r="GJ46" i="65"/>
  <c r="GF418" i="65"/>
  <c r="GI354" i="65"/>
  <c r="GF333" i="65"/>
  <c r="GK236" i="65"/>
  <c r="GJ236" i="65"/>
  <c r="GI236" i="65"/>
  <c r="GK151" i="65"/>
  <c r="GJ151" i="65"/>
  <c r="GI151" i="65"/>
  <c r="GI108" i="65"/>
  <c r="GI406" i="65"/>
  <c r="GI342" i="65"/>
  <c r="GF278" i="65"/>
  <c r="GK211" i="65"/>
  <c r="GJ211" i="65"/>
  <c r="GI211" i="65"/>
  <c r="GK126" i="65"/>
  <c r="GJ126" i="65"/>
  <c r="GI126" i="65"/>
  <c r="GK83" i="65"/>
  <c r="GJ83" i="65"/>
  <c r="GI83" i="65"/>
  <c r="GF361" i="65"/>
  <c r="GF318" i="65"/>
  <c r="GF405" i="65"/>
  <c r="GI383" i="65"/>
  <c r="GK319" i="65"/>
  <c r="GJ319" i="65"/>
  <c r="GI319" i="65"/>
  <c r="GF277" i="65"/>
  <c r="GK249" i="65"/>
  <c r="GI249" i="65"/>
  <c r="GJ249" i="65"/>
  <c r="GF124" i="65"/>
  <c r="GF82" i="65"/>
  <c r="GF12" i="65"/>
  <c r="GK392" i="65"/>
  <c r="GI392" i="65"/>
  <c r="GJ392" i="65"/>
  <c r="GF376" i="65"/>
  <c r="GI344" i="65"/>
  <c r="GF264" i="65"/>
  <c r="GK248" i="65"/>
  <c r="GI248" i="65"/>
  <c r="GJ248" i="65"/>
  <c r="GF208" i="65"/>
  <c r="GK187" i="65"/>
  <c r="GJ187" i="65"/>
  <c r="GI187" i="65"/>
  <c r="GF123" i="65"/>
  <c r="GK59" i="65"/>
  <c r="GJ59" i="65"/>
  <c r="GI59" i="65"/>
  <c r="GF243" i="65"/>
  <c r="GF202" i="65"/>
  <c r="GF95" i="65"/>
  <c r="GF74" i="65"/>
  <c r="GF225" i="65"/>
  <c r="GK209" i="65"/>
  <c r="GI209" i="65"/>
  <c r="GJ209" i="65"/>
  <c r="GF161" i="65"/>
  <c r="GK145" i="65"/>
  <c r="GJ145" i="65"/>
  <c r="GI145" i="65"/>
  <c r="GF97" i="65"/>
  <c r="GF81" i="65"/>
  <c r="GK33" i="65"/>
  <c r="GI33" i="65"/>
  <c r="GJ33" i="65"/>
  <c r="GI40" i="65"/>
  <c r="GI419" i="65"/>
  <c r="GK195" i="65"/>
  <c r="GJ195" i="65"/>
  <c r="GI195" i="65"/>
  <c r="GK67" i="65"/>
  <c r="GJ67" i="65"/>
  <c r="GI67" i="65"/>
  <c r="GI386" i="65"/>
  <c r="GF322" i="65"/>
  <c r="GK331" i="65"/>
  <c r="GJ331" i="65"/>
  <c r="GI331" i="65"/>
  <c r="GI13" i="65"/>
  <c r="GF18" i="65"/>
  <c r="GF387" i="65"/>
  <c r="GI345" i="65"/>
  <c r="GJ206" i="65"/>
  <c r="GK206" i="65"/>
  <c r="GI206" i="65"/>
  <c r="GK163" i="65"/>
  <c r="GJ163" i="65"/>
  <c r="GI163" i="65"/>
  <c r="GK413" i="65"/>
  <c r="GJ413" i="65"/>
  <c r="GI413" i="65"/>
  <c r="GI391" i="65"/>
  <c r="GF327" i="65"/>
  <c r="GF306" i="65"/>
  <c r="GJ226" i="65"/>
  <c r="GK226" i="65"/>
  <c r="GI226" i="65"/>
  <c r="GF183" i="65"/>
  <c r="GF55" i="65"/>
  <c r="GF10" i="65"/>
  <c r="GF379" i="65"/>
  <c r="GF358" i="65"/>
  <c r="GF294" i="65"/>
  <c r="GK273" i="65"/>
  <c r="GI273" i="65"/>
  <c r="GJ273" i="65"/>
  <c r="GJ158" i="65"/>
  <c r="GK158" i="65"/>
  <c r="GI158" i="65"/>
  <c r="GK115" i="65"/>
  <c r="GJ115" i="65"/>
  <c r="GI115" i="65"/>
  <c r="GF435" i="65"/>
  <c r="GK393" i="65"/>
  <c r="GI393" i="65"/>
  <c r="GJ393" i="65"/>
  <c r="GF9" i="65"/>
  <c r="GK421" i="65"/>
  <c r="GJ421" i="65"/>
  <c r="GI421" i="65"/>
  <c r="GF357" i="65"/>
  <c r="GK335" i="65"/>
  <c r="GJ335" i="65"/>
  <c r="GI335" i="65"/>
  <c r="GF271" i="65"/>
  <c r="GK241" i="65"/>
  <c r="GI241" i="65"/>
  <c r="GJ241" i="65"/>
  <c r="GJ114" i="65"/>
  <c r="GK114" i="65"/>
  <c r="GI114" i="65"/>
  <c r="GF71" i="65"/>
  <c r="GF420" i="65"/>
  <c r="GK404" i="65"/>
  <c r="GJ404" i="65"/>
  <c r="GI404" i="65"/>
  <c r="GF356" i="65"/>
  <c r="GK340" i="65"/>
  <c r="GJ340" i="65"/>
  <c r="GI340" i="65"/>
  <c r="GF260" i="65"/>
  <c r="GI244" i="65"/>
  <c r="GF160" i="65"/>
  <c r="GK139" i="65"/>
  <c r="GJ139" i="65"/>
  <c r="GI139" i="65"/>
  <c r="GF75" i="65"/>
  <c r="GF54" i="65"/>
  <c r="GK239" i="65"/>
  <c r="GJ239" i="65"/>
  <c r="GI239" i="65"/>
  <c r="GF218" i="65"/>
  <c r="GK154" i="65"/>
  <c r="GJ154" i="65"/>
  <c r="GI154" i="65"/>
  <c r="GI132" i="65"/>
  <c r="GF68" i="65"/>
  <c r="GK47" i="65"/>
  <c r="GJ47" i="65"/>
  <c r="GI47" i="65"/>
  <c r="GI205" i="65"/>
  <c r="GF189" i="65"/>
  <c r="GI141" i="65"/>
  <c r="GF125" i="65"/>
  <c r="GF77" i="65"/>
  <c r="GF61" i="65"/>
  <c r="GF20" i="65"/>
  <c r="GF148" i="65"/>
  <c r="GF169" i="65"/>
  <c r="GF323" i="65"/>
  <c r="GF423" i="65"/>
  <c r="GK295" i="65"/>
  <c r="GJ295" i="65"/>
  <c r="GI295" i="65"/>
  <c r="GF6" i="65"/>
  <c r="GF431" i="65"/>
  <c r="GK303" i="65"/>
  <c r="GJ303" i="65"/>
  <c r="GI303" i="65"/>
  <c r="GF252" i="65"/>
  <c r="GF79" i="65"/>
  <c r="GK353" i="65"/>
  <c r="GI353" i="65"/>
  <c r="GJ353" i="65"/>
  <c r="GF320" i="65"/>
  <c r="GK439" i="65"/>
  <c r="GJ439" i="65"/>
  <c r="GI439" i="65"/>
  <c r="GF167" i="65"/>
  <c r="GF408" i="65"/>
  <c r="GK223" i="65"/>
  <c r="GJ223" i="65"/>
  <c r="GI223" i="65"/>
  <c r="GF159" i="65"/>
  <c r="GI116" i="65"/>
  <c r="GF275" i="65"/>
  <c r="GF36" i="65"/>
  <c r="GI375" i="65"/>
  <c r="GF363" i="65"/>
  <c r="GF395" i="65"/>
  <c r="GF436" i="65"/>
  <c r="GK324" i="65"/>
  <c r="GJ324" i="65"/>
  <c r="GI324" i="65"/>
  <c r="GI152" i="65"/>
  <c r="GK429" i="65"/>
  <c r="GJ429" i="65"/>
  <c r="GI429" i="65"/>
  <c r="GK279" i="65"/>
  <c r="GJ279" i="65"/>
  <c r="GI279" i="65"/>
  <c r="GI172" i="65"/>
  <c r="GF374" i="65"/>
  <c r="GF232" i="65"/>
  <c r="GI394" i="65"/>
  <c r="GF330" i="65"/>
  <c r="GF146" i="65"/>
  <c r="GK368" i="65"/>
  <c r="GI368" i="65"/>
  <c r="GJ368" i="65"/>
  <c r="GI272" i="65"/>
  <c r="GJ134" i="65"/>
  <c r="GK134" i="65"/>
  <c r="GI134" i="65"/>
  <c r="GF70" i="65"/>
  <c r="GK267" i="65"/>
  <c r="GJ267" i="65"/>
  <c r="GI267" i="65"/>
  <c r="GF63" i="65"/>
  <c r="GK201" i="65"/>
  <c r="GI201" i="65"/>
  <c r="GJ201" i="65"/>
  <c r="GK105" i="65"/>
  <c r="GI105" i="65"/>
  <c r="GJ105" i="65"/>
  <c r="GK73" i="65"/>
  <c r="GI73" i="65"/>
  <c r="GJ73" i="65"/>
  <c r="GF32" i="65"/>
  <c r="GI366" i="65"/>
  <c r="GK227" i="65"/>
  <c r="GJ227" i="65"/>
  <c r="GI227" i="65"/>
  <c r="GK142" i="65"/>
  <c r="GJ142" i="65"/>
  <c r="GI142" i="65"/>
  <c r="GF56" i="65"/>
  <c r="GI359" i="65"/>
  <c r="GJ274" i="65"/>
  <c r="GK274" i="65"/>
  <c r="GI274" i="65"/>
  <c r="GK245" i="65"/>
  <c r="GJ245" i="65"/>
  <c r="GI245" i="65"/>
  <c r="GJ162" i="65"/>
  <c r="GK162" i="65"/>
  <c r="GI162" i="65"/>
  <c r="GF30" i="65"/>
  <c r="GF411" i="65"/>
  <c r="GK369" i="65"/>
  <c r="GI369" i="65"/>
  <c r="GJ369" i="65"/>
  <c r="GK347" i="65"/>
  <c r="GJ347" i="65"/>
  <c r="GI347" i="65"/>
  <c r="GK305" i="65"/>
  <c r="GI305" i="65"/>
  <c r="GJ305" i="65"/>
  <c r="GJ258" i="65"/>
  <c r="GK258" i="65"/>
  <c r="GI258" i="65"/>
  <c r="GF222" i="65"/>
  <c r="GF94" i="65"/>
  <c r="GI414" i="65"/>
  <c r="GK371" i="65"/>
  <c r="GJ371" i="65"/>
  <c r="GI371" i="65"/>
  <c r="GF346" i="65"/>
  <c r="GF282" i="65"/>
  <c r="GF220" i="65"/>
  <c r="GF135" i="65"/>
  <c r="GI92" i="65"/>
  <c r="GI16" i="65"/>
  <c r="GF412" i="65"/>
  <c r="GI348" i="65"/>
  <c r="GI316" i="65"/>
  <c r="GF284" i="65"/>
  <c r="GJ214" i="65"/>
  <c r="GK214" i="65"/>
  <c r="GI214" i="65"/>
  <c r="GK171" i="65"/>
  <c r="GJ171" i="65"/>
  <c r="GI171" i="65"/>
  <c r="GF128" i="65"/>
  <c r="GJ86" i="65"/>
  <c r="GK86" i="65"/>
  <c r="GI86" i="65"/>
  <c r="GF43" i="65"/>
  <c r="GI247" i="65"/>
  <c r="GF207" i="65"/>
  <c r="GF164" i="65"/>
  <c r="GK143" i="65"/>
  <c r="GJ143" i="65"/>
  <c r="GI143" i="65"/>
  <c r="GF100" i="65"/>
  <c r="GF34" i="65"/>
  <c r="GF213" i="65"/>
  <c r="GI197" i="65"/>
  <c r="GF165" i="65"/>
  <c r="GI133" i="65"/>
  <c r="GF101" i="65"/>
  <c r="GI69" i="65"/>
  <c r="GF37" i="65"/>
  <c r="GF28" i="65"/>
  <c r="GF377" i="65"/>
  <c r="GF343" i="65"/>
  <c r="GK215" i="65"/>
  <c r="GJ215" i="65"/>
  <c r="GI215" i="65"/>
  <c r="GF130" i="65"/>
  <c r="GF438" i="65"/>
  <c r="GF62" i="65"/>
  <c r="GK373" i="65"/>
  <c r="GJ373" i="65"/>
  <c r="GI373" i="65"/>
  <c r="GK103" i="65"/>
  <c r="GJ103" i="65"/>
  <c r="GI103" i="65"/>
  <c r="GK19" i="65"/>
  <c r="GJ19" i="65"/>
  <c r="GI19" i="65"/>
  <c r="GF384" i="65"/>
  <c r="GF288" i="65"/>
  <c r="GF176" i="65"/>
  <c r="GK155" i="65"/>
  <c r="GJ155" i="65"/>
  <c r="GI155" i="65"/>
  <c r="GK251" i="65"/>
  <c r="GJ251" i="65"/>
  <c r="GI251" i="65"/>
  <c r="GF127" i="65"/>
  <c r="GI84" i="65"/>
  <c r="GF217" i="65"/>
  <c r="GF153" i="65"/>
  <c r="GK121" i="65"/>
  <c r="GJ121" i="65"/>
  <c r="GI121" i="65"/>
  <c r="GF57" i="65"/>
  <c r="GK25" i="65"/>
  <c r="GI25" i="65"/>
  <c r="GJ25" i="65"/>
  <c r="GF398" i="65"/>
  <c r="GF313" i="65"/>
  <c r="GF216" i="65"/>
  <c r="GF174" i="65"/>
  <c r="GF88" i="65"/>
  <c r="GF354" i="65"/>
  <c r="GI269" i="65"/>
  <c r="GF151" i="65"/>
  <c r="GF406" i="65"/>
  <c r="GF342" i="65"/>
  <c r="GF299" i="65"/>
  <c r="GJ278" i="65"/>
  <c r="GK278" i="65"/>
  <c r="GI278" i="65"/>
  <c r="GF211" i="65"/>
  <c r="GF126" i="65"/>
  <c r="GK39" i="65"/>
  <c r="GJ39" i="65"/>
  <c r="GI39" i="65"/>
  <c r="GK361" i="65"/>
  <c r="GI361" i="65"/>
  <c r="GJ361" i="65"/>
  <c r="GF14" i="65"/>
  <c r="GK405" i="65"/>
  <c r="GJ405" i="65"/>
  <c r="GI405" i="65"/>
  <c r="GF341" i="65"/>
  <c r="GI277" i="65"/>
  <c r="GJ210" i="65"/>
  <c r="GK210" i="65"/>
  <c r="GI210" i="65"/>
  <c r="GI124" i="65"/>
  <c r="GI38" i="65"/>
  <c r="GJ38" i="65"/>
  <c r="GK38" i="65"/>
  <c r="GI12" i="65"/>
  <c r="GF440" i="65"/>
  <c r="GF392" i="65"/>
  <c r="GK360" i="65"/>
  <c r="GI360" i="65"/>
  <c r="GJ360" i="65"/>
  <c r="GF344" i="65"/>
  <c r="GF312" i="65"/>
  <c r="GI264" i="65"/>
  <c r="GF230" i="65"/>
  <c r="GI208" i="65"/>
  <c r="GF144" i="65"/>
  <c r="GK123" i="65"/>
  <c r="GJ123" i="65"/>
  <c r="GI123" i="65"/>
  <c r="GF80" i="65"/>
  <c r="GK259" i="65"/>
  <c r="GJ259" i="65"/>
  <c r="GI259" i="65"/>
  <c r="GK243" i="65"/>
  <c r="GJ243" i="65"/>
  <c r="GI243" i="65"/>
  <c r="GK138" i="65"/>
  <c r="GJ138" i="65"/>
  <c r="GI138" i="65"/>
  <c r="GK95" i="65"/>
  <c r="GJ95" i="65"/>
  <c r="GI95" i="65"/>
  <c r="GK26" i="65"/>
  <c r="GJ26" i="65"/>
  <c r="GI26" i="65"/>
  <c r="GK225" i="65"/>
  <c r="GI225" i="65"/>
  <c r="GJ225" i="65"/>
  <c r="GF177" i="65"/>
  <c r="GI161" i="65"/>
  <c r="GF113" i="65"/>
  <c r="GK97" i="65"/>
  <c r="GJ97" i="65"/>
  <c r="GI97" i="65"/>
  <c r="GF49" i="65"/>
  <c r="GF33" i="65"/>
  <c r="GF7" i="65"/>
  <c r="GF195" i="65"/>
  <c r="GF386" i="65"/>
  <c r="GK147" i="65"/>
  <c r="GJ147" i="65"/>
  <c r="GI147" i="65"/>
  <c r="GF425" i="65"/>
  <c r="GJ430" i="65"/>
  <c r="GK430" i="65"/>
  <c r="GI430" i="65"/>
  <c r="GK387" i="65"/>
  <c r="GJ387" i="65"/>
  <c r="GI387" i="65"/>
  <c r="GF246" i="65"/>
  <c r="GF206" i="65"/>
  <c r="GF78" i="65"/>
  <c r="GI434" i="65"/>
  <c r="GF413" i="65"/>
  <c r="GK349" i="65"/>
  <c r="GJ349" i="65"/>
  <c r="GI349" i="65"/>
  <c r="GI327" i="65"/>
  <c r="GI261" i="65"/>
  <c r="GF226" i="65"/>
  <c r="GJ98" i="65"/>
  <c r="GK98" i="65"/>
  <c r="GI98" i="65"/>
  <c r="GK55" i="65"/>
  <c r="GJ55" i="65"/>
  <c r="GI55" i="65"/>
  <c r="GK401" i="65"/>
  <c r="GI401" i="65"/>
  <c r="GJ401" i="65"/>
  <c r="GK379" i="65"/>
  <c r="GJ379" i="65"/>
  <c r="GI379" i="65"/>
  <c r="GF315" i="65"/>
  <c r="GJ294" i="65"/>
  <c r="GK294" i="65"/>
  <c r="GI294" i="65"/>
  <c r="GF200" i="65"/>
  <c r="GF158" i="65"/>
  <c r="GK435" i="65"/>
  <c r="GJ435" i="65"/>
  <c r="GI435" i="65"/>
  <c r="GF307" i="65"/>
  <c r="GK9" i="65"/>
  <c r="GI9" i="65"/>
  <c r="GJ9" i="65"/>
  <c r="GI378" i="65"/>
  <c r="GK357" i="65"/>
  <c r="GJ357" i="65"/>
  <c r="GI357" i="65"/>
  <c r="GF293" i="65"/>
  <c r="GK271" i="65"/>
  <c r="GJ271" i="65"/>
  <c r="GI271" i="65"/>
  <c r="GF156" i="65"/>
  <c r="GF114" i="65"/>
  <c r="GF8" i="65"/>
  <c r="GI420" i="65"/>
  <c r="GF372" i="65"/>
  <c r="GK356" i="65"/>
  <c r="GJ356" i="65"/>
  <c r="GI356" i="65"/>
  <c r="GF276" i="65"/>
  <c r="GI260" i="65"/>
  <c r="GF182" i="65"/>
  <c r="GI160" i="65"/>
  <c r="GF96" i="65"/>
  <c r="GK75" i="65"/>
  <c r="GJ75" i="65"/>
  <c r="GI75" i="65"/>
  <c r="GF255" i="65"/>
  <c r="GF239" i="65"/>
  <c r="GK175" i="65"/>
  <c r="GJ175" i="65"/>
  <c r="GI175" i="65"/>
  <c r="GF154" i="65"/>
  <c r="GK90" i="65"/>
  <c r="GJ90" i="65"/>
  <c r="GI90" i="65"/>
  <c r="GI68" i="65"/>
  <c r="GF221" i="65"/>
  <c r="GF205" i="65"/>
  <c r="GF157" i="65"/>
  <c r="GF141" i="65"/>
  <c r="GF93" i="65"/>
  <c r="GI77" i="65"/>
  <c r="GF29" i="65"/>
  <c r="GI20" i="65"/>
  <c r="GI148" i="65"/>
  <c r="GK169" i="65"/>
  <c r="GI169" i="65"/>
  <c r="GJ169" i="65"/>
  <c r="GF409" i="65"/>
  <c r="GK323" i="65"/>
  <c r="GJ323" i="65"/>
  <c r="GI323" i="65"/>
  <c r="GI423" i="65"/>
  <c r="GF295" i="65"/>
  <c r="GJ6" i="65"/>
  <c r="GK6" i="65"/>
  <c r="GI6" i="65"/>
  <c r="GK431" i="65"/>
  <c r="GJ431" i="65"/>
  <c r="GI431" i="65"/>
  <c r="GF303" i="65"/>
  <c r="GK380" i="65"/>
  <c r="GJ380" i="65"/>
  <c r="GI380" i="65"/>
  <c r="GF268" i="65"/>
  <c r="GI252" i="65"/>
  <c r="GK79" i="65"/>
  <c r="GJ79" i="65"/>
  <c r="GI79" i="65"/>
  <c r="GF353" i="65"/>
  <c r="GF416" i="65"/>
  <c r="GI320" i="65"/>
  <c r="GK311" i="65"/>
  <c r="GJ311" i="65"/>
  <c r="GI311" i="65"/>
  <c r="GI424" i="65"/>
  <c r="GK408" i="65"/>
  <c r="GI408" i="65"/>
  <c r="GJ408" i="65"/>
  <c r="GF280" i="65"/>
  <c r="GK159" i="65"/>
  <c r="GJ159" i="65"/>
  <c r="GI159" i="65"/>
  <c r="GF308" i="65"/>
  <c r="GI36" i="65"/>
  <c r="GF212" i="65"/>
  <c r="GK363" i="65"/>
  <c r="GJ363" i="65"/>
  <c r="GI363" i="65"/>
  <c r="GK395" i="65"/>
  <c r="GJ395" i="65"/>
  <c r="GI395" i="65"/>
  <c r="GF72" i="65"/>
  <c r="GK436" i="65"/>
  <c r="GJ436" i="65"/>
  <c r="GI436" i="65"/>
  <c r="GI238" i="65"/>
  <c r="GK365" i="65"/>
  <c r="GJ365" i="65"/>
  <c r="GI365" i="65"/>
  <c r="GF279" i="65"/>
  <c r="GK417" i="65"/>
  <c r="GI417" i="65"/>
  <c r="GJ417" i="65"/>
  <c r="GF310" i="65"/>
  <c r="GI232" i="65"/>
  <c r="GF437" i="65"/>
  <c r="GF394" i="65"/>
  <c r="GF287" i="65"/>
  <c r="GF400" i="65"/>
  <c r="GF304" i="65"/>
  <c r="GF198" i="65"/>
  <c r="GF91" i="65"/>
  <c r="GI70" i="65"/>
  <c r="GJ70" i="65"/>
  <c r="GK70" i="65"/>
  <c r="GK106" i="65"/>
  <c r="GJ106" i="65"/>
  <c r="GI106" i="65"/>
  <c r="GK63" i="65"/>
  <c r="GJ63" i="65"/>
  <c r="GI63" i="65"/>
  <c r="GF105" i="65"/>
  <c r="GF41" i="65"/>
  <c r="GI32" i="65"/>
  <c r="GF366" i="65"/>
  <c r="GF262" i="65"/>
  <c r="GF142" i="65"/>
  <c r="GI56" i="65"/>
  <c r="GK381" i="65"/>
  <c r="GJ381" i="65"/>
  <c r="GI381" i="65"/>
  <c r="GI317" i="65"/>
  <c r="GF274" i="65"/>
  <c r="GF204" i="65"/>
  <c r="GF162" i="65"/>
  <c r="GF76" i="65"/>
  <c r="GK30" i="65"/>
  <c r="GI30" i="65"/>
  <c r="GJ30" i="65"/>
  <c r="GK433" i="65"/>
  <c r="GI433" i="65"/>
  <c r="GJ433" i="65"/>
  <c r="GK411" i="65"/>
  <c r="GJ411" i="65"/>
  <c r="GI411" i="65"/>
  <c r="GF369" i="65"/>
  <c r="GI326" i="65"/>
  <c r="GF258" i="65"/>
  <c r="GF136" i="65"/>
  <c r="GF51" i="65"/>
  <c r="GF414" i="65"/>
  <c r="GF329" i="65"/>
  <c r="GF389" i="65"/>
  <c r="GF325" i="65"/>
  <c r="GI220" i="65"/>
  <c r="GK135" i="65"/>
  <c r="GJ135" i="65"/>
  <c r="GI135" i="65"/>
  <c r="GJ50" i="65"/>
  <c r="GI50" i="65"/>
  <c r="GK50" i="65"/>
  <c r="GI428" i="65"/>
  <c r="GF348" i="65"/>
  <c r="GF316" i="65"/>
  <c r="GI284" i="65"/>
  <c r="GF192" i="65"/>
  <c r="GI128" i="65"/>
  <c r="GF86" i="65"/>
  <c r="GK43" i="65"/>
  <c r="GJ43" i="65"/>
  <c r="GI43" i="65"/>
  <c r="GF247" i="65"/>
  <c r="GK207" i="65"/>
  <c r="GJ207" i="65"/>
  <c r="GI207" i="65"/>
  <c r="GI164" i="65"/>
  <c r="GK122" i="65"/>
  <c r="GJ122" i="65"/>
  <c r="GI122" i="65"/>
  <c r="GI100" i="65"/>
  <c r="GJ34" i="65"/>
  <c r="GI34" i="65"/>
  <c r="GK34" i="65"/>
  <c r="GI213" i="65"/>
  <c r="GF181" i="65"/>
  <c r="GI165" i="65"/>
  <c r="GF133" i="65"/>
  <c r="GI101" i="65"/>
  <c r="GF69" i="65"/>
  <c r="GI37" i="65"/>
  <c r="GI28" i="65"/>
  <c r="GK377" i="65"/>
  <c r="GI377" i="65"/>
  <c r="GJ377" i="65"/>
  <c r="GK110" i="65"/>
  <c r="GJ110" i="65"/>
  <c r="GI110" i="65"/>
  <c r="GF407" i="65"/>
  <c r="GK343" i="65"/>
  <c r="GJ343" i="65"/>
  <c r="GI343" i="65"/>
  <c r="GF215" i="65"/>
  <c r="GJ190" i="65"/>
  <c r="GK190" i="65"/>
  <c r="GI190" i="65"/>
  <c r="GK62" i="65"/>
  <c r="GI62" i="65"/>
  <c r="GJ62" i="65"/>
  <c r="GJ286" i="65"/>
  <c r="GK286" i="65"/>
  <c r="GI286" i="65"/>
  <c r="GF415" i="65"/>
  <c r="GF265" i="65"/>
  <c r="GF103" i="65"/>
  <c r="GK384" i="65"/>
  <c r="GI384" i="65"/>
  <c r="GJ384" i="65"/>
  <c r="GI288" i="65"/>
  <c r="GF219" i="65"/>
  <c r="GI176" i="65"/>
  <c r="GF48" i="65"/>
  <c r="GK170" i="65"/>
  <c r="GJ170" i="65"/>
  <c r="GI170" i="65"/>
  <c r="GK127" i="65"/>
  <c r="GJ127" i="65"/>
  <c r="GI127" i="65"/>
  <c r="GF42" i="65"/>
  <c r="GK153" i="65"/>
  <c r="GI153" i="65"/>
  <c r="GJ153" i="65"/>
  <c r="GK57" i="65"/>
  <c r="GI57" i="65"/>
  <c r="GJ57" i="65"/>
  <c r="GF355" i="65"/>
  <c r="GK313" i="65"/>
  <c r="GI313" i="65"/>
  <c r="GJ313" i="65"/>
  <c r="GJ254" i="65"/>
  <c r="GK254" i="65"/>
  <c r="GI254" i="65"/>
  <c r="GI216" i="65"/>
  <c r="GK131" i="65"/>
  <c r="GJ131" i="65"/>
  <c r="GI131" i="65"/>
  <c r="GI88" i="65"/>
  <c r="GK397" i="65"/>
  <c r="GJ397" i="65"/>
  <c r="GI397" i="65"/>
  <c r="GJ290" i="65"/>
  <c r="GK290" i="65"/>
  <c r="GI290" i="65"/>
  <c r="GF269" i="65"/>
  <c r="GJ194" i="65"/>
  <c r="GK194" i="65"/>
  <c r="GI194" i="65"/>
  <c r="GJ66" i="65"/>
  <c r="GI66" i="65"/>
  <c r="GK66" i="65"/>
  <c r="GF427" i="65"/>
  <c r="GK385" i="65"/>
  <c r="GI385" i="65"/>
  <c r="GJ385" i="65"/>
  <c r="GI321" i="65"/>
  <c r="GK299" i="65"/>
  <c r="GJ299" i="65"/>
  <c r="GI299" i="65"/>
  <c r="GI250" i="65"/>
  <c r="GF168" i="65"/>
  <c r="GF39" i="65"/>
  <c r="GK14" i="65"/>
  <c r="GI14" i="65"/>
  <c r="GJ14" i="65"/>
  <c r="GK426" i="65"/>
  <c r="GJ426" i="65"/>
  <c r="GI426" i="65"/>
  <c r="GI362" i="65"/>
  <c r="GK341" i="65"/>
  <c r="GJ341" i="65"/>
  <c r="GI341" i="65"/>
  <c r="GK298" i="65"/>
  <c r="GJ298" i="65"/>
  <c r="GI298" i="65"/>
  <c r="GF210" i="65"/>
  <c r="GF38" i="65"/>
  <c r="GI440" i="65"/>
  <c r="GF360" i="65"/>
  <c r="GK328" i="65"/>
  <c r="GI328" i="65"/>
  <c r="GJ328" i="65"/>
  <c r="GI312" i="65"/>
  <c r="GJ230" i="65"/>
  <c r="GK230" i="65"/>
  <c r="GI230" i="65"/>
  <c r="GF166" i="65"/>
  <c r="GI144" i="65"/>
  <c r="GF102" i="65"/>
  <c r="GI80" i="65"/>
  <c r="GF35" i="65"/>
  <c r="GF259" i="65"/>
  <c r="GF180" i="65"/>
  <c r="GF138" i="65"/>
  <c r="GF52" i="65"/>
  <c r="GF26" i="65"/>
  <c r="GF193" i="65"/>
  <c r="GK177" i="65"/>
  <c r="GI177" i="65"/>
  <c r="GJ177" i="65"/>
  <c r="GF129" i="65"/>
  <c r="GK113" i="65"/>
  <c r="GJ113" i="65"/>
  <c r="GI113" i="65"/>
  <c r="GF65" i="65"/>
  <c r="GK49" i="65"/>
  <c r="GI49" i="65"/>
  <c r="GJ49" i="65"/>
  <c r="GF24" i="65"/>
  <c r="GK7" i="65"/>
  <c r="GJ7" i="65"/>
  <c r="GI7" i="65"/>
  <c r="GF297" i="65"/>
  <c r="GK87" i="65"/>
  <c r="GJ87" i="65"/>
  <c r="GI87" i="65"/>
  <c r="GK266" i="65"/>
  <c r="GJ266" i="65"/>
  <c r="GI266" i="65"/>
  <c r="GF147" i="65"/>
  <c r="GI425" i="65"/>
  <c r="GF430" i="65"/>
  <c r="GJ302" i="65"/>
  <c r="GK302" i="65"/>
  <c r="GI302" i="65"/>
  <c r="GI246" i="65"/>
  <c r="GF120" i="65"/>
  <c r="GK78" i="65"/>
  <c r="GJ78" i="65"/>
  <c r="GI78" i="65"/>
  <c r="GF434" i="65"/>
  <c r="GI370" i="65"/>
  <c r="GF349" i="65"/>
  <c r="GF285" i="65"/>
  <c r="GF261" i="65"/>
  <c r="GF140" i="65"/>
  <c r="GF98" i="65"/>
  <c r="GJ422" i="65"/>
  <c r="GK422" i="65"/>
  <c r="GI422" i="65"/>
  <c r="GF401" i="65"/>
  <c r="GK337" i="65"/>
  <c r="GI337" i="65"/>
  <c r="GJ337" i="65"/>
  <c r="GK315" i="65"/>
  <c r="GJ315" i="65"/>
  <c r="GI315" i="65"/>
  <c r="GJ242" i="65"/>
  <c r="GK242" i="65"/>
  <c r="GI242" i="65"/>
  <c r="GI200" i="65"/>
  <c r="GK23" i="65"/>
  <c r="GJ23" i="65"/>
  <c r="GI23" i="65"/>
  <c r="GI350" i="65"/>
  <c r="GK307" i="65"/>
  <c r="GJ307" i="65"/>
  <c r="GI307" i="65"/>
  <c r="GF399" i="65"/>
  <c r="GF378" i="65"/>
  <c r="GK314" i="65"/>
  <c r="GJ314" i="65"/>
  <c r="GI314" i="65"/>
  <c r="GI293" i="65"/>
  <c r="GF199" i="65"/>
  <c r="GI156" i="65"/>
  <c r="GI22" i="65"/>
  <c r="GJ22" i="65"/>
  <c r="GK22" i="65"/>
  <c r="GI8" i="65"/>
  <c r="GF388" i="65"/>
  <c r="GK372" i="65"/>
  <c r="GJ372" i="65"/>
  <c r="GI372" i="65"/>
  <c r="GF292" i="65"/>
  <c r="GI276" i="65"/>
  <c r="GF203" i="65"/>
  <c r="GJ182" i="65"/>
  <c r="GK182" i="65"/>
  <c r="GI182" i="65"/>
  <c r="GF118" i="65"/>
  <c r="GI96" i="65"/>
  <c r="GF27" i="65"/>
  <c r="GK255" i="65"/>
  <c r="GJ255" i="65"/>
  <c r="GI255" i="65"/>
  <c r="GF196" i="65"/>
  <c r="GF175" i="65"/>
  <c r="GK111" i="65"/>
  <c r="GJ111" i="65"/>
  <c r="GI111" i="65"/>
  <c r="GF90" i="65"/>
  <c r="GF237" i="65"/>
  <c r="GI221" i="65"/>
  <c r="GF173" i="65"/>
  <c r="GK157" i="65"/>
  <c r="GJ157" i="65"/>
  <c r="GI157" i="65"/>
  <c r="GF109" i="65"/>
  <c r="GI93" i="65"/>
  <c r="GF45" i="65"/>
  <c r="GI29" i="65"/>
  <c r="GF339" i="65"/>
  <c r="GK231" i="65"/>
  <c r="GJ231" i="65"/>
  <c r="GI231" i="65"/>
  <c r="GF191" i="65"/>
  <c r="GK233" i="65"/>
  <c r="GI233" i="65"/>
  <c r="GJ233" i="65"/>
  <c r="GK409" i="65"/>
  <c r="GI409" i="65"/>
  <c r="GJ409" i="65"/>
  <c r="GF179" i="65"/>
  <c r="GF367" i="65"/>
  <c r="GK396" i="65"/>
  <c r="GJ396" i="65"/>
  <c r="GI396" i="65"/>
  <c r="GF380" i="65"/>
  <c r="GI268" i="65"/>
  <c r="GF235" i="65"/>
  <c r="GF188" i="65"/>
  <c r="GK416" i="65"/>
  <c r="GI416" i="65"/>
  <c r="GJ416" i="65"/>
  <c r="GF311" i="65"/>
  <c r="GF424" i="65"/>
  <c r="GF296" i="65"/>
  <c r="GI280" i="65"/>
  <c r="GI253" i="65"/>
  <c r="GI308" i="65"/>
  <c r="GF351" i="65"/>
  <c r="GI212" i="65"/>
  <c r="GK15" i="65"/>
  <c r="GJ15" i="65"/>
  <c r="GI15" i="65"/>
  <c r="GF403" i="65"/>
  <c r="GF31" i="65"/>
  <c r="GI72" i="65"/>
  <c r="GF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B35" i="54"/>
  <c r="JB38" i="54"/>
  <c r="JB37" i="54"/>
  <c r="JB36" i="54"/>
  <c r="JB39" i="54"/>
  <c r="JD96" i="54"/>
  <c r="JD98" i="54"/>
  <c r="JD95" i="54"/>
  <c r="JD99" i="54"/>
  <c r="JD97" i="54"/>
  <c r="JB44" i="54"/>
  <c r="JB43" i="54"/>
  <c r="JB46" i="54"/>
  <c r="JB42" i="54"/>
  <c r="JB45" i="54"/>
  <c r="JB41" i="54"/>
  <c r="JB40" i="54"/>
  <c r="JE90" i="54"/>
  <c r="JE91" i="54"/>
  <c r="JF55" i="54"/>
  <c r="JF56" i="54"/>
  <c r="JA19" i="54"/>
  <c r="JA15" i="54"/>
  <c r="JA18" i="54"/>
  <c r="JA16" i="54"/>
  <c r="JA17" i="54"/>
  <c r="JC50" i="54"/>
  <c r="JC51" i="54"/>
  <c r="JC27" i="54"/>
  <c r="JC26" i="54"/>
  <c r="JC25" i="54"/>
  <c r="JC28" i="54"/>
  <c r="JC29" i="54"/>
  <c r="JA75" i="54"/>
  <c r="JA76" i="54"/>
  <c r="JA106" i="54"/>
  <c r="JA105" i="54"/>
  <c r="JB5" i="54"/>
  <c r="JB9" i="54"/>
  <c r="JB6" i="54"/>
  <c r="JB8" i="54"/>
  <c r="JB7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JC69" i="54" s="1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JA11" i="54" s="1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JB31" i="54" s="1"/>
  <c r="AT43" i="54"/>
  <c r="JB146" i="54" s="1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JF134" i="54" s="1"/>
  <c r="BI40" i="54"/>
  <c r="JE128" i="54" s="1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JF53" i="54" s="1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JE123" i="54" s="1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JF135" i="54" s="1"/>
  <c r="BD41" i="54"/>
  <c r="JD137" i="54" s="1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JC63" i="54" s="1"/>
  <c r="BI31" i="54"/>
  <c r="JE61" i="54" s="1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JA74" i="54" s="1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JC49" i="54" s="1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JC22" i="54" s="1"/>
  <c r="BD42" i="54"/>
  <c r="JD140" i="54" s="1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JA100" i="54" s="1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JD92" i="54" s="1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JE86" i="54" s="1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JC120" i="54" s="1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JC77" i="54" s="1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E129" i="54" l="1"/>
  <c r="JE124" i="54"/>
  <c r="JC84" i="54"/>
  <c r="JC81" i="54"/>
  <c r="JF130" i="54"/>
  <c r="JF136" i="54"/>
  <c r="JC24" i="54"/>
  <c r="JC21" i="54"/>
  <c r="JD138" i="54"/>
  <c r="JD144" i="54"/>
  <c r="JC68" i="54"/>
  <c r="JC66" i="54"/>
  <c r="JE89" i="54"/>
  <c r="JB151" i="54"/>
  <c r="JB150" i="54"/>
  <c r="JB153" i="54"/>
  <c r="JE58" i="54"/>
  <c r="JB32" i="54"/>
  <c r="JC117" i="54"/>
  <c r="JE126" i="54"/>
  <c r="JE127" i="54"/>
  <c r="JC80" i="54"/>
  <c r="JC79" i="54"/>
  <c r="JF133" i="54"/>
  <c r="JC20" i="54"/>
  <c r="JC47" i="54"/>
  <c r="JD141" i="54"/>
  <c r="JD139" i="54"/>
  <c r="JF52" i="54"/>
  <c r="JF54" i="54"/>
  <c r="JC64" i="54"/>
  <c r="JC67" i="54"/>
  <c r="JE88" i="54"/>
  <c r="JD93" i="54"/>
  <c r="JD94" i="54"/>
  <c r="JB154" i="54"/>
  <c r="JB148" i="54"/>
  <c r="JB145" i="54"/>
  <c r="JE59" i="54"/>
  <c r="JB34" i="54"/>
  <c r="JC118" i="54"/>
  <c r="JC119" i="54"/>
  <c r="JE125" i="54"/>
  <c r="JC78" i="54"/>
  <c r="JC83" i="54"/>
  <c r="JF131" i="54"/>
  <c r="JF132" i="54"/>
  <c r="JC23" i="54"/>
  <c r="JC48" i="54"/>
  <c r="JD143" i="54"/>
  <c r="JD142" i="54"/>
  <c r="JC65" i="54"/>
  <c r="JC62" i="54"/>
  <c r="JE87" i="54"/>
  <c r="JB147" i="54"/>
  <c r="JB149" i="54"/>
  <c r="JE57" i="54"/>
  <c r="JE60" i="54"/>
  <c r="JB30" i="54"/>
  <c r="JC121" i="54"/>
  <c r="JC116" i="54"/>
  <c r="JE122" i="54"/>
  <c r="JC82" i="54"/>
  <c r="JE85" i="54"/>
  <c r="JB152" i="54"/>
  <c r="JB33" i="54"/>
  <c r="JC115" i="54"/>
  <c r="JA104" i="54"/>
  <c r="JA12" i="54"/>
  <c r="JA103" i="54"/>
  <c r="JA102" i="54"/>
  <c r="JA73" i="54"/>
  <c r="JA72" i="54"/>
  <c r="JA14" i="54"/>
  <c r="JA71" i="54"/>
  <c r="JA70" i="54"/>
  <c r="JA101" i="54"/>
  <c r="JA13" i="54"/>
  <c r="JA10" i="54"/>
  <c r="JC96" i="54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B60" i="54"/>
  <c r="JB61" i="54"/>
  <c r="JI61" i="54" s="1"/>
  <c r="JB57" i="54"/>
  <c r="JI57" i="54" s="1"/>
  <c r="JB58" i="54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B86" i="54"/>
  <c r="JI86" i="54" s="1"/>
  <c r="JB85" i="54"/>
  <c r="JB87" i="54"/>
  <c r="JB88" i="54"/>
  <c r="JF51" i="54"/>
  <c r="JJ51" i="54" s="1"/>
  <c r="JF48" i="54"/>
  <c r="JF47" i="54"/>
  <c r="JF50" i="54"/>
  <c r="JJ50" i="54" s="1"/>
  <c r="JF49" i="54"/>
  <c r="JJ49" i="54" s="1"/>
  <c r="JB123" i="54"/>
  <c r="JI123" i="54" s="1"/>
  <c r="JB127" i="54"/>
  <c r="JB126" i="54"/>
  <c r="JI126" i="54" s="1"/>
  <c r="JB122" i="54"/>
  <c r="JB124" i="54"/>
  <c r="JI124" i="54" s="1"/>
  <c r="JB129" i="54"/>
  <c r="JB128" i="54"/>
  <c r="JI128" i="54" s="1"/>
  <c r="JB125" i="54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E64" i="54"/>
  <c r="JI64" i="54" s="1"/>
  <c r="JE62" i="54"/>
  <c r="JI62" i="54" s="1"/>
  <c r="JE68" i="54"/>
  <c r="JI68" i="54" s="1"/>
  <c r="JE66" i="54"/>
  <c r="JI66" i="54" s="1"/>
  <c r="JE65" i="54"/>
  <c r="JE69" i="54"/>
  <c r="JE67" i="54"/>
  <c r="JE151" i="54"/>
  <c r="JE147" i="54"/>
  <c r="JE154" i="54"/>
  <c r="JE150" i="54"/>
  <c r="JI150" i="54" s="1"/>
  <c r="JE149" i="54"/>
  <c r="JI149" i="54" s="1"/>
  <c r="JE148" i="54"/>
  <c r="JI148" i="54" s="1"/>
  <c r="JE153" i="54"/>
  <c r="JE145" i="54"/>
  <c r="JE146" i="54"/>
  <c r="JI146" i="54" s="1"/>
  <c r="JE152" i="54"/>
  <c r="JI152" i="54" s="1"/>
  <c r="JD72" i="54"/>
  <c r="JD71" i="54"/>
  <c r="JH71" i="54" s="1"/>
  <c r="JD74" i="54"/>
  <c r="JH74" i="54" s="1"/>
  <c r="JD75" i="54"/>
  <c r="JH75" i="54" s="1"/>
  <c r="JD73" i="54"/>
  <c r="JD76" i="54"/>
  <c r="JH76" i="54" s="1"/>
  <c r="JD70" i="54"/>
  <c r="JH70" i="54" s="1"/>
  <c r="JD87" i="54"/>
  <c r="JD88" i="54"/>
  <c r="JD91" i="54"/>
  <c r="JD86" i="54"/>
  <c r="JD90" i="54"/>
  <c r="JH90" i="54" s="1"/>
  <c r="JD89" i="54"/>
  <c r="JD85" i="54"/>
  <c r="JH85" i="54" s="1"/>
  <c r="JD49" i="54"/>
  <c r="JD47" i="54"/>
  <c r="JD50" i="54"/>
  <c r="JH50" i="54" s="1"/>
  <c r="JD51" i="54"/>
  <c r="JH51" i="54" s="1"/>
  <c r="JD48" i="54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A138" i="54"/>
  <c r="JA142" i="54"/>
  <c r="JH142" i="54" s="1"/>
  <c r="JA140" i="54"/>
  <c r="JH140" i="54" s="1"/>
  <c r="JA141" i="54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D10" i="54"/>
  <c r="JD19" i="54"/>
  <c r="JH19" i="54" s="1"/>
  <c r="JD15" i="54"/>
  <c r="JH15" i="54" s="1"/>
  <c r="JD14" i="54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D116" i="54"/>
  <c r="JD117" i="54"/>
  <c r="JD118" i="54"/>
  <c r="JD121" i="54"/>
  <c r="JD120" i="54"/>
  <c r="JD115" i="54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F58" i="54"/>
  <c r="JF57" i="54"/>
  <c r="JF65" i="54"/>
  <c r="JF69" i="54"/>
  <c r="JJ69" i="54" s="1"/>
  <c r="JF67" i="54"/>
  <c r="JF64" i="54"/>
  <c r="JF63" i="54"/>
  <c r="JJ63" i="54" s="1"/>
  <c r="JF66" i="54"/>
  <c r="JF68" i="54"/>
  <c r="JJ68" i="54" s="1"/>
  <c r="JF62" i="54"/>
  <c r="JF151" i="54"/>
  <c r="JJ151" i="54" s="1"/>
  <c r="JF150" i="54"/>
  <c r="JF152" i="54"/>
  <c r="JJ152" i="54" s="1"/>
  <c r="JF146" i="54"/>
  <c r="JJ146" i="54" s="1"/>
  <c r="JF153" i="54"/>
  <c r="JJ153" i="54" s="1"/>
  <c r="JF149" i="54"/>
  <c r="JF145" i="54"/>
  <c r="JF148" i="54"/>
  <c r="JF147" i="54"/>
  <c r="JF154" i="54"/>
  <c r="JJ154" i="54" s="1"/>
  <c r="JD80" i="54"/>
  <c r="JD79" i="54"/>
  <c r="JD84" i="54"/>
  <c r="JD78" i="54"/>
  <c r="JD77" i="54"/>
  <c r="JD82" i="54"/>
  <c r="JD81" i="54"/>
  <c r="JD83" i="54"/>
  <c r="JF87" i="54"/>
  <c r="JF86" i="54"/>
  <c r="JJ86" i="54" s="1"/>
  <c r="JF89" i="54"/>
  <c r="JF88" i="54"/>
  <c r="JF91" i="54"/>
  <c r="JF90" i="54"/>
  <c r="JF85" i="54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F115" i="54"/>
  <c r="JF120" i="54"/>
  <c r="JJ120" i="54" s="1"/>
  <c r="JF117" i="54"/>
  <c r="JF119" i="54"/>
  <c r="JF118" i="54"/>
  <c r="JF121" i="54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D58" i="54"/>
  <c r="JD60" i="54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F100" i="54"/>
  <c r="JF105" i="54"/>
  <c r="JF101" i="54"/>
  <c r="JJ101" i="54" s="1"/>
  <c r="JF106" i="54"/>
  <c r="JF102" i="54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F137" i="54"/>
  <c r="JF144" i="54"/>
  <c r="JF140" i="54"/>
  <c r="JJ140" i="54" s="1"/>
  <c r="JF143" i="54"/>
  <c r="JF142" i="54"/>
  <c r="JF138" i="54"/>
  <c r="JJ138" i="54" s="1"/>
  <c r="JF141" i="54"/>
  <c r="JF11" i="54"/>
  <c r="JF15" i="54"/>
  <c r="JF10" i="54"/>
  <c r="JF16" i="54"/>
  <c r="JF18" i="54"/>
  <c r="JF13" i="54"/>
  <c r="JF14" i="54"/>
  <c r="JF12" i="54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E82" i="54"/>
  <c r="JI82" i="54" s="1"/>
  <c r="JE79" i="54"/>
  <c r="JE84" i="54"/>
  <c r="JE78" i="54"/>
  <c r="JE77" i="54"/>
  <c r="JE81" i="54"/>
  <c r="JE83" i="54"/>
  <c r="JA55" i="54"/>
  <c r="JA52" i="54"/>
  <c r="JA56" i="54"/>
  <c r="JA54" i="54"/>
  <c r="JA53" i="54"/>
  <c r="JF96" i="54"/>
  <c r="JF99" i="54"/>
  <c r="JF94" i="54"/>
  <c r="JF97" i="54"/>
  <c r="JJ97" i="54" s="1"/>
  <c r="JF95" i="54"/>
  <c r="JF92" i="54"/>
  <c r="JF98" i="54"/>
  <c r="JF93" i="54"/>
  <c r="JE28" i="54"/>
  <c r="JE23" i="54"/>
  <c r="JI23" i="54" s="1"/>
  <c r="JE25" i="54"/>
  <c r="JI25" i="54" s="1"/>
  <c r="JE22" i="54"/>
  <c r="JE27" i="54"/>
  <c r="JE20" i="54"/>
  <c r="JE29" i="54"/>
  <c r="JE26" i="54"/>
  <c r="JI26" i="54" s="1"/>
  <c r="JE21" i="54"/>
  <c r="JI21" i="54" s="1"/>
  <c r="JE24" i="54"/>
  <c r="JD44" i="54"/>
  <c r="JD42" i="54"/>
  <c r="JD43" i="54"/>
  <c r="JD46" i="54"/>
  <c r="JD41" i="54"/>
  <c r="JD45" i="54"/>
  <c r="JD40" i="54"/>
  <c r="JH40" i="54" s="1"/>
  <c r="JF83" i="54"/>
  <c r="JF79" i="54"/>
  <c r="JJ79" i="54" s="1"/>
  <c r="JF80" i="54"/>
  <c r="JF77" i="54"/>
  <c r="JJ77" i="54" s="1"/>
  <c r="JF78" i="54"/>
  <c r="JF82" i="54"/>
  <c r="JJ82" i="54" s="1"/>
  <c r="JF81" i="54"/>
  <c r="JF84" i="54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F22" i="54"/>
  <c r="JJ22" i="54" s="1"/>
  <c r="JF20" i="54"/>
  <c r="JF24" i="54"/>
  <c r="JF27" i="54"/>
  <c r="JJ27" i="54" s="1"/>
  <c r="JF29" i="54"/>
  <c r="JJ29" i="54" s="1"/>
  <c r="JF21" i="54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E33" i="54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D52" i="54"/>
  <c r="JD54" i="54"/>
  <c r="JD53" i="54"/>
  <c r="JE92" i="54"/>
  <c r="JI92" i="54" s="1"/>
  <c r="JE94" i="54"/>
  <c r="JE98" i="54"/>
  <c r="JE96" i="54"/>
  <c r="JE99" i="54"/>
  <c r="JE97" i="54"/>
  <c r="JE95" i="54"/>
  <c r="JE93" i="54"/>
  <c r="JI93" i="54" s="1"/>
  <c r="JD24" i="54"/>
  <c r="JH24" i="54" s="1"/>
  <c r="JD26" i="54"/>
  <c r="JH26" i="54" s="1"/>
  <c r="JD21" i="54"/>
  <c r="JD28" i="54"/>
  <c r="JH28" i="54" s="1"/>
  <c r="JD22" i="54"/>
  <c r="JD29" i="54"/>
  <c r="JD27" i="54"/>
  <c r="JD25" i="54"/>
  <c r="JD23" i="54"/>
  <c r="JD20" i="54"/>
  <c r="JH20" i="54" s="1"/>
  <c r="JC133" i="54"/>
  <c r="JC135" i="54"/>
  <c r="JJ135" i="54" s="1"/>
  <c r="JC132" i="54"/>
  <c r="JJ132" i="54" s="1"/>
  <c r="JC131" i="54"/>
  <c r="JC136" i="54"/>
  <c r="JC134" i="54"/>
  <c r="JJ134" i="54" s="1"/>
  <c r="JC130" i="54"/>
  <c r="JF40" i="54"/>
  <c r="JF43" i="54"/>
  <c r="JF44" i="54"/>
  <c r="JJ44" i="54" s="1"/>
  <c r="JF45" i="54"/>
  <c r="JF46" i="54"/>
  <c r="JF41" i="54"/>
  <c r="JF42" i="54"/>
  <c r="JD103" i="54"/>
  <c r="JD104" i="54"/>
  <c r="JH104" i="54" s="1"/>
  <c r="JD100" i="54"/>
  <c r="JH100" i="54" s="1"/>
  <c r="JD101" i="54"/>
  <c r="JD106" i="54"/>
  <c r="JH106" i="54" s="1"/>
  <c r="JD105" i="54"/>
  <c r="JH105" i="54" s="1"/>
  <c r="JD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I89" i="54" l="1"/>
  <c r="JJ130" i="54"/>
  <c r="JI129" i="54"/>
  <c r="JH138" i="54"/>
  <c r="JH45" i="54"/>
  <c r="JJ93" i="54"/>
  <c r="JK93" i="54" s="1"/>
  <c r="JJ143" i="54"/>
  <c r="JJ118" i="54"/>
  <c r="JJ62" i="54"/>
  <c r="JH12" i="54"/>
  <c r="JH49" i="54"/>
  <c r="JI88" i="54"/>
  <c r="JJ20" i="54"/>
  <c r="JJ98" i="54"/>
  <c r="JJ12" i="54"/>
  <c r="JJ141" i="54"/>
  <c r="JJ116" i="54"/>
  <c r="JI127" i="54"/>
  <c r="JH101" i="54"/>
  <c r="JJ83" i="54"/>
  <c r="JH72" i="54"/>
  <c r="JI58" i="54"/>
  <c r="JJ131" i="54"/>
  <c r="JI33" i="54"/>
  <c r="JJ80" i="54"/>
  <c r="JH42" i="54"/>
  <c r="JJ139" i="54"/>
  <c r="JH103" i="54"/>
  <c r="JH44" i="54"/>
  <c r="JK44" i="54" s="1"/>
  <c r="JJ94" i="54"/>
  <c r="JJ16" i="54"/>
  <c r="JJ119" i="54"/>
  <c r="JJ136" i="54"/>
  <c r="JJ95" i="54"/>
  <c r="JJ13" i="54"/>
  <c r="JI151" i="54"/>
  <c r="JJ24" i="54"/>
  <c r="JJ115" i="54"/>
  <c r="JJ64" i="54"/>
  <c r="JH21" i="54"/>
  <c r="JI78" i="54"/>
  <c r="JI80" i="54"/>
  <c r="JH115" i="54"/>
  <c r="JH14" i="54"/>
  <c r="JH22" i="54"/>
  <c r="JI145" i="54"/>
  <c r="JJ103" i="54"/>
  <c r="JH118" i="54"/>
  <c r="JH143" i="54"/>
  <c r="JI94" i="54"/>
  <c r="JI22" i="54"/>
  <c r="JJ90" i="54"/>
  <c r="JK90" i="54" s="1"/>
  <c r="JH86" i="54"/>
  <c r="JK86" i="54" s="1"/>
  <c r="JI63" i="54"/>
  <c r="JJ91" i="54"/>
  <c r="JJ145" i="54"/>
  <c r="JH91" i="54"/>
  <c r="JJ47" i="54"/>
  <c r="JI87" i="54"/>
  <c r="JI60" i="54"/>
  <c r="JH120" i="54"/>
  <c r="JI67" i="54"/>
  <c r="JH88" i="54"/>
  <c r="JJ48" i="54"/>
  <c r="JJ81" i="54"/>
  <c r="JJ117" i="54"/>
  <c r="JH102" i="54"/>
  <c r="JJ43" i="54"/>
  <c r="JJ84" i="54"/>
  <c r="JI27" i="54"/>
  <c r="JJ147" i="54"/>
  <c r="JH141" i="54"/>
  <c r="JI122" i="54"/>
  <c r="JH29" i="54"/>
  <c r="JH23" i="54"/>
  <c r="JJ40" i="54"/>
  <c r="JK40" i="54" s="1"/>
  <c r="JH117" i="54"/>
  <c r="JI84" i="54"/>
  <c r="JJ105" i="54"/>
  <c r="JJ42" i="54"/>
  <c r="JH25" i="54"/>
  <c r="JK25" i="54" s="1"/>
  <c r="JJ100" i="54"/>
  <c r="JI34" i="54"/>
  <c r="JJ21" i="54"/>
  <c r="JK21" i="54" s="1"/>
  <c r="JH41" i="54"/>
  <c r="JJ67" i="54"/>
  <c r="JJ78" i="54"/>
  <c r="JJ14" i="54"/>
  <c r="JJ144" i="54"/>
  <c r="JJ66" i="54"/>
  <c r="JI59" i="54"/>
  <c r="JK59" i="54" s="1"/>
  <c r="JJ133" i="54"/>
  <c r="JJ23" i="54"/>
  <c r="JH43" i="54"/>
  <c r="JJ96" i="54"/>
  <c r="JJ15" i="54"/>
  <c r="JJ137" i="54"/>
  <c r="JJ106" i="54"/>
  <c r="JJ121" i="54"/>
  <c r="JJ65" i="54"/>
  <c r="JH10" i="54"/>
  <c r="JI147" i="54"/>
  <c r="JI125" i="54"/>
  <c r="JJ45" i="54"/>
  <c r="JI99" i="54"/>
  <c r="JH55" i="54"/>
  <c r="JI29" i="54"/>
  <c r="JI83" i="54"/>
  <c r="JH61" i="54"/>
  <c r="JH116" i="54"/>
  <c r="JJ150" i="54"/>
  <c r="JJ61" i="54"/>
  <c r="JH121" i="54"/>
  <c r="JH73" i="54"/>
  <c r="JI153" i="54"/>
  <c r="JI154" i="54"/>
  <c r="JI85" i="54"/>
  <c r="JJ87" i="54"/>
  <c r="JK26" i="54"/>
  <c r="JH53" i="54"/>
  <c r="JH89" i="54"/>
  <c r="JI98" i="54"/>
  <c r="JI77" i="54"/>
  <c r="JH47" i="54"/>
  <c r="JH87" i="54"/>
  <c r="JI65" i="54"/>
  <c r="JH46" i="54"/>
  <c r="JI24" i="54"/>
  <c r="JJ92" i="54"/>
  <c r="JK92" i="54" s="1"/>
  <c r="JJ99" i="54"/>
  <c r="JI81" i="54"/>
  <c r="JI79" i="54"/>
  <c r="JJ10" i="54"/>
  <c r="JJ102" i="54"/>
  <c r="JJ149" i="54"/>
  <c r="JH119" i="54"/>
  <c r="JI69" i="54"/>
  <c r="JJ41" i="54"/>
  <c r="JH27" i="54"/>
  <c r="JI95" i="54"/>
  <c r="JH54" i="54"/>
  <c r="JI28" i="54"/>
  <c r="JK28" i="54" s="1"/>
  <c r="JJ142" i="54"/>
  <c r="JH60" i="54"/>
  <c r="JJ85" i="54"/>
  <c r="JJ89" i="54"/>
  <c r="JJ46" i="54"/>
  <c r="JJ18" i="54"/>
  <c r="JJ11" i="54"/>
  <c r="JH58" i="54"/>
  <c r="JJ148" i="54"/>
  <c r="JJ57" i="54"/>
  <c r="JK57" i="54" s="1"/>
  <c r="JH48" i="54"/>
  <c r="JI96" i="54"/>
  <c r="JI20" i="54"/>
  <c r="JJ88" i="54"/>
  <c r="JI97" i="54"/>
  <c r="JK97" i="54" s="1"/>
  <c r="JH52" i="54"/>
  <c r="JJ58" i="54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K17" i="54" s="1"/>
  <c r="JI12" i="54"/>
  <c r="JH125" i="54"/>
  <c r="JH129" i="54"/>
  <c r="JJ71" i="54"/>
  <c r="JJ70" i="54"/>
  <c r="JI139" i="54"/>
  <c r="JI140" i="54"/>
  <c r="JK140" i="54" s="1"/>
  <c r="JI50" i="54"/>
  <c r="JK50" i="54" s="1"/>
  <c r="JI75" i="54"/>
  <c r="JI76" i="54"/>
  <c r="JI100" i="54"/>
  <c r="JI103" i="54"/>
  <c r="JH132" i="54"/>
  <c r="JH135" i="54"/>
  <c r="JH83" i="54"/>
  <c r="JH78" i="54"/>
  <c r="JJ123" i="54"/>
  <c r="JJ124" i="54"/>
  <c r="JI56" i="54"/>
  <c r="JK56" i="54" s="1"/>
  <c r="JH150" i="54"/>
  <c r="JH153" i="54"/>
  <c r="JH30" i="54"/>
  <c r="JK30" i="54" s="1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K69" i="54" s="1"/>
  <c r="JI111" i="54"/>
  <c r="JI110" i="54"/>
  <c r="JK110" i="54" s="1"/>
  <c r="JH5" i="54"/>
  <c r="JK5" i="54" s="1"/>
  <c r="JI10" i="54"/>
  <c r="JI15" i="54"/>
  <c r="JH127" i="54"/>
  <c r="JH122" i="54"/>
  <c r="JJ73" i="54"/>
  <c r="JJ72" i="54"/>
  <c r="JI137" i="54"/>
  <c r="JI138" i="54"/>
  <c r="JK138" i="54" s="1"/>
  <c r="JI51" i="54"/>
  <c r="JK51" i="54" s="1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K152" i="54" s="1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K112" i="54" s="1"/>
  <c r="JH9" i="54"/>
  <c r="JH6" i="54"/>
  <c r="JI18" i="54"/>
  <c r="JK18" i="54" s="1"/>
  <c r="JI14" i="54"/>
  <c r="JH126" i="54"/>
  <c r="JH123" i="54"/>
  <c r="JJ74" i="54"/>
  <c r="JJ75" i="54"/>
  <c r="JI141" i="54"/>
  <c r="JI143" i="54"/>
  <c r="JI47" i="54"/>
  <c r="JI70" i="54"/>
  <c r="JI74" i="54"/>
  <c r="JI104" i="54"/>
  <c r="JK104" i="54" s="1"/>
  <c r="JI105" i="54"/>
  <c r="JH136" i="54"/>
  <c r="JH134" i="54"/>
  <c r="JH82" i="54"/>
  <c r="JK82" i="54" s="1"/>
  <c r="JH79" i="54"/>
  <c r="JK79" i="54" s="1"/>
  <c r="JJ125" i="54"/>
  <c r="JJ127" i="54"/>
  <c r="JI53" i="54"/>
  <c r="JH147" i="54"/>
  <c r="JH146" i="54"/>
  <c r="JK146" i="54" s="1"/>
  <c r="JH151" i="54"/>
  <c r="JH32" i="54"/>
  <c r="JH38" i="54"/>
  <c r="JK38" i="54" s="1"/>
  <c r="JI136" i="54"/>
  <c r="JI133" i="54"/>
  <c r="JJ36" i="54"/>
  <c r="JJ34" i="54"/>
  <c r="JJ109" i="54"/>
  <c r="JJ111" i="54"/>
  <c r="JJ8" i="54"/>
  <c r="JI117" i="54"/>
  <c r="JI115" i="54"/>
  <c r="JH63" i="54"/>
  <c r="JH68" i="54"/>
  <c r="JK68" i="54" s="1"/>
  <c r="JI113" i="54"/>
  <c r="JI107" i="54"/>
  <c r="JH7" i="54"/>
  <c r="JI13" i="54"/>
  <c r="JI19" i="54"/>
  <c r="JK19" i="54" s="1"/>
  <c r="JI16" i="54"/>
  <c r="JH128" i="54"/>
  <c r="JH124" i="54"/>
  <c r="JK124" i="54" s="1"/>
  <c r="JJ76" i="54"/>
  <c r="JI142" i="54"/>
  <c r="JI144" i="54"/>
  <c r="JI49" i="54"/>
  <c r="JK49" i="54" s="1"/>
  <c r="JI72" i="54"/>
  <c r="JI71" i="54"/>
  <c r="JK71" i="54" s="1"/>
  <c r="JK62" i="54" l="1"/>
  <c r="JK45" i="54"/>
  <c r="JK20" i="54"/>
  <c r="JK12" i="54"/>
  <c r="JK98" i="54"/>
  <c r="JK151" i="54"/>
  <c r="JK101" i="54"/>
  <c r="JK16" i="54"/>
  <c r="JK13" i="54"/>
  <c r="JK139" i="54"/>
  <c r="JK94" i="54"/>
  <c r="JK143" i="54"/>
  <c r="JK95" i="54"/>
  <c r="JK42" i="54"/>
  <c r="JK64" i="54"/>
  <c r="JK99" i="54"/>
  <c r="JK24" i="54"/>
  <c r="JK83" i="54"/>
  <c r="JK60" i="54"/>
  <c r="JK63" i="54"/>
  <c r="JK80" i="54"/>
  <c r="JK100" i="54"/>
  <c r="JK66" i="54"/>
  <c r="JK22" i="54"/>
  <c r="JK96" i="54"/>
  <c r="JK141" i="54"/>
  <c r="JK118" i="54"/>
  <c r="JK145" i="54"/>
  <c r="JK115" i="54"/>
  <c r="JK78" i="54"/>
  <c r="JK103" i="54"/>
  <c r="JK147" i="54"/>
  <c r="JK105" i="54"/>
  <c r="JK88" i="54"/>
  <c r="JK91" i="54"/>
  <c r="JK85" i="54"/>
  <c r="JK120" i="54"/>
  <c r="JK55" i="54"/>
  <c r="JK14" i="54"/>
  <c r="JK67" i="54"/>
  <c r="JK27" i="54"/>
  <c r="JK29" i="54"/>
  <c r="JK154" i="54"/>
  <c r="JK10" i="54"/>
  <c r="JK106" i="54"/>
  <c r="JK43" i="54"/>
  <c r="JK87" i="54"/>
  <c r="JK70" i="54"/>
  <c r="JK113" i="54"/>
  <c r="JK102" i="54"/>
  <c r="JK117" i="54"/>
  <c r="JK123" i="54"/>
  <c r="JK15" i="54"/>
  <c r="JK121" i="54"/>
  <c r="JK116" i="54"/>
  <c r="JK23" i="54"/>
  <c r="JK84" i="54"/>
  <c r="JK137" i="54"/>
  <c r="JK144" i="54"/>
  <c r="JK128" i="54"/>
  <c r="JK7" i="54"/>
  <c r="JK65" i="54"/>
  <c r="JK81" i="54"/>
  <c r="JK153" i="54"/>
  <c r="JK41" i="54"/>
  <c r="JK142" i="54"/>
  <c r="JK150" i="54"/>
  <c r="JK148" i="54"/>
  <c r="JK122" i="54"/>
  <c r="JK77" i="54"/>
  <c r="JK72" i="54"/>
  <c r="JK114" i="54"/>
  <c r="JK61" i="54"/>
  <c r="JK135" i="54"/>
  <c r="JK32" i="54"/>
  <c r="JK107" i="54"/>
  <c r="JK149" i="54"/>
  <c r="JK11" i="54"/>
  <c r="JK31" i="54"/>
  <c r="JK134" i="54"/>
  <c r="JK9" i="54"/>
  <c r="JK6" i="54"/>
  <c r="JK74" i="54"/>
  <c r="JK126" i="54"/>
  <c r="JK131" i="54"/>
  <c r="JK109" i="54"/>
  <c r="JK39" i="54"/>
  <c r="JK73" i="54"/>
  <c r="JK76" i="54"/>
  <c r="JK111" i="54"/>
  <c r="JK75" i="54"/>
  <c r="JK108" i="54"/>
  <c r="JK127" i="54"/>
  <c r="JK125" i="54"/>
  <c r="JK8" i="54"/>
  <c r="JK37" i="54"/>
  <c r="JK130" i="54"/>
  <c r="JK46" i="54"/>
  <c r="JK47" i="54"/>
  <c r="JK53" i="54"/>
  <c r="JK132" i="54"/>
  <c r="JK133" i="54"/>
  <c r="JK52" i="54"/>
  <c r="JK58" i="54"/>
  <c r="JK89" i="54"/>
  <c r="JK136" i="54"/>
  <c r="JK36" i="54"/>
  <c r="JK35" i="54"/>
  <c r="JK48" i="54"/>
  <c r="JK54" i="54"/>
  <c r="JK34" i="54"/>
  <c r="JK129" i="54"/>
  <c r="JK33" i="54"/>
  <c r="JK119" i="5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U6" i="65" l="1"/>
  <c r="GH19" i="65"/>
  <c r="GH35" i="65"/>
  <c r="GH51" i="65"/>
  <c r="GH67" i="65"/>
  <c r="GH83" i="65"/>
  <c r="GH18" i="65"/>
  <c r="GH34" i="65"/>
  <c r="GH50" i="65"/>
  <c r="GH66" i="65"/>
  <c r="GH82" i="65"/>
  <c r="GK21" i="65"/>
  <c r="GK37" i="65"/>
  <c r="GK53" i="65"/>
  <c r="GK85" i="65"/>
  <c r="GK16" i="65"/>
  <c r="GK32" i="65"/>
  <c r="GK48" i="65"/>
  <c r="GK64" i="65"/>
  <c r="GK80" i="65"/>
  <c r="GH33" i="65"/>
  <c r="GH49" i="65"/>
  <c r="GH65" i="65"/>
  <c r="GH16" i="65"/>
  <c r="GK20" i="65"/>
  <c r="GH32" i="65"/>
  <c r="GK36" i="65"/>
  <c r="GH48" i="65"/>
  <c r="GK52" i="65"/>
  <c r="GH64" i="65"/>
  <c r="GK68" i="65"/>
  <c r="GH80" i="65"/>
  <c r="GK84" i="65"/>
  <c r="GH15" i="65"/>
  <c r="GH31" i="65"/>
  <c r="GH47" i="65"/>
  <c r="GH63" i="65"/>
  <c r="GH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H37" i="65"/>
  <c r="GH53" i="65"/>
  <c r="GH85" i="65"/>
  <c r="GH20" i="65"/>
  <c r="GH36" i="65"/>
  <c r="GH52" i="65"/>
  <c r="GH68" i="65"/>
  <c r="GH84" i="65"/>
  <c r="GH14" i="65"/>
  <c r="GH30" i="65"/>
  <c r="GH46" i="65"/>
  <c r="GH62" i="65"/>
  <c r="GH78" i="65"/>
  <c r="GH54" i="65"/>
  <c r="GH21" i="65"/>
  <c r="GH77" i="65"/>
  <c r="GH76" i="65"/>
  <c r="GH29" i="65"/>
  <c r="GH38" i="65"/>
  <c r="GH44" i="65"/>
  <c r="GH69" i="65"/>
  <c r="GH28" i="65"/>
  <c r="GH22" i="65"/>
  <c r="GH70" i="65"/>
  <c r="GH45" i="65"/>
  <c r="GH13" i="65"/>
  <c r="GH6" i="65"/>
  <c r="GH60" i="65"/>
  <c r="GH61" i="65"/>
  <c r="GH12" i="65"/>
  <c r="GG70" i="65"/>
  <c r="GG22" i="65"/>
  <c r="GG6" i="65"/>
  <c r="GG44" i="65"/>
  <c r="GG76" i="65"/>
  <c r="GG28" i="65"/>
  <c r="GG45" i="65"/>
  <c r="GG61" i="65"/>
  <c r="GG77" i="65"/>
  <c r="GG54" i="65"/>
  <c r="GG60" i="65"/>
  <c r="GG12" i="65"/>
  <c r="GG13" i="65"/>
  <c r="GG38" i="65"/>
  <c r="GG29" i="65"/>
  <c r="GG37" i="65"/>
  <c r="GG78" i="65"/>
  <c r="GG20" i="65"/>
  <c r="GG14" i="65"/>
  <c r="GG62" i="65"/>
  <c r="GG69" i="65"/>
  <c r="GG36" i="65"/>
  <c r="GG21" i="65"/>
  <c r="GG85" i="65"/>
  <c r="GG30" i="65"/>
  <c r="GG52" i="65"/>
  <c r="GG84" i="65"/>
  <c r="GG68" i="65"/>
  <c r="GG46" i="65"/>
  <c r="GG53" i="65"/>
  <c r="GH81" i="65"/>
  <c r="GH17" i="65"/>
  <c r="GK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H11" i="65"/>
  <c r="GH27" i="65"/>
  <c r="GH43" i="65"/>
  <c r="GH59" i="65"/>
  <c r="GH10" i="65"/>
  <c r="GH26" i="65"/>
  <c r="GH42" i="65"/>
  <c r="GH74" i="65"/>
  <c r="GK13" i="65"/>
  <c r="GK45" i="65"/>
  <c r="GK61" i="65"/>
  <c r="GK8" i="65"/>
  <c r="GK24" i="65"/>
  <c r="GK40" i="65"/>
  <c r="GK56" i="65"/>
  <c r="GK72" i="65"/>
  <c r="GE84" i="65"/>
  <c r="GE37" i="65"/>
  <c r="GE52" i="65"/>
  <c r="GE35" i="65"/>
  <c r="GE82" i="65"/>
  <c r="GE46" i="65"/>
  <c r="GE79" i="65"/>
  <c r="GE48" i="65"/>
  <c r="GE65" i="65"/>
  <c r="GE49" i="65"/>
  <c r="GE78" i="65"/>
  <c r="GE50" i="65"/>
  <c r="GE53" i="65"/>
  <c r="GE30" i="65"/>
  <c r="GE67" i="65"/>
  <c r="GE14" i="65"/>
  <c r="GE51" i="65"/>
  <c r="GE33" i="65"/>
  <c r="GE85" i="65"/>
  <c r="GE34" i="65"/>
  <c r="GE66" i="65"/>
  <c r="GE83" i="65"/>
  <c r="GE18" i="65"/>
  <c r="GE62" i="65"/>
  <c r="GE21" i="65"/>
  <c r="GE32" i="65"/>
  <c r="GE63" i="65"/>
  <c r="GE19" i="65"/>
  <c r="GE15" i="65"/>
  <c r="GE16" i="65"/>
  <c r="GE20" i="65"/>
  <c r="GE17" i="65"/>
  <c r="GE68" i="65"/>
  <c r="GE36" i="65"/>
  <c r="GE47" i="65"/>
  <c r="GE69" i="65"/>
  <c r="GE31" i="65"/>
  <c r="GE80" i="65"/>
  <c r="GE64" i="65"/>
  <c r="GE81" i="65"/>
  <c r="GG82" i="65"/>
  <c r="GG18" i="65"/>
  <c r="GG19" i="65"/>
  <c r="GJ69" i="65"/>
  <c r="GG83" i="65"/>
  <c r="GG34" i="65"/>
  <c r="GJ37" i="65"/>
  <c r="GJ64" i="65"/>
  <c r="GJ85" i="65"/>
  <c r="GG66" i="65"/>
  <c r="GG50" i="65"/>
  <c r="GJ80" i="65"/>
  <c r="GJ21" i="65"/>
  <c r="GG51" i="65"/>
  <c r="GG67" i="65"/>
  <c r="GJ48" i="65"/>
  <c r="GJ32" i="65"/>
  <c r="GJ16" i="65"/>
  <c r="GG35" i="65"/>
  <c r="GJ53" i="65"/>
  <c r="GG33" i="65"/>
  <c r="GJ20" i="65"/>
  <c r="GG47" i="65"/>
  <c r="GG16" i="65"/>
  <c r="GG31" i="65"/>
  <c r="GG49" i="65"/>
  <c r="GG63" i="65"/>
  <c r="GJ52" i="65"/>
  <c r="GG65" i="65"/>
  <c r="GJ36" i="65"/>
  <c r="GG80" i="65"/>
  <c r="GJ84" i="65"/>
  <c r="GG79" i="65"/>
  <c r="GJ68" i="65"/>
  <c r="GG64" i="65"/>
  <c r="GG81" i="65"/>
  <c r="GG32" i="65"/>
  <c r="GG15" i="65"/>
  <c r="GG17" i="65"/>
  <c r="GG48" i="65"/>
  <c r="GH58" i="65"/>
  <c r="GK29" i="65"/>
  <c r="GH75" i="65"/>
  <c r="GK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E26" i="65" l="1"/>
  <c r="GE58" i="65"/>
  <c r="GE70" i="65"/>
  <c r="GE13" i="65"/>
  <c r="GE45" i="65"/>
  <c r="GE77" i="65"/>
  <c r="GE11" i="65"/>
  <c r="GE43" i="65"/>
  <c r="GE59" i="65"/>
  <c r="GE75" i="65"/>
  <c r="GE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G9" i="65"/>
  <c r="GE42" i="65"/>
  <c r="GE54" i="65"/>
  <c r="GE74" i="65"/>
  <c r="GE61" i="65"/>
  <c r="GE27" i="65"/>
  <c r="GE10" i="65"/>
  <c r="GE22" i="65"/>
  <c r="GE38" i="65"/>
  <c r="GE29" i="65"/>
  <c r="GG10" i="65"/>
  <c r="GJ77" i="65"/>
  <c r="GG11" i="65"/>
  <c r="GJ29" i="65"/>
  <c r="GJ45" i="65"/>
  <c r="GG43" i="65"/>
  <c r="GG42" i="65"/>
  <c r="GG59" i="65"/>
  <c r="GJ13" i="65"/>
  <c r="GG26" i="65"/>
  <c r="GG27" i="65"/>
  <c r="GJ61" i="65"/>
  <c r="GJ72" i="65"/>
  <c r="GJ24" i="65"/>
  <c r="GJ40" i="65"/>
  <c r="GG58" i="65"/>
  <c r="GG75" i="65"/>
  <c r="GJ56" i="65"/>
  <c r="GG74" i="65"/>
  <c r="GJ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G73" i="65" l="1"/>
  <c r="GG7" i="65"/>
  <c r="GJ28" i="65"/>
  <c r="GJ76" i="65"/>
  <c r="GJ12" i="65"/>
  <c r="GG8" i="65"/>
  <c r="GG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K76" i="65"/>
  <c r="GE76" i="65"/>
  <c r="GH41" i="65"/>
  <c r="GE41" i="65"/>
  <c r="GK28" i="65"/>
  <c r="GE28" i="65"/>
  <c r="GK60" i="65"/>
  <c r="GE60" i="65"/>
  <c r="GH24" i="65"/>
  <c r="GE24" i="65"/>
  <c r="GH56" i="65"/>
  <c r="GE56" i="65"/>
  <c r="GH7" i="65"/>
  <c r="GE7" i="65"/>
  <c r="GH9" i="65"/>
  <c r="GE9" i="65"/>
  <c r="GH39" i="65"/>
  <c r="GE39" i="65"/>
  <c r="GH25" i="65"/>
  <c r="GE25" i="65"/>
  <c r="GH55" i="65"/>
  <c r="GE55" i="65"/>
  <c r="GH23" i="65"/>
  <c r="GE23" i="65"/>
  <c r="GH73" i="65"/>
  <c r="GE73" i="65"/>
  <c r="GH40" i="65"/>
  <c r="GE40" i="65"/>
  <c r="GK12" i="65"/>
  <c r="GE12" i="65"/>
  <c r="GH8" i="65"/>
  <c r="GE8" i="65"/>
  <c r="GK44" i="65"/>
  <c r="GE44" i="65"/>
  <c r="GH57" i="65"/>
  <c r="GE57" i="65"/>
  <c r="GH71" i="65"/>
  <c r="GE71" i="65"/>
  <c r="GH72" i="65"/>
  <c r="GE72" i="65"/>
  <c r="GG57" i="65"/>
  <c r="GG25" i="65"/>
  <c r="GG39" i="65"/>
  <c r="GG41" i="65"/>
  <c r="GJ60" i="65"/>
  <c r="GG71" i="65"/>
  <c r="GG72" i="65"/>
  <c r="GG40" i="65"/>
  <c r="GJ44" i="65"/>
  <c r="GG56" i="65"/>
  <c r="GG23" i="65"/>
  <c r="GG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H107" i="65" l="1"/>
  <c r="GH139" i="65"/>
  <c r="GH90" i="65"/>
  <c r="GH122" i="65"/>
  <c r="GH158" i="65"/>
  <c r="GK93" i="65"/>
  <c r="GK109" i="65"/>
  <c r="GK125" i="65"/>
  <c r="GK141" i="65"/>
  <c r="GK104" i="65"/>
  <c r="GK136" i="65"/>
  <c r="GK152" i="65"/>
  <c r="GH138" i="65"/>
  <c r="GH106" i="65"/>
  <c r="GH91" i="65"/>
  <c r="GH123" i="65"/>
  <c r="GK88" i="65"/>
  <c r="GK120" i="65"/>
  <c r="GK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H89" i="65"/>
  <c r="GH121" i="65"/>
  <c r="GH153" i="65"/>
  <c r="GH104" i="65"/>
  <c r="GK108" i="65"/>
  <c r="GK140" i="65"/>
  <c r="GH87" i="65"/>
  <c r="GH119" i="65"/>
  <c r="GH151" i="65"/>
  <c r="GH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G119" i="65"/>
  <c r="GK92" i="65"/>
  <c r="GH136" i="65"/>
  <c r="GH159" i="65"/>
  <c r="GK124" i="65"/>
  <c r="GH135" i="65"/>
  <c r="GH152" i="65"/>
  <c r="GH137" i="65"/>
  <c r="GH88" i="65"/>
  <c r="GH103" i="65"/>
  <c r="GH120" i="65"/>
  <c r="GH105" i="65"/>
  <c r="GG89" i="65"/>
  <c r="GJ92" i="65"/>
  <c r="GG105" i="65"/>
  <c r="GG103" i="65"/>
  <c r="GG120" i="65"/>
  <c r="GJ124" i="65"/>
  <c r="GG138" i="65"/>
  <c r="GG106" i="65"/>
  <c r="GG91" i="65"/>
  <c r="GG122" i="65"/>
  <c r="GJ104" i="65"/>
  <c r="GJ152" i="65"/>
  <c r="GG123" i="65"/>
  <c r="GJ141" i="65"/>
  <c r="GJ161" i="65"/>
  <c r="GJ88" i="65"/>
  <c r="GJ125" i="65"/>
  <c r="GG90" i="65"/>
  <c r="GG139" i="65"/>
  <c r="GJ109" i="65"/>
  <c r="GJ136" i="65"/>
  <c r="GJ120" i="65"/>
  <c r="GJ93" i="65"/>
  <c r="GG107" i="65"/>
  <c r="GG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H113" i="65"/>
  <c r="GH145" i="65"/>
  <c r="GH96" i="65"/>
  <c r="GK100" i="65"/>
  <c r="GK116" i="65"/>
  <c r="GH128" i="65"/>
  <c r="GK132" i="65"/>
  <c r="GK148" i="65"/>
  <c r="GH156" i="65"/>
  <c r="GH111" i="65"/>
  <c r="GH143" i="65"/>
  <c r="GH115" i="65"/>
  <c r="GH147" i="65"/>
  <c r="GH98" i="65"/>
  <c r="GH130" i="65"/>
  <c r="GK117" i="65"/>
  <c r="GK149" i="65"/>
  <c r="GK96" i="65"/>
  <c r="GK112" i="65"/>
  <c r="GK128" i="65"/>
  <c r="GK144" i="65"/>
  <c r="GK156" i="65"/>
  <c r="GE119" i="65"/>
  <c r="GE89" i="65"/>
  <c r="GE153" i="65"/>
  <c r="GE135" i="65"/>
  <c r="GE106" i="65"/>
  <c r="GE139" i="65"/>
  <c r="GH161" i="65"/>
  <c r="GE107" i="65"/>
  <c r="GE90" i="65"/>
  <c r="GE121" i="65"/>
  <c r="GE137" i="65"/>
  <c r="GH140" i="65"/>
  <c r="GE140" i="65"/>
  <c r="GH92" i="65"/>
  <c r="GE92" i="65"/>
  <c r="GH124" i="65"/>
  <c r="GE124" i="65"/>
  <c r="GE158" i="65"/>
  <c r="GH141" i="65"/>
  <c r="GE141" i="65"/>
  <c r="GE105" i="65"/>
  <c r="GH108" i="65"/>
  <c r="GE108" i="65"/>
  <c r="GH93" i="65"/>
  <c r="GE93" i="65"/>
  <c r="GG88" i="65"/>
  <c r="GG87" i="65"/>
  <c r="GH125" i="65"/>
  <c r="GE125" i="65"/>
  <c r="GG118" i="65"/>
  <c r="GG93" i="65"/>
  <c r="GG150" i="65"/>
  <c r="GG108" i="65"/>
  <c r="GG86" i="65"/>
  <c r="GG124" i="65"/>
  <c r="GG125" i="65"/>
  <c r="GG141" i="65"/>
  <c r="GG92" i="65"/>
  <c r="GG109" i="65"/>
  <c r="GG140" i="65"/>
  <c r="GG134" i="65"/>
  <c r="GG102" i="65"/>
  <c r="GE123" i="65"/>
  <c r="GE91" i="65"/>
  <c r="GH118" i="65"/>
  <c r="GE118" i="65"/>
  <c r="GE122" i="65"/>
  <c r="GE88" i="65"/>
  <c r="GE120" i="65"/>
  <c r="GE138" i="65"/>
  <c r="GE136" i="65"/>
  <c r="GH134" i="65"/>
  <c r="GE134" i="65"/>
  <c r="GE151" i="65"/>
  <c r="GH102" i="65"/>
  <c r="GE102" i="65"/>
  <c r="GG121" i="65"/>
  <c r="GG136" i="65"/>
  <c r="GG153" i="65"/>
  <c r="GH150" i="65"/>
  <c r="GE150" i="65"/>
  <c r="GE160" i="65"/>
  <c r="GE103" i="65"/>
  <c r="GE152" i="65"/>
  <c r="GH109" i="65"/>
  <c r="GE109" i="65"/>
  <c r="GE87" i="65"/>
  <c r="GE161" i="65"/>
  <c r="GE104" i="65"/>
  <c r="GH86" i="65"/>
  <c r="GE86" i="65"/>
  <c r="GE159" i="65"/>
  <c r="GK160" i="65"/>
  <c r="GG152" i="65"/>
  <c r="GG159" i="65"/>
  <c r="GG151" i="65"/>
  <c r="GJ140" i="65"/>
  <c r="GG135" i="65"/>
  <c r="GG104" i="65"/>
  <c r="GG137" i="65"/>
  <c r="GJ108" i="65"/>
  <c r="GH112" i="65"/>
  <c r="GH155" i="65"/>
  <c r="GH95" i="65"/>
  <c r="GH129" i="65"/>
  <c r="GH127" i="65"/>
  <c r="GH157" i="65"/>
  <c r="GH144" i="65"/>
  <c r="GH97" i="65"/>
  <c r="GH131" i="65"/>
  <c r="GH99" i="65"/>
  <c r="GK133" i="65"/>
  <c r="GH114" i="65"/>
  <c r="GK165" i="65"/>
  <c r="GK101" i="65"/>
  <c r="GH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G161" i="65" l="1"/>
  <c r="GG160" i="65"/>
  <c r="GE144" i="65"/>
  <c r="GE143" i="65"/>
  <c r="GE112" i="65"/>
  <c r="GE95" i="65"/>
  <c r="GE130" i="65"/>
  <c r="GE96" i="65"/>
  <c r="GH116" i="65"/>
  <c r="GE116" i="65"/>
  <c r="GE114" i="65"/>
  <c r="GH154" i="65"/>
  <c r="GE154" i="65"/>
  <c r="GE156" i="65"/>
  <c r="GE155" i="65"/>
  <c r="GH149" i="65"/>
  <c r="GE149" i="65"/>
  <c r="GH126" i="65"/>
  <c r="GE126" i="65"/>
  <c r="GH110" i="65"/>
  <c r="GE110" i="65"/>
  <c r="GE115" i="65"/>
  <c r="GH101" i="65"/>
  <c r="GE101" i="65"/>
  <c r="GE157" i="65"/>
  <c r="GE147" i="65"/>
  <c r="GH132" i="65"/>
  <c r="GE132" i="65"/>
  <c r="GE128" i="65"/>
  <c r="GH133" i="65"/>
  <c r="GE133" i="65"/>
  <c r="GH148" i="65"/>
  <c r="GE148" i="65"/>
  <c r="GE131" i="65"/>
  <c r="GE165" i="65"/>
  <c r="GE129" i="65"/>
  <c r="GH142" i="65"/>
  <c r="GE142" i="65"/>
  <c r="GH117" i="65"/>
  <c r="GE117" i="65"/>
  <c r="GE127" i="65"/>
  <c r="GE145" i="65"/>
  <c r="GH100" i="65"/>
  <c r="GE100" i="65"/>
  <c r="GE162" i="65"/>
  <c r="GH94" i="65"/>
  <c r="GE94" i="65"/>
  <c r="GE146" i="65"/>
  <c r="GE163" i="65"/>
  <c r="GE98" i="65"/>
  <c r="GE164" i="65"/>
  <c r="GE97" i="65"/>
  <c r="GE99" i="65"/>
  <c r="GE111" i="65"/>
  <c r="GE113" i="65"/>
  <c r="GH164" i="65"/>
  <c r="GH165" i="65"/>
  <c r="GK164" i="65"/>
  <c r="GH163" i="65"/>
  <c r="GH162" i="65"/>
  <c r="GJ160" i="65"/>
  <c r="GJ156" i="65"/>
  <c r="GG99" i="65"/>
  <c r="GJ101" i="65"/>
  <c r="GG147" i="65"/>
  <c r="GG131" i="65"/>
  <c r="GJ96" i="65"/>
  <c r="GG130" i="65"/>
  <c r="GJ165" i="65"/>
  <c r="GJ112" i="65"/>
  <c r="GJ128" i="65"/>
  <c r="GG146" i="65"/>
  <c r="GJ117" i="65"/>
  <c r="GJ133" i="65"/>
  <c r="GG98" i="65"/>
  <c r="GG114" i="65"/>
  <c r="GG115" i="65"/>
  <c r="GJ149" i="65"/>
  <c r="GJ144" i="65"/>
  <c r="GG149" i="65"/>
  <c r="GG94" i="65"/>
  <c r="GG110" i="65"/>
  <c r="GG154" i="65"/>
  <c r="GG126" i="65"/>
  <c r="GG132" i="65"/>
  <c r="GG148" i="65"/>
  <c r="GG133" i="65"/>
  <c r="GG100" i="65"/>
  <c r="GG117" i="65"/>
  <c r="GG142" i="65"/>
  <c r="GG101" i="65"/>
  <c r="GG116" i="65"/>
  <c r="GG143" i="65"/>
  <c r="GG129" i="65"/>
  <c r="GG144" i="65"/>
  <c r="GJ100" i="65"/>
  <c r="GG127" i="65"/>
  <c r="GG157" i="65"/>
  <c r="GJ132" i="65"/>
  <c r="GG97" i="65"/>
  <c r="GG112" i="65"/>
  <c r="GJ148" i="65"/>
  <c r="GG156" i="65"/>
  <c r="GG128" i="65"/>
  <c r="GG111" i="65"/>
  <c r="GG113" i="65"/>
  <c r="GG95" i="65"/>
  <c r="GG145" i="65"/>
  <c r="GG155" i="65"/>
  <c r="GG96" i="65"/>
  <c r="GJ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H171" i="65"/>
  <c r="GH170" i="65"/>
  <c r="GK173" i="65"/>
  <c r="GK168" i="65"/>
  <c r="GK200" i="65"/>
  <c r="GK232" i="65"/>
  <c r="GH219" i="65"/>
  <c r="GH235" i="65"/>
  <c r="GH218" i="65"/>
  <c r="GK205" i="65"/>
  <c r="GK221" i="65"/>
  <c r="GH246" i="65"/>
  <c r="GG162" i="65"/>
  <c r="GG165" i="65"/>
  <c r="GG163" i="65"/>
  <c r="GG164" i="65"/>
  <c r="GJ164" i="65"/>
  <c r="GK216" i="65"/>
  <c r="GH186" i="65"/>
  <c r="GK244" i="65"/>
  <c r="GH187" i="65"/>
  <c r="GK184" i="65"/>
  <c r="GH234" i="65"/>
  <c r="GH202" i="65"/>
  <c r="GH203" i="65"/>
  <c r="GK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E166" i="65"/>
  <c r="GE170" i="65"/>
  <c r="GE182" i="65"/>
  <c r="GE186" i="65"/>
  <c r="GH169" i="65"/>
  <c r="GE173" i="65"/>
  <c r="GH185" i="65"/>
  <c r="GE189" i="65"/>
  <c r="GH168" i="65"/>
  <c r="GK172" i="65"/>
  <c r="GH184" i="65"/>
  <c r="GK188" i="65"/>
  <c r="GH167" i="65"/>
  <c r="GE171" i="65"/>
  <c r="GH183" i="65"/>
  <c r="GE187" i="65"/>
  <c r="GH199" i="65"/>
  <c r="GE203" i="65"/>
  <c r="GH215" i="65"/>
  <c r="GE219" i="65"/>
  <c r="GH231" i="65"/>
  <c r="GE235" i="65"/>
  <c r="GH243" i="65"/>
  <c r="GE198" i="65"/>
  <c r="GE202" i="65"/>
  <c r="GE214" i="65"/>
  <c r="GE218" i="65"/>
  <c r="GE230" i="65"/>
  <c r="GE234" i="65"/>
  <c r="GE242" i="65"/>
  <c r="GK246" i="65"/>
  <c r="GH201" i="65"/>
  <c r="GE205" i="65"/>
  <c r="GH217" i="65"/>
  <c r="GE221" i="65"/>
  <c r="GH233" i="65"/>
  <c r="GH200" i="65"/>
  <c r="GK204" i="65"/>
  <c r="GH216" i="65"/>
  <c r="GK220" i="65"/>
  <c r="GH232" i="65"/>
  <c r="GH221" i="65"/>
  <c r="GH172" i="65"/>
  <c r="GH204" i="65"/>
  <c r="GH242" i="65"/>
  <c r="GH189" i="65"/>
  <c r="GH220" i="65"/>
  <c r="GH182" i="65"/>
  <c r="GH214" i="65"/>
  <c r="GH230" i="65"/>
  <c r="GH173" i="65"/>
  <c r="GH205" i="65"/>
  <c r="GH188" i="65"/>
  <c r="GH166" i="65"/>
  <c r="GH198" i="65"/>
  <c r="GH247" i="65"/>
  <c r="GK247" i="65"/>
  <c r="GH244" i="65"/>
  <c r="GH245" i="65"/>
  <c r="GE247" i="65"/>
  <c r="GG172" i="65"/>
  <c r="GG205" i="65"/>
  <c r="GG198" i="65"/>
  <c r="GG189" i="65"/>
  <c r="GG242" i="65"/>
  <c r="GG214" i="65"/>
  <c r="GG220" i="65"/>
  <c r="GG188" i="65"/>
  <c r="GG221" i="65"/>
  <c r="GG166" i="65"/>
  <c r="GG204" i="65"/>
  <c r="GG230" i="65"/>
  <c r="GG182" i="65"/>
  <c r="GG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E246" i="65"/>
  <c r="GE167" i="65"/>
  <c r="GE217" i="65"/>
  <c r="GE244" i="65"/>
  <c r="GE188" i="65"/>
  <c r="GE233" i="65"/>
  <c r="GE199" i="65"/>
  <c r="GE201" i="65"/>
  <c r="GE200" i="65"/>
  <c r="GE169" i="65"/>
  <c r="GE184" i="65"/>
  <c r="GE172" i="65"/>
  <c r="GE243" i="65"/>
  <c r="GE216" i="65"/>
  <c r="GE183" i="65"/>
  <c r="GE220" i="65"/>
  <c r="GE245" i="65"/>
  <c r="GE168" i="65"/>
  <c r="GE232" i="65"/>
  <c r="GE204" i="65"/>
  <c r="GE231" i="65"/>
  <c r="GE215" i="65"/>
  <c r="GE185" i="65"/>
  <c r="GK250" i="65"/>
  <c r="GJ172" i="65"/>
  <c r="GJ204" i="65"/>
  <c r="GG215" i="65"/>
  <c r="GG167" i="65"/>
  <c r="GJ246" i="65"/>
  <c r="GG185" i="65"/>
  <c r="GG184" i="65"/>
  <c r="GG216" i="65"/>
  <c r="GG231" i="65"/>
  <c r="GG183" i="65"/>
  <c r="GG217" i="65"/>
  <c r="GJ188" i="65"/>
  <c r="GJ220" i="65"/>
  <c r="GG199" i="65"/>
  <c r="GG200" i="65"/>
  <c r="GG201" i="65"/>
  <c r="GG232" i="65"/>
  <c r="GG233" i="65"/>
  <c r="GG169" i="65"/>
  <c r="GG243" i="65"/>
  <c r="GG168" i="65"/>
  <c r="GJ173" i="65"/>
  <c r="GJ205" i="65"/>
  <c r="GG235" i="65"/>
  <c r="GJ168" i="65"/>
  <c r="GJ200" i="65"/>
  <c r="GG186" i="65"/>
  <c r="GG171" i="65"/>
  <c r="GG218" i="65"/>
  <c r="GJ184" i="65"/>
  <c r="GJ189" i="65"/>
  <c r="GJ221" i="65"/>
  <c r="GG187" i="65"/>
  <c r="GJ216" i="65"/>
  <c r="GJ244" i="65"/>
  <c r="GJ232" i="65"/>
  <c r="GG246" i="65"/>
  <c r="GG170" i="65"/>
  <c r="GG202" i="65"/>
  <c r="GG203" i="65"/>
  <c r="GG234" i="65"/>
  <c r="GG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G245" i="65"/>
  <c r="GG247" i="65"/>
  <c r="GJ247" i="65"/>
  <c r="GG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H177" i="65" l="1"/>
  <c r="GH176" i="65"/>
  <c r="GK180" i="65"/>
  <c r="GH175" i="65"/>
  <c r="GH191" i="65"/>
  <c r="GH207" i="65"/>
  <c r="GH223" i="65"/>
  <c r="GH239" i="65"/>
  <c r="GH238" i="65"/>
  <c r="GH193" i="65"/>
  <c r="GH209" i="65"/>
  <c r="GH225" i="65"/>
  <c r="GH237" i="65"/>
  <c r="GH249" i="65"/>
  <c r="GH192" i="65"/>
  <c r="GK196" i="65"/>
  <c r="GH208" i="65"/>
  <c r="GK212" i="65"/>
  <c r="GH224" i="65"/>
  <c r="GK228" i="65"/>
  <c r="GK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H179" i="65"/>
  <c r="GH178" i="65"/>
  <c r="GK181" i="65"/>
  <c r="GK176" i="65"/>
  <c r="GK192" i="65"/>
  <c r="GK208" i="65"/>
  <c r="GK224" i="65"/>
  <c r="GH240" i="65"/>
  <c r="GH195" i="65"/>
  <c r="GH211" i="65"/>
  <c r="GH227" i="65"/>
  <c r="GH251" i="65"/>
  <c r="GH194" i="65"/>
  <c r="GH210" i="65"/>
  <c r="GH226" i="65"/>
  <c r="GK238" i="65"/>
  <c r="GH250" i="65"/>
  <c r="GK197" i="65"/>
  <c r="GK213" i="65"/>
  <c r="GK229" i="65"/>
  <c r="GH241" i="65"/>
  <c r="GK253" i="65"/>
  <c r="GE193" i="65"/>
  <c r="GE225" i="65"/>
  <c r="GE249" i="65"/>
  <c r="GE191" i="65"/>
  <c r="GE195" i="65"/>
  <c r="GE207" i="65"/>
  <c r="GE211" i="65"/>
  <c r="GE223" i="65"/>
  <c r="GE239" i="65"/>
  <c r="GE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E208" i="65" l="1"/>
  <c r="GE224" i="65"/>
  <c r="GE192" i="65"/>
  <c r="GE237" i="65"/>
  <c r="GE209" i="65"/>
  <c r="GE238" i="65"/>
  <c r="GE176" i="65"/>
  <c r="GE240" i="65"/>
  <c r="GE226" i="65"/>
  <c r="GE194" i="65"/>
  <c r="GE178" i="65"/>
  <c r="GE179" i="65"/>
  <c r="GE227" i="65"/>
  <c r="GE175" i="65"/>
  <c r="GE177" i="65"/>
  <c r="GE241" i="65"/>
  <c r="GE250" i="65"/>
  <c r="W103" i="64"/>
  <c r="W105" i="64"/>
  <c r="W107" i="64"/>
  <c r="W109" i="64"/>
  <c r="W104" i="64"/>
  <c r="W106" i="64"/>
  <c r="W108" i="64"/>
  <c r="GH248" i="65"/>
  <c r="GE248" i="65"/>
  <c r="GH206" i="65"/>
  <c r="GE206" i="65"/>
  <c r="GH174" i="65"/>
  <c r="GE174" i="65"/>
  <c r="GJ229" i="65"/>
  <c r="GG194" i="65"/>
  <c r="GG211" i="65"/>
  <c r="GG240" i="65"/>
  <c r="GG178" i="65"/>
  <c r="GJ213" i="65"/>
  <c r="GJ197" i="65"/>
  <c r="GJ181" i="65"/>
  <c r="GJ176" i="65"/>
  <c r="GJ208" i="65"/>
  <c r="GJ224" i="65"/>
  <c r="GG241" i="65"/>
  <c r="GG210" i="65"/>
  <c r="GJ192" i="65"/>
  <c r="GJ253" i="65"/>
  <c r="GJ238" i="65"/>
  <c r="GG251" i="65"/>
  <c r="GG227" i="65"/>
  <c r="GG179" i="65"/>
  <c r="GG195" i="65"/>
  <c r="GG226" i="65"/>
  <c r="GH212" i="65"/>
  <c r="GE212" i="65"/>
  <c r="GE253" i="65"/>
  <c r="GH253" i="65"/>
  <c r="GH229" i="65"/>
  <c r="GE229" i="65"/>
  <c r="GH197" i="65"/>
  <c r="GE197" i="65"/>
  <c r="GH181" i="65"/>
  <c r="GE181" i="65"/>
  <c r="GG190" i="65"/>
  <c r="GG174" i="65"/>
  <c r="GG222" i="65"/>
  <c r="GG253" i="65"/>
  <c r="GG180" i="65"/>
  <c r="GG229" i="65"/>
  <c r="GG212" i="65"/>
  <c r="GG206" i="65"/>
  <c r="GG248" i="65"/>
  <c r="GG196" i="65"/>
  <c r="GG228" i="65"/>
  <c r="GG213" i="65"/>
  <c r="GG181" i="65"/>
  <c r="GG236" i="65"/>
  <c r="GG197" i="65"/>
  <c r="GH236" i="65"/>
  <c r="GE236" i="65"/>
  <c r="GH222" i="65"/>
  <c r="GE222" i="65"/>
  <c r="GH190" i="65"/>
  <c r="GE190" i="65"/>
  <c r="GH252" i="65"/>
  <c r="GE252" i="65"/>
  <c r="GH228" i="65"/>
  <c r="GE228" i="65"/>
  <c r="GH196" i="65"/>
  <c r="GE196" i="65"/>
  <c r="GH213" i="65"/>
  <c r="GE213" i="65"/>
  <c r="GE210" i="65"/>
  <c r="GH180" i="65"/>
  <c r="GE180" i="65"/>
  <c r="GJ212" i="65"/>
  <c r="GG225" i="65"/>
  <c r="GJ252" i="65"/>
  <c r="GG249" i="65"/>
  <c r="GJ196" i="65"/>
  <c r="GG209" i="65"/>
  <c r="GG191" i="65"/>
  <c r="GJ180" i="65"/>
  <c r="GG223" i="65"/>
  <c r="GG238" i="65"/>
  <c r="GG207" i="65"/>
  <c r="GG239" i="65"/>
  <c r="GG224" i="65"/>
  <c r="GG237" i="65"/>
  <c r="GJ228" i="65"/>
  <c r="GG176" i="65"/>
  <c r="GG208" i="65"/>
  <c r="GG175" i="65"/>
  <c r="GG193" i="65"/>
  <c r="GG192" i="65"/>
  <c r="GG177" i="65"/>
  <c r="GK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J250" i="65" l="1"/>
  <c r="GG250" i="65"/>
  <c r="GH255" i="65"/>
  <c r="GH271" i="65"/>
  <c r="GH287" i="65"/>
  <c r="GH303" i="65"/>
  <c r="GH319" i="65"/>
  <c r="GH331" i="65"/>
  <c r="GH330" i="65"/>
  <c r="GH273" i="65"/>
  <c r="GH305" i="65"/>
  <c r="GH329" i="65"/>
  <c r="GH341" i="65"/>
  <c r="GH256" i="65"/>
  <c r="GK260" i="65"/>
  <c r="GH288" i="65"/>
  <c r="GK292" i="65"/>
  <c r="GH304" i="65"/>
  <c r="GH320" i="65"/>
  <c r="GK344" i="65"/>
  <c r="GK256" i="65"/>
  <c r="GK272" i="65"/>
  <c r="GK288" i="65"/>
  <c r="GK304" i="65"/>
  <c r="GK320" i="65"/>
  <c r="GH332" i="65"/>
  <c r="GH259" i="65"/>
  <c r="GH275" i="65"/>
  <c r="GH291" i="65"/>
  <c r="GH258" i="65"/>
  <c r="GH274" i="65"/>
  <c r="GH306" i="65"/>
  <c r="GK330" i="65"/>
  <c r="GK277" i="65"/>
  <c r="GK309" i="65"/>
  <c r="GH333" i="65"/>
  <c r="U106" i="64"/>
  <c r="U108" i="64"/>
  <c r="U104" i="64"/>
  <c r="U109" i="64"/>
  <c r="U105" i="64"/>
  <c r="U103" i="64"/>
  <c r="U107" i="64"/>
  <c r="GG252" i="65"/>
  <c r="V104" i="64"/>
  <c r="V108" i="64"/>
  <c r="V106" i="64"/>
  <c r="V107" i="64"/>
  <c r="V103" i="64"/>
  <c r="V109" i="64"/>
  <c r="V105" i="64"/>
  <c r="GH286" i="65"/>
  <c r="GH308" i="65"/>
  <c r="GH328" i="65"/>
  <c r="GH254" i="65"/>
  <c r="GH270" i="65"/>
  <c r="GH293" i="65"/>
  <c r="GH318" i="65"/>
  <c r="GH309" i="65"/>
  <c r="GH340" i="65"/>
  <c r="GH261" i="65"/>
  <c r="GH292" i="65"/>
  <c r="GH302" i="65"/>
  <c r="GH276" i="65"/>
  <c r="GH277" i="65"/>
  <c r="GH260" i="65"/>
  <c r="GK293" i="65"/>
  <c r="GH307" i="65"/>
  <c r="GK342" i="65"/>
  <c r="GK261" i="65"/>
  <c r="GH290" i="65"/>
  <c r="GH344" i="65"/>
  <c r="GH272" i="65"/>
  <c r="GK308" i="65"/>
  <c r="GK276" i="65"/>
  <c r="GH257" i="65"/>
  <c r="GH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E321" i="65" l="1"/>
  <c r="GE254" i="65"/>
  <c r="GE307" i="65"/>
  <c r="GE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E291" i="65"/>
  <c r="GE309" i="65"/>
  <c r="GE345" i="65"/>
  <c r="GE302" i="65"/>
  <c r="GE332" i="65"/>
  <c r="GE290" i="65"/>
  <c r="GE340" i="65"/>
  <c r="GH343" i="65"/>
  <c r="GE259" i="65"/>
  <c r="GH342" i="65"/>
  <c r="GE261" i="65"/>
  <c r="GE318" i="65"/>
  <c r="GE322" i="65"/>
  <c r="GE277" i="65"/>
  <c r="GE276" i="65"/>
  <c r="GE270" i="65"/>
  <c r="GE293" i="65"/>
  <c r="GE286" i="65"/>
  <c r="GE275" i="65"/>
  <c r="GE333" i="65"/>
  <c r="GE260" i="65"/>
  <c r="GE258" i="65"/>
  <c r="GE292" i="65"/>
  <c r="GE289" i="65"/>
  <c r="GE341" i="65"/>
  <c r="GE328" i="65"/>
  <c r="GE274" i="65"/>
  <c r="GE271" i="65"/>
  <c r="GE255" i="65"/>
  <c r="GE273" i="65"/>
  <c r="GE343" i="65"/>
  <c r="GE272" i="65"/>
  <c r="GE330" i="65"/>
  <c r="GE344" i="65"/>
  <c r="GE331" i="65"/>
  <c r="GE287" i="65"/>
  <c r="GE288" i="65"/>
  <c r="GE257" i="65"/>
  <c r="GE308" i="65"/>
  <c r="GE320" i="65"/>
  <c r="GE256" i="65"/>
  <c r="GE303" i="65"/>
  <c r="GE319" i="65"/>
  <c r="GE305" i="65"/>
  <c r="GE304" i="65"/>
  <c r="GE342" i="65"/>
  <c r="GE329" i="65"/>
  <c r="GH321" i="65"/>
  <c r="GK321" i="65"/>
  <c r="GH322" i="65"/>
  <c r="GK322" i="65"/>
  <c r="GH345" i="65"/>
  <c r="GK345" i="65"/>
  <c r="GG276" i="65"/>
  <c r="GG340" i="65"/>
  <c r="GG254" i="65"/>
  <c r="GG292" i="65"/>
  <c r="GG293" i="65"/>
  <c r="GG277" i="65"/>
  <c r="GG328" i="65"/>
  <c r="GG261" i="65"/>
  <c r="GG302" i="65"/>
  <c r="GG308" i="65"/>
  <c r="GG318" i="65"/>
  <c r="GG260" i="65"/>
  <c r="GG270" i="65"/>
  <c r="GG309" i="65"/>
  <c r="GG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J276" i="65" l="1"/>
  <c r="GG304" i="65"/>
  <c r="GG331" i="65"/>
  <c r="GG341" i="65"/>
  <c r="GG305" i="65"/>
  <c r="GG256" i="65"/>
  <c r="GG288" i="65"/>
  <c r="GJ308" i="65"/>
  <c r="GG303" i="65"/>
  <c r="GG271" i="65"/>
  <c r="GG330" i="65"/>
  <c r="GG257" i="65"/>
  <c r="GJ260" i="65"/>
  <c r="GJ292" i="65"/>
  <c r="GG320" i="65"/>
  <c r="GJ344" i="65"/>
  <c r="GG319" i="65"/>
  <c r="GG255" i="65"/>
  <c r="GG272" i="65"/>
  <c r="GG329" i="65"/>
  <c r="GG287" i="65"/>
  <c r="GG273" i="65"/>
  <c r="GG289" i="65"/>
  <c r="GJ277" i="65"/>
  <c r="GJ309" i="65"/>
  <c r="GJ320" i="65"/>
  <c r="GG306" i="65"/>
  <c r="GG332" i="65"/>
  <c r="GJ256" i="65"/>
  <c r="GJ288" i="65"/>
  <c r="GG290" i="65"/>
  <c r="GG258" i="65"/>
  <c r="GG344" i="65"/>
  <c r="GJ342" i="65"/>
  <c r="GJ261" i="65"/>
  <c r="GJ293" i="65"/>
  <c r="GJ304" i="65"/>
  <c r="GG275" i="65"/>
  <c r="GJ272" i="65"/>
  <c r="GG291" i="65"/>
  <c r="GG274" i="65"/>
  <c r="GJ330" i="65"/>
  <c r="GG333" i="65"/>
  <c r="GG259" i="65"/>
  <c r="GG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G321" i="65"/>
  <c r="GJ321" i="65"/>
  <c r="GG343" i="65"/>
  <c r="GG342" i="65"/>
  <c r="GG322" i="65"/>
  <c r="GJ322" i="65"/>
  <c r="GG345" i="65"/>
  <c r="GJ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H263" i="65"/>
  <c r="GH279" i="65"/>
  <c r="GH295" i="65"/>
  <c r="GH311" i="65"/>
  <c r="GH335" i="65"/>
  <c r="GH347" i="65"/>
  <c r="GK326" i="65"/>
  <c r="GK350" i="65"/>
  <c r="GH265" i="65"/>
  <c r="GH281" i="65"/>
  <c r="GH297" i="65"/>
  <c r="GH313" i="65"/>
  <c r="GH325" i="65"/>
  <c r="GH337" i="65"/>
  <c r="GH264" i="65"/>
  <c r="GK268" i="65"/>
  <c r="GH280" i="65"/>
  <c r="GK284" i="65"/>
  <c r="GH296" i="65"/>
  <c r="GK300" i="65"/>
  <c r="GH312" i="65"/>
  <c r="GK316" i="65"/>
  <c r="GH324" i="65"/>
  <c r="GH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G296" i="65"/>
  <c r="GG295" i="65"/>
  <c r="GJ350" i="65"/>
  <c r="GG280" i="65"/>
  <c r="GG311" i="65"/>
  <c r="GJ284" i="65"/>
  <c r="GG325" i="65"/>
  <c r="GJ300" i="65"/>
  <c r="GG265" i="65"/>
  <c r="GG347" i="65"/>
  <c r="GG263" i="65"/>
  <c r="GG297" i="65"/>
  <c r="GG312" i="65"/>
  <c r="GG324" i="65"/>
  <c r="GJ268" i="65"/>
  <c r="GG313" i="65"/>
  <c r="GG281" i="65"/>
  <c r="GG264" i="65"/>
  <c r="GG336" i="65"/>
  <c r="GJ316" i="65"/>
  <c r="GG335" i="65"/>
  <c r="GG337" i="65"/>
  <c r="GG279" i="65"/>
  <c r="GJ326" i="65"/>
  <c r="GK264" i="65"/>
  <c r="GK280" i="65"/>
  <c r="GK296" i="65"/>
  <c r="GK312" i="65"/>
  <c r="GK336" i="65"/>
  <c r="GH348" i="65"/>
  <c r="GH267" i="65"/>
  <c r="GH283" i="65"/>
  <c r="GH299" i="65"/>
  <c r="GH315" i="65"/>
  <c r="GK327" i="65"/>
  <c r="GH339" i="65"/>
  <c r="GK351" i="65"/>
  <c r="GH266" i="65"/>
  <c r="GH282" i="65"/>
  <c r="GH298" i="65"/>
  <c r="GH314" i="65"/>
  <c r="GH338" i="65"/>
  <c r="GK269" i="65"/>
  <c r="GK285" i="65"/>
  <c r="GK301" i="65"/>
  <c r="GK317" i="65"/>
  <c r="GK325" i="65"/>
  <c r="GH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J296" i="65" l="1"/>
  <c r="GJ301" i="65"/>
  <c r="GJ336" i="65"/>
  <c r="GJ264" i="65"/>
  <c r="GG266" i="65"/>
  <c r="GJ327" i="65"/>
  <c r="GJ325" i="65"/>
  <c r="GG282" i="65"/>
  <c r="GG315" i="65"/>
  <c r="GJ312" i="65"/>
  <c r="GJ317" i="65"/>
  <c r="GG299" i="65"/>
  <c r="GG314" i="65"/>
  <c r="GJ280" i="65"/>
  <c r="GG349" i="65"/>
  <c r="GG338" i="65"/>
  <c r="GG298" i="65"/>
  <c r="GJ269" i="65"/>
  <c r="GG283" i="65"/>
  <c r="GG339" i="65"/>
  <c r="GJ285" i="65"/>
  <c r="GG267" i="65"/>
  <c r="GJ351" i="65"/>
  <c r="GE339" i="65"/>
  <c r="GE315" i="65"/>
  <c r="GE283" i="65"/>
  <c r="GE348" i="65"/>
  <c r="GE312" i="65"/>
  <c r="GE280" i="65"/>
  <c r="GE337" i="65"/>
  <c r="GE301" i="65"/>
  <c r="GH301" i="65"/>
  <c r="GH269" i="65"/>
  <c r="GE269" i="65"/>
  <c r="GE338" i="65"/>
  <c r="GH310" i="65"/>
  <c r="GE310" i="65"/>
  <c r="GH278" i="65"/>
  <c r="GE278" i="65"/>
  <c r="GG285" i="65"/>
  <c r="GG268" i="65"/>
  <c r="GG294" i="65"/>
  <c r="GG326" i="65"/>
  <c r="GG316" i="65"/>
  <c r="GG269" i="65"/>
  <c r="GG310" i="65"/>
  <c r="GG323" i="65"/>
  <c r="GG284" i="65"/>
  <c r="GG301" i="65"/>
  <c r="GG334" i="65"/>
  <c r="GG278" i="65"/>
  <c r="GG327" i="65"/>
  <c r="GG317" i="65"/>
  <c r="GG262" i="65"/>
  <c r="GG300" i="65"/>
  <c r="GG351" i="65"/>
  <c r="GG346" i="65"/>
  <c r="GE335" i="65"/>
  <c r="GE311" i="65"/>
  <c r="GE279" i="65"/>
  <c r="GE336" i="65"/>
  <c r="GE300" i="65"/>
  <c r="GH300" i="65"/>
  <c r="GH268" i="65"/>
  <c r="GE268" i="65"/>
  <c r="GE325" i="65"/>
  <c r="GE297" i="65"/>
  <c r="GE265" i="65"/>
  <c r="GE334" i="65"/>
  <c r="GH334" i="65"/>
  <c r="GE298" i="65"/>
  <c r="GE266" i="65"/>
  <c r="GH351" i="65"/>
  <c r="GE351" i="65"/>
  <c r="GH327" i="65"/>
  <c r="GE327" i="65"/>
  <c r="GE299" i="65"/>
  <c r="GE267" i="65"/>
  <c r="GE324" i="65"/>
  <c r="GE296" i="65"/>
  <c r="GE264" i="65"/>
  <c r="GE317" i="65"/>
  <c r="GH317" i="65"/>
  <c r="GH285" i="65"/>
  <c r="GE285" i="65"/>
  <c r="GH350" i="65"/>
  <c r="GE350" i="65"/>
  <c r="GE326" i="65"/>
  <c r="GH326" i="65"/>
  <c r="GH294" i="65"/>
  <c r="GE294" i="65"/>
  <c r="GH262" i="65"/>
  <c r="GE262" i="65"/>
  <c r="GE347" i="65"/>
  <c r="GH323" i="65"/>
  <c r="GE323" i="65"/>
  <c r="GE295" i="65"/>
  <c r="GE263" i="65"/>
  <c r="GH316" i="65"/>
  <c r="GE316" i="65"/>
  <c r="GH284" i="65"/>
  <c r="GE284" i="65"/>
  <c r="GE349" i="65"/>
  <c r="GE313" i="65"/>
  <c r="GE281" i="65"/>
  <c r="GH346" i="65"/>
  <c r="GE346" i="65"/>
  <c r="GE314" i="65"/>
  <c r="GE282" i="65"/>
  <c r="GH407" i="65"/>
  <c r="GH352" i="65"/>
  <c r="GH390" i="65"/>
  <c r="GH406" i="65"/>
  <c r="GH368" i="65"/>
  <c r="GH426" i="65"/>
  <c r="GH438" i="65"/>
  <c r="GH374" i="65"/>
  <c r="GH384" i="65"/>
  <c r="GH359" i="65"/>
  <c r="GH391" i="65"/>
  <c r="GH358" i="65"/>
  <c r="GH375" i="65"/>
  <c r="GH400" i="65"/>
  <c r="GH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H356" i="65" l="1"/>
  <c r="GH372" i="65"/>
  <c r="GH404" i="65"/>
  <c r="GK359" i="65"/>
  <c r="GK391" i="65"/>
  <c r="GK370" i="65"/>
  <c r="GK386" i="65"/>
  <c r="GK402" i="65"/>
  <c r="GH357" i="65"/>
  <c r="GH389" i="65"/>
  <c r="GK428" i="65"/>
  <c r="GH431" i="65"/>
  <c r="GK418" i="65"/>
  <c r="GH430" i="65"/>
  <c r="U137" i="64"/>
  <c r="U145" i="64"/>
  <c r="U136" i="64"/>
  <c r="U141" i="64"/>
  <c r="U143" i="64"/>
  <c r="U139" i="64"/>
  <c r="U144" i="64"/>
  <c r="U146" i="64"/>
  <c r="U138" i="64"/>
  <c r="U142" i="64"/>
  <c r="U140" i="64"/>
  <c r="GJ348" i="65"/>
  <c r="GG348" i="65"/>
  <c r="GG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K440" i="65"/>
  <c r="GK354" i="65"/>
  <c r="GH405" i="65"/>
  <c r="GH388" i="65"/>
  <c r="GK375" i="65"/>
  <c r="GH373" i="65"/>
  <c r="GK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E373" i="65"/>
  <c r="GE405" i="65"/>
  <c r="GE368" i="65"/>
  <c r="GE404" i="65"/>
  <c r="GE356" i="65"/>
  <c r="GH439" i="65"/>
  <c r="GE439" i="65"/>
  <c r="GE407" i="65"/>
  <c r="GK358" i="65"/>
  <c r="GE358" i="65"/>
  <c r="GH428" i="65"/>
  <c r="GE428" i="65"/>
  <c r="GH401" i="65"/>
  <c r="GE401" i="65"/>
  <c r="GE384" i="65"/>
  <c r="GK406" i="65"/>
  <c r="GE406" i="65"/>
  <c r="GH429" i="65"/>
  <c r="GE429" i="65"/>
  <c r="GE352" i="65"/>
  <c r="GE357" i="65"/>
  <c r="GH418" i="65"/>
  <c r="GE418" i="65"/>
  <c r="GH403" i="65"/>
  <c r="GE403" i="65"/>
  <c r="GH355" i="65"/>
  <c r="GE355" i="65"/>
  <c r="GE375" i="65"/>
  <c r="GH417" i="65"/>
  <c r="GE417" i="65"/>
  <c r="GE438" i="65"/>
  <c r="GE359" i="65"/>
  <c r="GE431" i="65"/>
  <c r="GH387" i="65"/>
  <c r="GE387" i="65"/>
  <c r="GH371" i="65"/>
  <c r="GE371" i="65"/>
  <c r="GE430" i="65"/>
  <c r="GE372" i="65"/>
  <c r="GE426" i="65"/>
  <c r="GH370" i="65"/>
  <c r="GE370" i="65"/>
  <c r="GK390" i="65"/>
  <c r="GE390" i="65"/>
  <c r="GH354" i="65"/>
  <c r="GE354" i="65"/>
  <c r="GE400" i="65"/>
  <c r="GE388" i="65"/>
  <c r="GE391" i="65"/>
  <c r="GH402" i="65"/>
  <c r="GE402" i="65"/>
  <c r="GH386" i="65"/>
  <c r="GE386" i="65"/>
  <c r="GH427" i="65"/>
  <c r="GE427" i="65"/>
  <c r="GH353" i="65"/>
  <c r="GE353" i="65"/>
  <c r="GH369" i="65"/>
  <c r="GE369" i="65"/>
  <c r="GE389" i="65"/>
  <c r="GE440" i="65"/>
  <c r="GE416" i="65"/>
  <c r="GH385" i="65"/>
  <c r="GE385" i="65"/>
  <c r="GK374" i="65"/>
  <c r="GE374" i="65"/>
  <c r="GE420" i="65"/>
  <c r="GE419" i="65"/>
  <c r="GH420" i="65"/>
  <c r="GK420" i="65"/>
  <c r="GH440" i="65"/>
  <c r="GH419" i="65"/>
  <c r="GK419" i="65"/>
  <c r="GG359" i="65"/>
  <c r="GG391" i="65"/>
  <c r="GG374" i="65"/>
  <c r="GG406" i="65"/>
  <c r="GG438" i="65"/>
  <c r="GG400" i="65"/>
  <c r="GG375" i="65"/>
  <c r="GG358" i="65"/>
  <c r="GG390" i="65"/>
  <c r="GG426" i="65"/>
  <c r="GG407" i="65"/>
  <c r="GG368" i="65"/>
  <c r="GG416" i="65"/>
  <c r="GG384" i="65"/>
  <c r="GG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G386" i="65" l="1"/>
  <c r="GG427" i="65"/>
  <c r="GJ358" i="65"/>
  <c r="GJ406" i="65"/>
  <c r="GG353" i="65"/>
  <c r="GG355" i="65"/>
  <c r="GG385" i="65"/>
  <c r="GG403" i="65"/>
  <c r="GJ374" i="65"/>
  <c r="GG418" i="65"/>
  <c r="GG401" i="65"/>
  <c r="GG369" i="65"/>
  <c r="GG354" i="65"/>
  <c r="GG439" i="65"/>
  <c r="GJ390" i="65"/>
  <c r="GG417" i="65"/>
  <c r="GG387" i="65"/>
  <c r="GG428" i="65"/>
  <c r="GG429" i="65"/>
  <c r="GG371" i="65"/>
  <c r="GG402" i="65"/>
  <c r="GG370" i="65"/>
  <c r="GG357" i="65"/>
  <c r="GG373" i="65"/>
  <c r="GJ359" i="65"/>
  <c r="GJ391" i="65"/>
  <c r="GG356" i="65"/>
  <c r="GJ375" i="65"/>
  <c r="GJ370" i="65"/>
  <c r="GG431" i="65"/>
  <c r="GG389" i="65"/>
  <c r="GJ428" i="65"/>
  <c r="GG372" i="65"/>
  <c r="GJ407" i="65"/>
  <c r="GJ402" i="65"/>
  <c r="GJ440" i="65"/>
  <c r="GJ386" i="65"/>
  <c r="GG405" i="65"/>
  <c r="GG430" i="65"/>
  <c r="GJ418" i="65"/>
  <c r="GG404" i="65"/>
  <c r="GJ354" i="65"/>
  <c r="GG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G440" i="65"/>
  <c r="GG420" i="65"/>
  <c r="GJ420" i="65"/>
  <c r="GG419" i="65"/>
  <c r="GJ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H364" i="65" l="1"/>
  <c r="GH380" i="65"/>
  <c r="GH396" i="65"/>
  <c r="GH412" i="65"/>
  <c r="GK367" i="65"/>
  <c r="GK383" i="65"/>
  <c r="GK399" i="65"/>
  <c r="GK415" i="65"/>
  <c r="GK362" i="65"/>
  <c r="GK378" i="65"/>
  <c r="GK394" i="65"/>
  <c r="GK410" i="65"/>
  <c r="GH365" i="65"/>
  <c r="GH381" i="65"/>
  <c r="GH397" i="65"/>
  <c r="GH413" i="65"/>
  <c r="GH436" i="65"/>
  <c r="GK423" i="65"/>
  <c r="GK434" i="65"/>
  <c r="GK425" i="65"/>
  <c r="GH437" i="65"/>
  <c r="GH363" i="65"/>
  <c r="GH379" i="65"/>
  <c r="GH395" i="65"/>
  <c r="GH411" i="65"/>
  <c r="GH362" i="65"/>
  <c r="GK366" i="65"/>
  <c r="GH378" i="65"/>
  <c r="GK382" i="65"/>
  <c r="GH394" i="65"/>
  <c r="GK398" i="65"/>
  <c r="GH410" i="65"/>
  <c r="GK414" i="65"/>
  <c r="GH361" i="65"/>
  <c r="GH377" i="65"/>
  <c r="GH393" i="65"/>
  <c r="GH409" i="65"/>
  <c r="GH423" i="65"/>
  <c r="GH435" i="65"/>
  <c r="GH422" i="65"/>
  <c r="GH434" i="65"/>
  <c r="GH433" i="65"/>
  <c r="GK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E435" i="65" l="1"/>
  <c r="GE436" i="65"/>
  <c r="GH421" i="65"/>
  <c r="GE421" i="65"/>
  <c r="GH415" i="65"/>
  <c r="GE415" i="65"/>
  <c r="GH383" i="65"/>
  <c r="GE383" i="65"/>
  <c r="GE412" i="65"/>
  <c r="GE380" i="65"/>
  <c r="GE413" i="65"/>
  <c r="GE381" i="65"/>
  <c r="GH414" i="65"/>
  <c r="GE414" i="65"/>
  <c r="GH382" i="65"/>
  <c r="GE382" i="65"/>
  <c r="GG398" i="65"/>
  <c r="GG367" i="65"/>
  <c r="GG383" i="65"/>
  <c r="GG408" i="65"/>
  <c r="GG421" i="65"/>
  <c r="GG432" i="65"/>
  <c r="GG424" i="65"/>
  <c r="GG376" i="65"/>
  <c r="GG392" i="65"/>
  <c r="GG414" i="65"/>
  <c r="GG366" i="65"/>
  <c r="GG360" i="65"/>
  <c r="GG399" i="65"/>
  <c r="GG382" i="65"/>
  <c r="GG415" i="65"/>
  <c r="GG425" i="65"/>
  <c r="GE423" i="65"/>
  <c r="GH432" i="65"/>
  <c r="GE432" i="65"/>
  <c r="GE437" i="65"/>
  <c r="GE411" i="65"/>
  <c r="GE379" i="65"/>
  <c r="GH408" i="65"/>
  <c r="GE408" i="65"/>
  <c r="GH376" i="65"/>
  <c r="GE376" i="65"/>
  <c r="GE409" i="65"/>
  <c r="GE377" i="65"/>
  <c r="GE410" i="65"/>
  <c r="GE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G362" i="65"/>
  <c r="GG394" i="65"/>
  <c r="GJ414" i="65"/>
  <c r="GG434" i="65"/>
  <c r="GJ366" i="65"/>
  <c r="GG393" i="65"/>
  <c r="GJ382" i="65"/>
  <c r="GG363" i="65"/>
  <c r="GG410" i="65"/>
  <c r="GJ424" i="65"/>
  <c r="GG361" i="65"/>
  <c r="GG395" i="65"/>
  <c r="GG377" i="65"/>
  <c r="GG433" i="65"/>
  <c r="GG379" i="65"/>
  <c r="GG422" i="65"/>
  <c r="GJ398" i="65"/>
  <c r="GG423" i="65"/>
  <c r="GG409" i="65"/>
  <c r="GG435" i="65"/>
  <c r="GG411" i="65"/>
  <c r="GG378" i="65"/>
  <c r="GG412" i="65"/>
  <c r="GJ362" i="65"/>
  <c r="GJ415" i="65"/>
  <c r="GJ383" i="65"/>
  <c r="GG381" i="65"/>
  <c r="GJ425" i="65"/>
  <c r="GG397" i="65"/>
  <c r="GG413" i="65"/>
  <c r="GJ399" i="65"/>
  <c r="GG380" i="65"/>
  <c r="GG437" i="65"/>
  <c r="GG365" i="65"/>
  <c r="GG436" i="65"/>
  <c r="GJ394" i="65"/>
  <c r="GG396" i="65"/>
  <c r="GG364" i="65"/>
  <c r="GJ378" i="65"/>
  <c r="GJ367" i="65"/>
  <c r="GJ423" i="65"/>
  <c r="GJ410" i="65"/>
  <c r="GJ434" i="65"/>
  <c r="GE424" i="65"/>
  <c r="GH424" i="65"/>
  <c r="GE433" i="65"/>
  <c r="GE434" i="65"/>
  <c r="GH399" i="65"/>
  <c r="GE399" i="65"/>
  <c r="GE367" i="65"/>
  <c r="GH367" i="65"/>
  <c r="GE396" i="65"/>
  <c r="GE364" i="65"/>
  <c r="GE397" i="65"/>
  <c r="GE365" i="65"/>
  <c r="GH398" i="65"/>
  <c r="GE398" i="65"/>
  <c r="GH366" i="65"/>
  <c r="GE366" i="65"/>
  <c r="GH425" i="65"/>
  <c r="GE425" i="65"/>
  <c r="GE422" i="65"/>
  <c r="GE395" i="65"/>
  <c r="GE363" i="65"/>
  <c r="GH392" i="65"/>
  <c r="GE392" i="65"/>
  <c r="GH360" i="65"/>
  <c r="GE360" i="65"/>
  <c r="GE393" i="65"/>
  <c r="GE361" i="65"/>
  <c r="GE394" i="65"/>
  <c r="GE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<sst xmlns="http://schemas.openxmlformats.org/spreadsheetml/2006/main" count="28355" uniqueCount="1473">
  <si>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</si>
  <si>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</si>
  <si>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</si>
  <si>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</si>
  <si>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</si>
  <si>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</si>
  <si>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</si>
  <si>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</si>
  <si>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</si>
  <si>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</si>
  <si>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</si>
  <si>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</si>
  <si>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</si>
  <si>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</si>
  <si>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</si>
  <si>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</si>
  <si>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</si>
  <si>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</si>
  <si>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</si>
  <si>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</si>
  <si>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</si>
  <si>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</si>
  <si>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</si>
  <si>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</si>
  <si>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</si>
  <si>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</si>
  <si>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</si>
  <si>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</si>
  <si>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</si>
  <si>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</si>
  <si>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</si>
  <si>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</si>
  <si>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</si>
  <si>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</si>
  <si>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</si>
  <si>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</si>
  <si>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</si>
  <si>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</si>
  <si>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</si>
  <si>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</si>
  <si>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</si>
  <si>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</si>
  <si>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</si>
  <si>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</si>
  <si>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</si>
  <si>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</si>
  <si>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</si>
  <si>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</si>
  <si>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</si>
  <si>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</si>
  <si>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</si>
  <si>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</si>
  <si>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</si>
  <si>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</si>
  <si>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</si>
  <si>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</si>
  <si>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</si>
  <si>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</si>
  <si>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</si>
  <si>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</si>
  <si>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</si>
  <si>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</si>
  <si>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</si>
  <si>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</si>
  <si>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</si>
  <si>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</si>
  <si>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</si>
  <si>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</si>
  <si>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</si>
  <si>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</si>
  <si>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</si>
  <si>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</si>
  <si>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</si>
  <si>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</si>
  <si>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</si>
  <si>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</si>
  <si>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</si>
  <si>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</si>
  <si>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</si>
  <si>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</si>
  <si>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</si>
  <si>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</si>
  <si>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</si>
  <si>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</si>
  <si>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</si>
  <si>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</si>
  <si>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</si>
  <si>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</si>
  <si>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</si>
  <si>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</si>
  <si>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</si>
  <si>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</si>
  <si>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</si>
  <si>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</si>
  <si>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</si>
  <si>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</si>
  <si>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</si>
  <si>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</si>
  <si>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</si>
  <si>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</si>
  <si>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</si>
  <si>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</si>
  <si>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</si>
  <si>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</si>
  <si>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</si>
  <si>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</si>
  <si>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</si>
  <si>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</si>
  <si>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</si>
  <si>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</si>
  <si>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</si>
  <si>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</si>
  <si>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</si>
  <si>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</si>
  <si>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</si>
  <si>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</si>
  <si>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</si>
  <si>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</si>
  <si>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</si>
  <si>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</si>
  <si>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</si>
  <si>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</si>
  <si>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</si>
  <si>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</si>
  <si>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</si>
  <si>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</si>
  <si>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</si>
  <si>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</si>
  <si>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</si>
  <si>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</si>
  <si>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</si>
  <si>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</si>
  <si>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</si>
  <si>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</si>
  <si>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</si>
  <si>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</si>
  <si>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</si>
  <si>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</si>
  <si>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</si>
  <si>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</si>
  <si>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</si>
  <si>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</si>
  <si>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</si>
  <si>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</si>
  <si>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</si>
  <si>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</si>
  <si>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</si>
  <si>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</si>
  <si>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</si>
  <si>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</si>
  <si>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</si>
  <si>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</si>
  <si>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</si>
  <si>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</si>
  <si>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</si>
  <si>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</si>
  <si>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</si>
  <si>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</si>
  <si>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</si>
  <si>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</si>
  <si>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</si>
  <si>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</si>
  <si>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</si>
  <si>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</si>
  <si>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</si>
  <si>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</si>
  <si>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</si>
  <si>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</si>
  <si>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</si>
  <si>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</si>
  <si>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</si>
  <si>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</si>
  <si>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</si>
  <si>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</si>
  <si>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</si>
  <si>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</si>
  <si>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</si>
  <si>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</si>
  <si>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</si>
  <si>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</si>
  <si>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</si>
  <si>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</si>
  <si>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</si>
  <si>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</si>
  <si>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</si>
  <si>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</si>
  <si>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</si>
  <si>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</si>
  <si>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</si>
  <si>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</si>
  <si>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</si>
  <si>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</si>
  <si>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</si>
  <si>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</si>
  <si>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</si>
  <si>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</si>
  <si>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</si>
  <si>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</si>
  <si>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</si>
  <si>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</si>
  <si>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</si>
  <si>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</si>
  <si>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</si>
  <si>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</si>
  <si>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</si>
  <si>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</si>
  <si>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</si>
  <si>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</si>
  <si>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</si>
  <si>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</si>
  <si>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</si>
  <si>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</si>
  <si>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</si>
  <si>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</si>
  <si>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</si>
  <si>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</si>
  <si>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</si>
  <si>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</si>
  <si>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</si>
  <si>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</si>
  <si>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</si>
  <si>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</si>
  <si>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</si>
  <si>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</si>
  <si>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</si>
  <si>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</si>
  <si>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</si>
  <si>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</si>
  <si>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</si>
  <si>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</si>
  <si>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</si>
  <si>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</si>
  <si>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</si>
  <si>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</si>
  <si>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</si>
  <si>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</si>
  <si>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</si>
  <si>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</si>
  <si>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</si>
  <si>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</si>
  <si>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</si>
  <si>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</si>
  <si>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</si>
  <si>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</si>
  <si>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</si>
  <si>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</si>
  <si>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</si>
  <si>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</si>
  <si>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</si>
  <si>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</si>
  <si>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</si>
  <si>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</si>
  <si>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</si>
  <si>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</si>
  <si>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</si>
  <si>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</si>
  <si>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</si>
  <si>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</si>
  <si>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</si>
  <si>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</si>
  <si>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</si>
  <si>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</si>
  <si>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</si>
  <si>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</si>
  <si>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</si>
  <si>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</si>
  <si>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</si>
  <si>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</si>
  <si>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</si>
  <si>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</si>
  <si>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</si>
  <si>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</si>
  <si>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</si>
  <si>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</si>
  <si>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</si>
  <si>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</si>
  <si>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</si>
  <si>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</si>
  <si>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</si>
  <si>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</si>
  <si>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</si>
  <si>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</si>
  <si>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</si>
  <si>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</si>
  <si>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</si>
  <si>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</si>
  <si>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</si>
  <si>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</si>
  <si>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</si>
  <si>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</si>
  <si>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</si>
  <si>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</si>
  <si>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</si>
  <si>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</si>
  <si>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</si>
  <si>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</si>
  <si>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</si>
  <si>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</si>
  <si>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</si>
  <si>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</si>
  <si>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</si>
  <si>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</si>
  <si>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</si>
  <si>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</si>
  <si>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</si>
  <si>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</si>
  <si>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</si>
  <si>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</si>
  <si>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</si>
  <si>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</si>
  <si>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</si>
  <si>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</si>
  <si>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</si>
  <si>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</si>
  <si>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</si>
  <si>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</si>
  <si>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</si>
  <si>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</si>
  <si>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</si>
  <si>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</si>
  <si>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</si>
  <si>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</si>
  <si>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</si>
  <si>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</si>
  <si>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</si>
  <si>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</si>
  <si>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</si>
  <si>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</si>
  <si>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</si>
  <si>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</si>
  <si>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</si>
  <si>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</si>
  <si>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</si>
  <si>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</si>
  <si>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</si>
  <si>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</si>
  <si>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</si>
  <si>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</si>
  <si>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</si>
  <si>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</si>
  <si>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</si>
  <si>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</si>
  <si>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</si>
  <si>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</si>
  <si>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</si>
  <si>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</si>
  <si>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</si>
  <si>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</si>
  <si>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</si>
  <si>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</si>
  <si>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</si>
  <si>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</si>
  <si>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</si>
  <si>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</si>
  <si>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</si>
  <si>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</si>
  <si>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</si>
  <si>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</si>
  <si>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</si>
  <si>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</si>
  <si>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</si>
  <si>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</si>
  <si>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</si>
  <si>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</si>
  <si>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</si>
  <si>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</si>
  <si>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</si>
  <si>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</si>
  <si>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</si>
  <si>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</si>
  <si>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</si>
  <si>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</si>
  <si>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</si>
  <si>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</si>
  <si>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</si>
  <si>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</si>
  <si>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</si>
  <si>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</si>
  <si>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</si>
  <si>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</si>
  <si>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</si>
  <si>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</si>
  <si>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</si>
  <si>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</si>
  <si>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</si>
  <si>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</si>
  <si>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</si>
  <si>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</si>
  <si>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</si>
  <si>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</si>
  <si>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</si>
  <si>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</si>
  <si>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</si>
  <si>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</si>
  <si>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</si>
  <si>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</si>
  <si>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</si>
  <si>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</si>
  <si>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</si>
  <si>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</si>
  <si>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</si>
  <si>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</si>
  <si>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</si>
  <si>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</si>
  <si>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</si>
  <si>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</si>
  <si>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</si>
  <si>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</si>
  <si>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</si>
  <si>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</si>
  <si>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</si>
  <si>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</si>
  <si>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</si>
  <si>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</si>
  <si>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</si>
  <si>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</si>
  <si>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</si>
  <si>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</si>
  <si>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</si>
  <si>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</si>
  <si>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</si>
  <si>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</si>
  <si>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</si>
  <si>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</si>
  <si>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</si>
  <si>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</si>
  <si>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</si>
  <si>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</si>
  <si>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</si>
  <si>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</si>
  <si>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</si>
  <si>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</si>
  <si>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</si>
  <si>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</si>
  <si>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</si>
  <si>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</si>
  <si>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</si>
  <si>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</si>
  <si>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</si>
  <si>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</si>
  <si>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</si>
  <si>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</si>
  <si>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</si>
  <si>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</si>
  <si>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</si>
  <si>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</si>
  <si>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</si>
  <si>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</si>
  <si>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</si>
  <si>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</si>
  <si>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</si>
  <si>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</si>
  <si>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</si>
  <si>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</si>
  <si>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</si>
  <si>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</si>
  <si>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</si>
  <si>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</si>
  <si>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</si>
  <si>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</si>
  <si>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</si>
  <si>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</si>
  <si>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</si>
  <si>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</si>
  <si>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</si>
  <si>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</si>
  <si>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</si>
  <si>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</si>
  <si>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</si>
  <si>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</si>
  <si>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</si>
  <si>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</si>
  <si>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</si>
  <si>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</si>
  <si>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</si>
  <si>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</si>
  <si>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</si>
  <si>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</si>
  <si>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</si>
  <si>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</si>
  <si>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</si>
  <si>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</si>
  <si>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</si>
  <si>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</si>
  <si>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</si>
  <si>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</si>
  <si>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</si>
  <si>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</si>
  <si>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</si>
  <si>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</si>
  <si>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</si>
  <si>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</si>
  <si>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</si>
  <si>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</si>
  <si>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</si>
  <si>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</si>
  <si>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</si>
  <si>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</si>
  <si>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</si>
  <si>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</si>
  <si>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</si>
  <si>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</si>
  <si>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</si>
  <si>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</si>
  <si>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</si>
  <si>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</si>
  <si>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</si>
  <si>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</si>
  <si>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</si>
  <si>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</si>
  <si>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</si>
  <si>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</si>
  <si>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</si>
  <si>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</si>
  <si>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</si>
  <si>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</si>
  <si>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</si>
  <si>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</si>
  <si>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</si>
  <si>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</si>
  <si>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</si>
  <si>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</si>
  <si>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</si>
  <si>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</si>
  <si>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</si>
  <si>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</si>
  <si>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</si>
  <si>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</si>
  <si>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</si>
  <si>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</si>
  <si>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</si>
  <si>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</si>
  <si>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</si>
  <si>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</si>
  <si>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</si>
  <si>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</si>
  <si>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</si>
  <si>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</si>
  <si>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</si>
  <si>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</si>
  <si>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</si>
  <si>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</si>
  <si>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</si>
  <si>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</si>
  <si>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</si>
  <si>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</si>
  <si>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</si>
  <si>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</si>
  <si>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</si>
  <si>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</si>
  <si>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</si>
  <si>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</si>
  <si>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</si>
  <si>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</si>
  <si>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</si>
  <si>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</si>
  <si>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</si>
  <si>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</si>
  <si>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</si>
  <si>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</si>
  <si>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</si>
  <si>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</si>
  <si>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</si>
  <si>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</si>
  <si>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</si>
  <si>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</si>
  <si>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</si>
  <si>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</si>
  <si>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</si>
  <si>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</si>
  <si>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</si>
  <si>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</si>
  <si>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</si>
  <si>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</si>
  <si>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</si>
  <si>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</si>
  <si>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</si>
  <si>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</si>
  <si>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</si>
  <si>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</si>
  <si>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</si>
  <si>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</si>
  <si>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</si>
  <si>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</si>
  <si>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</si>
  <si>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</si>
  <si>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</si>
  <si>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</si>
  <si>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</si>
  <si>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</si>
  <si>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</si>
  <si>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</si>
  <si>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</si>
  <si>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</si>
  <si>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</si>
  <si>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</si>
  <si>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</si>
  <si>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</si>
  <si>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</si>
  <si>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</si>
  <si>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</si>
  <si>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</si>
  <si>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</si>
  <si>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</si>
  <si>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</si>
  <si>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</si>
  <si>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</si>
  <si>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</si>
  <si>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</si>
  <si>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</si>
  <si>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</si>
  <si>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</si>
  <si>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</si>
  <si>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</si>
  <si>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</si>
  <si>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</si>
  <si>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</si>
  <si>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</si>
  <si>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</si>
  <si>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</si>
  <si>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</si>
  <si>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</si>
  <si>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</si>
  <si>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</si>
  <si>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</si>
  <si>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</si>
  <si>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</si>
  <si>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</si>
  <si>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</si>
  <si>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</si>
  <si>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</si>
  <si>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</si>
  <si>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</si>
  <si>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</si>
  <si>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</si>
  <si>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</si>
  <si>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</si>
  <si>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</si>
  <si>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</si>
  <si>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</si>
  <si>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</si>
  <si>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</si>
  <si>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</si>
  <si>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</si>
  <si>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</si>
  <si>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</si>
  <si>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</si>
  <si>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</si>
  <si>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</si>
  <si>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</si>
  <si>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</si>
  <si>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</si>
  <si>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</si>
  <si>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</si>
  <si>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</si>
  <si>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</si>
  <si>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</si>
  <si>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</si>
  <si>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</si>
  <si>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</si>
  <si>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</si>
  <si>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</si>
  <si>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</si>
  <si>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</si>
  <si>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</si>
  <si>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</si>
  <si>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</si>
  <si>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</si>
  <si>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</si>
  <si>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</si>
  <si>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</si>
  <si>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</si>
  <si>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</si>
  <si>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</si>
  <si>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</si>
  <si>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</si>
  <si>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</si>
  <si>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</si>
  <si>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</si>
  <si>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</si>
  <si>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</si>
  <si>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</si>
  <si>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</si>
  <si>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</si>
  <si>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</si>
  <si>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</si>
  <si>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</si>
  <si>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</si>
  <si>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</si>
  <si>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</si>
  <si>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</si>
  <si>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</si>
  <si>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</si>
  <si>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</si>
  <si>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</si>
  <si>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</si>
  <si>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</si>
  <si>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</si>
  <si>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</si>
  <si>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</si>
  <si>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</si>
  <si>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</si>
  <si>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</si>
  <si>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</si>
  <si>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</si>
  <si>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</si>
  <si>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</si>
  <si>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</si>
  <si>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</si>
  <si>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</si>
  <si>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</si>
  <si>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</si>
  <si>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</si>
  <si>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</si>
  <si>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</si>
  <si>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</si>
  <si>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</si>
  <si>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</si>
  <si>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</si>
  <si>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</si>
  <si>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</si>
  <si>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</si>
  <si>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</si>
  <si>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</si>
  <si>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</si>
  <si>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</si>
  <si>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</si>
  <si>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</si>
  <si>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</si>
  <si>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</si>
  <si>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</si>
  <si>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</si>
  <si>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</si>
  <si>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</si>
  <si>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</si>
  <si>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</si>
  <si>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</si>
  <si>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</si>
  <si>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</si>
  <si>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</si>
  <si>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</si>
  <si>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</si>
  <si>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</si>
  <si>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</si>
  <si>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</si>
  <si>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</si>
  <si>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</si>
  <si>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</si>
  <si>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</si>
  <si>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</si>
  <si>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</si>
  <si>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</si>
  <si>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</si>
  <si>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</si>
  <si>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</si>
  <si>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</si>
  <si>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</si>
  <si>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</si>
  <si>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</si>
  <si>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</si>
  <si>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</si>
  <si>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</si>
  <si>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</si>
  <si>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</si>
  <si>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</si>
  <si>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</si>
  <si>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</si>
  <si>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</si>
  <si>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</si>
  <si>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</si>
  <si>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</si>
  <si>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</si>
  <si>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</si>
  <si>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</si>
  <si>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</si>
  <si>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</si>
  <si>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</si>
  <si>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</si>
  <si>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</si>
  <si>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</si>
  <si>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</si>
  <si>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</si>
  <si>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</si>
  <si>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</si>
  <si>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</si>
  <si>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</si>
  <si>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</si>
  <si>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</si>
  <si>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</si>
  <si>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</si>
  <si>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</si>
  <si>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</si>
  <si>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</si>
  <si>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</si>
  <si>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</si>
  <si>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</si>
  <si>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</si>
  <si>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</si>
  <si>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</si>
  <si>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</si>
  <si>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</si>
  <si>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</si>
  <si>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</si>
  <si>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</si>
  <si>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</si>
  <si>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</si>
  <si>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</si>
  <si>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</si>
  <si>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</si>
  <si>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</si>
  <si>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</si>
  <si>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</si>
  <si>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</si>
  <si>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</si>
  <si>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</si>
  <si>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</si>
  <si>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</si>
  <si>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</si>
  <si>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</si>
  <si>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</si>
  <si>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</si>
  <si>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</si>
  <si>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</si>
  <si>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</si>
  <si>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</si>
  <si>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</si>
  <si>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</si>
  <si>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</si>
  <si>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</si>
  <si>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</si>
  <si>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</si>
  <si>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</si>
  <si>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</si>
  <si>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</si>
  <si>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</si>
  <si>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</si>
  <si>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</si>
  <si>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</si>
  <si>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</si>
  <si>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</si>
  <si>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</si>
  <si>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</si>
  <si>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</si>
  <si>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</si>
  <si>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</si>
  <si>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</si>
  <si>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</si>
  <si>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</si>
  <si>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</si>
  <si>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</si>
  <si>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</si>
  <si>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</si>
  <si>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</si>
  <si>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</si>
  <si>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</si>
  <si>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</si>
  <si>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</si>
  <si>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</si>
  <si>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</si>
  <si>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</si>
  <si>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</si>
  <si>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</si>
  <si>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</si>
  <si>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</si>
  <si>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</si>
  <si>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</si>
  <si>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</si>
  <si>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</si>
  <si>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</si>
  <si>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</si>
  <si>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</si>
  <si>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</si>
  <si>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</si>
  <si>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</si>
  <si>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</si>
  <si>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</si>
  <si>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</si>
  <si>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</si>
  <si>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</si>
  <si>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</si>
  <si>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</si>
  <si>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</si>
  <si>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</si>
  <si>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</si>
  <si>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</si>
  <si>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</si>
  <si>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</si>
  <si>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</si>
  <si>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</si>
  <si>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</si>
  <si>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</si>
  <si>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</si>
  <si>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</si>
  <si>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</si>
  <si>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</si>
  <si>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</si>
  <si>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</si>
  <si>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</si>
  <si>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</si>
  <si>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</si>
  <si>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</si>
  <si>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</si>
  <si>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</si>
  <si>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</si>
  <si>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</si>
  <si>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</si>
  <si>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</si>
  <si>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</si>
  <si>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</si>
  <si>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</si>
  <si>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</si>
  <si>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</si>
  <si>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</si>
  <si>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</si>
  <si>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</si>
  <si>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</si>
  <si>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</si>
  <si>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</si>
  <si>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</si>
  <si>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</si>
  <si>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</si>
  <si>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</si>
  <si>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</si>
  <si>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</si>
  <si>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</si>
  <si>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</si>
  <si>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</si>
  <si>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</si>
  <si>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</si>
  <si>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</si>
  <si>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</si>
  <si>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</si>
  <si>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</si>
  <si>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</si>
  <si>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</si>
  <si>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</si>
  <si>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</si>
  <si>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</si>
  <si>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</si>
  <si>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</si>
  <si>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</si>
  <si>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</si>
  <si>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</si>
  <si>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</si>
  <si>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</si>
  <si>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</si>
  <si>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</si>
  <si>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</si>
  <si>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</si>
  <si>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</si>
  <si>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</si>
  <si>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</si>
  <si>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</si>
  <si>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</si>
  <si>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</si>
  <si>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</si>
  <si>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</si>
  <si>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</si>
  <si>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</si>
  <si>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</si>
  <si>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</si>
  <si>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</si>
  <si>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</si>
  <si>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</si>
  <si>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</si>
  <si>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</si>
  <si>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</si>
  <si>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</si>
  <si>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</si>
  <si>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</si>
  <si>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</si>
  <si>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</si>
  <si>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</si>
  <si>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</si>
  <si>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</si>
  <si>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</si>
  <si>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</si>
  <si>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</si>
  <si>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</si>
  <si>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</si>
  <si>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</si>
  <si>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</si>
  <si>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</si>
  <si>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</si>
  <si>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</si>
  <si>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</si>
  <si>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</si>
  <si>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</si>
  <si>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</si>
  <si>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</si>
  <si>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</si>
  <si>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</si>
  <si>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</si>
  <si>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</si>
  <si>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</si>
  <si>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</si>
  <si>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</si>
  <si>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</si>
  <si>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</si>
  <si>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</si>
  <si>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</si>
  <si>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</si>
  <si>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</si>
  <si>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</si>
  <si>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</si>
  <si>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</si>
  <si>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</si>
  <si>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</si>
  <si>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</si>
  <si>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</si>
  <si>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</si>
  <si>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</si>
  <si>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</si>
  <si>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</si>
  <si>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</si>
  <si>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</si>
  <si>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</si>
  <si>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</si>
  <si>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</si>
  <si>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</si>
  <si>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</si>
  <si>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</si>
  <si>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</si>
  <si>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</si>
  <si>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</si>
  <si>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</si>
  <si>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</si>
  <si>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</si>
  <si>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</si>
  <si>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</si>
  <si>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</si>
  <si>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</si>
  <si>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</si>
  <si>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</si>
  <si>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</si>
  <si>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</si>
  <si>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</si>
  <si>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</si>
  <si>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</si>
  <si>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</si>
  <si>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</si>
  <si>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</si>
  <si>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</si>
  <si>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</si>
  <si>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</si>
  <si>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</si>
  <si>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</si>
  <si>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</si>
  <si>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</si>
  <si>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</si>
  <si>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</si>
  <si>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</si>
  <si>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</si>
  <si>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</si>
  <si>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</si>
  <si>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</si>
  <si>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</si>
  <si>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</si>
  <si>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</si>
  <si>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</si>
  <si>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</si>
  <si>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</si>
  <si>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</si>
  <si>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</si>
  <si>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</si>
  <si>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</si>
  <si>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</si>
  <si>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</si>
  <si>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</si>
  <si>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</si>
  <si>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</si>
  <si>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</si>
  <si>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</si>
  <si>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</si>
  <si>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</si>
  <si>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</si>
  <si>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</si>
  <si>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</si>
  <si>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</si>
  <si>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</si>
  <si>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</si>
  <si>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</si>
  <si>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</si>
  <si>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</si>
  <si>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</si>
  <si>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</si>
  <si>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</si>
  <si>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</si>
  <si>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</si>
  <si>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</si>
  <si>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</si>
  <si>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</si>
  <si>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</si>
  <si>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</si>
  <si>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</si>
  <si>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</si>
  <si>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</si>
  <si>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</si>
  <si>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</si>
  <si>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</si>
  <si>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</si>
  <si>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</si>
  <si>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</si>
  <si>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</si>
  <si>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</si>
  <si>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</si>
  <si>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</si>
  <si>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</si>
  <si>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</si>
  <si>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</si>
  <si>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</si>
  <si>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</si>
  <si>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</si>
  <si>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</si>
  <si>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</si>
  <si>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</si>
  <si>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</si>
  <si>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</si>
  <si>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</si>
  <si>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</si>
  <si>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</si>
  <si>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</si>
  <si>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</si>
  <si>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</si>
  <si>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</si>
  <si>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</si>
  <si>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</si>
  <si>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</si>
  <si>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</si>
  <si>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</si>
  <si>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</si>
  <si>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</si>
  <si>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</si>
  <si>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</si>
  <si>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</si>
  <si>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</si>
  <si>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</si>
  <si>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</si>
  <si>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</si>
  <si>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</si>
  <si>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</si>
  <si>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</si>
  <si>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</si>
  <si>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</si>
  <si>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</si>
  <si>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</si>
  <si>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</si>
  <si>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</si>
  <si>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</si>
  <si>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</si>
  <si>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</si>
  <si>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</si>
  <si>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</si>
  <si>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</si>
  <si>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</si>
  <si>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</si>
  <si>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</si>
  <si>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</si>
  <si>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</si>
  <si>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</si>
  <si>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</si>
  <si>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</si>
  <si>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</si>
  <si>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</si>
  <si>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</si>
  <si>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</si>
  <si>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</si>
  <si>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</si>
  <si>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</si>
  <si>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</si>
  <si>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</si>
  <si>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</si>
  <si>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</si>
  <si>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</si>
  <si>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</si>
  <si>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</si>
  <si>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</si>
  <si>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</si>
  <si>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</si>
  <si>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</si>
  <si>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</si>
  <si>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</si>
  <si>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</si>
  <si>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</si>
  <si>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</si>
  <si>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</si>
  <si>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</si>
  <si>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</si>
  <si>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</si>
  <si>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</si>
  <si>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</si>
  <si>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</si>
  <si>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</si>
  <si>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</si>
  <si>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</si>
  <si>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</si>
  <si>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</si>
  <si>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</si>
  <si>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</si>
  <si>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</si>
  <si>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</si>
  <si>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</si>
  <si>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</si>
  <si>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</si>
  <si>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</si>
  <si>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</si>
  <si>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</si>
  <si>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</si>
  <si>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</si>
  <si>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</si>
  <si>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</si>
  <si>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</si>
  <si>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</si>
  <si>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</si>
  <si>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</si>
  <si>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</si>
  <si>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</si>
  <si>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</si>
  <si>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</si>
  <si>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</si>
  <si>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</si>
  <si>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</si>
  <si>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</si>
  <si>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</si>
  <si>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</si>
  <si>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</si>
  <si>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</si>
  <si>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</si>
  <si>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</si>
  <si>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</si>
  <si>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</si>
  <si>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</si>
  <si>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</si>
  <si>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</si>
  <si>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</si>
  <si>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</si>
  <si>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</si>
  <si>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</si>
  <si>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</si>
  <si>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</si>
  <si>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</si>
  <si>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</si>
  <si>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</si>
  <si>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</si>
  <si>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</si>
  <si>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</si>
  <si>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</si>
  <si>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</si>
  <si>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</si>
  <si>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</si>
  <si>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</si>
  <si>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</si>
  <si>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</si>
  <si>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</si>
  <si>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</si>
  <si>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</si>
  <si>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</si>
  <si>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</si>
  <si>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</si>
  <si>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</si>
  <si>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</si>
  <si>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</si>
  <si>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</si>
  <si>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</si>
  <si>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</si>
  <si>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</si>
  <si>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</si>
  <si>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</si>
  <si>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</si>
  <si>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</si>
  <si>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</si>
  <si>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</si>
  <si>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</si>
  <si>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</si>
  <si>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</si>
  <si>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</si>
  <si>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</si>
  <si>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</si>
  <si>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</si>
  <si>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</si>
  <si>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</si>
  <si>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</si>
  <si>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</si>
  <si>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</si>
  <si>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</si>
  <si>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</si>
  <si>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</si>
  <si>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</si>
  <si>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</si>
  <si>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</si>
  <si>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</si>
  <si>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</si>
  <si>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</si>
  <si>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</si>
  <si>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</si>
  <si>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</si>
  <si>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</si>
  <si>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</si>
  <si>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</si>
  <si>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</si>
  <si>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</si>
  <si>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</si>
  <si>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</si>
  <si>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</si>
  <si>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</si>
  <si>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</si>
  <si>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</si>
  <si>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</si>
  <si>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</si>
  <si>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</si>
  <si>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</si>
  <si>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</si>
  <si>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</si>
  <si>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</si>
  <si>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</si>
  <si>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</si>
  <si>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</si>
  <si>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</si>
  <si>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</si>
  <si>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</si>
  <si>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</si>
  <si>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</si>
  <si>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</si>
  <si>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</si>
  <si>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</si>
  <si>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</si>
  <si>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</si>
  <si>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</si>
  <si>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</si>
  <si>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</si>
  <si>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</si>
  <si>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</si>
  <si>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</si>
  <si>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</si>
  <si>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</si>
  <si>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</si>
  <si>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</si>
  <si>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</si>
  <si>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</si>
  <si>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</si>
  <si>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</si>
  <si>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</si>
  <si>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</si>
  <si>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</si>
  <si>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</si>
  <si>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</si>
  <si>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</si>
  <si>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</si>
  <si>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</si>
  <si>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</si>
  <si>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</si>
  <si>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</si>
  <si>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</si>
  <si>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</si>
  <si>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</si>
  <si>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</si>
  <si>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</si>
  <si>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</si>
  <si>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</si>
  <si>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</si>
  <si>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</si>
  <si>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</si>
  <si>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</si>
  <si>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</si>
  <si>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</si>
  <si>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</si>
  <si>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</si>
  <si>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</si>
  <si>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</si>
  <si>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</si>
  <si>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</si>
  <si>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</si>
  <si>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</si>
  <si>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</si>
  <si>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</si>
  <si>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</si>
  <si>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</si>
  <si>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</si>
  <si>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</si>
  <si>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</si>
  <si>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</si>
  <si>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</si>
  <si>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</si>
  <si>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</si>
  <si>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</si>
  <si>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</si>
  <si>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</si>
  <si>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</si>
  <si>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</si>
  <si>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</si>
  <si>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</si>
  <si>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</si>
  <si>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</si>
  <si>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</si>
  <si>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</si>
  <si>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</si>
  <si>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</si>
  <si>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</si>
  <si>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</si>
  <si>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</si>
  <si>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</si>
  <si>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</si>
  <si>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</si>
  <si>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</si>
  <si>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</si>
  <si>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</si>
  <si>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</si>
  <si>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</si>
  <si>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</si>
  <si>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</si>
  <si>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</si>
  <si>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</si>
  <si>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</si>
  <si>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</si>
  <si>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</si>
  <si>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</si>
  <si>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</si>
  <si>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</si>
  <si>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</si>
  <si>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</si>
  <si>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</si>
  <si>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</si>
  <si>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</si>
  <si>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</si>
  <si>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</si>
  <si>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</si>
  <si>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</si>
  <si>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</si>
  <si>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</si>
  <si>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</si>
  <si>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</si>
  <si>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</si>
  <si>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</si>
  <si>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</si>
  <si>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</si>
  <si>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</si>
  <si>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</si>
  <si>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</si>
  <si>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</si>
  <si>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</si>
  <si>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</si>
  <si>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</si>
  <si>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</si>
  <si>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战力</t>
    <phoneticPr fontId="2" type="noConversion"/>
  </si>
  <si>
    <t>地狱道预估</t>
    <phoneticPr fontId="2" type="noConversion"/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</si>
  <si>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</si>
  <si>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</si>
  <si>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</si>
  <si>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</si>
  <si>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</si>
  <si>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</si>
  <si>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</si>
  <si>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</si>
  <si>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</si>
  <si>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</si>
  <si>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</si>
  <si>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</si>
  <si>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</si>
  <si>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</si>
  <si>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</si>
  <si>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</si>
  <si>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</si>
  <si>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</si>
  <si>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</si>
  <si>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</si>
  <si>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</si>
  <si>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</si>
  <si>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</si>
  <si>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</si>
  <si>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</si>
  <si>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</si>
  <si>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</si>
  <si>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35、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</si>
</sst>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theme="1"/>
      <name val="等线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3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0" fillId="0" borderId="0" xfId="0" applyNumberFormat="1"/>
    <xf numFmtId="0" fontId="2" fillId="0" borderId="4" xfId="4" applyFont="1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3" t="s">
        <v>128</v>
      </c>
      <c r="C2" s="54"/>
      <c r="D2" s="54"/>
      <c r="E2" s="55"/>
    </row>
    <row r="3" spans="2:5" ht="35.1" customHeight="1" x14ac:dyDescent="0.2">
      <c r="B3" s="2" t="s">
        <v>0</v>
      </c>
      <c r="C3" s="3" t="s">
        <v>11</v>
      </c>
      <c r="D3" s="56" t="s">
        <v>1</v>
      </c>
      <c r="E3" s="58" t="s">
        <v>129</v>
      </c>
    </row>
    <row r="4" spans="2:5" ht="35.1" customHeight="1" x14ac:dyDescent="0.2">
      <c r="B4" s="2" t="s">
        <v>2</v>
      </c>
      <c r="C4" s="3" t="s">
        <v>12</v>
      </c>
      <c r="D4" s="57"/>
      <c r="E4" s="59"/>
    </row>
    <row r="5" spans="2:5" ht="35.1" customHeight="1" x14ac:dyDescent="0.2">
      <c r="B5" s="4" t="s">
        <v>3</v>
      </c>
      <c r="C5" s="60" t="s">
        <v>130</v>
      </c>
      <c r="D5" s="61"/>
      <c r="E5" s="62"/>
    </row>
    <row r="6" spans="2:5" ht="18" x14ac:dyDescent="0.2">
      <c r="B6" s="63" t="s">
        <v>4</v>
      </c>
      <c r="C6" s="64"/>
      <c r="D6" s="64"/>
      <c r="E6" s="65"/>
    </row>
    <row r="7" spans="2:5" ht="18" x14ac:dyDescent="0.2">
      <c r="B7" s="5" t="s">
        <v>5</v>
      </c>
      <c r="C7" s="6" t="s">
        <v>6</v>
      </c>
      <c r="D7" s="51" t="s">
        <v>7</v>
      </c>
      <c r="E7" s="52"/>
    </row>
    <row r="8" spans="2:5" x14ac:dyDescent="0.2">
      <c r="B8" s="7">
        <v>43525</v>
      </c>
      <c r="C8" s="8" t="s">
        <v>10</v>
      </c>
      <c r="D8" s="66" t="s">
        <v>8</v>
      </c>
      <c r="E8" s="67"/>
    </row>
    <row r="9" spans="2:5" x14ac:dyDescent="0.2">
      <c r="B9" s="7"/>
      <c r="C9" s="8"/>
      <c r="D9" s="66"/>
      <c r="E9" s="67"/>
    </row>
    <row r="10" spans="2:5" x14ac:dyDescent="0.2">
      <c r="B10" s="9"/>
      <c r="C10" s="8"/>
      <c r="D10" s="66"/>
      <c r="E10" s="67"/>
    </row>
    <row r="11" spans="2:5" x14ac:dyDescent="0.2">
      <c r="B11" s="9"/>
      <c r="C11" s="8"/>
      <c r="D11" s="66"/>
      <c r="E11" s="67"/>
    </row>
    <row r="12" spans="2:5" x14ac:dyDescent="0.2">
      <c r="B12" s="9"/>
      <c r="C12" s="8"/>
      <c r="D12" s="66"/>
      <c r="E12" s="67"/>
    </row>
    <row r="13" spans="2:5" x14ac:dyDescent="0.2">
      <c r="B13" s="9"/>
      <c r="C13" s="8"/>
      <c r="D13" s="66"/>
      <c r="E13" s="67"/>
    </row>
    <row r="14" spans="2:5" x14ac:dyDescent="0.2">
      <c r="B14" s="9"/>
      <c r="C14" s="8"/>
      <c r="D14" s="66"/>
      <c r="E14" s="67"/>
    </row>
    <row r="15" spans="2:5" x14ac:dyDescent="0.2">
      <c r="B15" s="9"/>
      <c r="C15" s="8"/>
      <c r="D15" s="66"/>
      <c r="E15" s="67"/>
    </row>
    <row r="16" spans="2:5" x14ac:dyDescent="0.2">
      <c r="B16" s="9"/>
      <c r="C16" s="8"/>
      <c r="D16" s="66"/>
      <c r="E16" s="67"/>
    </row>
    <row r="17" spans="2:5" x14ac:dyDescent="0.2">
      <c r="B17" s="9"/>
      <c r="C17" s="8"/>
      <c r="D17" s="66"/>
      <c r="E17" s="67"/>
    </row>
    <row r="18" spans="2:5" x14ac:dyDescent="0.2">
      <c r="B18" s="9"/>
      <c r="C18" s="8"/>
      <c r="D18" s="66"/>
      <c r="E18" s="67"/>
    </row>
    <row r="19" spans="2:5" x14ac:dyDescent="0.2">
      <c r="B19" s="9"/>
      <c r="C19" s="8"/>
      <c r="D19" s="66"/>
      <c r="E19" s="67"/>
    </row>
    <row r="20" spans="2:5" x14ac:dyDescent="0.2">
      <c r="B20" s="9"/>
      <c r="C20" s="8"/>
      <c r="D20" s="66"/>
      <c r="E20" s="67"/>
    </row>
    <row r="21" spans="2:5" x14ac:dyDescent="0.2">
      <c r="B21" s="9"/>
      <c r="C21" s="8"/>
      <c r="D21" s="66"/>
      <c r="E21" s="67"/>
    </row>
    <row r="22" spans="2:5" x14ac:dyDescent="0.2">
      <c r="B22" s="9"/>
      <c r="C22" s="8"/>
      <c r="D22" s="66"/>
      <c r="E22" s="67"/>
    </row>
    <row r="23" spans="2:5" x14ac:dyDescent="0.2">
      <c r="B23" s="9"/>
      <c r="C23" s="8"/>
      <c r="D23" s="66"/>
      <c r="E23" s="67"/>
    </row>
    <row r="24" spans="2:5" x14ac:dyDescent="0.2">
      <c r="B24" s="9"/>
      <c r="C24" s="8"/>
      <c r="D24" s="66"/>
      <c r="E24" s="67"/>
    </row>
    <row r="25" spans="2:5" x14ac:dyDescent="0.2">
      <c r="B25" s="9"/>
      <c r="C25" s="8"/>
      <c r="D25" s="66"/>
      <c r="E25" s="67"/>
    </row>
    <row r="26" spans="2:5" x14ac:dyDescent="0.2">
      <c r="B26" s="9"/>
      <c r="C26" s="8"/>
      <c r="D26" s="66"/>
      <c r="E26" s="67"/>
    </row>
    <row r="27" spans="2:5" x14ac:dyDescent="0.2">
      <c r="B27" s="9"/>
      <c r="C27" s="8"/>
      <c r="D27" s="66"/>
      <c r="E27" s="67"/>
    </row>
    <row r="28" spans="2:5" ht="18" thickBot="1" x14ac:dyDescent="0.25">
      <c r="B28" s="10"/>
      <c r="C28" s="11"/>
      <c r="D28" s="68"/>
      <c r="E28" s="69"/>
    </row>
    <row r="30" spans="2:5" x14ac:dyDescent="0.2">
      <c r="B30" s="70" t="s">
        <v>9</v>
      </c>
      <c r="C30" s="70"/>
      <c r="D30" s="70"/>
      <c r="E30" s="70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715</v>
      </c>
      <c r="C1" s="18" t="s">
        <v>716</v>
      </c>
      <c r="D1" s="18" t="s">
        <v>14</v>
      </c>
      <c r="E1" s="18" t="s">
        <v>15</v>
      </c>
      <c r="F1" s="18" t="s">
        <v>717</v>
      </c>
      <c r="G1" s="18" t="s">
        <v>718</v>
      </c>
      <c r="H1" s="18" t="s">
        <v>719</v>
      </c>
      <c r="I1" s="18" t="s">
        <v>720</v>
      </c>
      <c r="J1" s="18" t="s">
        <v>721</v>
      </c>
      <c r="K1" s="18" t="s">
        <v>722</v>
      </c>
      <c r="L1" s="18" t="s">
        <v>723</v>
      </c>
    </row>
    <row r="2" spans="1:12" x14ac:dyDescent="0.2">
      <c r="A2" s="30" t="s">
        <v>16</v>
      </c>
      <c r="B2" s="30" t="s">
        <v>724</v>
      </c>
      <c r="C2" s="30" t="s">
        <v>725</v>
      </c>
      <c r="D2" s="30" t="s">
        <v>17</v>
      </c>
      <c r="E2" s="30" t="s">
        <v>726</v>
      </c>
      <c r="F2" s="30" t="s">
        <v>17</v>
      </c>
      <c r="G2" s="30" t="s">
        <v>727</v>
      </c>
      <c r="H2" s="30" t="s">
        <v>728</v>
      </c>
      <c r="I2" s="30" t="s">
        <v>729</v>
      </c>
      <c r="J2" s="30" t="s">
        <v>728</v>
      </c>
      <c r="K2" s="30" t="s">
        <v>16</v>
      </c>
      <c r="L2" s="30" t="s">
        <v>17</v>
      </c>
    </row>
    <row r="3" spans="1:12" ht="15" x14ac:dyDescent="0.2">
      <c r="A3" s="35" t="s">
        <v>13</v>
      </c>
      <c r="B3" s="35" t="s">
        <v>19</v>
      </c>
      <c r="C3" s="35" t="s">
        <v>730</v>
      </c>
      <c r="D3" s="35" t="s">
        <v>731</v>
      </c>
      <c r="E3" s="35" t="s">
        <v>732</v>
      </c>
      <c r="F3" s="35" t="s">
        <v>733</v>
      </c>
      <c r="G3" s="35" t="s">
        <v>20</v>
      </c>
      <c r="H3" s="35" t="s">
        <v>734</v>
      </c>
      <c r="I3" s="35" t="s">
        <v>735</v>
      </c>
      <c r="J3" s="35" t="s">
        <v>736</v>
      </c>
      <c r="K3" s="35" t="s">
        <v>737</v>
      </c>
      <c r="L3" s="35" t="s">
        <v>738</v>
      </c>
    </row>
    <row r="4" spans="1:12" ht="16.5" x14ac:dyDescent="0.2">
      <c r="A4" s="13">
        <v>101</v>
      </c>
      <c r="B4" s="13" t="s">
        <v>21</v>
      </c>
      <c r="C4" s="13"/>
      <c r="D4" s="13" t="s">
        <v>739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740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540</v>
      </c>
      <c r="C6" s="13"/>
      <c r="D6" s="13" t="s">
        <v>741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820</v>
      </c>
    </row>
    <row r="8" spans="1:12" ht="33" x14ac:dyDescent="0.2">
      <c r="A8" s="13">
        <v>105</v>
      </c>
      <c r="B8" s="13" t="s">
        <v>200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742</v>
      </c>
    </row>
    <row r="9" spans="1:12" ht="33" x14ac:dyDescent="0.2">
      <c r="A9" s="13">
        <v>106</v>
      </c>
      <c r="B9" s="13" t="s">
        <v>370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743</v>
      </c>
    </row>
    <row r="14" spans="1:12" ht="16.5" x14ac:dyDescent="0.2">
      <c r="A14" s="13">
        <v>111</v>
      </c>
      <c r="B14" s="13" t="s">
        <v>44</v>
      </c>
      <c r="C14" s="13"/>
      <c r="D14" s="13" t="s">
        <v>744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745</v>
      </c>
    </row>
    <row r="15" spans="1:12" ht="16.5" x14ac:dyDescent="0.2">
      <c r="A15" s="13">
        <v>112</v>
      </c>
      <c r="B15" s="13" t="s">
        <v>821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175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746</v>
      </c>
      <c r="C20" s="13"/>
      <c r="D20" s="13" t="s">
        <v>747</v>
      </c>
      <c r="E20" s="13" t="b">
        <v>0</v>
      </c>
      <c r="F20" s="13" t="s">
        <v>748</v>
      </c>
      <c r="G20" s="13">
        <v>100</v>
      </c>
      <c r="H20" s="13"/>
      <c r="I20" s="13"/>
      <c r="J20" s="13" t="b">
        <v>1</v>
      </c>
      <c r="K20" s="13">
        <v>0</v>
      </c>
      <c r="L20" s="13" t="s">
        <v>749</v>
      </c>
    </row>
    <row r="21" spans="1:12" ht="33" x14ac:dyDescent="0.2">
      <c r="A21" s="13">
        <v>118</v>
      </c>
      <c r="B21" s="13" t="s">
        <v>822</v>
      </c>
      <c r="C21" s="13"/>
      <c r="D21" s="13" t="s">
        <v>750</v>
      </c>
      <c r="E21" s="13" t="b">
        <v>0</v>
      </c>
      <c r="F21" s="13" t="s">
        <v>751</v>
      </c>
      <c r="G21" s="13">
        <v>100</v>
      </c>
      <c r="H21" s="13"/>
      <c r="I21" s="13"/>
      <c r="J21" s="13" t="b">
        <v>1</v>
      </c>
      <c r="K21" s="13">
        <v>0</v>
      </c>
      <c r="L21" s="13" t="s">
        <v>752</v>
      </c>
    </row>
    <row r="22" spans="1:12" ht="33" x14ac:dyDescent="0.2">
      <c r="A22" s="13">
        <v>119</v>
      </c>
      <c r="B22" s="13" t="s">
        <v>753</v>
      </c>
      <c r="C22" s="13"/>
      <c r="D22" s="13" t="s">
        <v>754</v>
      </c>
      <c r="E22" s="13" t="b">
        <v>0</v>
      </c>
      <c r="F22" s="13" t="s">
        <v>755</v>
      </c>
      <c r="G22" s="13">
        <v>100</v>
      </c>
      <c r="H22" s="13"/>
      <c r="I22" s="13"/>
      <c r="J22" s="13" t="b">
        <v>1</v>
      </c>
      <c r="K22" s="13">
        <v>0</v>
      </c>
      <c r="L22" s="13" t="s">
        <v>756</v>
      </c>
    </row>
    <row r="23" spans="1:12" ht="33" x14ac:dyDescent="0.2">
      <c r="A23" s="13">
        <v>120</v>
      </c>
      <c r="B23" s="13" t="s">
        <v>757</v>
      </c>
      <c r="C23" s="13"/>
      <c r="D23" s="13" t="s">
        <v>758</v>
      </c>
      <c r="E23" s="13" t="b">
        <v>1</v>
      </c>
      <c r="F23" s="13" t="s">
        <v>759</v>
      </c>
      <c r="G23" s="13">
        <v>100</v>
      </c>
      <c r="H23" s="13"/>
      <c r="I23" s="13"/>
      <c r="J23" s="13" t="b">
        <v>1</v>
      </c>
      <c r="K23" s="13">
        <v>0</v>
      </c>
      <c r="L23" s="13" t="s">
        <v>760</v>
      </c>
    </row>
    <row r="24" spans="1:12" ht="33" x14ac:dyDescent="0.2">
      <c r="A24" s="13">
        <v>121</v>
      </c>
      <c r="B24" s="13" t="s">
        <v>823</v>
      </c>
      <c r="C24" s="13"/>
      <c r="D24" s="13" t="s">
        <v>761</v>
      </c>
      <c r="E24" s="13" t="b">
        <v>1</v>
      </c>
      <c r="F24" s="13" t="s">
        <v>762</v>
      </c>
      <c r="G24" s="13">
        <v>100</v>
      </c>
      <c r="H24" s="13"/>
      <c r="I24" s="13"/>
      <c r="J24" s="13" t="b">
        <v>1</v>
      </c>
      <c r="K24" s="13">
        <v>0</v>
      </c>
      <c r="L24" s="13" t="s">
        <v>763</v>
      </c>
    </row>
    <row r="25" spans="1:12" ht="33" x14ac:dyDescent="0.2">
      <c r="A25" s="13">
        <v>122</v>
      </c>
      <c r="B25" s="13" t="s">
        <v>764</v>
      </c>
      <c r="C25" s="13"/>
      <c r="D25" s="13" t="s">
        <v>765</v>
      </c>
      <c r="E25" s="13" t="b">
        <v>1</v>
      </c>
      <c r="F25" s="13" t="s">
        <v>766</v>
      </c>
      <c r="G25" s="13">
        <v>100</v>
      </c>
      <c r="H25" s="13"/>
      <c r="I25" s="13"/>
      <c r="J25" s="13" t="b">
        <v>1</v>
      </c>
      <c r="K25" s="13">
        <v>0</v>
      </c>
      <c r="L25" s="13" t="s">
        <v>767</v>
      </c>
    </row>
    <row r="26" spans="1:12" ht="33" x14ac:dyDescent="0.2">
      <c r="A26" s="13">
        <v>123</v>
      </c>
      <c r="B26" s="13" t="s">
        <v>178</v>
      </c>
      <c r="C26" s="13"/>
      <c r="D26" s="13" t="s">
        <v>768</v>
      </c>
      <c r="E26" s="13" t="b">
        <v>1</v>
      </c>
      <c r="F26" s="13" t="s">
        <v>769</v>
      </c>
      <c r="G26" s="13">
        <v>100</v>
      </c>
      <c r="H26" s="13"/>
      <c r="I26" s="13"/>
      <c r="J26" s="13" t="b">
        <v>1</v>
      </c>
      <c r="K26" s="13">
        <v>0</v>
      </c>
      <c r="L26" s="13" t="s">
        <v>770</v>
      </c>
    </row>
    <row r="27" spans="1:12" ht="33" x14ac:dyDescent="0.2">
      <c r="A27" s="13">
        <v>124</v>
      </c>
      <c r="B27" s="13" t="s">
        <v>180</v>
      </c>
      <c r="C27" s="13"/>
      <c r="D27" s="13" t="s">
        <v>771</v>
      </c>
      <c r="E27" s="13" t="b">
        <v>1</v>
      </c>
      <c r="F27" s="13" t="s">
        <v>772</v>
      </c>
      <c r="G27" s="13">
        <v>100</v>
      </c>
      <c r="H27" s="13"/>
      <c r="I27" s="13"/>
      <c r="J27" s="13" t="b">
        <v>1</v>
      </c>
      <c r="K27" s="13">
        <v>0</v>
      </c>
      <c r="L27" s="13" t="s">
        <v>773</v>
      </c>
    </row>
    <row r="28" spans="1:12" ht="33" x14ac:dyDescent="0.2">
      <c r="A28" s="13">
        <v>125</v>
      </c>
      <c r="B28" s="13" t="s">
        <v>193</v>
      </c>
      <c r="C28" s="13"/>
      <c r="D28" s="13" t="s">
        <v>774</v>
      </c>
      <c r="E28" s="13" t="b">
        <v>1</v>
      </c>
      <c r="F28" s="13" t="s">
        <v>775</v>
      </c>
      <c r="G28" s="13">
        <v>100</v>
      </c>
      <c r="H28" s="13"/>
      <c r="I28" s="13"/>
      <c r="J28" s="13" t="b">
        <v>1</v>
      </c>
      <c r="K28" s="13">
        <v>0</v>
      </c>
      <c r="L28" s="13" t="s">
        <v>776</v>
      </c>
    </row>
    <row r="29" spans="1:12" ht="33" x14ac:dyDescent="0.2">
      <c r="A29" s="13">
        <v>126</v>
      </c>
      <c r="B29" s="13" t="s">
        <v>777</v>
      </c>
      <c r="C29" s="13"/>
      <c r="D29" s="13" t="s">
        <v>778</v>
      </c>
      <c r="E29" s="13" t="b">
        <v>1</v>
      </c>
      <c r="F29" s="13" t="s">
        <v>779</v>
      </c>
      <c r="G29" s="13">
        <v>100</v>
      </c>
      <c r="H29" s="13"/>
      <c r="I29" s="13"/>
      <c r="J29" s="13" t="b">
        <v>1</v>
      </c>
      <c r="K29" s="13">
        <v>0</v>
      </c>
      <c r="L29" s="13" t="s">
        <v>780</v>
      </c>
    </row>
    <row r="30" spans="1:12" ht="33" x14ac:dyDescent="0.2">
      <c r="A30" s="13">
        <v>127</v>
      </c>
      <c r="B30" s="13" t="s">
        <v>781</v>
      </c>
      <c r="C30" s="13"/>
      <c r="D30" s="13" t="s">
        <v>782</v>
      </c>
      <c r="E30" s="13" t="b">
        <v>1</v>
      </c>
      <c r="F30" s="13" t="s">
        <v>783</v>
      </c>
      <c r="G30" s="13">
        <v>100</v>
      </c>
      <c r="H30" s="13"/>
      <c r="I30" s="13"/>
      <c r="J30" s="13" t="b">
        <v>1</v>
      </c>
      <c r="K30" s="13">
        <v>0</v>
      </c>
      <c r="L30" s="13" t="s">
        <v>784</v>
      </c>
    </row>
    <row r="31" spans="1:12" ht="33" x14ac:dyDescent="0.2">
      <c r="A31" s="13">
        <v>128</v>
      </c>
      <c r="B31" s="13" t="s">
        <v>785</v>
      </c>
      <c r="C31" s="13"/>
      <c r="D31" s="13" t="s">
        <v>786</v>
      </c>
      <c r="E31" s="13" t="b">
        <v>1</v>
      </c>
      <c r="F31" s="13" t="s">
        <v>787</v>
      </c>
      <c r="G31" s="13">
        <v>100</v>
      </c>
      <c r="H31" s="13"/>
      <c r="I31" s="13"/>
      <c r="J31" s="13" t="b">
        <v>1</v>
      </c>
      <c r="K31" s="13">
        <v>0</v>
      </c>
      <c r="L31" s="13" t="s">
        <v>788</v>
      </c>
    </row>
    <row r="32" spans="1:12" ht="33" x14ac:dyDescent="0.2">
      <c r="A32" s="13">
        <v>129</v>
      </c>
      <c r="B32" s="13" t="s">
        <v>789</v>
      </c>
      <c r="C32" s="13"/>
      <c r="D32" s="13" t="s">
        <v>790</v>
      </c>
      <c r="E32" s="13" t="b">
        <v>1</v>
      </c>
      <c r="F32" s="13" t="s">
        <v>791</v>
      </c>
      <c r="G32" s="13">
        <v>100</v>
      </c>
      <c r="H32" s="13"/>
      <c r="I32" s="13"/>
      <c r="J32" s="13"/>
      <c r="K32" s="13">
        <v>0</v>
      </c>
      <c r="L32" s="13" t="s">
        <v>792</v>
      </c>
    </row>
    <row r="33" spans="1:12" ht="16.5" x14ac:dyDescent="0.2">
      <c r="A33" s="13">
        <v>201</v>
      </c>
      <c r="B33" s="13" t="s">
        <v>824</v>
      </c>
      <c r="C33" s="13"/>
      <c r="D33" s="13" t="s">
        <v>230</v>
      </c>
      <c r="E33" s="13" t="b">
        <v>0</v>
      </c>
      <c r="F33" s="13" t="s">
        <v>793</v>
      </c>
      <c r="G33" s="13">
        <v>1</v>
      </c>
      <c r="H33" s="13"/>
      <c r="I33" s="13"/>
      <c r="J33" s="13"/>
      <c r="K33" s="13">
        <v>0</v>
      </c>
      <c r="L33" s="13" t="s">
        <v>794</v>
      </c>
    </row>
    <row r="34" spans="1:12" ht="33" x14ac:dyDescent="0.2">
      <c r="A34" s="13">
        <v>202</v>
      </c>
      <c r="B34" s="13" t="s">
        <v>795</v>
      </c>
      <c r="C34" s="13" t="s">
        <v>796</v>
      </c>
      <c r="D34" s="13" t="s">
        <v>797</v>
      </c>
      <c r="E34" s="13" t="b">
        <v>1</v>
      </c>
      <c r="F34" s="13" t="s">
        <v>798</v>
      </c>
      <c r="G34" s="13">
        <v>1</v>
      </c>
      <c r="H34" s="13"/>
      <c r="I34" s="13"/>
      <c r="J34" s="13" t="b">
        <v>1</v>
      </c>
      <c r="K34" s="13">
        <v>0</v>
      </c>
      <c r="L34" s="13" t="s">
        <v>799</v>
      </c>
    </row>
    <row r="35" spans="1:12" ht="33" x14ac:dyDescent="0.2">
      <c r="A35" s="13">
        <v>203</v>
      </c>
      <c r="B35" s="13" t="s">
        <v>800</v>
      </c>
      <c r="C35" s="13"/>
      <c r="D35" s="13" t="s">
        <v>801</v>
      </c>
      <c r="E35" s="13" t="b">
        <v>1</v>
      </c>
      <c r="F35" s="13" t="s">
        <v>802</v>
      </c>
      <c r="G35" s="13">
        <v>1</v>
      </c>
      <c r="H35" s="13"/>
      <c r="I35" s="13"/>
      <c r="J35" s="13" t="b">
        <v>1</v>
      </c>
      <c r="K35" s="13">
        <v>0</v>
      </c>
      <c r="L35" s="13" t="s">
        <v>803</v>
      </c>
    </row>
    <row r="36" spans="1:12" ht="33" x14ac:dyDescent="0.2">
      <c r="A36" s="13">
        <v>204</v>
      </c>
      <c r="B36" s="13" t="s">
        <v>804</v>
      </c>
      <c r="C36" s="13"/>
      <c r="D36" s="13" t="s">
        <v>805</v>
      </c>
      <c r="E36" s="13" t="b">
        <v>1</v>
      </c>
      <c r="F36" s="13" t="s">
        <v>806</v>
      </c>
      <c r="G36" s="13">
        <v>1</v>
      </c>
      <c r="H36" s="13"/>
      <c r="I36" s="13"/>
      <c r="J36" s="13" t="b">
        <v>1</v>
      </c>
      <c r="K36" s="13">
        <v>0</v>
      </c>
      <c r="L36" s="13" t="s">
        <v>803</v>
      </c>
    </row>
    <row r="37" spans="1:12" ht="33" x14ac:dyDescent="0.2">
      <c r="A37" s="13">
        <v>205</v>
      </c>
      <c r="B37" s="13" t="s">
        <v>807</v>
      </c>
      <c r="C37" s="13"/>
      <c r="D37" s="13" t="s">
        <v>808</v>
      </c>
      <c r="E37" s="13" t="b">
        <v>1</v>
      </c>
      <c r="F37" s="13" t="s">
        <v>809</v>
      </c>
      <c r="G37" s="13">
        <v>1</v>
      </c>
      <c r="H37" s="13"/>
      <c r="I37" s="13"/>
      <c r="J37" s="13" t="b">
        <v>1</v>
      </c>
      <c r="K37" s="13">
        <v>0</v>
      </c>
      <c r="L37" s="13" t="s">
        <v>810</v>
      </c>
    </row>
    <row r="38" spans="1:12" ht="33" x14ac:dyDescent="0.2">
      <c r="A38" s="13">
        <v>206</v>
      </c>
      <c r="B38" s="13" t="s">
        <v>811</v>
      </c>
      <c r="C38" s="13"/>
      <c r="D38" s="13" t="s">
        <v>812</v>
      </c>
      <c r="E38" s="13" t="b">
        <v>1</v>
      </c>
      <c r="F38" s="13" t="s">
        <v>813</v>
      </c>
      <c r="G38" s="13">
        <v>1</v>
      </c>
      <c r="H38" s="13"/>
      <c r="I38" s="13"/>
      <c r="J38" s="13" t="b">
        <v>1</v>
      </c>
      <c r="K38" s="13">
        <v>0</v>
      </c>
      <c r="L38" s="13" t="s">
        <v>810</v>
      </c>
    </row>
    <row r="39" spans="1:12" ht="33" x14ac:dyDescent="0.2">
      <c r="A39" s="13">
        <v>207</v>
      </c>
      <c r="B39" s="13" t="s">
        <v>188</v>
      </c>
      <c r="C39" s="13"/>
      <c r="D39" s="13" t="s">
        <v>156</v>
      </c>
      <c r="E39" s="13" t="b">
        <v>1</v>
      </c>
      <c r="F39" s="13" t="s">
        <v>814</v>
      </c>
      <c r="G39" s="13">
        <v>1</v>
      </c>
      <c r="H39" s="13"/>
      <c r="I39" s="13"/>
      <c r="J39" s="13" t="b">
        <v>1</v>
      </c>
      <c r="K39" s="13">
        <v>0</v>
      </c>
      <c r="L39" s="13" t="s">
        <v>803</v>
      </c>
    </row>
    <row r="40" spans="1:12" ht="33" x14ac:dyDescent="0.2">
      <c r="A40" s="13">
        <v>208</v>
      </c>
      <c r="B40" s="13" t="s">
        <v>815</v>
      </c>
      <c r="C40" s="13"/>
      <c r="D40" s="13" t="s">
        <v>150</v>
      </c>
      <c r="E40" s="13" t="b">
        <v>1</v>
      </c>
      <c r="F40" s="13" t="s">
        <v>816</v>
      </c>
      <c r="G40" s="13">
        <v>1</v>
      </c>
      <c r="H40" s="13"/>
      <c r="I40" s="13"/>
      <c r="J40" s="13" t="b">
        <v>1</v>
      </c>
      <c r="K40" s="13">
        <v>0</v>
      </c>
      <c r="L40" s="13" t="s">
        <v>810</v>
      </c>
    </row>
    <row r="41" spans="1:12" ht="16.5" x14ac:dyDescent="0.2">
      <c r="A41" s="13">
        <v>601</v>
      </c>
      <c r="B41" s="13" t="s">
        <v>817</v>
      </c>
      <c r="C41" s="13"/>
      <c r="D41" s="13" t="s">
        <v>818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819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abSelected="1" topLeftCell="AS19" workbookViewId="0">
      <selection activeCell="BD35" sqref="BD35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2" width="9" style="30"/>
    <col min="23" max="24" width="9" style="30" customWidth="1"/>
    <col min="25" max="26" width="10.125" style="30" customWidth="1"/>
    <col min="27" max="37" width="11.375" style="30" customWidth="1"/>
    <col min="38" max="38" width="16.5" style="30" customWidth="1"/>
    <col min="39" max="41" width="11.375" style="30" customWidth="1"/>
    <col min="42" max="46" width="10.125" style="30" customWidth="1"/>
    <col min="47" max="47" width="10.375" style="30" customWidth="1"/>
    <col min="48" max="51" width="10" style="30" customWidth="1"/>
    <col min="52" max="52" width="10.625" style="30" customWidth="1"/>
    <col min="53" max="53" width="10.375" style="30" customWidth="1"/>
    <col min="54" max="54" width="10.75" style="30" customWidth="1"/>
    <col min="55" max="62" width="11.125" style="30" customWidth="1"/>
    <col min="63" max="63" width="11.25" style="30" customWidth="1"/>
    <col min="64" max="71" width="11.125" style="30" customWidth="1"/>
    <col min="72" max="72" width="12.75" style="30" customWidth="1"/>
    <col min="73" max="74" width="13" style="30" customWidth="1"/>
    <col min="75" max="80" width="11.125" style="30" customWidth="1"/>
    <col min="81" max="81" width="14.875" style="30" customWidth="1"/>
    <col min="82" max="108" width="11.125" style="30" customWidth="1"/>
    <col min="109" max="110" width="11.625" style="30" customWidth="1"/>
    <col min="111" max="126" width="11.125" style="30" customWidth="1"/>
    <col min="127" max="127" width="9.75" style="30" customWidth="1"/>
    <col min="128" max="128" width="10.25" style="30" customWidth="1"/>
    <col min="129" max="129" width="10.5" style="30" customWidth="1"/>
    <col min="130" max="130" width="11" style="30" customWidth="1"/>
    <col min="131" max="131" width="11.125" style="30" customWidth="1"/>
    <col min="132" max="132" width="11.375" style="30" customWidth="1"/>
    <col min="133" max="133" width="12.125" style="30" bestFit="1" customWidth="1"/>
    <col min="134" max="152" width="9" style="30"/>
    <col min="153" max="153" width="10.5" style="30" customWidth="1"/>
    <col min="154" max="154" width="9.25" style="30" customWidth="1"/>
    <col min="155" max="156" width="9" style="30"/>
    <col min="158" max="16384" width="9" style="30"/>
  </cols>
  <sheetData>
    <row r="1" spans="1:155" ht="15" customHeight="1" x14ac:dyDescent="0.2"/>
    <row r="3" spans="1:155" ht="16.5" customHeight="1" x14ac:dyDescent="0.2">
      <c r="J3" s="13" t="s">
        <v>902</v>
      </c>
      <c r="K3" s="13" t="s">
        <v>916</v>
      </c>
      <c r="L3" s="13" t="s">
        <v>917</v>
      </c>
    </row>
    <row r="4" spans="1:155" ht="20.25" x14ac:dyDescent="0.2">
      <c r="A4" s="71" t="s">
        <v>421</v>
      </c>
      <c r="B4" s="71"/>
      <c r="C4" s="71"/>
      <c r="D4" s="71"/>
      <c r="E4" s="71"/>
      <c r="F4" s="71"/>
      <c r="J4" s="72" t="s">
        <v>901</v>
      </c>
      <c r="K4" s="72"/>
      <c r="L4" s="72"/>
      <c r="M4" s="72"/>
      <c r="N4" s="72"/>
      <c r="O4" s="72" t="s">
        <v>903</v>
      </c>
      <c r="P4" s="72"/>
      <c r="Q4" s="72"/>
      <c r="R4" s="72"/>
      <c r="S4" s="72"/>
      <c r="T4" s="72" t="s">
        <v>904</v>
      </c>
      <c r="U4" s="72"/>
      <c r="V4" s="72"/>
      <c r="W4" s="72"/>
      <c r="X4" s="72"/>
      <c r="AI4" s="30">
        <f>PRODUCT(AI7:AI26)</f>
        <v>10.749881196396142</v>
      </c>
      <c r="AS4" s="71" t="s">
        <v>472</v>
      </c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CX4" s="72" t="s">
        <v>545</v>
      </c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W4" s="71" t="s">
        <v>68</v>
      </c>
      <c r="DX4" s="71"/>
      <c r="DY4" s="71"/>
      <c r="DZ4" s="71"/>
      <c r="EA4" s="71"/>
      <c r="EB4" s="71"/>
      <c r="EF4" s="15" t="s">
        <v>675</v>
      </c>
      <c r="EG4" s="13">
        <v>3</v>
      </c>
      <c r="EJ4">
        <v>10</v>
      </c>
      <c r="EK4">
        <v>20</v>
      </c>
      <c r="EL4">
        <v>1</v>
      </c>
      <c r="EN4" s="30">
        <v>10</v>
      </c>
      <c r="EO4" s="30">
        <v>20</v>
      </c>
      <c r="EP4" s="30">
        <v>1</v>
      </c>
      <c r="ER4" s="30">
        <v>10</v>
      </c>
      <c r="ES4" s="30">
        <v>20</v>
      </c>
      <c r="ET4" s="30">
        <v>1</v>
      </c>
    </row>
    <row r="5" spans="1:155" ht="20.25" x14ac:dyDescent="0.2">
      <c r="B5" s="21" t="s">
        <v>1470</v>
      </c>
      <c r="C5" s="21" t="s">
        <v>58</v>
      </c>
      <c r="D5" s="21" t="s">
        <v>65</v>
      </c>
      <c r="E5" s="21" t="s">
        <v>454</v>
      </c>
      <c r="F5" s="21" t="s">
        <v>453</v>
      </c>
      <c r="I5" s="39" t="s">
        <v>912</v>
      </c>
      <c r="J5" s="39" t="s">
        <v>905</v>
      </c>
      <c r="K5" s="39" t="s">
        <v>906</v>
      </c>
      <c r="L5" s="39" t="s">
        <v>907</v>
      </c>
      <c r="M5" s="39" t="s">
        <v>908</v>
      </c>
      <c r="N5" s="39" t="s">
        <v>909</v>
      </c>
      <c r="O5" s="39" t="s">
        <v>910</v>
      </c>
      <c r="P5" s="39" t="s">
        <v>906</v>
      </c>
      <c r="Q5" s="39" t="s">
        <v>907</v>
      </c>
      <c r="R5" s="39" t="s">
        <v>908</v>
      </c>
      <c r="S5" s="39" t="s">
        <v>909</v>
      </c>
      <c r="T5" s="39" t="s">
        <v>911</v>
      </c>
      <c r="U5" s="39" t="s">
        <v>906</v>
      </c>
      <c r="V5" s="39" t="s">
        <v>907</v>
      </c>
      <c r="W5" s="39" t="s">
        <v>908</v>
      </c>
      <c r="X5" s="39" t="s">
        <v>909</v>
      </c>
      <c r="AA5" s="12" t="s">
        <v>532</v>
      </c>
      <c r="AB5" s="12" t="s">
        <v>531</v>
      </c>
      <c r="AC5" s="12" t="s">
        <v>1159</v>
      </c>
      <c r="AD5" s="12" t="s">
        <v>1444</v>
      </c>
      <c r="AE5" s="12" t="s">
        <v>627</v>
      </c>
      <c r="AF5" s="12" t="s">
        <v>533</v>
      </c>
      <c r="AG5" s="12" t="s">
        <v>534</v>
      </c>
      <c r="AK5" s="12" t="s">
        <v>529</v>
      </c>
      <c r="AL5" s="12" t="s">
        <v>531</v>
      </c>
      <c r="AM5" s="12" t="s">
        <v>528</v>
      </c>
      <c r="AN5" s="12" t="s">
        <v>530</v>
      </c>
      <c r="AO5" s="12" t="s">
        <v>542</v>
      </c>
      <c r="AS5" s="21" t="s">
        <v>470</v>
      </c>
      <c r="AT5" s="21" t="s">
        <v>471</v>
      </c>
      <c r="AU5" s="21" t="s">
        <v>422</v>
      </c>
      <c r="AV5" s="21" t="s">
        <v>423</v>
      </c>
      <c r="AW5" s="21" t="s">
        <v>450</v>
      </c>
      <c r="AX5" s="21" t="s">
        <v>451</v>
      </c>
      <c r="AY5" s="21" t="s">
        <v>452</v>
      </c>
      <c r="AZ5" s="21" t="s">
        <v>455</v>
      </c>
      <c r="BA5" s="21" t="s">
        <v>456</v>
      </c>
      <c r="BB5" s="21" t="s">
        <v>457</v>
      </c>
      <c r="BC5" s="21" t="s">
        <v>444</v>
      </c>
      <c r="BD5" s="21" t="s">
        <v>445</v>
      </c>
      <c r="BE5" s="21" t="s">
        <v>446</v>
      </c>
      <c r="BF5" s="21" t="s">
        <v>461</v>
      </c>
      <c r="BG5" s="21" t="s">
        <v>462</v>
      </c>
      <c r="BH5" s="21" t="s">
        <v>463</v>
      </c>
      <c r="BI5" s="21" t="s">
        <v>469</v>
      </c>
      <c r="BJ5" s="21"/>
      <c r="BK5" s="21" t="s">
        <v>458</v>
      </c>
      <c r="BL5" s="21" t="s">
        <v>459</v>
      </c>
      <c r="BM5" s="21" t="s">
        <v>460</v>
      </c>
      <c r="BN5" s="21" t="s">
        <v>464</v>
      </c>
      <c r="BO5" s="21" t="s">
        <v>468</v>
      </c>
      <c r="BP5" s="21"/>
      <c r="BQ5" s="21" t="s">
        <v>465</v>
      </c>
      <c r="BR5" s="21" t="s">
        <v>466</v>
      </c>
      <c r="BS5" s="21" t="s">
        <v>467</v>
      </c>
      <c r="BT5" s="21" t="s">
        <v>447</v>
      </c>
      <c r="BU5" s="21" t="s">
        <v>448</v>
      </c>
      <c r="BV5" s="21" t="s">
        <v>449</v>
      </c>
      <c r="BX5" s="21" t="s">
        <v>498</v>
      </c>
      <c r="BY5" s="21" t="s">
        <v>489</v>
      </c>
      <c r="BZ5" s="21" t="s">
        <v>490</v>
      </c>
      <c r="CA5" s="21" t="s">
        <v>491</v>
      </c>
      <c r="CF5" s="21" t="s">
        <v>499</v>
      </c>
      <c r="CG5" s="21" t="s">
        <v>494</v>
      </c>
      <c r="CH5" s="21" t="s">
        <v>493</v>
      </c>
      <c r="CI5" s="21" t="s">
        <v>495</v>
      </c>
      <c r="CJ5" s="21" t="s">
        <v>496</v>
      </c>
      <c r="CK5" s="21" t="s">
        <v>497</v>
      </c>
      <c r="CL5" s="21" t="s">
        <v>500</v>
      </c>
      <c r="CM5" s="21" t="s">
        <v>501</v>
      </c>
      <c r="CN5" s="21" t="s">
        <v>502</v>
      </c>
      <c r="CO5" s="21" t="s">
        <v>503</v>
      </c>
      <c r="CP5" s="21" t="s">
        <v>504</v>
      </c>
      <c r="CQ5" s="21" t="s">
        <v>505</v>
      </c>
      <c r="CR5" s="21" t="s">
        <v>506</v>
      </c>
      <c r="CS5" s="21" t="s">
        <v>507</v>
      </c>
      <c r="CT5" s="21" t="s">
        <v>508</v>
      </c>
      <c r="CU5" s="21" t="s">
        <v>509</v>
      </c>
      <c r="CX5" s="21" t="s">
        <v>18</v>
      </c>
      <c r="CY5" s="21" t="s">
        <v>209</v>
      </c>
      <c r="CZ5" s="21" t="s">
        <v>422</v>
      </c>
      <c r="DA5" s="21" t="s">
        <v>492</v>
      </c>
      <c r="DB5" s="21" t="s">
        <v>474</v>
      </c>
      <c r="DC5" s="21" t="s">
        <v>481</v>
      </c>
      <c r="DD5" s="21" t="s">
        <v>482</v>
      </c>
      <c r="DE5" s="21" t="s">
        <v>473</v>
      </c>
      <c r="DF5" s="21" t="s">
        <v>475</v>
      </c>
      <c r="DG5" s="21" t="s">
        <v>476</v>
      </c>
      <c r="DH5" s="21" t="s">
        <v>477</v>
      </c>
      <c r="DI5" s="21" t="s">
        <v>478</v>
      </c>
      <c r="DJ5" s="21" t="s">
        <v>479</v>
      </c>
      <c r="DK5" s="21" t="s">
        <v>480</v>
      </c>
      <c r="DL5" s="21" t="s">
        <v>483</v>
      </c>
      <c r="DM5" s="21" t="s">
        <v>484</v>
      </c>
      <c r="DN5" s="21" t="s">
        <v>485</v>
      </c>
      <c r="DO5" s="21" t="s">
        <v>486</v>
      </c>
      <c r="DP5" s="21" t="s">
        <v>487</v>
      </c>
      <c r="DQ5" s="21" t="s">
        <v>488</v>
      </c>
      <c r="DR5" s="21" t="s">
        <v>710</v>
      </c>
      <c r="DS5" s="21" t="s">
        <v>711</v>
      </c>
      <c r="DT5" s="21" t="s">
        <v>712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1" t="s">
        <v>676</v>
      </c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</row>
    <row r="6" spans="1:155" ht="20.100000000000001" customHeight="1" x14ac:dyDescent="0.2">
      <c r="A6" s="13" t="s">
        <v>59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I6" s="13">
        <v>0</v>
      </c>
      <c r="J6" s="13">
        <v>0</v>
      </c>
      <c r="K6" s="13" t="s">
        <v>918</v>
      </c>
      <c r="L6" s="13">
        <v>0</v>
      </c>
      <c r="M6" s="13">
        <v>0</v>
      </c>
      <c r="N6" s="13" t="s">
        <v>918</v>
      </c>
      <c r="O6" s="13">
        <v>0</v>
      </c>
      <c r="P6" s="13" t="s">
        <v>918</v>
      </c>
      <c r="Q6" s="13">
        <v>0</v>
      </c>
      <c r="R6" s="13">
        <v>0</v>
      </c>
      <c r="S6" s="13" t="s">
        <v>918</v>
      </c>
      <c r="T6" s="13">
        <v>0</v>
      </c>
      <c r="U6" s="13" t="s">
        <v>918</v>
      </c>
      <c r="V6" s="13">
        <v>0</v>
      </c>
      <c r="W6" s="13">
        <v>0</v>
      </c>
      <c r="X6" s="13" t="s">
        <v>918</v>
      </c>
      <c r="AA6" s="13">
        <v>0</v>
      </c>
      <c r="AB6" s="13" t="s">
        <v>535</v>
      </c>
      <c r="AC6" s="13">
        <v>1</v>
      </c>
      <c r="AD6" s="13">
        <v>1</v>
      </c>
      <c r="AE6" s="13">
        <v>1</v>
      </c>
      <c r="AF6" s="13">
        <v>0</v>
      </c>
      <c r="AG6" s="13">
        <v>0</v>
      </c>
      <c r="AK6" s="13">
        <v>0</v>
      </c>
      <c r="AL6" s="13" t="s">
        <v>677</v>
      </c>
      <c r="AM6" s="13">
        <v>0</v>
      </c>
      <c r="AN6" s="13">
        <v>0</v>
      </c>
      <c r="AO6" s="13">
        <v>0</v>
      </c>
      <c r="AS6" s="13">
        <v>1</v>
      </c>
      <c r="AT6" s="13">
        <v>2</v>
      </c>
      <c r="AU6" s="13">
        <v>1</v>
      </c>
      <c r="AV6" s="13" t="s">
        <v>424</v>
      </c>
      <c r="AW6" s="13">
        <v>1</v>
      </c>
      <c r="AX6" s="14">
        <f>AY6-AW6</f>
        <v>4</v>
      </c>
      <c r="AY6" s="13">
        <v>5</v>
      </c>
      <c r="AZ6" s="13">
        <v>100</v>
      </c>
      <c r="BA6" s="13">
        <v>0</v>
      </c>
      <c r="BB6" s="13">
        <v>300</v>
      </c>
      <c r="BC6" s="13">
        <v>5</v>
      </c>
      <c r="BD6" s="13">
        <f>ROUND(BC6/2,0)</f>
        <v>3</v>
      </c>
      <c r="BE6" s="14">
        <f>INDEX($D$28:$D$47,AU6)*BC6</f>
        <v>30</v>
      </c>
      <c r="BF6" s="14">
        <f t="shared" ref="BF6:BF27" si="0">BC6*$AX6</f>
        <v>20</v>
      </c>
      <c r="BG6" s="14">
        <f t="shared" ref="BG6:BG27" si="1">BD6*$AX6</f>
        <v>12</v>
      </c>
      <c r="BH6" s="14">
        <f t="shared" ref="BH6:BH27" si="2">BE6*$AX6</f>
        <v>120</v>
      </c>
      <c r="BI6" s="26">
        <v>0.15</v>
      </c>
      <c r="BJ6" s="26"/>
      <c r="BK6" s="14">
        <f t="shared" ref="BK6:BK25" si="3">ROUND(AZ6*$BI6,0)</f>
        <v>15</v>
      </c>
      <c r="BL6" s="14">
        <f>ROUND(BK6/2,0)</f>
        <v>8</v>
      </c>
      <c r="BM6" s="14">
        <f>ROUND(BK6*INDEX($D$28:$D$47,AU6),0)</f>
        <v>90</v>
      </c>
      <c r="BN6" s="13">
        <v>1</v>
      </c>
      <c r="BO6" s="26">
        <v>0.25</v>
      </c>
      <c r="BP6" s="26"/>
      <c r="BQ6" s="14">
        <f t="shared" ref="BQ6:BQ25" si="4">ROUND(AZ6*$BO6,0)</f>
        <v>25</v>
      </c>
      <c r="BR6" s="14">
        <f>ROUND(BQ6/2,0)</f>
        <v>13</v>
      </c>
      <c r="BS6" s="14">
        <f>ROUND(BQ6*INDEX($D$28:$D$47,AU6),0)</f>
        <v>150</v>
      </c>
      <c r="BT6" s="14">
        <f t="shared" ref="BT6:BT25" si="5">AZ6+BF6+BK6*$BN6+BQ6</f>
        <v>160</v>
      </c>
      <c r="BU6" s="14">
        <f t="shared" ref="BU6:BU25" si="6">BA6+BG6+BL6*$BN6+BR6</f>
        <v>33</v>
      </c>
      <c r="BV6" s="14">
        <f t="shared" ref="BV6:BV25" si="7">BB6+BH6+BM6*$BN6+BS6</f>
        <v>660</v>
      </c>
      <c r="BX6" s="13">
        <v>1</v>
      </c>
      <c r="BY6" s="14">
        <f>BF6+BK6*$BN6+BQ6</f>
        <v>60</v>
      </c>
      <c r="BZ6" s="14">
        <f>BG6+BL6*$BN6+BR6</f>
        <v>33</v>
      </c>
      <c r="CA6" s="14">
        <f>BH6+BM6*$BN6+BS6</f>
        <v>360</v>
      </c>
      <c r="CC6" s="34" t="s">
        <v>646</v>
      </c>
      <c r="CD6" s="30">
        <v>1</v>
      </c>
      <c r="CF6" s="13">
        <v>2</v>
      </c>
      <c r="CG6" s="13">
        <v>1</v>
      </c>
      <c r="CH6" s="13" t="s">
        <v>424</v>
      </c>
      <c r="CI6" s="14">
        <f>SUMIFS(BY$6:BY$85,$BX$6:$BX$85,"="&amp;$CG6,$AT$6:$AT$85,"="&amp;$CF6)</f>
        <v>60</v>
      </c>
      <c r="CJ6" s="14">
        <f>SUMIFS(BZ$6:BZ$85,$BX$6:$BX$85,"="&amp;$CG6,$AT$6:$AT$85,"="&amp;$CF6)</f>
        <v>33</v>
      </c>
      <c r="CK6" s="14">
        <f>SUMIFS(CA$6:CA$85,$BX$6:$BX$85,"="&amp;$CG6,$AT$6:$AT$85,"="&amp;$CF6)</f>
        <v>360</v>
      </c>
      <c r="CL6" s="13">
        <v>1</v>
      </c>
      <c r="CM6" s="13">
        <v>10</v>
      </c>
      <c r="CN6" s="24">
        <v>0.9</v>
      </c>
      <c r="CO6" s="14">
        <f>ROUND(CI6/($CM6-$CL6)*$CN6,0)</f>
        <v>6</v>
      </c>
      <c r="CP6" s="14">
        <f>ROUND(CJ6/($CM6-$CL6)*$CN6,0)</f>
        <v>3</v>
      </c>
      <c r="CQ6" s="14">
        <f>ROUND(CK6/($CM6-$CL6)*$CN6,0)</f>
        <v>36</v>
      </c>
      <c r="CR6" s="24">
        <v>0.1</v>
      </c>
      <c r="CS6" s="14">
        <f>ROUND(CI6*$CR6,0)</f>
        <v>6</v>
      </c>
      <c r="CT6" s="14">
        <f>ROUND(CJ6*$CR6,0)</f>
        <v>3</v>
      </c>
      <c r="CU6" s="14">
        <f>ROUND(CK6*$CR6,0)</f>
        <v>36</v>
      </c>
      <c r="CX6" s="13">
        <v>1</v>
      </c>
      <c r="CY6" s="13">
        <v>2</v>
      </c>
      <c r="CZ6" s="13">
        <v>1</v>
      </c>
      <c r="DA6" s="13">
        <v>1</v>
      </c>
      <c r="DB6" s="13" t="s">
        <v>424</v>
      </c>
      <c r="DC6" s="13">
        <v>1</v>
      </c>
      <c r="DD6" s="13">
        <v>10</v>
      </c>
      <c r="DE6" s="24">
        <v>0.2</v>
      </c>
      <c r="DF6" s="13">
        <v>100</v>
      </c>
      <c r="DG6" s="13">
        <v>0</v>
      </c>
      <c r="DH6" s="13">
        <f>200/12*15</f>
        <v>250.00000000000003</v>
      </c>
      <c r="DI6" s="14">
        <f>INDEX(CS$6:CS$37,($CY6-2)*8+$DA6)</f>
        <v>6</v>
      </c>
      <c r="DJ6" s="14">
        <f>INDEX(CT$6:CT$37,($CY6-2)*8+$DA6)</f>
        <v>3</v>
      </c>
      <c r="DK6" s="14">
        <f>INDEX(CU$6:CU$37,($CY6-2)*8+$DA6)</f>
        <v>36</v>
      </c>
      <c r="DL6" s="14">
        <f>INDEX(CO$6:CO$37,($CY6-2)*8+$DA6)</f>
        <v>6</v>
      </c>
      <c r="DM6" s="14">
        <f>INDEX(CP$6:CP$37,($CY6-2)*8+$DA6)</f>
        <v>3</v>
      </c>
      <c r="DN6" s="14">
        <f>INDEX(CQ$6:CQ$37,($CY6-2)*8+$DA6)</f>
        <v>36</v>
      </c>
      <c r="DO6" s="14">
        <f>DL6*($DD6-$DC6)</f>
        <v>54</v>
      </c>
      <c r="DP6" s="14">
        <f t="shared" ref="DP6:DQ6" si="8">DM6*($DD6-$DC6)</f>
        <v>27</v>
      </c>
      <c r="DQ6" s="14">
        <f t="shared" si="8"/>
        <v>324</v>
      </c>
      <c r="DR6" s="14">
        <f>DF6+DI6+DO6</f>
        <v>160</v>
      </c>
      <c r="DS6" s="14">
        <f t="shared" ref="DS6:DT6" si="9">DG6+DJ6+DP6</f>
        <v>30</v>
      </c>
      <c r="DT6" s="14">
        <f t="shared" si="9"/>
        <v>610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679</v>
      </c>
      <c r="EG6" s="12" t="s">
        <v>667</v>
      </c>
      <c r="EH6" s="12" t="s">
        <v>666</v>
      </c>
      <c r="EI6" s="12" t="s">
        <v>680</v>
      </c>
      <c r="EJ6" s="12" t="s">
        <v>668</v>
      </c>
      <c r="EK6" s="12" t="s">
        <v>669</v>
      </c>
      <c r="EL6" s="12" t="s">
        <v>670</v>
      </c>
      <c r="EM6" s="12" t="s">
        <v>701</v>
      </c>
      <c r="EN6" s="12" t="s">
        <v>702</v>
      </c>
      <c r="EO6" s="12" t="s">
        <v>671</v>
      </c>
      <c r="EP6" s="12" t="s">
        <v>672</v>
      </c>
      <c r="EQ6" s="12" t="s">
        <v>703</v>
      </c>
      <c r="ER6" s="12" t="s">
        <v>673</v>
      </c>
      <c r="ES6" s="12" t="s">
        <v>674</v>
      </c>
      <c r="ET6" s="12" t="s">
        <v>704</v>
      </c>
      <c r="EU6" s="12" t="s">
        <v>705</v>
      </c>
      <c r="EV6" s="12" t="s">
        <v>709</v>
      </c>
      <c r="EW6" s="12" t="s">
        <v>706</v>
      </c>
      <c r="EX6" s="12" t="s">
        <v>707</v>
      </c>
      <c r="EY6" s="12" t="s">
        <v>708</v>
      </c>
    </row>
    <row r="7" spans="1:155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I7" s="13">
        <v>1</v>
      </c>
      <c r="J7" s="13">
        <v>24</v>
      </c>
      <c r="K7" s="13" t="s">
        <v>425</v>
      </c>
      <c r="L7" s="13">
        <v>4</v>
      </c>
      <c r="M7" s="13">
        <v>2</v>
      </c>
      <c r="N7" s="13" t="s">
        <v>425</v>
      </c>
      <c r="O7" s="13">
        <v>26</v>
      </c>
      <c r="P7" s="13" t="s">
        <v>425</v>
      </c>
      <c r="Q7" s="13">
        <v>5</v>
      </c>
      <c r="R7" s="13">
        <v>3</v>
      </c>
      <c r="S7" s="13" t="s">
        <v>426</v>
      </c>
      <c r="T7" s="13">
        <v>32</v>
      </c>
      <c r="U7" s="13" t="s">
        <v>427</v>
      </c>
      <c r="V7" s="13">
        <v>6</v>
      </c>
      <c r="W7" s="13">
        <v>3</v>
      </c>
      <c r="X7" s="13" t="s">
        <v>426</v>
      </c>
      <c r="AA7" s="13">
        <v>1</v>
      </c>
      <c r="AB7" s="13" t="s">
        <v>424</v>
      </c>
      <c r="AC7" s="13">
        <v>1</v>
      </c>
      <c r="AD7" s="13">
        <v>1</v>
      </c>
      <c r="AE7" s="13">
        <v>5</v>
      </c>
      <c r="AF7" s="13">
        <v>1</v>
      </c>
      <c r="AG7" s="13">
        <v>1</v>
      </c>
      <c r="AH7" s="40">
        <v>0.35</v>
      </c>
      <c r="AI7" s="32">
        <f>1+AH7</f>
        <v>1.35</v>
      </c>
      <c r="AK7" s="13">
        <v>1</v>
      </c>
      <c r="AL7" s="13" t="str">
        <f t="shared" ref="AL7:AL38" si="10">INDEX($AB$7:$AB$26,MATCH(AK7-1,$AG$6:$AG$26,1))&amp;" · 魂火"&amp;AN7</f>
        <v>等活 · 魂火1</v>
      </c>
      <c r="AM7" s="13">
        <f t="shared" ref="AM7:AM38" si="11">INDEX($AA$7:$AA$26,MATCH(AK7-1,$AG$6:$AG$26,1))</f>
        <v>1</v>
      </c>
      <c r="AN7" s="13">
        <v>1</v>
      </c>
      <c r="AO7" s="13">
        <v>3</v>
      </c>
      <c r="AP7" s="49"/>
      <c r="AQ7" s="32"/>
      <c r="AS7" s="13">
        <v>2</v>
      </c>
      <c r="AT7" s="13">
        <v>2</v>
      </c>
      <c r="AU7" s="13">
        <v>2</v>
      </c>
      <c r="AV7" s="13" t="s">
        <v>425</v>
      </c>
      <c r="AW7" s="13">
        <v>5</v>
      </c>
      <c r="AX7" s="14">
        <f>AY7-AW7</f>
        <v>10</v>
      </c>
      <c r="AY7" s="13">
        <v>15</v>
      </c>
      <c r="AZ7" s="14">
        <f t="shared" ref="AZ7:AZ25" si="12">BT6</f>
        <v>160</v>
      </c>
      <c r="BA7" s="14">
        <f t="shared" ref="BA7:BA25" si="13">BU6</f>
        <v>33</v>
      </c>
      <c r="BB7" s="14">
        <f t="shared" ref="BB7:BB25" si="14">BV6</f>
        <v>660</v>
      </c>
      <c r="BC7" s="13">
        <v>6</v>
      </c>
      <c r="BD7" s="13">
        <f t="shared" ref="BD7:BD70" si="15">ROUND(BC7/2,0)</f>
        <v>3</v>
      </c>
      <c r="BE7" s="14">
        <f t="shared" ref="BE7:BE70" si="16">INDEX($D$28:$D$47,AU7)*BC7</f>
        <v>36</v>
      </c>
      <c r="BF7" s="14">
        <f t="shared" si="0"/>
        <v>60</v>
      </c>
      <c r="BG7" s="14">
        <f t="shared" si="1"/>
        <v>30</v>
      </c>
      <c r="BH7" s="14">
        <f t="shared" si="2"/>
        <v>360</v>
      </c>
      <c r="BI7" s="26">
        <v>0.125</v>
      </c>
      <c r="BJ7" s="26"/>
      <c r="BK7" s="14">
        <f t="shared" si="3"/>
        <v>20</v>
      </c>
      <c r="BL7" s="14">
        <f t="shared" ref="BL7:BL70" si="17">ROUND(BK7/2,0)</f>
        <v>10</v>
      </c>
      <c r="BM7" s="14">
        <f t="shared" ref="BM7:BM70" si="18">ROUND(BK7*INDEX($D$28:$D$47,AU7),0)</f>
        <v>120</v>
      </c>
      <c r="BN7" s="13">
        <v>2</v>
      </c>
      <c r="BO7" s="26">
        <v>0.19</v>
      </c>
      <c r="BP7" s="26"/>
      <c r="BQ7" s="14">
        <f t="shared" si="4"/>
        <v>30</v>
      </c>
      <c r="BR7" s="14">
        <f t="shared" ref="BR7:BR70" si="19">ROUND(BQ7/2,0)</f>
        <v>15</v>
      </c>
      <c r="BS7" s="14">
        <f t="shared" ref="BS7:BS70" si="20">ROUND(BQ7*INDEX($D$28:$D$47,AU7),0)</f>
        <v>180</v>
      </c>
      <c r="BT7" s="14">
        <f t="shared" si="5"/>
        <v>290</v>
      </c>
      <c r="BU7" s="14">
        <f t="shared" si="6"/>
        <v>98</v>
      </c>
      <c r="BV7" s="14">
        <f t="shared" si="7"/>
        <v>1440</v>
      </c>
      <c r="BX7" s="13">
        <v>2</v>
      </c>
      <c r="BY7" s="14">
        <f t="shared" ref="BY7:BY70" si="21">BF7+BK7*$BN7+BQ7</f>
        <v>130</v>
      </c>
      <c r="BZ7" s="14">
        <f t="shared" ref="BZ7:BZ70" si="22">BG7+BL7*$BN7+BR7</f>
        <v>65</v>
      </c>
      <c r="CA7" s="14">
        <f t="shared" ref="CA7:CA70" si="23">BH7+BM7*$BN7+BS7</f>
        <v>780</v>
      </c>
      <c r="CC7" s="34" t="s">
        <v>647</v>
      </c>
      <c r="CD7" s="30">
        <v>2</v>
      </c>
      <c r="CF7" s="13">
        <v>2</v>
      </c>
      <c r="CG7" s="13">
        <v>2</v>
      </c>
      <c r="CH7" s="13" t="s">
        <v>425</v>
      </c>
      <c r="CI7" s="14">
        <f t="shared" ref="CI7:CI9" si="24">SUMIFS(BY$6:BY$85,$BX$6:$BX$85,"="&amp;$CG7,$AT$6:$AT$85,"="&amp;$CF7)</f>
        <v>290</v>
      </c>
      <c r="CJ7" s="14">
        <f t="shared" ref="CJ7:CJ9" si="25">SUMIFS(BZ$6:BZ$85,$BX$6:$BX$85,"="&amp;$CG7,$AT$6:$AT$85,"="&amp;$CF7)</f>
        <v>146</v>
      </c>
      <c r="CK7" s="14">
        <f t="shared" ref="CK7:CK9" si="26">SUMIFS(CA$6:CA$85,$BX$6:$BX$85,"="&amp;$CG7,$AT$6:$AT$85,"="&amp;$CF7)</f>
        <v>1740</v>
      </c>
      <c r="CL7" s="13">
        <v>10</v>
      </c>
      <c r="CM7" s="13">
        <v>30</v>
      </c>
      <c r="CN7" s="24">
        <v>0.8</v>
      </c>
      <c r="CO7" s="14">
        <f t="shared" ref="CO7:CO14" si="27">ROUND(CI7/($CM7-$CL7)*$CN7,0)</f>
        <v>12</v>
      </c>
      <c r="CP7" s="14">
        <f t="shared" ref="CP7:CP13" si="28">ROUND(CJ7/($CM7-$CL7)*$CN7,0)</f>
        <v>6</v>
      </c>
      <c r="CQ7" s="14">
        <f t="shared" ref="CQ7:CQ37" si="29">ROUND(CK7/($CM7-$CL7)*$CN7,0)</f>
        <v>70</v>
      </c>
      <c r="CR7" s="24">
        <v>0.1</v>
      </c>
      <c r="CS7" s="14">
        <f t="shared" ref="CS7:CS13" si="30">ROUND(CI7*$CR7,0)</f>
        <v>29</v>
      </c>
      <c r="CT7" s="14">
        <f t="shared" ref="CT7:CT13" si="31">ROUND(CJ7*$CR7,0)</f>
        <v>15</v>
      </c>
      <c r="CU7" s="14">
        <f t="shared" ref="CU7:CU37" si="32">ROUND(CK7*$CR7,0)</f>
        <v>174</v>
      </c>
      <c r="CX7" s="13">
        <v>2</v>
      </c>
      <c r="CY7" s="13">
        <v>2</v>
      </c>
      <c r="CZ7" s="13">
        <v>2</v>
      </c>
      <c r="DA7" s="13">
        <v>2</v>
      </c>
      <c r="DB7" s="13" t="s">
        <v>425</v>
      </c>
      <c r="DC7" s="13">
        <v>10</v>
      </c>
      <c r="DD7" s="13">
        <v>10</v>
      </c>
      <c r="DE7" s="24">
        <v>0.2</v>
      </c>
      <c r="DF7" s="14">
        <f>DF6+DI6+DO6</f>
        <v>160</v>
      </c>
      <c r="DG7" s="14">
        <f t="shared" ref="DG7:DH7" si="33">DG6+DJ6+DP6</f>
        <v>30</v>
      </c>
      <c r="DH7" s="14">
        <f t="shared" si="33"/>
        <v>610</v>
      </c>
      <c r="DI7" s="14">
        <f t="shared" ref="DI7:DI70" si="34">INDEX(CS$6:CS$37,($CY7-2)*8+$DA7)</f>
        <v>29</v>
      </c>
      <c r="DJ7" s="14">
        <f t="shared" ref="DJ7:DJ70" si="35">INDEX(CT$6:CT$37,($CY7-2)*8+$DA7)</f>
        <v>15</v>
      </c>
      <c r="DK7" s="14">
        <f t="shared" ref="DK7:DK70" si="36">INDEX(CU$6:CU$37,($CY7-2)*8+$DA7)</f>
        <v>174</v>
      </c>
      <c r="DL7" s="14">
        <f t="shared" ref="DL7:DL70" si="37">INDEX(CO$6:CO$37,($CY7-2)*8+$DA7)</f>
        <v>12</v>
      </c>
      <c r="DM7" s="14">
        <f t="shared" ref="DM7:DM70" si="38">INDEX(CP$6:CP$37,($CY7-2)*8+$DA7)</f>
        <v>6</v>
      </c>
      <c r="DN7" s="14">
        <f t="shared" ref="DN7:DN70" si="39">INDEX(CQ$6:CQ$37,($CY7-2)*8+$DA7)</f>
        <v>70</v>
      </c>
      <c r="DO7" s="14">
        <f>DL7*($DD7-$DC7)</f>
        <v>0</v>
      </c>
      <c r="DP7" s="14">
        <f t="shared" ref="DP7" si="40">DM7*($DD7-$DC7)</f>
        <v>0</v>
      </c>
      <c r="DQ7" s="14">
        <f t="shared" ref="DQ7" si="41">DN7*($DD7-$DC7)</f>
        <v>0</v>
      </c>
      <c r="DR7" s="14">
        <f t="shared" ref="DR7:DR70" si="42">DF7+DI7+DO7</f>
        <v>189</v>
      </c>
      <c r="DS7" s="14">
        <f t="shared" ref="DS7:DS70" si="43">DG7+DJ7+DP7</f>
        <v>45</v>
      </c>
      <c r="DT7" s="14">
        <f t="shared" ref="DT7:DT70" si="44">DH7+DK7+DQ7</f>
        <v>784</v>
      </c>
      <c r="DW7" s="13">
        <v>2</v>
      </c>
      <c r="DX7" s="13">
        <v>1.1000000000000001</v>
      </c>
      <c r="DY7" s="13">
        <v>1</v>
      </c>
      <c r="DZ7" s="13"/>
      <c r="EA7" s="13"/>
      <c r="EB7" s="24">
        <v>0.2</v>
      </c>
      <c r="EF7" s="13" t="s">
        <v>681</v>
      </c>
      <c r="EG7" s="13">
        <v>1</v>
      </c>
      <c r="EH7" s="13">
        <v>1</v>
      </c>
      <c r="EI7" s="13">
        <f>INDEX($AO$7:$AO$58,EG7)</f>
        <v>3</v>
      </c>
      <c r="EJ7" s="13">
        <f t="shared" ref="EJ7:EJ26" si="45">SUMIFS(BF$6:BF$85,$AT$6:$AT$85,"="&amp;$EG$4,$AU$6:$AU$85,"&lt;="&amp;$EH7)</f>
        <v>32</v>
      </c>
      <c r="EK7" s="13">
        <f t="shared" ref="EK7:EK26" si="46">SUMIFS(BG$6:BG$85,$AT$6:$AT$85,"="&amp;$EG$4,$AU$6:$AU$85,"&lt;="&amp;$EH7)</f>
        <v>16</v>
      </c>
      <c r="EL7" s="13">
        <f t="shared" ref="EL7:EL26" si="47">SUMIFS(BH$6:BH$85,$AT$6:$AT$85,"="&amp;$EG$4,$AU$6:$AU$85,"&lt;="&amp;$EH7)</f>
        <v>192</v>
      </c>
      <c r="EM7" s="14">
        <f>SUMPRODUCT(EJ$4:EL$4,EJ7:EL7)</f>
        <v>832</v>
      </c>
      <c r="EN7" s="13">
        <f t="shared" ref="EN7:EN26" si="48">SUMIFS(BK$6:BK$85,$AT$6:$AT$85,"="&amp;$EG$4,$AU$6:$AU$85,"&lt;="&amp;$EH7)*INDEX($AF$7:$AF$26,$EH7)</f>
        <v>20</v>
      </c>
      <c r="EO7" s="13">
        <f t="shared" ref="EO7:EO26" si="49">SUMIFS(BL$6:BL$85,$AT$6:$AT$85,"="&amp;$EG$4,$AU$6:$AU$85,"&lt;="&amp;$EH7)*INDEX($AF$7:$AF$26,$EH7)</f>
        <v>10</v>
      </c>
      <c r="EP7" s="13">
        <f t="shared" ref="EP7:EP26" si="50">SUMIFS(BM$6:BM$85,$AT$6:$AT$85,"="&amp;$EG$4,$AU$6:$AU$85,"&lt;="&amp;$EH7)*INDEX($AF$7:$AF$26,$EH7)</f>
        <v>120</v>
      </c>
      <c r="EQ7" s="14">
        <f>SUMPRODUCT(EN$4:EP$4,EN7:EP7)</f>
        <v>520</v>
      </c>
      <c r="ER7" s="13">
        <f t="shared" ref="ER7:ER26" si="51">SUMIFS(BQ$6:BQ$85,$AT$6:$AT$85,"="&amp;$EG$4,$AU$6:$AU$85,"&lt;="&amp;$EH7)</f>
        <v>30</v>
      </c>
      <c r="ES7" s="13">
        <f t="shared" ref="ES7:ES26" si="52">SUMIFS(BR$6:BR$85,$AT$6:$AT$85,"="&amp;$EG$4,$AU$6:$AU$85,"&lt;="&amp;$EH7)</f>
        <v>15</v>
      </c>
      <c r="ET7" s="13">
        <f t="shared" ref="ET7:ET26" si="53">SUMIFS(BS$6:BS$85,$AT$6:$AT$85,"="&amp;$EG$4,$AU$6:$AU$85,"&lt;="&amp;$EH7)</f>
        <v>180</v>
      </c>
      <c r="EU7" s="14">
        <f>SUMPRODUCT(ER$4:ET$4,ER7:ET7)</f>
        <v>780</v>
      </c>
      <c r="EV7" s="14">
        <f>EM7+EQ7+EU7</f>
        <v>2132</v>
      </c>
      <c r="EW7" s="26">
        <f>EM7/EV7</f>
        <v>0.3902439024390244</v>
      </c>
      <c r="EX7" s="26">
        <f>EQ7/EV7</f>
        <v>0.24390243902439024</v>
      </c>
      <c r="EY7" s="26">
        <f>EU7/EV7</f>
        <v>0.36585365853658536</v>
      </c>
    </row>
    <row r="8" spans="1:155" ht="20.100000000000001" customHeight="1" x14ac:dyDescent="0.2">
      <c r="A8" s="13"/>
      <c r="B8" s="13">
        <v>2</v>
      </c>
      <c r="C8" s="13">
        <v>1</v>
      </c>
      <c r="D8" s="13">
        <v>6</v>
      </c>
      <c r="E8" s="13">
        <v>21</v>
      </c>
      <c r="F8" s="13">
        <f t="shared" ref="F8:F26" si="54">F$6</f>
        <v>0.52380952380952384</v>
      </c>
      <c r="I8" s="13">
        <v>2</v>
      </c>
      <c r="J8" s="13">
        <v>32</v>
      </c>
      <c r="K8" s="13" t="s">
        <v>427</v>
      </c>
      <c r="L8" s="13">
        <v>6</v>
      </c>
      <c r="M8" s="13">
        <v>3</v>
      </c>
      <c r="N8" s="13" t="s">
        <v>426</v>
      </c>
      <c r="O8" s="13">
        <v>35</v>
      </c>
      <c r="P8" s="13" t="s">
        <v>427</v>
      </c>
      <c r="Q8" s="13">
        <v>7</v>
      </c>
      <c r="R8" s="13">
        <v>4</v>
      </c>
      <c r="S8" s="13" t="s">
        <v>427</v>
      </c>
      <c r="T8" s="13">
        <v>42</v>
      </c>
      <c r="U8" s="13" t="s">
        <v>427</v>
      </c>
      <c r="V8" s="13">
        <v>9</v>
      </c>
      <c r="W8" s="13">
        <v>5</v>
      </c>
      <c r="X8" s="13" t="s">
        <v>428</v>
      </c>
      <c r="AA8" s="13">
        <v>2</v>
      </c>
      <c r="AB8" s="41" t="s">
        <v>425</v>
      </c>
      <c r="AC8" s="13">
        <v>1</v>
      </c>
      <c r="AD8" s="13">
        <v>10</v>
      </c>
      <c r="AE8" s="13">
        <v>15</v>
      </c>
      <c r="AF8" s="13">
        <v>2</v>
      </c>
      <c r="AG8" s="13">
        <v>3</v>
      </c>
      <c r="AH8" s="40">
        <v>0.2</v>
      </c>
      <c r="AI8" s="32">
        <f t="shared" ref="AI8:AI26" si="55">1+AH8</f>
        <v>1.2</v>
      </c>
      <c r="AK8" s="13">
        <v>2</v>
      </c>
      <c r="AL8" s="13" t="str">
        <f t="shared" si="10"/>
        <v>黑绳 · 魂火1</v>
      </c>
      <c r="AM8" s="13">
        <f t="shared" si="11"/>
        <v>2</v>
      </c>
      <c r="AN8" s="13">
        <v>1</v>
      </c>
      <c r="AO8" s="13">
        <v>8</v>
      </c>
      <c r="AP8" s="49"/>
      <c r="AQ8" s="32"/>
      <c r="AS8" s="13">
        <v>3</v>
      </c>
      <c r="AT8" s="13">
        <v>2</v>
      </c>
      <c r="AU8" s="13">
        <v>3</v>
      </c>
      <c r="AV8" s="13" t="s">
        <v>426</v>
      </c>
      <c r="AW8" s="13">
        <v>15</v>
      </c>
      <c r="AX8" s="14">
        <f t="shared" ref="AX8:AX25" si="56">AY8-AW8</f>
        <v>10</v>
      </c>
      <c r="AY8" s="13">
        <v>25</v>
      </c>
      <c r="AZ8" s="14">
        <f t="shared" si="12"/>
        <v>290</v>
      </c>
      <c r="BA8" s="14">
        <f t="shared" si="13"/>
        <v>98</v>
      </c>
      <c r="BB8" s="14">
        <f t="shared" si="14"/>
        <v>1440</v>
      </c>
      <c r="BC8" s="13">
        <v>6</v>
      </c>
      <c r="BD8" s="13">
        <f t="shared" si="15"/>
        <v>3</v>
      </c>
      <c r="BE8" s="14">
        <f t="shared" si="16"/>
        <v>36</v>
      </c>
      <c r="BF8" s="14">
        <f t="shared" si="0"/>
        <v>60</v>
      </c>
      <c r="BG8" s="14">
        <f t="shared" si="1"/>
        <v>30</v>
      </c>
      <c r="BH8" s="14">
        <f t="shared" si="2"/>
        <v>360</v>
      </c>
      <c r="BI8" s="26">
        <v>8.5000000000000006E-2</v>
      </c>
      <c r="BJ8" s="26"/>
      <c r="BK8" s="14">
        <f t="shared" si="3"/>
        <v>25</v>
      </c>
      <c r="BL8" s="14">
        <f t="shared" si="17"/>
        <v>13</v>
      </c>
      <c r="BM8" s="14">
        <f t="shared" si="18"/>
        <v>150</v>
      </c>
      <c r="BN8" s="13">
        <v>2</v>
      </c>
      <c r="BO8" s="26">
        <v>0.17199999999999999</v>
      </c>
      <c r="BP8" s="26"/>
      <c r="BQ8" s="14">
        <f t="shared" si="4"/>
        <v>50</v>
      </c>
      <c r="BR8" s="14">
        <f t="shared" si="19"/>
        <v>25</v>
      </c>
      <c r="BS8" s="14">
        <f t="shared" si="20"/>
        <v>300</v>
      </c>
      <c r="BT8" s="14">
        <f t="shared" si="5"/>
        <v>450</v>
      </c>
      <c r="BU8" s="14">
        <f t="shared" si="6"/>
        <v>179</v>
      </c>
      <c r="BV8" s="14">
        <f t="shared" si="7"/>
        <v>2400</v>
      </c>
      <c r="BX8" s="13">
        <v>2</v>
      </c>
      <c r="BY8" s="14">
        <f t="shared" si="21"/>
        <v>160</v>
      </c>
      <c r="BZ8" s="14">
        <f t="shared" si="22"/>
        <v>81</v>
      </c>
      <c r="CA8" s="14">
        <f t="shared" si="23"/>
        <v>960</v>
      </c>
      <c r="CC8" s="13" t="s">
        <v>650</v>
      </c>
      <c r="CD8" s="30">
        <v>3</v>
      </c>
      <c r="CF8" s="13">
        <v>2</v>
      </c>
      <c r="CG8" s="13">
        <v>3</v>
      </c>
      <c r="CH8" s="13" t="s">
        <v>427</v>
      </c>
      <c r="CI8" s="14">
        <f t="shared" si="24"/>
        <v>626</v>
      </c>
      <c r="CJ8" s="14">
        <f t="shared" si="25"/>
        <v>314</v>
      </c>
      <c r="CK8" s="14">
        <f t="shared" si="26"/>
        <v>4382</v>
      </c>
      <c r="CL8" s="13">
        <v>30</v>
      </c>
      <c r="CM8" s="13">
        <v>50</v>
      </c>
      <c r="CN8" s="24">
        <v>0.7</v>
      </c>
      <c r="CO8" s="14">
        <f t="shared" si="27"/>
        <v>22</v>
      </c>
      <c r="CP8" s="14">
        <f t="shared" si="28"/>
        <v>11</v>
      </c>
      <c r="CQ8" s="14">
        <f t="shared" si="29"/>
        <v>153</v>
      </c>
      <c r="CR8" s="24">
        <v>0.1</v>
      </c>
      <c r="CS8" s="14">
        <f t="shared" si="30"/>
        <v>63</v>
      </c>
      <c r="CT8" s="14">
        <f t="shared" si="31"/>
        <v>31</v>
      </c>
      <c r="CU8" s="14">
        <f t="shared" si="32"/>
        <v>438</v>
      </c>
      <c r="CX8" s="13">
        <v>3</v>
      </c>
      <c r="CY8" s="13">
        <v>2</v>
      </c>
      <c r="CZ8" s="13">
        <v>3</v>
      </c>
      <c r="DA8" s="13">
        <v>2</v>
      </c>
      <c r="DB8" s="13" t="s">
        <v>426</v>
      </c>
      <c r="DC8" s="13">
        <v>10</v>
      </c>
      <c r="DD8" s="13">
        <v>20</v>
      </c>
      <c r="DE8" s="24">
        <v>0.2</v>
      </c>
      <c r="DF8" s="14">
        <f t="shared" ref="DF8:DF25" si="57">DF7+DI7+DO7</f>
        <v>189</v>
      </c>
      <c r="DG8" s="14">
        <f t="shared" ref="DG8:DG25" si="58">DG7+DJ7+DP7</f>
        <v>45</v>
      </c>
      <c r="DH8" s="14">
        <f t="shared" ref="DH8:DH25" si="59">DH7+DK7+DQ7</f>
        <v>784</v>
      </c>
      <c r="DI8" s="14">
        <f t="shared" si="34"/>
        <v>29</v>
      </c>
      <c r="DJ8" s="14">
        <f t="shared" si="35"/>
        <v>15</v>
      </c>
      <c r="DK8" s="14">
        <f t="shared" si="36"/>
        <v>174</v>
      </c>
      <c r="DL8" s="14">
        <f t="shared" si="37"/>
        <v>12</v>
      </c>
      <c r="DM8" s="14">
        <f t="shared" si="38"/>
        <v>6</v>
      </c>
      <c r="DN8" s="14">
        <f t="shared" si="39"/>
        <v>70</v>
      </c>
      <c r="DO8" s="14">
        <f t="shared" ref="DO8:DO25" si="60">DL8*($DD8-$DC8)</f>
        <v>120</v>
      </c>
      <c r="DP8" s="14">
        <f t="shared" ref="DP8:DP27" si="61">DM8*($DD8-$DC8)</f>
        <v>60</v>
      </c>
      <c r="DQ8" s="14">
        <f t="shared" ref="DQ8:DQ27" si="62">DN8*($DD8-$DC8)</f>
        <v>700</v>
      </c>
      <c r="DR8" s="14">
        <f t="shared" si="42"/>
        <v>338</v>
      </c>
      <c r="DS8" s="14">
        <f t="shared" si="43"/>
        <v>120</v>
      </c>
      <c r="DT8" s="14">
        <f t="shared" si="44"/>
        <v>1658</v>
      </c>
      <c r="DW8" s="13">
        <v>3</v>
      </c>
      <c r="DX8" s="13">
        <v>1.1499999999999999</v>
      </c>
      <c r="DY8" s="13">
        <v>1</v>
      </c>
      <c r="DZ8" s="24">
        <v>0.2</v>
      </c>
      <c r="EA8" s="13"/>
      <c r="EB8" s="24">
        <v>0.2</v>
      </c>
      <c r="EF8" s="13" t="s">
        <v>682</v>
      </c>
      <c r="EG8" s="13">
        <v>3</v>
      </c>
      <c r="EH8" s="13">
        <v>2</v>
      </c>
      <c r="EI8" s="13">
        <f t="shared" ref="EI8:EI26" si="63">INDEX($AO$7:$AO$58,EG8)</f>
        <v>13</v>
      </c>
      <c r="EJ8" s="13">
        <f t="shared" si="45"/>
        <v>132</v>
      </c>
      <c r="EK8" s="13">
        <f t="shared" si="46"/>
        <v>66</v>
      </c>
      <c r="EL8" s="13">
        <f t="shared" si="47"/>
        <v>792</v>
      </c>
      <c r="EM8" s="14">
        <f t="shared" ref="EM8:EM26" si="64">SUMPRODUCT(EJ$4:EL$4,EJ8:EL8)</f>
        <v>3432</v>
      </c>
      <c r="EN8" s="13">
        <f t="shared" si="48"/>
        <v>90</v>
      </c>
      <c r="EO8" s="13">
        <f t="shared" si="49"/>
        <v>46</v>
      </c>
      <c r="EP8" s="13">
        <f t="shared" si="50"/>
        <v>540</v>
      </c>
      <c r="EQ8" s="14">
        <f t="shared" ref="EQ8:EQ26" si="65">SUMPRODUCT(EN$4:EP$4,EN8:EP8)</f>
        <v>2360</v>
      </c>
      <c r="ER8" s="13">
        <f t="shared" si="51"/>
        <v>70</v>
      </c>
      <c r="ES8" s="13">
        <f t="shared" si="52"/>
        <v>35</v>
      </c>
      <c r="ET8" s="13">
        <f t="shared" si="53"/>
        <v>420</v>
      </c>
      <c r="EU8" s="14">
        <f t="shared" ref="EU8:EU26" si="66">SUMPRODUCT(ER$4:ET$4,ER8:ET8)</f>
        <v>1820</v>
      </c>
      <c r="EV8" s="14">
        <f t="shared" ref="EV8:EV26" si="67">EM8+EQ8+EU8</f>
        <v>7612</v>
      </c>
      <c r="EW8" s="26">
        <f t="shared" ref="EW8:EW26" si="68">EM8/EV8</f>
        <v>0.45086705202312138</v>
      </c>
      <c r="EX8" s="26">
        <f t="shared" ref="EX8:EX26" si="69">EQ8/EV8</f>
        <v>0.31003678402522333</v>
      </c>
      <c r="EY8" s="26">
        <f t="shared" ref="EY8:EY26" si="70">EU8/EV8</f>
        <v>0.23909616395165528</v>
      </c>
    </row>
    <row r="9" spans="1:155" ht="20.100000000000001" customHeight="1" x14ac:dyDescent="0.2">
      <c r="A9" s="13"/>
      <c r="B9" s="13">
        <v>3</v>
      </c>
      <c r="C9" s="13">
        <v>1</v>
      </c>
      <c r="D9" s="13">
        <v>6</v>
      </c>
      <c r="E9" s="13">
        <v>21</v>
      </c>
      <c r="F9" s="13">
        <f t="shared" si="54"/>
        <v>0.52380952380952384</v>
      </c>
      <c r="I9" s="13">
        <v>3</v>
      </c>
      <c r="J9" s="13">
        <v>37</v>
      </c>
      <c r="K9" s="13" t="s">
        <v>427</v>
      </c>
      <c r="L9" s="13">
        <v>7</v>
      </c>
      <c r="M9" s="13">
        <v>4</v>
      </c>
      <c r="N9" s="13" t="s">
        <v>427</v>
      </c>
      <c r="O9" s="13">
        <v>42</v>
      </c>
      <c r="P9" s="13" t="s">
        <v>427</v>
      </c>
      <c r="Q9" s="13">
        <v>9</v>
      </c>
      <c r="R9" s="13">
        <v>5</v>
      </c>
      <c r="S9" s="13" t="s">
        <v>428</v>
      </c>
      <c r="T9" s="13">
        <v>49</v>
      </c>
      <c r="U9" s="13" t="s">
        <v>427</v>
      </c>
      <c r="V9" s="13">
        <v>11</v>
      </c>
      <c r="W9" s="13">
        <v>6</v>
      </c>
      <c r="X9" s="13" t="s">
        <v>429</v>
      </c>
      <c r="AA9" s="13">
        <v>3</v>
      </c>
      <c r="AB9" s="13" t="s">
        <v>426</v>
      </c>
      <c r="AC9" s="13">
        <v>10</v>
      </c>
      <c r="AD9" s="13">
        <v>20</v>
      </c>
      <c r="AE9" s="13">
        <v>25</v>
      </c>
      <c r="AF9" s="13">
        <v>2</v>
      </c>
      <c r="AG9" s="13">
        <v>5</v>
      </c>
      <c r="AH9" s="40">
        <v>0.3</v>
      </c>
      <c r="AI9" s="32">
        <f t="shared" si="55"/>
        <v>1.3</v>
      </c>
      <c r="AK9" s="13">
        <v>3</v>
      </c>
      <c r="AL9" s="13" t="str">
        <f t="shared" si="10"/>
        <v>黑绳 · 魂火2</v>
      </c>
      <c r="AM9" s="13">
        <f t="shared" si="11"/>
        <v>2</v>
      </c>
      <c r="AN9" s="13">
        <v>2</v>
      </c>
      <c r="AO9" s="13">
        <v>13</v>
      </c>
      <c r="AP9" s="49"/>
      <c r="AQ9" s="32"/>
      <c r="AS9" s="13">
        <v>4</v>
      </c>
      <c r="AT9" s="13">
        <v>2</v>
      </c>
      <c r="AU9" s="13">
        <v>4</v>
      </c>
      <c r="AV9" s="13" t="s">
        <v>427</v>
      </c>
      <c r="AW9" s="13">
        <v>25</v>
      </c>
      <c r="AX9" s="14">
        <f t="shared" si="56"/>
        <v>10</v>
      </c>
      <c r="AY9" s="13">
        <v>35</v>
      </c>
      <c r="AZ9" s="14">
        <f t="shared" si="12"/>
        <v>450</v>
      </c>
      <c r="BA9" s="14">
        <f t="shared" si="13"/>
        <v>179</v>
      </c>
      <c r="BB9" s="14">
        <f t="shared" si="14"/>
        <v>2400</v>
      </c>
      <c r="BC9" s="13">
        <v>8</v>
      </c>
      <c r="BD9" s="13">
        <f t="shared" si="15"/>
        <v>4</v>
      </c>
      <c r="BE9" s="14">
        <f t="shared" si="16"/>
        <v>56</v>
      </c>
      <c r="BF9" s="14">
        <f t="shared" si="0"/>
        <v>80</v>
      </c>
      <c r="BG9" s="14">
        <f t="shared" si="1"/>
        <v>40</v>
      </c>
      <c r="BH9" s="14">
        <f t="shared" si="2"/>
        <v>560</v>
      </c>
      <c r="BI9" s="26">
        <v>6.6000000000000003E-2</v>
      </c>
      <c r="BJ9" s="26"/>
      <c r="BK9" s="14">
        <f t="shared" si="3"/>
        <v>30</v>
      </c>
      <c r="BL9" s="14">
        <f t="shared" si="17"/>
        <v>15</v>
      </c>
      <c r="BM9" s="14">
        <f t="shared" si="18"/>
        <v>210</v>
      </c>
      <c r="BN9" s="13">
        <v>2</v>
      </c>
      <c r="BO9" s="26">
        <v>0.13300000000000001</v>
      </c>
      <c r="BP9" s="26"/>
      <c r="BQ9" s="14">
        <f t="shared" si="4"/>
        <v>60</v>
      </c>
      <c r="BR9" s="14">
        <f t="shared" si="19"/>
        <v>30</v>
      </c>
      <c r="BS9" s="14">
        <f t="shared" si="20"/>
        <v>420</v>
      </c>
      <c r="BT9" s="14">
        <f t="shared" si="5"/>
        <v>650</v>
      </c>
      <c r="BU9" s="14">
        <f t="shared" si="6"/>
        <v>279</v>
      </c>
      <c r="BV9" s="14">
        <f t="shared" si="7"/>
        <v>3800</v>
      </c>
      <c r="BX9" s="13">
        <v>3</v>
      </c>
      <c r="BY9" s="14">
        <f t="shared" si="21"/>
        <v>200</v>
      </c>
      <c r="BZ9" s="14">
        <f t="shared" si="22"/>
        <v>100</v>
      </c>
      <c r="CA9" s="14">
        <f t="shared" si="23"/>
        <v>1400</v>
      </c>
      <c r="CC9" s="13" t="s">
        <v>651</v>
      </c>
      <c r="CD9" s="30">
        <v>4</v>
      </c>
      <c r="CF9" s="13">
        <v>2</v>
      </c>
      <c r="CG9" s="13">
        <v>4</v>
      </c>
      <c r="CH9" s="13" t="s">
        <v>430</v>
      </c>
      <c r="CI9" s="14">
        <f t="shared" si="24"/>
        <v>1020</v>
      </c>
      <c r="CJ9" s="14">
        <f t="shared" si="25"/>
        <v>511</v>
      </c>
      <c r="CK9" s="14">
        <f t="shared" si="26"/>
        <v>8160</v>
      </c>
      <c r="CL9" s="13">
        <v>50</v>
      </c>
      <c r="CM9" s="13">
        <v>70</v>
      </c>
      <c r="CN9" s="24">
        <v>0.7</v>
      </c>
      <c r="CO9" s="14">
        <f t="shared" si="27"/>
        <v>36</v>
      </c>
      <c r="CP9" s="14">
        <f t="shared" si="28"/>
        <v>18</v>
      </c>
      <c r="CQ9" s="14">
        <f t="shared" si="29"/>
        <v>286</v>
      </c>
      <c r="CR9" s="24">
        <v>0.1</v>
      </c>
      <c r="CS9" s="14">
        <f t="shared" si="30"/>
        <v>102</v>
      </c>
      <c r="CT9" s="14">
        <f t="shared" si="31"/>
        <v>51</v>
      </c>
      <c r="CU9" s="14">
        <f t="shared" si="32"/>
        <v>816</v>
      </c>
      <c r="CX9" s="13">
        <v>4</v>
      </c>
      <c r="CY9" s="13">
        <v>2</v>
      </c>
      <c r="CZ9" s="13">
        <v>4</v>
      </c>
      <c r="DA9" s="13">
        <v>3</v>
      </c>
      <c r="DB9" s="13" t="s">
        <v>427</v>
      </c>
      <c r="DC9" s="13">
        <v>20</v>
      </c>
      <c r="DD9" s="13">
        <v>20</v>
      </c>
      <c r="DE9" s="24">
        <v>0.2</v>
      </c>
      <c r="DF9" s="14">
        <f t="shared" si="57"/>
        <v>338</v>
      </c>
      <c r="DG9" s="14">
        <f t="shared" si="58"/>
        <v>120</v>
      </c>
      <c r="DH9" s="14">
        <f t="shared" si="59"/>
        <v>1658</v>
      </c>
      <c r="DI9" s="14">
        <f t="shared" si="34"/>
        <v>63</v>
      </c>
      <c r="DJ9" s="14">
        <f t="shared" si="35"/>
        <v>31</v>
      </c>
      <c r="DK9" s="14">
        <f t="shared" si="36"/>
        <v>438</v>
      </c>
      <c r="DL9" s="14">
        <f t="shared" si="37"/>
        <v>22</v>
      </c>
      <c r="DM9" s="14">
        <f t="shared" si="38"/>
        <v>11</v>
      </c>
      <c r="DN9" s="14">
        <f t="shared" si="39"/>
        <v>153</v>
      </c>
      <c r="DO9" s="14">
        <f t="shared" si="60"/>
        <v>0</v>
      </c>
      <c r="DP9" s="14">
        <f t="shared" si="61"/>
        <v>0</v>
      </c>
      <c r="DQ9" s="14">
        <f t="shared" si="62"/>
        <v>0</v>
      </c>
      <c r="DR9" s="14">
        <f t="shared" si="42"/>
        <v>401</v>
      </c>
      <c r="DS9" s="14">
        <f t="shared" si="43"/>
        <v>151</v>
      </c>
      <c r="DT9" s="14">
        <f t="shared" si="44"/>
        <v>2096</v>
      </c>
      <c r="DW9" s="13">
        <v>4</v>
      </c>
      <c r="DX9" s="13">
        <v>1.25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683</v>
      </c>
      <c r="EG9" s="13">
        <v>5</v>
      </c>
      <c r="EH9" s="13">
        <v>3</v>
      </c>
      <c r="EI9" s="13">
        <f t="shared" si="63"/>
        <v>23</v>
      </c>
      <c r="EJ9" s="13">
        <f t="shared" si="45"/>
        <v>232</v>
      </c>
      <c r="EK9" s="13">
        <f t="shared" si="46"/>
        <v>116</v>
      </c>
      <c r="EL9" s="13">
        <f t="shared" si="47"/>
        <v>1392</v>
      </c>
      <c r="EM9" s="14">
        <f t="shared" si="64"/>
        <v>6032</v>
      </c>
      <c r="EN9" s="13">
        <f t="shared" si="48"/>
        <v>150</v>
      </c>
      <c r="EO9" s="13">
        <f t="shared" si="49"/>
        <v>76</v>
      </c>
      <c r="EP9" s="13">
        <f t="shared" si="50"/>
        <v>900</v>
      </c>
      <c r="EQ9" s="14">
        <f t="shared" si="65"/>
        <v>3920</v>
      </c>
      <c r="ER9" s="13">
        <f t="shared" si="51"/>
        <v>140</v>
      </c>
      <c r="ES9" s="13">
        <f t="shared" si="52"/>
        <v>70</v>
      </c>
      <c r="ET9" s="13">
        <f t="shared" si="53"/>
        <v>840</v>
      </c>
      <c r="EU9" s="14">
        <f t="shared" si="66"/>
        <v>3640</v>
      </c>
      <c r="EV9" s="14">
        <f t="shared" si="67"/>
        <v>13592</v>
      </c>
      <c r="EW9" s="26">
        <f t="shared" si="68"/>
        <v>0.44379046497939967</v>
      </c>
      <c r="EX9" s="26">
        <f t="shared" si="69"/>
        <v>0.28840494408475575</v>
      </c>
      <c r="EY9" s="26">
        <f t="shared" si="70"/>
        <v>0.26780459093584463</v>
      </c>
    </row>
    <row r="10" spans="1:155" ht="20.100000000000001" customHeight="1" x14ac:dyDescent="0.2">
      <c r="A10" s="13"/>
      <c r="B10" s="13">
        <v>4</v>
      </c>
      <c r="C10" s="13">
        <v>1</v>
      </c>
      <c r="D10" s="13">
        <v>7</v>
      </c>
      <c r="E10" s="13">
        <v>21</v>
      </c>
      <c r="F10" s="13">
        <f t="shared" si="54"/>
        <v>0.52380952380952384</v>
      </c>
      <c r="G10" s="16"/>
      <c r="H10" s="16"/>
      <c r="I10" s="13">
        <v>4</v>
      </c>
      <c r="J10" s="13">
        <v>42</v>
      </c>
      <c r="K10" s="13" t="s">
        <v>427</v>
      </c>
      <c r="L10" s="13">
        <v>9</v>
      </c>
      <c r="M10" s="13">
        <v>5</v>
      </c>
      <c r="N10" s="13" t="s">
        <v>428</v>
      </c>
      <c r="O10" s="13">
        <v>48</v>
      </c>
      <c r="P10" s="13" t="s">
        <v>427</v>
      </c>
      <c r="Q10" s="13">
        <v>11</v>
      </c>
      <c r="R10" s="13">
        <v>6</v>
      </c>
      <c r="S10" s="13" t="s">
        <v>429</v>
      </c>
      <c r="T10" s="13">
        <v>56</v>
      </c>
      <c r="U10" s="13" t="s">
        <v>430</v>
      </c>
      <c r="V10" s="13">
        <v>14</v>
      </c>
      <c r="W10" s="13">
        <v>7</v>
      </c>
      <c r="X10" s="13" t="s">
        <v>430</v>
      </c>
      <c r="Y10" s="16"/>
      <c r="Z10" s="16"/>
      <c r="AA10" s="13">
        <v>4</v>
      </c>
      <c r="AB10" s="41" t="s">
        <v>427</v>
      </c>
      <c r="AC10" s="13">
        <v>15</v>
      </c>
      <c r="AD10" s="13">
        <v>30</v>
      </c>
      <c r="AE10" s="13">
        <v>35</v>
      </c>
      <c r="AF10" s="13">
        <v>2</v>
      </c>
      <c r="AG10" s="13">
        <v>7</v>
      </c>
      <c r="AH10" s="40">
        <v>0.15</v>
      </c>
      <c r="AI10" s="32">
        <f t="shared" si="55"/>
        <v>1.1499999999999999</v>
      </c>
      <c r="AK10" s="13">
        <v>4</v>
      </c>
      <c r="AL10" s="13" t="str">
        <f t="shared" si="10"/>
        <v>黑绳+1 · 魂火1</v>
      </c>
      <c r="AM10" s="13">
        <f t="shared" si="11"/>
        <v>3</v>
      </c>
      <c r="AN10" s="13">
        <v>1</v>
      </c>
      <c r="AO10" s="13">
        <v>18</v>
      </c>
      <c r="AP10" s="49"/>
      <c r="AQ10" s="32"/>
      <c r="AR10" s="16"/>
      <c r="AS10" s="13">
        <v>5</v>
      </c>
      <c r="AT10" s="13">
        <v>2</v>
      </c>
      <c r="AU10" s="13">
        <v>5</v>
      </c>
      <c r="AV10" s="13" t="s">
        <v>428</v>
      </c>
      <c r="AW10" s="13">
        <v>35</v>
      </c>
      <c r="AX10" s="14">
        <f t="shared" si="56"/>
        <v>7</v>
      </c>
      <c r="AY10" s="13">
        <v>42</v>
      </c>
      <c r="AZ10" s="14">
        <f t="shared" si="12"/>
        <v>650</v>
      </c>
      <c r="BA10" s="14">
        <f t="shared" si="13"/>
        <v>279</v>
      </c>
      <c r="BB10" s="14">
        <f t="shared" si="14"/>
        <v>3800</v>
      </c>
      <c r="BC10" s="13">
        <v>8</v>
      </c>
      <c r="BD10" s="13">
        <f t="shared" si="15"/>
        <v>4</v>
      </c>
      <c r="BE10" s="14">
        <f t="shared" si="16"/>
        <v>56</v>
      </c>
      <c r="BF10" s="14">
        <f t="shared" si="0"/>
        <v>56</v>
      </c>
      <c r="BG10" s="14">
        <f t="shared" si="1"/>
        <v>28</v>
      </c>
      <c r="BH10" s="14">
        <f t="shared" si="2"/>
        <v>392</v>
      </c>
      <c r="BI10" s="26">
        <v>5.3999999999999999E-2</v>
      </c>
      <c r="BJ10" s="26"/>
      <c r="BK10" s="14">
        <f t="shared" si="3"/>
        <v>35</v>
      </c>
      <c r="BL10" s="14">
        <f t="shared" si="17"/>
        <v>18</v>
      </c>
      <c r="BM10" s="14">
        <f t="shared" si="18"/>
        <v>245</v>
      </c>
      <c r="BN10" s="13">
        <v>2</v>
      </c>
      <c r="BO10" s="26">
        <v>0.123</v>
      </c>
      <c r="BP10" s="26"/>
      <c r="BQ10" s="14">
        <f t="shared" si="4"/>
        <v>80</v>
      </c>
      <c r="BR10" s="14">
        <f t="shared" si="19"/>
        <v>40</v>
      </c>
      <c r="BS10" s="14">
        <f t="shared" si="20"/>
        <v>560</v>
      </c>
      <c r="BT10" s="14">
        <f t="shared" si="5"/>
        <v>856</v>
      </c>
      <c r="BU10" s="14">
        <f t="shared" si="6"/>
        <v>383</v>
      </c>
      <c r="BV10" s="14">
        <f t="shared" si="7"/>
        <v>5242</v>
      </c>
      <c r="BX10" s="13">
        <v>3</v>
      </c>
      <c r="BY10" s="14">
        <f t="shared" si="21"/>
        <v>206</v>
      </c>
      <c r="BZ10" s="14">
        <f t="shared" si="22"/>
        <v>104</v>
      </c>
      <c r="CA10" s="14">
        <f t="shared" si="23"/>
        <v>1442</v>
      </c>
      <c r="CC10" s="13" t="s">
        <v>652</v>
      </c>
      <c r="CD10" s="30">
        <v>5</v>
      </c>
      <c r="CF10" s="13">
        <v>2</v>
      </c>
      <c r="CG10" s="13">
        <v>5</v>
      </c>
      <c r="CH10" s="13" t="s">
        <v>433</v>
      </c>
      <c r="CI10" s="14">
        <f t="shared" ref="CI10:CI13" si="71">SUMIFS(BY$6:BY$85,$BX$6:$BX$85,"="&amp;$CG10,$AT$6:$AT$85,"="&amp;$CF10)</f>
        <v>2174</v>
      </c>
      <c r="CJ10" s="14">
        <f t="shared" ref="CJ10:CJ13" si="72">SUMIFS(BZ$6:BZ$85,$BX$6:$BX$85,"="&amp;$CG10,$AT$6:$AT$85,"="&amp;$CF10)</f>
        <v>1087</v>
      </c>
      <c r="CK10" s="14">
        <f t="shared" ref="CK10:CK13" si="73">SUMIFS(CA$6:CA$85,$BX$6:$BX$85,"="&amp;$CG10,$AT$6:$AT$85,"="&amp;$CF10)</f>
        <v>19566</v>
      </c>
      <c r="CL10" s="13">
        <v>70</v>
      </c>
      <c r="CM10" s="13">
        <v>90</v>
      </c>
      <c r="CN10" s="24">
        <v>0.7</v>
      </c>
      <c r="CO10" s="14">
        <f t="shared" si="27"/>
        <v>76</v>
      </c>
      <c r="CP10" s="14">
        <f t="shared" si="28"/>
        <v>38</v>
      </c>
      <c r="CQ10" s="14">
        <f t="shared" si="29"/>
        <v>685</v>
      </c>
      <c r="CR10" s="24">
        <v>0.1</v>
      </c>
      <c r="CS10" s="14">
        <f t="shared" si="30"/>
        <v>217</v>
      </c>
      <c r="CT10" s="14">
        <f t="shared" si="31"/>
        <v>109</v>
      </c>
      <c r="CU10" s="14">
        <f t="shared" si="32"/>
        <v>1957</v>
      </c>
      <c r="CX10" s="13">
        <v>5</v>
      </c>
      <c r="CY10" s="13">
        <v>2</v>
      </c>
      <c r="CZ10" s="13">
        <v>5</v>
      </c>
      <c r="DA10" s="13">
        <v>3</v>
      </c>
      <c r="DB10" s="13" t="s">
        <v>428</v>
      </c>
      <c r="DC10" s="13">
        <v>20</v>
      </c>
      <c r="DD10" s="13">
        <v>20</v>
      </c>
      <c r="DE10" s="24">
        <v>0.2</v>
      </c>
      <c r="DF10" s="14">
        <f t="shared" si="57"/>
        <v>401</v>
      </c>
      <c r="DG10" s="14">
        <f t="shared" si="58"/>
        <v>151</v>
      </c>
      <c r="DH10" s="14">
        <f t="shared" si="59"/>
        <v>2096</v>
      </c>
      <c r="DI10" s="14">
        <f t="shared" si="34"/>
        <v>63</v>
      </c>
      <c r="DJ10" s="14">
        <f t="shared" si="35"/>
        <v>31</v>
      </c>
      <c r="DK10" s="14">
        <f t="shared" si="36"/>
        <v>438</v>
      </c>
      <c r="DL10" s="14">
        <f t="shared" si="37"/>
        <v>22</v>
      </c>
      <c r="DM10" s="14">
        <f t="shared" si="38"/>
        <v>11</v>
      </c>
      <c r="DN10" s="14">
        <f t="shared" si="39"/>
        <v>153</v>
      </c>
      <c r="DO10" s="14">
        <f t="shared" si="60"/>
        <v>0</v>
      </c>
      <c r="DP10" s="14">
        <f t="shared" si="61"/>
        <v>0</v>
      </c>
      <c r="DQ10" s="14">
        <f t="shared" si="62"/>
        <v>0</v>
      </c>
      <c r="DR10" s="14">
        <f t="shared" si="42"/>
        <v>464</v>
      </c>
      <c r="DS10" s="14">
        <f t="shared" si="43"/>
        <v>182</v>
      </c>
      <c r="DT10" s="14">
        <f t="shared" si="44"/>
        <v>2534</v>
      </c>
      <c r="DW10" s="13">
        <v>5</v>
      </c>
      <c r="DX10" s="13">
        <v>1.4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684</v>
      </c>
      <c r="EG10" s="13">
        <v>7</v>
      </c>
      <c r="EH10" s="13">
        <v>4</v>
      </c>
      <c r="EI10" s="13">
        <f t="shared" si="63"/>
        <v>33</v>
      </c>
      <c r="EJ10" s="13">
        <f t="shared" si="45"/>
        <v>352</v>
      </c>
      <c r="EK10" s="13">
        <f t="shared" si="46"/>
        <v>176</v>
      </c>
      <c r="EL10" s="13">
        <f t="shared" si="47"/>
        <v>2232</v>
      </c>
      <c r="EM10" s="14">
        <f t="shared" si="64"/>
        <v>9272</v>
      </c>
      <c r="EN10" s="13">
        <f t="shared" si="48"/>
        <v>230</v>
      </c>
      <c r="EO10" s="13">
        <f t="shared" si="49"/>
        <v>116</v>
      </c>
      <c r="EP10" s="13">
        <f t="shared" si="50"/>
        <v>1460</v>
      </c>
      <c r="EQ10" s="14">
        <f t="shared" si="65"/>
        <v>6080</v>
      </c>
      <c r="ER10" s="13">
        <f t="shared" si="51"/>
        <v>215</v>
      </c>
      <c r="ES10" s="13">
        <f t="shared" si="52"/>
        <v>108</v>
      </c>
      <c r="ET10" s="13">
        <f t="shared" si="53"/>
        <v>1365</v>
      </c>
      <c r="EU10" s="14">
        <f t="shared" si="66"/>
        <v>5675</v>
      </c>
      <c r="EV10" s="14">
        <f t="shared" si="67"/>
        <v>21027</v>
      </c>
      <c r="EW10" s="26">
        <f t="shared" si="68"/>
        <v>0.44095686498311693</v>
      </c>
      <c r="EX10" s="26">
        <f t="shared" si="69"/>
        <v>0.28915204261187999</v>
      </c>
      <c r="EY10" s="26">
        <f t="shared" si="70"/>
        <v>0.26989109240500309</v>
      </c>
    </row>
    <row r="11" spans="1:155" ht="20.100000000000001" customHeight="1" x14ac:dyDescent="0.2">
      <c r="A11" s="13"/>
      <c r="B11" s="13">
        <v>5</v>
      </c>
      <c r="C11" s="13">
        <v>1</v>
      </c>
      <c r="D11" s="13">
        <v>7</v>
      </c>
      <c r="E11" s="13">
        <v>21</v>
      </c>
      <c r="F11" s="13">
        <f t="shared" si="54"/>
        <v>0.52380952380952384</v>
      </c>
      <c r="I11" s="13">
        <v>5</v>
      </c>
      <c r="J11" s="13">
        <v>46</v>
      </c>
      <c r="K11" s="13" t="s">
        <v>427</v>
      </c>
      <c r="L11" s="13">
        <v>10</v>
      </c>
      <c r="M11" s="13">
        <v>5</v>
      </c>
      <c r="N11" s="13" t="s">
        <v>428</v>
      </c>
      <c r="O11" s="13">
        <v>53</v>
      </c>
      <c r="P11" s="13" t="s">
        <v>430</v>
      </c>
      <c r="Q11" s="13">
        <v>13</v>
      </c>
      <c r="R11" s="13">
        <v>7</v>
      </c>
      <c r="S11" s="13" t="s">
        <v>430</v>
      </c>
      <c r="T11" s="13">
        <v>62</v>
      </c>
      <c r="U11" s="13" t="s">
        <v>430</v>
      </c>
      <c r="V11" s="13">
        <v>17</v>
      </c>
      <c r="W11" s="13">
        <v>8</v>
      </c>
      <c r="X11" s="13" t="s">
        <v>431</v>
      </c>
      <c r="AA11" s="13">
        <v>5</v>
      </c>
      <c r="AB11" s="13" t="s">
        <v>428</v>
      </c>
      <c r="AC11" s="13">
        <v>20</v>
      </c>
      <c r="AD11" s="13">
        <v>40</v>
      </c>
      <c r="AE11" s="13">
        <v>42</v>
      </c>
      <c r="AF11" s="13">
        <v>2</v>
      </c>
      <c r="AG11" s="13">
        <v>9</v>
      </c>
      <c r="AH11" s="40">
        <v>0.15</v>
      </c>
      <c r="AI11" s="32">
        <f t="shared" si="55"/>
        <v>1.1499999999999999</v>
      </c>
      <c r="AK11" s="13">
        <v>5</v>
      </c>
      <c r="AL11" s="13" t="str">
        <f t="shared" si="10"/>
        <v>黑绳+1 · 魂火2</v>
      </c>
      <c r="AM11" s="13">
        <f t="shared" si="11"/>
        <v>3</v>
      </c>
      <c r="AN11" s="13">
        <v>2</v>
      </c>
      <c r="AO11" s="13">
        <v>23</v>
      </c>
      <c r="AP11" s="49"/>
      <c r="AQ11" s="32"/>
      <c r="AS11" s="13">
        <v>6</v>
      </c>
      <c r="AT11" s="13">
        <v>2</v>
      </c>
      <c r="AU11" s="13">
        <v>6</v>
      </c>
      <c r="AV11" s="13" t="s">
        <v>429</v>
      </c>
      <c r="AW11" s="13">
        <v>42</v>
      </c>
      <c r="AX11" s="14">
        <f t="shared" si="56"/>
        <v>5</v>
      </c>
      <c r="AY11" s="13">
        <v>47</v>
      </c>
      <c r="AZ11" s="14">
        <f t="shared" si="12"/>
        <v>856</v>
      </c>
      <c r="BA11" s="14">
        <f t="shared" si="13"/>
        <v>383</v>
      </c>
      <c r="BB11" s="14">
        <f t="shared" si="14"/>
        <v>5242</v>
      </c>
      <c r="BC11" s="13">
        <v>8</v>
      </c>
      <c r="BD11" s="13">
        <f t="shared" si="15"/>
        <v>4</v>
      </c>
      <c r="BE11" s="14">
        <f t="shared" si="16"/>
        <v>56</v>
      </c>
      <c r="BF11" s="14">
        <f t="shared" si="0"/>
        <v>40</v>
      </c>
      <c r="BG11" s="14">
        <f t="shared" si="1"/>
        <v>20</v>
      </c>
      <c r="BH11" s="14">
        <f t="shared" si="2"/>
        <v>280</v>
      </c>
      <c r="BI11" s="26">
        <v>4.7E-2</v>
      </c>
      <c r="BJ11" s="26"/>
      <c r="BK11" s="14">
        <f t="shared" si="3"/>
        <v>40</v>
      </c>
      <c r="BL11" s="14">
        <f t="shared" si="17"/>
        <v>20</v>
      </c>
      <c r="BM11" s="14">
        <f t="shared" si="18"/>
        <v>280</v>
      </c>
      <c r="BN11" s="13">
        <v>2</v>
      </c>
      <c r="BO11" s="26">
        <v>0.11700000000000001</v>
      </c>
      <c r="BP11" s="26"/>
      <c r="BQ11" s="14">
        <f t="shared" si="4"/>
        <v>100</v>
      </c>
      <c r="BR11" s="14">
        <f t="shared" si="19"/>
        <v>50</v>
      </c>
      <c r="BS11" s="14">
        <f t="shared" si="20"/>
        <v>700</v>
      </c>
      <c r="BT11" s="14">
        <f t="shared" si="5"/>
        <v>1076</v>
      </c>
      <c r="BU11" s="14">
        <f t="shared" si="6"/>
        <v>493</v>
      </c>
      <c r="BV11" s="14">
        <f t="shared" si="7"/>
        <v>6782</v>
      </c>
      <c r="BX11" s="13">
        <v>3</v>
      </c>
      <c r="BY11" s="14">
        <f t="shared" si="21"/>
        <v>220</v>
      </c>
      <c r="BZ11" s="14">
        <f t="shared" si="22"/>
        <v>110</v>
      </c>
      <c r="CA11" s="14">
        <f t="shared" si="23"/>
        <v>1540</v>
      </c>
      <c r="CC11" s="13" t="s">
        <v>653</v>
      </c>
      <c r="CD11" s="30">
        <v>6</v>
      </c>
      <c r="CF11" s="13">
        <v>2</v>
      </c>
      <c r="CG11" s="13">
        <v>6</v>
      </c>
      <c r="CH11" s="13" t="s">
        <v>436</v>
      </c>
      <c r="CI11" s="14">
        <f t="shared" si="71"/>
        <v>4315</v>
      </c>
      <c r="CJ11" s="14">
        <f t="shared" si="72"/>
        <v>2169</v>
      </c>
      <c r="CK11" s="14">
        <f t="shared" si="73"/>
        <v>43150</v>
      </c>
      <c r="CL11" s="13">
        <v>90</v>
      </c>
      <c r="CM11" s="13">
        <v>110</v>
      </c>
      <c r="CN11" s="24">
        <v>0.7</v>
      </c>
      <c r="CO11" s="14">
        <f t="shared" si="27"/>
        <v>151</v>
      </c>
      <c r="CP11" s="14">
        <f t="shared" si="28"/>
        <v>76</v>
      </c>
      <c r="CQ11" s="14">
        <f t="shared" si="29"/>
        <v>1510</v>
      </c>
      <c r="CR11" s="24">
        <v>0.1</v>
      </c>
      <c r="CS11" s="14">
        <f t="shared" si="30"/>
        <v>432</v>
      </c>
      <c r="CT11" s="14">
        <f t="shared" si="31"/>
        <v>217</v>
      </c>
      <c r="CU11" s="14">
        <f t="shared" si="32"/>
        <v>4315</v>
      </c>
      <c r="CX11" s="13">
        <v>6</v>
      </c>
      <c r="CY11" s="13">
        <v>2</v>
      </c>
      <c r="CZ11" s="13">
        <v>6</v>
      </c>
      <c r="DA11" s="13">
        <v>3</v>
      </c>
      <c r="DB11" s="13" t="s">
        <v>429</v>
      </c>
      <c r="DC11" s="13">
        <v>20</v>
      </c>
      <c r="DD11" s="13">
        <v>45</v>
      </c>
      <c r="DE11" s="24">
        <v>0.2</v>
      </c>
      <c r="DF11" s="14">
        <f t="shared" si="57"/>
        <v>464</v>
      </c>
      <c r="DG11" s="14">
        <f t="shared" si="58"/>
        <v>182</v>
      </c>
      <c r="DH11" s="14">
        <f t="shared" si="59"/>
        <v>2534</v>
      </c>
      <c r="DI11" s="14">
        <f t="shared" si="34"/>
        <v>63</v>
      </c>
      <c r="DJ11" s="14">
        <f t="shared" si="35"/>
        <v>31</v>
      </c>
      <c r="DK11" s="14">
        <f t="shared" si="36"/>
        <v>438</v>
      </c>
      <c r="DL11" s="14">
        <f t="shared" si="37"/>
        <v>22</v>
      </c>
      <c r="DM11" s="14">
        <f t="shared" si="38"/>
        <v>11</v>
      </c>
      <c r="DN11" s="14">
        <f t="shared" si="39"/>
        <v>153</v>
      </c>
      <c r="DO11" s="14">
        <f t="shared" si="60"/>
        <v>550</v>
      </c>
      <c r="DP11" s="14">
        <f t="shared" si="61"/>
        <v>275</v>
      </c>
      <c r="DQ11" s="14">
        <f t="shared" si="62"/>
        <v>3825</v>
      </c>
      <c r="DR11" s="14">
        <f t="shared" si="42"/>
        <v>1077</v>
      </c>
      <c r="DS11" s="14">
        <f t="shared" si="43"/>
        <v>488</v>
      </c>
      <c r="DT11" s="14">
        <f t="shared" si="44"/>
        <v>6797</v>
      </c>
      <c r="DW11" s="16"/>
      <c r="DX11" s="16"/>
      <c r="DY11" s="16"/>
      <c r="DZ11" s="16"/>
      <c r="EF11" s="13" t="s">
        <v>685</v>
      </c>
      <c r="EG11" s="13">
        <v>9</v>
      </c>
      <c r="EH11" s="13">
        <v>5</v>
      </c>
      <c r="EI11" s="13">
        <f t="shared" si="63"/>
        <v>40</v>
      </c>
      <c r="EJ11" s="13">
        <f t="shared" si="45"/>
        <v>436</v>
      </c>
      <c r="EK11" s="13">
        <f t="shared" si="46"/>
        <v>218</v>
      </c>
      <c r="EL11" s="13">
        <f t="shared" si="47"/>
        <v>2820</v>
      </c>
      <c r="EM11" s="14">
        <f t="shared" si="64"/>
        <v>11540</v>
      </c>
      <c r="EN11" s="13">
        <f t="shared" si="48"/>
        <v>320</v>
      </c>
      <c r="EO11" s="13">
        <f t="shared" si="49"/>
        <v>162</v>
      </c>
      <c r="EP11" s="13">
        <f t="shared" si="50"/>
        <v>2090</v>
      </c>
      <c r="EQ11" s="14">
        <f t="shared" si="65"/>
        <v>8530</v>
      </c>
      <c r="ER11" s="13">
        <f t="shared" si="51"/>
        <v>315</v>
      </c>
      <c r="ES11" s="13">
        <f t="shared" si="52"/>
        <v>158</v>
      </c>
      <c r="ET11" s="13">
        <f t="shared" si="53"/>
        <v>2065</v>
      </c>
      <c r="EU11" s="14">
        <f t="shared" si="66"/>
        <v>8375</v>
      </c>
      <c r="EV11" s="14">
        <f t="shared" si="67"/>
        <v>28445</v>
      </c>
      <c r="EW11" s="26">
        <f t="shared" si="68"/>
        <v>0.40569520126560027</v>
      </c>
      <c r="EX11" s="26">
        <f t="shared" si="69"/>
        <v>0.29987695552821236</v>
      </c>
      <c r="EY11" s="26">
        <f t="shared" si="70"/>
        <v>0.29442784320618737</v>
      </c>
    </row>
    <row r="12" spans="1:155" ht="20.100000000000001" customHeight="1" x14ac:dyDescent="0.2">
      <c r="A12" s="13"/>
      <c r="B12" s="13">
        <v>6</v>
      </c>
      <c r="C12" s="13">
        <v>1</v>
      </c>
      <c r="D12" s="13">
        <v>7</v>
      </c>
      <c r="E12" s="13">
        <v>21</v>
      </c>
      <c r="F12" s="13">
        <f t="shared" si="54"/>
        <v>0.52380952380952384</v>
      </c>
      <c r="G12" s="33"/>
      <c r="H12" s="33"/>
      <c r="I12" s="13">
        <v>6</v>
      </c>
      <c r="J12" s="13">
        <v>50</v>
      </c>
      <c r="K12" s="13" t="s">
        <v>430</v>
      </c>
      <c r="L12" s="13">
        <v>12</v>
      </c>
      <c r="M12" s="13">
        <v>6</v>
      </c>
      <c r="N12" s="13" t="s">
        <v>429</v>
      </c>
      <c r="O12" s="13">
        <v>58</v>
      </c>
      <c r="P12" s="13" t="s">
        <v>430</v>
      </c>
      <c r="Q12" s="13">
        <v>15</v>
      </c>
      <c r="R12" s="13">
        <v>8</v>
      </c>
      <c r="S12" s="13" t="s">
        <v>431</v>
      </c>
      <c r="T12" s="13">
        <v>67</v>
      </c>
      <c r="U12" s="13" t="s">
        <v>430</v>
      </c>
      <c r="V12" s="13">
        <v>19</v>
      </c>
      <c r="W12" s="13">
        <v>9</v>
      </c>
      <c r="X12" s="13" t="s">
        <v>432</v>
      </c>
      <c r="Y12" s="33"/>
      <c r="Z12" s="33"/>
      <c r="AA12" s="13">
        <v>6</v>
      </c>
      <c r="AB12" s="13" t="s">
        <v>429</v>
      </c>
      <c r="AC12" s="13">
        <v>30</v>
      </c>
      <c r="AD12" s="13">
        <v>45</v>
      </c>
      <c r="AE12" s="13">
        <v>47</v>
      </c>
      <c r="AF12" s="13">
        <v>2</v>
      </c>
      <c r="AG12" s="13">
        <v>11</v>
      </c>
      <c r="AH12" s="40">
        <v>0.25</v>
      </c>
      <c r="AI12" s="32">
        <f t="shared" si="55"/>
        <v>1.25</v>
      </c>
      <c r="AK12" s="13">
        <v>6</v>
      </c>
      <c r="AL12" s="13" t="str">
        <f t="shared" si="10"/>
        <v>众合 · 魂火1</v>
      </c>
      <c r="AM12" s="13">
        <f t="shared" si="11"/>
        <v>4</v>
      </c>
      <c r="AN12" s="13">
        <v>1</v>
      </c>
      <c r="AO12" s="13">
        <v>28</v>
      </c>
      <c r="AP12" s="49"/>
      <c r="AQ12" s="32"/>
      <c r="AR12" s="33"/>
      <c r="AS12" s="13">
        <v>7</v>
      </c>
      <c r="AT12" s="13">
        <v>2</v>
      </c>
      <c r="AU12" s="13">
        <v>7</v>
      </c>
      <c r="AV12" s="13" t="s">
        <v>430</v>
      </c>
      <c r="AW12" s="13">
        <v>47</v>
      </c>
      <c r="AX12" s="14">
        <f t="shared" si="56"/>
        <v>5</v>
      </c>
      <c r="AY12" s="13">
        <v>52</v>
      </c>
      <c r="AZ12" s="14">
        <f t="shared" si="12"/>
        <v>1076</v>
      </c>
      <c r="BA12" s="14">
        <f t="shared" si="13"/>
        <v>493</v>
      </c>
      <c r="BB12" s="14">
        <f t="shared" si="14"/>
        <v>6782</v>
      </c>
      <c r="BC12" s="13">
        <v>10</v>
      </c>
      <c r="BD12" s="13">
        <f t="shared" si="15"/>
        <v>5</v>
      </c>
      <c r="BE12" s="14">
        <f t="shared" si="16"/>
        <v>80</v>
      </c>
      <c r="BF12" s="14">
        <f t="shared" si="0"/>
        <v>50</v>
      </c>
      <c r="BG12" s="14">
        <f t="shared" si="1"/>
        <v>25</v>
      </c>
      <c r="BH12" s="14">
        <f t="shared" si="2"/>
        <v>400</v>
      </c>
      <c r="BI12" s="26">
        <v>5.0999999999999997E-2</v>
      </c>
      <c r="BJ12" s="26"/>
      <c r="BK12" s="14">
        <f t="shared" si="3"/>
        <v>55</v>
      </c>
      <c r="BL12" s="14">
        <f t="shared" si="17"/>
        <v>28</v>
      </c>
      <c r="BM12" s="14">
        <f t="shared" si="18"/>
        <v>440</v>
      </c>
      <c r="BN12" s="13">
        <v>2</v>
      </c>
      <c r="BO12" s="26">
        <v>9.2999999999999999E-2</v>
      </c>
      <c r="BP12" s="26"/>
      <c r="BQ12" s="14">
        <f t="shared" si="4"/>
        <v>100</v>
      </c>
      <c r="BR12" s="14">
        <f t="shared" si="19"/>
        <v>50</v>
      </c>
      <c r="BS12" s="14">
        <f t="shared" si="20"/>
        <v>800</v>
      </c>
      <c r="BT12" s="14">
        <f t="shared" si="5"/>
        <v>1336</v>
      </c>
      <c r="BU12" s="14">
        <f t="shared" si="6"/>
        <v>624</v>
      </c>
      <c r="BV12" s="14">
        <f t="shared" si="7"/>
        <v>8862</v>
      </c>
      <c r="BW12" s="33"/>
      <c r="BX12" s="13">
        <v>4</v>
      </c>
      <c r="BY12" s="14">
        <f t="shared" si="21"/>
        <v>260</v>
      </c>
      <c r="BZ12" s="14">
        <f t="shared" si="22"/>
        <v>131</v>
      </c>
      <c r="CA12" s="14">
        <f t="shared" si="23"/>
        <v>2080</v>
      </c>
      <c r="CB12" s="33"/>
      <c r="CC12" s="13" t="s">
        <v>654</v>
      </c>
      <c r="CD12" s="30">
        <v>7</v>
      </c>
      <c r="CE12" s="33"/>
      <c r="CF12" s="13">
        <v>2</v>
      </c>
      <c r="CG12" s="13">
        <v>7</v>
      </c>
      <c r="CH12" s="13" t="s">
        <v>439</v>
      </c>
      <c r="CI12" s="14">
        <f t="shared" si="71"/>
        <v>8380</v>
      </c>
      <c r="CJ12" s="14">
        <f t="shared" si="72"/>
        <v>4190</v>
      </c>
      <c r="CK12" s="14">
        <f t="shared" si="73"/>
        <v>83800</v>
      </c>
      <c r="CL12" s="13">
        <v>110</v>
      </c>
      <c r="CM12" s="13">
        <v>135</v>
      </c>
      <c r="CN12" s="24">
        <v>0.7</v>
      </c>
      <c r="CO12" s="14">
        <f t="shared" si="27"/>
        <v>235</v>
      </c>
      <c r="CP12" s="14">
        <f t="shared" si="28"/>
        <v>117</v>
      </c>
      <c r="CQ12" s="14">
        <f t="shared" si="29"/>
        <v>2346</v>
      </c>
      <c r="CR12" s="24">
        <v>0.1</v>
      </c>
      <c r="CS12" s="14">
        <f t="shared" si="30"/>
        <v>838</v>
      </c>
      <c r="CT12" s="14">
        <f t="shared" si="31"/>
        <v>419</v>
      </c>
      <c r="CU12" s="14">
        <f t="shared" si="32"/>
        <v>8380</v>
      </c>
      <c r="CV12" s="33"/>
      <c r="CW12" s="33"/>
      <c r="CX12" s="13">
        <v>7</v>
      </c>
      <c r="CY12" s="13">
        <v>2</v>
      </c>
      <c r="CZ12" s="13">
        <v>7</v>
      </c>
      <c r="DA12" s="13">
        <v>4</v>
      </c>
      <c r="DB12" s="13" t="s">
        <v>430</v>
      </c>
      <c r="DC12" s="13">
        <v>45</v>
      </c>
      <c r="DD12" s="13">
        <v>45</v>
      </c>
      <c r="DE12" s="24">
        <v>0.2</v>
      </c>
      <c r="DF12" s="14">
        <f t="shared" si="57"/>
        <v>1077</v>
      </c>
      <c r="DG12" s="14">
        <f t="shared" si="58"/>
        <v>488</v>
      </c>
      <c r="DH12" s="14">
        <f t="shared" si="59"/>
        <v>6797</v>
      </c>
      <c r="DI12" s="14">
        <f t="shared" si="34"/>
        <v>102</v>
      </c>
      <c r="DJ12" s="14">
        <f t="shared" si="35"/>
        <v>51</v>
      </c>
      <c r="DK12" s="14">
        <f t="shared" si="36"/>
        <v>816</v>
      </c>
      <c r="DL12" s="14">
        <f t="shared" si="37"/>
        <v>36</v>
      </c>
      <c r="DM12" s="14">
        <f t="shared" si="38"/>
        <v>18</v>
      </c>
      <c r="DN12" s="14">
        <f t="shared" si="39"/>
        <v>286</v>
      </c>
      <c r="DO12" s="14">
        <f t="shared" si="60"/>
        <v>0</v>
      </c>
      <c r="DP12" s="14">
        <f t="shared" si="61"/>
        <v>0</v>
      </c>
      <c r="DQ12" s="14">
        <f t="shared" si="62"/>
        <v>0</v>
      </c>
      <c r="DR12" s="14">
        <f t="shared" si="42"/>
        <v>1179</v>
      </c>
      <c r="DS12" s="14">
        <f t="shared" si="43"/>
        <v>539</v>
      </c>
      <c r="DT12" s="14">
        <f t="shared" si="44"/>
        <v>7613</v>
      </c>
      <c r="DU12" s="33"/>
      <c r="DV12" s="33"/>
      <c r="DX12" s="36">
        <v>10</v>
      </c>
      <c r="DY12" s="36">
        <v>20</v>
      </c>
      <c r="DZ12" s="16">
        <v>1</v>
      </c>
      <c r="EF12" s="13" t="s">
        <v>686</v>
      </c>
      <c r="EG12" s="13">
        <v>11</v>
      </c>
      <c r="EH12" s="13">
        <v>6</v>
      </c>
      <c r="EI12" s="13">
        <f t="shared" si="63"/>
        <v>45</v>
      </c>
      <c r="EJ12" s="13">
        <f t="shared" si="45"/>
        <v>496</v>
      </c>
      <c r="EK12" s="13">
        <f t="shared" si="46"/>
        <v>248</v>
      </c>
      <c r="EL12" s="13">
        <f t="shared" si="47"/>
        <v>3240</v>
      </c>
      <c r="EM12" s="14">
        <f t="shared" si="64"/>
        <v>13160</v>
      </c>
      <c r="EN12" s="13">
        <f t="shared" si="48"/>
        <v>420</v>
      </c>
      <c r="EO12" s="13">
        <f t="shared" si="49"/>
        <v>212</v>
      </c>
      <c r="EP12" s="13">
        <f t="shared" si="50"/>
        <v>2790</v>
      </c>
      <c r="EQ12" s="14">
        <f t="shared" si="65"/>
        <v>11230</v>
      </c>
      <c r="ER12" s="13">
        <f t="shared" si="51"/>
        <v>455</v>
      </c>
      <c r="ES12" s="13">
        <f t="shared" si="52"/>
        <v>228</v>
      </c>
      <c r="ET12" s="13">
        <f t="shared" si="53"/>
        <v>3045</v>
      </c>
      <c r="EU12" s="14">
        <f t="shared" si="66"/>
        <v>12155</v>
      </c>
      <c r="EV12" s="14">
        <f t="shared" si="67"/>
        <v>36545</v>
      </c>
      <c r="EW12" s="26">
        <f t="shared" si="68"/>
        <v>0.36010398139280342</v>
      </c>
      <c r="EX12" s="26">
        <f t="shared" si="69"/>
        <v>0.30729237925844849</v>
      </c>
      <c r="EY12" s="26">
        <f t="shared" si="70"/>
        <v>0.33260363934874809</v>
      </c>
    </row>
    <row r="13" spans="1:155" ht="20.100000000000001" customHeight="1" x14ac:dyDescent="0.2">
      <c r="A13" s="13"/>
      <c r="B13" s="13">
        <v>7</v>
      </c>
      <c r="C13" s="13">
        <v>1</v>
      </c>
      <c r="D13" s="13">
        <v>8</v>
      </c>
      <c r="E13" s="13">
        <v>21</v>
      </c>
      <c r="F13" s="13">
        <f t="shared" si="54"/>
        <v>0.52380952380952384</v>
      </c>
      <c r="G13" s="16"/>
      <c r="H13" s="16"/>
      <c r="I13" s="13">
        <v>7</v>
      </c>
      <c r="J13" s="13">
        <v>54</v>
      </c>
      <c r="K13" s="13" t="s">
        <v>430</v>
      </c>
      <c r="L13" s="13">
        <v>13</v>
      </c>
      <c r="M13" s="13">
        <v>7</v>
      </c>
      <c r="N13" s="13" t="s">
        <v>430</v>
      </c>
      <c r="O13" s="13">
        <v>62</v>
      </c>
      <c r="P13" s="13" t="s">
        <v>430</v>
      </c>
      <c r="Q13" s="13">
        <v>17</v>
      </c>
      <c r="R13" s="13">
        <v>8</v>
      </c>
      <c r="S13" s="13" t="s">
        <v>431</v>
      </c>
      <c r="T13" s="13">
        <v>71</v>
      </c>
      <c r="U13" s="13" t="s">
        <v>433</v>
      </c>
      <c r="V13" s="13">
        <v>20</v>
      </c>
      <c r="W13" s="13">
        <v>9</v>
      </c>
      <c r="X13" s="13" t="s">
        <v>432</v>
      </c>
      <c r="Y13" s="16"/>
      <c r="Z13" s="16"/>
      <c r="AA13" s="13">
        <v>7</v>
      </c>
      <c r="AB13" s="41" t="s">
        <v>430</v>
      </c>
      <c r="AC13" s="13">
        <v>40</v>
      </c>
      <c r="AD13" s="13">
        <v>50</v>
      </c>
      <c r="AE13" s="13">
        <v>52</v>
      </c>
      <c r="AF13" s="13">
        <v>2</v>
      </c>
      <c r="AG13" s="13">
        <v>13</v>
      </c>
      <c r="AH13" s="40">
        <v>7.4999999999999997E-2</v>
      </c>
      <c r="AI13" s="32">
        <f t="shared" si="55"/>
        <v>1.075</v>
      </c>
      <c r="AK13" s="13">
        <v>7</v>
      </c>
      <c r="AL13" s="13" t="str">
        <f t="shared" si="10"/>
        <v>众合 · 魂火2</v>
      </c>
      <c r="AM13" s="13">
        <f t="shared" si="11"/>
        <v>4</v>
      </c>
      <c r="AN13" s="13">
        <v>2</v>
      </c>
      <c r="AO13" s="13">
        <v>33</v>
      </c>
      <c r="AP13" s="49"/>
      <c r="AQ13" s="32"/>
      <c r="AR13" s="16"/>
      <c r="AS13" s="13">
        <v>8</v>
      </c>
      <c r="AT13" s="13">
        <v>2</v>
      </c>
      <c r="AU13" s="13">
        <v>8</v>
      </c>
      <c r="AV13" s="13" t="s">
        <v>431</v>
      </c>
      <c r="AW13" s="13">
        <v>52</v>
      </c>
      <c r="AX13" s="14">
        <f t="shared" si="56"/>
        <v>5</v>
      </c>
      <c r="AY13" s="13">
        <v>57</v>
      </c>
      <c r="AZ13" s="14">
        <f t="shared" si="12"/>
        <v>1336</v>
      </c>
      <c r="BA13" s="14">
        <f t="shared" si="13"/>
        <v>624</v>
      </c>
      <c r="BB13" s="14">
        <f t="shared" si="14"/>
        <v>8862</v>
      </c>
      <c r="BC13" s="13">
        <v>10</v>
      </c>
      <c r="BD13" s="13">
        <f t="shared" si="15"/>
        <v>5</v>
      </c>
      <c r="BE13" s="14">
        <f t="shared" si="16"/>
        <v>80</v>
      </c>
      <c r="BF13" s="14">
        <f t="shared" si="0"/>
        <v>50</v>
      </c>
      <c r="BG13" s="14">
        <f t="shared" si="1"/>
        <v>25</v>
      </c>
      <c r="BH13" s="14">
        <f t="shared" si="2"/>
        <v>400</v>
      </c>
      <c r="BI13" s="26">
        <v>5.2499999999999998E-2</v>
      </c>
      <c r="BJ13" s="26"/>
      <c r="BK13" s="14">
        <f t="shared" si="3"/>
        <v>70</v>
      </c>
      <c r="BL13" s="14">
        <f t="shared" si="17"/>
        <v>35</v>
      </c>
      <c r="BM13" s="14">
        <f t="shared" si="18"/>
        <v>560</v>
      </c>
      <c r="BN13" s="13">
        <v>2</v>
      </c>
      <c r="BO13" s="26">
        <v>7.4999999999999997E-2</v>
      </c>
      <c r="BP13" s="26"/>
      <c r="BQ13" s="14">
        <f t="shared" si="4"/>
        <v>100</v>
      </c>
      <c r="BR13" s="14">
        <f t="shared" si="19"/>
        <v>50</v>
      </c>
      <c r="BS13" s="14">
        <f t="shared" si="20"/>
        <v>800</v>
      </c>
      <c r="BT13" s="14">
        <f t="shared" si="5"/>
        <v>1626</v>
      </c>
      <c r="BU13" s="14">
        <f t="shared" si="6"/>
        <v>769</v>
      </c>
      <c r="BV13" s="14">
        <f t="shared" si="7"/>
        <v>11182</v>
      </c>
      <c r="BW13" s="16"/>
      <c r="BX13" s="13">
        <v>4</v>
      </c>
      <c r="BY13" s="14">
        <f t="shared" si="21"/>
        <v>290</v>
      </c>
      <c r="BZ13" s="14">
        <f t="shared" si="22"/>
        <v>145</v>
      </c>
      <c r="CA13" s="14">
        <f t="shared" si="23"/>
        <v>2320</v>
      </c>
      <c r="CB13" s="16"/>
      <c r="CC13" s="13" t="s">
        <v>655</v>
      </c>
      <c r="CD13" s="30">
        <v>8</v>
      </c>
      <c r="CE13" s="16"/>
      <c r="CF13" s="13">
        <v>2</v>
      </c>
      <c r="CG13" s="13">
        <v>8</v>
      </c>
      <c r="CH13" s="13" t="s">
        <v>442</v>
      </c>
      <c r="CI13" s="14">
        <f t="shared" si="71"/>
        <v>9900</v>
      </c>
      <c r="CJ13" s="14">
        <f t="shared" si="72"/>
        <v>4959</v>
      </c>
      <c r="CK13" s="14">
        <f t="shared" si="73"/>
        <v>99000</v>
      </c>
      <c r="CL13" s="13">
        <v>135</v>
      </c>
      <c r="CM13" s="13">
        <v>150</v>
      </c>
      <c r="CN13" s="24">
        <v>0.7</v>
      </c>
      <c r="CO13" s="14">
        <f t="shared" si="27"/>
        <v>462</v>
      </c>
      <c r="CP13" s="14">
        <f t="shared" si="28"/>
        <v>231</v>
      </c>
      <c r="CQ13" s="14">
        <f t="shared" si="29"/>
        <v>4620</v>
      </c>
      <c r="CR13" s="24">
        <v>0.1</v>
      </c>
      <c r="CS13" s="14">
        <f t="shared" si="30"/>
        <v>990</v>
      </c>
      <c r="CT13" s="14">
        <f t="shared" si="31"/>
        <v>496</v>
      </c>
      <c r="CU13" s="14">
        <f t="shared" si="32"/>
        <v>9900</v>
      </c>
      <c r="CV13" s="16"/>
      <c r="CW13" s="16"/>
      <c r="CX13" s="13">
        <v>8</v>
      </c>
      <c r="CY13" s="13">
        <v>2</v>
      </c>
      <c r="CZ13" s="13">
        <v>8</v>
      </c>
      <c r="DA13" s="13">
        <v>4</v>
      </c>
      <c r="DB13" s="13" t="s">
        <v>431</v>
      </c>
      <c r="DC13" s="13">
        <v>45</v>
      </c>
      <c r="DD13" s="13">
        <v>45</v>
      </c>
      <c r="DE13" s="24">
        <v>0.2</v>
      </c>
      <c r="DF13" s="14">
        <f t="shared" si="57"/>
        <v>1179</v>
      </c>
      <c r="DG13" s="14">
        <f t="shared" si="58"/>
        <v>539</v>
      </c>
      <c r="DH13" s="14">
        <f t="shared" si="59"/>
        <v>7613</v>
      </c>
      <c r="DI13" s="14">
        <f t="shared" si="34"/>
        <v>102</v>
      </c>
      <c r="DJ13" s="14">
        <f t="shared" si="35"/>
        <v>51</v>
      </c>
      <c r="DK13" s="14">
        <f t="shared" si="36"/>
        <v>816</v>
      </c>
      <c r="DL13" s="14">
        <f t="shared" si="37"/>
        <v>36</v>
      </c>
      <c r="DM13" s="14">
        <f t="shared" si="38"/>
        <v>18</v>
      </c>
      <c r="DN13" s="14">
        <f t="shared" si="39"/>
        <v>286</v>
      </c>
      <c r="DO13" s="14">
        <f t="shared" si="60"/>
        <v>0</v>
      </c>
      <c r="DP13" s="14">
        <f t="shared" si="61"/>
        <v>0</v>
      </c>
      <c r="DQ13" s="14">
        <f t="shared" si="62"/>
        <v>0</v>
      </c>
      <c r="DR13" s="14">
        <f t="shared" si="42"/>
        <v>1281</v>
      </c>
      <c r="DS13" s="14">
        <f t="shared" si="43"/>
        <v>590</v>
      </c>
      <c r="DT13" s="14">
        <f t="shared" si="44"/>
        <v>8429</v>
      </c>
      <c r="DU13" s="16"/>
      <c r="DV13" s="16"/>
      <c r="DW13" s="71" t="s">
        <v>828</v>
      </c>
      <c r="DX13" s="71"/>
      <c r="DY13" s="71"/>
      <c r="DZ13" s="71"/>
      <c r="EA13" s="71"/>
      <c r="EB13" s="71"/>
      <c r="EC13" s="71"/>
      <c r="EF13" s="13" t="s">
        <v>687</v>
      </c>
      <c r="EG13" s="13">
        <v>13</v>
      </c>
      <c r="EH13" s="13">
        <v>7</v>
      </c>
      <c r="EI13" s="13">
        <f t="shared" si="63"/>
        <v>50</v>
      </c>
      <c r="EJ13" s="13">
        <f t="shared" si="45"/>
        <v>571</v>
      </c>
      <c r="EK13" s="13">
        <f t="shared" si="46"/>
        <v>288</v>
      </c>
      <c r="EL13" s="13">
        <f t="shared" si="47"/>
        <v>3840</v>
      </c>
      <c r="EM13" s="14">
        <f t="shared" si="64"/>
        <v>15310</v>
      </c>
      <c r="EN13" s="13">
        <f t="shared" si="48"/>
        <v>560</v>
      </c>
      <c r="EO13" s="13">
        <f t="shared" si="49"/>
        <v>282</v>
      </c>
      <c r="EP13" s="13">
        <f t="shared" si="50"/>
        <v>3910</v>
      </c>
      <c r="EQ13" s="14">
        <f t="shared" si="65"/>
        <v>15150</v>
      </c>
      <c r="ER13" s="13">
        <f t="shared" si="51"/>
        <v>590</v>
      </c>
      <c r="ES13" s="13">
        <f t="shared" si="52"/>
        <v>296</v>
      </c>
      <c r="ET13" s="13">
        <f t="shared" si="53"/>
        <v>4125</v>
      </c>
      <c r="EU13" s="14">
        <f t="shared" si="66"/>
        <v>15945</v>
      </c>
      <c r="EV13" s="14">
        <f t="shared" si="67"/>
        <v>46405</v>
      </c>
      <c r="EW13" s="26">
        <f t="shared" si="68"/>
        <v>0.32992134468268508</v>
      </c>
      <c r="EX13" s="26">
        <f t="shared" si="69"/>
        <v>0.32647344036202997</v>
      </c>
      <c r="EY13" s="26">
        <f t="shared" si="70"/>
        <v>0.34360521495528501</v>
      </c>
    </row>
    <row r="14" spans="1:155" ht="20.100000000000001" customHeight="1" x14ac:dyDescent="0.2">
      <c r="A14" s="13"/>
      <c r="B14" s="13">
        <v>8</v>
      </c>
      <c r="C14" s="13">
        <v>1</v>
      </c>
      <c r="D14" s="13">
        <v>8</v>
      </c>
      <c r="E14" s="13">
        <v>21</v>
      </c>
      <c r="F14" s="13">
        <f t="shared" si="54"/>
        <v>0.52380952380952384</v>
      </c>
      <c r="G14" s="16"/>
      <c r="H14" s="16"/>
      <c r="I14" s="13">
        <v>8</v>
      </c>
      <c r="J14" s="13">
        <v>58</v>
      </c>
      <c r="K14" s="13" t="s">
        <v>430</v>
      </c>
      <c r="L14" s="13">
        <v>15</v>
      </c>
      <c r="M14" s="13">
        <v>8</v>
      </c>
      <c r="N14" s="13" t="s">
        <v>431</v>
      </c>
      <c r="O14" s="13">
        <v>65</v>
      </c>
      <c r="P14" s="13" t="s">
        <v>430</v>
      </c>
      <c r="Q14" s="13">
        <v>18</v>
      </c>
      <c r="R14" s="13">
        <v>9</v>
      </c>
      <c r="S14" s="13" t="s">
        <v>432</v>
      </c>
      <c r="T14" s="13">
        <v>74</v>
      </c>
      <c r="U14" s="13" t="s">
        <v>433</v>
      </c>
      <c r="V14" s="13">
        <v>21</v>
      </c>
      <c r="W14" s="13">
        <v>10</v>
      </c>
      <c r="X14" s="13" t="s">
        <v>433</v>
      </c>
      <c r="Y14" s="16"/>
      <c r="Z14" s="16"/>
      <c r="AA14" s="13">
        <v>8</v>
      </c>
      <c r="AB14" s="13" t="s">
        <v>431</v>
      </c>
      <c r="AC14" s="13">
        <v>45</v>
      </c>
      <c r="AD14" s="13">
        <v>60</v>
      </c>
      <c r="AE14" s="13">
        <v>57</v>
      </c>
      <c r="AF14" s="13">
        <v>2</v>
      </c>
      <c r="AG14" s="13">
        <v>15</v>
      </c>
      <c r="AH14" s="40">
        <v>7.4999999999999997E-2</v>
      </c>
      <c r="AI14" s="32">
        <f t="shared" si="55"/>
        <v>1.075</v>
      </c>
      <c r="AK14" s="13">
        <v>8</v>
      </c>
      <c r="AL14" s="13" t="str">
        <f t="shared" si="10"/>
        <v>众合+1 · 魂火1</v>
      </c>
      <c r="AM14" s="13">
        <f t="shared" si="11"/>
        <v>5</v>
      </c>
      <c r="AN14" s="13">
        <v>1</v>
      </c>
      <c r="AO14" s="13">
        <v>38</v>
      </c>
      <c r="AP14" s="49"/>
      <c r="AQ14" s="32"/>
      <c r="AR14" s="16"/>
      <c r="AS14" s="13">
        <v>9</v>
      </c>
      <c r="AT14" s="13">
        <v>2</v>
      </c>
      <c r="AU14" s="13">
        <v>9</v>
      </c>
      <c r="AV14" s="13" t="s">
        <v>432</v>
      </c>
      <c r="AW14" s="13">
        <v>57</v>
      </c>
      <c r="AX14" s="14">
        <f t="shared" si="56"/>
        <v>8</v>
      </c>
      <c r="AY14" s="13">
        <v>65</v>
      </c>
      <c r="AZ14" s="14">
        <f t="shared" si="12"/>
        <v>1626</v>
      </c>
      <c r="BA14" s="14">
        <f t="shared" si="13"/>
        <v>769</v>
      </c>
      <c r="BB14" s="14">
        <f t="shared" si="14"/>
        <v>11182</v>
      </c>
      <c r="BC14" s="13">
        <v>10</v>
      </c>
      <c r="BD14" s="13">
        <f t="shared" si="15"/>
        <v>5</v>
      </c>
      <c r="BE14" s="14">
        <f t="shared" si="16"/>
        <v>80</v>
      </c>
      <c r="BF14" s="14">
        <f t="shared" si="0"/>
        <v>80</v>
      </c>
      <c r="BG14" s="14">
        <f t="shared" si="1"/>
        <v>40</v>
      </c>
      <c r="BH14" s="14">
        <f t="shared" si="2"/>
        <v>640</v>
      </c>
      <c r="BI14" s="26">
        <v>4.9000000000000002E-2</v>
      </c>
      <c r="BJ14" s="26"/>
      <c r="BK14" s="14">
        <f t="shared" si="3"/>
        <v>80</v>
      </c>
      <c r="BL14" s="14">
        <f t="shared" si="17"/>
        <v>40</v>
      </c>
      <c r="BM14" s="14">
        <f t="shared" si="18"/>
        <v>640</v>
      </c>
      <c r="BN14" s="13">
        <v>3</v>
      </c>
      <c r="BO14" s="26">
        <v>9.1999999999999998E-2</v>
      </c>
      <c r="BP14" s="26"/>
      <c r="BQ14" s="14">
        <f t="shared" si="4"/>
        <v>150</v>
      </c>
      <c r="BR14" s="14">
        <f t="shared" si="19"/>
        <v>75</v>
      </c>
      <c r="BS14" s="14">
        <f t="shared" si="20"/>
        <v>1200</v>
      </c>
      <c r="BT14" s="14">
        <f t="shared" si="5"/>
        <v>2096</v>
      </c>
      <c r="BU14" s="14">
        <f t="shared" si="6"/>
        <v>1004</v>
      </c>
      <c r="BV14" s="14">
        <f t="shared" si="7"/>
        <v>14942</v>
      </c>
      <c r="BW14" s="16"/>
      <c r="BX14" s="13">
        <v>4</v>
      </c>
      <c r="BY14" s="14">
        <f t="shared" si="21"/>
        <v>470</v>
      </c>
      <c r="BZ14" s="14">
        <f t="shared" si="22"/>
        <v>235</v>
      </c>
      <c r="CA14" s="14">
        <f t="shared" si="23"/>
        <v>3760</v>
      </c>
      <c r="CB14" s="16"/>
      <c r="CC14" s="13" t="s">
        <v>656</v>
      </c>
      <c r="CD14" s="16"/>
      <c r="CE14" s="16"/>
      <c r="CF14" s="13">
        <v>3</v>
      </c>
      <c r="CG14" s="13">
        <v>1</v>
      </c>
      <c r="CH14" s="13" t="s">
        <v>424</v>
      </c>
      <c r="CI14" s="14">
        <f t="shared" ref="CI14:CI29" si="74">SUMIFS(BY$6:BY$85,$BX$6:$BX$85,"="&amp;$CG14,$AT$6:$AT$85,"="&amp;$CF14)</f>
        <v>82</v>
      </c>
      <c r="CJ14" s="14">
        <f t="shared" ref="CJ14:CJ29" si="75">SUMIFS(BZ$6:BZ$85,$BX$6:$BX$85,"="&amp;$CG14,$AT$6:$AT$85,"="&amp;$CF14)</f>
        <v>41</v>
      </c>
      <c r="CK14" s="14">
        <f t="shared" ref="CK14:CK29" si="76">SUMIFS(CA$6:CA$85,$BX$6:$BX$85,"="&amp;$CG14,$AT$6:$AT$85,"="&amp;$CF14)</f>
        <v>492</v>
      </c>
      <c r="CL14" s="13">
        <v>1</v>
      </c>
      <c r="CM14" s="13">
        <v>10</v>
      </c>
      <c r="CN14" s="24">
        <v>0.9</v>
      </c>
      <c r="CO14" s="14">
        <f t="shared" si="27"/>
        <v>8</v>
      </c>
      <c r="CP14" s="14">
        <f>ROUND(CJ14/($CM14-$CL14)*$CN14,0)</f>
        <v>4</v>
      </c>
      <c r="CQ14" s="14">
        <f t="shared" si="29"/>
        <v>49</v>
      </c>
      <c r="CR14" s="24">
        <v>0.1</v>
      </c>
      <c r="CS14" s="14">
        <f>ROUND(CI14*$CR14,0)</f>
        <v>8</v>
      </c>
      <c r="CT14" s="14">
        <f>ROUND(CJ14*$CR14,0)</f>
        <v>4</v>
      </c>
      <c r="CU14" s="14">
        <f t="shared" si="32"/>
        <v>49</v>
      </c>
      <c r="CV14" s="16"/>
      <c r="CW14" s="16"/>
      <c r="CX14" s="13">
        <v>9</v>
      </c>
      <c r="CY14" s="13">
        <v>2</v>
      </c>
      <c r="CZ14" s="13">
        <v>9</v>
      </c>
      <c r="DA14" s="13">
        <v>4</v>
      </c>
      <c r="DB14" s="13" t="s">
        <v>432</v>
      </c>
      <c r="DC14" s="13">
        <v>45</v>
      </c>
      <c r="DD14" s="13">
        <v>60</v>
      </c>
      <c r="DE14" s="24">
        <v>0.2</v>
      </c>
      <c r="DF14" s="14">
        <f t="shared" si="57"/>
        <v>1281</v>
      </c>
      <c r="DG14" s="14">
        <f t="shared" si="58"/>
        <v>590</v>
      </c>
      <c r="DH14" s="14">
        <f t="shared" si="59"/>
        <v>8429</v>
      </c>
      <c r="DI14" s="14">
        <f t="shared" si="34"/>
        <v>102</v>
      </c>
      <c r="DJ14" s="14">
        <f t="shared" si="35"/>
        <v>51</v>
      </c>
      <c r="DK14" s="14">
        <f t="shared" si="36"/>
        <v>816</v>
      </c>
      <c r="DL14" s="14">
        <f t="shared" si="37"/>
        <v>36</v>
      </c>
      <c r="DM14" s="14">
        <f t="shared" si="38"/>
        <v>18</v>
      </c>
      <c r="DN14" s="14">
        <f t="shared" si="39"/>
        <v>286</v>
      </c>
      <c r="DO14" s="14">
        <f t="shared" si="60"/>
        <v>540</v>
      </c>
      <c r="DP14" s="14">
        <f t="shared" si="61"/>
        <v>270</v>
      </c>
      <c r="DQ14" s="14">
        <f t="shared" si="62"/>
        <v>4290</v>
      </c>
      <c r="DR14" s="14">
        <f t="shared" si="42"/>
        <v>1923</v>
      </c>
      <c r="DS14" s="14">
        <f t="shared" si="43"/>
        <v>911</v>
      </c>
      <c r="DT14" s="14">
        <f t="shared" si="44"/>
        <v>13535</v>
      </c>
      <c r="DU14" s="16"/>
      <c r="DV14" s="16"/>
      <c r="DW14" s="12" t="s">
        <v>829</v>
      </c>
      <c r="DX14" s="12" t="s">
        <v>830</v>
      </c>
      <c r="DY14" s="12" t="s">
        <v>831</v>
      </c>
      <c r="DZ14" s="12" t="s">
        <v>832</v>
      </c>
      <c r="EA14" s="12" t="s">
        <v>833</v>
      </c>
      <c r="EB14" s="37" t="s">
        <v>883</v>
      </c>
      <c r="EC14" s="37" t="s">
        <v>884</v>
      </c>
      <c r="EF14" s="13" t="s">
        <v>688</v>
      </c>
      <c r="EG14" s="13">
        <v>15</v>
      </c>
      <c r="EH14" s="13">
        <v>8</v>
      </c>
      <c r="EI14" s="13">
        <f t="shared" si="63"/>
        <v>55</v>
      </c>
      <c r="EJ14" s="13">
        <f t="shared" si="45"/>
        <v>646</v>
      </c>
      <c r="EK14" s="13">
        <f t="shared" si="46"/>
        <v>328</v>
      </c>
      <c r="EL14" s="13">
        <f t="shared" si="47"/>
        <v>4440</v>
      </c>
      <c r="EM14" s="14">
        <f t="shared" si="64"/>
        <v>17460</v>
      </c>
      <c r="EN14" s="13">
        <f t="shared" si="48"/>
        <v>730</v>
      </c>
      <c r="EO14" s="13">
        <f t="shared" si="49"/>
        <v>368</v>
      </c>
      <c r="EP14" s="13">
        <f t="shared" si="50"/>
        <v>5270</v>
      </c>
      <c r="EQ14" s="14">
        <f t="shared" si="65"/>
        <v>19930</v>
      </c>
      <c r="ER14" s="13">
        <f t="shared" si="51"/>
        <v>715</v>
      </c>
      <c r="ES14" s="13">
        <f t="shared" si="52"/>
        <v>359</v>
      </c>
      <c r="ET14" s="13">
        <f t="shared" si="53"/>
        <v>5125</v>
      </c>
      <c r="EU14" s="14">
        <f t="shared" si="66"/>
        <v>19455</v>
      </c>
      <c r="EV14" s="14">
        <f t="shared" si="67"/>
        <v>56845</v>
      </c>
      <c r="EW14" s="26">
        <f t="shared" si="68"/>
        <v>0.30715102471633388</v>
      </c>
      <c r="EX14" s="26">
        <f t="shared" si="69"/>
        <v>0.35060251561263084</v>
      </c>
      <c r="EY14" s="26">
        <f t="shared" si="70"/>
        <v>0.34224645967103529</v>
      </c>
    </row>
    <row r="15" spans="1:155" ht="20.100000000000001" customHeight="1" x14ac:dyDescent="0.2">
      <c r="A15" s="13"/>
      <c r="B15" s="13">
        <v>9</v>
      </c>
      <c r="C15" s="13">
        <v>1</v>
      </c>
      <c r="D15" s="13">
        <v>8</v>
      </c>
      <c r="E15" s="13">
        <v>21</v>
      </c>
      <c r="F15" s="13">
        <f t="shared" si="54"/>
        <v>0.52380952380952384</v>
      </c>
      <c r="G15" s="16"/>
      <c r="H15" s="16"/>
      <c r="I15" s="13">
        <v>9</v>
      </c>
      <c r="J15" s="13">
        <v>61</v>
      </c>
      <c r="K15" s="13" t="s">
        <v>430</v>
      </c>
      <c r="L15" s="13">
        <v>16</v>
      </c>
      <c r="M15" s="13">
        <v>8</v>
      </c>
      <c r="N15" s="13" t="s">
        <v>431</v>
      </c>
      <c r="O15" s="13">
        <v>69</v>
      </c>
      <c r="P15" s="13" t="s">
        <v>430</v>
      </c>
      <c r="Q15" s="13">
        <v>19</v>
      </c>
      <c r="R15" s="13">
        <v>9</v>
      </c>
      <c r="S15" s="13" t="s">
        <v>432</v>
      </c>
      <c r="T15" s="13">
        <v>78</v>
      </c>
      <c r="U15" s="13" t="s">
        <v>433</v>
      </c>
      <c r="V15" s="13">
        <v>23</v>
      </c>
      <c r="W15" s="13">
        <v>10</v>
      </c>
      <c r="X15" s="13" t="s">
        <v>433</v>
      </c>
      <c r="Y15" s="16"/>
      <c r="Z15" s="16"/>
      <c r="AA15" s="13">
        <v>9</v>
      </c>
      <c r="AB15" s="13" t="s">
        <v>432</v>
      </c>
      <c r="AC15" s="13">
        <v>50</v>
      </c>
      <c r="AD15" s="13">
        <v>65</v>
      </c>
      <c r="AE15" s="13">
        <v>65</v>
      </c>
      <c r="AF15" s="13">
        <v>3</v>
      </c>
      <c r="AG15" s="13">
        <v>18</v>
      </c>
      <c r="AH15" s="40">
        <v>0.1</v>
      </c>
      <c r="AI15" s="32">
        <f t="shared" si="55"/>
        <v>1.1000000000000001</v>
      </c>
      <c r="AK15" s="13">
        <v>9</v>
      </c>
      <c r="AL15" s="13" t="str">
        <f t="shared" si="10"/>
        <v>众合+1 · 魂火2</v>
      </c>
      <c r="AM15" s="13">
        <f t="shared" si="11"/>
        <v>5</v>
      </c>
      <c r="AN15" s="13">
        <v>2</v>
      </c>
      <c r="AO15" s="13">
        <v>40</v>
      </c>
      <c r="AP15" s="49"/>
      <c r="AQ15" s="32"/>
      <c r="AR15" s="16"/>
      <c r="AS15" s="13">
        <v>10</v>
      </c>
      <c r="AT15" s="13">
        <v>2</v>
      </c>
      <c r="AU15" s="13">
        <v>10</v>
      </c>
      <c r="AV15" s="13" t="s">
        <v>433</v>
      </c>
      <c r="AW15" s="13">
        <v>65</v>
      </c>
      <c r="AX15" s="14">
        <f t="shared" si="56"/>
        <v>7</v>
      </c>
      <c r="AY15" s="13">
        <v>72</v>
      </c>
      <c r="AZ15" s="14">
        <f t="shared" si="12"/>
        <v>2096</v>
      </c>
      <c r="BA15" s="14">
        <f t="shared" si="13"/>
        <v>1004</v>
      </c>
      <c r="BB15" s="14">
        <f t="shared" si="14"/>
        <v>14942</v>
      </c>
      <c r="BC15" s="13">
        <v>12</v>
      </c>
      <c r="BD15" s="13">
        <f t="shared" si="15"/>
        <v>6</v>
      </c>
      <c r="BE15" s="14">
        <f t="shared" si="16"/>
        <v>108</v>
      </c>
      <c r="BF15" s="14">
        <f t="shared" si="0"/>
        <v>84</v>
      </c>
      <c r="BG15" s="14">
        <f t="shared" si="1"/>
        <v>42</v>
      </c>
      <c r="BH15" s="14">
        <f t="shared" si="2"/>
        <v>756</v>
      </c>
      <c r="BI15" s="26">
        <v>4.7800000000000002E-2</v>
      </c>
      <c r="BJ15" s="26"/>
      <c r="BK15" s="14">
        <f t="shared" si="3"/>
        <v>100</v>
      </c>
      <c r="BL15" s="14">
        <f t="shared" si="17"/>
        <v>50</v>
      </c>
      <c r="BM15" s="14">
        <f t="shared" si="18"/>
        <v>900</v>
      </c>
      <c r="BN15" s="13">
        <v>3</v>
      </c>
      <c r="BO15" s="26">
        <v>7.6499999999999999E-2</v>
      </c>
      <c r="BP15" s="26"/>
      <c r="BQ15" s="14">
        <f t="shared" si="4"/>
        <v>160</v>
      </c>
      <c r="BR15" s="14">
        <f t="shared" si="19"/>
        <v>80</v>
      </c>
      <c r="BS15" s="14">
        <f t="shared" si="20"/>
        <v>1440</v>
      </c>
      <c r="BT15" s="14">
        <f t="shared" si="5"/>
        <v>2640</v>
      </c>
      <c r="BU15" s="14">
        <f t="shared" si="6"/>
        <v>1276</v>
      </c>
      <c r="BV15" s="14">
        <f t="shared" si="7"/>
        <v>19838</v>
      </c>
      <c r="BW15" s="16"/>
      <c r="BX15" s="13">
        <v>5</v>
      </c>
      <c r="BY15" s="14">
        <f t="shared" si="21"/>
        <v>544</v>
      </c>
      <c r="BZ15" s="14">
        <f t="shared" si="22"/>
        <v>272</v>
      </c>
      <c r="CA15" s="14">
        <f t="shared" si="23"/>
        <v>4896</v>
      </c>
      <c r="CB15" s="16"/>
      <c r="CC15" s="13" t="s">
        <v>657</v>
      </c>
      <c r="CD15" s="16"/>
      <c r="CE15" s="16"/>
      <c r="CF15" s="13">
        <v>3</v>
      </c>
      <c r="CG15" s="13">
        <v>2</v>
      </c>
      <c r="CH15" s="13" t="s">
        <v>425</v>
      </c>
      <c r="CI15" s="14">
        <f t="shared" si="74"/>
        <v>420</v>
      </c>
      <c r="CJ15" s="14">
        <f t="shared" si="75"/>
        <v>211</v>
      </c>
      <c r="CK15" s="14">
        <f t="shared" si="76"/>
        <v>2520</v>
      </c>
      <c r="CL15" s="13">
        <v>10</v>
      </c>
      <c r="CM15" s="13">
        <v>30</v>
      </c>
      <c r="CN15" s="24">
        <v>0.8</v>
      </c>
      <c r="CO15" s="14">
        <f t="shared" ref="CO15:CO21" si="77">ROUND(CI15/($CM15-$CL15)*$CN15,0)</f>
        <v>17</v>
      </c>
      <c r="CP15" s="14">
        <f t="shared" ref="CP15:CP21" si="78">ROUND(CJ15/($CM15-$CL15)*$CN15,0)</f>
        <v>8</v>
      </c>
      <c r="CQ15" s="14">
        <f t="shared" si="29"/>
        <v>101</v>
      </c>
      <c r="CR15" s="24">
        <v>0.1</v>
      </c>
      <c r="CS15" s="14">
        <f t="shared" ref="CS15:CS21" si="79">ROUND(CI15*$CR15,0)</f>
        <v>42</v>
      </c>
      <c r="CT15" s="14">
        <f t="shared" ref="CT15:CT21" si="80">ROUND(CJ15*$CR15,0)</f>
        <v>21</v>
      </c>
      <c r="CU15" s="14">
        <f t="shared" si="32"/>
        <v>252</v>
      </c>
      <c r="CV15" s="16"/>
      <c r="CW15" s="16"/>
      <c r="CX15" s="13">
        <v>10</v>
      </c>
      <c r="CY15" s="13">
        <v>2</v>
      </c>
      <c r="CZ15" s="13">
        <v>10</v>
      </c>
      <c r="DA15" s="13">
        <v>5</v>
      </c>
      <c r="DB15" s="13" t="s">
        <v>433</v>
      </c>
      <c r="DC15" s="13">
        <v>60</v>
      </c>
      <c r="DD15" s="13">
        <v>60</v>
      </c>
      <c r="DE15" s="24">
        <v>0.2</v>
      </c>
      <c r="DF15" s="14">
        <f t="shared" si="57"/>
        <v>1923</v>
      </c>
      <c r="DG15" s="14">
        <f t="shared" si="58"/>
        <v>911</v>
      </c>
      <c r="DH15" s="14">
        <f t="shared" si="59"/>
        <v>13535</v>
      </c>
      <c r="DI15" s="14">
        <f t="shared" si="34"/>
        <v>217</v>
      </c>
      <c r="DJ15" s="14">
        <f t="shared" si="35"/>
        <v>109</v>
      </c>
      <c r="DK15" s="14">
        <f t="shared" si="36"/>
        <v>1957</v>
      </c>
      <c r="DL15" s="14">
        <f t="shared" si="37"/>
        <v>76</v>
      </c>
      <c r="DM15" s="14">
        <f t="shared" si="38"/>
        <v>38</v>
      </c>
      <c r="DN15" s="14">
        <f t="shared" si="39"/>
        <v>685</v>
      </c>
      <c r="DO15" s="14">
        <f t="shared" si="60"/>
        <v>0</v>
      </c>
      <c r="DP15" s="14">
        <f t="shared" si="61"/>
        <v>0</v>
      </c>
      <c r="DQ15" s="14">
        <f t="shared" si="62"/>
        <v>0</v>
      </c>
      <c r="DR15" s="14">
        <f t="shared" si="42"/>
        <v>2140</v>
      </c>
      <c r="DS15" s="14">
        <f t="shared" si="43"/>
        <v>1020</v>
      </c>
      <c r="DT15" s="14">
        <f t="shared" si="44"/>
        <v>15492</v>
      </c>
      <c r="DU15" s="16"/>
      <c r="DV15" s="16"/>
      <c r="DW15" s="13">
        <v>2</v>
      </c>
      <c r="DX15" s="14">
        <f t="shared" ref="DX15:DZ18" si="81">SUMIFS(BY$6:BY$85,$AT$6:$AT$85,"="&amp;$DW15)</f>
        <v>26765</v>
      </c>
      <c r="DY15" s="14">
        <f t="shared" si="81"/>
        <v>13409</v>
      </c>
      <c r="DZ15" s="14">
        <f t="shared" si="81"/>
        <v>260158</v>
      </c>
      <c r="EA15" s="14">
        <f>SUMPRODUCT(DX$12:DZ$12,DX15:DZ15)</f>
        <v>795988</v>
      </c>
      <c r="EB15" s="14">
        <v>1</v>
      </c>
      <c r="EC15" s="14"/>
      <c r="EF15" s="13" t="s">
        <v>689</v>
      </c>
      <c r="EG15" s="13">
        <v>18</v>
      </c>
      <c r="EH15" s="13">
        <v>9</v>
      </c>
      <c r="EI15" s="13">
        <f t="shared" si="63"/>
        <v>63</v>
      </c>
      <c r="EJ15" s="13">
        <f t="shared" si="45"/>
        <v>766</v>
      </c>
      <c r="EK15" s="13">
        <f t="shared" si="46"/>
        <v>392</v>
      </c>
      <c r="EL15" s="13">
        <f t="shared" si="47"/>
        <v>5400</v>
      </c>
      <c r="EM15" s="14">
        <f t="shared" si="64"/>
        <v>20900</v>
      </c>
      <c r="EN15" s="13">
        <f t="shared" si="48"/>
        <v>1395</v>
      </c>
      <c r="EO15" s="13">
        <f t="shared" si="49"/>
        <v>702</v>
      </c>
      <c r="EP15" s="13">
        <f t="shared" si="50"/>
        <v>10305</v>
      </c>
      <c r="EQ15" s="14">
        <f t="shared" si="65"/>
        <v>38295</v>
      </c>
      <c r="ER15" s="13">
        <f t="shared" si="51"/>
        <v>900</v>
      </c>
      <c r="ES15" s="13">
        <f t="shared" si="52"/>
        <v>452</v>
      </c>
      <c r="ET15" s="13">
        <f t="shared" si="53"/>
        <v>6605</v>
      </c>
      <c r="EU15" s="14">
        <f t="shared" si="66"/>
        <v>24645</v>
      </c>
      <c r="EV15" s="14">
        <f t="shared" si="67"/>
        <v>83840</v>
      </c>
      <c r="EW15" s="26">
        <f t="shared" si="68"/>
        <v>0.24928435114503816</v>
      </c>
      <c r="EX15" s="26">
        <f t="shared" si="69"/>
        <v>0.45676288167938933</v>
      </c>
      <c r="EY15" s="26">
        <f t="shared" si="70"/>
        <v>0.2939527671755725</v>
      </c>
    </row>
    <row r="16" spans="1:155" ht="20.100000000000001" customHeight="1" x14ac:dyDescent="0.2">
      <c r="A16" s="13"/>
      <c r="B16" s="13">
        <v>10</v>
      </c>
      <c r="C16" s="13">
        <v>1</v>
      </c>
      <c r="D16" s="13">
        <v>9</v>
      </c>
      <c r="E16" s="13">
        <v>21</v>
      </c>
      <c r="F16" s="13">
        <f t="shared" si="54"/>
        <v>0.52380952380952384</v>
      </c>
      <c r="G16" s="16"/>
      <c r="H16" s="16"/>
      <c r="I16" s="13">
        <v>10</v>
      </c>
      <c r="J16" s="13">
        <v>64</v>
      </c>
      <c r="K16" s="13" t="s">
        <v>430</v>
      </c>
      <c r="L16" s="13">
        <v>17</v>
      </c>
      <c r="M16" s="13">
        <v>8</v>
      </c>
      <c r="N16" s="13" t="s">
        <v>431</v>
      </c>
      <c r="O16" s="13">
        <v>72</v>
      </c>
      <c r="P16" s="13" t="s">
        <v>433</v>
      </c>
      <c r="Q16" s="13">
        <v>21</v>
      </c>
      <c r="R16" s="13">
        <v>10</v>
      </c>
      <c r="S16" s="13" t="s">
        <v>433</v>
      </c>
      <c r="T16" s="13">
        <v>81</v>
      </c>
      <c r="U16" s="13" t="s">
        <v>433</v>
      </c>
      <c r="V16" s="13">
        <v>24</v>
      </c>
      <c r="W16" s="13">
        <v>11</v>
      </c>
      <c r="X16" s="13" t="s">
        <v>434</v>
      </c>
      <c r="Y16" s="16"/>
      <c r="Z16" s="16"/>
      <c r="AA16" s="13">
        <v>10</v>
      </c>
      <c r="AB16" s="41" t="s">
        <v>433</v>
      </c>
      <c r="AC16" s="13">
        <v>60</v>
      </c>
      <c r="AD16" s="13">
        <v>70</v>
      </c>
      <c r="AE16" s="13">
        <v>72</v>
      </c>
      <c r="AF16" s="13">
        <v>3</v>
      </c>
      <c r="AG16" s="13">
        <v>21</v>
      </c>
      <c r="AH16" s="40">
        <v>7.4999999999999997E-2</v>
      </c>
      <c r="AI16" s="32">
        <f t="shared" si="55"/>
        <v>1.075</v>
      </c>
      <c r="AK16" s="13">
        <v>10</v>
      </c>
      <c r="AL16" s="13" t="str">
        <f t="shared" si="10"/>
        <v>众合+2 · 魂火1</v>
      </c>
      <c r="AM16" s="13">
        <f t="shared" si="11"/>
        <v>6</v>
      </c>
      <c r="AN16" s="13">
        <v>1</v>
      </c>
      <c r="AO16" s="13">
        <v>43</v>
      </c>
      <c r="AP16" s="49"/>
      <c r="AQ16" s="32"/>
      <c r="AR16" s="16"/>
      <c r="AS16" s="13">
        <v>11</v>
      </c>
      <c r="AT16" s="13">
        <v>2</v>
      </c>
      <c r="AU16" s="13">
        <v>11</v>
      </c>
      <c r="AV16" s="13" t="s">
        <v>434</v>
      </c>
      <c r="AW16" s="13">
        <v>72</v>
      </c>
      <c r="AX16" s="14">
        <f t="shared" si="56"/>
        <v>8</v>
      </c>
      <c r="AY16" s="13">
        <v>80</v>
      </c>
      <c r="AZ16" s="14">
        <f t="shared" si="12"/>
        <v>2640</v>
      </c>
      <c r="BA16" s="14">
        <f t="shared" si="13"/>
        <v>1276</v>
      </c>
      <c r="BB16" s="14">
        <f t="shared" si="14"/>
        <v>19838</v>
      </c>
      <c r="BC16" s="13">
        <v>12</v>
      </c>
      <c r="BD16" s="13">
        <f t="shared" si="15"/>
        <v>6</v>
      </c>
      <c r="BE16" s="14">
        <f t="shared" si="16"/>
        <v>108</v>
      </c>
      <c r="BF16" s="14">
        <f t="shared" si="0"/>
        <v>96</v>
      </c>
      <c r="BG16" s="14">
        <f t="shared" si="1"/>
        <v>48</v>
      </c>
      <c r="BH16" s="14">
        <f t="shared" si="2"/>
        <v>864</v>
      </c>
      <c r="BI16" s="26">
        <v>4.9299999999999997E-2</v>
      </c>
      <c r="BJ16" s="26"/>
      <c r="BK16" s="14">
        <f t="shared" si="3"/>
        <v>130</v>
      </c>
      <c r="BL16" s="14">
        <f t="shared" si="17"/>
        <v>65</v>
      </c>
      <c r="BM16" s="14">
        <f t="shared" si="18"/>
        <v>1170</v>
      </c>
      <c r="BN16" s="13">
        <v>3</v>
      </c>
      <c r="BO16" s="26">
        <v>7.5800000000000006E-2</v>
      </c>
      <c r="BP16" s="26"/>
      <c r="BQ16" s="14">
        <f t="shared" si="4"/>
        <v>200</v>
      </c>
      <c r="BR16" s="14">
        <f t="shared" si="19"/>
        <v>100</v>
      </c>
      <c r="BS16" s="14">
        <f t="shared" si="20"/>
        <v>1800</v>
      </c>
      <c r="BT16" s="14">
        <f t="shared" si="5"/>
        <v>3326</v>
      </c>
      <c r="BU16" s="14">
        <f t="shared" si="6"/>
        <v>1619</v>
      </c>
      <c r="BV16" s="14">
        <f t="shared" si="7"/>
        <v>26012</v>
      </c>
      <c r="BW16" s="16"/>
      <c r="BX16" s="13">
        <v>5</v>
      </c>
      <c r="BY16" s="14">
        <f t="shared" si="21"/>
        <v>686</v>
      </c>
      <c r="BZ16" s="14">
        <f t="shared" si="22"/>
        <v>343</v>
      </c>
      <c r="CA16" s="14">
        <f t="shared" si="23"/>
        <v>6174</v>
      </c>
      <c r="CB16" s="16"/>
      <c r="CC16" s="13" t="s">
        <v>658</v>
      </c>
      <c r="CD16" s="16"/>
      <c r="CE16" s="16"/>
      <c r="CF16" s="13">
        <v>3</v>
      </c>
      <c r="CG16" s="13">
        <v>3</v>
      </c>
      <c r="CH16" s="13" t="s">
        <v>427</v>
      </c>
      <c r="CI16" s="14">
        <f t="shared" si="74"/>
        <v>849</v>
      </c>
      <c r="CJ16" s="14">
        <f t="shared" si="75"/>
        <v>426</v>
      </c>
      <c r="CK16" s="14">
        <f t="shared" si="76"/>
        <v>5943</v>
      </c>
      <c r="CL16" s="13">
        <v>30</v>
      </c>
      <c r="CM16" s="13">
        <v>50</v>
      </c>
      <c r="CN16" s="24">
        <v>0.7</v>
      </c>
      <c r="CO16" s="14">
        <f t="shared" si="77"/>
        <v>30</v>
      </c>
      <c r="CP16" s="14">
        <f t="shared" si="78"/>
        <v>15</v>
      </c>
      <c r="CQ16" s="14">
        <f t="shared" si="29"/>
        <v>208</v>
      </c>
      <c r="CR16" s="24">
        <v>0.1</v>
      </c>
      <c r="CS16" s="14">
        <f t="shared" si="79"/>
        <v>85</v>
      </c>
      <c r="CT16" s="14">
        <f t="shared" si="80"/>
        <v>43</v>
      </c>
      <c r="CU16" s="14">
        <f t="shared" si="32"/>
        <v>594</v>
      </c>
      <c r="CV16" s="16"/>
      <c r="CW16" s="16"/>
      <c r="CX16" s="13">
        <v>11</v>
      </c>
      <c r="CY16" s="13">
        <v>2</v>
      </c>
      <c r="CZ16" s="13">
        <v>11</v>
      </c>
      <c r="DA16" s="13">
        <v>5</v>
      </c>
      <c r="DB16" s="13" t="s">
        <v>434</v>
      </c>
      <c r="DC16" s="13">
        <v>60</v>
      </c>
      <c r="DD16" s="13">
        <v>60</v>
      </c>
      <c r="DE16" s="24">
        <v>0.2</v>
      </c>
      <c r="DF16" s="14">
        <f t="shared" si="57"/>
        <v>2140</v>
      </c>
      <c r="DG16" s="14">
        <f t="shared" si="58"/>
        <v>1020</v>
      </c>
      <c r="DH16" s="14">
        <f t="shared" si="59"/>
        <v>15492</v>
      </c>
      <c r="DI16" s="14">
        <f t="shared" si="34"/>
        <v>217</v>
      </c>
      <c r="DJ16" s="14">
        <f t="shared" si="35"/>
        <v>109</v>
      </c>
      <c r="DK16" s="14">
        <f t="shared" si="36"/>
        <v>1957</v>
      </c>
      <c r="DL16" s="14">
        <f t="shared" si="37"/>
        <v>76</v>
      </c>
      <c r="DM16" s="14">
        <f t="shared" si="38"/>
        <v>38</v>
      </c>
      <c r="DN16" s="14">
        <f t="shared" si="39"/>
        <v>685</v>
      </c>
      <c r="DO16" s="14">
        <f t="shared" si="60"/>
        <v>0</v>
      </c>
      <c r="DP16" s="14">
        <f t="shared" si="61"/>
        <v>0</v>
      </c>
      <c r="DQ16" s="14">
        <f t="shared" si="62"/>
        <v>0</v>
      </c>
      <c r="DR16" s="14">
        <f t="shared" si="42"/>
        <v>2357</v>
      </c>
      <c r="DS16" s="14">
        <f t="shared" si="43"/>
        <v>1129</v>
      </c>
      <c r="DT16" s="14">
        <f t="shared" si="44"/>
        <v>17449</v>
      </c>
      <c r="DU16" s="16"/>
      <c r="DV16" s="16"/>
      <c r="DW16" s="13">
        <v>3</v>
      </c>
      <c r="DX16" s="14">
        <f t="shared" si="81"/>
        <v>29996</v>
      </c>
      <c r="DY16" s="14">
        <f t="shared" si="81"/>
        <v>15024</v>
      </c>
      <c r="DZ16" s="14">
        <f t="shared" si="81"/>
        <v>290140</v>
      </c>
      <c r="EA16" s="14">
        <f t="shared" ref="EA16:EA18" si="82">SUMPRODUCT(DX$12:DZ$12,DX16:DZ16)</f>
        <v>890580</v>
      </c>
      <c r="EB16" s="14">
        <f>EA16/EA$15</f>
        <v>1.1188359623511912</v>
      </c>
      <c r="EC16" s="14">
        <f>EB16/EB15</f>
        <v>1.1188359623511912</v>
      </c>
      <c r="EF16" s="13" t="s">
        <v>690</v>
      </c>
      <c r="EG16" s="13">
        <v>21</v>
      </c>
      <c r="EH16" s="13">
        <v>10</v>
      </c>
      <c r="EI16" s="13">
        <f t="shared" si="63"/>
        <v>70</v>
      </c>
      <c r="EJ16" s="13">
        <f t="shared" si="45"/>
        <v>906</v>
      </c>
      <c r="EK16" s="13">
        <f t="shared" si="46"/>
        <v>462</v>
      </c>
      <c r="EL16" s="13">
        <f t="shared" si="47"/>
        <v>6660</v>
      </c>
      <c r="EM16" s="14">
        <f t="shared" si="64"/>
        <v>24960</v>
      </c>
      <c r="EN16" s="13">
        <f t="shared" si="48"/>
        <v>1755</v>
      </c>
      <c r="EO16" s="13">
        <f t="shared" si="49"/>
        <v>882</v>
      </c>
      <c r="EP16" s="13">
        <f t="shared" si="50"/>
        <v>13545</v>
      </c>
      <c r="EQ16" s="14">
        <f t="shared" si="65"/>
        <v>48735</v>
      </c>
      <c r="ER16" s="13">
        <f t="shared" si="51"/>
        <v>1075</v>
      </c>
      <c r="ES16" s="13">
        <f t="shared" si="52"/>
        <v>540</v>
      </c>
      <c r="ET16" s="13">
        <f t="shared" si="53"/>
        <v>8180</v>
      </c>
      <c r="EU16" s="14">
        <f t="shared" si="66"/>
        <v>29730</v>
      </c>
      <c r="EV16" s="14">
        <f t="shared" si="67"/>
        <v>103425</v>
      </c>
      <c r="EW16" s="26">
        <f t="shared" si="68"/>
        <v>0.24133430021754895</v>
      </c>
      <c r="EX16" s="26">
        <f t="shared" si="69"/>
        <v>0.47121102248005803</v>
      </c>
      <c r="EY16" s="26">
        <f t="shared" si="70"/>
        <v>0.28745467730239305</v>
      </c>
    </row>
    <row r="17" spans="1:155" ht="20.100000000000001" customHeight="1" x14ac:dyDescent="0.2">
      <c r="A17" s="13"/>
      <c r="B17" s="13">
        <v>11</v>
      </c>
      <c r="C17" s="13">
        <v>1</v>
      </c>
      <c r="D17" s="13">
        <v>9</v>
      </c>
      <c r="E17" s="13">
        <v>21</v>
      </c>
      <c r="F17" s="13">
        <f t="shared" si="54"/>
        <v>0.52380952380952384</v>
      </c>
      <c r="G17" s="16"/>
      <c r="H17" s="16"/>
      <c r="I17" s="13">
        <v>11</v>
      </c>
      <c r="J17" s="13">
        <v>66</v>
      </c>
      <c r="K17" s="13" t="s">
        <v>430</v>
      </c>
      <c r="L17" s="13">
        <v>18</v>
      </c>
      <c r="M17" s="13">
        <v>9</v>
      </c>
      <c r="N17" s="13" t="s">
        <v>432</v>
      </c>
      <c r="O17" s="13">
        <v>74</v>
      </c>
      <c r="P17" s="13" t="s">
        <v>433</v>
      </c>
      <c r="Q17" s="13">
        <v>21</v>
      </c>
      <c r="R17" s="13">
        <v>10</v>
      </c>
      <c r="S17" s="13" t="s">
        <v>433</v>
      </c>
      <c r="T17" s="13">
        <v>83</v>
      </c>
      <c r="U17" s="13" t="s">
        <v>433</v>
      </c>
      <c r="V17" s="13">
        <v>25</v>
      </c>
      <c r="W17" s="13">
        <v>11</v>
      </c>
      <c r="X17" s="13" t="s">
        <v>434</v>
      </c>
      <c r="Y17" s="16"/>
      <c r="Z17" s="16"/>
      <c r="AA17" s="13">
        <v>11</v>
      </c>
      <c r="AB17" s="13" t="s">
        <v>434</v>
      </c>
      <c r="AC17" s="13">
        <v>65</v>
      </c>
      <c r="AD17" s="13">
        <v>80</v>
      </c>
      <c r="AE17" s="13">
        <v>80</v>
      </c>
      <c r="AF17" s="13">
        <v>3</v>
      </c>
      <c r="AG17" s="13">
        <v>24</v>
      </c>
      <c r="AH17" s="40">
        <v>7.4999999999999997E-2</v>
      </c>
      <c r="AI17" s="32">
        <f t="shared" si="55"/>
        <v>1.075</v>
      </c>
      <c r="AK17" s="13">
        <v>11</v>
      </c>
      <c r="AL17" s="13" t="str">
        <f t="shared" si="10"/>
        <v>众合+2 · 魂火2</v>
      </c>
      <c r="AM17" s="13">
        <f t="shared" si="11"/>
        <v>6</v>
      </c>
      <c r="AN17" s="13">
        <v>2</v>
      </c>
      <c r="AO17" s="13">
        <v>45</v>
      </c>
      <c r="AP17" s="49"/>
      <c r="AQ17" s="32"/>
      <c r="AR17" s="16"/>
      <c r="AS17" s="13">
        <v>12</v>
      </c>
      <c r="AT17" s="13">
        <v>2</v>
      </c>
      <c r="AU17" s="13">
        <v>12</v>
      </c>
      <c r="AV17" s="13" t="s">
        <v>435</v>
      </c>
      <c r="AW17" s="13">
        <v>80</v>
      </c>
      <c r="AX17" s="14">
        <f t="shared" si="56"/>
        <v>7</v>
      </c>
      <c r="AY17" s="13">
        <v>87</v>
      </c>
      <c r="AZ17" s="14">
        <f t="shared" si="12"/>
        <v>3326</v>
      </c>
      <c r="BA17" s="14">
        <f t="shared" si="13"/>
        <v>1619</v>
      </c>
      <c r="BB17" s="14">
        <f t="shared" si="14"/>
        <v>26012</v>
      </c>
      <c r="BC17" s="13">
        <v>12</v>
      </c>
      <c r="BD17" s="13">
        <f t="shared" si="15"/>
        <v>6</v>
      </c>
      <c r="BE17" s="14">
        <f t="shared" si="16"/>
        <v>108</v>
      </c>
      <c r="BF17" s="14">
        <f t="shared" si="0"/>
        <v>84</v>
      </c>
      <c r="BG17" s="14">
        <f t="shared" si="1"/>
        <v>42</v>
      </c>
      <c r="BH17" s="14">
        <f t="shared" si="2"/>
        <v>756</v>
      </c>
      <c r="BI17" s="26">
        <v>5.0999999999999997E-2</v>
      </c>
      <c r="BJ17" s="26"/>
      <c r="BK17" s="14">
        <f t="shared" si="3"/>
        <v>170</v>
      </c>
      <c r="BL17" s="14">
        <f t="shared" si="17"/>
        <v>85</v>
      </c>
      <c r="BM17" s="14">
        <f t="shared" si="18"/>
        <v>1530</v>
      </c>
      <c r="BN17" s="13">
        <v>3</v>
      </c>
      <c r="BO17" s="26">
        <v>0.1053</v>
      </c>
      <c r="BP17" s="26"/>
      <c r="BQ17" s="14">
        <f t="shared" si="4"/>
        <v>350</v>
      </c>
      <c r="BR17" s="14">
        <f t="shared" si="19"/>
        <v>175</v>
      </c>
      <c r="BS17" s="14">
        <f t="shared" si="20"/>
        <v>3150</v>
      </c>
      <c r="BT17" s="14">
        <f t="shared" si="5"/>
        <v>4270</v>
      </c>
      <c r="BU17" s="14">
        <f t="shared" si="6"/>
        <v>2091</v>
      </c>
      <c r="BV17" s="14">
        <f t="shared" si="7"/>
        <v>34508</v>
      </c>
      <c r="BW17" s="16"/>
      <c r="BX17" s="13">
        <v>5</v>
      </c>
      <c r="BY17" s="14">
        <f t="shared" si="21"/>
        <v>944</v>
      </c>
      <c r="BZ17" s="14">
        <f t="shared" si="22"/>
        <v>472</v>
      </c>
      <c r="CA17" s="14">
        <f t="shared" si="23"/>
        <v>8496</v>
      </c>
      <c r="CB17" s="16"/>
      <c r="CC17" s="13" t="s">
        <v>659</v>
      </c>
      <c r="CD17" s="16"/>
      <c r="CE17" s="16"/>
      <c r="CF17" s="13">
        <v>3</v>
      </c>
      <c r="CG17" s="13">
        <v>4</v>
      </c>
      <c r="CH17" s="13" t="s">
        <v>430</v>
      </c>
      <c r="CI17" s="14">
        <f t="shared" si="74"/>
        <v>1325</v>
      </c>
      <c r="CJ17" s="14">
        <f t="shared" si="75"/>
        <v>674</v>
      </c>
      <c r="CK17" s="14">
        <f t="shared" si="76"/>
        <v>10600</v>
      </c>
      <c r="CL17" s="13">
        <v>50</v>
      </c>
      <c r="CM17" s="13">
        <v>70</v>
      </c>
      <c r="CN17" s="24">
        <v>0.7</v>
      </c>
      <c r="CO17" s="14">
        <f t="shared" si="77"/>
        <v>46</v>
      </c>
      <c r="CP17" s="14">
        <f t="shared" si="78"/>
        <v>24</v>
      </c>
      <c r="CQ17" s="14">
        <f t="shared" si="29"/>
        <v>371</v>
      </c>
      <c r="CR17" s="24">
        <v>0.1</v>
      </c>
      <c r="CS17" s="14">
        <f t="shared" si="79"/>
        <v>133</v>
      </c>
      <c r="CT17" s="14">
        <f t="shared" si="80"/>
        <v>67</v>
      </c>
      <c r="CU17" s="14">
        <f t="shared" si="32"/>
        <v>1060</v>
      </c>
      <c r="CV17" s="16"/>
      <c r="CW17" s="16"/>
      <c r="CX17" s="13">
        <v>12</v>
      </c>
      <c r="CY17" s="13">
        <v>2</v>
      </c>
      <c r="CZ17" s="13">
        <v>12</v>
      </c>
      <c r="DA17" s="13">
        <v>5</v>
      </c>
      <c r="DB17" s="13" t="s">
        <v>435</v>
      </c>
      <c r="DC17" s="13">
        <v>60</v>
      </c>
      <c r="DD17" s="13">
        <v>85</v>
      </c>
      <c r="DE17" s="24">
        <v>0.2</v>
      </c>
      <c r="DF17" s="14">
        <f t="shared" si="57"/>
        <v>2357</v>
      </c>
      <c r="DG17" s="14">
        <f t="shared" si="58"/>
        <v>1129</v>
      </c>
      <c r="DH17" s="14">
        <f t="shared" si="59"/>
        <v>17449</v>
      </c>
      <c r="DI17" s="14">
        <f t="shared" si="34"/>
        <v>217</v>
      </c>
      <c r="DJ17" s="14">
        <f t="shared" si="35"/>
        <v>109</v>
      </c>
      <c r="DK17" s="14">
        <f t="shared" si="36"/>
        <v>1957</v>
      </c>
      <c r="DL17" s="14">
        <f t="shared" si="37"/>
        <v>76</v>
      </c>
      <c r="DM17" s="14">
        <f t="shared" si="38"/>
        <v>38</v>
      </c>
      <c r="DN17" s="14">
        <f t="shared" si="39"/>
        <v>685</v>
      </c>
      <c r="DO17" s="14">
        <f t="shared" si="60"/>
        <v>1900</v>
      </c>
      <c r="DP17" s="14">
        <f t="shared" si="61"/>
        <v>950</v>
      </c>
      <c r="DQ17" s="14">
        <f t="shared" si="62"/>
        <v>17125</v>
      </c>
      <c r="DR17" s="14">
        <f t="shared" si="42"/>
        <v>4474</v>
      </c>
      <c r="DS17" s="14">
        <f t="shared" si="43"/>
        <v>2188</v>
      </c>
      <c r="DT17" s="14">
        <f t="shared" si="44"/>
        <v>36531</v>
      </c>
      <c r="DU17" s="16"/>
      <c r="DV17" s="16"/>
      <c r="DW17" s="13">
        <v>4</v>
      </c>
      <c r="DX17" s="14">
        <f t="shared" si="81"/>
        <v>33578</v>
      </c>
      <c r="DY17" s="14">
        <f t="shared" si="81"/>
        <v>16828</v>
      </c>
      <c r="DZ17" s="14">
        <f t="shared" si="81"/>
        <v>323303</v>
      </c>
      <c r="EA17" s="14">
        <f t="shared" si="82"/>
        <v>995643</v>
      </c>
      <c r="EB17" s="14">
        <f t="shared" ref="EB17:EB18" si="83">EA17/EA$15</f>
        <v>1.2508266456278236</v>
      </c>
      <c r="EC17" s="14">
        <f t="shared" ref="EC17:EC18" si="84">EB17/EB16</f>
        <v>1.1179714343461566</v>
      </c>
      <c r="EF17" s="13" t="s">
        <v>691</v>
      </c>
      <c r="EG17" s="13">
        <v>24</v>
      </c>
      <c r="EH17" s="13">
        <v>11</v>
      </c>
      <c r="EI17" s="13">
        <f t="shared" si="63"/>
        <v>78</v>
      </c>
      <c r="EJ17" s="13">
        <f t="shared" si="45"/>
        <v>1066</v>
      </c>
      <c r="EK17" s="13">
        <f t="shared" si="46"/>
        <v>542</v>
      </c>
      <c r="EL17" s="13">
        <f t="shared" si="47"/>
        <v>8100</v>
      </c>
      <c r="EM17" s="14">
        <f t="shared" si="64"/>
        <v>29600</v>
      </c>
      <c r="EN17" s="13">
        <f t="shared" si="48"/>
        <v>2205</v>
      </c>
      <c r="EO17" s="13">
        <f t="shared" si="49"/>
        <v>1107</v>
      </c>
      <c r="EP17" s="13">
        <f t="shared" si="50"/>
        <v>17595</v>
      </c>
      <c r="EQ17" s="14">
        <f t="shared" si="65"/>
        <v>61785</v>
      </c>
      <c r="ER17" s="13">
        <f t="shared" si="51"/>
        <v>1315</v>
      </c>
      <c r="ES17" s="13">
        <f t="shared" si="52"/>
        <v>660</v>
      </c>
      <c r="ET17" s="13">
        <f t="shared" si="53"/>
        <v>10340</v>
      </c>
      <c r="EU17" s="14">
        <f t="shared" si="66"/>
        <v>36690</v>
      </c>
      <c r="EV17" s="14">
        <f t="shared" si="67"/>
        <v>128075</v>
      </c>
      <c r="EW17" s="26">
        <f t="shared" si="68"/>
        <v>0.23111458130001952</v>
      </c>
      <c r="EX17" s="26">
        <f t="shared" si="69"/>
        <v>0.48241264883857116</v>
      </c>
      <c r="EY17" s="26">
        <f t="shared" si="70"/>
        <v>0.28647276986140935</v>
      </c>
    </row>
    <row r="18" spans="1:155" ht="20.100000000000001" customHeight="1" x14ac:dyDescent="0.2">
      <c r="A18" s="13"/>
      <c r="B18" s="13">
        <v>12</v>
      </c>
      <c r="C18" s="13">
        <v>1</v>
      </c>
      <c r="D18" s="13">
        <v>9</v>
      </c>
      <c r="E18" s="13">
        <v>21</v>
      </c>
      <c r="F18" s="13">
        <f t="shared" si="54"/>
        <v>0.52380952380952384</v>
      </c>
      <c r="G18" s="16"/>
      <c r="H18" s="16"/>
      <c r="I18" s="13">
        <v>12</v>
      </c>
      <c r="J18" s="13">
        <v>69</v>
      </c>
      <c r="K18" s="13" t="s">
        <v>430</v>
      </c>
      <c r="L18" s="13">
        <v>19</v>
      </c>
      <c r="M18" s="13">
        <v>9</v>
      </c>
      <c r="N18" s="13" t="s">
        <v>432</v>
      </c>
      <c r="O18" s="13">
        <v>77</v>
      </c>
      <c r="P18" s="13" t="s">
        <v>433</v>
      </c>
      <c r="Q18" s="13">
        <v>23</v>
      </c>
      <c r="R18" s="13">
        <v>10</v>
      </c>
      <c r="S18" s="13" t="s">
        <v>433</v>
      </c>
      <c r="T18" s="13">
        <v>86</v>
      </c>
      <c r="U18" s="13" t="s">
        <v>433</v>
      </c>
      <c r="V18" s="13">
        <v>26</v>
      </c>
      <c r="W18" s="13">
        <v>11</v>
      </c>
      <c r="X18" s="13" t="s">
        <v>434</v>
      </c>
      <c r="Y18" s="16"/>
      <c r="Z18" s="16"/>
      <c r="AA18" s="13">
        <v>12</v>
      </c>
      <c r="AB18" s="13" t="s">
        <v>435</v>
      </c>
      <c r="AC18" s="13">
        <v>70</v>
      </c>
      <c r="AD18" s="13">
        <v>85</v>
      </c>
      <c r="AE18" s="13">
        <v>87</v>
      </c>
      <c r="AF18" s="13">
        <v>3</v>
      </c>
      <c r="AG18" s="13">
        <v>27</v>
      </c>
      <c r="AH18" s="40">
        <v>0.1</v>
      </c>
      <c r="AI18" s="32">
        <f t="shared" si="55"/>
        <v>1.1000000000000001</v>
      </c>
      <c r="AK18" s="13">
        <v>12</v>
      </c>
      <c r="AL18" s="13" t="str">
        <f t="shared" si="10"/>
        <v>叫唤 · 魂火1</v>
      </c>
      <c r="AM18" s="13">
        <f t="shared" si="11"/>
        <v>7</v>
      </c>
      <c r="AN18" s="13">
        <v>1</v>
      </c>
      <c r="AO18" s="13">
        <v>48</v>
      </c>
      <c r="AP18" s="49"/>
      <c r="AQ18" s="32"/>
      <c r="AR18" s="16"/>
      <c r="AS18" s="13">
        <v>13</v>
      </c>
      <c r="AT18" s="13">
        <v>2</v>
      </c>
      <c r="AU18" s="13">
        <v>13</v>
      </c>
      <c r="AV18" s="13" t="s">
        <v>436</v>
      </c>
      <c r="AW18" s="13">
        <v>87</v>
      </c>
      <c r="AX18" s="14">
        <f t="shared" si="56"/>
        <v>8</v>
      </c>
      <c r="AY18" s="13">
        <v>95</v>
      </c>
      <c r="AZ18" s="14">
        <f t="shared" si="12"/>
        <v>4270</v>
      </c>
      <c r="BA18" s="14">
        <f t="shared" si="13"/>
        <v>2091</v>
      </c>
      <c r="BB18" s="14">
        <f t="shared" si="14"/>
        <v>34508</v>
      </c>
      <c r="BC18" s="13">
        <v>15</v>
      </c>
      <c r="BD18" s="13">
        <f t="shared" si="15"/>
        <v>8</v>
      </c>
      <c r="BE18" s="14">
        <f t="shared" si="16"/>
        <v>150</v>
      </c>
      <c r="BF18" s="14">
        <f t="shared" si="0"/>
        <v>120</v>
      </c>
      <c r="BG18" s="14">
        <f t="shared" si="1"/>
        <v>64</v>
      </c>
      <c r="BH18" s="14">
        <f t="shared" si="2"/>
        <v>1200</v>
      </c>
      <c r="BI18" s="26">
        <v>5.1499999999999997E-2</v>
      </c>
      <c r="BJ18" s="26"/>
      <c r="BK18" s="14">
        <f t="shared" si="3"/>
        <v>220</v>
      </c>
      <c r="BL18" s="14">
        <f t="shared" si="17"/>
        <v>110</v>
      </c>
      <c r="BM18" s="14">
        <f t="shared" si="18"/>
        <v>2200</v>
      </c>
      <c r="BN18" s="13">
        <v>3</v>
      </c>
      <c r="BO18" s="26">
        <v>8.2000000000000003E-2</v>
      </c>
      <c r="BP18" s="26"/>
      <c r="BQ18" s="14">
        <f t="shared" si="4"/>
        <v>350</v>
      </c>
      <c r="BR18" s="14">
        <f t="shared" si="19"/>
        <v>175</v>
      </c>
      <c r="BS18" s="14">
        <f t="shared" si="20"/>
        <v>3500</v>
      </c>
      <c r="BT18" s="14">
        <f t="shared" si="5"/>
        <v>5400</v>
      </c>
      <c r="BU18" s="14">
        <f t="shared" si="6"/>
        <v>2660</v>
      </c>
      <c r="BV18" s="14">
        <f t="shared" si="7"/>
        <v>45808</v>
      </c>
      <c r="BW18" s="16"/>
      <c r="BX18" s="13">
        <v>6</v>
      </c>
      <c r="BY18" s="14">
        <f t="shared" si="21"/>
        <v>1130</v>
      </c>
      <c r="BZ18" s="14">
        <f t="shared" si="22"/>
        <v>569</v>
      </c>
      <c r="CA18" s="14">
        <f t="shared" si="23"/>
        <v>11300</v>
      </c>
      <c r="CB18" s="16"/>
      <c r="CC18" s="13" t="s">
        <v>648</v>
      </c>
      <c r="CD18" s="16"/>
      <c r="CE18" s="16"/>
      <c r="CF18" s="13">
        <v>3</v>
      </c>
      <c r="CG18" s="13">
        <v>5</v>
      </c>
      <c r="CH18" s="13" t="s">
        <v>433</v>
      </c>
      <c r="CI18" s="14">
        <f t="shared" si="74"/>
        <v>2615</v>
      </c>
      <c r="CJ18" s="14">
        <f t="shared" si="75"/>
        <v>1308</v>
      </c>
      <c r="CK18" s="14">
        <f t="shared" si="76"/>
        <v>23535</v>
      </c>
      <c r="CL18" s="13">
        <v>70</v>
      </c>
      <c r="CM18" s="13">
        <v>90</v>
      </c>
      <c r="CN18" s="24">
        <v>0.7</v>
      </c>
      <c r="CO18" s="14">
        <f t="shared" si="77"/>
        <v>92</v>
      </c>
      <c r="CP18" s="14">
        <f t="shared" si="78"/>
        <v>46</v>
      </c>
      <c r="CQ18" s="14">
        <f t="shared" si="29"/>
        <v>824</v>
      </c>
      <c r="CR18" s="24">
        <v>0.1</v>
      </c>
      <c r="CS18" s="14">
        <f t="shared" si="79"/>
        <v>262</v>
      </c>
      <c r="CT18" s="14">
        <f t="shared" si="80"/>
        <v>131</v>
      </c>
      <c r="CU18" s="14">
        <f t="shared" si="32"/>
        <v>2354</v>
      </c>
      <c r="CV18" s="16"/>
      <c r="CW18" s="16"/>
      <c r="CX18" s="13">
        <v>13</v>
      </c>
      <c r="CY18" s="13">
        <v>2</v>
      </c>
      <c r="CZ18" s="13">
        <v>13</v>
      </c>
      <c r="DA18" s="13">
        <v>6</v>
      </c>
      <c r="DB18" s="13" t="s">
        <v>436</v>
      </c>
      <c r="DC18" s="13">
        <v>85</v>
      </c>
      <c r="DD18" s="13">
        <v>85</v>
      </c>
      <c r="DE18" s="24">
        <v>0.2</v>
      </c>
      <c r="DF18" s="14">
        <f t="shared" si="57"/>
        <v>4474</v>
      </c>
      <c r="DG18" s="14">
        <f t="shared" si="58"/>
        <v>2188</v>
      </c>
      <c r="DH18" s="14">
        <f t="shared" si="59"/>
        <v>36531</v>
      </c>
      <c r="DI18" s="14">
        <f t="shared" si="34"/>
        <v>432</v>
      </c>
      <c r="DJ18" s="14">
        <f t="shared" si="35"/>
        <v>217</v>
      </c>
      <c r="DK18" s="14">
        <f t="shared" si="36"/>
        <v>4315</v>
      </c>
      <c r="DL18" s="14">
        <f t="shared" si="37"/>
        <v>151</v>
      </c>
      <c r="DM18" s="14">
        <f t="shared" si="38"/>
        <v>76</v>
      </c>
      <c r="DN18" s="14">
        <f t="shared" si="39"/>
        <v>1510</v>
      </c>
      <c r="DO18" s="14">
        <f t="shared" si="60"/>
        <v>0</v>
      </c>
      <c r="DP18" s="14">
        <f t="shared" si="61"/>
        <v>0</v>
      </c>
      <c r="DQ18" s="14">
        <f t="shared" si="62"/>
        <v>0</v>
      </c>
      <c r="DR18" s="14">
        <f t="shared" si="42"/>
        <v>4906</v>
      </c>
      <c r="DS18" s="14">
        <f t="shared" si="43"/>
        <v>2405</v>
      </c>
      <c r="DT18" s="14">
        <f t="shared" si="44"/>
        <v>40846</v>
      </c>
      <c r="DU18" s="16"/>
      <c r="DV18" s="16"/>
      <c r="DW18" s="13">
        <v>5</v>
      </c>
      <c r="DX18" s="14">
        <f t="shared" si="81"/>
        <v>37854</v>
      </c>
      <c r="DY18" s="14">
        <f t="shared" si="81"/>
        <v>18960</v>
      </c>
      <c r="DZ18" s="14">
        <f t="shared" si="81"/>
        <v>363347</v>
      </c>
      <c r="EA18" s="14">
        <f t="shared" si="82"/>
        <v>1121087</v>
      </c>
      <c r="EB18" s="14">
        <f t="shared" si="83"/>
        <v>1.4084219862610994</v>
      </c>
      <c r="EC18" s="14">
        <f t="shared" si="84"/>
        <v>1.125992951288765</v>
      </c>
      <c r="EF18" s="13" t="s">
        <v>692</v>
      </c>
      <c r="EG18" s="13">
        <v>27</v>
      </c>
      <c r="EH18" s="13">
        <v>12</v>
      </c>
      <c r="EI18" s="13">
        <f t="shared" si="63"/>
        <v>85</v>
      </c>
      <c r="EJ18" s="13">
        <f t="shared" si="45"/>
        <v>1206</v>
      </c>
      <c r="EK18" s="13">
        <f t="shared" si="46"/>
        <v>612</v>
      </c>
      <c r="EL18" s="13">
        <f t="shared" si="47"/>
        <v>9360</v>
      </c>
      <c r="EM18" s="14">
        <f t="shared" si="64"/>
        <v>33660</v>
      </c>
      <c r="EN18" s="13">
        <f t="shared" si="48"/>
        <v>2805</v>
      </c>
      <c r="EO18" s="13">
        <f t="shared" si="49"/>
        <v>1407</v>
      </c>
      <c r="EP18" s="13">
        <f t="shared" si="50"/>
        <v>22995</v>
      </c>
      <c r="EQ18" s="14">
        <f t="shared" si="65"/>
        <v>79185</v>
      </c>
      <c r="ER18" s="13">
        <f t="shared" si="51"/>
        <v>1665</v>
      </c>
      <c r="ES18" s="13">
        <f t="shared" si="52"/>
        <v>835</v>
      </c>
      <c r="ET18" s="13">
        <f t="shared" si="53"/>
        <v>13490</v>
      </c>
      <c r="EU18" s="14">
        <f t="shared" si="66"/>
        <v>46840</v>
      </c>
      <c r="EV18" s="14">
        <f t="shared" si="67"/>
        <v>159685</v>
      </c>
      <c r="EW18" s="26">
        <f t="shared" si="68"/>
        <v>0.2107899927983217</v>
      </c>
      <c r="EX18" s="26">
        <f t="shared" si="69"/>
        <v>0.49588251870870775</v>
      </c>
      <c r="EY18" s="26">
        <f t="shared" si="70"/>
        <v>0.29332748849297052</v>
      </c>
    </row>
    <row r="19" spans="1:155" ht="20.100000000000001" customHeight="1" x14ac:dyDescent="0.2">
      <c r="A19" s="13"/>
      <c r="B19" s="13">
        <v>13</v>
      </c>
      <c r="C19" s="13">
        <v>1</v>
      </c>
      <c r="D19" s="13">
        <v>10</v>
      </c>
      <c r="E19" s="13">
        <v>21</v>
      </c>
      <c r="F19" s="13">
        <f t="shared" si="54"/>
        <v>0.52380952380952384</v>
      </c>
      <c r="G19" s="16"/>
      <c r="H19" s="16"/>
      <c r="I19" s="13">
        <v>13</v>
      </c>
      <c r="J19" s="13">
        <v>71</v>
      </c>
      <c r="K19" s="13" t="s">
        <v>433</v>
      </c>
      <c r="L19" s="13">
        <v>20</v>
      </c>
      <c r="M19" s="13">
        <v>9</v>
      </c>
      <c r="N19" s="13" t="s">
        <v>432</v>
      </c>
      <c r="O19" s="13">
        <v>79</v>
      </c>
      <c r="P19" s="13" t="s">
        <v>433</v>
      </c>
      <c r="Q19" s="13">
        <v>23</v>
      </c>
      <c r="R19" s="13">
        <v>10</v>
      </c>
      <c r="S19" s="13" t="s">
        <v>433</v>
      </c>
      <c r="T19" s="13">
        <v>88</v>
      </c>
      <c r="U19" s="13" t="s">
        <v>433</v>
      </c>
      <c r="V19" s="13">
        <v>27</v>
      </c>
      <c r="W19" s="13">
        <v>12</v>
      </c>
      <c r="X19" s="13" t="s">
        <v>435</v>
      </c>
      <c r="Y19" s="16"/>
      <c r="Z19" s="16"/>
      <c r="AA19" s="13">
        <v>13</v>
      </c>
      <c r="AB19" s="41" t="s">
        <v>436</v>
      </c>
      <c r="AC19" s="13">
        <v>80</v>
      </c>
      <c r="AD19" s="13">
        <v>90</v>
      </c>
      <c r="AE19" s="13">
        <v>95</v>
      </c>
      <c r="AF19" s="13">
        <v>3</v>
      </c>
      <c r="AG19" s="13">
        <v>30</v>
      </c>
      <c r="AH19" s="40">
        <v>7.4999999999999997E-2</v>
      </c>
      <c r="AI19" s="32">
        <f t="shared" si="55"/>
        <v>1.075</v>
      </c>
      <c r="AK19" s="13">
        <v>13</v>
      </c>
      <c r="AL19" s="13" t="str">
        <f t="shared" si="10"/>
        <v>叫唤 · 魂火2</v>
      </c>
      <c r="AM19" s="13">
        <f t="shared" si="11"/>
        <v>7</v>
      </c>
      <c r="AN19" s="13">
        <v>2</v>
      </c>
      <c r="AO19" s="13">
        <v>50</v>
      </c>
      <c r="AP19" s="49"/>
      <c r="AQ19" s="32"/>
      <c r="AR19" s="16"/>
      <c r="AS19" s="13">
        <v>14</v>
      </c>
      <c r="AT19" s="13">
        <v>2</v>
      </c>
      <c r="AU19" s="13">
        <v>14</v>
      </c>
      <c r="AV19" s="13" t="s">
        <v>437</v>
      </c>
      <c r="AW19" s="13">
        <v>95</v>
      </c>
      <c r="AX19" s="14">
        <f t="shared" si="56"/>
        <v>7</v>
      </c>
      <c r="AY19" s="13">
        <v>102</v>
      </c>
      <c r="AZ19" s="14">
        <f t="shared" si="12"/>
        <v>5400</v>
      </c>
      <c r="BA19" s="14">
        <f t="shared" si="13"/>
        <v>2660</v>
      </c>
      <c r="BB19" s="14">
        <f t="shared" si="14"/>
        <v>45808</v>
      </c>
      <c r="BC19" s="13">
        <v>15</v>
      </c>
      <c r="BD19" s="13">
        <f t="shared" si="15"/>
        <v>8</v>
      </c>
      <c r="BE19" s="14">
        <f t="shared" si="16"/>
        <v>150</v>
      </c>
      <c r="BF19" s="14">
        <f t="shared" si="0"/>
        <v>105</v>
      </c>
      <c r="BG19" s="14">
        <f t="shared" si="1"/>
        <v>56</v>
      </c>
      <c r="BH19" s="14">
        <f t="shared" si="2"/>
        <v>1050</v>
      </c>
      <c r="BI19" s="26">
        <v>0.05</v>
      </c>
      <c r="BJ19" s="26"/>
      <c r="BK19" s="14">
        <f t="shared" si="3"/>
        <v>270</v>
      </c>
      <c r="BL19" s="14">
        <f t="shared" si="17"/>
        <v>135</v>
      </c>
      <c r="BM19" s="14">
        <f t="shared" si="18"/>
        <v>2700</v>
      </c>
      <c r="BN19" s="13">
        <v>3</v>
      </c>
      <c r="BO19" s="26">
        <v>7.3999999999999996E-2</v>
      </c>
      <c r="BP19" s="26"/>
      <c r="BQ19" s="14">
        <f t="shared" si="4"/>
        <v>400</v>
      </c>
      <c r="BR19" s="14">
        <f t="shared" si="19"/>
        <v>200</v>
      </c>
      <c r="BS19" s="14">
        <f t="shared" si="20"/>
        <v>4000</v>
      </c>
      <c r="BT19" s="14">
        <f t="shared" si="5"/>
        <v>6715</v>
      </c>
      <c r="BU19" s="14">
        <f t="shared" si="6"/>
        <v>3321</v>
      </c>
      <c r="BV19" s="14">
        <f t="shared" si="7"/>
        <v>58958</v>
      </c>
      <c r="BW19" s="16"/>
      <c r="BX19" s="13">
        <v>6</v>
      </c>
      <c r="BY19" s="14">
        <f t="shared" si="21"/>
        <v>1315</v>
      </c>
      <c r="BZ19" s="14">
        <f t="shared" si="22"/>
        <v>661</v>
      </c>
      <c r="CA19" s="14">
        <f t="shared" si="23"/>
        <v>13150</v>
      </c>
      <c r="CB19" s="16"/>
      <c r="CC19" s="13" t="s">
        <v>660</v>
      </c>
      <c r="CD19" s="16"/>
      <c r="CE19" s="16"/>
      <c r="CF19" s="13">
        <v>3</v>
      </c>
      <c r="CG19" s="13">
        <v>6</v>
      </c>
      <c r="CH19" s="13" t="s">
        <v>436</v>
      </c>
      <c r="CI19" s="14">
        <f t="shared" si="74"/>
        <v>5025</v>
      </c>
      <c r="CJ19" s="14">
        <f t="shared" si="75"/>
        <v>2524</v>
      </c>
      <c r="CK19" s="14">
        <f t="shared" si="76"/>
        <v>50250</v>
      </c>
      <c r="CL19" s="13">
        <v>90</v>
      </c>
      <c r="CM19" s="13">
        <v>110</v>
      </c>
      <c r="CN19" s="24">
        <v>0.7</v>
      </c>
      <c r="CO19" s="14">
        <f t="shared" si="77"/>
        <v>176</v>
      </c>
      <c r="CP19" s="14">
        <f t="shared" si="78"/>
        <v>88</v>
      </c>
      <c r="CQ19" s="14">
        <f t="shared" si="29"/>
        <v>1759</v>
      </c>
      <c r="CR19" s="24">
        <v>0.1</v>
      </c>
      <c r="CS19" s="14">
        <f t="shared" si="79"/>
        <v>503</v>
      </c>
      <c r="CT19" s="14">
        <f t="shared" si="80"/>
        <v>252</v>
      </c>
      <c r="CU19" s="14">
        <f t="shared" si="32"/>
        <v>5025</v>
      </c>
      <c r="CV19" s="16"/>
      <c r="CW19" s="16"/>
      <c r="CX19" s="13">
        <v>14</v>
      </c>
      <c r="CY19" s="13">
        <v>2</v>
      </c>
      <c r="CZ19" s="13">
        <v>14</v>
      </c>
      <c r="DA19" s="13">
        <v>6</v>
      </c>
      <c r="DB19" s="13" t="s">
        <v>437</v>
      </c>
      <c r="DC19" s="13">
        <v>85</v>
      </c>
      <c r="DD19" s="13">
        <v>85</v>
      </c>
      <c r="DE19" s="24">
        <v>0.2</v>
      </c>
      <c r="DF19" s="14">
        <f t="shared" si="57"/>
        <v>4906</v>
      </c>
      <c r="DG19" s="14">
        <f t="shared" si="58"/>
        <v>2405</v>
      </c>
      <c r="DH19" s="14">
        <f t="shared" si="59"/>
        <v>40846</v>
      </c>
      <c r="DI19" s="14">
        <f t="shared" si="34"/>
        <v>432</v>
      </c>
      <c r="DJ19" s="14">
        <f t="shared" si="35"/>
        <v>217</v>
      </c>
      <c r="DK19" s="14">
        <f t="shared" si="36"/>
        <v>4315</v>
      </c>
      <c r="DL19" s="14">
        <f t="shared" si="37"/>
        <v>151</v>
      </c>
      <c r="DM19" s="14">
        <f t="shared" si="38"/>
        <v>76</v>
      </c>
      <c r="DN19" s="14">
        <f t="shared" si="39"/>
        <v>1510</v>
      </c>
      <c r="DO19" s="14">
        <f t="shared" si="60"/>
        <v>0</v>
      </c>
      <c r="DP19" s="14">
        <f t="shared" si="61"/>
        <v>0</v>
      </c>
      <c r="DQ19" s="14">
        <f t="shared" si="62"/>
        <v>0</v>
      </c>
      <c r="DR19" s="14">
        <f t="shared" si="42"/>
        <v>5338</v>
      </c>
      <c r="DS19" s="14">
        <f t="shared" si="43"/>
        <v>2622</v>
      </c>
      <c r="DT19" s="14">
        <f t="shared" si="44"/>
        <v>45161</v>
      </c>
      <c r="DU19" s="16"/>
      <c r="DV19" s="16"/>
      <c r="EF19" s="13" t="s">
        <v>693</v>
      </c>
      <c r="EG19" s="13">
        <v>30</v>
      </c>
      <c r="EH19" s="13">
        <v>13</v>
      </c>
      <c r="EI19" s="13">
        <f t="shared" si="63"/>
        <v>93</v>
      </c>
      <c r="EJ19" s="13">
        <f t="shared" si="45"/>
        <v>1406</v>
      </c>
      <c r="EK19" s="13">
        <f t="shared" si="46"/>
        <v>716</v>
      </c>
      <c r="EL19" s="13">
        <f t="shared" si="47"/>
        <v>11360</v>
      </c>
      <c r="EM19" s="14">
        <f t="shared" si="64"/>
        <v>39740</v>
      </c>
      <c r="EN19" s="13">
        <f t="shared" si="48"/>
        <v>3555</v>
      </c>
      <c r="EO19" s="13">
        <f t="shared" si="49"/>
        <v>1782</v>
      </c>
      <c r="EP19" s="13">
        <f t="shared" si="50"/>
        <v>30495</v>
      </c>
      <c r="EQ19" s="14">
        <f t="shared" si="65"/>
        <v>101685</v>
      </c>
      <c r="ER19" s="13">
        <f t="shared" si="51"/>
        <v>2065</v>
      </c>
      <c r="ES19" s="13">
        <f t="shared" si="52"/>
        <v>1035</v>
      </c>
      <c r="ET19" s="13">
        <f t="shared" si="53"/>
        <v>17490</v>
      </c>
      <c r="EU19" s="14">
        <f t="shared" si="66"/>
        <v>58840</v>
      </c>
      <c r="EV19" s="14">
        <f t="shared" si="67"/>
        <v>200265</v>
      </c>
      <c r="EW19" s="26">
        <f t="shared" si="68"/>
        <v>0.19843707088108256</v>
      </c>
      <c r="EX19" s="26">
        <f t="shared" si="69"/>
        <v>0.50775222829750577</v>
      </c>
      <c r="EY19" s="26">
        <f t="shared" si="70"/>
        <v>0.29381070082141164</v>
      </c>
    </row>
    <row r="20" spans="1:155" ht="20.100000000000001" customHeight="1" x14ac:dyDescent="0.2">
      <c r="A20" s="13"/>
      <c r="B20" s="13">
        <v>14</v>
      </c>
      <c r="C20" s="13">
        <v>1</v>
      </c>
      <c r="D20" s="13">
        <v>10</v>
      </c>
      <c r="E20" s="13">
        <v>21</v>
      </c>
      <c r="F20" s="13">
        <f t="shared" si="54"/>
        <v>0.52380952380952384</v>
      </c>
      <c r="G20" s="16"/>
      <c r="H20" s="16"/>
      <c r="I20" s="13">
        <v>14</v>
      </c>
      <c r="J20" s="13">
        <v>73</v>
      </c>
      <c r="K20" s="13" t="s">
        <v>433</v>
      </c>
      <c r="L20" s="13">
        <v>21</v>
      </c>
      <c r="M20" s="13">
        <v>10</v>
      </c>
      <c r="N20" s="13" t="s">
        <v>433</v>
      </c>
      <c r="O20" s="13">
        <v>82</v>
      </c>
      <c r="P20" s="13" t="s">
        <v>433</v>
      </c>
      <c r="Q20" s="13">
        <v>25</v>
      </c>
      <c r="R20" s="13">
        <v>11</v>
      </c>
      <c r="S20" s="13" t="s">
        <v>434</v>
      </c>
      <c r="T20" s="13">
        <v>90</v>
      </c>
      <c r="U20" s="13" t="s">
        <v>436</v>
      </c>
      <c r="V20" s="13">
        <v>28</v>
      </c>
      <c r="W20" s="13">
        <v>12</v>
      </c>
      <c r="X20" s="13" t="s">
        <v>435</v>
      </c>
      <c r="Y20" s="16"/>
      <c r="Z20" s="16"/>
      <c r="AA20" s="13">
        <v>14</v>
      </c>
      <c r="AB20" s="13" t="s">
        <v>437</v>
      </c>
      <c r="AC20" s="13">
        <v>85</v>
      </c>
      <c r="AD20" s="13">
        <v>100</v>
      </c>
      <c r="AE20" s="13">
        <v>102</v>
      </c>
      <c r="AF20" s="13">
        <v>3</v>
      </c>
      <c r="AG20" s="13">
        <v>33</v>
      </c>
      <c r="AH20" s="40">
        <v>7.4999999999999997E-2</v>
      </c>
      <c r="AI20" s="32">
        <f t="shared" si="55"/>
        <v>1.075</v>
      </c>
      <c r="AK20" s="13">
        <v>14</v>
      </c>
      <c r="AL20" s="13" t="str">
        <f t="shared" si="10"/>
        <v>叫唤+1 · 魂火1</v>
      </c>
      <c r="AM20" s="13">
        <f t="shared" si="11"/>
        <v>8</v>
      </c>
      <c r="AN20" s="13">
        <v>1</v>
      </c>
      <c r="AO20" s="13">
        <v>53</v>
      </c>
      <c r="AP20" s="49"/>
      <c r="AQ20" s="32"/>
      <c r="AR20" s="16"/>
      <c r="AS20" s="13">
        <v>15</v>
      </c>
      <c r="AT20" s="13">
        <v>2</v>
      </c>
      <c r="AU20" s="13">
        <v>15</v>
      </c>
      <c r="AV20" s="13" t="s">
        <v>438</v>
      </c>
      <c r="AW20" s="13">
        <v>102</v>
      </c>
      <c r="AX20" s="14">
        <f t="shared" si="56"/>
        <v>8</v>
      </c>
      <c r="AY20" s="13">
        <v>110</v>
      </c>
      <c r="AZ20" s="14">
        <f t="shared" si="12"/>
        <v>6715</v>
      </c>
      <c r="BA20" s="14">
        <f t="shared" si="13"/>
        <v>3321</v>
      </c>
      <c r="BB20" s="14">
        <f t="shared" si="14"/>
        <v>58958</v>
      </c>
      <c r="BC20" s="13">
        <v>15</v>
      </c>
      <c r="BD20" s="13">
        <f t="shared" si="15"/>
        <v>8</v>
      </c>
      <c r="BE20" s="14">
        <f t="shared" si="16"/>
        <v>150</v>
      </c>
      <c r="BF20" s="14">
        <f t="shared" si="0"/>
        <v>120</v>
      </c>
      <c r="BG20" s="14">
        <f t="shared" si="1"/>
        <v>64</v>
      </c>
      <c r="BH20" s="14">
        <f t="shared" si="2"/>
        <v>1200</v>
      </c>
      <c r="BI20" s="26">
        <v>5.21E-2</v>
      </c>
      <c r="BJ20" s="26"/>
      <c r="BK20" s="14">
        <f t="shared" si="3"/>
        <v>350</v>
      </c>
      <c r="BL20" s="14">
        <f t="shared" si="17"/>
        <v>175</v>
      </c>
      <c r="BM20" s="14">
        <f t="shared" si="18"/>
        <v>3500</v>
      </c>
      <c r="BN20" s="13">
        <v>3</v>
      </c>
      <c r="BO20" s="26">
        <v>0.1042</v>
      </c>
      <c r="BP20" s="26"/>
      <c r="BQ20" s="14">
        <f t="shared" si="4"/>
        <v>700</v>
      </c>
      <c r="BR20" s="14">
        <f t="shared" si="19"/>
        <v>350</v>
      </c>
      <c r="BS20" s="14">
        <f t="shared" si="20"/>
        <v>7000</v>
      </c>
      <c r="BT20" s="14">
        <f t="shared" si="5"/>
        <v>8585</v>
      </c>
      <c r="BU20" s="14">
        <f t="shared" si="6"/>
        <v>4260</v>
      </c>
      <c r="BV20" s="14">
        <f t="shared" si="7"/>
        <v>77658</v>
      </c>
      <c r="BW20" s="16"/>
      <c r="BX20" s="13">
        <v>6</v>
      </c>
      <c r="BY20" s="14">
        <f t="shared" si="21"/>
        <v>1870</v>
      </c>
      <c r="BZ20" s="14">
        <f t="shared" si="22"/>
        <v>939</v>
      </c>
      <c r="CA20" s="14">
        <f t="shared" si="23"/>
        <v>18700</v>
      </c>
      <c r="CB20" s="16"/>
      <c r="CC20" s="13" t="s">
        <v>649</v>
      </c>
      <c r="CD20" s="16"/>
      <c r="CE20" s="16"/>
      <c r="CF20" s="13">
        <v>3</v>
      </c>
      <c r="CG20" s="13">
        <v>7</v>
      </c>
      <c r="CH20" s="13" t="s">
        <v>439</v>
      </c>
      <c r="CI20" s="14">
        <f t="shared" si="74"/>
        <v>9260</v>
      </c>
      <c r="CJ20" s="14">
        <f t="shared" si="75"/>
        <v>4630</v>
      </c>
      <c r="CK20" s="14">
        <f t="shared" si="76"/>
        <v>92600</v>
      </c>
      <c r="CL20" s="13">
        <v>110</v>
      </c>
      <c r="CM20" s="13">
        <v>135</v>
      </c>
      <c r="CN20" s="24">
        <v>0.7</v>
      </c>
      <c r="CO20" s="14">
        <f t="shared" si="77"/>
        <v>259</v>
      </c>
      <c r="CP20" s="14">
        <f t="shared" si="78"/>
        <v>130</v>
      </c>
      <c r="CQ20" s="14">
        <f t="shared" si="29"/>
        <v>2593</v>
      </c>
      <c r="CR20" s="24">
        <v>0.1</v>
      </c>
      <c r="CS20" s="14">
        <f t="shared" si="79"/>
        <v>926</v>
      </c>
      <c r="CT20" s="14">
        <f t="shared" si="80"/>
        <v>463</v>
      </c>
      <c r="CU20" s="14">
        <f t="shared" si="32"/>
        <v>9260</v>
      </c>
      <c r="CV20" s="16"/>
      <c r="CW20" s="16"/>
      <c r="CX20" s="13">
        <v>15</v>
      </c>
      <c r="CY20" s="13">
        <v>2</v>
      </c>
      <c r="CZ20" s="13">
        <v>15</v>
      </c>
      <c r="DA20" s="13">
        <v>6</v>
      </c>
      <c r="DB20" s="13" t="s">
        <v>438</v>
      </c>
      <c r="DC20" s="13">
        <v>85</v>
      </c>
      <c r="DD20" s="13">
        <v>110</v>
      </c>
      <c r="DE20" s="24">
        <v>0.2</v>
      </c>
      <c r="DF20" s="14">
        <f t="shared" si="57"/>
        <v>5338</v>
      </c>
      <c r="DG20" s="14">
        <f t="shared" si="58"/>
        <v>2622</v>
      </c>
      <c r="DH20" s="14">
        <f t="shared" si="59"/>
        <v>45161</v>
      </c>
      <c r="DI20" s="14">
        <f t="shared" si="34"/>
        <v>432</v>
      </c>
      <c r="DJ20" s="14">
        <f t="shared" si="35"/>
        <v>217</v>
      </c>
      <c r="DK20" s="14">
        <f t="shared" si="36"/>
        <v>4315</v>
      </c>
      <c r="DL20" s="14">
        <f t="shared" si="37"/>
        <v>151</v>
      </c>
      <c r="DM20" s="14">
        <f t="shared" si="38"/>
        <v>76</v>
      </c>
      <c r="DN20" s="14">
        <f t="shared" si="39"/>
        <v>1510</v>
      </c>
      <c r="DO20" s="14">
        <f>DL20*($DD20-$DC20)</f>
        <v>3775</v>
      </c>
      <c r="DP20" s="14">
        <f t="shared" si="61"/>
        <v>1900</v>
      </c>
      <c r="DQ20" s="14">
        <f t="shared" si="62"/>
        <v>37750</v>
      </c>
      <c r="DR20" s="14">
        <f>DF20+DI20+DO20</f>
        <v>9545</v>
      </c>
      <c r="DS20" s="14">
        <f t="shared" si="43"/>
        <v>4739</v>
      </c>
      <c r="DT20" s="14">
        <f t="shared" si="44"/>
        <v>87226</v>
      </c>
      <c r="DU20" s="16"/>
      <c r="DV20" s="16"/>
      <c r="EF20" s="13" t="s">
        <v>694</v>
      </c>
      <c r="EG20" s="13">
        <v>33</v>
      </c>
      <c r="EH20" s="13">
        <v>14</v>
      </c>
      <c r="EI20" s="13">
        <f t="shared" si="63"/>
        <v>100</v>
      </c>
      <c r="EJ20" s="13">
        <f t="shared" si="45"/>
        <v>1581</v>
      </c>
      <c r="EK20" s="13">
        <f t="shared" si="46"/>
        <v>807</v>
      </c>
      <c r="EL20" s="13">
        <f t="shared" si="47"/>
        <v>13110</v>
      </c>
      <c r="EM20" s="14">
        <f t="shared" si="64"/>
        <v>45060</v>
      </c>
      <c r="EN20" s="13">
        <f t="shared" si="48"/>
        <v>4455</v>
      </c>
      <c r="EO20" s="13">
        <f t="shared" si="49"/>
        <v>2232</v>
      </c>
      <c r="EP20" s="13">
        <f t="shared" si="50"/>
        <v>39495</v>
      </c>
      <c r="EQ20" s="14">
        <f t="shared" si="65"/>
        <v>128685</v>
      </c>
      <c r="ER20" s="13">
        <f t="shared" si="51"/>
        <v>2515</v>
      </c>
      <c r="ES20" s="13">
        <f t="shared" si="52"/>
        <v>1260</v>
      </c>
      <c r="ET20" s="13">
        <f t="shared" si="53"/>
        <v>21990</v>
      </c>
      <c r="EU20" s="14">
        <f t="shared" si="66"/>
        <v>72340</v>
      </c>
      <c r="EV20" s="14">
        <f t="shared" si="67"/>
        <v>246085</v>
      </c>
      <c r="EW20" s="26">
        <f t="shared" si="68"/>
        <v>0.18310746286852103</v>
      </c>
      <c r="EX20" s="26">
        <f t="shared" si="69"/>
        <v>0.52292906922404858</v>
      </c>
      <c r="EY20" s="26">
        <f t="shared" si="70"/>
        <v>0.29396346790743039</v>
      </c>
    </row>
    <row r="21" spans="1:155" ht="20.100000000000001" customHeight="1" x14ac:dyDescent="0.2">
      <c r="A21" s="13"/>
      <c r="B21" s="13">
        <v>15</v>
      </c>
      <c r="C21" s="13">
        <v>1</v>
      </c>
      <c r="D21" s="13">
        <v>10</v>
      </c>
      <c r="E21" s="13">
        <v>21</v>
      </c>
      <c r="F21" s="13">
        <f t="shared" si="54"/>
        <v>0.52380952380952384</v>
      </c>
      <c r="G21" s="16"/>
      <c r="H21" s="16"/>
      <c r="I21" s="13">
        <v>15</v>
      </c>
      <c r="J21" s="13">
        <v>75</v>
      </c>
      <c r="K21" s="13" t="s">
        <v>433</v>
      </c>
      <c r="L21" s="13">
        <v>22</v>
      </c>
      <c r="M21" s="13">
        <v>10</v>
      </c>
      <c r="N21" s="13" t="s">
        <v>433</v>
      </c>
      <c r="O21" s="13">
        <v>83</v>
      </c>
      <c r="P21" s="13" t="s">
        <v>433</v>
      </c>
      <c r="Q21" s="13">
        <v>25</v>
      </c>
      <c r="R21" s="13">
        <v>11</v>
      </c>
      <c r="S21" s="13" t="s">
        <v>434</v>
      </c>
      <c r="T21" s="13">
        <v>93</v>
      </c>
      <c r="U21" s="13" t="s">
        <v>436</v>
      </c>
      <c r="V21" s="13">
        <v>29</v>
      </c>
      <c r="W21" s="13">
        <v>12</v>
      </c>
      <c r="X21" s="13" t="s">
        <v>435</v>
      </c>
      <c r="Y21" s="16"/>
      <c r="Z21" s="16"/>
      <c r="AA21" s="13">
        <v>15</v>
      </c>
      <c r="AB21" s="13" t="s">
        <v>438</v>
      </c>
      <c r="AC21" s="13">
        <v>90</v>
      </c>
      <c r="AD21" s="13">
        <v>110</v>
      </c>
      <c r="AE21" s="13">
        <v>110</v>
      </c>
      <c r="AF21" s="13">
        <v>3</v>
      </c>
      <c r="AG21" s="13">
        <v>36</v>
      </c>
      <c r="AH21" s="40">
        <v>0.1</v>
      </c>
      <c r="AI21" s="32">
        <f t="shared" si="55"/>
        <v>1.1000000000000001</v>
      </c>
      <c r="AK21" s="13">
        <v>15</v>
      </c>
      <c r="AL21" s="13" t="str">
        <f t="shared" si="10"/>
        <v>叫唤+1 · 魂火2</v>
      </c>
      <c r="AM21" s="13">
        <f t="shared" si="11"/>
        <v>8</v>
      </c>
      <c r="AN21" s="13">
        <v>2</v>
      </c>
      <c r="AO21" s="13">
        <v>55</v>
      </c>
      <c r="AP21" s="49"/>
      <c r="AQ21" s="32"/>
      <c r="AR21" s="16"/>
      <c r="AS21" s="13">
        <v>16</v>
      </c>
      <c r="AT21" s="13">
        <v>2</v>
      </c>
      <c r="AU21" s="13">
        <v>16</v>
      </c>
      <c r="AV21" s="13" t="s">
        <v>439</v>
      </c>
      <c r="AW21" s="13">
        <v>110</v>
      </c>
      <c r="AX21" s="14">
        <f t="shared" si="56"/>
        <v>7</v>
      </c>
      <c r="AY21" s="13">
        <v>117</v>
      </c>
      <c r="AZ21" s="14">
        <f t="shared" si="12"/>
        <v>8585</v>
      </c>
      <c r="BA21" s="14">
        <f t="shared" si="13"/>
        <v>4260</v>
      </c>
      <c r="BB21" s="14">
        <f t="shared" si="14"/>
        <v>77658</v>
      </c>
      <c r="BC21" s="13">
        <v>20</v>
      </c>
      <c r="BD21" s="13">
        <f t="shared" si="15"/>
        <v>10</v>
      </c>
      <c r="BE21" s="14">
        <f t="shared" si="16"/>
        <v>200</v>
      </c>
      <c r="BF21" s="14">
        <f t="shared" si="0"/>
        <v>140</v>
      </c>
      <c r="BG21" s="14">
        <f t="shared" si="1"/>
        <v>70</v>
      </c>
      <c r="BH21" s="14">
        <f t="shared" si="2"/>
        <v>1400</v>
      </c>
      <c r="BI21" s="26">
        <v>5.2400000000000002E-2</v>
      </c>
      <c r="BJ21" s="26"/>
      <c r="BK21" s="14">
        <f t="shared" si="3"/>
        <v>450</v>
      </c>
      <c r="BL21" s="14">
        <f t="shared" si="17"/>
        <v>225</v>
      </c>
      <c r="BM21" s="14">
        <f t="shared" si="18"/>
        <v>4500</v>
      </c>
      <c r="BN21" s="13">
        <v>3</v>
      </c>
      <c r="BO21" s="26">
        <v>8.1500000000000003E-2</v>
      </c>
      <c r="BP21" s="26"/>
      <c r="BQ21" s="14">
        <f t="shared" si="4"/>
        <v>700</v>
      </c>
      <c r="BR21" s="14">
        <f t="shared" si="19"/>
        <v>350</v>
      </c>
      <c r="BS21" s="14">
        <f t="shared" si="20"/>
        <v>7000</v>
      </c>
      <c r="BT21" s="14">
        <f t="shared" si="5"/>
        <v>10775</v>
      </c>
      <c r="BU21" s="14">
        <f t="shared" si="6"/>
        <v>5355</v>
      </c>
      <c r="BV21" s="14">
        <f t="shared" si="7"/>
        <v>99558</v>
      </c>
      <c r="BW21" s="16"/>
      <c r="BX21" s="13">
        <v>7</v>
      </c>
      <c r="BY21" s="14">
        <f t="shared" si="21"/>
        <v>2190</v>
      </c>
      <c r="BZ21" s="14">
        <f t="shared" si="22"/>
        <v>1095</v>
      </c>
      <c r="CA21" s="14">
        <f t="shared" si="23"/>
        <v>21900</v>
      </c>
      <c r="CB21" s="16"/>
      <c r="CC21" s="13" t="s">
        <v>661</v>
      </c>
      <c r="CD21" s="16"/>
      <c r="CE21" s="16"/>
      <c r="CF21" s="13">
        <v>3</v>
      </c>
      <c r="CG21" s="13">
        <v>8</v>
      </c>
      <c r="CH21" s="13" t="s">
        <v>442</v>
      </c>
      <c r="CI21" s="14">
        <f t="shared" si="74"/>
        <v>10420</v>
      </c>
      <c r="CJ21" s="14">
        <f t="shared" si="75"/>
        <v>5210</v>
      </c>
      <c r="CK21" s="14">
        <f t="shared" si="76"/>
        <v>104200</v>
      </c>
      <c r="CL21" s="13">
        <v>135</v>
      </c>
      <c r="CM21" s="13">
        <v>150</v>
      </c>
      <c r="CN21" s="24">
        <v>0.7</v>
      </c>
      <c r="CO21" s="14">
        <f t="shared" si="77"/>
        <v>486</v>
      </c>
      <c r="CP21" s="14">
        <f t="shared" si="78"/>
        <v>243</v>
      </c>
      <c r="CQ21" s="14">
        <f t="shared" si="29"/>
        <v>4863</v>
      </c>
      <c r="CR21" s="24">
        <v>0.1</v>
      </c>
      <c r="CS21" s="14">
        <f t="shared" si="79"/>
        <v>1042</v>
      </c>
      <c r="CT21" s="14">
        <f t="shared" si="80"/>
        <v>521</v>
      </c>
      <c r="CU21" s="14">
        <f t="shared" si="32"/>
        <v>10420</v>
      </c>
      <c r="CV21" s="16"/>
      <c r="CW21" s="16"/>
      <c r="CX21" s="13">
        <v>16</v>
      </c>
      <c r="CY21" s="13">
        <v>2</v>
      </c>
      <c r="CZ21" s="13">
        <v>16</v>
      </c>
      <c r="DA21" s="13">
        <v>7</v>
      </c>
      <c r="DB21" s="13" t="s">
        <v>439</v>
      </c>
      <c r="DC21" s="13">
        <v>110</v>
      </c>
      <c r="DD21" s="13">
        <v>110</v>
      </c>
      <c r="DE21" s="24">
        <v>0.2</v>
      </c>
      <c r="DF21" s="14">
        <f t="shared" si="57"/>
        <v>9545</v>
      </c>
      <c r="DG21" s="14">
        <f t="shared" si="58"/>
        <v>4739</v>
      </c>
      <c r="DH21" s="14">
        <f t="shared" si="59"/>
        <v>87226</v>
      </c>
      <c r="DI21" s="14">
        <f t="shared" si="34"/>
        <v>838</v>
      </c>
      <c r="DJ21" s="14">
        <f t="shared" si="35"/>
        <v>419</v>
      </c>
      <c r="DK21" s="14">
        <f t="shared" si="36"/>
        <v>8380</v>
      </c>
      <c r="DL21" s="14">
        <f t="shared" si="37"/>
        <v>235</v>
      </c>
      <c r="DM21" s="14">
        <f t="shared" si="38"/>
        <v>117</v>
      </c>
      <c r="DN21" s="14">
        <f t="shared" si="39"/>
        <v>2346</v>
      </c>
      <c r="DO21" s="14">
        <f t="shared" si="60"/>
        <v>0</v>
      </c>
      <c r="DP21" s="14">
        <f t="shared" si="61"/>
        <v>0</v>
      </c>
      <c r="DQ21" s="14">
        <f t="shared" si="62"/>
        <v>0</v>
      </c>
      <c r="DR21" s="14">
        <f t="shared" si="42"/>
        <v>10383</v>
      </c>
      <c r="DS21" s="14">
        <f t="shared" si="43"/>
        <v>5158</v>
      </c>
      <c r="DT21" s="14">
        <f t="shared" si="44"/>
        <v>95606</v>
      </c>
      <c r="DU21" s="16"/>
      <c r="DV21" s="16"/>
      <c r="EF21" s="13" t="s">
        <v>695</v>
      </c>
      <c r="EG21" s="13">
        <v>36</v>
      </c>
      <c r="EH21" s="13">
        <v>15</v>
      </c>
      <c r="EI21" s="13">
        <f t="shared" si="63"/>
        <v>108</v>
      </c>
      <c r="EJ21" s="13">
        <f t="shared" si="45"/>
        <v>1781</v>
      </c>
      <c r="EK21" s="13">
        <f t="shared" si="46"/>
        <v>911</v>
      </c>
      <c r="EL21" s="13">
        <f t="shared" si="47"/>
        <v>15110</v>
      </c>
      <c r="EM21" s="14">
        <f t="shared" si="64"/>
        <v>51140</v>
      </c>
      <c r="EN21" s="13">
        <f t="shared" si="48"/>
        <v>5655</v>
      </c>
      <c r="EO21" s="13">
        <f t="shared" si="49"/>
        <v>2832</v>
      </c>
      <c r="EP21" s="13">
        <f t="shared" si="50"/>
        <v>51495</v>
      </c>
      <c r="EQ21" s="14">
        <f t="shared" si="65"/>
        <v>164685</v>
      </c>
      <c r="ER21" s="13">
        <f t="shared" si="51"/>
        <v>3265</v>
      </c>
      <c r="ES21" s="13">
        <f t="shared" si="52"/>
        <v>1635</v>
      </c>
      <c r="ET21" s="13">
        <f t="shared" si="53"/>
        <v>29490</v>
      </c>
      <c r="EU21" s="14">
        <f t="shared" si="66"/>
        <v>94840</v>
      </c>
      <c r="EV21" s="14">
        <f t="shared" si="67"/>
        <v>310665</v>
      </c>
      <c r="EW21" s="26">
        <f t="shared" si="68"/>
        <v>0.16461461703120725</v>
      </c>
      <c r="EX21" s="26">
        <f t="shared" si="69"/>
        <v>0.53010477524021049</v>
      </c>
      <c r="EY21" s="26">
        <f t="shared" si="70"/>
        <v>0.30528060772858223</v>
      </c>
    </row>
    <row r="22" spans="1:155" ht="20.100000000000001" customHeight="1" x14ac:dyDescent="0.2">
      <c r="A22" s="13"/>
      <c r="B22" s="13">
        <v>16</v>
      </c>
      <c r="C22" s="13">
        <v>1</v>
      </c>
      <c r="D22" s="13">
        <v>10</v>
      </c>
      <c r="E22" s="13">
        <v>21</v>
      </c>
      <c r="F22" s="13">
        <f t="shared" si="54"/>
        <v>0.52380952380952384</v>
      </c>
      <c r="G22" s="16"/>
      <c r="H22" s="16"/>
      <c r="I22" s="13">
        <v>16</v>
      </c>
      <c r="J22" s="13">
        <v>77</v>
      </c>
      <c r="K22" s="13" t="s">
        <v>433</v>
      </c>
      <c r="L22" s="13">
        <v>23</v>
      </c>
      <c r="M22" s="13">
        <v>10</v>
      </c>
      <c r="N22" s="13" t="s">
        <v>433</v>
      </c>
      <c r="O22" s="13">
        <v>85</v>
      </c>
      <c r="P22" s="13" t="s">
        <v>433</v>
      </c>
      <c r="Q22" s="13">
        <v>26</v>
      </c>
      <c r="R22" s="13">
        <v>11</v>
      </c>
      <c r="S22" s="13" t="s">
        <v>434</v>
      </c>
      <c r="T22" s="13">
        <v>94</v>
      </c>
      <c r="U22" s="13" t="s">
        <v>436</v>
      </c>
      <c r="V22" s="13">
        <v>29</v>
      </c>
      <c r="W22" s="13">
        <v>12</v>
      </c>
      <c r="X22" s="13" t="s">
        <v>435</v>
      </c>
      <c r="Y22" s="16"/>
      <c r="Z22" s="16"/>
      <c r="AA22" s="13">
        <v>16</v>
      </c>
      <c r="AB22" s="41" t="s">
        <v>439</v>
      </c>
      <c r="AC22" s="13">
        <v>100</v>
      </c>
      <c r="AD22" s="13">
        <v>120</v>
      </c>
      <c r="AE22" s="13">
        <v>117</v>
      </c>
      <c r="AF22" s="13">
        <v>3</v>
      </c>
      <c r="AG22" s="13">
        <v>39</v>
      </c>
      <c r="AH22" s="40">
        <v>7.4999999999999997E-2</v>
      </c>
      <c r="AI22" s="32">
        <f t="shared" si="55"/>
        <v>1.075</v>
      </c>
      <c r="AK22" s="13">
        <v>16</v>
      </c>
      <c r="AL22" s="13" t="str">
        <f t="shared" si="10"/>
        <v>叫唤+2 · 魂火1</v>
      </c>
      <c r="AM22" s="13">
        <f t="shared" si="11"/>
        <v>9</v>
      </c>
      <c r="AN22" s="13">
        <v>1</v>
      </c>
      <c r="AO22" s="13">
        <v>58</v>
      </c>
      <c r="AP22" s="49"/>
      <c r="AQ22" s="32"/>
      <c r="AR22" s="16"/>
      <c r="AS22" s="13">
        <v>17</v>
      </c>
      <c r="AT22" s="13">
        <v>2</v>
      </c>
      <c r="AU22" s="13">
        <v>17</v>
      </c>
      <c r="AV22" s="13" t="s">
        <v>440</v>
      </c>
      <c r="AW22" s="13">
        <v>117</v>
      </c>
      <c r="AX22" s="14">
        <f t="shared" si="56"/>
        <v>8</v>
      </c>
      <c r="AY22" s="13">
        <v>125</v>
      </c>
      <c r="AZ22" s="14">
        <f t="shared" si="12"/>
        <v>10775</v>
      </c>
      <c r="BA22" s="14">
        <f t="shared" si="13"/>
        <v>5355</v>
      </c>
      <c r="BB22" s="14">
        <f t="shared" si="14"/>
        <v>99558</v>
      </c>
      <c r="BC22" s="13">
        <v>20</v>
      </c>
      <c r="BD22" s="13">
        <f t="shared" si="15"/>
        <v>10</v>
      </c>
      <c r="BE22" s="14">
        <f t="shared" si="16"/>
        <v>200</v>
      </c>
      <c r="BF22" s="14">
        <f t="shared" si="0"/>
        <v>160</v>
      </c>
      <c r="BG22" s="14">
        <f t="shared" si="1"/>
        <v>80</v>
      </c>
      <c r="BH22" s="14">
        <f t="shared" si="2"/>
        <v>1600</v>
      </c>
      <c r="BI22" s="26">
        <v>5.0999999999999997E-2</v>
      </c>
      <c r="BJ22" s="26"/>
      <c r="BK22" s="14">
        <f t="shared" si="3"/>
        <v>550</v>
      </c>
      <c r="BL22" s="14">
        <f t="shared" si="17"/>
        <v>275</v>
      </c>
      <c r="BM22" s="14">
        <f t="shared" si="18"/>
        <v>5500</v>
      </c>
      <c r="BN22" s="13">
        <v>3</v>
      </c>
      <c r="BO22" s="26">
        <v>7.4200000000000002E-2</v>
      </c>
      <c r="BP22" s="26"/>
      <c r="BQ22" s="14">
        <f t="shared" si="4"/>
        <v>800</v>
      </c>
      <c r="BR22" s="14">
        <f t="shared" si="19"/>
        <v>400</v>
      </c>
      <c r="BS22" s="14">
        <f t="shared" si="20"/>
        <v>8000</v>
      </c>
      <c r="BT22" s="14">
        <f t="shared" si="5"/>
        <v>13385</v>
      </c>
      <c r="BU22" s="14">
        <f t="shared" si="6"/>
        <v>6660</v>
      </c>
      <c r="BV22" s="14">
        <f t="shared" si="7"/>
        <v>125658</v>
      </c>
      <c r="BW22" s="16"/>
      <c r="BX22" s="13">
        <v>7</v>
      </c>
      <c r="BY22" s="14">
        <f t="shared" si="21"/>
        <v>2610</v>
      </c>
      <c r="BZ22" s="14">
        <f t="shared" si="22"/>
        <v>1305</v>
      </c>
      <c r="CA22" s="14">
        <f t="shared" si="23"/>
        <v>26100</v>
      </c>
      <c r="CB22" s="16"/>
      <c r="CC22" s="13" t="s">
        <v>662</v>
      </c>
      <c r="CD22" s="16"/>
      <c r="CE22" s="16"/>
      <c r="CF22" s="13">
        <v>4</v>
      </c>
      <c r="CG22" s="13">
        <v>1</v>
      </c>
      <c r="CH22" s="13" t="s">
        <v>424</v>
      </c>
      <c r="CI22" s="14">
        <f t="shared" si="74"/>
        <v>108</v>
      </c>
      <c r="CJ22" s="14">
        <f t="shared" si="75"/>
        <v>55</v>
      </c>
      <c r="CK22" s="14">
        <f t="shared" si="76"/>
        <v>648</v>
      </c>
      <c r="CL22" s="13">
        <v>1</v>
      </c>
      <c r="CM22" s="13">
        <v>10</v>
      </c>
      <c r="CN22" s="24">
        <v>0.9</v>
      </c>
      <c r="CO22" s="14">
        <f>ROUND(CI22/($CM22-$CL22)*$CN22,0)</f>
        <v>11</v>
      </c>
      <c r="CP22" s="14">
        <f>ROUND(CJ22/($CM22-$CL22)*$CN22,0)</f>
        <v>6</v>
      </c>
      <c r="CQ22" s="14">
        <f t="shared" si="29"/>
        <v>65</v>
      </c>
      <c r="CR22" s="24">
        <v>0.1</v>
      </c>
      <c r="CS22" s="14">
        <f>ROUND(CI22*$CR22,0)</f>
        <v>11</v>
      </c>
      <c r="CT22" s="14">
        <f>ROUND(CJ22*$CR22,0)</f>
        <v>6</v>
      </c>
      <c r="CU22" s="14">
        <f t="shared" si="32"/>
        <v>65</v>
      </c>
      <c r="CV22" s="16"/>
      <c r="CW22" s="16"/>
      <c r="CX22" s="13">
        <v>17</v>
      </c>
      <c r="CY22" s="13">
        <v>2</v>
      </c>
      <c r="CZ22" s="13">
        <v>17</v>
      </c>
      <c r="DA22" s="13">
        <v>7</v>
      </c>
      <c r="DB22" s="13" t="s">
        <v>440</v>
      </c>
      <c r="DC22" s="13">
        <v>110</v>
      </c>
      <c r="DD22" s="13">
        <v>110</v>
      </c>
      <c r="DE22" s="24">
        <v>0.2</v>
      </c>
      <c r="DF22" s="14">
        <f t="shared" si="57"/>
        <v>10383</v>
      </c>
      <c r="DG22" s="14">
        <f t="shared" si="58"/>
        <v>5158</v>
      </c>
      <c r="DH22" s="14">
        <f t="shared" si="59"/>
        <v>95606</v>
      </c>
      <c r="DI22" s="14">
        <f t="shared" si="34"/>
        <v>838</v>
      </c>
      <c r="DJ22" s="14">
        <f t="shared" si="35"/>
        <v>419</v>
      </c>
      <c r="DK22" s="14">
        <f t="shared" si="36"/>
        <v>8380</v>
      </c>
      <c r="DL22" s="14">
        <f t="shared" si="37"/>
        <v>235</v>
      </c>
      <c r="DM22" s="14">
        <f t="shared" si="38"/>
        <v>117</v>
      </c>
      <c r="DN22" s="14">
        <f t="shared" si="39"/>
        <v>2346</v>
      </c>
      <c r="DO22" s="14">
        <f t="shared" si="60"/>
        <v>0</v>
      </c>
      <c r="DP22" s="14">
        <f t="shared" si="61"/>
        <v>0</v>
      </c>
      <c r="DQ22" s="14">
        <f t="shared" si="62"/>
        <v>0</v>
      </c>
      <c r="DR22" s="14">
        <f t="shared" si="42"/>
        <v>11221</v>
      </c>
      <c r="DS22" s="14">
        <f t="shared" si="43"/>
        <v>5577</v>
      </c>
      <c r="DT22" s="14">
        <f t="shared" si="44"/>
        <v>103986</v>
      </c>
      <c r="DU22" s="16"/>
      <c r="DV22" s="16"/>
      <c r="EF22" s="13" t="s">
        <v>696</v>
      </c>
      <c r="EG22" s="13">
        <v>39</v>
      </c>
      <c r="EH22" s="13">
        <v>16</v>
      </c>
      <c r="EI22" s="13">
        <f t="shared" si="63"/>
        <v>115</v>
      </c>
      <c r="EJ22" s="13">
        <f t="shared" si="45"/>
        <v>1991</v>
      </c>
      <c r="EK22" s="13">
        <f t="shared" si="46"/>
        <v>1016</v>
      </c>
      <c r="EL22" s="13">
        <f t="shared" si="47"/>
        <v>17210</v>
      </c>
      <c r="EM22" s="14">
        <f t="shared" si="64"/>
        <v>57440</v>
      </c>
      <c r="EN22" s="13">
        <f t="shared" si="48"/>
        <v>7155</v>
      </c>
      <c r="EO22" s="13">
        <f t="shared" si="49"/>
        <v>3582</v>
      </c>
      <c r="EP22" s="13">
        <f t="shared" si="50"/>
        <v>66495</v>
      </c>
      <c r="EQ22" s="14">
        <f t="shared" si="65"/>
        <v>209685</v>
      </c>
      <c r="ER22" s="13">
        <f t="shared" si="51"/>
        <v>4065</v>
      </c>
      <c r="ES22" s="13">
        <f t="shared" si="52"/>
        <v>2035</v>
      </c>
      <c r="ET22" s="13">
        <f t="shared" si="53"/>
        <v>37490</v>
      </c>
      <c r="EU22" s="14">
        <f t="shared" si="66"/>
        <v>118840</v>
      </c>
      <c r="EV22" s="14">
        <f t="shared" si="67"/>
        <v>385965</v>
      </c>
      <c r="EW22" s="26">
        <f t="shared" si="68"/>
        <v>0.14882178435868537</v>
      </c>
      <c r="EX22" s="26">
        <f t="shared" si="69"/>
        <v>0.54327464925576152</v>
      </c>
      <c r="EY22" s="26">
        <f t="shared" si="70"/>
        <v>0.30790356638555311</v>
      </c>
    </row>
    <row r="23" spans="1:155" ht="20.100000000000001" customHeight="1" x14ac:dyDescent="0.2">
      <c r="A23" s="13"/>
      <c r="B23" s="13">
        <v>17</v>
      </c>
      <c r="C23" s="13">
        <v>1</v>
      </c>
      <c r="D23" s="13">
        <v>10</v>
      </c>
      <c r="E23" s="13">
        <v>21</v>
      </c>
      <c r="F23" s="13">
        <f t="shared" si="54"/>
        <v>0.52380952380952384</v>
      </c>
      <c r="G23" s="16"/>
      <c r="H23" s="16"/>
      <c r="I23" s="13">
        <v>17</v>
      </c>
      <c r="J23" s="13">
        <v>79</v>
      </c>
      <c r="K23" s="13" t="s">
        <v>433</v>
      </c>
      <c r="L23" s="13">
        <v>23</v>
      </c>
      <c r="M23" s="13">
        <v>10</v>
      </c>
      <c r="N23" s="13" t="s">
        <v>433</v>
      </c>
      <c r="O23" s="13">
        <v>87</v>
      </c>
      <c r="P23" s="13" t="s">
        <v>433</v>
      </c>
      <c r="Q23" s="13">
        <v>27</v>
      </c>
      <c r="R23" s="13">
        <v>12</v>
      </c>
      <c r="S23" s="13" t="s">
        <v>435</v>
      </c>
      <c r="T23" s="13">
        <v>97</v>
      </c>
      <c r="U23" s="13" t="s">
        <v>436</v>
      </c>
      <c r="V23" s="13">
        <v>31</v>
      </c>
      <c r="W23" s="13">
        <v>13</v>
      </c>
      <c r="X23" s="13" t="s">
        <v>436</v>
      </c>
      <c r="Y23" s="16"/>
      <c r="Z23" s="16"/>
      <c r="AA23" s="13">
        <v>17</v>
      </c>
      <c r="AB23" s="13" t="s">
        <v>440</v>
      </c>
      <c r="AC23" s="13">
        <v>110</v>
      </c>
      <c r="AD23" s="13">
        <v>130</v>
      </c>
      <c r="AE23" s="13">
        <v>125</v>
      </c>
      <c r="AF23" s="13">
        <v>3</v>
      </c>
      <c r="AG23" s="13">
        <v>42</v>
      </c>
      <c r="AH23" s="40">
        <v>7.4999999999999997E-2</v>
      </c>
      <c r="AI23" s="32">
        <f t="shared" si="55"/>
        <v>1.075</v>
      </c>
      <c r="AK23" s="13">
        <v>17</v>
      </c>
      <c r="AL23" s="13" t="str">
        <f t="shared" si="10"/>
        <v>叫唤+2 · 魂火2</v>
      </c>
      <c r="AM23" s="13">
        <f t="shared" si="11"/>
        <v>9</v>
      </c>
      <c r="AN23" s="13">
        <v>2</v>
      </c>
      <c r="AO23" s="13">
        <v>60</v>
      </c>
      <c r="AP23" s="49"/>
      <c r="AQ23" s="32"/>
      <c r="AR23" s="16"/>
      <c r="AS23" s="13">
        <v>18</v>
      </c>
      <c r="AT23" s="13">
        <v>2</v>
      </c>
      <c r="AU23" s="13">
        <v>18</v>
      </c>
      <c r="AV23" s="13" t="s">
        <v>441</v>
      </c>
      <c r="AW23" s="13">
        <v>125</v>
      </c>
      <c r="AX23" s="14">
        <f t="shared" si="56"/>
        <v>7</v>
      </c>
      <c r="AY23" s="13">
        <v>132</v>
      </c>
      <c r="AZ23" s="14">
        <f t="shared" si="12"/>
        <v>13385</v>
      </c>
      <c r="BA23" s="14">
        <f t="shared" si="13"/>
        <v>6660</v>
      </c>
      <c r="BB23" s="14">
        <f t="shared" si="14"/>
        <v>125658</v>
      </c>
      <c r="BC23" s="13">
        <v>20</v>
      </c>
      <c r="BD23" s="13">
        <f t="shared" si="15"/>
        <v>10</v>
      </c>
      <c r="BE23" s="14">
        <f t="shared" si="16"/>
        <v>200</v>
      </c>
      <c r="BF23" s="14">
        <f t="shared" si="0"/>
        <v>140</v>
      </c>
      <c r="BG23" s="14">
        <f t="shared" si="1"/>
        <v>70</v>
      </c>
      <c r="BH23" s="14">
        <f t="shared" si="2"/>
        <v>1400</v>
      </c>
      <c r="BI23" s="26">
        <v>5.0799999999999998E-2</v>
      </c>
      <c r="BJ23" s="26"/>
      <c r="BK23" s="14">
        <f t="shared" si="3"/>
        <v>680</v>
      </c>
      <c r="BL23" s="14">
        <f t="shared" si="17"/>
        <v>340</v>
      </c>
      <c r="BM23" s="14">
        <f t="shared" si="18"/>
        <v>6800</v>
      </c>
      <c r="BN23" s="13">
        <v>3</v>
      </c>
      <c r="BO23" s="26">
        <v>0.1046</v>
      </c>
      <c r="BP23" s="26"/>
      <c r="BQ23" s="14">
        <f t="shared" si="4"/>
        <v>1400</v>
      </c>
      <c r="BR23" s="14">
        <f t="shared" si="19"/>
        <v>700</v>
      </c>
      <c r="BS23" s="14">
        <f t="shared" si="20"/>
        <v>14000</v>
      </c>
      <c r="BT23" s="14">
        <f t="shared" si="5"/>
        <v>16965</v>
      </c>
      <c r="BU23" s="14">
        <f t="shared" si="6"/>
        <v>8450</v>
      </c>
      <c r="BV23" s="14">
        <f t="shared" si="7"/>
        <v>161458</v>
      </c>
      <c r="BW23" s="16"/>
      <c r="BX23" s="13">
        <v>7</v>
      </c>
      <c r="BY23" s="14">
        <f t="shared" si="21"/>
        <v>3580</v>
      </c>
      <c r="BZ23" s="14">
        <f t="shared" si="22"/>
        <v>1790</v>
      </c>
      <c r="CA23" s="14">
        <f t="shared" si="23"/>
        <v>35800</v>
      </c>
      <c r="CB23" s="16"/>
      <c r="CC23" s="13" t="s">
        <v>663</v>
      </c>
      <c r="CD23" s="16"/>
      <c r="CE23" s="16"/>
      <c r="CF23" s="13">
        <v>4</v>
      </c>
      <c r="CG23" s="13">
        <v>2</v>
      </c>
      <c r="CH23" s="13" t="s">
        <v>425</v>
      </c>
      <c r="CI23" s="14">
        <f t="shared" si="74"/>
        <v>550</v>
      </c>
      <c r="CJ23" s="14">
        <f t="shared" si="75"/>
        <v>286</v>
      </c>
      <c r="CK23" s="14">
        <f t="shared" si="76"/>
        <v>3300</v>
      </c>
      <c r="CL23" s="13">
        <v>10</v>
      </c>
      <c r="CM23" s="13">
        <v>30</v>
      </c>
      <c r="CN23" s="24">
        <v>0.8</v>
      </c>
      <c r="CO23" s="14">
        <f t="shared" ref="CO23:CO29" si="85">ROUND(CI23/($CM23-$CL23)*$CN23,0)</f>
        <v>22</v>
      </c>
      <c r="CP23" s="14">
        <f t="shared" ref="CP23:CP29" si="86">ROUND(CJ23/($CM23-$CL23)*$CN23,0)</f>
        <v>11</v>
      </c>
      <c r="CQ23" s="14">
        <f t="shared" si="29"/>
        <v>132</v>
      </c>
      <c r="CR23" s="24">
        <v>0.1</v>
      </c>
      <c r="CS23" s="14">
        <f t="shared" ref="CS23:CS29" si="87">ROUND(CI23*$CR23,0)</f>
        <v>55</v>
      </c>
      <c r="CT23" s="14">
        <f t="shared" ref="CT23:CT29" si="88">ROUND(CJ23*$CR23,0)</f>
        <v>29</v>
      </c>
      <c r="CU23" s="14">
        <f t="shared" si="32"/>
        <v>330</v>
      </c>
      <c r="CV23" s="16"/>
      <c r="CW23" s="16"/>
      <c r="CX23" s="13">
        <v>18</v>
      </c>
      <c r="CY23" s="13">
        <v>2</v>
      </c>
      <c r="CZ23" s="13">
        <v>18</v>
      </c>
      <c r="DA23" s="13">
        <v>7</v>
      </c>
      <c r="DB23" s="13" t="s">
        <v>441</v>
      </c>
      <c r="DC23" s="13">
        <v>110</v>
      </c>
      <c r="DD23" s="13">
        <v>135</v>
      </c>
      <c r="DE23" s="24">
        <v>0.2</v>
      </c>
      <c r="DF23" s="14">
        <f t="shared" si="57"/>
        <v>11221</v>
      </c>
      <c r="DG23" s="14">
        <f t="shared" si="58"/>
        <v>5577</v>
      </c>
      <c r="DH23" s="14">
        <f t="shared" si="59"/>
        <v>103986</v>
      </c>
      <c r="DI23" s="14">
        <f t="shared" si="34"/>
        <v>838</v>
      </c>
      <c r="DJ23" s="14">
        <f t="shared" si="35"/>
        <v>419</v>
      </c>
      <c r="DK23" s="14">
        <f t="shared" si="36"/>
        <v>8380</v>
      </c>
      <c r="DL23" s="14">
        <f t="shared" si="37"/>
        <v>235</v>
      </c>
      <c r="DM23" s="14">
        <f t="shared" si="38"/>
        <v>117</v>
      </c>
      <c r="DN23" s="14">
        <f t="shared" si="39"/>
        <v>2346</v>
      </c>
      <c r="DO23" s="14">
        <f t="shared" si="60"/>
        <v>5875</v>
      </c>
      <c r="DP23" s="14">
        <f t="shared" si="61"/>
        <v>2925</v>
      </c>
      <c r="DQ23" s="14">
        <f t="shared" si="62"/>
        <v>58650</v>
      </c>
      <c r="DR23" s="14">
        <f>DF23+DI23+DO23</f>
        <v>17934</v>
      </c>
      <c r="DS23" s="14">
        <f t="shared" si="43"/>
        <v>8921</v>
      </c>
      <c r="DT23" s="14">
        <f t="shared" si="44"/>
        <v>171016</v>
      </c>
      <c r="DU23" s="16"/>
      <c r="DV23" s="16"/>
      <c r="EF23" s="13" t="s">
        <v>697</v>
      </c>
      <c r="EG23" s="13">
        <v>42</v>
      </c>
      <c r="EH23" s="13">
        <v>17</v>
      </c>
      <c r="EI23" s="13">
        <f t="shared" si="63"/>
        <v>123</v>
      </c>
      <c r="EJ23" s="13">
        <f t="shared" si="45"/>
        <v>2231</v>
      </c>
      <c r="EK23" s="13">
        <f t="shared" si="46"/>
        <v>1136</v>
      </c>
      <c r="EL23" s="13">
        <f t="shared" si="47"/>
        <v>19610</v>
      </c>
      <c r="EM23" s="14">
        <f t="shared" si="64"/>
        <v>64640</v>
      </c>
      <c r="EN23" s="13">
        <f t="shared" si="48"/>
        <v>8955</v>
      </c>
      <c r="EO23" s="13">
        <f t="shared" si="49"/>
        <v>4482</v>
      </c>
      <c r="EP23" s="13">
        <f t="shared" si="50"/>
        <v>84495</v>
      </c>
      <c r="EQ23" s="14">
        <f t="shared" si="65"/>
        <v>263685</v>
      </c>
      <c r="ER23" s="13">
        <f t="shared" si="51"/>
        <v>4965</v>
      </c>
      <c r="ES23" s="13">
        <f t="shared" si="52"/>
        <v>2485</v>
      </c>
      <c r="ET23" s="13">
        <f t="shared" si="53"/>
        <v>46490</v>
      </c>
      <c r="EU23" s="14">
        <f t="shared" si="66"/>
        <v>145840</v>
      </c>
      <c r="EV23" s="14">
        <f t="shared" si="67"/>
        <v>474165</v>
      </c>
      <c r="EW23" s="26">
        <f t="shared" si="68"/>
        <v>0.13632385351090864</v>
      </c>
      <c r="EX23" s="26">
        <f t="shared" si="69"/>
        <v>0.55610388788712795</v>
      </c>
      <c r="EY23" s="26">
        <f t="shared" si="70"/>
        <v>0.30757225860196347</v>
      </c>
    </row>
    <row r="24" spans="1:155" ht="20.100000000000001" customHeight="1" x14ac:dyDescent="0.2">
      <c r="A24" s="13"/>
      <c r="B24" s="13">
        <v>18</v>
      </c>
      <c r="C24" s="13">
        <v>1</v>
      </c>
      <c r="D24" s="13">
        <v>10</v>
      </c>
      <c r="E24" s="13">
        <v>21</v>
      </c>
      <c r="F24" s="13">
        <f t="shared" si="54"/>
        <v>0.52380952380952384</v>
      </c>
      <c r="G24" s="16"/>
      <c r="H24" s="16"/>
      <c r="I24" s="13">
        <v>18</v>
      </c>
      <c r="J24" s="13">
        <v>80</v>
      </c>
      <c r="K24" s="13" t="s">
        <v>433</v>
      </c>
      <c r="L24" s="13">
        <v>24</v>
      </c>
      <c r="M24" s="13">
        <v>11</v>
      </c>
      <c r="N24" s="13" t="s">
        <v>434</v>
      </c>
      <c r="O24" s="13">
        <v>88</v>
      </c>
      <c r="P24" s="13" t="s">
        <v>433</v>
      </c>
      <c r="Q24" s="13">
        <v>27</v>
      </c>
      <c r="R24" s="13">
        <v>12</v>
      </c>
      <c r="S24" s="13" t="s">
        <v>435</v>
      </c>
      <c r="T24" s="13">
        <v>99</v>
      </c>
      <c r="U24" s="13" t="s">
        <v>436</v>
      </c>
      <c r="V24" s="13">
        <v>31</v>
      </c>
      <c r="W24" s="13">
        <v>13</v>
      </c>
      <c r="X24" s="13" t="s">
        <v>436</v>
      </c>
      <c r="Y24" s="16"/>
      <c r="Z24" s="16"/>
      <c r="AA24" s="13">
        <v>18</v>
      </c>
      <c r="AB24" s="13" t="s">
        <v>441</v>
      </c>
      <c r="AC24" s="13">
        <v>120</v>
      </c>
      <c r="AD24" s="13">
        <v>135</v>
      </c>
      <c r="AE24" s="13">
        <v>132</v>
      </c>
      <c r="AF24" s="13">
        <v>3</v>
      </c>
      <c r="AG24" s="13">
        <v>45</v>
      </c>
      <c r="AH24" s="40">
        <v>0.1</v>
      </c>
      <c r="AI24" s="32">
        <f t="shared" si="55"/>
        <v>1.1000000000000001</v>
      </c>
      <c r="AK24" s="13">
        <v>18</v>
      </c>
      <c r="AL24" s="13" t="str">
        <f t="shared" si="10"/>
        <v>叫唤+2 · 魂火3</v>
      </c>
      <c r="AM24" s="13">
        <f t="shared" si="11"/>
        <v>9</v>
      </c>
      <c r="AN24" s="13">
        <v>3</v>
      </c>
      <c r="AO24" s="13">
        <v>63</v>
      </c>
      <c r="AP24" s="49"/>
      <c r="AQ24" s="32"/>
      <c r="AR24" s="16"/>
      <c r="AS24" s="13">
        <v>19</v>
      </c>
      <c r="AT24" s="13">
        <v>2</v>
      </c>
      <c r="AU24" s="13">
        <v>19</v>
      </c>
      <c r="AV24" s="13" t="s">
        <v>442</v>
      </c>
      <c r="AW24" s="13">
        <v>132</v>
      </c>
      <c r="AX24" s="14">
        <f t="shared" si="56"/>
        <v>8</v>
      </c>
      <c r="AY24" s="13">
        <v>140</v>
      </c>
      <c r="AZ24" s="14">
        <f t="shared" si="12"/>
        <v>16965</v>
      </c>
      <c r="BA24" s="14">
        <f t="shared" si="13"/>
        <v>8450</v>
      </c>
      <c r="BB24" s="14">
        <f t="shared" si="14"/>
        <v>161458</v>
      </c>
      <c r="BC24" s="13">
        <v>25</v>
      </c>
      <c r="BD24" s="13">
        <f t="shared" si="15"/>
        <v>13</v>
      </c>
      <c r="BE24" s="14">
        <f t="shared" si="16"/>
        <v>250</v>
      </c>
      <c r="BF24" s="14">
        <f t="shared" si="0"/>
        <v>200</v>
      </c>
      <c r="BG24" s="14">
        <f t="shared" si="1"/>
        <v>104</v>
      </c>
      <c r="BH24" s="14">
        <f t="shared" si="2"/>
        <v>2000</v>
      </c>
      <c r="BI24" s="26">
        <v>5.0099999999999999E-2</v>
      </c>
      <c r="BJ24" s="26"/>
      <c r="BK24" s="14">
        <f t="shared" si="3"/>
        <v>850</v>
      </c>
      <c r="BL24" s="14">
        <f t="shared" si="17"/>
        <v>425</v>
      </c>
      <c r="BM24" s="14">
        <f t="shared" si="18"/>
        <v>8500</v>
      </c>
      <c r="BN24" s="13">
        <v>3</v>
      </c>
      <c r="BO24" s="26">
        <v>8.2500000000000004E-2</v>
      </c>
      <c r="BP24" s="26"/>
      <c r="BQ24" s="14">
        <f t="shared" si="4"/>
        <v>1400</v>
      </c>
      <c r="BR24" s="14">
        <f t="shared" si="19"/>
        <v>700</v>
      </c>
      <c r="BS24" s="14">
        <f t="shared" si="20"/>
        <v>14000</v>
      </c>
      <c r="BT24" s="14">
        <f t="shared" si="5"/>
        <v>21115</v>
      </c>
      <c r="BU24" s="14">
        <f t="shared" si="6"/>
        <v>10529</v>
      </c>
      <c r="BV24" s="14">
        <f t="shared" si="7"/>
        <v>202958</v>
      </c>
      <c r="BW24" s="16"/>
      <c r="BX24" s="13">
        <v>8</v>
      </c>
      <c r="BY24" s="14">
        <f t="shared" si="21"/>
        <v>4150</v>
      </c>
      <c r="BZ24" s="14">
        <f t="shared" si="22"/>
        <v>2079</v>
      </c>
      <c r="CA24" s="14">
        <f t="shared" si="23"/>
        <v>41500</v>
      </c>
      <c r="CB24" s="16"/>
      <c r="CC24" s="13" t="s">
        <v>664</v>
      </c>
      <c r="CD24" s="16"/>
      <c r="CE24" s="16"/>
      <c r="CF24" s="13">
        <v>4</v>
      </c>
      <c r="CG24" s="13">
        <v>3</v>
      </c>
      <c r="CH24" s="13" t="s">
        <v>427</v>
      </c>
      <c r="CI24" s="14">
        <f t="shared" si="74"/>
        <v>1140</v>
      </c>
      <c r="CJ24" s="14">
        <f t="shared" si="75"/>
        <v>572</v>
      </c>
      <c r="CK24" s="14">
        <f t="shared" si="76"/>
        <v>7980</v>
      </c>
      <c r="CL24" s="13">
        <v>30</v>
      </c>
      <c r="CM24" s="13">
        <v>50</v>
      </c>
      <c r="CN24" s="24">
        <v>0.7</v>
      </c>
      <c r="CO24" s="14">
        <f t="shared" si="85"/>
        <v>40</v>
      </c>
      <c r="CP24" s="14">
        <f t="shared" si="86"/>
        <v>20</v>
      </c>
      <c r="CQ24" s="14">
        <f t="shared" si="29"/>
        <v>279</v>
      </c>
      <c r="CR24" s="24">
        <v>0.1</v>
      </c>
      <c r="CS24" s="14">
        <f t="shared" si="87"/>
        <v>114</v>
      </c>
      <c r="CT24" s="14">
        <f t="shared" si="88"/>
        <v>57</v>
      </c>
      <c r="CU24" s="14">
        <f t="shared" si="32"/>
        <v>798</v>
      </c>
      <c r="CV24" s="16"/>
      <c r="CW24" s="16"/>
      <c r="CX24" s="13">
        <v>19</v>
      </c>
      <c r="CY24" s="13">
        <v>2</v>
      </c>
      <c r="CZ24" s="13">
        <v>19</v>
      </c>
      <c r="DA24" s="13">
        <v>8</v>
      </c>
      <c r="DB24" s="13" t="s">
        <v>442</v>
      </c>
      <c r="DC24" s="13">
        <v>135</v>
      </c>
      <c r="DD24" s="13">
        <v>135</v>
      </c>
      <c r="DE24" s="24">
        <v>0.2</v>
      </c>
      <c r="DF24" s="14">
        <f t="shared" si="57"/>
        <v>17934</v>
      </c>
      <c r="DG24" s="14">
        <f t="shared" si="58"/>
        <v>8921</v>
      </c>
      <c r="DH24" s="14">
        <f t="shared" si="59"/>
        <v>171016</v>
      </c>
      <c r="DI24" s="14">
        <f t="shared" si="34"/>
        <v>990</v>
      </c>
      <c r="DJ24" s="14">
        <f t="shared" si="35"/>
        <v>496</v>
      </c>
      <c r="DK24" s="14">
        <f t="shared" si="36"/>
        <v>9900</v>
      </c>
      <c r="DL24" s="14">
        <f t="shared" si="37"/>
        <v>462</v>
      </c>
      <c r="DM24" s="14">
        <f t="shared" si="38"/>
        <v>231</v>
      </c>
      <c r="DN24" s="14">
        <f t="shared" si="39"/>
        <v>4620</v>
      </c>
      <c r="DO24" s="14">
        <f t="shared" si="60"/>
        <v>0</v>
      </c>
      <c r="DP24" s="14">
        <f t="shared" si="61"/>
        <v>0</v>
      </c>
      <c r="DQ24" s="14">
        <f t="shared" si="62"/>
        <v>0</v>
      </c>
      <c r="DR24" s="14">
        <f t="shared" si="42"/>
        <v>18924</v>
      </c>
      <c r="DS24" s="14">
        <f t="shared" si="43"/>
        <v>9417</v>
      </c>
      <c r="DT24" s="14">
        <f t="shared" si="44"/>
        <v>180916</v>
      </c>
      <c r="DU24" s="16"/>
      <c r="DV24" s="16"/>
      <c r="EF24" s="13" t="s">
        <v>698</v>
      </c>
      <c r="EG24" s="13">
        <v>45</v>
      </c>
      <c r="EH24" s="13">
        <v>18</v>
      </c>
      <c r="EI24" s="13">
        <f t="shared" si="63"/>
        <v>130</v>
      </c>
      <c r="EJ24" s="13">
        <f t="shared" si="45"/>
        <v>2441</v>
      </c>
      <c r="EK24" s="13">
        <f t="shared" si="46"/>
        <v>1241</v>
      </c>
      <c r="EL24" s="13">
        <f t="shared" si="47"/>
        <v>21710</v>
      </c>
      <c r="EM24" s="14">
        <f t="shared" si="64"/>
        <v>70940</v>
      </c>
      <c r="EN24" s="13">
        <f t="shared" si="48"/>
        <v>11055</v>
      </c>
      <c r="EO24" s="13">
        <f t="shared" si="49"/>
        <v>5532</v>
      </c>
      <c r="EP24" s="13">
        <f t="shared" si="50"/>
        <v>105495</v>
      </c>
      <c r="EQ24" s="14">
        <f t="shared" si="65"/>
        <v>326685</v>
      </c>
      <c r="ER24" s="13">
        <f t="shared" si="51"/>
        <v>6465</v>
      </c>
      <c r="ES24" s="13">
        <f t="shared" si="52"/>
        <v>3235</v>
      </c>
      <c r="ET24" s="13">
        <f t="shared" si="53"/>
        <v>61490</v>
      </c>
      <c r="EU24" s="14">
        <f t="shared" si="66"/>
        <v>190840</v>
      </c>
      <c r="EV24" s="14">
        <f t="shared" si="67"/>
        <v>588465</v>
      </c>
      <c r="EW24" s="26">
        <f t="shared" si="68"/>
        <v>0.12055092486384067</v>
      </c>
      <c r="EX24" s="26">
        <f t="shared" si="69"/>
        <v>0.5551477148173638</v>
      </c>
      <c r="EY24" s="26">
        <f t="shared" si="70"/>
        <v>0.32430136031879553</v>
      </c>
    </row>
    <row r="25" spans="1:155" ht="20.100000000000001" customHeight="1" x14ac:dyDescent="0.2">
      <c r="A25" s="13"/>
      <c r="B25" s="13">
        <v>19</v>
      </c>
      <c r="C25" s="13">
        <v>1</v>
      </c>
      <c r="D25" s="13">
        <v>10</v>
      </c>
      <c r="E25" s="13">
        <v>21</v>
      </c>
      <c r="F25" s="13">
        <f t="shared" si="54"/>
        <v>0.52380952380952384</v>
      </c>
      <c r="G25" s="16"/>
      <c r="H25" s="16"/>
      <c r="I25" s="13">
        <v>19</v>
      </c>
      <c r="J25" s="13">
        <v>82</v>
      </c>
      <c r="K25" s="13" t="s">
        <v>433</v>
      </c>
      <c r="L25" s="13">
        <v>25</v>
      </c>
      <c r="M25" s="13">
        <v>11</v>
      </c>
      <c r="N25" s="13" t="s">
        <v>434</v>
      </c>
      <c r="O25" s="13">
        <v>90</v>
      </c>
      <c r="P25" s="13" t="s">
        <v>436</v>
      </c>
      <c r="Q25" s="13">
        <v>28</v>
      </c>
      <c r="R25" s="13">
        <v>12</v>
      </c>
      <c r="S25" s="13" t="s">
        <v>435</v>
      </c>
      <c r="T25" s="13">
        <v>101</v>
      </c>
      <c r="U25" s="13" t="s">
        <v>436</v>
      </c>
      <c r="V25" s="13">
        <v>32</v>
      </c>
      <c r="W25" s="13">
        <v>13</v>
      </c>
      <c r="X25" s="13" t="s">
        <v>436</v>
      </c>
      <c r="Y25" s="16"/>
      <c r="Z25" s="16"/>
      <c r="AA25" s="13">
        <v>19</v>
      </c>
      <c r="AB25" s="41" t="s">
        <v>442</v>
      </c>
      <c r="AC25" s="13">
        <v>130</v>
      </c>
      <c r="AD25" s="13">
        <v>140</v>
      </c>
      <c r="AE25" s="13">
        <v>140</v>
      </c>
      <c r="AF25" s="13">
        <v>3</v>
      </c>
      <c r="AG25" s="13">
        <v>48</v>
      </c>
      <c r="AH25" s="40">
        <v>7.4999999999999997E-2</v>
      </c>
      <c r="AI25" s="32">
        <f t="shared" si="55"/>
        <v>1.075</v>
      </c>
      <c r="AK25" s="13">
        <v>19</v>
      </c>
      <c r="AL25" s="13" t="str">
        <f t="shared" si="10"/>
        <v>大叫唤 · 魂火1</v>
      </c>
      <c r="AM25" s="13">
        <f t="shared" si="11"/>
        <v>10</v>
      </c>
      <c r="AN25" s="13">
        <v>1</v>
      </c>
      <c r="AO25" s="13">
        <v>65</v>
      </c>
      <c r="AP25" s="49"/>
      <c r="AQ25" s="32"/>
      <c r="AR25" s="16"/>
      <c r="AS25" s="13">
        <v>20</v>
      </c>
      <c r="AT25" s="13">
        <v>2</v>
      </c>
      <c r="AU25" s="13">
        <v>20</v>
      </c>
      <c r="AV25" s="13" t="s">
        <v>443</v>
      </c>
      <c r="AW25" s="13">
        <v>140</v>
      </c>
      <c r="AX25" s="14">
        <f t="shared" si="56"/>
        <v>10</v>
      </c>
      <c r="AY25" s="13">
        <v>150</v>
      </c>
      <c r="AZ25" s="14">
        <f t="shared" si="12"/>
        <v>21115</v>
      </c>
      <c r="BA25" s="14">
        <f t="shared" si="13"/>
        <v>10529</v>
      </c>
      <c r="BB25" s="14">
        <f t="shared" si="14"/>
        <v>202958</v>
      </c>
      <c r="BC25" s="13">
        <v>25</v>
      </c>
      <c r="BD25" s="13">
        <f t="shared" si="15"/>
        <v>13</v>
      </c>
      <c r="BE25" s="14">
        <f t="shared" si="16"/>
        <v>250</v>
      </c>
      <c r="BF25" s="14">
        <f t="shared" si="0"/>
        <v>250</v>
      </c>
      <c r="BG25" s="14">
        <f t="shared" si="1"/>
        <v>130</v>
      </c>
      <c r="BH25" s="14">
        <f t="shared" si="2"/>
        <v>2500</v>
      </c>
      <c r="BI25" s="26">
        <v>4.7350000000000003E-2</v>
      </c>
      <c r="BJ25" s="26"/>
      <c r="BK25" s="14">
        <f t="shared" si="3"/>
        <v>1000</v>
      </c>
      <c r="BL25" s="14">
        <f t="shared" si="17"/>
        <v>500</v>
      </c>
      <c r="BM25" s="14">
        <f t="shared" si="18"/>
        <v>10000</v>
      </c>
      <c r="BN25" s="13">
        <v>4</v>
      </c>
      <c r="BO25" s="26">
        <v>7.1050000000000002E-2</v>
      </c>
      <c r="BP25" s="26"/>
      <c r="BQ25" s="14">
        <f t="shared" si="4"/>
        <v>1500</v>
      </c>
      <c r="BR25" s="14">
        <f t="shared" si="19"/>
        <v>750</v>
      </c>
      <c r="BS25" s="14">
        <f t="shared" si="20"/>
        <v>15000</v>
      </c>
      <c r="BT25" s="14">
        <f t="shared" si="5"/>
        <v>26865</v>
      </c>
      <c r="BU25" s="14">
        <f t="shared" si="6"/>
        <v>13409</v>
      </c>
      <c r="BV25" s="14">
        <f t="shared" si="7"/>
        <v>260458</v>
      </c>
      <c r="BW25" s="16"/>
      <c r="BX25" s="13">
        <v>8</v>
      </c>
      <c r="BY25" s="14">
        <f t="shared" si="21"/>
        <v>5750</v>
      </c>
      <c r="BZ25" s="14">
        <f t="shared" si="22"/>
        <v>2880</v>
      </c>
      <c r="CA25" s="14">
        <f t="shared" si="23"/>
        <v>57500</v>
      </c>
      <c r="CB25" s="16"/>
      <c r="CC25" s="13" t="s">
        <v>665</v>
      </c>
      <c r="CD25" s="16"/>
      <c r="CE25" s="16"/>
      <c r="CF25" s="13">
        <v>4</v>
      </c>
      <c r="CG25" s="13">
        <v>4</v>
      </c>
      <c r="CH25" s="13" t="s">
        <v>430</v>
      </c>
      <c r="CI25" s="14">
        <f t="shared" si="74"/>
        <v>1645</v>
      </c>
      <c r="CJ25" s="14">
        <f t="shared" si="75"/>
        <v>834</v>
      </c>
      <c r="CK25" s="14">
        <f t="shared" si="76"/>
        <v>13160</v>
      </c>
      <c r="CL25" s="13">
        <v>50</v>
      </c>
      <c r="CM25" s="13">
        <v>70</v>
      </c>
      <c r="CN25" s="24">
        <v>0.7</v>
      </c>
      <c r="CO25" s="14">
        <f t="shared" si="85"/>
        <v>58</v>
      </c>
      <c r="CP25" s="14">
        <f t="shared" si="86"/>
        <v>29</v>
      </c>
      <c r="CQ25" s="14">
        <f t="shared" si="29"/>
        <v>461</v>
      </c>
      <c r="CR25" s="24">
        <v>0.1</v>
      </c>
      <c r="CS25" s="14">
        <f t="shared" si="87"/>
        <v>165</v>
      </c>
      <c r="CT25" s="14">
        <f t="shared" si="88"/>
        <v>83</v>
      </c>
      <c r="CU25" s="14">
        <f t="shared" si="32"/>
        <v>1316</v>
      </c>
      <c r="CV25" s="16"/>
      <c r="CW25" s="16"/>
      <c r="CX25" s="13">
        <v>20</v>
      </c>
      <c r="CY25" s="13">
        <v>2</v>
      </c>
      <c r="CZ25" s="13">
        <v>20</v>
      </c>
      <c r="DA25" s="13">
        <v>8</v>
      </c>
      <c r="DB25" s="13" t="s">
        <v>443</v>
      </c>
      <c r="DC25" s="13">
        <v>135</v>
      </c>
      <c r="DD25" s="13">
        <v>150</v>
      </c>
      <c r="DE25" s="24">
        <v>0.2</v>
      </c>
      <c r="DF25" s="14">
        <f t="shared" si="57"/>
        <v>18924</v>
      </c>
      <c r="DG25" s="14">
        <f t="shared" si="58"/>
        <v>9417</v>
      </c>
      <c r="DH25" s="14">
        <f t="shared" si="59"/>
        <v>180916</v>
      </c>
      <c r="DI25" s="14">
        <f t="shared" si="34"/>
        <v>990</v>
      </c>
      <c r="DJ25" s="14">
        <f t="shared" si="35"/>
        <v>496</v>
      </c>
      <c r="DK25" s="14">
        <f t="shared" si="36"/>
        <v>9900</v>
      </c>
      <c r="DL25" s="14">
        <f t="shared" si="37"/>
        <v>462</v>
      </c>
      <c r="DM25" s="14">
        <f t="shared" si="38"/>
        <v>231</v>
      </c>
      <c r="DN25" s="14">
        <f t="shared" si="39"/>
        <v>4620</v>
      </c>
      <c r="DO25" s="14">
        <f t="shared" si="60"/>
        <v>6930</v>
      </c>
      <c r="DP25" s="14">
        <f t="shared" si="61"/>
        <v>3465</v>
      </c>
      <c r="DQ25" s="14">
        <f t="shared" si="62"/>
        <v>69300</v>
      </c>
      <c r="DR25" s="14">
        <f t="shared" si="42"/>
        <v>26844</v>
      </c>
      <c r="DS25" s="14">
        <f t="shared" si="43"/>
        <v>13378</v>
      </c>
      <c r="DT25" s="14">
        <f t="shared" si="44"/>
        <v>260116</v>
      </c>
      <c r="DU25" s="16"/>
      <c r="DV25" s="16"/>
      <c r="EF25" s="13" t="s">
        <v>699</v>
      </c>
      <c r="EG25" s="13">
        <v>48</v>
      </c>
      <c r="EH25" s="13">
        <v>19</v>
      </c>
      <c r="EI25" s="13">
        <f t="shared" si="63"/>
        <v>138</v>
      </c>
      <c r="EJ25" s="13">
        <f t="shared" si="45"/>
        <v>2761</v>
      </c>
      <c r="EK25" s="13">
        <f t="shared" si="46"/>
        <v>1401</v>
      </c>
      <c r="EL25" s="13">
        <f t="shared" si="47"/>
        <v>24910</v>
      </c>
      <c r="EM25" s="14">
        <f t="shared" si="64"/>
        <v>80540</v>
      </c>
      <c r="EN25" s="13">
        <f t="shared" si="48"/>
        <v>13755</v>
      </c>
      <c r="EO25" s="13">
        <f t="shared" si="49"/>
        <v>6882</v>
      </c>
      <c r="EP25" s="13">
        <f t="shared" si="50"/>
        <v>132495</v>
      </c>
      <c r="EQ25" s="14">
        <f t="shared" si="65"/>
        <v>407685</v>
      </c>
      <c r="ER25" s="13">
        <f t="shared" si="51"/>
        <v>7965</v>
      </c>
      <c r="ES25" s="13">
        <f t="shared" si="52"/>
        <v>3985</v>
      </c>
      <c r="ET25" s="13">
        <f t="shared" si="53"/>
        <v>76490</v>
      </c>
      <c r="EU25" s="14">
        <f t="shared" si="66"/>
        <v>235840</v>
      </c>
      <c r="EV25" s="14">
        <f t="shared" si="67"/>
        <v>724065</v>
      </c>
      <c r="EW25" s="26">
        <f t="shared" si="68"/>
        <v>0.1112331075248769</v>
      </c>
      <c r="EX25" s="26">
        <f t="shared" si="69"/>
        <v>0.5630502786352054</v>
      </c>
      <c r="EY25" s="26">
        <f t="shared" si="70"/>
        <v>0.32571661383991768</v>
      </c>
    </row>
    <row r="26" spans="1:155" ht="20.100000000000001" customHeight="1" x14ac:dyDescent="0.2">
      <c r="A26" s="13"/>
      <c r="B26" s="13">
        <v>20</v>
      </c>
      <c r="C26" s="13">
        <v>1</v>
      </c>
      <c r="D26" s="13">
        <v>10</v>
      </c>
      <c r="E26" s="13">
        <v>21</v>
      </c>
      <c r="F26" s="13">
        <f t="shared" si="54"/>
        <v>0.52380952380952384</v>
      </c>
      <c r="G26" s="16"/>
      <c r="H26" s="16"/>
      <c r="I26" s="13">
        <v>20</v>
      </c>
      <c r="J26" s="13">
        <v>83</v>
      </c>
      <c r="K26" s="13" t="s">
        <v>433</v>
      </c>
      <c r="L26" s="13">
        <v>25</v>
      </c>
      <c r="M26" s="13">
        <v>11</v>
      </c>
      <c r="N26" s="13" t="s">
        <v>434</v>
      </c>
      <c r="O26" s="13">
        <v>92</v>
      </c>
      <c r="P26" s="13" t="s">
        <v>436</v>
      </c>
      <c r="Q26" s="13">
        <v>29</v>
      </c>
      <c r="R26" s="13">
        <v>12</v>
      </c>
      <c r="S26" s="13" t="s">
        <v>435</v>
      </c>
      <c r="T26" s="13">
        <v>103</v>
      </c>
      <c r="U26" s="13" t="s">
        <v>436</v>
      </c>
      <c r="V26" s="13">
        <v>33</v>
      </c>
      <c r="W26" s="13">
        <v>14</v>
      </c>
      <c r="X26" s="13" t="s">
        <v>437</v>
      </c>
      <c r="Y26" s="16"/>
      <c r="Z26" s="16"/>
      <c r="AA26" s="13">
        <v>20</v>
      </c>
      <c r="AB26" s="13" t="s">
        <v>443</v>
      </c>
      <c r="AC26" s="13">
        <v>135</v>
      </c>
      <c r="AD26" s="13">
        <v>150</v>
      </c>
      <c r="AE26" s="13">
        <v>150</v>
      </c>
      <c r="AF26" s="13">
        <v>4</v>
      </c>
      <c r="AG26" s="13">
        <v>52</v>
      </c>
      <c r="AH26" s="40">
        <v>0.1</v>
      </c>
      <c r="AI26" s="32">
        <f t="shared" si="55"/>
        <v>1.1000000000000001</v>
      </c>
      <c r="AK26" s="13">
        <v>20</v>
      </c>
      <c r="AL26" s="13" t="str">
        <f t="shared" si="10"/>
        <v>大叫唤 · 魂火2</v>
      </c>
      <c r="AM26" s="13">
        <f t="shared" si="11"/>
        <v>10</v>
      </c>
      <c r="AN26" s="13">
        <v>2</v>
      </c>
      <c r="AO26" s="13">
        <v>68</v>
      </c>
      <c r="AP26" s="49"/>
      <c r="AQ26" s="32"/>
      <c r="AR26" s="16"/>
      <c r="AS26" s="13">
        <v>21</v>
      </c>
      <c r="AT26" s="13">
        <v>3</v>
      </c>
      <c r="AU26" s="13">
        <v>1</v>
      </c>
      <c r="AV26" s="13" t="s">
        <v>424</v>
      </c>
      <c r="AW26" s="13">
        <v>1</v>
      </c>
      <c r="AX26" s="14">
        <f>AY26-AW26</f>
        <v>4</v>
      </c>
      <c r="AY26" s="13">
        <v>5</v>
      </c>
      <c r="AZ26" s="13">
        <v>150</v>
      </c>
      <c r="BA26" s="13">
        <v>10</v>
      </c>
      <c r="BB26" s="13">
        <v>500</v>
      </c>
      <c r="BC26" s="13">
        <v>8</v>
      </c>
      <c r="BD26" s="13">
        <f t="shared" si="15"/>
        <v>4</v>
      </c>
      <c r="BE26" s="14">
        <f t="shared" si="16"/>
        <v>48</v>
      </c>
      <c r="BF26" s="14">
        <f t="shared" si="0"/>
        <v>32</v>
      </c>
      <c r="BG26" s="14">
        <f t="shared" si="1"/>
        <v>16</v>
      </c>
      <c r="BH26" s="14">
        <f t="shared" si="2"/>
        <v>192</v>
      </c>
      <c r="BI26" s="26">
        <v>0.13452914798206278</v>
      </c>
      <c r="BJ26" s="26">
        <f>BI6/1.115</f>
        <v>0.13452914798206278</v>
      </c>
      <c r="BK26" s="14">
        <f t="shared" ref="BK26:BK45" si="89">ROUND(AZ26*$BI26,0)</f>
        <v>20</v>
      </c>
      <c r="BL26" s="14">
        <f t="shared" si="17"/>
        <v>10</v>
      </c>
      <c r="BM26" s="14">
        <f t="shared" si="18"/>
        <v>120</v>
      </c>
      <c r="BN26" s="13">
        <v>1</v>
      </c>
      <c r="BO26" s="26">
        <v>0.2</v>
      </c>
      <c r="BP26" s="26">
        <f>BO6/1.115</f>
        <v>0.22421524663677131</v>
      </c>
      <c r="BQ26" s="14">
        <f t="shared" ref="BQ26:BQ45" si="90">ROUND(AZ26*$BO26,0)</f>
        <v>30</v>
      </c>
      <c r="BR26" s="14">
        <f t="shared" si="19"/>
        <v>15</v>
      </c>
      <c r="BS26" s="14">
        <f t="shared" si="20"/>
        <v>180</v>
      </c>
      <c r="BT26" s="14">
        <f t="shared" ref="BT26:BT45" si="91">AZ26+BF26+BK26*$BN26+BQ26</f>
        <v>232</v>
      </c>
      <c r="BU26" s="14">
        <f t="shared" ref="BU26:BU45" si="92">BA26+BG26+BL26*$BN26+BR26</f>
        <v>51</v>
      </c>
      <c r="BV26" s="14">
        <f t="shared" ref="BV26:BV45" si="93">BB26+BH26+BM26*$BN26+BS26</f>
        <v>992</v>
      </c>
      <c r="BW26" s="16"/>
      <c r="BX26" s="13">
        <v>1</v>
      </c>
      <c r="BY26" s="14">
        <f t="shared" si="21"/>
        <v>82</v>
      </c>
      <c r="BZ26" s="14">
        <f t="shared" si="22"/>
        <v>41</v>
      </c>
      <c r="CA26" s="14">
        <f t="shared" si="23"/>
        <v>492</v>
      </c>
      <c r="CB26" s="16"/>
      <c r="CC26" s="16"/>
      <c r="CD26" s="16"/>
      <c r="CE26" s="16"/>
      <c r="CF26" s="13">
        <v>4</v>
      </c>
      <c r="CG26" s="13">
        <v>5</v>
      </c>
      <c r="CH26" s="13" t="s">
        <v>433</v>
      </c>
      <c r="CI26" s="14">
        <f t="shared" si="74"/>
        <v>3135</v>
      </c>
      <c r="CJ26" s="14">
        <f t="shared" si="75"/>
        <v>1569</v>
      </c>
      <c r="CK26" s="14">
        <f t="shared" si="76"/>
        <v>28215</v>
      </c>
      <c r="CL26" s="13">
        <v>70</v>
      </c>
      <c r="CM26" s="13">
        <v>90</v>
      </c>
      <c r="CN26" s="24">
        <v>0.7</v>
      </c>
      <c r="CO26" s="14">
        <f t="shared" si="85"/>
        <v>110</v>
      </c>
      <c r="CP26" s="14">
        <f t="shared" si="86"/>
        <v>55</v>
      </c>
      <c r="CQ26" s="14">
        <f t="shared" si="29"/>
        <v>988</v>
      </c>
      <c r="CR26" s="24">
        <v>0.1</v>
      </c>
      <c r="CS26" s="14">
        <f t="shared" si="87"/>
        <v>314</v>
      </c>
      <c r="CT26" s="14">
        <f t="shared" si="88"/>
        <v>157</v>
      </c>
      <c r="CU26" s="14">
        <f t="shared" si="32"/>
        <v>2822</v>
      </c>
      <c r="CV26" s="16"/>
      <c r="CW26" s="16"/>
      <c r="CX26" s="13">
        <v>21</v>
      </c>
      <c r="CY26" s="13">
        <v>3</v>
      </c>
      <c r="CZ26" s="13">
        <v>1</v>
      </c>
      <c r="DA26" s="13">
        <v>1</v>
      </c>
      <c r="DB26" s="13" t="s">
        <v>424</v>
      </c>
      <c r="DC26" s="13">
        <v>1</v>
      </c>
      <c r="DD26" s="13">
        <v>10</v>
      </c>
      <c r="DE26" s="24">
        <v>0.2</v>
      </c>
      <c r="DF26" s="13">
        <v>150</v>
      </c>
      <c r="DG26" s="13">
        <v>0</v>
      </c>
      <c r="DH26" s="13">
        <f>300/12*15</f>
        <v>375</v>
      </c>
      <c r="DI26" s="14">
        <f t="shared" si="34"/>
        <v>8</v>
      </c>
      <c r="DJ26" s="14">
        <f t="shared" si="35"/>
        <v>4</v>
      </c>
      <c r="DK26" s="14">
        <f t="shared" si="36"/>
        <v>49</v>
      </c>
      <c r="DL26" s="14">
        <f t="shared" si="37"/>
        <v>8</v>
      </c>
      <c r="DM26" s="14">
        <f t="shared" si="38"/>
        <v>4</v>
      </c>
      <c r="DN26" s="14">
        <f t="shared" si="39"/>
        <v>49</v>
      </c>
      <c r="DO26" s="14">
        <f>DL26*($DD26-$DC26)</f>
        <v>72</v>
      </c>
      <c r="DP26" s="14">
        <f t="shared" si="61"/>
        <v>36</v>
      </c>
      <c r="DQ26" s="14">
        <f t="shared" si="62"/>
        <v>441</v>
      </c>
      <c r="DR26" s="14">
        <f>DF26+DI26+DO26</f>
        <v>230</v>
      </c>
      <c r="DS26" s="14">
        <f t="shared" si="43"/>
        <v>40</v>
      </c>
      <c r="DT26" s="14">
        <f t="shared" si="44"/>
        <v>865</v>
      </c>
      <c r="DU26" s="16"/>
      <c r="DV26" s="16"/>
      <c r="EF26" s="13" t="s">
        <v>700</v>
      </c>
      <c r="EG26" s="13">
        <v>52</v>
      </c>
      <c r="EH26" s="13">
        <v>20</v>
      </c>
      <c r="EI26" s="13">
        <f t="shared" si="63"/>
        <v>148</v>
      </c>
      <c r="EJ26" s="13">
        <f t="shared" si="45"/>
        <v>3161</v>
      </c>
      <c r="EK26" s="13">
        <f t="shared" si="46"/>
        <v>1601</v>
      </c>
      <c r="EL26" s="13">
        <f t="shared" si="47"/>
        <v>28910</v>
      </c>
      <c r="EM26" s="14">
        <f t="shared" si="64"/>
        <v>92540</v>
      </c>
      <c r="EN26" s="13">
        <f t="shared" si="48"/>
        <v>22340</v>
      </c>
      <c r="EO26" s="13">
        <f t="shared" si="49"/>
        <v>11176</v>
      </c>
      <c r="EP26" s="13">
        <f t="shared" si="50"/>
        <v>216660</v>
      </c>
      <c r="EQ26" s="14">
        <f t="shared" si="65"/>
        <v>663580</v>
      </c>
      <c r="ER26" s="13">
        <f t="shared" si="51"/>
        <v>9465</v>
      </c>
      <c r="ES26" s="13">
        <f t="shared" si="52"/>
        <v>4735</v>
      </c>
      <c r="ET26" s="13">
        <f t="shared" si="53"/>
        <v>91490</v>
      </c>
      <c r="EU26" s="14">
        <f t="shared" si="66"/>
        <v>280840</v>
      </c>
      <c r="EV26" s="14">
        <f t="shared" si="67"/>
        <v>1036960</v>
      </c>
      <c r="EW26" s="26">
        <f t="shared" si="68"/>
        <v>8.9241629378182377E-2</v>
      </c>
      <c r="EX26" s="26">
        <f t="shared" si="69"/>
        <v>0.63992825181299184</v>
      </c>
      <c r="EY26" s="26">
        <f t="shared" si="70"/>
        <v>0.27083011880882579</v>
      </c>
    </row>
    <row r="27" spans="1:155" ht="20.100000000000001" customHeight="1" x14ac:dyDescent="0.2">
      <c r="A27" s="13" t="s">
        <v>60</v>
      </c>
      <c r="B27" s="13">
        <v>0</v>
      </c>
      <c r="C27" s="13">
        <v>1</v>
      </c>
      <c r="D27" s="13">
        <v>10</v>
      </c>
      <c r="E27" s="13">
        <v>25</v>
      </c>
      <c r="F27" s="13">
        <f>1-D27/E27</f>
        <v>0.6</v>
      </c>
      <c r="G27" s="16"/>
      <c r="H27" s="16"/>
      <c r="I27" s="13">
        <v>21</v>
      </c>
      <c r="J27" s="13">
        <v>84</v>
      </c>
      <c r="K27" s="13" t="s">
        <v>433</v>
      </c>
      <c r="L27" s="13">
        <v>25</v>
      </c>
      <c r="M27" s="13">
        <v>11</v>
      </c>
      <c r="N27" s="13" t="s">
        <v>434</v>
      </c>
      <c r="O27" s="13">
        <v>93</v>
      </c>
      <c r="P27" s="13" t="s">
        <v>436</v>
      </c>
      <c r="Q27" s="13">
        <v>29</v>
      </c>
      <c r="R27" s="13">
        <v>12</v>
      </c>
      <c r="S27" s="13" t="s">
        <v>435</v>
      </c>
      <c r="T27" s="13">
        <v>104</v>
      </c>
      <c r="U27" s="13" t="s">
        <v>436</v>
      </c>
      <c r="V27" s="13">
        <v>33</v>
      </c>
      <c r="W27" s="13">
        <v>14</v>
      </c>
      <c r="X27" s="13" t="s">
        <v>437</v>
      </c>
      <c r="Y27" s="16"/>
      <c r="Z27" s="16"/>
      <c r="AK27" s="13">
        <v>21</v>
      </c>
      <c r="AL27" s="13" t="str">
        <f t="shared" si="10"/>
        <v>大叫唤 · 魂火3</v>
      </c>
      <c r="AM27" s="13">
        <f t="shared" si="11"/>
        <v>10</v>
      </c>
      <c r="AN27" s="13">
        <v>3</v>
      </c>
      <c r="AO27" s="13">
        <v>70</v>
      </c>
      <c r="AP27" s="49"/>
      <c r="AQ27" s="32"/>
      <c r="AR27" s="16"/>
      <c r="AS27" s="13">
        <v>22</v>
      </c>
      <c r="AT27" s="13">
        <v>3</v>
      </c>
      <c r="AU27" s="13">
        <v>2</v>
      </c>
      <c r="AV27" s="13" t="s">
        <v>425</v>
      </c>
      <c r="AW27" s="13">
        <v>5</v>
      </c>
      <c r="AX27" s="14">
        <f>AY27-AW27</f>
        <v>10</v>
      </c>
      <c r="AY27" s="13">
        <v>15</v>
      </c>
      <c r="AZ27" s="14">
        <f t="shared" ref="AZ27" si="94">BT26</f>
        <v>232</v>
      </c>
      <c r="BA27" s="14">
        <f t="shared" ref="BA27" si="95">BU26</f>
        <v>51</v>
      </c>
      <c r="BB27" s="14">
        <f t="shared" ref="BB27" si="96">BV26</f>
        <v>992</v>
      </c>
      <c r="BC27" s="13">
        <v>10</v>
      </c>
      <c r="BD27" s="13">
        <f t="shared" si="15"/>
        <v>5</v>
      </c>
      <c r="BE27" s="14">
        <f t="shared" si="16"/>
        <v>60</v>
      </c>
      <c r="BF27" s="14">
        <f t="shared" si="0"/>
        <v>100</v>
      </c>
      <c r="BG27" s="14">
        <f t="shared" si="1"/>
        <v>50</v>
      </c>
      <c r="BH27" s="14">
        <f t="shared" si="2"/>
        <v>600</v>
      </c>
      <c r="BI27" s="26">
        <v>0.108</v>
      </c>
      <c r="BJ27" s="26">
        <f t="shared" ref="BJ27:BJ45" si="97">BI7/1.115</f>
        <v>0.11210762331838565</v>
      </c>
      <c r="BK27" s="14">
        <f t="shared" si="89"/>
        <v>25</v>
      </c>
      <c r="BL27" s="14">
        <f t="shared" si="17"/>
        <v>13</v>
      </c>
      <c r="BM27" s="14">
        <f t="shared" si="18"/>
        <v>150</v>
      </c>
      <c r="BN27" s="13">
        <v>2</v>
      </c>
      <c r="BO27" s="26">
        <v>0.17199999999999999</v>
      </c>
      <c r="BP27" s="26">
        <f t="shared" ref="BP27:BP65" si="98">BO7/1.115</f>
        <v>0.17040358744394618</v>
      </c>
      <c r="BQ27" s="14">
        <f t="shared" si="90"/>
        <v>40</v>
      </c>
      <c r="BR27" s="14">
        <f t="shared" si="19"/>
        <v>20</v>
      </c>
      <c r="BS27" s="14">
        <f t="shared" si="20"/>
        <v>240</v>
      </c>
      <c r="BT27" s="14">
        <f t="shared" si="91"/>
        <v>422</v>
      </c>
      <c r="BU27" s="14">
        <f t="shared" si="92"/>
        <v>147</v>
      </c>
      <c r="BV27" s="14">
        <f t="shared" si="93"/>
        <v>2132</v>
      </c>
      <c r="BW27" s="16"/>
      <c r="BX27" s="13">
        <v>2</v>
      </c>
      <c r="BY27" s="14">
        <f t="shared" si="21"/>
        <v>190</v>
      </c>
      <c r="BZ27" s="14">
        <f t="shared" si="22"/>
        <v>96</v>
      </c>
      <c r="CA27" s="14">
        <f t="shared" si="23"/>
        <v>1140</v>
      </c>
      <c r="CB27" s="16"/>
      <c r="CC27" s="16"/>
      <c r="CD27" s="16"/>
      <c r="CE27" s="16"/>
      <c r="CF27" s="13">
        <v>4</v>
      </c>
      <c r="CG27" s="13">
        <v>6</v>
      </c>
      <c r="CH27" s="13" t="s">
        <v>436</v>
      </c>
      <c r="CI27" s="14">
        <f t="shared" si="74"/>
        <v>5790</v>
      </c>
      <c r="CJ27" s="14">
        <f t="shared" si="75"/>
        <v>2898</v>
      </c>
      <c r="CK27" s="14">
        <f t="shared" si="76"/>
        <v>57900</v>
      </c>
      <c r="CL27" s="13">
        <v>90</v>
      </c>
      <c r="CM27" s="13">
        <v>110</v>
      </c>
      <c r="CN27" s="24">
        <v>0.7</v>
      </c>
      <c r="CO27" s="14">
        <f t="shared" si="85"/>
        <v>203</v>
      </c>
      <c r="CP27" s="14">
        <f t="shared" si="86"/>
        <v>101</v>
      </c>
      <c r="CQ27" s="14">
        <f t="shared" si="29"/>
        <v>2027</v>
      </c>
      <c r="CR27" s="24">
        <v>0.1</v>
      </c>
      <c r="CS27" s="14">
        <f t="shared" si="87"/>
        <v>579</v>
      </c>
      <c r="CT27" s="14">
        <f t="shared" si="88"/>
        <v>290</v>
      </c>
      <c r="CU27" s="14">
        <f t="shared" si="32"/>
        <v>5790</v>
      </c>
      <c r="CV27" s="16"/>
      <c r="CW27" s="16"/>
      <c r="CX27" s="13">
        <v>22</v>
      </c>
      <c r="CY27" s="13">
        <v>3</v>
      </c>
      <c r="CZ27" s="13">
        <v>2</v>
      </c>
      <c r="DA27" s="13">
        <v>2</v>
      </c>
      <c r="DB27" s="13" t="s">
        <v>425</v>
      </c>
      <c r="DC27" s="13">
        <v>10</v>
      </c>
      <c r="DD27" s="13">
        <v>10</v>
      </c>
      <c r="DE27" s="24">
        <v>0.2</v>
      </c>
      <c r="DF27" s="14">
        <f>DF26+DI26+DO26</f>
        <v>230</v>
      </c>
      <c r="DG27" s="14">
        <f t="shared" ref="DG27:DG45" si="99">DG26+DJ26+DP26</f>
        <v>40</v>
      </c>
      <c r="DH27" s="14">
        <f t="shared" ref="DH27:DH45" si="100">DH26+DK26+DQ26</f>
        <v>865</v>
      </c>
      <c r="DI27" s="14">
        <f>INDEX(CS$6:CS$37,($CY27-2)*8+$DA27)</f>
        <v>42</v>
      </c>
      <c r="DJ27" s="14">
        <f t="shared" si="35"/>
        <v>21</v>
      </c>
      <c r="DK27" s="14">
        <f t="shared" si="36"/>
        <v>252</v>
      </c>
      <c r="DL27" s="14">
        <f t="shared" si="37"/>
        <v>17</v>
      </c>
      <c r="DM27" s="14">
        <f t="shared" si="38"/>
        <v>8</v>
      </c>
      <c r="DN27" s="14">
        <f t="shared" si="39"/>
        <v>101</v>
      </c>
      <c r="DO27" s="14">
        <f>DL27*($DD27-$DC27)</f>
        <v>0</v>
      </c>
      <c r="DP27" s="14">
        <f t="shared" si="61"/>
        <v>0</v>
      </c>
      <c r="DQ27" s="14">
        <f t="shared" si="62"/>
        <v>0</v>
      </c>
      <c r="DR27" s="14">
        <f>DF27+DI27+DO27</f>
        <v>272</v>
      </c>
      <c r="DS27" s="14">
        <f t="shared" si="43"/>
        <v>61</v>
      </c>
      <c r="DT27" s="14">
        <f t="shared" si="44"/>
        <v>1117</v>
      </c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3"/>
      <c r="B28" s="13">
        <v>1</v>
      </c>
      <c r="C28" s="13">
        <v>1</v>
      </c>
      <c r="D28" s="13">
        <v>6</v>
      </c>
      <c r="E28" s="13">
        <v>25</v>
      </c>
      <c r="F28" s="13">
        <f>F$27</f>
        <v>0.6</v>
      </c>
      <c r="G28" s="16"/>
      <c r="H28" s="16"/>
      <c r="I28" s="13">
        <v>22</v>
      </c>
      <c r="J28" s="13">
        <v>86</v>
      </c>
      <c r="K28" s="13" t="s">
        <v>433</v>
      </c>
      <c r="L28" s="13">
        <v>26</v>
      </c>
      <c r="M28" s="13">
        <v>11</v>
      </c>
      <c r="N28" s="13" t="s">
        <v>434</v>
      </c>
      <c r="O28" s="13">
        <v>95</v>
      </c>
      <c r="P28" s="13" t="s">
        <v>436</v>
      </c>
      <c r="Q28" s="13">
        <v>30</v>
      </c>
      <c r="R28" s="13">
        <v>13</v>
      </c>
      <c r="S28" s="13" t="s">
        <v>436</v>
      </c>
      <c r="T28" s="13">
        <v>107</v>
      </c>
      <c r="U28" s="13" t="s">
        <v>436</v>
      </c>
      <c r="V28" s="13">
        <v>35</v>
      </c>
      <c r="W28" s="13">
        <v>14</v>
      </c>
      <c r="X28" s="13" t="s">
        <v>437</v>
      </c>
      <c r="Y28" s="16"/>
      <c r="Z28" s="16"/>
      <c r="AK28" s="13">
        <v>22</v>
      </c>
      <c r="AL28" s="13" t="str">
        <f t="shared" si="10"/>
        <v>大叫唤+1 · 魂火1</v>
      </c>
      <c r="AM28" s="13">
        <f t="shared" si="11"/>
        <v>11</v>
      </c>
      <c r="AN28" s="13">
        <v>1</v>
      </c>
      <c r="AO28" s="13">
        <v>73</v>
      </c>
      <c r="AP28" s="49"/>
      <c r="AQ28" s="32"/>
      <c r="AR28" s="16"/>
      <c r="AS28" s="13">
        <v>23</v>
      </c>
      <c r="AT28" s="13">
        <v>3</v>
      </c>
      <c r="AU28" s="13">
        <v>3</v>
      </c>
      <c r="AV28" s="13" t="s">
        <v>426</v>
      </c>
      <c r="AW28" s="13">
        <v>15</v>
      </c>
      <c r="AX28" s="14">
        <f t="shared" ref="AX28:AX45" si="101">AY28-AW28</f>
        <v>10</v>
      </c>
      <c r="AY28" s="13">
        <v>25</v>
      </c>
      <c r="AZ28" s="14">
        <f t="shared" ref="AZ28:AZ45" si="102">BT27</f>
        <v>422</v>
      </c>
      <c r="BA28" s="14">
        <f t="shared" ref="BA28:BA45" si="103">BU27</f>
        <v>147</v>
      </c>
      <c r="BB28" s="14">
        <f t="shared" ref="BB28:BB45" si="104">BV27</f>
        <v>2132</v>
      </c>
      <c r="BC28" s="13">
        <v>10</v>
      </c>
      <c r="BD28" s="13">
        <f t="shared" si="15"/>
        <v>5</v>
      </c>
      <c r="BE28" s="14">
        <f t="shared" si="16"/>
        <v>60</v>
      </c>
      <c r="BF28" s="14">
        <f t="shared" ref="BF28:BF45" si="105">BC28*$AX28</f>
        <v>100</v>
      </c>
      <c r="BG28" s="14">
        <f t="shared" ref="BG28:BG45" si="106">BD28*$AX28</f>
        <v>50</v>
      </c>
      <c r="BH28" s="14">
        <f t="shared" ref="BH28:BH45" si="107">BE28*$AX28</f>
        <v>600</v>
      </c>
      <c r="BI28" s="26">
        <v>7.1999999999999995E-2</v>
      </c>
      <c r="BJ28" s="26">
        <f t="shared" si="97"/>
        <v>7.6233183856502254E-2</v>
      </c>
      <c r="BK28" s="14">
        <f t="shared" si="89"/>
        <v>30</v>
      </c>
      <c r="BL28" s="14">
        <f t="shared" si="17"/>
        <v>15</v>
      </c>
      <c r="BM28" s="14">
        <f t="shared" si="18"/>
        <v>180</v>
      </c>
      <c r="BN28" s="13">
        <v>2</v>
      </c>
      <c r="BO28" s="26">
        <v>0.16600000000000001</v>
      </c>
      <c r="BP28" s="26">
        <f t="shared" si="98"/>
        <v>0.15426008968609864</v>
      </c>
      <c r="BQ28" s="14">
        <f t="shared" si="90"/>
        <v>70</v>
      </c>
      <c r="BR28" s="14">
        <f t="shared" si="19"/>
        <v>35</v>
      </c>
      <c r="BS28" s="14">
        <f t="shared" si="20"/>
        <v>420</v>
      </c>
      <c r="BT28" s="14">
        <f t="shared" si="91"/>
        <v>652</v>
      </c>
      <c r="BU28" s="14">
        <f t="shared" si="92"/>
        <v>262</v>
      </c>
      <c r="BV28" s="14">
        <f t="shared" si="93"/>
        <v>3512</v>
      </c>
      <c r="BW28" s="16"/>
      <c r="BX28" s="13">
        <v>2</v>
      </c>
      <c r="BY28" s="14">
        <f t="shared" si="21"/>
        <v>230</v>
      </c>
      <c r="BZ28" s="14">
        <f t="shared" si="22"/>
        <v>115</v>
      </c>
      <c r="CA28" s="14">
        <f t="shared" si="23"/>
        <v>1380</v>
      </c>
      <c r="CB28" s="16"/>
      <c r="CC28" s="16"/>
      <c r="CD28" s="16"/>
      <c r="CE28" s="16"/>
      <c r="CF28" s="13">
        <v>4</v>
      </c>
      <c r="CG28" s="13">
        <v>7</v>
      </c>
      <c r="CH28" s="13" t="s">
        <v>439</v>
      </c>
      <c r="CI28" s="14">
        <f t="shared" si="74"/>
        <v>10160</v>
      </c>
      <c r="CJ28" s="14">
        <f t="shared" si="75"/>
        <v>5080</v>
      </c>
      <c r="CK28" s="14">
        <f t="shared" si="76"/>
        <v>101600</v>
      </c>
      <c r="CL28" s="13">
        <v>110</v>
      </c>
      <c r="CM28" s="13">
        <v>135</v>
      </c>
      <c r="CN28" s="24">
        <v>0.7</v>
      </c>
      <c r="CO28" s="14">
        <f t="shared" si="85"/>
        <v>284</v>
      </c>
      <c r="CP28" s="14">
        <f t="shared" si="86"/>
        <v>142</v>
      </c>
      <c r="CQ28" s="14">
        <f t="shared" si="29"/>
        <v>2845</v>
      </c>
      <c r="CR28" s="24">
        <v>0.1</v>
      </c>
      <c r="CS28" s="14">
        <f t="shared" si="87"/>
        <v>1016</v>
      </c>
      <c r="CT28" s="14">
        <f t="shared" si="88"/>
        <v>508</v>
      </c>
      <c r="CU28" s="14">
        <f t="shared" si="32"/>
        <v>10160</v>
      </c>
      <c r="CV28" s="16"/>
      <c r="CW28" s="16"/>
      <c r="CX28" s="13">
        <v>23</v>
      </c>
      <c r="CY28" s="13">
        <v>3</v>
      </c>
      <c r="CZ28" s="13">
        <v>3</v>
      </c>
      <c r="DA28" s="13">
        <v>2</v>
      </c>
      <c r="DB28" s="13" t="s">
        <v>426</v>
      </c>
      <c r="DC28" s="13">
        <v>10</v>
      </c>
      <c r="DD28" s="13">
        <v>20</v>
      </c>
      <c r="DE28" s="24">
        <v>0.2</v>
      </c>
      <c r="DF28" s="14">
        <f t="shared" ref="DF28:DF45" si="108">DF27+DI27+DO27</f>
        <v>272</v>
      </c>
      <c r="DG28" s="14">
        <f t="shared" si="99"/>
        <v>61</v>
      </c>
      <c r="DH28" s="14">
        <f t="shared" si="100"/>
        <v>1117</v>
      </c>
      <c r="DI28" s="14">
        <f t="shared" si="34"/>
        <v>42</v>
      </c>
      <c r="DJ28" s="14">
        <f t="shared" si="35"/>
        <v>21</v>
      </c>
      <c r="DK28" s="14">
        <f t="shared" si="36"/>
        <v>252</v>
      </c>
      <c r="DL28" s="14">
        <f t="shared" si="37"/>
        <v>17</v>
      </c>
      <c r="DM28" s="14">
        <f t="shared" si="38"/>
        <v>8</v>
      </c>
      <c r="DN28" s="14">
        <f t="shared" si="39"/>
        <v>101</v>
      </c>
      <c r="DO28" s="14">
        <f t="shared" ref="DO28:DO45" si="109">DL28*($DD28-$DC28)</f>
        <v>170</v>
      </c>
      <c r="DP28" s="14">
        <f t="shared" ref="DP28:DP47" si="110">DM28*($DD28-$DC28)</f>
        <v>80</v>
      </c>
      <c r="DQ28" s="14">
        <f t="shared" ref="DQ28:DQ47" si="111">DN28*($DD28-$DC28)</f>
        <v>1010</v>
      </c>
      <c r="DR28" s="14">
        <f t="shared" si="42"/>
        <v>484</v>
      </c>
      <c r="DS28" s="14">
        <f t="shared" si="43"/>
        <v>162</v>
      </c>
      <c r="DT28" s="14">
        <f t="shared" si="44"/>
        <v>2379</v>
      </c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3"/>
      <c r="B29" s="13">
        <v>2</v>
      </c>
      <c r="C29" s="13">
        <v>1</v>
      </c>
      <c r="D29" s="13">
        <v>6</v>
      </c>
      <c r="E29" s="13">
        <v>25</v>
      </c>
      <c r="F29" s="13">
        <f t="shared" ref="F29:F47" si="112">F$27</f>
        <v>0.6</v>
      </c>
      <c r="G29" s="16"/>
      <c r="H29" s="16"/>
      <c r="I29" s="13">
        <v>23</v>
      </c>
      <c r="J29" s="13">
        <v>87</v>
      </c>
      <c r="K29" s="13" t="s">
        <v>433</v>
      </c>
      <c r="L29" s="13">
        <v>27</v>
      </c>
      <c r="M29" s="13">
        <v>12</v>
      </c>
      <c r="N29" s="13" t="s">
        <v>435</v>
      </c>
      <c r="O29" s="13">
        <v>97</v>
      </c>
      <c r="P29" s="13" t="s">
        <v>436</v>
      </c>
      <c r="Q29" s="13">
        <v>31</v>
      </c>
      <c r="R29" s="13">
        <v>13</v>
      </c>
      <c r="S29" s="13" t="s">
        <v>436</v>
      </c>
      <c r="T29" s="13">
        <v>108</v>
      </c>
      <c r="U29" s="13" t="s">
        <v>436</v>
      </c>
      <c r="V29" s="13">
        <v>35</v>
      </c>
      <c r="W29" s="13">
        <v>14</v>
      </c>
      <c r="X29" s="13" t="s">
        <v>437</v>
      </c>
      <c r="Y29" s="16"/>
      <c r="Z29" s="16"/>
      <c r="AK29" s="13">
        <v>23</v>
      </c>
      <c r="AL29" s="13" t="str">
        <f t="shared" si="10"/>
        <v>大叫唤+1 · 魂火2</v>
      </c>
      <c r="AM29" s="13">
        <f t="shared" si="11"/>
        <v>11</v>
      </c>
      <c r="AN29" s="13">
        <v>2</v>
      </c>
      <c r="AO29" s="13">
        <v>75</v>
      </c>
      <c r="AP29" s="49"/>
      <c r="AQ29" s="32"/>
      <c r="AR29" s="16"/>
      <c r="AS29" s="13">
        <v>24</v>
      </c>
      <c r="AT29" s="13">
        <v>3</v>
      </c>
      <c r="AU29" s="13">
        <v>4</v>
      </c>
      <c r="AV29" s="13" t="s">
        <v>427</v>
      </c>
      <c r="AW29" s="13">
        <v>25</v>
      </c>
      <c r="AX29" s="14">
        <f t="shared" si="101"/>
        <v>10</v>
      </c>
      <c r="AY29" s="13">
        <v>35</v>
      </c>
      <c r="AZ29" s="14">
        <f t="shared" si="102"/>
        <v>652</v>
      </c>
      <c r="BA29" s="14">
        <f t="shared" si="103"/>
        <v>262</v>
      </c>
      <c r="BB29" s="14">
        <f t="shared" si="104"/>
        <v>3512</v>
      </c>
      <c r="BC29" s="13">
        <v>12</v>
      </c>
      <c r="BD29" s="13">
        <f t="shared" si="15"/>
        <v>6</v>
      </c>
      <c r="BE29" s="14">
        <f t="shared" si="16"/>
        <v>84</v>
      </c>
      <c r="BF29" s="14">
        <f t="shared" si="105"/>
        <v>120</v>
      </c>
      <c r="BG29" s="14">
        <f t="shared" si="106"/>
        <v>60</v>
      </c>
      <c r="BH29" s="14">
        <f t="shared" si="107"/>
        <v>840</v>
      </c>
      <c r="BI29" s="26">
        <v>6.2E-2</v>
      </c>
      <c r="BJ29" s="26">
        <f t="shared" si="97"/>
        <v>5.9192825112107626E-2</v>
      </c>
      <c r="BK29" s="14">
        <f t="shared" si="89"/>
        <v>40</v>
      </c>
      <c r="BL29" s="14">
        <f t="shared" si="17"/>
        <v>20</v>
      </c>
      <c r="BM29" s="14">
        <f t="shared" si="18"/>
        <v>280</v>
      </c>
      <c r="BN29" s="13">
        <v>2</v>
      </c>
      <c r="BO29" s="26">
        <v>0.115</v>
      </c>
      <c r="BP29" s="26">
        <f t="shared" si="98"/>
        <v>0.11928251121076235</v>
      </c>
      <c r="BQ29" s="14">
        <f t="shared" si="90"/>
        <v>75</v>
      </c>
      <c r="BR29" s="14">
        <f t="shared" si="19"/>
        <v>38</v>
      </c>
      <c r="BS29" s="14">
        <f t="shared" si="20"/>
        <v>525</v>
      </c>
      <c r="BT29" s="14">
        <f t="shared" si="91"/>
        <v>927</v>
      </c>
      <c r="BU29" s="14">
        <f t="shared" si="92"/>
        <v>400</v>
      </c>
      <c r="BV29" s="14">
        <f t="shared" si="93"/>
        <v>5437</v>
      </c>
      <c r="BW29" s="16"/>
      <c r="BX29" s="13">
        <v>3</v>
      </c>
      <c r="BY29" s="14">
        <f t="shared" si="21"/>
        <v>275</v>
      </c>
      <c r="BZ29" s="14">
        <f t="shared" si="22"/>
        <v>138</v>
      </c>
      <c r="CA29" s="14">
        <f t="shared" si="23"/>
        <v>1925</v>
      </c>
      <c r="CB29" s="16"/>
      <c r="CC29" s="16"/>
      <c r="CD29" s="16"/>
      <c r="CE29" s="16"/>
      <c r="CF29" s="13">
        <v>4</v>
      </c>
      <c r="CG29" s="13">
        <v>8</v>
      </c>
      <c r="CH29" s="13" t="s">
        <v>442</v>
      </c>
      <c r="CI29" s="14">
        <f t="shared" si="74"/>
        <v>11050</v>
      </c>
      <c r="CJ29" s="14">
        <f t="shared" si="75"/>
        <v>5534</v>
      </c>
      <c r="CK29" s="14">
        <f t="shared" si="76"/>
        <v>110500</v>
      </c>
      <c r="CL29" s="13">
        <v>135</v>
      </c>
      <c r="CM29" s="13">
        <v>150</v>
      </c>
      <c r="CN29" s="24">
        <v>0.7</v>
      </c>
      <c r="CO29" s="14">
        <f t="shared" si="85"/>
        <v>516</v>
      </c>
      <c r="CP29" s="14">
        <f t="shared" si="86"/>
        <v>258</v>
      </c>
      <c r="CQ29" s="14">
        <f t="shared" si="29"/>
        <v>5157</v>
      </c>
      <c r="CR29" s="24">
        <v>0.1</v>
      </c>
      <c r="CS29" s="14">
        <f t="shared" si="87"/>
        <v>1105</v>
      </c>
      <c r="CT29" s="14">
        <f t="shared" si="88"/>
        <v>553</v>
      </c>
      <c r="CU29" s="14">
        <f t="shared" si="32"/>
        <v>11050</v>
      </c>
      <c r="CV29" s="16"/>
      <c r="CW29" s="16"/>
      <c r="CX29" s="13">
        <v>24</v>
      </c>
      <c r="CY29" s="13">
        <v>3</v>
      </c>
      <c r="CZ29" s="13">
        <v>4</v>
      </c>
      <c r="DA29" s="13">
        <v>3</v>
      </c>
      <c r="DB29" s="13" t="s">
        <v>427</v>
      </c>
      <c r="DC29" s="13">
        <v>20</v>
      </c>
      <c r="DD29" s="13">
        <v>20</v>
      </c>
      <c r="DE29" s="24">
        <v>0.2</v>
      </c>
      <c r="DF29" s="14">
        <f t="shared" si="108"/>
        <v>484</v>
      </c>
      <c r="DG29" s="14">
        <f t="shared" si="99"/>
        <v>162</v>
      </c>
      <c r="DH29" s="14">
        <f t="shared" si="100"/>
        <v>2379</v>
      </c>
      <c r="DI29" s="14">
        <f t="shared" si="34"/>
        <v>85</v>
      </c>
      <c r="DJ29" s="14">
        <f t="shared" si="35"/>
        <v>43</v>
      </c>
      <c r="DK29" s="14">
        <f t="shared" si="36"/>
        <v>594</v>
      </c>
      <c r="DL29" s="14">
        <f t="shared" si="37"/>
        <v>30</v>
      </c>
      <c r="DM29" s="14">
        <f t="shared" si="38"/>
        <v>15</v>
      </c>
      <c r="DN29" s="14">
        <f t="shared" si="39"/>
        <v>208</v>
      </c>
      <c r="DO29" s="14">
        <f t="shared" si="109"/>
        <v>0</v>
      </c>
      <c r="DP29" s="14">
        <f t="shared" si="110"/>
        <v>0</v>
      </c>
      <c r="DQ29" s="14">
        <f t="shared" si="111"/>
        <v>0</v>
      </c>
      <c r="DR29" s="14">
        <f t="shared" si="42"/>
        <v>569</v>
      </c>
      <c r="DS29" s="14">
        <f t="shared" si="43"/>
        <v>205</v>
      </c>
      <c r="DT29" s="14">
        <f t="shared" si="44"/>
        <v>2973</v>
      </c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3"/>
      <c r="B30" s="13">
        <v>3</v>
      </c>
      <c r="C30" s="13">
        <v>1</v>
      </c>
      <c r="D30" s="13">
        <v>6</v>
      </c>
      <c r="E30" s="13">
        <v>25</v>
      </c>
      <c r="F30" s="13">
        <f t="shared" si="112"/>
        <v>0.6</v>
      </c>
      <c r="G30" s="16"/>
      <c r="H30" s="16"/>
      <c r="I30" s="13">
        <v>24</v>
      </c>
      <c r="J30" s="13">
        <v>88</v>
      </c>
      <c r="K30" s="13" t="s">
        <v>433</v>
      </c>
      <c r="L30" s="13">
        <v>27</v>
      </c>
      <c r="M30" s="13">
        <v>12</v>
      </c>
      <c r="N30" s="13" t="s">
        <v>435</v>
      </c>
      <c r="O30" s="13">
        <v>98</v>
      </c>
      <c r="P30" s="13" t="s">
        <v>436</v>
      </c>
      <c r="Q30" s="13">
        <v>31</v>
      </c>
      <c r="R30" s="13">
        <v>13</v>
      </c>
      <c r="S30" s="13" t="s">
        <v>436</v>
      </c>
      <c r="T30" s="13">
        <v>110</v>
      </c>
      <c r="U30" s="13" t="s">
        <v>439</v>
      </c>
      <c r="V30" s="13">
        <v>36</v>
      </c>
      <c r="W30" s="13">
        <v>15</v>
      </c>
      <c r="X30" s="13" t="s">
        <v>438</v>
      </c>
      <c r="Y30" s="16"/>
      <c r="Z30" s="16"/>
      <c r="AK30" s="13">
        <v>24</v>
      </c>
      <c r="AL30" s="13" t="str">
        <f t="shared" si="10"/>
        <v>大叫唤+1 · 魂火3</v>
      </c>
      <c r="AM30" s="13">
        <f t="shared" si="11"/>
        <v>11</v>
      </c>
      <c r="AN30" s="13">
        <v>3</v>
      </c>
      <c r="AO30" s="13">
        <v>78</v>
      </c>
      <c r="AP30" s="49"/>
      <c r="AQ30" s="32"/>
      <c r="AR30" s="16"/>
      <c r="AS30" s="13">
        <v>25</v>
      </c>
      <c r="AT30" s="13">
        <v>3</v>
      </c>
      <c r="AU30" s="13">
        <v>5</v>
      </c>
      <c r="AV30" s="13" t="s">
        <v>428</v>
      </c>
      <c r="AW30" s="13">
        <v>35</v>
      </c>
      <c r="AX30" s="14">
        <f t="shared" si="101"/>
        <v>7</v>
      </c>
      <c r="AY30" s="13">
        <v>42</v>
      </c>
      <c r="AZ30" s="14">
        <f t="shared" si="102"/>
        <v>927</v>
      </c>
      <c r="BA30" s="14">
        <f t="shared" si="103"/>
        <v>400</v>
      </c>
      <c r="BB30" s="14">
        <f t="shared" si="104"/>
        <v>5437</v>
      </c>
      <c r="BC30" s="13">
        <v>12</v>
      </c>
      <c r="BD30" s="13">
        <f t="shared" si="15"/>
        <v>6</v>
      </c>
      <c r="BE30" s="14">
        <f t="shared" si="16"/>
        <v>84</v>
      </c>
      <c r="BF30" s="14">
        <f t="shared" si="105"/>
        <v>84</v>
      </c>
      <c r="BG30" s="14">
        <f t="shared" si="106"/>
        <v>42</v>
      </c>
      <c r="BH30" s="14">
        <f t="shared" si="107"/>
        <v>588</v>
      </c>
      <c r="BI30" s="26">
        <v>4.8430493273542603E-2</v>
      </c>
      <c r="BJ30" s="26">
        <f t="shared" si="97"/>
        <v>4.8430493273542603E-2</v>
      </c>
      <c r="BK30" s="14">
        <f t="shared" si="89"/>
        <v>45</v>
      </c>
      <c r="BL30" s="14">
        <f t="shared" si="17"/>
        <v>23</v>
      </c>
      <c r="BM30" s="14">
        <f t="shared" si="18"/>
        <v>315</v>
      </c>
      <c r="BN30" s="13">
        <v>2</v>
      </c>
      <c r="BO30" s="26">
        <v>0.108</v>
      </c>
      <c r="BP30" s="26">
        <f t="shared" si="98"/>
        <v>0.11031390134529148</v>
      </c>
      <c r="BQ30" s="14">
        <f t="shared" si="90"/>
        <v>100</v>
      </c>
      <c r="BR30" s="14">
        <f t="shared" si="19"/>
        <v>50</v>
      </c>
      <c r="BS30" s="14">
        <f t="shared" si="20"/>
        <v>700</v>
      </c>
      <c r="BT30" s="14">
        <f t="shared" si="91"/>
        <v>1201</v>
      </c>
      <c r="BU30" s="14">
        <f t="shared" si="92"/>
        <v>538</v>
      </c>
      <c r="BV30" s="14">
        <f t="shared" si="93"/>
        <v>7355</v>
      </c>
      <c r="BW30" s="16"/>
      <c r="BX30" s="13">
        <v>3</v>
      </c>
      <c r="BY30" s="14">
        <f t="shared" si="21"/>
        <v>274</v>
      </c>
      <c r="BZ30" s="14">
        <f t="shared" si="22"/>
        <v>138</v>
      </c>
      <c r="CA30" s="14">
        <f t="shared" si="23"/>
        <v>1918</v>
      </c>
      <c r="CB30" s="16"/>
      <c r="CC30" s="16"/>
      <c r="CD30" s="16"/>
      <c r="CE30" s="16"/>
      <c r="CF30" s="13">
        <v>5</v>
      </c>
      <c r="CG30" s="13">
        <v>1</v>
      </c>
      <c r="CH30" s="13" t="s">
        <v>424</v>
      </c>
      <c r="CI30" s="14">
        <f t="shared" ref="CI30:CI37" si="113">SUMIFS(BY$6:BY$85,$BX$6:$BX$85,"="&amp;$CG30,$AT$6:$AT$85,"="&amp;$CF30)</f>
        <v>135</v>
      </c>
      <c r="CJ30" s="14">
        <f t="shared" ref="CJ30:CJ37" si="114">SUMIFS(BZ$6:BZ$85,$BX$6:$BX$85,"="&amp;$CG30,$AT$6:$AT$85,"="&amp;$CF30)</f>
        <v>70</v>
      </c>
      <c r="CK30" s="14">
        <f t="shared" ref="CK30:CK37" si="115">SUMIFS(CA$6:CA$85,$BX$6:$BX$85,"="&amp;$CG30,$AT$6:$AT$85,"="&amp;$CF30)</f>
        <v>810</v>
      </c>
      <c r="CL30" s="13">
        <v>1</v>
      </c>
      <c r="CM30" s="13">
        <v>10</v>
      </c>
      <c r="CN30" s="24">
        <v>0.9</v>
      </c>
      <c r="CO30" s="14">
        <f>ROUND(CI30/($CM30-$CL30)*$CN30,0)</f>
        <v>14</v>
      </c>
      <c r="CP30" s="14">
        <f>ROUND(CJ30/($CM30-$CL30)*$CN30,0)</f>
        <v>7</v>
      </c>
      <c r="CQ30" s="14">
        <f t="shared" si="29"/>
        <v>81</v>
      </c>
      <c r="CR30" s="24">
        <v>0.1</v>
      </c>
      <c r="CS30" s="14">
        <f>ROUND(CI30*$CR30,0)</f>
        <v>14</v>
      </c>
      <c r="CT30" s="14">
        <f>ROUND(CJ30*$CR30,0)</f>
        <v>7</v>
      </c>
      <c r="CU30" s="14">
        <f t="shared" si="32"/>
        <v>81</v>
      </c>
      <c r="CV30" s="16"/>
      <c r="CW30" s="16"/>
      <c r="CX30" s="13">
        <v>25</v>
      </c>
      <c r="CY30" s="13">
        <v>3</v>
      </c>
      <c r="CZ30" s="13">
        <v>5</v>
      </c>
      <c r="DA30" s="13">
        <v>3</v>
      </c>
      <c r="DB30" s="13" t="s">
        <v>428</v>
      </c>
      <c r="DC30" s="13">
        <v>20</v>
      </c>
      <c r="DD30" s="13">
        <v>20</v>
      </c>
      <c r="DE30" s="24">
        <v>0.2</v>
      </c>
      <c r="DF30" s="14">
        <f t="shared" si="108"/>
        <v>569</v>
      </c>
      <c r="DG30" s="14">
        <f t="shared" si="99"/>
        <v>205</v>
      </c>
      <c r="DH30" s="14">
        <f t="shared" si="100"/>
        <v>2973</v>
      </c>
      <c r="DI30" s="14">
        <f t="shared" si="34"/>
        <v>85</v>
      </c>
      <c r="DJ30" s="14">
        <f t="shared" si="35"/>
        <v>43</v>
      </c>
      <c r="DK30" s="14">
        <f t="shared" si="36"/>
        <v>594</v>
      </c>
      <c r="DL30" s="14">
        <f t="shared" si="37"/>
        <v>30</v>
      </c>
      <c r="DM30" s="14">
        <f t="shared" si="38"/>
        <v>15</v>
      </c>
      <c r="DN30" s="14">
        <f t="shared" si="39"/>
        <v>208</v>
      </c>
      <c r="DO30" s="14">
        <f t="shared" si="109"/>
        <v>0</v>
      </c>
      <c r="DP30" s="14">
        <f t="shared" si="110"/>
        <v>0</v>
      </c>
      <c r="DQ30" s="14">
        <f t="shared" si="111"/>
        <v>0</v>
      </c>
      <c r="DR30" s="14">
        <f t="shared" si="42"/>
        <v>654</v>
      </c>
      <c r="DS30" s="14">
        <f t="shared" si="43"/>
        <v>248</v>
      </c>
      <c r="DT30" s="14">
        <f t="shared" si="44"/>
        <v>3567</v>
      </c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3"/>
      <c r="B31" s="13">
        <v>4</v>
      </c>
      <c r="C31" s="13">
        <v>1</v>
      </c>
      <c r="D31" s="13">
        <v>7</v>
      </c>
      <c r="E31" s="13">
        <v>25</v>
      </c>
      <c r="F31" s="13">
        <f t="shared" si="112"/>
        <v>0.6</v>
      </c>
      <c r="G31" s="16"/>
      <c r="H31" s="16"/>
      <c r="I31" s="13">
        <v>25</v>
      </c>
      <c r="J31" s="13">
        <v>89</v>
      </c>
      <c r="K31" s="13" t="s">
        <v>433</v>
      </c>
      <c r="L31" s="13">
        <v>27</v>
      </c>
      <c r="M31" s="13">
        <v>12</v>
      </c>
      <c r="N31" s="13" t="s">
        <v>435</v>
      </c>
      <c r="O31" s="13">
        <v>99</v>
      </c>
      <c r="P31" s="13" t="s">
        <v>436</v>
      </c>
      <c r="Q31" s="13">
        <v>31</v>
      </c>
      <c r="R31" s="13">
        <v>13</v>
      </c>
      <c r="S31" s="13" t="s">
        <v>436</v>
      </c>
      <c r="T31" s="13">
        <v>112</v>
      </c>
      <c r="U31" s="13" t="s">
        <v>439</v>
      </c>
      <c r="V31" s="13">
        <v>37</v>
      </c>
      <c r="W31" s="13">
        <v>15</v>
      </c>
      <c r="X31" s="13" t="s">
        <v>438</v>
      </c>
      <c r="Y31" s="16"/>
      <c r="Z31" s="16"/>
      <c r="AK31" s="13">
        <v>25</v>
      </c>
      <c r="AL31" s="13" t="str">
        <f t="shared" si="10"/>
        <v>大叫唤+2 · 魂火1</v>
      </c>
      <c r="AM31" s="13">
        <f t="shared" si="11"/>
        <v>12</v>
      </c>
      <c r="AN31" s="13">
        <v>1</v>
      </c>
      <c r="AO31" s="13">
        <v>80</v>
      </c>
      <c r="AP31" s="49"/>
      <c r="AQ31" s="32"/>
      <c r="AR31" s="16"/>
      <c r="AS31" s="13">
        <v>26</v>
      </c>
      <c r="AT31" s="13">
        <v>3</v>
      </c>
      <c r="AU31" s="13">
        <v>6</v>
      </c>
      <c r="AV31" s="13" t="s">
        <v>429</v>
      </c>
      <c r="AW31" s="13">
        <v>42</v>
      </c>
      <c r="AX31" s="14">
        <f t="shared" si="101"/>
        <v>5</v>
      </c>
      <c r="AY31" s="13">
        <v>47</v>
      </c>
      <c r="AZ31" s="14">
        <f t="shared" si="102"/>
        <v>1201</v>
      </c>
      <c r="BA31" s="14">
        <f t="shared" si="103"/>
        <v>538</v>
      </c>
      <c r="BB31" s="14">
        <f t="shared" si="104"/>
        <v>7355</v>
      </c>
      <c r="BC31" s="13">
        <v>12</v>
      </c>
      <c r="BD31" s="13">
        <f t="shared" si="15"/>
        <v>6</v>
      </c>
      <c r="BE31" s="14">
        <f t="shared" si="16"/>
        <v>84</v>
      </c>
      <c r="BF31" s="14">
        <f t="shared" si="105"/>
        <v>60</v>
      </c>
      <c r="BG31" s="14">
        <f t="shared" si="106"/>
        <v>30</v>
      </c>
      <c r="BH31" s="14">
        <f t="shared" si="107"/>
        <v>420</v>
      </c>
      <c r="BI31" s="26">
        <v>4.2000000000000003E-2</v>
      </c>
      <c r="BJ31" s="26">
        <f t="shared" si="97"/>
        <v>4.2152466367713005E-2</v>
      </c>
      <c r="BK31" s="14">
        <f t="shared" si="89"/>
        <v>50</v>
      </c>
      <c r="BL31" s="14">
        <f t="shared" si="17"/>
        <v>25</v>
      </c>
      <c r="BM31" s="14">
        <f t="shared" si="18"/>
        <v>350</v>
      </c>
      <c r="BN31" s="13">
        <v>2</v>
      </c>
      <c r="BO31" s="26">
        <v>0.11650000000000001</v>
      </c>
      <c r="BP31" s="26">
        <f t="shared" si="98"/>
        <v>0.10493273542600898</v>
      </c>
      <c r="BQ31" s="14">
        <f t="shared" si="90"/>
        <v>140</v>
      </c>
      <c r="BR31" s="14">
        <f t="shared" si="19"/>
        <v>70</v>
      </c>
      <c r="BS31" s="14">
        <f t="shared" si="20"/>
        <v>980</v>
      </c>
      <c r="BT31" s="14">
        <f t="shared" si="91"/>
        <v>1501</v>
      </c>
      <c r="BU31" s="14">
        <f t="shared" si="92"/>
        <v>688</v>
      </c>
      <c r="BV31" s="14">
        <f t="shared" si="93"/>
        <v>9455</v>
      </c>
      <c r="BW31" s="16"/>
      <c r="BX31" s="13">
        <v>3</v>
      </c>
      <c r="BY31" s="14">
        <f t="shared" si="21"/>
        <v>300</v>
      </c>
      <c r="BZ31" s="14">
        <f t="shared" si="22"/>
        <v>150</v>
      </c>
      <c r="CA31" s="14">
        <f t="shared" si="23"/>
        <v>2100</v>
      </c>
      <c r="CB31" s="16"/>
      <c r="CC31" s="16"/>
      <c r="CD31" s="16"/>
      <c r="CE31" s="16"/>
      <c r="CF31" s="13">
        <v>5</v>
      </c>
      <c r="CG31" s="13">
        <v>2</v>
      </c>
      <c r="CH31" s="13" t="s">
        <v>425</v>
      </c>
      <c r="CI31" s="14">
        <f t="shared" si="113"/>
        <v>705</v>
      </c>
      <c r="CJ31" s="14">
        <f t="shared" si="114"/>
        <v>354</v>
      </c>
      <c r="CK31" s="14">
        <f t="shared" si="115"/>
        <v>4230</v>
      </c>
      <c r="CL31" s="13">
        <v>10</v>
      </c>
      <c r="CM31" s="13">
        <v>30</v>
      </c>
      <c r="CN31" s="24">
        <v>0.8</v>
      </c>
      <c r="CO31" s="14">
        <f t="shared" ref="CO31:CO37" si="116">ROUND(CI31/($CM31-$CL31)*$CN31,0)</f>
        <v>28</v>
      </c>
      <c r="CP31" s="14">
        <f t="shared" ref="CP31:CP37" si="117">ROUND(CJ31/($CM31-$CL31)*$CN31,0)</f>
        <v>14</v>
      </c>
      <c r="CQ31" s="14">
        <f t="shared" si="29"/>
        <v>169</v>
      </c>
      <c r="CR31" s="24">
        <v>0.1</v>
      </c>
      <c r="CS31" s="14">
        <f t="shared" ref="CS31:CS37" si="118">ROUND(CI31*$CR31,0)</f>
        <v>71</v>
      </c>
      <c r="CT31" s="14">
        <f t="shared" ref="CT31:CT37" si="119">ROUND(CJ31*$CR31,0)</f>
        <v>35</v>
      </c>
      <c r="CU31" s="14">
        <f t="shared" si="32"/>
        <v>423</v>
      </c>
      <c r="CV31" s="16"/>
      <c r="CW31" s="16"/>
      <c r="CX31" s="13">
        <v>26</v>
      </c>
      <c r="CY31" s="13">
        <v>3</v>
      </c>
      <c r="CZ31" s="13">
        <v>6</v>
      </c>
      <c r="DA31" s="13">
        <v>3</v>
      </c>
      <c r="DB31" s="13" t="s">
        <v>429</v>
      </c>
      <c r="DC31" s="13">
        <v>20</v>
      </c>
      <c r="DD31" s="13">
        <v>45</v>
      </c>
      <c r="DE31" s="24">
        <v>0.2</v>
      </c>
      <c r="DF31" s="14">
        <f t="shared" si="108"/>
        <v>654</v>
      </c>
      <c r="DG31" s="14">
        <f t="shared" si="99"/>
        <v>248</v>
      </c>
      <c r="DH31" s="14">
        <f t="shared" si="100"/>
        <v>3567</v>
      </c>
      <c r="DI31" s="14">
        <f t="shared" si="34"/>
        <v>85</v>
      </c>
      <c r="DJ31" s="14">
        <f t="shared" si="35"/>
        <v>43</v>
      </c>
      <c r="DK31" s="14">
        <f t="shared" si="36"/>
        <v>594</v>
      </c>
      <c r="DL31" s="14">
        <f t="shared" si="37"/>
        <v>30</v>
      </c>
      <c r="DM31" s="14">
        <f t="shared" si="38"/>
        <v>15</v>
      </c>
      <c r="DN31" s="14">
        <f t="shared" si="39"/>
        <v>208</v>
      </c>
      <c r="DO31" s="14">
        <f t="shared" si="109"/>
        <v>750</v>
      </c>
      <c r="DP31" s="14">
        <f t="shared" si="110"/>
        <v>375</v>
      </c>
      <c r="DQ31" s="14">
        <f t="shared" si="111"/>
        <v>5200</v>
      </c>
      <c r="DR31" s="14">
        <f t="shared" si="42"/>
        <v>1489</v>
      </c>
      <c r="DS31" s="14">
        <f t="shared" si="43"/>
        <v>666</v>
      </c>
      <c r="DT31" s="14">
        <f t="shared" si="44"/>
        <v>9361</v>
      </c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3"/>
      <c r="B32" s="13">
        <v>5</v>
      </c>
      <c r="C32" s="13">
        <v>1</v>
      </c>
      <c r="D32" s="13">
        <v>7</v>
      </c>
      <c r="E32" s="13">
        <v>25</v>
      </c>
      <c r="F32" s="13">
        <f t="shared" si="112"/>
        <v>0.6</v>
      </c>
      <c r="G32" s="16"/>
      <c r="H32" s="16"/>
      <c r="I32" s="13">
        <v>26</v>
      </c>
      <c r="J32" s="13">
        <v>91</v>
      </c>
      <c r="K32" s="13" t="s">
        <v>436</v>
      </c>
      <c r="L32" s="13">
        <v>28</v>
      </c>
      <c r="M32" s="13">
        <v>12</v>
      </c>
      <c r="N32" s="13" t="s">
        <v>435</v>
      </c>
      <c r="O32" s="13">
        <v>101</v>
      </c>
      <c r="P32" s="13" t="s">
        <v>436</v>
      </c>
      <c r="Q32" s="13">
        <v>32</v>
      </c>
      <c r="R32" s="13">
        <v>13</v>
      </c>
      <c r="S32" s="13" t="s">
        <v>436</v>
      </c>
      <c r="T32" s="13">
        <v>114</v>
      </c>
      <c r="U32" s="13" t="s">
        <v>439</v>
      </c>
      <c r="V32" s="13">
        <v>37</v>
      </c>
      <c r="W32" s="13">
        <v>15</v>
      </c>
      <c r="X32" s="13" t="s">
        <v>438</v>
      </c>
      <c r="Y32" s="16"/>
      <c r="Z32" s="16"/>
      <c r="AK32" s="13">
        <v>26</v>
      </c>
      <c r="AL32" s="13" t="str">
        <f t="shared" si="10"/>
        <v>大叫唤+2 · 魂火2</v>
      </c>
      <c r="AM32" s="13">
        <f t="shared" si="11"/>
        <v>12</v>
      </c>
      <c r="AN32" s="13">
        <v>2</v>
      </c>
      <c r="AO32" s="13">
        <v>83</v>
      </c>
      <c r="AP32" s="49"/>
      <c r="AQ32" s="32"/>
      <c r="AR32" s="16"/>
      <c r="AS32" s="13">
        <v>27</v>
      </c>
      <c r="AT32" s="13">
        <v>3</v>
      </c>
      <c r="AU32" s="13">
        <v>7</v>
      </c>
      <c r="AV32" s="13" t="s">
        <v>430</v>
      </c>
      <c r="AW32" s="13">
        <v>47</v>
      </c>
      <c r="AX32" s="14">
        <f t="shared" si="101"/>
        <v>5</v>
      </c>
      <c r="AY32" s="13">
        <v>52</v>
      </c>
      <c r="AZ32" s="14">
        <f t="shared" si="102"/>
        <v>1501</v>
      </c>
      <c r="BA32" s="14">
        <f t="shared" si="103"/>
        <v>688</v>
      </c>
      <c r="BB32" s="14">
        <f t="shared" si="104"/>
        <v>9455</v>
      </c>
      <c r="BC32" s="13">
        <v>15</v>
      </c>
      <c r="BD32" s="13">
        <f t="shared" si="15"/>
        <v>8</v>
      </c>
      <c r="BE32" s="14">
        <f t="shared" si="16"/>
        <v>120</v>
      </c>
      <c r="BF32" s="14">
        <f t="shared" si="105"/>
        <v>75</v>
      </c>
      <c r="BG32" s="14">
        <f t="shared" si="106"/>
        <v>40</v>
      </c>
      <c r="BH32" s="14">
        <f t="shared" si="107"/>
        <v>600</v>
      </c>
      <c r="BI32" s="26">
        <v>4.65E-2</v>
      </c>
      <c r="BJ32" s="26">
        <f t="shared" si="97"/>
        <v>4.5739910313901344E-2</v>
      </c>
      <c r="BK32" s="14">
        <f t="shared" si="89"/>
        <v>70</v>
      </c>
      <c r="BL32" s="14">
        <f t="shared" si="17"/>
        <v>35</v>
      </c>
      <c r="BM32" s="14">
        <f t="shared" si="18"/>
        <v>560</v>
      </c>
      <c r="BN32" s="13">
        <v>2</v>
      </c>
      <c r="BO32" s="26">
        <v>0.09</v>
      </c>
      <c r="BP32" s="26">
        <f t="shared" si="98"/>
        <v>8.3408071748878918E-2</v>
      </c>
      <c r="BQ32" s="14">
        <f t="shared" si="90"/>
        <v>135</v>
      </c>
      <c r="BR32" s="14">
        <f t="shared" si="19"/>
        <v>68</v>
      </c>
      <c r="BS32" s="14">
        <f t="shared" si="20"/>
        <v>1080</v>
      </c>
      <c r="BT32" s="14">
        <f t="shared" si="91"/>
        <v>1851</v>
      </c>
      <c r="BU32" s="14">
        <f t="shared" si="92"/>
        <v>866</v>
      </c>
      <c r="BV32" s="14">
        <f t="shared" si="93"/>
        <v>12255</v>
      </c>
      <c r="BW32" s="16"/>
      <c r="BX32" s="13">
        <v>4</v>
      </c>
      <c r="BY32" s="14">
        <f t="shared" si="21"/>
        <v>350</v>
      </c>
      <c r="BZ32" s="14">
        <f t="shared" si="22"/>
        <v>178</v>
      </c>
      <c r="CA32" s="14">
        <f t="shared" si="23"/>
        <v>2800</v>
      </c>
      <c r="CB32" s="16"/>
      <c r="CC32" s="16"/>
      <c r="CD32" s="16"/>
      <c r="CE32" s="16"/>
      <c r="CF32" s="13">
        <v>5</v>
      </c>
      <c r="CG32" s="13">
        <v>3</v>
      </c>
      <c r="CH32" s="13" t="s">
        <v>427</v>
      </c>
      <c r="CI32" s="14">
        <f t="shared" si="113"/>
        <v>1395</v>
      </c>
      <c r="CJ32" s="14">
        <f t="shared" si="114"/>
        <v>710</v>
      </c>
      <c r="CK32" s="14">
        <f t="shared" si="115"/>
        <v>9765</v>
      </c>
      <c r="CL32" s="13">
        <v>30</v>
      </c>
      <c r="CM32" s="13">
        <v>50</v>
      </c>
      <c r="CN32" s="24">
        <v>0.7</v>
      </c>
      <c r="CO32" s="14">
        <f t="shared" si="116"/>
        <v>49</v>
      </c>
      <c r="CP32" s="14">
        <f t="shared" si="117"/>
        <v>25</v>
      </c>
      <c r="CQ32" s="14">
        <f t="shared" si="29"/>
        <v>342</v>
      </c>
      <c r="CR32" s="24">
        <v>0.1</v>
      </c>
      <c r="CS32" s="14">
        <f t="shared" si="118"/>
        <v>140</v>
      </c>
      <c r="CT32" s="14">
        <f t="shared" si="119"/>
        <v>71</v>
      </c>
      <c r="CU32" s="14">
        <f t="shared" si="32"/>
        <v>977</v>
      </c>
      <c r="CV32" s="16"/>
      <c r="CW32" s="16"/>
      <c r="CX32" s="13">
        <v>27</v>
      </c>
      <c r="CY32" s="13">
        <v>3</v>
      </c>
      <c r="CZ32" s="13">
        <v>7</v>
      </c>
      <c r="DA32" s="13">
        <v>4</v>
      </c>
      <c r="DB32" s="13" t="s">
        <v>430</v>
      </c>
      <c r="DC32" s="13">
        <v>45</v>
      </c>
      <c r="DD32" s="13">
        <v>45</v>
      </c>
      <c r="DE32" s="24">
        <v>0.2</v>
      </c>
      <c r="DF32" s="14">
        <f t="shared" si="108"/>
        <v>1489</v>
      </c>
      <c r="DG32" s="14">
        <f t="shared" si="99"/>
        <v>666</v>
      </c>
      <c r="DH32" s="14">
        <f t="shared" si="100"/>
        <v>9361</v>
      </c>
      <c r="DI32" s="14">
        <f t="shared" si="34"/>
        <v>133</v>
      </c>
      <c r="DJ32" s="14">
        <f t="shared" si="35"/>
        <v>67</v>
      </c>
      <c r="DK32" s="14">
        <f t="shared" si="36"/>
        <v>1060</v>
      </c>
      <c r="DL32" s="14">
        <f t="shared" si="37"/>
        <v>46</v>
      </c>
      <c r="DM32" s="14">
        <f t="shared" si="38"/>
        <v>24</v>
      </c>
      <c r="DN32" s="14">
        <f t="shared" si="39"/>
        <v>371</v>
      </c>
      <c r="DO32" s="14">
        <f t="shared" si="109"/>
        <v>0</v>
      </c>
      <c r="DP32" s="14">
        <f t="shared" si="110"/>
        <v>0</v>
      </c>
      <c r="DQ32" s="14">
        <f t="shared" si="111"/>
        <v>0</v>
      </c>
      <c r="DR32" s="14">
        <f t="shared" si="42"/>
        <v>1622</v>
      </c>
      <c r="DS32" s="14">
        <f t="shared" si="43"/>
        <v>733</v>
      </c>
      <c r="DT32" s="14">
        <f t="shared" si="44"/>
        <v>10421</v>
      </c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3"/>
      <c r="B33" s="13">
        <v>6</v>
      </c>
      <c r="C33" s="13">
        <v>1</v>
      </c>
      <c r="D33" s="13">
        <v>7</v>
      </c>
      <c r="E33" s="13">
        <v>25</v>
      </c>
      <c r="F33" s="13">
        <f t="shared" si="112"/>
        <v>0.6</v>
      </c>
      <c r="G33" s="16"/>
      <c r="H33" s="16"/>
      <c r="I33" s="13">
        <v>27</v>
      </c>
      <c r="J33" s="13">
        <v>92</v>
      </c>
      <c r="K33" s="13" t="s">
        <v>436</v>
      </c>
      <c r="L33" s="13">
        <v>29</v>
      </c>
      <c r="M33" s="13">
        <v>12</v>
      </c>
      <c r="N33" s="13" t="s">
        <v>435</v>
      </c>
      <c r="O33" s="13">
        <v>103</v>
      </c>
      <c r="P33" s="13" t="s">
        <v>436</v>
      </c>
      <c r="Q33" s="13">
        <v>33</v>
      </c>
      <c r="R33" s="13">
        <v>14</v>
      </c>
      <c r="S33" s="13" t="s">
        <v>437</v>
      </c>
      <c r="T33" s="13">
        <v>115</v>
      </c>
      <c r="U33" s="13" t="s">
        <v>439</v>
      </c>
      <c r="V33" s="13">
        <v>38</v>
      </c>
      <c r="W33" s="13">
        <v>15</v>
      </c>
      <c r="X33" s="13" t="s">
        <v>438</v>
      </c>
      <c r="Y33" s="16"/>
      <c r="Z33" s="16"/>
      <c r="AK33" s="13">
        <v>27</v>
      </c>
      <c r="AL33" s="13" t="str">
        <f t="shared" si="10"/>
        <v>大叫唤+2 · 魂火3</v>
      </c>
      <c r="AM33" s="13">
        <f t="shared" si="11"/>
        <v>12</v>
      </c>
      <c r="AN33" s="13">
        <v>3</v>
      </c>
      <c r="AO33" s="13">
        <v>85</v>
      </c>
      <c r="AP33" s="49"/>
      <c r="AQ33" s="32"/>
      <c r="AR33" s="16"/>
      <c r="AS33" s="13">
        <v>28</v>
      </c>
      <c r="AT33" s="13">
        <v>3</v>
      </c>
      <c r="AU33" s="13">
        <v>8</v>
      </c>
      <c r="AV33" s="13" t="s">
        <v>431</v>
      </c>
      <c r="AW33" s="13">
        <v>52</v>
      </c>
      <c r="AX33" s="14">
        <f t="shared" si="101"/>
        <v>5</v>
      </c>
      <c r="AY33" s="13">
        <v>57</v>
      </c>
      <c r="AZ33" s="14">
        <f t="shared" si="102"/>
        <v>1851</v>
      </c>
      <c r="BA33" s="14">
        <f t="shared" si="103"/>
        <v>866</v>
      </c>
      <c r="BB33" s="14">
        <f t="shared" si="104"/>
        <v>12255</v>
      </c>
      <c r="BC33" s="13">
        <v>15</v>
      </c>
      <c r="BD33" s="13">
        <f t="shared" si="15"/>
        <v>8</v>
      </c>
      <c r="BE33" s="14">
        <f t="shared" si="16"/>
        <v>120</v>
      </c>
      <c r="BF33" s="14">
        <f t="shared" si="105"/>
        <v>75</v>
      </c>
      <c r="BG33" s="14">
        <f t="shared" si="106"/>
        <v>40</v>
      </c>
      <c r="BH33" s="14">
        <f t="shared" si="107"/>
        <v>600</v>
      </c>
      <c r="BI33" s="26">
        <v>4.5999999999999999E-2</v>
      </c>
      <c r="BJ33" s="26">
        <f t="shared" si="97"/>
        <v>4.708520179372197E-2</v>
      </c>
      <c r="BK33" s="14">
        <f t="shared" si="89"/>
        <v>85</v>
      </c>
      <c r="BL33" s="14">
        <f t="shared" si="17"/>
        <v>43</v>
      </c>
      <c r="BM33" s="14">
        <f t="shared" si="18"/>
        <v>680</v>
      </c>
      <c r="BN33" s="13">
        <v>2</v>
      </c>
      <c r="BO33" s="26">
        <v>6.7699999999999996E-2</v>
      </c>
      <c r="BP33" s="26">
        <f t="shared" si="98"/>
        <v>6.726457399103139E-2</v>
      </c>
      <c r="BQ33" s="14">
        <f t="shared" si="90"/>
        <v>125</v>
      </c>
      <c r="BR33" s="14">
        <f t="shared" si="19"/>
        <v>63</v>
      </c>
      <c r="BS33" s="14">
        <f t="shared" si="20"/>
        <v>1000</v>
      </c>
      <c r="BT33" s="14">
        <f t="shared" si="91"/>
        <v>2221</v>
      </c>
      <c r="BU33" s="14">
        <f t="shared" si="92"/>
        <v>1055</v>
      </c>
      <c r="BV33" s="14">
        <f t="shared" si="93"/>
        <v>15215</v>
      </c>
      <c r="BW33" s="16"/>
      <c r="BX33" s="13">
        <v>4</v>
      </c>
      <c r="BY33" s="14">
        <f t="shared" si="21"/>
        <v>370</v>
      </c>
      <c r="BZ33" s="14">
        <f t="shared" si="22"/>
        <v>189</v>
      </c>
      <c r="CA33" s="14">
        <f t="shared" si="23"/>
        <v>2960</v>
      </c>
      <c r="CB33" s="16"/>
      <c r="CC33" s="16"/>
      <c r="CD33" s="16"/>
      <c r="CE33" s="16"/>
      <c r="CF33" s="13">
        <v>5</v>
      </c>
      <c r="CG33" s="13">
        <v>4</v>
      </c>
      <c r="CH33" s="13" t="s">
        <v>430</v>
      </c>
      <c r="CI33" s="14">
        <f t="shared" si="113"/>
        <v>1989</v>
      </c>
      <c r="CJ33" s="14">
        <f t="shared" si="114"/>
        <v>995</v>
      </c>
      <c r="CK33" s="14">
        <f t="shared" si="115"/>
        <v>15912</v>
      </c>
      <c r="CL33" s="13">
        <v>50</v>
      </c>
      <c r="CM33" s="13">
        <v>70</v>
      </c>
      <c r="CN33" s="24">
        <v>0.7</v>
      </c>
      <c r="CO33" s="14">
        <f t="shared" si="116"/>
        <v>70</v>
      </c>
      <c r="CP33" s="14">
        <f t="shared" si="117"/>
        <v>35</v>
      </c>
      <c r="CQ33" s="14">
        <f t="shared" si="29"/>
        <v>557</v>
      </c>
      <c r="CR33" s="24">
        <v>0.1</v>
      </c>
      <c r="CS33" s="14">
        <f t="shared" si="118"/>
        <v>199</v>
      </c>
      <c r="CT33" s="14">
        <f t="shared" si="119"/>
        <v>100</v>
      </c>
      <c r="CU33" s="14">
        <f t="shared" si="32"/>
        <v>1591</v>
      </c>
      <c r="CV33" s="16"/>
      <c r="CW33" s="16"/>
      <c r="CX33" s="13">
        <v>28</v>
      </c>
      <c r="CY33" s="13">
        <v>3</v>
      </c>
      <c r="CZ33" s="13">
        <v>8</v>
      </c>
      <c r="DA33" s="13">
        <v>4</v>
      </c>
      <c r="DB33" s="13" t="s">
        <v>431</v>
      </c>
      <c r="DC33" s="13">
        <v>45</v>
      </c>
      <c r="DD33" s="13">
        <v>45</v>
      </c>
      <c r="DE33" s="24">
        <v>0.2</v>
      </c>
      <c r="DF33" s="14">
        <f t="shared" si="108"/>
        <v>1622</v>
      </c>
      <c r="DG33" s="14">
        <f t="shared" si="99"/>
        <v>733</v>
      </c>
      <c r="DH33" s="14">
        <f t="shared" si="100"/>
        <v>10421</v>
      </c>
      <c r="DI33" s="14">
        <f t="shared" si="34"/>
        <v>133</v>
      </c>
      <c r="DJ33" s="14">
        <f t="shared" si="35"/>
        <v>67</v>
      </c>
      <c r="DK33" s="14">
        <f t="shared" si="36"/>
        <v>1060</v>
      </c>
      <c r="DL33" s="14">
        <f t="shared" si="37"/>
        <v>46</v>
      </c>
      <c r="DM33" s="14">
        <f t="shared" si="38"/>
        <v>24</v>
      </c>
      <c r="DN33" s="14">
        <f t="shared" si="39"/>
        <v>371</v>
      </c>
      <c r="DO33" s="14">
        <f t="shared" si="109"/>
        <v>0</v>
      </c>
      <c r="DP33" s="14">
        <f t="shared" si="110"/>
        <v>0</v>
      </c>
      <c r="DQ33" s="14">
        <f t="shared" si="111"/>
        <v>0</v>
      </c>
      <c r="DR33" s="14">
        <f t="shared" si="42"/>
        <v>1755</v>
      </c>
      <c r="DS33" s="14">
        <f t="shared" si="43"/>
        <v>800</v>
      </c>
      <c r="DT33" s="14">
        <f t="shared" si="44"/>
        <v>11481</v>
      </c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3"/>
      <c r="B34" s="13">
        <v>7</v>
      </c>
      <c r="C34" s="13">
        <v>1</v>
      </c>
      <c r="D34" s="13">
        <v>8</v>
      </c>
      <c r="E34" s="13">
        <v>25</v>
      </c>
      <c r="F34" s="13">
        <f t="shared" si="112"/>
        <v>0.6</v>
      </c>
      <c r="G34" s="16"/>
      <c r="H34" s="16"/>
      <c r="I34" s="13">
        <v>28</v>
      </c>
      <c r="J34" s="13">
        <v>93</v>
      </c>
      <c r="K34" s="13" t="s">
        <v>436</v>
      </c>
      <c r="L34" s="13">
        <v>29</v>
      </c>
      <c r="M34" s="13">
        <v>12</v>
      </c>
      <c r="N34" s="13" t="s">
        <v>435</v>
      </c>
      <c r="O34" s="13">
        <v>104</v>
      </c>
      <c r="P34" s="13" t="s">
        <v>436</v>
      </c>
      <c r="Q34" s="13">
        <v>33</v>
      </c>
      <c r="R34" s="13">
        <v>14</v>
      </c>
      <c r="S34" s="13" t="s">
        <v>437</v>
      </c>
      <c r="T34" s="13">
        <v>117</v>
      </c>
      <c r="U34" s="13" t="s">
        <v>439</v>
      </c>
      <c r="V34" s="13">
        <v>39</v>
      </c>
      <c r="W34" s="13">
        <v>16</v>
      </c>
      <c r="X34" s="13" t="s">
        <v>439</v>
      </c>
      <c r="Y34" s="16"/>
      <c r="Z34" s="16"/>
      <c r="AK34" s="13">
        <v>28</v>
      </c>
      <c r="AL34" s="13" t="str">
        <f t="shared" si="10"/>
        <v>焦热 · 魂火1</v>
      </c>
      <c r="AM34" s="13">
        <f t="shared" si="11"/>
        <v>13</v>
      </c>
      <c r="AN34" s="13">
        <v>1</v>
      </c>
      <c r="AO34" s="13">
        <v>88</v>
      </c>
      <c r="AP34" s="49"/>
      <c r="AQ34" s="32"/>
      <c r="AR34" s="16"/>
      <c r="AS34" s="13">
        <v>29</v>
      </c>
      <c r="AT34" s="13">
        <v>3</v>
      </c>
      <c r="AU34" s="13">
        <v>9</v>
      </c>
      <c r="AV34" s="13" t="s">
        <v>432</v>
      </c>
      <c r="AW34" s="13">
        <v>57</v>
      </c>
      <c r="AX34" s="14">
        <f t="shared" si="101"/>
        <v>8</v>
      </c>
      <c r="AY34" s="13">
        <v>65</v>
      </c>
      <c r="AZ34" s="14">
        <f t="shared" si="102"/>
        <v>2221</v>
      </c>
      <c r="BA34" s="14">
        <f t="shared" si="103"/>
        <v>1055</v>
      </c>
      <c r="BB34" s="14">
        <f t="shared" si="104"/>
        <v>15215</v>
      </c>
      <c r="BC34" s="13">
        <v>15</v>
      </c>
      <c r="BD34" s="13">
        <f t="shared" si="15"/>
        <v>8</v>
      </c>
      <c r="BE34" s="14">
        <f t="shared" si="16"/>
        <v>120</v>
      </c>
      <c r="BF34" s="14">
        <f t="shared" si="105"/>
        <v>120</v>
      </c>
      <c r="BG34" s="14">
        <f t="shared" si="106"/>
        <v>64</v>
      </c>
      <c r="BH34" s="14">
        <f t="shared" si="107"/>
        <v>960</v>
      </c>
      <c r="BI34" s="26">
        <v>4.4999999999999998E-2</v>
      </c>
      <c r="BJ34" s="26">
        <f t="shared" si="97"/>
        <v>4.3946188340807178E-2</v>
      </c>
      <c r="BK34" s="14">
        <f t="shared" si="89"/>
        <v>100</v>
      </c>
      <c r="BL34" s="14">
        <f t="shared" si="17"/>
        <v>50</v>
      </c>
      <c r="BM34" s="14">
        <f t="shared" si="18"/>
        <v>800</v>
      </c>
      <c r="BN34" s="13">
        <v>3</v>
      </c>
      <c r="BO34" s="26">
        <v>8.3500000000000005E-2</v>
      </c>
      <c r="BP34" s="26">
        <f t="shared" si="98"/>
        <v>8.2511210762331838E-2</v>
      </c>
      <c r="BQ34" s="14">
        <f t="shared" si="90"/>
        <v>185</v>
      </c>
      <c r="BR34" s="14">
        <f t="shared" si="19"/>
        <v>93</v>
      </c>
      <c r="BS34" s="14">
        <f t="shared" si="20"/>
        <v>1480</v>
      </c>
      <c r="BT34" s="14">
        <f t="shared" si="91"/>
        <v>2826</v>
      </c>
      <c r="BU34" s="14">
        <f t="shared" si="92"/>
        <v>1362</v>
      </c>
      <c r="BV34" s="14">
        <f t="shared" si="93"/>
        <v>20055</v>
      </c>
      <c r="BW34" s="16"/>
      <c r="BX34" s="13">
        <v>4</v>
      </c>
      <c r="BY34" s="14">
        <f t="shared" si="21"/>
        <v>605</v>
      </c>
      <c r="BZ34" s="14">
        <f t="shared" si="22"/>
        <v>307</v>
      </c>
      <c r="CA34" s="14">
        <f t="shared" si="23"/>
        <v>4840</v>
      </c>
      <c r="CB34" s="16"/>
      <c r="CC34" s="16"/>
      <c r="CD34" s="16"/>
      <c r="CE34" s="16"/>
      <c r="CF34" s="13">
        <v>5</v>
      </c>
      <c r="CG34" s="13">
        <v>5</v>
      </c>
      <c r="CH34" s="13" t="s">
        <v>433</v>
      </c>
      <c r="CI34" s="14">
        <f t="shared" si="113"/>
        <v>3670</v>
      </c>
      <c r="CJ34" s="14">
        <f t="shared" si="114"/>
        <v>1836</v>
      </c>
      <c r="CK34" s="14">
        <f t="shared" si="115"/>
        <v>33030</v>
      </c>
      <c r="CL34" s="13">
        <v>70</v>
      </c>
      <c r="CM34" s="13">
        <v>90</v>
      </c>
      <c r="CN34" s="24">
        <v>0.7</v>
      </c>
      <c r="CO34" s="14">
        <f t="shared" si="116"/>
        <v>128</v>
      </c>
      <c r="CP34" s="14">
        <f t="shared" si="117"/>
        <v>64</v>
      </c>
      <c r="CQ34" s="14">
        <f t="shared" si="29"/>
        <v>1156</v>
      </c>
      <c r="CR34" s="24">
        <v>0.1</v>
      </c>
      <c r="CS34" s="14">
        <f t="shared" si="118"/>
        <v>367</v>
      </c>
      <c r="CT34" s="14">
        <f t="shared" si="119"/>
        <v>184</v>
      </c>
      <c r="CU34" s="14">
        <f t="shared" si="32"/>
        <v>3303</v>
      </c>
      <c r="CV34" s="16"/>
      <c r="CW34" s="16"/>
      <c r="CX34" s="13">
        <v>29</v>
      </c>
      <c r="CY34" s="13">
        <v>3</v>
      </c>
      <c r="CZ34" s="13">
        <v>9</v>
      </c>
      <c r="DA34" s="13">
        <v>4</v>
      </c>
      <c r="DB34" s="13" t="s">
        <v>432</v>
      </c>
      <c r="DC34" s="13">
        <v>45</v>
      </c>
      <c r="DD34" s="13">
        <v>60</v>
      </c>
      <c r="DE34" s="24">
        <v>0.2</v>
      </c>
      <c r="DF34" s="14">
        <f t="shared" si="108"/>
        <v>1755</v>
      </c>
      <c r="DG34" s="14">
        <f t="shared" si="99"/>
        <v>800</v>
      </c>
      <c r="DH34" s="14">
        <f t="shared" si="100"/>
        <v>11481</v>
      </c>
      <c r="DI34" s="14">
        <f t="shared" si="34"/>
        <v>133</v>
      </c>
      <c r="DJ34" s="14">
        <f t="shared" si="35"/>
        <v>67</v>
      </c>
      <c r="DK34" s="14">
        <f t="shared" si="36"/>
        <v>1060</v>
      </c>
      <c r="DL34" s="14">
        <f t="shared" si="37"/>
        <v>46</v>
      </c>
      <c r="DM34" s="14">
        <f t="shared" si="38"/>
        <v>24</v>
      </c>
      <c r="DN34" s="14">
        <f t="shared" si="39"/>
        <v>371</v>
      </c>
      <c r="DO34" s="14">
        <f t="shared" si="109"/>
        <v>690</v>
      </c>
      <c r="DP34" s="14">
        <f t="shared" si="110"/>
        <v>360</v>
      </c>
      <c r="DQ34" s="14">
        <f t="shared" si="111"/>
        <v>5565</v>
      </c>
      <c r="DR34" s="14">
        <f t="shared" si="42"/>
        <v>2578</v>
      </c>
      <c r="DS34" s="14">
        <f t="shared" si="43"/>
        <v>1227</v>
      </c>
      <c r="DT34" s="14">
        <f t="shared" si="44"/>
        <v>18106</v>
      </c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3"/>
      <c r="B35" s="13">
        <v>8</v>
      </c>
      <c r="C35" s="13">
        <v>1</v>
      </c>
      <c r="D35" s="13">
        <v>8</v>
      </c>
      <c r="E35" s="13">
        <v>25</v>
      </c>
      <c r="F35" s="13">
        <f t="shared" si="112"/>
        <v>0.6</v>
      </c>
      <c r="G35" s="16"/>
      <c r="H35" s="16"/>
      <c r="I35" s="13">
        <v>29</v>
      </c>
      <c r="J35" s="13">
        <v>94</v>
      </c>
      <c r="K35" s="13" t="s">
        <v>436</v>
      </c>
      <c r="L35" s="13">
        <v>29</v>
      </c>
      <c r="M35" s="13">
        <v>12</v>
      </c>
      <c r="N35" s="13" t="s">
        <v>435</v>
      </c>
      <c r="O35" s="13">
        <v>105</v>
      </c>
      <c r="P35" s="13" t="s">
        <v>436</v>
      </c>
      <c r="Q35" s="13">
        <v>34</v>
      </c>
      <c r="R35" s="13">
        <v>14</v>
      </c>
      <c r="S35" s="13" t="s">
        <v>437</v>
      </c>
      <c r="T35" s="13">
        <v>119</v>
      </c>
      <c r="U35" s="13" t="s">
        <v>439</v>
      </c>
      <c r="V35" s="13">
        <v>39</v>
      </c>
      <c r="W35" s="13">
        <v>16</v>
      </c>
      <c r="X35" s="13" t="s">
        <v>439</v>
      </c>
      <c r="Y35" s="16"/>
      <c r="Z35" s="16"/>
      <c r="AK35" s="13">
        <v>29</v>
      </c>
      <c r="AL35" s="13" t="str">
        <f t="shared" si="10"/>
        <v>焦热 · 魂火2</v>
      </c>
      <c r="AM35" s="13">
        <f t="shared" si="11"/>
        <v>13</v>
      </c>
      <c r="AN35" s="13">
        <v>2</v>
      </c>
      <c r="AO35" s="13">
        <v>90</v>
      </c>
      <c r="AP35" s="49"/>
      <c r="AQ35" s="32"/>
      <c r="AR35" s="16"/>
      <c r="AS35" s="13">
        <v>30</v>
      </c>
      <c r="AT35" s="13">
        <v>3</v>
      </c>
      <c r="AU35" s="13">
        <v>10</v>
      </c>
      <c r="AV35" s="13" t="s">
        <v>433</v>
      </c>
      <c r="AW35" s="13">
        <v>65</v>
      </c>
      <c r="AX35" s="14">
        <f t="shared" si="101"/>
        <v>7</v>
      </c>
      <c r="AY35" s="13">
        <v>72</v>
      </c>
      <c r="AZ35" s="14">
        <f t="shared" si="102"/>
        <v>2826</v>
      </c>
      <c r="BA35" s="14">
        <f t="shared" si="103"/>
        <v>1362</v>
      </c>
      <c r="BB35" s="14">
        <f t="shared" si="104"/>
        <v>20055</v>
      </c>
      <c r="BC35" s="13">
        <v>20</v>
      </c>
      <c r="BD35" s="13">
        <f t="shared" si="15"/>
        <v>10</v>
      </c>
      <c r="BE35" s="14">
        <f t="shared" si="16"/>
        <v>180</v>
      </c>
      <c r="BF35" s="14">
        <f t="shared" si="105"/>
        <v>140</v>
      </c>
      <c r="BG35" s="14">
        <f t="shared" si="106"/>
        <v>70</v>
      </c>
      <c r="BH35" s="14">
        <f t="shared" si="107"/>
        <v>1260</v>
      </c>
      <c r="BI35" s="26">
        <v>4.2500000000000003E-2</v>
      </c>
      <c r="BJ35" s="26">
        <f t="shared" si="97"/>
        <v>4.2869955156950676E-2</v>
      </c>
      <c r="BK35" s="14">
        <f t="shared" si="89"/>
        <v>120</v>
      </c>
      <c r="BL35" s="14">
        <f t="shared" si="17"/>
        <v>60</v>
      </c>
      <c r="BM35" s="14">
        <f t="shared" si="18"/>
        <v>1080</v>
      </c>
      <c r="BN35" s="13">
        <v>3</v>
      </c>
      <c r="BO35" s="26">
        <v>6.2E-2</v>
      </c>
      <c r="BP35" s="26">
        <f t="shared" si="98"/>
        <v>6.8609865470852016E-2</v>
      </c>
      <c r="BQ35" s="14">
        <f t="shared" si="90"/>
        <v>175</v>
      </c>
      <c r="BR35" s="14">
        <f t="shared" si="19"/>
        <v>88</v>
      </c>
      <c r="BS35" s="14">
        <f t="shared" si="20"/>
        <v>1575</v>
      </c>
      <c r="BT35" s="14">
        <f t="shared" si="91"/>
        <v>3501</v>
      </c>
      <c r="BU35" s="14">
        <f t="shared" si="92"/>
        <v>1700</v>
      </c>
      <c r="BV35" s="14">
        <f t="shared" si="93"/>
        <v>26130</v>
      </c>
      <c r="BW35" s="16"/>
      <c r="BX35" s="13">
        <v>5</v>
      </c>
      <c r="BY35" s="14">
        <f t="shared" si="21"/>
        <v>675</v>
      </c>
      <c r="BZ35" s="14">
        <f t="shared" si="22"/>
        <v>338</v>
      </c>
      <c r="CA35" s="14">
        <f t="shared" si="23"/>
        <v>6075</v>
      </c>
      <c r="CB35" s="16"/>
      <c r="CC35" s="16"/>
      <c r="CD35" s="16"/>
      <c r="CE35" s="16"/>
      <c r="CF35" s="13">
        <v>5</v>
      </c>
      <c r="CG35" s="13">
        <v>6</v>
      </c>
      <c r="CH35" s="13" t="s">
        <v>436</v>
      </c>
      <c r="CI35" s="14">
        <f t="shared" si="113"/>
        <v>6510</v>
      </c>
      <c r="CJ35" s="14">
        <f t="shared" si="114"/>
        <v>3259</v>
      </c>
      <c r="CK35" s="14">
        <f t="shared" si="115"/>
        <v>65100</v>
      </c>
      <c r="CL35" s="13">
        <v>90</v>
      </c>
      <c r="CM35" s="13">
        <v>110</v>
      </c>
      <c r="CN35" s="24">
        <v>0.7</v>
      </c>
      <c r="CO35" s="14">
        <f t="shared" si="116"/>
        <v>228</v>
      </c>
      <c r="CP35" s="14">
        <f t="shared" si="117"/>
        <v>114</v>
      </c>
      <c r="CQ35" s="14">
        <f t="shared" si="29"/>
        <v>2279</v>
      </c>
      <c r="CR35" s="24">
        <v>0.1</v>
      </c>
      <c r="CS35" s="14">
        <f t="shared" si="118"/>
        <v>651</v>
      </c>
      <c r="CT35" s="14">
        <f t="shared" si="119"/>
        <v>326</v>
      </c>
      <c r="CU35" s="14">
        <f t="shared" si="32"/>
        <v>6510</v>
      </c>
      <c r="CV35" s="16"/>
      <c r="CW35" s="16"/>
      <c r="CX35" s="13">
        <v>30</v>
      </c>
      <c r="CY35" s="13">
        <v>3</v>
      </c>
      <c r="CZ35" s="13">
        <v>10</v>
      </c>
      <c r="DA35" s="13">
        <v>5</v>
      </c>
      <c r="DB35" s="13" t="s">
        <v>433</v>
      </c>
      <c r="DC35" s="13">
        <v>60</v>
      </c>
      <c r="DD35" s="13">
        <v>60</v>
      </c>
      <c r="DE35" s="24">
        <v>0.2</v>
      </c>
      <c r="DF35" s="14">
        <f t="shared" si="108"/>
        <v>2578</v>
      </c>
      <c r="DG35" s="14">
        <f t="shared" si="99"/>
        <v>1227</v>
      </c>
      <c r="DH35" s="14">
        <f t="shared" si="100"/>
        <v>18106</v>
      </c>
      <c r="DI35" s="14">
        <f t="shared" si="34"/>
        <v>262</v>
      </c>
      <c r="DJ35" s="14">
        <f t="shared" si="35"/>
        <v>131</v>
      </c>
      <c r="DK35" s="14">
        <f t="shared" si="36"/>
        <v>2354</v>
      </c>
      <c r="DL35" s="14">
        <f t="shared" si="37"/>
        <v>92</v>
      </c>
      <c r="DM35" s="14">
        <f t="shared" si="38"/>
        <v>46</v>
      </c>
      <c r="DN35" s="14">
        <f t="shared" si="39"/>
        <v>824</v>
      </c>
      <c r="DO35" s="14">
        <f t="shared" si="109"/>
        <v>0</v>
      </c>
      <c r="DP35" s="14">
        <f t="shared" si="110"/>
        <v>0</v>
      </c>
      <c r="DQ35" s="14">
        <f t="shared" si="111"/>
        <v>0</v>
      </c>
      <c r="DR35" s="14">
        <f t="shared" si="42"/>
        <v>2840</v>
      </c>
      <c r="DS35" s="14">
        <f t="shared" si="43"/>
        <v>1358</v>
      </c>
      <c r="DT35" s="14">
        <f t="shared" si="44"/>
        <v>20460</v>
      </c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A36" s="13"/>
      <c r="B36" s="13">
        <v>9</v>
      </c>
      <c r="C36" s="13">
        <v>1</v>
      </c>
      <c r="D36" s="13">
        <v>8</v>
      </c>
      <c r="E36" s="13">
        <v>25</v>
      </c>
      <c r="F36" s="13">
        <f t="shared" si="112"/>
        <v>0.6</v>
      </c>
      <c r="I36" s="13">
        <v>30</v>
      </c>
      <c r="J36" s="13">
        <v>96</v>
      </c>
      <c r="K36" s="13" t="s">
        <v>436</v>
      </c>
      <c r="L36" s="13">
        <v>30</v>
      </c>
      <c r="M36" s="13">
        <v>13</v>
      </c>
      <c r="N36" s="13" t="s">
        <v>436</v>
      </c>
      <c r="O36" s="13">
        <v>107</v>
      </c>
      <c r="P36" s="13" t="s">
        <v>436</v>
      </c>
      <c r="Q36" s="13">
        <v>35</v>
      </c>
      <c r="R36" s="13">
        <v>14</v>
      </c>
      <c r="S36" s="13" t="s">
        <v>437</v>
      </c>
      <c r="T36" s="13">
        <v>120</v>
      </c>
      <c r="U36" s="13" t="s">
        <v>439</v>
      </c>
      <c r="V36" s="13">
        <v>40</v>
      </c>
      <c r="W36" s="13">
        <v>16</v>
      </c>
      <c r="X36" s="13" t="s">
        <v>439</v>
      </c>
      <c r="AK36" s="13">
        <v>30</v>
      </c>
      <c r="AL36" s="13" t="str">
        <f t="shared" si="10"/>
        <v>焦热 · 魂火3</v>
      </c>
      <c r="AM36" s="13">
        <f t="shared" si="11"/>
        <v>13</v>
      </c>
      <c r="AN36" s="13">
        <v>3</v>
      </c>
      <c r="AO36" s="13">
        <v>93</v>
      </c>
      <c r="AP36" s="49"/>
      <c r="AQ36" s="32"/>
      <c r="AS36" s="13">
        <v>31</v>
      </c>
      <c r="AT36" s="13">
        <v>3</v>
      </c>
      <c r="AU36" s="13">
        <v>11</v>
      </c>
      <c r="AV36" s="13" t="s">
        <v>434</v>
      </c>
      <c r="AW36" s="13">
        <v>72</v>
      </c>
      <c r="AX36" s="14">
        <f t="shared" si="101"/>
        <v>8</v>
      </c>
      <c r="AY36" s="13">
        <v>80</v>
      </c>
      <c r="AZ36" s="14">
        <f t="shared" si="102"/>
        <v>3501</v>
      </c>
      <c r="BA36" s="14">
        <f t="shared" si="103"/>
        <v>1700</v>
      </c>
      <c r="BB36" s="14">
        <f t="shared" si="104"/>
        <v>26130</v>
      </c>
      <c r="BC36" s="13">
        <v>20</v>
      </c>
      <c r="BD36" s="13">
        <f t="shared" si="15"/>
        <v>10</v>
      </c>
      <c r="BE36" s="14">
        <f t="shared" si="16"/>
        <v>180</v>
      </c>
      <c r="BF36" s="14">
        <f t="shared" si="105"/>
        <v>160</v>
      </c>
      <c r="BG36" s="14">
        <f t="shared" si="106"/>
        <v>80</v>
      </c>
      <c r="BH36" s="14">
        <f t="shared" si="107"/>
        <v>1440</v>
      </c>
      <c r="BI36" s="26">
        <v>4.2799999999999998E-2</v>
      </c>
      <c r="BJ36" s="26">
        <f t="shared" si="97"/>
        <v>4.4215246636771295E-2</v>
      </c>
      <c r="BK36" s="14">
        <f t="shared" si="89"/>
        <v>150</v>
      </c>
      <c r="BL36" s="14">
        <f t="shared" si="17"/>
        <v>75</v>
      </c>
      <c r="BM36" s="14">
        <f t="shared" si="18"/>
        <v>1350</v>
      </c>
      <c r="BN36" s="13">
        <v>3</v>
      </c>
      <c r="BO36" s="26">
        <v>6.8599999999999994E-2</v>
      </c>
      <c r="BP36" s="26">
        <f t="shared" si="98"/>
        <v>6.7982062780269067E-2</v>
      </c>
      <c r="BQ36" s="14">
        <f t="shared" si="90"/>
        <v>240</v>
      </c>
      <c r="BR36" s="14">
        <f t="shared" si="19"/>
        <v>120</v>
      </c>
      <c r="BS36" s="14">
        <f t="shared" si="20"/>
        <v>2160</v>
      </c>
      <c r="BT36" s="14">
        <f t="shared" si="91"/>
        <v>4351</v>
      </c>
      <c r="BU36" s="14">
        <f t="shared" si="92"/>
        <v>2125</v>
      </c>
      <c r="BV36" s="14">
        <f t="shared" si="93"/>
        <v>33780</v>
      </c>
      <c r="BX36" s="13">
        <v>5</v>
      </c>
      <c r="BY36" s="14">
        <f t="shared" si="21"/>
        <v>850</v>
      </c>
      <c r="BZ36" s="14">
        <f t="shared" si="22"/>
        <v>425</v>
      </c>
      <c r="CA36" s="14">
        <f t="shared" si="23"/>
        <v>7650</v>
      </c>
      <c r="CF36" s="13">
        <v>5</v>
      </c>
      <c r="CG36" s="13">
        <v>7</v>
      </c>
      <c r="CH36" s="13" t="s">
        <v>439</v>
      </c>
      <c r="CI36" s="14">
        <f t="shared" si="113"/>
        <v>11360</v>
      </c>
      <c r="CJ36" s="14">
        <f t="shared" si="114"/>
        <v>5691</v>
      </c>
      <c r="CK36" s="14">
        <f t="shared" si="115"/>
        <v>113600</v>
      </c>
      <c r="CL36" s="13">
        <v>110</v>
      </c>
      <c r="CM36" s="13">
        <v>135</v>
      </c>
      <c r="CN36" s="24">
        <v>0.7</v>
      </c>
      <c r="CO36" s="14">
        <f t="shared" si="116"/>
        <v>318</v>
      </c>
      <c r="CP36" s="14">
        <f t="shared" si="117"/>
        <v>159</v>
      </c>
      <c r="CQ36" s="14">
        <f t="shared" si="29"/>
        <v>3181</v>
      </c>
      <c r="CR36" s="24">
        <v>0.1</v>
      </c>
      <c r="CS36" s="14">
        <f t="shared" si="118"/>
        <v>1136</v>
      </c>
      <c r="CT36" s="14">
        <f t="shared" si="119"/>
        <v>569</v>
      </c>
      <c r="CU36" s="14">
        <f t="shared" si="32"/>
        <v>11360</v>
      </c>
      <c r="CX36" s="13">
        <v>31</v>
      </c>
      <c r="CY36" s="13">
        <v>3</v>
      </c>
      <c r="CZ36" s="13">
        <v>11</v>
      </c>
      <c r="DA36" s="13">
        <v>5</v>
      </c>
      <c r="DB36" s="13" t="s">
        <v>434</v>
      </c>
      <c r="DC36" s="13">
        <v>60</v>
      </c>
      <c r="DD36" s="13">
        <v>60</v>
      </c>
      <c r="DE36" s="24">
        <v>0.2</v>
      </c>
      <c r="DF36" s="14">
        <f t="shared" si="108"/>
        <v>2840</v>
      </c>
      <c r="DG36" s="14">
        <f t="shared" si="99"/>
        <v>1358</v>
      </c>
      <c r="DH36" s="14">
        <f t="shared" si="100"/>
        <v>20460</v>
      </c>
      <c r="DI36" s="14">
        <f t="shared" si="34"/>
        <v>262</v>
      </c>
      <c r="DJ36" s="14">
        <f t="shared" si="35"/>
        <v>131</v>
      </c>
      <c r="DK36" s="14">
        <f t="shared" si="36"/>
        <v>2354</v>
      </c>
      <c r="DL36" s="14">
        <f t="shared" si="37"/>
        <v>92</v>
      </c>
      <c r="DM36" s="14">
        <f t="shared" si="38"/>
        <v>46</v>
      </c>
      <c r="DN36" s="14">
        <f t="shared" si="39"/>
        <v>824</v>
      </c>
      <c r="DO36" s="14">
        <f t="shared" si="109"/>
        <v>0</v>
      </c>
      <c r="DP36" s="14">
        <f t="shared" si="110"/>
        <v>0</v>
      </c>
      <c r="DQ36" s="14">
        <f t="shared" si="111"/>
        <v>0</v>
      </c>
      <c r="DR36" s="14">
        <f t="shared" si="42"/>
        <v>3102</v>
      </c>
      <c r="DS36" s="14">
        <f t="shared" si="43"/>
        <v>1489</v>
      </c>
      <c r="DT36" s="14">
        <f t="shared" si="44"/>
        <v>22814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A37" s="13"/>
      <c r="B37" s="13">
        <v>10</v>
      </c>
      <c r="C37" s="13">
        <v>1</v>
      </c>
      <c r="D37" s="13">
        <v>9</v>
      </c>
      <c r="E37" s="13">
        <v>25</v>
      </c>
      <c r="F37" s="13">
        <f t="shared" si="112"/>
        <v>0.6</v>
      </c>
      <c r="I37" s="13">
        <v>31</v>
      </c>
      <c r="J37" s="13">
        <v>97</v>
      </c>
      <c r="K37" s="13" t="s">
        <v>436</v>
      </c>
      <c r="L37" s="13">
        <v>31</v>
      </c>
      <c r="M37" s="13">
        <v>13</v>
      </c>
      <c r="N37" s="13" t="s">
        <v>436</v>
      </c>
      <c r="O37" s="13">
        <v>108</v>
      </c>
      <c r="P37" s="13" t="s">
        <v>436</v>
      </c>
      <c r="Q37" s="13">
        <v>35</v>
      </c>
      <c r="R37" s="13">
        <v>14</v>
      </c>
      <c r="S37" s="13" t="s">
        <v>437</v>
      </c>
      <c r="T37" s="13">
        <v>122</v>
      </c>
      <c r="U37" s="13" t="s">
        <v>439</v>
      </c>
      <c r="V37" s="13">
        <v>41</v>
      </c>
      <c r="W37" s="13">
        <v>16</v>
      </c>
      <c r="X37" s="13" t="s">
        <v>439</v>
      </c>
      <c r="AK37" s="13">
        <v>31</v>
      </c>
      <c r="AL37" s="13" t="str">
        <f t="shared" si="10"/>
        <v>焦热+1 · 魂火1</v>
      </c>
      <c r="AM37" s="13">
        <f t="shared" si="11"/>
        <v>14</v>
      </c>
      <c r="AN37" s="13">
        <v>1</v>
      </c>
      <c r="AO37" s="13">
        <v>95</v>
      </c>
      <c r="AP37" s="49"/>
      <c r="AQ37" s="32"/>
      <c r="AS37" s="13">
        <v>32</v>
      </c>
      <c r="AT37" s="13">
        <v>3</v>
      </c>
      <c r="AU37" s="13">
        <v>12</v>
      </c>
      <c r="AV37" s="13" t="s">
        <v>435</v>
      </c>
      <c r="AW37" s="13">
        <v>80</v>
      </c>
      <c r="AX37" s="14">
        <f t="shared" si="101"/>
        <v>7</v>
      </c>
      <c r="AY37" s="13">
        <v>87</v>
      </c>
      <c r="AZ37" s="14">
        <f t="shared" si="102"/>
        <v>4351</v>
      </c>
      <c r="BA37" s="14">
        <f t="shared" si="103"/>
        <v>2125</v>
      </c>
      <c r="BB37" s="14">
        <f t="shared" si="104"/>
        <v>33780</v>
      </c>
      <c r="BC37" s="13">
        <v>20</v>
      </c>
      <c r="BD37" s="13">
        <f t="shared" si="15"/>
        <v>10</v>
      </c>
      <c r="BE37" s="14">
        <f t="shared" si="16"/>
        <v>180</v>
      </c>
      <c r="BF37" s="14">
        <f t="shared" si="105"/>
        <v>140</v>
      </c>
      <c r="BG37" s="14">
        <f t="shared" si="106"/>
        <v>70</v>
      </c>
      <c r="BH37" s="14">
        <f t="shared" si="107"/>
        <v>1260</v>
      </c>
      <c r="BI37" s="26">
        <v>4.5999999999999999E-2</v>
      </c>
      <c r="BJ37" s="26">
        <f t="shared" si="97"/>
        <v>4.5739910313901344E-2</v>
      </c>
      <c r="BK37" s="14">
        <f t="shared" si="89"/>
        <v>200</v>
      </c>
      <c r="BL37" s="14">
        <f t="shared" si="17"/>
        <v>100</v>
      </c>
      <c r="BM37" s="14">
        <f t="shared" si="18"/>
        <v>1800</v>
      </c>
      <c r="BN37" s="13">
        <v>3</v>
      </c>
      <c r="BO37" s="26">
        <v>8.0500000000000002E-2</v>
      </c>
      <c r="BP37" s="26">
        <f t="shared" si="98"/>
        <v>9.4439461883408071E-2</v>
      </c>
      <c r="BQ37" s="14">
        <f t="shared" si="90"/>
        <v>350</v>
      </c>
      <c r="BR37" s="14">
        <f t="shared" si="19"/>
        <v>175</v>
      </c>
      <c r="BS37" s="14">
        <f t="shared" si="20"/>
        <v>3150</v>
      </c>
      <c r="BT37" s="14">
        <f t="shared" si="91"/>
        <v>5441</v>
      </c>
      <c r="BU37" s="14">
        <f t="shared" si="92"/>
        <v>2670</v>
      </c>
      <c r="BV37" s="14">
        <f t="shared" si="93"/>
        <v>43590</v>
      </c>
      <c r="BX37" s="13">
        <v>5</v>
      </c>
      <c r="BY37" s="14">
        <f t="shared" si="21"/>
        <v>1090</v>
      </c>
      <c r="BZ37" s="14">
        <f t="shared" si="22"/>
        <v>545</v>
      </c>
      <c r="CA37" s="14">
        <f t="shared" si="23"/>
        <v>9810</v>
      </c>
      <c r="CF37" s="13">
        <v>5</v>
      </c>
      <c r="CG37" s="13">
        <v>8</v>
      </c>
      <c r="CH37" s="13" t="s">
        <v>442</v>
      </c>
      <c r="CI37" s="14">
        <f t="shared" si="113"/>
        <v>12090</v>
      </c>
      <c r="CJ37" s="14">
        <f t="shared" si="114"/>
        <v>6045</v>
      </c>
      <c r="CK37" s="14">
        <f t="shared" si="115"/>
        <v>120900</v>
      </c>
      <c r="CL37" s="13">
        <v>135</v>
      </c>
      <c r="CM37" s="13">
        <v>150</v>
      </c>
      <c r="CN37" s="24">
        <v>0.7</v>
      </c>
      <c r="CO37" s="14">
        <f t="shared" si="116"/>
        <v>564</v>
      </c>
      <c r="CP37" s="14">
        <f t="shared" si="117"/>
        <v>282</v>
      </c>
      <c r="CQ37" s="14">
        <f t="shared" si="29"/>
        <v>5642</v>
      </c>
      <c r="CR37" s="24">
        <v>0.1</v>
      </c>
      <c r="CS37" s="14">
        <f t="shared" si="118"/>
        <v>1209</v>
      </c>
      <c r="CT37" s="14">
        <f t="shared" si="119"/>
        <v>605</v>
      </c>
      <c r="CU37" s="14">
        <f t="shared" si="32"/>
        <v>12090</v>
      </c>
      <c r="CX37" s="13">
        <v>32</v>
      </c>
      <c r="CY37" s="13">
        <v>3</v>
      </c>
      <c r="CZ37" s="13">
        <v>12</v>
      </c>
      <c r="DA37" s="13">
        <v>5</v>
      </c>
      <c r="DB37" s="13" t="s">
        <v>435</v>
      </c>
      <c r="DC37" s="13">
        <v>60</v>
      </c>
      <c r="DD37" s="13">
        <v>85</v>
      </c>
      <c r="DE37" s="24">
        <v>0.2</v>
      </c>
      <c r="DF37" s="14">
        <f t="shared" si="108"/>
        <v>3102</v>
      </c>
      <c r="DG37" s="14">
        <f t="shared" si="99"/>
        <v>1489</v>
      </c>
      <c r="DH37" s="14">
        <f t="shared" si="100"/>
        <v>22814</v>
      </c>
      <c r="DI37" s="14">
        <f t="shared" si="34"/>
        <v>262</v>
      </c>
      <c r="DJ37" s="14">
        <f t="shared" si="35"/>
        <v>131</v>
      </c>
      <c r="DK37" s="14">
        <f t="shared" si="36"/>
        <v>2354</v>
      </c>
      <c r="DL37" s="14">
        <f t="shared" si="37"/>
        <v>92</v>
      </c>
      <c r="DM37" s="14">
        <f t="shared" si="38"/>
        <v>46</v>
      </c>
      <c r="DN37" s="14">
        <f t="shared" si="39"/>
        <v>824</v>
      </c>
      <c r="DO37" s="14">
        <f t="shared" si="109"/>
        <v>2300</v>
      </c>
      <c r="DP37" s="14">
        <f t="shared" si="110"/>
        <v>1150</v>
      </c>
      <c r="DQ37" s="14">
        <f t="shared" si="111"/>
        <v>20600</v>
      </c>
      <c r="DR37" s="14">
        <f t="shared" si="42"/>
        <v>5664</v>
      </c>
      <c r="DS37" s="14">
        <f t="shared" si="43"/>
        <v>2770</v>
      </c>
      <c r="DT37" s="14">
        <f t="shared" si="44"/>
        <v>45768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A38" s="13"/>
      <c r="B38" s="13">
        <v>11</v>
      </c>
      <c r="C38" s="13">
        <v>1</v>
      </c>
      <c r="D38" s="13">
        <v>9</v>
      </c>
      <c r="E38" s="13">
        <v>25</v>
      </c>
      <c r="F38" s="13">
        <f t="shared" si="112"/>
        <v>0.6</v>
      </c>
      <c r="I38" s="13">
        <v>32</v>
      </c>
      <c r="J38" s="13">
        <v>98</v>
      </c>
      <c r="K38" s="13" t="s">
        <v>436</v>
      </c>
      <c r="L38" s="13">
        <v>31</v>
      </c>
      <c r="M38" s="13">
        <v>13</v>
      </c>
      <c r="N38" s="13" t="s">
        <v>436</v>
      </c>
      <c r="O38" s="13">
        <v>109</v>
      </c>
      <c r="P38" s="13" t="s">
        <v>436</v>
      </c>
      <c r="Q38" s="13">
        <v>35</v>
      </c>
      <c r="R38" s="13">
        <v>14</v>
      </c>
      <c r="S38" s="13" t="s">
        <v>437</v>
      </c>
      <c r="T38" s="13">
        <v>123</v>
      </c>
      <c r="U38" s="13" t="s">
        <v>439</v>
      </c>
      <c r="V38" s="13">
        <v>41</v>
      </c>
      <c r="W38" s="13">
        <v>16</v>
      </c>
      <c r="X38" s="13" t="s">
        <v>439</v>
      </c>
      <c r="AK38" s="13">
        <v>32</v>
      </c>
      <c r="AL38" s="13" t="str">
        <f t="shared" si="10"/>
        <v>焦热+1 · 魂火2</v>
      </c>
      <c r="AM38" s="13">
        <f t="shared" si="11"/>
        <v>14</v>
      </c>
      <c r="AN38" s="13">
        <v>2</v>
      </c>
      <c r="AO38" s="13">
        <v>98</v>
      </c>
      <c r="AP38" s="49"/>
      <c r="AQ38" s="32"/>
      <c r="AS38" s="13">
        <v>33</v>
      </c>
      <c r="AT38" s="13">
        <v>3</v>
      </c>
      <c r="AU38" s="13">
        <v>13</v>
      </c>
      <c r="AV38" s="13" t="s">
        <v>436</v>
      </c>
      <c r="AW38" s="13">
        <v>87</v>
      </c>
      <c r="AX38" s="14">
        <f t="shared" si="101"/>
        <v>8</v>
      </c>
      <c r="AY38" s="13">
        <v>95</v>
      </c>
      <c r="AZ38" s="14">
        <f t="shared" si="102"/>
        <v>5441</v>
      </c>
      <c r="BA38" s="14">
        <f t="shared" si="103"/>
        <v>2670</v>
      </c>
      <c r="BB38" s="14">
        <f t="shared" si="104"/>
        <v>43590</v>
      </c>
      <c r="BC38" s="13">
        <v>25</v>
      </c>
      <c r="BD38" s="13">
        <f t="shared" si="15"/>
        <v>13</v>
      </c>
      <c r="BE38" s="14">
        <f t="shared" si="16"/>
        <v>250</v>
      </c>
      <c r="BF38" s="14">
        <f t="shared" si="105"/>
        <v>200</v>
      </c>
      <c r="BG38" s="14">
        <f t="shared" si="106"/>
        <v>104</v>
      </c>
      <c r="BH38" s="14">
        <f t="shared" si="107"/>
        <v>2000</v>
      </c>
      <c r="BI38" s="26">
        <v>4.5999999999999999E-2</v>
      </c>
      <c r="BJ38" s="26">
        <f t="shared" si="97"/>
        <v>4.6188340807174884E-2</v>
      </c>
      <c r="BK38" s="14">
        <f t="shared" si="89"/>
        <v>250</v>
      </c>
      <c r="BL38" s="14">
        <f t="shared" si="17"/>
        <v>125</v>
      </c>
      <c r="BM38" s="14">
        <f t="shared" si="18"/>
        <v>2500</v>
      </c>
      <c r="BN38" s="13">
        <v>3</v>
      </c>
      <c r="BO38" s="26">
        <v>7.3499999999999996E-2</v>
      </c>
      <c r="BP38" s="26">
        <f t="shared" si="98"/>
        <v>7.3542600896860988E-2</v>
      </c>
      <c r="BQ38" s="14">
        <f t="shared" si="90"/>
        <v>400</v>
      </c>
      <c r="BR38" s="14">
        <f t="shared" si="19"/>
        <v>200</v>
      </c>
      <c r="BS38" s="14">
        <f t="shared" si="20"/>
        <v>4000</v>
      </c>
      <c r="BT38" s="14">
        <f t="shared" si="91"/>
        <v>6791</v>
      </c>
      <c r="BU38" s="14">
        <f t="shared" si="92"/>
        <v>3349</v>
      </c>
      <c r="BV38" s="14">
        <f t="shared" si="93"/>
        <v>57090</v>
      </c>
      <c r="BX38" s="13">
        <v>6</v>
      </c>
      <c r="BY38" s="14">
        <f t="shared" si="21"/>
        <v>1350</v>
      </c>
      <c r="BZ38" s="14">
        <f t="shared" si="22"/>
        <v>679</v>
      </c>
      <c r="CA38" s="14">
        <f t="shared" si="23"/>
        <v>13500</v>
      </c>
      <c r="CX38" s="13">
        <v>33</v>
      </c>
      <c r="CY38" s="13">
        <v>3</v>
      </c>
      <c r="CZ38" s="13">
        <v>13</v>
      </c>
      <c r="DA38" s="13">
        <v>6</v>
      </c>
      <c r="DB38" s="13" t="s">
        <v>436</v>
      </c>
      <c r="DC38" s="13">
        <v>85</v>
      </c>
      <c r="DD38" s="13">
        <v>85</v>
      </c>
      <c r="DE38" s="24">
        <v>0.2</v>
      </c>
      <c r="DF38" s="14">
        <f t="shared" si="108"/>
        <v>5664</v>
      </c>
      <c r="DG38" s="14">
        <f t="shared" si="99"/>
        <v>2770</v>
      </c>
      <c r="DH38" s="14">
        <f t="shared" si="100"/>
        <v>45768</v>
      </c>
      <c r="DI38" s="14">
        <f t="shared" si="34"/>
        <v>503</v>
      </c>
      <c r="DJ38" s="14">
        <f t="shared" si="35"/>
        <v>252</v>
      </c>
      <c r="DK38" s="14">
        <f t="shared" si="36"/>
        <v>5025</v>
      </c>
      <c r="DL38" s="14">
        <f t="shared" si="37"/>
        <v>176</v>
      </c>
      <c r="DM38" s="14">
        <f t="shared" si="38"/>
        <v>88</v>
      </c>
      <c r="DN38" s="14">
        <f t="shared" si="39"/>
        <v>1759</v>
      </c>
      <c r="DO38" s="14">
        <f t="shared" si="109"/>
        <v>0</v>
      </c>
      <c r="DP38" s="14">
        <f t="shared" si="110"/>
        <v>0</v>
      </c>
      <c r="DQ38" s="14">
        <f t="shared" si="111"/>
        <v>0</v>
      </c>
      <c r="DR38" s="14">
        <f t="shared" si="42"/>
        <v>6167</v>
      </c>
      <c r="DS38" s="14">
        <f t="shared" si="43"/>
        <v>3022</v>
      </c>
      <c r="DT38" s="14">
        <f t="shared" si="44"/>
        <v>50793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A39" s="13"/>
      <c r="B39" s="13">
        <v>12</v>
      </c>
      <c r="C39" s="13">
        <v>1</v>
      </c>
      <c r="D39" s="13">
        <v>9</v>
      </c>
      <c r="E39" s="13">
        <v>25</v>
      </c>
      <c r="F39" s="13">
        <f t="shared" si="112"/>
        <v>0.6</v>
      </c>
      <c r="I39" s="13">
        <v>33</v>
      </c>
      <c r="J39" s="13">
        <v>99</v>
      </c>
      <c r="K39" s="13" t="s">
        <v>436</v>
      </c>
      <c r="L39" s="13">
        <v>31</v>
      </c>
      <c r="M39" s="13">
        <v>13</v>
      </c>
      <c r="N39" s="13" t="s">
        <v>436</v>
      </c>
      <c r="O39" s="13">
        <v>111</v>
      </c>
      <c r="P39" s="13" t="s">
        <v>439</v>
      </c>
      <c r="Q39" s="13">
        <v>36</v>
      </c>
      <c r="R39" s="13">
        <v>15</v>
      </c>
      <c r="S39" s="13" t="s">
        <v>438</v>
      </c>
      <c r="T39" s="13">
        <v>124</v>
      </c>
      <c r="U39" s="13" t="s">
        <v>439</v>
      </c>
      <c r="V39" s="13">
        <v>41</v>
      </c>
      <c r="W39" s="13">
        <v>16</v>
      </c>
      <c r="X39" s="13" t="s">
        <v>439</v>
      </c>
      <c r="AK39" s="13">
        <v>33</v>
      </c>
      <c r="AL39" s="13" t="str">
        <f t="shared" ref="AL39:AL58" si="120">INDEX($AB$7:$AB$26,MATCH(AK39-1,$AG$6:$AG$26,1))&amp;" · 魂火"&amp;AN39</f>
        <v>焦热+1 · 魂火3</v>
      </c>
      <c r="AM39" s="13">
        <f t="shared" ref="AM39:AM58" si="121">INDEX($AA$7:$AA$26,MATCH(AK39-1,$AG$6:$AG$26,1))</f>
        <v>14</v>
      </c>
      <c r="AN39" s="13">
        <v>3</v>
      </c>
      <c r="AO39" s="13">
        <v>100</v>
      </c>
      <c r="AP39" s="49"/>
      <c r="AQ39" s="32"/>
      <c r="AS39" s="13">
        <v>34</v>
      </c>
      <c r="AT39" s="13">
        <v>3</v>
      </c>
      <c r="AU39" s="13">
        <v>14</v>
      </c>
      <c r="AV39" s="13" t="s">
        <v>437</v>
      </c>
      <c r="AW39" s="13">
        <v>95</v>
      </c>
      <c r="AX39" s="14">
        <f t="shared" si="101"/>
        <v>7</v>
      </c>
      <c r="AY39" s="13">
        <v>102</v>
      </c>
      <c r="AZ39" s="14">
        <f t="shared" si="102"/>
        <v>6791</v>
      </c>
      <c r="BA39" s="14">
        <f t="shared" si="103"/>
        <v>3349</v>
      </c>
      <c r="BB39" s="14">
        <f t="shared" si="104"/>
        <v>57090</v>
      </c>
      <c r="BC39" s="13">
        <v>25</v>
      </c>
      <c r="BD39" s="13">
        <f t="shared" si="15"/>
        <v>13</v>
      </c>
      <c r="BE39" s="14">
        <f t="shared" si="16"/>
        <v>250</v>
      </c>
      <c r="BF39" s="14">
        <f t="shared" si="105"/>
        <v>175</v>
      </c>
      <c r="BG39" s="14">
        <f t="shared" si="106"/>
        <v>91</v>
      </c>
      <c r="BH39" s="14">
        <f t="shared" si="107"/>
        <v>1750</v>
      </c>
      <c r="BI39" s="26">
        <v>4.4200000000000003E-2</v>
      </c>
      <c r="BJ39" s="26">
        <f t="shared" si="97"/>
        <v>4.4843049327354265E-2</v>
      </c>
      <c r="BK39" s="14">
        <f t="shared" si="89"/>
        <v>300</v>
      </c>
      <c r="BL39" s="14">
        <f t="shared" si="17"/>
        <v>150</v>
      </c>
      <c r="BM39" s="14">
        <f t="shared" si="18"/>
        <v>3000</v>
      </c>
      <c r="BN39" s="13">
        <v>3</v>
      </c>
      <c r="BO39" s="26">
        <v>6.6299999999999998E-2</v>
      </c>
      <c r="BP39" s="26">
        <f t="shared" si="98"/>
        <v>6.6367713004484297E-2</v>
      </c>
      <c r="BQ39" s="14">
        <f t="shared" si="90"/>
        <v>450</v>
      </c>
      <c r="BR39" s="14">
        <f t="shared" si="19"/>
        <v>225</v>
      </c>
      <c r="BS39" s="14">
        <f t="shared" si="20"/>
        <v>4500</v>
      </c>
      <c r="BT39" s="14">
        <f t="shared" si="91"/>
        <v>8316</v>
      </c>
      <c r="BU39" s="14">
        <f t="shared" si="92"/>
        <v>4115</v>
      </c>
      <c r="BV39" s="14">
        <f t="shared" si="93"/>
        <v>72340</v>
      </c>
      <c r="BX39" s="13">
        <v>6</v>
      </c>
      <c r="BY39" s="14">
        <f t="shared" si="21"/>
        <v>1525</v>
      </c>
      <c r="BZ39" s="14">
        <f t="shared" si="22"/>
        <v>766</v>
      </c>
      <c r="CA39" s="14">
        <f t="shared" si="23"/>
        <v>15250</v>
      </c>
      <c r="CX39" s="13">
        <v>34</v>
      </c>
      <c r="CY39" s="13">
        <v>3</v>
      </c>
      <c r="CZ39" s="13">
        <v>14</v>
      </c>
      <c r="DA39" s="13">
        <v>6</v>
      </c>
      <c r="DB39" s="13" t="s">
        <v>437</v>
      </c>
      <c r="DC39" s="13">
        <v>85</v>
      </c>
      <c r="DD39" s="13">
        <v>85</v>
      </c>
      <c r="DE39" s="24">
        <v>0.2</v>
      </c>
      <c r="DF39" s="14">
        <f t="shared" si="108"/>
        <v>6167</v>
      </c>
      <c r="DG39" s="14">
        <f t="shared" si="99"/>
        <v>3022</v>
      </c>
      <c r="DH39" s="14">
        <f t="shared" si="100"/>
        <v>50793</v>
      </c>
      <c r="DI39" s="14">
        <f t="shared" si="34"/>
        <v>503</v>
      </c>
      <c r="DJ39" s="14">
        <f t="shared" si="35"/>
        <v>252</v>
      </c>
      <c r="DK39" s="14">
        <f t="shared" si="36"/>
        <v>5025</v>
      </c>
      <c r="DL39" s="14">
        <f t="shared" si="37"/>
        <v>176</v>
      </c>
      <c r="DM39" s="14">
        <f t="shared" si="38"/>
        <v>88</v>
      </c>
      <c r="DN39" s="14">
        <f t="shared" si="39"/>
        <v>1759</v>
      </c>
      <c r="DO39" s="14">
        <f t="shared" si="109"/>
        <v>0</v>
      </c>
      <c r="DP39" s="14">
        <f t="shared" si="110"/>
        <v>0</v>
      </c>
      <c r="DQ39" s="14">
        <f t="shared" si="111"/>
        <v>0</v>
      </c>
      <c r="DR39" s="14">
        <f t="shared" si="42"/>
        <v>6670</v>
      </c>
      <c r="DS39" s="14">
        <f t="shared" si="43"/>
        <v>3274</v>
      </c>
      <c r="DT39" s="14">
        <f t="shared" si="44"/>
        <v>55818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13"/>
      <c r="B40" s="13">
        <v>13</v>
      </c>
      <c r="C40" s="13">
        <v>1</v>
      </c>
      <c r="D40" s="13">
        <v>10</v>
      </c>
      <c r="E40" s="13">
        <v>25</v>
      </c>
      <c r="F40" s="13">
        <f t="shared" si="112"/>
        <v>0.6</v>
      </c>
      <c r="G40" s="33"/>
      <c r="H40" s="33"/>
      <c r="I40" s="13">
        <v>34</v>
      </c>
      <c r="J40" s="13">
        <v>100</v>
      </c>
      <c r="K40" s="13" t="s">
        <v>436</v>
      </c>
      <c r="L40" s="13">
        <v>32</v>
      </c>
      <c r="M40" s="13">
        <v>13</v>
      </c>
      <c r="N40" s="13" t="s">
        <v>436</v>
      </c>
      <c r="O40" s="13">
        <v>112</v>
      </c>
      <c r="P40" s="13" t="s">
        <v>439</v>
      </c>
      <c r="Q40" s="13">
        <v>37</v>
      </c>
      <c r="R40" s="13">
        <v>15</v>
      </c>
      <c r="S40" s="13" t="s">
        <v>438</v>
      </c>
      <c r="T40" s="13">
        <v>126</v>
      </c>
      <c r="U40" s="13" t="s">
        <v>439</v>
      </c>
      <c r="V40" s="13">
        <v>42</v>
      </c>
      <c r="W40" s="13">
        <v>17</v>
      </c>
      <c r="X40" s="13" t="s">
        <v>440</v>
      </c>
      <c r="Y40" s="33"/>
      <c r="Z40" s="33"/>
      <c r="AK40" s="13">
        <v>34</v>
      </c>
      <c r="AL40" s="13" t="str">
        <f t="shared" si="120"/>
        <v>焦热+2 · 魂火1</v>
      </c>
      <c r="AM40" s="13">
        <f t="shared" si="121"/>
        <v>15</v>
      </c>
      <c r="AN40" s="13">
        <v>1</v>
      </c>
      <c r="AO40" s="13">
        <v>103</v>
      </c>
      <c r="AP40" s="49"/>
      <c r="AQ40" s="32"/>
      <c r="AR40" s="33"/>
      <c r="AS40" s="13">
        <v>35</v>
      </c>
      <c r="AT40" s="13">
        <v>3</v>
      </c>
      <c r="AU40" s="13">
        <v>15</v>
      </c>
      <c r="AV40" s="13" t="s">
        <v>438</v>
      </c>
      <c r="AW40" s="13">
        <v>102</v>
      </c>
      <c r="AX40" s="14">
        <f t="shared" si="101"/>
        <v>8</v>
      </c>
      <c r="AY40" s="13">
        <v>110</v>
      </c>
      <c r="AZ40" s="14">
        <f t="shared" si="102"/>
        <v>8316</v>
      </c>
      <c r="BA40" s="14">
        <f t="shared" si="103"/>
        <v>4115</v>
      </c>
      <c r="BB40" s="14">
        <f t="shared" si="104"/>
        <v>72340</v>
      </c>
      <c r="BC40" s="13">
        <v>25</v>
      </c>
      <c r="BD40" s="13">
        <f t="shared" si="15"/>
        <v>13</v>
      </c>
      <c r="BE40" s="14">
        <f t="shared" si="16"/>
        <v>250</v>
      </c>
      <c r="BF40" s="14">
        <f t="shared" si="105"/>
        <v>200</v>
      </c>
      <c r="BG40" s="14">
        <f t="shared" si="106"/>
        <v>104</v>
      </c>
      <c r="BH40" s="14">
        <f t="shared" si="107"/>
        <v>2000</v>
      </c>
      <c r="BI40" s="26">
        <v>4.8099999999999997E-2</v>
      </c>
      <c r="BJ40" s="26">
        <f t="shared" si="97"/>
        <v>4.6726457399103138E-2</v>
      </c>
      <c r="BK40" s="14">
        <f t="shared" si="89"/>
        <v>400</v>
      </c>
      <c r="BL40" s="14">
        <f t="shared" si="17"/>
        <v>200</v>
      </c>
      <c r="BM40" s="14">
        <f t="shared" si="18"/>
        <v>4000</v>
      </c>
      <c r="BN40" s="13">
        <v>3</v>
      </c>
      <c r="BO40" s="26">
        <v>9.0200000000000002E-2</v>
      </c>
      <c r="BP40" s="26">
        <f t="shared" si="98"/>
        <v>9.3452914798206277E-2</v>
      </c>
      <c r="BQ40" s="14">
        <f t="shared" si="90"/>
        <v>750</v>
      </c>
      <c r="BR40" s="14">
        <f t="shared" si="19"/>
        <v>375</v>
      </c>
      <c r="BS40" s="14">
        <f t="shared" si="20"/>
        <v>7500</v>
      </c>
      <c r="BT40" s="14">
        <f t="shared" si="91"/>
        <v>10466</v>
      </c>
      <c r="BU40" s="14">
        <f t="shared" si="92"/>
        <v>5194</v>
      </c>
      <c r="BV40" s="14">
        <f t="shared" si="93"/>
        <v>93840</v>
      </c>
      <c r="BW40" s="33"/>
      <c r="BX40" s="13">
        <v>6</v>
      </c>
      <c r="BY40" s="14">
        <f t="shared" si="21"/>
        <v>2150</v>
      </c>
      <c r="BZ40" s="14">
        <f t="shared" si="22"/>
        <v>1079</v>
      </c>
      <c r="CA40" s="14">
        <f t="shared" si="23"/>
        <v>21500</v>
      </c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13">
        <v>35</v>
      </c>
      <c r="CY40" s="13">
        <v>3</v>
      </c>
      <c r="CZ40" s="13">
        <v>15</v>
      </c>
      <c r="DA40" s="13">
        <v>6</v>
      </c>
      <c r="DB40" s="13" t="s">
        <v>438</v>
      </c>
      <c r="DC40" s="13">
        <v>85</v>
      </c>
      <c r="DD40" s="13">
        <v>110</v>
      </c>
      <c r="DE40" s="24">
        <v>0.2</v>
      </c>
      <c r="DF40" s="14">
        <f t="shared" si="108"/>
        <v>6670</v>
      </c>
      <c r="DG40" s="14">
        <f t="shared" si="99"/>
        <v>3274</v>
      </c>
      <c r="DH40" s="14">
        <f t="shared" si="100"/>
        <v>55818</v>
      </c>
      <c r="DI40" s="14">
        <f t="shared" si="34"/>
        <v>503</v>
      </c>
      <c r="DJ40" s="14">
        <f t="shared" si="35"/>
        <v>252</v>
      </c>
      <c r="DK40" s="14">
        <f t="shared" si="36"/>
        <v>5025</v>
      </c>
      <c r="DL40" s="14">
        <f t="shared" si="37"/>
        <v>176</v>
      </c>
      <c r="DM40" s="14">
        <f t="shared" si="38"/>
        <v>88</v>
      </c>
      <c r="DN40" s="14">
        <f t="shared" si="39"/>
        <v>1759</v>
      </c>
      <c r="DO40" s="14">
        <f t="shared" si="109"/>
        <v>4400</v>
      </c>
      <c r="DP40" s="14">
        <f t="shared" si="110"/>
        <v>2200</v>
      </c>
      <c r="DQ40" s="14">
        <f t="shared" si="111"/>
        <v>43975</v>
      </c>
      <c r="DR40" s="14">
        <f t="shared" si="42"/>
        <v>11573</v>
      </c>
      <c r="DS40" s="14">
        <f t="shared" si="43"/>
        <v>5726</v>
      </c>
      <c r="DT40" s="14">
        <f t="shared" si="44"/>
        <v>104818</v>
      </c>
      <c r="DU40" s="33"/>
      <c r="DV40" s="33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13"/>
      <c r="B41" s="13">
        <v>14</v>
      </c>
      <c r="C41" s="13">
        <v>1</v>
      </c>
      <c r="D41" s="13">
        <v>10</v>
      </c>
      <c r="E41" s="13">
        <v>25</v>
      </c>
      <c r="F41" s="13">
        <f t="shared" si="112"/>
        <v>0.6</v>
      </c>
      <c r="G41" s="33"/>
      <c r="H41" s="33"/>
      <c r="I41" s="13">
        <v>35</v>
      </c>
      <c r="J41" s="13">
        <v>102</v>
      </c>
      <c r="K41" s="13" t="s">
        <v>436</v>
      </c>
      <c r="L41" s="13">
        <v>33</v>
      </c>
      <c r="M41" s="13">
        <v>14</v>
      </c>
      <c r="N41" s="13" t="s">
        <v>437</v>
      </c>
      <c r="O41" s="13">
        <v>113</v>
      </c>
      <c r="P41" s="13" t="s">
        <v>439</v>
      </c>
      <c r="Q41" s="13">
        <v>37</v>
      </c>
      <c r="R41" s="13">
        <v>15</v>
      </c>
      <c r="S41" s="13" t="s">
        <v>438</v>
      </c>
      <c r="T41" s="13">
        <v>127</v>
      </c>
      <c r="U41" s="13" t="s">
        <v>439</v>
      </c>
      <c r="V41" s="13">
        <v>43</v>
      </c>
      <c r="W41" s="13">
        <v>17</v>
      </c>
      <c r="X41" s="13" t="s">
        <v>440</v>
      </c>
      <c r="Y41" s="33"/>
      <c r="Z41" s="33"/>
      <c r="AK41" s="13">
        <v>35</v>
      </c>
      <c r="AL41" s="13" t="str">
        <f t="shared" si="120"/>
        <v>焦热+2 · 魂火2</v>
      </c>
      <c r="AM41" s="13">
        <f t="shared" si="121"/>
        <v>15</v>
      </c>
      <c r="AN41" s="13">
        <v>2</v>
      </c>
      <c r="AO41" s="13">
        <v>105</v>
      </c>
      <c r="AP41" s="49"/>
      <c r="AQ41" s="32"/>
      <c r="AR41" s="33"/>
      <c r="AS41" s="13">
        <v>36</v>
      </c>
      <c r="AT41" s="13">
        <v>3</v>
      </c>
      <c r="AU41" s="13">
        <v>16</v>
      </c>
      <c r="AV41" s="13" t="s">
        <v>439</v>
      </c>
      <c r="AW41" s="13">
        <v>110</v>
      </c>
      <c r="AX41" s="14">
        <f t="shared" si="101"/>
        <v>7</v>
      </c>
      <c r="AY41" s="13">
        <v>117</v>
      </c>
      <c r="AZ41" s="14">
        <f t="shared" si="102"/>
        <v>10466</v>
      </c>
      <c r="BA41" s="14">
        <f t="shared" si="103"/>
        <v>5194</v>
      </c>
      <c r="BB41" s="14">
        <f t="shared" si="104"/>
        <v>93840</v>
      </c>
      <c r="BC41" s="13">
        <v>30</v>
      </c>
      <c r="BD41" s="13">
        <f t="shared" si="15"/>
        <v>15</v>
      </c>
      <c r="BE41" s="14">
        <f t="shared" si="16"/>
        <v>300</v>
      </c>
      <c r="BF41" s="14">
        <f t="shared" si="105"/>
        <v>210</v>
      </c>
      <c r="BG41" s="14">
        <f t="shared" si="106"/>
        <v>105</v>
      </c>
      <c r="BH41" s="14">
        <f t="shared" si="107"/>
        <v>2100</v>
      </c>
      <c r="BI41" s="26">
        <v>4.7800000000000002E-2</v>
      </c>
      <c r="BJ41" s="26">
        <f t="shared" si="97"/>
        <v>4.6995515695067269E-2</v>
      </c>
      <c r="BK41" s="14">
        <f t="shared" si="89"/>
        <v>500</v>
      </c>
      <c r="BL41" s="14">
        <f t="shared" si="17"/>
        <v>250</v>
      </c>
      <c r="BM41" s="14">
        <f t="shared" si="18"/>
        <v>5000</v>
      </c>
      <c r="BN41" s="13">
        <v>3</v>
      </c>
      <c r="BO41" s="26">
        <v>7.6399999999999996E-2</v>
      </c>
      <c r="BP41" s="26">
        <f t="shared" si="98"/>
        <v>7.3094170403587441E-2</v>
      </c>
      <c r="BQ41" s="14">
        <f t="shared" si="90"/>
        <v>800</v>
      </c>
      <c r="BR41" s="14">
        <f t="shared" si="19"/>
        <v>400</v>
      </c>
      <c r="BS41" s="14">
        <f t="shared" si="20"/>
        <v>8000</v>
      </c>
      <c r="BT41" s="14">
        <f t="shared" si="91"/>
        <v>12976</v>
      </c>
      <c r="BU41" s="14">
        <f t="shared" si="92"/>
        <v>6449</v>
      </c>
      <c r="BV41" s="14">
        <f t="shared" si="93"/>
        <v>118940</v>
      </c>
      <c r="BW41" s="33"/>
      <c r="BX41" s="13">
        <v>7</v>
      </c>
      <c r="BY41" s="14">
        <f t="shared" si="21"/>
        <v>2510</v>
      </c>
      <c r="BZ41" s="14">
        <f t="shared" si="22"/>
        <v>1255</v>
      </c>
      <c r="CA41" s="14">
        <f t="shared" si="23"/>
        <v>25100</v>
      </c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13">
        <v>36</v>
      </c>
      <c r="CY41" s="13">
        <v>3</v>
      </c>
      <c r="CZ41" s="13">
        <v>16</v>
      </c>
      <c r="DA41" s="13">
        <v>7</v>
      </c>
      <c r="DB41" s="13" t="s">
        <v>439</v>
      </c>
      <c r="DC41" s="13">
        <v>110</v>
      </c>
      <c r="DD41" s="13">
        <v>110</v>
      </c>
      <c r="DE41" s="24">
        <v>0.2</v>
      </c>
      <c r="DF41" s="14">
        <f t="shared" si="108"/>
        <v>11573</v>
      </c>
      <c r="DG41" s="14">
        <f t="shared" si="99"/>
        <v>5726</v>
      </c>
      <c r="DH41" s="14">
        <f t="shared" si="100"/>
        <v>104818</v>
      </c>
      <c r="DI41" s="14">
        <f t="shared" si="34"/>
        <v>926</v>
      </c>
      <c r="DJ41" s="14">
        <f t="shared" si="35"/>
        <v>463</v>
      </c>
      <c r="DK41" s="14">
        <f t="shared" si="36"/>
        <v>9260</v>
      </c>
      <c r="DL41" s="14">
        <f t="shared" si="37"/>
        <v>259</v>
      </c>
      <c r="DM41" s="14">
        <f t="shared" si="38"/>
        <v>130</v>
      </c>
      <c r="DN41" s="14">
        <f t="shared" si="39"/>
        <v>2593</v>
      </c>
      <c r="DO41" s="14">
        <f t="shared" si="109"/>
        <v>0</v>
      </c>
      <c r="DP41" s="14">
        <f t="shared" si="110"/>
        <v>0</v>
      </c>
      <c r="DQ41" s="14">
        <f t="shared" si="111"/>
        <v>0</v>
      </c>
      <c r="DR41" s="14">
        <f t="shared" si="42"/>
        <v>12499</v>
      </c>
      <c r="DS41" s="14">
        <f t="shared" si="43"/>
        <v>6189</v>
      </c>
      <c r="DT41" s="14">
        <f t="shared" si="44"/>
        <v>114078</v>
      </c>
      <c r="DU41" s="33"/>
      <c r="DV41" s="33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13"/>
      <c r="B42" s="13">
        <v>15</v>
      </c>
      <c r="C42" s="13">
        <v>1</v>
      </c>
      <c r="D42" s="13">
        <v>10</v>
      </c>
      <c r="E42" s="13">
        <v>25</v>
      </c>
      <c r="F42" s="13">
        <f t="shared" si="112"/>
        <v>0.6</v>
      </c>
      <c r="G42" s="33"/>
      <c r="H42" s="33"/>
      <c r="I42" s="13">
        <v>36</v>
      </c>
      <c r="J42" s="13">
        <v>103</v>
      </c>
      <c r="K42" s="13" t="s">
        <v>436</v>
      </c>
      <c r="L42" s="13">
        <v>33</v>
      </c>
      <c r="M42" s="13">
        <v>14</v>
      </c>
      <c r="N42" s="13" t="s">
        <v>437</v>
      </c>
      <c r="O42" s="13">
        <v>114</v>
      </c>
      <c r="P42" s="13" t="s">
        <v>439</v>
      </c>
      <c r="Q42" s="13">
        <v>37</v>
      </c>
      <c r="R42" s="13">
        <v>15</v>
      </c>
      <c r="S42" s="13" t="s">
        <v>438</v>
      </c>
      <c r="T42" s="13">
        <v>128</v>
      </c>
      <c r="U42" s="13" t="s">
        <v>439</v>
      </c>
      <c r="V42" s="13">
        <v>43</v>
      </c>
      <c r="W42" s="13">
        <v>17</v>
      </c>
      <c r="X42" s="13" t="s">
        <v>440</v>
      </c>
      <c r="Y42" s="33"/>
      <c r="Z42" s="33"/>
      <c r="AK42" s="13">
        <v>36</v>
      </c>
      <c r="AL42" s="13" t="str">
        <f t="shared" si="120"/>
        <v>焦热+2 · 魂火3</v>
      </c>
      <c r="AM42" s="13">
        <f t="shared" si="121"/>
        <v>15</v>
      </c>
      <c r="AN42" s="13">
        <v>3</v>
      </c>
      <c r="AO42" s="13">
        <v>108</v>
      </c>
      <c r="AP42" s="49"/>
      <c r="AQ42" s="32"/>
      <c r="AR42" s="33"/>
      <c r="AS42" s="13">
        <v>37</v>
      </c>
      <c r="AT42" s="13">
        <v>3</v>
      </c>
      <c r="AU42" s="13">
        <v>17</v>
      </c>
      <c r="AV42" s="13" t="s">
        <v>440</v>
      </c>
      <c r="AW42" s="13">
        <v>117</v>
      </c>
      <c r="AX42" s="14">
        <f t="shared" si="101"/>
        <v>8</v>
      </c>
      <c r="AY42" s="13">
        <v>125</v>
      </c>
      <c r="AZ42" s="14">
        <f t="shared" si="102"/>
        <v>12976</v>
      </c>
      <c r="BA42" s="14">
        <f t="shared" si="103"/>
        <v>6449</v>
      </c>
      <c r="BB42" s="14">
        <f t="shared" si="104"/>
        <v>118940</v>
      </c>
      <c r="BC42" s="13">
        <v>30</v>
      </c>
      <c r="BD42" s="13">
        <f t="shared" si="15"/>
        <v>15</v>
      </c>
      <c r="BE42" s="14">
        <f t="shared" si="16"/>
        <v>300</v>
      </c>
      <c r="BF42" s="14">
        <f t="shared" si="105"/>
        <v>240</v>
      </c>
      <c r="BG42" s="14">
        <f t="shared" si="106"/>
        <v>120</v>
      </c>
      <c r="BH42" s="14">
        <f t="shared" si="107"/>
        <v>2400</v>
      </c>
      <c r="BI42" s="26">
        <v>4.6249999999999999E-2</v>
      </c>
      <c r="BJ42" s="26">
        <f t="shared" si="97"/>
        <v>4.5739910313901344E-2</v>
      </c>
      <c r="BK42" s="14">
        <f t="shared" si="89"/>
        <v>600</v>
      </c>
      <c r="BL42" s="14">
        <f t="shared" si="17"/>
        <v>300</v>
      </c>
      <c r="BM42" s="14">
        <f t="shared" si="18"/>
        <v>6000</v>
      </c>
      <c r="BN42" s="13">
        <v>3</v>
      </c>
      <c r="BO42" s="26">
        <v>6.9349999999999995E-2</v>
      </c>
      <c r="BP42" s="26">
        <f t="shared" si="98"/>
        <v>6.6547085201793726E-2</v>
      </c>
      <c r="BQ42" s="14">
        <f t="shared" si="90"/>
        <v>900</v>
      </c>
      <c r="BR42" s="14">
        <f t="shared" si="19"/>
        <v>450</v>
      </c>
      <c r="BS42" s="14">
        <f t="shared" si="20"/>
        <v>9000</v>
      </c>
      <c r="BT42" s="14">
        <f t="shared" si="91"/>
        <v>15916</v>
      </c>
      <c r="BU42" s="14">
        <f t="shared" si="92"/>
        <v>7919</v>
      </c>
      <c r="BV42" s="14">
        <f t="shared" si="93"/>
        <v>148340</v>
      </c>
      <c r="BW42" s="33"/>
      <c r="BX42" s="13">
        <v>7</v>
      </c>
      <c r="BY42" s="14">
        <f t="shared" si="21"/>
        <v>2940</v>
      </c>
      <c r="BZ42" s="14">
        <f t="shared" si="22"/>
        <v>1470</v>
      </c>
      <c r="CA42" s="14">
        <f t="shared" si="23"/>
        <v>29400</v>
      </c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13">
        <v>37</v>
      </c>
      <c r="CY42" s="13">
        <v>3</v>
      </c>
      <c r="CZ42" s="13">
        <v>17</v>
      </c>
      <c r="DA42" s="13">
        <v>7</v>
      </c>
      <c r="DB42" s="13" t="s">
        <v>440</v>
      </c>
      <c r="DC42" s="13">
        <v>110</v>
      </c>
      <c r="DD42" s="13">
        <v>110</v>
      </c>
      <c r="DE42" s="24">
        <v>0.2</v>
      </c>
      <c r="DF42" s="14">
        <f t="shared" si="108"/>
        <v>12499</v>
      </c>
      <c r="DG42" s="14">
        <f t="shared" si="99"/>
        <v>6189</v>
      </c>
      <c r="DH42" s="14">
        <f t="shared" si="100"/>
        <v>114078</v>
      </c>
      <c r="DI42" s="14">
        <f t="shared" si="34"/>
        <v>926</v>
      </c>
      <c r="DJ42" s="14">
        <f t="shared" si="35"/>
        <v>463</v>
      </c>
      <c r="DK42" s="14">
        <f t="shared" si="36"/>
        <v>9260</v>
      </c>
      <c r="DL42" s="14">
        <f t="shared" si="37"/>
        <v>259</v>
      </c>
      <c r="DM42" s="14">
        <f t="shared" si="38"/>
        <v>130</v>
      </c>
      <c r="DN42" s="14">
        <f t="shared" si="39"/>
        <v>2593</v>
      </c>
      <c r="DO42" s="14">
        <f t="shared" si="109"/>
        <v>0</v>
      </c>
      <c r="DP42" s="14">
        <f t="shared" si="110"/>
        <v>0</v>
      </c>
      <c r="DQ42" s="14">
        <f t="shared" si="111"/>
        <v>0</v>
      </c>
      <c r="DR42" s="14">
        <f t="shared" si="42"/>
        <v>13425</v>
      </c>
      <c r="DS42" s="14">
        <f t="shared" si="43"/>
        <v>6652</v>
      </c>
      <c r="DT42" s="14">
        <f t="shared" si="44"/>
        <v>123338</v>
      </c>
      <c r="DU42" s="33"/>
      <c r="DV42" s="33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13"/>
      <c r="B43" s="13">
        <v>16</v>
      </c>
      <c r="C43" s="13">
        <v>1</v>
      </c>
      <c r="D43" s="13">
        <v>10</v>
      </c>
      <c r="E43" s="13">
        <v>25</v>
      </c>
      <c r="F43" s="13">
        <f t="shared" si="112"/>
        <v>0.6</v>
      </c>
      <c r="G43" s="33"/>
      <c r="H43" s="33"/>
      <c r="I43" s="13">
        <v>37</v>
      </c>
      <c r="J43" s="13">
        <v>104</v>
      </c>
      <c r="K43" s="13" t="s">
        <v>436</v>
      </c>
      <c r="L43" s="13">
        <v>33</v>
      </c>
      <c r="M43" s="13">
        <v>14</v>
      </c>
      <c r="N43" s="13" t="s">
        <v>437</v>
      </c>
      <c r="O43" s="13">
        <v>116</v>
      </c>
      <c r="P43" s="13" t="s">
        <v>439</v>
      </c>
      <c r="Q43" s="13">
        <v>38</v>
      </c>
      <c r="R43" s="13">
        <v>15</v>
      </c>
      <c r="S43" s="13" t="s">
        <v>438</v>
      </c>
      <c r="T43" s="13">
        <v>129</v>
      </c>
      <c r="U43" s="13" t="s">
        <v>439</v>
      </c>
      <c r="V43" s="13">
        <v>43</v>
      </c>
      <c r="W43" s="13">
        <v>17</v>
      </c>
      <c r="X43" s="13" t="s">
        <v>440</v>
      </c>
      <c r="Y43" s="33"/>
      <c r="Z43" s="33"/>
      <c r="AK43" s="13">
        <v>37</v>
      </c>
      <c r="AL43" s="13" t="str">
        <f t="shared" si="120"/>
        <v>大焦热 · 魂火1</v>
      </c>
      <c r="AM43" s="13">
        <f t="shared" si="121"/>
        <v>16</v>
      </c>
      <c r="AN43" s="13">
        <v>1</v>
      </c>
      <c r="AO43" s="13">
        <v>110</v>
      </c>
      <c r="AP43" s="49"/>
      <c r="AQ43" s="32"/>
      <c r="AR43" s="33"/>
      <c r="AS43" s="13">
        <v>38</v>
      </c>
      <c r="AT43" s="13">
        <v>3</v>
      </c>
      <c r="AU43" s="13">
        <v>18</v>
      </c>
      <c r="AV43" s="13" t="s">
        <v>441</v>
      </c>
      <c r="AW43" s="13">
        <v>125</v>
      </c>
      <c r="AX43" s="14">
        <f t="shared" si="101"/>
        <v>7</v>
      </c>
      <c r="AY43" s="13">
        <v>132</v>
      </c>
      <c r="AZ43" s="14">
        <f t="shared" si="102"/>
        <v>15916</v>
      </c>
      <c r="BA43" s="14">
        <f t="shared" si="103"/>
        <v>7919</v>
      </c>
      <c r="BB43" s="14">
        <f t="shared" si="104"/>
        <v>148340</v>
      </c>
      <c r="BC43" s="13">
        <v>30</v>
      </c>
      <c r="BD43" s="13">
        <f t="shared" si="15"/>
        <v>15</v>
      </c>
      <c r="BE43" s="14">
        <f t="shared" si="16"/>
        <v>300</v>
      </c>
      <c r="BF43" s="14">
        <f t="shared" si="105"/>
        <v>210</v>
      </c>
      <c r="BG43" s="14">
        <f t="shared" si="106"/>
        <v>105</v>
      </c>
      <c r="BH43" s="14">
        <f t="shared" si="107"/>
        <v>2100</v>
      </c>
      <c r="BI43" s="26">
        <v>4.3950000000000003E-2</v>
      </c>
      <c r="BJ43" s="26">
        <f t="shared" si="97"/>
        <v>4.5560538116591928E-2</v>
      </c>
      <c r="BK43" s="14">
        <f t="shared" si="89"/>
        <v>700</v>
      </c>
      <c r="BL43" s="14">
        <f t="shared" si="17"/>
        <v>350</v>
      </c>
      <c r="BM43" s="14">
        <f t="shared" si="18"/>
        <v>7000</v>
      </c>
      <c r="BN43" s="13">
        <v>3</v>
      </c>
      <c r="BO43" s="26">
        <v>9.425E-2</v>
      </c>
      <c r="BP43" s="26">
        <f t="shared" si="98"/>
        <v>9.3811659192825109E-2</v>
      </c>
      <c r="BQ43" s="14">
        <f t="shared" si="90"/>
        <v>1500</v>
      </c>
      <c r="BR43" s="14">
        <f t="shared" si="19"/>
        <v>750</v>
      </c>
      <c r="BS43" s="14">
        <f t="shared" si="20"/>
        <v>15000</v>
      </c>
      <c r="BT43" s="14">
        <f t="shared" si="91"/>
        <v>19726</v>
      </c>
      <c r="BU43" s="14">
        <f t="shared" si="92"/>
        <v>9824</v>
      </c>
      <c r="BV43" s="14">
        <f t="shared" si="93"/>
        <v>186440</v>
      </c>
      <c r="BW43" s="33"/>
      <c r="BX43" s="13">
        <v>7</v>
      </c>
      <c r="BY43" s="14">
        <f t="shared" si="21"/>
        <v>3810</v>
      </c>
      <c r="BZ43" s="14">
        <f t="shared" si="22"/>
        <v>1905</v>
      </c>
      <c r="CA43" s="14">
        <f t="shared" si="23"/>
        <v>38100</v>
      </c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13">
        <v>38</v>
      </c>
      <c r="CY43" s="13">
        <v>3</v>
      </c>
      <c r="CZ43" s="13">
        <v>18</v>
      </c>
      <c r="DA43" s="13">
        <v>7</v>
      </c>
      <c r="DB43" s="13" t="s">
        <v>441</v>
      </c>
      <c r="DC43" s="13">
        <v>110</v>
      </c>
      <c r="DD43" s="13">
        <v>135</v>
      </c>
      <c r="DE43" s="24">
        <v>0.2</v>
      </c>
      <c r="DF43" s="14">
        <f t="shared" si="108"/>
        <v>13425</v>
      </c>
      <c r="DG43" s="14">
        <f t="shared" si="99"/>
        <v>6652</v>
      </c>
      <c r="DH43" s="14">
        <f t="shared" si="100"/>
        <v>123338</v>
      </c>
      <c r="DI43" s="14">
        <f t="shared" si="34"/>
        <v>926</v>
      </c>
      <c r="DJ43" s="14">
        <f t="shared" si="35"/>
        <v>463</v>
      </c>
      <c r="DK43" s="14">
        <f t="shared" si="36"/>
        <v>9260</v>
      </c>
      <c r="DL43" s="14">
        <f t="shared" si="37"/>
        <v>259</v>
      </c>
      <c r="DM43" s="14">
        <f t="shared" si="38"/>
        <v>130</v>
      </c>
      <c r="DN43" s="14">
        <f t="shared" si="39"/>
        <v>2593</v>
      </c>
      <c r="DO43" s="14">
        <f t="shared" si="109"/>
        <v>6475</v>
      </c>
      <c r="DP43" s="14">
        <f t="shared" si="110"/>
        <v>3250</v>
      </c>
      <c r="DQ43" s="14">
        <f t="shared" si="111"/>
        <v>64825</v>
      </c>
      <c r="DR43" s="14">
        <f t="shared" si="42"/>
        <v>20826</v>
      </c>
      <c r="DS43" s="14">
        <f t="shared" si="43"/>
        <v>10365</v>
      </c>
      <c r="DT43" s="14">
        <f t="shared" si="44"/>
        <v>197423</v>
      </c>
      <c r="DU43" s="33"/>
      <c r="DV43" s="33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13"/>
      <c r="B44" s="13">
        <v>17</v>
      </c>
      <c r="C44" s="13">
        <v>1</v>
      </c>
      <c r="D44" s="13">
        <v>10</v>
      </c>
      <c r="E44" s="13">
        <v>25</v>
      </c>
      <c r="F44" s="13">
        <f t="shared" si="112"/>
        <v>0.6</v>
      </c>
      <c r="G44" s="33"/>
      <c r="H44" s="33"/>
      <c r="I44" s="13">
        <v>38</v>
      </c>
      <c r="J44" s="13">
        <v>104</v>
      </c>
      <c r="K44" s="13" t="s">
        <v>436</v>
      </c>
      <c r="L44" s="13">
        <v>33</v>
      </c>
      <c r="M44" s="13">
        <v>14</v>
      </c>
      <c r="N44" s="13" t="s">
        <v>437</v>
      </c>
      <c r="O44" s="13">
        <v>117</v>
      </c>
      <c r="P44" s="13" t="s">
        <v>439</v>
      </c>
      <c r="Q44" s="13">
        <v>39</v>
      </c>
      <c r="R44" s="13">
        <v>16</v>
      </c>
      <c r="S44" s="13" t="s">
        <v>439</v>
      </c>
      <c r="T44" s="13">
        <v>131</v>
      </c>
      <c r="U44" s="13" t="s">
        <v>439</v>
      </c>
      <c r="V44" s="13">
        <v>44</v>
      </c>
      <c r="W44" s="13">
        <v>17</v>
      </c>
      <c r="X44" s="13" t="s">
        <v>440</v>
      </c>
      <c r="Y44" s="33"/>
      <c r="Z44" s="33"/>
      <c r="AK44" s="13">
        <v>38</v>
      </c>
      <c r="AL44" s="13" t="str">
        <f t="shared" si="120"/>
        <v>大焦热 · 魂火2</v>
      </c>
      <c r="AM44" s="13">
        <f t="shared" si="121"/>
        <v>16</v>
      </c>
      <c r="AN44" s="13">
        <v>2</v>
      </c>
      <c r="AO44" s="13">
        <v>113</v>
      </c>
      <c r="AP44" s="49"/>
      <c r="AQ44" s="32"/>
      <c r="AR44" s="33"/>
      <c r="AS44" s="13">
        <v>39</v>
      </c>
      <c r="AT44" s="13">
        <v>3</v>
      </c>
      <c r="AU44" s="13">
        <v>19</v>
      </c>
      <c r="AV44" s="13" t="s">
        <v>442</v>
      </c>
      <c r="AW44" s="13">
        <v>132</v>
      </c>
      <c r="AX44" s="14">
        <f t="shared" si="101"/>
        <v>8</v>
      </c>
      <c r="AY44" s="13">
        <v>140</v>
      </c>
      <c r="AZ44" s="14">
        <f t="shared" si="102"/>
        <v>19726</v>
      </c>
      <c r="BA44" s="14">
        <f t="shared" si="103"/>
        <v>9824</v>
      </c>
      <c r="BB44" s="14">
        <f t="shared" si="104"/>
        <v>186440</v>
      </c>
      <c r="BC44" s="13">
        <v>40</v>
      </c>
      <c r="BD44" s="13">
        <f t="shared" si="15"/>
        <v>20</v>
      </c>
      <c r="BE44" s="14">
        <f t="shared" si="16"/>
        <v>400</v>
      </c>
      <c r="BF44" s="14">
        <f t="shared" si="105"/>
        <v>320</v>
      </c>
      <c r="BG44" s="14">
        <f t="shared" si="106"/>
        <v>160</v>
      </c>
      <c r="BH44" s="14">
        <f t="shared" si="107"/>
        <v>3200</v>
      </c>
      <c r="BI44" s="26">
        <v>4.5600000000000002E-2</v>
      </c>
      <c r="BJ44" s="26">
        <f t="shared" si="97"/>
        <v>4.4932735426008966E-2</v>
      </c>
      <c r="BK44" s="14">
        <f t="shared" si="89"/>
        <v>900</v>
      </c>
      <c r="BL44" s="14">
        <f t="shared" si="17"/>
        <v>450</v>
      </c>
      <c r="BM44" s="14">
        <f t="shared" si="18"/>
        <v>9000</v>
      </c>
      <c r="BN44" s="13">
        <v>3</v>
      </c>
      <c r="BO44" s="26">
        <v>7.6050000000000006E-2</v>
      </c>
      <c r="BP44" s="26">
        <f t="shared" si="98"/>
        <v>7.3991031390134535E-2</v>
      </c>
      <c r="BQ44" s="14">
        <f t="shared" si="90"/>
        <v>1500</v>
      </c>
      <c r="BR44" s="14">
        <f t="shared" si="19"/>
        <v>750</v>
      </c>
      <c r="BS44" s="14">
        <f t="shared" si="20"/>
        <v>15000</v>
      </c>
      <c r="BT44" s="14">
        <f t="shared" si="91"/>
        <v>24246</v>
      </c>
      <c r="BU44" s="14">
        <f t="shared" si="92"/>
        <v>12084</v>
      </c>
      <c r="BV44" s="14">
        <f t="shared" si="93"/>
        <v>231640</v>
      </c>
      <c r="BW44" s="33"/>
      <c r="BX44" s="13">
        <v>8</v>
      </c>
      <c r="BY44" s="14">
        <f t="shared" si="21"/>
        <v>4520</v>
      </c>
      <c r="BZ44" s="14">
        <f t="shared" si="22"/>
        <v>2260</v>
      </c>
      <c r="CA44" s="14">
        <f t="shared" si="23"/>
        <v>45200</v>
      </c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13">
        <v>39</v>
      </c>
      <c r="CY44" s="13">
        <v>3</v>
      </c>
      <c r="CZ44" s="13">
        <v>19</v>
      </c>
      <c r="DA44" s="13">
        <v>8</v>
      </c>
      <c r="DB44" s="13" t="s">
        <v>442</v>
      </c>
      <c r="DC44" s="13">
        <v>135</v>
      </c>
      <c r="DD44" s="13">
        <v>135</v>
      </c>
      <c r="DE44" s="24">
        <v>0.2</v>
      </c>
      <c r="DF44" s="14">
        <f t="shared" si="108"/>
        <v>20826</v>
      </c>
      <c r="DG44" s="14">
        <f t="shared" si="99"/>
        <v>10365</v>
      </c>
      <c r="DH44" s="14">
        <f t="shared" si="100"/>
        <v>197423</v>
      </c>
      <c r="DI44" s="14">
        <f t="shared" si="34"/>
        <v>1042</v>
      </c>
      <c r="DJ44" s="14">
        <f t="shared" si="35"/>
        <v>521</v>
      </c>
      <c r="DK44" s="14">
        <f t="shared" si="36"/>
        <v>10420</v>
      </c>
      <c r="DL44" s="14">
        <f t="shared" si="37"/>
        <v>486</v>
      </c>
      <c r="DM44" s="14">
        <f t="shared" si="38"/>
        <v>243</v>
      </c>
      <c r="DN44" s="14">
        <f t="shared" si="39"/>
        <v>4863</v>
      </c>
      <c r="DO44" s="14">
        <f t="shared" si="109"/>
        <v>0</v>
      </c>
      <c r="DP44" s="14">
        <f t="shared" si="110"/>
        <v>0</v>
      </c>
      <c r="DQ44" s="14">
        <f t="shared" si="111"/>
        <v>0</v>
      </c>
      <c r="DR44" s="14">
        <f t="shared" si="42"/>
        <v>21868</v>
      </c>
      <c r="DS44" s="14">
        <f t="shared" si="43"/>
        <v>10886</v>
      </c>
      <c r="DT44" s="14">
        <f t="shared" si="44"/>
        <v>207843</v>
      </c>
      <c r="DU44" s="33"/>
      <c r="DV44" s="33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13"/>
      <c r="B45" s="13">
        <v>18</v>
      </c>
      <c r="C45" s="13">
        <v>1</v>
      </c>
      <c r="D45" s="13">
        <v>10</v>
      </c>
      <c r="E45" s="13">
        <v>25</v>
      </c>
      <c r="F45" s="13">
        <f t="shared" si="112"/>
        <v>0.6</v>
      </c>
      <c r="G45" s="33"/>
      <c r="H45" s="33"/>
      <c r="I45" s="13">
        <v>39</v>
      </c>
      <c r="J45" s="13">
        <v>106</v>
      </c>
      <c r="K45" s="13" t="s">
        <v>436</v>
      </c>
      <c r="L45" s="13">
        <v>34</v>
      </c>
      <c r="M45" s="13">
        <v>14</v>
      </c>
      <c r="N45" s="13" t="s">
        <v>437</v>
      </c>
      <c r="O45" s="13">
        <v>118</v>
      </c>
      <c r="P45" s="13" t="s">
        <v>439</v>
      </c>
      <c r="Q45" s="13">
        <v>39</v>
      </c>
      <c r="R45" s="13">
        <v>16</v>
      </c>
      <c r="S45" s="13" t="s">
        <v>439</v>
      </c>
      <c r="T45" s="13">
        <v>132</v>
      </c>
      <c r="U45" s="13" t="s">
        <v>439</v>
      </c>
      <c r="V45" s="13">
        <v>45</v>
      </c>
      <c r="W45" s="13">
        <v>18</v>
      </c>
      <c r="X45" s="13" t="s">
        <v>441</v>
      </c>
      <c r="Y45" s="33"/>
      <c r="Z45" s="33"/>
      <c r="AK45" s="13">
        <v>39</v>
      </c>
      <c r="AL45" s="13" t="str">
        <f t="shared" si="120"/>
        <v>大焦热 · 魂火3</v>
      </c>
      <c r="AM45" s="13">
        <f t="shared" si="121"/>
        <v>16</v>
      </c>
      <c r="AN45" s="13">
        <v>3</v>
      </c>
      <c r="AO45" s="13">
        <v>115</v>
      </c>
      <c r="AP45" s="49"/>
      <c r="AQ45" s="32"/>
      <c r="AR45" s="33"/>
      <c r="AS45" s="13">
        <v>40</v>
      </c>
      <c r="AT45" s="13">
        <v>3</v>
      </c>
      <c r="AU45" s="13">
        <v>20</v>
      </c>
      <c r="AV45" s="13" t="s">
        <v>443</v>
      </c>
      <c r="AW45" s="13">
        <v>140</v>
      </c>
      <c r="AX45" s="14">
        <f t="shared" si="101"/>
        <v>10</v>
      </c>
      <c r="AY45" s="13">
        <v>150</v>
      </c>
      <c r="AZ45" s="14">
        <f t="shared" si="102"/>
        <v>24246</v>
      </c>
      <c r="BA45" s="14">
        <f t="shared" si="103"/>
        <v>12084</v>
      </c>
      <c r="BB45" s="14">
        <f t="shared" si="104"/>
        <v>231640</v>
      </c>
      <c r="BC45" s="13">
        <v>40</v>
      </c>
      <c r="BD45" s="13">
        <f t="shared" si="15"/>
        <v>20</v>
      </c>
      <c r="BE45" s="14">
        <f t="shared" si="16"/>
        <v>400</v>
      </c>
      <c r="BF45" s="14">
        <f t="shared" si="105"/>
        <v>400</v>
      </c>
      <c r="BG45" s="14">
        <f t="shared" si="106"/>
        <v>200</v>
      </c>
      <c r="BH45" s="14">
        <f t="shared" si="107"/>
        <v>4000</v>
      </c>
      <c r="BI45" s="26">
        <v>4.1250000000000002E-2</v>
      </c>
      <c r="BJ45" s="26">
        <f t="shared" si="97"/>
        <v>4.2466367713004487E-2</v>
      </c>
      <c r="BK45" s="14">
        <f t="shared" si="89"/>
        <v>1000</v>
      </c>
      <c r="BL45" s="14">
        <f t="shared" si="17"/>
        <v>500</v>
      </c>
      <c r="BM45" s="14">
        <f t="shared" si="18"/>
        <v>10000</v>
      </c>
      <c r="BN45" s="13">
        <v>4</v>
      </c>
      <c r="BO45" s="26">
        <v>6.1859999999999998E-2</v>
      </c>
      <c r="BP45" s="26">
        <f t="shared" si="98"/>
        <v>6.3721973094170409E-2</v>
      </c>
      <c r="BQ45" s="14">
        <f t="shared" si="90"/>
        <v>1500</v>
      </c>
      <c r="BR45" s="14">
        <f t="shared" si="19"/>
        <v>750</v>
      </c>
      <c r="BS45" s="14">
        <f t="shared" si="20"/>
        <v>15000</v>
      </c>
      <c r="BT45" s="14">
        <f t="shared" si="91"/>
        <v>30146</v>
      </c>
      <c r="BU45" s="14">
        <f t="shared" si="92"/>
        <v>15034</v>
      </c>
      <c r="BV45" s="14">
        <f t="shared" si="93"/>
        <v>290640</v>
      </c>
      <c r="BW45" s="33"/>
      <c r="BX45" s="13">
        <v>8</v>
      </c>
      <c r="BY45" s="14">
        <f t="shared" si="21"/>
        <v>5900</v>
      </c>
      <c r="BZ45" s="14">
        <f t="shared" si="22"/>
        <v>2950</v>
      </c>
      <c r="CA45" s="14">
        <f t="shared" si="23"/>
        <v>59000</v>
      </c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13">
        <v>40</v>
      </c>
      <c r="CY45" s="13">
        <v>3</v>
      </c>
      <c r="CZ45" s="13">
        <v>20</v>
      </c>
      <c r="DA45" s="13">
        <v>8</v>
      </c>
      <c r="DB45" s="13" t="s">
        <v>443</v>
      </c>
      <c r="DC45" s="13">
        <v>135</v>
      </c>
      <c r="DD45" s="13">
        <v>150</v>
      </c>
      <c r="DE45" s="24">
        <v>0.2</v>
      </c>
      <c r="DF45" s="14">
        <f t="shared" si="108"/>
        <v>21868</v>
      </c>
      <c r="DG45" s="14">
        <f t="shared" si="99"/>
        <v>10886</v>
      </c>
      <c r="DH45" s="14">
        <f t="shared" si="100"/>
        <v>207843</v>
      </c>
      <c r="DI45" s="14">
        <f t="shared" si="34"/>
        <v>1042</v>
      </c>
      <c r="DJ45" s="14">
        <f t="shared" si="35"/>
        <v>521</v>
      </c>
      <c r="DK45" s="14">
        <f t="shared" si="36"/>
        <v>10420</v>
      </c>
      <c r="DL45" s="14">
        <f t="shared" si="37"/>
        <v>486</v>
      </c>
      <c r="DM45" s="14">
        <f t="shared" si="38"/>
        <v>243</v>
      </c>
      <c r="DN45" s="14">
        <f t="shared" si="39"/>
        <v>4863</v>
      </c>
      <c r="DO45" s="14">
        <f t="shared" si="109"/>
        <v>7290</v>
      </c>
      <c r="DP45" s="14">
        <f t="shared" si="110"/>
        <v>3645</v>
      </c>
      <c r="DQ45" s="14">
        <f t="shared" si="111"/>
        <v>72945</v>
      </c>
      <c r="DR45" s="14">
        <f t="shared" si="42"/>
        <v>30200</v>
      </c>
      <c r="DS45" s="14">
        <f t="shared" si="43"/>
        <v>15052</v>
      </c>
      <c r="DT45" s="14">
        <f t="shared" si="44"/>
        <v>291208</v>
      </c>
      <c r="DU45" s="33"/>
      <c r="DV45" s="33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13"/>
      <c r="B46" s="13">
        <v>19</v>
      </c>
      <c r="C46" s="13">
        <v>1</v>
      </c>
      <c r="D46" s="13">
        <v>10</v>
      </c>
      <c r="E46" s="13">
        <v>25</v>
      </c>
      <c r="F46" s="13">
        <f t="shared" si="112"/>
        <v>0.6</v>
      </c>
      <c r="G46" s="33"/>
      <c r="H46" s="33"/>
      <c r="I46" s="13">
        <v>40</v>
      </c>
      <c r="J46" s="13">
        <v>107</v>
      </c>
      <c r="K46" s="13" t="s">
        <v>436</v>
      </c>
      <c r="L46" s="13">
        <v>35</v>
      </c>
      <c r="M46" s="13">
        <v>14</v>
      </c>
      <c r="N46" s="13" t="s">
        <v>437</v>
      </c>
      <c r="O46" s="13">
        <v>119</v>
      </c>
      <c r="P46" s="13" t="s">
        <v>439</v>
      </c>
      <c r="Q46" s="13">
        <v>39</v>
      </c>
      <c r="R46" s="13">
        <v>16</v>
      </c>
      <c r="S46" s="13" t="s">
        <v>439</v>
      </c>
      <c r="T46" s="13">
        <v>133</v>
      </c>
      <c r="U46" s="13" t="s">
        <v>439</v>
      </c>
      <c r="V46" s="13">
        <v>45</v>
      </c>
      <c r="W46" s="13">
        <v>18</v>
      </c>
      <c r="X46" s="13" t="s">
        <v>441</v>
      </c>
      <c r="Y46" s="33"/>
      <c r="Z46" s="33"/>
      <c r="AK46" s="13">
        <v>40</v>
      </c>
      <c r="AL46" s="13" t="str">
        <f t="shared" si="120"/>
        <v>大焦热+1 · 魂火1</v>
      </c>
      <c r="AM46" s="13">
        <f t="shared" si="121"/>
        <v>17</v>
      </c>
      <c r="AN46" s="13">
        <v>1</v>
      </c>
      <c r="AO46" s="13">
        <v>118</v>
      </c>
      <c r="AP46" s="49"/>
      <c r="AQ46" s="32"/>
      <c r="AR46" s="33"/>
      <c r="AS46" s="13">
        <v>41</v>
      </c>
      <c r="AT46" s="13">
        <v>4</v>
      </c>
      <c r="AU46" s="13">
        <v>1</v>
      </c>
      <c r="AV46" s="13" t="s">
        <v>424</v>
      </c>
      <c r="AW46" s="13">
        <v>1</v>
      </c>
      <c r="AX46" s="14">
        <f>AY46-AW46</f>
        <v>4</v>
      </c>
      <c r="AY46" s="13">
        <v>5</v>
      </c>
      <c r="AZ46" s="13">
        <v>200</v>
      </c>
      <c r="BA46" s="13">
        <v>25</v>
      </c>
      <c r="BB46" s="13">
        <v>800</v>
      </c>
      <c r="BC46" s="13">
        <v>12</v>
      </c>
      <c r="BD46" s="13">
        <f t="shared" si="15"/>
        <v>6</v>
      </c>
      <c r="BE46" s="14">
        <f t="shared" si="16"/>
        <v>72</v>
      </c>
      <c r="BF46" s="14">
        <f t="shared" ref="BF46:BF65" si="122">BC46*$AX46</f>
        <v>48</v>
      </c>
      <c r="BG46" s="14">
        <f t="shared" ref="BG46:BG65" si="123">BD46*$AX46</f>
        <v>24</v>
      </c>
      <c r="BH46" s="14">
        <f t="shared" ref="BH46:BH65" si="124">BE46*$AX46</f>
        <v>288</v>
      </c>
      <c r="BI46" s="26">
        <v>0.125</v>
      </c>
      <c r="BJ46" s="26">
        <f>BI26/1.13</f>
        <v>0.11905234334695822</v>
      </c>
      <c r="BK46" s="14">
        <f t="shared" ref="BK46:BK65" si="125">ROUND(AZ46*$BI46,0)</f>
        <v>25</v>
      </c>
      <c r="BL46" s="14">
        <f t="shared" si="17"/>
        <v>13</v>
      </c>
      <c r="BM46" s="14">
        <f t="shared" si="18"/>
        <v>150</v>
      </c>
      <c r="BN46" s="13">
        <v>1</v>
      </c>
      <c r="BO46" s="26">
        <v>0.17499999999999999</v>
      </c>
      <c r="BP46" s="26">
        <f t="shared" si="98"/>
        <v>0.17937219730941706</v>
      </c>
      <c r="BQ46" s="14">
        <f t="shared" ref="BQ46:BQ65" si="126">ROUND(AZ46*$BO46,0)</f>
        <v>35</v>
      </c>
      <c r="BR46" s="14">
        <f t="shared" si="19"/>
        <v>18</v>
      </c>
      <c r="BS46" s="14">
        <f t="shared" si="20"/>
        <v>210</v>
      </c>
      <c r="BT46" s="14">
        <f t="shared" ref="BT46:BT65" si="127">AZ46+BF46+BK46*$BN46+BQ46</f>
        <v>308</v>
      </c>
      <c r="BU46" s="14">
        <f t="shared" ref="BU46:BU65" si="128">BA46+BG46+BL46*$BN46+BR46</f>
        <v>80</v>
      </c>
      <c r="BV46" s="14">
        <f t="shared" ref="BV46:BV65" si="129">BB46+BH46+BM46*$BN46+BS46</f>
        <v>1448</v>
      </c>
      <c r="BW46" s="33">
        <f>ROUND(BU46*2.5/5,0)*5</f>
        <v>200</v>
      </c>
      <c r="BX46" s="13">
        <v>1</v>
      </c>
      <c r="BY46" s="14">
        <f t="shared" si="21"/>
        <v>108</v>
      </c>
      <c r="BZ46" s="14">
        <f t="shared" si="22"/>
        <v>55</v>
      </c>
      <c r="CA46" s="14">
        <f t="shared" si="23"/>
        <v>648</v>
      </c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13">
        <v>41</v>
      </c>
      <c r="CY46" s="13">
        <v>4</v>
      </c>
      <c r="CZ46" s="13">
        <v>1</v>
      </c>
      <c r="DA46" s="13">
        <v>1</v>
      </c>
      <c r="DB46" s="13" t="s">
        <v>424</v>
      </c>
      <c r="DC46" s="13">
        <v>1</v>
      </c>
      <c r="DD46" s="13">
        <v>10</v>
      </c>
      <c r="DE46" s="24">
        <v>0.2</v>
      </c>
      <c r="DF46" s="13">
        <v>200</v>
      </c>
      <c r="DG46" s="13">
        <v>20</v>
      </c>
      <c r="DH46" s="13">
        <f>500/12*15</f>
        <v>625</v>
      </c>
      <c r="DI46" s="14">
        <f t="shared" si="34"/>
        <v>11</v>
      </c>
      <c r="DJ46" s="14">
        <f t="shared" si="35"/>
        <v>6</v>
      </c>
      <c r="DK46" s="14">
        <f t="shared" si="36"/>
        <v>65</v>
      </c>
      <c r="DL46" s="14">
        <f t="shared" si="37"/>
        <v>11</v>
      </c>
      <c r="DM46" s="14">
        <f t="shared" si="38"/>
        <v>6</v>
      </c>
      <c r="DN46" s="14">
        <f t="shared" si="39"/>
        <v>65</v>
      </c>
      <c r="DO46" s="14">
        <f>DL46*($DD46-$DC46)</f>
        <v>99</v>
      </c>
      <c r="DP46" s="14">
        <f t="shared" si="110"/>
        <v>54</v>
      </c>
      <c r="DQ46" s="14">
        <f t="shared" si="111"/>
        <v>585</v>
      </c>
      <c r="DR46" s="14">
        <f t="shared" si="42"/>
        <v>310</v>
      </c>
      <c r="DS46" s="14">
        <f t="shared" si="43"/>
        <v>80</v>
      </c>
      <c r="DT46" s="14">
        <f t="shared" si="44"/>
        <v>1275</v>
      </c>
      <c r="DU46" s="33"/>
      <c r="DV46" s="33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13"/>
      <c r="B47" s="13">
        <v>20</v>
      </c>
      <c r="C47" s="13">
        <v>1</v>
      </c>
      <c r="D47" s="13">
        <v>10</v>
      </c>
      <c r="E47" s="13">
        <v>25</v>
      </c>
      <c r="F47" s="13">
        <f t="shared" si="112"/>
        <v>0.6</v>
      </c>
      <c r="G47" s="33"/>
      <c r="H47" s="33"/>
      <c r="I47" s="13">
        <v>41</v>
      </c>
      <c r="J47" s="13">
        <v>108</v>
      </c>
      <c r="K47" s="13" t="s">
        <v>436</v>
      </c>
      <c r="L47" s="13">
        <v>35</v>
      </c>
      <c r="M47" s="13">
        <v>14</v>
      </c>
      <c r="N47" s="13" t="s">
        <v>437</v>
      </c>
      <c r="O47" s="13">
        <v>121</v>
      </c>
      <c r="P47" s="13" t="s">
        <v>439</v>
      </c>
      <c r="Q47" s="13">
        <v>40</v>
      </c>
      <c r="R47" s="13">
        <v>16</v>
      </c>
      <c r="S47" s="13" t="s">
        <v>439</v>
      </c>
      <c r="T47" s="13">
        <v>134</v>
      </c>
      <c r="U47" s="13" t="s">
        <v>439</v>
      </c>
      <c r="V47" s="13">
        <v>45</v>
      </c>
      <c r="W47" s="13">
        <v>18</v>
      </c>
      <c r="X47" s="13" t="s">
        <v>441</v>
      </c>
      <c r="Y47" s="33"/>
      <c r="Z47" s="33"/>
      <c r="AK47" s="13">
        <v>41</v>
      </c>
      <c r="AL47" s="13" t="str">
        <f t="shared" si="120"/>
        <v>大焦热+1 · 魂火2</v>
      </c>
      <c r="AM47" s="13">
        <f t="shared" si="121"/>
        <v>17</v>
      </c>
      <c r="AN47" s="13">
        <v>2</v>
      </c>
      <c r="AO47" s="13">
        <v>120</v>
      </c>
      <c r="AP47" s="49"/>
      <c r="AQ47" s="32"/>
      <c r="AR47" s="33"/>
      <c r="AS47" s="13">
        <v>42</v>
      </c>
      <c r="AT47" s="13">
        <v>4</v>
      </c>
      <c r="AU47" s="13">
        <v>2</v>
      </c>
      <c r="AV47" s="13" t="s">
        <v>425</v>
      </c>
      <c r="AW47" s="13">
        <v>5</v>
      </c>
      <c r="AX47" s="14">
        <f>AY47-AW47</f>
        <v>10</v>
      </c>
      <c r="AY47" s="13">
        <v>15</v>
      </c>
      <c r="AZ47" s="14">
        <f t="shared" ref="AZ47" si="130">BT46</f>
        <v>308</v>
      </c>
      <c r="BA47" s="14">
        <f t="shared" ref="BA47" si="131">BU46</f>
        <v>80</v>
      </c>
      <c r="BB47" s="14">
        <f t="shared" ref="BB47" si="132">BV46</f>
        <v>1448</v>
      </c>
      <c r="BC47" s="13">
        <v>15</v>
      </c>
      <c r="BD47" s="13">
        <f t="shared" si="15"/>
        <v>8</v>
      </c>
      <c r="BE47" s="14">
        <f t="shared" si="16"/>
        <v>90</v>
      </c>
      <c r="BF47" s="14">
        <f t="shared" si="122"/>
        <v>150</v>
      </c>
      <c r="BG47" s="14">
        <f t="shared" si="123"/>
        <v>80</v>
      </c>
      <c r="BH47" s="14">
        <f t="shared" si="124"/>
        <v>900</v>
      </c>
      <c r="BI47" s="26">
        <v>9.8000000000000004E-2</v>
      </c>
      <c r="BJ47" s="26">
        <f t="shared" ref="BJ47:BJ65" si="133">BI27/1.13</f>
        <v>9.5575221238938066E-2</v>
      </c>
      <c r="BK47" s="14">
        <f t="shared" si="125"/>
        <v>30</v>
      </c>
      <c r="BL47" s="14">
        <f t="shared" si="17"/>
        <v>15</v>
      </c>
      <c r="BM47" s="14">
        <f t="shared" si="18"/>
        <v>180</v>
      </c>
      <c r="BN47" s="13">
        <v>2</v>
      </c>
      <c r="BO47" s="26">
        <v>0.13</v>
      </c>
      <c r="BP47" s="26">
        <f t="shared" si="98"/>
        <v>0.15426008968609864</v>
      </c>
      <c r="BQ47" s="14">
        <f t="shared" si="126"/>
        <v>40</v>
      </c>
      <c r="BR47" s="14">
        <f t="shared" si="19"/>
        <v>20</v>
      </c>
      <c r="BS47" s="14">
        <f t="shared" si="20"/>
        <v>240</v>
      </c>
      <c r="BT47" s="14">
        <f t="shared" si="127"/>
        <v>558</v>
      </c>
      <c r="BU47" s="14">
        <f t="shared" si="128"/>
        <v>210</v>
      </c>
      <c r="BV47" s="14">
        <f t="shared" si="129"/>
        <v>2948</v>
      </c>
      <c r="BW47" s="33">
        <f t="shared" ref="BW47" si="134">ROUND(BU47*2.5/5,0)*5</f>
        <v>525</v>
      </c>
      <c r="BX47" s="13">
        <v>2</v>
      </c>
      <c r="BY47" s="14">
        <f t="shared" si="21"/>
        <v>250</v>
      </c>
      <c r="BZ47" s="14">
        <f t="shared" si="22"/>
        <v>130</v>
      </c>
      <c r="CA47" s="14">
        <f t="shared" si="23"/>
        <v>1500</v>
      </c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13">
        <v>42</v>
      </c>
      <c r="CY47" s="13">
        <v>4</v>
      </c>
      <c r="CZ47" s="13">
        <v>2</v>
      </c>
      <c r="DA47" s="13">
        <v>2</v>
      </c>
      <c r="DB47" s="13" t="s">
        <v>425</v>
      </c>
      <c r="DC47" s="13">
        <v>10</v>
      </c>
      <c r="DD47" s="13">
        <v>10</v>
      </c>
      <c r="DE47" s="24">
        <v>0.2</v>
      </c>
      <c r="DF47" s="14">
        <f>DF46+DI46+DO46</f>
        <v>310</v>
      </c>
      <c r="DG47" s="14">
        <f t="shared" ref="DG47:DG65" si="135">DG46+DJ46+DP46</f>
        <v>80</v>
      </c>
      <c r="DH47" s="14">
        <f t="shared" ref="DH47:DH65" si="136">DH46+DK46+DQ46</f>
        <v>1275</v>
      </c>
      <c r="DI47" s="14">
        <f t="shared" si="34"/>
        <v>55</v>
      </c>
      <c r="DJ47" s="14">
        <f t="shared" si="35"/>
        <v>29</v>
      </c>
      <c r="DK47" s="14">
        <f t="shared" si="36"/>
        <v>330</v>
      </c>
      <c r="DL47" s="14">
        <f t="shared" si="37"/>
        <v>22</v>
      </c>
      <c r="DM47" s="14">
        <f t="shared" si="38"/>
        <v>11</v>
      </c>
      <c r="DN47" s="14">
        <f t="shared" si="39"/>
        <v>132</v>
      </c>
      <c r="DO47" s="14">
        <f>DL47*($DD47-$DC47)</f>
        <v>0</v>
      </c>
      <c r="DP47" s="14">
        <f t="shared" si="110"/>
        <v>0</v>
      </c>
      <c r="DQ47" s="14">
        <f t="shared" si="111"/>
        <v>0</v>
      </c>
      <c r="DR47" s="14">
        <f t="shared" si="42"/>
        <v>365</v>
      </c>
      <c r="DS47" s="14">
        <f t="shared" si="43"/>
        <v>109</v>
      </c>
      <c r="DT47" s="14">
        <f t="shared" si="44"/>
        <v>1605</v>
      </c>
      <c r="DU47" s="33"/>
      <c r="DV47" s="33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3"/>
      <c r="B48" s="33"/>
      <c r="C48" s="33"/>
      <c r="D48" s="33"/>
      <c r="E48" s="33"/>
      <c r="F48" s="33"/>
      <c r="G48" s="33"/>
      <c r="H48" s="33"/>
      <c r="I48" s="13">
        <v>42</v>
      </c>
      <c r="J48" s="13">
        <v>109</v>
      </c>
      <c r="K48" s="13" t="s">
        <v>436</v>
      </c>
      <c r="L48" s="13">
        <v>35</v>
      </c>
      <c r="M48" s="13">
        <v>14</v>
      </c>
      <c r="N48" s="13" t="s">
        <v>437</v>
      </c>
      <c r="O48" s="13">
        <v>122</v>
      </c>
      <c r="P48" s="13" t="s">
        <v>439</v>
      </c>
      <c r="Q48" s="13">
        <v>41</v>
      </c>
      <c r="R48" s="13">
        <v>16</v>
      </c>
      <c r="S48" s="13" t="s">
        <v>439</v>
      </c>
      <c r="T48" s="13">
        <v>134</v>
      </c>
      <c r="U48" s="13" t="s">
        <v>439</v>
      </c>
      <c r="V48" s="13">
        <v>45</v>
      </c>
      <c r="W48" s="13">
        <v>18</v>
      </c>
      <c r="X48" s="13" t="s">
        <v>441</v>
      </c>
      <c r="Y48" s="33"/>
      <c r="Z48" s="33"/>
      <c r="AK48" s="13">
        <v>42</v>
      </c>
      <c r="AL48" s="13" t="str">
        <f t="shared" si="120"/>
        <v>大焦热+1 · 魂火3</v>
      </c>
      <c r="AM48" s="13">
        <f t="shared" si="121"/>
        <v>17</v>
      </c>
      <c r="AN48" s="13">
        <v>3</v>
      </c>
      <c r="AO48" s="13">
        <v>123</v>
      </c>
      <c r="AP48" s="49"/>
      <c r="AQ48" s="32"/>
      <c r="AR48" s="33"/>
      <c r="AS48" s="13">
        <v>43</v>
      </c>
      <c r="AT48" s="13">
        <v>4</v>
      </c>
      <c r="AU48" s="13">
        <v>3</v>
      </c>
      <c r="AV48" s="13" t="s">
        <v>426</v>
      </c>
      <c r="AW48" s="13">
        <v>15</v>
      </c>
      <c r="AX48" s="14">
        <f t="shared" ref="AX48:AX65" si="137">AY48-AW48</f>
        <v>10</v>
      </c>
      <c r="AY48" s="13">
        <v>25</v>
      </c>
      <c r="AZ48" s="14">
        <f t="shared" ref="AZ48:AZ65" si="138">BT47</f>
        <v>558</v>
      </c>
      <c r="BA48" s="14">
        <f t="shared" ref="BA48:BA65" si="139">BU47</f>
        <v>210</v>
      </c>
      <c r="BB48" s="14">
        <f t="shared" ref="BB48:BB65" si="140">BV47</f>
        <v>2948</v>
      </c>
      <c r="BC48" s="13">
        <v>15</v>
      </c>
      <c r="BD48" s="13">
        <f t="shared" si="15"/>
        <v>8</v>
      </c>
      <c r="BE48" s="14">
        <f t="shared" si="16"/>
        <v>90</v>
      </c>
      <c r="BF48" s="14">
        <f t="shared" si="122"/>
        <v>150</v>
      </c>
      <c r="BG48" s="14">
        <f t="shared" si="123"/>
        <v>80</v>
      </c>
      <c r="BH48" s="14">
        <f t="shared" si="124"/>
        <v>900</v>
      </c>
      <c r="BI48" s="26">
        <v>6.3E-2</v>
      </c>
      <c r="BJ48" s="26">
        <f t="shared" si="133"/>
        <v>6.3716814159292035E-2</v>
      </c>
      <c r="BK48" s="14">
        <f t="shared" si="125"/>
        <v>35</v>
      </c>
      <c r="BL48" s="14">
        <f t="shared" si="17"/>
        <v>18</v>
      </c>
      <c r="BM48" s="14">
        <f t="shared" si="18"/>
        <v>210</v>
      </c>
      <c r="BN48" s="13">
        <v>2</v>
      </c>
      <c r="BO48" s="26">
        <v>0.14299999999999999</v>
      </c>
      <c r="BP48" s="26">
        <f t="shared" si="98"/>
        <v>0.14887892376681616</v>
      </c>
      <c r="BQ48" s="14">
        <f t="shared" si="126"/>
        <v>80</v>
      </c>
      <c r="BR48" s="14">
        <f t="shared" si="19"/>
        <v>40</v>
      </c>
      <c r="BS48" s="14">
        <f t="shared" si="20"/>
        <v>480</v>
      </c>
      <c r="BT48" s="14">
        <f t="shared" si="127"/>
        <v>858</v>
      </c>
      <c r="BU48" s="14">
        <f t="shared" si="128"/>
        <v>366</v>
      </c>
      <c r="BV48" s="14">
        <f t="shared" si="129"/>
        <v>4748</v>
      </c>
      <c r="BW48" s="33">
        <f>ROUND(BU48*2.5/50,0)*50</f>
        <v>900</v>
      </c>
      <c r="BX48" s="13">
        <v>2</v>
      </c>
      <c r="BY48" s="14">
        <f t="shared" si="21"/>
        <v>300</v>
      </c>
      <c r="BZ48" s="14">
        <f t="shared" si="22"/>
        <v>156</v>
      </c>
      <c r="CA48" s="14">
        <f t="shared" si="23"/>
        <v>1800</v>
      </c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13">
        <v>43</v>
      </c>
      <c r="CY48" s="13">
        <v>4</v>
      </c>
      <c r="CZ48" s="13">
        <v>3</v>
      </c>
      <c r="DA48" s="13">
        <v>2</v>
      </c>
      <c r="DB48" s="13" t="s">
        <v>426</v>
      </c>
      <c r="DC48" s="13">
        <v>10</v>
      </c>
      <c r="DD48" s="13">
        <v>20</v>
      </c>
      <c r="DE48" s="24">
        <v>0.2</v>
      </c>
      <c r="DF48" s="14">
        <f t="shared" ref="DF48:DF65" si="141">DF47+DI47+DO47</f>
        <v>365</v>
      </c>
      <c r="DG48" s="14">
        <f t="shared" si="135"/>
        <v>109</v>
      </c>
      <c r="DH48" s="14">
        <f t="shared" si="136"/>
        <v>1605</v>
      </c>
      <c r="DI48" s="14">
        <f t="shared" si="34"/>
        <v>55</v>
      </c>
      <c r="DJ48" s="14">
        <f t="shared" si="35"/>
        <v>29</v>
      </c>
      <c r="DK48" s="14">
        <f t="shared" si="36"/>
        <v>330</v>
      </c>
      <c r="DL48" s="14">
        <f t="shared" si="37"/>
        <v>22</v>
      </c>
      <c r="DM48" s="14">
        <f t="shared" si="38"/>
        <v>11</v>
      </c>
      <c r="DN48" s="14">
        <f t="shared" si="39"/>
        <v>132</v>
      </c>
      <c r="DO48" s="14">
        <f t="shared" ref="DO48:DO65" si="142">DL48*($DD48-$DC48)</f>
        <v>220</v>
      </c>
      <c r="DP48" s="14">
        <f t="shared" ref="DP48:DP67" si="143">DM48*($DD48-$DC48)</f>
        <v>110</v>
      </c>
      <c r="DQ48" s="14">
        <f t="shared" ref="DQ48:DQ67" si="144">DN48*($DD48-$DC48)</f>
        <v>1320</v>
      </c>
      <c r="DR48" s="14">
        <f t="shared" si="42"/>
        <v>640</v>
      </c>
      <c r="DS48" s="14">
        <f t="shared" si="43"/>
        <v>248</v>
      </c>
      <c r="DT48" s="14">
        <f t="shared" si="44"/>
        <v>3255</v>
      </c>
      <c r="DU48" s="33"/>
      <c r="DV48" s="33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3"/>
      <c r="B49" s="33"/>
      <c r="C49" s="33"/>
      <c r="D49" s="33"/>
      <c r="E49" s="33"/>
      <c r="F49" s="33"/>
      <c r="G49" s="33"/>
      <c r="H49" s="33"/>
      <c r="I49" s="13">
        <v>43</v>
      </c>
      <c r="J49" s="13">
        <v>109</v>
      </c>
      <c r="K49" s="13" t="s">
        <v>436</v>
      </c>
      <c r="L49" s="13">
        <v>35</v>
      </c>
      <c r="M49" s="13">
        <v>14</v>
      </c>
      <c r="N49" s="13" t="s">
        <v>437</v>
      </c>
      <c r="O49" s="13">
        <v>123</v>
      </c>
      <c r="P49" s="13" t="s">
        <v>439</v>
      </c>
      <c r="Q49" s="13">
        <v>41</v>
      </c>
      <c r="R49" s="13">
        <v>16</v>
      </c>
      <c r="S49" s="13" t="s">
        <v>439</v>
      </c>
      <c r="T49" s="13">
        <v>136</v>
      </c>
      <c r="U49" s="13" t="s">
        <v>442</v>
      </c>
      <c r="V49" s="13">
        <v>46</v>
      </c>
      <c r="W49" s="13">
        <v>18</v>
      </c>
      <c r="X49" s="13" t="s">
        <v>441</v>
      </c>
      <c r="Y49" s="33"/>
      <c r="Z49" s="33"/>
      <c r="AK49" s="13">
        <v>43</v>
      </c>
      <c r="AL49" s="13" t="str">
        <f t="shared" si="120"/>
        <v>大焦热+2 · 魂火1</v>
      </c>
      <c r="AM49" s="13">
        <f t="shared" si="121"/>
        <v>18</v>
      </c>
      <c r="AN49" s="13">
        <v>1</v>
      </c>
      <c r="AO49" s="13">
        <v>125</v>
      </c>
      <c r="AP49" s="49"/>
      <c r="AQ49" s="32"/>
      <c r="AR49" s="33"/>
      <c r="AS49" s="13">
        <v>44</v>
      </c>
      <c r="AT49" s="13">
        <v>4</v>
      </c>
      <c r="AU49" s="13">
        <v>4</v>
      </c>
      <c r="AV49" s="13" t="s">
        <v>427</v>
      </c>
      <c r="AW49" s="13">
        <v>25</v>
      </c>
      <c r="AX49" s="14">
        <f t="shared" si="137"/>
        <v>10</v>
      </c>
      <c r="AY49" s="13">
        <v>35</v>
      </c>
      <c r="AZ49" s="14">
        <f t="shared" si="138"/>
        <v>858</v>
      </c>
      <c r="BA49" s="14">
        <f t="shared" si="139"/>
        <v>366</v>
      </c>
      <c r="BB49" s="14">
        <f t="shared" si="140"/>
        <v>4748</v>
      </c>
      <c r="BC49" s="13">
        <v>20</v>
      </c>
      <c r="BD49" s="13">
        <f t="shared" si="15"/>
        <v>10</v>
      </c>
      <c r="BE49" s="14">
        <f t="shared" si="16"/>
        <v>140</v>
      </c>
      <c r="BF49" s="14">
        <f t="shared" si="122"/>
        <v>200</v>
      </c>
      <c r="BG49" s="14">
        <f t="shared" si="123"/>
        <v>100</v>
      </c>
      <c r="BH49" s="14">
        <f t="shared" si="124"/>
        <v>1400</v>
      </c>
      <c r="BI49" s="26">
        <v>5.2999999999999999E-2</v>
      </c>
      <c r="BJ49" s="26">
        <f t="shared" si="133"/>
        <v>5.4867256637168148E-2</v>
      </c>
      <c r="BK49" s="14">
        <f t="shared" si="125"/>
        <v>45</v>
      </c>
      <c r="BL49" s="14">
        <f t="shared" si="17"/>
        <v>23</v>
      </c>
      <c r="BM49" s="14">
        <f t="shared" si="18"/>
        <v>315</v>
      </c>
      <c r="BN49" s="13">
        <v>2</v>
      </c>
      <c r="BO49" s="26">
        <v>0.11700000000000001</v>
      </c>
      <c r="BP49" s="26">
        <f t="shared" si="98"/>
        <v>0.1031390134529148</v>
      </c>
      <c r="BQ49" s="14">
        <f t="shared" si="126"/>
        <v>100</v>
      </c>
      <c r="BR49" s="14">
        <f t="shared" si="19"/>
        <v>50</v>
      </c>
      <c r="BS49" s="14">
        <f t="shared" si="20"/>
        <v>700</v>
      </c>
      <c r="BT49" s="14">
        <f t="shared" si="127"/>
        <v>1248</v>
      </c>
      <c r="BU49" s="14">
        <f t="shared" si="128"/>
        <v>562</v>
      </c>
      <c r="BV49" s="14">
        <f t="shared" si="129"/>
        <v>7478</v>
      </c>
      <c r="BW49" s="33">
        <f t="shared" ref="BW49" si="145">ROUND(BU49*2.5/50,0)*50</f>
        <v>1400</v>
      </c>
      <c r="BX49" s="13">
        <v>3</v>
      </c>
      <c r="BY49" s="14">
        <f t="shared" si="21"/>
        <v>390</v>
      </c>
      <c r="BZ49" s="14">
        <f t="shared" si="22"/>
        <v>196</v>
      </c>
      <c r="CA49" s="14">
        <f t="shared" si="23"/>
        <v>2730</v>
      </c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13">
        <v>44</v>
      </c>
      <c r="CY49" s="13">
        <v>4</v>
      </c>
      <c r="CZ49" s="13">
        <v>4</v>
      </c>
      <c r="DA49" s="13">
        <v>3</v>
      </c>
      <c r="DB49" s="13" t="s">
        <v>427</v>
      </c>
      <c r="DC49" s="13">
        <v>20</v>
      </c>
      <c r="DD49" s="13">
        <v>20</v>
      </c>
      <c r="DE49" s="24">
        <v>0.2</v>
      </c>
      <c r="DF49" s="14">
        <f t="shared" si="141"/>
        <v>640</v>
      </c>
      <c r="DG49" s="14">
        <f t="shared" si="135"/>
        <v>248</v>
      </c>
      <c r="DH49" s="14">
        <f t="shared" si="136"/>
        <v>3255</v>
      </c>
      <c r="DI49" s="14">
        <f t="shared" si="34"/>
        <v>114</v>
      </c>
      <c r="DJ49" s="14">
        <f t="shared" si="35"/>
        <v>57</v>
      </c>
      <c r="DK49" s="14">
        <f t="shared" si="36"/>
        <v>798</v>
      </c>
      <c r="DL49" s="14">
        <f t="shared" si="37"/>
        <v>40</v>
      </c>
      <c r="DM49" s="14">
        <f t="shared" si="38"/>
        <v>20</v>
      </c>
      <c r="DN49" s="14">
        <f t="shared" si="39"/>
        <v>279</v>
      </c>
      <c r="DO49" s="14">
        <f t="shared" si="142"/>
        <v>0</v>
      </c>
      <c r="DP49" s="14">
        <f t="shared" si="143"/>
        <v>0</v>
      </c>
      <c r="DQ49" s="14">
        <f t="shared" si="144"/>
        <v>0</v>
      </c>
      <c r="DR49" s="14">
        <f t="shared" si="42"/>
        <v>754</v>
      </c>
      <c r="DS49" s="14">
        <f t="shared" si="43"/>
        <v>305</v>
      </c>
      <c r="DT49" s="14">
        <f t="shared" si="44"/>
        <v>4053</v>
      </c>
      <c r="DU49" s="33"/>
      <c r="DV49" s="33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3"/>
      <c r="B50" s="33"/>
      <c r="C50" s="33"/>
      <c r="D50" s="33"/>
      <c r="E50" s="33"/>
      <c r="F50" s="33"/>
      <c r="G50" s="33"/>
      <c r="H50" s="33"/>
      <c r="I50" s="13">
        <v>44</v>
      </c>
      <c r="J50" s="13">
        <v>111</v>
      </c>
      <c r="K50" s="13" t="s">
        <v>439</v>
      </c>
      <c r="L50" s="13">
        <v>36</v>
      </c>
      <c r="M50" s="13">
        <v>15</v>
      </c>
      <c r="N50" s="13" t="s">
        <v>438</v>
      </c>
      <c r="O50" s="13">
        <v>124</v>
      </c>
      <c r="P50" s="13" t="s">
        <v>439</v>
      </c>
      <c r="Q50" s="13">
        <v>41</v>
      </c>
      <c r="R50" s="13">
        <v>16</v>
      </c>
      <c r="S50" s="13" t="s">
        <v>439</v>
      </c>
      <c r="T50" s="13">
        <v>137</v>
      </c>
      <c r="U50" s="13" t="s">
        <v>442</v>
      </c>
      <c r="V50" s="13">
        <v>47</v>
      </c>
      <c r="W50" s="13">
        <v>18</v>
      </c>
      <c r="X50" s="13" t="s">
        <v>441</v>
      </c>
      <c r="Y50" s="33"/>
      <c r="Z50" s="33"/>
      <c r="AK50" s="13">
        <v>44</v>
      </c>
      <c r="AL50" s="13" t="str">
        <f t="shared" si="120"/>
        <v>大焦热+2 · 魂火2</v>
      </c>
      <c r="AM50" s="13">
        <f t="shared" si="121"/>
        <v>18</v>
      </c>
      <c r="AN50" s="13">
        <v>2</v>
      </c>
      <c r="AO50" s="13">
        <v>128</v>
      </c>
      <c r="AP50" s="49"/>
      <c r="AQ50" s="32"/>
      <c r="AR50" s="33"/>
      <c r="AS50" s="13">
        <v>45</v>
      </c>
      <c r="AT50" s="13">
        <v>4</v>
      </c>
      <c r="AU50" s="13">
        <v>5</v>
      </c>
      <c r="AV50" s="13" t="s">
        <v>428</v>
      </c>
      <c r="AW50" s="13">
        <v>35</v>
      </c>
      <c r="AX50" s="14">
        <f t="shared" si="137"/>
        <v>7</v>
      </c>
      <c r="AY50" s="13">
        <v>42</v>
      </c>
      <c r="AZ50" s="14">
        <f t="shared" si="138"/>
        <v>1248</v>
      </c>
      <c r="BA50" s="14">
        <f t="shared" si="139"/>
        <v>562</v>
      </c>
      <c r="BB50" s="14">
        <f t="shared" si="140"/>
        <v>7478</v>
      </c>
      <c r="BC50" s="13">
        <v>20</v>
      </c>
      <c r="BD50" s="13">
        <f t="shared" si="15"/>
        <v>10</v>
      </c>
      <c r="BE50" s="14">
        <f t="shared" si="16"/>
        <v>140</v>
      </c>
      <c r="BF50" s="14">
        <f t="shared" si="122"/>
        <v>140</v>
      </c>
      <c r="BG50" s="14">
        <f t="shared" si="123"/>
        <v>70</v>
      </c>
      <c r="BH50" s="14">
        <f t="shared" si="124"/>
        <v>980</v>
      </c>
      <c r="BI50" s="26">
        <v>4.3999999999999997E-2</v>
      </c>
      <c r="BJ50" s="26">
        <f t="shared" si="133"/>
        <v>4.285884360490496E-2</v>
      </c>
      <c r="BK50" s="14">
        <f t="shared" si="125"/>
        <v>55</v>
      </c>
      <c r="BL50" s="14">
        <f t="shared" si="17"/>
        <v>28</v>
      </c>
      <c r="BM50" s="14">
        <f t="shared" si="18"/>
        <v>385</v>
      </c>
      <c r="BN50" s="13">
        <v>2</v>
      </c>
      <c r="BO50" s="26">
        <v>9.6000000000000002E-2</v>
      </c>
      <c r="BP50" s="26">
        <f t="shared" si="98"/>
        <v>9.6860986547085207E-2</v>
      </c>
      <c r="BQ50" s="14">
        <f t="shared" si="126"/>
        <v>120</v>
      </c>
      <c r="BR50" s="14">
        <f t="shared" si="19"/>
        <v>60</v>
      </c>
      <c r="BS50" s="14">
        <f t="shared" si="20"/>
        <v>840</v>
      </c>
      <c r="BT50" s="14">
        <f t="shared" si="127"/>
        <v>1618</v>
      </c>
      <c r="BU50" s="14">
        <f t="shared" si="128"/>
        <v>748</v>
      </c>
      <c r="BV50" s="14">
        <f t="shared" si="129"/>
        <v>10068</v>
      </c>
      <c r="BW50" s="33">
        <f>ROUND(BU50*2.5/100,0)*100</f>
        <v>1900</v>
      </c>
      <c r="BX50" s="13">
        <v>3</v>
      </c>
      <c r="BY50" s="14">
        <f t="shared" si="21"/>
        <v>370</v>
      </c>
      <c r="BZ50" s="14">
        <f t="shared" si="22"/>
        <v>186</v>
      </c>
      <c r="CA50" s="14">
        <f t="shared" si="23"/>
        <v>2590</v>
      </c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13">
        <v>45</v>
      </c>
      <c r="CY50" s="13">
        <v>4</v>
      </c>
      <c r="CZ50" s="13">
        <v>5</v>
      </c>
      <c r="DA50" s="13">
        <v>3</v>
      </c>
      <c r="DB50" s="13" t="s">
        <v>428</v>
      </c>
      <c r="DC50" s="13">
        <v>20</v>
      </c>
      <c r="DD50" s="13">
        <v>20</v>
      </c>
      <c r="DE50" s="24">
        <v>0.2</v>
      </c>
      <c r="DF50" s="14">
        <f t="shared" si="141"/>
        <v>754</v>
      </c>
      <c r="DG50" s="14">
        <f t="shared" si="135"/>
        <v>305</v>
      </c>
      <c r="DH50" s="14">
        <f t="shared" si="136"/>
        <v>4053</v>
      </c>
      <c r="DI50" s="14">
        <f t="shared" si="34"/>
        <v>114</v>
      </c>
      <c r="DJ50" s="14">
        <f t="shared" si="35"/>
        <v>57</v>
      </c>
      <c r="DK50" s="14">
        <f t="shared" si="36"/>
        <v>798</v>
      </c>
      <c r="DL50" s="14">
        <f t="shared" si="37"/>
        <v>40</v>
      </c>
      <c r="DM50" s="14">
        <f t="shared" si="38"/>
        <v>20</v>
      </c>
      <c r="DN50" s="14">
        <f t="shared" si="39"/>
        <v>279</v>
      </c>
      <c r="DO50" s="14">
        <f t="shared" si="142"/>
        <v>0</v>
      </c>
      <c r="DP50" s="14">
        <f t="shared" si="143"/>
        <v>0</v>
      </c>
      <c r="DQ50" s="14">
        <f t="shared" si="144"/>
        <v>0</v>
      </c>
      <c r="DR50" s="14">
        <f t="shared" si="42"/>
        <v>868</v>
      </c>
      <c r="DS50" s="14">
        <f t="shared" si="43"/>
        <v>362</v>
      </c>
      <c r="DT50" s="14">
        <f t="shared" si="44"/>
        <v>4851</v>
      </c>
      <c r="DU50" s="33"/>
      <c r="DV50" s="33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3"/>
      <c r="B51" s="33"/>
      <c r="C51" s="33"/>
      <c r="D51" s="33"/>
      <c r="E51" s="33"/>
      <c r="F51" s="33"/>
      <c r="G51" s="33"/>
      <c r="H51" s="33"/>
      <c r="I51" s="13">
        <v>45</v>
      </c>
      <c r="J51" s="13">
        <v>112</v>
      </c>
      <c r="K51" s="13" t="s">
        <v>439</v>
      </c>
      <c r="L51" s="13">
        <v>37</v>
      </c>
      <c r="M51" s="13">
        <v>15</v>
      </c>
      <c r="N51" s="13" t="s">
        <v>438</v>
      </c>
      <c r="O51" s="13">
        <v>124</v>
      </c>
      <c r="P51" s="13" t="s">
        <v>439</v>
      </c>
      <c r="Q51" s="13">
        <v>41</v>
      </c>
      <c r="R51" s="13">
        <v>16</v>
      </c>
      <c r="S51" s="13" t="s">
        <v>439</v>
      </c>
      <c r="T51" s="13">
        <v>138</v>
      </c>
      <c r="U51" s="13" t="s">
        <v>442</v>
      </c>
      <c r="V51" s="13">
        <v>47</v>
      </c>
      <c r="W51" s="13">
        <v>18</v>
      </c>
      <c r="X51" s="13" t="s">
        <v>441</v>
      </c>
      <c r="Y51" s="33"/>
      <c r="Z51" s="33"/>
      <c r="AK51" s="13">
        <v>45</v>
      </c>
      <c r="AL51" s="13" t="str">
        <f t="shared" si="120"/>
        <v>大焦热+2 · 魂火3</v>
      </c>
      <c r="AM51" s="13">
        <f t="shared" si="121"/>
        <v>18</v>
      </c>
      <c r="AN51" s="13">
        <v>3</v>
      </c>
      <c r="AO51" s="13">
        <v>130</v>
      </c>
      <c r="AP51" s="49"/>
      <c r="AQ51" s="32"/>
      <c r="AR51" s="33"/>
      <c r="AS51" s="13">
        <v>46</v>
      </c>
      <c r="AT51" s="13">
        <v>4</v>
      </c>
      <c r="AU51" s="13">
        <v>6</v>
      </c>
      <c r="AV51" s="13" t="s">
        <v>429</v>
      </c>
      <c r="AW51" s="13">
        <v>42</v>
      </c>
      <c r="AX51" s="14">
        <f t="shared" si="137"/>
        <v>5</v>
      </c>
      <c r="AY51" s="13">
        <v>47</v>
      </c>
      <c r="AZ51" s="14">
        <f t="shared" si="138"/>
        <v>1618</v>
      </c>
      <c r="BA51" s="14">
        <f t="shared" si="139"/>
        <v>748</v>
      </c>
      <c r="BB51" s="14">
        <f t="shared" si="140"/>
        <v>10068</v>
      </c>
      <c r="BC51" s="13">
        <v>20</v>
      </c>
      <c r="BD51" s="13">
        <f t="shared" si="15"/>
        <v>10</v>
      </c>
      <c r="BE51" s="14">
        <f t="shared" si="16"/>
        <v>140</v>
      </c>
      <c r="BF51" s="14">
        <f t="shared" si="122"/>
        <v>100</v>
      </c>
      <c r="BG51" s="14">
        <f t="shared" si="123"/>
        <v>50</v>
      </c>
      <c r="BH51" s="14">
        <f t="shared" si="124"/>
        <v>700</v>
      </c>
      <c r="BI51" s="26">
        <v>3.716814159292036E-2</v>
      </c>
      <c r="BJ51" s="26">
        <f t="shared" si="133"/>
        <v>3.716814159292036E-2</v>
      </c>
      <c r="BK51" s="14">
        <f t="shared" si="125"/>
        <v>60</v>
      </c>
      <c r="BL51" s="14">
        <f t="shared" si="17"/>
        <v>30</v>
      </c>
      <c r="BM51" s="14">
        <f t="shared" si="18"/>
        <v>420</v>
      </c>
      <c r="BN51" s="13">
        <v>2</v>
      </c>
      <c r="BO51" s="26">
        <v>9.9000000000000005E-2</v>
      </c>
      <c r="BP51" s="26">
        <f t="shared" si="98"/>
        <v>0.10448430493273543</v>
      </c>
      <c r="BQ51" s="14">
        <f t="shared" si="126"/>
        <v>160</v>
      </c>
      <c r="BR51" s="14">
        <f t="shared" si="19"/>
        <v>80</v>
      </c>
      <c r="BS51" s="14">
        <f t="shared" si="20"/>
        <v>1120</v>
      </c>
      <c r="BT51" s="14">
        <f t="shared" si="127"/>
        <v>1998</v>
      </c>
      <c r="BU51" s="14">
        <f t="shared" si="128"/>
        <v>938</v>
      </c>
      <c r="BV51" s="14">
        <f t="shared" si="129"/>
        <v>12728</v>
      </c>
      <c r="BW51" s="33">
        <f t="shared" ref="BW51:BW65" si="146">ROUND(BU51*2.5/100,0)*100</f>
        <v>2300</v>
      </c>
      <c r="BX51" s="13">
        <v>3</v>
      </c>
      <c r="BY51" s="14">
        <f t="shared" si="21"/>
        <v>380</v>
      </c>
      <c r="BZ51" s="14">
        <f t="shared" si="22"/>
        <v>190</v>
      </c>
      <c r="CA51" s="14">
        <f t="shared" si="23"/>
        <v>2660</v>
      </c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13">
        <v>46</v>
      </c>
      <c r="CY51" s="13">
        <v>4</v>
      </c>
      <c r="CZ51" s="13">
        <v>6</v>
      </c>
      <c r="DA51" s="13">
        <v>3</v>
      </c>
      <c r="DB51" s="13" t="s">
        <v>429</v>
      </c>
      <c r="DC51" s="13">
        <v>20</v>
      </c>
      <c r="DD51" s="13">
        <v>45</v>
      </c>
      <c r="DE51" s="24">
        <v>0.2</v>
      </c>
      <c r="DF51" s="14">
        <f t="shared" si="141"/>
        <v>868</v>
      </c>
      <c r="DG51" s="14">
        <f t="shared" si="135"/>
        <v>362</v>
      </c>
      <c r="DH51" s="14">
        <f t="shared" si="136"/>
        <v>4851</v>
      </c>
      <c r="DI51" s="14">
        <f t="shared" si="34"/>
        <v>114</v>
      </c>
      <c r="DJ51" s="14">
        <f t="shared" si="35"/>
        <v>57</v>
      </c>
      <c r="DK51" s="14">
        <f t="shared" si="36"/>
        <v>798</v>
      </c>
      <c r="DL51" s="14">
        <f t="shared" si="37"/>
        <v>40</v>
      </c>
      <c r="DM51" s="14">
        <f t="shared" si="38"/>
        <v>20</v>
      </c>
      <c r="DN51" s="14">
        <f t="shared" si="39"/>
        <v>279</v>
      </c>
      <c r="DO51" s="14">
        <f t="shared" si="142"/>
        <v>1000</v>
      </c>
      <c r="DP51" s="14">
        <f t="shared" si="143"/>
        <v>500</v>
      </c>
      <c r="DQ51" s="14">
        <f t="shared" si="144"/>
        <v>6975</v>
      </c>
      <c r="DR51" s="14">
        <f t="shared" si="42"/>
        <v>1982</v>
      </c>
      <c r="DS51" s="14">
        <f t="shared" si="43"/>
        <v>919</v>
      </c>
      <c r="DT51" s="14">
        <f t="shared" si="44"/>
        <v>12624</v>
      </c>
      <c r="DU51" s="33"/>
      <c r="DV51" s="33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3"/>
      <c r="B52" s="33"/>
      <c r="C52" s="33"/>
      <c r="D52" s="33"/>
      <c r="E52" s="33"/>
      <c r="F52" s="33"/>
      <c r="G52" s="33"/>
      <c r="H52" s="33"/>
      <c r="I52" s="13">
        <v>46</v>
      </c>
      <c r="J52" s="13">
        <v>113</v>
      </c>
      <c r="K52" s="13" t="s">
        <v>439</v>
      </c>
      <c r="L52" s="13">
        <v>37</v>
      </c>
      <c r="M52" s="13">
        <v>15</v>
      </c>
      <c r="N52" s="13" t="s">
        <v>438</v>
      </c>
      <c r="O52" s="13">
        <v>126</v>
      </c>
      <c r="P52" s="13" t="s">
        <v>439</v>
      </c>
      <c r="Q52" s="13">
        <v>42</v>
      </c>
      <c r="R52" s="13">
        <v>17</v>
      </c>
      <c r="S52" s="13" t="s">
        <v>440</v>
      </c>
      <c r="T52" s="13">
        <v>139</v>
      </c>
      <c r="U52" s="13" t="s">
        <v>442</v>
      </c>
      <c r="V52" s="13">
        <v>47</v>
      </c>
      <c r="W52" s="13">
        <v>18</v>
      </c>
      <c r="X52" s="13" t="s">
        <v>441</v>
      </c>
      <c r="Y52" s="33"/>
      <c r="Z52" s="33"/>
      <c r="AK52" s="13">
        <v>46</v>
      </c>
      <c r="AL52" s="13" t="str">
        <f t="shared" si="120"/>
        <v>无间 · 魂火1</v>
      </c>
      <c r="AM52" s="13">
        <f t="shared" si="121"/>
        <v>19</v>
      </c>
      <c r="AN52" s="13">
        <v>1</v>
      </c>
      <c r="AO52" s="13">
        <v>133</v>
      </c>
      <c r="AP52" s="49"/>
      <c r="AQ52" s="32"/>
      <c r="AR52" s="33"/>
      <c r="AS52" s="13">
        <v>47</v>
      </c>
      <c r="AT52" s="13">
        <v>4</v>
      </c>
      <c r="AU52" s="13">
        <v>7</v>
      </c>
      <c r="AV52" s="13" t="s">
        <v>430</v>
      </c>
      <c r="AW52" s="13">
        <v>47</v>
      </c>
      <c r="AX52" s="14">
        <f t="shared" si="137"/>
        <v>5</v>
      </c>
      <c r="AY52" s="13">
        <v>52</v>
      </c>
      <c r="AZ52" s="14">
        <f t="shared" si="138"/>
        <v>1998</v>
      </c>
      <c r="BA52" s="14">
        <f t="shared" si="139"/>
        <v>938</v>
      </c>
      <c r="BB52" s="14">
        <f t="shared" si="140"/>
        <v>12728</v>
      </c>
      <c r="BC52" s="13">
        <v>25</v>
      </c>
      <c r="BD52" s="13">
        <f t="shared" si="15"/>
        <v>13</v>
      </c>
      <c r="BE52" s="14">
        <f t="shared" si="16"/>
        <v>200</v>
      </c>
      <c r="BF52" s="14">
        <f t="shared" si="122"/>
        <v>125</v>
      </c>
      <c r="BG52" s="14">
        <f t="shared" si="123"/>
        <v>65</v>
      </c>
      <c r="BH52" s="14">
        <f t="shared" si="124"/>
        <v>1000</v>
      </c>
      <c r="BI52" s="26">
        <v>0.04</v>
      </c>
      <c r="BJ52" s="26">
        <f t="shared" si="133"/>
        <v>4.1150442477876109E-2</v>
      </c>
      <c r="BK52" s="14">
        <f t="shared" si="125"/>
        <v>80</v>
      </c>
      <c r="BL52" s="14">
        <f t="shared" si="17"/>
        <v>40</v>
      </c>
      <c r="BM52" s="14">
        <f t="shared" si="18"/>
        <v>640</v>
      </c>
      <c r="BN52" s="13">
        <v>2</v>
      </c>
      <c r="BO52" s="26">
        <v>8.2500000000000004E-2</v>
      </c>
      <c r="BP52" s="26">
        <f t="shared" si="98"/>
        <v>8.0717488789237665E-2</v>
      </c>
      <c r="BQ52" s="14">
        <f t="shared" si="126"/>
        <v>165</v>
      </c>
      <c r="BR52" s="14">
        <f t="shared" si="19"/>
        <v>83</v>
      </c>
      <c r="BS52" s="14">
        <f t="shared" si="20"/>
        <v>1320</v>
      </c>
      <c r="BT52" s="14">
        <f t="shared" si="127"/>
        <v>2448</v>
      </c>
      <c r="BU52" s="14">
        <f t="shared" si="128"/>
        <v>1166</v>
      </c>
      <c r="BV52" s="14">
        <f t="shared" si="129"/>
        <v>16328</v>
      </c>
      <c r="BW52" s="33">
        <f t="shared" si="146"/>
        <v>2900</v>
      </c>
      <c r="BX52" s="13">
        <v>4</v>
      </c>
      <c r="BY52" s="14">
        <f t="shared" si="21"/>
        <v>450</v>
      </c>
      <c r="BZ52" s="14">
        <f t="shared" si="22"/>
        <v>228</v>
      </c>
      <c r="CA52" s="14">
        <f t="shared" si="23"/>
        <v>3600</v>
      </c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13">
        <v>47</v>
      </c>
      <c r="CY52" s="13">
        <v>4</v>
      </c>
      <c r="CZ52" s="13">
        <v>7</v>
      </c>
      <c r="DA52" s="13">
        <v>4</v>
      </c>
      <c r="DB52" s="13" t="s">
        <v>430</v>
      </c>
      <c r="DC52" s="13">
        <v>45</v>
      </c>
      <c r="DD52" s="13">
        <v>45</v>
      </c>
      <c r="DE52" s="24">
        <v>0.2</v>
      </c>
      <c r="DF52" s="14">
        <f t="shared" si="141"/>
        <v>1982</v>
      </c>
      <c r="DG52" s="14">
        <f t="shared" si="135"/>
        <v>919</v>
      </c>
      <c r="DH52" s="14">
        <f t="shared" si="136"/>
        <v>12624</v>
      </c>
      <c r="DI52" s="14">
        <f t="shared" si="34"/>
        <v>165</v>
      </c>
      <c r="DJ52" s="14">
        <f t="shared" si="35"/>
        <v>83</v>
      </c>
      <c r="DK52" s="14">
        <f t="shared" si="36"/>
        <v>1316</v>
      </c>
      <c r="DL52" s="14">
        <f t="shared" si="37"/>
        <v>58</v>
      </c>
      <c r="DM52" s="14">
        <f t="shared" si="38"/>
        <v>29</v>
      </c>
      <c r="DN52" s="14">
        <f t="shared" si="39"/>
        <v>461</v>
      </c>
      <c r="DO52" s="14">
        <f t="shared" si="142"/>
        <v>0</v>
      </c>
      <c r="DP52" s="14">
        <f t="shared" si="143"/>
        <v>0</v>
      </c>
      <c r="DQ52" s="14">
        <f t="shared" si="144"/>
        <v>0</v>
      </c>
      <c r="DR52" s="14">
        <f t="shared" si="42"/>
        <v>2147</v>
      </c>
      <c r="DS52" s="14">
        <f t="shared" si="43"/>
        <v>1002</v>
      </c>
      <c r="DT52" s="14">
        <f t="shared" si="44"/>
        <v>13940</v>
      </c>
      <c r="DU52" s="33"/>
      <c r="DV52" s="33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3"/>
      <c r="B53" s="33"/>
      <c r="C53" s="33"/>
      <c r="D53" s="33"/>
      <c r="E53" s="33"/>
      <c r="F53" s="33"/>
      <c r="G53" s="33"/>
      <c r="H53" s="33"/>
      <c r="I53" s="13">
        <v>47</v>
      </c>
      <c r="J53" s="13">
        <v>114</v>
      </c>
      <c r="K53" s="13" t="s">
        <v>439</v>
      </c>
      <c r="L53" s="13">
        <v>37</v>
      </c>
      <c r="M53" s="13">
        <v>15</v>
      </c>
      <c r="N53" s="13" t="s">
        <v>438</v>
      </c>
      <c r="O53" s="13">
        <v>127</v>
      </c>
      <c r="P53" s="13" t="s">
        <v>439</v>
      </c>
      <c r="Q53" s="13">
        <v>43</v>
      </c>
      <c r="R53" s="13">
        <v>17</v>
      </c>
      <c r="S53" s="13" t="s">
        <v>440</v>
      </c>
      <c r="T53" s="13">
        <v>139</v>
      </c>
      <c r="U53" s="13" t="s">
        <v>442</v>
      </c>
      <c r="V53" s="13">
        <v>47</v>
      </c>
      <c r="W53" s="13">
        <v>18</v>
      </c>
      <c r="X53" s="13" t="s">
        <v>441</v>
      </c>
      <c r="Y53" s="33"/>
      <c r="Z53" s="33"/>
      <c r="AK53" s="13">
        <v>47</v>
      </c>
      <c r="AL53" s="13" t="str">
        <f t="shared" si="120"/>
        <v>无间 · 魂火2</v>
      </c>
      <c r="AM53" s="13">
        <f t="shared" si="121"/>
        <v>19</v>
      </c>
      <c r="AN53" s="13">
        <v>2</v>
      </c>
      <c r="AO53" s="13">
        <v>135</v>
      </c>
      <c r="AP53" s="49"/>
      <c r="AQ53" s="32"/>
      <c r="AR53" s="33"/>
      <c r="AS53" s="13">
        <v>48</v>
      </c>
      <c r="AT53" s="13">
        <v>4</v>
      </c>
      <c r="AU53" s="13">
        <v>8</v>
      </c>
      <c r="AV53" s="13" t="s">
        <v>431</v>
      </c>
      <c r="AW53" s="13">
        <v>52</v>
      </c>
      <c r="AX53" s="14">
        <f t="shared" si="137"/>
        <v>5</v>
      </c>
      <c r="AY53" s="13">
        <v>57</v>
      </c>
      <c r="AZ53" s="14">
        <f t="shared" si="138"/>
        <v>2448</v>
      </c>
      <c r="BA53" s="14">
        <f t="shared" si="139"/>
        <v>1166</v>
      </c>
      <c r="BB53" s="14">
        <f t="shared" si="140"/>
        <v>16328</v>
      </c>
      <c r="BC53" s="13">
        <v>25</v>
      </c>
      <c r="BD53" s="13">
        <f t="shared" si="15"/>
        <v>13</v>
      </c>
      <c r="BE53" s="14">
        <f t="shared" si="16"/>
        <v>200</v>
      </c>
      <c r="BF53" s="14">
        <f t="shared" si="122"/>
        <v>125</v>
      </c>
      <c r="BG53" s="14">
        <f t="shared" si="123"/>
        <v>65</v>
      </c>
      <c r="BH53" s="14">
        <f t="shared" si="124"/>
        <v>1000</v>
      </c>
      <c r="BI53" s="26">
        <v>4.0707964601769918E-2</v>
      </c>
      <c r="BJ53" s="26">
        <f t="shared" si="133"/>
        <v>4.0707964601769918E-2</v>
      </c>
      <c r="BK53" s="14">
        <f t="shared" si="125"/>
        <v>100</v>
      </c>
      <c r="BL53" s="14">
        <f t="shared" si="17"/>
        <v>50</v>
      </c>
      <c r="BM53" s="14">
        <f t="shared" si="18"/>
        <v>800</v>
      </c>
      <c r="BN53" s="13">
        <v>2</v>
      </c>
      <c r="BO53" s="26">
        <v>5.0999999999999997E-2</v>
      </c>
      <c r="BP53" s="26">
        <f t="shared" si="98"/>
        <v>6.0717488789237668E-2</v>
      </c>
      <c r="BQ53" s="14">
        <f t="shared" si="126"/>
        <v>125</v>
      </c>
      <c r="BR53" s="14">
        <f t="shared" si="19"/>
        <v>63</v>
      </c>
      <c r="BS53" s="14">
        <f t="shared" si="20"/>
        <v>1000</v>
      </c>
      <c r="BT53" s="14">
        <f t="shared" si="127"/>
        <v>2898</v>
      </c>
      <c r="BU53" s="14">
        <f t="shared" si="128"/>
        <v>1394</v>
      </c>
      <c r="BV53" s="14">
        <f t="shared" si="129"/>
        <v>19928</v>
      </c>
      <c r="BW53" s="33">
        <f t="shared" si="146"/>
        <v>3500</v>
      </c>
      <c r="BX53" s="13">
        <v>4</v>
      </c>
      <c r="BY53" s="14">
        <f t="shared" si="21"/>
        <v>450</v>
      </c>
      <c r="BZ53" s="14">
        <f t="shared" si="22"/>
        <v>228</v>
      </c>
      <c r="CA53" s="14">
        <f t="shared" si="23"/>
        <v>3600</v>
      </c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13">
        <v>48</v>
      </c>
      <c r="CY53" s="13">
        <v>4</v>
      </c>
      <c r="CZ53" s="13">
        <v>8</v>
      </c>
      <c r="DA53" s="13">
        <v>4</v>
      </c>
      <c r="DB53" s="13" t="s">
        <v>431</v>
      </c>
      <c r="DC53" s="13">
        <v>45</v>
      </c>
      <c r="DD53" s="13">
        <v>45</v>
      </c>
      <c r="DE53" s="24">
        <v>0.2</v>
      </c>
      <c r="DF53" s="14">
        <f t="shared" si="141"/>
        <v>2147</v>
      </c>
      <c r="DG53" s="14">
        <f t="shared" si="135"/>
        <v>1002</v>
      </c>
      <c r="DH53" s="14">
        <f t="shared" si="136"/>
        <v>13940</v>
      </c>
      <c r="DI53" s="14">
        <f t="shared" si="34"/>
        <v>165</v>
      </c>
      <c r="DJ53" s="14">
        <f t="shared" si="35"/>
        <v>83</v>
      </c>
      <c r="DK53" s="14">
        <f t="shared" si="36"/>
        <v>1316</v>
      </c>
      <c r="DL53" s="14">
        <f t="shared" si="37"/>
        <v>58</v>
      </c>
      <c r="DM53" s="14">
        <f t="shared" si="38"/>
        <v>29</v>
      </c>
      <c r="DN53" s="14">
        <f t="shared" si="39"/>
        <v>461</v>
      </c>
      <c r="DO53" s="14">
        <f t="shared" si="142"/>
        <v>0</v>
      </c>
      <c r="DP53" s="14">
        <f t="shared" si="143"/>
        <v>0</v>
      </c>
      <c r="DQ53" s="14">
        <f t="shared" si="144"/>
        <v>0</v>
      </c>
      <c r="DR53" s="14">
        <f t="shared" si="42"/>
        <v>2312</v>
      </c>
      <c r="DS53" s="14">
        <f t="shared" si="43"/>
        <v>1085</v>
      </c>
      <c r="DT53" s="14">
        <f t="shared" si="44"/>
        <v>15256</v>
      </c>
      <c r="DU53" s="33"/>
      <c r="DV53" s="33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3"/>
      <c r="B54" s="33"/>
      <c r="C54" s="33"/>
      <c r="D54" s="33"/>
      <c r="E54" s="33"/>
      <c r="F54" s="33"/>
      <c r="G54" s="33"/>
      <c r="H54" s="33"/>
      <c r="I54" s="13">
        <v>48</v>
      </c>
      <c r="J54" s="13">
        <v>114</v>
      </c>
      <c r="K54" s="13" t="s">
        <v>439</v>
      </c>
      <c r="L54" s="13">
        <v>37</v>
      </c>
      <c r="M54" s="13">
        <v>15</v>
      </c>
      <c r="N54" s="13" t="s">
        <v>438</v>
      </c>
      <c r="O54" s="13">
        <v>128</v>
      </c>
      <c r="P54" s="13" t="s">
        <v>439</v>
      </c>
      <c r="Q54" s="13">
        <v>43</v>
      </c>
      <c r="R54" s="13">
        <v>17</v>
      </c>
      <c r="S54" s="13" t="s">
        <v>440</v>
      </c>
      <c r="T54" s="13">
        <v>141</v>
      </c>
      <c r="U54" s="13" t="s">
        <v>442</v>
      </c>
      <c r="V54" s="13">
        <v>48</v>
      </c>
      <c r="W54" s="13">
        <v>19</v>
      </c>
      <c r="X54" s="13" t="s">
        <v>442</v>
      </c>
      <c r="Y54" s="33"/>
      <c r="Z54" s="33"/>
      <c r="AK54" s="13">
        <v>48</v>
      </c>
      <c r="AL54" s="13" t="str">
        <f t="shared" si="120"/>
        <v>无间 · 魂火3</v>
      </c>
      <c r="AM54" s="13">
        <f t="shared" si="121"/>
        <v>19</v>
      </c>
      <c r="AN54" s="13">
        <v>3</v>
      </c>
      <c r="AO54" s="13">
        <v>138</v>
      </c>
      <c r="AP54" s="49"/>
      <c r="AQ54" s="32"/>
      <c r="AR54" s="33"/>
      <c r="AS54" s="13">
        <v>49</v>
      </c>
      <c r="AT54" s="13">
        <v>4</v>
      </c>
      <c r="AU54" s="13">
        <v>9</v>
      </c>
      <c r="AV54" s="13" t="s">
        <v>432</v>
      </c>
      <c r="AW54" s="13">
        <v>57</v>
      </c>
      <c r="AX54" s="14">
        <f t="shared" si="137"/>
        <v>8</v>
      </c>
      <c r="AY54" s="13">
        <v>65</v>
      </c>
      <c r="AZ54" s="14">
        <f t="shared" si="138"/>
        <v>2898</v>
      </c>
      <c r="BA54" s="14">
        <f t="shared" si="139"/>
        <v>1394</v>
      </c>
      <c r="BB54" s="14">
        <f t="shared" si="140"/>
        <v>19928</v>
      </c>
      <c r="BC54" s="13">
        <v>25</v>
      </c>
      <c r="BD54" s="13">
        <f t="shared" si="15"/>
        <v>13</v>
      </c>
      <c r="BE54" s="14">
        <f t="shared" si="16"/>
        <v>200</v>
      </c>
      <c r="BF54" s="14">
        <f t="shared" si="122"/>
        <v>200</v>
      </c>
      <c r="BG54" s="14">
        <f t="shared" si="123"/>
        <v>104</v>
      </c>
      <c r="BH54" s="14">
        <f t="shared" si="124"/>
        <v>1600</v>
      </c>
      <c r="BI54" s="26">
        <v>3.9823008849557522E-2</v>
      </c>
      <c r="BJ54" s="26">
        <f t="shared" si="133"/>
        <v>3.9823008849557522E-2</v>
      </c>
      <c r="BK54" s="14">
        <f t="shared" si="125"/>
        <v>115</v>
      </c>
      <c r="BL54" s="14">
        <f t="shared" si="17"/>
        <v>58</v>
      </c>
      <c r="BM54" s="14">
        <f t="shared" si="18"/>
        <v>920</v>
      </c>
      <c r="BN54" s="13">
        <v>3</v>
      </c>
      <c r="BO54" s="26">
        <v>6.9000000000000006E-2</v>
      </c>
      <c r="BP54" s="26">
        <f t="shared" si="98"/>
        <v>7.4887892376681614E-2</v>
      </c>
      <c r="BQ54" s="14">
        <f t="shared" si="126"/>
        <v>200</v>
      </c>
      <c r="BR54" s="14">
        <f t="shared" si="19"/>
        <v>100</v>
      </c>
      <c r="BS54" s="14">
        <f t="shared" si="20"/>
        <v>1600</v>
      </c>
      <c r="BT54" s="14">
        <f t="shared" si="127"/>
        <v>3643</v>
      </c>
      <c r="BU54" s="14">
        <f t="shared" si="128"/>
        <v>1772</v>
      </c>
      <c r="BV54" s="14">
        <f t="shared" si="129"/>
        <v>25888</v>
      </c>
      <c r="BW54" s="33">
        <f t="shared" si="146"/>
        <v>4400</v>
      </c>
      <c r="BX54" s="13">
        <v>4</v>
      </c>
      <c r="BY54" s="14">
        <f t="shared" si="21"/>
        <v>745</v>
      </c>
      <c r="BZ54" s="14">
        <f t="shared" si="22"/>
        <v>378</v>
      </c>
      <c r="CA54" s="14">
        <f t="shared" si="23"/>
        <v>5960</v>
      </c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13">
        <v>49</v>
      </c>
      <c r="CY54" s="13">
        <v>4</v>
      </c>
      <c r="CZ54" s="13">
        <v>9</v>
      </c>
      <c r="DA54" s="13">
        <v>4</v>
      </c>
      <c r="DB54" s="13" t="s">
        <v>432</v>
      </c>
      <c r="DC54" s="13">
        <v>45</v>
      </c>
      <c r="DD54" s="13">
        <v>60</v>
      </c>
      <c r="DE54" s="24">
        <v>0.2</v>
      </c>
      <c r="DF54" s="14">
        <f t="shared" si="141"/>
        <v>2312</v>
      </c>
      <c r="DG54" s="14">
        <f t="shared" si="135"/>
        <v>1085</v>
      </c>
      <c r="DH54" s="14">
        <f t="shared" si="136"/>
        <v>15256</v>
      </c>
      <c r="DI54" s="14">
        <f t="shared" si="34"/>
        <v>165</v>
      </c>
      <c r="DJ54" s="14">
        <f t="shared" si="35"/>
        <v>83</v>
      </c>
      <c r="DK54" s="14">
        <f t="shared" si="36"/>
        <v>1316</v>
      </c>
      <c r="DL54" s="14">
        <f t="shared" si="37"/>
        <v>58</v>
      </c>
      <c r="DM54" s="14">
        <f t="shared" si="38"/>
        <v>29</v>
      </c>
      <c r="DN54" s="14">
        <f t="shared" si="39"/>
        <v>461</v>
      </c>
      <c r="DO54" s="14">
        <f t="shared" si="142"/>
        <v>870</v>
      </c>
      <c r="DP54" s="14">
        <f t="shared" si="143"/>
        <v>435</v>
      </c>
      <c r="DQ54" s="14">
        <f t="shared" si="144"/>
        <v>6915</v>
      </c>
      <c r="DR54" s="14">
        <f t="shared" si="42"/>
        <v>3347</v>
      </c>
      <c r="DS54" s="14">
        <f t="shared" si="43"/>
        <v>1603</v>
      </c>
      <c r="DT54" s="14">
        <f t="shared" si="44"/>
        <v>23487</v>
      </c>
      <c r="DU54" s="33"/>
      <c r="DV54" s="33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3"/>
      <c r="B55" s="33"/>
      <c r="C55" s="33"/>
      <c r="D55" s="33"/>
      <c r="E55" s="33"/>
      <c r="F55" s="33"/>
      <c r="G55" s="33"/>
      <c r="H55" s="33"/>
      <c r="I55" s="13">
        <v>49</v>
      </c>
      <c r="J55" s="13">
        <v>115</v>
      </c>
      <c r="K55" s="13" t="s">
        <v>439</v>
      </c>
      <c r="L55" s="13">
        <v>38</v>
      </c>
      <c r="M55" s="13">
        <v>15</v>
      </c>
      <c r="N55" s="13" t="s">
        <v>438</v>
      </c>
      <c r="O55" s="13">
        <v>128</v>
      </c>
      <c r="P55" s="13" t="s">
        <v>439</v>
      </c>
      <c r="Q55" s="13">
        <v>43</v>
      </c>
      <c r="R55" s="13">
        <v>17</v>
      </c>
      <c r="S55" s="13" t="s">
        <v>440</v>
      </c>
      <c r="T55" s="13">
        <v>142</v>
      </c>
      <c r="U55" s="13" t="s">
        <v>442</v>
      </c>
      <c r="V55" s="13">
        <v>49</v>
      </c>
      <c r="W55" s="13">
        <v>19</v>
      </c>
      <c r="X55" s="13" t="s">
        <v>442</v>
      </c>
      <c r="Y55" s="33"/>
      <c r="Z55" s="33"/>
      <c r="AK55" s="13">
        <v>49</v>
      </c>
      <c r="AL55" s="13" t="str">
        <f t="shared" si="120"/>
        <v>无间+1 · 魂火1</v>
      </c>
      <c r="AM55" s="13">
        <f t="shared" si="121"/>
        <v>20</v>
      </c>
      <c r="AN55" s="13">
        <v>1</v>
      </c>
      <c r="AO55" s="13">
        <v>140</v>
      </c>
      <c r="AP55" s="49"/>
      <c r="AQ55" s="32"/>
      <c r="AR55" s="33"/>
      <c r="AS55" s="13">
        <v>50</v>
      </c>
      <c r="AT55" s="13">
        <v>4</v>
      </c>
      <c r="AU55" s="13">
        <v>10</v>
      </c>
      <c r="AV55" s="13" t="s">
        <v>433</v>
      </c>
      <c r="AW55" s="13">
        <v>65</v>
      </c>
      <c r="AX55" s="14">
        <f t="shared" si="137"/>
        <v>7</v>
      </c>
      <c r="AY55" s="13">
        <v>72</v>
      </c>
      <c r="AZ55" s="14">
        <f t="shared" si="138"/>
        <v>3643</v>
      </c>
      <c r="BA55" s="14">
        <f t="shared" si="139"/>
        <v>1772</v>
      </c>
      <c r="BB55" s="14">
        <f t="shared" si="140"/>
        <v>25888</v>
      </c>
      <c r="BC55" s="13">
        <v>30</v>
      </c>
      <c r="BD55" s="13">
        <f t="shared" si="15"/>
        <v>15</v>
      </c>
      <c r="BE55" s="14">
        <f t="shared" si="16"/>
        <v>270</v>
      </c>
      <c r="BF55" s="14">
        <f t="shared" si="122"/>
        <v>210</v>
      </c>
      <c r="BG55" s="14">
        <f t="shared" si="123"/>
        <v>105</v>
      </c>
      <c r="BH55" s="14">
        <f t="shared" si="124"/>
        <v>1890</v>
      </c>
      <c r="BI55" s="26">
        <v>3.56E-2</v>
      </c>
      <c r="BJ55" s="26">
        <f t="shared" si="133"/>
        <v>3.7610619469026552E-2</v>
      </c>
      <c r="BK55" s="14">
        <f t="shared" si="125"/>
        <v>130</v>
      </c>
      <c r="BL55" s="14">
        <f t="shared" si="17"/>
        <v>65</v>
      </c>
      <c r="BM55" s="14">
        <f t="shared" si="18"/>
        <v>1170</v>
      </c>
      <c r="BN55" s="13">
        <v>3</v>
      </c>
      <c r="BO55" s="26">
        <v>5.4867256637168148E-2</v>
      </c>
      <c r="BP55" s="26">
        <f t="shared" si="98"/>
        <v>5.5605381165919281E-2</v>
      </c>
      <c r="BQ55" s="14">
        <f t="shared" si="126"/>
        <v>200</v>
      </c>
      <c r="BR55" s="14">
        <f t="shared" si="19"/>
        <v>100</v>
      </c>
      <c r="BS55" s="14">
        <f t="shared" si="20"/>
        <v>1800</v>
      </c>
      <c r="BT55" s="14">
        <f t="shared" si="127"/>
        <v>4443</v>
      </c>
      <c r="BU55" s="14">
        <f t="shared" si="128"/>
        <v>2172</v>
      </c>
      <c r="BV55" s="14">
        <f t="shared" si="129"/>
        <v>33088</v>
      </c>
      <c r="BW55" s="33">
        <f t="shared" si="146"/>
        <v>5400</v>
      </c>
      <c r="BX55" s="13">
        <v>5</v>
      </c>
      <c r="BY55" s="14">
        <f t="shared" si="21"/>
        <v>800</v>
      </c>
      <c r="BZ55" s="14">
        <f t="shared" si="22"/>
        <v>400</v>
      </c>
      <c r="CA55" s="14">
        <f t="shared" si="23"/>
        <v>7200</v>
      </c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13">
        <v>50</v>
      </c>
      <c r="CY55" s="13">
        <v>4</v>
      </c>
      <c r="CZ55" s="13">
        <v>10</v>
      </c>
      <c r="DA55" s="13">
        <v>5</v>
      </c>
      <c r="DB55" s="13" t="s">
        <v>433</v>
      </c>
      <c r="DC55" s="13">
        <v>60</v>
      </c>
      <c r="DD55" s="13">
        <v>60</v>
      </c>
      <c r="DE55" s="24">
        <v>0.2</v>
      </c>
      <c r="DF55" s="14">
        <f t="shared" si="141"/>
        <v>3347</v>
      </c>
      <c r="DG55" s="14">
        <f t="shared" si="135"/>
        <v>1603</v>
      </c>
      <c r="DH55" s="14">
        <f t="shared" si="136"/>
        <v>23487</v>
      </c>
      <c r="DI55" s="14">
        <f t="shared" si="34"/>
        <v>314</v>
      </c>
      <c r="DJ55" s="14">
        <f t="shared" si="35"/>
        <v>157</v>
      </c>
      <c r="DK55" s="14">
        <f t="shared" si="36"/>
        <v>2822</v>
      </c>
      <c r="DL55" s="14">
        <f t="shared" si="37"/>
        <v>110</v>
      </c>
      <c r="DM55" s="14">
        <f t="shared" si="38"/>
        <v>55</v>
      </c>
      <c r="DN55" s="14">
        <f t="shared" si="39"/>
        <v>988</v>
      </c>
      <c r="DO55" s="14">
        <f t="shared" si="142"/>
        <v>0</v>
      </c>
      <c r="DP55" s="14">
        <f t="shared" si="143"/>
        <v>0</v>
      </c>
      <c r="DQ55" s="14">
        <f t="shared" si="144"/>
        <v>0</v>
      </c>
      <c r="DR55" s="14">
        <f t="shared" si="42"/>
        <v>3661</v>
      </c>
      <c r="DS55" s="14">
        <f t="shared" si="43"/>
        <v>1760</v>
      </c>
      <c r="DT55" s="14">
        <f t="shared" si="44"/>
        <v>26309</v>
      </c>
      <c r="DU55" s="33"/>
      <c r="DV55" s="33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3"/>
      <c r="B56" s="33"/>
      <c r="C56" s="33"/>
      <c r="D56" s="33"/>
      <c r="E56" s="33"/>
      <c r="F56" s="33"/>
      <c r="G56" s="33"/>
      <c r="H56" s="33"/>
      <c r="I56" s="13">
        <v>50</v>
      </c>
      <c r="J56" s="13">
        <v>117</v>
      </c>
      <c r="K56" s="13" t="s">
        <v>439</v>
      </c>
      <c r="L56" s="13">
        <v>39</v>
      </c>
      <c r="M56" s="13">
        <v>16</v>
      </c>
      <c r="N56" s="13" t="s">
        <v>439</v>
      </c>
      <c r="O56" s="13">
        <v>129</v>
      </c>
      <c r="P56" s="13" t="s">
        <v>439</v>
      </c>
      <c r="Q56" s="13">
        <v>43</v>
      </c>
      <c r="R56" s="13">
        <v>17</v>
      </c>
      <c r="S56" s="13" t="s">
        <v>440</v>
      </c>
      <c r="T56" s="13">
        <v>142</v>
      </c>
      <c r="U56" s="13" t="s">
        <v>442</v>
      </c>
      <c r="V56" s="13">
        <v>49</v>
      </c>
      <c r="W56" s="13">
        <v>19</v>
      </c>
      <c r="X56" s="13" t="s">
        <v>442</v>
      </c>
      <c r="Y56" s="33"/>
      <c r="Z56" s="33"/>
      <c r="AK56" s="13">
        <v>50</v>
      </c>
      <c r="AL56" s="13" t="str">
        <f t="shared" si="120"/>
        <v>无间+1 · 魂火2</v>
      </c>
      <c r="AM56" s="13">
        <f t="shared" si="121"/>
        <v>20</v>
      </c>
      <c r="AN56" s="13">
        <v>2</v>
      </c>
      <c r="AO56" s="13">
        <v>143</v>
      </c>
      <c r="AP56" s="49"/>
      <c r="AQ56" s="32"/>
      <c r="AR56" s="33"/>
      <c r="AS56" s="13">
        <v>51</v>
      </c>
      <c r="AT56" s="13">
        <v>4</v>
      </c>
      <c r="AU56" s="13">
        <v>11</v>
      </c>
      <c r="AV56" s="13" t="s">
        <v>434</v>
      </c>
      <c r="AW56" s="13">
        <v>72</v>
      </c>
      <c r="AX56" s="14">
        <f t="shared" si="137"/>
        <v>8</v>
      </c>
      <c r="AY56" s="13">
        <v>80</v>
      </c>
      <c r="AZ56" s="14">
        <f t="shared" si="138"/>
        <v>4443</v>
      </c>
      <c r="BA56" s="14">
        <f t="shared" si="139"/>
        <v>2172</v>
      </c>
      <c r="BB56" s="14">
        <f t="shared" si="140"/>
        <v>33088</v>
      </c>
      <c r="BC56" s="13">
        <v>30</v>
      </c>
      <c r="BD56" s="13">
        <f t="shared" si="15"/>
        <v>15</v>
      </c>
      <c r="BE56" s="14">
        <f t="shared" si="16"/>
        <v>270</v>
      </c>
      <c r="BF56" s="14">
        <f t="shared" si="122"/>
        <v>240</v>
      </c>
      <c r="BG56" s="14">
        <f t="shared" si="123"/>
        <v>120</v>
      </c>
      <c r="BH56" s="14">
        <f t="shared" si="124"/>
        <v>2160</v>
      </c>
      <c r="BI56" s="26">
        <v>3.8199999999999998E-2</v>
      </c>
      <c r="BJ56" s="26">
        <f t="shared" si="133"/>
        <v>3.7876106194690271E-2</v>
      </c>
      <c r="BK56" s="14">
        <f t="shared" si="125"/>
        <v>170</v>
      </c>
      <c r="BL56" s="14">
        <f t="shared" si="17"/>
        <v>85</v>
      </c>
      <c r="BM56" s="14">
        <f t="shared" si="18"/>
        <v>1530</v>
      </c>
      <c r="BN56" s="13">
        <v>3</v>
      </c>
      <c r="BO56" s="26">
        <v>6.7500000000000004E-2</v>
      </c>
      <c r="BP56" s="26">
        <f t="shared" si="98"/>
        <v>6.152466367713004E-2</v>
      </c>
      <c r="BQ56" s="14">
        <f t="shared" si="126"/>
        <v>300</v>
      </c>
      <c r="BR56" s="14">
        <f t="shared" si="19"/>
        <v>150</v>
      </c>
      <c r="BS56" s="14">
        <f t="shared" si="20"/>
        <v>2700</v>
      </c>
      <c r="BT56" s="14">
        <f t="shared" si="127"/>
        <v>5493</v>
      </c>
      <c r="BU56" s="14">
        <f t="shared" si="128"/>
        <v>2697</v>
      </c>
      <c r="BV56" s="14">
        <f t="shared" si="129"/>
        <v>42538</v>
      </c>
      <c r="BW56" s="33">
        <f t="shared" si="146"/>
        <v>6700</v>
      </c>
      <c r="BX56" s="13">
        <v>5</v>
      </c>
      <c r="BY56" s="14">
        <f t="shared" si="21"/>
        <v>1050</v>
      </c>
      <c r="BZ56" s="14">
        <f t="shared" si="22"/>
        <v>525</v>
      </c>
      <c r="CA56" s="14">
        <f t="shared" si="23"/>
        <v>9450</v>
      </c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13">
        <v>51</v>
      </c>
      <c r="CY56" s="13">
        <v>4</v>
      </c>
      <c r="CZ56" s="13">
        <v>11</v>
      </c>
      <c r="DA56" s="13">
        <v>5</v>
      </c>
      <c r="DB56" s="13" t="s">
        <v>434</v>
      </c>
      <c r="DC56" s="13">
        <v>60</v>
      </c>
      <c r="DD56" s="13">
        <v>60</v>
      </c>
      <c r="DE56" s="24">
        <v>0.2</v>
      </c>
      <c r="DF56" s="14">
        <f t="shared" si="141"/>
        <v>3661</v>
      </c>
      <c r="DG56" s="14">
        <f t="shared" si="135"/>
        <v>1760</v>
      </c>
      <c r="DH56" s="14">
        <f t="shared" si="136"/>
        <v>26309</v>
      </c>
      <c r="DI56" s="14">
        <f t="shared" si="34"/>
        <v>314</v>
      </c>
      <c r="DJ56" s="14">
        <f t="shared" si="35"/>
        <v>157</v>
      </c>
      <c r="DK56" s="14">
        <f t="shared" si="36"/>
        <v>2822</v>
      </c>
      <c r="DL56" s="14">
        <f t="shared" si="37"/>
        <v>110</v>
      </c>
      <c r="DM56" s="14">
        <f t="shared" si="38"/>
        <v>55</v>
      </c>
      <c r="DN56" s="14">
        <f t="shared" si="39"/>
        <v>988</v>
      </c>
      <c r="DO56" s="14">
        <f t="shared" si="142"/>
        <v>0</v>
      </c>
      <c r="DP56" s="14">
        <f t="shared" si="143"/>
        <v>0</v>
      </c>
      <c r="DQ56" s="14">
        <f t="shared" si="144"/>
        <v>0</v>
      </c>
      <c r="DR56" s="14">
        <f t="shared" si="42"/>
        <v>3975</v>
      </c>
      <c r="DS56" s="14">
        <f t="shared" si="43"/>
        <v>1917</v>
      </c>
      <c r="DT56" s="14">
        <f t="shared" si="44"/>
        <v>29131</v>
      </c>
      <c r="DU56" s="33"/>
      <c r="DV56" s="33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3"/>
      <c r="B57" s="33"/>
      <c r="C57" s="33"/>
      <c r="D57" s="33"/>
      <c r="E57" s="33"/>
      <c r="F57" s="33"/>
      <c r="G57" s="33"/>
      <c r="H57" s="33"/>
      <c r="I57" s="13">
        <v>51</v>
      </c>
      <c r="J57" s="13">
        <v>118</v>
      </c>
      <c r="K57" s="13" t="s">
        <v>439</v>
      </c>
      <c r="L57" s="13">
        <v>39</v>
      </c>
      <c r="M57" s="13">
        <v>16</v>
      </c>
      <c r="N57" s="13" t="s">
        <v>439</v>
      </c>
      <c r="O57" s="13">
        <v>130</v>
      </c>
      <c r="P57" s="13" t="s">
        <v>439</v>
      </c>
      <c r="Q57" s="13">
        <v>44</v>
      </c>
      <c r="R57" s="13">
        <v>17</v>
      </c>
      <c r="S57" s="13" t="s">
        <v>440</v>
      </c>
      <c r="T57" s="13">
        <v>143</v>
      </c>
      <c r="U57" s="13" t="s">
        <v>442</v>
      </c>
      <c r="V57" s="13">
        <v>49</v>
      </c>
      <c r="W57" s="13">
        <v>19</v>
      </c>
      <c r="X57" s="13" t="s">
        <v>442</v>
      </c>
      <c r="Y57" s="33"/>
      <c r="Z57" s="33"/>
      <c r="AK57" s="13">
        <v>51</v>
      </c>
      <c r="AL57" s="13" t="str">
        <f t="shared" si="120"/>
        <v>无间+1 · 魂火3</v>
      </c>
      <c r="AM57" s="13">
        <f t="shared" si="121"/>
        <v>20</v>
      </c>
      <c r="AN57" s="13">
        <v>3</v>
      </c>
      <c r="AO57" s="13">
        <v>145</v>
      </c>
      <c r="AP57" s="49"/>
      <c r="AQ57" s="32"/>
      <c r="AR57" s="33"/>
      <c r="AS57" s="13">
        <v>52</v>
      </c>
      <c r="AT57" s="13">
        <v>4</v>
      </c>
      <c r="AU57" s="13">
        <v>12</v>
      </c>
      <c r="AV57" s="13" t="s">
        <v>435</v>
      </c>
      <c r="AW57" s="13">
        <v>80</v>
      </c>
      <c r="AX57" s="14">
        <f t="shared" si="137"/>
        <v>7</v>
      </c>
      <c r="AY57" s="13">
        <v>87</v>
      </c>
      <c r="AZ57" s="14">
        <f t="shared" si="138"/>
        <v>5493</v>
      </c>
      <c r="BA57" s="14">
        <f t="shared" si="139"/>
        <v>2697</v>
      </c>
      <c r="BB57" s="14">
        <f t="shared" si="140"/>
        <v>42538</v>
      </c>
      <c r="BC57" s="13">
        <v>30</v>
      </c>
      <c r="BD57" s="13">
        <f t="shared" si="15"/>
        <v>15</v>
      </c>
      <c r="BE57" s="14">
        <f t="shared" si="16"/>
        <v>270</v>
      </c>
      <c r="BF57" s="14">
        <f t="shared" si="122"/>
        <v>210</v>
      </c>
      <c r="BG57" s="14">
        <f t="shared" si="123"/>
        <v>105</v>
      </c>
      <c r="BH57" s="14">
        <f t="shared" si="124"/>
        <v>1890</v>
      </c>
      <c r="BI57" s="26">
        <v>4.0899999999999999E-2</v>
      </c>
      <c r="BJ57" s="26">
        <f t="shared" si="133"/>
        <v>4.0707964601769918E-2</v>
      </c>
      <c r="BK57" s="14">
        <f t="shared" si="125"/>
        <v>225</v>
      </c>
      <c r="BL57" s="14">
        <f t="shared" si="17"/>
        <v>113</v>
      </c>
      <c r="BM57" s="14">
        <f t="shared" si="18"/>
        <v>2025</v>
      </c>
      <c r="BN57" s="13">
        <v>3</v>
      </c>
      <c r="BO57" s="26">
        <v>7.2800000000000004E-2</v>
      </c>
      <c r="BP57" s="26">
        <f t="shared" si="98"/>
        <v>7.2197309417040362E-2</v>
      </c>
      <c r="BQ57" s="14">
        <f t="shared" si="126"/>
        <v>400</v>
      </c>
      <c r="BR57" s="14">
        <f t="shared" si="19"/>
        <v>200</v>
      </c>
      <c r="BS57" s="14">
        <f t="shared" si="20"/>
        <v>3600</v>
      </c>
      <c r="BT57" s="14">
        <f t="shared" si="127"/>
        <v>6778</v>
      </c>
      <c r="BU57" s="14">
        <f t="shared" si="128"/>
        <v>3341</v>
      </c>
      <c r="BV57" s="14">
        <f t="shared" si="129"/>
        <v>54103</v>
      </c>
      <c r="BW57" s="33">
        <f t="shared" si="146"/>
        <v>8400</v>
      </c>
      <c r="BX57" s="13">
        <v>5</v>
      </c>
      <c r="BY57" s="14">
        <f t="shared" si="21"/>
        <v>1285</v>
      </c>
      <c r="BZ57" s="14">
        <f t="shared" si="22"/>
        <v>644</v>
      </c>
      <c r="CA57" s="14">
        <f t="shared" si="23"/>
        <v>11565</v>
      </c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13">
        <v>52</v>
      </c>
      <c r="CY57" s="13">
        <v>4</v>
      </c>
      <c r="CZ57" s="13">
        <v>12</v>
      </c>
      <c r="DA57" s="13">
        <v>5</v>
      </c>
      <c r="DB57" s="13" t="s">
        <v>435</v>
      </c>
      <c r="DC57" s="13">
        <v>60</v>
      </c>
      <c r="DD57" s="13">
        <v>85</v>
      </c>
      <c r="DE57" s="24">
        <v>0.2</v>
      </c>
      <c r="DF57" s="14">
        <f t="shared" si="141"/>
        <v>3975</v>
      </c>
      <c r="DG57" s="14">
        <f t="shared" si="135"/>
        <v>1917</v>
      </c>
      <c r="DH57" s="14">
        <f t="shared" si="136"/>
        <v>29131</v>
      </c>
      <c r="DI57" s="14">
        <f t="shared" si="34"/>
        <v>314</v>
      </c>
      <c r="DJ57" s="14">
        <f t="shared" si="35"/>
        <v>157</v>
      </c>
      <c r="DK57" s="14">
        <f t="shared" si="36"/>
        <v>2822</v>
      </c>
      <c r="DL57" s="14">
        <f t="shared" si="37"/>
        <v>110</v>
      </c>
      <c r="DM57" s="14">
        <f t="shared" si="38"/>
        <v>55</v>
      </c>
      <c r="DN57" s="14">
        <f t="shared" si="39"/>
        <v>988</v>
      </c>
      <c r="DO57" s="14">
        <f t="shared" si="142"/>
        <v>2750</v>
      </c>
      <c r="DP57" s="14">
        <f t="shared" si="143"/>
        <v>1375</v>
      </c>
      <c r="DQ57" s="14">
        <f t="shared" si="144"/>
        <v>24700</v>
      </c>
      <c r="DR57" s="14">
        <f t="shared" si="42"/>
        <v>7039</v>
      </c>
      <c r="DS57" s="14">
        <f t="shared" si="43"/>
        <v>3449</v>
      </c>
      <c r="DT57" s="14">
        <f t="shared" si="44"/>
        <v>56653</v>
      </c>
      <c r="DU57" s="33"/>
      <c r="DV57" s="33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3"/>
      <c r="B58" s="33"/>
      <c r="C58" s="33"/>
      <c r="D58" s="33"/>
      <c r="E58" s="33"/>
      <c r="F58" s="33"/>
      <c r="G58" s="33"/>
      <c r="H58" s="33"/>
      <c r="I58" s="13">
        <v>52</v>
      </c>
      <c r="J58" s="13">
        <v>118</v>
      </c>
      <c r="K58" s="13" t="s">
        <v>439</v>
      </c>
      <c r="L58" s="13">
        <v>39</v>
      </c>
      <c r="M58" s="13">
        <v>16</v>
      </c>
      <c r="N58" s="13" t="s">
        <v>439</v>
      </c>
      <c r="O58" s="13">
        <v>131</v>
      </c>
      <c r="P58" s="13" t="s">
        <v>439</v>
      </c>
      <c r="Q58" s="13">
        <v>44</v>
      </c>
      <c r="R58" s="13">
        <v>17</v>
      </c>
      <c r="S58" s="13" t="s">
        <v>440</v>
      </c>
      <c r="T58" s="13">
        <v>144</v>
      </c>
      <c r="U58" s="13" t="s">
        <v>442</v>
      </c>
      <c r="V58" s="13">
        <v>49</v>
      </c>
      <c r="W58" s="13">
        <v>19</v>
      </c>
      <c r="X58" s="13" t="s">
        <v>442</v>
      </c>
      <c r="Y58" s="33"/>
      <c r="Z58" s="33"/>
      <c r="AK58" s="13">
        <v>52</v>
      </c>
      <c r="AL58" s="13" t="str">
        <f t="shared" si="120"/>
        <v>无间+1 · 魂火4</v>
      </c>
      <c r="AM58" s="13">
        <f t="shared" si="121"/>
        <v>20</v>
      </c>
      <c r="AN58" s="13">
        <v>4</v>
      </c>
      <c r="AO58" s="13">
        <v>148</v>
      </c>
      <c r="AP58" s="49"/>
      <c r="AQ58" s="32"/>
      <c r="AR58" s="33"/>
      <c r="AS58" s="13">
        <v>53</v>
      </c>
      <c r="AT58" s="13">
        <v>4</v>
      </c>
      <c r="AU58" s="13">
        <v>13</v>
      </c>
      <c r="AV58" s="13" t="s">
        <v>436</v>
      </c>
      <c r="AW58" s="13">
        <v>87</v>
      </c>
      <c r="AX58" s="14">
        <f t="shared" si="137"/>
        <v>8</v>
      </c>
      <c r="AY58" s="13">
        <v>95</v>
      </c>
      <c r="AZ58" s="14">
        <f t="shared" si="138"/>
        <v>6778</v>
      </c>
      <c r="BA58" s="14">
        <f t="shared" si="139"/>
        <v>3341</v>
      </c>
      <c r="BB58" s="14">
        <f t="shared" si="140"/>
        <v>54103</v>
      </c>
      <c r="BC58" s="13">
        <v>40</v>
      </c>
      <c r="BD58" s="13">
        <f t="shared" si="15"/>
        <v>20</v>
      </c>
      <c r="BE58" s="14">
        <f t="shared" si="16"/>
        <v>400</v>
      </c>
      <c r="BF58" s="14">
        <f t="shared" si="122"/>
        <v>320</v>
      </c>
      <c r="BG58" s="14">
        <f t="shared" si="123"/>
        <v>160</v>
      </c>
      <c r="BH58" s="14">
        <f t="shared" si="124"/>
        <v>3200</v>
      </c>
      <c r="BI58" s="26">
        <v>4.0500000000000001E-2</v>
      </c>
      <c r="BJ58" s="26">
        <f t="shared" si="133"/>
        <v>4.0707964601769918E-2</v>
      </c>
      <c r="BK58" s="14">
        <f t="shared" si="125"/>
        <v>275</v>
      </c>
      <c r="BL58" s="14">
        <f t="shared" si="17"/>
        <v>138</v>
      </c>
      <c r="BM58" s="14">
        <f t="shared" si="18"/>
        <v>2750</v>
      </c>
      <c r="BN58" s="13">
        <v>3</v>
      </c>
      <c r="BO58" s="26">
        <v>6.6400000000000001E-2</v>
      </c>
      <c r="BP58" s="26">
        <f t="shared" si="98"/>
        <v>6.5919282511210764E-2</v>
      </c>
      <c r="BQ58" s="14">
        <f t="shared" si="126"/>
        <v>450</v>
      </c>
      <c r="BR58" s="14">
        <f t="shared" si="19"/>
        <v>225</v>
      </c>
      <c r="BS58" s="14">
        <f t="shared" si="20"/>
        <v>4500</v>
      </c>
      <c r="BT58" s="14">
        <f t="shared" si="127"/>
        <v>8373</v>
      </c>
      <c r="BU58" s="14">
        <f t="shared" si="128"/>
        <v>4140</v>
      </c>
      <c r="BV58" s="14">
        <f t="shared" si="129"/>
        <v>70053</v>
      </c>
      <c r="BW58" s="33">
        <f t="shared" si="146"/>
        <v>10400</v>
      </c>
      <c r="BX58" s="13">
        <v>6</v>
      </c>
      <c r="BY58" s="14">
        <f t="shared" si="21"/>
        <v>1595</v>
      </c>
      <c r="BZ58" s="14">
        <f t="shared" si="22"/>
        <v>799</v>
      </c>
      <c r="CA58" s="14">
        <f t="shared" si="23"/>
        <v>15950</v>
      </c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13">
        <v>53</v>
      </c>
      <c r="CY58" s="13">
        <v>4</v>
      </c>
      <c r="CZ58" s="13">
        <v>13</v>
      </c>
      <c r="DA58" s="13">
        <v>6</v>
      </c>
      <c r="DB58" s="13" t="s">
        <v>436</v>
      </c>
      <c r="DC58" s="13">
        <v>85</v>
      </c>
      <c r="DD58" s="13">
        <v>85</v>
      </c>
      <c r="DE58" s="24">
        <v>0.2</v>
      </c>
      <c r="DF58" s="14">
        <f t="shared" si="141"/>
        <v>7039</v>
      </c>
      <c r="DG58" s="14">
        <f t="shared" si="135"/>
        <v>3449</v>
      </c>
      <c r="DH58" s="14">
        <f t="shared" si="136"/>
        <v>56653</v>
      </c>
      <c r="DI58" s="14">
        <f t="shared" si="34"/>
        <v>579</v>
      </c>
      <c r="DJ58" s="14">
        <f t="shared" si="35"/>
        <v>290</v>
      </c>
      <c r="DK58" s="14">
        <f t="shared" si="36"/>
        <v>5790</v>
      </c>
      <c r="DL58" s="14">
        <f t="shared" si="37"/>
        <v>203</v>
      </c>
      <c r="DM58" s="14">
        <f t="shared" si="38"/>
        <v>101</v>
      </c>
      <c r="DN58" s="14">
        <f t="shared" si="39"/>
        <v>2027</v>
      </c>
      <c r="DO58" s="14">
        <f t="shared" si="142"/>
        <v>0</v>
      </c>
      <c r="DP58" s="14">
        <f t="shared" si="143"/>
        <v>0</v>
      </c>
      <c r="DQ58" s="14">
        <f t="shared" si="144"/>
        <v>0</v>
      </c>
      <c r="DR58" s="14">
        <f t="shared" si="42"/>
        <v>7618</v>
      </c>
      <c r="DS58" s="14">
        <f t="shared" si="43"/>
        <v>3739</v>
      </c>
      <c r="DT58" s="14">
        <f t="shared" si="44"/>
        <v>62443</v>
      </c>
      <c r="DU58" s="33"/>
      <c r="DV58" s="33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3"/>
      <c r="B59" s="33"/>
      <c r="C59" s="33"/>
      <c r="D59" s="33"/>
      <c r="E59" s="33"/>
      <c r="F59" s="33"/>
      <c r="G59" s="33"/>
      <c r="H59" s="33"/>
      <c r="I59" s="13">
        <v>53</v>
      </c>
      <c r="J59" s="13">
        <v>119</v>
      </c>
      <c r="K59" s="13" t="s">
        <v>439</v>
      </c>
      <c r="L59" s="13">
        <v>39</v>
      </c>
      <c r="M59" s="13">
        <v>16</v>
      </c>
      <c r="N59" s="13" t="s">
        <v>439</v>
      </c>
      <c r="O59" s="13">
        <v>132</v>
      </c>
      <c r="P59" s="13" t="s">
        <v>439</v>
      </c>
      <c r="Q59" s="13">
        <v>45</v>
      </c>
      <c r="R59" s="13">
        <v>18</v>
      </c>
      <c r="S59" s="13" t="s">
        <v>441</v>
      </c>
      <c r="T59" s="13">
        <v>144</v>
      </c>
      <c r="U59" s="13" t="s">
        <v>442</v>
      </c>
      <c r="V59" s="13">
        <v>49</v>
      </c>
      <c r="W59" s="13">
        <v>19</v>
      </c>
      <c r="X59" s="13" t="s">
        <v>442</v>
      </c>
      <c r="Y59" s="33"/>
      <c r="Z59" s="33"/>
      <c r="AP59" s="33"/>
      <c r="AQ59" s="33"/>
      <c r="AR59" s="33"/>
      <c r="AS59" s="13">
        <v>54</v>
      </c>
      <c r="AT59" s="13">
        <v>4</v>
      </c>
      <c r="AU59" s="13">
        <v>14</v>
      </c>
      <c r="AV59" s="13" t="s">
        <v>437</v>
      </c>
      <c r="AW59" s="13">
        <v>95</v>
      </c>
      <c r="AX59" s="14">
        <f t="shared" si="137"/>
        <v>7</v>
      </c>
      <c r="AY59" s="13">
        <v>102</v>
      </c>
      <c r="AZ59" s="14">
        <f t="shared" si="138"/>
        <v>8373</v>
      </c>
      <c r="BA59" s="14">
        <f t="shared" si="139"/>
        <v>4140</v>
      </c>
      <c r="BB59" s="14">
        <f t="shared" si="140"/>
        <v>70053</v>
      </c>
      <c r="BC59" s="13">
        <v>40</v>
      </c>
      <c r="BD59" s="13">
        <f t="shared" si="15"/>
        <v>20</v>
      </c>
      <c r="BE59" s="14">
        <f t="shared" si="16"/>
        <v>400</v>
      </c>
      <c r="BF59" s="14">
        <f t="shared" si="122"/>
        <v>280</v>
      </c>
      <c r="BG59" s="14">
        <f t="shared" si="123"/>
        <v>140</v>
      </c>
      <c r="BH59" s="14">
        <f t="shared" si="124"/>
        <v>2800</v>
      </c>
      <c r="BI59" s="26">
        <v>3.8199999999999998E-2</v>
      </c>
      <c r="BJ59" s="26">
        <f t="shared" si="133"/>
        <v>3.9115044247787618E-2</v>
      </c>
      <c r="BK59" s="14">
        <f t="shared" si="125"/>
        <v>320</v>
      </c>
      <c r="BL59" s="14">
        <f t="shared" si="17"/>
        <v>160</v>
      </c>
      <c r="BM59" s="14">
        <f t="shared" si="18"/>
        <v>3200</v>
      </c>
      <c r="BN59" s="13">
        <v>3</v>
      </c>
      <c r="BO59" s="26">
        <v>5.9700000000000003E-2</v>
      </c>
      <c r="BP59" s="26">
        <f t="shared" si="98"/>
        <v>5.946188340807175E-2</v>
      </c>
      <c r="BQ59" s="14">
        <f t="shared" si="126"/>
        <v>500</v>
      </c>
      <c r="BR59" s="14">
        <f t="shared" si="19"/>
        <v>250</v>
      </c>
      <c r="BS59" s="14">
        <f t="shared" si="20"/>
        <v>5000</v>
      </c>
      <c r="BT59" s="14">
        <f t="shared" si="127"/>
        <v>10113</v>
      </c>
      <c r="BU59" s="14">
        <f t="shared" si="128"/>
        <v>5010</v>
      </c>
      <c r="BV59" s="14">
        <f t="shared" si="129"/>
        <v>87453</v>
      </c>
      <c r="BW59" s="33">
        <f t="shared" si="146"/>
        <v>12500</v>
      </c>
      <c r="BX59" s="13">
        <v>6</v>
      </c>
      <c r="BY59" s="14">
        <f t="shared" si="21"/>
        <v>1740</v>
      </c>
      <c r="BZ59" s="14">
        <f t="shared" si="22"/>
        <v>870</v>
      </c>
      <c r="CA59" s="14">
        <f t="shared" si="23"/>
        <v>17400</v>
      </c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13">
        <v>54</v>
      </c>
      <c r="CY59" s="13">
        <v>4</v>
      </c>
      <c r="CZ59" s="13">
        <v>14</v>
      </c>
      <c r="DA59" s="13">
        <v>6</v>
      </c>
      <c r="DB59" s="13" t="s">
        <v>437</v>
      </c>
      <c r="DC59" s="13">
        <v>85</v>
      </c>
      <c r="DD59" s="13">
        <v>85</v>
      </c>
      <c r="DE59" s="24">
        <v>0.2</v>
      </c>
      <c r="DF59" s="14">
        <f t="shared" si="141"/>
        <v>7618</v>
      </c>
      <c r="DG59" s="14">
        <f t="shared" si="135"/>
        <v>3739</v>
      </c>
      <c r="DH59" s="14">
        <f t="shared" si="136"/>
        <v>62443</v>
      </c>
      <c r="DI59" s="14">
        <f t="shared" si="34"/>
        <v>579</v>
      </c>
      <c r="DJ59" s="14">
        <f t="shared" si="35"/>
        <v>290</v>
      </c>
      <c r="DK59" s="14">
        <f t="shared" si="36"/>
        <v>5790</v>
      </c>
      <c r="DL59" s="14">
        <f t="shared" si="37"/>
        <v>203</v>
      </c>
      <c r="DM59" s="14">
        <f t="shared" si="38"/>
        <v>101</v>
      </c>
      <c r="DN59" s="14">
        <f t="shared" si="39"/>
        <v>2027</v>
      </c>
      <c r="DO59" s="14">
        <f t="shared" si="142"/>
        <v>0</v>
      </c>
      <c r="DP59" s="14">
        <f t="shared" si="143"/>
        <v>0</v>
      </c>
      <c r="DQ59" s="14">
        <f t="shared" si="144"/>
        <v>0</v>
      </c>
      <c r="DR59" s="14">
        <f t="shared" si="42"/>
        <v>8197</v>
      </c>
      <c r="DS59" s="14">
        <f t="shared" si="43"/>
        <v>4029</v>
      </c>
      <c r="DT59" s="14">
        <f t="shared" si="44"/>
        <v>68233</v>
      </c>
      <c r="DU59" s="33"/>
      <c r="DV59" s="33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3"/>
      <c r="B60" s="33"/>
      <c r="C60" s="33"/>
      <c r="D60" s="33"/>
      <c r="E60" s="33"/>
      <c r="F60" s="33"/>
      <c r="G60" s="33"/>
      <c r="H60" s="33"/>
      <c r="I60" s="13">
        <v>54</v>
      </c>
      <c r="J60" s="13">
        <v>120</v>
      </c>
      <c r="K60" s="13" t="s">
        <v>439</v>
      </c>
      <c r="L60" s="13">
        <v>40</v>
      </c>
      <c r="M60" s="13">
        <v>16</v>
      </c>
      <c r="N60" s="13" t="s">
        <v>439</v>
      </c>
      <c r="O60" s="13">
        <v>133</v>
      </c>
      <c r="P60" s="13" t="s">
        <v>439</v>
      </c>
      <c r="Q60" s="13">
        <v>45</v>
      </c>
      <c r="R60" s="13">
        <v>18</v>
      </c>
      <c r="S60" s="13" t="s">
        <v>441</v>
      </c>
      <c r="T60" s="13">
        <v>146</v>
      </c>
      <c r="U60" s="13" t="s">
        <v>442</v>
      </c>
      <c r="V60" s="13">
        <v>50</v>
      </c>
      <c r="W60" s="13">
        <v>19</v>
      </c>
      <c r="X60" s="13" t="s">
        <v>442</v>
      </c>
      <c r="Y60" s="33"/>
      <c r="Z60" s="33"/>
      <c r="AP60" s="33"/>
      <c r="AQ60" s="33"/>
      <c r="AR60" s="33"/>
      <c r="AS60" s="13">
        <v>55</v>
      </c>
      <c r="AT60" s="13">
        <v>4</v>
      </c>
      <c r="AU60" s="13">
        <v>15</v>
      </c>
      <c r="AV60" s="13" t="s">
        <v>438</v>
      </c>
      <c r="AW60" s="13">
        <v>102</v>
      </c>
      <c r="AX60" s="14">
        <f t="shared" si="137"/>
        <v>8</v>
      </c>
      <c r="AY60" s="13">
        <v>110</v>
      </c>
      <c r="AZ60" s="14">
        <f t="shared" si="138"/>
        <v>10113</v>
      </c>
      <c r="BA60" s="14">
        <f t="shared" si="139"/>
        <v>5010</v>
      </c>
      <c r="BB60" s="14">
        <f t="shared" si="140"/>
        <v>87453</v>
      </c>
      <c r="BC60" s="13">
        <v>40</v>
      </c>
      <c r="BD60" s="13">
        <f t="shared" si="15"/>
        <v>20</v>
      </c>
      <c r="BE60" s="14">
        <f t="shared" si="16"/>
        <v>400</v>
      </c>
      <c r="BF60" s="14">
        <f t="shared" si="122"/>
        <v>320</v>
      </c>
      <c r="BG60" s="14">
        <f t="shared" si="123"/>
        <v>160</v>
      </c>
      <c r="BH60" s="14">
        <f t="shared" si="124"/>
        <v>3200</v>
      </c>
      <c r="BI60" s="26">
        <v>4.3999999999999997E-2</v>
      </c>
      <c r="BJ60" s="26">
        <f t="shared" si="133"/>
        <v>4.2566371681415929E-2</v>
      </c>
      <c r="BK60" s="14">
        <f t="shared" si="125"/>
        <v>445</v>
      </c>
      <c r="BL60" s="14">
        <f t="shared" si="17"/>
        <v>223</v>
      </c>
      <c r="BM60" s="14">
        <f t="shared" si="18"/>
        <v>4450</v>
      </c>
      <c r="BN60" s="13">
        <v>3</v>
      </c>
      <c r="BO60" s="26">
        <v>7.9100000000000004E-2</v>
      </c>
      <c r="BP60" s="26">
        <f t="shared" si="98"/>
        <v>8.0896860986547081E-2</v>
      </c>
      <c r="BQ60" s="14">
        <f t="shared" si="126"/>
        <v>800</v>
      </c>
      <c r="BR60" s="14">
        <f t="shared" si="19"/>
        <v>400</v>
      </c>
      <c r="BS60" s="14">
        <f t="shared" si="20"/>
        <v>8000</v>
      </c>
      <c r="BT60" s="14">
        <f t="shared" si="127"/>
        <v>12568</v>
      </c>
      <c r="BU60" s="14">
        <f t="shared" si="128"/>
        <v>6239</v>
      </c>
      <c r="BV60" s="14">
        <f t="shared" si="129"/>
        <v>112003</v>
      </c>
      <c r="BW60" s="33">
        <f t="shared" si="146"/>
        <v>15600</v>
      </c>
      <c r="BX60" s="13">
        <v>6</v>
      </c>
      <c r="BY60" s="14">
        <f t="shared" si="21"/>
        <v>2455</v>
      </c>
      <c r="BZ60" s="14">
        <f t="shared" si="22"/>
        <v>1229</v>
      </c>
      <c r="CA60" s="14">
        <f t="shared" si="23"/>
        <v>24550</v>
      </c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13">
        <v>55</v>
      </c>
      <c r="CY60" s="13">
        <v>4</v>
      </c>
      <c r="CZ60" s="13">
        <v>15</v>
      </c>
      <c r="DA60" s="13">
        <v>6</v>
      </c>
      <c r="DB60" s="13" t="s">
        <v>438</v>
      </c>
      <c r="DC60" s="13">
        <v>85</v>
      </c>
      <c r="DD60" s="13">
        <v>110</v>
      </c>
      <c r="DE60" s="24">
        <v>0.2</v>
      </c>
      <c r="DF60" s="14">
        <f t="shared" si="141"/>
        <v>8197</v>
      </c>
      <c r="DG60" s="14">
        <f t="shared" si="135"/>
        <v>4029</v>
      </c>
      <c r="DH60" s="14">
        <f t="shared" si="136"/>
        <v>68233</v>
      </c>
      <c r="DI60" s="14">
        <f t="shared" si="34"/>
        <v>579</v>
      </c>
      <c r="DJ60" s="14">
        <f t="shared" si="35"/>
        <v>290</v>
      </c>
      <c r="DK60" s="14">
        <f t="shared" si="36"/>
        <v>5790</v>
      </c>
      <c r="DL60" s="14">
        <f t="shared" si="37"/>
        <v>203</v>
      </c>
      <c r="DM60" s="14">
        <f t="shared" si="38"/>
        <v>101</v>
      </c>
      <c r="DN60" s="14">
        <f t="shared" si="39"/>
        <v>2027</v>
      </c>
      <c r="DO60" s="14">
        <f t="shared" si="142"/>
        <v>5075</v>
      </c>
      <c r="DP60" s="14">
        <f t="shared" si="143"/>
        <v>2525</v>
      </c>
      <c r="DQ60" s="14">
        <f t="shared" si="144"/>
        <v>50675</v>
      </c>
      <c r="DR60" s="14">
        <f t="shared" si="42"/>
        <v>13851</v>
      </c>
      <c r="DS60" s="14">
        <f t="shared" si="43"/>
        <v>6844</v>
      </c>
      <c r="DT60" s="14">
        <f t="shared" si="44"/>
        <v>124698</v>
      </c>
      <c r="DU60" s="33"/>
      <c r="DV60" s="33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3"/>
      <c r="B61" s="33"/>
      <c r="C61" s="33"/>
      <c r="D61" s="33"/>
      <c r="E61" s="33"/>
      <c r="F61" s="33"/>
      <c r="G61" s="33"/>
      <c r="H61" s="33"/>
      <c r="I61" s="13">
        <v>55</v>
      </c>
      <c r="J61" s="13">
        <v>121</v>
      </c>
      <c r="K61" s="13" t="s">
        <v>439</v>
      </c>
      <c r="L61" s="13">
        <v>40</v>
      </c>
      <c r="M61" s="13">
        <v>16</v>
      </c>
      <c r="N61" s="13" t="s">
        <v>439</v>
      </c>
      <c r="O61" s="13">
        <v>133</v>
      </c>
      <c r="P61" s="13" t="s">
        <v>439</v>
      </c>
      <c r="Q61" s="13">
        <v>45</v>
      </c>
      <c r="R61" s="13">
        <v>18</v>
      </c>
      <c r="S61" s="13" t="s">
        <v>441</v>
      </c>
      <c r="T61" s="13">
        <v>147</v>
      </c>
      <c r="U61" s="13" t="s">
        <v>442</v>
      </c>
      <c r="V61" s="13">
        <v>51</v>
      </c>
      <c r="W61" s="13">
        <v>19</v>
      </c>
      <c r="X61" s="13" t="s">
        <v>442</v>
      </c>
      <c r="Y61" s="33"/>
      <c r="Z61" s="33"/>
      <c r="AP61" s="33"/>
      <c r="AQ61" s="33"/>
      <c r="AR61" s="33"/>
      <c r="AS61" s="13">
        <v>56</v>
      </c>
      <c r="AT61" s="13">
        <v>4</v>
      </c>
      <c r="AU61" s="13">
        <v>16</v>
      </c>
      <c r="AV61" s="13" t="s">
        <v>439</v>
      </c>
      <c r="AW61" s="13">
        <v>110</v>
      </c>
      <c r="AX61" s="14">
        <f t="shared" si="137"/>
        <v>7</v>
      </c>
      <c r="AY61" s="13">
        <v>117</v>
      </c>
      <c r="AZ61" s="14">
        <f t="shared" si="138"/>
        <v>12568</v>
      </c>
      <c r="BA61" s="14">
        <f t="shared" si="139"/>
        <v>6239</v>
      </c>
      <c r="BB61" s="14">
        <f t="shared" si="140"/>
        <v>112003</v>
      </c>
      <c r="BC61" s="13">
        <v>50</v>
      </c>
      <c r="BD61" s="13">
        <f t="shared" si="15"/>
        <v>25</v>
      </c>
      <c r="BE61" s="14">
        <f t="shared" si="16"/>
        <v>500</v>
      </c>
      <c r="BF61" s="14">
        <f t="shared" si="122"/>
        <v>350</v>
      </c>
      <c r="BG61" s="14">
        <f t="shared" si="123"/>
        <v>175</v>
      </c>
      <c r="BH61" s="14">
        <f t="shared" si="124"/>
        <v>3500</v>
      </c>
      <c r="BI61" s="26">
        <v>4.1399999999999999E-2</v>
      </c>
      <c r="BJ61" s="26">
        <f t="shared" si="133"/>
        <v>4.2300884955752217E-2</v>
      </c>
      <c r="BK61" s="14">
        <f t="shared" si="125"/>
        <v>520</v>
      </c>
      <c r="BL61" s="14">
        <f t="shared" si="17"/>
        <v>260</v>
      </c>
      <c r="BM61" s="14">
        <f t="shared" si="18"/>
        <v>5200</v>
      </c>
      <c r="BN61" s="13">
        <v>3</v>
      </c>
      <c r="BO61" s="26">
        <v>6.7599999999999993E-2</v>
      </c>
      <c r="BP61" s="26">
        <f t="shared" si="98"/>
        <v>6.8520179372197301E-2</v>
      </c>
      <c r="BQ61" s="14">
        <f t="shared" si="126"/>
        <v>850</v>
      </c>
      <c r="BR61" s="14">
        <f t="shared" si="19"/>
        <v>425</v>
      </c>
      <c r="BS61" s="14">
        <f t="shared" si="20"/>
        <v>8500</v>
      </c>
      <c r="BT61" s="14">
        <f t="shared" si="127"/>
        <v>15328</v>
      </c>
      <c r="BU61" s="14">
        <f t="shared" si="128"/>
        <v>7619</v>
      </c>
      <c r="BV61" s="14">
        <f t="shared" si="129"/>
        <v>139603</v>
      </c>
      <c r="BW61" s="33">
        <f t="shared" si="146"/>
        <v>19000</v>
      </c>
      <c r="BX61" s="13">
        <v>7</v>
      </c>
      <c r="BY61" s="14">
        <f t="shared" si="21"/>
        <v>2760</v>
      </c>
      <c r="BZ61" s="14">
        <f t="shared" si="22"/>
        <v>1380</v>
      </c>
      <c r="CA61" s="14">
        <f t="shared" si="23"/>
        <v>27600</v>
      </c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13">
        <v>56</v>
      </c>
      <c r="CY61" s="13">
        <v>4</v>
      </c>
      <c r="CZ61" s="13">
        <v>16</v>
      </c>
      <c r="DA61" s="13">
        <v>7</v>
      </c>
      <c r="DB61" s="13" t="s">
        <v>439</v>
      </c>
      <c r="DC61" s="13">
        <v>110</v>
      </c>
      <c r="DD61" s="13">
        <v>110</v>
      </c>
      <c r="DE61" s="24">
        <v>0.2</v>
      </c>
      <c r="DF61" s="14">
        <f t="shared" si="141"/>
        <v>13851</v>
      </c>
      <c r="DG61" s="14">
        <f t="shared" si="135"/>
        <v>6844</v>
      </c>
      <c r="DH61" s="14">
        <f t="shared" si="136"/>
        <v>124698</v>
      </c>
      <c r="DI61" s="14">
        <f t="shared" si="34"/>
        <v>1016</v>
      </c>
      <c r="DJ61" s="14">
        <f t="shared" si="35"/>
        <v>508</v>
      </c>
      <c r="DK61" s="14">
        <f t="shared" si="36"/>
        <v>10160</v>
      </c>
      <c r="DL61" s="14">
        <f t="shared" si="37"/>
        <v>284</v>
      </c>
      <c r="DM61" s="14">
        <f t="shared" si="38"/>
        <v>142</v>
      </c>
      <c r="DN61" s="14">
        <f t="shared" si="39"/>
        <v>2845</v>
      </c>
      <c r="DO61" s="14">
        <f t="shared" si="142"/>
        <v>0</v>
      </c>
      <c r="DP61" s="14">
        <f t="shared" si="143"/>
        <v>0</v>
      </c>
      <c r="DQ61" s="14">
        <f t="shared" si="144"/>
        <v>0</v>
      </c>
      <c r="DR61" s="14">
        <f t="shared" si="42"/>
        <v>14867</v>
      </c>
      <c r="DS61" s="14">
        <f t="shared" si="43"/>
        <v>7352</v>
      </c>
      <c r="DT61" s="14">
        <f t="shared" si="44"/>
        <v>134858</v>
      </c>
      <c r="DU61" s="33"/>
      <c r="DV61" s="33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3"/>
      <c r="B62" s="33"/>
      <c r="C62" s="33"/>
      <c r="D62" s="33"/>
      <c r="E62" s="33"/>
      <c r="F62" s="33"/>
      <c r="G62" s="33"/>
      <c r="H62" s="33"/>
      <c r="I62" s="13">
        <v>56</v>
      </c>
      <c r="J62" s="13">
        <v>122</v>
      </c>
      <c r="K62" s="13" t="s">
        <v>439</v>
      </c>
      <c r="L62" s="13">
        <v>41</v>
      </c>
      <c r="M62" s="13">
        <v>16</v>
      </c>
      <c r="N62" s="13" t="s">
        <v>439</v>
      </c>
      <c r="O62" s="13">
        <v>134</v>
      </c>
      <c r="P62" s="13" t="s">
        <v>439</v>
      </c>
      <c r="Q62" s="13">
        <v>45</v>
      </c>
      <c r="R62" s="13">
        <v>18</v>
      </c>
      <c r="S62" s="13" t="s">
        <v>441</v>
      </c>
      <c r="T62" s="13">
        <v>147</v>
      </c>
      <c r="U62" s="13" t="s">
        <v>442</v>
      </c>
      <c r="V62" s="13">
        <v>51</v>
      </c>
      <c r="W62" s="13">
        <v>19</v>
      </c>
      <c r="X62" s="13" t="s">
        <v>442</v>
      </c>
      <c r="Y62" s="33"/>
      <c r="Z62" s="33"/>
      <c r="AP62" s="33"/>
      <c r="AQ62" s="33"/>
      <c r="AR62" s="33"/>
      <c r="AS62" s="13">
        <v>57</v>
      </c>
      <c r="AT62" s="13">
        <v>4</v>
      </c>
      <c r="AU62" s="13">
        <v>17</v>
      </c>
      <c r="AV62" s="13" t="s">
        <v>440</v>
      </c>
      <c r="AW62" s="13">
        <v>117</v>
      </c>
      <c r="AX62" s="14">
        <f t="shared" si="137"/>
        <v>8</v>
      </c>
      <c r="AY62" s="13">
        <v>125</v>
      </c>
      <c r="AZ62" s="14">
        <f t="shared" si="138"/>
        <v>15328</v>
      </c>
      <c r="BA62" s="14">
        <f t="shared" si="139"/>
        <v>7619</v>
      </c>
      <c r="BB62" s="14">
        <f t="shared" si="140"/>
        <v>139603</v>
      </c>
      <c r="BC62" s="13">
        <v>50</v>
      </c>
      <c r="BD62" s="13">
        <f t="shared" si="15"/>
        <v>25</v>
      </c>
      <c r="BE62" s="14">
        <f t="shared" si="16"/>
        <v>500</v>
      </c>
      <c r="BF62" s="14">
        <f t="shared" si="122"/>
        <v>400</v>
      </c>
      <c r="BG62" s="14">
        <f t="shared" si="123"/>
        <v>200</v>
      </c>
      <c r="BH62" s="14">
        <f t="shared" si="124"/>
        <v>4000</v>
      </c>
      <c r="BI62" s="26">
        <v>4.24E-2</v>
      </c>
      <c r="BJ62" s="26">
        <f t="shared" si="133"/>
        <v>4.092920353982301E-2</v>
      </c>
      <c r="BK62" s="14">
        <f t="shared" si="125"/>
        <v>650</v>
      </c>
      <c r="BL62" s="14">
        <f t="shared" si="17"/>
        <v>325</v>
      </c>
      <c r="BM62" s="14">
        <f t="shared" si="18"/>
        <v>6500</v>
      </c>
      <c r="BN62" s="13">
        <v>3</v>
      </c>
      <c r="BO62" s="26">
        <v>6.2E-2</v>
      </c>
      <c r="BP62" s="26">
        <f t="shared" si="98"/>
        <v>6.2197309417040353E-2</v>
      </c>
      <c r="BQ62" s="14">
        <f t="shared" si="126"/>
        <v>950</v>
      </c>
      <c r="BR62" s="14">
        <f t="shared" si="19"/>
        <v>475</v>
      </c>
      <c r="BS62" s="14">
        <f t="shared" si="20"/>
        <v>9500</v>
      </c>
      <c r="BT62" s="14">
        <f t="shared" si="127"/>
        <v>18628</v>
      </c>
      <c r="BU62" s="14">
        <f t="shared" si="128"/>
        <v>9269</v>
      </c>
      <c r="BV62" s="14">
        <f t="shared" si="129"/>
        <v>172603</v>
      </c>
      <c r="BW62" s="33">
        <f t="shared" si="146"/>
        <v>23200</v>
      </c>
      <c r="BX62" s="13">
        <v>7</v>
      </c>
      <c r="BY62" s="14">
        <f t="shared" si="21"/>
        <v>3300</v>
      </c>
      <c r="BZ62" s="14">
        <f t="shared" si="22"/>
        <v>1650</v>
      </c>
      <c r="CA62" s="14">
        <f t="shared" si="23"/>
        <v>33000</v>
      </c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13">
        <v>57</v>
      </c>
      <c r="CY62" s="13">
        <v>4</v>
      </c>
      <c r="CZ62" s="13">
        <v>17</v>
      </c>
      <c r="DA62" s="13">
        <v>7</v>
      </c>
      <c r="DB62" s="13" t="s">
        <v>440</v>
      </c>
      <c r="DC62" s="13">
        <v>110</v>
      </c>
      <c r="DD62" s="13">
        <v>110</v>
      </c>
      <c r="DE62" s="24">
        <v>0.2</v>
      </c>
      <c r="DF62" s="14">
        <f t="shared" si="141"/>
        <v>14867</v>
      </c>
      <c r="DG62" s="14">
        <f t="shared" si="135"/>
        <v>7352</v>
      </c>
      <c r="DH62" s="14">
        <f t="shared" si="136"/>
        <v>134858</v>
      </c>
      <c r="DI62" s="14">
        <f t="shared" si="34"/>
        <v>1016</v>
      </c>
      <c r="DJ62" s="14">
        <f t="shared" si="35"/>
        <v>508</v>
      </c>
      <c r="DK62" s="14">
        <f t="shared" si="36"/>
        <v>10160</v>
      </c>
      <c r="DL62" s="14">
        <f t="shared" si="37"/>
        <v>284</v>
      </c>
      <c r="DM62" s="14">
        <f t="shared" si="38"/>
        <v>142</v>
      </c>
      <c r="DN62" s="14">
        <f t="shared" si="39"/>
        <v>2845</v>
      </c>
      <c r="DO62" s="14">
        <f t="shared" si="142"/>
        <v>0</v>
      </c>
      <c r="DP62" s="14">
        <f t="shared" si="143"/>
        <v>0</v>
      </c>
      <c r="DQ62" s="14">
        <f t="shared" si="144"/>
        <v>0</v>
      </c>
      <c r="DR62" s="14">
        <f t="shared" si="42"/>
        <v>15883</v>
      </c>
      <c r="DS62" s="14">
        <f t="shared" si="43"/>
        <v>7860</v>
      </c>
      <c r="DT62" s="14">
        <f t="shared" si="44"/>
        <v>145018</v>
      </c>
      <c r="DU62" s="33"/>
      <c r="DV62" s="33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3"/>
      <c r="B63" s="33"/>
      <c r="C63" s="33"/>
      <c r="D63" s="33"/>
      <c r="E63" s="33"/>
      <c r="F63" s="33"/>
      <c r="G63" s="33"/>
      <c r="H63" s="33"/>
      <c r="I63" s="13">
        <v>57</v>
      </c>
      <c r="J63" s="13">
        <v>123</v>
      </c>
      <c r="K63" s="13" t="s">
        <v>439</v>
      </c>
      <c r="L63" s="13">
        <v>41</v>
      </c>
      <c r="M63" s="13">
        <v>16</v>
      </c>
      <c r="N63" s="13" t="s">
        <v>439</v>
      </c>
      <c r="O63" s="13">
        <v>134</v>
      </c>
      <c r="P63" s="13" t="s">
        <v>439</v>
      </c>
      <c r="Q63" s="13">
        <v>45</v>
      </c>
      <c r="R63" s="13">
        <v>18</v>
      </c>
      <c r="S63" s="13" t="s">
        <v>441</v>
      </c>
      <c r="T63" s="13">
        <v>148</v>
      </c>
      <c r="U63" s="13" t="s">
        <v>442</v>
      </c>
      <c r="V63" s="13">
        <v>51</v>
      </c>
      <c r="W63" s="13">
        <v>19</v>
      </c>
      <c r="X63" s="13" t="s">
        <v>442</v>
      </c>
      <c r="Y63" s="33"/>
      <c r="Z63" s="33"/>
      <c r="AP63" s="33"/>
      <c r="AQ63" s="33"/>
      <c r="AR63" s="33"/>
      <c r="AS63" s="13">
        <v>58</v>
      </c>
      <c r="AT63" s="13">
        <v>4</v>
      </c>
      <c r="AU63" s="13">
        <v>18</v>
      </c>
      <c r="AV63" s="13" t="s">
        <v>441</v>
      </c>
      <c r="AW63" s="13">
        <v>125</v>
      </c>
      <c r="AX63" s="14">
        <f t="shared" si="137"/>
        <v>7</v>
      </c>
      <c r="AY63" s="13">
        <v>132</v>
      </c>
      <c r="AZ63" s="14">
        <f t="shared" si="138"/>
        <v>18628</v>
      </c>
      <c r="BA63" s="14">
        <f t="shared" si="139"/>
        <v>9269</v>
      </c>
      <c r="BB63" s="14">
        <f t="shared" si="140"/>
        <v>172603</v>
      </c>
      <c r="BC63" s="13">
        <v>50</v>
      </c>
      <c r="BD63" s="13">
        <f t="shared" si="15"/>
        <v>25</v>
      </c>
      <c r="BE63" s="14">
        <f t="shared" si="16"/>
        <v>500</v>
      </c>
      <c r="BF63" s="14">
        <f t="shared" si="122"/>
        <v>350</v>
      </c>
      <c r="BG63" s="14">
        <f t="shared" si="123"/>
        <v>175</v>
      </c>
      <c r="BH63" s="14">
        <f t="shared" si="124"/>
        <v>3500</v>
      </c>
      <c r="BI63" s="26">
        <v>4.0250000000000001E-2</v>
      </c>
      <c r="BJ63" s="26">
        <f t="shared" si="133"/>
        <v>3.8893805309734519E-2</v>
      </c>
      <c r="BK63" s="14">
        <f t="shared" si="125"/>
        <v>750</v>
      </c>
      <c r="BL63" s="14">
        <f t="shared" si="17"/>
        <v>375</v>
      </c>
      <c r="BM63" s="14">
        <f t="shared" si="18"/>
        <v>7500</v>
      </c>
      <c r="BN63" s="13">
        <v>3</v>
      </c>
      <c r="BO63" s="26">
        <v>8.0500000000000002E-2</v>
      </c>
      <c r="BP63" s="26">
        <f t="shared" si="98"/>
        <v>8.4529147982062777E-2</v>
      </c>
      <c r="BQ63" s="14">
        <f t="shared" si="126"/>
        <v>1500</v>
      </c>
      <c r="BR63" s="14">
        <f t="shared" si="19"/>
        <v>750</v>
      </c>
      <c r="BS63" s="14">
        <f t="shared" si="20"/>
        <v>15000</v>
      </c>
      <c r="BT63" s="14">
        <f t="shared" si="127"/>
        <v>22728</v>
      </c>
      <c r="BU63" s="14">
        <f t="shared" si="128"/>
        <v>11319</v>
      </c>
      <c r="BV63" s="14">
        <f t="shared" si="129"/>
        <v>213603</v>
      </c>
      <c r="BW63" s="33">
        <f t="shared" si="146"/>
        <v>28300</v>
      </c>
      <c r="BX63" s="13">
        <v>7</v>
      </c>
      <c r="BY63" s="14">
        <f t="shared" si="21"/>
        <v>4100</v>
      </c>
      <c r="BZ63" s="14">
        <f t="shared" si="22"/>
        <v>2050</v>
      </c>
      <c r="CA63" s="14">
        <f t="shared" si="23"/>
        <v>41000</v>
      </c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13">
        <v>58</v>
      </c>
      <c r="CY63" s="13">
        <v>4</v>
      </c>
      <c r="CZ63" s="13">
        <v>18</v>
      </c>
      <c r="DA63" s="13">
        <v>7</v>
      </c>
      <c r="DB63" s="13" t="s">
        <v>441</v>
      </c>
      <c r="DC63" s="13">
        <v>110</v>
      </c>
      <c r="DD63" s="13">
        <v>135</v>
      </c>
      <c r="DE63" s="24">
        <v>0.2</v>
      </c>
      <c r="DF63" s="14">
        <f t="shared" si="141"/>
        <v>15883</v>
      </c>
      <c r="DG63" s="14">
        <f t="shared" si="135"/>
        <v>7860</v>
      </c>
      <c r="DH63" s="14">
        <f t="shared" si="136"/>
        <v>145018</v>
      </c>
      <c r="DI63" s="14">
        <f t="shared" si="34"/>
        <v>1016</v>
      </c>
      <c r="DJ63" s="14">
        <f t="shared" si="35"/>
        <v>508</v>
      </c>
      <c r="DK63" s="14">
        <f t="shared" si="36"/>
        <v>10160</v>
      </c>
      <c r="DL63" s="14">
        <f t="shared" si="37"/>
        <v>284</v>
      </c>
      <c r="DM63" s="14">
        <f t="shared" si="38"/>
        <v>142</v>
      </c>
      <c r="DN63" s="14">
        <f t="shared" si="39"/>
        <v>2845</v>
      </c>
      <c r="DO63" s="14">
        <f t="shared" si="142"/>
        <v>7100</v>
      </c>
      <c r="DP63" s="14">
        <f t="shared" si="143"/>
        <v>3550</v>
      </c>
      <c r="DQ63" s="14">
        <f t="shared" si="144"/>
        <v>71125</v>
      </c>
      <c r="DR63" s="14">
        <f t="shared" si="42"/>
        <v>23999</v>
      </c>
      <c r="DS63" s="14">
        <f t="shared" si="43"/>
        <v>11918</v>
      </c>
      <c r="DT63" s="14">
        <f t="shared" si="44"/>
        <v>226303</v>
      </c>
      <c r="DU63" s="33"/>
      <c r="DV63" s="33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439</v>
      </c>
      <c r="L64" s="13">
        <v>41</v>
      </c>
      <c r="M64" s="13">
        <v>16</v>
      </c>
      <c r="N64" s="13" t="s">
        <v>439</v>
      </c>
      <c r="O64" s="13">
        <v>136</v>
      </c>
      <c r="P64" s="13" t="s">
        <v>442</v>
      </c>
      <c r="Q64" s="13">
        <v>46</v>
      </c>
      <c r="R64" s="13">
        <v>18</v>
      </c>
      <c r="S64" s="13" t="s">
        <v>441</v>
      </c>
      <c r="T64" s="13">
        <v>149</v>
      </c>
      <c r="U64" s="13" t="s">
        <v>442</v>
      </c>
      <c r="V64" s="13">
        <v>51</v>
      </c>
      <c r="W64" s="13">
        <v>19</v>
      </c>
      <c r="X64" s="13" t="s">
        <v>442</v>
      </c>
      <c r="AS64" s="13">
        <v>59</v>
      </c>
      <c r="AT64" s="13">
        <v>4</v>
      </c>
      <c r="AU64" s="13">
        <v>19</v>
      </c>
      <c r="AV64" s="13" t="s">
        <v>442</v>
      </c>
      <c r="AW64" s="13">
        <v>132</v>
      </c>
      <c r="AX64" s="14">
        <f t="shared" si="137"/>
        <v>8</v>
      </c>
      <c r="AY64" s="13">
        <v>140</v>
      </c>
      <c r="AZ64" s="14">
        <f t="shared" si="138"/>
        <v>22728</v>
      </c>
      <c r="BA64" s="14">
        <f t="shared" si="139"/>
        <v>11319</v>
      </c>
      <c r="BB64" s="14">
        <f t="shared" si="140"/>
        <v>213603</v>
      </c>
      <c r="BC64" s="13">
        <v>75</v>
      </c>
      <c r="BD64" s="13">
        <f t="shared" si="15"/>
        <v>38</v>
      </c>
      <c r="BE64" s="14">
        <f t="shared" si="16"/>
        <v>750</v>
      </c>
      <c r="BF64" s="14">
        <f t="shared" si="122"/>
        <v>600</v>
      </c>
      <c r="BG64" s="14">
        <f t="shared" si="123"/>
        <v>304</v>
      </c>
      <c r="BH64" s="14">
        <f t="shared" si="124"/>
        <v>6000</v>
      </c>
      <c r="BI64" s="26">
        <v>3.9579999999999997E-2</v>
      </c>
      <c r="BJ64" s="26">
        <f t="shared" si="133"/>
        <v>4.0353982300884959E-2</v>
      </c>
      <c r="BK64" s="14">
        <f t="shared" si="125"/>
        <v>900</v>
      </c>
      <c r="BL64" s="14">
        <f t="shared" si="17"/>
        <v>450</v>
      </c>
      <c r="BM64" s="14">
        <f t="shared" si="18"/>
        <v>9000</v>
      </c>
      <c r="BN64" s="13">
        <v>3</v>
      </c>
      <c r="BO64" s="26">
        <v>6.6000000000000003E-2</v>
      </c>
      <c r="BP64" s="26">
        <f t="shared" si="98"/>
        <v>6.8206278026905834E-2</v>
      </c>
      <c r="BQ64" s="14">
        <f t="shared" si="126"/>
        <v>1500</v>
      </c>
      <c r="BR64" s="14">
        <f t="shared" si="19"/>
        <v>750</v>
      </c>
      <c r="BS64" s="14">
        <f t="shared" si="20"/>
        <v>15000</v>
      </c>
      <c r="BT64" s="14">
        <f t="shared" si="127"/>
        <v>27528</v>
      </c>
      <c r="BU64" s="14">
        <f t="shared" si="128"/>
        <v>13723</v>
      </c>
      <c r="BV64" s="14">
        <f t="shared" si="129"/>
        <v>261603</v>
      </c>
      <c r="BW64" s="33">
        <f t="shared" si="146"/>
        <v>34300</v>
      </c>
      <c r="BX64" s="13">
        <v>8</v>
      </c>
      <c r="BY64" s="14">
        <f t="shared" si="21"/>
        <v>4800</v>
      </c>
      <c r="BZ64" s="14">
        <f t="shared" si="22"/>
        <v>2404</v>
      </c>
      <c r="CA64" s="14">
        <f t="shared" si="23"/>
        <v>48000</v>
      </c>
      <c r="CX64" s="13">
        <v>59</v>
      </c>
      <c r="CY64" s="13">
        <v>4</v>
      </c>
      <c r="CZ64" s="13">
        <v>19</v>
      </c>
      <c r="DA64" s="13">
        <v>8</v>
      </c>
      <c r="DB64" s="13" t="s">
        <v>442</v>
      </c>
      <c r="DC64" s="13">
        <v>135</v>
      </c>
      <c r="DD64" s="13">
        <v>135</v>
      </c>
      <c r="DE64" s="24">
        <v>0.2</v>
      </c>
      <c r="DF64" s="14">
        <f t="shared" si="141"/>
        <v>23999</v>
      </c>
      <c r="DG64" s="14">
        <f t="shared" si="135"/>
        <v>11918</v>
      </c>
      <c r="DH64" s="14">
        <f t="shared" si="136"/>
        <v>226303</v>
      </c>
      <c r="DI64" s="14">
        <f t="shared" si="34"/>
        <v>1105</v>
      </c>
      <c r="DJ64" s="14">
        <f t="shared" si="35"/>
        <v>553</v>
      </c>
      <c r="DK64" s="14">
        <f t="shared" si="36"/>
        <v>11050</v>
      </c>
      <c r="DL64" s="14">
        <f t="shared" si="37"/>
        <v>516</v>
      </c>
      <c r="DM64" s="14">
        <f t="shared" si="38"/>
        <v>258</v>
      </c>
      <c r="DN64" s="14">
        <f t="shared" si="39"/>
        <v>5157</v>
      </c>
      <c r="DO64" s="14">
        <f t="shared" si="142"/>
        <v>0</v>
      </c>
      <c r="DP64" s="14">
        <f t="shared" si="143"/>
        <v>0</v>
      </c>
      <c r="DQ64" s="14">
        <f t="shared" si="144"/>
        <v>0</v>
      </c>
      <c r="DR64" s="14">
        <f t="shared" si="42"/>
        <v>25104</v>
      </c>
      <c r="DS64" s="14">
        <f t="shared" si="43"/>
        <v>12471</v>
      </c>
      <c r="DT64" s="14">
        <f t="shared" si="44"/>
        <v>237353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439</v>
      </c>
      <c r="L65" s="13">
        <v>41</v>
      </c>
      <c r="M65" s="13">
        <v>16</v>
      </c>
      <c r="N65" s="13" t="s">
        <v>439</v>
      </c>
      <c r="O65" s="13">
        <v>137</v>
      </c>
      <c r="P65" s="13" t="s">
        <v>442</v>
      </c>
      <c r="Q65" s="13">
        <v>47</v>
      </c>
      <c r="R65" s="13">
        <v>18</v>
      </c>
      <c r="S65" s="13" t="s">
        <v>441</v>
      </c>
      <c r="T65" s="13">
        <v>149</v>
      </c>
      <c r="U65" s="13" t="s">
        <v>442</v>
      </c>
      <c r="V65" s="13">
        <v>51</v>
      </c>
      <c r="W65" s="13">
        <v>19</v>
      </c>
      <c r="X65" s="13" t="s">
        <v>442</v>
      </c>
      <c r="AS65" s="13">
        <v>60</v>
      </c>
      <c r="AT65" s="13">
        <v>4</v>
      </c>
      <c r="AU65" s="13">
        <v>20</v>
      </c>
      <c r="AV65" s="13" t="s">
        <v>443</v>
      </c>
      <c r="AW65" s="13">
        <v>140</v>
      </c>
      <c r="AX65" s="14">
        <f t="shared" si="137"/>
        <v>10</v>
      </c>
      <c r="AY65" s="13">
        <v>150</v>
      </c>
      <c r="AZ65" s="14">
        <f t="shared" si="138"/>
        <v>27528</v>
      </c>
      <c r="BA65" s="14">
        <f t="shared" si="139"/>
        <v>13723</v>
      </c>
      <c r="BB65" s="14">
        <f t="shared" si="140"/>
        <v>261603</v>
      </c>
      <c r="BC65" s="13">
        <v>75</v>
      </c>
      <c r="BD65" s="13">
        <f t="shared" si="15"/>
        <v>38</v>
      </c>
      <c r="BE65" s="14">
        <f t="shared" si="16"/>
        <v>750</v>
      </c>
      <c r="BF65" s="14">
        <f t="shared" si="122"/>
        <v>750</v>
      </c>
      <c r="BG65" s="14">
        <f t="shared" si="123"/>
        <v>380</v>
      </c>
      <c r="BH65" s="14">
        <f t="shared" si="124"/>
        <v>7500</v>
      </c>
      <c r="BI65" s="26">
        <v>3.6330000000000001E-2</v>
      </c>
      <c r="BJ65" s="26">
        <f t="shared" si="133"/>
        <v>3.650442477876107E-2</v>
      </c>
      <c r="BK65" s="14">
        <f t="shared" si="125"/>
        <v>1000</v>
      </c>
      <c r="BL65" s="14">
        <f t="shared" si="17"/>
        <v>500</v>
      </c>
      <c r="BM65" s="14">
        <f t="shared" si="18"/>
        <v>10000</v>
      </c>
      <c r="BN65" s="13">
        <v>4</v>
      </c>
      <c r="BO65" s="26">
        <v>5.45E-2</v>
      </c>
      <c r="BP65" s="26">
        <f t="shared" si="98"/>
        <v>5.5479820627802691E-2</v>
      </c>
      <c r="BQ65" s="14">
        <f t="shared" si="126"/>
        <v>1500</v>
      </c>
      <c r="BR65" s="14">
        <f t="shared" si="19"/>
        <v>750</v>
      </c>
      <c r="BS65" s="14">
        <f t="shared" si="20"/>
        <v>15000</v>
      </c>
      <c r="BT65" s="14">
        <f t="shared" si="127"/>
        <v>33778</v>
      </c>
      <c r="BU65" s="14">
        <f t="shared" si="128"/>
        <v>16853</v>
      </c>
      <c r="BV65" s="14">
        <f t="shared" si="129"/>
        <v>324103</v>
      </c>
      <c r="BW65" s="33">
        <f t="shared" si="146"/>
        <v>42100</v>
      </c>
      <c r="BX65" s="13">
        <v>8</v>
      </c>
      <c r="BY65" s="14">
        <f t="shared" si="21"/>
        <v>6250</v>
      </c>
      <c r="BZ65" s="14">
        <f t="shared" si="22"/>
        <v>3130</v>
      </c>
      <c r="CA65" s="14">
        <f t="shared" si="23"/>
        <v>62500</v>
      </c>
      <c r="CX65" s="13">
        <v>60</v>
      </c>
      <c r="CY65" s="13">
        <v>4</v>
      </c>
      <c r="CZ65" s="13">
        <v>20</v>
      </c>
      <c r="DA65" s="13">
        <v>8</v>
      </c>
      <c r="DB65" s="13" t="s">
        <v>443</v>
      </c>
      <c r="DC65" s="13">
        <v>135</v>
      </c>
      <c r="DD65" s="13">
        <v>150</v>
      </c>
      <c r="DE65" s="24">
        <v>0.2</v>
      </c>
      <c r="DF65" s="14">
        <f t="shared" si="141"/>
        <v>25104</v>
      </c>
      <c r="DG65" s="14">
        <f t="shared" si="135"/>
        <v>12471</v>
      </c>
      <c r="DH65" s="14">
        <f t="shared" si="136"/>
        <v>237353</v>
      </c>
      <c r="DI65" s="14">
        <f t="shared" si="34"/>
        <v>1105</v>
      </c>
      <c r="DJ65" s="14">
        <f t="shared" si="35"/>
        <v>553</v>
      </c>
      <c r="DK65" s="14">
        <f t="shared" si="36"/>
        <v>11050</v>
      </c>
      <c r="DL65" s="14">
        <f t="shared" si="37"/>
        <v>516</v>
      </c>
      <c r="DM65" s="14">
        <f t="shared" si="38"/>
        <v>258</v>
      </c>
      <c r="DN65" s="14">
        <f t="shared" si="39"/>
        <v>5157</v>
      </c>
      <c r="DO65" s="14">
        <f t="shared" si="142"/>
        <v>7740</v>
      </c>
      <c r="DP65" s="14">
        <f t="shared" si="143"/>
        <v>3870</v>
      </c>
      <c r="DQ65" s="14">
        <f t="shared" si="144"/>
        <v>77355</v>
      </c>
      <c r="DR65" s="14">
        <f t="shared" si="42"/>
        <v>33949</v>
      </c>
      <c r="DS65" s="14">
        <f t="shared" si="43"/>
        <v>16894</v>
      </c>
      <c r="DT65" s="14">
        <f t="shared" si="44"/>
        <v>325758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3"/>
      <c r="B66" s="33"/>
      <c r="C66" s="33"/>
      <c r="D66" s="33"/>
      <c r="E66" s="33"/>
      <c r="F66" s="33"/>
      <c r="G66" s="33"/>
      <c r="H66" s="33"/>
      <c r="I66" s="13">
        <v>60</v>
      </c>
      <c r="J66" s="13">
        <v>124</v>
      </c>
      <c r="K66" s="13" t="s">
        <v>439</v>
      </c>
      <c r="L66" s="13">
        <v>41</v>
      </c>
      <c r="M66" s="13">
        <v>16</v>
      </c>
      <c r="N66" s="13" t="s">
        <v>439</v>
      </c>
      <c r="O66" s="13">
        <v>137</v>
      </c>
      <c r="P66" s="13" t="s">
        <v>442</v>
      </c>
      <c r="Q66" s="13">
        <v>47</v>
      </c>
      <c r="R66" s="13">
        <v>18</v>
      </c>
      <c r="S66" s="13" t="s">
        <v>441</v>
      </c>
      <c r="T66" s="13">
        <v>150</v>
      </c>
      <c r="U66" s="13" t="s">
        <v>442</v>
      </c>
      <c r="V66" s="13">
        <v>52</v>
      </c>
      <c r="W66" s="13">
        <v>20</v>
      </c>
      <c r="X66" s="13" t="s">
        <v>443</v>
      </c>
      <c r="Y66" s="33"/>
      <c r="Z66" s="33"/>
      <c r="AP66" s="33"/>
      <c r="AQ66" s="33"/>
      <c r="AR66" s="33"/>
      <c r="AS66" s="13">
        <v>61</v>
      </c>
      <c r="AT66" s="13">
        <v>5</v>
      </c>
      <c r="AU66" s="13">
        <v>1</v>
      </c>
      <c r="AV66" s="13" t="s">
        <v>424</v>
      </c>
      <c r="AW66" s="13">
        <v>1</v>
      </c>
      <c r="AX66" s="14">
        <f>AY66-AW66</f>
        <v>4</v>
      </c>
      <c r="AY66" s="13">
        <v>5</v>
      </c>
      <c r="AZ66" s="13">
        <v>300</v>
      </c>
      <c r="BA66" s="13">
        <v>50</v>
      </c>
      <c r="BB66" s="13">
        <v>1200</v>
      </c>
      <c r="BC66" s="13">
        <v>15</v>
      </c>
      <c r="BD66" s="13">
        <f t="shared" si="15"/>
        <v>8</v>
      </c>
      <c r="BE66" s="14">
        <f t="shared" si="16"/>
        <v>90</v>
      </c>
      <c r="BF66" s="14">
        <f t="shared" ref="BF66:BF85" si="147">BC66*$AX66</f>
        <v>60</v>
      </c>
      <c r="BG66" s="14">
        <f t="shared" ref="BG66:BG85" si="148">BD66*$AX66</f>
        <v>32</v>
      </c>
      <c r="BH66" s="14">
        <f t="shared" ref="BH66:BH85" si="149">BE66*$AX66</f>
        <v>360</v>
      </c>
      <c r="BI66" s="26">
        <v>0.115</v>
      </c>
      <c r="BJ66" s="26">
        <f>BI46/1.05</f>
        <v>0.11904761904761904</v>
      </c>
      <c r="BK66" s="14">
        <f t="shared" ref="BK66:BK85" si="150">ROUND(AZ66*$BI66,0)</f>
        <v>35</v>
      </c>
      <c r="BL66" s="14">
        <f t="shared" si="17"/>
        <v>18</v>
      </c>
      <c r="BM66" s="14">
        <f t="shared" si="18"/>
        <v>210</v>
      </c>
      <c r="BN66" s="13">
        <v>1</v>
      </c>
      <c r="BO66" s="26">
        <v>0.13200000000000001</v>
      </c>
      <c r="BP66" s="26">
        <f>BO46/1.15</f>
        <v>0.15217391304347827</v>
      </c>
      <c r="BQ66" s="14">
        <f t="shared" ref="BQ66:BQ85" si="151">ROUND(AZ66*$BO66,0)</f>
        <v>40</v>
      </c>
      <c r="BR66" s="14">
        <f t="shared" si="19"/>
        <v>20</v>
      </c>
      <c r="BS66" s="14">
        <f t="shared" si="20"/>
        <v>240</v>
      </c>
      <c r="BT66" s="14">
        <f t="shared" ref="BT66:BT85" si="152">AZ66+BF66+BK66*$BN66+BQ66</f>
        <v>435</v>
      </c>
      <c r="BU66" s="14">
        <f t="shared" ref="BU66:BU85" si="153">BA66+BG66+BL66*$BN66+BR66</f>
        <v>120</v>
      </c>
      <c r="BV66" s="14">
        <f t="shared" ref="BV66:BV85" si="154">BB66+BH66+BM66*$BN66+BS66</f>
        <v>2010</v>
      </c>
      <c r="BW66" s="33"/>
      <c r="BX66" s="13">
        <v>1</v>
      </c>
      <c r="BY66" s="14">
        <f t="shared" si="21"/>
        <v>135</v>
      </c>
      <c r="BZ66" s="14">
        <f t="shared" si="22"/>
        <v>70</v>
      </c>
      <c r="CA66" s="14">
        <f t="shared" si="23"/>
        <v>810</v>
      </c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13">
        <v>61</v>
      </c>
      <c r="CY66" s="13">
        <v>4</v>
      </c>
      <c r="CZ66" s="13">
        <v>1</v>
      </c>
      <c r="DA66" s="13">
        <v>1</v>
      </c>
      <c r="DB66" s="13" t="s">
        <v>424</v>
      </c>
      <c r="DC66" s="13">
        <v>1</v>
      </c>
      <c r="DD66" s="13">
        <v>10</v>
      </c>
      <c r="DE66" s="24">
        <v>0.2</v>
      </c>
      <c r="DF66" s="13">
        <v>250</v>
      </c>
      <c r="DG66" s="13">
        <v>50</v>
      </c>
      <c r="DH66" s="13">
        <v>700</v>
      </c>
      <c r="DI66" s="14">
        <f t="shared" si="34"/>
        <v>11</v>
      </c>
      <c r="DJ66" s="14">
        <f t="shared" si="35"/>
        <v>6</v>
      </c>
      <c r="DK66" s="14">
        <f t="shared" si="36"/>
        <v>65</v>
      </c>
      <c r="DL66" s="14">
        <f t="shared" si="37"/>
        <v>11</v>
      </c>
      <c r="DM66" s="14">
        <f t="shared" si="38"/>
        <v>6</v>
      </c>
      <c r="DN66" s="14">
        <f t="shared" si="39"/>
        <v>65</v>
      </c>
      <c r="DO66" s="14">
        <f>DL66*($DD66-$DC66)</f>
        <v>99</v>
      </c>
      <c r="DP66" s="14">
        <f t="shared" si="143"/>
        <v>54</v>
      </c>
      <c r="DQ66" s="14">
        <f t="shared" si="144"/>
        <v>585</v>
      </c>
      <c r="DR66" s="14">
        <f t="shared" si="42"/>
        <v>360</v>
      </c>
      <c r="DS66" s="14">
        <f t="shared" si="43"/>
        <v>110</v>
      </c>
      <c r="DT66" s="14">
        <f t="shared" si="44"/>
        <v>1350</v>
      </c>
      <c r="DU66" s="33"/>
      <c r="DV66" s="33"/>
      <c r="DW66" s="33"/>
      <c r="DX66" s="33"/>
      <c r="DY66" s="33"/>
      <c r="DZ66" s="33"/>
      <c r="EA66" s="33"/>
      <c r="EB66" s="33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16"/>
      <c r="C67" s="33"/>
      <c r="D67" s="33"/>
      <c r="E67" s="33"/>
      <c r="F67" s="33"/>
      <c r="G67" s="33"/>
      <c r="H67" s="33"/>
      <c r="I67" s="13">
        <v>61</v>
      </c>
      <c r="J67" s="13">
        <v>125</v>
      </c>
      <c r="K67" s="13" t="s">
        <v>439</v>
      </c>
      <c r="L67" s="13">
        <v>42</v>
      </c>
      <c r="M67" s="13">
        <v>17</v>
      </c>
      <c r="N67" s="13" t="s">
        <v>440</v>
      </c>
      <c r="O67" s="13">
        <v>138</v>
      </c>
      <c r="P67" s="13" t="s">
        <v>442</v>
      </c>
      <c r="Q67" s="13">
        <v>47</v>
      </c>
      <c r="R67" s="13">
        <v>18</v>
      </c>
      <c r="S67" s="13" t="s">
        <v>441</v>
      </c>
      <c r="T67" s="13"/>
      <c r="U67" s="13"/>
      <c r="V67" s="13"/>
      <c r="W67" s="13"/>
      <c r="X67" s="13"/>
      <c r="Y67" s="33"/>
      <c r="Z67" s="33"/>
      <c r="AP67" s="33"/>
      <c r="AQ67" s="33"/>
      <c r="AR67" s="33"/>
      <c r="AS67" s="13">
        <v>62</v>
      </c>
      <c r="AT67" s="13">
        <v>5</v>
      </c>
      <c r="AU67" s="13">
        <v>2</v>
      </c>
      <c r="AV67" s="13" t="s">
        <v>425</v>
      </c>
      <c r="AW67" s="13">
        <v>5</v>
      </c>
      <c r="AX67" s="14">
        <f>AY67-AW67</f>
        <v>10</v>
      </c>
      <c r="AY67" s="13">
        <v>15</v>
      </c>
      <c r="AZ67" s="14">
        <f t="shared" ref="AZ67:AZ85" si="155">BT66</f>
        <v>435</v>
      </c>
      <c r="BA67" s="14">
        <f t="shared" ref="BA67:BA85" si="156">BU66</f>
        <v>120</v>
      </c>
      <c r="BB67" s="14">
        <f t="shared" ref="BB67:BB85" si="157">BV66</f>
        <v>2010</v>
      </c>
      <c r="BC67" s="13">
        <v>20</v>
      </c>
      <c r="BD67" s="13">
        <f t="shared" si="15"/>
        <v>10</v>
      </c>
      <c r="BE67" s="14">
        <f t="shared" si="16"/>
        <v>120</v>
      </c>
      <c r="BF67" s="14">
        <f t="shared" si="147"/>
        <v>200</v>
      </c>
      <c r="BG67" s="14">
        <f t="shared" si="148"/>
        <v>100</v>
      </c>
      <c r="BH67" s="14">
        <f t="shared" si="149"/>
        <v>1200</v>
      </c>
      <c r="BI67" s="26">
        <v>9.1999999999999998E-2</v>
      </c>
      <c r="BJ67" s="26">
        <f t="shared" ref="BJ67:BJ85" si="158">BI47/1.05</f>
        <v>9.3333333333333338E-2</v>
      </c>
      <c r="BK67" s="14">
        <f t="shared" si="150"/>
        <v>40</v>
      </c>
      <c r="BL67" s="14">
        <f t="shared" si="17"/>
        <v>20</v>
      </c>
      <c r="BM67" s="14">
        <f t="shared" si="18"/>
        <v>240</v>
      </c>
      <c r="BN67" s="13">
        <v>2</v>
      </c>
      <c r="BO67" s="26">
        <v>0.114</v>
      </c>
      <c r="BP67" s="26">
        <f t="shared" ref="BP67:BP85" si="159">BO47/1.15</f>
        <v>0.11304347826086958</v>
      </c>
      <c r="BQ67" s="14">
        <f t="shared" si="151"/>
        <v>50</v>
      </c>
      <c r="BR67" s="14">
        <f t="shared" si="19"/>
        <v>25</v>
      </c>
      <c r="BS67" s="14">
        <f t="shared" si="20"/>
        <v>300</v>
      </c>
      <c r="BT67" s="14">
        <f t="shared" si="152"/>
        <v>765</v>
      </c>
      <c r="BU67" s="14">
        <f t="shared" si="153"/>
        <v>285</v>
      </c>
      <c r="BV67" s="14">
        <f t="shared" si="154"/>
        <v>3990</v>
      </c>
      <c r="BW67" s="16"/>
      <c r="BX67" s="13">
        <v>2</v>
      </c>
      <c r="BY67" s="14">
        <f t="shared" si="21"/>
        <v>330</v>
      </c>
      <c r="BZ67" s="14">
        <f t="shared" si="22"/>
        <v>165</v>
      </c>
      <c r="CA67" s="14">
        <f t="shared" si="23"/>
        <v>1980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3">
        <v>62</v>
      </c>
      <c r="CY67" s="13">
        <v>4</v>
      </c>
      <c r="CZ67" s="13">
        <v>2</v>
      </c>
      <c r="DA67" s="13">
        <v>2</v>
      </c>
      <c r="DB67" s="13" t="s">
        <v>425</v>
      </c>
      <c r="DC67" s="13">
        <v>10</v>
      </c>
      <c r="DD67" s="13">
        <v>10</v>
      </c>
      <c r="DE67" s="24">
        <v>0.2</v>
      </c>
      <c r="DF67" s="14">
        <f>DF66+DI66+DO66</f>
        <v>360</v>
      </c>
      <c r="DG67" s="14">
        <f t="shared" ref="DG67" si="160">DG66+DJ66+DP66</f>
        <v>110</v>
      </c>
      <c r="DH67" s="14">
        <f t="shared" ref="DH67" si="161">DH66+DK66+DQ66</f>
        <v>1350</v>
      </c>
      <c r="DI67" s="14">
        <f t="shared" si="34"/>
        <v>55</v>
      </c>
      <c r="DJ67" s="14">
        <f t="shared" si="35"/>
        <v>29</v>
      </c>
      <c r="DK67" s="14">
        <f t="shared" si="36"/>
        <v>330</v>
      </c>
      <c r="DL67" s="14">
        <f t="shared" si="37"/>
        <v>22</v>
      </c>
      <c r="DM67" s="14">
        <f t="shared" si="38"/>
        <v>11</v>
      </c>
      <c r="DN67" s="14">
        <f t="shared" si="39"/>
        <v>132</v>
      </c>
      <c r="DO67" s="14">
        <f>DL67*($DD67-$DC67)</f>
        <v>0</v>
      </c>
      <c r="DP67" s="14">
        <f t="shared" si="143"/>
        <v>0</v>
      </c>
      <c r="DQ67" s="14">
        <f t="shared" si="144"/>
        <v>0</v>
      </c>
      <c r="DR67" s="14">
        <f t="shared" si="42"/>
        <v>415</v>
      </c>
      <c r="DS67" s="14">
        <f t="shared" si="43"/>
        <v>139</v>
      </c>
      <c r="DT67" s="14">
        <f t="shared" si="44"/>
        <v>1680</v>
      </c>
      <c r="DU67" s="16"/>
      <c r="DV67" s="16"/>
      <c r="DW67" s="33"/>
      <c r="DX67" s="33"/>
      <c r="DY67" s="33"/>
      <c r="DZ67" s="33"/>
      <c r="EA67" s="33"/>
      <c r="EB67" s="33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439</v>
      </c>
      <c r="L68" s="13">
        <v>42</v>
      </c>
      <c r="M68" s="13">
        <v>17</v>
      </c>
      <c r="N68" s="13" t="s">
        <v>440</v>
      </c>
      <c r="O68" s="13">
        <v>138</v>
      </c>
      <c r="P68" s="13" t="s">
        <v>442</v>
      </c>
      <c r="Q68" s="13">
        <v>47</v>
      </c>
      <c r="R68" s="13">
        <v>18</v>
      </c>
      <c r="S68" s="13" t="s">
        <v>441</v>
      </c>
      <c r="T68" s="13"/>
      <c r="U68" s="13"/>
      <c r="V68" s="13"/>
      <c r="W68" s="13"/>
      <c r="X68" s="13"/>
      <c r="Y68" s="16"/>
      <c r="Z68" s="16"/>
      <c r="AP68" s="16"/>
      <c r="AQ68" s="16"/>
      <c r="AR68" s="16"/>
      <c r="AS68" s="13">
        <v>63</v>
      </c>
      <c r="AT68" s="13">
        <v>5</v>
      </c>
      <c r="AU68" s="13">
        <v>3</v>
      </c>
      <c r="AV68" s="13" t="s">
        <v>426</v>
      </c>
      <c r="AW68" s="13">
        <v>15</v>
      </c>
      <c r="AX68" s="14">
        <f t="shared" ref="AX68:AX85" si="162">AY68-AW68</f>
        <v>10</v>
      </c>
      <c r="AY68" s="13">
        <v>25</v>
      </c>
      <c r="AZ68" s="14">
        <f t="shared" si="155"/>
        <v>765</v>
      </c>
      <c r="BA68" s="14">
        <f t="shared" si="156"/>
        <v>285</v>
      </c>
      <c r="BB68" s="14">
        <f t="shared" si="157"/>
        <v>3990</v>
      </c>
      <c r="BC68" s="13">
        <v>20</v>
      </c>
      <c r="BD68" s="13">
        <f t="shared" si="15"/>
        <v>10</v>
      </c>
      <c r="BE68" s="14">
        <f t="shared" si="16"/>
        <v>120</v>
      </c>
      <c r="BF68" s="14">
        <f t="shared" si="147"/>
        <v>200</v>
      </c>
      <c r="BG68" s="14">
        <f t="shared" si="148"/>
        <v>100</v>
      </c>
      <c r="BH68" s="14">
        <f t="shared" si="149"/>
        <v>1200</v>
      </c>
      <c r="BI68" s="26">
        <v>5.8999999999999997E-2</v>
      </c>
      <c r="BJ68" s="26">
        <f t="shared" si="158"/>
        <v>0.06</v>
      </c>
      <c r="BK68" s="14">
        <f t="shared" si="150"/>
        <v>45</v>
      </c>
      <c r="BL68" s="14">
        <f t="shared" si="17"/>
        <v>23</v>
      </c>
      <c r="BM68" s="14">
        <f t="shared" si="18"/>
        <v>270</v>
      </c>
      <c r="BN68" s="13">
        <v>2</v>
      </c>
      <c r="BO68" s="26">
        <v>0.111</v>
      </c>
      <c r="BP68" s="26">
        <f t="shared" si="159"/>
        <v>0.12434782608695652</v>
      </c>
      <c r="BQ68" s="14">
        <f t="shared" si="151"/>
        <v>85</v>
      </c>
      <c r="BR68" s="14">
        <f t="shared" si="19"/>
        <v>43</v>
      </c>
      <c r="BS68" s="14">
        <f t="shared" si="20"/>
        <v>510</v>
      </c>
      <c r="BT68" s="14">
        <f t="shared" si="152"/>
        <v>1140</v>
      </c>
      <c r="BU68" s="14">
        <f t="shared" si="153"/>
        <v>474</v>
      </c>
      <c r="BV68" s="14">
        <f t="shared" si="154"/>
        <v>6240</v>
      </c>
      <c r="BW68" s="16"/>
      <c r="BX68" s="13">
        <v>2</v>
      </c>
      <c r="BY68" s="14">
        <f t="shared" si="21"/>
        <v>375</v>
      </c>
      <c r="BZ68" s="14">
        <f t="shared" si="22"/>
        <v>189</v>
      </c>
      <c r="CA68" s="14">
        <f t="shared" si="23"/>
        <v>2250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3">
        <v>63</v>
      </c>
      <c r="CY68" s="13">
        <v>4</v>
      </c>
      <c r="CZ68" s="13">
        <v>3</v>
      </c>
      <c r="DA68" s="13">
        <v>2</v>
      </c>
      <c r="DB68" s="13" t="s">
        <v>426</v>
      </c>
      <c r="DC68" s="13">
        <v>10</v>
      </c>
      <c r="DD68" s="13">
        <v>20</v>
      </c>
      <c r="DE68" s="24">
        <v>0.2</v>
      </c>
      <c r="DF68" s="14">
        <f t="shared" ref="DF68:DF85" si="163">DF67+DI67+DO67</f>
        <v>415</v>
      </c>
      <c r="DG68" s="14">
        <f t="shared" ref="DG68:DG85" si="164">DG67+DJ67+DP67</f>
        <v>139</v>
      </c>
      <c r="DH68" s="14">
        <f t="shared" ref="DH68:DH85" si="165">DH67+DK67+DQ67</f>
        <v>1680</v>
      </c>
      <c r="DI68" s="14">
        <f t="shared" si="34"/>
        <v>55</v>
      </c>
      <c r="DJ68" s="14">
        <f t="shared" si="35"/>
        <v>29</v>
      </c>
      <c r="DK68" s="14">
        <f t="shared" si="36"/>
        <v>330</v>
      </c>
      <c r="DL68" s="14">
        <f t="shared" si="37"/>
        <v>22</v>
      </c>
      <c r="DM68" s="14">
        <f t="shared" si="38"/>
        <v>11</v>
      </c>
      <c r="DN68" s="14">
        <f t="shared" si="39"/>
        <v>132</v>
      </c>
      <c r="DO68" s="14">
        <f t="shared" ref="DO68:DO85" si="166">DL68*($DD68-$DC68)</f>
        <v>220</v>
      </c>
      <c r="DP68" s="14">
        <f t="shared" ref="DP68:DP85" si="167">DM68*($DD68-$DC68)</f>
        <v>110</v>
      </c>
      <c r="DQ68" s="14">
        <f t="shared" ref="DQ68:DQ85" si="168">DN68*($DD68-$DC68)</f>
        <v>1320</v>
      </c>
      <c r="DR68" s="14">
        <f t="shared" si="42"/>
        <v>690</v>
      </c>
      <c r="DS68" s="14">
        <f t="shared" si="43"/>
        <v>278</v>
      </c>
      <c r="DT68" s="14">
        <f t="shared" si="44"/>
        <v>3330</v>
      </c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439</v>
      </c>
      <c r="L69" s="13">
        <v>43</v>
      </c>
      <c r="M69" s="13">
        <v>17</v>
      </c>
      <c r="N69" s="13" t="s">
        <v>440</v>
      </c>
      <c r="O69" s="13">
        <v>139</v>
      </c>
      <c r="P69" s="13" t="s">
        <v>442</v>
      </c>
      <c r="Q69" s="13">
        <v>47</v>
      </c>
      <c r="R69" s="13">
        <v>18</v>
      </c>
      <c r="S69" s="13" t="s">
        <v>441</v>
      </c>
      <c r="T69" s="13"/>
      <c r="U69" s="13"/>
      <c r="V69" s="13"/>
      <c r="W69" s="13"/>
      <c r="X69" s="13"/>
      <c r="Y69" s="16"/>
      <c r="Z69" s="16"/>
      <c r="AP69" s="16"/>
      <c r="AQ69" s="16"/>
      <c r="AR69" s="16"/>
      <c r="AS69" s="13">
        <v>64</v>
      </c>
      <c r="AT69" s="13">
        <v>5</v>
      </c>
      <c r="AU69" s="13">
        <v>4</v>
      </c>
      <c r="AV69" s="13" t="s">
        <v>427</v>
      </c>
      <c r="AW69" s="13">
        <v>25</v>
      </c>
      <c r="AX69" s="14">
        <f t="shared" si="162"/>
        <v>10</v>
      </c>
      <c r="AY69" s="13">
        <v>35</v>
      </c>
      <c r="AZ69" s="14">
        <f t="shared" si="155"/>
        <v>1140</v>
      </c>
      <c r="BA69" s="14">
        <f t="shared" si="156"/>
        <v>474</v>
      </c>
      <c r="BB69" s="14">
        <f t="shared" si="157"/>
        <v>6240</v>
      </c>
      <c r="BC69" s="13">
        <v>25</v>
      </c>
      <c r="BD69" s="13">
        <f t="shared" si="15"/>
        <v>13</v>
      </c>
      <c r="BE69" s="14">
        <f t="shared" si="16"/>
        <v>175</v>
      </c>
      <c r="BF69" s="14">
        <f t="shared" si="147"/>
        <v>250</v>
      </c>
      <c r="BG69" s="14">
        <f t="shared" si="148"/>
        <v>130</v>
      </c>
      <c r="BH69" s="14">
        <f t="shared" si="149"/>
        <v>1750</v>
      </c>
      <c r="BI69" s="26">
        <v>5.2999999999999999E-2</v>
      </c>
      <c r="BJ69" s="26">
        <f t="shared" si="158"/>
        <v>5.0476190476190473E-2</v>
      </c>
      <c r="BK69" s="14">
        <f t="shared" si="150"/>
        <v>60</v>
      </c>
      <c r="BL69" s="14">
        <f t="shared" si="17"/>
        <v>30</v>
      </c>
      <c r="BM69" s="14">
        <f t="shared" si="18"/>
        <v>420</v>
      </c>
      <c r="BN69" s="13">
        <v>2</v>
      </c>
      <c r="BO69" s="26">
        <v>0.105</v>
      </c>
      <c r="BP69" s="26">
        <f t="shared" si="159"/>
        <v>0.10173913043478262</v>
      </c>
      <c r="BQ69" s="14">
        <f t="shared" si="151"/>
        <v>120</v>
      </c>
      <c r="BR69" s="14">
        <f t="shared" si="19"/>
        <v>60</v>
      </c>
      <c r="BS69" s="14">
        <f t="shared" si="20"/>
        <v>840</v>
      </c>
      <c r="BT69" s="14">
        <f t="shared" si="152"/>
        <v>1630</v>
      </c>
      <c r="BU69" s="14">
        <f t="shared" si="153"/>
        <v>724</v>
      </c>
      <c r="BV69" s="14">
        <f t="shared" si="154"/>
        <v>9670</v>
      </c>
      <c r="BW69" s="16"/>
      <c r="BX69" s="13">
        <v>3</v>
      </c>
      <c r="BY69" s="14">
        <f t="shared" si="21"/>
        <v>490</v>
      </c>
      <c r="BZ69" s="14">
        <f t="shared" si="22"/>
        <v>250</v>
      </c>
      <c r="CA69" s="14">
        <f t="shared" si="23"/>
        <v>3430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3">
        <v>64</v>
      </c>
      <c r="CY69" s="13">
        <v>4</v>
      </c>
      <c r="CZ69" s="13">
        <v>4</v>
      </c>
      <c r="DA69" s="13">
        <v>3</v>
      </c>
      <c r="DB69" s="13" t="s">
        <v>427</v>
      </c>
      <c r="DC69" s="13">
        <v>20</v>
      </c>
      <c r="DD69" s="13">
        <v>20</v>
      </c>
      <c r="DE69" s="24">
        <v>0.2</v>
      </c>
      <c r="DF69" s="14">
        <f t="shared" si="163"/>
        <v>690</v>
      </c>
      <c r="DG69" s="14">
        <f t="shared" si="164"/>
        <v>278</v>
      </c>
      <c r="DH69" s="14">
        <f t="shared" si="165"/>
        <v>3330</v>
      </c>
      <c r="DI69" s="14">
        <f t="shared" si="34"/>
        <v>114</v>
      </c>
      <c r="DJ69" s="14">
        <f t="shared" si="35"/>
        <v>57</v>
      </c>
      <c r="DK69" s="14">
        <f t="shared" si="36"/>
        <v>798</v>
      </c>
      <c r="DL69" s="14">
        <f t="shared" si="37"/>
        <v>40</v>
      </c>
      <c r="DM69" s="14">
        <f t="shared" si="38"/>
        <v>20</v>
      </c>
      <c r="DN69" s="14">
        <f t="shared" si="39"/>
        <v>279</v>
      </c>
      <c r="DO69" s="14">
        <f t="shared" si="166"/>
        <v>0</v>
      </c>
      <c r="DP69" s="14">
        <f t="shared" si="167"/>
        <v>0</v>
      </c>
      <c r="DQ69" s="14">
        <f t="shared" si="168"/>
        <v>0</v>
      </c>
      <c r="DR69" s="14">
        <f t="shared" si="42"/>
        <v>804</v>
      </c>
      <c r="DS69" s="14">
        <f t="shared" si="43"/>
        <v>335</v>
      </c>
      <c r="DT69" s="14">
        <f t="shared" si="44"/>
        <v>4128</v>
      </c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439</v>
      </c>
      <c r="L70" s="13">
        <v>43</v>
      </c>
      <c r="M70" s="13">
        <v>17</v>
      </c>
      <c r="N70" s="13" t="s">
        <v>440</v>
      </c>
      <c r="O70" s="13">
        <v>139</v>
      </c>
      <c r="P70" s="13" t="s">
        <v>442</v>
      </c>
      <c r="Q70" s="13">
        <v>47</v>
      </c>
      <c r="R70" s="13">
        <v>18</v>
      </c>
      <c r="S70" s="13" t="s">
        <v>441</v>
      </c>
      <c r="T70" s="13"/>
      <c r="U70" s="13"/>
      <c r="V70" s="13"/>
      <c r="W70" s="13"/>
      <c r="X70" s="13"/>
      <c r="Y70" s="16"/>
      <c r="Z70" s="16"/>
      <c r="AP70" s="16"/>
      <c r="AQ70" s="16"/>
      <c r="AR70" s="16"/>
      <c r="AS70" s="13">
        <v>65</v>
      </c>
      <c r="AT70" s="13">
        <v>5</v>
      </c>
      <c r="AU70" s="13">
        <v>5</v>
      </c>
      <c r="AV70" s="13" t="s">
        <v>428</v>
      </c>
      <c r="AW70" s="13">
        <v>35</v>
      </c>
      <c r="AX70" s="14">
        <f t="shared" si="162"/>
        <v>7</v>
      </c>
      <c r="AY70" s="13">
        <v>42</v>
      </c>
      <c r="AZ70" s="14">
        <f t="shared" si="155"/>
        <v>1630</v>
      </c>
      <c r="BA70" s="14">
        <f t="shared" si="156"/>
        <v>724</v>
      </c>
      <c r="BB70" s="14">
        <f t="shared" si="157"/>
        <v>9670</v>
      </c>
      <c r="BC70" s="13">
        <v>25</v>
      </c>
      <c r="BD70" s="13">
        <f t="shared" si="15"/>
        <v>13</v>
      </c>
      <c r="BE70" s="14">
        <f t="shared" si="16"/>
        <v>175</v>
      </c>
      <c r="BF70" s="14">
        <f t="shared" si="147"/>
        <v>175</v>
      </c>
      <c r="BG70" s="14">
        <f t="shared" si="148"/>
        <v>91</v>
      </c>
      <c r="BH70" s="14">
        <f t="shared" si="149"/>
        <v>1225</v>
      </c>
      <c r="BI70" s="26">
        <v>4.2999999999999997E-2</v>
      </c>
      <c r="BJ70" s="26">
        <f t="shared" si="158"/>
        <v>4.1904761904761903E-2</v>
      </c>
      <c r="BK70" s="14">
        <f t="shared" si="150"/>
        <v>70</v>
      </c>
      <c r="BL70" s="14">
        <f t="shared" si="17"/>
        <v>35</v>
      </c>
      <c r="BM70" s="14">
        <f t="shared" si="18"/>
        <v>490</v>
      </c>
      <c r="BN70" s="13">
        <v>2</v>
      </c>
      <c r="BO70" s="26">
        <v>8.2600000000000007E-2</v>
      </c>
      <c r="BP70" s="26">
        <f t="shared" si="159"/>
        <v>8.3478260869565224E-2</v>
      </c>
      <c r="BQ70" s="14">
        <f t="shared" si="151"/>
        <v>135</v>
      </c>
      <c r="BR70" s="14">
        <f t="shared" si="19"/>
        <v>68</v>
      </c>
      <c r="BS70" s="14">
        <f t="shared" si="20"/>
        <v>945</v>
      </c>
      <c r="BT70" s="14">
        <f t="shared" si="152"/>
        <v>2080</v>
      </c>
      <c r="BU70" s="14">
        <f t="shared" si="153"/>
        <v>953</v>
      </c>
      <c r="BV70" s="14">
        <f t="shared" si="154"/>
        <v>12820</v>
      </c>
      <c r="BW70" s="16"/>
      <c r="BX70" s="13">
        <v>3</v>
      </c>
      <c r="BY70" s="14">
        <f t="shared" si="21"/>
        <v>450</v>
      </c>
      <c r="BZ70" s="14">
        <f t="shared" si="22"/>
        <v>229</v>
      </c>
      <c r="CA70" s="14">
        <f t="shared" si="23"/>
        <v>3150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3">
        <v>65</v>
      </c>
      <c r="CY70" s="13">
        <v>4</v>
      </c>
      <c r="CZ70" s="13">
        <v>5</v>
      </c>
      <c r="DA70" s="13">
        <v>3</v>
      </c>
      <c r="DB70" s="13" t="s">
        <v>428</v>
      </c>
      <c r="DC70" s="13">
        <v>20</v>
      </c>
      <c r="DD70" s="13">
        <v>20</v>
      </c>
      <c r="DE70" s="24">
        <v>0.2</v>
      </c>
      <c r="DF70" s="14">
        <f t="shared" si="163"/>
        <v>804</v>
      </c>
      <c r="DG70" s="14">
        <f t="shared" si="164"/>
        <v>335</v>
      </c>
      <c r="DH70" s="14">
        <f t="shared" si="165"/>
        <v>4128</v>
      </c>
      <c r="DI70" s="14">
        <f t="shared" si="34"/>
        <v>114</v>
      </c>
      <c r="DJ70" s="14">
        <f t="shared" si="35"/>
        <v>57</v>
      </c>
      <c r="DK70" s="14">
        <f t="shared" si="36"/>
        <v>798</v>
      </c>
      <c r="DL70" s="14">
        <f t="shared" si="37"/>
        <v>40</v>
      </c>
      <c r="DM70" s="14">
        <f t="shared" si="38"/>
        <v>20</v>
      </c>
      <c r="DN70" s="14">
        <f t="shared" si="39"/>
        <v>279</v>
      </c>
      <c r="DO70" s="14">
        <f t="shared" si="166"/>
        <v>0</v>
      </c>
      <c r="DP70" s="14">
        <f t="shared" si="167"/>
        <v>0</v>
      </c>
      <c r="DQ70" s="14">
        <f t="shared" si="168"/>
        <v>0</v>
      </c>
      <c r="DR70" s="14">
        <f t="shared" si="42"/>
        <v>918</v>
      </c>
      <c r="DS70" s="14">
        <f t="shared" si="43"/>
        <v>392</v>
      </c>
      <c r="DT70" s="14">
        <f t="shared" si="44"/>
        <v>4926</v>
      </c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439</v>
      </c>
      <c r="L71" s="13">
        <v>43</v>
      </c>
      <c r="M71" s="13">
        <v>17</v>
      </c>
      <c r="N71" s="13" t="s">
        <v>440</v>
      </c>
      <c r="O71" s="13">
        <v>141</v>
      </c>
      <c r="P71" s="13" t="s">
        <v>442</v>
      </c>
      <c r="Q71" s="13">
        <v>48</v>
      </c>
      <c r="R71" s="13">
        <v>19</v>
      </c>
      <c r="S71" s="13" t="s">
        <v>442</v>
      </c>
      <c r="T71" s="13"/>
      <c r="U71" s="13"/>
      <c r="V71" s="13"/>
      <c r="W71" s="13"/>
      <c r="X71" s="13"/>
      <c r="Y71" s="16"/>
      <c r="Z71" s="16"/>
      <c r="AP71" s="16"/>
      <c r="AQ71" s="16"/>
      <c r="AR71" s="16"/>
      <c r="AS71" s="13">
        <v>66</v>
      </c>
      <c r="AT71" s="13">
        <v>5</v>
      </c>
      <c r="AU71" s="13">
        <v>6</v>
      </c>
      <c r="AV71" s="13" t="s">
        <v>429</v>
      </c>
      <c r="AW71" s="13">
        <v>42</v>
      </c>
      <c r="AX71" s="14">
        <f t="shared" si="162"/>
        <v>5</v>
      </c>
      <c r="AY71" s="13">
        <v>47</v>
      </c>
      <c r="AZ71" s="14">
        <f t="shared" si="155"/>
        <v>2080</v>
      </c>
      <c r="BA71" s="14">
        <f t="shared" si="156"/>
        <v>953</v>
      </c>
      <c r="BB71" s="14">
        <f t="shared" si="157"/>
        <v>12820</v>
      </c>
      <c r="BC71" s="13">
        <v>25</v>
      </c>
      <c r="BD71" s="13">
        <f t="shared" ref="BD71:BD85" si="169">ROUND(BC71/2,0)</f>
        <v>13</v>
      </c>
      <c r="BE71" s="14">
        <f t="shared" ref="BE71:BE85" si="170">INDEX($D$28:$D$47,AU71)*BC71</f>
        <v>175</v>
      </c>
      <c r="BF71" s="14">
        <f t="shared" si="147"/>
        <v>125</v>
      </c>
      <c r="BG71" s="14">
        <f t="shared" si="148"/>
        <v>65</v>
      </c>
      <c r="BH71" s="14">
        <f t="shared" si="149"/>
        <v>875</v>
      </c>
      <c r="BI71" s="26">
        <v>3.5999999999999997E-2</v>
      </c>
      <c r="BJ71" s="26">
        <f t="shared" si="158"/>
        <v>3.5398230088495582E-2</v>
      </c>
      <c r="BK71" s="14">
        <f t="shared" si="150"/>
        <v>75</v>
      </c>
      <c r="BL71" s="14">
        <f t="shared" ref="BL71:BL85" si="171">ROUND(BK71/2,0)</f>
        <v>38</v>
      </c>
      <c r="BM71" s="14">
        <f t="shared" ref="BM71:BM85" si="172">ROUND(BK71*INDEX($D$28:$D$47,AU71),0)</f>
        <v>525</v>
      </c>
      <c r="BN71" s="13">
        <v>2</v>
      </c>
      <c r="BO71" s="26">
        <v>8.6499999999999994E-2</v>
      </c>
      <c r="BP71" s="26">
        <f t="shared" si="159"/>
        <v>8.6086956521739144E-2</v>
      </c>
      <c r="BQ71" s="14">
        <f t="shared" si="151"/>
        <v>180</v>
      </c>
      <c r="BR71" s="14">
        <f t="shared" ref="BR71:BR85" si="173">ROUND(BQ71/2,0)</f>
        <v>90</v>
      </c>
      <c r="BS71" s="14">
        <f t="shared" ref="BS71:BS85" si="174">ROUND(BQ71*INDEX($D$28:$D$47,AU71),0)</f>
        <v>1260</v>
      </c>
      <c r="BT71" s="14">
        <f t="shared" si="152"/>
        <v>2535</v>
      </c>
      <c r="BU71" s="14">
        <f t="shared" si="153"/>
        <v>1184</v>
      </c>
      <c r="BV71" s="14">
        <f t="shared" si="154"/>
        <v>16005</v>
      </c>
      <c r="BW71" s="16"/>
      <c r="BX71" s="13">
        <v>3</v>
      </c>
      <c r="BY71" s="14">
        <f t="shared" ref="BY71:BY85" si="175">BF71+BK71*$BN71+BQ71</f>
        <v>455</v>
      </c>
      <c r="BZ71" s="14">
        <f t="shared" ref="BZ71:BZ85" si="176">BG71+BL71*$BN71+BR71</f>
        <v>231</v>
      </c>
      <c r="CA71" s="14">
        <f t="shared" ref="CA71:CA85" si="177">BH71+BM71*$BN71+BS71</f>
        <v>3185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3">
        <v>66</v>
      </c>
      <c r="CY71" s="13">
        <v>4</v>
      </c>
      <c r="CZ71" s="13">
        <v>6</v>
      </c>
      <c r="DA71" s="13">
        <v>3</v>
      </c>
      <c r="DB71" s="13" t="s">
        <v>429</v>
      </c>
      <c r="DC71" s="13">
        <v>20</v>
      </c>
      <c r="DD71" s="13">
        <v>45</v>
      </c>
      <c r="DE71" s="24">
        <v>0.2</v>
      </c>
      <c r="DF71" s="14">
        <f t="shared" si="163"/>
        <v>918</v>
      </c>
      <c r="DG71" s="14">
        <f t="shared" si="164"/>
        <v>392</v>
      </c>
      <c r="DH71" s="14">
        <f t="shared" si="165"/>
        <v>4926</v>
      </c>
      <c r="DI71" s="14">
        <f t="shared" ref="DI71:DI85" si="178">INDEX(CS$6:CS$37,($CY71-2)*8+$DA71)</f>
        <v>114</v>
      </c>
      <c r="DJ71" s="14">
        <f t="shared" ref="DJ71:DJ85" si="179">INDEX(CT$6:CT$37,($CY71-2)*8+$DA71)</f>
        <v>57</v>
      </c>
      <c r="DK71" s="14">
        <f t="shared" ref="DK71:DK85" si="180">INDEX(CU$6:CU$37,($CY71-2)*8+$DA71)</f>
        <v>798</v>
      </c>
      <c r="DL71" s="14">
        <f t="shared" ref="DL71:DL85" si="181">INDEX(CO$6:CO$37,($CY71-2)*8+$DA71)</f>
        <v>40</v>
      </c>
      <c r="DM71" s="14">
        <f t="shared" ref="DM71:DM85" si="182">INDEX(CP$6:CP$37,($CY71-2)*8+$DA71)</f>
        <v>20</v>
      </c>
      <c r="DN71" s="14">
        <f t="shared" ref="DN71:DN85" si="183">INDEX(CQ$6:CQ$37,($CY71-2)*8+$DA71)</f>
        <v>279</v>
      </c>
      <c r="DO71" s="14">
        <f t="shared" si="166"/>
        <v>1000</v>
      </c>
      <c r="DP71" s="14">
        <f t="shared" si="167"/>
        <v>500</v>
      </c>
      <c r="DQ71" s="14">
        <f t="shared" si="168"/>
        <v>6975</v>
      </c>
      <c r="DR71" s="14">
        <f t="shared" ref="DR71:DR85" si="184">DF71+DI71+DO71</f>
        <v>2032</v>
      </c>
      <c r="DS71" s="14">
        <f t="shared" ref="DS71:DS85" si="185">DG71+DJ71+DP71</f>
        <v>949</v>
      </c>
      <c r="DT71" s="14">
        <f t="shared" ref="DT71:DT85" si="186">DH71+DK71+DQ71</f>
        <v>12699</v>
      </c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439</v>
      </c>
      <c r="L72" s="13">
        <v>43</v>
      </c>
      <c r="M72" s="13">
        <v>17</v>
      </c>
      <c r="N72" s="13" t="s">
        <v>440</v>
      </c>
      <c r="O72" s="13">
        <v>141</v>
      </c>
      <c r="P72" s="13" t="s">
        <v>442</v>
      </c>
      <c r="Q72" s="13">
        <v>48</v>
      </c>
      <c r="R72" s="13">
        <v>19</v>
      </c>
      <c r="S72" s="13" t="s">
        <v>442</v>
      </c>
      <c r="T72" s="13"/>
      <c r="U72" s="13"/>
      <c r="V72" s="13"/>
      <c r="W72" s="13"/>
      <c r="X72" s="13"/>
      <c r="Y72" s="16"/>
      <c r="Z72" s="16"/>
      <c r="AP72" s="16"/>
      <c r="AQ72" s="16"/>
      <c r="AR72" s="16"/>
      <c r="AS72" s="13">
        <v>67</v>
      </c>
      <c r="AT72" s="13">
        <v>5</v>
      </c>
      <c r="AU72" s="13">
        <v>7</v>
      </c>
      <c r="AV72" s="13" t="s">
        <v>430</v>
      </c>
      <c r="AW72" s="13">
        <v>47</v>
      </c>
      <c r="AX72" s="14">
        <f t="shared" si="162"/>
        <v>5</v>
      </c>
      <c r="AY72" s="13">
        <v>52</v>
      </c>
      <c r="AZ72" s="14">
        <f t="shared" si="155"/>
        <v>2535</v>
      </c>
      <c r="BA72" s="14">
        <f t="shared" si="156"/>
        <v>1184</v>
      </c>
      <c r="BB72" s="14">
        <f t="shared" si="157"/>
        <v>16005</v>
      </c>
      <c r="BC72" s="13">
        <v>30</v>
      </c>
      <c r="BD72" s="13">
        <f t="shared" si="169"/>
        <v>15</v>
      </c>
      <c r="BE72" s="14">
        <f t="shared" si="170"/>
        <v>240</v>
      </c>
      <c r="BF72" s="14">
        <f t="shared" si="147"/>
        <v>150</v>
      </c>
      <c r="BG72" s="14">
        <f t="shared" si="148"/>
        <v>75</v>
      </c>
      <c r="BH72" s="14">
        <f t="shared" si="149"/>
        <v>1200</v>
      </c>
      <c r="BI72" s="26">
        <v>3.95E-2</v>
      </c>
      <c r="BJ72" s="26">
        <f t="shared" si="158"/>
        <v>3.8095238095238092E-2</v>
      </c>
      <c r="BK72" s="14">
        <f t="shared" si="150"/>
        <v>100</v>
      </c>
      <c r="BL72" s="14">
        <f t="shared" si="171"/>
        <v>50</v>
      </c>
      <c r="BM72" s="14">
        <f t="shared" si="172"/>
        <v>800</v>
      </c>
      <c r="BN72" s="13">
        <v>2</v>
      </c>
      <c r="BO72" s="26">
        <v>7.2999999999999995E-2</v>
      </c>
      <c r="BP72" s="26">
        <f t="shared" si="159"/>
        <v>7.1739130434782611E-2</v>
      </c>
      <c r="BQ72" s="14">
        <f t="shared" si="151"/>
        <v>185</v>
      </c>
      <c r="BR72" s="14">
        <f t="shared" si="173"/>
        <v>93</v>
      </c>
      <c r="BS72" s="14">
        <f t="shared" si="174"/>
        <v>1480</v>
      </c>
      <c r="BT72" s="14">
        <f t="shared" si="152"/>
        <v>3070</v>
      </c>
      <c r="BU72" s="14">
        <f t="shared" si="153"/>
        <v>1452</v>
      </c>
      <c r="BV72" s="14">
        <f t="shared" si="154"/>
        <v>20285</v>
      </c>
      <c r="BW72" s="16"/>
      <c r="BX72" s="13">
        <v>4</v>
      </c>
      <c r="BY72" s="14">
        <f t="shared" si="175"/>
        <v>535</v>
      </c>
      <c r="BZ72" s="14">
        <f t="shared" si="176"/>
        <v>268</v>
      </c>
      <c r="CA72" s="14">
        <f t="shared" si="177"/>
        <v>4280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3">
        <v>67</v>
      </c>
      <c r="CY72" s="13">
        <v>4</v>
      </c>
      <c r="CZ72" s="13">
        <v>7</v>
      </c>
      <c r="DA72" s="13">
        <v>4</v>
      </c>
      <c r="DB72" s="13" t="s">
        <v>430</v>
      </c>
      <c r="DC72" s="13">
        <v>45</v>
      </c>
      <c r="DD72" s="13">
        <v>45</v>
      </c>
      <c r="DE72" s="24">
        <v>0.2</v>
      </c>
      <c r="DF72" s="14">
        <f t="shared" si="163"/>
        <v>2032</v>
      </c>
      <c r="DG72" s="14">
        <f t="shared" si="164"/>
        <v>949</v>
      </c>
      <c r="DH72" s="14">
        <f t="shared" si="165"/>
        <v>12699</v>
      </c>
      <c r="DI72" s="14">
        <f t="shared" si="178"/>
        <v>165</v>
      </c>
      <c r="DJ72" s="14">
        <f t="shared" si="179"/>
        <v>83</v>
      </c>
      <c r="DK72" s="14">
        <f t="shared" si="180"/>
        <v>1316</v>
      </c>
      <c r="DL72" s="14">
        <f t="shared" si="181"/>
        <v>58</v>
      </c>
      <c r="DM72" s="14">
        <f t="shared" si="182"/>
        <v>29</v>
      </c>
      <c r="DN72" s="14">
        <f t="shared" si="183"/>
        <v>461</v>
      </c>
      <c r="DO72" s="14">
        <f t="shared" si="166"/>
        <v>0</v>
      </c>
      <c r="DP72" s="14">
        <f t="shared" si="167"/>
        <v>0</v>
      </c>
      <c r="DQ72" s="14">
        <f t="shared" si="168"/>
        <v>0</v>
      </c>
      <c r="DR72" s="14">
        <f t="shared" si="184"/>
        <v>2197</v>
      </c>
      <c r="DS72" s="14">
        <f t="shared" si="185"/>
        <v>1032</v>
      </c>
      <c r="DT72" s="14">
        <f t="shared" si="186"/>
        <v>14015</v>
      </c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439</v>
      </c>
      <c r="L73" s="13">
        <v>43</v>
      </c>
      <c r="M73" s="13">
        <v>17</v>
      </c>
      <c r="N73" s="13" t="s">
        <v>440</v>
      </c>
      <c r="O73" s="13">
        <v>142</v>
      </c>
      <c r="P73" s="13" t="s">
        <v>442</v>
      </c>
      <c r="Q73" s="13">
        <v>49</v>
      </c>
      <c r="R73" s="13">
        <v>19</v>
      </c>
      <c r="S73" s="13" t="s">
        <v>442</v>
      </c>
      <c r="T73" s="13"/>
      <c r="U73" s="13"/>
      <c r="V73" s="13"/>
      <c r="W73" s="13"/>
      <c r="X73" s="13"/>
      <c r="Y73" s="16"/>
      <c r="Z73" s="16"/>
      <c r="AP73" s="16"/>
      <c r="AQ73" s="16"/>
      <c r="AR73" s="16"/>
      <c r="AS73" s="13">
        <v>68</v>
      </c>
      <c r="AT73" s="13">
        <v>5</v>
      </c>
      <c r="AU73" s="13">
        <v>8</v>
      </c>
      <c r="AV73" s="13" t="s">
        <v>431</v>
      </c>
      <c r="AW73" s="13">
        <v>52</v>
      </c>
      <c r="AX73" s="14">
        <f t="shared" si="162"/>
        <v>5</v>
      </c>
      <c r="AY73" s="13">
        <v>57</v>
      </c>
      <c r="AZ73" s="14">
        <f t="shared" si="155"/>
        <v>3070</v>
      </c>
      <c r="BA73" s="14">
        <f t="shared" si="156"/>
        <v>1452</v>
      </c>
      <c r="BB73" s="14">
        <f t="shared" si="157"/>
        <v>20285</v>
      </c>
      <c r="BC73" s="13">
        <v>30</v>
      </c>
      <c r="BD73" s="13">
        <f t="shared" si="169"/>
        <v>15</v>
      </c>
      <c r="BE73" s="14">
        <f t="shared" si="170"/>
        <v>240</v>
      </c>
      <c r="BF73" s="14">
        <f t="shared" si="147"/>
        <v>150</v>
      </c>
      <c r="BG73" s="14">
        <f t="shared" si="148"/>
        <v>75</v>
      </c>
      <c r="BH73" s="14">
        <f t="shared" si="149"/>
        <v>1200</v>
      </c>
      <c r="BI73" s="26">
        <v>3.9E-2</v>
      </c>
      <c r="BJ73" s="26">
        <f t="shared" si="158"/>
        <v>3.876949009692373E-2</v>
      </c>
      <c r="BK73" s="14">
        <f t="shared" si="150"/>
        <v>120</v>
      </c>
      <c r="BL73" s="14">
        <f t="shared" si="171"/>
        <v>60</v>
      </c>
      <c r="BM73" s="14">
        <f t="shared" si="172"/>
        <v>960</v>
      </c>
      <c r="BN73" s="13">
        <v>2</v>
      </c>
      <c r="BO73" s="26">
        <v>6.2E-2</v>
      </c>
      <c r="BP73" s="26">
        <f t="shared" si="159"/>
        <v>4.4347826086956525E-2</v>
      </c>
      <c r="BQ73" s="14">
        <f t="shared" si="151"/>
        <v>190</v>
      </c>
      <c r="BR73" s="14">
        <f t="shared" si="173"/>
        <v>95</v>
      </c>
      <c r="BS73" s="14">
        <f t="shared" si="174"/>
        <v>1520</v>
      </c>
      <c r="BT73" s="14">
        <f t="shared" si="152"/>
        <v>3650</v>
      </c>
      <c r="BU73" s="14">
        <f t="shared" si="153"/>
        <v>1742</v>
      </c>
      <c r="BV73" s="14">
        <f t="shared" si="154"/>
        <v>24925</v>
      </c>
      <c r="BW73" s="16"/>
      <c r="BX73" s="13">
        <v>4</v>
      </c>
      <c r="BY73" s="14">
        <f t="shared" si="175"/>
        <v>580</v>
      </c>
      <c r="BZ73" s="14">
        <f t="shared" si="176"/>
        <v>290</v>
      </c>
      <c r="CA73" s="14">
        <f t="shared" si="177"/>
        <v>4640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3">
        <v>68</v>
      </c>
      <c r="CY73" s="13">
        <v>4</v>
      </c>
      <c r="CZ73" s="13">
        <v>8</v>
      </c>
      <c r="DA73" s="13">
        <v>4</v>
      </c>
      <c r="DB73" s="13" t="s">
        <v>431</v>
      </c>
      <c r="DC73" s="13">
        <v>45</v>
      </c>
      <c r="DD73" s="13">
        <v>45</v>
      </c>
      <c r="DE73" s="24">
        <v>0.2</v>
      </c>
      <c r="DF73" s="14">
        <f t="shared" si="163"/>
        <v>2197</v>
      </c>
      <c r="DG73" s="14">
        <f t="shared" si="164"/>
        <v>1032</v>
      </c>
      <c r="DH73" s="14">
        <f t="shared" si="165"/>
        <v>14015</v>
      </c>
      <c r="DI73" s="14">
        <f t="shared" si="178"/>
        <v>165</v>
      </c>
      <c r="DJ73" s="14">
        <f t="shared" si="179"/>
        <v>83</v>
      </c>
      <c r="DK73" s="14">
        <f t="shared" si="180"/>
        <v>1316</v>
      </c>
      <c r="DL73" s="14">
        <f t="shared" si="181"/>
        <v>58</v>
      </c>
      <c r="DM73" s="14">
        <f t="shared" si="182"/>
        <v>29</v>
      </c>
      <c r="DN73" s="14">
        <f t="shared" si="183"/>
        <v>461</v>
      </c>
      <c r="DO73" s="14">
        <f t="shared" si="166"/>
        <v>0</v>
      </c>
      <c r="DP73" s="14">
        <f t="shared" si="167"/>
        <v>0</v>
      </c>
      <c r="DQ73" s="14">
        <f t="shared" si="168"/>
        <v>0</v>
      </c>
      <c r="DR73" s="14">
        <f t="shared" si="184"/>
        <v>2362</v>
      </c>
      <c r="DS73" s="14">
        <f t="shared" si="185"/>
        <v>1115</v>
      </c>
      <c r="DT73" s="14">
        <f t="shared" si="186"/>
        <v>15331</v>
      </c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439</v>
      </c>
      <c r="L74" s="13">
        <v>44</v>
      </c>
      <c r="M74" s="13">
        <v>17</v>
      </c>
      <c r="N74" s="13" t="s">
        <v>440</v>
      </c>
      <c r="O74" s="13">
        <v>143</v>
      </c>
      <c r="P74" s="13" t="s">
        <v>442</v>
      </c>
      <c r="Q74" s="13">
        <v>49</v>
      </c>
      <c r="R74" s="13">
        <v>19</v>
      </c>
      <c r="S74" s="13" t="s">
        <v>442</v>
      </c>
      <c r="T74" s="13"/>
      <c r="U74" s="13"/>
      <c r="V74" s="13"/>
      <c r="W74" s="13"/>
      <c r="X74" s="13"/>
      <c r="Y74" s="16"/>
      <c r="Z74" s="16"/>
      <c r="AP74" s="16"/>
      <c r="AQ74" s="16"/>
      <c r="AR74" s="16"/>
      <c r="AS74" s="13">
        <v>69</v>
      </c>
      <c r="AT74" s="13">
        <v>5</v>
      </c>
      <c r="AU74" s="13">
        <v>9</v>
      </c>
      <c r="AV74" s="13" t="s">
        <v>432</v>
      </c>
      <c r="AW74" s="13">
        <v>57</v>
      </c>
      <c r="AX74" s="14">
        <f t="shared" si="162"/>
        <v>8</v>
      </c>
      <c r="AY74" s="13">
        <v>65</v>
      </c>
      <c r="AZ74" s="14">
        <f t="shared" si="155"/>
        <v>3650</v>
      </c>
      <c r="BA74" s="14">
        <f t="shared" si="156"/>
        <v>1742</v>
      </c>
      <c r="BB74" s="14">
        <f t="shared" si="157"/>
        <v>24925</v>
      </c>
      <c r="BC74" s="13">
        <v>30</v>
      </c>
      <c r="BD74" s="13">
        <f t="shared" si="169"/>
        <v>15</v>
      </c>
      <c r="BE74" s="14">
        <f t="shared" si="170"/>
        <v>240</v>
      </c>
      <c r="BF74" s="14">
        <f t="shared" si="147"/>
        <v>240</v>
      </c>
      <c r="BG74" s="14">
        <f t="shared" si="148"/>
        <v>120</v>
      </c>
      <c r="BH74" s="14">
        <f t="shared" si="149"/>
        <v>1920</v>
      </c>
      <c r="BI74" s="26">
        <v>3.7926675094816682E-2</v>
      </c>
      <c r="BJ74" s="26">
        <f t="shared" si="158"/>
        <v>3.7926675094816682E-2</v>
      </c>
      <c r="BK74" s="14">
        <f t="shared" si="150"/>
        <v>138</v>
      </c>
      <c r="BL74" s="14">
        <f t="shared" si="171"/>
        <v>69</v>
      </c>
      <c r="BM74" s="14">
        <f t="shared" si="172"/>
        <v>1104</v>
      </c>
      <c r="BN74" s="13">
        <v>3</v>
      </c>
      <c r="BO74" s="26">
        <v>6.0199999999999997E-2</v>
      </c>
      <c r="BP74" s="26">
        <f t="shared" si="159"/>
        <v>6.0000000000000012E-2</v>
      </c>
      <c r="BQ74" s="14">
        <f t="shared" si="151"/>
        <v>220</v>
      </c>
      <c r="BR74" s="14">
        <f t="shared" si="173"/>
        <v>110</v>
      </c>
      <c r="BS74" s="14">
        <f t="shared" si="174"/>
        <v>1760</v>
      </c>
      <c r="BT74" s="14">
        <f t="shared" si="152"/>
        <v>4524</v>
      </c>
      <c r="BU74" s="14">
        <f t="shared" si="153"/>
        <v>2179</v>
      </c>
      <c r="BV74" s="14">
        <f t="shared" si="154"/>
        <v>31917</v>
      </c>
      <c r="BW74" s="16"/>
      <c r="BX74" s="13">
        <v>4</v>
      </c>
      <c r="BY74" s="14">
        <f t="shared" si="175"/>
        <v>874</v>
      </c>
      <c r="BZ74" s="14">
        <f t="shared" si="176"/>
        <v>437</v>
      </c>
      <c r="CA74" s="14">
        <f t="shared" si="177"/>
        <v>6992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3">
        <v>69</v>
      </c>
      <c r="CY74" s="13">
        <v>4</v>
      </c>
      <c r="CZ74" s="13">
        <v>9</v>
      </c>
      <c r="DA74" s="13">
        <v>4</v>
      </c>
      <c r="DB74" s="13" t="s">
        <v>432</v>
      </c>
      <c r="DC74" s="13">
        <v>45</v>
      </c>
      <c r="DD74" s="13">
        <v>60</v>
      </c>
      <c r="DE74" s="24">
        <v>0.2</v>
      </c>
      <c r="DF74" s="14">
        <f t="shared" si="163"/>
        <v>2362</v>
      </c>
      <c r="DG74" s="14">
        <f t="shared" si="164"/>
        <v>1115</v>
      </c>
      <c r="DH74" s="14">
        <f t="shared" si="165"/>
        <v>15331</v>
      </c>
      <c r="DI74" s="14">
        <f t="shared" si="178"/>
        <v>165</v>
      </c>
      <c r="DJ74" s="14">
        <f t="shared" si="179"/>
        <v>83</v>
      </c>
      <c r="DK74" s="14">
        <f t="shared" si="180"/>
        <v>1316</v>
      </c>
      <c r="DL74" s="14">
        <f t="shared" si="181"/>
        <v>58</v>
      </c>
      <c r="DM74" s="14">
        <f t="shared" si="182"/>
        <v>29</v>
      </c>
      <c r="DN74" s="14">
        <f t="shared" si="183"/>
        <v>461</v>
      </c>
      <c r="DO74" s="14">
        <f t="shared" si="166"/>
        <v>870</v>
      </c>
      <c r="DP74" s="14">
        <f t="shared" si="167"/>
        <v>435</v>
      </c>
      <c r="DQ74" s="14">
        <f t="shared" si="168"/>
        <v>6915</v>
      </c>
      <c r="DR74" s="14">
        <f t="shared" si="184"/>
        <v>3397</v>
      </c>
      <c r="DS74" s="14">
        <f t="shared" si="185"/>
        <v>1633</v>
      </c>
      <c r="DT74" s="14">
        <f t="shared" si="186"/>
        <v>23562</v>
      </c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439</v>
      </c>
      <c r="L75" s="13">
        <v>44</v>
      </c>
      <c r="M75" s="13">
        <v>17</v>
      </c>
      <c r="N75" s="13" t="s">
        <v>440</v>
      </c>
      <c r="O75" s="13">
        <v>143</v>
      </c>
      <c r="P75" s="13" t="s">
        <v>442</v>
      </c>
      <c r="Q75" s="13">
        <v>49</v>
      </c>
      <c r="R75" s="13">
        <v>19</v>
      </c>
      <c r="S75" s="13" t="s">
        <v>442</v>
      </c>
      <c r="T75" s="13"/>
      <c r="U75" s="13"/>
      <c r="V75" s="13"/>
      <c r="W75" s="13"/>
      <c r="X75" s="13"/>
      <c r="Y75" s="16"/>
      <c r="Z75" s="16"/>
      <c r="AP75" s="16"/>
      <c r="AQ75" s="16"/>
      <c r="AR75" s="16"/>
      <c r="AS75" s="13">
        <v>70</v>
      </c>
      <c r="AT75" s="13">
        <v>5</v>
      </c>
      <c r="AU75" s="13">
        <v>10</v>
      </c>
      <c r="AV75" s="13" t="s">
        <v>433</v>
      </c>
      <c r="AW75" s="13">
        <v>65</v>
      </c>
      <c r="AX75" s="14">
        <f t="shared" si="162"/>
        <v>7</v>
      </c>
      <c r="AY75" s="13">
        <v>72</v>
      </c>
      <c r="AZ75" s="14">
        <f t="shared" si="155"/>
        <v>4524</v>
      </c>
      <c r="BA75" s="14">
        <f t="shared" si="156"/>
        <v>2179</v>
      </c>
      <c r="BB75" s="14">
        <f t="shared" si="157"/>
        <v>31917</v>
      </c>
      <c r="BC75" s="13">
        <v>40</v>
      </c>
      <c r="BD75" s="13">
        <f t="shared" si="169"/>
        <v>20</v>
      </c>
      <c r="BE75" s="14">
        <f t="shared" si="170"/>
        <v>360</v>
      </c>
      <c r="BF75" s="14">
        <f t="shared" si="147"/>
        <v>280</v>
      </c>
      <c r="BG75" s="14">
        <f t="shared" si="148"/>
        <v>140</v>
      </c>
      <c r="BH75" s="14">
        <f t="shared" si="149"/>
        <v>2520</v>
      </c>
      <c r="BI75" s="26">
        <v>3.32E-2</v>
      </c>
      <c r="BJ75" s="26">
        <f t="shared" si="158"/>
        <v>3.3904761904761903E-2</v>
      </c>
      <c r="BK75" s="14">
        <f t="shared" si="150"/>
        <v>150</v>
      </c>
      <c r="BL75" s="14">
        <f t="shared" si="171"/>
        <v>75</v>
      </c>
      <c r="BM75" s="14">
        <f t="shared" si="172"/>
        <v>1350</v>
      </c>
      <c r="BN75" s="13">
        <v>3</v>
      </c>
      <c r="BO75" s="26">
        <v>4.7500000000000001E-2</v>
      </c>
      <c r="BP75" s="26">
        <f t="shared" si="159"/>
        <v>4.771065794536361E-2</v>
      </c>
      <c r="BQ75" s="14">
        <f t="shared" si="151"/>
        <v>215</v>
      </c>
      <c r="BR75" s="14">
        <f t="shared" si="173"/>
        <v>108</v>
      </c>
      <c r="BS75" s="14">
        <f t="shared" si="174"/>
        <v>1935</v>
      </c>
      <c r="BT75" s="14">
        <f t="shared" si="152"/>
        <v>5469</v>
      </c>
      <c r="BU75" s="14">
        <f t="shared" si="153"/>
        <v>2652</v>
      </c>
      <c r="BV75" s="14">
        <f t="shared" si="154"/>
        <v>40422</v>
      </c>
      <c r="BW75" s="16"/>
      <c r="BX75" s="13">
        <v>5</v>
      </c>
      <c r="BY75" s="14">
        <f t="shared" si="175"/>
        <v>945</v>
      </c>
      <c r="BZ75" s="14">
        <f t="shared" si="176"/>
        <v>473</v>
      </c>
      <c r="CA75" s="14">
        <f t="shared" si="177"/>
        <v>8505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3">
        <v>70</v>
      </c>
      <c r="CY75" s="13">
        <v>4</v>
      </c>
      <c r="CZ75" s="13">
        <v>10</v>
      </c>
      <c r="DA75" s="13">
        <v>5</v>
      </c>
      <c r="DB75" s="13" t="s">
        <v>433</v>
      </c>
      <c r="DC75" s="13">
        <v>60</v>
      </c>
      <c r="DD75" s="13">
        <v>60</v>
      </c>
      <c r="DE75" s="24">
        <v>0.2</v>
      </c>
      <c r="DF75" s="14">
        <f t="shared" si="163"/>
        <v>3397</v>
      </c>
      <c r="DG75" s="14">
        <f t="shared" si="164"/>
        <v>1633</v>
      </c>
      <c r="DH75" s="14">
        <f t="shared" si="165"/>
        <v>23562</v>
      </c>
      <c r="DI75" s="14">
        <f t="shared" si="178"/>
        <v>314</v>
      </c>
      <c r="DJ75" s="14">
        <f t="shared" si="179"/>
        <v>157</v>
      </c>
      <c r="DK75" s="14">
        <f t="shared" si="180"/>
        <v>2822</v>
      </c>
      <c r="DL75" s="14">
        <f t="shared" si="181"/>
        <v>110</v>
      </c>
      <c r="DM75" s="14">
        <f t="shared" si="182"/>
        <v>55</v>
      </c>
      <c r="DN75" s="14">
        <f t="shared" si="183"/>
        <v>988</v>
      </c>
      <c r="DO75" s="14">
        <f t="shared" si="166"/>
        <v>0</v>
      </c>
      <c r="DP75" s="14">
        <f t="shared" si="167"/>
        <v>0</v>
      </c>
      <c r="DQ75" s="14">
        <f t="shared" si="168"/>
        <v>0</v>
      </c>
      <c r="DR75" s="14">
        <f t="shared" si="184"/>
        <v>3711</v>
      </c>
      <c r="DS75" s="14">
        <f t="shared" si="185"/>
        <v>1790</v>
      </c>
      <c r="DT75" s="14">
        <f t="shared" si="186"/>
        <v>26384</v>
      </c>
      <c r="DU75" s="16"/>
      <c r="DV75" s="16"/>
      <c r="DW75" s="33"/>
      <c r="DX75" s="33"/>
      <c r="DY75" s="33"/>
      <c r="DZ75" s="33"/>
      <c r="EA75" s="33"/>
      <c r="EB75" s="33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439</v>
      </c>
      <c r="L76" s="13">
        <v>45</v>
      </c>
      <c r="M76" s="13">
        <v>18</v>
      </c>
      <c r="N76" s="13" t="s">
        <v>441</v>
      </c>
      <c r="O76" s="13">
        <v>144</v>
      </c>
      <c r="P76" s="13" t="s">
        <v>442</v>
      </c>
      <c r="Q76" s="13">
        <v>49</v>
      </c>
      <c r="R76" s="13">
        <v>19</v>
      </c>
      <c r="S76" s="13" t="s">
        <v>442</v>
      </c>
      <c r="T76" s="13"/>
      <c r="U76" s="13"/>
      <c r="V76" s="13"/>
      <c r="W76" s="13"/>
      <c r="X76" s="13"/>
      <c r="Y76" s="22"/>
      <c r="Z76" s="22"/>
      <c r="AP76" s="22"/>
      <c r="AQ76" s="22"/>
      <c r="AR76" s="22"/>
      <c r="AS76" s="13">
        <v>71</v>
      </c>
      <c r="AT76" s="13">
        <v>5</v>
      </c>
      <c r="AU76" s="13">
        <v>11</v>
      </c>
      <c r="AV76" s="13" t="s">
        <v>434</v>
      </c>
      <c r="AW76" s="13">
        <v>72</v>
      </c>
      <c r="AX76" s="14">
        <f t="shared" si="162"/>
        <v>8</v>
      </c>
      <c r="AY76" s="13">
        <v>80</v>
      </c>
      <c r="AZ76" s="14">
        <f t="shared" si="155"/>
        <v>5469</v>
      </c>
      <c r="BA76" s="14">
        <f t="shared" si="156"/>
        <v>2652</v>
      </c>
      <c r="BB76" s="14">
        <f t="shared" si="157"/>
        <v>40422</v>
      </c>
      <c r="BC76" s="13">
        <v>40</v>
      </c>
      <c r="BD76" s="13">
        <f t="shared" si="169"/>
        <v>20</v>
      </c>
      <c r="BE76" s="14">
        <f t="shared" si="170"/>
        <v>360</v>
      </c>
      <c r="BF76" s="14">
        <f t="shared" si="147"/>
        <v>320</v>
      </c>
      <c r="BG76" s="14">
        <f t="shared" si="148"/>
        <v>160</v>
      </c>
      <c r="BH76" s="14">
        <f t="shared" si="149"/>
        <v>2880</v>
      </c>
      <c r="BI76" s="26">
        <v>3.6499999999999998E-2</v>
      </c>
      <c r="BJ76" s="26">
        <f t="shared" si="158"/>
        <v>3.6380952380952375E-2</v>
      </c>
      <c r="BK76" s="14">
        <f t="shared" si="150"/>
        <v>200</v>
      </c>
      <c r="BL76" s="14">
        <f t="shared" si="171"/>
        <v>100</v>
      </c>
      <c r="BM76" s="14">
        <f t="shared" si="172"/>
        <v>1800</v>
      </c>
      <c r="BN76" s="13">
        <v>3</v>
      </c>
      <c r="BO76" s="26">
        <v>5.8500000000000003E-2</v>
      </c>
      <c r="BP76" s="26">
        <f t="shared" si="159"/>
        <v>5.8695652173913052E-2</v>
      </c>
      <c r="BQ76" s="14">
        <f t="shared" si="151"/>
        <v>320</v>
      </c>
      <c r="BR76" s="14">
        <f t="shared" si="173"/>
        <v>160</v>
      </c>
      <c r="BS76" s="14">
        <f t="shared" si="174"/>
        <v>2880</v>
      </c>
      <c r="BT76" s="14">
        <f t="shared" si="152"/>
        <v>6709</v>
      </c>
      <c r="BU76" s="14">
        <f t="shared" si="153"/>
        <v>3272</v>
      </c>
      <c r="BV76" s="14">
        <f t="shared" si="154"/>
        <v>51582</v>
      </c>
      <c r="BX76" s="13">
        <v>5</v>
      </c>
      <c r="BY76" s="14">
        <f t="shared" si="175"/>
        <v>1240</v>
      </c>
      <c r="BZ76" s="14">
        <f t="shared" si="176"/>
        <v>620</v>
      </c>
      <c r="CA76" s="14">
        <f t="shared" si="177"/>
        <v>11160</v>
      </c>
      <c r="CX76" s="13">
        <v>71</v>
      </c>
      <c r="CY76" s="13">
        <v>4</v>
      </c>
      <c r="CZ76" s="13">
        <v>11</v>
      </c>
      <c r="DA76" s="13">
        <v>5</v>
      </c>
      <c r="DB76" s="13" t="s">
        <v>434</v>
      </c>
      <c r="DC76" s="13">
        <v>60</v>
      </c>
      <c r="DD76" s="13">
        <v>60</v>
      </c>
      <c r="DE76" s="24">
        <v>0.2</v>
      </c>
      <c r="DF76" s="14">
        <f t="shared" si="163"/>
        <v>3711</v>
      </c>
      <c r="DG76" s="14">
        <f t="shared" si="164"/>
        <v>1790</v>
      </c>
      <c r="DH76" s="14">
        <f t="shared" si="165"/>
        <v>26384</v>
      </c>
      <c r="DI76" s="14">
        <f t="shared" si="178"/>
        <v>314</v>
      </c>
      <c r="DJ76" s="14">
        <f t="shared" si="179"/>
        <v>157</v>
      </c>
      <c r="DK76" s="14">
        <f t="shared" si="180"/>
        <v>2822</v>
      </c>
      <c r="DL76" s="14">
        <f t="shared" si="181"/>
        <v>110</v>
      </c>
      <c r="DM76" s="14">
        <f t="shared" si="182"/>
        <v>55</v>
      </c>
      <c r="DN76" s="14">
        <f t="shared" si="183"/>
        <v>988</v>
      </c>
      <c r="DO76" s="14">
        <f t="shared" si="166"/>
        <v>0</v>
      </c>
      <c r="DP76" s="14">
        <f t="shared" si="167"/>
        <v>0</v>
      </c>
      <c r="DQ76" s="14">
        <f t="shared" si="168"/>
        <v>0</v>
      </c>
      <c r="DR76" s="14">
        <f t="shared" si="184"/>
        <v>4025</v>
      </c>
      <c r="DS76" s="14">
        <f t="shared" si="185"/>
        <v>1947</v>
      </c>
      <c r="DT76" s="14">
        <f t="shared" si="186"/>
        <v>29206</v>
      </c>
      <c r="DW76" s="33"/>
      <c r="DX76" s="33"/>
      <c r="DY76" s="33"/>
      <c r="DZ76" s="33"/>
      <c r="EA76" s="33"/>
      <c r="EB76" s="33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439</v>
      </c>
      <c r="L77" s="13">
        <v>45</v>
      </c>
      <c r="M77" s="13">
        <v>18</v>
      </c>
      <c r="N77" s="13" t="s">
        <v>441</v>
      </c>
      <c r="O77" s="13">
        <v>144</v>
      </c>
      <c r="P77" s="13" t="s">
        <v>442</v>
      </c>
      <c r="Q77" s="13">
        <v>49</v>
      </c>
      <c r="R77" s="13">
        <v>19</v>
      </c>
      <c r="S77" s="13" t="s">
        <v>442</v>
      </c>
      <c r="T77" s="13"/>
      <c r="U77" s="13"/>
      <c r="V77" s="13"/>
      <c r="W77" s="13"/>
      <c r="X77" s="13"/>
      <c r="Y77" s="22"/>
      <c r="Z77" s="22"/>
      <c r="AP77" s="22"/>
      <c r="AQ77" s="22"/>
      <c r="AR77" s="22"/>
      <c r="AS77" s="13">
        <v>72</v>
      </c>
      <c r="AT77" s="13">
        <v>5</v>
      </c>
      <c r="AU77" s="13">
        <v>12</v>
      </c>
      <c r="AV77" s="13" t="s">
        <v>435</v>
      </c>
      <c r="AW77" s="13">
        <v>80</v>
      </c>
      <c r="AX77" s="14">
        <f t="shared" si="162"/>
        <v>7</v>
      </c>
      <c r="AY77" s="13">
        <v>87</v>
      </c>
      <c r="AZ77" s="14">
        <f t="shared" si="155"/>
        <v>6709</v>
      </c>
      <c r="BA77" s="14">
        <f t="shared" si="156"/>
        <v>3272</v>
      </c>
      <c r="BB77" s="14">
        <f t="shared" si="157"/>
        <v>51582</v>
      </c>
      <c r="BC77" s="13">
        <v>40</v>
      </c>
      <c r="BD77" s="13">
        <f t="shared" si="169"/>
        <v>20</v>
      </c>
      <c r="BE77" s="14">
        <f t="shared" si="170"/>
        <v>360</v>
      </c>
      <c r="BF77" s="14">
        <f t="shared" si="147"/>
        <v>280</v>
      </c>
      <c r="BG77" s="14">
        <f t="shared" si="148"/>
        <v>140</v>
      </c>
      <c r="BH77" s="14">
        <f t="shared" si="149"/>
        <v>2520</v>
      </c>
      <c r="BI77" s="26">
        <v>3.8800000000000001E-2</v>
      </c>
      <c r="BJ77" s="26">
        <f t="shared" si="158"/>
        <v>3.8952380952380947E-2</v>
      </c>
      <c r="BK77" s="14">
        <f t="shared" si="150"/>
        <v>260</v>
      </c>
      <c r="BL77" s="14">
        <f t="shared" si="171"/>
        <v>130</v>
      </c>
      <c r="BM77" s="14">
        <f t="shared" si="172"/>
        <v>2340</v>
      </c>
      <c r="BN77" s="13">
        <v>3</v>
      </c>
      <c r="BO77" s="26">
        <v>6.330434782608696E-2</v>
      </c>
      <c r="BP77" s="26">
        <f t="shared" si="159"/>
        <v>6.330434782608696E-2</v>
      </c>
      <c r="BQ77" s="14">
        <f t="shared" si="151"/>
        <v>425</v>
      </c>
      <c r="BR77" s="14">
        <f t="shared" si="173"/>
        <v>213</v>
      </c>
      <c r="BS77" s="14">
        <f t="shared" si="174"/>
        <v>3825</v>
      </c>
      <c r="BT77" s="14">
        <f t="shared" si="152"/>
        <v>8194</v>
      </c>
      <c r="BU77" s="14">
        <f t="shared" si="153"/>
        <v>4015</v>
      </c>
      <c r="BV77" s="14">
        <f t="shared" si="154"/>
        <v>64947</v>
      </c>
      <c r="BX77" s="13">
        <v>5</v>
      </c>
      <c r="BY77" s="14">
        <f t="shared" si="175"/>
        <v>1485</v>
      </c>
      <c r="BZ77" s="14">
        <f t="shared" si="176"/>
        <v>743</v>
      </c>
      <c r="CA77" s="14">
        <f t="shared" si="177"/>
        <v>13365</v>
      </c>
      <c r="CX77" s="13">
        <v>72</v>
      </c>
      <c r="CY77" s="13">
        <v>4</v>
      </c>
      <c r="CZ77" s="13">
        <v>12</v>
      </c>
      <c r="DA77" s="13">
        <v>5</v>
      </c>
      <c r="DB77" s="13" t="s">
        <v>435</v>
      </c>
      <c r="DC77" s="13">
        <v>60</v>
      </c>
      <c r="DD77" s="13">
        <v>85</v>
      </c>
      <c r="DE77" s="24">
        <v>0.2</v>
      </c>
      <c r="DF77" s="14">
        <f t="shared" si="163"/>
        <v>4025</v>
      </c>
      <c r="DG77" s="14">
        <f t="shared" si="164"/>
        <v>1947</v>
      </c>
      <c r="DH77" s="14">
        <f t="shared" si="165"/>
        <v>29206</v>
      </c>
      <c r="DI77" s="14">
        <f t="shared" si="178"/>
        <v>314</v>
      </c>
      <c r="DJ77" s="14">
        <f t="shared" si="179"/>
        <v>157</v>
      </c>
      <c r="DK77" s="14">
        <f t="shared" si="180"/>
        <v>2822</v>
      </c>
      <c r="DL77" s="14">
        <f t="shared" si="181"/>
        <v>110</v>
      </c>
      <c r="DM77" s="14">
        <f t="shared" si="182"/>
        <v>55</v>
      </c>
      <c r="DN77" s="14">
        <f t="shared" si="183"/>
        <v>988</v>
      </c>
      <c r="DO77" s="14">
        <f t="shared" si="166"/>
        <v>2750</v>
      </c>
      <c r="DP77" s="14">
        <f t="shared" si="167"/>
        <v>1375</v>
      </c>
      <c r="DQ77" s="14">
        <f t="shared" si="168"/>
        <v>24700</v>
      </c>
      <c r="DR77" s="14">
        <f t="shared" si="184"/>
        <v>7089</v>
      </c>
      <c r="DS77" s="14">
        <f t="shared" si="185"/>
        <v>3479</v>
      </c>
      <c r="DT77" s="14">
        <f t="shared" si="186"/>
        <v>56728</v>
      </c>
      <c r="DW77" s="33"/>
      <c r="DX77" s="33"/>
      <c r="DY77" s="33"/>
      <c r="DZ77" s="33"/>
      <c r="EA77" s="33"/>
      <c r="EB77" s="33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439</v>
      </c>
      <c r="L78" s="13">
        <v>45</v>
      </c>
      <c r="M78" s="13">
        <v>18</v>
      </c>
      <c r="N78" s="13" t="s">
        <v>441</v>
      </c>
      <c r="O78" s="13">
        <v>144</v>
      </c>
      <c r="P78" s="13" t="s">
        <v>442</v>
      </c>
      <c r="Q78" s="13">
        <v>49</v>
      </c>
      <c r="R78" s="13">
        <v>19</v>
      </c>
      <c r="S78" s="13" t="s">
        <v>442</v>
      </c>
      <c r="T78" s="13"/>
      <c r="U78" s="13"/>
      <c r="V78" s="13"/>
      <c r="W78" s="13"/>
      <c r="X78" s="13"/>
      <c r="Y78" s="22"/>
      <c r="Z78" s="22"/>
      <c r="AP78" s="22"/>
      <c r="AQ78" s="22"/>
      <c r="AR78" s="22"/>
      <c r="AS78" s="13">
        <v>73</v>
      </c>
      <c r="AT78" s="13">
        <v>5</v>
      </c>
      <c r="AU78" s="13">
        <v>13</v>
      </c>
      <c r="AV78" s="13" t="s">
        <v>436</v>
      </c>
      <c r="AW78" s="13">
        <v>87</v>
      </c>
      <c r="AX78" s="14">
        <f t="shared" si="162"/>
        <v>8</v>
      </c>
      <c r="AY78" s="13">
        <v>95</v>
      </c>
      <c r="AZ78" s="14">
        <f t="shared" si="155"/>
        <v>8194</v>
      </c>
      <c r="BA78" s="14">
        <f t="shared" si="156"/>
        <v>4015</v>
      </c>
      <c r="BB78" s="14">
        <f t="shared" si="157"/>
        <v>64947</v>
      </c>
      <c r="BC78" s="13">
        <v>50</v>
      </c>
      <c r="BD78" s="13">
        <f t="shared" si="169"/>
        <v>25</v>
      </c>
      <c r="BE78" s="14">
        <f t="shared" si="170"/>
        <v>500</v>
      </c>
      <c r="BF78" s="14">
        <f t="shared" si="147"/>
        <v>400</v>
      </c>
      <c r="BG78" s="14">
        <f t="shared" si="148"/>
        <v>200</v>
      </c>
      <c r="BH78" s="14">
        <f t="shared" si="149"/>
        <v>4000</v>
      </c>
      <c r="BI78" s="26">
        <v>3.85E-2</v>
      </c>
      <c r="BJ78" s="26">
        <f t="shared" si="158"/>
        <v>3.8571428571428569E-2</v>
      </c>
      <c r="BK78" s="14">
        <f t="shared" si="150"/>
        <v>315</v>
      </c>
      <c r="BL78" s="14">
        <f t="shared" si="171"/>
        <v>158</v>
      </c>
      <c r="BM78" s="14">
        <f t="shared" si="172"/>
        <v>3150</v>
      </c>
      <c r="BN78" s="13">
        <v>3</v>
      </c>
      <c r="BO78" s="26">
        <v>5.8000000000000003E-2</v>
      </c>
      <c r="BP78" s="26">
        <f t="shared" si="159"/>
        <v>5.7739130434782612E-2</v>
      </c>
      <c r="BQ78" s="14">
        <f t="shared" si="151"/>
        <v>475</v>
      </c>
      <c r="BR78" s="14">
        <f t="shared" si="173"/>
        <v>238</v>
      </c>
      <c r="BS78" s="14">
        <f t="shared" si="174"/>
        <v>4750</v>
      </c>
      <c r="BT78" s="14">
        <f t="shared" si="152"/>
        <v>10014</v>
      </c>
      <c r="BU78" s="14">
        <f t="shared" si="153"/>
        <v>4927</v>
      </c>
      <c r="BV78" s="14">
        <f t="shared" si="154"/>
        <v>83147</v>
      </c>
      <c r="BX78" s="13">
        <v>6</v>
      </c>
      <c r="BY78" s="14">
        <f t="shared" si="175"/>
        <v>1820</v>
      </c>
      <c r="BZ78" s="14">
        <f t="shared" si="176"/>
        <v>912</v>
      </c>
      <c r="CA78" s="14">
        <f t="shared" si="177"/>
        <v>18200</v>
      </c>
      <c r="CX78" s="13">
        <v>73</v>
      </c>
      <c r="CY78" s="13">
        <v>4</v>
      </c>
      <c r="CZ78" s="13">
        <v>13</v>
      </c>
      <c r="DA78" s="13">
        <v>6</v>
      </c>
      <c r="DB78" s="13" t="s">
        <v>436</v>
      </c>
      <c r="DC78" s="13">
        <v>85</v>
      </c>
      <c r="DD78" s="13">
        <v>85</v>
      </c>
      <c r="DE78" s="24">
        <v>0.2</v>
      </c>
      <c r="DF78" s="14">
        <f t="shared" si="163"/>
        <v>7089</v>
      </c>
      <c r="DG78" s="14">
        <f t="shared" si="164"/>
        <v>3479</v>
      </c>
      <c r="DH78" s="14">
        <f t="shared" si="165"/>
        <v>56728</v>
      </c>
      <c r="DI78" s="14">
        <f t="shared" si="178"/>
        <v>579</v>
      </c>
      <c r="DJ78" s="14">
        <f t="shared" si="179"/>
        <v>290</v>
      </c>
      <c r="DK78" s="14">
        <f t="shared" si="180"/>
        <v>5790</v>
      </c>
      <c r="DL78" s="14">
        <f t="shared" si="181"/>
        <v>203</v>
      </c>
      <c r="DM78" s="14">
        <f t="shared" si="182"/>
        <v>101</v>
      </c>
      <c r="DN78" s="14">
        <f t="shared" si="183"/>
        <v>2027</v>
      </c>
      <c r="DO78" s="14">
        <f t="shared" si="166"/>
        <v>0</v>
      </c>
      <c r="DP78" s="14">
        <f t="shared" si="167"/>
        <v>0</v>
      </c>
      <c r="DQ78" s="14">
        <f t="shared" si="168"/>
        <v>0</v>
      </c>
      <c r="DR78" s="14">
        <f t="shared" si="184"/>
        <v>7668</v>
      </c>
      <c r="DS78" s="14">
        <f t="shared" si="185"/>
        <v>3769</v>
      </c>
      <c r="DT78" s="14">
        <f t="shared" si="186"/>
        <v>62518</v>
      </c>
      <c r="DW78" s="33"/>
      <c r="DX78" s="33"/>
      <c r="DY78" s="33"/>
      <c r="DZ78" s="33"/>
      <c r="EA78" s="33"/>
      <c r="EB78" s="33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439</v>
      </c>
      <c r="L79" s="13">
        <v>45</v>
      </c>
      <c r="M79" s="13">
        <v>18</v>
      </c>
      <c r="N79" s="13" t="s">
        <v>441</v>
      </c>
      <c r="O79" s="13">
        <v>145</v>
      </c>
      <c r="P79" s="13" t="s">
        <v>442</v>
      </c>
      <c r="Q79" s="13">
        <v>50</v>
      </c>
      <c r="R79" s="13">
        <v>19</v>
      </c>
      <c r="S79" s="13" t="s">
        <v>442</v>
      </c>
      <c r="T79" s="13"/>
      <c r="U79" s="13"/>
      <c r="V79" s="13"/>
      <c r="W79" s="13"/>
      <c r="X79" s="13"/>
      <c r="Y79" s="22"/>
      <c r="Z79" s="22"/>
      <c r="AP79" s="22"/>
      <c r="AQ79" s="22"/>
      <c r="AR79" s="22"/>
      <c r="AS79" s="13">
        <v>74</v>
      </c>
      <c r="AT79" s="13">
        <v>5</v>
      </c>
      <c r="AU79" s="13">
        <v>14</v>
      </c>
      <c r="AV79" s="13" t="s">
        <v>437</v>
      </c>
      <c r="AW79" s="13">
        <v>95</v>
      </c>
      <c r="AX79" s="14">
        <f t="shared" si="162"/>
        <v>7</v>
      </c>
      <c r="AY79" s="13">
        <v>102</v>
      </c>
      <c r="AZ79" s="14">
        <f t="shared" si="155"/>
        <v>10014</v>
      </c>
      <c r="BA79" s="14">
        <f t="shared" si="156"/>
        <v>4927</v>
      </c>
      <c r="BB79" s="14">
        <f t="shared" si="157"/>
        <v>83147</v>
      </c>
      <c r="BC79" s="13">
        <v>50</v>
      </c>
      <c r="BD79" s="13">
        <f t="shared" si="169"/>
        <v>25</v>
      </c>
      <c r="BE79" s="14">
        <f t="shared" si="170"/>
        <v>500</v>
      </c>
      <c r="BF79" s="14">
        <f t="shared" si="147"/>
        <v>350</v>
      </c>
      <c r="BG79" s="14">
        <f t="shared" si="148"/>
        <v>175</v>
      </c>
      <c r="BH79" s="14">
        <f t="shared" si="149"/>
        <v>3500</v>
      </c>
      <c r="BI79" s="26">
        <v>3.6400000000000002E-2</v>
      </c>
      <c r="BJ79" s="26">
        <f t="shared" si="158"/>
        <v>3.6380952380952375E-2</v>
      </c>
      <c r="BK79" s="14">
        <f t="shared" si="150"/>
        <v>365</v>
      </c>
      <c r="BL79" s="14">
        <f t="shared" si="171"/>
        <v>183</v>
      </c>
      <c r="BM79" s="14">
        <f t="shared" si="172"/>
        <v>3650</v>
      </c>
      <c r="BN79" s="13">
        <v>3</v>
      </c>
      <c r="BO79" s="26">
        <v>5.1913043478260874E-2</v>
      </c>
      <c r="BP79" s="26">
        <f t="shared" si="159"/>
        <v>5.1913043478260874E-2</v>
      </c>
      <c r="BQ79" s="14">
        <f t="shared" si="151"/>
        <v>520</v>
      </c>
      <c r="BR79" s="14">
        <f t="shared" si="173"/>
        <v>260</v>
      </c>
      <c r="BS79" s="14">
        <f t="shared" si="174"/>
        <v>5200</v>
      </c>
      <c r="BT79" s="14">
        <f t="shared" si="152"/>
        <v>11979</v>
      </c>
      <c r="BU79" s="14">
        <f t="shared" si="153"/>
        <v>5911</v>
      </c>
      <c r="BV79" s="14">
        <f t="shared" si="154"/>
        <v>102797</v>
      </c>
      <c r="BX79" s="13">
        <v>6</v>
      </c>
      <c r="BY79" s="14">
        <f t="shared" si="175"/>
        <v>1965</v>
      </c>
      <c r="BZ79" s="14">
        <f t="shared" si="176"/>
        <v>984</v>
      </c>
      <c r="CA79" s="14">
        <f t="shared" si="177"/>
        <v>19650</v>
      </c>
      <c r="CX79" s="13">
        <v>74</v>
      </c>
      <c r="CY79" s="13">
        <v>4</v>
      </c>
      <c r="CZ79" s="13">
        <v>14</v>
      </c>
      <c r="DA79" s="13">
        <v>6</v>
      </c>
      <c r="DB79" s="13" t="s">
        <v>437</v>
      </c>
      <c r="DC79" s="13">
        <v>85</v>
      </c>
      <c r="DD79" s="13">
        <v>85</v>
      </c>
      <c r="DE79" s="24">
        <v>0.2</v>
      </c>
      <c r="DF79" s="14">
        <f t="shared" si="163"/>
        <v>7668</v>
      </c>
      <c r="DG79" s="14">
        <f t="shared" si="164"/>
        <v>3769</v>
      </c>
      <c r="DH79" s="14">
        <f t="shared" si="165"/>
        <v>62518</v>
      </c>
      <c r="DI79" s="14">
        <f t="shared" si="178"/>
        <v>579</v>
      </c>
      <c r="DJ79" s="14">
        <f t="shared" si="179"/>
        <v>290</v>
      </c>
      <c r="DK79" s="14">
        <f t="shared" si="180"/>
        <v>5790</v>
      </c>
      <c r="DL79" s="14">
        <f t="shared" si="181"/>
        <v>203</v>
      </c>
      <c r="DM79" s="14">
        <f t="shared" si="182"/>
        <v>101</v>
      </c>
      <c r="DN79" s="14">
        <f t="shared" si="183"/>
        <v>2027</v>
      </c>
      <c r="DO79" s="14">
        <f t="shared" si="166"/>
        <v>0</v>
      </c>
      <c r="DP79" s="14">
        <f t="shared" si="167"/>
        <v>0</v>
      </c>
      <c r="DQ79" s="14">
        <f t="shared" si="168"/>
        <v>0</v>
      </c>
      <c r="DR79" s="14">
        <f t="shared" si="184"/>
        <v>8247</v>
      </c>
      <c r="DS79" s="14">
        <f t="shared" si="185"/>
        <v>4059</v>
      </c>
      <c r="DT79" s="14">
        <f t="shared" si="186"/>
        <v>68308</v>
      </c>
      <c r="DW79" s="33"/>
      <c r="DX79" s="33"/>
      <c r="DY79" s="33"/>
      <c r="DZ79" s="33"/>
      <c r="EA79" s="33"/>
      <c r="EB79" s="33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439</v>
      </c>
      <c r="L80" s="13">
        <v>45</v>
      </c>
      <c r="M80" s="13">
        <v>18</v>
      </c>
      <c r="N80" s="13" t="s">
        <v>441</v>
      </c>
      <c r="O80" s="13">
        <v>146</v>
      </c>
      <c r="P80" s="13" t="s">
        <v>442</v>
      </c>
      <c r="Q80" s="13">
        <v>50</v>
      </c>
      <c r="R80" s="13">
        <v>19</v>
      </c>
      <c r="S80" s="13" t="s">
        <v>442</v>
      </c>
      <c r="T80" s="13"/>
      <c r="U80" s="13"/>
      <c r="V80" s="13"/>
      <c r="W80" s="13"/>
      <c r="X80" s="13"/>
      <c r="Y80" s="22"/>
      <c r="Z80" s="22"/>
      <c r="AP80" s="22"/>
      <c r="AQ80" s="22"/>
      <c r="AR80" s="22"/>
      <c r="AS80" s="13">
        <v>75</v>
      </c>
      <c r="AT80" s="13">
        <v>5</v>
      </c>
      <c r="AU80" s="13">
        <v>15</v>
      </c>
      <c r="AV80" s="13" t="s">
        <v>438</v>
      </c>
      <c r="AW80" s="13">
        <v>102</v>
      </c>
      <c r="AX80" s="14">
        <f t="shared" si="162"/>
        <v>8</v>
      </c>
      <c r="AY80" s="13">
        <v>110</v>
      </c>
      <c r="AZ80" s="14">
        <f t="shared" si="155"/>
        <v>11979</v>
      </c>
      <c r="BA80" s="14">
        <f t="shared" si="156"/>
        <v>5911</v>
      </c>
      <c r="BB80" s="14">
        <f t="shared" si="157"/>
        <v>102797</v>
      </c>
      <c r="BC80" s="13">
        <v>50</v>
      </c>
      <c r="BD80" s="13">
        <f t="shared" si="169"/>
        <v>25</v>
      </c>
      <c r="BE80" s="14">
        <f t="shared" si="170"/>
        <v>500</v>
      </c>
      <c r="BF80" s="14">
        <f t="shared" si="147"/>
        <v>400</v>
      </c>
      <c r="BG80" s="14">
        <f t="shared" si="148"/>
        <v>200</v>
      </c>
      <c r="BH80" s="14">
        <f t="shared" si="149"/>
        <v>4000</v>
      </c>
      <c r="BI80" s="26">
        <v>4.1700000000000001E-2</v>
      </c>
      <c r="BJ80" s="26">
        <f t="shared" si="158"/>
        <v>4.1904761904761903E-2</v>
      </c>
      <c r="BK80" s="14">
        <f t="shared" si="150"/>
        <v>500</v>
      </c>
      <c r="BL80" s="14">
        <f t="shared" si="171"/>
        <v>250</v>
      </c>
      <c r="BM80" s="14">
        <f t="shared" si="172"/>
        <v>5000</v>
      </c>
      <c r="BN80" s="13">
        <v>3</v>
      </c>
      <c r="BO80" s="26">
        <v>6.8900000000000003E-2</v>
      </c>
      <c r="BP80" s="26">
        <f t="shared" si="159"/>
        <v>6.8782608695652184E-2</v>
      </c>
      <c r="BQ80" s="14">
        <f t="shared" si="151"/>
        <v>825</v>
      </c>
      <c r="BR80" s="14">
        <f t="shared" si="173"/>
        <v>413</v>
      </c>
      <c r="BS80" s="14">
        <f t="shared" si="174"/>
        <v>8250</v>
      </c>
      <c r="BT80" s="14">
        <f t="shared" si="152"/>
        <v>14704</v>
      </c>
      <c r="BU80" s="14">
        <f t="shared" si="153"/>
        <v>7274</v>
      </c>
      <c r="BV80" s="14">
        <f t="shared" si="154"/>
        <v>130047</v>
      </c>
      <c r="BX80" s="13">
        <v>6</v>
      </c>
      <c r="BY80" s="14">
        <f t="shared" si="175"/>
        <v>2725</v>
      </c>
      <c r="BZ80" s="14">
        <f t="shared" si="176"/>
        <v>1363</v>
      </c>
      <c r="CA80" s="14">
        <f t="shared" si="177"/>
        <v>27250</v>
      </c>
      <c r="CX80" s="13">
        <v>75</v>
      </c>
      <c r="CY80" s="13">
        <v>4</v>
      </c>
      <c r="CZ80" s="13">
        <v>15</v>
      </c>
      <c r="DA80" s="13">
        <v>6</v>
      </c>
      <c r="DB80" s="13" t="s">
        <v>438</v>
      </c>
      <c r="DC80" s="13">
        <v>85</v>
      </c>
      <c r="DD80" s="13">
        <v>110</v>
      </c>
      <c r="DE80" s="24">
        <v>0.2</v>
      </c>
      <c r="DF80" s="14">
        <f t="shared" si="163"/>
        <v>8247</v>
      </c>
      <c r="DG80" s="14">
        <f t="shared" si="164"/>
        <v>4059</v>
      </c>
      <c r="DH80" s="14">
        <f t="shared" si="165"/>
        <v>68308</v>
      </c>
      <c r="DI80" s="14">
        <f t="shared" si="178"/>
        <v>579</v>
      </c>
      <c r="DJ80" s="14">
        <f t="shared" si="179"/>
        <v>290</v>
      </c>
      <c r="DK80" s="14">
        <f t="shared" si="180"/>
        <v>5790</v>
      </c>
      <c r="DL80" s="14">
        <f t="shared" si="181"/>
        <v>203</v>
      </c>
      <c r="DM80" s="14">
        <f t="shared" si="182"/>
        <v>101</v>
      </c>
      <c r="DN80" s="14">
        <f t="shared" si="183"/>
        <v>2027</v>
      </c>
      <c r="DO80" s="14">
        <f t="shared" si="166"/>
        <v>5075</v>
      </c>
      <c r="DP80" s="14">
        <f t="shared" si="167"/>
        <v>2525</v>
      </c>
      <c r="DQ80" s="14">
        <f t="shared" si="168"/>
        <v>50675</v>
      </c>
      <c r="DR80" s="14">
        <f t="shared" si="184"/>
        <v>13901</v>
      </c>
      <c r="DS80" s="14">
        <f t="shared" si="185"/>
        <v>6874</v>
      </c>
      <c r="DT80" s="14">
        <f t="shared" si="186"/>
        <v>124773</v>
      </c>
      <c r="DW80" s="33"/>
      <c r="DX80" s="33"/>
      <c r="DY80" s="33"/>
      <c r="DZ80" s="33"/>
      <c r="EA80" s="33"/>
      <c r="EB80" s="33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439</v>
      </c>
      <c r="L81" s="13">
        <v>45</v>
      </c>
      <c r="M81" s="13">
        <v>18</v>
      </c>
      <c r="N81" s="13" t="s">
        <v>441</v>
      </c>
      <c r="O81" s="13">
        <v>147</v>
      </c>
      <c r="P81" s="13" t="s">
        <v>442</v>
      </c>
      <c r="Q81" s="13">
        <v>51</v>
      </c>
      <c r="R81" s="13">
        <v>19</v>
      </c>
      <c r="S81" s="13" t="s">
        <v>442</v>
      </c>
      <c r="T81" s="13"/>
      <c r="U81" s="13"/>
      <c r="V81" s="13"/>
      <c r="W81" s="13"/>
      <c r="X81" s="13"/>
      <c r="Y81" s="22"/>
      <c r="Z81" s="22"/>
      <c r="AP81" s="22"/>
      <c r="AQ81" s="22"/>
      <c r="AR81" s="22"/>
      <c r="AS81" s="13">
        <v>76</v>
      </c>
      <c r="AT81" s="13">
        <v>5</v>
      </c>
      <c r="AU81" s="13">
        <v>16</v>
      </c>
      <c r="AV81" s="13" t="s">
        <v>439</v>
      </c>
      <c r="AW81" s="13">
        <v>110</v>
      </c>
      <c r="AX81" s="14">
        <f t="shared" si="162"/>
        <v>7</v>
      </c>
      <c r="AY81" s="13">
        <v>117</v>
      </c>
      <c r="AZ81" s="14">
        <f t="shared" si="155"/>
        <v>14704</v>
      </c>
      <c r="BA81" s="14">
        <f t="shared" si="156"/>
        <v>7274</v>
      </c>
      <c r="BB81" s="14">
        <f t="shared" si="157"/>
        <v>130047</v>
      </c>
      <c r="BC81" s="13">
        <v>75</v>
      </c>
      <c r="BD81" s="13">
        <f t="shared" si="169"/>
        <v>38</v>
      </c>
      <c r="BE81" s="14">
        <f t="shared" si="170"/>
        <v>750</v>
      </c>
      <c r="BF81" s="14">
        <f t="shared" si="147"/>
        <v>525</v>
      </c>
      <c r="BG81" s="14">
        <f t="shared" si="148"/>
        <v>266</v>
      </c>
      <c r="BH81" s="14">
        <f t="shared" si="149"/>
        <v>5250</v>
      </c>
      <c r="BI81" s="26">
        <v>3.9428571428571424E-2</v>
      </c>
      <c r="BJ81" s="26">
        <f t="shared" si="158"/>
        <v>3.9428571428571424E-2</v>
      </c>
      <c r="BK81" s="14">
        <f t="shared" si="150"/>
        <v>580</v>
      </c>
      <c r="BL81" s="14">
        <f t="shared" si="171"/>
        <v>290</v>
      </c>
      <c r="BM81" s="14">
        <f t="shared" si="172"/>
        <v>5800</v>
      </c>
      <c r="BN81" s="13">
        <v>3</v>
      </c>
      <c r="BO81" s="26">
        <v>5.9150000000000001E-2</v>
      </c>
      <c r="BP81" s="26">
        <f t="shared" si="159"/>
        <v>5.8782608695652175E-2</v>
      </c>
      <c r="BQ81" s="14">
        <f t="shared" si="151"/>
        <v>870</v>
      </c>
      <c r="BR81" s="14">
        <f t="shared" si="173"/>
        <v>435</v>
      </c>
      <c r="BS81" s="14">
        <f t="shared" si="174"/>
        <v>8700</v>
      </c>
      <c r="BT81" s="14">
        <f t="shared" si="152"/>
        <v>17839</v>
      </c>
      <c r="BU81" s="14">
        <f t="shared" si="153"/>
        <v>8845</v>
      </c>
      <c r="BV81" s="14">
        <f t="shared" si="154"/>
        <v>161397</v>
      </c>
      <c r="BX81" s="13">
        <v>7</v>
      </c>
      <c r="BY81" s="14">
        <f t="shared" si="175"/>
        <v>3135</v>
      </c>
      <c r="BZ81" s="14">
        <f t="shared" si="176"/>
        <v>1571</v>
      </c>
      <c r="CA81" s="14">
        <f t="shared" si="177"/>
        <v>31350</v>
      </c>
      <c r="CX81" s="13">
        <v>76</v>
      </c>
      <c r="CY81" s="13">
        <v>4</v>
      </c>
      <c r="CZ81" s="13">
        <v>16</v>
      </c>
      <c r="DA81" s="13">
        <v>7</v>
      </c>
      <c r="DB81" s="13" t="s">
        <v>439</v>
      </c>
      <c r="DC81" s="13">
        <v>110</v>
      </c>
      <c r="DD81" s="13">
        <v>110</v>
      </c>
      <c r="DE81" s="24">
        <v>0.2</v>
      </c>
      <c r="DF81" s="14">
        <f t="shared" si="163"/>
        <v>13901</v>
      </c>
      <c r="DG81" s="14">
        <f t="shared" si="164"/>
        <v>6874</v>
      </c>
      <c r="DH81" s="14">
        <f t="shared" si="165"/>
        <v>124773</v>
      </c>
      <c r="DI81" s="14">
        <f t="shared" si="178"/>
        <v>1016</v>
      </c>
      <c r="DJ81" s="14">
        <f t="shared" si="179"/>
        <v>508</v>
      </c>
      <c r="DK81" s="14">
        <f t="shared" si="180"/>
        <v>10160</v>
      </c>
      <c r="DL81" s="14">
        <f t="shared" si="181"/>
        <v>284</v>
      </c>
      <c r="DM81" s="14">
        <f t="shared" si="182"/>
        <v>142</v>
      </c>
      <c r="DN81" s="14">
        <f t="shared" si="183"/>
        <v>2845</v>
      </c>
      <c r="DO81" s="14">
        <f t="shared" si="166"/>
        <v>0</v>
      </c>
      <c r="DP81" s="14">
        <f t="shared" si="167"/>
        <v>0</v>
      </c>
      <c r="DQ81" s="14">
        <f t="shared" si="168"/>
        <v>0</v>
      </c>
      <c r="DR81" s="14">
        <f t="shared" si="184"/>
        <v>14917</v>
      </c>
      <c r="DS81" s="14">
        <f t="shared" si="185"/>
        <v>7382</v>
      </c>
      <c r="DT81" s="14">
        <f t="shared" si="186"/>
        <v>134933</v>
      </c>
      <c r="DW81" s="33"/>
      <c r="DX81" s="33"/>
      <c r="DY81" s="33"/>
      <c r="DZ81" s="33"/>
      <c r="EA81" s="33"/>
      <c r="EB81" s="33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439</v>
      </c>
      <c r="L82" s="13">
        <v>45</v>
      </c>
      <c r="M82" s="13">
        <v>18</v>
      </c>
      <c r="N82" s="13" t="s">
        <v>441</v>
      </c>
      <c r="O82" s="13">
        <v>147</v>
      </c>
      <c r="P82" s="13" t="s">
        <v>442</v>
      </c>
      <c r="Q82" s="13">
        <v>51</v>
      </c>
      <c r="R82" s="13">
        <v>19</v>
      </c>
      <c r="S82" s="13" t="s">
        <v>442</v>
      </c>
      <c r="T82" s="13"/>
      <c r="U82" s="13"/>
      <c r="V82" s="13"/>
      <c r="W82" s="13"/>
      <c r="X82" s="13"/>
      <c r="Y82" s="22"/>
      <c r="Z82" s="22"/>
      <c r="AP82" s="22"/>
      <c r="AQ82" s="22"/>
      <c r="AR82" s="22"/>
      <c r="AS82" s="13">
        <v>77</v>
      </c>
      <c r="AT82" s="13">
        <v>5</v>
      </c>
      <c r="AU82" s="13">
        <v>17</v>
      </c>
      <c r="AV82" s="13" t="s">
        <v>440</v>
      </c>
      <c r="AW82" s="13">
        <v>117</v>
      </c>
      <c r="AX82" s="14">
        <f t="shared" si="162"/>
        <v>8</v>
      </c>
      <c r="AY82" s="13">
        <v>125</v>
      </c>
      <c r="AZ82" s="14">
        <f t="shared" si="155"/>
        <v>17839</v>
      </c>
      <c r="BA82" s="14">
        <f t="shared" si="156"/>
        <v>8845</v>
      </c>
      <c r="BB82" s="14">
        <f t="shared" si="157"/>
        <v>161397</v>
      </c>
      <c r="BC82" s="13">
        <v>75</v>
      </c>
      <c r="BD82" s="13">
        <f t="shared" si="169"/>
        <v>38</v>
      </c>
      <c r="BE82" s="14">
        <f t="shared" si="170"/>
        <v>750</v>
      </c>
      <c r="BF82" s="14">
        <f t="shared" si="147"/>
        <v>600</v>
      </c>
      <c r="BG82" s="14">
        <f t="shared" si="148"/>
        <v>304</v>
      </c>
      <c r="BH82" s="14">
        <f t="shared" si="149"/>
        <v>6000</v>
      </c>
      <c r="BI82" s="26">
        <v>4.0380952380952378E-2</v>
      </c>
      <c r="BJ82" s="26">
        <f t="shared" si="158"/>
        <v>4.0380952380952378E-2</v>
      </c>
      <c r="BK82" s="14">
        <f t="shared" si="150"/>
        <v>720</v>
      </c>
      <c r="BL82" s="14">
        <f t="shared" si="171"/>
        <v>360</v>
      </c>
      <c r="BM82" s="14">
        <f t="shared" si="172"/>
        <v>7200</v>
      </c>
      <c r="BN82" s="13">
        <v>3</v>
      </c>
      <c r="BO82" s="26">
        <v>5.3249999999999999E-2</v>
      </c>
      <c r="BP82" s="26">
        <f t="shared" si="159"/>
        <v>5.3913043478260876E-2</v>
      </c>
      <c r="BQ82" s="14">
        <f t="shared" si="151"/>
        <v>950</v>
      </c>
      <c r="BR82" s="14">
        <f t="shared" si="173"/>
        <v>475</v>
      </c>
      <c r="BS82" s="14">
        <f t="shared" si="174"/>
        <v>9500</v>
      </c>
      <c r="BT82" s="14">
        <f t="shared" si="152"/>
        <v>21549</v>
      </c>
      <c r="BU82" s="14">
        <f t="shared" si="153"/>
        <v>10704</v>
      </c>
      <c r="BV82" s="14">
        <f t="shared" si="154"/>
        <v>198497</v>
      </c>
      <c r="BX82" s="13">
        <v>7</v>
      </c>
      <c r="BY82" s="14">
        <f t="shared" si="175"/>
        <v>3710</v>
      </c>
      <c r="BZ82" s="14">
        <f t="shared" si="176"/>
        <v>1859</v>
      </c>
      <c r="CA82" s="14">
        <f t="shared" si="177"/>
        <v>37100</v>
      </c>
      <c r="CX82" s="13">
        <v>77</v>
      </c>
      <c r="CY82" s="13">
        <v>4</v>
      </c>
      <c r="CZ82" s="13">
        <v>17</v>
      </c>
      <c r="DA82" s="13">
        <v>7</v>
      </c>
      <c r="DB82" s="13" t="s">
        <v>440</v>
      </c>
      <c r="DC82" s="13">
        <v>110</v>
      </c>
      <c r="DD82" s="13">
        <v>110</v>
      </c>
      <c r="DE82" s="24">
        <v>0.2</v>
      </c>
      <c r="DF82" s="14">
        <f t="shared" si="163"/>
        <v>14917</v>
      </c>
      <c r="DG82" s="14">
        <f t="shared" si="164"/>
        <v>7382</v>
      </c>
      <c r="DH82" s="14">
        <f t="shared" si="165"/>
        <v>134933</v>
      </c>
      <c r="DI82" s="14">
        <f t="shared" si="178"/>
        <v>1016</v>
      </c>
      <c r="DJ82" s="14">
        <f t="shared" si="179"/>
        <v>508</v>
      </c>
      <c r="DK82" s="14">
        <f t="shared" si="180"/>
        <v>10160</v>
      </c>
      <c r="DL82" s="14">
        <f t="shared" si="181"/>
        <v>284</v>
      </c>
      <c r="DM82" s="14">
        <f t="shared" si="182"/>
        <v>142</v>
      </c>
      <c r="DN82" s="14">
        <f t="shared" si="183"/>
        <v>2845</v>
      </c>
      <c r="DO82" s="14">
        <f t="shared" si="166"/>
        <v>0</v>
      </c>
      <c r="DP82" s="14">
        <f t="shared" si="167"/>
        <v>0</v>
      </c>
      <c r="DQ82" s="14">
        <f t="shared" si="168"/>
        <v>0</v>
      </c>
      <c r="DR82" s="14">
        <f t="shared" si="184"/>
        <v>15933</v>
      </c>
      <c r="DS82" s="14">
        <f t="shared" si="185"/>
        <v>7890</v>
      </c>
      <c r="DT82" s="14">
        <f t="shared" si="186"/>
        <v>145093</v>
      </c>
      <c r="DW82" s="33"/>
      <c r="DX82" s="33"/>
      <c r="DY82" s="33"/>
      <c r="DZ82" s="33"/>
      <c r="EA82" s="33"/>
      <c r="EB82" s="33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442</v>
      </c>
      <c r="L83" s="13">
        <v>46</v>
      </c>
      <c r="M83" s="13">
        <v>18</v>
      </c>
      <c r="N83" s="13" t="s">
        <v>441</v>
      </c>
      <c r="O83" s="13">
        <v>148</v>
      </c>
      <c r="P83" s="13" t="s">
        <v>442</v>
      </c>
      <c r="Q83" s="13">
        <v>51</v>
      </c>
      <c r="R83" s="13">
        <v>19</v>
      </c>
      <c r="S83" s="13" t="s">
        <v>442</v>
      </c>
      <c r="T83" s="13"/>
      <c r="U83" s="13"/>
      <c r="V83" s="13"/>
      <c r="W83" s="13"/>
      <c r="X83" s="13"/>
      <c r="AS83" s="13">
        <v>78</v>
      </c>
      <c r="AT83" s="13">
        <v>5</v>
      </c>
      <c r="AU83" s="13">
        <v>18</v>
      </c>
      <c r="AV83" s="13" t="s">
        <v>441</v>
      </c>
      <c r="AW83" s="13">
        <v>125</v>
      </c>
      <c r="AX83" s="14">
        <f t="shared" si="162"/>
        <v>7</v>
      </c>
      <c r="AY83" s="13">
        <v>132</v>
      </c>
      <c r="AZ83" s="14">
        <f t="shared" si="155"/>
        <v>21549</v>
      </c>
      <c r="BA83" s="14">
        <f t="shared" si="156"/>
        <v>10704</v>
      </c>
      <c r="BB83" s="14">
        <f t="shared" si="157"/>
        <v>198497</v>
      </c>
      <c r="BC83" s="13">
        <v>75</v>
      </c>
      <c r="BD83" s="13">
        <f t="shared" si="169"/>
        <v>38</v>
      </c>
      <c r="BE83" s="14">
        <f t="shared" si="170"/>
        <v>750</v>
      </c>
      <c r="BF83" s="14">
        <f t="shared" si="147"/>
        <v>525</v>
      </c>
      <c r="BG83" s="14">
        <f t="shared" si="148"/>
        <v>266</v>
      </c>
      <c r="BH83" s="14">
        <f t="shared" si="149"/>
        <v>5250</v>
      </c>
      <c r="BI83" s="26">
        <v>3.85E-2</v>
      </c>
      <c r="BJ83" s="26">
        <f t="shared" si="158"/>
        <v>3.833333333333333E-2</v>
      </c>
      <c r="BK83" s="14">
        <f t="shared" si="150"/>
        <v>830</v>
      </c>
      <c r="BL83" s="14">
        <f t="shared" si="171"/>
        <v>415</v>
      </c>
      <c r="BM83" s="14">
        <f t="shared" si="172"/>
        <v>8300</v>
      </c>
      <c r="BN83" s="13">
        <v>3</v>
      </c>
      <c r="BO83" s="26">
        <v>6.9599999999999995E-2</v>
      </c>
      <c r="BP83" s="26">
        <f t="shared" si="159"/>
        <v>7.0000000000000007E-2</v>
      </c>
      <c r="BQ83" s="14">
        <f t="shared" si="151"/>
        <v>1500</v>
      </c>
      <c r="BR83" s="14">
        <f t="shared" si="173"/>
        <v>750</v>
      </c>
      <c r="BS83" s="14">
        <f t="shared" si="174"/>
        <v>15000</v>
      </c>
      <c r="BT83" s="14">
        <f t="shared" si="152"/>
        <v>26064</v>
      </c>
      <c r="BU83" s="14">
        <f t="shared" si="153"/>
        <v>12965</v>
      </c>
      <c r="BV83" s="14">
        <f t="shared" si="154"/>
        <v>243647</v>
      </c>
      <c r="BX83" s="13">
        <v>7</v>
      </c>
      <c r="BY83" s="14">
        <f t="shared" si="175"/>
        <v>4515</v>
      </c>
      <c r="BZ83" s="14">
        <f t="shared" si="176"/>
        <v>2261</v>
      </c>
      <c r="CA83" s="14">
        <f t="shared" si="177"/>
        <v>45150</v>
      </c>
      <c r="CX83" s="13">
        <v>78</v>
      </c>
      <c r="CY83" s="13">
        <v>4</v>
      </c>
      <c r="CZ83" s="13">
        <v>18</v>
      </c>
      <c r="DA83" s="13">
        <v>7</v>
      </c>
      <c r="DB83" s="13" t="s">
        <v>441</v>
      </c>
      <c r="DC83" s="13">
        <v>110</v>
      </c>
      <c r="DD83" s="13">
        <v>135</v>
      </c>
      <c r="DE83" s="24">
        <v>0.2</v>
      </c>
      <c r="DF83" s="14">
        <f t="shared" si="163"/>
        <v>15933</v>
      </c>
      <c r="DG83" s="14">
        <f t="shared" si="164"/>
        <v>7890</v>
      </c>
      <c r="DH83" s="14">
        <f t="shared" si="165"/>
        <v>145093</v>
      </c>
      <c r="DI83" s="14">
        <f t="shared" si="178"/>
        <v>1016</v>
      </c>
      <c r="DJ83" s="14">
        <f t="shared" si="179"/>
        <v>508</v>
      </c>
      <c r="DK83" s="14">
        <f t="shared" si="180"/>
        <v>10160</v>
      </c>
      <c r="DL83" s="14">
        <f t="shared" si="181"/>
        <v>284</v>
      </c>
      <c r="DM83" s="14">
        <f t="shared" si="182"/>
        <v>142</v>
      </c>
      <c r="DN83" s="14">
        <f t="shared" si="183"/>
        <v>2845</v>
      </c>
      <c r="DO83" s="14">
        <f t="shared" si="166"/>
        <v>7100</v>
      </c>
      <c r="DP83" s="14">
        <f t="shared" si="167"/>
        <v>3550</v>
      </c>
      <c r="DQ83" s="14">
        <f t="shared" si="168"/>
        <v>71125</v>
      </c>
      <c r="DR83" s="14">
        <f t="shared" si="184"/>
        <v>24049</v>
      </c>
      <c r="DS83" s="14">
        <f t="shared" si="185"/>
        <v>11948</v>
      </c>
      <c r="DT83" s="14">
        <f t="shared" si="186"/>
        <v>226378</v>
      </c>
      <c r="DW83" s="33"/>
      <c r="DX83" s="33"/>
      <c r="DY83" s="33"/>
      <c r="DZ83" s="33"/>
      <c r="EA83" s="33"/>
      <c r="EB83" s="33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442</v>
      </c>
      <c r="L84" s="13">
        <v>46</v>
      </c>
      <c r="M84" s="13">
        <v>18</v>
      </c>
      <c r="N84" s="13" t="s">
        <v>441</v>
      </c>
      <c r="O84" s="13">
        <v>148</v>
      </c>
      <c r="P84" s="13" t="s">
        <v>442</v>
      </c>
      <c r="Q84" s="13">
        <v>51</v>
      </c>
      <c r="R84" s="13">
        <v>19</v>
      </c>
      <c r="S84" s="13" t="s">
        <v>442</v>
      </c>
      <c r="T84" s="13"/>
      <c r="U84" s="13"/>
      <c r="V84" s="13"/>
      <c r="W84" s="13"/>
      <c r="X84" s="13"/>
      <c r="AS84" s="13">
        <v>79</v>
      </c>
      <c r="AT84" s="13">
        <v>5</v>
      </c>
      <c r="AU84" s="13">
        <v>19</v>
      </c>
      <c r="AV84" s="13" t="s">
        <v>442</v>
      </c>
      <c r="AW84" s="13">
        <v>132</v>
      </c>
      <c r="AX84" s="14">
        <f t="shared" si="162"/>
        <v>8</v>
      </c>
      <c r="AY84" s="13">
        <v>140</v>
      </c>
      <c r="AZ84" s="14">
        <f t="shared" si="155"/>
        <v>26064</v>
      </c>
      <c r="BA84" s="14">
        <f t="shared" si="156"/>
        <v>12965</v>
      </c>
      <c r="BB84" s="14">
        <f t="shared" si="157"/>
        <v>243647</v>
      </c>
      <c r="BC84" s="13">
        <v>100</v>
      </c>
      <c r="BD84" s="13">
        <f t="shared" si="169"/>
        <v>50</v>
      </c>
      <c r="BE84" s="14">
        <f t="shared" si="170"/>
        <v>1000</v>
      </c>
      <c r="BF84" s="14">
        <f t="shared" si="147"/>
        <v>800</v>
      </c>
      <c r="BG84" s="14">
        <f t="shared" si="148"/>
        <v>400</v>
      </c>
      <c r="BH84" s="14">
        <f t="shared" si="149"/>
        <v>8000</v>
      </c>
      <c r="BI84" s="26">
        <v>3.7589999999999998E-2</v>
      </c>
      <c r="BJ84" s="26">
        <f t="shared" si="158"/>
        <v>3.7695238095238094E-2</v>
      </c>
      <c r="BK84" s="14">
        <f t="shared" si="150"/>
        <v>980</v>
      </c>
      <c r="BL84" s="14">
        <f t="shared" si="171"/>
        <v>490</v>
      </c>
      <c r="BM84" s="14">
        <f t="shared" si="172"/>
        <v>9800</v>
      </c>
      <c r="BN84" s="13">
        <v>3</v>
      </c>
      <c r="BO84" s="26">
        <v>5.9479999999999998E-2</v>
      </c>
      <c r="BP84" s="26">
        <f t="shared" si="159"/>
        <v>5.7391304347826091E-2</v>
      </c>
      <c r="BQ84" s="14">
        <f t="shared" si="151"/>
        <v>1550</v>
      </c>
      <c r="BR84" s="14">
        <f t="shared" si="173"/>
        <v>775</v>
      </c>
      <c r="BS84" s="14">
        <f t="shared" si="174"/>
        <v>15500</v>
      </c>
      <c r="BT84" s="14">
        <f t="shared" si="152"/>
        <v>31354</v>
      </c>
      <c r="BU84" s="14">
        <f t="shared" si="153"/>
        <v>15610</v>
      </c>
      <c r="BV84" s="14">
        <f t="shared" si="154"/>
        <v>296547</v>
      </c>
      <c r="BX84" s="13">
        <v>8</v>
      </c>
      <c r="BY84" s="14">
        <f t="shared" si="175"/>
        <v>5290</v>
      </c>
      <c r="BZ84" s="14">
        <f t="shared" si="176"/>
        <v>2645</v>
      </c>
      <c r="CA84" s="14">
        <f t="shared" si="177"/>
        <v>52900</v>
      </c>
      <c r="CX84" s="13">
        <v>79</v>
      </c>
      <c r="CY84" s="13">
        <v>4</v>
      </c>
      <c r="CZ84" s="13">
        <v>19</v>
      </c>
      <c r="DA84" s="13">
        <v>8</v>
      </c>
      <c r="DB84" s="13" t="s">
        <v>442</v>
      </c>
      <c r="DC84" s="13">
        <v>135</v>
      </c>
      <c r="DD84" s="13">
        <v>135</v>
      </c>
      <c r="DE84" s="24">
        <v>0.2</v>
      </c>
      <c r="DF84" s="14">
        <f t="shared" si="163"/>
        <v>24049</v>
      </c>
      <c r="DG84" s="14">
        <f t="shared" si="164"/>
        <v>11948</v>
      </c>
      <c r="DH84" s="14">
        <f t="shared" si="165"/>
        <v>226378</v>
      </c>
      <c r="DI84" s="14">
        <f t="shared" si="178"/>
        <v>1105</v>
      </c>
      <c r="DJ84" s="14">
        <f t="shared" si="179"/>
        <v>553</v>
      </c>
      <c r="DK84" s="14">
        <f t="shared" si="180"/>
        <v>11050</v>
      </c>
      <c r="DL84" s="14">
        <f t="shared" si="181"/>
        <v>516</v>
      </c>
      <c r="DM84" s="14">
        <f t="shared" si="182"/>
        <v>258</v>
      </c>
      <c r="DN84" s="14">
        <f t="shared" si="183"/>
        <v>5157</v>
      </c>
      <c r="DO84" s="14">
        <f t="shared" si="166"/>
        <v>0</v>
      </c>
      <c r="DP84" s="14">
        <f t="shared" si="167"/>
        <v>0</v>
      </c>
      <c r="DQ84" s="14">
        <f t="shared" si="168"/>
        <v>0</v>
      </c>
      <c r="DR84" s="14">
        <f t="shared" si="184"/>
        <v>25154</v>
      </c>
      <c r="DS84" s="14">
        <f t="shared" si="185"/>
        <v>12501</v>
      </c>
      <c r="DT84" s="14">
        <f t="shared" si="186"/>
        <v>237428</v>
      </c>
      <c r="DW84" s="33"/>
      <c r="DX84" s="33"/>
      <c r="DY84" s="33"/>
      <c r="DZ84" s="33"/>
      <c r="EA84" s="33"/>
      <c r="EB84" s="33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442</v>
      </c>
      <c r="L85" s="13">
        <v>47</v>
      </c>
      <c r="M85" s="13">
        <v>18</v>
      </c>
      <c r="N85" s="13" t="s">
        <v>441</v>
      </c>
      <c r="O85" s="13">
        <v>149</v>
      </c>
      <c r="P85" s="13" t="s">
        <v>442</v>
      </c>
      <c r="Q85" s="13">
        <v>51</v>
      </c>
      <c r="R85" s="13">
        <v>19</v>
      </c>
      <c r="S85" s="13" t="s">
        <v>442</v>
      </c>
      <c r="T85" s="13"/>
      <c r="U85" s="13"/>
      <c r="V85" s="13"/>
      <c r="W85" s="13"/>
      <c r="X85" s="13"/>
      <c r="AS85" s="13">
        <v>80</v>
      </c>
      <c r="AT85" s="13">
        <v>5</v>
      </c>
      <c r="AU85" s="13">
        <v>20</v>
      </c>
      <c r="AV85" s="13" t="s">
        <v>443</v>
      </c>
      <c r="AW85" s="13">
        <v>140</v>
      </c>
      <c r="AX85" s="14">
        <f t="shared" si="162"/>
        <v>10</v>
      </c>
      <c r="AY85" s="13">
        <v>150</v>
      </c>
      <c r="AZ85" s="14">
        <f t="shared" si="155"/>
        <v>31354</v>
      </c>
      <c r="BA85" s="14">
        <f t="shared" si="156"/>
        <v>15610</v>
      </c>
      <c r="BB85" s="14">
        <f t="shared" si="157"/>
        <v>296547</v>
      </c>
      <c r="BC85" s="13">
        <v>100</v>
      </c>
      <c r="BD85" s="13">
        <f t="shared" si="169"/>
        <v>50</v>
      </c>
      <c r="BE85" s="14">
        <f t="shared" si="170"/>
        <v>1000</v>
      </c>
      <c r="BF85" s="14">
        <f t="shared" si="147"/>
        <v>1000</v>
      </c>
      <c r="BG85" s="14">
        <f t="shared" si="148"/>
        <v>500</v>
      </c>
      <c r="BH85" s="14">
        <f t="shared" si="149"/>
        <v>10000</v>
      </c>
      <c r="BI85" s="26">
        <v>3.3500000000000002E-2</v>
      </c>
      <c r="BJ85" s="26">
        <f t="shared" si="158"/>
        <v>3.4599999999999999E-2</v>
      </c>
      <c r="BK85" s="14">
        <f t="shared" si="150"/>
        <v>1050</v>
      </c>
      <c r="BL85" s="14">
        <f t="shared" si="171"/>
        <v>525</v>
      </c>
      <c r="BM85" s="14">
        <f t="shared" si="172"/>
        <v>10500</v>
      </c>
      <c r="BN85" s="13">
        <v>4</v>
      </c>
      <c r="BO85" s="26">
        <v>5.1029999999999999E-2</v>
      </c>
      <c r="BP85" s="26">
        <f t="shared" si="159"/>
        <v>4.739130434782609E-2</v>
      </c>
      <c r="BQ85" s="14">
        <f t="shared" si="151"/>
        <v>1600</v>
      </c>
      <c r="BR85" s="14">
        <f t="shared" si="173"/>
        <v>800</v>
      </c>
      <c r="BS85" s="14">
        <f t="shared" si="174"/>
        <v>16000</v>
      </c>
      <c r="BT85" s="14">
        <f t="shared" si="152"/>
        <v>38154</v>
      </c>
      <c r="BU85" s="14">
        <f t="shared" si="153"/>
        <v>19010</v>
      </c>
      <c r="BV85" s="14">
        <f t="shared" si="154"/>
        <v>364547</v>
      </c>
      <c r="BX85" s="13">
        <v>8</v>
      </c>
      <c r="BY85" s="14">
        <f t="shared" si="175"/>
        <v>6800</v>
      </c>
      <c r="BZ85" s="14">
        <f t="shared" si="176"/>
        <v>3400</v>
      </c>
      <c r="CA85" s="14">
        <f t="shared" si="177"/>
        <v>68000</v>
      </c>
      <c r="CX85" s="13">
        <v>80</v>
      </c>
      <c r="CY85" s="13">
        <v>4</v>
      </c>
      <c r="CZ85" s="13">
        <v>20</v>
      </c>
      <c r="DA85" s="13">
        <v>8</v>
      </c>
      <c r="DB85" s="13" t="s">
        <v>443</v>
      </c>
      <c r="DC85" s="13">
        <v>135</v>
      </c>
      <c r="DD85" s="13">
        <v>150</v>
      </c>
      <c r="DE85" s="24">
        <v>0.2</v>
      </c>
      <c r="DF85" s="14">
        <f t="shared" si="163"/>
        <v>25154</v>
      </c>
      <c r="DG85" s="14">
        <f t="shared" si="164"/>
        <v>12501</v>
      </c>
      <c r="DH85" s="14">
        <f t="shared" si="165"/>
        <v>237428</v>
      </c>
      <c r="DI85" s="14">
        <f t="shared" si="178"/>
        <v>1105</v>
      </c>
      <c r="DJ85" s="14">
        <f t="shared" si="179"/>
        <v>553</v>
      </c>
      <c r="DK85" s="14">
        <f t="shared" si="180"/>
        <v>11050</v>
      </c>
      <c r="DL85" s="14">
        <f t="shared" si="181"/>
        <v>516</v>
      </c>
      <c r="DM85" s="14">
        <f t="shared" si="182"/>
        <v>258</v>
      </c>
      <c r="DN85" s="14">
        <f t="shared" si="183"/>
        <v>5157</v>
      </c>
      <c r="DO85" s="14">
        <f t="shared" si="166"/>
        <v>7740</v>
      </c>
      <c r="DP85" s="14">
        <f t="shared" si="167"/>
        <v>3870</v>
      </c>
      <c r="DQ85" s="14">
        <f t="shared" si="168"/>
        <v>77355</v>
      </c>
      <c r="DR85" s="14">
        <f t="shared" si="184"/>
        <v>33999</v>
      </c>
      <c r="DS85" s="14">
        <f t="shared" si="185"/>
        <v>16924</v>
      </c>
      <c r="DT85" s="14">
        <f t="shared" si="186"/>
        <v>325833</v>
      </c>
      <c r="DW85" s="33"/>
      <c r="DX85" s="33"/>
      <c r="DY85" s="33"/>
      <c r="DZ85" s="33"/>
      <c r="EA85" s="33"/>
      <c r="EB85" s="33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442</v>
      </c>
      <c r="L86" s="13">
        <v>47</v>
      </c>
      <c r="M86" s="13">
        <v>18</v>
      </c>
      <c r="N86" s="13" t="s">
        <v>441</v>
      </c>
      <c r="O86" s="13">
        <v>149</v>
      </c>
      <c r="P86" s="13" t="s">
        <v>442</v>
      </c>
      <c r="Q86" s="13">
        <v>51</v>
      </c>
      <c r="R86" s="13">
        <v>19</v>
      </c>
      <c r="S86" s="13" t="s">
        <v>442</v>
      </c>
      <c r="T86" s="13"/>
      <c r="U86" s="13"/>
      <c r="V86" s="13"/>
      <c r="W86" s="13"/>
      <c r="X86" s="13"/>
      <c r="DW86" s="33"/>
      <c r="DX86" s="33"/>
      <c r="DY86" s="33"/>
      <c r="DZ86" s="33"/>
      <c r="EA86" s="33"/>
      <c r="EB86" s="33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442</v>
      </c>
      <c r="L87" s="13">
        <v>47</v>
      </c>
      <c r="M87" s="13">
        <v>18</v>
      </c>
      <c r="N87" s="13" t="s">
        <v>441</v>
      </c>
      <c r="O87" s="13">
        <v>150</v>
      </c>
      <c r="P87" s="13" t="s">
        <v>442</v>
      </c>
      <c r="Q87" s="13">
        <v>52</v>
      </c>
      <c r="R87" s="13">
        <v>20</v>
      </c>
      <c r="S87" s="13" t="s">
        <v>443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442</v>
      </c>
      <c r="L88" s="13">
        <v>47</v>
      </c>
      <c r="M88" s="13">
        <v>18</v>
      </c>
      <c r="N88" s="13" t="s">
        <v>441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442</v>
      </c>
      <c r="L89" s="13">
        <v>47</v>
      </c>
      <c r="M89" s="13">
        <v>18</v>
      </c>
      <c r="N89" s="13" t="s">
        <v>441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442</v>
      </c>
      <c r="L90" s="13">
        <v>47</v>
      </c>
      <c r="M90" s="13">
        <v>18</v>
      </c>
      <c r="N90" s="13" t="s">
        <v>441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442</v>
      </c>
      <c r="L91" s="13">
        <v>47</v>
      </c>
      <c r="M91" s="13">
        <v>18</v>
      </c>
      <c r="N91" s="13" t="s">
        <v>441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442</v>
      </c>
      <c r="L92" s="13">
        <v>48</v>
      </c>
      <c r="M92" s="13">
        <v>19</v>
      </c>
      <c r="N92" s="13" t="s">
        <v>442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442</v>
      </c>
      <c r="L93" s="13">
        <v>48</v>
      </c>
      <c r="M93" s="13">
        <v>19</v>
      </c>
      <c r="N93" s="13" t="s">
        <v>442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442</v>
      </c>
      <c r="L94" s="13">
        <v>48</v>
      </c>
      <c r="M94" s="13">
        <v>19</v>
      </c>
      <c r="N94" s="13" t="s">
        <v>442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442</v>
      </c>
      <c r="L95" s="13">
        <v>49</v>
      </c>
      <c r="M95" s="13">
        <v>19</v>
      </c>
      <c r="N95" s="13" t="s">
        <v>442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442</v>
      </c>
      <c r="L96" s="13">
        <v>49</v>
      </c>
      <c r="M96" s="13">
        <v>19</v>
      </c>
      <c r="N96" s="13" t="s">
        <v>442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442</v>
      </c>
      <c r="L97" s="13">
        <v>49</v>
      </c>
      <c r="M97" s="13">
        <v>19</v>
      </c>
      <c r="N97" s="13" t="s">
        <v>442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442</v>
      </c>
      <c r="L98" s="13">
        <v>49</v>
      </c>
      <c r="M98" s="13">
        <v>19</v>
      </c>
      <c r="N98" s="13" t="s">
        <v>442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442</v>
      </c>
      <c r="L99" s="13">
        <v>49</v>
      </c>
      <c r="M99" s="13">
        <v>19</v>
      </c>
      <c r="N99" s="13" t="s">
        <v>442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442</v>
      </c>
      <c r="L100" s="13">
        <v>49</v>
      </c>
      <c r="M100" s="13">
        <v>19</v>
      </c>
      <c r="N100" s="13" t="s">
        <v>442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442</v>
      </c>
      <c r="L101" s="13">
        <v>49</v>
      </c>
      <c r="M101" s="13">
        <v>19</v>
      </c>
      <c r="N101" s="13" t="s">
        <v>442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442</v>
      </c>
      <c r="L102" s="13">
        <v>49</v>
      </c>
      <c r="M102" s="13">
        <v>19</v>
      </c>
      <c r="N102" s="13" t="s">
        <v>442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442</v>
      </c>
      <c r="L103" s="13">
        <v>50</v>
      </c>
      <c r="M103" s="13">
        <v>19</v>
      </c>
      <c r="N103" s="13" t="s">
        <v>442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442</v>
      </c>
      <c r="L104" s="13">
        <v>50</v>
      </c>
      <c r="M104" s="13">
        <v>19</v>
      </c>
      <c r="N104" s="13" t="s">
        <v>442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442</v>
      </c>
      <c r="L105" s="13">
        <v>50</v>
      </c>
      <c r="M105" s="13">
        <v>19</v>
      </c>
      <c r="N105" s="13" t="s">
        <v>442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442</v>
      </c>
      <c r="L106" s="13">
        <v>51</v>
      </c>
      <c r="M106" s="13">
        <v>19</v>
      </c>
      <c r="N106" s="13" t="s">
        <v>442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442</v>
      </c>
      <c r="L107" s="13">
        <v>51</v>
      </c>
      <c r="M107" s="13">
        <v>19</v>
      </c>
      <c r="N107" s="13" t="s">
        <v>442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442</v>
      </c>
      <c r="L108" s="13">
        <v>51</v>
      </c>
      <c r="M108" s="13">
        <v>19</v>
      </c>
      <c r="N108" s="13" t="s">
        <v>442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442</v>
      </c>
      <c r="L109" s="13">
        <v>51</v>
      </c>
      <c r="M109" s="13">
        <v>19</v>
      </c>
      <c r="N109" s="13" t="s">
        <v>442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442</v>
      </c>
      <c r="L110" s="13">
        <v>51</v>
      </c>
      <c r="M110" s="13">
        <v>19</v>
      </c>
      <c r="N110" s="13" t="s">
        <v>442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442</v>
      </c>
      <c r="L111" s="13">
        <v>51</v>
      </c>
      <c r="M111" s="13">
        <v>19</v>
      </c>
      <c r="N111" s="13" t="s">
        <v>442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442</v>
      </c>
      <c r="L112" s="13">
        <v>51</v>
      </c>
      <c r="M112" s="13">
        <v>19</v>
      </c>
      <c r="N112" s="13" t="s">
        <v>442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442</v>
      </c>
      <c r="L113" s="13">
        <v>51</v>
      </c>
      <c r="M113" s="13">
        <v>19</v>
      </c>
      <c r="N113" s="13" t="s">
        <v>442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442</v>
      </c>
      <c r="L114" s="13">
        <v>52</v>
      </c>
      <c r="M114" s="13">
        <v>20</v>
      </c>
      <c r="N114" s="13" t="s">
        <v>443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S4:BV4"/>
    <mergeCell ref="CX4:DT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W19" sqref="W19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574</v>
      </c>
      <c r="B3" s="21" t="s">
        <v>70</v>
      </c>
      <c r="C3" s="21" t="s">
        <v>571</v>
      </c>
      <c r="D3" s="21" t="s">
        <v>572</v>
      </c>
      <c r="E3" s="21" t="s">
        <v>573</v>
      </c>
      <c r="G3" s="21" t="s">
        <v>547</v>
      </c>
      <c r="H3" s="21" t="s">
        <v>546</v>
      </c>
      <c r="I3" s="21" t="s">
        <v>475</v>
      </c>
      <c r="J3" s="21" t="s">
        <v>579</v>
      </c>
      <c r="K3" s="21" t="s">
        <v>580</v>
      </c>
      <c r="L3" s="21" t="s">
        <v>834</v>
      </c>
      <c r="O3" s="21" t="s">
        <v>13</v>
      </c>
      <c r="P3" s="21" t="s">
        <v>569</v>
      </c>
      <c r="Q3" s="21" t="s">
        <v>570</v>
      </c>
      <c r="R3" s="21" t="s">
        <v>114</v>
      </c>
      <c r="S3" s="21" t="s">
        <v>568</v>
      </c>
      <c r="T3" s="21" t="s">
        <v>116</v>
      </c>
      <c r="U3" s="21" t="s">
        <v>25</v>
      </c>
      <c r="X3" s="21" t="s">
        <v>616</v>
      </c>
      <c r="Y3" s="21" t="s">
        <v>571</v>
      </c>
      <c r="Z3" s="21" t="s">
        <v>572</v>
      </c>
      <c r="AA3" s="21" t="s">
        <v>573</v>
      </c>
    </row>
    <row r="4" spans="1:27" ht="16.5" x14ac:dyDescent="0.2">
      <c r="A4" s="13">
        <v>2</v>
      </c>
      <c r="B4" s="13" t="s">
        <v>575</v>
      </c>
      <c r="C4" s="13">
        <v>3</v>
      </c>
      <c r="D4" s="13">
        <v>3</v>
      </c>
      <c r="E4" s="13">
        <v>3</v>
      </c>
      <c r="G4" s="13">
        <v>1</v>
      </c>
      <c r="H4" s="13" t="s">
        <v>549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f>S4*INDEX(属性投放!$D$28:$D$47,属性偏向!R4)</f>
        <v>18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576</v>
      </c>
      <c r="C5" s="13">
        <v>5</v>
      </c>
      <c r="D5" s="13">
        <v>5</v>
      </c>
      <c r="E5" s="13">
        <v>5</v>
      </c>
      <c r="G5" s="13">
        <v>2</v>
      </c>
      <c r="H5" s="13" t="s">
        <v>551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f>S5*INDEX(属性投放!$D$28:$D$47,属性偏向!R5)</f>
        <v>24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577</v>
      </c>
      <c r="C6" s="13">
        <v>7</v>
      </c>
      <c r="D6" s="13">
        <v>6</v>
      </c>
      <c r="E6" s="13">
        <v>7</v>
      </c>
      <c r="G6" s="13">
        <v>3</v>
      </c>
      <c r="H6" s="13" t="s">
        <v>553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f>S6*INDEX(属性投放!$D$28:$D$47,属性偏向!R6)</f>
        <v>24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578</v>
      </c>
      <c r="C7" s="13">
        <v>9</v>
      </c>
      <c r="D7" s="13">
        <v>7</v>
      </c>
      <c r="E7" s="13">
        <v>9</v>
      </c>
      <c r="G7" s="13">
        <v>4</v>
      </c>
      <c r="H7" s="13" t="s">
        <v>555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f>S7*INDEX(属性投放!$D$28:$D$47,属性偏向!R7)</f>
        <v>35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557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f>S8*INDEX(属性投放!$D$28:$D$47,属性偏向!R8)</f>
        <v>35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559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f>S9*INDEX(属性投放!$D$28:$D$47,属性偏向!R9)</f>
        <v>35</v>
      </c>
    </row>
    <row r="10" spans="1:27" ht="16.5" x14ac:dyDescent="0.2">
      <c r="G10" s="13">
        <v>7</v>
      </c>
      <c r="H10" s="13" t="s">
        <v>561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f>S10*INDEX(属性投放!$D$28:$D$47,属性偏向!R10)</f>
        <v>48</v>
      </c>
    </row>
    <row r="11" spans="1:27" ht="16.5" x14ac:dyDescent="0.2">
      <c r="G11" s="13">
        <v>8</v>
      </c>
      <c r="H11" s="13" t="s">
        <v>563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f>S11*INDEX(属性投放!$D$28:$D$47,属性偏向!R11)</f>
        <v>48</v>
      </c>
    </row>
    <row r="12" spans="1:27" ht="16.5" x14ac:dyDescent="0.2">
      <c r="G12" s="13">
        <v>9</v>
      </c>
      <c r="H12" s="13" t="s">
        <v>565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f>S12*INDEX(属性投放!$D$28:$D$47,属性偏向!R12)</f>
        <v>48</v>
      </c>
    </row>
    <row r="13" spans="1:27" ht="16.5" x14ac:dyDescent="0.2">
      <c r="G13" s="13">
        <v>10</v>
      </c>
      <c r="H13" s="13" t="s">
        <v>566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f>S13*INDEX(属性投放!$D$28:$D$47,属性偏向!R13)</f>
        <v>72</v>
      </c>
    </row>
    <row r="14" spans="1:27" ht="16.5" x14ac:dyDescent="0.2">
      <c r="G14" s="13">
        <v>11</v>
      </c>
      <c r="H14" s="13" t="s">
        <v>567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f>S14*INDEX(属性投放!$D$28:$D$47,属性偏向!R14)</f>
        <v>72</v>
      </c>
    </row>
    <row r="15" spans="1:27" ht="16.5" x14ac:dyDescent="0.2">
      <c r="G15" s="13">
        <v>12</v>
      </c>
      <c r="H15" s="13" t="s">
        <v>617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f>S15*INDEX(属性投放!$D$28:$D$47,属性偏向!R15)</f>
        <v>72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f>S16*INDEX(属性投放!$D$28:$D$47,属性偏向!R16)</f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f>S17*INDEX(属性投放!$D$28:$D$47,属性偏向!R17)</f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f>S18*INDEX(属性投放!$D$28:$D$47,属性偏向!R18)</f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f>S19*INDEX(属性投放!$D$28:$D$47,属性偏向!R19)</f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f>S20*INDEX(属性投放!$D$28:$D$47,属性偏向!R20)</f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f>S21*INDEX(属性投放!$D$28:$D$47,属性偏向!R21)</f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f>S22*INDEX(属性投放!$D$28:$D$47,属性偏向!R22)</f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f>S23*INDEX(属性投放!$D$28:$D$47,属性偏向!R23)</f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f>S24*INDEX(属性投放!$D$28:$D$47,属性偏向!R24)</f>
        <v>24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f>S25*INDEX(属性投放!$D$28:$D$47,属性偏向!R25)</f>
        <v>30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f>S26*INDEX(属性投放!$D$28:$D$47,属性偏向!R26)</f>
        <v>30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f>S27*INDEX(属性投放!$D$28:$D$47,属性偏向!R27)</f>
        <v>42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f>S28*INDEX(属性投放!$D$28:$D$47,属性偏向!R28)</f>
        <v>42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f>S29*INDEX(属性投放!$D$28:$D$47,属性偏向!R29)</f>
        <v>42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f>S30*INDEX(属性投放!$D$28:$D$47,属性偏向!R30)</f>
        <v>64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f>S31*INDEX(属性投放!$D$28:$D$47,属性偏向!R31)</f>
        <v>64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f>S32*INDEX(属性投放!$D$28:$D$47,属性偏向!R32)</f>
        <v>64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f>S33*INDEX(属性投放!$D$28:$D$47,属性偏向!R33)</f>
        <v>90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f>S34*INDEX(属性投放!$D$28:$D$47,属性偏向!R34)</f>
        <v>90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f>S35*INDEX(属性投放!$D$28:$D$47,属性偏向!R35)</f>
        <v>90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f>S36*INDEX(属性投放!$D$28:$D$47,属性偏向!R36)</f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f>S37*INDEX(属性投放!$D$28:$D$47,属性偏向!R37)</f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f>S38*INDEX(属性投放!$D$28:$D$47,属性偏向!R38)</f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f>S39*INDEX(属性投放!$D$28:$D$47,属性偏向!R39)</f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f>S40*INDEX(属性投放!$D$28:$D$47,属性偏向!R40)</f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f>S41*INDEX(属性投放!$D$28:$D$47,属性偏向!R41)</f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f>S42*INDEX(属性投放!$D$28:$D$47,属性偏向!R42)</f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f>S43*INDEX(属性投放!$D$28:$D$47,属性偏向!R43)</f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f>S44*INDEX(属性投放!$D$28:$D$47,属性偏向!R44)</f>
        <v>30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f>S45*INDEX(属性投放!$D$28:$D$47,属性偏向!R45)</f>
        <v>36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f>S46*INDEX(属性投放!$D$28:$D$47,属性偏向!R46)</f>
        <v>36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f>S47*INDEX(属性投放!$D$28:$D$47,属性偏向!R47)</f>
        <v>56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f>S48*INDEX(属性投放!$D$28:$D$47,属性偏向!R48)</f>
        <v>56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f>S49*INDEX(属性投放!$D$28:$D$47,属性偏向!R49)</f>
        <v>56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f>S50*INDEX(属性投放!$D$28:$D$47,属性偏向!R50)</f>
        <v>80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f>S51*INDEX(属性投放!$D$28:$D$47,属性偏向!R51)</f>
        <v>80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f>S52*INDEX(属性投放!$D$28:$D$47,属性偏向!R52)</f>
        <v>80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f>S53*INDEX(属性投放!$D$28:$D$47,属性偏向!R53)</f>
        <v>108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f>S54*INDEX(属性投放!$D$28:$D$47,属性偏向!R54)</f>
        <v>108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f>S55*INDEX(属性投放!$D$28:$D$47,属性偏向!R55)</f>
        <v>108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f>S56*INDEX(属性投放!$D$28:$D$47,属性偏向!R56)</f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f>S57*INDEX(属性投放!$D$28:$D$47,属性偏向!R57)</f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f>S58*INDEX(属性投放!$D$28:$D$47,属性偏向!R58)</f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f>S59*INDEX(属性投放!$D$28:$D$47,属性偏向!R59)</f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f>S60*INDEX(属性投放!$D$28:$D$47,属性偏向!R60)</f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f>S61*INDEX(属性投放!$D$28:$D$47,属性偏向!R61)</f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f>S62*INDEX(属性投放!$D$28:$D$47,属性偏向!R62)</f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f>S63*INDEX(属性投放!$D$28:$D$47,属性偏向!R63)</f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f>S64*INDEX(属性投放!$D$28:$D$47,属性偏向!R64)</f>
        <v>36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f>S65*INDEX(属性投放!$D$28:$D$47,属性偏向!R65)</f>
        <v>48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f>S66*INDEX(属性投放!$D$28:$D$47,属性偏向!R66)</f>
        <v>48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f>S67*INDEX(属性投放!$D$28:$D$47,属性偏向!R67)</f>
        <v>70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f>S68*INDEX(属性投放!$D$28:$D$47,属性偏向!R68)</f>
        <v>70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f>S69*INDEX(属性投放!$D$28:$D$47,属性偏向!R69)</f>
        <v>70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f>S70*INDEX(属性投放!$D$28:$D$47,属性偏向!R70)</f>
        <v>96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f>S71*INDEX(属性投放!$D$28:$D$47,属性偏向!R71)</f>
        <v>96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f>S72*INDEX(属性投放!$D$28:$D$47,属性偏向!R72)</f>
        <v>96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f>S73*INDEX(属性投放!$D$28:$D$47,属性偏向!R73)</f>
        <v>135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f>S74*INDEX(属性投放!$D$28:$D$47,属性偏向!R74)</f>
        <v>135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f>S75*INDEX(属性投放!$D$28:$D$47,属性偏向!R75)</f>
        <v>135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f>S76*INDEX(属性投放!$D$28:$D$47,属性偏向!R76)</f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f>S77*INDEX(属性投放!$D$28:$D$47,属性偏向!R77)</f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f>S78*INDEX(属性投放!$D$28:$D$47,属性偏向!R78)</f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f>S79*INDEX(属性投放!$D$28:$D$47,属性偏向!R79)</f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f>S80*INDEX(属性投放!$D$28:$D$47,属性偏向!R80)</f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f>S81*INDEX(属性投放!$D$28:$D$47,属性偏向!R81)</f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f>S82*INDEX(属性投放!$D$28:$D$47,属性偏向!R82)</f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f>S83*INDEX(属性投放!$D$28:$D$47,属性偏向!R83)</f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f>S84*INDEX(属性投放!$D$28:$D$47,属性偏向!R84)</f>
        <v>48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f>S85*INDEX(属性投放!$D$28:$D$47,属性偏向!R85)</f>
        <v>60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f>S86*INDEX(属性投放!$D$28:$D$47,属性偏向!R86)</f>
        <v>60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f>S87*INDEX(属性投放!$D$28:$D$47,属性偏向!R87)</f>
        <v>84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f>S88*INDEX(属性投放!$D$28:$D$47,属性偏向!R88)</f>
        <v>84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f>S89*INDEX(属性投放!$D$28:$D$47,属性偏向!R89)</f>
        <v>84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f>S90*INDEX(属性投放!$D$28:$D$47,属性偏向!R90)</f>
        <v>120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f>S91*INDEX(属性投放!$D$28:$D$47,属性偏向!R91)</f>
        <v>120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f>S92*INDEX(属性投放!$D$28:$D$47,属性偏向!R92)</f>
        <v>120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f>S93*INDEX(属性投放!$D$28:$D$47,属性偏向!R93)</f>
        <v>180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f>S94*INDEX(属性投放!$D$28:$D$47,属性偏向!R94)</f>
        <v>180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f>S95*INDEX(属性投放!$D$28:$D$47,属性偏向!R95)</f>
        <v>180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f>S96*INDEX(属性投放!$D$28:$D$47,属性偏向!R96)</f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f>S97*INDEX(属性投放!$D$28:$D$47,属性偏向!R97)</f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f>S98*INDEX(属性投放!$D$28:$D$47,属性偏向!R98)</f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f>S99*INDEX(属性投放!$D$28:$D$47,属性偏向!R99)</f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f>S100*INDEX(属性投放!$D$28:$D$47,属性偏向!R100)</f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f>S101*INDEX(属性投放!$D$28:$D$47,属性偏向!R101)</f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f>S102*INDEX(属性投放!$D$28:$D$47,属性偏向!R102)</f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f>S103*INDEX(属性投放!$D$28:$D$47,属性偏向!R103)</f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S104*INDEX(属性投放!$D$28:$D$47,属性偏向!R104)</f>
        <v>60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>S105*INDEX(属性投放!$D$28:$D$47,属性偏向!R105)</f>
        <v>72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>S106*INDEX(属性投放!$D$28:$D$47,属性偏向!R106)</f>
        <v>72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>S107*INDEX(属性投放!$D$28:$D$47,属性偏向!R107)</f>
        <v>91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>S108*INDEX(属性投放!$D$28:$D$47,属性偏向!R108)</f>
        <v>91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>S109*INDEX(属性投放!$D$28:$D$47,属性偏向!R109)</f>
        <v>91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>S110*INDEX(属性投放!$D$28:$D$47,属性偏向!R110)</f>
        <v>128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>S111*INDEX(属性投放!$D$28:$D$47,属性偏向!R111)</f>
        <v>128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>S112*INDEX(属性投放!$D$28:$D$47,属性偏向!R112)</f>
        <v>128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>S113*INDEX(属性投放!$D$28:$D$47,属性偏向!R113)</f>
        <v>189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>S114*INDEX(属性投放!$D$28:$D$47,属性偏向!R114)</f>
        <v>189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>S115*INDEX(属性投放!$D$28:$D$47,属性偏向!R115)</f>
        <v>189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>S116*INDEX(属性投放!$D$28:$D$47,属性偏向!R116)</f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>S117*INDEX(属性投放!$D$28:$D$47,属性偏向!R117)</f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>S118*INDEX(属性投放!$D$28:$D$47,属性偏向!R118)</f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>S119*INDEX(属性投放!$D$28:$D$47,属性偏向!R119)</f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>S120*INDEX(属性投放!$D$28:$D$47,属性偏向!R120)</f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>S121*INDEX(属性投放!$D$28:$D$47,属性偏向!R121)</f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>S122*INDEX(属性投放!$D$28:$D$47,属性偏向!R122)</f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>S123*INDEX(属性投放!$D$28:$D$47,属性偏向!R123)</f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f>S124*INDEX(属性投放!$D$28:$D$47,属性偏向!R124)</f>
        <v>72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f>S125*INDEX(属性投放!$D$28:$D$47,属性偏向!R125)</f>
        <v>90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f>S126*INDEX(属性投放!$D$28:$D$47,属性偏向!R126)</f>
        <v>90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f>S127*INDEX(属性投放!$D$28:$D$47,属性偏向!R127)</f>
        <v>140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f>S128*INDEX(属性投放!$D$28:$D$47,属性偏向!R128)</f>
        <v>140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f>S129*INDEX(属性投放!$D$28:$D$47,属性偏向!R129)</f>
        <v>140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f>S130*INDEX(属性投放!$D$28:$D$47,属性偏向!R130)</f>
        <v>200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f>S131*INDEX(属性投放!$D$28:$D$47,属性偏向!R131)</f>
        <v>200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f>S132*INDEX(属性投放!$D$28:$D$47,属性偏向!R132)</f>
        <v>200</v>
      </c>
    </row>
    <row r="133" spans="15:21" ht="16.5" x14ac:dyDescent="0.2">
      <c r="O133" s="13">
        <v>130</v>
      </c>
      <c r="P133" s="13">
        <v>7</v>
      </c>
      <c r="Q133" s="14" t="str">
        <f t="shared" ref="Q133:Q196" si="4">INDEX($H$4:$H$15,P133)</f>
        <v>A</v>
      </c>
      <c r="R133" s="13">
        <v>10</v>
      </c>
      <c r="S133" s="13">
        <v>30</v>
      </c>
      <c r="T133" s="13">
        <f t="shared" ref="T133:T196" si="5">ROUND(S133/2,0)</f>
        <v>15</v>
      </c>
      <c r="U133" s="13">
        <f>S133*INDEX(属性投放!$D$28:$D$47,属性偏向!R133)</f>
        <v>270</v>
      </c>
    </row>
    <row r="134" spans="15:21" ht="16.5" x14ac:dyDescent="0.2">
      <c r="O134" s="13">
        <v>131</v>
      </c>
      <c r="P134" s="13">
        <v>7</v>
      </c>
      <c r="Q134" s="14" t="str">
        <f t="shared" si="4"/>
        <v>A</v>
      </c>
      <c r="R134" s="13">
        <v>11</v>
      </c>
      <c r="S134" s="13">
        <v>30</v>
      </c>
      <c r="T134" s="13">
        <f t="shared" si="5"/>
        <v>15</v>
      </c>
      <c r="U134" s="13">
        <f>S134*INDEX(属性投放!$D$28:$D$47,属性偏向!R134)</f>
        <v>270</v>
      </c>
    </row>
    <row r="135" spans="15:21" ht="16.5" x14ac:dyDescent="0.2">
      <c r="O135" s="13">
        <v>132</v>
      </c>
      <c r="P135" s="13">
        <v>7</v>
      </c>
      <c r="Q135" s="14" t="str">
        <f t="shared" si="4"/>
        <v>A</v>
      </c>
      <c r="R135" s="13">
        <v>12</v>
      </c>
      <c r="S135" s="13">
        <v>30</v>
      </c>
      <c r="T135" s="13">
        <f t="shared" si="5"/>
        <v>15</v>
      </c>
      <c r="U135" s="13">
        <f>S135*INDEX(属性投放!$D$28:$D$47,属性偏向!R135)</f>
        <v>270</v>
      </c>
    </row>
    <row r="136" spans="15:21" ht="16.5" x14ac:dyDescent="0.2">
      <c r="O136" s="13">
        <v>133</v>
      </c>
      <c r="P136" s="13">
        <v>7</v>
      </c>
      <c r="Q136" s="14" t="str">
        <f t="shared" si="4"/>
        <v>A</v>
      </c>
      <c r="R136" s="13">
        <v>13</v>
      </c>
      <c r="S136" s="13">
        <v>40</v>
      </c>
      <c r="T136" s="13">
        <f t="shared" si="5"/>
        <v>20</v>
      </c>
      <c r="U136" s="13">
        <f>S136*INDEX(属性投放!$D$28:$D$47,属性偏向!R136)</f>
        <v>400</v>
      </c>
    </row>
    <row r="137" spans="15:21" ht="16.5" x14ac:dyDescent="0.2">
      <c r="O137" s="13">
        <v>134</v>
      </c>
      <c r="P137" s="13">
        <v>7</v>
      </c>
      <c r="Q137" s="14" t="str">
        <f t="shared" si="4"/>
        <v>A</v>
      </c>
      <c r="R137" s="13">
        <v>14</v>
      </c>
      <c r="S137" s="13">
        <v>40</v>
      </c>
      <c r="T137" s="13">
        <f t="shared" si="5"/>
        <v>20</v>
      </c>
      <c r="U137" s="13">
        <f>S137*INDEX(属性投放!$D$28:$D$47,属性偏向!R137)</f>
        <v>400</v>
      </c>
    </row>
    <row r="138" spans="15:21" ht="16.5" x14ac:dyDescent="0.2">
      <c r="O138" s="13">
        <v>135</v>
      </c>
      <c r="P138" s="13">
        <v>7</v>
      </c>
      <c r="Q138" s="14" t="str">
        <f t="shared" si="4"/>
        <v>A</v>
      </c>
      <c r="R138" s="13">
        <v>15</v>
      </c>
      <c r="S138" s="13">
        <v>40</v>
      </c>
      <c r="T138" s="13">
        <f t="shared" si="5"/>
        <v>20</v>
      </c>
      <c r="U138" s="13">
        <f>S138*INDEX(属性投放!$D$28:$D$47,属性偏向!R138)</f>
        <v>400</v>
      </c>
    </row>
    <row r="139" spans="15:21" ht="16.5" x14ac:dyDescent="0.2">
      <c r="O139" s="13">
        <v>136</v>
      </c>
      <c r="P139" s="13">
        <v>7</v>
      </c>
      <c r="Q139" s="14" t="str">
        <f t="shared" si="4"/>
        <v>A</v>
      </c>
      <c r="R139" s="13">
        <v>16</v>
      </c>
      <c r="S139" s="13">
        <v>50</v>
      </c>
      <c r="T139" s="13">
        <f t="shared" si="5"/>
        <v>25</v>
      </c>
      <c r="U139" s="13">
        <f>S139*INDEX(属性投放!$D$28:$D$47,属性偏向!R139)</f>
        <v>500</v>
      </c>
    </row>
    <row r="140" spans="15:21" ht="16.5" x14ac:dyDescent="0.2">
      <c r="O140" s="13">
        <v>137</v>
      </c>
      <c r="P140" s="13">
        <v>7</v>
      </c>
      <c r="Q140" s="14" t="str">
        <f t="shared" si="4"/>
        <v>A</v>
      </c>
      <c r="R140" s="13">
        <v>17</v>
      </c>
      <c r="S140" s="13">
        <v>50</v>
      </c>
      <c r="T140" s="13">
        <f t="shared" si="5"/>
        <v>25</v>
      </c>
      <c r="U140" s="13">
        <f>S140*INDEX(属性投放!$D$28:$D$47,属性偏向!R140)</f>
        <v>500</v>
      </c>
    </row>
    <row r="141" spans="15:21" ht="16.5" x14ac:dyDescent="0.2">
      <c r="O141" s="13">
        <v>138</v>
      </c>
      <c r="P141" s="13">
        <v>7</v>
      </c>
      <c r="Q141" s="14" t="str">
        <f t="shared" si="4"/>
        <v>A</v>
      </c>
      <c r="R141" s="13">
        <v>18</v>
      </c>
      <c r="S141" s="13">
        <v>50</v>
      </c>
      <c r="T141" s="13">
        <f t="shared" si="5"/>
        <v>25</v>
      </c>
      <c r="U141" s="13">
        <f>S141*INDEX(属性投放!$D$28:$D$47,属性偏向!R141)</f>
        <v>500</v>
      </c>
    </row>
    <row r="142" spans="15:21" ht="16.5" x14ac:dyDescent="0.2">
      <c r="O142" s="13">
        <v>139</v>
      </c>
      <c r="P142" s="13">
        <v>7</v>
      </c>
      <c r="Q142" s="14" t="str">
        <f t="shared" si="4"/>
        <v>A</v>
      </c>
      <c r="R142" s="13">
        <v>19</v>
      </c>
      <c r="S142" s="13">
        <v>75</v>
      </c>
      <c r="T142" s="13">
        <f t="shared" si="5"/>
        <v>38</v>
      </c>
      <c r="U142" s="13">
        <f>S142*INDEX(属性投放!$D$28:$D$47,属性偏向!R142)</f>
        <v>750</v>
      </c>
    </row>
    <row r="143" spans="15:21" ht="16.5" x14ac:dyDescent="0.2">
      <c r="O143" s="13">
        <v>140</v>
      </c>
      <c r="P143" s="13">
        <v>7</v>
      </c>
      <c r="Q143" s="14" t="str">
        <f t="shared" si="4"/>
        <v>A</v>
      </c>
      <c r="R143" s="13">
        <v>20</v>
      </c>
      <c r="S143" s="13">
        <v>75</v>
      </c>
      <c r="T143" s="13">
        <f t="shared" si="5"/>
        <v>38</v>
      </c>
      <c r="U143" s="13">
        <f>S143*INDEX(属性投放!$D$28:$D$47,属性偏向!R143)</f>
        <v>750</v>
      </c>
    </row>
    <row r="144" spans="15:21" ht="16.5" x14ac:dyDescent="0.2">
      <c r="O144" s="13">
        <v>141</v>
      </c>
      <c r="P144" s="13">
        <v>8</v>
      </c>
      <c r="Q144" s="14" t="str">
        <f t="shared" si="4"/>
        <v>A+</v>
      </c>
      <c r="R144" s="13">
        <v>1</v>
      </c>
      <c r="S144" s="13">
        <v>13</v>
      </c>
      <c r="T144" s="13">
        <f t="shared" si="5"/>
        <v>7</v>
      </c>
      <c r="U144" s="13">
        <f>S144*INDEX(属性投放!$D$28:$D$47,属性偏向!R144)</f>
        <v>78</v>
      </c>
    </row>
    <row r="145" spans="15:21" ht="16.5" x14ac:dyDescent="0.2">
      <c r="O145" s="13">
        <v>142</v>
      </c>
      <c r="P145" s="13">
        <v>8</v>
      </c>
      <c r="Q145" s="14" t="str">
        <f t="shared" si="4"/>
        <v>A+</v>
      </c>
      <c r="R145" s="13">
        <v>2</v>
      </c>
      <c r="S145" s="13">
        <v>17</v>
      </c>
      <c r="T145" s="13">
        <f t="shared" si="5"/>
        <v>9</v>
      </c>
      <c r="U145" s="13">
        <f>S145*INDEX(属性投放!$D$28:$D$47,属性偏向!R145)</f>
        <v>102</v>
      </c>
    </row>
    <row r="146" spans="15:21" ht="16.5" x14ac:dyDescent="0.2">
      <c r="O146" s="13">
        <v>143</v>
      </c>
      <c r="P146" s="13">
        <v>8</v>
      </c>
      <c r="Q146" s="14" t="str">
        <f t="shared" si="4"/>
        <v>A+</v>
      </c>
      <c r="R146" s="13">
        <v>3</v>
      </c>
      <c r="S146" s="13">
        <v>17</v>
      </c>
      <c r="T146" s="13">
        <f t="shared" si="5"/>
        <v>9</v>
      </c>
      <c r="U146" s="13">
        <f>S146*INDEX(属性投放!$D$28:$D$47,属性偏向!R146)</f>
        <v>102</v>
      </c>
    </row>
    <row r="147" spans="15:21" ht="16.5" x14ac:dyDescent="0.2">
      <c r="O147" s="13">
        <v>144</v>
      </c>
      <c r="P147" s="13">
        <v>8</v>
      </c>
      <c r="Q147" s="14" t="str">
        <f t="shared" si="4"/>
        <v>A+</v>
      </c>
      <c r="R147" s="13">
        <v>4</v>
      </c>
      <c r="S147" s="13">
        <v>22</v>
      </c>
      <c r="T147" s="13">
        <f t="shared" si="5"/>
        <v>11</v>
      </c>
      <c r="U147" s="13">
        <f>S147*INDEX(属性投放!$D$28:$D$47,属性偏向!R147)</f>
        <v>154</v>
      </c>
    </row>
    <row r="148" spans="15:21" ht="16.5" x14ac:dyDescent="0.2">
      <c r="O148" s="13">
        <v>145</v>
      </c>
      <c r="P148" s="13">
        <v>8</v>
      </c>
      <c r="Q148" s="14" t="str">
        <f t="shared" si="4"/>
        <v>A+</v>
      </c>
      <c r="R148" s="13">
        <v>5</v>
      </c>
      <c r="S148" s="13">
        <v>22</v>
      </c>
      <c r="T148" s="13">
        <f t="shared" si="5"/>
        <v>11</v>
      </c>
      <c r="U148" s="13">
        <f>S148*INDEX(属性投放!$D$28:$D$47,属性偏向!R148)</f>
        <v>154</v>
      </c>
    </row>
    <row r="149" spans="15:21" ht="16.5" x14ac:dyDescent="0.2">
      <c r="O149" s="13">
        <v>146</v>
      </c>
      <c r="P149" s="13">
        <v>8</v>
      </c>
      <c r="Q149" s="14" t="str">
        <f t="shared" si="4"/>
        <v>A+</v>
      </c>
      <c r="R149" s="13">
        <v>6</v>
      </c>
      <c r="S149" s="13">
        <v>22</v>
      </c>
      <c r="T149" s="13">
        <f t="shared" si="5"/>
        <v>11</v>
      </c>
      <c r="U149" s="13">
        <f>S149*INDEX(属性投放!$D$28:$D$47,属性偏向!R149)</f>
        <v>154</v>
      </c>
    </row>
    <row r="150" spans="15:21" ht="16.5" x14ac:dyDescent="0.2">
      <c r="O150" s="13">
        <v>147</v>
      </c>
      <c r="P150" s="13">
        <v>8</v>
      </c>
      <c r="Q150" s="14" t="str">
        <f t="shared" si="4"/>
        <v>A+</v>
      </c>
      <c r="R150" s="13">
        <v>7</v>
      </c>
      <c r="S150" s="13">
        <v>28</v>
      </c>
      <c r="T150" s="13">
        <f t="shared" si="5"/>
        <v>14</v>
      </c>
      <c r="U150" s="13">
        <f>S150*INDEX(属性投放!$D$28:$D$47,属性偏向!R150)</f>
        <v>224</v>
      </c>
    </row>
    <row r="151" spans="15:21" ht="16.5" x14ac:dyDescent="0.2">
      <c r="O151" s="13">
        <v>148</v>
      </c>
      <c r="P151" s="13">
        <v>8</v>
      </c>
      <c r="Q151" s="14" t="str">
        <f t="shared" si="4"/>
        <v>A+</v>
      </c>
      <c r="R151" s="13">
        <v>8</v>
      </c>
      <c r="S151" s="13">
        <v>28</v>
      </c>
      <c r="T151" s="13">
        <f t="shared" si="5"/>
        <v>14</v>
      </c>
      <c r="U151" s="13">
        <f>S151*INDEX(属性投放!$D$28:$D$47,属性偏向!R151)</f>
        <v>224</v>
      </c>
    </row>
    <row r="152" spans="15:21" ht="16.5" x14ac:dyDescent="0.2">
      <c r="O152" s="13">
        <v>149</v>
      </c>
      <c r="P152" s="13">
        <v>8</v>
      </c>
      <c r="Q152" s="14" t="str">
        <f t="shared" si="4"/>
        <v>A+</v>
      </c>
      <c r="R152" s="13">
        <v>9</v>
      </c>
      <c r="S152" s="13">
        <v>28</v>
      </c>
      <c r="T152" s="13">
        <f t="shared" si="5"/>
        <v>14</v>
      </c>
      <c r="U152" s="13">
        <f>S152*INDEX(属性投放!$D$28:$D$47,属性偏向!R152)</f>
        <v>224</v>
      </c>
    </row>
    <row r="153" spans="15:21" ht="16.5" x14ac:dyDescent="0.2">
      <c r="O153" s="13">
        <v>150</v>
      </c>
      <c r="P153" s="13">
        <v>8</v>
      </c>
      <c r="Q153" s="14" t="str">
        <f t="shared" si="4"/>
        <v>A+</v>
      </c>
      <c r="R153" s="13">
        <v>10</v>
      </c>
      <c r="S153" s="13">
        <v>35</v>
      </c>
      <c r="T153" s="13">
        <f t="shared" si="5"/>
        <v>18</v>
      </c>
      <c r="U153" s="13">
        <f>S153*INDEX(属性投放!$D$28:$D$47,属性偏向!R153)</f>
        <v>315</v>
      </c>
    </row>
    <row r="154" spans="15:21" ht="16.5" x14ac:dyDescent="0.2">
      <c r="O154" s="13">
        <v>151</v>
      </c>
      <c r="P154" s="13">
        <v>8</v>
      </c>
      <c r="Q154" s="14" t="str">
        <f t="shared" si="4"/>
        <v>A+</v>
      </c>
      <c r="R154" s="13">
        <v>11</v>
      </c>
      <c r="S154" s="13">
        <v>35</v>
      </c>
      <c r="T154" s="13">
        <f t="shared" si="5"/>
        <v>18</v>
      </c>
      <c r="U154" s="13">
        <f>S154*INDEX(属性投放!$D$28:$D$47,属性偏向!R154)</f>
        <v>315</v>
      </c>
    </row>
    <row r="155" spans="15:21" ht="16.5" x14ac:dyDescent="0.2">
      <c r="O155" s="13">
        <v>152</v>
      </c>
      <c r="P155" s="13">
        <v>8</v>
      </c>
      <c r="Q155" s="14" t="str">
        <f t="shared" si="4"/>
        <v>A+</v>
      </c>
      <c r="R155" s="13">
        <v>12</v>
      </c>
      <c r="S155" s="13">
        <v>35</v>
      </c>
      <c r="T155" s="13">
        <f t="shared" si="5"/>
        <v>18</v>
      </c>
      <c r="U155" s="13">
        <f>S155*INDEX(属性投放!$D$28:$D$47,属性偏向!R155)</f>
        <v>315</v>
      </c>
    </row>
    <row r="156" spans="15:21" ht="16.5" x14ac:dyDescent="0.2">
      <c r="O156" s="13">
        <v>153</v>
      </c>
      <c r="P156" s="13">
        <v>8</v>
      </c>
      <c r="Q156" s="14" t="str">
        <f t="shared" si="4"/>
        <v>A+</v>
      </c>
      <c r="R156" s="13">
        <v>13</v>
      </c>
      <c r="S156" s="13">
        <v>45</v>
      </c>
      <c r="T156" s="13">
        <f t="shared" si="5"/>
        <v>23</v>
      </c>
      <c r="U156" s="13">
        <f>S156*INDEX(属性投放!$D$28:$D$47,属性偏向!R156)</f>
        <v>450</v>
      </c>
    </row>
    <row r="157" spans="15:21" ht="16.5" x14ac:dyDescent="0.2">
      <c r="O157" s="13">
        <v>154</v>
      </c>
      <c r="P157" s="13">
        <v>8</v>
      </c>
      <c r="Q157" s="14" t="str">
        <f t="shared" si="4"/>
        <v>A+</v>
      </c>
      <c r="R157" s="13">
        <v>14</v>
      </c>
      <c r="S157" s="13">
        <v>45</v>
      </c>
      <c r="T157" s="13">
        <f t="shared" si="5"/>
        <v>23</v>
      </c>
      <c r="U157" s="13">
        <f>S157*INDEX(属性投放!$D$28:$D$47,属性偏向!R157)</f>
        <v>450</v>
      </c>
    </row>
    <row r="158" spans="15:21" ht="16.5" x14ac:dyDescent="0.2">
      <c r="O158" s="13">
        <v>155</v>
      </c>
      <c r="P158" s="13">
        <v>8</v>
      </c>
      <c r="Q158" s="14" t="str">
        <f t="shared" si="4"/>
        <v>A+</v>
      </c>
      <c r="R158" s="13">
        <v>15</v>
      </c>
      <c r="S158" s="13">
        <v>45</v>
      </c>
      <c r="T158" s="13">
        <f t="shared" si="5"/>
        <v>23</v>
      </c>
      <c r="U158" s="13">
        <f>S158*INDEX(属性投放!$D$28:$D$47,属性偏向!R158)</f>
        <v>450</v>
      </c>
    </row>
    <row r="159" spans="15:21" ht="16.5" x14ac:dyDescent="0.2">
      <c r="O159" s="13">
        <v>156</v>
      </c>
      <c r="P159" s="13">
        <v>8</v>
      </c>
      <c r="Q159" s="14" t="str">
        <f t="shared" si="4"/>
        <v>A+</v>
      </c>
      <c r="R159" s="13">
        <v>16</v>
      </c>
      <c r="S159" s="13">
        <v>60</v>
      </c>
      <c r="T159" s="13">
        <f t="shared" si="5"/>
        <v>30</v>
      </c>
      <c r="U159" s="13">
        <f>S159*INDEX(属性投放!$D$28:$D$47,属性偏向!R159)</f>
        <v>600</v>
      </c>
    </row>
    <row r="160" spans="15:21" ht="16.5" x14ac:dyDescent="0.2">
      <c r="O160" s="13">
        <v>157</v>
      </c>
      <c r="P160" s="13">
        <v>8</v>
      </c>
      <c r="Q160" s="14" t="str">
        <f t="shared" si="4"/>
        <v>A+</v>
      </c>
      <c r="R160" s="13">
        <v>17</v>
      </c>
      <c r="S160" s="13">
        <v>60</v>
      </c>
      <c r="T160" s="13">
        <f t="shared" si="5"/>
        <v>30</v>
      </c>
      <c r="U160" s="13">
        <f>S160*INDEX(属性投放!$D$28:$D$47,属性偏向!R160)</f>
        <v>600</v>
      </c>
    </row>
    <row r="161" spans="15:21" ht="16.5" x14ac:dyDescent="0.2">
      <c r="O161" s="13">
        <v>158</v>
      </c>
      <c r="P161" s="13">
        <v>8</v>
      </c>
      <c r="Q161" s="14" t="str">
        <f t="shared" si="4"/>
        <v>A+</v>
      </c>
      <c r="R161" s="13">
        <v>18</v>
      </c>
      <c r="S161" s="13">
        <v>60</v>
      </c>
      <c r="T161" s="13">
        <f t="shared" si="5"/>
        <v>30</v>
      </c>
      <c r="U161" s="13">
        <f>S161*INDEX(属性投放!$D$28:$D$47,属性偏向!R161)</f>
        <v>600</v>
      </c>
    </row>
    <row r="162" spans="15:21" ht="16.5" x14ac:dyDescent="0.2">
      <c r="O162" s="13">
        <v>159</v>
      </c>
      <c r="P162" s="13">
        <v>8</v>
      </c>
      <c r="Q162" s="14" t="str">
        <f t="shared" si="4"/>
        <v>A+</v>
      </c>
      <c r="R162" s="13">
        <v>19</v>
      </c>
      <c r="S162" s="13">
        <v>80</v>
      </c>
      <c r="T162" s="13">
        <f t="shared" si="5"/>
        <v>40</v>
      </c>
      <c r="U162" s="13">
        <f>S162*INDEX(属性投放!$D$28:$D$47,属性偏向!R162)</f>
        <v>800</v>
      </c>
    </row>
    <row r="163" spans="15:21" ht="16.5" x14ac:dyDescent="0.2">
      <c r="O163" s="13">
        <v>160</v>
      </c>
      <c r="P163" s="13">
        <v>8</v>
      </c>
      <c r="Q163" s="14" t="str">
        <f t="shared" si="4"/>
        <v>A+</v>
      </c>
      <c r="R163" s="13">
        <v>20</v>
      </c>
      <c r="S163" s="13">
        <v>80</v>
      </c>
      <c r="T163" s="13">
        <f t="shared" si="5"/>
        <v>40</v>
      </c>
      <c r="U163" s="13">
        <f>S163*INDEX(属性投放!$D$28:$D$47,属性偏向!R163)</f>
        <v>800</v>
      </c>
    </row>
    <row r="164" spans="15:21" ht="16.5" x14ac:dyDescent="0.2">
      <c r="O164" s="13">
        <v>161</v>
      </c>
      <c r="P164" s="13">
        <v>9</v>
      </c>
      <c r="Q164" s="14" t="str">
        <f t="shared" si="4"/>
        <v>S</v>
      </c>
      <c r="R164" s="13">
        <v>1</v>
      </c>
      <c r="S164" s="13">
        <v>15</v>
      </c>
      <c r="T164" s="13">
        <f t="shared" si="5"/>
        <v>8</v>
      </c>
      <c r="U164" s="13">
        <f>S164*INDEX(属性投放!$D$28:$D$47,属性偏向!R164)</f>
        <v>90</v>
      </c>
    </row>
    <row r="165" spans="15:21" ht="16.5" x14ac:dyDescent="0.2">
      <c r="O165" s="13">
        <v>162</v>
      </c>
      <c r="P165" s="13">
        <v>9</v>
      </c>
      <c r="Q165" s="14" t="str">
        <f t="shared" si="4"/>
        <v>S</v>
      </c>
      <c r="R165" s="13">
        <v>2</v>
      </c>
      <c r="S165" s="13">
        <v>20</v>
      </c>
      <c r="T165" s="13">
        <f t="shared" si="5"/>
        <v>10</v>
      </c>
      <c r="U165" s="13">
        <f>S165*INDEX(属性投放!$D$28:$D$47,属性偏向!R165)</f>
        <v>120</v>
      </c>
    </row>
    <row r="166" spans="15:21" ht="16.5" x14ac:dyDescent="0.2">
      <c r="O166" s="13">
        <v>163</v>
      </c>
      <c r="P166" s="13">
        <v>9</v>
      </c>
      <c r="Q166" s="14" t="str">
        <f t="shared" si="4"/>
        <v>S</v>
      </c>
      <c r="R166" s="13">
        <v>3</v>
      </c>
      <c r="S166" s="13">
        <v>20</v>
      </c>
      <c r="T166" s="13">
        <f t="shared" si="5"/>
        <v>10</v>
      </c>
      <c r="U166" s="13">
        <f>S166*INDEX(属性投放!$D$28:$D$47,属性偏向!R166)</f>
        <v>120</v>
      </c>
    </row>
    <row r="167" spans="15:21" ht="16.5" x14ac:dyDescent="0.2">
      <c r="O167" s="13">
        <v>164</v>
      </c>
      <c r="P167" s="13">
        <v>9</v>
      </c>
      <c r="Q167" s="14" t="str">
        <f t="shared" si="4"/>
        <v>S</v>
      </c>
      <c r="R167" s="13">
        <v>4</v>
      </c>
      <c r="S167" s="13">
        <v>25</v>
      </c>
      <c r="T167" s="13">
        <f t="shared" si="5"/>
        <v>13</v>
      </c>
      <c r="U167" s="13">
        <f>S167*INDEX(属性投放!$D$28:$D$47,属性偏向!R167)</f>
        <v>175</v>
      </c>
    </row>
    <row r="168" spans="15:21" ht="16.5" x14ac:dyDescent="0.2">
      <c r="O168" s="13">
        <v>165</v>
      </c>
      <c r="P168" s="13">
        <v>9</v>
      </c>
      <c r="Q168" s="14" t="str">
        <f t="shared" si="4"/>
        <v>S</v>
      </c>
      <c r="R168" s="13">
        <v>5</v>
      </c>
      <c r="S168" s="13">
        <v>25</v>
      </c>
      <c r="T168" s="13">
        <f t="shared" si="5"/>
        <v>13</v>
      </c>
      <c r="U168" s="13">
        <f>S168*INDEX(属性投放!$D$28:$D$47,属性偏向!R168)</f>
        <v>175</v>
      </c>
    </row>
    <row r="169" spans="15:21" ht="16.5" x14ac:dyDescent="0.2">
      <c r="O169" s="13">
        <v>166</v>
      </c>
      <c r="P169" s="13">
        <v>9</v>
      </c>
      <c r="Q169" s="14" t="str">
        <f t="shared" si="4"/>
        <v>S</v>
      </c>
      <c r="R169" s="13">
        <v>6</v>
      </c>
      <c r="S169" s="13">
        <v>25</v>
      </c>
      <c r="T169" s="13">
        <f t="shared" si="5"/>
        <v>13</v>
      </c>
      <c r="U169" s="13">
        <f>S169*INDEX(属性投放!$D$28:$D$47,属性偏向!R169)</f>
        <v>175</v>
      </c>
    </row>
    <row r="170" spans="15:21" ht="16.5" x14ac:dyDescent="0.2">
      <c r="O170" s="13">
        <v>167</v>
      </c>
      <c r="P170" s="13">
        <v>9</v>
      </c>
      <c r="Q170" s="14" t="str">
        <f t="shared" si="4"/>
        <v>S</v>
      </c>
      <c r="R170" s="13">
        <v>7</v>
      </c>
      <c r="S170" s="13">
        <v>30</v>
      </c>
      <c r="T170" s="13">
        <f t="shared" si="5"/>
        <v>15</v>
      </c>
      <c r="U170" s="13">
        <f>S170*INDEX(属性投放!$D$28:$D$47,属性偏向!R170)</f>
        <v>240</v>
      </c>
    </row>
    <row r="171" spans="15:21" ht="16.5" x14ac:dyDescent="0.2">
      <c r="O171" s="13">
        <v>168</v>
      </c>
      <c r="P171" s="13">
        <v>9</v>
      </c>
      <c r="Q171" s="14" t="str">
        <f t="shared" si="4"/>
        <v>S</v>
      </c>
      <c r="R171" s="13">
        <v>8</v>
      </c>
      <c r="S171" s="13">
        <v>30</v>
      </c>
      <c r="T171" s="13">
        <f t="shared" si="5"/>
        <v>15</v>
      </c>
      <c r="U171" s="13">
        <f>S171*INDEX(属性投放!$D$28:$D$47,属性偏向!R171)</f>
        <v>240</v>
      </c>
    </row>
    <row r="172" spans="15:21" ht="16.5" x14ac:dyDescent="0.2">
      <c r="O172" s="13">
        <v>169</v>
      </c>
      <c r="P172" s="13">
        <v>9</v>
      </c>
      <c r="Q172" s="14" t="str">
        <f t="shared" si="4"/>
        <v>S</v>
      </c>
      <c r="R172" s="13">
        <v>9</v>
      </c>
      <c r="S172" s="13">
        <v>30</v>
      </c>
      <c r="T172" s="13">
        <f t="shared" si="5"/>
        <v>15</v>
      </c>
      <c r="U172" s="13">
        <f>S172*INDEX(属性投放!$D$28:$D$47,属性偏向!R172)</f>
        <v>240</v>
      </c>
    </row>
    <row r="173" spans="15:21" ht="16.5" x14ac:dyDescent="0.2">
      <c r="O173" s="13">
        <v>170</v>
      </c>
      <c r="P173" s="13">
        <v>9</v>
      </c>
      <c r="Q173" s="14" t="str">
        <f t="shared" si="4"/>
        <v>S</v>
      </c>
      <c r="R173" s="13">
        <v>10</v>
      </c>
      <c r="S173" s="13">
        <v>40</v>
      </c>
      <c r="T173" s="13">
        <f t="shared" si="5"/>
        <v>20</v>
      </c>
      <c r="U173" s="13">
        <f>S173*INDEX(属性投放!$D$28:$D$47,属性偏向!R173)</f>
        <v>360</v>
      </c>
    </row>
    <row r="174" spans="15:21" ht="16.5" x14ac:dyDescent="0.2">
      <c r="O174" s="13">
        <v>171</v>
      </c>
      <c r="P174" s="13">
        <v>9</v>
      </c>
      <c r="Q174" s="14" t="str">
        <f t="shared" si="4"/>
        <v>S</v>
      </c>
      <c r="R174" s="13">
        <v>11</v>
      </c>
      <c r="S174" s="13">
        <v>40</v>
      </c>
      <c r="T174" s="13">
        <f t="shared" si="5"/>
        <v>20</v>
      </c>
      <c r="U174" s="13">
        <f>S174*INDEX(属性投放!$D$28:$D$47,属性偏向!R174)</f>
        <v>360</v>
      </c>
    </row>
    <row r="175" spans="15:21" ht="16.5" x14ac:dyDescent="0.2">
      <c r="O175" s="13">
        <v>172</v>
      </c>
      <c r="P175" s="13">
        <v>9</v>
      </c>
      <c r="Q175" s="14" t="str">
        <f t="shared" si="4"/>
        <v>S</v>
      </c>
      <c r="R175" s="13">
        <v>12</v>
      </c>
      <c r="S175" s="13">
        <v>40</v>
      </c>
      <c r="T175" s="13">
        <f t="shared" si="5"/>
        <v>20</v>
      </c>
      <c r="U175" s="13">
        <f>S175*INDEX(属性投放!$D$28:$D$47,属性偏向!R175)</f>
        <v>360</v>
      </c>
    </row>
    <row r="176" spans="15:21" ht="16.5" x14ac:dyDescent="0.2">
      <c r="O176" s="13">
        <v>173</v>
      </c>
      <c r="P176" s="13">
        <v>9</v>
      </c>
      <c r="Q176" s="14" t="str">
        <f t="shared" si="4"/>
        <v>S</v>
      </c>
      <c r="R176" s="13">
        <v>13</v>
      </c>
      <c r="S176" s="13">
        <v>50</v>
      </c>
      <c r="T176" s="13">
        <f t="shared" si="5"/>
        <v>25</v>
      </c>
      <c r="U176" s="13">
        <f>S176*INDEX(属性投放!$D$28:$D$47,属性偏向!R176)</f>
        <v>500</v>
      </c>
    </row>
    <row r="177" spans="15:21" ht="16.5" x14ac:dyDescent="0.2">
      <c r="O177" s="13">
        <v>174</v>
      </c>
      <c r="P177" s="13">
        <v>9</v>
      </c>
      <c r="Q177" s="14" t="str">
        <f t="shared" si="4"/>
        <v>S</v>
      </c>
      <c r="R177" s="13">
        <v>14</v>
      </c>
      <c r="S177" s="13">
        <v>50</v>
      </c>
      <c r="T177" s="13">
        <f t="shared" si="5"/>
        <v>25</v>
      </c>
      <c r="U177" s="13">
        <f>S177*INDEX(属性投放!$D$28:$D$47,属性偏向!R177)</f>
        <v>500</v>
      </c>
    </row>
    <row r="178" spans="15:21" ht="16.5" x14ac:dyDescent="0.2">
      <c r="O178" s="13">
        <v>175</v>
      </c>
      <c r="P178" s="13">
        <v>9</v>
      </c>
      <c r="Q178" s="14" t="str">
        <f t="shared" si="4"/>
        <v>S</v>
      </c>
      <c r="R178" s="13">
        <v>15</v>
      </c>
      <c r="S178" s="13">
        <v>50</v>
      </c>
      <c r="T178" s="13">
        <f t="shared" si="5"/>
        <v>25</v>
      </c>
      <c r="U178" s="13">
        <f>S178*INDEX(属性投放!$D$28:$D$47,属性偏向!R178)</f>
        <v>500</v>
      </c>
    </row>
    <row r="179" spans="15:21" ht="16.5" x14ac:dyDescent="0.2">
      <c r="O179" s="13">
        <v>176</v>
      </c>
      <c r="P179" s="13">
        <v>9</v>
      </c>
      <c r="Q179" s="14" t="str">
        <f t="shared" si="4"/>
        <v>S</v>
      </c>
      <c r="R179" s="13">
        <v>16</v>
      </c>
      <c r="S179" s="13">
        <v>75</v>
      </c>
      <c r="T179" s="13">
        <f t="shared" si="5"/>
        <v>38</v>
      </c>
      <c r="U179" s="13">
        <f>S179*INDEX(属性投放!$D$28:$D$47,属性偏向!R179)</f>
        <v>750</v>
      </c>
    </row>
    <row r="180" spans="15:21" ht="16.5" x14ac:dyDescent="0.2">
      <c r="O180" s="13">
        <v>177</v>
      </c>
      <c r="P180" s="13">
        <v>9</v>
      </c>
      <c r="Q180" s="14" t="str">
        <f t="shared" si="4"/>
        <v>S</v>
      </c>
      <c r="R180" s="13">
        <v>17</v>
      </c>
      <c r="S180" s="13">
        <v>75</v>
      </c>
      <c r="T180" s="13">
        <f t="shared" si="5"/>
        <v>38</v>
      </c>
      <c r="U180" s="13">
        <f>S180*INDEX(属性投放!$D$28:$D$47,属性偏向!R180)</f>
        <v>750</v>
      </c>
    </row>
    <row r="181" spans="15:21" ht="16.5" x14ac:dyDescent="0.2">
      <c r="O181" s="13">
        <v>178</v>
      </c>
      <c r="P181" s="13">
        <v>9</v>
      </c>
      <c r="Q181" s="14" t="str">
        <f t="shared" si="4"/>
        <v>S</v>
      </c>
      <c r="R181" s="13">
        <v>18</v>
      </c>
      <c r="S181" s="13">
        <v>75</v>
      </c>
      <c r="T181" s="13">
        <f t="shared" si="5"/>
        <v>38</v>
      </c>
      <c r="U181" s="13">
        <f>S181*INDEX(属性投放!$D$28:$D$47,属性偏向!R181)</f>
        <v>750</v>
      </c>
    </row>
    <row r="182" spans="15:21" ht="16.5" x14ac:dyDescent="0.2">
      <c r="O182" s="13">
        <v>179</v>
      </c>
      <c r="P182" s="13">
        <v>9</v>
      </c>
      <c r="Q182" s="14" t="str">
        <f t="shared" si="4"/>
        <v>S</v>
      </c>
      <c r="R182" s="13">
        <v>19</v>
      </c>
      <c r="S182" s="13">
        <v>100</v>
      </c>
      <c r="T182" s="13">
        <f t="shared" si="5"/>
        <v>50</v>
      </c>
      <c r="U182" s="13">
        <f>S182*INDEX(属性投放!$D$28:$D$47,属性偏向!R182)</f>
        <v>1000</v>
      </c>
    </row>
    <row r="183" spans="15:21" ht="16.5" x14ac:dyDescent="0.2">
      <c r="O183" s="13">
        <v>180</v>
      </c>
      <c r="P183" s="13">
        <v>9</v>
      </c>
      <c r="Q183" s="14" t="str">
        <f t="shared" si="4"/>
        <v>S</v>
      </c>
      <c r="R183" s="13">
        <v>20</v>
      </c>
      <c r="S183" s="13">
        <v>100</v>
      </c>
      <c r="T183" s="13">
        <f t="shared" si="5"/>
        <v>50</v>
      </c>
      <c r="U183" s="13">
        <f>S183*INDEX(属性投放!$D$28:$D$47,属性偏向!R183)</f>
        <v>1000</v>
      </c>
    </row>
    <row r="184" spans="15:21" ht="16.5" x14ac:dyDescent="0.2">
      <c r="O184" s="13">
        <v>181</v>
      </c>
      <c r="P184" s="13">
        <v>10</v>
      </c>
      <c r="Q184" s="14" t="str">
        <f t="shared" si="4"/>
        <v>S+</v>
      </c>
      <c r="R184" s="13">
        <v>1</v>
      </c>
      <c r="S184" s="13">
        <v>20</v>
      </c>
      <c r="T184" s="13">
        <f t="shared" si="5"/>
        <v>10</v>
      </c>
      <c r="U184" s="13">
        <f>S184*INDEX(属性投放!$D$28:$D$47,属性偏向!R184)</f>
        <v>120</v>
      </c>
    </row>
    <row r="185" spans="15:21" ht="16.5" x14ac:dyDescent="0.2">
      <c r="O185" s="13">
        <v>182</v>
      </c>
      <c r="P185" s="13">
        <v>10</v>
      </c>
      <c r="Q185" s="14" t="str">
        <f t="shared" si="4"/>
        <v>S+</v>
      </c>
      <c r="R185" s="13">
        <v>2</v>
      </c>
      <c r="S185" s="13">
        <v>25</v>
      </c>
      <c r="T185" s="13">
        <f t="shared" si="5"/>
        <v>13</v>
      </c>
      <c r="U185" s="13">
        <f>S185*INDEX(属性投放!$D$28:$D$47,属性偏向!R185)</f>
        <v>150</v>
      </c>
    </row>
    <row r="186" spans="15:21" ht="16.5" x14ac:dyDescent="0.2">
      <c r="O186" s="13">
        <v>183</v>
      </c>
      <c r="P186" s="13">
        <v>10</v>
      </c>
      <c r="Q186" s="14" t="str">
        <f t="shared" si="4"/>
        <v>S+</v>
      </c>
      <c r="R186" s="13">
        <v>3</v>
      </c>
      <c r="S186" s="13">
        <v>25</v>
      </c>
      <c r="T186" s="13">
        <f t="shared" si="5"/>
        <v>13</v>
      </c>
      <c r="U186" s="13">
        <f>S186*INDEX(属性投放!$D$28:$D$47,属性偏向!R186)</f>
        <v>150</v>
      </c>
    </row>
    <row r="187" spans="15:21" ht="16.5" x14ac:dyDescent="0.2">
      <c r="O187" s="13">
        <v>184</v>
      </c>
      <c r="P187" s="13">
        <v>10</v>
      </c>
      <c r="Q187" s="14" t="str">
        <f t="shared" si="4"/>
        <v>S+</v>
      </c>
      <c r="R187" s="13">
        <v>4</v>
      </c>
      <c r="S187" s="13">
        <v>30</v>
      </c>
      <c r="T187" s="13">
        <f t="shared" si="5"/>
        <v>15</v>
      </c>
      <c r="U187" s="13">
        <f>S187*INDEX(属性投放!$D$28:$D$47,属性偏向!R187)</f>
        <v>210</v>
      </c>
    </row>
    <row r="188" spans="15:21" ht="16.5" x14ac:dyDescent="0.2">
      <c r="O188" s="13">
        <v>185</v>
      </c>
      <c r="P188" s="13">
        <v>10</v>
      </c>
      <c r="Q188" s="14" t="str">
        <f t="shared" si="4"/>
        <v>S+</v>
      </c>
      <c r="R188" s="13">
        <v>5</v>
      </c>
      <c r="S188" s="13">
        <v>30</v>
      </c>
      <c r="T188" s="13">
        <f t="shared" si="5"/>
        <v>15</v>
      </c>
      <c r="U188" s="13">
        <f>S188*INDEX(属性投放!$D$28:$D$47,属性偏向!R188)</f>
        <v>210</v>
      </c>
    </row>
    <row r="189" spans="15:21" ht="16.5" x14ac:dyDescent="0.2">
      <c r="O189" s="13">
        <v>186</v>
      </c>
      <c r="P189" s="13">
        <v>10</v>
      </c>
      <c r="Q189" s="14" t="str">
        <f t="shared" si="4"/>
        <v>S+</v>
      </c>
      <c r="R189" s="13">
        <v>6</v>
      </c>
      <c r="S189" s="13">
        <v>30</v>
      </c>
      <c r="T189" s="13">
        <f t="shared" si="5"/>
        <v>15</v>
      </c>
      <c r="U189" s="13">
        <f>S189*INDEX(属性投放!$D$28:$D$47,属性偏向!R189)</f>
        <v>210</v>
      </c>
    </row>
    <row r="190" spans="15:21" ht="16.5" x14ac:dyDescent="0.2">
      <c r="O190" s="13">
        <v>187</v>
      </c>
      <c r="P190" s="13">
        <v>10</v>
      </c>
      <c r="Q190" s="14" t="str">
        <f t="shared" si="4"/>
        <v>S+</v>
      </c>
      <c r="R190" s="13">
        <v>7</v>
      </c>
      <c r="S190" s="13">
        <v>40</v>
      </c>
      <c r="T190" s="13">
        <f t="shared" si="5"/>
        <v>20</v>
      </c>
      <c r="U190" s="13">
        <f>S190*INDEX(属性投放!$D$28:$D$47,属性偏向!R190)</f>
        <v>320</v>
      </c>
    </row>
    <row r="191" spans="15:21" ht="16.5" x14ac:dyDescent="0.2">
      <c r="O191" s="13">
        <v>188</v>
      </c>
      <c r="P191" s="13">
        <v>10</v>
      </c>
      <c r="Q191" s="14" t="str">
        <f t="shared" si="4"/>
        <v>S+</v>
      </c>
      <c r="R191" s="13">
        <v>8</v>
      </c>
      <c r="S191" s="13">
        <v>40</v>
      </c>
      <c r="T191" s="13">
        <f t="shared" si="5"/>
        <v>20</v>
      </c>
      <c r="U191" s="13">
        <f>S191*INDEX(属性投放!$D$28:$D$47,属性偏向!R191)</f>
        <v>320</v>
      </c>
    </row>
    <row r="192" spans="15:21" ht="16.5" x14ac:dyDescent="0.2">
      <c r="O192" s="13">
        <v>189</v>
      </c>
      <c r="P192" s="13">
        <v>10</v>
      </c>
      <c r="Q192" s="14" t="str">
        <f t="shared" si="4"/>
        <v>S+</v>
      </c>
      <c r="R192" s="13">
        <v>9</v>
      </c>
      <c r="S192" s="13">
        <v>40</v>
      </c>
      <c r="T192" s="13">
        <f t="shared" si="5"/>
        <v>20</v>
      </c>
      <c r="U192" s="13">
        <f>S192*INDEX(属性投放!$D$28:$D$47,属性偏向!R192)</f>
        <v>320</v>
      </c>
    </row>
    <row r="193" spans="15:21" ht="16.5" x14ac:dyDescent="0.2">
      <c r="O193" s="13">
        <v>190</v>
      </c>
      <c r="P193" s="13">
        <v>10</v>
      </c>
      <c r="Q193" s="14" t="str">
        <f t="shared" si="4"/>
        <v>S+</v>
      </c>
      <c r="R193" s="13">
        <v>10</v>
      </c>
      <c r="S193" s="13">
        <v>50</v>
      </c>
      <c r="T193" s="13">
        <f t="shared" si="5"/>
        <v>25</v>
      </c>
      <c r="U193" s="13">
        <f>S193*INDEX(属性投放!$D$28:$D$47,属性偏向!R193)</f>
        <v>450</v>
      </c>
    </row>
    <row r="194" spans="15:21" ht="16.5" x14ac:dyDescent="0.2">
      <c r="O194" s="13">
        <v>191</v>
      </c>
      <c r="P194" s="13">
        <v>10</v>
      </c>
      <c r="Q194" s="14" t="str">
        <f t="shared" si="4"/>
        <v>S+</v>
      </c>
      <c r="R194" s="13">
        <v>11</v>
      </c>
      <c r="S194" s="13">
        <v>50</v>
      </c>
      <c r="T194" s="13">
        <f t="shared" si="5"/>
        <v>25</v>
      </c>
      <c r="U194" s="13">
        <f>S194*INDEX(属性投放!$D$28:$D$47,属性偏向!R194)</f>
        <v>450</v>
      </c>
    </row>
    <row r="195" spans="15:21" ht="16.5" x14ac:dyDescent="0.2">
      <c r="O195" s="13">
        <v>192</v>
      </c>
      <c r="P195" s="13">
        <v>10</v>
      </c>
      <c r="Q195" s="14" t="str">
        <f t="shared" si="4"/>
        <v>S+</v>
      </c>
      <c r="R195" s="13">
        <v>12</v>
      </c>
      <c r="S195" s="13">
        <v>50</v>
      </c>
      <c r="T195" s="13">
        <f t="shared" si="5"/>
        <v>25</v>
      </c>
      <c r="U195" s="13">
        <f>S195*INDEX(属性投放!$D$28:$D$47,属性偏向!R195)</f>
        <v>450</v>
      </c>
    </row>
    <row r="196" spans="15:21" ht="16.5" x14ac:dyDescent="0.2">
      <c r="O196" s="13">
        <v>193</v>
      </c>
      <c r="P196" s="13">
        <v>10</v>
      </c>
      <c r="Q196" s="14" t="str">
        <f t="shared" si="4"/>
        <v>S+</v>
      </c>
      <c r="R196" s="13">
        <v>13</v>
      </c>
      <c r="S196" s="13">
        <v>75</v>
      </c>
      <c r="T196" s="13">
        <f t="shared" si="5"/>
        <v>38</v>
      </c>
      <c r="U196" s="13">
        <f>S196*INDEX(属性投放!$D$28:$D$47,属性偏向!R196)</f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6">INDEX($H$4:$H$15,P197)</f>
        <v>S+</v>
      </c>
      <c r="R197" s="13">
        <v>14</v>
      </c>
      <c r="S197" s="13">
        <v>75</v>
      </c>
      <c r="T197" s="13">
        <f t="shared" ref="T197:T243" si="7">ROUND(S197/2,0)</f>
        <v>38</v>
      </c>
      <c r="U197" s="13">
        <f>S197*INDEX(属性投放!$D$28:$D$47,属性偏向!R197)</f>
        <v>750</v>
      </c>
    </row>
    <row r="198" spans="15:21" ht="16.5" x14ac:dyDescent="0.2">
      <c r="O198" s="13">
        <v>195</v>
      </c>
      <c r="P198" s="13">
        <v>10</v>
      </c>
      <c r="Q198" s="14" t="str">
        <f t="shared" si="6"/>
        <v>S+</v>
      </c>
      <c r="R198" s="13">
        <v>15</v>
      </c>
      <c r="S198" s="13">
        <v>75</v>
      </c>
      <c r="T198" s="13">
        <f t="shared" si="7"/>
        <v>38</v>
      </c>
      <c r="U198" s="13">
        <f>S198*INDEX(属性投放!$D$28:$D$47,属性偏向!R198)</f>
        <v>750</v>
      </c>
    </row>
    <row r="199" spans="15:21" ht="16.5" x14ac:dyDescent="0.2">
      <c r="O199" s="13">
        <v>196</v>
      </c>
      <c r="P199" s="13">
        <v>10</v>
      </c>
      <c r="Q199" s="14" t="str">
        <f t="shared" si="6"/>
        <v>S+</v>
      </c>
      <c r="R199" s="13">
        <v>16</v>
      </c>
      <c r="S199" s="13">
        <v>100</v>
      </c>
      <c r="T199" s="13">
        <f t="shared" si="7"/>
        <v>50</v>
      </c>
      <c r="U199" s="13">
        <f>S199*INDEX(属性投放!$D$28:$D$47,属性偏向!R199)</f>
        <v>1000</v>
      </c>
    </row>
    <row r="200" spans="15:21" ht="16.5" x14ac:dyDescent="0.2">
      <c r="O200" s="13">
        <v>197</v>
      </c>
      <c r="P200" s="13">
        <v>10</v>
      </c>
      <c r="Q200" s="14" t="str">
        <f t="shared" si="6"/>
        <v>S+</v>
      </c>
      <c r="R200" s="13">
        <v>17</v>
      </c>
      <c r="S200" s="13">
        <v>100</v>
      </c>
      <c r="T200" s="13">
        <f t="shared" si="7"/>
        <v>50</v>
      </c>
      <c r="U200" s="13">
        <f>S200*INDEX(属性投放!$D$28:$D$47,属性偏向!R200)</f>
        <v>1000</v>
      </c>
    </row>
    <row r="201" spans="15:21" ht="16.5" x14ac:dyDescent="0.2">
      <c r="O201" s="13">
        <v>198</v>
      </c>
      <c r="P201" s="13">
        <v>10</v>
      </c>
      <c r="Q201" s="14" t="str">
        <f t="shared" si="6"/>
        <v>S+</v>
      </c>
      <c r="R201" s="13">
        <v>18</v>
      </c>
      <c r="S201" s="13">
        <v>100</v>
      </c>
      <c r="T201" s="13">
        <f t="shared" si="7"/>
        <v>50</v>
      </c>
      <c r="U201" s="13">
        <f>S201*INDEX(属性投放!$D$28:$D$47,属性偏向!R201)</f>
        <v>1000</v>
      </c>
    </row>
    <row r="202" spans="15:21" ht="16.5" x14ac:dyDescent="0.2">
      <c r="O202" s="13">
        <v>199</v>
      </c>
      <c r="P202" s="13">
        <v>10</v>
      </c>
      <c r="Q202" s="14" t="str">
        <f t="shared" si="6"/>
        <v>S+</v>
      </c>
      <c r="R202" s="13">
        <v>19</v>
      </c>
      <c r="S202" s="13">
        <v>150</v>
      </c>
      <c r="T202" s="13">
        <f t="shared" si="7"/>
        <v>75</v>
      </c>
      <c r="U202" s="13">
        <f>S202*INDEX(属性投放!$D$28:$D$47,属性偏向!R202)</f>
        <v>1500</v>
      </c>
    </row>
    <row r="203" spans="15:21" ht="16.5" x14ac:dyDescent="0.2">
      <c r="O203" s="13">
        <v>200</v>
      </c>
      <c r="P203" s="13">
        <v>10</v>
      </c>
      <c r="Q203" s="14" t="str">
        <f t="shared" si="6"/>
        <v>S+</v>
      </c>
      <c r="R203" s="13">
        <v>20</v>
      </c>
      <c r="S203" s="13">
        <v>150</v>
      </c>
      <c r="T203" s="13">
        <f t="shared" si="7"/>
        <v>75</v>
      </c>
      <c r="U203" s="13">
        <f>S203*INDEX(属性投放!$D$28:$D$47,属性偏向!R203)</f>
        <v>1500</v>
      </c>
    </row>
    <row r="204" spans="15:21" ht="16.5" x14ac:dyDescent="0.2">
      <c r="O204" s="13">
        <v>201</v>
      </c>
      <c r="P204" s="13">
        <v>11</v>
      </c>
      <c r="Q204" s="14" t="str">
        <f t="shared" si="6"/>
        <v>SS</v>
      </c>
      <c r="R204" s="13">
        <v>1</v>
      </c>
      <c r="S204" s="13">
        <v>25</v>
      </c>
      <c r="T204" s="13">
        <f t="shared" si="7"/>
        <v>13</v>
      </c>
      <c r="U204" s="13">
        <f>S204*INDEX(属性投放!$D$28:$D$47,属性偏向!R204)</f>
        <v>150</v>
      </c>
    </row>
    <row r="205" spans="15:21" ht="16.5" x14ac:dyDescent="0.2">
      <c r="O205" s="13">
        <v>202</v>
      </c>
      <c r="P205" s="13">
        <v>11</v>
      </c>
      <c r="Q205" s="14" t="str">
        <f t="shared" si="6"/>
        <v>SS</v>
      </c>
      <c r="R205" s="13">
        <v>2</v>
      </c>
      <c r="S205" s="13">
        <v>30</v>
      </c>
      <c r="T205" s="13">
        <f t="shared" si="7"/>
        <v>15</v>
      </c>
      <c r="U205" s="13">
        <f>S205*INDEX(属性投放!$D$28:$D$47,属性偏向!R205)</f>
        <v>180</v>
      </c>
    </row>
    <row r="206" spans="15:21" ht="16.5" x14ac:dyDescent="0.2">
      <c r="O206" s="13">
        <v>203</v>
      </c>
      <c r="P206" s="13">
        <v>11</v>
      </c>
      <c r="Q206" s="14" t="str">
        <f t="shared" si="6"/>
        <v>SS</v>
      </c>
      <c r="R206" s="13">
        <v>3</v>
      </c>
      <c r="S206" s="13">
        <v>30</v>
      </c>
      <c r="T206" s="13">
        <f t="shared" si="7"/>
        <v>15</v>
      </c>
      <c r="U206" s="13">
        <f>S206*INDEX(属性投放!$D$28:$D$47,属性偏向!R206)</f>
        <v>180</v>
      </c>
    </row>
    <row r="207" spans="15:21" ht="16.5" x14ac:dyDescent="0.2">
      <c r="O207" s="13">
        <v>204</v>
      </c>
      <c r="P207" s="13">
        <v>11</v>
      </c>
      <c r="Q207" s="14" t="str">
        <f t="shared" si="6"/>
        <v>SS</v>
      </c>
      <c r="R207" s="13">
        <v>4</v>
      </c>
      <c r="S207" s="13">
        <v>40</v>
      </c>
      <c r="T207" s="13">
        <f t="shared" si="7"/>
        <v>20</v>
      </c>
      <c r="U207" s="13">
        <f>S207*INDEX(属性投放!$D$28:$D$47,属性偏向!R207)</f>
        <v>280</v>
      </c>
    </row>
    <row r="208" spans="15:21" ht="16.5" x14ac:dyDescent="0.2">
      <c r="O208" s="13">
        <v>205</v>
      </c>
      <c r="P208" s="13">
        <v>11</v>
      </c>
      <c r="Q208" s="14" t="str">
        <f t="shared" si="6"/>
        <v>SS</v>
      </c>
      <c r="R208" s="13">
        <v>5</v>
      </c>
      <c r="S208" s="13">
        <v>40</v>
      </c>
      <c r="T208" s="13">
        <f t="shared" si="7"/>
        <v>20</v>
      </c>
      <c r="U208" s="13">
        <f>S208*INDEX(属性投放!$D$28:$D$47,属性偏向!R208)</f>
        <v>280</v>
      </c>
    </row>
    <row r="209" spans="15:21" ht="16.5" x14ac:dyDescent="0.2">
      <c r="O209" s="13">
        <v>206</v>
      </c>
      <c r="P209" s="13">
        <v>11</v>
      </c>
      <c r="Q209" s="14" t="str">
        <f t="shared" si="6"/>
        <v>SS</v>
      </c>
      <c r="R209" s="13">
        <v>6</v>
      </c>
      <c r="S209" s="13">
        <v>40</v>
      </c>
      <c r="T209" s="13">
        <f t="shared" si="7"/>
        <v>20</v>
      </c>
      <c r="U209" s="13">
        <f>S209*INDEX(属性投放!$D$28:$D$47,属性偏向!R209)</f>
        <v>280</v>
      </c>
    </row>
    <row r="210" spans="15:21" ht="16.5" x14ac:dyDescent="0.2">
      <c r="O210" s="13">
        <v>207</v>
      </c>
      <c r="P210" s="13">
        <v>11</v>
      </c>
      <c r="Q210" s="14" t="str">
        <f t="shared" si="6"/>
        <v>SS</v>
      </c>
      <c r="R210" s="13">
        <v>7</v>
      </c>
      <c r="S210" s="13">
        <v>50</v>
      </c>
      <c r="T210" s="13">
        <f t="shared" si="7"/>
        <v>25</v>
      </c>
      <c r="U210" s="13">
        <f>S210*INDEX(属性投放!$D$28:$D$47,属性偏向!R210)</f>
        <v>400</v>
      </c>
    </row>
    <row r="211" spans="15:21" ht="16.5" x14ac:dyDescent="0.2">
      <c r="O211" s="13">
        <v>208</v>
      </c>
      <c r="P211" s="13">
        <v>11</v>
      </c>
      <c r="Q211" s="14" t="str">
        <f t="shared" si="6"/>
        <v>SS</v>
      </c>
      <c r="R211" s="13">
        <v>8</v>
      </c>
      <c r="S211" s="13">
        <v>50</v>
      </c>
      <c r="T211" s="13">
        <f t="shared" si="7"/>
        <v>25</v>
      </c>
      <c r="U211" s="13">
        <f>S211*INDEX(属性投放!$D$28:$D$47,属性偏向!R211)</f>
        <v>400</v>
      </c>
    </row>
    <row r="212" spans="15:21" ht="16.5" x14ac:dyDescent="0.2">
      <c r="O212" s="13">
        <v>209</v>
      </c>
      <c r="P212" s="13">
        <v>11</v>
      </c>
      <c r="Q212" s="14" t="str">
        <f t="shared" si="6"/>
        <v>SS</v>
      </c>
      <c r="R212" s="13">
        <v>9</v>
      </c>
      <c r="S212" s="13">
        <v>50</v>
      </c>
      <c r="T212" s="13">
        <f t="shared" si="7"/>
        <v>25</v>
      </c>
      <c r="U212" s="13">
        <f>S212*INDEX(属性投放!$D$28:$D$47,属性偏向!R212)</f>
        <v>400</v>
      </c>
    </row>
    <row r="213" spans="15:21" ht="16.5" x14ac:dyDescent="0.2">
      <c r="O213" s="13">
        <v>210</v>
      </c>
      <c r="P213" s="13">
        <v>11</v>
      </c>
      <c r="Q213" s="14" t="str">
        <f t="shared" si="6"/>
        <v>SS</v>
      </c>
      <c r="R213" s="13">
        <v>10</v>
      </c>
      <c r="S213" s="13">
        <v>75</v>
      </c>
      <c r="T213" s="13">
        <f t="shared" si="7"/>
        <v>38</v>
      </c>
      <c r="U213" s="13">
        <f>S213*INDEX(属性投放!$D$28:$D$47,属性偏向!R213)</f>
        <v>675</v>
      </c>
    </row>
    <row r="214" spans="15:21" ht="16.5" x14ac:dyDescent="0.2">
      <c r="O214" s="13">
        <v>211</v>
      </c>
      <c r="P214" s="13">
        <v>11</v>
      </c>
      <c r="Q214" s="14" t="str">
        <f t="shared" si="6"/>
        <v>SS</v>
      </c>
      <c r="R214" s="13">
        <v>11</v>
      </c>
      <c r="S214" s="13">
        <v>75</v>
      </c>
      <c r="T214" s="13">
        <f t="shared" si="7"/>
        <v>38</v>
      </c>
      <c r="U214" s="13">
        <f>S214*INDEX(属性投放!$D$28:$D$47,属性偏向!R214)</f>
        <v>675</v>
      </c>
    </row>
    <row r="215" spans="15:21" ht="16.5" x14ac:dyDescent="0.2">
      <c r="O215" s="13">
        <v>212</v>
      </c>
      <c r="P215" s="13">
        <v>11</v>
      </c>
      <c r="Q215" s="14" t="str">
        <f t="shared" si="6"/>
        <v>SS</v>
      </c>
      <c r="R215" s="13">
        <v>12</v>
      </c>
      <c r="S215" s="13">
        <v>75</v>
      </c>
      <c r="T215" s="13">
        <f t="shared" si="7"/>
        <v>38</v>
      </c>
      <c r="U215" s="13">
        <f>S215*INDEX(属性投放!$D$28:$D$47,属性偏向!R215)</f>
        <v>675</v>
      </c>
    </row>
    <row r="216" spans="15:21" ht="16.5" x14ac:dyDescent="0.2">
      <c r="O216" s="13">
        <v>213</v>
      </c>
      <c r="P216" s="13">
        <v>11</v>
      </c>
      <c r="Q216" s="14" t="str">
        <f t="shared" si="6"/>
        <v>SS</v>
      </c>
      <c r="R216" s="13">
        <v>13</v>
      </c>
      <c r="S216" s="13">
        <v>100</v>
      </c>
      <c r="T216" s="13">
        <f t="shared" si="7"/>
        <v>50</v>
      </c>
      <c r="U216" s="13">
        <f>S216*INDEX(属性投放!$D$28:$D$47,属性偏向!R216)</f>
        <v>1000</v>
      </c>
    </row>
    <row r="217" spans="15:21" ht="16.5" x14ac:dyDescent="0.2">
      <c r="O217" s="13">
        <v>214</v>
      </c>
      <c r="P217" s="13">
        <v>11</v>
      </c>
      <c r="Q217" s="14" t="str">
        <f t="shared" si="6"/>
        <v>SS</v>
      </c>
      <c r="R217" s="13">
        <v>14</v>
      </c>
      <c r="S217" s="13">
        <v>100</v>
      </c>
      <c r="T217" s="13">
        <f t="shared" si="7"/>
        <v>50</v>
      </c>
      <c r="U217" s="13">
        <f>S217*INDEX(属性投放!$D$28:$D$47,属性偏向!R217)</f>
        <v>1000</v>
      </c>
    </row>
    <row r="218" spans="15:21" ht="16.5" x14ac:dyDescent="0.2">
      <c r="O218" s="13">
        <v>215</v>
      </c>
      <c r="P218" s="13">
        <v>11</v>
      </c>
      <c r="Q218" s="14" t="str">
        <f t="shared" si="6"/>
        <v>SS</v>
      </c>
      <c r="R218" s="13">
        <v>15</v>
      </c>
      <c r="S218" s="13">
        <v>100</v>
      </c>
      <c r="T218" s="13">
        <f t="shared" si="7"/>
        <v>50</v>
      </c>
      <c r="U218" s="13">
        <f>S218*INDEX(属性投放!$D$28:$D$47,属性偏向!R218)</f>
        <v>1000</v>
      </c>
    </row>
    <row r="219" spans="15:21" ht="16.5" x14ac:dyDescent="0.2">
      <c r="O219" s="13">
        <v>216</v>
      </c>
      <c r="P219" s="13">
        <v>11</v>
      </c>
      <c r="Q219" s="14" t="str">
        <f t="shared" si="6"/>
        <v>SS</v>
      </c>
      <c r="R219" s="13">
        <v>16</v>
      </c>
      <c r="S219" s="13">
        <v>150</v>
      </c>
      <c r="T219" s="13">
        <f t="shared" si="7"/>
        <v>75</v>
      </c>
      <c r="U219" s="13">
        <f>S219*INDEX(属性投放!$D$28:$D$47,属性偏向!R219)</f>
        <v>1500</v>
      </c>
    </row>
    <row r="220" spans="15:21" ht="16.5" x14ac:dyDescent="0.2">
      <c r="O220" s="13">
        <v>217</v>
      </c>
      <c r="P220" s="13">
        <v>11</v>
      </c>
      <c r="Q220" s="14" t="str">
        <f t="shared" si="6"/>
        <v>SS</v>
      </c>
      <c r="R220" s="13">
        <v>17</v>
      </c>
      <c r="S220" s="13">
        <v>150</v>
      </c>
      <c r="T220" s="13">
        <f t="shared" si="7"/>
        <v>75</v>
      </c>
      <c r="U220" s="13">
        <f>S220*INDEX(属性投放!$D$28:$D$47,属性偏向!R220)</f>
        <v>1500</v>
      </c>
    </row>
    <row r="221" spans="15:21" ht="16.5" x14ac:dyDescent="0.2">
      <c r="O221" s="13">
        <v>218</v>
      </c>
      <c r="P221" s="13">
        <v>11</v>
      </c>
      <c r="Q221" s="14" t="str">
        <f t="shared" si="6"/>
        <v>SS</v>
      </c>
      <c r="R221" s="13">
        <v>18</v>
      </c>
      <c r="S221" s="13">
        <v>150</v>
      </c>
      <c r="T221" s="13">
        <f t="shared" si="7"/>
        <v>75</v>
      </c>
      <c r="U221" s="13">
        <f>S221*INDEX(属性投放!$D$28:$D$47,属性偏向!R221)</f>
        <v>1500</v>
      </c>
    </row>
    <row r="222" spans="15:21" ht="16.5" x14ac:dyDescent="0.2">
      <c r="O222" s="13">
        <v>219</v>
      </c>
      <c r="P222" s="13">
        <v>11</v>
      </c>
      <c r="Q222" s="14" t="str">
        <f t="shared" si="6"/>
        <v>SS</v>
      </c>
      <c r="R222" s="13">
        <v>19</v>
      </c>
      <c r="S222" s="13">
        <v>200</v>
      </c>
      <c r="T222" s="13">
        <f t="shared" si="7"/>
        <v>100</v>
      </c>
      <c r="U222" s="13">
        <f>S222*INDEX(属性投放!$D$28:$D$47,属性偏向!R222)</f>
        <v>2000</v>
      </c>
    </row>
    <row r="223" spans="15:21" ht="16.5" x14ac:dyDescent="0.2">
      <c r="O223" s="13">
        <v>220</v>
      </c>
      <c r="P223" s="13">
        <v>11</v>
      </c>
      <c r="Q223" s="14" t="str">
        <f t="shared" si="6"/>
        <v>SS</v>
      </c>
      <c r="R223" s="13">
        <v>20</v>
      </c>
      <c r="S223" s="13">
        <v>200</v>
      </c>
      <c r="T223" s="13">
        <f t="shared" si="7"/>
        <v>100</v>
      </c>
      <c r="U223" s="13">
        <f>S223*INDEX(属性投放!$D$28:$D$47,属性偏向!R223)</f>
        <v>2000</v>
      </c>
    </row>
    <row r="224" spans="15:21" ht="16.5" x14ac:dyDescent="0.2">
      <c r="O224" s="13">
        <v>221</v>
      </c>
      <c r="P224" s="13">
        <v>12</v>
      </c>
      <c r="Q224" s="14" t="str">
        <f t="shared" si="6"/>
        <v>SS+</v>
      </c>
      <c r="R224" s="13">
        <v>1</v>
      </c>
      <c r="S224" s="13">
        <v>30</v>
      </c>
      <c r="T224" s="13">
        <f t="shared" si="7"/>
        <v>15</v>
      </c>
      <c r="U224" s="13">
        <f>S224*INDEX(属性投放!$D$28:$D$47,属性偏向!R224)</f>
        <v>180</v>
      </c>
    </row>
    <row r="225" spans="15:21" ht="16.5" x14ac:dyDescent="0.2">
      <c r="O225" s="13">
        <v>222</v>
      </c>
      <c r="P225" s="13">
        <v>12</v>
      </c>
      <c r="Q225" s="14" t="str">
        <f t="shared" si="6"/>
        <v>SS+</v>
      </c>
      <c r="R225" s="13">
        <v>2</v>
      </c>
      <c r="S225" s="13">
        <v>40</v>
      </c>
      <c r="T225" s="13">
        <f t="shared" si="7"/>
        <v>20</v>
      </c>
      <c r="U225" s="13">
        <f>S225*INDEX(属性投放!$D$28:$D$47,属性偏向!R225)</f>
        <v>240</v>
      </c>
    </row>
    <row r="226" spans="15:21" ht="16.5" x14ac:dyDescent="0.2">
      <c r="O226" s="13">
        <v>223</v>
      </c>
      <c r="P226" s="13">
        <v>12</v>
      </c>
      <c r="Q226" s="14" t="str">
        <f t="shared" si="6"/>
        <v>SS+</v>
      </c>
      <c r="R226" s="13">
        <v>3</v>
      </c>
      <c r="S226" s="13">
        <v>40</v>
      </c>
      <c r="T226" s="13">
        <f t="shared" si="7"/>
        <v>20</v>
      </c>
      <c r="U226" s="13">
        <f>S226*INDEX(属性投放!$D$28:$D$47,属性偏向!R226)</f>
        <v>240</v>
      </c>
    </row>
    <row r="227" spans="15:21" ht="16.5" x14ac:dyDescent="0.2">
      <c r="O227" s="13">
        <v>224</v>
      </c>
      <c r="P227" s="13">
        <v>12</v>
      </c>
      <c r="Q227" s="14" t="str">
        <f t="shared" si="6"/>
        <v>SS+</v>
      </c>
      <c r="R227" s="13">
        <v>4</v>
      </c>
      <c r="S227" s="13">
        <v>50</v>
      </c>
      <c r="T227" s="13">
        <f t="shared" si="7"/>
        <v>25</v>
      </c>
      <c r="U227" s="13">
        <f>S227*INDEX(属性投放!$D$28:$D$47,属性偏向!R227)</f>
        <v>350</v>
      </c>
    </row>
    <row r="228" spans="15:21" ht="16.5" x14ac:dyDescent="0.2">
      <c r="O228" s="13">
        <v>225</v>
      </c>
      <c r="P228" s="13">
        <v>12</v>
      </c>
      <c r="Q228" s="14" t="str">
        <f t="shared" si="6"/>
        <v>SS+</v>
      </c>
      <c r="R228" s="13">
        <v>5</v>
      </c>
      <c r="S228" s="13">
        <v>50</v>
      </c>
      <c r="T228" s="13">
        <f t="shared" si="7"/>
        <v>25</v>
      </c>
      <c r="U228" s="13">
        <f>S228*INDEX(属性投放!$D$28:$D$47,属性偏向!R228)</f>
        <v>350</v>
      </c>
    </row>
    <row r="229" spans="15:21" ht="16.5" x14ac:dyDescent="0.2">
      <c r="O229" s="13">
        <v>226</v>
      </c>
      <c r="P229" s="13">
        <v>12</v>
      </c>
      <c r="Q229" s="14" t="str">
        <f t="shared" si="6"/>
        <v>SS+</v>
      </c>
      <c r="R229" s="13">
        <v>6</v>
      </c>
      <c r="S229" s="13">
        <v>50</v>
      </c>
      <c r="T229" s="13">
        <f t="shared" si="7"/>
        <v>25</v>
      </c>
      <c r="U229" s="13">
        <f>S229*INDEX(属性投放!$D$28:$D$47,属性偏向!R229)</f>
        <v>350</v>
      </c>
    </row>
    <row r="230" spans="15:21" ht="16.5" x14ac:dyDescent="0.2">
      <c r="O230" s="13">
        <v>227</v>
      </c>
      <c r="P230" s="13">
        <v>12</v>
      </c>
      <c r="Q230" s="14" t="str">
        <f t="shared" si="6"/>
        <v>SS+</v>
      </c>
      <c r="R230" s="13">
        <v>7</v>
      </c>
      <c r="S230" s="13">
        <v>75</v>
      </c>
      <c r="T230" s="13">
        <f t="shared" si="7"/>
        <v>38</v>
      </c>
      <c r="U230" s="13">
        <f>S230*INDEX(属性投放!$D$28:$D$47,属性偏向!R230)</f>
        <v>600</v>
      </c>
    </row>
    <row r="231" spans="15:21" ht="16.5" x14ac:dyDescent="0.2">
      <c r="O231" s="13">
        <v>228</v>
      </c>
      <c r="P231" s="13">
        <v>12</v>
      </c>
      <c r="Q231" s="14" t="str">
        <f t="shared" si="6"/>
        <v>SS+</v>
      </c>
      <c r="R231" s="13">
        <v>8</v>
      </c>
      <c r="S231" s="13">
        <v>75</v>
      </c>
      <c r="T231" s="13">
        <f t="shared" si="7"/>
        <v>38</v>
      </c>
      <c r="U231" s="13">
        <f>S231*INDEX(属性投放!$D$28:$D$47,属性偏向!R231)</f>
        <v>600</v>
      </c>
    </row>
    <row r="232" spans="15:21" ht="16.5" x14ac:dyDescent="0.2">
      <c r="O232" s="13">
        <v>229</v>
      </c>
      <c r="P232" s="13">
        <v>12</v>
      </c>
      <c r="Q232" s="14" t="str">
        <f t="shared" si="6"/>
        <v>SS+</v>
      </c>
      <c r="R232" s="13">
        <v>9</v>
      </c>
      <c r="S232" s="13">
        <v>75</v>
      </c>
      <c r="T232" s="13">
        <f t="shared" si="7"/>
        <v>38</v>
      </c>
      <c r="U232" s="13">
        <f>S232*INDEX(属性投放!$D$28:$D$47,属性偏向!R232)</f>
        <v>600</v>
      </c>
    </row>
    <row r="233" spans="15:21" ht="16.5" x14ac:dyDescent="0.2">
      <c r="O233" s="13">
        <v>230</v>
      </c>
      <c r="P233" s="13">
        <v>12</v>
      </c>
      <c r="Q233" s="14" t="str">
        <f t="shared" si="6"/>
        <v>SS+</v>
      </c>
      <c r="R233" s="13">
        <v>10</v>
      </c>
      <c r="S233" s="13">
        <v>100</v>
      </c>
      <c r="T233" s="13">
        <f t="shared" si="7"/>
        <v>50</v>
      </c>
      <c r="U233" s="13">
        <f>S233*INDEX(属性投放!$D$28:$D$47,属性偏向!R233)</f>
        <v>900</v>
      </c>
    </row>
    <row r="234" spans="15:21" ht="16.5" x14ac:dyDescent="0.2">
      <c r="O234" s="13">
        <v>231</v>
      </c>
      <c r="P234" s="13">
        <v>12</v>
      </c>
      <c r="Q234" s="14" t="str">
        <f t="shared" si="6"/>
        <v>SS+</v>
      </c>
      <c r="R234" s="13">
        <v>11</v>
      </c>
      <c r="S234" s="13">
        <v>100</v>
      </c>
      <c r="T234" s="13">
        <f t="shared" si="7"/>
        <v>50</v>
      </c>
      <c r="U234" s="13">
        <f>S234*INDEX(属性投放!$D$28:$D$47,属性偏向!R234)</f>
        <v>900</v>
      </c>
    </row>
    <row r="235" spans="15:21" ht="16.5" x14ac:dyDescent="0.2">
      <c r="O235" s="13">
        <v>232</v>
      </c>
      <c r="P235" s="13">
        <v>12</v>
      </c>
      <c r="Q235" s="14" t="str">
        <f t="shared" si="6"/>
        <v>SS+</v>
      </c>
      <c r="R235" s="13">
        <v>12</v>
      </c>
      <c r="S235" s="13">
        <v>100</v>
      </c>
      <c r="T235" s="13">
        <f t="shared" si="7"/>
        <v>50</v>
      </c>
      <c r="U235" s="13">
        <f>S235*INDEX(属性投放!$D$28:$D$47,属性偏向!R235)</f>
        <v>900</v>
      </c>
    </row>
    <row r="236" spans="15:21" ht="16.5" x14ac:dyDescent="0.2">
      <c r="O236" s="13">
        <v>233</v>
      </c>
      <c r="P236" s="13">
        <v>12</v>
      </c>
      <c r="Q236" s="14" t="str">
        <f t="shared" si="6"/>
        <v>SS+</v>
      </c>
      <c r="R236" s="13">
        <v>13</v>
      </c>
      <c r="S236" s="13">
        <v>150</v>
      </c>
      <c r="T236" s="13">
        <f t="shared" si="7"/>
        <v>75</v>
      </c>
      <c r="U236" s="13">
        <f>S236*INDEX(属性投放!$D$28:$D$47,属性偏向!R236)</f>
        <v>1500</v>
      </c>
    </row>
    <row r="237" spans="15:21" ht="16.5" x14ac:dyDescent="0.2">
      <c r="O237" s="13">
        <v>234</v>
      </c>
      <c r="P237" s="13">
        <v>12</v>
      </c>
      <c r="Q237" s="14" t="str">
        <f t="shared" si="6"/>
        <v>SS+</v>
      </c>
      <c r="R237" s="13">
        <v>14</v>
      </c>
      <c r="S237" s="13">
        <v>150</v>
      </c>
      <c r="T237" s="13">
        <f t="shared" si="7"/>
        <v>75</v>
      </c>
      <c r="U237" s="13">
        <f>S237*INDEX(属性投放!$D$28:$D$47,属性偏向!R237)</f>
        <v>1500</v>
      </c>
    </row>
    <row r="238" spans="15:21" ht="16.5" x14ac:dyDescent="0.2">
      <c r="O238" s="13">
        <v>235</v>
      </c>
      <c r="P238" s="13">
        <v>12</v>
      </c>
      <c r="Q238" s="14" t="str">
        <f t="shared" si="6"/>
        <v>SS+</v>
      </c>
      <c r="R238" s="13">
        <v>15</v>
      </c>
      <c r="S238" s="13">
        <v>150</v>
      </c>
      <c r="T238" s="13">
        <f t="shared" si="7"/>
        <v>75</v>
      </c>
      <c r="U238" s="13">
        <f>S238*INDEX(属性投放!$D$28:$D$47,属性偏向!R238)</f>
        <v>1500</v>
      </c>
    </row>
    <row r="239" spans="15:21" ht="16.5" x14ac:dyDescent="0.2">
      <c r="O239" s="13">
        <v>236</v>
      </c>
      <c r="P239" s="13">
        <v>12</v>
      </c>
      <c r="Q239" s="14" t="str">
        <f t="shared" si="6"/>
        <v>SS+</v>
      </c>
      <c r="R239" s="13">
        <v>16</v>
      </c>
      <c r="S239" s="13">
        <v>200</v>
      </c>
      <c r="T239" s="13">
        <f t="shared" si="7"/>
        <v>100</v>
      </c>
      <c r="U239" s="13">
        <f>S239*INDEX(属性投放!$D$28:$D$47,属性偏向!R239)</f>
        <v>2000</v>
      </c>
    </row>
    <row r="240" spans="15:21" ht="16.5" x14ac:dyDescent="0.2">
      <c r="O240" s="13">
        <v>237</v>
      </c>
      <c r="P240" s="13">
        <v>12</v>
      </c>
      <c r="Q240" s="14" t="str">
        <f t="shared" si="6"/>
        <v>SS+</v>
      </c>
      <c r="R240" s="13">
        <v>17</v>
      </c>
      <c r="S240" s="13">
        <v>200</v>
      </c>
      <c r="T240" s="13">
        <f t="shared" si="7"/>
        <v>100</v>
      </c>
      <c r="U240" s="13">
        <f>S240*INDEX(属性投放!$D$28:$D$47,属性偏向!R240)</f>
        <v>2000</v>
      </c>
    </row>
    <row r="241" spans="15:21" ht="16.5" x14ac:dyDescent="0.2">
      <c r="O241" s="13">
        <v>238</v>
      </c>
      <c r="P241" s="13">
        <v>12</v>
      </c>
      <c r="Q241" s="14" t="str">
        <f t="shared" si="6"/>
        <v>SS+</v>
      </c>
      <c r="R241" s="13">
        <v>18</v>
      </c>
      <c r="S241" s="13">
        <v>200</v>
      </c>
      <c r="T241" s="13">
        <f t="shared" si="7"/>
        <v>100</v>
      </c>
      <c r="U241" s="13">
        <f>S241*INDEX(属性投放!$D$28:$D$47,属性偏向!R241)</f>
        <v>2000</v>
      </c>
    </row>
    <row r="242" spans="15:21" ht="16.5" x14ac:dyDescent="0.2">
      <c r="O242" s="13">
        <v>239</v>
      </c>
      <c r="P242" s="13">
        <v>12</v>
      </c>
      <c r="Q242" s="14" t="str">
        <f t="shared" si="6"/>
        <v>SS+</v>
      </c>
      <c r="R242" s="13">
        <v>19</v>
      </c>
      <c r="S242" s="13">
        <v>300</v>
      </c>
      <c r="T242" s="13">
        <f t="shared" si="7"/>
        <v>150</v>
      </c>
      <c r="U242" s="13">
        <f>S242*INDEX(属性投放!$D$28:$D$47,属性偏向!R242)</f>
        <v>3000</v>
      </c>
    </row>
    <row r="243" spans="15:21" ht="16.5" x14ac:dyDescent="0.2">
      <c r="O243" s="13">
        <v>240</v>
      </c>
      <c r="P243" s="13">
        <v>12</v>
      </c>
      <c r="Q243" s="14" t="str">
        <f t="shared" si="6"/>
        <v>SS+</v>
      </c>
      <c r="R243" s="13">
        <v>20</v>
      </c>
      <c r="S243" s="13">
        <v>300</v>
      </c>
      <c r="T243" s="13">
        <f t="shared" si="7"/>
        <v>150</v>
      </c>
      <c r="U243" s="13">
        <f>S243*INDEX(属性投放!$D$28:$D$47,属性偏向!R243)</f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K1995"/>
  <sheetViews>
    <sheetView topLeftCell="I4" workbookViewId="0">
      <selection activeCell="Y34" sqref="Y34:AA37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customWidth="1"/>
    <col min="34" max="34" width="9.625" style="30" customWidth="1"/>
    <col min="35" max="35" width="9" style="30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0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0"/>
    <col min="98" max="100" width="9" style="30"/>
    <col min="101" max="101" width="12" customWidth="1"/>
    <col min="102" max="102" width="26.375" style="30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0" customWidth="1"/>
    <col min="109" max="110" width="10.625" customWidth="1"/>
    <col min="111" max="111" width="10.625" style="30" customWidth="1"/>
    <col min="112" max="113" width="10.625" customWidth="1"/>
    <col min="114" max="114" width="10.625" style="30" customWidth="1"/>
    <col min="115" max="116" width="10.625" customWidth="1"/>
    <col min="117" max="117" width="10.625" style="30" customWidth="1"/>
    <col min="120" max="121" width="9" style="30"/>
    <col min="122" max="122" width="13.875" customWidth="1"/>
    <col min="123" max="123" width="22.25" customWidth="1"/>
    <col min="124" max="124" width="10.875" style="30" customWidth="1"/>
    <col min="125" max="125" width="10.375" style="30" customWidth="1"/>
    <col min="126" max="126" width="10" style="30" customWidth="1"/>
    <col min="127" max="127" width="9.875" customWidth="1"/>
    <col min="128" max="128" width="9.625" customWidth="1"/>
    <col min="129" max="130" width="9.625" style="30" customWidth="1"/>
    <col min="131" max="131" width="13.25" style="30" customWidth="1"/>
    <col min="132" max="132" width="10.75" style="30" customWidth="1"/>
    <col min="133" max="133" width="12.25" style="30" customWidth="1"/>
    <col min="134" max="144" width="10.625" customWidth="1"/>
    <col min="145" max="148" width="10.625" style="30" customWidth="1"/>
    <col min="153" max="153" width="10.5" customWidth="1"/>
    <col min="154" max="163" width="10.625" customWidth="1"/>
    <col min="164" max="164" width="10.5" style="30" customWidth="1"/>
    <col min="165" max="168" width="10.625" style="30" customWidth="1"/>
    <col min="169" max="169" width="11.625" style="30" customWidth="1"/>
    <col min="170" max="173" width="10.625" style="30" customWidth="1"/>
    <col min="174" max="174" width="11.625" style="30" customWidth="1"/>
    <col min="175" max="178" width="10.625" style="30" customWidth="1"/>
    <col min="183" max="183" width="9" style="30"/>
    <col min="184" max="184" width="13.875" customWidth="1"/>
    <col min="185" max="185" width="10.75" style="30" customWidth="1"/>
    <col min="186" max="186" width="9.75" customWidth="1"/>
    <col min="187" max="187" width="13.875" style="30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0" customWidth="1"/>
    <col min="201" max="201" width="19.375" customWidth="1"/>
    <col min="202" max="202" width="9.625" bestFit="1" customWidth="1"/>
    <col min="203" max="203" width="9.25" customWidth="1"/>
    <col min="209" max="209" width="9" style="30" customWidth="1"/>
    <col min="210" max="215" width="9" style="30"/>
    <col min="216" max="221" width="9" style="30" customWidth="1"/>
    <col min="222" max="238" width="9" style="30" hidden="1" customWidth="1"/>
    <col min="239" max="241" width="9" style="30" customWidth="1"/>
    <col min="242" max="243" width="9" hidden="1" customWidth="1"/>
    <col min="244" max="244" width="10.25" hidden="1" customWidth="1"/>
    <col min="246" max="248" width="12.125" hidden="1" customWidth="1"/>
    <col min="249" max="249" width="12.125" style="30" customWidth="1"/>
    <col min="250" max="251" width="10.25" style="30" customWidth="1"/>
    <col min="258" max="258" width="12.875" customWidth="1"/>
    <col min="267" max="267" width="9" style="30"/>
  </cols>
  <sheetData>
    <row r="2" spans="1:271" ht="16.5" x14ac:dyDescent="0.2">
      <c r="HC2" s="15" t="s">
        <v>919</v>
      </c>
      <c r="HD2" s="13" t="s">
        <v>95</v>
      </c>
      <c r="HE2" s="15" t="s">
        <v>920</v>
      </c>
      <c r="HF2" s="13">
        <f>MATCH(HD2,守护灵,0)</f>
        <v>3</v>
      </c>
      <c r="HG2" s="15" t="s">
        <v>899</v>
      </c>
      <c r="HH2" s="13">
        <v>1</v>
      </c>
      <c r="HI2" s="15" t="s">
        <v>900</v>
      </c>
      <c r="HJ2" s="13" t="s">
        <v>904</v>
      </c>
      <c r="IE2" s="30">
        <v>10</v>
      </c>
      <c r="IF2" s="30">
        <v>20</v>
      </c>
      <c r="IG2" s="30">
        <v>1</v>
      </c>
      <c r="IW2" s="15" t="s">
        <v>678</v>
      </c>
      <c r="IX2" s="13" t="s">
        <v>80</v>
      </c>
      <c r="IY2" s="15" t="s">
        <v>207</v>
      </c>
      <c r="IZ2" s="13">
        <f>MATCH(IX2,寄灵人,0)</f>
        <v>2</v>
      </c>
      <c r="JA2" s="15" t="s">
        <v>826</v>
      </c>
      <c r="JB2" s="13">
        <v>1</v>
      </c>
      <c r="JC2" s="15" t="s">
        <v>900</v>
      </c>
      <c r="JD2" s="13" t="s">
        <v>904</v>
      </c>
    </row>
    <row r="3" spans="1:271" s="30" customFormat="1" ht="20.25" x14ac:dyDescent="0.2">
      <c r="AE3" s="71" t="s">
        <v>511</v>
      </c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W3" s="71" t="s">
        <v>512</v>
      </c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S3" s="71" t="s">
        <v>544</v>
      </c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2" t="s">
        <v>641</v>
      </c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N3" s="71" t="s">
        <v>642</v>
      </c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HC3" s="71" t="s">
        <v>1398</v>
      </c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JH3" s="30">
        <v>5</v>
      </c>
      <c r="JI3" s="30">
        <v>10</v>
      </c>
      <c r="JJ3" s="30">
        <v>1</v>
      </c>
    </row>
    <row r="4" spans="1:271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205</v>
      </c>
      <c r="F4" s="12" t="s">
        <v>206</v>
      </c>
      <c r="G4" s="12" t="s">
        <v>584</v>
      </c>
      <c r="H4" s="12" t="s">
        <v>585</v>
      </c>
      <c r="I4" s="12" t="s">
        <v>586</v>
      </c>
      <c r="J4" s="12" t="s">
        <v>581</v>
      </c>
      <c r="K4" s="12" t="s">
        <v>582</v>
      </c>
      <c r="L4" s="12" t="s">
        <v>583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205</v>
      </c>
      <c r="S4" s="12" t="s">
        <v>514</v>
      </c>
      <c r="T4" s="12" t="s">
        <v>513</v>
      </c>
      <c r="U4" s="12" t="s">
        <v>515</v>
      </c>
      <c r="V4" s="12" t="s">
        <v>584</v>
      </c>
      <c r="W4" s="12" t="s">
        <v>585</v>
      </c>
      <c r="X4" s="12" t="s">
        <v>586</v>
      </c>
      <c r="Y4" s="12" t="s">
        <v>581</v>
      </c>
      <c r="Z4" s="12" t="s">
        <v>582</v>
      </c>
      <c r="AA4" s="12" t="s">
        <v>583</v>
      </c>
      <c r="AB4" s="37" t="s">
        <v>838</v>
      </c>
      <c r="AC4" s="30"/>
      <c r="AD4" s="30"/>
      <c r="AE4" s="12" t="s">
        <v>115</v>
      </c>
      <c r="AF4" s="12" t="s">
        <v>207</v>
      </c>
      <c r="AG4" s="12" t="s">
        <v>248</v>
      </c>
      <c r="AH4" s="12" t="s">
        <v>1399</v>
      </c>
      <c r="AI4" s="12" t="s">
        <v>1400</v>
      </c>
      <c r="AJ4" s="12" t="s">
        <v>78</v>
      </c>
      <c r="AK4" s="12" t="s">
        <v>247</v>
      </c>
      <c r="AL4" s="12" t="s">
        <v>141</v>
      </c>
      <c r="AM4" s="12" t="s">
        <v>140</v>
      </c>
      <c r="AN4" s="12" t="s">
        <v>114</v>
      </c>
      <c r="AO4" s="12" t="s">
        <v>587</v>
      </c>
      <c r="AP4" s="12" t="s">
        <v>588</v>
      </c>
      <c r="AQ4" s="12" t="s">
        <v>589</v>
      </c>
      <c r="AR4" s="12" t="s">
        <v>590</v>
      </c>
      <c r="AS4" s="12" t="s">
        <v>591</v>
      </c>
      <c r="AT4" s="12" t="s">
        <v>592</v>
      </c>
      <c r="AU4" s="12" t="s">
        <v>593</v>
      </c>
      <c r="AV4" s="12" t="s">
        <v>594</v>
      </c>
      <c r="AW4" s="12" t="s">
        <v>595</v>
      </c>
      <c r="AX4" s="12" t="s">
        <v>596</v>
      </c>
      <c r="AY4" s="12" t="s">
        <v>597</v>
      </c>
      <c r="AZ4" s="12" t="s">
        <v>619</v>
      </c>
      <c r="BA4" s="12" t="s">
        <v>620</v>
      </c>
      <c r="BB4" s="12" t="s">
        <v>621</v>
      </c>
      <c r="BC4" s="12" t="s">
        <v>622</v>
      </c>
      <c r="BD4" s="12" t="s">
        <v>618</v>
      </c>
      <c r="BE4" s="12" t="s">
        <v>598</v>
      </c>
      <c r="BF4" s="12" t="s">
        <v>599</v>
      </c>
      <c r="BG4" s="12" t="s">
        <v>600</v>
      </c>
      <c r="BH4" s="12" t="s">
        <v>601</v>
      </c>
      <c r="BI4" s="12" t="s">
        <v>602</v>
      </c>
      <c r="BJ4" s="12" t="s">
        <v>603</v>
      </c>
      <c r="BK4" s="12" t="s">
        <v>604</v>
      </c>
      <c r="BL4" s="12" t="s">
        <v>605</v>
      </c>
      <c r="BM4" s="12" t="s">
        <v>606</v>
      </c>
      <c r="BN4" s="12" t="s">
        <v>607</v>
      </c>
      <c r="BO4" s="12" t="s">
        <v>623</v>
      </c>
      <c r="BP4" s="12" t="s">
        <v>624</v>
      </c>
      <c r="BQ4" s="12" t="s">
        <v>625</v>
      </c>
      <c r="BR4" s="12" t="s">
        <v>626</v>
      </c>
      <c r="BS4" s="30"/>
      <c r="BT4" s="30"/>
      <c r="BU4" s="30"/>
      <c r="BW4" s="12" t="s">
        <v>115</v>
      </c>
      <c r="BX4" s="12" t="s">
        <v>207</v>
      </c>
      <c r="BY4" s="12" t="s">
        <v>248</v>
      </c>
      <c r="BZ4" s="12" t="s">
        <v>78</v>
      </c>
      <c r="CA4" s="12" t="s">
        <v>232</v>
      </c>
      <c r="CB4" s="12" t="s">
        <v>141</v>
      </c>
      <c r="CC4" s="12" t="s">
        <v>140</v>
      </c>
      <c r="CD4" s="12" t="s">
        <v>114</v>
      </c>
      <c r="CE4" s="12"/>
      <c r="CF4" s="12" t="s">
        <v>134</v>
      </c>
      <c r="CG4" s="12"/>
      <c r="CH4" s="12" t="s">
        <v>135</v>
      </c>
      <c r="CI4" s="12"/>
      <c r="CJ4" s="12" t="s">
        <v>136</v>
      </c>
      <c r="CK4" s="12"/>
      <c r="CL4" s="12" t="s">
        <v>137</v>
      </c>
      <c r="CM4" s="12"/>
      <c r="CN4" s="12" t="s">
        <v>138</v>
      </c>
      <c r="CO4" s="12"/>
      <c r="CP4" s="12" t="s">
        <v>139</v>
      </c>
      <c r="CR4" s="30"/>
      <c r="CS4" s="12" t="s">
        <v>115</v>
      </c>
      <c r="CT4" s="12" t="s">
        <v>207</v>
      </c>
      <c r="CU4" s="12" t="s">
        <v>536</v>
      </c>
      <c r="CV4" s="12" t="s">
        <v>543</v>
      </c>
      <c r="CW4" s="12" t="s">
        <v>516</v>
      </c>
      <c r="CX4" s="12" t="s">
        <v>541</v>
      </c>
      <c r="CY4" s="12" t="s">
        <v>517</v>
      </c>
      <c r="CZ4" s="12" t="s">
        <v>518</v>
      </c>
      <c r="DA4" s="12" t="s">
        <v>519</v>
      </c>
      <c r="DB4" s="12" t="s">
        <v>520</v>
      </c>
      <c r="DC4" s="12" t="s">
        <v>521</v>
      </c>
      <c r="DD4" s="12" t="s">
        <v>640</v>
      </c>
      <c r="DE4" s="12" t="s">
        <v>522</v>
      </c>
      <c r="DF4" s="12" t="s">
        <v>523</v>
      </c>
      <c r="DG4" s="12" t="s">
        <v>643</v>
      </c>
      <c r="DH4" s="12" t="s">
        <v>524</v>
      </c>
      <c r="DI4" s="12" t="s">
        <v>525</v>
      </c>
      <c r="DJ4" s="12" t="s">
        <v>644</v>
      </c>
      <c r="DK4" s="12" t="s">
        <v>526</v>
      </c>
      <c r="DL4" s="12" t="s">
        <v>527</v>
      </c>
      <c r="DM4" s="12" t="s">
        <v>645</v>
      </c>
      <c r="DP4" s="30"/>
      <c r="DQ4" s="30"/>
      <c r="DR4" s="12" t="s">
        <v>13</v>
      </c>
      <c r="DS4" s="12" t="s">
        <v>232</v>
      </c>
      <c r="DT4" s="12" t="s">
        <v>613</v>
      </c>
      <c r="DU4" s="12" t="s">
        <v>614</v>
      </c>
      <c r="DV4" s="12" t="s">
        <v>615</v>
      </c>
      <c r="DW4" s="12" t="s">
        <v>611</v>
      </c>
      <c r="DX4" s="12" t="s">
        <v>114</v>
      </c>
      <c r="DY4" s="12" t="s">
        <v>612</v>
      </c>
      <c r="DZ4" s="12" t="s">
        <v>628</v>
      </c>
      <c r="EA4" s="12" t="s">
        <v>608</v>
      </c>
      <c r="EB4" s="12" t="s">
        <v>609</v>
      </c>
      <c r="EC4" s="12" t="s">
        <v>610</v>
      </c>
      <c r="ED4" s="12" t="s">
        <v>587</v>
      </c>
      <c r="EE4" s="12" t="s">
        <v>588</v>
      </c>
      <c r="EF4" s="12" t="s">
        <v>589</v>
      </c>
      <c r="EG4" s="12" t="s">
        <v>590</v>
      </c>
      <c r="EH4" s="12" t="s">
        <v>591</v>
      </c>
      <c r="EI4" s="12" t="s">
        <v>592</v>
      </c>
      <c r="EJ4" s="12" t="s">
        <v>593</v>
      </c>
      <c r="EK4" s="12" t="s">
        <v>594</v>
      </c>
      <c r="EL4" s="12" t="s">
        <v>595</v>
      </c>
      <c r="EM4" s="12" t="s">
        <v>596</v>
      </c>
      <c r="EN4" s="12" t="s">
        <v>597</v>
      </c>
      <c r="EO4" s="12" t="s">
        <v>619</v>
      </c>
      <c r="EP4" s="12" t="s">
        <v>620</v>
      </c>
      <c r="EQ4" s="12" t="s">
        <v>621</v>
      </c>
      <c r="ER4" s="12" t="s">
        <v>622</v>
      </c>
      <c r="ES4" s="12" t="s">
        <v>618</v>
      </c>
      <c r="ET4" s="12" t="s">
        <v>598</v>
      </c>
      <c r="EU4" s="12" t="s">
        <v>599</v>
      </c>
      <c r="EV4" s="12" t="s">
        <v>600</v>
      </c>
      <c r="EW4" s="12" t="s">
        <v>601</v>
      </c>
      <c r="EX4" s="12" t="s">
        <v>602</v>
      </c>
      <c r="EY4" s="12" t="s">
        <v>603</v>
      </c>
      <c r="EZ4" s="12" t="s">
        <v>604</v>
      </c>
      <c r="FA4" s="12" t="s">
        <v>605</v>
      </c>
      <c r="FB4" s="12" t="s">
        <v>606</v>
      </c>
      <c r="FC4" s="12" t="s">
        <v>607</v>
      </c>
      <c r="FD4" s="12" t="s">
        <v>623</v>
      </c>
      <c r="FE4" s="12" t="s">
        <v>624</v>
      </c>
      <c r="FF4" s="12" t="s">
        <v>625</v>
      </c>
      <c r="FG4" s="12" t="s">
        <v>626</v>
      </c>
      <c r="FH4" s="12" t="s">
        <v>1217</v>
      </c>
      <c r="FI4" s="12" t="s">
        <v>1218</v>
      </c>
      <c r="FJ4" s="12" t="s">
        <v>1219</v>
      </c>
      <c r="FK4" s="12" t="s">
        <v>1220</v>
      </c>
      <c r="FL4" s="12" t="s">
        <v>1221</v>
      </c>
      <c r="FM4" s="12" t="s">
        <v>1222</v>
      </c>
      <c r="FN4" s="12" t="s">
        <v>1223</v>
      </c>
      <c r="FO4" s="12" t="s">
        <v>1224</v>
      </c>
      <c r="FP4" s="12" t="s">
        <v>1225</v>
      </c>
      <c r="FQ4" s="12" t="s">
        <v>1226</v>
      </c>
      <c r="FR4" s="12" t="s">
        <v>1227</v>
      </c>
      <c r="FS4" s="12" t="s">
        <v>1228</v>
      </c>
      <c r="FT4" s="12" t="s">
        <v>1229</v>
      </c>
      <c r="FU4" s="12" t="s">
        <v>1230</v>
      </c>
      <c r="FV4" s="12" t="s">
        <v>1231</v>
      </c>
      <c r="FZ4" s="12" t="s">
        <v>629</v>
      </c>
      <c r="GA4" s="12" t="s">
        <v>631</v>
      </c>
      <c r="GB4" s="12" t="s">
        <v>630</v>
      </c>
      <c r="GC4" s="12" t="s">
        <v>1186</v>
      </c>
      <c r="GD4" s="12" t="s">
        <v>632</v>
      </c>
      <c r="GE4" s="12" t="s">
        <v>633</v>
      </c>
      <c r="GF4" s="12" t="s">
        <v>634</v>
      </c>
      <c r="GG4" s="12" t="s">
        <v>637</v>
      </c>
      <c r="GH4" s="12" t="s">
        <v>635</v>
      </c>
      <c r="GI4" s="12" t="s">
        <v>638</v>
      </c>
      <c r="GJ4" s="12" t="s">
        <v>636</v>
      </c>
      <c r="GK4" s="12" t="s">
        <v>639</v>
      </c>
      <c r="GN4" s="12" t="s">
        <v>629</v>
      </c>
      <c r="GO4" s="12" t="s">
        <v>207</v>
      </c>
      <c r="GP4" s="12" t="s">
        <v>124</v>
      </c>
      <c r="GQ4" s="12" t="s">
        <v>1186</v>
      </c>
      <c r="GR4" s="12" t="s">
        <v>632</v>
      </c>
      <c r="GS4" s="12" t="s">
        <v>232</v>
      </c>
      <c r="GT4" s="12" t="s">
        <v>634</v>
      </c>
      <c r="GU4" s="12" t="s">
        <v>637</v>
      </c>
      <c r="GV4" s="12" t="s">
        <v>635</v>
      </c>
      <c r="GW4" s="12" t="s">
        <v>638</v>
      </c>
      <c r="GX4" s="12" t="s">
        <v>636</v>
      </c>
      <c r="GY4" s="12" t="s">
        <v>639</v>
      </c>
      <c r="HA4" s="30"/>
      <c r="HB4" s="30"/>
      <c r="HC4" s="12" t="s">
        <v>896</v>
      </c>
      <c r="HD4" s="12" t="s">
        <v>913</v>
      </c>
      <c r="HE4" s="12" t="s">
        <v>914</v>
      </c>
      <c r="HF4" s="12" t="s">
        <v>915</v>
      </c>
      <c r="HG4" s="12" t="s">
        <v>1004</v>
      </c>
      <c r="HH4" s="12" t="s">
        <v>937</v>
      </c>
      <c r="HI4" s="12" t="s">
        <v>938</v>
      </c>
      <c r="HJ4" s="12" t="s">
        <v>939</v>
      </c>
      <c r="HK4" s="12" t="s">
        <v>940</v>
      </c>
      <c r="HL4" s="12" t="s">
        <v>941</v>
      </c>
      <c r="HM4" s="12" t="s">
        <v>942</v>
      </c>
      <c r="HN4" s="12" t="s">
        <v>943</v>
      </c>
      <c r="HO4" s="12" t="s">
        <v>944</v>
      </c>
      <c r="HP4" s="12" t="s">
        <v>945</v>
      </c>
      <c r="HQ4" s="12" t="s">
        <v>955</v>
      </c>
      <c r="HR4" s="12" t="s">
        <v>949</v>
      </c>
      <c r="HS4" s="12" t="s">
        <v>950</v>
      </c>
      <c r="HT4" s="12" t="s">
        <v>956</v>
      </c>
      <c r="HU4" s="12" t="s">
        <v>898</v>
      </c>
      <c r="HV4" s="12" t="s">
        <v>957</v>
      </c>
      <c r="HW4" s="12" t="s">
        <v>958</v>
      </c>
      <c r="HX4" s="12" t="s">
        <v>954</v>
      </c>
      <c r="HY4" s="12" t="s">
        <v>951</v>
      </c>
      <c r="HZ4" s="12" t="s">
        <v>952</v>
      </c>
      <c r="IA4" s="12" t="s">
        <v>953</v>
      </c>
      <c r="IB4" s="12" t="s">
        <v>959</v>
      </c>
      <c r="IC4" s="12" t="s">
        <v>897</v>
      </c>
      <c r="ID4" s="12" t="s">
        <v>960</v>
      </c>
      <c r="IE4" s="12" t="s">
        <v>946</v>
      </c>
      <c r="IF4" s="12" t="s">
        <v>947</v>
      </c>
      <c r="IG4" s="12" t="s">
        <v>948</v>
      </c>
      <c r="IH4" s="37" t="s">
        <v>961</v>
      </c>
      <c r="II4" s="37" t="s">
        <v>962</v>
      </c>
      <c r="IJ4" s="37" t="s">
        <v>963</v>
      </c>
      <c r="IK4" s="37" t="s">
        <v>964</v>
      </c>
      <c r="IL4" s="37" t="s">
        <v>965</v>
      </c>
      <c r="IM4" s="37" t="s">
        <v>966</v>
      </c>
      <c r="IN4" s="37" t="s">
        <v>967</v>
      </c>
      <c r="IO4" s="12" t="s">
        <v>1001</v>
      </c>
      <c r="IP4" s="12" t="s">
        <v>1002</v>
      </c>
      <c r="IQ4" s="12" t="s">
        <v>1003</v>
      </c>
      <c r="IR4" s="12" t="s">
        <v>998</v>
      </c>
      <c r="IS4" s="12" t="s">
        <v>999</v>
      </c>
      <c r="IT4" s="12" t="s">
        <v>1000</v>
      </c>
      <c r="IW4" s="12" t="s">
        <v>123</v>
      </c>
      <c r="IX4" s="12" t="s">
        <v>913</v>
      </c>
      <c r="IY4" s="12" t="s">
        <v>845</v>
      </c>
      <c r="IZ4" s="12" t="s">
        <v>423</v>
      </c>
      <c r="JA4" s="12" t="s">
        <v>937</v>
      </c>
      <c r="JB4" s="12" t="s">
        <v>938</v>
      </c>
      <c r="JC4" s="12" t="s">
        <v>939</v>
      </c>
      <c r="JD4" s="12" t="s">
        <v>940</v>
      </c>
      <c r="JE4" s="12" t="s">
        <v>941</v>
      </c>
      <c r="JF4" s="12" t="s">
        <v>942</v>
      </c>
      <c r="JG4" s="12" t="s">
        <v>1404</v>
      </c>
      <c r="JH4" s="12" t="s">
        <v>710</v>
      </c>
      <c r="JI4" s="12" t="s">
        <v>711</v>
      </c>
      <c r="JJ4" s="12" t="s">
        <v>712</v>
      </c>
      <c r="JK4" s="12" t="s">
        <v>1443</v>
      </c>
    </row>
    <row r="5" spans="1:271" ht="16.5" x14ac:dyDescent="0.2">
      <c r="A5" s="13">
        <v>1101000</v>
      </c>
      <c r="B5" s="13" t="s">
        <v>208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548</v>
      </c>
      <c r="H5" s="13" t="s">
        <v>548</v>
      </c>
      <c r="I5" s="13" t="s">
        <v>548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921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548</v>
      </c>
      <c r="W5" s="13" t="s">
        <v>548</v>
      </c>
      <c r="X5" s="13" t="s">
        <v>548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142</v>
      </c>
      <c r="AM5" s="14">
        <v>1</v>
      </c>
      <c r="AN5" s="14">
        <f t="shared" ref="AN5:AN68" si="5">AE5-INDEX($F$5:$F$43,AF5)</f>
        <v>1</v>
      </c>
      <c r="AO5" s="14">
        <f>INDEX(属性投放!$DF$6:$DF$85,(卡牌属性!AG5-2)*20+卡牌属性!AN5)</f>
        <v>150</v>
      </c>
      <c r="AP5" s="14">
        <f t="shared" ref="AP5:AS24" si="6">$AO5</f>
        <v>150</v>
      </c>
      <c r="AQ5" s="14">
        <f t="shared" si="6"/>
        <v>150</v>
      </c>
      <c r="AR5" s="14">
        <f t="shared" si="6"/>
        <v>150</v>
      </c>
      <c r="AS5" s="14">
        <f t="shared" si="6"/>
        <v>150</v>
      </c>
      <c r="AT5" s="14">
        <f>INDEX(属性投放!$DG$6:$DG$85,(卡牌属性!AG5-2)*20+卡牌属性!AN5)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INDEX(属性投放!$DH$6:$DH$85,(卡牌属性!AG5-2)*20+卡牌属性!AN5)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INDEX(属性投放!$DL$6:$DL$85,(卡牌属性!AG5-2)*20+卡牌属性!AN5)</f>
        <v>8</v>
      </c>
      <c r="BE5" s="14">
        <f t="shared" ref="BE5:BH24" si="9">$BD5</f>
        <v>8</v>
      </c>
      <c r="BF5" s="14">
        <f t="shared" si="9"/>
        <v>8</v>
      </c>
      <c r="BG5" s="14">
        <f t="shared" si="9"/>
        <v>8</v>
      </c>
      <c r="BH5" s="14">
        <f t="shared" si="9"/>
        <v>8</v>
      </c>
      <c r="BI5" s="14">
        <f>INDEX(属性投放!$DM$6:$DM$85,(卡牌属性!AG5-2)*20+卡牌属性!AN5)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INDEX(属性投放!$DN$6:$DN$85,(卡牌属性!AG5-2)*20+卡牌属性!AN5)</f>
        <v>49</v>
      </c>
      <c r="BO5" s="14">
        <f t="shared" ref="BO5:BR24" si="11">$BN5</f>
        <v>49</v>
      </c>
      <c r="BP5" s="14">
        <f t="shared" si="11"/>
        <v>49</v>
      </c>
      <c r="BQ5" s="14">
        <f t="shared" si="11"/>
        <v>49</v>
      </c>
      <c r="BR5" s="14">
        <f t="shared" si="11"/>
        <v>49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>INDEX($N$6:$N$43,BX5)</f>
        <v>1102001</v>
      </c>
      <c r="CA5" s="14" t="str">
        <f>INDEX($O$6:$O$43,BX5)&amp;CD5&amp;"突"</f>
        <v>关羽1突</v>
      </c>
      <c r="CB5" s="25" t="s">
        <v>142</v>
      </c>
      <c r="CC5" s="14">
        <v>2</v>
      </c>
      <c r="CD5" s="14">
        <f t="shared" ref="CD5:CD68" si="14">BW5-INDEX($S$5:$S$43,BX5)</f>
        <v>1</v>
      </c>
      <c r="CE5" s="14" t="s">
        <v>21</v>
      </c>
      <c r="CF5" s="14">
        <f>INDEX(属性投放!$AZ$6:$AZ$85,(BY5-2)*20+CD5)</f>
        <v>300</v>
      </c>
      <c r="CG5" s="14" t="s">
        <v>22</v>
      </c>
      <c r="CH5" s="14">
        <f>INDEX(属性投放!$BA$6:$BA$85,(BY5-2)*20+CD5)</f>
        <v>50</v>
      </c>
      <c r="CI5" s="14" t="s">
        <v>510</v>
      </c>
      <c r="CJ5" s="14">
        <f>INDEX(属性投放!$BB$6:$BB$85,(BY5-2)*20+CD5)</f>
        <v>1200</v>
      </c>
      <c r="CK5" s="14" t="s">
        <v>21</v>
      </c>
      <c r="CL5" s="14">
        <f>INDEX(属性投放!$BC$6:$BC$85,(BY5-2)*20+CD5)</f>
        <v>15</v>
      </c>
      <c r="CM5" s="14" t="s">
        <v>22</v>
      </c>
      <c r="CN5" s="14">
        <f>INDEX(属性投放!$BD$6:$BD$85,(BY5-2)*20+CD5)</f>
        <v>8</v>
      </c>
      <c r="CO5" s="14" t="s">
        <v>510</v>
      </c>
      <c r="CP5" s="14">
        <f>INDEX(属性投放!$BE$6:$BE$85,(BY5-2)*20+CD5)</f>
        <v>90</v>
      </c>
      <c r="CS5" s="13">
        <v>1</v>
      </c>
      <c r="CT5" s="13">
        <f>MATCH(CS5-1,$U$5:$U$36,1)</f>
        <v>1</v>
      </c>
      <c r="CU5" s="13">
        <f t="shared" ref="CU5" si="15">CS5-(CT5-1)*52</f>
        <v>1</v>
      </c>
      <c r="CV5" s="14">
        <f>INDEX($Q$6:$Q$50,CT5)</f>
        <v>5</v>
      </c>
      <c r="CW5" s="14">
        <f>INDEX($N$6:$N$50,CT5)</f>
        <v>1102001</v>
      </c>
      <c r="CX5" s="14" t="str">
        <f>INDEX($O$6:$O$50,CT5)&amp;"-"&amp;INDEX(属性投放!$AB$7:$AB$50,CZ5)&amp;"-魂火-"&amp;DB5</f>
        <v>关羽-等活-魂火-1</v>
      </c>
      <c r="CY5" s="25" t="s">
        <v>142</v>
      </c>
      <c r="CZ5" s="14">
        <f>INDEX(属性投放!$AM$7:$AM$58,CU5)</f>
        <v>1</v>
      </c>
      <c r="DA5" s="14" t="s">
        <v>537</v>
      </c>
      <c r="DB5" s="14">
        <f>INDEX(属性投放!$AN$7:$AN$58,CU5)</f>
        <v>1</v>
      </c>
      <c r="DC5" s="14">
        <f t="shared" ref="DC5:DC68" si="16">CU5</f>
        <v>1</v>
      </c>
      <c r="DD5" s="14">
        <f>INDEX(属性投放!$AO$7:$AO$58,DC5)</f>
        <v>3</v>
      </c>
      <c r="DE5" s="14" t="s">
        <v>538</v>
      </c>
      <c r="DF5" s="14">
        <f>INDEX(属性投放!$BK$6:$BK$85,(CV5-2)*20+CZ5)</f>
        <v>35</v>
      </c>
      <c r="DG5" s="14">
        <f>SUMIFS(DF$5:DF5,$CT$5:$CT5,"="&amp;$CT5)</f>
        <v>35</v>
      </c>
      <c r="DH5" s="14" t="s">
        <v>539</v>
      </c>
      <c r="DI5" s="14">
        <f>INDEX(属性投放!$BL$6:$BL$85,(CV5-2)*20+CZ5)</f>
        <v>18</v>
      </c>
      <c r="DJ5" s="14">
        <f>SUMIFS(DI$5:DI5,$CT$5:$CT5,"="&amp;$CT5)</f>
        <v>18</v>
      </c>
      <c r="DK5" s="14" t="s">
        <v>540</v>
      </c>
      <c r="DL5" s="14">
        <f>INDEX(属性投放!$BM$6:$BM$85,(CV5-2)*20+CZ5)</f>
        <v>210</v>
      </c>
      <c r="DM5" s="14">
        <f>SUMIFS(DL$5:DL5,$CT$5:$CT5,"="&amp;$CT5)</f>
        <v>210</v>
      </c>
      <c r="DR5" s="14">
        <f t="shared" ref="DR5:DR68" si="17">BZ5</f>
        <v>1102001</v>
      </c>
      <c r="DS5" s="14" t="str">
        <f t="shared" ref="DS5:DS68" si="18">CA5</f>
        <v>关羽1突</v>
      </c>
      <c r="DT5" s="14">
        <f>INDEX(Y$6:Y$43,$BX5)</f>
        <v>9</v>
      </c>
      <c r="DU5" s="14">
        <f>INDEX(Z$6:Z$43,$BX5)</f>
        <v>7</v>
      </c>
      <c r="DV5" s="14">
        <f>INDEX(AA$6:AA$43,$BX5)</f>
        <v>7</v>
      </c>
      <c r="DW5" s="14">
        <f t="shared" ref="DW5:DW68" si="19">BY5</f>
        <v>5</v>
      </c>
      <c r="DX5" s="14">
        <f t="shared" ref="DX5:DX68" si="20">CD5</f>
        <v>1</v>
      </c>
      <c r="DY5" s="14">
        <f t="shared" ref="DY5:DY68" si="21">(DW5-2)*20+DX5</f>
        <v>61</v>
      </c>
      <c r="DZ5" s="14">
        <f>INDEX(属性投放!$AX$6:$AX$85,(卡牌属性!DW5-2)*20+卡牌属性!DX5)</f>
        <v>4</v>
      </c>
      <c r="EA5" s="14">
        <f>INDEX(属性投放!BQ$6:BQ$85,卡牌属性!$DY5)</f>
        <v>40</v>
      </c>
      <c r="EB5" s="14">
        <f>INDEX(属性投放!BR$6:BR$85,卡牌属性!$DY5)</f>
        <v>20</v>
      </c>
      <c r="EC5" s="14">
        <f>INDEX(属性投放!BS$6:BS$85,卡牌属性!$DY5)</f>
        <v>240</v>
      </c>
      <c r="ED5" s="14">
        <f>INDEX(属性偏向!$I$4:$I$15,卡牌属性!$DT5+ED$3)</f>
        <v>300</v>
      </c>
      <c r="EE5" s="14">
        <f>INDEX(属性偏向!$I$4:$I$15,卡牌属性!$DT5+EE$3)</f>
        <v>350</v>
      </c>
      <c r="EF5" s="14">
        <f>INDEX(属性偏向!$I$4:$I$15,卡牌属性!$DT5+EF$3)</f>
        <v>400</v>
      </c>
      <c r="EG5" s="14">
        <f>INDEX(属性偏向!$I$4:$I$15,卡牌属性!$DT5+EG$3)</f>
        <v>400</v>
      </c>
      <c r="EH5" s="14">
        <f>INDEX(属性偏向!$I$4:$I$15,卡牌属性!$DT5+EH$3)</f>
        <v>500</v>
      </c>
      <c r="EI5" s="14">
        <f>INDEX(属性偏向!$J$4:$J$15,卡牌属性!$DU5+EI$3)</f>
        <v>50</v>
      </c>
      <c r="EJ5" s="14">
        <f>INDEX(属性偏向!$J$4:$J$15,卡牌属性!$DU5+EJ$3)</f>
        <v>75</v>
      </c>
      <c r="EK5" s="14">
        <f>INDEX(属性偏向!$J$4:$J$15,卡牌属性!$DU5+EK$3)</f>
        <v>75</v>
      </c>
      <c r="EL5" s="14">
        <f>INDEX(属性偏向!$J$4:$J$15,卡牌属性!$DU5+EL$3)</f>
        <v>100</v>
      </c>
      <c r="EM5" s="14">
        <f>INDEX(属性偏向!$J$4:$J$15,卡牌属性!$DU5+EM$3)</f>
        <v>150</v>
      </c>
      <c r="EN5" s="14">
        <f>INDEX(属性偏向!$K$4:$K$15,卡牌属性!$DV5+EN$3)</f>
        <v>800</v>
      </c>
      <c r="EO5" s="14">
        <f>INDEX(属性偏向!$K$4:$K$15,卡牌属性!$DV5+EO$3)</f>
        <v>1000</v>
      </c>
      <c r="EP5" s="14">
        <f>INDEX(属性偏向!$K$4:$K$15,卡牌属性!$DV5+EP$3)</f>
        <v>1000</v>
      </c>
      <c r="EQ5" s="14">
        <f>INDEX(属性偏向!$K$4:$K$15,卡牌属性!$DV5+EQ$3)</f>
        <v>1200</v>
      </c>
      <c r="ER5" s="14">
        <f>INDEX(属性偏向!$K$4:$K$15,卡牌属性!$DV5+ER$3)</f>
        <v>1500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72</v>
      </c>
      <c r="FD5" s="14">
        <f>INDEX(属性偏向!$U$4:$U$243,(卡牌属性!$DV5-1+FD$3)*20+卡牌属性!$DX5)</f>
        <v>78</v>
      </c>
      <c r="FE5" s="14">
        <f>INDEX(属性偏向!$U$4:$U$243,(卡牌属性!$DV5-1+FE$3)*20+卡牌属性!$DX5)</f>
        <v>78</v>
      </c>
      <c r="FF5" s="14">
        <f>INDEX(属性偏向!$U$4:$U$243,(卡牌属性!$DV5-1+FF$3)*20+卡牌属性!$DX5)</f>
        <v>90</v>
      </c>
      <c r="FG5" s="14">
        <f>INDEX(属性偏向!$U$4:$U$243,(卡牌属性!$DV5-1+FG$3)*20+卡牌属性!$DX5)</f>
        <v>120</v>
      </c>
      <c r="FH5" s="14">
        <f>INDEX(属性投放!$BQ$6:$BQ$85,(卡牌属性!$DW5-2)*20+卡牌属性!$DX5)</f>
        <v>40</v>
      </c>
      <c r="FI5" s="14">
        <f>INDEX(属性投放!$BQ$6:$BQ$85,(卡牌属性!$DW5-2)*20+卡牌属性!$DX5)</f>
        <v>40</v>
      </c>
      <c r="FJ5" s="14">
        <f>INDEX(属性投放!$BQ$6:$BQ$85,(卡牌属性!$DW5-2)*20+卡牌属性!$DX5)</f>
        <v>40</v>
      </c>
      <c r="FK5" s="14">
        <f>INDEX(属性投放!$BQ$6:$BQ$85,(卡牌属性!$DW5-2)*20+卡牌属性!$DX5)</f>
        <v>40</v>
      </c>
      <c r="FL5" s="14">
        <f>INDEX(属性投放!$BQ$6:$BQ$85,(卡牌属性!$DW5-2)*20+卡牌属性!$DX5)</f>
        <v>40</v>
      </c>
      <c r="FM5" s="14">
        <f>INDEX(属性投放!$BR$6:$BR$85,(卡牌属性!$DW5-2)*20+卡牌属性!$DX5)</f>
        <v>20</v>
      </c>
      <c r="FN5" s="14">
        <f>INDEX(属性投放!$BR$6:$BR$85,(卡牌属性!$DW5-2)*20+卡牌属性!$DX5)</f>
        <v>20</v>
      </c>
      <c r="FO5" s="14">
        <f>INDEX(属性投放!$BR$6:$BR$85,(卡牌属性!$DW5-2)*20+卡牌属性!$DX5)</f>
        <v>20</v>
      </c>
      <c r="FP5" s="14">
        <f>INDEX(属性投放!$BR$6:$BR$85,(卡牌属性!$DW5-2)*20+卡牌属性!$DX5)</f>
        <v>20</v>
      </c>
      <c r="FQ5" s="14">
        <f>INDEX(属性投放!$BR$6:$BR$85,(卡牌属性!$DW5-2)*20+卡牌属性!$DX5)</f>
        <v>20</v>
      </c>
      <c r="FR5" s="14">
        <f>INDEX(属性投放!$BS$6:$BS$85,(卡牌属性!$DW5-2)*20+卡牌属性!$DX5)</f>
        <v>240</v>
      </c>
      <c r="FS5" s="14">
        <f>INDEX(属性投放!$BS$6:$BS$85,(卡牌属性!$DW5-2)*20+卡牌属性!$DX5)</f>
        <v>240</v>
      </c>
      <c r="FT5" s="14">
        <f>INDEX(属性投放!$BS$6:$BS$85,(卡牌属性!$DW5-2)*20+卡牌属性!$DX5)</f>
        <v>240</v>
      </c>
      <c r="FU5" s="14">
        <f>INDEX(属性投放!$BS$6:$BS$85,(卡牌属性!$DW5-2)*20+卡牌属性!$DX5)</f>
        <v>240</v>
      </c>
      <c r="FV5" s="14">
        <f>INDEX(属性投放!$BS$6:$BS$85,(卡牌属性!$DW5-2)*20+卡牌属性!$DX5)</f>
        <v>240</v>
      </c>
      <c r="FZ5" s="13">
        <v>1</v>
      </c>
      <c r="GA5" s="13">
        <f t="shared" ref="GA5:GA36" si="22">INT((FZ5-1)/5)+1</f>
        <v>1</v>
      </c>
      <c r="GB5" s="14">
        <f>INDEX($N$6:$N$36,GA5)</f>
        <v>1102001</v>
      </c>
      <c r="GC5" s="14" t="s">
        <v>1187</v>
      </c>
      <c r="GD5" s="14">
        <f t="shared" ref="GD5:GD36" si="23">FZ5-(GA5-1)*5</f>
        <v>1</v>
      </c>
      <c r="GE5" s="14" t="str">
        <f t="shared" ref="GE5:GE36" si="24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5">INT((GN5-1)/5)+1</f>
        <v>1</v>
      </c>
      <c r="GP5" s="14">
        <f>INDEX($A$6:$A$36,GO5)</f>
        <v>1101001</v>
      </c>
      <c r="GQ5" s="14" t="s">
        <v>1187</v>
      </c>
      <c r="GR5" s="14">
        <f t="shared" ref="GR5:GR36" si="26">GN5-(GO5-1)*5</f>
        <v>1</v>
      </c>
      <c r="GS5" s="14" t="str">
        <f t="shared" ref="GS5:GS36" si="27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MATCH(HC5,属性投放!$AO$6:$AO$58,1)-1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200</v>
      </c>
      <c r="HI5" s="14">
        <f>INDEX($EI$5:$EM$564,($HF$2-1)*20+$HF5,$HH$2)</f>
        <v>40</v>
      </c>
      <c r="HJ5" s="14">
        <f>INDEX($EN$5:$ER$564,($HF$2-1)*20+$HF5,$HH$2)</f>
        <v>650</v>
      </c>
      <c r="HK5" s="14">
        <f>INDEX($ES$5:$EW$564,($HF$2-1)*20+$HF5,$HH$2)</f>
        <v>12</v>
      </c>
      <c r="HL5" s="14">
        <f>INDEX($EX$5:$FB$564,($HF$2-1)*20+$HF5,$HH$2)</f>
        <v>5</v>
      </c>
      <c r="HM5" s="14">
        <f>INDEX($FC$5:$FG$564,($HF$2-1)*20+$HF5,$HH$2)</f>
        <v>60</v>
      </c>
      <c r="HN5" s="14">
        <f>HH5+HK5*($HC5-INDEX(属性投放!$AE$6:$AE$26,卡牌属性!$HF5))</f>
        <v>200</v>
      </c>
      <c r="HO5" s="14">
        <f>HI5+HL5*($HC5-INDEX(属性投放!$AE$6:$AE$26,卡牌属性!$HF5))</f>
        <v>40</v>
      </c>
      <c r="HP5" s="14">
        <f>HJ5+HM5*($HC5-INDEX(属性投放!$AE$6:$AE$26,卡牌属性!$HF5))</f>
        <v>650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IF(COUNTIF(属性投放!$AO$7:$AO$58,"="&amp;卡牌属性!HC5)&gt;0,卡牌属性!HE5,0)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IF(COUNTIF(属性投放!$AE$6:$AE$26,"="&amp;卡牌属性!HC5)&gt;0,卡牌属性!HF5,0)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12</v>
      </c>
      <c r="IC5" s="14">
        <f t="shared" ref="IC5:ID5" si="28">HL5</f>
        <v>5</v>
      </c>
      <c r="ID5" s="14">
        <f t="shared" si="28"/>
        <v>60</v>
      </c>
      <c r="IE5" s="14">
        <f>HN5+HQ5</f>
        <v>200</v>
      </c>
      <c r="IF5" s="14">
        <f t="shared" ref="IF5:IG5" si="29">HO5+HR5</f>
        <v>40</v>
      </c>
      <c r="IG5" s="14">
        <f t="shared" si="29"/>
        <v>650</v>
      </c>
      <c r="IH5" s="14">
        <f>SUMPRODUCT($HK5:$HM5,$IE$2:$IG$2)</f>
        <v>280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3450</v>
      </c>
      <c r="IL5" s="17">
        <f>IH5/IK5</f>
        <v>8.1159420289855067E-2</v>
      </c>
      <c r="IM5" s="17">
        <f>II5/IK5</f>
        <v>0</v>
      </c>
      <c r="IN5" s="17">
        <f>IJ5/IK5</f>
        <v>0</v>
      </c>
      <c r="IO5" s="23">
        <f>SUM(IH$5:IH5)</f>
        <v>280</v>
      </c>
      <c r="IP5" s="14">
        <f>SUM(II$5:II5)</f>
        <v>0</v>
      </c>
      <c r="IQ5" s="14">
        <f>SUM(IJ$5:IJ5)</f>
        <v>0</v>
      </c>
      <c r="IR5" s="17">
        <f>IO5/IK5</f>
        <v>8.1159420289855067E-2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100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36</v>
      </c>
      <c r="JG5" s="14">
        <f>INDEX(属性投放!$DC$6:$DC$85,卡牌属性!IY5)</f>
        <v>1</v>
      </c>
      <c r="JH5" s="14">
        <f>($IW5-$JG5)*JD5+JA5</f>
        <v>100</v>
      </c>
      <c r="JI5" s="14">
        <f t="shared" ref="JI5:JJ5" si="30">($IW5-$JG5)*JE5+JB5</f>
        <v>0</v>
      </c>
      <c r="JJ5" s="14">
        <f t="shared" si="30"/>
        <v>250.00000000000003</v>
      </c>
      <c r="JK5" s="14">
        <f>SUMPRODUCT($JH$3:$JJ$3,JH5:JJ5)</f>
        <v>750</v>
      </c>
    </row>
    <row r="6" spans="1:271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556</v>
      </c>
      <c r="H6" s="13" t="s">
        <v>556</v>
      </c>
      <c r="I6" s="13" t="s">
        <v>556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922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564</v>
      </c>
      <c r="W6" s="13" t="s">
        <v>560</v>
      </c>
      <c r="X6" s="13" t="s">
        <v>560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1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142</v>
      </c>
      <c r="AM6" s="14">
        <v>1</v>
      </c>
      <c r="AN6" s="14">
        <f t="shared" si="5"/>
        <v>2</v>
      </c>
      <c r="AO6" s="14">
        <f>INDEX(属性投放!$DF$6:$DF$85,(卡牌属性!AG6-2)*20+卡牌属性!AN6)</f>
        <v>230</v>
      </c>
      <c r="AP6" s="14">
        <f t="shared" si="6"/>
        <v>230</v>
      </c>
      <c r="AQ6" s="14">
        <f t="shared" si="6"/>
        <v>230</v>
      </c>
      <c r="AR6" s="14">
        <f t="shared" si="6"/>
        <v>230</v>
      </c>
      <c r="AS6" s="14">
        <f t="shared" si="6"/>
        <v>230</v>
      </c>
      <c r="AT6" s="14">
        <f>INDEX(属性投放!$DG$6:$DG$85,(卡牌属性!AG6-2)*20+卡牌属性!AN6)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INDEX(属性投放!$DH$6:$DH$85,(卡牌属性!AG6-2)*20+卡牌属性!AN6)</f>
        <v>865</v>
      </c>
      <c r="AZ6" s="14">
        <f t="shared" si="8"/>
        <v>865</v>
      </c>
      <c r="BA6" s="14">
        <f t="shared" si="8"/>
        <v>865</v>
      </c>
      <c r="BB6" s="14">
        <f t="shared" si="8"/>
        <v>865</v>
      </c>
      <c r="BC6" s="14">
        <f t="shared" si="8"/>
        <v>865</v>
      </c>
      <c r="BD6" s="14">
        <f>INDEX(属性投放!$DL$6:$DL$85,(卡牌属性!AG6-2)*20+卡牌属性!AN6)</f>
        <v>17</v>
      </c>
      <c r="BE6" s="14">
        <f t="shared" si="9"/>
        <v>17</v>
      </c>
      <c r="BF6" s="14">
        <f t="shared" si="9"/>
        <v>17</v>
      </c>
      <c r="BG6" s="14">
        <f t="shared" si="9"/>
        <v>17</v>
      </c>
      <c r="BH6" s="14">
        <f t="shared" si="9"/>
        <v>17</v>
      </c>
      <c r="BI6" s="14">
        <f>INDEX(属性投放!$DM$6:$DM$85,(卡牌属性!AG6-2)*20+卡牌属性!AN6)</f>
        <v>8</v>
      </c>
      <c r="BJ6" s="14">
        <f t="shared" si="10"/>
        <v>8</v>
      </c>
      <c r="BK6" s="14">
        <f t="shared" si="10"/>
        <v>8</v>
      </c>
      <c r="BL6" s="14">
        <f t="shared" si="10"/>
        <v>8</v>
      </c>
      <c r="BM6" s="14">
        <f t="shared" si="10"/>
        <v>8</v>
      </c>
      <c r="BN6" s="14">
        <f>INDEX(属性投放!$DN$6:$DN$85,(卡牌属性!AG6-2)*20+卡牌属性!AN6)</f>
        <v>101</v>
      </c>
      <c r="BO6" s="14">
        <f t="shared" si="11"/>
        <v>101</v>
      </c>
      <c r="BP6" s="14">
        <f t="shared" si="11"/>
        <v>101</v>
      </c>
      <c r="BQ6" s="14">
        <f t="shared" si="11"/>
        <v>101</v>
      </c>
      <c r="BR6" s="14">
        <f t="shared" si="11"/>
        <v>101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ref="BZ6:BZ69" si="32">INDEX($N$6:$N$43,BX6)</f>
        <v>1102001</v>
      </c>
      <c r="CA6" s="14" t="str">
        <f t="shared" ref="CA6:CA69" si="33">INDEX($O$6:$O$43,BX6)&amp;CD6&amp;"突"</f>
        <v>关羽2突</v>
      </c>
      <c r="CB6" s="25" t="s">
        <v>142</v>
      </c>
      <c r="CC6" s="14">
        <v>2</v>
      </c>
      <c r="CD6" s="14">
        <f t="shared" si="14"/>
        <v>2</v>
      </c>
      <c r="CE6" s="14" t="s">
        <v>21</v>
      </c>
      <c r="CF6" s="14">
        <f>INDEX(属性投放!$AZ$6:$AZ$85,(BY6-2)*20+CD6)</f>
        <v>435</v>
      </c>
      <c r="CG6" s="14" t="s">
        <v>22</v>
      </c>
      <c r="CH6" s="14">
        <f>INDEX(属性投放!$BA$6:$BA$85,(BY6-2)*20+CD6)</f>
        <v>120</v>
      </c>
      <c r="CI6" s="14" t="s">
        <v>510</v>
      </c>
      <c r="CJ6" s="14">
        <f>INDEX(属性投放!$BB$6:$BB$85,(BY6-2)*20+CD6)</f>
        <v>2010</v>
      </c>
      <c r="CK6" s="14" t="s">
        <v>21</v>
      </c>
      <c r="CL6" s="14">
        <f>INDEX(属性投放!$BC$6:$BC$85,(BY6-2)*20+CD6)</f>
        <v>20</v>
      </c>
      <c r="CM6" s="14" t="s">
        <v>22</v>
      </c>
      <c r="CN6" s="14">
        <f>INDEX(属性投放!$BD$6:$BD$85,(BY6-2)*20+CD6)</f>
        <v>10</v>
      </c>
      <c r="CO6" s="14" t="s">
        <v>510</v>
      </c>
      <c r="CP6" s="14">
        <f>INDEX(属性投放!$BE$6:$BE$85,(BY6-2)*20+CD6)</f>
        <v>120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INDEX($Q$6:$Q$50,CT6)</f>
        <v>5</v>
      </c>
      <c r="CW6" s="14">
        <f t="shared" ref="CW6:CW69" si="37">INDEX($N$6:$N$50,CT6)</f>
        <v>1102001</v>
      </c>
      <c r="CX6" s="14" t="str">
        <f>INDEX($O$6:$O$50,CT6)&amp;"-"&amp;INDEX(属性投放!$AB$7:$AB$50,CZ6)&amp;"-魂火-"&amp;DB6</f>
        <v>关羽-黑绳-魂火-1</v>
      </c>
      <c r="CY6" s="25" t="s">
        <v>142</v>
      </c>
      <c r="CZ6" s="14">
        <f>INDEX(属性投放!$AM$7:$AM$58,CU6)</f>
        <v>2</v>
      </c>
      <c r="DA6" s="14" t="s">
        <v>537</v>
      </c>
      <c r="DB6" s="14">
        <f>INDEX(属性投放!$AN$7:$AN$58,CU6)</f>
        <v>1</v>
      </c>
      <c r="DC6" s="14">
        <f t="shared" si="16"/>
        <v>2</v>
      </c>
      <c r="DD6" s="14">
        <f>INDEX(属性投放!$AO$7:$AO$58,DC6)</f>
        <v>8</v>
      </c>
      <c r="DE6" s="14" t="s">
        <v>538</v>
      </c>
      <c r="DF6" s="14">
        <f>INDEX(属性投放!$BK$6:$BK$85,(CV6-2)*20+CZ6)</f>
        <v>40</v>
      </c>
      <c r="DG6" s="14">
        <f>SUMIFS(DF$5:DF6,$CT$5:$CT6,"="&amp;$CT6)</f>
        <v>75</v>
      </c>
      <c r="DH6" s="14" t="s">
        <v>539</v>
      </c>
      <c r="DI6" s="14">
        <f>INDEX(属性投放!$BL$6:$BL$85,(CV6-2)*20+CZ6)</f>
        <v>20</v>
      </c>
      <c r="DJ6" s="14">
        <f>SUMIFS(DI$5:DI6,$CT$5:$CT6,"="&amp;$CT6)</f>
        <v>38</v>
      </c>
      <c r="DK6" s="14" t="s">
        <v>540</v>
      </c>
      <c r="DL6" s="14">
        <f>INDEX(属性投放!$BM$6:$BM$85,(CV6-2)*20+CZ6)</f>
        <v>240</v>
      </c>
      <c r="DM6" s="14">
        <f>SUMIFS(DL$5:DL6,$CT$5:$CT6,"="&amp;$CT6)</f>
        <v>450</v>
      </c>
      <c r="DR6" s="14">
        <f t="shared" si="17"/>
        <v>1102001</v>
      </c>
      <c r="DS6" s="14" t="str">
        <f t="shared" si="18"/>
        <v>关羽2突</v>
      </c>
      <c r="DT6" s="14">
        <f t="shared" ref="DT6:DT69" si="38">INDEX(Y$6:Y$43,$BX6)</f>
        <v>9</v>
      </c>
      <c r="DU6" s="14">
        <f t="shared" ref="DU6:DU69" si="39">INDEX(Z$6:Z$43,$BX6)</f>
        <v>7</v>
      </c>
      <c r="DV6" s="14">
        <f t="shared" ref="DV6:DV69" si="40">INDEX(AA$6:AA$43,$BX6)</f>
        <v>7</v>
      </c>
      <c r="DW6" s="14">
        <f t="shared" si="19"/>
        <v>5</v>
      </c>
      <c r="DX6" s="14">
        <f t="shared" si="20"/>
        <v>2</v>
      </c>
      <c r="DY6" s="14">
        <f t="shared" si="21"/>
        <v>62</v>
      </c>
      <c r="DZ6" s="14">
        <f>INDEX(属性投放!$AX$6:$AX$85,(卡牌属性!DW6-2)*20+卡牌属性!DX6)</f>
        <v>10</v>
      </c>
      <c r="EA6" s="14">
        <f>INDEX(属性投放!BQ$6:BQ$85,卡牌属性!$DY6)</f>
        <v>50</v>
      </c>
      <c r="EB6" s="14">
        <f>INDEX(属性投放!BR$6:BR$85,卡牌属性!$DY6)</f>
        <v>25</v>
      </c>
      <c r="EC6" s="14">
        <f>INDEX(属性投放!BS$6:BS$85,卡牌属性!$DY6)</f>
        <v>300</v>
      </c>
      <c r="ED6" s="14">
        <f t="shared" ref="ED6:ED24" si="41">ED5+$EA5+ES5*$DZ5</f>
        <v>400</v>
      </c>
      <c r="EE6" s="14">
        <f t="shared" ref="EE6:EE24" si="42">EE5+$EA5+ET5*$DZ5</f>
        <v>470</v>
      </c>
      <c r="EF6" s="14">
        <f t="shared" ref="EF6:EF24" si="43">EF5+$EA5+EU5*$DZ5</f>
        <v>540</v>
      </c>
      <c r="EG6" s="14">
        <f t="shared" ref="EG6:EG24" si="44">EG5+$EA5+EV5*$DZ5</f>
        <v>540</v>
      </c>
      <c r="EH6" s="14">
        <f t="shared" ref="EH6:EH24" si="45">EH5+$EA5+EW5*$DZ5</f>
        <v>660</v>
      </c>
      <c r="EI6" s="14">
        <f t="shared" ref="EI6:EI24" si="46">EI5+$EB5+EX5*$DZ5</f>
        <v>94</v>
      </c>
      <c r="EJ6" s="14">
        <f t="shared" ref="EJ6:EJ24" si="47">EJ5+$EB5+EY5*$DZ5</f>
        <v>123</v>
      </c>
      <c r="EK6" s="14">
        <f t="shared" ref="EK6:EK24" si="48">EK5+$EB5+EZ5*$DZ5</f>
        <v>123</v>
      </c>
      <c r="EL6" s="14">
        <f t="shared" ref="EL6:EL24" si="49">EL5+$EB5+FA5*$DZ5</f>
        <v>152</v>
      </c>
      <c r="EM6" s="14">
        <f t="shared" ref="EM6:EM24" si="50">EM5+$EB5+FB5*$DZ5</f>
        <v>210</v>
      </c>
      <c r="EN6" s="14">
        <f t="shared" ref="EN6:EN24" si="51">EN5+$EC5+FC5*$DZ5</f>
        <v>1328</v>
      </c>
      <c r="EO6" s="14">
        <f t="shared" ref="EO6:EO24" si="52">EO5+$EC5+FD5*$DZ5</f>
        <v>1552</v>
      </c>
      <c r="EP6" s="14">
        <f t="shared" ref="EP6:EP24" si="53">EP5+$EC5+FE5*$DZ5</f>
        <v>1552</v>
      </c>
      <c r="EQ6" s="14">
        <f t="shared" ref="EQ6:EQ24" si="54">EQ5+$EC5+FF5*$DZ5</f>
        <v>1800</v>
      </c>
      <c r="ER6" s="14">
        <f t="shared" ref="ER6:ER24" si="55">ER5+$EC5+FG5*$DZ5</f>
        <v>2220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90</v>
      </c>
      <c r="FD6" s="14">
        <f>INDEX(属性偏向!$U$4:$U$243,(卡牌属性!$DV6-1+FD$3)*20+卡牌属性!$DX6)</f>
        <v>102</v>
      </c>
      <c r="FE6" s="14">
        <f>INDEX(属性偏向!$U$4:$U$243,(卡牌属性!$DV6-1+FE$3)*20+卡牌属性!$DX6)</f>
        <v>102</v>
      </c>
      <c r="FF6" s="14">
        <f>INDEX(属性偏向!$U$4:$U$243,(卡牌属性!$DV6-1+FF$3)*20+卡牌属性!$DX6)</f>
        <v>120</v>
      </c>
      <c r="FG6" s="14">
        <f>INDEX(属性偏向!$U$4:$U$243,(卡牌属性!$DV6-1+FG$3)*20+卡牌属性!$DX6)</f>
        <v>150</v>
      </c>
      <c r="FH6" s="14">
        <f>INDEX(属性投放!$BQ$6:$BQ$85,(卡牌属性!$DW6-2)*20+卡牌属性!$DX6)</f>
        <v>50</v>
      </c>
      <c r="FI6" s="14">
        <f>INDEX(属性投放!$BQ$6:$BQ$85,(卡牌属性!$DW6-2)*20+卡牌属性!$DX6)</f>
        <v>50</v>
      </c>
      <c r="FJ6" s="14">
        <f>INDEX(属性投放!$BQ$6:$BQ$85,(卡牌属性!$DW6-2)*20+卡牌属性!$DX6)</f>
        <v>50</v>
      </c>
      <c r="FK6" s="14">
        <f>INDEX(属性投放!$BQ$6:$BQ$85,(卡牌属性!$DW6-2)*20+卡牌属性!$DX6)</f>
        <v>50</v>
      </c>
      <c r="FL6" s="14">
        <f>INDEX(属性投放!$BQ$6:$BQ$85,(卡牌属性!$DW6-2)*20+卡牌属性!$DX6)</f>
        <v>50</v>
      </c>
      <c r="FM6" s="14">
        <f>INDEX(属性投放!$BR$6:$BR$85,(卡牌属性!$DW6-2)*20+卡牌属性!$DX6)</f>
        <v>25</v>
      </c>
      <c r="FN6" s="14">
        <f>INDEX(属性投放!$BR$6:$BR$85,(卡牌属性!$DW6-2)*20+卡牌属性!$DX6)</f>
        <v>25</v>
      </c>
      <c r="FO6" s="14">
        <f>INDEX(属性投放!$BR$6:$BR$85,(卡牌属性!$DW6-2)*20+卡牌属性!$DX6)</f>
        <v>25</v>
      </c>
      <c r="FP6" s="14">
        <f>INDEX(属性投放!$BR$6:$BR$85,(卡牌属性!$DW6-2)*20+卡牌属性!$DX6)</f>
        <v>25</v>
      </c>
      <c r="FQ6" s="14">
        <f>INDEX(属性投放!$BR$6:$BR$85,(卡牌属性!$DW6-2)*20+卡牌属性!$DX6)</f>
        <v>25</v>
      </c>
      <c r="FR6" s="14">
        <f>INDEX(属性投放!$BS$6:$BS$85,(卡牌属性!$DW6-2)*20+卡牌属性!$DX6)</f>
        <v>300</v>
      </c>
      <c r="FS6" s="14">
        <f>INDEX(属性投放!$BS$6:$BS$85,(卡牌属性!$DW6-2)*20+卡牌属性!$DX6)</f>
        <v>300</v>
      </c>
      <c r="FT6" s="14">
        <f>INDEX(属性投放!$BS$6:$BS$85,(卡牌属性!$DW6-2)*20+卡牌属性!$DX6)</f>
        <v>300</v>
      </c>
      <c r="FU6" s="14">
        <f>INDEX(属性投放!$BS$6:$BS$85,(卡牌属性!$DW6-2)*20+卡牌属性!$DX6)</f>
        <v>300</v>
      </c>
      <c r="FV6" s="14">
        <f>INDEX(属性投放!$BS$6:$BS$85,(卡牌属性!$DW6-2)*20+卡牌属性!$DX6)</f>
        <v>300</v>
      </c>
      <c r="FZ6" s="13">
        <v>2</v>
      </c>
      <c r="GA6" s="13">
        <f t="shared" si="22"/>
        <v>1</v>
      </c>
      <c r="GB6" s="14">
        <f t="shared" ref="GB6:GB69" si="56">INDEX($N$6:$N$36,GA6)</f>
        <v>1102001</v>
      </c>
      <c r="GC6" s="14" t="s">
        <v>1187</v>
      </c>
      <c r="GD6" s="14">
        <f t="shared" si="23"/>
        <v>2</v>
      </c>
      <c r="GE6" s="14" t="str">
        <f t="shared" si="24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5"/>
        <v>1</v>
      </c>
      <c r="GP6" s="14">
        <f t="shared" ref="GP6:GP69" si="57">INDEX($A$6:$A$36,GO6)</f>
        <v>1101001</v>
      </c>
      <c r="GQ6" s="14" t="s">
        <v>1187</v>
      </c>
      <c r="GR6" s="14">
        <f t="shared" si="26"/>
        <v>2</v>
      </c>
      <c r="GS6" s="14" t="str">
        <f t="shared" si="27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MATCH(HC6,属性投放!$AO$6:$AO$58,1)-1</f>
        <v>0</v>
      </c>
      <c r="HF6" s="13">
        <f>MATCH(HC6-1,属性投放!$AE$6:$AE$26,1)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200</v>
      </c>
      <c r="HI6" s="14">
        <f t="shared" ref="HI6:HI69" si="59">INDEX($EI$5:$EM$564,($HF$2-1)*20+$HF6,$HH$2)</f>
        <v>40</v>
      </c>
      <c r="HJ6" s="14">
        <f t="shared" ref="HJ6:HJ69" si="60">INDEX($EN$5:$ER$564,($HF$2-1)*20+$HF6,$HH$2)</f>
        <v>650</v>
      </c>
      <c r="HK6" s="14">
        <f t="shared" ref="HK6:HK69" si="61">INDEX($ES$5:$EW$564,($HF$2-1)*20+$HF6,$HH$2)</f>
        <v>12</v>
      </c>
      <c r="HL6" s="14">
        <f t="shared" ref="HL6:HL69" si="62">INDEX($EX$5:$FB$564,($HF$2-1)*20+$HF6,$HH$2)</f>
        <v>5</v>
      </c>
      <c r="HM6" s="14">
        <f t="shared" ref="HM6:HM69" si="63">INDEX($FC$5:$FG$564,($HF$2-1)*20+$HF6,$HH$2)</f>
        <v>60</v>
      </c>
      <c r="HN6" s="14">
        <f>HH6+HK6*($HC6-INDEX(属性投放!$AE$6:$AE$26,卡牌属性!$HF6))</f>
        <v>212</v>
      </c>
      <c r="HO6" s="14">
        <f>HI6+HL6*($HC6-INDEX(属性投放!$AE$6:$AE$26,卡牌属性!$HF6))</f>
        <v>45</v>
      </c>
      <c r="HP6" s="14">
        <f>HJ6+HM6*($HC6-INDEX(属性投放!$AE$6:$AE$26,卡牌属性!$HF6))</f>
        <v>710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IF(COUNTIF(属性投放!$AO$7:$AO$58,"="&amp;卡牌属性!HC6)&gt;0,卡牌属性!HE6,0)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IF(COUNTIF(属性投放!$AE$6:$AE$26,"="&amp;卡牌属性!HC6)&gt;0,卡牌属性!HF6,0)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12</v>
      </c>
      <c r="IC6" s="14">
        <f t="shared" ref="IC6:IC69" si="74">HL6</f>
        <v>5</v>
      </c>
      <c r="ID6" s="14">
        <f t="shared" ref="ID6:ID69" si="75">HM6</f>
        <v>60</v>
      </c>
      <c r="IE6" s="14">
        <f t="shared" ref="IE6:IE69" si="76">HN6+HQ6</f>
        <v>212</v>
      </c>
      <c r="IF6" s="14">
        <f t="shared" ref="IF6:IF69" si="77">HO6+HR6</f>
        <v>45</v>
      </c>
      <c r="IG6" s="14">
        <f t="shared" ref="IG6:IG69" si="78">HP6+HS6</f>
        <v>710</v>
      </c>
      <c r="IH6" s="14">
        <f t="shared" ref="IH6:IH69" si="79">SUMPRODUCT($HK6:$HM6,$IE$2:$IG$2)</f>
        <v>280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3730</v>
      </c>
      <c r="IL6" s="17">
        <f t="shared" ref="IL6:IL69" si="83">IH6/IK6</f>
        <v>7.5067024128686322E-2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560</v>
      </c>
      <c r="IP6" s="14">
        <f>SUM(II$5:II6)</f>
        <v>0</v>
      </c>
      <c r="IQ6" s="14">
        <f>SUM(IJ$5:IJ6)</f>
        <v>0</v>
      </c>
      <c r="IR6" s="17">
        <f t="shared" ref="IR6:IR69" si="86">IO6/IK6</f>
        <v>0.15013404825737264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MATCH(IW6-1,属性投放!$AD$7:$AD$26,1)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100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36</v>
      </c>
      <c r="JG6" s="14">
        <f>INDEX(属性投放!$DC$6:$DC$85,卡牌属性!IY6)</f>
        <v>1</v>
      </c>
      <c r="JH6" s="14">
        <f t="shared" ref="JH6:JH69" si="95">($IW6-$JG6)*JD6+JA6</f>
        <v>106</v>
      </c>
      <c r="JI6" s="14">
        <f t="shared" ref="JI6:JI69" si="96">($IW6-$JG6)*JE6+JB6</f>
        <v>3</v>
      </c>
      <c r="JJ6" s="14">
        <f t="shared" ref="JJ6:JJ69" si="97">($IW6-$JG6)*JF6+JC6</f>
        <v>286</v>
      </c>
      <c r="JK6" s="14">
        <f t="shared" ref="JK6:JK69" si="98">SUMPRODUCT($JH$3:$JJ$3,JH6:JJ6)</f>
        <v>846</v>
      </c>
    </row>
    <row r="7" spans="1:271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556</v>
      </c>
      <c r="H7" s="13" t="s">
        <v>550</v>
      </c>
      <c r="I7" s="13" t="s">
        <v>550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923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554</v>
      </c>
      <c r="W7" s="13" t="s">
        <v>556</v>
      </c>
      <c r="X7" s="13" t="s">
        <v>558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1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142</v>
      </c>
      <c r="AM7" s="14">
        <v>1</v>
      </c>
      <c r="AN7" s="14">
        <f t="shared" si="5"/>
        <v>3</v>
      </c>
      <c r="AO7" s="14">
        <f>INDEX(属性投放!$DF$6:$DF$85,(卡牌属性!AG7-2)*20+卡牌属性!AN7)</f>
        <v>272</v>
      </c>
      <c r="AP7" s="14">
        <f t="shared" si="6"/>
        <v>272</v>
      </c>
      <c r="AQ7" s="14">
        <f t="shared" si="6"/>
        <v>272</v>
      </c>
      <c r="AR7" s="14">
        <f t="shared" si="6"/>
        <v>272</v>
      </c>
      <c r="AS7" s="14">
        <f t="shared" si="6"/>
        <v>272</v>
      </c>
      <c r="AT7" s="14">
        <f>INDEX(属性投放!$DG$6:$DG$85,(卡牌属性!AG7-2)*20+卡牌属性!AN7)</f>
        <v>61</v>
      </c>
      <c r="AU7" s="14">
        <f t="shared" si="7"/>
        <v>61</v>
      </c>
      <c r="AV7" s="14">
        <f t="shared" si="7"/>
        <v>61</v>
      </c>
      <c r="AW7" s="14">
        <f t="shared" si="7"/>
        <v>61</v>
      </c>
      <c r="AX7" s="14">
        <f t="shared" si="7"/>
        <v>61</v>
      </c>
      <c r="AY7" s="14">
        <f>INDEX(属性投放!$DH$6:$DH$85,(卡牌属性!AG7-2)*20+卡牌属性!AN7)</f>
        <v>1117</v>
      </c>
      <c r="AZ7" s="14">
        <f t="shared" si="8"/>
        <v>1117</v>
      </c>
      <c r="BA7" s="14">
        <f t="shared" si="8"/>
        <v>1117</v>
      </c>
      <c r="BB7" s="14">
        <f t="shared" si="8"/>
        <v>1117</v>
      </c>
      <c r="BC7" s="14">
        <f t="shared" si="8"/>
        <v>1117</v>
      </c>
      <c r="BD7" s="14">
        <f>INDEX(属性投放!$DL$6:$DL$85,(卡牌属性!AG7-2)*20+卡牌属性!AN7)</f>
        <v>17</v>
      </c>
      <c r="BE7" s="14">
        <f t="shared" si="9"/>
        <v>17</v>
      </c>
      <c r="BF7" s="14">
        <f t="shared" si="9"/>
        <v>17</v>
      </c>
      <c r="BG7" s="14">
        <f t="shared" si="9"/>
        <v>17</v>
      </c>
      <c r="BH7" s="14">
        <f t="shared" si="9"/>
        <v>17</v>
      </c>
      <c r="BI7" s="14">
        <f>INDEX(属性投放!$DM$6:$DM$85,(卡牌属性!AG7-2)*20+卡牌属性!AN7)</f>
        <v>8</v>
      </c>
      <c r="BJ7" s="14">
        <f t="shared" si="10"/>
        <v>8</v>
      </c>
      <c r="BK7" s="14">
        <f t="shared" si="10"/>
        <v>8</v>
      </c>
      <c r="BL7" s="14">
        <f t="shared" si="10"/>
        <v>8</v>
      </c>
      <c r="BM7" s="14">
        <f t="shared" si="10"/>
        <v>8</v>
      </c>
      <c r="BN7" s="14">
        <f>INDEX(属性投放!$DN$6:$DN$85,(卡牌属性!AG7-2)*20+卡牌属性!AN7)</f>
        <v>101</v>
      </c>
      <c r="BO7" s="14">
        <f t="shared" si="11"/>
        <v>101</v>
      </c>
      <c r="BP7" s="14">
        <f t="shared" si="11"/>
        <v>101</v>
      </c>
      <c r="BQ7" s="14">
        <f t="shared" si="11"/>
        <v>101</v>
      </c>
      <c r="BR7" s="14">
        <f t="shared" si="11"/>
        <v>101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32"/>
        <v>1102001</v>
      </c>
      <c r="CA7" s="14" t="str">
        <f t="shared" si="33"/>
        <v>关羽3突</v>
      </c>
      <c r="CB7" s="25" t="s">
        <v>142</v>
      </c>
      <c r="CC7" s="14">
        <v>2</v>
      </c>
      <c r="CD7" s="14">
        <f t="shared" si="14"/>
        <v>3</v>
      </c>
      <c r="CE7" s="14" t="s">
        <v>21</v>
      </c>
      <c r="CF7" s="14">
        <f>INDEX(属性投放!$AZ$6:$AZ$85,(BY7-2)*20+CD7)</f>
        <v>765</v>
      </c>
      <c r="CG7" s="14" t="s">
        <v>22</v>
      </c>
      <c r="CH7" s="14">
        <f>INDEX(属性投放!$BA$6:$BA$85,(BY7-2)*20+CD7)</f>
        <v>285</v>
      </c>
      <c r="CI7" s="14" t="s">
        <v>510</v>
      </c>
      <c r="CJ7" s="14">
        <f>INDEX(属性投放!$BB$6:$BB$85,(BY7-2)*20+CD7)</f>
        <v>3990</v>
      </c>
      <c r="CK7" s="14" t="s">
        <v>21</v>
      </c>
      <c r="CL7" s="14">
        <f>INDEX(属性投放!$BC$6:$BC$85,(BY7-2)*20+CD7)</f>
        <v>20</v>
      </c>
      <c r="CM7" s="14" t="s">
        <v>22</v>
      </c>
      <c r="CN7" s="14">
        <f>INDEX(属性投放!$BD$6:$BD$85,(BY7-2)*20+CD7)</f>
        <v>10</v>
      </c>
      <c r="CO7" s="14" t="s">
        <v>510</v>
      </c>
      <c r="CP7" s="14">
        <f>INDEX(属性投放!$BE$6:$BE$85,(BY7-2)*20+CD7)</f>
        <v>120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INDEX($O$6:$O$50,CT7)&amp;"-"&amp;INDEX(属性投放!$AB$7:$AB$50,CZ7)&amp;"-魂火-"&amp;DB7</f>
        <v>关羽-黑绳-魂火-2</v>
      </c>
      <c r="CY7" s="25" t="s">
        <v>142</v>
      </c>
      <c r="CZ7" s="14">
        <f>INDEX(属性投放!$AM$7:$AM$58,CU7)</f>
        <v>2</v>
      </c>
      <c r="DA7" s="14" t="s">
        <v>537</v>
      </c>
      <c r="DB7" s="14">
        <f>INDEX(属性投放!$AN$7:$AN$58,CU7)</f>
        <v>2</v>
      </c>
      <c r="DC7" s="14">
        <f t="shared" si="16"/>
        <v>3</v>
      </c>
      <c r="DD7" s="14">
        <f>INDEX(属性投放!$AO$7:$AO$58,DC7)</f>
        <v>13</v>
      </c>
      <c r="DE7" s="14" t="s">
        <v>538</v>
      </c>
      <c r="DF7" s="14">
        <f>INDEX(属性投放!$BK$6:$BK$85,(CV7-2)*20+CZ7)</f>
        <v>40</v>
      </c>
      <c r="DG7" s="14">
        <f>SUMIFS(DF$5:DF7,$CT$5:$CT7,"="&amp;$CT7)</f>
        <v>115</v>
      </c>
      <c r="DH7" s="14" t="s">
        <v>539</v>
      </c>
      <c r="DI7" s="14">
        <f>INDEX(属性投放!$BL$6:$BL$85,(CV7-2)*20+CZ7)</f>
        <v>20</v>
      </c>
      <c r="DJ7" s="14">
        <f>SUMIFS(DI$5:DI7,$CT$5:$CT7,"="&amp;$CT7)</f>
        <v>58</v>
      </c>
      <c r="DK7" s="14" t="s">
        <v>540</v>
      </c>
      <c r="DL7" s="14">
        <f>INDEX(属性投放!$BM$6:$BM$85,(CV7-2)*20+CZ7)</f>
        <v>240</v>
      </c>
      <c r="DM7" s="14">
        <f>SUMIFS(DL$5:DL7,$CT$5:$CT7,"="&amp;$CT7)</f>
        <v>690</v>
      </c>
      <c r="DR7" s="14">
        <f t="shared" si="17"/>
        <v>1102001</v>
      </c>
      <c r="DS7" s="14" t="str">
        <f t="shared" si="18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19"/>
        <v>5</v>
      </c>
      <c r="DX7" s="14">
        <f t="shared" si="20"/>
        <v>3</v>
      </c>
      <c r="DY7" s="14">
        <f t="shared" si="21"/>
        <v>63</v>
      </c>
      <c r="DZ7" s="14">
        <f>INDEX(属性投放!$AX$6:$AX$85,(卡牌属性!DW7-2)*20+卡牌属性!DX7)</f>
        <v>10</v>
      </c>
      <c r="EA7" s="14">
        <f>INDEX(属性投放!BQ$6:BQ$85,卡牌属性!$DY7)</f>
        <v>85</v>
      </c>
      <c r="EB7" s="14">
        <f>INDEX(属性投放!BR$6:BR$85,卡牌属性!$DY7)</f>
        <v>43</v>
      </c>
      <c r="EC7" s="14">
        <f>INDEX(属性投放!BS$6:BS$85,卡牌属性!$DY7)</f>
        <v>510</v>
      </c>
      <c r="ED7" s="14">
        <f t="shared" si="41"/>
        <v>650</v>
      </c>
      <c r="EE7" s="14">
        <f t="shared" si="42"/>
        <v>770</v>
      </c>
      <c r="EF7" s="14">
        <f t="shared" si="43"/>
        <v>890</v>
      </c>
      <c r="EG7" s="14">
        <f t="shared" si="44"/>
        <v>890</v>
      </c>
      <c r="EH7" s="14">
        <f t="shared" si="45"/>
        <v>1110</v>
      </c>
      <c r="EI7" s="14">
        <f t="shared" si="46"/>
        <v>199</v>
      </c>
      <c r="EJ7" s="14">
        <f t="shared" si="47"/>
        <v>238</v>
      </c>
      <c r="EK7" s="14">
        <f t="shared" si="48"/>
        <v>238</v>
      </c>
      <c r="EL7" s="14">
        <f t="shared" si="49"/>
        <v>277</v>
      </c>
      <c r="EM7" s="14">
        <f t="shared" si="50"/>
        <v>365</v>
      </c>
      <c r="EN7" s="14">
        <f t="shared" si="51"/>
        <v>2528</v>
      </c>
      <c r="EO7" s="14">
        <f t="shared" si="52"/>
        <v>2872</v>
      </c>
      <c r="EP7" s="14">
        <f t="shared" si="53"/>
        <v>2872</v>
      </c>
      <c r="EQ7" s="14">
        <f t="shared" si="54"/>
        <v>3300</v>
      </c>
      <c r="ER7" s="14">
        <f t="shared" si="55"/>
        <v>4020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90</v>
      </c>
      <c r="FD7" s="14">
        <f>INDEX(属性偏向!$U$4:$U$243,(卡牌属性!$DV7-1+FD$3)*20+卡牌属性!$DX7)</f>
        <v>102</v>
      </c>
      <c r="FE7" s="14">
        <f>INDEX(属性偏向!$U$4:$U$243,(卡牌属性!$DV7-1+FE$3)*20+卡牌属性!$DX7)</f>
        <v>102</v>
      </c>
      <c r="FF7" s="14">
        <f>INDEX(属性偏向!$U$4:$U$243,(卡牌属性!$DV7-1+FF$3)*20+卡牌属性!$DX7)</f>
        <v>120</v>
      </c>
      <c r="FG7" s="14">
        <f>INDEX(属性偏向!$U$4:$U$243,(卡牌属性!$DV7-1+FG$3)*20+卡牌属性!$DX7)</f>
        <v>150</v>
      </c>
      <c r="FH7" s="14">
        <f>INDEX(属性投放!$BQ$6:$BQ$85,(卡牌属性!$DW7-2)*20+卡牌属性!$DX7)</f>
        <v>85</v>
      </c>
      <c r="FI7" s="14">
        <f>INDEX(属性投放!$BQ$6:$BQ$85,(卡牌属性!$DW7-2)*20+卡牌属性!$DX7)</f>
        <v>85</v>
      </c>
      <c r="FJ7" s="14">
        <f>INDEX(属性投放!$BQ$6:$BQ$85,(卡牌属性!$DW7-2)*20+卡牌属性!$DX7)</f>
        <v>85</v>
      </c>
      <c r="FK7" s="14">
        <f>INDEX(属性投放!$BQ$6:$BQ$85,(卡牌属性!$DW7-2)*20+卡牌属性!$DX7)</f>
        <v>85</v>
      </c>
      <c r="FL7" s="14">
        <f>INDEX(属性投放!$BQ$6:$BQ$85,(卡牌属性!$DW7-2)*20+卡牌属性!$DX7)</f>
        <v>85</v>
      </c>
      <c r="FM7" s="14">
        <f>INDEX(属性投放!$BR$6:$BR$85,(卡牌属性!$DW7-2)*20+卡牌属性!$DX7)</f>
        <v>43</v>
      </c>
      <c r="FN7" s="14">
        <f>INDEX(属性投放!$BR$6:$BR$85,(卡牌属性!$DW7-2)*20+卡牌属性!$DX7)</f>
        <v>43</v>
      </c>
      <c r="FO7" s="14">
        <f>INDEX(属性投放!$BR$6:$BR$85,(卡牌属性!$DW7-2)*20+卡牌属性!$DX7)</f>
        <v>43</v>
      </c>
      <c r="FP7" s="14">
        <f>INDEX(属性投放!$BR$6:$BR$85,(卡牌属性!$DW7-2)*20+卡牌属性!$DX7)</f>
        <v>43</v>
      </c>
      <c r="FQ7" s="14">
        <f>INDEX(属性投放!$BR$6:$BR$85,(卡牌属性!$DW7-2)*20+卡牌属性!$DX7)</f>
        <v>43</v>
      </c>
      <c r="FR7" s="14">
        <f>INDEX(属性投放!$BS$6:$BS$85,(卡牌属性!$DW7-2)*20+卡牌属性!$DX7)</f>
        <v>510</v>
      </c>
      <c r="FS7" s="14">
        <f>INDEX(属性投放!$BS$6:$BS$85,(卡牌属性!$DW7-2)*20+卡牌属性!$DX7)</f>
        <v>510</v>
      </c>
      <c r="FT7" s="14">
        <f>INDEX(属性投放!$BS$6:$BS$85,(卡牌属性!$DW7-2)*20+卡牌属性!$DX7)</f>
        <v>510</v>
      </c>
      <c r="FU7" s="14">
        <f>INDEX(属性投放!$BS$6:$BS$85,(卡牌属性!$DW7-2)*20+卡牌属性!$DX7)</f>
        <v>510</v>
      </c>
      <c r="FV7" s="14">
        <f>INDEX(属性投放!$BS$6:$BS$85,(卡牌属性!$DW7-2)*20+卡牌属性!$DX7)</f>
        <v>510</v>
      </c>
      <c r="FZ7" s="13">
        <v>3</v>
      </c>
      <c r="GA7" s="13">
        <f t="shared" si="22"/>
        <v>1</v>
      </c>
      <c r="GB7" s="14">
        <f t="shared" si="56"/>
        <v>1102001</v>
      </c>
      <c r="GC7" s="14" t="s">
        <v>1187</v>
      </c>
      <c r="GD7" s="14">
        <f t="shared" si="23"/>
        <v>3</v>
      </c>
      <c r="GE7" s="14" t="str">
        <f t="shared" si="24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5"/>
        <v>1</v>
      </c>
      <c r="GP7" s="14">
        <f t="shared" si="57"/>
        <v>1101001</v>
      </c>
      <c r="GQ7" s="14" t="s">
        <v>1187</v>
      </c>
      <c r="GR7" s="14">
        <f t="shared" si="26"/>
        <v>3</v>
      </c>
      <c r="GS7" s="14" t="str">
        <f t="shared" si="27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MATCH(HC7,属性投放!$AO$6:$AO$58,1)-1</f>
        <v>1</v>
      </c>
      <c r="HF7" s="13">
        <f>MATCH(HC7-1,属性投放!$AE$6:$AE$26,1)</f>
        <v>1</v>
      </c>
      <c r="HG7" s="13" t="str">
        <f>INDEX(属性投放!$AB$7:$AB$26,卡牌属性!HF7)</f>
        <v>等活</v>
      </c>
      <c r="HH7" s="14">
        <f t="shared" si="58"/>
        <v>200</v>
      </c>
      <c r="HI7" s="14">
        <f t="shared" si="59"/>
        <v>40</v>
      </c>
      <c r="HJ7" s="14">
        <f t="shared" si="60"/>
        <v>650</v>
      </c>
      <c r="HK7" s="14">
        <f t="shared" si="61"/>
        <v>12</v>
      </c>
      <c r="HL7" s="14">
        <f t="shared" si="62"/>
        <v>5</v>
      </c>
      <c r="HM7" s="14">
        <f t="shared" si="63"/>
        <v>60</v>
      </c>
      <c r="HN7" s="14">
        <f>HH7+HK7*($HC7-INDEX(属性投放!$AE$6:$AE$26,卡牌属性!$HF7))</f>
        <v>224</v>
      </c>
      <c r="HO7" s="14">
        <f>HI7+HL7*($HC7-INDEX(属性投放!$AE$6:$AE$26,卡牌属性!$HF7))</f>
        <v>50</v>
      </c>
      <c r="HP7" s="14">
        <f>HJ7+HM7*($HC7-INDEX(属性投放!$AE$6:$AE$26,卡牌属性!$HF7))</f>
        <v>770</v>
      </c>
      <c r="HQ7" s="14">
        <f t="shared" si="64"/>
        <v>25</v>
      </c>
      <c r="HR7" s="14">
        <f t="shared" si="65"/>
        <v>13</v>
      </c>
      <c r="HS7" s="14">
        <f t="shared" si="66"/>
        <v>150</v>
      </c>
      <c r="HT7" s="14">
        <f>IF(COUNTIF(属性投放!$AO$7:$AO$58,"="&amp;卡牌属性!HC7)&gt;0,卡牌属性!HE7,0)</f>
        <v>1</v>
      </c>
      <c r="HU7" s="14">
        <f t="shared" si="67"/>
        <v>25</v>
      </c>
      <c r="HV7" s="14">
        <f t="shared" si="68"/>
        <v>13</v>
      </c>
      <c r="HW7" s="14">
        <f t="shared" si="69"/>
        <v>150</v>
      </c>
      <c r="HX7" s="14">
        <f>IF(COUNTIF(属性投放!$AE$6:$AE$26,"="&amp;卡牌属性!HC7)&gt;0,卡牌属性!HF7,0)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12</v>
      </c>
      <c r="IC7" s="14">
        <f t="shared" si="74"/>
        <v>5</v>
      </c>
      <c r="ID7" s="14">
        <f t="shared" si="75"/>
        <v>60</v>
      </c>
      <c r="IE7" s="14">
        <f t="shared" si="76"/>
        <v>249</v>
      </c>
      <c r="IF7" s="14">
        <f t="shared" si="77"/>
        <v>63</v>
      </c>
      <c r="IG7" s="14">
        <f t="shared" si="78"/>
        <v>920</v>
      </c>
      <c r="IH7" s="14">
        <f t="shared" si="79"/>
        <v>280</v>
      </c>
      <c r="II7" s="14">
        <f t="shared" si="80"/>
        <v>660</v>
      </c>
      <c r="IJ7" s="14">
        <f t="shared" si="81"/>
        <v>0</v>
      </c>
      <c r="IK7" s="14">
        <f t="shared" si="82"/>
        <v>4670</v>
      </c>
      <c r="IL7" s="17">
        <f t="shared" si="83"/>
        <v>5.9957173447537475E-2</v>
      </c>
      <c r="IM7" s="17">
        <f t="shared" si="84"/>
        <v>0.14132762312633834</v>
      </c>
      <c r="IN7" s="17">
        <f t="shared" si="85"/>
        <v>0</v>
      </c>
      <c r="IO7" s="23">
        <f>SUM(IH$5:IH7)</f>
        <v>840</v>
      </c>
      <c r="IP7" s="14">
        <f>SUM(II$5:II7)</f>
        <v>660</v>
      </c>
      <c r="IQ7" s="14">
        <f>SUM(IJ$5:IJ7)</f>
        <v>0</v>
      </c>
      <c r="IR7" s="17">
        <f t="shared" si="86"/>
        <v>0.17987152034261242</v>
      </c>
      <c r="IS7" s="17">
        <f t="shared" si="87"/>
        <v>0.14132762312633834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MATCH(IW7-1,属性投放!$AD$7:$AD$26,1)</f>
        <v>1</v>
      </c>
      <c r="IZ7" s="14" t="str">
        <f>INDEX(属性投放!$AB$7:$AB$26,IY7)</f>
        <v>等活</v>
      </c>
      <c r="JA7" s="14">
        <f t="shared" si="89"/>
        <v>100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36</v>
      </c>
      <c r="JG7" s="14">
        <f>INDEX(属性投放!$DC$6:$DC$85,卡牌属性!IY7)</f>
        <v>1</v>
      </c>
      <c r="JH7" s="14">
        <f t="shared" si="95"/>
        <v>112</v>
      </c>
      <c r="JI7" s="14">
        <f t="shared" si="96"/>
        <v>6</v>
      </c>
      <c r="JJ7" s="14">
        <f t="shared" si="97"/>
        <v>322</v>
      </c>
      <c r="JK7" s="14">
        <f t="shared" si="98"/>
        <v>942</v>
      </c>
    </row>
    <row r="8" spans="1:271" ht="16.5" x14ac:dyDescent="0.2">
      <c r="A8" s="13">
        <v>1101003</v>
      </c>
      <c r="B8" s="13" t="s">
        <v>236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556</v>
      </c>
      <c r="H8" s="13" t="s">
        <v>556</v>
      </c>
      <c r="I8" s="13" t="s">
        <v>556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924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560</v>
      </c>
      <c r="W8" s="13" t="s">
        <v>558</v>
      </c>
      <c r="X8" s="13" t="s">
        <v>558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1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142</v>
      </c>
      <c r="AM8" s="14">
        <v>1</v>
      </c>
      <c r="AN8" s="14">
        <f t="shared" si="5"/>
        <v>4</v>
      </c>
      <c r="AO8" s="14">
        <f>INDEX(属性投放!$DF$6:$DF$85,(卡牌属性!AG8-2)*20+卡牌属性!AN8)</f>
        <v>484</v>
      </c>
      <c r="AP8" s="14">
        <f t="shared" si="6"/>
        <v>484</v>
      </c>
      <c r="AQ8" s="14">
        <f t="shared" si="6"/>
        <v>484</v>
      </c>
      <c r="AR8" s="14">
        <f t="shared" si="6"/>
        <v>484</v>
      </c>
      <c r="AS8" s="14">
        <f t="shared" si="6"/>
        <v>484</v>
      </c>
      <c r="AT8" s="14">
        <f>INDEX(属性投放!$DG$6:$DG$85,(卡牌属性!AG8-2)*20+卡牌属性!AN8)</f>
        <v>162</v>
      </c>
      <c r="AU8" s="14">
        <f t="shared" si="7"/>
        <v>162</v>
      </c>
      <c r="AV8" s="14">
        <f t="shared" si="7"/>
        <v>162</v>
      </c>
      <c r="AW8" s="14">
        <f t="shared" si="7"/>
        <v>162</v>
      </c>
      <c r="AX8" s="14">
        <f t="shared" si="7"/>
        <v>162</v>
      </c>
      <c r="AY8" s="14">
        <f>INDEX(属性投放!$DH$6:$DH$85,(卡牌属性!AG8-2)*20+卡牌属性!AN8)</f>
        <v>2379</v>
      </c>
      <c r="AZ8" s="14">
        <f t="shared" si="8"/>
        <v>2379</v>
      </c>
      <c r="BA8" s="14">
        <f t="shared" si="8"/>
        <v>2379</v>
      </c>
      <c r="BB8" s="14">
        <f t="shared" si="8"/>
        <v>2379</v>
      </c>
      <c r="BC8" s="14">
        <f t="shared" si="8"/>
        <v>2379</v>
      </c>
      <c r="BD8" s="14">
        <f>INDEX(属性投放!$DL$6:$DL$85,(卡牌属性!AG8-2)*20+卡牌属性!AN8)</f>
        <v>30</v>
      </c>
      <c r="BE8" s="14">
        <f t="shared" si="9"/>
        <v>30</v>
      </c>
      <c r="BF8" s="14">
        <f t="shared" si="9"/>
        <v>30</v>
      </c>
      <c r="BG8" s="14">
        <f t="shared" si="9"/>
        <v>30</v>
      </c>
      <c r="BH8" s="14">
        <f t="shared" si="9"/>
        <v>30</v>
      </c>
      <c r="BI8" s="14">
        <f>INDEX(属性投放!$DM$6:$DM$85,(卡牌属性!AG8-2)*20+卡牌属性!AN8)</f>
        <v>15</v>
      </c>
      <c r="BJ8" s="14">
        <f t="shared" si="10"/>
        <v>15</v>
      </c>
      <c r="BK8" s="14">
        <f t="shared" si="10"/>
        <v>15</v>
      </c>
      <c r="BL8" s="14">
        <f t="shared" si="10"/>
        <v>15</v>
      </c>
      <c r="BM8" s="14">
        <f t="shared" si="10"/>
        <v>15</v>
      </c>
      <c r="BN8" s="14">
        <f>INDEX(属性投放!$DN$6:$DN$85,(卡牌属性!AG8-2)*20+卡牌属性!AN8)</f>
        <v>208</v>
      </c>
      <c r="BO8" s="14">
        <f t="shared" si="11"/>
        <v>208</v>
      </c>
      <c r="BP8" s="14">
        <f t="shared" si="11"/>
        <v>208</v>
      </c>
      <c r="BQ8" s="14">
        <f t="shared" si="11"/>
        <v>208</v>
      </c>
      <c r="BR8" s="14">
        <f t="shared" si="11"/>
        <v>208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32"/>
        <v>1102001</v>
      </c>
      <c r="CA8" s="14" t="str">
        <f t="shared" si="33"/>
        <v>关羽4突</v>
      </c>
      <c r="CB8" s="25" t="s">
        <v>142</v>
      </c>
      <c r="CC8" s="14">
        <v>2</v>
      </c>
      <c r="CD8" s="14">
        <f t="shared" si="14"/>
        <v>4</v>
      </c>
      <c r="CE8" s="14" t="s">
        <v>21</v>
      </c>
      <c r="CF8" s="14">
        <f>INDEX(属性投放!$AZ$6:$AZ$85,(BY8-2)*20+CD8)</f>
        <v>1140</v>
      </c>
      <c r="CG8" s="14" t="s">
        <v>22</v>
      </c>
      <c r="CH8" s="14">
        <f>INDEX(属性投放!$BA$6:$BA$85,(BY8-2)*20+CD8)</f>
        <v>474</v>
      </c>
      <c r="CI8" s="14" t="s">
        <v>510</v>
      </c>
      <c r="CJ8" s="14">
        <f>INDEX(属性投放!$BB$6:$BB$85,(BY8-2)*20+CD8)</f>
        <v>6240</v>
      </c>
      <c r="CK8" s="14" t="s">
        <v>21</v>
      </c>
      <c r="CL8" s="14">
        <f>INDEX(属性投放!$BC$6:$BC$85,(BY8-2)*20+CD8)</f>
        <v>25</v>
      </c>
      <c r="CM8" s="14" t="s">
        <v>22</v>
      </c>
      <c r="CN8" s="14">
        <f>INDEX(属性投放!$BD$6:$BD$85,(BY8-2)*20+CD8)</f>
        <v>13</v>
      </c>
      <c r="CO8" s="14" t="s">
        <v>510</v>
      </c>
      <c r="CP8" s="14">
        <f>INDEX(属性投放!$BE$6:$BE$85,(BY8-2)*20+CD8)</f>
        <v>175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INDEX($O$6:$O$50,CT8)&amp;"-"&amp;INDEX(属性投放!$AB$7:$AB$50,CZ8)&amp;"-魂火-"&amp;DB8</f>
        <v>关羽-黑绳+1-魂火-1</v>
      </c>
      <c r="CY8" s="25" t="s">
        <v>142</v>
      </c>
      <c r="CZ8" s="14">
        <f>INDEX(属性投放!$AM$7:$AM$58,CU8)</f>
        <v>3</v>
      </c>
      <c r="DA8" s="14" t="s">
        <v>537</v>
      </c>
      <c r="DB8" s="14">
        <f>INDEX(属性投放!$AN$7:$AN$58,CU8)</f>
        <v>1</v>
      </c>
      <c r="DC8" s="14">
        <f t="shared" si="16"/>
        <v>4</v>
      </c>
      <c r="DD8" s="14">
        <f>INDEX(属性投放!$AO$7:$AO$58,DC8)</f>
        <v>18</v>
      </c>
      <c r="DE8" s="14" t="s">
        <v>538</v>
      </c>
      <c r="DF8" s="14">
        <f>INDEX(属性投放!$BK$6:$BK$85,(CV8-2)*20+CZ8)</f>
        <v>45</v>
      </c>
      <c r="DG8" s="14">
        <f>SUMIFS(DF$5:DF8,$CT$5:$CT8,"="&amp;$CT8)</f>
        <v>160</v>
      </c>
      <c r="DH8" s="14" t="s">
        <v>539</v>
      </c>
      <c r="DI8" s="14">
        <f>INDEX(属性投放!$BL$6:$BL$85,(CV8-2)*20+CZ8)</f>
        <v>23</v>
      </c>
      <c r="DJ8" s="14">
        <f>SUMIFS(DI$5:DI8,$CT$5:$CT8,"="&amp;$CT8)</f>
        <v>81</v>
      </c>
      <c r="DK8" s="14" t="s">
        <v>540</v>
      </c>
      <c r="DL8" s="14">
        <f>INDEX(属性投放!$BM$6:$BM$85,(CV8-2)*20+CZ8)</f>
        <v>270</v>
      </c>
      <c r="DM8" s="14">
        <f>SUMIFS(DL$5:DL8,$CT$5:$CT8,"="&amp;$CT8)</f>
        <v>960</v>
      </c>
      <c r="DR8" s="14">
        <f t="shared" si="17"/>
        <v>1102001</v>
      </c>
      <c r="DS8" s="14" t="str">
        <f t="shared" si="18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19"/>
        <v>5</v>
      </c>
      <c r="DX8" s="14">
        <f t="shared" si="20"/>
        <v>4</v>
      </c>
      <c r="DY8" s="14">
        <f t="shared" si="21"/>
        <v>64</v>
      </c>
      <c r="DZ8" s="14">
        <f>INDEX(属性投放!$AX$6:$AX$85,(卡牌属性!DW8-2)*20+卡牌属性!DX8)</f>
        <v>10</v>
      </c>
      <c r="EA8" s="14">
        <f>INDEX(属性投放!BQ$6:BQ$85,卡牌属性!$DY8)</f>
        <v>120</v>
      </c>
      <c r="EB8" s="14">
        <f>INDEX(属性投放!BR$6:BR$85,卡牌属性!$DY8)</f>
        <v>60</v>
      </c>
      <c r="EC8" s="14">
        <f>INDEX(属性投放!BS$6:BS$85,卡牌属性!$DY8)</f>
        <v>840</v>
      </c>
      <c r="ED8" s="14">
        <f t="shared" si="41"/>
        <v>935</v>
      </c>
      <c r="EE8" s="14">
        <f t="shared" si="42"/>
        <v>1105</v>
      </c>
      <c r="EF8" s="14">
        <f t="shared" si="43"/>
        <v>1275</v>
      </c>
      <c r="EG8" s="14">
        <f t="shared" si="44"/>
        <v>1275</v>
      </c>
      <c r="EH8" s="14">
        <f t="shared" si="45"/>
        <v>1595</v>
      </c>
      <c r="EI8" s="14">
        <f t="shared" si="46"/>
        <v>322</v>
      </c>
      <c r="EJ8" s="14">
        <f t="shared" si="47"/>
        <v>371</v>
      </c>
      <c r="EK8" s="14">
        <f t="shared" si="48"/>
        <v>371</v>
      </c>
      <c r="EL8" s="14">
        <f t="shared" si="49"/>
        <v>420</v>
      </c>
      <c r="EM8" s="14">
        <f t="shared" si="50"/>
        <v>538</v>
      </c>
      <c r="EN8" s="14">
        <f t="shared" si="51"/>
        <v>3938</v>
      </c>
      <c r="EO8" s="14">
        <f t="shared" si="52"/>
        <v>4402</v>
      </c>
      <c r="EP8" s="14">
        <f t="shared" si="53"/>
        <v>4402</v>
      </c>
      <c r="EQ8" s="14">
        <f t="shared" si="54"/>
        <v>5010</v>
      </c>
      <c r="ER8" s="14">
        <f t="shared" si="55"/>
        <v>6030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140</v>
      </c>
      <c r="FD8" s="14">
        <f>INDEX(属性偏向!$U$4:$U$243,(卡牌属性!$DV8-1+FD$3)*20+卡牌属性!$DX8)</f>
        <v>154</v>
      </c>
      <c r="FE8" s="14">
        <f>INDEX(属性偏向!$U$4:$U$243,(卡牌属性!$DV8-1+FE$3)*20+卡牌属性!$DX8)</f>
        <v>154</v>
      </c>
      <c r="FF8" s="14">
        <f>INDEX(属性偏向!$U$4:$U$243,(卡牌属性!$DV8-1+FF$3)*20+卡牌属性!$DX8)</f>
        <v>175</v>
      </c>
      <c r="FG8" s="14">
        <f>INDEX(属性偏向!$U$4:$U$243,(卡牌属性!$DV8-1+FG$3)*20+卡牌属性!$DX8)</f>
        <v>210</v>
      </c>
      <c r="FH8" s="14">
        <f>INDEX(属性投放!$BQ$6:$BQ$85,(卡牌属性!$DW8-2)*20+卡牌属性!$DX8)</f>
        <v>120</v>
      </c>
      <c r="FI8" s="14">
        <f>INDEX(属性投放!$BQ$6:$BQ$85,(卡牌属性!$DW8-2)*20+卡牌属性!$DX8)</f>
        <v>120</v>
      </c>
      <c r="FJ8" s="14">
        <f>INDEX(属性投放!$BQ$6:$BQ$85,(卡牌属性!$DW8-2)*20+卡牌属性!$DX8)</f>
        <v>120</v>
      </c>
      <c r="FK8" s="14">
        <f>INDEX(属性投放!$BQ$6:$BQ$85,(卡牌属性!$DW8-2)*20+卡牌属性!$DX8)</f>
        <v>120</v>
      </c>
      <c r="FL8" s="14">
        <f>INDEX(属性投放!$BQ$6:$BQ$85,(卡牌属性!$DW8-2)*20+卡牌属性!$DX8)</f>
        <v>120</v>
      </c>
      <c r="FM8" s="14">
        <f>INDEX(属性投放!$BR$6:$BR$85,(卡牌属性!$DW8-2)*20+卡牌属性!$DX8)</f>
        <v>60</v>
      </c>
      <c r="FN8" s="14">
        <f>INDEX(属性投放!$BR$6:$BR$85,(卡牌属性!$DW8-2)*20+卡牌属性!$DX8)</f>
        <v>60</v>
      </c>
      <c r="FO8" s="14">
        <f>INDEX(属性投放!$BR$6:$BR$85,(卡牌属性!$DW8-2)*20+卡牌属性!$DX8)</f>
        <v>60</v>
      </c>
      <c r="FP8" s="14">
        <f>INDEX(属性投放!$BR$6:$BR$85,(卡牌属性!$DW8-2)*20+卡牌属性!$DX8)</f>
        <v>60</v>
      </c>
      <c r="FQ8" s="14">
        <f>INDEX(属性投放!$BR$6:$BR$85,(卡牌属性!$DW8-2)*20+卡牌属性!$DX8)</f>
        <v>60</v>
      </c>
      <c r="FR8" s="14">
        <f>INDEX(属性投放!$BS$6:$BS$85,(卡牌属性!$DW8-2)*20+卡牌属性!$DX8)</f>
        <v>840</v>
      </c>
      <c r="FS8" s="14">
        <f>INDEX(属性投放!$BS$6:$BS$85,(卡牌属性!$DW8-2)*20+卡牌属性!$DX8)</f>
        <v>840</v>
      </c>
      <c r="FT8" s="14">
        <f>INDEX(属性投放!$BS$6:$BS$85,(卡牌属性!$DW8-2)*20+卡牌属性!$DX8)</f>
        <v>840</v>
      </c>
      <c r="FU8" s="14">
        <f>INDEX(属性投放!$BS$6:$BS$85,(卡牌属性!$DW8-2)*20+卡牌属性!$DX8)</f>
        <v>840</v>
      </c>
      <c r="FV8" s="14">
        <f>INDEX(属性投放!$BS$6:$BS$85,(卡牌属性!$DW8-2)*20+卡牌属性!$DX8)</f>
        <v>840</v>
      </c>
      <c r="FZ8" s="13">
        <v>4</v>
      </c>
      <c r="GA8" s="13">
        <f t="shared" si="22"/>
        <v>1</v>
      </c>
      <c r="GB8" s="14">
        <f t="shared" si="56"/>
        <v>1102001</v>
      </c>
      <c r="GC8" s="14" t="s">
        <v>1187</v>
      </c>
      <c r="GD8" s="14">
        <f t="shared" si="23"/>
        <v>4</v>
      </c>
      <c r="GE8" s="14" t="str">
        <f t="shared" si="24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5"/>
        <v>1</v>
      </c>
      <c r="GP8" s="14">
        <f t="shared" si="57"/>
        <v>1101001</v>
      </c>
      <c r="GQ8" s="14" t="s">
        <v>1187</v>
      </c>
      <c r="GR8" s="14">
        <f t="shared" si="26"/>
        <v>4</v>
      </c>
      <c r="GS8" s="14" t="str">
        <f t="shared" si="27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MATCH(HC8,属性投放!$AO$6:$AO$58,1)-1</f>
        <v>1</v>
      </c>
      <c r="HF8" s="13">
        <f>MATCH(HC8-1,属性投放!$AE$6:$AE$26,1)</f>
        <v>1</v>
      </c>
      <c r="HG8" s="13" t="str">
        <f>INDEX(属性投放!$AB$7:$AB$26,卡牌属性!HF8)</f>
        <v>等活</v>
      </c>
      <c r="HH8" s="14">
        <f t="shared" si="58"/>
        <v>200</v>
      </c>
      <c r="HI8" s="14">
        <f t="shared" si="59"/>
        <v>40</v>
      </c>
      <c r="HJ8" s="14">
        <f t="shared" si="60"/>
        <v>650</v>
      </c>
      <c r="HK8" s="14">
        <f t="shared" si="61"/>
        <v>12</v>
      </c>
      <c r="HL8" s="14">
        <f t="shared" si="62"/>
        <v>5</v>
      </c>
      <c r="HM8" s="14">
        <f t="shared" si="63"/>
        <v>60</v>
      </c>
      <c r="HN8" s="14">
        <f>HH8+HK8*($HC8-INDEX(属性投放!$AE$6:$AE$26,卡牌属性!$HF8))</f>
        <v>236</v>
      </c>
      <c r="HO8" s="14">
        <f>HI8+HL8*($HC8-INDEX(属性投放!$AE$6:$AE$26,卡牌属性!$HF8))</f>
        <v>55</v>
      </c>
      <c r="HP8" s="14">
        <f>HJ8+HM8*($HC8-INDEX(属性投放!$AE$6:$AE$26,卡牌属性!$HF8))</f>
        <v>830</v>
      </c>
      <c r="HQ8" s="14">
        <f t="shared" si="64"/>
        <v>25</v>
      </c>
      <c r="HR8" s="14">
        <f t="shared" si="65"/>
        <v>13</v>
      </c>
      <c r="HS8" s="14">
        <f t="shared" si="66"/>
        <v>150</v>
      </c>
      <c r="HT8" s="14">
        <f>IF(COUNTIF(属性投放!$AO$7:$AO$58,"="&amp;卡牌属性!HC8)&gt;0,卡牌属性!HE8,0)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IF(COUNTIF(属性投放!$AE$6:$AE$26,"="&amp;卡牌属性!HC8)&gt;0,卡牌属性!HF8,0)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12</v>
      </c>
      <c r="IC8" s="14">
        <f t="shared" si="74"/>
        <v>5</v>
      </c>
      <c r="ID8" s="14">
        <f t="shared" si="75"/>
        <v>60</v>
      </c>
      <c r="IE8" s="14">
        <f t="shared" si="76"/>
        <v>261</v>
      </c>
      <c r="IF8" s="14">
        <f t="shared" si="77"/>
        <v>68</v>
      </c>
      <c r="IG8" s="14">
        <f t="shared" si="78"/>
        <v>980</v>
      </c>
      <c r="IH8" s="14">
        <f t="shared" si="79"/>
        <v>280</v>
      </c>
      <c r="II8" s="14">
        <f t="shared" si="80"/>
        <v>0</v>
      </c>
      <c r="IJ8" s="14">
        <f t="shared" si="81"/>
        <v>0</v>
      </c>
      <c r="IK8" s="14">
        <f t="shared" si="82"/>
        <v>4950</v>
      </c>
      <c r="IL8" s="17">
        <f t="shared" si="83"/>
        <v>5.6565656565656569E-2</v>
      </c>
      <c r="IM8" s="17">
        <f t="shared" si="84"/>
        <v>0</v>
      </c>
      <c r="IN8" s="17">
        <f t="shared" si="85"/>
        <v>0</v>
      </c>
      <c r="IO8" s="23">
        <f>SUM(IH$5:IH8)</f>
        <v>1120</v>
      </c>
      <c r="IP8" s="14">
        <f>SUM(II$5:II8)</f>
        <v>660</v>
      </c>
      <c r="IQ8" s="14">
        <f>SUM(IJ$5:IJ8)</f>
        <v>0</v>
      </c>
      <c r="IR8" s="17">
        <f t="shared" si="86"/>
        <v>0.22626262626262628</v>
      </c>
      <c r="IS8" s="17">
        <f t="shared" si="87"/>
        <v>0.13333333333333333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MATCH(IW8-1,属性投放!$AD$7:$AD$26,1)</f>
        <v>1</v>
      </c>
      <c r="IZ8" s="14" t="str">
        <f>INDEX(属性投放!$AB$7:$AB$26,IY8)</f>
        <v>等活</v>
      </c>
      <c r="JA8" s="14">
        <f t="shared" si="89"/>
        <v>100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36</v>
      </c>
      <c r="JG8" s="14">
        <f>INDEX(属性投放!$DC$6:$DC$85,卡牌属性!IY8)</f>
        <v>1</v>
      </c>
      <c r="JH8" s="14">
        <f t="shared" si="95"/>
        <v>118</v>
      </c>
      <c r="JI8" s="14">
        <f t="shared" si="96"/>
        <v>9</v>
      </c>
      <c r="JJ8" s="14">
        <f t="shared" si="97"/>
        <v>358</v>
      </c>
      <c r="JK8" s="14">
        <f t="shared" si="98"/>
        <v>1038</v>
      </c>
    </row>
    <row r="9" spans="1:271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560</v>
      </c>
      <c r="H9" s="13" t="s">
        <v>560</v>
      </c>
      <c r="I9" s="13" t="s">
        <v>560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925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554</v>
      </c>
      <c r="W9" s="13" t="s">
        <v>550</v>
      </c>
      <c r="X9" s="13" t="s">
        <v>552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1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142</v>
      </c>
      <c r="AM9" s="14">
        <v>1</v>
      </c>
      <c r="AN9" s="14">
        <f t="shared" si="5"/>
        <v>5</v>
      </c>
      <c r="AO9" s="14">
        <f>INDEX(属性投放!$DF$6:$DF$85,(卡牌属性!AG9-2)*20+卡牌属性!AN9)</f>
        <v>569</v>
      </c>
      <c r="AP9" s="14">
        <f t="shared" si="6"/>
        <v>569</v>
      </c>
      <c r="AQ9" s="14">
        <f t="shared" si="6"/>
        <v>569</v>
      </c>
      <c r="AR9" s="14">
        <f t="shared" si="6"/>
        <v>569</v>
      </c>
      <c r="AS9" s="14">
        <f t="shared" si="6"/>
        <v>569</v>
      </c>
      <c r="AT9" s="14">
        <f>INDEX(属性投放!$DG$6:$DG$85,(卡牌属性!AG9-2)*20+卡牌属性!AN9)</f>
        <v>205</v>
      </c>
      <c r="AU9" s="14">
        <f t="shared" si="7"/>
        <v>205</v>
      </c>
      <c r="AV9" s="14">
        <f t="shared" si="7"/>
        <v>205</v>
      </c>
      <c r="AW9" s="14">
        <f t="shared" si="7"/>
        <v>205</v>
      </c>
      <c r="AX9" s="14">
        <f t="shared" si="7"/>
        <v>205</v>
      </c>
      <c r="AY9" s="14">
        <f>INDEX(属性投放!$DH$6:$DH$85,(卡牌属性!AG9-2)*20+卡牌属性!AN9)</f>
        <v>2973</v>
      </c>
      <c r="AZ9" s="14">
        <f t="shared" si="8"/>
        <v>2973</v>
      </c>
      <c r="BA9" s="14">
        <f t="shared" si="8"/>
        <v>2973</v>
      </c>
      <c r="BB9" s="14">
        <f t="shared" si="8"/>
        <v>2973</v>
      </c>
      <c r="BC9" s="14">
        <f t="shared" si="8"/>
        <v>2973</v>
      </c>
      <c r="BD9" s="14">
        <f>INDEX(属性投放!$DL$6:$DL$85,(卡牌属性!AG9-2)*20+卡牌属性!AN9)</f>
        <v>30</v>
      </c>
      <c r="BE9" s="14">
        <f t="shared" si="9"/>
        <v>30</v>
      </c>
      <c r="BF9" s="14">
        <f t="shared" si="9"/>
        <v>30</v>
      </c>
      <c r="BG9" s="14">
        <f t="shared" si="9"/>
        <v>30</v>
      </c>
      <c r="BH9" s="14">
        <f t="shared" si="9"/>
        <v>30</v>
      </c>
      <c r="BI9" s="14">
        <f>INDEX(属性投放!$DM$6:$DM$85,(卡牌属性!AG9-2)*20+卡牌属性!AN9)</f>
        <v>15</v>
      </c>
      <c r="BJ9" s="14">
        <f t="shared" si="10"/>
        <v>15</v>
      </c>
      <c r="BK9" s="14">
        <f t="shared" si="10"/>
        <v>15</v>
      </c>
      <c r="BL9" s="14">
        <f t="shared" si="10"/>
        <v>15</v>
      </c>
      <c r="BM9" s="14">
        <f t="shared" si="10"/>
        <v>15</v>
      </c>
      <c r="BN9" s="14">
        <f>INDEX(属性投放!$DN$6:$DN$85,(卡牌属性!AG9-2)*20+卡牌属性!AN9)</f>
        <v>208</v>
      </c>
      <c r="BO9" s="14">
        <f t="shared" si="11"/>
        <v>208</v>
      </c>
      <c r="BP9" s="14">
        <f t="shared" si="11"/>
        <v>208</v>
      </c>
      <c r="BQ9" s="14">
        <f t="shared" si="11"/>
        <v>208</v>
      </c>
      <c r="BR9" s="14">
        <f t="shared" si="11"/>
        <v>208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32"/>
        <v>1102001</v>
      </c>
      <c r="CA9" s="14" t="str">
        <f t="shared" si="33"/>
        <v>关羽5突</v>
      </c>
      <c r="CB9" s="25" t="s">
        <v>142</v>
      </c>
      <c r="CC9" s="14">
        <v>2</v>
      </c>
      <c r="CD9" s="14">
        <f t="shared" si="14"/>
        <v>5</v>
      </c>
      <c r="CE9" s="14" t="s">
        <v>21</v>
      </c>
      <c r="CF9" s="14">
        <f>INDEX(属性投放!$AZ$6:$AZ$85,(BY9-2)*20+CD9)</f>
        <v>1630</v>
      </c>
      <c r="CG9" s="14" t="s">
        <v>22</v>
      </c>
      <c r="CH9" s="14">
        <f>INDEX(属性投放!$BA$6:$BA$85,(BY9-2)*20+CD9)</f>
        <v>724</v>
      </c>
      <c r="CI9" s="14" t="s">
        <v>510</v>
      </c>
      <c r="CJ9" s="14">
        <f>INDEX(属性投放!$BB$6:$BB$85,(BY9-2)*20+CD9)</f>
        <v>9670</v>
      </c>
      <c r="CK9" s="14" t="s">
        <v>21</v>
      </c>
      <c r="CL9" s="14">
        <f>INDEX(属性投放!$BC$6:$BC$85,(BY9-2)*20+CD9)</f>
        <v>25</v>
      </c>
      <c r="CM9" s="14" t="s">
        <v>22</v>
      </c>
      <c r="CN9" s="14">
        <f>INDEX(属性投放!$BD$6:$BD$85,(BY9-2)*20+CD9)</f>
        <v>13</v>
      </c>
      <c r="CO9" s="14" t="s">
        <v>510</v>
      </c>
      <c r="CP9" s="14">
        <f>INDEX(属性投放!$BE$6:$BE$85,(BY9-2)*20+CD9)</f>
        <v>175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INDEX($O$6:$O$50,CT9)&amp;"-"&amp;INDEX(属性投放!$AB$7:$AB$50,CZ9)&amp;"-魂火-"&amp;DB9</f>
        <v>关羽-黑绳+1-魂火-2</v>
      </c>
      <c r="CY9" s="25" t="s">
        <v>142</v>
      </c>
      <c r="CZ9" s="14">
        <f>INDEX(属性投放!$AM$7:$AM$58,CU9)</f>
        <v>3</v>
      </c>
      <c r="DA9" s="14" t="s">
        <v>537</v>
      </c>
      <c r="DB9" s="14">
        <f>INDEX(属性投放!$AN$7:$AN$58,CU9)</f>
        <v>2</v>
      </c>
      <c r="DC9" s="14">
        <f t="shared" si="16"/>
        <v>5</v>
      </c>
      <c r="DD9" s="14">
        <f>INDEX(属性投放!$AO$7:$AO$58,DC9)</f>
        <v>23</v>
      </c>
      <c r="DE9" s="14" t="s">
        <v>538</v>
      </c>
      <c r="DF9" s="14">
        <f>INDEX(属性投放!$BK$6:$BK$85,(CV9-2)*20+CZ9)</f>
        <v>45</v>
      </c>
      <c r="DG9" s="14">
        <f>SUMIFS(DF$5:DF9,$CT$5:$CT9,"="&amp;$CT9)</f>
        <v>205</v>
      </c>
      <c r="DH9" s="14" t="s">
        <v>539</v>
      </c>
      <c r="DI9" s="14">
        <f>INDEX(属性投放!$BL$6:$BL$85,(CV9-2)*20+CZ9)</f>
        <v>23</v>
      </c>
      <c r="DJ9" s="14">
        <f>SUMIFS(DI$5:DI9,$CT$5:$CT9,"="&amp;$CT9)</f>
        <v>104</v>
      </c>
      <c r="DK9" s="14" t="s">
        <v>540</v>
      </c>
      <c r="DL9" s="14">
        <f>INDEX(属性投放!$BM$6:$BM$85,(CV9-2)*20+CZ9)</f>
        <v>270</v>
      </c>
      <c r="DM9" s="14">
        <f>SUMIFS(DL$5:DL9,$CT$5:$CT9,"="&amp;$CT9)</f>
        <v>1230</v>
      </c>
      <c r="DR9" s="14">
        <f t="shared" si="17"/>
        <v>1102001</v>
      </c>
      <c r="DS9" s="14" t="str">
        <f t="shared" si="18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19"/>
        <v>5</v>
      </c>
      <c r="DX9" s="14">
        <f t="shared" si="20"/>
        <v>5</v>
      </c>
      <c r="DY9" s="14">
        <f t="shared" si="21"/>
        <v>65</v>
      </c>
      <c r="DZ9" s="14">
        <f>INDEX(属性投放!$AX$6:$AX$85,(卡牌属性!DW9-2)*20+卡牌属性!DX9)</f>
        <v>7</v>
      </c>
      <c r="EA9" s="14">
        <f>INDEX(属性投放!BQ$6:BQ$85,卡牌属性!$DY9)</f>
        <v>135</v>
      </c>
      <c r="EB9" s="14">
        <f>INDEX(属性投放!BR$6:BR$85,卡牌属性!$DY9)</f>
        <v>68</v>
      </c>
      <c r="EC9" s="14">
        <f>INDEX(属性投放!BS$6:BS$85,卡牌属性!$DY9)</f>
        <v>945</v>
      </c>
      <c r="ED9" s="14">
        <f t="shared" si="41"/>
        <v>1305</v>
      </c>
      <c r="EE9" s="14">
        <f t="shared" si="42"/>
        <v>1525</v>
      </c>
      <c r="EF9" s="14">
        <f t="shared" si="43"/>
        <v>1795</v>
      </c>
      <c r="EG9" s="14">
        <f t="shared" si="44"/>
        <v>1795</v>
      </c>
      <c r="EH9" s="14">
        <f t="shared" si="45"/>
        <v>2215</v>
      </c>
      <c r="EI9" s="14">
        <f t="shared" si="46"/>
        <v>482</v>
      </c>
      <c r="EJ9" s="14">
        <f t="shared" si="47"/>
        <v>541</v>
      </c>
      <c r="EK9" s="14">
        <f t="shared" si="48"/>
        <v>541</v>
      </c>
      <c r="EL9" s="14">
        <f t="shared" si="49"/>
        <v>610</v>
      </c>
      <c r="EM9" s="14">
        <f t="shared" si="50"/>
        <v>748</v>
      </c>
      <c r="EN9" s="14">
        <f t="shared" si="51"/>
        <v>6178</v>
      </c>
      <c r="EO9" s="14">
        <f t="shared" si="52"/>
        <v>6782</v>
      </c>
      <c r="EP9" s="14">
        <f t="shared" si="53"/>
        <v>6782</v>
      </c>
      <c r="EQ9" s="14">
        <f t="shared" si="54"/>
        <v>7600</v>
      </c>
      <c r="ER9" s="14">
        <f t="shared" si="55"/>
        <v>8970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140</v>
      </c>
      <c r="FD9" s="14">
        <f>INDEX(属性偏向!$U$4:$U$243,(卡牌属性!$DV9-1+FD$3)*20+卡牌属性!$DX9)</f>
        <v>154</v>
      </c>
      <c r="FE9" s="14">
        <f>INDEX(属性偏向!$U$4:$U$243,(卡牌属性!$DV9-1+FE$3)*20+卡牌属性!$DX9)</f>
        <v>154</v>
      </c>
      <c r="FF9" s="14">
        <f>INDEX(属性偏向!$U$4:$U$243,(卡牌属性!$DV9-1+FF$3)*20+卡牌属性!$DX9)</f>
        <v>175</v>
      </c>
      <c r="FG9" s="14">
        <f>INDEX(属性偏向!$U$4:$U$243,(卡牌属性!$DV9-1+FG$3)*20+卡牌属性!$DX9)</f>
        <v>210</v>
      </c>
      <c r="FH9" s="14">
        <f>INDEX(属性投放!$BQ$6:$BQ$85,(卡牌属性!$DW9-2)*20+卡牌属性!$DX9)</f>
        <v>135</v>
      </c>
      <c r="FI9" s="14">
        <f>INDEX(属性投放!$BQ$6:$BQ$85,(卡牌属性!$DW9-2)*20+卡牌属性!$DX9)</f>
        <v>135</v>
      </c>
      <c r="FJ9" s="14">
        <f>INDEX(属性投放!$BQ$6:$BQ$85,(卡牌属性!$DW9-2)*20+卡牌属性!$DX9)</f>
        <v>135</v>
      </c>
      <c r="FK9" s="14">
        <f>INDEX(属性投放!$BQ$6:$BQ$85,(卡牌属性!$DW9-2)*20+卡牌属性!$DX9)</f>
        <v>135</v>
      </c>
      <c r="FL9" s="14">
        <f>INDEX(属性投放!$BQ$6:$BQ$85,(卡牌属性!$DW9-2)*20+卡牌属性!$DX9)</f>
        <v>135</v>
      </c>
      <c r="FM9" s="14">
        <f>INDEX(属性投放!$BR$6:$BR$85,(卡牌属性!$DW9-2)*20+卡牌属性!$DX9)</f>
        <v>68</v>
      </c>
      <c r="FN9" s="14">
        <f>INDEX(属性投放!$BR$6:$BR$85,(卡牌属性!$DW9-2)*20+卡牌属性!$DX9)</f>
        <v>68</v>
      </c>
      <c r="FO9" s="14">
        <f>INDEX(属性投放!$BR$6:$BR$85,(卡牌属性!$DW9-2)*20+卡牌属性!$DX9)</f>
        <v>68</v>
      </c>
      <c r="FP9" s="14">
        <f>INDEX(属性投放!$BR$6:$BR$85,(卡牌属性!$DW9-2)*20+卡牌属性!$DX9)</f>
        <v>68</v>
      </c>
      <c r="FQ9" s="14">
        <f>INDEX(属性投放!$BR$6:$BR$85,(卡牌属性!$DW9-2)*20+卡牌属性!$DX9)</f>
        <v>68</v>
      </c>
      <c r="FR9" s="14">
        <f>INDEX(属性投放!$BS$6:$BS$85,(卡牌属性!$DW9-2)*20+卡牌属性!$DX9)</f>
        <v>945</v>
      </c>
      <c r="FS9" s="14">
        <f>INDEX(属性投放!$BS$6:$BS$85,(卡牌属性!$DW9-2)*20+卡牌属性!$DX9)</f>
        <v>945</v>
      </c>
      <c r="FT9" s="14">
        <f>INDEX(属性投放!$BS$6:$BS$85,(卡牌属性!$DW9-2)*20+卡牌属性!$DX9)</f>
        <v>945</v>
      </c>
      <c r="FU9" s="14">
        <f>INDEX(属性投放!$BS$6:$BS$85,(卡牌属性!$DW9-2)*20+卡牌属性!$DX9)</f>
        <v>945</v>
      </c>
      <c r="FV9" s="14">
        <f>INDEX(属性投放!$BS$6:$BS$85,(卡牌属性!$DW9-2)*20+卡牌属性!$DX9)</f>
        <v>945</v>
      </c>
      <c r="FZ9" s="13">
        <v>5</v>
      </c>
      <c r="GA9" s="13">
        <f t="shared" si="22"/>
        <v>1</v>
      </c>
      <c r="GB9" s="14">
        <f t="shared" si="56"/>
        <v>1102001</v>
      </c>
      <c r="GC9" s="14" t="s">
        <v>1187</v>
      </c>
      <c r="GD9" s="14">
        <f t="shared" si="23"/>
        <v>5</v>
      </c>
      <c r="GE9" s="14" t="str">
        <f t="shared" si="24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5"/>
        <v>1</v>
      </c>
      <c r="GP9" s="14">
        <f t="shared" si="57"/>
        <v>1101001</v>
      </c>
      <c r="GQ9" s="14" t="s">
        <v>1187</v>
      </c>
      <c r="GR9" s="14">
        <f t="shared" si="26"/>
        <v>5</v>
      </c>
      <c r="GS9" s="14" t="str">
        <f t="shared" si="27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MATCH(HC9,属性投放!$AO$6:$AO$58,1)-1</f>
        <v>1</v>
      </c>
      <c r="HF9" s="13">
        <f>MATCH(HC9-1,属性投放!$AE$6:$AE$26,1)</f>
        <v>1</v>
      </c>
      <c r="HG9" s="13" t="str">
        <f>INDEX(属性投放!$AB$7:$AB$26,卡牌属性!HF9)</f>
        <v>等活</v>
      </c>
      <c r="HH9" s="14">
        <f t="shared" si="58"/>
        <v>200</v>
      </c>
      <c r="HI9" s="14">
        <f t="shared" si="59"/>
        <v>40</v>
      </c>
      <c r="HJ9" s="14">
        <f t="shared" si="60"/>
        <v>650</v>
      </c>
      <c r="HK9" s="14">
        <f t="shared" si="61"/>
        <v>12</v>
      </c>
      <c r="HL9" s="14">
        <f t="shared" si="62"/>
        <v>5</v>
      </c>
      <c r="HM9" s="14">
        <f t="shared" si="63"/>
        <v>60</v>
      </c>
      <c r="HN9" s="14">
        <f>HH9+HK9*($HC9-INDEX(属性投放!$AE$6:$AE$26,卡牌属性!$HF9))</f>
        <v>248</v>
      </c>
      <c r="HO9" s="14">
        <f>HI9+HL9*($HC9-INDEX(属性投放!$AE$6:$AE$26,卡牌属性!$HF9))</f>
        <v>60</v>
      </c>
      <c r="HP9" s="14">
        <f>HJ9+HM9*($HC9-INDEX(属性投放!$AE$6:$AE$26,卡牌属性!$HF9))</f>
        <v>890</v>
      </c>
      <c r="HQ9" s="14">
        <f t="shared" si="64"/>
        <v>25</v>
      </c>
      <c r="HR9" s="14">
        <f t="shared" si="65"/>
        <v>13</v>
      </c>
      <c r="HS9" s="14">
        <f t="shared" si="66"/>
        <v>150</v>
      </c>
      <c r="HT9" s="14">
        <f>IF(COUNTIF(属性投放!$AO$7:$AO$58,"="&amp;卡牌属性!HC9)&gt;0,卡牌属性!HE9,0)</f>
        <v>0</v>
      </c>
      <c r="HU9" s="14">
        <f t="shared" si="67"/>
        <v>0</v>
      </c>
      <c r="HV9" s="14">
        <f t="shared" si="68"/>
        <v>0</v>
      </c>
      <c r="HW9" s="14">
        <f t="shared" si="69"/>
        <v>0</v>
      </c>
      <c r="HX9" s="14">
        <f>IF(COUNTIF(属性投放!$AE$6:$AE$26,"="&amp;卡牌属性!HC9)&gt;0,卡牌属性!HF9,0)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12</v>
      </c>
      <c r="IC9" s="14">
        <f t="shared" si="74"/>
        <v>5</v>
      </c>
      <c r="ID9" s="14">
        <f t="shared" si="75"/>
        <v>60</v>
      </c>
      <c r="IE9" s="14">
        <f t="shared" si="76"/>
        <v>273</v>
      </c>
      <c r="IF9" s="14">
        <f t="shared" si="77"/>
        <v>73</v>
      </c>
      <c r="IG9" s="14">
        <f t="shared" si="78"/>
        <v>1040</v>
      </c>
      <c r="IH9" s="14">
        <f t="shared" si="79"/>
        <v>280</v>
      </c>
      <c r="II9" s="14">
        <f t="shared" si="80"/>
        <v>0</v>
      </c>
      <c r="IJ9" s="14">
        <f t="shared" si="81"/>
        <v>0</v>
      </c>
      <c r="IK9" s="14">
        <f t="shared" si="82"/>
        <v>5230</v>
      </c>
      <c r="IL9" s="17">
        <f t="shared" si="83"/>
        <v>5.3537284894837479E-2</v>
      </c>
      <c r="IM9" s="17">
        <f t="shared" si="84"/>
        <v>0</v>
      </c>
      <c r="IN9" s="17">
        <f t="shared" si="85"/>
        <v>0</v>
      </c>
      <c r="IO9" s="23">
        <f>SUM(IH$5:IH9)</f>
        <v>1400</v>
      </c>
      <c r="IP9" s="14">
        <f>SUM(II$5:II9)</f>
        <v>660</v>
      </c>
      <c r="IQ9" s="14">
        <f>SUM(IJ$5:IJ9)</f>
        <v>0</v>
      </c>
      <c r="IR9" s="17">
        <f t="shared" si="86"/>
        <v>0.26768642447418739</v>
      </c>
      <c r="IS9" s="17">
        <f t="shared" si="87"/>
        <v>0.12619502868068833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MATCH(IW9-1,属性投放!$AD$7:$AD$26,1)</f>
        <v>1</v>
      </c>
      <c r="IZ9" s="14" t="str">
        <f>INDEX(属性投放!$AB$7:$AB$26,IY9)</f>
        <v>等活</v>
      </c>
      <c r="JA9" s="14">
        <f t="shared" si="89"/>
        <v>100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36</v>
      </c>
      <c r="JG9" s="14">
        <f>INDEX(属性投放!$DC$6:$DC$85,卡牌属性!IY9)</f>
        <v>1</v>
      </c>
      <c r="JH9" s="14">
        <f t="shared" si="95"/>
        <v>124</v>
      </c>
      <c r="JI9" s="14">
        <f t="shared" si="96"/>
        <v>12</v>
      </c>
      <c r="JJ9" s="14">
        <f t="shared" si="97"/>
        <v>394</v>
      </c>
      <c r="JK9" s="14">
        <f t="shared" si="98"/>
        <v>1134</v>
      </c>
    </row>
    <row r="10" spans="1:271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558</v>
      </c>
      <c r="H10" s="13" t="s">
        <v>562</v>
      </c>
      <c r="I10" s="13" t="s">
        <v>560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926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554</v>
      </c>
      <c r="W10" s="13" t="s">
        <v>556</v>
      </c>
      <c r="X10" s="13" t="s">
        <v>558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1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142</v>
      </c>
      <c r="AM10" s="14">
        <v>1</v>
      </c>
      <c r="AN10" s="14">
        <f t="shared" si="5"/>
        <v>6</v>
      </c>
      <c r="AO10" s="14">
        <f>INDEX(属性投放!$DF$6:$DF$85,(卡牌属性!AG10-2)*20+卡牌属性!AN10)</f>
        <v>654</v>
      </c>
      <c r="AP10" s="14">
        <f t="shared" si="6"/>
        <v>654</v>
      </c>
      <c r="AQ10" s="14">
        <f t="shared" si="6"/>
        <v>654</v>
      </c>
      <c r="AR10" s="14">
        <f t="shared" si="6"/>
        <v>654</v>
      </c>
      <c r="AS10" s="14">
        <f t="shared" si="6"/>
        <v>654</v>
      </c>
      <c r="AT10" s="14">
        <f>INDEX(属性投放!$DG$6:$DG$85,(卡牌属性!AG10-2)*20+卡牌属性!AN10)</f>
        <v>248</v>
      </c>
      <c r="AU10" s="14">
        <f t="shared" si="7"/>
        <v>248</v>
      </c>
      <c r="AV10" s="14">
        <f t="shared" si="7"/>
        <v>248</v>
      </c>
      <c r="AW10" s="14">
        <f t="shared" si="7"/>
        <v>248</v>
      </c>
      <c r="AX10" s="14">
        <f t="shared" si="7"/>
        <v>248</v>
      </c>
      <c r="AY10" s="14">
        <f>INDEX(属性投放!$DH$6:$DH$85,(卡牌属性!AG10-2)*20+卡牌属性!AN10)</f>
        <v>3567</v>
      </c>
      <c r="AZ10" s="14">
        <f t="shared" si="8"/>
        <v>3567</v>
      </c>
      <c r="BA10" s="14">
        <f t="shared" si="8"/>
        <v>3567</v>
      </c>
      <c r="BB10" s="14">
        <f t="shared" si="8"/>
        <v>3567</v>
      </c>
      <c r="BC10" s="14">
        <f t="shared" si="8"/>
        <v>3567</v>
      </c>
      <c r="BD10" s="14">
        <f>INDEX(属性投放!$DL$6:$DL$85,(卡牌属性!AG10-2)*20+卡牌属性!AN10)</f>
        <v>30</v>
      </c>
      <c r="BE10" s="14">
        <f t="shared" si="9"/>
        <v>30</v>
      </c>
      <c r="BF10" s="14">
        <f t="shared" si="9"/>
        <v>30</v>
      </c>
      <c r="BG10" s="14">
        <f t="shared" si="9"/>
        <v>30</v>
      </c>
      <c r="BH10" s="14">
        <f t="shared" si="9"/>
        <v>30</v>
      </c>
      <c r="BI10" s="14">
        <f>INDEX(属性投放!$DM$6:$DM$85,(卡牌属性!AG10-2)*20+卡牌属性!AN10)</f>
        <v>15</v>
      </c>
      <c r="BJ10" s="14">
        <f t="shared" si="10"/>
        <v>15</v>
      </c>
      <c r="BK10" s="14">
        <f t="shared" si="10"/>
        <v>15</v>
      </c>
      <c r="BL10" s="14">
        <f t="shared" si="10"/>
        <v>15</v>
      </c>
      <c r="BM10" s="14">
        <f t="shared" si="10"/>
        <v>15</v>
      </c>
      <c r="BN10" s="14">
        <f>INDEX(属性投放!$DN$6:$DN$85,(卡牌属性!AG10-2)*20+卡牌属性!AN10)</f>
        <v>208</v>
      </c>
      <c r="BO10" s="14">
        <f t="shared" si="11"/>
        <v>208</v>
      </c>
      <c r="BP10" s="14">
        <f t="shared" si="11"/>
        <v>208</v>
      </c>
      <c r="BQ10" s="14">
        <f t="shared" si="11"/>
        <v>208</v>
      </c>
      <c r="BR10" s="14">
        <f t="shared" si="11"/>
        <v>208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32"/>
        <v>1102001</v>
      </c>
      <c r="CA10" s="14" t="str">
        <f t="shared" si="33"/>
        <v>关羽6突</v>
      </c>
      <c r="CB10" s="25" t="s">
        <v>142</v>
      </c>
      <c r="CC10" s="14">
        <v>2</v>
      </c>
      <c r="CD10" s="14">
        <f t="shared" si="14"/>
        <v>6</v>
      </c>
      <c r="CE10" s="14" t="s">
        <v>21</v>
      </c>
      <c r="CF10" s="14">
        <f>INDEX(属性投放!$AZ$6:$AZ$85,(BY10-2)*20+CD10)</f>
        <v>2080</v>
      </c>
      <c r="CG10" s="14" t="s">
        <v>22</v>
      </c>
      <c r="CH10" s="14">
        <f>INDEX(属性投放!$BA$6:$BA$85,(BY10-2)*20+CD10)</f>
        <v>953</v>
      </c>
      <c r="CI10" s="14" t="s">
        <v>510</v>
      </c>
      <c r="CJ10" s="14">
        <f>INDEX(属性投放!$BB$6:$BB$85,(BY10-2)*20+CD10)</f>
        <v>12820</v>
      </c>
      <c r="CK10" s="14" t="s">
        <v>21</v>
      </c>
      <c r="CL10" s="14">
        <f>INDEX(属性投放!$BC$6:$BC$85,(BY10-2)*20+CD10)</f>
        <v>25</v>
      </c>
      <c r="CM10" s="14" t="s">
        <v>22</v>
      </c>
      <c r="CN10" s="14">
        <f>INDEX(属性投放!$BD$6:$BD$85,(BY10-2)*20+CD10)</f>
        <v>13</v>
      </c>
      <c r="CO10" s="14" t="s">
        <v>510</v>
      </c>
      <c r="CP10" s="14">
        <f>INDEX(属性投放!$BE$6:$BE$85,(BY10-2)*20+CD10)</f>
        <v>175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INDEX($O$6:$O$50,CT10)&amp;"-"&amp;INDEX(属性投放!$AB$7:$AB$50,CZ10)&amp;"-魂火-"&amp;DB10</f>
        <v>关羽-众合-魂火-1</v>
      </c>
      <c r="CY10" s="25" t="s">
        <v>142</v>
      </c>
      <c r="CZ10" s="14">
        <f>INDEX(属性投放!$AM$7:$AM$58,CU10)</f>
        <v>4</v>
      </c>
      <c r="DA10" s="14" t="s">
        <v>537</v>
      </c>
      <c r="DB10" s="14">
        <f>INDEX(属性投放!$AN$7:$AN$58,CU10)</f>
        <v>1</v>
      </c>
      <c r="DC10" s="14">
        <f t="shared" si="16"/>
        <v>6</v>
      </c>
      <c r="DD10" s="14">
        <f>INDEX(属性投放!$AO$7:$AO$58,DC10)</f>
        <v>28</v>
      </c>
      <c r="DE10" s="14" t="s">
        <v>538</v>
      </c>
      <c r="DF10" s="14">
        <f>INDEX(属性投放!$BK$6:$BK$85,(CV10-2)*20+CZ10)</f>
        <v>60</v>
      </c>
      <c r="DG10" s="14">
        <f>SUMIFS(DF$5:DF10,$CT$5:$CT10,"="&amp;$CT10)</f>
        <v>265</v>
      </c>
      <c r="DH10" s="14" t="s">
        <v>539</v>
      </c>
      <c r="DI10" s="14">
        <f>INDEX(属性投放!$BL$6:$BL$85,(CV10-2)*20+CZ10)</f>
        <v>30</v>
      </c>
      <c r="DJ10" s="14">
        <f>SUMIFS(DI$5:DI10,$CT$5:$CT10,"="&amp;$CT10)</f>
        <v>134</v>
      </c>
      <c r="DK10" s="14" t="s">
        <v>540</v>
      </c>
      <c r="DL10" s="14">
        <f>INDEX(属性投放!$BM$6:$BM$85,(CV10-2)*20+CZ10)</f>
        <v>420</v>
      </c>
      <c r="DM10" s="14">
        <f>SUMIFS(DL$5:DL10,$CT$5:$CT10,"="&amp;$CT10)</f>
        <v>1650</v>
      </c>
      <c r="DR10" s="14">
        <f t="shared" si="17"/>
        <v>1102001</v>
      </c>
      <c r="DS10" s="14" t="str">
        <f t="shared" si="18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19"/>
        <v>5</v>
      </c>
      <c r="DX10" s="14">
        <f t="shared" si="20"/>
        <v>6</v>
      </c>
      <c r="DY10" s="14">
        <f t="shared" si="21"/>
        <v>66</v>
      </c>
      <c r="DZ10" s="14">
        <f>INDEX(属性投放!$AX$6:$AX$85,(卡牌属性!DW10-2)*20+卡牌属性!DX10)</f>
        <v>5</v>
      </c>
      <c r="EA10" s="14">
        <f>INDEX(属性投放!BQ$6:BQ$85,卡牌属性!$DY10)</f>
        <v>180</v>
      </c>
      <c r="EB10" s="14">
        <f>INDEX(属性投放!BR$6:BR$85,卡牌属性!$DY10)</f>
        <v>90</v>
      </c>
      <c r="EC10" s="14">
        <f>INDEX(属性投放!BS$6:BS$85,卡牌属性!$DY10)</f>
        <v>1260</v>
      </c>
      <c r="ED10" s="14">
        <f t="shared" si="41"/>
        <v>1615</v>
      </c>
      <c r="EE10" s="14">
        <f t="shared" si="42"/>
        <v>1870</v>
      </c>
      <c r="EF10" s="14">
        <f t="shared" si="43"/>
        <v>2210</v>
      </c>
      <c r="EG10" s="14">
        <f t="shared" si="44"/>
        <v>2210</v>
      </c>
      <c r="EH10" s="14">
        <f t="shared" si="45"/>
        <v>2700</v>
      </c>
      <c r="EI10" s="14">
        <f t="shared" si="46"/>
        <v>620</v>
      </c>
      <c r="EJ10" s="14">
        <f t="shared" si="47"/>
        <v>686</v>
      </c>
      <c r="EK10" s="14">
        <f t="shared" si="48"/>
        <v>686</v>
      </c>
      <c r="EL10" s="14">
        <f t="shared" si="49"/>
        <v>769</v>
      </c>
      <c r="EM10" s="14">
        <f t="shared" si="50"/>
        <v>921</v>
      </c>
      <c r="EN10" s="14">
        <f t="shared" si="51"/>
        <v>8103</v>
      </c>
      <c r="EO10" s="14">
        <f t="shared" si="52"/>
        <v>8805</v>
      </c>
      <c r="EP10" s="14">
        <f t="shared" si="53"/>
        <v>8805</v>
      </c>
      <c r="EQ10" s="14">
        <f t="shared" si="54"/>
        <v>9770</v>
      </c>
      <c r="ER10" s="14">
        <f t="shared" si="55"/>
        <v>11385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140</v>
      </c>
      <c r="FD10" s="14">
        <f>INDEX(属性偏向!$U$4:$U$243,(卡牌属性!$DV10-1+FD$3)*20+卡牌属性!$DX10)</f>
        <v>154</v>
      </c>
      <c r="FE10" s="14">
        <f>INDEX(属性偏向!$U$4:$U$243,(卡牌属性!$DV10-1+FE$3)*20+卡牌属性!$DX10)</f>
        <v>154</v>
      </c>
      <c r="FF10" s="14">
        <f>INDEX(属性偏向!$U$4:$U$243,(卡牌属性!$DV10-1+FF$3)*20+卡牌属性!$DX10)</f>
        <v>175</v>
      </c>
      <c r="FG10" s="14">
        <f>INDEX(属性偏向!$U$4:$U$243,(卡牌属性!$DV10-1+FG$3)*20+卡牌属性!$DX10)</f>
        <v>210</v>
      </c>
      <c r="FH10" s="14">
        <f>INDEX(属性投放!$BQ$6:$BQ$85,(卡牌属性!$DW10-2)*20+卡牌属性!$DX10)</f>
        <v>180</v>
      </c>
      <c r="FI10" s="14">
        <f>INDEX(属性投放!$BQ$6:$BQ$85,(卡牌属性!$DW10-2)*20+卡牌属性!$DX10)</f>
        <v>180</v>
      </c>
      <c r="FJ10" s="14">
        <f>INDEX(属性投放!$BQ$6:$BQ$85,(卡牌属性!$DW10-2)*20+卡牌属性!$DX10)</f>
        <v>180</v>
      </c>
      <c r="FK10" s="14">
        <f>INDEX(属性投放!$BQ$6:$BQ$85,(卡牌属性!$DW10-2)*20+卡牌属性!$DX10)</f>
        <v>180</v>
      </c>
      <c r="FL10" s="14">
        <f>INDEX(属性投放!$BQ$6:$BQ$85,(卡牌属性!$DW10-2)*20+卡牌属性!$DX10)</f>
        <v>180</v>
      </c>
      <c r="FM10" s="14">
        <f>INDEX(属性投放!$BR$6:$BR$85,(卡牌属性!$DW10-2)*20+卡牌属性!$DX10)</f>
        <v>90</v>
      </c>
      <c r="FN10" s="14">
        <f>INDEX(属性投放!$BR$6:$BR$85,(卡牌属性!$DW10-2)*20+卡牌属性!$DX10)</f>
        <v>90</v>
      </c>
      <c r="FO10" s="14">
        <f>INDEX(属性投放!$BR$6:$BR$85,(卡牌属性!$DW10-2)*20+卡牌属性!$DX10)</f>
        <v>90</v>
      </c>
      <c r="FP10" s="14">
        <f>INDEX(属性投放!$BR$6:$BR$85,(卡牌属性!$DW10-2)*20+卡牌属性!$DX10)</f>
        <v>90</v>
      </c>
      <c r="FQ10" s="14">
        <f>INDEX(属性投放!$BR$6:$BR$85,(卡牌属性!$DW10-2)*20+卡牌属性!$DX10)</f>
        <v>90</v>
      </c>
      <c r="FR10" s="14">
        <f>INDEX(属性投放!$BS$6:$BS$85,(卡牌属性!$DW10-2)*20+卡牌属性!$DX10)</f>
        <v>1260</v>
      </c>
      <c r="FS10" s="14">
        <f>INDEX(属性投放!$BS$6:$BS$85,(卡牌属性!$DW10-2)*20+卡牌属性!$DX10)</f>
        <v>1260</v>
      </c>
      <c r="FT10" s="14">
        <f>INDEX(属性投放!$BS$6:$BS$85,(卡牌属性!$DW10-2)*20+卡牌属性!$DX10)</f>
        <v>1260</v>
      </c>
      <c r="FU10" s="14">
        <f>INDEX(属性投放!$BS$6:$BS$85,(卡牌属性!$DW10-2)*20+卡牌属性!$DX10)</f>
        <v>1260</v>
      </c>
      <c r="FV10" s="14">
        <f>INDEX(属性投放!$BS$6:$BS$85,(卡牌属性!$DW10-2)*20+卡牌属性!$DX10)</f>
        <v>1260</v>
      </c>
      <c r="FZ10" s="13">
        <v>6</v>
      </c>
      <c r="GA10" s="13">
        <f t="shared" si="22"/>
        <v>2</v>
      </c>
      <c r="GB10" s="14">
        <f t="shared" si="56"/>
        <v>1102002</v>
      </c>
      <c r="GC10" s="14" t="s">
        <v>1187</v>
      </c>
      <c r="GD10" s="14">
        <f t="shared" si="23"/>
        <v>1</v>
      </c>
      <c r="GE10" s="14" t="str">
        <f t="shared" si="24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5"/>
        <v>2</v>
      </c>
      <c r="GP10" s="14">
        <f t="shared" si="57"/>
        <v>1101002</v>
      </c>
      <c r="GQ10" s="14" t="s">
        <v>1187</v>
      </c>
      <c r="GR10" s="14">
        <f t="shared" si="26"/>
        <v>1</v>
      </c>
      <c r="GS10" s="14" t="str">
        <f t="shared" si="27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MATCH(HC10,属性投放!$AO$6:$AO$58,1)-1</f>
        <v>1</v>
      </c>
      <c r="HF10" s="13">
        <f>MATCH(HC10-1,属性投放!$AE$6:$AE$26,1)</f>
        <v>2</v>
      </c>
      <c r="HG10" s="13" t="str">
        <f>INDEX(属性投放!$AB$7:$AB$26,卡牌属性!HF10)</f>
        <v>黑绳</v>
      </c>
      <c r="HH10" s="14">
        <f t="shared" si="58"/>
        <v>283</v>
      </c>
      <c r="HI10" s="14">
        <f t="shared" si="59"/>
        <v>78</v>
      </c>
      <c r="HJ10" s="14">
        <f t="shared" si="60"/>
        <v>1100</v>
      </c>
      <c r="HK10" s="14">
        <f t="shared" si="61"/>
        <v>15</v>
      </c>
      <c r="HL10" s="14">
        <f t="shared" si="62"/>
        <v>6</v>
      </c>
      <c r="HM10" s="14">
        <f t="shared" si="63"/>
        <v>72</v>
      </c>
      <c r="HN10" s="14">
        <f>HH10+HK10*($HC10-INDEX(属性投放!$AE$6:$AE$26,卡牌属性!$HF10))</f>
        <v>298</v>
      </c>
      <c r="HO10" s="14">
        <f>HI10+HL10*($HC10-INDEX(属性投放!$AE$6:$AE$26,卡牌属性!$HF10))</f>
        <v>84</v>
      </c>
      <c r="HP10" s="14">
        <f>HJ10+HM10*($HC10-INDEX(属性投放!$AE$6:$AE$26,卡牌属性!$HF10))</f>
        <v>1172</v>
      </c>
      <c r="HQ10" s="14">
        <f t="shared" si="64"/>
        <v>25</v>
      </c>
      <c r="HR10" s="14">
        <f t="shared" si="65"/>
        <v>13</v>
      </c>
      <c r="HS10" s="14">
        <f t="shared" si="66"/>
        <v>150</v>
      </c>
      <c r="HT10" s="14">
        <f>IF(COUNTIF(属性投放!$AO$7:$AO$58,"="&amp;卡牌属性!HC10)&gt;0,卡牌属性!HE10,0)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IF(COUNTIF(属性投放!$AE$6:$AE$26,"="&amp;卡牌属性!HC10)&gt;0,卡牌属性!HF10,0)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15</v>
      </c>
      <c r="IC10" s="14">
        <f t="shared" si="74"/>
        <v>6</v>
      </c>
      <c r="ID10" s="14">
        <f t="shared" si="75"/>
        <v>72</v>
      </c>
      <c r="IE10" s="14">
        <f t="shared" si="76"/>
        <v>323</v>
      </c>
      <c r="IF10" s="14">
        <f t="shared" si="77"/>
        <v>97</v>
      </c>
      <c r="IG10" s="14">
        <f t="shared" si="78"/>
        <v>1322</v>
      </c>
      <c r="IH10" s="14">
        <f t="shared" si="79"/>
        <v>342</v>
      </c>
      <c r="II10" s="14">
        <f t="shared" si="80"/>
        <v>0</v>
      </c>
      <c r="IJ10" s="14">
        <f t="shared" si="81"/>
        <v>0</v>
      </c>
      <c r="IK10" s="14">
        <f t="shared" si="82"/>
        <v>6492</v>
      </c>
      <c r="IL10" s="17">
        <f t="shared" si="83"/>
        <v>5.2680221811460259E-2</v>
      </c>
      <c r="IM10" s="17">
        <f t="shared" si="84"/>
        <v>0</v>
      </c>
      <c r="IN10" s="17">
        <f t="shared" si="85"/>
        <v>0</v>
      </c>
      <c r="IO10" s="23">
        <f>SUM(IH$5:IH10)</f>
        <v>1742</v>
      </c>
      <c r="IP10" s="14">
        <f>SUM(II$5:II10)</f>
        <v>660</v>
      </c>
      <c r="IQ10" s="14">
        <f>SUM(IJ$5:IJ10)</f>
        <v>0</v>
      </c>
      <c r="IR10" s="17">
        <f t="shared" si="86"/>
        <v>0.26833025261860749</v>
      </c>
      <c r="IS10" s="17">
        <f t="shared" si="87"/>
        <v>0.10166358595194085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MATCH(IW10-1,属性投放!$AD$7:$AD$26,1)</f>
        <v>1</v>
      </c>
      <c r="IZ10" s="14" t="str">
        <f>INDEX(属性投放!$AB$7:$AB$26,IY10)</f>
        <v>等活</v>
      </c>
      <c r="JA10" s="14">
        <f t="shared" si="89"/>
        <v>100</v>
      </c>
      <c r="JB10" s="14">
        <f t="shared" si="90"/>
        <v>0</v>
      </c>
      <c r="JC10" s="14">
        <f t="shared" si="91"/>
        <v>250.00000000000003</v>
      </c>
      <c r="JD10" s="14">
        <f t="shared" si="92"/>
        <v>6</v>
      </c>
      <c r="JE10" s="14">
        <f t="shared" si="93"/>
        <v>3</v>
      </c>
      <c r="JF10" s="14">
        <f t="shared" si="94"/>
        <v>36</v>
      </c>
      <c r="JG10" s="14">
        <f>INDEX(属性投放!$DC$6:$DC$85,卡牌属性!IY10)</f>
        <v>1</v>
      </c>
      <c r="JH10" s="14">
        <f t="shared" si="95"/>
        <v>130</v>
      </c>
      <c r="JI10" s="14">
        <f t="shared" si="96"/>
        <v>15</v>
      </c>
      <c r="JJ10" s="14">
        <f t="shared" si="97"/>
        <v>430</v>
      </c>
      <c r="JK10" s="14">
        <f t="shared" si="98"/>
        <v>1230</v>
      </c>
    </row>
    <row r="11" spans="1:271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558</v>
      </c>
      <c r="H11" s="13" t="s">
        <v>558</v>
      </c>
      <c r="I11" s="13" t="s">
        <v>560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927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562</v>
      </c>
      <c r="W11" s="13" t="s">
        <v>564</v>
      </c>
      <c r="X11" s="13" t="s">
        <v>562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1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142</v>
      </c>
      <c r="AM11" s="14">
        <v>1</v>
      </c>
      <c r="AN11" s="14">
        <f t="shared" si="5"/>
        <v>7</v>
      </c>
      <c r="AO11" s="14">
        <f>INDEX(属性投放!$DF$6:$DF$85,(卡牌属性!AG11-2)*20+卡牌属性!AN11)</f>
        <v>1489</v>
      </c>
      <c r="AP11" s="14">
        <f t="shared" si="6"/>
        <v>1489</v>
      </c>
      <c r="AQ11" s="14">
        <f t="shared" si="6"/>
        <v>1489</v>
      </c>
      <c r="AR11" s="14">
        <f t="shared" si="6"/>
        <v>1489</v>
      </c>
      <c r="AS11" s="14">
        <f t="shared" si="6"/>
        <v>1489</v>
      </c>
      <c r="AT11" s="14">
        <f>INDEX(属性投放!$DG$6:$DG$85,(卡牌属性!AG11-2)*20+卡牌属性!AN11)</f>
        <v>666</v>
      </c>
      <c r="AU11" s="14">
        <f t="shared" si="7"/>
        <v>666</v>
      </c>
      <c r="AV11" s="14">
        <f t="shared" si="7"/>
        <v>666</v>
      </c>
      <c r="AW11" s="14">
        <f t="shared" si="7"/>
        <v>666</v>
      </c>
      <c r="AX11" s="14">
        <f t="shared" si="7"/>
        <v>666</v>
      </c>
      <c r="AY11" s="14">
        <f>INDEX(属性投放!$DH$6:$DH$85,(卡牌属性!AG11-2)*20+卡牌属性!AN11)</f>
        <v>9361</v>
      </c>
      <c r="AZ11" s="14">
        <f t="shared" si="8"/>
        <v>9361</v>
      </c>
      <c r="BA11" s="14">
        <f t="shared" si="8"/>
        <v>9361</v>
      </c>
      <c r="BB11" s="14">
        <f t="shared" si="8"/>
        <v>9361</v>
      </c>
      <c r="BC11" s="14">
        <f t="shared" si="8"/>
        <v>9361</v>
      </c>
      <c r="BD11" s="14">
        <f>INDEX(属性投放!$DL$6:$DL$85,(卡牌属性!AG11-2)*20+卡牌属性!AN11)</f>
        <v>46</v>
      </c>
      <c r="BE11" s="14">
        <f t="shared" si="9"/>
        <v>46</v>
      </c>
      <c r="BF11" s="14">
        <f t="shared" si="9"/>
        <v>46</v>
      </c>
      <c r="BG11" s="14">
        <f t="shared" si="9"/>
        <v>46</v>
      </c>
      <c r="BH11" s="14">
        <f t="shared" si="9"/>
        <v>46</v>
      </c>
      <c r="BI11" s="14">
        <f>INDEX(属性投放!$DM$6:$DM$85,(卡牌属性!AG11-2)*20+卡牌属性!AN11)</f>
        <v>24</v>
      </c>
      <c r="BJ11" s="14">
        <f t="shared" si="10"/>
        <v>24</v>
      </c>
      <c r="BK11" s="14">
        <f t="shared" si="10"/>
        <v>24</v>
      </c>
      <c r="BL11" s="14">
        <f t="shared" si="10"/>
        <v>24</v>
      </c>
      <c r="BM11" s="14">
        <f t="shared" si="10"/>
        <v>24</v>
      </c>
      <c r="BN11" s="14">
        <f>INDEX(属性投放!$DN$6:$DN$85,(卡牌属性!AG11-2)*20+卡牌属性!AN11)</f>
        <v>371</v>
      </c>
      <c r="BO11" s="14">
        <f t="shared" si="11"/>
        <v>371</v>
      </c>
      <c r="BP11" s="14">
        <f t="shared" si="11"/>
        <v>371</v>
      </c>
      <c r="BQ11" s="14">
        <f t="shared" si="11"/>
        <v>371</v>
      </c>
      <c r="BR11" s="14">
        <f t="shared" si="11"/>
        <v>371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32"/>
        <v>1102001</v>
      </c>
      <c r="CA11" s="14" t="str">
        <f t="shared" si="33"/>
        <v>关羽7突</v>
      </c>
      <c r="CB11" s="25" t="s">
        <v>142</v>
      </c>
      <c r="CC11" s="14">
        <v>2</v>
      </c>
      <c r="CD11" s="14">
        <f t="shared" si="14"/>
        <v>7</v>
      </c>
      <c r="CE11" s="14" t="s">
        <v>21</v>
      </c>
      <c r="CF11" s="14">
        <f>INDEX(属性投放!$AZ$6:$AZ$85,(BY11-2)*20+CD11)</f>
        <v>2535</v>
      </c>
      <c r="CG11" s="14" t="s">
        <v>22</v>
      </c>
      <c r="CH11" s="14">
        <f>INDEX(属性投放!$BA$6:$BA$85,(BY11-2)*20+CD11)</f>
        <v>1184</v>
      </c>
      <c r="CI11" s="14" t="s">
        <v>510</v>
      </c>
      <c r="CJ11" s="14">
        <f>INDEX(属性投放!$BB$6:$BB$85,(BY11-2)*20+CD11)</f>
        <v>16005</v>
      </c>
      <c r="CK11" s="14" t="s">
        <v>21</v>
      </c>
      <c r="CL11" s="14">
        <f>INDEX(属性投放!$BC$6:$BC$85,(BY11-2)*20+CD11)</f>
        <v>30</v>
      </c>
      <c r="CM11" s="14" t="s">
        <v>22</v>
      </c>
      <c r="CN11" s="14">
        <f>INDEX(属性投放!$BD$6:$BD$85,(BY11-2)*20+CD11)</f>
        <v>15</v>
      </c>
      <c r="CO11" s="14" t="s">
        <v>510</v>
      </c>
      <c r="CP11" s="14">
        <f>INDEX(属性投放!$BE$6:$BE$85,(BY11-2)*20+CD11)</f>
        <v>240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INDEX($O$6:$O$50,CT11)&amp;"-"&amp;INDEX(属性投放!$AB$7:$AB$50,CZ11)&amp;"-魂火-"&amp;DB11</f>
        <v>关羽-众合-魂火-2</v>
      </c>
      <c r="CY11" s="25" t="s">
        <v>142</v>
      </c>
      <c r="CZ11" s="14">
        <f>INDEX(属性投放!$AM$7:$AM$58,CU11)</f>
        <v>4</v>
      </c>
      <c r="DA11" s="14" t="s">
        <v>537</v>
      </c>
      <c r="DB11" s="14">
        <f>INDEX(属性投放!$AN$7:$AN$58,CU11)</f>
        <v>2</v>
      </c>
      <c r="DC11" s="14">
        <f t="shared" si="16"/>
        <v>7</v>
      </c>
      <c r="DD11" s="14">
        <f>INDEX(属性投放!$AO$7:$AO$58,DC11)</f>
        <v>33</v>
      </c>
      <c r="DE11" s="14" t="s">
        <v>538</v>
      </c>
      <c r="DF11" s="14">
        <f>INDEX(属性投放!$BK$6:$BK$85,(CV11-2)*20+CZ11)</f>
        <v>60</v>
      </c>
      <c r="DG11" s="14">
        <f>SUMIFS(DF$5:DF11,$CT$5:$CT11,"="&amp;$CT11)</f>
        <v>325</v>
      </c>
      <c r="DH11" s="14" t="s">
        <v>539</v>
      </c>
      <c r="DI11" s="14">
        <f>INDEX(属性投放!$BL$6:$BL$85,(CV11-2)*20+CZ11)</f>
        <v>30</v>
      </c>
      <c r="DJ11" s="14">
        <f>SUMIFS(DI$5:DI11,$CT$5:$CT11,"="&amp;$CT11)</f>
        <v>164</v>
      </c>
      <c r="DK11" s="14" t="s">
        <v>540</v>
      </c>
      <c r="DL11" s="14">
        <f>INDEX(属性投放!$BM$6:$BM$85,(CV11-2)*20+CZ11)</f>
        <v>420</v>
      </c>
      <c r="DM11" s="14">
        <f>SUMIFS(DL$5:DL11,$CT$5:$CT11,"="&amp;$CT11)</f>
        <v>2070</v>
      </c>
      <c r="DR11" s="14">
        <f t="shared" si="17"/>
        <v>1102001</v>
      </c>
      <c r="DS11" s="14" t="str">
        <f t="shared" si="18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19"/>
        <v>5</v>
      </c>
      <c r="DX11" s="14">
        <f t="shared" si="20"/>
        <v>7</v>
      </c>
      <c r="DY11" s="14">
        <f t="shared" si="21"/>
        <v>67</v>
      </c>
      <c r="DZ11" s="14">
        <f>INDEX(属性投放!$AX$6:$AX$85,(卡牌属性!DW11-2)*20+卡牌属性!DX11)</f>
        <v>5</v>
      </c>
      <c r="EA11" s="14">
        <f>INDEX(属性投放!BQ$6:BQ$85,卡牌属性!$DY11)</f>
        <v>185</v>
      </c>
      <c r="EB11" s="14">
        <f>INDEX(属性投放!BR$6:BR$85,卡牌属性!$DY11)</f>
        <v>93</v>
      </c>
      <c r="EC11" s="14">
        <f>INDEX(属性投放!BS$6:BS$85,卡牌属性!$DY11)</f>
        <v>1480</v>
      </c>
      <c r="ED11" s="14">
        <f t="shared" si="41"/>
        <v>1920</v>
      </c>
      <c r="EE11" s="14">
        <f t="shared" si="42"/>
        <v>2200</v>
      </c>
      <c r="EF11" s="14">
        <f t="shared" si="43"/>
        <v>2590</v>
      </c>
      <c r="EG11" s="14">
        <f t="shared" si="44"/>
        <v>2590</v>
      </c>
      <c r="EH11" s="14">
        <f t="shared" si="45"/>
        <v>3130</v>
      </c>
      <c r="EI11" s="14">
        <f t="shared" si="46"/>
        <v>760</v>
      </c>
      <c r="EJ11" s="14">
        <f t="shared" si="47"/>
        <v>831</v>
      </c>
      <c r="EK11" s="14">
        <f t="shared" si="48"/>
        <v>831</v>
      </c>
      <c r="EL11" s="14">
        <f t="shared" si="49"/>
        <v>924</v>
      </c>
      <c r="EM11" s="14">
        <f t="shared" si="50"/>
        <v>1086</v>
      </c>
      <c r="EN11" s="14">
        <f t="shared" si="51"/>
        <v>10063</v>
      </c>
      <c r="EO11" s="14">
        <f t="shared" si="52"/>
        <v>10835</v>
      </c>
      <c r="EP11" s="14">
        <f t="shared" si="53"/>
        <v>10835</v>
      </c>
      <c r="EQ11" s="14">
        <f t="shared" si="54"/>
        <v>11905</v>
      </c>
      <c r="ER11" s="14">
        <f t="shared" si="55"/>
        <v>13695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200</v>
      </c>
      <c r="FD11" s="14">
        <f>INDEX(属性偏向!$U$4:$U$243,(卡牌属性!$DV11-1+FD$3)*20+卡牌属性!$DX11)</f>
        <v>224</v>
      </c>
      <c r="FE11" s="14">
        <f>INDEX(属性偏向!$U$4:$U$243,(卡牌属性!$DV11-1+FE$3)*20+卡牌属性!$DX11)</f>
        <v>224</v>
      </c>
      <c r="FF11" s="14">
        <f>INDEX(属性偏向!$U$4:$U$243,(卡牌属性!$DV11-1+FF$3)*20+卡牌属性!$DX11)</f>
        <v>240</v>
      </c>
      <c r="FG11" s="14">
        <f>INDEX(属性偏向!$U$4:$U$243,(卡牌属性!$DV11-1+FG$3)*20+卡牌属性!$DX11)</f>
        <v>320</v>
      </c>
      <c r="FH11" s="14">
        <f>INDEX(属性投放!$BQ$6:$BQ$85,(卡牌属性!$DW11-2)*20+卡牌属性!$DX11)</f>
        <v>185</v>
      </c>
      <c r="FI11" s="14">
        <f>INDEX(属性投放!$BQ$6:$BQ$85,(卡牌属性!$DW11-2)*20+卡牌属性!$DX11)</f>
        <v>185</v>
      </c>
      <c r="FJ11" s="14">
        <f>INDEX(属性投放!$BQ$6:$BQ$85,(卡牌属性!$DW11-2)*20+卡牌属性!$DX11)</f>
        <v>185</v>
      </c>
      <c r="FK11" s="14">
        <f>INDEX(属性投放!$BQ$6:$BQ$85,(卡牌属性!$DW11-2)*20+卡牌属性!$DX11)</f>
        <v>185</v>
      </c>
      <c r="FL11" s="14">
        <f>INDEX(属性投放!$BQ$6:$BQ$85,(卡牌属性!$DW11-2)*20+卡牌属性!$DX11)</f>
        <v>185</v>
      </c>
      <c r="FM11" s="14">
        <f>INDEX(属性投放!$BR$6:$BR$85,(卡牌属性!$DW11-2)*20+卡牌属性!$DX11)</f>
        <v>93</v>
      </c>
      <c r="FN11" s="14">
        <f>INDEX(属性投放!$BR$6:$BR$85,(卡牌属性!$DW11-2)*20+卡牌属性!$DX11)</f>
        <v>93</v>
      </c>
      <c r="FO11" s="14">
        <f>INDEX(属性投放!$BR$6:$BR$85,(卡牌属性!$DW11-2)*20+卡牌属性!$DX11)</f>
        <v>93</v>
      </c>
      <c r="FP11" s="14">
        <f>INDEX(属性投放!$BR$6:$BR$85,(卡牌属性!$DW11-2)*20+卡牌属性!$DX11)</f>
        <v>93</v>
      </c>
      <c r="FQ11" s="14">
        <f>INDEX(属性投放!$BR$6:$BR$85,(卡牌属性!$DW11-2)*20+卡牌属性!$DX11)</f>
        <v>93</v>
      </c>
      <c r="FR11" s="14">
        <f>INDEX(属性投放!$BS$6:$BS$85,(卡牌属性!$DW11-2)*20+卡牌属性!$DX11)</f>
        <v>1480</v>
      </c>
      <c r="FS11" s="14">
        <f>INDEX(属性投放!$BS$6:$BS$85,(卡牌属性!$DW11-2)*20+卡牌属性!$DX11)</f>
        <v>1480</v>
      </c>
      <c r="FT11" s="14">
        <f>INDEX(属性投放!$BS$6:$BS$85,(卡牌属性!$DW11-2)*20+卡牌属性!$DX11)</f>
        <v>1480</v>
      </c>
      <c r="FU11" s="14">
        <f>INDEX(属性投放!$BS$6:$BS$85,(卡牌属性!$DW11-2)*20+卡牌属性!$DX11)</f>
        <v>1480</v>
      </c>
      <c r="FV11" s="14">
        <f>INDEX(属性投放!$BS$6:$BS$85,(卡牌属性!$DW11-2)*20+卡牌属性!$DX11)</f>
        <v>1480</v>
      </c>
      <c r="FZ11" s="13">
        <v>7</v>
      </c>
      <c r="GA11" s="13">
        <f t="shared" si="22"/>
        <v>2</v>
      </c>
      <c r="GB11" s="14">
        <f t="shared" si="56"/>
        <v>1102002</v>
      </c>
      <c r="GC11" s="14" t="s">
        <v>1187</v>
      </c>
      <c r="GD11" s="14">
        <f t="shared" si="23"/>
        <v>2</v>
      </c>
      <c r="GE11" s="14" t="str">
        <f t="shared" si="24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5"/>
        <v>2</v>
      </c>
      <c r="GP11" s="14">
        <f t="shared" si="57"/>
        <v>1101002</v>
      </c>
      <c r="GQ11" s="14" t="s">
        <v>1187</v>
      </c>
      <c r="GR11" s="14">
        <f t="shared" si="26"/>
        <v>2</v>
      </c>
      <c r="GS11" s="14" t="str">
        <f t="shared" si="27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MATCH(HC11,属性投放!$AO$6:$AO$58,1)-1</f>
        <v>1</v>
      </c>
      <c r="HF11" s="13">
        <f>MATCH(HC11-1,属性投放!$AE$6:$AE$26,1)</f>
        <v>2</v>
      </c>
      <c r="HG11" s="13" t="str">
        <f>INDEX(属性投放!$AB$7:$AB$26,卡牌属性!HF11)</f>
        <v>黑绳</v>
      </c>
      <c r="HH11" s="14">
        <f t="shared" si="58"/>
        <v>283</v>
      </c>
      <c r="HI11" s="14">
        <f t="shared" si="59"/>
        <v>78</v>
      </c>
      <c r="HJ11" s="14">
        <f t="shared" si="60"/>
        <v>1100</v>
      </c>
      <c r="HK11" s="14">
        <f t="shared" si="61"/>
        <v>15</v>
      </c>
      <c r="HL11" s="14">
        <f t="shared" si="62"/>
        <v>6</v>
      </c>
      <c r="HM11" s="14">
        <f t="shared" si="63"/>
        <v>72</v>
      </c>
      <c r="HN11" s="14">
        <f>HH11+HK11*($HC11-INDEX(属性投放!$AE$6:$AE$26,卡牌属性!$HF11))</f>
        <v>313</v>
      </c>
      <c r="HO11" s="14">
        <f>HI11+HL11*($HC11-INDEX(属性投放!$AE$6:$AE$26,卡牌属性!$HF11))</f>
        <v>90</v>
      </c>
      <c r="HP11" s="14">
        <f>HJ11+HM11*($HC11-INDEX(属性投放!$AE$6:$AE$26,卡牌属性!$HF11))</f>
        <v>1244</v>
      </c>
      <c r="HQ11" s="14">
        <f t="shared" si="64"/>
        <v>25</v>
      </c>
      <c r="HR11" s="14">
        <f t="shared" si="65"/>
        <v>13</v>
      </c>
      <c r="HS11" s="14">
        <f t="shared" si="66"/>
        <v>150</v>
      </c>
      <c r="HT11" s="14">
        <f>IF(COUNTIF(属性投放!$AO$7:$AO$58,"="&amp;卡牌属性!HC11)&gt;0,卡牌属性!HE11,0)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IF(COUNTIF(属性投放!$AE$6:$AE$26,"="&amp;卡牌属性!HC11)&gt;0,卡牌属性!HF11,0)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15</v>
      </c>
      <c r="IC11" s="14">
        <f t="shared" si="74"/>
        <v>6</v>
      </c>
      <c r="ID11" s="14">
        <f t="shared" si="75"/>
        <v>72</v>
      </c>
      <c r="IE11" s="14">
        <f t="shared" si="76"/>
        <v>338</v>
      </c>
      <c r="IF11" s="14">
        <f t="shared" si="77"/>
        <v>103</v>
      </c>
      <c r="IG11" s="14">
        <f t="shared" si="78"/>
        <v>1394</v>
      </c>
      <c r="IH11" s="14">
        <f t="shared" si="79"/>
        <v>342</v>
      </c>
      <c r="II11" s="14">
        <f t="shared" si="80"/>
        <v>0</v>
      </c>
      <c r="IJ11" s="14">
        <f t="shared" si="81"/>
        <v>0</v>
      </c>
      <c r="IK11" s="14">
        <f t="shared" si="82"/>
        <v>6834</v>
      </c>
      <c r="IL11" s="17">
        <f t="shared" si="83"/>
        <v>5.0043898156277439E-2</v>
      </c>
      <c r="IM11" s="17">
        <f t="shared" si="84"/>
        <v>0</v>
      </c>
      <c r="IN11" s="17">
        <f t="shared" si="85"/>
        <v>0</v>
      </c>
      <c r="IO11" s="23">
        <f>SUM(IH$5:IH11)</f>
        <v>2084</v>
      </c>
      <c r="IP11" s="14">
        <f>SUM(II$5:II11)</f>
        <v>660</v>
      </c>
      <c r="IQ11" s="14">
        <f>SUM(IJ$5:IJ11)</f>
        <v>0</v>
      </c>
      <c r="IR11" s="17">
        <f t="shared" si="86"/>
        <v>0.30494585894059117</v>
      </c>
      <c r="IS11" s="17">
        <f t="shared" si="87"/>
        <v>9.6575943810359971E-2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MATCH(IW11-1,属性投放!$AD$7:$AD$26,1)</f>
        <v>1</v>
      </c>
      <c r="IZ11" s="14" t="str">
        <f>INDEX(属性投放!$AB$7:$AB$26,IY11)</f>
        <v>等活</v>
      </c>
      <c r="JA11" s="14">
        <f t="shared" si="89"/>
        <v>100</v>
      </c>
      <c r="JB11" s="14">
        <f t="shared" si="90"/>
        <v>0</v>
      </c>
      <c r="JC11" s="14">
        <f t="shared" si="91"/>
        <v>250.00000000000003</v>
      </c>
      <c r="JD11" s="14">
        <f t="shared" si="92"/>
        <v>6</v>
      </c>
      <c r="JE11" s="14">
        <f t="shared" si="93"/>
        <v>3</v>
      </c>
      <c r="JF11" s="14">
        <f t="shared" si="94"/>
        <v>36</v>
      </c>
      <c r="JG11" s="14">
        <f>INDEX(属性投放!$DC$6:$DC$85,卡牌属性!IY11)</f>
        <v>1</v>
      </c>
      <c r="JH11" s="14">
        <f t="shared" si="95"/>
        <v>136</v>
      </c>
      <c r="JI11" s="14">
        <f t="shared" si="96"/>
        <v>18</v>
      </c>
      <c r="JJ11" s="14">
        <f t="shared" si="97"/>
        <v>466</v>
      </c>
      <c r="JK11" s="14">
        <f t="shared" si="98"/>
        <v>1326</v>
      </c>
    </row>
    <row r="12" spans="1:271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560</v>
      </c>
      <c r="H12" s="13" t="s">
        <v>560</v>
      </c>
      <c r="I12" s="13" t="s">
        <v>560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928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560</v>
      </c>
      <c r="W12" s="13" t="s">
        <v>558</v>
      </c>
      <c r="X12" s="13" t="s">
        <v>558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1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142</v>
      </c>
      <c r="AM12" s="14">
        <v>1</v>
      </c>
      <c r="AN12" s="14">
        <f t="shared" si="5"/>
        <v>8</v>
      </c>
      <c r="AO12" s="14">
        <f>INDEX(属性投放!$DF$6:$DF$85,(卡牌属性!AG12-2)*20+卡牌属性!AN12)</f>
        <v>1622</v>
      </c>
      <c r="AP12" s="14">
        <f t="shared" si="6"/>
        <v>1622</v>
      </c>
      <c r="AQ12" s="14">
        <f t="shared" si="6"/>
        <v>1622</v>
      </c>
      <c r="AR12" s="14">
        <f t="shared" si="6"/>
        <v>1622</v>
      </c>
      <c r="AS12" s="14">
        <f t="shared" si="6"/>
        <v>1622</v>
      </c>
      <c r="AT12" s="14">
        <f>INDEX(属性投放!$DG$6:$DG$85,(卡牌属性!AG12-2)*20+卡牌属性!AN12)</f>
        <v>733</v>
      </c>
      <c r="AU12" s="14">
        <f t="shared" si="7"/>
        <v>733</v>
      </c>
      <c r="AV12" s="14">
        <f t="shared" si="7"/>
        <v>733</v>
      </c>
      <c r="AW12" s="14">
        <f t="shared" si="7"/>
        <v>733</v>
      </c>
      <c r="AX12" s="14">
        <f t="shared" si="7"/>
        <v>733</v>
      </c>
      <c r="AY12" s="14">
        <f>INDEX(属性投放!$DH$6:$DH$85,(卡牌属性!AG12-2)*20+卡牌属性!AN12)</f>
        <v>10421</v>
      </c>
      <c r="AZ12" s="14">
        <f t="shared" si="8"/>
        <v>10421</v>
      </c>
      <c r="BA12" s="14">
        <f t="shared" si="8"/>
        <v>10421</v>
      </c>
      <c r="BB12" s="14">
        <f t="shared" si="8"/>
        <v>10421</v>
      </c>
      <c r="BC12" s="14">
        <f t="shared" si="8"/>
        <v>10421</v>
      </c>
      <c r="BD12" s="14">
        <f>INDEX(属性投放!$DL$6:$DL$85,(卡牌属性!AG12-2)*20+卡牌属性!AN12)</f>
        <v>46</v>
      </c>
      <c r="BE12" s="14">
        <f t="shared" si="9"/>
        <v>46</v>
      </c>
      <c r="BF12" s="14">
        <f t="shared" si="9"/>
        <v>46</v>
      </c>
      <c r="BG12" s="14">
        <f t="shared" si="9"/>
        <v>46</v>
      </c>
      <c r="BH12" s="14">
        <f t="shared" si="9"/>
        <v>46</v>
      </c>
      <c r="BI12" s="14">
        <f>INDEX(属性投放!$DM$6:$DM$85,(卡牌属性!AG12-2)*20+卡牌属性!AN12)</f>
        <v>24</v>
      </c>
      <c r="BJ12" s="14">
        <f t="shared" si="10"/>
        <v>24</v>
      </c>
      <c r="BK12" s="14">
        <f t="shared" si="10"/>
        <v>24</v>
      </c>
      <c r="BL12" s="14">
        <f t="shared" si="10"/>
        <v>24</v>
      </c>
      <c r="BM12" s="14">
        <f t="shared" si="10"/>
        <v>24</v>
      </c>
      <c r="BN12" s="14">
        <f>INDEX(属性投放!$DN$6:$DN$85,(卡牌属性!AG12-2)*20+卡牌属性!AN12)</f>
        <v>371</v>
      </c>
      <c r="BO12" s="14">
        <f t="shared" si="11"/>
        <v>371</v>
      </c>
      <c r="BP12" s="14">
        <f t="shared" si="11"/>
        <v>371</v>
      </c>
      <c r="BQ12" s="14">
        <f t="shared" si="11"/>
        <v>371</v>
      </c>
      <c r="BR12" s="14">
        <f t="shared" si="11"/>
        <v>371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32"/>
        <v>1102001</v>
      </c>
      <c r="CA12" s="14" t="str">
        <f t="shared" si="33"/>
        <v>关羽8突</v>
      </c>
      <c r="CB12" s="25" t="s">
        <v>142</v>
      </c>
      <c r="CC12" s="14">
        <v>2</v>
      </c>
      <c r="CD12" s="14">
        <f t="shared" si="14"/>
        <v>8</v>
      </c>
      <c r="CE12" s="14" t="s">
        <v>21</v>
      </c>
      <c r="CF12" s="14">
        <f>INDEX(属性投放!$AZ$6:$AZ$85,(BY12-2)*20+CD12)</f>
        <v>3070</v>
      </c>
      <c r="CG12" s="14" t="s">
        <v>22</v>
      </c>
      <c r="CH12" s="14">
        <f>INDEX(属性投放!$BA$6:$BA$85,(BY12-2)*20+CD12)</f>
        <v>1452</v>
      </c>
      <c r="CI12" s="14" t="s">
        <v>510</v>
      </c>
      <c r="CJ12" s="14">
        <f>INDEX(属性投放!$BB$6:$BB$85,(BY12-2)*20+CD12)</f>
        <v>20285</v>
      </c>
      <c r="CK12" s="14" t="s">
        <v>21</v>
      </c>
      <c r="CL12" s="14">
        <f>INDEX(属性投放!$BC$6:$BC$85,(BY12-2)*20+CD12)</f>
        <v>30</v>
      </c>
      <c r="CM12" s="14" t="s">
        <v>22</v>
      </c>
      <c r="CN12" s="14">
        <f>INDEX(属性投放!$BD$6:$BD$85,(BY12-2)*20+CD12)</f>
        <v>15</v>
      </c>
      <c r="CO12" s="14" t="s">
        <v>510</v>
      </c>
      <c r="CP12" s="14">
        <f>INDEX(属性投放!$BE$6:$BE$85,(BY12-2)*20+CD12)</f>
        <v>240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INDEX($O$6:$O$50,CT12)&amp;"-"&amp;INDEX(属性投放!$AB$7:$AB$50,CZ12)&amp;"-魂火-"&amp;DB12</f>
        <v>关羽-众合+1-魂火-1</v>
      </c>
      <c r="CY12" s="25" t="s">
        <v>142</v>
      </c>
      <c r="CZ12" s="14">
        <f>INDEX(属性投放!$AM$7:$AM$58,CU12)</f>
        <v>5</v>
      </c>
      <c r="DA12" s="14" t="s">
        <v>537</v>
      </c>
      <c r="DB12" s="14">
        <f>INDEX(属性投放!$AN$7:$AN$58,CU12)</f>
        <v>1</v>
      </c>
      <c r="DC12" s="14">
        <f t="shared" si="16"/>
        <v>8</v>
      </c>
      <c r="DD12" s="14">
        <f>INDEX(属性投放!$AO$7:$AO$58,DC12)</f>
        <v>38</v>
      </c>
      <c r="DE12" s="14" t="s">
        <v>538</v>
      </c>
      <c r="DF12" s="14">
        <f>INDEX(属性投放!$BK$6:$BK$85,(CV12-2)*20+CZ12)</f>
        <v>70</v>
      </c>
      <c r="DG12" s="14">
        <f>SUMIFS(DF$5:DF12,$CT$5:$CT12,"="&amp;$CT12)</f>
        <v>395</v>
      </c>
      <c r="DH12" s="14" t="s">
        <v>539</v>
      </c>
      <c r="DI12" s="14">
        <f>INDEX(属性投放!$BL$6:$BL$85,(CV12-2)*20+CZ12)</f>
        <v>35</v>
      </c>
      <c r="DJ12" s="14">
        <f>SUMIFS(DI$5:DI12,$CT$5:$CT12,"="&amp;$CT12)</f>
        <v>199</v>
      </c>
      <c r="DK12" s="14" t="s">
        <v>540</v>
      </c>
      <c r="DL12" s="14">
        <f>INDEX(属性投放!$BM$6:$BM$85,(CV12-2)*20+CZ12)</f>
        <v>490</v>
      </c>
      <c r="DM12" s="14">
        <f>SUMIFS(DL$5:DL12,$CT$5:$CT12,"="&amp;$CT12)</f>
        <v>2560</v>
      </c>
      <c r="DR12" s="14">
        <f t="shared" si="17"/>
        <v>1102001</v>
      </c>
      <c r="DS12" s="14" t="str">
        <f t="shared" si="18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19"/>
        <v>5</v>
      </c>
      <c r="DX12" s="14">
        <f t="shared" si="20"/>
        <v>8</v>
      </c>
      <c r="DY12" s="14">
        <f t="shared" si="21"/>
        <v>68</v>
      </c>
      <c r="DZ12" s="14">
        <f>INDEX(属性投放!$AX$6:$AX$85,(卡牌属性!DW12-2)*20+卡牌属性!DX12)</f>
        <v>5</v>
      </c>
      <c r="EA12" s="14">
        <f>INDEX(属性投放!BQ$6:BQ$85,卡牌属性!$DY12)</f>
        <v>190</v>
      </c>
      <c r="EB12" s="14">
        <f>INDEX(属性投放!BR$6:BR$85,卡牌属性!$DY12)</f>
        <v>95</v>
      </c>
      <c r="EC12" s="14">
        <f>INDEX(属性投放!BS$6:BS$85,卡牌属性!$DY12)</f>
        <v>1520</v>
      </c>
      <c r="ED12" s="14">
        <f t="shared" si="41"/>
        <v>2255</v>
      </c>
      <c r="EE12" s="14">
        <f t="shared" si="42"/>
        <v>2585</v>
      </c>
      <c r="EF12" s="14">
        <f t="shared" si="43"/>
        <v>3025</v>
      </c>
      <c r="EG12" s="14">
        <f t="shared" si="44"/>
        <v>3025</v>
      </c>
      <c r="EH12" s="14">
        <f t="shared" si="45"/>
        <v>3690</v>
      </c>
      <c r="EI12" s="14">
        <f t="shared" si="46"/>
        <v>918</v>
      </c>
      <c r="EJ12" s="14">
        <f t="shared" si="47"/>
        <v>994</v>
      </c>
      <c r="EK12" s="14">
        <f t="shared" si="48"/>
        <v>994</v>
      </c>
      <c r="EL12" s="14">
        <f t="shared" si="49"/>
        <v>1092</v>
      </c>
      <c r="EM12" s="14">
        <f t="shared" si="50"/>
        <v>1279</v>
      </c>
      <c r="EN12" s="14">
        <f t="shared" si="51"/>
        <v>12543</v>
      </c>
      <c r="EO12" s="14">
        <f t="shared" si="52"/>
        <v>13435</v>
      </c>
      <c r="EP12" s="14">
        <f t="shared" si="53"/>
        <v>13435</v>
      </c>
      <c r="EQ12" s="14">
        <f t="shared" si="54"/>
        <v>14585</v>
      </c>
      <c r="ER12" s="14">
        <f t="shared" si="55"/>
        <v>16775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200</v>
      </c>
      <c r="FD12" s="14">
        <f>INDEX(属性偏向!$U$4:$U$243,(卡牌属性!$DV12-1+FD$3)*20+卡牌属性!$DX12)</f>
        <v>224</v>
      </c>
      <c r="FE12" s="14">
        <f>INDEX(属性偏向!$U$4:$U$243,(卡牌属性!$DV12-1+FE$3)*20+卡牌属性!$DX12)</f>
        <v>224</v>
      </c>
      <c r="FF12" s="14">
        <f>INDEX(属性偏向!$U$4:$U$243,(卡牌属性!$DV12-1+FF$3)*20+卡牌属性!$DX12)</f>
        <v>240</v>
      </c>
      <c r="FG12" s="14">
        <f>INDEX(属性偏向!$U$4:$U$243,(卡牌属性!$DV12-1+FG$3)*20+卡牌属性!$DX12)</f>
        <v>320</v>
      </c>
      <c r="FH12" s="14">
        <f>INDEX(属性投放!$BQ$6:$BQ$85,(卡牌属性!$DW12-2)*20+卡牌属性!$DX12)</f>
        <v>190</v>
      </c>
      <c r="FI12" s="14">
        <f>INDEX(属性投放!$BQ$6:$BQ$85,(卡牌属性!$DW12-2)*20+卡牌属性!$DX12)</f>
        <v>190</v>
      </c>
      <c r="FJ12" s="14">
        <f>INDEX(属性投放!$BQ$6:$BQ$85,(卡牌属性!$DW12-2)*20+卡牌属性!$DX12)</f>
        <v>190</v>
      </c>
      <c r="FK12" s="14">
        <f>INDEX(属性投放!$BQ$6:$BQ$85,(卡牌属性!$DW12-2)*20+卡牌属性!$DX12)</f>
        <v>190</v>
      </c>
      <c r="FL12" s="14">
        <f>INDEX(属性投放!$BQ$6:$BQ$85,(卡牌属性!$DW12-2)*20+卡牌属性!$DX12)</f>
        <v>190</v>
      </c>
      <c r="FM12" s="14">
        <f>INDEX(属性投放!$BR$6:$BR$85,(卡牌属性!$DW12-2)*20+卡牌属性!$DX12)</f>
        <v>95</v>
      </c>
      <c r="FN12" s="14">
        <f>INDEX(属性投放!$BR$6:$BR$85,(卡牌属性!$DW12-2)*20+卡牌属性!$DX12)</f>
        <v>95</v>
      </c>
      <c r="FO12" s="14">
        <f>INDEX(属性投放!$BR$6:$BR$85,(卡牌属性!$DW12-2)*20+卡牌属性!$DX12)</f>
        <v>95</v>
      </c>
      <c r="FP12" s="14">
        <f>INDEX(属性投放!$BR$6:$BR$85,(卡牌属性!$DW12-2)*20+卡牌属性!$DX12)</f>
        <v>95</v>
      </c>
      <c r="FQ12" s="14">
        <f>INDEX(属性投放!$BR$6:$BR$85,(卡牌属性!$DW12-2)*20+卡牌属性!$DX12)</f>
        <v>95</v>
      </c>
      <c r="FR12" s="14">
        <f>INDEX(属性投放!$BS$6:$BS$85,(卡牌属性!$DW12-2)*20+卡牌属性!$DX12)</f>
        <v>1520</v>
      </c>
      <c r="FS12" s="14">
        <f>INDEX(属性投放!$BS$6:$BS$85,(卡牌属性!$DW12-2)*20+卡牌属性!$DX12)</f>
        <v>1520</v>
      </c>
      <c r="FT12" s="14">
        <f>INDEX(属性投放!$BS$6:$BS$85,(卡牌属性!$DW12-2)*20+卡牌属性!$DX12)</f>
        <v>1520</v>
      </c>
      <c r="FU12" s="14">
        <f>INDEX(属性投放!$BS$6:$BS$85,(卡牌属性!$DW12-2)*20+卡牌属性!$DX12)</f>
        <v>1520</v>
      </c>
      <c r="FV12" s="14">
        <f>INDEX(属性投放!$BS$6:$BS$85,(卡牌属性!$DW12-2)*20+卡牌属性!$DX12)</f>
        <v>1520</v>
      </c>
      <c r="FZ12" s="13">
        <v>8</v>
      </c>
      <c r="GA12" s="13">
        <f t="shared" si="22"/>
        <v>2</v>
      </c>
      <c r="GB12" s="14">
        <f t="shared" si="56"/>
        <v>1102002</v>
      </c>
      <c r="GC12" s="14" t="s">
        <v>1187</v>
      </c>
      <c r="GD12" s="14">
        <f t="shared" si="23"/>
        <v>3</v>
      </c>
      <c r="GE12" s="14" t="str">
        <f t="shared" si="24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5"/>
        <v>2</v>
      </c>
      <c r="GP12" s="14">
        <f t="shared" si="57"/>
        <v>1101002</v>
      </c>
      <c r="GQ12" s="14" t="s">
        <v>1187</v>
      </c>
      <c r="GR12" s="14">
        <f t="shared" si="26"/>
        <v>3</v>
      </c>
      <c r="GS12" s="14" t="str">
        <f t="shared" si="27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MATCH(HC12,属性投放!$AO$6:$AO$58,1)-1</f>
        <v>2</v>
      </c>
      <c r="HF12" s="13">
        <f>MATCH(HC12-1,属性投放!$AE$6:$AE$26,1)</f>
        <v>2</v>
      </c>
      <c r="HG12" s="13" t="str">
        <f>INDEX(属性投放!$AB$7:$AB$26,卡牌属性!HF12)</f>
        <v>黑绳</v>
      </c>
      <c r="HH12" s="14">
        <f t="shared" si="58"/>
        <v>283</v>
      </c>
      <c r="HI12" s="14">
        <f t="shared" si="59"/>
        <v>78</v>
      </c>
      <c r="HJ12" s="14">
        <f t="shared" si="60"/>
        <v>1100</v>
      </c>
      <c r="HK12" s="14">
        <f t="shared" si="61"/>
        <v>15</v>
      </c>
      <c r="HL12" s="14">
        <f t="shared" si="62"/>
        <v>6</v>
      </c>
      <c r="HM12" s="14">
        <f t="shared" si="63"/>
        <v>72</v>
      </c>
      <c r="HN12" s="14">
        <f>HH12+HK12*($HC12-INDEX(属性投放!$AE$6:$AE$26,卡牌属性!$HF12))</f>
        <v>328</v>
      </c>
      <c r="HO12" s="14">
        <f>HI12+HL12*($HC12-INDEX(属性投放!$AE$6:$AE$26,卡牌属性!$HF12))</f>
        <v>96</v>
      </c>
      <c r="HP12" s="14">
        <f>HJ12+HM12*($HC12-INDEX(属性投放!$AE$6:$AE$26,卡牌属性!$HF12))</f>
        <v>1316</v>
      </c>
      <c r="HQ12" s="14">
        <f t="shared" si="64"/>
        <v>55</v>
      </c>
      <c r="HR12" s="14">
        <f t="shared" si="65"/>
        <v>28</v>
      </c>
      <c r="HS12" s="14">
        <f t="shared" si="66"/>
        <v>330</v>
      </c>
      <c r="HT12" s="14">
        <f>IF(COUNTIF(属性投放!$AO$7:$AO$58,"="&amp;卡牌属性!HC12)&gt;0,卡牌属性!HE12,0)</f>
        <v>2</v>
      </c>
      <c r="HU12" s="14">
        <f t="shared" si="67"/>
        <v>30</v>
      </c>
      <c r="HV12" s="14">
        <f t="shared" si="68"/>
        <v>15</v>
      </c>
      <c r="HW12" s="14">
        <f t="shared" si="69"/>
        <v>180</v>
      </c>
      <c r="HX12" s="14">
        <f>IF(COUNTIF(属性投放!$AE$6:$AE$26,"="&amp;卡牌属性!HC12)&gt;0,卡牌属性!HF12,0)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15</v>
      </c>
      <c r="IC12" s="14">
        <f t="shared" si="74"/>
        <v>6</v>
      </c>
      <c r="ID12" s="14">
        <f t="shared" si="75"/>
        <v>72</v>
      </c>
      <c r="IE12" s="14">
        <f>HN12+HQ12</f>
        <v>383</v>
      </c>
      <c r="IF12" s="14">
        <f t="shared" si="77"/>
        <v>124</v>
      </c>
      <c r="IG12" s="14">
        <f t="shared" si="78"/>
        <v>1646</v>
      </c>
      <c r="IH12" s="14">
        <f t="shared" si="79"/>
        <v>342</v>
      </c>
      <c r="II12" s="14">
        <f t="shared" si="80"/>
        <v>780</v>
      </c>
      <c r="IJ12" s="14">
        <f t="shared" si="81"/>
        <v>0</v>
      </c>
      <c r="IK12" s="14">
        <f t="shared" si="82"/>
        <v>7956</v>
      </c>
      <c r="IL12" s="17">
        <f t="shared" si="83"/>
        <v>4.2986425339366516E-2</v>
      </c>
      <c r="IM12" s="17">
        <f t="shared" si="84"/>
        <v>9.8039215686274508E-2</v>
      </c>
      <c r="IN12" s="17">
        <f t="shared" si="85"/>
        <v>0</v>
      </c>
      <c r="IO12" s="23">
        <f>SUM(IH$5:IH12)</f>
        <v>2426</v>
      </c>
      <c r="IP12" s="14">
        <f>SUM(II$5:II12)</f>
        <v>1440</v>
      </c>
      <c r="IQ12" s="14">
        <f>SUM(IJ$5:IJ12)</f>
        <v>0</v>
      </c>
      <c r="IR12" s="17">
        <f t="shared" si="86"/>
        <v>0.30492709904474613</v>
      </c>
      <c r="IS12" s="17">
        <f t="shared" si="87"/>
        <v>0.18099547511312217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MATCH(IW12-1,属性投放!$AD$7:$AD$26,1)</f>
        <v>1</v>
      </c>
      <c r="IZ12" s="14" t="str">
        <f>INDEX(属性投放!$AB$7:$AB$26,IY12)</f>
        <v>等活</v>
      </c>
      <c r="JA12" s="14">
        <f t="shared" si="89"/>
        <v>100</v>
      </c>
      <c r="JB12" s="14">
        <f t="shared" si="90"/>
        <v>0</v>
      </c>
      <c r="JC12" s="14">
        <f t="shared" si="91"/>
        <v>250.00000000000003</v>
      </c>
      <c r="JD12" s="14">
        <f t="shared" si="92"/>
        <v>6</v>
      </c>
      <c r="JE12" s="14">
        <f t="shared" si="93"/>
        <v>3</v>
      </c>
      <c r="JF12" s="14">
        <f t="shared" si="94"/>
        <v>36</v>
      </c>
      <c r="JG12" s="14">
        <f>INDEX(属性投放!$DC$6:$DC$85,卡牌属性!IY12)</f>
        <v>1</v>
      </c>
      <c r="JH12" s="14">
        <f t="shared" si="95"/>
        <v>142</v>
      </c>
      <c r="JI12" s="14">
        <f t="shared" si="96"/>
        <v>21</v>
      </c>
      <c r="JJ12" s="14">
        <f t="shared" si="97"/>
        <v>502</v>
      </c>
      <c r="JK12" s="14">
        <f t="shared" si="98"/>
        <v>1422</v>
      </c>
    </row>
    <row r="13" spans="1:271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554</v>
      </c>
      <c r="H13" s="13" t="s">
        <v>552</v>
      </c>
      <c r="I13" s="13" t="s">
        <v>550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929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560</v>
      </c>
      <c r="W13" s="13" t="s">
        <v>556</v>
      </c>
      <c r="X13" s="13" t="s">
        <v>564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1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142</v>
      </c>
      <c r="AM13" s="14">
        <v>1</v>
      </c>
      <c r="AN13" s="14">
        <f t="shared" si="5"/>
        <v>9</v>
      </c>
      <c r="AO13" s="14">
        <f>INDEX(属性投放!$DF$6:$DF$85,(卡牌属性!AG13-2)*20+卡牌属性!AN13)</f>
        <v>1755</v>
      </c>
      <c r="AP13" s="14">
        <f t="shared" si="6"/>
        <v>1755</v>
      </c>
      <c r="AQ13" s="14">
        <f t="shared" si="6"/>
        <v>1755</v>
      </c>
      <c r="AR13" s="14">
        <f t="shared" si="6"/>
        <v>1755</v>
      </c>
      <c r="AS13" s="14">
        <f t="shared" si="6"/>
        <v>1755</v>
      </c>
      <c r="AT13" s="14">
        <f>INDEX(属性投放!$DG$6:$DG$85,(卡牌属性!AG13-2)*20+卡牌属性!AN13)</f>
        <v>800</v>
      </c>
      <c r="AU13" s="14">
        <f t="shared" si="7"/>
        <v>800</v>
      </c>
      <c r="AV13" s="14">
        <f t="shared" si="7"/>
        <v>800</v>
      </c>
      <c r="AW13" s="14">
        <f t="shared" si="7"/>
        <v>800</v>
      </c>
      <c r="AX13" s="14">
        <f t="shared" si="7"/>
        <v>800</v>
      </c>
      <c r="AY13" s="14">
        <f>INDEX(属性投放!$DH$6:$DH$85,(卡牌属性!AG13-2)*20+卡牌属性!AN13)</f>
        <v>11481</v>
      </c>
      <c r="AZ13" s="14">
        <f t="shared" si="8"/>
        <v>11481</v>
      </c>
      <c r="BA13" s="14">
        <f t="shared" si="8"/>
        <v>11481</v>
      </c>
      <c r="BB13" s="14">
        <f t="shared" si="8"/>
        <v>11481</v>
      </c>
      <c r="BC13" s="14">
        <f t="shared" si="8"/>
        <v>11481</v>
      </c>
      <c r="BD13" s="14">
        <f>INDEX(属性投放!$DL$6:$DL$85,(卡牌属性!AG13-2)*20+卡牌属性!AN13)</f>
        <v>46</v>
      </c>
      <c r="BE13" s="14">
        <f t="shared" si="9"/>
        <v>46</v>
      </c>
      <c r="BF13" s="14">
        <f t="shared" si="9"/>
        <v>46</v>
      </c>
      <c r="BG13" s="14">
        <f t="shared" si="9"/>
        <v>46</v>
      </c>
      <c r="BH13" s="14">
        <f t="shared" si="9"/>
        <v>46</v>
      </c>
      <c r="BI13" s="14">
        <f>INDEX(属性投放!$DM$6:$DM$85,(卡牌属性!AG13-2)*20+卡牌属性!AN13)</f>
        <v>24</v>
      </c>
      <c r="BJ13" s="14">
        <f t="shared" si="10"/>
        <v>24</v>
      </c>
      <c r="BK13" s="14">
        <f t="shared" si="10"/>
        <v>24</v>
      </c>
      <c r="BL13" s="14">
        <f t="shared" si="10"/>
        <v>24</v>
      </c>
      <c r="BM13" s="14">
        <f t="shared" si="10"/>
        <v>24</v>
      </c>
      <c r="BN13" s="14">
        <f>INDEX(属性投放!$DN$6:$DN$85,(卡牌属性!AG13-2)*20+卡牌属性!AN13)</f>
        <v>371</v>
      </c>
      <c r="BO13" s="14">
        <f t="shared" si="11"/>
        <v>371</v>
      </c>
      <c r="BP13" s="14">
        <f t="shared" si="11"/>
        <v>371</v>
      </c>
      <c r="BQ13" s="14">
        <f t="shared" si="11"/>
        <v>371</v>
      </c>
      <c r="BR13" s="14">
        <f t="shared" si="11"/>
        <v>371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32"/>
        <v>1102001</v>
      </c>
      <c r="CA13" s="14" t="str">
        <f t="shared" si="33"/>
        <v>关羽9突</v>
      </c>
      <c r="CB13" s="25" t="s">
        <v>142</v>
      </c>
      <c r="CC13" s="14">
        <v>2</v>
      </c>
      <c r="CD13" s="14">
        <f t="shared" si="14"/>
        <v>9</v>
      </c>
      <c r="CE13" s="14" t="s">
        <v>21</v>
      </c>
      <c r="CF13" s="14">
        <f>INDEX(属性投放!$AZ$6:$AZ$85,(BY13-2)*20+CD13)</f>
        <v>3650</v>
      </c>
      <c r="CG13" s="14" t="s">
        <v>22</v>
      </c>
      <c r="CH13" s="14">
        <f>INDEX(属性投放!$BA$6:$BA$85,(BY13-2)*20+CD13)</f>
        <v>1742</v>
      </c>
      <c r="CI13" s="14" t="s">
        <v>510</v>
      </c>
      <c r="CJ13" s="14">
        <f>INDEX(属性投放!$BB$6:$BB$85,(BY13-2)*20+CD13)</f>
        <v>24925</v>
      </c>
      <c r="CK13" s="14" t="s">
        <v>21</v>
      </c>
      <c r="CL13" s="14">
        <f>INDEX(属性投放!$BC$6:$BC$85,(BY13-2)*20+CD13)</f>
        <v>30</v>
      </c>
      <c r="CM13" s="14" t="s">
        <v>22</v>
      </c>
      <c r="CN13" s="14">
        <f>INDEX(属性投放!$BD$6:$BD$85,(BY13-2)*20+CD13)</f>
        <v>15</v>
      </c>
      <c r="CO13" s="14" t="s">
        <v>510</v>
      </c>
      <c r="CP13" s="14">
        <f>INDEX(属性投放!$BE$6:$BE$85,(BY13-2)*20+CD13)</f>
        <v>240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INDEX($O$6:$O$50,CT13)&amp;"-"&amp;INDEX(属性投放!$AB$7:$AB$50,CZ13)&amp;"-魂火-"&amp;DB13</f>
        <v>关羽-众合+1-魂火-2</v>
      </c>
      <c r="CY13" s="25" t="s">
        <v>142</v>
      </c>
      <c r="CZ13" s="14">
        <f>INDEX(属性投放!$AM$7:$AM$58,CU13)</f>
        <v>5</v>
      </c>
      <c r="DA13" s="14" t="s">
        <v>537</v>
      </c>
      <c r="DB13" s="14">
        <f>INDEX(属性投放!$AN$7:$AN$58,CU13)</f>
        <v>2</v>
      </c>
      <c r="DC13" s="14">
        <f t="shared" si="16"/>
        <v>9</v>
      </c>
      <c r="DD13" s="14">
        <f>INDEX(属性投放!$AO$7:$AO$58,DC13)</f>
        <v>40</v>
      </c>
      <c r="DE13" s="14" t="s">
        <v>538</v>
      </c>
      <c r="DF13" s="14">
        <f>INDEX(属性投放!$BK$6:$BK$85,(CV13-2)*20+CZ13)</f>
        <v>70</v>
      </c>
      <c r="DG13" s="14">
        <f>SUMIFS(DF$5:DF13,$CT$5:$CT13,"="&amp;$CT13)</f>
        <v>465</v>
      </c>
      <c r="DH13" s="14" t="s">
        <v>539</v>
      </c>
      <c r="DI13" s="14">
        <f>INDEX(属性投放!$BL$6:$BL$85,(CV13-2)*20+CZ13)</f>
        <v>35</v>
      </c>
      <c r="DJ13" s="14">
        <f>SUMIFS(DI$5:DI13,$CT$5:$CT13,"="&amp;$CT13)</f>
        <v>234</v>
      </c>
      <c r="DK13" s="14" t="s">
        <v>540</v>
      </c>
      <c r="DL13" s="14">
        <f>INDEX(属性投放!$BM$6:$BM$85,(CV13-2)*20+CZ13)</f>
        <v>490</v>
      </c>
      <c r="DM13" s="14">
        <f>SUMIFS(DL$5:DL13,$CT$5:$CT13,"="&amp;$CT13)</f>
        <v>3050</v>
      </c>
      <c r="DR13" s="14">
        <f t="shared" si="17"/>
        <v>1102001</v>
      </c>
      <c r="DS13" s="14" t="str">
        <f t="shared" si="18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19"/>
        <v>5</v>
      </c>
      <c r="DX13" s="14">
        <f t="shared" si="20"/>
        <v>9</v>
      </c>
      <c r="DY13" s="14">
        <f t="shared" si="21"/>
        <v>69</v>
      </c>
      <c r="DZ13" s="14">
        <f>INDEX(属性投放!$AX$6:$AX$85,(卡牌属性!DW13-2)*20+卡牌属性!DX13)</f>
        <v>8</v>
      </c>
      <c r="EA13" s="14">
        <f>INDEX(属性投放!BQ$6:BQ$85,卡牌属性!$DY13)</f>
        <v>220</v>
      </c>
      <c r="EB13" s="14">
        <f>INDEX(属性投放!BR$6:BR$85,卡牌属性!$DY13)</f>
        <v>110</v>
      </c>
      <c r="EC13" s="14">
        <f>INDEX(属性投放!BS$6:BS$85,卡牌属性!$DY13)</f>
        <v>1760</v>
      </c>
      <c r="ED13" s="14">
        <f t="shared" si="41"/>
        <v>2595</v>
      </c>
      <c r="EE13" s="14">
        <f t="shared" si="42"/>
        <v>2975</v>
      </c>
      <c r="EF13" s="14">
        <f t="shared" si="43"/>
        <v>3465</v>
      </c>
      <c r="EG13" s="14">
        <f t="shared" si="44"/>
        <v>3465</v>
      </c>
      <c r="EH13" s="14">
        <f t="shared" si="45"/>
        <v>4255</v>
      </c>
      <c r="EI13" s="14">
        <f t="shared" si="46"/>
        <v>1078</v>
      </c>
      <c r="EJ13" s="14">
        <f t="shared" si="47"/>
        <v>1159</v>
      </c>
      <c r="EK13" s="14">
        <f t="shared" si="48"/>
        <v>1159</v>
      </c>
      <c r="EL13" s="14">
        <f t="shared" si="49"/>
        <v>1262</v>
      </c>
      <c r="EM13" s="14">
        <f t="shared" si="50"/>
        <v>1474</v>
      </c>
      <c r="EN13" s="14">
        <f t="shared" si="51"/>
        <v>15063</v>
      </c>
      <c r="EO13" s="14">
        <f t="shared" si="52"/>
        <v>16075</v>
      </c>
      <c r="EP13" s="14">
        <f t="shared" si="53"/>
        <v>16075</v>
      </c>
      <c r="EQ13" s="14">
        <f t="shared" si="54"/>
        <v>17305</v>
      </c>
      <c r="ER13" s="14">
        <f t="shared" si="55"/>
        <v>19895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200</v>
      </c>
      <c r="FD13" s="14">
        <f>INDEX(属性偏向!$U$4:$U$243,(卡牌属性!$DV13-1+FD$3)*20+卡牌属性!$DX13)</f>
        <v>224</v>
      </c>
      <c r="FE13" s="14">
        <f>INDEX(属性偏向!$U$4:$U$243,(卡牌属性!$DV13-1+FE$3)*20+卡牌属性!$DX13)</f>
        <v>224</v>
      </c>
      <c r="FF13" s="14">
        <f>INDEX(属性偏向!$U$4:$U$243,(卡牌属性!$DV13-1+FF$3)*20+卡牌属性!$DX13)</f>
        <v>240</v>
      </c>
      <c r="FG13" s="14">
        <f>INDEX(属性偏向!$U$4:$U$243,(卡牌属性!$DV13-1+FG$3)*20+卡牌属性!$DX13)</f>
        <v>320</v>
      </c>
      <c r="FH13" s="14">
        <f>INDEX(属性投放!$BQ$6:$BQ$85,(卡牌属性!$DW13-2)*20+卡牌属性!$DX13)</f>
        <v>220</v>
      </c>
      <c r="FI13" s="14">
        <f>INDEX(属性投放!$BQ$6:$BQ$85,(卡牌属性!$DW13-2)*20+卡牌属性!$DX13)</f>
        <v>220</v>
      </c>
      <c r="FJ13" s="14">
        <f>INDEX(属性投放!$BQ$6:$BQ$85,(卡牌属性!$DW13-2)*20+卡牌属性!$DX13)</f>
        <v>220</v>
      </c>
      <c r="FK13" s="14">
        <f>INDEX(属性投放!$BQ$6:$BQ$85,(卡牌属性!$DW13-2)*20+卡牌属性!$DX13)</f>
        <v>220</v>
      </c>
      <c r="FL13" s="14">
        <f>INDEX(属性投放!$BQ$6:$BQ$85,(卡牌属性!$DW13-2)*20+卡牌属性!$DX13)</f>
        <v>220</v>
      </c>
      <c r="FM13" s="14">
        <f>INDEX(属性投放!$BR$6:$BR$85,(卡牌属性!$DW13-2)*20+卡牌属性!$DX13)</f>
        <v>110</v>
      </c>
      <c r="FN13" s="14">
        <f>INDEX(属性投放!$BR$6:$BR$85,(卡牌属性!$DW13-2)*20+卡牌属性!$DX13)</f>
        <v>110</v>
      </c>
      <c r="FO13" s="14">
        <f>INDEX(属性投放!$BR$6:$BR$85,(卡牌属性!$DW13-2)*20+卡牌属性!$DX13)</f>
        <v>110</v>
      </c>
      <c r="FP13" s="14">
        <f>INDEX(属性投放!$BR$6:$BR$85,(卡牌属性!$DW13-2)*20+卡牌属性!$DX13)</f>
        <v>110</v>
      </c>
      <c r="FQ13" s="14">
        <f>INDEX(属性投放!$BR$6:$BR$85,(卡牌属性!$DW13-2)*20+卡牌属性!$DX13)</f>
        <v>110</v>
      </c>
      <c r="FR13" s="14">
        <f>INDEX(属性投放!$BS$6:$BS$85,(卡牌属性!$DW13-2)*20+卡牌属性!$DX13)</f>
        <v>1760</v>
      </c>
      <c r="FS13" s="14">
        <f>INDEX(属性投放!$BS$6:$BS$85,(卡牌属性!$DW13-2)*20+卡牌属性!$DX13)</f>
        <v>1760</v>
      </c>
      <c r="FT13" s="14">
        <f>INDEX(属性投放!$BS$6:$BS$85,(卡牌属性!$DW13-2)*20+卡牌属性!$DX13)</f>
        <v>1760</v>
      </c>
      <c r="FU13" s="14">
        <f>INDEX(属性投放!$BS$6:$BS$85,(卡牌属性!$DW13-2)*20+卡牌属性!$DX13)</f>
        <v>1760</v>
      </c>
      <c r="FV13" s="14">
        <f>INDEX(属性投放!$BS$6:$BS$85,(卡牌属性!$DW13-2)*20+卡牌属性!$DX13)</f>
        <v>1760</v>
      </c>
      <c r="FZ13" s="13">
        <v>9</v>
      </c>
      <c r="GA13" s="13">
        <f t="shared" si="22"/>
        <v>2</v>
      </c>
      <c r="GB13" s="14">
        <f t="shared" si="56"/>
        <v>1102002</v>
      </c>
      <c r="GC13" s="14" t="s">
        <v>1187</v>
      </c>
      <c r="GD13" s="14">
        <f t="shared" si="23"/>
        <v>4</v>
      </c>
      <c r="GE13" s="14" t="str">
        <f t="shared" si="24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5"/>
        <v>2</v>
      </c>
      <c r="GP13" s="14">
        <f t="shared" si="57"/>
        <v>1101002</v>
      </c>
      <c r="GQ13" s="14" t="s">
        <v>1187</v>
      </c>
      <c r="GR13" s="14">
        <f t="shared" si="26"/>
        <v>4</v>
      </c>
      <c r="GS13" s="14" t="str">
        <f t="shared" si="27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MATCH(HC13,属性投放!$AO$6:$AO$58,1)-1</f>
        <v>2</v>
      </c>
      <c r="HF13" s="13">
        <f>MATCH(HC13-1,属性投放!$AE$6:$AE$26,1)</f>
        <v>2</v>
      </c>
      <c r="HG13" s="13" t="str">
        <f>INDEX(属性投放!$AB$7:$AB$26,卡牌属性!HF13)</f>
        <v>黑绳</v>
      </c>
      <c r="HH13" s="14">
        <f t="shared" si="58"/>
        <v>283</v>
      </c>
      <c r="HI13" s="14">
        <f t="shared" si="59"/>
        <v>78</v>
      </c>
      <c r="HJ13" s="14">
        <f t="shared" si="60"/>
        <v>1100</v>
      </c>
      <c r="HK13" s="14">
        <f t="shared" si="61"/>
        <v>15</v>
      </c>
      <c r="HL13" s="14">
        <f t="shared" si="62"/>
        <v>6</v>
      </c>
      <c r="HM13" s="14">
        <f t="shared" si="63"/>
        <v>72</v>
      </c>
      <c r="HN13" s="14">
        <f>HH13+HK13*($HC13-INDEX(属性投放!$AE$6:$AE$26,卡牌属性!$HF13))</f>
        <v>343</v>
      </c>
      <c r="HO13" s="14">
        <f>HI13+HL13*($HC13-INDEX(属性投放!$AE$6:$AE$26,卡牌属性!$HF13))</f>
        <v>102</v>
      </c>
      <c r="HP13" s="14">
        <f>HJ13+HM13*($HC13-INDEX(属性投放!$AE$6:$AE$26,卡牌属性!$HF13))</f>
        <v>1388</v>
      </c>
      <c r="HQ13" s="14">
        <f t="shared" si="64"/>
        <v>55</v>
      </c>
      <c r="HR13" s="14">
        <f t="shared" si="65"/>
        <v>28</v>
      </c>
      <c r="HS13" s="14">
        <f t="shared" si="66"/>
        <v>330</v>
      </c>
      <c r="HT13" s="14">
        <f>IF(COUNTIF(属性投放!$AO$7:$AO$58,"="&amp;卡牌属性!HC13)&gt;0,卡牌属性!HE13,0)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IF(COUNTIF(属性投放!$AE$6:$AE$26,"="&amp;卡牌属性!HC13)&gt;0,卡牌属性!HF13,0)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15</v>
      </c>
      <c r="IC13" s="14">
        <f t="shared" si="74"/>
        <v>6</v>
      </c>
      <c r="ID13" s="14">
        <f t="shared" si="75"/>
        <v>72</v>
      </c>
      <c r="IE13" s="14">
        <f t="shared" si="76"/>
        <v>398</v>
      </c>
      <c r="IF13" s="14">
        <f t="shared" si="77"/>
        <v>130</v>
      </c>
      <c r="IG13" s="14">
        <f t="shared" si="78"/>
        <v>1718</v>
      </c>
      <c r="IH13" s="14">
        <f t="shared" si="79"/>
        <v>342</v>
      </c>
      <c r="II13" s="14">
        <f t="shared" si="80"/>
        <v>0</v>
      </c>
      <c r="IJ13" s="14">
        <f t="shared" si="81"/>
        <v>0</v>
      </c>
      <c r="IK13" s="14">
        <f t="shared" si="82"/>
        <v>8298</v>
      </c>
      <c r="IL13" s="17">
        <f t="shared" si="83"/>
        <v>4.1214750542299353E-2</v>
      </c>
      <c r="IM13" s="17">
        <f t="shared" si="84"/>
        <v>0</v>
      </c>
      <c r="IN13" s="17">
        <f t="shared" si="85"/>
        <v>0</v>
      </c>
      <c r="IO13" s="23">
        <f>SUM(IH$5:IH13)</f>
        <v>2768</v>
      </c>
      <c r="IP13" s="14">
        <f>SUM(II$5:II13)</f>
        <v>1440</v>
      </c>
      <c r="IQ13" s="14">
        <f>SUM(IJ$5:IJ13)</f>
        <v>0</v>
      </c>
      <c r="IR13" s="17">
        <f t="shared" si="86"/>
        <v>0.33357435526632923</v>
      </c>
      <c r="IS13" s="17">
        <f t="shared" si="87"/>
        <v>0.17353579175704989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MATCH(IW13-1,属性投放!$AD$7:$AD$26,1)</f>
        <v>1</v>
      </c>
      <c r="IZ13" s="14" t="str">
        <f>INDEX(属性投放!$AB$7:$AB$26,IY13)</f>
        <v>等活</v>
      </c>
      <c r="JA13" s="14">
        <f t="shared" si="89"/>
        <v>100</v>
      </c>
      <c r="JB13" s="14">
        <f t="shared" si="90"/>
        <v>0</v>
      </c>
      <c r="JC13" s="14">
        <f t="shared" si="91"/>
        <v>250.00000000000003</v>
      </c>
      <c r="JD13" s="14">
        <f t="shared" si="92"/>
        <v>6</v>
      </c>
      <c r="JE13" s="14">
        <f t="shared" si="93"/>
        <v>3</v>
      </c>
      <c r="JF13" s="14">
        <f t="shared" si="94"/>
        <v>36</v>
      </c>
      <c r="JG13" s="14">
        <f>INDEX(属性投放!$DC$6:$DC$85,卡牌属性!IY13)</f>
        <v>1</v>
      </c>
      <c r="JH13" s="14">
        <f t="shared" si="95"/>
        <v>148</v>
      </c>
      <c r="JI13" s="14">
        <f t="shared" si="96"/>
        <v>24</v>
      </c>
      <c r="JJ13" s="14">
        <f t="shared" si="97"/>
        <v>538</v>
      </c>
      <c r="JK13" s="14">
        <f t="shared" si="98"/>
        <v>1518</v>
      </c>
    </row>
    <row r="14" spans="1:271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556</v>
      </c>
      <c r="H14" s="13" t="s">
        <v>556</v>
      </c>
      <c r="I14" s="13" t="s">
        <v>556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930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554</v>
      </c>
      <c r="W14" s="13" t="s">
        <v>556</v>
      </c>
      <c r="X14" s="13" t="s">
        <v>560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1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142</v>
      </c>
      <c r="AM14" s="14">
        <v>1</v>
      </c>
      <c r="AN14" s="14">
        <f t="shared" si="5"/>
        <v>10</v>
      </c>
      <c r="AO14" s="14">
        <f>INDEX(属性投放!$DF$6:$DF$85,(卡牌属性!AG14-2)*20+卡牌属性!AN14)</f>
        <v>2578</v>
      </c>
      <c r="AP14" s="14">
        <f t="shared" si="6"/>
        <v>2578</v>
      </c>
      <c r="AQ14" s="14">
        <f t="shared" si="6"/>
        <v>2578</v>
      </c>
      <c r="AR14" s="14">
        <f t="shared" si="6"/>
        <v>2578</v>
      </c>
      <c r="AS14" s="14">
        <f t="shared" si="6"/>
        <v>2578</v>
      </c>
      <c r="AT14" s="14">
        <f>INDEX(属性投放!$DG$6:$DG$85,(卡牌属性!AG14-2)*20+卡牌属性!AN14)</f>
        <v>1227</v>
      </c>
      <c r="AU14" s="14">
        <f t="shared" si="7"/>
        <v>1227</v>
      </c>
      <c r="AV14" s="14">
        <f t="shared" si="7"/>
        <v>1227</v>
      </c>
      <c r="AW14" s="14">
        <f t="shared" si="7"/>
        <v>1227</v>
      </c>
      <c r="AX14" s="14">
        <f t="shared" si="7"/>
        <v>1227</v>
      </c>
      <c r="AY14" s="14">
        <f>INDEX(属性投放!$DH$6:$DH$85,(卡牌属性!AG14-2)*20+卡牌属性!AN14)</f>
        <v>18106</v>
      </c>
      <c r="AZ14" s="14">
        <f t="shared" si="8"/>
        <v>18106</v>
      </c>
      <c r="BA14" s="14">
        <f t="shared" si="8"/>
        <v>18106</v>
      </c>
      <c r="BB14" s="14">
        <f t="shared" si="8"/>
        <v>18106</v>
      </c>
      <c r="BC14" s="14">
        <f t="shared" si="8"/>
        <v>18106</v>
      </c>
      <c r="BD14" s="14">
        <f>INDEX(属性投放!$DL$6:$DL$85,(卡牌属性!AG14-2)*20+卡牌属性!AN14)</f>
        <v>92</v>
      </c>
      <c r="BE14" s="14">
        <f t="shared" si="9"/>
        <v>92</v>
      </c>
      <c r="BF14" s="14">
        <f t="shared" si="9"/>
        <v>92</v>
      </c>
      <c r="BG14" s="14">
        <f t="shared" si="9"/>
        <v>92</v>
      </c>
      <c r="BH14" s="14">
        <f t="shared" si="9"/>
        <v>92</v>
      </c>
      <c r="BI14" s="14">
        <f>INDEX(属性投放!$DM$6:$DM$85,(卡牌属性!AG14-2)*20+卡牌属性!AN14)</f>
        <v>46</v>
      </c>
      <c r="BJ14" s="14">
        <f t="shared" si="10"/>
        <v>46</v>
      </c>
      <c r="BK14" s="14">
        <f t="shared" si="10"/>
        <v>46</v>
      </c>
      <c r="BL14" s="14">
        <f t="shared" si="10"/>
        <v>46</v>
      </c>
      <c r="BM14" s="14">
        <f t="shared" si="10"/>
        <v>46</v>
      </c>
      <c r="BN14" s="14">
        <f>INDEX(属性投放!$DN$6:$DN$85,(卡牌属性!AG14-2)*20+卡牌属性!AN14)</f>
        <v>824</v>
      </c>
      <c r="BO14" s="14">
        <f t="shared" si="11"/>
        <v>824</v>
      </c>
      <c r="BP14" s="14">
        <f t="shared" si="11"/>
        <v>824</v>
      </c>
      <c r="BQ14" s="14">
        <f t="shared" si="11"/>
        <v>824</v>
      </c>
      <c r="BR14" s="14">
        <f t="shared" si="11"/>
        <v>824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32"/>
        <v>1102001</v>
      </c>
      <c r="CA14" s="14" t="str">
        <f t="shared" si="33"/>
        <v>关羽10突</v>
      </c>
      <c r="CB14" s="25" t="s">
        <v>142</v>
      </c>
      <c r="CC14" s="14">
        <v>2</v>
      </c>
      <c r="CD14" s="14">
        <f t="shared" si="14"/>
        <v>10</v>
      </c>
      <c r="CE14" s="14" t="s">
        <v>21</v>
      </c>
      <c r="CF14" s="14">
        <f>INDEX(属性投放!$AZ$6:$AZ$85,(BY14-2)*20+CD14)</f>
        <v>4524</v>
      </c>
      <c r="CG14" s="14" t="s">
        <v>22</v>
      </c>
      <c r="CH14" s="14">
        <f>INDEX(属性投放!$BA$6:$BA$85,(BY14-2)*20+CD14)</f>
        <v>2179</v>
      </c>
      <c r="CI14" s="14" t="s">
        <v>510</v>
      </c>
      <c r="CJ14" s="14">
        <f>INDEX(属性投放!$BB$6:$BB$85,(BY14-2)*20+CD14)</f>
        <v>31917</v>
      </c>
      <c r="CK14" s="14" t="s">
        <v>21</v>
      </c>
      <c r="CL14" s="14">
        <f>INDEX(属性投放!$BC$6:$BC$85,(BY14-2)*20+CD14)</f>
        <v>40</v>
      </c>
      <c r="CM14" s="14" t="s">
        <v>22</v>
      </c>
      <c r="CN14" s="14">
        <f>INDEX(属性投放!$BD$6:$BD$85,(BY14-2)*20+CD14)</f>
        <v>20</v>
      </c>
      <c r="CO14" s="14" t="s">
        <v>510</v>
      </c>
      <c r="CP14" s="14">
        <f>INDEX(属性投放!$BE$6:$BE$85,(BY14-2)*20+CD14)</f>
        <v>360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INDEX($O$6:$O$50,CT14)&amp;"-"&amp;INDEX(属性投放!$AB$7:$AB$50,CZ14)&amp;"-魂火-"&amp;DB14</f>
        <v>关羽-众合+2-魂火-1</v>
      </c>
      <c r="CY14" s="25" t="s">
        <v>142</v>
      </c>
      <c r="CZ14" s="14">
        <f>INDEX(属性投放!$AM$7:$AM$58,CU14)</f>
        <v>6</v>
      </c>
      <c r="DA14" s="14" t="s">
        <v>537</v>
      </c>
      <c r="DB14" s="14">
        <f>INDEX(属性投放!$AN$7:$AN$58,CU14)</f>
        <v>1</v>
      </c>
      <c r="DC14" s="14">
        <f t="shared" si="16"/>
        <v>10</v>
      </c>
      <c r="DD14" s="14">
        <f>INDEX(属性投放!$AO$7:$AO$58,DC14)</f>
        <v>43</v>
      </c>
      <c r="DE14" s="14" t="s">
        <v>538</v>
      </c>
      <c r="DF14" s="14">
        <f>INDEX(属性投放!$BK$6:$BK$85,(CV14-2)*20+CZ14)</f>
        <v>75</v>
      </c>
      <c r="DG14" s="14">
        <f>SUMIFS(DF$5:DF14,$CT$5:$CT14,"="&amp;$CT14)</f>
        <v>540</v>
      </c>
      <c r="DH14" s="14" t="s">
        <v>539</v>
      </c>
      <c r="DI14" s="14">
        <f>INDEX(属性投放!$BL$6:$BL$85,(CV14-2)*20+CZ14)</f>
        <v>38</v>
      </c>
      <c r="DJ14" s="14">
        <f>SUMIFS(DI$5:DI14,$CT$5:$CT14,"="&amp;$CT14)</f>
        <v>272</v>
      </c>
      <c r="DK14" s="14" t="s">
        <v>540</v>
      </c>
      <c r="DL14" s="14">
        <f>INDEX(属性投放!$BM$6:$BM$85,(CV14-2)*20+CZ14)</f>
        <v>525</v>
      </c>
      <c r="DM14" s="14">
        <f>SUMIFS(DL$5:DL14,$CT$5:$CT14,"="&amp;$CT14)</f>
        <v>3575</v>
      </c>
      <c r="DR14" s="14">
        <f t="shared" si="17"/>
        <v>1102001</v>
      </c>
      <c r="DS14" s="14" t="str">
        <f t="shared" si="18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19"/>
        <v>5</v>
      </c>
      <c r="DX14" s="14">
        <f t="shared" si="20"/>
        <v>10</v>
      </c>
      <c r="DY14" s="14">
        <f t="shared" si="21"/>
        <v>70</v>
      </c>
      <c r="DZ14" s="14">
        <f>INDEX(属性投放!$AX$6:$AX$85,(卡牌属性!DW14-2)*20+卡牌属性!DX14)</f>
        <v>7</v>
      </c>
      <c r="EA14" s="14">
        <f>INDEX(属性投放!BQ$6:BQ$85,卡牌属性!$DY14)</f>
        <v>215</v>
      </c>
      <c r="EB14" s="14">
        <f>INDEX(属性投放!BR$6:BR$85,卡牌属性!$DY14)</f>
        <v>108</v>
      </c>
      <c r="EC14" s="14">
        <f>INDEX(属性投放!BS$6:BS$85,卡牌属性!$DY14)</f>
        <v>1935</v>
      </c>
      <c r="ED14" s="14">
        <f t="shared" si="41"/>
        <v>3055</v>
      </c>
      <c r="EE14" s="14">
        <f t="shared" si="42"/>
        <v>3515</v>
      </c>
      <c r="EF14" s="14">
        <f t="shared" si="43"/>
        <v>4085</v>
      </c>
      <c r="EG14" s="14">
        <f t="shared" si="44"/>
        <v>4085</v>
      </c>
      <c r="EH14" s="14">
        <f t="shared" si="45"/>
        <v>5075</v>
      </c>
      <c r="EI14" s="14">
        <f t="shared" si="46"/>
        <v>1292</v>
      </c>
      <c r="EJ14" s="14">
        <f t="shared" si="47"/>
        <v>1381</v>
      </c>
      <c r="EK14" s="14">
        <f t="shared" si="48"/>
        <v>1381</v>
      </c>
      <c r="EL14" s="14">
        <f t="shared" si="49"/>
        <v>1492</v>
      </c>
      <c r="EM14" s="14">
        <f t="shared" si="50"/>
        <v>1744</v>
      </c>
      <c r="EN14" s="14">
        <f t="shared" si="51"/>
        <v>18423</v>
      </c>
      <c r="EO14" s="14">
        <f t="shared" si="52"/>
        <v>19627</v>
      </c>
      <c r="EP14" s="14">
        <f t="shared" si="53"/>
        <v>19627</v>
      </c>
      <c r="EQ14" s="14">
        <f t="shared" si="54"/>
        <v>20985</v>
      </c>
      <c r="ER14" s="14">
        <f t="shared" si="55"/>
        <v>24215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270</v>
      </c>
      <c r="FD14" s="14">
        <f>INDEX(属性偏向!$U$4:$U$243,(卡牌属性!$DV14-1+FD$3)*20+卡牌属性!$DX14)</f>
        <v>315</v>
      </c>
      <c r="FE14" s="14">
        <f>INDEX(属性偏向!$U$4:$U$243,(卡牌属性!$DV14-1+FE$3)*20+卡牌属性!$DX14)</f>
        <v>315</v>
      </c>
      <c r="FF14" s="14">
        <f>INDEX(属性偏向!$U$4:$U$243,(卡牌属性!$DV14-1+FF$3)*20+卡牌属性!$DX14)</f>
        <v>360</v>
      </c>
      <c r="FG14" s="14">
        <f>INDEX(属性偏向!$U$4:$U$243,(卡牌属性!$DV14-1+FG$3)*20+卡牌属性!$DX14)</f>
        <v>450</v>
      </c>
      <c r="FH14" s="14">
        <f>INDEX(属性投放!$BQ$6:$BQ$85,(卡牌属性!$DW14-2)*20+卡牌属性!$DX14)</f>
        <v>215</v>
      </c>
      <c r="FI14" s="14">
        <f>INDEX(属性投放!$BQ$6:$BQ$85,(卡牌属性!$DW14-2)*20+卡牌属性!$DX14)</f>
        <v>215</v>
      </c>
      <c r="FJ14" s="14">
        <f>INDEX(属性投放!$BQ$6:$BQ$85,(卡牌属性!$DW14-2)*20+卡牌属性!$DX14)</f>
        <v>215</v>
      </c>
      <c r="FK14" s="14">
        <f>INDEX(属性投放!$BQ$6:$BQ$85,(卡牌属性!$DW14-2)*20+卡牌属性!$DX14)</f>
        <v>215</v>
      </c>
      <c r="FL14" s="14">
        <f>INDEX(属性投放!$BQ$6:$BQ$85,(卡牌属性!$DW14-2)*20+卡牌属性!$DX14)</f>
        <v>215</v>
      </c>
      <c r="FM14" s="14">
        <f>INDEX(属性投放!$BR$6:$BR$85,(卡牌属性!$DW14-2)*20+卡牌属性!$DX14)</f>
        <v>108</v>
      </c>
      <c r="FN14" s="14">
        <f>INDEX(属性投放!$BR$6:$BR$85,(卡牌属性!$DW14-2)*20+卡牌属性!$DX14)</f>
        <v>108</v>
      </c>
      <c r="FO14" s="14">
        <f>INDEX(属性投放!$BR$6:$BR$85,(卡牌属性!$DW14-2)*20+卡牌属性!$DX14)</f>
        <v>108</v>
      </c>
      <c r="FP14" s="14">
        <f>INDEX(属性投放!$BR$6:$BR$85,(卡牌属性!$DW14-2)*20+卡牌属性!$DX14)</f>
        <v>108</v>
      </c>
      <c r="FQ14" s="14">
        <f>INDEX(属性投放!$BR$6:$BR$85,(卡牌属性!$DW14-2)*20+卡牌属性!$DX14)</f>
        <v>108</v>
      </c>
      <c r="FR14" s="14">
        <f>INDEX(属性投放!$BS$6:$BS$85,(卡牌属性!$DW14-2)*20+卡牌属性!$DX14)</f>
        <v>1935</v>
      </c>
      <c r="FS14" s="14">
        <f>INDEX(属性投放!$BS$6:$BS$85,(卡牌属性!$DW14-2)*20+卡牌属性!$DX14)</f>
        <v>1935</v>
      </c>
      <c r="FT14" s="14">
        <f>INDEX(属性投放!$BS$6:$BS$85,(卡牌属性!$DW14-2)*20+卡牌属性!$DX14)</f>
        <v>1935</v>
      </c>
      <c r="FU14" s="14">
        <f>INDEX(属性投放!$BS$6:$BS$85,(卡牌属性!$DW14-2)*20+卡牌属性!$DX14)</f>
        <v>1935</v>
      </c>
      <c r="FV14" s="14">
        <f>INDEX(属性投放!$BS$6:$BS$85,(卡牌属性!$DW14-2)*20+卡牌属性!$DX14)</f>
        <v>1935</v>
      </c>
      <c r="FZ14" s="13">
        <v>10</v>
      </c>
      <c r="GA14" s="13">
        <f t="shared" si="22"/>
        <v>2</v>
      </c>
      <c r="GB14" s="14">
        <f t="shared" si="56"/>
        <v>1102002</v>
      </c>
      <c r="GC14" s="14" t="s">
        <v>1187</v>
      </c>
      <c r="GD14" s="14">
        <f t="shared" si="23"/>
        <v>5</v>
      </c>
      <c r="GE14" s="14" t="str">
        <f t="shared" si="24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5"/>
        <v>2</v>
      </c>
      <c r="GP14" s="14">
        <f t="shared" si="57"/>
        <v>1101002</v>
      </c>
      <c r="GQ14" s="14" t="s">
        <v>1187</v>
      </c>
      <c r="GR14" s="14">
        <f t="shared" si="26"/>
        <v>5</v>
      </c>
      <c r="GS14" s="14" t="str">
        <f t="shared" si="27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MATCH(HC14,属性投放!$AO$6:$AO$58,1)-1</f>
        <v>2</v>
      </c>
      <c r="HF14" s="13">
        <f>MATCH(HC14-1,属性投放!$AE$6:$AE$26,1)</f>
        <v>2</v>
      </c>
      <c r="HG14" s="13" t="str">
        <f>INDEX(属性投放!$AB$7:$AB$26,卡牌属性!HF14)</f>
        <v>黑绳</v>
      </c>
      <c r="HH14" s="14">
        <f t="shared" si="58"/>
        <v>283</v>
      </c>
      <c r="HI14" s="14">
        <f t="shared" si="59"/>
        <v>78</v>
      </c>
      <c r="HJ14" s="14">
        <f t="shared" si="60"/>
        <v>1100</v>
      </c>
      <c r="HK14" s="14">
        <f t="shared" si="61"/>
        <v>15</v>
      </c>
      <c r="HL14" s="14">
        <f t="shared" si="62"/>
        <v>6</v>
      </c>
      <c r="HM14" s="14">
        <f t="shared" si="63"/>
        <v>72</v>
      </c>
      <c r="HN14" s="14">
        <f>HH14+HK14*($HC14-INDEX(属性投放!$AE$6:$AE$26,卡牌属性!$HF14))</f>
        <v>358</v>
      </c>
      <c r="HO14" s="14">
        <f>HI14+HL14*($HC14-INDEX(属性投放!$AE$6:$AE$26,卡牌属性!$HF14))</f>
        <v>108</v>
      </c>
      <c r="HP14" s="14">
        <f>HJ14+HM14*($HC14-INDEX(属性投放!$AE$6:$AE$26,卡牌属性!$HF14))</f>
        <v>1460</v>
      </c>
      <c r="HQ14" s="14">
        <f t="shared" si="64"/>
        <v>55</v>
      </c>
      <c r="HR14" s="14">
        <f t="shared" si="65"/>
        <v>28</v>
      </c>
      <c r="HS14" s="14">
        <f t="shared" si="66"/>
        <v>330</v>
      </c>
      <c r="HT14" s="14">
        <f>IF(COUNTIF(属性投放!$AO$7:$AO$58,"="&amp;卡牌属性!HC14)&gt;0,卡牌属性!HE14,0)</f>
        <v>0</v>
      </c>
      <c r="HU14" s="14">
        <f t="shared" si="67"/>
        <v>0</v>
      </c>
      <c r="HV14" s="14">
        <f t="shared" si="68"/>
        <v>0</v>
      </c>
      <c r="HW14" s="14">
        <f t="shared" si="69"/>
        <v>0</v>
      </c>
      <c r="HX14" s="14">
        <f>IF(COUNTIF(属性投放!$AE$6:$AE$26,"="&amp;卡牌属性!HC14)&gt;0,卡牌属性!HF14,0)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15</v>
      </c>
      <c r="IC14" s="14">
        <f t="shared" si="74"/>
        <v>6</v>
      </c>
      <c r="ID14" s="14">
        <f t="shared" si="75"/>
        <v>72</v>
      </c>
      <c r="IE14" s="14">
        <f t="shared" si="76"/>
        <v>413</v>
      </c>
      <c r="IF14" s="14">
        <f t="shared" si="77"/>
        <v>136</v>
      </c>
      <c r="IG14" s="14">
        <f t="shared" si="78"/>
        <v>1790</v>
      </c>
      <c r="IH14" s="14">
        <f t="shared" si="79"/>
        <v>342</v>
      </c>
      <c r="II14" s="14">
        <f t="shared" si="80"/>
        <v>0</v>
      </c>
      <c r="IJ14" s="14">
        <f t="shared" si="81"/>
        <v>0</v>
      </c>
      <c r="IK14" s="14">
        <f t="shared" si="82"/>
        <v>8640</v>
      </c>
      <c r="IL14" s="17">
        <f t="shared" si="83"/>
        <v>3.9583333333333331E-2</v>
      </c>
      <c r="IM14" s="17">
        <f t="shared" si="84"/>
        <v>0</v>
      </c>
      <c r="IN14" s="17">
        <f t="shared" si="85"/>
        <v>0</v>
      </c>
      <c r="IO14" s="23">
        <f>SUM(IH$5:IH14)</f>
        <v>3110</v>
      </c>
      <c r="IP14" s="14">
        <f>SUM(II$5:II14)</f>
        <v>1440</v>
      </c>
      <c r="IQ14" s="14">
        <f>SUM(IJ$5:IJ14)</f>
        <v>0</v>
      </c>
      <c r="IR14" s="17">
        <f t="shared" si="86"/>
        <v>0.35995370370370372</v>
      </c>
      <c r="IS14" s="17">
        <f t="shared" si="87"/>
        <v>0.16666666666666666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MATCH(IW14-1,属性投放!$AD$7:$AD$26,1)</f>
        <v>1</v>
      </c>
      <c r="IZ14" s="14" t="str">
        <f>INDEX(属性投放!$AB$7:$AB$26,IY14)</f>
        <v>等活</v>
      </c>
      <c r="JA14" s="14">
        <f t="shared" si="89"/>
        <v>100</v>
      </c>
      <c r="JB14" s="14">
        <f t="shared" si="90"/>
        <v>0</v>
      </c>
      <c r="JC14" s="14">
        <f t="shared" si="91"/>
        <v>250.00000000000003</v>
      </c>
      <c r="JD14" s="14">
        <f t="shared" si="92"/>
        <v>6</v>
      </c>
      <c r="JE14" s="14">
        <f t="shared" si="93"/>
        <v>3</v>
      </c>
      <c r="JF14" s="14">
        <f t="shared" si="94"/>
        <v>36</v>
      </c>
      <c r="JG14" s="14">
        <f>INDEX(属性投放!$DC$6:$DC$85,卡牌属性!IY14)</f>
        <v>1</v>
      </c>
      <c r="JH14" s="14">
        <f t="shared" si="95"/>
        <v>154</v>
      </c>
      <c r="JI14" s="14">
        <f t="shared" si="96"/>
        <v>27</v>
      </c>
      <c r="JJ14" s="14">
        <f t="shared" si="97"/>
        <v>574</v>
      </c>
      <c r="JK14" s="14">
        <f t="shared" si="98"/>
        <v>1614</v>
      </c>
    </row>
    <row r="15" spans="1:271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558</v>
      </c>
      <c r="H15" s="13" t="s">
        <v>560</v>
      </c>
      <c r="I15" s="13" t="s">
        <v>562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931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562</v>
      </c>
      <c r="W15" s="13" t="s">
        <v>558</v>
      </c>
      <c r="X15" s="13" t="s">
        <v>556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1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142</v>
      </c>
      <c r="AM15" s="14">
        <v>1</v>
      </c>
      <c r="AN15" s="14">
        <f t="shared" si="5"/>
        <v>11</v>
      </c>
      <c r="AO15" s="14">
        <f>INDEX(属性投放!$DF$6:$DF$85,(卡牌属性!AG15-2)*20+卡牌属性!AN15)</f>
        <v>2840</v>
      </c>
      <c r="AP15" s="14">
        <f t="shared" si="6"/>
        <v>2840</v>
      </c>
      <c r="AQ15" s="14">
        <f t="shared" si="6"/>
        <v>2840</v>
      </c>
      <c r="AR15" s="14">
        <f t="shared" si="6"/>
        <v>2840</v>
      </c>
      <c r="AS15" s="14">
        <f t="shared" si="6"/>
        <v>2840</v>
      </c>
      <c r="AT15" s="14">
        <f>INDEX(属性投放!$DG$6:$DG$85,(卡牌属性!AG15-2)*20+卡牌属性!AN15)</f>
        <v>1358</v>
      </c>
      <c r="AU15" s="14">
        <f t="shared" si="7"/>
        <v>1358</v>
      </c>
      <c r="AV15" s="14">
        <f t="shared" si="7"/>
        <v>1358</v>
      </c>
      <c r="AW15" s="14">
        <f t="shared" si="7"/>
        <v>1358</v>
      </c>
      <c r="AX15" s="14">
        <f t="shared" si="7"/>
        <v>1358</v>
      </c>
      <c r="AY15" s="14">
        <f>INDEX(属性投放!$DH$6:$DH$85,(卡牌属性!AG15-2)*20+卡牌属性!AN15)</f>
        <v>20460</v>
      </c>
      <c r="AZ15" s="14">
        <f t="shared" si="8"/>
        <v>20460</v>
      </c>
      <c r="BA15" s="14">
        <f t="shared" si="8"/>
        <v>20460</v>
      </c>
      <c r="BB15" s="14">
        <f t="shared" si="8"/>
        <v>20460</v>
      </c>
      <c r="BC15" s="14">
        <f t="shared" si="8"/>
        <v>20460</v>
      </c>
      <c r="BD15" s="14">
        <f>INDEX(属性投放!$DL$6:$DL$85,(卡牌属性!AG15-2)*20+卡牌属性!AN15)</f>
        <v>92</v>
      </c>
      <c r="BE15" s="14">
        <f t="shared" si="9"/>
        <v>92</v>
      </c>
      <c r="BF15" s="14">
        <f t="shared" si="9"/>
        <v>92</v>
      </c>
      <c r="BG15" s="14">
        <f t="shared" si="9"/>
        <v>92</v>
      </c>
      <c r="BH15" s="14">
        <f t="shared" si="9"/>
        <v>92</v>
      </c>
      <c r="BI15" s="14">
        <f>INDEX(属性投放!$DM$6:$DM$85,(卡牌属性!AG15-2)*20+卡牌属性!AN15)</f>
        <v>46</v>
      </c>
      <c r="BJ15" s="14">
        <f t="shared" si="10"/>
        <v>46</v>
      </c>
      <c r="BK15" s="14">
        <f t="shared" si="10"/>
        <v>46</v>
      </c>
      <c r="BL15" s="14">
        <f t="shared" si="10"/>
        <v>46</v>
      </c>
      <c r="BM15" s="14">
        <f t="shared" si="10"/>
        <v>46</v>
      </c>
      <c r="BN15" s="14">
        <f>INDEX(属性投放!$DN$6:$DN$85,(卡牌属性!AG15-2)*20+卡牌属性!AN15)</f>
        <v>824</v>
      </c>
      <c r="BO15" s="14">
        <f t="shared" si="11"/>
        <v>824</v>
      </c>
      <c r="BP15" s="14">
        <f t="shared" si="11"/>
        <v>824</v>
      </c>
      <c r="BQ15" s="14">
        <f t="shared" si="11"/>
        <v>824</v>
      </c>
      <c r="BR15" s="14">
        <f t="shared" si="11"/>
        <v>824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32"/>
        <v>1102001</v>
      </c>
      <c r="CA15" s="14" t="str">
        <f t="shared" si="33"/>
        <v>关羽11突</v>
      </c>
      <c r="CB15" s="25" t="s">
        <v>142</v>
      </c>
      <c r="CC15" s="14">
        <v>2</v>
      </c>
      <c r="CD15" s="14">
        <f t="shared" si="14"/>
        <v>11</v>
      </c>
      <c r="CE15" s="14" t="s">
        <v>21</v>
      </c>
      <c r="CF15" s="14">
        <f>INDEX(属性投放!$AZ$6:$AZ$85,(BY15-2)*20+CD15)</f>
        <v>5469</v>
      </c>
      <c r="CG15" s="14" t="s">
        <v>22</v>
      </c>
      <c r="CH15" s="14">
        <f>INDEX(属性投放!$BA$6:$BA$85,(BY15-2)*20+CD15)</f>
        <v>2652</v>
      </c>
      <c r="CI15" s="14" t="s">
        <v>510</v>
      </c>
      <c r="CJ15" s="14">
        <f>INDEX(属性投放!$BB$6:$BB$85,(BY15-2)*20+CD15)</f>
        <v>40422</v>
      </c>
      <c r="CK15" s="14" t="s">
        <v>21</v>
      </c>
      <c r="CL15" s="14">
        <f>INDEX(属性投放!$BC$6:$BC$85,(BY15-2)*20+CD15)</f>
        <v>40</v>
      </c>
      <c r="CM15" s="14" t="s">
        <v>22</v>
      </c>
      <c r="CN15" s="14">
        <f>INDEX(属性投放!$BD$6:$BD$85,(BY15-2)*20+CD15)</f>
        <v>20</v>
      </c>
      <c r="CO15" s="14" t="s">
        <v>510</v>
      </c>
      <c r="CP15" s="14">
        <f>INDEX(属性投放!$BE$6:$BE$85,(BY15-2)*20+CD15)</f>
        <v>360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INDEX($O$6:$O$50,CT15)&amp;"-"&amp;INDEX(属性投放!$AB$7:$AB$50,CZ15)&amp;"-魂火-"&amp;DB15</f>
        <v>关羽-众合+2-魂火-2</v>
      </c>
      <c r="CY15" s="25" t="s">
        <v>142</v>
      </c>
      <c r="CZ15" s="14">
        <f>INDEX(属性投放!$AM$7:$AM$58,CU15)</f>
        <v>6</v>
      </c>
      <c r="DA15" s="14" t="s">
        <v>537</v>
      </c>
      <c r="DB15" s="14">
        <f>INDEX(属性投放!$AN$7:$AN$58,CU15)</f>
        <v>2</v>
      </c>
      <c r="DC15" s="14">
        <f t="shared" si="16"/>
        <v>11</v>
      </c>
      <c r="DD15" s="14">
        <f>INDEX(属性投放!$AO$7:$AO$58,DC15)</f>
        <v>45</v>
      </c>
      <c r="DE15" s="14" t="s">
        <v>538</v>
      </c>
      <c r="DF15" s="14">
        <f>INDEX(属性投放!$BK$6:$BK$85,(CV15-2)*20+CZ15)</f>
        <v>75</v>
      </c>
      <c r="DG15" s="14">
        <f>SUMIFS(DF$5:DF15,$CT$5:$CT15,"="&amp;$CT15)</f>
        <v>615</v>
      </c>
      <c r="DH15" s="14" t="s">
        <v>539</v>
      </c>
      <c r="DI15" s="14">
        <f>INDEX(属性投放!$BL$6:$BL$85,(CV15-2)*20+CZ15)</f>
        <v>38</v>
      </c>
      <c r="DJ15" s="14">
        <f>SUMIFS(DI$5:DI15,$CT$5:$CT15,"="&amp;$CT15)</f>
        <v>310</v>
      </c>
      <c r="DK15" s="14" t="s">
        <v>540</v>
      </c>
      <c r="DL15" s="14">
        <f>INDEX(属性投放!$BM$6:$BM$85,(CV15-2)*20+CZ15)</f>
        <v>525</v>
      </c>
      <c r="DM15" s="14">
        <f>SUMIFS(DL$5:DL15,$CT$5:$CT15,"="&amp;$CT15)</f>
        <v>4100</v>
      </c>
      <c r="DR15" s="14">
        <f t="shared" si="17"/>
        <v>1102001</v>
      </c>
      <c r="DS15" s="14" t="str">
        <f t="shared" si="18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19"/>
        <v>5</v>
      </c>
      <c r="DX15" s="14">
        <f t="shared" si="20"/>
        <v>11</v>
      </c>
      <c r="DY15" s="14">
        <f t="shared" si="21"/>
        <v>71</v>
      </c>
      <c r="DZ15" s="14">
        <f>INDEX(属性投放!$AX$6:$AX$85,(卡牌属性!DW15-2)*20+卡牌属性!DX15)</f>
        <v>8</v>
      </c>
      <c r="EA15" s="14">
        <f>INDEX(属性投放!BQ$6:BQ$85,卡牌属性!$DY15)</f>
        <v>320</v>
      </c>
      <c r="EB15" s="14">
        <f>INDEX(属性投放!BR$6:BR$85,卡牌属性!$DY15)</f>
        <v>160</v>
      </c>
      <c r="EC15" s="14">
        <f>INDEX(属性投放!BS$6:BS$85,卡牌属性!$DY15)</f>
        <v>2880</v>
      </c>
      <c r="ED15" s="14">
        <f t="shared" si="41"/>
        <v>3550</v>
      </c>
      <c r="EE15" s="14">
        <f t="shared" si="42"/>
        <v>4080</v>
      </c>
      <c r="EF15" s="14">
        <f t="shared" si="43"/>
        <v>4825</v>
      </c>
      <c r="EG15" s="14">
        <f t="shared" si="44"/>
        <v>4825</v>
      </c>
      <c r="EH15" s="14">
        <f t="shared" si="45"/>
        <v>5990</v>
      </c>
      <c r="EI15" s="14">
        <f t="shared" si="46"/>
        <v>1505</v>
      </c>
      <c r="EJ15" s="14">
        <f t="shared" si="47"/>
        <v>1615</v>
      </c>
      <c r="EK15" s="14">
        <f t="shared" si="48"/>
        <v>1615</v>
      </c>
      <c r="EL15" s="14">
        <f t="shared" si="49"/>
        <v>1740</v>
      </c>
      <c r="EM15" s="14">
        <f t="shared" si="50"/>
        <v>2027</v>
      </c>
      <c r="EN15" s="14">
        <f t="shared" si="51"/>
        <v>22248</v>
      </c>
      <c r="EO15" s="14">
        <f t="shared" si="52"/>
        <v>23767</v>
      </c>
      <c r="EP15" s="14">
        <f t="shared" si="53"/>
        <v>23767</v>
      </c>
      <c r="EQ15" s="14">
        <f t="shared" si="54"/>
        <v>25440</v>
      </c>
      <c r="ER15" s="14">
        <f t="shared" si="55"/>
        <v>29300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270</v>
      </c>
      <c r="FD15" s="14">
        <f>INDEX(属性偏向!$U$4:$U$243,(卡牌属性!$DV15-1+FD$3)*20+卡牌属性!$DX15)</f>
        <v>315</v>
      </c>
      <c r="FE15" s="14">
        <f>INDEX(属性偏向!$U$4:$U$243,(卡牌属性!$DV15-1+FE$3)*20+卡牌属性!$DX15)</f>
        <v>315</v>
      </c>
      <c r="FF15" s="14">
        <f>INDEX(属性偏向!$U$4:$U$243,(卡牌属性!$DV15-1+FF$3)*20+卡牌属性!$DX15)</f>
        <v>360</v>
      </c>
      <c r="FG15" s="14">
        <f>INDEX(属性偏向!$U$4:$U$243,(卡牌属性!$DV15-1+FG$3)*20+卡牌属性!$DX15)</f>
        <v>450</v>
      </c>
      <c r="FH15" s="14">
        <f>INDEX(属性投放!$BQ$6:$BQ$85,(卡牌属性!$DW15-2)*20+卡牌属性!$DX15)</f>
        <v>320</v>
      </c>
      <c r="FI15" s="14">
        <f>INDEX(属性投放!$BQ$6:$BQ$85,(卡牌属性!$DW15-2)*20+卡牌属性!$DX15)</f>
        <v>320</v>
      </c>
      <c r="FJ15" s="14">
        <f>INDEX(属性投放!$BQ$6:$BQ$85,(卡牌属性!$DW15-2)*20+卡牌属性!$DX15)</f>
        <v>320</v>
      </c>
      <c r="FK15" s="14">
        <f>INDEX(属性投放!$BQ$6:$BQ$85,(卡牌属性!$DW15-2)*20+卡牌属性!$DX15)</f>
        <v>320</v>
      </c>
      <c r="FL15" s="14">
        <f>INDEX(属性投放!$BQ$6:$BQ$85,(卡牌属性!$DW15-2)*20+卡牌属性!$DX15)</f>
        <v>320</v>
      </c>
      <c r="FM15" s="14">
        <f>INDEX(属性投放!$BR$6:$BR$85,(卡牌属性!$DW15-2)*20+卡牌属性!$DX15)</f>
        <v>160</v>
      </c>
      <c r="FN15" s="14">
        <f>INDEX(属性投放!$BR$6:$BR$85,(卡牌属性!$DW15-2)*20+卡牌属性!$DX15)</f>
        <v>160</v>
      </c>
      <c r="FO15" s="14">
        <f>INDEX(属性投放!$BR$6:$BR$85,(卡牌属性!$DW15-2)*20+卡牌属性!$DX15)</f>
        <v>160</v>
      </c>
      <c r="FP15" s="14">
        <f>INDEX(属性投放!$BR$6:$BR$85,(卡牌属性!$DW15-2)*20+卡牌属性!$DX15)</f>
        <v>160</v>
      </c>
      <c r="FQ15" s="14">
        <f>INDEX(属性投放!$BR$6:$BR$85,(卡牌属性!$DW15-2)*20+卡牌属性!$DX15)</f>
        <v>160</v>
      </c>
      <c r="FR15" s="14">
        <f>INDEX(属性投放!$BS$6:$BS$85,(卡牌属性!$DW15-2)*20+卡牌属性!$DX15)</f>
        <v>2880</v>
      </c>
      <c r="FS15" s="14">
        <f>INDEX(属性投放!$BS$6:$BS$85,(卡牌属性!$DW15-2)*20+卡牌属性!$DX15)</f>
        <v>2880</v>
      </c>
      <c r="FT15" s="14">
        <f>INDEX(属性投放!$BS$6:$BS$85,(卡牌属性!$DW15-2)*20+卡牌属性!$DX15)</f>
        <v>2880</v>
      </c>
      <c r="FU15" s="14">
        <f>INDEX(属性投放!$BS$6:$BS$85,(卡牌属性!$DW15-2)*20+卡牌属性!$DX15)</f>
        <v>2880</v>
      </c>
      <c r="FV15" s="14">
        <f>INDEX(属性投放!$BS$6:$BS$85,(卡牌属性!$DW15-2)*20+卡牌属性!$DX15)</f>
        <v>2880</v>
      </c>
      <c r="FZ15" s="13">
        <v>11</v>
      </c>
      <c r="GA15" s="13">
        <f t="shared" si="22"/>
        <v>3</v>
      </c>
      <c r="GB15" s="14">
        <f t="shared" si="56"/>
        <v>1102003</v>
      </c>
      <c r="GC15" s="14" t="s">
        <v>1187</v>
      </c>
      <c r="GD15" s="14">
        <f t="shared" si="23"/>
        <v>1</v>
      </c>
      <c r="GE15" s="14" t="str">
        <f t="shared" si="24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5"/>
        <v>3</v>
      </c>
      <c r="GP15" s="14">
        <f t="shared" si="57"/>
        <v>1101003</v>
      </c>
      <c r="GQ15" s="14" t="s">
        <v>1187</v>
      </c>
      <c r="GR15" s="14">
        <f t="shared" si="26"/>
        <v>1</v>
      </c>
      <c r="GS15" s="14" t="str">
        <f t="shared" si="27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MATCH(HC15,属性投放!$AO$6:$AO$58,1)-1</f>
        <v>2</v>
      </c>
      <c r="HF15" s="13">
        <f>MATCH(HC15-1,属性投放!$AE$6:$AE$26,1)</f>
        <v>2</v>
      </c>
      <c r="HG15" s="13" t="str">
        <f>INDEX(属性投放!$AB$7:$AB$26,卡牌属性!HF15)</f>
        <v>黑绳</v>
      </c>
      <c r="HH15" s="14">
        <f t="shared" si="58"/>
        <v>283</v>
      </c>
      <c r="HI15" s="14">
        <f t="shared" si="59"/>
        <v>78</v>
      </c>
      <c r="HJ15" s="14">
        <f t="shared" si="60"/>
        <v>1100</v>
      </c>
      <c r="HK15" s="14">
        <f t="shared" si="61"/>
        <v>15</v>
      </c>
      <c r="HL15" s="14">
        <f t="shared" si="62"/>
        <v>6</v>
      </c>
      <c r="HM15" s="14">
        <f t="shared" si="63"/>
        <v>72</v>
      </c>
      <c r="HN15" s="14">
        <f>HH15+HK15*($HC15-INDEX(属性投放!$AE$6:$AE$26,卡牌属性!$HF15))</f>
        <v>373</v>
      </c>
      <c r="HO15" s="14">
        <f>HI15+HL15*($HC15-INDEX(属性投放!$AE$6:$AE$26,卡牌属性!$HF15))</f>
        <v>114</v>
      </c>
      <c r="HP15" s="14">
        <f>HJ15+HM15*($HC15-INDEX(属性投放!$AE$6:$AE$26,卡牌属性!$HF15))</f>
        <v>1532</v>
      </c>
      <c r="HQ15" s="14">
        <f t="shared" si="64"/>
        <v>55</v>
      </c>
      <c r="HR15" s="14">
        <f t="shared" si="65"/>
        <v>28</v>
      </c>
      <c r="HS15" s="14">
        <f t="shared" si="66"/>
        <v>330</v>
      </c>
      <c r="HT15" s="14">
        <f>IF(COUNTIF(属性投放!$AO$7:$AO$58,"="&amp;卡牌属性!HC15)&gt;0,卡牌属性!HE15,0)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IF(COUNTIF(属性投放!$AE$6:$AE$26,"="&amp;卡牌属性!HC15)&gt;0,卡牌属性!HF15,0)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15</v>
      </c>
      <c r="IC15" s="14">
        <f t="shared" si="74"/>
        <v>6</v>
      </c>
      <c r="ID15" s="14">
        <f t="shared" si="75"/>
        <v>72</v>
      </c>
      <c r="IE15" s="14">
        <f t="shared" si="76"/>
        <v>428</v>
      </c>
      <c r="IF15" s="14">
        <f t="shared" si="77"/>
        <v>142</v>
      </c>
      <c r="IG15" s="14">
        <f t="shared" si="78"/>
        <v>1862</v>
      </c>
      <c r="IH15" s="14">
        <f t="shared" si="79"/>
        <v>342</v>
      </c>
      <c r="II15" s="14">
        <f t="shared" si="80"/>
        <v>0</v>
      </c>
      <c r="IJ15" s="14">
        <f t="shared" si="81"/>
        <v>0</v>
      </c>
      <c r="IK15" s="14">
        <f t="shared" si="82"/>
        <v>8982</v>
      </c>
      <c r="IL15" s="17">
        <f t="shared" si="83"/>
        <v>3.8076152304609222E-2</v>
      </c>
      <c r="IM15" s="17">
        <f t="shared" si="84"/>
        <v>0</v>
      </c>
      <c r="IN15" s="17">
        <f t="shared" si="85"/>
        <v>0</v>
      </c>
      <c r="IO15" s="23">
        <f>SUM(IH$5:IH15)</f>
        <v>3452</v>
      </c>
      <c r="IP15" s="14">
        <f>SUM(II$5:II15)</f>
        <v>1440</v>
      </c>
      <c r="IQ15" s="14">
        <f>SUM(IJ$5:IJ15)</f>
        <v>0</v>
      </c>
      <c r="IR15" s="17">
        <f t="shared" si="86"/>
        <v>0.38432420396348255</v>
      </c>
      <c r="IS15" s="17">
        <f t="shared" si="87"/>
        <v>0.16032064128256512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MATCH(IW15-1,属性投放!$AD$7:$AD$26,1)</f>
        <v>2</v>
      </c>
      <c r="IZ15" s="14" t="str">
        <f>INDEX(属性投放!$AB$7:$AB$26,IY15)</f>
        <v>黑绳</v>
      </c>
      <c r="JA15" s="14">
        <f t="shared" si="89"/>
        <v>160</v>
      </c>
      <c r="JB15" s="14">
        <f t="shared" si="90"/>
        <v>30</v>
      </c>
      <c r="JC15" s="14">
        <f t="shared" si="91"/>
        <v>610</v>
      </c>
      <c r="JD15" s="14">
        <f t="shared" si="92"/>
        <v>12</v>
      </c>
      <c r="JE15" s="14">
        <f t="shared" si="93"/>
        <v>6</v>
      </c>
      <c r="JF15" s="14">
        <f t="shared" si="94"/>
        <v>70</v>
      </c>
      <c r="JG15" s="14">
        <f>INDEX(属性投放!$DC$6:$DC$85,卡牌属性!IY15)</f>
        <v>10</v>
      </c>
      <c r="JH15" s="14">
        <f t="shared" si="95"/>
        <v>172</v>
      </c>
      <c r="JI15" s="14">
        <f t="shared" si="96"/>
        <v>36</v>
      </c>
      <c r="JJ15" s="14">
        <f t="shared" si="97"/>
        <v>680</v>
      </c>
      <c r="JK15" s="14">
        <f t="shared" si="98"/>
        <v>1900</v>
      </c>
    </row>
    <row r="16" spans="1:271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556</v>
      </c>
      <c r="H16" s="13" t="s">
        <v>556</v>
      </c>
      <c r="I16" s="13" t="s">
        <v>556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932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556</v>
      </c>
      <c r="W16" s="13" t="s">
        <v>558</v>
      </c>
      <c r="X16" s="13" t="s">
        <v>562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1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142</v>
      </c>
      <c r="AM16" s="14">
        <v>1</v>
      </c>
      <c r="AN16" s="14">
        <f t="shared" si="5"/>
        <v>12</v>
      </c>
      <c r="AO16" s="14">
        <f>INDEX(属性投放!$DF$6:$DF$85,(卡牌属性!AG16-2)*20+卡牌属性!AN16)</f>
        <v>3102</v>
      </c>
      <c r="AP16" s="14">
        <f t="shared" si="6"/>
        <v>3102</v>
      </c>
      <c r="AQ16" s="14">
        <f t="shared" si="6"/>
        <v>3102</v>
      </c>
      <c r="AR16" s="14">
        <f t="shared" si="6"/>
        <v>3102</v>
      </c>
      <c r="AS16" s="14">
        <f t="shared" si="6"/>
        <v>3102</v>
      </c>
      <c r="AT16" s="14">
        <f>INDEX(属性投放!$DG$6:$DG$85,(卡牌属性!AG16-2)*20+卡牌属性!AN16)</f>
        <v>1489</v>
      </c>
      <c r="AU16" s="14">
        <f t="shared" si="7"/>
        <v>1489</v>
      </c>
      <c r="AV16" s="14">
        <f t="shared" si="7"/>
        <v>1489</v>
      </c>
      <c r="AW16" s="14">
        <f t="shared" si="7"/>
        <v>1489</v>
      </c>
      <c r="AX16" s="14">
        <f t="shared" si="7"/>
        <v>1489</v>
      </c>
      <c r="AY16" s="14">
        <f>INDEX(属性投放!$DH$6:$DH$85,(卡牌属性!AG16-2)*20+卡牌属性!AN16)</f>
        <v>22814</v>
      </c>
      <c r="AZ16" s="14">
        <f t="shared" si="8"/>
        <v>22814</v>
      </c>
      <c r="BA16" s="14">
        <f t="shared" si="8"/>
        <v>22814</v>
      </c>
      <c r="BB16" s="14">
        <f t="shared" si="8"/>
        <v>22814</v>
      </c>
      <c r="BC16" s="14">
        <f t="shared" si="8"/>
        <v>22814</v>
      </c>
      <c r="BD16" s="14">
        <f>INDEX(属性投放!$DL$6:$DL$85,(卡牌属性!AG16-2)*20+卡牌属性!AN16)</f>
        <v>92</v>
      </c>
      <c r="BE16" s="14">
        <f t="shared" si="9"/>
        <v>92</v>
      </c>
      <c r="BF16" s="14">
        <f t="shared" si="9"/>
        <v>92</v>
      </c>
      <c r="BG16" s="14">
        <f t="shared" si="9"/>
        <v>92</v>
      </c>
      <c r="BH16" s="14">
        <f t="shared" si="9"/>
        <v>92</v>
      </c>
      <c r="BI16" s="14">
        <f>INDEX(属性投放!$DM$6:$DM$85,(卡牌属性!AG16-2)*20+卡牌属性!AN16)</f>
        <v>46</v>
      </c>
      <c r="BJ16" s="14">
        <f t="shared" si="10"/>
        <v>46</v>
      </c>
      <c r="BK16" s="14">
        <f t="shared" si="10"/>
        <v>46</v>
      </c>
      <c r="BL16" s="14">
        <f t="shared" si="10"/>
        <v>46</v>
      </c>
      <c r="BM16" s="14">
        <f t="shared" si="10"/>
        <v>46</v>
      </c>
      <c r="BN16" s="14">
        <f>INDEX(属性投放!$DN$6:$DN$85,(卡牌属性!AG16-2)*20+卡牌属性!AN16)</f>
        <v>824</v>
      </c>
      <c r="BO16" s="14">
        <f t="shared" si="11"/>
        <v>824</v>
      </c>
      <c r="BP16" s="14">
        <f t="shared" si="11"/>
        <v>824</v>
      </c>
      <c r="BQ16" s="14">
        <f t="shared" si="11"/>
        <v>824</v>
      </c>
      <c r="BR16" s="14">
        <f t="shared" si="11"/>
        <v>824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32"/>
        <v>1102001</v>
      </c>
      <c r="CA16" s="14" t="str">
        <f t="shared" si="33"/>
        <v>关羽12突</v>
      </c>
      <c r="CB16" s="25" t="s">
        <v>142</v>
      </c>
      <c r="CC16" s="14">
        <v>2</v>
      </c>
      <c r="CD16" s="14">
        <f t="shared" si="14"/>
        <v>12</v>
      </c>
      <c r="CE16" s="14" t="s">
        <v>21</v>
      </c>
      <c r="CF16" s="14">
        <f>INDEX(属性投放!$AZ$6:$AZ$85,(BY16-2)*20+CD16)</f>
        <v>6709</v>
      </c>
      <c r="CG16" s="14" t="s">
        <v>22</v>
      </c>
      <c r="CH16" s="14">
        <f>INDEX(属性投放!$BA$6:$BA$85,(BY16-2)*20+CD16)</f>
        <v>3272</v>
      </c>
      <c r="CI16" s="14" t="s">
        <v>510</v>
      </c>
      <c r="CJ16" s="14">
        <f>INDEX(属性投放!$BB$6:$BB$85,(BY16-2)*20+CD16)</f>
        <v>51582</v>
      </c>
      <c r="CK16" s="14" t="s">
        <v>21</v>
      </c>
      <c r="CL16" s="14">
        <f>INDEX(属性投放!$BC$6:$BC$85,(BY16-2)*20+CD16)</f>
        <v>40</v>
      </c>
      <c r="CM16" s="14" t="s">
        <v>22</v>
      </c>
      <c r="CN16" s="14">
        <f>INDEX(属性投放!$BD$6:$BD$85,(BY16-2)*20+CD16)</f>
        <v>20</v>
      </c>
      <c r="CO16" s="14" t="s">
        <v>510</v>
      </c>
      <c r="CP16" s="14">
        <f>INDEX(属性投放!$BE$6:$BE$85,(BY16-2)*20+CD16)</f>
        <v>360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INDEX($O$6:$O$50,CT16)&amp;"-"&amp;INDEX(属性投放!$AB$7:$AB$50,CZ16)&amp;"-魂火-"&amp;DB16</f>
        <v>关羽-叫唤-魂火-1</v>
      </c>
      <c r="CY16" s="25" t="s">
        <v>142</v>
      </c>
      <c r="CZ16" s="14">
        <f>INDEX(属性投放!$AM$7:$AM$58,CU16)</f>
        <v>7</v>
      </c>
      <c r="DA16" s="14" t="s">
        <v>537</v>
      </c>
      <c r="DB16" s="14">
        <f>INDEX(属性投放!$AN$7:$AN$58,CU16)</f>
        <v>1</v>
      </c>
      <c r="DC16" s="14">
        <f t="shared" si="16"/>
        <v>12</v>
      </c>
      <c r="DD16" s="14">
        <f>INDEX(属性投放!$AO$7:$AO$58,DC16)</f>
        <v>48</v>
      </c>
      <c r="DE16" s="14" t="s">
        <v>538</v>
      </c>
      <c r="DF16" s="14">
        <f>INDEX(属性投放!$BK$6:$BK$85,(CV16-2)*20+CZ16)</f>
        <v>100</v>
      </c>
      <c r="DG16" s="14">
        <f>SUMIFS(DF$5:DF16,$CT$5:$CT16,"="&amp;$CT16)</f>
        <v>715</v>
      </c>
      <c r="DH16" s="14" t="s">
        <v>539</v>
      </c>
      <c r="DI16" s="14">
        <f>INDEX(属性投放!$BL$6:$BL$85,(CV16-2)*20+CZ16)</f>
        <v>50</v>
      </c>
      <c r="DJ16" s="14">
        <f>SUMIFS(DI$5:DI16,$CT$5:$CT16,"="&amp;$CT16)</f>
        <v>360</v>
      </c>
      <c r="DK16" s="14" t="s">
        <v>540</v>
      </c>
      <c r="DL16" s="14">
        <f>INDEX(属性投放!$BM$6:$BM$85,(CV16-2)*20+CZ16)</f>
        <v>800</v>
      </c>
      <c r="DM16" s="14">
        <f>SUMIFS(DL$5:DL16,$CT$5:$CT16,"="&amp;$CT16)</f>
        <v>4900</v>
      </c>
      <c r="DR16" s="14">
        <f t="shared" si="17"/>
        <v>1102001</v>
      </c>
      <c r="DS16" s="14" t="str">
        <f t="shared" si="18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19"/>
        <v>5</v>
      </c>
      <c r="DX16" s="14">
        <f t="shared" si="20"/>
        <v>12</v>
      </c>
      <c r="DY16" s="14">
        <f t="shared" si="21"/>
        <v>72</v>
      </c>
      <c r="DZ16" s="14">
        <f>INDEX(属性投放!$AX$6:$AX$85,(卡牌属性!DW16-2)*20+卡牌属性!DX16)</f>
        <v>7</v>
      </c>
      <c r="EA16" s="14">
        <f>INDEX(属性投放!BQ$6:BQ$85,卡牌属性!$DY16)</f>
        <v>425</v>
      </c>
      <c r="EB16" s="14">
        <f>INDEX(属性投放!BR$6:BR$85,卡牌属性!$DY16)</f>
        <v>213</v>
      </c>
      <c r="EC16" s="14">
        <f>INDEX(属性投放!BS$6:BS$85,卡牌属性!$DY16)</f>
        <v>3825</v>
      </c>
      <c r="ED16" s="14">
        <f t="shared" si="41"/>
        <v>4190</v>
      </c>
      <c r="EE16" s="14">
        <f t="shared" si="42"/>
        <v>4800</v>
      </c>
      <c r="EF16" s="14">
        <f t="shared" si="43"/>
        <v>5745</v>
      </c>
      <c r="EG16" s="14">
        <f t="shared" si="44"/>
        <v>5745</v>
      </c>
      <c r="EH16" s="14">
        <f t="shared" si="45"/>
        <v>7110</v>
      </c>
      <c r="EI16" s="14">
        <f t="shared" si="46"/>
        <v>1785</v>
      </c>
      <c r="EJ16" s="14">
        <f t="shared" si="47"/>
        <v>1919</v>
      </c>
      <c r="EK16" s="14">
        <f t="shared" si="48"/>
        <v>1919</v>
      </c>
      <c r="EL16" s="14">
        <f t="shared" si="49"/>
        <v>2060</v>
      </c>
      <c r="EM16" s="14">
        <f t="shared" si="50"/>
        <v>2387</v>
      </c>
      <c r="EN16" s="14">
        <f t="shared" si="51"/>
        <v>27288</v>
      </c>
      <c r="EO16" s="14">
        <f t="shared" si="52"/>
        <v>29167</v>
      </c>
      <c r="EP16" s="14">
        <f t="shared" si="53"/>
        <v>29167</v>
      </c>
      <c r="EQ16" s="14">
        <f t="shared" si="54"/>
        <v>31200</v>
      </c>
      <c r="ER16" s="14">
        <f t="shared" si="55"/>
        <v>35780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270</v>
      </c>
      <c r="FD16" s="14">
        <f>INDEX(属性偏向!$U$4:$U$243,(卡牌属性!$DV16-1+FD$3)*20+卡牌属性!$DX16)</f>
        <v>315</v>
      </c>
      <c r="FE16" s="14">
        <f>INDEX(属性偏向!$U$4:$U$243,(卡牌属性!$DV16-1+FE$3)*20+卡牌属性!$DX16)</f>
        <v>315</v>
      </c>
      <c r="FF16" s="14">
        <f>INDEX(属性偏向!$U$4:$U$243,(卡牌属性!$DV16-1+FF$3)*20+卡牌属性!$DX16)</f>
        <v>360</v>
      </c>
      <c r="FG16" s="14">
        <f>INDEX(属性偏向!$U$4:$U$243,(卡牌属性!$DV16-1+FG$3)*20+卡牌属性!$DX16)</f>
        <v>450</v>
      </c>
      <c r="FH16" s="14">
        <f>INDEX(属性投放!$BQ$6:$BQ$85,(卡牌属性!$DW16-2)*20+卡牌属性!$DX16)</f>
        <v>425</v>
      </c>
      <c r="FI16" s="14">
        <f>INDEX(属性投放!$BQ$6:$BQ$85,(卡牌属性!$DW16-2)*20+卡牌属性!$DX16)</f>
        <v>425</v>
      </c>
      <c r="FJ16" s="14">
        <f>INDEX(属性投放!$BQ$6:$BQ$85,(卡牌属性!$DW16-2)*20+卡牌属性!$DX16)</f>
        <v>425</v>
      </c>
      <c r="FK16" s="14">
        <f>INDEX(属性投放!$BQ$6:$BQ$85,(卡牌属性!$DW16-2)*20+卡牌属性!$DX16)</f>
        <v>425</v>
      </c>
      <c r="FL16" s="14">
        <f>INDEX(属性投放!$BQ$6:$BQ$85,(卡牌属性!$DW16-2)*20+卡牌属性!$DX16)</f>
        <v>425</v>
      </c>
      <c r="FM16" s="14">
        <f>INDEX(属性投放!$BR$6:$BR$85,(卡牌属性!$DW16-2)*20+卡牌属性!$DX16)</f>
        <v>213</v>
      </c>
      <c r="FN16" s="14">
        <f>INDEX(属性投放!$BR$6:$BR$85,(卡牌属性!$DW16-2)*20+卡牌属性!$DX16)</f>
        <v>213</v>
      </c>
      <c r="FO16" s="14">
        <f>INDEX(属性投放!$BR$6:$BR$85,(卡牌属性!$DW16-2)*20+卡牌属性!$DX16)</f>
        <v>213</v>
      </c>
      <c r="FP16" s="14">
        <f>INDEX(属性投放!$BR$6:$BR$85,(卡牌属性!$DW16-2)*20+卡牌属性!$DX16)</f>
        <v>213</v>
      </c>
      <c r="FQ16" s="14">
        <f>INDEX(属性投放!$BR$6:$BR$85,(卡牌属性!$DW16-2)*20+卡牌属性!$DX16)</f>
        <v>213</v>
      </c>
      <c r="FR16" s="14">
        <f>INDEX(属性投放!$BS$6:$BS$85,(卡牌属性!$DW16-2)*20+卡牌属性!$DX16)</f>
        <v>3825</v>
      </c>
      <c r="FS16" s="14">
        <f>INDEX(属性投放!$BS$6:$BS$85,(卡牌属性!$DW16-2)*20+卡牌属性!$DX16)</f>
        <v>3825</v>
      </c>
      <c r="FT16" s="14">
        <f>INDEX(属性投放!$BS$6:$BS$85,(卡牌属性!$DW16-2)*20+卡牌属性!$DX16)</f>
        <v>3825</v>
      </c>
      <c r="FU16" s="14">
        <f>INDEX(属性投放!$BS$6:$BS$85,(卡牌属性!$DW16-2)*20+卡牌属性!$DX16)</f>
        <v>3825</v>
      </c>
      <c r="FV16" s="14">
        <f>INDEX(属性投放!$BS$6:$BS$85,(卡牌属性!$DW16-2)*20+卡牌属性!$DX16)</f>
        <v>3825</v>
      </c>
      <c r="FZ16" s="13">
        <v>12</v>
      </c>
      <c r="GA16" s="13">
        <f t="shared" si="22"/>
        <v>3</v>
      </c>
      <c r="GB16" s="14">
        <f t="shared" si="56"/>
        <v>1102003</v>
      </c>
      <c r="GC16" s="14" t="s">
        <v>1187</v>
      </c>
      <c r="GD16" s="14">
        <f t="shared" si="23"/>
        <v>2</v>
      </c>
      <c r="GE16" s="14" t="str">
        <f t="shared" si="24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5"/>
        <v>3</v>
      </c>
      <c r="GP16" s="14">
        <f t="shared" si="57"/>
        <v>1101003</v>
      </c>
      <c r="GQ16" s="14" t="s">
        <v>1187</v>
      </c>
      <c r="GR16" s="14">
        <f t="shared" si="26"/>
        <v>2</v>
      </c>
      <c r="GS16" s="14" t="str">
        <f t="shared" si="27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MATCH(HC16,属性投放!$AO$6:$AO$58,1)-1</f>
        <v>2</v>
      </c>
      <c r="HF16" s="13">
        <f>MATCH(HC16-1,属性投放!$AE$6:$AE$26,1)</f>
        <v>2</v>
      </c>
      <c r="HG16" s="13" t="str">
        <f>INDEX(属性投放!$AB$7:$AB$26,卡牌属性!HF16)</f>
        <v>黑绳</v>
      </c>
      <c r="HH16" s="14">
        <f t="shared" si="58"/>
        <v>283</v>
      </c>
      <c r="HI16" s="14">
        <f t="shared" si="59"/>
        <v>78</v>
      </c>
      <c r="HJ16" s="14">
        <f t="shared" si="60"/>
        <v>1100</v>
      </c>
      <c r="HK16" s="14">
        <f t="shared" si="61"/>
        <v>15</v>
      </c>
      <c r="HL16" s="14">
        <f t="shared" si="62"/>
        <v>6</v>
      </c>
      <c r="HM16" s="14">
        <f t="shared" si="63"/>
        <v>72</v>
      </c>
      <c r="HN16" s="14">
        <f>HH16+HK16*($HC16-INDEX(属性投放!$AE$6:$AE$26,卡牌属性!$HF16))</f>
        <v>388</v>
      </c>
      <c r="HO16" s="14">
        <f>HI16+HL16*($HC16-INDEX(属性投放!$AE$6:$AE$26,卡牌属性!$HF16))</f>
        <v>120</v>
      </c>
      <c r="HP16" s="14">
        <f>HJ16+HM16*($HC16-INDEX(属性投放!$AE$6:$AE$26,卡牌属性!$HF16))</f>
        <v>1604</v>
      </c>
      <c r="HQ16" s="14">
        <f t="shared" si="64"/>
        <v>55</v>
      </c>
      <c r="HR16" s="14">
        <f t="shared" si="65"/>
        <v>28</v>
      </c>
      <c r="HS16" s="14">
        <f t="shared" si="66"/>
        <v>330</v>
      </c>
      <c r="HT16" s="14">
        <f>IF(COUNTIF(属性投放!$AO$7:$AO$58,"="&amp;卡牌属性!HC16)&gt;0,卡牌属性!HE16,0)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IF(COUNTIF(属性投放!$AE$6:$AE$26,"="&amp;卡牌属性!HC16)&gt;0,卡牌属性!HF16,0)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15</v>
      </c>
      <c r="IC16" s="14">
        <f t="shared" si="74"/>
        <v>6</v>
      </c>
      <c r="ID16" s="14">
        <f t="shared" si="75"/>
        <v>72</v>
      </c>
      <c r="IE16" s="14">
        <f t="shared" si="76"/>
        <v>443</v>
      </c>
      <c r="IF16" s="14">
        <f t="shared" si="77"/>
        <v>148</v>
      </c>
      <c r="IG16" s="14">
        <f t="shared" si="78"/>
        <v>1934</v>
      </c>
      <c r="IH16" s="14">
        <f t="shared" si="79"/>
        <v>342</v>
      </c>
      <c r="II16" s="14">
        <f t="shared" si="80"/>
        <v>0</v>
      </c>
      <c r="IJ16" s="14">
        <f t="shared" si="81"/>
        <v>0</v>
      </c>
      <c r="IK16" s="14">
        <f t="shared" si="82"/>
        <v>9324</v>
      </c>
      <c r="IL16" s="17">
        <f t="shared" si="83"/>
        <v>3.6679536679536683E-2</v>
      </c>
      <c r="IM16" s="17">
        <f t="shared" si="84"/>
        <v>0</v>
      </c>
      <c r="IN16" s="17">
        <f t="shared" si="85"/>
        <v>0</v>
      </c>
      <c r="IO16" s="23">
        <f>SUM(IH$5:IH16)</f>
        <v>3794</v>
      </c>
      <c r="IP16" s="14">
        <f>SUM(II$5:II16)</f>
        <v>1440</v>
      </c>
      <c r="IQ16" s="14">
        <f>SUM(IJ$5:IJ16)</f>
        <v>0</v>
      </c>
      <c r="IR16" s="17">
        <f t="shared" si="86"/>
        <v>0.4069069069069069</v>
      </c>
      <c r="IS16" s="17">
        <f t="shared" si="87"/>
        <v>0.15444015444015444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MATCH(IW16-1,属性投放!$AD$7:$AD$26,1)</f>
        <v>2</v>
      </c>
      <c r="IZ16" s="14" t="str">
        <f>INDEX(属性投放!$AB$7:$AB$26,IY16)</f>
        <v>黑绳</v>
      </c>
      <c r="JA16" s="14">
        <f t="shared" si="89"/>
        <v>160</v>
      </c>
      <c r="JB16" s="14">
        <f t="shared" si="90"/>
        <v>30</v>
      </c>
      <c r="JC16" s="14">
        <f t="shared" si="91"/>
        <v>610</v>
      </c>
      <c r="JD16" s="14">
        <f t="shared" si="92"/>
        <v>12</v>
      </c>
      <c r="JE16" s="14">
        <f t="shared" si="93"/>
        <v>6</v>
      </c>
      <c r="JF16" s="14">
        <f t="shared" si="94"/>
        <v>70</v>
      </c>
      <c r="JG16" s="14">
        <f>INDEX(属性投放!$DC$6:$DC$85,卡牌属性!IY16)</f>
        <v>10</v>
      </c>
      <c r="JH16" s="14">
        <f t="shared" si="95"/>
        <v>184</v>
      </c>
      <c r="JI16" s="14">
        <f t="shared" si="96"/>
        <v>42</v>
      </c>
      <c r="JJ16" s="14">
        <f t="shared" si="97"/>
        <v>750</v>
      </c>
      <c r="JK16" s="14">
        <f t="shared" si="98"/>
        <v>2090</v>
      </c>
    </row>
    <row r="17" spans="1:271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552</v>
      </c>
      <c r="H17" s="13" t="s">
        <v>554</v>
      </c>
      <c r="I17" s="13" t="s">
        <v>552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933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560</v>
      </c>
      <c r="W17" s="13" t="s">
        <v>560</v>
      </c>
      <c r="X17" s="13" t="s">
        <v>564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1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142</v>
      </c>
      <c r="AM17" s="14">
        <v>1</v>
      </c>
      <c r="AN17" s="14">
        <f t="shared" si="5"/>
        <v>13</v>
      </c>
      <c r="AO17" s="14">
        <f>INDEX(属性投放!$DF$6:$DF$85,(卡牌属性!AG17-2)*20+卡牌属性!AN17)</f>
        <v>5664</v>
      </c>
      <c r="AP17" s="14">
        <f t="shared" si="6"/>
        <v>5664</v>
      </c>
      <c r="AQ17" s="14">
        <f t="shared" si="6"/>
        <v>5664</v>
      </c>
      <c r="AR17" s="14">
        <f t="shared" si="6"/>
        <v>5664</v>
      </c>
      <c r="AS17" s="14">
        <f t="shared" si="6"/>
        <v>5664</v>
      </c>
      <c r="AT17" s="14">
        <f>INDEX(属性投放!$DG$6:$DG$85,(卡牌属性!AG17-2)*20+卡牌属性!AN17)</f>
        <v>2770</v>
      </c>
      <c r="AU17" s="14">
        <f t="shared" si="7"/>
        <v>2770</v>
      </c>
      <c r="AV17" s="14">
        <f t="shared" si="7"/>
        <v>2770</v>
      </c>
      <c r="AW17" s="14">
        <f t="shared" si="7"/>
        <v>2770</v>
      </c>
      <c r="AX17" s="14">
        <f t="shared" si="7"/>
        <v>2770</v>
      </c>
      <c r="AY17" s="14">
        <f>INDEX(属性投放!$DH$6:$DH$85,(卡牌属性!AG17-2)*20+卡牌属性!AN17)</f>
        <v>45768</v>
      </c>
      <c r="AZ17" s="14">
        <f t="shared" si="8"/>
        <v>45768</v>
      </c>
      <c r="BA17" s="14">
        <f t="shared" si="8"/>
        <v>45768</v>
      </c>
      <c r="BB17" s="14">
        <f t="shared" si="8"/>
        <v>45768</v>
      </c>
      <c r="BC17" s="14">
        <f t="shared" si="8"/>
        <v>45768</v>
      </c>
      <c r="BD17" s="14">
        <f>INDEX(属性投放!$DL$6:$DL$85,(卡牌属性!AG17-2)*20+卡牌属性!AN17)</f>
        <v>176</v>
      </c>
      <c r="BE17" s="14">
        <f t="shared" si="9"/>
        <v>176</v>
      </c>
      <c r="BF17" s="14">
        <f t="shared" si="9"/>
        <v>176</v>
      </c>
      <c r="BG17" s="14">
        <f t="shared" si="9"/>
        <v>176</v>
      </c>
      <c r="BH17" s="14">
        <f t="shared" si="9"/>
        <v>176</v>
      </c>
      <c r="BI17" s="14">
        <f>INDEX(属性投放!$DM$6:$DM$85,(卡牌属性!AG17-2)*20+卡牌属性!AN17)</f>
        <v>88</v>
      </c>
      <c r="BJ17" s="14">
        <f t="shared" si="10"/>
        <v>88</v>
      </c>
      <c r="BK17" s="14">
        <f t="shared" si="10"/>
        <v>88</v>
      </c>
      <c r="BL17" s="14">
        <f t="shared" si="10"/>
        <v>88</v>
      </c>
      <c r="BM17" s="14">
        <f t="shared" si="10"/>
        <v>88</v>
      </c>
      <c r="BN17" s="14">
        <f>INDEX(属性投放!$DN$6:$DN$85,(卡牌属性!AG17-2)*20+卡牌属性!AN17)</f>
        <v>1759</v>
      </c>
      <c r="BO17" s="14">
        <f t="shared" si="11"/>
        <v>1759</v>
      </c>
      <c r="BP17" s="14">
        <f t="shared" si="11"/>
        <v>1759</v>
      </c>
      <c r="BQ17" s="14">
        <f t="shared" si="11"/>
        <v>1759</v>
      </c>
      <c r="BR17" s="14">
        <f t="shared" si="11"/>
        <v>1759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32"/>
        <v>1102001</v>
      </c>
      <c r="CA17" s="14" t="str">
        <f t="shared" si="33"/>
        <v>关羽13突</v>
      </c>
      <c r="CB17" s="25" t="s">
        <v>142</v>
      </c>
      <c r="CC17" s="14">
        <v>2</v>
      </c>
      <c r="CD17" s="14">
        <f t="shared" si="14"/>
        <v>13</v>
      </c>
      <c r="CE17" s="14" t="s">
        <v>21</v>
      </c>
      <c r="CF17" s="14">
        <f>INDEX(属性投放!$AZ$6:$AZ$85,(BY17-2)*20+CD17)</f>
        <v>8194</v>
      </c>
      <c r="CG17" s="14" t="s">
        <v>22</v>
      </c>
      <c r="CH17" s="14">
        <f>INDEX(属性投放!$BA$6:$BA$85,(BY17-2)*20+CD17)</f>
        <v>4015</v>
      </c>
      <c r="CI17" s="14" t="s">
        <v>510</v>
      </c>
      <c r="CJ17" s="14">
        <f>INDEX(属性投放!$BB$6:$BB$85,(BY17-2)*20+CD17)</f>
        <v>64947</v>
      </c>
      <c r="CK17" s="14" t="s">
        <v>21</v>
      </c>
      <c r="CL17" s="14">
        <f>INDEX(属性投放!$BC$6:$BC$85,(BY17-2)*20+CD17)</f>
        <v>50</v>
      </c>
      <c r="CM17" s="14" t="s">
        <v>22</v>
      </c>
      <c r="CN17" s="14">
        <f>INDEX(属性投放!$BD$6:$BD$85,(BY17-2)*20+CD17)</f>
        <v>25</v>
      </c>
      <c r="CO17" s="14" t="s">
        <v>510</v>
      </c>
      <c r="CP17" s="14">
        <f>INDEX(属性投放!$BE$6:$BE$85,(BY17-2)*20+CD17)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INDEX($O$6:$O$50,CT17)&amp;"-"&amp;INDEX(属性投放!$AB$7:$AB$50,CZ17)&amp;"-魂火-"&amp;DB17</f>
        <v>关羽-叫唤-魂火-2</v>
      </c>
      <c r="CY17" s="25" t="s">
        <v>142</v>
      </c>
      <c r="CZ17" s="14">
        <f>INDEX(属性投放!$AM$7:$AM$58,CU17)</f>
        <v>7</v>
      </c>
      <c r="DA17" s="14" t="s">
        <v>537</v>
      </c>
      <c r="DB17" s="14">
        <f>INDEX(属性投放!$AN$7:$AN$58,CU17)</f>
        <v>2</v>
      </c>
      <c r="DC17" s="14">
        <f t="shared" si="16"/>
        <v>13</v>
      </c>
      <c r="DD17" s="14">
        <f>INDEX(属性投放!$AO$7:$AO$58,DC17)</f>
        <v>50</v>
      </c>
      <c r="DE17" s="14" t="s">
        <v>538</v>
      </c>
      <c r="DF17" s="14">
        <f>INDEX(属性投放!$BK$6:$BK$85,(CV17-2)*20+CZ17)</f>
        <v>100</v>
      </c>
      <c r="DG17" s="14">
        <f>SUMIFS(DF$5:DF17,$CT$5:$CT17,"="&amp;$CT17)</f>
        <v>815</v>
      </c>
      <c r="DH17" s="14" t="s">
        <v>539</v>
      </c>
      <c r="DI17" s="14">
        <f>INDEX(属性投放!$BL$6:$BL$85,(CV17-2)*20+CZ17)</f>
        <v>50</v>
      </c>
      <c r="DJ17" s="14">
        <f>SUMIFS(DI$5:DI17,$CT$5:$CT17,"="&amp;$CT17)</f>
        <v>410</v>
      </c>
      <c r="DK17" s="14" t="s">
        <v>540</v>
      </c>
      <c r="DL17" s="14">
        <f>INDEX(属性投放!$BM$6:$BM$85,(CV17-2)*20+CZ17)</f>
        <v>800</v>
      </c>
      <c r="DM17" s="14">
        <f>SUMIFS(DL$5:DL17,$CT$5:$CT17,"="&amp;$CT17)</f>
        <v>5700</v>
      </c>
      <c r="DR17" s="14">
        <f t="shared" si="17"/>
        <v>1102001</v>
      </c>
      <c r="DS17" s="14" t="str">
        <f t="shared" si="18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19"/>
        <v>5</v>
      </c>
      <c r="DX17" s="14">
        <f t="shared" si="20"/>
        <v>13</v>
      </c>
      <c r="DY17" s="14">
        <f t="shared" si="21"/>
        <v>73</v>
      </c>
      <c r="DZ17" s="14">
        <f>INDEX(属性投放!$AX$6:$AX$85,(卡牌属性!DW17-2)*20+卡牌属性!DX17)</f>
        <v>8</v>
      </c>
      <c r="EA17" s="14">
        <f>INDEX(属性投放!BQ$6:BQ$85,卡牌属性!$DY17)</f>
        <v>475</v>
      </c>
      <c r="EB17" s="14">
        <f>INDEX(属性投放!BR$6:BR$85,卡牌属性!$DY17)</f>
        <v>238</v>
      </c>
      <c r="EC17" s="14">
        <f>INDEX(属性投放!BS$6:BS$85,卡牌属性!$DY17)</f>
        <v>4750</v>
      </c>
      <c r="ED17" s="14">
        <f t="shared" si="41"/>
        <v>4895</v>
      </c>
      <c r="EE17" s="14">
        <f t="shared" si="42"/>
        <v>5575</v>
      </c>
      <c r="EF17" s="14">
        <f t="shared" si="43"/>
        <v>6695</v>
      </c>
      <c r="EG17" s="14">
        <f t="shared" si="44"/>
        <v>6695</v>
      </c>
      <c r="EH17" s="14">
        <f t="shared" si="45"/>
        <v>8235</v>
      </c>
      <c r="EI17" s="14">
        <f t="shared" si="46"/>
        <v>2103</v>
      </c>
      <c r="EJ17" s="14">
        <f t="shared" si="47"/>
        <v>2258</v>
      </c>
      <c r="EK17" s="14">
        <f t="shared" si="48"/>
        <v>2258</v>
      </c>
      <c r="EL17" s="14">
        <f t="shared" si="49"/>
        <v>2413</v>
      </c>
      <c r="EM17" s="14">
        <f t="shared" si="50"/>
        <v>2775</v>
      </c>
      <c r="EN17" s="14">
        <f t="shared" si="51"/>
        <v>33003</v>
      </c>
      <c r="EO17" s="14">
        <f t="shared" si="52"/>
        <v>35197</v>
      </c>
      <c r="EP17" s="14">
        <f t="shared" si="53"/>
        <v>35197</v>
      </c>
      <c r="EQ17" s="14">
        <f t="shared" si="54"/>
        <v>37545</v>
      </c>
      <c r="ER17" s="14">
        <f t="shared" si="55"/>
        <v>42755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INDEX(属性投放!$BQ$6:$BQ$85,(卡牌属性!$DW17-2)*20+卡牌属性!$DX17)</f>
        <v>475</v>
      </c>
      <c r="FI17" s="14">
        <f>INDEX(属性投放!$BQ$6:$BQ$85,(卡牌属性!$DW17-2)*20+卡牌属性!$DX17)</f>
        <v>475</v>
      </c>
      <c r="FJ17" s="14">
        <f>INDEX(属性投放!$BQ$6:$BQ$85,(卡牌属性!$DW17-2)*20+卡牌属性!$DX17)</f>
        <v>475</v>
      </c>
      <c r="FK17" s="14">
        <f>INDEX(属性投放!$BQ$6:$BQ$85,(卡牌属性!$DW17-2)*20+卡牌属性!$DX17)</f>
        <v>475</v>
      </c>
      <c r="FL17" s="14">
        <f>INDEX(属性投放!$BQ$6:$BQ$85,(卡牌属性!$DW17-2)*20+卡牌属性!$DX17)</f>
        <v>475</v>
      </c>
      <c r="FM17" s="14">
        <f>INDEX(属性投放!$BR$6:$BR$85,(卡牌属性!$DW17-2)*20+卡牌属性!$DX17)</f>
        <v>238</v>
      </c>
      <c r="FN17" s="14">
        <f>INDEX(属性投放!$BR$6:$BR$85,(卡牌属性!$DW17-2)*20+卡牌属性!$DX17)</f>
        <v>238</v>
      </c>
      <c r="FO17" s="14">
        <f>INDEX(属性投放!$BR$6:$BR$85,(卡牌属性!$DW17-2)*20+卡牌属性!$DX17)</f>
        <v>238</v>
      </c>
      <c r="FP17" s="14">
        <f>INDEX(属性投放!$BR$6:$BR$85,(卡牌属性!$DW17-2)*20+卡牌属性!$DX17)</f>
        <v>238</v>
      </c>
      <c r="FQ17" s="14">
        <f>INDEX(属性投放!$BR$6:$BR$85,(卡牌属性!$DW17-2)*20+卡牌属性!$DX17)</f>
        <v>238</v>
      </c>
      <c r="FR17" s="14">
        <f>INDEX(属性投放!$BS$6:$BS$85,(卡牌属性!$DW17-2)*20+卡牌属性!$DX17)</f>
        <v>4750</v>
      </c>
      <c r="FS17" s="14">
        <f>INDEX(属性投放!$BS$6:$BS$85,(卡牌属性!$DW17-2)*20+卡牌属性!$DX17)</f>
        <v>4750</v>
      </c>
      <c r="FT17" s="14">
        <f>INDEX(属性投放!$BS$6:$BS$85,(卡牌属性!$DW17-2)*20+卡牌属性!$DX17)</f>
        <v>4750</v>
      </c>
      <c r="FU17" s="14">
        <f>INDEX(属性投放!$BS$6:$BS$85,(卡牌属性!$DW17-2)*20+卡牌属性!$DX17)</f>
        <v>4750</v>
      </c>
      <c r="FV17" s="14">
        <f>INDEX(属性投放!$BS$6:$BS$85,(卡牌属性!$DW17-2)*20+卡牌属性!$DX17)</f>
        <v>4750</v>
      </c>
      <c r="FZ17" s="13">
        <v>13</v>
      </c>
      <c r="GA17" s="13">
        <f t="shared" si="22"/>
        <v>3</v>
      </c>
      <c r="GB17" s="14">
        <f t="shared" si="56"/>
        <v>1102003</v>
      </c>
      <c r="GC17" s="14" t="s">
        <v>1187</v>
      </c>
      <c r="GD17" s="14">
        <f t="shared" si="23"/>
        <v>3</v>
      </c>
      <c r="GE17" s="14" t="str">
        <f t="shared" si="24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5"/>
        <v>3</v>
      </c>
      <c r="GP17" s="14">
        <f t="shared" si="57"/>
        <v>1101003</v>
      </c>
      <c r="GQ17" s="14" t="s">
        <v>1187</v>
      </c>
      <c r="GR17" s="14">
        <f t="shared" si="26"/>
        <v>3</v>
      </c>
      <c r="GS17" s="14" t="str">
        <f t="shared" si="27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MATCH(HC17,属性投放!$AO$6:$AO$58,1)-1</f>
        <v>3</v>
      </c>
      <c r="HF17" s="13">
        <f>MATCH(HC17-1,属性投放!$AE$6:$AE$26,1)</f>
        <v>2</v>
      </c>
      <c r="HG17" s="13" t="str">
        <f>INDEX(属性投放!$AB$7:$AB$26,卡牌属性!HF17)</f>
        <v>黑绳</v>
      </c>
      <c r="HH17" s="14">
        <f t="shared" si="58"/>
        <v>283</v>
      </c>
      <c r="HI17" s="14">
        <f t="shared" si="59"/>
        <v>78</v>
      </c>
      <c r="HJ17" s="14">
        <f t="shared" si="60"/>
        <v>1100</v>
      </c>
      <c r="HK17" s="14">
        <f t="shared" si="61"/>
        <v>15</v>
      </c>
      <c r="HL17" s="14">
        <f t="shared" si="62"/>
        <v>6</v>
      </c>
      <c r="HM17" s="14">
        <f t="shared" si="63"/>
        <v>72</v>
      </c>
      <c r="HN17" s="14">
        <f>HH17+HK17*($HC17-INDEX(属性投放!$AE$6:$AE$26,卡牌属性!$HF17))</f>
        <v>403</v>
      </c>
      <c r="HO17" s="14">
        <f>HI17+HL17*($HC17-INDEX(属性投放!$AE$6:$AE$26,卡牌属性!$HF17))</f>
        <v>126</v>
      </c>
      <c r="HP17" s="14">
        <f>HJ17+HM17*($HC17-INDEX(属性投放!$AE$6:$AE$26,卡牌属性!$HF17))</f>
        <v>1676</v>
      </c>
      <c r="HQ17" s="14">
        <f t="shared" si="64"/>
        <v>85</v>
      </c>
      <c r="HR17" s="14">
        <f t="shared" si="65"/>
        <v>43</v>
      </c>
      <c r="HS17" s="14">
        <f t="shared" si="66"/>
        <v>510</v>
      </c>
      <c r="HT17" s="14">
        <f>IF(COUNTIF(属性投放!$AO$7:$AO$58,"="&amp;卡牌属性!HC17)&gt;0,卡牌属性!HE17,0)</f>
        <v>3</v>
      </c>
      <c r="HU17" s="14">
        <f t="shared" si="67"/>
        <v>30</v>
      </c>
      <c r="HV17" s="14">
        <f t="shared" si="68"/>
        <v>15</v>
      </c>
      <c r="HW17" s="14">
        <f t="shared" si="69"/>
        <v>180</v>
      </c>
      <c r="HX17" s="14">
        <f>IF(COUNTIF(属性投放!$AE$6:$AE$26,"="&amp;卡牌属性!HC17)&gt;0,卡牌属性!HF17,0)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15</v>
      </c>
      <c r="IC17" s="14">
        <f t="shared" si="74"/>
        <v>6</v>
      </c>
      <c r="ID17" s="14">
        <f t="shared" si="75"/>
        <v>72</v>
      </c>
      <c r="IE17" s="14">
        <f t="shared" si="76"/>
        <v>488</v>
      </c>
      <c r="IF17" s="14">
        <f t="shared" si="77"/>
        <v>169</v>
      </c>
      <c r="IG17" s="14">
        <f t="shared" si="78"/>
        <v>2186</v>
      </c>
      <c r="IH17" s="14">
        <f t="shared" si="79"/>
        <v>342</v>
      </c>
      <c r="II17" s="14">
        <f t="shared" si="80"/>
        <v>780</v>
      </c>
      <c r="IJ17" s="14">
        <f t="shared" si="81"/>
        <v>0</v>
      </c>
      <c r="IK17" s="14">
        <f t="shared" si="82"/>
        <v>10446</v>
      </c>
      <c r="IL17" s="17">
        <f t="shared" si="83"/>
        <v>3.2739804709936815E-2</v>
      </c>
      <c r="IM17" s="17">
        <f t="shared" si="84"/>
        <v>7.4669730040206772E-2</v>
      </c>
      <c r="IN17" s="17">
        <f t="shared" si="85"/>
        <v>0</v>
      </c>
      <c r="IO17" s="23">
        <f>SUM(IH$5:IH17)</f>
        <v>4136</v>
      </c>
      <c r="IP17" s="14">
        <f>SUM(II$5:II17)</f>
        <v>2220</v>
      </c>
      <c r="IQ17" s="14">
        <f>SUM(IJ$5:IJ17)</f>
        <v>0</v>
      </c>
      <c r="IR17" s="17">
        <f t="shared" si="86"/>
        <v>0.39594103005935288</v>
      </c>
      <c r="IS17" s="17">
        <f t="shared" si="87"/>
        <v>0.2125215393452039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MATCH(IW17-1,属性投放!$AD$7:$AD$26,1)</f>
        <v>2</v>
      </c>
      <c r="IZ17" s="14" t="str">
        <f>INDEX(属性投放!$AB$7:$AB$26,IY17)</f>
        <v>黑绳</v>
      </c>
      <c r="JA17" s="14">
        <f t="shared" si="89"/>
        <v>160</v>
      </c>
      <c r="JB17" s="14">
        <f t="shared" si="90"/>
        <v>30</v>
      </c>
      <c r="JC17" s="14">
        <f t="shared" si="91"/>
        <v>610</v>
      </c>
      <c r="JD17" s="14">
        <f t="shared" si="92"/>
        <v>12</v>
      </c>
      <c r="JE17" s="14">
        <f t="shared" si="93"/>
        <v>6</v>
      </c>
      <c r="JF17" s="14">
        <f t="shared" si="94"/>
        <v>70</v>
      </c>
      <c r="JG17" s="14">
        <f>INDEX(属性投放!$DC$6:$DC$85,卡牌属性!IY17)</f>
        <v>10</v>
      </c>
      <c r="JH17" s="14">
        <f t="shared" si="95"/>
        <v>196</v>
      </c>
      <c r="JI17" s="14">
        <f t="shared" si="96"/>
        <v>48</v>
      </c>
      <c r="JJ17" s="14">
        <f t="shared" si="97"/>
        <v>820</v>
      </c>
      <c r="JK17" s="14">
        <f t="shared" si="98"/>
        <v>2280</v>
      </c>
    </row>
    <row r="18" spans="1:271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550</v>
      </c>
      <c r="H18" s="13" t="s">
        <v>556</v>
      </c>
      <c r="I18" s="13" t="s">
        <v>552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934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550</v>
      </c>
      <c r="W18" s="13" t="s">
        <v>552</v>
      </c>
      <c r="X18" s="13" t="s">
        <v>556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1"/>
        <v>10</v>
      </c>
      <c r="AE18" s="13">
        <v>14</v>
      </c>
      <c r="AF18" s="13">
        <f t="shared" si="31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142</v>
      </c>
      <c r="AM18" s="14">
        <v>1</v>
      </c>
      <c r="AN18" s="14">
        <f t="shared" si="5"/>
        <v>14</v>
      </c>
      <c r="AO18" s="14">
        <f>INDEX(属性投放!$DF$6:$DF$85,(卡牌属性!AG18-2)*20+卡牌属性!AN18)</f>
        <v>6167</v>
      </c>
      <c r="AP18" s="14">
        <f t="shared" si="6"/>
        <v>6167</v>
      </c>
      <c r="AQ18" s="14">
        <f t="shared" si="6"/>
        <v>6167</v>
      </c>
      <c r="AR18" s="14">
        <f t="shared" si="6"/>
        <v>6167</v>
      </c>
      <c r="AS18" s="14">
        <f t="shared" si="6"/>
        <v>6167</v>
      </c>
      <c r="AT18" s="14">
        <f>INDEX(属性投放!$DG$6:$DG$85,(卡牌属性!AG18-2)*20+卡牌属性!AN18)</f>
        <v>3022</v>
      </c>
      <c r="AU18" s="14">
        <f t="shared" si="7"/>
        <v>3022</v>
      </c>
      <c r="AV18" s="14">
        <f t="shared" si="7"/>
        <v>3022</v>
      </c>
      <c r="AW18" s="14">
        <f t="shared" si="7"/>
        <v>3022</v>
      </c>
      <c r="AX18" s="14">
        <f t="shared" si="7"/>
        <v>3022</v>
      </c>
      <c r="AY18" s="14">
        <f>INDEX(属性投放!$DH$6:$DH$85,(卡牌属性!AG18-2)*20+卡牌属性!AN18)</f>
        <v>50793</v>
      </c>
      <c r="AZ18" s="14">
        <f t="shared" si="8"/>
        <v>50793</v>
      </c>
      <c r="BA18" s="14">
        <f t="shared" si="8"/>
        <v>50793</v>
      </c>
      <c r="BB18" s="14">
        <f t="shared" si="8"/>
        <v>50793</v>
      </c>
      <c r="BC18" s="14">
        <f t="shared" si="8"/>
        <v>50793</v>
      </c>
      <c r="BD18" s="14">
        <f>INDEX(属性投放!$DL$6:$DL$85,(卡牌属性!AG18-2)*20+卡牌属性!AN18)</f>
        <v>176</v>
      </c>
      <c r="BE18" s="14">
        <f t="shared" si="9"/>
        <v>176</v>
      </c>
      <c r="BF18" s="14">
        <f t="shared" si="9"/>
        <v>176</v>
      </c>
      <c r="BG18" s="14">
        <f t="shared" si="9"/>
        <v>176</v>
      </c>
      <c r="BH18" s="14">
        <f t="shared" si="9"/>
        <v>176</v>
      </c>
      <c r="BI18" s="14">
        <f>INDEX(属性投放!$DM$6:$DM$85,(卡牌属性!AG18-2)*20+卡牌属性!AN18)</f>
        <v>88</v>
      </c>
      <c r="BJ18" s="14">
        <f t="shared" si="10"/>
        <v>88</v>
      </c>
      <c r="BK18" s="14">
        <f t="shared" si="10"/>
        <v>88</v>
      </c>
      <c r="BL18" s="14">
        <f t="shared" si="10"/>
        <v>88</v>
      </c>
      <c r="BM18" s="14">
        <f t="shared" si="10"/>
        <v>88</v>
      </c>
      <c r="BN18" s="14">
        <f>INDEX(属性投放!$DN$6:$DN$85,(卡牌属性!AG18-2)*20+卡牌属性!AN18)</f>
        <v>1759</v>
      </c>
      <c r="BO18" s="14">
        <f t="shared" si="11"/>
        <v>1759</v>
      </c>
      <c r="BP18" s="14">
        <f t="shared" si="11"/>
        <v>1759</v>
      </c>
      <c r="BQ18" s="14">
        <f t="shared" si="11"/>
        <v>1759</v>
      </c>
      <c r="BR18" s="14">
        <f t="shared" si="11"/>
        <v>1759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32"/>
        <v>1102001</v>
      </c>
      <c r="CA18" s="14" t="str">
        <f t="shared" si="33"/>
        <v>关羽14突</v>
      </c>
      <c r="CB18" s="25" t="s">
        <v>142</v>
      </c>
      <c r="CC18" s="14">
        <v>2</v>
      </c>
      <c r="CD18" s="14">
        <f t="shared" si="14"/>
        <v>14</v>
      </c>
      <c r="CE18" s="14" t="s">
        <v>21</v>
      </c>
      <c r="CF18" s="14">
        <f>INDEX(属性投放!$AZ$6:$AZ$85,(BY18-2)*20+CD18)</f>
        <v>10014</v>
      </c>
      <c r="CG18" s="14" t="s">
        <v>22</v>
      </c>
      <c r="CH18" s="14">
        <f>INDEX(属性投放!$BA$6:$BA$85,(BY18-2)*20+CD18)</f>
        <v>4927</v>
      </c>
      <c r="CI18" s="14" t="s">
        <v>510</v>
      </c>
      <c r="CJ18" s="14">
        <f>INDEX(属性投放!$BB$6:$BB$85,(BY18-2)*20+CD18)</f>
        <v>83147</v>
      </c>
      <c r="CK18" s="14" t="s">
        <v>21</v>
      </c>
      <c r="CL18" s="14">
        <f>INDEX(属性投放!$BC$6:$BC$85,(BY18-2)*20+CD18)</f>
        <v>50</v>
      </c>
      <c r="CM18" s="14" t="s">
        <v>22</v>
      </c>
      <c r="CN18" s="14">
        <f>INDEX(属性投放!$BD$6:$BD$85,(BY18-2)*20+CD18)</f>
        <v>25</v>
      </c>
      <c r="CO18" s="14" t="s">
        <v>510</v>
      </c>
      <c r="CP18" s="14">
        <f>INDEX(属性投放!$BE$6:$BE$85,(BY18-2)*20+CD18)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INDEX($O$6:$O$50,CT18)&amp;"-"&amp;INDEX(属性投放!$AB$7:$AB$50,CZ18)&amp;"-魂火-"&amp;DB18</f>
        <v>关羽-叫唤+1-魂火-1</v>
      </c>
      <c r="CY18" s="25" t="s">
        <v>142</v>
      </c>
      <c r="CZ18" s="14">
        <f>INDEX(属性投放!$AM$7:$AM$58,CU18)</f>
        <v>8</v>
      </c>
      <c r="DA18" s="14" t="s">
        <v>537</v>
      </c>
      <c r="DB18" s="14">
        <f>INDEX(属性投放!$AN$7:$AN$58,CU18)</f>
        <v>1</v>
      </c>
      <c r="DC18" s="14">
        <f t="shared" si="16"/>
        <v>14</v>
      </c>
      <c r="DD18" s="14">
        <f>INDEX(属性投放!$AO$7:$AO$58,DC18)</f>
        <v>53</v>
      </c>
      <c r="DE18" s="14" t="s">
        <v>538</v>
      </c>
      <c r="DF18" s="14">
        <f>INDEX(属性投放!$BK$6:$BK$85,(CV18-2)*20+CZ18)</f>
        <v>120</v>
      </c>
      <c r="DG18" s="14">
        <f>SUMIFS(DF$5:DF18,$CT$5:$CT18,"="&amp;$CT18)</f>
        <v>935</v>
      </c>
      <c r="DH18" s="14" t="s">
        <v>539</v>
      </c>
      <c r="DI18" s="14">
        <f>INDEX(属性投放!$BL$6:$BL$85,(CV18-2)*20+CZ18)</f>
        <v>60</v>
      </c>
      <c r="DJ18" s="14">
        <f>SUMIFS(DI$5:DI18,$CT$5:$CT18,"="&amp;$CT18)</f>
        <v>470</v>
      </c>
      <c r="DK18" s="14" t="s">
        <v>540</v>
      </c>
      <c r="DL18" s="14">
        <f>INDEX(属性投放!$BM$6:$BM$85,(CV18-2)*20+CZ18)</f>
        <v>960</v>
      </c>
      <c r="DM18" s="14">
        <f>SUMIFS(DL$5:DL18,$CT$5:$CT18,"="&amp;$CT18)</f>
        <v>6660</v>
      </c>
      <c r="DR18" s="14">
        <f t="shared" si="17"/>
        <v>1102001</v>
      </c>
      <c r="DS18" s="14" t="str">
        <f t="shared" si="18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19"/>
        <v>5</v>
      </c>
      <c r="DX18" s="14">
        <f t="shared" si="20"/>
        <v>14</v>
      </c>
      <c r="DY18" s="14">
        <f t="shared" si="21"/>
        <v>74</v>
      </c>
      <c r="DZ18" s="14">
        <f>INDEX(属性投放!$AX$6:$AX$85,(卡牌属性!DW18-2)*20+卡牌属性!DX18)</f>
        <v>7</v>
      </c>
      <c r="EA18" s="14">
        <f>INDEX(属性投放!BQ$6:BQ$85,卡牌属性!$DY18)</f>
        <v>520</v>
      </c>
      <c r="EB18" s="14">
        <f>INDEX(属性投放!BR$6:BR$85,卡牌属性!$DY18)</f>
        <v>260</v>
      </c>
      <c r="EC18" s="14">
        <f>INDEX(属性投放!BS$6:BS$85,卡牌属性!$DY18)</f>
        <v>5200</v>
      </c>
      <c r="ED18" s="14">
        <f t="shared" si="41"/>
        <v>5770</v>
      </c>
      <c r="EE18" s="14">
        <f t="shared" si="42"/>
        <v>6650</v>
      </c>
      <c r="EF18" s="14">
        <f t="shared" si="43"/>
        <v>7970</v>
      </c>
      <c r="EG18" s="14">
        <f t="shared" si="44"/>
        <v>7970</v>
      </c>
      <c r="EH18" s="14">
        <f t="shared" si="45"/>
        <v>9910</v>
      </c>
      <c r="EI18" s="14">
        <f t="shared" si="46"/>
        <v>2501</v>
      </c>
      <c r="EJ18" s="14">
        <f t="shared" si="47"/>
        <v>2680</v>
      </c>
      <c r="EK18" s="14">
        <f t="shared" si="48"/>
        <v>2680</v>
      </c>
      <c r="EL18" s="14">
        <f t="shared" si="49"/>
        <v>2851</v>
      </c>
      <c r="EM18" s="14">
        <f t="shared" si="50"/>
        <v>3317</v>
      </c>
      <c r="EN18" s="14">
        <f t="shared" si="51"/>
        <v>40953</v>
      </c>
      <c r="EO18" s="14">
        <f t="shared" si="52"/>
        <v>43547</v>
      </c>
      <c r="EP18" s="14">
        <f t="shared" si="53"/>
        <v>43547</v>
      </c>
      <c r="EQ18" s="14">
        <f t="shared" si="54"/>
        <v>46295</v>
      </c>
      <c r="ER18" s="14">
        <f t="shared" si="55"/>
        <v>53505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INDEX(属性投放!$BQ$6:$BQ$85,(卡牌属性!$DW18-2)*20+卡牌属性!$DX18)</f>
        <v>520</v>
      </c>
      <c r="FI18" s="14">
        <f>INDEX(属性投放!$BQ$6:$BQ$85,(卡牌属性!$DW18-2)*20+卡牌属性!$DX18)</f>
        <v>520</v>
      </c>
      <c r="FJ18" s="14">
        <f>INDEX(属性投放!$BQ$6:$BQ$85,(卡牌属性!$DW18-2)*20+卡牌属性!$DX18)</f>
        <v>520</v>
      </c>
      <c r="FK18" s="14">
        <f>INDEX(属性投放!$BQ$6:$BQ$85,(卡牌属性!$DW18-2)*20+卡牌属性!$DX18)</f>
        <v>520</v>
      </c>
      <c r="FL18" s="14">
        <f>INDEX(属性投放!$BQ$6:$BQ$85,(卡牌属性!$DW18-2)*20+卡牌属性!$DX18)</f>
        <v>520</v>
      </c>
      <c r="FM18" s="14">
        <f>INDEX(属性投放!$BR$6:$BR$85,(卡牌属性!$DW18-2)*20+卡牌属性!$DX18)</f>
        <v>260</v>
      </c>
      <c r="FN18" s="14">
        <f>INDEX(属性投放!$BR$6:$BR$85,(卡牌属性!$DW18-2)*20+卡牌属性!$DX18)</f>
        <v>260</v>
      </c>
      <c r="FO18" s="14">
        <f>INDEX(属性投放!$BR$6:$BR$85,(卡牌属性!$DW18-2)*20+卡牌属性!$DX18)</f>
        <v>260</v>
      </c>
      <c r="FP18" s="14">
        <f>INDEX(属性投放!$BR$6:$BR$85,(卡牌属性!$DW18-2)*20+卡牌属性!$DX18)</f>
        <v>260</v>
      </c>
      <c r="FQ18" s="14">
        <f>INDEX(属性投放!$BR$6:$BR$85,(卡牌属性!$DW18-2)*20+卡牌属性!$DX18)</f>
        <v>260</v>
      </c>
      <c r="FR18" s="14">
        <f>INDEX(属性投放!$BS$6:$BS$85,(卡牌属性!$DW18-2)*20+卡牌属性!$DX18)</f>
        <v>5200</v>
      </c>
      <c r="FS18" s="14">
        <f>INDEX(属性投放!$BS$6:$BS$85,(卡牌属性!$DW18-2)*20+卡牌属性!$DX18)</f>
        <v>5200</v>
      </c>
      <c r="FT18" s="14">
        <f>INDEX(属性投放!$BS$6:$BS$85,(卡牌属性!$DW18-2)*20+卡牌属性!$DX18)</f>
        <v>5200</v>
      </c>
      <c r="FU18" s="14">
        <f>INDEX(属性投放!$BS$6:$BS$85,(卡牌属性!$DW18-2)*20+卡牌属性!$DX18)</f>
        <v>5200</v>
      </c>
      <c r="FV18" s="14">
        <f>INDEX(属性投放!$BS$6:$BS$85,(卡牌属性!$DW18-2)*20+卡牌属性!$DX18)</f>
        <v>5200</v>
      </c>
      <c r="FZ18" s="13">
        <v>14</v>
      </c>
      <c r="GA18" s="13">
        <f t="shared" si="22"/>
        <v>3</v>
      </c>
      <c r="GB18" s="14">
        <f t="shared" si="56"/>
        <v>1102003</v>
      </c>
      <c r="GC18" s="14" t="s">
        <v>1187</v>
      </c>
      <c r="GD18" s="14">
        <f t="shared" si="23"/>
        <v>4</v>
      </c>
      <c r="GE18" s="14" t="str">
        <f t="shared" si="24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5"/>
        <v>3</v>
      </c>
      <c r="GP18" s="14">
        <f t="shared" si="57"/>
        <v>1101003</v>
      </c>
      <c r="GQ18" s="14" t="s">
        <v>1187</v>
      </c>
      <c r="GR18" s="14">
        <f t="shared" si="26"/>
        <v>4</v>
      </c>
      <c r="GS18" s="14" t="str">
        <f t="shared" si="27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MATCH(HC18,属性投放!$AO$6:$AO$58,1)-1</f>
        <v>3</v>
      </c>
      <c r="HF18" s="13">
        <f>MATCH(HC18-1,属性投放!$AE$6:$AE$26,1)</f>
        <v>2</v>
      </c>
      <c r="HG18" s="13" t="str">
        <f>INDEX(属性投放!$AB$7:$AB$26,卡牌属性!HF18)</f>
        <v>黑绳</v>
      </c>
      <c r="HH18" s="14">
        <f t="shared" si="58"/>
        <v>283</v>
      </c>
      <c r="HI18" s="14">
        <f t="shared" si="59"/>
        <v>78</v>
      </c>
      <c r="HJ18" s="14">
        <f t="shared" si="60"/>
        <v>1100</v>
      </c>
      <c r="HK18" s="14">
        <f t="shared" si="61"/>
        <v>15</v>
      </c>
      <c r="HL18" s="14">
        <f t="shared" si="62"/>
        <v>6</v>
      </c>
      <c r="HM18" s="14">
        <f t="shared" si="63"/>
        <v>72</v>
      </c>
      <c r="HN18" s="14">
        <f>HH18+HK18*($HC18-INDEX(属性投放!$AE$6:$AE$26,卡牌属性!$HF18))</f>
        <v>418</v>
      </c>
      <c r="HO18" s="14">
        <f>HI18+HL18*($HC18-INDEX(属性投放!$AE$6:$AE$26,卡牌属性!$HF18))</f>
        <v>132</v>
      </c>
      <c r="HP18" s="14">
        <f>HJ18+HM18*($HC18-INDEX(属性投放!$AE$6:$AE$26,卡牌属性!$HF18))</f>
        <v>1748</v>
      </c>
      <c r="HQ18" s="14">
        <f t="shared" si="64"/>
        <v>85</v>
      </c>
      <c r="HR18" s="14">
        <f t="shared" si="65"/>
        <v>43</v>
      </c>
      <c r="HS18" s="14">
        <f t="shared" si="66"/>
        <v>510</v>
      </c>
      <c r="HT18" s="14">
        <f>IF(COUNTIF(属性投放!$AO$7:$AO$58,"="&amp;卡牌属性!HC18)&gt;0,卡牌属性!HE18,0)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IF(COUNTIF(属性投放!$AE$6:$AE$26,"="&amp;卡牌属性!HC18)&gt;0,卡牌属性!HF18,0)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15</v>
      </c>
      <c r="IC18" s="14">
        <f t="shared" si="74"/>
        <v>6</v>
      </c>
      <c r="ID18" s="14">
        <f t="shared" si="75"/>
        <v>72</v>
      </c>
      <c r="IE18" s="14">
        <f t="shared" si="76"/>
        <v>503</v>
      </c>
      <c r="IF18" s="14">
        <f t="shared" si="77"/>
        <v>175</v>
      </c>
      <c r="IG18" s="14">
        <f t="shared" si="78"/>
        <v>2258</v>
      </c>
      <c r="IH18" s="14">
        <f t="shared" si="79"/>
        <v>342</v>
      </c>
      <c r="II18" s="14">
        <f t="shared" si="80"/>
        <v>0</v>
      </c>
      <c r="IJ18" s="14">
        <f t="shared" si="81"/>
        <v>0</v>
      </c>
      <c r="IK18" s="14">
        <f t="shared" si="82"/>
        <v>10788</v>
      </c>
      <c r="IL18" s="17">
        <f t="shared" si="83"/>
        <v>3.1701890989988879E-2</v>
      </c>
      <c r="IM18" s="17">
        <f t="shared" si="84"/>
        <v>0</v>
      </c>
      <c r="IN18" s="17">
        <f t="shared" si="85"/>
        <v>0</v>
      </c>
      <c r="IO18" s="23">
        <f>SUM(IH$5:IH18)</f>
        <v>4478</v>
      </c>
      <c r="IP18" s="14">
        <f>SUM(II$5:II18)</f>
        <v>2220</v>
      </c>
      <c r="IQ18" s="14">
        <f>SUM(IJ$5:IJ18)</f>
        <v>0</v>
      </c>
      <c r="IR18" s="17">
        <f t="shared" si="86"/>
        <v>0.41509084167593624</v>
      </c>
      <c r="IS18" s="17">
        <f t="shared" si="87"/>
        <v>0.20578420467185762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MATCH(IW18-1,属性投放!$AD$7:$AD$26,1)</f>
        <v>2</v>
      </c>
      <c r="IZ18" s="14" t="str">
        <f>INDEX(属性投放!$AB$7:$AB$26,IY18)</f>
        <v>黑绳</v>
      </c>
      <c r="JA18" s="14">
        <f t="shared" si="89"/>
        <v>160</v>
      </c>
      <c r="JB18" s="14">
        <f t="shared" si="90"/>
        <v>30</v>
      </c>
      <c r="JC18" s="14">
        <f t="shared" si="91"/>
        <v>610</v>
      </c>
      <c r="JD18" s="14">
        <f t="shared" si="92"/>
        <v>12</v>
      </c>
      <c r="JE18" s="14">
        <f t="shared" si="93"/>
        <v>6</v>
      </c>
      <c r="JF18" s="14">
        <f t="shared" si="94"/>
        <v>70</v>
      </c>
      <c r="JG18" s="14">
        <f>INDEX(属性投放!$DC$6:$DC$85,卡牌属性!IY18)</f>
        <v>10</v>
      </c>
      <c r="JH18" s="14">
        <f t="shared" si="95"/>
        <v>208</v>
      </c>
      <c r="JI18" s="14">
        <f t="shared" si="96"/>
        <v>54</v>
      </c>
      <c r="JJ18" s="14">
        <f t="shared" si="97"/>
        <v>890</v>
      </c>
      <c r="JK18" s="14">
        <f t="shared" si="98"/>
        <v>2470</v>
      </c>
    </row>
    <row r="19" spans="1:271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558</v>
      </c>
      <c r="H19" s="13" t="s">
        <v>556</v>
      </c>
      <c r="I19" s="13" t="s">
        <v>554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935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556</v>
      </c>
      <c r="W19" s="13" t="s">
        <v>556</v>
      </c>
      <c r="X19" s="13" t="s">
        <v>556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1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142</v>
      </c>
      <c r="AM19" s="14">
        <v>1</v>
      </c>
      <c r="AN19" s="14">
        <f t="shared" si="5"/>
        <v>15</v>
      </c>
      <c r="AO19" s="14">
        <f>INDEX(属性投放!$DF$6:$DF$85,(卡牌属性!AG19-2)*20+卡牌属性!AN19)</f>
        <v>6670</v>
      </c>
      <c r="AP19" s="14">
        <f t="shared" si="6"/>
        <v>6670</v>
      </c>
      <c r="AQ19" s="14">
        <f t="shared" si="6"/>
        <v>6670</v>
      </c>
      <c r="AR19" s="14">
        <f t="shared" si="6"/>
        <v>6670</v>
      </c>
      <c r="AS19" s="14">
        <f t="shared" si="6"/>
        <v>6670</v>
      </c>
      <c r="AT19" s="14">
        <f>INDEX(属性投放!$DG$6:$DG$85,(卡牌属性!AG19-2)*20+卡牌属性!AN19)</f>
        <v>3274</v>
      </c>
      <c r="AU19" s="14">
        <f t="shared" si="7"/>
        <v>3274</v>
      </c>
      <c r="AV19" s="14">
        <f t="shared" si="7"/>
        <v>3274</v>
      </c>
      <c r="AW19" s="14">
        <f t="shared" si="7"/>
        <v>3274</v>
      </c>
      <c r="AX19" s="14">
        <f t="shared" si="7"/>
        <v>3274</v>
      </c>
      <c r="AY19" s="14">
        <f>INDEX(属性投放!$DH$6:$DH$85,(卡牌属性!AG19-2)*20+卡牌属性!AN19)</f>
        <v>55818</v>
      </c>
      <c r="AZ19" s="14">
        <f t="shared" si="8"/>
        <v>55818</v>
      </c>
      <c r="BA19" s="14">
        <f t="shared" si="8"/>
        <v>55818</v>
      </c>
      <c r="BB19" s="14">
        <f t="shared" si="8"/>
        <v>55818</v>
      </c>
      <c r="BC19" s="14">
        <f t="shared" si="8"/>
        <v>55818</v>
      </c>
      <c r="BD19" s="14">
        <f>INDEX(属性投放!$DL$6:$DL$85,(卡牌属性!AG19-2)*20+卡牌属性!AN19)</f>
        <v>176</v>
      </c>
      <c r="BE19" s="14">
        <f t="shared" si="9"/>
        <v>176</v>
      </c>
      <c r="BF19" s="14">
        <f t="shared" si="9"/>
        <v>176</v>
      </c>
      <c r="BG19" s="14">
        <f t="shared" si="9"/>
        <v>176</v>
      </c>
      <c r="BH19" s="14">
        <f t="shared" si="9"/>
        <v>176</v>
      </c>
      <c r="BI19" s="14">
        <f>INDEX(属性投放!$DM$6:$DM$85,(卡牌属性!AG19-2)*20+卡牌属性!AN19)</f>
        <v>88</v>
      </c>
      <c r="BJ19" s="14">
        <f t="shared" si="10"/>
        <v>88</v>
      </c>
      <c r="BK19" s="14">
        <f t="shared" si="10"/>
        <v>88</v>
      </c>
      <c r="BL19" s="14">
        <f t="shared" si="10"/>
        <v>88</v>
      </c>
      <c r="BM19" s="14">
        <f t="shared" si="10"/>
        <v>88</v>
      </c>
      <c r="BN19" s="14">
        <f>INDEX(属性投放!$DN$6:$DN$85,(卡牌属性!AG19-2)*20+卡牌属性!AN19)</f>
        <v>1759</v>
      </c>
      <c r="BO19" s="14">
        <f t="shared" si="11"/>
        <v>1759</v>
      </c>
      <c r="BP19" s="14">
        <f t="shared" si="11"/>
        <v>1759</v>
      </c>
      <c r="BQ19" s="14">
        <f t="shared" si="11"/>
        <v>1759</v>
      </c>
      <c r="BR19" s="14">
        <f t="shared" si="11"/>
        <v>1759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32"/>
        <v>1102001</v>
      </c>
      <c r="CA19" s="14" t="str">
        <f t="shared" si="33"/>
        <v>关羽15突</v>
      </c>
      <c r="CB19" s="25" t="s">
        <v>142</v>
      </c>
      <c r="CC19" s="14">
        <v>2</v>
      </c>
      <c r="CD19" s="14">
        <f t="shared" si="14"/>
        <v>15</v>
      </c>
      <c r="CE19" s="14" t="s">
        <v>21</v>
      </c>
      <c r="CF19" s="14">
        <f>INDEX(属性投放!$AZ$6:$AZ$85,(BY19-2)*20+CD19)</f>
        <v>11979</v>
      </c>
      <c r="CG19" s="14" t="s">
        <v>22</v>
      </c>
      <c r="CH19" s="14">
        <f>INDEX(属性投放!$BA$6:$BA$85,(BY19-2)*20+CD19)</f>
        <v>5911</v>
      </c>
      <c r="CI19" s="14" t="s">
        <v>510</v>
      </c>
      <c r="CJ19" s="14">
        <f>INDEX(属性投放!$BB$6:$BB$85,(BY19-2)*20+CD19)</f>
        <v>102797</v>
      </c>
      <c r="CK19" s="14" t="s">
        <v>21</v>
      </c>
      <c r="CL19" s="14">
        <f>INDEX(属性投放!$BC$6:$BC$85,(BY19-2)*20+CD19)</f>
        <v>50</v>
      </c>
      <c r="CM19" s="14" t="s">
        <v>22</v>
      </c>
      <c r="CN19" s="14">
        <f>INDEX(属性投放!$BD$6:$BD$85,(BY19-2)*20+CD19)</f>
        <v>25</v>
      </c>
      <c r="CO19" s="14" t="s">
        <v>510</v>
      </c>
      <c r="CP19" s="14">
        <f>INDEX(属性投放!$BE$6:$BE$85,(BY19-2)*20+CD19)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INDEX($O$6:$O$50,CT19)&amp;"-"&amp;INDEX(属性投放!$AB$7:$AB$50,CZ19)&amp;"-魂火-"&amp;DB19</f>
        <v>关羽-叫唤+1-魂火-2</v>
      </c>
      <c r="CY19" s="25" t="s">
        <v>142</v>
      </c>
      <c r="CZ19" s="14">
        <f>INDEX(属性投放!$AM$7:$AM$58,CU19)</f>
        <v>8</v>
      </c>
      <c r="DA19" s="14" t="s">
        <v>537</v>
      </c>
      <c r="DB19" s="14">
        <f>INDEX(属性投放!$AN$7:$AN$58,CU19)</f>
        <v>2</v>
      </c>
      <c r="DC19" s="14">
        <f t="shared" si="16"/>
        <v>15</v>
      </c>
      <c r="DD19" s="14">
        <f>INDEX(属性投放!$AO$7:$AO$58,DC19)</f>
        <v>55</v>
      </c>
      <c r="DE19" s="14" t="s">
        <v>538</v>
      </c>
      <c r="DF19" s="14">
        <f>INDEX(属性投放!$BK$6:$BK$85,(CV19-2)*20+CZ19)</f>
        <v>120</v>
      </c>
      <c r="DG19" s="14">
        <f>SUMIFS(DF$5:DF19,$CT$5:$CT19,"="&amp;$CT19)</f>
        <v>1055</v>
      </c>
      <c r="DH19" s="14" t="s">
        <v>539</v>
      </c>
      <c r="DI19" s="14">
        <f>INDEX(属性投放!$BL$6:$BL$85,(CV19-2)*20+CZ19)</f>
        <v>60</v>
      </c>
      <c r="DJ19" s="14">
        <f>SUMIFS(DI$5:DI19,$CT$5:$CT19,"="&amp;$CT19)</f>
        <v>530</v>
      </c>
      <c r="DK19" s="14" t="s">
        <v>540</v>
      </c>
      <c r="DL19" s="14">
        <f>INDEX(属性投放!$BM$6:$BM$85,(CV19-2)*20+CZ19)</f>
        <v>960</v>
      </c>
      <c r="DM19" s="14">
        <f>SUMIFS(DL$5:DL19,$CT$5:$CT19,"="&amp;$CT19)</f>
        <v>7620</v>
      </c>
      <c r="DR19" s="14">
        <f t="shared" si="17"/>
        <v>1102001</v>
      </c>
      <c r="DS19" s="14" t="str">
        <f t="shared" si="18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19"/>
        <v>5</v>
      </c>
      <c r="DX19" s="14">
        <f t="shared" si="20"/>
        <v>15</v>
      </c>
      <c r="DY19" s="14">
        <f t="shared" si="21"/>
        <v>75</v>
      </c>
      <c r="DZ19" s="14">
        <f>INDEX(属性投放!$AX$6:$AX$85,(卡牌属性!DW19-2)*20+卡牌属性!DX19)</f>
        <v>8</v>
      </c>
      <c r="EA19" s="14">
        <f>INDEX(属性投放!BQ$6:BQ$85,卡牌属性!$DY19)</f>
        <v>825</v>
      </c>
      <c r="EB19" s="14">
        <f>INDEX(属性投放!BR$6:BR$85,卡牌属性!$DY19)</f>
        <v>413</v>
      </c>
      <c r="EC19" s="14">
        <f>INDEX(属性投放!BS$6:BS$85,卡牌属性!$DY19)</f>
        <v>8250</v>
      </c>
      <c r="ED19" s="14">
        <f t="shared" si="41"/>
        <v>6640</v>
      </c>
      <c r="EE19" s="14">
        <f t="shared" si="42"/>
        <v>7695</v>
      </c>
      <c r="EF19" s="14">
        <f t="shared" si="43"/>
        <v>9190</v>
      </c>
      <c r="EG19" s="14">
        <f t="shared" si="44"/>
        <v>9190</v>
      </c>
      <c r="EH19" s="14">
        <f t="shared" si="45"/>
        <v>11480</v>
      </c>
      <c r="EI19" s="14">
        <f t="shared" si="46"/>
        <v>2901</v>
      </c>
      <c r="EJ19" s="14">
        <f t="shared" si="47"/>
        <v>3101</v>
      </c>
      <c r="EK19" s="14">
        <f t="shared" si="48"/>
        <v>3101</v>
      </c>
      <c r="EL19" s="14">
        <f t="shared" si="49"/>
        <v>3286</v>
      </c>
      <c r="EM19" s="14">
        <f t="shared" si="50"/>
        <v>3843</v>
      </c>
      <c r="EN19" s="14">
        <f t="shared" si="51"/>
        <v>48953</v>
      </c>
      <c r="EO19" s="14">
        <f t="shared" si="52"/>
        <v>51897</v>
      </c>
      <c r="EP19" s="14">
        <f t="shared" si="53"/>
        <v>51897</v>
      </c>
      <c r="EQ19" s="14">
        <f t="shared" si="54"/>
        <v>54995</v>
      </c>
      <c r="ER19" s="14">
        <f t="shared" si="55"/>
        <v>63955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INDEX(属性投放!$BQ$6:$BQ$85,(卡牌属性!$DW19-2)*20+卡牌属性!$DX19)</f>
        <v>825</v>
      </c>
      <c r="FI19" s="14">
        <f>INDEX(属性投放!$BQ$6:$BQ$85,(卡牌属性!$DW19-2)*20+卡牌属性!$DX19)</f>
        <v>825</v>
      </c>
      <c r="FJ19" s="14">
        <f>INDEX(属性投放!$BQ$6:$BQ$85,(卡牌属性!$DW19-2)*20+卡牌属性!$DX19)</f>
        <v>825</v>
      </c>
      <c r="FK19" s="14">
        <f>INDEX(属性投放!$BQ$6:$BQ$85,(卡牌属性!$DW19-2)*20+卡牌属性!$DX19)</f>
        <v>825</v>
      </c>
      <c r="FL19" s="14">
        <f>INDEX(属性投放!$BQ$6:$BQ$85,(卡牌属性!$DW19-2)*20+卡牌属性!$DX19)</f>
        <v>825</v>
      </c>
      <c r="FM19" s="14">
        <f>INDEX(属性投放!$BR$6:$BR$85,(卡牌属性!$DW19-2)*20+卡牌属性!$DX19)</f>
        <v>413</v>
      </c>
      <c r="FN19" s="14">
        <f>INDEX(属性投放!$BR$6:$BR$85,(卡牌属性!$DW19-2)*20+卡牌属性!$DX19)</f>
        <v>413</v>
      </c>
      <c r="FO19" s="14">
        <f>INDEX(属性投放!$BR$6:$BR$85,(卡牌属性!$DW19-2)*20+卡牌属性!$DX19)</f>
        <v>413</v>
      </c>
      <c r="FP19" s="14">
        <f>INDEX(属性投放!$BR$6:$BR$85,(卡牌属性!$DW19-2)*20+卡牌属性!$DX19)</f>
        <v>413</v>
      </c>
      <c r="FQ19" s="14">
        <f>INDEX(属性投放!$BR$6:$BR$85,(卡牌属性!$DW19-2)*20+卡牌属性!$DX19)</f>
        <v>413</v>
      </c>
      <c r="FR19" s="14">
        <f>INDEX(属性投放!$BS$6:$BS$85,(卡牌属性!$DW19-2)*20+卡牌属性!$DX19)</f>
        <v>8250</v>
      </c>
      <c r="FS19" s="14">
        <f>INDEX(属性投放!$BS$6:$BS$85,(卡牌属性!$DW19-2)*20+卡牌属性!$DX19)</f>
        <v>8250</v>
      </c>
      <c r="FT19" s="14">
        <f>INDEX(属性投放!$BS$6:$BS$85,(卡牌属性!$DW19-2)*20+卡牌属性!$DX19)</f>
        <v>8250</v>
      </c>
      <c r="FU19" s="14">
        <f>INDEX(属性投放!$BS$6:$BS$85,(卡牌属性!$DW19-2)*20+卡牌属性!$DX19)</f>
        <v>8250</v>
      </c>
      <c r="FV19" s="14">
        <f>INDEX(属性投放!$BS$6:$BS$85,(卡牌属性!$DW19-2)*20+卡牌属性!$DX19)</f>
        <v>8250</v>
      </c>
      <c r="FZ19" s="13">
        <v>15</v>
      </c>
      <c r="GA19" s="13">
        <f t="shared" si="22"/>
        <v>3</v>
      </c>
      <c r="GB19" s="14">
        <f t="shared" si="56"/>
        <v>1102003</v>
      </c>
      <c r="GC19" s="14" t="s">
        <v>1187</v>
      </c>
      <c r="GD19" s="14">
        <f t="shared" si="23"/>
        <v>5</v>
      </c>
      <c r="GE19" s="14" t="str">
        <f t="shared" si="24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5"/>
        <v>3</v>
      </c>
      <c r="GP19" s="14">
        <f t="shared" si="57"/>
        <v>1101003</v>
      </c>
      <c r="GQ19" s="14" t="s">
        <v>1187</v>
      </c>
      <c r="GR19" s="14">
        <f t="shared" si="26"/>
        <v>5</v>
      </c>
      <c r="GS19" s="14" t="str">
        <f t="shared" si="27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MATCH(HC19,属性投放!$AO$6:$AO$58,1)-1</f>
        <v>3</v>
      </c>
      <c r="HF19" s="13">
        <f>MATCH(HC19-1,属性投放!$AE$6:$AE$26,1)</f>
        <v>2</v>
      </c>
      <c r="HG19" s="13" t="str">
        <f>INDEX(属性投放!$AB$7:$AB$26,卡牌属性!HF19)</f>
        <v>黑绳</v>
      </c>
      <c r="HH19" s="14">
        <f t="shared" si="58"/>
        <v>283</v>
      </c>
      <c r="HI19" s="14">
        <f t="shared" si="59"/>
        <v>78</v>
      </c>
      <c r="HJ19" s="14">
        <f t="shared" si="60"/>
        <v>1100</v>
      </c>
      <c r="HK19" s="14">
        <f t="shared" si="61"/>
        <v>15</v>
      </c>
      <c r="HL19" s="14">
        <f t="shared" si="62"/>
        <v>6</v>
      </c>
      <c r="HM19" s="14">
        <f t="shared" si="63"/>
        <v>72</v>
      </c>
      <c r="HN19" s="14">
        <f>HH19+HK19*($HC19-INDEX(属性投放!$AE$6:$AE$26,卡牌属性!$HF19))</f>
        <v>433</v>
      </c>
      <c r="HO19" s="14">
        <f>HI19+HL19*($HC19-INDEX(属性投放!$AE$6:$AE$26,卡牌属性!$HF19))</f>
        <v>138</v>
      </c>
      <c r="HP19" s="14">
        <f>HJ19+HM19*($HC19-INDEX(属性投放!$AE$6:$AE$26,卡牌属性!$HF19))</f>
        <v>1820</v>
      </c>
      <c r="HQ19" s="14">
        <f t="shared" si="64"/>
        <v>85</v>
      </c>
      <c r="HR19" s="14">
        <f t="shared" si="65"/>
        <v>43</v>
      </c>
      <c r="HS19" s="14">
        <f t="shared" si="66"/>
        <v>510</v>
      </c>
      <c r="HT19" s="14">
        <f>IF(COUNTIF(属性投放!$AO$7:$AO$58,"="&amp;卡牌属性!HC19)&gt;0,卡牌属性!HE19,0)</f>
        <v>0</v>
      </c>
      <c r="HU19" s="14">
        <f t="shared" si="67"/>
        <v>0</v>
      </c>
      <c r="HV19" s="14">
        <f t="shared" si="68"/>
        <v>0</v>
      </c>
      <c r="HW19" s="14">
        <f t="shared" si="69"/>
        <v>0</v>
      </c>
      <c r="HX19" s="14">
        <f>IF(COUNTIF(属性投放!$AE$6:$AE$26,"="&amp;卡牌属性!HC19)&gt;0,卡牌属性!HF19,0)</f>
        <v>2</v>
      </c>
      <c r="HY19" s="14">
        <f t="shared" si="70"/>
        <v>35</v>
      </c>
      <c r="HZ19" s="14">
        <f t="shared" si="71"/>
        <v>18</v>
      </c>
      <c r="IA19" s="14">
        <f t="shared" si="72"/>
        <v>210</v>
      </c>
      <c r="IB19" s="14">
        <f t="shared" si="73"/>
        <v>15</v>
      </c>
      <c r="IC19" s="14">
        <f t="shared" si="74"/>
        <v>6</v>
      </c>
      <c r="ID19" s="14">
        <f t="shared" si="75"/>
        <v>72</v>
      </c>
      <c r="IE19" s="14">
        <f t="shared" si="76"/>
        <v>518</v>
      </c>
      <c r="IF19" s="14">
        <f t="shared" si="77"/>
        <v>181</v>
      </c>
      <c r="IG19" s="14">
        <f t="shared" si="78"/>
        <v>2330</v>
      </c>
      <c r="IH19" s="14">
        <f t="shared" si="79"/>
        <v>342</v>
      </c>
      <c r="II19" s="14">
        <f t="shared" si="80"/>
        <v>0</v>
      </c>
      <c r="IJ19" s="14">
        <f t="shared" si="81"/>
        <v>920</v>
      </c>
      <c r="IK19" s="14">
        <f t="shared" si="82"/>
        <v>11130</v>
      </c>
      <c r="IL19" s="17">
        <f t="shared" si="83"/>
        <v>3.0727762803234502E-2</v>
      </c>
      <c r="IM19" s="17">
        <f t="shared" si="84"/>
        <v>0</v>
      </c>
      <c r="IN19" s="17">
        <f t="shared" si="85"/>
        <v>8.2659478885893978E-2</v>
      </c>
      <c r="IO19" s="23">
        <f>SUM(IH$5:IH19)</f>
        <v>4820</v>
      </c>
      <c r="IP19" s="14">
        <f>SUM(II$5:II19)</f>
        <v>2220</v>
      </c>
      <c r="IQ19" s="14">
        <f>SUM(IJ$5:IJ19)</f>
        <v>920</v>
      </c>
      <c r="IR19" s="17">
        <f t="shared" si="86"/>
        <v>0.43306379155435759</v>
      </c>
      <c r="IS19" s="17">
        <f t="shared" si="87"/>
        <v>0.19946091644204852</v>
      </c>
      <c r="IT19" s="17">
        <f t="shared" si="88"/>
        <v>8.2659478885893978E-2</v>
      </c>
      <c r="IW19" s="13">
        <v>15</v>
      </c>
      <c r="IX19" s="14">
        <f>MATCH(IW19-1,属性投放!$T$6:$T$66,1)</f>
        <v>1</v>
      </c>
      <c r="IY19" s="14">
        <f>MATCH(IW19-1,属性投放!$AD$7:$AD$26,1)</f>
        <v>2</v>
      </c>
      <c r="IZ19" s="14" t="str">
        <f>INDEX(属性投放!$AB$7:$AB$26,IY19)</f>
        <v>黑绳</v>
      </c>
      <c r="JA19" s="14">
        <f t="shared" si="89"/>
        <v>160</v>
      </c>
      <c r="JB19" s="14">
        <f t="shared" si="90"/>
        <v>30</v>
      </c>
      <c r="JC19" s="14">
        <f t="shared" si="91"/>
        <v>610</v>
      </c>
      <c r="JD19" s="14">
        <f t="shared" si="92"/>
        <v>12</v>
      </c>
      <c r="JE19" s="14">
        <f t="shared" si="93"/>
        <v>6</v>
      </c>
      <c r="JF19" s="14">
        <f t="shared" si="94"/>
        <v>70</v>
      </c>
      <c r="JG19" s="14">
        <f>INDEX(属性投放!$DC$6:$DC$85,卡牌属性!IY19)</f>
        <v>10</v>
      </c>
      <c r="JH19" s="14">
        <f t="shared" si="95"/>
        <v>220</v>
      </c>
      <c r="JI19" s="14">
        <f t="shared" si="96"/>
        <v>60</v>
      </c>
      <c r="JJ19" s="14">
        <f t="shared" si="97"/>
        <v>960</v>
      </c>
      <c r="JK19" s="14">
        <f t="shared" si="98"/>
        <v>2660</v>
      </c>
    </row>
    <row r="20" spans="1:271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556</v>
      </c>
      <c r="H20" s="13" t="s">
        <v>552</v>
      </c>
      <c r="I20" s="13" t="s">
        <v>554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936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552</v>
      </c>
      <c r="W20" s="13" t="s">
        <v>552</v>
      </c>
      <c r="X20" s="13" t="s">
        <v>552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1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142</v>
      </c>
      <c r="AM20" s="14">
        <v>1</v>
      </c>
      <c r="AN20" s="14">
        <f t="shared" si="5"/>
        <v>16</v>
      </c>
      <c r="AO20" s="14">
        <f>INDEX(属性投放!$DF$6:$DF$85,(卡牌属性!AG20-2)*20+卡牌属性!AN20)</f>
        <v>11573</v>
      </c>
      <c r="AP20" s="14">
        <f t="shared" si="6"/>
        <v>11573</v>
      </c>
      <c r="AQ20" s="14">
        <f t="shared" si="6"/>
        <v>11573</v>
      </c>
      <c r="AR20" s="14">
        <f t="shared" si="6"/>
        <v>11573</v>
      </c>
      <c r="AS20" s="14">
        <f t="shared" si="6"/>
        <v>11573</v>
      </c>
      <c r="AT20" s="14">
        <f>INDEX(属性投放!$DG$6:$DG$85,(卡牌属性!AG20-2)*20+卡牌属性!AN20)</f>
        <v>5726</v>
      </c>
      <c r="AU20" s="14">
        <f t="shared" si="7"/>
        <v>5726</v>
      </c>
      <c r="AV20" s="14">
        <f t="shared" si="7"/>
        <v>5726</v>
      </c>
      <c r="AW20" s="14">
        <f t="shared" si="7"/>
        <v>5726</v>
      </c>
      <c r="AX20" s="14">
        <f t="shared" si="7"/>
        <v>5726</v>
      </c>
      <c r="AY20" s="14">
        <f>INDEX(属性投放!$DH$6:$DH$85,(卡牌属性!AG20-2)*20+卡牌属性!AN20)</f>
        <v>104818</v>
      </c>
      <c r="AZ20" s="14">
        <f t="shared" si="8"/>
        <v>104818</v>
      </c>
      <c r="BA20" s="14">
        <f t="shared" si="8"/>
        <v>104818</v>
      </c>
      <c r="BB20" s="14">
        <f t="shared" si="8"/>
        <v>104818</v>
      </c>
      <c r="BC20" s="14">
        <f t="shared" si="8"/>
        <v>104818</v>
      </c>
      <c r="BD20" s="14">
        <f>INDEX(属性投放!$DL$6:$DL$85,(卡牌属性!AG20-2)*20+卡牌属性!AN20)</f>
        <v>259</v>
      </c>
      <c r="BE20" s="14">
        <f t="shared" si="9"/>
        <v>259</v>
      </c>
      <c r="BF20" s="14">
        <f t="shared" si="9"/>
        <v>259</v>
      </c>
      <c r="BG20" s="14">
        <f t="shared" si="9"/>
        <v>259</v>
      </c>
      <c r="BH20" s="14">
        <f t="shared" si="9"/>
        <v>259</v>
      </c>
      <c r="BI20" s="14">
        <f>INDEX(属性投放!$DM$6:$DM$85,(卡牌属性!AG20-2)*20+卡牌属性!AN20)</f>
        <v>130</v>
      </c>
      <c r="BJ20" s="14">
        <f t="shared" si="10"/>
        <v>130</v>
      </c>
      <c r="BK20" s="14">
        <f t="shared" si="10"/>
        <v>130</v>
      </c>
      <c r="BL20" s="14">
        <f t="shared" si="10"/>
        <v>130</v>
      </c>
      <c r="BM20" s="14">
        <f t="shared" si="10"/>
        <v>130</v>
      </c>
      <c r="BN20" s="14">
        <f>INDEX(属性投放!$DN$6:$DN$85,(卡牌属性!AG20-2)*20+卡牌属性!AN20)</f>
        <v>2593</v>
      </c>
      <c r="BO20" s="14">
        <f t="shared" si="11"/>
        <v>2593</v>
      </c>
      <c r="BP20" s="14">
        <f t="shared" si="11"/>
        <v>2593</v>
      </c>
      <c r="BQ20" s="14">
        <f t="shared" si="11"/>
        <v>2593</v>
      </c>
      <c r="BR20" s="14">
        <f t="shared" si="11"/>
        <v>2593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32"/>
        <v>1102001</v>
      </c>
      <c r="CA20" s="14" t="str">
        <f t="shared" si="33"/>
        <v>关羽16突</v>
      </c>
      <c r="CB20" s="25" t="s">
        <v>142</v>
      </c>
      <c r="CC20" s="14">
        <v>2</v>
      </c>
      <c r="CD20" s="14">
        <f t="shared" si="14"/>
        <v>16</v>
      </c>
      <c r="CE20" s="14" t="s">
        <v>21</v>
      </c>
      <c r="CF20" s="14">
        <f>INDEX(属性投放!$AZ$6:$AZ$85,(BY20-2)*20+CD20)</f>
        <v>14704</v>
      </c>
      <c r="CG20" s="14" t="s">
        <v>22</v>
      </c>
      <c r="CH20" s="14">
        <f>INDEX(属性投放!$BA$6:$BA$85,(BY20-2)*20+CD20)</f>
        <v>7274</v>
      </c>
      <c r="CI20" s="14" t="s">
        <v>510</v>
      </c>
      <c r="CJ20" s="14">
        <f>INDEX(属性投放!$BB$6:$BB$85,(BY20-2)*20+CD20)</f>
        <v>130047</v>
      </c>
      <c r="CK20" s="14" t="s">
        <v>21</v>
      </c>
      <c r="CL20" s="14">
        <f>INDEX(属性投放!$BC$6:$BC$85,(BY20-2)*20+CD20)</f>
        <v>75</v>
      </c>
      <c r="CM20" s="14" t="s">
        <v>22</v>
      </c>
      <c r="CN20" s="14">
        <f>INDEX(属性投放!$BD$6:$BD$85,(BY20-2)*20+CD20)</f>
        <v>38</v>
      </c>
      <c r="CO20" s="14" t="s">
        <v>510</v>
      </c>
      <c r="CP20" s="14">
        <f>INDEX(属性投放!$BE$6:$BE$85,(BY20-2)*20+CD20)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INDEX($O$6:$O$50,CT20)&amp;"-"&amp;INDEX(属性投放!$AB$7:$AB$50,CZ20)&amp;"-魂火-"&amp;DB20</f>
        <v>关羽-叫唤+2-魂火-1</v>
      </c>
      <c r="CY20" s="25" t="s">
        <v>142</v>
      </c>
      <c r="CZ20" s="14">
        <f>INDEX(属性投放!$AM$7:$AM$58,CU20)</f>
        <v>9</v>
      </c>
      <c r="DA20" s="14" t="s">
        <v>537</v>
      </c>
      <c r="DB20" s="14">
        <f>INDEX(属性投放!$AN$7:$AN$58,CU20)</f>
        <v>1</v>
      </c>
      <c r="DC20" s="14">
        <f t="shared" si="16"/>
        <v>16</v>
      </c>
      <c r="DD20" s="14">
        <f>INDEX(属性投放!$AO$7:$AO$58,DC20)</f>
        <v>58</v>
      </c>
      <c r="DE20" s="14" t="s">
        <v>538</v>
      </c>
      <c r="DF20" s="14">
        <f>INDEX(属性投放!$BK$6:$BK$85,(CV20-2)*20+CZ20)</f>
        <v>138</v>
      </c>
      <c r="DG20" s="14">
        <f>SUMIFS(DF$5:DF20,$CT$5:$CT20,"="&amp;$CT20)</f>
        <v>1193</v>
      </c>
      <c r="DH20" s="14" t="s">
        <v>539</v>
      </c>
      <c r="DI20" s="14">
        <f>INDEX(属性投放!$BL$6:$BL$85,(CV20-2)*20+CZ20)</f>
        <v>69</v>
      </c>
      <c r="DJ20" s="14">
        <f>SUMIFS(DI$5:DI20,$CT$5:$CT20,"="&amp;$CT20)</f>
        <v>599</v>
      </c>
      <c r="DK20" s="14" t="s">
        <v>540</v>
      </c>
      <c r="DL20" s="14">
        <f>INDEX(属性投放!$BM$6:$BM$85,(CV20-2)*20+CZ20)</f>
        <v>1104</v>
      </c>
      <c r="DM20" s="14">
        <f>SUMIFS(DL$5:DL20,$CT$5:$CT20,"="&amp;$CT20)</f>
        <v>8724</v>
      </c>
      <c r="DR20" s="14">
        <f t="shared" si="17"/>
        <v>1102001</v>
      </c>
      <c r="DS20" s="14" t="str">
        <f t="shared" si="18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19"/>
        <v>5</v>
      </c>
      <c r="DX20" s="14">
        <f t="shared" si="20"/>
        <v>16</v>
      </c>
      <c r="DY20" s="14">
        <f t="shared" si="21"/>
        <v>76</v>
      </c>
      <c r="DZ20" s="14">
        <f>INDEX(属性投放!$AX$6:$AX$85,(卡牌属性!DW20-2)*20+卡牌属性!DX20)</f>
        <v>7</v>
      </c>
      <c r="EA20" s="14">
        <f>INDEX(属性投放!BQ$6:BQ$85,卡牌属性!$DY20)</f>
        <v>870</v>
      </c>
      <c r="EB20" s="14">
        <f>INDEX(属性投放!BR$6:BR$85,卡牌属性!$DY20)</f>
        <v>435</v>
      </c>
      <c r="EC20" s="14">
        <f>INDEX(属性投放!BS$6:BS$85,卡牌属性!$DY20)</f>
        <v>8700</v>
      </c>
      <c r="ED20" s="14">
        <f t="shared" si="41"/>
        <v>7865</v>
      </c>
      <c r="EE20" s="14">
        <f t="shared" si="42"/>
        <v>9120</v>
      </c>
      <c r="EF20" s="14">
        <f t="shared" si="43"/>
        <v>10815</v>
      </c>
      <c r="EG20" s="14">
        <f t="shared" si="44"/>
        <v>10815</v>
      </c>
      <c r="EH20" s="14">
        <f t="shared" si="45"/>
        <v>13505</v>
      </c>
      <c r="EI20" s="14">
        <f t="shared" si="46"/>
        <v>3474</v>
      </c>
      <c r="EJ20" s="14">
        <f t="shared" si="47"/>
        <v>3698</v>
      </c>
      <c r="EK20" s="14">
        <f t="shared" si="48"/>
        <v>3698</v>
      </c>
      <c r="EL20" s="14">
        <f t="shared" si="49"/>
        <v>3899</v>
      </c>
      <c r="EM20" s="14">
        <f t="shared" si="50"/>
        <v>4560</v>
      </c>
      <c r="EN20" s="14">
        <f t="shared" si="51"/>
        <v>60403</v>
      </c>
      <c r="EO20" s="14">
        <f t="shared" si="52"/>
        <v>63747</v>
      </c>
      <c r="EP20" s="14">
        <f t="shared" si="53"/>
        <v>63747</v>
      </c>
      <c r="EQ20" s="14">
        <f t="shared" si="54"/>
        <v>67245</v>
      </c>
      <c r="ER20" s="14">
        <f t="shared" si="55"/>
        <v>78205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INDEX(属性投放!$BQ$6:$BQ$85,(卡牌属性!$DW20-2)*20+卡牌属性!$DX20)</f>
        <v>870</v>
      </c>
      <c r="FI20" s="14">
        <f>INDEX(属性投放!$BQ$6:$BQ$85,(卡牌属性!$DW20-2)*20+卡牌属性!$DX20)</f>
        <v>870</v>
      </c>
      <c r="FJ20" s="14">
        <f>INDEX(属性投放!$BQ$6:$BQ$85,(卡牌属性!$DW20-2)*20+卡牌属性!$DX20)</f>
        <v>870</v>
      </c>
      <c r="FK20" s="14">
        <f>INDEX(属性投放!$BQ$6:$BQ$85,(卡牌属性!$DW20-2)*20+卡牌属性!$DX20)</f>
        <v>870</v>
      </c>
      <c r="FL20" s="14">
        <f>INDEX(属性投放!$BQ$6:$BQ$85,(卡牌属性!$DW20-2)*20+卡牌属性!$DX20)</f>
        <v>870</v>
      </c>
      <c r="FM20" s="14">
        <f>INDEX(属性投放!$BR$6:$BR$85,(卡牌属性!$DW20-2)*20+卡牌属性!$DX20)</f>
        <v>435</v>
      </c>
      <c r="FN20" s="14">
        <f>INDEX(属性投放!$BR$6:$BR$85,(卡牌属性!$DW20-2)*20+卡牌属性!$DX20)</f>
        <v>435</v>
      </c>
      <c r="FO20" s="14">
        <f>INDEX(属性投放!$BR$6:$BR$85,(卡牌属性!$DW20-2)*20+卡牌属性!$DX20)</f>
        <v>435</v>
      </c>
      <c r="FP20" s="14">
        <f>INDEX(属性投放!$BR$6:$BR$85,(卡牌属性!$DW20-2)*20+卡牌属性!$DX20)</f>
        <v>435</v>
      </c>
      <c r="FQ20" s="14">
        <f>INDEX(属性投放!$BR$6:$BR$85,(卡牌属性!$DW20-2)*20+卡牌属性!$DX20)</f>
        <v>435</v>
      </c>
      <c r="FR20" s="14">
        <f>INDEX(属性投放!$BS$6:$BS$85,(卡牌属性!$DW20-2)*20+卡牌属性!$DX20)</f>
        <v>8700</v>
      </c>
      <c r="FS20" s="14">
        <f>INDEX(属性投放!$BS$6:$BS$85,(卡牌属性!$DW20-2)*20+卡牌属性!$DX20)</f>
        <v>8700</v>
      </c>
      <c r="FT20" s="14">
        <f>INDEX(属性投放!$BS$6:$BS$85,(卡牌属性!$DW20-2)*20+卡牌属性!$DX20)</f>
        <v>8700</v>
      </c>
      <c r="FU20" s="14">
        <f>INDEX(属性投放!$BS$6:$BS$85,(卡牌属性!$DW20-2)*20+卡牌属性!$DX20)</f>
        <v>8700</v>
      </c>
      <c r="FV20" s="14">
        <f>INDEX(属性投放!$BS$6:$BS$85,(卡牌属性!$DW20-2)*20+卡牌属性!$DX20)</f>
        <v>8700</v>
      </c>
      <c r="FZ20" s="13">
        <v>16</v>
      </c>
      <c r="GA20" s="13">
        <f t="shared" si="22"/>
        <v>4</v>
      </c>
      <c r="GB20" s="14">
        <f t="shared" si="56"/>
        <v>1102004</v>
      </c>
      <c r="GC20" s="14" t="s">
        <v>1187</v>
      </c>
      <c r="GD20" s="14">
        <f t="shared" si="23"/>
        <v>1</v>
      </c>
      <c r="GE20" s="14" t="str">
        <f t="shared" si="24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5"/>
        <v>4</v>
      </c>
      <c r="GP20" s="14">
        <f t="shared" si="57"/>
        <v>1101004</v>
      </c>
      <c r="GQ20" s="14" t="s">
        <v>1187</v>
      </c>
      <c r="GR20" s="14">
        <f t="shared" si="26"/>
        <v>1</v>
      </c>
      <c r="GS20" s="14" t="str">
        <f t="shared" si="27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MATCH(HC20,属性投放!$AO$6:$AO$58,1)-1</f>
        <v>3</v>
      </c>
      <c r="HF20" s="13">
        <f>MATCH(HC20-1,属性投放!$AE$6:$AE$26,1)</f>
        <v>3</v>
      </c>
      <c r="HG20" s="13" t="str">
        <f>INDEX(属性投放!$AB$7:$AB$26,卡牌属性!HF20)</f>
        <v>黑绳+1</v>
      </c>
      <c r="HH20" s="14">
        <f t="shared" si="58"/>
        <v>473</v>
      </c>
      <c r="HI20" s="14">
        <f t="shared" si="59"/>
        <v>158</v>
      </c>
      <c r="HJ20" s="14">
        <f t="shared" si="60"/>
        <v>2060</v>
      </c>
      <c r="HK20" s="14">
        <f t="shared" si="61"/>
        <v>15</v>
      </c>
      <c r="HL20" s="14">
        <f t="shared" si="62"/>
        <v>6</v>
      </c>
      <c r="HM20" s="14">
        <f t="shared" si="63"/>
        <v>72</v>
      </c>
      <c r="HN20" s="14">
        <f>HH20+HK20*($HC20-INDEX(属性投放!$AE$6:$AE$26,卡牌属性!$HF20))</f>
        <v>488</v>
      </c>
      <c r="HO20" s="14">
        <f>HI20+HL20*($HC20-INDEX(属性投放!$AE$6:$AE$26,卡牌属性!$HF20))</f>
        <v>164</v>
      </c>
      <c r="HP20" s="14">
        <f>HJ20+HM20*($HC20-INDEX(属性投放!$AE$6:$AE$26,卡牌属性!$HF20))</f>
        <v>2132</v>
      </c>
      <c r="HQ20" s="14">
        <f t="shared" si="64"/>
        <v>85</v>
      </c>
      <c r="HR20" s="14">
        <f t="shared" si="65"/>
        <v>43</v>
      </c>
      <c r="HS20" s="14">
        <f t="shared" si="66"/>
        <v>510</v>
      </c>
      <c r="HT20" s="14">
        <f>IF(COUNTIF(属性投放!$AO$7:$AO$58,"="&amp;卡牌属性!HC20)&gt;0,卡牌属性!HE20,0)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IF(COUNTIF(属性投放!$AE$6:$AE$26,"="&amp;卡牌属性!HC20)&gt;0,卡牌属性!HF20,0)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15</v>
      </c>
      <c r="IC20" s="14">
        <f t="shared" si="74"/>
        <v>6</v>
      </c>
      <c r="ID20" s="14">
        <f t="shared" si="75"/>
        <v>72</v>
      </c>
      <c r="IE20" s="14">
        <f t="shared" si="76"/>
        <v>573</v>
      </c>
      <c r="IF20" s="14">
        <f t="shared" si="77"/>
        <v>207</v>
      </c>
      <c r="IG20" s="14">
        <f t="shared" si="78"/>
        <v>2642</v>
      </c>
      <c r="IH20" s="14">
        <f t="shared" si="79"/>
        <v>342</v>
      </c>
      <c r="II20" s="14">
        <f t="shared" si="80"/>
        <v>0</v>
      </c>
      <c r="IJ20" s="14">
        <f t="shared" si="81"/>
        <v>0</v>
      </c>
      <c r="IK20" s="14">
        <f t="shared" si="82"/>
        <v>12512</v>
      </c>
      <c r="IL20" s="17">
        <f t="shared" si="83"/>
        <v>2.7333759590792837E-2</v>
      </c>
      <c r="IM20" s="17">
        <f t="shared" si="84"/>
        <v>0</v>
      </c>
      <c r="IN20" s="17">
        <f t="shared" si="85"/>
        <v>0</v>
      </c>
      <c r="IO20" s="23">
        <f>SUM(IH$5:IH20)</f>
        <v>5162</v>
      </c>
      <c r="IP20" s="14">
        <f>SUM(II$5:II20)</f>
        <v>2220</v>
      </c>
      <c r="IQ20" s="14">
        <f>SUM(IJ$5:IJ20)</f>
        <v>920</v>
      </c>
      <c r="IR20" s="17">
        <f t="shared" si="86"/>
        <v>0.41256393861892582</v>
      </c>
      <c r="IS20" s="17">
        <f t="shared" si="87"/>
        <v>0.17742966751918157</v>
      </c>
      <c r="IT20" s="17">
        <f t="shared" si="88"/>
        <v>7.3529411764705885E-2</v>
      </c>
      <c r="IW20" s="13">
        <v>16</v>
      </c>
      <c r="IX20" s="14">
        <f>MATCH(IW20-1,属性投放!$T$6:$T$66,1)</f>
        <v>1</v>
      </c>
      <c r="IY20" s="14">
        <f>MATCH(IW20-1,属性投放!$AD$7:$AD$26,1)</f>
        <v>2</v>
      </c>
      <c r="IZ20" s="14" t="str">
        <f>INDEX(属性投放!$AB$7:$AB$26,IY20)</f>
        <v>黑绳</v>
      </c>
      <c r="JA20" s="14">
        <f t="shared" si="89"/>
        <v>160</v>
      </c>
      <c r="JB20" s="14">
        <f t="shared" si="90"/>
        <v>30</v>
      </c>
      <c r="JC20" s="14">
        <f t="shared" si="91"/>
        <v>610</v>
      </c>
      <c r="JD20" s="14">
        <f t="shared" si="92"/>
        <v>12</v>
      </c>
      <c r="JE20" s="14">
        <f t="shared" si="93"/>
        <v>6</v>
      </c>
      <c r="JF20" s="14">
        <f t="shared" si="94"/>
        <v>70</v>
      </c>
      <c r="JG20" s="14">
        <f>INDEX(属性投放!$DC$6:$DC$85,卡牌属性!IY20)</f>
        <v>10</v>
      </c>
      <c r="JH20" s="14">
        <f t="shared" si="95"/>
        <v>232</v>
      </c>
      <c r="JI20" s="14">
        <f t="shared" si="96"/>
        <v>66</v>
      </c>
      <c r="JJ20" s="14">
        <f t="shared" si="97"/>
        <v>1030</v>
      </c>
      <c r="JK20" s="14">
        <f t="shared" si="98"/>
        <v>2850</v>
      </c>
    </row>
    <row r="21" spans="1:271" ht="16.5" x14ac:dyDescent="0.2">
      <c r="A21" s="13">
        <v>1101041</v>
      </c>
      <c r="B21" s="13" t="s">
        <v>237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550</v>
      </c>
      <c r="H21" s="13" t="s">
        <v>552</v>
      </c>
      <c r="I21" s="13" t="s">
        <v>552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558</v>
      </c>
      <c r="W21" s="13" t="s">
        <v>560</v>
      </c>
      <c r="X21" s="13" t="s">
        <v>562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1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142</v>
      </c>
      <c r="AM21" s="14">
        <v>1</v>
      </c>
      <c r="AN21" s="14">
        <f t="shared" si="5"/>
        <v>17</v>
      </c>
      <c r="AO21" s="14">
        <f>INDEX(属性投放!$DF$6:$DF$85,(卡牌属性!AG21-2)*20+卡牌属性!AN21)</f>
        <v>12499</v>
      </c>
      <c r="AP21" s="14">
        <f t="shared" si="6"/>
        <v>12499</v>
      </c>
      <c r="AQ21" s="14">
        <f t="shared" si="6"/>
        <v>12499</v>
      </c>
      <c r="AR21" s="14">
        <f t="shared" si="6"/>
        <v>12499</v>
      </c>
      <c r="AS21" s="14">
        <f t="shared" si="6"/>
        <v>12499</v>
      </c>
      <c r="AT21" s="14">
        <f>INDEX(属性投放!$DG$6:$DG$85,(卡牌属性!AG21-2)*20+卡牌属性!AN21)</f>
        <v>6189</v>
      </c>
      <c r="AU21" s="14">
        <f t="shared" si="7"/>
        <v>6189</v>
      </c>
      <c r="AV21" s="14">
        <f t="shared" si="7"/>
        <v>6189</v>
      </c>
      <c r="AW21" s="14">
        <f t="shared" si="7"/>
        <v>6189</v>
      </c>
      <c r="AX21" s="14">
        <f t="shared" si="7"/>
        <v>6189</v>
      </c>
      <c r="AY21" s="14">
        <f>INDEX(属性投放!$DH$6:$DH$85,(卡牌属性!AG21-2)*20+卡牌属性!AN21)</f>
        <v>114078</v>
      </c>
      <c r="AZ21" s="14">
        <f t="shared" si="8"/>
        <v>114078</v>
      </c>
      <c r="BA21" s="14">
        <f t="shared" si="8"/>
        <v>114078</v>
      </c>
      <c r="BB21" s="14">
        <f t="shared" si="8"/>
        <v>114078</v>
      </c>
      <c r="BC21" s="14">
        <f t="shared" si="8"/>
        <v>114078</v>
      </c>
      <c r="BD21" s="14">
        <f>INDEX(属性投放!$DL$6:$DL$85,(卡牌属性!AG21-2)*20+卡牌属性!AN21)</f>
        <v>259</v>
      </c>
      <c r="BE21" s="14">
        <f t="shared" si="9"/>
        <v>259</v>
      </c>
      <c r="BF21" s="14">
        <f t="shared" si="9"/>
        <v>259</v>
      </c>
      <c r="BG21" s="14">
        <f t="shared" si="9"/>
        <v>259</v>
      </c>
      <c r="BH21" s="14">
        <f t="shared" si="9"/>
        <v>259</v>
      </c>
      <c r="BI21" s="14">
        <f>INDEX(属性投放!$DM$6:$DM$85,(卡牌属性!AG21-2)*20+卡牌属性!AN21)</f>
        <v>130</v>
      </c>
      <c r="BJ21" s="14">
        <f t="shared" si="10"/>
        <v>130</v>
      </c>
      <c r="BK21" s="14">
        <f t="shared" si="10"/>
        <v>130</v>
      </c>
      <c r="BL21" s="14">
        <f t="shared" si="10"/>
        <v>130</v>
      </c>
      <c r="BM21" s="14">
        <f t="shared" si="10"/>
        <v>130</v>
      </c>
      <c r="BN21" s="14">
        <f>INDEX(属性投放!$DN$6:$DN$85,(卡牌属性!AG21-2)*20+卡牌属性!AN21)</f>
        <v>2593</v>
      </c>
      <c r="BO21" s="14">
        <f t="shared" si="11"/>
        <v>2593</v>
      </c>
      <c r="BP21" s="14">
        <f t="shared" si="11"/>
        <v>2593</v>
      </c>
      <c r="BQ21" s="14">
        <f t="shared" si="11"/>
        <v>2593</v>
      </c>
      <c r="BR21" s="14">
        <f t="shared" si="11"/>
        <v>2593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32"/>
        <v>1102001</v>
      </c>
      <c r="CA21" s="14" t="str">
        <f t="shared" si="33"/>
        <v>关羽17突</v>
      </c>
      <c r="CB21" s="25" t="s">
        <v>142</v>
      </c>
      <c r="CC21" s="14">
        <v>2</v>
      </c>
      <c r="CD21" s="14">
        <f t="shared" si="14"/>
        <v>17</v>
      </c>
      <c r="CE21" s="14" t="s">
        <v>21</v>
      </c>
      <c r="CF21" s="14">
        <f>INDEX(属性投放!$AZ$6:$AZ$85,(BY21-2)*20+CD21)</f>
        <v>17839</v>
      </c>
      <c r="CG21" s="14" t="s">
        <v>22</v>
      </c>
      <c r="CH21" s="14">
        <f>INDEX(属性投放!$BA$6:$BA$85,(BY21-2)*20+CD21)</f>
        <v>8845</v>
      </c>
      <c r="CI21" s="14" t="s">
        <v>510</v>
      </c>
      <c r="CJ21" s="14">
        <f>INDEX(属性投放!$BB$6:$BB$85,(BY21-2)*20+CD21)</f>
        <v>161397</v>
      </c>
      <c r="CK21" s="14" t="s">
        <v>21</v>
      </c>
      <c r="CL21" s="14">
        <f>INDEX(属性投放!$BC$6:$BC$85,(BY21-2)*20+CD21)</f>
        <v>75</v>
      </c>
      <c r="CM21" s="14" t="s">
        <v>22</v>
      </c>
      <c r="CN21" s="14">
        <f>INDEX(属性投放!$BD$6:$BD$85,(BY21-2)*20+CD21)</f>
        <v>38</v>
      </c>
      <c r="CO21" s="14" t="s">
        <v>510</v>
      </c>
      <c r="CP21" s="14">
        <f>INDEX(属性投放!$BE$6:$BE$85,(BY21-2)*20+CD21)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INDEX($O$6:$O$50,CT21)&amp;"-"&amp;INDEX(属性投放!$AB$7:$AB$50,CZ21)&amp;"-魂火-"&amp;DB21</f>
        <v>关羽-叫唤+2-魂火-2</v>
      </c>
      <c r="CY21" s="25" t="s">
        <v>142</v>
      </c>
      <c r="CZ21" s="14">
        <f>INDEX(属性投放!$AM$7:$AM$58,CU21)</f>
        <v>9</v>
      </c>
      <c r="DA21" s="14" t="s">
        <v>537</v>
      </c>
      <c r="DB21" s="14">
        <f>INDEX(属性投放!$AN$7:$AN$58,CU21)</f>
        <v>2</v>
      </c>
      <c r="DC21" s="14">
        <f t="shared" si="16"/>
        <v>17</v>
      </c>
      <c r="DD21" s="14">
        <f>INDEX(属性投放!$AO$7:$AO$58,DC21)</f>
        <v>60</v>
      </c>
      <c r="DE21" s="14" t="s">
        <v>538</v>
      </c>
      <c r="DF21" s="14">
        <f>INDEX(属性投放!$BK$6:$BK$85,(CV21-2)*20+CZ21)</f>
        <v>138</v>
      </c>
      <c r="DG21" s="14">
        <f>SUMIFS(DF$5:DF21,$CT$5:$CT21,"="&amp;$CT21)</f>
        <v>1331</v>
      </c>
      <c r="DH21" s="14" t="s">
        <v>539</v>
      </c>
      <c r="DI21" s="14">
        <f>INDEX(属性投放!$BL$6:$BL$85,(CV21-2)*20+CZ21)</f>
        <v>69</v>
      </c>
      <c r="DJ21" s="14">
        <f>SUMIFS(DI$5:DI21,$CT$5:$CT21,"="&amp;$CT21)</f>
        <v>668</v>
      </c>
      <c r="DK21" s="14" t="s">
        <v>540</v>
      </c>
      <c r="DL21" s="14">
        <f>INDEX(属性投放!$BM$6:$BM$85,(CV21-2)*20+CZ21)</f>
        <v>1104</v>
      </c>
      <c r="DM21" s="14">
        <f>SUMIFS(DL$5:DL21,$CT$5:$CT21,"="&amp;$CT21)</f>
        <v>9828</v>
      </c>
      <c r="DR21" s="14">
        <f t="shared" si="17"/>
        <v>1102001</v>
      </c>
      <c r="DS21" s="14" t="str">
        <f t="shared" si="18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19"/>
        <v>5</v>
      </c>
      <c r="DX21" s="14">
        <f t="shared" si="20"/>
        <v>17</v>
      </c>
      <c r="DY21" s="14">
        <f t="shared" si="21"/>
        <v>77</v>
      </c>
      <c r="DZ21" s="14">
        <f>INDEX(属性投放!$AX$6:$AX$85,(卡牌属性!DW21-2)*20+卡牌属性!DX21)</f>
        <v>8</v>
      </c>
      <c r="EA21" s="14">
        <f>INDEX(属性投放!BQ$6:BQ$85,卡牌属性!$DY21)</f>
        <v>950</v>
      </c>
      <c r="EB21" s="14">
        <f>INDEX(属性投放!BR$6:BR$85,卡牌属性!$DY21)</f>
        <v>475</v>
      </c>
      <c r="EC21" s="14">
        <f>INDEX(属性投放!BS$6:BS$85,卡牌属性!$DY21)</f>
        <v>9500</v>
      </c>
      <c r="ED21" s="14">
        <f t="shared" si="41"/>
        <v>9260</v>
      </c>
      <c r="EE21" s="14">
        <f t="shared" si="42"/>
        <v>10690</v>
      </c>
      <c r="EF21" s="14">
        <f t="shared" si="43"/>
        <v>12735</v>
      </c>
      <c r="EG21" s="14">
        <f t="shared" si="44"/>
        <v>12735</v>
      </c>
      <c r="EH21" s="14">
        <f t="shared" si="45"/>
        <v>15775</v>
      </c>
      <c r="EI21" s="14">
        <f t="shared" si="46"/>
        <v>4084</v>
      </c>
      <c r="EJ21" s="14">
        <f t="shared" si="47"/>
        <v>4343</v>
      </c>
      <c r="EK21" s="14">
        <f t="shared" si="48"/>
        <v>4343</v>
      </c>
      <c r="EL21" s="14">
        <f t="shared" si="49"/>
        <v>4600</v>
      </c>
      <c r="EM21" s="14">
        <f t="shared" si="50"/>
        <v>5345</v>
      </c>
      <c r="EN21" s="14">
        <f t="shared" si="51"/>
        <v>72603</v>
      </c>
      <c r="EO21" s="14">
        <f t="shared" si="52"/>
        <v>76647</v>
      </c>
      <c r="EP21" s="14">
        <f t="shared" si="53"/>
        <v>76647</v>
      </c>
      <c r="EQ21" s="14">
        <f t="shared" si="54"/>
        <v>81195</v>
      </c>
      <c r="ER21" s="14">
        <f t="shared" si="55"/>
        <v>93905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INDEX(属性投放!$BQ$6:$BQ$85,(卡牌属性!$DW21-2)*20+卡牌属性!$DX21)</f>
        <v>950</v>
      </c>
      <c r="FI21" s="14">
        <f>INDEX(属性投放!$BQ$6:$BQ$85,(卡牌属性!$DW21-2)*20+卡牌属性!$DX21)</f>
        <v>950</v>
      </c>
      <c r="FJ21" s="14">
        <f>INDEX(属性投放!$BQ$6:$BQ$85,(卡牌属性!$DW21-2)*20+卡牌属性!$DX21)</f>
        <v>950</v>
      </c>
      <c r="FK21" s="14">
        <f>INDEX(属性投放!$BQ$6:$BQ$85,(卡牌属性!$DW21-2)*20+卡牌属性!$DX21)</f>
        <v>950</v>
      </c>
      <c r="FL21" s="14">
        <f>INDEX(属性投放!$BQ$6:$BQ$85,(卡牌属性!$DW21-2)*20+卡牌属性!$DX21)</f>
        <v>950</v>
      </c>
      <c r="FM21" s="14">
        <f>INDEX(属性投放!$BR$6:$BR$85,(卡牌属性!$DW21-2)*20+卡牌属性!$DX21)</f>
        <v>475</v>
      </c>
      <c r="FN21" s="14">
        <f>INDEX(属性投放!$BR$6:$BR$85,(卡牌属性!$DW21-2)*20+卡牌属性!$DX21)</f>
        <v>475</v>
      </c>
      <c r="FO21" s="14">
        <f>INDEX(属性投放!$BR$6:$BR$85,(卡牌属性!$DW21-2)*20+卡牌属性!$DX21)</f>
        <v>475</v>
      </c>
      <c r="FP21" s="14">
        <f>INDEX(属性投放!$BR$6:$BR$85,(卡牌属性!$DW21-2)*20+卡牌属性!$DX21)</f>
        <v>475</v>
      </c>
      <c r="FQ21" s="14">
        <f>INDEX(属性投放!$BR$6:$BR$85,(卡牌属性!$DW21-2)*20+卡牌属性!$DX21)</f>
        <v>475</v>
      </c>
      <c r="FR21" s="14">
        <f>INDEX(属性投放!$BS$6:$BS$85,(卡牌属性!$DW21-2)*20+卡牌属性!$DX21)</f>
        <v>9500</v>
      </c>
      <c r="FS21" s="14">
        <f>INDEX(属性投放!$BS$6:$BS$85,(卡牌属性!$DW21-2)*20+卡牌属性!$DX21)</f>
        <v>9500</v>
      </c>
      <c r="FT21" s="14">
        <f>INDEX(属性投放!$BS$6:$BS$85,(卡牌属性!$DW21-2)*20+卡牌属性!$DX21)</f>
        <v>9500</v>
      </c>
      <c r="FU21" s="14">
        <f>INDEX(属性投放!$BS$6:$BS$85,(卡牌属性!$DW21-2)*20+卡牌属性!$DX21)</f>
        <v>9500</v>
      </c>
      <c r="FV21" s="14">
        <f>INDEX(属性投放!$BS$6:$BS$85,(卡牌属性!$DW21-2)*20+卡牌属性!$DX21)</f>
        <v>9500</v>
      </c>
      <c r="FZ21" s="13">
        <v>17</v>
      </c>
      <c r="GA21" s="13">
        <f t="shared" si="22"/>
        <v>4</v>
      </c>
      <c r="GB21" s="14">
        <f t="shared" si="56"/>
        <v>1102004</v>
      </c>
      <c r="GC21" s="14" t="s">
        <v>1187</v>
      </c>
      <c r="GD21" s="14">
        <f t="shared" si="23"/>
        <v>2</v>
      </c>
      <c r="GE21" s="14" t="str">
        <f t="shared" si="24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5"/>
        <v>4</v>
      </c>
      <c r="GP21" s="14">
        <f t="shared" si="57"/>
        <v>1101004</v>
      </c>
      <c r="GQ21" s="14" t="s">
        <v>1187</v>
      </c>
      <c r="GR21" s="14">
        <f t="shared" si="26"/>
        <v>2</v>
      </c>
      <c r="GS21" s="14" t="str">
        <f t="shared" si="27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MATCH(HC21,属性投放!$AO$6:$AO$58,1)-1</f>
        <v>3</v>
      </c>
      <c r="HF21" s="13">
        <f>MATCH(HC21-1,属性投放!$AE$6:$AE$26,1)</f>
        <v>3</v>
      </c>
      <c r="HG21" s="13" t="str">
        <f>INDEX(属性投放!$AB$7:$AB$26,卡牌属性!HF21)</f>
        <v>黑绳+1</v>
      </c>
      <c r="HH21" s="14">
        <f t="shared" si="58"/>
        <v>473</v>
      </c>
      <c r="HI21" s="14">
        <f t="shared" si="59"/>
        <v>158</v>
      </c>
      <c r="HJ21" s="14">
        <f t="shared" si="60"/>
        <v>2060</v>
      </c>
      <c r="HK21" s="14">
        <f t="shared" si="61"/>
        <v>15</v>
      </c>
      <c r="HL21" s="14">
        <f t="shared" si="62"/>
        <v>6</v>
      </c>
      <c r="HM21" s="14">
        <f t="shared" si="63"/>
        <v>72</v>
      </c>
      <c r="HN21" s="14">
        <f>HH21+HK21*($HC21-INDEX(属性投放!$AE$6:$AE$26,卡牌属性!$HF21))</f>
        <v>503</v>
      </c>
      <c r="HO21" s="14">
        <f>HI21+HL21*($HC21-INDEX(属性投放!$AE$6:$AE$26,卡牌属性!$HF21))</f>
        <v>170</v>
      </c>
      <c r="HP21" s="14">
        <f>HJ21+HM21*($HC21-INDEX(属性投放!$AE$6:$AE$26,卡牌属性!$HF21))</f>
        <v>2204</v>
      </c>
      <c r="HQ21" s="14">
        <f t="shared" si="64"/>
        <v>85</v>
      </c>
      <c r="HR21" s="14">
        <f t="shared" si="65"/>
        <v>43</v>
      </c>
      <c r="HS21" s="14">
        <f t="shared" si="66"/>
        <v>510</v>
      </c>
      <c r="HT21" s="14">
        <f>IF(COUNTIF(属性投放!$AO$7:$AO$58,"="&amp;卡牌属性!HC21)&gt;0,卡牌属性!HE21,0)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IF(COUNTIF(属性投放!$AE$6:$AE$26,"="&amp;卡牌属性!HC21)&gt;0,卡牌属性!HF21,0)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15</v>
      </c>
      <c r="IC21" s="14">
        <f t="shared" si="74"/>
        <v>6</v>
      </c>
      <c r="ID21" s="14">
        <f t="shared" si="75"/>
        <v>72</v>
      </c>
      <c r="IE21" s="14">
        <f t="shared" si="76"/>
        <v>588</v>
      </c>
      <c r="IF21" s="14">
        <f t="shared" si="77"/>
        <v>213</v>
      </c>
      <c r="IG21" s="14">
        <f t="shared" si="78"/>
        <v>2714</v>
      </c>
      <c r="IH21" s="14">
        <f t="shared" si="79"/>
        <v>342</v>
      </c>
      <c r="II21" s="14">
        <f t="shared" si="80"/>
        <v>0</v>
      </c>
      <c r="IJ21" s="14">
        <f t="shared" si="81"/>
        <v>0</v>
      </c>
      <c r="IK21" s="14">
        <f t="shared" si="82"/>
        <v>12854</v>
      </c>
      <c r="IL21" s="17">
        <f t="shared" si="83"/>
        <v>2.6606503812042943E-2</v>
      </c>
      <c r="IM21" s="17">
        <f t="shared" si="84"/>
        <v>0</v>
      </c>
      <c r="IN21" s="17">
        <f t="shared" si="85"/>
        <v>0</v>
      </c>
      <c r="IO21" s="23">
        <f>SUM(IH$5:IH21)</f>
        <v>5504</v>
      </c>
      <c r="IP21" s="14">
        <f>SUM(II$5:II21)</f>
        <v>2220</v>
      </c>
      <c r="IQ21" s="14">
        <f>SUM(IJ$5:IJ21)</f>
        <v>920</v>
      </c>
      <c r="IR21" s="17">
        <f t="shared" si="86"/>
        <v>0.42819355842539286</v>
      </c>
      <c r="IS21" s="17">
        <f t="shared" si="87"/>
        <v>0.17270888439396298</v>
      </c>
      <c r="IT21" s="17">
        <f t="shared" si="88"/>
        <v>7.1573051190290962E-2</v>
      </c>
      <c r="IW21" s="13">
        <v>17</v>
      </c>
      <c r="IX21" s="14">
        <f>MATCH(IW21-1,属性投放!$T$6:$T$66,1)</f>
        <v>1</v>
      </c>
      <c r="IY21" s="14">
        <f>MATCH(IW21-1,属性投放!$AD$7:$AD$26,1)</f>
        <v>2</v>
      </c>
      <c r="IZ21" s="14" t="str">
        <f>INDEX(属性投放!$AB$7:$AB$26,IY21)</f>
        <v>黑绳</v>
      </c>
      <c r="JA21" s="14">
        <f t="shared" si="89"/>
        <v>160</v>
      </c>
      <c r="JB21" s="14">
        <f t="shared" si="90"/>
        <v>30</v>
      </c>
      <c r="JC21" s="14">
        <f t="shared" si="91"/>
        <v>610</v>
      </c>
      <c r="JD21" s="14">
        <f t="shared" si="92"/>
        <v>12</v>
      </c>
      <c r="JE21" s="14">
        <f t="shared" si="93"/>
        <v>6</v>
      </c>
      <c r="JF21" s="14">
        <f t="shared" si="94"/>
        <v>70</v>
      </c>
      <c r="JG21" s="14">
        <f>INDEX(属性投放!$DC$6:$DC$85,卡牌属性!IY21)</f>
        <v>10</v>
      </c>
      <c r="JH21" s="14">
        <f t="shared" si="95"/>
        <v>244</v>
      </c>
      <c r="JI21" s="14">
        <f t="shared" si="96"/>
        <v>72</v>
      </c>
      <c r="JJ21" s="14">
        <f t="shared" si="97"/>
        <v>1100</v>
      </c>
      <c r="JK21" s="14">
        <f t="shared" si="98"/>
        <v>3040</v>
      </c>
    </row>
    <row r="22" spans="1:271" ht="16.5" x14ac:dyDescent="0.2">
      <c r="A22" s="13">
        <v>1101016</v>
      </c>
      <c r="B22" s="13" t="s">
        <v>1005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562</v>
      </c>
      <c r="H22" s="13" t="s">
        <v>558</v>
      </c>
      <c r="I22" s="13" t="s">
        <v>558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558</v>
      </c>
      <c r="W22" s="13" t="s">
        <v>558</v>
      </c>
      <c r="X22" s="13" t="s">
        <v>554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1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142</v>
      </c>
      <c r="AM22" s="14">
        <v>1</v>
      </c>
      <c r="AN22" s="14">
        <f t="shared" si="5"/>
        <v>18</v>
      </c>
      <c r="AO22" s="14">
        <f>INDEX(属性投放!$DF$6:$DF$85,(卡牌属性!AG22-2)*20+卡牌属性!AN22)</f>
        <v>13425</v>
      </c>
      <c r="AP22" s="14">
        <f t="shared" si="6"/>
        <v>13425</v>
      </c>
      <c r="AQ22" s="14">
        <f t="shared" si="6"/>
        <v>13425</v>
      </c>
      <c r="AR22" s="14">
        <f t="shared" si="6"/>
        <v>13425</v>
      </c>
      <c r="AS22" s="14">
        <f t="shared" si="6"/>
        <v>13425</v>
      </c>
      <c r="AT22" s="14">
        <f>INDEX(属性投放!$DG$6:$DG$85,(卡牌属性!AG22-2)*20+卡牌属性!AN22)</f>
        <v>6652</v>
      </c>
      <c r="AU22" s="14">
        <f t="shared" si="7"/>
        <v>6652</v>
      </c>
      <c r="AV22" s="14">
        <f t="shared" si="7"/>
        <v>6652</v>
      </c>
      <c r="AW22" s="14">
        <f t="shared" si="7"/>
        <v>6652</v>
      </c>
      <c r="AX22" s="14">
        <f t="shared" si="7"/>
        <v>6652</v>
      </c>
      <c r="AY22" s="14">
        <f>INDEX(属性投放!$DH$6:$DH$85,(卡牌属性!AG22-2)*20+卡牌属性!AN22)</f>
        <v>123338</v>
      </c>
      <c r="AZ22" s="14">
        <f t="shared" si="8"/>
        <v>123338</v>
      </c>
      <c r="BA22" s="14">
        <f t="shared" si="8"/>
        <v>123338</v>
      </c>
      <c r="BB22" s="14">
        <f t="shared" si="8"/>
        <v>123338</v>
      </c>
      <c r="BC22" s="14">
        <f t="shared" si="8"/>
        <v>123338</v>
      </c>
      <c r="BD22" s="14">
        <f>INDEX(属性投放!$DL$6:$DL$85,(卡牌属性!AG22-2)*20+卡牌属性!AN22)</f>
        <v>259</v>
      </c>
      <c r="BE22" s="14">
        <f t="shared" si="9"/>
        <v>259</v>
      </c>
      <c r="BF22" s="14">
        <f t="shared" si="9"/>
        <v>259</v>
      </c>
      <c r="BG22" s="14">
        <f t="shared" si="9"/>
        <v>259</v>
      </c>
      <c r="BH22" s="14">
        <f t="shared" si="9"/>
        <v>259</v>
      </c>
      <c r="BI22" s="14">
        <f>INDEX(属性投放!$DM$6:$DM$85,(卡牌属性!AG22-2)*20+卡牌属性!AN22)</f>
        <v>130</v>
      </c>
      <c r="BJ22" s="14">
        <f t="shared" si="10"/>
        <v>130</v>
      </c>
      <c r="BK22" s="14">
        <f t="shared" si="10"/>
        <v>130</v>
      </c>
      <c r="BL22" s="14">
        <f t="shared" si="10"/>
        <v>130</v>
      </c>
      <c r="BM22" s="14">
        <f t="shared" si="10"/>
        <v>130</v>
      </c>
      <c r="BN22" s="14">
        <f>INDEX(属性投放!$DN$6:$DN$85,(卡牌属性!AG22-2)*20+卡牌属性!AN22)</f>
        <v>2593</v>
      </c>
      <c r="BO22" s="14">
        <f t="shared" si="11"/>
        <v>2593</v>
      </c>
      <c r="BP22" s="14">
        <f t="shared" si="11"/>
        <v>2593</v>
      </c>
      <c r="BQ22" s="14">
        <f t="shared" si="11"/>
        <v>2593</v>
      </c>
      <c r="BR22" s="14">
        <f t="shared" si="11"/>
        <v>2593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32"/>
        <v>1102001</v>
      </c>
      <c r="CA22" s="14" t="str">
        <f t="shared" si="33"/>
        <v>关羽18突</v>
      </c>
      <c r="CB22" s="25" t="s">
        <v>142</v>
      </c>
      <c r="CC22" s="14">
        <v>2</v>
      </c>
      <c r="CD22" s="14">
        <f t="shared" si="14"/>
        <v>18</v>
      </c>
      <c r="CE22" s="14" t="s">
        <v>21</v>
      </c>
      <c r="CF22" s="14">
        <f>INDEX(属性投放!$AZ$6:$AZ$85,(BY22-2)*20+CD22)</f>
        <v>21549</v>
      </c>
      <c r="CG22" s="14" t="s">
        <v>22</v>
      </c>
      <c r="CH22" s="14">
        <f>INDEX(属性投放!$BA$6:$BA$85,(BY22-2)*20+CD22)</f>
        <v>10704</v>
      </c>
      <c r="CI22" s="14" t="s">
        <v>510</v>
      </c>
      <c r="CJ22" s="14">
        <f>INDEX(属性投放!$BB$6:$BB$85,(BY22-2)*20+CD22)</f>
        <v>198497</v>
      </c>
      <c r="CK22" s="14" t="s">
        <v>21</v>
      </c>
      <c r="CL22" s="14">
        <f>INDEX(属性投放!$BC$6:$BC$85,(BY22-2)*20+CD22)</f>
        <v>75</v>
      </c>
      <c r="CM22" s="14" t="s">
        <v>22</v>
      </c>
      <c r="CN22" s="14">
        <f>INDEX(属性投放!$BD$6:$BD$85,(BY22-2)*20+CD22)</f>
        <v>38</v>
      </c>
      <c r="CO22" s="14" t="s">
        <v>510</v>
      </c>
      <c r="CP22" s="14">
        <f>INDEX(属性投放!$BE$6:$BE$85,(BY22-2)*20+CD22)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INDEX($O$6:$O$50,CT22)&amp;"-"&amp;INDEX(属性投放!$AB$7:$AB$50,CZ22)&amp;"-魂火-"&amp;DB22</f>
        <v>关羽-叫唤+2-魂火-3</v>
      </c>
      <c r="CY22" s="25" t="s">
        <v>142</v>
      </c>
      <c r="CZ22" s="14">
        <f>INDEX(属性投放!$AM$7:$AM$58,CU22)</f>
        <v>9</v>
      </c>
      <c r="DA22" s="14" t="s">
        <v>537</v>
      </c>
      <c r="DB22" s="14">
        <f>INDEX(属性投放!$AN$7:$AN$58,CU22)</f>
        <v>3</v>
      </c>
      <c r="DC22" s="14">
        <f t="shared" si="16"/>
        <v>18</v>
      </c>
      <c r="DD22" s="14">
        <f>INDEX(属性投放!$AO$7:$AO$58,DC22)</f>
        <v>63</v>
      </c>
      <c r="DE22" s="14" t="s">
        <v>538</v>
      </c>
      <c r="DF22" s="14">
        <f>INDEX(属性投放!$BK$6:$BK$85,(CV22-2)*20+CZ22)</f>
        <v>138</v>
      </c>
      <c r="DG22" s="14">
        <f>SUMIFS(DF$5:DF22,$CT$5:$CT22,"="&amp;$CT22)</f>
        <v>1469</v>
      </c>
      <c r="DH22" s="14" t="s">
        <v>539</v>
      </c>
      <c r="DI22" s="14">
        <f>INDEX(属性投放!$BL$6:$BL$85,(CV22-2)*20+CZ22)</f>
        <v>69</v>
      </c>
      <c r="DJ22" s="14">
        <f>SUMIFS(DI$5:DI22,$CT$5:$CT22,"="&amp;$CT22)</f>
        <v>737</v>
      </c>
      <c r="DK22" s="14" t="s">
        <v>540</v>
      </c>
      <c r="DL22" s="14">
        <f>INDEX(属性投放!$BM$6:$BM$85,(CV22-2)*20+CZ22)</f>
        <v>1104</v>
      </c>
      <c r="DM22" s="14">
        <f>SUMIFS(DL$5:DL22,$CT$5:$CT22,"="&amp;$CT22)</f>
        <v>10932</v>
      </c>
      <c r="DR22" s="14">
        <f t="shared" si="17"/>
        <v>1102001</v>
      </c>
      <c r="DS22" s="14" t="str">
        <f t="shared" si="18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19"/>
        <v>5</v>
      </c>
      <c r="DX22" s="14">
        <f t="shared" si="20"/>
        <v>18</v>
      </c>
      <c r="DY22" s="14">
        <f t="shared" si="21"/>
        <v>78</v>
      </c>
      <c r="DZ22" s="14">
        <f>INDEX(属性投放!$AX$6:$AX$85,(卡牌属性!DW22-2)*20+卡牌属性!DX22)</f>
        <v>7</v>
      </c>
      <c r="EA22" s="14">
        <f>INDEX(属性投放!BQ$6:BQ$85,卡牌属性!$DY22)</f>
        <v>1500</v>
      </c>
      <c r="EB22" s="14">
        <f>INDEX(属性投放!BR$6:BR$85,卡牌属性!$DY22)</f>
        <v>750</v>
      </c>
      <c r="EC22" s="14">
        <f>INDEX(属性投放!BS$6:BS$85,卡牌属性!$DY22)</f>
        <v>15000</v>
      </c>
      <c r="ED22" s="14">
        <f t="shared" si="41"/>
        <v>10810</v>
      </c>
      <c r="EE22" s="14">
        <f t="shared" si="42"/>
        <v>12440</v>
      </c>
      <c r="EF22" s="14">
        <f t="shared" si="43"/>
        <v>14885</v>
      </c>
      <c r="EG22" s="14">
        <f t="shared" si="44"/>
        <v>14885</v>
      </c>
      <c r="EH22" s="14">
        <f t="shared" si="45"/>
        <v>18325</v>
      </c>
      <c r="EI22" s="14">
        <f t="shared" si="46"/>
        <v>4759</v>
      </c>
      <c r="EJ22" s="14">
        <f t="shared" si="47"/>
        <v>5058</v>
      </c>
      <c r="EK22" s="14">
        <f t="shared" si="48"/>
        <v>5058</v>
      </c>
      <c r="EL22" s="14">
        <f t="shared" si="49"/>
        <v>5379</v>
      </c>
      <c r="EM22" s="14">
        <f t="shared" si="50"/>
        <v>6220</v>
      </c>
      <c r="EN22" s="14">
        <f t="shared" si="51"/>
        <v>86103</v>
      </c>
      <c r="EO22" s="14">
        <f t="shared" si="52"/>
        <v>90947</v>
      </c>
      <c r="EP22" s="14">
        <f t="shared" si="53"/>
        <v>90947</v>
      </c>
      <c r="EQ22" s="14">
        <f t="shared" si="54"/>
        <v>96695</v>
      </c>
      <c r="ER22" s="14">
        <f t="shared" si="55"/>
        <v>111405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INDEX(属性投放!$BQ$6:$BQ$85,(卡牌属性!$DW22-2)*20+卡牌属性!$DX22)</f>
        <v>1500</v>
      </c>
      <c r="FI22" s="14">
        <f>INDEX(属性投放!$BQ$6:$BQ$85,(卡牌属性!$DW22-2)*20+卡牌属性!$DX22)</f>
        <v>1500</v>
      </c>
      <c r="FJ22" s="14">
        <f>INDEX(属性投放!$BQ$6:$BQ$85,(卡牌属性!$DW22-2)*20+卡牌属性!$DX22)</f>
        <v>1500</v>
      </c>
      <c r="FK22" s="14">
        <f>INDEX(属性投放!$BQ$6:$BQ$85,(卡牌属性!$DW22-2)*20+卡牌属性!$DX22)</f>
        <v>1500</v>
      </c>
      <c r="FL22" s="14">
        <f>INDEX(属性投放!$BQ$6:$BQ$85,(卡牌属性!$DW22-2)*20+卡牌属性!$DX22)</f>
        <v>1500</v>
      </c>
      <c r="FM22" s="14">
        <f>INDEX(属性投放!$BR$6:$BR$85,(卡牌属性!$DW22-2)*20+卡牌属性!$DX22)</f>
        <v>750</v>
      </c>
      <c r="FN22" s="14">
        <f>INDEX(属性投放!$BR$6:$BR$85,(卡牌属性!$DW22-2)*20+卡牌属性!$DX22)</f>
        <v>750</v>
      </c>
      <c r="FO22" s="14">
        <f>INDEX(属性投放!$BR$6:$BR$85,(卡牌属性!$DW22-2)*20+卡牌属性!$DX22)</f>
        <v>750</v>
      </c>
      <c r="FP22" s="14">
        <f>INDEX(属性投放!$BR$6:$BR$85,(卡牌属性!$DW22-2)*20+卡牌属性!$DX22)</f>
        <v>750</v>
      </c>
      <c r="FQ22" s="14">
        <f>INDEX(属性投放!$BR$6:$BR$85,(卡牌属性!$DW22-2)*20+卡牌属性!$DX22)</f>
        <v>750</v>
      </c>
      <c r="FR22" s="14">
        <f>INDEX(属性投放!$BS$6:$BS$85,(卡牌属性!$DW22-2)*20+卡牌属性!$DX22)</f>
        <v>15000</v>
      </c>
      <c r="FS22" s="14">
        <f>INDEX(属性投放!$BS$6:$BS$85,(卡牌属性!$DW22-2)*20+卡牌属性!$DX22)</f>
        <v>15000</v>
      </c>
      <c r="FT22" s="14">
        <f>INDEX(属性投放!$BS$6:$BS$85,(卡牌属性!$DW22-2)*20+卡牌属性!$DX22)</f>
        <v>15000</v>
      </c>
      <c r="FU22" s="14">
        <f>INDEX(属性投放!$BS$6:$BS$85,(卡牌属性!$DW22-2)*20+卡牌属性!$DX22)</f>
        <v>15000</v>
      </c>
      <c r="FV22" s="14">
        <f>INDEX(属性投放!$BS$6:$BS$85,(卡牌属性!$DW22-2)*20+卡牌属性!$DX22)</f>
        <v>15000</v>
      </c>
      <c r="FZ22" s="13">
        <v>18</v>
      </c>
      <c r="GA22" s="13">
        <f t="shared" si="22"/>
        <v>4</v>
      </c>
      <c r="GB22" s="14">
        <f t="shared" si="56"/>
        <v>1102004</v>
      </c>
      <c r="GC22" s="14" t="s">
        <v>1187</v>
      </c>
      <c r="GD22" s="14">
        <f t="shared" si="23"/>
        <v>3</v>
      </c>
      <c r="GE22" s="14" t="str">
        <f t="shared" si="24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5"/>
        <v>4</v>
      </c>
      <c r="GP22" s="14">
        <f t="shared" si="57"/>
        <v>1101004</v>
      </c>
      <c r="GQ22" s="14" t="s">
        <v>1187</v>
      </c>
      <c r="GR22" s="14">
        <f t="shared" si="26"/>
        <v>3</v>
      </c>
      <c r="GS22" s="14" t="str">
        <f t="shared" si="27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MATCH(HC22,属性投放!$AO$6:$AO$58,1)-1</f>
        <v>4</v>
      </c>
      <c r="HF22" s="13">
        <f>MATCH(HC22-1,属性投放!$AE$6:$AE$26,1)</f>
        <v>3</v>
      </c>
      <c r="HG22" s="13" t="str">
        <f>INDEX(属性投放!$AB$7:$AB$26,卡牌属性!HF22)</f>
        <v>黑绳+1</v>
      </c>
      <c r="HH22" s="14">
        <f t="shared" si="58"/>
        <v>473</v>
      </c>
      <c r="HI22" s="14">
        <f t="shared" si="59"/>
        <v>158</v>
      </c>
      <c r="HJ22" s="14">
        <f t="shared" si="60"/>
        <v>2060</v>
      </c>
      <c r="HK22" s="14">
        <f t="shared" si="61"/>
        <v>15</v>
      </c>
      <c r="HL22" s="14">
        <f t="shared" si="62"/>
        <v>6</v>
      </c>
      <c r="HM22" s="14">
        <f t="shared" si="63"/>
        <v>72</v>
      </c>
      <c r="HN22" s="14">
        <f>HH22+HK22*($HC22-INDEX(属性投放!$AE$6:$AE$26,卡牌属性!$HF22))</f>
        <v>518</v>
      </c>
      <c r="HO22" s="14">
        <f>HI22+HL22*($HC22-INDEX(属性投放!$AE$6:$AE$26,卡牌属性!$HF22))</f>
        <v>176</v>
      </c>
      <c r="HP22" s="14">
        <f>HJ22+HM22*($HC22-INDEX(属性投放!$AE$6:$AE$26,卡牌属性!$HF22))</f>
        <v>2276</v>
      </c>
      <c r="HQ22" s="14">
        <f t="shared" si="64"/>
        <v>120</v>
      </c>
      <c r="HR22" s="14">
        <f t="shared" si="65"/>
        <v>61</v>
      </c>
      <c r="HS22" s="14">
        <f t="shared" si="66"/>
        <v>720</v>
      </c>
      <c r="HT22" s="14">
        <f>IF(COUNTIF(属性投放!$AO$7:$AO$58,"="&amp;卡牌属性!HC22)&gt;0,卡牌属性!HE22,0)</f>
        <v>4</v>
      </c>
      <c r="HU22" s="14">
        <f t="shared" si="67"/>
        <v>35</v>
      </c>
      <c r="HV22" s="14">
        <f t="shared" si="68"/>
        <v>18</v>
      </c>
      <c r="HW22" s="14">
        <f t="shared" si="69"/>
        <v>210</v>
      </c>
      <c r="HX22" s="14">
        <f>IF(COUNTIF(属性投放!$AE$6:$AE$26,"="&amp;卡牌属性!HC22)&gt;0,卡牌属性!HF22,0)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15</v>
      </c>
      <c r="IC22" s="14">
        <f t="shared" si="74"/>
        <v>6</v>
      </c>
      <c r="ID22" s="14">
        <f t="shared" si="75"/>
        <v>72</v>
      </c>
      <c r="IE22" s="14">
        <f t="shared" si="76"/>
        <v>638</v>
      </c>
      <c r="IF22" s="14">
        <f t="shared" si="77"/>
        <v>237</v>
      </c>
      <c r="IG22" s="14">
        <f t="shared" si="78"/>
        <v>2996</v>
      </c>
      <c r="IH22" s="14">
        <f t="shared" si="79"/>
        <v>342</v>
      </c>
      <c r="II22" s="14">
        <f t="shared" si="80"/>
        <v>920</v>
      </c>
      <c r="IJ22" s="14">
        <f t="shared" si="81"/>
        <v>0</v>
      </c>
      <c r="IK22" s="14">
        <f t="shared" si="82"/>
        <v>14116</v>
      </c>
      <c r="IL22" s="17">
        <f t="shared" si="83"/>
        <v>2.4227826579767641E-2</v>
      </c>
      <c r="IM22" s="17">
        <f t="shared" si="84"/>
        <v>6.5174270331538678E-2</v>
      </c>
      <c r="IN22" s="17">
        <f t="shared" si="85"/>
        <v>0</v>
      </c>
      <c r="IO22" s="23">
        <f>SUM(IH$5:IH22)</f>
        <v>5846</v>
      </c>
      <c r="IP22" s="14">
        <f>SUM(II$5:II22)</f>
        <v>3140</v>
      </c>
      <c r="IQ22" s="14">
        <f>SUM(IJ$5:IJ22)</f>
        <v>920</v>
      </c>
      <c r="IR22" s="17">
        <f t="shared" si="86"/>
        <v>0.41413998299801641</v>
      </c>
      <c r="IS22" s="17">
        <f t="shared" si="87"/>
        <v>0.22244261830546896</v>
      </c>
      <c r="IT22" s="17">
        <f t="shared" si="88"/>
        <v>6.5174270331538678E-2</v>
      </c>
      <c r="IW22" s="13">
        <v>18</v>
      </c>
      <c r="IX22" s="14">
        <f>MATCH(IW22-1,属性投放!$T$6:$T$66,1)</f>
        <v>1</v>
      </c>
      <c r="IY22" s="14">
        <f>MATCH(IW22-1,属性投放!$AD$7:$AD$26,1)</f>
        <v>2</v>
      </c>
      <c r="IZ22" s="14" t="str">
        <f>INDEX(属性投放!$AB$7:$AB$26,IY22)</f>
        <v>黑绳</v>
      </c>
      <c r="JA22" s="14">
        <f t="shared" si="89"/>
        <v>160</v>
      </c>
      <c r="JB22" s="14">
        <f t="shared" si="90"/>
        <v>30</v>
      </c>
      <c r="JC22" s="14">
        <f t="shared" si="91"/>
        <v>610</v>
      </c>
      <c r="JD22" s="14">
        <f t="shared" si="92"/>
        <v>12</v>
      </c>
      <c r="JE22" s="14">
        <f t="shared" si="93"/>
        <v>6</v>
      </c>
      <c r="JF22" s="14">
        <f t="shared" si="94"/>
        <v>70</v>
      </c>
      <c r="JG22" s="14">
        <f>INDEX(属性投放!$DC$6:$DC$85,卡牌属性!IY22)</f>
        <v>10</v>
      </c>
      <c r="JH22" s="14">
        <f t="shared" si="95"/>
        <v>256</v>
      </c>
      <c r="JI22" s="14">
        <f t="shared" si="96"/>
        <v>78</v>
      </c>
      <c r="JJ22" s="14">
        <f t="shared" si="97"/>
        <v>1170</v>
      </c>
      <c r="JK22" s="14">
        <f t="shared" si="98"/>
        <v>3230</v>
      </c>
    </row>
    <row r="23" spans="1:271" ht="16.5" x14ac:dyDescent="0.2">
      <c r="A23" s="13">
        <v>1101020</v>
      </c>
      <c r="B23" s="13" t="s">
        <v>1006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556</v>
      </c>
      <c r="H23" s="13" t="s">
        <v>556</v>
      </c>
      <c r="I23" s="13" t="s">
        <v>556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552</v>
      </c>
      <c r="W23" s="13" t="s">
        <v>552</v>
      </c>
      <c r="X23" s="13" t="s">
        <v>552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1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142</v>
      </c>
      <c r="AM23" s="14">
        <v>1</v>
      </c>
      <c r="AN23" s="14">
        <f t="shared" si="5"/>
        <v>19</v>
      </c>
      <c r="AO23" s="14">
        <f>INDEX(属性投放!$DF$6:$DF$85,(卡牌属性!AG23-2)*20+卡牌属性!AN23)</f>
        <v>20826</v>
      </c>
      <c r="AP23" s="14">
        <f t="shared" si="6"/>
        <v>20826</v>
      </c>
      <c r="AQ23" s="14">
        <f t="shared" si="6"/>
        <v>20826</v>
      </c>
      <c r="AR23" s="14">
        <f t="shared" si="6"/>
        <v>20826</v>
      </c>
      <c r="AS23" s="14">
        <f t="shared" si="6"/>
        <v>20826</v>
      </c>
      <c r="AT23" s="14">
        <f>INDEX(属性投放!$DG$6:$DG$85,(卡牌属性!AG23-2)*20+卡牌属性!AN23)</f>
        <v>10365</v>
      </c>
      <c r="AU23" s="14">
        <f t="shared" si="7"/>
        <v>10365</v>
      </c>
      <c r="AV23" s="14">
        <f t="shared" si="7"/>
        <v>10365</v>
      </c>
      <c r="AW23" s="14">
        <f t="shared" si="7"/>
        <v>10365</v>
      </c>
      <c r="AX23" s="14">
        <f t="shared" si="7"/>
        <v>10365</v>
      </c>
      <c r="AY23" s="14">
        <f>INDEX(属性投放!$DH$6:$DH$85,(卡牌属性!AG23-2)*20+卡牌属性!AN23)</f>
        <v>197423</v>
      </c>
      <c r="AZ23" s="14">
        <f t="shared" si="8"/>
        <v>197423</v>
      </c>
      <c r="BA23" s="14">
        <f t="shared" si="8"/>
        <v>197423</v>
      </c>
      <c r="BB23" s="14">
        <f t="shared" si="8"/>
        <v>197423</v>
      </c>
      <c r="BC23" s="14">
        <f t="shared" si="8"/>
        <v>197423</v>
      </c>
      <c r="BD23" s="14">
        <f>INDEX(属性投放!$DL$6:$DL$85,(卡牌属性!AG23-2)*20+卡牌属性!AN23)</f>
        <v>486</v>
      </c>
      <c r="BE23" s="14">
        <f t="shared" si="9"/>
        <v>486</v>
      </c>
      <c r="BF23" s="14">
        <f t="shared" si="9"/>
        <v>486</v>
      </c>
      <c r="BG23" s="14">
        <f t="shared" si="9"/>
        <v>486</v>
      </c>
      <c r="BH23" s="14">
        <f t="shared" si="9"/>
        <v>486</v>
      </c>
      <c r="BI23" s="14">
        <f>INDEX(属性投放!$DM$6:$DM$85,(卡牌属性!AG23-2)*20+卡牌属性!AN23)</f>
        <v>243</v>
      </c>
      <c r="BJ23" s="14">
        <f t="shared" si="10"/>
        <v>243</v>
      </c>
      <c r="BK23" s="14">
        <f t="shared" si="10"/>
        <v>243</v>
      </c>
      <c r="BL23" s="14">
        <f t="shared" si="10"/>
        <v>243</v>
      </c>
      <c r="BM23" s="14">
        <f t="shared" si="10"/>
        <v>243</v>
      </c>
      <c r="BN23" s="14">
        <f>INDEX(属性投放!$DN$6:$DN$85,(卡牌属性!AG23-2)*20+卡牌属性!AN23)</f>
        <v>4863</v>
      </c>
      <c r="BO23" s="14">
        <f t="shared" si="11"/>
        <v>4863</v>
      </c>
      <c r="BP23" s="14">
        <f t="shared" si="11"/>
        <v>4863</v>
      </c>
      <c r="BQ23" s="14">
        <f t="shared" si="11"/>
        <v>4863</v>
      </c>
      <c r="BR23" s="14">
        <f t="shared" si="11"/>
        <v>4863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32"/>
        <v>1102001</v>
      </c>
      <c r="CA23" s="14" t="str">
        <f t="shared" si="33"/>
        <v>关羽19突</v>
      </c>
      <c r="CB23" s="25" t="s">
        <v>142</v>
      </c>
      <c r="CC23" s="14">
        <v>2</v>
      </c>
      <c r="CD23" s="14">
        <f t="shared" si="14"/>
        <v>19</v>
      </c>
      <c r="CE23" s="14" t="s">
        <v>21</v>
      </c>
      <c r="CF23" s="14">
        <f>INDEX(属性投放!$AZ$6:$AZ$85,(BY23-2)*20+CD23)</f>
        <v>26064</v>
      </c>
      <c r="CG23" s="14" t="s">
        <v>22</v>
      </c>
      <c r="CH23" s="14">
        <f>INDEX(属性投放!$BA$6:$BA$85,(BY23-2)*20+CD23)</f>
        <v>12965</v>
      </c>
      <c r="CI23" s="14" t="s">
        <v>510</v>
      </c>
      <c r="CJ23" s="14">
        <f>INDEX(属性投放!$BB$6:$BB$85,(BY23-2)*20+CD23)</f>
        <v>243647</v>
      </c>
      <c r="CK23" s="14" t="s">
        <v>21</v>
      </c>
      <c r="CL23" s="14">
        <f>INDEX(属性投放!$BC$6:$BC$85,(BY23-2)*20+CD23)</f>
        <v>100</v>
      </c>
      <c r="CM23" s="14" t="s">
        <v>22</v>
      </c>
      <c r="CN23" s="14">
        <f>INDEX(属性投放!$BD$6:$BD$85,(BY23-2)*20+CD23)</f>
        <v>50</v>
      </c>
      <c r="CO23" s="14" t="s">
        <v>510</v>
      </c>
      <c r="CP23" s="14">
        <f>INDEX(属性投放!$BE$6:$BE$85,(BY23-2)*20+CD23)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INDEX($O$6:$O$50,CT23)&amp;"-"&amp;INDEX(属性投放!$AB$7:$AB$50,CZ23)&amp;"-魂火-"&amp;DB23</f>
        <v>关羽-大叫唤-魂火-1</v>
      </c>
      <c r="CY23" s="25" t="s">
        <v>142</v>
      </c>
      <c r="CZ23" s="14">
        <f>INDEX(属性投放!$AM$7:$AM$58,CU23)</f>
        <v>10</v>
      </c>
      <c r="DA23" s="14" t="s">
        <v>537</v>
      </c>
      <c r="DB23" s="14">
        <f>INDEX(属性投放!$AN$7:$AN$58,CU23)</f>
        <v>1</v>
      </c>
      <c r="DC23" s="14">
        <f t="shared" si="16"/>
        <v>19</v>
      </c>
      <c r="DD23" s="14">
        <f>INDEX(属性投放!$AO$7:$AO$58,DC23)</f>
        <v>65</v>
      </c>
      <c r="DE23" s="14" t="s">
        <v>538</v>
      </c>
      <c r="DF23" s="14">
        <f>INDEX(属性投放!$BK$6:$BK$85,(CV23-2)*20+CZ23)</f>
        <v>150</v>
      </c>
      <c r="DG23" s="14">
        <f>SUMIFS(DF$5:DF23,$CT$5:$CT23,"="&amp;$CT23)</f>
        <v>1619</v>
      </c>
      <c r="DH23" s="14" t="s">
        <v>539</v>
      </c>
      <c r="DI23" s="14">
        <f>INDEX(属性投放!$BL$6:$BL$85,(CV23-2)*20+CZ23)</f>
        <v>75</v>
      </c>
      <c r="DJ23" s="14">
        <f>SUMIFS(DI$5:DI23,$CT$5:$CT23,"="&amp;$CT23)</f>
        <v>812</v>
      </c>
      <c r="DK23" s="14" t="s">
        <v>540</v>
      </c>
      <c r="DL23" s="14">
        <f>INDEX(属性投放!$BM$6:$BM$85,(CV23-2)*20+CZ23)</f>
        <v>1350</v>
      </c>
      <c r="DM23" s="14">
        <f>SUMIFS(DL$5:DL23,$CT$5:$CT23,"="&amp;$CT23)</f>
        <v>12282</v>
      </c>
      <c r="DR23" s="14">
        <f t="shared" si="17"/>
        <v>1102001</v>
      </c>
      <c r="DS23" s="14" t="str">
        <f t="shared" si="18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19"/>
        <v>5</v>
      </c>
      <c r="DX23" s="14">
        <f t="shared" si="20"/>
        <v>19</v>
      </c>
      <c r="DY23" s="14">
        <f t="shared" si="21"/>
        <v>79</v>
      </c>
      <c r="DZ23" s="14">
        <f>INDEX(属性投放!$AX$6:$AX$85,(卡牌属性!DW23-2)*20+卡牌属性!DX23)</f>
        <v>8</v>
      </c>
      <c r="EA23" s="14">
        <f>INDEX(属性投放!BQ$6:BQ$85,卡牌属性!$DY23)</f>
        <v>1550</v>
      </c>
      <c r="EB23" s="14">
        <f>INDEX(属性投放!BR$6:BR$85,卡牌属性!$DY23)</f>
        <v>775</v>
      </c>
      <c r="EC23" s="14">
        <f>INDEX(属性投放!BS$6:BS$85,卡牌属性!$DY23)</f>
        <v>15500</v>
      </c>
      <c r="ED23" s="14">
        <f t="shared" si="41"/>
        <v>12835</v>
      </c>
      <c r="EE23" s="14">
        <f t="shared" si="42"/>
        <v>14640</v>
      </c>
      <c r="EF23" s="14">
        <f t="shared" si="43"/>
        <v>17435</v>
      </c>
      <c r="EG23" s="14">
        <f t="shared" si="44"/>
        <v>17435</v>
      </c>
      <c r="EH23" s="14">
        <f t="shared" si="45"/>
        <v>21225</v>
      </c>
      <c r="EI23" s="14">
        <f t="shared" si="46"/>
        <v>5684</v>
      </c>
      <c r="EJ23" s="14">
        <f t="shared" si="47"/>
        <v>6018</v>
      </c>
      <c r="EK23" s="14">
        <f t="shared" si="48"/>
        <v>6018</v>
      </c>
      <c r="EL23" s="14">
        <f t="shared" si="49"/>
        <v>6395</v>
      </c>
      <c r="EM23" s="14">
        <f t="shared" si="50"/>
        <v>7320</v>
      </c>
      <c r="EN23" s="14">
        <f t="shared" si="51"/>
        <v>104603</v>
      </c>
      <c r="EO23" s="14">
        <f t="shared" si="52"/>
        <v>110147</v>
      </c>
      <c r="EP23" s="14">
        <f t="shared" si="53"/>
        <v>110147</v>
      </c>
      <c r="EQ23" s="14">
        <f t="shared" si="54"/>
        <v>116945</v>
      </c>
      <c r="ER23" s="14">
        <f t="shared" si="55"/>
        <v>133405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INDEX(属性投放!$BQ$6:$BQ$85,(卡牌属性!$DW23-2)*20+卡牌属性!$DX23)</f>
        <v>1550</v>
      </c>
      <c r="FI23" s="14">
        <f>INDEX(属性投放!$BQ$6:$BQ$85,(卡牌属性!$DW23-2)*20+卡牌属性!$DX23)</f>
        <v>1550</v>
      </c>
      <c r="FJ23" s="14">
        <f>INDEX(属性投放!$BQ$6:$BQ$85,(卡牌属性!$DW23-2)*20+卡牌属性!$DX23)</f>
        <v>1550</v>
      </c>
      <c r="FK23" s="14">
        <f>INDEX(属性投放!$BQ$6:$BQ$85,(卡牌属性!$DW23-2)*20+卡牌属性!$DX23)</f>
        <v>1550</v>
      </c>
      <c r="FL23" s="14">
        <f>INDEX(属性投放!$BQ$6:$BQ$85,(卡牌属性!$DW23-2)*20+卡牌属性!$DX23)</f>
        <v>1550</v>
      </c>
      <c r="FM23" s="14">
        <f>INDEX(属性投放!$BR$6:$BR$85,(卡牌属性!$DW23-2)*20+卡牌属性!$DX23)</f>
        <v>775</v>
      </c>
      <c r="FN23" s="14">
        <f>INDEX(属性投放!$BR$6:$BR$85,(卡牌属性!$DW23-2)*20+卡牌属性!$DX23)</f>
        <v>775</v>
      </c>
      <c r="FO23" s="14">
        <f>INDEX(属性投放!$BR$6:$BR$85,(卡牌属性!$DW23-2)*20+卡牌属性!$DX23)</f>
        <v>775</v>
      </c>
      <c r="FP23" s="14">
        <f>INDEX(属性投放!$BR$6:$BR$85,(卡牌属性!$DW23-2)*20+卡牌属性!$DX23)</f>
        <v>775</v>
      </c>
      <c r="FQ23" s="14">
        <f>INDEX(属性投放!$BR$6:$BR$85,(卡牌属性!$DW23-2)*20+卡牌属性!$DX23)</f>
        <v>775</v>
      </c>
      <c r="FR23" s="14">
        <f>INDEX(属性投放!$BS$6:$BS$85,(卡牌属性!$DW23-2)*20+卡牌属性!$DX23)</f>
        <v>15500</v>
      </c>
      <c r="FS23" s="14">
        <f>INDEX(属性投放!$BS$6:$BS$85,(卡牌属性!$DW23-2)*20+卡牌属性!$DX23)</f>
        <v>15500</v>
      </c>
      <c r="FT23" s="14">
        <f>INDEX(属性投放!$BS$6:$BS$85,(卡牌属性!$DW23-2)*20+卡牌属性!$DX23)</f>
        <v>15500</v>
      </c>
      <c r="FU23" s="14">
        <f>INDEX(属性投放!$BS$6:$BS$85,(卡牌属性!$DW23-2)*20+卡牌属性!$DX23)</f>
        <v>15500</v>
      </c>
      <c r="FV23" s="14">
        <f>INDEX(属性投放!$BS$6:$BS$85,(卡牌属性!$DW23-2)*20+卡牌属性!$DX23)</f>
        <v>15500</v>
      </c>
      <c r="FZ23" s="13">
        <v>19</v>
      </c>
      <c r="GA23" s="13">
        <f t="shared" si="22"/>
        <v>4</v>
      </c>
      <c r="GB23" s="14">
        <f t="shared" si="56"/>
        <v>1102004</v>
      </c>
      <c r="GC23" s="14" t="s">
        <v>1187</v>
      </c>
      <c r="GD23" s="14">
        <f t="shared" si="23"/>
        <v>4</v>
      </c>
      <c r="GE23" s="14" t="str">
        <f t="shared" si="24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5"/>
        <v>4</v>
      </c>
      <c r="GP23" s="14">
        <f t="shared" si="57"/>
        <v>1101004</v>
      </c>
      <c r="GQ23" s="14" t="s">
        <v>1187</v>
      </c>
      <c r="GR23" s="14">
        <f t="shared" si="26"/>
        <v>4</v>
      </c>
      <c r="GS23" s="14" t="str">
        <f t="shared" si="27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MATCH(HC23,属性投放!$AO$6:$AO$58,1)-1</f>
        <v>4</v>
      </c>
      <c r="HF23" s="13">
        <f>MATCH(HC23-1,属性投放!$AE$6:$AE$26,1)</f>
        <v>3</v>
      </c>
      <c r="HG23" s="13" t="str">
        <f>INDEX(属性投放!$AB$7:$AB$26,卡牌属性!HF23)</f>
        <v>黑绳+1</v>
      </c>
      <c r="HH23" s="14">
        <f t="shared" si="58"/>
        <v>473</v>
      </c>
      <c r="HI23" s="14">
        <f t="shared" si="59"/>
        <v>158</v>
      </c>
      <c r="HJ23" s="14">
        <f t="shared" si="60"/>
        <v>2060</v>
      </c>
      <c r="HK23" s="14">
        <f t="shared" si="61"/>
        <v>15</v>
      </c>
      <c r="HL23" s="14">
        <f t="shared" si="62"/>
        <v>6</v>
      </c>
      <c r="HM23" s="14">
        <f t="shared" si="63"/>
        <v>72</v>
      </c>
      <c r="HN23" s="14">
        <f>HH23+HK23*($HC23-INDEX(属性投放!$AE$6:$AE$26,卡牌属性!$HF23))</f>
        <v>533</v>
      </c>
      <c r="HO23" s="14">
        <f>HI23+HL23*($HC23-INDEX(属性投放!$AE$6:$AE$26,卡牌属性!$HF23))</f>
        <v>182</v>
      </c>
      <c r="HP23" s="14">
        <f>HJ23+HM23*($HC23-INDEX(属性投放!$AE$6:$AE$26,卡牌属性!$HF23))</f>
        <v>2348</v>
      </c>
      <c r="HQ23" s="14">
        <f t="shared" si="64"/>
        <v>120</v>
      </c>
      <c r="HR23" s="14">
        <f t="shared" si="65"/>
        <v>61</v>
      </c>
      <c r="HS23" s="14">
        <f t="shared" si="66"/>
        <v>720</v>
      </c>
      <c r="HT23" s="14">
        <f>IF(COUNTIF(属性投放!$AO$7:$AO$58,"="&amp;卡牌属性!HC23)&gt;0,卡牌属性!HE23,0)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IF(COUNTIF(属性投放!$AE$6:$AE$26,"="&amp;卡牌属性!HC23)&gt;0,卡牌属性!HF23,0)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15</v>
      </c>
      <c r="IC23" s="14">
        <f t="shared" si="74"/>
        <v>6</v>
      </c>
      <c r="ID23" s="14">
        <f t="shared" si="75"/>
        <v>72</v>
      </c>
      <c r="IE23" s="14">
        <f t="shared" si="76"/>
        <v>653</v>
      </c>
      <c r="IF23" s="14">
        <f t="shared" si="77"/>
        <v>243</v>
      </c>
      <c r="IG23" s="14">
        <f t="shared" si="78"/>
        <v>3068</v>
      </c>
      <c r="IH23" s="14">
        <f t="shared" si="79"/>
        <v>342</v>
      </c>
      <c r="II23" s="14">
        <f t="shared" si="80"/>
        <v>0</v>
      </c>
      <c r="IJ23" s="14">
        <f t="shared" si="81"/>
        <v>0</v>
      </c>
      <c r="IK23" s="14">
        <f t="shared" si="82"/>
        <v>14458</v>
      </c>
      <c r="IL23" s="17">
        <f t="shared" si="83"/>
        <v>2.3654724028219672E-2</v>
      </c>
      <c r="IM23" s="17">
        <f t="shared" si="84"/>
        <v>0</v>
      </c>
      <c r="IN23" s="17">
        <f t="shared" si="85"/>
        <v>0</v>
      </c>
      <c r="IO23" s="23">
        <f>SUM(IH$5:IH23)</f>
        <v>6188</v>
      </c>
      <c r="IP23" s="14">
        <f>SUM(II$5:II23)</f>
        <v>3140</v>
      </c>
      <c r="IQ23" s="14">
        <f>SUM(IJ$5:IJ23)</f>
        <v>920</v>
      </c>
      <c r="IR23" s="17">
        <f t="shared" si="86"/>
        <v>0.42799834001936643</v>
      </c>
      <c r="IS23" s="17">
        <f t="shared" si="87"/>
        <v>0.21718079955733849</v>
      </c>
      <c r="IT23" s="17">
        <f t="shared" si="88"/>
        <v>6.3632590953105542E-2</v>
      </c>
      <c r="IW23" s="13">
        <v>19</v>
      </c>
      <c r="IX23" s="14">
        <f>MATCH(IW23-1,属性投放!$T$6:$T$66,1)</f>
        <v>1</v>
      </c>
      <c r="IY23" s="14">
        <f>MATCH(IW23-1,属性投放!$AD$7:$AD$26,1)</f>
        <v>2</v>
      </c>
      <c r="IZ23" s="14" t="str">
        <f>INDEX(属性投放!$AB$7:$AB$26,IY23)</f>
        <v>黑绳</v>
      </c>
      <c r="JA23" s="14">
        <f t="shared" si="89"/>
        <v>160</v>
      </c>
      <c r="JB23" s="14">
        <f t="shared" si="90"/>
        <v>30</v>
      </c>
      <c r="JC23" s="14">
        <f t="shared" si="91"/>
        <v>610</v>
      </c>
      <c r="JD23" s="14">
        <f t="shared" si="92"/>
        <v>12</v>
      </c>
      <c r="JE23" s="14">
        <f t="shared" si="93"/>
        <v>6</v>
      </c>
      <c r="JF23" s="14">
        <f t="shared" si="94"/>
        <v>70</v>
      </c>
      <c r="JG23" s="14">
        <f>INDEX(属性投放!$DC$6:$DC$85,卡牌属性!IY23)</f>
        <v>10</v>
      </c>
      <c r="JH23" s="14">
        <f t="shared" si="95"/>
        <v>268</v>
      </c>
      <c r="JI23" s="14">
        <f t="shared" si="96"/>
        <v>84</v>
      </c>
      <c r="JJ23" s="14">
        <f t="shared" si="97"/>
        <v>1240</v>
      </c>
      <c r="JK23" s="14">
        <f t="shared" si="98"/>
        <v>3420</v>
      </c>
    </row>
    <row r="24" spans="1:271" ht="16.5" x14ac:dyDescent="0.2">
      <c r="A24" s="13">
        <v>1101022</v>
      </c>
      <c r="B24" s="13" t="s">
        <v>1007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554</v>
      </c>
      <c r="H24" s="13" t="s">
        <v>552</v>
      </c>
      <c r="I24" s="13" t="s">
        <v>552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548</v>
      </c>
      <c r="W24" s="13" t="s">
        <v>558</v>
      </c>
      <c r="X24" s="13" t="s">
        <v>554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1"/>
        <v>11</v>
      </c>
      <c r="AE24" s="13">
        <v>20</v>
      </c>
      <c r="AF24" s="13">
        <f t="shared" si="31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142</v>
      </c>
      <c r="AM24" s="14">
        <v>1</v>
      </c>
      <c r="AN24" s="14">
        <f t="shared" si="5"/>
        <v>20</v>
      </c>
      <c r="AO24" s="14">
        <f>INDEX(属性投放!$DF$6:$DF$85,(卡牌属性!AG24-2)*20+卡牌属性!AN24)</f>
        <v>21868</v>
      </c>
      <c r="AP24" s="14">
        <f t="shared" si="6"/>
        <v>21868</v>
      </c>
      <c r="AQ24" s="14">
        <f t="shared" si="6"/>
        <v>21868</v>
      </c>
      <c r="AR24" s="14">
        <f t="shared" si="6"/>
        <v>21868</v>
      </c>
      <c r="AS24" s="14">
        <f t="shared" si="6"/>
        <v>21868</v>
      </c>
      <c r="AT24" s="14">
        <f>INDEX(属性投放!$DG$6:$DG$85,(卡牌属性!AG24-2)*20+卡牌属性!AN24)</f>
        <v>10886</v>
      </c>
      <c r="AU24" s="14">
        <f t="shared" si="7"/>
        <v>10886</v>
      </c>
      <c r="AV24" s="14">
        <f t="shared" si="7"/>
        <v>10886</v>
      </c>
      <c r="AW24" s="14">
        <f t="shared" si="7"/>
        <v>10886</v>
      </c>
      <c r="AX24" s="14">
        <f t="shared" si="7"/>
        <v>10886</v>
      </c>
      <c r="AY24" s="14">
        <f>INDEX(属性投放!$DH$6:$DH$85,(卡牌属性!AG24-2)*20+卡牌属性!AN24)</f>
        <v>207843</v>
      </c>
      <c r="AZ24" s="14">
        <f t="shared" si="8"/>
        <v>207843</v>
      </c>
      <c r="BA24" s="14">
        <f t="shared" si="8"/>
        <v>207843</v>
      </c>
      <c r="BB24" s="14">
        <f t="shared" si="8"/>
        <v>207843</v>
      </c>
      <c r="BC24" s="14">
        <f t="shared" si="8"/>
        <v>207843</v>
      </c>
      <c r="BD24" s="14">
        <f>INDEX(属性投放!$DL$6:$DL$85,(卡牌属性!AG24-2)*20+卡牌属性!AN24)</f>
        <v>486</v>
      </c>
      <c r="BE24" s="14">
        <f t="shared" si="9"/>
        <v>486</v>
      </c>
      <c r="BF24" s="14">
        <f t="shared" si="9"/>
        <v>486</v>
      </c>
      <c r="BG24" s="14">
        <f t="shared" si="9"/>
        <v>486</v>
      </c>
      <c r="BH24" s="14">
        <f t="shared" si="9"/>
        <v>486</v>
      </c>
      <c r="BI24" s="14">
        <f>INDEX(属性投放!$DM$6:$DM$85,(卡牌属性!AG24-2)*20+卡牌属性!AN24)</f>
        <v>243</v>
      </c>
      <c r="BJ24" s="14">
        <f t="shared" si="10"/>
        <v>243</v>
      </c>
      <c r="BK24" s="14">
        <f t="shared" si="10"/>
        <v>243</v>
      </c>
      <c r="BL24" s="14">
        <f t="shared" si="10"/>
        <v>243</v>
      </c>
      <c r="BM24" s="14">
        <f t="shared" si="10"/>
        <v>243</v>
      </c>
      <c r="BN24" s="14">
        <f>INDEX(属性投放!$DN$6:$DN$85,(卡牌属性!AG24-2)*20+卡牌属性!AN24)</f>
        <v>4863</v>
      </c>
      <c r="BO24" s="14">
        <f t="shared" si="11"/>
        <v>4863</v>
      </c>
      <c r="BP24" s="14">
        <f t="shared" si="11"/>
        <v>4863</v>
      </c>
      <c r="BQ24" s="14">
        <f t="shared" si="11"/>
        <v>4863</v>
      </c>
      <c r="BR24" s="14">
        <f t="shared" si="11"/>
        <v>4863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32"/>
        <v>1102001</v>
      </c>
      <c r="CA24" s="14" t="str">
        <f t="shared" si="33"/>
        <v>关羽20突</v>
      </c>
      <c r="CB24" s="25" t="s">
        <v>142</v>
      </c>
      <c r="CC24" s="14">
        <v>2</v>
      </c>
      <c r="CD24" s="14">
        <f t="shared" si="14"/>
        <v>20</v>
      </c>
      <c r="CE24" s="14" t="s">
        <v>21</v>
      </c>
      <c r="CF24" s="14">
        <f>INDEX(属性投放!$AZ$6:$AZ$85,(BY24-2)*20+CD24)</f>
        <v>31354</v>
      </c>
      <c r="CG24" s="14" t="s">
        <v>22</v>
      </c>
      <c r="CH24" s="14">
        <f>INDEX(属性投放!$BA$6:$BA$85,(BY24-2)*20+CD24)</f>
        <v>15610</v>
      </c>
      <c r="CI24" s="14" t="s">
        <v>510</v>
      </c>
      <c r="CJ24" s="14">
        <f>INDEX(属性投放!$BB$6:$BB$85,(BY24-2)*20+CD24)</f>
        <v>296547</v>
      </c>
      <c r="CK24" s="14" t="s">
        <v>21</v>
      </c>
      <c r="CL24" s="14">
        <f>INDEX(属性投放!$BC$6:$BC$85,(BY24-2)*20+CD24)</f>
        <v>100</v>
      </c>
      <c r="CM24" s="14" t="s">
        <v>22</v>
      </c>
      <c r="CN24" s="14">
        <f>INDEX(属性投放!$BD$6:$BD$85,(BY24-2)*20+CD24)</f>
        <v>50</v>
      </c>
      <c r="CO24" s="14" t="s">
        <v>510</v>
      </c>
      <c r="CP24" s="14">
        <f>INDEX(属性投放!$BE$6:$BE$85,(BY24-2)*20+CD24)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INDEX($O$6:$O$50,CT24)&amp;"-"&amp;INDEX(属性投放!$AB$7:$AB$50,CZ24)&amp;"-魂火-"&amp;DB24</f>
        <v>关羽-大叫唤-魂火-2</v>
      </c>
      <c r="CY24" s="25" t="s">
        <v>142</v>
      </c>
      <c r="CZ24" s="14">
        <f>INDEX(属性投放!$AM$7:$AM$58,CU24)</f>
        <v>10</v>
      </c>
      <c r="DA24" s="14" t="s">
        <v>537</v>
      </c>
      <c r="DB24" s="14">
        <f>INDEX(属性投放!$AN$7:$AN$58,CU24)</f>
        <v>2</v>
      </c>
      <c r="DC24" s="14">
        <f t="shared" si="16"/>
        <v>20</v>
      </c>
      <c r="DD24" s="14">
        <f>INDEX(属性投放!$AO$7:$AO$58,DC24)</f>
        <v>68</v>
      </c>
      <c r="DE24" s="14" t="s">
        <v>538</v>
      </c>
      <c r="DF24" s="14">
        <f>INDEX(属性投放!$BK$6:$BK$85,(CV24-2)*20+CZ24)</f>
        <v>150</v>
      </c>
      <c r="DG24" s="14">
        <f>SUMIFS(DF$5:DF24,$CT$5:$CT24,"="&amp;$CT24)</f>
        <v>1769</v>
      </c>
      <c r="DH24" s="14" t="s">
        <v>539</v>
      </c>
      <c r="DI24" s="14">
        <f>INDEX(属性投放!$BL$6:$BL$85,(CV24-2)*20+CZ24)</f>
        <v>75</v>
      </c>
      <c r="DJ24" s="14">
        <f>SUMIFS(DI$5:DI24,$CT$5:$CT24,"="&amp;$CT24)</f>
        <v>887</v>
      </c>
      <c r="DK24" s="14" t="s">
        <v>540</v>
      </c>
      <c r="DL24" s="14">
        <f>INDEX(属性投放!$BM$6:$BM$85,(CV24-2)*20+CZ24)</f>
        <v>1350</v>
      </c>
      <c r="DM24" s="14">
        <f>SUMIFS(DL$5:DL24,$CT$5:$CT24,"="&amp;$CT24)</f>
        <v>13632</v>
      </c>
      <c r="DR24" s="14">
        <f t="shared" si="17"/>
        <v>1102001</v>
      </c>
      <c r="DS24" s="14" t="str">
        <f t="shared" si="18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19"/>
        <v>5</v>
      </c>
      <c r="DX24" s="14">
        <f t="shared" si="20"/>
        <v>20</v>
      </c>
      <c r="DY24" s="14">
        <f t="shared" si="21"/>
        <v>80</v>
      </c>
      <c r="DZ24" s="14">
        <f>INDEX(属性投放!$AX$6:$AX$85,(卡牌属性!DW24-2)*20+卡牌属性!DX24)</f>
        <v>10</v>
      </c>
      <c r="EA24" s="14">
        <f>INDEX(属性投放!BQ$6:BQ$85,卡牌属性!$DY24)</f>
        <v>1600</v>
      </c>
      <c r="EB24" s="14">
        <f>INDEX(属性投放!BR$6:BR$85,卡牌属性!$DY24)</f>
        <v>800</v>
      </c>
      <c r="EC24" s="14">
        <f>INDEX(属性投放!BS$6:BS$85,卡牌属性!$DY24)</f>
        <v>16000</v>
      </c>
      <c r="ED24" s="14">
        <f t="shared" si="41"/>
        <v>15185</v>
      </c>
      <c r="EE24" s="14">
        <f t="shared" si="42"/>
        <v>17390</v>
      </c>
      <c r="EF24" s="14">
        <f t="shared" si="43"/>
        <v>20585</v>
      </c>
      <c r="EG24" s="14">
        <f t="shared" si="44"/>
        <v>20585</v>
      </c>
      <c r="EH24" s="14">
        <f t="shared" si="45"/>
        <v>25175</v>
      </c>
      <c r="EI24" s="14">
        <f t="shared" si="46"/>
        <v>6763</v>
      </c>
      <c r="EJ24" s="14">
        <f t="shared" si="47"/>
        <v>7113</v>
      </c>
      <c r="EK24" s="14">
        <f t="shared" si="48"/>
        <v>7113</v>
      </c>
      <c r="EL24" s="14">
        <f t="shared" si="49"/>
        <v>7570</v>
      </c>
      <c r="EM24" s="14">
        <f t="shared" si="50"/>
        <v>8695</v>
      </c>
      <c r="EN24" s="14">
        <f t="shared" si="51"/>
        <v>126103</v>
      </c>
      <c r="EO24" s="14">
        <f t="shared" si="52"/>
        <v>132047</v>
      </c>
      <c r="EP24" s="14">
        <f t="shared" si="53"/>
        <v>132047</v>
      </c>
      <c r="EQ24" s="14">
        <f t="shared" si="54"/>
        <v>140445</v>
      </c>
      <c r="ER24" s="14">
        <f t="shared" si="55"/>
        <v>160905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INDEX(属性投放!$BQ$6:$BQ$85,(卡牌属性!$DW24-2)*20+卡牌属性!$DX24)</f>
        <v>1600</v>
      </c>
      <c r="FI24" s="14">
        <f>INDEX(属性投放!$BQ$6:$BQ$85,(卡牌属性!$DW24-2)*20+卡牌属性!$DX24)</f>
        <v>1600</v>
      </c>
      <c r="FJ24" s="14">
        <f>INDEX(属性投放!$BQ$6:$BQ$85,(卡牌属性!$DW24-2)*20+卡牌属性!$DX24)</f>
        <v>1600</v>
      </c>
      <c r="FK24" s="14">
        <f>INDEX(属性投放!$BQ$6:$BQ$85,(卡牌属性!$DW24-2)*20+卡牌属性!$DX24)</f>
        <v>1600</v>
      </c>
      <c r="FL24" s="14">
        <f>INDEX(属性投放!$BQ$6:$BQ$85,(卡牌属性!$DW24-2)*20+卡牌属性!$DX24)</f>
        <v>1600</v>
      </c>
      <c r="FM24" s="14">
        <f>INDEX(属性投放!$BR$6:$BR$85,(卡牌属性!$DW24-2)*20+卡牌属性!$DX24)</f>
        <v>800</v>
      </c>
      <c r="FN24" s="14">
        <f>INDEX(属性投放!$BR$6:$BR$85,(卡牌属性!$DW24-2)*20+卡牌属性!$DX24)</f>
        <v>800</v>
      </c>
      <c r="FO24" s="14">
        <f>INDEX(属性投放!$BR$6:$BR$85,(卡牌属性!$DW24-2)*20+卡牌属性!$DX24)</f>
        <v>800</v>
      </c>
      <c r="FP24" s="14">
        <f>INDEX(属性投放!$BR$6:$BR$85,(卡牌属性!$DW24-2)*20+卡牌属性!$DX24)</f>
        <v>800</v>
      </c>
      <c r="FQ24" s="14">
        <f>INDEX(属性投放!$BR$6:$BR$85,(卡牌属性!$DW24-2)*20+卡牌属性!$DX24)</f>
        <v>800</v>
      </c>
      <c r="FR24" s="14">
        <f>INDEX(属性投放!$BS$6:$BS$85,(卡牌属性!$DW24-2)*20+卡牌属性!$DX24)</f>
        <v>16000</v>
      </c>
      <c r="FS24" s="14">
        <f>INDEX(属性投放!$BS$6:$BS$85,(卡牌属性!$DW24-2)*20+卡牌属性!$DX24)</f>
        <v>16000</v>
      </c>
      <c r="FT24" s="14">
        <f>INDEX(属性投放!$BS$6:$BS$85,(卡牌属性!$DW24-2)*20+卡牌属性!$DX24)</f>
        <v>16000</v>
      </c>
      <c r="FU24" s="14">
        <f>INDEX(属性投放!$BS$6:$BS$85,(卡牌属性!$DW24-2)*20+卡牌属性!$DX24)</f>
        <v>16000</v>
      </c>
      <c r="FV24" s="14">
        <f>INDEX(属性投放!$BS$6:$BS$85,(卡牌属性!$DW24-2)*20+卡牌属性!$DX24)</f>
        <v>16000</v>
      </c>
      <c r="FZ24" s="13">
        <v>20</v>
      </c>
      <c r="GA24" s="13">
        <f t="shared" si="22"/>
        <v>4</v>
      </c>
      <c r="GB24" s="14">
        <f t="shared" si="56"/>
        <v>1102004</v>
      </c>
      <c r="GC24" s="14" t="s">
        <v>1187</v>
      </c>
      <c r="GD24" s="14">
        <f t="shared" si="23"/>
        <v>5</v>
      </c>
      <c r="GE24" s="14" t="str">
        <f t="shared" si="24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5"/>
        <v>4</v>
      </c>
      <c r="GP24" s="14">
        <f t="shared" si="57"/>
        <v>1101004</v>
      </c>
      <c r="GQ24" s="14" t="s">
        <v>1187</v>
      </c>
      <c r="GR24" s="14">
        <f t="shared" si="26"/>
        <v>5</v>
      </c>
      <c r="GS24" s="14" t="str">
        <f t="shared" si="27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MATCH(HC24,属性投放!$AO$6:$AO$58,1)-1</f>
        <v>4</v>
      </c>
      <c r="HF24" s="13">
        <f>MATCH(HC24-1,属性投放!$AE$6:$AE$26,1)</f>
        <v>3</v>
      </c>
      <c r="HG24" s="13" t="str">
        <f>INDEX(属性投放!$AB$7:$AB$26,卡牌属性!HF24)</f>
        <v>黑绳+1</v>
      </c>
      <c r="HH24" s="14">
        <f t="shared" si="58"/>
        <v>473</v>
      </c>
      <c r="HI24" s="14">
        <f t="shared" si="59"/>
        <v>158</v>
      </c>
      <c r="HJ24" s="14">
        <f t="shared" si="60"/>
        <v>2060</v>
      </c>
      <c r="HK24" s="14">
        <f t="shared" si="61"/>
        <v>15</v>
      </c>
      <c r="HL24" s="14">
        <f t="shared" si="62"/>
        <v>6</v>
      </c>
      <c r="HM24" s="14">
        <f t="shared" si="63"/>
        <v>72</v>
      </c>
      <c r="HN24" s="14">
        <f>HH24+HK24*($HC24-INDEX(属性投放!$AE$6:$AE$26,卡牌属性!$HF24))</f>
        <v>548</v>
      </c>
      <c r="HO24" s="14">
        <f>HI24+HL24*($HC24-INDEX(属性投放!$AE$6:$AE$26,卡牌属性!$HF24))</f>
        <v>188</v>
      </c>
      <c r="HP24" s="14">
        <f>HJ24+HM24*($HC24-INDEX(属性投放!$AE$6:$AE$26,卡牌属性!$HF24))</f>
        <v>2420</v>
      </c>
      <c r="HQ24" s="14">
        <f t="shared" si="64"/>
        <v>120</v>
      </c>
      <c r="HR24" s="14">
        <f t="shared" si="65"/>
        <v>61</v>
      </c>
      <c r="HS24" s="14">
        <f t="shared" si="66"/>
        <v>720</v>
      </c>
      <c r="HT24" s="14">
        <f>IF(COUNTIF(属性投放!$AO$7:$AO$58,"="&amp;卡牌属性!HC24)&gt;0,卡牌属性!HE24,0)</f>
        <v>0</v>
      </c>
      <c r="HU24" s="14">
        <f t="shared" si="67"/>
        <v>0</v>
      </c>
      <c r="HV24" s="14">
        <f t="shared" si="68"/>
        <v>0</v>
      </c>
      <c r="HW24" s="14">
        <f t="shared" si="69"/>
        <v>0</v>
      </c>
      <c r="HX24" s="14">
        <f>IF(COUNTIF(属性投放!$AE$6:$AE$26,"="&amp;卡牌属性!HC24)&gt;0,卡牌属性!HF24,0)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15</v>
      </c>
      <c r="IC24" s="14">
        <f t="shared" si="74"/>
        <v>6</v>
      </c>
      <c r="ID24" s="14">
        <f t="shared" si="75"/>
        <v>72</v>
      </c>
      <c r="IE24" s="14">
        <f t="shared" si="76"/>
        <v>668</v>
      </c>
      <c r="IF24" s="14">
        <f t="shared" si="77"/>
        <v>249</v>
      </c>
      <c r="IG24" s="14">
        <f t="shared" si="78"/>
        <v>3140</v>
      </c>
      <c r="IH24" s="14">
        <f t="shared" si="79"/>
        <v>342</v>
      </c>
      <c r="II24" s="14">
        <f t="shared" si="80"/>
        <v>0</v>
      </c>
      <c r="IJ24" s="14">
        <f t="shared" si="81"/>
        <v>0</v>
      </c>
      <c r="IK24" s="14">
        <f t="shared" si="82"/>
        <v>14800</v>
      </c>
      <c r="IL24" s="17">
        <f t="shared" si="83"/>
        <v>2.3108108108108108E-2</v>
      </c>
      <c r="IM24" s="17">
        <f t="shared" si="84"/>
        <v>0</v>
      </c>
      <c r="IN24" s="17">
        <f t="shared" si="85"/>
        <v>0</v>
      </c>
      <c r="IO24" s="23">
        <f>SUM(IH$5:IH24)</f>
        <v>6530</v>
      </c>
      <c r="IP24" s="14">
        <f>SUM(II$5:II24)</f>
        <v>3140</v>
      </c>
      <c r="IQ24" s="14">
        <f>SUM(IJ$5:IJ24)</f>
        <v>920</v>
      </c>
      <c r="IR24" s="17">
        <f t="shared" si="86"/>
        <v>0.44121621621621621</v>
      </c>
      <c r="IS24" s="17">
        <f t="shared" si="87"/>
        <v>0.21216216216216216</v>
      </c>
      <c r="IT24" s="17">
        <f t="shared" si="88"/>
        <v>6.2162162162162166E-2</v>
      </c>
      <c r="IW24" s="13">
        <v>20</v>
      </c>
      <c r="IX24" s="14">
        <f>MATCH(IW24-1,属性投放!$T$6:$T$66,1)</f>
        <v>1</v>
      </c>
      <c r="IY24" s="14">
        <f>MATCH(IW24-1,属性投放!$AD$7:$AD$26,1)</f>
        <v>2</v>
      </c>
      <c r="IZ24" s="14" t="str">
        <f>INDEX(属性投放!$AB$7:$AB$26,IY24)</f>
        <v>黑绳</v>
      </c>
      <c r="JA24" s="14">
        <f t="shared" si="89"/>
        <v>160</v>
      </c>
      <c r="JB24" s="14">
        <f t="shared" si="90"/>
        <v>30</v>
      </c>
      <c r="JC24" s="14">
        <f t="shared" si="91"/>
        <v>610</v>
      </c>
      <c r="JD24" s="14">
        <f t="shared" si="92"/>
        <v>12</v>
      </c>
      <c r="JE24" s="14">
        <f t="shared" si="93"/>
        <v>6</v>
      </c>
      <c r="JF24" s="14">
        <f t="shared" si="94"/>
        <v>70</v>
      </c>
      <c r="JG24" s="14">
        <f>INDEX(属性投放!$DC$6:$DC$85,卡牌属性!IY24)</f>
        <v>10</v>
      </c>
      <c r="JH24" s="14">
        <f t="shared" si="95"/>
        <v>280</v>
      </c>
      <c r="JI24" s="14">
        <f t="shared" si="96"/>
        <v>90</v>
      </c>
      <c r="JJ24" s="14">
        <f t="shared" si="97"/>
        <v>1310</v>
      </c>
      <c r="JK24" s="14">
        <f t="shared" si="98"/>
        <v>3610</v>
      </c>
    </row>
    <row r="25" spans="1:271" ht="16.5" x14ac:dyDescent="0.2">
      <c r="A25" s="13">
        <v>1101023</v>
      </c>
      <c r="B25" s="13" t="s">
        <v>1008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556</v>
      </c>
      <c r="H25" s="13" t="s">
        <v>556</v>
      </c>
      <c r="I25" s="13" t="s">
        <v>556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558</v>
      </c>
      <c r="W25" s="13" t="s">
        <v>556</v>
      </c>
      <c r="X25" s="13" t="s">
        <v>556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1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142</v>
      </c>
      <c r="AM25" s="14">
        <v>1</v>
      </c>
      <c r="AN25" s="14">
        <f t="shared" si="5"/>
        <v>1</v>
      </c>
      <c r="AO25" s="14">
        <f>INDEX(属性投放!$DF$6:$DF$85,(卡牌属性!AG25-2)*20+卡牌属性!AN25)</f>
        <v>100</v>
      </c>
      <c r="AP25" s="14">
        <f t="shared" ref="AP25:AS44" si="99">$AO25</f>
        <v>100</v>
      </c>
      <c r="AQ25" s="14">
        <f t="shared" si="99"/>
        <v>100</v>
      </c>
      <c r="AR25" s="14">
        <f t="shared" si="99"/>
        <v>100</v>
      </c>
      <c r="AS25" s="14">
        <f t="shared" si="99"/>
        <v>100</v>
      </c>
      <c r="AT25" s="14">
        <f>INDEX(属性投放!$DG$6:$DG$85,(卡牌属性!AG25-2)*20+卡牌属性!AN25)</f>
        <v>0</v>
      </c>
      <c r="AU25" s="14">
        <f t="shared" ref="AU25:AX44" si="100">$AT25</f>
        <v>0</v>
      </c>
      <c r="AV25" s="14">
        <f t="shared" si="100"/>
        <v>0</v>
      </c>
      <c r="AW25" s="14">
        <f t="shared" si="100"/>
        <v>0</v>
      </c>
      <c r="AX25" s="14">
        <f t="shared" si="100"/>
        <v>0</v>
      </c>
      <c r="AY25" s="14">
        <f>INDEX(属性投放!$DH$6:$DH$85,(卡牌属性!AG25-2)*20+卡牌属性!AN25)</f>
        <v>250.00000000000003</v>
      </c>
      <c r="AZ25" s="14">
        <f t="shared" ref="AZ25:BC44" si="101">$AY25</f>
        <v>250.00000000000003</v>
      </c>
      <c r="BA25" s="14">
        <f t="shared" si="101"/>
        <v>250.00000000000003</v>
      </c>
      <c r="BB25" s="14">
        <f t="shared" si="101"/>
        <v>250.00000000000003</v>
      </c>
      <c r="BC25" s="14">
        <f t="shared" si="101"/>
        <v>250.00000000000003</v>
      </c>
      <c r="BD25" s="14">
        <f>INDEX(属性投放!$DL$6:$DL$85,(卡牌属性!AG25-2)*20+卡牌属性!AN25)</f>
        <v>6</v>
      </c>
      <c r="BE25" s="14">
        <f t="shared" ref="BE25:BH44" si="102">$BD25</f>
        <v>6</v>
      </c>
      <c r="BF25" s="14">
        <f t="shared" si="102"/>
        <v>6</v>
      </c>
      <c r="BG25" s="14">
        <f t="shared" si="102"/>
        <v>6</v>
      </c>
      <c r="BH25" s="14">
        <f t="shared" si="102"/>
        <v>6</v>
      </c>
      <c r="BI25" s="14">
        <f>INDEX(属性投放!$DM$6:$DM$85,(卡牌属性!AG25-2)*20+卡牌属性!AN25)</f>
        <v>3</v>
      </c>
      <c r="BJ25" s="14">
        <f t="shared" ref="BJ25:BM44" si="103">$BI25</f>
        <v>3</v>
      </c>
      <c r="BK25" s="14">
        <f t="shared" si="103"/>
        <v>3</v>
      </c>
      <c r="BL25" s="14">
        <f t="shared" si="103"/>
        <v>3</v>
      </c>
      <c r="BM25" s="14">
        <f t="shared" si="103"/>
        <v>3</v>
      </c>
      <c r="BN25" s="14">
        <f>INDEX(属性投放!$DN$6:$DN$85,(卡牌属性!AG25-2)*20+卡牌属性!AN25)</f>
        <v>36</v>
      </c>
      <c r="BO25" s="14">
        <f t="shared" ref="BO25:BR44" si="104">$BN25</f>
        <v>36</v>
      </c>
      <c r="BP25" s="14">
        <f t="shared" si="104"/>
        <v>36</v>
      </c>
      <c r="BQ25" s="14">
        <f t="shared" si="104"/>
        <v>36</v>
      </c>
      <c r="BR25" s="14">
        <f t="shared" si="104"/>
        <v>36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32"/>
        <v>1102002</v>
      </c>
      <c r="CA25" s="14" t="str">
        <f t="shared" si="33"/>
        <v>许褚1突</v>
      </c>
      <c r="CB25" s="25" t="s">
        <v>142</v>
      </c>
      <c r="CC25" s="14">
        <v>2</v>
      </c>
      <c r="CD25" s="14">
        <f t="shared" si="14"/>
        <v>1</v>
      </c>
      <c r="CE25" s="14" t="s">
        <v>21</v>
      </c>
      <c r="CF25" s="14">
        <f>INDEX(属性投放!$AZ$6:$AZ$85,(BY25-2)*20+CD25)</f>
        <v>150</v>
      </c>
      <c r="CG25" s="14" t="s">
        <v>22</v>
      </c>
      <c r="CH25" s="14">
        <f>INDEX(属性投放!$BA$6:$BA$85,(BY25-2)*20+CD25)</f>
        <v>10</v>
      </c>
      <c r="CI25" s="14" t="s">
        <v>510</v>
      </c>
      <c r="CJ25" s="14">
        <f>INDEX(属性投放!$BB$6:$BB$85,(BY25-2)*20+CD25)</f>
        <v>500</v>
      </c>
      <c r="CK25" s="14" t="s">
        <v>21</v>
      </c>
      <c r="CL25" s="14">
        <f>INDEX(属性投放!$BC$6:$BC$85,(BY25-2)*20+CD25)</f>
        <v>8</v>
      </c>
      <c r="CM25" s="14" t="s">
        <v>22</v>
      </c>
      <c r="CN25" s="14">
        <f>INDEX(属性投放!$BD$6:$BD$85,(BY25-2)*20+CD25)</f>
        <v>4</v>
      </c>
      <c r="CO25" s="14" t="s">
        <v>510</v>
      </c>
      <c r="CP25" s="14">
        <f>INDEX(属性投放!$BE$6:$BE$85,(BY25-2)*20+CD25)</f>
        <v>48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INDEX($O$6:$O$50,CT25)&amp;"-"&amp;INDEX(属性投放!$AB$7:$AB$50,CZ25)&amp;"-魂火-"&amp;DB25</f>
        <v>关羽-大叫唤-魂火-3</v>
      </c>
      <c r="CY25" s="25" t="s">
        <v>142</v>
      </c>
      <c r="CZ25" s="14">
        <f>INDEX(属性投放!$AM$7:$AM$58,CU25)</f>
        <v>10</v>
      </c>
      <c r="DA25" s="14" t="s">
        <v>537</v>
      </c>
      <c r="DB25" s="14">
        <f>INDEX(属性投放!$AN$7:$AN$58,CU25)</f>
        <v>3</v>
      </c>
      <c r="DC25" s="14">
        <f t="shared" si="16"/>
        <v>21</v>
      </c>
      <c r="DD25" s="14">
        <f>INDEX(属性投放!$AO$7:$AO$58,DC25)</f>
        <v>70</v>
      </c>
      <c r="DE25" s="14" t="s">
        <v>538</v>
      </c>
      <c r="DF25" s="14">
        <f>INDEX(属性投放!$BK$6:$BK$85,(CV25-2)*20+CZ25)</f>
        <v>150</v>
      </c>
      <c r="DG25" s="14">
        <f>SUMIFS(DF$5:DF25,$CT$5:$CT25,"="&amp;$CT25)</f>
        <v>1919</v>
      </c>
      <c r="DH25" s="14" t="s">
        <v>539</v>
      </c>
      <c r="DI25" s="14">
        <f>INDEX(属性投放!$BL$6:$BL$85,(CV25-2)*20+CZ25)</f>
        <v>75</v>
      </c>
      <c r="DJ25" s="14">
        <f>SUMIFS(DI$5:DI25,$CT$5:$CT25,"="&amp;$CT25)</f>
        <v>962</v>
      </c>
      <c r="DK25" s="14" t="s">
        <v>540</v>
      </c>
      <c r="DL25" s="14">
        <f>INDEX(属性投放!$BM$6:$BM$85,(CV25-2)*20+CZ25)</f>
        <v>1350</v>
      </c>
      <c r="DM25" s="14">
        <f>SUMIFS(DL$5:DL25,$CT$5:$CT25,"="&amp;$CT25)</f>
        <v>14982</v>
      </c>
      <c r="DR25" s="14">
        <f t="shared" si="17"/>
        <v>1102002</v>
      </c>
      <c r="DS25" s="14" t="str">
        <f t="shared" si="18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19"/>
        <v>3</v>
      </c>
      <c r="DX25" s="14">
        <f t="shared" si="20"/>
        <v>1</v>
      </c>
      <c r="DY25" s="14">
        <f t="shared" si="21"/>
        <v>21</v>
      </c>
      <c r="DZ25" s="14">
        <f>INDEX(属性投放!$AX$6:$AX$85,(卡牌属性!DW25-2)*20+卡牌属性!DX25)</f>
        <v>4</v>
      </c>
      <c r="EA25" s="14">
        <f>INDEX(属性投放!BQ$6:BQ$85,卡牌属性!$DY25)</f>
        <v>30</v>
      </c>
      <c r="EB25" s="14">
        <f>INDEX(属性投放!BR$6:BR$85,卡牌属性!$DY25)</f>
        <v>15</v>
      </c>
      <c r="EC25" s="14">
        <f>INDEX(属性投放!BS$6:BS$85,卡牌属性!$DY25)</f>
        <v>180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175</v>
      </c>
      <c r="EG25" s="14">
        <f>INDEX(属性偏向!$I$4:$I$15,卡牌属性!$DT25+EG$3)</f>
        <v>175</v>
      </c>
      <c r="EH25" s="14">
        <f>INDEX(属性偏向!$I$4:$I$15,卡牌属性!$DT25+EH$3)</f>
        <v>200</v>
      </c>
      <c r="EI25" s="14">
        <f>INDEX(属性偏向!$J$4:$J$15,卡牌属性!$DU25+EI$3)</f>
        <v>30</v>
      </c>
      <c r="EJ25" s="14">
        <f>INDEX(属性偏向!$J$4:$J$15,卡牌属性!$DU25+EJ$3)</f>
        <v>40</v>
      </c>
      <c r="EK25" s="14">
        <f>INDEX(属性偏向!$J$4:$J$15,卡牌属性!$DU25+EK$3)</f>
        <v>40</v>
      </c>
      <c r="EL25" s="14">
        <f>INDEX(属性偏向!$J$4:$J$15,卡牌属性!$DU25+EL$3)</f>
        <v>50</v>
      </c>
      <c r="EM25" s="14">
        <f>INDEX(属性偏向!$J$4:$J$15,卡牌属性!$DU25+EM$3)</f>
        <v>75</v>
      </c>
      <c r="EN25" s="14">
        <f>INDEX(属性偏向!$K$4:$K$15,卡牌属性!$DV25+EN$3)</f>
        <v>650</v>
      </c>
      <c r="EO25" s="14">
        <f>INDEX(属性偏向!$K$4:$K$15,卡牌属性!$DV25+EO$3)</f>
        <v>800</v>
      </c>
      <c r="EP25" s="14">
        <f>INDEX(属性偏向!$K$4:$K$15,卡牌属性!$DV25+EP$3)</f>
        <v>800</v>
      </c>
      <c r="EQ25" s="14">
        <f>INDEX(属性偏向!$K$4:$K$15,卡牌属性!$DV25+EQ$3)</f>
        <v>1000</v>
      </c>
      <c r="ER25" s="14">
        <f>INDEX(属性偏向!$K$4:$K$15,卡牌属性!$DV25+ER$3)</f>
        <v>1200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60</v>
      </c>
      <c r="FD25" s="14">
        <f>INDEX(属性偏向!$U$4:$U$243,(卡牌属性!$DV25-1+FD$3)*20+卡牌属性!$DX25)</f>
        <v>72</v>
      </c>
      <c r="FE25" s="14">
        <f>INDEX(属性偏向!$U$4:$U$243,(卡牌属性!$DV25-1+FE$3)*20+卡牌属性!$DX25)</f>
        <v>72</v>
      </c>
      <c r="FF25" s="14">
        <f>INDEX(属性偏向!$U$4:$U$243,(卡牌属性!$DV25-1+FF$3)*20+卡牌属性!$DX25)</f>
        <v>78</v>
      </c>
      <c r="FG25" s="14">
        <f>INDEX(属性偏向!$U$4:$U$243,(卡牌属性!$DV25-1+FG$3)*20+卡牌属性!$DX25)</f>
        <v>90</v>
      </c>
      <c r="FH25" s="14">
        <f>INDEX(属性投放!$BQ$6:$BQ$85,(卡牌属性!$DW25-2)*20+卡牌属性!$DX25)</f>
        <v>30</v>
      </c>
      <c r="FI25" s="14">
        <f>INDEX(属性投放!$BQ$6:$BQ$85,(卡牌属性!$DW25-2)*20+卡牌属性!$DX25)</f>
        <v>30</v>
      </c>
      <c r="FJ25" s="14">
        <f>INDEX(属性投放!$BQ$6:$BQ$85,(卡牌属性!$DW25-2)*20+卡牌属性!$DX25)</f>
        <v>30</v>
      </c>
      <c r="FK25" s="14">
        <f>INDEX(属性投放!$BQ$6:$BQ$85,(卡牌属性!$DW25-2)*20+卡牌属性!$DX25)</f>
        <v>30</v>
      </c>
      <c r="FL25" s="14">
        <f>INDEX(属性投放!$BQ$6:$BQ$85,(卡牌属性!$DW25-2)*20+卡牌属性!$DX25)</f>
        <v>30</v>
      </c>
      <c r="FM25" s="14">
        <f>INDEX(属性投放!$BR$6:$BR$85,(卡牌属性!$DW25-2)*20+卡牌属性!$DX25)</f>
        <v>15</v>
      </c>
      <c r="FN25" s="14">
        <f>INDEX(属性投放!$BR$6:$BR$85,(卡牌属性!$DW25-2)*20+卡牌属性!$DX25)</f>
        <v>15</v>
      </c>
      <c r="FO25" s="14">
        <f>INDEX(属性投放!$BR$6:$BR$85,(卡牌属性!$DW25-2)*20+卡牌属性!$DX25)</f>
        <v>15</v>
      </c>
      <c r="FP25" s="14">
        <f>INDEX(属性投放!$BR$6:$BR$85,(卡牌属性!$DW25-2)*20+卡牌属性!$DX25)</f>
        <v>15</v>
      </c>
      <c r="FQ25" s="14">
        <f>INDEX(属性投放!$BR$6:$BR$85,(卡牌属性!$DW25-2)*20+卡牌属性!$DX25)</f>
        <v>15</v>
      </c>
      <c r="FR25" s="14">
        <f>INDEX(属性投放!$BS$6:$BS$85,(卡牌属性!$DW25-2)*20+卡牌属性!$DX25)</f>
        <v>180</v>
      </c>
      <c r="FS25" s="14">
        <f>INDEX(属性投放!$BS$6:$BS$85,(卡牌属性!$DW25-2)*20+卡牌属性!$DX25)</f>
        <v>180</v>
      </c>
      <c r="FT25" s="14">
        <f>INDEX(属性投放!$BS$6:$BS$85,(卡牌属性!$DW25-2)*20+卡牌属性!$DX25)</f>
        <v>180</v>
      </c>
      <c r="FU25" s="14">
        <f>INDEX(属性投放!$BS$6:$BS$85,(卡牌属性!$DW25-2)*20+卡牌属性!$DX25)</f>
        <v>180</v>
      </c>
      <c r="FV25" s="14">
        <f>INDEX(属性投放!$BS$6:$BS$85,(卡牌属性!$DW25-2)*20+卡牌属性!$DX25)</f>
        <v>180</v>
      </c>
      <c r="FZ25" s="13">
        <v>21</v>
      </c>
      <c r="GA25" s="13">
        <f t="shared" si="22"/>
        <v>5</v>
      </c>
      <c r="GB25" s="14">
        <f t="shared" si="56"/>
        <v>1102005</v>
      </c>
      <c r="GC25" s="14" t="s">
        <v>1187</v>
      </c>
      <c r="GD25" s="14">
        <f t="shared" si="23"/>
        <v>1</v>
      </c>
      <c r="GE25" s="14" t="str">
        <f t="shared" si="24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5"/>
        <v>5</v>
      </c>
      <c r="GP25" s="14">
        <f t="shared" si="57"/>
        <v>1101005</v>
      </c>
      <c r="GQ25" s="14" t="s">
        <v>1187</v>
      </c>
      <c r="GR25" s="14">
        <f t="shared" si="26"/>
        <v>1</v>
      </c>
      <c r="GS25" s="14" t="str">
        <f t="shared" si="27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MATCH(HC25,属性投放!$AO$6:$AO$58,1)-1</f>
        <v>4</v>
      </c>
      <c r="HF25" s="13">
        <f>MATCH(HC25-1,属性投放!$AE$6:$AE$26,1)</f>
        <v>3</v>
      </c>
      <c r="HG25" s="13" t="str">
        <f>INDEX(属性投放!$AB$7:$AB$26,卡牌属性!HF25)</f>
        <v>黑绳+1</v>
      </c>
      <c r="HH25" s="14">
        <f t="shared" si="58"/>
        <v>473</v>
      </c>
      <c r="HI25" s="14">
        <f t="shared" si="59"/>
        <v>158</v>
      </c>
      <c r="HJ25" s="14">
        <f t="shared" si="60"/>
        <v>2060</v>
      </c>
      <c r="HK25" s="14">
        <f t="shared" si="61"/>
        <v>15</v>
      </c>
      <c r="HL25" s="14">
        <f t="shared" si="62"/>
        <v>6</v>
      </c>
      <c r="HM25" s="14">
        <f t="shared" si="63"/>
        <v>72</v>
      </c>
      <c r="HN25" s="14">
        <f>HH25+HK25*($HC25-INDEX(属性投放!$AE$6:$AE$26,卡牌属性!$HF25))</f>
        <v>563</v>
      </c>
      <c r="HO25" s="14">
        <f>HI25+HL25*($HC25-INDEX(属性投放!$AE$6:$AE$26,卡牌属性!$HF25))</f>
        <v>194</v>
      </c>
      <c r="HP25" s="14">
        <f>HJ25+HM25*($HC25-INDEX(属性投放!$AE$6:$AE$26,卡牌属性!$HF25))</f>
        <v>2492</v>
      </c>
      <c r="HQ25" s="14">
        <f t="shared" si="64"/>
        <v>120</v>
      </c>
      <c r="HR25" s="14">
        <f t="shared" si="65"/>
        <v>61</v>
      </c>
      <c r="HS25" s="14">
        <f t="shared" si="66"/>
        <v>720</v>
      </c>
      <c r="HT25" s="14">
        <f>IF(COUNTIF(属性投放!$AO$7:$AO$58,"="&amp;卡牌属性!HC25)&gt;0,卡牌属性!HE25,0)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IF(COUNTIF(属性投放!$AE$6:$AE$26,"="&amp;卡牌属性!HC25)&gt;0,卡牌属性!HF25,0)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15</v>
      </c>
      <c r="IC25" s="14">
        <f t="shared" si="74"/>
        <v>6</v>
      </c>
      <c r="ID25" s="14">
        <f t="shared" si="75"/>
        <v>72</v>
      </c>
      <c r="IE25" s="14">
        <f t="shared" si="76"/>
        <v>683</v>
      </c>
      <c r="IF25" s="14">
        <f t="shared" si="77"/>
        <v>255</v>
      </c>
      <c r="IG25" s="14">
        <f t="shared" si="78"/>
        <v>3212</v>
      </c>
      <c r="IH25" s="14">
        <f t="shared" si="79"/>
        <v>342</v>
      </c>
      <c r="II25" s="14">
        <f t="shared" si="80"/>
        <v>0</v>
      </c>
      <c r="IJ25" s="14">
        <f t="shared" si="81"/>
        <v>0</v>
      </c>
      <c r="IK25" s="14">
        <f t="shared" si="82"/>
        <v>15142</v>
      </c>
      <c r="IL25" s="17">
        <f t="shared" si="83"/>
        <v>2.258618412362964E-2</v>
      </c>
      <c r="IM25" s="17">
        <f t="shared" si="84"/>
        <v>0</v>
      </c>
      <c r="IN25" s="17">
        <f t="shared" si="85"/>
        <v>0</v>
      </c>
      <c r="IO25" s="23">
        <f>SUM(IH$5:IH25)</f>
        <v>6872</v>
      </c>
      <c r="IP25" s="14">
        <f>SUM(II$5:II25)</f>
        <v>3140</v>
      </c>
      <c r="IQ25" s="14">
        <f>SUM(IJ$5:IJ25)</f>
        <v>920</v>
      </c>
      <c r="IR25" s="17">
        <f t="shared" si="86"/>
        <v>0.4538370096420552</v>
      </c>
      <c r="IS25" s="17">
        <f t="shared" si="87"/>
        <v>0.2073702285035002</v>
      </c>
      <c r="IT25" s="17">
        <f t="shared" si="88"/>
        <v>6.0758156122044646E-2</v>
      </c>
      <c r="IW25" s="13">
        <v>21</v>
      </c>
      <c r="IX25" s="14">
        <f>MATCH(IW25-1,属性投放!$T$6:$T$66,1)</f>
        <v>1</v>
      </c>
      <c r="IY25" s="14">
        <f>MATCH(IW25-1,属性投放!$AD$7:$AD$26,1)</f>
        <v>3</v>
      </c>
      <c r="IZ25" s="14" t="str">
        <f>INDEX(属性投放!$AB$7:$AB$26,IY25)</f>
        <v>黑绳+1</v>
      </c>
      <c r="JA25" s="14">
        <f t="shared" si="89"/>
        <v>189</v>
      </c>
      <c r="JB25" s="14">
        <f t="shared" si="90"/>
        <v>45</v>
      </c>
      <c r="JC25" s="14">
        <f t="shared" si="91"/>
        <v>784</v>
      </c>
      <c r="JD25" s="14">
        <f t="shared" si="92"/>
        <v>12</v>
      </c>
      <c r="JE25" s="14">
        <f t="shared" si="93"/>
        <v>6</v>
      </c>
      <c r="JF25" s="14">
        <f t="shared" si="94"/>
        <v>70</v>
      </c>
      <c r="JG25" s="14">
        <f>INDEX(属性投放!$DC$6:$DC$85,卡牌属性!IY25)</f>
        <v>10</v>
      </c>
      <c r="JH25" s="14">
        <f t="shared" si="95"/>
        <v>321</v>
      </c>
      <c r="JI25" s="14">
        <f t="shared" si="96"/>
        <v>111</v>
      </c>
      <c r="JJ25" s="14">
        <f t="shared" si="97"/>
        <v>1554</v>
      </c>
      <c r="JK25" s="14">
        <f t="shared" si="98"/>
        <v>4269</v>
      </c>
    </row>
    <row r="26" spans="1:271" ht="16.5" x14ac:dyDescent="0.2">
      <c r="A26" s="13">
        <v>1101026</v>
      </c>
      <c r="B26" s="13" t="s">
        <v>1009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564</v>
      </c>
      <c r="H26" s="13" t="s">
        <v>556</v>
      </c>
      <c r="I26" s="13" t="s">
        <v>556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560</v>
      </c>
      <c r="W26" s="13" t="s">
        <v>556</v>
      </c>
      <c r="X26" s="13" t="s">
        <v>552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1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142</v>
      </c>
      <c r="AM26" s="14">
        <v>1</v>
      </c>
      <c r="AN26" s="14">
        <f t="shared" si="5"/>
        <v>2</v>
      </c>
      <c r="AO26" s="14">
        <f>INDEX(属性投放!$DF$6:$DF$85,(卡牌属性!AG26-2)*20+卡牌属性!AN26)</f>
        <v>160</v>
      </c>
      <c r="AP26" s="14">
        <f t="shared" si="99"/>
        <v>160</v>
      </c>
      <c r="AQ26" s="14">
        <f t="shared" si="99"/>
        <v>160</v>
      </c>
      <c r="AR26" s="14">
        <f t="shared" si="99"/>
        <v>160</v>
      </c>
      <c r="AS26" s="14">
        <f t="shared" si="99"/>
        <v>160</v>
      </c>
      <c r="AT26" s="14">
        <f>INDEX(属性投放!$DG$6:$DG$85,(卡牌属性!AG26-2)*20+卡牌属性!AN26)</f>
        <v>30</v>
      </c>
      <c r="AU26" s="14">
        <f t="shared" si="100"/>
        <v>30</v>
      </c>
      <c r="AV26" s="14">
        <f t="shared" si="100"/>
        <v>30</v>
      </c>
      <c r="AW26" s="14">
        <f t="shared" si="100"/>
        <v>30</v>
      </c>
      <c r="AX26" s="14">
        <f t="shared" si="100"/>
        <v>30</v>
      </c>
      <c r="AY26" s="14">
        <f>INDEX(属性投放!$DH$6:$DH$85,(卡牌属性!AG26-2)*20+卡牌属性!AN26)</f>
        <v>610</v>
      </c>
      <c r="AZ26" s="14">
        <f t="shared" si="101"/>
        <v>610</v>
      </c>
      <c r="BA26" s="14">
        <f t="shared" si="101"/>
        <v>610</v>
      </c>
      <c r="BB26" s="14">
        <f t="shared" si="101"/>
        <v>610</v>
      </c>
      <c r="BC26" s="14">
        <f t="shared" si="101"/>
        <v>610</v>
      </c>
      <c r="BD26" s="14">
        <f>INDEX(属性投放!$DL$6:$DL$85,(卡牌属性!AG26-2)*20+卡牌属性!AN26)</f>
        <v>12</v>
      </c>
      <c r="BE26" s="14">
        <f t="shared" si="102"/>
        <v>12</v>
      </c>
      <c r="BF26" s="14">
        <f t="shared" si="102"/>
        <v>12</v>
      </c>
      <c r="BG26" s="14">
        <f t="shared" si="102"/>
        <v>12</v>
      </c>
      <c r="BH26" s="14">
        <f t="shared" si="102"/>
        <v>12</v>
      </c>
      <c r="BI26" s="14">
        <f>INDEX(属性投放!$DM$6:$DM$85,(卡牌属性!AG26-2)*20+卡牌属性!AN26)</f>
        <v>6</v>
      </c>
      <c r="BJ26" s="14">
        <f t="shared" si="103"/>
        <v>6</v>
      </c>
      <c r="BK26" s="14">
        <f t="shared" si="103"/>
        <v>6</v>
      </c>
      <c r="BL26" s="14">
        <f t="shared" si="103"/>
        <v>6</v>
      </c>
      <c r="BM26" s="14">
        <f t="shared" si="103"/>
        <v>6</v>
      </c>
      <c r="BN26" s="14">
        <f>INDEX(属性投放!$DN$6:$DN$85,(卡牌属性!AG26-2)*20+卡牌属性!AN26)</f>
        <v>70</v>
      </c>
      <c r="BO26" s="14">
        <f t="shared" si="104"/>
        <v>70</v>
      </c>
      <c r="BP26" s="14">
        <f t="shared" si="104"/>
        <v>70</v>
      </c>
      <c r="BQ26" s="14">
        <f t="shared" si="104"/>
        <v>70</v>
      </c>
      <c r="BR26" s="14">
        <f t="shared" si="104"/>
        <v>70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32"/>
        <v>1102002</v>
      </c>
      <c r="CA26" s="14" t="str">
        <f t="shared" si="33"/>
        <v>许褚2突</v>
      </c>
      <c r="CB26" s="25" t="s">
        <v>142</v>
      </c>
      <c r="CC26" s="14">
        <v>2</v>
      </c>
      <c r="CD26" s="14">
        <f t="shared" si="14"/>
        <v>2</v>
      </c>
      <c r="CE26" s="14" t="s">
        <v>21</v>
      </c>
      <c r="CF26" s="14">
        <f>INDEX(属性投放!$AZ$6:$AZ$85,(BY26-2)*20+CD26)</f>
        <v>232</v>
      </c>
      <c r="CG26" s="14" t="s">
        <v>22</v>
      </c>
      <c r="CH26" s="14">
        <f>INDEX(属性投放!$BA$6:$BA$85,(BY26-2)*20+CD26)</f>
        <v>51</v>
      </c>
      <c r="CI26" s="14" t="s">
        <v>510</v>
      </c>
      <c r="CJ26" s="14">
        <f>INDEX(属性投放!$BB$6:$BB$85,(BY26-2)*20+CD26)</f>
        <v>992</v>
      </c>
      <c r="CK26" s="14" t="s">
        <v>21</v>
      </c>
      <c r="CL26" s="14">
        <f>INDEX(属性投放!$BC$6:$BC$85,(BY26-2)*20+CD26)</f>
        <v>10</v>
      </c>
      <c r="CM26" s="14" t="s">
        <v>22</v>
      </c>
      <c r="CN26" s="14">
        <f>INDEX(属性投放!$BD$6:$BD$85,(BY26-2)*20+CD26)</f>
        <v>5</v>
      </c>
      <c r="CO26" s="14" t="s">
        <v>510</v>
      </c>
      <c r="CP26" s="14">
        <f>INDEX(属性投放!$BE$6:$BE$85,(BY26-2)*20+CD26)</f>
        <v>60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INDEX($O$6:$O$50,CT26)&amp;"-"&amp;INDEX(属性投放!$AB$7:$AB$50,CZ26)&amp;"-魂火-"&amp;DB26</f>
        <v>关羽-大叫唤+1-魂火-1</v>
      </c>
      <c r="CY26" s="25" t="s">
        <v>142</v>
      </c>
      <c r="CZ26" s="14">
        <f>INDEX(属性投放!$AM$7:$AM$58,CU26)</f>
        <v>11</v>
      </c>
      <c r="DA26" s="14" t="s">
        <v>537</v>
      </c>
      <c r="DB26" s="14">
        <f>INDEX(属性投放!$AN$7:$AN$58,CU26)</f>
        <v>1</v>
      </c>
      <c r="DC26" s="14">
        <f t="shared" si="16"/>
        <v>22</v>
      </c>
      <c r="DD26" s="14">
        <f>INDEX(属性投放!$AO$7:$AO$58,DC26)</f>
        <v>73</v>
      </c>
      <c r="DE26" s="14" t="s">
        <v>538</v>
      </c>
      <c r="DF26" s="14">
        <f>INDEX(属性投放!$BK$6:$BK$85,(CV26-2)*20+CZ26)</f>
        <v>200</v>
      </c>
      <c r="DG26" s="14">
        <f>SUMIFS(DF$5:DF26,$CT$5:$CT26,"="&amp;$CT26)</f>
        <v>2119</v>
      </c>
      <c r="DH26" s="14" t="s">
        <v>539</v>
      </c>
      <c r="DI26" s="14">
        <f>INDEX(属性投放!$BL$6:$BL$85,(CV26-2)*20+CZ26)</f>
        <v>100</v>
      </c>
      <c r="DJ26" s="14">
        <f>SUMIFS(DI$5:DI26,$CT$5:$CT26,"="&amp;$CT26)</f>
        <v>1062</v>
      </c>
      <c r="DK26" s="14" t="s">
        <v>540</v>
      </c>
      <c r="DL26" s="14">
        <f>INDEX(属性投放!$BM$6:$BM$85,(CV26-2)*20+CZ26)</f>
        <v>1800</v>
      </c>
      <c r="DM26" s="14">
        <f>SUMIFS(DL$5:DL26,$CT$5:$CT26,"="&amp;$CT26)</f>
        <v>16782</v>
      </c>
      <c r="DR26" s="14">
        <f t="shared" si="17"/>
        <v>1102002</v>
      </c>
      <c r="DS26" s="14" t="str">
        <f t="shared" si="18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19"/>
        <v>3</v>
      </c>
      <c r="DX26" s="14">
        <f t="shared" si="20"/>
        <v>2</v>
      </c>
      <c r="DY26" s="14">
        <f t="shared" si="21"/>
        <v>22</v>
      </c>
      <c r="DZ26" s="14">
        <f>INDEX(属性投放!$AX$6:$AX$85,(卡牌属性!DW26-2)*20+卡牌属性!DX26)</f>
        <v>10</v>
      </c>
      <c r="EA26" s="14">
        <f>INDEX(属性投放!BQ$6:BQ$85,卡牌属性!$DY26)</f>
        <v>40</v>
      </c>
      <c r="EB26" s="14">
        <f>INDEX(属性投放!BR$6:BR$85,卡牌属性!$DY26)</f>
        <v>20</v>
      </c>
      <c r="EC26" s="14">
        <f>INDEX(属性投放!BS$6:BS$85,卡牌属性!$DY26)</f>
        <v>240</v>
      </c>
      <c r="ED26" s="14">
        <f t="shared" ref="ED26:ED44" si="105">ED25+$EA25+ES25*$DZ25</f>
        <v>179</v>
      </c>
      <c r="EE26" s="14">
        <f t="shared" ref="EE26:EE44" si="106">EE25+$EA25+ET25*$DZ25</f>
        <v>212</v>
      </c>
      <c r="EF26" s="14">
        <f t="shared" ref="EF26:EF44" si="107">EF25+$EA25+EU25*$DZ25</f>
        <v>245</v>
      </c>
      <c r="EG26" s="14">
        <f t="shared" ref="EG26:EG44" si="108">EG25+$EA25+EV25*$DZ25</f>
        <v>245</v>
      </c>
      <c r="EH26" s="14">
        <f t="shared" ref="EH26:EH44" si="109">EH25+$EA25+EW25*$DZ25</f>
        <v>278</v>
      </c>
      <c r="EI26" s="14">
        <f t="shared" ref="EI26:EI44" si="110">EI25+$EB25+EX25*$DZ25</f>
        <v>61</v>
      </c>
      <c r="EJ26" s="14">
        <f t="shared" ref="EJ26:EJ44" si="111">EJ25+$EB25+EY25*$DZ25</f>
        <v>75</v>
      </c>
      <c r="EK26" s="14">
        <f t="shared" ref="EK26:EK44" si="112">EK25+$EB25+EZ25*$DZ25</f>
        <v>75</v>
      </c>
      <c r="EL26" s="14">
        <f t="shared" ref="EL26:EL44" si="113">EL25+$EB25+FA25*$DZ25</f>
        <v>89</v>
      </c>
      <c r="EM26" s="14">
        <f t="shared" ref="EM26:EM44" si="114">EM25+$EB25+FB25*$DZ25</f>
        <v>118</v>
      </c>
      <c r="EN26" s="14">
        <f t="shared" ref="EN26:EN44" si="115">EN25+$EC25+FC25*$DZ25</f>
        <v>1070</v>
      </c>
      <c r="EO26" s="14">
        <f t="shared" ref="EO26:EO44" si="116">EO25+$EC25+FD25*$DZ25</f>
        <v>1268</v>
      </c>
      <c r="EP26" s="14">
        <f t="shared" ref="EP26:EP44" si="117">EP25+$EC25+FE25*$DZ25</f>
        <v>1268</v>
      </c>
      <c r="EQ26" s="14">
        <f t="shared" ref="EQ26:EQ44" si="118">EQ25+$EC25+FF25*$DZ25</f>
        <v>1492</v>
      </c>
      <c r="ER26" s="14">
        <f t="shared" ref="ER26:ER44" si="119">ER25+$EC25+FG25*$DZ25</f>
        <v>1740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72</v>
      </c>
      <c r="FD26" s="14">
        <f>INDEX(属性偏向!$U$4:$U$243,(卡牌属性!$DV26-1+FD$3)*20+卡牌属性!$DX26)</f>
        <v>90</v>
      </c>
      <c r="FE26" s="14">
        <f>INDEX(属性偏向!$U$4:$U$243,(卡牌属性!$DV26-1+FE$3)*20+卡牌属性!$DX26)</f>
        <v>90</v>
      </c>
      <c r="FF26" s="14">
        <f>INDEX(属性偏向!$U$4:$U$243,(卡牌属性!$DV26-1+FF$3)*20+卡牌属性!$DX26)</f>
        <v>102</v>
      </c>
      <c r="FG26" s="14">
        <f>INDEX(属性偏向!$U$4:$U$243,(卡牌属性!$DV26-1+FG$3)*20+卡牌属性!$DX26)</f>
        <v>120</v>
      </c>
      <c r="FH26" s="14">
        <f>INDEX(属性投放!$BQ$6:$BQ$85,(卡牌属性!$DW26-2)*20+卡牌属性!$DX26)</f>
        <v>40</v>
      </c>
      <c r="FI26" s="14">
        <f>INDEX(属性投放!$BQ$6:$BQ$85,(卡牌属性!$DW26-2)*20+卡牌属性!$DX26)</f>
        <v>40</v>
      </c>
      <c r="FJ26" s="14">
        <f>INDEX(属性投放!$BQ$6:$BQ$85,(卡牌属性!$DW26-2)*20+卡牌属性!$DX26)</f>
        <v>40</v>
      </c>
      <c r="FK26" s="14">
        <f>INDEX(属性投放!$BQ$6:$BQ$85,(卡牌属性!$DW26-2)*20+卡牌属性!$DX26)</f>
        <v>40</v>
      </c>
      <c r="FL26" s="14">
        <f>INDEX(属性投放!$BQ$6:$BQ$85,(卡牌属性!$DW26-2)*20+卡牌属性!$DX26)</f>
        <v>40</v>
      </c>
      <c r="FM26" s="14">
        <f>INDEX(属性投放!$BR$6:$BR$85,(卡牌属性!$DW26-2)*20+卡牌属性!$DX26)</f>
        <v>20</v>
      </c>
      <c r="FN26" s="14">
        <f>INDEX(属性投放!$BR$6:$BR$85,(卡牌属性!$DW26-2)*20+卡牌属性!$DX26)</f>
        <v>20</v>
      </c>
      <c r="FO26" s="14">
        <f>INDEX(属性投放!$BR$6:$BR$85,(卡牌属性!$DW26-2)*20+卡牌属性!$DX26)</f>
        <v>20</v>
      </c>
      <c r="FP26" s="14">
        <f>INDEX(属性投放!$BR$6:$BR$85,(卡牌属性!$DW26-2)*20+卡牌属性!$DX26)</f>
        <v>20</v>
      </c>
      <c r="FQ26" s="14">
        <f>INDEX(属性投放!$BR$6:$BR$85,(卡牌属性!$DW26-2)*20+卡牌属性!$DX26)</f>
        <v>20</v>
      </c>
      <c r="FR26" s="14">
        <f>INDEX(属性投放!$BS$6:$BS$85,(卡牌属性!$DW26-2)*20+卡牌属性!$DX26)</f>
        <v>240</v>
      </c>
      <c r="FS26" s="14">
        <f>INDEX(属性投放!$BS$6:$BS$85,(卡牌属性!$DW26-2)*20+卡牌属性!$DX26)</f>
        <v>240</v>
      </c>
      <c r="FT26" s="14">
        <f>INDEX(属性投放!$BS$6:$BS$85,(卡牌属性!$DW26-2)*20+卡牌属性!$DX26)</f>
        <v>240</v>
      </c>
      <c r="FU26" s="14">
        <f>INDEX(属性投放!$BS$6:$BS$85,(卡牌属性!$DW26-2)*20+卡牌属性!$DX26)</f>
        <v>240</v>
      </c>
      <c r="FV26" s="14">
        <f>INDEX(属性投放!$BS$6:$BS$85,(卡牌属性!$DW26-2)*20+卡牌属性!$DX26)</f>
        <v>240</v>
      </c>
      <c r="FZ26" s="13">
        <v>22</v>
      </c>
      <c r="GA26" s="13">
        <f t="shared" si="22"/>
        <v>5</v>
      </c>
      <c r="GB26" s="14">
        <f t="shared" si="56"/>
        <v>1102005</v>
      </c>
      <c r="GC26" s="14" t="s">
        <v>1187</v>
      </c>
      <c r="GD26" s="14">
        <f t="shared" si="23"/>
        <v>2</v>
      </c>
      <c r="GE26" s="14" t="str">
        <f t="shared" si="24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5"/>
        <v>5</v>
      </c>
      <c r="GP26" s="14">
        <f t="shared" si="57"/>
        <v>1101005</v>
      </c>
      <c r="GQ26" s="14" t="s">
        <v>1187</v>
      </c>
      <c r="GR26" s="14">
        <f t="shared" si="26"/>
        <v>2</v>
      </c>
      <c r="GS26" s="14" t="str">
        <f t="shared" si="27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MATCH(HC26,属性投放!$AO$6:$AO$58,1)-1</f>
        <v>4</v>
      </c>
      <c r="HF26" s="13">
        <f>MATCH(HC26-1,属性投放!$AE$6:$AE$26,1)</f>
        <v>3</v>
      </c>
      <c r="HG26" s="13" t="str">
        <f>INDEX(属性投放!$AB$7:$AB$26,卡牌属性!HF26)</f>
        <v>黑绳+1</v>
      </c>
      <c r="HH26" s="14">
        <f t="shared" si="58"/>
        <v>473</v>
      </c>
      <c r="HI26" s="14">
        <f t="shared" si="59"/>
        <v>158</v>
      </c>
      <c r="HJ26" s="14">
        <f t="shared" si="60"/>
        <v>2060</v>
      </c>
      <c r="HK26" s="14">
        <f t="shared" si="61"/>
        <v>15</v>
      </c>
      <c r="HL26" s="14">
        <f t="shared" si="62"/>
        <v>6</v>
      </c>
      <c r="HM26" s="14">
        <f t="shared" si="63"/>
        <v>72</v>
      </c>
      <c r="HN26" s="14">
        <f>HH26+HK26*($HC26-INDEX(属性投放!$AE$6:$AE$26,卡牌属性!$HF26))</f>
        <v>578</v>
      </c>
      <c r="HO26" s="14">
        <f>HI26+HL26*($HC26-INDEX(属性投放!$AE$6:$AE$26,卡牌属性!$HF26))</f>
        <v>200</v>
      </c>
      <c r="HP26" s="14">
        <f>HJ26+HM26*($HC26-INDEX(属性投放!$AE$6:$AE$26,卡牌属性!$HF26))</f>
        <v>2564</v>
      </c>
      <c r="HQ26" s="14">
        <f t="shared" si="64"/>
        <v>120</v>
      </c>
      <c r="HR26" s="14">
        <f t="shared" si="65"/>
        <v>61</v>
      </c>
      <c r="HS26" s="14">
        <f t="shared" si="66"/>
        <v>720</v>
      </c>
      <c r="HT26" s="14">
        <f>IF(COUNTIF(属性投放!$AO$7:$AO$58,"="&amp;卡牌属性!HC26)&gt;0,卡牌属性!HE26,0)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IF(COUNTIF(属性投放!$AE$6:$AE$26,"="&amp;卡牌属性!HC26)&gt;0,卡牌属性!HF26,0)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15</v>
      </c>
      <c r="IC26" s="14">
        <f t="shared" si="74"/>
        <v>6</v>
      </c>
      <c r="ID26" s="14">
        <f t="shared" si="75"/>
        <v>72</v>
      </c>
      <c r="IE26" s="14">
        <f t="shared" si="76"/>
        <v>698</v>
      </c>
      <c r="IF26" s="14">
        <f t="shared" si="77"/>
        <v>261</v>
      </c>
      <c r="IG26" s="14">
        <f t="shared" si="78"/>
        <v>3284</v>
      </c>
      <c r="IH26" s="14">
        <f t="shared" si="79"/>
        <v>342</v>
      </c>
      <c r="II26" s="14">
        <f t="shared" si="80"/>
        <v>0</v>
      </c>
      <c r="IJ26" s="14">
        <f t="shared" si="81"/>
        <v>0</v>
      </c>
      <c r="IK26" s="14">
        <f t="shared" si="82"/>
        <v>15484</v>
      </c>
      <c r="IL26" s="17">
        <f t="shared" si="83"/>
        <v>2.208731593903384E-2</v>
      </c>
      <c r="IM26" s="17">
        <f t="shared" si="84"/>
        <v>0</v>
      </c>
      <c r="IN26" s="17">
        <f t="shared" si="85"/>
        <v>0</v>
      </c>
      <c r="IO26" s="23">
        <f>SUM(IH$5:IH26)</f>
        <v>7214</v>
      </c>
      <c r="IP26" s="14">
        <f>SUM(II$5:II26)</f>
        <v>3140</v>
      </c>
      <c r="IQ26" s="14">
        <f>SUM(IJ$5:IJ26)</f>
        <v>920</v>
      </c>
      <c r="IR26" s="17">
        <f t="shared" si="86"/>
        <v>0.46590028416429863</v>
      </c>
      <c r="IS26" s="17">
        <f t="shared" si="87"/>
        <v>0.20278997675019375</v>
      </c>
      <c r="IT26" s="17">
        <f t="shared" si="88"/>
        <v>5.94161715319039E-2</v>
      </c>
      <c r="IW26" s="13">
        <v>22</v>
      </c>
      <c r="IX26" s="14">
        <f>MATCH(IW26-1,属性投放!$T$6:$T$66,1)</f>
        <v>1</v>
      </c>
      <c r="IY26" s="14">
        <f>MATCH(IW26-1,属性投放!$AD$7:$AD$26,1)</f>
        <v>3</v>
      </c>
      <c r="IZ26" s="14" t="str">
        <f>INDEX(属性投放!$AB$7:$AB$26,IY26)</f>
        <v>黑绳+1</v>
      </c>
      <c r="JA26" s="14">
        <f t="shared" si="89"/>
        <v>189</v>
      </c>
      <c r="JB26" s="14">
        <f t="shared" si="90"/>
        <v>45</v>
      </c>
      <c r="JC26" s="14">
        <f t="shared" si="91"/>
        <v>784</v>
      </c>
      <c r="JD26" s="14">
        <f t="shared" si="92"/>
        <v>12</v>
      </c>
      <c r="JE26" s="14">
        <f t="shared" si="93"/>
        <v>6</v>
      </c>
      <c r="JF26" s="14">
        <f t="shared" si="94"/>
        <v>70</v>
      </c>
      <c r="JG26" s="14">
        <f>INDEX(属性投放!$DC$6:$DC$85,卡牌属性!IY26)</f>
        <v>10</v>
      </c>
      <c r="JH26" s="14">
        <f t="shared" si="95"/>
        <v>333</v>
      </c>
      <c r="JI26" s="14">
        <f t="shared" si="96"/>
        <v>117</v>
      </c>
      <c r="JJ26" s="14">
        <f t="shared" si="97"/>
        <v>1624</v>
      </c>
      <c r="JK26" s="14">
        <f t="shared" si="98"/>
        <v>4459</v>
      </c>
    </row>
    <row r="27" spans="1:271" ht="16.5" x14ac:dyDescent="0.2">
      <c r="A27" s="13">
        <v>1101030</v>
      </c>
      <c r="B27" s="13" t="s">
        <v>1010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554</v>
      </c>
      <c r="H27" s="13" t="s">
        <v>554</v>
      </c>
      <c r="I27" s="13" t="s">
        <v>560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235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552</v>
      </c>
      <c r="W27" s="13" t="s">
        <v>548</v>
      </c>
      <c r="X27" s="13" t="s">
        <v>554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1"/>
        <v>8</v>
      </c>
      <c r="AE27" s="13">
        <v>23</v>
      </c>
      <c r="AF27" s="13">
        <f t="shared" si="31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142</v>
      </c>
      <c r="AM27" s="14">
        <v>1</v>
      </c>
      <c r="AN27" s="14">
        <f t="shared" si="5"/>
        <v>3</v>
      </c>
      <c r="AO27" s="14">
        <f>INDEX(属性投放!$DF$6:$DF$85,(卡牌属性!AG27-2)*20+卡牌属性!AN27)</f>
        <v>189</v>
      </c>
      <c r="AP27" s="14">
        <f t="shared" si="99"/>
        <v>189</v>
      </c>
      <c r="AQ27" s="14">
        <f t="shared" si="99"/>
        <v>189</v>
      </c>
      <c r="AR27" s="14">
        <f t="shared" si="99"/>
        <v>189</v>
      </c>
      <c r="AS27" s="14">
        <f t="shared" si="99"/>
        <v>189</v>
      </c>
      <c r="AT27" s="14">
        <f>INDEX(属性投放!$DG$6:$DG$85,(卡牌属性!AG27-2)*20+卡牌属性!AN27)</f>
        <v>45</v>
      </c>
      <c r="AU27" s="14">
        <f t="shared" si="100"/>
        <v>45</v>
      </c>
      <c r="AV27" s="14">
        <f t="shared" si="100"/>
        <v>45</v>
      </c>
      <c r="AW27" s="14">
        <f t="shared" si="100"/>
        <v>45</v>
      </c>
      <c r="AX27" s="14">
        <f t="shared" si="100"/>
        <v>45</v>
      </c>
      <c r="AY27" s="14">
        <f>INDEX(属性投放!$DH$6:$DH$85,(卡牌属性!AG27-2)*20+卡牌属性!AN27)</f>
        <v>784</v>
      </c>
      <c r="AZ27" s="14">
        <f t="shared" si="101"/>
        <v>784</v>
      </c>
      <c r="BA27" s="14">
        <f t="shared" si="101"/>
        <v>784</v>
      </c>
      <c r="BB27" s="14">
        <f t="shared" si="101"/>
        <v>784</v>
      </c>
      <c r="BC27" s="14">
        <f t="shared" si="101"/>
        <v>784</v>
      </c>
      <c r="BD27" s="14">
        <f>INDEX(属性投放!$DL$6:$DL$85,(卡牌属性!AG27-2)*20+卡牌属性!AN27)</f>
        <v>12</v>
      </c>
      <c r="BE27" s="14">
        <f t="shared" si="102"/>
        <v>12</v>
      </c>
      <c r="BF27" s="14">
        <f t="shared" si="102"/>
        <v>12</v>
      </c>
      <c r="BG27" s="14">
        <f t="shared" si="102"/>
        <v>12</v>
      </c>
      <c r="BH27" s="14">
        <f t="shared" si="102"/>
        <v>12</v>
      </c>
      <c r="BI27" s="14">
        <f>INDEX(属性投放!$DM$6:$DM$85,(卡牌属性!AG27-2)*20+卡牌属性!AN27)</f>
        <v>6</v>
      </c>
      <c r="BJ27" s="14">
        <f t="shared" si="103"/>
        <v>6</v>
      </c>
      <c r="BK27" s="14">
        <f t="shared" si="103"/>
        <v>6</v>
      </c>
      <c r="BL27" s="14">
        <f t="shared" si="103"/>
        <v>6</v>
      </c>
      <c r="BM27" s="14">
        <f t="shared" si="103"/>
        <v>6</v>
      </c>
      <c r="BN27" s="14">
        <f>INDEX(属性投放!$DN$6:$DN$85,(卡牌属性!AG27-2)*20+卡牌属性!AN27)</f>
        <v>70</v>
      </c>
      <c r="BO27" s="14">
        <f t="shared" si="104"/>
        <v>70</v>
      </c>
      <c r="BP27" s="14">
        <f t="shared" si="104"/>
        <v>70</v>
      </c>
      <c r="BQ27" s="14">
        <f t="shared" si="104"/>
        <v>70</v>
      </c>
      <c r="BR27" s="14">
        <f t="shared" si="104"/>
        <v>70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32"/>
        <v>1102002</v>
      </c>
      <c r="CA27" s="14" t="str">
        <f t="shared" si="33"/>
        <v>许褚3突</v>
      </c>
      <c r="CB27" s="25" t="s">
        <v>142</v>
      </c>
      <c r="CC27" s="14">
        <v>2</v>
      </c>
      <c r="CD27" s="14">
        <f t="shared" si="14"/>
        <v>3</v>
      </c>
      <c r="CE27" s="14" t="s">
        <v>21</v>
      </c>
      <c r="CF27" s="14">
        <f>INDEX(属性投放!$AZ$6:$AZ$85,(BY27-2)*20+CD27)</f>
        <v>422</v>
      </c>
      <c r="CG27" s="14" t="s">
        <v>22</v>
      </c>
      <c r="CH27" s="14">
        <f>INDEX(属性投放!$BA$6:$BA$85,(BY27-2)*20+CD27)</f>
        <v>147</v>
      </c>
      <c r="CI27" s="14" t="s">
        <v>510</v>
      </c>
      <c r="CJ27" s="14">
        <f>INDEX(属性投放!$BB$6:$BB$85,(BY27-2)*20+CD27)</f>
        <v>2132</v>
      </c>
      <c r="CK27" s="14" t="s">
        <v>21</v>
      </c>
      <c r="CL27" s="14">
        <f>INDEX(属性投放!$BC$6:$BC$85,(BY27-2)*20+CD27)</f>
        <v>10</v>
      </c>
      <c r="CM27" s="14" t="s">
        <v>22</v>
      </c>
      <c r="CN27" s="14">
        <f>INDEX(属性投放!$BD$6:$BD$85,(BY27-2)*20+CD27)</f>
        <v>5</v>
      </c>
      <c r="CO27" s="14" t="s">
        <v>510</v>
      </c>
      <c r="CP27" s="14">
        <f>INDEX(属性投放!$BE$6:$BE$85,(BY27-2)*20+CD27)</f>
        <v>60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INDEX($O$6:$O$50,CT27)&amp;"-"&amp;INDEX(属性投放!$AB$7:$AB$50,CZ27)&amp;"-魂火-"&amp;DB27</f>
        <v>关羽-大叫唤+1-魂火-2</v>
      </c>
      <c r="CY27" s="25" t="s">
        <v>142</v>
      </c>
      <c r="CZ27" s="14">
        <f>INDEX(属性投放!$AM$7:$AM$58,CU27)</f>
        <v>11</v>
      </c>
      <c r="DA27" s="14" t="s">
        <v>537</v>
      </c>
      <c r="DB27" s="14">
        <f>INDEX(属性投放!$AN$7:$AN$58,CU27)</f>
        <v>2</v>
      </c>
      <c r="DC27" s="14">
        <f t="shared" si="16"/>
        <v>23</v>
      </c>
      <c r="DD27" s="14">
        <f>INDEX(属性投放!$AO$7:$AO$58,DC27)</f>
        <v>75</v>
      </c>
      <c r="DE27" s="14" t="s">
        <v>538</v>
      </c>
      <c r="DF27" s="14">
        <f>INDEX(属性投放!$BK$6:$BK$85,(CV27-2)*20+CZ27)</f>
        <v>200</v>
      </c>
      <c r="DG27" s="14">
        <f>SUMIFS(DF$5:DF27,$CT$5:$CT27,"="&amp;$CT27)</f>
        <v>2319</v>
      </c>
      <c r="DH27" s="14" t="s">
        <v>539</v>
      </c>
      <c r="DI27" s="14">
        <f>INDEX(属性投放!$BL$6:$BL$85,(CV27-2)*20+CZ27)</f>
        <v>100</v>
      </c>
      <c r="DJ27" s="14">
        <f>SUMIFS(DI$5:DI27,$CT$5:$CT27,"="&amp;$CT27)</f>
        <v>1162</v>
      </c>
      <c r="DK27" s="14" t="s">
        <v>540</v>
      </c>
      <c r="DL27" s="14">
        <f>INDEX(属性投放!$BM$6:$BM$85,(CV27-2)*20+CZ27)</f>
        <v>1800</v>
      </c>
      <c r="DM27" s="14">
        <f>SUMIFS(DL$5:DL27,$CT$5:$CT27,"="&amp;$CT27)</f>
        <v>18582</v>
      </c>
      <c r="DR27" s="14">
        <f t="shared" si="17"/>
        <v>1102002</v>
      </c>
      <c r="DS27" s="14" t="str">
        <f t="shared" si="18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19"/>
        <v>3</v>
      </c>
      <c r="DX27" s="14">
        <f t="shared" si="20"/>
        <v>3</v>
      </c>
      <c r="DY27" s="14">
        <f t="shared" si="21"/>
        <v>23</v>
      </c>
      <c r="DZ27" s="14">
        <f>INDEX(属性投放!$AX$6:$AX$85,(卡牌属性!DW27-2)*20+卡牌属性!DX27)</f>
        <v>10</v>
      </c>
      <c r="EA27" s="14">
        <f>INDEX(属性投放!BQ$6:BQ$85,卡牌属性!$DY27)</f>
        <v>70</v>
      </c>
      <c r="EB27" s="14">
        <f>INDEX(属性投放!BR$6:BR$85,卡牌属性!$DY27)</f>
        <v>35</v>
      </c>
      <c r="EC27" s="14">
        <f>INDEX(属性投放!BS$6:BS$85,卡牌属性!$DY27)</f>
        <v>420</v>
      </c>
      <c r="ED27" s="14">
        <f t="shared" si="105"/>
        <v>299</v>
      </c>
      <c r="EE27" s="14">
        <f t="shared" si="106"/>
        <v>352</v>
      </c>
      <c r="EF27" s="14">
        <f t="shared" si="107"/>
        <v>405</v>
      </c>
      <c r="EG27" s="14">
        <f t="shared" si="108"/>
        <v>405</v>
      </c>
      <c r="EH27" s="14">
        <f t="shared" si="109"/>
        <v>468</v>
      </c>
      <c r="EI27" s="14">
        <f t="shared" si="110"/>
        <v>131</v>
      </c>
      <c r="EJ27" s="14">
        <f t="shared" si="111"/>
        <v>155</v>
      </c>
      <c r="EK27" s="14">
        <f t="shared" si="112"/>
        <v>155</v>
      </c>
      <c r="EL27" s="14">
        <f t="shared" si="113"/>
        <v>189</v>
      </c>
      <c r="EM27" s="14">
        <f t="shared" si="114"/>
        <v>228</v>
      </c>
      <c r="EN27" s="14">
        <f t="shared" si="115"/>
        <v>2030</v>
      </c>
      <c r="EO27" s="14">
        <f t="shared" si="116"/>
        <v>2408</v>
      </c>
      <c r="EP27" s="14">
        <f t="shared" si="117"/>
        <v>2408</v>
      </c>
      <c r="EQ27" s="14">
        <f t="shared" si="118"/>
        <v>2752</v>
      </c>
      <c r="ER27" s="14">
        <f t="shared" si="119"/>
        <v>3180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72</v>
      </c>
      <c r="FD27" s="14">
        <f>INDEX(属性偏向!$U$4:$U$243,(卡牌属性!$DV27-1+FD$3)*20+卡牌属性!$DX27)</f>
        <v>90</v>
      </c>
      <c r="FE27" s="14">
        <f>INDEX(属性偏向!$U$4:$U$243,(卡牌属性!$DV27-1+FE$3)*20+卡牌属性!$DX27)</f>
        <v>90</v>
      </c>
      <c r="FF27" s="14">
        <f>INDEX(属性偏向!$U$4:$U$243,(卡牌属性!$DV27-1+FF$3)*20+卡牌属性!$DX27)</f>
        <v>102</v>
      </c>
      <c r="FG27" s="14">
        <f>INDEX(属性偏向!$U$4:$U$243,(卡牌属性!$DV27-1+FG$3)*20+卡牌属性!$DX27)</f>
        <v>120</v>
      </c>
      <c r="FH27" s="14">
        <f>INDEX(属性投放!$BQ$6:$BQ$85,(卡牌属性!$DW27-2)*20+卡牌属性!$DX27)</f>
        <v>70</v>
      </c>
      <c r="FI27" s="14">
        <f>INDEX(属性投放!$BQ$6:$BQ$85,(卡牌属性!$DW27-2)*20+卡牌属性!$DX27)</f>
        <v>70</v>
      </c>
      <c r="FJ27" s="14">
        <f>INDEX(属性投放!$BQ$6:$BQ$85,(卡牌属性!$DW27-2)*20+卡牌属性!$DX27)</f>
        <v>70</v>
      </c>
      <c r="FK27" s="14">
        <f>INDEX(属性投放!$BQ$6:$BQ$85,(卡牌属性!$DW27-2)*20+卡牌属性!$DX27)</f>
        <v>70</v>
      </c>
      <c r="FL27" s="14">
        <f>INDEX(属性投放!$BQ$6:$BQ$85,(卡牌属性!$DW27-2)*20+卡牌属性!$DX27)</f>
        <v>70</v>
      </c>
      <c r="FM27" s="14">
        <f>INDEX(属性投放!$BR$6:$BR$85,(卡牌属性!$DW27-2)*20+卡牌属性!$DX27)</f>
        <v>35</v>
      </c>
      <c r="FN27" s="14">
        <f>INDEX(属性投放!$BR$6:$BR$85,(卡牌属性!$DW27-2)*20+卡牌属性!$DX27)</f>
        <v>35</v>
      </c>
      <c r="FO27" s="14">
        <f>INDEX(属性投放!$BR$6:$BR$85,(卡牌属性!$DW27-2)*20+卡牌属性!$DX27)</f>
        <v>35</v>
      </c>
      <c r="FP27" s="14">
        <f>INDEX(属性投放!$BR$6:$BR$85,(卡牌属性!$DW27-2)*20+卡牌属性!$DX27)</f>
        <v>35</v>
      </c>
      <c r="FQ27" s="14">
        <f>INDEX(属性投放!$BR$6:$BR$85,(卡牌属性!$DW27-2)*20+卡牌属性!$DX27)</f>
        <v>35</v>
      </c>
      <c r="FR27" s="14">
        <f>INDEX(属性投放!$BS$6:$BS$85,(卡牌属性!$DW27-2)*20+卡牌属性!$DX27)</f>
        <v>420</v>
      </c>
      <c r="FS27" s="14">
        <f>INDEX(属性投放!$BS$6:$BS$85,(卡牌属性!$DW27-2)*20+卡牌属性!$DX27)</f>
        <v>420</v>
      </c>
      <c r="FT27" s="14">
        <f>INDEX(属性投放!$BS$6:$BS$85,(卡牌属性!$DW27-2)*20+卡牌属性!$DX27)</f>
        <v>420</v>
      </c>
      <c r="FU27" s="14">
        <f>INDEX(属性投放!$BS$6:$BS$85,(卡牌属性!$DW27-2)*20+卡牌属性!$DX27)</f>
        <v>420</v>
      </c>
      <c r="FV27" s="14">
        <f>INDEX(属性投放!$BS$6:$BS$85,(卡牌属性!$DW27-2)*20+卡牌属性!$DX27)</f>
        <v>420</v>
      </c>
      <c r="FZ27" s="13">
        <v>23</v>
      </c>
      <c r="GA27" s="13">
        <f t="shared" si="22"/>
        <v>5</v>
      </c>
      <c r="GB27" s="14">
        <f t="shared" si="56"/>
        <v>1102005</v>
      </c>
      <c r="GC27" s="14" t="s">
        <v>1187</v>
      </c>
      <c r="GD27" s="14">
        <f t="shared" si="23"/>
        <v>3</v>
      </c>
      <c r="GE27" s="14" t="str">
        <f t="shared" si="24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5"/>
        <v>5</v>
      </c>
      <c r="GP27" s="14">
        <f t="shared" si="57"/>
        <v>1101005</v>
      </c>
      <c r="GQ27" s="14" t="s">
        <v>1187</v>
      </c>
      <c r="GR27" s="14">
        <f t="shared" si="26"/>
        <v>3</v>
      </c>
      <c r="GS27" s="14" t="str">
        <f t="shared" si="27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MATCH(HC27,属性投放!$AO$6:$AO$58,1)-1</f>
        <v>5</v>
      </c>
      <c r="HF27" s="13">
        <f>MATCH(HC27-1,属性投放!$AE$6:$AE$26,1)</f>
        <v>3</v>
      </c>
      <c r="HG27" s="13" t="str">
        <f>INDEX(属性投放!$AB$7:$AB$26,卡牌属性!HF27)</f>
        <v>黑绳+1</v>
      </c>
      <c r="HH27" s="14">
        <f t="shared" si="58"/>
        <v>473</v>
      </c>
      <c r="HI27" s="14">
        <f t="shared" si="59"/>
        <v>158</v>
      </c>
      <c r="HJ27" s="14">
        <f t="shared" si="60"/>
        <v>2060</v>
      </c>
      <c r="HK27" s="14">
        <f t="shared" si="61"/>
        <v>15</v>
      </c>
      <c r="HL27" s="14">
        <f t="shared" si="62"/>
        <v>6</v>
      </c>
      <c r="HM27" s="14">
        <f t="shared" si="63"/>
        <v>72</v>
      </c>
      <c r="HN27" s="14">
        <f>HH27+HK27*($HC27-INDEX(属性投放!$AE$6:$AE$26,卡牌属性!$HF27))</f>
        <v>593</v>
      </c>
      <c r="HO27" s="14">
        <f>HI27+HL27*($HC27-INDEX(属性投放!$AE$6:$AE$26,卡牌属性!$HF27))</f>
        <v>206</v>
      </c>
      <c r="HP27" s="14">
        <f>HJ27+HM27*($HC27-INDEX(属性投放!$AE$6:$AE$26,卡牌属性!$HF27))</f>
        <v>2636</v>
      </c>
      <c r="HQ27" s="14">
        <f t="shared" si="64"/>
        <v>155</v>
      </c>
      <c r="HR27" s="14">
        <f t="shared" si="65"/>
        <v>79</v>
      </c>
      <c r="HS27" s="14">
        <f t="shared" si="66"/>
        <v>930</v>
      </c>
      <c r="HT27" s="14">
        <f>IF(COUNTIF(属性投放!$AO$7:$AO$58,"="&amp;卡牌属性!HC27)&gt;0,卡牌属性!HE27,0)</f>
        <v>5</v>
      </c>
      <c r="HU27" s="14">
        <f t="shared" si="67"/>
        <v>35</v>
      </c>
      <c r="HV27" s="14">
        <f t="shared" si="68"/>
        <v>18</v>
      </c>
      <c r="HW27" s="14">
        <f t="shared" si="69"/>
        <v>210</v>
      </c>
      <c r="HX27" s="14">
        <f>IF(COUNTIF(属性投放!$AE$6:$AE$26,"="&amp;卡牌属性!HC27)&gt;0,卡牌属性!HF27,0)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15</v>
      </c>
      <c r="IC27" s="14">
        <f t="shared" si="74"/>
        <v>6</v>
      </c>
      <c r="ID27" s="14">
        <f t="shared" si="75"/>
        <v>72</v>
      </c>
      <c r="IE27" s="14">
        <f t="shared" si="76"/>
        <v>748</v>
      </c>
      <c r="IF27" s="14">
        <f t="shared" si="77"/>
        <v>285</v>
      </c>
      <c r="IG27" s="14">
        <f t="shared" si="78"/>
        <v>3566</v>
      </c>
      <c r="IH27" s="14">
        <f t="shared" si="79"/>
        <v>342</v>
      </c>
      <c r="II27" s="14">
        <f t="shared" si="80"/>
        <v>920</v>
      </c>
      <c r="IJ27" s="14">
        <f t="shared" si="81"/>
        <v>0</v>
      </c>
      <c r="IK27" s="14">
        <f t="shared" si="82"/>
        <v>16746</v>
      </c>
      <c r="IL27" s="17">
        <f t="shared" si="83"/>
        <v>2.042278753135077E-2</v>
      </c>
      <c r="IM27" s="17">
        <f t="shared" si="84"/>
        <v>5.4938492774393888E-2</v>
      </c>
      <c r="IN27" s="17">
        <f t="shared" si="85"/>
        <v>0</v>
      </c>
      <c r="IO27" s="23">
        <f>SUM(IH$5:IH27)</f>
        <v>7556</v>
      </c>
      <c r="IP27" s="14">
        <f>SUM(II$5:II27)</f>
        <v>4060</v>
      </c>
      <c r="IQ27" s="14">
        <f>SUM(IJ$5:IJ27)</f>
        <v>920</v>
      </c>
      <c r="IR27" s="17">
        <f t="shared" si="86"/>
        <v>0.45121222978621761</v>
      </c>
      <c r="IS27" s="17">
        <f t="shared" si="87"/>
        <v>0.24244595724352083</v>
      </c>
      <c r="IT27" s="17">
        <f t="shared" si="88"/>
        <v>5.4938492774393888E-2</v>
      </c>
      <c r="IW27" s="13">
        <v>23</v>
      </c>
      <c r="IX27" s="14">
        <f>MATCH(IW27-1,属性投放!$T$6:$T$66,1)</f>
        <v>1</v>
      </c>
      <c r="IY27" s="14">
        <f>MATCH(IW27-1,属性投放!$AD$7:$AD$26,1)</f>
        <v>3</v>
      </c>
      <c r="IZ27" s="14" t="str">
        <f>INDEX(属性投放!$AB$7:$AB$26,IY27)</f>
        <v>黑绳+1</v>
      </c>
      <c r="JA27" s="14">
        <f t="shared" si="89"/>
        <v>189</v>
      </c>
      <c r="JB27" s="14">
        <f t="shared" si="90"/>
        <v>45</v>
      </c>
      <c r="JC27" s="14">
        <f t="shared" si="91"/>
        <v>784</v>
      </c>
      <c r="JD27" s="14">
        <f t="shared" si="92"/>
        <v>12</v>
      </c>
      <c r="JE27" s="14">
        <f t="shared" si="93"/>
        <v>6</v>
      </c>
      <c r="JF27" s="14">
        <f t="shared" si="94"/>
        <v>70</v>
      </c>
      <c r="JG27" s="14">
        <f>INDEX(属性投放!$DC$6:$DC$85,卡牌属性!IY27)</f>
        <v>10</v>
      </c>
      <c r="JH27" s="14">
        <f t="shared" si="95"/>
        <v>345</v>
      </c>
      <c r="JI27" s="14">
        <f t="shared" si="96"/>
        <v>123</v>
      </c>
      <c r="JJ27" s="14">
        <f t="shared" si="97"/>
        <v>1694</v>
      </c>
      <c r="JK27" s="14">
        <f t="shared" si="98"/>
        <v>4649</v>
      </c>
    </row>
    <row r="28" spans="1:271" ht="16.5" x14ac:dyDescent="0.2">
      <c r="A28" s="13">
        <v>1101043</v>
      </c>
      <c r="B28" s="13" t="s">
        <v>1406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1407</v>
      </c>
      <c r="H28" s="13" t="s">
        <v>1409</v>
      </c>
      <c r="I28" s="13" t="s">
        <v>1408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1014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554</v>
      </c>
      <c r="W28" s="13" t="s">
        <v>552</v>
      </c>
      <c r="X28" s="13" t="s">
        <v>552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1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142</v>
      </c>
      <c r="AM28" s="14">
        <v>1</v>
      </c>
      <c r="AN28" s="14">
        <f t="shared" si="5"/>
        <v>4</v>
      </c>
      <c r="AO28" s="14">
        <f>INDEX(属性投放!$DF$6:$DF$85,(卡牌属性!AG28-2)*20+卡牌属性!AN28)</f>
        <v>338</v>
      </c>
      <c r="AP28" s="14">
        <f t="shared" si="99"/>
        <v>338</v>
      </c>
      <c r="AQ28" s="14">
        <f t="shared" si="99"/>
        <v>338</v>
      </c>
      <c r="AR28" s="14">
        <f t="shared" si="99"/>
        <v>338</v>
      </c>
      <c r="AS28" s="14">
        <f t="shared" si="99"/>
        <v>338</v>
      </c>
      <c r="AT28" s="14">
        <f>INDEX(属性投放!$DG$6:$DG$85,(卡牌属性!AG28-2)*20+卡牌属性!AN28)</f>
        <v>120</v>
      </c>
      <c r="AU28" s="14">
        <f t="shared" si="100"/>
        <v>120</v>
      </c>
      <c r="AV28" s="14">
        <f t="shared" si="100"/>
        <v>120</v>
      </c>
      <c r="AW28" s="14">
        <f t="shared" si="100"/>
        <v>120</v>
      </c>
      <c r="AX28" s="14">
        <f t="shared" si="100"/>
        <v>120</v>
      </c>
      <c r="AY28" s="14">
        <f>INDEX(属性投放!$DH$6:$DH$85,(卡牌属性!AG28-2)*20+卡牌属性!AN28)</f>
        <v>1658</v>
      </c>
      <c r="AZ28" s="14">
        <f t="shared" si="101"/>
        <v>1658</v>
      </c>
      <c r="BA28" s="14">
        <f t="shared" si="101"/>
        <v>1658</v>
      </c>
      <c r="BB28" s="14">
        <f t="shared" si="101"/>
        <v>1658</v>
      </c>
      <c r="BC28" s="14">
        <f t="shared" si="101"/>
        <v>1658</v>
      </c>
      <c r="BD28" s="14">
        <f>INDEX(属性投放!$DL$6:$DL$85,(卡牌属性!AG28-2)*20+卡牌属性!AN28)</f>
        <v>22</v>
      </c>
      <c r="BE28" s="14">
        <f t="shared" si="102"/>
        <v>22</v>
      </c>
      <c r="BF28" s="14">
        <f t="shared" si="102"/>
        <v>22</v>
      </c>
      <c r="BG28" s="14">
        <f t="shared" si="102"/>
        <v>22</v>
      </c>
      <c r="BH28" s="14">
        <f t="shared" si="102"/>
        <v>22</v>
      </c>
      <c r="BI28" s="14">
        <f>INDEX(属性投放!$DM$6:$DM$85,(卡牌属性!AG28-2)*20+卡牌属性!AN28)</f>
        <v>11</v>
      </c>
      <c r="BJ28" s="14">
        <f t="shared" si="103"/>
        <v>11</v>
      </c>
      <c r="BK28" s="14">
        <f t="shared" si="103"/>
        <v>11</v>
      </c>
      <c r="BL28" s="14">
        <f t="shared" si="103"/>
        <v>11</v>
      </c>
      <c r="BM28" s="14">
        <f t="shared" si="103"/>
        <v>11</v>
      </c>
      <c r="BN28" s="14">
        <f>INDEX(属性投放!$DN$6:$DN$85,(卡牌属性!AG28-2)*20+卡牌属性!AN28)</f>
        <v>153</v>
      </c>
      <c r="BO28" s="14">
        <f t="shared" si="104"/>
        <v>153</v>
      </c>
      <c r="BP28" s="14">
        <f t="shared" si="104"/>
        <v>153</v>
      </c>
      <c r="BQ28" s="14">
        <f t="shared" si="104"/>
        <v>153</v>
      </c>
      <c r="BR28" s="14">
        <f t="shared" si="104"/>
        <v>153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32"/>
        <v>1102002</v>
      </c>
      <c r="CA28" s="14" t="str">
        <f t="shared" si="33"/>
        <v>许褚4突</v>
      </c>
      <c r="CB28" s="25" t="s">
        <v>142</v>
      </c>
      <c r="CC28" s="14">
        <v>2</v>
      </c>
      <c r="CD28" s="14">
        <f t="shared" si="14"/>
        <v>4</v>
      </c>
      <c r="CE28" s="14" t="s">
        <v>21</v>
      </c>
      <c r="CF28" s="14">
        <f>INDEX(属性投放!$AZ$6:$AZ$85,(BY28-2)*20+CD28)</f>
        <v>652</v>
      </c>
      <c r="CG28" s="14" t="s">
        <v>22</v>
      </c>
      <c r="CH28" s="14">
        <f>INDEX(属性投放!$BA$6:$BA$85,(BY28-2)*20+CD28)</f>
        <v>262</v>
      </c>
      <c r="CI28" s="14" t="s">
        <v>510</v>
      </c>
      <c r="CJ28" s="14">
        <f>INDEX(属性投放!$BB$6:$BB$85,(BY28-2)*20+CD28)</f>
        <v>3512</v>
      </c>
      <c r="CK28" s="14" t="s">
        <v>21</v>
      </c>
      <c r="CL28" s="14">
        <f>INDEX(属性投放!$BC$6:$BC$85,(BY28-2)*20+CD28)</f>
        <v>12</v>
      </c>
      <c r="CM28" s="14" t="s">
        <v>22</v>
      </c>
      <c r="CN28" s="14">
        <f>INDEX(属性投放!$BD$6:$BD$85,(BY28-2)*20+CD28)</f>
        <v>6</v>
      </c>
      <c r="CO28" s="14" t="s">
        <v>510</v>
      </c>
      <c r="CP28" s="14">
        <f>INDEX(属性投放!$BE$6:$BE$85,(BY28-2)*20+CD28)</f>
        <v>84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INDEX($O$6:$O$50,CT28)&amp;"-"&amp;INDEX(属性投放!$AB$7:$AB$50,CZ28)&amp;"-魂火-"&amp;DB28</f>
        <v>关羽-大叫唤+1-魂火-3</v>
      </c>
      <c r="CY28" s="25" t="s">
        <v>142</v>
      </c>
      <c r="CZ28" s="14">
        <f>INDEX(属性投放!$AM$7:$AM$58,CU28)</f>
        <v>11</v>
      </c>
      <c r="DA28" s="14" t="s">
        <v>537</v>
      </c>
      <c r="DB28" s="14">
        <f>INDEX(属性投放!$AN$7:$AN$58,CU28)</f>
        <v>3</v>
      </c>
      <c r="DC28" s="14">
        <f t="shared" si="16"/>
        <v>24</v>
      </c>
      <c r="DD28" s="14">
        <f>INDEX(属性投放!$AO$7:$AO$58,DC28)</f>
        <v>78</v>
      </c>
      <c r="DE28" s="14" t="s">
        <v>538</v>
      </c>
      <c r="DF28" s="14">
        <f>INDEX(属性投放!$BK$6:$BK$85,(CV28-2)*20+CZ28)</f>
        <v>200</v>
      </c>
      <c r="DG28" s="14">
        <f>SUMIFS(DF$5:DF28,$CT$5:$CT28,"="&amp;$CT28)</f>
        <v>2519</v>
      </c>
      <c r="DH28" s="14" t="s">
        <v>539</v>
      </c>
      <c r="DI28" s="14">
        <f>INDEX(属性投放!$BL$6:$BL$85,(CV28-2)*20+CZ28)</f>
        <v>100</v>
      </c>
      <c r="DJ28" s="14">
        <f>SUMIFS(DI$5:DI28,$CT$5:$CT28,"="&amp;$CT28)</f>
        <v>1262</v>
      </c>
      <c r="DK28" s="14" t="s">
        <v>540</v>
      </c>
      <c r="DL28" s="14">
        <f>INDEX(属性投放!$BM$6:$BM$85,(CV28-2)*20+CZ28)</f>
        <v>1800</v>
      </c>
      <c r="DM28" s="14">
        <f>SUMIFS(DL$5:DL28,$CT$5:$CT28,"="&amp;$CT28)</f>
        <v>20382</v>
      </c>
      <c r="DR28" s="14">
        <f t="shared" si="17"/>
        <v>1102002</v>
      </c>
      <c r="DS28" s="14" t="str">
        <f t="shared" si="18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19"/>
        <v>3</v>
      </c>
      <c r="DX28" s="14">
        <f t="shared" si="20"/>
        <v>4</v>
      </c>
      <c r="DY28" s="14">
        <f t="shared" si="21"/>
        <v>24</v>
      </c>
      <c r="DZ28" s="14">
        <f>INDEX(属性投放!$AX$6:$AX$85,(卡牌属性!DW28-2)*20+卡牌属性!DX28)</f>
        <v>10</v>
      </c>
      <c r="EA28" s="14">
        <f>INDEX(属性投放!BQ$6:BQ$85,卡牌属性!$DY28)</f>
        <v>75</v>
      </c>
      <c r="EB28" s="14">
        <f>INDEX(属性投放!BR$6:BR$85,卡牌属性!$DY28)</f>
        <v>38</v>
      </c>
      <c r="EC28" s="14">
        <f>INDEX(属性投放!BS$6:BS$85,卡牌属性!$DY28)</f>
        <v>525</v>
      </c>
      <c r="ED28" s="14">
        <f t="shared" si="105"/>
        <v>449</v>
      </c>
      <c r="EE28" s="14">
        <f t="shared" si="106"/>
        <v>522</v>
      </c>
      <c r="EF28" s="14">
        <f t="shared" si="107"/>
        <v>595</v>
      </c>
      <c r="EG28" s="14">
        <f t="shared" si="108"/>
        <v>595</v>
      </c>
      <c r="EH28" s="14">
        <f t="shared" si="109"/>
        <v>688</v>
      </c>
      <c r="EI28" s="14">
        <f t="shared" si="110"/>
        <v>216</v>
      </c>
      <c r="EJ28" s="14">
        <f t="shared" si="111"/>
        <v>250</v>
      </c>
      <c r="EK28" s="14">
        <f t="shared" si="112"/>
        <v>250</v>
      </c>
      <c r="EL28" s="14">
        <f t="shared" si="113"/>
        <v>304</v>
      </c>
      <c r="EM28" s="14">
        <f t="shared" si="114"/>
        <v>353</v>
      </c>
      <c r="EN28" s="14">
        <f t="shared" si="115"/>
        <v>3170</v>
      </c>
      <c r="EO28" s="14">
        <f t="shared" si="116"/>
        <v>3728</v>
      </c>
      <c r="EP28" s="14">
        <f t="shared" si="117"/>
        <v>3728</v>
      </c>
      <c r="EQ28" s="14">
        <f t="shared" si="118"/>
        <v>4192</v>
      </c>
      <c r="ER28" s="14">
        <f t="shared" si="119"/>
        <v>4800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91</v>
      </c>
      <c r="FD28" s="14">
        <f>INDEX(属性偏向!$U$4:$U$243,(卡牌属性!$DV28-1+FD$3)*20+卡牌属性!$DX28)</f>
        <v>140</v>
      </c>
      <c r="FE28" s="14">
        <f>INDEX(属性偏向!$U$4:$U$243,(卡牌属性!$DV28-1+FE$3)*20+卡牌属性!$DX28)</f>
        <v>140</v>
      </c>
      <c r="FF28" s="14">
        <f>INDEX(属性偏向!$U$4:$U$243,(卡牌属性!$DV28-1+FF$3)*20+卡牌属性!$DX28)</f>
        <v>154</v>
      </c>
      <c r="FG28" s="14">
        <f>INDEX(属性偏向!$U$4:$U$243,(卡牌属性!$DV28-1+FG$3)*20+卡牌属性!$DX28)</f>
        <v>175</v>
      </c>
      <c r="FH28" s="14">
        <f>INDEX(属性投放!$BQ$6:$BQ$85,(卡牌属性!$DW28-2)*20+卡牌属性!$DX28)</f>
        <v>75</v>
      </c>
      <c r="FI28" s="14">
        <f>INDEX(属性投放!$BQ$6:$BQ$85,(卡牌属性!$DW28-2)*20+卡牌属性!$DX28)</f>
        <v>75</v>
      </c>
      <c r="FJ28" s="14">
        <f>INDEX(属性投放!$BQ$6:$BQ$85,(卡牌属性!$DW28-2)*20+卡牌属性!$DX28)</f>
        <v>75</v>
      </c>
      <c r="FK28" s="14">
        <f>INDEX(属性投放!$BQ$6:$BQ$85,(卡牌属性!$DW28-2)*20+卡牌属性!$DX28)</f>
        <v>75</v>
      </c>
      <c r="FL28" s="14">
        <f>INDEX(属性投放!$BQ$6:$BQ$85,(卡牌属性!$DW28-2)*20+卡牌属性!$DX28)</f>
        <v>75</v>
      </c>
      <c r="FM28" s="14">
        <f>INDEX(属性投放!$BR$6:$BR$85,(卡牌属性!$DW28-2)*20+卡牌属性!$DX28)</f>
        <v>38</v>
      </c>
      <c r="FN28" s="14">
        <f>INDEX(属性投放!$BR$6:$BR$85,(卡牌属性!$DW28-2)*20+卡牌属性!$DX28)</f>
        <v>38</v>
      </c>
      <c r="FO28" s="14">
        <f>INDEX(属性投放!$BR$6:$BR$85,(卡牌属性!$DW28-2)*20+卡牌属性!$DX28)</f>
        <v>38</v>
      </c>
      <c r="FP28" s="14">
        <f>INDEX(属性投放!$BR$6:$BR$85,(卡牌属性!$DW28-2)*20+卡牌属性!$DX28)</f>
        <v>38</v>
      </c>
      <c r="FQ28" s="14">
        <f>INDEX(属性投放!$BR$6:$BR$85,(卡牌属性!$DW28-2)*20+卡牌属性!$DX28)</f>
        <v>38</v>
      </c>
      <c r="FR28" s="14">
        <f>INDEX(属性投放!$BS$6:$BS$85,(卡牌属性!$DW28-2)*20+卡牌属性!$DX28)</f>
        <v>525</v>
      </c>
      <c r="FS28" s="14">
        <f>INDEX(属性投放!$BS$6:$BS$85,(卡牌属性!$DW28-2)*20+卡牌属性!$DX28)</f>
        <v>525</v>
      </c>
      <c r="FT28" s="14">
        <f>INDEX(属性投放!$BS$6:$BS$85,(卡牌属性!$DW28-2)*20+卡牌属性!$DX28)</f>
        <v>525</v>
      </c>
      <c r="FU28" s="14">
        <f>INDEX(属性投放!$BS$6:$BS$85,(卡牌属性!$DW28-2)*20+卡牌属性!$DX28)</f>
        <v>525</v>
      </c>
      <c r="FV28" s="14">
        <f>INDEX(属性投放!$BS$6:$BS$85,(卡牌属性!$DW28-2)*20+卡牌属性!$DX28)</f>
        <v>525</v>
      </c>
      <c r="FZ28" s="13">
        <v>24</v>
      </c>
      <c r="GA28" s="13">
        <f t="shared" si="22"/>
        <v>5</v>
      </c>
      <c r="GB28" s="14">
        <f t="shared" si="56"/>
        <v>1102005</v>
      </c>
      <c r="GC28" s="14" t="s">
        <v>1187</v>
      </c>
      <c r="GD28" s="14">
        <f t="shared" si="23"/>
        <v>4</v>
      </c>
      <c r="GE28" s="14" t="str">
        <f t="shared" si="24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5"/>
        <v>5</v>
      </c>
      <c r="GP28" s="14">
        <f t="shared" si="57"/>
        <v>1101005</v>
      </c>
      <c r="GQ28" s="14" t="s">
        <v>1187</v>
      </c>
      <c r="GR28" s="14">
        <f t="shared" si="26"/>
        <v>4</v>
      </c>
      <c r="GS28" s="14" t="str">
        <f t="shared" si="27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MATCH(HC28,属性投放!$AO$6:$AO$58,1)-1</f>
        <v>5</v>
      </c>
      <c r="HF28" s="13">
        <f>MATCH(HC28-1,属性投放!$AE$6:$AE$26,1)</f>
        <v>3</v>
      </c>
      <c r="HG28" s="13" t="str">
        <f>INDEX(属性投放!$AB$7:$AB$26,卡牌属性!HF28)</f>
        <v>黑绳+1</v>
      </c>
      <c r="HH28" s="14">
        <f t="shared" si="58"/>
        <v>473</v>
      </c>
      <c r="HI28" s="14">
        <f t="shared" si="59"/>
        <v>158</v>
      </c>
      <c r="HJ28" s="14">
        <f t="shared" si="60"/>
        <v>2060</v>
      </c>
      <c r="HK28" s="14">
        <f t="shared" si="61"/>
        <v>15</v>
      </c>
      <c r="HL28" s="14">
        <f t="shared" si="62"/>
        <v>6</v>
      </c>
      <c r="HM28" s="14">
        <f t="shared" si="63"/>
        <v>72</v>
      </c>
      <c r="HN28" s="14">
        <f>HH28+HK28*($HC28-INDEX(属性投放!$AE$6:$AE$26,卡牌属性!$HF28))</f>
        <v>608</v>
      </c>
      <c r="HO28" s="14">
        <f>HI28+HL28*($HC28-INDEX(属性投放!$AE$6:$AE$26,卡牌属性!$HF28))</f>
        <v>212</v>
      </c>
      <c r="HP28" s="14">
        <f>HJ28+HM28*($HC28-INDEX(属性投放!$AE$6:$AE$26,卡牌属性!$HF28))</f>
        <v>2708</v>
      </c>
      <c r="HQ28" s="14">
        <f t="shared" si="64"/>
        <v>155</v>
      </c>
      <c r="HR28" s="14">
        <f t="shared" si="65"/>
        <v>79</v>
      </c>
      <c r="HS28" s="14">
        <f t="shared" si="66"/>
        <v>930</v>
      </c>
      <c r="HT28" s="14">
        <f>IF(COUNTIF(属性投放!$AO$7:$AO$58,"="&amp;卡牌属性!HC28)&gt;0,卡牌属性!HE28,0)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IF(COUNTIF(属性投放!$AE$6:$AE$26,"="&amp;卡牌属性!HC28)&gt;0,卡牌属性!HF28,0)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15</v>
      </c>
      <c r="IC28" s="14">
        <f t="shared" si="74"/>
        <v>6</v>
      </c>
      <c r="ID28" s="14">
        <f t="shared" si="75"/>
        <v>72</v>
      </c>
      <c r="IE28" s="14">
        <f t="shared" si="76"/>
        <v>763</v>
      </c>
      <c r="IF28" s="14">
        <f t="shared" si="77"/>
        <v>291</v>
      </c>
      <c r="IG28" s="14">
        <f t="shared" si="78"/>
        <v>3638</v>
      </c>
      <c r="IH28" s="14">
        <f t="shared" si="79"/>
        <v>342</v>
      </c>
      <c r="II28" s="14">
        <f t="shared" si="80"/>
        <v>0</v>
      </c>
      <c r="IJ28" s="14">
        <f t="shared" si="81"/>
        <v>0</v>
      </c>
      <c r="IK28" s="14">
        <f t="shared" si="82"/>
        <v>17088</v>
      </c>
      <c r="IL28" s="17">
        <f t="shared" si="83"/>
        <v>2.0014044943820225E-2</v>
      </c>
      <c r="IM28" s="17">
        <f t="shared" si="84"/>
        <v>0</v>
      </c>
      <c r="IN28" s="17">
        <f t="shared" si="85"/>
        <v>0</v>
      </c>
      <c r="IO28" s="23">
        <f>SUM(IH$5:IH28)</f>
        <v>7898</v>
      </c>
      <c r="IP28" s="14">
        <f>SUM(II$5:II28)</f>
        <v>4060</v>
      </c>
      <c r="IQ28" s="14">
        <f>SUM(IJ$5:IJ28)</f>
        <v>920</v>
      </c>
      <c r="IR28" s="17">
        <f t="shared" si="86"/>
        <v>0.46219569288389512</v>
      </c>
      <c r="IS28" s="17">
        <f t="shared" si="87"/>
        <v>0.23759363295880151</v>
      </c>
      <c r="IT28" s="17">
        <f t="shared" si="88"/>
        <v>5.3838951310861423E-2</v>
      </c>
      <c r="IW28" s="13">
        <v>24</v>
      </c>
      <c r="IX28" s="14">
        <f>MATCH(IW28-1,属性投放!$T$6:$T$66,1)</f>
        <v>1</v>
      </c>
      <c r="IY28" s="14">
        <f>MATCH(IW28-1,属性投放!$AD$7:$AD$26,1)</f>
        <v>3</v>
      </c>
      <c r="IZ28" s="14" t="str">
        <f>INDEX(属性投放!$AB$7:$AB$26,IY28)</f>
        <v>黑绳+1</v>
      </c>
      <c r="JA28" s="14">
        <f t="shared" si="89"/>
        <v>189</v>
      </c>
      <c r="JB28" s="14">
        <f t="shared" si="90"/>
        <v>45</v>
      </c>
      <c r="JC28" s="14">
        <f t="shared" si="91"/>
        <v>784</v>
      </c>
      <c r="JD28" s="14">
        <f t="shared" si="92"/>
        <v>12</v>
      </c>
      <c r="JE28" s="14">
        <f t="shared" si="93"/>
        <v>6</v>
      </c>
      <c r="JF28" s="14">
        <f t="shared" si="94"/>
        <v>70</v>
      </c>
      <c r="JG28" s="14">
        <f>INDEX(属性投放!$DC$6:$DC$85,卡牌属性!IY28)</f>
        <v>10</v>
      </c>
      <c r="JH28" s="14">
        <f t="shared" si="95"/>
        <v>357</v>
      </c>
      <c r="JI28" s="14">
        <f t="shared" si="96"/>
        <v>129</v>
      </c>
      <c r="JJ28" s="14">
        <f t="shared" si="97"/>
        <v>1764</v>
      </c>
      <c r="JK28" s="14">
        <f t="shared" si="98"/>
        <v>4839</v>
      </c>
    </row>
    <row r="29" spans="1:271" ht="16.5" x14ac:dyDescent="0.2">
      <c r="A29" s="13">
        <v>1101999</v>
      </c>
      <c r="B29" s="13" t="s">
        <v>1413</v>
      </c>
      <c r="C29" s="13">
        <v>1</v>
      </c>
      <c r="D29" s="13">
        <v>2</v>
      </c>
      <c r="E29" s="13">
        <v>20</v>
      </c>
      <c r="F29" s="14">
        <f>SUM(E$5:E29)</f>
        <v>480</v>
      </c>
      <c r="G29" s="13" t="s">
        <v>1417</v>
      </c>
      <c r="H29" s="13" t="s">
        <v>553</v>
      </c>
      <c r="I29" s="13" t="s">
        <v>1417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1011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556</v>
      </c>
      <c r="W29" s="13" t="s">
        <v>556</v>
      </c>
      <c r="X29" s="13" t="s">
        <v>556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1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142</v>
      </c>
      <c r="AM29" s="14">
        <v>1</v>
      </c>
      <c r="AN29" s="14">
        <f t="shared" si="5"/>
        <v>5</v>
      </c>
      <c r="AO29" s="14">
        <f>INDEX(属性投放!$DF$6:$DF$85,(卡牌属性!AG29-2)*20+卡牌属性!AN29)</f>
        <v>401</v>
      </c>
      <c r="AP29" s="14">
        <f t="shared" si="99"/>
        <v>401</v>
      </c>
      <c r="AQ29" s="14">
        <f t="shared" si="99"/>
        <v>401</v>
      </c>
      <c r="AR29" s="14">
        <f t="shared" si="99"/>
        <v>401</v>
      </c>
      <c r="AS29" s="14">
        <f t="shared" si="99"/>
        <v>401</v>
      </c>
      <c r="AT29" s="14">
        <f>INDEX(属性投放!$DG$6:$DG$85,(卡牌属性!AG29-2)*20+卡牌属性!AN29)</f>
        <v>151</v>
      </c>
      <c r="AU29" s="14">
        <f t="shared" si="100"/>
        <v>151</v>
      </c>
      <c r="AV29" s="14">
        <f t="shared" si="100"/>
        <v>151</v>
      </c>
      <c r="AW29" s="14">
        <f t="shared" si="100"/>
        <v>151</v>
      </c>
      <c r="AX29" s="14">
        <f t="shared" si="100"/>
        <v>151</v>
      </c>
      <c r="AY29" s="14">
        <f>INDEX(属性投放!$DH$6:$DH$85,(卡牌属性!AG29-2)*20+卡牌属性!AN29)</f>
        <v>2096</v>
      </c>
      <c r="AZ29" s="14">
        <f t="shared" si="101"/>
        <v>2096</v>
      </c>
      <c r="BA29" s="14">
        <f t="shared" si="101"/>
        <v>2096</v>
      </c>
      <c r="BB29" s="14">
        <f t="shared" si="101"/>
        <v>2096</v>
      </c>
      <c r="BC29" s="14">
        <f t="shared" si="101"/>
        <v>2096</v>
      </c>
      <c r="BD29" s="14">
        <f>INDEX(属性投放!$DL$6:$DL$85,(卡牌属性!AG29-2)*20+卡牌属性!AN29)</f>
        <v>22</v>
      </c>
      <c r="BE29" s="14">
        <f t="shared" si="102"/>
        <v>22</v>
      </c>
      <c r="BF29" s="14">
        <f t="shared" si="102"/>
        <v>22</v>
      </c>
      <c r="BG29" s="14">
        <f t="shared" si="102"/>
        <v>22</v>
      </c>
      <c r="BH29" s="14">
        <f t="shared" si="102"/>
        <v>22</v>
      </c>
      <c r="BI29" s="14">
        <f>INDEX(属性投放!$DM$6:$DM$85,(卡牌属性!AG29-2)*20+卡牌属性!AN29)</f>
        <v>11</v>
      </c>
      <c r="BJ29" s="14">
        <f t="shared" si="103"/>
        <v>11</v>
      </c>
      <c r="BK29" s="14">
        <f t="shared" si="103"/>
        <v>11</v>
      </c>
      <c r="BL29" s="14">
        <f t="shared" si="103"/>
        <v>11</v>
      </c>
      <c r="BM29" s="14">
        <f t="shared" si="103"/>
        <v>11</v>
      </c>
      <c r="BN29" s="14">
        <f>INDEX(属性投放!$DN$6:$DN$85,(卡牌属性!AG29-2)*20+卡牌属性!AN29)</f>
        <v>153</v>
      </c>
      <c r="BO29" s="14">
        <f t="shared" si="104"/>
        <v>153</v>
      </c>
      <c r="BP29" s="14">
        <f t="shared" si="104"/>
        <v>153</v>
      </c>
      <c r="BQ29" s="14">
        <f t="shared" si="104"/>
        <v>153</v>
      </c>
      <c r="BR29" s="14">
        <f t="shared" si="104"/>
        <v>153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32"/>
        <v>1102002</v>
      </c>
      <c r="CA29" s="14" t="str">
        <f t="shared" si="33"/>
        <v>许褚5突</v>
      </c>
      <c r="CB29" s="25" t="s">
        <v>142</v>
      </c>
      <c r="CC29" s="14">
        <v>2</v>
      </c>
      <c r="CD29" s="14">
        <f t="shared" si="14"/>
        <v>5</v>
      </c>
      <c r="CE29" s="14" t="s">
        <v>21</v>
      </c>
      <c r="CF29" s="14">
        <f>INDEX(属性投放!$AZ$6:$AZ$85,(BY29-2)*20+CD29)</f>
        <v>927</v>
      </c>
      <c r="CG29" s="14" t="s">
        <v>22</v>
      </c>
      <c r="CH29" s="14">
        <f>INDEX(属性投放!$BA$6:$BA$85,(BY29-2)*20+CD29)</f>
        <v>400</v>
      </c>
      <c r="CI29" s="14" t="s">
        <v>510</v>
      </c>
      <c r="CJ29" s="14">
        <f>INDEX(属性投放!$BB$6:$BB$85,(BY29-2)*20+CD29)</f>
        <v>5437</v>
      </c>
      <c r="CK29" s="14" t="s">
        <v>21</v>
      </c>
      <c r="CL29" s="14">
        <f>INDEX(属性投放!$BC$6:$BC$85,(BY29-2)*20+CD29)</f>
        <v>12</v>
      </c>
      <c r="CM29" s="14" t="s">
        <v>22</v>
      </c>
      <c r="CN29" s="14">
        <f>INDEX(属性投放!$BD$6:$BD$85,(BY29-2)*20+CD29)</f>
        <v>6</v>
      </c>
      <c r="CO29" s="14" t="s">
        <v>510</v>
      </c>
      <c r="CP29" s="14">
        <f>INDEX(属性投放!$BE$6:$BE$85,(BY29-2)*20+CD29)</f>
        <v>84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INDEX($O$6:$O$50,CT29)&amp;"-"&amp;INDEX(属性投放!$AB$7:$AB$50,CZ29)&amp;"-魂火-"&amp;DB29</f>
        <v>关羽-大叫唤+2-魂火-1</v>
      </c>
      <c r="CY29" s="25" t="s">
        <v>142</v>
      </c>
      <c r="CZ29" s="14">
        <f>INDEX(属性投放!$AM$7:$AM$58,CU29)</f>
        <v>12</v>
      </c>
      <c r="DA29" s="14" t="s">
        <v>537</v>
      </c>
      <c r="DB29" s="14">
        <f>INDEX(属性投放!$AN$7:$AN$58,CU29)</f>
        <v>1</v>
      </c>
      <c r="DC29" s="14">
        <f t="shared" si="16"/>
        <v>25</v>
      </c>
      <c r="DD29" s="14">
        <f>INDEX(属性投放!$AO$7:$AO$58,DC29)</f>
        <v>80</v>
      </c>
      <c r="DE29" s="14" t="s">
        <v>538</v>
      </c>
      <c r="DF29" s="14">
        <f>INDEX(属性投放!$BK$6:$BK$85,(CV29-2)*20+CZ29)</f>
        <v>260</v>
      </c>
      <c r="DG29" s="14">
        <f>SUMIFS(DF$5:DF29,$CT$5:$CT29,"="&amp;$CT29)</f>
        <v>2779</v>
      </c>
      <c r="DH29" s="14" t="s">
        <v>539</v>
      </c>
      <c r="DI29" s="14">
        <f>INDEX(属性投放!$BL$6:$BL$85,(CV29-2)*20+CZ29)</f>
        <v>130</v>
      </c>
      <c r="DJ29" s="14">
        <f>SUMIFS(DI$5:DI29,$CT$5:$CT29,"="&amp;$CT29)</f>
        <v>1392</v>
      </c>
      <c r="DK29" s="14" t="s">
        <v>540</v>
      </c>
      <c r="DL29" s="14">
        <f>INDEX(属性投放!$BM$6:$BM$85,(CV29-2)*20+CZ29)</f>
        <v>2340</v>
      </c>
      <c r="DM29" s="14">
        <f>SUMIFS(DL$5:DL29,$CT$5:$CT29,"="&amp;$CT29)</f>
        <v>22722</v>
      </c>
      <c r="DR29" s="14">
        <f t="shared" si="17"/>
        <v>1102002</v>
      </c>
      <c r="DS29" s="14" t="str">
        <f t="shared" si="18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19"/>
        <v>3</v>
      </c>
      <c r="DX29" s="14">
        <f t="shared" si="20"/>
        <v>5</v>
      </c>
      <c r="DY29" s="14">
        <f t="shared" si="21"/>
        <v>25</v>
      </c>
      <c r="DZ29" s="14">
        <f>INDEX(属性投放!$AX$6:$AX$85,(卡牌属性!DW29-2)*20+卡牌属性!DX29)</f>
        <v>7</v>
      </c>
      <c r="EA29" s="14">
        <f>INDEX(属性投放!BQ$6:BQ$85,卡牌属性!$DY29)</f>
        <v>100</v>
      </c>
      <c r="EB29" s="14">
        <f>INDEX(属性投放!BR$6:BR$85,卡牌属性!$DY29)</f>
        <v>50</v>
      </c>
      <c r="EC29" s="14">
        <f>INDEX(属性投放!BS$6:BS$85,卡牌属性!$DY29)</f>
        <v>700</v>
      </c>
      <c r="ED29" s="14">
        <f t="shared" si="105"/>
        <v>624</v>
      </c>
      <c r="EE29" s="14">
        <f t="shared" si="106"/>
        <v>717</v>
      </c>
      <c r="EF29" s="14">
        <f t="shared" si="107"/>
        <v>800</v>
      </c>
      <c r="EG29" s="14">
        <f t="shared" si="108"/>
        <v>800</v>
      </c>
      <c r="EH29" s="14">
        <f t="shared" si="109"/>
        <v>963</v>
      </c>
      <c r="EI29" s="14">
        <f t="shared" si="110"/>
        <v>314</v>
      </c>
      <c r="EJ29" s="14">
        <f t="shared" si="111"/>
        <v>358</v>
      </c>
      <c r="EK29" s="14">
        <f t="shared" si="112"/>
        <v>358</v>
      </c>
      <c r="EL29" s="14">
        <f t="shared" si="113"/>
        <v>442</v>
      </c>
      <c r="EM29" s="14">
        <f t="shared" si="114"/>
        <v>501</v>
      </c>
      <c r="EN29" s="14">
        <f t="shared" si="115"/>
        <v>4605</v>
      </c>
      <c r="EO29" s="14">
        <f t="shared" si="116"/>
        <v>5653</v>
      </c>
      <c r="EP29" s="14">
        <f t="shared" si="117"/>
        <v>5653</v>
      </c>
      <c r="EQ29" s="14">
        <f t="shared" si="118"/>
        <v>6257</v>
      </c>
      <c r="ER29" s="14">
        <f t="shared" si="119"/>
        <v>7075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91</v>
      </c>
      <c r="FD29" s="14">
        <f>INDEX(属性偏向!$U$4:$U$243,(卡牌属性!$DV29-1+FD$3)*20+卡牌属性!$DX29)</f>
        <v>140</v>
      </c>
      <c r="FE29" s="14">
        <f>INDEX(属性偏向!$U$4:$U$243,(卡牌属性!$DV29-1+FE$3)*20+卡牌属性!$DX29)</f>
        <v>140</v>
      </c>
      <c r="FF29" s="14">
        <f>INDEX(属性偏向!$U$4:$U$243,(卡牌属性!$DV29-1+FF$3)*20+卡牌属性!$DX29)</f>
        <v>154</v>
      </c>
      <c r="FG29" s="14">
        <f>INDEX(属性偏向!$U$4:$U$243,(卡牌属性!$DV29-1+FG$3)*20+卡牌属性!$DX29)</f>
        <v>175</v>
      </c>
      <c r="FH29" s="14">
        <f>INDEX(属性投放!$BQ$6:$BQ$85,(卡牌属性!$DW29-2)*20+卡牌属性!$DX29)</f>
        <v>100</v>
      </c>
      <c r="FI29" s="14">
        <f>INDEX(属性投放!$BQ$6:$BQ$85,(卡牌属性!$DW29-2)*20+卡牌属性!$DX29)</f>
        <v>100</v>
      </c>
      <c r="FJ29" s="14">
        <f>INDEX(属性投放!$BQ$6:$BQ$85,(卡牌属性!$DW29-2)*20+卡牌属性!$DX29)</f>
        <v>100</v>
      </c>
      <c r="FK29" s="14">
        <f>INDEX(属性投放!$BQ$6:$BQ$85,(卡牌属性!$DW29-2)*20+卡牌属性!$DX29)</f>
        <v>100</v>
      </c>
      <c r="FL29" s="14">
        <f>INDEX(属性投放!$BQ$6:$BQ$85,(卡牌属性!$DW29-2)*20+卡牌属性!$DX29)</f>
        <v>100</v>
      </c>
      <c r="FM29" s="14">
        <f>INDEX(属性投放!$BR$6:$BR$85,(卡牌属性!$DW29-2)*20+卡牌属性!$DX29)</f>
        <v>50</v>
      </c>
      <c r="FN29" s="14">
        <f>INDEX(属性投放!$BR$6:$BR$85,(卡牌属性!$DW29-2)*20+卡牌属性!$DX29)</f>
        <v>50</v>
      </c>
      <c r="FO29" s="14">
        <f>INDEX(属性投放!$BR$6:$BR$85,(卡牌属性!$DW29-2)*20+卡牌属性!$DX29)</f>
        <v>50</v>
      </c>
      <c r="FP29" s="14">
        <f>INDEX(属性投放!$BR$6:$BR$85,(卡牌属性!$DW29-2)*20+卡牌属性!$DX29)</f>
        <v>50</v>
      </c>
      <c r="FQ29" s="14">
        <f>INDEX(属性投放!$BR$6:$BR$85,(卡牌属性!$DW29-2)*20+卡牌属性!$DX29)</f>
        <v>50</v>
      </c>
      <c r="FR29" s="14">
        <f>INDEX(属性投放!$BS$6:$BS$85,(卡牌属性!$DW29-2)*20+卡牌属性!$DX29)</f>
        <v>700</v>
      </c>
      <c r="FS29" s="14">
        <f>INDEX(属性投放!$BS$6:$BS$85,(卡牌属性!$DW29-2)*20+卡牌属性!$DX29)</f>
        <v>700</v>
      </c>
      <c r="FT29" s="14">
        <f>INDEX(属性投放!$BS$6:$BS$85,(卡牌属性!$DW29-2)*20+卡牌属性!$DX29)</f>
        <v>700</v>
      </c>
      <c r="FU29" s="14">
        <f>INDEX(属性投放!$BS$6:$BS$85,(卡牌属性!$DW29-2)*20+卡牌属性!$DX29)</f>
        <v>700</v>
      </c>
      <c r="FV29" s="14">
        <f>INDEX(属性投放!$BS$6:$BS$85,(卡牌属性!$DW29-2)*20+卡牌属性!$DX29)</f>
        <v>700</v>
      </c>
      <c r="FZ29" s="13">
        <v>25</v>
      </c>
      <c r="GA29" s="13">
        <f t="shared" si="22"/>
        <v>5</v>
      </c>
      <c r="GB29" s="14">
        <f t="shared" si="56"/>
        <v>1102005</v>
      </c>
      <c r="GC29" s="14" t="s">
        <v>1187</v>
      </c>
      <c r="GD29" s="14">
        <f t="shared" si="23"/>
        <v>5</v>
      </c>
      <c r="GE29" s="14" t="str">
        <f t="shared" si="24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5"/>
        <v>5</v>
      </c>
      <c r="GP29" s="14">
        <f t="shared" si="57"/>
        <v>1101005</v>
      </c>
      <c r="GQ29" s="14" t="s">
        <v>1187</v>
      </c>
      <c r="GR29" s="14">
        <f t="shared" si="26"/>
        <v>5</v>
      </c>
      <c r="GS29" s="14" t="str">
        <f t="shared" si="27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MATCH(HC29,属性投放!$AO$6:$AO$58,1)-1</f>
        <v>5</v>
      </c>
      <c r="HF29" s="13">
        <f>MATCH(HC29-1,属性投放!$AE$6:$AE$26,1)</f>
        <v>3</v>
      </c>
      <c r="HG29" s="13" t="str">
        <f>INDEX(属性投放!$AB$7:$AB$26,卡牌属性!HF29)</f>
        <v>黑绳+1</v>
      </c>
      <c r="HH29" s="14">
        <f t="shared" si="58"/>
        <v>473</v>
      </c>
      <c r="HI29" s="14">
        <f t="shared" si="59"/>
        <v>158</v>
      </c>
      <c r="HJ29" s="14">
        <f t="shared" si="60"/>
        <v>2060</v>
      </c>
      <c r="HK29" s="14">
        <f t="shared" si="61"/>
        <v>15</v>
      </c>
      <c r="HL29" s="14">
        <f t="shared" si="62"/>
        <v>6</v>
      </c>
      <c r="HM29" s="14">
        <f t="shared" si="63"/>
        <v>72</v>
      </c>
      <c r="HN29" s="14">
        <f>HH29+HK29*($HC29-INDEX(属性投放!$AE$6:$AE$26,卡牌属性!$HF29))</f>
        <v>623</v>
      </c>
      <c r="HO29" s="14">
        <f>HI29+HL29*($HC29-INDEX(属性投放!$AE$6:$AE$26,卡牌属性!$HF29))</f>
        <v>218</v>
      </c>
      <c r="HP29" s="14">
        <f>HJ29+HM29*($HC29-INDEX(属性投放!$AE$6:$AE$26,卡牌属性!$HF29))</f>
        <v>2780</v>
      </c>
      <c r="HQ29" s="14">
        <f t="shared" si="64"/>
        <v>155</v>
      </c>
      <c r="HR29" s="14">
        <f t="shared" si="65"/>
        <v>79</v>
      </c>
      <c r="HS29" s="14">
        <f t="shared" si="66"/>
        <v>930</v>
      </c>
      <c r="HT29" s="14">
        <f>IF(COUNTIF(属性投放!$AO$7:$AO$58,"="&amp;卡牌属性!HC29)&gt;0,卡牌属性!HE29,0)</f>
        <v>0</v>
      </c>
      <c r="HU29" s="14">
        <f t="shared" si="67"/>
        <v>0</v>
      </c>
      <c r="HV29" s="14">
        <f t="shared" si="68"/>
        <v>0</v>
      </c>
      <c r="HW29" s="14">
        <f t="shared" si="69"/>
        <v>0</v>
      </c>
      <c r="HX29" s="14">
        <f>IF(COUNTIF(属性投放!$AE$6:$AE$26,"="&amp;卡牌属性!HC29)&gt;0,卡牌属性!HF29,0)</f>
        <v>3</v>
      </c>
      <c r="HY29" s="14">
        <f t="shared" si="70"/>
        <v>40</v>
      </c>
      <c r="HZ29" s="14">
        <f t="shared" si="71"/>
        <v>20</v>
      </c>
      <c r="IA29" s="14">
        <f t="shared" si="72"/>
        <v>240</v>
      </c>
      <c r="IB29" s="14">
        <f t="shared" si="73"/>
        <v>15</v>
      </c>
      <c r="IC29" s="14">
        <f t="shared" si="74"/>
        <v>6</v>
      </c>
      <c r="ID29" s="14">
        <f t="shared" si="75"/>
        <v>72</v>
      </c>
      <c r="IE29" s="14">
        <f t="shared" si="76"/>
        <v>778</v>
      </c>
      <c r="IF29" s="14">
        <f t="shared" si="77"/>
        <v>297</v>
      </c>
      <c r="IG29" s="14">
        <f t="shared" si="78"/>
        <v>3710</v>
      </c>
      <c r="IH29" s="14">
        <f t="shared" si="79"/>
        <v>342</v>
      </c>
      <c r="II29" s="14">
        <f t="shared" si="80"/>
        <v>0</v>
      </c>
      <c r="IJ29" s="14">
        <f t="shared" si="81"/>
        <v>1040</v>
      </c>
      <c r="IK29" s="14">
        <f t="shared" si="82"/>
        <v>17430</v>
      </c>
      <c r="IL29" s="17">
        <f t="shared" si="83"/>
        <v>1.9621342512908778E-2</v>
      </c>
      <c r="IM29" s="17">
        <f t="shared" si="84"/>
        <v>0</v>
      </c>
      <c r="IN29" s="17">
        <f t="shared" si="85"/>
        <v>5.9667240390131958E-2</v>
      </c>
      <c r="IO29" s="23">
        <f>SUM(IH$5:IH29)</f>
        <v>8240</v>
      </c>
      <c r="IP29" s="14">
        <f>SUM(II$5:II29)</f>
        <v>4060</v>
      </c>
      <c r="IQ29" s="14">
        <f>SUM(IJ$5:IJ29)</f>
        <v>1960</v>
      </c>
      <c r="IR29" s="17">
        <f t="shared" si="86"/>
        <v>0.47274813539873783</v>
      </c>
      <c r="IS29" s="17">
        <f t="shared" si="87"/>
        <v>0.23293172690763053</v>
      </c>
      <c r="IT29" s="17">
        <f t="shared" si="88"/>
        <v>0.11244979919678715</v>
      </c>
      <c r="IW29" s="13">
        <v>25</v>
      </c>
      <c r="IX29" s="14">
        <f>MATCH(IW29-1,属性投放!$T$6:$T$66,1)</f>
        <v>1</v>
      </c>
      <c r="IY29" s="14">
        <f>MATCH(IW29-1,属性投放!$AD$7:$AD$26,1)</f>
        <v>3</v>
      </c>
      <c r="IZ29" s="14" t="str">
        <f>INDEX(属性投放!$AB$7:$AB$26,IY29)</f>
        <v>黑绳+1</v>
      </c>
      <c r="JA29" s="14">
        <f t="shared" si="89"/>
        <v>189</v>
      </c>
      <c r="JB29" s="14">
        <f t="shared" si="90"/>
        <v>45</v>
      </c>
      <c r="JC29" s="14">
        <f t="shared" si="91"/>
        <v>784</v>
      </c>
      <c r="JD29" s="14">
        <f t="shared" si="92"/>
        <v>12</v>
      </c>
      <c r="JE29" s="14">
        <f t="shared" si="93"/>
        <v>6</v>
      </c>
      <c r="JF29" s="14">
        <f t="shared" si="94"/>
        <v>70</v>
      </c>
      <c r="JG29" s="14">
        <f>INDEX(属性投放!$DC$6:$DC$85,卡牌属性!IY29)</f>
        <v>10</v>
      </c>
      <c r="JH29" s="14">
        <f t="shared" si="95"/>
        <v>369</v>
      </c>
      <c r="JI29" s="14">
        <f t="shared" si="96"/>
        <v>135</v>
      </c>
      <c r="JJ29" s="14">
        <f t="shared" si="97"/>
        <v>1834</v>
      </c>
      <c r="JK29" s="14">
        <f t="shared" si="98"/>
        <v>5029</v>
      </c>
    </row>
    <row r="30" spans="1:271" ht="16.5" x14ac:dyDescent="0.2">
      <c r="A30" s="13">
        <v>1101998</v>
      </c>
      <c r="B30" s="13" t="s">
        <v>1414</v>
      </c>
      <c r="C30" s="13">
        <v>1</v>
      </c>
      <c r="D30" s="13">
        <v>3</v>
      </c>
      <c r="E30" s="13">
        <v>20</v>
      </c>
      <c r="F30" s="14">
        <f>SUM(E$5:E30)</f>
        <v>500</v>
      </c>
      <c r="G30" s="13" t="s">
        <v>1418</v>
      </c>
      <c r="H30" s="13" t="s">
        <v>1419</v>
      </c>
      <c r="I30" s="13" t="s">
        <v>1420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1012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560</v>
      </c>
      <c r="W30" s="13" t="s">
        <v>554</v>
      </c>
      <c r="X30" s="13" t="s">
        <v>554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1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142</v>
      </c>
      <c r="AM30" s="14">
        <v>1</v>
      </c>
      <c r="AN30" s="14">
        <f t="shared" si="5"/>
        <v>6</v>
      </c>
      <c r="AO30" s="14">
        <f>INDEX(属性投放!$DF$6:$DF$85,(卡牌属性!AG30-2)*20+卡牌属性!AN30)</f>
        <v>464</v>
      </c>
      <c r="AP30" s="14">
        <f t="shared" si="99"/>
        <v>464</v>
      </c>
      <c r="AQ30" s="14">
        <f t="shared" si="99"/>
        <v>464</v>
      </c>
      <c r="AR30" s="14">
        <f t="shared" si="99"/>
        <v>464</v>
      </c>
      <c r="AS30" s="14">
        <f t="shared" si="99"/>
        <v>464</v>
      </c>
      <c r="AT30" s="14">
        <f>INDEX(属性投放!$DG$6:$DG$85,(卡牌属性!AG30-2)*20+卡牌属性!AN30)</f>
        <v>182</v>
      </c>
      <c r="AU30" s="14">
        <f t="shared" si="100"/>
        <v>182</v>
      </c>
      <c r="AV30" s="14">
        <f t="shared" si="100"/>
        <v>182</v>
      </c>
      <c r="AW30" s="14">
        <f t="shared" si="100"/>
        <v>182</v>
      </c>
      <c r="AX30" s="14">
        <f t="shared" si="100"/>
        <v>182</v>
      </c>
      <c r="AY30" s="14">
        <f>INDEX(属性投放!$DH$6:$DH$85,(卡牌属性!AG30-2)*20+卡牌属性!AN30)</f>
        <v>2534</v>
      </c>
      <c r="AZ30" s="14">
        <f t="shared" si="101"/>
        <v>2534</v>
      </c>
      <c r="BA30" s="14">
        <f t="shared" si="101"/>
        <v>2534</v>
      </c>
      <c r="BB30" s="14">
        <f t="shared" si="101"/>
        <v>2534</v>
      </c>
      <c r="BC30" s="14">
        <f t="shared" si="101"/>
        <v>2534</v>
      </c>
      <c r="BD30" s="14">
        <f>INDEX(属性投放!$DL$6:$DL$85,(卡牌属性!AG30-2)*20+卡牌属性!AN30)</f>
        <v>22</v>
      </c>
      <c r="BE30" s="14">
        <f t="shared" si="102"/>
        <v>22</v>
      </c>
      <c r="BF30" s="14">
        <f t="shared" si="102"/>
        <v>22</v>
      </c>
      <c r="BG30" s="14">
        <f t="shared" si="102"/>
        <v>22</v>
      </c>
      <c r="BH30" s="14">
        <f t="shared" si="102"/>
        <v>22</v>
      </c>
      <c r="BI30" s="14">
        <f>INDEX(属性投放!$DM$6:$DM$85,(卡牌属性!AG30-2)*20+卡牌属性!AN30)</f>
        <v>11</v>
      </c>
      <c r="BJ30" s="14">
        <f t="shared" si="103"/>
        <v>11</v>
      </c>
      <c r="BK30" s="14">
        <f t="shared" si="103"/>
        <v>11</v>
      </c>
      <c r="BL30" s="14">
        <f t="shared" si="103"/>
        <v>11</v>
      </c>
      <c r="BM30" s="14">
        <f t="shared" si="103"/>
        <v>11</v>
      </c>
      <c r="BN30" s="14">
        <f>INDEX(属性投放!$DN$6:$DN$85,(卡牌属性!AG30-2)*20+卡牌属性!AN30)</f>
        <v>153</v>
      </c>
      <c r="BO30" s="14">
        <f t="shared" si="104"/>
        <v>153</v>
      </c>
      <c r="BP30" s="14">
        <f t="shared" si="104"/>
        <v>153</v>
      </c>
      <c r="BQ30" s="14">
        <f t="shared" si="104"/>
        <v>153</v>
      </c>
      <c r="BR30" s="14">
        <f t="shared" si="104"/>
        <v>153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32"/>
        <v>1102002</v>
      </c>
      <c r="CA30" s="14" t="str">
        <f t="shared" si="33"/>
        <v>许褚6突</v>
      </c>
      <c r="CB30" s="25" t="s">
        <v>142</v>
      </c>
      <c r="CC30" s="14">
        <v>2</v>
      </c>
      <c r="CD30" s="14">
        <f t="shared" si="14"/>
        <v>6</v>
      </c>
      <c r="CE30" s="14" t="s">
        <v>21</v>
      </c>
      <c r="CF30" s="14">
        <f>INDEX(属性投放!$AZ$6:$AZ$85,(BY30-2)*20+CD30)</f>
        <v>1201</v>
      </c>
      <c r="CG30" s="14" t="s">
        <v>22</v>
      </c>
      <c r="CH30" s="14">
        <f>INDEX(属性投放!$BA$6:$BA$85,(BY30-2)*20+CD30)</f>
        <v>538</v>
      </c>
      <c r="CI30" s="14" t="s">
        <v>510</v>
      </c>
      <c r="CJ30" s="14">
        <f>INDEX(属性投放!$BB$6:$BB$85,(BY30-2)*20+CD30)</f>
        <v>7355</v>
      </c>
      <c r="CK30" s="14" t="s">
        <v>21</v>
      </c>
      <c r="CL30" s="14">
        <f>INDEX(属性投放!$BC$6:$BC$85,(BY30-2)*20+CD30)</f>
        <v>12</v>
      </c>
      <c r="CM30" s="14" t="s">
        <v>22</v>
      </c>
      <c r="CN30" s="14">
        <f>INDEX(属性投放!$BD$6:$BD$85,(BY30-2)*20+CD30)</f>
        <v>6</v>
      </c>
      <c r="CO30" s="14" t="s">
        <v>510</v>
      </c>
      <c r="CP30" s="14">
        <f>INDEX(属性投放!$BE$6:$BE$85,(BY30-2)*20+CD30)</f>
        <v>84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INDEX($O$6:$O$50,CT30)&amp;"-"&amp;INDEX(属性投放!$AB$7:$AB$50,CZ30)&amp;"-魂火-"&amp;DB30</f>
        <v>关羽-大叫唤+2-魂火-2</v>
      </c>
      <c r="CY30" s="25" t="s">
        <v>142</v>
      </c>
      <c r="CZ30" s="14">
        <f>INDEX(属性投放!$AM$7:$AM$58,CU30)</f>
        <v>12</v>
      </c>
      <c r="DA30" s="14" t="s">
        <v>537</v>
      </c>
      <c r="DB30" s="14">
        <f>INDEX(属性投放!$AN$7:$AN$58,CU30)</f>
        <v>2</v>
      </c>
      <c r="DC30" s="14">
        <f t="shared" si="16"/>
        <v>26</v>
      </c>
      <c r="DD30" s="14">
        <f>INDEX(属性投放!$AO$7:$AO$58,DC30)</f>
        <v>83</v>
      </c>
      <c r="DE30" s="14" t="s">
        <v>538</v>
      </c>
      <c r="DF30" s="14">
        <f>INDEX(属性投放!$BK$6:$BK$85,(CV30-2)*20+CZ30)</f>
        <v>260</v>
      </c>
      <c r="DG30" s="14">
        <f>SUMIFS(DF$5:DF30,$CT$5:$CT30,"="&amp;$CT30)</f>
        <v>3039</v>
      </c>
      <c r="DH30" s="14" t="s">
        <v>539</v>
      </c>
      <c r="DI30" s="14">
        <f>INDEX(属性投放!$BL$6:$BL$85,(CV30-2)*20+CZ30)</f>
        <v>130</v>
      </c>
      <c r="DJ30" s="14">
        <f>SUMIFS(DI$5:DI30,$CT$5:$CT30,"="&amp;$CT30)</f>
        <v>1522</v>
      </c>
      <c r="DK30" s="14" t="s">
        <v>540</v>
      </c>
      <c r="DL30" s="14">
        <f>INDEX(属性投放!$BM$6:$BM$85,(CV30-2)*20+CZ30)</f>
        <v>2340</v>
      </c>
      <c r="DM30" s="14">
        <f>SUMIFS(DL$5:DL30,$CT$5:$CT30,"="&amp;$CT30)</f>
        <v>25062</v>
      </c>
      <c r="DR30" s="14">
        <f t="shared" si="17"/>
        <v>1102002</v>
      </c>
      <c r="DS30" s="14" t="str">
        <f t="shared" si="18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19"/>
        <v>3</v>
      </c>
      <c r="DX30" s="14">
        <f t="shared" si="20"/>
        <v>6</v>
      </c>
      <c r="DY30" s="14">
        <f t="shared" si="21"/>
        <v>26</v>
      </c>
      <c r="DZ30" s="14">
        <f>INDEX(属性投放!$AX$6:$AX$85,(卡牌属性!DW30-2)*20+卡牌属性!DX30)</f>
        <v>5</v>
      </c>
      <c r="EA30" s="14">
        <f>INDEX(属性投放!BQ$6:BQ$85,卡牌属性!$DY30)</f>
        <v>140</v>
      </c>
      <c r="EB30" s="14">
        <f>INDEX(属性投放!BR$6:BR$85,卡牌属性!$DY30)</f>
        <v>70</v>
      </c>
      <c r="EC30" s="14">
        <f>INDEX(属性投放!BS$6:BS$85,卡牌属性!$DY30)</f>
        <v>980</v>
      </c>
      <c r="ED30" s="14">
        <f t="shared" si="105"/>
        <v>794</v>
      </c>
      <c r="EE30" s="14">
        <f t="shared" si="106"/>
        <v>901</v>
      </c>
      <c r="EF30" s="14">
        <f t="shared" si="107"/>
        <v>991</v>
      </c>
      <c r="EG30" s="14">
        <f t="shared" si="108"/>
        <v>991</v>
      </c>
      <c r="EH30" s="14">
        <f t="shared" si="109"/>
        <v>1203</v>
      </c>
      <c r="EI30" s="14">
        <f t="shared" si="110"/>
        <v>406</v>
      </c>
      <c r="EJ30" s="14">
        <f t="shared" si="111"/>
        <v>457</v>
      </c>
      <c r="EK30" s="14">
        <f t="shared" si="112"/>
        <v>457</v>
      </c>
      <c r="EL30" s="14">
        <f t="shared" si="113"/>
        <v>562</v>
      </c>
      <c r="EM30" s="14">
        <f t="shared" si="114"/>
        <v>628</v>
      </c>
      <c r="EN30" s="14">
        <f t="shared" si="115"/>
        <v>5942</v>
      </c>
      <c r="EO30" s="14">
        <f t="shared" si="116"/>
        <v>7333</v>
      </c>
      <c r="EP30" s="14">
        <f t="shared" si="117"/>
        <v>7333</v>
      </c>
      <c r="EQ30" s="14">
        <f t="shared" si="118"/>
        <v>8035</v>
      </c>
      <c r="ER30" s="14">
        <f t="shared" si="119"/>
        <v>9000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91</v>
      </c>
      <c r="FD30" s="14">
        <f>INDEX(属性偏向!$U$4:$U$243,(卡牌属性!$DV30-1+FD$3)*20+卡牌属性!$DX30)</f>
        <v>140</v>
      </c>
      <c r="FE30" s="14">
        <f>INDEX(属性偏向!$U$4:$U$243,(卡牌属性!$DV30-1+FE$3)*20+卡牌属性!$DX30)</f>
        <v>140</v>
      </c>
      <c r="FF30" s="14">
        <f>INDEX(属性偏向!$U$4:$U$243,(卡牌属性!$DV30-1+FF$3)*20+卡牌属性!$DX30)</f>
        <v>154</v>
      </c>
      <c r="FG30" s="14">
        <f>INDEX(属性偏向!$U$4:$U$243,(卡牌属性!$DV30-1+FG$3)*20+卡牌属性!$DX30)</f>
        <v>175</v>
      </c>
      <c r="FH30" s="14">
        <f>INDEX(属性投放!$BQ$6:$BQ$85,(卡牌属性!$DW30-2)*20+卡牌属性!$DX30)</f>
        <v>140</v>
      </c>
      <c r="FI30" s="14">
        <f>INDEX(属性投放!$BQ$6:$BQ$85,(卡牌属性!$DW30-2)*20+卡牌属性!$DX30)</f>
        <v>140</v>
      </c>
      <c r="FJ30" s="14">
        <f>INDEX(属性投放!$BQ$6:$BQ$85,(卡牌属性!$DW30-2)*20+卡牌属性!$DX30)</f>
        <v>140</v>
      </c>
      <c r="FK30" s="14">
        <f>INDEX(属性投放!$BQ$6:$BQ$85,(卡牌属性!$DW30-2)*20+卡牌属性!$DX30)</f>
        <v>140</v>
      </c>
      <c r="FL30" s="14">
        <f>INDEX(属性投放!$BQ$6:$BQ$85,(卡牌属性!$DW30-2)*20+卡牌属性!$DX30)</f>
        <v>140</v>
      </c>
      <c r="FM30" s="14">
        <f>INDEX(属性投放!$BR$6:$BR$85,(卡牌属性!$DW30-2)*20+卡牌属性!$DX30)</f>
        <v>70</v>
      </c>
      <c r="FN30" s="14">
        <f>INDEX(属性投放!$BR$6:$BR$85,(卡牌属性!$DW30-2)*20+卡牌属性!$DX30)</f>
        <v>70</v>
      </c>
      <c r="FO30" s="14">
        <f>INDEX(属性投放!$BR$6:$BR$85,(卡牌属性!$DW30-2)*20+卡牌属性!$DX30)</f>
        <v>70</v>
      </c>
      <c r="FP30" s="14">
        <f>INDEX(属性投放!$BR$6:$BR$85,(卡牌属性!$DW30-2)*20+卡牌属性!$DX30)</f>
        <v>70</v>
      </c>
      <c r="FQ30" s="14">
        <f>INDEX(属性投放!$BR$6:$BR$85,(卡牌属性!$DW30-2)*20+卡牌属性!$DX30)</f>
        <v>70</v>
      </c>
      <c r="FR30" s="14">
        <f>INDEX(属性投放!$BS$6:$BS$85,(卡牌属性!$DW30-2)*20+卡牌属性!$DX30)</f>
        <v>980</v>
      </c>
      <c r="FS30" s="14">
        <f>INDEX(属性投放!$BS$6:$BS$85,(卡牌属性!$DW30-2)*20+卡牌属性!$DX30)</f>
        <v>980</v>
      </c>
      <c r="FT30" s="14">
        <f>INDEX(属性投放!$BS$6:$BS$85,(卡牌属性!$DW30-2)*20+卡牌属性!$DX30)</f>
        <v>980</v>
      </c>
      <c r="FU30" s="14">
        <f>INDEX(属性投放!$BS$6:$BS$85,(卡牌属性!$DW30-2)*20+卡牌属性!$DX30)</f>
        <v>980</v>
      </c>
      <c r="FV30" s="14">
        <f>INDEX(属性投放!$BS$6:$BS$85,(卡牌属性!$DW30-2)*20+卡牌属性!$DX30)</f>
        <v>980</v>
      </c>
      <c r="FZ30" s="13">
        <v>26</v>
      </c>
      <c r="GA30" s="13">
        <f t="shared" si="22"/>
        <v>6</v>
      </c>
      <c r="GB30" s="14">
        <f t="shared" si="56"/>
        <v>1102006</v>
      </c>
      <c r="GC30" s="14" t="s">
        <v>1187</v>
      </c>
      <c r="GD30" s="14">
        <f t="shared" si="23"/>
        <v>1</v>
      </c>
      <c r="GE30" s="14" t="str">
        <f t="shared" si="24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5"/>
        <v>6</v>
      </c>
      <c r="GP30" s="14">
        <f t="shared" si="57"/>
        <v>1101006</v>
      </c>
      <c r="GQ30" s="14" t="s">
        <v>1187</v>
      </c>
      <c r="GR30" s="14">
        <f t="shared" si="26"/>
        <v>1</v>
      </c>
      <c r="GS30" s="14" t="str">
        <f t="shared" si="27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MATCH(HC30,属性投放!$AO$6:$AO$58,1)-1</f>
        <v>5</v>
      </c>
      <c r="HF30" s="13">
        <f>MATCH(HC30-1,属性投放!$AE$6:$AE$26,1)</f>
        <v>4</v>
      </c>
      <c r="HG30" s="13" t="str">
        <f>INDEX(属性投放!$AB$7:$AB$26,卡牌属性!HF30)</f>
        <v>众合</v>
      </c>
      <c r="HH30" s="14">
        <f t="shared" si="58"/>
        <v>703</v>
      </c>
      <c r="HI30" s="14">
        <f t="shared" si="59"/>
        <v>258</v>
      </c>
      <c r="HJ30" s="14">
        <f t="shared" si="60"/>
        <v>3260</v>
      </c>
      <c r="HK30" s="14">
        <f t="shared" si="61"/>
        <v>20</v>
      </c>
      <c r="HL30" s="14">
        <f t="shared" si="62"/>
        <v>7</v>
      </c>
      <c r="HM30" s="14">
        <f t="shared" si="63"/>
        <v>91</v>
      </c>
      <c r="HN30" s="14">
        <f>HH30+HK30*($HC30-INDEX(属性投放!$AE$6:$AE$26,卡牌属性!$HF30))</f>
        <v>723</v>
      </c>
      <c r="HO30" s="14">
        <f>HI30+HL30*($HC30-INDEX(属性投放!$AE$6:$AE$26,卡牌属性!$HF30))</f>
        <v>265</v>
      </c>
      <c r="HP30" s="14">
        <f>HJ30+HM30*($HC30-INDEX(属性投放!$AE$6:$AE$26,卡牌属性!$HF30))</f>
        <v>3351</v>
      </c>
      <c r="HQ30" s="14">
        <f t="shared" si="64"/>
        <v>155</v>
      </c>
      <c r="HR30" s="14">
        <f t="shared" si="65"/>
        <v>79</v>
      </c>
      <c r="HS30" s="14">
        <f t="shared" si="66"/>
        <v>930</v>
      </c>
      <c r="HT30" s="14">
        <f>IF(COUNTIF(属性投放!$AO$7:$AO$58,"="&amp;卡牌属性!HC30)&gt;0,卡牌属性!HE30,0)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IF(COUNTIF(属性投放!$AE$6:$AE$26,"="&amp;卡牌属性!HC30)&gt;0,卡牌属性!HF30,0)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20</v>
      </c>
      <c r="IC30" s="14">
        <f t="shared" si="74"/>
        <v>7</v>
      </c>
      <c r="ID30" s="14">
        <f t="shared" si="75"/>
        <v>91</v>
      </c>
      <c r="IE30" s="14">
        <f t="shared" si="76"/>
        <v>878</v>
      </c>
      <c r="IF30" s="14">
        <f t="shared" si="77"/>
        <v>344</v>
      </c>
      <c r="IG30" s="14">
        <f t="shared" si="78"/>
        <v>4281</v>
      </c>
      <c r="IH30" s="14">
        <f t="shared" si="79"/>
        <v>431</v>
      </c>
      <c r="II30" s="14">
        <f t="shared" si="80"/>
        <v>0</v>
      </c>
      <c r="IJ30" s="14">
        <f t="shared" si="81"/>
        <v>0</v>
      </c>
      <c r="IK30" s="14">
        <f t="shared" si="82"/>
        <v>19941</v>
      </c>
      <c r="IL30" s="17">
        <f t="shared" si="83"/>
        <v>2.1613760593751568E-2</v>
      </c>
      <c r="IM30" s="17">
        <f t="shared" si="84"/>
        <v>0</v>
      </c>
      <c r="IN30" s="17">
        <f t="shared" si="85"/>
        <v>0</v>
      </c>
      <c r="IO30" s="23">
        <f>SUM(IH$5:IH30)</f>
        <v>8671</v>
      </c>
      <c r="IP30" s="14">
        <f>SUM(II$5:II30)</f>
        <v>4060</v>
      </c>
      <c r="IQ30" s="14">
        <f>SUM(IJ$5:IJ30)</f>
        <v>1960</v>
      </c>
      <c r="IR30" s="17">
        <f t="shared" si="86"/>
        <v>0.43483275663206461</v>
      </c>
      <c r="IS30" s="17">
        <f t="shared" si="87"/>
        <v>0.20360062183441152</v>
      </c>
      <c r="IT30" s="17">
        <f t="shared" si="88"/>
        <v>9.8289955368336596E-2</v>
      </c>
      <c r="IW30" s="13">
        <v>26</v>
      </c>
      <c r="IX30" s="14">
        <f>MATCH(IW30-1,属性投放!$T$6:$T$66,1)</f>
        <v>1</v>
      </c>
      <c r="IY30" s="14">
        <f>MATCH(IW30-1,属性投放!$AD$7:$AD$26,1)</f>
        <v>3</v>
      </c>
      <c r="IZ30" s="14" t="str">
        <f>INDEX(属性投放!$AB$7:$AB$26,IY30)</f>
        <v>黑绳+1</v>
      </c>
      <c r="JA30" s="14">
        <f t="shared" si="89"/>
        <v>189</v>
      </c>
      <c r="JB30" s="14">
        <f t="shared" si="90"/>
        <v>45</v>
      </c>
      <c r="JC30" s="14">
        <f t="shared" si="91"/>
        <v>784</v>
      </c>
      <c r="JD30" s="14">
        <f t="shared" si="92"/>
        <v>12</v>
      </c>
      <c r="JE30" s="14">
        <f t="shared" si="93"/>
        <v>6</v>
      </c>
      <c r="JF30" s="14">
        <f t="shared" si="94"/>
        <v>70</v>
      </c>
      <c r="JG30" s="14">
        <f>INDEX(属性投放!$DC$6:$DC$85,卡牌属性!IY30)</f>
        <v>10</v>
      </c>
      <c r="JH30" s="14">
        <f t="shared" si="95"/>
        <v>381</v>
      </c>
      <c r="JI30" s="14">
        <f t="shared" si="96"/>
        <v>141</v>
      </c>
      <c r="JJ30" s="14">
        <f t="shared" si="97"/>
        <v>1904</v>
      </c>
      <c r="JK30" s="14">
        <f t="shared" si="98"/>
        <v>5219</v>
      </c>
    </row>
    <row r="31" spans="1:271" ht="16.5" x14ac:dyDescent="0.2">
      <c r="A31" s="13">
        <v>1101997</v>
      </c>
      <c r="B31" s="13" t="s">
        <v>1415</v>
      </c>
      <c r="C31" s="13">
        <v>1</v>
      </c>
      <c r="D31" s="13">
        <v>4</v>
      </c>
      <c r="E31" s="13">
        <v>20</v>
      </c>
      <c r="F31" s="14">
        <f>SUM(E$5:E31)</f>
        <v>520</v>
      </c>
      <c r="G31" s="13" t="s">
        <v>561</v>
      </c>
      <c r="H31" s="13" t="s">
        <v>1421</v>
      </c>
      <c r="I31" s="13" t="s">
        <v>1421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1015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562</v>
      </c>
      <c r="W31" s="13" t="s">
        <v>562</v>
      </c>
      <c r="X31" s="13" t="s">
        <v>560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1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142</v>
      </c>
      <c r="AM31" s="14">
        <v>1</v>
      </c>
      <c r="AN31" s="14">
        <f t="shared" si="5"/>
        <v>7</v>
      </c>
      <c r="AO31" s="14">
        <f>INDEX(属性投放!$DF$6:$DF$85,(卡牌属性!AG31-2)*20+卡牌属性!AN31)</f>
        <v>1077</v>
      </c>
      <c r="AP31" s="14">
        <f t="shared" si="99"/>
        <v>1077</v>
      </c>
      <c r="AQ31" s="14">
        <f t="shared" si="99"/>
        <v>1077</v>
      </c>
      <c r="AR31" s="14">
        <f t="shared" si="99"/>
        <v>1077</v>
      </c>
      <c r="AS31" s="14">
        <f t="shared" si="99"/>
        <v>1077</v>
      </c>
      <c r="AT31" s="14">
        <f>INDEX(属性投放!$DG$6:$DG$85,(卡牌属性!AG31-2)*20+卡牌属性!AN31)</f>
        <v>488</v>
      </c>
      <c r="AU31" s="14">
        <f t="shared" si="100"/>
        <v>488</v>
      </c>
      <c r="AV31" s="14">
        <f t="shared" si="100"/>
        <v>488</v>
      </c>
      <c r="AW31" s="14">
        <f t="shared" si="100"/>
        <v>488</v>
      </c>
      <c r="AX31" s="14">
        <f t="shared" si="100"/>
        <v>488</v>
      </c>
      <c r="AY31" s="14">
        <f>INDEX(属性投放!$DH$6:$DH$85,(卡牌属性!AG31-2)*20+卡牌属性!AN31)</f>
        <v>6797</v>
      </c>
      <c r="AZ31" s="14">
        <f t="shared" si="101"/>
        <v>6797</v>
      </c>
      <c r="BA31" s="14">
        <f t="shared" si="101"/>
        <v>6797</v>
      </c>
      <c r="BB31" s="14">
        <f t="shared" si="101"/>
        <v>6797</v>
      </c>
      <c r="BC31" s="14">
        <f t="shared" si="101"/>
        <v>6797</v>
      </c>
      <c r="BD31" s="14">
        <f>INDEX(属性投放!$DL$6:$DL$85,(卡牌属性!AG31-2)*20+卡牌属性!AN31)</f>
        <v>36</v>
      </c>
      <c r="BE31" s="14">
        <f t="shared" si="102"/>
        <v>36</v>
      </c>
      <c r="BF31" s="14">
        <f t="shared" si="102"/>
        <v>36</v>
      </c>
      <c r="BG31" s="14">
        <f t="shared" si="102"/>
        <v>36</v>
      </c>
      <c r="BH31" s="14">
        <f t="shared" si="102"/>
        <v>36</v>
      </c>
      <c r="BI31" s="14">
        <f>INDEX(属性投放!$DM$6:$DM$85,(卡牌属性!AG31-2)*20+卡牌属性!AN31)</f>
        <v>18</v>
      </c>
      <c r="BJ31" s="14">
        <f t="shared" si="103"/>
        <v>18</v>
      </c>
      <c r="BK31" s="14">
        <f t="shared" si="103"/>
        <v>18</v>
      </c>
      <c r="BL31" s="14">
        <f t="shared" si="103"/>
        <v>18</v>
      </c>
      <c r="BM31" s="14">
        <f t="shared" si="103"/>
        <v>18</v>
      </c>
      <c r="BN31" s="14">
        <f>INDEX(属性投放!$DN$6:$DN$85,(卡牌属性!AG31-2)*20+卡牌属性!AN31)</f>
        <v>286</v>
      </c>
      <c r="BO31" s="14">
        <f t="shared" si="104"/>
        <v>286</v>
      </c>
      <c r="BP31" s="14">
        <f t="shared" si="104"/>
        <v>286</v>
      </c>
      <c r="BQ31" s="14">
        <f t="shared" si="104"/>
        <v>286</v>
      </c>
      <c r="BR31" s="14">
        <f t="shared" si="104"/>
        <v>286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32"/>
        <v>1102002</v>
      </c>
      <c r="CA31" s="14" t="str">
        <f t="shared" si="33"/>
        <v>许褚7突</v>
      </c>
      <c r="CB31" s="25" t="s">
        <v>142</v>
      </c>
      <c r="CC31" s="14">
        <v>2</v>
      </c>
      <c r="CD31" s="14">
        <f t="shared" si="14"/>
        <v>7</v>
      </c>
      <c r="CE31" s="14" t="s">
        <v>21</v>
      </c>
      <c r="CF31" s="14">
        <f>INDEX(属性投放!$AZ$6:$AZ$85,(BY31-2)*20+CD31)</f>
        <v>1501</v>
      </c>
      <c r="CG31" s="14" t="s">
        <v>22</v>
      </c>
      <c r="CH31" s="14">
        <f>INDEX(属性投放!$BA$6:$BA$85,(BY31-2)*20+CD31)</f>
        <v>688</v>
      </c>
      <c r="CI31" s="14" t="s">
        <v>510</v>
      </c>
      <c r="CJ31" s="14">
        <f>INDEX(属性投放!$BB$6:$BB$85,(BY31-2)*20+CD31)</f>
        <v>9455</v>
      </c>
      <c r="CK31" s="14" t="s">
        <v>21</v>
      </c>
      <c r="CL31" s="14">
        <f>INDEX(属性投放!$BC$6:$BC$85,(BY31-2)*20+CD31)</f>
        <v>15</v>
      </c>
      <c r="CM31" s="14" t="s">
        <v>22</v>
      </c>
      <c r="CN31" s="14">
        <f>INDEX(属性投放!$BD$6:$BD$85,(BY31-2)*20+CD31)</f>
        <v>8</v>
      </c>
      <c r="CO31" s="14" t="s">
        <v>510</v>
      </c>
      <c r="CP31" s="14">
        <f>INDEX(属性投放!$BE$6:$BE$85,(BY31-2)*20+CD31)</f>
        <v>120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INDEX($O$6:$O$50,CT31)&amp;"-"&amp;INDEX(属性投放!$AB$7:$AB$50,CZ31)&amp;"-魂火-"&amp;DB31</f>
        <v>关羽-大叫唤+2-魂火-3</v>
      </c>
      <c r="CY31" s="25" t="s">
        <v>142</v>
      </c>
      <c r="CZ31" s="14">
        <f>INDEX(属性投放!$AM$7:$AM$58,CU31)</f>
        <v>12</v>
      </c>
      <c r="DA31" s="14" t="s">
        <v>537</v>
      </c>
      <c r="DB31" s="14">
        <f>INDEX(属性投放!$AN$7:$AN$58,CU31)</f>
        <v>3</v>
      </c>
      <c r="DC31" s="14">
        <f t="shared" si="16"/>
        <v>27</v>
      </c>
      <c r="DD31" s="14">
        <f>INDEX(属性投放!$AO$7:$AO$58,DC31)</f>
        <v>85</v>
      </c>
      <c r="DE31" s="14" t="s">
        <v>538</v>
      </c>
      <c r="DF31" s="14">
        <f>INDEX(属性投放!$BK$6:$BK$85,(CV31-2)*20+CZ31)</f>
        <v>260</v>
      </c>
      <c r="DG31" s="14">
        <f>SUMIFS(DF$5:DF31,$CT$5:$CT31,"="&amp;$CT31)</f>
        <v>3299</v>
      </c>
      <c r="DH31" s="14" t="s">
        <v>539</v>
      </c>
      <c r="DI31" s="14">
        <f>INDEX(属性投放!$BL$6:$BL$85,(CV31-2)*20+CZ31)</f>
        <v>130</v>
      </c>
      <c r="DJ31" s="14">
        <f>SUMIFS(DI$5:DI31,$CT$5:$CT31,"="&amp;$CT31)</f>
        <v>1652</v>
      </c>
      <c r="DK31" s="14" t="s">
        <v>540</v>
      </c>
      <c r="DL31" s="14">
        <f>INDEX(属性投放!$BM$6:$BM$85,(CV31-2)*20+CZ31)</f>
        <v>2340</v>
      </c>
      <c r="DM31" s="14">
        <f>SUMIFS(DL$5:DL31,$CT$5:$CT31,"="&amp;$CT31)</f>
        <v>27402</v>
      </c>
      <c r="DR31" s="14">
        <f t="shared" si="17"/>
        <v>1102002</v>
      </c>
      <c r="DS31" s="14" t="str">
        <f t="shared" si="18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19"/>
        <v>3</v>
      </c>
      <c r="DX31" s="14">
        <f t="shared" si="20"/>
        <v>7</v>
      </c>
      <c r="DY31" s="14">
        <f t="shared" si="21"/>
        <v>27</v>
      </c>
      <c r="DZ31" s="14">
        <f>INDEX(属性投放!$AX$6:$AX$85,(卡牌属性!DW31-2)*20+卡牌属性!DX31)</f>
        <v>5</v>
      </c>
      <c r="EA31" s="14">
        <f>INDEX(属性投放!BQ$6:BQ$85,卡牌属性!$DY31)</f>
        <v>135</v>
      </c>
      <c r="EB31" s="14">
        <f>INDEX(属性投放!BR$6:BR$85,卡牌属性!$DY31)</f>
        <v>68</v>
      </c>
      <c r="EC31" s="14">
        <f>INDEX(属性投放!BS$6:BS$85,卡牌属性!$DY31)</f>
        <v>1080</v>
      </c>
      <c r="ED31" s="14">
        <f t="shared" si="105"/>
        <v>984</v>
      </c>
      <c r="EE31" s="14">
        <f t="shared" si="106"/>
        <v>1101</v>
      </c>
      <c r="EF31" s="14">
        <f t="shared" si="107"/>
        <v>1196</v>
      </c>
      <c r="EG31" s="14">
        <f t="shared" si="108"/>
        <v>1196</v>
      </c>
      <c r="EH31" s="14">
        <f t="shared" si="109"/>
        <v>1443</v>
      </c>
      <c r="EI31" s="14">
        <f t="shared" si="110"/>
        <v>506</v>
      </c>
      <c r="EJ31" s="14">
        <f t="shared" si="111"/>
        <v>562</v>
      </c>
      <c r="EK31" s="14">
        <f t="shared" si="112"/>
        <v>562</v>
      </c>
      <c r="EL31" s="14">
        <f t="shared" si="113"/>
        <v>682</v>
      </c>
      <c r="EM31" s="14">
        <f t="shared" si="114"/>
        <v>753</v>
      </c>
      <c r="EN31" s="14">
        <f t="shared" si="115"/>
        <v>7377</v>
      </c>
      <c r="EO31" s="14">
        <f t="shared" si="116"/>
        <v>9013</v>
      </c>
      <c r="EP31" s="14">
        <f t="shared" si="117"/>
        <v>9013</v>
      </c>
      <c r="EQ31" s="14">
        <f t="shared" si="118"/>
        <v>9785</v>
      </c>
      <c r="ER31" s="14">
        <f t="shared" si="119"/>
        <v>10855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128</v>
      </c>
      <c r="FD31" s="14">
        <f>INDEX(属性偏向!$U$4:$U$243,(卡牌属性!$DV31-1+FD$3)*20+卡牌属性!$DX31)</f>
        <v>200</v>
      </c>
      <c r="FE31" s="14">
        <f>INDEX(属性偏向!$U$4:$U$243,(卡牌属性!$DV31-1+FE$3)*20+卡牌属性!$DX31)</f>
        <v>200</v>
      </c>
      <c r="FF31" s="14">
        <f>INDEX(属性偏向!$U$4:$U$243,(卡牌属性!$DV31-1+FF$3)*20+卡牌属性!$DX31)</f>
        <v>224</v>
      </c>
      <c r="FG31" s="14">
        <f>INDEX(属性偏向!$U$4:$U$243,(卡牌属性!$DV31-1+FG$3)*20+卡牌属性!$DX31)</f>
        <v>240</v>
      </c>
      <c r="FH31" s="14">
        <f>INDEX(属性投放!$BQ$6:$BQ$85,(卡牌属性!$DW31-2)*20+卡牌属性!$DX31)</f>
        <v>135</v>
      </c>
      <c r="FI31" s="14">
        <f>INDEX(属性投放!$BQ$6:$BQ$85,(卡牌属性!$DW31-2)*20+卡牌属性!$DX31)</f>
        <v>135</v>
      </c>
      <c r="FJ31" s="14">
        <f>INDEX(属性投放!$BQ$6:$BQ$85,(卡牌属性!$DW31-2)*20+卡牌属性!$DX31)</f>
        <v>135</v>
      </c>
      <c r="FK31" s="14">
        <f>INDEX(属性投放!$BQ$6:$BQ$85,(卡牌属性!$DW31-2)*20+卡牌属性!$DX31)</f>
        <v>135</v>
      </c>
      <c r="FL31" s="14">
        <f>INDEX(属性投放!$BQ$6:$BQ$85,(卡牌属性!$DW31-2)*20+卡牌属性!$DX31)</f>
        <v>135</v>
      </c>
      <c r="FM31" s="14">
        <f>INDEX(属性投放!$BR$6:$BR$85,(卡牌属性!$DW31-2)*20+卡牌属性!$DX31)</f>
        <v>68</v>
      </c>
      <c r="FN31" s="14">
        <f>INDEX(属性投放!$BR$6:$BR$85,(卡牌属性!$DW31-2)*20+卡牌属性!$DX31)</f>
        <v>68</v>
      </c>
      <c r="FO31" s="14">
        <f>INDEX(属性投放!$BR$6:$BR$85,(卡牌属性!$DW31-2)*20+卡牌属性!$DX31)</f>
        <v>68</v>
      </c>
      <c r="FP31" s="14">
        <f>INDEX(属性投放!$BR$6:$BR$85,(卡牌属性!$DW31-2)*20+卡牌属性!$DX31)</f>
        <v>68</v>
      </c>
      <c r="FQ31" s="14">
        <f>INDEX(属性投放!$BR$6:$BR$85,(卡牌属性!$DW31-2)*20+卡牌属性!$DX31)</f>
        <v>68</v>
      </c>
      <c r="FR31" s="14">
        <f>INDEX(属性投放!$BS$6:$BS$85,(卡牌属性!$DW31-2)*20+卡牌属性!$DX31)</f>
        <v>1080</v>
      </c>
      <c r="FS31" s="14">
        <f>INDEX(属性投放!$BS$6:$BS$85,(卡牌属性!$DW31-2)*20+卡牌属性!$DX31)</f>
        <v>1080</v>
      </c>
      <c r="FT31" s="14">
        <f>INDEX(属性投放!$BS$6:$BS$85,(卡牌属性!$DW31-2)*20+卡牌属性!$DX31)</f>
        <v>1080</v>
      </c>
      <c r="FU31" s="14">
        <f>INDEX(属性投放!$BS$6:$BS$85,(卡牌属性!$DW31-2)*20+卡牌属性!$DX31)</f>
        <v>1080</v>
      </c>
      <c r="FV31" s="14">
        <f>INDEX(属性投放!$BS$6:$BS$85,(卡牌属性!$DW31-2)*20+卡牌属性!$DX31)</f>
        <v>1080</v>
      </c>
      <c r="FZ31" s="13">
        <v>27</v>
      </c>
      <c r="GA31" s="13">
        <f t="shared" si="22"/>
        <v>6</v>
      </c>
      <c r="GB31" s="14">
        <f t="shared" si="56"/>
        <v>1102006</v>
      </c>
      <c r="GC31" s="14" t="s">
        <v>1187</v>
      </c>
      <c r="GD31" s="14">
        <f t="shared" si="23"/>
        <v>2</v>
      </c>
      <c r="GE31" s="14" t="str">
        <f t="shared" si="24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5"/>
        <v>6</v>
      </c>
      <c r="GP31" s="14">
        <f t="shared" si="57"/>
        <v>1101006</v>
      </c>
      <c r="GQ31" s="14" t="s">
        <v>1187</v>
      </c>
      <c r="GR31" s="14">
        <f t="shared" si="26"/>
        <v>2</v>
      </c>
      <c r="GS31" s="14" t="str">
        <f t="shared" si="27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MATCH(HC31,属性投放!$AO$6:$AO$58,1)-1</f>
        <v>5</v>
      </c>
      <c r="HF31" s="13">
        <f>MATCH(HC31-1,属性投放!$AE$6:$AE$26,1)</f>
        <v>4</v>
      </c>
      <c r="HG31" s="13" t="str">
        <f>INDEX(属性投放!$AB$7:$AB$26,卡牌属性!HF31)</f>
        <v>众合</v>
      </c>
      <c r="HH31" s="14">
        <f t="shared" si="58"/>
        <v>703</v>
      </c>
      <c r="HI31" s="14">
        <f t="shared" si="59"/>
        <v>258</v>
      </c>
      <c r="HJ31" s="14">
        <f t="shared" si="60"/>
        <v>3260</v>
      </c>
      <c r="HK31" s="14">
        <f t="shared" si="61"/>
        <v>20</v>
      </c>
      <c r="HL31" s="14">
        <f t="shared" si="62"/>
        <v>7</v>
      </c>
      <c r="HM31" s="14">
        <f t="shared" si="63"/>
        <v>91</v>
      </c>
      <c r="HN31" s="14">
        <f>HH31+HK31*($HC31-INDEX(属性投放!$AE$6:$AE$26,卡牌属性!$HF31))</f>
        <v>743</v>
      </c>
      <c r="HO31" s="14">
        <f>HI31+HL31*($HC31-INDEX(属性投放!$AE$6:$AE$26,卡牌属性!$HF31))</f>
        <v>272</v>
      </c>
      <c r="HP31" s="14">
        <f>HJ31+HM31*($HC31-INDEX(属性投放!$AE$6:$AE$26,卡牌属性!$HF31))</f>
        <v>3442</v>
      </c>
      <c r="HQ31" s="14">
        <f t="shared" si="64"/>
        <v>155</v>
      </c>
      <c r="HR31" s="14">
        <f t="shared" si="65"/>
        <v>79</v>
      </c>
      <c r="HS31" s="14">
        <f t="shared" si="66"/>
        <v>930</v>
      </c>
      <c r="HT31" s="14">
        <f>IF(COUNTIF(属性投放!$AO$7:$AO$58,"="&amp;卡牌属性!HC31)&gt;0,卡牌属性!HE31,0)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IF(COUNTIF(属性投放!$AE$6:$AE$26,"="&amp;卡牌属性!HC31)&gt;0,卡牌属性!HF31,0)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20</v>
      </c>
      <c r="IC31" s="14">
        <f t="shared" si="74"/>
        <v>7</v>
      </c>
      <c r="ID31" s="14">
        <f t="shared" si="75"/>
        <v>91</v>
      </c>
      <c r="IE31" s="14">
        <f t="shared" si="76"/>
        <v>898</v>
      </c>
      <c r="IF31" s="14">
        <f t="shared" si="77"/>
        <v>351</v>
      </c>
      <c r="IG31" s="14">
        <f t="shared" si="78"/>
        <v>4372</v>
      </c>
      <c r="IH31" s="14">
        <f t="shared" si="79"/>
        <v>431</v>
      </c>
      <c r="II31" s="14">
        <f t="shared" si="80"/>
        <v>0</v>
      </c>
      <c r="IJ31" s="14">
        <f t="shared" si="81"/>
        <v>0</v>
      </c>
      <c r="IK31" s="14">
        <f t="shared" si="82"/>
        <v>20372</v>
      </c>
      <c r="IL31" s="17">
        <f t="shared" si="83"/>
        <v>2.1156489299037896E-2</v>
      </c>
      <c r="IM31" s="17">
        <f t="shared" si="84"/>
        <v>0</v>
      </c>
      <c r="IN31" s="17">
        <f t="shared" si="85"/>
        <v>0</v>
      </c>
      <c r="IO31" s="23">
        <f>SUM(IH$5:IH31)</f>
        <v>9102</v>
      </c>
      <c r="IP31" s="14">
        <f>SUM(II$5:II31)</f>
        <v>4060</v>
      </c>
      <c r="IQ31" s="14">
        <f>SUM(IJ$5:IJ31)</f>
        <v>1960</v>
      </c>
      <c r="IR31" s="17">
        <f t="shared" si="86"/>
        <v>0.44678971136854506</v>
      </c>
      <c r="IS31" s="17">
        <f t="shared" si="87"/>
        <v>0.19929314745729432</v>
      </c>
      <c r="IT31" s="17">
        <f t="shared" si="88"/>
        <v>9.6210484979383462E-2</v>
      </c>
      <c r="IW31" s="13">
        <v>27</v>
      </c>
      <c r="IX31" s="14">
        <f>MATCH(IW31-1,属性投放!$T$6:$T$66,1)</f>
        <v>1</v>
      </c>
      <c r="IY31" s="14">
        <f>MATCH(IW31-1,属性投放!$AD$7:$AD$26,1)</f>
        <v>3</v>
      </c>
      <c r="IZ31" s="14" t="str">
        <f>INDEX(属性投放!$AB$7:$AB$26,IY31)</f>
        <v>黑绳+1</v>
      </c>
      <c r="JA31" s="14">
        <f t="shared" si="89"/>
        <v>189</v>
      </c>
      <c r="JB31" s="14">
        <f t="shared" si="90"/>
        <v>45</v>
      </c>
      <c r="JC31" s="14">
        <f t="shared" si="91"/>
        <v>784</v>
      </c>
      <c r="JD31" s="14">
        <f t="shared" si="92"/>
        <v>12</v>
      </c>
      <c r="JE31" s="14">
        <f t="shared" si="93"/>
        <v>6</v>
      </c>
      <c r="JF31" s="14">
        <f t="shared" si="94"/>
        <v>70</v>
      </c>
      <c r="JG31" s="14">
        <f>INDEX(属性投放!$DC$6:$DC$85,卡牌属性!IY31)</f>
        <v>10</v>
      </c>
      <c r="JH31" s="14">
        <f t="shared" si="95"/>
        <v>393</v>
      </c>
      <c r="JI31" s="14">
        <f t="shared" si="96"/>
        <v>147</v>
      </c>
      <c r="JJ31" s="14">
        <f t="shared" si="97"/>
        <v>1974</v>
      </c>
      <c r="JK31" s="14">
        <f t="shared" si="98"/>
        <v>5409</v>
      </c>
    </row>
    <row r="32" spans="1:271" ht="16.5" x14ac:dyDescent="0.2">
      <c r="A32" s="13">
        <v>1101996</v>
      </c>
      <c r="B32" s="13" t="s">
        <v>1416</v>
      </c>
      <c r="C32" s="13">
        <v>1</v>
      </c>
      <c r="D32" s="13">
        <v>5</v>
      </c>
      <c r="E32" s="13">
        <v>20</v>
      </c>
      <c r="F32" s="14">
        <f>SUM(E$5:E32)</f>
        <v>540</v>
      </c>
      <c r="G32" s="13" t="s">
        <v>565</v>
      </c>
      <c r="H32" s="13" t="s">
        <v>1422</v>
      </c>
      <c r="I32" s="13" t="s">
        <v>1422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1016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558</v>
      </c>
      <c r="W32" s="13" t="s">
        <v>558</v>
      </c>
      <c r="X32" s="13" t="s">
        <v>556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1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142</v>
      </c>
      <c r="AM32" s="14">
        <v>1</v>
      </c>
      <c r="AN32" s="14">
        <f t="shared" si="5"/>
        <v>8</v>
      </c>
      <c r="AO32" s="14">
        <f>INDEX(属性投放!$DF$6:$DF$85,(卡牌属性!AG32-2)*20+卡牌属性!AN32)</f>
        <v>1179</v>
      </c>
      <c r="AP32" s="14">
        <f t="shared" si="99"/>
        <v>1179</v>
      </c>
      <c r="AQ32" s="14">
        <f t="shared" si="99"/>
        <v>1179</v>
      </c>
      <c r="AR32" s="14">
        <f t="shared" si="99"/>
        <v>1179</v>
      </c>
      <c r="AS32" s="14">
        <f t="shared" si="99"/>
        <v>1179</v>
      </c>
      <c r="AT32" s="14">
        <f>INDEX(属性投放!$DG$6:$DG$85,(卡牌属性!AG32-2)*20+卡牌属性!AN32)</f>
        <v>539</v>
      </c>
      <c r="AU32" s="14">
        <f t="shared" si="100"/>
        <v>539</v>
      </c>
      <c r="AV32" s="14">
        <f t="shared" si="100"/>
        <v>539</v>
      </c>
      <c r="AW32" s="14">
        <f t="shared" si="100"/>
        <v>539</v>
      </c>
      <c r="AX32" s="14">
        <f t="shared" si="100"/>
        <v>539</v>
      </c>
      <c r="AY32" s="14">
        <f>INDEX(属性投放!$DH$6:$DH$85,(卡牌属性!AG32-2)*20+卡牌属性!AN32)</f>
        <v>7613</v>
      </c>
      <c r="AZ32" s="14">
        <f t="shared" si="101"/>
        <v>7613</v>
      </c>
      <c r="BA32" s="14">
        <f t="shared" si="101"/>
        <v>7613</v>
      </c>
      <c r="BB32" s="14">
        <f t="shared" si="101"/>
        <v>7613</v>
      </c>
      <c r="BC32" s="14">
        <f t="shared" si="101"/>
        <v>7613</v>
      </c>
      <c r="BD32" s="14">
        <f>INDEX(属性投放!$DL$6:$DL$85,(卡牌属性!AG32-2)*20+卡牌属性!AN32)</f>
        <v>36</v>
      </c>
      <c r="BE32" s="14">
        <f t="shared" si="102"/>
        <v>36</v>
      </c>
      <c r="BF32" s="14">
        <f t="shared" si="102"/>
        <v>36</v>
      </c>
      <c r="BG32" s="14">
        <f t="shared" si="102"/>
        <v>36</v>
      </c>
      <c r="BH32" s="14">
        <f t="shared" si="102"/>
        <v>36</v>
      </c>
      <c r="BI32" s="14">
        <f>INDEX(属性投放!$DM$6:$DM$85,(卡牌属性!AG32-2)*20+卡牌属性!AN32)</f>
        <v>18</v>
      </c>
      <c r="BJ32" s="14">
        <f t="shared" si="103"/>
        <v>18</v>
      </c>
      <c r="BK32" s="14">
        <f t="shared" si="103"/>
        <v>18</v>
      </c>
      <c r="BL32" s="14">
        <f t="shared" si="103"/>
        <v>18</v>
      </c>
      <c r="BM32" s="14">
        <f t="shared" si="103"/>
        <v>18</v>
      </c>
      <c r="BN32" s="14">
        <f>INDEX(属性投放!$DN$6:$DN$85,(卡牌属性!AG32-2)*20+卡牌属性!AN32)</f>
        <v>286</v>
      </c>
      <c r="BO32" s="14">
        <f t="shared" si="104"/>
        <v>286</v>
      </c>
      <c r="BP32" s="14">
        <f t="shared" si="104"/>
        <v>286</v>
      </c>
      <c r="BQ32" s="14">
        <f t="shared" si="104"/>
        <v>286</v>
      </c>
      <c r="BR32" s="14">
        <f t="shared" si="104"/>
        <v>286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32"/>
        <v>1102002</v>
      </c>
      <c r="CA32" s="14" t="str">
        <f t="shared" si="33"/>
        <v>许褚8突</v>
      </c>
      <c r="CB32" s="25" t="s">
        <v>142</v>
      </c>
      <c r="CC32" s="14">
        <v>2</v>
      </c>
      <c r="CD32" s="14">
        <f t="shared" si="14"/>
        <v>8</v>
      </c>
      <c r="CE32" s="14" t="s">
        <v>21</v>
      </c>
      <c r="CF32" s="14">
        <f>INDEX(属性投放!$AZ$6:$AZ$85,(BY32-2)*20+CD32)</f>
        <v>1851</v>
      </c>
      <c r="CG32" s="14" t="s">
        <v>22</v>
      </c>
      <c r="CH32" s="14">
        <f>INDEX(属性投放!$BA$6:$BA$85,(BY32-2)*20+CD32)</f>
        <v>866</v>
      </c>
      <c r="CI32" s="14" t="s">
        <v>510</v>
      </c>
      <c r="CJ32" s="14">
        <f>INDEX(属性投放!$BB$6:$BB$85,(BY32-2)*20+CD32)</f>
        <v>12255</v>
      </c>
      <c r="CK32" s="14" t="s">
        <v>21</v>
      </c>
      <c r="CL32" s="14">
        <f>INDEX(属性投放!$BC$6:$BC$85,(BY32-2)*20+CD32)</f>
        <v>15</v>
      </c>
      <c r="CM32" s="14" t="s">
        <v>22</v>
      </c>
      <c r="CN32" s="14">
        <f>INDEX(属性投放!$BD$6:$BD$85,(BY32-2)*20+CD32)</f>
        <v>8</v>
      </c>
      <c r="CO32" s="14" t="s">
        <v>510</v>
      </c>
      <c r="CP32" s="14">
        <f>INDEX(属性投放!$BE$6:$BE$85,(BY32-2)*20+CD32)</f>
        <v>120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INDEX($O$6:$O$50,CT32)&amp;"-"&amp;INDEX(属性投放!$AB$7:$AB$50,CZ32)&amp;"-魂火-"&amp;DB32</f>
        <v>关羽-焦热-魂火-1</v>
      </c>
      <c r="CY32" s="25" t="s">
        <v>142</v>
      </c>
      <c r="CZ32" s="14">
        <f>INDEX(属性投放!$AM$7:$AM$58,CU32)</f>
        <v>13</v>
      </c>
      <c r="DA32" s="14" t="s">
        <v>537</v>
      </c>
      <c r="DB32" s="14">
        <f>INDEX(属性投放!$AN$7:$AN$58,CU32)</f>
        <v>1</v>
      </c>
      <c r="DC32" s="14">
        <f t="shared" si="16"/>
        <v>28</v>
      </c>
      <c r="DD32" s="14">
        <f>INDEX(属性投放!$AO$7:$AO$58,DC32)</f>
        <v>88</v>
      </c>
      <c r="DE32" s="14" t="s">
        <v>538</v>
      </c>
      <c r="DF32" s="14">
        <f>INDEX(属性投放!$BK$6:$BK$85,(CV32-2)*20+CZ32)</f>
        <v>315</v>
      </c>
      <c r="DG32" s="14">
        <f>SUMIFS(DF$5:DF32,$CT$5:$CT32,"="&amp;$CT32)</f>
        <v>3614</v>
      </c>
      <c r="DH32" s="14" t="s">
        <v>539</v>
      </c>
      <c r="DI32" s="14">
        <f>INDEX(属性投放!$BL$6:$BL$85,(CV32-2)*20+CZ32)</f>
        <v>158</v>
      </c>
      <c r="DJ32" s="14">
        <f>SUMIFS(DI$5:DI32,$CT$5:$CT32,"="&amp;$CT32)</f>
        <v>1810</v>
      </c>
      <c r="DK32" s="14" t="s">
        <v>540</v>
      </c>
      <c r="DL32" s="14">
        <f>INDEX(属性投放!$BM$6:$BM$85,(CV32-2)*20+CZ32)</f>
        <v>3150</v>
      </c>
      <c r="DM32" s="14">
        <f>SUMIFS(DL$5:DL32,$CT$5:$CT32,"="&amp;$CT32)</f>
        <v>30552</v>
      </c>
      <c r="DR32" s="14">
        <f t="shared" si="17"/>
        <v>1102002</v>
      </c>
      <c r="DS32" s="14" t="str">
        <f t="shared" si="18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19"/>
        <v>3</v>
      </c>
      <c r="DX32" s="14">
        <f t="shared" si="20"/>
        <v>8</v>
      </c>
      <c r="DY32" s="14">
        <f t="shared" si="21"/>
        <v>28</v>
      </c>
      <c r="DZ32" s="14">
        <f>INDEX(属性投放!$AX$6:$AX$85,(卡牌属性!DW32-2)*20+卡牌属性!DX32)</f>
        <v>5</v>
      </c>
      <c r="EA32" s="14">
        <f>INDEX(属性投放!BQ$6:BQ$85,卡牌属性!$DY32)</f>
        <v>125</v>
      </c>
      <c r="EB32" s="14">
        <f>INDEX(属性投放!BR$6:BR$85,卡牌属性!$DY32)</f>
        <v>63</v>
      </c>
      <c r="EC32" s="14">
        <f>INDEX(属性投放!BS$6:BS$85,卡牌属性!$DY32)</f>
        <v>1000</v>
      </c>
      <c r="ED32" s="14">
        <f t="shared" si="105"/>
        <v>1179</v>
      </c>
      <c r="EE32" s="14">
        <f t="shared" si="106"/>
        <v>1311</v>
      </c>
      <c r="EF32" s="14">
        <f t="shared" si="107"/>
        <v>1411</v>
      </c>
      <c r="EG32" s="14">
        <f t="shared" si="108"/>
        <v>1411</v>
      </c>
      <c r="EH32" s="14">
        <f t="shared" si="109"/>
        <v>1703</v>
      </c>
      <c r="EI32" s="14">
        <f t="shared" si="110"/>
        <v>614</v>
      </c>
      <c r="EJ32" s="14">
        <f t="shared" si="111"/>
        <v>670</v>
      </c>
      <c r="EK32" s="14">
        <f t="shared" si="112"/>
        <v>670</v>
      </c>
      <c r="EL32" s="14">
        <f t="shared" si="113"/>
        <v>815</v>
      </c>
      <c r="EM32" s="14">
        <f t="shared" si="114"/>
        <v>891</v>
      </c>
      <c r="EN32" s="14">
        <f t="shared" si="115"/>
        <v>9097</v>
      </c>
      <c r="EO32" s="14">
        <f t="shared" si="116"/>
        <v>11093</v>
      </c>
      <c r="EP32" s="14">
        <f t="shared" si="117"/>
        <v>11093</v>
      </c>
      <c r="EQ32" s="14">
        <f t="shared" si="118"/>
        <v>11985</v>
      </c>
      <c r="ER32" s="14">
        <f t="shared" si="119"/>
        <v>13135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128</v>
      </c>
      <c r="FD32" s="14">
        <f>INDEX(属性偏向!$U$4:$U$243,(卡牌属性!$DV32-1+FD$3)*20+卡牌属性!$DX32)</f>
        <v>200</v>
      </c>
      <c r="FE32" s="14">
        <f>INDEX(属性偏向!$U$4:$U$243,(卡牌属性!$DV32-1+FE$3)*20+卡牌属性!$DX32)</f>
        <v>200</v>
      </c>
      <c r="FF32" s="14">
        <f>INDEX(属性偏向!$U$4:$U$243,(卡牌属性!$DV32-1+FF$3)*20+卡牌属性!$DX32)</f>
        <v>224</v>
      </c>
      <c r="FG32" s="14">
        <f>INDEX(属性偏向!$U$4:$U$243,(卡牌属性!$DV32-1+FG$3)*20+卡牌属性!$DX32)</f>
        <v>240</v>
      </c>
      <c r="FH32" s="14">
        <f>INDEX(属性投放!$BQ$6:$BQ$85,(卡牌属性!$DW32-2)*20+卡牌属性!$DX32)</f>
        <v>125</v>
      </c>
      <c r="FI32" s="14">
        <f>INDEX(属性投放!$BQ$6:$BQ$85,(卡牌属性!$DW32-2)*20+卡牌属性!$DX32)</f>
        <v>125</v>
      </c>
      <c r="FJ32" s="14">
        <f>INDEX(属性投放!$BQ$6:$BQ$85,(卡牌属性!$DW32-2)*20+卡牌属性!$DX32)</f>
        <v>125</v>
      </c>
      <c r="FK32" s="14">
        <f>INDEX(属性投放!$BQ$6:$BQ$85,(卡牌属性!$DW32-2)*20+卡牌属性!$DX32)</f>
        <v>125</v>
      </c>
      <c r="FL32" s="14">
        <f>INDEX(属性投放!$BQ$6:$BQ$85,(卡牌属性!$DW32-2)*20+卡牌属性!$DX32)</f>
        <v>125</v>
      </c>
      <c r="FM32" s="14">
        <f>INDEX(属性投放!$BR$6:$BR$85,(卡牌属性!$DW32-2)*20+卡牌属性!$DX32)</f>
        <v>63</v>
      </c>
      <c r="FN32" s="14">
        <f>INDEX(属性投放!$BR$6:$BR$85,(卡牌属性!$DW32-2)*20+卡牌属性!$DX32)</f>
        <v>63</v>
      </c>
      <c r="FO32" s="14">
        <f>INDEX(属性投放!$BR$6:$BR$85,(卡牌属性!$DW32-2)*20+卡牌属性!$DX32)</f>
        <v>63</v>
      </c>
      <c r="FP32" s="14">
        <f>INDEX(属性投放!$BR$6:$BR$85,(卡牌属性!$DW32-2)*20+卡牌属性!$DX32)</f>
        <v>63</v>
      </c>
      <c r="FQ32" s="14">
        <f>INDEX(属性投放!$BR$6:$BR$85,(卡牌属性!$DW32-2)*20+卡牌属性!$DX32)</f>
        <v>63</v>
      </c>
      <c r="FR32" s="14">
        <f>INDEX(属性投放!$BS$6:$BS$85,(卡牌属性!$DW32-2)*20+卡牌属性!$DX32)</f>
        <v>1000</v>
      </c>
      <c r="FS32" s="14">
        <f>INDEX(属性投放!$BS$6:$BS$85,(卡牌属性!$DW32-2)*20+卡牌属性!$DX32)</f>
        <v>1000</v>
      </c>
      <c r="FT32" s="14">
        <f>INDEX(属性投放!$BS$6:$BS$85,(卡牌属性!$DW32-2)*20+卡牌属性!$DX32)</f>
        <v>1000</v>
      </c>
      <c r="FU32" s="14">
        <f>INDEX(属性投放!$BS$6:$BS$85,(卡牌属性!$DW32-2)*20+卡牌属性!$DX32)</f>
        <v>1000</v>
      </c>
      <c r="FV32" s="14">
        <f>INDEX(属性投放!$BS$6:$BS$85,(卡牌属性!$DW32-2)*20+卡牌属性!$DX32)</f>
        <v>1000</v>
      </c>
      <c r="FZ32" s="13">
        <v>28</v>
      </c>
      <c r="GA32" s="13">
        <f t="shared" si="22"/>
        <v>6</v>
      </c>
      <c r="GB32" s="14">
        <f t="shared" si="56"/>
        <v>1102006</v>
      </c>
      <c r="GC32" s="14" t="s">
        <v>1187</v>
      </c>
      <c r="GD32" s="14">
        <f t="shared" si="23"/>
        <v>3</v>
      </c>
      <c r="GE32" s="14" t="str">
        <f t="shared" si="24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5"/>
        <v>6</v>
      </c>
      <c r="GP32" s="14">
        <f t="shared" si="57"/>
        <v>1101006</v>
      </c>
      <c r="GQ32" s="14" t="s">
        <v>1187</v>
      </c>
      <c r="GR32" s="14">
        <f t="shared" si="26"/>
        <v>3</v>
      </c>
      <c r="GS32" s="14" t="str">
        <f t="shared" si="27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MATCH(HC32,属性投放!$AO$6:$AO$58,1)-1</f>
        <v>6</v>
      </c>
      <c r="HF32" s="13">
        <f>MATCH(HC32-1,属性投放!$AE$6:$AE$26,1)</f>
        <v>4</v>
      </c>
      <c r="HG32" s="13" t="str">
        <f>INDEX(属性投放!$AB$7:$AB$26,卡牌属性!HF32)</f>
        <v>众合</v>
      </c>
      <c r="HH32" s="14">
        <f t="shared" si="58"/>
        <v>703</v>
      </c>
      <c r="HI32" s="14">
        <f t="shared" si="59"/>
        <v>258</v>
      </c>
      <c r="HJ32" s="14">
        <f t="shared" si="60"/>
        <v>3260</v>
      </c>
      <c r="HK32" s="14">
        <f t="shared" si="61"/>
        <v>20</v>
      </c>
      <c r="HL32" s="14">
        <f t="shared" si="62"/>
        <v>7</v>
      </c>
      <c r="HM32" s="14">
        <f t="shared" si="63"/>
        <v>91</v>
      </c>
      <c r="HN32" s="14">
        <f>HH32+HK32*($HC32-INDEX(属性投放!$AE$6:$AE$26,卡牌属性!$HF32))</f>
        <v>763</v>
      </c>
      <c r="HO32" s="14">
        <f>HI32+HL32*($HC32-INDEX(属性投放!$AE$6:$AE$26,卡牌属性!$HF32))</f>
        <v>279</v>
      </c>
      <c r="HP32" s="14">
        <f>HJ32+HM32*($HC32-INDEX(属性投放!$AE$6:$AE$26,卡牌属性!$HF32))</f>
        <v>3533</v>
      </c>
      <c r="HQ32" s="14">
        <f t="shared" si="64"/>
        <v>200</v>
      </c>
      <c r="HR32" s="14">
        <f t="shared" si="65"/>
        <v>102</v>
      </c>
      <c r="HS32" s="14">
        <f t="shared" si="66"/>
        <v>1245</v>
      </c>
      <c r="HT32" s="14">
        <f>IF(COUNTIF(属性投放!$AO$7:$AO$58,"="&amp;卡牌属性!HC32)&gt;0,卡牌属性!HE32,0)</f>
        <v>6</v>
      </c>
      <c r="HU32" s="14">
        <f t="shared" si="67"/>
        <v>45</v>
      </c>
      <c r="HV32" s="14">
        <f t="shared" si="68"/>
        <v>23</v>
      </c>
      <c r="HW32" s="14">
        <f t="shared" si="69"/>
        <v>315</v>
      </c>
      <c r="HX32" s="14">
        <f>IF(COUNTIF(属性投放!$AE$6:$AE$26,"="&amp;卡牌属性!HC32)&gt;0,卡牌属性!HF32,0)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20</v>
      </c>
      <c r="IC32" s="14">
        <f t="shared" si="74"/>
        <v>7</v>
      </c>
      <c r="ID32" s="14">
        <f t="shared" si="75"/>
        <v>91</v>
      </c>
      <c r="IE32" s="14">
        <f t="shared" si="76"/>
        <v>963</v>
      </c>
      <c r="IF32" s="14">
        <f t="shared" si="77"/>
        <v>381</v>
      </c>
      <c r="IG32" s="14">
        <f t="shared" si="78"/>
        <v>4778</v>
      </c>
      <c r="IH32" s="14">
        <f t="shared" si="79"/>
        <v>431</v>
      </c>
      <c r="II32" s="14">
        <f t="shared" si="80"/>
        <v>1225</v>
      </c>
      <c r="IJ32" s="14">
        <f t="shared" si="81"/>
        <v>0</v>
      </c>
      <c r="IK32" s="14">
        <f t="shared" si="82"/>
        <v>22028</v>
      </c>
      <c r="IL32" s="17">
        <f t="shared" si="83"/>
        <v>1.9566006900308699E-2</v>
      </c>
      <c r="IM32" s="17">
        <f t="shared" si="84"/>
        <v>5.5611040493916832E-2</v>
      </c>
      <c r="IN32" s="17">
        <f t="shared" si="85"/>
        <v>0</v>
      </c>
      <c r="IO32" s="23">
        <f>SUM(IH$5:IH32)</f>
        <v>9533</v>
      </c>
      <c r="IP32" s="14">
        <f>SUM(II$5:II32)</f>
        <v>5285</v>
      </c>
      <c r="IQ32" s="14">
        <f>SUM(IJ$5:IJ32)</f>
        <v>1960</v>
      </c>
      <c r="IR32" s="17">
        <f t="shared" si="86"/>
        <v>0.43276738696204831</v>
      </c>
      <c r="IS32" s="17">
        <f t="shared" si="87"/>
        <v>0.23992191755946976</v>
      </c>
      <c r="IT32" s="17">
        <f t="shared" si="88"/>
        <v>8.8977664790266933E-2</v>
      </c>
      <c r="IW32" s="13">
        <v>28</v>
      </c>
      <c r="IX32" s="14">
        <f>MATCH(IW32-1,属性投放!$T$6:$T$66,1)</f>
        <v>1</v>
      </c>
      <c r="IY32" s="14">
        <f>MATCH(IW32-1,属性投放!$AD$7:$AD$26,1)</f>
        <v>3</v>
      </c>
      <c r="IZ32" s="14" t="str">
        <f>INDEX(属性投放!$AB$7:$AB$26,IY32)</f>
        <v>黑绳+1</v>
      </c>
      <c r="JA32" s="14">
        <f t="shared" si="89"/>
        <v>189</v>
      </c>
      <c r="JB32" s="14">
        <f t="shared" si="90"/>
        <v>45</v>
      </c>
      <c r="JC32" s="14">
        <f t="shared" si="91"/>
        <v>784</v>
      </c>
      <c r="JD32" s="14">
        <f t="shared" si="92"/>
        <v>12</v>
      </c>
      <c r="JE32" s="14">
        <f t="shared" si="93"/>
        <v>6</v>
      </c>
      <c r="JF32" s="14">
        <f t="shared" si="94"/>
        <v>70</v>
      </c>
      <c r="JG32" s="14">
        <f>INDEX(属性投放!$DC$6:$DC$85,卡牌属性!IY32)</f>
        <v>10</v>
      </c>
      <c r="JH32" s="14">
        <f t="shared" si="95"/>
        <v>405</v>
      </c>
      <c r="JI32" s="14">
        <f t="shared" si="96"/>
        <v>153</v>
      </c>
      <c r="JJ32" s="14">
        <f t="shared" si="97"/>
        <v>2044</v>
      </c>
      <c r="JK32" s="14">
        <f t="shared" si="98"/>
        <v>5599</v>
      </c>
    </row>
    <row r="33" spans="14:271" ht="16.5" x14ac:dyDescent="0.2">
      <c r="N33" s="13">
        <v>1102031</v>
      </c>
      <c r="O33" s="13" t="s">
        <v>1013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560</v>
      </c>
      <c r="W33" s="13" t="s">
        <v>560</v>
      </c>
      <c r="X33" s="13" t="s">
        <v>560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1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142</v>
      </c>
      <c r="AM33" s="14">
        <v>1</v>
      </c>
      <c r="AN33" s="14">
        <f t="shared" si="5"/>
        <v>9</v>
      </c>
      <c r="AO33" s="14">
        <f>INDEX(属性投放!$DF$6:$DF$85,(卡牌属性!AG33-2)*20+卡牌属性!AN33)</f>
        <v>1281</v>
      </c>
      <c r="AP33" s="14">
        <f t="shared" si="99"/>
        <v>1281</v>
      </c>
      <c r="AQ33" s="14">
        <f t="shared" si="99"/>
        <v>1281</v>
      </c>
      <c r="AR33" s="14">
        <f t="shared" si="99"/>
        <v>1281</v>
      </c>
      <c r="AS33" s="14">
        <f t="shared" si="99"/>
        <v>1281</v>
      </c>
      <c r="AT33" s="14">
        <f>INDEX(属性投放!$DG$6:$DG$85,(卡牌属性!AG33-2)*20+卡牌属性!AN33)</f>
        <v>590</v>
      </c>
      <c r="AU33" s="14">
        <f t="shared" si="100"/>
        <v>590</v>
      </c>
      <c r="AV33" s="14">
        <f t="shared" si="100"/>
        <v>590</v>
      </c>
      <c r="AW33" s="14">
        <f t="shared" si="100"/>
        <v>590</v>
      </c>
      <c r="AX33" s="14">
        <f t="shared" si="100"/>
        <v>590</v>
      </c>
      <c r="AY33" s="14">
        <f>INDEX(属性投放!$DH$6:$DH$85,(卡牌属性!AG33-2)*20+卡牌属性!AN33)</f>
        <v>8429</v>
      </c>
      <c r="AZ33" s="14">
        <f t="shared" si="101"/>
        <v>8429</v>
      </c>
      <c r="BA33" s="14">
        <f t="shared" si="101"/>
        <v>8429</v>
      </c>
      <c r="BB33" s="14">
        <f t="shared" si="101"/>
        <v>8429</v>
      </c>
      <c r="BC33" s="14">
        <f t="shared" si="101"/>
        <v>8429</v>
      </c>
      <c r="BD33" s="14">
        <f>INDEX(属性投放!$DL$6:$DL$85,(卡牌属性!AG33-2)*20+卡牌属性!AN33)</f>
        <v>36</v>
      </c>
      <c r="BE33" s="14">
        <f t="shared" si="102"/>
        <v>36</v>
      </c>
      <c r="BF33" s="14">
        <f t="shared" si="102"/>
        <v>36</v>
      </c>
      <c r="BG33" s="14">
        <f t="shared" si="102"/>
        <v>36</v>
      </c>
      <c r="BH33" s="14">
        <f t="shared" si="102"/>
        <v>36</v>
      </c>
      <c r="BI33" s="14">
        <f>INDEX(属性投放!$DM$6:$DM$85,(卡牌属性!AG33-2)*20+卡牌属性!AN33)</f>
        <v>18</v>
      </c>
      <c r="BJ33" s="14">
        <f t="shared" si="103"/>
        <v>18</v>
      </c>
      <c r="BK33" s="14">
        <f t="shared" si="103"/>
        <v>18</v>
      </c>
      <c r="BL33" s="14">
        <f t="shared" si="103"/>
        <v>18</v>
      </c>
      <c r="BM33" s="14">
        <f t="shared" si="103"/>
        <v>18</v>
      </c>
      <c r="BN33" s="14">
        <f>INDEX(属性投放!$DN$6:$DN$85,(卡牌属性!AG33-2)*20+卡牌属性!AN33)</f>
        <v>286</v>
      </c>
      <c r="BO33" s="14">
        <f t="shared" si="104"/>
        <v>286</v>
      </c>
      <c r="BP33" s="14">
        <f t="shared" si="104"/>
        <v>286</v>
      </c>
      <c r="BQ33" s="14">
        <f t="shared" si="104"/>
        <v>286</v>
      </c>
      <c r="BR33" s="14">
        <f t="shared" si="104"/>
        <v>286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32"/>
        <v>1102002</v>
      </c>
      <c r="CA33" s="14" t="str">
        <f t="shared" si="33"/>
        <v>许褚9突</v>
      </c>
      <c r="CB33" s="25" t="s">
        <v>142</v>
      </c>
      <c r="CC33" s="14">
        <v>2</v>
      </c>
      <c r="CD33" s="14">
        <f t="shared" si="14"/>
        <v>9</v>
      </c>
      <c r="CE33" s="14" t="s">
        <v>21</v>
      </c>
      <c r="CF33" s="14">
        <f>INDEX(属性投放!$AZ$6:$AZ$85,(BY33-2)*20+CD33)</f>
        <v>2221</v>
      </c>
      <c r="CG33" s="14" t="s">
        <v>22</v>
      </c>
      <c r="CH33" s="14">
        <f>INDEX(属性投放!$BA$6:$BA$85,(BY33-2)*20+CD33)</f>
        <v>1055</v>
      </c>
      <c r="CI33" s="14" t="s">
        <v>510</v>
      </c>
      <c r="CJ33" s="14">
        <f>INDEX(属性投放!$BB$6:$BB$85,(BY33-2)*20+CD33)</f>
        <v>15215</v>
      </c>
      <c r="CK33" s="14" t="s">
        <v>21</v>
      </c>
      <c r="CL33" s="14">
        <f>INDEX(属性投放!$BC$6:$BC$85,(BY33-2)*20+CD33)</f>
        <v>15</v>
      </c>
      <c r="CM33" s="14" t="s">
        <v>22</v>
      </c>
      <c r="CN33" s="14">
        <f>INDEX(属性投放!$BD$6:$BD$85,(BY33-2)*20+CD33)</f>
        <v>8</v>
      </c>
      <c r="CO33" s="14" t="s">
        <v>510</v>
      </c>
      <c r="CP33" s="14">
        <f>INDEX(属性投放!$BE$6:$BE$85,(BY33-2)*20+CD33)</f>
        <v>120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INDEX($O$6:$O$50,CT33)&amp;"-"&amp;INDEX(属性投放!$AB$7:$AB$50,CZ33)&amp;"-魂火-"&amp;DB33</f>
        <v>关羽-焦热-魂火-2</v>
      </c>
      <c r="CY33" s="25" t="s">
        <v>142</v>
      </c>
      <c r="CZ33" s="14">
        <f>INDEX(属性投放!$AM$7:$AM$58,CU33)</f>
        <v>13</v>
      </c>
      <c r="DA33" s="14" t="s">
        <v>537</v>
      </c>
      <c r="DB33" s="14">
        <f>INDEX(属性投放!$AN$7:$AN$58,CU33)</f>
        <v>2</v>
      </c>
      <c r="DC33" s="14">
        <f t="shared" si="16"/>
        <v>29</v>
      </c>
      <c r="DD33" s="14">
        <f>INDEX(属性投放!$AO$7:$AO$58,DC33)</f>
        <v>90</v>
      </c>
      <c r="DE33" s="14" t="s">
        <v>538</v>
      </c>
      <c r="DF33" s="14">
        <f>INDEX(属性投放!$BK$6:$BK$85,(CV33-2)*20+CZ33)</f>
        <v>315</v>
      </c>
      <c r="DG33" s="14">
        <f>SUMIFS(DF$5:DF33,$CT$5:$CT33,"="&amp;$CT33)</f>
        <v>3929</v>
      </c>
      <c r="DH33" s="14" t="s">
        <v>539</v>
      </c>
      <c r="DI33" s="14">
        <f>INDEX(属性投放!$BL$6:$BL$85,(CV33-2)*20+CZ33)</f>
        <v>158</v>
      </c>
      <c r="DJ33" s="14">
        <f>SUMIFS(DI$5:DI33,$CT$5:$CT33,"="&amp;$CT33)</f>
        <v>1968</v>
      </c>
      <c r="DK33" s="14" t="s">
        <v>540</v>
      </c>
      <c r="DL33" s="14">
        <f>INDEX(属性投放!$BM$6:$BM$85,(CV33-2)*20+CZ33)</f>
        <v>3150</v>
      </c>
      <c r="DM33" s="14">
        <f>SUMIFS(DL$5:DL33,$CT$5:$CT33,"="&amp;$CT33)</f>
        <v>33702</v>
      </c>
      <c r="DR33" s="14">
        <f t="shared" si="17"/>
        <v>1102002</v>
      </c>
      <c r="DS33" s="14" t="str">
        <f t="shared" si="18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19"/>
        <v>3</v>
      </c>
      <c r="DX33" s="14">
        <f t="shared" si="20"/>
        <v>9</v>
      </c>
      <c r="DY33" s="14">
        <f t="shared" si="21"/>
        <v>29</v>
      </c>
      <c r="DZ33" s="14">
        <f>INDEX(属性投放!$AX$6:$AX$85,(卡牌属性!DW33-2)*20+卡牌属性!DX33)</f>
        <v>8</v>
      </c>
      <c r="EA33" s="14">
        <f>INDEX(属性投放!BQ$6:BQ$85,卡牌属性!$DY33)</f>
        <v>185</v>
      </c>
      <c r="EB33" s="14">
        <f>INDEX(属性投放!BR$6:BR$85,卡牌属性!$DY33)</f>
        <v>93</v>
      </c>
      <c r="EC33" s="14">
        <f>INDEX(属性投放!BS$6:BS$85,卡牌属性!$DY33)</f>
        <v>1480</v>
      </c>
      <c r="ED33" s="14">
        <f t="shared" si="105"/>
        <v>1364</v>
      </c>
      <c r="EE33" s="14">
        <f t="shared" si="106"/>
        <v>1511</v>
      </c>
      <c r="EF33" s="14">
        <f t="shared" si="107"/>
        <v>1616</v>
      </c>
      <c r="EG33" s="14">
        <f t="shared" si="108"/>
        <v>1616</v>
      </c>
      <c r="EH33" s="14">
        <f t="shared" si="109"/>
        <v>1953</v>
      </c>
      <c r="EI33" s="14">
        <f t="shared" si="110"/>
        <v>717</v>
      </c>
      <c r="EJ33" s="14">
        <f t="shared" si="111"/>
        <v>773</v>
      </c>
      <c r="EK33" s="14">
        <f t="shared" si="112"/>
        <v>773</v>
      </c>
      <c r="EL33" s="14">
        <f t="shared" si="113"/>
        <v>943</v>
      </c>
      <c r="EM33" s="14">
        <f t="shared" si="114"/>
        <v>1024</v>
      </c>
      <c r="EN33" s="14">
        <f t="shared" si="115"/>
        <v>10737</v>
      </c>
      <c r="EO33" s="14">
        <f t="shared" si="116"/>
        <v>13093</v>
      </c>
      <c r="EP33" s="14">
        <f t="shared" si="117"/>
        <v>13093</v>
      </c>
      <c r="EQ33" s="14">
        <f t="shared" si="118"/>
        <v>14105</v>
      </c>
      <c r="ER33" s="14">
        <f t="shared" si="119"/>
        <v>15335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128</v>
      </c>
      <c r="FD33" s="14">
        <f>INDEX(属性偏向!$U$4:$U$243,(卡牌属性!$DV33-1+FD$3)*20+卡牌属性!$DX33)</f>
        <v>200</v>
      </c>
      <c r="FE33" s="14">
        <f>INDEX(属性偏向!$U$4:$U$243,(卡牌属性!$DV33-1+FE$3)*20+卡牌属性!$DX33)</f>
        <v>200</v>
      </c>
      <c r="FF33" s="14">
        <f>INDEX(属性偏向!$U$4:$U$243,(卡牌属性!$DV33-1+FF$3)*20+卡牌属性!$DX33)</f>
        <v>224</v>
      </c>
      <c r="FG33" s="14">
        <f>INDEX(属性偏向!$U$4:$U$243,(卡牌属性!$DV33-1+FG$3)*20+卡牌属性!$DX33)</f>
        <v>240</v>
      </c>
      <c r="FH33" s="14">
        <f>INDEX(属性投放!$BQ$6:$BQ$85,(卡牌属性!$DW33-2)*20+卡牌属性!$DX33)</f>
        <v>185</v>
      </c>
      <c r="FI33" s="14">
        <f>INDEX(属性投放!$BQ$6:$BQ$85,(卡牌属性!$DW33-2)*20+卡牌属性!$DX33)</f>
        <v>185</v>
      </c>
      <c r="FJ33" s="14">
        <f>INDEX(属性投放!$BQ$6:$BQ$85,(卡牌属性!$DW33-2)*20+卡牌属性!$DX33)</f>
        <v>185</v>
      </c>
      <c r="FK33" s="14">
        <f>INDEX(属性投放!$BQ$6:$BQ$85,(卡牌属性!$DW33-2)*20+卡牌属性!$DX33)</f>
        <v>185</v>
      </c>
      <c r="FL33" s="14">
        <f>INDEX(属性投放!$BQ$6:$BQ$85,(卡牌属性!$DW33-2)*20+卡牌属性!$DX33)</f>
        <v>185</v>
      </c>
      <c r="FM33" s="14">
        <f>INDEX(属性投放!$BR$6:$BR$85,(卡牌属性!$DW33-2)*20+卡牌属性!$DX33)</f>
        <v>93</v>
      </c>
      <c r="FN33" s="14">
        <f>INDEX(属性投放!$BR$6:$BR$85,(卡牌属性!$DW33-2)*20+卡牌属性!$DX33)</f>
        <v>93</v>
      </c>
      <c r="FO33" s="14">
        <f>INDEX(属性投放!$BR$6:$BR$85,(卡牌属性!$DW33-2)*20+卡牌属性!$DX33)</f>
        <v>93</v>
      </c>
      <c r="FP33" s="14">
        <f>INDEX(属性投放!$BR$6:$BR$85,(卡牌属性!$DW33-2)*20+卡牌属性!$DX33)</f>
        <v>93</v>
      </c>
      <c r="FQ33" s="14">
        <f>INDEX(属性投放!$BR$6:$BR$85,(卡牌属性!$DW33-2)*20+卡牌属性!$DX33)</f>
        <v>93</v>
      </c>
      <c r="FR33" s="14">
        <f>INDEX(属性投放!$BS$6:$BS$85,(卡牌属性!$DW33-2)*20+卡牌属性!$DX33)</f>
        <v>1480</v>
      </c>
      <c r="FS33" s="14">
        <f>INDEX(属性投放!$BS$6:$BS$85,(卡牌属性!$DW33-2)*20+卡牌属性!$DX33)</f>
        <v>1480</v>
      </c>
      <c r="FT33" s="14">
        <f>INDEX(属性投放!$BS$6:$BS$85,(卡牌属性!$DW33-2)*20+卡牌属性!$DX33)</f>
        <v>1480</v>
      </c>
      <c r="FU33" s="14">
        <f>INDEX(属性投放!$BS$6:$BS$85,(卡牌属性!$DW33-2)*20+卡牌属性!$DX33)</f>
        <v>1480</v>
      </c>
      <c r="FV33" s="14">
        <f>INDEX(属性投放!$BS$6:$BS$85,(卡牌属性!$DW33-2)*20+卡牌属性!$DX33)</f>
        <v>1480</v>
      </c>
      <c r="FZ33" s="13">
        <v>29</v>
      </c>
      <c r="GA33" s="13">
        <f t="shared" si="22"/>
        <v>6</v>
      </c>
      <c r="GB33" s="14">
        <f t="shared" si="56"/>
        <v>1102006</v>
      </c>
      <c r="GC33" s="14" t="s">
        <v>1187</v>
      </c>
      <c r="GD33" s="14">
        <f t="shared" si="23"/>
        <v>4</v>
      </c>
      <c r="GE33" s="14" t="str">
        <f t="shared" si="24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5"/>
        <v>6</v>
      </c>
      <c r="GP33" s="14">
        <f t="shared" si="57"/>
        <v>1101006</v>
      </c>
      <c r="GQ33" s="14" t="s">
        <v>1187</v>
      </c>
      <c r="GR33" s="14">
        <f t="shared" si="26"/>
        <v>4</v>
      </c>
      <c r="GS33" s="14" t="str">
        <f t="shared" si="27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MATCH(HC33,属性投放!$AO$6:$AO$58,1)-1</f>
        <v>6</v>
      </c>
      <c r="HF33" s="13">
        <f>MATCH(HC33-1,属性投放!$AE$6:$AE$26,1)</f>
        <v>4</v>
      </c>
      <c r="HG33" s="13" t="str">
        <f>INDEX(属性投放!$AB$7:$AB$26,卡牌属性!HF33)</f>
        <v>众合</v>
      </c>
      <c r="HH33" s="14">
        <f t="shared" si="58"/>
        <v>703</v>
      </c>
      <c r="HI33" s="14">
        <f t="shared" si="59"/>
        <v>258</v>
      </c>
      <c r="HJ33" s="14">
        <f t="shared" si="60"/>
        <v>3260</v>
      </c>
      <c r="HK33" s="14">
        <f t="shared" si="61"/>
        <v>20</v>
      </c>
      <c r="HL33" s="14">
        <f t="shared" si="62"/>
        <v>7</v>
      </c>
      <c r="HM33" s="14">
        <f t="shared" si="63"/>
        <v>91</v>
      </c>
      <c r="HN33" s="14">
        <f>HH33+HK33*($HC33-INDEX(属性投放!$AE$6:$AE$26,卡牌属性!$HF33))</f>
        <v>783</v>
      </c>
      <c r="HO33" s="14">
        <f>HI33+HL33*($HC33-INDEX(属性投放!$AE$6:$AE$26,卡牌属性!$HF33))</f>
        <v>286</v>
      </c>
      <c r="HP33" s="14">
        <f>HJ33+HM33*($HC33-INDEX(属性投放!$AE$6:$AE$26,卡牌属性!$HF33))</f>
        <v>3624</v>
      </c>
      <c r="HQ33" s="14">
        <f t="shared" si="64"/>
        <v>200</v>
      </c>
      <c r="HR33" s="14">
        <f t="shared" si="65"/>
        <v>102</v>
      </c>
      <c r="HS33" s="14">
        <f t="shared" si="66"/>
        <v>1245</v>
      </c>
      <c r="HT33" s="14">
        <f>IF(COUNTIF(属性投放!$AO$7:$AO$58,"="&amp;卡牌属性!HC33)&gt;0,卡牌属性!HE33,0)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IF(COUNTIF(属性投放!$AE$6:$AE$26,"="&amp;卡牌属性!HC33)&gt;0,卡牌属性!HF33,0)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20</v>
      </c>
      <c r="IC33" s="14">
        <f t="shared" si="74"/>
        <v>7</v>
      </c>
      <c r="ID33" s="14">
        <f t="shared" si="75"/>
        <v>91</v>
      </c>
      <c r="IE33" s="14">
        <f t="shared" si="76"/>
        <v>983</v>
      </c>
      <c r="IF33" s="14">
        <f t="shared" si="77"/>
        <v>388</v>
      </c>
      <c r="IG33" s="14">
        <f t="shared" si="78"/>
        <v>4869</v>
      </c>
      <c r="IH33" s="14">
        <f t="shared" si="79"/>
        <v>431</v>
      </c>
      <c r="II33" s="14">
        <f t="shared" si="80"/>
        <v>0</v>
      </c>
      <c r="IJ33" s="14">
        <f t="shared" si="81"/>
        <v>0</v>
      </c>
      <c r="IK33" s="14">
        <f t="shared" si="82"/>
        <v>22459</v>
      </c>
      <c r="IL33" s="17">
        <f t="shared" si="83"/>
        <v>1.919052495658756E-2</v>
      </c>
      <c r="IM33" s="17">
        <f t="shared" si="84"/>
        <v>0</v>
      </c>
      <c r="IN33" s="17">
        <f t="shared" si="85"/>
        <v>0</v>
      </c>
      <c r="IO33" s="23">
        <f>SUM(IH$5:IH33)</f>
        <v>9964</v>
      </c>
      <c r="IP33" s="14">
        <f>SUM(II$5:II33)</f>
        <v>5285</v>
      </c>
      <c r="IQ33" s="14">
        <f>SUM(IJ$5:IJ33)</f>
        <v>1960</v>
      </c>
      <c r="IR33" s="17">
        <f t="shared" si="86"/>
        <v>0.44365287857874347</v>
      </c>
      <c r="IS33" s="17">
        <f t="shared" si="87"/>
        <v>0.23531769001291242</v>
      </c>
      <c r="IT33" s="17">
        <f t="shared" si="88"/>
        <v>8.727013669353044E-2</v>
      </c>
      <c r="IW33" s="13">
        <v>29</v>
      </c>
      <c r="IX33" s="14">
        <f>MATCH(IW33-1,属性投放!$T$6:$T$66,1)</f>
        <v>1</v>
      </c>
      <c r="IY33" s="14">
        <f>MATCH(IW33-1,属性投放!$AD$7:$AD$26,1)</f>
        <v>3</v>
      </c>
      <c r="IZ33" s="14" t="str">
        <f>INDEX(属性投放!$AB$7:$AB$26,IY33)</f>
        <v>黑绳+1</v>
      </c>
      <c r="JA33" s="14">
        <f t="shared" si="89"/>
        <v>189</v>
      </c>
      <c r="JB33" s="14">
        <f t="shared" si="90"/>
        <v>45</v>
      </c>
      <c r="JC33" s="14">
        <f t="shared" si="91"/>
        <v>784</v>
      </c>
      <c r="JD33" s="14">
        <f t="shared" si="92"/>
        <v>12</v>
      </c>
      <c r="JE33" s="14">
        <f t="shared" si="93"/>
        <v>6</v>
      </c>
      <c r="JF33" s="14">
        <f t="shared" si="94"/>
        <v>70</v>
      </c>
      <c r="JG33" s="14">
        <f>INDEX(属性投放!$DC$6:$DC$85,卡牌属性!IY33)</f>
        <v>10</v>
      </c>
      <c r="JH33" s="14">
        <f t="shared" si="95"/>
        <v>417</v>
      </c>
      <c r="JI33" s="14">
        <f t="shared" si="96"/>
        <v>159</v>
      </c>
      <c r="JJ33" s="14">
        <f t="shared" si="97"/>
        <v>2114</v>
      </c>
      <c r="JK33" s="14">
        <f t="shared" si="98"/>
        <v>5789</v>
      </c>
    </row>
    <row r="34" spans="14:271" ht="16.5" x14ac:dyDescent="0.2">
      <c r="N34" s="13">
        <v>1102999</v>
      </c>
      <c r="O34" s="13" t="s">
        <v>1423</v>
      </c>
      <c r="P34" s="13">
        <v>2</v>
      </c>
      <c r="Q34" s="13">
        <v>2</v>
      </c>
      <c r="R34" s="13">
        <v>20</v>
      </c>
      <c r="S34" s="14">
        <f>SUM(R$5:R34)</f>
        <v>580</v>
      </c>
      <c r="T34" s="13">
        <v>52</v>
      </c>
      <c r="U34" s="14">
        <f>SUM(T$5:T34)</f>
        <v>1508</v>
      </c>
      <c r="V34" s="13" t="s">
        <v>1417</v>
      </c>
      <c r="W34" s="13" t="s">
        <v>553</v>
      </c>
      <c r="X34" s="13" t="s">
        <v>1417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20">SUM(Y34:AA34)</f>
        <v>9</v>
      </c>
      <c r="AE34" s="13">
        <v>30</v>
      </c>
      <c r="AF34" s="13">
        <f t="shared" si="31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142</v>
      </c>
      <c r="AM34" s="14">
        <v>1</v>
      </c>
      <c r="AN34" s="14">
        <f t="shared" si="5"/>
        <v>10</v>
      </c>
      <c r="AO34" s="14">
        <f>INDEX(属性投放!$DF$6:$DF$85,(卡牌属性!AG34-2)*20+卡牌属性!AN34)</f>
        <v>1923</v>
      </c>
      <c r="AP34" s="14">
        <f t="shared" si="99"/>
        <v>1923</v>
      </c>
      <c r="AQ34" s="14">
        <f t="shared" si="99"/>
        <v>1923</v>
      </c>
      <c r="AR34" s="14">
        <f t="shared" si="99"/>
        <v>1923</v>
      </c>
      <c r="AS34" s="14">
        <f t="shared" si="99"/>
        <v>1923</v>
      </c>
      <c r="AT34" s="14">
        <f>INDEX(属性投放!$DG$6:$DG$85,(卡牌属性!AG34-2)*20+卡牌属性!AN34)</f>
        <v>911</v>
      </c>
      <c r="AU34" s="14">
        <f t="shared" si="100"/>
        <v>911</v>
      </c>
      <c r="AV34" s="14">
        <f t="shared" si="100"/>
        <v>911</v>
      </c>
      <c r="AW34" s="14">
        <f t="shared" si="100"/>
        <v>911</v>
      </c>
      <c r="AX34" s="14">
        <f t="shared" si="100"/>
        <v>911</v>
      </c>
      <c r="AY34" s="14">
        <f>INDEX(属性投放!$DH$6:$DH$85,(卡牌属性!AG34-2)*20+卡牌属性!AN34)</f>
        <v>13535</v>
      </c>
      <c r="AZ34" s="14">
        <f t="shared" si="101"/>
        <v>13535</v>
      </c>
      <c r="BA34" s="14">
        <f t="shared" si="101"/>
        <v>13535</v>
      </c>
      <c r="BB34" s="14">
        <f t="shared" si="101"/>
        <v>13535</v>
      </c>
      <c r="BC34" s="14">
        <f t="shared" si="101"/>
        <v>13535</v>
      </c>
      <c r="BD34" s="14">
        <f>INDEX(属性投放!$DL$6:$DL$85,(卡牌属性!AG34-2)*20+卡牌属性!AN34)</f>
        <v>76</v>
      </c>
      <c r="BE34" s="14">
        <f t="shared" si="102"/>
        <v>76</v>
      </c>
      <c r="BF34" s="14">
        <f t="shared" si="102"/>
        <v>76</v>
      </c>
      <c r="BG34" s="14">
        <f t="shared" si="102"/>
        <v>76</v>
      </c>
      <c r="BH34" s="14">
        <f t="shared" si="102"/>
        <v>76</v>
      </c>
      <c r="BI34" s="14">
        <f>INDEX(属性投放!$DM$6:$DM$85,(卡牌属性!AG34-2)*20+卡牌属性!AN34)</f>
        <v>38</v>
      </c>
      <c r="BJ34" s="14">
        <f t="shared" si="103"/>
        <v>38</v>
      </c>
      <c r="BK34" s="14">
        <f t="shared" si="103"/>
        <v>38</v>
      </c>
      <c r="BL34" s="14">
        <f t="shared" si="103"/>
        <v>38</v>
      </c>
      <c r="BM34" s="14">
        <f t="shared" si="103"/>
        <v>38</v>
      </c>
      <c r="BN34" s="14">
        <f>INDEX(属性投放!$DN$6:$DN$85,(卡牌属性!AG34-2)*20+卡牌属性!AN34)</f>
        <v>685</v>
      </c>
      <c r="BO34" s="14">
        <f t="shared" si="104"/>
        <v>685</v>
      </c>
      <c r="BP34" s="14">
        <f t="shared" si="104"/>
        <v>685</v>
      </c>
      <c r="BQ34" s="14">
        <f t="shared" si="104"/>
        <v>685</v>
      </c>
      <c r="BR34" s="14">
        <f t="shared" si="104"/>
        <v>685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32"/>
        <v>1102002</v>
      </c>
      <c r="CA34" s="14" t="str">
        <f t="shared" si="33"/>
        <v>许褚10突</v>
      </c>
      <c r="CB34" s="25" t="s">
        <v>142</v>
      </c>
      <c r="CC34" s="14">
        <v>2</v>
      </c>
      <c r="CD34" s="14">
        <f t="shared" si="14"/>
        <v>10</v>
      </c>
      <c r="CE34" s="14" t="s">
        <v>21</v>
      </c>
      <c r="CF34" s="14">
        <f>INDEX(属性投放!$AZ$6:$AZ$85,(BY34-2)*20+CD34)</f>
        <v>2826</v>
      </c>
      <c r="CG34" s="14" t="s">
        <v>22</v>
      </c>
      <c r="CH34" s="14">
        <f>INDEX(属性投放!$BA$6:$BA$85,(BY34-2)*20+CD34)</f>
        <v>1362</v>
      </c>
      <c r="CI34" s="14" t="s">
        <v>510</v>
      </c>
      <c r="CJ34" s="14">
        <f>INDEX(属性投放!$BB$6:$BB$85,(BY34-2)*20+CD34)</f>
        <v>20055</v>
      </c>
      <c r="CK34" s="14" t="s">
        <v>21</v>
      </c>
      <c r="CL34" s="14">
        <f>INDEX(属性投放!$BC$6:$BC$85,(BY34-2)*20+CD34)</f>
        <v>20</v>
      </c>
      <c r="CM34" s="14" t="s">
        <v>22</v>
      </c>
      <c r="CN34" s="14">
        <f>INDEX(属性投放!$BD$6:$BD$85,(BY34-2)*20+CD34)</f>
        <v>10</v>
      </c>
      <c r="CO34" s="14" t="s">
        <v>510</v>
      </c>
      <c r="CP34" s="14">
        <f>INDEX(属性投放!$BE$6:$BE$85,(BY34-2)*20+CD34)</f>
        <v>180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INDEX($O$6:$O$50,CT34)&amp;"-"&amp;INDEX(属性投放!$AB$7:$AB$50,CZ34)&amp;"-魂火-"&amp;DB34</f>
        <v>关羽-焦热-魂火-3</v>
      </c>
      <c r="CY34" s="25" t="s">
        <v>142</v>
      </c>
      <c r="CZ34" s="14">
        <f>INDEX(属性投放!$AM$7:$AM$58,CU34)</f>
        <v>13</v>
      </c>
      <c r="DA34" s="14" t="s">
        <v>537</v>
      </c>
      <c r="DB34" s="14">
        <f>INDEX(属性投放!$AN$7:$AN$58,CU34)</f>
        <v>3</v>
      </c>
      <c r="DC34" s="14">
        <f t="shared" si="16"/>
        <v>30</v>
      </c>
      <c r="DD34" s="14">
        <f>INDEX(属性投放!$AO$7:$AO$58,DC34)</f>
        <v>93</v>
      </c>
      <c r="DE34" s="14" t="s">
        <v>538</v>
      </c>
      <c r="DF34" s="14">
        <f>INDEX(属性投放!$BK$6:$BK$85,(CV34-2)*20+CZ34)</f>
        <v>315</v>
      </c>
      <c r="DG34" s="14">
        <f>SUMIFS(DF$5:DF34,$CT$5:$CT34,"="&amp;$CT34)</f>
        <v>4244</v>
      </c>
      <c r="DH34" s="14" t="s">
        <v>539</v>
      </c>
      <c r="DI34" s="14">
        <f>INDEX(属性投放!$BL$6:$BL$85,(CV34-2)*20+CZ34)</f>
        <v>158</v>
      </c>
      <c r="DJ34" s="14">
        <f>SUMIFS(DI$5:DI34,$CT$5:$CT34,"="&amp;$CT34)</f>
        <v>2126</v>
      </c>
      <c r="DK34" s="14" t="s">
        <v>540</v>
      </c>
      <c r="DL34" s="14">
        <f>INDEX(属性投放!$BM$6:$BM$85,(CV34-2)*20+CZ34)</f>
        <v>3150</v>
      </c>
      <c r="DM34" s="14">
        <f>SUMIFS(DL$5:DL34,$CT$5:$CT34,"="&amp;$CT34)</f>
        <v>36852</v>
      </c>
      <c r="DR34" s="14">
        <f t="shared" si="17"/>
        <v>1102002</v>
      </c>
      <c r="DS34" s="14" t="str">
        <f t="shared" si="18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19"/>
        <v>3</v>
      </c>
      <c r="DX34" s="14">
        <f t="shared" si="20"/>
        <v>10</v>
      </c>
      <c r="DY34" s="14">
        <f t="shared" si="21"/>
        <v>30</v>
      </c>
      <c r="DZ34" s="14">
        <f>INDEX(属性投放!$AX$6:$AX$85,(卡牌属性!DW34-2)*20+卡牌属性!DX34)</f>
        <v>7</v>
      </c>
      <c r="EA34" s="14">
        <f>INDEX(属性投放!BQ$6:BQ$85,卡牌属性!$DY34)</f>
        <v>175</v>
      </c>
      <c r="EB34" s="14">
        <f>INDEX(属性投放!BR$6:BR$85,卡牌属性!$DY34)</f>
        <v>88</v>
      </c>
      <c r="EC34" s="14">
        <f>INDEX(属性投放!BS$6:BS$85,卡牌属性!$DY34)</f>
        <v>1575</v>
      </c>
      <c r="ED34" s="14">
        <f t="shared" si="105"/>
        <v>1645</v>
      </c>
      <c r="EE34" s="14">
        <f t="shared" si="106"/>
        <v>1816</v>
      </c>
      <c r="EF34" s="14">
        <f t="shared" si="107"/>
        <v>1929</v>
      </c>
      <c r="EG34" s="14">
        <f t="shared" si="108"/>
        <v>1929</v>
      </c>
      <c r="EH34" s="14">
        <f t="shared" si="109"/>
        <v>2338</v>
      </c>
      <c r="EI34" s="14">
        <f t="shared" si="110"/>
        <v>874</v>
      </c>
      <c r="EJ34" s="14">
        <f t="shared" si="111"/>
        <v>930</v>
      </c>
      <c r="EK34" s="14">
        <f t="shared" si="112"/>
        <v>930</v>
      </c>
      <c r="EL34" s="14">
        <f t="shared" si="113"/>
        <v>1140</v>
      </c>
      <c r="EM34" s="14">
        <f t="shared" si="114"/>
        <v>1229</v>
      </c>
      <c r="EN34" s="14">
        <f t="shared" si="115"/>
        <v>13241</v>
      </c>
      <c r="EO34" s="14">
        <f t="shared" si="116"/>
        <v>16173</v>
      </c>
      <c r="EP34" s="14">
        <f t="shared" si="117"/>
        <v>16173</v>
      </c>
      <c r="EQ34" s="14">
        <f t="shared" si="118"/>
        <v>17377</v>
      </c>
      <c r="ER34" s="14">
        <f t="shared" si="119"/>
        <v>18735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189</v>
      </c>
      <c r="FD34" s="14">
        <f>INDEX(属性偏向!$U$4:$U$243,(卡牌属性!$DV34-1+FD$3)*20+卡牌属性!$DX34)</f>
        <v>270</v>
      </c>
      <c r="FE34" s="14">
        <f>INDEX(属性偏向!$U$4:$U$243,(卡牌属性!$DV34-1+FE$3)*20+卡牌属性!$DX34)</f>
        <v>270</v>
      </c>
      <c r="FF34" s="14">
        <f>INDEX(属性偏向!$U$4:$U$243,(卡牌属性!$DV34-1+FF$3)*20+卡牌属性!$DX34)</f>
        <v>315</v>
      </c>
      <c r="FG34" s="14">
        <f>INDEX(属性偏向!$U$4:$U$243,(卡牌属性!$DV34-1+FG$3)*20+卡牌属性!$DX34)</f>
        <v>360</v>
      </c>
      <c r="FH34" s="14">
        <f>INDEX(属性投放!$BQ$6:$BQ$85,(卡牌属性!$DW34-2)*20+卡牌属性!$DX34)</f>
        <v>175</v>
      </c>
      <c r="FI34" s="14">
        <f>INDEX(属性投放!$BQ$6:$BQ$85,(卡牌属性!$DW34-2)*20+卡牌属性!$DX34)</f>
        <v>175</v>
      </c>
      <c r="FJ34" s="14">
        <f>INDEX(属性投放!$BQ$6:$BQ$85,(卡牌属性!$DW34-2)*20+卡牌属性!$DX34)</f>
        <v>175</v>
      </c>
      <c r="FK34" s="14">
        <f>INDEX(属性投放!$BQ$6:$BQ$85,(卡牌属性!$DW34-2)*20+卡牌属性!$DX34)</f>
        <v>175</v>
      </c>
      <c r="FL34" s="14">
        <f>INDEX(属性投放!$BQ$6:$BQ$85,(卡牌属性!$DW34-2)*20+卡牌属性!$DX34)</f>
        <v>175</v>
      </c>
      <c r="FM34" s="14">
        <f>INDEX(属性投放!$BR$6:$BR$85,(卡牌属性!$DW34-2)*20+卡牌属性!$DX34)</f>
        <v>88</v>
      </c>
      <c r="FN34" s="14">
        <f>INDEX(属性投放!$BR$6:$BR$85,(卡牌属性!$DW34-2)*20+卡牌属性!$DX34)</f>
        <v>88</v>
      </c>
      <c r="FO34" s="14">
        <f>INDEX(属性投放!$BR$6:$BR$85,(卡牌属性!$DW34-2)*20+卡牌属性!$DX34)</f>
        <v>88</v>
      </c>
      <c r="FP34" s="14">
        <f>INDEX(属性投放!$BR$6:$BR$85,(卡牌属性!$DW34-2)*20+卡牌属性!$DX34)</f>
        <v>88</v>
      </c>
      <c r="FQ34" s="14">
        <f>INDEX(属性投放!$BR$6:$BR$85,(卡牌属性!$DW34-2)*20+卡牌属性!$DX34)</f>
        <v>88</v>
      </c>
      <c r="FR34" s="14">
        <f>INDEX(属性投放!$BS$6:$BS$85,(卡牌属性!$DW34-2)*20+卡牌属性!$DX34)</f>
        <v>1575</v>
      </c>
      <c r="FS34" s="14">
        <f>INDEX(属性投放!$BS$6:$BS$85,(卡牌属性!$DW34-2)*20+卡牌属性!$DX34)</f>
        <v>1575</v>
      </c>
      <c r="FT34" s="14">
        <f>INDEX(属性投放!$BS$6:$BS$85,(卡牌属性!$DW34-2)*20+卡牌属性!$DX34)</f>
        <v>1575</v>
      </c>
      <c r="FU34" s="14">
        <f>INDEX(属性投放!$BS$6:$BS$85,(卡牌属性!$DW34-2)*20+卡牌属性!$DX34)</f>
        <v>1575</v>
      </c>
      <c r="FV34" s="14">
        <f>INDEX(属性投放!$BS$6:$BS$85,(卡牌属性!$DW34-2)*20+卡牌属性!$DX34)</f>
        <v>1575</v>
      </c>
      <c r="FZ34" s="13">
        <v>30</v>
      </c>
      <c r="GA34" s="13">
        <f t="shared" si="22"/>
        <v>6</v>
      </c>
      <c r="GB34" s="14">
        <f t="shared" si="56"/>
        <v>1102006</v>
      </c>
      <c r="GC34" s="14" t="s">
        <v>1187</v>
      </c>
      <c r="GD34" s="14">
        <f t="shared" si="23"/>
        <v>5</v>
      </c>
      <c r="GE34" s="14" t="str">
        <f t="shared" si="24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5"/>
        <v>6</v>
      </c>
      <c r="GP34" s="14">
        <f t="shared" si="57"/>
        <v>1101006</v>
      </c>
      <c r="GQ34" s="14" t="s">
        <v>1187</v>
      </c>
      <c r="GR34" s="14">
        <f t="shared" si="26"/>
        <v>5</v>
      </c>
      <c r="GS34" s="14" t="str">
        <f t="shared" si="27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MATCH(HC34,属性投放!$AO$6:$AO$58,1)-1</f>
        <v>6</v>
      </c>
      <c r="HF34" s="13">
        <f>MATCH(HC34-1,属性投放!$AE$6:$AE$26,1)</f>
        <v>4</v>
      </c>
      <c r="HG34" s="13" t="str">
        <f>INDEX(属性投放!$AB$7:$AB$26,卡牌属性!HF34)</f>
        <v>众合</v>
      </c>
      <c r="HH34" s="14">
        <f t="shared" si="58"/>
        <v>703</v>
      </c>
      <c r="HI34" s="14">
        <f t="shared" si="59"/>
        <v>258</v>
      </c>
      <c r="HJ34" s="14">
        <f t="shared" si="60"/>
        <v>3260</v>
      </c>
      <c r="HK34" s="14">
        <f t="shared" si="61"/>
        <v>20</v>
      </c>
      <c r="HL34" s="14">
        <f t="shared" si="62"/>
        <v>7</v>
      </c>
      <c r="HM34" s="14">
        <f t="shared" si="63"/>
        <v>91</v>
      </c>
      <c r="HN34" s="14">
        <f>HH34+HK34*($HC34-INDEX(属性投放!$AE$6:$AE$26,卡牌属性!$HF34))</f>
        <v>803</v>
      </c>
      <c r="HO34" s="14">
        <f>HI34+HL34*($HC34-INDEX(属性投放!$AE$6:$AE$26,卡牌属性!$HF34))</f>
        <v>293</v>
      </c>
      <c r="HP34" s="14">
        <f>HJ34+HM34*($HC34-INDEX(属性投放!$AE$6:$AE$26,卡牌属性!$HF34))</f>
        <v>3715</v>
      </c>
      <c r="HQ34" s="14">
        <f t="shared" si="64"/>
        <v>200</v>
      </c>
      <c r="HR34" s="14">
        <f t="shared" si="65"/>
        <v>102</v>
      </c>
      <c r="HS34" s="14">
        <f t="shared" si="66"/>
        <v>1245</v>
      </c>
      <c r="HT34" s="14">
        <f>IF(COUNTIF(属性投放!$AO$7:$AO$58,"="&amp;卡牌属性!HC34)&gt;0,卡牌属性!HE34,0)</f>
        <v>0</v>
      </c>
      <c r="HU34" s="14">
        <f t="shared" si="67"/>
        <v>0</v>
      </c>
      <c r="HV34" s="14">
        <f t="shared" si="68"/>
        <v>0</v>
      </c>
      <c r="HW34" s="14">
        <f t="shared" si="69"/>
        <v>0</v>
      </c>
      <c r="HX34" s="14">
        <f>IF(COUNTIF(属性投放!$AE$6:$AE$26,"="&amp;卡牌属性!HC34)&gt;0,卡牌属性!HF34,0)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20</v>
      </c>
      <c r="IC34" s="14">
        <f t="shared" si="74"/>
        <v>7</v>
      </c>
      <c r="ID34" s="14">
        <f t="shared" si="75"/>
        <v>91</v>
      </c>
      <c r="IE34" s="14">
        <f t="shared" si="76"/>
        <v>1003</v>
      </c>
      <c r="IF34" s="14">
        <f t="shared" si="77"/>
        <v>395</v>
      </c>
      <c r="IG34" s="14">
        <f t="shared" si="78"/>
        <v>4960</v>
      </c>
      <c r="IH34" s="14">
        <f t="shared" si="79"/>
        <v>431</v>
      </c>
      <c r="II34" s="14">
        <f t="shared" si="80"/>
        <v>0</v>
      </c>
      <c r="IJ34" s="14">
        <f t="shared" si="81"/>
        <v>0</v>
      </c>
      <c r="IK34" s="14">
        <f t="shared" si="82"/>
        <v>22890</v>
      </c>
      <c r="IL34" s="17">
        <f t="shared" si="83"/>
        <v>1.8829183049366535E-2</v>
      </c>
      <c r="IM34" s="17">
        <f t="shared" si="84"/>
        <v>0</v>
      </c>
      <c r="IN34" s="17">
        <f t="shared" si="85"/>
        <v>0</v>
      </c>
      <c r="IO34" s="23">
        <f>SUM(IH$5:IH34)</f>
        <v>10395</v>
      </c>
      <c r="IP34" s="14">
        <f>SUM(II$5:II34)</f>
        <v>5285</v>
      </c>
      <c r="IQ34" s="14">
        <f>SUM(IJ$5:IJ34)</f>
        <v>1960</v>
      </c>
      <c r="IR34" s="17">
        <f t="shared" si="86"/>
        <v>0.45412844036697247</v>
      </c>
      <c r="IS34" s="17">
        <f t="shared" si="87"/>
        <v>0.23088685015290519</v>
      </c>
      <c r="IT34" s="17">
        <f t="shared" si="88"/>
        <v>8.5626911314984705E-2</v>
      </c>
      <c r="IW34" s="13">
        <v>30</v>
      </c>
      <c r="IX34" s="14">
        <f>MATCH(IW34-1,属性投放!$T$6:$T$66,1)</f>
        <v>1</v>
      </c>
      <c r="IY34" s="14">
        <f>MATCH(IW34-1,属性投放!$AD$7:$AD$26,1)</f>
        <v>3</v>
      </c>
      <c r="IZ34" s="14" t="str">
        <f>INDEX(属性投放!$AB$7:$AB$26,IY34)</f>
        <v>黑绳+1</v>
      </c>
      <c r="JA34" s="14">
        <f t="shared" si="89"/>
        <v>189</v>
      </c>
      <c r="JB34" s="14">
        <f t="shared" si="90"/>
        <v>45</v>
      </c>
      <c r="JC34" s="14">
        <f t="shared" si="91"/>
        <v>784</v>
      </c>
      <c r="JD34" s="14">
        <f t="shared" si="92"/>
        <v>12</v>
      </c>
      <c r="JE34" s="14">
        <f t="shared" si="93"/>
        <v>6</v>
      </c>
      <c r="JF34" s="14">
        <f t="shared" si="94"/>
        <v>70</v>
      </c>
      <c r="JG34" s="14">
        <f>INDEX(属性投放!$DC$6:$DC$85,卡牌属性!IY34)</f>
        <v>10</v>
      </c>
      <c r="JH34" s="14">
        <f t="shared" si="95"/>
        <v>429</v>
      </c>
      <c r="JI34" s="14">
        <f t="shared" si="96"/>
        <v>165</v>
      </c>
      <c r="JJ34" s="14">
        <f t="shared" si="97"/>
        <v>2184</v>
      </c>
      <c r="JK34" s="14">
        <f t="shared" si="98"/>
        <v>5979</v>
      </c>
    </row>
    <row r="35" spans="14:271" ht="16.5" x14ac:dyDescent="0.2">
      <c r="N35" s="13">
        <v>1102998</v>
      </c>
      <c r="O35" s="13" t="s">
        <v>1424</v>
      </c>
      <c r="P35" s="13">
        <v>2</v>
      </c>
      <c r="Q35" s="13">
        <v>3</v>
      </c>
      <c r="R35" s="13">
        <v>20</v>
      </c>
      <c r="S35" s="14">
        <f>SUM(R$5:R35)</f>
        <v>600</v>
      </c>
      <c r="T35" s="13">
        <v>52</v>
      </c>
      <c r="U35" s="14">
        <f>SUM(T$5:T35)</f>
        <v>1560</v>
      </c>
      <c r="V35" s="13" t="s">
        <v>1418</v>
      </c>
      <c r="W35" s="13" t="s">
        <v>1419</v>
      </c>
      <c r="X35" s="13" t="s">
        <v>1420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20"/>
        <v>15</v>
      </c>
      <c r="AE35" s="13">
        <v>31</v>
      </c>
      <c r="AF35" s="13">
        <f t="shared" si="31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142</v>
      </c>
      <c r="AM35" s="14">
        <v>1</v>
      </c>
      <c r="AN35" s="14">
        <f t="shared" si="5"/>
        <v>11</v>
      </c>
      <c r="AO35" s="14">
        <f>INDEX(属性投放!$DF$6:$DF$85,(卡牌属性!AG35-2)*20+卡牌属性!AN35)</f>
        <v>2140</v>
      </c>
      <c r="AP35" s="14">
        <f t="shared" si="99"/>
        <v>2140</v>
      </c>
      <c r="AQ35" s="14">
        <f t="shared" si="99"/>
        <v>2140</v>
      </c>
      <c r="AR35" s="14">
        <f t="shared" si="99"/>
        <v>2140</v>
      </c>
      <c r="AS35" s="14">
        <f t="shared" si="99"/>
        <v>2140</v>
      </c>
      <c r="AT35" s="14">
        <f>INDEX(属性投放!$DG$6:$DG$85,(卡牌属性!AG35-2)*20+卡牌属性!AN35)</f>
        <v>1020</v>
      </c>
      <c r="AU35" s="14">
        <f t="shared" si="100"/>
        <v>1020</v>
      </c>
      <c r="AV35" s="14">
        <f t="shared" si="100"/>
        <v>1020</v>
      </c>
      <c r="AW35" s="14">
        <f t="shared" si="100"/>
        <v>1020</v>
      </c>
      <c r="AX35" s="14">
        <f t="shared" si="100"/>
        <v>1020</v>
      </c>
      <c r="AY35" s="14">
        <f>INDEX(属性投放!$DH$6:$DH$85,(卡牌属性!AG35-2)*20+卡牌属性!AN35)</f>
        <v>15492</v>
      </c>
      <c r="AZ35" s="14">
        <f t="shared" si="101"/>
        <v>15492</v>
      </c>
      <c r="BA35" s="14">
        <f t="shared" si="101"/>
        <v>15492</v>
      </c>
      <c r="BB35" s="14">
        <f t="shared" si="101"/>
        <v>15492</v>
      </c>
      <c r="BC35" s="14">
        <f t="shared" si="101"/>
        <v>15492</v>
      </c>
      <c r="BD35" s="14">
        <f>INDEX(属性投放!$DL$6:$DL$85,(卡牌属性!AG35-2)*20+卡牌属性!AN35)</f>
        <v>76</v>
      </c>
      <c r="BE35" s="14">
        <f t="shared" si="102"/>
        <v>76</v>
      </c>
      <c r="BF35" s="14">
        <f t="shared" si="102"/>
        <v>76</v>
      </c>
      <c r="BG35" s="14">
        <f t="shared" si="102"/>
        <v>76</v>
      </c>
      <c r="BH35" s="14">
        <f t="shared" si="102"/>
        <v>76</v>
      </c>
      <c r="BI35" s="14">
        <f>INDEX(属性投放!$DM$6:$DM$85,(卡牌属性!AG35-2)*20+卡牌属性!AN35)</f>
        <v>38</v>
      </c>
      <c r="BJ35" s="14">
        <f t="shared" si="103"/>
        <v>38</v>
      </c>
      <c r="BK35" s="14">
        <f t="shared" si="103"/>
        <v>38</v>
      </c>
      <c r="BL35" s="14">
        <f t="shared" si="103"/>
        <v>38</v>
      </c>
      <c r="BM35" s="14">
        <f t="shared" si="103"/>
        <v>38</v>
      </c>
      <c r="BN35" s="14">
        <f>INDEX(属性投放!$DN$6:$DN$85,(卡牌属性!AG35-2)*20+卡牌属性!AN35)</f>
        <v>685</v>
      </c>
      <c r="BO35" s="14">
        <f t="shared" si="104"/>
        <v>685</v>
      </c>
      <c r="BP35" s="14">
        <f t="shared" si="104"/>
        <v>685</v>
      </c>
      <c r="BQ35" s="14">
        <f t="shared" si="104"/>
        <v>685</v>
      </c>
      <c r="BR35" s="14">
        <f t="shared" si="104"/>
        <v>685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32"/>
        <v>1102002</v>
      </c>
      <c r="CA35" s="14" t="str">
        <f t="shared" si="33"/>
        <v>许褚11突</v>
      </c>
      <c r="CB35" s="25" t="s">
        <v>142</v>
      </c>
      <c r="CC35" s="14">
        <v>2</v>
      </c>
      <c r="CD35" s="14">
        <f t="shared" si="14"/>
        <v>11</v>
      </c>
      <c r="CE35" s="14" t="s">
        <v>21</v>
      </c>
      <c r="CF35" s="14">
        <f>INDEX(属性投放!$AZ$6:$AZ$85,(BY35-2)*20+CD35)</f>
        <v>3501</v>
      </c>
      <c r="CG35" s="14" t="s">
        <v>22</v>
      </c>
      <c r="CH35" s="14">
        <f>INDEX(属性投放!$BA$6:$BA$85,(BY35-2)*20+CD35)</f>
        <v>1700</v>
      </c>
      <c r="CI35" s="14" t="s">
        <v>510</v>
      </c>
      <c r="CJ35" s="14">
        <f>INDEX(属性投放!$BB$6:$BB$85,(BY35-2)*20+CD35)</f>
        <v>26130</v>
      </c>
      <c r="CK35" s="14" t="s">
        <v>21</v>
      </c>
      <c r="CL35" s="14">
        <f>INDEX(属性投放!$BC$6:$BC$85,(BY35-2)*20+CD35)</f>
        <v>20</v>
      </c>
      <c r="CM35" s="14" t="s">
        <v>22</v>
      </c>
      <c r="CN35" s="14">
        <f>INDEX(属性投放!$BD$6:$BD$85,(BY35-2)*20+CD35)</f>
        <v>10</v>
      </c>
      <c r="CO35" s="14" t="s">
        <v>510</v>
      </c>
      <c r="CP35" s="14">
        <f>INDEX(属性投放!$BE$6:$BE$85,(BY35-2)*20+CD35)</f>
        <v>180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INDEX($O$6:$O$50,CT35)&amp;"-"&amp;INDEX(属性投放!$AB$7:$AB$50,CZ35)&amp;"-魂火-"&amp;DB35</f>
        <v>关羽-焦热+1-魂火-1</v>
      </c>
      <c r="CY35" s="25" t="s">
        <v>142</v>
      </c>
      <c r="CZ35" s="14">
        <f>INDEX(属性投放!$AM$7:$AM$58,CU35)</f>
        <v>14</v>
      </c>
      <c r="DA35" s="14" t="s">
        <v>537</v>
      </c>
      <c r="DB35" s="14">
        <f>INDEX(属性投放!$AN$7:$AN$58,CU35)</f>
        <v>1</v>
      </c>
      <c r="DC35" s="14">
        <f t="shared" si="16"/>
        <v>31</v>
      </c>
      <c r="DD35" s="14">
        <f>INDEX(属性投放!$AO$7:$AO$58,DC35)</f>
        <v>95</v>
      </c>
      <c r="DE35" s="14" t="s">
        <v>538</v>
      </c>
      <c r="DF35" s="14">
        <f>INDEX(属性投放!$BK$6:$BK$85,(CV35-2)*20+CZ35)</f>
        <v>365</v>
      </c>
      <c r="DG35" s="14">
        <f>SUMIFS(DF$5:DF35,$CT$5:$CT35,"="&amp;$CT35)</f>
        <v>4609</v>
      </c>
      <c r="DH35" s="14" t="s">
        <v>539</v>
      </c>
      <c r="DI35" s="14">
        <f>INDEX(属性投放!$BL$6:$BL$85,(CV35-2)*20+CZ35)</f>
        <v>183</v>
      </c>
      <c r="DJ35" s="14">
        <f>SUMIFS(DI$5:DI35,$CT$5:$CT35,"="&amp;$CT35)</f>
        <v>2309</v>
      </c>
      <c r="DK35" s="14" t="s">
        <v>540</v>
      </c>
      <c r="DL35" s="14">
        <f>INDEX(属性投放!$BM$6:$BM$85,(CV35-2)*20+CZ35)</f>
        <v>3650</v>
      </c>
      <c r="DM35" s="14">
        <f>SUMIFS(DL$5:DL35,$CT$5:$CT35,"="&amp;$CT35)</f>
        <v>40502</v>
      </c>
      <c r="DR35" s="14">
        <f t="shared" si="17"/>
        <v>1102002</v>
      </c>
      <c r="DS35" s="14" t="str">
        <f t="shared" si="18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19"/>
        <v>3</v>
      </c>
      <c r="DX35" s="14">
        <f t="shared" si="20"/>
        <v>11</v>
      </c>
      <c r="DY35" s="14">
        <f t="shared" si="21"/>
        <v>31</v>
      </c>
      <c r="DZ35" s="14">
        <f>INDEX(属性投放!$AX$6:$AX$85,(卡牌属性!DW35-2)*20+卡牌属性!DX35)</f>
        <v>8</v>
      </c>
      <c r="EA35" s="14">
        <f>INDEX(属性投放!BQ$6:BQ$85,卡牌属性!$DY35)</f>
        <v>240</v>
      </c>
      <c r="EB35" s="14">
        <f>INDEX(属性投放!BR$6:BR$85,卡牌属性!$DY35)</f>
        <v>120</v>
      </c>
      <c r="EC35" s="14">
        <f>INDEX(属性投放!BS$6:BS$85,卡牌属性!$DY35)</f>
        <v>2160</v>
      </c>
      <c r="ED35" s="14">
        <f t="shared" si="105"/>
        <v>1925</v>
      </c>
      <c r="EE35" s="14">
        <f t="shared" si="106"/>
        <v>2131</v>
      </c>
      <c r="EF35" s="14">
        <f t="shared" si="107"/>
        <v>2251</v>
      </c>
      <c r="EG35" s="14">
        <f t="shared" si="108"/>
        <v>2251</v>
      </c>
      <c r="EH35" s="14">
        <f t="shared" si="109"/>
        <v>2723</v>
      </c>
      <c r="EI35" s="14">
        <f t="shared" si="110"/>
        <v>1032</v>
      </c>
      <c r="EJ35" s="14">
        <f t="shared" si="111"/>
        <v>1095</v>
      </c>
      <c r="EK35" s="14">
        <f t="shared" si="112"/>
        <v>1095</v>
      </c>
      <c r="EL35" s="14">
        <f t="shared" si="113"/>
        <v>1333</v>
      </c>
      <c r="EM35" s="14">
        <f t="shared" si="114"/>
        <v>1443</v>
      </c>
      <c r="EN35" s="14">
        <f t="shared" si="115"/>
        <v>16139</v>
      </c>
      <c r="EO35" s="14">
        <f t="shared" si="116"/>
        <v>19638</v>
      </c>
      <c r="EP35" s="14">
        <f t="shared" si="117"/>
        <v>19638</v>
      </c>
      <c r="EQ35" s="14">
        <f t="shared" si="118"/>
        <v>21157</v>
      </c>
      <c r="ER35" s="14">
        <f t="shared" si="119"/>
        <v>22830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189</v>
      </c>
      <c r="FD35" s="14">
        <f>INDEX(属性偏向!$U$4:$U$243,(卡牌属性!$DV35-1+FD$3)*20+卡牌属性!$DX35)</f>
        <v>270</v>
      </c>
      <c r="FE35" s="14">
        <f>INDEX(属性偏向!$U$4:$U$243,(卡牌属性!$DV35-1+FE$3)*20+卡牌属性!$DX35)</f>
        <v>270</v>
      </c>
      <c r="FF35" s="14">
        <f>INDEX(属性偏向!$U$4:$U$243,(卡牌属性!$DV35-1+FF$3)*20+卡牌属性!$DX35)</f>
        <v>315</v>
      </c>
      <c r="FG35" s="14">
        <f>INDEX(属性偏向!$U$4:$U$243,(卡牌属性!$DV35-1+FG$3)*20+卡牌属性!$DX35)</f>
        <v>360</v>
      </c>
      <c r="FH35" s="14">
        <f>INDEX(属性投放!$BQ$6:$BQ$85,(卡牌属性!$DW35-2)*20+卡牌属性!$DX35)</f>
        <v>240</v>
      </c>
      <c r="FI35" s="14">
        <f>INDEX(属性投放!$BQ$6:$BQ$85,(卡牌属性!$DW35-2)*20+卡牌属性!$DX35)</f>
        <v>240</v>
      </c>
      <c r="FJ35" s="14">
        <f>INDEX(属性投放!$BQ$6:$BQ$85,(卡牌属性!$DW35-2)*20+卡牌属性!$DX35)</f>
        <v>240</v>
      </c>
      <c r="FK35" s="14">
        <f>INDEX(属性投放!$BQ$6:$BQ$85,(卡牌属性!$DW35-2)*20+卡牌属性!$DX35)</f>
        <v>240</v>
      </c>
      <c r="FL35" s="14">
        <f>INDEX(属性投放!$BQ$6:$BQ$85,(卡牌属性!$DW35-2)*20+卡牌属性!$DX35)</f>
        <v>240</v>
      </c>
      <c r="FM35" s="14">
        <f>INDEX(属性投放!$BR$6:$BR$85,(卡牌属性!$DW35-2)*20+卡牌属性!$DX35)</f>
        <v>120</v>
      </c>
      <c r="FN35" s="14">
        <f>INDEX(属性投放!$BR$6:$BR$85,(卡牌属性!$DW35-2)*20+卡牌属性!$DX35)</f>
        <v>120</v>
      </c>
      <c r="FO35" s="14">
        <f>INDEX(属性投放!$BR$6:$BR$85,(卡牌属性!$DW35-2)*20+卡牌属性!$DX35)</f>
        <v>120</v>
      </c>
      <c r="FP35" s="14">
        <f>INDEX(属性投放!$BR$6:$BR$85,(卡牌属性!$DW35-2)*20+卡牌属性!$DX35)</f>
        <v>120</v>
      </c>
      <c r="FQ35" s="14">
        <f>INDEX(属性投放!$BR$6:$BR$85,(卡牌属性!$DW35-2)*20+卡牌属性!$DX35)</f>
        <v>120</v>
      </c>
      <c r="FR35" s="14">
        <f>INDEX(属性投放!$BS$6:$BS$85,(卡牌属性!$DW35-2)*20+卡牌属性!$DX35)</f>
        <v>2160</v>
      </c>
      <c r="FS35" s="14">
        <f>INDEX(属性投放!$BS$6:$BS$85,(卡牌属性!$DW35-2)*20+卡牌属性!$DX35)</f>
        <v>2160</v>
      </c>
      <c r="FT35" s="14">
        <f>INDEX(属性投放!$BS$6:$BS$85,(卡牌属性!$DW35-2)*20+卡牌属性!$DX35)</f>
        <v>2160</v>
      </c>
      <c r="FU35" s="14">
        <f>INDEX(属性投放!$BS$6:$BS$85,(卡牌属性!$DW35-2)*20+卡牌属性!$DX35)</f>
        <v>2160</v>
      </c>
      <c r="FV35" s="14">
        <f>INDEX(属性投放!$BS$6:$BS$85,(卡牌属性!$DW35-2)*20+卡牌属性!$DX35)</f>
        <v>2160</v>
      </c>
      <c r="FZ35" s="13">
        <v>31</v>
      </c>
      <c r="GA35" s="13">
        <f t="shared" si="22"/>
        <v>7</v>
      </c>
      <c r="GB35" s="14">
        <f t="shared" si="56"/>
        <v>1102007</v>
      </c>
      <c r="GC35" s="14" t="s">
        <v>1187</v>
      </c>
      <c r="GD35" s="14">
        <f t="shared" si="23"/>
        <v>1</v>
      </c>
      <c r="GE35" s="14" t="str">
        <f t="shared" si="24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5"/>
        <v>7</v>
      </c>
      <c r="GP35" s="14">
        <f t="shared" si="57"/>
        <v>1101007</v>
      </c>
      <c r="GQ35" s="14" t="s">
        <v>1187</v>
      </c>
      <c r="GR35" s="14">
        <f t="shared" si="26"/>
        <v>1</v>
      </c>
      <c r="GS35" s="14" t="str">
        <f t="shared" si="27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MATCH(HC35,属性投放!$AO$6:$AO$58,1)-1</f>
        <v>6</v>
      </c>
      <c r="HF35" s="13">
        <f>MATCH(HC35-1,属性投放!$AE$6:$AE$26,1)</f>
        <v>4</v>
      </c>
      <c r="HG35" s="13" t="str">
        <f>INDEX(属性投放!$AB$7:$AB$26,卡牌属性!HF35)</f>
        <v>众合</v>
      </c>
      <c r="HH35" s="14">
        <f t="shared" si="58"/>
        <v>703</v>
      </c>
      <c r="HI35" s="14">
        <f t="shared" si="59"/>
        <v>258</v>
      </c>
      <c r="HJ35" s="14">
        <f t="shared" si="60"/>
        <v>3260</v>
      </c>
      <c r="HK35" s="14">
        <f t="shared" si="61"/>
        <v>20</v>
      </c>
      <c r="HL35" s="14">
        <f t="shared" si="62"/>
        <v>7</v>
      </c>
      <c r="HM35" s="14">
        <f t="shared" si="63"/>
        <v>91</v>
      </c>
      <c r="HN35" s="14">
        <f>HH35+HK35*($HC35-INDEX(属性投放!$AE$6:$AE$26,卡牌属性!$HF35))</f>
        <v>823</v>
      </c>
      <c r="HO35" s="14">
        <f>HI35+HL35*($HC35-INDEX(属性投放!$AE$6:$AE$26,卡牌属性!$HF35))</f>
        <v>300</v>
      </c>
      <c r="HP35" s="14">
        <f>HJ35+HM35*($HC35-INDEX(属性投放!$AE$6:$AE$26,卡牌属性!$HF35))</f>
        <v>3806</v>
      </c>
      <c r="HQ35" s="14">
        <f t="shared" si="64"/>
        <v>200</v>
      </c>
      <c r="HR35" s="14">
        <f t="shared" si="65"/>
        <v>102</v>
      </c>
      <c r="HS35" s="14">
        <f t="shared" si="66"/>
        <v>1245</v>
      </c>
      <c r="HT35" s="14">
        <f>IF(COUNTIF(属性投放!$AO$7:$AO$58,"="&amp;卡牌属性!HC35)&gt;0,卡牌属性!HE35,0)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IF(COUNTIF(属性投放!$AE$6:$AE$26,"="&amp;卡牌属性!HC35)&gt;0,卡牌属性!HF35,0)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20</v>
      </c>
      <c r="IC35" s="14">
        <f t="shared" si="74"/>
        <v>7</v>
      </c>
      <c r="ID35" s="14">
        <f t="shared" si="75"/>
        <v>91</v>
      </c>
      <c r="IE35" s="14">
        <f t="shared" si="76"/>
        <v>1023</v>
      </c>
      <c r="IF35" s="14">
        <f t="shared" si="77"/>
        <v>402</v>
      </c>
      <c r="IG35" s="14">
        <f t="shared" si="78"/>
        <v>5051</v>
      </c>
      <c r="IH35" s="14">
        <f t="shared" si="79"/>
        <v>431</v>
      </c>
      <c r="II35" s="14">
        <f t="shared" si="80"/>
        <v>0</v>
      </c>
      <c r="IJ35" s="14">
        <f t="shared" si="81"/>
        <v>0</v>
      </c>
      <c r="IK35" s="14">
        <f t="shared" si="82"/>
        <v>23321</v>
      </c>
      <c r="IL35" s="17">
        <f t="shared" si="83"/>
        <v>1.8481197204236525E-2</v>
      </c>
      <c r="IM35" s="17">
        <f t="shared" si="84"/>
        <v>0</v>
      </c>
      <c r="IN35" s="17">
        <f t="shared" si="85"/>
        <v>0</v>
      </c>
      <c r="IO35" s="23">
        <f>SUM(IH$5:IH35)</f>
        <v>10826</v>
      </c>
      <c r="IP35" s="14">
        <f>SUM(II$5:II35)</f>
        <v>5285</v>
      </c>
      <c r="IQ35" s="14">
        <f>SUM(IJ$5:IJ35)</f>
        <v>1960</v>
      </c>
      <c r="IR35" s="17">
        <f t="shared" si="86"/>
        <v>0.46421680030873463</v>
      </c>
      <c r="IS35" s="17">
        <f t="shared" si="87"/>
        <v>0.22661978474336436</v>
      </c>
      <c r="IT35" s="17">
        <f t="shared" si="88"/>
        <v>8.4044423480982802E-2</v>
      </c>
      <c r="IW35" s="13">
        <v>31</v>
      </c>
      <c r="IX35" s="14">
        <f>MATCH(IW35-1,属性投放!$T$6:$T$66,1)</f>
        <v>1</v>
      </c>
      <c r="IY35" s="14">
        <f>MATCH(IW35-1,属性投放!$AD$7:$AD$26,1)</f>
        <v>4</v>
      </c>
      <c r="IZ35" s="14" t="str">
        <f>INDEX(属性投放!$AB$7:$AB$26,IY35)</f>
        <v>众合</v>
      </c>
      <c r="JA35" s="14">
        <f t="shared" si="89"/>
        <v>338</v>
      </c>
      <c r="JB35" s="14">
        <f t="shared" si="90"/>
        <v>120</v>
      </c>
      <c r="JC35" s="14">
        <f t="shared" si="91"/>
        <v>1658</v>
      </c>
      <c r="JD35" s="14">
        <f t="shared" si="92"/>
        <v>22</v>
      </c>
      <c r="JE35" s="14">
        <f t="shared" si="93"/>
        <v>11</v>
      </c>
      <c r="JF35" s="14">
        <f t="shared" si="94"/>
        <v>153</v>
      </c>
      <c r="JG35" s="14">
        <f>INDEX(属性投放!$DC$6:$DC$85,卡牌属性!IY35)</f>
        <v>20</v>
      </c>
      <c r="JH35" s="14">
        <f t="shared" si="95"/>
        <v>580</v>
      </c>
      <c r="JI35" s="14">
        <f t="shared" si="96"/>
        <v>241</v>
      </c>
      <c r="JJ35" s="14">
        <f t="shared" si="97"/>
        <v>3341</v>
      </c>
      <c r="JK35" s="14">
        <f t="shared" si="98"/>
        <v>8651</v>
      </c>
    </row>
    <row r="36" spans="14:271" ht="16.5" x14ac:dyDescent="0.2">
      <c r="N36" s="13">
        <v>1102997</v>
      </c>
      <c r="O36" s="13" t="s">
        <v>1425</v>
      </c>
      <c r="P36" s="13">
        <v>2</v>
      </c>
      <c r="Q36" s="13">
        <v>4</v>
      </c>
      <c r="R36" s="13">
        <v>20</v>
      </c>
      <c r="S36" s="14">
        <f>SUM(R$5:R36)</f>
        <v>620</v>
      </c>
      <c r="T36" s="13">
        <v>52</v>
      </c>
      <c r="U36" s="14">
        <f>SUM(T$5:T36)</f>
        <v>1612</v>
      </c>
      <c r="V36" s="13" t="s">
        <v>561</v>
      </c>
      <c r="W36" s="13" t="s">
        <v>1421</v>
      </c>
      <c r="X36" s="13" t="s">
        <v>1421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20"/>
        <v>19</v>
      </c>
      <c r="AE36" s="13">
        <v>32</v>
      </c>
      <c r="AF36" s="13">
        <f t="shared" si="31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142</v>
      </c>
      <c r="AM36" s="14">
        <v>1</v>
      </c>
      <c r="AN36" s="14">
        <f t="shared" si="5"/>
        <v>12</v>
      </c>
      <c r="AO36" s="14">
        <f>INDEX(属性投放!$DF$6:$DF$85,(卡牌属性!AG36-2)*20+卡牌属性!AN36)</f>
        <v>2357</v>
      </c>
      <c r="AP36" s="14">
        <f t="shared" si="99"/>
        <v>2357</v>
      </c>
      <c r="AQ36" s="14">
        <f t="shared" si="99"/>
        <v>2357</v>
      </c>
      <c r="AR36" s="14">
        <f t="shared" si="99"/>
        <v>2357</v>
      </c>
      <c r="AS36" s="14">
        <f t="shared" si="99"/>
        <v>2357</v>
      </c>
      <c r="AT36" s="14">
        <f>INDEX(属性投放!$DG$6:$DG$85,(卡牌属性!AG36-2)*20+卡牌属性!AN36)</f>
        <v>1129</v>
      </c>
      <c r="AU36" s="14">
        <f t="shared" si="100"/>
        <v>1129</v>
      </c>
      <c r="AV36" s="14">
        <f t="shared" si="100"/>
        <v>1129</v>
      </c>
      <c r="AW36" s="14">
        <f t="shared" si="100"/>
        <v>1129</v>
      </c>
      <c r="AX36" s="14">
        <f t="shared" si="100"/>
        <v>1129</v>
      </c>
      <c r="AY36" s="14">
        <f>INDEX(属性投放!$DH$6:$DH$85,(卡牌属性!AG36-2)*20+卡牌属性!AN36)</f>
        <v>17449</v>
      </c>
      <c r="AZ36" s="14">
        <f t="shared" si="101"/>
        <v>17449</v>
      </c>
      <c r="BA36" s="14">
        <f t="shared" si="101"/>
        <v>17449</v>
      </c>
      <c r="BB36" s="14">
        <f t="shared" si="101"/>
        <v>17449</v>
      </c>
      <c r="BC36" s="14">
        <f t="shared" si="101"/>
        <v>17449</v>
      </c>
      <c r="BD36" s="14">
        <f>INDEX(属性投放!$DL$6:$DL$85,(卡牌属性!AG36-2)*20+卡牌属性!AN36)</f>
        <v>76</v>
      </c>
      <c r="BE36" s="14">
        <f t="shared" si="102"/>
        <v>76</v>
      </c>
      <c r="BF36" s="14">
        <f t="shared" si="102"/>
        <v>76</v>
      </c>
      <c r="BG36" s="14">
        <f t="shared" si="102"/>
        <v>76</v>
      </c>
      <c r="BH36" s="14">
        <f t="shared" si="102"/>
        <v>76</v>
      </c>
      <c r="BI36" s="14">
        <f>INDEX(属性投放!$DM$6:$DM$85,(卡牌属性!AG36-2)*20+卡牌属性!AN36)</f>
        <v>38</v>
      </c>
      <c r="BJ36" s="14">
        <f t="shared" si="103"/>
        <v>38</v>
      </c>
      <c r="BK36" s="14">
        <f t="shared" si="103"/>
        <v>38</v>
      </c>
      <c r="BL36" s="14">
        <f t="shared" si="103"/>
        <v>38</v>
      </c>
      <c r="BM36" s="14">
        <f t="shared" si="103"/>
        <v>38</v>
      </c>
      <c r="BN36" s="14">
        <f>INDEX(属性投放!$DN$6:$DN$85,(卡牌属性!AG36-2)*20+卡牌属性!AN36)</f>
        <v>685</v>
      </c>
      <c r="BO36" s="14">
        <f t="shared" si="104"/>
        <v>685</v>
      </c>
      <c r="BP36" s="14">
        <f t="shared" si="104"/>
        <v>685</v>
      </c>
      <c r="BQ36" s="14">
        <f t="shared" si="104"/>
        <v>685</v>
      </c>
      <c r="BR36" s="14">
        <f t="shared" si="104"/>
        <v>685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32"/>
        <v>1102002</v>
      </c>
      <c r="CA36" s="14" t="str">
        <f t="shared" si="33"/>
        <v>许褚12突</v>
      </c>
      <c r="CB36" s="25" t="s">
        <v>142</v>
      </c>
      <c r="CC36" s="14">
        <v>2</v>
      </c>
      <c r="CD36" s="14">
        <f t="shared" si="14"/>
        <v>12</v>
      </c>
      <c r="CE36" s="14" t="s">
        <v>21</v>
      </c>
      <c r="CF36" s="14">
        <f>INDEX(属性投放!$AZ$6:$AZ$85,(BY36-2)*20+CD36)</f>
        <v>4351</v>
      </c>
      <c r="CG36" s="14" t="s">
        <v>22</v>
      </c>
      <c r="CH36" s="14">
        <f>INDEX(属性投放!$BA$6:$BA$85,(BY36-2)*20+CD36)</f>
        <v>2125</v>
      </c>
      <c r="CI36" s="14" t="s">
        <v>510</v>
      </c>
      <c r="CJ36" s="14">
        <f>INDEX(属性投放!$BB$6:$BB$85,(BY36-2)*20+CD36)</f>
        <v>33780</v>
      </c>
      <c r="CK36" s="14" t="s">
        <v>21</v>
      </c>
      <c r="CL36" s="14">
        <f>INDEX(属性投放!$BC$6:$BC$85,(BY36-2)*20+CD36)</f>
        <v>20</v>
      </c>
      <c r="CM36" s="14" t="s">
        <v>22</v>
      </c>
      <c r="CN36" s="14">
        <f>INDEX(属性投放!$BD$6:$BD$85,(BY36-2)*20+CD36)</f>
        <v>10</v>
      </c>
      <c r="CO36" s="14" t="s">
        <v>510</v>
      </c>
      <c r="CP36" s="14">
        <f>INDEX(属性投放!$BE$6:$BE$85,(BY36-2)*20+CD36)</f>
        <v>180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INDEX($O$6:$O$50,CT36)&amp;"-"&amp;INDEX(属性投放!$AB$7:$AB$50,CZ36)&amp;"-魂火-"&amp;DB36</f>
        <v>关羽-焦热+1-魂火-2</v>
      </c>
      <c r="CY36" s="25" t="s">
        <v>142</v>
      </c>
      <c r="CZ36" s="14">
        <f>INDEX(属性投放!$AM$7:$AM$58,CU36)</f>
        <v>14</v>
      </c>
      <c r="DA36" s="14" t="s">
        <v>537</v>
      </c>
      <c r="DB36" s="14">
        <f>INDEX(属性投放!$AN$7:$AN$58,CU36)</f>
        <v>2</v>
      </c>
      <c r="DC36" s="14">
        <f t="shared" si="16"/>
        <v>32</v>
      </c>
      <c r="DD36" s="14">
        <f>INDEX(属性投放!$AO$7:$AO$58,DC36)</f>
        <v>98</v>
      </c>
      <c r="DE36" s="14" t="s">
        <v>538</v>
      </c>
      <c r="DF36" s="14">
        <f>INDEX(属性投放!$BK$6:$BK$85,(CV36-2)*20+CZ36)</f>
        <v>365</v>
      </c>
      <c r="DG36" s="14">
        <f>SUMIFS(DF$5:DF36,$CT$5:$CT36,"="&amp;$CT36)</f>
        <v>4974</v>
      </c>
      <c r="DH36" s="14" t="s">
        <v>539</v>
      </c>
      <c r="DI36" s="14">
        <f>INDEX(属性投放!$BL$6:$BL$85,(CV36-2)*20+CZ36)</f>
        <v>183</v>
      </c>
      <c r="DJ36" s="14">
        <f>SUMIFS(DI$5:DI36,$CT$5:$CT36,"="&amp;$CT36)</f>
        <v>2492</v>
      </c>
      <c r="DK36" s="14" t="s">
        <v>540</v>
      </c>
      <c r="DL36" s="14">
        <f>INDEX(属性投放!$BM$6:$BM$85,(CV36-2)*20+CZ36)</f>
        <v>3650</v>
      </c>
      <c r="DM36" s="14">
        <f>SUMIFS(DL$5:DL36,$CT$5:$CT36,"="&amp;$CT36)</f>
        <v>44152</v>
      </c>
      <c r="DR36" s="14">
        <f t="shared" si="17"/>
        <v>1102002</v>
      </c>
      <c r="DS36" s="14" t="str">
        <f t="shared" si="18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19"/>
        <v>3</v>
      </c>
      <c r="DX36" s="14">
        <f t="shared" si="20"/>
        <v>12</v>
      </c>
      <c r="DY36" s="14">
        <f t="shared" si="21"/>
        <v>32</v>
      </c>
      <c r="DZ36" s="14">
        <f>INDEX(属性投放!$AX$6:$AX$85,(卡牌属性!DW36-2)*20+卡牌属性!DX36)</f>
        <v>7</v>
      </c>
      <c r="EA36" s="14">
        <f>INDEX(属性投放!BQ$6:BQ$85,卡牌属性!$DY36)</f>
        <v>350</v>
      </c>
      <c r="EB36" s="14">
        <f>INDEX(属性投放!BR$6:BR$85,卡牌属性!$DY36)</f>
        <v>175</v>
      </c>
      <c r="EC36" s="14">
        <f>INDEX(属性投放!BS$6:BS$85,卡牌属性!$DY36)</f>
        <v>3150</v>
      </c>
      <c r="ED36" s="14">
        <f t="shared" si="105"/>
        <v>2285</v>
      </c>
      <c r="EE36" s="14">
        <f t="shared" si="106"/>
        <v>2531</v>
      </c>
      <c r="EF36" s="14">
        <f t="shared" si="107"/>
        <v>2659</v>
      </c>
      <c r="EG36" s="14">
        <f t="shared" si="108"/>
        <v>2659</v>
      </c>
      <c r="EH36" s="14">
        <f t="shared" si="109"/>
        <v>3203</v>
      </c>
      <c r="EI36" s="14">
        <f t="shared" si="110"/>
        <v>1232</v>
      </c>
      <c r="EJ36" s="14">
        <f t="shared" si="111"/>
        <v>1303</v>
      </c>
      <c r="EK36" s="14">
        <f t="shared" si="112"/>
        <v>1303</v>
      </c>
      <c r="EL36" s="14">
        <f t="shared" si="113"/>
        <v>1573</v>
      </c>
      <c r="EM36" s="14">
        <f t="shared" si="114"/>
        <v>1707</v>
      </c>
      <c r="EN36" s="14">
        <f t="shared" si="115"/>
        <v>19811</v>
      </c>
      <c r="EO36" s="14">
        <f t="shared" si="116"/>
        <v>23958</v>
      </c>
      <c r="EP36" s="14">
        <f t="shared" si="117"/>
        <v>23958</v>
      </c>
      <c r="EQ36" s="14">
        <f t="shared" si="118"/>
        <v>25837</v>
      </c>
      <c r="ER36" s="14">
        <f t="shared" si="119"/>
        <v>27870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189</v>
      </c>
      <c r="FD36" s="14">
        <f>INDEX(属性偏向!$U$4:$U$243,(卡牌属性!$DV36-1+FD$3)*20+卡牌属性!$DX36)</f>
        <v>270</v>
      </c>
      <c r="FE36" s="14">
        <f>INDEX(属性偏向!$U$4:$U$243,(卡牌属性!$DV36-1+FE$3)*20+卡牌属性!$DX36)</f>
        <v>270</v>
      </c>
      <c r="FF36" s="14">
        <f>INDEX(属性偏向!$U$4:$U$243,(卡牌属性!$DV36-1+FF$3)*20+卡牌属性!$DX36)</f>
        <v>315</v>
      </c>
      <c r="FG36" s="14">
        <f>INDEX(属性偏向!$U$4:$U$243,(卡牌属性!$DV36-1+FG$3)*20+卡牌属性!$DX36)</f>
        <v>360</v>
      </c>
      <c r="FH36" s="14">
        <f>INDEX(属性投放!$BQ$6:$BQ$85,(卡牌属性!$DW36-2)*20+卡牌属性!$DX36)</f>
        <v>350</v>
      </c>
      <c r="FI36" s="14">
        <f>INDEX(属性投放!$BQ$6:$BQ$85,(卡牌属性!$DW36-2)*20+卡牌属性!$DX36)</f>
        <v>350</v>
      </c>
      <c r="FJ36" s="14">
        <f>INDEX(属性投放!$BQ$6:$BQ$85,(卡牌属性!$DW36-2)*20+卡牌属性!$DX36)</f>
        <v>350</v>
      </c>
      <c r="FK36" s="14">
        <f>INDEX(属性投放!$BQ$6:$BQ$85,(卡牌属性!$DW36-2)*20+卡牌属性!$DX36)</f>
        <v>350</v>
      </c>
      <c r="FL36" s="14">
        <f>INDEX(属性投放!$BQ$6:$BQ$85,(卡牌属性!$DW36-2)*20+卡牌属性!$DX36)</f>
        <v>350</v>
      </c>
      <c r="FM36" s="14">
        <f>INDEX(属性投放!$BR$6:$BR$85,(卡牌属性!$DW36-2)*20+卡牌属性!$DX36)</f>
        <v>175</v>
      </c>
      <c r="FN36" s="14">
        <f>INDEX(属性投放!$BR$6:$BR$85,(卡牌属性!$DW36-2)*20+卡牌属性!$DX36)</f>
        <v>175</v>
      </c>
      <c r="FO36" s="14">
        <f>INDEX(属性投放!$BR$6:$BR$85,(卡牌属性!$DW36-2)*20+卡牌属性!$DX36)</f>
        <v>175</v>
      </c>
      <c r="FP36" s="14">
        <f>INDEX(属性投放!$BR$6:$BR$85,(卡牌属性!$DW36-2)*20+卡牌属性!$DX36)</f>
        <v>175</v>
      </c>
      <c r="FQ36" s="14">
        <f>INDEX(属性投放!$BR$6:$BR$85,(卡牌属性!$DW36-2)*20+卡牌属性!$DX36)</f>
        <v>175</v>
      </c>
      <c r="FR36" s="14">
        <f>INDEX(属性投放!$BS$6:$BS$85,(卡牌属性!$DW36-2)*20+卡牌属性!$DX36)</f>
        <v>3150</v>
      </c>
      <c r="FS36" s="14">
        <f>INDEX(属性投放!$BS$6:$BS$85,(卡牌属性!$DW36-2)*20+卡牌属性!$DX36)</f>
        <v>3150</v>
      </c>
      <c r="FT36" s="14">
        <f>INDEX(属性投放!$BS$6:$BS$85,(卡牌属性!$DW36-2)*20+卡牌属性!$DX36)</f>
        <v>3150</v>
      </c>
      <c r="FU36" s="14">
        <f>INDEX(属性投放!$BS$6:$BS$85,(卡牌属性!$DW36-2)*20+卡牌属性!$DX36)</f>
        <v>3150</v>
      </c>
      <c r="FV36" s="14">
        <f>INDEX(属性投放!$BS$6:$BS$85,(卡牌属性!$DW36-2)*20+卡牌属性!$DX36)</f>
        <v>3150</v>
      </c>
      <c r="FZ36" s="13">
        <v>32</v>
      </c>
      <c r="GA36" s="13">
        <f t="shared" si="22"/>
        <v>7</v>
      </c>
      <c r="GB36" s="14">
        <f t="shared" si="56"/>
        <v>1102007</v>
      </c>
      <c r="GC36" s="14" t="s">
        <v>1187</v>
      </c>
      <c r="GD36" s="14">
        <f t="shared" si="23"/>
        <v>2</v>
      </c>
      <c r="GE36" s="14" t="str">
        <f t="shared" si="24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5"/>
        <v>7</v>
      </c>
      <c r="GP36" s="14">
        <f t="shared" si="57"/>
        <v>1101007</v>
      </c>
      <c r="GQ36" s="14" t="s">
        <v>1187</v>
      </c>
      <c r="GR36" s="14">
        <f t="shared" si="26"/>
        <v>2</v>
      </c>
      <c r="GS36" s="14" t="str">
        <f t="shared" si="27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MATCH(HC36,属性投放!$AO$6:$AO$58,1)-1</f>
        <v>6</v>
      </c>
      <c r="HF36" s="13">
        <f>MATCH(HC36-1,属性投放!$AE$6:$AE$26,1)</f>
        <v>4</v>
      </c>
      <c r="HG36" s="13" t="str">
        <f>INDEX(属性投放!$AB$7:$AB$26,卡牌属性!HF36)</f>
        <v>众合</v>
      </c>
      <c r="HH36" s="14">
        <f t="shared" si="58"/>
        <v>703</v>
      </c>
      <c r="HI36" s="14">
        <f t="shared" si="59"/>
        <v>258</v>
      </c>
      <c r="HJ36" s="14">
        <f t="shared" si="60"/>
        <v>3260</v>
      </c>
      <c r="HK36" s="14">
        <f t="shared" si="61"/>
        <v>20</v>
      </c>
      <c r="HL36" s="14">
        <f t="shared" si="62"/>
        <v>7</v>
      </c>
      <c r="HM36" s="14">
        <f t="shared" si="63"/>
        <v>91</v>
      </c>
      <c r="HN36" s="14">
        <f>HH36+HK36*($HC36-INDEX(属性投放!$AE$6:$AE$26,卡牌属性!$HF36))</f>
        <v>843</v>
      </c>
      <c r="HO36" s="14">
        <f>HI36+HL36*($HC36-INDEX(属性投放!$AE$6:$AE$26,卡牌属性!$HF36))</f>
        <v>307</v>
      </c>
      <c r="HP36" s="14">
        <f>HJ36+HM36*($HC36-INDEX(属性投放!$AE$6:$AE$26,卡牌属性!$HF36))</f>
        <v>3897</v>
      </c>
      <c r="HQ36" s="14">
        <f t="shared" si="64"/>
        <v>200</v>
      </c>
      <c r="HR36" s="14">
        <f t="shared" si="65"/>
        <v>102</v>
      </c>
      <c r="HS36" s="14">
        <f t="shared" si="66"/>
        <v>1245</v>
      </c>
      <c r="HT36" s="14">
        <f>IF(COUNTIF(属性投放!$AO$7:$AO$58,"="&amp;卡牌属性!HC36)&gt;0,卡牌属性!HE36,0)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IF(COUNTIF(属性投放!$AE$6:$AE$26,"="&amp;卡牌属性!HC36)&gt;0,卡牌属性!HF36,0)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20</v>
      </c>
      <c r="IC36" s="14">
        <f t="shared" si="74"/>
        <v>7</v>
      </c>
      <c r="ID36" s="14">
        <f t="shared" si="75"/>
        <v>91</v>
      </c>
      <c r="IE36" s="14">
        <f t="shared" si="76"/>
        <v>1043</v>
      </c>
      <c r="IF36" s="14">
        <f t="shared" si="77"/>
        <v>409</v>
      </c>
      <c r="IG36" s="14">
        <f t="shared" si="78"/>
        <v>5142</v>
      </c>
      <c r="IH36" s="14">
        <f t="shared" si="79"/>
        <v>431</v>
      </c>
      <c r="II36" s="14">
        <f t="shared" si="80"/>
        <v>0</v>
      </c>
      <c r="IJ36" s="14">
        <f t="shared" si="81"/>
        <v>0</v>
      </c>
      <c r="IK36" s="14">
        <f t="shared" si="82"/>
        <v>23752</v>
      </c>
      <c r="IL36" s="17">
        <f t="shared" si="83"/>
        <v>1.8145840350286293E-2</v>
      </c>
      <c r="IM36" s="17">
        <f t="shared" si="84"/>
        <v>0</v>
      </c>
      <c r="IN36" s="17">
        <f t="shared" si="85"/>
        <v>0</v>
      </c>
      <c r="IO36" s="23">
        <f>SUM(IH$5:IH36)</f>
        <v>11257</v>
      </c>
      <c r="IP36" s="14">
        <f>SUM(II$5:II36)</f>
        <v>5285</v>
      </c>
      <c r="IQ36" s="14">
        <f>SUM(IJ$5:IJ36)</f>
        <v>1960</v>
      </c>
      <c r="IR36" s="17">
        <f t="shared" si="86"/>
        <v>0.47393903671269788</v>
      </c>
      <c r="IS36" s="17">
        <f t="shared" si="87"/>
        <v>0.22250757830919501</v>
      </c>
      <c r="IT36" s="17">
        <f t="shared" si="88"/>
        <v>8.2519366790165041E-2</v>
      </c>
      <c r="IW36" s="13">
        <v>32</v>
      </c>
      <c r="IX36" s="14">
        <f>MATCH(IW36-1,属性投放!$T$6:$T$66,1)</f>
        <v>1</v>
      </c>
      <c r="IY36" s="14">
        <f>MATCH(IW36-1,属性投放!$AD$7:$AD$26,1)</f>
        <v>4</v>
      </c>
      <c r="IZ36" s="14" t="str">
        <f>INDEX(属性投放!$AB$7:$AB$26,IY36)</f>
        <v>众合</v>
      </c>
      <c r="JA36" s="14">
        <f t="shared" si="89"/>
        <v>338</v>
      </c>
      <c r="JB36" s="14">
        <f t="shared" si="90"/>
        <v>120</v>
      </c>
      <c r="JC36" s="14">
        <f t="shared" si="91"/>
        <v>1658</v>
      </c>
      <c r="JD36" s="14">
        <f t="shared" si="92"/>
        <v>22</v>
      </c>
      <c r="JE36" s="14">
        <f t="shared" si="93"/>
        <v>11</v>
      </c>
      <c r="JF36" s="14">
        <f t="shared" si="94"/>
        <v>153</v>
      </c>
      <c r="JG36" s="14">
        <f>INDEX(属性投放!$DC$6:$DC$85,卡牌属性!IY36)</f>
        <v>20</v>
      </c>
      <c r="JH36" s="14">
        <f t="shared" si="95"/>
        <v>602</v>
      </c>
      <c r="JI36" s="14">
        <f t="shared" si="96"/>
        <v>252</v>
      </c>
      <c r="JJ36" s="14">
        <f t="shared" si="97"/>
        <v>3494</v>
      </c>
      <c r="JK36" s="14">
        <f t="shared" si="98"/>
        <v>9024</v>
      </c>
    </row>
    <row r="37" spans="14:271" ht="16.5" x14ac:dyDescent="0.2">
      <c r="N37" s="13">
        <v>1102996</v>
      </c>
      <c r="O37" s="13" t="s">
        <v>1426</v>
      </c>
      <c r="P37" s="13">
        <v>2</v>
      </c>
      <c r="Q37" s="13">
        <v>5</v>
      </c>
      <c r="R37" s="13">
        <v>20</v>
      </c>
      <c r="S37" s="14">
        <f>SUM(R$5:R37)</f>
        <v>640</v>
      </c>
      <c r="T37" s="13">
        <v>52</v>
      </c>
      <c r="U37" s="14">
        <f>SUM(T$5:T37)</f>
        <v>1664</v>
      </c>
      <c r="V37" s="13" t="s">
        <v>565</v>
      </c>
      <c r="W37" s="13" t="s">
        <v>1422</v>
      </c>
      <c r="X37" s="13" t="s">
        <v>1422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20"/>
        <v>23</v>
      </c>
      <c r="AE37" s="13">
        <v>33</v>
      </c>
      <c r="AF37" s="13">
        <f t="shared" si="31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142</v>
      </c>
      <c r="AM37" s="14">
        <v>1</v>
      </c>
      <c r="AN37" s="14">
        <f t="shared" si="5"/>
        <v>13</v>
      </c>
      <c r="AO37" s="14">
        <f>INDEX(属性投放!$DF$6:$DF$85,(卡牌属性!AG37-2)*20+卡牌属性!AN37)</f>
        <v>4474</v>
      </c>
      <c r="AP37" s="14">
        <f t="shared" si="99"/>
        <v>4474</v>
      </c>
      <c r="AQ37" s="14">
        <f t="shared" si="99"/>
        <v>4474</v>
      </c>
      <c r="AR37" s="14">
        <f t="shared" si="99"/>
        <v>4474</v>
      </c>
      <c r="AS37" s="14">
        <f t="shared" si="99"/>
        <v>4474</v>
      </c>
      <c r="AT37" s="14">
        <f>INDEX(属性投放!$DG$6:$DG$85,(卡牌属性!AG37-2)*20+卡牌属性!AN37)</f>
        <v>2188</v>
      </c>
      <c r="AU37" s="14">
        <f t="shared" si="100"/>
        <v>2188</v>
      </c>
      <c r="AV37" s="14">
        <f t="shared" si="100"/>
        <v>2188</v>
      </c>
      <c r="AW37" s="14">
        <f t="shared" si="100"/>
        <v>2188</v>
      </c>
      <c r="AX37" s="14">
        <f t="shared" si="100"/>
        <v>2188</v>
      </c>
      <c r="AY37" s="14">
        <f>INDEX(属性投放!$DH$6:$DH$85,(卡牌属性!AG37-2)*20+卡牌属性!AN37)</f>
        <v>36531</v>
      </c>
      <c r="AZ37" s="14">
        <f t="shared" si="101"/>
        <v>36531</v>
      </c>
      <c r="BA37" s="14">
        <f t="shared" si="101"/>
        <v>36531</v>
      </c>
      <c r="BB37" s="14">
        <f t="shared" si="101"/>
        <v>36531</v>
      </c>
      <c r="BC37" s="14">
        <f t="shared" si="101"/>
        <v>36531</v>
      </c>
      <c r="BD37" s="14">
        <f>INDEX(属性投放!$DL$6:$DL$85,(卡牌属性!AG37-2)*20+卡牌属性!AN37)</f>
        <v>151</v>
      </c>
      <c r="BE37" s="14">
        <f t="shared" si="102"/>
        <v>151</v>
      </c>
      <c r="BF37" s="14">
        <f t="shared" si="102"/>
        <v>151</v>
      </c>
      <c r="BG37" s="14">
        <f t="shared" si="102"/>
        <v>151</v>
      </c>
      <c r="BH37" s="14">
        <f t="shared" si="102"/>
        <v>151</v>
      </c>
      <c r="BI37" s="14">
        <f>INDEX(属性投放!$DM$6:$DM$85,(卡牌属性!AG37-2)*20+卡牌属性!AN37)</f>
        <v>76</v>
      </c>
      <c r="BJ37" s="14">
        <f t="shared" si="103"/>
        <v>76</v>
      </c>
      <c r="BK37" s="14">
        <f t="shared" si="103"/>
        <v>76</v>
      </c>
      <c r="BL37" s="14">
        <f t="shared" si="103"/>
        <v>76</v>
      </c>
      <c r="BM37" s="14">
        <f t="shared" si="103"/>
        <v>76</v>
      </c>
      <c r="BN37" s="14">
        <f>INDEX(属性投放!$DN$6:$DN$85,(卡牌属性!AG37-2)*20+卡牌属性!AN37)</f>
        <v>1510</v>
      </c>
      <c r="BO37" s="14">
        <f t="shared" si="104"/>
        <v>1510</v>
      </c>
      <c r="BP37" s="14">
        <f t="shared" si="104"/>
        <v>1510</v>
      </c>
      <c r="BQ37" s="14">
        <f t="shared" si="104"/>
        <v>1510</v>
      </c>
      <c r="BR37" s="14">
        <f t="shared" si="104"/>
        <v>1510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32"/>
        <v>1102002</v>
      </c>
      <c r="CA37" s="14" t="str">
        <f t="shared" si="33"/>
        <v>许褚13突</v>
      </c>
      <c r="CB37" s="25" t="s">
        <v>142</v>
      </c>
      <c r="CC37" s="14">
        <v>2</v>
      </c>
      <c r="CD37" s="14">
        <f t="shared" si="14"/>
        <v>13</v>
      </c>
      <c r="CE37" s="14" t="s">
        <v>21</v>
      </c>
      <c r="CF37" s="14">
        <f>INDEX(属性投放!$AZ$6:$AZ$85,(BY37-2)*20+CD37)</f>
        <v>5441</v>
      </c>
      <c r="CG37" s="14" t="s">
        <v>22</v>
      </c>
      <c r="CH37" s="14">
        <f>INDEX(属性投放!$BA$6:$BA$85,(BY37-2)*20+CD37)</f>
        <v>2670</v>
      </c>
      <c r="CI37" s="14" t="s">
        <v>510</v>
      </c>
      <c r="CJ37" s="14">
        <f>INDEX(属性投放!$BB$6:$BB$85,(BY37-2)*20+CD37)</f>
        <v>43590</v>
      </c>
      <c r="CK37" s="14" t="s">
        <v>21</v>
      </c>
      <c r="CL37" s="14">
        <f>INDEX(属性投放!$BC$6:$BC$85,(BY37-2)*20+CD37)</f>
        <v>25</v>
      </c>
      <c r="CM37" s="14" t="s">
        <v>22</v>
      </c>
      <c r="CN37" s="14">
        <f>INDEX(属性投放!$BD$6:$BD$85,(BY37-2)*20+CD37)</f>
        <v>13</v>
      </c>
      <c r="CO37" s="14" t="s">
        <v>510</v>
      </c>
      <c r="CP37" s="14">
        <f>INDEX(属性投放!$BE$6:$BE$85,(BY37-2)*20+CD37)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INDEX($O$6:$O$50,CT37)&amp;"-"&amp;INDEX(属性投放!$AB$7:$AB$50,CZ37)&amp;"-魂火-"&amp;DB37</f>
        <v>关羽-焦热+1-魂火-3</v>
      </c>
      <c r="CY37" s="25" t="s">
        <v>142</v>
      </c>
      <c r="CZ37" s="14">
        <f>INDEX(属性投放!$AM$7:$AM$58,CU37)</f>
        <v>14</v>
      </c>
      <c r="DA37" s="14" t="s">
        <v>537</v>
      </c>
      <c r="DB37" s="14">
        <f>INDEX(属性投放!$AN$7:$AN$58,CU37)</f>
        <v>3</v>
      </c>
      <c r="DC37" s="14">
        <f t="shared" si="16"/>
        <v>33</v>
      </c>
      <c r="DD37" s="14">
        <f>INDEX(属性投放!$AO$7:$AO$58,DC37)</f>
        <v>100</v>
      </c>
      <c r="DE37" s="14" t="s">
        <v>538</v>
      </c>
      <c r="DF37" s="14">
        <f>INDEX(属性投放!$BK$6:$BK$85,(CV37-2)*20+CZ37)</f>
        <v>365</v>
      </c>
      <c r="DG37" s="14">
        <f>SUMIFS(DF$5:DF37,$CT$5:$CT37,"="&amp;$CT37)</f>
        <v>5339</v>
      </c>
      <c r="DH37" s="14" t="s">
        <v>539</v>
      </c>
      <c r="DI37" s="14">
        <f>INDEX(属性投放!$BL$6:$BL$85,(CV37-2)*20+CZ37)</f>
        <v>183</v>
      </c>
      <c r="DJ37" s="14">
        <f>SUMIFS(DI$5:DI37,$CT$5:$CT37,"="&amp;$CT37)</f>
        <v>2675</v>
      </c>
      <c r="DK37" s="14" t="s">
        <v>540</v>
      </c>
      <c r="DL37" s="14">
        <f>INDEX(属性投放!$BM$6:$BM$85,(CV37-2)*20+CZ37)</f>
        <v>3650</v>
      </c>
      <c r="DM37" s="14">
        <f>SUMIFS(DL$5:DL37,$CT$5:$CT37,"="&amp;$CT37)</f>
        <v>47802</v>
      </c>
      <c r="DR37" s="14">
        <f t="shared" si="17"/>
        <v>1102002</v>
      </c>
      <c r="DS37" s="14" t="str">
        <f t="shared" si="18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19"/>
        <v>3</v>
      </c>
      <c r="DX37" s="14">
        <f t="shared" si="20"/>
        <v>13</v>
      </c>
      <c r="DY37" s="14">
        <f t="shared" si="21"/>
        <v>33</v>
      </c>
      <c r="DZ37" s="14">
        <f>INDEX(属性投放!$AX$6:$AX$85,(卡牌属性!DW37-2)*20+卡牌属性!DX37)</f>
        <v>8</v>
      </c>
      <c r="EA37" s="14">
        <f>INDEX(属性投放!BQ$6:BQ$85,卡牌属性!$DY37)</f>
        <v>400</v>
      </c>
      <c r="EB37" s="14">
        <f>INDEX(属性投放!BR$6:BR$85,卡牌属性!$DY37)</f>
        <v>200</v>
      </c>
      <c r="EC37" s="14">
        <f>INDEX(属性投放!BS$6:BS$85,卡牌属性!$DY37)</f>
        <v>4000</v>
      </c>
      <c r="ED37" s="14">
        <f t="shared" si="105"/>
        <v>2740</v>
      </c>
      <c r="EE37" s="14">
        <f t="shared" si="106"/>
        <v>3021</v>
      </c>
      <c r="EF37" s="14">
        <f t="shared" si="107"/>
        <v>3156</v>
      </c>
      <c r="EG37" s="14">
        <f t="shared" si="108"/>
        <v>3156</v>
      </c>
      <c r="EH37" s="14">
        <f t="shared" si="109"/>
        <v>3763</v>
      </c>
      <c r="EI37" s="14">
        <f t="shared" si="110"/>
        <v>1477</v>
      </c>
      <c r="EJ37" s="14">
        <f t="shared" si="111"/>
        <v>1555</v>
      </c>
      <c r="EK37" s="14">
        <f t="shared" si="112"/>
        <v>1555</v>
      </c>
      <c r="EL37" s="14">
        <f t="shared" si="113"/>
        <v>1853</v>
      </c>
      <c r="EM37" s="14">
        <f t="shared" si="114"/>
        <v>2008</v>
      </c>
      <c r="EN37" s="14">
        <f t="shared" si="115"/>
        <v>24284</v>
      </c>
      <c r="EO37" s="14">
        <f t="shared" si="116"/>
        <v>28998</v>
      </c>
      <c r="EP37" s="14">
        <f t="shared" si="117"/>
        <v>28998</v>
      </c>
      <c r="EQ37" s="14">
        <f t="shared" si="118"/>
        <v>31192</v>
      </c>
      <c r="ER37" s="14">
        <f t="shared" si="119"/>
        <v>33540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INDEX(属性投放!$BQ$6:$BQ$85,(卡牌属性!$DW37-2)*20+卡牌属性!$DX37)</f>
        <v>400</v>
      </c>
      <c r="FI37" s="14">
        <f>INDEX(属性投放!$BQ$6:$BQ$85,(卡牌属性!$DW37-2)*20+卡牌属性!$DX37)</f>
        <v>400</v>
      </c>
      <c r="FJ37" s="14">
        <f>INDEX(属性投放!$BQ$6:$BQ$85,(卡牌属性!$DW37-2)*20+卡牌属性!$DX37)</f>
        <v>400</v>
      </c>
      <c r="FK37" s="14">
        <f>INDEX(属性投放!$BQ$6:$BQ$85,(卡牌属性!$DW37-2)*20+卡牌属性!$DX37)</f>
        <v>400</v>
      </c>
      <c r="FL37" s="14">
        <f>INDEX(属性投放!$BQ$6:$BQ$85,(卡牌属性!$DW37-2)*20+卡牌属性!$DX37)</f>
        <v>400</v>
      </c>
      <c r="FM37" s="14">
        <f>INDEX(属性投放!$BR$6:$BR$85,(卡牌属性!$DW37-2)*20+卡牌属性!$DX37)</f>
        <v>200</v>
      </c>
      <c r="FN37" s="14">
        <f>INDEX(属性投放!$BR$6:$BR$85,(卡牌属性!$DW37-2)*20+卡牌属性!$DX37)</f>
        <v>200</v>
      </c>
      <c r="FO37" s="14">
        <f>INDEX(属性投放!$BR$6:$BR$85,(卡牌属性!$DW37-2)*20+卡牌属性!$DX37)</f>
        <v>200</v>
      </c>
      <c r="FP37" s="14">
        <f>INDEX(属性投放!$BR$6:$BR$85,(卡牌属性!$DW37-2)*20+卡牌属性!$DX37)</f>
        <v>200</v>
      </c>
      <c r="FQ37" s="14">
        <f>INDEX(属性投放!$BR$6:$BR$85,(卡牌属性!$DW37-2)*20+卡牌属性!$DX37)</f>
        <v>200</v>
      </c>
      <c r="FR37" s="14">
        <f>INDEX(属性投放!$BS$6:$BS$85,(卡牌属性!$DW37-2)*20+卡牌属性!$DX37)</f>
        <v>4000</v>
      </c>
      <c r="FS37" s="14">
        <f>INDEX(属性投放!$BS$6:$BS$85,(卡牌属性!$DW37-2)*20+卡牌属性!$DX37)</f>
        <v>4000</v>
      </c>
      <c r="FT37" s="14">
        <f>INDEX(属性投放!$BS$6:$BS$85,(卡牌属性!$DW37-2)*20+卡牌属性!$DX37)</f>
        <v>4000</v>
      </c>
      <c r="FU37" s="14">
        <f>INDEX(属性投放!$BS$6:$BS$85,(卡牌属性!$DW37-2)*20+卡牌属性!$DX37)</f>
        <v>4000</v>
      </c>
      <c r="FV37" s="14">
        <f>INDEX(属性投放!$BS$6:$BS$85,(卡牌属性!$DW37-2)*20+卡牌属性!$DX37)</f>
        <v>4000</v>
      </c>
      <c r="FZ37" s="13">
        <v>33</v>
      </c>
      <c r="GA37" s="13">
        <f t="shared" ref="GA37:GA68" si="121">INT((FZ37-1)/5)+1</f>
        <v>7</v>
      </c>
      <c r="GB37" s="14">
        <f t="shared" si="56"/>
        <v>1102007</v>
      </c>
      <c r="GC37" s="14" t="s">
        <v>1187</v>
      </c>
      <c r="GD37" s="14">
        <f t="shared" ref="GD37:GD68" si="122">FZ37-(GA37-1)*5</f>
        <v>3</v>
      </c>
      <c r="GE37" s="14" t="str">
        <f t="shared" ref="GE37:GE68" si="123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4">INT((GN37-1)/5)+1</f>
        <v>7</v>
      </c>
      <c r="GP37" s="14">
        <f t="shared" si="57"/>
        <v>1101007</v>
      </c>
      <c r="GQ37" s="14" t="s">
        <v>1187</v>
      </c>
      <c r="GR37" s="14">
        <f t="shared" ref="GR37:GR68" si="125">GN37-(GO37-1)*5</f>
        <v>3</v>
      </c>
      <c r="GS37" s="14" t="str">
        <f t="shared" ref="GS37:GS68" si="126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MATCH(HC37,属性投放!$AO$6:$AO$58,1)-1</f>
        <v>7</v>
      </c>
      <c r="HF37" s="13">
        <f>MATCH(HC37-1,属性投放!$AE$6:$AE$26,1)</f>
        <v>4</v>
      </c>
      <c r="HG37" s="13" t="str">
        <f>INDEX(属性投放!$AB$7:$AB$26,卡牌属性!HF37)</f>
        <v>众合</v>
      </c>
      <c r="HH37" s="14">
        <f t="shared" si="58"/>
        <v>703</v>
      </c>
      <c r="HI37" s="14">
        <f t="shared" si="59"/>
        <v>258</v>
      </c>
      <c r="HJ37" s="14">
        <f t="shared" si="60"/>
        <v>3260</v>
      </c>
      <c r="HK37" s="14">
        <f t="shared" si="61"/>
        <v>20</v>
      </c>
      <c r="HL37" s="14">
        <f t="shared" si="62"/>
        <v>7</v>
      </c>
      <c r="HM37" s="14">
        <f t="shared" si="63"/>
        <v>91</v>
      </c>
      <c r="HN37" s="14">
        <f>HH37+HK37*($HC37-INDEX(属性投放!$AE$6:$AE$26,卡牌属性!$HF37))</f>
        <v>863</v>
      </c>
      <c r="HO37" s="14">
        <f>HI37+HL37*($HC37-INDEX(属性投放!$AE$6:$AE$26,卡牌属性!$HF37))</f>
        <v>314</v>
      </c>
      <c r="HP37" s="14">
        <f>HJ37+HM37*($HC37-INDEX(属性投放!$AE$6:$AE$26,卡牌属性!$HF37))</f>
        <v>3988</v>
      </c>
      <c r="HQ37" s="14">
        <f t="shared" si="64"/>
        <v>245</v>
      </c>
      <c r="HR37" s="14">
        <f t="shared" si="65"/>
        <v>125</v>
      </c>
      <c r="HS37" s="14">
        <f t="shared" si="66"/>
        <v>1560</v>
      </c>
      <c r="HT37" s="14">
        <f>IF(COUNTIF(属性投放!$AO$7:$AO$58,"="&amp;卡牌属性!HC37)&gt;0,卡牌属性!HE37,0)</f>
        <v>7</v>
      </c>
      <c r="HU37" s="14">
        <f t="shared" si="67"/>
        <v>45</v>
      </c>
      <c r="HV37" s="14">
        <f t="shared" si="68"/>
        <v>23</v>
      </c>
      <c r="HW37" s="14">
        <f t="shared" si="69"/>
        <v>315</v>
      </c>
      <c r="HX37" s="14">
        <f>IF(COUNTIF(属性投放!$AE$6:$AE$26,"="&amp;卡牌属性!HC37)&gt;0,卡牌属性!HF37,0)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20</v>
      </c>
      <c r="IC37" s="14">
        <f t="shared" si="74"/>
        <v>7</v>
      </c>
      <c r="ID37" s="14">
        <f t="shared" si="75"/>
        <v>91</v>
      </c>
      <c r="IE37" s="14">
        <f t="shared" si="76"/>
        <v>1108</v>
      </c>
      <c r="IF37" s="14">
        <f t="shared" si="77"/>
        <v>439</v>
      </c>
      <c r="IG37" s="14">
        <f t="shared" si="78"/>
        <v>5548</v>
      </c>
      <c r="IH37" s="14">
        <f t="shared" si="79"/>
        <v>431</v>
      </c>
      <c r="II37" s="14">
        <f t="shared" si="80"/>
        <v>1225</v>
      </c>
      <c r="IJ37" s="14">
        <f t="shared" si="81"/>
        <v>0</v>
      </c>
      <c r="IK37" s="14">
        <f t="shared" si="82"/>
        <v>25408</v>
      </c>
      <c r="IL37" s="17">
        <f t="shared" si="83"/>
        <v>1.696316120906801E-2</v>
      </c>
      <c r="IM37" s="17">
        <f t="shared" si="84"/>
        <v>4.821316120906801E-2</v>
      </c>
      <c r="IN37" s="17">
        <f t="shared" si="85"/>
        <v>0</v>
      </c>
      <c r="IO37" s="23">
        <f>SUM(IH$5:IH37)</f>
        <v>11688</v>
      </c>
      <c r="IP37" s="14">
        <f>SUM(II$5:II37)</f>
        <v>6510</v>
      </c>
      <c r="IQ37" s="14">
        <f>SUM(IJ$5:IJ37)</f>
        <v>1960</v>
      </c>
      <c r="IR37" s="17">
        <f t="shared" si="86"/>
        <v>0.46001259445843828</v>
      </c>
      <c r="IS37" s="17">
        <f t="shared" si="87"/>
        <v>0.25621851385390426</v>
      </c>
      <c r="IT37" s="17">
        <f t="shared" si="88"/>
        <v>7.7141057934508817E-2</v>
      </c>
      <c r="IW37" s="13">
        <v>33</v>
      </c>
      <c r="IX37" s="14">
        <f>MATCH(IW37-1,属性投放!$T$6:$T$66,1)</f>
        <v>2</v>
      </c>
      <c r="IY37" s="14">
        <f>MATCH(IW37-1,属性投放!$AD$7:$AD$26,1)</f>
        <v>4</v>
      </c>
      <c r="IZ37" s="14" t="str">
        <f>INDEX(属性投放!$AB$7:$AB$26,IY37)</f>
        <v>众合</v>
      </c>
      <c r="JA37" s="14">
        <f t="shared" si="89"/>
        <v>338</v>
      </c>
      <c r="JB37" s="14">
        <f t="shared" si="90"/>
        <v>120</v>
      </c>
      <c r="JC37" s="14">
        <f t="shared" si="91"/>
        <v>1658</v>
      </c>
      <c r="JD37" s="14">
        <f t="shared" si="92"/>
        <v>22</v>
      </c>
      <c r="JE37" s="14">
        <f t="shared" si="93"/>
        <v>11</v>
      </c>
      <c r="JF37" s="14">
        <f t="shared" si="94"/>
        <v>153</v>
      </c>
      <c r="JG37" s="14">
        <f>INDEX(属性投放!$DC$6:$DC$85,卡牌属性!IY37)</f>
        <v>20</v>
      </c>
      <c r="JH37" s="14">
        <f t="shared" si="95"/>
        <v>624</v>
      </c>
      <c r="JI37" s="14">
        <f t="shared" si="96"/>
        <v>263</v>
      </c>
      <c r="JJ37" s="14">
        <f t="shared" si="97"/>
        <v>3647</v>
      </c>
      <c r="JK37" s="14">
        <f t="shared" si="98"/>
        <v>9397</v>
      </c>
    </row>
    <row r="38" spans="14:271" ht="16.5" x14ac:dyDescent="0.2">
      <c r="AE38" s="13">
        <v>34</v>
      </c>
      <c r="AF38" s="13">
        <f t="shared" si="31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142</v>
      </c>
      <c r="AM38" s="14">
        <v>1</v>
      </c>
      <c r="AN38" s="14">
        <f t="shared" si="5"/>
        <v>14</v>
      </c>
      <c r="AO38" s="14">
        <f>INDEX(属性投放!$DF$6:$DF$85,(卡牌属性!AG38-2)*20+卡牌属性!AN38)</f>
        <v>4906</v>
      </c>
      <c r="AP38" s="14">
        <f t="shared" si="99"/>
        <v>4906</v>
      </c>
      <c r="AQ38" s="14">
        <f t="shared" si="99"/>
        <v>4906</v>
      </c>
      <c r="AR38" s="14">
        <f t="shared" si="99"/>
        <v>4906</v>
      </c>
      <c r="AS38" s="14">
        <f t="shared" si="99"/>
        <v>4906</v>
      </c>
      <c r="AT38" s="14">
        <f>INDEX(属性投放!$DG$6:$DG$85,(卡牌属性!AG38-2)*20+卡牌属性!AN38)</f>
        <v>2405</v>
      </c>
      <c r="AU38" s="14">
        <f t="shared" si="100"/>
        <v>2405</v>
      </c>
      <c r="AV38" s="14">
        <f t="shared" si="100"/>
        <v>2405</v>
      </c>
      <c r="AW38" s="14">
        <f t="shared" si="100"/>
        <v>2405</v>
      </c>
      <c r="AX38" s="14">
        <f t="shared" si="100"/>
        <v>2405</v>
      </c>
      <c r="AY38" s="14">
        <f>INDEX(属性投放!$DH$6:$DH$85,(卡牌属性!AG38-2)*20+卡牌属性!AN38)</f>
        <v>40846</v>
      </c>
      <c r="AZ38" s="14">
        <f t="shared" si="101"/>
        <v>40846</v>
      </c>
      <c r="BA38" s="14">
        <f t="shared" si="101"/>
        <v>40846</v>
      </c>
      <c r="BB38" s="14">
        <f t="shared" si="101"/>
        <v>40846</v>
      </c>
      <c r="BC38" s="14">
        <f t="shared" si="101"/>
        <v>40846</v>
      </c>
      <c r="BD38" s="14">
        <f>INDEX(属性投放!$DL$6:$DL$85,(卡牌属性!AG38-2)*20+卡牌属性!AN38)</f>
        <v>151</v>
      </c>
      <c r="BE38" s="14">
        <f t="shared" si="102"/>
        <v>151</v>
      </c>
      <c r="BF38" s="14">
        <f t="shared" si="102"/>
        <v>151</v>
      </c>
      <c r="BG38" s="14">
        <f t="shared" si="102"/>
        <v>151</v>
      </c>
      <c r="BH38" s="14">
        <f t="shared" si="102"/>
        <v>151</v>
      </c>
      <c r="BI38" s="14">
        <f>INDEX(属性投放!$DM$6:$DM$85,(卡牌属性!AG38-2)*20+卡牌属性!AN38)</f>
        <v>76</v>
      </c>
      <c r="BJ38" s="14">
        <f t="shared" si="103"/>
        <v>76</v>
      </c>
      <c r="BK38" s="14">
        <f t="shared" si="103"/>
        <v>76</v>
      </c>
      <c r="BL38" s="14">
        <f t="shared" si="103"/>
        <v>76</v>
      </c>
      <c r="BM38" s="14">
        <f t="shared" si="103"/>
        <v>76</v>
      </c>
      <c r="BN38" s="14">
        <f>INDEX(属性投放!$DN$6:$DN$85,(卡牌属性!AG38-2)*20+卡牌属性!AN38)</f>
        <v>1510</v>
      </c>
      <c r="BO38" s="14">
        <f t="shared" si="104"/>
        <v>1510</v>
      </c>
      <c r="BP38" s="14">
        <f t="shared" si="104"/>
        <v>1510</v>
      </c>
      <c r="BQ38" s="14">
        <f t="shared" si="104"/>
        <v>1510</v>
      </c>
      <c r="BR38" s="14">
        <f t="shared" si="104"/>
        <v>1510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32"/>
        <v>1102002</v>
      </c>
      <c r="CA38" s="14" t="str">
        <f t="shared" si="33"/>
        <v>许褚14突</v>
      </c>
      <c r="CB38" s="25" t="s">
        <v>142</v>
      </c>
      <c r="CC38" s="14">
        <v>2</v>
      </c>
      <c r="CD38" s="14">
        <f t="shared" si="14"/>
        <v>14</v>
      </c>
      <c r="CE38" s="14" t="s">
        <v>21</v>
      </c>
      <c r="CF38" s="14">
        <f>INDEX(属性投放!$AZ$6:$AZ$85,(BY38-2)*20+CD38)</f>
        <v>6791</v>
      </c>
      <c r="CG38" s="14" t="s">
        <v>22</v>
      </c>
      <c r="CH38" s="14">
        <f>INDEX(属性投放!$BA$6:$BA$85,(BY38-2)*20+CD38)</f>
        <v>3349</v>
      </c>
      <c r="CI38" s="14" t="s">
        <v>510</v>
      </c>
      <c r="CJ38" s="14">
        <f>INDEX(属性投放!$BB$6:$BB$85,(BY38-2)*20+CD38)</f>
        <v>57090</v>
      </c>
      <c r="CK38" s="14" t="s">
        <v>21</v>
      </c>
      <c r="CL38" s="14">
        <f>INDEX(属性投放!$BC$6:$BC$85,(BY38-2)*20+CD38)</f>
        <v>25</v>
      </c>
      <c r="CM38" s="14" t="s">
        <v>22</v>
      </c>
      <c r="CN38" s="14">
        <f>INDEX(属性投放!$BD$6:$BD$85,(BY38-2)*20+CD38)</f>
        <v>13</v>
      </c>
      <c r="CO38" s="14" t="s">
        <v>510</v>
      </c>
      <c r="CP38" s="14">
        <f>INDEX(属性投放!$BE$6:$BE$85,(BY38-2)*20+CD38)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INDEX($O$6:$O$50,CT38)&amp;"-"&amp;INDEX(属性投放!$AB$7:$AB$50,CZ38)&amp;"-魂火-"&amp;DB38</f>
        <v>关羽-焦热+2-魂火-1</v>
      </c>
      <c r="CY38" s="25" t="s">
        <v>142</v>
      </c>
      <c r="CZ38" s="14">
        <f>INDEX(属性投放!$AM$7:$AM$58,CU38)</f>
        <v>15</v>
      </c>
      <c r="DA38" s="14" t="s">
        <v>537</v>
      </c>
      <c r="DB38" s="14">
        <f>INDEX(属性投放!$AN$7:$AN$58,CU38)</f>
        <v>1</v>
      </c>
      <c r="DC38" s="14">
        <f t="shared" si="16"/>
        <v>34</v>
      </c>
      <c r="DD38" s="14">
        <f>INDEX(属性投放!$AO$7:$AO$58,DC38)</f>
        <v>103</v>
      </c>
      <c r="DE38" s="14" t="s">
        <v>538</v>
      </c>
      <c r="DF38" s="14">
        <f>INDEX(属性投放!$BK$6:$BK$85,(CV38-2)*20+CZ38)</f>
        <v>500</v>
      </c>
      <c r="DG38" s="14">
        <f>SUMIFS(DF$5:DF38,$CT$5:$CT38,"="&amp;$CT38)</f>
        <v>5839</v>
      </c>
      <c r="DH38" s="14" t="s">
        <v>539</v>
      </c>
      <c r="DI38" s="14">
        <f>INDEX(属性投放!$BL$6:$BL$85,(CV38-2)*20+CZ38)</f>
        <v>250</v>
      </c>
      <c r="DJ38" s="14">
        <f>SUMIFS(DI$5:DI38,$CT$5:$CT38,"="&amp;$CT38)</f>
        <v>2925</v>
      </c>
      <c r="DK38" s="14" t="s">
        <v>540</v>
      </c>
      <c r="DL38" s="14">
        <f>INDEX(属性投放!$BM$6:$BM$85,(CV38-2)*20+CZ38)</f>
        <v>5000</v>
      </c>
      <c r="DM38" s="14">
        <f>SUMIFS(DL$5:DL38,$CT$5:$CT38,"="&amp;$CT38)</f>
        <v>52802</v>
      </c>
      <c r="DR38" s="14">
        <f t="shared" si="17"/>
        <v>1102002</v>
      </c>
      <c r="DS38" s="14" t="str">
        <f t="shared" si="18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19"/>
        <v>3</v>
      </c>
      <c r="DX38" s="14">
        <f t="shared" si="20"/>
        <v>14</v>
      </c>
      <c r="DY38" s="14">
        <f t="shared" si="21"/>
        <v>34</v>
      </c>
      <c r="DZ38" s="14">
        <f>INDEX(属性投放!$AX$6:$AX$85,(卡牌属性!DW38-2)*20+卡牌属性!DX38)</f>
        <v>7</v>
      </c>
      <c r="EA38" s="14">
        <f>INDEX(属性投放!BQ$6:BQ$85,卡牌属性!$DY38)</f>
        <v>450</v>
      </c>
      <c r="EB38" s="14">
        <f>INDEX(属性投放!BR$6:BR$85,卡牌属性!$DY38)</f>
        <v>225</v>
      </c>
      <c r="EC38" s="14">
        <f>INDEX(属性投放!BS$6:BS$85,卡牌属性!$DY38)</f>
        <v>4500</v>
      </c>
      <c r="ED38" s="14">
        <f t="shared" si="105"/>
        <v>3300</v>
      </c>
      <c r="EE38" s="14">
        <f t="shared" si="106"/>
        <v>3621</v>
      </c>
      <c r="EF38" s="14">
        <f t="shared" si="107"/>
        <v>3764</v>
      </c>
      <c r="EG38" s="14">
        <f t="shared" si="108"/>
        <v>3764</v>
      </c>
      <c r="EH38" s="14">
        <f t="shared" si="109"/>
        <v>4483</v>
      </c>
      <c r="EI38" s="14">
        <f t="shared" si="110"/>
        <v>1781</v>
      </c>
      <c r="EJ38" s="14">
        <f t="shared" si="111"/>
        <v>1859</v>
      </c>
      <c r="EK38" s="14">
        <f t="shared" si="112"/>
        <v>1859</v>
      </c>
      <c r="EL38" s="14">
        <f t="shared" si="113"/>
        <v>2213</v>
      </c>
      <c r="EM38" s="14">
        <f t="shared" si="114"/>
        <v>2392</v>
      </c>
      <c r="EN38" s="14">
        <f t="shared" si="115"/>
        <v>30364</v>
      </c>
      <c r="EO38" s="14">
        <f t="shared" si="116"/>
        <v>36198</v>
      </c>
      <c r="EP38" s="14">
        <f t="shared" si="117"/>
        <v>36198</v>
      </c>
      <c r="EQ38" s="14">
        <f t="shared" si="118"/>
        <v>38792</v>
      </c>
      <c r="ER38" s="14">
        <f t="shared" si="119"/>
        <v>41540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INDEX(属性投放!$BQ$6:$BQ$85,(卡牌属性!$DW38-2)*20+卡牌属性!$DX38)</f>
        <v>450</v>
      </c>
      <c r="FI38" s="14">
        <f>INDEX(属性投放!$BQ$6:$BQ$85,(卡牌属性!$DW38-2)*20+卡牌属性!$DX38)</f>
        <v>450</v>
      </c>
      <c r="FJ38" s="14">
        <f>INDEX(属性投放!$BQ$6:$BQ$85,(卡牌属性!$DW38-2)*20+卡牌属性!$DX38)</f>
        <v>450</v>
      </c>
      <c r="FK38" s="14">
        <f>INDEX(属性投放!$BQ$6:$BQ$85,(卡牌属性!$DW38-2)*20+卡牌属性!$DX38)</f>
        <v>450</v>
      </c>
      <c r="FL38" s="14">
        <f>INDEX(属性投放!$BQ$6:$BQ$85,(卡牌属性!$DW38-2)*20+卡牌属性!$DX38)</f>
        <v>450</v>
      </c>
      <c r="FM38" s="14">
        <f>INDEX(属性投放!$BR$6:$BR$85,(卡牌属性!$DW38-2)*20+卡牌属性!$DX38)</f>
        <v>225</v>
      </c>
      <c r="FN38" s="14">
        <f>INDEX(属性投放!$BR$6:$BR$85,(卡牌属性!$DW38-2)*20+卡牌属性!$DX38)</f>
        <v>225</v>
      </c>
      <c r="FO38" s="14">
        <f>INDEX(属性投放!$BR$6:$BR$85,(卡牌属性!$DW38-2)*20+卡牌属性!$DX38)</f>
        <v>225</v>
      </c>
      <c r="FP38" s="14">
        <f>INDEX(属性投放!$BR$6:$BR$85,(卡牌属性!$DW38-2)*20+卡牌属性!$DX38)</f>
        <v>225</v>
      </c>
      <c r="FQ38" s="14">
        <f>INDEX(属性投放!$BR$6:$BR$85,(卡牌属性!$DW38-2)*20+卡牌属性!$DX38)</f>
        <v>225</v>
      </c>
      <c r="FR38" s="14">
        <f>INDEX(属性投放!$BS$6:$BS$85,(卡牌属性!$DW38-2)*20+卡牌属性!$DX38)</f>
        <v>4500</v>
      </c>
      <c r="FS38" s="14">
        <f>INDEX(属性投放!$BS$6:$BS$85,(卡牌属性!$DW38-2)*20+卡牌属性!$DX38)</f>
        <v>4500</v>
      </c>
      <c r="FT38" s="14">
        <f>INDEX(属性投放!$BS$6:$BS$85,(卡牌属性!$DW38-2)*20+卡牌属性!$DX38)</f>
        <v>4500</v>
      </c>
      <c r="FU38" s="14">
        <f>INDEX(属性投放!$BS$6:$BS$85,(卡牌属性!$DW38-2)*20+卡牌属性!$DX38)</f>
        <v>4500</v>
      </c>
      <c r="FV38" s="14">
        <f>INDEX(属性投放!$BS$6:$BS$85,(卡牌属性!$DW38-2)*20+卡牌属性!$DX38)</f>
        <v>4500</v>
      </c>
      <c r="FZ38" s="13">
        <v>34</v>
      </c>
      <c r="GA38" s="13">
        <f t="shared" si="121"/>
        <v>7</v>
      </c>
      <c r="GB38" s="14">
        <f t="shared" si="56"/>
        <v>1102007</v>
      </c>
      <c r="GC38" s="14" t="s">
        <v>1187</v>
      </c>
      <c r="GD38" s="14">
        <f t="shared" si="122"/>
        <v>4</v>
      </c>
      <c r="GE38" s="14" t="str">
        <f t="shared" si="123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4"/>
        <v>7</v>
      </c>
      <c r="GP38" s="14">
        <f t="shared" si="57"/>
        <v>1101007</v>
      </c>
      <c r="GQ38" s="14" t="s">
        <v>1187</v>
      </c>
      <c r="GR38" s="14">
        <f t="shared" si="125"/>
        <v>4</v>
      </c>
      <c r="GS38" s="14" t="str">
        <f t="shared" si="126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MATCH(HC38,属性投放!$AO$6:$AO$58,1)-1</f>
        <v>7</v>
      </c>
      <c r="HF38" s="13">
        <f>MATCH(HC38-1,属性投放!$AE$6:$AE$26,1)</f>
        <v>4</v>
      </c>
      <c r="HG38" s="13" t="str">
        <f>INDEX(属性投放!$AB$7:$AB$26,卡牌属性!HF38)</f>
        <v>众合</v>
      </c>
      <c r="HH38" s="14">
        <f t="shared" si="58"/>
        <v>703</v>
      </c>
      <c r="HI38" s="14">
        <f t="shared" si="59"/>
        <v>258</v>
      </c>
      <c r="HJ38" s="14">
        <f t="shared" si="60"/>
        <v>3260</v>
      </c>
      <c r="HK38" s="14">
        <f t="shared" si="61"/>
        <v>20</v>
      </c>
      <c r="HL38" s="14">
        <f t="shared" si="62"/>
        <v>7</v>
      </c>
      <c r="HM38" s="14">
        <f t="shared" si="63"/>
        <v>91</v>
      </c>
      <c r="HN38" s="14">
        <f>HH38+HK38*($HC38-INDEX(属性投放!$AE$6:$AE$26,卡牌属性!$HF38))</f>
        <v>883</v>
      </c>
      <c r="HO38" s="14">
        <f>HI38+HL38*($HC38-INDEX(属性投放!$AE$6:$AE$26,卡牌属性!$HF38))</f>
        <v>321</v>
      </c>
      <c r="HP38" s="14">
        <f>HJ38+HM38*($HC38-INDEX(属性投放!$AE$6:$AE$26,卡牌属性!$HF38))</f>
        <v>4079</v>
      </c>
      <c r="HQ38" s="14">
        <f t="shared" si="64"/>
        <v>245</v>
      </c>
      <c r="HR38" s="14">
        <f t="shared" si="65"/>
        <v>125</v>
      </c>
      <c r="HS38" s="14">
        <f t="shared" si="66"/>
        <v>1560</v>
      </c>
      <c r="HT38" s="14">
        <f>IF(COUNTIF(属性投放!$AO$7:$AO$58,"="&amp;卡牌属性!HC38)&gt;0,卡牌属性!HE38,0)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IF(COUNTIF(属性投放!$AE$6:$AE$26,"="&amp;卡牌属性!HC38)&gt;0,卡牌属性!HF38,0)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20</v>
      </c>
      <c r="IC38" s="14">
        <f t="shared" si="74"/>
        <v>7</v>
      </c>
      <c r="ID38" s="14">
        <f t="shared" si="75"/>
        <v>91</v>
      </c>
      <c r="IE38" s="14">
        <f t="shared" si="76"/>
        <v>1128</v>
      </c>
      <c r="IF38" s="14">
        <f t="shared" si="77"/>
        <v>446</v>
      </c>
      <c r="IG38" s="14">
        <f t="shared" si="78"/>
        <v>5639</v>
      </c>
      <c r="IH38" s="14">
        <f t="shared" si="79"/>
        <v>431</v>
      </c>
      <c r="II38" s="14">
        <f t="shared" si="80"/>
        <v>0</v>
      </c>
      <c r="IJ38" s="14">
        <f t="shared" si="81"/>
        <v>0</v>
      </c>
      <c r="IK38" s="14">
        <f t="shared" si="82"/>
        <v>25839</v>
      </c>
      <c r="IL38" s="17">
        <f t="shared" si="83"/>
        <v>1.6680212082510932E-2</v>
      </c>
      <c r="IM38" s="17">
        <f t="shared" si="84"/>
        <v>0</v>
      </c>
      <c r="IN38" s="17">
        <f t="shared" si="85"/>
        <v>0</v>
      </c>
      <c r="IO38" s="23">
        <f>SUM(IH$5:IH38)</f>
        <v>12119</v>
      </c>
      <c r="IP38" s="14">
        <f>SUM(II$5:II38)</f>
        <v>6510</v>
      </c>
      <c r="IQ38" s="14">
        <f>SUM(IJ$5:IJ38)</f>
        <v>1960</v>
      </c>
      <c r="IR38" s="17">
        <f t="shared" si="86"/>
        <v>0.46901969890475637</v>
      </c>
      <c r="IS38" s="17">
        <f t="shared" si="87"/>
        <v>0.25194473470335538</v>
      </c>
      <c r="IT38" s="17">
        <f t="shared" si="88"/>
        <v>7.585432872789194E-2</v>
      </c>
      <c r="IW38" s="13">
        <v>34</v>
      </c>
      <c r="IX38" s="14">
        <f>MATCH(IW38-1,属性投放!$T$6:$T$66,1)</f>
        <v>2</v>
      </c>
      <c r="IY38" s="14">
        <f>MATCH(IW38-1,属性投放!$AD$7:$AD$26,1)</f>
        <v>4</v>
      </c>
      <c r="IZ38" s="14" t="str">
        <f>INDEX(属性投放!$AB$7:$AB$26,IY38)</f>
        <v>众合</v>
      </c>
      <c r="JA38" s="14">
        <f t="shared" si="89"/>
        <v>338</v>
      </c>
      <c r="JB38" s="14">
        <f t="shared" si="90"/>
        <v>120</v>
      </c>
      <c r="JC38" s="14">
        <f t="shared" si="91"/>
        <v>1658</v>
      </c>
      <c r="JD38" s="14">
        <f t="shared" si="92"/>
        <v>22</v>
      </c>
      <c r="JE38" s="14">
        <f t="shared" si="93"/>
        <v>11</v>
      </c>
      <c r="JF38" s="14">
        <f t="shared" si="94"/>
        <v>153</v>
      </c>
      <c r="JG38" s="14">
        <f>INDEX(属性投放!$DC$6:$DC$85,卡牌属性!IY38)</f>
        <v>20</v>
      </c>
      <c r="JH38" s="14">
        <f t="shared" si="95"/>
        <v>646</v>
      </c>
      <c r="JI38" s="14">
        <f t="shared" si="96"/>
        <v>274</v>
      </c>
      <c r="JJ38" s="14">
        <f t="shared" si="97"/>
        <v>3800</v>
      </c>
      <c r="JK38" s="14">
        <f t="shared" si="98"/>
        <v>9770</v>
      </c>
    </row>
    <row r="39" spans="14:271" ht="16.5" x14ac:dyDescent="0.2">
      <c r="AE39" s="13">
        <v>35</v>
      </c>
      <c r="AF39" s="13">
        <f t="shared" si="31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142</v>
      </c>
      <c r="AM39" s="14">
        <v>1</v>
      </c>
      <c r="AN39" s="14">
        <f t="shared" si="5"/>
        <v>15</v>
      </c>
      <c r="AO39" s="14">
        <f>INDEX(属性投放!$DF$6:$DF$85,(卡牌属性!AG39-2)*20+卡牌属性!AN39)</f>
        <v>5338</v>
      </c>
      <c r="AP39" s="14">
        <f t="shared" si="99"/>
        <v>5338</v>
      </c>
      <c r="AQ39" s="14">
        <f t="shared" si="99"/>
        <v>5338</v>
      </c>
      <c r="AR39" s="14">
        <f t="shared" si="99"/>
        <v>5338</v>
      </c>
      <c r="AS39" s="14">
        <f t="shared" si="99"/>
        <v>5338</v>
      </c>
      <c r="AT39" s="14">
        <f>INDEX(属性投放!$DG$6:$DG$85,(卡牌属性!AG39-2)*20+卡牌属性!AN39)</f>
        <v>2622</v>
      </c>
      <c r="AU39" s="14">
        <f t="shared" si="100"/>
        <v>2622</v>
      </c>
      <c r="AV39" s="14">
        <f t="shared" si="100"/>
        <v>2622</v>
      </c>
      <c r="AW39" s="14">
        <f t="shared" si="100"/>
        <v>2622</v>
      </c>
      <c r="AX39" s="14">
        <f t="shared" si="100"/>
        <v>2622</v>
      </c>
      <c r="AY39" s="14">
        <f>INDEX(属性投放!$DH$6:$DH$85,(卡牌属性!AG39-2)*20+卡牌属性!AN39)</f>
        <v>45161</v>
      </c>
      <c r="AZ39" s="14">
        <f t="shared" si="101"/>
        <v>45161</v>
      </c>
      <c r="BA39" s="14">
        <f t="shared" si="101"/>
        <v>45161</v>
      </c>
      <c r="BB39" s="14">
        <f t="shared" si="101"/>
        <v>45161</v>
      </c>
      <c r="BC39" s="14">
        <f t="shared" si="101"/>
        <v>45161</v>
      </c>
      <c r="BD39" s="14">
        <f>INDEX(属性投放!$DL$6:$DL$85,(卡牌属性!AG39-2)*20+卡牌属性!AN39)</f>
        <v>151</v>
      </c>
      <c r="BE39" s="14">
        <f t="shared" si="102"/>
        <v>151</v>
      </c>
      <c r="BF39" s="14">
        <f t="shared" si="102"/>
        <v>151</v>
      </c>
      <c r="BG39" s="14">
        <f t="shared" si="102"/>
        <v>151</v>
      </c>
      <c r="BH39" s="14">
        <f t="shared" si="102"/>
        <v>151</v>
      </c>
      <c r="BI39" s="14">
        <f>INDEX(属性投放!$DM$6:$DM$85,(卡牌属性!AG39-2)*20+卡牌属性!AN39)</f>
        <v>76</v>
      </c>
      <c r="BJ39" s="14">
        <f t="shared" si="103"/>
        <v>76</v>
      </c>
      <c r="BK39" s="14">
        <f t="shared" si="103"/>
        <v>76</v>
      </c>
      <c r="BL39" s="14">
        <f t="shared" si="103"/>
        <v>76</v>
      </c>
      <c r="BM39" s="14">
        <f t="shared" si="103"/>
        <v>76</v>
      </c>
      <c r="BN39" s="14">
        <f>INDEX(属性投放!$DN$6:$DN$85,(卡牌属性!AG39-2)*20+卡牌属性!AN39)</f>
        <v>1510</v>
      </c>
      <c r="BO39" s="14">
        <f t="shared" si="104"/>
        <v>1510</v>
      </c>
      <c r="BP39" s="14">
        <f t="shared" si="104"/>
        <v>1510</v>
      </c>
      <c r="BQ39" s="14">
        <f t="shared" si="104"/>
        <v>1510</v>
      </c>
      <c r="BR39" s="14">
        <f t="shared" si="104"/>
        <v>1510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32"/>
        <v>1102002</v>
      </c>
      <c r="CA39" s="14" t="str">
        <f t="shared" si="33"/>
        <v>许褚15突</v>
      </c>
      <c r="CB39" s="25" t="s">
        <v>142</v>
      </c>
      <c r="CC39" s="14">
        <v>2</v>
      </c>
      <c r="CD39" s="14">
        <f t="shared" si="14"/>
        <v>15</v>
      </c>
      <c r="CE39" s="14" t="s">
        <v>21</v>
      </c>
      <c r="CF39" s="14">
        <f>INDEX(属性投放!$AZ$6:$AZ$85,(BY39-2)*20+CD39)</f>
        <v>8316</v>
      </c>
      <c r="CG39" s="14" t="s">
        <v>22</v>
      </c>
      <c r="CH39" s="14">
        <f>INDEX(属性投放!$BA$6:$BA$85,(BY39-2)*20+CD39)</f>
        <v>4115</v>
      </c>
      <c r="CI39" s="14" t="s">
        <v>510</v>
      </c>
      <c r="CJ39" s="14">
        <f>INDEX(属性投放!$BB$6:$BB$85,(BY39-2)*20+CD39)</f>
        <v>72340</v>
      </c>
      <c r="CK39" s="14" t="s">
        <v>21</v>
      </c>
      <c r="CL39" s="14">
        <f>INDEX(属性投放!$BC$6:$BC$85,(BY39-2)*20+CD39)</f>
        <v>25</v>
      </c>
      <c r="CM39" s="14" t="s">
        <v>22</v>
      </c>
      <c r="CN39" s="14">
        <f>INDEX(属性投放!$BD$6:$BD$85,(BY39-2)*20+CD39)</f>
        <v>13</v>
      </c>
      <c r="CO39" s="14" t="s">
        <v>510</v>
      </c>
      <c r="CP39" s="14">
        <f>INDEX(属性投放!$BE$6:$BE$85,(BY39-2)*20+CD39)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INDEX($O$6:$O$50,CT39)&amp;"-"&amp;INDEX(属性投放!$AB$7:$AB$50,CZ39)&amp;"-魂火-"&amp;DB39</f>
        <v>关羽-焦热+2-魂火-2</v>
      </c>
      <c r="CY39" s="25" t="s">
        <v>142</v>
      </c>
      <c r="CZ39" s="14">
        <f>INDEX(属性投放!$AM$7:$AM$58,CU39)</f>
        <v>15</v>
      </c>
      <c r="DA39" s="14" t="s">
        <v>537</v>
      </c>
      <c r="DB39" s="14">
        <f>INDEX(属性投放!$AN$7:$AN$58,CU39)</f>
        <v>2</v>
      </c>
      <c r="DC39" s="14">
        <f t="shared" si="16"/>
        <v>35</v>
      </c>
      <c r="DD39" s="14">
        <f>INDEX(属性投放!$AO$7:$AO$58,DC39)</f>
        <v>105</v>
      </c>
      <c r="DE39" s="14" t="s">
        <v>538</v>
      </c>
      <c r="DF39" s="14">
        <f>INDEX(属性投放!$BK$6:$BK$85,(CV39-2)*20+CZ39)</f>
        <v>500</v>
      </c>
      <c r="DG39" s="14">
        <f>SUMIFS(DF$5:DF39,$CT$5:$CT39,"="&amp;$CT39)</f>
        <v>6339</v>
      </c>
      <c r="DH39" s="14" t="s">
        <v>539</v>
      </c>
      <c r="DI39" s="14">
        <f>INDEX(属性投放!$BL$6:$BL$85,(CV39-2)*20+CZ39)</f>
        <v>250</v>
      </c>
      <c r="DJ39" s="14">
        <f>SUMIFS(DI$5:DI39,$CT$5:$CT39,"="&amp;$CT39)</f>
        <v>3175</v>
      </c>
      <c r="DK39" s="14" t="s">
        <v>540</v>
      </c>
      <c r="DL39" s="14">
        <f>INDEX(属性投放!$BM$6:$BM$85,(CV39-2)*20+CZ39)</f>
        <v>5000</v>
      </c>
      <c r="DM39" s="14">
        <f>SUMIFS(DL$5:DL39,$CT$5:$CT39,"="&amp;$CT39)</f>
        <v>57802</v>
      </c>
      <c r="DR39" s="14">
        <f t="shared" si="17"/>
        <v>1102002</v>
      </c>
      <c r="DS39" s="14" t="str">
        <f t="shared" si="18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19"/>
        <v>3</v>
      </c>
      <c r="DX39" s="14">
        <f t="shared" si="20"/>
        <v>15</v>
      </c>
      <c r="DY39" s="14">
        <f t="shared" si="21"/>
        <v>35</v>
      </c>
      <c r="DZ39" s="14">
        <f>INDEX(属性投放!$AX$6:$AX$85,(卡牌属性!DW39-2)*20+卡牌属性!DX39)</f>
        <v>8</v>
      </c>
      <c r="EA39" s="14">
        <f>INDEX(属性投放!BQ$6:BQ$85,卡牌属性!$DY39)</f>
        <v>750</v>
      </c>
      <c r="EB39" s="14">
        <f>INDEX(属性投放!BR$6:BR$85,卡牌属性!$DY39)</f>
        <v>375</v>
      </c>
      <c r="EC39" s="14">
        <f>INDEX(属性投放!BS$6:BS$85,卡牌属性!$DY39)</f>
        <v>7500</v>
      </c>
      <c r="ED39" s="14">
        <f t="shared" si="105"/>
        <v>3890</v>
      </c>
      <c r="EE39" s="14">
        <f t="shared" si="106"/>
        <v>4246</v>
      </c>
      <c r="EF39" s="14">
        <f t="shared" si="107"/>
        <v>4396</v>
      </c>
      <c r="EG39" s="14">
        <f t="shared" si="108"/>
        <v>4396</v>
      </c>
      <c r="EH39" s="14">
        <f t="shared" si="109"/>
        <v>5213</v>
      </c>
      <c r="EI39" s="14">
        <f t="shared" si="110"/>
        <v>2097</v>
      </c>
      <c r="EJ39" s="14">
        <f t="shared" si="111"/>
        <v>2175</v>
      </c>
      <c r="EK39" s="14">
        <f t="shared" si="112"/>
        <v>2175</v>
      </c>
      <c r="EL39" s="14">
        <f t="shared" si="113"/>
        <v>2578</v>
      </c>
      <c r="EM39" s="14">
        <f t="shared" si="114"/>
        <v>2778</v>
      </c>
      <c r="EN39" s="14">
        <f t="shared" si="115"/>
        <v>36684</v>
      </c>
      <c r="EO39" s="14">
        <f t="shared" si="116"/>
        <v>43498</v>
      </c>
      <c r="EP39" s="14">
        <f t="shared" si="117"/>
        <v>43498</v>
      </c>
      <c r="EQ39" s="14">
        <f t="shared" si="118"/>
        <v>46442</v>
      </c>
      <c r="ER39" s="14">
        <f t="shared" si="119"/>
        <v>49540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INDEX(属性投放!$BQ$6:$BQ$85,(卡牌属性!$DW39-2)*20+卡牌属性!$DX39)</f>
        <v>750</v>
      </c>
      <c r="FI39" s="14">
        <f>INDEX(属性投放!$BQ$6:$BQ$85,(卡牌属性!$DW39-2)*20+卡牌属性!$DX39)</f>
        <v>750</v>
      </c>
      <c r="FJ39" s="14">
        <f>INDEX(属性投放!$BQ$6:$BQ$85,(卡牌属性!$DW39-2)*20+卡牌属性!$DX39)</f>
        <v>750</v>
      </c>
      <c r="FK39" s="14">
        <f>INDEX(属性投放!$BQ$6:$BQ$85,(卡牌属性!$DW39-2)*20+卡牌属性!$DX39)</f>
        <v>750</v>
      </c>
      <c r="FL39" s="14">
        <f>INDEX(属性投放!$BQ$6:$BQ$85,(卡牌属性!$DW39-2)*20+卡牌属性!$DX39)</f>
        <v>750</v>
      </c>
      <c r="FM39" s="14">
        <f>INDEX(属性投放!$BR$6:$BR$85,(卡牌属性!$DW39-2)*20+卡牌属性!$DX39)</f>
        <v>375</v>
      </c>
      <c r="FN39" s="14">
        <f>INDEX(属性投放!$BR$6:$BR$85,(卡牌属性!$DW39-2)*20+卡牌属性!$DX39)</f>
        <v>375</v>
      </c>
      <c r="FO39" s="14">
        <f>INDEX(属性投放!$BR$6:$BR$85,(卡牌属性!$DW39-2)*20+卡牌属性!$DX39)</f>
        <v>375</v>
      </c>
      <c r="FP39" s="14">
        <f>INDEX(属性投放!$BR$6:$BR$85,(卡牌属性!$DW39-2)*20+卡牌属性!$DX39)</f>
        <v>375</v>
      </c>
      <c r="FQ39" s="14">
        <f>INDEX(属性投放!$BR$6:$BR$85,(卡牌属性!$DW39-2)*20+卡牌属性!$DX39)</f>
        <v>375</v>
      </c>
      <c r="FR39" s="14">
        <f>INDEX(属性投放!$BS$6:$BS$85,(卡牌属性!$DW39-2)*20+卡牌属性!$DX39)</f>
        <v>7500</v>
      </c>
      <c r="FS39" s="14">
        <f>INDEX(属性投放!$BS$6:$BS$85,(卡牌属性!$DW39-2)*20+卡牌属性!$DX39)</f>
        <v>7500</v>
      </c>
      <c r="FT39" s="14">
        <f>INDEX(属性投放!$BS$6:$BS$85,(卡牌属性!$DW39-2)*20+卡牌属性!$DX39)</f>
        <v>7500</v>
      </c>
      <c r="FU39" s="14">
        <f>INDEX(属性投放!$BS$6:$BS$85,(卡牌属性!$DW39-2)*20+卡牌属性!$DX39)</f>
        <v>7500</v>
      </c>
      <c r="FV39" s="14">
        <f>INDEX(属性投放!$BS$6:$BS$85,(卡牌属性!$DW39-2)*20+卡牌属性!$DX39)</f>
        <v>7500</v>
      </c>
      <c r="FZ39" s="13">
        <v>35</v>
      </c>
      <c r="GA39" s="13">
        <f t="shared" si="121"/>
        <v>7</v>
      </c>
      <c r="GB39" s="14">
        <f t="shared" si="56"/>
        <v>1102007</v>
      </c>
      <c r="GC39" s="14" t="s">
        <v>1187</v>
      </c>
      <c r="GD39" s="14">
        <f t="shared" si="122"/>
        <v>5</v>
      </c>
      <c r="GE39" s="14" t="str">
        <f t="shared" si="123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4"/>
        <v>7</v>
      </c>
      <c r="GP39" s="14">
        <f t="shared" si="57"/>
        <v>1101007</v>
      </c>
      <c r="GQ39" s="14" t="s">
        <v>1187</v>
      </c>
      <c r="GR39" s="14">
        <f t="shared" si="125"/>
        <v>5</v>
      </c>
      <c r="GS39" s="14" t="str">
        <f t="shared" si="126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MATCH(HC39,属性投放!$AO$6:$AO$58,1)-1</f>
        <v>7</v>
      </c>
      <c r="HF39" s="13">
        <f>MATCH(HC39-1,属性投放!$AE$6:$AE$26,1)</f>
        <v>4</v>
      </c>
      <c r="HG39" s="13" t="str">
        <f>INDEX(属性投放!$AB$7:$AB$26,卡牌属性!HF39)</f>
        <v>众合</v>
      </c>
      <c r="HH39" s="14">
        <f t="shared" si="58"/>
        <v>703</v>
      </c>
      <c r="HI39" s="14">
        <f t="shared" si="59"/>
        <v>258</v>
      </c>
      <c r="HJ39" s="14">
        <f t="shared" si="60"/>
        <v>3260</v>
      </c>
      <c r="HK39" s="14">
        <f t="shared" si="61"/>
        <v>20</v>
      </c>
      <c r="HL39" s="14">
        <f t="shared" si="62"/>
        <v>7</v>
      </c>
      <c r="HM39" s="14">
        <f t="shared" si="63"/>
        <v>91</v>
      </c>
      <c r="HN39" s="14">
        <f>HH39+HK39*($HC39-INDEX(属性投放!$AE$6:$AE$26,卡牌属性!$HF39))</f>
        <v>903</v>
      </c>
      <c r="HO39" s="14">
        <f>HI39+HL39*($HC39-INDEX(属性投放!$AE$6:$AE$26,卡牌属性!$HF39))</f>
        <v>328</v>
      </c>
      <c r="HP39" s="14">
        <f>HJ39+HM39*($HC39-INDEX(属性投放!$AE$6:$AE$26,卡牌属性!$HF39))</f>
        <v>4170</v>
      </c>
      <c r="HQ39" s="14">
        <f t="shared" si="64"/>
        <v>245</v>
      </c>
      <c r="HR39" s="14">
        <f t="shared" si="65"/>
        <v>125</v>
      </c>
      <c r="HS39" s="14">
        <f t="shared" si="66"/>
        <v>1560</v>
      </c>
      <c r="HT39" s="14">
        <f>IF(COUNTIF(属性投放!$AO$7:$AO$58,"="&amp;卡牌属性!HC39)&gt;0,卡牌属性!HE39,0)</f>
        <v>0</v>
      </c>
      <c r="HU39" s="14">
        <f t="shared" si="67"/>
        <v>0</v>
      </c>
      <c r="HV39" s="14">
        <f t="shared" si="68"/>
        <v>0</v>
      </c>
      <c r="HW39" s="14">
        <f t="shared" si="69"/>
        <v>0</v>
      </c>
      <c r="HX39" s="14">
        <f>IF(COUNTIF(属性投放!$AE$6:$AE$26,"="&amp;卡牌属性!HC39)&gt;0,卡牌属性!HF39,0)</f>
        <v>4</v>
      </c>
      <c r="HY39" s="14">
        <f t="shared" si="70"/>
        <v>80</v>
      </c>
      <c r="HZ39" s="14">
        <f t="shared" si="71"/>
        <v>40</v>
      </c>
      <c r="IA39" s="14">
        <f t="shared" si="72"/>
        <v>480</v>
      </c>
      <c r="IB39" s="14">
        <f t="shared" si="73"/>
        <v>20</v>
      </c>
      <c r="IC39" s="14">
        <f t="shared" si="74"/>
        <v>7</v>
      </c>
      <c r="ID39" s="14">
        <f t="shared" si="75"/>
        <v>91</v>
      </c>
      <c r="IE39" s="14">
        <f t="shared" si="76"/>
        <v>1148</v>
      </c>
      <c r="IF39" s="14">
        <f t="shared" si="77"/>
        <v>453</v>
      </c>
      <c r="IG39" s="14">
        <f t="shared" si="78"/>
        <v>5730</v>
      </c>
      <c r="IH39" s="14">
        <f t="shared" si="79"/>
        <v>431</v>
      </c>
      <c r="II39" s="14">
        <f t="shared" si="80"/>
        <v>0</v>
      </c>
      <c r="IJ39" s="14">
        <f t="shared" si="81"/>
        <v>2080</v>
      </c>
      <c r="IK39" s="14">
        <f t="shared" si="82"/>
        <v>26270</v>
      </c>
      <c r="IL39" s="17">
        <f t="shared" si="83"/>
        <v>1.6406547392462886E-2</v>
      </c>
      <c r="IM39" s="17">
        <f t="shared" si="84"/>
        <v>0</v>
      </c>
      <c r="IN39" s="17">
        <f t="shared" si="85"/>
        <v>7.9177769318614394E-2</v>
      </c>
      <c r="IO39" s="23">
        <f>SUM(IH$5:IH39)</f>
        <v>12550</v>
      </c>
      <c r="IP39" s="14">
        <f>SUM(II$5:II39)</f>
        <v>6510</v>
      </c>
      <c r="IQ39" s="14">
        <f>SUM(IJ$5:IJ39)</f>
        <v>4040</v>
      </c>
      <c r="IR39" s="17">
        <f t="shared" si="86"/>
        <v>0.47773125237913971</v>
      </c>
      <c r="IS39" s="17">
        <f t="shared" si="87"/>
        <v>0.2478111914731633</v>
      </c>
      <c r="IT39" s="17">
        <f t="shared" si="88"/>
        <v>0.15378759040730872</v>
      </c>
      <c r="IW39" s="13">
        <v>35</v>
      </c>
      <c r="IX39" s="14">
        <f>MATCH(IW39-1,属性投放!$T$6:$T$66,1)</f>
        <v>2</v>
      </c>
      <c r="IY39" s="14">
        <f>MATCH(IW39-1,属性投放!$AD$7:$AD$26,1)</f>
        <v>4</v>
      </c>
      <c r="IZ39" s="14" t="str">
        <f>INDEX(属性投放!$AB$7:$AB$26,IY39)</f>
        <v>众合</v>
      </c>
      <c r="JA39" s="14">
        <f t="shared" si="89"/>
        <v>338</v>
      </c>
      <c r="JB39" s="14">
        <f t="shared" si="90"/>
        <v>120</v>
      </c>
      <c r="JC39" s="14">
        <f t="shared" si="91"/>
        <v>1658</v>
      </c>
      <c r="JD39" s="14">
        <f t="shared" si="92"/>
        <v>22</v>
      </c>
      <c r="JE39" s="14">
        <f t="shared" si="93"/>
        <v>11</v>
      </c>
      <c r="JF39" s="14">
        <f t="shared" si="94"/>
        <v>153</v>
      </c>
      <c r="JG39" s="14">
        <f>INDEX(属性投放!$DC$6:$DC$85,卡牌属性!IY39)</f>
        <v>20</v>
      </c>
      <c r="JH39" s="14">
        <f t="shared" si="95"/>
        <v>668</v>
      </c>
      <c r="JI39" s="14">
        <f t="shared" si="96"/>
        <v>285</v>
      </c>
      <c r="JJ39" s="14">
        <f t="shared" si="97"/>
        <v>3953</v>
      </c>
      <c r="JK39" s="14">
        <f t="shared" si="98"/>
        <v>10143</v>
      </c>
    </row>
    <row r="40" spans="14:271" ht="16.5" x14ac:dyDescent="0.2">
      <c r="AE40" s="13">
        <v>36</v>
      </c>
      <c r="AF40" s="13">
        <f t="shared" si="31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142</v>
      </c>
      <c r="AM40" s="14">
        <v>1</v>
      </c>
      <c r="AN40" s="14">
        <f t="shared" si="5"/>
        <v>16</v>
      </c>
      <c r="AO40" s="14">
        <f>INDEX(属性投放!$DF$6:$DF$85,(卡牌属性!AG40-2)*20+卡牌属性!AN40)</f>
        <v>9545</v>
      </c>
      <c r="AP40" s="14">
        <f t="shared" si="99"/>
        <v>9545</v>
      </c>
      <c r="AQ40" s="14">
        <f t="shared" si="99"/>
        <v>9545</v>
      </c>
      <c r="AR40" s="14">
        <f t="shared" si="99"/>
        <v>9545</v>
      </c>
      <c r="AS40" s="14">
        <f t="shared" si="99"/>
        <v>9545</v>
      </c>
      <c r="AT40" s="14">
        <f>INDEX(属性投放!$DG$6:$DG$85,(卡牌属性!AG40-2)*20+卡牌属性!AN40)</f>
        <v>4739</v>
      </c>
      <c r="AU40" s="14">
        <f t="shared" si="100"/>
        <v>4739</v>
      </c>
      <c r="AV40" s="14">
        <f t="shared" si="100"/>
        <v>4739</v>
      </c>
      <c r="AW40" s="14">
        <f t="shared" si="100"/>
        <v>4739</v>
      </c>
      <c r="AX40" s="14">
        <f t="shared" si="100"/>
        <v>4739</v>
      </c>
      <c r="AY40" s="14">
        <f>INDEX(属性投放!$DH$6:$DH$85,(卡牌属性!AG40-2)*20+卡牌属性!AN40)</f>
        <v>87226</v>
      </c>
      <c r="AZ40" s="14">
        <f t="shared" si="101"/>
        <v>87226</v>
      </c>
      <c r="BA40" s="14">
        <f t="shared" si="101"/>
        <v>87226</v>
      </c>
      <c r="BB40" s="14">
        <f t="shared" si="101"/>
        <v>87226</v>
      </c>
      <c r="BC40" s="14">
        <f t="shared" si="101"/>
        <v>87226</v>
      </c>
      <c r="BD40" s="14">
        <f>INDEX(属性投放!$DL$6:$DL$85,(卡牌属性!AG40-2)*20+卡牌属性!AN40)</f>
        <v>235</v>
      </c>
      <c r="BE40" s="14">
        <f t="shared" si="102"/>
        <v>235</v>
      </c>
      <c r="BF40" s="14">
        <f t="shared" si="102"/>
        <v>235</v>
      </c>
      <c r="BG40" s="14">
        <f t="shared" si="102"/>
        <v>235</v>
      </c>
      <c r="BH40" s="14">
        <f t="shared" si="102"/>
        <v>235</v>
      </c>
      <c r="BI40" s="14">
        <f>INDEX(属性投放!$DM$6:$DM$85,(卡牌属性!AG40-2)*20+卡牌属性!AN40)</f>
        <v>117</v>
      </c>
      <c r="BJ40" s="14">
        <f t="shared" si="103"/>
        <v>117</v>
      </c>
      <c r="BK40" s="14">
        <f t="shared" si="103"/>
        <v>117</v>
      </c>
      <c r="BL40" s="14">
        <f t="shared" si="103"/>
        <v>117</v>
      </c>
      <c r="BM40" s="14">
        <f t="shared" si="103"/>
        <v>117</v>
      </c>
      <c r="BN40" s="14">
        <f>INDEX(属性投放!$DN$6:$DN$85,(卡牌属性!AG40-2)*20+卡牌属性!AN40)</f>
        <v>2346</v>
      </c>
      <c r="BO40" s="14">
        <f t="shared" si="104"/>
        <v>2346</v>
      </c>
      <c r="BP40" s="14">
        <f t="shared" si="104"/>
        <v>2346</v>
      </c>
      <c r="BQ40" s="14">
        <f t="shared" si="104"/>
        <v>2346</v>
      </c>
      <c r="BR40" s="14">
        <f t="shared" si="104"/>
        <v>2346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32"/>
        <v>1102002</v>
      </c>
      <c r="CA40" s="14" t="str">
        <f t="shared" si="33"/>
        <v>许褚16突</v>
      </c>
      <c r="CB40" s="25" t="s">
        <v>142</v>
      </c>
      <c r="CC40" s="14">
        <v>2</v>
      </c>
      <c r="CD40" s="14">
        <f t="shared" si="14"/>
        <v>16</v>
      </c>
      <c r="CE40" s="14" t="s">
        <v>21</v>
      </c>
      <c r="CF40" s="14">
        <f>INDEX(属性投放!$AZ$6:$AZ$85,(BY40-2)*20+CD40)</f>
        <v>10466</v>
      </c>
      <c r="CG40" s="14" t="s">
        <v>22</v>
      </c>
      <c r="CH40" s="14">
        <f>INDEX(属性投放!$BA$6:$BA$85,(BY40-2)*20+CD40)</f>
        <v>5194</v>
      </c>
      <c r="CI40" s="14" t="s">
        <v>510</v>
      </c>
      <c r="CJ40" s="14">
        <f>INDEX(属性投放!$BB$6:$BB$85,(BY40-2)*20+CD40)</f>
        <v>93840</v>
      </c>
      <c r="CK40" s="14" t="s">
        <v>21</v>
      </c>
      <c r="CL40" s="14">
        <f>INDEX(属性投放!$BC$6:$BC$85,(BY40-2)*20+CD40)</f>
        <v>30</v>
      </c>
      <c r="CM40" s="14" t="s">
        <v>22</v>
      </c>
      <c r="CN40" s="14">
        <f>INDEX(属性投放!$BD$6:$BD$85,(BY40-2)*20+CD40)</f>
        <v>15</v>
      </c>
      <c r="CO40" s="14" t="s">
        <v>510</v>
      </c>
      <c r="CP40" s="14">
        <f>INDEX(属性投放!$BE$6:$BE$85,(BY40-2)*20+CD40)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INDEX($O$6:$O$50,CT40)&amp;"-"&amp;INDEX(属性投放!$AB$7:$AB$50,CZ40)&amp;"-魂火-"&amp;DB40</f>
        <v>关羽-焦热+2-魂火-3</v>
      </c>
      <c r="CY40" s="25" t="s">
        <v>142</v>
      </c>
      <c r="CZ40" s="14">
        <f>INDEX(属性投放!$AM$7:$AM$58,CU40)</f>
        <v>15</v>
      </c>
      <c r="DA40" s="14" t="s">
        <v>537</v>
      </c>
      <c r="DB40" s="14">
        <f>INDEX(属性投放!$AN$7:$AN$58,CU40)</f>
        <v>3</v>
      </c>
      <c r="DC40" s="14">
        <f t="shared" si="16"/>
        <v>36</v>
      </c>
      <c r="DD40" s="14">
        <f>INDEX(属性投放!$AO$7:$AO$58,DC40)</f>
        <v>108</v>
      </c>
      <c r="DE40" s="14" t="s">
        <v>538</v>
      </c>
      <c r="DF40" s="14">
        <f>INDEX(属性投放!$BK$6:$BK$85,(CV40-2)*20+CZ40)</f>
        <v>500</v>
      </c>
      <c r="DG40" s="14">
        <f>SUMIFS(DF$5:DF40,$CT$5:$CT40,"="&amp;$CT40)</f>
        <v>6839</v>
      </c>
      <c r="DH40" s="14" t="s">
        <v>539</v>
      </c>
      <c r="DI40" s="14">
        <f>INDEX(属性投放!$BL$6:$BL$85,(CV40-2)*20+CZ40)</f>
        <v>250</v>
      </c>
      <c r="DJ40" s="14">
        <f>SUMIFS(DI$5:DI40,$CT$5:$CT40,"="&amp;$CT40)</f>
        <v>3425</v>
      </c>
      <c r="DK40" s="14" t="s">
        <v>540</v>
      </c>
      <c r="DL40" s="14">
        <f>INDEX(属性投放!$BM$6:$BM$85,(CV40-2)*20+CZ40)</f>
        <v>5000</v>
      </c>
      <c r="DM40" s="14">
        <f>SUMIFS(DL$5:DL40,$CT$5:$CT40,"="&amp;$CT40)</f>
        <v>62802</v>
      </c>
      <c r="DR40" s="14">
        <f t="shared" si="17"/>
        <v>1102002</v>
      </c>
      <c r="DS40" s="14" t="str">
        <f t="shared" si="18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19"/>
        <v>3</v>
      </c>
      <c r="DX40" s="14">
        <f t="shared" si="20"/>
        <v>16</v>
      </c>
      <c r="DY40" s="14">
        <f t="shared" si="21"/>
        <v>36</v>
      </c>
      <c r="DZ40" s="14">
        <f>INDEX(属性投放!$AX$6:$AX$85,(卡牌属性!DW40-2)*20+卡牌属性!DX40)</f>
        <v>7</v>
      </c>
      <c r="EA40" s="14">
        <f>INDEX(属性投放!BQ$6:BQ$85,卡牌属性!$DY40)</f>
        <v>800</v>
      </c>
      <c r="EB40" s="14">
        <f>INDEX(属性投放!BR$6:BR$85,卡牌属性!$DY40)</f>
        <v>400</v>
      </c>
      <c r="EC40" s="14">
        <f>INDEX(属性投放!BS$6:BS$85,卡牌属性!$DY40)</f>
        <v>8000</v>
      </c>
      <c r="ED40" s="14">
        <f t="shared" si="105"/>
        <v>4800</v>
      </c>
      <c r="EE40" s="14">
        <f t="shared" si="106"/>
        <v>5196</v>
      </c>
      <c r="EF40" s="14">
        <f t="shared" si="107"/>
        <v>5354</v>
      </c>
      <c r="EG40" s="14">
        <f t="shared" si="108"/>
        <v>5354</v>
      </c>
      <c r="EH40" s="14">
        <f t="shared" si="109"/>
        <v>6283</v>
      </c>
      <c r="EI40" s="14">
        <f t="shared" si="110"/>
        <v>2576</v>
      </c>
      <c r="EJ40" s="14">
        <f t="shared" si="111"/>
        <v>2654</v>
      </c>
      <c r="EK40" s="14">
        <f t="shared" si="112"/>
        <v>2654</v>
      </c>
      <c r="EL40" s="14">
        <f t="shared" si="113"/>
        <v>3113</v>
      </c>
      <c r="EM40" s="14">
        <f t="shared" si="114"/>
        <v>3337</v>
      </c>
      <c r="EN40" s="14">
        <f t="shared" si="115"/>
        <v>46264</v>
      </c>
      <c r="EO40" s="14">
        <f t="shared" si="116"/>
        <v>54198</v>
      </c>
      <c r="EP40" s="14">
        <f t="shared" si="117"/>
        <v>54198</v>
      </c>
      <c r="EQ40" s="14">
        <f t="shared" si="118"/>
        <v>57542</v>
      </c>
      <c r="ER40" s="14">
        <f t="shared" si="119"/>
        <v>61040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INDEX(属性投放!$BQ$6:$BQ$85,(卡牌属性!$DW40-2)*20+卡牌属性!$DX40)</f>
        <v>800</v>
      </c>
      <c r="FI40" s="14">
        <f>INDEX(属性投放!$BQ$6:$BQ$85,(卡牌属性!$DW40-2)*20+卡牌属性!$DX40)</f>
        <v>800</v>
      </c>
      <c r="FJ40" s="14">
        <f>INDEX(属性投放!$BQ$6:$BQ$85,(卡牌属性!$DW40-2)*20+卡牌属性!$DX40)</f>
        <v>800</v>
      </c>
      <c r="FK40" s="14">
        <f>INDEX(属性投放!$BQ$6:$BQ$85,(卡牌属性!$DW40-2)*20+卡牌属性!$DX40)</f>
        <v>800</v>
      </c>
      <c r="FL40" s="14">
        <f>INDEX(属性投放!$BQ$6:$BQ$85,(卡牌属性!$DW40-2)*20+卡牌属性!$DX40)</f>
        <v>800</v>
      </c>
      <c r="FM40" s="14">
        <f>INDEX(属性投放!$BR$6:$BR$85,(卡牌属性!$DW40-2)*20+卡牌属性!$DX40)</f>
        <v>400</v>
      </c>
      <c r="FN40" s="14">
        <f>INDEX(属性投放!$BR$6:$BR$85,(卡牌属性!$DW40-2)*20+卡牌属性!$DX40)</f>
        <v>400</v>
      </c>
      <c r="FO40" s="14">
        <f>INDEX(属性投放!$BR$6:$BR$85,(卡牌属性!$DW40-2)*20+卡牌属性!$DX40)</f>
        <v>400</v>
      </c>
      <c r="FP40" s="14">
        <f>INDEX(属性投放!$BR$6:$BR$85,(卡牌属性!$DW40-2)*20+卡牌属性!$DX40)</f>
        <v>400</v>
      </c>
      <c r="FQ40" s="14">
        <f>INDEX(属性投放!$BR$6:$BR$85,(卡牌属性!$DW40-2)*20+卡牌属性!$DX40)</f>
        <v>400</v>
      </c>
      <c r="FR40" s="14">
        <f>INDEX(属性投放!$BS$6:$BS$85,(卡牌属性!$DW40-2)*20+卡牌属性!$DX40)</f>
        <v>8000</v>
      </c>
      <c r="FS40" s="14">
        <f>INDEX(属性投放!$BS$6:$BS$85,(卡牌属性!$DW40-2)*20+卡牌属性!$DX40)</f>
        <v>8000</v>
      </c>
      <c r="FT40" s="14">
        <f>INDEX(属性投放!$BS$6:$BS$85,(卡牌属性!$DW40-2)*20+卡牌属性!$DX40)</f>
        <v>8000</v>
      </c>
      <c r="FU40" s="14">
        <f>INDEX(属性投放!$BS$6:$BS$85,(卡牌属性!$DW40-2)*20+卡牌属性!$DX40)</f>
        <v>8000</v>
      </c>
      <c r="FV40" s="14">
        <f>INDEX(属性投放!$BS$6:$BS$85,(卡牌属性!$DW40-2)*20+卡牌属性!$DX40)</f>
        <v>8000</v>
      </c>
      <c r="FZ40" s="13">
        <v>36</v>
      </c>
      <c r="GA40" s="13">
        <f t="shared" si="121"/>
        <v>8</v>
      </c>
      <c r="GB40" s="14">
        <f t="shared" si="56"/>
        <v>1102008</v>
      </c>
      <c r="GC40" s="14" t="s">
        <v>1187</v>
      </c>
      <c r="GD40" s="14">
        <f t="shared" si="122"/>
        <v>1</v>
      </c>
      <c r="GE40" s="14" t="str">
        <f t="shared" si="123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4"/>
        <v>8</v>
      </c>
      <c r="GP40" s="14">
        <f t="shared" si="57"/>
        <v>1101008</v>
      </c>
      <c r="GQ40" s="14" t="s">
        <v>1187</v>
      </c>
      <c r="GR40" s="14">
        <f t="shared" si="125"/>
        <v>1</v>
      </c>
      <c r="GS40" s="14" t="str">
        <f t="shared" si="126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MATCH(HC40,属性投放!$AO$6:$AO$58,1)-1</f>
        <v>7</v>
      </c>
      <c r="HF40" s="13">
        <f>MATCH(HC40-1,属性投放!$AE$6:$AE$26,1)</f>
        <v>5</v>
      </c>
      <c r="HG40" s="13" t="str">
        <f>INDEX(属性投放!$AB$7:$AB$26,卡牌属性!HF40)</f>
        <v>众合+1</v>
      </c>
      <c r="HH40" s="14">
        <f t="shared" si="58"/>
        <v>1003</v>
      </c>
      <c r="HI40" s="14">
        <f t="shared" si="59"/>
        <v>378</v>
      </c>
      <c r="HJ40" s="14">
        <f t="shared" si="60"/>
        <v>4870</v>
      </c>
      <c r="HK40" s="14">
        <f t="shared" si="61"/>
        <v>20</v>
      </c>
      <c r="HL40" s="14">
        <f t="shared" si="62"/>
        <v>7</v>
      </c>
      <c r="HM40" s="14">
        <f t="shared" si="63"/>
        <v>91</v>
      </c>
      <c r="HN40" s="14">
        <f>HH40+HK40*($HC40-INDEX(属性投放!$AE$6:$AE$26,卡牌属性!$HF40))</f>
        <v>1023</v>
      </c>
      <c r="HO40" s="14">
        <f>HI40+HL40*($HC40-INDEX(属性投放!$AE$6:$AE$26,卡牌属性!$HF40))</f>
        <v>385</v>
      </c>
      <c r="HP40" s="14">
        <f>HJ40+HM40*($HC40-INDEX(属性投放!$AE$6:$AE$26,卡牌属性!$HF40))</f>
        <v>4961</v>
      </c>
      <c r="HQ40" s="14">
        <f t="shared" si="64"/>
        <v>245</v>
      </c>
      <c r="HR40" s="14">
        <f t="shared" si="65"/>
        <v>125</v>
      </c>
      <c r="HS40" s="14">
        <f t="shared" si="66"/>
        <v>1560</v>
      </c>
      <c r="HT40" s="14">
        <f>IF(COUNTIF(属性投放!$AO$7:$AO$58,"="&amp;卡牌属性!HC40)&gt;0,卡牌属性!HE40,0)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IF(COUNTIF(属性投放!$AE$6:$AE$26,"="&amp;卡牌属性!HC40)&gt;0,卡牌属性!HF40,0)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20</v>
      </c>
      <c r="IC40" s="14">
        <f t="shared" si="74"/>
        <v>7</v>
      </c>
      <c r="ID40" s="14">
        <f t="shared" si="75"/>
        <v>91</v>
      </c>
      <c r="IE40" s="14">
        <f t="shared" si="76"/>
        <v>1268</v>
      </c>
      <c r="IF40" s="14">
        <f t="shared" si="77"/>
        <v>510</v>
      </c>
      <c r="IG40" s="14">
        <f t="shared" si="78"/>
        <v>6521</v>
      </c>
      <c r="IH40" s="14">
        <f t="shared" si="79"/>
        <v>431</v>
      </c>
      <c r="II40" s="14">
        <f t="shared" si="80"/>
        <v>0</v>
      </c>
      <c r="IJ40" s="14">
        <f t="shared" si="81"/>
        <v>0</v>
      </c>
      <c r="IK40" s="14">
        <f t="shared" si="82"/>
        <v>29401</v>
      </c>
      <c r="IL40" s="17">
        <f t="shared" si="83"/>
        <v>1.4659365327709941E-2</v>
      </c>
      <c r="IM40" s="17">
        <f t="shared" si="84"/>
        <v>0</v>
      </c>
      <c r="IN40" s="17">
        <f t="shared" si="85"/>
        <v>0</v>
      </c>
      <c r="IO40" s="23">
        <f>SUM(IH$5:IH40)</f>
        <v>12981</v>
      </c>
      <c r="IP40" s="14">
        <f>SUM(II$5:II40)</f>
        <v>6510</v>
      </c>
      <c r="IQ40" s="14">
        <f>SUM(IJ$5:IJ40)</f>
        <v>4040</v>
      </c>
      <c r="IR40" s="17">
        <f t="shared" si="86"/>
        <v>0.44151559470766299</v>
      </c>
      <c r="IS40" s="17">
        <f t="shared" si="87"/>
        <v>0.22142104010067684</v>
      </c>
      <c r="IT40" s="17">
        <f t="shared" si="88"/>
        <v>0.1374102921669331</v>
      </c>
      <c r="IW40" s="13">
        <v>36</v>
      </c>
      <c r="IX40" s="14">
        <f>MATCH(IW40-1,属性投放!$T$6:$T$66,1)</f>
        <v>2</v>
      </c>
      <c r="IY40" s="14">
        <f>MATCH(IW40-1,属性投放!$AD$7:$AD$26,1)</f>
        <v>4</v>
      </c>
      <c r="IZ40" s="14" t="str">
        <f>INDEX(属性投放!$AB$7:$AB$26,IY40)</f>
        <v>众合</v>
      </c>
      <c r="JA40" s="14">
        <f t="shared" si="89"/>
        <v>338</v>
      </c>
      <c r="JB40" s="14">
        <f t="shared" si="90"/>
        <v>120</v>
      </c>
      <c r="JC40" s="14">
        <f t="shared" si="91"/>
        <v>1658</v>
      </c>
      <c r="JD40" s="14">
        <f t="shared" si="92"/>
        <v>22</v>
      </c>
      <c r="JE40" s="14">
        <f t="shared" si="93"/>
        <v>11</v>
      </c>
      <c r="JF40" s="14">
        <f t="shared" si="94"/>
        <v>153</v>
      </c>
      <c r="JG40" s="14">
        <f>INDEX(属性投放!$DC$6:$DC$85,卡牌属性!IY40)</f>
        <v>20</v>
      </c>
      <c r="JH40" s="14">
        <f t="shared" si="95"/>
        <v>690</v>
      </c>
      <c r="JI40" s="14">
        <f t="shared" si="96"/>
        <v>296</v>
      </c>
      <c r="JJ40" s="14">
        <f t="shared" si="97"/>
        <v>4106</v>
      </c>
      <c r="JK40" s="14">
        <f t="shared" si="98"/>
        <v>10516</v>
      </c>
    </row>
    <row r="41" spans="14:271" ht="16.5" x14ac:dyDescent="0.2">
      <c r="AE41" s="13">
        <v>37</v>
      </c>
      <c r="AF41" s="13">
        <f t="shared" si="31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142</v>
      </c>
      <c r="AM41" s="14">
        <v>1</v>
      </c>
      <c r="AN41" s="14">
        <f t="shared" si="5"/>
        <v>17</v>
      </c>
      <c r="AO41" s="14">
        <f>INDEX(属性投放!$DF$6:$DF$85,(卡牌属性!AG41-2)*20+卡牌属性!AN41)</f>
        <v>10383</v>
      </c>
      <c r="AP41" s="14">
        <f t="shared" si="99"/>
        <v>10383</v>
      </c>
      <c r="AQ41" s="14">
        <f t="shared" si="99"/>
        <v>10383</v>
      </c>
      <c r="AR41" s="14">
        <f t="shared" si="99"/>
        <v>10383</v>
      </c>
      <c r="AS41" s="14">
        <f t="shared" si="99"/>
        <v>10383</v>
      </c>
      <c r="AT41" s="14">
        <f>INDEX(属性投放!$DG$6:$DG$85,(卡牌属性!AG41-2)*20+卡牌属性!AN41)</f>
        <v>5158</v>
      </c>
      <c r="AU41" s="14">
        <f t="shared" si="100"/>
        <v>5158</v>
      </c>
      <c r="AV41" s="14">
        <f t="shared" si="100"/>
        <v>5158</v>
      </c>
      <c r="AW41" s="14">
        <f t="shared" si="100"/>
        <v>5158</v>
      </c>
      <c r="AX41" s="14">
        <f t="shared" si="100"/>
        <v>5158</v>
      </c>
      <c r="AY41" s="14">
        <f>INDEX(属性投放!$DH$6:$DH$85,(卡牌属性!AG41-2)*20+卡牌属性!AN41)</f>
        <v>95606</v>
      </c>
      <c r="AZ41" s="14">
        <f t="shared" si="101"/>
        <v>95606</v>
      </c>
      <c r="BA41" s="14">
        <f t="shared" si="101"/>
        <v>95606</v>
      </c>
      <c r="BB41" s="14">
        <f t="shared" si="101"/>
        <v>95606</v>
      </c>
      <c r="BC41" s="14">
        <f t="shared" si="101"/>
        <v>95606</v>
      </c>
      <c r="BD41" s="14">
        <f>INDEX(属性投放!$DL$6:$DL$85,(卡牌属性!AG41-2)*20+卡牌属性!AN41)</f>
        <v>235</v>
      </c>
      <c r="BE41" s="14">
        <f t="shared" si="102"/>
        <v>235</v>
      </c>
      <c r="BF41" s="14">
        <f t="shared" si="102"/>
        <v>235</v>
      </c>
      <c r="BG41" s="14">
        <f t="shared" si="102"/>
        <v>235</v>
      </c>
      <c r="BH41" s="14">
        <f t="shared" si="102"/>
        <v>235</v>
      </c>
      <c r="BI41" s="14">
        <f>INDEX(属性投放!$DM$6:$DM$85,(卡牌属性!AG41-2)*20+卡牌属性!AN41)</f>
        <v>117</v>
      </c>
      <c r="BJ41" s="14">
        <f t="shared" si="103"/>
        <v>117</v>
      </c>
      <c r="BK41" s="14">
        <f t="shared" si="103"/>
        <v>117</v>
      </c>
      <c r="BL41" s="14">
        <f t="shared" si="103"/>
        <v>117</v>
      </c>
      <c r="BM41" s="14">
        <f t="shared" si="103"/>
        <v>117</v>
      </c>
      <c r="BN41" s="14">
        <f>INDEX(属性投放!$DN$6:$DN$85,(卡牌属性!AG41-2)*20+卡牌属性!AN41)</f>
        <v>2346</v>
      </c>
      <c r="BO41" s="14">
        <f t="shared" si="104"/>
        <v>2346</v>
      </c>
      <c r="BP41" s="14">
        <f t="shared" si="104"/>
        <v>2346</v>
      </c>
      <c r="BQ41" s="14">
        <f t="shared" si="104"/>
        <v>2346</v>
      </c>
      <c r="BR41" s="14">
        <f t="shared" si="104"/>
        <v>2346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32"/>
        <v>1102002</v>
      </c>
      <c r="CA41" s="14" t="str">
        <f t="shared" si="33"/>
        <v>许褚17突</v>
      </c>
      <c r="CB41" s="25" t="s">
        <v>142</v>
      </c>
      <c r="CC41" s="14">
        <v>2</v>
      </c>
      <c r="CD41" s="14">
        <f t="shared" si="14"/>
        <v>17</v>
      </c>
      <c r="CE41" s="14" t="s">
        <v>21</v>
      </c>
      <c r="CF41" s="14">
        <f>INDEX(属性投放!$AZ$6:$AZ$85,(BY41-2)*20+CD41)</f>
        <v>12976</v>
      </c>
      <c r="CG41" s="14" t="s">
        <v>22</v>
      </c>
      <c r="CH41" s="14">
        <f>INDEX(属性投放!$BA$6:$BA$85,(BY41-2)*20+CD41)</f>
        <v>6449</v>
      </c>
      <c r="CI41" s="14" t="s">
        <v>510</v>
      </c>
      <c r="CJ41" s="14">
        <f>INDEX(属性投放!$BB$6:$BB$85,(BY41-2)*20+CD41)</f>
        <v>118940</v>
      </c>
      <c r="CK41" s="14" t="s">
        <v>21</v>
      </c>
      <c r="CL41" s="14">
        <f>INDEX(属性投放!$BC$6:$BC$85,(BY41-2)*20+CD41)</f>
        <v>30</v>
      </c>
      <c r="CM41" s="14" t="s">
        <v>22</v>
      </c>
      <c r="CN41" s="14">
        <f>INDEX(属性投放!$BD$6:$BD$85,(BY41-2)*20+CD41)</f>
        <v>15</v>
      </c>
      <c r="CO41" s="14" t="s">
        <v>510</v>
      </c>
      <c r="CP41" s="14">
        <f>INDEX(属性投放!$BE$6:$BE$85,(BY41-2)*20+CD41)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INDEX($O$6:$O$50,CT41)&amp;"-"&amp;INDEX(属性投放!$AB$7:$AB$50,CZ41)&amp;"-魂火-"&amp;DB41</f>
        <v>关羽-大焦热-魂火-1</v>
      </c>
      <c r="CY41" s="25" t="s">
        <v>142</v>
      </c>
      <c r="CZ41" s="14">
        <f>INDEX(属性投放!$AM$7:$AM$58,CU41)</f>
        <v>16</v>
      </c>
      <c r="DA41" s="14" t="s">
        <v>537</v>
      </c>
      <c r="DB41" s="14">
        <f>INDEX(属性投放!$AN$7:$AN$58,CU41)</f>
        <v>1</v>
      </c>
      <c r="DC41" s="14">
        <f t="shared" si="16"/>
        <v>37</v>
      </c>
      <c r="DD41" s="14">
        <f>INDEX(属性投放!$AO$7:$AO$58,DC41)</f>
        <v>110</v>
      </c>
      <c r="DE41" s="14" t="s">
        <v>538</v>
      </c>
      <c r="DF41" s="14">
        <f>INDEX(属性投放!$BK$6:$BK$85,(CV41-2)*20+CZ41)</f>
        <v>580</v>
      </c>
      <c r="DG41" s="14">
        <f>SUMIFS(DF$5:DF41,$CT$5:$CT41,"="&amp;$CT41)</f>
        <v>7419</v>
      </c>
      <c r="DH41" s="14" t="s">
        <v>539</v>
      </c>
      <c r="DI41" s="14">
        <f>INDEX(属性投放!$BL$6:$BL$85,(CV41-2)*20+CZ41)</f>
        <v>290</v>
      </c>
      <c r="DJ41" s="14">
        <f>SUMIFS(DI$5:DI41,$CT$5:$CT41,"="&amp;$CT41)</f>
        <v>3715</v>
      </c>
      <c r="DK41" s="14" t="s">
        <v>540</v>
      </c>
      <c r="DL41" s="14">
        <f>INDEX(属性投放!$BM$6:$BM$85,(CV41-2)*20+CZ41)</f>
        <v>5800</v>
      </c>
      <c r="DM41" s="14">
        <f>SUMIFS(DL$5:DL41,$CT$5:$CT41,"="&amp;$CT41)</f>
        <v>68602</v>
      </c>
      <c r="DR41" s="14">
        <f t="shared" si="17"/>
        <v>1102002</v>
      </c>
      <c r="DS41" s="14" t="str">
        <f t="shared" si="18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19"/>
        <v>3</v>
      </c>
      <c r="DX41" s="14">
        <f t="shared" si="20"/>
        <v>17</v>
      </c>
      <c r="DY41" s="14">
        <f t="shared" si="21"/>
        <v>37</v>
      </c>
      <c r="DZ41" s="14">
        <f>INDEX(属性投放!$AX$6:$AX$85,(卡牌属性!DW41-2)*20+卡牌属性!DX41)</f>
        <v>8</v>
      </c>
      <c r="EA41" s="14">
        <f>INDEX(属性投放!BQ$6:BQ$85,卡牌属性!$DY41)</f>
        <v>900</v>
      </c>
      <c r="EB41" s="14">
        <f>INDEX(属性投放!BR$6:BR$85,卡牌属性!$DY41)</f>
        <v>450</v>
      </c>
      <c r="EC41" s="14">
        <f>INDEX(属性投放!BS$6:BS$85,卡牌属性!$DY41)</f>
        <v>9000</v>
      </c>
      <c r="ED41" s="14">
        <f t="shared" si="105"/>
        <v>5775</v>
      </c>
      <c r="EE41" s="14">
        <f t="shared" si="106"/>
        <v>6206</v>
      </c>
      <c r="EF41" s="14">
        <f t="shared" si="107"/>
        <v>6399</v>
      </c>
      <c r="EG41" s="14">
        <f t="shared" si="108"/>
        <v>6399</v>
      </c>
      <c r="EH41" s="14">
        <f t="shared" si="109"/>
        <v>7433</v>
      </c>
      <c r="EI41" s="14">
        <f t="shared" si="110"/>
        <v>3081</v>
      </c>
      <c r="EJ41" s="14">
        <f t="shared" si="111"/>
        <v>3180</v>
      </c>
      <c r="EK41" s="14">
        <f t="shared" si="112"/>
        <v>3180</v>
      </c>
      <c r="EL41" s="14">
        <f t="shared" si="113"/>
        <v>3688</v>
      </c>
      <c r="EM41" s="14">
        <f t="shared" si="114"/>
        <v>3947</v>
      </c>
      <c r="EN41" s="14">
        <f t="shared" si="115"/>
        <v>56714</v>
      </c>
      <c r="EO41" s="14">
        <f t="shared" si="116"/>
        <v>65698</v>
      </c>
      <c r="EP41" s="14">
        <f t="shared" si="117"/>
        <v>65698</v>
      </c>
      <c r="EQ41" s="14">
        <f t="shared" si="118"/>
        <v>69742</v>
      </c>
      <c r="ER41" s="14">
        <f t="shared" si="119"/>
        <v>74290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INDEX(属性投放!$BQ$6:$BQ$85,(卡牌属性!$DW41-2)*20+卡牌属性!$DX41)</f>
        <v>900</v>
      </c>
      <c r="FI41" s="14">
        <f>INDEX(属性投放!$BQ$6:$BQ$85,(卡牌属性!$DW41-2)*20+卡牌属性!$DX41)</f>
        <v>900</v>
      </c>
      <c r="FJ41" s="14">
        <f>INDEX(属性投放!$BQ$6:$BQ$85,(卡牌属性!$DW41-2)*20+卡牌属性!$DX41)</f>
        <v>900</v>
      </c>
      <c r="FK41" s="14">
        <f>INDEX(属性投放!$BQ$6:$BQ$85,(卡牌属性!$DW41-2)*20+卡牌属性!$DX41)</f>
        <v>900</v>
      </c>
      <c r="FL41" s="14">
        <f>INDEX(属性投放!$BQ$6:$BQ$85,(卡牌属性!$DW41-2)*20+卡牌属性!$DX41)</f>
        <v>900</v>
      </c>
      <c r="FM41" s="14">
        <f>INDEX(属性投放!$BR$6:$BR$85,(卡牌属性!$DW41-2)*20+卡牌属性!$DX41)</f>
        <v>450</v>
      </c>
      <c r="FN41" s="14">
        <f>INDEX(属性投放!$BR$6:$BR$85,(卡牌属性!$DW41-2)*20+卡牌属性!$DX41)</f>
        <v>450</v>
      </c>
      <c r="FO41" s="14">
        <f>INDEX(属性投放!$BR$6:$BR$85,(卡牌属性!$DW41-2)*20+卡牌属性!$DX41)</f>
        <v>450</v>
      </c>
      <c r="FP41" s="14">
        <f>INDEX(属性投放!$BR$6:$BR$85,(卡牌属性!$DW41-2)*20+卡牌属性!$DX41)</f>
        <v>450</v>
      </c>
      <c r="FQ41" s="14">
        <f>INDEX(属性投放!$BR$6:$BR$85,(卡牌属性!$DW41-2)*20+卡牌属性!$DX41)</f>
        <v>450</v>
      </c>
      <c r="FR41" s="14">
        <f>INDEX(属性投放!$BS$6:$BS$85,(卡牌属性!$DW41-2)*20+卡牌属性!$DX41)</f>
        <v>9000</v>
      </c>
      <c r="FS41" s="14">
        <f>INDEX(属性投放!$BS$6:$BS$85,(卡牌属性!$DW41-2)*20+卡牌属性!$DX41)</f>
        <v>9000</v>
      </c>
      <c r="FT41" s="14">
        <f>INDEX(属性投放!$BS$6:$BS$85,(卡牌属性!$DW41-2)*20+卡牌属性!$DX41)</f>
        <v>9000</v>
      </c>
      <c r="FU41" s="14">
        <f>INDEX(属性投放!$BS$6:$BS$85,(卡牌属性!$DW41-2)*20+卡牌属性!$DX41)</f>
        <v>9000</v>
      </c>
      <c r="FV41" s="14">
        <f>INDEX(属性投放!$BS$6:$BS$85,(卡牌属性!$DW41-2)*20+卡牌属性!$DX41)</f>
        <v>9000</v>
      </c>
      <c r="FZ41" s="13">
        <v>37</v>
      </c>
      <c r="GA41" s="13">
        <f t="shared" si="121"/>
        <v>8</v>
      </c>
      <c r="GB41" s="14">
        <f t="shared" si="56"/>
        <v>1102008</v>
      </c>
      <c r="GC41" s="14" t="s">
        <v>1187</v>
      </c>
      <c r="GD41" s="14">
        <f t="shared" si="122"/>
        <v>2</v>
      </c>
      <c r="GE41" s="14" t="str">
        <f t="shared" si="123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4"/>
        <v>8</v>
      </c>
      <c r="GP41" s="14">
        <f t="shared" si="57"/>
        <v>1101008</v>
      </c>
      <c r="GQ41" s="14" t="s">
        <v>1187</v>
      </c>
      <c r="GR41" s="14">
        <f t="shared" si="125"/>
        <v>2</v>
      </c>
      <c r="GS41" s="14" t="str">
        <f t="shared" si="126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MATCH(HC41,属性投放!$AO$6:$AO$58,1)-1</f>
        <v>7</v>
      </c>
      <c r="HF41" s="13">
        <f>MATCH(HC41-1,属性投放!$AE$6:$AE$26,1)</f>
        <v>5</v>
      </c>
      <c r="HG41" s="13" t="str">
        <f>INDEX(属性投放!$AB$7:$AB$26,卡牌属性!HF41)</f>
        <v>众合+1</v>
      </c>
      <c r="HH41" s="14">
        <f t="shared" si="58"/>
        <v>1003</v>
      </c>
      <c r="HI41" s="14">
        <f t="shared" si="59"/>
        <v>378</v>
      </c>
      <c r="HJ41" s="14">
        <f t="shared" si="60"/>
        <v>4870</v>
      </c>
      <c r="HK41" s="14">
        <f t="shared" si="61"/>
        <v>20</v>
      </c>
      <c r="HL41" s="14">
        <f t="shared" si="62"/>
        <v>7</v>
      </c>
      <c r="HM41" s="14">
        <f t="shared" si="63"/>
        <v>91</v>
      </c>
      <c r="HN41" s="14">
        <f>HH41+HK41*($HC41-INDEX(属性投放!$AE$6:$AE$26,卡牌属性!$HF41))</f>
        <v>1043</v>
      </c>
      <c r="HO41" s="14">
        <f>HI41+HL41*($HC41-INDEX(属性投放!$AE$6:$AE$26,卡牌属性!$HF41))</f>
        <v>392</v>
      </c>
      <c r="HP41" s="14">
        <f>HJ41+HM41*($HC41-INDEX(属性投放!$AE$6:$AE$26,卡牌属性!$HF41))</f>
        <v>5052</v>
      </c>
      <c r="HQ41" s="14">
        <f t="shared" si="64"/>
        <v>245</v>
      </c>
      <c r="HR41" s="14">
        <f t="shared" si="65"/>
        <v>125</v>
      </c>
      <c r="HS41" s="14">
        <f t="shared" si="66"/>
        <v>1560</v>
      </c>
      <c r="HT41" s="14">
        <f>IF(COUNTIF(属性投放!$AO$7:$AO$58,"="&amp;卡牌属性!HC41)&gt;0,卡牌属性!HE41,0)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IF(COUNTIF(属性投放!$AE$6:$AE$26,"="&amp;卡牌属性!HC41)&gt;0,卡牌属性!HF41,0)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20</v>
      </c>
      <c r="IC41" s="14">
        <f t="shared" si="74"/>
        <v>7</v>
      </c>
      <c r="ID41" s="14">
        <f t="shared" si="75"/>
        <v>91</v>
      </c>
      <c r="IE41" s="14">
        <f t="shared" si="76"/>
        <v>1288</v>
      </c>
      <c r="IF41" s="14">
        <f t="shared" si="77"/>
        <v>517</v>
      </c>
      <c r="IG41" s="14">
        <f t="shared" si="78"/>
        <v>6612</v>
      </c>
      <c r="IH41" s="14">
        <f t="shared" si="79"/>
        <v>431</v>
      </c>
      <c r="II41" s="14">
        <f t="shared" si="80"/>
        <v>0</v>
      </c>
      <c r="IJ41" s="14">
        <f t="shared" si="81"/>
        <v>0</v>
      </c>
      <c r="IK41" s="14">
        <f t="shared" si="82"/>
        <v>29832</v>
      </c>
      <c r="IL41" s="17">
        <f t="shared" si="83"/>
        <v>1.4447573075891659E-2</v>
      </c>
      <c r="IM41" s="17">
        <f t="shared" si="84"/>
        <v>0</v>
      </c>
      <c r="IN41" s="17">
        <f t="shared" si="85"/>
        <v>0</v>
      </c>
      <c r="IO41" s="23">
        <f>SUM(IH$5:IH41)</f>
        <v>13412</v>
      </c>
      <c r="IP41" s="14">
        <f>SUM(II$5:II41)</f>
        <v>6510</v>
      </c>
      <c r="IQ41" s="14">
        <f>SUM(IJ$5:IJ41)</f>
        <v>4040</v>
      </c>
      <c r="IR41" s="17">
        <f t="shared" si="86"/>
        <v>0.44958433896486993</v>
      </c>
      <c r="IS41" s="17">
        <f t="shared" si="87"/>
        <v>0.21822204344328239</v>
      </c>
      <c r="IT41" s="17">
        <f t="shared" si="88"/>
        <v>0.13542504692947172</v>
      </c>
      <c r="IW41" s="13">
        <v>37</v>
      </c>
      <c r="IX41" s="14">
        <f>MATCH(IW41-1,属性投放!$T$6:$T$66,1)</f>
        <v>2</v>
      </c>
      <c r="IY41" s="14">
        <f>MATCH(IW41-1,属性投放!$AD$7:$AD$26,1)</f>
        <v>4</v>
      </c>
      <c r="IZ41" s="14" t="str">
        <f>INDEX(属性投放!$AB$7:$AB$26,IY41)</f>
        <v>众合</v>
      </c>
      <c r="JA41" s="14">
        <f t="shared" si="89"/>
        <v>338</v>
      </c>
      <c r="JB41" s="14">
        <f t="shared" si="90"/>
        <v>120</v>
      </c>
      <c r="JC41" s="14">
        <f t="shared" si="91"/>
        <v>1658</v>
      </c>
      <c r="JD41" s="14">
        <f t="shared" si="92"/>
        <v>22</v>
      </c>
      <c r="JE41" s="14">
        <f t="shared" si="93"/>
        <v>11</v>
      </c>
      <c r="JF41" s="14">
        <f t="shared" si="94"/>
        <v>153</v>
      </c>
      <c r="JG41" s="14">
        <f>INDEX(属性投放!$DC$6:$DC$85,卡牌属性!IY41)</f>
        <v>20</v>
      </c>
      <c r="JH41" s="14">
        <f t="shared" si="95"/>
        <v>712</v>
      </c>
      <c r="JI41" s="14">
        <f t="shared" si="96"/>
        <v>307</v>
      </c>
      <c r="JJ41" s="14">
        <f t="shared" si="97"/>
        <v>4259</v>
      </c>
      <c r="JK41" s="14">
        <f t="shared" si="98"/>
        <v>10889</v>
      </c>
    </row>
    <row r="42" spans="14:271" ht="16.5" x14ac:dyDescent="0.2">
      <c r="AE42" s="13">
        <v>38</v>
      </c>
      <c r="AF42" s="13">
        <f t="shared" si="31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142</v>
      </c>
      <c r="AM42" s="14">
        <v>1</v>
      </c>
      <c r="AN42" s="14">
        <f t="shared" si="5"/>
        <v>18</v>
      </c>
      <c r="AO42" s="14">
        <f>INDEX(属性投放!$DF$6:$DF$85,(卡牌属性!AG42-2)*20+卡牌属性!AN42)</f>
        <v>11221</v>
      </c>
      <c r="AP42" s="14">
        <f t="shared" si="99"/>
        <v>11221</v>
      </c>
      <c r="AQ42" s="14">
        <f t="shared" si="99"/>
        <v>11221</v>
      </c>
      <c r="AR42" s="14">
        <f t="shared" si="99"/>
        <v>11221</v>
      </c>
      <c r="AS42" s="14">
        <f t="shared" si="99"/>
        <v>11221</v>
      </c>
      <c r="AT42" s="14">
        <f>INDEX(属性投放!$DG$6:$DG$85,(卡牌属性!AG42-2)*20+卡牌属性!AN42)</f>
        <v>5577</v>
      </c>
      <c r="AU42" s="14">
        <f t="shared" si="100"/>
        <v>5577</v>
      </c>
      <c r="AV42" s="14">
        <f t="shared" si="100"/>
        <v>5577</v>
      </c>
      <c r="AW42" s="14">
        <f t="shared" si="100"/>
        <v>5577</v>
      </c>
      <c r="AX42" s="14">
        <f t="shared" si="100"/>
        <v>5577</v>
      </c>
      <c r="AY42" s="14">
        <f>INDEX(属性投放!$DH$6:$DH$85,(卡牌属性!AG42-2)*20+卡牌属性!AN42)</f>
        <v>103986</v>
      </c>
      <c r="AZ42" s="14">
        <f t="shared" si="101"/>
        <v>103986</v>
      </c>
      <c r="BA42" s="14">
        <f t="shared" si="101"/>
        <v>103986</v>
      </c>
      <c r="BB42" s="14">
        <f t="shared" si="101"/>
        <v>103986</v>
      </c>
      <c r="BC42" s="14">
        <f t="shared" si="101"/>
        <v>103986</v>
      </c>
      <c r="BD42" s="14">
        <f>INDEX(属性投放!$DL$6:$DL$85,(卡牌属性!AG42-2)*20+卡牌属性!AN42)</f>
        <v>235</v>
      </c>
      <c r="BE42" s="14">
        <f t="shared" si="102"/>
        <v>235</v>
      </c>
      <c r="BF42" s="14">
        <f t="shared" si="102"/>
        <v>235</v>
      </c>
      <c r="BG42" s="14">
        <f t="shared" si="102"/>
        <v>235</v>
      </c>
      <c r="BH42" s="14">
        <f t="shared" si="102"/>
        <v>235</v>
      </c>
      <c r="BI42" s="14">
        <f>INDEX(属性投放!$DM$6:$DM$85,(卡牌属性!AG42-2)*20+卡牌属性!AN42)</f>
        <v>117</v>
      </c>
      <c r="BJ42" s="14">
        <f t="shared" si="103"/>
        <v>117</v>
      </c>
      <c r="BK42" s="14">
        <f t="shared" si="103"/>
        <v>117</v>
      </c>
      <c r="BL42" s="14">
        <f t="shared" si="103"/>
        <v>117</v>
      </c>
      <c r="BM42" s="14">
        <f t="shared" si="103"/>
        <v>117</v>
      </c>
      <c r="BN42" s="14">
        <f>INDEX(属性投放!$DN$6:$DN$85,(卡牌属性!AG42-2)*20+卡牌属性!AN42)</f>
        <v>2346</v>
      </c>
      <c r="BO42" s="14">
        <f t="shared" si="104"/>
        <v>2346</v>
      </c>
      <c r="BP42" s="14">
        <f t="shared" si="104"/>
        <v>2346</v>
      </c>
      <c r="BQ42" s="14">
        <f t="shared" si="104"/>
        <v>2346</v>
      </c>
      <c r="BR42" s="14">
        <f t="shared" si="104"/>
        <v>2346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32"/>
        <v>1102002</v>
      </c>
      <c r="CA42" s="14" t="str">
        <f t="shared" si="33"/>
        <v>许褚18突</v>
      </c>
      <c r="CB42" s="25" t="s">
        <v>142</v>
      </c>
      <c r="CC42" s="14">
        <v>2</v>
      </c>
      <c r="CD42" s="14">
        <f t="shared" si="14"/>
        <v>18</v>
      </c>
      <c r="CE42" s="14" t="s">
        <v>21</v>
      </c>
      <c r="CF42" s="14">
        <f>INDEX(属性投放!$AZ$6:$AZ$85,(BY42-2)*20+CD42)</f>
        <v>15916</v>
      </c>
      <c r="CG42" s="14" t="s">
        <v>22</v>
      </c>
      <c r="CH42" s="14">
        <f>INDEX(属性投放!$BA$6:$BA$85,(BY42-2)*20+CD42)</f>
        <v>7919</v>
      </c>
      <c r="CI42" s="14" t="s">
        <v>510</v>
      </c>
      <c r="CJ42" s="14">
        <f>INDEX(属性投放!$BB$6:$BB$85,(BY42-2)*20+CD42)</f>
        <v>148340</v>
      </c>
      <c r="CK42" s="14" t="s">
        <v>21</v>
      </c>
      <c r="CL42" s="14">
        <f>INDEX(属性投放!$BC$6:$BC$85,(BY42-2)*20+CD42)</f>
        <v>30</v>
      </c>
      <c r="CM42" s="14" t="s">
        <v>22</v>
      </c>
      <c r="CN42" s="14">
        <f>INDEX(属性投放!$BD$6:$BD$85,(BY42-2)*20+CD42)</f>
        <v>15</v>
      </c>
      <c r="CO42" s="14" t="s">
        <v>510</v>
      </c>
      <c r="CP42" s="14">
        <f>INDEX(属性投放!$BE$6:$BE$85,(BY42-2)*20+CD42)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INDEX($O$6:$O$50,CT42)&amp;"-"&amp;INDEX(属性投放!$AB$7:$AB$50,CZ42)&amp;"-魂火-"&amp;DB42</f>
        <v>关羽-大焦热-魂火-2</v>
      </c>
      <c r="CY42" s="25" t="s">
        <v>142</v>
      </c>
      <c r="CZ42" s="14">
        <f>INDEX(属性投放!$AM$7:$AM$58,CU42)</f>
        <v>16</v>
      </c>
      <c r="DA42" s="14" t="s">
        <v>537</v>
      </c>
      <c r="DB42" s="14">
        <f>INDEX(属性投放!$AN$7:$AN$58,CU42)</f>
        <v>2</v>
      </c>
      <c r="DC42" s="14">
        <f t="shared" si="16"/>
        <v>38</v>
      </c>
      <c r="DD42" s="14">
        <f>INDEX(属性投放!$AO$7:$AO$58,DC42)</f>
        <v>113</v>
      </c>
      <c r="DE42" s="14" t="s">
        <v>538</v>
      </c>
      <c r="DF42" s="14">
        <f>INDEX(属性投放!$BK$6:$BK$85,(CV42-2)*20+CZ42)</f>
        <v>580</v>
      </c>
      <c r="DG42" s="14">
        <f>SUMIFS(DF$5:DF42,$CT$5:$CT42,"="&amp;$CT42)</f>
        <v>7999</v>
      </c>
      <c r="DH42" s="14" t="s">
        <v>539</v>
      </c>
      <c r="DI42" s="14">
        <f>INDEX(属性投放!$BL$6:$BL$85,(CV42-2)*20+CZ42)</f>
        <v>290</v>
      </c>
      <c r="DJ42" s="14">
        <f>SUMIFS(DI$5:DI42,$CT$5:$CT42,"="&amp;$CT42)</f>
        <v>4005</v>
      </c>
      <c r="DK42" s="14" t="s">
        <v>540</v>
      </c>
      <c r="DL42" s="14">
        <f>INDEX(属性投放!$BM$6:$BM$85,(CV42-2)*20+CZ42)</f>
        <v>5800</v>
      </c>
      <c r="DM42" s="14">
        <f>SUMIFS(DL$5:DL42,$CT$5:$CT42,"="&amp;$CT42)</f>
        <v>74402</v>
      </c>
      <c r="DR42" s="14">
        <f t="shared" si="17"/>
        <v>1102002</v>
      </c>
      <c r="DS42" s="14" t="str">
        <f t="shared" si="18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19"/>
        <v>3</v>
      </c>
      <c r="DX42" s="14">
        <f t="shared" si="20"/>
        <v>18</v>
      </c>
      <c r="DY42" s="14">
        <f t="shared" si="21"/>
        <v>38</v>
      </c>
      <c r="DZ42" s="14">
        <f>INDEX(属性投放!$AX$6:$AX$85,(卡牌属性!DW42-2)*20+卡牌属性!DX42)</f>
        <v>7</v>
      </c>
      <c r="EA42" s="14">
        <f>INDEX(属性投放!BQ$6:BQ$85,卡牌属性!$DY42)</f>
        <v>1500</v>
      </c>
      <c r="EB42" s="14">
        <f>INDEX(属性投放!BR$6:BR$85,卡牌属性!$DY42)</f>
        <v>750</v>
      </c>
      <c r="EC42" s="14">
        <f>INDEX(属性投放!BS$6:BS$85,卡牌属性!$DY42)</f>
        <v>15000</v>
      </c>
      <c r="ED42" s="14">
        <f t="shared" si="105"/>
        <v>6875</v>
      </c>
      <c r="EE42" s="14">
        <f t="shared" si="106"/>
        <v>7346</v>
      </c>
      <c r="EF42" s="14">
        <f t="shared" si="107"/>
        <v>7579</v>
      </c>
      <c r="EG42" s="14">
        <f t="shared" si="108"/>
        <v>7579</v>
      </c>
      <c r="EH42" s="14">
        <f t="shared" si="109"/>
        <v>8733</v>
      </c>
      <c r="EI42" s="14">
        <f t="shared" si="110"/>
        <v>3651</v>
      </c>
      <c r="EJ42" s="14">
        <f t="shared" si="111"/>
        <v>3774</v>
      </c>
      <c r="EK42" s="14">
        <f t="shared" si="112"/>
        <v>3774</v>
      </c>
      <c r="EL42" s="14">
        <f t="shared" si="113"/>
        <v>4338</v>
      </c>
      <c r="EM42" s="14">
        <f t="shared" si="114"/>
        <v>4637</v>
      </c>
      <c r="EN42" s="14">
        <f t="shared" si="115"/>
        <v>68514</v>
      </c>
      <c r="EO42" s="14">
        <f t="shared" si="116"/>
        <v>78698</v>
      </c>
      <c r="EP42" s="14">
        <f t="shared" si="117"/>
        <v>78698</v>
      </c>
      <c r="EQ42" s="14">
        <f t="shared" si="118"/>
        <v>83542</v>
      </c>
      <c r="ER42" s="14">
        <f t="shared" si="119"/>
        <v>89290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INDEX(属性投放!$BQ$6:$BQ$85,(卡牌属性!$DW42-2)*20+卡牌属性!$DX42)</f>
        <v>1500</v>
      </c>
      <c r="FI42" s="14">
        <f>INDEX(属性投放!$BQ$6:$BQ$85,(卡牌属性!$DW42-2)*20+卡牌属性!$DX42)</f>
        <v>1500</v>
      </c>
      <c r="FJ42" s="14">
        <f>INDEX(属性投放!$BQ$6:$BQ$85,(卡牌属性!$DW42-2)*20+卡牌属性!$DX42)</f>
        <v>1500</v>
      </c>
      <c r="FK42" s="14">
        <f>INDEX(属性投放!$BQ$6:$BQ$85,(卡牌属性!$DW42-2)*20+卡牌属性!$DX42)</f>
        <v>1500</v>
      </c>
      <c r="FL42" s="14">
        <f>INDEX(属性投放!$BQ$6:$BQ$85,(卡牌属性!$DW42-2)*20+卡牌属性!$DX42)</f>
        <v>1500</v>
      </c>
      <c r="FM42" s="14">
        <f>INDEX(属性投放!$BR$6:$BR$85,(卡牌属性!$DW42-2)*20+卡牌属性!$DX42)</f>
        <v>750</v>
      </c>
      <c r="FN42" s="14">
        <f>INDEX(属性投放!$BR$6:$BR$85,(卡牌属性!$DW42-2)*20+卡牌属性!$DX42)</f>
        <v>750</v>
      </c>
      <c r="FO42" s="14">
        <f>INDEX(属性投放!$BR$6:$BR$85,(卡牌属性!$DW42-2)*20+卡牌属性!$DX42)</f>
        <v>750</v>
      </c>
      <c r="FP42" s="14">
        <f>INDEX(属性投放!$BR$6:$BR$85,(卡牌属性!$DW42-2)*20+卡牌属性!$DX42)</f>
        <v>750</v>
      </c>
      <c r="FQ42" s="14">
        <f>INDEX(属性投放!$BR$6:$BR$85,(卡牌属性!$DW42-2)*20+卡牌属性!$DX42)</f>
        <v>750</v>
      </c>
      <c r="FR42" s="14">
        <f>INDEX(属性投放!$BS$6:$BS$85,(卡牌属性!$DW42-2)*20+卡牌属性!$DX42)</f>
        <v>15000</v>
      </c>
      <c r="FS42" s="14">
        <f>INDEX(属性投放!$BS$6:$BS$85,(卡牌属性!$DW42-2)*20+卡牌属性!$DX42)</f>
        <v>15000</v>
      </c>
      <c r="FT42" s="14">
        <f>INDEX(属性投放!$BS$6:$BS$85,(卡牌属性!$DW42-2)*20+卡牌属性!$DX42)</f>
        <v>15000</v>
      </c>
      <c r="FU42" s="14">
        <f>INDEX(属性投放!$BS$6:$BS$85,(卡牌属性!$DW42-2)*20+卡牌属性!$DX42)</f>
        <v>15000</v>
      </c>
      <c r="FV42" s="14">
        <f>INDEX(属性投放!$BS$6:$BS$85,(卡牌属性!$DW42-2)*20+卡牌属性!$DX42)</f>
        <v>15000</v>
      </c>
      <c r="FZ42" s="13">
        <v>38</v>
      </c>
      <c r="GA42" s="13">
        <f t="shared" si="121"/>
        <v>8</v>
      </c>
      <c r="GB42" s="14">
        <f t="shared" si="56"/>
        <v>1102008</v>
      </c>
      <c r="GC42" s="14" t="s">
        <v>1187</v>
      </c>
      <c r="GD42" s="14">
        <f t="shared" si="122"/>
        <v>3</v>
      </c>
      <c r="GE42" s="14" t="str">
        <f t="shared" si="123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4"/>
        <v>8</v>
      </c>
      <c r="GP42" s="14">
        <f t="shared" si="57"/>
        <v>1101008</v>
      </c>
      <c r="GQ42" s="14" t="s">
        <v>1187</v>
      </c>
      <c r="GR42" s="14">
        <f t="shared" si="125"/>
        <v>3</v>
      </c>
      <c r="GS42" s="14" t="str">
        <f t="shared" si="126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MATCH(HC42,属性投放!$AO$6:$AO$58,1)-1</f>
        <v>8</v>
      </c>
      <c r="HF42" s="13">
        <f>MATCH(HC42-1,属性投放!$AE$6:$AE$26,1)</f>
        <v>5</v>
      </c>
      <c r="HG42" s="13" t="str">
        <f>INDEX(属性投放!$AB$7:$AB$26,卡牌属性!HF42)</f>
        <v>众合+1</v>
      </c>
      <c r="HH42" s="14">
        <f t="shared" si="58"/>
        <v>1003</v>
      </c>
      <c r="HI42" s="14">
        <f t="shared" si="59"/>
        <v>378</v>
      </c>
      <c r="HJ42" s="14">
        <f t="shared" si="60"/>
        <v>4870</v>
      </c>
      <c r="HK42" s="14">
        <f t="shared" si="61"/>
        <v>20</v>
      </c>
      <c r="HL42" s="14">
        <f t="shared" si="62"/>
        <v>7</v>
      </c>
      <c r="HM42" s="14">
        <f t="shared" si="63"/>
        <v>91</v>
      </c>
      <c r="HN42" s="14">
        <f>HH42+HK42*($HC42-INDEX(属性投放!$AE$6:$AE$26,卡牌属性!$HF42))</f>
        <v>1063</v>
      </c>
      <c r="HO42" s="14">
        <f>HI42+HL42*($HC42-INDEX(属性投放!$AE$6:$AE$26,卡牌属性!$HF42))</f>
        <v>399</v>
      </c>
      <c r="HP42" s="14">
        <f>HJ42+HM42*($HC42-INDEX(属性投放!$AE$6:$AE$26,卡牌属性!$HF42))</f>
        <v>5143</v>
      </c>
      <c r="HQ42" s="14">
        <f t="shared" si="64"/>
        <v>300</v>
      </c>
      <c r="HR42" s="14">
        <f t="shared" si="65"/>
        <v>153</v>
      </c>
      <c r="HS42" s="14">
        <f t="shared" si="66"/>
        <v>1945</v>
      </c>
      <c r="HT42" s="14">
        <f>IF(COUNTIF(属性投放!$AO$7:$AO$58,"="&amp;卡牌属性!HC42)&gt;0,卡牌属性!HE42,0)</f>
        <v>8</v>
      </c>
      <c r="HU42" s="14">
        <f t="shared" si="67"/>
        <v>55</v>
      </c>
      <c r="HV42" s="14">
        <f t="shared" si="68"/>
        <v>28</v>
      </c>
      <c r="HW42" s="14">
        <f t="shared" si="69"/>
        <v>385</v>
      </c>
      <c r="HX42" s="14">
        <f>IF(COUNTIF(属性投放!$AE$6:$AE$26,"="&amp;卡牌属性!HC42)&gt;0,卡牌属性!HF42,0)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20</v>
      </c>
      <c r="IC42" s="14">
        <f t="shared" si="74"/>
        <v>7</v>
      </c>
      <c r="ID42" s="14">
        <f t="shared" si="75"/>
        <v>91</v>
      </c>
      <c r="IE42" s="14">
        <f t="shared" si="76"/>
        <v>1363</v>
      </c>
      <c r="IF42" s="14">
        <f t="shared" si="77"/>
        <v>552</v>
      </c>
      <c r="IG42" s="14">
        <f t="shared" si="78"/>
        <v>7088</v>
      </c>
      <c r="IH42" s="14">
        <f t="shared" si="79"/>
        <v>431</v>
      </c>
      <c r="II42" s="14">
        <f t="shared" si="80"/>
        <v>1495</v>
      </c>
      <c r="IJ42" s="14">
        <f t="shared" si="81"/>
        <v>0</v>
      </c>
      <c r="IK42" s="14">
        <f t="shared" si="82"/>
        <v>31758</v>
      </c>
      <c r="IL42" s="17">
        <f t="shared" si="83"/>
        <v>1.3571383588387179E-2</v>
      </c>
      <c r="IM42" s="17">
        <f t="shared" si="84"/>
        <v>4.7074752818187543E-2</v>
      </c>
      <c r="IN42" s="17">
        <f t="shared" si="85"/>
        <v>0</v>
      </c>
      <c r="IO42" s="23">
        <f>SUM(IH$5:IH42)</f>
        <v>13843</v>
      </c>
      <c r="IP42" s="14">
        <f>SUM(II$5:II42)</f>
        <v>8005</v>
      </c>
      <c r="IQ42" s="14">
        <f>SUM(IJ$5:IJ42)</f>
        <v>4040</v>
      </c>
      <c r="IR42" s="17">
        <f t="shared" si="86"/>
        <v>0.4358901694061339</v>
      </c>
      <c r="IS42" s="17">
        <f t="shared" si="87"/>
        <v>0.25206247244788715</v>
      </c>
      <c r="IT42" s="17">
        <f t="shared" si="88"/>
        <v>0.12721204106052017</v>
      </c>
      <c r="IW42" s="13">
        <v>38</v>
      </c>
      <c r="IX42" s="14">
        <f>MATCH(IW42-1,属性投放!$T$6:$T$66,1)</f>
        <v>2</v>
      </c>
      <c r="IY42" s="14">
        <f>MATCH(IW42-1,属性投放!$AD$7:$AD$26,1)</f>
        <v>4</v>
      </c>
      <c r="IZ42" s="14" t="str">
        <f>INDEX(属性投放!$AB$7:$AB$26,IY42)</f>
        <v>众合</v>
      </c>
      <c r="JA42" s="14">
        <f t="shared" si="89"/>
        <v>338</v>
      </c>
      <c r="JB42" s="14">
        <f t="shared" si="90"/>
        <v>120</v>
      </c>
      <c r="JC42" s="14">
        <f t="shared" si="91"/>
        <v>1658</v>
      </c>
      <c r="JD42" s="14">
        <f t="shared" si="92"/>
        <v>22</v>
      </c>
      <c r="JE42" s="14">
        <f t="shared" si="93"/>
        <v>11</v>
      </c>
      <c r="JF42" s="14">
        <f t="shared" si="94"/>
        <v>153</v>
      </c>
      <c r="JG42" s="14">
        <f>INDEX(属性投放!$DC$6:$DC$85,卡牌属性!IY42)</f>
        <v>20</v>
      </c>
      <c r="JH42" s="14">
        <f t="shared" si="95"/>
        <v>734</v>
      </c>
      <c r="JI42" s="14">
        <f t="shared" si="96"/>
        <v>318</v>
      </c>
      <c r="JJ42" s="14">
        <f t="shared" si="97"/>
        <v>4412</v>
      </c>
      <c r="JK42" s="14">
        <f t="shared" si="98"/>
        <v>11262</v>
      </c>
    </row>
    <row r="43" spans="14:271" ht="16.5" x14ac:dyDescent="0.2">
      <c r="AE43" s="13">
        <v>39</v>
      </c>
      <c r="AF43" s="13">
        <f t="shared" si="31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142</v>
      </c>
      <c r="AM43" s="14">
        <v>1</v>
      </c>
      <c r="AN43" s="14">
        <f t="shared" si="5"/>
        <v>19</v>
      </c>
      <c r="AO43" s="14">
        <f>INDEX(属性投放!$DF$6:$DF$85,(卡牌属性!AG43-2)*20+卡牌属性!AN43)</f>
        <v>17934</v>
      </c>
      <c r="AP43" s="14">
        <f t="shared" si="99"/>
        <v>17934</v>
      </c>
      <c r="AQ43" s="14">
        <f t="shared" si="99"/>
        <v>17934</v>
      </c>
      <c r="AR43" s="14">
        <f t="shared" si="99"/>
        <v>17934</v>
      </c>
      <c r="AS43" s="14">
        <f t="shared" si="99"/>
        <v>17934</v>
      </c>
      <c r="AT43" s="14">
        <f>INDEX(属性投放!$DG$6:$DG$85,(卡牌属性!AG43-2)*20+卡牌属性!AN43)</f>
        <v>8921</v>
      </c>
      <c r="AU43" s="14">
        <f t="shared" si="100"/>
        <v>8921</v>
      </c>
      <c r="AV43" s="14">
        <f t="shared" si="100"/>
        <v>8921</v>
      </c>
      <c r="AW43" s="14">
        <f t="shared" si="100"/>
        <v>8921</v>
      </c>
      <c r="AX43" s="14">
        <f t="shared" si="100"/>
        <v>8921</v>
      </c>
      <c r="AY43" s="14">
        <f>INDEX(属性投放!$DH$6:$DH$85,(卡牌属性!AG43-2)*20+卡牌属性!AN43)</f>
        <v>171016</v>
      </c>
      <c r="AZ43" s="14">
        <f t="shared" si="101"/>
        <v>171016</v>
      </c>
      <c r="BA43" s="14">
        <f t="shared" si="101"/>
        <v>171016</v>
      </c>
      <c r="BB43" s="14">
        <f t="shared" si="101"/>
        <v>171016</v>
      </c>
      <c r="BC43" s="14">
        <f t="shared" si="101"/>
        <v>171016</v>
      </c>
      <c r="BD43" s="14">
        <f>INDEX(属性投放!$DL$6:$DL$85,(卡牌属性!AG43-2)*20+卡牌属性!AN43)</f>
        <v>462</v>
      </c>
      <c r="BE43" s="14">
        <f t="shared" si="102"/>
        <v>462</v>
      </c>
      <c r="BF43" s="14">
        <f t="shared" si="102"/>
        <v>462</v>
      </c>
      <c r="BG43" s="14">
        <f t="shared" si="102"/>
        <v>462</v>
      </c>
      <c r="BH43" s="14">
        <f t="shared" si="102"/>
        <v>462</v>
      </c>
      <c r="BI43" s="14">
        <f>INDEX(属性投放!$DM$6:$DM$85,(卡牌属性!AG43-2)*20+卡牌属性!AN43)</f>
        <v>231</v>
      </c>
      <c r="BJ43" s="14">
        <f t="shared" si="103"/>
        <v>231</v>
      </c>
      <c r="BK43" s="14">
        <f t="shared" si="103"/>
        <v>231</v>
      </c>
      <c r="BL43" s="14">
        <f t="shared" si="103"/>
        <v>231</v>
      </c>
      <c r="BM43" s="14">
        <f t="shared" si="103"/>
        <v>231</v>
      </c>
      <c r="BN43" s="14">
        <f>INDEX(属性投放!$DN$6:$DN$85,(卡牌属性!AG43-2)*20+卡牌属性!AN43)</f>
        <v>4620</v>
      </c>
      <c r="BO43" s="14">
        <f t="shared" si="104"/>
        <v>4620</v>
      </c>
      <c r="BP43" s="14">
        <f t="shared" si="104"/>
        <v>4620</v>
      </c>
      <c r="BQ43" s="14">
        <f t="shared" si="104"/>
        <v>4620</v>
      </c>
      <c r="BR43" s="14">
        <f t="shared" si="104"/>
        <v>4620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32"/>
        <v>1102002</v>
      </c>
      <c r="CA43" s="14" t="str">
        <f t="shared" si="33"/>
        <v>许褚19突</v>
      </c>
      <c r="CB43" s="25" t="s">
        <v>142</v>
      </c>
      <c r="CC43" s="14">
        <v>2</v>
      </c>
      <c r="CD43" s="14">
        <f t="shared" si="14"/>
        <v>19</v>
      </c>
      <c r="CE43" s="14" t="s">
        <v>21</v>
      </c>
      <c r="CF43" s="14">
        <f>INDEX(属性投放!$AZ$6:$AZ$85,(BY43-2)*20+CD43)</f>
        <v>19726</v>
      </c>
      <c r="CG43" s="14" t="s">
        <v>22</v>
      </c>
      <c r="CH43" s="14">
        <f>INDEX(属性投放!$BA$6:$BA$85,(BY43-2)*20+CD43)</f>
        <v>9824</v>
      </c>
      <c r="CI43" s="14" t="s">
        <v>510</v>
      </c>
      <c r="CJ43" s="14">
        <f>INDEX(属性投放!$BB$6:$BB$85,(BY43-2)*20+CD43)</f>
        <v>186440</v>
      </c>
      <c r="CK43" s="14" t="s">
        <v>21</v>
      </c>
      <c r="CL43" s="14">
        <f>INDEX(属性投放!$BC$6:$BC$85,(BY43-2)*20+CD43)</f>
        <v>40</v>
      </c>
      <c r="CM43" s="14" t="s">
        <v>22</v>
      </c>
      <c r="CN43" s="14">
        <f>INDEX(属性投放!$BD$6:$BD$85,(BY43-2)*20+CD43)</f>
        <v>20</v>
      </c>
      <c r="CO43" s="14" t="s">
        <v>510</v>
      </c>
      <c r="CP43" s="14">
        <f>INDEX(属性投放!$BE$6:$BE$85,(BY43-2)*20+CD43)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INDEX($O$6:$O$50,CT43)&amp;"-"&amp;INDEX(属性投放!$AB$7:$AB$50,CZ43)&amp;"-魂火-"&amp;DB43</f>
        <v>关羽-大焦热-魂火-3</v>
      </c>
      <c r="CY43" s="25" t="s">
        <v>142</v>
      </c>
      <c r="CZ43" s="14">
        <f>INDEX(属性投放!$AM$7:$AM$58,CU43)</f>
        <v>16</v>
      </c>
      <c r="DA43" s="14" t="s">
        <v>537</v>
      </c>
      <c r="DB43" s="14">
        <f>INDEX(属性投放!$AN$7:$AN$58,CU43)</f>
        <v>3</v>
      </c>
      <c r="DC43" s="14">
        <f t="shared" si="16"/>
        <v>39</v>
      </c>
      <c r="DD43" s="14">
        <f>INDEX(属性投放!$AO$7:$AO$58,DC43)</f>
        <v>115</v>
      </c>
      <c r="DE43" s="14" t="s">
        <v>538</v>
      </c>
      <c r="DF43" s="14">
        <f>INDEX(属性投放!$BK$6:$BK$85,(CV43-2)*20+CZ43)</f>
        <v>580</v>
      </c>
      <c r="DG43" s="14">
        <f>SUMIFS(DF$5:DF43,$CT$5:$CT43,"="&amp;$CT43)</f>
        <v>8579</v>
      </c>
      <c r="DH43" s="14" t="s">
        <v>539</v>
      </c>
      <c r="DI43" s="14">
        <f>INDEX(属性投放!$BL$6:$BL$85,(CV43-2)*20+CZ43)</f>
        <v>290</v>
      </c>
      <c r="DJ43" s="14">
        <f>SUMIFS(DI$5:DI43,$CT$5:$CT43,"="&amp;$CT43)</f>
        <v>4295</v>
      </c>
      <c r="DK43" s="14" t="s">
        <v>540</v>
      </c>
      <c r="DL43" s="14">
        <f>INDEX(属性投放!$BM$6:$BM$85,(CV43-2)*20+CZ43)</f>
        <v>5800</v>
      </c>
      <c r="DM43" s="14">
        <f>SUMIFS(DL$5:DL43,$CT$5:$CT43,"="&amp;$CT43)</f>
        <v>80202</v>
      </c>
      <c r="DR43" s="14">
        <f t="shared" si="17"/>
        <v>1102002</v>
      </c>
      <c r="DS43" s="14" t="str">
        <f t="shared" si="18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19"/>
        <v>3</v>
      </c>
      <c r="DX43" s="14">
        <f t="shared" si="20"/>
        <v>19</v>
      </c>
      <c r="DY43" s="14">
        <f t="shared" si="21"/>
        <v>39</v>
      </c>
      <c r="DZ43" s="14">
        <f>INDEX(属性投放!$AX$6:$AX$85,(卡牌属性!DW43-2)*20+卡牌属性!DX43)</f>
        <v>8</v>
      </c>
      <c r="EA43" s="14">
        <f>INDEX(属性投放!BQ$6:BQ$85,卡牌属性!$DY43)</f>
        <v>1500</v>
      </c>
      <c r="EB43" s="14">
        <f>INDEX(属性投放!BR$6:BR$85,卡牌属性!$DY43)</f>
        <v>750</v>
      </c>
      <c r="EC43" s="14">
        <f>INDEX(属性投放!BS$6:BS$85,卡牌属性!$DY43)</f>
        <v>15000</v>
      </c>
      <c r="ED43" s="14">
        <f t="shared" si="105"/>
        <v>8550</v>
      </c>
      <c r="EE43" s="14">
        <f t="shared" si="106"/>
        <v>9056</v>
      </c>
      <c r="EF43" s="14">
        <f t="shared" si="107"/>
        <v>9324</v>
      </c>
      <c r="EG43" s="14">
        <f t="shared" si="108"/>
        <v>9324</v>
      </c>
      <c r="EH43" s="14">
        <f t="shared" si="109"/>
        <v>10583</v>
      </c>
      <c r="EI43" s="14">
        <f t="shared" si="110"/>
        <v>4506</v>
      </c>
      <c r="EJ43" s="14">
        <f t="shared" si="111"/>
        <v>4650</v>
      </c>
      <c r="EK43" s="14">
        <f t="shared" si="112"/>
        <v>4650</v>
      </c>
      <c r="EL43" s="14">
        <f t="shared" si="113"/>
        <v>5263</v>
      </c>
      <c r="EM43" s="14">
        <f t="shared" si="114"/>
        <v>5597</v>
      </c>
      <c r="EN43" s="14">
        <f t="shared" si="115"/>
        <v>85964</v>
      </c>
      <c r="EO43" s="14">
        <f t="shared" si="116"/>
        <v>97198</v>
      </c>
      <c r="EP43" s="14">
        <f t="shared" si="117"/>
        <v>97198</v>
      </c>
      <c r="EQ43" s="14">
        <f t="shared" si="118"/>
        <v>102742</v>
      </c>
      <c r="ER43" s="14">
        <f t="shared" si="119"/>
        <v>109540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INDEX(属性投放!$BQ$6:$BQ$85,(卡牌属性!$DW43-2)*20+卡牌属性!$DX43)</f>
        <v>1500</v>
      </c>
      <c r="FI43" s="14">
        <f>INDEX(属性投放!$BQ$6:$BQ$85,(卡牌属性!$DW43-2)*20+卡牌属性!$DX43)</f>
        <v>1500</v>
      </c>
      <c r="FJ43" s="14">
        <f>INDEX(属性投放!$BQ$6:$BQ$85,(卡牌属性!$DW43-2)*20+卡牌属性!$DX43)</f>
        <v>1500</v>
      </c>
      <c r="FK43" s="14">
        <f>INDEX(属性投放!$BQ$6:$BQ$85,(卡牌属性!$DW43-2)*20+卡牌属性!$DX43)</f>
        <v>1500</v>
      </c>
      <c r="FL43" s="14">
        <f>INDEX(属性投放!$BQ$6:$BQ$85,(卡牌属性!$DW43-2)*20+卡牌属性!$DX43)</f>
        <v>1500</v>
      </c>
      <c r="FM43" s="14">
        <f>INDEX(属性投放!$BR$6:$BR$85,(卡牌属性!$DW43-2)*20+卡牌属性!$DX43)</f>
        <v>750</v>
      </c>
      <c r="FN43" s="14">
        <f>INDEX(属性投放!$BR$6:$BR$85,(卡牌属性!$DW43-2)*20+卡牌属性!$DX43)</f>
        <v>750</v>
      </c>
      <c r="FO43" s="14">
        <f>INDEX(属性投放!$BR$6:$BR$85,(卡牌属性!$DW43-2)*20+卡牌属性!$DX43)</f>
        <v>750</v>
      </c>
      <c r="FP43" s="14">
        <f>INDEX(属性投放!$BR$6:$BR$85,(卡牌属性!$DW43-2)*20+卡牌属性!$DX43)</f>
        <v>750</v>
      </c>
      <c r="FQ43" s="14">
        <f>INDEX(属性投放!$BR$6:$BR$85,(卡牌属性!$DW43-2)*20+卡牌属性!$DX43)</f>
        <v>750</v>
      </c>
      <c r="FR43" s="14">
        <f>INDEX(属性投放!$BS$6:$BS$85,(卡牌属性!$DW43-2)*20+卡牌属性!$DX43)</f>
        <v>15000</v>
      </c>
      <c r="FS43" s="14">
        <f>INDEX(属性投放!$BS$6:$BS$85,(卡牌属性!$DW43-2)*20+卡牌属性!$DX43)</f>
        <v>15000</v>
      </c>
      <c r="FT43" s="14">
        <f>INDEX(属性投放!$BS$6:$BS$85,(卡牌属性!$DW43-2)*20+卡牌属性!$DX43)</f>
        <v>15000</v>
      </c>
      <c r="FU43" s="14">
        <f>INDEX(属性投放!$BS$6:$BS$85,(卡牌属性!$DW43-2)*20+卡牌属性!$DX43)</f>
        <v>15000</v>
      </c>
      <c r="FV43" s="14">
        <f>INDEX(属性投放!$BS$6:$BS$85,(卡牌属性!$DW43-2)*20+卡牌属性!$DX43)</f>
        <v>15000</v>
      </c>
      <c r="FZ43" s="13">
        <v>39</v>
      </c>
      <c r="GA43" s="13">
        <f t="shared" si="121"/>
        <v>8</v>
      </c>
      <c r="GB43" s="14">
        <f t="shared" si="56"/>
        <v>1102008</v>
      </c>
      <c r="GC43" s="14" t="s">
        <v>1187</v>
      </c>
      <c r="GD43" s="14">
        <f t="shared" si="122"/>
        <v>4</v>
      </c>
      <c r="GE43" s="14" t="str">
        <f t="shared" si="123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4"/>
        <v>8</v>
      </c>
      <c r="GP43" s="14">
        <f t="shared" si="57"/>
        <v>1101008</v>
      </c>
      <c r="GQ43" s="14" t="s">
        <v>1187</v>
      </c>
      <c r="GR43" s="14">
        <f t="shared" si="125"/>
        <v>4</v>
      </c>
      <c r="GS43" s="14" t="str">
        <f t="shared" si="126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MATCH(HC43,属性投放!$AO$6:$AO$58,1)-1</f>
        <v>8</v>
      </c>
      <c r="HF43" s="13">
        <f>MATCH(HC43-1,属性投放!$AE$6:$AE$26,1)</f>
        <v>5</v>
      </c>
      <c r="HG43" s="13" t="str">
        <f>INDEX(属性投放!$AB$7:$AB$26,卡牌属性!HF43)</f>
        <v>众合+1</v>
      </c>
      <c r="HH43" s="14">
        <f t="shared" si="58"/>
        <v>1003</v>
      </c>
      <c r="HI43" s="14">
        <f t="shared" si="59"/>
        <v>378</v>
      </c>
      <c r="HJ43" s="14">
        <f t="shared" si="60"/>
        <v>4870</v>
      </c>
      <c r="HK43" s="14">
        <f t="shared" si="61"/>
        <v>20</v>
      </c>
      <c r="HL43" s="14">
        <f t="shared" si="62"/>
        <v>7</v>
      </c>
      <c r="HM43" s="14">
        <f t="shared" si="63"/>
        <v>91</v>
      </c>
      <c r="HN43" s="14">
        <f>HH43+HK43*($HC43-INDEX(属性投放!$AE$6:$AE$26,卡牌属性!$HF43))</f>
        <v>1083</v>
      </c>
      <c r="HO43" s="14">
        <f>HI43+HL43*($HC43-INDEX(属性投放!$AE$6:$AE$26,卡牌属性!$HF43))</f>
        <v>406</v>
      </c>
      <c r="HP43" s="14">
        <f>HJ43+HM43*($HC43-INDEX(属性投放!$AE$6:$AE$26,卡牌属性!$HF43))</f>
        <v>5234</v>
      </c>
      <c r="HQ43" s="14">
        <f t="shared" si="64"/>
        <v>300</v>
      </c>
      <c r="HR43" s="14">
        <f t="shared" si="65"/>
        <v>153</v>
      </c>
      <c r="HS43" s="14">
        <f t="shared" si="66"/>
        <v>1945</v>
      </c>
      <c r="HT43" s="14">
        <f>IF(COUNTIF(属性投放!$AO$7:$AO$58,"="&amp;卡牌属性!HC43)&gt;0,卡牌属性!HE43,0)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IF(COUNTIF(属性投放!$AE$6:$AE$26,"="&amp;卡牌属性!HC43)&gt;0,卡牌属性!HF43,0)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20</v>
      </c>
      <c r="IC43" s="14">
        <f t="shared" si="74"/>
        <v>7</v>
      </c>
      <c r="ID43" s="14">
        <f t="shared" si="75"/>
        <v>91</v>
      </c>
      <c r="IE43" s="14">
        <f t="shared" si="76"/>
        <v>1383</v>
      </c>
      <c r="IF43" s="14">
        <f t="shared" si="77"/>
        <v>559</v>
      </c>
      <c r="IG43" s="14">
        <f t="shared" si="78"/>
        <v>7179</v>
      </c>
      <c r="IH43" s="14">
        <f t="shared" si="79"/>
        <v>431</v>
      </c>
      <c r="II43" s="14">
        <f t="shared" si="80"/>
        <v>0</v>
      </c>
      <c r="IJ43" s="14">
        <f t="shared" si="81"/>
        <v>0</v>
      </c>
      <c r="IK43" s="14">
        <f t="shared" si="82"/>
        <v>32189</v>
      </c>
      <c r="IL43" s="17">
        <f t="shared" si="83"/>
        <v>1.338966727764143E-2</v>
      </c>
      <c r="IM43" s="17">
        <f t="shared" si="84"/>
        <v>0</v>
      </c>
      <c r="IN43" s="17">
        <f t="shared" si="85"/>
        <v>0</v>
      </c>
      <c r="IO43" s="23">
        <f>SUM(IH$5:IH43)</f>
        <v>14274</v>
      </c>
      <c r="IP43" s="14">
        <f>SUM(II$5:II43)</f>
        <v>8005</v>
      </c>
      <c r="IQ43" s="14">
        <f>SUM(IJ$5:IJ43)</f>
        <v>4040</v>
      </c>
      <c r="IR43" s="17">
        <f t="shared" si="86"/>
        <v>0.4434434123458324</v>
      </c>
      <c r="IS43" s="17">
        <f t="shared" si="87"/>
        <v>0.24868743980863028</v>
      </c>
      <c r="IT43" s="17">
        <f t="shared" si="88"/>
        <v>0.12550871415701015</v>
      </c>
      <c r="IW43" s="13">
        <v>39</v>
      </c>
      <c r="IX43" s="14">
        <f>MATCH(IW43-1,属性投放!$T$6:$T$66,1)</f>
        <v>2</v>
      </c>
      <c r="IY43" s="14">
        <f>MATCH(IW43-1,属性投放!$AD$7:$AD$26,1)</f>
        <v>4</v>
      </c>
      <c r="IZ43" s="14" t="str">
        <f>INDEX(属性投放!$AB$7:$AB$26,IY43)</f>
        <v>众合</v>
      </c>
      <c r="JA43" s="14">
        <f t="shared" si="89"/>
        <v>338</v>
      </c>
      <c r="JB43" s="14">
        <f t="shared" si="90"/>
        <v>120</v>
      </c>
      <c r="JC43" s="14">
        <f t="shared" si="91"/>
        <v>1658</v>
      </c>
      <c r="JD43" s="14">
        <f t="shared" si="92"/>
        <v>22</v>
      </c>
      <c r="JE43" s="14">
        <f t="shared" si="93"/>
        <v>11</v>
      </c>
      <c r="JF43" s="14">
        <f t="shared" si="94"/>
        <v>153</v>
      </c>
      <c r="JG43" s="14">
        <f>INDEX(属性投放!$DC$6:$DC$85,卡牌属性!IY43)</f>
        <v>20</v>
      </c>
      <c r="JH43" s="14">
        <f t="shared" si="95"/>
        <v>756</v>
      </c>
      <c r="JI43" s="14">
        <f t="shared" si="96"/>
        <v>329</v>
      </c>
      <c r="JJ43" s="14">
        <f t="shared" si="97"/>
        <v>4565</v>
      </c>
      <c r="JK43" s="14">
        <f t="shared" si="98"/>
        <v>11635</v>
      </c>
    </row>
    <row r="44" spans="14:271" ht="16.5" x14ac:dyDescent="0.2">
      <c r="AE44" s="13">
        <v>40</v>
      </c>
      <c r="AF44" s="13">
        <f t="shared" si="31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142</v>
      </c>
      <c r="AM44" s="14">
        <v>1</v>
      </c>
      <c r="AN44" s="14">
        <f t="shared" si="5"/>
        <v>20</v>
      </c>
      <c r="AO44" s="14">
        <f>INDEX(属性投放!$DF$6:$DF$85,(卡牌属性!AG44-2)*20+卡牌属性!AN44)</f>
        <v>18924</v>
      </c>
      <c r="AP44" s="14">
        <f t="shared" si="99"/>
        <v>18924</v>
      </c>
      <c r="AQ44" s="14">
        <f t="shared" si="99"/>
        <v>18924</v>
      </c>
      <c r="AR44" s="14">
        <f t="shared" si="99"/>
        <v>18924</v>
      </c>
      <c r="AS44" s="14">
        <f t="shared" si="99"/>
        <v>18924</v>
      </c>
      <c r="AT44" s="14">
        <f>INDEX(属性投放!$DG$6:$DG$85,(卡牌属性!AG44-2)*20+卡牌属性!AN44)</f>
        <v>9417</v>
      </c>
      <c r="AU44" s="14">
        <f t="shared" si="100"/>
        <v>9417</v>
      </c>
      <c r="AV44" s="14">
        <f t="shared" si="100"/>
        <v>9417</v>
      </c>
      <c r="AW44" s="14">
        <f t="shared" si="100"/>
        <v>9417</v>
      </c>
      <c r="AX44" s="14">
        <f t="shared" si="100"/>
        <v>9417</v>
      </c>
      <c r="AY44" s="14">
        <f>INDEX(属性投放!$DH$6:$DH$85,(卡牌属性!AG44-2)*20+卡牌属性!AN44)</f>
        <v>180916</v>
      </c>
      <c r="AZ44" s="14">
        <f t="shared" si="101"/>
        <v>180916</v>
      </c>
      <c r="BA44" s="14">
        <f t="shared" si="101"/>
        <v>180916</v>
      </c>
      <c r="BB44" s="14">
        <f t="shared" si="101"/>
        <v>180916</v>
      </c>
      <c r="BC44" s="14">
        <f t="shared" si="101"/>
        <v>180916</v>
      </c>
      <c r="BD44" s="14">
        <f>INDEX(属性投放!$DL$6:$DL$85,(卡牌属性!AG44-2)*20+卡牌属性!AN44)</f>
        <v>462</v>
      </c>
      <c r="BE44" s="14">
        <f t="shared" si="102"/>
        <v>462</v>
      </c>
      <c r="BF44" s="14">
        <f t="shared" si="102"/>
        <v>462</v>
      </c>
      <c r="BG44" s="14">
        <f t="shared" si="102"/>
        <v>462</v>
      </c>
      <c r="BH44" s="14">
        <f t="shared" si="102"/>
        <v>462</v>
      </c>
      <c r="BI44" s="14">
        <f>INDEX(属性投放!$DM$6:$DM$85,(卡牌属性!AG44-2)*20+卡牌属性!AN44)</f>
        <v>231</v>
      </c>
      <c r="BJ44" s="14">
        <f t="shared" si="103"/>
        <v>231</v>
      </c>
      <c r="BK44" s="14">
        <f t="shared" si="103"/>
        <v>231</v>
      </c>
      <c r="BL44" s="14">
        <f t="shared" si="103"/>
        <v>231</v>
      </c>
      <c r="BM44" s="14">
        <f t="shared" si="103"/>
        <v>231</v>
      </c>
      <c r="BN44" s="14">
        <f>INDEX(属性投放!$DN$6:$DN$85,(卡牌属性!AG44-2)*20+卡牌属性!AN44)</f>
        <v>4620</v>
      </c>
      <c r="BO44" s="14">
        <f t="shared" si="104"/>
        <v>4620</v>
      </c>
      <c r="BP44" s="14">
        <f t="shared" si="104"/>
        <v>4620</v>
      </c>
      <c r="BQ44" s="14">
        <f t="shared" si="104"/>
        <v>4620</v>
      </c>
      <c r="BR44" s="14">
        <f t="shared" si="104"/>
        <v>4620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32"/>
        <v>1102002</v>
      </c>
      <c r="CA44" s="14" t="str">
        <f t="shared" si="33"/>
        <v>许褚20突</v>
      </c>
      <c r="CB44" s="25" t="s">
        <v>142</v>
      </c>
      <c r="CC44" s="14">
        <v>2</v>
      </c>
      <c r="CD44" s="14">
        <f t="shared" si="14"/>
        <v>20</v>
      </c>
      <c r="CE44" s="14" t="s">
        <v>21</v>
      </c>
      <c r="CF44" s="14">
        <f>INDEX(属性投放!$AZ$6:$AZ$85,(BY44-2)*20+CD44)</f>
        <v>24246</v>
      </c>
      <c r="CG44" s="14" t="s">
        <v>22</v>
      </c>
      <c r="CH44" s="14">
        <f>INDEX(属性投放!$BA$6:$BA$85,(BY44-2)*20+CD44)</f>
        <v>12084</v>
      </c>
      <c r="CI44" s="14" t="s">
        <v>510</v>
      </c>
      <c r="CJ44" s="14">
        <f>INDEX(属性投放!$BB$6:$BB$85,(BY44-2)*20+CD44)</f>
        <v>231640</v>
      </c>
      <c r="CK44" s="14" t="s">
        <v>21</v>
      </c>
      <c r="CL44" s="14">
        <f>INDEX(属性投放!$BC$6:$BC$85,(BY44-2)*20+CD44)</f>
        <v>40</v>
      </c>
      <c r="CM44" s="14" t="s">
        <v>22</v>
      </c>
      <c r="CN44" s="14">
        <f>INDEX(属性投放!$BD$6:$BD$85,(BY44-2)*20+CD44)</f>
        <v>20</v>
      </c>
      <c r="CO44" s="14" t="s">
        <v>510</v>
      </c>
      <c r="CP44" s="14">
        <f>INDEX(属性投放!$BE$6:$BE$85,(BY44-2)*20+CD44)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INDEX($O$6:$O$50,CT44)&amp;"-"&amp;INDEX(属性投放!$AB$7:$AB$50,CZ44)&amp;"-魂火-"&amp;DB44</f>
        <v>关羽-大焦热+1-魂火-1</v>
      </c>
      <c r="CY44" s="25" t="s">
        <v>142</v>
      </c>
      <c r="CZ44" s="14">
        <f>INDEX(属性投放!$AM$7:$AM$58,CU44)</f>
        <v>17</v>
      </c>
      <c r="DA44" s="14" t="s">
        <v>537</v>
      </c>
      <c r="DB44" s="14">
        <f>INDEX(属性投放!$AN$7:$AN$58,CU44)</f>
        <v>1</v>
      </c>
      <c r="DC44" s="14">
        <f t="shared" si="16"/>
        <v>40</v>
      </c>
      <c r="DD44" s="14">
        <f>INDEX(属性投放!$AO$7:$AO$58,DC44)</f>
        <v>118</v>
      </c>
      <c r="DE44" s="14" t="s">
        <v>538</v>
      </c>
      <c r="DF44" s="14">
        <f>INDEX(属性投放!$BK$6:$BK$85,(CV44-2)*20+CZ44)</f>
        <v>720</v>
      </c>
      <c r="DG44" s="14">
        <f>SUMIFS(DF$5:DF44,$CT$5:$CT44,"="&amp;$CT44)</f>
        <v>9299</v>
      </c>
      <c r="DH44" s="14" t="s">
        <v>539</v>
      </c>
      <c r="DI44" s="14">
        <f>INDEX(属性投放!$BL$6:$BL$85,(CV44-2)*20+CZ44)</f>
        <v>360</v>
      </c>
      <c r="DJ44" s="14">
        <f>SUMIFS(DI$5:DI44,$CT$5:$CT44,"="&amp;$CT44)</f>
        <v>4655</v>
      </c>
      <c r="DK44" s="14" t="s">
        <v>540</v>
      </c>
      <c r="DL44" s="14">
        <f>INDEX(属性投放!$BM$6:$BM$85,(CV44-2)*20+CZ44)</f>
        <v>7200</v>
      </c>
      <c r="DM44" s="14">
        <f>SUMIFS(DL$5:DL44,$CT$5:$CT44,"="&amp;$CT44)</f>
        <v>87402</v>
      </c>
      <c r="DR44" s="14">
        <f t="shared" si="17"/>
        <v>1102002</v>
      </c>
      <c r="DS44" s="14" t="str">
        <f t="shared" si="18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19"/>
        <v>3</v>
      </c>
      <c r="DX44" s="14">
        <f t="shared" si="20"/>
        <v>20</v>
      </c>
      <c r="DY44" s="14">
        <f t="shared" si="21"/>
        <v>40</v>
      </c>
      <c r="DZ44" s="14">
        <f>INDEX(属性投放!$AX$6:$AX$85,(卡牌属性!DW44-2)*20+卡牌属性!DX44)</f>
        <v>10</v>
      </c>
      <c r="EA44" s="14">
        <f>INDEX(属性投放!BQ$6:BQ$85,卡牌属性!$DY44)</f>
        <v>1500</v>
      </c>
      <c r="EB44" s="14">
        <f>INDEX(属性投放!BR$6:BR$85,卡牌属性!$DY44)</f>
        <v>750</v>
      </c>
      <c r="EC44" s="14">
        <f>INDEX(属性投放!BS$6:BS$85,卡牌属性!$DY44)</f>
        <v>15000</v>
      </c>
      <c r="ED44" s="14">
        <f t="shared" si="105"/>
        <v>10290</v>
      </c>
      <c r="EE44" s="14">
        <f t="shared" si="106"/>
        <v>10876</v>
      </c>
      <c r="EF44" s="14">
        <f t="shared" si="107"/>
        <v>11184</v>
      </c>
      <c r="EG44" s="14">
        <f t="shared" si="108"/>
        <v>11184</v>
      </c>
      <c r="EH44" s="14">
        <f t="shared" si="109"/>
        <v>12683</v>
      </c>
      <c r="EI44" s="14">
        <f t="shared" si="110"/>
        <v>5416</v>
      </c>
      <c r="EJ44" s="14">
        <f t="shared" si="111"/>
        <v>5584</v>
      </c>
      <c r="EK44" s="14">
        <f t="shared" si="112"/>
        <v>5584</v>
      </c>
      <c r="EL44" s="14">
        <f t="shared" si="113"/>
        <v>6317</v>
      </c>
      <c r="EM44" s="14">
        <f t="shared" si="114"/>
        <v>6667</v>
      </c>
      <c r="EN44" s="14">
        <f t="shared" si="115"/>
        <v>104564</v>
      </c>
      <c r="EO44" s="14">
        <f t="shared" si="116"/>
        <v>118198</v>
      </c>
      <c r="EP44" s="14">
        <f t="shared" si="117"/>
        <v>118198</v>
      </c>
      <c r="EQ44" s="14">
        <f t="shared" si="118"/>
        <v>124142</v>
      </c>
      <c r="ER44" s="14">
        <f t="shared" si="119"/>
        <v>132540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INDEX(属性投放!$BQ$6:$BQ$85,(卡牌属性!$DW44-2)*20+卡牌属性!$DX44)</f>
        <v>1500</v>
      </c>
      <c r="FI44" s="14">
        <f>INDEX(属性投放!$BQ$6:$BQ$85,(卡牌属性!$DW44-2)*20+卡牌属性!$DX44)</f>
        <v>1500</v>
      </c>
      <c r="FJ44" s="14">
        <f>INDEX(属性投放!$BQ$6:$BQ$85,(卡牌属性!$DW44-2)*20+卡牌属性!$DX44)</f>
        <v>1500</v>
      </c>
      <c r="FK44" s="14">
        <f>INDEX(属性投放!$BQ$6:$BQ$85,(卡牌属性!$DW44-2)*20+卡牌属性!$DX44)</f>
        <v>1500</v>
      </c>
      <c r="FL44" s="14">
        <f>INDEX(属性投放!$BQ$6:$BQ$85,(卡牌属性!$DW44-2)*20+卡牌属性!$DX44)</f>
        <v>1500</v>
      </c>
      <c r="FM44" s="14">
        <f>INDEX(属性投放!$BR$6:$BR$85,(卡牌属性!$DW44-2)*20+卡牌属性!$DX44)</f>
        <v>750</v>
      </c>
      <c r="FN44" s="14">
        <f>INDEX(属性投放!$BR$6:$BR$85,(卡牌属性!$DW44-2)*20+卡牌属性!$DX44)</f>
        <v>750</v>
      </c>
      <c r="FO44" s="14">
        <f>INDEX(属性投放!$BR$6:$BR$85,(卡牌属性!$DW44-2)*20+卡牌属性!$DX44)</f>
        <v>750</v>
      </c>
      <c r="FP44" s="14">
        <f>INDEX(属性投放!$BR$6:$BR$85,(卡牌属性!$DW44-2)*20+卡牌属性!$DX44)</f>
        <v>750</v>
      </c>
      <c r="FQ44" s="14">
        <f>INDEX(属性投放!$BR$6:$BR$85,(卡牌属性!$DW44-2)*20+卡牌属性!$DX44)</f>
        <v>750</v>
      </c>
      <c r="FR44" s="14">
        <f>INDEX(属性投放!$BS$6:$BS$85,(卡牌属性!$DW44-2)*20+卡牌属性!$DX44)</f>
        <v>15000</v>
      </c>
      <c r="FS44" s="14">
        <f>INDEX(属性投放!$BS$6:$BS$85,(卡牌属性!$DW44-2)*20+卡牌属性!$DX44)</f>
        <v>15000</v>
      </c>
      <c r="FT44" s="14">
        <f>INDEX(属性投放!$BS$6:$BS$85,(卡牌属性!$DW44-2)*20+卡牌属性!$DX44)</f>
        <v>15000</v>
      </c>
      <c r="FU44" s="14">
        <f>INDEX(属性投放!$BS$6:$BS$85,(卡牌属性!$DW44-2)*20+卡牌属性!$DX44)</f>
        <v>15000</v>
      </c>
      <c r="FV44" s="14">
        <f>INDEX(属性投放!$BS$6:$BS$85,(卡牌属性!$DW44-2)*20+卡牌属性!$DX44)</f>
        <v>15000</v>
      </c>
      <c r="FZ44" s="13">
        <v>40</v>
      </c>
      <c r="GA44" s="13">
        <f t="shared" si="121"/>
        <v>8</v>
      </c>
      <c r="GB44" s="14">
        <f t="shared" si="56"/>
        <v>1102008</v>
      </c>
      <c r="GC44" s="14" t="s">
        <v>1187</v>
      </c>
      <c r="GD44" s="14">
        <f t="shared" si="122"/>
        <v>5</v>
      </c>
      <c r="GE44" s="14" t="str">
        <f t="shared" si="123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4"/>
        <v>8</v>
      </c>
      <c r="GP44" s="14">
        <f t="shared" si="57"/>
        <v>1101008</v>
      </c>
      <c r="GQ44" s="14" t="s">
        <v>1187</v>
      </c>
      <c r="GR44" s="14">
        <f t="shared" si="125"/>
        <v>5</v>
      </c>
      <c r="GS44" s="14" t="str">
        <f t="shared" si="126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MATCH(HC44,属性投放!$AO$6:$AO$58,1)-1</f>
        <v>9</v>
      </c>
      <c r="HF44" s="13">
        <f>MATCH(HC44-1,属性投放!$AE$6:$AE$26,1)</f>
        <v>5</v>
      </c>
      <c r="HG44" s="13" t="str">
        <f>INDEX(属性投放!$AB$7:$AB$26,卡牌属性!HF44)</f>
        <v>众合+1</v>
      </c>
      <c r="HH44" s="14">
        <f t="shared" si="58"/>
        <v>1003</v>
      </c>
      <c r="HI44" s="14">
        <f t="shared" si="59"/>
        <v>378</v>
      </c>
      <c r="HJ44" s="14">
        <f t="shared" si="60"/>
        <v>4870</v>
      </c>
      <c r="HK44" s="14">
        <f t="shared" si="61"/>
        <v>20</v>
      </c>
      <c r="HL44" s="14">
        <f t="shared" si="62"/>
        <v>7</v>
      </c>
      <c r="HM44" s="14">
        <f t="shared" si="63"/>
        <v>91</v>
      </c>
      <c r="HN44" s="14">
        <f>HH44+HK44*($HC44-INDEX(属性投放!$AE$6:$AE$26,卡牌属性!$HF44))</f>
        <v>1103</v>
      </c>
      <c r="HO44" s="14">
        <f>HI44+HL44*($HC44-INDEX(属性投放!$AE$6:$AE$26,卡牌属性!$HF44))</f>
        <v>413</v>
      </c>
      <c r="HP44" s="14">
        <f>HJ44+HM44*($HC44-INDEX(属性投放!$AE$6:$AE$26,卡牌属性!$HF44))</f>
        <v>5325</v>
      </c>
      <c r="HQ44" s="14">
        <f t="shared" si="64"/>
        <v>355</v>
      </c>
      <c r="HR44" s="14">
        <f t="shared" si="65"/>
        <v>181</v>
      </c>
      <c r="HS44" s="14">
        <f t="shared" si="66"/>
        <v>2330</v>
      </c>
      <c r="HT44" s="14">
        <f>IF(COUNTIF(属性投放!$AO$7:$AO$58,"="&amp;卡牌属性!HC44)&gt;0,卡牌属性!HE44,0)</f>
        <v>9</v>
      </c>
      <c r="HU44" s="14">
        <f t="shared" si="67"/>
        <v>55</v>
      </c>
      <c r="HV44" s="14">
        <f t="shared" si="68"/>
        <v>28</v>
      </c>
      <c r="HW44" s="14">
        <f t="shared" si="69"/>
        <v>385</v>
      </c>
      <c r="HX44" s="14">
        <f>IF(COUNTIF(属性投放!$AE$6:$AE$26,"="&amp;卡牌属性!HC44)&gt;0,卡牌属性!HF44,0)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20</v>
      </c>
      <c r="IC44" s="14">
        <f t="shared" si="74"/>
        <v>7</v>
      </c>
      <c r="ID44" s="14">
        <f t="shared" si="75"/>
        <v>91</v>
      </c>
      <c r="IE44" s="14">
        <f t="shared" si="76"/>
        <v>1458</v>
      </c>
      <c r="IF44" s="14">
        <f t="shared" si="77"/>
        <v>594</v>
      </c>
      <c r="IG44" s="14">
        <f t="shared" si="78"/>
        <v>7655</v>
      </c>
      <c r="IH44" s="14">
        <f t="shared" si="79"/>
        <v>431</v>
      </c>
      <c r="II44" s="14">
        <f t="shared" si="80"/>
        <v>1495</v>
      </c>
      <c r="IJ44" s="14">
        <f t="shared" si="81"/>
        <v>0</v>
      </c>
      <c r="IK44" s="14">
        <f t="shared" si="82"/>
        <v>34115</v>
      </c>
      <c r="IL44" s="17">
        <f t="shared" si="83"/>
        <v>1.2633738824563975E-2</v>
      </c>
      <c r="IM44" s="17">
        <f t="shared" si="84"/>
        <v>4.3822365528359962E-2</v>
      </c>
      <c r="IN44" s="17">
        <f t="shared" si="85"/>
        <v>0</v>
      </c>
      <c r="IO44" s="23">
        <f>SUM(IH$5:IH44)</f>
        <v>14705</v>
      </c>
      <c r="IP44" s="14">
        <f>SUM(II$5:II44)</f>
        <v>9500</v>
      </c>
      <c r="IQ44" s="14">
        <f>SUM(IJ$5:IJ44)</f>
        <v>4040</v>
      </c>
      <c r="IR44" s="17">
        <f t="shared" si="86"/>
        <v>0.43104206360838343</v>
      </c>
      <c r="IS44" s="17">
        <f t="shared" si="87"/>
        <v>0.27846988128389272</v>
      </c>
      <c r="IT44" s="17">
        <f t="shared" si="88"/>
        <v>0.11842298109336069</v>
      </c>
      <c r="IW44" s="13">
        <v>40</v>
      </c>
      <c r="IX44" s="14">
        <f>MATCH(IW44-1,属性投放!$T$6:$T$66,1)</f>
        <v>2</v>
      </c>
      <c r="IY44" s="14">
        <f>MATCH(IW44-1,属性投放!$AD$7:$AD$26,1)</f>
        <v>4</v>
      </c>
      <c r="IZ44" s="14" t="str">
        <f>INDEX(属性投放!$AB$7:$AB$26,IY44)</f>
        <v>众合</v>
      </c>
      <c r="JA44" s="14">
        <f t="shared" si="89"/>
        <v>338</v>
      </c>
      <c r="JB44" s="14">
        <f t="shared" si="90"/>
        <v>120</v>
      </c>
      <c r="JC44" s="14">
        <f t="shared" si="91"/>
        <v>1658</v>
      </c>
      <c r="JD44" s="14">
        <f t="shared" si="92"/>
        <v>22</v>
      </c>
      <c r="JE44" s="14">
        <f t="shared" si="93"/>
        <v>11</v>
      </c>
      <c r="JF44" s="14">
        <f t="shared" si="94"/>
        <v>153</v>
      </c>
      <c r="JG44" s="14">
        <f>INDEX(属性投放!$DC$6:$DC$85,卡牌属性!IY44)</f>
        <v>20</v>
      </c>
      <c r="JH44" s="14">
        <f t="shared" si="95"/>
        <v>778</v>
      </c>
      <c r="JI44" s="14">
        <f t="shared" si="96"/>
        <v>340</v>
      </c>
      <c r="JJ44" s="14">
        <f t="shared" si="97"/>
        <v>4718</v>
      </c>
      <c r="JK44" s="14">
        <f t="shared" si="98"/>
        <v>12008</v>
      </c>
    </row>
    <row r="45" spans="14:271" ht="16.5" x14ac:dyDescent="0.2">
      <c r="AE45" s="13">
        <v>41</v>
      </c>
      <c r="AF45" s="13">
        <f t="shared" si="31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142</v>
      </c>
      <c r="AM45" s="14">
        <v>1</v>
      </c>
      <c r="AN45" s="14">
        <f t="shared" si="5"/>
        <v>1</v>
      </c>
      <c r="AO45" s="14">
        <f>INDEX(属性投放!$DF$6:$DF$85,(卡牌属性!AG45-2)*20+卡牌属性!AN45)</f>
        <v>150</v>
      </c>
      <c r="AP45" s="14">
        <f t="shared" ref="AP45:AS64" si="127">$AO45</f>
        <v>150</v>
      </c>
      <c r="AQ45" s="14">
        <f t="shared" si="127"/>
        <v>150</v>
      </c>
      <c r="AR45" s="14">
        <f t="shared" si="127"/>
        <v>150</v>
      </c>
      <c r="AS45" s="14">
        <f t="shared" si="127"/>
        <v>150</v>
      </c>
      <c r="AT45" s="14">
        <f>INDEX(属性投放!$DG$6:$DG$85,(卡牌属性!AG45-2)*20+卡牌属性!AN45)</f>
        <v>0</v>
      </c>
      <c r="AU45" s="14">
        <f t="shared" ref="AU45:AX64" si="128">$AT45</f>
        <v>0</v>
      </c>
      <c r="AV45" s="14">
        <f t="shared" si="128"/>
        <v>0</v>
      </c>
      <c r="AW45" s="14">
        <f t="shared" si="128"/>
        <v>0</v>
      </c>
      <c r="AX45" s="14">
        <f t="shared" si="128"/>
        <v>0</v>
      </c>
      <c r="AY45" s="14">
        <f>INDEX(属性投放!$DH$6:$DH$85,(卡牌属性!AG45-2)*20+卡牌属性!AN45)</f>
        <v>375</v>
      </c>
      <c r="AZ45" s="14">
        <f t="shared" ref="AZ45:BC64" si="129">$AY45</f>
        <v>375</v>
      </c>
      <c r="BA45" s="14">
        <f t="shared" si="129"/>
        <v>375</v>
      </c>
      <c r="BB45" s="14">
        <f t="shared" si="129"/>
        <v>375</v>
      </c>
      <c r="BC45" s="14">
        <f t="shared" si="129"/>
        <v>375</v>
      </c>
      <c r="BD45" s="14">
        <f>INDEX(属性投放!$DL$6:$DL$85,(卡牌属性!AG45-2)*20+卡牌属性!AN45)</f>
        <v>8</v>
      </c>
      <c r="BE45" s="14">
        <f t="shared" ref="BE45:BH64" si="130">$BD45</f>
        <v>8</v>
      </c>
      <c r="BF45" s="14">
        <f t="shared" si="130"/>
        <v>8</v>
      </c>
      <c r="BG45" s="14">
        <f t="shared" si="130"/>
        <v>8</v>
      </c>
      <c r="BH45" s="14">
        <f t="shared" si="130"/>
        <v>8</v>
      </c>
      <c r="BI45" s="14">
        <f>INDEX(属性投放!$DM$6:$DM$85,(卡牌属性!AG45-2)*20+卡牌属性!AN45)</f>
        <v>4</v>
      </c>
      <c r="BJ45" s="14">
        <f t="shared" ref="BJ45:BM64" si="131">$BI45</f>
        <v>4</v>
      </c>
      <c r="BK45" s="14">
        <f t="shared" si="131"/>
        <v>4</v>
      </c>
      <c r="BL45" s="14">
        <f t="shared" si="131"/>
        <v>4</v>
      </c>
      <c r="BM45" s="14">
        <f t="shared" si="131"/>
        <v>4</v>
      </c>
      <c r="BN45" s="14">
        <f>INDEX(属性投放!$DN$6:$DN$85,(卡牌属性!AG45-2)*20+卡牌属性!AN45)</f>
        <v>49</v>
      </c>
      <c r="BO45" s="14">
        <f t="shared" ref="BO45:BR64" si="132">$BN45</f>
        <v>49</v>
      </c>
      <c r="BP45" s="14">
        <f t="shared" si="132"/>
        <v>49</v>
      </c>
      <c r="BQ45" s="14">
        <f t="shared" si="132"/>
        <v>49</v>
      </c>
      <c r="BR45" s="14">
        <f t="shared" si="132"/>
        <v>49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32"/>
        <v>1102003</v>
      </c>
      <c r="CA45" s="14" t="str">
        <f t="shared" si="33"/>
        <v>典韦1突</v>
      </c>
      <c r="CB45" s="25" t="s">
        <v>142</v>
      </c>
      <c r="CC45" s="14">
        <v>2</v>
      </c>
      <c r="CD45" s="14">
        <f t="shared" si="14"/>
        <v>1</v>
      </c>
      <c r="CE45" s="14" t="s">
        <v>21</v>
      </c>
      <c r="CF45" s="14">
        <f>INDEX(属性投放!$AZ$6:$AZ$85,(BY45-2)*20+CD45)</f>
        <v>200</v>
      </c>
      <c r="CG45" s="14" t="s">
        <v>22</v>
      </c>
      <c r="CH45" s="14">
        <f>INDEX(属性投放!$BA$6:$BA$85,(BY45-2)*20+CD45)</f>
        <v>25</v>
      </c>
      <c r="CI45" s="14" t="s">
        <v>510</v>
      </c>
      <c r="CJ45" s="14">
        <f>INDEX(属性投放!$BB$6:$BB$85,(BY45-2)*20+CD45)</f>
        <v>800</v>
      </c>
      <c r="CK45" s="14" t="s">
        <v>21</v>
      </c>
      <c r="CL45" s="14">
        <f>INDEX(属性投放!$BC$6:$BC$85,(BY45-2)*20+CD45)</f>
        <v>12</v>
      </c>
      <c r="CM45" s="14" t="s">
        <v>22</v>
      </c>
      <c r="CN45" s="14">
        <f>INDEX(属性投放!$BD$6:$BD$85,(BY45-2)*20+CD45)</f>
        <v>6</v>
      </c>
      <c r="CO45" s="14" t="s">
        <v>510</v>
      </c>
      <c r="CP45" s="14">
        <f>INDEX(属性投放!$BE$6:$BE$85,(BY45-2)*20+CD45)</f>
        <v>72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INDEX($O$6:$O$50,CT45)&amp;"-"&amp;INDEX(属性投放!$AB$7:$AB$50,CZ45)&amp;"-魂火-"&amp;DB45</f>
        <v>关羽-大焦热+1-魂火-2</v>
      </c>
      <c r="CY45" s="25" t="s">
        <v>142</v>
      </c>
      <c r="CZ45" s="14">
        <f>INDEX(属性投放!$AM$7:$AM$58,CU45)</f>
        <v>17</v>
      </c>
      <c r="DA45" s="14" t="s">
        <v>537</v>
      </c>
      <c r="DB45" s="14">
        <f>INDEX(属性投放!$AN$7:$AN$58,CU45)</f>
        <v>2</v>
      </c>
      <c r="DC45" s="14">
        <f t="shared" si="16"/>
        <v>41</v>
      </c>
      <c r="DD45" s="14">
        <f>INDEX(属性投放!$AO$7:$AO$58,DC45)</f>
        <v>120</v>
      </c>
      <c r="DE45" s="14" t="s">
        <v>538</v>
      </c>
      <c r="DF45" s="14">
        <f>INDEX(属性投放!$BK$6:$BK$85,(CV45-2)*20+CZ45)</f>
        <v>720</v>
      </c>
      <c r="DG45" s="14">
        <f>SUMIFS(DF$5:DF45,$CT$5:$CT45,"="&amp;$CT45)</f>
        <v>10019</v>
      </c>
      <c r="DH45" s="14" t="s">
        <v>539</v>
      </c>
      <c r="DI45" s="14">
        <f>INDEX(属性投放!$BL$6:$BL$85,(CV45-2)*20+CZ45)</f>
        <v>360</v>
      </c>
      <c r="DJ45" s="14">
        <f>SUMIFS(DI$5:DI45,$CT$5:$CT45,"="&amp;$CT45)</f>
        <v>5015</v>
      </c>
      <c r="DK45" s="14" t="s">
        <v>540</v>
      </c>
      <c r="DL45" s="14">
        <f>INDEX(属性投放!$BM$6:$BM$85,(CV45-2)*20+CZ45)</f>
        <v>7200</v>
      </c>
      <c r="DM45" s="14">
        <f>SUMIFS(DL$5:DL45,$CT$5:$CT45,"="&amp;$CT45)</f>
        <v>94602</v>
      </c>
      <c r="DR45" s="14">
        <f t="shared" si="17"/>
        <v>1102003</v>
      </c>
      <c r="DS45" s="14" t="str">
        <f t="shared" si="18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19"/>
        <v>4</v>
      </c>
      <c r="DX45" s="14">
        <f t="shared" si="20"/>
        <v>1</v>
      </c>
      <c r="DY45" s="14">
        <f t="shared" si="21"/>
        <v>41</v>
      </c>
      <c r="DZ45" s="14">
        <f>INDEX(属性投放!$AX$6:$AX$85,(卡牌属性!DW45-2)*20+卡牌属性!DX45)</f>
        <v>4</v>
      </c>
      <c r="EA45" s="14">
        <f>INDEX(属性投放!BQ$6:BQ$85,卡牌属性!$DY45)</f>
        <v>35</v>
      </c>
      <c r="EB45" s="14">
        <f>INDEX(属性投放!BR$6:BR$85,卡牌属性!$DY45)</f>
        <v>18</v>
      </c>
      <c r="EC45" s="14">
        <f>INDEX(属性投放!BS$6:BS$85,卡牌属性!$DY45)</f>
        <v>210</v>
      </c>
      <c r="ED45" s="14">
        <f>INDEX(属性偏向!$I$4:$I$15,卡牌属性!$DT45+ED$3)</f>
        <v>200</v>
      </c>
      <c r="EE45" s="14">
        <f>INDEX(属性偏向!$I$4:$I$15,卡牌属性!$DT45+EE$3)</f>
        <v>250</v>
      </c>
      <c r="EF45" s="14">
        <f>INDEX(属性偏向!$I$4:$I$15,卡牌属性!$DT45+EF$3)</f>
        <v>300</v>
      </c>
      <c r="EG45" s="14">
        <f>INDEX(属性偏向!$I$4:$I$15,卡牌属性!$DT45+EG$3)</f>
        <v>300</v>
      </c>
      <c r="EH45" s="14">
        <f>INDEX(属性偏向!$I$4:$I$15,卡牌属性!$DT45+EH$3)</f>
        <v>350</v>
      </c>
      <c r="EI45" s="14">
        <f>INDEX(属性偏向!$J$4:$J$15,卡牌属性!$DU45+EI$3)</f>
        <v>40</v>
      </c>
      <c r="EJ45" s="14">
        <f>INDEX(属性偏向!$J$4:$J$15,卡牌属性!$DU45+EJ$3)</f>
        <v>50</v>
      </c>
      <c r="EK45" s="14">
        <f>INDEX(属性偏向!$J$4:$J$15,卡牌属性!$DU45+EK$3)</f>
        <v>50</v>
      </c>
      <c r="EL45" s="14">
        <f>INDEX(属性偏向!$J$4:$J$15,卡牌属性!$DU45+EL$3)</f>
        <v>75</v>
      </c>
      <c r="EM45" s="14">
        <f>INDEX(属性偏向!$J$4:$J$15,卡牌属性!$DU45+EM$3)</f>
        <v>100</v>
      </c>
      <c r="EN45" s="14">
        <f>INDEX(属性偏向!$K$4:$K$15,卡牌属性!$DV45+EN$3)</f>
        <v>650</v>
      </c>
      <c r="EO45" s="14">
        <f>INDEX(属性偏向!$K$4:$K$15,卡牌属性!$DV45+EO$3)</f>
        <v>800</v>
      </c>
      <c r="EP45" s="14">
        <f>INDEX(属性偏向!$K$4:$K$15,卡牌属性!$DV45+EP$3)</f>
        <v>800</v>
      </c>
      <c r="EQ45" s="14">
        <f>INDEX(属性偏向!$K$4:$K$15,卡牌属性!$DV45+EQ$3)</f>
        <v>1000</v>
      </c>
      <c r="ER45" s="14">
        <f>INDEX(属性偏向!$K$4:$K$15,卡牌属性!$DV45+ER$3)</f>
        <v>1200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60</v>
      </c>
      <c r="FD45" s="14">
        <f>INDEX(属性偏向!$U$4:$U$243,(卡牌属性!$DV45-1+FD$3)*20+卡牌属性!$DX45)</f>
        <v>72</v>
      </c>
      <c r="FE45" s="14">
        <f>INDEX(属性偏向!$U$4:$U$243,(卡牌属性!$DV45-1+FE$3)*20+卡牌属性!$DX45)</f>
        <v>72</v>
      </c>
      <c r="FF45" s="14">
        <f>INDEX(属性偏向!$U$4:$U$243,(卡牌属性!$DV45-1+FF$3)*20+卡牌属性!$DX45)</f>
        <v>78</v>
      </c>
      <c r="FG45" s="14">
        <f>INDEX(属性偏向!$U$4:$U$243,(卡牌属性!$DV45-1+FG$3)*20+卡牌属性!$DX45)</f>
        <v>90</v>
      </c>
      <c r="FH45" s="14">
        <f>INDEX(属性投放!$BQ$6:$BQ$85,(卡牌属性!$DW45-2)*20+卡牌属性!$DX45)</f>
        <v>35</v>
      </c>
      <c r="FI45" s="14">
        <f>INDEX(属性投放!$BQ$6:$BQ$85,(卡牌属性!$DW45-2)*20+卡牌属性!$DX45)</f>
        <v>35</v>
      </c>
      <c r="FJ45" s="14">
        <f>INDEX(属性投放!$BQ$6:$BQ$85,(卡牌属性!$DW45-2)*20+卡牌属性!$DX45)</f>
        <v>35</v>
      </c>
      <c r="FK45" s="14">
        <f>INDEX(属性投放!$BQ$6:$BQ$85,(卡牌属性!$DW45-2)*20+卡牌属性!$DX45)</f>
        <v>35</v>
      </c>
      <c r="FL45" s="14">
        <f>INDEX(属性投放!$BQ$6:$BQ$85,(卡牌属性!$DW45-2)*20+卡牌属性!$DX45)</f>
        <v>35</v>
      </c>
      <c r="FM45" s="14">
        <f>INDEX(属性投放!$BR$6:$BR$85,(卡牌属性!$DW45-2)*20+卡牌属性!$DX45)</f>
        <v>18</v>
      </c>
      <c r="FN45" s="14">
        <f>INDEX(属性投放!$BR$6:$BR$85,(卡牌属性!$DW45-2)*20+卡牌属性!$DX45)</f>
        <v>18</v>
      </c>
      <c r="FO45" s="14">
        <f>INDEX(属性投放!$BR$6:$BR$85,(卡牌属性!$DW45-2)*20+卡牌属性!$DX45)</f>
        <v>18</v>
      </c>
      <c r="FP45" s="14">
        <f>INDEX(属性投放!$BR$6:$BR$85,(卡牌属性!$DW45-2)*20+卡牌属性!$DX45)</f>
        <v>18</v>
      </c>
      <c r="FQ45" s="14">
        <f>INDEX(属性投放!$BR$6:$BR$85,(卡牌属性!$DW45-2)*20+卡牌属性!$DX45)</f>
        <v>18</v>
      </c>
      <c r="FR45" s="14">
        <f>INDEX(属性投放!$BS$6:$BS$85,(卡牌属性!$DW45-2)*20+卡牌属性!$DX45)</f>
        <v>210</v>
      </c>
      <c r="FS45" s="14">
        <f>INDEX(属性投放!$BS$6:$BS$85,(卡牌属性!$DW45-2)*20+卡牌属性!$DX45)</f>
        <v>210</v>
      </c>
      <c r="FT45" s="14">
        <f>INDEX(属性投放!$BS$6:$BS$85,(卡牌属性!$DW45-2)*20+卡牌属性!$DX45)</f>
        <v>210</v>
      </c>
      <c r="FU45" s="14">
        <f>INDEX(属性投放!$BS$6:$BS$85,(卡牌属性!$DW45-2)*20+卡牌属性!$DX45)</f>
        <v>210</v>
      </c>
      <c r="FV45" s="14">
        <f>INDEX(属性投放!$BS$6:$BS$85,(卡牌属性!$DW45-2)*20+卡牌属性!$DX45)</f>
        <v>210</v>
      </c>
      <c r="FZ45" s="13">
        <v>41</v>
      </c>
      <c r="GA45" s="13">
        <f t="shared" si="121"/>
        <v>9</v>
      </c>
      <c r="GB45" s="14">
        <f t="shared" si="56"/>
        <v>1102009</v>
      </c>
      <c r="GC45" s="14" t="s">
        <v>1187</v>
      </c>
      <c r="GD45" s="14">
        <f t="shared" si="122"/>
        <v>1</v>
      </c>
      <c r="GE45" s="14" t="str">
        <f t="shared" si="123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4"/>
        <v>9</v>
      </c>
      <c r="GP45" s="14">
        <f t="shared" si="57"/>
        <v>1101009</v>
      </c>
      <c r="GQ45" s="14" t="s">
        <v>1187</v>
      </c>
      <c r="GR45" s="14">
        <f t="shared" si="125"/>
        <v>1</v>
      </c>
      <c r="GS45" s="14" t="str">
        <f t="shared" si="126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MATCH(HC45,属性投放!$AO$6:$AO$58,1)-1</f>
        <v>9</v>
      </c>
      <c r="HF45" s="13">
        <f>MATCH(HC45-1,属性投放!$AE$6:$AE$26,1)</f>
        <v>5</v>
      </c>
      <c r="HG45" s="13" t="str">
        <f>INDEX(属性投放!$AB$7:$AB$26,卡牌属性!HF45)</f>
        <v>众合+1</v>
      </c>
      <c r="HH45" s="14">
        <f t="shared" si="58"/>
        <v>1003</v>
      </c>
      <c r="HI45" s="14">
        <f t="shared" si="59"/>
        <v>378</v>
      </c>
      <c r="HJ45" s="14">
        <f t="shared" si="60"/>
        <v>4870</v>
      </c>
      <c r="HK45" s="14">
        <f t="shared" si="61"/>
        <v>20</v>
      </c>
      <c r="HL45" s="14">
        <f t="shared" si="62"/>
        <v>7</v>
      </c>
      <c r="HM45" s="14">
        <f t="shared" si="63"/>
        <v>91</v>
      </c>
      <c r="HN45" s="14">
        <f>HH45+HK45*($HC45-INDEX(属性投放!$AE$6:$AE$26,卡牌属性!$HF45))</f>
        <v>1123</v>
      </c>
      <c r="HO45" s="14">
        <f>HI45+HL45*($HC45-INDEX(属性投放!$AE$6:$AE$26,卡牌属性!$HF45))</f>
        <v>420</v>
      </c>
      <c r="HP45" s="14">
        <f>HJ45+HM45*($HC45-INDEX(属性投放!$AE$6:$AE$26,卡牌属性!$HF45))</f>
        <v>5416</v>
      </c>
      <c r="HQ45" s="14">
        <f t="shared" si="64"/>
        <v>355</v>
      </c>
      <c r="HR45" s="14">
        <f t="shared" si="65"/>
        <v>181</v>
      </c>
      <c r="HS45" s="14">
        <f t="shared" si="66"/>
        <v>2330</v>
      </c>
      <c r="HT45" s="14">
        <f>IF(COUNTIF(属性投放!$AO$7:$AO$58,"="&amp;卡牌属性!HC45)&gt;0,卡牌属性!HE45,0)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IF(COUNTIF(属性投放!$AE$6:$AE$26,"="&amp;卡牌属性!HC45)&gt;0,卡牌属性!HF45,0)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20</v>
      </c>
      <c r="IC45" s="14">
        <f t="shared" si="74"/>
        <v>7</v>
      </c>
      <c r="ID45" s="14">
        <f t="shared" si="75"/>
        <v>91</v>
      </c>
      <c r="IE45" s="14">
        <f t="shared" si="76"/>
        <v>1478</v>
      </c>
      <c r="IF45" s="14">
        <f t="shared" si="77"/>
        <v>601</v>
      </c>
      <c r="IG45" s="14">
        <f t="shared" si="78"/>
        <v>7746</v>
      </c>
      <c r="IH45" s="14">
        <f t="shared" si="79"/>
        <v>431</v>
      </c>
      <c r="II45" s="14">
        <f t="shared" si="80"/>
        <v>0</v>
      </c>
      <c r="IJ45" s="14">
        <f t="shared" si="81"/>
        <v>0</v>
      </c>
      <c r="IK45" s="14">
        <f t="shared" si="82"/>
        <v>34546</v>
      </c>
      <c r="IL45" s="17">
        <f t="shared" si="83"/>
        <v>1.247611879812424E-2</v>
      </c>
      <c r="IM45" s="17">
        <f t="shared" si="84"/>
        <v>0</v>
      </c>
      <c r="IN45" s="17">
        <f t="shared" si="85"/>
        <v>0</v>
      </c>
      <c r="IO45" s="23">
        <f>SUM(IH$5:IH45)</f>
        <v>15136</v>
      </c>
      <c r="IP45" s="14">
        <f>SUM(II$5:II45)</f>
        <v>9500</v>
      </c>
      <c r="IQ45" s="14">
        <f>SUM(IJ$5:IJ45)</f>
        <v>4040</v>
      </c>
      <c r="IR45" s="17">
        <f t="shared" si="86"/>
        <v>0.43814045041394084</v>
      </c>
      <c r="IS45" s="17">
        <f t="shared" si="87"/>
        <v>0.27499565796329534</v>
      </c>
      <c r="IT45" s="17">
        <f t="shared" si="88"/>
        <v>0.11694552191281191</v>
      </c>
      <c r="IW45" s="13">
        <v>41</v>
      </c>
      <c r="IX45" s="14">
        <f>MATCH(IW45-1,属性投放!$T$6:$T$66,1)</f>
        <v>2</v>
      </c>
      <c r="IY45" s="14">
        <f>MATCH(IW45-1,属性投放!$AD$7:$AD$26,1)</f>
        <v>5</v>
      </c>
      <c r="IZ45" s="14" t="str">
        <f>INDEX(属性投放!$AB$7:$AB$26,IY45)</f>
        <v>众合+1</v>
      </c>
      <c r="JA45" s="14">
        <f t="shared" si="89"/>
        <v>401</v>
      </c>
      <c r="JB45" s="14">
        <f t="shared" si="90"/>
        <v>151</v>
      </c>
      <c r="JC45" s="14">
        <f t="shared" si="91"/>
        <v>2096</v>
      </c>
      <c r="JD45" s="14">
        <f t="shared" si="92"/>
        <v>22</v>
      </c>
      <c r="JE45" s="14">
        <f t="shared" si="93"/>
        <v>11</v>
      </c>
      <c r="JF45" s="14">
        <f t="shared" si="94"/>
        <v>153</v>
      </c>
      <c r="JG45" s="14">
        <f>INDEX(属性投放!$DC$6:$DC$85,卡牌属性!IY45)</f>
        <v>20</v>
      </c>
      <c r="JH45" s="14">
        <f t="shared" si="95"/>
        <v>863</v>
      </c>
      <c r="JI45" s="14">
        <f t="shared" si="96"/>
        <v>382</v>
      </c>
      <c r="JJ45" s="14">
        <f t="shared" si="97"/>
        <v>5309</v>
      </c>
      <c r="JK45" s="14">
        <f t="shared" si="98"/>
        <v>13444</v>
      </c>
    </row>
    <row r="46" spans="14:271" ht="16.5" x14ac:dyDescent="0.2">
      <c r="AE46" s="13">
        <v>42</v>
      </c>
      <c r="AF46" s="13">
        <f t="shared" si="31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142</v>
      </c>
      <c r="AM46" s="14">
        <v>1</v>
      </c>
      <c r="AN46" s="14">
        <f t="shared" si="5"/>
        <v>2</v>
      </c>
      <c r="AO46" s="14">
        <f>INDEX(属性投放!$DF$6:$DF$85,(卡牌属性!AG46-2)*20+卡牌属性!AN46)</f>
        <v>230</v>
      </c>
      <c r="AP46" s="14">
        <f t="shared" si="127"/>
        <v>230</v>
      </c>
      <c r="AQ46" s="14">
        <f t="shared" si="127"/>
        <v>230</v>
      </c>
      <c r="AR46" s="14">
        <f t="shared" si="127"/>
        <v>230</v>
      </c>
      <c r="AS46" s="14">
        <f t="shared" si="127"/>
        <v>230</v>
      </c>
      <c r="AT46" s="14">
        <f>INDEX(属性投放!$DG$6:$DG$85,(卡牌属性!AG46-2)*20+卡牌属性!AN46)</f>
        <v>40</v>
      </c>
      <c r="AU46" s="14">
        <f t="shared" si="128"/>
        <v>40</v>
      </c>
      <c r="AV46" s="14">
        <f t="shared" si="128"/>
        <v>40</v>
      </c>
      <c r="AW46" s="14">
        <f t="shared" si="128"/>
        <v>40</v>
      </c>
      <c r="AX46" s="14">
        <f t="shared" si="128"/>
        <v>40</v>
      </c>
      <c r="AY46" s="14">
        <f>INDEX(属性投放!$DH$6:$DH$85,(卡牌属性!AG46-2)*20+卡牌属性!AN46)</f>
        <v>865</v>
      </c>
      <c r="AZ46" s="14">
        <f t="shared" si="129"/>
        <v>865</v>
      </c>
      <c r="BA46" s="14">
        <f t="shared" si="129"/>
        <v>865</v>
      </c>
      <c r="BB46" s="14">
        <f t="shared" si="129"/>
        <v>865</v>
      </c>
      <c r="BC46" s="14">
        <f t="shared" si="129"/>
        <v>865</v>
      </c>
      <c r="BD46" s="14">
        <f>INDEX(属性投放!$DL$6:$DL$85,(卡牌属性!AG46-2)*20+卡牌属性!AN46)</f>
        <v>17</v>
      </c>
      <c r="BE46" s="14">
        <f t="shared" si="130"/>
        <v>17</v>
      </c>
      <c r="BF46" s="14">
        <f t="shared" si="130"/>
        <v>17</v>
      </c>
      <c r="BG46" s="14">
        <f t="shared" si="130"/>
        <v>17</v>
      </c>
      <c r="BH46" s="14">
        <f t="shared" si="130"/>
        <v>17</v>
      </c>
      <c r="BI46" s="14">
        <f>INDEX(属性投放!$DM$6:$DM$85,(卡牌属性!AG46-2)*20+卡牌属性!AN46)</f>
        <v>8</v>
      </c>
      <c r="BJ46" s="14">
        <f t="shared" si="131"/>
        <v>8</v>
      </c>
      <c r="BK46" s="14">
        <f t="shared" si="131"/>
        <v>8</v>
      </c>
      <c r="BL46" s="14">
        <f t="shared" si="131"/>
        <v>8</v>
      </c>
      <c r="BM46" s="14">
        <f t="shared" si="131"/>
        <v>8</v>
      </c>
      <c r="BN46" s="14">
        <f>INDEX(属性投放!$DN$6:$DN$85,(卡牌属性!AG46-2)*20+卡牌属性!AN46)</f>
        <v>101</v>
      </c>
      <c r="BO46" s="14">
        <f t="shared" si="132"/>
        <v>101</v>
      </c>
      <c r="BP46" s="14">
        <f t="shared" si="132"/>
        <v>101</v>
      </c>
      <c r="BQ46" s="14">
        <f t="shared" si="132"/>
        <v>101</v>
      </c>
      <c r="BR46" s="14">
        <f t="shared" si="132"/>
        <v>101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32"/>
        <v>1102003</v>
      </c>
      <c r="CA46" s="14" t="str">
        <f t="shared" si="33"/>
        <v>典韦2突</v>
      </c>
      <c r="CB46" s="25" t="s">
        <v>142</v>
      </c>
      <c r="CC46" s="14">
        <v>2</v>
      </c>
      <c r="CD46" s="14">
        <f t="shared" si="14"/>
        <v>2</v>
      </c>
      <c r="CE46" s="14" t="s">
        <v>21</v>
      </c>
      <c r="CF46" s="14">
        <f>INDEX(属性投放!$AZ$6:$AZ$85,(BY46-2)*20+CD46)</f>
        <v>308</v>
      </c>
      <c r="CG46" s="14" t="s">
        <v>22</v>
      </c>
      <c r="CH46" s="14">
        <f>INDEX(属性投放!$BA$6:$BA$85,(BY46-2)*20+CD46)</f>
        <v>80</v>
      </c>
      <c r="CI46" s="14" t="s">
        <v>510</v>
      </c>
      <c r="CJ46" s="14">
        <f>INDEX(属性投放!$BB$6:$BB$85,(BY46-2)*20+CD46)</f>
        <v>1448</v>
      </c>
      <c r="CK46" s="14" t="s">
        <v>21</v>
      </c>
      <c r="CL46" s="14">
        <f>INDEX(属性投放!$BC$6:$BC$85,(BY46-2)*20+CD46)</f>
        <v>15</v>
      </c>
      <c r="CM46" s="14" t="s">
        <v>22</v>
      </c>
      <c r="CN46" s="14">
        <f>INDEX(属性投放!$BD$6:$BD$85,(BY46-2)*20+CD46)</f>
        <v>8</v>
      </c>
      <c r="CO46" s="14" t="s">
        <v>510</v>
      </c>
      <c r="CP46" s="14">
        <f>INDEX(属性投放!$BE$6:$BE$85,(BY46-2)*20+CD46)</f>
        <v>90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INDEX($O$6:$O$50,CT46)&amp;"-"&amp;INDEX(属性投放!$AB$7:$AB$50,CZ46)&amp;"-魂火-"&amp;DB46</f>
        <v>关羽-大焦热+1-魂火-3</v>
      </c>
      <c r="CY46" s="25" t="s">
        <v>142</v>
      </c>
      <c r="CZ46" s="14">
        <f>INDEX(属性投放!$AM$7:$AM$58,CU46)</f>
        <v>17</v>
      </c>
      <c r="DA46" s="14" t="s">
        <v>537</v>
      </c>
      <c r="DB46" s="14">
        <f>INDEX(属性投放!$AN$7:$AN$58,CU46)</f>
        <v>3</v>
      </c>
      <c r="DC46" s="14">
        <f t="shared" si="16"/>
        <v>42</v>
      </c>
      <c r="DD46" s="14">
        <f>INDEX(属性投放!$AO$7:$AO$58,DC46)</f>
        <v>123</v>
      </c>
      <c r="DE46" s="14" t="s">
        <v>538</v>
      </c>
      <c r="DF46" s="14">
        <f>INDEX(属性投放!$BK$6:$BK$85,(CV46-2)*20+CZ46)</f>
        <v>720</v>
      </c>
      <c r="DG46" s="14">
        <f>SUMIFS(DF$5:DF46,$CT$5:$CT46,"="&amp;$CT46)</f>
        <v>10739</v>
      </c>
      <c r="DH46" s="14" t="s">
        <v>539</v>
      </c>
      <c r="DI46" s="14">
        <f>INDEX(属性投放!$BL$6:$BL$85,(CV46-2)*20+CZ46)</f>
        <v>360</v>
      </c>
      <c r="DJ46" s="14">
        <f>SUMIFS(DI$5:DI46,$CT$5:$CT46,"="&amp;$CT46)</f>
        <v>5375</v>
      </c>
      <c r="DK46" s="14" t="s">
        <v>540</v>
      </c>
      <c r="DL46" s="14">
        <f>INDEX(属性投放!$BM$6:$BM$85,(CV46-2)*20+CZ46)</f>
        <v>7200</v>
      </c>
      <c r="DM46" s="14">
        <f>SUMIFS(DL$5:DL46,$CT$5:$CT46,"="&amp;$CT46)</f>
        <v>101802</v>
      </c>
      <c r="DR46" s="14">
        <f t="shared" si="17"/>
        <v>1102003</v>
      </c>
      <c r="DS46" s="14" t="str">
        <f t="shared" si="18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19"/>
        <v>4</v>
      </c>
      <c r="DX46" s="14">
        <f t="shared" si="20"/>
        <v>2</v>
      </c>
      <c r="DY46" s="14">
        <f t="shared" si="21"/>
        <v>42</v>
      </c>
      <c r="DZ46" s="14">
        <f>INDEX(属性投放!$AX$6:$AX$85,(卡牌属性!DW46-2)*20+卡牌属性!DX46)</f>
        <v>10</v>
      </c>
      <c r="EA46" s="14">
        <f>INDEX(属性投放!BQ$6:BQ$85,卡牌属性!$DY46)</f>
        <v>40</v>
      </c>
      <c r="EB46" s="14">
        <f>INDEX(属性投放!BR$6:BR$85,卡牌属性!$DY46)</f>
        <v>20</v>
      </c>
      <c r="EC46" s="14">
        <f>INDEX(属性投放!BS$6:BS$85,卡牌属性!$DY46)</f>
        <v>240</v>
      </c>
      <c r="ED46" s="14">
        <f t="shared" ref="ED46:ED64" si="133">ED45+$EA45+ES45*$DZ45</f>
        <v>283</v>
      </c>
      <c r="EE46" s="14">
        <f t="shared" ref="EE46:EE64" si="134">EE45+$EA45+ET45*$DZ45</f>
        <v>337</v>
      </c>
      <c r="EF46" s="14">
        <f t="shared" ref="EF46:EF64" si="135">EF45+$EA45+EU45*$DZ45</f>
        <v>395</v>
      </c>
      <c r="EG46" s="14">
        <f t="shared" ref="EG46:EG64" si="136">EG45+$EA45+EV45*$DZ45</f>
        <v>395</v>
      </c>
      <c r="EH46" s="14">
        <f t="shared" ref="EH46:EH64" si="137">EH45+$EA45+EW45*$DZ45</f>
        <v>465</v>
      </c>
      <c r="EI46" s="14">
        <f t="shared" ref="EI46:EI64" si="138">EI45+$EB45+EX45*$DZ45</f>
        <v>78</v>
      </c>
      <c r="EJ46" s="14">
        <f t="shared" ref="EJ46:EJ64" si="139">EJ45+$EB45+EY45*$DZ45</f>
        <v>92</v>
      </c>
      <c r="EK46" s="14">
        <f t="shared" ref="EK46:EK64" si="140">EK45+$EB45+EZ45*$DZ45</f>
        <v>92</v>
      </c>
      <c r="EL46" s="14">
        <f t="shared" ref="EL46:EL64" si="141">EL45+$EB45+FA45*$DZ45</f>
        <v>121</v>
      </c>
      <c r="EM46" s="14">
        <f t="shared" ref="EM46:EM64" si="142">EM45+$EB45+FB45*$DZ45</f>
        <v>150</v>
      </c>
      <c r="EN46" s="14">
        <f t="shared" ref="EN46:EN64" si="143">EN45+$EC45+FC45*$DZ45</f>
        <v>1100</v>
      </c>
      <c r="EO46" s="14">
        <f t="shared" ref="EO46:EO64" si="144">EO45+$EC45+FD45*$DZ45</f>
        <v>1298</v>
      </c>
      <c r="EP46" s="14">
        <f t="shared" ref="EP46:EP64" si="145">EP45+$EC45+FE45*$DZ45</f>
        <v>1298</v>
      </c>
      <c r="EQ46" s="14">
        <f t="shared" ref="EQ46:EQ64" si="146">EQ45+$EC45+FF45*$DZ45</f>
        <v>1522</v>
      </c>
      <c r="ER46" s="14">
        <f t="shared" ref="ER46:ER64" si="147">ER45+$EC45+FG45*$DZ45</f>
        <v>1770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72</v>
      </c>
      <c r="FD46" s="14">
        <f>INDEX(属性偏向!$U$4:$U$243,(卡牌属性!$DV46-1+FD$3)*20+卡牌属性!$DX46)</f>
        <v>90</v>
      </c>
      <c r="FE46" s="14">
        <f>INDEX(属性偏向!$U$4:$U$243,(卡牌属性!$DV46-1+FE$3)*20+卡牌属性!$DX46)</f>
        <v>90</v>
      </c>
      <c r="FF46" s="14">
        <f>INDEX(属性偏向!$U$4:$U$243,(卡牌属性!$DV46-1+FF$3)*20+卡牌属性!$DX46)</f>
        <v>102</v>
      </c>
      <c r="FG46" s="14">
        <f>INDEX(属性偏向!$U$4:$U$243,(卡牌属性!$DV46-1+FG$3)*20+卡牌属性!$DX46)</f>
        <v>120</v>
      </c>
      <c r="FH46" s="14">
        <f>INDEX(属性投放!$BQ$6:$BQ$85,(卡牌属性!$DW46-2)*20+卡牌属性!$DX46)</f>
        <v>40</v>
      </c>
      <c r="FI46" s="14">
        <f>INDEX(属性投放!$BQ$6:$BQ$85,(卡牌属性!$DW46-2)*20+卡牌属性!$DX46)</f>
        <v>40</v>
      </c>
      <c r="FJ46" s="14">
        <f>INDEX(属性投放!$BQ$6:$BQ$85,(卡牌属性!$DW46-2)*20+卡牌属性!$DX46)</f>
        <v>40</v>
      </c>
      <c r="FK46" s="14">
        <f>INDEX(属性投放!$BQ$6:$BQ$85,(卡牌属性!$DW46-2)*20+卡牌属性!$DX46)</f>
        <v>40</v>
      </c>
      <c r="FL46" s="14">
        <f>INDEX(属性投放!$BQ$6:$BQ$85,(卡牌属性!$DW46-2)*20+卡牌属性!$DX46)</f>
        <v>40</v>
      </c>
      <c r="FM46" s="14">
        <f>INDEX(属性投放!$BR$6:$BR$85,(卡牌属性!$DW46-2)*20+卡牌属性!$DX46)</f>
        <v>20</v>
      </c>
      <c r="FN46" s="14">
        <f>INDEX(属性投放!$BR$6:$BR$85,(卡牌属性!$DW46-2)*20+卡牌属性!$DX46)</f>
        <v>20</v>
      </c>
      <c r="FO46" s="14">
        <f>INDEX(属性投放!$BR$6:$BR$85,(卡牌属性!$DW46-2)*20+卡牌属性!$DX46)</f>
        <v>20</v>
      </c>
      <c r="FP46" s="14">
        <f>INDEX(属性投放!$BR$6:$BR$85,(卡牌属性!$DW46-2)*20+卡牌属性!$DX46)</f>
        <v>20</v>
      </c>
      <c r="FQ46" s="14">
        <f>INDEX(属性投放!$BR$6:$BR$85,(卡牌属性!$DW46-2)*20+卡牌属性!$DX46)</f>
        <v>20</v>
      </c>
      <c r="FR46" s="14">
        <f>INDEX(属性投放!$BS$6:$BS$85,(卡牌属性!$DW46-2)*20+卡牌属性!$DX46)</f>
        <v>240</v>
      </c>
      <c r="FS46" s="14">
        <f>INDEX(属性投放!$BS$6:$BS$85,(卡牌属性!$DW46-2)*20+卡牌属性!$DX46)</f>
        <v>240</v>
      </c>
      <c r="FT46" s="14">
        <f>INDEX(属性投放!$BS$6:$BS$85,(卡牌属性!$DW46-2)*20+卡牌属性!$DX46)</f>
        <v>240</v>
      </c>
      <c r="FU46" s="14">
        <f>INDEX(属性投放!$BS$6:$BS$85,(卡牌属性!$DW46-2)*20+卡牌属性!$DX46)</f>
        <v>240</v>
      </c>
      <c r="FV46" s="14">
        <f>INDEX(属性投放!$BS$6:$BS$85,(卡牌属性!$DW46-2)*20+卡牌属性!$DX46)</f>
        <v>240</v>
      </c>
      <c r="FZ46" s="13">
        <v>42</v>
      </c>
      <c r="GA46" s="13">
        <f t="shared" si="121"/>
        <v>9</v>
      </c>
      <c r="GB46" s="14">
        <f t="shared" si="56"/>
        <v>1102009</v>
      </c>
      <c r="GC46" s="14" t="s">
        <v>1187</v>
      </c>
      <c r="GD46" s="14">
        <f t="shared" si="122"/>
        <v>2</v>
      </c>
      <c r="GE46" s="14" t="str">
        <f t="shared" si="123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4"/>
        <v>9</v>
      </c>
      <c r="GP46" s="14">
        <f t="shared" si="57"/>
        <v>1101009</v>
      </c>
      <c r="GQ46" s="14" t="s">
        <v>1187</v>
      </c>
      <c r="GR46" s="14">
        <f t="shared" si="125"/>
        <v>2</v>
      </c>
      <c r="GS46" s="14" t="str">
        <f t="shared" si="126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MATCH(HC46,属性投放!$AO$6:$AO$58,1)-1</f>
        <v>9</v>
      </c>
      <c r="HF46" s="13">
        <f>MATCH(HC46-1,属性投放!$AE$6:$AE$26,1)</f>
        <v>5</v>
      </c>
      <c r="HG46" s="13" t="str">
        <f>INDEX(属性投放!$AB$7:$AB$26,卡牌属性!HF46)</f>
        <v>众合+1</v>
      </c>
      <c r="HH46" s="14">
        <f t="shared" si="58"/>
        <v>1003</v>
      </c>
      <c r="HI46" s="14">
        <f t="shared" si="59"/>
        <v>378</v>
      </c>
      <c r="HJ46" s="14">
        <f t="shared" si="60"/>
        <v>4870</v>
      </c>
      <c r="HK46" s="14">
        <f t="shared" si="61"/>
        <v>20</v>
      </c>
      <c r="HL46" s="14">
        <f t="shared" si="62"/>
        <v>7</v>
      </c>
      <c r="HM46" s="14">
        <f t="shared" si="63"/>
        <v>91</v>
      </c>
      <c r="HN46" s="14">
        <f>HH46+HK46*($HC46-INDEX(属性投放!$AE$6:$AE$26,卡牌属性!$HF46))</f>
        <v>1143</v>
      </c>
      <c r="HO46" s="14">
        <f>HI46+HL46*($HC46-INDEX(属性投放!$AE$6:$AE$26,卡牌属性!$HF46))</f>
        <v>427</v>
      </c>
      <c r="HP46" s="14">
        <f>HJ46+HM46*($HC46-INDEX(属性投放!$AE$6:$AE$26,卡牌属性!$HF46))</f>
        <v>5507</v>
      </c>
      <c r="HQ46" s="14">
        <f t="shared" si="64"/>
        <v>355</v>
      </c>
      <c r="HR46" s="14">
        <f t="shared" si="65"/>
        <v>181</v>
      </c>
      <c r="HS46" s="14">
        <f t="shared" si="66"/>
        <v>2330</v>
      </c>
      <c r="HT46" s="14">
        <f>IF(COUNTIF(属性投放!$AO$7:$AO$58,"="&amp;卡牌属性!HC46)&gt;0,卡牌属性!HE46,0)</f>
        <v>0</v>
      </c>
      <c r="HU46" s="14">
        <f t="shared" si="67"/>
        <v>0</v>
      </c>
      <c r="HV46" s="14">
        <f t="shared" si="68"/>
        <v>0</v>
      </c>
      <c r="HW46" s="14">
        <f t="shared" si="69"/>
        <v>0</v>
      </c>
      <c r="HX46" s="14">
        <f>IF(COUNTIF(属性投放!$AE$6:$AE$26,"="&amp;卡牌属性!HC46)&gt;0,卡牌属性!HF46,0)</f>
        <v>5</v>
      </c>
      <c r="HY46" s="14">
        <f t="shared" si="70"/>
        <v>100</v>
      </c>
      <c r="HZ46" s="14">
        <f t="shared" si="71"/>
        <v>50</v>
      </c>
      <c r="IA46" s="14">
        <f t="shared" si="72"/>
        <v>700</v>
      </c>
      <c r="IB46" s="14">
        <f t="shared" si="73"/>
        <v>20</v>
      </c>
      <c r="IC46" s="14">
        <f t="shared" si="74"/>
        <v>7</v>
      </c>
      <c r="ID46" s="14">
        <f t="shared" si="75"/>
        <v>91</v>
      </c>
      <c r="IE46" s="14">
        <f t="shared" si="76"/>
        <v>1498</v>
      </c>
      <c r="IF46" s="14">
        <f t="shared" si="77"/>
        <v>608</v>
      </c>
      <c r="IG46" s="14">
        <f t="shared" si="78"/>
        <v>7837</v>
      </c>
      <c r="IH46" s="14">
        <f t="shared" si="79"/>
        <v>431</v>
      </c>
      <c r="II46" s="14">
        <f t="shared" si="80"/>
        <v>0</v>
      </c>
      <c r="IJ46" s="14">
        <f t="shared" si="81"/>
        <v>2700</v>
      </c>
      <c r="IK46" s="14">
        <f t="shared" si="82"/>
        <v>34977</v>
      </c>
      <c r="IL46" s="17">
        <f t="shared" si="83"/>
        <v>1.2322383280441433E-2</v>
      </c>
      <c r="IM46" s="17">
        <f t="shared" si="84"/>
        <v>0</v>
      </c>
      <c r="IN46" s="17">
        <f t="shared" si="85"/>
        <v>7.7193584355433567E-2</v>
      </c>
      <c r="IO46" s="23">
        <f>SUM(IH$5:IH46)</f>
        <v>15567</v>
      </c>
      <c r="IP46" s="14">
        <f>SUM(II$5:II46)</f>
        <v>9500</v>
      </c>
      <c r="IQ46" s="14">
        <f>SUM(IJ$5:IJ46)</f>
        <v>6740</v>
      </c>
      <c r="IR46" s="17">
        <f t="shared" si="86"/>
        <v>0.44506389913371647</v>
      </c>
      <c r="IS46" s="17">
        <f t="shared" si="87"/>
        <v>0.27160705606541441</v>
      </c>
      <c r="IT46" s="17">
        <f t="shared" si="88"/>
        <v>0.19269805872430454</v>
      </c>
      <c r="IW46" s="13">
        <v>42</v>
      </c>
      <c r="IX46" s="14">
        <f>MATCH(IW46-1,属性投放!$T$6:$T$66,1)</f>
        <v>2</v>
      </c>
      <c r="IY46" s="14">
        <f>MATCH(IW46-1,属性投放!$AD$7:$AD$26,1)</f>
        <v>5</v>
      </c>
      <c r="IZ46" s="14" t="str">
        <f>INDEX(属性投放!$AB$7:$AB$26,IY46)</f>
        <v>众合+1</v>
      </c>
      <c r="JA46" s="14">
        <f t="shared" si="89"/>
        <v>401</v>
      </c>
      <c r="JB46" s="14">
        <f t="shared" si="90"/>
        <v>151</v>
      </c>
      <c r="JC46" s="14">
        <f t="shared" si="91"/>
        <v>2096</v>
      </c>
      <c r="JD46" s="14">
        <f t="shared" si="92"/>
        <v>22</v>
      </c>
      <c r="JE46" s="14">
        <f t="shared" si="93"/>
        <v>11</v>
      </c>
      <c r="JF46" s="14">
        <f t="shared" si="94"/>
        <v>153</v>
      </c>
      <c r="JG46" s="14">
        <f>INDEX(属性投放!$DC$6:$DC$85,卡牌属性!IY46)</f>
        <v>20</v>
      </c>
      <c r="JH46" s="14">
        <f t="shared" si="95"/>
        <v>885</v>
      </c>
      <c r="JI46" s="14">
        <f t="shared" si="96"/>
        <v>393</v>
      </c>
      <c r="JJ46" s="14">
        <f t="shared" si="97"/>
        <v>5462</v>
      </c>
      <c r="JK46" s="14">
        <f t="shared" si="98"/>
        <v>13817</v>
      </c>
    </row>
    <row r="47" spans="14:271" ht="16.5" x14ac:dyDescent="0.2">
      <c r="AE47" s="13">
        <v>43</v>
      </c>
      <c r="AF47" s="13">
        <f t="shared" si="31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142</v>
      </c>
      <c r="AM47" s="14">
        <v>1</v>
      </c>
      <c r="AN47" s="14">
        <f t="shared" si="5"/>
        <v>3</v>
      </c>
      <c r="AO47" s="14">
        <f>INDEX(属性投放!$DF$6:$DF$85,(卡牌属性!AG47-2)*20+卡牌属性!AN47)</f>
        <v>272</v>
      </c>
      <c r="AP47" s="14">
        <f t="shared" si="127"/>
        <v>272</v>
      </c>
      <c r="AQ47" s="14">
        <f t="shared" si="127"/>
        <v>272</v>
      </c>
      <c r="AR47" s="14">
        <f t="shared" si="127"/>
        <v>272</v>
      </c>
      <c r="AS47" s="14">
        <f t="shared" si="127"/>
        <v>272</v>
      </c>
      <c r="AT47" s="14">
        <f>INDEX(属性投放!$DG$6:$DG$85,(卡牌属性!AG47-2)*20+卡牌属性!AN47)</f>
        <v>61</v>
      </c>
      <c r="AU47" s="14">
        <f t="shared" si="128"/>
        <v>61</v>
      </c>
      <c r="AV47" s="14">
        <f t="shared" si="128"/>
        <v>61</v>
      </c>
      <c r="AW47" s="14">
        <f t="shared" si="128"/>
        <v>61</v>
      </c>
      <c r="AX47" s="14">
        <f t="shared" si="128"/>
        <v>61</v>
      </c>
      <c r="AY47" s="14">
        <f>INDEX(属性投放!$DH$6:$DH$85,(卡牌属性!AG47-2)*20+卡牌属性!AN47)</f>
        <v>1117</v>
      </c>
      <c r="AZ47" s="14">
        <f t="shared" si="129"/>
        <v>1117</v>
      </c>
      <c r="BA47" s="14">
        <f t="shared" si="129"/>
        <v>1117</v>
      </c>
      <c r="BB47" s="14">
        <f t="shared" si="129"/>
        <v>1117</v>
      </c>
      <c r="BC47" s="14">
        <f t="shared" si="129"/>
        <v>1117</v>
      </c>
      <c r="BD47" s="14">
        <f>INDEX(属性投放!$DL$6:$DL$85,(卡牌属性!AG47-2)*20+卡牌属性!AN47)</f>
        <v>17</v>
      </c>
      <c r="BE47" s="14">
        <f t="shared" si="130"/>
        <v>17</v>
      </c>
      <c r="BF47" s="14">
        <f t="shared" si="130"/>
        <v>17</v>
      </c>
      <c r="BG47" s="14">
        <f t="shared" si="130"/>
        <v>17</v>
      </c>
      <c r="BH47" s="14">
        <f t="shared" si="130"/>
        <v>17</v>
      </c>
      <c r="BI47" s="14">
        <f>INDEX(属性投放!$DM$6:$DM$85,(卡牌属性!AG47-2)*20+卡牌属性!AN47)</f>
        <v>8</v>
      </c>
      <c r="BJ47" s="14">
        <f t="shared" si="131"/>
        <v>8</v>
      </c>
      <c r="BK47" s="14">
        <f t="shared" si="131"/>
        <v>8</v>
      </c>
      <c r="BL47" s="14">
        <f t="shared" si="131"/>
        <v>8</v>
      </c>
      <c r="BM47" s="14">
        <f t="shared" si="131"/>
        <v>8</v>
      </c>
      <c r="BN47" s="14">
        <f>INDEX(属性投放!$DN$6:$DN$85,(卡牌属性!AG47-2)*20+卡牌属性!AN47)</f>
        <v>101</v>
      </c>
      <c r="BO47" s="14">
        <f t="shared" si="132"/>
        <v>101</v>
      </c>
      <c r="BP47" s="14">
        <f t="shared" si="132"/>
        <v>101</v>
      </c>
      <c r="BQ47" s="14">
        <f t="shared" si="132"/>
        <v>101</v>
      </c>
      <c r="BR47" s="14">
        <f t="shared" si="132"/>
        <v>101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32"/>
        <v>1102003</v>
      </c>
      <c r="CA47" s="14" t="str">
        <f t="shared" si="33"/>
        <v>典韦3突</v>
      </c>
      <c r="CB47" s="25" t="s">
        <v>142</v>
      </c>
      <c r="CC47" s="14">
        <v>2</v>
      </c>
      <c r="CD47" s="14">
        <f t="shared" si="14"/>
        <v>3</v>
      </c>
      <c r="CE47" s="14" t="s">
        <v>21</v>
      </c>
      <c r="CF47" s="14">
        <f>INDEX(属性投放!$AZ$6:$AZ$85,(BY47-2)*20+CD47)</f>
        <v>558</v>
      </c>
      <c r="CG47" s="14" t="s">
        <v>22</v>
      </c>
      <c r="CH47" s="14">
        <f>INDEX(属性投放!$BA$6:$BA$85,(BY47-2)*20+CD47)</f>
        <v>210</v>
      </c>
      <c r="CI47" s="14" t="s">
        <v>510</v>
      </c>
      <c r="CJ47" s="14">
        <f>INDEX(属性投放!$BB$6:$BB$85,(BY47-2)*20+CD47)</f>
        <v>2948</v>
      </c>
      <c r="CK47" s="14" t="s">
        <v>21</v>
      </c>
      <c r="CL47" s="14">
        <f>INDEX(属性投放!$BC$6:$BC$85,(BY47-2)*20+CD47)</f>
        <v>15</v>
      </c>
      <c r="CM47" s="14" t="s">
        <v>22</v>
      </c>
      <c r="CN47" s="14">
        <f>INDEX(属性投放!$BD$6:$BD$85,(BY47-2)*20+CD47)</f>
        <v>8</v>
      </c>
      <c r="CO47" s="14" t="s">
        <v>510</v>
      </c>
      <c r="CP47" s="14">
        <f>INDEX(属性投放!$BE$6:$BE$85,(BY47-2)*20+CD47)</f>
        <v>90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INDEX($O$6:$O$50,CT47)&amp;"-"&amp;INDEX(属性投放!$AB$7:$AB$50,CZ47)&amp;"-魂火-"&amp;DB47</f>
        <v>关羽-大焦热+2-魂火-1</v>
      </c>
      <c r="CY47" s="25" t="s">
        <v>142</v>
      </c>
      <c r="CZ47" s="14">
        <f>INDEX(属性投放!$AM$7:$AM$58,CU47)</f>
        <v>18</v>
      </c>
      <c r="DA47" s="14" t="s">
        <v>537</v>
      </c>
      <c r="DB47" s="14">
        <f>INDEX(属性投放!$AN$7:$AN$58,CU47)</f>
        <v>1</v>
      </c>
      <c r="DC47" s="14">
        <f t="shared" si="16"/>
        <v>43</v>
      </c>
      <c r="DD47" s="14">
        <f>INDEX(属性投放!$AO$7:$AO$58,DC47)</f>
        <v>125</v>
      </c>
      <c r="DE47" s="14" t="s">
        <v>538</v>
      </c>
      <c r="DF47" s="14">
        <f>INDEX(属性投放!$BK$6:$BK$85,(CV47-2)*20+CZ47)</f>
        <v>830</v>
      </c>
      <c r="DG47" s="14">
        <f>SUMIFS(DF$5:DF47,$CT$5:$CT47,"="&amp;$CT47)</f>
        <v>11569</v>
      </c>
      <c r="DH47" s="14" t="s">
        <v>539</v>
      </c>
      <c r="DI47" s="14">
        <f>INDEX(属性投放!$BL$6:$BL$85,(CV47-2)*20+CZ47)</f>
        <v>415</v>
      </c>
      <c r="DJ47" s="14">
        <f>SUMIFS(DI$5:DI47,$CT$5:$CT47,"="&amp;$CT47)</f>
        <v>5790</v>
      </c>
      <c r="DK47" s="14" t="s">
        <v>540</v>
      </c>
      <c r="DL47" s="14">
        <f>INDEX(属性投放!$BM$6:$BM$85,(CV47-2)*20+CZ47)</f>
        <v>8300</v>
      </c>
      <c r="DM47" s="14">
        <f>SUMIFS(DL$5:DL47,$CT$5:$CT47,"="&amp;$CT47)</f>
        <v>110102</v>
      </c>
      <c r="DR47" s="14">
        <f t="shared" si="17"/>
        <v>1102003</v>
      </c>
      <c r="DS47" s="14" t="str">
        <f t="shared" si="18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19"/>
        <v>4</v>
      </c>
      <c r="DX47" s="14">
        <f t="shared" si="20"/>
        <v>3</v>
      </c>
      <c r="DY47" s="14">
        <f t="shared" si="21"/>
        <v>43</v>
      </c>
      <c r="DZ47" s="14">
        <f>INDEX(属性投放!$AX$6:$AX$85,(卡牌属性!DW47-2)*20+卡牌属性!DX47)</f>
        <v>10</v>
      </c>
      <c r="EA47" s="14">
        <f>INDEX(属性投放!BQ$6:BQ$85,卡牌属性!$DY47)</f>
        <v>80</v>
      </c>
      <c r="EB47" s="14">
        <f>INDEX(属性投放!BR$6:BR$85,卡牌属性!$DY47)</f>
        <v>40</v>
      </c>
      <c r="EC47" s="14">
        <f>INDEX(属性投放!BS$6:BS$85,卡牌属性!$DY47)</f>
        <v>480</v>
      </c>
      <c r="ED47" s="14">
        <f t="shared" si="133"/>
        <v>473</v>
      </c>
      <c r="EE47" s="14">
        <f t="shared" si="134"/>
        <v>547</v>
      </c>
      <c r="EF47" s="14">
        <f t="shared" si="135"/>
        <v>635</v>
      </c>
      <c r="EG47" s="14">
        <f t="shared" si="136"/>
        <v>635</v>
      </c>
      <c r="EH47" s="14">
        <f t="shared" si="137"/>
        <v>755</v>
      </c>
      <c r="EI47" s="14">
        <f t="shared" si="138"/>
        <v>158</v>
      </c>
      <c r="EJ47" s="14">
        <f t="shared" si="139"/>
        <v>192</v>
      </c>
      <c r="EK47" s="14">
        <f t="shared" si="140"/>
        <v>192</v>
      </c>
      <c r="EL47" s="14">
        <f t="shared" si="141"/>
        <v>231</v>
      </c>
      <c r="EM47" s="14">
        <f t="shared" si="142"/>
        <v>270</v>
      </c>
      <c r="EN47" s="14">
        <f t="shared" si="143"/>
        <v>2060</v>
      </c>
      <c r="EO47" s="14">
        <f t="shared" si="144"/>
        <v>2438</v>
      </c>
      <c r="EP47" s="14">
        <f t="shared" si="145"/>
        <v>2438</v>
      </c>
      <c r="EQ47" s="14">
        <f t="shared" si="146"/>
        <v>2782</v>
      </c>
      <c r="ER47" s="14">
        <f t="shared" si="147"/>
        <v>3210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72</v>
      </c>
      <c r="FD47" s="14">
        <f>INDEX(属性偏向!$U$4:$U$243,(卡牌属性!$DV47-1+FD$3)*20+卡牌属性!$DX47)</f>
        <v>90</v>
      </c>
      <c r="FE47" s="14">
        <f>INDEX(属性偏向!$U$4:$U$243,(卡牌属性!$DV47-1+FE$3)*20+卡牌属性!$DX47)</f>
        <v>90</v>
      </c>
      <c r="FF47" s="14">
        <f>INDEX(属性偏向!$U$4:$U$243,(卡牌属性!$DV47-1+FF$3)*20+卡牌属性!$DX47)</f>
        <v>102</v>
      </c>
      <c r="FG47" s="14">
        <f>INDEX(属性偏向!$U$4:$U$243,(卡牌属性!$DV47-1+FG$3)*20+卡牌属性!$DX47)</f>
        <v>120</v>
      </c>
      <c r="FH47" s="14">
        <f>INDEX(属性投放!$BQ$6:$BQ$85,(卡牌属性!$DW47-2)*20+卡牌属性!$DX47)</f>
        <v>80</v>
      </c>
      <c r="FI47" s="14">
        <f>INDEX(属性投放!$BQ$6:$BQ$85,(卡牌属性!$DW47-2)*20+卡牌属性!$DX47)</f>
        <v>80</v>
      </c>
      <c r="FJ47" s="14">
        <f>INDEX(属性投放!$BQ$6:$BQ$85,(卡牌属性!$DW47-2)*20+卡牌属性!$DX47)</f>
        <v>80</v>
      </c>
      <c r="FK47" s="14">
        <f>INDEX(属性投放!$BQ$6:$BQ$85,(卡牌属性!$DW47-2)*20+卡牌属性!$DX47)</f>
        <v>80</v>
      </c>
      <c r="FL47" s="14">
        <f>INDEX(属性投放!$BQ$6:$BQ$85,(卡牌属性!$DW47-2)*20+卡牌属性!$DX47)</f>
        <v>80</v>
      </c>
      <c r="FM47" s="14">
        <f>INDEX(属性投放!$BR$6:$BR$85,(卡牌属性!$DW47-2)*20+卡牌属性!$DX47)</f>
        <v>40</v>
      </c>
      <c r="FN47" s="14">
        <f>INDEX(属性投放!$BR$6:$BR$85,(卡牌属性!$DW47-2)*20+卡牌属性!$DX47)</f>
        <v>40</v>
      </c>
      <c r="FO47" s="14">
        <f>INDEX(属性投放!$BR$6:$BR$85,(卡牌属性!$DW47-2)*20+卡牌属性!$DX47)</f>
        <v>40</v>
      </c>
      <c r="FP47" s="14">
        <f>INDEX(属性投放!$BR$6:$BR$85,(卡牌属性!$DW47-2)*20+卡牌属性!$DX47)</f>
        <v>40</v>
      </c>
      <c r="FQ47" s="14">
        <f>INDEX(属性投放!$BR$6:$BR$85,(卡牌属性!$DW47-2)*20+卡牌属性!$DX47)</f>
        <v>40</v>
      </c>
      <c r="FR47" s="14">
        <f>INDEX(属性投放!$BS$6:$BS$85,(卡牌属性!$DW47-2)*20+卡牌属性!$DX47)</f>
        <v>480</v>
      </c>
      <c r="FS47" s="14">
        <f>INDEX(属性投放!$BS$6:$BS$85,(卡牌属性!$DW47-2)*20+卡牌属性!$DX47)</f>
        <v>480</v>
      </c>
      <c r="FT47" s="14">
        <f>INDEX(属性投放!$BS$6:$BS$85,(卡牌属性!$DW47-2)*20+卡牌属性!$DX47)</f>
        <v>480</v>
      </c>
      <c r="FU47" s="14">
        <f>INDEX(属性投放!$BS$6:$BS$85,(卡牌属性!$DW47-2)*20+卡牌属性!$DX47)</f>
        <v>480</v>
      </c>
      <c r="FV47" s="14">
        <f>INDEX(属性投放!$BS$6:$BS$85,(卡牌属性!$DW47-2)*20+卡牌属性!$DX47)</f>
        <v>480</v>
      </c>
      <c r="FZ47" s="13">
        <v>43</v>
      </c>
      <c r="GA47" s="13">
        <f t="shared" si="121"/>
        <v>9</v>
      </c>
      <c r="GB47" s="14">
        <f t="shared" si="56"/>
        <v>1102009</v>
      </c>
      <c r="GC47" s="14" t="s">
        <v>1187</v>
      </c>
      <c r="GD47" s="14">
        <f t="shared" si="122"/>
        <v>3</v>
      </c>
      <c r="GE47" s="14" t="str">
        <f t="shared" si="123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4"/>
        <v>9</v>
      </c>
      <c r="GP47" s="14">
        <f t="shared" si="57"/>
        <v>1101009</v>
      </c>
      <c r="GQ47" s="14" t="s">
        <v>1187</v>
      </c>
      <c r="GR47" s="14">
        <f t="shared" si="125"/>
        <v>3</v>
      </c>
      <c r="GS47" s="14" t="str">
        <f t="shared" si="126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MATCH(HC47,属性投放!$AO$6:$AO$58,1)-1</f>
        <v>10</v>
      </c>
      <c r="HF47" s="13">
        <f>MATCH(HC47-1,属性投放!$AE$6:$AE$26,1)</f>
        <v>6</v>
      </c>
      <c r="HG47" s="13" t="str">
        <f>INDEX(属性投放!$AB$7:$AB$26,卡牌属性!HF47)</f>
        <v>众合+2</v>
      </c>
      <c r="HH47" s="14">
        <f t="shared" si="58"/>
        <v>1263</v>
      </c>
      <c r="HI47" s="14">
        <f t="shared" si="59"/>
        <v>487</v>
      </c>
      <c r="HJ47" s="14">
        <f t="shared" si="60"/>
        <v>6347</v>
      </c>
      <c r="HK47" s="14">
        <f t="shared" si="61"/>
        <v>20</v>
      </c>
      <c r="HL47" s="14">
        <f t="shared" si="62"/>
        <v>7</v>
      </c>
      <c r="HM47" s="14">
        <f t="shared" si="63"/>
        <v>91</v>
      </c>
      <c r="HN47" s="14">
        <f>HH47+HK47*($HC47-INDEX(属性投放!$AE$6:$AE$26,卡牌属性!$HF47))</f>
        <v>1283</v>
      </c>
      <c r="HO47" s="14">
        <f>HI47+HL47*($HC47-INDEX(属性投放!$AE$6:$AE$26,卡牌属性!$HF47))</f>
        <v>494</v>
      </c>
      <c r="HP47" s="14">
        <f>HJ47+HM47*($HC47-INDEX(属性投放!$AE$6:$AE$26,卡牌属性!$HF47))</f>
        <v>6438</v>
      </c>
      <c r="HQ47" s="14">
        <f t="shared" si="64"/>
        <v>415</v>
      </c>
      <c r="HR47" s="14">
        <f t="shared" si="65"/>
        <v>211</v>
      </c>
      <c r="HS47" s="14">
        <f t="shared" si="66"/>
        <v>2750</v>
      </c>
      <c r="HT47" s="14">
        <f>IF(COUNTIF(属性投放!$AO$7:$AO$58,"="&amp;卡牌属性!HC47)&gt;0,卡牌属性!HE47,0)</f>
        <v>10</v>
      </c>
      <c r="HU47" s="14">
        <f t="shared" si="67"/>
        <v>60</v>
      </c>
      <c r="HV47" s="14">
        <f t="shared" si="68"/>
        <v>30</v>
      </c>
      <c r="HW47" s="14">
        <f t="shared" si="69"/>
        <v>420</v>
      </c>
      <c r="HX47" s="14">
        <f>IF(COUNTIF(属性投放!$AE$6:$AE$26,"="&amp;卡牌属性!HC47)&gt;0,卡牌属性!HF47,0)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20</v>
      </c>
      <c r="IC47" s="14">
        <f t="shared" si="74"/>
        <v>7</v>
      </c>
      <c r="ID47" s="14">
        <f t="shared" si="75"/>
        <v>91</v>
      </c>
      <c r="IE47" s="14">
        <f t="shared" si="76"/>
        <v>1698</v>
      </c>
      <c r="IF47" s="14">
        <f t="shared" si="77"/>
        <v>705</v>
      </c>
      <c r="IG47" s="14">
        <f t="shared" si="78"/>
        <v>9188</v>
      </c>
      <c r="IH47" s="14">
        <f t="shared" si="79"/>
        <v>431</v>
      </c>
      <c r="II47" s="14">
        <f t="shared" si="80"/>
        <v>1620</v>
      </c>
      <c r="IJ47" s="14">
        <f t="shared" si="81"/>
        <v>0</v>
      </c>
      <c r="IK47" s="14">
        <f t="shared" si="82"/>
        <v>40268</v>
      </c>
      <c r="IL47" s="17">
        <f t="shared" si="83"/>
        <v>1.0703287970597001E-2</v>
      </c>
      <c r="IM47" s="17">
        <f t="shared" si="84"/>
        <v>4.023045594516738E-2</v>
      </c>
      <c r="IN47" s="17">
        <f t="shared" si="85"/>
        <v>0</v>
      </c>
      <c r="IO47" s="23">
        <f>SUM(IH$5:IH47)</f>
        <v>15998</v>
      </c>
      <c r="IP47" s="14">
        <f>SUM(II$5:II47)</f>
        <v>11120</v>
      </c>
      <c r="IQ47" s="14">
        <f>SUM(IJ$5:IJ47)</f>
        <v>6740</v>
      </c>
      <c r="IR47" s="17">
        <f t="shared" si="86"/>
        <v>0.39728816926591837</v>
      </c>
      <c r="IS47" s="17">
        <f t="shared" si="87"/>
        <v>0.27614979636435877</v>
      </c>
      <c r="IT47" s="17">
        <f t="shared" si="88"/>
        <v>0.16737856362372106</v>
      </c>
      <c r="IW47" s="13">
        <v>43</v>
      </c>
      <c r="IX47" s="14">
        <f>MATCH(IW47-1,属性投放!$T$6:$T$66,1)</f>
        <v>3</v>
      </c>
      <c r="IY47" s="14">
        <f>MATCH(IW47-1,属性投放!$AD$7:$AD$26,1)</f>
        <v>5</v>
      </c>
      <c r="IZ47" s="14" t="str">
        <f>INDEX(属性投放!$AB$7:$AB$26,IY47)</f>
        <v>众合+1</v>
      </c>
      <c r="JA47" s="14">
        <f t="shared" si="89"/>
        <v>401</v>
      </c>
      <c r="JB47" s="14">
        <f t="shared" si="90"/>
        <v>151</v>
      </c>
      <c r="JC47" s="14">
        <f t="shared" si="91"/>
        <v>2096</v>
      </c>
      <c r="JD47" s="14">
        <f t="shared" si="92"/>
        <v>22</v>
      </c>
      <c r="JE47" s="14">
        <f t="shared" si="93"/>
        <v>11</v>
      </c>
      <c r="JF47" s="14">
        <f t="shared" si="94"/>
        <v>153</v>
      </c>
      <c r="JG47" s="14">
        <f>INDEX(属性投放!$DC$6:$DC$85,卡牌属性!IY47)</f>
        <v>20</v>
      </c>
      <c r="JH47" s="14">
        <f t="shared" si="95"/>
        <v>907</v>
      </c>
      <c r="JI47" s="14">
        <f t="shared" si="96"/>
        <v>404</v>
      </c>
      <c r="JJ47" s="14">
        <f t="shared" si="97"/>
        <v>5615</v>
      </c>
      <c r="JK47" s="14">
        <f t="shared" si="98"/>
        <v>14190</v>
      </c>
    </row>
    <row r="48" spans="14:271" ht="16.5" x14ac:dyDescent="0.2">
      <c r="AE48" s="13">
        <v>44</v>
      </c>
      <c r="AF48" s="13">
        <f t="shared" si="31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142</v>
      </c>
      <c r="AM48" s="14">
        <v>1</v>
      </c>
      <c r="AN48" s="14">
        <f t="shared" si="5"/>
        <v>4</v>
      </c>
      <c r="AO48" s="14">
        <f>INDEX(属性投放!$DF$6:$DF$85,(卡牌属性!AG48-2)*20+卡牌属性!AN48)</f>
        <v>484</v>
      </c>
      <c r="AP48" s="14">
        <f t="shared" si="127"/>
        <v>484</v>
      </c>
      <c r="AQ48" s="14">
        <f t="shared" si="127"/>
        <v>484</v>
      </c>
      <c r="AR48" s="14">
        <f t="shared" si="127"/>
        <v>484</v>
      </c>
      <c r="AS48" s="14">
        <f t="shared" si="127"/>
        <v>484</v>
      </c>
      <c r="AT48" s="14">
        <f>INDEX(属性投放!$DG$6:$DG$85,(卡牌属性!AG48-2)*20+卡牌属性!AN48)</f>
        <v>162</v>
      </c>
      <c r="AU48" s="14">
        <f t="shared" si="128"/>
        <v>162</v>
      </c>
      <c r="AV48" s="14">
        <f t="shared" si="128"/>
        <v>162</v>
      </c>
      <c r="AW48" s="14">
        <f t="shared" si="128"/>
        <v>162</v>
      </c>
      <c r="AX48" s="14">
        <f t="shared" si="128"/>
        <v>162</v>
      </c>
      <c r="AY48" s="14">
        <f>INDEX(属性投放!$DH$6:$DH$85,(卡牌属性!AG48-2)*20+卡牌属性!AN48)</f>
        <v>2379</v>
      </c>
      <c r="AZ48" s="14">
        <f t="shared" si="129"/>
        <v>2379</v>
      </c>
      <c r="BA48" s="14">
        <f t="shared" si="129"/>
        <v>2379</v>
      </c>
      <c r="BB48" s="14">
        <f t="shared" si="129"/>
        <v>2379</v>
      </c>
      <c r="BC48" s="14">
        <f t="shared" si="129"/>
        <v>2379</v>
      </c>
      <c r="BD48" s="14">
        <f>INDEX(属性投放!$DL$6:$DL$85,(卡牌属性!AG48-2)*20+卡牌属性!AN48)</f>
        <v>30</v>
      </c>
      <c r="BE48" s="14">
        <f t="shared" si="130"/>
        <v>30</v>
      </c>
      <c r="BF48" s="14">
        <f t="shared" si="130"/>
        <v>30</v>
      </c>
      <c r="BG48" s="14">
        <f t="shared" si="130"/>
        <v>30</v>
      </c>
      <c r="BH48" s="14">
        <f t="shared" si="130"/>
        <v>30</v>
      </c>
      <c r="BI48" s="14">
        <f>INDEX(属性投放!$DM$6:$DM$85,(卡牌属性!AG48-2)*20+卡牌属性!AN48)</f>
        <v>15</v>
      </c>
      <c r="BJ48" s="14">
        <f t="shared" si="131"/>
        <v>15</v>
      </c>
      <c r="BK48" s="14">
        <f t="shared" si="131"/>
        <v>15</v>
      </c>
      <c r="BL48" s="14">
        <f t="shared" si="131"/>
        <v>15</v>
      </c>
      <c r="BM48" s="14">
        <f t="shared" si="131"/>
        <v>15</v>
      </c>
      <c r="BN48" s="14">
        <f>INDEX(属性投放!$DN$6:$DN$85,(卡牌属性!AG48-2)*20+卡牌属性!AN48)</f>
        <v>208</v>
      </c>
      <c r="BO48" s="14">
        <f t="shared" si="132"/>
        <v>208</v>
      </c>
      <c r="BP48" s="14">
        <f t="shared" si="132"/>
        <v>208</v>
      </c>
      <c r="BQ48" s="14">
        <f t="shared" si="132"/>
        <v>208</v>
      </c>
      <c r="BR48" s="14">
        <f t="shared" si="132"/>
        <v>208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32"/>
        <v>1102003</v>
      </c>
      <c r="CA48" s="14" t="str">
        <f t="shared" si="33"/>
        <v>典韦4突</v>
      </c>
      <c r="CB48" s="25" t="s">
        <v>142</v>
      </c>
      <c r="CC48" s="14">
        <v>2</v>
      </c>
      <c r="CD48" s="14">
        <f t="shared" si="14"/>
        <v>4</v>
      </c>
      <c r="CE48" s="14" t="s">
        <v>21</v>
      </c>
      <c r="CF48" s="14">
        <f>INDEX(属性投放!$AZ$6:$AZ$85,(BY48-2)*20+CD48)</f>
        <v>858</v>
      </c>
      <c r="CG48" s="14" t="s">
        <v>22</v>
      </c>
      <c r="CH48" s="14">
        <f>INDEX(属性投放!$BA$6:$BA$85,(BY48-2)*20+CD48)</f>
        <v>366</v>
      </c>
      <c r="CI48" s="14" t="s">
        <v>510</v>
      </c>
      <c r="CJ48" s="14">
        <f>INDEX(属性投放!$BB$6:$BB$85,(BY48-2)*20+CD48)</f>
        <v>4748</v>
      </c>
      <c r="CK48" s="14" t="s">
        <v>21</v>
      </c>
      <c r="CL48" s="14">
        <f>INDEX(属性投放!$BC$6:$BC$85,(BY48-2)*20+CD48)</f>
        <v>20</v>
      </c>
      <c r="CM48" s="14" t="s">
        <v>22</v>
      </c>
      <c r="CN48" s="14">
        <f>INDEX(属性投放!$BD$6:$BD$85,(BY48-2)*20+CD48)</f>
        <v>10</v>
      </c>
      <c r="CO48" s="14" t="s">
        <v>510</v>
      </c>
      <c r="CP48" s="14">
        <f>INDEX(属性投放!$BE$6:$BE$85,(BY48-2)*20+CD48)</f>
        <v>140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INDEX($O$6:$O$50,CT48)&amp;"-"&amp;INDEX(属性投放!$AB$7:$AB$50,CZ48)&amp;"-魂火-"&amp;DB48</f>
        <v>关羽-大焦热+2-魂火-2</v>
      </c>
      <c r="CY48" s="25" t="s">
        <v>142</v>
      </c>
      <c r="CZ48" s="14">
        <f>INDEX(属性投放!$AM$7:$AM$58,CU48)</f>
        <v>18</v>
      </c>
      <c r="DA48" s="14" t="s">
        <v>537</v>
      </c>
      <c r="DB48" s="14">
        <f>INDEX(属性投放!$AN$7:$AN$58,CU48)</f>
        <v>2</v>
      </c>
      <c r="DC48" s="14">
        <f t="shared" si="16"/>
        <v>44</v>
      </c>
      <c r="DD48" s="14">
        <f>INDEX(属性投放!$AO$7:$AO$58,DC48)</f>
        <v>128</v>
      </c>
      <c r="DE48" s="14" t="s">
        <v>538</v>
      </c>
      <c r="DF48" s="14">
        <f>INDEX(属性投放!$BK$6:$BK$85,(CV48-2)*20+CZ48)</f>
        <v>830</v>
      </c>
      <c r="DG48" s="14">
        <f>SUMIFS(DF$5:DF48,$CT$5:$CT48,"="&amp;$CT48)</f>
        <v>12399</v>
      </c>
      <c r="DH48" s="14" t="s">
        <v>539</v>
      </c>
      <c r="DI48" s="14">
        <f>INDEX(属性投放!$BL$6:$BL$85,(CV48-2)*20+CZ48)</f>
        <v>415</v>
      </c>
      <c r="DJ48" s="14">
        <f>SUMIFS(DI$5:DI48,$CT$5:$CT48,"="&amp;$CT48)</f>
        <v>6205</v>
      </c>
      <c r="DK48" s="14" t="s">
        <v>540</v>
      </c>
      <c r="DL48" s="14">
        <f>INDEX(属性投放!$BM$6:$BM$85,(CV48-2)*20+CZ48)</f>
        <v>8300</v>
      </c>
      <c r="DM48" s="14">
        <f>SUMIFS(DL$5:DL48,$CT$5:$CT48,"="&amp;$CT48)</f>
        <v>118402</v>
      </c>
      <c r="DR48" s="14">
        <f t="shared" si="17"/>
        <v>1102003</v>
      </c>
      <c r="DS48" s="14" t="str">
        <f t="shared" si="18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19"/>
        <v>4</v>
      </c>
      <c r="DX48" s="14">
        <f t="shared" si="20"/>
        <v>4</v>
      </c>
      <c r="DY48" s="14">
        <f t="shared" si="21"/>
        <v>44</v>
      </c>
      <c r="DZ48" s="14">
        <f>INDEX(属性投放!$AX$6:$AX$85,(卡牌属性!DW48-2)*20+卡牌属性!DX48)</f>
        <v>10</v>
      </c>
      <c r="EA48" s="14">
        <f>INDEX(属性投放!BQ$6:BQ$85,卡牌属性!$DY48)</f>
        <v>100</v>
      </c>
      <c r="EB48" s="14">
        <f>INDEX(属性投放!BR$6:BR$85,卡牌属性!$DY48)</f>
        <v>50</v>
      </c>
      <c r="EC48" s="14">
        <f>INDEX(属性投放!BS$6:BS$85,卡牌属性!$DY48)</f>
        <v>700</v>
      </c>
      <c r="ED48" s="14">
        <f t="shared" si="133"/>
        <v>703</v>
      </c>
      <c r="EE48" s="14">
        <f t="shared" si="134"/>
        <v>797</v>
      </c>
      <c r="EF48" s="14">
        <f t="shared" si="135"/>
        <v>915</v>
      </c>
      <c r="EG48" s="14">
        <f t="shared" si="136"/>
        <v>915</v>
      </c>
      <c r="EH48" s="14">
        <f t="shared" si="137"/>
        <v>1085</v>
      </c>
      <c r="EI48" s="14">
        <f t="shared" si="138"/>
        <v>258</v>
      </c>
      <c r="EJ48" s="14">
        <f t="shared" si="139"/>
        <v>312</v>
      </c>
      <c r="EK48" s="14">
        <f t="shared" si="140"/>
        <v>312</v>
      </c>
      <c r="EL48" s="14">
        <f t="shared" si="141"/>
        <v>361</v>
      </c>
      <c r="EM48" s="14">
        <f t="shared" si="142"/>
        <v>410</v>
      </c>
      <c r="EN48" s="14">
        <f t="shared" si="143"/>
        <v>3260</v>
      </c>
      <c r="EO48" s="14">
        <f t="shared" si="144"/>
        <v>3818</v>
      </c>
      <c r="EP48" s="14">
        <f t="shared" si="145"/>
        <v>3818</v>
      </c>
      <c r="EQ48" s="14">
        <f t="shared" si="146"/>
        <v>4282</v>
      </c>
      <c r="ER48" s="14">
        <f t="shared" si="147"/>
        <v>4890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91</v>
      </c>
      <c r="FD48" s="14">
        <f>INDEX(属性偏向!$U$4:$U$243,(卡牌属性!$DV48-1+FD$3)*20+卡牌属性!$DX48)</f>
        <v>140</v>
      </c>
      <c r="FE48" s="14">
        <f>INDEX(属性偏向!$U$4:$U$243,(卡牌属性!$DV48-1+FE$3)*20+卡牌属性!$DX48)</f>
        <v>140</v>
      </c>
      <c r="FF48" s="14">
        <f>INDEX(属性偏向!$U$4:$U$243,(卡牌属性!$DV48-1+FF$3)*20+卡牌属性!$DX48)</f>
        <v>154</v>
      </c>
      <c r="FG48" s="14">
        <f>INDEX(属性偏向!$U$4:$U$243,(卡牌属性!$DV48-1+FG$3)*20+卡牌属性!$DX48)</f>
        <v>175</v>
      </c>
      <c r="FH48" s="14">
        <f>INDEX(属性投放!$BQ$6:$BQ$85,(卡牌属性!$DW48-2)*20+卡牌属性!$DX48)</f>
        <v>100</v>
      </c>
      <c r="FI48" s="14">
        <f>INDEX(属性投放!$BQ$6:$BQ$85,(卡牌属性!$DW48-2)*20+卡牌属性!$DX48)</f>
        <v>100</v>
      </c>
      <c r="FJ48" s="14">
        <f>INDEX(属性投放!$BQ$6:$BQ$85,(卡牌属性!$DW48-2)*20+卡牌属性!$DX48)</f>
        <v>100</v>
      </c>
      <c r="FK48" s="14">
        <f>INDEX(属性投放!$BQ$6:$BQ$85,(卡牌属性!$DW48-2)*20+卡牌属性!$DX48)</f>
        <v>100</v>
      </c>
      <c r="FL48" s="14">
        <f>INDEX(属性投放!$BQ$6:$BQ$85,(卡牌属性!$DW48-2)*20+卡牌属性!$DX48)</f>
        <v>100</v>
      </c>
      <c r="FM48" s="14">
        <f>INDEX(属性投放!$BR$6:$BR$85,(卡牌属性!$DW48-2)*20+卡牌属性!$DX48)</f>
        <v>50</v>
      </c>
      <c r="FN48" s="14">
        <f>INDEX(属性投放!$BR$6:$BR$85,(卡牌属性!$DW48-2)*20+卡牌属性!$DX48)</f>
        <v>50</v>
      </c>
      <c r="FO48" s="14">
        <f>INDEX(属性投放!$BR$6:$BR$85,(卡牌属性!$DW48-2)*20+卡牌属性!$DX48)</f>
        <v>50</v>
      </c>
      <c r="FP48" s="14">
        <f>INDEX(属性投放!$BR$6:$BR$85,(卡牌属性!$DW48-2)*20+卡牌属性!$DX48)</f>
        <v>50</v>
      </c>
      <c r="FQ48" s="14">
        <f>INDEX(属性投放!$BR$6:$BR$85,(卡牌属性!$DW48-2)*20+卡牌属性!$DX48)</f>
        <v>50</v>
      </c>
      <c r="FR48" s="14">
        <f>INDEX(属性投放!$BS$6:$BS$85,(卡牌属性!$DW48-2)*20+卡牌属性!$DX48)</f>
        <v>700</v>
      </c>
      <c r="FS48" s="14">
        <f>INDEX(属性投放!$BS$6:$BS$85,(卡牌属性!$DW48-2)*20+卡牌属性!$DX48)</f>
        <v>700</v>
      </c>
      <c r="FT48" s="14">
        <f>INDEX(属性投放!$BS$6:$BS$85,(卡牌属性!$DW48-2)*20+卡牌属性!$DX48)</f>
        <v>700</v>
      </c>
      <c r="FU48" s="14">
        <f>INDEX(属性投放!$BS$6:$BS$85,(卡牌属性!$DW48-2)*20+卡牌属性!$DX48)</f>
        <v>700</v>
      </c>
      <c r="FV48" s="14">
        <f>INDEX(属性投放!$BS$6:$BS$85,(卡牌属性!$DW48-2)*20+卡牌属性!$DX48)</f>
        <v>700</v>
      </c>
      <c r="FZ48" s="13">
        <v>44</v>
      </c>
      <c r="GA48" s="13">
        <f t="shared" si="121"/>
        <v>9</v>
      </c>
      <c r="GB48" s="14">
        <f t="shared" si="56"/>
        <v>1102009</v>
      </c>
      <c r="GC48" s="14" t="s">
        <v>1187</v>
      </c>
      <c r="GD48" s="14">
        <f t="shared" si="122"/>
        <v>4</v>
      </c>
      <c r="GE48" s="14" t="str">
        <f t="shared" si="123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4"/>
        <v>9</v>
      </c>
      <c r="GP48" s="14">
        <f t="shared" si="57"/>
        <v>1101009</v>
      </c>
      <c r="GQ48" s="14" t="s">
        <v>1187</v>
      </c>
      <c r="GR48" s="14">
        <f t="shared" si="125"/>
        <v>4</v>
      </c>
      <c r="GS48" s="14" t="str">
        <f t="shared" si="126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MATCH(HC48,属性投放!$AO$6:$AO$58,1)-1</f>
        <v>10</v>
      </c>
      <c r="HF48" s="13">
        <f>MATCH(HC48-1,属性投放!$AE$6:$AE$26,1)</f>
        <v>6</v>
      </c>
      <c r="HG48" s="13" t="str">
        <f>INDEX(属性投放!$AB$7:$AB$26,卡牌属性!HF48)</f>
        <v>众合+2</v>
      </c>
      <c r="HH48" s="14">
        <f t="shared" si="58"/>
        <v>1263</v>
      </c>
      <c r="HI48" s="14">
        <f t="shared" si="59"/>
        <v>487</v>
      </c>
      <c r="HJ48" s="14">
        <f t="shared" si="60"/>
        <v>6347</v>
      </c>
      <c r="HK48" s="14">
        <f t="shared" si="61"/>
        <v>20</v>
      </c>
      <c r="HL48" s="14">
        <f t="shared" si="62"/>
        <v>7</v>
      </c>
      <c r="HM48" s="14">
        <f t="shared" si="63"/>
        <v>91</v>
      </c>
      <c r="HN48" s="14">
        <f>HH48+HK48*($HC48-INDEX(属性投放!$AE$6:$AE$26,卡牌属性!$HF48))</f>
        <v>1303</v>
      </c>
      <c r="HO48" s="14">
        <f>HI48+HL48*($HC48-INDEX(属性投放!$AE$6:$AE$26,卡牌属性!$HF48))</f>
        <v>501</v>
      </c>
      <c r="HP48" s="14">
        <f>HJ48+HM48*($HC48-INDEX(属性投放!$AE$6:$AE$26,卡牌属性!$HF48))</f>
        <v>6529</v>
      </c>
      <c r="HQ48" s="14">
        <f t="shared" si="64"/>
        <v>415</v>
      </c>
      <c r="HR48" s="14">
        <f t="shared" si="65"/>
        <v>211</v>
      </c>
      <c r="HS48" s="14">
        <f t="shared" si="66"/>
        <v>2750</v>
      </c>
      <c r="HT48" s="14">
        <f>IF(COUNTIF(属性投放!$AO$7:$AO$58,"="&amp;卡牌属性!HC48)&gt;0,卡牌属性!HE48,0)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IF(COUNTIF(属性投放!$AE$6:$AE$26,"="&amp;卡牌属性!HC48)&gt;0,卡牌属性!HF48,0)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20</v>
      </c>
      <c r="IC48" s="14">
        <f t="shared" si="74"/>
        <v>7</v>
      </c>
      <c r="ID48" s="14">
        <f t="shared" si="75"/>
        <v>91</v>
      </c>
      <c r="IE48" s="14">
        <f t="shared" si="76"/>
        <v>1718</v>
      </c>
      <c r="IF48" s="14">
        <f t="shared" si="77"/>
        <v>712</v>
      </c>
      <c r="IG48" s="14">
        <f t="shared" si="78"/>
        <v>9279</v>
      </c>
      <c r="IH48" s="14">
        <f t="shared" si="79"/>
        <v>431</v>
      </c>
      <c r="II48" s="14">
        <f t="shared" si="80"/>
        <v>0</v>
      </c>
      <c r="IJ48" s="14">
        <f t="shared" si="81"/>
        <v>0</v>
      </c>
      <c r="IK48" s="14">
        <f t="shared" si="82"/>
        <v>40699</v>
      </c>
      <c r="IL48" s="17">
        <f t="shared" si="83"/>
        <v>1.0589940784785867E-2</v>
      </c>
      <c r="IM48" s="17">
        <f t="shared" si="84"/>
        <v>0</v>
      </c>
      <c r="IN48" s="17">
        <f t="shared" si="85"/>
        <v>0</v>
      </c>
      <c r="IO48" s="23">
        <f>SUM(IH$5:IH48)</f>
        <v>16429</v>
      </c>
      <c r="IP48" s="14">
        <f>SUM(II$5:II48)</f>
        <v>11120</v>
      </c>
      <c r="IQ48" s="14">
        <f>SUM(IJ$5:IJ48)</f>
        <v>6740</v>
      </c>
      <c r="IR48" s="17">
        <f t="shared" si="86"/>
        <v>0.40367085186368218</v>
      </c>
      <c r="IS48" s="17">
        <f t="shared" si="87"/>
        <v>0.27322538637312954</v>
      </c>
      <c r="IT48" s="17">
        <f t="shared" si="88"/>
        <v>0.16560603454630335</v>
      </c>
      <c r="IW48" s="13">
        <v>44</v>
      </c>
      <c r="IX48" s="14">
        <f>MATCH(IW48-1,属性投放!$T$6:$T$66,1)</f>
        <v>3</v>
      </c>
      <c r="IY48" s="14">
        <f>MATCH(IW48-1,属性投放!$AD$7:$AD$26,1)</f>
        <v>5</v>
      </c>
      <c r="IZ48" s="14" t="str">
        <f>INDEX(属性投放!$AB$7:$AB$26,IY48)</f>
        <v>众合+1</v>
      </c>
      <c r="JA48" s="14">
        <f t="shared" si="89"/>
        <v>401</v>
      </c>
      <c r="JB48" s="14">
        <f t="shared" si="90"/>
        <v>151</v>
      </c>
      <c r="JC48" s="14">
        <f t="shared" si="91"/>
        <v>2096</v>
      </c>
      <c r="JD48" s="14">
        <f t="shared" si="92"/>
        <v>22</v>
      </c>
      <c r="JE48" s="14">
        <f t="shared" si="93"/>
        <v>11</v>
      </c>
      <c r="JF48" s="14">
        <f t="shared" si="94"/>
        <v>153</v>
      </c>
      <c r="JG48" s="14">
        <f>INDEX(属性投放!$DC$6:$DC$85,卡牌属性!IY48)</f>
        <v>20</v>
      </c>
      <c r="JH48" s="14">
        <f t="shared" si="95"/>
        <v>929</v>
      </c>
      <c r="JI48" s="14">
        <f t="shared" si="96"/>
        <v>415</v>
      </c>
      <c r="JJ48" s="14">
        <f t="shared" si="97"/>
        <v>5768</v>
      </c>
      <c r="JK48" s="14">
        <f t="shared" si="98"/>
        <v>14563</v>
      </c>
    </row>
    <row r="49" spans="31:271" ht="16.5" x14ac:dyDescent="0.2">
      <c r="AE49" s="13">
        <v>45</v>
      </c>
      <c r="AF49" s="13">
        <f t="shared" si="31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142</v>
      </c>
      <c r="AM49" s="14">
        <v>1</v>
      </c>
      <c r="AN49" s="14">
        <f t="shared" si="5"/>
        <v>5</v>
      </c>
      <c r="AO49" s="14">
        <f>INDEX(属性投放!$DF$6:$DF$85,(卡牌属性!AG49-2)*20+卡牌属性!AN49)</f>
        <v>569</v>
      </c>
      <c r="AP49" s="14">
        <f t="shared" si="127"/>
        <v>569</v>
      </c>
      <c r="AQ49" s="14">
        <f t="shared" si="127"/>
        <v>569</v>
      </c>
      <c r="AR49" s="14">
        <f t="shared" si="127"/>
        <v>569</v>
      </c>
      <c r="AS49" s="14">
        <f t="shared" si="127"/>
        <v>569</v>
      </c>
      <c r="AT49" s="14">
        <f>INDEX(属性投放!$DG$6:$DG$85,(卡牌属性!AG49-2)*20+卡牌属性!AN49)</f>
        <v>205</v>
      </c>
      <c r="AU49" s="14">
        <f t="shared" si="128"/>
        <v>205</v>
      </c>
      <c r="AV49" s="14">
        <f t="shared" si="128"/>
        <v>205</v>
      </c>
      <c r="AW49" s="14">
        <f t="shared" si="128"/>
        <v>205</v>
      </c>
      <c r="AX49" s="14">
        <f t="shared" si="128"/>
        <v>205</v>
      </c>
      <c r="AY49" s="14">
        <f>INDEX(属性投放!$DH$6:$DH$85,(卡牌属性!AG49-2)*20+卡牌属性!AN49)</f>
        <v>2973</v>
      </c>
      <c r="AZ49" s="14">
        <f t="shared" si="129"/>
        <v>2973</v>
      </c>
      <c r="BA49" s="14">
        <f t="shared" si="129"/>
        <v>2973</v>
      </c>
      <c r="BB49" s="14">
        <f t="shared" si="129"/>
        <v>2973</v>
      </c>
      <c r="BC49" s="14">
        <f t="shared" si="129"/>
        <v>2973</v>
      </c>
      <c r="BD49" s="14">
        <f>INDEX(属性投放!$DL$6:$DL$85,(卡牌属性!AG49-2)*20+卡牌属性!AN49)</f>
        <v>30</v>
      </c>
      <c r="BE49" s="14">
        <f t="shared" si="130"/>
        <v>30</v>
      </c>
      <c r="BF49" s="14">
        <f t="shared" si="130"/>
        <v>30</v>
      </c>
      <c r="BG49" s="14">
        <f t="shared" si="130"/>
        <v>30</v>
      </c>
      <c r="BH49" s="14">
        <f t="shared" si="130"/>
        <v>30</v>
      </c>
      <c r="BI49" s="14">
        <f>INDEX(属性投放!$DM$6:$DM$85,(卡牌属性!AG49-2)*20+卡牌属性!AN49)</f>
        <v>15</v>
      </c>
      <c r="BJ49" s="14">
        <f t="shared" si="131"/>
        <v>15</v>
      </c>
      <c r="BK49" s="14">
        <f t="shared" si="131"/>
        <v>15</v>
      </c>
      <c r="BL49" s="14">
        <f t="shared" si="131"/>
        <v>15</v>
      </c>
      <c r="BM49" s="14">
        <f t="shared" si="131"/>
        <v>15</v>
      </c>
      <c r="BN49" s="14">
        <f>INDEX(属性投放!$DN$6:$DN$85,(卡牌属性!AG49-2)*20+卡牌属性!AN49)</f>
        <v>208</v>
      </c>
      <c r="BO49" s="14">
        <f t="shared" si="132"/>
        <v>208</v>
      </c>
      <c r="BP49" s="14">
        <f t="shared" si="132"/>
        <v>208</v>
      </c>
      <c r="BQ49" s="14">
        <f t="shared" si="132"/>
        <v>208</v>
      </c>
      <c r="BR49" s="14">
        <f t="shared" si="132"/>
        <v>208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32"/>
        <v>1102003</v>
      </c>
      <c r="CA49" s="14" t="str">
        <f t="shared" si="33"/>
        <v>典韦5突</v>
      </c>
      <c r="CB49" s="25" t="s">
        <v>142</v>
      </c>
      <c r="CC49" s="14">
        <v>2</v>
      </c>
      <c r="CD49" s="14">
        <f t="shared" si="14"/>
        <v>5</v>
      </c>
      <c r="CE49" s="14" t="s">
        <v>21</v>
      </c>
      <c r="CF49" s="14">
        <f>INDEX(属性投放!$AZ$6:$AZ$85,(BY49-2)*20+CD49)</f>
        <v>1248</v>
      </c>
      <c r="CG49" s="14" t="s">
        <v>22</v>
      </c>
      <c r="CH49" s="14">
        <f>INDEX(属性投放!$BA$6:$BA$85,(BY49-2)*20+CD49)</f>
        <v>562</v>
      </c>
      <c r="CI49" s="14" t="s">
        <v>510</v>
      </c>
      <c r="CJ49" s="14">
        <f>INDEX(属性投放!$BB$6:$BB$85,(BY49-2)*20+CD49)</f>
        <v>7478</v>
      </c>
      <c r="CK49" s="14" t="s">
        <v>21</v>
      </c>
      <c r="CL49" s="14">
        <f>INDEX(属性投放!$BC$6:$BC$85,(BY49-2)*20+CD49)</f>
        <v>20</v>
      </c>
      <c r="CM49" s="14" t="s">
        <v>22</v>
      </c>
      <c r="CN49" s="14">
        <f>INDEX(属性投放!$BD$6:$BD$85,(BY49-2)*20+CD49)</f>
        <v>10</v>
      </c>
      <c r="CO49" s="14" t="s">
        <v>510</v>
      </c>
      <c r="CP49" s="14">
        <f>INDEX(属性投放!$BE$6:$BE$85,(BY49-2)*20+CD49)</f>
        <v>140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INDEX($O$6:$O$50,CT49)&amp;"-"&amp;INDEX(属性投放!$AB$7:$AB$50,CZ49)&amp;"-魂火-"&amp;DB49</f>
        <v>关羽-大焦热+2-魂火-3</v>
      </c>
      <c r="CY49" s="25" t="s">
        <v>142</v>
      </c>
      <c r="CZ49" s="14">
        <f>INDEX(属性投放!$AM$7:$AM$58,CU49)</f>
        <v>18</v>
      </c>
      <c r="DA49" s="14" t="s">
        <v>537</v>
      </c>
      <c r="DB49" s="14">
        <f>INDEX(属性投放!$AN$7:$AN$58,CU49)</f>
        <v>3</v>
      </c>
      <c r="DC49" s="14">
        <f t="shared" si="16"/>
        <v>45</v>
      </c>
      <c r="DD49" s="14">
        <f>INDEX(属性投放!$AO$7:$AO$58,DC49)</f>
        <v>130</v>
      </c>
      <c r="DE49" s="14" t="s">
        <v>538</v>
      </c>
      <c r="DF49" s="14">
        <f>INDEX(属性投放!$BK$6:$BK$85,(CV49-2)*20+CZ49)</f>
        <v>830</v>
      </c>
      <c r="DG49" s="14">
        <f>SUMIFS(DF$5:DF49,$CT$5:$CT49,"="&amp;$CT49)</f>
        <v>13229</v>
      </c>
      <c r="DH49" s="14" t="s">
        <v>539</v>
      </c>
      <c r="DI49" s="14">
        <f>INDEX(属性投放!$BL$6:$BL$85,(CV49-2)*20+CZ49)</f>
        <v>415</v>
      </c>
      <c r="DJ49" s="14">
        <f>SUMIFS(DI$5:DI49,$CT$5:$CT49,"="&amp;$CT49)</f>
        <v>6620</v>
      </c>
      <c r="DK49" s="14" t="s">
        <v>540</v>
      </c>
      <c r="DL49" s="14">
        <f>INDEX(属性投放!$BM$6:$BM$85,(CV49-2)*20+CZ49)</f>
        <v>8300</v>
      </c>
      <c r="DM49" s="14">
        <f>SUMIFS(DL$5:DL49,$CT$5:$CT49,"="&amp;$CT49)</f>
        <v>126702</v>
      </c>
      <c r="DR49" s="14">
        <f t="shared" si="17"/>
        <v>1102003</v>
      </c>
      <c r="DS49" s="14" t="str">
        <f t="shared" si="18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19"/>
        <v>4</v>
      </c>
      <c r="DX49" s="14">
        <f t="shared" si="20"/>
        <v>5</v>
      </c>
      <c r="DY49" s="14">
        <f t="shared" si="21"/>
        <v>45</v>
      </c>
      <c r="DZ49" s="14">
        <f>INDEX(属性投放!$AX$6:$AX$85,(卡牌属性!DW49-2)*20+卡牌属性!DX49)</f>
        <v>7</v>
      </c>
      <c r="EA49" s="14">
        <f>INDEX(属性投放!BQ$6:BQ$85,卡牌属性!$DY49)</f>
        <v>120</v>
      </c>
      <c r="EB49" s="14">
        <f>INDEX(属性投放!BR$6:BR$85,卡牌属性!$DY49)</f>
        <v>60</v>
      </c>
      <c r="EC49" s="14">
        <f>INDEX(属性投放!BS$6:BS$85,卡牌属性!$DY49)</f>
        <v>840</v>
      </c>
      <c r="ED49" s="14">
        <f t="shared" si="133"/>
        <v>1003</v>
      </c>
      <c r="EE49" s="14">
        <f t="shared" si="134"/>
        <v>1117</v>
      </c>
      <c r="EF49" s="14">
        <f t="shared" si="135"/>
        <v>1265</v>
      </c>
      <c r="EG49" s="14">
        <f t="shared" si="136"/>
        <v>1265</v>
      </c>
      <c r="EH49" s="14">
        <f t="shared" si="137"/>
        <v>1485</v>
      </c>
      <c r="EI49" s="14">
        <f t="shared" si="138"/>
        <v>378</v>
      </c>
      <c r="EJ49" s="14">
        <f t="shared" si="139"/>
        <v>462</v>
      </c>
      <c r="EK49" s="14">
        <f t="shared" si="140"/>
        <v>462</v>
      </c>
      <c r="EL49" s="14">
        <f t="shared" si="141"/>
        <v>521</v>
      </c>
      <c r="EM49" s="14">
        <f t="shared" si="142"/>
        <v>590</v>
      </c>
      <c r="EN49" s="14">
        <f t="shared" si="143"/>
        <v>4870</v>
      </c>
      <c r="EO49" s="14">
        <f t="shared" si="144"/>
        <v>5918</v>
      </c>
      <c r="EP49" s="14">
        <f t="shared" si="145"/>
        <v>5918</v>
      </c>
      <c r="EQ49" s="14">
        <f t="shared" si="146"/>
        <v>6522</v>
      </c>
      <c r="ER49" s="14">
        <f t="shared" si="147"/>
        <v>7340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91</v>
      </c>
      <c r="FD49" s="14">
        <f>INDEX(属性偏向!$U$4:$U$243,(卡牌属性!$DV49-1+FD$3)*20+卡牌属性!$DX49)</f>
        <v>140</v>
      </c>
      <c r="FE49" s="14">
        <f>INDEX(属性偏向!$U$4:$U$243,(卡牌属性!$DV49-1+FE$3)*20+卡牌属性!$DX49)</f>
        <v>140</v>
      </c>
      <c r="FF49" s="14">
        <f>INDEX(属性偏向!$U$4:$U$243,(卡牌属性!$DV49-1+FF$3)*20+卡牌属性!$DX49)</f>
        <v>154</v>
      </c>
      <c r="FG49" s="14">
        <f>INDEX(属性偏向!$U$4:$U$243,(卡牌属性!$DV49-1+FG$3)*20+卡牌属性!$DX49)</f>
        <v>175</v>
      </c>
      <c r="FH49" s="14">
        <f>INDEX(属性投放!$BQ$6:$BQ$85,(卡牌属性!$DW49-2)*20+卡牌属性!$DX49)</f>
        <v>120</v>
      </c>
      <c r="FI49" s="14">
        <f>INDEX(属性投放!$BQ$6:$BQ$85,(卡牌属性!$DW49-2)*20+卡牌属性!$DX49)</f>
        <v>120</v>
      </c>
      <c r="FJ49" s="14">
        <f>INDEX(属性投放!$BQ$6:$BQ$85,(卡牌属性!$DW49-2)*20+卡牌属性!$DX49)</f>
        <v>120</v>
      </c>
      <c r="FK49" s="14">
        <f>INDEX(属性投放!$BQ$6:$BQ$85,(卡牌属性!$DW49-2)*20+卡牌属性!$DX49)</f>
        <v>120</v>
      </c>
      <c r="FL49" s="14">
        <f>INDEX(属性投放!$BQ$6:$BQ$85,(卡牌属性!$DW49-2)*20+卡牌属性!$DX49)</f>
        <v>120</v>
      </c>
      <c r="FM49" s="14">
        <f>INDEX(属性投放!$BR$6:$BR$85,(卡牌属性!$DW49-2)*20+卡牌属性!$DX49)</f>
        <v>60</v>
      </c>
      <c r="FN49" s="14">
        <f>INDEX(属性投放!$BR$6:$BR$85,(卡牌属性!$DW49-2)*20+卡牌属性!$DX49)</f>
        <v>60</v>
      </c>
      <c r="FO49" s="14">
        <f>INDEX(属性投放!$BR$6:$BR$85,(卡牌属性!$DW49-2)*20+卡牌属性!$DX49)</f>
        <v>60</v>
      </c>
      <c r="FP49" s="14">
        <f>INDEX(属性投放!$BR$6:$BR$85,(卡牌属性!$DW49-2)*20+卡牌属性!$DX49)</f>
        <v>60</v>
      </c>
      <c r="FQ49" s="14">
        <f>INDEX(属性投放!$BR$6:$BR$85,(卡牌属性!$DW49-2)*20+卡牌属性!$DX49)</f>
        <v>60</v>
      </c>
      <c r="FR49" s="14">
        <f>INDEX(属性投放!$BS$6:$BS$85,(卡牌属性!$DW49-2)*20+卡牌属性!$DX49)</f>
        <v>840</v>
      </c>
      <c r="FS49" s="14">
        <f>INDEX(属性投放!$BS$6:$BS$85,(卡牌属性!$DW49-2)*20+卡牌属性!$DX49)</f>
        <v>840</v>
      </c>
      <c r="FT49" s="14">
        <f>INDEX(属性投放!$BS$6:$BS$85,(卡牌属性!$DW49-2)*20+卡牌属性!$DX49)</f>
        <v>840</v>
      </c>
      <c r="FU49" s="14">
        <f>INDEX(属性投放!$BS$6:$BS$85,(卡牌属性!$DW49-2)*20+卡牌属性!$DX49)</f>
        <v>840</v>
      </c>
      <c r="FV49" s="14">
        <f>INDEX(属性投放!$BS$6:$BS$85,(卡牌属性!$DW49-2)*20+卡牌属性!$DX49)</f>
        <v>840</v>
      </c>
      <c r="FZ49" s="13">
        <v>45</v>
      </c>
      <c r="GA49" s="13">
        <f t="shared" si="121"/>
        <v>9</v>
      </c>
      <c r="GB49" s="14">
        <f t="shared" si="56"/>
        <v>1102009</v>
      </c>
      <c r="GC49" s="14" t="s">
        <v>1187</v>
      </c>
      <c r="GD49" s="14">
        <f t="shared" si="122"/>
        <v>5</v>
      </c>
      <c r="GE49" s="14" t="str">
        <f t="shared" si="123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4"/>
        <v>9</v>
      </c>
      <c r="GP49" s="14">
        <f t="shared" si="57"/>
        <v>1101009</v>
      </c>
      <c r="GQ49" s="14" t="s">
        <v>1187</v>
      </c>
      <c r="GR49" s="14">
        <f t="shared" si="125"/>
        <v>5</v>
      </c>
      <c r="GS49" s="14" t="str">
        <f t="shared" si="126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MATCH(HC49,属性投放!$AO$6:$AO$58,1)-1</f>
        <v>11</v>
      </c>
      <c r="HF49" s="13">
        <f>MATCH(HC49-1,属性投放!$AE$6:$AE$26,1)</f>
        <v>6</v>
      </c>
      <c r="HG49" s="13" t="str">
        <f>INDEX(属性投放!$AB$7:$AB$26,卡牌属性!HF49)</f>
        <v>众合+2</v>
      </c>
      <c r="HH49" s="14">
        <f t="shared" si="58"/>
        <v>1263</v>
      </c>
      <c r="HI49" s="14">
        <f t="shared" si="59"/>
        <v>487</v>
      </c>
      <c r="HJ49" s="14">
        <f t="shared" si="60"/>
        <v>6347</v>
      </c>
      <c r="HK49" s="14">
        <f t="shared" si="61"/>
        <v>20</v>
      </c>
      <c r="HL49" s="14">
        <f t="shared" si="62"/>
        <v>7</v>
      </c>
      <c r="HM49" s="14">
        <f t="shared" si="63"/>
        <v>91</v>
      </c>
      <c r="HN49" s="14">
        <f>HH49+HK49*($HC49-INDEX(属性投放!$AE$6:$AE$26,卡牌属性!$HF49))</f>
        <v>1323</v>
      </c>
      <c r="HO49" s="14">
        <f>HI49+HL49*($HC49-INDEX(属性投放!$AE$6:$AE$26,卡牌属性!$HF49))</f>
        <v>508</v>
      </c>
      <c r="HP49" s="14">
        <f>HJ49+HM49*($HC49-INDEX(属性投放!$AE$6:$AE$26,卡牌属性!$HF49))</f>
        <v>6620</v>
      </c>
      <c r="HQ49" s="14">
        <f t="shared" si="64"/>
        <v>475</v>
      </c>
      <c r="HR49" s="14">
        <f t="shared" si="65"/>
        <v>241</v>
      </c>
      <c r="HS49" s="14">
        <f t="shared" si="66"/>
        <v>3170</v>
      </c>
      <c r="HT49" s="14">
        <f>IF(COUNTIF(属性投放!$AO$7:$AO$58,"="&amp;卡牌属性!HC49)&gt;0,卡牌属性!HE49,0)</f>
        <v>11</v>
      </c>
      <c r="HU49" s="14">
        <f t="shared" si="67"/>
        <v>60</v>
      </c>
      <c r="HV49" s="14">
        <f t="shared" si="68"/>
        <v>30</v>
      </c>
      <c r="HW49" s="14">
        <f t="shared" si="69"/>
        <v>420</v>
      </c>
      <c r="HX49" s="14">
        <f>IF(COUNTIF(属性投放!$AE$6:$AE$26,"="&amp;卡牌属性!HC49)&gt;0,卡牌属性!HF49,0)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20</v>
      </c>
      <c r="IC49" s="14">
        <f t="shared" si="74"/>
        <v>7</v>
      </c>
      <c r="ID49" s="14">
        <f t="shared" si="75"/>
        <v>91</v>
      </c>
      <c r="IE49" s="14">
        <f t="shared" si="76"/>
        <v>1798</v>
      </c>
      <c r="IF49" s="14">
        <f t="shared" si="77"/>
        <v>749</v>
      </c>
      <c r="IG49" s="14">
        <f t="shared" si="78"/>
        <v>9790</v>
      </c>
      <c r="IH49" s="14">
        <f t="shared" si="79"/>
        <v>431</v>
      </c>
      <c r="II49" s="14">
        <f t="shared" si="80"/>
        <v>1620</v>
      </c>
      <c r="IJ49" s="14">
        <f t="shared" si="81"/>
        <v>0</v>
      </c>
      <c r="IK49" s="14">
        <f t="shared" si="82"/>
        <v>42750</v>
      </c>
      <c r="IL49" s="17">
        <f t="shared" si="83"/>
        <v>1.008187134502924E-2</v>
      </c>
      <c r="IM49" s="17">
        <f t="shared" si="84"/>
        <v>3.7894736842105266E-2</v>
      </c>
      <c r="IN49" s="17">
        <f t="shared" si="85"/>
        <v>0</v>
      </c>
      <c r="IO49" s="23">
        <f>SUM(IH$5:IH49)</f>
        <v>16860</v>
      </c>
      <c r="IP49" s="14">
        <f>SUM(II$5:II49)</f>
        <v>12740</v>
      </c>
      <c r="IQ49" s="14">
        <f>SUM(IJ$5:IJ49)</f>
        <v>6740</v>
      </c>
      <c r="IR49" s="17">
        <f t="shared" si="86"/>
        <v>0.39438596491228073</v>
      </c>
      <c r="IS49" s="17">
        <f t="shared" si="87"/>
        <v>0.29801169590643273</v>
      </c>
      <c r="IT49" s="17">
        <f t="shared" si="88"/>
        <v>0.15766081871345028</v>
      </c>
      <c r="IW49" s="13">
        <v>45</v>
      </c>
      <c r="IX49" s="14">
        <f>MATCH(IW49-1,属性投放!$T$6:$T$66,1)</f>
        <v>3</v>
      </c>
      <c r="IY49" s="14">
        <f>MATCH(IW49-1,属性投放!$AD$7:$AD$26,1)</f>
        <v>5</v>
      </c>
      <c r="IZ49" s="14" t="str">
        <f>INDEX(属性投放!$AB$7:$AB$26,IY49)</f>
        <v>众合+1</v>
      </c>
      <c r="JA49" s="14">
        <f t="shared" si="89"/>
        <v>401</v>
      </c>
      <c r="JB49" s="14">
        <f t="shared" si="90"/>
        <v>151</v>
      </c>
      <c r="JC49" s="14">
        <f t="shared" si="91"/>
        <v>2096</v>
      </c>
      <c r="JD49" s="14">
        <f t="shared" si="92"/>
        <v>22</v>
      </c>
      <c r="JE49" s="14">
        <f t="shared" si="93"/>
        <v>11</v>
      </c>
      <c r="JF49" s="14">
        <f t="shared" si="94"/>
        <v>153</v>
      </c>
      <c r="JG49" s="14">
        <f>INDEX(属性投放!$DC$6:$DC$85,卡牌属性!IY49)</f>
        <v>20</v>
      </c>
      <c r="JH49" s="14">
        <f t="shared" si="95"/>
        <v>951</v>
      </c>
      <c r="JI49" s="14">
        <f t="shared" si="96"/>
        <v>426</v>
      </c>
      <c r="JJ49" s="14">
        <f t="shared" si="97"/>
        <v>5921</v>
      </c>
      <c r="JK49" s="14">
        <f t="shared" si="98"/>
        <v>14936</v>
      </c>
    </row>
    <row r="50" spans="31:271" ht="16.5" x14ac:dyDescent="0.2">
      <c r="AE50" s="13">
        <v>46</v>
      </c>
      <c r="AF50" s="13">
        <f t="shared" si="31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142</v>
      </c>
      <c r="AM50" s="14">
        <v>1</v>
      </c>
      <c r="AN50" s="14">
        <f t="shared" si="5"/>
        <v>6</v>
      </c>
      <c r="AO50" s="14">
        <f>INDEX(属性投放!$DF$6:$DF$85,(卡牌属性!AG50-2)*20+卡牌属性!AN50)</f>
        <v>654</v>
      </c>
      <c r="AP50" s="14">
        <f t="shared" si="127"/>
        <v>654</v>
      </c>
      <c r="AQ50" s="14">
        <f t="shared" si="127"/>
        <v>654</v>
      </c>
      <c r="AR50" s="14">
        <f t="shared" si="127"/>
        <v>654</v>
      </c>
      <c r="AS50" s="14">
        <f t="shared" si="127"/>
        <v>654</v>
      </c>
      <c r="AT50" s="14">
        <f>INDEX(属性投放!$DG$6:$DG$85,(卡牌属性!AG50-2)*20+卡牌属性!AN50)</f>
        <v>248</v>
      </c>
      <c r="AU50" s="14">
        <f t="shared" si="128"/>
        <v>248</v>
      </c>
      <c r="AV50" s="14">
        <f t="shared" si="128"/>
        <v>248</v>
      </c>
      <c r="AW50" s="14">
        <f t="shared" si="128"/>
        <v>248</v>
      </c>
      <c r="AX50" s="14">
        <f t="shared" si="128"/>
        <v>248</v>
      </c>
      <c r="AY50" s="14">
        <f>INDEX(属性投放!$DH$6:$DH$85,(卡牌属性!AG50-2)*20+卡牌属性!AN50)</f>
        <v>3567</v>
      </c>
      <c r="AZ50" s="14">
        <f t="shared" si="129"/>
        <v>3567</v>
      </c>
      <c r="BA50" s="14">
        <f t="shared" si="129"/>
        <v>3567</v>
      </c>
      <c r="BB50" s="14">
        <f t="shared" si="129"/>
        <v>3567</v>
      </c>
      <c r="BC50" s="14">
        <f t="shared" si="129"/>
        <v>3567</v>
      </c>
      <c r="BD50" s="14">
        <f>INDEX(属性投放!$DL$6:$DL$85,(卡牌属性!AG50-2)*20+卡牌属性!AN50)</f>
        <v>30</v>
      </c>
      <c r="BE50" s="14">
        <f t="shared" si="130"/>
        <v>30</v>
      </c>
      <c r="BF50" s="14">
        <f t="shared" si="130"/>
        <v>30</v>
      </c>
      <c r="BG50" s="14">
        <f t="shared" si="130"/>
        <v>30</v>
      </c>
      <c r="BH50" s="14">
        <f t="shared" si="130"/>
        <v>30</v>
      </c>
      <c r="BI50" s="14">
        <f>INDEX(属性投放!$DM$6:$DM$85,(卡牌属性!AG50-2)*20+卡牌属性!AN50)</f>
        <v>15</v>
      </c>
      <c r="BJ50" s="14">
        <f t="shared" si="131"/>
        <v>15</v>
      </c>
      <c r="BK50" s="14">
        <f t="shared" si="131"/>
        <v>15</v>
      </c>
      <c r="BL50" s="14">
        <f t="shared" si="131"/>
        <v>15</v>
      </c>
      <c r="BM50" s="14">
        <f t="shared" si="131"/>
        <v>15</v>
      </c>
      <c r="BN50" s="14">
        <f>INDEX(属性投放!$DN$6:$DN$85,(卡牌属性!AG50-2)*20+卡牌属性!AN50)</f>
        <v>208</v>
      </c>
      <c r="BO50" s="14">
        <f t="shared" si="132"/>
        <v>208</v>
      </c>
      <c r="BP50" s="14">
        <f t="shared" si="132"/>
        <v>208</v>
      </c>
      <c r="BQ50" s="14">
        <f t="shared" si="132"/>
        <v>208</v>
      </c>
      <c r="BR50" s="14">
        <f t="shared" si="132"/>
        <v>208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32"/>
        <v>1102003</v>
      </c>
      <c r="CA50" s="14" t="str">
        <f t="shared" si="33"/>
        <v>典韦6突</v>
      </c>
      <c r="CB50" s="25" t="s">
        <v>142</v>
      </c>
      <c r="CC50" s="14">
        <v>2</v>
      </c>
      <c r="CD50" s="14">
        <f t="shared" si="14"/>
        <v>6</v>
      </c>
      <c r="CE50" s="14" t="s">
        <v>21</v>
      </c>
      <c r="CF50" s="14">
        <f>INDEX(属性投放!$AZ$6:$AZ$85,(BY50-2)*20+CD50)</f>
        <v>1618</v>
      </c>
      <c r="CG50" s="14" t="s">
        <v>22</v>
      </c>
      <c r="CH50" s="14">
        <f>INDEX(属性投放!$BA$6:$BA$85,(BY50-2)*20+CD50)</f>
        <v>748</v>
      </c>
      <c r="CI50" s="14" t="s">
        <v>510</v>
      </c>
      <c r="CJ50" s="14">
        <f>INDEX(属性投放!$BB$6:$BB$85,(BY50-2)*20+CD50)</f>
        <v>10068</v>
      </c>
      <c r="CK50" s="14" t="s">
        <v>21</v>
      </c>
      <c r="CL50" s="14">
        <f>INDEX(属性投放!$BC$6:$BC$85,(BY50-2)*20+CD50)</f>
        <v>20</v>
      </c>
      <c r="CM50" s="14" t="s">
        <v>22</v>
      </c>
      <c r="CN50" s="14">
        <f>INDEX(属性投放!$BD$6:$BD$85,(BY50-2)*20+CD50)</f>
        <v>10</v>
      </c>
      <c r="CO50" s="14" t="s">
        <v>510</v>
      </c>
      <c r="CP50" s="14">
        <f>INDEX(属性投放!$BE$6:$BE$85,(BY50-2)*20+CD50)</f>
        <v>140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INDEX($O$6:$O$50,CT50)&amp;"-"&amp;INDEX(属性投放!$AB$7:$AB$50,CZ50)&amp;"-魂火-"&amp;DB50</f>
        <v>关羽-无间-魂火-1</v>
      </c>
      <c r="CY50" s="25" t="s">
        <v>142</v>
      </c>
      <c r="CZ50" s="14">
        <f>INDEX(属性投放!$AM$7:$AM$58,CU50)</f>
        <v>19</v>
      </c>
      <c r="DA50" s="14" t="s">
        <v>537</v>
      </c>
      <c r="DB50" s="14">
        <f>INDEX(属性投放!$AN$7:$AN$58,CU50)</f>
        <v>1</v>
      </c>
      <c r="DC50" s="14">
        <f t="shared" si="16"/>
        <v>46</v>
      </c>
      <c r="DD50" s="14">
        <f>INDEX(属性投放!$AO$7:$AO$58,DC50)</f>
        <v>133</v>
      </c>
      <c r="DE50" s="14" t="s">
        <v>538</v>
      </c>
      <c r="DF50" s="14">
        <f>INDEX(属性投放!$BK$6:$BK$85,(CV50-2)*20+CZ50)</f>
        <v>980</v>
      </c>
      <c r="DG50" s="14">
        <f>SUMIFS(DF$5:DF50,$CT$5:$CT50,"="&amp;$CT50)</f>
        <v>14209</v>
      </c>
      <c r="DH50" s="14" t="s">
        <v>539</v>
      </c>
      <c r="DI50" s="14">
        <f>INDEX(属性投放!$BL$6:$BL$85,(CV50-2)*20+CZ50)</f>
        <v>490</v>
      </c>
      <c r="DJ50" s="14">
        <f>SUMIFS(DI$5:DI50,$CT$5:$CT50,"="&amp;$CT50)</f>
        <v>7110</v>
      </c>
      <c r="DK50" s="14" t="s">
        <v>540</v>
      </c>
      <c r="DL50" s="14">
        <f>INDEX(属性投放!$BM$6:$BM$85,(CV50-2)*20+CZ50)</f>
        <v>9800</v>
      </c>
      <c r="DM50" s="14">
        <f>SUMIFS(DL$5:DL50,$CT$5:$CT50,"="&amp;$CT50)</f>
        <v>136502</v>
      </c>
      <c r="DR50" s="14">
        <f t="shared" si="17"/>
        <v>1102003</v>
      </c>
      <c r="DS50" s="14" t="str">
        <f t="shared" si="18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19"/>
        <v>4</v>
      </c>
      <c r="DX50" s="14">
        <f t="shared" si="20"/>
        <v>6</v>
      </c>
      <c r="DY50" s="14">
        <f t="shared" si="21"/>
        <v>46</v>
      </c>
      <c r="DZ50" s="14">
        <f>INDEX(属性投放!$AX$6:$AX$85,(卡牌属性!DW50-2)*20+卡牌属性!DX50)</f>
        <v>5</v>
      </c>
      <c r="EA50" s="14">
        <f>INDEX(属性投放!BQ$6:BQ$85,卡牌属性!$DY50)</f>
        <v>160</v>
      </c>
      <c r="EB50" s="14">
        <f>INDEX(属性投放!BR$6:BR$85,卡牌属性!$DY50)</f>
        <v>80</v>
      </c>
      <c r="EC50" s="14">
        <f>INDEX(属性投放!BS$6:BS$85,卡牌属性!$DY50)</f>
        <v>1120</v>
      </c>
      <c r="ED50" s="14">
        <f t="shared" si="133"/>
        <v>1263</v>
      </c>
      <c r="EE50" s="14">
        <f t="shared" si="134"/>
        <v>1391</v>
      </c>
      <c r="EF50" s="14">
        <f t="shared" si="135"/>
        <v>1560</v>
      </c>
      <c r="EG50" s="14">
        <f t="shared" si="136"/>
        <v>1560</v>
      </c>
      <c r="EH50" s="14">
        <f t="shared" si="137"/>
        <v>1815</v>
      </c>
      <c r="EI50" s="14">
        <f t="shared" si="138"/>
        <v>487</v>
      </c>
      <c r="EJ50" s="14">
        <f t="shared" si="139"/>
        <v>592</v>
      </c>
      <c r="EK50" s="14">
        <f t="shared" si="140"/>
        <v>592</v>
      </c>
      <c r="EL50" s="14">
        <f t="shared" si="141"/>
        <v>658</v>
      </c>
      <c r="EM50" s="14">
        <f t="shared" si="142"/>
        <v>741</v>
      </c>
      <c r="EN50" s="14">
        <f t="shared" si="143"/>
        <v>6347</v>
      </c>
      <c r="EO50" s="14">
        <f t="shared" si="144"/>
        <v>7738</v>
      </c>
      <c r="EP50" s="14">
        <f t="shared" si="145"/>
        <v>7738</v>
      </c>
      <c r="EQ50" s="14">
        <f t="shared" si="146"/>
        <v>8440</v>
      </c>
      <c r="ER50" s="14">
        <f t="shared" si="147"/>
        <v>9405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91</v>
      </c>
      <c r="FD50" s="14">
        <f>INDEX(属性偏向!$U$4:$U$243,(卡牌属性!$DV50-1+FD$3)*20+卡牌属性!$DX50)</f>
        <v>140</v>
      </c>
      <c r="FE50" s="14">
        <f>INDEX(属性偏向!$U$4:$U$243,(卡牌属性!$DV50-1+FE$3)*20+卡牌属性!$DX50)</f>
        <v>140</v>
      </c>
      <c r="FF50" s="14">
        <f>INDEX(属性偏向!$U$4:$U$243,(卡牌属性!$DV50-1+FF$3)*20+卡牌属性!$DX50)</f>
        <v>154</v>
      </c>
      <c r="FG50" s="14">
        <f>INDEX(属性偏向!$U$4:$U$243,(卡牌属性!$DV50-1+FG$3)*20+卡牌属性!$DX50)</f>
        <v>175</v>
      </c>
      <c r="FH50" s="14">
        <f>INDEX(属性投放!$BQ$6:$BQ$85,(卡牌属性!$DW50-2)*20+卡牌属性!$DX50)</f>
        <v>160</v>
      </c>
      <c r="FI50" s="14">
        <f>INDEX(属性投放!$BQ$6:$BQ$85,(卡牌属性!$DW50-2)*20+卡牌属性!$DX50)</f>
        <v>160</v>
      </c>
      <c r="FJ50" s="14">
        <f>INDEX(属性投放!$BQ$6:$BQ$85,(卡牌属性!$DW50-2)*20+卡牌属性!$DX50)</f>
        <v>160</v>
      </c>
      <c r="FK50" s="14">
        <f>INDEX(属性投放!$BQ$6:$BQ$85,(卡牌属性!$DW50-2)*20+卡牌属性!$DX50)</f>
        <v>160</v>
      </c>
      <c r="FL50" s="14">
        <f>INDEX(属性投放!$BQ$6:$BQ$85,(卡牌属性!$DW50-2)*20+卡牌属性!$DX50)</f>
        <v>160</v>
      </c>
      <c r="FM50" s="14">
        <f>INDEX(属性投放!$BR$6:$BR$85,(卡牌属性!$DW50-2)*20+卡牌属性!$DX50)</f>
        <v>80</v>
      </c>
      <c r="FN50" s="14">
        <f>INDEX(属性投放!$BR$6:$BR$85,(卡牌属性!$DW50-2)*20+卡牌属性!$DX50)</f>
        <v>80</v>
      </c>
      <c r="FO50" s="14">
        <f>INDEX(属性投放!$BR$6:$BR$85,(卡牌属性!$DW50-2)*20+卡牌属性!$DX50)</f>
        <v>80</v>
      </c>
      <c r="FP50" s="14">
        <f>INDEX(属性投放!$BR$6:$BR$85,(卡牌属性!$DW50-2)*20+卡牌属性!$DX50)</f>
        <v>80</v>
      </c>
      <c r="FQ50" s="14">
        <f>INDEX(属性投放!$BR$6:$BR$85,(卡牌属性!$DW50-2)*20+卡牌属性!$DX50)</f>
        <v>80</v>
      </c>
      <c r="FR50" s="14">
        <f>INDEX(属性投放!$BS$6:$BS$85,(卡牌属性!$DW50-2)*20+卡牌属性!$DX50)</f>
        <v>1120</v>
      </c>
      <c r="FS50" s="14">
        <f>INDEX(属性投放!$BS$6:$BS$85,(卡牌属性!$DW50-2)*20+卡牌属性!$DX50)</f>
        <v>1120</v>
      </c>
      <c r="FT50" s="14">
        <f>INDEX(属性投放!$BS$6:$BS$85,(卡牌属性!$DW50-2)*20+卡牌属性!$DX50)</f>
        <v>1120</v>
      </c>
      <c r="FU50" s="14">
        <f>INDEX(属性投放!$BS$6:$BS$85,(卡牌属性!$DW50-2)*20+卡牌属性!$DX50)</f>
        <v>1120</v>
      </c>
      <c r="FV50" s="14">
        <f>INDEX(属性投放!$BS$6:$BS$85,(卡牌属性!$DW50-2)*20+卡牌属性!$DX50)</f>
        <v>1120</v>
      </c>
      <c r="FZ50" s="13">
        <v>46</v>
      </c>
      <c r="GA50" s="13">
        <f t="shared" si="121"/>
        <v>10</v>
      </c>
      <c r="GB50" s="14">
        <f t="shared" si="56"/>
        <v>1102010</v>
      </c>
      <c r="GC50" s="14" t="s">
        <v>1187</v>
      </c>
      <c r="GD50" s="14">
        <f t="shared" si="122"/>
        <v>1</v>
      </c>
      <c r="GE50" s="14" t="str">
        <f t="shared" si="123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4"/>
        <v>10</v>
      </c>
      <c r="GP50" s="14">
        <f t="shared" si="57"/>
        <v>1101010</v>
      </c>
      <c r="GQ50" s="14" t="s">
        <v>1187</v>
      </c>
      <c r="GR50" s="14">
        <f t="shared" si="125"/>
        <v>1</v>
      </c>
      <c r="GS50" s="14" t="str">
        <f t="shared" si="126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MATCH(HC50,属性投放!$AO$6:$AO$58,1)-1</f>
        <v>11</v>
      </c>
      <c r="HF50" s="13">
        <f>MATCH(HC50-1,属性投放!$AE$6:$AE$26,1)</f>
        <v>6</v>
      </c>
      <c r="HG50" s="13" t="str">
        <f>INDEX(属性投放!$AB$7:$AB$26,卡牌属性!HF50)</f>
        <v>众合+2</v>
      </c>
      <c r="HH50" s="14">
        <f t="shared" si="58"/>
        <v>1263</v>
      </c>
      <c r="HI50" s="14">
        <f t="shared" si="59"/>
        <v>487</v>
      </c>
      <c r="HJ50" s="14">
        <f t="shared" si="60"/>
        <v>6347</v>
      </c>
      <c r="HK50" s="14">
        <f t="shared" si="61"/>
        <v>20</v>
      </c>
      <c r="HL50" s="14">
        <f t="shared" si="62"/>
        <v>7</v>
      </c>
      <c r="HM50" s="14">
        <f t="shared" si="63"/>
        <v>91</v>
      </c>
      <c r="HN50" s="14">
        <f>HH50+HK50*($HC50-INDEX(属性投放!$AE$6:$AE$26,卡牌属性!$HF50))</f>
        <v>1343</v>
      </c>
      <c r="HO50" s="14">
        <f>HI50+HL50*($HC50-INDEX(属性投放!$AE$6:$AE$26,卡牌属性!$HF50))</f>
        <v>515</v>
      </c>
      <c r="HP50" s="14">
        <f>HJ50+HM50*($HC50-INDEX(属性投放!$AE$6:$AE$26,卡牌属性!$HF50))</f>
        <v>6711</v>
      </c>
      <c r="HQ50" s="14">
        <f t="shared" si="64"/>
        <v>475</v>
      </c>
      <c r="HR50" s="14">
        <f t="shared" si="65"/>
        <v>241</v>
      </c>
      <c r="HS50" s="14">
        <f t="shared" si="66"/>
        <v>3170</v>
      </c>
      <c r="HT50" s="14">
        <f>IF(COUNTIF(属性投放!$AO$7:$AO$58,"="&amp;卡牌属性!HC50)&gt;0,卡牌属性!HE50,0)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IF(COUNTIF(属性投放!$AE$6:$AE$26,"="&amp;卡牌属性!HC50)&gt;0,卡牌属性!HF50,0)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20</v>
      </c>
      <c r="IC50" s="14">
        <f t="shared" si="74"/>
        <v>7</v>
      </c>
      <c r="ID50" s="14">
        <f t="shared" si="75"/>
        <v>91</v>
      </c>
      <c r="IE50" s="14">
        <f t="shared" si="76"/>
        <v>1818</v>
      </c>
      <c r="IF50" s="14">
        <f t="shared" si="77"/>
        <v>756</v>
      </c>
      <c r="IG50" s="14">
        <f t="shared" si="78"/>
        <v>9881</v>
      </c>
      <c r="IH50" s="14">
        <f t="shared" si="79"/>
        <v>431</v>
      </c>
      <c r="II50" s="14">
        <f t="shared" si="80"/>
        <v>0</v>
      </c>
      <c r="IJ50" s="14">
        <f t="shared" si="81"/>
        <v>0</v>
      </c>
      <c r="IK50" s="14">
        <f t="shared" si="82"/>
        <v>43181</v>
      </c>
      <c r="IL50" s="17">
        <f t="shared" si="83"/>
        <v>9.981241749843682E-3</v>
      </c>
      <c r="IM50" s="17">
        <f t="shared" si="84"/>
        <v>0</v>
      </c>
      <c r="IN50" s="17">
        <f t="shared" si="85"/>
        <v>0</v>
      </c>
      <c r="IO50" s="23">
        <f>SUM(IH$5:IH50)</f>
        <v>17291</v>
      </c>
      <c r="IP50" s="14">
        <f>SUM(II$5:II50)</f>
        <v>12740</v>
      </c>
      <c r="IQ50" s="14">
        <f>SUM(IJ$5:IJ50)</f>
        <v>6740</v>
      </c>
      <c r="IR50" s="17">
        <f t="shared" si="86"/>
        <v>0.40043074500358955</v>
      </c>
      <c r="IS50" s="17">
        <f t="shared" si="87"/>
        <v>0.29503716912530975</v>
      </c>
      <c r="IT50" s="17">
        <f t="shared" si="88"/>
        <v>0.15608716796739305</v>
      </c>
      <c r="IW50" s="13">
        <v>46</v>
      </c>
      <c r="IX50" s="14">
        <f>MATCH(IW50-1,属性投放!$T$6:$T$66,1)</f>
        <v>3</v>
      </c>
      <c r="IY50" s="14">
        <f>MATCH(IW50-1,属性投放!$AD$7:$AD$26,1)</f>
        <v>6</v>
      </c>
      <c r="IZ50" s="14" t="str">
        <f>INDEX(属性投放!$AB$7:$AB$26,IY50)</f>
        <v>众合+2</v>
      </c>
      <c r="JA50" s="14">
        <f t="shared" si="89"/>
        <v>464</v>
      </c>
      <c r="JB50" s="14">
        <f t="shared" si="90"/>
        <v>182</v>
      </c>
      <c r="JC50" s="14">
        <f t="shared" si="91"/>
        <v>2534</v>
      </c>
      <c r="JD50" s="14">
        <f t="shared" si="92"/>
        <v>22</v>
      </c>
      <c r="JE50" s="14">
        <f t="shared" si="93"/>
        <v>11</v>
      </c>
      <c r="JF50" s="14">
        <f t="shared" si="94"/>
        <v>153</v>
      </c>
      <c r="JG50" s="14">
        <f>INDEX(属性投放!$DC$6:$DC$85,卡牌属性!IY50)</f>
        <v>20</v>
      </c>
      <c r="JH50" s="14">
        <f t="shared" si="95"/>
        <v>1036</v>
      </c>
      <c r="JI50" s="14">
        <f t="shared" si="96"/>
        <v>468</v>
      </c>
      <c r="JJ50" s="14">
        <f t="shared" si="97"/>
        <v>6512</v>
      </c>
      <c r="JK50" s="14">
        <f t="shared" si="98"/>
        <v>16372</v>
      </c>
    </row>
    <row r="51" spans="31:271" ht="16.5" x14ac:dyDescent="0.2">
      <c r="AE51" s="13">
        <v>47</v>
      </c>
      <c r="AF51" s="13">
        <f t="shared" si="31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142</v>
      </c>
      <c r="AM51" s="14">
        <v>1</v>
      </c>
      <c r="AN51" s="14">
        <f t="shared" si="5"/>
        <v>7</v>
      </c>
      <c r="AO51" s="14">
        <f>INDEX(属性投放!$DF$6:$DF$85,(卡牌属性!AG51-2)*20+卡牌属性!AN51)</f>
        <v>1489</v>
      </c>
      <c r="AP51" s="14">
        <f t="shared" si="127"/>
        <v>1489</v>
      </c>
      <c r="AQ51" s="14">
        <f t="shared" si="127"/>
        <v>1489</v>
      </c>
      <c r="AR51" s="14">
        <f t="shared" si="127"/>
        <v>1489</v>
      </c>
      <c r="AS51" s="14">
        <f t="shared" si="127"/>
        <v>1489</v>
      </c>
      <c r="AT51" s="14">
        <f>INDEX(属性投放!$DG$6:$DG$85,(卡牌属性!AG51-2)*20+卡牌属性!AN51)</f>
        <v>666</v>
      </c>
      <c r="AU51" s="14">
        <f t="shared" si="128"/>
        <v>666</v>
      </c>
      <c r="AV51" s="14">
        <f t="shared" si="128"/>
        <v>666</v>
      </c>
      <c r="AW51" s="14">
        <f t="shared" si="128"/>
        <v>666</v>
      </c>
      <c r="AX51" s="14">
        <f t="shared" si="128"/>
        <v>666</v>
      </c>
      <c r="AY51" s="14">
        <f>INDEX(属性投放!$DH$6:$DH$85,(卡牌属性!AG51-2)*20+卡牌属性!AN51)</f>
        <v>9361</v>
      </c>
      <c r="AZ51" s="14">
        <f t="shared" si="129"/>
        <v>9361</v>
      </c>
      <c r="BA51" s="14">
        <f t="shared" si="129"/>
        <v>9361</v>
      </c>
      <c r="BB51" s="14">
        <f t="shared" si="129"/>
        <v>9361</v>
      </c>
      <c r="BC51" s="14">
        <f t="shared" si="129"/>
        <v>9361</v>
      </c>
      <c r="BD51" s="14">
        <f>INDEX(属性投放!$DL$6:$DL$85,(卡牌属性!AG51-2)*20+卡牌属性!AN51)</f>
        <v>46</v>
      </c>
      <c r="BE51" s="14">
        <f t="shared" si="130"/>
        <v>46</v>
      </c>
      <c r="BF51" s="14">
        <f t="shared" si="130"/>
        <v>46</v>
      </c>
      <c r="BG51" s="14">
        <f t="shared" si="130"/>
        <v>46</v>
      </c>
      <c r="BH51" s="14">
        <f t="shared" si="130"/>
        <v>46</v>
      </c>
      <c r="BI51" s="14">
        <f>INDEX(属性投放!$DM$6:$DM$85,(卡牌属性!AG51-2)*20+卡牌属性!AN51)</f>
        <v>24</v>
      </c>
      <c r="BJ51" s="14">
        <f t="shared" si="131"/>
        <v>24</v>
      </c>
      <c r="BK51" s="14">
        <f t="shared" si="131"/>
        <v>24</v>
      </c>
      <c r="BL51" s="14">
        <f t="shared" si="131"/>
        <v>24</v>
      </c>
      <c r="BM51" s="14">
        <f t="shared" si="131"/>
        <v>24</v>
      </c>
      <c r="BN51" s="14">
        <f>INDEX(属性投放!$DN$6:$DN$85,(卡牌属性!AG51-2)*20+卡牌属性!AN51)</f>
        <v>371</v>
      </c>
      <c r="BO51" s="14">
        <f t="shared" si="132"/>
        <v>371</v>
      </c>
      <c r="BP51" s="14">
        <f t="shared" si="132"/>
        <v>371</v>
      </c>
      <c r="BQ51" s="14">
        <f t="shared" si="132"/>
        <v>371</v>
      </c>
      <c r="BR51" s="14">
        <f t="shared" si="132"/>
        <v>371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32"/>
        <v>1102003</v>
      </c>
      <c r="CA51" s="14" t="str">
        <f t="shared" si="33"/>
        <v>典韦7突</v>
      </c>
      <c r="CB51" s="25" t="s">
        <v>142</v>
      </c>
      <c r="CC51" s="14">
        <v>2</v>
      </c>
      <c r="CD51" s="14">
        <f t="shared" si="14"/>
        <v>7</v>
      </c>
      <c r="CE51" s="14" t="s">
        <v>21</v>
      </c>
      <c r="CF51" s="14">
        <f>INDEX(属性投放!$AZ$6:$AZ$85,(BY51-2)*20+CD51)</f>
        <v>1998</v>
      </c>
      <c r="CG51" s="14" t="s">
        <v>22</v>
      </c>
      <c r="CH51" s="14">
        <f>INDEX(属性投放!$BA$6:$BA$85,(BY51-2)*20+CD51)</f>
        <v>938</v>
      </c>
      <c r="CI51" s="14" t="s">
        <v>510</v>
      </c>
      <c r="CJ51" s="14">
        <f>INDEX(属性投放!$BB$6:$BB$85,(BY51-2)*20+CD51)</f>
        <v>12728</v>
      </c>
      <c r="CK51" s="14" t="s">
        <v>21</v>
      </c>
      <c r="CL51" s="14">
        <f>INDEX(属性投放!$BC$6:$BC$85,(BY51-2)*20+CD51)</f>
        <v>25</v>
      </c>
      <c r="CM51" s="14" t="s">
        <v>22</v>
      </c>
      <c r="CN51" s="14">
        <f>INDEX(属性投放!$BD$6:$BD$85,(BY51-2)*20+CD51)</f>
        <v>13</v>
      </c>
      <c r="CO51" s="14" t="s">
        <v>510</v>
      </c>
      <c r="CP51" s="14">
        <f>INDEX(属性投放!$BE$6:$BE$85,(BY51-2)*20+CD51)</f>
        <v>200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INDEX($O$6:$O$50,CT51)&amp;"-"&amp;INDEX(属性投放!$AB$7:$AB$50,CZ51)&amp;"-魂火-"&amp;DB51</f>
        <v>关羽-无间-魂火-2</v>
      </c>
      <c r="CY51" s="25" t="s">
        <v>142</v>
      </c>
      <c r="CZ51" s="14">
        <f>INDEX(属性投放!$AM$7:$AM$58,CU51)</f>
        <v>19</v>
      </c>
      <c r="DA51" s="14" t="s">
        <v>537</v>
      </c>
      <c r="DB51" s="14">
        <f>INDEX(属性投放!$AN$7:$AN$58,CU51)</f>
        <v>2</v>
      </c>
      <c r="DC51" s="14">
        <f t="shared" si="16"/>
        <v>47</v>
      </c>
      <c r="DD51" s="14">
        <f>INDEX(属性投放!$AO$7:$AO$58,DC51)</f>
        <v>135</v>
      </c>
      <c r="DE51" s="14" t="s">
        <v>538</v>
      </c>
      <c r="DF51" s="14">
        <f>INDEX(属性投放!$BK$6:$BK$85,(CV51-2)*20+CZ51)</f>
        <v>980</v>
      </c>
      <c r="DG51" s="14">
        <f>SUMIFS(DF$5:DF51,$CT$5:$CT51,"="&amp;$CT51)</f>
        <v>15189</v>
      </c>
      <c r="DH51" s="14" t="s">
        <v>539</v>
      </c>
      <c r="DI51" s="14">
        <f>INDEX(属性投放!$BL$6:$BL$85,(CV51-2)*20+CZ51)</f>
        <v>490</v>
      </c>
      <c r="DJ51" s="14">
        <f>SUMIFS(DI$5:DI51,$CT$5:$CT51,"="&amp;$CT51)</f>
        <v>7600</v>
      </c>
      <c r="DK51" s="14" t="s">
        <v>540</v>
      </c>
      <c r="DL51" s="14">
        <f>INDEX(属性投放!$BM$6:$BM$85,(CV51-2)*20+CZ51)</f>
        <v>9800</v>
      </c>
      <c r="DM51" s="14">
        <f>SUMIFS(DL$5:DL51,$CT$5:$CT51,"="&amp;$CT51)</f>
        <v>146302</v>
      </c>
      <c r="DR51" s="14">
        <f t="shared" si="17"/>
        <v>1102003</v>
      </c>
      <c r="DS51" s="14" t="str">
        <f t="shared" si="18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19"/>
        <v>4</v>
      </c>
      <c r="DX51" s="14">
        <f t="shared" si="20"/>
        <v>7</v>
      </c>
      <c r="DY51" s="14">
        <f t="shared" si="21"/>
        <v>47</v>
      </c>
      <c r="DZ51" s="14">
        <f>INDEX(属性投放!$AX$6:$AX$85,(卡牌属性!DW51-2)*20+卡牌属性!DX51)</f>
        <v>5</v>
      </c>
      <c r="EA51" s="14">
        <f>INDEX(属性投放!BQ$6:BQ$85,卡牌属性!$DY51)</f>
        <v>165</v>
      </c>
      <c r="EB51" s="14">
        <f>INDEX(属性投放!BR$6:BR$85,卡牌属性!$DY51)</f>
        <v>83</v>
      </c>
      <c r="EC51" s="14">
        <f>INDEX(属性投放!BS$6:BS$85,卡牌属性!$DY51)</f>
        <v>1320</v>
      </c>
      <c r="ED51" s="14">
        <f t="shared" si="133"/>
        <v>1523</v>
      </c>
      <c r="EE51" s="14">
        <f t="shared" si="134"/>
        <v>1661</v>
      </c>
      <c r="EF51" s="14">
        <f t="shared" si="135"/>
        <v>1845</v>
      </c>
      <c r="EG51" s="14">
        <f t="shared" si="136"/>
        <v>1845</v>
      </c>
      <c r="EH51" s="14">
        <f t="shared" si="137"/>
        <v>2125</v>
      </c>
      <c r="EI51" s="14">
        <f t="shared" si="138"/>
        <v>602</v>
      </c>
      <c r="EJ51" s="14">
        <f t="shared" si="139"/>
        <v>722</v>
      </c>
      <c r="EK51" s="14">
        <f t="shared" si="140"/>
        <v>722</v>
      </c>
      <c r="EL51" s="14">
        <f t="shared" si="141"/>
        <v>793</v>
      </c>
      <c r="EM51" s="14">
        <f t="shared" si="142"/>
        <v>886</v>
      </c>
      <c r="EN51" s="14">
        <f t="shared" si="143"/>
        <v>7922</v>
      </c>
      <c r="EO51" s="14">
        <f t="shared" si="144"/>
        <v>9558</v>
      </c>
      <c r="EP51" s="14">
        <f t="shared" si="145"/>
        <v>9558</v>
      </c>
      <c r="EQ51" s="14">
        <f t="shared" si="146"/>
        <v>10330</v>
      </c>
      <c r="ER51" s="14">
        <f t="shared" si="147"/>
        <v>11400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128</v>
      </c>
      <c r="FD51" s="14">
        <f>INDEX(属性偏向!$U$4:$U$243,(卡牌属性!$DV51-1+FD$3)*20+卡牌属性!$DX51)</f>
        <v>200</v>
      </c>
      <c r="FE51" s="14">
        <f>INDEX(属性偏向!$U$4:$U$243,(卡牌属性!$DV51-1+FE$3)*20+卡牌属性!$DX51)</f>
        <v>200</v>
      </c>
      <c r="FF51" s="14">
        <f>INDEX(属性偏向!$U$4:$U$243,(卡牌属性!$DV51-1+FF$3)*20+卡牌属性!$DX51)</f>
        <v>224</v>
      </c>
      <c r="FG51" s="14">
        <f>INDEX(属性偏向!$U$4:$U$243,(卡牌属性!$DV51-1+FG$3)*20+卡牌属性!$DX51)</f>
        <v>240</v>
      </c>
      <c r="FH51" s="14">
        <f>INDEX(属性投放!$BQ$6:$BQ$85,(卡牌属性!$DW51-2)*20+卡牌属性!$DX51)</f>
        <v>165</v>
      </c>
      <c r="FI51" s="14">
        <f>INDEX(属性投放!$BQ$6:$BQ$85,(卡牌属性!$DW51-2)*20+卡牌属性!$DX51)</f>
        <v>165</v>
      </c>
      <c r="FJ51" s="14">
        <f>INDEX(属性投放!$BQ$6:$BQ$85,(卡牌属性!$DW51-2)*20+卡牌属性!$DX51)</f>
        <v>165</v>
      </c>
      <c r="FK51" s="14">
        <f>INDEX(属性投放!$BQ$6:$BQ$85,(卡牌属性!$DW51-2)*20+卡牌属性!$DX51)</f>
        <v>165</v>
      </c>
      <c r="FL51" s="14">
        <f>INDEX(属性投放!$BQ$6:$BQ$85,(卡牌属性!$DW51-2)*20+卡牌属性!$DX51)</f>
        <v>165</v>
      </c>
      <c r="FM51" s="14">
        <f>INDEX(属性投放!$BR$6:$BR$85,(卡牌属性!$DW51-2)*20+卡牌属性!$DX51)</f>
        <v>83</v>
      </c>
      <c r="FN51" s="14">
        <f>INDEX(属性投放!$BR$6:$BR$85,(卡牌属性!$DW51-2)*20+卡牌属性!$DX51)</f>
        <v>83</v>
      </c>
      <c r="FO51" s="14">
        <f>INDEX(属性投放!$BR$6:$BR$85,(卡牌属性!$DW51-2)*20+卡牌属性!$DX51)</f>
        <v>83</v>
      </c>
      <c r="FP51" s="14">
        <f>INDEX(属性投放!$BR$6:$BR$85,(卡牌属性!$DW51-2)*20+卡牌属性!$DX51)</f>
        <v>83</v>
      </c>
      <c r="FQ51" s="14">
        <f>INDEX(属性投放!$BR$6:$BR$85,(卡牌属性!$DW51-2)*20+卡牌属性!$DX51)</f>
        <v>83</v>
      </c>
      <c r="FR51" s="14">
        <f>INDEX(属性投放!$BS$6:$BS$85,(卡牌属性!$DW51-2)*20+卡牌属性!$DX51)</f>
        <v>1320</v>
      </c>
      <c r="FS51" s="14">
        <f>INDEX(属性投放!$BS$6:$BS$85,(卡牌属性!$DW51-2)*20+卡牌属性!$DX51)</f>
        <v>1320</v>
      </c>
      <c r="FT51" s="14">
        <f>INDEX(属性投放!$BS$6:$BS$85,(卡牌属性!$DW51-2)*20+卡牌属性!$DX51)</f>
        <v>1320</v>
      </c>
      <c r="FU51" s="14">
        <f>INDEX(属性投放!$BS$6:$BS$85,(卡牌属性!$DW51-2)*20+卡牌属性!$DX51)</f>
        <v>1320</v>
      </c>
      <c r="FV51" s="14">
        <f>INDEX(属性投放!$BS$6:$BS$85,(卡牌属性!$DW51-2)*20+卡牌属性!$DX51)</f>
        <v>1320</v>
      </c>
      <c r="FZ51" s="13">
        <v>47</v>
      </c>
      <c r="GA51" s="13">
        <f t="shared" si="121"/>
        <v>10</v>
      </c>
      <c r="GB51" s="14">
        <f t="shared" si="56"/>
        <v>1102010</v>
      </c>
      <c r="GC51" s="14" t="s">
        <v>1187</v>
      </c>
      <c r="GD51" s="14">
        <f t="shared" si="122"/>
        <v>2</v>
      </c>
      <c r="GE51" s="14" t="str">
        <f t="shared" si="123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4"/>
        <v>10</v>
      </c>
      <c r="GP51" s="14">
        <f t="shared" si="57"/>
        <v>1101010</v>
      </c>
      <c r="GQ51" s="14" t="s">
        <v>1187</v>
      </c>
      <c r="GR51" s="14">
        <f t="shared" si="125"/>
        <v>2</v>
      </c>
      <c r="GS51" s="14" t="str">
        <f t="shared" si="126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MATCH(HC51,属性投放!$AO$6:$AO$58,1)-1</f>
        <v>11</v>
      </c>
      <c r="HF51" s="13">
        <f>MATCH(HC51-1,属性投放!$AE$6:$AE$26,1)</f>
        <v>6</v>
      </c>
      <c r="HG51" s="13" t="str">
        <f>INDEX(属性投放!$AB$7:$AB$26,卡牌属性!HF51)</f>
        <v>众合+2</v>
      </c>
      <c r="HH51" s="14">
        <f t="shared" si="58"/>
        <v>1263</v>
      </c>
      <c r="HI51" s="14">
        <f t="shared" si="59"/>
        <v>487</v>
      </c>
      <c r="HJ51" s="14">
        <f t="shared" si="60"/>
        <v>6347</v>
      </c>
      <c r="HK51" s="14">
        <f t="shared" si="61"/>
        <v>20</v>
      </c>
      <c r="HL51" s="14">
        <f t="shared" si="62"/>
        <v>7</v>
      </c>
      <c r="HM51" s="14">
        <f t="shared" si="63"/>
        <v>91</v>
      </c>
      <c r="HN51" s="14">
        <f>HH51+HK51*($HC51-INDEX(属性投放!$AE$6:$AE$26,卡牌属性!$HF51))</f>
        <v>1363</v>
      </c>
      <c r="HO51" s="14">
        <f>HI51+HL51*($HC51-INDEX(属性投放!$AE$6:$AE$26,卡牌属性!$HF51))</f>
        <v>522</v>
      </c>
      <c r="HP51" s="14">
        <f>HJ51+HM51*($HC51-INDEX(属性投放!$AE$6:$AE$26,卡牌属性!$HF51))</f>
        <v>6802</v>
      </c>
      <c r="HQ51" s="14">
        <f t="shared" si="64"/>
        <v>475</v>
      </c>
      <c r="HR51" s="14">
        <f t="shared" si="65"/>
        <v>241</v>
      </c>
      <c r="HS51" s="14">
        <f t="shared" si="66"/>
        <v>3170</v>
      </c>
      <c r="HT51" s="14">
        <f>IF(COUNTIF(属性投放!$AO$7:$AO$58,"="&amp;卡牌属性!HC51)&gt;0,卡牌属性!HE51,0)</f>
        <v>0</v>
      </c>
      <c r="HU51" s="14">
        <f t="shared" si="67"/>
        <v>0</v>
      </c>
      <c r="HV51" s="14">
        <f t="shared" si="68"/>
        <v>0</v>
      </c>
      <c r="HW51" s="14">
        <f t="shared" si="69"/>
        <v>0</v>
      </c>
      <c r="HX51" s="14">
        <f>IF(COUNTIF(属性投放!$AE$6:$AE$26,"="&amp;卡牌属性!HC51)&gt;0,卡牌属性!HF51,0)</f>
        <v>6</v>
      </c>
      <c r="HY51" s="14">
        <f t="shared" si="70"/>
        <v>120</v>
      </c>
      <c r="HZ51" s="14">
        <f t="shared" si="71"/>
        <v>60</v>
      </c>
      <c r="IA51" s="14">
        <f t="shared" si="72"/>
        <v>840</v>
      </c>
      <c r="IB51" s="14">
        <f t="shared" si="73"/>
        <v>20</v>
      </c>
      <c r="IC51" s="14">
        <f t="shared" si="74"/>
        <v>7</v>
      </c>
      <c r="ID51" s="14">
        <f t="shared" si="75"/>
        <v>91</v>
      </c>
      <c r="IE51" s="14">
        <f t="shared" si="76"/>
        <v>1838</v>
      </c>
      <c r="IF51" s="14">
        <f t="shared" si="77"/>
        <v>763</v>
      </c>
      <c r="IG51" s="14">
        <f t="shared" si="78"/>
        <v>9972</v>
      </c>
      <c r="IH51" s="14">
        <f t="shared" si="79"/>
        <v>431</v>
      </c>
      <c r="II51" s="14">
        <f t="shared" si="80"/>
        <v>0</v>
      </c>
      <c r="IJ51" s="14">
        <f t="shared" si="81"/>
        <v>3240</v>
      </c>
      <c r="IK51" s="14">
        <f t="shared" si="82"/>
        <v>43612</v>
      </c>
      <c r="IL51" s="17">
        <f t="shared" si="83"/>
        <v>9.8826011189580842E-3</v>
      </c>
      <c r="IM51" s="17">
        <f t="shared" si="84"/>
        <v>0</v>
      </c>
      <c r="IN51" s="17">
        <f t="shared" si="85"/>
        <v>7.4291479409336877E-2</v>
      </c>
      <c r="IO51" s="23">
        <f>SUM(IH$5:IH51)</f>
        <v>17722</v>
      </c>
      <c r="IP51" s="14">
        <f>SUM(II$5:II51)</f>
        <v>12740</v>
      </c>
      <c r="IQ51" s="14">
        <f>SUM(IJ$5:IJ51)</f>
        <v>9980</v>
      </c>
      <c r="IR51" s="17">
        <f t="shared" si="86"/>
        <v>0.40635604879390991</v>
      </c>
      <c r="IS51" s="17">
        <f t="shared" si="87"/>
        <v>0.29212143446757771</v>
      </c>
      <c r="IT51" s="17">
        <f t="shared" si="88"/>
        <v>0.2288361001559204</v>
      </c>
      <c r="IW51" s="13">
        <v>47</v>
      </c>
      <c r="IX51" s="14">
        <f>MATCH(IW51-1,属性投放!$T$6:$T$66,1)</f>
        <v>3</v>
      </c>
      <c r="IY51" s="14">
        <f>MATCH(IW51-1,属性投放!$AD$7:$AD$26,1)</f>
        <v>6</v>
      </c>
      <c r="IZ51" s="14" t="str">
        <f>INDEX(属性投放!$AB$7:$AB$26,IY51)</f>
        <v>众合+2</v>
      </c>
      <c r="JA51" s="14">
        <f t="shared" si="89"/>
        <v>464</v>
      </c>
      <c r="JB51" s="14">
        <f t="shared" si="90"/>
        <v>182</v>
      </c>
      <c r="JC51" s="14">
        <f t="shared" si="91"/>
        <v>2534</v>
      </c>
      <c r="JD51" s="14">
        <f t="shared" si="92"/>
        <v>22</v>
      </c>
      <c r="JE51" s="14">
        <f t="shared" si="93"/>
        <v>11</v>
      </c>
      <c r="JF51" s="14">
        <f t="shared" si="94"/>
        <v>153</v>
      </c>
      <c r="JG51" s="14">
        <f>INDEX(属性投放!$DC$6:$DC$85,卡牌属性!IY51)</f>
        <v>20</v>
      </c>
      <c r="JH51" s="14">
        <f t="shared" si="95"/>
        <v>1058</v>
      </c>
      <c r="JI51" s="14">
        <f t="shared" si="96"/>
        <v>479</v>
      </c>
      <c r="JJ51" s="14">
        <f t="shared" si="97"/>
        <v>6665</v>
      </c>
      <c r="JK51" s="14">
        <f t="shared" si="98"/>
        <v>16745</v>
      </c>
    </row>
    <row r="52" spans="31:271" ht="16.5" x14ac:dyDescent="0.2">
      <c r="AE52" s="13">
        <v>48</v>
      </c>
      <c r="AF52" s="13">
        <f t="shared" si="31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142</v>
      </c>
      <c r="AM52" s="14">
        <v>1</v>
      </c>
      <c r="AN52" s="14">
        <f t="shared" si="5"/>
        <v>8</v>
      </c>
      <c r="AO52" s="14">
        <f>INDEX(属性投放!$DF$6:$DF$85,(卡牌属性!AG52-2)*20+卡牌属性!AN52)</f>
        <v>1622</v>
      </c>
      <c r="AP52" s="14">
        <f t="shared" si="127"/>
        <v>1622</v>
      </c>
      <c r="AQ52" s="14">
        <f t="shared" si="127"/>
        <v>1622</v>
      </c>
      <c r="AR52" s="14">
        <f t="shared" si="127"/>
        <v>1622</v>
      </c>
      <c r="AS52" s="14">
        <f t="shared" si="127"/>
        <v>1622</v>
      </c>
      <c r="AT52" s="14">
        <f>INDEX(属性投放!$DG$6:$DG$85,(卡牌属性!AG52-2)*20+卡牌属性!AN52)</f>
        <v>733</v>
      </c>
      <c r="AU52" s="14">
        <f t="shared" si="128"/>
        <v>733</v>
      </c>
      <c r="AV52" s="14">
        <f t="shared" si="128"/>
        <v>733</v>
      </c>
      <c r="AW52" s="14">
        <f t="shared" si="128"/>
        <v>733</v>
      </c>
      <c r="AX52" s="14">
        <f t="shared" si="128"/>
        <v>733</v>
      </c>
      <c r="AY52" s="14">
        <f>INDEX(属性投放!$DH$6:$DH$85,(卡牌属性!AG52-2)*20+卡牌属性!AN52)</f>
        <v>10421</v>
      </c>
      <c r="AZ52" s="14">
        <f t="shared" si="129"/>
        <v>10421</v>
      </c>
      <c r="BA52" s="14">
        <f t="shared" si="129"/>
        <v>10421</v>
      </c>
      <c r="BB52" s="14">
        <f t="shared" si="129"/>
        <v>10421</v>
      </c>
      <c r="BC52" s="14">
        <f t="shared" si="129"/>
        <v>10421</v>
      </c>
      <c r="BD52" s="14">
        <f>INDEX(属性投放!$DL$6:$DL$85,(卡牌属性!AG52-2)*20+卡牌属性!AN52)</f>
        <v>46</v>
      </c>
      <c r="BE52" s="14">
        <f t="shared" si="130"/>
        <v>46</v>
      </c>
      <c r="BF52" s="14">
        <f t="shared" si="130"/>
        <v>46</v>
      </c>
      <c r="BG52" s="14">
        <f t="shared" si="130"/>
        <v>46</v>
      </c>
      <c r="BH52" s="14">
        <f t="shared" si="130"/>
        <v>46</v>
      </c>
      <c r="BI52" s="14">
        <f>INDEX(属性投放!$DM$6:$DM$85,(卡牌属性!AG52-2)*20+卡牌属性!AN52)</f>
        <v>24</v>
      </c>
      <c r="BJ52" s="14">
        <f t="shared" si="131"/>
        <v>24</v>
      </c>
      <c r="BK52" s="14">
        <f t="shared" si="131"/>
        <v>24</v>
      </c>
      <c r="BL52" s="14">
        <f t="shared" si="131"/>
        <v>24</v>
      </c>
      <c r="BM52" s="14">
        <f t="shared" si="131"/>
        <v>24</v>
      </c>
      <c r="BN52" s="14">
        <f>INDEX(属性投放!$DN$6:$DN$85,(卡牌属性!AG52-2)*20+卡牌属性!AN52)</f>
        <v>371</v>
      </c>
      <c r="BO52" s="14">
        <f t="shared" si="132"/>
        <v>371</v>
      </c>
      <c r="BP52" s="14">
        <f t="shared" si="132"/>
        <v>371</v>
      </c>
      <c r="BQ52" s="14">
        <f t="shared" si="132"/>
        <v>371</v>
      </c>
      <c r="BR52" s="14">
        <f t="shared" si="132"/>
        <v>371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32"/>
        <v>1102003</v>
      </c>
      <c r="CA52" s="14" t="str">
        <f t="shared" si="33"/>
        <v>典韦8突</v>
      </c>
      <c r="CB52" s="25" t="s">
        <v>142</v>
      </c>
      <c r="CC52" s="14">
        <v>2</v>
      </c>
      <c r="CD52" s="14">
        <f t="shared" si="14"/>
        <v>8</v>
      </c>
      <c r="CE52" s="14" t="s">
        <v>21</v>
      </c>
      <c r="CF52" s="14">
        <f>INDEX(属性投放!$AZ$6:$AZ$85,(BY52-2)*20+CD52)</f>
        <v>2448</v>
      </c>
      <c r="CG52" s="14" t="s">
        <v>22</v>
      </c>
      <c r="CH52" s="14">
        <f>INDEX(属性投放!$BA$6:$BA$85,(BY52-2)*20+CD52)</f>
        <v>1166</v>
      </c>
      <c r="CI52" s="14" t="s">
        <v>510</v>
      </c>
      <c r="CJ52" s="14">
        <f>INDEX(属性投放!$BB$6:$BB$85,(BY52-2)*20+CD52)</f>
        <v>16328</v>
      </c>
      <c r="CK52" s="14" t="s">
        <v>21</v>
      </c>
      <c r="CL52" s="14">
        <f>INDEX(属性投放!$BC$6:$BC$85,(BY52-2)*20+CD52)</f>
        <v>25</v>
      </c>
      <c r="CM52" s="14" t="s">
        <v>22</v>
      </c>
      <c r="CN52" s="14">
        <f>INDEX(属性投放!$BD$6:$BD$85,(BY52-2)*20+CD52)</f>
        <v>13</v>
      </c>
      <c r="CO52" s="14" t="s">
        <v>510</v>
      </c>
      <c r="CP52" s="14">
        <f>INDEX(属性投放!$BE$6:$BE$85,(BY52-2)*20+CD52)</f>
        <v>200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INDEX($O$6:$O$50,CT52)&amp;"-"&amp;INDEX(属性投放!$AB$7:$AB$50,CZ52)&amp;"-魂火-"&amp;DB52</f>
        <v>关羽-无间-魂火-3</v>
      </c>
      <c r="CY52" s="25" t="s">
        <v>142</v>
      </c>
      <c r="CZ52" s="14">
        <f>INDEX(属性投放!$AM$7:$AM$58,CU52)</f>
        <v>19</v>
      </c>
      <c r="DA52" s="14" t="s">
        <v>537</v>
      </c>
      <c r="DB52" s="14">
        <f>INDEX(属性投放!$AN$7:$AN$58,CU52)</f>
        <v>3</v>
      </c>
      <c r="DC52" s="14">
        <f t="shared" si="16"/>
        <v>48</v>
      </c>
      <c r="DD52" s="14">
        <f>INDEX(属性投放!$AO$7:$AO$58,DC52)</f>
        <v>138</v>
      </c>
      <c r="DE52" s="14" t="s">
        <v>538</v>
      </c>
      <c r="DF52" s="14">
        <f>INDEX(属性投放!$BK$6:$BK$85,(CV52-2)*20+CZ52)</f>
        <v>980</v>
      </c>
      <c r="DG52" s="14">
        <f>SUMIFS(DF$5:DF52,$CT$5:$CT52,"="&amp;$CT52)</f>
        <v>16169</v>
      </c>
      <c r="DH52" s="14" t="s">
        <v>539</v>
      </c>
      <c r="DI52" s="14">
        <f>INDEX(属性投放!$BL$6:$BL$85,(CV52-2)*20+CZ52)</f>
        <v>490</v>
      </c>
      <c r="DJ52" s="14">
        <f>SUMIFS(DI$5:DI52,$CT$5:$CT52,"="&amp;$CT52)</f>
        <v>8090</v>
      </c>
      <c r="DK52" s="14" t="s">
        <v>540</v>
      </c>
      <c r="DL52" s="14">
        <f>INDEX(属性投放!$BM$6:$BM$85,(CV52-2)*20+CZ52)</f>
        <v>9800</v>
      </c>
      <c r="DM52" s="14">
        <f>SUMIFS(DL$5:DL52,$CT$5:$CT52,"="&amp;$CT52)</f>
        <v>156102</v>
      </c>
      <c r="DR52" s="14">
        <f t="shared" si="17"/>
        <v>1102003</v>
      </c>
      <c r="DS52" s="14" t="str">
        <f t="shared" si="18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19"/>
        <v>4</v>
      </c>
      <c r="DX52" s="14">
        <f t="shared" si="20"/>
        <v>8</v>
      </c>
      <c r="DY52" s="14">
        <f t="shared" si="21"/>
        <v>48</v>
      </c>
      <c r="DZ52" s="14">
        <f>INDEX(属性投放!$AX$6:$AX$85,(卡牌属性!DW52-2)*20+卡牌属性!DX52)</f>
        <v>5</v>
      </c>
      <c r="EA52" s="14">
        <f>INDEX(属性投放!BQ$6:BQ$85,卡牌属性!$DY52)</f>
        <v>125</v>
      </c>
      <c r="EB52" s="14">
        <f>INDEX(属性投放!BR$6:BR$85,卡牌属性!$DY52)</f>
        <v>63</v>
      </c>
      <c r="EC52" s="14">
        <f>INDEX(属性投放!BS$6:BS$85,卡牌属性!$DY52)</f>
        <v>1000</v>
      </c>
      <c r="ED52" s="14">
        <f t="shared" si="133"/>
        <v>1813</v>
      </c>
      <c r="EE52" s="14">
        <f t="shared" si="134"/>
        <v>1966</v>
      </c>
      <c r="EF52" s="14">
        <f t="shared" si="135"/>
        <v>2160</v>
      </c>
      <c r="EG52" s="14">
        <f t="shared" si="136"/>
        <v>2160</v>
      </c>
      <c r="EH52" s="14">
        <f t="shared" si="137"/>
        <v>2490</v>
      </c>
      <c r="EI52" s="14">
        <f t="shared" si="138"/>
        <v>725</v>
      </c>
      <c r="EJ52" s="14">
        <f t="shared" si="139"/>
        <v>870</v>
      </c>
      <c r="EK52" s="14">
        <f t="shared" si="140"/>
        <v>870</v>
      </c>
      <c r="EL52" s="14">
        <f t="shared" si="141"/>
        <v>946</v>
      </c>
      <c r="EM52" s="14">
        <f t="shared" si="142"/>
        <v>1044</v>
      </c>
      <c r="EN52" s="14">
        <f t="shared" si="143"/>
        <v>9882</v>
      </c>
      <c r="EO52" s="14">
        <f t="shared" si="144"/>
        <v>11878</v>
      </c>
      <c r="EP52" s="14">
        <f t="shared" si="145"/>
        <v>11878</v>
      </c>
      <c r="EQ52" s="14">
        <f t="shared" si="146"/>
        <v>12770</v>
      </c>
      <c r="ER52" s="14">
        <f t="shared" si="147"/>
        <v>13920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128</v>
      </c>
      <c r="FD52" s="14">
        <f>INDEX(属性偏向!$U$4:$U$243,(卡牌属性!$DV52-1+FD$3)*20+卡牌属性!$DX52)</f>
        <v>200</v>
      </c>
      <c r="FE52" s="14">
        <f>INDEX(属性偏向!$U$4:$U$243,(卡牌属性!$DV52-1+FE$3)*20+卡牌属性!$DX52)</f>
        <v>200</v>
      </c>
      <c r="FF52" s="14">
        <f>INDEX(属性偏向!$U$4:$U$243,(卡牌属性!$DV52-1+FF$3)*20+卡牌属性!$DX52)</f>
        <v>224</v>
      </c>
      <c r="FG52" s="14">
        <f>INDEX(属性偏向!$U$4:$U$243,(卡牌属性!$DV52-1+FG$3)*20+卡牌属性!$DX52)</f>
        <v>240</v>
      </c>
      <c r="FH52" s="14">
        <f>INDEX(属性投放!$BQ$6:$BQ$85,(卡牌属性!$DW52-2)*20+卡牌属性!$DX52)</f>
        <v>125</v>
      </c>
      <c r="FI52" s="14">
        <f>INDEX(属性投放!$BQ$6:$BQ$85,(卡牌属性!$DW52-2)*20+卡牌属性!$DX52)</f>
        <v>125</v>
      </c>
      <c r="FJ52" s="14">
        <f>INDEX(属性投放!$BQ$6:$BQ$85,(卡牌属性!$DW52-2)*20+卡牌属性!$DX52)</f>
        <v>125</v>
      </c>
      <c r="FK52" s="14">
        <f>INDEX(属性投放!$BQ$6:$BQ$85,(卡牌属性!$DW52-2)*20+卡牌属性!$DX52)</f>
        <v>125</v>
      </c>
      <c r="FL52" s="14">
        <f>INDEX(属性投放!$BQ$6:$BQ$85,(卡牌属性!$DW52-2)*20+卡牌属性!$DX52)</f>
        <v>125</v>
      </c>
      <c r="FM52" s="14">
        <f>INDEX(属性投放!$BR$6:$BR$85,(卡牌属性!$DW52-2)*20+卡牌属性!$DX52)</f>
        <v>63</v>
      </c>
      <c r="FN52" s="14">
        <f>INDEX(属性投放!$BR$6:$BR$85,(卡牌属性!$DW52-2)*20+卡牌属性!$DX52)</f>
        <v>63</v>
      </c>
      <c r="FO52" s="14">
        <f>INDEX(属性投放!$BR$6:$BR$85,(卡牌属性!$DW52-2)*20+卡牌属性!$DX52)</f>
        <v>63</v>
      </c>
      <c r="FP52" s="14">
        <f>INDEX(属性投放!$BR$6:$BR$85,(卡牌属性!$DW52-2)*20+卡牌属性!$DX52)</f>
        <v>63</v>
      </c>
      <c r="FQ52" s="14">
        <f>INDEX(属性投放!$BR$6:$BR$85,(卡牌属性!$DW52-2)*20+卡牌属性!$DX52)</f>
        <v>63</v>
      </c>
      <c r="FR52" s="14">
        <f>INDEX(属性投放!$BS$6:$BS$85,(卡牌属性!$DW52-2)*20+卡牌属性!$DX52)</f>
        <v>1000</v>
      </c>
      <c r="FS52" s="14">
        <f>INDEX(属性投放!$BS$6:$BS$85,(卡牌属性!$DW52-2)*20+卡牌属性!$DX52)</f>
        <v>1000</v>
      </c>
      <c r="FT52" s="14">
        <f>INDEX(属性投放!$BS$6:$BS$85,(卡牌属性!$DW52-2)*20+卡牌属性!$DX52)</f>
        <v>1000</v>
      </c>
      <c r="FU52" s="14">
        <f>INDEX(属性投放!$BS$6:$BS$85,(卡牌属性!$DW52-2)*20+卡牌属性!$DX52)</f>
        <v>1000</v>
      </c>
      <c r="FV52" s="14">
        <f>INDEX(属性投放!$BS$6:$BS$85,(卡牌属性!$DW52-2)*20+卡牌属性!$DX52)</f>
        <v>1000</v>
      </c>
      <c r="FZ52" s="13">
        <v>48</v>
      </c>
      <c r="GA52" s="13">
        <f t="shared" si="121"/>
        <v>10</v>
      </c>
      <c r="GB52" s="14">
        <f t="shared" si="56"/>
        <v>1102010</v>
      </c>
      <c r="GC52" s="14" t="s">
        <v>1187</v>
      </c>
      <c r="GD52" s="14">
        <f t="shared" si="122"/>
        <v>3</v>
      </c>
      <c r="GE52" s="14" t="str">
        <f t="shared" si="123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4"/>
        <v>10</v>
      </c>
      <c r="GP52" s="14">
        <f t="shared" si="57"/>
        <v>1101010</v>
      </c>
      <c r="GQ52" s="14" t="s">
        <v>1187</v>
      </c>
      <c r="GR52" s="14">
        <f t="shared" si="125"/>
        <v>3</v>
      </c>
      <c r="GS52" s="14" t="str">
        <f t="shared" si="126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MATCH(HC52,属性投放!$AO$6:$AO$58,1)-1</f>
        <v>12</v>
      </c>
      <c r="HF52" s="13">
        <f>MATCH(HC52-1,属性投放!$AE$6:$AE$26,1)</f>
        <v>7</v>
      </c>
      <c r="HG52" s="13" t="str">
        <f>INDEX(属性投放!$AB$7:$AB$26,卡牌属性!HF52)</f>
        <v>叫唤</v>
      </c>
      <c r="HH52" s="14">
        <f t="shared" si="58"/>
        <v>1523</v>
      </c>
      <c r="HI52" s="14">
        <f t="shared" si="59"/>
        <v>602</v>
      </c>
      <c r="HJ52" s="14">
        <f t="shared" si="60"/>
        <v>7922</v>
      </c>
      <c r="HK52" s="14">
        <f t="shared" si="61"/>
        <v>25</v>
      </c>
      <c r="HL52" s="14">
        <f t="shared" si="62"/>
        <v>8</v>
      </c>
      <c r="HM52" s="14">
        <f t="shared" si="63"/>
        <v>128</v>
      </c>
      <c r="HN52" s="14">
        <f>HH52+HK52*($HC52-INDEX(属性投放!$AE$6:$AE$26,卡牌属性!$HF52))</f>
        <v>1548</v>
      </c>
      <c r="HO52" s="14">
        <f>HI52+HL52*($HC52-INDEX(属性投放!$AE$6:$AE$26,卡牌属性!$HF52))</f>
        <v>610</v>
      </c>
      <c r="HP52" s="14">
        <f>HJ52+HM52*($HC52-INDEX(属性投放!$AE$6:$AE$26,卡牌属性!$HF52))</f>
        <v>8050</v>
      </c>
      <c r="HQ52" s="14">
        <f t="shared" si="64"/>
        <v>555</v>
      </c>
      <c r="HR52" s="14">
        <f t="shared" si="65"/>
        <v>281</v>
      </c>
      <c r="HS52" s="14">
        <f t="shared" si="66"/>
        <v>3810</v>
      </c>
      <c r="HT52" s="14">
        <f>IF(COUNTIF(属性投放!$AO$7:$AO$58,"="&amp;卡牌属性!HC52)&gt;0,卡牌属性!HE52,0)</f>
        <v>12</v>
      </c>
      <c r="HU52" s="14">
        <f t="shared" si="67"/>
        <v>80</v>
      </c>
      <c r="HV52" s="14">
        <f t="shared" si="68"/>
        <v>40</v>
      </c>
      <c r="HW52" s="14">
        <f t="shared" si="69"/>
        <v>640</v>
      </c>
      <c r="HX52" s="14">
        <f>IF(COUNTIF(属性投放!$AE$6:$AE$26,"="&amp;卡牌属性!HC52)&gt;0,卡牌属性!HF52,0)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25</v>
      </c>
      <c r="IC52" s="14">
        <f t="shared" si="74"/>
        <v>8</v>
      </c>
      <c r="ID52" s="14">
        <f t="shared" si="75"/>
        <v>128</v>
      </c>
      <c r="IE52" s="14">
        <f t="shared" si="76"/>
        <v>2103</v>
      </c>
      <c r="IF52" s="14">
        <f t="shared" si="77"/>
        <v>891</v>
      </c>
      <c r="IG52" s="14">
        <f t="shared" si="78"/>
        <v>11860</v>
      </c>
      <c r="IH52" s="14">
        <f t="shared" si="79"/>
        <v>538</v>
      </c>
      <c r="II52" s="14">
        <f t="shared" si="80"/>
        <v>2240</v>
      </c>
      <c r="IJ52" s="14">
        <f t="shared" si="81"/>
        <v>0</v>
      </c>
      <c r="IK52" s="14">
        <f t="shared" si="82"/>
        <v>50710</v>
      </c>
      <c r="IL52" s="17">
        <f t="shared" si="83"/>
        <v>1.0609347268783277E-2</v>
      </c>
      <c r="IM52" s="17">
        <f t="shared" si="84"/>
        <v>4.4172746992703606E-2</v>
      </c>
      <c r="IN52" s="17">
        <f t="shared" si="85"/>
        <v>0</v>
      </c>
      <c r="IO52" s="23">
        <f>SUM(IH$5:IH52)</f>
        <v>18260</v>
      </c>
      <c r="IP52" s="14">
        <f>SUM(II$5:II52)</f>
        <v>14980</v>
      </c>
      <c r="IQ52" s="14">
        <f>SUM(IJ$5:IJ52)</f>
        <v>9980</v>
      </c>
      <c r="IR52" s="17">
        <f t="shared" si="86"/>
        <v>0.36008676789587851</v>
      </c>
      <c r="IS52" s="17">
        <f t="shared" si="87"/>
        <v>0.29540524551370539</v>
      </c>
      <c r="IT52" s="17">
        <f t="shared" si="88"/>
        <v>0.1968053638335634</v>
      </c>
      <c r="IW52" s="13">
        <v>48</v>
      </c>
      <c r="IX52" s="14">
        <f>MATCH(IW52-1,属性投放!$T$6:$T$66,1)</f>
        <v>3</v>
      </c>
      <c r="IY52" s="14">
        <f>MATCH(IW52-1,属性投放!$AD$7:$AD$26,1)</f>
        <v>6</v>
      </c>
      <c r="IZ52" s="14" t="str">
        <f>INDEX(属性投放!$AB$7:$AB$26,IY52)</f>
        <v>众合+2</v>
      </c>
      <c r="JA52" s="14">
        <f t="shared" si="89"/>
        <v>464</v>
      </c>
      <c r="JB52" s="14">
        <f t="shared" si="90"/>
        <v>182</v>
      </c>
      <c r="JC52" s="14">
        <f t="shared" si="91"/>
        <v>2534</v>
      </c>
      <c r="JD52" s="14">
        <f t="shared" si="92"/>
        <v>22</v>
      </c>
      <c r="JE52" s="14">
        <f t="shared" si="93"/>
        <v>11</v>
      </c>
      <c r="JF52" s="14">
        <f t="shared" si="94"/>
        <v>153</v>
      </c>
      <c r="JG52" s="14">
        <f>INDEX(属性投放!$DC$6:$DC$85,卡牌属性!IY52)</f>
        <v>20</v>
      </c>
      <c r="JH52" s="14">
        <f t="shared" si="95"/>
        <v>1080</v>
      </c>
      <c r="JI52" s="14">
        <f t="shared" si="96"/>
        <v>490</v>
      </c>
      <c r="JJ52" s="14">
        <f t="shared" si="97"/>
        <v>6818</v>
      </c>
      <c r="JK52" s="14">
        <f t="shared" si="98"/>
        <v>17118</v>
      </c>
    </row>
    <row r="53" spans="31:271" ht="16.5" x14ac:dyDescent="0.2">
      <c r="AE53" s="13">
        <v>49</v>
      </c>
      <c r="AF53" s="13">
        <f t="shared" si="31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142</v>
      </c>
      <c r="AM53" s="14">
        <v>1</v>
      </c>
      <c r="AN53" s="14">
        <f t="shared" si="5"/>
        <v>9</v>
      </c>
      <c r="AO53" s="14">
        <f>INDEX(属性投放!$DF$6:$DF$85,(卡牌属性!AG53-2)*20+卡牌属性!AN53)</f>
        <v>1755</v>
      </c>
      <c r="AP53" s="14">
        <f t="shared" si="127"/>
        <v>1755</v>
      </c>
      <c r="AQ53" s="14">
        <f t="shared" si="127"/>
        <v>1755</v>
      </c>
      <c r="AR53" s="14">
        <f t="shared" si="127"/>
        <v>1755</v>
      </c>
      <c r="AS53" s="14">
        <f t="shared" si="127"/>
        <v>1755</v>
      </c>
      <c r="AT53" s="14">
        <f>INDEX(属性投放!$DG$6:$DG$85,(卡牌属性!AG53-2)*20+卡牌属性!AN53)</f>
        <v>800</v>
      </c>
      <c r="AU53" s="14">
        <f t="shared" si="128"/>
        <v>800</v>
      </c>
      <c r="AV53" s="14">
        <f t="shared" si="128"/>
        <v>800</v>
      </c>
      <c r="AW53" s="14">
        <f t="shared" si="128"/>
        <v>800</v>
      </c>
      <c r="AX53" s="14">
        <f t="shared" si="128"/>
        <v>800</v>
      </c>
      <c r="AY53" s="14">
        <f>INDEX(属性投放!$DH$6:$DH$85,(卡牌属性!AG53-2)*20+卡牌属性!AN53)</f>
        <v>11481</v>
      </c>
      <c r="AZ53" s="14">
        <f t="shared" si="129"/>
        <v>11481</v>
      </c>
      <c r="BA53" s="14">
        <f t="shared" si="129"/>
        <v>11481</v>
      </c>
      <c r="BB53" s="14">
        <f t="shared" si="129"/>
        <v>11481</v>
      </c>
      <c r="BC53" s="14">
        <f t="shared" si="129"/>
        <v>11481</v>
      </c>
      <c r="BD53" s="14">
        <f>INDEX(属性投放!$DL$6:$DL$85,(卡牌属性!AG53-2)*20+卡牌属性!AN53)</f>
        <v>46</v>
      </c>
      <c r="BE53" s="14">
        <f t="shared" si="130"/>
        <v>46</v>
      </c>
      <c r="BF53" s="14">
        <f t="shared" si="130"/>
        <v>46</v>
      </c>
      <c r="BG53" s="14">
        <f t="shared" si="130"/>
        <v>46</v>
      </c>
      <c r="BH53" s="14">
        <f t="shared" si="130"/>
        <v>46</v>
      </c>
      <c r="BI53" s="14">
        <f>INDEX(属性投放!$DM$6:$DM$85,(卡牌属性!AG53-2)*20+卡牌属性!AN53)</f>
        <v>24</v>
      </c>
      <c r="BJ53" s="14">
        <f t="shared" si="131"/>
        <v>24</v>
      </c>
      <c r="BK53" s="14">
        <f t="shared" si="131"/>
        <v>24</v>
      </c>
      <c r="BL53" s="14">
        <f t="shared" si="131"/>
        <v>24</v>
      </c>
      <c r="BM53" s="14">
        <f t="shared" si="131"/>
        <v>24</v>
      </c>
      <c r="BN53" s="14">
        <f>INDEX(属性投放!$DN$6:$DN$85,(卡牌属性!AG53-2)*20+卡牌属性!AN53)</f>
        <v>371</v>
      </c>
      <c r="BO53" s="14">
        <f t="shared" si="132"/>
        <v>371</v>
      </c>
      <c r="BP53" s="14">
        <f t="shared" si="132"/>
        <v>371</v>
      </c>
      <c r="BQ53" s="14">
        <f t="shared" si="132"/>
        <v>371</v>
      </c>
      <c r="BR53" s="14">
        <f t="shared" si="132"/>
        <v>371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32"/>
        <v>1102003</v>
      </c>
      <c r="CA53" s="14" t="str">
        <f t="shared" si="33"/>
        <v>典韦9突</v>
      </c>
      <c r="CB53" s="25" t="s">
        <v>142</v>
      </c>
      <c r="CC53" s="14">
        <v>2</v>
      </c>
      <c r="CD53" s="14">
        <f t="shared" si="14"/>
        <v>9</v>
      </c>
      <c r="CE53" s="14" t="s">
        <v>21</v>
      </c>
      <c r="CF53" s="14">
        <f>INDEX(属性投放!$AZ$6:$AZ$85,(BY53-2)*20+CD53)</f>
        <v>2898</v>
      </c>
      <c r="CG53" s="14" t="s">
        <v>22</v>
      </c>
      <c r="CH53" s="14">
        <f>INDEX(属性投放!$BA$6:$BA$85,(BY53-2)*20+CD53)</f>
        <v>1394</v>
      </c>
      <c r="CI53" s="14" t="s">
        <v>510</v>
      </c>
      <c r="CJ53" s="14">
        <f>INDEX(属性投放!$BB$6:$BB$85,(BY53-2)*20+CD53)</f>
        <v>19928</v>
      </c>
      <c r="CK53" s="14" t="s">
        <v>21</v>
      </c>
      <c r="CL53" s="14">
        <f>INDEX(属性投放!$BC$6:$BC$85,(BY53-2)*20+CD53)</f>
        <v>25</v>
      </c>
      <c r="CM53" s="14" t="s">
        <v>22</v>
      </c>
      <c r="CN53" s="14">
        <f>INDEX(属性投放!$BD$6:$BD$85,(BY53-2)*20+CD53)</f>
        <v>13</v>
      </c>
      <c r="CO53" s="14" t="s">
        <v>510</v>
      </c>
      <c r="CP53" s="14">
        <f>INDEX(属性投放!$BE$6:$BE$85,(BY53-2)*20+CD53)</f>
        <v>200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INDEX($O$6:$O$50,CT53)&amp;"-"&amp;INDEX(属性投放!$AB$7:$AB$50,CZ53)&amp;"-魂火-"&amp;DB53</f>
        <v>关羽-无间+1-魂火-1</v>
      </c>
      <c r="CY53" s="25" t="s">
        <v>142</v>
      </c>
      <c r="CZ53" s="14">
        <f>INDEX(属性投放!$AM$7:$AM$58,CU53)</f>
        <v>20</v>
      </c>
      <c r="DA53" s="14" t="s">
        <v>537</v>
      </c>
      <c r="DB53" s="14">
        <f>INDEX(属性投放!$AN$7:$AN$58,CU53)</f>
        <v>1</v>
      </c>
      <c r="DC53" s="14">
        <f t="shared" si="16"/>
        <v>49</v>
      </c>
      <c r="DD53" s="14">
        <f>INDEX(属性投放!$AO$7:$AO$58,DC53)</f>
        <v>140</v>
      </c>
      <c r="DE53" s="14" t="s">
        <v>538</v>
      </c>
      <c r="DF53" s="14">
        <f>INDEX(属性投放!$BK$6:$BK$85,(CV53-2)*20+CZ53)</f>
        <v>1050</v>
      </c>
      <c r="DG53" s="14">
        <f>SUMIFS(DF$5:DF53,$CT$5:$CT53,"="&amp;$CT53)</f>
        <v>17219</v>
      </c>
      <c r="DH53" s="14" t="s">
        <v>539</v>
      </c>
      <c r="DI53" s="14">
        <f>INDEX(属性投放!$BL$6:$BL$85,(CV53-2)*20+CZ53)</f>
        <v>525</v>
      </c>
      <c r="DJ53" s="14">
        <f>SUMIFS(DI$5:DI53,$CT$5:$CT53,"="&amp;$CT53)</f>
        <v>8615</v>
      </c>
      <c r="DK53" s="14" t="s">
        <v>540</v>
      </c>
      <c r="DL53" s="14">
        <f>INDEX(属性投放!$BM$6:$BM$85,(CV53-2)*20+CZ53)</f>
        <v>10500</v>
      </c>
      <c r="DM53" s="14">
        <f>SUMIFS(DL$5:DL53,$CT$5:$CT53,"="&amp;$CT53)</f>
        <v>166602</v>
      </c>
      <c r="DR53" s="14">
        <f t="shared" si="17"/>
        <v>1102003</v>
      </c>
      <c r="DS53" s="14" t="str">
        <f t="shared" si="18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19"/>
        <v>4</v>
      </c>
      <c r="DX53" s="14">
        <f t="shared" si="20"/>
        <v>9</v>
      </c>
      <c r="DY53" s="14">
        <f t="shared" si="21"/>
        <v>49</v>
      </c>
      <c r="DZ53" s="14">
        <f>INDEX(属性投放!$AX$6:$AX$85,(卡牌属性!DW53-2)*20+卡牌属性!DX53)</f>
        <v>8</v>
      </c>
      <c r="EA53" s="14">
        <f>INDEX(属性投放!BQ$6:BQ$85,卡牌属性!$DY53)</f>
        <v>200</v>
      </c>
      <c r="EB53" s="14">
        <f>INDEX(属性投放!BR$6:BR$85,卡牌属性!$DY53)</f>
        <v>100</v>
      </c>
      <c r="EC53" s="14">
        <f>INDEX(属性投放!BS$6:BS$85,卡牌属性!$DY53)</f>
        <v>1600</v>
      </c>
      <c r="ED53" s="14">
        <f t="shared" si="133"/>
        <v>2063</v>
      </c>
      <c r="EE53" s="14">
        <f t="shared" si="134"/>
        <v>2231</v>
      </c>
      <c r="EF53" s="14">
        <f t="shared" si="135"/>
        <v>2435</v>
      </c>
      <c r="EG53" s="14">
        <f t="shared" si="136"/>
        <v>2435</v>
      </c>
      <c r="EH53" s="14">
        <f t="shared" si="137"/>
        <v>2815</v>
      </c>
      <c r="EI53" s="14">
        <f t="shared" si="138"/>
        <v>828</v>
      </c>
      <c r="EJ53" s="14">
        <f t="shared" si="139"/>
        <v>998</v>
      </c>
      <c r="EK53" s="14">
        <f t="shared" si="140"/>
        <v>998</v>
      </c>
      <c r="EL53" s="14">
        <f t="shared" si="141"/>
        <v>1079</v>
      </c>
      <c r="EM53" s="14">
        <f t="shared" si="142"/>
        <v>1182</v>
      </c>
      <c r="EN53" s="14">
        <f t="shared" si="143"/>
        <v>11522</v>
      </c>
      <c r="EO53" s="14">
        <f t="shared" si="144"/>
        <v>13878</v>
      </c>
      <c r="EP53" s="14">
        <f t="shared" si="145"/>
        <v>13878</v>
      </c>
      <c r="EQ53" s="14">
        <f t="shared" si="146"/>
        <v>14890</v>
      </c>
      <c r="ER53" s="14">
        <f t="shared" si="147"/>
        <v>16120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128</v>
      </c>
      <c r="FD53" s="14">
        <f>INDEX(属性偏向!$U$4:$U$243,(卡牌属性!$DV53-1+FD$3)*20+卡牌属性!$DX53)</f>
        <v>200</v>
      </c>
      <c r="FE53" s="14">
        <f>INDEX(属性偏向!$U$4:$U$243,(卡牌属性!$DV53-1+FE$3)*20+卡牌属性!$DX53)</f>
        <v>200</v>
      </c>
      <c r="FF53" s="14">
        <f>INDEX(属性偏向!$U$4:$U$243,(卡牌属性!$DV53-1+FF$3)*20+卡牌属性!$DX53)</f>
        <v>224</v>
      </c>
      <c r="FG53" s="14">
        <f>INDEX(属性偏向!$U$4:$U$243,(卡牌属性!$DV53-1+FG$3)*20+卡牌属性!$DX53)</f>
        <v>240</v>
      </c>
      <c r="FH53" s="14">
        <f>INDEX(属性投放!$BQ$6:$BQ$85,(卡牌属性!$DW53-2)*20+卡牌属性!$DX53)</f>
        <v>200</v>
      </c>
      <c r="FI53" s="14">
        <f>INDEX(属性投放!$BQ$6:$BQ$85,(卡牌属性!$DW53-2)*20+卡牌属性!$DX53)</f>
        <v>200</v>
      </c>
      <c r="FJ53" s="14">
        <f>INDEX(属性投放!$BQ$6:$BQ$85,(卡牌属性!$DW53-2)*20+卡牌属性!$DX53)</f>
        <v>200</v>
      </c>
      <c r="FK53" s="14">
        <f>INDEX(属性投放!$BQ$6:$BQ$85,(卡牌属性!$DW53-2)*20+卡牌属性!$DX53)</f>
        <v>200</v>
      </c>
      <c r="FL53" s="14">
        <f>INDEX(属性投放!$BQ$6:$BQ$85,(卡牌属性!$DW53-2)*20+卡牌属性!$DX53)</f>
        <v>200</v>
      </c>
      <c r="FM53" s="14">
        <f>INDEX(属性投放!$BR$6:$BR$85,(卡牌属性!$DW53-2)*20+卡牌属性!$DX53)</f>
        <v>100</v>
      </c>
      <c r="FN53" s="14">
        <f>INDEX(属性投放!$BR$6:$BR$85,(卡牌属性!$DW53-2)*20+卡牌属性!$DX53)</f>
        <v>100</v>
      </c>
      <c r="FO53" s="14">
        <f>INDEX(属性投放!$BR$6:$BR$85,(卡牌属性!$DW53-2)*20+卡牌属性!$DX53)</f>
        <v>100</v>
      </c>
      <c r="FP53" s="14">
        <f>INDEX(属性投放!$BR$6:$BR$85,(卡牌属性!$DW53-2)*20+卡牌属性!$DX53)</f>
        <v>100</v>
      </c>
      <c r="FQ53" s="14">
        <f>INDEX(属性投放!$BR$6:$BR$85,(卡牌属性!$DW53-2)*20+卡牌属性!$DX53)</f>
        <v>100</v>
      </c>
      <c r="FR53" s="14">
        <f>INDEX(属性投放!$BS$6:$BS$85,(卡牌属性!$DW53-2)*20+卡牌属性!$DX53)</f>
        <v>1600</v>
      </c>
      <c r="FS53" s="14">
        <f>INDEX(属性投放!$BS$6:$BS$85,(卡牌属性!$DW53-2)*20+卡牌属性!$DX53)</f>
        <v>1600</v>
      </c>
      <c r="FT53" s="14">
        <f>INDEX(属性投放!$BS$6:$BS$85,(卡牌属性!$DW53-2)*20+卡牌属性!$DX53)</f>
        <v>1600</v>
      </c>
      <c r="FU53" s="14">
        <f>INDEX(属性投放!$BS$6:$BS$85,(卡牌属性!$DW53-2)*20+卡牌属性!$DX53)</f>
        <v>1600</v>
      </c>
      <c r="FV53" s="14">
        <f>INDEX(属性投放!$BS$6:$BS$85,(卡牌属性!$DW53-2)*20+卡牌属性!$DX53)</f>
        <v>1600</v>
      </c>
      <c r="FZ53" s="13">
        <v>49</v>
      </c>
      <c r="GA53" s="13">
        <f t="shared" si="121"/>
        <v>10</v>
      </c>
      <c r="GB53" s="14">
        <f t="shared" si="56"/>
        <v>1102010</v>
      </c>
      <c r="GC53" s="14" t="s">
        <v>1187</v>
      </c>
      <c r="GD53" s="14">
        <f t="shared" si="122"/>
        <v>4</v>
      </c>
      <c r="GE53" s="14" t="str">
        <f t="shared" si="123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4"/>
        <v>10</v>
      </c>
      <c r="GP53" s="14">
        <f t="shared" si="57"/>
        <v>1101010</v>
      </c>
      <c r="GQ53" s="14" t="s">
        <v>1187</v>
      </c>
      <c r="GR53" s="14">
        <f t="shared" si="125"/>
        <v>4</v>
      </c>
      <c r="GS53" s="14" t="str">
        <f t="shared" si="126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MATCH(HC53,属性投放!$AO$6:$AO$58,1)-1</f>
        <v>12</v>
      </c>
      <c r="HF53" s="13">
        <f>MATCH(HC53-1,属性投放!$AE$6:$AE$26,1)</f>
        <v>7</v>
      </c>
      <c r="HG53" s="13" t="str">
        <f>INDEX(属性投放!$AB$7:$AB$26,卡牌属性!HF53)</f>
        <v>叫唤</v>
      </c>
      <c r="HH53" s="14">
        <f t="shared" si="58"/>
        <v>1523</v>
      </c>
      <c r="HI53" s="14">
        <f t="shared" si="59"/>
        <v>602</v>
      </c>
      <c r="HJ53" s="14">
        <f t="shared" si="60"/>
        <v>7922</v>
      </c>
      <c r="HK53" s="14">
        <f t="shared" si="61"/>
        <v>25</v>
      </c>
      <c r="HL53" s="14">
        <f t="shared" si="62"/>
        <v>8</v>
      </c>
      <c r="HM53" s="14">
        <f t="shared" si="63"/>
        <v>128</v>
      </c>
      <c r="HN53" s="14">
        <f>HH53+HK53*($HC53-INDEX(属性投放!$AE$6:$AE$26,卡牌属性!$HF53))</f>
        <v>1573</v>
      </c>
      <c r="HO53" s="14">
        <f>HI53+HL53*($HC53-INDEX(属性投放!$AE$6:$AE$26,卡牌属性!$HF53))</f>
        <v>618</v>
      </c>
      <c r="HP53" s="14">
        <f>HJ53+HM53*($HC53-INDEX(属性投放!$AE$6:$AE$26,卡牌属性!$HF53))</f>
        <v>8178</v>
      </c>
      <c r="HQ53" s="14">
        <f t="shared" si="64"/>
        <v>555</v>
      </c>
      <c r="HR53" s="14">
        <f t="shared" si="65"/>
        <v>281</v>
      </c>
      <c r="HS53" s="14">
        <f t="shared" si="66"/>
        <v>3810</v>
      </c>
      <c r="HT53" s="14">
        <f>IF(COUNTIF(属性投放!$AO$7:$AO$58,"="&amp;卡牌属性!HC53)&gt;0,卡牌属性!HE53,0)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IF(COUNTIF(属性投放!$AE$6:$AE$26,"="&amp;卡牌属性!HC53)&gt;0,卡牌属性!HF53,0)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25</v>
      </c>
      <c r="IC53" s="14">
        <f t="shared" si="74"/>
        <v>8</v>
      </c>
      <c r="ID53" s="14">
        <f t="shared" si="75"/>
        <v>128</v>
      </c>
      <c r="IE53" s="14">
        <f t="shared" si="76"/>
        <v>2128</v>
      </c>
      <c r="IF53" s="14">
        <f t="shared" si="77"/>
        <v>899</v>
      </c>
      <c r="IG53" s="14">
        <f t="shared" si="78"/>
        <v>11988</v>
      </c>
      <c r="IH53" s="14">
        <f t="shared" si="79"/>
        <v>538</v>
      </c>
      <c r="II53" s="14">
        <f t="shared" si="80"/>
        <v>0</v>
      </c>
      <c r="IJ53" s="14">
        <f t="shared" si="81"/>
        <v>0</v>
      </c>
      <c r="IK53" s="14">
        <f t="shared" si="82"/>
        <v>51248</v>
      </c>
      <c r="IL53" s="17">
        <f t="shared" si="83"/>
        <v>1.049797065251327E-2</v>
      </c>
      <c r="IM53" s="17">
        <f t="shared" si="84"/>
        <v>0</v>
      </c>
      <c r="IN53" s="17">
        <f t="shared" si="85"/>
        <v>0</v>
      </c>
      <c r="IO53" s="23">
        <f>SUM(IH$5:IH53)</f>
        <v>18798</v>
      </c>
      <c r="IP53" s="14">
        <f>SUM(II$5:II53)</f>
        <v>14980</v>
      </c>
      <c r="IQ53" s="14">
        <f>SUM(IJ$5:IJ53)</f>
        <v>9980</v>
      </c>
      <c r="IR53" s="17">
        <f t="shared" si="86"/>
        <v>0.36680455822666252</v>
      </c>
      <c r="IS53" s="17">
        <f t="shared" si="87"/>
        <v>0.292304089915704</v>
      </c>
      <c r="IT53" s="17">
        <f t="shared" si="88"/>
        <v>0.19473930689978144</v>
      </c>
      <c r="IW53" s="13">
        <v>49</v>
      </c>
      <c r="IX53" s="14">
        <f>MATCH(IW53-1,属性投放!$T$6:$T$66,1)</f>
        <v>3</v>
      </c>
      <c r="IY53" s="14">
        <f>MATCH(IW53-1,属性投放!$AD$7:$AD$26,1)</f>
        <v>6</v>
      </c>
      <c r="IZ53" s="14" t="str">
        <f>INDEX(属性投放!$AB$7:$AB$26,IY53)</f>
        <v>众合+2</v>
      </c>
      <c r="JA53" s="14">
        <f t="shared" si="89"/>
        <v>464</v>
      </c>
      <c r="JB53" s="14">
        <f t="shared" si="90"/>
        <v>182</v>
      </c>
      <c r="JC53" s="14">
        <f t="shared" si="91"/>
        <v>2534</v>
      </c>
      <c r="JD53" s="14">
        <f t="shared" si="92"/>
        <v>22</v>
      </c>
      <c r="JE53" s="14">
        <f t="shared" si="93"/>
        <v>11</v>
      </c>
      <c r="JF53" s="14">
        <f t="shared" si="94"/>
        <v>153</v>
      </c>
      <c r="JG53" s="14">
        <f>INDEX(属性投放!$DC$6:$DC$85,卡牌属性!IY53)</f>
        <v>20</v>
      </c>
      <c r="JH53" s="14">
        <f t="shared" si="95"/>
        <v>1102</v>
      </c>
      <c r="JI53" s="14">
        <f t="shared" si="96"/>
        <v>501</v>
      </c>
      <c r="JJ53" s="14">
        <f t="shared" si="97"/>
        <v>6971</v>
      </c>
      <c r="JK53" s="14">
        <f t="shared" si="98"/>
        <v>17491</v>
      </c>
    </row>
    <row r="54" spans="31:271" ht="16.5" x14ac:dyDescent="0.2">
      <c r="AE54" s="13">
        <v>50</v>
      </c>
      <c r="AF54" s="13">
        <f t="shared" si="31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142</v>
      </c>
      <c r="AM54" s="14">
        <v>1</v>
      </c>
      <c r="AN54" s="14">
        <f t="shared" si="5"/>
        <v>10</v>
      </c>
      <c r="AO54" s="14">
        <f>INDEX(属性投放!$DF$6:$DF$85,(卡牌属性!AG54-2)*20+卡牌属性!AN54)</f>
        <v>2578</v>
      </c>
      <c r="AP54" s="14">
        <f t="shared" si="127"/>
        <v>2578</v>
      </c>
      <c r="AQ54" s="14">
        <f t="shared" si="127"/>
        <v>2578</v>
      </c>
      <c r="AR54" s="14">
        <f t="shared" si="127"/>
        <v>2578</v>
      </c>
      <c r="AS54" s="14">
        <f t="shared" si="127"/>
        <v>2578</v>
      </c>
      <c r="AT54" s="14">
        <f>INDEX(属性投放!$DG$6:$DG$85,(卡牌属性!AG54-2)*20+卡牌属性!AN54)</f>
        <v>1227</v>
      </c>
      <c r="AU54" s="14">
        <f t="shared" si="128"/>
        <v>1227</v>
      </c>
      <c r="AV54" s="14">
        <f t="shared" si="128"/>
        <v>1227</v>
      </c>
      <c r="AW54" s="14">
        <f t="shared" si="128"/>
        <v>1227</v>
      </c>
      <c r="AX54" s="14">
        <f t="shared" si="128"/>
        <v>1227</v>
      </c>
      <c r="AY54" s="14">
        <f>INDEX(属性投放!$DH$6:$DH$85,(卡牌属性!AG54-2)*20+卡牌属性!AN54)</f>
        <v>18106</v>
      </c>
      <c r="AZ54" s="14">
        <f t="shared" si="129"/>
        <v>18106</v>
      </c>
      <c r="BA54" s="14">
        <f t="shared" si="129"/>
        <v>18106</v>
      </c>
      <c r="BB54" s="14">
        <f t="shared" si="129"/>
        <v>18106</v>
      </c>
      <c r="BC54" s="14">
        <f t="shared" si="129"/>
        <v>18106</v>
      </c>
      <c r="BD54" s="14">
        <f>INDEX(属性投放!$DL$6:$DL$85,(卡牌属性!AG54-2)*20+卡牌属性!AN54)</f>
        <v>92</v>
      </c>
      <c r="BE54" s="14">
        <f t="shared" si="130"/>
        <v>92</v>
      </c>
      <c r="BF54" s="14">
        <f t="shared" si="130"/>
        <v>92</v>
      </c>
      <c r="BG54" s="14">
        <f t="shared" si="130"/>
        <v>92</v>
      </c>
      <c r="BH54" s="14">
        <f t="shared" si="130"/>
        <v>92</v>
      </c>
      <c r="BI54" s="14">
        <f>INDEX(属性投放!$DM$6:$DM$85,(卡牌属性!AG54-2)*20+卡牌属性!AN54)</f>
        <v>46</v>
      </c>
      <c r="BJ54" s="14">
        <f t="shared" si="131"/>
        <v>46</v>
      </c>
      <c r="BK54" s="14">
        <f t="shared" si="131"/>
        <v>46</v>
      </c>
      <c r="BL54" s="14">
        <f t="shared" si="131"/>
        <v>46</v>
      </c>
      <c r="BM54" s="14">
        <f t="shared" si="131"/>
        <v>46</v>
      </c>
      <c r="BN54" s="14">
        <f>INDEX(属性投放!$DN$6:$DN$85,(卡牌属性!AG54-2)*20+卡牌属性!AN54)</f>
        <v>824</v>
      </c>
      <c r="BO54" s="14">
        <f t="shared" si="132"/>
        <v>824</v>
      </c>
      <c r="BP54" s="14">
        <f t="shared" si="132"/>
        <v>824</v>
      </c>
      <c r="BQ54" s="14">
        <f t="shared" si="132"/>
        <v>824</v>
      </c>
      <c r="BR54" s="14">
        <f t="shared" si="132"/>
        <v>824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32"/>
        <v>1102003</v>
      </c>
      <c r="CA54" s="14" t="str">
        <f t="shared" si="33"/>
        <v>典韦10突</v>
      </c>
      <c r="CB54" s="25" t="s">
        <v>142</v>
      </c>
      <c r="CC54" s="14">
        <v>2</v>
      </c>
      <c r="CD54" s="14">
        <f t="shared" si="14"/>
        <v>10</v>
      </c>
      <c r="CE54" s="14" t="s">
        <v>21</v>
      </c>
      <c r="CF54" s="14">
        <f>INDEX(属性投放!$AZ$6:$AZ$85,(BY54-2)*20+CD54)</f>
        <v>3643</v>
      </c>
      <c r="CG54" s="14" t="s">
        <v>22</v>
      </c>
      <c r="CH54" s="14">
        <f>INDEX(属性投放!$BA$6:$BA$85,(BY54-2)*20+CD54)</f>
        <v>1772</v>
      </c>
      <c r="CI54" s="14" t="s">
        <v>510</v>
      </c>
      <c r="CJ54" s="14">
        <f>INDEX(属性投放!$BB$6:$BB$85,(BY54-2)*20+CD54)</f>
        <v>25888</v>
      </c>
      <c r="CK54" s="14" t="s">
        <v>21</v>
      </c>
      <c r="CL54" s="14">
        <f>INDEX(属性投放!$BC$6:$BC$85,(BY54-2)*20+CD54)</f>
        <v>30</v>
      </c>
      <c r="CM54" s="14" t="s">
        <v>22</v>
      </c>
      <c r="CN54" s="14">
        <f>INDEX(属性投放!$BD$6:$BD$85,(BY54-2)*20+CD54)</f>
        <v>15</v>
      </c>
      <c r="CO54" s="14" t="s">
        <v>510</v>
      </c>
      <c r="CP54" s="14">
        <f>INDEX(属性投放!$BE$6:$BE$85,(BY54-2)*20+CD54)</f>
        <v>270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INDEX($O$6:$O$50,CT54)&amp;"-"&amp;INDEX(属性投放!$AB$7:$AB$50,CZ54)&amp;"-魂火-"&amp;DB54</f>
        <v>关羽-无间+1-魂火-2</v>
      </c>
      <c r="CY54" s="25" t="s">
        <v>142</v>
      </c>
      <c r="CZ54" s="14">
        <f>INDEX(属性投放!$AM$7:$AM$58,CU54)</f>
        <v>20</v>
      </c>
      <c r="DA54" s="14" t="s">
        <v>537</v>
      </c>
      <c r="DB54" s="14">
        <f>INDEX(属性投放!$AN$7:$AN$58,CU54)</f>
        <v>2</v>
      </c>
      <c r="DC54" s="14">
        <f t="shared" si="16"/>
        <v>50</v>
      </c>
      <c r="DD54" s="14">
        <f>INDEX(属性投放!$AO$7:$AO$58,DC54)</f>
        <v>143</v>
      </c>
      <c r="DE54" s="14" t="s">
        <v>538</v>
      </c>
      <c r="DF54" s="14">
        <f>INDEX(属性投放!$BK$6:$BK$85,(CV54-2)*20+CZ54)</f>
        <v>1050</v>
      </c>
      <c r="DG54" s="14">
        <f>SUMIFS(DF$5:DF54,$CT$5:$CT54,"="&amp;$CT54)</f>
        <v>18269</v>
      </c>
      <c r="DH54" s="14" t="s">
        <v>539</v>
      </c>
      <c r="DI54" s="14">
        <f>INDEX(属性投放!$BL$6:$BL$85,(CV54-2)*20+CZ54)</f>
        <v>525</v>
      </c>
      <c r="DJ54" s="14">
        <f>SUMIFS(DI$5:DI54,$CT$5:$CT54,"="&amp;$CT54)</f>
        <v>9140</v>
      </c>
      <c r="DK54" s="14" t="s">
        <v>540</v>
      </c>
      <c r="DL54" s="14">
        <f>INDEX(属性投放!$BM$6:$BM$85,(CV54-2)*20+CZ54)</f>
        <v>10500</v>
      </c>
      <c r="DM54" s="14">
        <f>SUMIFS(DL$5:DL54,$CT$5:$CT54,"="&amp;$CT54)</f>
        <v>177102</v>
      </c>
      <c r="DR54" s="14">
        <f t="shared" si="17"/>
        <v>1102003</v>
      </c>
      <c r="DS54" s="14" t="str">
        <f t="shared" si="18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19"/>
        <v>4</v>
      </c>
      <c r="DX54" s="14">
        <f t="shared" si="20"/>
        <v>10</v>
      </c>
      <c r="DY54" s="14">
        <f t="shared" si="21"/>
        <v>50</v>
      </c>
      <c r="DZ54" s="14">
        <f>INDEX(属性投放!$AX$6:$AX$85,(卡牌属性!DW54-2)*20+卡牌属性!DX54)</f>
        <v>7</v>
      </c>
      <c r="EA54" s="14">
        <f>INDEX(属性投放!BQ$6:BQ$85,卡牌属性!$DY54)</f>
        <v>200</v>
      </c>
      <c r="EB54" s="14">
        <f>INDEX(属性投放!BR$6:BR$85,卡牌属性!$DY54)</f>
        <v>100</v>
      </c>
      <c r="EC54" s="14">
        <f>INDEX(属性投放!BS$6:BS$85,卡牌属性!$DY54)</f>
        <v>1800</v>
      </c>
      <c r="ED54" s="14">
        <f t="shared" si="133"/>
        <v>2463</v>
      </c>
      <c r="EE54" s="14">
        <f t="shared" si="134"/>
        <v>2655</v>
      </c>
      <c r="EF54" s="14">
        <f t="shared" si="135"/>
        <v>2875</v>
      </c>
      <c r="EG54" s="14">
        <f t="shared" si="136"/>
        <v>2875</v>
      </c>
      <c r="EH54" s="14">
        <f t="shared" si="137"/>
        <v>3335</v>
      </c>
      <c r="EI54" s="14">
        <f t="shared" si="138"/>
        <v>992</v>
      </c>
      <c r="EJ54" s="14">
        <f t="shared" si="139"/>
        <v>1202</v>
      </c>
      <c r="EK54" s="14">
        <f t="shared" si="140"/>
        <v>1202</v>
      </c>
      <c r="EL54" s="14">
        <f t="shared" si="141"/>
        <v>1291</v>
      </c>
      <c r="EM54" s="14">
        <f t="shared" si="142"/>
        <v>1402</v>
      </c>
      <c r="EN54" s="14">
        <f t="shared" si="143"/>
        <v>14146</v>
      </c>
      <c r="EO54" s="14">
        <f t="shared" si="144"/>
        <v>17078</v>
      </c>
      <c r="EP54" s="14">
        <f t="shared" si="145"/>
        <v>17078</v>
      </c>
      <c r="EQ54" s="14">
        <f t="shared" si="146"/>
        <v>18282</v>
      </c>
      <c r="ER54" s="14">
        <f t="shared" si="147"/>
        <v>19640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189</v>
      </c>
      <c r="FD54" s="14">
        <f>INDEX(属性偏向!$U$4:$U$243,(卡牌属性!$DV54-1+FD$3)*20+卡牌属性!$DX54)</f>
        <v>270</v>
      </c>
      <c r="FE54" s="14">
        <f>INDEX(属性偏向!$U$4:$U$243,(卡牌属性!$DV54-1+FE$3)*20+卡牌属性!$DX54)</f>
        <v>270</v>
      </c>
      <c r="FF54" s="14">
        <f>INDEX(属性偏向!$U$4:$U$243,(卡牌属性!$DV54-1+FF$3)*20+卡牌属性!$DX54)</f>
        <v>315</v>
      </c>
      <c r="FG54" s="14">
        <f>INDEX(属性偏向!$U$4:$U$243,(卡牌属性!$DV54-1+FG$3)*20+卡牌属性!$DX54)</f>
        <v>360</v>
      </c>
      <c r="FH54" s="14">
        <f>INDEX(属性投放!$BQ$6:$BQ$85,(卡牌属性!$DW54-2)*20+卡牌属性!$DX54)</f>
        <v>200</v>
      </c>
      <c r="FI54" s="14">
        <f>INDEX(属性投放!$BQ$6:$BQ$85,(卡牌属性!$DW54-2)*20+卡牌属性!$DX54)</f>
        <v>200</v>
      </c>
      <c r="FJ54" s="14">
        <f>INDEX(属性投放!$BQ$6:$BQ$85,(卡牌属性!$DW54-2)*20+卡牌属性!$DX54)</f>
        <v>200</v>
      </c>
      <c r="FK54" s="14">
        <f>INDEX(属性投放!$BQ$6:$BQ$85,(卡牌属性!$DW54-2)*20+卡牌属性!$DX54)</f>
        <v>200</v>
      </c>
      <c r="FL54" s="14">
        <f>INDEX(属性投放!$BQ$6:$BQ$85,(卡牌属性!$DW54-2)*20+卡牌属性!$DX54)</f>
        <v>200</v>
      </c>
      <c r="FM54" s="14">
        <f>INDEX(属性投放!$BR$6:$BR$85,(卡牌属性!$DW54-2)*20+卡牌属性!$DX54)</f>
        <v>100</v>
      </c>
      <c r="FN54" s="14">
        <f>INDEX(属性投放!$BR$6:$BR$85,(卡牌属性!$DW54-2)*20+卡牌属性!$DX54)</f>
        <v>100</v>
      </c>
      <c r="FO54" s="14">
        <f>INDEX(属性投放!$BR$6:$BR$85,(卡牌属性!$DW54-2)*20+卡牌属性!$DX54)</f>
        <v>100</v>
      </c>
      <c r="FP54" s="14">
        <f>INDEX(属性投放!$BR$6:$BR$85,(卡牌属性!$DW54-2)*20+卡牌属性!$DX54)</f>
        <v>100</v>
      </c>
      <c r="FQ54" s="14">
        <f>INDEX(属性投放!$BR$6:$BR$85,(卡牌属性!$DW54-2)*20+卡牌属性!$DX54)</f>
        <v>100</v>
      </c>
      <c r="FR54" s="14">
        <f>INDEX(属性投放!$BS$6:$BS$85,(卡牌属性!$DW54-2)*20+卡牌属性!$DX54)</f>
        <v>1800</v>
      </c>
      <c r="FS54" s="14">
        <f>INDEX(属性投放!$BS$6:$BS$85,(卡牌属性!$DW54-2)*20+卡牌属性!$DX54)</f>
        <v>1800</v>
      </c>
      <c r="FT54" s="14">
        <f>INDEX(属性投放!$BS$6:$BS$85,(卡牌属性!$DW54-2)*20+卡牌属性!$DX54)</f>
        <v>1800</v>
      </c>
      <c r="FU54" s="14">
        <f>INDEX(属性投放!$BS$6:$BS$85,(卡牌属性!$DW54-2)*20+卡牌属性!$DX54)</f>
        <v>1800</v>
      </c>
      <c r="FV54" s="14">
        <f>INDEX(属性投放!$BS$6:$BS$85,(卡牌属性!$DW54-2)*20+卡牌属性!$DX54)</f>
        <v>1800</v>
      </c>
      <c r="FZ54" s="13">
        <v>50</v>
      </c>
      <c r="GA54" s="13">
        <f t="shared" si="121"/>
        <v>10</v>
      </c>
      <c r="GB54" s="14">
        <f t="shared" si="56"/>
        <v>1102010</v>
      </c>
      <c r="GC54" s="14" t="s">
        <v>1187</v>
      </c>
      <c r="GD54" s="14">
        <f t="shared" si="122"/>
        <v>5</v>
      </c>
      <c r="GE54" s="14" t="str">
        <f t="shared" si="123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4"/>
        <v>10</v>
      </c>
      <c r="GP54" s="14">
        <f t="shared" si="57"/>
        <v>1101010</v>
      </c>
      <c r="GQ54" s="14" t="s">
        <v>1187</v>
      </c>
      <c r="GR54" s="14">
        <f t="shared" si="125"/>
        <v>5</v>
      </c>
      <c r="GS54" s="14" t="str">
        <f t="shared" si="126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MATCH(HC54,属性投放!$AO$6:$AO$58,1)-1</f>
        <v>13</v>
      </c>
      <c r="HF54" s="13">
        <f>MATCH(HC54-1,属性投放!$AE$6:$AE$26,1)</f>
        <v>7</v>
      </c>
      <c r="HG54" s="13" t="str">
        <f>INDEX(属性投放!$AB$7:$AB$26,卡牌属性!HF54)</f>
        <v>叫唤</v>
      </c>
      <c r="HH54" s="14">
        <f t="shared" si="58"/>
        <v>1523</v>
      </c>
      <c r="HI54" s="14">
        <f t="shared" si="59"/>
        <v>602</v>
      </c>
      <c r="HJ54" s="14">
        <f t="shared" si="60"/>
        <v>7922</v>
      </c>
      <c r="HK54" s="14">
        <f t="shared" si="61"/>
        <v>25</v>
      </c>
      <c r="HL54" s="14">
        <f t="shared" si="62"/>
        <v>8</v>
      </c>
      <c r="HM54" s="14">
        <f t="shared" si="63"/>
        <v>128</v>
      </c>
      <c r="HN54" s="14">
        <f>HH54+HK54*($HC54-INDEX(属性投放!$AE$6:$AE$26,卡牌属性!$HF54))</f>
        <v>1598</v>
      </c>
      <c r="HO54" s="14">
        <f>HI54+HL54*($HC54-INDEX(属性投放!$AE$6:$AE$26,卡牌属性!$HF54))</f>
        <v>626</v>
      </c>
      <c r="HP54" s="14">
        <f>HJ54+HM54*($HC54-INDEX(属性投放!$AE$6:$AE$26,卡牌属性!$HF54))</f>
        <v>8306</v>
      </c>
      <c r="HQ54" s="14">
        <f t="shared" si="64"/>
        <v>635</v>
      </c>
      <c r="HR54" s="14">
        <f t="shared" si="65"/>
        <v>321</v>
      </c>
      <c r="HS54" s="14">
        <f t="shared" si="66"/>
        <v>4450</v>
      </c>
      <c r="HT54" s="14">
        <f>IF(COUNTIF(属性投放!$AO$7:$AO$58,"="&amp;卡牌属性!HC54)&gt;0,卡牌属性!HE54,0)</f>
        <v>13</v>
      </c>
      <c r="HU54" s="14">
        <f t="shared" si="67"/>
        <v>80</v>
      </c>
      <c r="HV54" s="14">
        <f t="shared" si="68"/>
        <v>40</v>
      </c>
      <c r="HW54" s="14">
        <f t="shared" si="69"/>
        <v>640</v>
      </c>
      <c r="HX54" s="14">
        <f>IF(COUNTIF(属性投放!$AE$6:$AE$26,"="&amp;卡牌属性!HC54)&gt;0,卡牌属性!HF54,0)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25</v>
      </c>
      <c r="IC54" s="14">
        <f t="shared" si="74"/>
        <v>8</v>
      </c>
      <c r="ID54" s="14">
        <f t="shared" si="75"/>
        <v>128</v>
      </c>
      <c r="IE54" s="14">
        <f t="shared" si="76"/>
        <v>2233</v>
      </c>
      <c r="IF54" s="14">
        <f t="shared" si="77"/>
        <v>947</v>
      </c>
      <c r="IG54" s="14">
        <f t="shared" si="78"/>
        <v>12756</v>
      </c>
      <c r="IH54" s="14">
        <f t="shared" si="79"/>
        <v>538</v>
      </c>
      <c r="II54" s="14">
        <f t="shared" si="80"/>
        <v>2240</v>
      </c>
      <c r="IJ54" s="14">
        <f t="shared" si="81"/>
        <v>0</v>
      </c>
      <c r="IK54" s="14">
        <f t="shared" si="82"/>
        <v>54026</v>
      </c>
      <c r="IL54" s="17">
        <f t="shared" si="83"/>
        <v>9.9581682893421682E-3</v>
      </c>
      <c r="IM54" s="17">
        <f t="shared" si="84"/>
        <v>4.1461518528116095E-2</v>
      </c>
      <c r="IN54" s="17">
        <f t="shared" si="85"/>
        <v>0</v>
      </c>
      <c r="IO54" s="23">
        <f>SUM(IH$5:IH54)</f>
        <v>19336</v>
      </c>
      <c r="IP54" s="14">
        <f>SUM(II$5:II54)</f>
        <v>17220</v>
      </c>
      <c r="IQ54" s="14">
        <f>SUM(IJ$5:IJ54)</f>
        <v>9980</v>
      </c>
      <c r="IR54" s="17">
        <f t="shared" si="86"/>
        <v>0.35790175100877353</v>
      </c>
      <c r="IS54" s="17">
        <f t="shared" si="87"/>
        <v>0.31873542368489244</v>
      </c>
      <c r="IT54" s="17">
        <f t="shared" si="88"/>
        <v>0.1847258727279458</v>
      </c>
      <c r="IW54" s="13">
        <v>50</v>
      </c>
      <c r="IX54" s="14">
        <f>MATCH(IW54-1,属性投放!$T$6:$T$66,1)</f>
        <v>4</v>
      </c>
      <c r="IY54" s="14">
        <f>MATCH(IW54-1,属性投放!$AD$7:$AD$26,1)</f>
        <v>6</v>
      </c>
      <c r="IZ54" s="14" t="str">
        <f>INDEX(属性投放!$AB$7:$AB$26,IY54)</f>
        <v>众合+2</v>
      </c>
      <c r="JA54" s="14">
        <f t="shared" si="89"/>
        <v>464</v>
      </c>
      <c r="JB54" s="14">
        <f t="shared" si="90"/>
        <v>182</v>
      </c>
      <c r="JC54" s="14">
        <f t="shared" si="91"/>
        <v>2534</v>
      </c>
      <c r="JD54" s="14">
        <f t="shared" si="92"/>
        <v>22</v>
      </c>
      <c r="JE54" s="14">
        <f t="shared" si="93"/>
        <v>11</v>
      </c>
      <c r="JF54" s="14">
        <f t="shared" si="94"/>
        <v>153</v>
      </c>
      <c r="JG54" s="14">
        <f>INDEX(属性投放!$DC$6:$DC$85,卡牌属性!IY54)</f>
        <v>20</v>
      </c>
      <c r="JH54" s="14">
        <f t="shared" si="95"/>
        <v>1124</v>
      </c>
      <c r="JI54" s="14">
        <f t="shared" si="96"/>
        <v>512</v>
      </c>
      <c r="JJ54" s="14">
        <f t="shared" si="97"/>
        <v>7124</v>
      </c>
      <c r="JK54" s="14">
        <f t="shared" si="98"/>
        <v>17864</v>
      </c>
    </row>
    <row r="55" spans="31:271" ht="16.5" x14ac:dyDescent="0.2">
      <c r="AE55" s="13">
        <v>51</v>
      </c>
      <c r="AF55" s="13">
        <f t="shared" si="31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142</v>
      </c>
      <c r="AM55" s="14">
        <v>1</v>
      </c>
      <c r="AN55" s="14">
        <f t="shared" si="5"/>
        <v>11</v>
      </c>
      <c r="AO55" s="14">
        <f>INDEX(属性投放!$DF$6:$DF$85,(卡牌属性!AG55-2)*20+卡牌属性!AN55)</f>
        <v>2840</v>
      </c>
      <c r="AP55" s="14">
        <f t="shared" si="127"/>
        <v>2840</v>
      </c>
      <c r="AQ55" s="14">
        <f t="shared" si="127"/>
        <v>2840</v>
      </c>
      <c r="AR55" s="14">
        <f t="shared" si="127"/>
        <v>2840</v>
      </c>
      <c r="AS55" s="14">
        <f t="shared" si="127"/>
        <v>2840</v>
      </c>
      <c r="AT55" s="14">
        <f>INDEX(属性投放!$DG$6:$DG$85,(卡牌属性!AG55-2)*20+卡牌属性!AN55)</f>
        <v>1358</v>
      </c>
      <c r="AU55" s="14">
        <f t="shared" si="128"/>
        <v>1358</v>
      </c>
      <c r="AV55" s="14">
        <f t="shared" si="128"/>
        <v>1358</v>
      </c>
      <c r="AW55" s="14">
        <f t="shared" si="128"/>
        <v>1358</v>
      </c>
      <c r="AX55" s="14">
        <f t="shared" si="128"/>
        <v>1358</v>
      </c>
      <c r="AY55" s="14">
        <f>INDEX(属性投放!$DH$6:$DH$85,(卡牌属性!AG55-2)*20+卡牌属性!AN55)</f>
        <v>20460</v>
      </c>
      <c r="AZ55" s="14">
        <f t="shared" si="129"/>
        <v>20460</v>
      </c>
      <c r="BA55" s="14">
        <f t="shared" si="129"/>
        <v>20460</v>
      </c>
      <c r="BB55" s="14">
        <f t="shared" si="129"/>
        <v>20460</v>
      </c>
      <c r="BC55" s="14">
        <f t="shared" si="129"/>
        <v>20460</v>
      </c>
      <c r="BD55" s="14">
        <f>INDEX(属性投放!$DL$6:$DL$85,(卡牌属性!AG55-2)*20+卡牌属性!AN55)</f>
        <v>92</v>
      </c>
      <c r="BE55" s="14">
        <f t="shared" si="130"/>
        <v>92</v>
      </c>
      <c r="BF55" s="14">
        <f t="shared" si="130"/>
        <v>92</v>
      </c>
      <c r="BG55" s="14">
        <f t="shared" si="130"/>
        <v>92</v>
      </c>
      <c r="BH55" s="14">
        <f t="shared" si="130"/>
        <v>92</v>
      </c>
      <c r="BI55" s="14">
        <f>INDEX(属性投放!$DM$6:$DM$85,(卡牌属性!AG55-2)*20+卡牌属性!AN55)</f>
        <v>46</v>
      </c>
      <c r="BJ55" s="14">
        <f t="shared" si="131"/>
        <v>46</v>
      </c>
      <c r="BK55" s="14">
        <f t="shared" si="131"/>
        <v>46</v>
      </c>
      <c r="BL55" s="14">
        <f t="shared" si="131"/>
        <v>46</v>
      </c>
      <c r="BM55" s="14">
        <f t="shared" si="131"/>
        <v>46</v>
      </c>
      <c r="BN55" s="14">
        <f>INDEX(属性投放!$DN$6:$DN$85,(卡牌属性!AG55-2)*20+卡牌属性!AN55)</f>
        <v>824</v>
      </c>
      <c r="BO55" s="14">
        <f t="shared" si="132"/>
        <v>824</v>
      </c>
      <c r="BP55" s="14">
        <f t="shared" si="132"/>
        <v>824</v>
      </c>
      <c r="BQ55" s="14">
        <f t="shared" si="132"/>
        <v>824</v>
      </c>
      <c r="BR55" s="14">
        <f t="shared" si="132"/>
        <v>824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32"/>
        <v>1102003</v>
      </c>
      <c r="CA55" s="14" t="str">
        <f t="shared" si="33"/>
        <v>典韦11突</v>
      </c>
      <c r="CB55" s="25" t="s">
        <v>142</v>
      </c>
      <c r="CC55" s="14">
        <v>2</v>
      </c>
      <c r="CD55" s="14">
        <f t="shared" si="14"/>
        <v>11</v>
      </c>
      <c r="CE55" s="14" t="s">
        <v>21</v>
      </c>
      <c r="CF55" s="14">
        <f>INDEX(属性投放!$AZ$6:$AZ$85,(BY55-2)*20+CD55)</f>
        <v>4443</v>
      </c>
      <c r="CG55" s="14" t="s">
        <v>22</v>
      </c>
      <c r="CH55" s="14">
        <f>INDEX(属性投放!$BA$6:$BA$85,(BY55-2)*20+CD55)</f>
        <v>2172</v>
      </c>
      <c r="CI55" s="14" t="s">
        <v>510</v>
      </c>
      <c r="CJ55" s="14">
        <f>INDEX(属性投放!$BB$6:$BB$85,(BY55-2)*20+CD55)</f>
        <v>33088</v>
      </c>
      <c r="CK55" s="14" t="s">
        <v>21</v>
      </c>
      <c r="CL55" s="14">
        <f>INDEX(属性投放!$BC$6:$BC$85,(BY55-2)*20+CD55)</f>
        <v>30</v>
      </c>
      <c r="CM55" s="14" t="s">
        <v>22</v>
      </c>
      <c r="CN55" s="14">
        <f>INDEX(属性投放!$BD$6:$BD$85,(BY55-2)*20+CD55)</f>
        <v>15</v>
      </c>
      <c r="CO55" s="14" t="s">
        <v>510</v>
      </c>
      <c r="CP55" s="14">
        <f>INDEX(属性投放!$BE$6:$BE$85,(BY55-2)*20+CD55)</f>
        <v>270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INDEX($O$6:$O$50,CT55)&amp;"-"&amp;INDEX(属性投放!$AB$7:$AB$50,CZ55)&amp;"-魂火-"&amp;DB55</f>
        <v>关羽-无间+1-魂火-3</v>
      </c>
      <c r="CY55" s="25" t="s">
        <v>142</v>
      </c>
      <c r="CZ55" s="14">
        <f>INDEX(属性投放!$AM$7:$AM$58,CU55)</f>
        <v>20</v>
      </c>
      <c r="DA55" s="14" t="s">
        <v>537</v>
      </c>
      <c r="DB55" s="14">
        <f>INDEX(属性投放!$AN$7:$AN$58,CU55)</f>
        <v>3</v>
      </c>
      <c r="DC55" s="14">
        <f t="shared" si="16"/>
        <v>51</v>
      </c>
      <c r="DD55" s="14">
        <f>INDEX(属性投放!$AO$7:$AO$58,DC55)</f>
        <v>145</v>
      </c>
      <c r="DE55" s="14" t="s">
        <v>538</v>
      </c>
      <c r="DF55" s="14">
        <f>INDEX(属性投放!$BK$6:$BK$85,(CV55-2)*20+CZ55)</f>
        <v>1050</v>
      </c>
      <c r="DG55" s="14">
        <f>SUMIFS(DF$5:DF55,$CT$5:$CT55,"="&amp;$CT55)</f>
        <v>19319</v>
      </c>
      <c r="DH55" s="14" t="s">
        <v>539</v>
      </c>
      <c r="DI55" s="14">
        <f>INDEX(属性投放!$BL$6:$BL$85,(CV55-2)*20+CZ55)</f>
        <v>525</v>
      </c>
      <c r="DJ55" s="14">
        <f>SUMIFS(DI$5:DI55,$CT$5:$CT55,"="&amp;$CT55)</f>
        <v>9665</v>
      </c>
      <c r="DK55" s="14" t="s">
        <v>540</v>
      </c>
      <c r="DL55" s="14">
        <f>INDEX(属性投放!$BM$6:$BM$85,(CV55-2)*20+CZ55)</f>
        <v>10500</v>
      </c>
      <c r="DM55" s="14">
        <f>SUMIFS(DL$5:DL55,$CT$5:$CT55,"="&amp;$CT55)</f>
        <v>187602</v>
      </c>
      <c r="DR55" s="14">
        <f t="shared" si="17"/>
        <v>1102003</v>
      </c>
      <c r="DS55" s="14" t="str">
        <f t="shared" si="18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19"/>
        <v>4</v>
      </c>
      <c r="DX55" s="14">
        <f t="shared" si="20"/>
        <v>11</v>
      </c>
      <c r="DY55" s="14">
        <f t="shared" si="21"/>
        <v>51</v>
      </c>
      <c r="DZ55" s="14">
        <f>INDEX(属性投放!$AX$6:$AX$85,(卡牌属性!DW55-2)*20+卡牌属性!DX55)</f>
        <v>8</v>
      </c>
      <c r="EA55" s="14">
        <f>INDEX(属性投放!BQ$6:BQ$85,卡牌属性!$DY55)</f>
        <v>300</v>
      </c>
      <c r="EB55" s="14">
        <f>INDEX(属性投放!BR$6:BR$85,卡牌属性!$DY55)</f>
        <v>150</v>
      </c>
      <c r="EC55" s="14">
        <f>INDEX(属性投放!BS$6:BS$85,卡牌属性!$DY55)</f>
        <v>2700</v>
      </c>
      <c r="ED55" s="14">
        <f t="shared" si="133"/>
        <v>2873</v>
      </c>
      <c r="EE55" s="14">
        <f t="shared" si="134"/>
        <v>3100</v>
      </c>
      <c r="EF55" s="14">
        <f t="shared" si="135"/>
        <v>3355</v>
      </c>
      <c r="EG55" s="14">
        <f t="shared" si="136"/>
        <v>3355</v>
      </c>
      <c r="EH55" s="14">
        <f t="shared" si="137"/>
        <v>3885</v>
      </c>
      <c r="EI55" s="14">
        <f t="shared" si="138"/>
        <v>1169</v>
      </c>
      <c r="EJ55" s="14">
        <f t="shared" si="139"/>
        <v>1407</v>
      </c>
      <c r="EK55" s="14">
        <f t="shared" si="140"/>
        <v>1407</v>
      </c>
      <c r="EL55" s="14">
        <f t="shared" si="141"/>
        <v>1517</v>
      </c>
      <c r="EM55" s="14">
        <f t="shared" si="142"/>
        <v>1642</v>
      </c>
      <c r="EN55" s="14">
        <f t="shared" si="143"/>
        <v>17269</v>
      </c>
      <c r="EO55" s="14">
        <f t="shared" si="144"/>
        <v>20768</v>
      </c>
      <c r="EP55" s="14">
        <f t="shared" si="145"/>
        <v>20768</v>
      </c>
      <c r="EQ55" s="14">
        <f t="shared" si="146"/>
        <v>22287</v>
      </c>
      <c r="ER55" s="14">
        <f t="shared" si="147"/>
        <v>23960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189</v>
      </c>
      <c r="FD55" s="14">
        <f>INDEX(属性偏向!$U$4:$U$243,(卡牌属性!$DV55-1+FD$3)*20+卡牌属性!$DX55)</f>
        <v>270</v>
      </c>
      <c r="FE55" s="14">
        <f>INDEX(属性偏向!$U$4:$U$243,(卡牌属性!$DV55-1+FE$3)*20+卡牌属性!$DX55)</f>
        <v>270</v>
      </c>
      <c r="FF55" s="14">
        <f>INDEX(属性偏向!$U$4:$U$243,(卡牌属性!$DV55-1+FF$3)*20+卡牌属性!$DX55)</f>
        <v>315</v>
      </c>
      <c r="FG55" s="14">
        <f>INDEX(属性偏向!$U$4:$U$243,(卡牌属性!$DV55-1+FG$3)*20+卡牌属性!$DX55)</f>
        <v>360</v>
      </c>
      <c r="FH55" s="14">
        <f>INDEX(属性投放!$BQ$6:$BQ$85,(卡牌属性!$DW55-2)*20+卡牌属性!$DX55)</f>
        <v>300</v>
      </c>
      <c r="FI55" s="14">
        <f>INDEX(属性投放!$BQ$6:$BQ$85,(卡牌属性!$DW55-2)*20+卡牌属性!$DX55)</f>
        <v>300</v>
      </c>
      <c r="FJ55" s="14">
        <f>INDEX(属性投放!$BQ$6:$BQ$85,(卡牌属性!$DW55-2)*20+卡牌属性!$DX55)</f>
        <v>300</v>
      </c>
      <c r="FK55" s="14">
        <f>INDEX(属性投放!$BQ$6:$BQ$85,(卡牌属性!$DW55-2)*20+卡牌属性!$DX55)</f>
        <v>300</v>
      </c>
      <c r="FL55" s="14">
        <f>INDEX(属性投放!$BQ$6:$BQ$85,(卡牌属性!$DW55-2)*20+卡牌属性!$DX55)</f>
        <v>300</v>
      </c>
      <c r="FM55" s="14">
        <f>INDEX(属性投放!$BR$6:$BR$85,(卡牌属性!$DW55-2)*20+卡牌属性!$DX55)</f>
        <v>150</v>
      </c>
      <c r="FN55" s="14">
        <f>INDEX(属性投放!$BR$6:$BR$85,(卡牌属性!$DW55-2)*20+卡牌属性!$DX55)</f>
        <v>150</v>
      </c>
      <c r="FO55" s="14">
        <f>INDEX(属性投放!$BR$6:$BR$85,(卡牌属性!$DW55-2)*20+卡牌属性!$DX55)</f>
        <v>150</v>
      </c>
      <c r="FP55" s="14">
        <f>INDEX(属性投放!$BR$6:$BR$85,(卡牌属性!$DW55-2)*20+卡牌属性!$DX55)</f>
        <v>150</v>
      </c>
      <c r="FQ55" s="14">
        <f>INDEX(属性投放!$BR$6:$BR$85,(卡牌属性!$DW55-2)*20+卡牌属性!$DX55)</f>
        <v>150</v>
      </c>
      <c r="FR55" s="14">
        <f>INDEX(属性投放!$BS$6:$BS$85,(卡牌属性!$DW55-2)*20+卡牌属性!$DX55)</f>
        <v>2700</v>
      </c>
      <c r="FS55" s="14">
        <f>INDEX(属性投放!$BS$6:$BS$85,(卡牌属性!$DW55-2)*20+卡牌属性!$DX55)</f>
        <v>2700</v>
      </c>
      <c r="FT55" s="14">
        <f>INDEX(属性投放!$BS$6:$BS$85,(卡牌属性!$DW55-2)*20+卡牌属性!$DX55)</f>
        <v>2700</v>
      </c>
      <c r="FU55" s="14">
        <f>INDEX(属性投放!$BS$6:$BS$85,(卡牌属性!$DW55-2)*20+卡牌属性!$DX55)</f>
        <v>2700</v>
      </c>
      <c r="FV55" s="14">
        <f>INDEX(属性投放!$BS$6:$BS$85,(卡牌属性!$DW55-2)*20+卡牌属性!$DX55)</f>
        <v>2700</v>
      </c>
      <c r="FZ55" s="13">
        <v>51</v>
      </c>
      <c r="GA55" s="13">
        <f t="shared" si="121"/>
        <v>11</v>
      </c>
      <c r="GB55" s="14">
        <f t="shared" si="56"/>
        <v>1102011</v>
      </c>
      <c r="GC55" s="14" t="s">
        <v>1187</v>
      </c>
      <c r="GD55" s="14">
        <f t="shared" si="122"/>
        <v>1</v>
      </c>
      <c r="GE55" s="14" t="str">
        <f t="shared" si="123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4"/>
        <v>11</v>
      </c>
      <c r="GP55" s="14">
        <f t="shared" si="57"/>
        <v>1101011</v>
      </c>
      <c r="GQ55" s="14" t="s">
        <v>1187</v>
      </c>
      <c r="GR55" s="14">
        <f t="shared" si="125"/>
        <v>1</v>
      </c>
      <c r="GS55" s="14" t="str">
        <f t="shared" si="126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MATCH(HC55,属性投放!$AO$6:$AO$58,1)-1</f>
        <v>13</v>
      </c>
      <c r="HF55" s="13">
        <f>MATCH(HC55-1,属性投放!$AE$6:$AE$26,1)</f>
        <v>7</v>
      </c>
      <c r="HG55" s="13" t="str">
        <f>INDEX(属性投放!$AB$7:$AB$26,卡牌属性!HF55)</f>
        <v>叫唤</v>
      </c>
      <c r="HH55" s="14">
        <f t="shared" si="58"/>
        <v>1523</v>
      </c>
      <c r="HI55" s="14">
        <f t="shared" si="59"/>
        <v>602</v>
      </c>
      <c r="HJ55" s="14">
        <f t="shared" si="60"/>
        <v>7922</v>
      </c>
      <c r="HK55" s="14">
        <f t="shared" si="61"/>
        <v>25</v>
      </c>
      <c r="HL55" s="14">
        <f t="shared" si="62"/>
        <v>8</v>
      </c>
      <c r="HM55" s="14">
        <f t="shared" si="63"/>
        <v>128</v>
      </c>
      <c r="HN55" s="14">
        <f>HH55+HK55*($HC55-INDEX(属性投放!$AE$6:$AE$26,卡牌属性!$HF55))</f>
        <v>1623</v>
      </c>
      <c r="HO55" s="14">
        <f>HI55+HL55*($HC55-INDEX(属性投放!$AE$6:$AE$26,卡牌属性!$HF55))</f>
        <v>634</v>
      </c>
      <c r="HP55" s="14">
        <f>HJ55+HM55*($HC55-INDEX(属性投放!$AE$6:$AE$26,卡牌属性!$HF55))</f>
        <v>8434</v>
      </c>
      <c r="HQ55" s="14">
        <f t="shared" si="64"/>
        <v>635</v>
      </c>
      <c r="HR55" s="14">
        <f t="shared" si="65"/>
        <v>321</v>
      </c>
      <c r="HS55" s="14">
        <f t="shared" si="66"/>
        <v>4450</v>
      </c>
      <c r="HT55" s="14">
        <f>IF(COUNTIF(属性投放!$AO$7:$AO$58,"="&amp;卡牌属性!HC55)&gt;0,卡牌属性!HE55,0)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IF(COUNTIF(属性投放!$AE$6:$AE$26,"="&amp;卡牌属性!HC55)&gt;0,卡牌属性!HF55,0)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25</v>
      </c>
      <c r="IC55" s="14">
        <f t="shared" si="74"/>
        <v>8</v>
      </c>
      <c r="ID55" s="14">
        <f t="shared" si="75"/>
        <v>128</v>
      </c>
      <c r="IE55" s="14">
        <f t="shared" si="76"/>
        <v>2258</v>
      </c>
      <c r="IF55" s="14">
        <f t="shared" si="77"/>
        <v>955</v>
      </c>
      <c r="IG55" s="14">
        <f t="shared" si="78"/>
        <v>12884</v>
      </c>
      <c r="IH55" s="14">
        <f t="shared" si="79"/>
        <v>538</v>
      </c>
      <c r="II55" s="14">
        <f t="shared" si="80"/>
        <v>0</v>
      </c>
      <c r="IJ55" s="14">
        <f t="shared" si="81"/>
        <v>0</v>
      </c>
      <c r="IK55" s="14">
        <f t="shared" si="82"/>
        <v>54564</v>
      </c>
      <c r="IL55" s="17">
        <f t="shared" si="83"/>
        <v>9.8599809398137971E-3</v>
      </c>
      <c r="IM55" s="17">
        <f t="shared" si="84"/>
        <v>0</v>
      </c>
      <c r="IN55" s="17">
        <f t="shared" si="85"/>
        <v>0</v>
      </c>
      <c r="IO55" s="23">
        <f>SUM(IH$5:IH55)</f>
        <v>19874</v>
      </c>
      <c r="IP55" s="14">
        <f>SUM(II$5:II55)</f>
        <v>17220</v>
      </c>
      <c r="IQ55" s="14">
        <f>SUM(IJ$5:IJ55)</f>
        <v>9980</v>
      </c>
      <c r="IR55" s="17">
        <f t="shared" si="86"/>
        <v>0.36423282750531488</v>
      </c>
      <c r="IS55" s="17">
        <f t="shared" si="87"/>
        <v>0.31559269848251592</v>
      </c>
      <c r="IT55" s="17">
        <f t="shared" si="88"/>
        <v>0.18290447914375779</v>
      </c>
      <c r="IW55" s="13">
        <v>51</v>
      </c>
      <c r="IX55" s="14">
        <f>MATCH(IW55-1,属性投放!$T$6:$T$66,1)</f>
        <v>4</v>
      </c>
      <c r="IY55" s="14">
        <f>MATCH(IW55-1,属性投放!$AD$7:$AD$26,1)</f>
        <v>7</v>
      </c>
      <c r="IZ55" s="14" t="str">
        <f>INDEX(属性投放!$AB$7:$AB$26,IY55)</f>
        <v>叫唤</v>
      </c>
      <c r="JA55" s="14">
        <f t="shared" si="89"/>
        <v>1077</v>
      </c>
      <c r="JB55" s="14">
        <f t="shared" si="90"/>
        <v>488</v>
      </c>
      <c r="JC55" s="14">
        <f t="shared" si="91"/>
        <v>6797</v>
      </c>
      <c r="JD55" s="14">
        <f t="shared" si="92"/>
        <v>36</v>
      </c>
      <c r="JE55" s="14">
        <f t="shared" si="93"/>
        <v>18</v>
      </c>
      <c r="JF55" s="14">
        <f t="shared" si="94"/>
        <v>286</v>
      </c>
      <c r="JG55" s="14">
        <f>INDEX(属性投放!$DC$6:$DC$85,卡牌属性!IY55)</f>
        <v>45</v>
      </c>
      <c r="JH55" s="14">
        <f t="shared" si="95"/>
        <v>1293</v>
      </c>
      <c r="JI55" s="14">
        <f t="shared" si="96"/>
        <v>596</v>
      </c>
      <c r="JJ55" s="14">
        <f t="shared" si="97"/>
        <v>8513</v>
      </c>
      <c r="JK55" s="14">
        <f t="shared" si="98"/>
        <v>20938</v>
      </c>
    </row>
    <row r="56" spans="31:271" ht="16.5" x14ac:dyDescent="0.2">
      <c r="AE56" s="13">
        <v>52</v>
      </c>
      <c r="AF56" s="13">
        <f t="shared" si="31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142</v>
      </c>
      <c r="AM56" s="14">
        <v>1</v>
      </c>
      <c r="AN56" s="14">
        <f t="shared" si="5"/>
        <v>12</v>
      </c>
      <c r="AO56" s="14">
        <f>INDEX(属性投放!$DF$6:$DF$85,(卡牌属性!AG56-2)*20+卡牌属性!AN56)</f>
        <v>3102</v>
      </c>
      <c r="AP56" s="14">
        <f t="shared" si="127"/>
        <v>3102</v>
      </c>
      <c r="AQ56" s="14">
        <f t="shared" si="127"/>
        <v>3102</v>
      </c>
      <c r="AR56" s="14">
        <f t="shared" si="127"/>
        <v>3102</v>
      </c>
      <c r="AS56" s="14">
        <f t="shared" si="127"/>
        <v>3102</v>
      </c>
      <c r="AT56" s="14">
        <f>INDEX(属性投放!$DG$6:$DG$85,(卡牌属性!AG56-2)*20+卡牌属性!AN56)</f>
        <v>1489</v>
      </c>
      <c r="AU56" s="14">
        <f t="shared" si="128"/>
        <v>1489</v>
      </c>
      <c r="AV56" s="14">
        <f t="shared" si="128"/>
        <v>1489</v>
      </c>
      <c r="AW56" s="14">
        <f t="shared" si="128"/>
        <v>1489</v>
      </c>
      <c r="AX56" s="14">
        <f t="shared" si="128"/>
        <v>1489</v>
      </c>
      <c r="AY56" s="14">
        <f>INDEX(属性投放!$DH$6:$DH$85,(卡牌属性!AG56-2)*20+卡牌属性!AN56)</f>
        <v>22814</v>
      </c>
      <c r="AZ56" s="14">
        <f t="shared" si="129"/>
        <v>22814</v>
      </c>
      <c r="BA56" s="14">
        <f t="shared" si="129"/>
        <v>22814</v>
      </c>
      <c r="BB56" s="14">
        <f t="shared" si="129"/>
        <v>22814</v>
      </c>
      <c r="BC56" s="14">
        <f t="shared" si="129"/>
        <v>22814</v>
      </c>
      <c r="BD56" s="14">
        <f>INDEX(属性投放!$DL$6:$DL$85,(卡牌属性!AG56-2)*20+卡牌属性!AN56)</f>
        <v>92</v>
      </c>
      <c r="BE56" s="14">
        <f t="shared" si="130"/>
        <v>92</v>
      </c>
      <c r="BF56" s="14">
        <f t="shared" si="130"/>
        <v>92</v>
      </c>
      <c r="BG56" s="14">
        <f t="shared" si="130"/>
        <v>92</v>
      </c>
      <c r="BH56" s="14">
        <f t="shared" si="130"/>
        <v>92</v>
      </c>
      <c r="BI56" s="14">
        <f>INDEX(属性投放!$DM$6:$DM$85,(卡牌属性!AG56-2)*20+卡牌属性!AN56)</f>
        <v>46</v>
      </c>
      <c r="BJ56" s="14">
        <f t="shared" si="131"/>
        <v>46</v>
      </c>
      <c r="BK56" s="14">
        <f t="shared" si="131"/>
        <v>46</v>
      </c>
      <c r="BL56" s="14">
        <f t="shared" si="131"/>
        <v>46</v>
      </c>
      <c r="BM56" s="14">
        <f t="shared" si="131"/>
        <v>46</v>
      </c>
      <c r="BN56" s="14">
        <f>INDEX(属性投放!$DN$6:$DN$85,(卡牌属性!AG56-2)*20+卡牌属性!AN56)</f>
        <v>824</v>
      </c>
      <c r="BO56" s="14">
        <f t="shared" si="132"/>
        <v>824</v>
      </c>
      <c r="BP56" s="14">
        <f t="shared" si="132"/>
        <v>824</v>
      </c>
      <c r="BQ56" s="14">
        <f t="shared" si="132"/>
        <v>824</v>
      </c>
      <c r="BR56" s="14">
        <f t="shared" si="132"/>
        <v>824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32"/>
        <v>1102003</v>
      </c>
      <c r="CA56" s="14" t="str">
        <f t="shared" si="33"/>
        <v>典韦12突</v>
      </c>
      <c r="CB56" s="25" t="s">
        <v>142</v>
      </c>
      <c r="CC56" s="14">
        <v>2</v>
      </c>
      <c r="CD56" s="14">
        <f t="shared" si="14"/>
        <v>12</v>
      </c>
      <c r="CE56" s="14" t="s">
        <v>21</v>
      </c>
      <c r="CF56" s="14">
        <f>INDEX(属性投放!$AZ$6:$AZ$85,(BY56-2)*20+CD56)</f>
        <v>5493</v>
      </c>
      <c r="CG56" s="14" t="s">
        <v>22</v>
      </c>
      <c r="CH56" s="14">
        <f>INDEX(属性投放!$BA$6:$BA$85,(BY56-2)*20+CD56)</f>
        <v>2697</v>
      </c>
      <c r="CI56" s="14" t="s">
        <v>510</v>
      </c>
      <c r="CJ56" s="14">
        <f>INDEX(属性投放!$BB$6:$BB$85,(BY56-2)*20+CD56)</f>
        <v>42538</v>
      </c>
      <c r="CK56" s="14" t="s">
        <v>21</v>
      </c>
      <c r="CL56" s="14">
        <f>INDEX(属性投放!$BC$6:$BC$85,(BY56-2)*20+CD56)</f>
        <v>30</v>
      </c>
      <c r="CM56" s="14" t="s">
        <v>22</v>
      </c>
      <c r="CN56" s="14">
        <f>INDEX(属性投放!$BD$6:$BD$85,(BY56-2)*20+CD56)</f>
        <v>15</v>
      </c>
      <c r="CO56" s="14" t="s">
        <v>510</v>
      </c>
      <c r="CP56" s="14">
        <f>INDEX(属性投放!$BE$6:$BE$85,(BY56-2)*20+CD56)</f>
        <v>270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INDEX($O$6:$O$50,CT56)&amp;"-"&amp;INDEX(属性投放!$AB$7:$AB$50,CZ56)&amp;"-魂火-"&amp;DB56</f>
        <v>关羽-无间+1-魂火-4</v>
      </c>
      <c r="CY56" s="25" t="s">
        <v>142</v>
      </c>
      <c r="CZ56" s="14">
        <f>INDEX(属性投放!$AM$7:$AM$58,CU56)</f>
        <v>20</v>
      </c>
      <c r="DA56" s="14" t="s">
        <v>537</v>
      </c>
      <c r="DB56" s="14">
        <f>INDEX(属性投放!$AN$7:$AN$58,CU56)</f>
        <v>4</v>
      </c>
      <c r="DC56" s="14">
        <f t="shared" si="16"/>
        <v>52</v>
      </c>
      <c r="DD56" s="14">
        <f>INDEX(属性投放!$AO$7:$AO$58,DC56)</f>
        <v>148</v>
      </c>
      <c r="DE56" s="14" t="s">
        <v>538</v>
      </c>
      <c r="DF56" s="14">
        <f>INDEX(属性投放!$BK$6:$BK$85,(CV56-2)*20+CZ56)</f>
        <v>1050</v>
      </c>
      <c r="DG56" s="14">
        <f>SUMIFS(DF$5:DF56,$CT$5:$CT56,"="&amp;$CT56)</f>
        <v>20369</v>
      </c>
      <c r="DH56" s="14" t="s">
        <v>539</v>
      </c>
      <c r="DI56" s="14">
        <f>INDEX(属性投放!$BL$6:$BL$85,(CV56-2)*20+CZ56)</f>
        <v>525</v>
      </c>
      <c r="DJ56" s="14">
        <f>SUMIFS(DI$5:DI56,$CT$5:$CT56,"="&amp;$CT56)</f>
        <v>10190</v>
      </c>
      <c r="DK56" s="14" t="s">
        <v>540</v>
      </c>
      <c r="DL56" s="14">
        <f>INDEX(属性投放!$BM$6:$BM$85,(CV56-2)*20+CZ56)</f>
        <v>10500</v>
      </c>
      <c r="DM56" s="14">
        <f>SUMIFS(DL$5:DL56,$CT$5:$CT56,"="&amp;$CT56)</f>
        <v>198102</v>
      </c>
      <c r="DR56" s="14">
        <f t="shared" si="17"/>
        <v>1102003</v>
      </c>
      <c r="DS56" s="14" t="str">
        <f t="shared" si="18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19"/>
        <v>4</v>
      </c>
      <c r="DX56" s="14">
        <f t="shared" si="20"/>
        <v>12</v>
      </c>
      <c r="DY56" s="14">
        <f t="shared" si="21"/>
        <v>52</v>
      </c>
      <c r="DZ56" s="14">
        <f>INDEX(属性投放!$AX$6:$AX$85,(卡牌属性!DW56-2)*20+卡牌属性!DX56)</f>
        <v>7</v>
      </c>
      <c r="EA56" s="14">
        <f>INDEX(属性投放!BQ$6:BQ$85,卡牌属性!$DY56)</f>
        <v>400</v>
      </c>
      <c r="EB56" s="14">
        <f>INDEX(属性投放!BR$6:BR$85,卡牌属性!$DY56)</f>
        <v>200</v>
      </c>
      <c r="EC56" s="14">
        <f>INDEX(属性投放!BS$6:BS$85,卡牌属性!$DY56)</f>
        <v>3600</v>
      </c>
      <c r="ED56" s="14">
        <f t="shared" si="133"/>
        <v>3413</v>
      </c>
      <c r="EE56" s="14">
        <f t="shared" si="134"/>
        <v>3680</v>
      </c>
      <c r="EF56" s="14">
        <f t="shared" si="135"/>
        <v>3975</v>
      </c>
      <c r="EG56" s="14">
        <f t="shared" si="136"/>
        <v>3975</v>
      </c>
      <c r="EH56" s="14">
        <f t="shared" si="137"/>
        <v>4585</v>
      </c>
      <c r="EI56" s="14">
        <f t="shared" si="138"/>
        <v>1407</v>
      </c>
      <c r="EJ56" s="14">
        <f t="shared" si="139"/>
        <v>1677</v>
      </c>
      <c r="EK56" s="14">
        <f t="shared" si="140"/>
        <v>1677</v>
      </c>
      <c r="EL56" s="14">
        <f t="shared" si="141"/>
        <v>1811</v>
      </c>
      <c r="EM56" s="14">
        <f t="shared" si="142"/>
        <v>1952</v>
      </c>
      <c r="EN56" s="14">
        <f t="shared" si="143"/>
        <v>21481</v>
      </c>
      <c r="EO56" s="14">
        <f t="shared" si="144"/>
        <v>25628</v>
      </c>
      <c r="EP56" s="14">
        <f t="shared" si="145"/>
        <v>25628</v>
      </c>
      <c r="EQ56" s="14">
        <f t="shared" si="146"/>
        <v>27507</v>
      </c>
      <c r="ER56" s="14">
        <f t="shared" si="147"/>
        <v>29540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189</v>
      </c>
      <c r="FD56" s="14">
        <f>INDEX(属性偏向!$U$4:$U$243,(卡牌属性!$DV56-1+FD$3)*20+卡牌属性!$DX56)</f>
        <v>270</v>
      </c>
      <c r="FE56" s="14">
        <f>INDEX(属性偏向!$U$4:$U$243,(卡牌属性!$DV56-1+FE$3)*20+卡牌属性!$DX56)</f>
        <v>270</v>
      </c>
      <c r="FF56" s="14">
        <f>INDEX(属性偏向!$U$4:$U$243,(卡牌属性!$DV56-1+FF$3)*20+卡牌属性!$DX56)</f>
        <v>315</v>
      </c>
      <c r="FG56" s="14">
        <f>INDEX(属性偏向!$U$4:$U$243,(卡牌属性!$DV56-1+FG$3)*20+卡牌属性!$DX56)</f>
        <v>360</v>
      </c>
      <c r="FH56" s="14">
        <f>INDEX(属性投放!$BQ$6:$BQ$85,(卡牌属性!$DW56-2)*20+卡牌属性!$DX56)</f>
        <v>400</v>
      </c>
      <c r="FI56" s="14">
        <f>INDEX(属性投放!$BQ$6:$BQ$85,(卡牌属性!$DW56-2)*20+卡牌属性!$DX56)</f>
        <v>400</v>
      </c>
      <c r="FJ56" s="14">
        <f>INDEX(属性投放!$BQ$6:$BQ$85,(卡牌属性!$DW56-2)*20+卡牌属性!$DX56)</f>
        <v>400</v>
      </c>
      <c r="FK56" s="14">
        <f>INDEX(属性投放!$BQ$6:$BQ$85,(卡牌属性!$DW56-2)*20+卡牌属性!$DX56)</f>
        <v>400</v>
      </c>
      <c r="FL56" s="14">
        <f>INDEX(属性投放!$BQ$6:$BQ$85,(卡牌属性!$DW56-2)*20+卡牌属性!$DX56)</f>
        <v>400</v>
      </c>
      <c r="FM56" s="14">
        <f>INDEX(属性投放!$BR$6:$BR$85,(卡牌属性!$DW56-2)*20+卡牌属性!$DX56)</f>
        <v>200</v>
      </c>
      <c r="FN56" s="14">
        <f>INDEX(属性投放!$BR$6:$BR$85,(卡牌属性!$DW56-2)*20+卡牌属性!$DX56)</f>
        <v>200</v>
      </c>
      <c r="FO56" s="14">
        <f>INDEX(属性投放!$BR$6:$BR$85,(卡牌属性!$DW56-2)*20+卡牌属性!$DX56)</f>
        <v>200</v>
      </c>
      <c r="FP56" s="14">
        <f>INDEX(属性投放!$BR$6:$BR$85,(卡牌属性!$DW56-2)*20+卡牌属性!$DX56)</f>
        <v>200</v>
      </c>
      <c r="FQ56" s="14">
        <f>INDEX(属性投放!$BR$6:$BR$85,(卡牌属性!$DW56-2)*20+卡牌属性!$DX56)</f>
        <v>200</v>
      </c>
      <c r="FR56" s="14">
        <f>INDEX(属性投放!$BS$6:$BS$85,(卡牌属性!$DW56-2)*20+卡牌属性!$DX56)</f>
        <v>3600</v>
      </c>
      <c r="FS56" s="14">
        <f>INDEX(属性投放!$BS$6:$BS$85,(卡牌属性!$DW56-2)*20+卡牌属性!$DX56)</f>
        <v>3600</v>
      </c>
      <c r="FT56" s="14">
        <f>INDEX(属性投放!$BS$6:$BS$85,(卡牌属性!$DW56-2)*20+卡牌属性!$DX56)</f>
        <v>3600</v>
      </c>
      <c r="FU56" s="14">
        <f>INDEX(属性投放!$BS$6:$BS$85,(卡牌属性!$DW56-2)*20+卡牌属性!$DX56)</f>
        <v>3600</v>
      </c>
      <c r="FV56" s="14">
        <f>INDEX(属性投放!$BS$6:$BS$85,(卡牌属性!$DW56-2)*20+卡牌属性!$DX56)</f>
        <v>3600</v>
      </c>
      <c r="FZ56" s="13">
        <v>52</v>
      </c>
      <c r="GA56" s="13">
        <f t="shared" si="121"/>
        <v>11</v>
      </c>
      <c r="GB56" s="14">
        <f t="shared" si="56"/>
        <v>1102011</v>
      </c>
      <c r="GC56" s="14" t="s">
        <v>1187</v>
      </c>
      <c r="GD56" s="14">
        <f t="shared" si="122"/>
        <v>2</v>
      </c>
      <c r="GE56" s="14" t="str">
        <f t="shared" si="123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4"/>
        <v>11</v>
      </c>
      <c r="GP56" s="14">
        <f t="shared" si="57"/>
        <v>1101011</v>
      </c>
      <c r="GQ56" s="14" t="s">
        <v>1187</v>
      </c>
      <c r="GR56" s="14">
        <f t="shared" si="125"/>
        <v>2</v>
      </c>
      <c r="GS56" s="14" t="str">
        <f t="shared" si="126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MATCH(HC56,属性投放!$AO$6:$AO$58,1)-1</f>
        <v>13</v>
      </c>
      <c r="HF56" s="13">
        <f>MATCH(HC56-1,属性投放!$AE$6:$AE$26,1)</f>
        <v>7</v>
      </c>
      <c r="HG56" s="13" t="str">
        <f>INDEX(属性投放!$AB$7:$AB$26,卡牌属性!HF56)</f>
        <v>叫唤</v>
      </c>
      <c r="HH56" s="14">
        <f t="shared" si="58"/>
        <v>1523</v>
      </c>
      <c r="HI56" s="14">
        <f t="shared" si="59"/>
        <v>602</v>
      </c>
      <c r="HJ56" s="14">
        <f t="shared" si="60"/>
        <v>7922</v>
      </c>
      <c r="HK56" s="14">
        <f t="shared" si="61"/>
        <v>25</v>
      </c>
      <c r="HL56" s="14">
        <f t="shared" si="62"/>
        <v>8</v>
      </c>
      <c r="HM56" s="14">
        <f t="shared" si="63"/>
        <v>128</v>
      </c>
      <c r="HN56" s="14">
        <f>HH56+HK56*($HC56-INDEX(属性投放!$AE$6:$AE$26,卡牌属性!$HF56))</f>
        <v>1648</v>
      </c>
      <c r="HO56" s="14">
        <f>HI56+HL56*($HC56-INDEX(属性投放!$AE$6:$AE$26,卡牌属性!$HF56))</f>
        <v>642</v>
      </c>
      <c r="HP56" s="14">
        <f>HJ56+HM56*($HC56-INDEX(属性投放!$AE$6:$AE$26,卡牌属性!$HF56))</f>
        <v>8562</v>
      </c>
      <c r="HQ56" s="14">
        <f t="shared" si="64"/>
        <v>635</v>
      </c>
      <c r="HR56" s="14">
        <f t="shared" si="65"/>
        <v>321</v>
      </c>
      <c r="HS56" s="14">
        <f t="shared" si="66"/>
        <v>4450</v>
      </c>
      <c r="HT56" s="14">
        <f>IF(COUNTIF(属性投放!$AO$7:$AO$58,"="&amp;卡牌属性!HC56)&gt;0,卡牌属性!HE56,0)</f>
        <v>0</v>
      </c>
      <c r="HU56" s="14">
        <f t="shared" si="67"/>
        <v>0</v>
      </c>
      <c r="HV56" s="14">
        <f t="shared" si="68"/>
        <v>0</v>
      </c>
      <c r="HW56" s="14">
        <f t="shared" si="69"/>
        <v>0</v>
      </c>
      <c r="HX56" s="14">
        <f>IF(COUNTIF(属性投放!$AE$6:$AE$26,"="&amp;卡牌属性!HC56)&gt;0,卡牌属性!HF56,0)</f>
        <v>7</v>
      </c>
      <c r="HY56" s="14">
        <f t="shared" si="70"/>
        <v>160</v>
      </c>
      <c r="HZ56" s="14">
        <f t="shared" si="71"/>
        <v>80</v>
      </c>
      <c r="IA56" s="14">
        <f t="shared" si="72"/>
        <v>1120</v>
      </c>
      <c r="IB56" s="14">
        <f t="shared" si="73"/>
        <v>25</v>
      </c>
      <c r="IC56" s="14">
        <f t="shared" si="74"/>
        <v>8</v>
      </c>
      <c r="ID56" s="14">
        <f t="shared" si="75"/>
        <v>128</v>
      </c>
      <c r="IE56" s="14">
        <f t="shared" si="76"/>
        <v>2283</v>
      </c>
      <c r="IF56" s="14">
        <f t="shared" si="77"/>
        <v>963</v>
      </c>
      <c r="IG56" s="14">
        <f t="shared" si="78"/>
        <v>13012</v>
      </c>
      <c r="IH56" s="14">
        <f t="shared" si="79"/>
        <v>538</v>
      </c>
      <c r="II56" s="14">
        <f t="shared" si="80"/>
        <v>0</v>
      </c>
      <c r="IJ56" s="14">
        <f t="shared" si="81"/>
        <v>4320</v>
      </c>
      <c r="IK56" s="14">
        <f t="shared" si="82"/>
        <v>55102</v>
      </c>
      <c r="IL56" s="17">
        <f t="shared" si="83"/>
        <v>9.7637109360821754E-3</v>
      </c>
      <c r="IM56" s="17">
        <f t="shared" si="84"/>
        <v>0</v>
      </c>
      <c r="IN56" s="17">
        <f t="shared" si="85"/>
        <v>7.8400058074117096E-2</v>
      </c>
      <c r="IO56" s="23">
        <f>SUM(IH$5:IH56)</f>
        <v>20412</v>
      </c>
      <c r="IP56" s="14">
        <f>SUM(II$5:II56)</f>
        <v>17220</v>
      </c>
      <c r="IQ56" s="14">
        <f>SUM(IJ$5:IJ56)</f>
        <v>14300</v>
      </c>
      <c r="IR56" s="17">
        <f t="shared" si="86"/>
        <v>0.37044027440020327</v>
      </c>
      <c r="IS56" s="17">
        <f t="shared" si="87"/>
        <v>0.3125113426009945</v>
      </c>
      <c r="IT56" s="17">
        <f t="shared" si="88"/>
        <v>0.25951871075460053</v>
      </c>
      <c r="IW56" s="13">
        <v>52</v>
      </c>
      <c r="IX56" s="14">
        <f>MATCH(IW56-1,属性投放!$T$6:$T$66,1)</f>
        <v>4</v>
      </c>
      <c r="IY56" s="14">
        <f>MATCH(IW56-1,属性投放!$AD$7:$AD$26,1)</f>
        <v>7</v>
      </c>
      <c r="IZ56" s="14" t="str">
        <f>INDEX(属性投放!$AB$7:$AB$26,IY56)</f>
        <v>叫唤</v>
      </c>
      <c r="JA56" s="14">
        <f t="shared" si="89"/>
        <v>1077</v>
      </c>
      <c r="JB56" s="14">
        <f t="shared" si="90"/>
        <v>488</v>
      </c>
      <c r="JC56" s="14">
        <f t="shared" si="91"/>
        <v>6797</v>
      </c>
      <c r="JD56" s="14">
        <f t="shared" si="92"/>
        <v>36</v>
      </c>
      <c r="JE56" s="14">
        <f t="shared" si="93"/>
        <v>18</v>
      </c>
      <c r="JF56" s="14">
        <f t="shared" si="94"/>
        <v>286</v>
      </c>
      <c r="JG56" s="14">
        <f>INDEX(属性投放!$DC$6:$DC$85,卡牌属性!IY56)</f>
        <v>45</v>
      </c>
      <c r="JH56" s="14">
        <f t="shared" si="95"/>
        <v>1329</v>
      </c>
      <c r="JI56" s="14">
        <f t="shared" si="96"/>
        <v>614</v>
      </c>
      <c r="JJ56" s="14">
        <f t="shared" si="97"/>
        <v>8799</v>
      </c>
      <c r="JK56" s="14">
        <f t="shared" si="98"/>
        <v>21584</v>
      </c>
    </row>
    <row r="57" spans="31:271" ht="16.5" x14ac:dyDescent="0.2">
      <c r="AE57" s="13">
        <v>53</v>
      </c>
      <c r="AF57" s="13">
        <f t="shared" si="31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142</v>
      </c>
      <c r="AM57" s="14">
        <v>1</v>
      </c>
      <c r="AN57" s="14">
        <f t="shared" si="5"/>
        <v>13</v>
      </c>
      <c r="AO57" s="14">
        <f>INDEX(属性投放!$DF$6:$DF$85,(卡牌属性!AG57-2)*20+卡牌属性!AN57)</f>
        <v>5664</v>
      </c>
      <c r="AP57" s="14">
        <f t="shared" si="127"/>
        <v>5664</v>
      </c>
      <c r="AQ57" s="14">
        <f t="shared" si="127"/>
        <v>5664</v>
      </c>
      <c r="AR57" s="14">
        <f t="shared" si="127"/>
        <v>5664</v>
      </c>
      <c r="AS57" s="14">
        <f t="shared" si="127"/>
        <v>5664</v>
      </c>
      <c r="AT57" s="14">
        <f>INDEX(属性投放!$DG$6:$DG$85,(卡牌属性!AG57-2)*20+卡牌属性!AN57)</f>
        <v>2770</v>
      </c>
      <c r="AU57" s="14">
        <f t="shared" si="128"/>
        <v>2770</v>
      </c>
      <c r="AV57" s="14">
        <f t="shared" si="128"/>
        <v>2770</v>
      </c>
      <c r="AW57" s="14">
        <f t="shared" si="128"/>
        <v>2770</v>
      </c>
      <c r="AX57" s="14">
        <f t="shared" si="128"/>
        <v>2770</v>
      </c>
      <c r="AY57" s="14">
        <f>INDEX(属性投放!$DH$6:$DH$85,(卡牌属性!AG57-2)*20+卡牌属性!AN57)</f>
        <v>45768</v>
      </c>
      <c r="AZ57" s="14">
        <f t="shared" si="129"/>
        <v>45768</v>
      </c>
      <c r="BA57" s="14">
        <f t="shared" si="129"/>
        <v>45768</v>
      </c>
      <c r="BB57" s="14">
        <f t="shared" si="129"/>
        <v>45768</v>
      </c>
      <c r="BC57" s="14">
        <f t="shared" si="129"/>
        <v>45768</v>
      </c>
      <c r="BD57" s="14">
        <f>INDEX(属性投放!$DL$6:$DL$85,(卡牌属性!AG57-2)*20+卡牌属性!AN57)</f>
        <v>176</v>
      </c>
      <c r="BE57" s="14">
        <f t="shared" si="130"/>
        <v>176</v>
      </c>
      <c r="BF57" s="14">
        <f t="shared" si="130"/>
        <v>176</v>
      </c>
      <c r="BG57" s="14">
        <f t="shared" si="130"/>
        <v>176</v>
      </c>
      <c r="BH57" s="14">
        <f t="shared" si="130"/>
        <v>176</v>
      </c>
      <c r="BI57" s="14">
        <f>INDEX(属性投放!$DM$6:$DM$85,(卡牌属性!AG57-2)*20+卡牌属性!AN57)</f>
        <v>88</v>
      </c>
      <c r="BJ57" s="14">
        <f t="shared" si="131"/>
        <v>88</v>
      </c>
      <c r="BK57" s="14">
        <f t="shared" si="131"/>
        <v>88</v>
      </c>
      <c r="BL57" s="14">
        <f t="shared" si="131"/>
        <v>88</v>
      </c>
      <c r="BM57" s="14">
        <f t="shared" si="131"/>
        <v>88</v>
      </c>
      <c r="BN57" s="14">
        <f>INDEX(属性投放!$DN$6:$DN$85,(卡牌属性!AG57-2)*20+卡牌属性!AN57)</f>
        <v>1759</v>
      </c>
      <c r="BO57" s="14">
        <f t="shared" si="132"/>
        <v>1759</v>
      </c>
      <c r="BP57" s="14">
        <f t="shared" si="132"/>
        <v>1759</v>
      </c>
      <c r="BQ57" s="14">
        <f t="shared" si="132"/>
        <v>1759</v>
      </c>
      <c r="BR57" s="14">
        <f t="shared" si="132"/>
        <v>1759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32"/>
        <v>1102003</v>
      </c>
      <c r="CA57" s="14" t="str">
        <f t="shared" si="33"/>
        <v>典韦13突</v>
      </c>
      <c r="CB57" s="25" t="s">
        <v>142</v>
      </c>
      <c r="CC57" s="14">
        <v>2</v>
      </c>
      <c r="CD57" s="14">
        <f t="shared" si="14"/>
        <v>13</v>
      </c>
      <c r="CE57" s="14" t="s">
        <v>21</v>
      </c>
      <c r="CF57" s="14">
        <f>INDEX(属性投放!$AZ$6:$AZ$85,(BY57-2)*20+CD57)</f>
        <v>6778</v>
      </c>
      <c r="CG57" s="14" t="s">
        <v>22</v>
      </c>
      <c r="CH57" s="14">
        <f>INDEX(属性投放!$BA$6:$BA$85,(BY57-2)*20+CD57)</f>
        <v>3341</v>
      </c>
      <c r="CI57" s="14" t="s">
        <v>510</v>
      </c>
      <c r="CJ57" s="14">
        <f>INDEX(属性投放!$BB$6:$BB$85,(BY57-2)*20+CD57)</f>
        <v>54103</v>
      </c>
      <c r="CK57" s="14" t="s">
        <v>21</v>
      </c>
      <c r="CL57" s="14">
        <f>INDEX(属性投放!$BC$6:$BC$85,(BY57-2)*20+CD57)</f>
        <v>40</v>
      </c>
      <c r="CM57" s="14" t="s">
        <v>22</v>
      </c>
      <c r="CN57" s="14">
        <f>INDEX(属性投放!$BD$6:$BD$85,(BY57-2)*20+CD57)</f>
        <v>20</v>
      </c>
      <c r="CO57" s="14" t="s">
        <v>510</v>
      </c>
      <c r="CP57" s="14">
        <f>INDEX(属性投放!$BE$6:$BE$85,(BY57-2)*20+CD57)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INDEX($O$6:$O$50,CT57)&amp;"-"&amp;INDEX(属性投放!$AB$7:$AB$50,CZ57)&amp;"-魂火-"&amp;DB57</f>
        <v>许褚-等活-魂火-1</v>
      </c>
      <c r="CY57" s="25" t="s">
        <v>142</v>
      </c>
      <c r="CZ57" s="14">
        <f>INDEX(属性投放!$AM$7:$AM$58,CU57)</f>
        <v>1</v>
      </c>
      <c r="DA57" s="14" t="s">
        <v>537</v>
      </c>
      <c r="DB57" s="14">
        <f>INDEX(属性投放!$AN$7:$AN$58,CU57)</f>
        <v>1</v>
      </c>
      <c r="DC57" s="14">
        <f t="shared" si="16"/>
        <v>1</v>
      </c>
      <c r="DD57" s="14">
        <f>INDEX(属性投放!$AO$7:$AO$58,DC57)</f>
        <v>3</v>
      </c>
      <c r="DE57" s="14" t="s">
        <v>538</v>
      </c>
      <c r="DF57" s="14">
        <f>INDEX(属性投放!$BK$6:$BK$85,(CV57-2)*20+CZ57)</f>
        <v>20</v>
      </c>
      <c r="DG57" s="14">
        <f>SUMIFS(DF$5:DF57,$CT$5:$CT57,"="&amp;$CT57)</f>
        <v>20</v>
      </c>
      <c r="DH57" s="14" t="s">
        <v>539</v>
      </c>
      <c r="DI57" s="14">
        <f>INDEX(属性投放!$BL$6:$BL$85,(CV57-2)*20+CZ57)</f>
        <v>10</v>
      </c>
      <c r="DJ57" s="14">
        <f>SUMIFS(DI$5:DI57,$CT$5:$CT57,"="&amp;$CT57)</f>
        <v>10</v>
      </c>
      <c r="DK57" s="14" t="s">
        <v>540</v>
      </c>
      <c r="DL57" s="14">
        <f>INDEX(属性投放!$BM$6:$BM$85,(CV57-2)*20+CZ57)</f>
        <v>120</v>
      </c>
      <c r="DM57" s="14">
        <f>SUMIFS(DL$5:DL57,$CT$5:$CT57,"="&amp;$CT57)</f>
        <v>120</v>
      </c>
      <c r="DR57" s="14">
        <f t="shared" si="17"/>
        <v>1102003</v>
      </c>
      <c r="DS57" s="14" t="str">
        <f t="shared" si="18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19"/>
        <v>4</v>
      </c>
      <c r="DX57" s="14">
        <f t="shared" si="20"/>
        <v>13</v>
      </c>
      <c r="DY57" s="14">
        <f t="shared" si="21"/>
        <v>53</v>
      </c>
      <c r="DZ57" s="14">
        <f>INDEX(属性投放!$AX$6:$AX$85,(卡牌属性!DW57-2)*20+卡牌属性!DX57)</f>
        <v>8</v>
      </c>
      <c r="EA57" s="14">
        <f>INDEX(属性投放!BQ$6:BQ$85,卡牌属性!$DY57)</f>
        <v>450</v>
      </c>
      <c r="EB57" s="14">
        <f>INDEX(属性投放!BR$6:BR$85,卡牌属性!$DY57)</f>
        <v>225</v>
      </c>
      <c r="EC57" s="14">
        <f>INDEX(属性投放!BS$6:BS$85,卡牌属性!$DY57)</f>
        <v>4500</v>
      </c>
      <c r="ED57" s="14">
        <f t="shared" si="133"/>
        <v>4023</v>
      </c>
      <c r="EE57" s="14">
        <f t="shared" si="134"/>
        <v>4325</v>
      </c>
      <c r="EF57" s="14">
        <f t="shared" si="135"/>
        <v>4655</v>
      </c>
      <c r="EG57" s="14">
        <f t="shared" si="136"/>
        <v>4655</v>
      </c>
      <c r="EH57" s="14">
        <f t="shared" si="137"/>
        <v>5335</v>
      </c>
      <c r="EI57" s="14">
        <f t="shared" si="138"/>
        <v>1684</v>
      </c>
      <c r="EJ57" s="14">
        <f t="shared" si="139"/>
        <v>1982</v>
      </c>
      <c r="EK57" s="14">
        <f t="shared" si="140"/>
        <v>1982</v>
      </c>
      <c r="EL57" s="14">
        <f t="shared" si="141"/>
        <v>2137</v>
      </c>
      <c r="EM57" s="14">
        <f t="shared" si="142"/>
        <v>2292</v>
      </c>
      <c r="EN57" s="14">
        <f t="shared" si="143"/>
        <v>26404</v>
      </c>
      <c r="EO57" s="14">
        <f t="shared" si="144"/>
        <v>31118</v>
      </c>
      <c r="EP57" s="14">
        <f t="shared" si="145"/>
        <v>31118</v>
      </c>
      <c r="EQ57" s="14">
        <f t="shared" si="146"/>
        <v>33312</v>
      </c>
      <c r="ER57" s="14">
        <f t="shared" si="147"/>
        <v>35660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INDEX(属性投放!$BQ$6:$BQ$85,(卡牌属性!$DW57-2)*20+卡牌属性!$DX57)</f>
        <v>450</v>
      </c>
      <c r="FI57" s="14">
        <f>INDEX(属性投放!$BQ$6:$BQ$85,(卡牌属性!$DW57-2)*20+卡牌属性!$DX57)</f>
        <v>450</v>
      </c>
      <c r="FJ57" s="14">
        <f>INDEX(属性投放!$BQ$6:$BQ$85,(卡牌属性!$DW57-2)*20+卡牌属性!$DX57)</f>
        <v>450</v>
      </c>
      <c r="FK57" s="14">
        <f>INDEX(属性投放!$BQ$6:$BQ$85,(卡牌属性!$DW57-2)*20+卡牌属性!$DX57)</f>
        <v>450</v>
      </c>
      <c r="FL57" s="14">
        <f>INDEX(属性投放!$BQ$6:$BQ$85,(卡牌属性!$DW57-2)*20+卡牌属性!$DX57)</f>
        <v>450</v>
      </c>
      <c r="FM57" s="14">
        <f>INDEX(属性投放!$BR$6:$BR$85,(卡牌属性!$DW57-2)*20+卡牌属性!$DX57)</f>
        <v>225</v>
      </c>
      <c r="FN57" s="14">
        <f>INDEX(属性投放!$BR$6:$BR$85,(卡牌属性!$DW57-2)*20+卡牌属性!$DX57)</f>
        <v>225</v>
      </c>
      <c r="FO57" s="14">
        <f>INDEX(属性投放!$BR$6:$BR$85,(卡牌属性!$DW57-2)*20+卡牌属性!$DX57)</f>
        <v>225</v>
      </c>
      <c r="FP57" s="14">
        <f>INDEX(属性投放!$BR$6:$BR$85,(卡牌属性!$DW57-2)*20+卡牌属性!$DX57)</f>
        <v>225</v>
      </c>
      <c r="FQ57" s="14">
        <f>INDEX(属性投放!$BR$6:$BR$85,(卡牌属性!$DW57-2)*20+卡牌属性!$DX57)</f>
        <v>225</v>
      </c>
      <c r="FR57" s="14">
        <f>INDEX(属性投放!$BS$6:$BS$85,(卡牌属性!$DW57-2)*20+卡牌属性!$DX57)</f>
        <v>4500</v>
      </c>
      <c r="FS57" s="14">
        <f>INDEX(属性投放!$BS$6:$BS$85,(卡牌属性!$DW57-2)*20+卡牌属性!$DX57)</f>
        <v>4500</v>
      </c>
      <c r="FT57" s="14">
        <f>INDEX(属性投放!$BS$6:$BS$85,(卡牌属性!$DW57-2)*20+卡牌属性!$DX57)</f>
        <v>4500</v>
      </c>
      <c r="FU57" s="14">
        <f>INDEX(属性投放!$BS$6:$BS$85,(卡牌属性!$DW57-2)*20+卡牌属性!$DX57)</f>
        <v>4500</v>
      </c>
      <c r="FV57" s="14">
        <f>INDEX(属性投放!$BS$6:$BS$85,(卡牌属性!$DW57-2)*20+卡牌属性!$DX57)</f>
        <v>4500</v>
      </c>
      <c r="FZ57" s="13">
        <v>53</v>
      </c>
      <c r="GA57" s="13">
        <f t="shared" si="121"/>
        <v>11</v>
      </c>
      <c r="GB57" s="14">
        <f t="shared" si="56"/>
        <v>1102011</v>
      </c>
      <c r="GC57" s="14" t="s">
        <v>1187</v>
      </c>
      <c r="GD57" s="14">
        <f t="shared" si="122"/>
        <v>3</v>
      </c>
      <c r="GE57" s="14" t="str">
        <f t="shared" si="123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4"/>
        <v>11</v>
      </c>
      <c r="GP57" s="14">
        <f t="shared" si="57"/>
        <v>1101011</v>
      </c>
      <c r="GQ57" s="14" t="s">
        <v>1187</v>
      </c>
      <c r="GR57" s="14">
        <f t="shared" si="125"/>
        <v>3</v>
      </c>
      <c r="GS57" s="14" t="str">
        <f t="shared" si="126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MATCH(HC57,属性投放!$AO$6:$AO$58,1)-1</f>
        <v>14</v>
      </c>
      <c r="HF57" s="13">
        <f>MATCH(HC57-1,属性投放!$AE$6:$AE$26,1)</f>
        <v>8</v>
      </c>
      <c r="HG57" s="13" t="str">
        <f>INDEX(属性投放!$AB$7:$AB$26,卡牌属性!HF57)</f>
        <v>叫唤+1</v>
      </c>
      <c r="HH57" s="14">
        <f t="shared" si="58"/>
        <v>1813</v>
      </c>
      <c r="HI57" s="14">
        <f t="shared" si="59"/>
        <v>725</v>
      </c>
      <c r="HJ57" s="14">
        <f t="shared" si="60"/>
        <v>9882</v>
      </c>
      <c r="HK57" s="14">
        <f t="shared" si="61"/>
        <v>25</v>
      </c>
      <c r="HL57" s="14">
        <f t="shared" si="62"/>
        <v>8</v>
      </c>
      <c r="HM57" s="14">
        <f t="shared" si="63"/>
        <v>128</v>
      </c>
      <c r="HN57" s="14">
        <f>HH57+HK57*($HC57-INDEX(属性投放!$AE$6:$AE$26,卡牌属性!$HF57))</f>
        <v>1838</v>
      </c>
      <c r="HO57" s="14">
        <f>HI57+HL57*($HC57-INDEX(属性投放!$AE$6:$AE$26,卡牌属性!$HF57))</f>
        <v>733</v>
      </c>
      <c r="HP57" s="14">
        <f>HJ57+HM57*($HC57-INDEX(属性投放!$AE$6:$AE$26,卡牌属性!$HF57))</f>
        <v>10010</v>
      </c>
      <c r="HQ57" s="14">
        <f t="shared" si="64"/>
        <v>735</v>
      </c>
      <c r="HR57" s="14">
        <f t="shared" si="65"/>
        <v>371</v>
      </c>
      <c r="HS57" s="14">
        <f t="shared" si="66"/>
        <v>5250</v>
      </c>
      <c r="HT57" s="14">
        <f>IF(COUNTIF(属性投放!$AO$7:$AO$58,"="&amp;卡牌属性!HC57)&gt;0,卡牌属性!HE57,0)</f>
        <v>14</v>
      </c>
      <c r="HU57" s="14">
        <f t="shared" si="67"/>
        <v>100</v>
      </c>
      <c r="HV57" s="14">
        <f t="shared" si="68"/>
        <v>50</v>
      </c>
      <c r="HW57" s="14">
        <f t="shared" si="69"/>
        <v>800</v>
      </c>
      <c r="HX57" s="14">
        <f>IF(COUNTIF(属性投放!$AE$6:$AE$26,"="&amp;卡牌属性!HC57)&gt;0,卡牌属性!HF57,0)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25</v>
      </c>
      <c r="IC57" s="14">
        <f t="shared" si="74"/>
        <v>8</v>
      </c>
      <c r="ID57" s="14">
        <f t="shared" si="75"/>
        <v>128</v>
      </c>
      <c r="IE57" s="14">
        <f t="shared" si="76"/>
        <v>2573</v>
      </c>
      <c r="IF57" s="14">
        <f t="shared" si="77"/>
        <v>1104</v>
      </c>
      <c r="IG57" s="14">
        <f t="shared" si="78"/>
        <v>15260</v>
      </c>
      <c r="IH57" s="14">
        <f t="shared" si="79"/>
        <v>538</v>
      </c>
      <c r="II57" s="14">
        <f t="shared" si="80"/>
        <v>2800</v>
      </c>
      <c r="IJ57" s="14">
        <f t="shared" si="81"/>
        <v>0</v>
      </c>
      <c r="IK57" s="14">
        <f t="shared" si="82"/>
        <v>63070</v>
      </c>
      <c r="IL57" s="17">
        <f t="shared" si="83"/>
        <v>8.5302045346440456E-3</v>
      </c>
      <c r="IM57" s="17">
        <f t="shared" si="84"/>
        <v>4.4395116537180909E-2</v>
      </c>
      <c r="IN57" s="17">
        <f t="shared" si="85"/>
        <v>0</v>
      </c>
      <c r="IO57" s="23">
        <f>SUM(IH$5:IH57)</f>
        <v>20950</v>
      </c>
      <c r="IP57" s="14">
        <f>SUM(II$5:II57)</f>
        <v>20020</v>
      </c>
      <c r="IQ57" s="14">
        <f>SUM(IJ$5:IJ57)</f>
        <v>14300</v>
      </c>
      <c r="IR57" s="17">
        <f t="shared" si="86"/>
        <v>0.33217060409069288</v>
      </c>
      <c r="IS57" s="17">
        <f t="shared" si="87"/>
        <v>0.31742508324084351</v>
      </c>
      <c r="IT57" s="17">
        <f t="shared" si="88"/>
        <v>0.22673220231488822</v>
      </c>
      <c r="IW57" s="13">
        <v>53</v>
      </c>
      <c r="IX57" s="14">
        <f>MATCH(IW57-1,属性投放!$T$6:$T$66,1)</f>
        <v>4</v>
      </c>
      <c r="IY57" s="14">
        <f>MATCH(IW57-1,属性投放!$AD$7:$AD$26,1)</f>
        <v>7</v>
      </c>
      <c r="IZ57" s="14" t="str">
        <f>INDEX(属性投放!$AB$7:$AB$26,IY57)</f>
        <v>叫唤</v>
      </c>
      <c r="JA57" s="14">
        <f t="shared" si="89"/>
        <v>1077</v>
      </c>
      <c r="JB57" s="14">
        <f t="shared" si="90"/>
        <v>488</v>
      </c>
      <c r="JC57" s="14">
        <f t="shared" si="91"/>
        <v>6797</v>
      </c>
      <c r="JD57" s="14">
        <f t="shared" si="92"/>
        <v>36</v>
      </c>
      <c r="JE57" s="14">
        <f t="shared" si="93"/>
        <v>18</v>
      </c>
      <c r="JF57" s="14">
        <f t="shared" si="94"/>
        <v>286</v>
      </c>
      <c r="JG57" s="14">
        <f>INDEX(属性投放!$DC$6:$DC$85,卡牌属性!IY57)</f>
        <v>45</v>
      </c>
      <c r="JH57" s="14">
        <f t="shared" si="95"/>
        <v>1365</v>
      </c>
      <c r="JI57" s="14">
        <f t="shared" si="96"/>
        <v>632</v>
      </c>
      <c r="JJ57" s="14">
        <f t="shared" si="97"/>
        <v>9085</v>
      </c>
      <c r="JK57" s="14">
        <f t="shared" si="98"/>
        <v>22230</v>
      </c>
    </row>
    <row r="58" spans="31:271" ht="16.5" x14ac:dyDescent="0.2">
      <c r="AE58" s="13">
        <v>54</v>
      </c>
      <c r="AF58" s="13">
        <f t="shared" si="31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142</v>
      </c>
      <c r="AM58" s="14">
        <v>1</v>
      </c>
      <c r="AN58" s="14">
        <f t="shared" si="5"/>
        <v>14</v>
      </c>
      <c r="AO58" s="14">
        <f>INDEX(属性投放!$DF$6:$DF$85,(卡牌属性!AG58-2)*20+卡牌属性!AN58)</f>
        <v>6167</v>
      </c>
      <c r="AP58" s="14">
        <f t="shared" si="127"/>
        <v>6167</v>
      </c>
      <c r="AQ58" s="14">
        <f t="shared" si="127"/>
        <v>6167</v>
      </c>
      <c r="AR58" s="14">
        <f t="shared" si="127"/>
        <v>6167</v>
      </c>
      <c r="AS58" s="14">
        <f t="shared" si="127"/>
        <v>6167</v>
      </c>
      <c r="AT58" s="14">
        <f>INDEX(属性投放!$DG$6:$DG$85,(卡牌属性!AG58-2)*20+卡牌属性!AN58)</f>
        <v>3022</v>
      </c>
      <c r="AU58" s="14">
        <f t="shared" si="128"/>
        <v>3022</v>
      </c>
      <c r="AV58" s="14">
        <f t="shared" si="128"/>
        <v>3022</v>
      </c>
      <c r="AW58" s="14">
        <f t="shared" si="128"/>
        <v>3022</v>
      </c>
      <c r="AX58" s="14">
        <f t="shared" si="128"/>
        <v>3022</v>
      </c>
      <c r="AY58" s="14">
        <f>INDEX(属性投放!$DH$6:$DH$85,(卡牌属性!AG58-2)*20+卡牌属性!AN58)</f>
        <v>50793</v>
      </c>
      <c r="AZ58" s="14">
        <f t="shared" si="129"/>
        <v>50793</v>
      </c>
      <c r="BA58" s="14">
        <f t="shared" si="129"/>
        <v>50793</v>
      </c>
      <c r="BB58" s="14">
        <f t="shared" si="129"/>
        <v>50793</v>
      </c>
      <c r="BC58" s="14">
        <f t="shared" si="129"/>
        <v>50793</v>
      </c>
      <c r="BD58" s="14">
        <f>INDEX(属性投放!$DL$6:$DL$85,(卡牌属性!AG58-2)*20+卡牌属性!AN58)</f>
        <v>176</v>
      </c>
      <c r="BE58" s="14">
        <f t="shared" si="130"/>
        <v>176</v>
      </c>
      <c r="BF58" s="14">
        <f t="shared" si="130"/>
        <v>176</v>
      </c>
      <c r="BG58" s="14">
        <f t="shared" si="130"/>
        <v>176</v>
      </c>
      <c r="BH58" s="14">
        <f t="shared" si="130"/>
        <v>176</v>
      </c>
      <c r="BI58" s="14">
        <f>INDEX(属性投放!$DM$6:$DM$85,(卡牌属性!AG58-2)*20+卡牌属性!AN58)</f>
        <v>88</v>
      </c>
      <c r="BJ58" s="14">
        <f t="shared" si="131"/>
        <v>88</v>
      </c>
      <c r="BK58" s="14">
        <f t="shared" si="131"/>
        <v>88</v>
      </c>
      <c r="BL58" s="14">
        <f t="shared" si="131"/>
        <v>88</v>
      </c>
      <c r="BM58" s="14">
        <f t="shared" si="131"/>
        <v>88</v>
      </c>
      <c r="BN58" s="14">
        <f>INDEX(属性投放!$DN$6:$DN$85,(卡牌属性!AG58-2)*20+卡牌属性!AN58)</f>
        <v>1759</v>
      </c>
      <c r="BO58" s="14">
        <f t="shared" si="132"/>
        <v>1759</v>
      </c>
      <c r="BP58" s="14">
        <f t="shared" si="132"/>
        <v>1759</v>
      </c>
      <c r="BQ58" s="14">
        <f t="shared" si="132"/>
        <v>1759</v>
      </c>
      <c r="BR58" s="14">
        <f t="shared" si="132"/>
        <v>1759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32"/>
        <v>1102003</v>
      </c>
      <c r="CA58" s="14" t="str">
        <f t="shared" si="33"/>
        <v>典韦14突</v>
      </c>
      <c r="CB58" s="25" t="s">
        <v>142</v>
      </c>
      <c r="CC58" s="14">
        <v>2</v>
      </c>
      <c r="CD58" s="14">
        <f t="shared" si="14"/>
        <v>14</v>
      </c>
      <c r="CE58" s="14" t="s">
        <v>21</v>
      </c>
      <c r="CF58" s="14">
        <f>INDEX(属性投放!$AZ$6:$AZ$85,(BY58-2)*20+CD58)</f>
        <v>8373</v>
      </c>
      <c r="CG58" s="14" t="s">
        <v>22</v>
      </c>
      <c r="CH58" s="14">
        <f>INDEX(属性投放!$BA$6:$BA$85,(BY58-2)*20+CD58)</f>
        <v>4140</v>
      </c>
      <c r="CI58" s="14" t="s">
        <v>510</v>
      </c>
      <c r="CJ58" s="14">
        <f>INDEX(属性投放!$BB$6:$BB$85,(BY58-2)*20+CD58)</f>
        <v>70053</v>
      </c>
      <c r="CK58" s="14" t="s">
        <v>21</v>
      </c>
      <c r="CL58" s="14">
        <f>INDEX(属性投放!$BC$6:$BC$85,(BY58-2)*20+CD58)</f>
        <v>40</v>
      </c>
      <c r="CM58" s="14" t="s">
        <v>22</v>
      </c>
      <c r="CN58" s="14">
        <f>INDEX(属性投放!$BD$6:$BD$85,(BY58-2)*20+CD58)</f>
        <v>20</v>
      </c>
      <c r="CO58" s="14" t="s">
        <v>510</v>
      </c>
      <c r="CP58" s="14">
        <f>INDEX(属性投放!$BE$6:$BE$85,(BY58-2)*20+CD58)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INDEX($O$6:$O$50,CT58)&amp;"-"&amp;INDEX(属性投放!$AB$7:$AB$50,CZ58)&amp;"-魂火-"&amp;DB58</f>
        <v>许褚-黑绳-魂火-1</v>
      </c>
      <c r="CY58" s="25" t="s">
        <v>142</v>
      </c>
      <c r="CZ58" s="14">
        <f>INDEX(属性投放!$AM$7:$AM$58,CU58)</f>
        <v>2</v>
      </c>
      <c r="DA58" s="14" t="s">
        <v>537</v>
      </c>
      <c r="DB58" s="14">
        <f>INDEX(属性投放!$AN$7:$AN$58,CU58)</f>
        <v>1</v>
      </c>
      <c r="DC58" s="14">
        <f t="shared" si="16"/>
        <v>2</v>
      </c>
      <c r="DD58" s="14">
        <f>INDEX(属性投放!$AO$7:$AO$58,DC58)</f>
        <v>8</v>
      </c>
      <c r="DE58" s="14" t="s">
        <v>538</v>
      </c>
      <c r="DF58" s="14">
        <f>INDEX(属性投放!$BK$6:$BK$85,(CV58-2)*20+CZ58)</f>
        <v>25</v>
      </c>
      <c r="DG58" s="14">
        <f>SUMIFS(DF$5:DF58,$CT$5:$CT58,"="&amp;$CT58)</f>
        <v>45</v>
      </c>
      <c r="DH58" s="14" t="s">
        <v>539</v>
      </c>
      <c r="DI58" s="14">
        <f>INDEX(属性投放!$BL$6:$BL$85,(CV58-2)*20+CZ58)</f>
        <v>13</v>
      </c>
      <c r="DJ58" s="14">
        <f>SUMIFS(DI$5:DI58,$CT$5:$CT58,"="&amp;$CT58)</f>
        <v>23</v>
      </c>
      <c r="DK58" s="14" t="s">
        <v>540</v>
      </c>
      <c r="DL58" s="14">
        <f>INDEX(属性投放!$BM$6:$BM$85,(CV58-2)*20+CZ58)</f>
        <v>150</v>
      </c>
      <c r="DM58" s="14">
        <f>SUMIFS(DL$5:DL58,$CT$5:$CT58,"="&amp;$CT58)</f>
        <v>270</v>
      </c>
      <c r="DR58" s="14">
        <f t="shared" si="17"/>
        <v>1102003</v>
      </c>
      <c r="DS58" s="14" t="str">
        <f t="shared" si="18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19"/>
        <v>4</v>
      </c>
      <c r="DX58" s="14">
        <f t="shared" si="20"/>
        <v>14</v>
      </c>
      <c r="DY58" s="14">
        <f t="shared" si="21"/>
        <v>54</v>
      </c>
      <c r="DZ58" s="14">
        <f>INDEX(属性投放!$AX$6:$AX$85,(卡牌属性!DW58-2)*20+卡牌属性!DX58)</f>
        <v>7</v>
      </c>
      <c r="EA58" s="14">
        <f>INDEX(属性投放!BQ$6:BQ$85,卡牌属性!$DY58)</f>
        <v>500</v>
      </c>
      <c r="EB58" s="14">
        <f>INDEX(属性投放!BR$6:BR$85,卡牌属性!$DY58)</f>
        <v>250</v>
      </c>
      <c r="EC58" s="14">
        <f>INDEX(属性投放!BS$6:BS$85,卡牌属性!$DY58)</f>
        <v>5000</v>
      </c>
      <c r="ED58" s="14">
        <f t="shared" si="133"/>
        <v>4793</v>
      </c>
      <c r="EE58" s="14">
        <f t="shared" si="134"/>
        <v>5135</v>
      </c>
      <c r="EF58" s="14">
        <f t="shared" si="135"/>
        <v>5505</v>
      </c>
      <c r="EG58" s="14">
        <f t="shared" si="136"/>
        <v>5505</v>
      </c>
      <c r="EH58" s="14">
        <f t="shared" si="137"/>
        <v>6385</v>
      </c>
      <c r="EI58" s="14">
        <f t="shared" si="138"/>
        <v>2013</v>
      </c>
      <c r="EJ58" s="14">
        <f t="shared" si="139"/>
        <v>2367</v>
      </c>
      <c r="EK58" s="14">
        <f t="shared" si="140"/>
        <v>2367</v>
      </c>
      <c r="EL58" s="14">
        <f t="shared" si="141"/>
        <v>2546</v>
      </c>
      <c r="EM58" s="14">
        <f t="shared" si="142"/>
        <v>2717</v>
      </c>
      <c r="EN58" s="14">
        <f t="shared" si="143"/>
        <v>32984</v>
      </c>
      <c r="EO58" s="14">
        <f t="shared" si="144"/>
        <v>38818</v>
      </c>
      <c r="EP58" s="14">
        <f t="shared" si="145"/>
        <v>38818</v>
      </c>
      <c r="EQ58" s="14">
        <f t="shared" si="146"/>
        <v>41412</v>
      </c>
      <c r="ER58" s="14">
        <f t="shared" si="147"/>
        <v>44160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INDEX(属性投放!$BQ$6:$BQ$85,(卡牌属性!$DW58-2)*20+卡牌属性!$DX58)</f>
        <v>500</v>
      </c>
      <c r="FI58" s="14">
        <f>INDEX(属性投放!$BQ$6:$BQ$85,(卡牌属性!$DW58-2)*20+卡牌属性!$DX58)</f>
        <v>500</v>
      </c>
      <c r="FJ58" s="14">
        <f>INDEX(属性投放!$BQ$6:$BQ$85,(卡牌属性!$DW58-2)*20+卡牌属性!$DX58)</f>
        <v>500</v>
      </c>
      <c r="FK58" s="14">
        <f>INDEX(属性投放!$BQ$6:$BQ$85,(卡牌属性!$DW58-2)*20+卡牌属性!$DX58)</f>
        <v>500</v>
      </c>
      <c r="FL58" s="14">
        <f>INDEX(属性投放!$BQ$6:$BQ$85,(卡牌属性!$DW58-2)*20+卡牌属性!$DX58)</f>
        <v>500</v>
      </c>
      <c r="FM58" s="14">
        <f>INDEX(属性投放!$BR$6:$BR$85,(卡牌属性!$DW58-2)*20+卡牌属性!$DX58)</f>
        <v>250</v>
      </c>
      <c r="FN58" s="14">
        <f>INDEX(属性投放!$BR$6:$BR$85,(卡牌属性!$DW58-2)*20+卡牌属性!$DX58)</f>
        <v>250</v>
      </c>
      <c r="FO58" s="14">
        <f>INDEX(属性投放!$BR$6:$BR$85,(卡牌属性!$DW58-2)*20+卡牌属性!$DX58)</f>
        <v>250</v>
      </c>
      <c r="FP58" s="14">
        <f>INDEX(属性投放!$BR$6:$BR$85,(卡牌属性!$DW58-2)*20+卡牌属性!$DX58)</f>
        <v>250</v>
      </c>
      <c r="FQ58" s="14">
        <f>INDEX(属性投放!$BR$6:$BR$85,(卡牌属性!$DW58-2)*20+卡牌属性!$DX58)</f>
        <v>250</v>
      </c>
      <c r="FR58" s="14">
        <f>INDEX(属性投放!$BS$6:$BS$85,(卡牌属性!$DW58-2)*20+卡牌属性!$DX58)</f>
        <v>5000</v>
      </c>
      <c r="FS58" s="14">
        <f>INDEX(属性投放!$BS$6:$BS$85,(卡牌属性!$DW58-2)*20+卡牌属性!$DX58)</f>
        <v>5000</v>
      </c>
      <c r="FT58" s="14">
        <f>INDEX(属性投放!$BS$6:$BS$85,(卡牌属性!$DW58-2)*20+卡牌属性!$DX58)</f>
        <v>5000</v>
      </c>
      <c r="FU58" s="14">
        <f>INDEX(属性投放!$BS$6:$BS$85,(卡牌属性!$DW58-2)*20+卡牌属性!$DX58)</f>
        <v>5000</v>
      </c>
      <c r="FV58" s="14">
        <f>INDEX(属性投放!$BS$6:$BS$85,(卡牌属性!$DW58-2)*20+卡牌属性!$DX58)</f>
        <v>5000</v>
      </c>
      <c r="FZ58" s="13">
        <v>54</v>
      </c>
      <c r="GA58" s="13">
        <f t="shared" si="121"/>
        <v>11</v>
      </c>
      <c r="GB58" s="14">
        <f t="shared" si="56"/>
        <v>1102011</v>
      </c>
      <c r="GC58" s="14" t="s">
        <v>1187</v>
      </c>
      <c r="GD58" s="14">
        <f t="shared" si="122"/>
        <v>4</v>
      </c>
      <c r="GE58" s="14" t="str">
        <f t="shared" si="123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4"/>
        <v>11</v>
      </c>
      <c r="GP58" s="14">
        <f t="shared" si="57"/>
        <v>1101011</v>
      </c>
      <c r="GQ58" s="14" t="s">
        <v>1187</v>
      </c>
      <c r="GR58" s="14">
        <f t="shared" si="125"/>
        <v>4</v>
      </c>
      <c r="GS58" s="14" t="str">
        <f t="shared" si="126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MATCH(HC58,属性投放!$AO$6:$AO$58,1)-1</f>
        <v>14</v>
      </c>
      <c r="HF58" s="13">
        <f>MATCH(HC58-1,属性投放!$AE$6:$AE$26,1)</f>
        <v>8</v>
      </c>
      <c r="HG58" s="13" t="str">
        <f>INDEX(属性投放!$AB$7:$AB$26,卡牌属性!HF58)</f>
        <v>叫唤+1</v>
      </c>
      <c r="HH58" s="14">
        <f t="shared" si="58"/>
        <v>1813</v>
      </c>
      <c r="HI58" s="14">
        <f t="shared" si="59"/>
        <v>725</v>
      </c>
      <c r="HJ58" s="14">
        <f t="shared" si="60"/>
        <v>9882</v>
      </c>
      <c r="HK58" s="14">
        <f t="shared" si="61"/>
        <v>25</v>
      </c>
      <c r="HL58" s="14">
        <f t="shared" si="62"/>
        <v>8</v>
      </c>
      <c r="HM58" s="14">
        <f t="shared" si="63"/>
        <v>128</v>
      </c>
      <c r="HN58" s="14">
        <f>HH58+HK58*($HC58-INDEX(属性投放!$AE$6:$AE$26,卡牌属性!$HF58))</f>
        <v>1863</v>
      </c>
      <c r="HO58" s="14">
        <f>HI58+HL58*($HC58-INDEX(属性投放!$AE$6:$AE$26,卡牌属性!$HF58))</f>
        <v>741</v>
      </c>
      <c r="HP58" s="14">
        <f>HJ58+HM58*($HC58-INDEX(属性投放!$AE$6:$AE$26,卡牌属性!$HF58))</f>
        <v>10138</v>
      </c>
      <c r="HQ58" s="14">
        <f t="shared" si="64"/>
        <v>735</v>
      </c>
      <c r="HR58" s="14">
        <f t="shared" si="65"/>
        <v>371</v>
      </c>
      <c r="HS58" s="14">
        <f t="shared" si="66"/>
        <v>5250</v>
      </c>
      <c r="HT58" s="14">
        <f>IF(COUNTIF(属性投放!$AO$7:$AO$58,"="&amp;卡牌属性!HC58)&gt;0,卡牌属性!HE58,0)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IF(COUNTIF(属性投放!$AE$6:$AE$26,"="&amp;卡牌属性!HC58)&gt;0,卡牌属性!HF58,0)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25</v>
      </c>
      <c r="IC58" s="14">
        <f t="shared" si="74"/>
        <v>8</v>
      </c>
      <c r="ID58" s="14">
        <f t="shared" si="75"/>
        <v>128</v>
      </c>
      <c r="IE58" s="14">
        <f t="shared" si="76"/>
        <v>2598</v>
      </c>
      <c r="IF58" s="14">
        <f t="shared" si="77"/>
        <v>1112</v>
      </c>
      <c r="IG58" s="14">
        <f t="shared" si="78"/>
        <v>15388</v>
      </c>
      <c r="IH58" s="14">
        <f t="shared" si="79"/>
        <v>538</v>
      </c>
      <c r="II58" s="14">
        <f t="shared" si="80"/>
        <v>0</v>
      </c>
      <c r="IJ58" s="14">
        <f t="shared" si="81"/>
        <v>0</v>
      </c>
      <c r="IK58" s="14">
        <f t="shared" si="82"/>
        <v>63608</v>
      </c>
      <c r="IL58" s="17">
        <f t="shared" si="83"/>
        <v>8.4580555904917622E-3</v>
      </c>
      <c r="IM58" s="17">
        <f t="shared" si="84"/>
        <v>0</v>
      </c>
      <c r="IN58" s="17">
        <f t="shared" si="85"/>
        <v>0</v>
      </c>
      <c r="IO58" s="23">
        <f>SUM(IH$5:IH58)</f>
        <v>21488</v>
      </c>
      <c r="IP58" s="14">
        <f>SUM(II$5:II58)</f>
        <v>20020</v>
      </c>
      <c r="IQ58" s="14">
        <f>SUM(IJ$5:IJ58)</f>
        <v>14300</v>
      </c>
      <c r="IR58" s="17">
        <f t="shared" si="86"/>
        <v>0.33781914224625831</v>
      </c>
      <c r="IS58" s="17">
        <f t="shared" si="87"/>
        <v>0.314740284240976</v>
      </c>
      <c r="IT58" s="17">
        <f t="shared" si="88"/>
        <v>0.22481448874355428</v>
      </c>
      <c r="IW58" s="13">
        <v>54</v>
      </c>
      <c r="IX58" s="14">
        <f>MATCH(IW58-1,属性投放!$T$6:$T$66,1)</f>
        <v>4</v>
      </c>
      <c r="IY58" s="14">
        <f>MATCH(IW58-1,属性投放!$AD$7:$AD$26,1)</f>
        <v>7</v>
      </c>
      <c r="IZ58" s="14" t="str">
        <f>INDEX(属性投放!$AB$7:$AB$26,IY58)</f>
        <v>叫唤</v>
      </c>
      <c r="JA58" s="14">
        <f t="shared" si="89"/>
        <v>1077</v>
      </c>
      <c r="JB58" s="14">
        <f t="shared" si="90"/>
        <v>488</v>
      </c>
      <c r="JC58" s="14">
        <f t="shared" si="91"/>
        <v>6797</v>
      </c>
      <c r="JD58" s="14">
        <f t="shared" si="92"/>
        <v>36</v>
      </c>
      <c r="JE58" s="14">
        <f t="shared" si="93"/>
        <v>18</v>
      </c>
      <c r="JF58" s="14">
        <f t="shared" si="94"/>
        <v>286</v>
      </c>
      <c r="JG58" s="14">
        <f>INDEX(属性投放!$DC$6:$DC$85,卡牌属性!IY58)</f>
        <v>45</v>
      </c>
      <c r="JH58" s="14">
        <f t="shared" si="95"/>
        <v>1401</v>
      </c>
      <c r="JI58" s="14">
        <f t="shared" si="96"/>
        <v>650</v>
      </c>
      <c r="JJ58" s="14">
        <f t="shared" si="97"/>
        <v>9371</v>
      </c>
      <c r="JK58" s="14">
        <f t="shared" si="98"/>
        <v>22876</v>
      </c>
    </row>
    <row r="59" spans="31:271" ht="16.5" x14ac:dyDescent="0.2">
      <c r="AE59" s="13">
        <v>55</v>
      </c>
      <c r="AF59" s="13">
        <f t="shared" si="31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142</v>
      </c>
      <c r="AM59" s="14">
        <v>1</v>
      </c>
      <c r="AN59" s="14">
        <f t="shared" si="5"/>
        <v>15</v>
      </c>
      <c r="AO59" s="14">
        <f>INDEX(属性投放!$DF$6:$DF$85,(卡牌属性!AG59-2)*20+卡牌属性!AN59)</f>
        <v>6670</v>
      </c>
      <c r="AP59" s="14">
        <f t="shared" si="127"/>
        <v>6670</v>
      </c>
      <c r="AQ59" s="14">
        <f t="shared" si="127"/>
        <v>6670</v>
      </c>
      <c r="AR59" s="14">
        <f t="shared" si="127"/>
        <v>6670</v>
      </c>
      <c r="AS59" s="14">
        <f t="shared" si="127"/>
        <v>6670</v>
      </c>
      <c r="AT59" s="14">
        <f>INDEX(属性投放!$DG$6:$DG$85,(卡牌属性!AG59-2)*20+卡牌属性!AN59)</f>
        <v>3274</v>
      </c>
      <c r="AU59" s="14">
        <f t="shared" si="128"/>
        <v>3274</v>
      </c>
      <c r="AV59" s="14">
        <f t="shared" si="128"/>
        <v>3274</v>
      </c>
      <c r="AW59" s="14">
        <f t="shared" si="128"/>
        <v>3274</v>
      </c>
      <c r="AX59" s="14">
        <f t="shared" si="128"/>
        <v>3274</v>
      </c>
      <c r="AY59" s="14">
        <f>INDEX(属性投放!$DH$6:$DH$85,(卡牌属性!AG59-2)*20+卡牌属性!AN59)</f>
        <v>55818</v>
      </c>
      <c r="AZ59" s="14">
        <f t="shared" si="129"/>
        <v>55818</v>
      </c>
      <c r="BA59" s="14">
        <f t="shared" si="129"/>
        <v>55818</v>
      </c>
      <c r="BB59" s="14">
        <f t="shared" si="129"/>
        <v>55818</v>
      </c>
      <c r="BC59" s="14">
        <f t="shared" si="129"/>
        <v>55818</v>
      </c>
      <c r="BD59" s="14">
        <f>INDEX(属性投放!$DL$6:$DL$85,(卡牌属性!AG59-2)*20+卡牌属性!AN59)</f>
        <v>176</v>
      </c>
      <c r="BE59" s="14">
        <f t="shared" si="130"/>
        <v>176</v>
      </c>
      <c r="BF59" s="14">
        <f t="shared" si="130"/>
        <v>176</v>
      </c>
      <c r="BG59" s="14">
        <f t="shared" si="130"/>
        <v>176</v>
      </c>
      <c r="BH59" s="14">
        <f t="shared" si="130"/>
        <v>176</v>
      </c>
      <c r="BI59" s="14">
        <f>INDEX(属性投放!$DM$6:$DM$85,(卡牌属性!AG59-2)*20+卡牌属性!AN59)</f>
        <v>88</v>
      </c>
      <c r="BJ59" s="14">
        <f t="shared" si="131"/>
        <v>88</v>
      </c>
      <c r="BK59" s="14">
        <f t="shared" si="131"/>
        <v>88</v>
      </c>
      <c r="BL59" s="14">
        <f t="shared" si="131"/>
        <v>88</v>
      </c>
      <c r="BM59" s="14">
        <f t="shared" si="131"/>
        <v>88</v>
      </c>
      <c r="BN59" s="14">
        <f>INDEX(属性投放!$DN$6:$DN$85,(卡牌属性!AG59-2)*20+卡牌属性!AN59)</f>
        <v>1759</v>
      </c>
      <c r="BO59" s="14">
        <f t="shared" si="132"/>
        <v>1759</v>
      </c>
      <c r="BP59" s="14">
        <f t="shared" si="132"/>
        <v>1759</v>
      </c>
      <c r="BQ59" s="14">
        <f t="shared" si="132"/>
        <v>1759</v>
      </c>
      <c r="BR59" s="14">
        <f t="shared" si="132"/>
        <v>1759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32"/>
        <v>1102003</v>
      </c>
      <c r="CA59" s="14" t="str">
        <f t="shared" si="33"/>
        <v>典韦15突</v>
      </c>
      <c r="CB59" s="25" t="s">
        <v>142</v>
      </c>
      <c r="CC59" s="14">
        <v>2</v>
      </c>
      <c r="CD59" s="14">
        <f t="shared" si="14"/>
        <v>15</v>
      </c>
      <c r="CE59" s="14" t="s">
        <v>21</v>
      </c>
      <c r="CF59" s="14">
        <f>INDEX(属性投放!$AZ$6:$AZ$85,(BY59-2)*20+CD59)</f>
        <v>10113</v>
      </c>
      <c r="CG59" s="14" t="s">
        <v>22</v>
      </c>
      <c r="CH59" s="14">
        <f>INDEX(属性投放!$BA$6:$BA$85,(BY59-2)*20+CD59)</f>
        <v>5010</v>
      </c>
      <c r="CI59" s="14" t="s">
        <v>510</v>
      </c>
      <c r="CJ59" s="14">
        <f>INDEX(属性投放!$BB$6:$BB$85,(BY59-2)*20+CD59)</f>
        <v>87453</v>
      </c>
      <c r="CK59" s="14" t="s">
        <v>21</v>
      </c>
      <c r="CL59" s="14">
        <f>INDEX(属性投放!$BC$6:$BC$85,(BY59-2)*20+CD59)</f>
        <v>40</v>
      </c>
      <c r="CM59" s="14" t="s">
        <v>22</v>
      </c>
      <c r="CN59" s="14">
        <f>INDEX(属性投放!$BD$6:$BD$85,(BY59-2)*20+CD59)</f>
        <v>20</v>
      </c>
      <c r="CO59" s="14" t="s">
        <v>510</v>
      </c>
      <c r="CP59" s="14">
        <f>INDEX(属性投放!$BE$6:$BE$85,(BY59-2)*20+CD59)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INDEX($O$6:$O$50,CT59)&amp;"-"&amp;INDEX(属性投放!$AB$7:$AB$50,CZ59)&amp;"-魂火-"&amp;DB59</f>
        <v>许褚-黑绳-魂火-2</v>
      </c>
      <c r="CY59" s="25" t="s">
        <v>142</v>
      </c>
      <c r="CZ59" s="14">
        <f>INDEX(属性投放!$AM$7:$AM$58,CU59)</f>
        <v>2</v>
      </c>
      <c r="DA59" s="14" t="s">
        <v>537</v>
      </c>
      <c r="DB59" s="14">
        <f>INDEX(属性投放!$AN$7:$AN$58,CU59)</f>
        <v>2</v>
      </c>
      <c r="DC59" s="14">
        <f t="shared" si="16"/>
        <v>3</v>
      </c>
      <c r="DD59" s="14">
        <f>INDEX(属性投放!$AO$7:$AO$58,DC59)</f>
        <v>13</v>
      </c>
      <c r="DE59" s="14" t="s">
        <v>538</v>
      </c>
      <c r="DF59" s="14">
        <f>INDEX(属性投放!$BK$6:$BK$85,(CV59-2)*20+CZ59)</f>
        <v>25</v>
      </c>
      <c r="DG59" s="14">
        <f>SUMIFS(DF$5:DF59,$CT$5:$CT59,"="&amp;$CT59)</f>
        <v>70</v>
      </c>
      <c r="DH59" s="14" t="s">
        <v>539</v>
      </c>
      <c r="DI59" s="14">
        <f>INDEX(属性投放!$BL$6:$BL$85,(CV59-2)*20+CZ59)</f>
        <v>13</v>
      </c>
      <c r="DJ59" s="14">
        <f>SUMIFS(DI$5:DI59,$CT$5:$CT59,"="&amp;$CT59)</f>
        <v>36</v>
      </c>
      <c r="DK59" s="14" t="s">
        <v>540</v>
      </c>
      <c r="DL59" s="14">
        <f>INDEX(属性投放!$BM$6:$BM$85,(CV59-2)*20+CZ59)</f>
        <v>150</v>
      </c>
      <c r="DM59" s="14">
        <f>SUMIFS(DL$5:DL59,$CT$5:$CT59,"="&amp;$CT59)</f>
        <v>420</v>
      </c>
      <c r="DR59" s="14">
        <f t="shared" si="17"/>
        <v>1102003</v>
      </c>
      <c r="DS59" s="14" t="str">
        <f t="shared" si="18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19"/>
        <v>4</v>
      </c>
      <c r="DX59" s="14">
        <f t="shared" si="20"/>
        <v>15</v>
      </c>
      <c r="DY59" s="14">
        <f t="shared" si="21"/>
        <v>55</v>
      </c>
      <c r="DZ59" s="14">
        <f>INDEX(属性投放!$AX$6:$AX$85,(卡牌属性!DW59-2)*20+卡牌属性!DX59)</f>
        <v>8</v>
      </c>
      <c r="EA59" s="14">
        <f>INDEX(属性投放!BQ$6:BQ$85,卡牌属性!$DY59)</f>
        <v>800</v>
      </c>
      <c r="EB59" s="14">
        <f>INDEX(属性投放!BR$6:BR$85,卡牌属性!$DY59)</f>
        <v>400</v>
      </c>
      <c r="EC59" s="14">
        <f>INDEX(属性投放!BS$6:BS$85,卡牌属性!$DY59)</f>
        <v>8000</v>
      </c>
      <c r="ED59" s="14">
        <f t="shared" si="133"/>
        <v>5573</v>
      </c>
      <c r="EE59" s="14">
        <f t="shared" si="134"/>
        <v>5950</v>
      </c>
      <c r="EF59" s="14">
        <f t="shared" si="135"/>
        <v>6355</v>
      </c>
      <c r="EG59" s="14">
        <f t="shared" si="136"/>
        <v>6355</v>
      </c>
      <c r="EH59" s="14">
        <f t="shared" si="137"/>
        <v>7410</v>
      </c>
      <c r="EI59" s="14">
        <f t="shared" si="138"/>
        <v>2354</v>
      </c>
      <c r="EJ59" s="14">
        <f t="shared" si="139"/>
        <v>2757</v>
      </c>
      <c r="EK59" s="14">
        <f t="shared" si="140"/>
        <v>2757</v>
      </c>
      <c r="EL59" s="14">
        <f t="shared" si="141"/>
        <v>2957</v>
      </c>
      <c r="EM59" s="14">
        <f t="shared" si="142"/>
        <v>3142</v>
      </c>
      <c r="EN59" s="14">
        <f t="shared" si="143"/>
        <v>39804</v>
      </c>
      <c r="EO59" s="14">
        <f t="shared" si="144"/>
        <v>46618</v>
      </c>
      <c r="EP59" s="14">
        <f t="shared" si="145"/>
        <v>46618</v>
      </c>
      <c r="EQ59" s="14">
        <f t="shared" si="146"/>
        <v>49562</v>
      </c>
      <c r="ER59" s="14">
        <f t="shared" si="147"/>
        <v>52660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INDEX(属性投放!$BQ$6:$BQ$85,(卡牌属性!$DW59-2)*20+卡牌属性!$DX59)</f>
        <v>800</v>
      </c>
      <c r="FI59" s="14">
        <f>INDEX(属性投放!$BQ$6:$BQ$85,(卡牌属性!$DW59-2)*20+卡牌属性!$DX59)</f>
        <v>800</v>
      </c>
      <c r="FJ59" s="14">
        <f>INDEX(属性投放!$BQ$6:$BQ$85,(卡牌属性!$DW59-2)*20+卡牌属性!$DX59)</f>
        <v>800</v>
      </c>
      <c r="FK59" s="14">
        <f>INDEX(属性投放!$BQ$6:$BQ$85,(卡牌属性!$DW59-2)*20+卡牌属性!$DX59)</f>
        <v>800</v>
      </c>
      <c r="FL59" s="14">
        <f>INDEX(属性投放!$BQ$6:$BQ$85,(卡牌属性!$DW59-2)*20+卡牌属性!$DX59)</f>
        <v>800</v>
      </c>
      <c r="FM59" s="14">
        <f>INDEX(属性投放!$BR$6:$BR$85,(卡牌属性!$DW59-2)*20+卡牌属性!$DX59)</f>
        <v>400</v>
      </c>
      <c r="FN59" s="14">
        <f>INDEX(属性投放!$BR$6:$BR$85,(卡牌属性!$DW59-2)*20+卡牌属性!$DX59)</f>
        <v>400</v>
      </c>
      <c r="FO59" s="14">
        <f>INDEX(属性投放!$BR$6:$BR$85,(卡牌属性!$DW59-2)*20+卡牌属性!$DX59)</f>
        <v>400</v>
      </c>
      <c r="FP59" s="14">
        <f>INDEX(属性投放!$BR$6:$BR$85,(卡牌属性!$DW59-2)*20+卡牌属性!$DX59)</f>
        <v>400</v>
      </c>
      <c r="FQ59" s="14">
        <f>INDEX(属性投放!$BR$6:$BR$85,(卡牌属性!$DW59-2)*20+卡牌属性!$DX59)</f>
        <v>400</v>
      </c>
      <c r="FR59" s="14">
        <f>INDEX(属性投放!$BS$6:$BS$85,(卡牌属性!$DW59-2)*20+卡牌属性!$DX59)</f>
        <v>8000</v>
      </c>
      <c r="FS59" s="14">
        <f>INDEX(属性投放!$BS$6:$BS$85,(卡牌属性!$DW59-2)*20+卡牌属性!$DX59)</f>
        <v>8000</v>
      </c>
      <c r="FT59" s="14">
        <f>INDEX(属性投放!$BS$6:$BS$85,(卡牌属性!$DW59-2)*20+卡牌属性!$DX59)</f>
        <v>8000</v>
      </c>
      <c r="FU59" s="14">
        <f>INDEX(属性投放!$BS$6:$BS$85,(卡牌属性!$DW59-2)*20+卡牌属性!$DX59)</f>
        <v>8000</v>
      </c>
      <c r="FV59" s="14">
        <f>INDEX(属性投放!$BS$6:$BS$85,(卡牌属性!$DW59-2)*20+卡牌属性!$DX59)</f>
        <v>8000</v>
      </c>
      <c r="FZ59" s="13">
        <v>55</v>
      </c>
      <c r="GA59" s="13">
        <f t="shared" si="121"/>
        <v>11</v>
      </c>
      <c r="GB59" s="14">
        <f t="shared" si="56"/>
        <v>1102011</v>
      </c>
      <c r="GC59" s="14" t="s">
        <v>1187</v>
      </c>
      <c r="GD59" s="14">
        <f t="shared" si="122"/>
        <v>5</v>
      </c>
      <c r="GE59" s="14" t="str">
        <f t="shared" si="123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4"/>
        <v>11</v>
      </c>
      <c r="GP59" s="14">
        <f t="shared" si="57"/>
        <v>1101011</v>
      </c>
      <c r="GQ59" s="14" t="s">
        <v>1187</v>
      </c>
      <c r="GR59" s="14">
        <f t="shared" si="125"/>
        <v>5</v>
      </c>
      <c r="GS59" s="14" t="str">
        <f t="shared" si="126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MATCH(HC59,属性投放!$AO$6:$AO$58,1)-1</f>
        <v>15</v>
      </c>
      <c r="HF59" s="13">
        <f>MATCH(HC59-1,属性投放!$AE$6:$AE$26,1)</f>
        <v>8</v>
      </c>
      <c r="HG59" s="13" t="str">
        <f>INDEX(属性投放!$AB$7:$AB$26,卡牌属性!HF59)</f>
        <v>叫唤+1</v>
      </c>
      <c r="HH59" s="14">
        <f t="shared" si="58"/>
        <v>1813</v>
      </c>
      <c r="HI59" s="14">
        <f t="shared" si="59"/>
        <v>725</v>
      </c>
      <c r="HJ59" s="14">
        <f t="shared" si="60"/>
        <v>9882</v>
      </c>
      <c r="HK59" s="14">
        <f t="shared" si="61"/>
        <v>25</v>
      </c>
      <c r="HL59" s="14">
        <f t="shared" si="62"/>
        <v>8</v>
      </c>
      <c r="HM59" s="14">
        <f t="shared" si="63"/>
        <v>128</v>
      </c>
      <c r="HN59" s="14">
        <f>HH59+HK59*($HC59-INDEX(属性投放!$AE$6:$AE$26,卡牌属性!$HF59))</f>
        <v>1888</v>
      </c>
      <c r="HO59" s="14">
        <f>HI59+HL59*($HC59-INDEX(属性投放!$AE$6:$AE$26,卡牌属性!$HF59))</f>
        <v>749</v>
      </c>
      <c r="HP59" s="14">
        <f>HJ59+HM59*($HC59-INDEX(属性投放!$AE$6:$AE$26,卡牌属性!$HF59))</f>
        <v>10266</v>
      </c>
      <c r="HQ59" s="14">
        <f t="shared" si="64"/>
        <v>835</v>
      </c>
      <c r="HR59" s="14">
        <f t="shared" si="65"/>
        <v>421</v>
      </c>
      <c r="HS59" s="14">
        <f t="shared" si="66"/>
        <v>6050</v>
      </c>
      <c r="HT59" s="14">
        <f>IF(COUNTIF(属性投放!$AO$7:$AO$58,"="&amp;卡牌属性!HC59)&gt;0,卡牌属性!HE59,0)</f>
        <v>15</v>
      </c>
      <c r="HU59" s="14">
        <f t="shared" si="67"/>
        <v>100</v>
      </c>
      <c r="HV59" s="14">
        <f t="shared" si="68"/>
        <v>50</v>
      </c>
      <c r="HW59" s="14">
        <f t="shared" si="69"/>
        <v>800</v>
      </c>
      <c r="HX59" s="14">
        <f>IF(COUNTIF(属性投放!$AE$6:$AE$26,"="&amp;卡牌属性!HC59)&gt;0,卡牌属性!HF59,0)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25</v>
      </c>
      <c r="IC59" s="14">
        <f t="shared" si="74"/>
        <v>8</v>
      </c>
      <c r="ID59" s="14">
        <f t="shared" si="75"/>
        <v>128</v>
      </c>
      <c r="IE59" s="14">
        <f t="shared" si="76"/>
        <v>2723</v>
      </c>
      <c r="IF59" s="14">
        <f t="shared" si="77"/>
        <v>1170</v>
      </c>
      <c r="IG59" s="14">
        <f t="shared" si="78"/>
        <v>16316</v>
      </c>
      <c r="IH59" s="14">
        <f t="shared" si="79"/>
        <v>538</v>
      </c>
      <c r="II59" s="14">
        <f t="shared" si="80"/>
        <v>2800</v>
      </c>
      <c r="IJ59" s="14">
        <f t="shared" si="81"/>
        <v>0</v>
      </c>
      <c r="IK59" s="14">
        <f t="shared" si="82"/>
        <v>66946</v>
      </c>
      <c r="IL59" s="17">
        <f t="shared" si="83"/>
        <v>8.0363277865742547E-3</v>
      </c>
      <c r="IM59" s="17">
        <f t="shared" si="84"/>
        <v>4.182475427956861E-2</v>
      </c>
      <c r="IN59" s="17">
        <f t="shared" si="85"/>
        <v>0</v>
      </c>
      <c r="IO59" s="23">
        <f>SUM(IH$5:IH59)</f>
        <v>22026</v>
      </c>
      <c r="IP59" s="14">
        <f>SUM(II$5:II59)</f>
        <v>22820</v>
      </c>
      <c r="IQ59" s="14">
        <f>SUM(IJ$5:IJ59)</f>
        <v>14300</v>
      </c>
      <c r="IR59" s="17">
        <f t="shared" si="86"/>
        <v>0.32901144205777794</v>
      </c>
      <c r="IS59" s="17">
        <f t="shared" si="87"/>
        <v>0.34087174737848414</v>
      </c>
      <c r="IT59" s="17">
        <f t="shared" si="88"/>
        <v>0.21360499507065395</v>
      </c>
      <c r="IW59" s="13">
        <v>55</v>
      </c>
      <c r="IX59" s="14">
        <f>MATCH(IW59-1,属性投放!$T$6:$T$66,1)</f>
        <v>4</v>
      </c>
      <c r="IY59" s="14">
        <f>MATCH(IW59-1,属性投放!$AD$7:$AD$26,1)</f>
        <v>7</v>
      </c>
      <c r="IZ59" s="14" t="str">
        <f>INDEX(属性投放!$AB$7:$AB$26,IY59)</f>
        <v>叫唤</v>
      </c>
      <c r="JA59" s="14">
        <f t="shared" si="89"/>
        <v>1077</v>
      </c>
      <c r="JB59" s="14">
        <f t="shared" si="90"/>
        <v>488</v>
      </c>
      <c r="JC59" s="14">
        <f t="shared" si="91"/>
        <v>6797</v>
      </c>
      <c r="JD59" s="14">
        <f t="shared" si="92"/>
        <v>36</v>
      </c>
      <c r="JE59" s="14">
        <f t="shared" si="93"/>
        <v>18</v>
      </c>
      <c r="JF59" s="14">
        <f t="shared" si="94"/>
        <v>286</v>
      </c>
      <c r="JG59" s="14">
        <f>INDEX(属性投放!$DC$6:$DC$85,卡牌属性!IY59)</f>
        <v>45</v>
      </c>
      <c r="JH59" s="14">
        <f t="shared" si="95"/>
        <v>1437</v>
      </c>
      <c r="JI59" s="14">
        <f t="shared" si="96"/>
        <v>668</v>
      </c>
      <c r="JJ59" s="14">
        <f t="shared" si="97"/>
        <v>9657</v>
      </c>
      <c r="JK59" s="14">
        <f t="shared" si="98"/>
        <v>23522</v>
      </c>
    </row>
    <row r="60" spans="31:271" ht="16.5" x14ac:dyDescent="0.2">
      <c r="AE60" s="13">
        <v>56</v>
      </c>
      <c r="AF60" s="13">
        <f t="shared" si="31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142</v>
      </c>
      <c r="AM60" s="14">
        <v>1</v>
      </c>
      <c r="AN60" s="14">
        <f t="shared" si="5"/>
        <v>16</v>
      </c>
      <c r="AO60" s="14">
        <f>INDEX(属性投放!$DF$6:$DF$85,(卡牌属性!AG60-2)*20+卡牌属性!AN60)</f>
        <v>11573</v>
      </c>
      <c r="AP60" s="14">
        <f t="shared" si="127"/>
        <v>11573</v>
      </c>
      <c r="AQ60" s="14">
        <f t="shared" si="127"/>
        <v>11573</v>
      </c>
      <c r="AR60" s="14">
        <f t="shared" si="127"/>
        <v>11573</v>
      </c>
      <c r="AS60" s="14">
        <f t="shared" si="127"/>
        <v>11573</v>
      </c>
      <c r="AT60" s="14">
        <f>INDEX(属性投放!$DG$6:$DG$85,(卡牌属性!AG60-2)*20+卡牌属性!AN60)</f>
        <v>5726</v>
      </c>
      <c r="AU60" s="14">
        <f t="shared" si="128"/>
        <v>5726</v>
      </c>
      <c r="AV60" s="14">
        <f t="shared" si="128"/>
        <v>5726</v>
      </c>
      <c r="AW60" s="14">
        <f t="shared" si="128"/>
        <v>5726</v>
      </c>
      <c r="AX60" s="14">
        <f t="shared" si="128"/>
        <v>5726</v>
      </c>
      <c r="AY60" s="14">
        <f>INDEX(属性投放!$DH$6:$DH$85,(卡牌属性!AG60-2)*20+卡牌属性!AN60)</f>
        <v>104818</v>
      </c>
      <c r="AZ60" s="14">
        <f t="shared" si="129"/>
        <v>104818</v>
      </c>
      <c r="BA60" s="14">
        <f t="shared" si="129"/>
        <v>104818</v>
      </c>
      <c r="BB60" s="14">
        <f t="shared" si="129"/>
        <v>104818</v>
      </c>
      <c r="BC60" s="14">
        <f t="shared" si="129"/>
        <v>104818</v>
      </c>
      <c r="BD60" s="14">
        <f>INDEX(属性投放!$DL$6:$DL$85,(卡牌属性!AG60-2)*20+卡牌属性!AN60)</f>
        <v>259</v>
      </c>
      <c r="BE60" s="14">
        <f t="shared" si="130"/>
        <v>259</v>
      </c>
      <c r="BF60" s="14">
        <f t="shared" si="130"/>
        <v>259</v>
      </c>
      <c r="BG60" s="14">
        <f t="shared" si="130"/>
        <v>259</v>
      </c>
      <c r="BH60" s="14">
        <f t="shared" si="130"/>
        <v>259</v>
      </c>
      <c r="BI60" s="14">
        <f>INDEX(属性投放!$DM$6:$DM$85,(卡牌属性!AG60-2)*20+卡牌属性!AN60)</f>
        <v>130</v>
      </c>
      <c r="BJ60" s="14">
        <f t="shared" si="131"/>
        <v>130</v>
      </c>
      <c r="BK60" s="14">
        <f t="shared" si="131"/>
        <v>130</v>
      </c>
      <c r="BL60" s="14">
        <f t="shared" si="131"/>
        <v>130</v>
      </c>
      <c r="BM60" s="14">
        <f t="shared" si="131"/>
        <v>130</v>
      </c>
      <c r="BN60" s="14">
        <f>INDEX(属性投放!$DN$6:$DN$85,(卡牌属性!AG60-2)*20+卡牌属性!AN60)</f>
        <v>2593</v>
      </c>
      <c r="BO60" s="14">
        <f t="shared" si="132"/>
        <v>2593</v>
      </c>
      <c r="BP60" s="14">
        <f t="shared" si="132"/>
        <v>2593</v>
      </c>
      <c r="BQ60" s="14">
        <f t="shared" si="132"/>
        <v>2593</v>
      </c>
      <c r="BR60" s="14">
        <f t="shared" si="132"/>
        <v>2593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32"/>
        <v>1102003</v>
      </c>
      <c r="CA60" s="14" t="str">
        <f t="shared" si="33"/>
        <v>典韦16突</v>
      </c>
      <c r="CB60" s="25" t="s">
        <v>142</v>
      </c>
      <c r="CC60" s="14">
        <v>2</v>
      </c>
      <c r="CD60" s="14">
        <f t="shared" si="14"/>
        <v>16</v>
      </c>
      <c r="CE60" s="14" t="s">
        <v>21</v>
      </c>
      <c r="CF60" s="14">
        <f>INDEX(属性投放!$AZ$6:$AZ$85,(BY60-2)*20+CD60)</f>
        <v>12568</v>
      </c>
      <c r="CG60" s="14" t="s">
        <v>22</v>
      </c>
      <c r="CH60" s="14">
        <f>INDEX(属性投放!$BA$6:$BA$85,(BY60-2)*20+CD60)</f>
        <v>6239</v>
      </c>
      <c r="CI60" s="14" t="s">
        <v>510</v>
      </c>
      <c r="CJ60" s="14">
        <f>INDEX(属性投放!$BB$6:$BB$85,(BY60-2)*20+CD60)</f>
        <v>112003</v>
      </c>
      <c r="CK60" s="14" t="s">
        <v>21</v>
      </c>
      <c r="CL60" s="14">
        <f>INDEX(属性投放!$BC$6:$BC$85,(BY60-2)*20+CD60)</f>
        <v>50</v>
      </c>
      <c r="CM60" s="14" t="s">
        <v>22</v>
      </c>
      <c r="CN60" s="14">
        <f>INDEX(属性投放!$BD$6:$BD$85,(BY60-2)*20+CD60)</f>
        <v>25</v>
      </c>
      <c r="CO60" s="14" t="s">
        <v>510</v>
      </c>
      <c r="CP60" s="14">
        <f>INDEX(属性投放!$BE$6:$BE$85,(BY60-2)*20+CD60)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INDEX($O$6:$O$50,CT60)&amp;"-"&amp;INDEX(属性投放!$AB$7:$AB$50,CZ60)&amp;"-魂火-"&amp;DB60</f>
        <v>许褚-黑绳+1-魂火-1</v>
      </c>
      <c r="CY60" s="25" t="s">
        <v>142</v>
      </c>
      <c r="CZ60" s="14">
        <f>INDEX(属性投放!$AM$7:$AM$58,CU60)</f>
        <v>3</v>
      </c>
      <c r="DA60" s="14" t="s">
        <v>537</v>
      </c>
      <c r="DB60" s="14">
        <f>INDEX(属性投放!$AN$7:$AN$58,CU60)</f>
        <v>1</v>
      </c>
      <c r="DC60" s="14">
        <f t="shared" si="16"/>
        <v>4</v>
      </c>
      <c r="DD60" s="14">
        <f>INDEX(属性投放!$AO$7:$AO$58,DC60)</f>
        <v>18</v>
      </c>
      <c r="DE60" s="14" t="s">
        <v>538</v>
      </c>
      <c r="DF60" s="14">
        <f>INDEX(属性投放!$BK$6:$BK$85,(CV60-2)*20+CZ60)</f>
        <v>30</v>
      </c>
      <c r="DG60" s="14">
        <f>SUMIFS(DF$5:DF60,$CT$5:$CT60,"="&amp;$CT60)</f>
        <v>100</v>
      </c>
      <c r="DH60" s="14" t="s">
        <v>539</v>
      </c>
      <c r="DI60" s="14">
        <f>INDEX(属性投放!$BL$6:$BL$85,(CV60-2)*20+CZ60)</f>
        <v>15</v>
      </c>
      <c r="DJ60" s="14">
        <f>SUMIFS(DI$5:DI60,$CT$5:$CT60,"="&amp;$CT60)</f>
        <v>51</v>
      </c>
      <c r="DK60" s="14" t="s">
        <v>540</v>
      </c>
      <c r="DL60" s="14">
        <f>INDEX(属性投放!$BM$6:$BM$85,(CV60-2)*20+CZ60)</f>
        <v>180</v>
      </c>
      <c r="DM60" s="14">
        <f>SUMIFS(DL$5:DL60,$CT$5:$CT60,"="&amp;$CT60)</f>
        <v>600</v>
      </c>
      <c r="DR60" s="14">
        <f t="shared" si="17"/>
        <v>1102003</v>
      </c>
      <c r="DS60" s="14" t="str">
        <f t="shared" si="18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19"/>
        <v>4</v>
      </c>
      <c r="DX60" s="14">
        <f t="shared" si="20"/>
        <v>16</v>
      </c>
      <c r="DY60" s="14">
        <f t="shared" si="21"/>
        <v>56</v>
      </c>
      <c r="DZ60" s="14">
        <f>INDEX(属性投放!$AX$6:$AX$85,(卡牌属性!DW60-2)*20+卡牌属性!DX60)</f>
        <v>7</v>
      </c>
      <c r="EA60" s="14">
        <f>INDEX(属性投放!BQ$6:BQ$85,卡牌属性!$DY60)</f>
        <v>850</v>
      </c>
      <c r="EB60" s="14">
        <f>INDEX(属性投放!BR$6:BR$85,卡牌属性!$DY60)</f>
        <v>425</v>
      </c>
      <c r="EC60" s="14">
        <f>INDEX(属性投放!BS$6:BS$85,卡牌属性!$DY60)</f>
        <v>8500</v>
      </c>
      <c r="ED60" s="14">
        <f t="shared" si="133"/>
        <v>6693</v>
      </c>
      <c r="EE60" s="14">
        <f t="shared" si="134"/>
        <v>7110</v>
      </c>
      <c r="EF60" s="14">
        <f t="shared" si="135"/>
        <v>7555</v>
      </c>
      <c r="EG60" s="14">
        <f t="shared" si="136"/>
        <v>7555</v>
      </c>
      <c r="EH60" s="14">
        <f t="shared" si="137"/>
        <v>8810</v>
      </c>
      <c r="EI60" s="14">
        <f t="shared" si="138"/>
        <v>2858</v>
      </c>
      <c r="EJ60" s="14">
        <f t="shared" si="139"/>
        <v>3317</v>
      </c>
      <c r="EK60" s="14">
        <f t="shared" si="140"/>
        <v>3317</v>
      </c>
      <c r="EL60" s="14">
        <f t="shared" si="141"/>
        <v>3541</v>
      </c>
      <c r="EM60" s="14">
        <f t="shared" si="142"/>
        <v>3742</v>
      </c>
      <c r="EN60" s="14">
        <f t="shared" si="143"/>
        <v>49884</v>
      </c>
      <c r="EO60" s="14">
        <f t="shared" si="144"/>
        <v>57818</v>
      </c>
      <c r="EP60" s="14">
        <f t="shared" si="145"/>
        <v>57818</v>
      </c>
      <c r="EQ60" s="14">
        <f t="shared" si="146"/>
        <v>61162</v>
      </c>
      <c r="ER60" s="14">
        <f t="shared" si="147"/>
        <v>64660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INDEX(属性投放!$BQ$6:$BQ$85,(卡牌属性!$DW60-2)*20+卡牌属性!$DX60)</f>
        <v>850</v>
      </c>
      <c r="FI60" s="14">
        <f>INDEX(属性投放!$BQ$6:$BQ$85,(卡牌属性!$DW60-2)*20+卡牌属性!$DX60)</f>
        <v>850</v>
      </c>
      <c r="FJ60" s="14">
        <f>INDEX(属性投放!$BQ$6:$BQ$85,(卡牌属性!$DW60-2)*20+卡牌属性!$DX60)</f>
        <v>850</v>
      </c>
      <c r="FK60" s="14">
        <f>INDEX(属性投放!$BQ$6:$BQ$85,(卡牌属性!$DW60-2)*20+卡牌属性!$DX60)</f>
        <v>850</v>
      </c>
      <c r="FL60" s="14">
        <f>INDEX(属性投放!$BQ$6:$BQ$85,(卡牌属性!$DW60-2)*20+卡牌属性!$DX60)</f>
        <v>850</v>
      </c>
      <c r="FM60" s="14">
        <f>INDEX(属性投放!$BR$6:$BR$85,(卡牌属性!$DW60-2)*20+卡牌属性!$DX60)</f>
        <v>425</v>
      </c>
      <c r="FN60" s="14">
        <f>INDEX(属性投放!$BR$6:$BR$85,(卡牌属性!$DW60-2)*20+卡牌属性!$DX60)</f>
        <v>425</v>
      </c>
      <c r="FO60" s="14">
        <f>INDEX(属性投放!$BR$6:$BR$85,(卡牌属性!$DW60-2)*20+卡牌属性!$DX60)</f>
        <v>425</v>
      </c>
      <c r="FP60" s="14">
        <f>INDEX(属性投放!$BR$6:$BR$85,(卡牌属性!$DW60-2)*20+卡牌属性!$DX60)</f>
        <v>425</v>
      </c>
      <c r="FQ60" s="14">
        <f>INDEX(属性投放!$BR$6:$BR$85,(卡牌属性!$DW60-2)*20+卡牌属性!$DX60)</f>
        <v>425</v>
      </c>
      <c r="FR60" s="14">
        <f>INDEX(属性投放!$BS$6:$BS$85,(卡牌属性!$DW60-2)*20+卡牌属性!$DX60)</f>
        <v>8500</v>
      </c>
      <c r="FS60" s="14">
        <f>INDEX(属性投放!$BS$6:$BS$85,(卡牌属性!$DW60-2)*20+卡牌属性!$DX60)</f>
        <v>8500</v>
      </c>
      <c r="FT60" s="14">
        <f>INDEX(属性投放!$BS$6:$BS$85,(卡牌属性!$DW60-2)*20+卡牌属性!$DX60)</f>
        <v>8500</v>
      </c>
      <c r="FU60" s="14">
        <f>INDEX(属性投放!$BS$6:$BS$85,(卡牌属性!$DW60-2)*20+卡牌属性!$DX60)</f>
        <v>8500</v>
      </c>
      <c r="FV60" s="14">
        <f>INDEX(属性投放!$BS$6:$BS$85,(卡牌属性!$DW60-2)*20+卡牌属性!$DX60)</f>
        <v>8500</v>
      </c>
      <c r="FZ60" s="13">
        <v>56</v>
      </c>
      <c r="GA60" s="13">
        <f t="shared" si="121"/>
        <v>12</v>
      </c>
      <c r="GB60" s="14">
        <f t="shared" si="56"/>
        <v>1102012</v>
      </c>
      <c r="GC60" s="14" t="s">
        <v>1187</v>
      </c>
      <c r="GD60" s="14">
        <f t="shared" si="122"/>
        <v>1</v>
      </c>
      <c r="GE60" s="14" t="str">
        <f t="shared" si="123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4"/>
        <v>12</v>
      </c>
      <c r="GP60" s="14">
        <f t="shared" si="57"/>
        <v>1101012</v>
      </c>
      <c r="GQ60" s="14" t="s">
        <v>1187</v>
      </c>
      <c r="GR60" s="14">
        <f t="shared" si="125"/>
        <v>1</v>
      </c>
      <c r="GS60" s="14" t="str">
        <f t="shared" si="126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MATCH(HC60,属性投放!$AO$6:$AO$58,1)-1</f>
        <v>15</v>
      </c>
      <c r="HF60" s="13">
        <f>MATCH(HC60-1,属性投放!$AE$6:$AE$26,1)</f>
        <v>8</v>
      </c>
      <c r="HG60" s="13" t="str">
        <f>INDEX(属性投放!$AB$7:$AB$26,卡牌属性!HF60)</f>
        <v>叫唤+1</v>
      </c>
      <c r="HH60" s="14">
        <f t="shared" si="58"/>
        <v>1813</v>
      </c>
      <c r="HI60" s="14">
        <f t="shared" si="59"/>
        <v>725</v>
      </c>
      <c r="HJ60" s="14">
        <f t="shared" si="60"/>
        <v>9882</v>
      </c>
      <c r="HK60" s="14">
        <f t="shared" si="61"/>
        <v>25</v>
      </c>
      <c r="HL60" s="14">
        <f t="shared" si="62"/>
        <v>8</v>
      </c>
      <c r="HM60" s="14">
        <f t="shared" si="63"/>
        <v>128</v>
      </c>
      <c r="HN60" s="14">
        <f>HH60+HK60*($HC60-INDEX(属性投放!$AE$6:$AE$26,卡牌属性!$HF60))</f>
        <v>1913</v>
      </c>
      <c r="HO60" s="14">
        <f>HI60+HL60*($HC60-INDEX(属性投放!$AE$6:$AE$26,卡牌属性!$HF60))</f>
        <v>757</v>
      </c>
      <c r="HP60" s="14">
        <f>HJ60+HM60*($HC60-INDEX(属性投放!$AE$6:$AE$26,卡牌属性!$HF60))</f>
        <v>10394</v>
      </c>
      <c r="HQ60" s="14">
        <f t="shared" si="64"/>
        <v>835</v>
      </c>
      <c r="HR60" s="14">
        <f t="shared" si="65"/>
        <v>421</v>
      </c>
      <c r="HS60" s="14">
        <f t="shared" si="66"/>
        <v>6050</v>
      </c>
      <c r="HT60" s="14">
        <f>IF(COUNTIF(属性投放!$AO$7:$AO$58,"="&amp;卡牌属性!HC60)&gt;0,卡牌属性!HE60,0)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IF(COUNTIF(属性投放!$AE$6:$AE$26,"="&amp;卡牌属性!HC60)&gt;0,卡牌属性!HF60,0)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25</v>
      </c>
      <c r="IC60" s="14">
        <f t="shared" si="74"/>
        <v>8</v>
      </c>
      <c r="ID60" s="14">
        <f t="shared" si="75"/>
        <v>128</v>
      </c>
      <c r="IE60" s="14">
        <f t="shared" si="76"/>
        <v>2748</v>
      </c>
      <c r="IF60" s="14">
        <f t="shared" si="77"/>
        <v>1178</v>
      </c>
      <c r="IG60" s="14">
        <f t="shared" si="78"/>
        <v>16444</v>
      </c>
      <c r="IH60" s="14">
        <f t="shared" si="79"/>
        <v>538</v>
      </c>
      <c r="II60" s="14">
        <f t="shared" si="80"/>
        <v>0</v>
      </c>
      <c r="IJ60" s="14">
        <f t="shared" si="81"/>
        <v>0</v>
      </c>
      <c r="IK60" s="14">
        <f t="shared" si="82"/>
        <v>67484</v>
      </c>
      <c r="IL60" s="17">
        <f t="shared" si="83"/>
        <v>7.9722600912808961E-3</v>
      </c>
      <c r="IM60" s="17">
        <f t="shared" si="84"/>
        <v>0</v>
      </c>
      <c r="IN60" s="17">
        <f t="shared" si="85"/>
        <v>0</v>
      </c>
      <c r="IO60" s="23">
        <f>SUM(IH$5:IH60)</f>
        <v>22564</v>
      </c>
      <c r="IP60" s="14">
        <f>SUM(II$5:II60)</f>
        <v>22820</v>
      </c>
      <c r="IQ60" s="14">
        <f>SUM(IJ$5:IJ60)</f>
        <v>14300</v>
      </c>
      <c r="IR60" s="17">
        <f t="shared" si="86"/>
        <v>0.3343607373599668</v>
      </c>
      <c r="IS60" s="17">
        <f t="shared" si="87"/>
        <v>0.33815422915061349</v>
      </c>
      <c r="IT60" s="17">
        <f t="shared" si="88"/>
        <v>0.21190208049315393</v>
      </c>
      <c r="IW60" s="13">
        <v>56</v>
      </c>
      <c r="IX60" s="14">
        <f>MATCH(IW60-1,属性投放!$T$6:$T$66,1)</f>
        <v>4</v>
      </c>
      <c r="IY60" s="14">
        <f>MATCH(IW60-1,属性投放!$AD$7:$AD$26,1)</f>
        <v>7</v>
      </c>
      <c r="IZ60" s="14" t="str">
        <f>INDEX(属性投放!$AB$7:$AB$26,IY60)</f>
        <v>叫唤</v>
      </c>
      <c r="JA60" s="14">
        <f t="shared" si="89"/>
        <v>1077</v>
      </c>
      <c r="JB60" s="14">
        <f t="shared" si="90"/>
        <v>488</v>
      </c>
      <c r="JC60" s="14">
        <f t="shared" si="91"/>
        <v>6797</v>
      </c>
      <c r="JD60" s="14">
        <f t="shared" si="92"/>
        <v>36</v>
      </c>
      <c r="JE60" s="14">
        <f t="shared" si="93"/>
        <v>18</v>
      </c>
      <c r="JF60" s="14">
        <f t="shared" si="94"/>
        <v>286</v>
      </c>
      <c r="JG60" s="14">
        <f>INDEX(属性投放!$DC$6:$DC$85,卡牌属性!IY60)</f>
        <v>45</v>
      </c>
      <c r="JH60" s="14">
        <f t="shared" si="95"/>
        <v>1473</v>
      </c>
      <c r="JI60" s="14">
        <f t="shared" si="96"/>
        <v>686</v>
      </c>
      <c r="JJ60" s="14">
        <f t="shared" si="97"/>
        <v>9943</v>
      </c>
      <c r="JK60" s="14">
        <f t="shared" si="98"/>
        <v>24168</v>
      </c>
    </row>
    <row r="61" spans="31:271" ht="16.5" x14ac:dyDescent="0.2">
      <c r="AE61" s="13">
        <v>57</v>
      </c>
      <c r="AF61" s="13">
        <f t="shared" si="31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142</v>
      </c>
      <c r="AM61" s="14">
        <v>1</v>
      </c>
      <c r="AN61" s="14">
        <f t="shared" si="5"/>
        <v>17</v>
      </c>
      <c r="AO61" s="14">
        <f>INDEX(属性投放!$DF$6:$DF$85,(卡牌属性!AG61-2)*20+卡牌属性!AN61)</f>
        <v>12499</v>
      </c>
      <c r="AP61" s="14">
        <f t="shared" si="127"/>
        <v>12499</v>
      </c>
      <c r="AQ61" s="14">
        <f t="shared" si="127"/>
        <v>12499</v>
      </c>
      <c r="AR61" s="14">
        <f t="shared" si="127"/>
        <v>12499</v>
      </c>
      <c r="AS61" s="14">
        <f t="shared" si="127"/>
        <v>12499</v>
      </c>
      <c r="AT61" s="14">
        <f>INDEX(属性投放!$DG$6:$DG$85,(卡牌属性!AG61-2)*20+卡牌属性!AN61)</f>
        <v>6189</v>
      </c>
      <c r="AU61" s="14">
        <f t="shared" si="128"/>
        <v>6189</v>
      </c>
      <c r="AV61" s="14">
        <f t="shared" si="128"/>
        <v>6189</v>
      </c>
      <c r="AW61" s="14">
        <f t="shared" si="128"/>
        <v>6189</v>
      </c>
      <c r="AX61" s="14">
        <f t="shared" si="128"/>
        <v>6189</v>
      </c>
      <c r="AY61" s="14">
        <f>INDEX(属性投放!$DH$6:$DH$85,(卡牌属性!AG61-2)*20+卡牌属性!AN61)</f>
        <v>114078</v>
      </c>
      <c r="AZ61" s="14">
        <f t="shared" si="129"/>
        <v>114078</v>
      </c>
      <c r="BA61" s="14">
        <f t="shared" si="129"/>
        <v>114078</v>
      </c>
      <c r="BB61" s="14">
        <f t="shared" si="129"/>
        <v>114078</v>
      </c>
      <c r="BC61" s="14">
        <f t="shared" si="129"/>
        <v>114078</v>
      </c>
      <c r="BD61" s="14">
        <f>INDEX(属性投放!$DL$6:$DL$85,(卡牌属性!AG61-2)*20+卡牌属性!AN61)</f>
        <v>259</v>
      </c>
      <c r="BE61" s="14">
        <f t="shared" si="130"/>
        <v>259</v>
      </c>
      <c r="BF61" s="14">
        <f t="shared" si="130"/>
        <v>259</v>
      </c>
      <c r="BG61" s="14">
        <f t="shared" si="130"/>
        <v>259</v>
      </c>
      <c r="BH61" s="14">
        <f t="shared" si="130"/>
        <v>259</v>
      </c>
      <c r="BI61" s="14">
        <f>INDEX(属性投放!$DM$6:$DM$85,(卡牌属性!AG61-2)*20+卡牌属性!AN61)</f>
        <v>130</v>
      </c>
      <c r="BJ61" s="14">
        <f t="shared" si="131"/>
        <v>130</v>
      </c>
      <c r="BK61" s="14">
        <f t="shared" si="131"/>
        <v>130</v>
      </c>
      <c r="BL61" s="14">
        <f t="shared" si="131"/>
        <v>130</v>
      </c>
      <c r="BM61" s="14">
        <f t="shared" si="131"/>
        <v>130</v>
      </c>
      <c r="BN61" s="14">
        <f>INDEX(属性投放!$DN$6:$DN$85,(卡牌属性!AG61-2)*20+卡牌属性!AN61)</f>
        <v>2593</v>
      </c>
      <c r="BO61" s="14">
        <f t="shared" si="132"/>
        <v>2593</v>
      </c>
      <c r="BP61" s="14">
        <f t="shared" si="132"/>
        <v>2593</v>
      </c>
      <c r="BQ61" s="14">
        <f t="shared" si="132"/>
        <v>2593</v>
      </c>
      <c r="BR61" s="14">
        <f t="shared" si="132"/>
        <v>2593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32"/>
        <v>1102003</v>
      </c>
      <c r="CA61" s="14" t="str">
        <f t="shared" si="33"/>
        <v>典韦17突</v>
      </c>
      <c r="CB61" s="25" t="s">
        <v>142</v>
      </c>
      <c r="CC61" s="14">
        <v>2</v>
      </c>
      <c r="CD61" s="14">
        <f t="shared" si="14"/>
        <v>17</v>
      </c>
      <c r="CE61" s="14" t="s">
        <v>21</v>
      </c>
      <c r="CF61" s="14">
        <f>INDEX(属性投放!$AZ$6:$AZ$85,(BY61-2)*20+CD61)</f>
        <v>15328</v>
      </c>
      <c r="CG61" s="14" t="s">
        <v>22</v>
      </c>
      <c r="CH61" s="14">
        <f>INDEX(属性投放!$BA$6:$BA$85,(BY61-2)*20+CD61)</f>
        <v>7619</v>
      </c>
      <c r="CI61" s="14" t="s">
        <v>510</v>
      </c>
      <c r="CJ61" s="14">
        <f>INDEX(属性投放!$BB$6:$BB$85,(BY61-2)*20+CD61)</f>
        <v>139603</v>
      </c>
      <c r="CK61" s="14" t="s">
        <v>21</v>
      </c>
      <c r="CL61" s="14">
        <f>INDEX(属性投放!$BC$6:$BC$85,(BY61-2)*20+CD61)</f>
        <v>50</v>
      </c>
      <c r="CM61" s="14" t="s">
        <v>22</v>
      </c>
      <c r="CN61" s="14">
        <f>INDEX(属性投放!$BD$6:$BD$85,(BY61-2)*20+CD61)</f>
        <v>25</v>
      </c>
      <c r="CO61" s="14" t="s">
        <v>510</v>
      </c>
      <c r="CP61" s="14">
        <f>INDEX(属性投放!$BE$6:$BE$85,(BY61-2)*20+CD61)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INDEX($O$6:$O$50,CT61)&amp;"-"&amp;INDEX(属性投放!$AB$7:$AB$50,CZ61)&amp;"-魂火-"&amp;DB61</f>
        <v>许褚-黑绳+1-魂火-2</v>
      </c>
      <c r="CY61" s="25" t="s">
        <v>142</v>
      </c>
      <c r="CZ61" s="14">
        <f>INDEX(属性投放!$AM$7:$AM$58,CU61)</f>
        <v>3</v>
      </c>
      <c r="DA61" s="14" t="s">
        <v>537</v>
      </c>
      <c r="DB61" s="14">
        <f>INDEX(属性投放!$AN$7:$AN$58,CU61)</f>
        <v>2</v>
      </c>
      <c r="DC61" s="14">
        <f t="shared" si="16"/>
        <v>5</v>
      </c>
      <c r="DD61" s="14">
        <f>INDEX(属性投放!$AO$7:$AO$58,DC61)</f>
        <v>23</v>
      </c>
      <c r="DE61" s="14" t="s">
        <v>538</v>
      </c>
      <c r="DF61" s="14">
        <f>INDEX(属性投放!$BK$6:$BK$85,(CV61-2)*20+CZ61)</f>
        <v>30</v>
      </c>
      <c r="DG61" s="14">
        <f>SUMIFS(DF$5:DF61,$CT$5:$CT61,"="&amp;$CT61)</f>
        <v>130</v>
      </c>
      <c r="DH61" s="14" t="s">
        <v>539</v>
      </c>
      <c r="DI61" s="14">
        <f>INDEX(属性投放!$BL$6:$BL$85,(CV61-2)*20+CZ61)</f>
        <v>15</v>
      </c>
      <c r="DJ61" s="14">
        <f>SUMIFS(DI$5:DI61,$CT$5:$CT61,"="&amp;$CT61)</f>
        <v>66</v>
      </c>
      <c r="DK61" s="14" t="s">
        <v>540</v>
      </c>
      <c r="DL61" s="14">
        <f>INDEX(属性投放!$BM$6:$BM$85,(CV61-2)*20+CZ61)</f>
        <v>180</v>
      </c>
      <c r="DM61" s="14">
        <f>SUMIFS(DL$5:DL61,$CT$5:$CT61,"="&amp;$CT61)</f>
        <v>780</v>
      </c>
      <c r="DR61" s="14">
        <f t="shared" si="17"/>
        <v>1102003</v>
      </c>
      <c r="DS61" s="14" t="str">
        <f t="shared" si="18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19"/>
        <v>4</v>
      </c>
      <c r="DX61" s="14">
        <f t="shared" si="20"/>
        <v>17</v>
      </c>
      <c r="DY61" s="14">
        <f t="shared" si="21"/>
        <v>57</v>
      </c>
      <c r="DZ61" s="14">
        <f>INDEX(属性投放!$AX$6:$AX$85,(卡牌属性!DW61-2)*20+卡牌属性!DX61)</f>
        <v>8</v>
      </c>
      <c r="EA61" s="14">
        <f>INDEX(属性投放!BQ$6:BQ$85,卡牌属性!$DY61)</f>
        <v>950</v>
      </c>
      <c r="EB61" s="14">
        <f>INDEX(属性投放!BR$6:BR$85,卡牌属性!$DY61)</f>
        <v>475</v>
      </c>
      <c r="EC61" s="14">
        <f>INDEX(属性投放!BS$6:BS$85,卡牌属性!$DY61)</f>
        <v>9500</v>
      </c>
      <c r="ED61" s="14">
        <f t="shared" si="133"/>
        <v>7893</v>
      </c>
      <c r="EE61" s="14">
        <f t="shared" si="134"/>
        <v>8380</v>
      </c>
      <c r="EF61" s="14">
        <f t="shared" si="135"/>
        <v>8930</v>
      </c>
      <c r="EG61" s="14">
        <f t="shared" si="136"/>
        <v>8930</v>
      </c>
      <c r="EH61" s="14">
        <f t="shared" si="137"/>
        <v>10360</v>
      </c>
      <c r="EI61" s="14">
        <f t="shared" si="138"/>
        <v>3409</v>
      </c>
      <c r="EJ61" s="14">
        <f t="shared" si="139"/>
        <v>3917</v>
      </c>
      <c r="EK61" s="14">
        <f t="shared" si="140"/>
        <v>3917</v>
      </c>
      <c r="EL61" s="14">
        <f t="shared" si="141"/>
        <v>4176</v>
      </c>
      <c r="EM61" s="14">
        <f t="shared" si="142"/>
        <v>4433</v>
      </c>
      <c r="EN61" s="14">
        <f t="shared" si="143"/>
        <v>60834</v>
      </c>
      <c r="EO61" s="14">
        <f t="shared" si="144"/>
        <v>69818</v>
      </c>
      <c r="EP61" s="14">
        <f t="shared" si="145"/>
        <v>69818</v>
      </c>
      <c r="EQ61" s="14">
        <f t="shared" si="146"/>
        <v>73862</v>
      </c>
      <c r="ER61" s="14">
        <f t="shared" si="147"/>
        <v>78410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INDEX(属性投放!$BQ$6:$BQ$85,(卡牌属性!$DW61-2)*20+卡牌属性!$DX61)</f>
        <v>950</v>
      </c>
      <c r="FI61" s="14">
        <f>INDEX(属性投放!$BQ$6:$BQ$85,(卡牌属性!$DW61-2)*20+卡牌属性!$DX61)</f>
        <v>950</v>
      </c>
      <c r="FJ61" s="14">
        <f>INDEX(属性投放!$BQ$6:$BQ$85,(卡牌属性!$DW61-2)*20+卡牌属性!$DX61)</f>
        <v>950</v>
      </c>
      <c r="FK61" s="14">
        <f>INDEX(属性投放!$BQ$6:$BQ$85,(卡牌属性!$DW61-2)*20+卡牌属性!$DX61)</f>
        <v>950</v>
      </c>
      <c r="FL61" s="14">
        <f>INDEX(属性投放!$BQ$6:$BQ$85,(卡牌属性!$DW61-2)*20+卡牌属性!$DX61)</f>
        <v>950</v>
      </c>
      <c r="FM61" s="14">
        <f>INDEX(属性投放!$BR$6:$BR$85,(卡牌属性!$DW61-2)*20+卡牌属性!$DX61)</f>
        <v>475</v>
      </c>
      <c r="FN61" s="14">
        <f>INDEX(属性投放!$BR$6:$BR$85,(卡牌属性!$DW61-2)*20+卡牌属性!$DX61)</f>
        <v>475</v>
      </c>
      <c r="FO61" s="14">
        <f>INDEX(属性投放!$BR$6:$BR$85,(卡牌属性!$DW61-2)*20+卡牌属性!$DX61)</f>
        <v>475</v>
      </c>
      <c r="FP61" s="14">
        <f>INDEX(属性投放!$BR$6:$BR$85,(卡牌属性!$DW61-2)*20+卡牌属性!$DX61)</f>
        <v>475</v>
      </c>
      <c r="FQ61" s="14">
        <f>INDEX(属性投放!$BR$6:$BR$85,(卡牌属性!$DW61-2)*20+卡牌属性!$DX61)</f>
        <v>475</v>
      </c>
      <c r="FR61" s="14">
        <f>INDEX(属性投放!$BS$6:$BS$85,(卡牌属性!$DW61-2)*20+卡牌属性!$DX61)</f>
        <v>9500</v>
      </c>
      <c r="FS61" s="14">
        <f>INDEX(属性投放!$BS$6:$BS$85,(卡牌属性!$DW61-2)*20+卡牌属性!$DX61)</f>
        <v>9500</v>
      </c>
      <c r="FT61" s="14">
        <f>INDEX(属性投放!$BS$6:$BS$85,(卡牌属性!$DW61-2)*20+卡牌属性!$DX61)</f>
        <v>9500</v>
      </c>
      <c r="FU61" s="14">
        <f>INDEX(属性投放!$BS$6:$BS$85,(卡牌属性!$DW61-2)*20+卡牌属性!$DX61)</f>
        <v>9500</v>
      </c>
      <c r="FV61" s="14">
        <f>INDEX(属性投放!$BS$6:$BS$85,(卡牌属性!$DW61-2)*20+卡牌属性!$DX61)</f>
        <v>9500</v>
      </c>
      <c r="FZ61" s="13">
        <v>57</v>
      </c>
      <c r="GA61" s="13">
        <f t="shared" si="121"/>
        <v>12</v>
      </c>
      <c r="GB61" s="14">
        <f t="shared" si="56"/>
        <v>1102012</v>
      </c>
      <c r="GC61" s="14" t="s">
        <v>1187</v>
      </c>
      <c r="GD61" s="14">
        <f t="shared" si="122"/>
        <v>2</v>
      </c>
      <c r="GE61" s="14" t="str">
        <f t="shared" si="123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4"/>
        <v>12</v>
      </c>
      <c r="GP61" s="14">
        <f t="shared" si="57"/>
        <v>1101012</v>
      </c>
      <c r="GQ61" s="14" t="s">
        <v>1187</v>
      </c>
      <c r="GR61" s="14">
        <f t="shared" si="125"/>
        <v>2</v>
      </c>
      <c r="GS61" s="14" t="str">
        <f t="shared" si="126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MATCH(HC61,属性投放!$AO$6:$AO$58,1)-1</f>
        <v>15</v>
      </c>
      <c r="HF61" s="13">
        <f>MATCH(HC61-1,属性投放!$AE$6:$AE$26,1)</f>
        <v>8</v>
      </c>
      <c r="HG61" s="13" t="str">
        <f>INDEX(属性投放!$AB$7:$AB$26,卡牌属性!HF61)</f>
        <v>叫唤+1</v>
      </c>
      <c r="HH61" s="14">
        <f t="shared" si="58"/>
        <v>1813</v>
      </c>
      <c r="HI61" s="14">
        <f t="shared" si="59"/>
        <v>725</v>
      </c>
      <c r="HJ61" s="14">
        <f t="shared" si="60"/>
        <v>9882</v>
      </c>
      <c r="HK61" s="14">
        <f t="shared" si="61"/>
        <v>25</v>
      </c>
      <c r="HL61" s="14">
        <f t="shared" si="62"/>
        <v>8</v>
      </c>
      <c r="HM61" s="14">
        <f t="shared" si="63"/>
        <v>128</v>
      </c>
      <c r="HN61" s="14">
        <f>HH61+HK61*($HC61-INDEX(属性投放!$AE$6:$AE$26,卡牌属性!$HF61))</f>
        <v>1938</v>
      </c>
      <c r="HO61" s="14">
        <f>HI61+HL61*($HC61-INDEX(属性投放!$AE$6:$AE$26,卡牌属性!$HF61))</f>
        <v>765</v>
      </c>
      <c r="HP61" s="14">
        <f>HJ61+HM61*($HC61-INDEX(属性投放!$AE$6:$AE$26,卡牌属性!$HF61))</f>
        <v>10522</v>
      </c>
      <c r="HQ61" s="14">
        <f t="shared" si="64"/>
        <v>835</v>
      </c>
      <c r="HR61" s="14">
        <f t="shared" si="65"/>
        <v>421</v>
      </c>
      <c r="HS61" s="14">
        <f t="shared" si="66"/>
        <v>6050</v>
      </c>
      <c r="HT61" s="14">
        <f>IF(COUNTIF(属性投放!$AO$7:$AO$58,"="&amp;卡牌属性!HC61)&gt;0,卡牌属性!HE61,0)</f>
        <v>0</v>
      </c>
      <c r="HU61" s="14">
        <f t="shared" si="67"/>
        <v>0</v>
      </c>
      <c r="HV61" s="14">
        <f t="shared" si="68"/>
        <v>0</v>
      </c>
      <c r="HW61" s="14">
        <f t="shared" si="69"/>
        <v>0</v>
      </c>
      <c r="HX61" s="14">
        <f>IF(COUNTIF(属性投放!$AE$6:$AE$26,"="&amp;卡牌属性!HC61)&gt;0,卡牌属性!HF61,0)</f>
        <v>8</v>
      </c>
      <c r="HY61" s="14">
        <f t="shared" si="70"/>
        <v>165</v>
      </c>
      <c r="HZ61" s="14">
        <f t="shared" si="71"/>
        <v>83</v>
      </c>
      <c r="IA61" s="14">
        <f t="shared" si="72"/>
        <v>1320</v>
      </c>
      <c r="IB61" s="14">
        <f t="shared" si="73"/>
        <v>25</v>
      </c>
      <c r="IC61" s="14">
        <f t="shared" si="74"/>
        <v>8</v>
      </c>
      <c r="ID61" s="14">
        <f t="shared" si="75"/>
        <v>128</v>
      </c>
      <c r="IE61" s="14">
        <f t="shared" si="76"/>
        <v>2773</v>
      </c>
      <c r="IF61" s="14">
        <f t="shared" si="77"/>
        <v>1186</v>
      </c>
      <c r="IG61" s="14">
        <f t="shared" si="78"/>
        <v>16572</v>
      </c>
      <c r="IH61" s="14">
        <f t="shared" si="79"/>
        <v>538</v>
      </c>
      <c r="II61" s="14">
        <f t="shared" si="80"/>
        <v>0</v>
      </c>
      <c r="IJ61" s="14">
        <f t="shared" si="81"/>
        <v>4630</v>
      </c>
      <c r="IK61" s="14">
        <f t="shared" si="82"/>
        <v>68022</v>
      </c>
      <c r="IL61" s="17">
        <f t="shared" si="83"/>
        <v>7.9092058451677404E-3</v>
      </c>
      <c r="IM61" s="17">
        <f t="shared" si="84"/>
        <v>0</v>
      </c>
      <c r="IN61" s="17">
        <f t="shared" si="85"/>
        <v>6.8066213871982598E-2</v>
      </c>
      <c r="IO61" s="23">
        <f>SUM(IH$5:IH61)</f>
        <v>23102</v>
      </c>
      <c r="IP61" s="14">
        <f>SUM(II$5:II61)</f>
        <v>22820</v>
      </c>
      <c r="IQ61" s="14">
        <f>SUM(IJ$5:IJ61)</f>
        <v>18930</v>
      </c>
      <c r="IR61" s="17">
        <f t="shared" si="86"/>
        <v>0.33962541530681251</v>
      </c>
      <c r="IS61" s="17">
        <f t="shared" si="87"/>
        <v>0.33547969774484726</v>
      </c>
      <c r="IT61" s="17">
        <f t="shared" si="88"/>
        <v>0.27829231719149689</v>
      </c>
      <c r="IW61" s="13">
        <v>57</v>
      </c>
      <c r="IX61" s="14">
        <f>MATCH(IW61-1,属性投放!$T$6:$T$66,1)</f>
        <v>5</v>
      </c>
      <c r="IY61" s="14">
        <f>MATCH(IW61-1,属性投放!$AD$7:$AD$26,1)</f>
        <v>7</v>
      </c>
      <c r="IZ61" s="14" t="str">
        <f>INDEX(属性投放!$AB$7:$AB$26,IY61)</f>
        <v>叫唤</v>
      </c>
      <c r="JA61" s="14">
        <f t="shared" si="89"/>
        <v>1077</v>
      </c>
      <c r="JB61" s="14">
        <f t="shared" si="90"/>
        <v>488</v>
      </c>
      <c r="JC61" s="14">
        <f t="shared" si="91"/>
        <v>6797</v>
      </c>
      <c r="JD61" s="14">
        <f t="shared" si="92"/>
        <v>36</v>
      </c>
      <c r="JE61" s="14">
        <f t="shared" si="93"/>
        <v>18</v>
      </c>
      <c r="JF61" s="14">
        <f t="shared" si="94"/>
        <v>286</v>
      </c>
      <c r="JG61" s="14">
        <f>INDEX(属性投放!$DC$6:$DC$85,卡牌属性!IY61)</f>
        <v>45</v>
      </c>
      <c r="JH61" s="14">
        <f t="shared" si="95"/>
        <v>1509</v>
      </c>
      <c r="JI61" s="14">
        <f t="shared" si="96"/>
        <v>704</v>
      </c>
      <c r="JJ61" s="14">
        <f t="shared" si="97"/>
        <v>10229</v>
      </c>
      <c r="JK61" s="14">
        <f t="shared" si="98"/>
        <v>24814</v>
      </c>
    </row>
    <row r="62" spans="31:271" ht="16.5" x14ac:dyDescent="0.2">
      <c r="AE62" s="13">
        <v>58</v>
      </c>
      <c r="AF62" s="13">
        <f t="shared" si="31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142</v>
      </c>
      <c r="AM62" s="14">
        <v>1</v>
      </c>
      <c r="AN62" s="14">
        <f t="shared" si="5"/>
        <v>18</v>
      </c>
      <c r="AO62" s="14">
        <f>INDEX(属性投放!$DF$6:$DF$85,(卡牌属性!AG62-2)*20+卡牌属性!AN62)</f>
        <v>13425</v>
      </c>
      <c r="AP62" s="14">
        <f t="shared" si="127"/>
        <v>13425</v>
      </c>
      <c r="AQ62" s="14">
        <f t="shared" si="127"/>
        <v>13425</v>
      </c>
      <c r="AR62" s="14">
        <f t="shared" si="127"/>
        <v>13425</v>
      </c>
      <c r="AS62" s="14">
        <f t="shared" si="127"/>
        <v>13425</v>
      </c>
      <c r="AT62" s="14">
        <f>INDEX(属性投放!$DG$6:$DG$85,(卡牌属性!AG62-2)*20+卡牌属性!AN62)</f>
        <v>6652</v>
      </c>
      <c r="AU62" s="14">
        <f t="shared" si="128"/>
        <v>6652</v>
      </c>
      <c r="AV62" s="14">
        <f t="shared" si="128"/>
        <v>6652</v>
      </c>
      <c r="AW62" s="14">
        <f t="shared" si="128"/>
        <v>6652</v>
      </c>
      <c r="AX62" s="14">
        <f t="shared" si="128"/>
        <v>6652</v>
      </c>
      <c r="AY62" s="14">
        <f>INDEX(属性投放!$DH$6:$DH$85,(卡牌属性!AG62-2)*20+卡牌属性!AN62)</f>
        <v>123338</v>
      </c>
      <c r="AZ62" s="14">
        <f t="shared" si="129"/>
        <v>123338</v>
      </c>
      <c r="BA62" s="14">
        <f t="shared" si="129"/>
        <v>123338</v>
      </c>
      <c r="BB62" s="14">
        <f t="shared" si="129"/>
        <v>123338</v>
      </c>
      <c r="BC62" s="14">
        <f t="shared" si="129"/>
        <v>123338</v>
      </c>
      <c r="BD62" s="14">
        <f>INDEX(属性投放!$DL$6:$DL$85,(卡牌属性!AG62-2)*20+卡牌属性!AN62)</f>
        <v>259</v>
      </c>
      <c r="BE62" s="14">
        <f t="shared" si="130"/>
        <v>259</v>
      </c>
      <c r="BF62" s="14">
        <f t="shared" si="130"/>
        <v>259</v>
      </c>
      <c r="BG62" s="14">
        <f t="shared" si="130"/>
        <v>259</v>
      </c>
      <c r="BH62" s="14">
        <f t="shared" si="130"/>
        <v>259</v>
      </c>
      <c r="BI62" s="14">
        <f>INDEX(属性投放!$DM$6:$DM$85,(卡牌属性!AG62-2)*20+卡牌属性!AN62)</f>
        <v>130</v>
      </c>
      <c r="BJ62" s="14">
        <f t="shared" si="131"/>
        <v>130</v>
      </c>
      <c r="BK62" s="14">
        <f t="shared" si="131"/>
        <v>130</v>
      </c>
      <c r="BL62" s="14">
        <f t="shared" si="131"/>
        <v>130</v>
      </c>
      <c r="BM62" s="14">
        <f t="shared" si="131"/>
        <v>130</v>
      </c>
      <c r="BN62" s="14">
        <f>INDEX(属性投放!$DN$6:$DN$85,(卡牌属性!AG62-2)*20+卡牌属性!AN62)</f>
        <v>2593</v>
      </c>
      <c r="BO62" s="14">
        <f t="shared" si="132"/>
        <v>2593</v>
      </c>
      <c r="BP62" s="14">
        <f t="shared" si="132"/>
        <v>2593</v>
      </c>
      <c r="BQ62" s="14">
        <f t="shared" si="132"/>
        <v>2593</v>
      </c>
      <c r="BR62" s="14">
        <f t="shared" si="132"/>
        <v>2593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32"/>
        <v>1102003</v>
      </c>
      <c r="CA62" s="14" t="str">
        <f t="shared" si="33"/>
        <v>典韦18突</v>
      </c>
      <c r="CB62" s="25" t="s">
        <v>142</v>
      </c>
      <c r="CC62" s="14">
        <v>2</v>
      </c>
      <c r="CD62" s="14">
        <f t="shared" si="14"/>
        <v>18</v>
      </c>
      <c r="CE62" s="14" t="s">
        <v>21</v>
      </c>
      <c r="CF62" s="14">
        <f>INDEX(属性投放!$AZ$6:$AZ$85,(BY62-2)*20+CD62)</f>
        <v>18628</v>
      </c>
      <c r="CG62" s="14" t="s">
        <v>22</v>
      </c>
      <c r="CH62" s="14">
        <f>INDEX(属性投放!$BA$6:$BA$85,(BY62-2)*20+CD62)</f>
        <v>9269</v>
      </c>
      <c r="CI62" s="14" t="s">
        <v>510</v>
      </c>
      <c r="CJ62" s="14">
        <f>INDEX(属性投放!$BB$6:$BB$85,(BY62-2)*20+CD62)</f>
        <v>172603</v>
      </c>
      <c r="CK62" s="14" t="s">
        <v>21</v>
      </c>
      <c r="CL62" s="14">
        <f>INDEX(属性投放!$BC$6:$BC$85,(BY62-2)*20+CD62)</f>
        <v>50</v>
      </c>
      <c r="CM62" s="14" t="s">
        <v>22</v>
      </c>
      <c r="CN62" s="14">
        <f>INDEX(属性投放!$BD$6:$BD$85,(BY62-2)*20+CD62)</f>
        <v>25</v>
      </c>
      <c r="CO62" s="14" t="s">
        <v>510</v>
      </c>
      <c r="CP62" s="14">
        <f>INDEX(属性投放!$BE$6:$BE$85,(BY62-2)*20+CD62)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INDEX($O$6:$O$50,CT62)&amp;"-"&amp;INDEX(属性投放!$AB$7:$AB$50,CZ62)&amp;"-魂火-"&amp;DB62</f>
        <v>许褚-众合-魂火-1</v>
      </c>
      <c r="CY62" s="25" t="s">
        <v>142</v>
      </c>
      <c r="CZ62" s="14">
        <f>INDEX(属性投放!$AM$7:$AM$58,CU62)</f>
        <v>4</v>
      </c>
      <c r="DA62" s="14" t="s">
        <v>537</v>
      </c>
      <c r="DB62" s="14">
        <f>INDEX(属性投放!$AN$7:$AN$58,CU62)</f>
        <v>1</v>
      </c>
      <c r="DC62" s="14">
        <f t="shared" si="16"/>
        <v>6</v>
      </c>
      <c r="DD62" s="14">
        <f>INDEX(属性投放!$AO$7:$AO$58,DC62)</f>
        <v>28</v>
      </c>
      <c r="DE62" s="14" t="s">
        <v>538</v>
      </c>
      <c r="DF62" s="14">
        <f>INDEX(属性投放!$BK$6:$BK$85,(CV62-2)*20+CZ62)</f>
        <v>40</v>
      </c>
      <c r="DG62" s="14">
        <f>SUMIFS(DF$5:DF62,$CT$5:$CT62,"="&amp;$CT62)</f>
        <v>170</v>
      </c>
      <c r="DH62" s="14" t="s">
        <v>539</v>
      </c>
      <c r="DI62" s="14">
        <f>INDEX(属性投放!$BL$6:$BL$85,(CV62-2)*20+CZ62)</f>
        <v>20</v>
      </c>
      <c r="DJ62" s="14">
        <f>SUMIFS(DI$5:DI62,$CT$5:$CT62,"="&amp;$CT62)</f>
        <v>86</v>
      </c>
      <c r="DK62" s="14" t="s">
        <v>540</v>
      </c>
      <c r="DL62" s="14">
        <f>INDEX(属性投放!$BM$6:$BM$85,(CV62-2)*20+CZ62)</f>
        <v>280</v>
      </c>
      <c r="DM62" s="14">
        <f>SUMIFS(DL$5:DL62,$CT$5:$CT62,"="&amp;$CT62)</f>
        <v>1060</v>
      </c>
      <c r="DR62" s="14">
        <f t="shared" si="17"/>
        <v>1102003</v>
      </c>
      <c r="DS62" s="14" t="str">
        <f t="shared" si="18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19"/>
        <v>4</v>
      </c>
      <c r="DX62" s="14">
        <f t="shared" si="20"/>
        <v>18</v>
      </c>
      <c r="DY62" s="14">
        <f t="shared" si="21"/>
        <v>58</v>
      </c>
      <c r="DZ62" s="14">
        <f>INDEX(属性投放!$AX$6:$AX$85,(卡牌属性!DW62-2)*20+卡牌属性!DX62)</f>
        <v>7</v>
      </c>
      <c r="EA62" s="14">
        <f>INDEX(属性投放!BQ$6:BQ$85,卡牌属性!$DY62)</f>
        <v>1500</v>
      </c>
      <c r="EB62" s="14">
        <f>INDEX(属性投放!BR$6:BR$85,卡牌属性!$DY62)</f>
        <v>750</v>
      </c>
      <c r="EC62" s="14">
        <f>INDEX(属性投放!BS$6:BS$85,卡牌属性!$DY62)</f>
        <v>15000</v>
      </c>
      <c r="ED62" s="14">
        <f t="shared" si="133"/>
        <v>9243</v>
      </c>
      <c r="EE62" s="14">
        <f t="shared" si="134"/>
        <v>9810</v>
      </c>
      <c r="EF62" s="14">
        <f t="shared" si="135"/>
        <v>10480</v>
      </c>
      <c r="EG62" s="14">
        <f t="shared" si="136"/>
        <v>10480</v>
      </c>
      <c r="EH62" s="14">
        <f t="shared" si="137"/>
        <v>12110</v>
      </c>
      <c r="EI62" s="14">
        <f t="shared" si="138"/>
        <v>4028</v>
      </c>
      <c r="EJ62" s="14">
        <f t="shared" si="139"/>
        <v>4592</v>
      </c>
      <c r="EK62" s="14">
        <f t="shared" si="140"/>
        <v>4592</v>
      </c>
      <c r="EL62" s="14">
        <f t="shared" si="141"/>
        <v>4891</v>
      </c>
      <c r="EM62" s="14">
        <f t="shared" si="142"/>
        <v>5212</v>
      </c>
      <c r="EN62" s="14">
        <f t="shared" si="143"/>
        <v>73134</v>
      </c>
      <c r="EO62" s="14">
        <f t="shared" si="144"/>
        <v>83318</v>
      </c>
      <c r="EP62" s="14">
        <f t="shared" si="145"/>
        <v>83318</v>
      </c>
      <c r="EQ62" s="14">
        <f t="shared" si="146"/>
        <v>88162</v>
      </c>
      <c r="ER62" s="14">
        <f t="shared" si="147"/>
        <v>93910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INDEX(属性投放!$BQ$6:$BQ$85,(卡牌属性!$DW62-2)*20+卡牌属性!$DX62)</f>
        <v>1500</v>
      </c>
      <c r="FI62" s="14">
        <f>INDEX(属性投放!$BQ$6:$BQ$85,(卡牌属性!$DW62-2)*20+卡牌属性!$DX62)</f>
        <v>1500</v>
      </c>
      <c r="FJ62" s="14">
        <f>INDEX(属性投放!$BQ$6:$BQ$85,(卡牌属性!$DW62-2)*20+卡牌属性!$DX62)</f>
        <v>1500</v>
      </c>
      <c r="FK62" s="14">
        <f>INDEX(属性投放!$BQ$6:$BQ$85,(卡牌属性!$DW62-2)*20+卡牌属性!$DX62)</f>
        <v>1500</v>
      </c>
      <c r="FL62" s="14">
        <f>INDEX(属性投放!$BQ$6:$BQ$85,(卡牌属性!$DW62-2)*20+卡牌属性!$DX62)</f>
        <v>1500</v>
      </c>
      <c r="FM62" s="14">
        <f>INDEX(属性投放!$BR$6:$BR$85,(卡牌属性!$DW62-2)*20+卡牌属性!$DX62)</f>
        <v>750</v>
      </c>
      <c r="FN62" s="14">
        <f>INDEX(属性投放!$BR$6:$BR$85,(卡牌属性!$DW62-2)*20+卡牌属性!$DX62)</f>
        <v>750</v>
      </c>
      <c r="FO62" s="14">
        <f>INDEX(属性投放!$BR$6:$BR$85,(卡牌属性!$DW62-2)*20+卡牌属性!$DX62)</f>
        <v>750</v>
      </c>
      <c r="FP62" s="14">
        <f>INDEX(属性投放!$BR$6:$BR$85,(卡牌属性!$DW62-2)*20+卡牌属性!$DX62)</f>
        <v>750</v>
      </c>
      <c r="FQ62" s="14">
        <f>INDEX(属性投放!$BR$6:$BR$85,(卡牌属性!$DW62-2)*20+卡牌属性!$DX62)</f>
        <v>750</v>
      </c>
      <c r="FR62" s="14">
        <f>INDEX(属性投放!$BS$6:$BS$85,(卡牌属性!$DW62-2)*20+卡牌属性!$DX62)</f>
        <v>15000</v>
      </c>
      <c r="FS62" s="14">
        <f>INDEX(属性投放!$BS$6:$BS$85,(卡牌属性!$DW62-2)*20+卡牌属性!$DX62)</f>
        <v>15000</v>
      </c>
      <c r="FT62" s="14">
        <f>INDEX(属性投放!$BS$6:$BS$85,(卡牌属性!$DW62-2)*20+卡牌属性!$DX62)</f>
        <v>15000</v>
      </c>
      <c r="FU62" s="14">
        <f>INDEX(属性投放!$BS$6:$BS$85,(卡牌属性!$DW62-2)*20+卡牌属性!$DX62)</f>
        <v>15000</v>
      </c>
      <c r="FV62" s="14">
        <f>INDEX(属性投放!$BS$6:$BS$85,(卡牌属性!$DW62-2)*20+卡牌属性!$DX62)</f>
        <v>15000</v>
      </c>
      <c r="FZ62" s="13">
        <v>58</v>
      </c>
      <c r="GA62" s="13">
        <f t="shared" si="121"/>
        <v>12</v>
      </c>
      <c r="GB62" s="14">
        <f t="shared" si="56"/>
        <v>1102012</v>
      </c>
      <c r="GC62" s="14" t="s">
        <v>1187</v>
      </c>
      <c r="GD62" s="14">
        <f t="shared" si="122"/>
        <v>3</v>
      </c>
      <c r="GE62" s="14" t="str">
        <f t="shared" si="123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4"/>
        <v>12</v>
      </c>
      <c r="GP62" s="14">
        <f t="shared" si="57"/>
        <v>1101012</v>
      </c>
      <c r="GQ62" s="14" t="s">
        <v>1187</v>
      </c>
      <c r="GR62" s="14">
        <f t="shared" si="125"/>
        <v>3</v>
      </c>
      <c r="GS62" s="14" t="str">
        <f t="shared" si="126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MATCH(HC62,属性投放!$AO$6:$AO$58,1)-1</f>
        <v>16</v>
      </c>
      <c r="HF62" s="13">
        <f>MATCH(HC62-1,属性投放!$AE$6:$AE$26,1)</f>
        <v>9</v>
      </c>
      <c r="HG62" s="13" t="str">
        <f>INDEX(属性投放!$AB$7:$AB$26,卡牌属性!HF62)</f>
        <v>叫唤+2</v>
      </c>
      <c r="HH62" s="14">
        <f t="shared" si="58"/>
        <v>2063</v>
      </c>
      <c r="HI62" s="14">
        <f t="shared" si="59"/>
        <v>828</v>
      </c>
      <c r="HJ62" s="14">
        <f t="shared" si="60"/>
        <v>11522</v>
      </c>
      <c r="HK62" s="14">
        <f t="shared" si="61"/>
        <v>25</v>
      </c>
      <c r="HL62" s="14">
        <f t="shared" si="62"/>
        <v>8</v>
      </c>
      <c r="HM62" s="14">
        <f t="shared" si="63"/>
        <v>128</v>
      </c>
      <c r="HN62" s="14">
        <f>HH62+HK62*($HC62-INDEX(属性投放!$AE$6:$AE$26,卡牌属性!$HF62))</f>
        <v>2088</v>
      </c>
      <c r="HO62" s="14">
        <f>HI62+HL62*($HC62-INDEX(属性投放!$AE$6:$AE$26,卡牌属性!$HF62))</f>
        <v>836</v>
      </c>
      <c r="HP62" s="14">
        <f>HJ62+HM62*($HC62-INDEX(属性投放!$AE$6:$AE$26,卡牌属性!$HF62))</f>
        <v>11650</v>
      </c>
      <c r="HQ62" s="14">
        <f t="shared" si="64"/>
        <v>950</v>
      </c>
      <c r="HR62" s="14">
        <f t="shared" si="65"/>
        <v>479</v>
      </c>
      <c r="HS62" s="14">
        <f t="shared" si="66"/>
        <v>6970</v>
      </c>
      <c r="HT62" s="14">
        <f>IF(COUNTIF(属性投放!$AO$7:$AO$58,"="&amp;卡牌属性!HC62)&gt;0,卡牌属性!HE62,0)</f>
        <v>16</v>
      </c>
      <c r="HU62" s="14">
        <f t="shared" si="67"/>
        <v>115</v>
      </c>
      <c r="HV62" s="14">
        <f t="shared" si="68"/>
        <v>58</v>
      </c>
      <c r="HW62" s="14">
        <f t="shared" si="69"/>
        <v>920</v>
      </c>
      <c r="HX62" s="14">
        <f>IF(COUNTIF(属性投放!$AE$6:$AE$26,"="&amp;卡牌属性!HC62)&gt;0,卡牌属性!HF62,0)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25</v>
      </c>
      <c r="IC62" s="14">
        <f t="shared" si="74"/>
        <v>8</v>
      </c>
      <c r="ID62" s="14">
        <f t="shared" si="75"/>
        <v>128</v>
      </c>
      <c r="IE62" s="14">
        <f t="shared" si="76"/>
        <v>3038</v>
      </c>
      <c r="IF62" s="14">
        <f t="shared" si="77"/>
        <v>1315</v>
      </c>
      <c r="IG62" s="14">
        <f t="shared" si="78"/>
        <v>18620</v>
      </c>
      <c r="IH62" s="14">
        <f t="shared" si="79"/>
        <v>538</v>
      </c>
      <c r="II62" s="14">
        <f t="shared" si="80"/>
        <v>3230</v>
      </c>
      <c r="IJ62" s="14">
        <f t="shared" si="81"/>
        <v>0</v>
      </c>
      <c r="IK62" s="14">
        <f t="shared" si="82"/>
        <v>75300</v>
      </c>
      <c r="IL62" s="17">
        <f t="shared" si="83"/>
        <v>7.1447543160690569E-3</v>
      </c>
      <c r="IM62" s="17">
        <f t="shared" si="84"/>
        <v>4.2895086321381143E-2</v>
      </c>
      <c r="IN62" s="17">
        <f t="shared" si="85"/>
        <v>0</v>
      </c>
      <c r="IO62" s="23">
        <f>SUM(IH$5:IH62)</f>
        <v>23640</v>
      </c>
      <c r="IP62" s="14">
        <f>SUM(II$5:II62)</f>
        <v>26050</v>
      </c>
      <c r="IQ62" s="14">
        <f>SUM(IJ$5:IJ62)</f>
        <v>18930</v>
      </c>
      <c r="IR62" s="17">
        <f t="shared" si="86"/>
        <v>0.3139442231075697</v>
      </c>
      <c r="IS62" s="17">
        <f t="shared" si="87"/>
        <v>0.34594953519256311</v>
      </c>
      <c r="IT62" s="17">
        <f t="shared" si="88"/>
        <v>0.25139442231075698</v>
      </c>
      <c r="IW62" s="13">
        <v>58</v>
      </c>
      <c r="IX62" s="14">
        <f>MATCH(IW62-1,属性投放!$T$6:$T$66,1)</f>
        <v>5</v>
      </c>
      <c r="IY62" s="14">
        <f>MATCH(IW62-1,属性投放!$AD$7:$AD$26,1)</f>
        <v>7</v>
      </c>
      <c r="IZ62" s="14" t="str">
        <f>INDEX(属性投放!$AB$7:$AB$26,IY62)</f>
        <v>叫唤</v>
      </c>
      <c r="JA62" s="14">
        <f t="shared" si="89"/>
        <v>1077</v>
      </c>
      <c r="JB62" s="14">
        <f t="shared" si="90"/>
        <v>488</v>
      </c>
      <c r="JC62" s="14">
        <f t="shared" si="91"/>
        <v>6797</v>
      </c>
      <c r="JD62" s="14">
        <f t="shared" si="92"/>
        <v>36</v>
      </c>
      <c r="JE62" s="14">
        <f t="shared" si="93"/>
        <v>18</v>
      </c>
      <c r="JF62" s="14">
        <f t="shared" si="94"/>
        <v>286</v>
      </c>
      <c r="JG62" s="14">
        <f>INDEX(属性投放!$DC$6:$DC$85,卡牌属性!IY62)</f>
        <v>45</v>
      </c>
      <c r="JH62" s="14">
        <f t="shared" si="95"/>
        <v>1545</v>
      </c>
      <c r="JI62" s="14">
        <f t="shared" si="96"/>
        <v>722</v>
      </c>
      <c r="JJ62" s="14">
        <f t="shared" si="97"/>
        <v>10515</v>
      </c>
      <c r="JK62" s="14">
        <f t="shared" si="98"/>
        <v>25460</v>
      </c>
    </row>
    <row r="63" spans="31:271" ht="16.5" x14ac:dyDescent="0.2">
      <c r="AE63" s="13">
        <v>59</v>
      </c>
      <c r="AF63" s="13">
        <f t="shared" si="31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142</v>
      </c>
      <c r="AM63" s="14">
        <v>1</v>
      </c>
      <c r="AN63" s="14">
        <f t="shared" si="5"/>
        <v>19</v>
      </c>
      <c r="AO63" s="14">
        <f>INDEX(属性投放!$DF$6:$DF$85,(卡牌属性!AG63-2)*20+卡牌属性!AN63)</f>
        <v>20826</v>
      </c>
      <c r="AP63" s="14">
        <f t="shared" si="127"/>
        <v>20826</v>
      </c>
      <c r="AQ63" s="14">
        <f t="shared" si="127"/>
        <v>20826</v>
      </c>
      <c r="AR63" s="14">
        <f t="shared" si="127"/>
        <v>20826</v>
      </c>
      <c r="AS63" s="14">
        <f t="shared" si="127"/>
        <v>20826</v>
      </c>
      <c r="AT63" s="14">
        <f>INDEX(属性投放!$DG$6:$DG$85,(卡牌属性!AG63-2)*20+卡牌属性!AN63)</f>
        <v>10365</v>
      </c>
      <c r="AU63" s="14">
        <f t="shared" si="128"/>
        <v>10365</v>
      </c>
      <c r="AV63" s="14">
        <f t="shared" si="128"/>
        <v>10365</v>
      </c>
      <c r="AW63" s="14">
        <f t="shared" si="128"/>
        <v>10365</v>
      </c>
      <c r="AX63" s="14">
        <f t="shared" si="128"/>
        <v>10365</v>
      </c>
      <c r="AY63" s="14">
        <f>INDEX(属性投放!$DH$6:$DH$85,(卡牌属性!AG63-2)*20+卡牌属性!AN63)</f>
        <v>197423</v>
      </c>
      <c r="AZ63" s="14">
        <f t="shared" si="129"/>
        <v>197423</v>
      </c>
      <c r="BA63" s="14">
        <f t="shared" si="129"/>
        <v>197423</v>
      </c>
      <c r="BB63" s="14">
        <f t="shared" si="129"/>
        <v>197423</v>
      </c>
      <c r="BC63" s="14">
        <f t="shared" si="129"/>
        <v>197423</v>
      </c>
      <c r="BD63" s="14">
        <f>INDEX(属性投放!$DL$6:$DL$85,(卡牌属性!AG63-2)*20+卡牌属性!AN63)</f>
        <v>486</v>
      </c>
      <c r="BE63" s="14">
        <f t="shared" si="130"/>
        <v>486</v>
      </c>
      <c r="BF63" s="14">
        <f t="shared" si="130"/>
        <v>486</v>
      </c>
      <c r="BG63" s="14">
        <f t="shared" si="130"/>
        <v>486</v>
      </c>
      <c r="BH63" s="14">
        <f t="shared" si="130"/>
        <v>486</v>
      </c>
      <c r="BI63" s="14">
        <f>INDEX(属性投放!$DM$6:$DM$85,(卡牌属性!AG63-2)*20+卡牌属性!AN63)</f>
        <v>243</v>
      </c>
      <c r="BJ63" s="14">
        <f t="shared" si="131"/>
        <v>243</v>
      </c>
      <c r="BK63" s="14">
        <f t="shared" si="131"/>
        <v>243</v>
      </c>
      <c r="BL63" s="14">
        <f t="shared" si="131"/>
        <v>243</v>
      </c>
      <c r="BM63" s="14">
        <f t="shared" si="131"/>
        <v>243</v>
      </c>
      <c r="BN63" s="14">
        <f>INDEX(属性投放!$DN$6:$DN$85,(卡牌属性!AG63-2)*20+卡牌属性!AN63)</f>
        <v>4863</v>
      </c>
      <c r="BO63" s="14">
        <f t="shared" si="132"/>
        <v>4863</v>
      </c>
      <c r="BP63" s="14">
        <f t="shared" si="132"/>
        <v>4863</v>
      </c>
      <c r="BQ63" s="14">
        <f t="shared" si="132"/>
        <v>4863</v>
      </c>
      <c r="BR63" s="14">
        <f t="shared" si="132"/>
        <v>4863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32"/>
        <v>1102003</v>
      </c>
      <c r="CA63" s="14" t="str">
        <f t="shared" si="33"/>
        <v>典韦19突</v>
      </c>
      <c r="CB63" s="25" t="s">
        <v>142</v>
      </c>
      <c r="CC63" s="14">
        <v>2</v>
      </c>
      <c r="CD63" s="14">
        <f t="shared" si="14"/>
        <v>19</v>
      </c>
      <c r="CE63" s="14" t="s">
        <v>21</v>
      </c>
      <c r="CF63" s="14">
        <f>INDEX(属性投放!$AZ$6:$AZ$85,(BY63-2)*20+CD63)</f>
        <v>22728</v>
      </c>
      <c r="CG63" s="14" t="s">
        <v>22</v>
      </c>
      <c r="CH63" s="14">
        <f>INDEX(属性投放!$BA$6:$BA$85,(BY63-2)*20+CD63)</f>
        <v>11319</v>
      </c>
      <c r="CI63" s="14" t="s">
        <v>510</v>
      </c>
      <c r="CJ63" s="14">
        <f>INDEX(属性投放!$BB$6:$BB$85,(BY63-2)*20+CD63)</f>
        <v>213603</v>
      </c>
      <c r="CK63" s="14" t="s">
        <v>21</v>
      </c>
      <c r="CL63" s="14">
        <f>INDEX(属性投放!$BC$6:$BC$85,(BY63-2)*20+CD63)</f>
        <v>75</v>
      </c>
      <c r="CM63" s="14" t="s">
        <v>22</v>
      </c>
      <c r="CN63" s="14">
        <f>INDEX(属性投放!$BD$6:$BD$85,(BY63-2)*20+CD63)</f>
        <v>38</v>
      </c>
      <c r="CO63" s="14" t="s">
        <v>510</v>
      </c>
      <c r="CP63" s="14">
        <f>INDEX(属性投放!$BE$6:$BE$85,(BY63-2)*20+CD63)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INDEX($O$6:$O$50,CT63)&amp;"-"&amp;INDEX(属性投放!$AB$7:$AB$50,CZ63)&amp;"-魂火-"&amp;DB63</f>
        <v>许褚-众合-魂火-2</v>
      </c>
      <c r="CY63" s="25" t="s">
        <v>142</v>
      </c>
      <c r="CZ63" s="14">
        <f>INDEX(属性投放!$AM$7:$AM$58,CU63)</f>
        <v>4</v>
      </c>
      <c r="DA63" s="14" t="s">
        <v>537</v>
      </c>
      <c r="DB63" s="14">
        <f>INDEX(属性投放!$AN$7:$AN$58,CU63)</f>
        <v>2</v>
      </c>
      <c r="DC63" s="14">
        <f t="shared" si="16"/>
        <v>7</v>
      </c>
      <c r="DD63" s="14">
        <f>INDEX(属性投放!$AO$7:$AO$58,DC63)</f>
        <v>33</v>
      </c>
      <c r="DE63" s="14" t="s">
        <v>538</v>
      </c>
      <c r="DF63" s="14">
        <f>INDEX(属性投放!$BK$6:$BK$85,(CV63-2)*20+CZ63)</f>
        <v>40</v>
      </c>
      <c r="DG63" s="14">
        <f>SUMIFS(DF$5:DF63,$CT$5:$CT63,"="&amp;$CT63)</f>
        <v>210</v>
      </c>
      <c r="DH63" s="14" t="s">
        <v>539</v>
      </c>
      <c r="DI63" s="14">
        <f>INDEX(属性投放!$BL$6:$BL$85,(CV63-2)*20+CZ63)</f>
        <v>20</v>
      </c>
      <c r="DJ63" s="14">
        <f>SUMIFS(DI$5:DI63,$CT$5:$CT63,"="&amp;$CT63)</f>
        <v>106</v>
      </c>
      <c r="DK63" s="14" t="s">
        <v>540</v>
      </c>
      <c r="DL63" s="14">
        <f>INDEX(属性投放!$BM$6:$BM$85,(CV63-2)*20+CZ63)</f>
        <v>280</v>
      </c>
      <c r="DM63" s="14">
        <f>SUMIFS(DL$5:DL63,$CT$5:$CT63,"="&amp;$CT63)</f>
        <v>1340</v>
      </c>
      <c r="DR63" s="14">
        <f t="shared" si="17"/>
        <v>1102003</v>
      </c>
      <c r="DS63" s="14" t="str">
        <f t="shared" si="18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19"/>
        <v>4</v>
      </c>
      <c r="DX63" s="14">
        <f t="shared" si="20"/>
        <v>19</v>
      </c>
      <c r="DY63" s="14">
        <f t="shared" si="21"/>
        <v>59</v>
      </c>
      <c r="DZ63" s="14">
        <f>INDEX(属性投放!$AX$6:$AX$85,(卡牌属性!DW63-2)*20+卡牌属性!DX63)</f>
        <v>8</v>
      </c>
      <c r="EA63" s="14">
        <f>INDEX(属性投放!BQ$6:BQ$85,卡牌属性!$DY63)</f>
        <v>1500</v>
      </c>
      <c r="EB63" s="14">
        <f>INDEX(属性投放!BR$6:BR$85,卡牌属性!$DY63)</f>
        <v>750</v>
      </c>
      <c r="EC63" s="14">
        <f>INDEX(属性投放!BS$6:BS$85,卡牌属性!$DY63)</f>
        <v>15000</v>
      </c>
      <c r="ED63" s="14">
        <f t="shared" si="133"/>
        <v>11093</v>
      </c>
      <c r="EE63" s="14">
        <f t="shared" si="134"/>
        <v>11730</v>
      </c>
      <c r="EF63" s="14">
        <f t="shared" si="135"/>
        <v>12505</v>
      </c>
      <c r="EG63" s="14">
        <f t="shared" si="136"/>
        <v>12505</v>
      </c>
      <c r="EH63" s="14">
        <f t="shared" si="137"/>
        <v>14310</v>
      </c>
      <c r="EI63" s="14">
        <f t="shared" si="138"/>
        <v>4904</v>
      </c>
      <c r="EJ63" s="14">
        <f t="shared" si="139"/>
        <v>5517</v>
      </c>
      <c r="EK63" s="14">
        <f t="shared" si="140"/>
        <v>5517</v>
      </c>
      <c r="EL63" s="14">
        <f t="shared" si="141"/>
        <v>5851</v>
      </c>
      <c r="EM63" s="14">
        <f t="shared" si="142"/>
        <v>6228</v>
      </c>
      <c r="EN63" s="14">
        <f t="shared" si="143"/>
        <v>90584</v>
      </c>
      <c r="EO63" s="14">
        <f t="shared" si="144"/>
        <v>101818</v>
      </c>
      <c r="EP63" s="14">
        <f t="shared" si="145"/>
        <v>101818</v>
      </c>
      <c r="EQ63" s="14">
        <f t="shared" si="146"/>
        <v>107362</v>
      </c>
      <c r="ER63" s="14">
        <f t="shared" si="147"/>
        <v>114160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INDEX(属性投放!$BQ$6:$BQ$85,(卡牌属性!$DW63-2)*20+卡牌属性!$DX63)</f>
        <v>1500</v>
      </c>
      <c r="FI63" s="14">
        <f>INDEX(属性投放!$BQ$6:$BQ$85,(卡牌属性!$DW63-2)*20+卡牌属性!$DX63)</f>
        <v>1500</v>
      </c>
      <c r="FJ63" s="14">
        <f>INDEX(属性投放!$BQ$6:$BQ$85,(卡牌属性!$DW63-2)*20+卡牌属性!$DX63)</f>
        <v>1500</v>
      </c>
      <c r="FK63" s="14">
        <f>INDEX(属性投放!$BQ$6:$BQ$85,(卡牌属性!$DW63-2)*20+卡牌属性!$DX63)</f>
        <v>1500</v>
      </c>
      <c r="FL63" s="14">
        <f>INDEX(属性投放!$BQ$6:$BQ$85,(卡牌属性!$DW63-2)*20+卡牌属性!$DX63)</f>
        <v>1500</v>
      </c>
      <c r="FM63" s="14">
        <f>INDEX(属性投放!$BR$6:$BR$85,(卡牌属性!$DW63-2)*20+卡牌属性!$DX63)</f>
        <v>750</v>
      </c>
      <c r="FN63" s="14">
        <f>INDEX(属性投放!$BR$6:$BR$85,(卡牌属性!$DW63-2)*20+卡牌属性!$DX63)</f>
        <v>750</v>
      </c>
      <c r="FO63" s="14">
        <f>INDEX(属性投放!$BR$6:$BR$85,(卡牌属性!$DW63-2)*20+卡牌属性!$DX63)</f>
        <v>750</v>
      </c>
      <c r="FP63" s="14">
        <f>INDEX(属性投放!$BR$6:$BR$85,(卡牌属性!$DW63-2)*20+卡牌属性!$DX63)</f>
        <v>750</v>
      </c>
      <c r="FQ63" s="14">
        <f>INDEX(属性投放!$BR$6:$BR$85,(卡牌属性!$DW63-2)*20+卡牌属性!$DX63)</f>
        <v>750</v>
      </c>
      <c r="FR63" s="14">
        <f>INDEX(属性投放!$BS$6:$BS$85,(卡牌属性!$DW63-2)*20+卡牌属性!$DX63)</f>
        <v>15000</v>
      </c>
      <c r="FS63" s="14">
        <f>INDEX(属性投放!$BS$6:$BS$85,(卡牌属性!$DW63-2)*20+卡牌属性!$DX63)</f>
        <v>15000</v>
      </c>
      <c r="FT63" s="14">
        <f>INDEX(属性投放!$BS$6:$BS$85,(卡牌属性!$DW63-2)*20+卡牌属性!$DX63)</f>
        <v>15000</v>
      </c>
      <c r="FU63" s="14">
        <f>INDEX(属性投放!$BS$6:$BS$85,(卡牌属性!$DW63-2)*20+卡牌属性!$DX63)</f>
        <v>15000</v>
      </c>
      <c r="FV63" s="14">
        <f>INDEX(属性投放!$BS$6:$BS$85,(卡牌属性!$DW63-2)*20+卡牌属性!$DX63)</f>
        <v>15000</v>
      </c>
      <c r="FZ63" s="13">
        <v>59</v>
      </c>
      <c r="GA63" s="13">
        <f t="shared" si="121"/>
        <v>12</v>
      </c>
      <c r="GB63" s="14">
        <f t="shared" si="56"/>
        <v>1102012</v>
      </c>
      <c r="GC63" s="14" t="s">
        <v>1187</v>
      </c>
      <c r="GD63" s="14">
        <f t="shared" si="122"/>
        <v>4</v>
      </c>
      <c r="GE63" s="14" t="str">
        <f t="shared" si="123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4"/>
        <v>12</v>
      </c>
      <c r="GP63" s="14">
        <f t="shared" si="57"/>
        <v>1101012</v>
      </c>
      <c r="GQ63" s="14" t="s">
        <v>1187</v>
      </c>
      <c r="GR63" s="14">
        <f t="shared" si="125"/>
        <v>4</v>
      </c>
      <c r="GS63" s="14" t="str">
        <f t="shared" si="126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MATCH(HC63,属性投放!$AO$6:$AO$58,1)-1</f>
        <v>16</v>
      </c>
      <c r="HF63" s="13">
        <f>MATCH(HC63-1,属性投放!$AE$6:$AE$26,1)</f>
        <v>9</v>
      </c>
      <c r="HG63" s="13" t="str">
        <f>INDEX(属性投放!$AB$7:$AB$26,卡牌属性!HF63)</f>
        <v>叫唤+2</v>
      </c>
      <c r="HH63" s="14">
        <f t="shared" si="58"/>
        <v>2063</v>
      </c>
      <c r="HI63" s="14">
        <f t="shared" si="59"/>
        <v>828</v>
      </c>
      <c r="HJ63" s="14">
        <f t="shared" si="60"/>
        <v>11522</v>
      </c>
      <c r="HK63" s="14">
        <f t="shared" si="61"/>
        <v>25</v>
      </c>
      <c r="HL63" s="14">
        <f t="shared" si="62"/>
        <v>8</v>
      </c>
      <c r="HM63" s="14">
        <f t="shared" si="63"/>
        <v>128</v>
      </c>
      <c r="HN63" s="14">
        <f>HH63+HK63*($HC63-INDEX(属性投放!$AE$6:$AE$26,卡牌属性!$HF63))</f>
        <v>2113</v>
      </c>
      <c r="HO63" s="14">
        <f>HI63+HL63*($HC63-INDEX(属性投放!$AE$6:$AE$26,卡牌属性!$HF63))</f>
        <v>844</v>
      </c>
      <c r="HP63" s="14">
        <f>HJ63+HM63*($HC63-INDEX(属性投放!$AE$6:$AE$26,卡牌属性!$HF63))</f>
        <v>11778</v>
      </c>
      <c r="HQ63" s="14">
        <f t="shared" si="64"/>
        <v>950</v>
      </c>
      <c r="HR63" s="14">
        <f t="shared" si="65"/>
        <v>479</v>
      </c>
      <c r="HS63" s="14">
        <f t="shared" si="66"/>
        <v>6970</v>
      </c>
      <c r="HT63" s="14">
        <f>IF(COUNTIF(属性投放!$AO$7:$AO$58,"="&amp;卡牌属性!HC63)&gt;0,卡牌属性!HE63,0)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IF(COUNTIF(属性投放!$AE$6:$AE$26,"="&amp;卡牌属性!HC63)&gt;0,卡牌属性!HF63,0)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25</v>
      </c>
      <c r="IC63" s="14">
        <f t="shared" si="74"/>
        <v>8</v>
      </c>
      <c r="ID63" s="14">
        <f t="shared" si="75"/>
        <v>128</v>
      </c>
      <c r="IE63" s="14">
        <f t="shared" si="76"/>
        <v>3063</v>
      </c>
      <c r="IF63" s="14">
        <f t="shared" si="77"/>
        <v>1323</v>
      </c>
      <c r="IG63" s="14">
        <f t="shared" si="78"/>
        <v>18748</v>
      </c>
      <c r="IH63" s="14">
        <f t="shared" si="79"/>
        <v>538</v>
      </c>
      <c r="II63" s="14">
        <f t="shared" si="80"/>
        <v>0</v>
      </c>
      <c r="IJ63" s="14">
        <f t="shared" si="81"/>
        <v>0</v>
      </c>
      <c r="IK63" s="14">
        <f t="shared" si="82"/>
        <v>75838</v>
      </c>
      <c r="IL63" s="17">
        <f t="shared" si="83"/>
        <v>7.0940689364170995E-3</v>
      </c>
      <c r="IM63" s="17">
        <f t="shared" si="84"/>
        <v>0</v>
      </c>
      <c r="IN63" s="17">
        <f t="shared" si="85"/>
        <v>0</v>
      </c>
      <c r="IO63" s="23">
        <f>SUM(IH$5:IH63)</f>
        <v>24178</v>
      </c>
      <c r="IP63" s="14">
        <f>SUM(II$5:II63)</f>
        <v>26050</v>
      </c>
      <c r="IQ63" s="14">
        <f>SUM(IJ$5:IJ63)</f>
        <v>18930</v>
      </c>
      <c r="IR63" s="17">
        <f t="shared" si="86"/>
        <v>0.31881115008307181</v>
      </c>
      <c r="IS63" s="17">
        <f t="shared" si="87"/>
        <v>0.34349534534138559</v>
      </c>
      <c r="IT63" s="17">
        <f t="shared" si="88"/>
        <v>0.2496110129486537</v>
      </c>
      <c r="IW63" s="13">
        <v>59</v>
      </c>
      <c r="IX63" s="14">
        <f>MATCH(IW63-1,属性投放!$T$6:$T$66,1)</f>
        <v>5</v>
      </c>
      <c r="IY63" s="14">
        <f>MATCH(IW63-1,属性投放!$AD$7:$AD$26,1)</f>
        <v>7</v>
      </c>
      <c r="IZ63" s="14" t="str">
        <f>INDEX(属性投放!$AB$7:$AB$26,IY63)</f>
        <v>叫唤</v>
      </c>
      <c r="JA63" s="14">
        <f t="shared" si="89"/>
        <v>1077</v>
      </c>
      <c r="JB63" s="14">
        <f t="shared" si="90"/>
        <v>488</v>
      </c>
      <c r="JC63" s="14">
        <f t="shared" si="91"/>
        <v>6797</v>
      </c>
      <c r="JD63" s="14">
        <f t="shared" si="92"/>
        <v>36</v>
      </c>
      <c r="JE63" s="14">
        <f t="shared" si="93"/>
        <v>18</v>
      </c>
      <c r="JF63" s="14">
        <f t="shared" si="94"/>
        <v>286</v>
      </c>
      <c r="JG63" s="14">
        <f>INDEX(属性投放!$DC$6:$DC$85,卡牌属性!IY63)</f>
        <v>45</v>
      </c>
      <c r="JH63" s="14">
        <f t="shared" si="95"/>
        <v>1581</v>
      </c>
      <c r="JI63" s="14">
        <f t="shared" si="96"/>
        <v>740</v>
      </c>
      <c r="JJ63" s="14">
        <f t="shared" si="97"/>
        <v>10801</v>
      </c>
      <c r="JK63" s="14">
        <f t="shared" si="98"/>
        <v>26106</v>
      </c>
    </row>
    <row r="64" spans="31:271" ht="16.5" x14ac:dyDescent="0.2">
      <c r="AE64" s="13">
        <v>60</v>
      </c>
      <c r="AF64" s="13">
        <f t="shared" si="31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142</v>
      </c>
      <c r="AM64" s="14">
        <v>1</v>
      </c>
      <c r="AN64" s="14">
        <f t="shared" si="5"/>
        <v>20</v>
      </c>
      <c r="AO64" s="14">
        <f>INDEX(属性投放!$DF$6:$DF$85,(卡牌属性!AG64-2)*20+卡牌属性!AN64)</f>
        <v>21868</v>
      </c>
      <c r="AP64" s="14">
        <f t="shared" si="127"/>
        <v>21868</v>
      </c>
      <c r="AQ64" s="14">
        <f t="shared" si="127"/>
        <v>21868</v>
      </c>
      <c r="AR64" s="14">
        <f t="shared" si="127"/>
        <v>21868</v>
      </c>
      <c r="AS64" s="14">
        <f t="shared" si="127"/>
        <v>21868</v>
      </c>
      <c r="AT64" s="14">
        <f>INDEX(属性投放!$DG$6:$DG$85,(卡牌属性!AG64-2)*20+卡牌属性!AN64)</f>
        <v>10886</v>
      </c>
      <c r="AU64" s="14">
        <f t="shared" si="128"/>
        <v>10886</v>
      </c>
      <c r="AV64" s="14">
        <f t="shared" si="128"/>
        <v>10886</v>
      </c>
      <c r="AW64" s="14">
        <f t="shared" si="128"/>
        <v>10886</v>
      </c>
      <c r="AX64" s="14">
        <f t="shared" si="128"/>
        <v>10886</v>
      </c>
      <c r="AY64" s="14">
        <f>INDEX(属性投放!$DH$6:$DH$85,(卡牌属性!AG64-2)*20+卡牌属性!AN64)</f>
        <v>207843</v>
      </c>
      <c r="AZ64" s="14">
        <f t="shared" si="129"/>
        <v>207843</v>
      </c>
      <c r="BA64" s="14">
        <f t="shared" si="129"/>
        <v>207843</v>
      </c>
      <c r="BB64" s="14">
        <f t="shared" si="129"/>
        <v>207843</v>
      </c>
      <c r="BC64" s="14">
        <f t="shared" si="129"/>
        <v>207843</v>
      </c>
      <c r="BD64" s="14">
        <f>INDEX(属性投放!$DL$6:$DL$85,(卡牌属性!AG64-2)*20+卡牌属性!AN64)</f>
        <v>486</v>
      </c>
      <c r="BE64" s="14">
        <f t="shared" si="130"/>
        <v>486</v>
      </c>
      <c r="BF64" s="14">
        <f t="shared" si="130"/>
        <v>486</v>
      </c>
      <c r="BG64" s="14">
        <f t="shared" si="130"/>
        <v>486</v>
      </c>
      <c r="BH64" s="14">
        <f t="shared" si="130"/>
        <v>486</v>
      </c>
      <c r="BI64" s="14">
        <f>INDEX(属性投放!$DM$6:$DM$85,(卡牌属性!AG64-2)*20+卡牌属性!AN64)</f>
        <v>243</v>
      </c>
      <c r="BJ64" s="14">
        <f t="shared" si="131"/>
        <v>243</v>
      </c>
      <c r="BK64" s="14">
        <f t="shared" si="131"/>
        <v>243</v>
      </c>
      <c r="BL64" s="14">
        <f t="shared" si="131"/>
        <v>243</v>
      </c>
      <c r="BM64" s="14">
        <f t="shared" si="131"/>
        <v>243</v>
      </c>
      <c r="BN64" s="14">
        <f>INDEX(属性投放!$DN$6:$DN$85,(卡牌属性!AG64-2)*20+卡牌属性!AN64)</f>
        <v>4863</v>
      </c>
      <c r="BO64" s="14">
        <f t="shared" si="132"/>
        <v>4863</v>
      </c>
      <c r="BP64" s="14">
        <f t="shared" si="132"/>
        <v>4863</v>
      </c>
      <c r="BQ64" s="14">
        <f t="shared" si="132"/>
        <v>4863</v>
      </c>
      <c r="BR64" s="14">
        <f t="shared" si="132"/>
        <v>4863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32"/>
        <v>1102003</v>
      </c>
      <c r="CA64" s="14" t="str">
        <f t="shared" si="33"/>
        <v>典韦20突</v>
      </c>
      <c r="CB64" s="25" t="s">
        <v>142</v>
      </c>
      <c r="CC64" s="14">
        <v>2</v>
      </c>
      <c r="CD64" s="14">
        <f t="shared" si="14"/>
        <v>20</v>
      </c>
      <c r="CE64" s="14" t="s">
        <v>21</v>
      </c>
      <c r="CF64" s="14">
        <f>INDEX(属性投放!$AZ$6:$AZ$85,(BY64-2)*20+CD64)</f>
        <v>27528</v>
      </c>
      <c r="CG64" s="14" t="s">
        <v>22</v>
      </c>
      <c r="CH64" s="14">
        <f>INDEX(属性投放!$BA$6:$BA$85,(BY64-2)*20+CD64)</f>
        <v>13723</v>
      </c>
      <c r="CI64" s="14" t="s">
        <v>510</v>
      </c>
      <c r="CJ64" s="14">
        <f>INDEX(属性投放!$BB$6:$BB$85,(BY64-2)*20+CD64)</f>
        <v>261603</v>
      </c>
      <c r="CK64" s="14" t="s">
        <v>21</v>
      </c>
      <c r="CL64" s="14">
        <f>INDEX(属性投放!$BC$6:$BC$85,(BY64-2)*20+CD64)</f>
        <v>75</v>
      </c>
      <c r="CM64" s="14" t="s">
        <v>22</v>
      </c>
      <c r="CN64" s="14">
        <f>INDEX(属性投放!$BD$6:$BD$85,(BY64-2)*20+CD64)</f>
        <v>38</v>
      </c>
      <c r="CO64" s="14" t="s">
        <v>510</v>
      </c>
      <c r="CP64" s="14">
        <f>INDEX(属性投放!$BE$6:$BE$85,(BY64-2)*20+CD64)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INDEX($O$6:$O$50,CT64)&amp;"-"&amp;INDEX(属性投放!$AB$7:$AB$50,CZ64)&amp;"-魂火-"&amp;DB64</f>
        <v>许褚-众合+1-魂火-1</v>
      </c>
      <c r="CY64" s="25" t="s">
        <v>142</v>
      </c>
      <c r="CZ64" s="14">
        <f>INDEX(属性投放!$AM$7:$AM$58,CU64)</f>
        <v>5</v>
      </c>
      <c r="DA64" s="14" t="s">
        <v>537</v>
      </c>
      <c r="DB64" s="14">
        <f>INDEX(属性投放!$AN$7:$AN$58,CU64)</f>
        <v>1</v>
      </c>
      <c r="DC64" s="14">
        <f t="shared" si="16"/>
        <v>8</v>
      </c>
      <c r="DD64" s="14">
        <f>INDEX(属性投放!$AO$7:$AO$58,DC64)</f>
        <v>38</v>
      </c>
      <c r="DE64" s="14" t="s">
        <v>538</v>
      </c>
      <c r="DF64" s="14">
        <f>INDEX(属性投放!$BK$6:$BK$85,(CV64-2)*20+CZ64)</f>
        <v>45</v>
      </c>
      <c r="DG64" s="14">
        <f>SUMIFS(DF$5:DF64,$CT$5:$CT64,"="&amp;$CT64)</f>
        <v>255</v>
      </c>
      <c r="DH64" s="14" t="s">
        <v>539</v>
      </c>
      <c r="DI64" s="14">
        <f>INDEX(属性投放!$BL$6:$BL$85,(CV64-2)*20+CZ64)</f>
        <v>23</v>
      </c>
      <c r="DJ64" s="14">
        <f>SUMIFS(DI$5:DI64,$CT$5:$CT64,"="&amp;$CT64)</f>
        <v>129</v>
      </c>
      <c r="DK64" s="14" t="s">
        <v>540</v>
      </c>
      <c r="DL64" s="14">
        <f>INDEX(属性投放!$BM$6:$BM$85,(CV64-2)*20+CZ64)</f>
        <v>315</v>
      </c>
      <c r="DM64" s="14">
        <f>SUMIFS(DL$5:DL64,$CT$5:$CT64,"="&amp;$CT64)</f>
        <v>1655</v>
      </c>
      <c r="DR64" s="14">
        <f t="shared" si="17"/>
        <v>1102003</v>
      </c>
      <c r="DS64" s="14" t="str">
        <f t="shared" si="18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19"/>
        <v>4</v>
      </c>
      <c r="DX64" s="14">
        <f t="shared" si="20"/>
        <v>20</v>
      </c>
      <c r="DY64" s="14">
        <f t="shared" si="21"/>
        <v>60</v>
      </c>
      <c r="DZ64" s="14">
        <f>INDEX(属性投放!$AX$6:$AX$85,(卡牌属性!DW64-2)*20+卡牌属性!DX64)</f>
        <v>10</v>
      </c>
      <c r="EA64" s="14">
        <f>INDEX(属性投放!BQ$6:BQ$85,卡牌属性!$DY64)</f>
        <v>1500</v>
      </c>
      <c r="EB64" s="14">
        <f>INDEX(属性投放!BR$6:BR$85,卡牌属性!$DY64)</f>
        <v>750</v>
      </c>
      <c r="EC64" s="14">
        <f>INDEX(属性投放!BS$6:BS$85,卡牌属性!$DY64)</f>
        <v>15000</v>
      </c>
      <c r="ED64" s="14">
        <f t="shared" si="133"/>
        <v>13193</v>
      </c>
      <c r="EE64" s="14">
        <f t="shared" si="134"/>
        <v>13870</v>
      </c>
      <c r="EF64" s="14">
        <f t="shared" si="135"/>
        <v>14805</v>
      </c>
      <c r="EG64" s="14">
        <f t="shared" si="136"/>
        <v>14805</v>
      </c>
      <c r="EH64" s="14">
        <f t="shared" si="137"/>
        <v>17010</v>
      </c>
      <c r="EI64" s="14">
        <f t="shared" si="138"/>
        <v>5838</v>
      </c>
      <c r="EJ64" s="14">
        <f t="shared" si="139"/>
        <v>6571</v>
      </c>
      <c r="EK64" s="14">
        <f t="shared" si="140"/>
        <v>6571</v>
      </c>
      <c r="EL64" s="14">
        <f t="shared" si="141"/>
        <v>6921</v>
      </c>
      <c r="EM64" s="14">
        <f t="shared" si="142"/>
        <v>7378</v>
      </c>
      <c r="EN64" s="14">
        <f t="shared" si="143"/>
        <v>109184</v>
      </c>
      <c r="EO64" s="14">
        <f t="shared" si="144"/>
        <v>122818</v>
      </c>
      <c r="EP64" s="14">
        <f t="shared" si="145"/>
        <v>122818</v>
      </c>
      <c r="EQ64" s="14">
        <f t="shared" si="146"/>
        <v>128762</v>
      </c>
      <c r="ER64" s="14">
        <f t="shared" si="147"/>
        <v>137160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INDEX(属性投放!$BQ$6:$BQ$85,(卡牌属性!$DW64-2)*20+卡牌属性!$DX64)</f>
        <v>1500</v>
      </c>
      <c r="FI64" s="14">
        <f>INDEX(属性投放!$BQ$6:$BQ$85,(卡牌属性!$DW64-2)*20+卡牌属性!$DX64)</f>
        <v>1500</v>
      </c>
      <c r="FJ64" s="14">
        <f>INDEX(属性投放!$BQ$6:$BQ$85,(卡牌属性!$DW64-2)*20+卡牌属性!$DX64)</f>
        <v>1500</v>
      </c>
      <c r="FK64" s="14">
        <f>INDEX(属性投放!$BQ$6:$BQ$85,(卡牌属性!$DW64-2)*20+卡牌属性!$DX64)</f>
        <v>1500</v>
      </c>
      <c r="FL64" s="14">
        <f>INDEX(属性投放!$BQ$6:$BQ$85,(卡牌属性!$DW64-2)*20+卡牌属性!$DX64)</f>
        <v>1500</v>
      </c>
      <c r="FM64" s="14">
        <f>INDEX(属性投放!$BR$6:$BR$85,(卡牌属性!$DW64-2)*20+卡牌属性!$DX64)</f>
        <v>750</v>
      </c>
      <c r="FN64" s="14">
        <f>INDEX(属性投放!$BR$6:$BR$85,(卡牌属性!$DW64-2)*20+卡牌属性!$DX64)</f>
        <v>750</v>
      </c>
      <c r="FO64" s="14">
        <f>INDEX(属性投放!$BR$6:$BR$85,(卡牌属性!$DW64-2)*20+卡牌属性!$DX64)</f>
        <v>750</v>
      </c>
      <c r="FP64" s="14">
        <f>INDEX(属性投放!$BR$6:$BR$85,(卡牌属性!$DW64-2)*20+卡牌属性!$DX64)</f>
        <v>750</v>
      </c>
      <c r="FQ64" s="14">
        <f>INDEX(属性投放!$BR$6:$BR$85,(卡牌属性!$DW64-2)*20+卡牌属性!$DX64)</f>
        <v>750</v>
      </c>
      <c r="FR64" s="14">
        <f>INDEX(属性投放!$BS$6:$BS$85,(卡牌属性!$DW64-2)*20+卡牌属性!$DX64)</f>
        <v>15000</v>
      </c>
      <c r="FS64" s="14">
        <f>INDEX(属性投放!$BS$6:$BS$85,(卡牌属性!$DW64-2)*20+卡牌属性!$DX64)</f>
        <v>15000</v>
      </c>
      <c r="FT64" s="14">
        <f>INDEX(属性投放!$BS$6:$BS$85,(卡牌属性!$DW64-2)*20+卡牌属性!$DX64)</f>
        <v>15000</v>
      </c>
      <c r="FU64" s="14">
        <f>INDEX(属性投放!$BS$6:$BS$85,(卡牌属性!$DW64-2)*20+卡牌属性!$DX64)</f>
        <v>15000</v>
      </c>
      <c r="FV64" s="14">
        <f>INDEX(属性投放!$BS$6:$BS$85,(卡牌属性!$DW64-2)*20+卡牌属性!$DX64)</f>
        <v>15000</v>
      </c>
      <c r="FZ64" s="13">
        <v>60</v>
      </c>
      <c r="GA64" s="13">
        <f t="shared" si="121"/>
        <v>12</v>
      </c>
      <c r="GB64" s="14">
        <f t="shared" si="56"/>
        <v>1102012</v>
      </c>
      <c r="GC64" s="14" t="s">
        <v>1187</v>
      </c>
      <c r="GD64" s="14">
        <f t="shared" si="122"/>
        <v>5</v>
      </c>
      <c r="GE64" s="14" t="str">
        <f t="shared" si="123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4"/>
        <v>12</v>
      </c>
      <c r="GP64" s="14">
        <f t="shared" si="57"/>
        <v>1101012</v>
      </c>
      <c r="GQ64" s="14" t="s">
        <v>1187</v>
      </c>
      <c r="GR64" s="14">
        <f t="shared" si="125"/>
        <v>5</v>
      </c>
      <c r="GS64" s="14" t="str">
        <f t="shared" si="126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MATCH(HC64,属性投放!$AO$6:$AO$58,1)-1</f>
        <v>17</v>
      </c>
      <c r="HF64" s="13">
        <f>MATCH(HC64-1,属性投放!$AE$6:$AE$26,1)</f>
        <v>9</v>
      </c>
      <c r="HG64" s="13" t="str">
        <f>INDEX(属性投放!$AB$7:$AB$26,卡牌属性!HF64)</f>
        <v>叫唤+2</v>
      </c>
      <c r="HH64" s="14">
        <f t="shared" si="58"/>
        <v>2063</v>
      </c>
      <c r="HI64" s="14">
        <f t="shared" si="59"/>
        <v>828</v>
      </c>
      <c r="HJ64" s="14">
        <f t="shared" si="60"/>
        <v>11522</v>
      </c>
      <c r="HK64" s="14">
        <f t="shared" si="61"/>
        <v>25</v>
      </c>
      <c r="HL64" s="14">
        <f t="shared" si="62"/>
        <v>8</v>
      </c>
      <c r="HM64" s="14">
        <f t="shared" si="63"/>
        <v>128</v>
      </c>
      <c r="HN64" s="14">
        <f>HH64+HK64*($HC64-INDEX(属性投放!$AE$6:$AE$26,卡牌属性!$HF64))</f>
        <v>2138</v>
      </c>
      <c r="HO64" s="14">
        <f>HI64+HL64*($HC64-INDEX(属性投放!$AE$6:$AE$26,卡牌属性!$HF64))</f>
        <v>852</v>
      </c>
      <c r="HP64" s="14">
        <f>HJ64+HM64*($HC64-INDEX(属性投放!$AE$6:$AE$26,卡牌属性!$HF64))</f>
        <v>11906</v>
      </c>
      <c r="HQ64" s="14">
        <f t="shared" si="64"/>
        <v>1065</v>
      </c>
      <c r="HR64" s="14">
        <f t="shared" si="65"/>
        <v>537</v>
      </c>
      <c r="HS64" s="14">
        <f t="shared" si="66"/>
        <v>7890</v>
      </c>
      <c r="HT64" s="14">
        <f>IF(COUNTIF(属性投放!$AO$7:$AO$58,"="&amp;卡牌属性!HC64)&gt;0,卡牌属性!HE64,0)</f>
        <v>17</v>
      </c>
      <c r="HU64" s="14">
        <f t="shared" si="67"/>
        <v>115</v>
      </c>
      <c r="HV64" s="14">
        <f t="shared" si="68"/>
        <v>58</v>
      </c>
      <c r="HW64" s="14">
        <f t="shared" si="69"/>
        <v>920</v>
      </c>
      <c r="HX64" s="14">
        <f>IF(COUNTIF(属性投放!$AE$6:$AE$26,"="&amp;卡牌属性!HC64)&gt;0,卡牌属性!HF64,0)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25</v>
      </c>
      <c r="IC64" s="14">
        <f t="shared" si="74"/>
        <v>8</v>
      </c>
      <c r="ID64" s="14">
        <f t="shared" si="75"/>
        <v>128</v>
      </c>
      <c r="IE64" s="14">
        <f t="shared" si="76"/>
        <v>3203</v>
      </c>
      <c r="IF64" s="14">
        <f t="shared" si="77"/>
        <v>1389</v>
      </c>
      <c r="IG64" s="14">
        <f t="shared" si="78"/>
        <v>19796</v>
      </c>
      <c r="IH64" s="14">
        <f t="shared" si="79"/>
        <v>538</v>
      </c>
      <c r="II64" s="14">
        <f t="shared" si="80"/>
        <v>3230</v>
      </c>
      <c r="IJ64" s="14">
        <f t="shared" si="81"/>
        <v>0</v>
      </c>
      <c r="IK64" s="14">
        <f t="shared" si="82"/>
        <v>79606</v>
      </c>
      <c r="IL64" s="17">
        <f t="shared" si="83"/>
        <v>6.7582845514157228E-3</v>
      </c>
      <c r="IM64" s="17">
        <f t="shared" si="84"/>
        <v>4.0574831042886214E-2</v>
      </c>
      <c r="IN64" s="17">
        <f t="shared" si="85"/>
        <v>0</v>
      </c>
      <c r="IO64" s="23">
        <f>SUM(IH$5:IH64)</f>
        <v>24716</v>
      </c>
      <c r="IP64" s="14">
        <f>SUM(II$5:II64)</f>
        <v>29280</v>
      </c>
      <c r="IQ64" s="14">
        <f>SUM(IJ$5:IJ64)</f>
        <v>18930</v>
      </c>
      <c r="IR64" s="17">
        <f t="shared" si="86"/>
        <v>0.31047910961485314</v>
      </c>
      <c r="IS64" s="17">
        <f t="shared" si="87"/>
        <v>0.36781147149712334</v>
      </c>
      <c r="IT64" s="17">
        <f t="shared" si="88"/>
        <v>0.23779614601914428</v>
      </c>
      <c r="IW64" s="13">
        <v>60</v>
      </c>
      <c r="IX64" s="14">
        <f>MATCH(IW64-1,属性投放!$T$6:$T$66,1)</f>
        <v>5</v>
      </c>
      <c r="IY64" s="14">
        <f>MATCH(IW64-1,属性投放!$AD$7:$AD$26,1)</f>
        <v>7</v>
      </c>
      <c r="IZ64" s="14" t="str">
        <f>INDEX(属性投放!$AB$7:$AB$26,IY64)</f>
        <v>叫唤</v>
      </c>
      <c r="JA64" s="14">
        <f t="shared" si="89"/>
        <v>1077</v>
      </c>
      <c r="JB64" s="14">
        <f t="shared" si="90"/>
        <v>488</v>
      </c>
      <c r="JC64" s="14">
        <f t="shared" si="91"/>
        <v>6797</v>
      </c>
      <c r="JD64" s="14">
        <f t="shared" si="92"/>
        <v>36</v>
      </c>
      <c r="JE64" s="14">
        <f t="shared" si="93"/>
        <v>18</v>
      </c>
      <c r="JF64" s="14">
        <f t="shared" si="94"/>
        <v>286</v>
      </c>
      <c r="JG64" s="14">
        <f>INDEX(属性投放!$DC$6:$DC$85,卡牌属性!IY64)</f>
        <v>45</v>
      </c>
      <c r="JH64" s="14">
        <f t="shared" si="95"/>
        <v>1617</v>
      </c>
      <c r="JI64" s="14">
        <f t="shared" si="96"/>
        <v>758</v>
      </c>
      <c r="JJ64" s="14">
        <f t="shared" si="97"/>
        <v>11087</v>
      </c>
      <c r="JK64" s="14">
        <f t="shared" si="98"/>
        <v>26752</v>
      </c>
    </row>
    <row r="65" spans="31:271" ht="16.5" x14ac:dyDescent="0.2">
      <c r="AE65" s="13">
        <v>61</v>
      </c>
      <c r="AF65" s="13">
        <f t="shared" si="31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142</v>
      </c>
      <c r="AM65" s="14">
        <v>1</v>
      </c>
      <c r="AN65" s="14">
        <f t="shared" si="5"/>
        <v>1</v>
      </c>
      <c r="AO65" s="14">
        <f>INDEX(属性投放!$DF$6:$DF$85,(卡牌属性!AG65-2)*20+卡牌属性!AN65)</f>
        <v>200</v>
      </c>
      <c r="AP65" s="14">
        <f t="shared" ref="AP65:AS84" si="148">$AO65</f>
        <v>200</v>
      </c>
      <c r="AQ65" s="14">
        <f t="shared" si="148"/>
        <v>200</v>
      </c>
      <c r="AR65" s="14">
        <f t="shared" si="148"/>
        <v>200</v>
      </c>
      <c r="AS65" s="14">
        <f t="shared" si="148"/>
        <v>200</v>
      </c>
      <c r="AT65" s="14">
        <f>INDEX(属性投放!$DG$6:$DG$85,(卡牌属性!AG65-2)*20+卡牌属性!AN65)</f>
        <v>20</v>
      </c>
      <c r="AU65" s="14">
        <f t="shared" ref="AU65:AX84" si="149">$AT65</f>
        <v>20</v>
      </c>
      <c r="AV65" s="14">
        <f t="shared" si="149"/>
        <v>20</v>
      </c>
      <c r="AW65" s="14">
        <f t="shared" si="149"/>
        <v>20</v>
      </c>
      <c r="AX65" s="14">
        <f t="shared" si="149"/>
        <v>20</v>
      </c>
      <c r="AY65" s="14">
        <f>INDEX(属性投放!$DH$6:$DH$85,(卡牌属性!AG65-2)*20+卡牌属性!AN65)</f>
        <v>625</v>
      </c>
      <c r="AZ65" s="14">
        <f t="shared" ref="AZ65:BC84" si="150">$AY65</f>
        <v>625</v>
      </c>
      <c r="BA65" s="14">
        <f t="shared" si="150"/>
        <v>625</v>
      </c>
      <c r="BB65" s="14">
        <f t="shared" si="150"/>
        <v>625</v>
      </c>
      <c r="BC65" s="14">
        <f t="shared" si="150"/>
        <v>625</v>
      </c>
      <c r="BD65" s="14">
        <f>INDEX(属性投放!$DL$6:$DL$85,(卡牌属性!AG65-2)*20+卡牌属性!AN65)</f>
        <v>11</v>
      </c>
      <c r="BE65" s="14">
        <f t="shared" ref="BE65:BH84" si="151">$BD65</f>
        <v>11</v>
      </c>
      <c r="BF65" s="14">
        <f t="shared" si="151"/>
        <v>11</v>
      </c>
      <c r="BG65" s="14">
        <f t="shared" si="151"/>
        <v>11</v>
      </c>
      <c r="BH65" s="14">
        <f t="shared" si="151"/>
        <v>11</v>
      </c>
      <c r="BI65" s="14">
        <f>INDEX(属性投放!$DM$6:$DM$85,(卡牌属性!AG65-2)*20+卡牌属性!AN65)</f>
        <v>6</v>
      </c>
      <c r="BJ65" s="14">
        <f t="shared" ref="BJ65:BM84" si="152">$BI65</f>
        <v>6</v>
      </c>
      <c r="BK65" s="14">
        <f t="shared" si="152"/>
        <v>6</v>
      </c>
      <c r="BL65" s="14">
        <f t="shared" si="152"/>
        <v>6</v>
      </c>
      <c r="BM65" s="14">
        <f t="shared" si="152"/>
        <v>6</v>
      </c>
      <c r="BN65" s="14">
        <f>INDEX(属性投放!$DN$6:$DN$85,(卡牌属性!AG65-2)*20+卡牌属性!AN65)</f>
        <v>65</v>
      </c>
      <c r="BO65" s="14">
        <f t="shared" ref="BO65:BR84" si="153">$BN65</f>
        <v>65</v>
      </c>
      <c r="BP65" s="14">
        <f t="shared" si="153"/>
        <v>65</v>
      </c>
      <c r="BQ65" s="14">
        <f t="shared" si="153"/>
        <v>65</v>
      </c>
      <c r="BR65" s="14">
        <f t="shared" si="153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32"/>
        <v>1102004</v>
      </c>
      <c r="CA65" s="14" t="str">
        <f t="shared" si="33"/>
        <v>唐流雨1突</v>
      </c>
      <c r="CB65" s="25" t="s">
        <v>142</v>
      </c>
      <c r="CC65" s="14">
        <v>2</v>
      </c>
      <c r="CD65" s="14">
        <f t="shared" si="14"/>
        <v>1</v>
      </c>
      <c r="CE65" s="14" t="s">
        <v>21</v>
      </c>
      <c r="CF65" s="14">
        <f>INDEX(属性投放!$AZ$6:$AZ$85,(BY65-2)*20+CD65)</f>
        <v>100</v>
      </c>
      <c r="CG65" s="14" t="s">
        <v>22</v>
      </c>
      <c r="CH65" s="14">
        <f>INDEX(属性投放!$BA$6:$BA$85,(BY65-2)*20+CD65)</f>
        <v>0</v>
      </c>
      <c r="CI65" s="14" t="s">
        <v>510</v>
      </c>
      <c r="CJ65" s="14">
        <f>INDEX(属性投放!$BB$6:$BB$85,(BY65-2)*20+CD65)</f>
        <v>300</v>
      </c>
      <c r="CK65" s="14" t="s">
        <v>21</v>
      </c>
      <c r="CL65" s="14">
        <f>INDEX(属性投放!$BC$6:$BC$85,(BY65-2)*20+CD65)</f>
        <v>5</v>
      </c>
      <c r="CM65" s="14" t="s">
        <v>22</v>
      </c>
      <c r="CN65" s="14">
        <f>INDEX(属性投放!$BD$6:$BD$85,(BY65-2)*20+CD65)</f>
        <v>3</v>
      </c>
      <c r="CO65" s="14" t="s">
        <v>510</v>
      </c>
      <c r="CP65" s="14">
        <f>INDEX(属性投放!$BE$6:$BE$85,(BY65-2)*20+CD65)</f>
        <v>30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INDEX($O$6:$O$50,CT65)&amp;"-"&amp;INDEX(属性投放!$AB$7:$AB$50,CZ65)&amp;"-魂火-"&amp;DB65</f>
        <v>许褚-众合+1-魂火-2</v>
      </c>
      <c r="CY65" s="25" t="s">
        <v>142</v>
      </c>
      <c r="CZ65" s="14">
        <f>INDEX(属性投放!$AM$7:$AM$58,CU65)</f>
        <v>5</v>
      </c>
      <c r="DA65" s="14" t="s">
        <v>537</v>
      </c>
      <c r="DB65" s="14">
        <f>INDEX(属性投放!$AN$7:$AN$58,CU65)</f>
        <v>2</v>
      </c>
      <c r="DC65" s="14">
        <f t="shared" si="16"/>
        <v>9</v>
      </c>
      <c r="DD65" s="14">
        <f>INDEX(属性投放!$AO$7:$AO$58,DC65)</f>
        <v>40</v>
      </c>
      <c r="DE65" s="14" t="s">
        <v>538</v>
      </c>
      <c r="DF65" s="14">
        <f>INDEX(属性投放!$BK$6:$BK$85,(CV65-2)*20+CZ65)</f>
        <v>45</v>
      </c>
      <c r="DG65" s="14">
        <f>SUMIFS(DF$5:DF65,$CT$5:$CT65,"="&amp;$CT65)</f>
        <v>300</v>
      </c>
      <c r="DH65" s="14" t="s">
        <v>539</v>
      </c>
      <c r="DI65" s="14">
        <f>INDEX(属性投放!$BL$6:$BL$85,(CV65-2)*20+CZ65)</f>
        <v>23</v>
      </c>
      <c r="DJ65" s="14">
        <f>SUMIFS(DI$5:DI65,$CT$5:$CT65,"="&amp;$CT65)</f>
        <v>152</v>
      </c>
      <c r="DK65" s="14" t="s">
        <v>540</v>
      </c>
      <c r="DL65" s="14">
        <f>INDEX(属性投放!$BM$6:$BM$85,(CV65-2)*20+CZ65)</f>
        <v>315</v>
      </c>
      <c r="DM65" s="14">
        <f>SUMIFS(DL$5:DL65,$CT$5:$CT65,"="&amp;$CT65)</f>
        <v>1970</v>
      </c>
      <c r="DR65" s="14">
        <f t="shared" si="17"/>
        <v>1102004</v>
      </c>
      <c r="DS65" s="14" t="str">
        <f t="shared" si="18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19"/>
        <v>2</v>
      </c>
      <c r="DX65" s="14">
        <f t="shared" si="20"/>
        <v>1</v>
      </c>
      <c r="DY65" s="14">
        <f t="shared" si="21"/>
        <v>1</v>
      </c>
      <c r="DZ65" s="14">
        <f>INDEX(属性投放!$AX$6:$AX$85,(卡牌属性!DW65-2)*20+卡牌属性!DX65)</f>
        <v>4</v>
      </c>
      <c r="EA65" s="14">
        <f>INDEX(属性投放!BQ$6:BQ$85,卡牌属性!$DY65)</f>
        <v>25</v>
      </c>
      <c r="EB65" s="14">
        <f>INDEX(属性投放!BR$6:BR$85,卡牌属性!$DY65)</f>
        <v>13</v>
      </c>
      <c r="EC65" s="14">
        <f>INDEX(属性投放!BS$6:BS$85,卡牌属性!$DY65)</f>
        <v>150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175</v>
      </c>
      <c r="EG65" s="14">
        <f>INDEX(属性偏向!$I$4:$I$15,卡牌属性!$DT65+EG$3)</f>
        <v>175</v>
      </c>
      <c r="EH65" s="14">
        <f>INDEX(属性偏向!$I$4:$I$15,卡牌属性!$DT65+EH$3)</f>
        <v>200</v>
      </c>
      <c r="EI65" s="14">
        <f>INDEX(属性偏向!$J$4:$J$15,卡牌属性!$DU65+EI$3)</f>
        <v>5</v>
      </c>
      <c r="EJ65" s="14">
        <f>INDEX(属性偏向!$J$4:$J$15,卡牌属性!$DU65+EJ$3)</f>
        <v>10</v>
      </c>
      <c r="EK65" s="14">
        <f>INDEX(属性偏向!$J$4:$J$15,卡牌属性!$DU65+EK$3)</f>
        <v>10</v>
      </c>
      <c r="EL65" s="14">
        <f>INDEX(属性偏向!$J$4:$J$15,卡牌属性!$DU65+EL$3)</f>
        <v>20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400</v>
      </c>
      <c r="EP65" s="14">
        <f>INDEX(属性偏向!$K$4:$K$15,卡牌属性!$DV65+EP$3)</f>
        <v>400</v>
      </c>
      <c r="EQ65" s="14">
        <f>INDEX(属性偏向!$K$4:$K$15,卡牌属性!$DV65+EQ$3)</f>
        <v>500</v>
      </c>
      <c r="ER65" s="14">
        <f>INDEX(属性偏向!$K$4:$K$15,卡牌属性!$DV65+ER$3)</f>
        <v>650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30</v>
      </c>
      <c r="FD65" s="14">
        <f>INDEX(属性偏向!$U$4:$U$243,(卡牌属性!$DV65-1+FD$3)*20+卡牌属性!$DX65)</f>
        <v>36</v>
      </c>
      <c r="FE65" s="14">
        <f>INDEX(属性偏向!$U$4:$U$243,(卡牌属性!$DV65-1+FE$3)*20+卡牌属性!$DX65)</f>
        <v>36</v>
      </c>
      <c r="FF65" s="14">
        <f>INDEX(属性偏向!$U$4:$U$243,(卡牌属性!$DV65-1+FF$3)*20+卡牌属性!$DX65)</f>
        <v>48</v>
      </c>
      <c r="FG65" s="14">
        <f>INDEX(属性偏向!$U$4:$U$243,(卡牌属性!$DV65-1+FG$3)*20+卡牌属性!$DX65)</f>
        <v>60</v>
      </c>
      <c r="FH65" s="14">
        <f>INDEX(属性投放!$BQ$6:$BQ$85,(卡牌属性!$DW65-2)*20+卡牌属性!$DX65)</f>
        <v>25</v>
      </c>
      <c r="FI65" s="14">
        <f>INDEX(属性投放!$BQ$6:$BQ$85,(卡牌属性!$DW65-2)*20+卡牌属性!$DX65)</f>
        <v>25</v>
      </c>
      <c r="FJ65" s="14">
        <f>INDEX(属性投放!$BQ$6:$BQ$85,(卡牌属性!$DW65-2)*20+卡牌属性!$DX65)</f>
        <v>25</v>
      </c>
      <c r="FK65" s="14">
        <f>INDEX(属性投放!$BQ$6:$BQ$85,(卡牌属性!$DW65-2)*20+卡牌属性!$DX65)</f>
        <v>25</v>
      </c>
      <c r="FL65" s="14">
        <f>INDEX(属性投放!$BQ$6:$BQ$85,(卡牌属性!$DW65-2)*20+卡牌属性!$DX65)</f>
        <v>25</v>
      </c>
      <c r="FM65" s="14">
        <f>INDEX(属性投放!$BR$6:$BR$85,(卡牌属性!$DW65-2)*20+卡牌属性!$DX65)</f>
        <v>13</v>
      </c>
      <c r="FN65" s="14">
        <f>INDEX(属性投放!$BR$6:$BR$85,(卡牌属性!$DW65-2)*20+卡牌属性!$DX65)</f>
        <v>13</v>
      </c>
      <c r="FO65" s="14">
        <f>INDEX(属性投放!$BR$6:$BR$85,(卡牌属性!$DW65-2)*20+卡牌属性!$DX65)</f>
        <v>13</v>
      </c>
      <c r="FP65" s="14">
        <f>INDEX(属性投放!$BR$6:$BR$85,(卡牌属性!$DW65-2)*20+卡牌属性!$DX65)</f>
        <v>13</v>
      </c>
      <c r="FQ65" s="14">
        <f>INDEX(属性投放!$BR$6:$BR$85,(卡牌属性!$DW65-2)*20+卡牌属性!$DX65)</f>
        <v>13</v>
      </c>
      <c r="FR65" s="14">
        <f>INDEX(属性投放!$BS$6:$BS$85,(卡牌属性!$DW65-2)*20+卡牌属性!$DX65)</f>
        <v>150</v>
      </c>
      <c r="FS65" s="14">
        <f>INDEX(属性投放!$BS$6:$BS$85,(卡牌属性!$DW65-2)*20+卡牌属性!$DX65)</f>
        <v>150</v>
      </c>
      <c r="FT65" s="14">
        <f>INDEX(属性投放!$BS$6:$BS$85,(卡牌属性!$DW65-2)*20+卡牌属性!$DX65)</f>
        <v>150</v>
      </c>
      <c r="FU65" s="14">
        <f>INDEX(属性投放!$BS$6:$BS$85,(卡牌属性!$DW65-2)*20+卡牌属性!$DX65)</f>
        <v>150</v>
      </c>
      <c r="FV65" s="14">
        <f>INDEX(属性投放!$BS$6:$BS$85,(卡牌属性!$DW65-2)*20+卡牌属性!$DX65)</f>
        <v>150</v>
      </c>
      <c r="FZ65" s="13">
        <v>61</v>
      </c>
      <c r="GA65" s="13">
        <f t="shared" si="121"/>
        <v>13</v>
      </c>
      <c r="GB65" s="14">
        <f t="shared" si="56"/>
        <v>1102013</v>
      </c>
      <c r="GC65" s="14" t="s">
        <v>1187</v>
      </c>
      <c r="GD65" s="14">
        <f t="shared" si="122"/>
        <v>1</v>
      </c>
      <c r="GE65" s="14" t="str">
        <f t="shared" si="123"/>
        <v>塞伯罗斯-1星</v>
      </c>
      <c r="GF65" s="14">
        <f>INDEX(Y$6:Y$36,$GA65)+INDEX(属性偏向!Y$4:Y$8,卡牌属性!$GD65)</f>
        <v>2</v>
      </c>
      <c r="GG65" s="14" t="str">
        <f>INDEX(属性评价,卡牌属性!GF65)</f>
        <v>D+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5</v>
      </c>
      <c r="GK65" s="14" t="str">
        <f>INDEX(属性评价,卡牌属性!GJ65)</f>
        <v>B</v>
      </c>
      <c r="GN65" s="13">
        <v>61</v>
      </c>
      <c r="GO65" s="13">
        <f t="shared" si="124"/>
        <v>13</v>
      </c>
      <c r="GP65" s="14">
        <f t="shared" si="57"/>
        <v>1101013</v>
      </c>
      <c r="GQ65" s="14" t="s">
        <v>1187</v>
      </c>
      <c r="GR65" s="14">
        <f t="shared" si="125"/>
        <v>1</v>
      </c>
      <c r="GS65" s="14" t="str">
        <f t="shared" si="126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MATCH(HC65,属性投放!$AO$6:$AO$58,1)-1</f>
        <v>17</v>
      </c>
      <c r="HF65" s="13">
        <f>MATCH(HC65-1,属性投放!$AE$6:$AE$26,1)</f>
        <v>9</v>
      </c>
      <c r="HG65" s="13" t="str">
        <f>INDEX(属性投放!$AB$7:$AB$26,卡牌属性!HF65)</f>
        <v>叫唤+2</v>
      </c>
      <c r="HH65" s="14">
        <f t="shared" si="58"/>
        <v>2063</v>
      </c>
      <c r="HI65" s="14">
        <f t="shared" si="59"/>
        <v>828</v>
      </c>
      <c r="HJ65" s="14">
        <f t="shared" si="60"/>
        <v>11522</v>
      </c>
      <c r="HK65" s="14">
        <f t="shared" si="61"/>
        <v>25</v>
      </c>
      <c r="HL65" s="14">
        <f t="shared" si="62"/>
        <v>8</v>
      </c>
      <c r="HM65" s="14">
        <f t="shared" si="63"/>
        <v>128</v>
      </c>
      <c r="HN65" s="14">
        <f>HH65+HK65*($HC65-INDEX(属性投放!$AE$6:$AE$26,卡牌属性!$HF65))</f>
        <v>2163</v>
      </c>
      <c r="HO65" s="14">
        <f>HI65+HL65*($HC65-INDEX(属性投放!$AE$6:$AE$26,卡牌属性!$HF65))</f>
        <v>860</v>
      </c>
      <c r="HP65" s="14">
        <f>HJ65+HM65*($HC65-INDEX(属性投放!$AE$6:$AE$26,卡牌属性!$HF65))</f>
        <v>12034</v>
      </c>
      <c r="HQ65" s="14">
        <f t="shared" si="64"/>
        <v>1065</v>
      </c>
      <c r="HR65" s="14">
        <f t="shared" si="65"/>
        <v>537</v>
      </c>
      <c r="HS65" s="14">
        <f t="shared" si="66"/>
        <v>7890</v>
      </c>
      <c r="HT65" s="14">
        <f>IF(COUNTIF(属性投放!$AO$7:$AO$58,"="&amp;卡牌属性!HC65)&gt;0,卡牌属性!HE65,0)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IF(COUNTIF(属性投放!$AE$6:$AE$26,"="&amp;卡牌属性!HC65)&gt;0,卡牌属性!HF65,0)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25</v>
      </c>
      <c r="IC65" s="14">
        <f t="shared" si="74"/>
        <v>8</v>
      </c>
      <c r="ID65" s="14">
        <f t="shared" si="75"/>
        <v>128</v>
      </c>
      <c r="IE65" s="14">
        <f t="shared" si="76"/>
        <v>3228</v>
      </c>
      <c r="IF65" s="14">
        <f t="shared" si="77"/>
        <v>1397</v>
      </c>
      <c r="IG65" s="14">
        <f t="shared" si="78"/>
        <v>19924</v>
      </c>
      <c r="IH65" s="14">
        <f t="shared" si="79"/>
        <v>538</v>
      </c>
      <c r="II65" s="14">
        <f t="shared" si="80"/>
        <v>0</v>
      </c>
      <c r="IJ65" s="14">
        <f t="shared" si="81"/>
        <v>0</v>
      </c>
      <c r="IK65" s="14">
        <f t="shared" si="82"/>
        <v>80144</v>
      </c>
      <c r="IL65" s="17">
        <f t="shared" si="83"/>
        <v>6.7129167498502697E-3</v>
      </c>
      <c r="IM65" s="17">
        <f t="shared" si="84"/>
        <v>0</v>
      </c>
      <c r="IN65" s="17">
        <f t="shared" si="85"/>
        <v>0</v>
      </c>
      <c r="IO65" s="23">
        <f>SUM(IH$5:IH65)</f>
        <v>25254</v>
      </c>
      <c r="IP65" s="14">
        <f>SUM(II$5:II65)</f>
        <v>29280</v>
      </c>
      <c r="IQ65" s="14">
        <f>SUM(IJ$5:IJ65)</f>
        <v>18930</v>
      </c>
      <c r="IR65" s="17">
        <f t="shared" si="86"/>
        <v>0.31510780594929128</v>
      </c>
      <c r="IS65" s="17">
        <f t="shared" si="87"/>
        <v>0.3653423837093232</v>
      </c>
      <c r="IT65" s="17">
        <f t="shared" si="88"/>
        <v>0.23619984028748253</v>
      </c>
      <c r="IW65" s="13">
        <v>61</v>
      </c>
      <c r="IX65" s="14">
        <f>MATCH(IW65-1,属性投放!$T$6:$T$66,1)</f>
        <v>5</v>
      </c>
      <c r="IY65" s="14">
        <f>MATCH(IW65-1,属性投放!$AD$7:$AD$26,1)</f>
        <v>8</v>
      </c>
      <c r="IZ65" s="14" t="str">
        <f>INDEX(属性投放!$AB$7:$AB$26,IY65)</f>
        <v>叫唤+1</v>
      </c>
      <c r="JA65" s="14">
        <f t="shared" si="89"/>
        <v>1179</v>
      </c>
      <c r="JB65" s="14">
        <f t="shared" si="90"/>
        <v>539</v>
      </c>
      <c r="JC65" s="14">
        <f t="shared" si="91"/>
        <v>7613</v>
      </c>
      <c r="JD65" s="14">
        <f t="shared" si="92"/>
        <v>36</v>
      </c>
      <c r="JE65" s="14">
        <f t="shared" si="93"/>
        <v>18</v>
      </c>
      <c r="JF65" s="14">
        <f t="shared" si="94"/>
        <v>286</v>
      </c>
      <c r="JG65" s="14">
        <f>INDEX(属性投放!$DC$6:$DC$85,卡牌属性!IY65)</f>
        <v>45</v>
      </c>
      <c r="JH65" s="14">
        <f t="shared" si="95"/>
        <v>1755</v>
      </c>
      <c r="JI65" s="14">
        <f t="shared" si="96"/>
        <v>827</v>
      </c>
      <c r="JJ65" s="14">
        <f t="shared" si="97"/>
        <v>12189</v>
      </c>
      <c r="JK65" s="14">
        <f t="shared" si="98"/>
        <v>29234</v>
      </c>
    </row>
    <row r="66" spans="31:271" ht="16.5" x14ac:dyDescent="0.2">
      <c r="AE66" s="13">
        <v>62</v>
      </c>
      <c r="AF66" s="13">
        <f t="shared" si="31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142</v>
      </c>
      <c r="AM66" s="14">
        <v>1</v>
      </c>
      <c r="AN66" s="14">
        <f t="shared" si="5"/>
        <v>2</v>
      </c>
      <c r="AO66" s="14">
        <f>INDEX(属性投放!$DF$6:$DF$85,(卡牌属性!AG66-2)*20+卡牌属性!AN66)</f>
        <v>310</v>
      </c>
      <c r="AP66" s="14">
        <f t="shared" si="148"/>
        <v>310</v>
      </c>
      <c r="AQ66" s="14">
        <f t="shared" si="148"/>
        <v>310</v>
      </c>
      <c r="AR66" s="14">
        <f t="shared" si="148"/>
        <v>310</v>
      </c>
      <c r="AS66" s="14">
        <f t="shared" si="148"/>
        <v>310</v>
      </c>
      <c r="AT66" s="14">
        <f>INDEX(属性投放!$DG$6:$DG$85,(卡牌属性!AG66-2)*20+卡牌属性!AN66)</f>
        <v>80</v>
      </c>
      <c r="AU66" s="14">
        <f t="shared" si="149"/>
        <v>80</v>
      </c>
      <c r="AV66" s="14">
        <f t="shared" si="149"/>
        <v>80</v>
      </c>
      <c r="AW66" s="14">
        <f t="shared" si="149"/>
        <v>80</v>
      </c>
      <c r="AX66" s="14">
        <f t="shared" si="149"/>
        <v>80</v>
      </c>
      <c r="AY66" s="14">
        <f>INDEX(属性投放!$DH$6:$DH$85,(卡牌属性!AG66-2)*20+卡牌属性!AN66)</f>
        <v>1275</v>
      </c>
      <c r="AZ66" s="14">
        <f t="shared" si="150"/>
        <v>1275</v>
      </c>
      <c r="BA66" s="14">
        <f t="shared" si="150"/>
        <v>1275</v>
      </c>
      <c r="BB66" s="14">
        <f t="shared" si="150"/>
        <v>1275</v>
      </c>
      <c r="BC66" s="14">
        <f t="shared" si="150"/>
        <v>1275</v>
      </c>
      <c r="BD66" s="14">
        <f>INDEX(属性投放!$DL$6:$DL$85,(卡牌属性!AG66-2)*20+卡牌属性!AN66)</f>
        <v>22</v>
      </c>
      <c r="BE66" s="14">
        <f t="shared" si="151"/>
        <v>22</v>
      </c>
      <c r="BF66" s="14">
        <f t="shared" si="151"/>
        <v>22</v>
      </c>
      <c r="BG66" s="14">
        <f t="shared" si="151"/>
        <v>22</v>
      </c>
      <c r="BH66" s="14">
        <f t="shared" si="151"/>
        <v>22</v>
      </c>
      <c r="BI66" s="14">
        <f>INDEX(属性投放!$DM$6:$DM$85,(卡牌属性!AG66-2)*20+卡牌属性!AN66)</f>
        <v>11</v>
      </c>
      <c r="BJ66" s="14">
        <f t="shared" si="152"/>
        <v>11</v>
      </c>
      <c r="BK66" s="14">
        <f t="shared" si="152"/>
        <v>11</v>
      </c>
      <c r="BL66" s="14">
        <f t="shared" si="152"/>
        <v>11</v>
      </c>
      <c r="BM66" s="14">
        <f t="shared" si="152"/>
        <v>11</v>
      </c>
      <c r="BN66" s="14">
        <f>INDEX(属性投放!$DN$6:$DN$85,(卡牌属性!AG66-2)*20+卡牌属性!AN66)</f>
        <v>132</v>
      </c>
      <c r="BO66" s="14">
        <f t="shared" si="153"/>
        <v>132</v>
      </c>
      <c r="BP66" s="14">
        <f t="shared" si="153"/>
        <v>132</v>
      </c>
      <c r="BQ66" s="14">
        <f t="shared" si="153"/>
        <v>132</v>
      </c>
      <c r="BR66" s="14">
        <f t="shared" si="153"/>
        <v>132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32"/>
        <v>1102004</v>
      </c>
      <c r="CA66" s="14" t="str">
        <f t="shared" si="33"/>
        <v>唐流雨2突</v>
      </c>
      <c r="CB66" s="25" t="s">
        <v>142</v>
      </c>
      <c r="CC66" s="14">
        <v>2</v>
      </c>
      <c r="CD66" s="14">
        <f t="shared" si="14"/>
        <v>2</v>
      </c>
      <c r="CE66" s="14" t="s">
        <v>21</v>
      </c>
      <c r="CF66" s="14">
        <f>INDEX(属性投放!$AZ$6:$AZ$85,(BY66-2)*20+CD66)</f>
        <v>160</v>
      </c>
      <c r="CG66" s="14" t="s">
        <v>22</v>
      </c>
      <c r="CH66" s="14">
        <f>INDEX(属性投放!$BA$6:$BA$85,(BY66-2)*20+CD66)</f>
        <v>33</v>
      </c>
      <c r="CI66" s="14" t="s">
        <v>510</v>
      </c>
      <c r="CJ66" s="14">
        <f>INDEX(属性投放!$BB$6:$BB$85,(BY66-2)*20+CD66)</f>
        <v>660</v>
      </c>
      <c r="CK66" s="14" t="s">
        <v>21</v>
      </c>
      <c r="CL66" s="14">
        <f>INDEX(属性投放!$BC$6:$BC$85,(BY66-2)*20+CD66)</f>
        <v>6</v>
      </c>
      <c r="CM66" s="14" t="s">
        <v>22</v>
      </c>
      <c r="CN66" s="14">
        <f>INDEX(属性投放!$BD$6:$BD$85,(BY66-2)*20+CD66)</f>
        <v>3</v>
      </c>
      <c r="CO66" s="14" t="s">
        <v>510</v>
      </c>
      <c r="CP66" s="14">
        <f>INDEX(属性投放!$BE$6:$BE$85,(BY66-2)*20+CD66)</f>
        <v>36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INDEX($O$6:$O$50,CT66)&amp;"-"&amp;INDEX(属性投放!$AB$7:$AB$50,CZ66)&amp;"-魂火-"&amp;DB66</f>
        <v>许褚-众合+2-魂火-1</v>
      </c>
      <c r="CY66" s="25" t="s">
        <v>142</v>
      </c>
      <c r="CZ66" s="14">
        <f>INDEX(属性投放!$AM$7:$AM$58,CU66)</f>
        <v>6</v>
      </c>
      <c r="DA66" s="14" t="s">
        <v>537</v>
      </c>
      <c r="DB66" s="14">
        <f>INDEX(属性投放!$AN$7:$AN$58,CU66)</f>
        <v>1</v>
      </c>
      <c r="DC66" s="14">
        <f t="shared" si="16"/>
        <v>10</v>
      </c>
      <c r="DD66" s="14">
        <f>INDEX(属性投放!$AO$7:$AO$58,DC66)</f>
        <v>43</v>
      </c>
      <c r="DE66" s="14" t="s">
        <v>538</v>
      </c>
      <c r="DF66" s="14">
        <f>INDEX(属性投放!$BK$6:$BK$85,(CV66-2)*20+CZ66)</f>
        <v>50</v>
      </c>
      <c r="DG66" s="14">
        <f>SUMIFS(DF$5:DF66,$CT$5:$CT66,"="&amp;$CT66)</f>
        <v>350</v>
      </c>
      <c r="DH66" s="14" t="s">
        <v>539</v>
      </c>
      <c r="DI66" s="14">
        <f>INDEX(属性投放!$BL$6:$BL$85,(CV66-2)*20+CZ66)</f>
        <v>25</v>
      </c>
      <c r="DJ66" s="14">
        <f>SUMIFS(DI$5:DI66,$CT$5:$CT66,"="&amp;$CT66)</f>
        <v>177</v>
      </c>
      <c r="DK66" s="14" t="s">
        <v>540</v>
      </c>
      <c r="DL66" s="14">
        <f>INDEX(属性投放!$BM$6:$BM$85,(CV66-2)*20+CZ66)</f>
        <v>350</v>
      </c>
      <c r="DM66" s="14">
        <f>SUMIFS(DL$5:DL66,$CT$5:$CT66,"="&amp;$CT66)</f>
        <v>2320</v>
      </c>
      <c r="DR66" s="14">
        <f t="shared" si="17"/>
        <v>1102004</v>
      </c>
      <c r="DS66" s="14" t="str">
        <f t="shared" si="18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19"/>
        <v>2</v>
      </c>
      <c r="DX66" s="14">
        <f t="shared" si="20"/>
        <v>2</v>
      </c>
      <c r="DY66" s="14">
        <f t="shared" si="21"/>
        <v>2</v>
      </c>
      <c r="DZ66" s="14">
        <f>INDEX(属性投放!$AX$6:$AX$85,(卡牌属性!DW66-2)*20+卡牌属性!DX66)</f>
        <v>10</v>
      </c>
      <c r="EA66" s="14">
        <f>INDEX(属性投放!BQ$6:BQ$85,卡牌属性!$DY66)</f>
        <v>30</v>
      </c>
      <c r="EB66" s="14">
        <f>INDEX(属性投放!BR$6:BR$85,卡牌属性!$DY66)</f>
        <v>15</v>
      </c>
      <c r="EC66" s="14">
        <f>INDEX(属性投放!BS$6:BS$85,卡牌属性!$DY66)</f>
        <v>180</v>
      </c>
      <c r="ED66" s="14">
        <f t="shared" ref="ED66:ED84" si="154">ED65+$EA65+ES65*$DZ65</f>
        <v>174</v>
      </c>
      <c r="EE66" s="14">
        <f t="shared" ref="EE66:EE84" si="155">EE65+$EA65+ET65*$DZ65</f>
        <v>207</v>
      </c>
      <c r="EF66" s="14">
        <f t="shared" ref="EF66:EF84" si="156">EF65+$EA65+EU65*$DZ65</f>
        <v>240</v>
      </c>
      <c r="EG66" s="14">
        <f t="shared" ref="EG66:EG84" si="157">EG65+$EA65+EV65*$DZ65</f>
        <v>240</v>
      </c>
      <c r="EH66" s="14">
        <f t="shared" ref="EH66:EH84" si="158">EH65+$EA65+EW65*$DZ65</f>
        <v>273</v>
      </c>
      <c r="EI66" s="14">
        <f t="shared" ref="EI66:EI84" si="159">EI65+$EB65+EX65*$DZ65</f>
        <v>26</v>
      </c>
      <c r="EJ66" s="14">
        <f t="shared" ref="EJ66:EJ84" si="160">EJ65+$EB65+EY65*$DZ65</f>
        <v>35</v>
      </c>
      <c r="EK66" s="14">
        <f t="shared" ref="EK66:EK84" si="161">EK65+$EB65+EZ65*$DZ65</f>
        <v>35</v>
      </c>
      <c r="EL66" s="14">
        <f t="shared" ref="EL66:EL84" si="162">EL65+$EB65+FA65*$DZ65</f>
        <v>45</v>
      </c>
      <c r="EM66" s="14">
        <f t="shared" ref="EM66:EM84" si="163">EM65+$EB65+FB65*$DZ65</f>
        <v>59</v>
      </c>
      <c r="EN66" s="14">
        <f t="shared" ref="EN66:EN84" si="164">EN65+$EC65+FC65*$DZ65</f>
        <v>570</v>
      </c>
      <c r="EO66" s="14">
        <f t="shared" ref="EO66:EO84" si="165">EO65+$EC65+FD65*$DZ65</f>
        <v>694</v>
      </c>
      <c r="EP66" s="14">
        <f t="shared" ref="EP66:EP84" si="166">EP65+$EC65+FE65*$DZ65</f>
        <v>694</v>
      </c>
      <c r="EQ66" s="14">
        <f t="shared" ref="EQ66:EQ84" si="167">EQ65+$EC65+FF65*$DZ65</f>
        <v>842</v>
      </c>
      <c r="ER66" s="14">
        <f t="shared" ref="ER66:ER84" si="168">ER65+$EC65+FG65*$DZ65</f>
        <v>1040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36</v>
      </c>
      <c r="FD66" s="14">
        <f>INDEX(属性偏向!$U$4:$U$243,(卡牌属性!$DV66-1+FD$3)*20+卡牌属性!$DX66)</f>
        <v>48</v>
      </c>
      <c r="FE66" s="14">
        <f>INDEX(属性偏向!$U$4:$U$243,(卡牌属性!$DV66-1+FE$3)*20+卡牌属性!$DX66)</f>
        <v>48</v>
      </c>
      <c r="FF66" s="14">
        <f>INDEX(属性偏向!$U$4:$U$243,(卡牌属性!$DV66-1+FF$3)*20+卡牌属性!$DX66)</f>
        <v>60</v>
      </c>
      <c r="FG66" s="14">
        <f>INDEX(属性偏向!$U$4:$U$243,(卡牌属性!$DV66-1+FG$3)*20+卡牌属性!$DX66)</f>
        <v>72</v>
      </c>
      <c r="FH66" s="14">
        <f>INDEX(属性投放!$BQ$6:$BQ$85,(卡牌属性!$DW66-2)*20+卡牌属性!$DX66)</f>
        <v>30</v>
      </c>
      <c r="FI66" s="14">
        <f>INDEX(属性投放!$BQ$6:$BQ$85,(卡牌属性!$DW66-2)*20+卡牌属性!$DX66)</f>
        <v>30</v>
      </c>
      <c r="FJ66" s="14">
        <f>INDEX(属性投放!$BQ$6:$BQ$85,(卡牌属性!$DW66-2)*20+卡牌属性!$DX66)</f>
        <v>30</v>
      </c>
      <c r="FK66" s="14">
        <f>INDEX(属性投放!$BQ$6:$BQ$85,(卡牌属性!$DW66-2)*20+卡牌属性!$DX66)</f>
        <v>30</v>
      </c>
      <c r="FL66" s="14">
        <f>INDEX(属性投放!$BQ$6:$BQ$85,(卡牌属性!$DW66-2)*20+卡牌属性!$DX66)</f>
        <v>30</v>
      </c>
      <c r="FM66" s="14">
        <f>INDEX(属性投放!$BR$6:$BR$85,(卡牌属性!$DW66-2)*20+卡牌属性!$DX66)</f>
        <v>15</v>
      </c>
      <c r="FN66" s="14">
        <f>INDEX(属性投放!$BR$6:$BR$85,(卡牌属性!$DW66-2)*20+卡牌属性!$DX66)</f>
        <v>15</v>
      </c>
      <c r="FO66" s="14">
        <f>INDEX(属性投放!$BR$6:$BR$85,(卡牌属性!$DW66-2)*20+卡牌属性!$DX66)</f>
        <v>15</v>
      </c>
      <c r="FP66" s="14">
        <f>INDEX(属性投放!$BR$6:$BR$85,(卡牌属性!$DW66-2)*20+卡牌属性!$DX66)</f>
        <v>15</v>
      </c>
      <c r="FQ66" s="14">
        <f>INDEX(属性投放!$BR$6:$BR$85,(卡牌属性!$DW66-2)*20+卡牌属性!$DX66)</f>
        <v>15</v>
      </c>
      <c r="FR66" s="14">
        <f>INDEX(属性投放!$BS$6:$BS$85,(卡牌属性!$DW66-2)*20+卡牌属性!$DX66)</f>
        <v>180</v>
      </c>
      <c r="FS66" s="14">
        <f>INDEX(属性投放!$BS$6:$BS$85,(卡牌属性!$DW66-2)*20+卡牌属性!$DX66)</f>
        <v>180</v>
      </c>
      <c r="FT66" s="14">
        <f>INDEX(属性投放!$BS$6:$BS$85,(卡牌属性!$DW66-2)*20+卡牌属性!$DX66)</f>
        <v>180</v>
      </c>
      <c r="FU66" s="14">
        <f>INDEX(属性投放!$BS$6:$BS$85,(卡牌属性!$DW66-2)*20+卡牌属性!$DX66)</f>
        <v>180</v>
      </c>
      <c r="FV66" s="14">
        <f>INDEX(属性投放!$BS$6:$BS$85,(卡牌属性!$DW66-2)*20+卡牌属性!$DX66)</f>
        <v>180</v>
      </c>
      <c r="FZ66" s="13">
        <v>62</v>
      </c>
      <c r="GA66" s="13">
        <f t="shared" si="121"/>
        <v>13</v>
      </c>
      <c r="GB66" s="14">
        <f t="shared" si="56"/>
        <v>1102013</v>
      </c>
      <c r="GC66" s="14" t="s">
        <v>1187</v>
      </c>
      <c r="GD66" s="14">
        <f t="shared" si="122"/>
        <v>2</v>
      </c>
      <c r="GE66" s="14" t="str">
        <f t="shared" si="123"/>
        <v>塞伯罗斯-2星</v>
      </c>
      <c r="GF66" s="14">
        <f>INDEX(Y$6:Y$36,$GA66)+INDEX(属性偏向!Y$4:Y$8,卡牌属性!$GD66)</f>
        <v>3</v>
      </c>
      <c r="GG66" s="14" t="str">
        <f>INDEX(属性评价,卡牌属性!GF66)</f>
        <v>C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6</v>
      </c>
      <c r="GK66" s="14" t="str">
        <f>INDEX(属性评价,卡牌属性!GJ66)</f>
        <v>B+</v>
      </c>
      <c r="GN66" s="13">
        <v>62</v>
      </c>
      <c r="GO66" s="13">
        <f t="shared" si="124"/>
        <v>13</v>
      </c>
      <c r="GP66" s="14">
        <f t="shared" si="57"/>
        <v>1101013</v>
      </c>
      <c r="GQ66" s="14" t="s">
        <v>1187</v>
      </c>
      <c r="GR66" s="14">
        <f t="shared" si="125"/>
        <v>2</v>
      </c>
      <c r="GS66" s="14" t="str">
        <f t="shared" si="126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MATCH(HC66,属性投放!$AO$6:$AO$58,1)-1</f>
        <v>17</v>
      </c>
      <c r="HF66" s="13">
        <f>MATCH(HC66-1,属性投放!$AE$6:$AE$26,1)</f>
        <v>9</v>
      </c>
      <c r="HG66" s="13" t="str">
        <f>INDEX(属性投放!$AB$7:$AB$26,卡牌属性!HF66)</f>
        <v>叫唤+2</v>
      </c>
      <c r="HH66" s="14">
        <f t="shared" si="58"/>
        <v>2063</v>
      </c>
      <c r="HI66" s="14">
        <f t="shared" si="59"/>
        <v>828</v>
      </c>
      <c r="HJ66" s="14">
        <f t="shared" si="60"/>
        <v>11522</v>
      </c>
      <c r="HK66" s="14">
        <f t="shared" si="61"/>
        <v>25</v>
      </c>
      <c r="HL66" s="14">
        <f t="shared" si="62"/>
        <v>8</v>
      </c>
      <c r="HM66" s="14">
        <f t="shared" si="63"/>
        <v>128</v>
      </c>
      <c r="HN66" s="14">
        <f>HH66+HK66*($HC66-INDEX(属性投放!$AE$6:$AE$26,卡牌属性!$HF66))</f>
        <v>2188</v>
      </c>
      <c r="HO66" s="14">
        <f>HI66+HL66*($HC66-INDEX(属性投放!$AE$6:$AE$26,卡牌属性!$HF66))</f>
        <v>868</v>
      </c>
      <c r="HP66" s="14">
        <f>HJ66+HM66*($HC66-INDEX(属性投放!$AE$6:$AE$26,卡牌属性!$HF66))</f>
        <v>12162</v>
      </c>
      <c r="HQ66" s="14">
        <f t="shared" si="64"/>
        <v>1065</v>
      </c>
      <c r="HR66" s="14">
        <f t="shared" si="65"/>
        <v>537</v>
      </c>
      <c r="HS66" s="14">
        <f t="shared" si="66"/>
        <v>7890</v>
      </c>
      <c r="HT66" s="14">
        <f>IF(COUNTIF(属性投放!$AO$7:$AO$58,"="&amp;卡牌属性!HC66)&gt;0,卡牌属性!HE66,0)</f>
        <v>0</v>
      </c>
      <c r="HU66" s="14">
        <f t="shared" si="67"/>
        <v>0</v>
      </c>
      <c r="HV66" s="14">
        <f t="shared" si="68"/>
        <v>0</v>
      </c>
      <c r="HW66" s="14">
        <f t="shared" si="69"/>
        <v>0</v>
      </c>
      <c r="HX66" s="14">
        <f>IF(COUNTIF(属性投放!$AE$6:$AE$26,"="&amp;卡牌属性!HC66)&gt;0,卡牌属性!HF66,0)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25</v>
      </c>
      <c r="IC66" s="14">
        <f t="shared" si="74"/>
        <v>8</v>
      </c>
      <c r="ID66" s="14">
        <f t="shared" si="75"/>
        <v>128</v>
      </c>
      <c r="IE66" s="14">
        <f t="shared" si="76"/>
        <v>3253</v>
      </c>
      <c r="IF66" s="14">
        <f t="shared" si="77"/>
        <v>1405</v>
      </c>
      <c r="IG66" s="14">
        <f t="shared" si="78"/>
        <v>20052</v>
      </c>
      <c r="IH66" s="14">
        <f t="shared" si="79"/>
        <v>538</v>
      </c>
      <c r="II66" s="14">
        <f t="shared" si="80"/>
        <v>0</v>
      </c>
      <c r="IJ66" s="14">
        <f t="shared" si="81"/>
        <v>0</v>
      </c>
      <c r="IK66" s="14">
        <f t="shared" si="82"/>
        <v>80682</v>
      </c>
      <c r="IL66" s="17">
        <f t="shared" si="83"/>
        <v>6.6681539872586199E-3</v>
      </c>
      <c r="IM66" s="17">
        <f t="shared" si="84"/>
        <v>0</v>
      </c>
      <c r="IN66" s="17">
        <f t="shared" si="85"/>
        <v>0</v>
      </c>
      <c r="IO66" s="23">
        <f>SUM(IH$5:IH66)</f>
        <v>25792</v>
      </c>
      <c r="IP66" s="14">
        <f>SUM(II$5:II66)</f>
        <v>29280</v>
      </c>
      <c r="IQ66" s="14">
        <f>SUM(IJ$5:IJ66)</f>
        <v>18930</v>
      </c>
      <c r="IR66" s="17">
        <f t="shared" si="86"/>
        <v>0.31967477256389282</v>
      </c>
      <c r="IS66" s="17">
        <f t="shared" si="87"/>
        <v>0.3629062244366773</v>
      </c>
      <c r="IT66" s="17">
        <f t="shared" si="88"/>
        <v>0.23462482338067969</v>
      </c>
      <c r="IW66" s="13">
        <v>62</v>
      </c>
      <c r="IX66" s="14">
        <f>MATCH(IW66-1,属性投放!$T$6:$T$66,1)</f>
        <v>5</v>
      </c>
      <c r="IY66" s="14">
        <f>MATCH(IW66-1,属性投放!$AD$7:$AD$26,1)</f>
        <v>8</v>
      </c>
      <c r="IZ66" s="14" t="str">
        <f>INDEX(属性投放!$AB$7:$AB$26,IY66)</f>
        <v>叫唤+1</v>
      </c>
      <c r="JA66" s="14">
        <f t="shared" si="89"/>
        <v>1179</v>
      </c>
      <c r="JB66" s="14">
        <f t="shared" si="90"/>
        <v>539</v>
      </c>
      <c r="JC66" s="14">
        <f t="shared" si="91"/>
        <v>7613</v>
      </c>
      <c r="JD66" s="14">
        <f t="shared" si="92"/>
        <v>36</v>
      </c>
      <c r="JE66" s="14">
        <f t="shared" si="93"/>
        <v>18</v>
      </c>
      <c r="JF66" s="14">
        <f t="shared" si="94"/>
        <v>286</v>
      </c>
      <c r="JG66" s="14">
        <f>INDEX(属性投放!$DC$6:$DC$85,卡牌属性!IY66)</f>
        <v>45</v>
      </c>
      <c r="JH66" s="14">
        <f t="shared" si="95"/>
        <v>1791</v>
      </c>
      <c r="JI66" s="14">
        <f t="shared" si="96"/>
        <v>845</v>
      </c>
      <c r="JJ66" s="14">
        <f t="shared" si="97"/>
        <v>12475</v>
      </c>
      <c r="JK66" s="14">
        <f t="shared" si="98"/>
        <v>29880</v>
      </c>
    </row>
    <row r="67" spans="31:271" ht="16.5" x14ac:dyDescent="0.2">
      <c r="AE67" s="13">
        <v>63</v>
      </c>
      <c r="AF67" s="13">
        <f t="shared" si="31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142</v>
      </c>
      <c r="AM67" s="14">
        <v>1</v>
      </c>
      <c r="AN67" s="14">
        <f t="shared" si="5"/>
        <v>3</v>
      </c>
      <c r="AO67" s="14">
        <f>INDEX(属性投放!$DF$6:$DF$85,(卡牌属性!AG67-2)*20+卡牌属性!AN67)</f>
        <v>365</v>
      </c>
      <c r="AP67" s="14">
        <f t="shared" si="148"/>
        <v>365</v>
      </c>
      <c r="AQ67" s="14">
        <f t="shared" si="148"/>
        <v>365</v>
      </c>
      <c r="AR67" s="14">
        <f t="shared" si="148"/>
        <v>365</v>
      </c>
      <c r="AS67" s="14">
        <f t="shared" si="148"/>
        <v>365</v>
      </c>
      <c r="AT67" s="14">
        <f>INDEX(属性投放!$DG$6:$DG$85,(卡牌属性!AG67-2)*20+卡牌属性!AN67)</f>
        <v>109</v>
      </c>
      <c r="AU67" s="14">
        <f t="shared" si="149"/>
        <v>109</v>
      </c>
      <c r="AV67" s="14">
        <f t="shared" si="149"/>
        <v>109</v>
      </c>
      <c r="AW67" s="14">
        <f t="shared" si="149"/>
        <v>109</v>
      </c>
      <c r="AX67" s="14">
        <f t="shared" si="149"/>
        <v>109</v>
      </c>
      <c r="AY67" s="14">
        <f>INDEX(属性投放!$DH$6:$DH$85,(卡牌属性!AG67-2)*20+卡牌属性!AN67)</f>
        <v>1605</v>
      </c>
      <c r="AZ67" s="14">
        <f t="shared" si="150"/>
        <v>1605</v>
      </c>
      <c r="BA67" s="14">
        <f t="shared" si="150"/>
        <v>1605</v>
      </c>
      <c r="BB67" s="14">
        <f t="shared" si="150"/>
        <v>1605</v>
      </c>
      <c r="BC67" s="14">
        <f t="shared" si="150"/>
        <v>1605</v>
      </c>
      <c r="BD67" s="14">
        <f>INDEX(属性投放!$DL$6:$DL$85,(卡牌属性!AG67-2)*20+卡牌属性!AN67)</f>
        <v>22</v>
      </c>
      <c r="BE67" s="14">
        <f t="shared" si="151"/>
        <v>22</v>
      </c>
      <c r="BF67" s="14">
        <f t="shared" si="151"/>
        <v>22</v>
      </c>
      <c r="BG67" s="14">
        <f t="shared" si="151"/>
        <v>22</v>
      </c>
      <c r="BH67" s="14">
        <f t="shared" si="151"/>
        <v>22</v>
      </c>
      <c r="BI67" s="14">
        <f>INDEX(属性投放!$DM$6:$DM$85,(卡牌属性!AG67-2)*20+卡牌属性!AN67)</f>
        <v>11</v>
      </c>
      <c r="BJ67" s="14">
        <f t="shared" si="152"/>
        <v>11</v>
      </c>
      <c r="BK67" s="14">
        <f t="shared" si="152"/>
        <v>11</v>
      </c>
      <c r="BL67" s="14">
        <f t="shared" si="152"/>
        <v>11</v>
      </c>
      <c r="BM67" s="14">
        <f t="shared" si="152"/>
        <v>11</v>
      </c>
      <c r="BN67" s="14">
        <f>INDEX(属性投放!$DN$6:$DN$85,(卡牌属性!AG67-2)*20+卡牌属性!AN67)</f>
        <v>132</v>
      </c>
      <c r="BO67" s="14">
        <f t="shared" si="153"/>
        <v>132</v>
      </c>
      <c r="BP67" s="14">
        <f t="shared" si="153"/>
        <v>132</v>
      </c>
      <c r="BQ67" s="14">
        <f t="shared" si="153"/>
        <v>132</v>
      </c>
      <c r="BR67" s="14">
        <f t="shared" si="153"/>
        <v>132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32"/>
        <v>1102004</v>
      </c>
      <c r="CA67" s="14" t="str">
        <f t="shared" si="33"/>
        <v>唐流雨3突</v>
      </c>
      <c r="CB67" s="25" t="s">
        <v>142</v>
      </c>
      <c r="CC67" s="14">
        <v>2</v>
      </c>
      <c r="CD67" s="14">
        <f t="shared" si="14"/>
        <v>3</v>
      </c>
      <c r="CE67" s="14" t="s">
        <v>21</v>
      </c>
      <c r="CF67" s="14">
        <f>INDEX(属性投放!$AZ$6:$AZ$85,(BY67-2)*20+CD67)</f>
        <v>290</v>
      </c>
      <c r="CG67" s="14" t="s">
        <v>22</v>
      </c>
      <c r="CH67" s="14">
        <f>INDEX(属性投放!$BA$6:$BA$85,(BY67-2)*20+CD67)</f>
        <v>98</v>
      </c>
      <c r="CI67" s="14" t="s">
        <v>510</v>
      </c>
      <c r="CJ67" s="14">
        <f>INDEX(属性投放!$BB$6:$BB$85,(BY67-2)*20+CD67)</f>
        <v>1440</v>
      </c>
      <c r="CK67" s="14" t="s">
        <v>21</v>
      </c>
      <c r="CL67" s="14">
        <f>INDEX(属性投放!$BC$6:$BC$85,(BY67-2)*20+CD67)</f>
        <v>6</v>
      </c>
      <c r="CM67" s="14" t="s">
        <v>22</v>
      </c>
      <c r="CN67" s="14">
        <f>INDEX(属性投放!$BD$6:$BD$85,(BY67-2)*20+CD67)</f>
        <v>3</v>
      </c>
      <c r="CO67" s="14" t="s">
        <v>510</v>
      </c>
      <c r="CP67" s="14">
        <f>INDEX(属性投放!$BE$6:$BE$85,(BY67-2)*20+CD67)</f>
        <v>36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INDEX($O$6:$O$50,CT67)&amp;"-"&amp;INDEX(属性投放!$AB$7:$AB$50,CZ67)&amp;"-魂火-"&amp;DB67</f>
        <v>许褚-众合+2-魂火-2</v>
      </c>
      <c r="CY67" s="25" t="s">
        <v>142</v>
      </c>
      <c r="CZ67" s="14">
        <f>INDEX(属性投放!$AM$7:$AM$58,CU67)</f>
        <v>6</v>
      </c>
      <c r="DA67" s="14" t="s">
        <v>537</v>
      </c>
      <c r="DB67" s="14">
        <f>INDEX(属性投放!$AN$7:$AN$58,CU67)</f>
        <v>2</v>
      </c>
      <c r="DC67" s="14">
        <f t="shared" si="16"/>
        <v>11</v>
      </c>
      <c r="DD67" s="14">
        <f>INDEX(属性投放!$AO$7:$AO$58,DC67)</f>
        <v>45</v>
      </c>
      <c r="DE67" s="14" t="s">
        <v>538</v>
      </c>
      <c r="DF67" s="14">
        <f>INDEX(属性投放!$BK$6:$BK$85,(CV67-2)*20+CZ67)</f>
        <v>50</v>
      </c>
      <c r="DG67" s="14">
        <f>SUMIFS(DF$5:DF67,$CT$5:$CT67,"="&amp;$CT67)</f>
        <v>400</v>
      </c>
      <c r="DH67" s="14" t="s">
        <v>539</v>
      </c>
      <c r="DI67" s="14">
        <f>INDEX(属性投放!$BL$6:$BL$85,(CV67-2)*20+CZ67)</f>
        <v>25</v>
      </c>
      <c r="DJ67" s="14">
        <f>SUMIFS(DI$5:DI67,$CT$5:$CT67,"="&amp;$CT67)</f>
        <v>202</v>
      </c>
      <c r="DK67" s="14" t="s">
        <v>540</v>
      </c>
      <c r="DL67" s="14">
        <f>INDEX(属性投放!$BM$6:$BM$85,(CV67-2)*20+CZ67)</f>
        <v>350</v>
      </c>
      <c r="DM67" s="14">
        <f>SUMIFS(DL$5:DL67,$CT$5:$CT67,"="&amp;$CT67)</f>
        <v>2670</v>
      </c>
      <c r="DR67" s="14">
        <f t="shared" si="17"/>
        <v>1102004</v>
      </c>
      <c r="DS67" s="14" t="str">
        <f t="shared" si="18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19"/>
        <v>2</v>
      </c>
      <c r="DX67" s="14">
        <f t="shared" si="20"/>
        <v>3</v>
      </c>
      <c r="DY67" s="14">
        <f t="shared" si="21"/>
        <v>3</v>
      </c>
      <c r="DZ67" s="14">
        <f>INDEX(属性投放!$AX$6:$AX$85,(卡牌属性!DW67-2)*20+卡牌属性!DX67)</f>
        <v>10</v>
      </c>
      <c r="EA67" s="14">
        <f>INDEX(属性投放!BQ$6:BQ$85,卡牌属性!$DY67)</f>
        <v>50</v>
      </c>
      <c r="EB67" s="14">
        <f>INDEX(属性投放!BR$6:BR$85,卡牌属性!$DY67)</f>
        <v>25</v>
      </c>
      <c r="EC67" s="14">
        <f>INDEX(属性投放!BS$6:BS$85,卡牌属性!$DY67)</f>
        <v>300</v>
      </c>
      <c r="ED67" s="14">
        <f t="shared" si="154"/>
        <v>284</v>
      </c>
      <c r="EE67" s="14">
        <f t="shared" si="155"/>
        <v>337</v>
      </c>
      <c r="EF67" s="14">
        <f t="shared" si="156"/>
        <v>390</v>
      </c>
      <c r="EG67" s="14">
        <f t="shared" si="157"/>
        <v>390</v>
      </c>
      <c r="EH67" s="14">
        <f t="shared" si="158"/>
        <v>453</v>
      </c>
      <c r="EI67" s="14">
        <f t="shared" si="159"/>
        <v>71</v>
      </c>
      <c r="EJ67" s="14">
        <f t="shared" si="160"/>
        <v>80</v>
      </c>
      <c r="EK67" s="14">
        <f t="shared" si="161"/>
        <v>80</v>
      </c>
      <c r="EL67" s="14">
        <f t="shared" si="162"/>
        <v>100</v>
      </c>
      <c r="EM67" s="14">
        <f t="shared" si="163"/>
        <v>124</v>
      </c>
      <c r="EN67" s="14">
        <f t="shared" si="164"/>
        <v>1110</v>
      </c>
      <c r="EO67" s="14">
        <f t="shared" si="165"/>
        <v>1354</v>
      </c>
      <c r="EP67" s="14">
        <f t="shared" si="166"/>
        <v>1354</v>
      </c>
      <c r="EQ67" s="14">
        <f t="shared" si="167"/>
        <v>1622</v>
      </c>
      <c r="ER67" s="14">
        <f t="shared" si="168"/>
        <v>1940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36</v>
      </c>
      <c r="FD67" s="14">
        <f>INDEX(属性偏向!$U$4:$U$243,(卡牌属性!$DV67-1+FD$3)*20+卡牌属性!$DX67)</f>
        <v>48</v>
      </c>
      <c r="FE67" s="14">
        <f>INDEX(属性偏向!$U$4:$U$243,(卡牌属性!$DV67-1+FE$3)*20+卡牌属性!$DX67)</f>
        <v>48</v>
      </c>
      <c r="FF67" s="14">
        <f>INDEX(属性偏向!$U$4:$U$243,(卡牌属性!$DV67-1+FF$3)*20+卡牌属性!$DX67)</f>
        <v>60</v>
      </c>
      <c r="FG67" s="14">
        <f>INDEX(属性偏向!$U$4:$U$243,(卡牌属性!$DV67-1+FG$3)*20+卡牌属性!$DX67)</f>
        <v>72</v>
      </c>
      <c r="FH67" s="14">
        <f>INDEX(属性投放!$BQ$6:$BQ$85,(卡牌属性!$DW67-2)*20+卡牌属性!$DX67)</f>
        <v>50</v>
      </c>
      <c r="FI67" s="14">
        <f>INDEX(属性投放!$BQ$6:$BQ$85,(卡牌属性!$DW67-2)*20+卡牌属性!$DX67)</f>
        <v>50</v>
      </c>
      <c r="FJ67" s="14">
        <f>INDEX(属性投放!$BQ$6:$BQ$85,(卡牌属性!$DW67-2)*20+卡牌属性!$DX67)</f>
        <v>50</v>
      </c>
      <c r="FK67" s="14">
        <f>INDEX(属性投放!$BQ$6:$BQ$85,(卡牌属性!$DW67-2)*20+卡牌属性!$DX67)</f>
        <v>50</v>
      </c>
      <c r="FL67" s="14">
        <f>INDEX(属性投放!$BQ$6:$BQ$85,(卡牌属性!$DW67-2)*20+卡牌属性!$DX67)</f>
        <v>50</v>
      </c>
      <c r="FM67" s="14">
        <f>INDEX(属性投放!$BR$6:$BR$85,(卡牌属性!$DW67-2)*20+卡牌属性!$DX67)</f>
        <v>25</v>
      </c>
      <c r="FN67" s="14">
        <f>INDEX(属性投放!$BR$6:$BR$85,(卡牌属性!$DW67-2)*20+卡牌属性!$DX67)</f>
        <v>25</v>
      </c>
      <c r="FO67" s="14">
        <f>INDEX(属性投放!$BR$6:$BR$85,(卡牌属性!$DW67-2)*20+卡牌属性!$DX67)</f>
        <v>25</v>
      </c>
      <c r="FP67" s="14">
        <f>INDEX(属性投放!$BR$6:$BR$85,(卡牌属性!$DW67-2)*20+卡牌属性!$DX67)</f>
        <v>25</v>
      </c>
      <c r="FQ67" s="14">
        <f>INDEX(属性投放!$BR$6:$BR$85,(卡牌属性!$DW67-2)*20+卡牌属性!$DX67)</f>
        <v>25</v>
      </c>
      <c r="FR67" s="14">
        <f>INDEX(属性投放!$BS$6:$BS$85,(卡牌属性!$DW67-2)*20+卡牌属性!$DX67)</f>
        <v>300</v>
      </c>
      <c r="FS67" s="14">
        <f>INDEX(属性投放!$BS$6:$BS$85,(卡牌属性!$DW67-2)*20+卡牌属性!$DX67)</f>
        <v>300</v>
      </c>
      <c r="FT67" s="14">
        <f>INDEX(属性投放!$BS$6:$BS$85,(卡牌属性!$DW67-2)*20+卡牌属性!$DX67)</f>
        <v>300</v>
      </c>
      <c r="FU67" s="14">
        <f>INDEX(属性投放!$BS$6:$BS$85,(卡牌属性!$DW67-2)*20+卡牌属性!$DX67)</f>
        <v>300</v>
      </c>
      <c r="FV67" s="14">
        <f>INDEX(属性投放!$BS$6:$BS$85,(卡牌属性!$DW67-2)*20+卡牌属性!$DX67)</f>
        <v>300</v>
      </c>
      <c r="FZ67" s="13">
        <v>63</v>
      </c>
      <c r="GA67" s="13">
        <f t="shared" si="121"/>
        <v>13</v>
      </c>
      <c r="GB67" s="14">
        <f t="shared" si="56"/>
        <v>1102013</v>
      </c>
      <c r="GC67" s="14" t="s">
        <v>1187</v>
      </c>
      <c r="GD67" s="14">
        <f t="shared" si="122"/>
        <v>3</v>
      </c>
      <c r="GE67" s="14" t="str">
        <f t="shared" si="123"/>
        <v>塞伯罗斯-3星</v>
      </c>
      <c r="GF67" s="14">
        <f>INDEX(Y$6:Y$36,$GA67)+INDEX(属性偏向!Y$4:Y$8,卡牌属性!$GD67)</f>
        <v>4</v>
      </c>
      <c r="GG67" s="14" t="str">
        <f>INDEX(属性评价,卡牌属性!GF67)</f>
        <v>C+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6</v>
      </c>
      <c r="GK67" s="14" t="str">
        <f>INDEX(属性评价,卡牌属性!GJ67)</f>
        <v>B+</v>
      </c>
      <c r="GN67" s="13">
        <v>63</v>
      </c>
      <c r="GO67" s="13">
        <f t="shared" si="124"/>
        <v>13</v>
      </c>
      <c r="GP67" s="14">
        <f t="shared" si="57"/>
        <v>1101013</v>
      </c>
      <c r="GQ67" s="14" t="s">
        <v>1187</v>
      </c>
      <c r="GR67" s="14">
        <f t="shared" si="125"/>
        <v>3</v>
      </c>
      <c r="GS67" s="14" t="str">
        <f t="shared" si="126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MATCH(HC67,属性投放!$AO$6:$AO$58,1)-1</f>
        <v>18</v>
      </c>
      <c r="HF67" s="13">
        <f>MATCH(HC67-1,属性投放!$AE$6:$AE$26,1)</f>
        <v>9</v>
      </c>
      <c r="HG67" s="13" t="str">
        <f>INDEX(属性投放!$AB$7:$AB$26,卡牌属性!HF67)</f>
        <v>叫唤+2</v>
      </c>
      <c r="HH67" s="14">
        <f t="shared" si="58"/>
        <v>2063</v>
      </c>
      <c r="HI67" s="14">
        <f t="shared" si="59"/>
        <v>828</v>
      </c>
      <c r="HJ67" s="14">
        <f t="shared" si="60"/>
        <v>11522</v>
      </c>
      <c r="HK67" s="14">
        <f t="shared" si="61"/>
        <v>25</v>
      </c>
      <c r="HL67" s="14">
        <f t="shared" si="62"/>
        <v>8</v>
      </c>
      <c r="HM67" s="14">
        <f t="shared" si="63"/>
        <v>128</v>
      </c>
      <c r="HN67" s="14">
        <f>HH67+HK67*($HC67-INDEX(属性投放!$AE$6:$AE$26,卡牌属性!$HF67))</f>
        <v>2213</v>
      </c>
      <c r="HO67" s="14">
        <f>HI67+HL67*($HC67-INDEX(属性投放!$AE$6:$AE$26,卡牌属性!$HF67))</f>
        <v>876</v>
      </c>
      <c r="HP67" s="14">
        <f>HJ67+HM67*($HC67-INDEX(属性投放!$AE$6:$AE$26,卡牌属性!$HF67))</f>
        <v>12290</v>
      </c>
      <c r="HQ67" s="14">
        <f t="shared" si="64"/>
        <v>1180</v>
      </c>
      <c r="HR67" s="14">
        <f t="shared" si="65"/>
        <v>595</v>
      </c>
      <c r="HS67" s="14">
        <f t="shared" si="66"/>
        <v>8810</v>
      </c>
      <c r="HT67" s="14">
        <f>IF(COUNTIF(属性投放!$AO$7:$AO$58,"="&amp;卡牌属性!HC67)&gt;0,卡牌属性!HE67,0)</f>
        <v>18</v>
      </c>
      <c r="HU67" s="14">
        <f t="shared" si="67"/>
        <v>115</v>
      </c>
      <c r="HV67" s="14">
        <f t="shared" si="68"/>
        <v>58</v>
      </c>
      <c r="HW67" s="14">
        <f t="shared" si="69"/>
        <v>920</v>
      </c>
      <c r="HX67" s="14">
        <f>IF(COUNTIF(属性投放!$AE$6:$AE$26,"="&amp;卡牌属性!HC67)&gt;0,卡牌属性!HF67,0)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25</v>
      </c>
      <c r="IC67" s="14">
        <f t="shared" si="74"/>
        <v>8</v>
      </c>
      <c r="ID67" s="14">
        <f t="shared" si="75"/>
        <v>128</v>
      </c>
      <c r="IE67" s="14">
        <f t="shared" si="76"/>
        <v>3393</v>
      </c>
      <c r="IF67" s="14">
        <f t="shared" si="77"/>
        <v>1471</v>
      </c>
      <c r="IG67" s="14">
        <f t="shared" si="78"/>
        <v>21100</v>
      </c>
      <c r="IH67" s="14">
        <f t="shared" si="79"/>
        <v>538</v>
      </c>
      <c r="II67" s="14">
        <f t="shared" si="80"/>
        <v>3230</v>
      </c>
      <c r="IJ67" s="14">
        <f t="shared" si="81"/>
        <v>0</v>
      </c>
      <c r="IK67" s="14">
        <f t="shared" si="82"/>
        <v>84450</v>
      </c>
      <c r="IL67" s="17">
        <f t="shared" si="83"/>
        <v>6.3706335109532265E-3</v>
      </c>
      <c r="IM67" s="17">
        <f t="shared" si="84"/>
        <v>3.8247483718176434E-2</v>
      </c>
      <c r="IN67" s="17">
        <f t="shared" si="85"/>
        <v>0</v>
      </c>
      <c r="IO67" s="23">
        <f>SUM(IH$5:IH67)</f>
        <v>26330</v>
      </c>
      <c r="IP67" s="14">
        <f>SUM(II$5:II67)</f>
        <v>32510</v>
      </c>
      <c r="IQ67" s="14">
        <f>SUM(IJ$5:IJ67)</f>
        <v>18930</v>
      </c>
      <c r="IR67" s="17">
        <f t="shared" si="86"/>
        <v>0.31178211959739494</v>
      </c>
      <c r="IS67" s="17">
        <f t="shared" si="87"/>
        <v>0.38496151568975723</v>
      </c>
      <c r="IT67" s="17">
        <f t="shared" si="88"/>
        <v>0.22415630550621671</v>
      </c>
      <c r="IW67" s="13">
        <v>63</v>
      </c>
      <c r="IX67" s="14">
        <f>MATCH(IW67-1,属性投放!$T$6:$T$66,1)</f>
        <v>6</v>
      </c>
      <c r="IY67" s="14">
        <f>MATCH(IW67-1,属性投放!$AD$7:$AD$26,1)</f>
        <v>8</v>
      </c>
      <c r="IZ67" s="14" t="str">
        <f>INDEX(属性投放!$AB$7:$AB$26,IY67)</f>
        <v>叫唤+1</v>
      </c>
      <c r="JA67" s="14">
        <f t="shared" si="89"/>
        <v>1179</v>
      </c>
      <c r="JB67" s="14">
        <f t="shared" si="90"/>
        <v>539</v>
      </c>
      <c r="JC67" s="14">
        <f t="shared" si="91"/>
        <v>7613</v>
      </c>
      <c r="JD67" s="14">
        <f t="shared" si="92"/>
        <v>36</v>
      </c>
      <c r="JE67" s="14">
        <f t="shared" si="93"/>
        <v>18</v>
      </c>
      <c r="JF67" s="14">
        <f t="shared" si="94"/>
        <v>286</v>
      </c>
      <c r="JG67" s="14">
        <f>INDEX(属性投放!$DC$6:$DC$85,卡牌属性!IY67)</f>
        <v>45</v>
      </c>
      <c r="JH67" s="14">
        <f t="shared" si="95"/>
        <v>1827</v>
      </c>
      <c r="JI67" s="14">
        <f t="shared" si="96"/>
        <v>863</v>
      </c>
      <c r="JJ67" s="14">
        <f t="shared" si="97"/>
        <v>12761</v>
      </c>
      <c r="JK67" s="14">
        <f t="shared" si="98"/>
        <v>30526</v>
      </c>
    </row>
    <row r="68" spans="31:271" ht="16.5" x14ac:dyDescent="0.2">
      <c r="AE68" s="13">
        <v>64</v>
      </c>
      <c r="AF68" s="13">
        <f t="shared" si="31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142</v>
      </c>
      <c r="AM68" s="14">
        <v>1</v>
      </c>
      <c r="AN68" s="14">
        <f t="shared" si="5"/>
        <v>4</v>
      </c>
      <c r="AO68" s="14">
        <f>INDEX(属性投放!$DF$6:$DF$85,(卡牌属性!AG68-2)*20+卡牌属性!AN68)</f>
        <v>640</v>
      </c>
      <c r="AP68" s="14">
        <f t="shared" si="148"/>
        <v>640</v>
      </c>
      <c r="AQ68" s="14">
        <f t="shared" si="148"/>
        <v>640</v>
      </c>
      <c r="AR68" s="14">
        <f t="shared" si="148"/>
        <v>640</v>
      </c>
      <c r="AS68" s="14">
        <f t="shared" si="148"/>
        <v>640</v>
      </c>
      <c r="AT68" s="14">
        <f>INDEX(属性投放!$DG$6:$DG$85,(卡牌属性!AG68-2)*20+卡牌属性!AN68)</f>
        <v>248</v>
      </c>
      <c r="AU68" s="14">
        <f t="shared" si="149"/>
        <v>248</v>
      </c>
      <c r="AV68" s="14">
        <f t="shared" si="149"/>
        <v>248</v>
      </c>
      <c r="AW68" s="14">
        <f t="shared" si="149"/>
        <v>248</v>
      </c>
      <c r="AX68" s="14">
        <f t="shared" si="149"/>
        <v>248</v>
      </c>
      <c r="AY68" s="14">
        <f>INDEX(属性投放!$DH$6:$DH$85,(卡牌属性!AG68-2)*20+卡牌属性!AN68)</f>
        <v>3255</v>
      </c>
      <c r="AZ68" s="14">
        <f t="shared" si="150"/>
        <v>3255</v>
      </c>
      <c r="BA68" s="14">
        <f t="shared" si="150"/>
        <v>3255</v>
      </c>
      <c r="BB68" s="14">
        <f t="shared" si="150"/>
        <v>3255</v>
      </c>
      <c r="BC68" s="14">
        <f t="shared" si="150"/>
        <v>3255</v>
      </c>
      <c r="BD68" s="14">
        <f>INDEX(属性投放!$DL$6:$DL$85,(卡牌属性!AG68-2)*20+卡牌属性!AN68)</f>
        <v>40</v>
      </c>
      <c r="BE68" s="14">
        <f t="shared" si="151"/>
        <v>40</v>
      </c>
      <c r="BF68" s="14">
        <f t="shared" si="151"/>
        <v>40</v>
      </c>
      <c r="BG68" s="14">
        <f t="shared" si="151"/>
        <v>40</v>
      </c>
      <c r="BH68" s="14">
        <f t="shared" si="151"/>
        <v>40</v>
      </c>
      <c r="BI68" s="14">
        <f>INDEX(属性投放!$DM$6:$DM$85,(卡牌属性!AG68-2)*20+卡牌属性!AN68)</f>
        <v>20</v>
      </c>
      <c r="BJ68" s="14">
        <f t="shared" si="152"/>
        <v>20</v>
      </c>
      <c r="BK68" s="14">
        <f t="shared" si="152"/>
        <v>20</v>
      </c>
      <c r="BL68" s="14">
        <f t="shared" si="152"/>
        <v>20</v>
      </c>
      <c r="BM68" s="14">
        <f t="shared" si="152"/>
        <v>20</v>
      </c>
      <c r="BN68" s="14">
        <f>INDEX(属性投放!$DN$6:$DN$85,(卡牌属性!AG68-2)*20+卡牌属性!AN68)</f>
        <v>279</v>
      </c>
      <c r="BO68" s="14">
        <f t="shared" si="153"/>
        <v>279</v>
      </c>
      <c r="BP68" s="14">
        <f t="shared" si="153"/>
        <v>279</v>
      </c>
      <c r="BQ68" s="14">
        <f t="shared" si="153"/>
        <v>279</v>
      </c>
      <c r="BR68" s="14">
        <f t="shared" si="153"/>
        <v>279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32"/>
        <v>1102004</v>
      </c>
      <c r="CA68" s="14" t="str">
        <f t="shared" si="33"/>
        <v>唐流雨4突</v>
      </c>
      <c r="CB68" s="25" t="s">
        <v>142</v>
      </c>
      <c r="CC68" s="14">
        <v>2</v>
      </c>
      <c r="CD68" s="14">
        <f t="shared" si="14"/>
        <v>4</v>
      </c>
      <c r="CE68" s="14" t="s">
        <v>21</v>
      </c>
      <c r="CF68" s="14">
        <f>INDEX(属性投放!$AZ$6:$AZ$85,(BY68-2)*20+CD68)</f>
        <v>450</v>
      </c>
      <c r="CG68" s="14" t="s">
        <v>22</v>
      </c>
      <c r="CH68" s="14">
        <f>INDEX(属性投放!$BA$6:$BA$85,(BY68-2)*20+CD68)</f>
        <v>179</v>
      </c>
      <c r="CI68" s="14" t="s">
        <v>510</v>
      </c>
      <c r="CJ68" s="14">
        <f>INDEX(属性投放!$BB$6:$BB$85,(BY68-2)*20+CD68)</f>
        <v>2400</v>
      </c>
      <c r="CK68" s="14" t="s">
        <v>21</v>
      </c>
      <c r="CL68" s="14">
        <f>INDEX(属性投放!$BC$6:$BC$85,(BY68-2)*20+CD68)</f>
        <v>8</v>
      </c>
      <c r="CM68" s="14" t="s">
        <v>22</v>
      </c>
      <c r="CN68" s="14">
        <f>INDEX(属性投放!$BD$6:$BD$85,(BY68-2)*20+CD68)</f>
        <v>4</v>
      </c>
      <c r="CO68" s="14" t="s">
        <v>510</v>
      </c>
      <c r="CP68" s="14">
        <f>INDEX(属性投放!$BE$6:$BE$85,(BY68-2)*20+CD68)</f>
        <v>56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INDEX($O$6:$O$50,CT68)&amp;"-"&amp;INDEX(属性投放!$AB$7:$AB$50,CZ68)&amp;"-魂火-"&amp;DB68</f>
        <v>许褚-叫唤-魂火-1</v>
      </c>
      <c r="CY68" s="25" t="s">
        <v>142</v>
      </c>
      <c r="CZ68" s="14">
        <f>INDEX(属性投放!$AM$7:$AM$58,CU68)</f>
        <v>7</v>
      </c>
      <c r="DA68" s="14" t="s">
        <v>537</v>
      </c>
      <c r="DB68" s="14">
        <f>INDEX(属性投放!$AN$7:$AN$58,CU68)</f>
        <v>1</v>
      </c>
      <c r="DC68" s="14">
        <f t="shared" si="16"/>
        <v>12</v>
      </c>
      <c r="DD68" s="14">
        <f>INDEX(属性投放!$AO$7:$AO$58,DC68)</f>
        <v>48</v>
      </c>
      <c r="DE68" s="14" t="s">
        <v>538</v>
      </c>
      <c r="DF68" s="14">
        <f>INDEX(属性投放!$BK$6:$BK$85,(CV68-2)*20+CZ68)</f>
        <v>70</v>
      </c>
      <c r="DG68" s="14">
        <f>SUMIFS(DF$5:DF68,$CT$5:$CT68,"="&amp;$CT68)</f>
        <v>470</v>
      </c>
      <c r="DH68" s="14" t="s">
        <v>539</v>
      </c>
      <c r="DI68" s="14">
        <f>INDEX(属性投放!$BL$6:$BL$85,(CV68-2)*20+CZ68)</f>
        <v>35</v>
      </c>
      <c r="DJ68" s="14">
        <f>SUMIFS(DI$5:DI68,$CT$5:$CT68,"="&amp;$CT68)</f>
        <v>237</v>
      </c>
      <c r="DK68" s="14" t="s">
        <v>540</v>
      </c>
      <c r="DL68" s="14">
        <f>INDEX(属性投放!$BM$6:$BM$85,(CV68-2)*20+CZ68)</f>
        <v>560</v>
      </c>
      <c r="DM68" s="14">
        <f>SUMIFS(DL$5:DL68,$CT$5:$CT68,"="&amp;$CT68)</f>
        <v>3230</v>
      </c>
      <c r="DR68" s="14">
        <f t="shared" si="17"/>
        <v>1102004</v>
      </c>
      <c r="DS68" s="14" t="str">
        <f t="shared" si="18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19"/>
        <v>2</v>
      </c>
      <c r="DX68" s="14">
        <f t="shared" si="20"/>
        <v>4</v>
      </c>
      <c r="DY68" s="14">
        <f t="shared" si="21"/>
        <v>4</v>
      </c>
      <c r="DZ68" s="14">
        <f>INDEX(属性投放!$AX$6:$AX$85,(卡牌属性!DW68-2)*20+卡牌属性!DX68)</f>
        <v>10</v>
      </c>
      <c r="EA68" s="14">
        <f>INDEX(属性投放!BQ$6:BQ$85,卡牌属性!$DY68)</f>
        <v>60</v>
      </c>
      <c r="EB68" s="14">
        <f>INDEX(属性投放!BR$6:BR$85,卡牌属性!$DY68)</f>
        <v>30</v>
      </c>
      <c r="EC68" s="14">
        <f>INDEX(属性投放!BS$6:BS$85,卡牌属性!$DY68)</f>
        <v>420</v>
      </c>
      <c r="ED68" s="14">
        <f t="shared" si="154"/>
        <v>414</v>
      </c>
      <c r="EE68" s="14">
        <f t="shared" si="155"/>
        <v>487</v>
      </c>
      <c r="EF68" s="14">
        <f t="shared" si="156"/>
        <v>560</v>
      </c>
      <c r="EG68" s="14">
        <f t="shared" si="157"/>
        <v>560</v>
      </c>
      <c r="EH68" s="14">
        <f t="shared" si="158"/>
        <v>653</v>
      </c>
      <c r="EI68" s="14">
        <f t="shared" si="159"/>
        <v>126</v>
      </c>
      <c r="EJ68" s="14">
        <f t="shared" si="160"/>
        <v>135</v>
      </c>
      <c r="EK68" s="14">
        <f t="shared" si="161"/>
        <v>135</v>
      </c>
      <c r="EL68" s="14">
        <f t="shared" si="162"/>
        <v>165</v>
      </c>
      <c r="EM68" s="14">
        <f t="shared" si="163"/>
        <v>199</v>
      </c>
      <c r="EN68" s="14">
        <f t="shared" si="164"/>
        <v>1770</v>
      </c>
      <c r="EO68" s="14">
        <f t="shared" si="165"/>
        <v>2134</v>
      </c>
      <c r="EP68" s="14">
        <f t="shared" si="166"/>
        <v>2134</v>
      </c>
      <c r="EQ68" s="14">
        <f t="shared" si="167"/>
        <v>2522</v>
      </c>
      <c r="ER68" s="14">
        <f t="shared" si="168"/>
        <v>2960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56</v>
      </c>
      <c r="FD68" s="14">
        <f>INDEX(属性偏向!$U$4:$U$243,(卡牌属性!$DV68-1+FD$3)*20+卡牌属性!$DX68)</f>
        <v>70</v>
      </c>
      <c r="FE68" s="14">
        <f>INDEX(属性偏向!$U$4:$U$243,(卡牌属性!$DV68-1+FE$3)*20+卡牌属性!$DX68)</f>
        <v>70</v>
      </c>
      <c r="FF68" s="14">
        <f>INDEX(属性偏向!$U$4:$U$243,(卡牌属性!$DV68-1+FF$3)*20+卡牌属性!$DX68)</f>
        <v>84</v>
      </c>
      <c r="FG68" s="14">
        <f>INDEX(属性偏向!$U$4:$U$243,(卡牌属性!$DV68-1+FG$3)*20+卡牌属性!$DX68)</f>
        <v>91</v>
      </c>
      <c r="FH68" s="14">
        <f>INDEX(属性投放!$BQ$6:$BQ$85,(卡牌属性!$DW68-2)*20+卡牌属性!$DX68)</f>
        <v>60</v>
      </c>
      <c r="FI68" s="14">
        <f>INDEX(属性投放!$BQ$6:$BQ$85,(卡牌属性!$DW68-2)*20+卡牌属性!$DX68)</f>
        <v>60</v>
      </c>
      <c r="FJ68" s="14">
        <f>INDEX(属性投放!$BQ$6:$BQ$85,(卡牌属性!$DW68-2)*20+卡牌属性!$DX68)</f>
        <v>60</v>
      </c>
      <c r="FK68" s="14">
        <f>INDEX(属性投放!$BQ$6:$BQ$85,(卡牌属性!$DW68-2)*20+卡牌属性!$DX68)</f>
        <v>60</v>
      </c>
      <c r="FL68" s="14">
        <f>INDEX(属性投放!$BQ$6:$BQ$85,(卡牌属性!$DW68-2)*20+卡牌属性!$DX68)</f>
        <v>60</v>
      </c>
      <c r="FM68" s="14">
        <f>INDEX(属性投放!$BR$6:$BR$85,(卡牌属性!$DW68-2)*20+卡牌属性!$DX68)</f>
        <v>30</v>
      </c>
      <c r="FN68" s="14">
        <f>INDEX(属性投放!$BR$6:$BR$85,(卡牌属性!$DW68-2)*20+卡牌属性!$DX68)</f>
        <v>30</v>
      </c>
      <c r="FO68" s="14">
        <f>INDEX(属性投放!$BR$6:$BR$85,(卡牌属性!$DW68-2)*20+卡牌属性!$DX68)</f>
        <v>30</v>
      </c>
      <c r="FP68" s="14">
        <f>INDEX(属性投放!$BR$6:$BR$85,(卡牌属性!$DW68-2)*20+卡牌属性!$DX68)</f>
        <v>30</v>
      </c>
      <c r="FQ68" s="14">
        <f>INDEX(属性投放!$BR$6:$BR$85,(卡牌属性!$DW68-2)*20+卡牌属性!$DX68)</f>
        <v>30</v>
      </c>
      <c r="FR68" s="14">
        <f>INDEX(属性投放!$BS$6:$BS$85,(卡牌属性!$DW68-2)*20+卡牌属性!$DX68)</f>
        <v>420</v>
      </c>
      <c r="FS68" s="14">
        <f>INDEX(属性投放!$BS$6:$BS$85,(卡牌属性!$DW68-2)*20+卡牌属性!$DX68)</f>
        <v>420</v>
      </c>
      <c r="FT68" s="14">
        <f>INDEX(属性投放!$BS$6:$BS$85,(卡牌属性!$DW68-2)*20+卡牌属性!$DX68)</f>
        <v>420</v>
      </c>
      <c r="FU68" s="14">
        <f>INDEX(属性投放!$BS$6:$BS$85,(卡牌属性!$DW68-2)*20+卡牌属性!$DX68)</f>
        <v>420</v>
      </c>
      <c r="FV68" s="14">
        <f>INDEX(属性投放!$BS$6:$BS$85,(卡牌属性!$DW68-2)*20+卡牌属性!$DX68)</f>
        <v>420</v>
      </c>
      <c r="FZ68" s="13">
        <v>64</v>
      </c>
      <c r="GA68" s="13">
        <f t="shared" si="121"/>
        <v>13</v>
      </c>
      <c r="GB68" s="14">
        <f t="shared" si="56"/>
        <v>1102013</v>
      </c>
      <c r="GC68" s="14" t="s">
        <v>1187</v>
      </c>
      <c r="GD68" s="14">
        <f t="shared" si="122"/>
        <v>4</v>
      </c>
      <c r="GE68" s="14" t="str">
        <f t="shared" si="123"/>
        <v>塞伯罗斯-4星</v>
      </c>
      <c r="GF68" s="14">
        <f>INDEX(Y$6:Y$36,$GA68)+INDEX(属性偏向!Y$4:Y$8,卡牌属性!$GD68)</f>
        <v>4</v>
      </c>
      <c r="GG68" s="14" t="str">
        <f>INDEX(属性评价,卡牌属性!GF68)</f>
        <v>C+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7</v>
      </c>
      <c r="GK68" s="14" t="str">
        <f>INDEX(属性评价,卡牌属性!GJ68)</f>
        <v>A</v>
      </c>
      <c r="GN68" s="13">
        <v>64</v>
      </c>
      <c r="GO68" s="13">
        <f t="shared" si="124"/>
        <v>13</v>
      </c>
      <c r="GP68" s="14">
        <f t="shared" si="57"/>
        <v>1101013</v>
      </c>
      <c r="GQ68" s="14" t="s">
        <v>1187</v>
      </c>
      <c r="GR68" s="14">
        <f t="shared" si="125"/>
        <v>4</v>
      </c>
      <c r="GS68" s="14" t="str">
        <f t="shared" si="126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MATCH(HC68,属性投放!$AO$6:$AO$58,1)-1</f>
        <v>18</v>
      </c>
      <c r="HF68" s="13">
        <f>MATCH(HC68-1,属性投放!$AE$6:$AE$26,1)</f>
        <v>9</v>
      </c>
      <c r="HG68" s="13" t="str">
        <f>INDEX(属性投放!$AB$7:$AB$26,卡牌属性!HF68)</f>
        <v>叫唤+2</v>
      </c>
      <c r="HH68" s="14">
        <f t="shared" si="58"/>
        <v>2063</v>
      </c>
      <c r="HI68" s="14">
        <f t="shared" si="59"/>
        <v>828</v>
      </c>
      <c r="HJ68" s="14">
        <f t="shared" si="60"/>
        <v>11522</v>
      </c>
      <c r="HK68" s="14">
        <f t="shared" si="61"/>
        <v>25</v>
      </c>
      <c r="HL68" s="14">
        <f t="shared" si="62"/>
        <v>8</v>
      </c>
      <c r="HM68" s="14">
        <f t="shared" si="63"/>
        <v>128</v>
      </c>
      <c r="HN68" s="14">
        <f>HH68+HK68*($HC68-INDEX(属性投放!$AE$6:$AE$26,卡牌属性!$HF68))</f>
        <v>2238</v>
      </c>
      <c r="HO68" s="14">
        <f>HI68+HL68*($HC68-INDEX(属性投放!$AE$6:$AE$26,卡牌属性!$HF68))</f>
        <v>884</v>
      </c>
      <c r="HP68" s="14">
        <f>HJ68+HM68*($HC68-INDEX(属性投放!$AE$6:$AE$26,卡牌属性!$HF68))</f>
        <v>12418</v>
      </c>
      <c r="HQ68" s="14">
        <f t="shared" si="64"/>
        <v>1180</v>
      </c>
      <c r="HR68" s="14">
        <f t="shared" si="65"/>
        <v>595</v>
      </c>
      <c r="HS68" s="14">
        <f t="shared" si="66"/>
        <v>8810</v>
      </c>
      <c r="HT68" s="14">
        <f>IF(COUNTIF(属性投放!$AO$7:$AO$58,"="&amp;卡牌属性!HC68)&gt;0,卡牌属性!HE68,0)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IF(COUNTIF(属性投放!$AE$6:$AE$26,"="&amp;卡牌属性!HC68)&gt;0,卡牌属性!HF68,0)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25</v>
      </c>
      <c r="IC68" s="14">
        <f t="shared" si="74"/>
        <v>8</v>
      </c>
      <c r="ID68" s="14">
        <f t="shared" si="75"/>
        <v>128</v>
      </c>
      <c r="IE68" s="14">
        <f t="shared" si="76"/>
        <v>3418</v>
      </c>
      <c r="IF68" s="14">
        <f t="shared" si="77"/>
        <v>1479</v>
      </c>
      <c r="IG68" s="14">
        <f t="shared" si="78"/>
        <v>21228</v>
      </c>
      <c r="IH68" s="14">
        <f t="shared" si="79"/>
        <v>538</v>
      </c>
      <c r="II68" s="14">
        <f t="shared" si="80"/>
        <v>0</v>
      </c>
      <c r="IJ68" s="14">
        <f t="shared" si="81"/>
        <v>0</v>
      </c>
      <c r="IK68" s="14">
        <f t="shared" si="82"/>
        <v>84988</v>
      </c>
      <c r="IL68" s="17">
        <f t="shared" si="83"/>
        <v>6.3303054548877486E-3</v>
      </c>
      <c r="IM68" s="17">
        <f t="shared" si="84"/>
        <v>0</v>
      </c>
      <c r="IN68" s="17">
        <f t="shared" si="85"/>
        <v>0</v>
      </c>
      <c r="IO68" s="23">
        <f>SUM(IH$5:IH68)</f>
        <v>26868</v>
      </c>
      <c r="IP68" s="14">
        <f>SUM(II$5:II68)</f>
        <v>32510</v>
      </c>
      <c r="IQ68" s="14">
        <f>SUM(IJ$5:IJ68)</f>
        <v>18930</v>
      </c>
      <c r="IR68" s="17">
        <f t="shared" si="86"/>
        <v>0.31613874899985878</v>
      </c>
      <c r="IS68" s="17">
        <f t="shared" si="87"/>
        <v>0.38252459170706454</v>
      </c>
      <c r="IT68" s="17">
        <f t="shared" si="88"/>
        <v>0.22273732762272322</v>
      </c>
      <c r="IW68" s="13">
        <v>64</v>
      </c>
      <c r="IX68" s="14">
        <f>MATCH(IW68-1,属性投放!$T$6:$T$66,1)</f>
        <v>6</v>
      </c>
      <c r="IY68" s="14">
        <f>MATCH(IW68-1,属性投放!$AD$7:$AD$26,1)</f>
        <v>8</v>
      </c>
      <c r="IZ68" s="14" t="str">
        <f>INDEX(属性投放!$AB$7:$AB$26,IY68)</f>
        <v>叫唤+1</v>
      </c>
      <c r="JA68" s="14">
        <f t="shared" si="89"/>
        <v>1179</v>
      </c>
      <c r="JB68" s="14">
        <f t="shared" si="90"/>
        <v>539</v>
      </c>
      <c r="JC68" s="14">
        <f t="shared" si="91"/>
        <v>7613</v>
      </c>
      <c r="JD68" s="14">
        <f t="shared" si="92"/>
        <v>36</v>
      </c>
      <c r="JE68" s="14">
        <f t="shared" si="93"/>
        <v>18</v>
      </c>
      <c r="JF68" s="14">
        <f t="shared" si="94"/>
        <v>286</v>
      </c>
      <c r="JG68" s="14">
        <f>INDEX(属性投放!$DC$6:$DC$85,卡牌属性!IY68)</f>
        <v>45</v>
      </c>
      <c r="JH68" s="14">
        <f t="shared" si="95"/>
        <v>1863</v>
      </c>
      <c r="JI68" s="14">
        <f t="shared" si="96"/>
        <v>881</v>
      </c>
      <c r="JJ68" s="14">
        <f t="shared" si="97"/>
        <v>13047</v>
      </c>
      <c r="JK68" s="14">
        <f t="shared" si="98"/>
        <v>31172</v>
      </c>
    </row>
    <row r="69" spans="31:271" ht="16.5" x14ac:dyDescent="0.2">
      <c r="AE69" s="13">
        <v>65</v>
      </c>
      <c r="AF69" s="13">
        <f t="shared" si="31"/>
        <v>4</v>
      </c>
      <c r="AG69" s="13">
        <f t="shared" ref="AG69:AG132" si="169">INDEX($D$6:$D$43,AF69)</f>
        <v>4</v>
      </c>
      <c r="AH69" s="13"/>
      <c r="AI69" s="13"/>
      <c r="AJ69" s="14">
        <f t="shared" ref="AJ69:AJ132" si="170">INDEX($A$5:$A$43,AF69+1)</f>
        <v>1101004</v>
      </c>
      <c r="AK69" s="14" t="str">
        <f t="shared" ref="AK69:AK132" si="171">INDEX($B$5:$B$43,MATCH(AJ69,$A$5:$A$43,0))&amp;AN69&amp;"突"</f>
        <v>项昆仑5突</v>
      </c>
      <c r="AL69" s="25" t="s">
        <v>142</v>
      </c>
      <c r="AM69" s="14">
        <v>1</v>
      </c>
      <c r="AN69" s="14">
        <f t="shared" ref="AN69:AN132" si="172">AE69-INDEX($F$5:$F$43,AF69)</f>
        <v>5</v>
      </c>
      <c r="AO69" s="14">
        <f>INDEX(属性投放!$DF$6:$DF$85,(卡牌属性!AG69-2)*20+卡牌属性!AN69)</f>
        <v>754</v>
      </c>
      <c r="AP69" s="14">
        <f t="shared" si="148"/>
        <v>754</v>
      </c>
      <c r="AQ69" s="14">
        <f t="shared" si="148"/>
        <v>754</v>
      </c>
      <c r="AR69" s="14">
        <f t="shared" si="148"/>
        <v>754</v>
      </c>
      <c r="AS69" s="14">
        <f t="shared" si="148"/>
        <v>754</v>
      </c>
      <c r="AT69" s="14">
        <f>INDEX(属性投放!$DG$6:$DG$85,(卡牌属性!AG69-2)*20+卡牌属性!AN69)</f>
        <v>305</v>
      </c>
      <c r="AU69" s="14">
        <f t="shared" si="149"/>
        <v>305</v>
      </c>
      <c r="AV69" s="14">
        <f t="shared" si="149"/>
        <v>305</v>
      </c>
      <c r="AW69" s="14">
        <f t="shared" si="149"/>
        <v>305</v>
      </c>
      <c r="AX69" s="14">
        <f t="shared" si="149"/>
        <v>305</v>
      </c>
      <c r="AY69" s="14">
        <f>INDEX(属性投放!$DH$6:$DH$85,(卡牌属性!AG69-2)*20+卡牌属性!AN69)</f>
        <v>4053</v>
      </c>
      <c r="AZ69" s="14">
        <f t="shared" si="150"/>
        <v>4053</v>
      </c>
      <c r="BA69" s="14">
        <f t="shared" si="150"/>
        <v>4053</v>
      </c>
      <c r="BB69" s="14">
        <f t="shared" si="150"/>
        <v>4053</v>
      </c>
      <c r="BC69" s="14">
        <f t="shared" si="150"/>
        <v>4053</v>
      </c>
      <c r="BD69" s="14">
        <f>INDEX(属性投放!$DL$6:$DL$85,(卡牌属性!AG69-2)*20+卡牌属性!AN69)</f>
        <v>40</v>
      </c>
      <c r="BE69" s="14">
        <f t="shared" si="151"/>
        <v>40</v>
      </c>
      <c r="BF69" s="14">
        <f t="shared" si="151"/>
        <v>40</v>
      </c>
      <c r="BG69" s="14">
        <f t="shared" si="151"/>
        <v>40</v>
      </c>
      <c r="BH69" s="14">
        <f t="shared" si="151"/>
        <v>40</v>
      </c>
      <c r="BI69" s="14">
        <f>INDEX(属性投放!$DM$6:$DM$85,(卡牌属性!AG69-2)*20+卡牌属性!AN69)</f>
        <v>20</v>
      </c>
      <c r="BJ69" s="14">
        <f t="shared" si="152"/>
        <v>20</v>
      </c>
      <c r="BK69" s="14">
        <f t="shared" si="152"/>
        <v>20</v>
      </c>
      <c r="BL69" s="14">
        <f t="shared" si="152"/>
        <v>20</v>
      </c>
      <c r="BM69" s="14">
        <f t="shared" si="152"/>
        <v>20</v>
      </c>
      <c r="BN69" s="14">
        <f>INDEX(属性投放!$DN$6:$DN$85,(卡牌属性!AG69-2)*20+卡牌属性!AN69)</f>
        <v>279</v>
      </c>
      <c r="BO69" s="14">
        <f t="shared" si="153"/>
        <v>279</v>
      </c>
      <c r="BP69" s="14">
        <f t="shared" si="153"/>
        <v>279</v>
      </c>
      <c r="BQ69" s="14">
        <f t="shared" si="153"/>
        <v>279</v>
      </c>
      <c r="BR69" s="14">
        <f t="shared" si="153"/>
        <v>279</v>
      </c>
      <c r="BW69" s="13">
        <v>65</v>
      </c>
      <c r="BX69" s="13">
        <f t="shared" ref="BX69:BX132" si="173">MATCH(BW69-1,$S$5:$S$43,1)</f>
        <v>4</v>
      </c>
      <c r="BY69" s="14">
        <f t="shared" ref="BY69:BY132" si="174">INDEX($Q$6:$Q$43,BX69)</f>
        <v>2</v>
      </c>
      <c r="BZ69" s="14">
        <f t="shared" si="32"/>
        <v>1102004</v>
      </c>
      <c r="CA69" s="14" t="str">
        <f t="shared" si="33"/>
        <v>唐流雨5突</v>
      </c>
      <c r="CB69" s="25" t="s">
        <v>142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INDEX(属性投放!$AZ$6:$AZ$85,(BY69-2)*20+CD69)</f>
        <v>650</v>
      </c>
      <c r="CG69" s="14" t="s">
        <v>22</v>
      </c>
      <c r="CH69" s="14">
        <f>INDEX(属性投放!$BA$6:$BA$85,(BY69-2)*20+CD69)</f>
        <v>279</v>
      </c>
      <c r="CI69" s="14" t="s">
        <v>510</v>
      </c>
      <c r="CJ69" s="14">
        <f>INDEX(属性投放!$BB$6:$BB$85,(BY69-2)*20+CD69)</f>
        <v>3800</v>
      </c>
      <c r="CK69" s="14" t="s">
        <v>21</v>
      </c>
      <c r="CL69" s="14">
        <f>INDEX(属性投放!$BC$6:$BC$85,(BY69-2)*20+CD69)</f>
        <v>8</v>
      </c>
      <c r="CM69" s="14" t="s">
        <v>22</v>
      </c>
      <c r="CN69" s="14">
        <f>INDEX(属性投放!$BD$6:$BD$85,(BY69-2)*20+CD69)</f>
        <v>4</v>
      </c>
      <c r="CO69" s="14" t="s">
        <v>510</v>
      </c>
      <c r="CP69" s="14">
        <f>INDEX(属性投放!$BE$6:$BE$85,(BY69-2)*20+CD69)</f>
        <v>56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INDEX($O$6:$O$50,CT69)&amp;"-"&amp;INDEX(属性投放!$AB$7:$AB$50,CZ69)&amp;"-魂火-"&amp;DB69</f>
        <v>许褚-叫唤-魂火-2</v>
      </c>
      <c r="CY69" s="25" t="s">
        <v>142</v>
      </c>
      <c r="CZ69" s="14">
        <f>INDEX(属性投放!$AM$7:$AM$58,CU69)</f>
        <v>7</v>
      </c>
      <c r="DA69" s="14" t="s">
        <v>537</v>
      </c>
      <c r="DB69" s="14">
        <f>INDEX(属性投放!$AN$7:$AN$58,CU69)</f>
        <v>2</v>
      </c>
      <c r="DC69" s="14">
        <f t="shared" ref="DC69:DC132" si="176">CU69</f>
        <v>13</v>
      </c>
      <c r="DD69" s="14">
        <f>INDEX(属性投放!$AO$7:$AO$58,DC69)</f>
        <v>50</v>
      </c>
      <c r="DE69" s="14" t="s">
        <v>538</v>
      </c>
      <c r="DF69" s="14">
        <f>INDEX(属性投放!$BK$6:$BK$85,(CV69-2)*20+CZ69)</f>
        <v>70</v>
      </c>
      <c r="DG69" s="14">
        <f>SUMIFS(DF$5:DF69,$CT$5:$CT69,"="&amp;$CT69)</f>
        <v>540</v>
      </c>
      <c r="DH69" s="14" t="s">
        <v>539</v>
      </c>
      <c r="DI69" s="14">
        <f>INDEX(属性投放!$BL$6:$BL$85,(CV69-2)*20+CZ69)</f>
        <v>35</v>
      </c>
      <c r="DJ69" s="14">
        <f>SUMIFS(DI$5:DI69,$CT$5:$CT69,"="&amp;$CT69)</f>
        <v>272</v>
      </c>
      <c r="DK69" s="14" t="s">
        <v>540</v>
      </c>
      <c r="DL69" s="14">
        <f>INDEX(属性投放!$BM$6:$BM$85,(CV69-2)*20+CZ69)</f>
        <v>560</v>
      </c>
      <c r="DM69" s="14">
        <f>SUMIFS(DL$5:DL69,$CT$5:$CT69,"="&amp;$CT69)</f>
        <v>3790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INDEX(属性投放!$AX$6:$AX$85,(卡牌属性!DW69-2)*20+卡牌属性!DX69)</f>
        <v>7</v>
      </c>
      <c r="EA69" s="14">
        <f>INDEX(属性投放!BQ$6:BQ$85,卡牌属性!$DY69)</f>
        <v>80</v>
      </c>
      <c r="EB69" s="14">
        <f>INDEX(属性投放!BR$6:BR$85,卡牌属性!$DY69)</f>
        <v>40</v>
      </c>
      <c r="EC69" s="14">
        <f>INDEX(属性投放!BS$6:BS$85,卡牌属性!$DY69)</f>
        <v>560</v>
      </c>
      <c r="ED69" s="14">
        <f t="shared" si="154"/>
        <v>574</v>
      </c>
      <c r="EE69" s="14">
        <f t="shared" si="155"/>
        <v>667</v>
      </c>
      <c r="EF69" s="14">
        <f t="shared" si="156"/>
        <v>750</v>
      </c>
      <c r="EG69" s="14">
        <f t="shared" si="157"/>
        <v>750</v>
      </c>
      <c r="EH69" s="14">
        <f t="shared" si="158"/>
        <v>913</v>
      </c>
      <c r="EI69" s="14">
        <f t="shared" si="159"/>
        <v>186</v>
      </c>
      <c r="EJ69" s="14">
        <f t="shared" si="160"/>
        <v>205</v>
      </c>
      <c r="EK69" s="14">
        <f t="shared" si="161"/>
        <v>205</v>
      </c>
      <c r="EL69" s="14">
        <f t="shared" si="162"/>
        <v>245</v>
      </c>
      <c r="EM69" s="14">
        <f t="shared" si="163"/>
        <v>289</v>
      </c>
      <c r="EN69" s="14">
        <f t="shared" si="164"/>
        <v>2750</v>
      </c>
      <c r="EO69" s="14">
        <f t="shared" si="165"/>
        <v>3254</v>
      </c>
      <c r="EP69" s="14">
        <f t="shared" si="166"/>
        <v>3254</v>
      </c>
      <c r="EQ69" s="14">
        <f t="shared" si="167"/>
        <v>3782</v>
      </c>
      <c r="ER69" s="14">
        <f t="shared" si="168"/>
        <v>4290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56</v>
      </c>
      <c r="FD69" s="14">
        <f>INDEX(属性偏向!$U$4:$U$243,(卡牌属性!$DV69-1+FD$3)*20+卡牌属性!$DX69)</f>
        <v>70</v>
      </c>
      <c r="FE69" s="14">
        <f>INDEX(属性偏向!$U$4:$U$243,(卡牌属性!$DV69-1+FE$3)*20+卡牌属性!$DX69)</f>
        <v>70</v>
      </c>
      <c r="FF69" s="14">
        <f>INDEX(属性偏向!$U$4:$U$243,(卡牌属性!$DV69-1+FF$3)*20+卡牌属性!$DX69)</f>
        <v>84</v>
      </c>
      <c r="FG69" s="14">
        <f>INDEX(属性偏向!$U$4:$U$243,(卡牌属性!$DV69-1+FG$3)*20+卡牌属性!$DX69)</f>
        <v>91</v>
      </c>
      <c r="FH69" s="14">
        <f>INDEX(属性投放!$BQ$6:$BQ$85,(卡牌属性!$DW69-2)*20+卡牌属性!$DX69)</f>
        <v>80</v>
      </c>
      <c r="FI69" s="14">
        <f>INDEX(属性投放!$BQ$6:$BQ$85,(卡牌属性!$DW69-2)*20+卡牌属性!$DX69)</f>
        <v>80</v>
      </c>
      <c r="FJ69" s="14">
        <f>INDEX(属性投放!$BQ$6:$BQ$85,(卡牌属性!$DW69-2)*20+卡牌属性!$DX69)</f>
        <v>80</v>
      </c>
      <c r="FK69" s="14">
        <f>INDEX(属性投放!$BQ$6:$BQ$85,(卡牌属性!$DW69-2)*20+卡牌属性!$DX69)</f>
        <v>80</v>
      </c>
      <c r="FL69" s="14">
        <f>INDEX(属性投放!$BQ$6:$BQ$85,(卡牌属性!$DW69-2)*20+卡牌属性!$DX69)</f>
        <v>80</v>
      </c>
      <c r="FM69" s="14">
        <f>INDEX(属性投放!$BR$6:$BR$85,(卡牌属性!$DW69-2)*20+卡牌属性!$DX69)</f>
        <v>40</v>
      </c>
      <c r="FN69" s="14">
        <f>INDEX(属性投放!$BR$6:$BR$85,(卡牌属性!$DW69-2)*20+卡牌属性!$DX69)</f>
        <v>40</v>
      </c>
      <c r="FO69" s="14">
        <f>INDEX(属性投放!$BR$6:$BR$85,(卡牌属性!$DW69-2)*20+卡牌属性!$DX69)</f>
        <v>40</v>
      </c>
      <c r="FP69" s="14">
        <f>INDEX(属性投放!$BR$6:$BR$85,(卡牌属性!$DW69-2)*20+卡牌属性!$DX69)</f>
        <v>40</v>
      </c>
      <c r="FQ69" s="14">
        <f>INDEX(属性投放!$BR$6:$BR$85,(卡牌属性!$DW69-2)*20+卡牌属性!$DX69)</f>
        <v>40</v>
      </c>
      <c r="FR69" s="14">
        <f>INDEX(属性投放!$BS$6:$BS$85,(卡牌属性!$DW69-2)*20+卡牌属性!$DX69)</f>
        <v>560</v>
      </c>
      <c r="FS69" s="14">
        <f>INDEX(属性投放!$BS$6:$BS$85,(卡牌属性!$DW69-2)*20+卡牌属性!$DX69)</f>
        <v>560</v>
      </c>
      <c r="FT69" s="14">
        <f>INDEX(属性投放!$BS$6:$BS$85,(卡牌属性!$DW69-2)*20+卡牌属性!$DX69)</f>
        <v>560</v>
      </c>
      <c r="FU69" s="14">
        <f>INDEX(属性投放!$BS$6:$BS$85,(卡牌属性!$DW69-2)*20+卡牌属性!$DX69)</f>
        <v>560</v>
      </c>
      <c r="FV69" s="14">
        <f>INDEX(属性投放!$BS$6:$BS$85,(卡牌属性!$DW69-2)*20+卡牌属性!$DX69)</f>
        <v>560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1187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5</v>
      </c>
      <c r="GG69" s="14" t="str">
        <f>INDEX(属性评价,卡牌属性!GF69)</f>
        <v>B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8</v>
      </c>
      <c r="GK69" s="14" t="str">
        <f>INDEX(属性评价,卡牌属性!GJ69)</f>
        <v>A+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1187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MATCH(HC69,属性投放!$AO$6:$AO$58,1)-1</f>
        <v>19</v>
      </c>
      <c r="HF69" s="13">
        <f>MATCH(HC69-1,属性投放!$AE$6:$AE$26,1)</f>
        <v>9</v>
      </c>
      <c r="HG69" s="13" t="str">
        <f>INDEX(属性投放!$AB$7:$AB$26,卡牌属性!HF69)</f>
        <v>叫唤+2</v>
      </c>
      <c r="HH69" s="14">
        <f t="shared" si="58"/>
        <v>2063</v>
      </c>
      <c r="HI69" s="14">
        <f t="shared" si="59"/>
        <v>828</v>
      </c>
      <c r="HJ69" s="14">
        <f t="shared" si="60"/>
        <v>11522</v>
      </c>
      <c r="HK69" s="14">
        <f t="shared" si="61"/>
        <v>25</v>
      </c>
      <c r="HL69" s="14">
        <f t="shared" si="62"/>
        <v>8</v>
      </c>
      <c r="HM69" s="14">
        <f t="shared" si="63"/>
        <v>128</v>
      </c>
      <c r="HN69" s="14">
        <f>HH69+HK69*($HC69-INDEX(属性投放!$AE$6:$AE$26,卡牌属性!$HF69))</f>
        <v>2263</v>
      </c>
      <c r="HO69" s="14">
        <f>HI69+HL69*($HC69-INDEX(属性投放!$AE$6:$AE$26,卡牌属性!$HF69))</f>
        <v>892</v>
      </c>
      <c r="HP69" s="14">
        <f>HJ69+HM69*($HC69-INDEX(属性投放!$AE$6:$AE$26,卡牌属性!$HF69))</f>
        <v>12546</v>
      </c>
      <c r="HQ69" s="14">
        <f t="shared" si="64"/>
        <v>1310</v>
      </c>
      <c r="HR69" s="14">
        <f t="shared" si="65"/>
        <v>660</v>
      </c>
      <c r="HS69" s="14">
        <f t="shared" si="66"/>
        <v>9980</v>
      </c>
      <c r="HT69" s="14">
        <f>IF(COUNTIF(属性投放!$AO$7:$AO$58,"="&amp;卡牌属性!HC69)&gt;0,卡牌属性!HE69,0)</f>
        <v>19</v>
      </c>
      <c r="HU69" s="14">
        <f t="shared" si="67"/>
        <v>130</v>
      </c>
      <c r="HV69" s="14">
        <f t="shared" si="68"/>
        <v>65</v>
      </c>
      <c r="HW69" s="14">
        <f t="shared" si="69"/>
        <v>1170</v>
      </c>
      <c r="HX69" s="14">
        <f>IF(COUNTIF(属性投放!$AE$6:$AE$26,"="&amp;卡牌属性!HC69)&gt;0,卡牌属性!HF69,0)</f>
        <v>9</v>
      </c>
      <c r="HY69" s="14">
        <f t="shared" si="70"/>
        <v>125</v>
      </c>
      <c r="HZ69" s="14">
        <f t="shared" si="71"/>
        <v>63</v>
      </c>
      <c r="IA69" s="14">
        <f t="shared" si="72"/>
        <v>1000</v>
      </c>
      <c r="IB69" s="14">
        <f t="shared" si="73"/>
        <v>25</v>
      </c>
      <c r="IC69" s="14">
        <f t="shared" si="74"/>
        <v>8</v>
      </c>
      <c r="ID69" s="14">
        <f t="shared" si="75"/>
        <v>128</v>
      </c>
      <c r="IE69" s="14">
        <f t="shared" si="76"/>
        <v>3573</v>
      </c>
      <c r="IF69" s="14">
        <f t="shared" si="77"/>
        <v>1552</v>
      </c>
      <c r="IG69" s="14">
        <f t="shared" si="78"/>
        <v>22526</v>
      </c>
      <c r="IH69" s="14">
        <f t="shared" si="79"/>
        <v>538</v>
      </c>
      <c r="II69" s="14">
        <f t="shared" si="80"/>
        <v>3770</v>
      </c>
      <c r="IJ69" s="14">
        <f t="shared" si="81"/>
        <v>3510</v>
      </c>
      <c r="IK69" s="14">
        <f t="shared" si="82"/>
        <v>89296</v>
      </c>
      <c r="IL69" s="17">
        <f t="shared" si="83"/>
        <v>6.0249059308367676E-3</v>
      </c>
      <c r="IM69" s="17">
        <f t="shared" si="84"/>
        <v>4.2219136355491849E-2</v>
      </c>
      <c r="IN69" s="17">
        <f t="shared" si="85"/>
        <v>3.9307471779251028E-2</v>
      </c>
      <c r="IO69" s="23">
        <f>SUM(IH$5:IH69)</f>
        <v>27406</v>
      </c>
      <c r="IP69" s="14">
        <f>SUM(II$5:II69)</f>
        <v>36280</v>
      </c>
      <c r="IQ69" s="14">
        <f>SUM(IJ$5:IJ69)</f>
        <v>22440</v>
      </c>
      <c r="IR69" s="17">
        <f t="shared" si="86"/>
        <v>0.30691184375559938</v>
      </c>
      <c r="IS69" s="17">
        <f t="shared" si="87"/>
        <v>0.40628919548468018</v>
      </c>
      <c r="IT69" s="17">
        <f t="shared" si="88"/>
        <v>0.25129905034939976</v>
      </c>
      <c r="IW69" s="13">
        <v>65</v>
      </c>
      <c r="IX69" s="14">
        <f>MATCH(IW69-1,属性投放!$T$6:$T$66,1)</f>
        <v>6</v>
      </c>
      <c r="IY69" s="14">
        <f>MATCH(IW69-1,属性投放!$AD$7:$AD$26,1)</f>
        <v>8</v>
      </c>
      <c r="IZ69" s="14" t="str">
        <f>INDEX(属性投放!$AB$7:$AB$26,IY69)</f>
        <v>叫唤+1</v>
      </c>
      <c r="JA69" s="14">
        <f t="shared" si="89"/>
        <v>1179</v>
      </c>
      <c r="JB69" s="14">
        <f t="shared" si="90"/>
        <v>539</v>
      </c>
      <c r="JC69" s="14">
        <f t="shared" si="91"/>
        <v>7613</v>
      </c>
      <c r="JD69" s="14">
        <f t="shared" si="92"/>
        <v>36</v>
      </c>
      <c r="JE69" s="14">
        <f t="shared" si="93"/>
        <v>18</v>
      </c>
      <c r="JF69" s="14">
        <f t="shared" si="94"/>
        <v>286</v>
      </c>
      <c r="JG69" s="14">
        <f>INDEX(属性投放!$DC$6:$DC$85,卡牌属性!IY69)</f>
        <v>45</v>
      </c>
      <c r="JH69" s="14">
        <f t="shared" si="95"/>
        <v>1899</v>
      </c>
      <c r="JI69" s="14">
        <f t="shared" si="96"/>
        <v>899</v>
      </c>
      <c r="JJ69" s="14">
        <f t="shared" si="97"/>
        <v>13333</v>
      </c>
      <c r="JK69" s="14">
        <f t="shared" si="98"/>
        <v>31818</v>
      </c>
    </row>
    <row r="70" spans="31:271" ht="16.5" x14ac:dyDescent="0.2">
      <c r="AE70" s="13">
        <v>66</v>
      </c>
      <c r="AF70" s="13">
        <f t="shared" ref="AF70:AF133" si="188">MATCH(AE70-1,$F$5:$F$42,1)</f>
        <v>4</v>
      </c>
      <c r="AG70" s="13">
        <f t="shared" si="169"/>
        <v>4</v>
      </c>
      <c r="AH70" s="13"/>
      <c r="AI70" s="13"/>
      <c r="AJ70" s="14">
        <f t="shared" si="170"/>
        <v>1101004</v>
      </c>
      <c r="AK70" s="14" t="str">
        <f t="shared" si="171"/>
        <v>项昆仑6突</v>
      </c>
      <c r="AL70" s="25" t="s">
        <v>142</v>
      </c>
      <c r="AM70" s="14">
        <v>1</v>
      </c>
      <c r="AN70" s="14">
        <f t="shared" si="172"/>
        <v>6</v>
      </c>
      <c r="AO70" s="14">
        <f>INDEX(属性投放!$DF$6:$DF$85,(卡牌属性!AG70-2)*20+卡牌属性!AN70)</f>
        <v>868</v>
      </c>
      <c r="AP70" s="14">
        <f t="shared" si="148"/>
        <v>868</v>
      </c>
      <c r="AQ70" s="14">
        <f t="shared" si="148"/>
        <v>868</v>
      </c>
      <c r="AR70" s="14">
        <f t="shared" si="148"/>
        <v>868</v>
      </c>
      <c r="AS70" s="14">
        <f t="shared" si="148"/>
        <v>868</v>
      </c>
      <c r="AT70" s="14">
        <f>INDEX(属性投放!$DG$6:$DG$85,(卡牌属性!AG70-2)*20+卡牌属性!AN70)</f>
        <v>362</v>
      </c>
      <c r="AU70" s="14">
        <f t="shared" si="149"/>
        <v>362</v>
      </c>
      <c r="AV70" s="14">
        <f t="shared" si="149"/>
        <v>362</v>
      </c>
      <c r="AW70" s="14">
        <f t="shared" si="149"/>
        <v>362</v>
      </c>
      <c r="AX70" s="14">
        <f t="shared" si="149"/>
        <v>362</v>
      </c>
      <c r="AY70" s="14">
        <f>INDEX(属性投放!$DH$6:$DH$85,(卡牌属性!AG70-2)*20+卡牌属性!AN70)</f>
        <v>4851</v>
      </c>
      <c r="AZ70" s="14">
        <f t="shared" si="150"/>
        <v>4851</v>
      </c>
      <c r="BA70" s="14">
        <f t="shared" si="150"/>
        <v>4851</v>
      </c>
      <c r="BB70" s="14">
        <f t="shared" si="150"/>
        <v>4851</v>
      </c>
      <c r="BC70" s="14">
        <f t="shared" si="150"/>
        <v>4851</v>
      </c>
      <c r="BD70" s="14">
        <f>INDEX(属性投放!$DL$6:$DL$85,(卡牌属性!AG70-2)*20+卡牌属性!AN70)</f>
        <v>40</v>
      </c>
      <c r="BE70" s="14">
        <f t="shared" si="151"/>
        <v>40</v>
      </c>
      <c r="BF70" s="14">
        <f t="shared" si="151"/>
        <v>40</v>
      </c>
      <c r="BG70" s="14">
        <f t="shared" si="151"/>
        <v>40</v>
      </c>
      <c r="BH70" s="14">
        <f t="shared" si="151"/>
        <v>40</v>
      </c>
      <c r="BI70" s="14">
        <f>INDEX(属性投放!$DM$6:$DM$85,(卡牌属性!AG70-2)*20+卡牌属性!AN70)</f>
        <v>20</v>
      </c>
      <c r="BJ70" s="14">
        <f t="shared" si="152"/>
        <v>20</v>
      </c>
      <c r="BK70" s="14">
        <f t="shared" si="152"/>
        <v>20</v>
      </c>
      <c r="BL70" s="14">
        <f t="shared" si="152"/>
        <v>20</v>
      </c>
      <c r="BM70" s="14">
        <f t="shared" si="152"/>
        <v>20</v>
      </c>
      <c r="BN70" s="14">
        <f>INDEX(属性投放!$DN$6:$DN$85,(卡牌属性!AG70-2)*20+卡牌属性!AN70)</f>
        <v>279</v>
      </c>
      <c r="BO70" s="14">
        <f t="shared" si="153"/>
        <v>279</v>
      </c>
      <c r="BP70" s="14">
        <f t="shared" si="153"/>
        <v>279</v>
      </c>
      <c r="BQ70" s="14">
        <f t="shared" si="153"/>
        <v>279</v>
      </c>
      <c r="BR70" s="14">
        <f t="shared" si="153"/>
        <v>279</v>
      </c>
      <c r="BW70" s="13">
        <v>66</v>
      </c>
      <c r="BX70" s="13">
        <f t="shared" si="173"/>
        <v>4</v>
      </c>
      <c r="BY70" s="14">
        <f t="shared" si="174"/>
        <v>2</v>
      </c>
      <c r="BZ70" s="14">
        <f t="shared" ref="BZ70:BZ133" si="189">INDEX($N$6:$N$43,BX70)</f>
        <v>1102004</v>
      </c>
      <c r="CA70" s="14" t="str">
        <f t="shared" ref="CA70:CA133" si="190">INDEX($O$6:$O$43,BX70)&amp;CD70&amp;"突"</f>
        <v>唐流雨6突</v>
      </c>
      <c r="CB70" s="25" t="s">
        <v>142</v>
      </c>
      <c r="CC70" s="14">
        <v>2</v>
      </c>
      <c r="CD70" s="14">
        <f t="shared" si="175"/>
        <v>6</v>
      </c>
      <c r="CE70" s="14" t="s">
        <v>21</v>
      </c>
      <c r="CF70" s="14">
        <f>INDEX(属性投放!$AZ$6:$AZ$85,(BY70-2)*20+CD70)</f>
        <v>856</v>
      </c>
      <c r="CG70" s="14" t="s">
        <v>22</v>
      </c>
      <c r="CH70" s="14">
        <f>INDEX(属性投放!$BA$6:$BA$85,(BY70-2)*20+CD70)</f>
        <v>383</v>
      </c>
      <c r="CI70" s="14" t="s">
        <v>510</v>
      </c>
      <c r="CJ70" s="14">
        <f>INDEX(属性投放!$BB$6:$BB$85,(BY70-2)*20+CD70)</f>
        <v>5242</v>
      </c>
      <c r="CK70" s="14" t="s">
        <v>21</v>
      </c>
      <c r="CL70" s="14">
        <f>INDEX(属性投放!$BC$6:$BC$85,(BY70-2)*20+CD70)</f>
        <v>8</v>
      </c>
      <c r="CM70" s="14" t="s">
        <v>22</v>
      </c>
      <c r="CN70" s="14">
        <f>INDEX(属性投放!$BD$6:$BD$85,(BY70-2)*20+CD70)</f>
        <v>4</v>
      </c>
      <c r="CO70" s="14" t="s">
        <v>510</v>
      </c>
      <c r="CP70" s="14">
        <f>INDEX(属性投放!$BE$6:$BE$85,(BY70-2)*20+CD70)</f>
        <v>56</v>
      </c>
      <c r="CS70" s="13">
        <v>66</v>
      </c>
      <c r="CT70" s="13">
        <f t="shared" ref="CT70:CT133" si="191">MATCH(CS70-1,$U$5:$U$36,1)</f>
        <v>2</v>
      </c>
      <c r="CU70" s="13">
        <f t="shared" ref="CU70:CU133" si="192">CS70-(CT70-1)*52</f>
        <v>14</v>
      </c>
      <c r="CV70" s="14">
        <f t="shared" ref="CV70:CV133" si="193">INDEX($Q$6:$Q$50,CT70)</f>
        <v>3</v>
      </c>
      <c r="CW70" s="14">
        <f t="shared" ref="CW70:CW133" si="194">INDEX($N$6:$N$50,CT70)</f>
        <v>1102002</v>
      </c>
      <c r="CX70" s="14" t="str">
        <f>INDEX($O$6:$O$50,CT70)&amp;"-"&amp;INDEX(属性投放!$AB$7:$AB$50,CZ70)&amp;"-魂火-"&amp;DB70</f>
        <v>许褚-叫唤+1-魂火-1</v>
      </c>
      <c r="CY70" s="25" t="s">
        <v>142</v>
      </c>
      <c r="CZ70" s="14">
        <f>INDEX(属性投放!$AM$7:$AM$58,CU70)</f>
        <v>8</v>
      </c>
      <c r="DA70" s="14" t="s">
        <v>537</v>
      </c>
      <c r="DB70" s="14">
        <f>INDEX(属性投放!$AN$7:$AN$58,CU70)</f>
        <v>1</v>
      </c>
      <c r="DC70" s="14">
        <f t="shared" si="176"/>
        <v>14</v>
      </c>
      <c r="DD70" s="14">
        <f>INDEX(属性投放!$AO$7:$AO$58,DC70)</f>
        <v>53</v>
      </c>
      <c r="DE70" s="14" t="s">
        <v>538</v>
      </c>
      <c r="DF70" s="14">
        <f>INDEX(属性投放!$BK$6:$BK$85,(CV70-2)*20+CZ70)</f>
        <v>85</v>
      </c>
      <c r="DG70" s="14">
        <f>SUMIFS(DF$5:DF70,$CT$5:$CT70,"="&amp;$CT70)</f>
        <v>625</v>
      </c>
      <c r="DH70" s="14" t="s">
        <v>539</v>
      </c>
      <c r="DI70" s="14">
        <f>INDEX(属性投放!$BL$6:$BL$85,(CV70-2)*20+CZ70)</f>
        <v>43</v>
      </c>
      <c r="DJ70" s="14">
        <f>SUMIFS(DI$5:DI70,$CT$5:$CT70,"="&amp;$CT70)</f>
        <v>315</v>
      </c>
      <c r="DK70" s="14" t="s">
        <v>540</v>
      </c>
      <c r="DL70" s="14">
        <f>INDEX(属性投放!$BM$6:$BM$85,(CV70-2)*20+CZ70)</f>
        <v>680</v>
      </c>
      <c r="DM70" s="14">
        <f>SUMIFS(DL$5:DL70,$CT$5:$CT70,"="&amp;$CT70)</f>
        <v>4470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5">INDEX(Y$6:Y$43,$BX70)</f>
        <v>4</v>
      </c>
      <c r="DU70" s="14">
        <f t="shared" ref="DU70:DU133" si="196">INDEX(Z$6:Z$43,$BX70)</f>
        <v>2</v>
      </c>
      <c r="DV70" s="14">
        <f t="shared" ref="DV70:DV133" si="197">INDEX(AA$6:AA$43,$BX70)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INDEX(属性投放!$AX$6:$AX$85,(卡牌属性!DW70-2)*20+卡牌属性!DX70)</f>
        <v>5</v>
      </c>
      <c r="EA70" s="14">
        <f>INDEX(属性投放!BQ$6:BQ$85,卡牌属性!$DY70)</f>
        <v>100</v>
      </c>
      <c r="EB70" s="14">
        <f>INDEX(属性投放!BR$6:BR$85,卡牌属性!$DY70)</f>
        <v>50</v>
      </c>
      <c r="EC70" s="14">
        <f>INDEX(属性投放!BS$6:BS$85,卡牌属性!$DY70)</f>
        <v>700</v>
      </c>
      <c r="ED70" s="14">
        <f t="shared" si="154"/>
        <v>724</v>
      </c>
      <c r="EE70" s="14">
        <f t="shared" si="155"/>
        <v>831</v>
      </c>
      <c r="EF70" s="14">
        <f t="shared" si="156"/>
        <v>921</v>
      </c>
      <c r="EG70" s="14">
        <f t="shared" si="157"/>
        <v>921</v>
      </c>
      <c r="EH70" s="14">
        <f t="shared" si="158"/>
        <v>1133</v>
      </c>
      <c r="EI70" s="14">
        <f t="shared" si="159"/>
        <v>247</v>
      </c>
      <c r="EJ70" s="14">
        <f t="shared" si="160"/>
        <v>273</v>
      </c>
      <c r="EK70" s="14">
        <f t="shared" si="161"/>
        <v>273</v>
      </c>
      <c r="EL70" s="14">
        <f t="shared" si="162"/>
        <v>320</v>
      </c>
      <c r="EM70" s="14">
        <f t="shared" si="163"/>
        <v>371</v>
      </c>
      <c r="EN70" s="14">
        <f t="shared" si="164"/>
        <v>3702</v>
      </c>
      <c r="EO70" s="14">
        <f t="shared" si="165"/>
        <v>4304</v>
      </c>
      <c r="EP70" s="14">
        <f t="shared" si="166"/>
        <v>4304</v>
      </c>
      <c r="EQ70" s="14">
        <f t="shared" si="167"/>
        <v>4930</v>
      </c>
      <c r="ER70" s="14">
        <f t="shared" si="168"/>
        <v>5487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56</v>
      </c>
      <c r="FD70" s="14">
        <f>INDEX(属性偏向!$U$4:$U$243,(卡牌属性!$DV70-1+FD$3)*20+卡牌属性!$DX70)</f>
        <v>70</v>
      </c>
      <c r="FE70" s="14">
        <f>INDEX(属性偏向!$U$4:$U$243,(卡牌属性!$DV70-1+FE$3)*20+卡牌属性!$DX70)</f>
        <v>70</v>
      </c>
      <c r="FF70" s="14">
        <f>INDEX(属性偏向!$U$4:$U$243,(卡牌属性!$DV70-1+FF$3)*20+卡牌属性!$DX70)</f>
        <v>84</v>
      </c>
      <c r="FG70" s="14">
        <f>INDEX(属性偏向!$U$4:$U$243,(卡牌属性!$DV70-1+FG$3)*20+卡牌属性!$DX70)</f>
        <v>91</v>
      </c>
      <c r="FH70" s="14">
        <f>INDEX(属性投放!$BQ$6:$BQ$85,(卡牌属性!$DW70-2)*20+卡牌属性!$DX70)</f>
        <v>100</v>
      </c>
      <c r="FI70" s="14">
        <f>INDEX(属性投放!$BQ$6:$BQ$85,(卡牌属性!$DW70-2)*20+卡牌属性!$DX70)</f>
        <v>100</v>
      </c>
      <c r="FJ70" s="14">
        <f>INDEX(属性投放!$BQ$6:$BQ$85,(卡牌属性!$DW70-2)*20+卡牌属性!$DX70)</f>
        <v>100</v>
      </c>
      <c r="FK70" s="14">
        <f>INDEX(属性投放!$BQ$6:$BQ$85,(卡牌属性!$DW70-2)*20+卡牌属性!$DX70)</f>
        <v>100</v>
      </c>
      <c r="FL70" s="14">
        <f>INDEX(属性投放!$BQ$6:$BQ$85,(卡牌属性!$DW70-2)*20+卡牌属性!$DX70)</f>
        <v>100</v>
      </c>
      <c r="FM70" s="14">
        <f>INDEX(属性投放!$BR$6:$BR$85,(卡牌属性!$DW70-2)*20+卡牌属性!$DX70)</f>
        <v>50</v>
      </c>
      <c r="FN70" s="14">
        <f>INDEX(属性投放!$BR$6:$BR$85,(卡牌属性!$DW70-2)*20+卡牌属性!$DX70)</f>
        <v>50</v>
      </c>
      <c r="FO70" s="14">
        <f>INDEX(属性投放!$BR$6:$BR$85,(卡牌属性!$DW70-2)*20+卡牌属性!$DX70)</f>
        <v>50</v>
      </c>
      <c r="FP70" s="14">
        <f>INDEX(属性投放!$BR$6:$BR$85,(卡牌属性!$DW70-2)*20+卡牌属性!$DX70)</f>
        <v>50</v>
      </c>
      <c r="FQ70" s="14">
        <f>INDEX(属性投放!$BR$6:$BR$85,(卡牌属性!$DW70-2)*20+卡牌属性!$DX70)</f>
        <v>50</v>
      </c>
      <c r="FR70" s="14">
        <f>INDEX(属性投放!$BS$6:$BS$85,(卡牌属性!$DW70-2)*20+卡牌属性!$DX70)</f>
        <v>700</v>
      </c>
      <c r="FS70" s="14">
        <f>INDEX(属性投放!$BS$6:$BS$85,(卡牌属性!$DW70-2)*20+卡牌属性!$DX70)</f>
        <v>700</v>
      </c>
      <c r="FT70" s="14">
        <f>INDEX(属性投放!$BS$6:$BS$85,(卡牌属性!$DW70-2)*20+卡牌属性!$DX70)</f>
        <v>700</v>
      </c>
      <c r="FU70" s="14">
        <f>INDEX(属性投放!$BS$6:$BS$85,(卡牌属性!$DW70-2)*20+卡牌属性!$DX70)</f>
        <v>700</v>
      </c>
      <c r="FV70" s="14">
        <f>INDEX(属性投放!$BS$6:$BS$85,(卡牌属性!$DW70-2)*20+卡牌属性!$DX70)</f>
        <v>700</v>
      </c>
      <c r="FZ70" s="13">
        <v>66</v>
      </c>
      <c r="GA70" s="13">
        <f t="shared" si="182"/>
        <v>14</v>
      </c>
      <c r="GB70" s="14">
        <f t="shared" ref="GB70:GB133" si="198">INDEX($N$6:$N$36,GA70)</f>
        <v>1102014</v>
      </c>
      <c r="GC70" s="14" t="s">
        <v>1187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9">INDEX($A$6:$A$36,GO70)</f>
        <v>1101014</v>
      </c>
      <c r="GQ70" s="14" t="s">
        <v>1187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MATCH(HC70,属性投放!$AO$6:$AO$58,1)-1</f>
        <v>19</v>
      </c>
      <c r="HF70" s="13">
        <f>MATCH(HC70-1,属性投放!$AE$6:$AE$26,1)</f>
        <v>10</v>
      </c>
      <c r="HG70" s="13" t="str">
        <f>INDEX(属性投放!$AB$7:$AB$26,卡牌属性!HF70)</f>
        <v>大叫唤</v>
      </c>
      <c r="HH70" s="14">
        <f t="shared" ref="HH70:HH133" si="200">INDEX($ED$5:$EH$564,($HF$2-1)*20+$HF70,$HH$2)</f>
        <v>2463</v>
      </c>
      <c r="HI70" s="14">
        <f t="shared" ref="HI70:HI133" si="201">INDEX($EI$5:$EM$564,($HF$2-1)*20+$HF70,$HH$2)</f>
        <v>992</v>
      </c>
      <c r="HJ70" s="14">
        <f t="shared" ref="HJ70:HJ133" si="202">INDEX($EN$5:$ER$564,($HF$2-1)*20+$HF70,$HH$2)</f>
        <v>14146</v>
      </c>
      <c r="HK70" s="14">
        <f t="shared" ref="HK70:HK133" si="203">INDEX($ES$5:$EW$564,($HF$2-1)*20+$HF70,$HH$2)</f>
        <v>30</v>
      </c>
      <c r="HL70" s="14">
        <f t="shared" ref="HL70:HL133" si="204">INDEX($EX$5:$FB$564,($HF$2-1)*20+$HF70,$HH$2)</f>
        <v>11</v>
      </c>
      <c r="HM70" s="14">
        <f t="shared" ref="HM70:HM133" si="205">INDEX($FC$5:$FG$564,($HF$2-1)*20+$HF70,$HH$2)</f>
        <v>189</v>
      </c>
      <c r="HN70" s="14">
        <f>HH70+HK70*($HC70-INDEX(属性投放!$AE$6:$AE$26,卡牌属性!$HF70))</f>
        <v>2493</v>
      </c>
      <c r="HO70" s="14">
        <f>HI70+HL70*($HC70-INDEX(属性投放!$AE$6:$AE$26,卡牌属性!$HF70))</f>
        <v>1003</v>
      </c>
      <c r="HP70" s="14">
        <f>HJ70+HM70*($HC70-INDEX(属性投放!$AE$6:$AE$26,卡牌属性!$HF70))</f>
        <v>14335</v>
      </c>
      <c r="HQ70" s="14">
        <f t="shared" ref="HQ70:HQ133" si="206">IF($HE70&gt;0,INDEX(DG$5:DG$1460,($HF$2-1)*52+$HE70),0)</f>
        <v>1310</v>
      </c>
      <c r="HR70" s="14">
        <f t="shared" ref="HR70:HR133" si="207">IF($HE70&gt;0,INDEX(DJ$5:DJ$1460,($HF$2-1)*52+$HE70),0)</f>
        <v>660</v>
      </c>
      <c r="HS70" s="14">
        <f t="shared" ref="HS70:HS133" si="208">IF($HE70&gt;0,INDEX(DM$5:DM$1460,($HF$2-1)*52+$HE70),0)</f>
        <v>9980</v>
      </c>
      <c r="HT70" s="14">
        <f>IF(COUNTIF(属性投放!$AO$7:$AO$58,"="&amp;卡牌属性!HC70)&gt;0,卡牌属性!HE70,0)</f>
        <v>0</v>
      </c>
      <c r="HU70" s="14">
        <f t="shared" ref="HU70:HU133" si="209">IF($HT70&gt;0,INDEX($DF$5:$DF$1460,($HF$2-1)*52+HT70),0)</f>
        <v>0</v>
      </c>
      <c r="HV70" s="14">
        <f t="shared" ref="HV70:HV133" si="210">IF($HT70&gt;0,INDEX($DI$5:$DI$1460,($HF$2-1)*52+HT70),0)</f>
        <v>0</v>
      </c>
      <c r="HW70" s="14">
        <f t="shared" ref="HW70:HW133" si="211">IF($HT70&gt;0,INDEX($DL$5:$DL$1460,($HF$2-1)*52+HT70),0)</f>
        <v>0</v>
      </c>
      <c r="HX70" s="14">
        <f>IF(COUNTIF(属性投放!$AE$6:$AE$26,"="&amp;卡牌属性!HC70)&gt;0,卡牌属性!HF70,0)</f>
        <v>0</v>
      </c>
      <c r="HY70" s="14">
        <f t="shared" ref="HY70:HY133" si="212">IF(HX70&gt;1,INDEX(EA$5:EA$564,($HF$2-1)*20+$HX70-1),0)</f>
        <v>0</v>
      </c>
      <c r="HZ70" s="14">
        <f t="shared" ref="HZ70:HZ133" si="213">IF(HY70&gt;1,INDEX(EB$5:EB$564,($HF$2-1)*20+$HX70-1),0)</f>
        <v>0</v>
      </c>
      <c r="IA70" s="14">
        <f t="shared" ref="IA70:IA133" si="214">IF(HZ70&gt;1,INDEX(EC$5:EC$564,($HF$2-1)*20+$HX70-1),0)</f>
        <v>0</v>
      </c>
      <c r="IB70" s="14">
        <f t="shared" ref="IB70:IB133" si="215">HK70</f>
        <v>30</v>
      </c>
      <c r="IC70" s="14">
        <f t="shared" ref="IC70:IC133" si="216">HL70</f>
        <v>11</v>
      </c>
      <c r="ID70" s="14">
        <f t="shared" ref="ID70:ID133" si="217">HM70</f>
        <v>189</v>
      </c>
      <c r="IE70" s="14">
        <f t="shared" ref="IE70:IE133" si="218">HN70+HQ70</f>
        <v>3803</v>
      </c>
      <c r="IF70" s="14">
        <f t="shared" ref="IF70:IF133" si="219">HO70+HR70</f>
        <v>1663</v>
      </c>
      <c r="IG70" s="14">
        <f t="shared" ref="IG70:IG133" si="220">HP70+HS70</f>
        <v>24315</v>
      </c>
      <c r="IH70" s="14">
        <f t="shared" ref="IH70:IH133" si="221">SUMPRODUCT($HK70:$HM70,$IE$2:$IG$2)</f>
        <v>709</v>
      </c>
      <c r="II70" s="14">
        <f t="shared" ref="II70:II133" si="222">SUMPRODUCT(HU70:HW70,$IE$2:$IG$2)</f>
        <v>0</v>
      </c>
      <c r="IJ70" s="14">
        <f t="shared" ref="IJ70:IJ133" si="223">SUMPRODUCT(HY70:IA70,$IE$2:$IG$2)</f>
        <v>0</v>
      </c>
      <c r="IK70" s="14">
        <f t="shared" ref="IK70:IK133" si="224">SUMPRODUCT(IE70:IG70,$IE$2:$IG$2)</f>
        <v>95605</v>
      </c>
      <c r="IL70" s="17">
        <f t="shared" ref="IL70:IL133" si="225">IH70/IK70</f>
        <v>7.4159301291773444E-3</v>
      </c>
      <c r="IM70" s="17">
        <f t="shared" ref="IM70:IM133" si="226">II70/IK70</f>
        <v>0</v>
      </c>
      <c r="IN70" s="17">
        <f t="shared" ref="IN70:IN133" si="227">IJ70/IK70</f>
        <v>0</v>
      </c>
      <c r="IO70" s="23">
        <f>SUM(IH$5:IH70)</f>
        <v>28115</v>
      </c>
      <c r="IP70" s="14">
        <f>SUM(II$5:II70)</f>
        <v>36280</v>
      </c>
      <c r="IQ70" s="14">
        <f>SUM(IJ$5:IJ70)</f>
        <v>22440</v>
      </c>
      <c r="IR70" s="17">
        <f t="shared" ref="IR70:IR133" si="228">IO70/IK70</f>
        <v>0.29407457768945139</v>
      </c>
      <c r="IS70" s="17">
        <f t="shared" ref="IS70:IS133" si="229">IP70/IK70</f>
        <v>0.3794780607708802</v>
      </c>
      <c r="IT70" s="17">
        <f t="shared" ref="IT70:IT133" si="230">IQ70/IK70</f>
        <v>0.23471575754406152</v>
      </c>
      <c r="IW70" s="13">
        <v>66</v>
      </c>
      <c r="IX70" s="14">
        <f>MATCH(IW70-1,属性投放!$T$6:$T$66,1)</f>
        <v>6</v>
      </c>
      <c r="IY70" s="14">
        <f>MATCH(IW70-1,属性投放!$AD$7:$AD$26,1)</f>
        <v>9</v>
      </c>
      <c r="IZ70" s="14" t="str">
        <f>INDEX(属性投放!$AB$7:$AB$26,IY70)</f>
        <v>叫唤+2</v>
      </c>
      <c r="JA70" s="14">
        <f t="shared" ref="JA70:JA133" si="231">INDEX($AO$5:$AS$444,($IZ$2-1)*20+$IY70,$JB$2)</f>
        <v>1281</v>
      </c>
      <c r="JB70" s="14">
        <f t="shared" ref="JB70:JB133" si="232">INDEX($AT$5:$AX$444,($IZ$2-1)*20+$IY70,$JB$2)</f>
        <v>590</v>
      </c>
      <c r="JC70" s="14">
        <f t="shared" ref="JC70:JC133" si="233">INDEX($AY$5:$BC$444,($IZ$2-1)*20+$IY70,$JB$2)</f>
        <v>8429</v>
      </c>
      <c r="JD70" s="14">
        <f t="shared" ref="JD70:JD133" si="234">INDEX($BD$5:$BH$444,($IZ$2-1)*20+$IY70,$JB$2)</f>
        <v>36</v>
      </c>
      <c r="JE70" s="14">
        <f t="shared" ref="JE70:JE133" si="235">INDEX($BI$5:$BM$444,($IZ$2-1)*20+$IY70,$JB$2)</f>
        <v>18</v>
      </c>
      <c r="JF70" s="14">
        <f t="shared" ref="JF70:JF133" si="236">INDEX($BN$5:$BR$444,($IZ$2-1)*20+$IY70,$JB$2)</f>
        <v>286</v>
      </c>
      <c r="JG70" s="14">
        <f>INDEX(属性投放!$DC$6:$DC$85,卡牌属性!IY70)</f>
        <v>45</v>
      </c>
      <c r="JH70" s="14">
        <f t="shared" ref="JH70:JH133" si="237">($IW70-$JG70)*JD70+JA70</f>
        <v>2037</v>
      </c>
      <c r="JI70" s="14">
        <f t="shared" ref="JI70:JI133" si="238">($IW70-$JG70)*JE70+JB70</f>
        <v>968</v>
      </c>
      <c r="JJ70" s="14">
        <f t="shared" ref="JJ70:JJ133" si="239">($IW70-$JG70)*JF70+JC70</f>
        <v>14435</v>
      </c>
      <c r="JK70" s="14">
        <f t="shared" ref="JK70:JK133" si="240">SUMPRODUCT($JH$3:$JJ$3,JH70:JJ70)</f>
        <v>34300</v>
      </c>
    </row>
    <row r="71" spans="31:271" ht="16.5" x14ac:dyDescent="0.2">
      <c r="AE71" s="13">
        <v>67</v>
      </c>
      <c r="AF71" s="13">
        <f t="shared" si="188"/>
        <v>4</v>
      </c>
      <c r="AG71" s="13">
        <f t="shared" si="169"/>
        <v>4</v>
      </c>
      <c r="AH71" s="13"/>
      <c r="AI71" s="13"/>
      <c r="AJ71" s="14">
        <f t="shared" si="170"/>
        <v>1101004</v>
      </c>
      <c r="AK71" s="14" t="str">
        <f t="shared" si="171"/>
        <v>项昆仑7突</v>
      </c>
      <c r="AL71" s="25" t="s">
        <v>142</v>
      </c>
      <c r="AM71" s="14">
        <v>1</v>
      </c>
      <c r="AN71" s="14">
        <f t="shared" si="172"/>
        <v>7</v>
      </c>
      <c r="AO71" s="14">
        <f>INDEX(属性投放!$DF$6:$DF$85,(卡牌属性!AG71-2)*20+卡牌属性!AN71)</f>
        <v>1982</v>
      </c>
      <c r="AP71" s="14">
        <f t="shared" si="148"/>
        <v>1982</v>
      </c>
      <c r="AQ71" s="14">
        <f t="shared" si="148"/>
        <v>1982</v>
      </c>
      <c r="AR71" s="14">
        <f t="shared" si="148"/>
        <v>1982</v>
      </c>
      <c r="AS71" s="14">
        <f t="shared" si="148"/>
        <v>1982</v>
      </c>
      <c r="AT71" s="14">
        <f>INDEX(属性投放!$DG$6:$DG$85,(卡牌属性!AG71-2)*20+卡牌属性!AN71)</f>
        <v>919</v>
      </c>
      <c r="AU71" s="14">
        <f t="shared" si="149"/>
        <v>919</v>
      </c>
      <c r="AV71" s="14">
        <f t="shared" si="149"/>
        <v>919</v>
      </c>
      <c r="AW71" s="14">
        <f t="shared" si="149"/>
        <v>919</v>
      </c>
      <c r="AX71" s="14">
        <f t="shared" si="149"/>
        <v>919</v>
      </c>
      <c r="AY71" s="14">
        <f>INDEX(属性投放!$DH$6:$DH$85,(卡牌属性!AG71-2)*20+卡牌属性!AN71)</f>
        <v>12624</v>
      </c>
      <c r="AZ71" s="14">
        <f t="shared" si="150"/>
        <v>12624</v>
      </c>
      <c r="BA71" s="14">
        <f t="shared" si="150"/>
        <v>12624</v>
      </c>
      <c r="BB71" s="14">
        <f t="shared" si="150"/>
        <v>12624</v>
      </c>
      <c r="BC71" s="14">
        <f t="shared" si="150"/>
        <v>12624</v>
      </c>
      <c r="BD71" s="14">
        <f>INDEX(属性投放!$DL$6:$DL$85,(卡牌属性!AG71-2)*20+卡牌属性!AN71)</f>
        <v>58</v>
      </c>
      <c r="BE71" s="14">
        <f t="shared" si="151"/>
        <v>58</v>
      </c>
      <c r="BF71" s="14">
        <f t="shared" si="151"/>
        <v>58</v>
      </c>
      <c r="BG71" s="14">
        <f t="shared" si="151"/>
        <v>58</v>
      </c>
      <c r="BH71" s="14">
        <f t="shared" si="151"/>
        <v>58</v>
      </c>
      <c r="BI71" s="14">
        <f>INDEX(属性投放!$DM$6:$DM$85,(卡牌属性!AG71-2)*20+卡牌属性!AN71)</f>
        <v>29</v>
      </c>
      <c r="BJ71" s="14">
        <f t="shared" si="152"/>
        <v>29</v>
      </c>
      <c r="BK71" s="14">
        <f t="shared" si="152"/>
        <v>29</v>
      </c>
      <c r="BL71" s="14">
        <f t="shared" si="152"/>
        <v>29</v>
      </c>
      <c r="BM71" s="14">
        <f t="shared" si="152"/>
        <v>29</v>
      </c>
      <c r="BN71" s="14">
        <f>INDEX(属性投放!$DN$6:$DN$85,(卡牌属性!AG71-2)*20+卡牌属性!AN71)</f>
        <v>461</v>
      </c>
      <c r="BO71" s="14">
        <f t="shared" si="153"/>
        <v>461</v>
      </c>
      <c r="BP71" s="14">
        <f t="shared" si="153"/>
        <v>461</v>
      </c>
      <c r="BQ71" s="14">
        <f t="shared" si="153"/>
        <v>461</v>
      </c>
      <c r="BR71" s="14">
        <f t="shared" si="153"/>
        <v>461</v>
      </c>
      <c r="BW71" s="13">
        <v>67</v>
      </c>
      <c r="BX71" s="13">
        <f t="shared" si="173"/>
        <v>4</v>
      </c>
      <c r="BY71" s="14">
        <f t="shared" si="174"/>
        <v>2</v>
      </c>
      <c r="BZ71" s="14">
        <f t="shared" si="189"/>
        <v>1102004</v>
      </c>
      <c r="CA71" s="14" t="str">
        <f t="shared" si="190"/>
        <v>唐流雨7突</v>
      </c>
      <c r="CB71" s="25" t="s">
        <v>142</v>
      </c>
      <c r="CC71" s="14">
        <v>2</v>
      </c>
      <c r="CD71" s="14">
        <f t="shared" si="175"/>
        <v>7</v>
      </c>
      <c r="CE71" s="14" t="s">
        <v>21</v>
      </c>
      <c r="CF71" s="14">
        <f>INDEX(属性投放!$AZ$6:$AZ$85,(BY71-2)*20+CD71)</f>
        <v>1076</v>
      </c>
      <c r="CG71" s="14" t="s">
        <v>22</v>
      </c>
      <c r="CH71" s="14">
        <f>INDEX(属性投放!$BA$6:$BA$85,(BY71-2)*20+CD71)</f>
        <v>493</v>
      </c>
      <c r="CI71" s="14" t="s">
        <v>510</v>
      </c>
      <c r="CJ71" s="14">
        <f>INDEX(属性投放!$BB$6:$BB$85,(BY71-2)*20+CD71)</f>
        <v>6782</v>
      </c>
      <c r="CK71" s="14" t="s">
        <v>21</v>
      </c>
      <c r="CL71" s="14">
        <f>INDEX(属性投放!$BC$6:$BC$85,(BY71-2)*20+CD71)</f>
        <v>10</v>
      </c>
      <c r="CM71" s="14" t="s">
        <v>22</v>
      </c>
      <c r="CN71" s="14">
        <f>INDEX(属性投放!$BD$6:$BD$85,(BY71-2)*20+CD71)</f>
        <v>5</v>
      </c>
      <c r="CO71" s="14" t="s">
        <v>510</v>
      </c>
      <c r="CP71" s="14">
        <f>INDEX(属性投放!$BE$6:$BE$85,(BY71-2)*20+CD71)</f>
        <v>80</v>
      </c>
      <c r="CS71" s="13">
        <v>67</v>
      </c>
      <c r="CT71" s="13">
        <f t="shared" si="191"/>
        <v>2</v>
      </c>
      <c r="CU71" s="13">
        <f t="shared" si="192"/>
        <v>15</v>
      </c>
      <c r="CV71" s="14">
        <f t="shared" si="193"/>
        <v>3</v>
      </c>
      <c r="CW71" s="14">
        <f t="shared" si="194"/>
        <v>1102002</v>
      </c>
      <c r="CX71" s="14" t="str">
        <f>INDEX($O$6:$O$50,CT71)&amp;"-"&amp;INDEX(属性投放!$AB$7:$AB$50,CZ71)&amp;"-魂火-"&amp;DB71</f>
        <v>许褚-叫唤+1-魂火-2</v>
      </c>
      <c r="CY71" s="25" t="s">
        <v>142</v>
      </c>
      <c r="CZ71" s="14">
        <f>INDEX(属性投放!$AM$7:$AM$58,CU71)</f>
        <v>8</v>
      </c>
      <c r="DA71" s="14" t="s">
        <v>537</v>
      </c>
      <c r="DB71" s="14">
        <f>INDEX(属性投放!$AN$7:$AN$58,CU71)</f>
        <v>2</v>
      </c>
      <c r="DC71" s="14">
        <f t="shared" si="176"/>
        <v>15</v>
      </c>
      <c r="DD71" s="14">
        <f>INDEX(属性投放!$AO$7:$AO$58,DC71)</f>
        <v>55</v>
      </c>
      <c r="DE71" s="14" t="s">
        <v>538</v>
      </c>
      <c r="DF71" s="14">
        <f>INDEX(属性投放!$BK$6:$BK$85,(CV71-2)*20+CZ71)</f>
        <v>85</v>
      </c>
      <c r="DG71" s="14">
        <f>SUMIFS(DF$5:DF71,$CT$5:$CT71,"="&amp;$CT71)</f>
        <v>710</v>
      </c>
      <c r="DH71" s="14" t="s">
        <v>539</v>
      </c>
      <c r="DI71" s="14">
        <f>INDEX(属性投放!$BL$6:$BL$85,(CV71-2)*20+CZ71)</f>
        <v>43</v>
      </c>
      <c r="DJ71" s="14">
        <f>SUMIFS(DI$5:DI71,$CT$5:$CT71,"="&amp;$CT71)</f>
        <v>358</v>
      </c>
      <c r="DK71" s="14" t="s">
        <v>540</v>
      </c>
      <c r="DL71" s="14">
        <f>INDEX(属性投放!$BM$6:$BM$85,(CV71-2)*20+CZ71)</f>
        <v>680</v>
      </c>
      <c r="DM71" s="14">
        <f>SUMIFS(DL$5:DL71,$CT$5:$CT71,"="&amp;$CT71)</f>
        <v>5150</v>
      </c>
      <c r="DR71" s="14">
        <f t="shared" si="177"/>
        <v>1102004</v>
      </c>
      <c r="DS71" s="14" t="str">
        <f t="shared" si="178"/>
        <v>唐流雨7突</v>
      </c>
      <c r="DT71" s="14">
        <f t="shared" si="195"/>
        <v>4</v>
      </c>
      <c r="DU71" s="14">
        <f t="shared" si="196"/>
        <v>2</v>
      </c>
      <c r="DV71" s="14">
        <f t="shared" si="197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INDEX(属性投放!$AX$6:$AX$85,(卡牌属性!DW71-2)*20+卡牌属性!DX71)</f>
        <v>5</v>
      </c>
      <c r="EA71" s="14">
        <f>INDEX(属性投放!BQ$6:BQ$85,卡牌属性!$DY71)</f>
        <v>100</v>
      </c>
      <c r="EB71" s="14">
        <f>INDEX(属性投放!BR$6:BR$85,卡牌属性!$DY71)</f>
        <v>50</v>
      </c>
      <c r="EC71" s="14">
        <f>INDEX(属性投放!BS$6:BS$85,卡牌属性!$DY71)</f>
        <v>800</v>
      </c>
      <c r="ED71" s="14">
        <f t="shared" si="154"/>
        <v>874</v>
      </c>
      <c r="EE71" s="14">
        <f t="shared" si="155"/>
        <v>991</v>
      </c>
      <c r="EF71" s="14">
        <f t="shared" si="156"/>
        <v>1086</v>
      </c>
      <c r="EG71" s="14">
        <f t="shared" si="157"/>
        <v>1086</v>
      </c>
      <c r="EH71" s="14">
        <f t="shared" si="158"/>
        <v>1333</v>
      </c>
      <c r="EI71" s="14">
        <f t="shared" si="159"/>
        <v>312</v>
      </c>
      <c r="EJ71" s="14">
        <f t="shared" si="160"/>
        <v>343</v>
      </c>
      <c r="EK71" s="14">
        <f t="shared" si="161"/>
        <v>343</v>
      </c>
      <c r="EL71" s="14">
        <f t="shared" si="162"/>
        <v>395</v>
      </c>
      <c r="EM71" s="14">
        <f t="shared" si="163"/>
        <v>451</v>
      </c>
      <c r="EN71" s="14">
        <f t="shared" si="164"/>
        <v>4682</v>
      </c>
      <c r="EO71" s="14">
        <f t="shared" si="165"/>
        <v>5354</v>
      </c>
      <c r="EP71" s="14">
        <f t="shared" si="166"/>
        <v>5354</v>
      </c>
      <c r="EQ71" s="14">
        <f t="shared" si="167"/>
        <v>6050</v>
      </c>
      <c r="ER71" s="14">
        <f t="shared" si="168"/>
        <v>6642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80</v>
      </c>
      <c r="FD71" s="14">
        <f>INDEX(属性偏向!$U$4:$U$243,(卡牌属性!$DV71-1+FD$3)*20+卡牌属性!$DX71)</f>
        <v>96</v>
      </c>
      <c r="FE71" s="14">
        <f>INDEX(属性偏向!$U$4:$U$243,(卡牌属性!$DV71-1+FE$3)*20+卡牌属性!$DX71)</f>
        <v>96</v>
      </c>
      <c r="FF71" s="14">
        <f>INDEX(属性偏向!$U$4:$U$243,(卡牌属性!$DV71-1+FF$3)*20+卡牌属性!$DX71)</f>
        <v>120</v>
      </c>
      <c r="FG71" s="14">
        <f>INDEX(属性偏向!$U$4:$U$243,(卡牌属性!$DV71-1+FG$3)*20+卡牌属性!$DX71)</f>
        <v>128</v>
      </c>
      <c r="FH71" s="14">
        <f>INDEX(属性投放!$BQ$6:$BQ$85,(卡牌属性!$DW71-2)*20+卡牌属性!$DX71)</f>
        <v>100</v>
      </c>
      <c r="FI71" s="14">
        <f>INDEX(属性投放!$BQ$6:$BQ$85,(卡牌属性!$DW71-2)*20+卡牌属性!$DX71)</f>
        <v>100</v>
      </c>
      <c r="FJ71" s="14">
        <f>INDEX(属性投放!$BQ$6:$BQ$85,(卡牌属性!$DW71-2)*20+卡牌属性!$DX71)</f>
        <v>100</v>
      </c>
      <c r="FK71" s="14">
        <f>INDEX(属性投放!$BQ$6:$BQ$85,(卡牌属性!$DW71-2)*20+卡牌属性!$DX71)</f>
        <v>100</v>
      </c>
      <c r="FL71" s="14">
        <f>INDEX(属性投放!$BQ$6:$BQ$85,(卡牌属性!$DW71-2)*20+卡牌属性!$DX71)</f>
        <v>100</v>
      </c>
      <c r="FM71" s="14">
        <f>INDEX(属性投放!$BR$6:$BR$85,(卡牌属性!$DW71-2)*20+卡牌属性!$DX71)</f>
        <v>50</v>
      </c>
      <c r="FN71" s="14">
        <f>INDEX(属性投放!$BR$6:$BR$85,(卡牌属性!$DW71-2)*20+卡牌属性!$DX71)</f>
        <v>50</v>
      </c>
      <c r="FO71" s="14">
        <f>INDEX(属性投放!$BR$6:$BR$85,(卡牌属性!$DW71-2)*20+卡牌属性!$DX71)</f>
        <v>50</v>
      </c>
      <c r="FP71" s="14">
        <f>INDEX(属性投放!$BR$6:$BR$85,(卡牌属性!$DW71-2)*20+卡牌属性!$DX71)</f>
        <v>50</v>
      </c>
      <c r="FQ71" s="14">
        <f>INDEX(属性投放!$BR$6:$BR$85,(卡牌属性!$DW71-2)*20+卡牌属性!$DX71)</f>
        <v>50</v>
      </c>
      <c r="FR71" s="14">
        <f>INDEX(属性投放!$BS$6:$BS$85,(卡牌属性!$DW71-2)*20+卡牌属性!$DX71)</f>
        <v>800</v>
      </c>
      <c r="FS71" s="14">
        <f>INDEX(属性投放!$BS$6:$BS$85,(卡牌属性!$DW71-2)*20+卡牌属性!$DX71)</f>
        <v>800</v>
      </c>
      <c r="FT71" s="14">
        <f>INDEX(属性投放!$BS$6:$BS$85,(卡牌属性!$DW71-2)*20+卡牌属性!$DX71)</f>
        <v>800</v>
      </c>
      <c r="FU71" s="14">
        <f>INDEX(属性投放!$BS$6:$BS$85,(卡牌属性!$DW71-2)*20+卡牌属性!$DX71)</f>
        <v>800</v>
      </c>
      <c r="FV71" s="14">
        <f>INDEX(属性投放!$BS$6:$BS$85,(卡牌属性!$DW71-2)*20+卡牌属性!$DX71)</f>
        <v>800</v>
      </c>
      <c r="FZ71" s="13">
        <v>67</v>
      </c>
      <c r="GA71" s="13">
        <f t="shared" si="182"/>
        <v>14</v>
      </c>
      <c r="GB71" s="14">
        <f t="shared" si="198"/>
        <v>1102014</v>
      </c>
      <c r="GC71" s="14" t="s">
        <v>1187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9"/>
        <v>1101014</v>
      </c>
      <c r="GQ71" s="14" t="s">
        <v>1187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MATCH(HC71,属性投放!$AO$6:$AO$58,1)-1</f>
        <v>19</v>
      </c>
      <c r="HF71" s="13">
        <f>MATCH(HC71-1,属性投放!$AE$6:$AE$26,1)</f>
        <v>10</v>
      </c>
      <c r="HG71" s="13" t="str">
        <f>INDEX(属性投放!$AB$7:$AB$26,卡牌属性!HF71)</f>
        <v>大叫唤</v>
      </c>
      <c r="HH71" s="14">
        <f t="shared" si="200"/>
        <v>2463</v>
      </c>
      <c r="HI71" s="14">
        <f t="shared" si="201"/>
        <v>992</v>
      </c>
      <c r="HJ71" s="14">
        <f t="shared" si="202"/>
        <v>14146</v>
      </c>
      <c r="HK71" s="14">
        <f t="shared" si="203"/>
        <v>30</v>
      </c>
      <c r="HL71" s="14">
        <f t="shared" si="204"/>
        <v>11</v>
      </c>
      <c r="HM71" s="14">
        <f t="shared" si="205"/>
        <v>189</v>
      </c>
      <c r="HN71" s="14">
        <f>HH71+HK71*($HC71-INDEX(属性投放!$AE$6:$AE$26,卡牌属性!$HF71))</f>
        <v>2523</v>
      </c>
      <c r="HO71" s="14">
        <f>HI71+HL71*($HC71-INDEX(属性投放!$AE$6:$AE$26,卡牌属性!$HF71))</f>
        <v>1014</v>
      </c>
      <c r="HP71" s="14">
        <f>HJ71+HM71*($HC71-INDEX(属性投放!$AE$6:$AE$26,卡牌属性!$HF71))</f>
        <v>14524</v>
      </c>
      <c r="HQ71" s="14">
        <f t="shared" si="206"/>
        <v>1310</v>
      </c>
      <c r="HR71" s="14">
        <f t="shared" si="207"/>
        <v>660</v>
      </c>
      <c r="HS71" s="14">
        <f t="shared" si="208"/>
        <v>9980</v>
      </c>
      <c r="HT71" s="14">
        <f>IF(COUNTIF(属性投放!$AO$7:$AO$58,"="&amp;卡牌属性!HC71)&gt;0,卡牌属性!HE71,0)</f>
        <v>0</v>
      </c>
      <c r="HU71" s="14">
        <f t="shared" si="209"/>
        <v>0</v>
      </c>
      <c r="HV71" s="14">
        <f t="shared" si="210"/>
        <v>0</v>
      </c>
      <c r="HW71" s="14">
        <f t="shared" si="211"/>
        <v>0</v>
      </c>
      <c r="HX71" s="14">
        <f>IF(COUNTIF(属性投放!$AE$6:$AE$26,"="&amp;卡牌属性!HC71)&gt;0,卡牌属性!HF71,0)</f>
        <v>0</v>
      </c>
      <c r="HY71" s="14">
        <f t="shared" si="212"/>
        <v>0</v>
      </c>
      <c r="HZ71" s="14">
        <f t="shared" si="213"/>
        <v>0</v>
      </c>
      <c r="IA71" s="14">
        <f t="shared" si="214"/>
        <v>0</v>
      </c>
      <c r="IB71" s="14">
        <f t="shared" si="215"/>
        <v>30</v>
      </c>
      <c r="IC71" s="14">
        <f t="shared" si="216"/>
        <v>11</v>
      </c>
      <c r="ID71" s="14">
        <f t="shared" si="217"/>
        <v>189</v>
      </c>
      <c r="IE71" s="14">
        <f t="shared" si="218"/>
        <v>3833</v>
      </c>
      <c r="IF71" s="14">
        <f t="shared" si="219"/>
        <v>1674</v>
      </c>
      <c r="IG71" s="14">
        <f t="shared" si="220"/>
        <v>24504</v>
      </c>
      <c r="IH71" s="14">
        <f t="shared" si="221"/>
        <v>709</v>
      </c>
      <c r="II71" s="14">
        <f t="shared" si="222"/>
        <v>0</v>
      </c>
      <c r="IJ71" s="14">
        <f t="shared" si="223"/>
        <v>0</v>
      </c>
      <c r="IK71" s="14">
        <f t="shared" si="224"/>
        <v>96314</v>
      </c>
      <c r="IL71" s="17">
        <f t="shared" si="225"/>
        <v>7.3613389538384867E-3</v>
      </c>
      <c r="IM71" s="17">
        <f t="shared" si="226"/>
        <v>0</v>
      </c>
      <c r="IN71" s="17">
        <f t="shared" si="227"/>
        <v>0</v>
      </c>
      <c r="IO71" s="23">
        <f>SUM(IH$5:IH71)</f>
        <v>28824</v>
      </c>
      <c r="IP71" s="14">
        <f>SUM(II$5:II71)</f>
        <v>36280</v>
      </c>
      <c r="IQ71" s="14">
        <f>SUM(IJ$5:IJ71)</f>
        <v>22440</v>
      </c>
      <c r="IR71" s="17">
        <f t="shared" si="228"/>
        <v>0.2992711339992109</v>
      </c>
      <c r="IS71" s="17">
        <f t="shared" si="229"/>
        <v>0.37668459414000044</v>
      </c>
      <c r="IT71" s="17">
        <f t="shared" si="230"/>
        <v>0.23298793529497269</v>
      </c>
      <c r="IW71" s="13">
        <v>67</v>
      </c>
      <c r="IX71" s="14">
        <f>MATCH(IW71-1,属性投放!$T$6:$T$66,1)</f>
        <v>6</v>
      </c>
      <c r="IY71" s="14">
        <f>MATCH(IW71-1,属性投放!$AD$7:$AD$26,1)</f>
        <v>9</v>
      </c>
      <c r="IZ71" s="14" t="str">
        <f>INDEX(属性投放!$AB$7:$AB$26,IY71)</f>
        <v>叫唤+2</v>
      </c>
      <c r="JA71" s="14">
        <f t="shared" si="231"/>
        <v>1281</v>
      </c>
      <c r="JB71" s="14">
        <f t="shared" si="232"/>
        <v>590</v>
      </c>
      <c r="JC71" s="14">
        <f t="shared" si="233"/>
        <v>8429</v>
      </c>
      <c r="JD71" s="14">
        <f t="shared" si="234"/>
        <v>36</v>
      </c>
      <c r="JE71" s="14">
        <f t="shared" si="235"/>
        <v>18</v>
      </c>
      <c r="JF71" s="14">
        <f t="shared" si="236"/>
        <v>286</v>
      </c>
      <c r="JG71" s="14">
        <f>INDEX(属性投放!$DC$6:$DC$85,卡牌属性!IY71)</f>
        <v>45</v>
      </c>
      <c r="JH71" s="14">
        <f t="shared" si="237"/>
        <v>2073</v>
      </c>
      <c r="JI71" s="14">
        <f t="shared" si="238"/>
        <v>986</v>
      </c>
      <c r="JJ71" s="14">
        <f t="shared" si="239"/>
        <v>14721</v>
      </c>
      <c r="JK71" s="14">
        <f t="shared" si="240"/>
        <v>34946</v>
      </c>
    </row>
    <row r="72" spans="31:271" ht="16.5" x14ac:dyDescent="0.2">
      <c r="AE72" s="13">
        <v>68</v>
      </c>
      <c r="AF72" s="13">
        <f t="shared" si="188"/>
        <v>4</v>
      </c>
      <c r="AG72" s="13">
        <f t="shared" si="169"/>
        <v>4</v>
      </c>
      <c r="AH72" s="13"/>
      <c r="AI72" s="13"/>
      <c r="AJ72" s="14">
        <f t="shared" si="170"/>
        <v>1101004</v>
      </c>
      <c r="AK72" s="14" t="str">
        <f t="shared" si="171"/>
        <v>项昆仑8突</v>
      </c>
      <c r="AL72" s="25" t="s">
        <v>142</v>
      </c>
      <c r="AM72" s="14">
        <v>1</v>
      </c>
      <c r="AN72" s="14">
        <f t="shared" si="172"/>
        <v>8</v>
      </c>
      <c r="AO72" s="14">
        <f>INDEX(属性投放!$DF$6:$DF$85,(卡牌属性!AG72-2)*20+卡牌属性!AN72)</f>
        <v>2147</v>
      </c>
      <c r="AP72" s="14">
        <f t="shared" si="148"/>
        <v>2147</v>
      </c>
      <c r="AQ72" s="14">
        <f t="shared" si="148"/>
        <v>2147</v>
      </c>
      <c r="AR72" s="14">
        <f t="shared" si="148"/>
        <v>2147</v>
      </c>
      <c r="AS72" s="14">
        <f t="shared" si="148"/>
        <v>2147</v>
      </c>
      <c r="AT72" s="14">
        <f>INDEX(属性投放!$DG$6:$DG$85,(卡牌属性!AG72-2)*20+卡牌属性!AN72)</f>
        <v>1002</v>
      </c>
      <c r="AU72" s="14">
        <f t="shared" si="149"/>
        <v>1002</v>
      </c>
      <c r="AV72" s="14">
        <f t="shared" si="149"/>
        <v>1002</v>
      </c>
      <c r="AW72" s="14">
        <f t="shared" si="149"/>
        <v>1002</v>
      </c>
      <c r="AX72" s="14">
        <f t="shared" si="149"/>
        <v>1002</v>
      </c>
      <c r="AY72" s="14">
        <f>INDEX(属性投放!$DH$6:$DH$85,(卡牌属性!AG72-2)*20+卡牌属性!AN72)</f>
        <v>13940</v>
      </c>
      <c r="AZ72" s="14">
        <f t="shared" si="150"/>
        <v>13940</v>
      </c>
      <c r="BA72" s="14">
        <f t="shared" si="150"/>
        <v>13940</v>
      </c>
      <c r="BB72" s="14">
        <f t="shared" si="150"/>
        <v>13940</v>
      </c>
      <c r="BC72" s="14">
        <f t="shared" si="150"/>
        <v>13940</v>
      </c>
      <c r="BD72" s="14">
        <f>INDEX(属性投放!$DL$6:$DL$85,(卡牌属性!AG72-2)*20+卡牌属性!AN72)</f>
        <v>58</v>
      </c>
      <c r="BE72" s="14">
        <f t="shared" si="151"/>
        <v>58</v>
      </c>
      <c r="BF72" s="14">
        <f t="shared" si="151"/>
        <v>58</v>
      </c>
      <c r="BG72" s="14">
        <f t="shared" si="151"/>
        <v>58</v>
      </c>
      <c r="BH72" s="14">
        <f t="shared" si="151"/>
        <v>58</v>
      </c>
      <c r="BI72" s="14">
        <f>INDEX(属性投放!$DM$6:$DM$85,(卡牌属性!AG72-2)*20+卡牌属性!AN72)</f>
        <v>29</v>
      </c>
      <c r="BJ72" s="14">
        <f t="shared" si="152"/>
        <v>29</v>
      </c>
      <c r="BK72" s="14">
        <f t="shared" si="152"/>
        <v>29</v>
      </c>
      <c r="BL72" s="14">
        <f t="shared" si="152"/>
        <v>29</v>
      </c>
      <c r="BM72" s="14">
        <f t="shared" si="152"/>
        <v>29</v>
      </c>
      <c r="BN72" s="14">
        <f>INDEX(属性投放!$DN$6:$DN$85,(卡牌属性!AG72-2)*20+卡牌属性!AN72)</f>
        <v>461</v>
      </c>
      <c r="BO72" s="14">
        <f t="shared" si="153"/>
        <v>461</v>
      </c>
      <c r="BP72" s="14">
        <f t="shared" si="153"/>
        <v>461</v>
      </c>
      <c r="BQ72" s="14">
        <f t="shared" si="153"/>
        <v>461</v>
      </c>
      <c r="BR72" s="14">
        <f t="shared" si="153"/>
        <v>461</v>
      </c>
      <c r="BW72" s="13">
        <v>68</v>
      </c>
      <c r="BX72" s="13">
        <f t="shared" si="173"/>
        <v>4</v>
      </c>
      <c r="BY72" s="14">
        <f t="shared" si="174"/>
        <v>2</v>
      </c>
      <c r="BZ72" s="14">
        <f t="shared" si="189"/>
        <v>1102004</v>
      </c>
      <c r="CA72" s="14" t="str">
        <f t="shared" si="190"/>
        <v>唐流雨8突</v>
      </c>
      <c r="CB72" s="25" t="s">
        <v>142</v>
      </c>
      <c r="CC72" s="14">
        <v>2</v>
      </c>
      <c r="CD72" s="14">
        <f t="shared" si="175"/>
        <v>8</v>
      </c>
      <c r="CE72" s="14" t="s">
        <v>21</v>
      </c>
      <c r="CF72" s="14">
        <f>INDEX(属性投放!$AZ$6:$AZ$85,(BY72-2)*20+CD72)</f>
        <v>1336</v>
      </c>
      <c r="CG72" s="14" t="s">
        <v>22</v>
      </c>
      <c r="CH72" s="14">
        <f>INDEX(属性投放!$BA$6:$BA$85,(BY72-2)*20+CD72)</f>
        <v>624</v>
      </c>
      <c r="CI72" s="14" t="s">
        <v>510</v>
      </c>
      <c r="CJ72" s="14">
        <f>INDEX(属性投放!$BB$6:$BB$85,(BY72-2)*20+CD72)</f>
        <v>8862</v>
      </c>
      <c r="CK72" s="14" t="s">
        <v>21</v>
      </c>
      <c r="CL72" s="14">
        <f>INDEX(属性投放!$BC$6:$BC$85,(BY72-2)*20+CD72)</f>
        <v>10</v>
      </c>
      <c r="CM72" s="14" t="s">
        <v>22</v>
      </c>
      <c r="CN72" s="14">
        <f>INDEX(属性投放!$BD$6:$BD$85,(BY72-2)*20+CD72)</f>
        <v>5</v>
      </c>
      <c r="CO72" s="14" t="s">
        <v>510</v>
      </c>
      <c r="CP72" s="14">
        <f>INDEX(属性投放!$BE$6:$BE$85,(BY72-2)*20+CD72)</f>
        <v>80</v>
      </c>
      <c r="CS72" s="13">
        <v>68</v>
      </c>
      <c r="CT72" s="13">
        <f t="shared" si="191"/>
        <v>2</v>
      </c>
      <c r="CU72" s="13">
        <f t="shared" si="192"/>
        <v>16</v>
      </c>
      <c r="CV72" s="14">
        <f t="shared" si="193"/>
        <v>3</v>
      </c>
      <c r="CW72" s="14">
        <f t="shared" si="194"/>
        <v>1102002</v>
      </c>
      <c r="CX72" s="14" t="str">
        <f>INDEX($O$6:$O$50,CT72)&amp;"-"&amp;INDEX(属性投放!$AB$7:$AB$50,CZ72)&amp;"-魂火-"&amp;DB72</f>
        <v>许褚-叫唤+2-魂火-1</v>
      </c>
      <c r="CY72" s="25" t="s">
        <v>142</v>
      </c>
      <c r="CZ72" s="14">
        <f>INDEX(属性投放!$AM$7:$AM$58,CU72)</f>
        <v>9</v>
      </c>
      <c r="DA72" s="14" t="s">
        <v>537</v>
      </c>
      <c r="DB72" s="14">
        <f>INDEX(属性投放!$AN$7:$AN$58,CU72)</f>
        <v>1</v>
      </c>
      <c r="DC72" s="14">
        <f t="shared" si="176"/>
        <v>16</v>
      </c>
      <c r="DD72" s="14">
        <f>INDEX(属性投放!$AO$7:$AO$58,DC72)</f>
        <v>58</v>
      </c>
      <c r="DE72" s="14" t="s">
        <v>538</v>
      </c>
      <c r="DF72" s="14">
        <f>INDEX(属性投放!$BK$6:$BK$85,(CV72-2)*20+CZ72)</f>
        <v>100</v>
      </c>
      <c r="DG72" s="14">
        <f>SUMIFS(DF$5:DF72,$CT$5:$CT72,"="&amp;$CT72)</f>
        <v>810</v>
      </c>
      <c r="DH72" s="14" t="s">
        <v>539</v>
      </c>
      <c r="DI72" s="14">
        <f>INDEX(属性投放!$BL$6:$BL$85,(CV72-2)*20+CZ72)</f>
        <v>50</v>
      </c>
      <c r="DJ72" s="14">
        <f>SUMIFS(DI$5:DI72,$CT$5:$CT72,"="&amp;$CT72)</f>
        <v>408</v>
      </c>
      <c r="DK72" s="14" t="s">
        <v>540</v>
      </c>
      <c r="DL72" s="14">
        <f>INDEX(属性投放!$BM$6:$BM$85,(CV72-2)*20+CZ72)</f>
        <v>800</v>
      </c>
      <c r="DM72" s="14">
        <f>SUMIFS(DL$5:DL72,$CT$5:$CT72,"="&amp;$CT72)</f>
        <v>5950</v>
      </c>
      <c r="DR72" s="14">
        <f t="shared" si="177"/>
        <v>1102004</v>
      </c>
      <c r="DS72" s="14" t="str">
        <f t="shared" si="178"/>
        <v>唐流雨8突</v>
      </c>
      <c r="DT72" s="14">
        <f t="shared" si="195"/>
        <v>4</v>
      </c>
      <c r="DU72" s="14">
        <f t="shared" si="196"/>
        <v>2</v>
      </c>
      <c r="DV72" s="14">
        <f t="shared" si="197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INDEX(属性投放!$AX$6:$AX$85,(卡牌属性!DW72-2)*20+卡牌属性!DX72)</f>
        <v>5</v>
      </c>
      <c r="EA72" s="14">
        <f>INDEX(属性投放!BQ$6:BQ$85,卡牌属性!$DY72)</f>
        <v>100</v>
      </c>
      <c r="EB72" s="14">
        <f>INDEX(属性投放!BR$6:BR$85,卡牌属性!$DY72)</f>
        <v>50</v>
      </c>
      <c r="EC72" s="14">
        <f>INDEX(属性投放!BS$6:BS$85,卡牌属性!$DY72)</f>
        <v>800</v>
      </c>
      <c r="ED72" s="14">
        <f t="shared" si="154"/>
        <v>1034</v>
      </c>
      <c r="EE72" s="14">
        <f t="shared" si="155"/>
        <v>1166</v>
      </c>
      <c r="EF72" s="14">
        <f t="shared" si="156"/>
        <v>1266</v>
      </c>
      <c r="EG72" s="14">
        <f t="shared" si="157"/>
        <v>1266</v>
      </c>
      <c r="EH72" s="14">
        <f t="shared" si="158"/>
        <v>1558</v>
      </c>
      <c r="EI72" s="14">
        <f t="shared" si="159"/>
        <v>382</v>
      </c>
      <c r="EJ72" s="14">
        <f t="shared" si="160"/>
        <v>418</v>
      </c>
      <c r="EK72" s="14">
        <f t="shared" si="161"/>
        <v>418</v>
      </c>
      <c r="EL72" s="14">
        <f t="shared" si="162"/>
        <v>475</v>
      </c>
      <c r="EM72" s="14">
        <f t="shared" si="163"/>
        <v>541</v>
      </c>
      <c r="EN72" s="14">
        <f t="shared" si="164"/>
        <v>5882</v>
      </c>
      <c r="EO72" s="14">
        <f t="shared" si="165"/>
        <v>6634</v>
      </c>
      <c r="EP72" s="14">
        <f t="shared" si="166"/>
        <v>6634</v>
      </c>
      <c r="EQ72" s="14">
        <f t="shared" si="167"/>
        <v>7450</v>
      </c>
      <c r="ER72" s="14">
        <f t="shared" si="168"/>
        <v>8082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80</v>
      </c>
      <c r="FD72" s="14">
        <f>INDEX(属性偏向!$U$4:$U$243,(卡牌属性!$DV72-1+FD$3)*20+卡牌属性!$DX72)</f>
        <v>96</v>
      </c>
      <c r="FE72" s="14">
        <f>INDEX(属性偏向!$U$4:$U$243,(卡牌属性!$DV72-1+FE$3)*20+卡牌属性!$DX72)</f>
        <v>96</v>
      </c>
      <c r="FF72" s="14">
        <f>INDEX(属性偏向!$U$4:$U$243,(卡牌属性!$DV72-1+FF$3)*20+卡牌属性!$DX72)</f>
        <v>120</v>
      </c>
      <c r="FG72" s="14">
        <f>INDEX(属性偏向!$U$4:$U$243,(卡牌属性!$DV72-1+FG$3)*20+卡牌属性!$DX72)</f>
        <v>128</v>
      </c>
      <c r="FH72" s="14">
        <f>INDEX(属性投放!$BQ$6:$BQ$85,(卡牌属性!$DW72-2)*20+卡牌属性!$DX72)</f>
        <v>100</v>
      </c>
      <c r="FI72" s="14">
        <f>INDEX(属性投放!$BQ$6:$BQ$85,(卡牌属性!$DW72-2)*20+卡牌属性!$DX72)</f>
        <v>100</v>
      </c>
      <c r="FJ72" s="14">
        <f>INDEX(属性投放!$BQ$6:$BQ$85,(卡牌属性!$DW72-2)*20+卡牌属性!$DX72)</f>
        <v>100</v>
      </c>
      <c r="FK72" s="14">
        <f>INDEX(属性投放!$BQ$6:$BQ$85,(卡牌属性!$DW72-2)*20+卡牌属性!$DX72)</f>
        <v>100</v>
      </c>
      <c r="FL72" s="14">
        <f>INDEX(属性投放!$BQ$6:$BQ$85,(卡牌属性!$DW72-2)*20+卡牌属性!$DX72)</f>
        <v>100</v>
      </c>
      <c r="FM72" s="14">
        <f>INDEX(属性投放!$BR$6:$BR$85,(卡牌属性!$DW72-2)*20+卡牌属性!$DX72)</f>
        <v>50</v>
      </c>
      <c r="FN72" s="14">
        <f>INDEX(属性投放!$BR$6:$BR$85,(卡牌属性!$DW72-2)*20+卡牌属性!$DX72)</f>
        <v>50</v>
      </c>
      <c r="FO72" s="14">
        <f>INDEX(属性投放!$BR$6:$BR$85,(卡牌属性!$DW72-2)*20+卡牌属性!$DX72)</f>
        <v>50</v>
      </c>
      <c r="FP72" s="14">
        <f>INDEX(属性投放!$BR$6:$BR$85,(卡牌属性!$DW72-2)*20+卡牌属性!$DX72)</f>
        <v>50</v>
      </c>
      <c r="FQ72" s="14">
        <f>INDEX(属性投放!$BR$6:$BR$85,(卡牌属性!$DW72-2)*20+卡牌属性!$DX72)</f>
        <v>50</v>
      </c>
      <c r="FR72" s="14">
        <f>INDEX(属性投放!$BS$6:$BS$85,(卡牌属性!$DW72-2)*20+卡牌属性!$DX72)</f>
        <v>800</v>
      </c>
      <c r="FS72" s="14">
        <f>INDEX(属性投放!$BS$6:$BS$85,(卡牌属性!$DW72-2)*20+卡牌属性!$DX72)</f>
        <v>800</v>
      </c>
      <c r="FT72" s="14">
        <f>INDEX(属性投放!$BS$6:$BS$85,(卡牌属性!$DW72-2)*20+卡牌属性!$DX72)</f>
        <v>800</v>
      </c>
      <c r="FU72" s="14">
        <f>INDEX(属性投放!$BS$6:$BS$85,(卡牌属性!$DW72-2)*20+卡牌属性!$DX72)</f>
        <v>800</v>
      </c>
      <c r="FV72" s="14">
        <f>INDEX(属性投放!$BS$6:$BS$85,(卡牌属性!$DW72-2)*20+卡牌属性!$DX72)</f>
        <v>800</v>
      </c>
      <c r="FZ72" s="13">
        <v>68</v>
      </c>
      <c r="GA72" s="13">
        <f t="shared" si="182"/>
        <v>14</v>
      </c>
      <c r="GB72" s="14">
        <f t="shared" si="198"/>
        <v>1102014</v>
      </c>
      <c r="GC72" s="14" t="s">
        <v>1187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9"/>
        <v>1101014</v>
      </c>
      <c r="GQ72" s="14" t="s">
        <v>1187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MATCH(HC72,属性投放!$AO$6:$AO$58,1)-1</f>
        <v>20</v>
      </c>
      <c r="HF72" s="13">
        <f>MATCH(HC72-1,属性投放!$AE$6:$AE$26,1)</f>
        <v>10</v>
      </c>
      <c r="HG72" s="13" t="str">
        <f>INDEX(属性投放!$AB$7:$AB$26,卡牌属性!HF72)</f>
        <v>大叫唤</v>
      </c>
      <c r="HH72" s="14">
        <f t="shared" si="200"/>
        <v>2463</v>
      </c>
      <c r="HI72" s="14">
        <f t="shared" si="201"/>
        <v>992</v>
      </c>
      <c r="HJ72" s="14">
        <f t="shared" si="202"/>
        <v>14146</v>
      </c>
      <c r="HK72" s="14">
        <f t="shared" si="203"/>
        <v>30</v>
      </c>
      <c r="HL72" s="14">
        <f t="shared" si="204"/>
        <v>11</v>
      </c>
      <c r="HM72" s="14">
        <f t="shared" si="205"/>
        <v>189</v>
      </c>
      <c r="HN72" s="14">
        <f>HH72+HK72*($HC72-INDEX(属性投放!$AE$6:$AE$26,卡牌属性!$HF72))</f>
        <v>2553</v>
      </c>
      <c r="HO72" s="14">
        <f>HI72+HL72*($HC72-INDEX(属性投放!$AE$6:$AE$26,卡牌属性!$HF72))</f>
        <v>1025</v>
      </c>
      <c r="HP72" s="14">
        <f>HJ72+HM72*($HC72-INDEX(属性投放!$AE$6:$AE$26,卡牌属性!$HF72))</f>
        <v>14713</v>
      </c>
      <c r="HQ72" s="14">
        <f t="shared" si="206"/>
        <v>1440</v>
      </c>
      <c r="HR72" s="14">
        <f t="shared" si="207"/>
        <v>725</v>
      </c>
      <c r="HS72" s="14">
        <f t="shared" si="208"/>
        <v>11150</v>
      </c>
      <c r="HT72" s="14">
        <f>IF(COUNTIF(属性投放!$AO$7:$AO$58,"="&amp;卡牌属性!HC72)&gt;0,卡牌属性!HE72,0)</f>
        <v>20</v>
      </c>
      <c r="HU72" s="14">
        <f t="shared" si="209"/>
        <v>130</v>
      </c>
      <c r="HV72" s="14">
        <f t="shared" si="210"/>
        <v>65</v>
      </c>
      <c r="HW72" s="14">
        <f t="shared" si="211"/>
        <v>1170</v>
      </c>
      <c r="HX72" s="14">
        <f>IF(COUNTIF(属性投放!$AE$6:$AE$26,"="&amp;卡牌属性!HC72)&gt;0,卡牌属性!HF72,0)</f>
        <v>0</v>
      </c>
      <c r="HY72" s="14">
        <f t="shared" si="212"/>
        <v>0</v>
      </c>
      <c r="HZ72" s="14">
        <f t="shared" si="213"/>
        <v>0</v>
      </c>
      <c r="IA72" s="14">
        <f t="shared" si="214"/>
        <v>0</v>
      </c>
      <c r="IB72" s="14">
        <f t="shared" si="215"/>
        <v>30</v>
      </c>
      <c r="IC72" s="14">
        <f t="shared" si="216"/>
        <v>11</v>
      </c>
      <c r="ID72" s="14">
        <f t="shared" si="217"/>
        <v>189</v>
      </c>
      <c r="IE72" s="14">
        <f t="shared" si="218"/>
        <v>3993</v>
      </c>
      <c r="IF72" s="14">
        <f t="shared" si="219"/>
        <v>1750</v>
      </c>
      <c r="IG72" s="14">
        <f t="shared" si="220"/>
        <v>25863</v>
      </c>
      <c r="IH72" s="14">
        <f t="shared" si="221"/>
        <v>709</v>
      </c>
      <c r="II72" s="14">
        <f t="shared" si="222"/>
        <v>3770</v>
      </c>
      <c r="IJ72" s="14">
        <f t="shared" si="223"/>
        <v>0</v>
      </c>
      <c r="IK72" s="14">
        <f t="shared" si="224"/>
        <v>100793</v>
      </c>
      <c r="IL72" s="17">
        <f t="shared" si="225"/>
        <v>7.0342186461361403E-3</v>
      </c>
      <c r="IM72" s="17">
        <f t="shared" si="226"/>
        <v>3.7403391108509522E-2</v>
      </c>
      <c r="IN72" s="17">
        <f t="shared" si="227"/>
        <v>0</v>
      </c>
      <c r="IO72" s="23">
        <f>SUM(IH$5:IH72)</f>
        <v>29533</v>
      </c>
      <c r="IP72" s="14">
        <f>SUM(II$5:II72)</f>
        <v>40050</v>
      </c>
      <c r="IQ72" s="14">
        <f>SUM(IJ$5:IJ72)</f>
        <v>22440</v>
      </c>
      <c r="IR72" s="17">
        <f t="shared" si="228"/>
        <v>0.29300645878185982</v>
      </c>
      <c r="IS72" s="17">
        <f t="shared" si="229"/>
        <v>0.39734902225352953</v>
      </c>
      <c r="IT72" s="17">
        <f t="shared" si="230"/>
        <v>0.22263450834879406</v>
      </c>
      <c r="IW72" s="13">
        <v>68</v>
      </c>
      <c r="IX72" s="14">
        <f>MATCH(IW72-1,属性投放!$T$6:$T$66,1)</f>
        <v>7</v>
      </c>
      <c r="IY72" s="14">
        <f>MATCH(IW72-1,属性投放!$AD$7:$AD$26,1)</f>
        <v>9</v>
      </c>
      <c r="IZ72" s="14" t="str">
        <f>INDEX(属性投放!$AB$7:$AB$26,IY72)</f>
        <v>叫唤+2</v>
      </c>
      <c r="JA72" s="14">
        <f t="shared" si="231"/>
        <v>1281</v>
      </c>
      <c r="JB72" s="14">
        <f t="shared" si="232"/>
        <v>590</v>
      </c>
      <c r="JC72" s="14">
        <f t="shared" si="233"/>
        <v>8429</v>
      </c>
      <c r="JD72" s="14">
        <f t="shared" si="234"/>
        <v>36</v>
      </c>
      <c r="JE72" s="14">
        <f t="shared" si="235"/>
        <v>18</v>
      </c>
      <c r="JF72" s="14">
        <f t="shared" si="236"/>
        <v>286</v>
      </c>
      <c r="JG72" s="14">
        <f>INDEX(属性投放!$DC$6:$DC$85,卡牌属性!IY72)</f>
        <v>45</v>
      </c>
      <c r="JH72" s="14">
        <f t="shared" si="237"/>
        <v>2109</v>
      </c>
      <c r="JI72" s="14">
        <f t="shared" si="238"/>
        <v>1004</v>
      </c>
      <c r="JJ72" s="14">
        <f t="shared" si="239"/>
        <v>15007</v>
      </c>
      <c r="JK72" s="14">
        <f t="shared" si="240"/>
        <v>35592</v>
      </c>
    </row>
    <row r="73" spans="31:271" ht="16.5" x14ac:dyDescent="0.2">
      <c r="AE73" s="13">
        <v>69</v>
      </c>
      <c r="AF73" s="13">
        <f t="shared" si="188"/>
        <v>4</v>
      </c>
      <c r="AG73" s="13">
        <f t="shared" si="169"/>
        <v>4</v>
      </c>
      <c r="AH73" s="13"/>
      <c r="AI73" s="13"/>
      <c r="AJ73" s="14">
        <f t="shared" si="170"/>
        <v>1101004</v>
      </c>
      <c r="AK73" s="14" t="str">
        <f t="shared" si="171"/>
        <v>项昆仑9突</v>
      </c>
      <c r="AL73" s="25" t="s">
        <v>142</v>
      </c>
      <c r="AM73" s="14">
        <v>1</v>
      </c>
      <c r="AN73" s="14">
        <f t="shared" si="172"/>
        <v>9</v>
      </c>
      <c r="AO73" s="14">
        <f>INDEX(属性投放!$DF$6:$DF$85,(卡牌属性!AG73-2)*20+卡牌属性!AN73)</f>
        <v>2312</v>
      </c>
      <c r="AP73" s="14">
        <f t="shared" si="148"/>
        <v>2312</v>
      </c>
      <c r="AQ73" s="14">
        <f t="shared" si="148"/>
        <v>2312</v>
      </c>
      <c r="AR73" s="14">
        <f t="shared" si="148"/>
        <v>2312</v>
      </c>
      <c r="AS73" s="14">
        <f t="shared" si="148"/>
        <v>2312</v>
      </c>
      <c r="AT73" s="14">
        <f>INDEX(属性投放!$DG$6:$DG$85,(卡牌属性!AG73-2)*20+卡牌属性!AN73)</f>
        <v>1085</v>
      </c>
      <c r="AU73" s="14">
        <f t="shared" si="149"/>
        <v>1085</v>
      </c>
      <c r="AV73" s="14">
        <f t="shared" si="149"/>
        <v>1085</v>
      </c>
      <c r="AW73" s="14">
        <f t="shared" si="149"/>
        <v>1085</v>
      </c>
      <c r="AX73" s="14">
        <f t="shared" si="149"/>
        <v>1085</v>
      </c>
      <c r="AY73" s="14">
        <f>INDEX(属性投放!$DH$6:$DH$85,(卡牌属性!AG73-2)*20+卡牌属性!AN73)</f>
        <v>15256</v>
      </c>
      <c r="AZ73" s="14">
        <f t="shared" si="150"/>
        <v>15256</v>
      </c>
      <c r="BA73" s="14">
        <f t="shared" si="150"/>
        <v>15256</v>
      </c>
      <c r="BB73" s="14">
        <f t="shared" si="150"/>
        <v>15256</v>
      </c>
      <c r="BC73" s="14">
        <f t="shared" si="150"/>
        <v>15256</v>
      </c>
      <c r="BD73" s="14">
        <f>INDEX(属性投放!$DL$6:$DL$85,(卡牌属性!AG73-2)*20+卡牌属性!AN73)</f>
        <v>58</v>
      </c>
      <c r="BE73" s="14">
        <f t="shared" si="151"/>
        <v>58</v>
      </c>
      <c r="BF73" s="14">
        <f t="shared" si="151"/>
        <v>58</v>
      </c>
      <c r="BG73" s="14">
        <f t="shared" si="151"/>
        <v>58</v>
      </c>
      <c r="BH73" s="14">
        <f t="shared" si="151"/>
        <v>58</v>
      </c>
      <c r="BI73" s="14">
        <f>INDEX(属性投放!$DM$6:$DM$85,(卡牌属性!AG73-2)*20+卡牌属性!AN73)</f>
        <v>29</v>
      </c>
      <c r="BJ73" s="14">
        <f t="shared" si="152"/>
        <v>29</v>
      </c>
      <c r="BK73" s="14">
        <f t="shared" si="152"/>
        <v>29</v>
      </c>
      <c r="BL73" s="14">
        <f t="shared" si="152"/>
        <v>29</v>
      </c>
      <c r="BM73" s="14">
        <f t="shared" si="152"/>
        <v>29</v>
      </c>
      <c r="BN73" s="14">
        <f>INDEX(属性投放!$DN$6:$DN$85,(卡牌属性!AG73-2)*20+卡牌属性!AN73)</f>
        <v>461</v>
      </c>
      <c r="BO73" s="14">
        <f t="shared" si="153"/>
        <v>461</v>
      </c>
      <c r="BP73" s="14">
        <f t="shared" si="153"/>
        <v>461</v>
      </c>
      <c r="BQ73" s="14">
        <f t="shared" si="153"/>
        <v>461</v>
      </c>
      <c r="BR73" s="14">
        <f t="shared" si="153"/>
        <v>461</v>
      </c>
      <c r="BW73" s="13">
        <v>69</v>
      </c>
      <c r="BX73" s="13">
        <f t="shared" si="173"/>
        <v>4</v>
      </c>
      <c r="BY73" s="14">
        <f t="shared" si="174"/>
        <v>2</v>
      </c>
      <c r="BZ73" s="14">
        <f t="shared" si="189"/>
        <v>1102004</v>
      </c>
      <c r="CA73" s="14" t="str">
        <f t="shared" si="190"/>
        <v>唐流雨9突</v>
      </c>
      <c r="CB73" s="25" t="s">
        <v>142</v>
      </c>
      <c r="CC73" s="14">
        <v>2</v>
      </c>
      <c r="CD73" s="14">
        <f t="shared" si="175"/>
        <v>9</v>
      </c>
      <c r="CE73" s="14" t="s">
        <v>21</v>
      </c>
      <c r="CF73" s="14">
        <f>INDEX(属性投放!$AZ$6:$AZ$85,(BY73-2)*20+CD73)</f>
        <v>1626</v>
      </c>
      <c r="CG73" s="14" t="s">
        <v>22</v>
      </c>
      <c r="CH73" s="14">
        <f>INDEX(属性投放!$BA$6:$BA$85,(BY73-2)*20+CD73)</f>
        <v>769</v>
      </c>
      <c r="CI73" s="14" t="s">
        <v>510</v>
      </c>
      <c r="CJ73" s="14">
        <f>INDEX(属性投放!$BB$6:$BB$85,(BY73-2)*20+CD73)</f>
        <v>11182</v>
      </c>
      <c r="CK73" s="14" t="s">
        <v>21</v>
      </c>
      <c r="CL73" s="14">
        <f>INDEX(属性投放!$BC$6:$BC$85,(BY73-2)*20+CD73)</f>
        <v>10</v>
      </c>
      <c r="CM73" s="14" t="s">
        <v>22</v>
      </c>
      <c r="CN73" s="14">
        <f>INDEX(属性投放!$BD$6:$BD$85,(BY73-2)*20+CD73)</f>
        <v>5</v>
      </c>
      <c r="CO73" s="14" t="s">
        <v>510</v>
      </c>
      <c r="CP73" s="14">
        <f>INDEX(属性投放!$BE$6:$BE$85,(BY73-2)*20+CD73)</f>
        <v>80</v>
      </c>
      <c r="CS73" s="13">
        <v>69</v>
      </c>
      <c r="CT73" s="13">
        <f t="shared" si="191"/>
        <v>2</v>
      </c>
      <c r="CU73" s="13">
        <f t="shared" si="192"/>
        <v>17</v>
      </c>
      <c r="CV73" s="14">
        <f t="shared" si="193"/>
        <v>3</v>
      </c>
      <c r="CW73" s="14">
        <f t="shared" si="194"/>
        <v>1102002</v>
      </c>
      <c r="CX73" s="14" t="str">
        <f>INDEX($O$6:$O$50,CT73)&amp;"-"&amp;INDEX(属性投放!$AB$7:$AB$50,CZ73)&amp;"-魂火-"&amp;DB73</f>
        <v>许褚-叫唤+2-魂火-2</v>
      </c>
      <c r="CY73" s="25" t="s">
        <v>142</v>
      </c>
      <c r="CZ73" s="14">
        <f>INDEX(属性投放!$AM$7:$AM$58,CU73)</f>
        <v>9</v>
      </c>
      <c r="DA73" s="14" t="s">
        <v>537</v>
      </c>
      <c r="DB73" s="14">
        <f>INDEX(属性投放!$AN$7:$AN$58,CU73)</f>
        <v>2</v>
      </c>
      <c r="DC73" s="14">
        <f t="shared" si="176"/>
        <v>17</v>
      </c>
      <c r="DD73" s="14">
        <f>INDEX(属性投放!$AO$7:$AO$58,DC73)</f>
        <v>60</v>
      </c>
      <c r="DE73" s="14" t="s">
        <v>538</v>
      </c>
      <c r="DF73" s="14">
        <f>INDEX(属性投放!$BK$6:$BK$85,(CV73-2)*20+CZ73)</f>
        <v>100</v>
      </c>
      <c r="DG73" s="14">
        <f>SUMIFS(DF$5:DF73,$CT$5:$CT73,"="&amp;$CT73)</f>
        <v>910</v>
      </c>
      <c r="DH73" s="14" t="s">
        <v>539</v>
      </c>
      <c r="DI73" s="14">
        <f>INDEX(属性投放!$BL$6:$BL$85,(CV73-2)*20+CZ73)</f>
        <v>50</v>
      </c>
      <c r="DJ73" s="14">
        <f>SUMIFS(DI$5:DI73,$CT$5:$CT73,"="&amp;$CT73)</f>
        <v>458</v>
      </c>
      <c r="DK73" s="14" t="s">
        <v>540</v>
      </c>
      <c r="DL73" s="14">
        <f>INDEX(属性投放!$BM$6:$BM$85,(CV73-2)*20+CZ73)</f>
        <v>800</v>
      </c>
      <c r="DM73" s="14">
        <f>SUMIFS(DL$5:DL73,$CT$5:$CT73,"="&amp;$CT73)</f>
        <v>6750</v>
      </c>
      <c r="DR73" s="14">
        <f t="shared" si="177"/>
        <v>1102004</v>
      </c>
      <c r="DS73" s="14" t="str">
        <f t="shared" si="178"/>
        <v>唐流雨9突</v>
      </c>
      <c r="DT73" s="14">
        <f t="shared" si="195"/>
        <v>4</v>
      </c>
      <c r="DU73" s="14">
        <f t="shared" si="196"/>
        <v>2</v>
      </c>
      <c r="DV73" s="14">
        <f t="shared" si="197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INDEX(属性投放!$AX$6:$AX$85,(卡牌属性!DW73-2)*20+卡牌属性!DX73)</f>
        <v>8</v>
      </c>
      <c r="EA73" s="14">
        <f>INDEX(属性投放!BQ$6:BQ$85,卡牌属性!$DY73)</f>
        <v>150</v>
      </c>
      <c r="EB73" s="14">
        <f>INDEX(属性投放!BR$6:BR$85,卡牌属性!$DY73)</f>
        <v>75</v>
      </c>
      <c r="EC73" s="14">
        <f>INDEX(属性投放!BS$6:BS$85,卡牌属性!$DY73)</f>
        <v>1200</v>
      </c>
      <c r="ED73" s="14">
        <f t="shared" si="154"/>
        <v>1194</v>
      </c>
      <c r="EE73" s="14">
        <f t="shared" si="155"/>
        <v>1341</v>
      </c>
      <c r="EF73" s="14">
        <f t="shared" si="156"/>
        <v>1446</v>
      </c>
      <c r="EG73" s="14">
        <f t="shared" si="157"/>
        <v>1446</v>
      </c>
      <c r="EH73" s="14">
        <f t="shared" si="158"/>
        <v>1783</v>
      </c>
      <c r="EI73" s="14">
        <f t="shared" si="159"/>
        <v>452</v>
      </c>
      <c r="EJ73" s="14">
        <f t="shared" si="160"/>
        <v>493</v>
      </c>
      <c r="EK73" s="14">
        <f t="shared" si="161"/>
        <v>493</v>
      </c>
      <c r="EL73" s="14">
        <f t="shared" si="162"/>
        <v>555</v>
      </c>
      <c r="EM73" s="14">
        <f t="shared" si="163"/>
        <v>631</v>
      </c>
      <c r="EN73" s="14">
        <f t="shared" si="164"/>
        <v>7082</v>
      </c>
      <c r="EO73" s="14">
        <f t="shared" si="165"/>
        <v>7914</v>
      </c>
      <c r="EP73" s="14">
        <f t="shared" si="166"/>
        <v>7914</v>
      </c>
      <c r="EQ73" s="14">
        <f t="shared" si="167"/>
        <v>8850</v>
      </c>
      <c r="ER73" s="14">
        <f t="shared" si="168"/>
        <v>9522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80</v>
      </c>
      <c r="FD73" s="14">
        <f>INDEX(属性偏向!$U$4:$U$243,(卡牌属性!$DV73-1+FD$3)*20+卡牌属性!$DX73)</f>
        <v>96</v>
      </c>
      <c r="FE73" s="14">
        <f>INDEX(属性偏向!$U$4:$U$243,(卡牌属性!$DV73-1+FE$3)*20+卡牌属性!$DX73)</f>
        <v>96</v>
      </c>
      <c r="FF73" s="14">
        <f>INDEX(属性偏向!$U$4:$U$243,(卡牌属性!$DV73-1+FF$3)*20+卡牌属性!$DX73)</f>
        <v>120</v>
      </c>
      <c r="FG73" s="14">
        <f>INDEX(属性偏向!$U$4:$U$243,(卡牌属性!$DV73-1+FG$3)*20+卡牌属性!$DX73)</f>
        <v>128</v>
      </c>
      <c r="FH73" s="14">
        <f>INDEX(属性投放!$BQ$6:$BQ$85,(卡牌属性!$DW73-2)*20+卡牌属性!$DX73)</f>
        <v>150</v>
      </c>
      <c r="FI73" s="14">
        <f>INDEX(属性投放!$BQ$6:$BQ$85,(卡牌属性!$DW73-2)*20+卡牌属性!$DX73)</f>
        <v>150</v>
      </c>
      <c r="FJ73" s="14">
        <f>INDEX(属性投放!$BQ$6:$BQ$85,(卡牌属性!$DW73-2)*20+卡牌属性!$DX73)</f>
        <v>150</v>
      </c>
      <c r="FK73" s="14">
        <f>INDEX(属性投放!$BQ$6:$BQ$85,(卡牌属性!$DW73-2)*20+卡牌属性!$DX73)</f>
        <v>150</v>
      </c>
      <c r="FL73" s="14">
        <f>INDEX(属性投放!$BQ$6:$BQ$85,(卡牌属性!$DW73-2)*20+卡牌属性!$DX73)</f>
        <v>150</v>
      </c>
      <c r="FM73" s="14">
        <f>INDEX(属性投放!$BR$6:$BR$85,(卡牌属性!$DW73-2)*20+卡牌属性!$DX73)</f>
        <v>75</v>
      </c>
      <c r="FN73" s="14">
        <f>INDEX(属性投放!$BR$6:$BR$85,(卡牌属性!$DW73-2)*20+卡牌属性!$DX73)</f>
        <v>75</v>
      </c>
      <c r="FO73" s="14">
        <f>INDEX(属性投放!$BR$6:$BR$85,(卡牌属性!$DW73-2)*20+卡牌属性!$DX73)</f>
        <v>75</v>
      </c>
      <c r="FP73" s="14">
        <f>INDEX(属性投放!$BR$6:$BR$85,(卡牌属性!$DW73-2)*20+卡牌属性!$DX73)</f>
        <v>75</v>
      </c>
      <c r="FQ73" s="14">
        <f>INDEX(属性投放!$BR$6:$BR$85,(卡牌属性!$DW73-2)*20+卡牌属性!$DX73)</f>
        <v>75</v>
      </c>
      <c r="FR73" s="14">
        <f>INDEX(属性投放!$BS$6:$BS$85,(卡牌属性!$DW73-2)*20+卡牌属性!$DX73)</f>
        <v>1200</v>
      </c>
      <c r="FS73" s="14">
        <f>INDEX(属性投放!$BS$6:$BS$85,(卡牌属性!$DW73-2)*20+卡牌属性!$DX73)</f>
        <v>1200</v>
      </c>
      <c r="FT73" s="14">
        <f>INDEX(属性投放!$BS$6:$BS$85,(卡牌属性!$DW73-2)*20+卡牌属性!$DX73)</f>
        <v>1200</v>
      </c>
      <c r="FU73" s="14">
        <f>INDEX(属性投放!$BS$6:$BS$85,(卡牌属性!$DW73-2)*20+卡牌属性!$DX73)</f>
        <v>1200</v>
      </c>
      <c r="FV73" s="14">
        <f>INDEX(属性投放!$BS$6:$BS$85,(卡牌属性!$DW73-2)*20+卡牌属性!$DX73)</f>
        <v>1200</v>
      </c>
      <c r="FZ73" s="13">
        <v>69</v>
      </c>
      <c r="GA73" s="13">
        <f t="shared" si="182"/>
        <v>14</v>
      </c>
      <c r="GB73" s="14">
        <f t="shared" si="198"/>
        <v>1102014</v>
      </c>
      <c r="GC73" s="14" t="s">
        <v>1187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9"/>
        <v>1101014</v>
      </c>
      <c r="GQ73" s="14" t="s">
        <v>1187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MATCH(HC73,属性投放!$AO$6:$AO$58,1)-1</f>
        <v>20</v>
      </c>
      <c r="HF73" s="13">
        <f>MATCH(HC73-1,属性投放!$AE$6:$AE$26,1)</f>
        <v>10</v>
      </c>
      <c r="HG73" s="13" t="str">
        <f>INDEX(属性投放!$AB$7:$AB$26,卡牌属性!HF73)</f>
        <v>大叫唤</v>
      </c>
      <c r="HH73" s="14">
        <f t="shared" si="200"/>
        <v>2463</v>
      </c>
      <c r="HI73" s="14">
        <f t="shared" si="201"/>
        <v>992</v>
      </c>
      <c r="HJ73" s="14">
        <f t="shared" si="202"/>
        <v>14146</v>
      </c>
      <c r="HK73" s="14">
        <f t="shared" si="203"/>
        <v>30</v>
      </c>
      <c r="HL73" s="14">
        <f t="shared" si="204"/>
        <v>11</v>
      </c>
      <c r="HM73" s="14">
        <f t="shared" si="205"/>
        <v>189</v>
      </c>
      <c r="HN73" s="14">
        <f>HH73+HK73*($HC73-INDEX(属性投放!$AE$6:$AE$26,卡牌属性!$HF73))</f>
        <v>2583</v>
      </c>
      <c r="HO73" s="14">
        <f>HI73+HL73*($HC73-INDEX(属性投放!$AE$6:$AE$26,卡牌属性!$HF73))</f>
        <v>1036</v>
      </c>
      <c r="HP73" s="14">
        <f>HJ73+HM73*($HC73-INDEX(属性投放!$AE$6:$AE$26,卡牌属性!$HF73))</f>
        <v>14902</v>
      </c>
      <c r="HQ73" s="14">
        <f t="shared" si="206"/>
        <v>1440</v>
      </c>
      <c r="HR73" s="14">
        <f t="shared" si="207"/>
        <v>725</v>
      </c>
      <c r="HS73" s="14">
        <f t="shared" si="208"/>
        <v>11150</v>
      </c>
      <c r="HT73" s="14">
        <f>IF(COUNTIF(属性投放!$AO$7:$AO$58,"="&amp;卡牌属性!HC73)&gt;0,卡牌属性!HE73,0)</f>
        <v>0</v>
      </c>
      <c r="HU73" s="14">
        <f t="shared" si="209"/>
        <v>0</v>
      </c>
      <c r="HV73" s="14">
        <f t="shared" si="210"/>
        <v>0</v>
      </c>
      <c r="HW73" s="14">
        <f t="shared" si="211"/>
        <v>0</v>
      </c>
      <c r="HX73" s="14">
        <f>IF(COUNTIF(属性投放!$AE$6:$AE$26,"="&amp;卡牌属性!HC73)&gt;0,卡牌属性!HF73,0)</f>
        <v>0</v>
      </c>
      <c r="HY73" s="14">
        <f t="shared" si="212"/>
        <v>0</v>
      </c>
      <c r="HZ73" s="14">
        <f t="shared" si="213"/>
        <v>0</v>
      </c>
      <c r="IA73" s="14">
        <f t="shared" si="214"/>
        <v>0</v>
      </c>
      <c r="IB73" s="14">
        <f t="shared" si="215"/>
        <v>30</v>
      </c>
      <c r="IC73" s="14">
        <f t="shared" si="216"/>
        <v>11</v>
      </c>
      <c r="ID73" s="14">
        <f t="shared" si="217"/>
        <v>189</v>
      </c>
      <c r="IE73" s="14">
        <f t="shared" si="218"/>
        <v>4023</v>
      </c>
      <c r="IF73" s="14">
        <f t="shared" si="219"/>
        <v>1761</v>
      </c>
      <c r="IG73" s="14">
        <f t="shared" si="220"/>
        <v>26052</v>
      </c>
      <c r="IH73" s="14">
        <f t="shared" si="221"/>
        <v>709</v>
      </c>
      <c r="II73" s="14">
        <f t="shared" si="222"/>
        <v>0</v>
      </c>
      <c r="IJ73" s="14">
        <f t="shared" si="223"/>
        <v>0</v>
      </c>
      <c r="IK73" s="14">
        <f t="shared" si="224"/>
        <v>101502</v>
      </c>
      <c r="IL73" s="17">
        <f t="shared" si="225"/>
        <v>6.9850840377529509E-3</v>
      </c>
      <c r="IM73" s="17">
        <f t="shared" si="226"/>
        <v>0</v>
      </c>
      <c r="IN73" s="17">
        <f t="shared" si="227"/>
        <v>0</v>
      </c>
      <c r="IO73" s="23">
        <f>SUM(IH$5:IH73)</f>
        <v>30242</v>
      </c>
      <c r="IP73" s="14">
        <f>SUM(II$5:II73)</f>
        <v>40050</v>
      </c>
      <c r="IQ73" s="14">
        <f>SUM(IJ$5:IJ73)</f>
        <v>22440</v>
      </c>
      <c r="IR73" s="17">
        <f t="shared" si="228"/>
        <v>0.29794486808141712</v>
      </c>
      <c r="IS73" s="17">
        <f t="shared" si="229"/>
        <v>0.39457350594076962</v>
      </c>
      <c r="IT73" s="17">
        <f t="shared" si="230"/>
        <v>0.22107938759827392</v>
      </c>
      <c r="IW73" s="13">
        <v>69</v>
      </c>
      <c r="IX73" s="14">
        <f>MATCH(IW73-1,属性投放!$T$6:$T$66,1)</f>
        <v>7</v>
      </c>
      <c r="IY73" s="14">
        <f>MATCH(IW73-1,属性投放!$AD$7:$AD$26,1)</f>
        <v>9</v>
      </c>
      <c r="IZ73" s="14" t="str">
        <f>INDEX(属性投放!$AB$7:$AB$26,IY73)</f>
        <v>叫唤+2</v>
      </c>
      <c r="JA73" s="14">
        <f t="shared" si="231"/>
        <v>1281</v>
      </c>
      <c r="JB73" s="14">
        <f t="shared" si="232"/>
        <v>590</v>
      </c>
      <c r="JC73" s="14">
        <f t="shared" si="233"/>
        <v>8429</v>
      </c>
      <c r="JD73" s="14">
        <f t="shared" si="234"/>
        <v>36</v>
      </c>
      <c r="JE73" s="14">
        <f t="shared" si="235"/>
        <v>18</v>
      </c>
      <c r="JF73" s="14">
        <f t="shared" si="236"/>
        <v>286</v>
      </c>
      <c r="JG73" s="14">
        <f>INDEX(属性投放!$DC$6:$DC$85,卡牌属性!IY73)</f>
        <v>45</v>
      </c>
      <c r="JH73" s="14">
        <f t="shared" si="237"/>
        <v>2145</v>
      </c>
      <c r="JI73" s="14">
        <f t="shared" si="238"/>
        <v>1022</v>
      </c>
      <c r="JJ73" s="14">
        <f t="shared" si="239"/>
        <v>15293</v>
      </c>
      <c r="JK73" s="14">
        <f t="shared" si="240"/>
        <v>36238</v>
      </c>
    </row>
    <row r="74" spans="31:271" ht="16.5" x14ac:dyDescent="0.2">
      <c r="AE74" s="13">
        <v>70</v>
      </c>
      <c r="AF74" s="13">
        <f t="shared" si="188"/>
        <v>4</v>
      </c>
      <c r="AG74" s="13">
        <f t="shared" si="169"/>
        <v>4</v>
      </c>
      <c r="AH74" s="13"/>
      <c r="AI74" s="13"/>
      <c r="AJ74" s="14">
        <f t="shared" si="170"/>
        <v>1101004</v>
      </c>
      <c r="AK74" s="14" t="str">
        <f t="shared" si="171"/>
        <v>项昆仑10突</v>
      </c>
      <c r="AL74" s="25" t="s">
        <v>142</v>
      </c>
      <c r="AM74" s="14">
        <v>1</v>
      </c>
      <c r="AN74" s="14">
        <f t="shared" si="172"/>
        <v>10</v>
      </c>
      <c r="AO74" s="14">
        <f>INDEX(属性投放!$DF$6:$DF$85,(卡牌属性!AG74-2)*20+卡牌属性!AN74)</f>
        <v>3347</v>
      </c>
      <c r="AP74" s="14">
        <f t="shared" si="148"/>
        <v>3347</v>
      </c>
      <c r="AQ74" s="14">
        <f t="shared" si="148"/>
        <v>3347</v>
      </c>
      <c r="AR74" s="14">
        <f t="shared" si="148"/>
        <v>3347</v>
      </c>
      <c r="AS74" s="14">
        <f t="shared" si="148"/>
        <v>3347</v>
      </c>
      <c r="AT74" s="14">
        <f>INDEX(属性投放!$DG$6:$DG$85,(卡牌属性!AG74-2)*20+卡牌属性!AN74)</f>
        <v>1603</v>
      </c>
      <c r="AU74" s="14">
        <f t="shared" si="149"/>
        <v>1603</v>
      </c>
      <c r="AV74" s="14">
        <f t="shared" si="149"/>
        <v>1603</v>
      </c>
      <c r="AW74" s="14">
        <f t="shared" si="149"/>
        <v>1603</v>
      </c>
      <c r="AX74" s="14">
        <f t="shared" si="149"/>
        <v>1603</v>
      </c>
      <c r="AY74" s="14">
        <f>INDEX(属性投放!$DH$6:$DH$85,(卡牌属性!AG74-2)*20+卡牌属性!AN74)</f>
        <v>23487</v>
      </c>
      <c r="AZ74" s="14">
        <f t="shared" si="150"/>
        <v>23487</v>
      </c>
      <c r="BA74" s="14">
        <f t="shared" si="150"/>
        <v>23487</v>
      </c>
      <c r="BB74" s="14">
        <f t="shared" si="150"/>
        <v>23487</v>
      </c>
      <c r="BC74" s="14">
        <f t="shared" si="150"/>
        <v>23487</v>
      </c>
      <c r="BD74" s="14">
        <f>INDEX(属性投放!$DL$6:$DL$85,(卡牌属性!AG74-2)*20+卡牌属性!AN74)</f>
        <v>110</v>
      </c>
      <c r="BE74" s="14">
        <f t="shared" si="151"/>
        <v>110</v>
      </c>
      <c r="BF74" s="14">
        <f t="shared" si="151"/>
        <v>110</v>
      </c>
      <c r="BG74" s="14">
        <f t="shared" si="151"/>
        <v>110</v>
      </c>
      <c r="BH74" s="14">
        <f t="shared" si="151"/>
        <v>110</v>
      </c>
      <c r="BI74" s="14">
        <f>INDEX(属性投放!$DM$6:$DM$85,(卡牌属性!AG74-2)*20+卡牌属性!AN74)</f>
        <v>55</v>
      </c>
      <c r="BJ74" s="14">
        <f t="shared" si="152"/>
        <v>55</v>
      </c>
      <c r="BK74" s="14">
        <f t="shared" si="152"/>
        <v>55</v>
      </c>
      <c r="BL74" s="14">
        <f t="shared" si="152"/>
        <v>55</v>
      </c>
      <c r="BM74" s="14">
        <f t="shared" si="152"/>
        <v>55</v>
      </c>
      <c r="BN74" s="14">
        <f>INDEX(属性投放!$DN$6:$DN$85,(卡牌属性!AG74-2)*20+卡牌属性!AN74)</f>
        <v>988</v>
      </c>
      <c r="BO74" s="14">
        <f t="shared" si="153"/>
        <v>988</v>
      </c>
      <c r="BP74" s="14">
        <f t="shared" si="153"/>
        <v>988</v>
      </c>
      <c r="BQ74" s="14">
        <f t="shared" si="153"/>
        <v>988</v>
      </c>
      <c r="BR74" s="14">
        <f t="shared" si="153"/>
        <v>988</v>
      </c>
      <c r="BW74" s="13">
        <v>70</v>
      </c>
      <c r="BX74" s="13">
        <f t="shared" si="173"/>
        <v>4</v>
      </c>
      <c r="BY74" s="14">
        <f t="shared" si="174"/>
        <v>2</v>
      </c>
      <c r="BZ74" s="14">
        <f t="shared" si="189"/>
        <v>1102004</v>
      </c>
      <c r="CA74" s="14" t="str">
        <f t="shared" si="190"/>
        <v>唐流雨10突</v>
      </c>
      <c r="CB74" s="25" t="s">
        <v>142</v>
      </c>
      <c r="CC74" s="14">
        <v>2</v>
      </c>
      <c r="CD74" s="14">
        <f t="shared" si="175"/>
        <v>10</v>
      </c>
      <c r="CE74" s="14" t="s">
        <v>21</v>
      </c>
      <c r="CF74" s="14">
        <f>INDEX(属性投放!$AZ$6:$AZ$85,(BY74-2)*20+CD74)</f>
        <v>2096</v>
      </c>
      <c r="CG74" s="14" t="s">
        <v>22</v>
      </c>
      <c r="CH74" s="14">
        <f>INDEX(属性投放!$BA$6:$BA$85,(BY74-2)*20+CD74)</f>
        <v>1004</v>
      </c>
      <c r="CI74" s="14" t="s">
        <v>510</v>
      </c>
      <c r="CJ74" s="14">
        <f>INDEX(属性投放!$BB$6:$BB$85,(BY74-2)*20+CD74)</f>
        <v>14942</v>
      </c>
      <c r="CK74" s="14" t="s">
        <v>21</v>
      </c>
      <c r="CL74" s="14">
        <f>INDEX(属性投放!$BC$6:$BC$85,(BY74-2)*20+CD74)</f>
        <v>12</v>
      </c>
      <c r="CM74" s="14" t="s">
        <v>22</v>
      </c>
      <c r="CN74" s="14">
        <f>INDEX(属性投放!$BD$6:$BD$85,(BY74-2)*20+CD74)</f>
        <v>6</v>
      </c>
      <c r="CO74" s="14" t="s">
        <v>510</v>
      </c>
      <c r="CP74" s="14">
        <f>INDEX(属性投放!$BE$6:$BE$85,(BY74-2)*20+CD74)</f>
        <v>108</v>
      </c>
      <c r="CS74" s="13">
        <v>70</v>
      </c>
      <c r="CT74" s="13">
        <f t="shared" si="191"/>
        <v>2</v>
      </c>
      <c r="CU74" s="13">
        <f t="shared" si="192"/>
        <v>18</v>
      </c>
      <c r="CV74" s="14">
        <f t="shared" si="193"/>
        <v>3</v>
      </c>
      <c r="CW74" s="14">
        <f t="shared" si="194"/>
        <v>1102002</v>
      </c>
      <c r="CX74" s="14" t="str">
        <f>INDEX($O$6:$O$50,CT74)&amp;"-"&amp;INDEX(属性投放!$AB$7:$AB$50,CZ74)&amp;"-魂火-"&amp;DB74</f>
        <v>许褚-叫唤+2-魂火-3</v>
      </c>
      <c r="CY74" s="25" t="s">
        <v>142</v>
      </c>
      <c r="CZ74" s="14">
        <f>INDEX(属性投放!$AM$7:$AM$58,CU74)</f>
        <v>9</v>
      </c>
      <c r="DA74" s="14" t="s">
        <v>537</v>
      </c>
      <c r="DB74" s="14">
        <f>INDEX(属性投放!$AN$7:$AN$58,CU74)</f>
        <v>3</v>
      </c>
      <c r="DC74" s="14">
        <f t="shared" si="176"/>
        <v>18</v>
      </c>
      <c r="DD74" s="14">
        <f>INDEX(属性投放!$AO$7:$AO$58,DC74)</f>
        <v>63</v>
      </c>
      <c r="DE74" s="14" t="s">
        <v>538</v>
      </c>
      <c r="DF74" s="14">
        <f>INDEX(属性投放!$BK$6:$BK$85,(CV74-2)*20+CZ74)</f>
        <v>100</v>
      </c>
      <c r="DG74" s="14">
        <f>SUMIFS(DF$5:DF74,$CT$5:$CT74,"="&amp;$CT74)</f>
        <v>1010</v>
      </c>
      <c r="DH74" s="14" t="s">
        <v>539</v>
      </c>
      <c r="DI74" s="14">
        <f>INDEX(属性投放!$BL$6:$BL$85,(CV74-2)*20+CZ74)</f>
        <v>50</v>
      </c>
      <c r="DJ74" s="14">
        <f>SUMIFS(DI$5:DI74,$CT$5:$CT74,"="&amp;$CT74)</f>
        <v>508</v>
      </c>
      <c r="DK74" s="14" t="s">
        <v>540</v>
      </c>
      <c r="DL74" s="14">
        <f>INDEX(属性投放!$BM$6:$BM$85,(CV74-2)*20+CZ74)</f>
        <v>800</v>
      </c>
      <c r="DM74" s="14">
        <f>SUMIFS(DL$5:DL74,$CT$5:$CT74,"="&amp;$CT74)</f>
        <v>7550</v>
      </c>
      <c r="DR74" s="14">
        <f t="shared" si="177"/>
        <v>1102004</v>
      </c>
      <c r="DS74" s="14" t="str">
        <f t="shared" si="178"/>
        <v>唐流雨10突</v>
      </c>
      <c r="DT74" s="14">
        <f t="shared" si="195"/>
        <v>4</v>
      </c>
      <c r="DU74" s="14">
        <f t="shared" si="196"/>
        <v>2</v>
      </c>
      <c r="DV74" s="14">
        <f t="shared" si="197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INDEX(属性投放!$AX$6:$AX$85,(卡牌属性!DW74-2)*20+卡牌属性!DX74)</f>
        <v>7</v>
      </c>
      <c r="EA74" s="14">
        <f>INDEX(属性投放!BQ$6:BQ$85,卡牌属性!$DY74)</f>
        <v>160</v>
      </c>
      <c r="EB74" s="14">
        <f>INDEX(属性投放!BR$6:BR$85,卡牌属性!$DY74)</f>
        <v>80</v>
      </c>
      <c r="EC74" s="14">
        <f>INDEX(属性投放!BS$6:BS$85,卡牌属性!$DY74)</f>
        <v>1440</v>
      </c>
      <c r="ED74" s="14">
        <f t="shared" si="154"/>
        <v>1440</v>
      </c>
      <c r="EE74" s="14">
        <f t="shared" si="155"/>
        <v>1611</v>
      </c>
      <c r="EF74" s="14">
        <f t="shared" si="156"/>
        <v>1724</v>
      </c>
      <c r="EG74" s="14">
        <f t="shared" si="157"/>
        <v>1724</v>
      </c>
      <c r="EH74" s="14">
        <f t="shared" si="158"/>
        <v>2133</v>
      </c>
      <c r="EI74" s="14">
        <f t="shared" si="159"/>
        <v>559</v>
      </c>
      <c r="EJ74" s="14">
        <f t="shared" si="160"/>
        <v>608</v>
      </c>
      <c r="EK74" s="14">
        <f t="shared" si="161"/>
        <v>608</v>
      </c>
      <c r="EL74" s="14">
        <f t="shared" si="162"/>
        <v>678</v>
      </c>
      <c r="EM74" s="14">
        <f t="shared" si="163"/>
        <v>770</v>
      </c>
      <c r="EN74" s="14">
        <f t="shared" si="164"/>
        <v>8922</v>
      </c>
      <c r="EO74" s="14">
        <f t="shared" si="165"/>
        <v>9882</v>
      </c>
      <c r="EP74" s="14">
        <f t="shared" si="166"/>
        <v>9882</v>
      </c>
      <c r="EQ74" s="14">
        <f t="shared" si="167"/>
        <v>11010</v>
      </c>
      <c r="ER74" s="14">
        <f t="shared" si="168"/>
        <v>11746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108</v>
      </c>
      <c r="FD74" s="14">
        <f>INDEX(属性偏向!$U$4:$U$243,(卡牌属性!$DV74-1+FD$3)*20+卡牌属性!$DX74)</f>
        <v>135</v>
      </c>
      <c r="FE74" s="14">
        <f>INDEX(属性偏向!$U$4:$U$243,(卡牌属性!$DV74-1+FE$3)*20+卡牌属性!$DX74)</f>
        <v>135</v>
      </c>
      <c r="FF74" s="14">
        <f>INDEX(属性偏向!$U$4:$U$243,(卡牌属性!$DV74-1+FF$3)*20+卡牌属性!$DX74)</f>
        <v>180</v>
      </c>
      <c r="FG74" s="14">
        <f>INDEX(属性偏向!$U$4:$U$243,(卡牌属性!$DV74-1+FG$3)*20+卡牌属性!$DX74)</f>
        <v>189</v>
      </c>
      <c r="FH74" s="14">
        <f>INDEX(属性投放!$BQ$6:$BQ$85,(卡牌属性!$DW74-2)*20+卡牌属性!$DX74)</f>
        <v>160</v>
      </c>
      <c r="FI74" s="14">
        <f>INDEX(属性投放!$BQ$6:$BQ$85,(卡牌属性!$DW74-2)*20+卡牌属性!$DX74)</f>
        <v>160</v>
      </c>
      <c r="FJ74" s="14">
        <f>INDEX(属性投放!$BQ$6:$BQ$85,(卡牌属性!$DW74-2)*20+卡牌属性!$DX74)</f>
        <v>160</v>
      </c>
      <c r="FK74" s="14">
        <f>INDEX(属性投放!$BQ$6:$BQ$85,(卡牌属性!$DW74-2)*20+卡牌属性!$DX74)</f>
        <v>160</v>
      </c>
      <c r="FL74" s="14">
        <f>INDEX(属性投放!$BQ$6:$BQ$85,(卡牌属性!$DW74-2)*20+卡牌属性!$DX74)</f>
        <v>160</v>
      </c>
      <c r="FM74" s="14">
        <f>INDEX(属性投放!$BR$6:$BR$85,(卡牌属性!$DW74-2)*20+卡牌属性!$DX74)</f>
        <v>80</v>
      </c>
      <c r="FN74" s="14">
        <f>INDEX(属性投放!$BR$6:$BR$85,(卡牌属性!$DW74-2)*20+卡牌属性!$DX74)</f>
        <v>80</v>
      </c>
      <c r="FO74" s="14">
        <f>INDEX(属性投放!$BR$6:$BR$85,(卡牌属性!$DW74-2)*20+卡牌属性!$DX74)</f>
        <v>80</v>
      </c>
      <c r="FP74" s="14">
        <f>INDEX(属性投放!$BR$6:$BR$85,(卡牌属性!$DW74-2)*20+卡牌属性!$DX74)</f>
        <v>80</v>
      </c>
      <c r="FQ74" s="14">
        <f>INDEX(属性投放!$BR$6:$BR$85,(卡牌属性!$DW74-2)*20+卡牌属性!$DX74)</f>
        <v>80</v>
      </c>
      <c r="FR74" s="14">
        <f>INDEX(属性投放!$BS$6:$BS$85,(卡牌属性!$DW74-2)*20+卡牌属性!$DX74)</f>
        <v>1440</v>
      </c>
      <c r="FS74" s="14">
        <f>INDEX(属性投放!$BS$6:$BS$85,(卡牌属性!$DW74-2)*20+卡牌属性!$DX74)</f>
        <v>1440</v>
      </c>
      <c r="FT74" s="14">
        <f>INDEX(属性投放!$BS$6:$BS$85,(卡牌属性!$DW74-2)*20+卡牌属性!$DX74)</f>
        <v>1440</v>
      </c>
      <c r="FU74" s="14">
        <f>INDEX(属性投放!$BS$6:$BS$85,(卡牌属性!$DW74-2)*20+卡牌属性!$DX74)</f>
        <v>1440</v>
      </c>
      <c r="FV74" s="14">
        <f>INDEX(属性投放!$BS$6:$BS$85,(卡牌属性!$DW74-2)*20+卡牌属性!$DX74)</f>
        <v>1440</v>
      </c>
      <c r="FZ74" s="13">
        <v>70</v>
      </c>
      <c r="GA74" s="13">
        <f t="shared" si="182"/>
        <v>14</v>
      </c>
      <c r="GB74" s="14">
        <f t="shared" si="198"/>
        <v>1102014</v>
      </c>
      <c r="GC74" s="14" t="s">
        <v>1187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9"/>
        <v>1101014</v>
      </c>
      <c r="GQ74" s="14" t="s">
        <v>1187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MATCH(HC74,属性投放!$AO$6:$AO$58,1)-1</f>
        <v>21</v>
      </c>
      <c r="HF74" s="13">
        <f>MATCH(HC74-1,属性投放!$AE$6:$AE$26,1)</f>
        <v>10</v>
      </c>
      <c r="HG74" s="13" t="str">
        <f>INDEX(属性投放!$AB$7:$AB$26,卡牌属性!HF74)</f>
        <v>大叫唤</v>
      </c>
      <c r="HH74" s="14">
        <f t="shared" si="200"/>
        <v>2463</v>
      </c>
      <c r="HI74" s="14">
        <f t="shared" si="201"/>
        <v>992</v>
      </c>
      <c r="HJ74" s="14">
        <f t="shared" si="202"/>
        <v>14146</v>
      </c>
      <c r="HK74" s="14">
        <f t="shared" si="203"/>
        <v>30</v>
      </c>
      <c r="HL74" s="14">
        <f t="shared" si="204"/>
        <v>11</v>
      </c>
      <c r="HM74" s="14">
        <f t="shared" si="205"/>
        <v>189</v>
      </c>
      <c r="HN74" s="14">
        <f>HH74+HK74*($HC74-INDEX(属性投放!$AE$6:$AE$26,卡牌属性!$HF74))</f>
        <v>2613</v>
      </c>
      <c r="HO74" s="14">
        <f>HI74+HL74*($HC74-INDEX(属性投放!$AE$6:$AE$26,卡牌属性!$HF74))</f>
        <v>1047</v>
      </c>
      <c r="HP74" s="14">
        <f>HJ74+HM74*($HC74-INDEX(属性投放!$AE$6:$AE$26,卡牌属性!$HF74))</f>
        <v>15091</v>
      </c>
      <c r="HQ74" s="14">
        <f t="shared" si="206"/>
        <v>1570</v>
      </c>
      <c r="HR74" s="14">
        <f t="shared" si="207"/>
        <v>790</v>
      </c>
      <c r="HS74" s="14">
        <f t="shared" si="208"/>
        <v>12320</v>
      </c>
      <c r="HT74" s="14">
        <f>IF(COUNTIF(属性投放!$AO$7:$AO$58,"="&amp;卡牌属性!HC74)&gt;0,卡牌属性!HE74,0)</f>
        <v>21</v>
      </c>
      <c r="HU74" s="14">
        <f t="shared" si="209"/>
        <v>130</v>
      </c>
      <c r="HV74" s="14">
        <f t="shared" si="210"/>
        <v>65</v>
      </c>
      <c r="HW74" s="14">
        <f t="shared" si="211"/>
        <v>1170</v>
      </c>
      <c r="HX74" s="14">
        <f>IF(COUNTIF(属性投放!$AE$6:$AE$26,"="&amp;卡牌属性!HC74)&gt;0,卡牌属性!HF74,0)</f>
        <v>0</v>
      </c>
      <c r="HY74" s="14">
        <f t="shared" si="212"/>
        <v>0</v>
      </c>
      <c r="HZ74" s="14">
        <f t="shared" si="213"/>
        <v>0</v>
      </c>
      <c r="IA74" s="14">
        <f t="shared" si="214"/>
        <v>0</v>
      </c>
      <c r="IB74" s="14">
        <f t="shared" si="215"/>
        <v>30</v>
      </c>
      <c r="IC74" s="14">
        <f t="shared" si="216"/>
        <v>11</v>
      </c>
      <c r="ID74" s="14">
        <f t="shared" si="217"/>
        <v>189</v>
      </c>
      <c r="IE74" s="14">
        <f t="shared" si="218"/>
        <v>4183</v>
      </c>
      <c r="IF74" s="14">
        <f t="shared" si="219"/>
        <v>1837</v>
      </c>
      <c r="IG74" s="14">
        <f t="shared" si="220"/>
        <v>27411</v>
      </c>
      <c r="IH74" s="14">
        <f t="shared" si="221"/>
        <v>709</v>
      </c>
      <c r="II74" s="14">
        <f t="shared" si="222"/>
        <v>3770</v>
      </c>
      <c r="IJ74" s="14">
        <f t="shared" si="223"/>
        <v>0</v>
      </c>
      <c r="IK74" s="14">
        <f t="shared" si="224"/>
        <v>105981</v>
      </c>
      <c r="IL74" s="17">
        <f t="shared" si="225"/>
        <v>6.6898783744256049E-3</v>
      </c>
      <c r="IM74" s="17">
        <f t="shared" si="226"/>
        <v>3.5572413923250397E-2</v>
      </c>
      <c r="IN74" s="17">
        <f t="shared" si="227"/>
        <v>0</v>
      </c>
      <c r="IO74" s="23">
        <f>SUM(IH$5:IH74)</f>
        <v>30951</v>
      </c>
      <c r="IP74" s="14">
        <f>SUM(II$5:II74)</f>
        <v>43820</v>
      </c>
      <c r="IQ74" s="14">
        <f>SUM(IJ$5:IJ74)</f>
        <v>22440</v>
      </c>
      <c r="IR74" s="17">
        <f t="shared" si="228"/>
        <v>0.29204291335239335</v>
      </c>
      <c r="IS74" s="17">
        <f t="shared" si="229"/>
        <v>0.41347033902303243</v>
      </c>
      <c r="IT74" s="17">
        <f t="shared" si="230"/>
        <v>0.21173606589860447</v>
      </c>
      <c r="IW74" s="13">
        <v>70</v>
      </c>
      <c r="IX74" s="14">
        <f>MATCH(IW74-1,属性投放!$T$6:$T$66,1)</f>
        <v>7</v>
      </c>
      <c r="IY74" s="14">
        <f>MATCH(IW74-1,属性投放!$AD$7:$AD$26,1)</f>
        <v>9</v>
      </c>
      <c r="IZ74" s="14" t="str">
        <f>INDEX(属性投放!$AB$7:$AB$26,IY74)</f>
        <v>叫唤+2</v>
      </c>
      <c r="JA74" s="14">
        <f t="shared" si="231"/>
        <v>1281</v>
      </c>
      <c r="JB74" s="14">
        <f t="shared" si="232"/>
        <v>590</v>
      </c>
      <c r="JC74" s="14">
        <f t="shared" si="233"/>
        <v>8429</v>
      </c>
      <c r="JD74" s="14">
        <f t="shared" si="234"/>
        <v>36</v>
      </c>
      <c r="JE74" s="14">
        <f t="shared" si="235"/>
        <v>18</v>
      </c>
      <c r="JF74" s="14">
        <f t="shared" si="236"/>
        <v>286</v>
      </c>
      <c r="JG74" s="14">
        <f>INDEX(属性投放!$DC$6:$DC$85,卡牌属性!IY74)</f>
        <v>45</v>
      </c>
      <c r="JH74" s="14">
        <f t="shared" si="237"/>
        <v>2181</v>
      </c>
      <c r="JI74" s="14">
        <f t="shared" si="238"/>
        <v>1040</v>
      </c>
      <c r="JJ74" s="14">
        <f t="shared" si="239"/>
        <v>15579</v>
      </c>
      <c r="JK74" s="14">
        <f t="shared" si="240"/>
        <v>36884</v>
      </c>
    </row>
    <row r="75" spans="31:271" ht="16.5" x14ac:dyDescent="0.2">
      <c r="AE75" s="13">
        <v>71</v>
      </c>
      <c r="AF75" s="13">
        <f t="shared" si="188"/>
        <v>4</v>
      </c>
      <c r="AG75" s="13">
        <f t="shared" si="169"/>
        <v>4</v>
      </c>
      <c r="AH75" s="13"/>
      <c r="AI75" s="13"/>
      <c r="AJ75" s="14">
        <f t="shared" si="170"/>
        <v>1101004</v>
      </c>
      <c r="AK75" s="14" t="str">
        <f t="shared" si="171"/>
        <v>项昆仑11突</v>
      </c>
      <c r="AL75" s="25" t="s">
        <v>142</v>
      </c>
      <c r="AM75" s="14">
        <v>1</v>
      </c>
      <c r="AN75" s="14">
        <f t="shared" si="172"/>
        <v>11</v>
      </c>
      <c r="AO75" s="14">
        <f>INDEX(属性投放!$DF$6:$DF$85,(卡牌属性!AG75-2)*20+卡牌属性!AN75)</f>
        <v>3661</v>
      </c>
      <c r="AP75" s="14">
        <f t="shared" si="148"/>
        <v>3661</v>
      </c>
      <c r="AQ75" s="14">
        <f t="shared" si="148"/>
        <v>3661</v>
      </c>
      <c r="AR75" s="14">
        <f t="shared" si="148"/>
        <v>3661</v>
      </c>
      <c r="AS75" s="14">
        <f t="shared" si="148"/>
        <v>3661</v>
      </c>
      <c r="AT75" s="14">
        <f>INDEX(属性投放!$DG$6:$DG$85,(卡牌属性!AG75-2)*20+卡牌属性!AN75)</f>
        <v>1760</v>
      </c>
      <c r="AU75" s="14">
        <f t="shared" si="149"/>
        <v>1760</v>
      </c>
      <c r="AV75" s="14">
        <f t="shared" si="149"/>
        <v>1760</v>
      </c>
      <c r="AW75" s="14">
        <f t="shared" si="149"/>
        <v>1760</v>
      </c>
      <c r="AX75" s="14">
        <f t="shared" si="149"/>
        <v>1760</v>
      </c>
      <c r="AY75" s="14">
        <f>INDEX(属性投放!$DH$6:$DH$85,(卡牌属性!AG75-2)*20+卡牌属性!AN75)</f>
        <v>26309</v>
      </c>
      <c r="AZ75" s="14">
        <f t="shared" si="150"/>
        <v>26309</v>
      </c>
      <c r="BA75" s="14">
        <f t="shared" si="150"/>
        <v>26309</v>
      </c>
      <c r="BB75" s="14">
        <f t="shared" si="150"/>
        <v>26309</v>
      </c>
      <c r="BC75" s="14">
        <f t="shared" si="150"/>
        <v>26309</v>
      </c>
      <c r="BD75" s="14">
        <f>INDEX(属性投放!$DL$6:$DL$85,(卡牌属性!AG75-2)*20+卡牌属性!AN75)</f>
        <v>110</v>
      </c>
      <c r="BE75" s="14">
        <f t="shared" si="151"/>
        <v>110</v>
      </c>
      <c r="BF75" s="14">
        <f t="shared" si="151"/>
        <v>110</v>
      </c>
      <c r="BG75" s="14">
        <f t="shared" si="151"/>
        <v>110</v>
      </c>
      <c r="BH75" s="14">
        <f t="shared" si="151"/>
        <v>110</v>
      </c>
      <c r="BI75" s="14">
        <f>INDEX(属性投放!$DM$6:$DM$85,(卡牌属性!AG75-2)*20+卡牌属性!AN75)</f>
        <v>55</v>
      </c>
      <c r="BJ75" s="14">
        <f t="shared" si="152"/>
        <v>55</v>
      </c>
      <c r="BK75" s="14">
        <f t="shared" si="152"/>
        <v>55</v>
      </c>
      <c r="BL75" s="14">
        <f t="shared" si="152"/>
        <v>55</v>
      </c>
      <c r="BM75" s="14">
        <f t="shared" si="152"/>
        <v>55</v>
      </c>
      <c r="BN75" s="14">
        <f>INDEX(属性投放!$DN$6:$DN$85,(卡牌属性!AG75-2)*20+卡牌属性!AN75)</f>
        <v>988</v>
      </c>
      <c r="BO75" s="14">
        <f t="shared" si="153"/>
        <v>988</v>
      </c>
      <c r="BP75" s="14">
        <f t="shared" si="153"/>
        <v>988</v>
      </c>
      <c r="BQ75" s="14">
        <f t="shared" si="153"/>
        <v>988</v>
      </c>
      <c r="BR75" s="14">
        <f t="shared" si="153"/>
        <v>988</v>
      </c>
      <c r="BW75" s="13">
        <v>71</v>
      </c>
      <c r="BX75" s="13">
        <f t="shared" si="173"/>
        <v>4</v>
      </c>
      <c r="BY75" s="14">
        <f t="shared" si="174"/>
        <v>2</v>
      </c>
      <c r="BZ75" s="14">
        <f t="shared" si="189"/>
        <v>1102004</v>
      </c>
      <c r="CA75" s="14" t="str">
        <f t="shared" si="190"/>
        <v>唐流雨11突</v>
      </c>
      <c r="CB75" s="25" t="s">
        <v>142</v>
      </c>
      <c r="CC75" s="14">
        <v>2</v>
      </c>
      <c r="CD75" s="14">
        <f t="shared" si="175"/>
        <v>11</v>
      </c>
      <c r="CE75" s="14" t="s">
        <v>21</v>
      </c>
      <c r="CF75" s="14">
        <f>INDEX(属性投放!$AZ$6:$AZ$85,(BY75-2)*20+CD75)</f>
        <v>2640</v>
      </c>
      <c r="CG75" s="14" t="s">
        <v>22</v>
      </c>
      <c r="CH75" s="14">
        <f>INDEX(属性投放!$BA$6:$BA$85,(BY75-2)*20+CD75)</f>
        <v>1276</v>
      </c>
      <c r="CI75" s="14" t="s">
        <v>510</v>
      </c>
      <c r="CJ75" s="14">
        <f>INDEX(属性投放!$BB$6:$BB$85,(BY75-2)*20+CD75)</f>
        <v>19838</v>
      </c>
      <c r="CK75" s="14" t="s">
        <v>21</v>
      </c>
      <c r="CL75" s="14">
        <f>INDEX(属性投放!$BC$6:$BC$85,(BY75-2)*20+CD75)</f>
        <v>12</v>
      </c>
      <c r="CM75" s="14" t="s">
        <v>22</v>
      </c>
      <c r="CN75" s="14">
        <f>INDEX(属性投放!$BD$6:$BD$85,(BY75-2)*20+CD75)</f>
        <v>6</v>
      </c>
      <c r="CO75" s="14" t="s">
        <v>510</v>
      </c>
      <c r="CP75" s="14">
        <f>INDEX(属性投放!$BE$6:$BE$85,(BY75-2)*20+CD75)</f>
        <v>108</v>
      </c>
      <c r="CS75" s="13">
        <v>71</v>
      </c>
      <c r="CT75" s="13">
        <f t="shared" si="191"/>
        <v>2</v>
      </c>
      <c r="CU75" s="13">
        <f t="shared" si="192"/>
        <v>19</v>
      </c>
      <c r="CV75" s="14">
        <f t="shared" si="193"/>
        <v>3</v>
      </c>
      <c r="CW75" s="14">
        <f t="shared" si="194"/>
        <v>1102002</v>
      </c>
      <c r="CX75" s="14" t="str">
        <f>INDEX($O$6:$O$50,CT75)&amp;"-"&amp;INDEX(属性投放!$AB$7:$AB$50,CZ75)&amp;"-魂火-"&amp;DB75</f>
        <v>许褚-大叫唤-魂火-1</v>
      </c>
      <c r="CY75" s="25" t="s">
        <v>142</v>
      </c>
      <c r="CZ75" s="14">
        <f>INDEX(属性投放!$AM$7:$AM$58,CU75)</f>
        <v>10</v>
      </c>
      <c r="DA75" s="14" t="s">
        <v>537</v>
      </c>
      <c r="DB75" s="14">
        <f>INDEX(属性投放!$AN$7:$AN$58,CU75)</f>
        <v>1</v>
      </c>
      <c r="DC75" s="14">
        <f t="shared" si="176"/>
        <v>19</v>
      </c>
      <c r="DD75" s="14">
        <f>INDEX(属性投放!$AO$7:$AO$58,DC75)</f>
        <v>65</v>
      </c>
      <c r="DE75" s="14" t="s">
        <v>538</v>
      </c>
      <c r="DF75" s="14">
        <f>INDEX(属性投放!$BK$6:$BK$85,(CV75-2)*20+CZ75)</f>
        <v>120</v>
      </c>
      <c r="DG75" s="14">
        <f>SUMIFS(DF$5:DF75,$CT$5:$CT75,"="&amp;$CT75)</f>
        <v>1130</v>
      </c>
      <c r="DH75" s="14" t="s">
        <v>539</v>
      </c>
      <c r="DI75" s="14">
        <f>INDEX(属性投放!$BL$6:$BL$85,(CV75-2)*20+CZ75)</f>
        <v>60</v>
      </c>
      <c r="DJ75" s="14">
        <f>SUMIFS(DI$5:DI75,$CT$5:$CT75,"="&amp;$CT75)</f>
        <v>568</v>
      </c>
      <c r="DK75" s="14" t="s">
        <v>540</v>
      </c>
      <c r="DL75" s="14">
        <f>INDEX(属性投放!$BM$6:$BM$85,(CV75-2)*20+CZ75)</f>
        <v>1080</v>
      </c>
      <c r="DM75" s="14">
        <f>SUMIFS(DL$5:DL75,$CT$5:$CT75,"="&amp;$CT75)</f>
        <v>8630</v>
      </c>
      <c r="DR75" s="14">
        <f t="shared" si="177"/>
        <v>1102004</v>
      </c>
      <c r="DS75" s="14" t="str">
        <f t="shared" si="178"/>
        <v>唐流雨11突</v>
      </c>
      <c r="DT75" s="14">
        <f t="shared" si="195"/>
        <v>4</v>
      </c>
      <c r="DU75" s="14">
        <f t="shared" si="196"/>
        <v>2</v>
      </c>
      <c r="DV75" s="14">
        <f t="shared" si="197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INDEX(属性投放!$AX$6:$AX$85,(卡牌属性!DW75-2)*20+卡牌属性!DX75)</f>
        <v>8</v>
      </c>
      <c r="EA75" s="14">
        <f>INDEX(属性投放!BQ$6:BQ$85,卡牌属性!$DY75)</f>
        <v>200</v>
      </c>
      <c r="EB75" s="14">
        <f>INDEX(属性投放!BR$6:BR$85,卡牌属性!$DY75)</f>
        <v>100</v>
      </c>
      <c r="EC75" s="14">
        <f>INDEX(属性投放!BS$6:BS$85,卡牌属性!$DY75)</f>
        <v>1800</v>
      </c>
      <c r="ED75" s="14">
        <f t="shared" si="154"/>
        <v>1705</v>
      </c>
      <c r="EE75" s="14">
        <f t="shared" si="155"/>
        <v>1911</v>
      </c>
      <c r="EF75" s="14">
        <f t="shared" si="156"/>
        <v>2031</v>
      </c>
      <c r="EG75" s="14">
        <f t="shared" si="157"/>
        <v>2031</v>
      </c>
      <c r="EH75" s="14">
        <f t="shared" si="158"/>
        <v>2503</v>
      </c>
      <c r="EI75" s="14">
        <f t="shared" si="159"/>
        <v>674</v>
      </c>
      <c r="EJ75" s="14">
        <f t="shared" si="160"/>
        <v>730</v>
      </c>
      <c r="EK75" s="14">
        <f t="shared" si="161"/>
        <v>730</v>
      </c>
      <c r="EL75" s="14">
        <f t="shared" si="162"/>
        <v>814</v>
      </c>
      <c r="EM75" s="14">
        <f t="shared" si="163"/>
        <v>920</v>
      </c>
      <c r="EN75" s="14">
        <f t="shared" si="164"/>
        <v>11118</v>
      </c>
      <c r="EO75" s="14">
        <f t="shared" si="165"/>
        <v>12267</v>
      </c>
      <c r="EP75" s="14">
        <f t="shared" si="166"/>
        <v>12267</v>
      </c>
      <c r="EQ75" s="14">
        <f t="shared" si="167"/>
        <v>13710</v>
      </c>
      <c r="ER75" s="14">
        <f t="shared" si="168"/>
        <v>14509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108</v>
      </c>
      <c r="FD75" s="14">
        <f>INDEX(属性偏向!$U$4:$U$243,(卡牌属性!$DV75-1+FD$3)*20+卡牌属性!$DX75)</f>
        <v>135</v>
      </c>
      <c r="FE75" s="14">
        <f>INDEX(属性偏向!$U$4:$U$243,(卡牌属性!$DV75-1+FE$3)*20+卡牌属性!$DX75)</f>
        <v>135</v>
      </c>
      <c r="FF75" s="14">
        <f>INDEX(属性偏向!$U$4:$U$243,(卡牌属性!$DV75-1+FF$3)*20+卡牌属性!$DX75)</f>
        <v>180</v>
      </c>
      <c r="FG75" s="14">
        <f>INDEX(属性偏向!$U$4:$U$243,(卡牌属性!$DV75-1+FG$3)*20+卡牌属性!$DX75)</f>
        <v>189</v>
      </c>
      <c r="FH75" s="14">
        <f>INDEX(属性投放!$BQ$6:$BQ$85,(卡牌属性!$DW75-2)*20+卡牌属性!$DX75)</f>
        <v>200</v>
      </c>
      <c r="FI75" s="14">
        <f>INDEX(属性投放!$BQ$6:$BQ$85,(卡牌属性!$DW75-2)*20+卡牌属性!$DX75)</f>
        <v>200</v>
      </c>
      <c r="FJ75" s="14">
        <f>INDEX(属性投放!$BQ$6:$BQ$85,(卡牌属性!$DW75-2)*20+卡牌属性!$DX75)</f>
        <v>200</v>
      </c>
      <c r="FK75" s="14">
        <f>INDEX(属性投放!$BQ$6:$BQ$85,(卡牌属性!$DW75-2)*20+卡牌属性!$DX75)</f>
        <v>200</v>
      </c>
      <c r="FL75" s="14">
        <f>INDEX(属性投放!$BQ$6:$BQ$85,(卡牌属性!$DW75-2)*20+卡牌属性!$DX75)</f>
        <v>200</v>
      </c>
      <c r="FM75" s="14">
        <f>INDEX(属性投放!$BR$6:$BR$85,(卡牌属性!$DW75-2)*20+卡牌属性!$DX75)</f>
        <v>100</v>
      </c>
      <c r="FN75" s="14">
        <f>INDEX(属性投放!$BR$6:$BR$85,(卡牌属性!$DW75-2)*20+卡牌属性!$DX75)</f>
        <v>100</v>
      </c>
      <c r="FO75" s="14">
        <f>INDEX(属性投放!$BR$6:$BR$85,(卡牌属性!$DW75-2)*20+卡牌属性!$DX75)</f>
        <v>100</v>
      </c>
      <c r="FP75" s="14">
        <f>INDEX(属性投放!$BR$6:$BR$85,(卡牌属性!$DW75-2)*20+卡牌属性!$DX75)</f>
        <v>100</v>
      </c>
      <c r="FQ75" s="14">
        <f>INDEX(属性投放!$BR$6:$BR$85,(卡牌属性!$DW75-2)*20+卡牌属性!$DX75)</f>
        <v>100</v>
      </c>
      <c r="FR75" s="14">
        <f>INDEX(属性投放!$BS$6:$BS$85,(卡牌属性!$DW75-2)*20+卡牌属性!$DX75)</f>
        <v>1800</v>
      </c>
      <c r="FS75" s="14">
        <f>INDEX(属性投放!$BS$6:$BS$85,(卡牌属性!$DW75-2)*20+卡牌属性!$DX75)</f>
        <v>1800</v>
      </c>
      <c r="FT75" s="14">
        <f>INDEX(属性投放!$BS$6:$BS$85,(卡牌属性!$DW75-2)*20+卡牌属性!$DX75)</f>
        <v>1800</v>
      </c>
      <c r="FU75" s="14">
        <f>INDEX(属性投放!$BS$6:$BS$85,(卡牌属性!$DW75-2)*20+卡牌属性!$DX75)</f>
        <v>1800</v>
      </c>
      <c r="FV75" s="14">
        <f>INDEX(属性投放!$BS$6:$BS$85,(卡牌属性!$DW75-2)*20+卡牌属性!$DX75)</f>
        <v>1800</v>
      </c>
      <c r="FZ75" s="13">
        <v>71</v>
      </c>
      <c r="GA75" s="13">
        <f t="shared" si="182"/>
        <v>15</v>
      </c>
      <c r="GB75" s="14">
        <f t="shared" si="198"/>
        <v>1102015</v>
      </c>
      <c r="GC75" s="14" t="s">
        <v>1187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9"/>
        <v>1101015</v>
      </c>
      <c r="GQ75" s="14" t="s">
        <v>1187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MATCH(HC75,属性投放!$AO$6:$AO$58,1)-1</f>
        <v>21</v>
      </c>
      <c r="HF75" s="13">
        <f>MATCH(HC75-1,属性投放!$AE$6:$AE$26,1)</f>
        <v>10</v>
      </c>
      <c r="HG75" s="13" t="str">
        <f>INDEX(属性投放!$AB$7:$AB$26,卡牌属性!HF75)</f>
        <v>大叫唤</v>
      </c>
      <c r="HH75" s="14">
        <f t="shared" si="200"/>
        <v>2463</v>
      </c>
      <c r="HI75" s="14">
        <f t="shared" si="201"/>
        <v>992</v>
      </c>
      <c r="HJ75" s="14">
        <f t="shared" si="202"/>
        <v>14146</v>
      </c>
      <c r="HK75" s="14">
        <f t="shared" si="203"/>
        <v>30</v>
      </c>
      <c r="HL75" s="14">
        <f t="shared" si="204"/>
        <v>11</v>
      </c>
      <c r="HM75" s="14">
        <f t="shared" si="205"/>
        <v>189</v>
      </c>
      <c r="HN75" s="14">
        <f>HH75+HK75*($HC75-INDEX(属性投放!$AE$6:$AE$26,卡牌属性!$HF75))</f>
        <v>2643</v>
      </c>
      <c r="HO75" s="14">
        <f>HI75+HL75*($HC75-INDEX(属性投放!$AE$6:$AE$26,卡牌属性!$HF75))</f>
        <v>1058</v>
      </c>
      <c r="HP75" s="14">
        <f>HJ75+HM75*($HC75-INDEX(属性投放!$AE$6:$AE$26,卡牌属性!$HF75))</f>
        <v>15280</v>
      </c>
      <c r="HQ75" s="14">
        <f t="shared" si="206"/>
        <v>1570</v>
      </c>
      <c r="HR75" s="14">
        <f t="shared" si="207"/>
        <v>790</v>
      </c>
      <c r="HS75" s="14">
        <f t="shared" si="208"/>
        <v>12320</v>
      </c>
      <c r="HT75" s="14">
        <f>IF(COUNTIF(属性投放!$AO$7:$AO$58,"="&amp;卡牌属性!HC75)&gt;0,卡牌属性!HE75,0)</f>
        <v>0</v>
      </c>
      <c r="HU75" s="14">
        <f t="shared" si="209"/>
        <v>0</v>
      </c>
      <c r="HV75" s="14">
        <f t="shared" si="210"/>
        <v>0</v>
      </c>
      <c r="HW75" s="14">
        <f t="shared" si="211"/>
        <v>0</v>
      </c>
      <c r="HX75" s="14">
        <f>IF(COUNTIF(属性投放!$AE$6:$AE$26,"="&amp;卡牌属性!HC75)&gt;0,卡牌属性!HF75,0)</f>
        <v>0</v>
      </c>
      <c r="HY75" s="14">
        <f t="shared" si="212"/>
        <v>0</v>
      </c>
      <c r="HZ75" s="14">
        <f t="shared" si="213"/>
        <v>0</v>
      </c>
      <c r="IA75" s="14">
        <f t="shared" si="214"/>
        <v>0</v>
      </c>
      <c r="IB75" s="14">
        <f t="shared" si="215"/>
        <v>30</v>
      </c>
      <c r="IC75" s="14">
        <f t="shared" si="216"/>
        <v>11</v>
      </c>
      <c r="ID75" s="14">
        <f t="shared" si="217"/>
        <v>189</v>
      </c>
      <c r="IE75" s="14">
        <f t="shared" si="218"/>
        <v>4213</v>
      </c>
      <c r="IF75" s="14">
        <f t="shared" si="219"/>
        <v>1848</v>
      </c>
      <c r="IG75" s="14">
        <f t="shared" si="220"/>
        <v>27600</v>
      </c>
      <c r="IH75" s="14">
        <f t="shared" si="221"/>
        <v>709</v>
      </c>
      <c r="II75" s="14">
        <f t="shared" si="222"/>
        <v>0</v>
      </c>
      <c r="IJ75" s="14">
        <f t="shared" si="223"/>
        <v>0</v>
      </c>
      <c r="IK75" s="14">
        <f t="shared" si="224"/>
        <v>106690</v>
      </c>
      <c r="IL75" s="17">
        <f t="shared" si="225"/>
        <v>6.6454213140875436E-3</v>
      </c>
      <c r="IM75" s="17">
        <f t="shared" si="226"/>
        <v>0</v>
      </c>
      <c r="IN75" s="17">
        <f t="shared" si="227"/>
        <v>0</v>
      </c>
      <c r="IO75" s="23">
        <f>SUM(IH$5:IH75)</f>
        <v>31660</v>
      </c>
      <c r="IP75" s="14">
        <f>SUM(II$5:II75)</f>
        <v>43820</v>
      </c>
      <c r="IQ75" s="14">
        <f>SUM(IJ$5:IJ75)</f>
        <v>22440</v>
      </c>
      <c r="IR75" s="17">
        <f t="shared" si="228"/>
        <v>0.29674758646546068</v>
      </c>
      <c r="IS75" s="17">
        <f t="shared" si="229"/>
        <v>0.41072265441934575</v>
      </c>
      <c r="IT75" s="17">
        <f t="shared" si="230"/>
        <v>0.21032899053332083</v>
      </c>
      <c r="IW75" s="13">
        <v>71</v>
      </c>
      <c r="IX75" s="14">
        <f>MATCH(IW75-1,属性投放!$T$6:$T$66,1)</f>
        <v>7</v>
      </c>
      <c r="IY75" s="14">
        <f>MATCH(IW75-1,属性投放!$AD$7:$AD$26,1)</f>
        <v>10</v>
      </c>
      <c r="IZ75" s="14" t="str">
        <f>INDEX(属性投放!$AB$7:$AB$26,IY75)</f>
        <v>大叫唤</v>
      </c>
      <c r="JA75" s="14">
        <f t="shared" si="231"/>
        <v>1923</v>
      </c>
      <c r="JB75" s="14">
        <f t="shared" si="232"/>
        <v>911</v>
      </c>
      <c r="JC75" s="14">
        <f t="shared" si="233"/>
        <v>13535</v>
      </c>
      <c r="JD75" s="14">
        <f t="shared" si="234"/>
        <v>76</v>
      </c>
      <c r="JE75" s="14">
        <f t="shared" si="235"/>
        <v>38</v>
      </c>
      <c r="JF75" s="14">
        <f t="shared" si="236"/>
        <v>685</v>
      </c>
      <c r="JG75" s="14">
        <f>INDEX(属性投放!$DC$6:$DC$85,卡牌属性!IY75)</f>
        <v>60</v>
      </c>
      <c r="JH75" s="14">
        <f t="shared" si="237"/>
        <v>2759</v>
      </c>
      <c r="JI75" s="14">
        <f t="shared" si="238"/>
        <v>1329</v>
      </c>
      <c r="JJ75" s="14">
        <f t="shared" si="239"/>
        <v>21070</v>
      </c>
      <c r="JK75" s="14">
        <f t="shared" si="240"/>
        <v>48155</v>
      </c>
    </row>
    <row r="76" spans="31:271" ht="16.5" x14ac:dyDescent="0.2">
      <c r="AE76" s="13">
        <v>72</v>
      </c>
      <c r="AF76" s="13">
        <f t="shared" si="188"/>
        <v>4</v>
      </c>
      <c r="AG76" s="13">
        <f t="shared" si="169"/>
        <v>4</v>
      </c>
      <c r="AH76" s="13"/>
      <c r="AI76" s="13"/>
      <c r="AJ76" s="14">
        <f t="shared" si="170"/>
        <v>1101004</v>
      </c>
      <c r="AK76" s="14" t="str">
        <f t="shared" si="171"/>
        <v>项昆仑12突</v>
      </c>
      <c r="AL76" s="25" t="s">
        <v>142</v>
      </c>
      <c r="AM76" s="14">
        <v>1</v>
      </c>
      <c r="AN76" s="14">
        <f t="shared" si="172"/>
        <v>12</v>
      </c>
      <c r="AO76" s="14">
        <f>INDEX(属性投放!$DF$6:$DF$85,(卡牌属性!AG76-2)*20+卡牌属性!AN76)</f>
        <v>3975</v>
      </c>
      <c r="AP76" s="14">
        <f t="shared" si="148"/>
        <v>3975</v>
      </c>
      <c r="AQ76" s="14">
        <f t="shared" si="148"/>
        <v>3975</v>
      </c>
      <c r="AR76" s="14">
        <f t="shared" si="148"/>
        <v>3975</v>
      </c>
      <c r="AS76" s="14">
        <f t="shared" si="148"/>
        <v>3975</v>
      </c>
      <c r="AT76" s="14">
        <f>INDEX(属性投放!$DG$6:$DG$85,(卡牌属性!AG76-2)*20+卡牌属性!AN76)</f>
        <v>1917</v>
      </c>
      <c r="AU76" s="14">
        <f t="shared" si="149"/>
        <v>1917</v>
      </c>
      <c r="AV76" s="14">
        <f t="shared" si="149"/>
        <v>1917</v>
      </c>
      <c r="AW76" s="14">
        <f t="shared" si="149"/>
        <v>1917</v>
      </c>
      <c r="AX76" s="14">
        <f t="shared" si="149"/>
        <v>1917</v>
      </c>
      <c r="AY76" s="14">
        <f>INDEX(属性投放!$DH$6:$DH$85,(卡牌属性!AG76-2)*20+卡牌属性!AN76)</f>
        <v>29131</v>
      </c>
      <c r="AZ76" s="14">
        <f t="shared" si="150"/>
        <v>29131</v>
      </c>
      <c r="BA76" s="14">
        <f t="shared" si="150"/>
        <v>29131</v>
      </c>
      <c r="BB76" s="14">
        <f t="shared" si="150"/>
        <v>29131</v>
      </c>
      <c r="BC76" s="14">
        <f t="shared" si="150"/>
        <v>29131</v>
      </c>
      <c r="BD76" s="14">
        <f>INDEX(属性投放!$DL$6:$DL$85,(卡牌属性!AG76-2)*20+卡牌属性!AN76)</f>
        <v>110</v>
      </c>
      <c r="BE76" s="14">
        <f t="shared" si="151"/>
        <v>110</v>
      </c>
      <c r="BF76" s="14">
        <f t="shared" si="151"/>
        <v>110</v>
      </c>
      <c r="BG76" s="14">
        <f t="shared" si="151"/>
        <v>110</v>
      </c>
      <c r="BH76" s="14">
        <f t="shared" si="151"/>
        <v>110</v>
      </c>
      <c r="BI76" s="14">
        <f>INDEX(属性投放!$DM$6:$DM$85,(卡牌属性!AG76-2)*20+卡牌属性!AN76)</f>
        <v>55</v>
      </c>
      <c r="BJ76" s="14">
        <f t="shared" si="152"/>
        <v>55</v>
      </c>
      <c r="BK76" s="14">
        <f t="shared" si="152"/>
        <v>55</v>
      </c>
      <c r="BL76" s="14">
        <f t="shared" si="152"/>
        <v>55</v>
      </c>
      <c r="BM76" s="14">
        <f t="shared" si="152"/>
        <v>55</v>
      </c>
      <c r="BN76" s="14">
        <f>INDEX(属性投放!$DN$6:$DN$85,(卡牌属性!AG76-2)*20+卡牌属性!AN76)</f>
        <v>988</v>
      </c>
      <c r="BO76" s="14">
        <f t="shared" si="153"/>
        <v>988</v>
      </c>
      <c r="BP76" s="14">
        <f t="shared" si="153"/>
        <v>988</v>
      </c>
      <c r="BQ76" s="14">
        <f t="shared" si="153"/>
        <v>988</v>
      </c>
      <c r="BR76" s="14">
        <f t="shared" si="153"/>
        <v>988</v>
      </c>
      <c r="BW76" s="13">
        <v>72</v>
      </c>
      <c r="BX76" s="13">
        <f t="shared" si="173"/>
        <v>4</v>
      </c>
      <c r="BY76" s="14">
        <f t="shared" si="174"/>
        <v>2</v>
      </c>
      <c r="BZ76" s="14">
        <f t="shared" si="189"/>
        <v>1102004</v>
      </c>
      <c r="CA76" s="14" t="str">
        <f t="shared" si="190"/>
        <v>唐流雨12突</v>
      </c>
      <c r="CB76" s="25" t="s">
        <v>142</v>
      </c>
      <c r="CC76" s="14">
        <v>2</v>
      </c>
      <c r="CD76" s="14">
        <f t="shared" si="175"/>
        <v>12</v>
      </c>
      <c r="CE76" s="14" t="s">
        <v>21</v>
      </c>
      <c r="CF76" s="14">
        <f>INDEX(属性投放!$AZ$6:$AZ$85,(BY76-2)*20+CD76)</f>
        <v>3326</v>
      </c>
      <c r="CG76" s="14" t="s">
        <v>22</v>
      </c>
      <c r="CH76" s="14">
        <f>INDEX(属性投放!$BA$6:$BA$85,(BY76-2)*20+CD76)</f>
        <v>1619</v>
      </c>
      <c r="CI76" s="14" t="s">
        <v>510</v>
      </c>
      <c r="CJ76" s="14">
        <f>INDEX(属性投放!$BB$6:$BB$85,(BY76-2)*20+CD76)</f>
        <v>26012</v>
      </c>
      <c r="CK76" s="14" t="s">
        <v>21</v>
      </c>
      <c r="CL76" s="14">
        <f>INDEX(属性投放!$BC$6:$BC$85,(BY76-2)*20+CD76)</f>
        <v>12</v>
      </c>
      <c r="CM76" s="14" t="s">
        <v>22</v>
      </c>
      <c r="CN76" s="14">
        <f>INDEX(属性投放!$BD$6:$BD$85,(BY76-2)*20+CD76)</f>
        <v>6</v>
      </c>
      <c r="CO76" s="14" t="s">
        <v>510</v>
      </c>
      <c r="CP76" s="14">
        <f>INDEX(属性投放!$BE$6:$BE$85,(BY76-2)*20+CD76)</f>
        <v>108</v>
      </c>
      <c r="CS76" s="13">
        <v>72</v>
      </c>
      <c r="CT76" s="13">
        <f t="shared" si="191"/>
        <v>2</v>
      </c>
      <c r="CU76" s="13">
        <f t="shared" si="192"/>
        <v>20</v>
      </c>
      <c r="CV76" s="14">
        <f t="shared" si="193"/>
        <v>3</v>
      </c>
      <c r="CW76" s="14">
        <f t="shared" si="194"/>
        <v>1102002</v>
      </c>
      <c r="CX76" s="14" t="str">
        <f>INDEX($O$6:$O$50,CT76)&amp;"-"&amp;INDEX(属性投放!$AB$7:$AB$50,CZ76)&amp;"-魂火-"&amp;DB76</f>
        <v>许褚-大叫唤-魂火-2</v>
      </c>
      <c r="CY76" s="25" t="s">
        <v>142</v>
      </c>
      <c r="CZ76" s="14">
        <f>INDEX(属性投放!$AM$7:$AM$58,CU76)</f>
        <v>10</v>
      </c>
      <c r="DA76" s="14" t="s">
        <v>537</v>
      </c>
      <c r="DB76" s="14">
        <f>INDEX(属性投放!$AN$7:$AN$58,CU76)</f>
        <v>2</v>
      </c>
      <c r="DC76" s="14">
        <f t="shared" si="176"/>
        <v>20</v>
      </c>
      <c r="DD76" s="14">
        <f>INDEX(属性投放!$AO$7:$AO$58,DC76)</f>
        <v>68</v>
      </c>
      <c r="DE76" s="14" t="s">
        <v>538</v>
      </c>
      <c r="DF76" s="14">
        <f>INDEX(属性投放!$BK$6:$BK$85,(CV76-2)*20+CZ76)</f>
        <v>120</v>
      </c>
      <c r="DG76" s="14">
        <f>SUMIFS(DF$5:DF76,$CT$5:$CT76,"="&amp;$CT76)</f>
        <v>1250</v>
      </c>
      <c r="DH76" s="14" t="s">
        <v>539</v>
      </c>
      <c r="DI76" s="14">
        <f>INDEX(属性投放!$BL$6:$BL$85,(CV76-2)*20+CZ76)</f>
        <v>60</v>
      </c>
      <c r="DJ76" s="14">
        <f>SUMIFS(DI$5:DI76,$CT$5:$CT76,"="&amp;$CT76)</f>
        <v>628</v>
      </c>
      <c r="DK76" s="14" t="s">
        <v>540</v>
      </c>
      <c r="DL76" s="14">
        <f>INDEX(属性投放!$BM$6:$BM$85,(CV76-2)*20+CZ76)</f>
        <v>1080</v>
      </c>
      <c r="DM76" s="14">
        <f>SUMIFS(DL$5:DL76,$CT$5:$CT76,"="&amp;$CT76)</f>
        <v>9710</v>
      </c>
      <c r="DR76" s="14">
        <f t="shared" si="177"/>
        <v>1102004</v>
      </c>
      <c r="DS76" s="14" t="str">
        <f t="shared" si="178"/>
        <v>唐流雨12突</v>
      </c>
      <c r="DT76" s="14">
        <f t="shared" si="195"/>
        <v>4</v>
      </c>
      <c r="DU76" s="14">
        <f t="shared" si="196"/>
        <v>2</v>
      </c>
      <c r="DV76" s="14">
        <f t="shared" si="197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INDEX(属性投放!$AX$6:$AX$85,(卡牌属性!DW76-2)*20+卡牌属性!DX76)</f>
        <v>7</v>
      </c>
      <c r="EA76" s="14">
        <f>INDEX(属性投放!BQ$6:BQ$85,卡牌属性!$DY76)</f>
        <v>350</v>
      </c>
      <c r="EB76" s="14">
        <f>INDEX(属性投放!BR$6:BR$85,卡牌属性!$DY76)</f>
        <v>175</v>
      </c>
      <c r="EC76" s="14">
        <f>INDEX(属性投放!BS$6:BS$85,卡牌属性!$DY76)</f>
        <v>3150</v>
      </c>
      <c r="ED76" s="14">
        <f t="shared" si="154"/>
        <v>2025</v>
      </c>
      <c r="EE76" s="14">
        <f t="shared" si="155"/>
        <v>2271</v>
      </c>
      <c r="EF76" s="14">
        <f t="shared" si="156"/>
        <v>2399</v>
      </c>
      <c r="EG76" s="14">
        <f t="shared" si="157"/>
        <v>2399</v>
      </c>
      <c r="EH76" s="14">
        <f t="shared" si="158"/>
        <v>2943</v>
      </c>
      <c r="EI76" s="14">
        <f t="shared" si="159"/>
        <v>814</v>
      </c>
      <c r="EJ76" s="14">
        <f t="shared" si="160"/>
        <v>878</v>
      </c>
      <c r="EK76" s="14">
        <f t="shared" si="161"/>
        <v>878</v>
      </c>
      <c r="EL76" s="14">
        <f t="shared" si="162"/>
        <v>978</v>
      </c>
      <c r="EM76" s="14">
        <f t="shared" si="163"/>
        <v>1100</v>
      </c>
      <c r="EN76" s="14">
        <f t="shared" si="164"/>
        <v>13782</v>
      </c>
      <c r="EO76" s="14">
        <f t="shared" si="165"/>
        <v>15147</v>
      </c>
      <c r="EP76" s="14">
        <f t="shared" si="166"/>
        <v>15147</v>
      </c>
      <c r="EQ76" s="14">
        <f t="shared" si="167"/>
        <v>16950</v>
      </c>
      <c r="ER76" s="14">
        <f t="shared" si="168"/>
        <v>17821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108</v>
      </c>
      <c r="FD76" s="14">
        <f>INDEX(属性偏向!$U$4:$U$243,(卡牌属性!$DV76-1+FD$3)*20+卡牌属性!$DX76)</f>
        <v>135</v>
      </c>
      <c r="FE76" s="14">
        <f>INDEX(属性偏向!$U$4:$U$243,(卡牌属性!$DV76-1+FE$3)*20+卡牌属性!$DX76)</f>
        <v>135</v>
      </c>
      <c r="FF76" s="14">
        <f>INDEX(属性偏向!$U$4:$U$243,(卡牌属性!$DV76-1+FF$3)*20+卡牌属性!$DX76)</f>
        <v>180</v>
      </c>
      <c r="FG76" s="14">
        <f>INDEX(属性偏向!$U$4:$U$243,(卡牌属性!$DV76-1+FG$3)*20+卡牌属性!$DX76)</f>
        <v>189</v>
      </c>
      <c r="FH76" s="14">
        <f>INDEX(属性投放!$BQ$6:$BQ$85,(卡牌属性!$DW76-2)*20+卡牌属性!$DX76)</f>
        <v>350</v>
      </c>
      <c r="FI76" s="14">
        <f>INDEX(属性投放!$BQ$6:$BQ$85,(卡牌属性!$DW76-2)*20+卡牌属性!$DX76)</f>
        <v>350</v>
      </c>
      <c r="FJ76" s="14">
        <f>INDEX(属性投放!$BQ$6:$BQ$85,(卡牌属性!$DW76-2)*20+卡牌属性!$DX76)</f>
        <v>350</v>
      </c>
      <c r="FK76" s="14">
        <f>INDEX(属性投放!$BQ$6:$BQ$85,(卡牌属性!$DW76-2)*20+卡牌属性!$DX76)</f>
        <v>350</v>
      </c>
      <c r="FL76" s="14">
        <f>INDEX(属性投放!$BQ$6:$BQ$85,(卡牌属性!$DW76-2)*20+卡牌属性!$DX76)</f>
        <v>350</v>
      </c>
      <c r="FM76" s="14">
        <f>INDEX(属性投放!$BR$6:$BR$85,(卡牌属性!$DW76-2)*20+卡牌属性!$DX76)</f>
        <v>175</v>
      </c>
      <c r="FN76" s="14">
        <f>INDEX(属性投放!$BR$6:$BR$85,(卡牌属性!$DW76-2)*20+卡牌属性!$DX76)</f>
        <v>175</v>
      </c>
      <c r="FO76" s="14">
        <f>INDEX(属性投放!$BR$6:$BR$85,(卡牌属性!$DW76-2)*20+卡牌属性!$DX76)</f>
        <v>175</v>
      </c>
      <c r="FP76" s="14">
        <f>INDEX(属性投放!$BR$6:$BR$85,(卡牌属性!$DW76-2)*20+卡牌属性!$DX76)</f>
        <v>175</v>
      </c>
      <c r="FQ76" s="14">
        <f>INDEX(属性投放!$BR$6:$BR$85,(卡牌属性!$DW76-2)*20+卡牌属性!$DX76)</f>
        <v>175</v>
      </c>
      <c r="FR76" s="14">
        <f>INDEX(属性投放!$BS$6:$BS$85,(卡牌属性!$DW76-2)*20+卡牌属性!$DX76)</f>
        <v>3150</v>
      </c>
      <c r="FS76" s="14">
        <f>INDEX(属性投放!$BS$6:$BS$85,(卡牌属性!$DW76-2)*20+卡牌属性!$DX76)</f>
        <v>3150</v>
      </c>
      <c r="FT76" s="14">
        <f>INDEX(属性投放!$BS$6:$BS$85,(卡牌属性!$DW76-2)*20+卡牌属性!$DX76)</f>
        <v>3150</v>
      </c>
      <c r="FU76" s="14">
        <f>INDEX(属性投放!$BS$6:$BS$85,(卡牌属性!$DW76-2)*20+卡牌属性!$DX76)</f>
        <v>3150</v>
      </c>
      <c r="FV76" s="14">
        <f>INDEX(属性投放!$BS$6:$BS$85,(卡牌属性!$DW76-2)*20+卡牌属性!$DX76)</f>
        <v>3150</v>
      </c>
      <c r="FZ76" s="13">
        <v>72</v>
      </c>
      <c r="GA76" s="13">
        <f t="shared" si="182"/>
        <v>15</v>
      </c>
      <c r="GB76" s="14">
        <f t="shared" si="198"/>
        <v>1102015</v>
      </c>
      <c r="GC76" s="14" t="s">
        <v>1187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9"/>
        <v>1101015</v>
      </c>
      <c r="GQ76" s="14" t="s">
        <v>1187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MATCH(HC76,属性投放!$AO$6:$AO$58,1)-1</f>
        <v>21</v>
      </c>
      <c r="HF76" s="13">
        <f>MATCH(HC76-1,属性投放!$AE$6:$AE$26,1)</f>
        <v>10</v>
      </c>
      <c r="HG76" s="13" t="str">
        <f>INDEX(属性投放!$AB$7:$AB$26,卡牌属性!HF76)</f>
        <v>大叫唤</v>
      </c>
      <c r="HH76" s="14">
        <f t="shared" si="200"/>
        <v>2463</v>
      </c>
      <c r="HI76" s="14">
        <f t="shared" si="201"/>
        <v>992</v>
      </c>
      <c r="HJ76" s="14">
        <f t="shared" si="202"/>
        <v>14146</v>
      </c>
      <c r="HK76" s="14">
        <f t="shared" si="203"/>
        <v>30</v>
      </c>
      <c r="HL76" s="14">
        <f t="shared" si="204"/>
        <v>11</v>
      </c>
      <c r="HM76" s="14">
        <f t="shared" si="205"/>
        <v>189</v>
      </c>
      <c r="HN76" s="14">
        <f>HH76+HK76*($HC76-INDEX(属性投放!$AE$6:$AE$26,卡牌属性!$HF76))</f>
        <v>2673</v>
      </c>
      <c r="HO76" s="14">
        <f>HI76+HL76*($HC76-INDEX(属性投放!$AE$6:$AE$26,卡牌属性!$HF76))</f>
        <v>1069</v>
      </c>
      <c r="HP76" s="14">
        <f>HJ76+HM76*($HC76-INDEX(属性投放!$AE$6:$AE$26,卡牌属性!$HF76))</f>
        <v>15469</v>
      </c>
      <c r="HQ76" s="14">
        <f t="shared" si="206"/>
        <v>1570</v>
      </c>
      <c r="HR76" s="14">
        <f t="shared" si="207"/>
        <v>790</v>
      </c>
      <c r="HS76" s="14">
        <f t="shared" si="208"/>
        <v>12320</v>
      </c>
      <c r="HT76" s="14">
        <f>IF(COUNTIF(属性投放!$AO$7:$AO$58,"="&amp;卡牌属性!HC76)&gt;0,卡牌属性!HE76,0)</f>
        <v>0</v>
      </c>
      <c r="HU76" s="14">
        <f t="shared" si="209"/>
        <v>0</v>
      </c>
      <c r="HV76" s="14">
        <f t="shared" si="210"/>
        <v>0</v>
      </c>
      <c r="HW76" s="14">
        <f t="shared" si="211"/>
        <v>0</v>
      </c>
      <c r="HX76" s="14">
        <f>IF(COUNTIF(属性投放!$AE$6:$AE$26,"="&amp;卡牌属性!HC76)&gt;0,卡牌属性!HF76,0)</f>
        <v>10</v>
      </c>
      <c r="HY76" s="14">
        <f t="shared" si="212"/>
        <v>200</v>
      </c>
      <c r="HZ76" s="14">
        <f t="shared" si="213"/>
        <v>100</v>
      </c>
      <c r="IA76" s="14">
        <f t="shared" si="214"/>
        <v>1600</v>
      </c>
      <c r="IB76" s="14">
        <f t="shared" si="215"/>
        <v>30</v>
      </c>
      <c r="IC76" s="14">
        <f t="shared" si="216"/>
        <v>11</v>
      </c>
      <c r="ID76" s="14">
        <f t="shared" si="217"/>
        <v>189</v>
      </c>
      <c r="IE76" s="14">
        <f t="shared" si="218"/>
        <v>4243</v>
      </c>
      <c r="IF76" s="14">
        <f t="shared" si="219"/>
        <v>1859</v>
      </c>
      <c r="IG76" s="14">
        <f t="shared" si="220"/>
        <v>27789</v>
      </c>
      <c r="IH76" s="14">
        <f t="shared" si="221"/>
        <v>709</v>
      </c>
      <c r="II76" s="14">
        <f t="shared" si="222"/>
        <v>0</v>
      </c>
      <c r="IJ76" s="14">
        <f t="shared" si="223"/>
        <v>5600</v>
      </c>
      <c r="IK76" s="14">
        <f t="shared" si="224"/>
        <v>107399</v>
      </c>
      <c r="IL76" s="17">
        <f t="shared" si="225"/>
        <v>6.6015512248717399E-3</v>
      </c>
      <c r="IM76" s="17">
        <f t="shared" si="226"/>
        <v>0</v>
      </c>
      <c r="IN76" s="17">
        <f t="shared" si="227"/>
        <v>5.2142012495460854E-2</v>
      </c>
      <c r="IO76" s="23">
        <f>SUM(IH$5:IH76)</f>
        <v>32369</v>
      </c>
      <c r="IP76" s="14">
        <f>SUM(II$5:II76)</f>
        <v>43820</v>
      </c>
      <c r="IQ76" s="14">
        <f>SUM(IJ$5:IJ76)</f>
        <v>28040</v>
      </c>
      <c r="IR76" s="17">
        <f t="shared" si="228"/>
        <v>0.30139014329742364</v>
      </c>
      <c r="IS76" s="17">
        <f t="shared" si="229"/>
        <v>0.40801124777698117</v>
      </c>
      <c r="IT76" s="17">
        <f t="shared" si="230"/>
        <v>0.26108250542370043</v>
      </c>
      <c r="IW76" s="13">
        <v>72</v>
      </c>
      <c r="IX76" s="14">
        <f>MATCH(IW76-1,属性投放!$T$6:$T$66,1)</f>
        <v>8</v>
      </c>
      <c r="IY76" s="14">
        <f>MATCH(IW76-1,属性投放!$AD$7:$AD$26,1)</f>
        <v>10</v>
      </c>
      <c r="IZ76" s="14" t="str">
        <f>INDEX(属性投放!$AB$7:$AB$26,IY76)</f>
        <v>大叫唤</v>
      </c>
      <c r="JA76" s="14">
        <f t="shared" si="231"/>
        <v>1923</v>
      </c>
      <c r="JB76" s="14">
        <f t="shared" si="232"/>
        <v>911</v>
      </c>
      <c r="JC76" s="14">
        <f t="shared" si="233"/>
        <v>13535</v>
      </c>
      <c r="JD76" s="14">
        <f t="shared" si="234"/>
        <v>76</v>
      </c>
      <c r="JE76" s="14">
        <f t="shared" si="235"/>
        <v>38</v>
      </c>
      <c r="JF76" s="14">
        <f t="shared" si="236"/>
        <v>685</v>
      </c>
      <c r="JG76" s="14">
        <f>INDEX(属性投放!$DC$6:$DC$85,卡牌属性!IY76)</f>
        <v>60</v>
      </c>
      <c r="JH76" s="14">
        <f t="shared" si="237"/>
        <v>2835</v>
      </c>
      <c r="JI76" s="14">
        <f t="shared" si="238"/>
        <v>1367</v>
      </c>
      <c r="JJ76" s="14">
        <f t="shared" si="239"/>
        <v>21755</v>
      </c>
      <c r="JK76" s="14">
        <f t="shared" si="240"/>
        <v>49600</v>
      </c>
    </row>
    <row r="77" spans="31:271" ht="16.5" x14ac:dyDescent="0.2">
      <c r="AE77" s="13">
        <v>73</v>
      </c>
      <c r="AF77" s="13">
        <f t="shared" si="188"/>
        <v>4</v>
      </c>
      <c r="AG77" s="13">
        <f t="shared" si="169"/>
        <v>4</v>
      </c>
      <c r="AH77" s="13"/>
      <c r="AI77" s="13"/>
      <c r="AJ77" s="14">
        <f t="shared" si="170"/>
        <v>1101004</v>
      </c>
      <c r="AK77" s="14" t="str">
        <f t="shared" si="171"/>
        <v>项昆仑13突</v>
      </c>
      <c r="AL77" s="25" t="s">
        <v>142</v>
      </c>
      <c r="AM77" s="14">
        <v>1</v>
      </c>
      <c r="AN77" s="14">
        <f t="shared" si="172"/>
        <v>13</v>
      </c>
      <c r="AO77" s="14">
        <f>INDEX(属性投放!$DF$6:$DF$85,(卡牌属性!AG77-2)*20+卡牌属性!AN77)</f>
        <v>7039</v>
      </c>
      <c r="AP77" s="14">
        <f t="shared" si="148"/>
        <v>7039</v>
      </c>
      <c r="AQ77" s="14">
        <f t="shared" si="148"/>
        <v>7039</v>
      </c>
      <c r="AR77" s="14">
        <f t="shared" si="148"/>
        <v>7039</v>
      </c>
      <c r="AS77" s="14">
        <f t="shared" si="148"/>
        <v>7039</v>
      </c>
      <c r="AT77" s="14">
        <f>INDEX(属性投放!$DG$6:$DG$85,(卡牌属性!AG77-2)*20+卡牌属性!AN77)</f>
        <v>3449</v>
      </c>
      <c r="AU77" s="14">
        <f t="shared" si="149"/>
        <v>3449</v>
      </c>
      <c r="AV77" s="14">
        <f t="shared" si="149"/>
        <v>3449</v>
      </c>
      <c r="AW77" s="14">
        <f t="shared" si="149"/>
        <v>3449</v>
      </c>
      <c r="AX77" s="14">
        <f t="shared" si="149"/>
        <v>3449</v>
      </c>
      <c r="AY77" s="14">
        <f>INDEX(属性投放!$DH$6:$DH$85,(卡牌属性!AG77-2)*20+卡牌属性!AN77)</f>
        <v>56653</v>
      </c>
      <c r="AZ77" s="14">
        <f t="shared" si="150"/>
        <v>56653</v>
      </c>
      <c r="BA77" s="14">
        <f t="shared" si="150"/>
        <v>56653</v>
      </c>
      <c r="BB77" s="14">
        <f t="shared" si="150"/>
        <v>56653</v>
      </c>
      <c r="BC77" s="14">
        <f t="shared" si="150"/>
        <v>56653</v>
      </c>
      <c r="BD77" s="14">
        <f>INDEX(属性投放!$DL$6:$DL$85,(卡牌属性!AG77-2)*20+卡牌属性!AN77)</f>
        <v>203</v>
      </c>
      <c r="BE77" s="14">
        <f t="shared" si="151"/>
        <v>203</v>
      </c>
      <c r="BF77" s="14">
        <f t="shared" si="151"/>
        <v>203</v>
      </c>
      <c r="BG77" s="14">
        <f t="shared" si="151"/>
        <v>203</v>
      </c>
      <c r="BH77" s="14">
        <f t="shared" si="151"/>
        <v>203</v>
      </c>
      <c r="BI77" s="14">
        <f>INDEX(属性投放!$DM$6:$DM$85,(卡牌属性!AG77-2)*20+卡牌属性!AN77)</f>
        <v>101</v>
      </c>
      <c r="BJ77" s="14">
        <f t="shared" si="152"/>
        <v>101</v>
      </c>
      <c r="BK77" s="14">
        <f t="shared" si="152"/>
        <v>101</v>
      </c>
      <c r="BL77" s="14">
        <f t="shared" si="152"/>
        <v>101</v>
      </c>
      <c r="BM77" s="14">
        <f t="shared" si="152"/>
        <v>101</v>
      </c>
      <c r="BN77" s="14">
        <f>INDEX(属性投放!$DN$6:$DN$85,(卡牌属性!AG77-2)*20+卡牌属性!AN77)</f>
        <v>2027</v>
      </c>
      <c r="BO77" s="14">
        <f t="shared" si="153"/>
        <v>2027</v>
      </c>
      <c r="BP77" s="14">
        <f t="shared" si="153"/>
        <v>2027</v>
      </c>
      <c r="BQ77" s="14">
        <f t="shared" si="153"/>
        <v>2027</v>
      </c>
      <c r="BR77" s="14">
        <f t="shared" si="153"/>
        <v>2027</v>
      </c>
      <c r="BW77" s="13">
        <v>73</v>
      </c>
      <c r="BX77" s="13">
        <f t="shared" si="173"/>
        <v>4</v>
      </c>
      <c r="BY77" s="14">
        <f t="shared" si="174"/>
        <v>2</v>
      </c>
      <c r="BZ77" s="14">
        <f t="shared" si="189"/>
        <v>1102004</v>
      </c>
      <c r="CA77" s="14" t="str">
        <f t="shared" si="190"/>
        <v>唐流雨13突</v>
      </c>
      <c r="CB77" s="25" t="s">
        <v>142</v>
      </c>
      <c r="CC77" s="14">
        <v>2</v>
      </c>
      <c r="CD77" s="14">
        <f t="shared" si="175"/>
        <v>13</v>
      </c>
      <c r="CE77" s="14" t="s">
        <v>21</v>
      </c>
      <c r="CF77" s="14">
        <f>INDEX(属性投放!$AZ$6:$AZ$85,(BY77-2)*20+CD77)</f>
        <v>4270</v>
      </c>
      <c r="CG77" s="14" t="s">
        <v>22</v>
      </c>
      <c r="CH77" s="14">
        <f>INDEX(属性投放!$BA$6:$BA$85,(BY77-2)*20+CD77)</f>
        <v>2091</v>
      </c>
      <c r="CI77" s="14" t="s">
        <v>510</v>
      </c>
      <c r="CJ77" s="14">
        <f>INDEX(属性投放!$BB$6:$BB$85,(BY77-2)*20+CD77)</f>
        <v>34508</v>
      </c>
      <c r="CK77" s="14" t="s">
        <v>21</v>
      </c>
      <c r="CL77" s="14">
        <f>INDEX(属性投放!$BC$6:$BC$85,(BY77-2)*20+CD77)</f>
        <v>15</v>
      </c>
      <c r="CM77" s="14" t="s">
        <v>22</v>
      </c>
      <c r="CN77" s="14">
        <f>INDEX(属性投放!$BD$6:$BD$85,(BY77-2)*20+CD77)</f>
        <v>8</v>
      </c>
      <c r="CO77" s="14" t="s">
        <v>510</v>
      </c>
      <c r="CP77" s="14">
        <f>INDEX(属性投放!$BE$6:$BE$85,(BY77-2)*20+CD77)</f>
        <v>150</v>
      </c>
      <c r="CS77" s="13">
        <v>73</v>
      </c>
      <c r="CT77" s="13">
        <f t="shared" si="191"/>
        <v>2</v>
      </c>
      <c r="CU77" s="13">
        <f t="shared" si="192"/>
        <v>21</v>
      </c>
      <c r="CV77" s="14">
        <f t="shared" si="193"/>
        <v>3</v>
      </c>
      <c r="CW77" s="14">
        <f t="shared" si="194"/>
        <v>1102002</v>
      </c>
      <c r="CX77" s="14" t="str">
        <f>INDEX($O$6:$O$50,CT77)&amp;"-"&amp;INDEX(属性投放!$AB$7:$AB$50,CZ77)&amp;"-魂火-"&amp;DB77</f>
        <v>许褚-大叫唤-魂火-3</v>
      </c>
      <c r="CY77" s="25" t="s">
        <v>142</v>
      </c>
      <c r="CZ77" s="14">
        <f>INDEX(属性投放!$AM$7:$AM$58,CU77)</f>
        <v>10</v>
      </c>
      <c r="DA77" s="14" t="s">
        <v>537</v>
      </c>
      <c r="DB77" s="14">
        <f>INDEX(属性投放!$AN$7:$AN$58,CU77)</f>
        <v>3</v>
      </c>
      <c r="DC77" s="14">
        <f t="shared" si="176"/>
        <v>21</v>
      </c>
      <c r="DD77" s="14">
        <f>INDEX(属性投放!$AO$7:$AO$58,DC77)</f>
        <v>70</v>
      </c>
      <c r="DE77" s="14" t="s">
        <v>538</v>
      </c>
      <c r="DF77" s="14">
        <f>INDEX(属性投放!$BK$6:$BK$85,(CV77-2)*20+CZ77)</f>
        <v>120</v>
      </c>
      <c r="DG77" s="14">
        <f>SUMIFS(DF$5:DF77,$CT$5:$CT77,"="&amp;$CT77)</f>
        <v>1370</v>
      </c>
      <c r="DH77" s="14" t="s">
        <v>539</v>
      </c>
      <c r="DI77" s="14">
        <f>INDEX(属性投放!$BL$6:$BL$85,(CV77-2)*20+CZ77)</f>
        <v>60</v>
      </c>
      <c r="DJ77" s="14">
        <f>SUMIFS(DI$5:DI77,$CT$5:$CT77,"="&amp;$CT77)</f>
        <v>688</v>
      </c>
      <c r="DK77" s="14" t="s">
        <v>540</v>
      </c>
      <c r="DL77" s="14">
        <f>INDEX(属性投放!$BM$6:$BM$85,(CV77-2)*20+CZ77)</f>
        <v>1080</v>
      </c>
      <c r="DM77" s="14">
        <f>SUMIFS(DL$5:DL77,$CT$5:$CT77,"="&amp;$CT77)</f>
        <v>10790</v>
      </c>
      <c r="DR77" s="14">
        <f t="shared" si="177"/>
        <v>1102004</v>
      </c>
      <c r="DS77" s="14" t="str">
        <f t="shared" si="178"/>
        <v>唐流雨13突</v>
      </c>
      <c r="DT77" s="14">
        <f t="shared" si="195"/>
        <v>4</v>
      </c>
      <c r="DU77" s="14">
        <f t="shared" si="196"/>
        <v>2</v>
      </c>
      <c r="DV77" s="14">
        <f t="shared" si="197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INDEX(属性投放!$AX$6:$AX$85,(卡牌属性!DW77-2)*20+卡牌属性!DX77)</f>
        <v>8</v>
      </c>
      <c r="EA77" s="14">
        <f>INDEX(属性投放!BQ$6:BQ$85,卡牌属性!$DY77)</f>
        <v>350</v>
      </c>
      <c r="EB77" s="14">
        <f>INDEX(属性投放!BR$6:BR$85,卡牌属性!$DY77)</f>
        <v>175</v>
      </c>
      <c r="EC77" s="14">
        <f>INDEX(属性投放!BS$6:BS$85,卡牌属性!$DY77)</f>
        <v>3500</v>
      </c>
      <c r="ED77" s="14">
        <f t="shared" si="154"/>
        <v>2480</v>
      </c>
      <c r="EE77" s="14">
        <f t="shared" si="155"/>
        <v>2761</v>
      </c>
      <c r="EF77" s="14">
        <f t="shared" si="156"/>
        <v>2896</v>
      </c>
      <c r="EG77" s="14">
        <f t="shared" si="157"/>
        <v>2896</v>
      </c>
      <c r="EH77" s="14">
        <f t="shared" si="158"/>
        <v>3503</v>
      </c>
      <c r="EI77" s="14">
        <f t="shared" si="159"/>
        <v>1024</v>
      </c>
      <c r="EJ77" s="14">
        <f t="shared" si="160"/>
        <v>1095</v>
      </c>
      <c r="EK77" s="14">
        <f t="shared" si="161"/>
        <v>1095</v>
      </c>
      <c r="EL77" s="14">
        <f t="shared" si="162"/>
        <v>1209</v>
      </c>
      <c r="EM77" s="14">
        <f t="shared" si="163"/>
        <v>1345</v>
      </c>
      <c r="EN77" s="14">
        <f t="shared" si="164"/>
        <v>17688</v>
      </c>
      <c r="EO77" s="14">
        <f t="shared" si="165"/>
        <v>19242</v>
      </c>
      <c r="EP77" s="14">
        <f t="shared" si="166"/>
        <v>19242</v>
      </c>
      <c r="EQ77" s="14">
        <f t="shared" si="167"/>
        <v>21360</v>
      </c>
      <c r="ER77" s="14">
        <f t="shared" si="168"/>
        <v>22294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INDEX(属性投放!$BQ$6:$BQ$85,(卡牌属性!$DW77-2)*20+卡牌属性!$DX77)</f>
        <v>350</v>
      </c>
      <c r="FI77" s="14">
        <f>INDEX(属性投放!$BQ$6:$BQ$85,(卡牌属性!$DW77-2)*20+卡牌属性!$DX77)</f>
        <v>350</v>
      </c>
      <c r="FJ77" s="14">
        <f>INDEX(属性投放!$BQ$6:$BQ$85,(卡牌属性!$DW77-2)*20+卡牌属性!$DX77)</f>
        <v>350</v>
      </c>
      <c r="FK77" s="14">
        <f>INDEX(属性投放!$BQ$6:$BQ$85,(卡牌属性!$DW77-2)*20+卡牌属性!$DX77)</f>
        <v>350</v>
      </c>
      <c r="FL77" s="14">
        <f>INDEX(属性投放!$BQ$6:$BQ$85,(卡牌属性!$DW77-2)*20+卡牌属性!$DX77)</f>
        <v>350</v>
      </c>
      <c r="FM77" s="14">
        <f>INDEX(属性投放!$BR$6:$BR$85,(卡牌属性!$DW77-2)*20+卡牌属性!$DX77)</f>
        <v>175</v>
      </c>
      <c r="FN77" s="14">
        <f>INDEX(属性投放!$BR$6:$BR$85,(卡牌属性!$DW77-2)*20+卡牌属性!$DX77)</f>
        <v>175</v>
      </c>
      <c r="FO77" s="14">
        <f>INDEX(属性投放!$BR$6:$BR$85,(卡牌属性!$DW77-2)*20+卡牌属性!$DX77)</f>
        <v>175</v>
      </c>
      <c r="FP77" s="14">
        <f>INDEX(属性投放!$BR$6:$BR$85,(卡牌属性!$DW77-2)*20+卡牌属性!$DX77)</f>
        <v>175</v>
      </c>
      <c r="FQ77" s="14">
        <f>INDEX(属性投放!$BR$6:$BR$85,(卡牌属性!$DW77-2)*20+卡牌属性!$DX77)</f>
        <v>175</v>
      </c>
      <c r="FR77" s="14">
        <f>INDEX(属性投放!$BS$6:$BS$85,(卡牌属性!$DW77-2)*20+卡牌属性!$DX77)</f>
        <v>3500</v>
      </c>
      <c r="FS77" s="14">
        <f>INDEX(属性投放!$BS$6:$BS$85,(卡牌属性!$DW77-2)*20+卡牌属性!$DX77)</f>
        <v>3500</v>
      </c>
      <c r="FT77" s="14">
        <f>INDEX(属性投放!$BS$6:$BS$85,(卡牌属性!$DW77-2)*20+卡牌属性!$DX77)</f>
        <v>3500</v>
      </c>
      <c r="FU77" s="14">
        <f>INDEX(属性投放!$BS$6:$BS$85,(卡牌属性!$DW77-2)*20+卡牌属性!$DX77)</f>
        <v>3500</v>
      </c>
      <c r="FV77" s="14">
        <f>INDEX(属性投放!$BS$6:$BS$85,(卡牌属性!$DW77-2)*20+卡牌属性!$DX77)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8"/>
        <v>1102015</v>
      </c>
      <c r="GC77" s="14" t="s">
        <v>1187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9"/>
        <v>1101015</v>
      </c>
      <c r="GQ77" s="14" t="s">
        <v>1187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MATCH(HC77,属性投放!$AO$6:$AO$58,1)-1</f>
        <v>22</v>
      </c>
      <c r="HF77" s="13">
        <f>MATCH(HC77-1,属性投放!$AE$6:$AE$26,1)</f>
        <v>11</v>
      </c>
      <c r="HG77" s="13" t="str">
        <f>INDEX(属性投放!$AB$7:$AB$26,卡牌属性!HF77)</f>
        <v>大叫唤+1</v>
      </c>
      <c r="HH77" s="14">
        <f t="shared" si="200"/>
        <v>2873</v>
      </c>
      <c r="HI77" s="14">
        <f t="shared" si="201"/>
        <v>1169</v>
      </c>
      <c r="HJ77" s="14">
        <f t="shared" si="202"/>
        <v>17269</v>
      </c>
      <c r="HK77" s="14">
        <f t="shared" si="203"/>
        <v>30</v>
      </c>
      <c r="HL77" s="14">
        <f t="shared" si="204"/>
        <v>11</v>
      </c>
      <c r="HM77" s="14">
        <f t="shared" si="205"/>
        <v>189</v>
      </c>
      <c r="HN77" s="14">
        <f>HH77+HK77*($HC77-INDEX(属性投放!$AE$6:$AE$26,卡牌属性!$HF77))</f>
        <v>2903</v>
      </c>
      <c r="HO77" s="14">
        <f>HI77+HL77*($HC77-INDEX(属性投放!$AE$6:$AE$26,卡牌属性!$HF77))</f>
        <v>1180</v>
      </c>
      <c r="HP77" s="14">
        <f>HJ77+HM77*($HC77-INDEX(属性投放!$AE$6:$AE$26,卡牌属性!$HF77))</f>
        <v>17458</v>
      </c>
      <c r="HQ77" s="14">
        <f t="shared" si="206"/>
        <v>1740</v>
      </c>
      <c r="HR77" s="14">
        <f t="shared" si="207"/>
        <v>875</v>
      </c>
      <c r="HS77" s="14">
        <f t="shared" si="208"/>
        <v>13850</v>
      </c>
      <c r="HT77" s="14">
        <f>IF(COUNTIF(属性投放!$AO$7:$AO$58,"="&amp;卡牌属性!HC77)&gt;0,卡牌属性!HE77,0)</f>
        <v>22</v>
      </c>
      <c r="HU77" s="14">
        <f t="shared" si="209"/>
        <v>170</v>
      </c>
      <c r="HV77" s="14">
        <f t="shared" si="210"/>
        <v>85</v>
      </c>
      <c r="HW77" s="14">
        <f t="shared" si="211"/>
        <v>1530</v>
      </c>
      <c r="HX77" s="14">
        <f>IF(COUNTIF(属性投放!$AE$6:$AE$26,"="&amp;卡牌属性!HC77)&gt;0,卡牌属性!HF77,0)</f>
        <v>0</v>
      </c>
      <c r="HY77" s="14">
        <f t="shared" si="212"/>
        <v>0</v>
      </c>
      <c r="HZ77" s="14">
        <f t="shared" si="213"/>
        <v>0</v>
      </c>
      <c r="IA77" s="14">
        <f t="shared" si="214"/>
        <v>0</v>
      </c>
      <c r="IB77" s="14">
        <f t="shared" si="215"/>
        <v>30</v>
      </c>
      <c r="IC77" s="14">
        <f t="shared" si="216"/>
        <v>11</v>
      </c>
      <c r="ID77" s="14">
        <f t="shared" si="217"/>
        <v>189</v>
      </c>
      <c r="IE77" s="14">
        <f t="shared" si="218"/>
        <v>4643</v>
      </c>
      <c r="IF77" s="14">
        <f t="shared" si="219"/>
        <v>2055</v>
      </c>
      <c r="IG77" s="14">
        <f t="shared" si="220"/>
        <v>31308</v>
      </c>
      <c r="IH77" s="14">
        <f t="shared" si="221"/>
        <v>709</v>
      </c>
      <c r="II77" s="14">
        <f t="shared" si="222"/>
        <v>4930</v>
      </c>
      <c r="IJ77" s="14">
        <f t="shared" si="223"/>
        <v>0</v>
      </c>
      <c r="IK77" s="14">
        <f t="shared" si="224"/>
        <v>118838</v>
      </c>
      <c r="IL77" s="17">
        <f t="shared" si="225"/>
        <v>5.9661051178915838E-3</v>
      </c>
      <c r="IM77" s="17">
        <f t="shared" si="226"/>
        <v>4.1485046870529625E-2</v>
      </c>
      <c r="IN77" s="17">
        <f t="shared" si="227"/>
        <v>0</v>
      </c>
      <c r="IO77" s="23">
        <f>SUM(IH$5:IH77)</f>
        <v>33078</v>
      </c>
      <c r="IP77" s="14">
        <f>SUM(II$5:II77)</f>
        <v>48750</v>
      </c>
      <c r="IQ77" s="14">
        <f>SUM(IJ$5:IJ77)</f>
        <v>28040</v>
      </c>
      <c r="IR77" s="17">
        <f t="shared" si="228"/>
        <v>0.27834531042259208</v>
      </c>
      <c r="IS77" s="17">
        <f t="shared" si="229"/>
        <v>0.41022231946010534</v>
      </c>
      <c r="IT77" s="17">
        <f t="shared" si="230"/>
        <v>0.23595146333664316</v>
      </c>
      <c r="IW77" s="13">
        <v>73</v>
      </c>
      <c r="IX77" s="14">
        <f>MATCH(IW77-1,属性投放!$T$6:$T$66,1)</f>
        <v>8</v>
      </c>
      <c r="IY77" s="14">
        <f>MATCH(IW77-1,属性投放!$AD$7:$AD$26,1)</f>
        <v>10</v>
      </c>
      <c r="IZ77" s="14" t="str">
        <f>INDEX(属性投放!$AB$7:$AB$26,IY77)</f>
        <v>大叫唤</v>
      </c>
      <c r="JA77" s="14">
        <f t="shared" si="231"/>
        <v>1923</v>
      </c>
      <c r="JB77" s="14">
        <f t="shared" si="232"/>
        <v>911</v>
      </c>
      <c r="JC77" s="14">
        <f t="shared" si="233"/>
        <v>13535</v>
      </c>
      <c r="JD77" s="14">
        <f t="shared" si="234"/>
        <v>76</v>
      </c>
      <c r="JE77" s="14">
        <f t="shared" si="235"/>
        <v>38</v>
      </c>
      <c r="JF77" s="14">
        <f t="shared" si="236"/>
        <v>685</v>
      </c>
      <c r="JG77" s="14">
        <f>INDEX(属性投放!$DC$6:$DC$85,卡牌属性!IY77)</f>
        <v>60</v>
      </c>
      <c r="JH77" s="14">
        <f t="shared" si="237"/>
        <v>2911</v>
      </c>
      <c r="JI77" s="14">
        <f t="shared" si="238"/>
        <v>1405</v>
      </c>
      <c r="JJ77" s="14">
        <f t="shared" si="239"/>
        <v>22440</v>
      </c>
      <c r="JK77" s="14">
        <f t="shared" si="240"/>
        <v>51045</v>
      </c>
    </row>
    <row r="78" spans="31:271" ht="16.5" x14ac:dyDescent="0.2">
      <c r="AE78" s="13">
        <v>74</v>
      </c>
      <c r="AF78" s="13">
        <f t="shared" si="188"/>
        <v>4</v>
      </c>
      <c r="AG78" s="13">
        <f t="shared" si="169"/>
        <v>4</v>
      </c>
      <c r="AH78" s="13"/>
      <c r="AI78" s="13"/>
      <c r="AJ78" s="14">
        <f t="shared" si="170"/>
        <v>1101004</v>
      </c>
      <c r="AK78" s="14" t="str">
        <f t="shared" si="171"/>
        <v>项昆仑14突</v>
      </c>
      <c r="AL78" s="25" t="s">
        <v>142</v>
      </c>
      <c r="AM78" s="14">
        <v>1</v>
      </c>
      <c r="AN78" s="14">
        <f t="shared" si="172"/>
        <v>14</v>
      </c>
      <c r="AO78" s="14">
        <f>INDEX(属性投放!$DF$6:$DF$85,(卡牌属性!AG78-2)*20+卡牌属性!AN78)</f>
        <v>7618</v>
      </c>
      <c r="AP78" s="14">
        <f t="shared" si="148"/>
        <v>7618</v>
      </c>
      <c r="AQ78" s="14">
        <f t="shared" si="148"/>
        <v>7618</v>
      </c>
      <c r="AR78" s="14">
        <f t="shared" si="148"/>
        <v>7618</v>
      </c>
      <c r="AS78" s="14">
        <f t="shared" si="148"/>
        <v>7618</v>
      </c>
      <c r="AT78" s="14">
        <f>INDEX(属性投放!$DG$6:$DG$85,(卡牌属性!AG78-2)*20+卡牌属性!AN78)</f>
        <v>3739</v>
      </c>
      <c r="AU78" s="14">
        <f t="shared" si="149"/>
        <v>3739</v>
      </c>
      <c r="AV78" s="14">
        <f t="shared" si="149"/>
        <v>3739</v>
      </c>
      <c r="AW78" s="14">
        <f t="shared" si="149"/>
        <v>3739</v>
      </c>
      <c r="AX78" s="14">
        <f t="shared" si="149"/>
        <v>3739</v>
      </c>
      <c r="AY78" s="14">
        <f>INDEX(属性投放!$DH$6:$DH$85,(卡牌属性!AG78-2)*20+卡牌属性!AN78)</f>
        <v>62443</v>
      </c>
      <c r="AZ78" s="14">
        <f t="shared" si="150"/>
        <v>62443</v>
      </c>
      <c r="BA78" s="14">
        <f t="shared" si="150"/>
        <v>62443</v>
      </c>
      <c r="BB78" s="14">
        <f t="shared" si="150"/>
        <v>62443</v>
      </c>
      <c r="BC78" s="14">
        <f t="shared" si="150"/>
        <v>62443</v>
      </c>
      <c r="BD78" s="14">
        <f>INDEX(属性投放!$DL$6:$DL$85,(卡牌属性!AG78-2)*20+卡牌属性!AN78)</f>
        <v>203</v>
      </c>
      <c r="BE78" s="14">
        <f t="shared" si="151"/>
        <v>203</v>
      </c>
      <c r="BF78" s="14">
        <f t="shared" si="151"/>
        <v>203</v>
      </c>
      <c r="BG78" s="14">
        <f t="shared" si="151"/>
        <v>203</v>
      </c>
      <c r="BH78" s="14">
        <f t="shared" si="151"/>
        <v>203</v>
      </c>
      <c r="BI78" s="14">
        <f>INDEX(属性投放!$DM$6:$DM$85,(卡牌属性!AG78-2)*20+卡牌属性!AN78)</f>
        <v>101</v>
      </c>
      <c r="BJ78" s="14">
        <f t="shared" si="152"/>
        <v>101</v>
      </c>
      <c r="BK78" s="14">
        <f t="shared" si="152"/>
        <v>101</v>
      </c>
      <c r="BL78" s="14">
        <f t="shared" si="152"/>
        <v>101</v>
      </c>
      <c r="BM78" s="14">
        <f t="shared" si="152"/>
        <v>101</v>
      </c>
      <c r="BN78" s="14">
        <f>INDEX(属性投放!$DN$6:$DN$85,(卡牌属性!AG78-2)*20+卡牌属性!AN78)</f>
        <v>2027</v>
      </c>
      <c r="BO78" s="14">
        <f t="shared" si="153"/>
        <v>2027</v>
      </c>
      <c r="BP78" s="14">
        <f t="shared" si="153"/>
        <v>2027</v>
      </c>
      <c r="BQ78" s="14">
        <f t="shared" si="153"/>
        <v>2027</v>
      </c>
      <c r="BR78" s="14">
        <f t="shared" si="153"/>
        <v>2027</v>
      </c>
      <c r="BW78" s="13">
        <v>74</v>
      </c>
      <c r="BX78" s="13">
        <f t="shared" si="173"/>
        <v>4</v>
      </c>
      <c r="BY78" s="14">
        <f t="shared" si="174"/>
        <v>2</v>
      </c>
      <c r="BZ78" s="14">
        <f t="shared" si="189"/>
        <v>1102004</v>
      </c>
      <c r="CA78" s="14" t="str">
        <f t="shared" si="190"/>
        <v>唐流雨14突</v>
      </c>
      <c r="CB78" s="25" t="s">
        <v>142</v>
      </c>
      <c r="CC78" s="14">
        <v>2</v>
      </c>
      <c r="CD78" s="14">
        <f t="shared" si="175"/>
        <v>14</v>
      </c>
      <c r="CE78" s="14" t="s">
        <v>21</v>
      </c>
      <c r="CF78" s="14">
        <f>INDEX(属性投放!$AZ$6:$AZ$85,(BY78-2)*20+CD78)</f>
        <v>5400</v>
      </c>
      <c r="CG78" s="14" t="s">
        <v>22</v>
      </c>
      <c r="CH78" s="14">
        <f>INDEX(属性投放!$BA$6:$BA$85,(BY78-2)*20+CD78)</f>
        <v>2660</v>
      </c>
      <c r="CI78" s="14" t="s">
        <v>510</v>
      </c>
      <c r="CJ78" s="14">
        <f>INDEX(属性投放!$BB$6:$BB$85,(BY78-2)*20+CD78)</f>
        <v>45808</v>
      </c>
      <c r="CK78" s="14" t="s">
        <v>21</v>
      </c>
      <c r="CL78" s="14">
        <f>INDEX(属性投放!$BC$6:$BC$85,(BY78-2)*20+CD78)</f>
        <v>15</v>
      </c>
      <c r="CM78" s="14" t="s">
        <v>22</v>
      </c>
      <c r="CN78" s="14">
        <f>INDEX(属性投放!$BD$6:$BD$85,(BY78-2)*20+CD78)</f>
        <v>8</v>
      </c>
      <c r="CO78" s="14" t="s">
        <v>510</v>
      </c>
      <c r="CP78" s="14">
        <f>INDEX(属性投放!$BE$6:$BE$85,(BY78-2)*20+CD78)</f>
        <v>150</v>
      </c>
      <c r="CS78" s="13">
        <v>74</v>
      </c>
      <c r="CT78" s="13">
        <f t="shared" si="191"/>
        <v>2</v>
      </c>
      <c r="CU78" s="13">
        <f t="shared" si="192"/>
        <v>22</v>
      </c>
      <c r="CV78" s="14">
        <f t="shared" si="193"/>
        <v>3</v>
      </c>
      <c r="CW78" s="14">
        <f t="shared" si="194"/>
        <v>1102002</v>
      </c>
      <c r="CX78" s="14" t="str">
        <f>INDEX($O$6:$O$50,CT78)&amp;"-"&amp;INDEX(属性投放!$AB$7:$AB$50,CZ78)&amp;"-魂火-"&amp;DB78</f>
        <v>许褚-大叫唤+1-魂火-1</v>
      </c>
      <c r="CY78" s="25" t="s">
        <v>142</v>
      </c>
      <c r="CZ78" s="14">
        <f>INDEX(属性投放!$AM$7:$AM$58,CU78)</f>
        <v>11</v>
      </c>
      <c r="DA78" s="14" t="s">
        <v>537</v>
      </c>
      <c r="DB78" s="14">
        <f>INDEX(属性投放!$AN$7:$AN$58,CU78)</f>
        <v>1</v>
      </c>
      <c r="DC78" s="14">
        <f t="shared" si="176"/>
        <v>22</v>
      </c>
      <c r="DD78" s="14">
        <f>INDEX(属性投放!$AO$7:$AO$58,DC78)</f>
        <v>73</v>
      </c>
      <c r="DE78" s="14" t="s">
        <v>538</v>
      </c>
      <c r="DF78" s="14">
        <f>INDEX(属性投放!$BK$6:$BK$85,(CV78-2)*20+CZ78)</f>
        <v>150</v>
      </c>
      <c r="DG78" s="14">
        <f>SUMIFS(DF$5:DF78,$CT$5:$CT78,"="&amp;$CT78)</f>
        <v>1520</v>
      </c>
      <c r="DH78" s="14" t="s">
        <v>539</v>
      </c>
      <c r="DI78" s="14">
        <f>INDEX(属性投放!$BL$6:$BL$85,(CV78-2)*20+CZ78)</f>
        <v>75</v>
      </c>
      <c r="DJ78" s="14">
        <f>SUMIFS(DI$5:DI78,$CT$5:$CT78,"="&amp;$CT78)</f>
        <v>763</v>
      </c>
      <c r="DK78" s="14" t="s">
        <v>540</v>
      </c>
      <c r="DL78" s="14">
        <f>INDEX(属性投放!$BM$6:$BM$85,(CV78-2)*20+CZ78)</f>
        <v>1350</v>
      </c>
      <c r="DM78" s="14">
        <f>SUMIFS(DL$5:DL78,$CT$5:$CT78,"="&amp;$CT78)</f>
        <v>12140</v>
      </c>
      <c r="DR78" s="14">
        <f t="shared" si="177"/>
        <v>1102004</v>
      </c>
      <c r="DS78" s="14" t="str">
        <f t="shared" si="178"/>
        <v>唐流雨14突</v>
      </c>
      <c r="DT78" s="14">
        <f t="shared" si="195"/>
        <v>4</v>
      </c>
      <c r="DU78" s="14">
        <f t="shared" si="196"/>
        <v>2</v>
      </c>
      <c r="DV78" s="14">
        <f t="shared" si="197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INDEX(属性投放!$AX$6:$AX$85,(卡牌属性!DW78-2)*20+卡牌属性!DX78)</f>
        <v>7</v>
      </c>
      <c r="EA78" s="14">
        <f>INDEX(属性投放!BQ$6:BQ$85,卡牌属性!$DY78)</f>
        <v>400</v>
      </c>
      <c r="EB78" s="14">
        <f>INDEX(属性投放!BR$6:BR$85,卡牌属性!$DY78)</f>
        <v>200</v>
      </c>
      <c r="EC78" s="14">
        <f>INDEX(属性投放!BS$6:BS$85,卡牌属性!$DY78)</f>
        <v>4000</v>
      </c>
      <c r="ED78" s="14">
        <f t="shared" si="154"/>
        <v>2990</v>
      </c>
      <c r="EE78" s="14">
        <f t="shared" si="155"/>
        <v>3311</v>
      </c>
      <c r="EF78" s="14">
        <f t="shared" si="156"/>
        <v>3454</v>
      </c>
      <c r="EG78" s="14">
        <f t="shared" si="157"/>
        <v>3454</v>
      </c>
      <c r="EH78" s="14">
        <f t="shared" si="158"/>
        <v>4173</v>
      </c>
      <c r="EI78" s="14">
        <f t="shared" si="159"/>
        <v>1247</v>
      </c>
      <c r="EJ78" s="14">
        <f t="shared" si="160"/>
        <v>1334</v>
      </c>
      <c r="EK78" s="14">
        <f t="shared" si="161"/>
        <v>1334</v>
      </c>
      <c r="EL78" s="14">
        <f t="shared" si="162"/>
        <v>1464</v>
      </c>
      <c r="EM78" s="14">
        <f t="shared" si="163"/>
        <v>1624</v>
      </c>
      <c r="EN78" s="14">
        <f t="shared" si="164"/>
        <v>22388</v>
      </c>
      <c r="EO78" s="14">
        <f t="shared" si="165"/>
        <v>24342</v>
      </c>
      <c r="EP78" s="14">
        <f t="shared" si="166"/>
        <v>24342</v>
      </c>
      <c r="EQ78" s="14">
        <f t="shared" si="167"/>
        <v>26860</v>
      </c>
      <c r="ER78" s="14">
        <f t="shared" si="168"/>
        <v>27874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INDEX(属性投放!$BQ$6:$BQ$85,(卡牌属性!$DW78-2)*20+卡牌属性!$DX78)</f>
        <v>400</v>
      </c>
      <c r="FI78" s="14">
        <f>INDEX(属性投放!$BQ$6:$BQ$85,(卡牌属性!$DW78-2)*20+卡牌属性!$DX78)</f>
        <v>400</v>
      </c>
      <c r="FJ78" s="14">
        <f>INDEX(属性投放!$BQ$6:$BQ$85,(卡牌属性!$DW78-2)*20+卡牌属性!$DX78)</f>
        <v>400</v>
      </c>
      <c r="FK78" s="14">
        <f>INDEX(属性投放!$BQ$6:$BQ$85,(卡牌属性!$DW78-2)*20+卡牌属性!$DX78)</f>
        <v>400</v>
      </c>
      <c r="FL78" s="14">
        <f>INDEX(属性投放!$BQ$6:$BQ$85,(卡牌属性!$DW78-2)*20+卡牌属性!$DX78)</f>
        <v>400</v>
      </c>
      <c r="FM78" s="14">
        <f>INDEX(属性投放!$BR$6:$BR$85,(卡牌属性!$DW78-2)*20+卡牌属性!$DX78)</f>
        <v>200</v>
      </c>
      <c r="FN78" s="14">
        <f>INDEX(属性投放!$BR$6:$BR$85,(卡牌属性!$DW78-2)*20+卡牌属性!$DX78)</f>
        <v>200</v>
      </c>
      <c r="FO78" s="14">
        <f>INDEX(属性投放!$BR$6:$BR$85,(卡牌属性!$DW78-2)*20+卡牌属性!$DX78)</f>
        <v>200</v>
      </c>
      <c r="FP78" s="14">
        <f>INDEX(属性投放!$BR$6:$BR$85,(卡牌属性!$DW78-2)*20+卡牌属性!$DX78)</f>
        <v>200</v>
      </c>
      <c r="FQ78" s="14">
        <f>INDEX(属性投放!$BR$6:$BR$85,(卡牌属性!$DW78-2)*20+卡牌属性!$DX78)</f>
        <v>200</v>
      </c>
      <c r="FR78" s="14">
        <f>INDEX(属性投放!$BS$6:$BS$85,(卡牌属性!$DW78-2)*20+卡牌属性!$DX78)</f>
        <v>4000</v>
      </c>
      <c r="FS78" s="14">
        <f>INDEX(属性投放!$BS$6:$BS$85,(卡牌属性!$DW78-2)*20+卡牌属性!$DX78)</f>
        <v>4000</v>
      </c>
      <c r="FT78" s="14">
        <f>INDEX(属性投放!$BS$6:$BS$85,(卡牌属性!$DW78-2)*20+卡牌属性!$DX78)</f>
        <v>4000</v>
      </c>
      <c r="FU78" s="14">
        <f>INDEX(属性投放!$BS$6:$BS$85,(卡牌属性!$DW78-2)*20+卡牌属性!$DX78)</f>
        <v>4000</v>
      </c>
      <c r="FV78" s="14">
        <f>INDEX(属性投放!$BS$6:$BS$85,(卡牌属性!$DW78-2)*20+卡牌属性!$DX78)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8"/>
        <v>1102015</v>
      </c>
      <c r="GC78" s="14" t="s">
        <v>1187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9"/>
        <v>1101015</v>
      </c>
      <c r="GQ78" s="14" t="s">
        <v>1187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MATCH(HC78,属性投放!$AO$6:$AO$58,1)-1</f>
        <v>22</v>
      </c>
      <c r="HF78" s="13">
        <f>MATCH(HC78-1,属性投放!$AE$6:$AE$26,1)</f>
        <v>11</v>
      </c>
      <c r="HG78" s="13" t="str">
        <f>INDEX(属性投放!$AB$7:$AB$26,卡牌属性!HF78)</f>
        <v>大叫唤+1</v>
      </c>
      <c r="HH78" s="14">
        <f t="shared" si="200"/>
        <v>2873</v>
      </c>
      <c r="HI78" s="14">
        <f t="shared" si="201"/>
        <v>1169</v>
      </c>
      <c r="HJ78" s="14">
        <f t="shared" si="202"/>
        <v>17269</v>
      </c>
      <c r="HK78" s="14">
        <f t="shared" si="203"/>
        <v>30</v>
      </c>
      <c r="HL78" s="14">
        <f t="shared" si="204"/>
        <v>11</v>
      </c>
      <c r="HM78" s="14">
        <f t="shared" si="205"/>
        <v>189</v>
      </c>
      <c r="HN78" s="14">
        <f>HH78+HK78*($HC78-INDEX(属性投放!$AE$6:$AE$26,卡牌属性!$HF78))</f>
        <v>2933</v>
      </c>
      <c r="HO78" s="14">
        <f>HI78+HL78*($HC78-INDEX(属性投放!$AE$6:$AE$26,卡牌属性!$HF78))</f>
        <v>1191</v>
      </c>
      <c r="HP78" s="14">
        <f>HJ78+HM78*($HC78-INDEX(属性投放!$AE$6:$AE$26,卡牌属性!$HF78))</f>
        <v>17647</v>
      </c>
      <c r="HQ78" s="14">
        <f t="shared" si="206"/>
        <v>1740</v>
      </c>
      <c r="HR78" s="14">
        <f t="shared" si="207"/>
        <v>875</v>
      </c>
      <c r="HS78" s="14">
        <f t="shared" si="208"/>
        <v>13850</v>
      </c>
      <c r="HT78" s="14">
        <f>IF(COUNTIF(属性投放!$AO$7:$AO$58,"="&amp;卡牌属性!HC78)&gt;0,卡牌属性!HE78,0)</f>
        <v>0</v>
      </c>
      <c r="HU78" s="14">
        <f t="shared" si="209"/>
        <v>0</v>
      </c>
      <c r="HV78" s="14">
        <f t="shared" si="210"/>
        <v>0</v>
      </c>
      <c r="HW78" s="14">
        <f t="shared" si="211"/>
        <v>0</v>
      </c>
      <c r="HX78" s="14">
        <f>IF(COUNTIF(属性投放!$AE$6:$AE$26,"="&amp;卡牌属性!HC78)&gt;0,卡牌属性!HF78,0)</f>
        <v>0</v>
      </c>
      <c r="HY78" s="14">
        <f t="shared" si="212"/>
        <v>0</v>
      </c>
      <c r="HZ78" s="14">
        <f t="shared" si="213"/>
        <v>0</v>
      </c>
      <c r="IA78" s="14">
        <f t="shared" si="214"/>
        <v>0</v>
      </c>
      <c r="IB78" s="14">
        <f t="shared" si="215"/>
        <v>30</v>
      </c>
      <c r="IC78" s="14">
        <f t="shared" si="216"/>
        <v>11</v>
      </c>
      <c r="ID78" s="14">
        <f t="shared" si="217"/>
        <v>189</v>
      </c>
      <c r="IE78" s="14">
        <f t="shared" si="218"/>
        <v>4673</v>
      </c>
      <c r="IF78" s="14">
        <f t="shared" si="219"/>
        <v>2066</v>
      </c>
      <c r="IG78" s="14">
        <f t="shared" si="220"/>
        <v>31497</v>
      </c>
      <c r="IH78" s="14">
        <f t="shared" si="221"/>
        <v>709</v>
      </c>
      <c r="II78" s="14">
        <f t="shared" si="222"/>
        <v>0</v>
      </c>
      <c r="IJ78" s="14">
        <f t="shared" si="223"/>
        <v>0</v>
      </c>
      <c r="IK78" s="14">
        <f t="shared" si="224"/>
        <v>119547</v>
      </c>
      <c r="IL78" s="17">
        <f t="shared" si="225"/>
        <v>5.9307218081591341E-3</v>
      </c>
      <c r="IM78" s="17">
        <f t="shared" si="226"/>
        <v>0</v>
      </c>
      <c r="IN78" s="17">
        <f t="shared" si="227"/>
        <v>0</v>
      </c>
      <c r="IO78" s="23">
        <f>SUM(IH$5:IH78)</f>
        <v>33787</v>
      </c>
      <c r="IP78" s="14">
        <f>SUM(II$5:II78)</f>
        <v>48750</v>
      </c>
      <c r="IQ78" s="14">
        <f>SUM(IJ$5:IJ78)</f>
        <v>28040</v>
      </c>
      <c r="IR78" s="17">
        <f t="shared" si="228"/>
        <v>0.28262524362802915</v>
      </c>
      <c r="IS78" s="17">
        <f t="shared" si="229"/>
        <v>0.40778940500388966</v>
      </c>
      <c r="IT78" s="17">
        <f t="shared" si="230"/>
        <v>0.23455210084736547</v>
      </c>
      <c r="IW78" s="13">
        <v>74</v>
      </c>
      <c r="IX78" s="14">
        <f>MATCH(IW78-1,属性投放!$T$6:$T$66,1)</f>
        <v>8</v>
      </c>
      <c r="IY78" s="14">
        <f>MATCH(IW78-1,属性投放!$AD$7:$AD$26,1)</f>
        <v>10</v>
      </c>
      <c r="IZ78" s="14" t="str">
        <f>INDEX(属性投放!$AB$7:$AB$26,IY78)</f>
        <v>大叫唤</v>
      </c>
      <c r="JA78" s="14">
        <f t="shared" si="231"/>
        <v>1923</v>
      </c>
      <c r="JB78" s="14">
        <f t="shared" si="232"/>
        <v>911</v>
      </c>
      <c r="JC78" s="14">
        <f t="shared" si="233"/>
        <v>13535</v>
      </c>
      <c r="JD78" s="14">
        <f t="shared" si="234"/>
        <v>76</v>
      </c>
      <c r="JE78" s="14">
        <f t="shared" si="235"/>
        <v>38</v>
      </c>
      <c r="JF78" s="14">
        <f t="shared" si="236"/>
        <v>685</v>
      </c>
      <c r="JG78" s="14">
        <f>INDEX(属性投放!$DC$6:$DC$85,卡牌属性!IY78)</f>
        <v>60</v>
      </c>
      <c r="JH78" s="14">
        <f t="shared" si="237"/>
        <v>2987</v>
      </c>
      <c r="JI78" s="14">
        <f t="shared" si="238"/>
        <v>1443</v>
      </c>
      <c r="JJ78" s="14">
        <f t="shared" si="239"/>
        <v>23125</v>
      </c>
      <c r="JK78" s="14">
        <f t="shared" si="240"/>
        <v>52490</v>
      </c>
    </row>
    <row r="79" spans="31:271" ht="16.5" x14ac:dyDescent="0.2">
      <c r="AE79" s="13">
        <v>75</v>
      </c>
      <c r="AF79" s="13">
        <f t="shared" si="188"/>
        <v>4</v>
      </c>
      <c r="AG79" s="13">
        <f t="shared" si="169"/>
        <v>4</v>
      </c>
      <c r="AH79" s="13"/>
      <c r="AI79" s="13"/>
      <c r="AJ79" s="14">
        <f t="shared" si="170"/>
        <v>1101004</v>
      </c>
      <c r="AK79" s="14" t="str">
        <f t="shared" si="171"/>
        <v>项昆仑15突</v>
      </c>
      <c r="AL79" s="25" t="s">
        <v>142</v>
      </c>
      <c r="AM79" s="14">
        <v>1</v>
      </c>
      <c r="AN79" s="14">
        <f t="shared" si="172"/>
        <v>15</v>
      </c>
      <c r="AO79" s="14">
        <f>INDEX(属性投放!$DF$6:$DF$85,(卡牌属性!AG79-2)*20+卡牌属性!AN79)</f>
        <v>8197</v>
      </c>
      <c r="AP79" s="14">
        <f t="shared" si="148"/>
        <v>8197</v>
      </c>
      <c r="AQ79" s="14">
        <f t="shared" si="148"/>
        <v>8197</v>
      </c>
      <c r="AR79" s="14">
        <f t="shared" si="148"/>
        <v>8197</v>
      </c>
      <c r="AS79" s="14">
        <f t="shared" si="148"/>
        <v>8197</v>
      </c>
      <c r="AT79" s="14">
        <f>INDEX(属性投放!$DG$6:$DG$85,(卡牌属性!AG79-2)*20+卡牌属性!AN79)</f>
        <v>4029</v>
      </c>
      <c r="AU79" s="14">
        <f t="shared" si="149"/>
        <v>4029</v>
      </c>
      <c r="AV79" s="14">
        <f t="shared" si="149"/>
        <v>4029</v>
      </c>
      <c r="AW79" s="14">
        <f t="shared" si="149"/>
        <v>4029</v>
      </c>
      <c r="AX79" s="14">
        <f t="shared" si="149"/>
        <v>4029</v>
      </c>
      <c r="AY79" s="14">
        <f>INDEX(属性投放!$DH$6:$DH$85,(卡牌属性!AG79-2)*20+卡牌属性!AN79)</f>
        <v>68233</v>
      </c>
      <c r="AZ79" s="14">
        <f t="shared" si="150"/>
        <v>68233</v>
      </c>
      <c r="BA79" s="14">
        <f t="shared" si="150"/>
        <v>68233</v>
      </c>
      <c r="BB79" s="14">
        <f t="shared" si="150"/>
        <v>68233</v>
      </c>
      <c r="BC79" s="14">
        <f t="shared" si="150"/>
        <v>68233</v>
      </c>
      <c r="BD79" s="14">
        <f>INDEX(属性投放!$DL$6:$DL$85,(卡牌属性!AG79-2)*20+卡牌属性!AN79)</f>
        <v>203</v>
      </c>
      <c r="BE79" s="14">
        <f t="shared" si="151"/>
        <v>203</v>
      </c>
      <c r="BF79" s="14">
        <f t="shared" si="151"/>
        <v>203</v>
      </c>
      <c r="BG79" s="14">
        <f t="shared" si="151"/>
        <v>203</v>
      </c>
      <c r="BH79" s="14">
        <f t="shared" si="151"/>
        <v>203</v>
      </c>
      <c r="BI79" s="14">
        <f>INDEX(属性投放!$DM$6:$DM$85,(卡牌属性!AG79-2)*20+卡牌属性!AN79)</f>
        <v>101</v>
      </c>
      <c r="BJ79" s="14">
        <f t="shared" si="152"/>
        <v>101</v>
      </c>
      <c r="BK79" s="14">
        <f t="shared" si="152"/>
        <v>101</v>
      </c>
      <c r="BL79" s="14">
        <f t="shared" si="152"/>
        <v>101</v>
      </c>
      <c r="BM79" s="14">
        <f t="shared" si="152"/>
        <v>101</v>
      </c>
      <c r="BN79" s="14">
        <f>INDEX(属性投放!$DN$6:$DN$85,(卡牌属性!AG79-2)*20+卡牌属性!AN79)</f>
        <v>2027</v>
      </c>
      <c r="BO79" s="14">
        <f t="shared" si="153"/>
        <v>2027</v>
      </c>
      <c r="BP79" s="14">
        <f t="shared" si="153"/>
        <v>2027</v>
      </c>
      <c r="BQ79" s="14">
        <f t="shared" si="153"/>
        <v>2027</v>
      </c>
      <c r="BR79" s="14">
        <f t="shared" si="153"/>
        <v>2027</v>
      </c>
      <c r="BW79" s="13">
        <v>75</v>
      </c>
      <c r="BX79" s="13">
        <f t="shared" si="173"/>
        <v>4</v>
      </c>
      <c r="BY79" s="14">
        <f t="shared" si="174"/>
        <v>2</v>
      </c>
      <c r="BZ79" s="14">
        <f t="shared" si="189"/>
        <v>1102004</v>
      </c>
      <c r="CA79" s="14" t="str">
        <f t="shared" si="190"/>
        <v>唐流雨15突</v>
      </c>
      <c r="CB79" s="25" t="s">
        <v>142</v>
      </c>
      <c r="CC79" s="14">
        <v>2</v>
      </c>
      <c r="CD79" s="14">
        <f t="shared" si="175"/>
        <v>15</v>
      </c>
      <c r="CE79" s="14" t="s">
        <v>21</v>
      </c>
      <c r="CF79" s="14">
        <f>INDEX(属性投放!$AZ$6:$AZ$85,(BY79-2)*20+CD79)</f>
        <v>6715</v>
      </c>
      <c r="CG79" s="14" t="s">
        <v>22</v>
      </c>
      <c r="CH79" s="14">
        <f>INDEX(属性投放!$BA$6:$BA$85,(BY79-2)*20+CD79)</f>
        <v>3321</v>
      </c>
      <c r="CI79" s="14" t="s">
        <v>510</v>
      </c>
      <c r="CJ79" s="14">
        <f>INDEX(属性投放!$BB$6:$BB$85,(BY79-2)*20+CD79)</f>
        <v>58958</v>
      </c>
      <c r="CK79" s="14" t="s">
        <v>21</v>
      </c>
      <c r="CL79" s="14">
        <f>INDEX(属性投放!$BC$6:$BC$85,(BY79-2)*20+CD79)</f>
        <v>15</v>
      </c>
      <c r="CM79" s="14" t="s">
        <v>22</v>
      </c>
      <c r="CN79" s="14">
        <f>INDEX(属性投放!$BD$6:$BD$85,(BY79-2)*20+CD79)</f>
        <v>8</v>
      </c>
      <c r="CO79" s="14" t="s">
        <v>510</v>
      </c>
      <c r="CP79" s="14">
        <f>INDEX(属性投放!$BE$6:$BE$85,(BY79-2)*20+CD79)</f>
        <v>150</v>
      </c>
      <c r="CS79" s="13">
        <v>75</v>
      </c>
      <c r="CT79" s="13">
        <f t="shared" si="191"/>
        <v>2</v>
      </c>
      <c r="CU79" s="13">
        <f t="shared" si="192"/>
        <v>23</v>
      </c>
      <c r="CV79" s="14">
        <f t="shared" si="193"/>
        <v>3</v>
      </c>
      <c r="CW79" s="14">
        <f t="shared" si="194"/>
        <v>1102002</v>
      </c>
      <c r="CX79" s="14" t="str">
        <f>INDEX($O$6:$O$50,CT79)&amp;"-"&amp;INDEX(属性投放!$AB$7:$AB$50,CZ79)&amp;"-魂火-"&amp;DB79</f>
        <v>许褚-大叫唤+1-魂火-2</v>
      </c>
      <c r="CY79" s="25" t="s">
        <v>142</v>
      </c>
      <c r="CZ79" s="14">
        <f>INDEX(属性投放!$AM$7:$AM$58,CU79)</f>
        <v>11</v>
      </c>
      <c r="DA79" s="14" t="s">
        <v>537</v>
      </c>
      <c r="DB79" s="14">
        <f>INDEX(属性投放!$AN$7:$AN$58,CU79)</f>
        <v>2</v>
      </c>
      <c r="DC79" s="14">
        <f t="shared" si="176"/>
        <v>23</v>
      </c>
      <c r="DD79" s="14">
        <f>INDEX(属性投放!$AO$7:$AO$58,DC79)</f>
        <v>75</v>
      </c>
      <c r="DE79" s="14" t="s">
        <v>538</v>
      </c>
      <c r="DF79" s="14">
        <f>INDEX(属性投放!$BK$6:$BK$85,(CV79-2)*20+CZ79)</f>
        <v>150</v>
      </c>
      <c r="DG79" s="14">
        <f>SUMIFS(DF$5:DF79,$CT$5:$CT79,"="&amp;$CT79)</f>
        <v>1670</v>
      </c>
      <c r="DH79" s="14" t="s">
        <v>539</v>
      </c>
      <c r="DI79" s="14">
        <f>INDEX(属性投放!$BL$6:$BL$85,(CV79-2)*20+CZ79)</f>
        <v>75</v>
      </c>
      <c r="DJ79" s="14">
        <f>SUMIFS(DI$5:DI79,$CT$5:$CT79,"="&amp;$CT79)</f>
        <v>838</v>
      </c>
      <c r="DK79" s="14" t="s">
        <v>540</v>
      </c>
      <c r="DL79" s="14">
        <f>INDEX(属性投放!$BM$6:$BM$85,(CV79-2)*20+CZ79)</f>
        <v>1350</v>
      </c>
      <c r="DM79" s="14">
        <f>SUMIFS(DL$5:DL79,$CT$5:$CT79,"="&amp;$CT79)</f>
        <v>13490</v>
      </c>
      <c r="DR79" s="14">
        <f t="shared" si="177"/>
        <v>1102004</v>
      </c>
      <c r="DS79" s="14" t="str">
        <f t="shared" si="178"/>
        <v>唐流雨15突</v>
      </c>
      <c r="DT79" s="14">
        <f t="shared" si="195"/>
        <v>4</v>
      </c>
      <c r="DU79" s="14">
        <f t="shared" si="196"/>
        <v>2</v>
      </c>
      <c r="DV79" s="14">
        <f t="shared" si="197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INDEX(属性投放!$AX$6:$AX$85,(卡牌属性!DW79-2)*20+卡牌属性!DX79)</f>
        <v>8</v>
      </c>
      <c r="EA79" s="14">
        <f>INDEX(属性投放!BQ$6:BQ$85,卡牌属性!$DY79)</f>
        <v>700</v>
      </c>
      <c r="EB79" s="14">
        <f>INDEX(属性投放!BR$6:BR$85,卡牌属性!$DY79)</f>
        <v>350</v>
      </c>
      <c r="EC79" s="14">
        <f>INDEX(属性投放!BS$6:BS$85,卡牌属性!$DY79)</f>
        <v>7000</v>
      </c>
      <c r="ED79" s="14">
        <f t="shared" si="154"/>
        <v>3530</v>
      </c>
      <c r="EE79" s="14">
        <f t="shared" si="155"/>
        <v>3886</v>
      </c>
      <c r="EF79" s="14">
        <f t="shared" si="156"/>
        <v>4036</v>
      </c>
      <c r="EG79" s="14">
        <f t="shared" si="157"/>
        <v>4036</v>
      </c>
      <c r="EH79" s="14">
        <f t="shared" si="158"/>
        <v>4853</v>
      </c>
      <c r="EI79" s="14">
        <f t="shared" si="159"/>
        <v>1489</v>
      </c>
      <c r="EJ79" s="14">
        <f t="shared" si="160"/>
        <v>1590</v>
      </c>
      <c r="EK79" s="14">
        <f t="shared" si="161"/>
        <v>1590</v>
      </c>
      <c r="EL79" s="14">
        <f t="shared" si="162"/>
        <v>1734</v>
      </c>
      <c r="EM79" s="14">
        <f t="shared" si="163"/>
        <v>1915</v>
      </c>
      <c r="EN79" s="14">
        <f t="shared" si="164"/>
        <v>27438</v>
      </c>
      <c r="EO79" s="14">
        <f t="shared" si="165"/>
        <v>29742</v>
      </c>
      <c r="EP79" s="14">
        <f t="shared" si="166"/>
        <v>29742</v>
      </c>
      <c r="EQ79" s="14">
        <f t="shared" si="167"/>
        <v>32610</v>
      </c>
      <c r="ER79" s="14">
        <f t="shared" si="168"/>
        <v>33694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INDEX(属性投放!$BQ$6:$BQ$85,(卡牌属性!$DW79-2)*20+卡牌属性!$DX79)</f>
        <v>700</v>
      </c>
      <c r="FI79" s="14">
        <f>INDEX(属性投放!$BQ$6:$BQ$85,(卡牌属性!$DW79-2)*20+卡牌属性!$DX79)</f>
        <v>700</v>
      </c>
      <c r="FJ79" s="14">
        <f>INDEX(属性投放!$BQ$6:$BQ$85,(卡牌属性!$DW79-2)*20+卡牌属性!$DX79)</f>
        <v>700</v>
      </c>
      <c r="FK79" s="14">
        <f>INDEX(属性投放!$BQ$6:$BQ$85,(卡牌属性!$DW79-2)*20+卡牌属性!$DX79)</f>
        <v>700</v>
      </c>
      <c r="FL79" s="14">
        <f>INDEX(属性投放!$BQ$6:$BQ$85,(卡牌属性!$DW79-2)*20+卡牌属性!$DX79)</f>
        <v>700</v>
      </c>
      <c r="FM79" s="14">
        <f>INDEX(属性投放!$BR$6:$BR$85,(卡牌属性!$DW79-2)*20+卡牌属性!$DX79)</f>
        <v>350</v>
      </c>
      <c r="FN79" s="14">
        <f>INDEX(属性投放!$BR$6:$BR$85,(卡牌属性!$DW79-2)*20+卡牌属性!$DX79)</f>
        <v>350</v>
      </c>
      <c r="FO79" s="14">
        <f>INDEX(属性投放!$BR$6:$BR$85,(卡牌属性!$DW79-2)*20+卡牌属性!$DX79)</f>
        <v>350</v>
      </c>
      <c r="FP79" s="14">
        <f>INDEX(属性投放!$BR$6:$BR$85,(卡牌属性!$DW79-2)*20+卡牌属性!$DX79)</f>
        <v>350</v>
      </c>
      <c r="FQ79" s="14">
        <f>INDEX(属性投放!$BR$6:$BR$85,(卡牌属性!$DW79-2)*20+卡牌属性!$DX79)</f>
        <v>350</v>
      </c>
      <c r="FR79" s="14">
        <f>INDEX(属性投放!$BS$6:$BS$85,(卡牌属性!$DW79-2)*20+卡牌属性!$DX79)</f>
        <v>7000</v>
      </c>
      <c r="FS79" s="14">
        <f>INDEX(属性投放!$BS$6:$BS$85,(卡牌属性!$DW79-2)*20+卡牌属性!$DX79)</f>
        <v>7000</v>
      </c>
      <c r="FT79" s="14">
        <f>INDEX(属性投放!$BS$6:$BS$85,(卡牌属性!$DW79-2)*20+卡牌属性!$DX79)</f>
        <v>7000</v>
      </c>
      <c r="FU79" s="14">
        <f>INDEX(属性投放!$BS$6:$BS$85,(卡牌属性!$DW79-2)*20+卡牌属性!$DX79)</f>
        <v>7000</v>
      </c>
      <c r="FV79" s="14">
        <f>INDEX(属性投放!$BS$6:$BS$85,(卡牌属性!$DW79-2)*20+卡牌属性!$DX79)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8"/>
        <v>1102015</v>
      </c>
      <c r="GC79" s="14" t="s">
        <v>1187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9"/>
        <v>1101015</v>
      </c>
      <c r="GQ79" s="14" t="s">
        <v>1187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MATCH(HC79,属性投放!$AO$6:$AO$58,1)-1</f>
        <v>23</v>
      </c>
      <c r="HF79" s="13">
        <f>MATCH(HC79-1,属性投放!$AE$6:$AE$26,1)</f>
        <v>11</v>
      </c>
      <c r="HG79" s="13" t="str">
        <f>INDEX(属性投放!$AB$7:$AB$26,卡牌属性!HF79)</f>
        <v>大叫唤+1</v>
      </c>
      <c r="HH79" s="14">
        <f t="shared" si="200"/>
        <v>2873</v>
      </c>
      <c r="HI79" s="14">
        <f t="shared" si="201"/>
        <v>1169</v>
      </c>
      <c r="HJ79" s="14">
        <f t="shared" si="202"/>
        <v>17269</v>
      </c>
      <c r="HK79" s="14">
        <f t="shared" si="203"/>
        <v>30</v>
      </c>
      <c r="HL79" s="14">
        <f t="shared" si="204"/>
        <v>11</v>
      </c>
      <c r="HM79" s="14">
        <f t="shared" si="205"/>
        <v>189</v>
      </c>
      <c r="HN79" s="14">
        <f>HH79+HK79*($HC79-INDEX(属性投放!$AE$6:$AE$26,卡牌属性!$HF79))</f>
        <v>2963</v>
      </c>
      <c r="HO79" s="14">
        <f>HI79+HL79*($HC79-INDEX(属性投放!$AE$6:$AE$26,卡牌属性!$HF79))</f>
        <v>1202</v>
      </c>
      <c r="HP79" s="14">
        <f>HJ79+HM79*($HC79-INDEX(属性投放!$AE$6:$AE$26,卡牌属性!$HF79))</f>
        <v>17836</v>
      </c>
      <c r="HQ79" s="14">
        <f t="shared" si="206"/>
        <v>1910</v>
      </c>
      <c r="HR79" s="14">
        <f t="shared" si="207"/>
        <v>960</v>
      </c>
      <c r="HS79" s="14">
        <f t="shared" si="208"/>
        <v>15380</v>
      </c>
      <c r="HT79" s="14">
        <f>IF(COUNTIF(属性投放!$AO$7:$AO$58,"="&amp;卡牌属性!HC79)&gt;0,卡牌属性!HE79,0)</f>
        <v>23</v>
      </c>
      <c r="HU79" s="14">
        <f t="shared" si="209"/>
        <v>170</v>
      </c>
      <c r="HV79" s="14">
        <f t="shared" si="210"/>
        <v>85</v>
      </c>
      <c r="HW79" s="14">
        <f t="shared" si="211"/>
        <v>1530</v>
      </c>
      <c r="HX79" s="14">
        <f>IF(COUNTIF(属性投放!$AE$6:$AE$26,"="&amp;卡牌属性!HC79)&gt;0,卡牌属性!HF79,0)</f>
        <v>0</v>
      </c>
      <c r="HY79" s="14">
        <f t="shared" si="212"/>
        <v>0</v>
      </c>
      <c r="HZ79" s="14">
        <f t="shared" si="213"/>
        <v>0</v>
      </c>
      <c r="IA79" s="14">
        <f t="shared" si="214"/>
        <v>0</v>
      </c>
      <c r="IB79" s="14">
        <f t="shared" si="215"/>
        <v>30</v>
      </c>
      <c r="IC79" s="14">
        <f t="shared" si="216"/>
        <v>11</v>
      </c>
      <c r="ID79" s="14">
        <f t="shared" si="217"/>
        <v>189</v>
      </c>
      <c r="IE79" s="14">
        <f t="shared" si="218"/>
        <v>4873</v>
      </c>
      <c r="IF79" s="14">
        <f t="shared" si="219"/>
        <v>2162</v>
      </c>
      <c r="IG79" s="14">
        <f t="shared" si="220"/>
        <v>33216</v>
      </c>
      <c r="IH79" s="14">
        <f t="shared" si="221"/>
        <v>709</v>
      </c>
      <c r="II79" s="14">
        <f t="shared" si="222"/>
        <v>4930</v>
      </c>
      <c r="IJ79" s="14">
        <f t="shared" si="223"/>
        <v>0</v>
      </c>
      <c r="IK79" s="14">
        <f t="shared" si="224"/>
        <v>125186</v>
      </c>
      <c r="IL79" s="17">
        <f t="shared" si="225"/>
        <v>5.6635726039653E-3</v>
      </c>
      <c r="IM79" s="17">
        <f t="shared" si="226"/>
        <v>3.9381400476091573E-2</v>
      </c>
      <c r="IN79" s="17">
        <f t="shared" si="227"/>
        <v>0</v>
      </c>
      <c r="IO79" s="23">
        <f>SUM(IH$5:IH79)</f>
        <v>34496</v>
      </c>
      <c r="IP79" s="14">
        <f>SUM(II$5:II79)</f>
        <v>53680</v>
      </c>
      <c r="IQ79" s="14">
        <f>SUM(IJ$5:IJ79)</f>
        <v>28040</v>
      </c>
      <c r="IR79" s="17">
        <f t="shared" si="228"/>
        <v>0.27555796974102537</v>
      </c>
      <c r="IS79" s="17">
        <f t="shared" si="229"/>
        <v>0.42880194270924865</v>
      </c>
      <c r="IT79" s="17">
        <f t="shared" si="230"/>
        <v>0.22398670777882509</v>
      </c>
      <c r="IW79" s="13">
        <v>75</v>
      </c>
      <c r="IX79" s="14">
        <f>MATCH(IW79-1,属性投放!$T$6:$T$66,1)</f>
        <v>9</v>
      </c>
      <c r="IY79" s="14">
        <f>MATCH(IW79-1,属性投放!$AD$7:$AD$26,1)</f>
        <v>10</v>
      </c>
      <c r="IZ79" s="14" t="str">
        <f>INDEX(属性投放!$AB$7:$AB$26,IY79)</f>
        <v>大叫唤</v>
      </c>
      <c r="JA79" s="14">
        <f t="shared" si="231"/>
        <v>1923</v>
      </c>
      <c r="JB79" s="14">
        <f t="shared" si="232"/>
        <v>911</v>
      </c>
      <c r="JC79" s="14">
        <f t="shared" si="233"/>
        <v>13535</v>
      </c>
      <c r="JD79" s="14">
        <f t="shared" si="234"/>
        <v>76</v>
      </c>
      <c r="JE79" s="14">
        <f t="shared" si="235"/>
        <v>38</v>
      </c>
      <c r="JF79" s="14">
        <f t="shared" si="236"/>
        <v>685</v>
      </c>
      <c r="JG79" s="14">
        <f>INDEX(属性投放!$DC$6:$DC$85,卡牌属性!IY79)</f>
        <v>60</v>
      </c>
      <c r="JH79" s="14">
        <f t="shared" si="237"/>
        <v>3063</v>
      </c>
      <c r="JI79" s="14">
        <f t="shared" si="238"/>
        <v>1481</v>
      </c>
      <c r="JJ79" s="14">
        <f t="shared" si="239"/>
        <v>23810</v>
      </c>
      <c r="JK79" s="14">
        <f t="shared" si="240"/>
        <v>53935</v>
      </c>
    </row>
    <row r="80" spans="31:271" ht="16.5" x14ac:dyDescent="0.2">
      <c r="AE80" s="13">
        <v>76</v>
      </c>
      <c r="AF80" s="13">
        <f t="shared" si="188"/>
        <v>4</v>
      </c>
      <c r="AG80" s="13">
        <f t="shared" si="169"/>
        <v>4</v>
      </c>
      <c r="AH80" s="13"/>
      <c r="AI80" s="13"/>
      <c r="AJ80" s="14">
        <f t="shared" si="170"/>
        <v>1101004</v>
      </c>
      <c r="AK80" s="14" t="str">
        <f t="shared" si="171"/>
        <v>项昆仑16突</v>
      </c>
      <c r="AL80" s="25" t="s">
        <v>142</v>
      </c>
      <c r="AM80" s="14">
        <v>1</v>
      </c>
      <c r="AN80" s="14">
        <f t="shared" si="172"/>
        <v>16</v>
      </c>
      <c r="AO80" s="14">
        <f>INDEX(属性投放!$DF$6:$DF$85,(卡牌属性!AG80-2)*20+卡牌属性!AN80)</f>
        <v>13851</v>
      </c>
      <c r="AP80" s="14">
        <f t="shared" si="148"/>
        <v>13851</v>
      </c>
      <c r="AQ80" s="14">
        <f t="shared" si="148"/>
        <v>13851</v>
      </c>
      <c r="AR80" s="14">
        <f t="shared" si="148"/>
        <v>13851</v>
      </c>
      <c r="AS80" s="14">
        <f t="shared" si="148"/>
        <v>13851</v>
      </c>
      <c r="AT80" s="14">
        <f>INDEX(属性投放!$DG$6:$DG$85,(卡牌属性!AG80-2)*20+卡牌属性!AN80)</f>
        <v>6844</v>
      </c>
      <c r="AU80" s="14">
        <f t="shared" si="149"/>
        <v>6844</v>
      </c>
      <c r="AV80" s="14">
        <f t="shared" si="149"/>
        <v>6844</v>
      </c>
      <c r="AW80" s="14">
        <f t="shared" si="149"/>
        <v>6844</v>
      </c>
      <c r="AX80" s="14">
        <f t="shared" si="149"/>
        <v>6844</v>
      </c>
      <c r="AY80" s="14">
        <f>INDEX(属性投放!$DH$6:$DH$85,(卡牌属性!AG80-2)*20+卡牌属性!AN80)</f>
        <v>124698</v>
      </c>
      <c r="AZ80" s="14">
        <f t="shared" si="150"/>
        <v>124698</v>
      </c>
      <c r="BA80" s="14">
        <f t="shared" si="150"/>
        <v>124698</v>
      </c>
      <c r="BB80" s="14">
        <f t="shared" si="150"/>
        <v>124698</v>
      </c>
      <c r="BC80" s="14">
        <f t="shared" si="150"/>
        <v>124698</v>
      </c>
      <c r="BD80" s="14">
        <f>INDEX(属性投放!$DL$6:$DL$85,(卡牌属性!AG80-2)*20+卡牌属性!AN80)</f>
        <v>284</v>
      </c>
      <c r="BE80" s="14">
        <f t="shared" si="151"/>
        <v>284</v>
      </c>
      <c r="BF80" s="14">
        <f t="shared" si="151"/>
        <v>284</v>
      </c>
      <c r="BG80" s="14">
        <f t="shared" si="151"/>
        <v>284</v>
      </c>
      <c r="BH80" s="14">
        <f t="shared" si="151"/>
        <v>284</v>
      </c>
      <c r="BI80" s="14">
        <f>INDEX(属性投放!$DM$6:$DM$85,(卡牌属性!AG80-2)*20+卡牌属性!AN80)</f>
        <v>142</v>
      </c>
      <c r="BJ80" s="14">
        <f t="shared" si="152"/>
        <v>142</v>
      </c>
      <c r="BK80" s="14">
        <f t="shared" si="152"/>
        <v>142</v>
      </c>
      <c r="BL80" s="14">
        <f t="shared" si="152"/>
        <v>142</v>
      </c>
      <c r="BM80" s="14">
        <f t="shared" si="152"/>
        <v>142</v>
      </c>
      <c r="BN80" s="14">
        <f>INDEX(属性投放!$DN$6:$DN$85,(卡牌属性!AG80-2)*20+卡牌属性!AN80)</f>
        <v>2845</v>
      </c>
      <c r="BO80" s="14">
        <f t="shared" si="153"/>
        <v>2845</v>
      </c>
      <c r="BP80" s="14">
        <f t="shared" si="153"/>
        <v>2845</v>
      </c>
      <c r="BQ80" s="14">
        <f t="shared" si="153"/>
        <v>2845</v>
      </c>
      <c r="BR80" s="14">
        <f t="shared" si="153"/>
        <v>2845</v>
      </c>
      <c r="BW80" s="13">
        <v>76</v>
      </c>
      <c r="BX80" s="13">
        <f t="shared" si="173"/>
        <v>4</v>
      </c>
      <c r="BY80" s="14">
        <f t="shared" si="174"/>
        <v>2</v>
      </c>
      <c r="BZ80" s="14">
        <f t="shared" si="189"/>
        <v>1102004</v>
      </c>
      <c r="CA80" s="14" t="str">
        <f t="shared" si="190"/>
        <v>唐流雨16突</v>
      </c>
      <c r="CB80" s="25" t="s">
        <v>142</v>
      </c>
      <c r="CC80" s="14">
        <v>2</v>
      </c>
      <c r="CD80" s="14">
        <f t="shared" si="175"/>
        <v>16</v>
      </c>
      <c r="CE80" s="14" t="s">
        <v>21</v>
      </c>
      <c r="CF80" s="14">
        <f>INDEX(属性投放!$AZ$6:$AZ$85,(BY80-2)*20+CD80)</f>
        <v>8585</v>
      </c>
      <c r="CG80" s="14" t="s">
        <v>22</v>
      </c>
      <c r="CH80" s="14">
        <f>INDEX(属性投放!$BA$6:$BA$85,(BY80-2)*20+CD80)</f>
        <v>4260</v>
      </c>
      <c r="CI80" s="14" t="s">
        <v>510</v>
      </c>
      <c r="CJ80" s="14">
        <f>INDEX(属性投放!$BB$6:$BB$85,(BY80-2)*20+CD80)</f>
        <v>77658</v>
      </c>
      <c r="CK80" s="14" t="s">
        <v>21</v>
      </c>
      <c r="CL80" s="14">
        <f>INDEX(属性投放!$BC$6:$BC$85,(BY80-2)*20+CD80)</f>
        <v>20</v>
      </c>
      <c r="CM80" s="14" t="s">
        <v>22</v>
      </c>
      <c r="CN80" s="14">
        <f>INDEX(属性投放!$BD$6:$BD$85,(BY80-2)*20+CD80)</f>
        <v>10</v>
      </c>
      <c r="CO80" s="14" t="s">
        <v>510</v>
      </c>
      <c r="CP80" s="14">
        <f>INDEX(属性投放!$BE$6:$BE$85,(BY80-2)*20+CD80)</f>
        <v>200</v>
      </c>
      <c r="CS80" s="13">
        <v>76</v>
      </c>
      <c r="CT80" s="13">
        <f t="shared" si="191"/>
        <v>2</v>
      </c>
      <c r="CU80" s="13">
        <f t="shared" si="192"/>
        <v>24</v>
      </c>
      <c r="CV80" s="14">
        <f t="shared" si="193"/>
        <v>3</v>
      </c>
      <c r="CW80" s="14">
        <f t="shared" si="194"/>
        <v>1102002</v>
      </c>
      <c r="CX80" s="14" t="str">
        <f>INDEX($O$6:$O$50,CT80)&amp;"-"&amp;INDEX(属性投放!$AB$7:$AB$50,CZ80)&amp;"-魂火-"&amp;DB80</f>
        <v>许褚-大叫唤+1-魂火-3</v>
      </c>
      <c r="CY80" s="25" t="s">
        <v>142</v>
      </c>
      <c r="CZ80" s="14">
        <f>INDEX(属性投放!$AM$7:$AM$58,CU80)</f>
        <v>11</v>
      </c>
      <c r="DA80" s="14" t="s">
        <v>537</v>
      </c>
      <c r="DB80" s="14">
        <f>INDEX(属性投放!$AN$7:$AN$58,CU80)</f>
        <v>3</v>
      </c>
      <c r="DC80" s="14">
        <f t="shared" si="176"/>
        <v>24</v>
      </c>
      <c r="DD80" s="14">
        <f>INDEX(属性投放!$AO$7:$AO$58,DC80)</f>
        <v>78</v>
      </c>
      <c r="DE80" s="14" t="s">
        <v>538</v>
      </c>
      <c r="DF80" s="14">
        <f>INDEX(属性投放!$BK$6:$BK$85,(CV80-2)*20+CZ80)</f>
        <v>150</v>
      </c>
      <c r="DG80" s="14">
        <f>SUMIFS(DF$5:DF80,$CT$5:$CT80,"="&amp;$CT80)</f>
        <v>1820</v>
      </c>
      <c r="DH80" s="14" t="s">
        <v>539</v>
      </c>
      <c r="DI80" s="14">
        <f>INDEX(属性投放!$BL$6:$BL$85,(CV80-2)*20+CZ80)</f>
        <v>75</v>
      </c>
      <c r="DJ80" s="14">
        <f>SUMIFS(DI$5:DI80,$CT$5:$CT80,"="&amp;$CT80)</f>
        <v>913</v>
      </c>
      <c r="DK80" s="14" t="s">
        <v>540</v>
      </c>
      <c r="DL80" s="14">
        <f>INDEX(属性投放!$BM$6:$BM$85,(CV80-2)*20+CZ80)</f>
        <v>1350</v>
      </c>
      <c r="DM80" s="14">
        <f>SUMIFS(DL$5:DL80,$CT$5:$CT80,"="&amp;$CT80)</f>
        <v>14840</v>
      </c>
      <c r="DR80" s="14">
        <f t="shared" si="177"/>
        <v>1102004</v>
      </c>
      <c r="DS80" s="14" t="str">
        <f t="shared" si="178"/>
        <v>唐流雨16突</v>
      </c>
      <c r="DT80" s="14">
        <f t="shared" si="195"/>
        <v>4</v>
      </c>
      <c r="DU80" s="14">
        <f t="shared" si="196"/>
        <v>2</v>
      </c>
      <c r="DV80" s="14">
        <f t="shared" si="197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INDEX(属性投放!$AX$6:$AX$85,(卡牌属性!DW80-2)*20+卡牌属性!DX80)</f>
        <v>7</v>
      </c>
      <c r="EA80" s="14">
        <f>INDEX(属性投放!BQ$6:BQ$85,卡牌属性!$DY80)</f>
        <v>700</v>
      </c>
      <c r="EB80" s="14">
        <f>INDEX(属性投放!BR$6:BR$85,卡牌属性!$DY80)</f>
        <v>350</v>
      </c>
      <c r="EC80" s="14">
        <f>INDEX(属性投放!BS$6:BS$85,卡牌属性!$DY80)</f>
        <v>7000</v>
      </c>
      <c r="ED80" s="14">
        <f t="shared" si="154"/>
        <v>4390</v>
      </c>
      <c r="EE80" s="14">
        <f t="shared" si="155"/>
        <v>4786</v>
      </c>
      <c r="EF80" s="14">
        <f t="shared" si="156"/>
        <v>4944</v>
      </c>
      <c r="EG80" s="14">
        <f t="shared" si="157"/>
        <v>4944</v>
      </c>
      <c r="EH80" s="14">
        <f t="shared" si="158"/>
        <v>5873</v>
      </c>
      <c r="EI80" s="14">
        <f t="shared" si="159"/>
        <v>1887</v>
      </c>
      <c r="EJ80" s="14">
        <f t="shared" si="160"/>
        <v>2004</v>
      </c>
      <c r="EK80" s="14">
        <f t="shared" si="161"/>
        <v>2004</v>
      </c>
      <c r="EL80" s="14">
        <f t="shared" si="162"/>
        <v>2164</v>
      </c>
      <c r="EM80" s="14">
        <f t="shared" si="163"/>
        <v>2369</v>
      </c>
      <c r="EN80" s="14">
        <f t="shared" si="164"/>
        <v>35638</v>
      </c>
      <c r="EO80" s="14">
        <f t="shared" si="165"/>
        <v>38342</v>
      </c>
      <c r="EP80" s="14">
        <f t="shared" si="166"/>
        <v>38342</v>
      </c>
      <c r="EQ80" s="14">
        <f t="shared" si="167"/>
        <v>41610</v>
      </c>
      <c r="ER80" s="14">
        <f t="shared" si="168"/>
        <v>42774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INDEX(属性投放!$BQ$6:$BQ$85,(卡牌属性!$DW80-2)*20+卡牌属性!$DX80)</f>
        <v>700</v>
      </c>
      <c r="FI80" s="14">
        <f>INDEX(属性投放!$BQ$6:$BQ$85,(卡牌属性!$DW80-2)*20+卡牌属性!$DX80)</f>
        <v>700</v>
      </c>
      <c r="FJ80" s="14">
        <f>INDEX(属性投放!$BQ$6:$BQ$85,(卡牌属性!$DW80-2)*20+卡牌属性!$DX80)</f>
        <v>700</v>
      </c>
      <c r="FK80" s="14">
        <f>INDEX(属性投放!$BQ$6:$BQ$85,(卡牌属性!$DW80-2)*20+卡牌属性!$DX80)</f>
        <v>700</v>
      </c>
      <c r="FL80" s="14">
        <f>INDEX(属性投放!$BQ$6:$BQ$85,(卡牌属性!$DW80-2)*20+卡牌属性!$DX80)</f>
        <v>700</v>
      </c>
      <c r="FM80" s="14">
        <f>INDEX(属性投放!$BR$6:$BR$85,(卡牌属性!$DW80-2)*20+卡牌属性!$DX80)</f>
        <v>350</v>
      </c>
      <c r="FN80" s="14">
        <f>INDEX(属性投放!$BR$6:$BR$85,(卡牌属性!$DW80-2)*20+卡牌属性!$DX80)</f>
        <v>350</v>
      </c>
      <c r="FO80" s="14">
        <f>INDEX(属性投放!$BR$6:$BR$85,(卡牌属性!$DW80-2)*20+卡牌属性!$DX80)</f>
        <v>350</v>
      </c>
      <c r="FP80" s="14">
        <f>INDEX(属性投放!$BR$6:$BR$85,(卡牌属性!$DW80-2)*20+卡牌属性!$DX80)</f>
        <v>350</v>
      </c>
      <c r="FQ80" s="14">
        <f>INDEX(属性投放!$BR$6:$BR$85,(卡牌属性!$DW80-2)*20+卡牌属性!$DX80)</f>
        <v>350</v>
      </c>
      <c r="FR80" s="14">
        <f>INDEX(属性投放!$BS$6:$BS$85,(卡牌属性!$DW80-2)*20+卡牌属性!$DX80)</f>
        <v>7000</v>
      </c>
      <c r="FS80" s="14">
        <f>INDEX(属性投放!$BS$6:$BS$85,(卡牌属性!$DW80-2)*20+卡牌属性!$DX80)</f>
        <v>7000</v>
      </c>
      <c r="FT80" s="14">
        <f>INDEX(属性投放!$BS$6:$BS$85,(卡牌属性!$DW80-2)*20+卡牌属性!$DX80)</f>
        <v>7000</v>
      </c>
      <c r="FU80" s="14">
        <f>INDEX(属性投放!$BS$6:$BS$85,(卡牌属性!$DW80-2)*20+卡牌属性!$DX80)</f>
        <v>7000</v>
      </c>
      <c r="FV80" s="14">
        <f>INDEX(属性投放!$BS$6:$BS$85,(卡牌属性!$DW80-2)*20+卡牌属性!$DX80)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8"/>
        <v>1102016</v>
      </c>
      <c r="GC80" s="14" t="s">
        <v>1187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9"/>
        <v>1101041</v>
      </c>
      <c r="GQ80" s="14" t="s">
        <v>1187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MATCH(HC80,属性投放!$AO$6:$AO$58,1)-1</f>
        <v>23</v>
      </c>
      <c r="HF80" s="13">
        <f>MATCH(HC80-1,属性投放!$AE$6:$AE$26,1)</f>
        <v>11</v>
      </c>
      <c r="HG80" s="13" t="str">
        <f>INDEX(属性投放!$AB$7:$AB$26,卡牌属性!HF80)</f>
        <v>大叫唤+1</v>
      </c>
      <c r="HH80" s="14">
        <f t="shared" si="200"/>
        <v>2873</v>
      </c>
      <c r="HI80" s="14">
        <f t="shared" si="201"/>
        <v>1169</v>
      </c>
      <c r="HJ80" s="14">
        <f t="shared" si="202"/>
        <v>17269</v>
      </c>
      <c r="HK80" s="14">
        <f t="shared" si="203"/>
        <v>30</v>
      </c>
      <c r="HL80" s="14">
        <f t="shared" si="204"/>
        <v>11</v>
      </c>
      <c r="HM80" s="14">
        <f t="shared" si="205"/>
        <v>189</v>
      </c>
      <c r="HN80" s="14">
        <f>HH80+HK80*($HC80-INDEX(属性投放!$AE$6:$AE$26,卡牌属性!$HF80))</f>
        <v>2993</v>
      </c>
      <c r="HO80" s="14">
        <f>HI80+HL80*($HC80-INDEX(属性投放!$AE$6:$AE$26,卡牌属性!$HF80))</f>
        <v>1213</v>
      </c>
      <c r="HP80" s="14">
        <f>HJ80+HM80*($HC80-INDEX(属性投放!$AE$6:$AE$26,卡牌属性!$HF80))</f>
        <v>18025</v>
      </c>
      <c r="HQ80" s="14">
        <f t="shared" si="206"/>
        <v>1910</v>
      </c>
      <c r="HR80" s="14">
        <f t="shared" si="207"/>
        <v>960</v>
      </c>
      <c r="HS80" s="14">
        <f t="shared" si="208"/>
        <v>15380</v>
      </c>
      <c r="HT80" s="14">
        <f>IF(COUNTIF(属性投放!$AO$7:$AO$58,"="&amp;卡牌属性!HC80)&gt;0,卡牌属性!HE80,0)</f>
        <v>0</v>
      </c>
      <c r="HU80" s="14">
        <f t="shared" si="209"/>
        <v>0</v>
      </c>
      <c r="HV80" s="14">
        <f t="shared" si="210"/>
        <v>0</v>
      </c>
      <c r="HW80" s="14">
        <f t="shared" si="211"/>
        <v>0</v>
      </c>
      <c r="HX80" s="14">
        <f>IF(COUNTIF(属性投放!$AE$6:$AE$26,"="&amp;卡牌属性!HC80)&gt;0,卡牌属性!HF80,0)</f>
        <v>0</v>
      </c>
      <c r="HY80" s="14">
        <f t="shared" si="212"/>
        <v>0</v>
      </c>
      <c r="HZ80" s="14">
        <f t="shared" si="213"/>
        <v>0</v>
      </c>
      <c r="IA80" s="14">
        <f t="shared" si="214"/>
        <v>0</v>
      </c>
      <c r="IB80" s="14">
        <f t="shared" si="215"/>
        <v>30</v>
      </c>
      <c r="IC80" s="14">
        <f t="shared" si="216"/>
        <v>11</v>
      </c>
      <c r="ID80" s="14">
        <f t="shared" si="217"/>
        <v>189</v>
      </c>
      <c r="IE80" s="14">
        <f t="shared" si="218"/>
        <v>4903</v>
      </c>
      <c r="IF80" s="14">
        <f t="shared" si="219"/>
        <v>2173</v>
      </c>
      <c r="IG80" s="14">
        <f t="shared" si="220"/>
        <v>33405</v>
      </c>
      <c r="IH80" s="14">
        <f t="shared" si="221"/>
        <v>709</v>
      </c>
      <c r="II80" s="14">
        <f t="shared" si="222"/>
        <v>0</v>
      </c>
      <c r="IJ80" s="14">
        <f t="shared" si="223"/>
        <v>0</v>
      </c>
      <c r="IK80" s="14">
        <f t="shared" si="224"/>
        <v>125895</v>
      </c>
      <c r="IL80" s="17">
        <f t="shared" si="225"/>
        <v>5.6316771913102193E-3</v>
      </c>
      <c r="IM80" s="17">
        <f t="shared" si="226"/>
        <v>0</v>
      </c>
      <c r="IN80" s="17">
        <f t="shared" si="227"/>
        <v>0</v>
      </c>
      <c r="IO80" s="23">
        <f>SUM(IH$5:IH80)</f>
        <v>35205</v>
      </c>
      <c r="IP80" s="14">
        <f>SUM(II$5:II80)</f>
        <v>53680</v>
      </c>
      <c r="IQ80" s="14">
        <f>SUM(IJ$5:IJ80)</f>
        <v>28040</v>
      </c>
      <c r="IR80" s="17">
        <f t="shared" si="228"/>
        <v>0.27963779339926131</v>
      </c>
      <c r="IS80" s="17">
        <f t="shared" si="229"/>
        <v>0.42638706858890346</v>
      </c>
      <c r="IT80" s="17">
        <f t="shared" si="230"/>
        <v>0.22272528694547042</v>
      </c>
      <c r="IW80" s="13">
        <v>76</v>
      </c>
      <c r="IX80" s="14">
        <f>MATCH(IW80-1,属性投放!$T$6:$T$66,1)</f>
        <v>9</v>
      </c>
      <c r="IY80" s="14">
        <f>MATCH(IW80-1,属性投放!$AD$7:$AD$26,1)</f>
        <v>10</v>
      </c>
      <c r="IZ80" s="14" t="str">
        <f>INDEX(属性投放!$AB$7:$AB$26,IY80)</f>
        <v>大叫唤</v>
      </c>
      <c r="JA80" s="14">
        <f t="shared" si="231"/>
        <v>1923</v>
      </c>
      <c r="JB80" s="14">
        <f t="shared" si="232"/>
        <v>911</v>
      </c>
      <c r="JC80" s="14">
        <f t="shared" si="233"/>
        <v>13535</v>
      </c>
      <c r="JD80" s="14">
        <f t="shared" si="234"/>
        <v>76</v>
      </c>
      <c r="JE80" s="14">
        <f t="shared" si="235"/>
        <v>38</v>
      </c>
      <c r="JF80" s="14">
        <f t="shared" si="236"/>
        <v>685</v>
      </c>
      <c r="JG80" s="14">
        <f>INDEX(属性投放!$DC$6:$DC$85,卡牌属性!IY80)</f>
        <v>60</v>
      </c>
      <c r="JH80" s="14">
        <f t="shared" si="237"/>
        <v>3139</v>
      </c>
      <c r="JI80" s="14">
        <f t="shared" si="238"/>
        <v>1519</v>
      </c>
      <c r="JJ80" s="14">
        <f t="shared" si="239"/>
        <v>24495</v>
      </c>
      <c r="JK80" s="14">
        <f t="shared" si="240"/>
        <v>55380</v>
      </c>
    </row>
    <row r="81" spans="31:271" ht="16.5" x14ac:dyDescent="0.2">
      <c r="AE81" s="13">
        <v>77</v>
      </c>
      <c r="AF81" s="13">
        <f t="shared" si="188"/>
        <v>4</v>
      </c>
      <c r="AG81" s="13">
        <f t="shared" si="169"/>
        <v>4</v>
      </c>
      <c r="AH81" s="13"/>
      <c r="AI81" s="13"/>
      <c r="AJ81" s="14">
        <f t="shared" si="170"/>
        <v>1101004</v>
      </c>
      <c r="AK81" s="14" t="str">
        <f t="shared" si="171"/>
        <v>项昆仑17突</v>
      </c>
      <c r="AL81" s="25" t="s">
        <v>142</v>
      </c>
      <c r="AM81" s="14">
        <v>1</v>
      </c>
      <c r="AN81" s="14">
        <f t="shared" si="172"/>
        <v>17</v>
      </c>
      <c r="AO81" s="14">
        <f>INDEX(属性投放!$DF$6:$DF$85,(卡牌属性!AG81-2)*20+卡牌属性!AN81)</f>
        <v>14867</v>
      </c>
      <c r="AP81" s="14">
        <f t="shared" si="148"/>
        <v>14867</v>
      </c>
      <c r="AQ81" s="14">
        <f t="shared" si="148"/>
        <v>14867</v>
      </c>
      <c r="AR81" s="14">
        <f t="shared" si="148"/>
        <v>14867</v>
      </c>
      <c r="AS81" s="14">
        <f t="shared" si="148"/>
        <v>14867</v>
      </c>
      <c r="AT81" s="14">
        <f>INDEX(属性投放!$DG$6:$DG$85,(卡牌属性!AG81-2)*20+卡牌属性!AN81)</f>
        <v>7352</v>
      </c>
      <c r="AU81" s="14">
        <f t="shared" si="149"/>
        <v>7352</v>
      </c>
      <c r="AV81" s="14">
        <f t="shared" si="149"/>
        <v>7352</v>
      </c>
      <c r="AW81" s="14">
        <f t="shared" si="149"/>
        <v>7352</v>
      </c>
      <c r="AX81" s="14">
        <f t="shared" si="149"/>
        <v>7352</v>
      </c>
      <c r="AY81" s="14">
        <f>INDEX(属性投放!$DH$6:$DH$85,(卡牌属性!AG81-2)*20+卡牌属性!AN81)</f>
        <v>134858</v>
      </c>
      <c r="AZ81" s="14">
        <f t="shared" si="150"/>
        <v>134858</v>
      </c>
      <c r="BA81" s="14">
        <f t="shared" si="150"/>
        <v>134858</v>
      </c>
      <c r="BB81" s="14">
        <f t="shared" si="150"/>
        <v>134858</v>
      </c>
      <c r="BC81" s="14">
        <f t="shared" si="150"/>
        <v>134858</v>
      </c>
      <c r="BD81" s="14">
        <f>INDEX(属性投放!$DL$6:$DL$85,(卡牌属性!AG81-2)*20+卡牌属性!AN81)</f>
        <v>284</v>
      </c>
      <c r="BE81" s="14">
        <f t="shared" si="151"/>
        <v>284</v>
      </c>
      <c r="BF81" s="14">
        <f t="shared" si="151"/>
        <v>284</v>
      </c>
      <c r="BG81" s="14">
        <f t="shared" si="151"/>
        <v>284</v>
      </c>
      <c r="BH81" s="14">
        <f t="shared" si="151"/>
        <v>284</v>
      </c>
      <c r="BI81" s="14">
        <f>INDEX(属性投放!$DM$6:$DM$85,(卡牌属性!AG81-2)*20+卡牌属性!AN81)</f>
        <v>142</v>
      </c>
      <c r="BJ81" s="14">
        <f t="shared" si="152"/>
        <v>142</v>
      </c>
      <c r="BK81" s="14">
        <f t="shared" si="152"/>
        <v>142</v>
      </c>
      <c r="BL81" s="14">
        <f t="shared" si="152"/>
        <v>142</v>
      </c>
      <c r="BM81" s="14">
        <f t="shared" si="152"/>
        <v>142</v>
      </c>
      <c r="BN81" s="14">
        <f>INDEX(属性投放!$DN$6:$DN$85,(卡牌属性!AG81-2)*20+卡牌属性!AN81)</f>
        <v>2845</v>
      </c>
      <c r="BO81" s="14">
        <f t="shared" si="153"/>
        <v>2845</v>
      </c>
      <c r="BP81" s="14">
        <f t="shared" si="153"/>
        <v>2845</v>
      </c>
      <c r="BQ81" s="14">
        <f t="shared" si="153"/>
        <v>2845</v>
      </c>
      <c r="BR81" s="14">
        <f t="shared" si="153"/>
        <v>2845</v>
      </c>
      <c r="BW81" s="13">
        <v>77</v>
      </c>
      <c r="BX81" s="13">
        <f t="shared" si="173"/>
        <v>4</v>
      </c>
      <c r="BY81" s="14">
        <f t="shared" si="174"/>
        <v>2</v>
      </c>
      <c r="BZ81" s="14">
        <f t="shared" si="189"/>
        <v>1102004</v>
      </c>
      <c r="CA81" s="14" t="str">
        <f t="shared" si="190"/>
        <v>唐流雨17突</v>
      </c>
      <c r="CB81" s="25" t="s">
        <v>142</v>
      </c>
      <c r="CC81" s="14">
        <v>2</v>
      </c>
      <c r="CD81" s="14">
        <f t="shared" si="175"/>
        <v>17</v>
      </c>
      <c r="CE81" s="14" t="s">
        <v>21</v>
      </c>
      <c r="CF81" s="14">
        <f>INDEX(属性投放!$AZ$6:$AZ$85,(BY81-2)*20+CD81)</f>
        <v>10775</v>
      </c>
      <c r="CG81" s="14" t="s">
        <v>22</v>
      </c>
      <c r="CH81" s="14">
        <f>INDEX(属性投放!$BA$6:$BA$85,(BY81-2)*20+CD81)</f>
        <v>5355</v>
      </c>
      <c r="CI81" s="14" t="s">
        <v>510</v>
      </c>
      <c r="CJ81" s="14">
        <f>INDEX(属性投放!$BB$6:$BB$85,(BY81-2)*20+CD81)</f>
        <v>99558</v>
      </c>
      <c r="CK81" s="14" t="s">
        <v>21</v>
      </c>
      <c r="CL81" s="14">
        <f>INDEX(属性投放!$BC$6:$BC$85,(BY81-2)*20+CD81)</f>
        <v>20</v>
      </c>
      <c r="CM81" s="14" t="s">
        <v>22</v>
      </c>
      <c r="CN81" s="14">
        <f>INDEX(属性投放!$BD$6:$BD$85,(BY81-2)*20+CD81)</f>
        <v>10</v>
      </c>
      <c r="CO81" s="14" t="s">
        <v>510</v>
      </c>
      <c r="CP81" s="14">
        <f>INDEX(属性投放!$BE$6:$BE$85,(BY81-2)*20+CD81)</f>
        <v>200</v>
      </c>
      <c r="CS81" s="13">
        <v>77</v>
      </c>
      <c r="CT81" s="13">
        <f t="shared" si="191"/>
        <v>2</v>
      </c>
      <c r="CU81" s="13">
        <f t="shared" si="192"/>
        <v>25</v>
      </c>
      <c r="CV81" s="14">
        <f t="shared" si="193"/>
        <v>3</v>
      </c>
      <c r="CW81" s="14">
        <f t="shared" si="194"/>
        <v>1102002</v>
      </c>
      <c r="CX81" s="14" t="str">
        <f>INDEX($O$6:$O$50,CT81)&amp;"-"&amp;INDEX(属性投放!$AB$7:$AB$50,CZ81)&amp;"-魂火-"&amp;DB81</f>
        <v>许褚-大叫唤+2-魂火-1</v>
      </c>
      <c r="CY81" s="25" t="s">
        <v>142</v>
      </c>
      <c r="CZ81" s="14">
        <f>INDEX(属性投放!$AM$7:$AM$58,CU81)</f>
        <v>12</v>
      </c>
      <c r="DA81" s="14" t="s">
        <v>537</v>
      </c>
      <c r="DB81" s="14">
        <f>INDEX(属性投放!$AN$7:$AN$58,CU81)</f>
        <v>1</v>
      </c>
      <c r="DC81" s="14">
        <f t="shared" si="176"/>
        <v>25</v>
      </c>
      <c r="DD81" s="14">
        <f>INDEX(属性投放!$AO$7:$AO$58,DC81)</f>
        <v>80</v>
      </c>
      <c r="DE81" s="14" t="s">
        <v>538</v>
      </c>
      <c r="DF81" s="14">
        <f>INDEX(属性投放!$BK$6:$BK$85,(CV81-2)*20+CZ81)</f>
        <v>200</v>
      </c>
      <c r="DG81" s="14">
        <f>SUMIFS(DF$5:DF81,$CT$5:$CT81,"="&amp;$CT81)</f>
        <v>2020</v>
      </c>
      <c r="DH81" s="14" t="s">
        <v>539</v>
      </c>
      <c r="DI81" s="14">
        <f>INDEX(属性投放!$BL$6:$BL$85,(CV81-2)*20+CZ81)</f>
        <v>100</v>
      </c>
      <c r="DJ81" s="14">
        <f>SUMIFS(DI$5:DI81,$CT$5:$CT81,"="&amp;$CT81)</f>
        <v>1013</v>
      </c>
      <c r="DK81" s="14" t="s">
        <v>540</v>
      </c>
      <c r="DL81" s="14">
        <f>INDEX(属性投放!$BM$6:$BM$85,(CV81-2)*20+CZ81)</f>
        <v>1800</v>
      </c>
      <c r="DM81" s="14">
        <f>SUMIFS(DL$5:DL81,$CT$5:$CT81,"="&amp;$CT81)</f>
        <v>16640</v>
      </c>
      <c r="DR81" s="14">
        <f t="shared" si="177"/>
        <v>1102004</v>
      </c>
      <c r="DS81" s="14" t="str">
        <f t="shared" si="178"/>
        <v>唐流雨17突</v>
      </c>
      <c r="DT81" s="14">
        <f t="shared" si="195"/>
        <v>4</v>
      </c>
      <c r="DU81" s="14">
        <f t="shared" si="196"/>
        <v>2</v>
      </c>
      <c r="DV81" s="14">
        <f t="shared" si="197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INDEX(属性投放!$AX$6:$AX$85,(卡牌属性!DW81-2)*20+卡牌属性!DX81)</f>
        <v>8</v>
      </c>
      <c r="EA81" s="14">
        <f>INDEX(属性投放!BQ$6:BQ$85,卡牌属性!$DY81)</f>
        <v>800</v>
      </c>
      <c r="EB81" s="14">
        <f>INDEX(属性投放!BR$6:BR$85,卡牌属性!$DY81)</f>
        <v>400</v>
      </c>
      <c r="EC81" s="14">
        <f>INDEX(属性投放!BS$6:BS$85,卡牌属性!$DY81)</f>
        <v>8000</v>
      </c>
      <c r="ED81" s="14">
        <f t="shared" si="154"/>
        <v>5265</v>
      </c>
      <c r="EE81" s="14">
        <f t="shared" si="155"/>
        <v>5696</v>
      </c>
      <c r="EF81" s="14">
        <f t="shared" si="156"/>
        <v>5889</v>
      </c>
      <c r="EG81" s="14">
        <f t="shared" si="157"/>
        <v>5889</v>
      </c>
      <c r="EH81" s="14">
        <f t="shared" si="158"/>
        <v>6923</v>
      </c>
      <c r="EI81" s="14">
        <f t="shared" si="159"/>
        <v>2293</v>
      </c>
      <c r="EJ81" s="14">
        <f t="shared" si="160"/>
        <v>2424</v>
      </c>
      <c r="EK81" s="14">
        <f t="shared" si="161"/>
        <v>2424</v>
      </c>
      <c r="EL81" s="14">
        <f t="shared" si="162"/>
        <v>2605</v>
      </c>
      <c r="EM81" s="14">
        <f t="shared" si="163"/>
        <v>2824</v>
      </c>
      <c r="EN81" s="14">
        <f t="shared" si="164"/>
        <v>44038</v>
      </c>
      <c r="EO81" s="14">
        <f t="shared" si="165"/>
        <v>47092</v>
      </c>
      <c r="EP81" s="14">
        <f t="shared" si="166"/>
        <v>47092</v>
      </c>
      <c r="EQ81" s="14">
        <f t="shared" si="167"/>
        <v>50710</v>
      </c>
      <c r="ER81" s="14">
        <f t="shared" si="168"/>
        <v>52224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INDEX(属性投放!$BQ$6:$BQ$85,(卡牌属性!$DW81-2)*20+卡牌属性!$DX81)</f>
        <v>800</v>
      </c>
      <c r="FI81" s="14">
        <f>INDEX(属性投放!$BQ$6:$BQ$85,(卡牌属性!$DW81-2)*20+卡牌属性!$DX81)</f>
        <v>800</v>
      </c>
      <c r="FJ81" s="14">
        <f>INDEX(属性投放!$BQ$6:$BQ$85,(卡牌属性!$DW81-2)*20+卡牌属性!$DX81)</f>
        <v>800</v>
      </c>
      <c r="FK81" s="14">
        <f>INDEX(属性投放!$BQ$6:$BQ$85,(卡牌属性!$DW81-2)*20+卡牌属性!$DX81)</f>
        <v>800</v>
      </c>
      <c r="FL81" s="14">
        <f>INDEX(属性投放!$BQ$6:$BQ$85,(卡牌属性!$DW81-2)*20+卡牌属性!$DX81)</f>
        <v>800</v>
      </c>
      <c r="FM81" s="14">
        <f>INDEX(属性投放!$BR$6:$BR$85,(卡牌属性!$DW81-2)*20+卡牌属性!$DX81)</f>
        <v>400</v>
      </c>
      <c r="FN81" s="14">
        <f>INDEX(属性投放!$BR$6:$BR$85,(卡牌属性!$DW81-2)*20+卡牌属性!$DX81)</f>
        <v>400</v>
      </c>
      <c r="FO81" s="14">
        <f>INDEX(属性投放!$BR$6:$BR$85,(卡牌属性!$DW81-2)*20+卡牌属性!$DX81)</f>
        <v>400</v>
      </c>
      <c r="FP81" s="14">
        <f>INDEX(属性投放!$BR$6:$BR$85,(卡牌属性!$DW81-2)*20+卡牌属性!$DX81)</f>
        <v>400</v>
      </c>
      <c r="FQ81" s="14">
        <f>INDEX(属性投放!$BR$6:$BR$85,(卡牌属性!$DW81-2)*20+卡牌属性!$DX81)</f>
        <v>400</v>
      </c>
      <c r="FR81" s="14">
        <f>INDEX(属性投放!$BS$6:$BS$85,(卡牌属性!$DW81-2)*20+卡牌属性!$DX81)</f>
        <v>8000</v>
      </c>
      <c r="FS81" s="14">
        <f>INDEX(属性投放!$BS$6:$BS$85,(卡牌属性!$DW81-2)*20+卡牌属性!$DX81)</f>
        <v>8000</v>
      </c>
      <c r="FT81" s="14">
        <f>INDEX(属性投放!$BS$6:$BS$85,(卡牌属性!$DW81-2)*20+卡牌属性!$DX81)</f>
        <v>8000</v>
      </c>
      <c r="FU81" s="14">
        <f>INDEX(属性投放!$BS$6:$BS$85,(卡牌属性!$DW81-2)*20+卡牌属性!$DX81)</f>
        <v>8000</v>
      </c>
      <c r="FV81" s="14">
        <f>INDEX(属性投放!$BS$6:$BS$85,(卡牌属性!$DW81-2)*20+卡牌属性!$DX81)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8"/>
        <v>1102016</v>
      </c>
      <c r="GC81" s="14" t="s">
        <v>1187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9"/>
        <v>1101041</v>
      </c>
      <c r="GQ81" s="14" t="s">
        <v>1187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MATCH(HC81,属性投放!$AO$6:$AO$58,1)-1</f>
        <v>23</v>
      </c>
      <c r="HF81" s="13">
        <f>MATCH(HC81-1,属性投放!$AE$6:$AE$26,1)</f>
        <v>11</v>
      </c>
      <c r="HG81" s="13" t="str">
        <f>INDEX(属性投放!$AB$7:$AB$26,卡牌属性!HF81)</f>
        <v>大叫唤+1</v>
      </c>
      <c r="HH81" s="14">
        <f t="shared" si="200"/>
        <v>2873</v>
      </c>
      <c r="HI81" s="14">
        <f t="shared" si="201"/>
        <v>1169</v>
      </c>
      <c r="HJ81" s="14">
        <f t="shared" si="202"/>
        <v>17269</v>
      </c>
      <c r="HK81" s="14">
        <f t="shared" si="203"/>
        <v>30</v>
      </c>
      <c r="HL81" s="14">
        <f t="shared" si="204"/>
        <v>11</v>
      </c>
      <c r="HM81" s="14">
        <f t="shared" si="205"/>
        <v>189</v>
      </c>
      <c r="HN81" s="14">
        <f>HH81+HK81*($HC81-INDEX(属性投放!$AE$6:$AE$26,卡牌属性!$HF81))</f>
        <v>3023</v>
      </c>
      <c r="HO81" s="14">
        <f>HI81+HL81*($HC81-INDEX(属性投放!$AE$6:$AE$26,卡牌属性!$HF81))</f>
        <v>1224</v>
      </c>
      <c r="HP81" s="14">
        <f>HJ81+HM81*($HC81-INDEX(属性投放!$AE$6:$AE$26,卡牌属性!$HF81))</f>
        <v>18214</v>
      </c>
      <c r="HQ81" s="14">
        <f t="shared" si="206"/>
        <v>1910</v>
      </c>
      <c r="HR81" s="14">
        <f t="shared" si="207"/>
        <v>960</v>
      </c>
      <c r="HS81" s="14">
        <f t="shared" si="208"/>
        <v>15380</v>
      </c>
      <c r="HT81" s="14">
        <f>IF(COUNTIF(属性投放!$AO$7:$AO$58,"="&amp;卡牌属性!HC81)&gt;0,卡牌属性!HE81,0)</f>
        <v>0</v>
      </c>
      <c r="HU81" s="14">
        <f t="shared" si="209"/>
        <v>0</v>
      </c>
      <c r="HV81" s="14">
        <f t="shared" si="210"/>
        <v>0</v>
      </c>
      <c r="HW81" s="14">
        <f t="shared" si="211"/>
        <v>0</v>
      </c>
      <c r="HX81" s="14">
        <f>IF(COUNTIF(属性投放!$AE$6:$AE$26,"="&amp;卡牌属性!HC81)&gt;0,卡牌属性!HF81,0)</f>
        <v>0</v>
      </c>
      <c r="HY81" s="14">
        <f t="shared" si="212"/>
        <v>0</v>
      </c>
      <c r="HZ81" s="14">
        <f t="shared" si="213"/>
        <v>0</v>
      </c>
      <c r="IA81" s="14">
        <f t="shared" si="214"/>
        <v>0</v>
      </c>
      <c r="IB81" s="14">
        <f t="shared" si="215"/>
        <v>30</v>
      </c>
      <c r="IC81" s="14">
        <f t="shared" si="216"/>
        <v>11</v>
      </c>
      <c r="ID81" s="14">
        <f t="shared" si="217"/>
        <v>189</v>
      </c>
      <c r="IE81" s="14">
        <f t="shared" si="218"/>
        <v>4933</v>
      </c>
      <c r="IF81" s="14">
        <f t="shared" si="219"/>
        <v>2184</v>
      </c>
      <c r="IG81" s="14">
        <f t="shared" si="220"/>
        <v>33594</v>
      </c>
      <c r="IH81" s="14">
        <f t="shared" si="221"/>
        <v>709</v>
      </c>
      <c r="II81" s="14">
        <f t="shared" si="222"/>
        <v>0</v>
      </c>
      <c r="IJ81" s="14">
        <f t="shared" si="223"/>
        <v>0</v>
      </c>
      <c r="IK81" s="14">
        <f t="shared" si="224"/>
        <v>126604</v>
      </c>
      <c r="IL81" s="17">
        <f t="shared" si="225"/>
        <v>5.6001390161448299E-3</v>
      </c>
      <c r="IM81" s="17">
        <f t="shared" si="226"/>
        <v>0</v>
      </c>
      <c r="IN81" s="17">
        <f t="shared" si="227"/>
        <v>0</v>
      </c>
      <c r="IO81" s="23">
        <f>SUM(IH$5:IH81)</f>
        <v>35914</v>
      </c>
      <c r="IP81" s="14">
        <f>SUM(II$5:II81)</f>
        <v>53680</v>
      </c>
      <c r="IQ81" s="14">
        <f>SUM(IJ$5:IJ81)</f>
        <v>28040</v>
      </c>
      <c r="IR81" s="17">
        <f t="shared" si="228"/>
        <v>0.28367192189820228</v>
      </c>
      <c r="IS81" s="17">
        <f t="shared" si="229"/>
        <v>0.4239992417301191</v>
      </c>
      <c r="IT81" s="17">
        <f t="shared" si="230"/>
        <v>0.22147799437616505</v>
      </c>
      <c r="IW81" s="13">
        <v>77</v>
      </c>
      <c r="IX81" s="14">
        <f>MATCH(IW81-1,属性投放!$T$6:$T$66,1)</f>
        <v>9</v>
      </c>
      <c r="IY81" s="14">
        <f>MATCH(IW81-1,属性投放!$AD$7:$AD$26,1)</f>
        <v>10</v>
      </c>
      <c r="IZ81" s="14" t="str">
        <f>INDEX(属性投放!$AB$7:$AB$26,IY81)</f>
        <v>大叫唤</v>
      </c>
      <c r="JA81" s="14">
        <f t="shared" si="231"/>
        <v>1923</v>
      </c>
      <c r="JB81" s="14">
        <f t="shared" si="232"/>
        <v>911</v>
      </c>
      <c r="JC81" s="14">
        <f t="shared" si="233"/>
        <v>13535</v>
      </c>
      <c r="JD81" s="14">
        <f t="shared" si="234"/>
        <v>76</v>
      </c>
      <c r="JE81" s="14">
        <f t="shared" si="235"/>
        <v>38</v>
      </c>
      <c r="JF81" s="14">
        <f t="shared" si="236"/>
        <v>685</v>
      </c>
      <c r="JG81" s="14">
        <f>INDEX(属性投放!$DC$6:$DC$85,卡牌属性!IY81)</f>
        <v>60</v>
      </c>
      <c r="JH81" s="14">
        <f t="shared" si="237"/>
        <v>3215</v>
      </c>
      <c r="JI81" s="14">
        <f t="shared" si="238"/>
        <v>1557</v>
      </c>
      <c r="JJ81" s="14">
        <f t="shared" si="239"/>
        <v>25180</v>
      </c>
      <c r="JK81" s="14">
        <f t="shared" si="240"/>
        <v>56825</v>
      </c>
    </row>
    <row r="82" spans="31:271" ht="16.5" x14ac:dyDescent="0.2">
      <c r="AE82" s="13">
        <v>78</v>
      </c>
      <c r="AF82" s="13">
        <f t="shared" si="188"/>
        <v>4</v>
      </c>
      <c r="AG82" s="13">
        <f t="shared" si="169"/>
        <v>4</v>
      </c>
      <c r="AH82" s="13"/>
      <c r="AI82" s="13"/>
      <c r="AJ82" s="14">
        <f t="shared" si="170"/>
        <v>1101004</v>
      </c>
      <c r="AK82" s="14" t="str">
        <f t="shared" si="171"/>
        <v>项昆仑18突</v>
      </c>
      <c r="AL82" s="25" t="s">
        <v>142</v>
      </c>
      <c r="AM82" s="14">
        <v>1</v>
      </c>
      <c r="AN82" s="14">
        <f t="shared" si="172"/>
        <v>18</v>
      </c>
      <c r="AO82" s="14">
        <f>INDEX(属性投放!$DF$6:$DF$85,(卡牌属性!AG82-2)*20+卡牌属性!AN82)</f>
        <v>15883</v>
      </c>
      <c r="AP82" s="14">
        <f t="shared" si="148"/>
        <v>15883</v>
      </c>
      <c r="AQ82" s="14">
        <f t="shared" si="148"/>
        <v>15883</v>
      </c>
      <c r="AR82" s="14">
        <f t="shared" si="148"/>
        <v>15883</v>
      </c>
      <c r="AS82" s="14">
        <f t="shared" si="148"/>
        <v>15883</v>
      </c>
      <c r="AT82" s="14">
        <f>INDEX(属性投放!$DG$6:$DG$85,(卡牌属性!AG82-2)*20+卡牌属性!AN82)</f>
        <v>7860</v>
      </c>
      <c r="AU82" s="14">
        <f t="shared" si="149"/>
        <v>7860</v>
      </c>
      <c r="AV82" s="14">
        <f t="shared" si="149"/>
        <v>7860</v>
      </c>
      <c r="AW82" s="14">
        <f t="shared" si="149"/>
        <v>7860</v>
      </c>
      <c r="AX82" s="14">
        <f t="shared" si="149"/>
        <v>7860</v>
      </c>
      <c r="AY82" s="14">
        <f>INDEX(属性投放!$DH$6:$DH$85,(卡牌属性!AG82-2)*20+卡牌属性!AN82)</f>
        <v>145018</v>
      </c>
      <c r="AZ82" s="14">
        <f t="shared" si="150"/>
        <v>145018</v>
      </c>
      <c r="BA82" s="14">
        <f t="shared" si="150"/>
        <v>145018</v>
      </c>
      <c r="BB82" s="14">
        <f t="shared" si="150"/>
        <v>145018</v>
      </c>
      <c r="BC82" s="14">
        <f t="shared" si="150"/>
        <v>145018</v>
      </c>
      <c r="BD82" s="14">
        <f>INDEX(属性投放!$DL$6:$DL$85,(卡牌属性!AG82-2)*20+卡牌属性!AN82)</f>
        <v>284</v>
      </c>
      <c r="BE82" s="14">
        <f t="shared" si="151"/>
        <v>284</v>
      </c>
      <c r="BF82" s="14">
        <f t="shared" si="151"/>
        <v>284</v>
      </c>
      <c r="BG82" s="14">
        <f t="shared" si="151"/>
        <v>284</v>
      </c>
      <c r="BH82" s="14">
        <f t="shared" si="151"/>
        <v>284</v>
      </c>
      <c r="BI82" s="14">
        <f>INDEX(属性投放!$DM$6:$DM$85,(卡牌属性!AG82-2)*20+卡牌属性!AN82)</f>
        <v>142</v>
      </c>
      <c r="BJ82" s="14">
        <f t="shared" si="152"/>
        <v>142</v>
      </c>
      <c r="BK82" s="14">
        <f t="shared" si="152"/>
        <v>142</v>
      </c>
      <c r="BL82" s="14">
        <f t="shared" si="152"/>
        <v>142</v>
      </c>
      <c r="BM82" s="14">
        <f t="shared" si="152"/>
        <v>142</v>
      </c>
      <c r="BN82" s="14">
        <f>INDEX(属性投放!$DN$6:$DN$85,(卡牌属性!AG82-2)*20+卡牌属性!AN82)</f>
        <v>2845</v>
      </c>
      <c r="BO82" s="14">
        <f t="shared" si="153"/>
        <v>2845</v>
      </c>
      <c r="BP82" s="14">
        <f t="shared" si="153"/>
        <v>2845</v>
      </c>
      <c r="BQ82" s="14">
        <f t="shared" si="153"/>
        <v>2845</v>
      </c>
      <c r="BR82" s="14">
        <f t="shared" si="153"/>
        <v>2845</v>
      </c>
      <c r="BW82" s="13">
        <v>78</v>
      </c>
      <c r="BX82" s="13">
        <f t="shared" si="173"/>
        <v>4</v>
      </c>
      <c r="BY82" s="14">
        <f t="shared" si="174"/>
        <v>2</v>
      </c>
      <c r="BZ82" s="14">
        <f t="shared" si="189"/>
        <v>1102004</v>
      </c>
      <c r="CA82" s="14" t="str">
        <f t="shared" si="190"/>
        <v>唐流雨18突</v>
      </c>
      <c r="CB82" s="25" t="s">
        <v>142</v>
      </c>
      <c r="CC82" s="14">
        <v>2</v>
      </c>
      <c r="CD82" s="14">
        <f t="shared" si="175"/>
        <v>18</v>
      </c>
      <c r="CE82" s="14" t="s">
        <v>21</v>
      </c>
      <c r="CF82" s="14">
        <f>INDEX(属性投放!$AZ$6:$AZ$85,(BY82-2)*20+CD82)</f>
        <v>13385</v>
      </c>
      <c r="CG82" s="14" t="s">
        <v>22</v>
      </c>
      <c r="CH82" s="14">
        <f>INDEX(属性投放!$BA$6:$BA$85,(BY82-2)*20+CD82)</f>
        <v>6660</v>
      </c>
      <c r="CI82" s="14" t="s">
        <v>510</v>
      </c>
      <c r="CJ82" s="14">
        <f>INDEX(属性投放!$BB$6:$BB$85,(BY82-2)*20+CD82)</f>
        <v>125658</v>
      </c>
      <c r="CK82" s="14" t="s">
        <v>21</v>
      </c>
      <c r="CL82" s="14">
        <f>INDEX(属性投放!$BC$6:$BC$85,(BY82-2)*20+CD82)</f>
        <v>20</v>
      </c>
      <c r="CM82" s="14" t="s">
        <v>22</v>
      </c>
      <c r="CN82" s="14">
        <f>INDEX(属性投放!$BD$6:$BD$85,(BY82-2)*20+CD82)</f>
        <v>10</v>
      </c>
      <c r="CO82" s="14" t="s">
        <v>510</v>
      </c>
      <c r="CP82" s="14">
        <f>INDEX(属性投放!$BE$6:$BE$85,(BY82-2)*20+CD82)</f>
        <v>200</v>
      </c>
      <c r="CS82" s="13">
        <v>78</v>
      </c>
      <c r="CT82" s="13">
        <f t="shared" si="191"/>
        <v>2</v>
      </c>
      <c r="CU82" s="13">
        <f t="shared" si="192"/>
        <v>26</v>
      </c>
      <c r="CV82" s="14">
        <f t="shared" si="193"/>
        <v>3</v>
      </c>
      <c r="CW82" s="14">
        <f t="shared" si="194"/>
        <v>1102002</v>
      </c>
      <c r="CX82" s="14" t="str">
        <f>INDEX($O$6:$O$50,CT82)&amp;"-"&amp;INDEX(属性投放!$AB$7:$AB$50,CZ82)&amp;"-魂火-"&amp;DB82</f>
        <v>许褚-大叫唤+2-魂火-2</v>
      </c>
      <c r="CY82" s="25" t="s">
        <v>142</v>
      </c>
      <c r="CZ82" s="14">
        <f>INDEX(属性投放!$AM$7:$AM$58,CU82)</f>
        <v>12</v>
      </c>
      <c r="DA82" s="14" t="s">
        <v>537</v>
      </c>
      <c r="DB82" s="14">
        <f>INDEX(属性投放!$AN$7:$AN$58,CU82)</f>
        <v>2</v>
      </c>
      <c r="DC82" s="14">
        <f t="shared" si="176"/>
        <v>26</v>
      </c>
      <c r="DD82" s="14">
        <f>INDEX(属性投放!$AO$7:$AO$58,DC82)</f>
        <v>83</v>
      </c>
      <c r="DE82" s="14" t="s">
        <v>538</v>
      </c>
      <c r="DF82" s="14">
        <f>INDEX(属性投放!$BK$6:$BK$85,(CV82-2)*20+CZ82)</f>
        <v>200</v>
      </c>
      <c r="DG82" s="14">
        <f>SUMIFS(DF$5:DF82,$CT$5:$CT82,"="&amp;$CT82)</f>
        <v>2220</v>
      </c>
      <c r="DH82" s="14" t="s">
        <v>539</v>
      </c>
      <c r="DI82" s="14">
        <f>INDEX(属性投放!$BL$6:$BL$85,(CV82-2)*20+CZ82)</f>
        <v>100</v>
      </c>
      <c r="DJ82" s="14">
        <f>SUMIFS(DI$5:DI82,$CT$5:$CT82,"="&amp;$CT82)</f>
        <v>1113</v>
      </c>
      <c r="DK82" s="14" t="s">
        <v>540</v>
      </c>
      <c r="DL82" s="14">
        <f>INDEX(属性投放!$BM$6:$BM$85,(CV82-2)*20+CZ82)</f>
        <v>1800</v>
      </c>
      <c r="DM82" s="14">
        <f>SUMIFS(DL$5:DL82,$CT$5:$CT82,"="&amp;$CT82)</f>
        <v>18440</v>
      </c>
      <c r="DR82" s="14">
        <f t="shared" si="177"/>
        <v>1102004</v>
      </c>
      <c r="DS82" s="14" t="str">
        <f t="shared" si="178"/>
        <v>唐流雨18突</v>
      </c>
      <c r="DT82" s="14">
        <f t="shared" si="195"/>
        <v>4</v>
      </c>
      <c r="DU82" s="14">
        <f t="shared" si="196"/>
        <v>2</v>
      </c>
      <c r="DV82" s="14">
        <f t="shared" si="197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INDEX(属性投放!$AX$6:$AX$85,(卡牌属性!DW82-2)*20+卡牌属性!DX82)</f>
        <v>7</v>
      </c>
      <c r="EA82" s="14">
        <f>INDEX(属性投放!BQ$6:BQ$85,卡牌属性!$DY82)</f>
        <v>1400</v>
      </c>
      <c r="EB82" s="14">
        <f>INDEX(属性投放!BR$6:BR$85,卡牌属性!$DY82)</f>
        <v>700</v>
      </c>
      <c r="EC82" s="14">
        <f>INDEX(属性投放!BS$6:BS$85,卡牌属性!$DY82)</f>
        <v>14000</v>
      </c>
      <c r="ED82" s="14">
        <f t="shared" si="154"/>
        <v>6265</v>
      </c>
      <c r="EE82" s="14">
        <f t="shared" si="155"/>
        <v>6736</v>
      </c>
      <c r="EF82" s="14">
        <f t="shared" si="156"/>
        <v>6969</v>
      </c>
      <c r="EG82" s="14">
        <f t="shared" si="157"/>
        <v>6969</v>
      </c>
      <c r="EH82" s="14">
        <f t="shared" si="158"/>
        <v>8123</v>
      </c>
      <c r="EI82" s="14">
        <f t="shared" si="159"/>
        <v>2757</v>
      </c>
      <c r="EJ82" s="14">
        <f t="shared" si="160"/>
        <v>2904</v>
      </c>
      <c r="EK82" s="14">
        <f t="shared" si="161"/>
        <v>2904</v>
      </c>
      <c r="EL82" s="14">
        <f t="shared" si="162"/>
        <v>3109</v>
      </c>
      <c r="EM82" s="14">
        <f t="shared" si="163"/>
        <v>3344</v>
      </c>
      <c r="EN82" s="14">
        <f t="shared" si="164"/>
        <v>53638</v>
      </c>
      <c r="EO82" s="14">
        <f t="shared" si="165"/>
        <v>57092</v>
      </c>
      <c r="EP82" s="14">
        <f t="shared" si="166"/>
        <v>57092</v>
      </c>
      <c r="EQ82" s="14">
        <f t="shared" si="167"/>
        <v>61110</v>
      </c>
      <c r="ER82" s="14">
        <f t="shared" si="168"/>
        <v>63024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INDEX(属性投放!$BQ$6:$BQ$85,(卡牌属性!$DW82-2)*20+卡牌属性!$DX82)</f>
        <v>1400</v>
      </c>
      <c r="FI82" s="14">
        <f>INDEX(属性投放!$BQ$6:$BQ$85,(卡牌属性!$DW82-2)*20+卡牌属性!$DX82)</f>
        <v>1400</v>
      </c>
      <c r="FJ82" s="14">
        <f>INDEX(属性投放!$BQ$6:$BQ$85,(卡牌属性!$DW82-2)*20+卡牌属性!$DX82)</f>
        <v>1400</v>
      </c>
      <c r="FK82" s="14">
        <f>INDEX(属性投放!$BQ$6:$BQ$85,(卡牌属性!$DW82-2)*20+卡牌属性!$DX82)</f>
        <v>1400</v>
      </c>
      <c r="FL82" s="14">
        <f>INDEX(属性投放!$BQ$6:$BQ$85,(卡牌属性!$DW82-2)*20+卡牌属性!$DX82)</f>
        <v>1400</v>
      </c>
      <c r="FM82" s="14">
        <f>INDEX(属性投放!$BR$6:$BR$85,(卡牌属性!$DW82-2)*20+卡牌属性!$DX82)</f>
        <v>700</v>
      </c>
      <c r="FN82" s="14">
        <f>INDEX(属性投放!$BR$6:$BR$85,(卡牌属性!$DW82-2)*20+卡牌属性!$DX82)</f>
        <v>700</v>
      </c>
      <c r="FO82" s="14">
        <f>INDEX(属性投放!$BR$6:$BR$85,(卡牌属性!$DW82-2)*20+卡牌属性!$DX82)</f>
        <v>700</v>
      </c>
      <c r="FP82" s="14">
        <f>INDEX(属性投放!$BR$6:$BR$85,(卡牌属性!$DW82-2)*20+卡牌属性!$DX82)</f>
        <v>700</v>
      </c>
      <c r="FQ82" s="14">
        <f>INDEX(属性投放!$BR$6:$BR$85,(卡牌属性!$DW82-2)*20+卡牌属性!$DX82)</f>
        <v>700</v>
      </c>
      <c r="FR82" s="14">
        <f>INDEX(属性投放!$BS$6:$BS$85,(卡牌属性!$DW82-2)*20+卡牌属性!$DX82)</f>
        <v>14000</v>
      </c>
      <c r="FS82" s="14">
        <f>INDEX(属性投放!$BS$6:$BS$85,(卡牌属性!$DW82-2)*20+卡牌属性!$DX82)</f>
        <v>14000</v>
      </c>
      <c r="FT82" s="14">
        <f>INDEX(属性投放!$BS$6:$BS$85,(卡牌属性!$DW82-2)*20+卡牌属性!$DX82)</f>
        <v>14000</v>
      </c>
      <c r="FU82" s="14">
        <f>INDEX(属性投放!$BS$6:$BS$85,(卡牌属性!$DW82-2)*20+卡牌属性!$DX82)</f>
        <v>14000</v>
      </c>
      <c r="FV82" s="14">
        <f>INDEX(属性投放!$BS$6:$BS$85,(卡牌属性!$DW82-2)*20+卡牌属性!$DX82)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8"/>
        <v>1102016</v>
      </c>
      <c r="GC82" s="14" t="s">
        <v>1187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9"/>
        <v>1101041</v>
      </c>
      <c r="GQ82" s="14" t="s">
        <v>1187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MATCH(HC82,属性投放!$AO$6:$AO$58,1)-1</f>
        <v>24</v>
      </c>
      <c r="HF82" s="13">
        <f>MATCH(HC82-1,属性投放!$AE$6:$AE$26,1)</f>
        <v>11</v>
      </c>
      <c r="HG82" s="13" t="str">
        <f>INDEX(属性投放!$AB$7:$AB$26,卡牌属性!HF82)</f>
        <v>大叫唤+1</v>
      </c>
      <c r="HH82" s="14">
        <f t="shared" si="200"/>
        <v>2873</v>
      </c>
      <c r="HI82" s="14">
        <f t="shared" si="201"/>
        <v>1169</v>
      </c>
      <c r="HJ82" s="14">
        <f t="shared" si="202"/>
        <v>17269</v>
      </c>
      <c r="HK82" s="14">
        <f t="shared" si="203"/>
        <v>30</v>
      </c>
      <c r="HL82" s="14">
        <f t="shared" si="204"/>
        <v>11</v>
      </c>
      <c r="HM82" s="14">
        <f t="shared" si="205"/>
        <v>189</v>
      </c>
      <c r="HN82" s="14">
        <f>HH82+HK82*($HC82-INDEX(属性投放!$AE$6:$AE$26,卡牌属性!$HF82))</f>
        <v>3053</v>
      </c>
      <c r="HO82" s="14">
        <f>HI82+HL82*($HC82-INDEX(属性投放!$AE$6:$AE$26,卡牌属性!$HF82))</f>
        <v>1235</v>
      </c>
      <c r="HP82" s="14">
        <f>HJ82+HM82*($HC82-INDEX(属性投放!$AE$6:$AE$26,卡牌属性!$HF82))</f>
        <v>18403</v>
      </c>
      <c r="HQ82" s="14">
        <f t="shared" si="206"/>
        <v>2080</v>
      </c>
      <c r="HR82" s="14">
        <f t="shared" si="207"/>
        <v>1045</v>
      </c>
      <c r="HS82" s="14">
        <f t="shared" si="208"/>
        <v>16910</v>
      </c>
      <c r="HT82" s="14">
        <f>IF(COUNTIF(属性投放!$AO$7:$AO$58,"="&amp;卡牌属性!HC82)&gt;0,卡牌属性!HE82,0)</f>
        <v>24</v>
      </c>
      <c r="HU82" s="14">
        <f t="shared" si="209"/>
        <v>170</v>
      </c>
      <c r="HV82" s="14">
        <f t="shared" si="210"/>
        <v>85</v>
      </c>
      <c r="HW82" s="14">
        <f t="shared" si="211"/>
        <v>1530</v>
      </c>
      <c r="HX82" s="14">
        <f>IF(COUNTIF(属性投放!$AE$6:$AE$26,"="&amp;卡牌属性!HC82)&gt;0,卡牌属性!HF82,0)</f>
        <v>0</v>
      </c>
      <c r="HY82" s="14">
        <f t="shared" si="212"/>
        <v>0</v>
      </c>
      <c r="HZ82" s="14">
        <f t="shared" si="213"/>
        <v>0</v>
      </c>
      <c r="IA82" s="14">
        <f t="shared" si="214"/>
        <v>0</v>
      </c>
      <c r="IB82" s="14">
        <f t="shared" si="215"/>
        <v>30</v>
      </c>
      <c r="IC82" s="14">
        <f t="shared" si="216"/>
        <v>11</v>
      </c>
      <c r="ID82" s="14">
        <f t="shared" si="217"/>
        <v>189</v>
      </c>
      <c r="IE82" s="14">
        <f t="shared" si="218"/>
        <v>5133</v>
      </c>
      <c r="IF82" s="14">
        <f t="shared" si="219"/>
        <v>2280</v>
      </c>
      <c r="IG82" s="14">
        <f t="shared" si="220"/>
        <v>35313</v>
      </c>
      <c r="IH82" s="14">
        <f t="shared" si="221"/>
        <v>709</v>
      </c>
      <c r="II82" s="14">
        <f t="shared" si="222"/>
        <v>4930</v>
      </c>
      <c r="IJ82" s="14">
        <f t="shared" si="223"/>
        <v>0</v>
      </c>
      <c r="IK82" s="14">
        <f t="shared" si="224"/>
        <v>132243</v>
      </c>
      <c r="IL82" s="17">
        <f t="shared" si="225"/>
        <v>5.3613423772902917E-3</v>
      </c>
      <c r="IM82" s="17">
        <f t="shared" si="226"/>
        <v>3.7279856022625013E-2</v>
      </c>
      <c r="IN82" s="17">
        <f t="shared" si="227"/>
        <v>0</v>
      </c>
      <c r="IO82" s="23">
        <f>SUM(IH$5:IH82)</f>
        <v>36623</v>
      </c>
      <c r="IP82" s="14">
        <f>SUM(II$5:II82)</f>
        <v>58610</v>
      </c>
      <c r="IQ82" s="14">
        <f>SUM(IJ$5:IJ82)</f>
        <v>28040</v>
      </c>
      <c r="IR82" s="17">
        <f t="shared" si="228"/>
        <v>0.27693715357334603</v>
      </c>
      <c r="IS82" s="17">
        <f t="shared" si="229"/>
        <v>0.44319926196471648</v>
      </c>
      <c r="IT82" s="17">
        <f t="shared" si="230"/>
        <v>0.21203390727675567</v>
      </c>
      <c r="IW82" s="13">
        <v>78</v>
      </c>
      <c r="IX82" s="14">
        <f>MATCH(IW82-1,属性投放!$T$6:$T$66,1)</f>
        <v>9</v>
      </c>
      <c r="IY82" s="14">
        <f>MATCH(IW82-1,属性投放!$AD$7:$AD$26,1)</f>
        <v>10</v>
      </c>
      <c r="IZ82" s="14" t="str">
        <f>INDEX(属性投放!$AB$7:$AB$26,IY82)</f>
        <v>大叫唤</v>
      </c>
      <c r="JA82" s="14">
        <f t="shared" si="231"/>
        <v>1923</v>
      </c>
      <c r="JB82" s="14">
        <f t="shared" si="232"/>
        <v>911</v>
      </c>
      <c r="JC82" s="14">
        <f t="shared" si="233"/>
        <v>13535</v>
      </c>
      <c r="JD82" s="14">
        <f t="shared" si="234"/>
        <v>76</v>
      </c>
      <c r="JE82" s="14">
        <f t="shared" si="235"/>
        <v>38</v>
      </c>
      <c r="JF82" s="14">
        <f t="shared" si="236"/>
        <v>685</v>
      </c>
      <c r="JG82" s="14">
        <f>INDEX(属性投放!$DC$6:$DC$85,卡牌属性!IY82)</f>
        <v>60</v>
      </c>
      <c r="JH82" s="14">
        <f t="shared" si="237"/>
        <v>3291</v>
      </c>
      <c r="JI82" s="14">
        <f t="shared" si="238"/>
        <v>1595</v>
      </c>
      <c r="JJ82" s="14">
        <f t="shared" si="239"/>
        <v>25865</v>
      </c>
      <c r="JK82" s="14">
        <f t="shared" si="240"/>
        <v>58270</v>
      </c>
    </row>
    <row r="83" spans="31:271" ht="16.5" x14ac:dyDescent="0.2">
      <c r="AE83" s="13">
        <v>79</v>
      </c>
      <c r="AF83" s="13">
        <f t="shared" si="188"/>
        <v>4</v>
      </c>
      <c r="AG83" s="13">
        <f t="shared" si="169"/>
        <v>4</v>
      </c>
      <c r="AH83" s="13"/>
      <c r="AI83" s="13"/>
      <c r="AJ83" s="14">
        <f t="shared" si="170"/>
        <v>1101004</v>
      </c>
      <c r="AK83" s="14" t="str">
        <f t="shared" si="171"/>
        <v>项昆仑19突</v>
      </c>
      <c r="AL83" s="25" t="s">
        <v>142</v>
      </c>
      <c r="AM83" s="14">
        <v>1</v>
      </c>
      <c r="AN83" s="14">
        <f t="shared" si="172"/>
        <v>19</v>
      </c>
      <c r="AO83" s="14">
        <f>INDEX(属性投放!$DF$6:$DF$85,(卡牌属性!AG83-2)*20+卡牌属性!AN83)</f>
        <v>23999</v>
      </c>
      <c r="AP83" s="14">
        <f t="shared" si="148"/>
        <v>23999</v>
      </c>
      <c r="AQ83" s="14">
        <f t="shared" si="148"/>
        <v>23999</v>
      </c>
      <c r="AR83" s="14">
        <f t="shared" si="148"/>
        <v>23999</v>
      </c>
      <c r="AS83" s="14">
        <f t="shared" si="148"/>
        <v>23999</v>
      </c>
      <c r="AT83" s="14">
        <f>INDEX(属性投放!$DG$6:$DG$85,(卡牌属性!AG83-2)*20+卡牌属性!AN83)</f>
        <v>11918</v>
      </c>
      <c r="AU83" s="14">
        <f t="shared" si="149"/>
        <v>11918</v>
      </c>
      <c r="AV83" s="14">
        <f t="shared" si="149"/>
        <v>11918</v>
      </c>
      <c r="AW83" s="14">
        <f t="shared" si="149"/>
        <v>11918</v>
      </c>
      <c r="AX83" s="14">
        <f t="shared" si="149"/>
        <v>11918</v>
      </c>
      <c r="AY83" s="14">
        <f>INDEX(属性投放!$DH$6:$DH$85,(卡牌属性!AG83-2)*20+卡牌属性!AN83)</f>
        <v>226303</v>
      </c>
      <c r="AZ83" s="14">
        <f t="shared" si="150"/>
        <v>226303</v>
      </c>
      <c r="BA83" s="14">
        <f t="shared" si="150"/>
        <v>226303</v>
      </c>
      <c r="BB83" s="14">
        <f t="shared" si="150"/>
        <v>226303</v>
      </c>
      <c r="BC83" s="14">
        <f t="shared" si="150"/>
        <v>226303</v>
      </c>
      <c r="BD83" s="14">
        <f>INDEX(属性投放!$DL$6:$DL$85,(卡牌属性!AG83-2)*20+卡牌属性!AN83)</f>
        <v>516</v>
      </c>
      <c r="BE83" s="14">
        <f t="shared" si="151"/>
        <v>516</v>
      </c>
      <c r="BF83" s="14">
        <f t="shared" si="151"/>
        <v>516</v>
      </c>
      <c r="BG83" s="14">
        <f t="shared" si="151"/>
        <v>516</v>
      </c>
      <c r="BH83" s="14">
        <f t="shared" si="151"/>
        <v>516</v>
      </c>
      <c r="BI83" s="14">
        <f>INDEX(属性投放!$DM$6:$DM$85,(卡牌属性!AG83-2)*20+卡牌属性!AN83)</f>
        <v>258</v>
      </c>
      <c r="BJ83" s="14">
        <f t="shared" si="152"/>
        <v>258</v>
      </c>
      <c r="BK83" s="14">
        <f t="shared" si="152"/>
        <v>258</v>
      </c>
      <c r="BL83" s="14">
        <f t="shared" si="152"/>
        <v>258</v>
      </c>
      <c r="BM83" s="14">
        <f t="shared" si="152"/>
        <v>258</v>
      </c>
      <c r="BN83" s="14">
        <f>INDEX(属性投放!$DN$6:$DN$85,(卡牌属性!AG83-2)*20+卡牌属性!AN83)</f>
        <v>5157</v>
      </c>
      <c r="BO83" s="14">
        <f t="shared" si="153"/>
        <v>5157</v>
      </c>
      <c r="BP83" s="14">
        <f t="shared" si="153"/>
        <v>5157</v>
      </c>
      <c r="BQ83" s="14">
        <f t="shared" si="153"/>
        <v>5157</v>
      </c>
      <c r="BR83" s="14">
        <f t="shared" si="153"/>
        <v>5157</v>
      </c>
      <c r="BW83" s="13">
        <v>79</v>
      </c>
      <c r="BX83" s="13">
        <f t="shared" si="173"/>
        <v>4</v>
      </c>
      <c r="BY83" s="14">
        <f t="shared" si="174"/>
        <v>2</v>
      </c>
      <c r="BZ83" s="14">
        <f t="shared" si="189"/>
        <v>1102004</v>
      </c>
      <c r="CA83" s="14" t="str">
        <f t="shared" si="190"/>
        <v>唐流雨19突</v>
      </c>
      <c r="CB83" s="25" t="s">
        <v>142</v>
      </c>
      <c r="CC83" s="14">
        <v>2</v>
      </c>
      <c r="CD83" s="14">
        <f t="shared" si="175"/>
        <v>19</v>
      </c>
      <c r="CE83" s="14" t="s">
        <v>21</v>
      </c>
      <c r="CF83" s="14">
        <f>INDEX(属性投放!$AZ$6:$AZ$85,(BY83-2)*20+CD83)</f>
        <v>16965</v>
      </c>
      <c r="CG83" s="14" t="s">
        <v>22</v>
      </c>
      <c r="CH83" s="14">
        <f>INDEX(属性投放!$BA$6:$BA$85,(BY83-2)*20+CD83)</f>
        <v>8450</v>
      </c>
      <c r="CI83" s="14" t="s">
        <v>510</v>
      </c>
      <c r="CJ83" s="14">
        <f>INDEX(属性投放!$BB$6:$BB$85,(BY83-2)*20+CD83)</f>
        <v>161458</v>
      </c>
      <c r="CK83" s="14" t="s">
        <v>21</v>
      </c>
      <c r="CL83" s="14">
        <f>INDEX(属性投放!$BC$6:$BC$85,(BY83-2)*20+CD83)</f>
        <v>25</v>
      </c>
      <c r="CM83" s="14" t="s">
        <v>22</v>
      </c>
      <c r="CN83" s="14">
        <f>INDEX(属性投放!$BD$6:$BD$85,(BY83-2)*20+CD83)</f>
        <v>13</v>
      </c>
      <c r="CO83" s="14" t="s">
        <v>510</v>
      </c>
      <c r="CP83" s="14">
        <f>INDEX(属性投放!$BE$6:$BE$85,(BY83-2)*20+CD83)</f>
        <v>250</v>
      </c>
      <c r="CS83" s="13">
        <v>79</v>
      </c>
      <c r="CT83" s="13">
        <f t="shared" si="191"/>
        <v>2</v>
      </c>
      <c r="CU83" s="13">
        <f t="shared" si="192"/>
        <v>27</v>
      </c>
      <c r="CV83" s="14">
        <f t="shared" si="193"/>
        <v>3</v>
      </c>
      <c r="CW83" s="14">
        <f t="shared" si="194"/>
        <v>1102002</v>
      </c>
      <c r="CX83" s="14" t="str">
        <f>INDEX($O$6:$O$50,CT83)&amp;"-"&amp;INDEX(属性投放!$AB$7:$AB$50,CZ83)&amp;"-魂火-"&amp;DB83</f>
        <v>许褚-大叫唤+2-魂火-3</v>
      </c>
      <c r="CY83" s="25" t="s">
        <v>142</v>
      </c>
      <c r="CZ83" s="14">
        <f>INDEX(属性投放!$AM$7:$AM$58,CU83)</f>
        <v>12</v>
      </c>
      <c r="DA83" s="14" t="s">
        <v>537</v>
      </c>
      <c r="DB83" s="14">
        <f>INDEX(属性投放!$AN$7:$AN$58,CU83)</f>
        <v>3</v>
      </c>
      <c r="DC83" s="14">
        <f t="shared" si="176"/>
        <v>27</v>
      </c>
      <c r="DD83" s="14">
        <f>INDEX(属性投放!$AO$7:$AO$58,DC83)</f>
        <v>85</v>
      </c>
      <c r="DE83" s="14" t="s">
        <v>538</v>
      </c>
      <c r="DF83" s="14">
        <f>INDEX(属性投放!$BK$6:$BK$85,(CV83-2)*20+CZ83)</f>
        <v>200</v>
      </c>
      <c r="DG83" s="14">
        <f>SUMIFS(DF$5:DF83,$CT$5:$CT83,"="&amp;$CT83)</f>
        <v>2420</v>
      </c>
      <c r="DH83" s="14" t="s">
        <v>539</v>
      </c>
      <c r="DI83" s="14">
        <f>INDEX(属性投放!$BL$6:$BL$85,(CV83-2)*20+CZ83)</f>
        <v>100</v>
      </c>
      <c r="DJ83" s="14">
        <f>SUMIFS(DI$5:DI83,$CT$5:$CT83,"="&amp;$CT83)</f>
        <v>1213</v>
      </c>
      <c r="DK83" s="14" t="s">
        <v>540</v>
      </c>
      <c r="DL83" s="14">
        <f>INDEX(属性投放!$BM$6:$BM$85,(CV83-2)*20+CZ83)</f>
        <v>1800</v>
      </c>
      <c r="DM83" s="14">
        <f>SUMIFS(DL$5:DL83,$CT$5:$CT83,"="&amp;$CT83)</f>
        <v>20240</v>
      </c>
      <c r="DR83" s="14">
        <f t="shared" si="177"/>
        <v>1102004</v>
      </c>
      <c r="DS83" s="14" t="str">
        <f t="shared" si="178"/>
        <v>唐流雨19突</v>
      </c>
      <c r="DT83" s="14">
        <f t="shared" si="195"/>
        <v>4</v>
      </c>
      <c r="DU83" s="14">
        <f t="shared" si="196"/>
        <v>2</v>
      </c>
      <c r="DV83" s="14">
        <f t="shared" si="197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INDEX(属性投放!$AX$6:$AX$85,(卡牌属性!DW83-2)*20+卡牌属性!DX83)</f>
        <v>8</v>
      </c>
      <c r="EA83" s="14">
        <f>INDEX(属性投放!BQ$6:BQ$85,卡牌属性!$DY83)</f>
        <v>1400</v>
      </c>
      <c r="EB83" s="14">
        <f>INDEX(属性投放!BR$6:BR$85,卡牌属性!$DY83)</f>
        <v>700</v>
      </c>
      <c r="EC83" s="14">
        <f>INDEX(属性投放!BS$6:BS$85,卡牌属性!$DY83)</f>
        <v>14000</v>
      </c>
      <c r="ED83" s="14">
        <f t="shared" si="154"/>
        <v>7840</v>
      </c>
      <c r="EE83" s="14">
        <f t="shared" si="155"/>
        <v>8346</v>
      </c>
      <c r="EF83" s="14">
        <f t="shared" si="156"/>
        <v>8614</v>
      </c>
      <c r="EG83" s="14">
        <f t="shared" si="157"/>
        <v>8614</v>
      </c>
      <c r="EH83" s="14">
        <f t="shared" si="158"/>
        <v>9873</v>
      </c>
      <c r="EI83" s="14">
        <f t="shared" si="159"/>
        <v>3513</v>
      </c>
      <c r="EJ83" s="14">
        <f t="shared" si="160"/>
        <v>3674</v>
      </c>
      <c r="EK83" s="14">
        <f t="shared" si="161"/>
        <v>3674</v>
      </c>
      <c r="EL83" s="14">
        <f t="shared" si="162"/>
        <v>3900</v>
      </c>
      <c r="EM83" s="14">
        <f t="shared" si="163"/>
        <v>4149</v>
      </c>
      <c r="EN83" s="14">
        <f t="shared" si="164"/>
        <v>69038</v>
      </c>
      <c r="EO83" s="14">
        <f t="shared" si="165"/>
        <v>72842</v>
      </c>
      <c r="EP83" s="14">
        <f t="shared" si="166"/>
        <v>72842</v>
      </c>
      <c r="EQ83" s="14">
        <f t="shared" si="167"/>
        <v>77210</v>
      </c>
      <c r="ER83" s="14">
        <f t="shared" si="168"/>
        <v>79474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INDEX(属性投放!$BQ$6:$BQ$85,(卡牌属性!$DW83-2)*20+卡牌属性!$DX83)</f>
        <v>1400</v>
      </c>
      <c r="FI83" s="14">
        <f>INDEX(属性投放!$BQ$6:$BQ$85,(卡牌属性!$DW83-2)*20+卡牌属性!$DX83)</f>
        <v>1400</v>
      </c>
      <c r="FJ83" s="14">
        <f>INDEX(属性投放!$BQ$6:$BQ$85,(卡牌属性!$DW83-2)*20+卡牌属性!$DX83)</f>
        <v>1400</v>
      </c>
      <c r="FK83" s="14">
        <f>INDEX(属性投放!$BQ$6:$BQ$85,(卡牌属性!$DW83-2)*20+卡牌属性!$DX83)</f>
        <v>1400</v>
      </c>
      <c r="FL83" s="14">
        <f>INDEX(属性投放!$BQ$6:$BQ$85,(卡牌属性!$DW83-2)*20+卡牌属性!$DX83)</f>
        <v>1400</v>
      </c>
      <c r="FM83" s="14">
        <f>INDEX(属性投放!$BR$6:$BR$85,(卡牌属性!$DW83-2)*20+卡牌属性!$DX83)</f>
        <v>700</v>
      </c>
      <c r="FN83" s="14">
        <f>INDEX(属性投放!$BR$6:$BR$85,(卡牌属性!$DW83-2)*20+卡牌属性!$DX83)</f>
        <v>700</v>
      </c>
      <c r="FO83" s="14">
        <f>INDEX(属性投放!$BR$6:$BR$85,(卡牌属性!$DW83-2)*20+卡牌属性!$DX83)</f>
        <v>700</v>
      </c>
      <c r="FP83" s="14">
        <f>INDEX(属性投放!$BR$6:$BR$85,(卡牌属性!$DW83-2)*20+卡牌属性!$DX83)</f>
        <v>700</v>
      </c>
      <c r="FQ83" s="14">
        <f>INDEX(属性投放!$BR$6:$BR$85,(卡牌属性!$DW83-2)*20+卡牌属性!$DX83)</f>
        <v>700</v>
      </c>
      <c r="FR83" s="14">
        <f>INDEX(属性投放!$BS$6:$BS$85,(卡牌属性!$DW83-2)*20+卡牌属性!$DX83)</f>
        <v>14000</v>
      </c>
      <c r="FS83" s="14">
        <f>INDEX(属性投放!$BS$6:$BS$85,(卡牌属性!$DW83-2)*20+卡牌属性!$DX83)</f>
        <v>14000</v>
      </c>
      <c r="FT83" s="14">
        <f>INDEX(属性投放!$BS$6:$BS$85,(卡牌属性!$DW83-2)*20+卡牌属性!$DX83)</f>
        <v>14000</v>
      </c>
      <c r="FU83" s="14">
        <f>INDEX(属性投放!$BS$6:$BS$85,(卡牌属性!$DW83-2)*20+卡牌属性!$DX83)</f>
        <v>14000</v>
      </c>
      <c r="FV83" s="14">
        <f>INDEX(属性投放!$BS$6:$BS$85,(卡牌属性!$DW83-2)*20+卡牌属性!$DX83)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8"/>
        <v>1102016</v>
      </c>
      <c r="GC83" s="14" t="s">
        <v>1187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9"/>
        <v>1101041</v>
      </c>
      <c r="GQ83" s="14" t="s">
        <v>1187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MATCH(HC83,属性投放!$AO$6:$AO$58,1)-1</f>
        <v>24</v>
      </c>
      <c r="HF83" s="13">
        <f>MATCH(HC83-1,属性投放!$AE$6:$AE$26,1)</f>
        <v>11</v>
      </c>
      <c r="HG83" s="13" t="str">
        <f>INDEX(属性投放!$AB$7:$AB$26,卡牌属性!HF83)</f>
        <v>大叫唤+1</v>
      </c>
      <c r="HH83" s="14">
        <f t="shared" si="200"/>
        <v>2873</v>
      </c>
      <c r="HI83" s="14">
        <f t="shared" si="201"/>
        <v>1169</v>
      </c>
      <c r="HJ83" s="14">
        <f t="shared" si="202"/>
        <v>17269</v>
      </c>
      <c r="HK83" s="14">
        <f t="shared" si="203"/>
        <v>30</v>
      </c>
      <c r="HL83" s="14">
        <f t="shared" si="204"/>
        <v>11</v>
      </c>
      <c r="HM83" s="14">
        <f t="shared" si="205"/>
        <v>189</v>
      </c>
      <c r="HN83" s="14">
        <f>HH83+HK83*($HC83-INDEX(属性投放!$AE$6:$AE$26,卡牌属性!$HF83))</f>
        <v>3083</v>
      </c>
      <c r="HO83" s="14">
        <f>HI83+HL83*($HC83-INDEX(属性投放!$AE$6:$AE$26,卡牌属性!$HF83))</f>
        <v>1246</v>
      </c>
      <c r="HP83" s="14">
        <f>HJ83+HM83*($HC83-INDEX(属性投放!$AE$6:$AE$26,卡牌属性!$HF83))</f>
        <v>18592</v>
      </c>
      <c r="HQ83" s="14">
        <f t="shared" si="206"/>
        <v>2080</v>
      </c>
      <c r="HR83" s="14">
        <f t="shared" si="207"/>
        <v>1045</v>
      </c>
      <c r="HS83" s="14">
        <f t="shared" si="208"/>
        <v>16910</v>
      </c>
      <c r="HT83" s="14">
        <f>IF(COUNTIF(属性投放!$AO$7:$AO$58,"="&amp;卡牌属性!HC83)&gt;0,卡牌属性!HE83,0)</f>
        <v>0</v>
      </c>
      <c r="HU83" s="14">
        <f t="shared" si="209"/>
        <v>0</v>
      </c>
      <c r="HV83" s="14">
        <f t="shared" si="210"/>
        <v>0</v>
      </c>
      <c r="HW83" s="14">
        <f t="shared" si="211"/>
        <v>0</v>
      </c>
      <c r="HX83" s="14">
        <f>IF(COUNTIF(属性投放!$AE$6:$AE$26,"="&amp;卡牌属性!HC83)&gt;0,卡牌属性!HF83,0)</f>
        <v>0</v>
      </c>
      <c r="HY83" s="14">
        <f t="shared" si="212"/>
        <v>0</v>
      </c>
      <c r="HZ83" s="14">
        <f t="shared" si="213"/>
        <v>0</v>
      </c>
      <c r="IA83" s="14">
        <f t="shared" si="214"/>
        <v>0</v>
      </c>
      <c r="IB83" s="14">
        <f t="shared" si="215"/>
        <v>30</v>
      </c>
      <c r="IC83" s="14">
        <f t="shared" si="216"/>
        <v>11</v>
      </c>
      <c r="ID83" s="14">
        <f t="shared" si="217"/>
        <v>189</v>
      </c>
      <c r="IE83" s="14">
        <f t="shared" si="218"/>
        <v>5163</v>
      </c>
      <c r="IF83" s="14">
        <f t="shared" si="219"/>
        <v>2291</v>
      </c>
      <c r="IG83" s="14">
        <f t="shared" si="220"/>
        <v>35502</v>
      </c>
      <c r="IH83" s="14">
        <f t="shared" si="221"/>
        <v>709</v>
      </c>
      <c r="II83" s="14">
        <f t="shared" si="222"/>
        <v>0</v>
      </c>
      <c r="IJ83" s="14">
        <f t="shared" si="223"/>
        <v>0</v>
      </c>
      <c r="IK83" s="14">
        <f t="shared" si="224"/>
        <v>132952</v>
      </c>
      <c r="IL83" s="17">
        <f t="shared" si="225"/>
        <v>5.3327516697755581E-3</v>
      </c>
      <c r="IM83" s="17">
        <f t="shared" si="226"/>
        <v>0</v>
      </c>
      <c r="IN83" s="17">
        <f t="shared" si="227"/>
        <v>0</v>
      </c>
      <c r="IO83" s="23">
        <f>SUM(IH$5:IH83)</f>
        <v>37332</v>
      </c>
      <c r="IP83" s="14">
        <f>SUM(II$5:II83)</f>
        <v>58610</v>
      </c>
      <c r="IQ83" s="14">
        <f>SUM(IJ$5:IJ83)</f>
        <v>28040</v>
      </c>
      <c r="IR83" s="17">
        <f t="shared" si="228"/>
        <v>0.28079306817498045</v>
      </c>
      <c r="IS83" s="17">
        <f t="shared" si="229"/>
        <v>0.44083579036043086</v>
      </c>
      <c r="IT83" s="17">
        <f t="shared" si="230"/>
        <v>0.21090318310367651</v>
      </c>
      <c r="IW83" s="13">
        <v>79</v>
      </c>
      <c r="IX83" s="14">
        <f>MATCH(IW83-1,属性投放!$T$6:$T$66,1)</f>
        <v>10</v>
      </c>
      <c r="IY83" s="14">
        <f>MATCH(IW83-1,属性投放!$AD$7:$AD$26,1)</f>
        <v>10</v>
      </c>
      <c r="IZ83" s="14" t="str">
        <f>INDEX(属性投放!$AB$7:$AB$26,IY83)</f>
        <v>大叫唤</v>
      </c>
      <c r="JA83" s="14">
        <f t="shared" si="231"/>
        <v>1923</v>
      </c>
      <c r="JB83" s="14">
        <f t="shared" si="232"/>
        <v>911</v>
      </c>
      <c r="JC83" s="14">
        <f t="shared" si="233"/>
        <v>13535</v>
      </c>
      <c r="JD83" s="14">
        <f t="shared" si="234"/>
        <v>76</v>
      </c>
      <c r="JE83" s="14">
        <f t="shared" si="235"/>
        <v>38</v>
      </c>
      <c r="JF83" s="14">
        <f t="shared" si="236"/>
        <v>685</v>
      </c>
      <c r="JG83" s="14">
        <f>INDEX(属性投放!$DC$6:$DC$85,卡牌属性!IY83)</f>
        <v>60</v>
      </c>
      <c r="JH83" s="14">
        <f t="shared" si="237"/>
        <v>3367</v>
      </c>
      <c r="JI83" s="14">
        <f t="shared" si="238"/>
        <v>1633</v>
      </c>
      <c r="JJ83" s="14">
        <f t="shared" si="239"/>
        <v>26550</v>
      </c>
      <c r="JK83" s="14">
        <f t="shared" si="240"/>
        <v>59715</v>
      </c>
    </row>
    <row r="84" spans="31:271" ht="16.5" x14ac:dyDescent="0.2">
      <c r="AE84" s="13">
        <v>80</v>
      </c>
      <c r="AF84" s="13">
        <f t="shared" si="188"/>
        <v>4</v>
      </c>
      <c r="AG84" s="13">
        <f t="shared" si="169"/>
        <v>4</v>
      </c>
      <c r="AH84" s="13"/>
      <c r="AI84" s="13"/>
      <c r="AJ84" s="14">
        <f t="shared" si="170"/>
        <v>1101004</v>
      </c>
      <c r="AK84" s="14" t="str">
        <f t="shared" si="171"/>
        <v>项昆仑20突</v>
      </c>
      <c r="AL84" s="25" t="s">
        <v>142</v>
      </c>
      <c r="AM84" s="14">
        <v>1</v>
      </c>
      <c r="AN84" s="14">
        <f t="shared" si="172"/>
        <v>20</v>
      </c>
      <c r="AO84" s="14">
        <f>INDEX(属性投放!$DF$6:$DF$85,(卡牌属性!AG84-2)*20+卡牌属性!AN84)</f>
        <v>25104</v>
      </c>
      <c r="AP84" s="14">
        <f t="shared" si="148"/>
        <v>25104</v>
      </c>
      <c r="AQ84" s="14">
        <f t="shared" si="148"/>
        <v>25104</v>
      </c>
      <c r="AR84" s="14">
        <f t="shared" si="148"/>
        <v>25104</v>
      </c>
      <c r="AS84" s="14">
        <f t="shared" si="148"/>
        <v>25104</v>
      </c>
      <c r="AT84" s="14">
        <f>INDEX(属性投放!$DG$6:$DG$85,(卡牌属性!AG84-2)*20+卡牌属性!AN84)</f>
        <v>12471</v>
      </c>
      <c r="AU84" s="14">
        <f t="shared" si="149"/>
        <v>12471</v>
      </c>
      <c r="AV84" s="14">
        <f t="shared" si="149"/>
        <v>12471</v>
      </c>
      <c r="AW84" s="14">
        <f t="shared" si="149"/>
        <v>12471</v>
      </c>
      <c r="AX84" s="14">
        <f t="shared" si="149"/>
        <v>12471</v>
      </c>
      <c r="AY84" s="14">
        <f>INDEX(属性投放!$DH$6:$DH$85,(卡牌属性!AG84-2)*20+卡牌属性!AN84)</f>
        <v>237353</v>
      </c>
      <c r="AZ84" s="14">
        <f t="shared" si="150"/>
        <v>237353</v>
      </c>
      <c r="BA84" s="14">
        <f t="shared" si="150"/>
        <v>237353</v>
      </c>
      <c r="BB84" s="14">
        <f t="shared" si="150"/>
        <v>237353</v>
      </c>
      <c r="BC84" s="14">
        <f t="shared" si="150"/>
        <v>237353</v>
      </c>
      <c r="BD84" s="14">
        <f>INDEX(属性投放!$DL$6:$DL$85,(卡牌属性!AG84-2)*20+卡牌属性!AN84)</f>
        <v>516</v>
      </c>
      <c r="BE84" s="14">
        <f t="shared" si="151"/>
        <v>516</v>
      </c>
      <c r="BF84" s="14">
        <f t="shared" si="151"/>
        <v>516</v>
      </c>
      <c r="BG84" s="14">
        <f t="shared" si="151"/>
        <v>516</v>
      </c>
      <c r="BH84" s="14">
        <f t="shared" si="151"/>
        <v>516</v>
      </c>
      <c r="BI84" s="14">
        <f>INDEX(属性投放!$DM$6:$DM$85,(卡牌属性!AG84-2)*20+卡牌属性!AN84)</f>
        <v>258</v>
      </c>
      <c r="BJ84" s="14">
        <f t="shared" si="152"/>
        <v>258</v>
      </c>
      <c r="BK84" s="14">
        <f t="shared" si="152"/>
        <v>258</v>
      </c>
      <c r="BL84" s="14">
        <f t="shared" si="152"/>
        <v>258</v>
      </c>
      <c r="BM84" s="14">
        <f t="shared" si="152"/>
        <v>258</v>
      </c>
      <c r="BN84" s="14">
        <f>INDEX(属性投放!$DN$6:$DN$85,(卡牌属性!AG84-2)*20+卡牌属性!AN84)</f>
        <v>5157</v>
      </c>
      <c r="BO84" s="14">
        <f t="shared" si="153"/>
        <v>5157</v>
      </c>
      <c r="BP84" s="14">
        <f t="shared" si="153"/>
        <v>5157</v>
      </c>
      <c r="BQ84" s="14">
        <f t="shared" si="153"/>
        <v>5157</v>
      </c>
      <c r="BR84" s="14">
        <f t="shared" si="153"/>
        <v>5157</v>
      </c>
      <c r="BW84" s="13">
        <v>80</v>
      </c>
      <c r="BX84" s="13">
        <f t="shared" si="173"/>
        <v>4</v>
      </c>
      <c r="BY84" s="14">
        <f t="shared" si="174"/>
        <v>2</v>
      </c>
      <c r="BZ84" s="14">
        <f t="shared" si="189"/>
        <v>1102004</v>
      </c>
      <c r="CA84" s="14" t="str">
        <f t="shared" si="190"/>
        <v>唐流雨20突</v>
      </c>
      <c r="CB84" s="25" t="s">
        <v>142</v>
      </c>
      <c r="CC84" s="14">
        <v>2</v>
      </c>
      <c r="CD84" s="14">
        <f t="shared" si="175"/>
        <v>20</v>
      </c>
      <c r="CE84" s="14" t="s">
        <v>21</v>
      </c>
      <c r="CF84" s="14">
        <f>INDEX(属性投放!$AZ$6:$AZ$85,(BY84-2)*20+CD84)</f>
        <v>21115</v>
      </c>
      <c r="CG84" s="14" t="s">
        <v>22</v>
      </c>
      <c r="CH84" s="14">
        <f>INDEX(属性投放!$BA$6:$BA$85,(BY84-2)*20+CD84)</f>
        <v>10529</v>
      </c>
      <c r="CI84" s="14" t="s">
        <v>510</v>
      </c>
      <c r="CJ84" s="14">
        <f>INDEX(属性投放!$BB$6:$BB$85,(BY84-2)*20+CD84)</f>
        <v>202958</v>
      </c>
      <c r="CK84" s="14" t="s">
        <v>21</v>
      </c>
      <c r="CL84" s="14">
        <f>INDEX(属性投放!$BC$6:$BC$85,(BY84-2)*20+CD84)</f>
        <v>25</v>
      </c>
      <c r="CM84" s="14" t="s">
        <v>22</v>
      </c>
      <c r="CN84" s="14">
        <f>INDEX(属性投放!$BD$6:$BD$85,(BY84-2)*20+CD84)</f>
        <v>13</v>
      </c>
      <c r="CO84" s="14" t="s">
        <v>510</v>
      </c>
      <c r="CP84" s="14">
        <f>INDEX(属性投放!$BE$6:$BE$85,(BY84-2)*20+CD84)</f>
        <v>250</v>
      </c>
      <c r="CS84" s="13">
        <v>80</v>
      </c>
      <c r="CT84" s="13">
        <f t="shared" si="191"/>
        <v>2</v>
      </c>
      <c r="CU84" s="13">
        <f t="shared" si="192"/>
        <v>28</v>
      </c>
      <c r="CV84" s="14">
        <f t="shared" si="193"/>
        <v>3</v>
      </c>
      <c r="CW84" s="14">
        <f t="shared" si="194"/>
        <v>1102002</v>
      </c>
      <c r="CX84" s="14" t="str">
        <f>INDEX($O$6:$O$50,CT84)&amp;"-"&amp;INDEX(属性投放!$AB$7:$AB$50,CZ84)&amp;"-魂火-"&amp;DB84</f>
        <v>许褚-焦热-魂火-1</v>
      </c>
      <c r="CY84" s="25" t="s">
        <v>142</v>
      </c>
      <c r="CZ84" s="14">
        <f>INDEX(属性投放!$AM$7:$AM$58,CU84)</f>
        <v>13</v>
      </c>
      <c r="DA84" s="14" t="s">
        <v>537</v>
      </c>
      <c r="DB84" s="14">
        <f>INDEX(属性投放!$AN$7:$AN$58,CU84)</f>
        <v>1</v>
      </c>
      <c r="DC84" s="14">
        <f t="shared" si="176"/>
        <v>28</v>
      </c>
      <c r="DD84" s="14">
        <f>INDEX(属性投放!$AO$7:$AO$58,DC84)</f>
        <v>88</v>
      </c>
      <c r="DE84" s="14" t="s">
        <v>538</v>
      </c>
      <c r="DF84" s="14">
        <f>INDEX(属性投放!$BK$6:$BK$85,(CV84-2)*20+CZ84)</f>
        <v>250</v>
      </c>
      <c r="DG84" s="14">
        <f>SUMIFS(DF$5:DF84,$CT$5:$CT84,"="&amp;$CT84)</f>
        <v>2670</v>
      </c>
      <c r="DH84" s="14" t="s">
        <v>539</v>
      </c>
      <c r="DI84" s="14">
        <f>INDEX(属性投放!$BL$6:$BL$85,(CV84-2)*20+CZ84)</f>
        <v>125</v>
      </c>
      <c r="DJ84" s="14">
        <f>SUMIFS(DI$5:DI84,$CT$5:$CT84,"="&amp;$CT84)</f>
        <v>1338</v>
      </c>
      <c r="DK84" s="14" t="s">
        <v>540</v>
      </c>
      <c r="DL84" s="14">
        <f>INDEX(属性投放!$BM$6:$BM$85,(CV84-2)*20+CZ84)</f>
        <v>2500</v>
      </c>
      <c r="DM84" s="14">
        <f>SUMIFS(DL$5:DL84,$CT$5:$CT84,"="&amp;$CT84)</f>
        <v>22740</v>
      </c>
      <c r="DR84" s="14">
        <f t="shared" si="177"/>
        <v>1102004</v>
      </c>
      <c r="DS84" s="14" t="str">
        <f t="shared" si="178"/>
        <v>唐流雨20突</v>
      </c>
      <c r="DT84" s="14">
        <f t="shared" si="195"/>
        <v>4</v>
      </c>
      <c r="DU84" s="14">
        <f t="shared" si="196"/>
        <v>2</v>
      </c>
      <c r="DV84" s="14">
        <f t="shared" si="197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INDEX(属性投放!$AX$6:$AX$85,(卡牌属性!DW84-2)*20+卡牌属性!DX84)</f>
        <v>10</v>
      </c>
      <c r="EA84" s="14">
        <f>INDEX(属性投放!BQ$6:BQ$85,卡牌属性!$DY84)</f>
        <v>1500</v>
      </c>
      <c r="EB84" s="14">
        <f>INDEX(属性投放!BR$6:BR$85,卡牌属性!$DY84)</f>
        <v>750</v>
      </c>
      <c r="EC84" s="14">
        <f>INDEX(属性投放!BS$6:BS$85,卡牌属性!$DY84)</f>
        <v>15000</v>
      </c>
      <c r="ED84" s="14">
        <f t="shared" si="154"/>
        <v>9480</v>
      </c>
      <c r="EE84" s="14">
        <f t="shared" si="155"/>
        <v>10066</v>
      </c>
      <c r="EF84" s="14">
        <f t="shared" si="156"/>
        <v>10374</v>
      </c>
      <c r="EG84" s="14">
        <f t="shared" si="157"/>
        <v>10374</v>
      </c>
      <c r="EH84" s="14">
        <f t="shared" si="158"/>
        <v>11873</v>
      </c>
      <c r="EI84" s="14">
        <f t="shared" si="159"/>
        <v>4293</v>
      </c>
      <c r="EJ84" s="14">
        <f t="shared" si="160"/>
        <v>4478</v>
      </c>
      <c r="EK84" s="14">
        <f t="shared" si="161"/>
        <v>4478</v>
      </c>
      <c r="EL84" s="14">
        <f t="shared" si="162"/>
        <v>4720</v>
      </c>
      <c r="EM84" s="14">
        <f t="shared" si="163"/>
        <v>5009</v>
      </c>
      <c r="EN84" s="14">
        <f t="shared" si="164"/>
        <v>85038</v>
      </c>
      <c r="EO84" s="14">
        <f t="shared" si="165"/>
        <v>89242</v>
      </c>
      <c r="EP84" s="14">
        <f t="shared" si="166"/>
        <v>89242</v>
      </c>
      <c r="EQ84" s="14">
        <f t="shared" si="167"/>
        <v>94410</v>
      </c>
      <c r="ER84" s="14">
        <f t="shared" si="168"/>
        <v>97074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INDEX(属性投放!$BQ$6:$BQ$85,(卡牌属性!$DW84-2)*20+卡牌属性!$DX84)</f>
        <v>1500</v>
      </c>
      <c r="FI84" s="14">
        <f>INDEX(属性投放!$BQ$6:$BQ$85,(卡牌属性!$DW84-2)*20+卡牌属性!$DX84)</f>
        <v>1500</v>
      </c>
      <c r="FJ84" s="14">
        <f>INDEX(属性投放!$BQ$6:$BQ$85,(卡牌属性!$DW84-2)*20+卡牌属性!$DX84)</f>
        <v>1500</v>
      </c>
      <c r="FK84" s="14">
        <f>INDEX(属性投放!$BQ$6:$BQ$85,(卡牌属性!$DW84-2)*20+卡牌属性!$DX84)</f>
        <v>1500</v>
      </c>
      <c r="FL84" s="14">
        <f>INDEX(属性投放!$BQ$6:$BQ$85,(卡牌属性!$DW84-2)*20+卡牌属性!$DX84)</f>
        <v>1500</v>
      </c>
      <c r="FM84" s="14">
        <f>INDEX(属性投放!$BR$6:$BR$85,(卡牌属性!$DW84-2)*20+卡牌属性!$DX84)</f>
        <v>750</v>
      </c>
      <c r="FN84" s="14">
        <f>INDEX(属性投放!$BR$6:$BR$85,(卡牌属性!$DW84-2)*20+卡牌属性!$DX84)</f>
        <v>750</v>
      </c>
      <c r="FO84" s="14">
        <f>INDEX(属性投放!$BR$6:$BR$85,(卡牌属性!$DW84-2)*20+卡牌属性!$DX84)</f>
        <v>750</v>
      </c>
      <c r="FP84" s="14">
        <f>INDEX(属性投放!$BR$6:$BR$85,(卡牌属性!$DW84-2)*20+卡牌属性!$DX84)</f>
        <v>750</v>
      </c>
      <c r="FQ84" s="14">
        <f>INDEX(属性投放!$BR$6:$BR$85,(卡牌属性!$DW84-2)*20+卡牌属性!$DX84)</f>
        <v>750</v>
      </c>
      <c r="FR84" s="14">
        <f>INDEX(属性投放!$BS$6:$BS$85,(卡牌属性!$DW84-2)*20+卡牌属性!$DX84)</f>
        <v>15000</v>
      </c>
      <c r="FS84" s="14">
        <f>INDEX(属性投放!$BS$6:$BS$85,(卡牌属性!$DW84-2)*20+卡牌属性!$DX84)</f>
        <v>15000</v>
      </c>
      <c r="FT84" s="14">
        <f>INDEX(属性投放!$BS$6:$BS$85,(卡牌属性!$DW84-2)*20+卡牌属性!$DX84)</f>
        <v>15000</v>
      </c>
      <c r="FU84" s="14">
        <f>INDEX(属性投放!$BS$6:$BS$85,(卡牌属性!$DW84-2)*20+卡牌属性!$DX84)</f>
        <v>15000</v>
      </c>
      <c r="FV84" s="14">
        <f>INDEX(属性投放!$BS$6:$BS$85,(卡牌属性!$DW84-2)*20+卡牌属性!$DX84)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8"/>
        <v>1102016</v>
      </c>
      <c r="GC84" s="14" t="s">
        <v>1187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9"/>
        <v>1101041</v>
      </c>
      <c r="GQ84" s="14" t="s">
        <v>1187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MATCH(HC84,属性投放!$AO$6:$AO$58,1)-1</f>
        <v>25</v>
      </c>
      <c r="HF84" s="13">
        <f>MATCH(HC84-1,属性投放!$AE$6:$AE$26,1)</f>
        <v>11</v>
      </c>
      <c r="HG84" s="13" t="str">
        <f>INDEX(属性投放!$AB$7:$AB$26,卡牌属性!HF84)</f>
        <v>大叫唤+1</v>
      </c>
      <c r="HH84" s="14">
        <f t="shared" si="200"/>
        <v>2873</v>
      </c>
      <c r="HI84" s="14">
        <f t="shared" si="201"/>
        <v>1169</v>
      </c>
      <c r="HJ84" s="14">
        <f t="shared" si="202"/>
        <v>17269</v>
      </c>
      <c r="HK84" s="14">
        <f t="shared" si="203"/>
        <v>30</v>
      </c>
      <c r="HL84" s="14">
        <f t="shared" si="204"/>
        <v>11</v>
      </c>
      <c r="HM84" s="14">
        <f t="shared" si="205"/>
        <v>189</v>
      </c>
      <c r="HN84" s="14">
        <f>HH84+HK84*($HC84-INDEX(属性投放!$AE$6:$AE$26,卡牌属性!$HF84))</f>
        <v>3113</v>
      </c>
      <c r="HO84" s="14">
        <f>HI84+HL84*($HC84-INDEX(属性投放!$AE$6:$AE$26,卡牌属性!$HF84))</f>
        <v>1257</v>
      </c>
      <c r="HP84" s="14">
        <f>HJ84+HM84*($HC84-INDEX(属性投放!$AE$6:$AE$26,卡牌属性!$HF84))</f>
        <v>18781</v>
      </c>
      <c r="HQ84" s="14">
        <f t="shared" si="206"/>
        <v>2305</v>
      </c>
      <c r="HR84" s="14">
        <f t="shared" si="207"/>
        <v>1158</v>
      </c>
      <c r="HS84" s="14">
        <f t="shared" si="208"/>
        <v>18935</v>
      </c>
      <c r="HT84" s="14">
        <f>IF(COUNTIF(属性投放!$AO$7:$AO$58,"="&amp;卡牌属性!HC84)&gt;0,卡牌属性!HE84,0)</f>
        <v>25</v>
      </c>
      <c r="HU84" s="14">
        <f t="shared" si="209"/>
        <v>225</v>
      </c>
      <c r="HV84" s="14">
        <f t="shared" si="210"/>
        <v>113</v>
      </c>
      <c r="HW84" s="14">
        <f t="shared" si="211"/>
        <v>2025</v>
      </c>
      <c r="HX84" s="14">
        <f>IF(COUNTIF(属性投放!$AE$6:$AE$26,"="&amp;卡牌属性!HC84)&gt;0,卡牌属性!HF84,0)</f>
        <v>11</v>
      </c>
      <c r="HY84" s="14">
        <f t="shared" si="212"/>
        <v>200</v>
      </c>
      <c r="HZ84" s="14">
        <f t="shared" si="213"/>
        <v>100</v>
      </c>
      <c r="IA84" s="14">
        <f t="shared" si="214"/>
        <v>1800</v>
      </c>
      <c r="IB84" s="14">
        <f t="shared" si="215"/>
        <v>30</v>
      </c>
      <c r="IC84" s="14">
        <f t="shared" si="216"/>
        <v>11</v>
      </c>
      <c r="ID84" s="14">
        <f t="shared" si="217"/>
        <v>189</v>
      </c>
      <c r="IE84" s="14">
        <f t="shared" si="218"/>
        <v>5418</v>
      </c>
      <c r="IF84" s="14">
        <f t="shared" si="219"/>
        <v>2415</v>
      </c>
      <c r="IG84" s="14">
        <f t="shared" si="220"/>
        <v>37716</v>
      </c>
      <c r="IH84" s="14">
        <f t="shared" si="221"/>
        <v>709</v>
      </c>
      <c r="II84" s="14">
        <f t="shared" si="222"/>
        <v>6535</v>
      </c>
      <c r="IJ84" s="14">
        <f t="shared" si="223"/>
        <v>5800</v>
      </c>
      <c r="IK84" s="14">
        <f t="shared" si="224"/>
        <v>140196</v>
      </c>
      <c r="IL84" s="17">
        <f t="shared" si="225"/>
        <v>5.0572056264087421E-3</v>
      </c>
      <c r="IM84" s="17">
        <f t="shared" si="226"/>
        <v>4.6613312790664496E-2</v>
      </c>
      <c r="IN84" s="17">
        <f t="shared" si="227"/>
        <v>4.1370652515050357E-2</v>
      </c>
      <c r="IO84" s="23">
        <f>SUM(IH$5:IH84)</f>
        <v>38041</v>
      </c>
      <c r="IP84" s="14">
        <f>SUM(II$5:II84)</f>
        <v>65145</v>
      </c>
      <c r="IQ84" s="14">
        <f>SUM(IJ$5:IJ84)</f>
        <v>33840</v>
      </c>
      <c r="IR84" s="17">
        <f t="shared" si="228"/>
        <v>0.27134155040086738</v>
      </c>
      <c r="IS84" s="17">
        <f t="shared" si="229"/>
        <v>0.46467088932637163</v>
      </c>
      <c r="IT84" s="17">
        <f t="shared" si="230"/>
        <v>0.24137635881194899</v>
      </c>
      <c r="IW84" s="13">
        <v>80</v>
      </c>
      <c r="IX84" s="14">
        <f>MATCH(IW84-1,属性投放!$T$6:$T$66,1)</f>
        <v>10</v>
      </c>
      <c r="IY84" s="14">
        <f>MATCH(IW84-1,属性投放!$AD$7:$AD$26,1)</f>
        <v>10</v>
      </c>
      <c r="IZ84" s="14" t="str">
        <f>INDEX(属性投放!$AB$7:$AB$26,IY84)</f>
        <v>大叫唤</v>
      </c>
      <c r="JA84" s="14">
        <f t="shared" si="231"/>
        <v>1923</v>
      </c>
      <c r="JB84" s="14">
        <f t="shared" si="232"/>
        <v>911</v>
      </c>
      <c r="JC84" s="14">
        <f t="shared" si="233"/>
        <v>13535</v>
      </c>
      <c r="JD84" s="14">
        <f t="shared" si="234"/>
        <v>76</v>
      </c>
      <c r="JE84" s="14">
        <f t="shared" si="235"/>
        <v>38</v>
      </c>
      <c r="JF84" s="14">
        <f t="shared" si="236"/>
        <v>685</v>
      </c>
      <c r="JG84" s="14">
        <f>INDEX(属性投放!$DC$6:$DC$85,卡牌属性!IY84)</f>
        <v>60</v>
      </c>
      <c r="JH84" s="14">
        <f t="shared" si="237"/>
        <v>3443</v>
      </c>
      <c r="JI84" s="14">
        <f t="shared" si="238"/>
        <v>1671</v>
      </c>
      <c r="JJ84" s="14">
        <f t="shared" si="239"/>
        <v>27235</v>
      </c>
      <c r="JK84" s="14">
        <f t="shared" si="240"/>
        <v>61160</v>
      </c>
    </row>
    <row r="85" spans="31:271" ht="16.5" x14ac:dyDescent="0.2">
      <c r="AE85" s="13">
        <v>81</v>
      </c>
      <c r="AF85" s="13">
        <f t="shared" si="188"/>
        <v>5</v>
      </c>
      <c r="AG85" s="13">
        <f t="shared" si="169"/>
        <v>4</v>
      </c>
      <c r="AH85" s="13"/>
      <c r="AI85" s="13"/>
      <c r="AJ85" s="14">
        <f t="shared" si="170"/>
        <v>1101005</v>
      </c>
      <c r="AK85" s="14" t="str">
        <f t="shared" si="171"/>
        <v>刘羽禅1突</v>
      </c>
      <c r="AL85" s="25" t="s">
        <v>142</v>
      </c>
      <c r="AM85" s="14">
        <v>1</v>
      </c>
      <c r="AN85" s="14">
        <f t="shared" si="172"/>
        <v>1</v>
      </c>
      <c r="AO85" s="14">
        <f>INDEX(属性投放!$DF$6:$DF$85,(卡牌属性!AG85-2)*20+卡牌属性!AN85)</f>
        <v>200</v>
      </c>
      <c r="AP85" s="14">
        <f t="shared" ref="AP85:AS104" si="241">$AO85</f>
        <v>200</v>
      </c>
      <c r="AQ85" s="14">
        <f t="shared" si="241"/>
        <v>200</v>
      </c>
      <c r="AR85" s="14">
        <f t="shared" si="241"/>
        <v>200</v>
      </c>
      <c r="AS85" s="14">
        <f t="shared" si="241"/>
        <v>200</v>
      </c>
      <c r="AT85" s="14">
        <f>INDEX(属性投放!$DG$6:$DG$85,(卡牌属性!AG85-2)*20+卡牌属性!AN85)</f>
        <v>20</v>
      </c>
      <c r="AU85" s="14">
        <f t="shared" ref="AU85:AX104" si="242">$AT85</f>
        <v>20</v>
      </c>
      <c r="AV85" s="14">
        <f t="shared" si="242"/>
        <v>20</v>
      </c>
      <c r="AW85" s="14">
        <f t="shared" si="242"/>
        <v>20</v>
      </c>
      <c r="AX85" s="14">
        <f t="shared" si="242"/>
        <v>20</v>
      </c>
      <c r="AY85" s="14">
        <f>INDEX(属性投放!$DH$6:$DH$85,(卡牌属性!AG85-2)*20+卡牌属性!AN85)</f>
        <v>625</v>
      </c>
      <c r="AZ85" s="14">
        <f t="shared" ref="AZ85:BC104" si="243">$AY85</f>
        <v>625</v>
      </c>
      <c r="BA85" s="14">
        <f t="shared" si="243"/>
        <v>625</v>
      </c>
      <c r="BB85" s="14">
        <f t="shared" si="243"/>
        <v>625</v>
      </c>
      <c r="BC85" s="14">
        <f t="shared" si="243"/>
        <v>625</v>
      </c>
      <c r="BD85" s="14">
        <f>INDEX(属性投放!$DL$6:$DL$85,(卡牌属性!AG85-2)*20+卡牌属性!AN85)</f>
        <v>11</v>
      </c>
      <c r="BE85" s="14">
        <f t="shared" ref="BE85:BH104" si="244">$BD85</f>
        <v>11</v>
      </c>
      <c r="BF85" s="14">
        <f t="shared" si="244"/>
        <v>11</v>
      </c>
      <c r="BG85" s="14">
        <f t="shared" si="244"/>
        <v>11</v>
      </c>
      <c r="BH85" s="14">
        <f t="shared" si="244"/>
        <v>11</v>
      </c>
      <c r="BI85" s="14">
        <f>INDEX(属性投放!$DM$6:$DM$85,(卡牌属性!AG85-2)*20+卡牌属性!AN85)</f>
        <v>6</v>
      </c>
      <c r="BJ85" s="14">
        <f t="shared" ref="BJ85:BM104" si="245">$BI85</f>
        <v>6</v>
      </c>
      <c r="BK85" s="14">
        <f t="shared" si="245"/>
        <v>6</v>
      </c>
      <c r="BL85" s="14">
        <f t="shared" si="245"/>
        <v>6</v>
      </c>
      <c r="BM85" s="14">
        <f t="shared" si="245"/>
        <v>6</v>
      </c>
      <c r="BN85" s="14">
        <f>INDEX(属性投放!$DN$6:$DN$85,(卡牌属性!AG85-2)*20+卡牌属性!AN85)</f>
        <v>65</v>
      </c>
      <c r="BO85" s="14">
        <f t="shared" ref="BO85:BR104" si="246">$BN85</f>
        <v>65</v>
      </c>
      <c r="BP85" s="14">
        <f t="shared" si="246"/>
        <v>65</v>
      </c>
      <c r="BQ85" s="14">
        <f t="shared" si="246"/>
        <v>65</v>
      </c>
      <c r="BR85" s="14">
        <f t="shared" si="246"/>
        <v>65</v>
      </c>
      <c r="BW85" s="13">
        <v>81</v>
      </c>
      <c r="BX85" s="13">
        <f t="shared" si="173"/>
        <v>5</v>
      </c>
      <c r="BY85" s="14">
        <f t="shared" si="174"/>
        <v>3</v>
      </c>
      <c r="BZ85" s="14">
        <f t="shared" si="189"/>
        <v>1102005</v>
      </c>
      <c r="CA85" s="14" t="str">
        <f t="shared" si="190"/>
        <v>李轩辕1突</v>
      </c>
      <c r="CB85" s="25" t="s">
        <v>142</v>
      </c>
      <c r="CC85" s="14">
        <v>2</v>
      </c>
      <c r="CD85" s="14">
        <f t="shared" si="175"/>
        <v>1</v>
      </c>
      <c r="CE85" s="14" t="s">
        <v>21</v>
      </c>
      <c r="CF85" s="14">
        <f>INDEX(属性投放!$AZ$6:$AZ$85,(BY85-2)*20+CD85)</f>
        <v>150</v>
      </c>
      <c r="CG85" s="14" t="s">
        <v>22</v>
      </c>
      <c r="CH85" s="14">
        <f>INDEX(属性投放!$BA$6:$BA$85,(BY85-2)*20+CD85)</f>
        <v>10</v>
      </c>
      <c r="CI85" s="14" t="s">
        <v>510</v>
      </c>
      <c r="CJ85" s="14">
        <f>INDEX(属性投放!$BB$6:$BB$85,(BY85-2)*20+CD85)</f>
        <v>500</v>
      </c>
      <c r="CK85" s="14" t="s">
        <v>21</v>
      </c>
      <c r="CL85" s="14">
        <f>INDEX(属性投放!$BC$6:$BC$85,(BY85-2)*20+CD85)</f>
        <v>8</v>
      </c>
      <c r="CM85" s="14" t="s">
        <v>22</v>
      </c>
      <c r="CN85" s="14">
        <f>INDEX(属性投放!$BD$6:$BD$85,(BY85-2)*20+CD85)</f>
        <v>4</v>
      </c>
      <c r="CO85" s="14" t="s">
        <v>510</v>
      </c>
      <c r="CP85" s="14">
        <f>INDEX(属性投放!$BE$6:$BE$85,(BY85-2)*20+CD85)</f>
        <v>48</v>
      </c>
      <c r="CS85" s="13">
        <v>81</v>
      </c>
      <c r="CT85" s="13">
        <f t="shared" si="191"/>
        <v>2</v>
      </c>
      <c r="CU85" s="13">
        <f t="shared" si="192"/>
        <v>29</v>
      </c>
      <c r="CV85" s="14">
        <f t="shared" si="193"/>
        <v>3</v>
      </c>
      <c r="CW85" s="14">
        <f t="shared" si="194"/>
        <v>1102002</v>
      </c>
      <c r="CX85" s="14" t="str">
        <f>INDEX($O$6:$O$50,CT85)&amp;"-"&amp;INDEX(属性投放!$AB$7:$AB$50,CZ85)&amp;"-魂火-"&amp;DB85</f>
        <v>许褚-焦热-魂火-2</v>
      </c>
      <c r="CY85" s="25" t="s">
        <v>142</v>
      </c>
      <c r="CZ85" s="14">
        <f>INDEX(属性投放!$AM$7:$AM$58,CU85)</f>
        <v>13</v>
      </c>
      <c r="DA85" s="14" t="s">
        <v>537</v>
      </c>
      <c r="DB85" s="14">
        <f>INDEX(属性投放!$AN$7:$AN$58,CU85)</f>
        <v>2</v>
      </c>
      <c r="DC85" s="14">
        <f t="shared" si="176"/>
        <v>29</v>
      </c>
      <c r="DD85" s="14">
        <f>INDEX(属性投放!$AO$7:$AO$58,DC85)</f>
        <v>90</v>
      </c>
      <c r="DE85" s="14" t="s">
        <v>538</v>
      </c>
      <c r="DF85" s="14">
        <f>INDEX(属性投放!$BK$6:$BK$85,(CV85-2)*20+CZ85)</f>
        <v>250</v>
      </c>
      <c r="DG85" s="14">
        <f>SUMIFS(DF$5:DF85,$CT$5:$CT85,"="&amp;$CT85)</f>
        <v>2920</v>
      </c>
      <c r="DH85" s="14" t="s">
        <v>539</v>
      </c>
      <c r="DI85" s="14">
        <f>INDEX(属性投放!$BL$6:$BL$85,(CV85-2)*20+CZ85)</f>
        <v>125</v>
      </c>
      <c r="DJ85" s="14">
        <f>SUMIFS(DI$5:DI85,$CT$5:$CT85,"="&amp;$CT85)</f>
        <v>1463</v>
      </c>
      <c r="DK85" s="14" t="s">
        <v>540</v>
      </c>
      <c r="DL85" s="14">
        <f>INDEX(属性投放!$BM$6:$BM$85,(CV85-2)*20+CZ85)</f>
        <v>2500</v>
      </c>
      <c r="DM85" s="14">
        <f>SUMIFS(DL$5:DL85,$CT$5:$CT85,"="&amp;$CT85)</f>
        <v>25240</v>
      </c>
      <c r="DR85" s="14">
        <f t="shared" si="177"/>
        <v>1102005</v>
      </c>
      <c r="DS85" s="14" t="str">
        <f t="shared" si="178"/>
        <v>李轩辕1突</v>
      </c>
      <c r="DT85" s="14">
        <f t="shared" si="195"/>
        <v>4</v>
      </c>
      <c r="DU85" s="14">
        <f t="shared" si="196"/>
        <v>5</v>
      </c>
      <c r="DV85" s="14">
        <f t="shared" si="197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INDEX(属性投放!$AX$6:$AX$85,(卡牌属性!DW85-2)*20+卡牌属性!DX85)</f>
        <v>4</v>
      </c>
      <c r="EA85" s="14">
        <f>INDEX(属性投放!BQ$6:BQ$85,卡牌属性!$DY85)</f>
        <v>30</v>
      </c>
      <c r="EB85" s="14">
        <f>INDEX(属性投放!BR$6:BR$85,卡牌属性!$DY85)</f>
        <v>15</v>
      </c>
      <c r="EC85" s="14">
        <f>INDEX(属性投放!BS$6:BS$85,卡牌属性!$DY85)</f>
        <v>180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175</v>
      </c>
      <c r="EG85" s="14">
        <f>INDEX(属性偏向!$I$4:$I$15,卡牌属性!$DT85+EG$3)</f>
        <v>175</v>
      </c>
      <c r="EH85" s="14">
        <f>INDEX(属性偏向!$I$4:$I$15,卡牌属性!$DT85+EH$3)</f>
        <v>200</v>
      </c>
      <c r="EI85" s="14">
        <f>INDEX(属性偏向!$J$4:$J$15,卡牌属性!$DU85+EI$3)</f>
        <v>30</v>
      </c>
      <c r="EJ85" s="14">
        <f>INDEX(属性偏向!$J$4:$J$15,卡牌属性!$DU85+EJ$3)</f>
        <v>40</v>
      </c>
      <c r="EK85" s="14">
        <f>INDEX(属性偏向!$J$4:$J$15,卡牌属性!$DU85+EK$3)</f>
        <v>40</v>
      </c>
      <c r="EL85" s="14">
        <f>INDEX(属性偏向!$J$4:$J$15,卡牌属性!$DU85+EL$3)</f>
        <v>50</v>
      </c>
      <c r="EM85" s="14">
        <f>INDEX(属性偏向!$J$4:$J$15,卡牌属性!$DU85+EM$3)</f>
        <v>75</v>
      </c>
      <c r="EN85" s="14">
        <f>INDEX(属性偏向!$K$4:$K$15,卡牌属性!$DV85+EN$3)</f>
        <v>650</v>
      </c>
      <c r="EO85" s="14">
        <f>INDEX(属性偏向!$K$4:$K$15,卡牌属性!$DV85+EO$3)</f>
        <v>800</v>
      </c>
      <c r="EP85" s="14">
        <f>INDEX(属性偏向!$K$4:$K$15,卡牌属性!$DV85+EP$3)</f>
        <v>800</v>
      </c>
      <c r="EQ85" s="14">
        <f>INDEX(属性偏向!$K$4:$K$15,卡牌属性!$DV85+EQ$3)</f>
        <v>1000</v>
      </c>
      <c r="ER85" s="14">
        <f>INDEX(属性偏向!$K$4:$K$15,卡牌属性!$DV85+ER$3)</f>
        <v>1200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60</v>
      </c>
      <c r="FD85" s="14">
        <f>INDEX(属性偏向!$U$4:$U$243,(卡牌属性!$DV85-1+FD$3)*20+卡牌属性!$DX85)</f>
        <v>72</v>
      </c>
      <c r="FE85" s="14">
        <f>INDEX(属性偏向!$U$4:$U$243,(卡牌属性!$DV85-1+FE$3)*20+卡牌属性!$DX85)</f>
        <v>72</v>
      </c>
      <c r="FF85" s="14">
        <f>INDEX(属性偏向!$U$4:$U$243,(卡牌属性!$DV85-1+FF$3)*20+卡牌属性!$DX85)</f>
        <v>78</v>
      </c>
      <c r="FG85" s="14">
        <f>INDEX(属性偏向!$U$4:$U$243,(卡牌属性!$DV85-1+FG$3)*20+卡牌属性!$DX85)</f>
        <v>90</v>
      </c>
      <c r="FH85" s="14">
        <f>INDEX(属性投放!$BQ$6:$BQ$85,(卡牌属性!$DW85-2)*20+卡牌属性!$DX85)</f>
        <v>30</v>
      </c>
      <c r="FI85" s="14">
        <f>INDEX(属性投放!$BQ$6:$BQ$85,(卡牌属性!$DW85-2)*20+卡牌属性!$DX85)</f>
        <v>30</v>
      </c>
      <c r="FJ85" s="14">
        <f>INDEX(属性投放!$BQ$6:$BQ$85,(卡牌属性!$DW85-2)*20+卡牌属性!$DX85)</f>
        <v>30</v>
      </c>
      <c r="FK85" s="14">
        <f>INDEX(属性投放!$BQ$6:$BQ$85,(卡牌属性!$DW85-2)*20+卡牌属性!$DX85)</f>
        <v>30</v>
      </c>
      <c r="FL85" s="14">
        <f>INDEX(属性投放!$BQ$6:$BQ$85,(卡牌属性!$DW85-2)*20+卡牌属性!$DX85)</f>
        <v>30</v>
      </c>
      <c r="FM85" s="14">
        <f>INDEX(属性投放!$BR$6:$BR$85,(卡牌属性!$DW85-2)*20+卡牌属性!$DX85)</f>
        <v>15</v>
      </c>
      <c r="FN85" s="14">
        <f>INDEX(属性投放!$BR$6:$BR$85,(卡牌属性!$DW85-2)*20+卡牌属性!$DX85)</f>
        <v>15</v>
      </c>
      <c r="FO85" s="14">
        <f>INDEX(属性投放!$BR$6:$BR$85,(卡牌属性!$DW85-2)*20+卡牌属性!$DX85)</f>
        <v>15</v>
      </c>
      <c r="FP85" s="14">
        <f>INDEX(属性投放!$BR$6:$BR$85,(卡牌属性!$DW85-2)*20+卡牌属性!$DX85)</f>
        <v>15</v>
      </c>
      <c r="FQ85" s="14">
        <f>INDEX(属性投放!$BR$6:$BR$85,(卡牌属性!$DW85-2)*20+卡牌属性!$DX85)</f>
        <v>15</v>
      </c>
      <c r="FR85" s="14">
        <f>INDEX(属性投放!$BS$6:$BS$85,(卡牌属性!$DW85-2)*20+卡牌属性!$DX85)</f>
        <v>180</v>
      </c>
      <c r="FS85" s="14">
        <f>INDEX(属性投放!$BS$6:$BS$85,(卡牌属性!$DW85-2)*20+卡牌属性!$DX85)</f>
        <v>180</v>
      </c>
      <c r="FT85" s="14">
        <f>INDEX(属性投放!$BS$6:$BS$85,(卡牌属性!$DW85-2)*20+卡牌属性!$DX85)</f>
        <v>180</v>
      </c>
      <c r="FU85" s="14">
        <f>INDEX(属性投放!$BS$6:$BS$85,(卡牌属性!$DW85-2)*20+卡牌属性!$DX85)</f>
        <v>180</v>
      </c>
      <c r="FV85" s="14">
        <f>INDEX(属性投放!$BS$6:$BS$85,(卡牌属性!$DW85-2)*20+卡牌属性!$DX85)</f>
        <v>180</v>
      </c>
      <c r="FZ85" s="13">
        <v>81</v>
      </c>
      <c r="GA85" s="13">
        <f t="shared" si="182"/>
        <v>17</v>
      </c>
      <c r="GB85" s="14">
        <f t="shared" si="198"/>
        <v>1102017</v>
      </c>
      <c r="GC85" s="14" t="s">
        <v>1187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7">INT((GN85-1)/5)+1</f>
        <v>17</v>
      </c>
      <c r="GP85" s="14">
        <f t="shared" si="199"/>
        <v>1101016</v>
      </c>
      <c r="GQ85" s="14" t="s">
        <v>1187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MATCH(HC85,属性投放!$AO$6:$AO$58,1)-1</f>
        <v>25</v>
      </c>
      <c r="HF85" s="13">
        <f>MATCH(HC85-1,属性投放!$AE$6:$AE$26,1)</f>
        <v>12</v>
      </c>
      <c r="HG85" s="13" t="str">
        <f>INDEX(属性投放!$AB$7:$AB$26,卡牌属性!HF85)</f>
        <v>大叫唤+2</v>
      </c>
      <c r="HH85" s="14">
        <f t="shared" si="200"/>
        <v>3413</v>
      </c>
      <c r="HI85" s="14">
        <f t="shared" si="201"/>
        <v>1407</v>
      </c>
      <c r="HJ85" s="14">
        <f t="shared" si="202"/>
        <v>21481</v>
      </c>
      <c r="HK85" s="14">
        <f t="shared" si="203"/>
        <v>30</v>
      </c>
      <c r="HL85" s="14">
        <f t="shared" si="204"/>
        <v>11</v>
      </c>
      <c r="HM85" s="14">
        <f t="shared" si="205"/>
        <v>189</v>
      </c>
      <c r="HN85" s="14">
        <f>HH85+HK85*($HC85-INDEX(属性投放!$AE$6:$AE$26,卡牌属性!$HF85))</f>
        <v>3443</v>
      </c>
      <c r="HO85" s="14">
        <f>HI85+HL85*($HC85-INDEX(属性投放!$AE$6:$AE$26,卡牌属性!$HF85))</f>
        <v>1418</v>
      </c>
      <c r="HP85" s="14">
        <f>HJ85+HM85*($HC85-INDEX(属性投放!$AE$6:$AE$26,卡牌属性!$HF85))</f>
        <v>21670</v>
      </c>
      <c r="HQ85" s="14">
        <f t="shared" si="206"/>
        <v>2305</v>
      </c>
      <c r="HR85" s="14">
        <f t="shared" si="207"/>
        <v>1158</v>
      </c>
      <c r="HS85" s="14">
        <f t="shared" si="208"/>
        <v>18935</v>
      </c>
      <c r="HT85" s="14">
        <f>IF(COUNTIF(属性投放!$AO$7:$AO$58,"="&amp;卡牌属性!HC85)&gt;0,卡牌属性!HE85,0)</f>
        <v>0</v>
      </c>
      <c r="HU85" s="14">
        <f t="shared" si="209"/>
        <v>0</v>
      </c>
      <c r="HV85" s="14">
        <f t="shared" si="210"/>
        <v>0</v>
      </c>
      <c r="HW85" s="14">
        <f t="shared" si="211"/>
        <v>0</v>
      </c>
      <c r="HX85" s="14">
        <f>IF(COUNTIF(属性投放!$AE$6:$AE$26,"="&amp;卡牌属性!HC85)&gt;0,卡牌属性!HF85,0)</f>
        <v>0</v>
      </c>
      <c r="HY85" s="14">
        <f t="shared" si="212"/>
        <v>0</v>
      </c>
      <c r="HZ85" s="14">
        <f t="shared" si="213"/>
        <v>0</v>
      </c>
      <c r="IA85" s="14">
        <f t="shared" si="214"/>
        <v>0</v>
      </c>
      <c r="IB85" s="14">
        <f t="shared" si="215"/>
        <v>30</v>
      </c>
      <c r="IC85" s="14">
        <f t="shared" si="216"/>
        <v>11</v>
      </c>
      <c r="ID85" s="14">
        <f t="shared" si="217"/>
        <v>189</v>
      </c>
      <c r="IE85" s="14">
        <f t="shared" si="218"/>
        <v>5748</v>
      </c>
      <c r="IF85" s="14">
        <f t="shared" si="219"/>
        <v>2576</v>
      </c>
      <c r="IG85" s="14">
        <f t="shared" si="220"/>
        <v>40605</v>
      </c>
      <c r="IH85" s="14">
        <f t="shared" si="221"/>
        <v>709</v>
      </c>
      <c r="II85" s="14">
        <f t="shared" si="222"/>
        <v>0</v>
      </c>
      <c r="IJ85" s="14">
        <f t="shared" si="223"/>
        <v>0</v>
      </c>
      <c r="IK85" s="14">
        <f t="shared" si="224"/>
        <v>149605</v>
      </c>
      <c r="IL85" s="17">
        <f t="shared" si="225"/>
        <v>4.7391464189031115E-3</v>
      </c>
      <c r="IM85" s="17">
        <f t="shared" si="226"/>
        <v>0</v>
      </c>
      <c r="IN85" s="17">
        <f t="shared" si="227"/>
        <v>0</v>
      </c>
      <c r="IO85" s="23">
        <f>SUM(IH$5:IH85)</f>
        <v>38750</v>
      </c>
      <c r="IP85" s="14">
        <f>SUM(II$5:II85)</f>
        <v>65145</v>
      </c>
      <c r="IQ85" s="14">
        <f>SUM(IJ$5:IJ85)</f>
        <v>33840</v>
      </c>
      <c r="IR85" s="17">
        <f t="shared" si="228"/>
        <v>0.25901540723906286</v>
      </c>
      <c r="IS85" s="17">
        <f t="shared" si="229"/>
        <v>0.43544667624745165</v>
      </c>
      <c r="IT85" s="17">
        <f t="shared" si="230"/>
        <v>0.2261956485411584</v>
      </c>
      <c r="IW85" s="13">
        <v>81</v>
      </c>
      <c r="IX85" s="14">
        <f>MATCH(IW85-1,属性投放!$T$6:$T$66,1)</f>
        <v>10</v>
      </c>
      <c r="IY85" s="14">
        <f>MATCH(IW85-1,属性投放!$AD$7:$AD$26,1)</f>
        <v>11</v>
      </c>
      <c r="IZ85" s="14" t="str">
        <f>INDEX(属性投放!$AB$7:$AB$26,IY85)</f>
        <v>大叫唤+1</v>
      </c>
      <c r="JA85" s="14">
        <f t="shared" si="231"/>
        <v>2140</v>
      </c>
      <c r="JB85" s="14">
        <f t="shared" si="232"/>
        <v>1020</v>
      </c>
      <c r="JC85" s="14">
        <f t="shared" si="233"/>
        <v>15492</v>
      </c>
      <c r="JD85" s="14">
        <f t="shared" si="234"/>
        <v>76</v>
      </c>
      <c r="JE85" s="14">
        <f t="shared" si="235"/>
        <v>38</v>
      </c>
      <c r="JF85" s="14">
        <f t="shared" si="236"/>
        <v>685</v>
      </c>
      <c r="JG85" s="14">
        <f>INDEX(属性投放!$DC$6:$DC$85,卡牌属性!IY85)</f>
        <v>60</v>
      </c>
      <c r="JH85" s="14">
        <f t="shared" si="237"/>
        <v>3736</v>
      </c>
      <c r="JI85" s="14">
        <f t="shared" si="238"/>
        <v>1818</v>
      </c>
      <c r="JJ85" s="14">
        <f t="shared" si="239"/>
        <v>29877</v>
      </c>
      <c r="JK85" s="14">
        <f t="shared" si="240"/>
        <v>66737</v>
      </c>
    </row>
    <row r="86" spans="31:271" ht="16.5" x14ac:dyDescent="0.2">
      <c r="AE86" s="13">
        <v>82</v>
      </c>
      <c r="AF86" s="13">
        <f t="shared" si="188"/>
        <v>5</v>
      </c>
      <c r="AG86" s="13">
        <f t="shared" si="169"/>
        <v>4</v>
      </c>
      <c r="AH86" s="13"/>
      <c r="AI86" s="13"/>
      <c r="AJ86" s="14">
        <f t="shared" si="170"/>
        <v>1101005</v>
      </c>
      <c r="AK86" s="14" t="str">
        <f t="shared" si="171"/>
        <v>刘羽禅2突</v>
      </c>
      <c r="AL86" s="25" t="s">
        <v>142</v>
      </c>
      <c r="AM86" s="14">
        <v>1</v>
      </c>
      <c r="AN86" s="14">
        <f t="shared" si="172"/>
        <v>2</v>
      </c>
      <c r="AO86" s="14">
        <f>INDEX(属性投放!$DF$6:$DF$85,(卡牌属性!AG86-2)*20+卡牌属性!AN86)</f>
        <v>310</v>
      </c>
      <c r="AP86" s="14">
        <f t="shared" si="241"/>
        <v>310</v>
      </c>
      <c r="AQ86" s="14">
        <f t="shared" si="241"/>
        <v>310</v>
      </c>
      <c r="AR86" s="14">
        <f t="shared" si="241"/>
        <v>310</v>
      </c>
      <c r="AS86" s="14">
        <f t="shared" si="241"/>
        <v>310</v>
      </c>
      <c r="AT86" s="14">
        <f>INDEX(属性投放!$DG$6:$DG$85,(卡牌属性!AG86-2)*20+卡牌属性!AN86)</f>
        <v>80</v>
      </c>
      <c r="AU86" s="14">
        <f t="shared" si="242"/>
        <v>80</v>
      </c>
      <c r="AV86" s="14">
        <f t="shared" si="242"/>
        <v>80</v>
      </c>
      <c r="AW86" s="14">
        <f t="shared" si="242"/>
        <v>80</v>
      </c>
      <c r="AX86" s="14">
        <f t="shared" si="242"/>
        <v>80</v>
      </c>
      <c r="AY86" s="14">
        <f>INDEX(属性投放!$DH$6:$DH$85,(卡牌属性!AG86-2)*20+卡牌属性!AN86)</f>
        <v>1275</v>
      </c>
      <c r="AZ86" s="14">
        <f t="shared" si="243"/>
        <v>1275</v>
      </c>
      <c r="BA86" s="14">
        <f t="shared" si="243"/>
        <v>1275</v>
      </c>
      <c r="BB86" s="14">
        <f t="shared" si="243"/>
        <v>1275</v>
      </c>
      <c r="BC86" s="14">
        <f t="shared" si="243"/>
        <v>1275</v>
      </c>
      <c r="BD86" s="14">
        <f>INDEX(属性投放!$DL$6:$DL$85,(卡牌属性!AG86-2)*20+卡牌属性!AN86)</f>
        <v>22</v>
      </c>
      <c r="BE86" s="14">
        <f t="shared" si="244"/>
        <v>22</v>
      </c>
      <c r="BF86" s="14">
        <f t="shared" si="244"/>
        <v>22</v>
      </c>
      <c r="BG86" s="14">
        <f t="shared" si="244"/>
        <v>22</v>
      </c>
      <c r="BH86" s="14">
        <f t="shared" si="244"/>
        <v>22</v>
      </c>
      <c r="BI86" s="14">
        <f>INDEX(属性投放!$DM$6:$DM$85,(卡牌属性!AG86-2)*20+卡牌属性!AN86)</f>
        <v>11</v>
      </c>
      <c r="BJ86" s="14">
        <f t="shared" si="245"/>
        <v>11</v>
      </c>
      <c r="BK86" s="14">
        <f t="shared" si="245"/>
        <v>11</v>
      </c>
      <c r="BL86" s="14">
        <f t="shared" si="245"/>
        <v>11</v>
      </c>
      <c r="BM86" s="14">
        <f t="shared" si="245"/>
        <v>11</v>
      </c>
      <c r="BN86" s="14">
        <f>INDEX(属性投放!$DN$6:$DN$85,(卡牌属性!AG86-2)*20+卡牌属性!AN86)</f>
        <v>132</v>
      </c>
      <c r="BO86" s="14">
        <f t="shared" si="246"/>
        <v>132</v>
      </c>
      <c r="BP86" s="14">
        <f t="shared" si="246"/>
        <v>132</v>
      </c>
      <c r="BQ86" s="14">
        <f t="shared" si="246"/>
        <v>132</v>
      </c>
      <c r="BR86" s="14">
        <f t="shared" si="246"/>
        <v>132</v>
      </c>
      <c r="BW86" s="13">
        <v>82</v>
      </c>
      <c r="BX86" s="13">
        <f t="shared" si="173"/>
        <v>5</v>
      </c>
      <c r="BY86" s="14">
        <f t="shared" si="174"/>
        <v>3</v>
      </c>
      <c r="BZ86" s="14">
        <f t="shared" si="189"/>
        <v>1102005</v>
      </c>
      <c r="CA86" s="14" t="str">
        <f t="shared" si="190"/>
        <v>李轩辕2突</v>
      </c>
      <c r="CB86" s="25" t="s">
        <v>142</v>
      </c>
      <c r="CC86" s="14">
        <v>2</v>
      </c>
      <c r="CD86" s="14">
        <f t="shared" si="175"/>
        <v>2</v>
      </c>
      <c r="CE86" s="14" t="s">
        <v>21</v>
      </c>
      <c r="CF86" s="14">
        <f>INDEX(属性投放!$AZ$6:$AZ$85,(BY86-2)*20+CD86)</f>
        <v>232</v>
      </c>
      <c r="CG86" s="14" t="s">
        <v>22</v>
      </c>
      <c r="CH86" s="14">
        <f>INDEX(属性投放!$BA$6:$BA$85,(BY86-2)*20+CD86)</f>
        <v>51</v>
      </c>
      <c r="CI86" s="14" t="s">
        <v>510</v>
      </c>
      <c r="CJ86" s="14">
        <f>INDEX(属性投放!$BB$6:$BB$85,(BY86-2)*20+CD86)</f>
        <v>992</v>
      </c>
      <c r="CK86" s="14" t="s">
        <v>21</v>
      </c>
      <c r="CL86" s="14">
        <f>INDEX(属性投放!$BC$6:$BC$85,(BY86-2)*20+CD86)</f>
        <v>10</v>
      </c>
      <c r="CM86" s="14" t="s">
        <v>22</v>
      </c>
      <c r="CN86" s="14">
        <f>INDEX(属性投放!$BD$6:$BD$85,(BY86-2)*20+CD86)</f>
        <v>5</v>
      </c>
      <c r="CO86" s="14" t="s">
        <v>510</v>
      </c>
      <c r="CP86" s="14">
        <f>INDEX(属性投放!$BE$6:$BE$85,(BY86-2)*20+CD86)</f>
        <v>60</v>
      </c>
      <c r="CS86" s="13">
        <v>82</v>
      </c>
      <c r="CT86" s="13">
        <f t="shared" si="191"/>
        <v>2</v>
      </c>
      <c r="CU86" s="13">
        <f t="shared" si="192"/>
        <v>30</v>
      </c>
      <c r="CV86" s="14">
        <f t="shared" si="193"/>
        <v>3</v>
      </c>
      <c r="CW86" s="14">
        <f t="shared" si="194"/>
        <v>1102002</v>
      </c>
      <c r="CX86" s="14" t="str">
        <f>INDEX($O$6:$O$50,CT86)&amp;"-"&amp;INDEX(属性投放!$AB$7:$AB$50,CZ86)&amp;"-魂火-"&amp;DB86</f>
        <v>许褚-焦热-魂火-3</v>
      </c>
      <c r="CY86" s="25" t="s">
        <v>142</v>
      </c>
      <c r="CZ86" s="14">
        <f>INDEX(属性投放!$AM$7:$AM$58,CU86)</f>
        <v>13</v>
      </c>
      <c r="DA86" s="14" t="s">
        <v>537</v>
      </c>
      <c r="DB86" s="14">
        <f>INDEX(属性投放!$AN$7:$AN$58,CU86)</f>
        <v>3</v>
      </c>
      <c r="DC86" s="14">
        <f t="shared" si="176"/>
        <v>30</v>
      </c>
      <c r="DD86" s="14">
        <f>INDEX(属性投放!$AO$7:$AO$58,DC86)</f>
        <v>93</v>
      </c>
      <c r="DE86" s="14" t="s">
        <v>538</v>
      </c>
      <c r="DF86" s="14">
        <f>INDEX(属性投放!$BK$6:$BK$85,(CV86-2)*20+CZ86)</f>
        <v>250</v>
      </c>
      <c r="DG86" s="14">
        <f>SUMIFS(DF$5:DF86,$CT$5:$CT86,"="&amp;$CT86)</f>
        <v>3170</v>
      </c>
      <c r="DH86" s="14" t="s">
        <v>539</v>
      </c>
      <c r="DI86" s="14">
        <f>INDEX(属性投放!$BL$6:$BL$85,(CV86-2)*20+CZ86)</f>
        <v>125</v>
      </c>
      <c r="DJ86" s="14">
        <f>SUMIFS(DI$5:DI86,$CT$5:$CT86,"="&amp;$CT86)</f>
        <v>1588</v>
      </c>
      <c r="DK86" s="14" t="s">
        <v>540</v>
      </c>
      <c r="DL86" s="14">
        <f>INDEX(属性投放!$BM$6:$BM$85,(CV86-2)*20+CZ86)</f>
        <v>2500</v>
      </c>
      <c r="DM86" s="14">
        <f>SUMIFS(DL$5:DL86,$CT$5:$CT86,"="&amp;$CT86)</f>
        <v>27740</v>
      </c>
      <c r="DR86" s="14">
        <f t="shared" si="177"/>
        <v>1102005</v>
      </c>
      <c r="DS86" s="14" t="str">
        <f t="shared" si="178"/>
        <v>李轩辕2突</v>
      </c>
      <c r="DT86" s="14">
        <f t="shared" si="195"/>
        <v>4</v>
      </c>
      <c r="DU86" s="14">
        <f t="shared" si="196"/>
        <v>5</v>
      </c>
      <c r="DV86" s="14">
        <f t="shared" si="197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INDEX(属性投放!$AX$6:$AX$85,(卡牌属性!DW86-2)*20+卡牌属性!DX86)</f>
        <v>10</v>
      </c>
      <c r="EA86" s="14">
        <f>INDEX(属性投放!BQ$6:BQ$85,卡牌属性!$DY86)</f>
        <v>40</v>
      </c>
      <c r="EB86" s="14">
        <f>INDEX(属性投放!BR$6:BR$85,卡牌属性!$DY86)</f>
        <v>20</v>
      </c>
      <c r="EC86" s="14">
        <f>INDEX(属性投放!BS$6:BS$85,卡牌属性!$DY86)</f>
        <v>240</v>
      </c>
      <c r="ED86" s="14">
        <f t="shared" ref="ED86:ED104" si="248">ED85+$EA85+ES85*$DZ85</f>
        <v>179</v>
      </c>
      <c r="EE86" s="14">
        <f t="shared" ref="EE86:EE104" si="249">EE85+$EA85+ET85*$DZ85</f>
        <v>212</v>
      </c>
      <c r="EF86" s="14">
        <f t="shared" ref="EF86:EF104" si="250">EF85+$EA85+EU85*$DZ85</f>
        <v>245</v>
      </c>
      <c r="EG86" s="14">
        <f t="shared" ref="EG86:EG104" si="251">EG85+$EA85+EV85*$DZ85</f>
        <v>245</v>
      </c>
      <c r="EH86" s="14">
        <f t="shared" ref="EH86:EH104" si="252">EH85+$EA85+EW85*$DZ85</f>
        <v>278</v>
      </c>
      <c r="EI86" s="14">
        <f t="shared" ref="EI86:EI104" si="253">EI85+$EB85+EX85*$DZ85</f>
        <v>61</v>
      </c>
      <c r="EJ86" s="14">
        <f t="shared" ref="EJ86:EJ104" si="254">EJ85+$EB85+EY85*$DZ85</f>
        <v>75</v>
      </c>
      <c r="EK86" s="14">
        <f t="shared" ref="EK86:EK104" si="255">EK85+$EB85+EZ85*$DZ85</f>
        <v>75</v>
      </c>
      <c r="EL86" s="14">
        <f t="shared" ref="EL86:EL104" si="256">EL85+$EB85+FA85*$DZ85</f>
        <v>89</v>
      </c>
      <c r="EM86" s="14">
        <f t="shared" ref="EM86:EM104" si="257">EM85+$EB85+FB85*$DZ85</f>
        <v>118</v>
      </c>
      <c r="EN86" s="14">
        <f t="shared" ref="EN86:EN104" si="258">EN85+$EC85+FC85*$DZ85</f>
        <v>1070</v>
      </c>
      <c r="EO86" s="14">
        <f t="shared" ref="EO86:EO104" si="259">EO85+$EC85+FD85*$DZ85</f>
        <v>1268</v>
      </c>
      <c r="EP86" s="14">
        <f t="shared" ref="EP86:EP104" si="260">EP85+$EC85+FE85*$DZ85</f>
        <v>1268</v>
      </c>
      <c r="EQ86" s="14">
        <f t="shared" ref="EQ86:EQ104" si="261">EQ85+$EC85+FF85*$DZ85</f>
        <v>1492</v>
      </c>
      <c r="ER86" s="14">
        <f t="shared" ref="ER86:ER104" si="262">ER85+$EC85+FG85*$DZ85</f>
        <v>1740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72</v>
      </c>
      <c r="FD86" s="14">
        <f>INDEX(属性偏向!$U$4:$U$243,(卡牌属性!$DV86-1+FD$3)*20+卡牌属性!$DX86)</f>
        <v>90</v>
      </c>
      <c r="FE86" s="14">
        <f>INDEX(属性偏向!$U$4:$U$243,(卡牌属性!$DV86-1+FE$3)*20+卡牌属性!$DX86)</f>
        <v>90</v>
      </c>
      <c r="FF86" s="14">
        <f>INDEX(属性偏向!$U$4:$U$243,(卡牌属性!$DV86-1+FF$3)*20+卡牌属性!$DX86)</f>
        <v>102</v>
      </c>
      <c r="FG86" s="14">
        <f>INDEX(属性偏向!$U$4:$U$243,(卡牌属性!$DV86-1+FG$3)*20+卡牌属性!$DX86)</f>
        <v>120</v>
      </c>
      <c r="FH86" s="14">
        <f>INDEX(属性投放!$BQ$6:$BQ$85,(卡牌属性!$DW86-2)*20+卡牌属性!$DX86)</f>
        <v>40</v>
      </c>
      <c r="FI86" s="14">
        <f>INDEX(属性投放!$BQ$6:$BQ$85,(卡牌属性!$DW86-2)*20+卡牌属性!$DX86)</f>
        <v>40</v>
      </c>
      <c r="FJ86" s="14">
        <f>INDEX(属性投放!$BQ$6:$BQ$85,(卡牌属性!$DW86-2)*20+卡牌属性!$DX86)</f>
        <v>40</v>
      </c>
      <c r="FK86" s="14">
        <f>INDEX(属性投放!$BQ$6:$BQ$85,(卡牌属性!$DW86-2)*20+卡牌属性!$DX86)</f>
        <v>40</v>
      </c>
      <c r="FL86" s="14">
        <f>INDEX(属性投放!$BQ$6:$BQ$85,(卡牌属性!$DW86-2)*20+卡牌属性!$DX86)</f>
        <v>40</v>
      </c>
      <c r="FM86" s="14">
        <f>INDEX(属性投放!$BR$6:$BR$85,(卡牌属性!$DW86-2)*20+卡牌属性!$DX86)</f>
        <v>20</v>
      </c>
      <c r="FN86" s="14">
        <f>INDEX(属性投放!$BR$6:$BR$85,(卡牌属性!$DW86-2)*20+卡牌属性!$DX86)</f>
        <v>20</v>
      </c>
      <c r="FO86" s="14">
        <f>INDEX(属性投放!$BR$6:$BR$85,(卡牌属性!$DW86-2)*20+卡牌属性!$DX86)</f>
        <v>20</v>
      </c>
      <c r="FP86" s="14">
        <f>INDEX(属性投放!$BR$6:$BR$85,(卡牌属性!$DW86-2)*20+卡牌属性!$DX86)</f>
        <v>20</v>
      </c>
      <c r="FQ86" s="14">
        <f>INDEX(属性投放!$BR$6:$BR$85,(卡牌属性!$DW86-2)*20+卡牌属性!$DX86)</f>
        <v>20</v>
      </c>
      <c r="FR86" s="14">
        <f>INDEX(属性投放!$BS$6:$BS$85,(卡牌属性!$DW86-2)*20+卡牌属性!$DX86)</f>
        <v>240</v>
      </c>
      <c r="FS86" s="14">
        <f>INDEX(属性投放!$BS$6:$BS$85,(卡牌属性!$DW86-2)*20+卡牌属性!$DX86)</f>
        <v>240</v>
      </c>
      <c r="FT86" s="14">
        <f>INDEX(属性投放!$BS$6:$BS$85,(卡牌属性!$DW86-2)*20+卡牌属性!$DX86)</f>
        <v>240</v>
      </c>
      <c r="FU86" s="14">
        <f>INDEX(属性投放!$BS$6:$BS$85,(卡牌属性!$DW86-2)*20+卡牌属性!$DX86)</f>
        <v>240</v>
      </c>
      <c r="FV86" s="14">
        <f>INDEX(属性投放!$BS$6:$BS$85,(卡牌属性!$DW86-2)*20+卡牌属性!$DX86)</f>
        <v>240</v>
      </c>
      <c r="FZ86" s="13">
        <v>82</v>
      </c>
      <c r="GA86" s="13">
        <f t="shared" si="182"/>
        <v>17</v>
      </c>
      <c r="GB86" s="14">
        <f t="shared" si="198"/>
        <v>1102017</v>
      </c>
      <c r="GC86" s="14" t="s">
        <v>1187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7"/>
        <v>17</v>
      </c>
      <c r="GP86" s="14">
        <f t="shared" si="199"/>
        <v>1101016</v>
      </c>
      <c r="GQ86" s="14" t="s">
        <v>1187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MATCH(HC86,属性投放!$AO$6:$AO$58,1)-1</f>
        <v>25</v>
      </c>
      <c r="HF86" s="13">
        <f>MATCH(HC86-1,属性投放!$AE$6:$AE$26,1)</f>
        <v>12</v>
      </c>
      <c r="HG86" s="13" t="str">
        <f>INDEX(属性投放!$AB$7:$AB$26,卡牌属性!HF86)</f>
        <v>大叫唤+2</v>
      </c>
      <c r="HH86" s="14">
        <f t="shared" si="200"/>
        <v>3413</v>
      </c>
      <c r="HI86" s="14">
        <f t="shared" si="201"/>
        <v>1407</v>
      </c>
      <c r="HJ86" s="14">
        <f t="shared" si="202"/>
        <v>21481</v>
      </c>
      <c r="HK86" s="14">
        <f t="shared" si="203"/>
        <v>30</v>
      </c>
      <c r="HL86" s="14">
        <f t="shared" si="204"/>
        <v>11</v>
      </c>
      <c r="HM86" s="14">
        <f t="shared" si="205"/>
        <v>189</v>
      </c>
      <c r="HN86" s="14">
        <f>HH86+HK86*($HC86-INDEX(属性投放!$AE$6:$AE$26,卡牌属性!$HF86))</f>
        <v>3473</v>
      </c>
      <c r="HO86" s="14">
        <f>HI86+HL86*($HC86-INDEX(属性投放!$AE$6:$AE$26,卡牌属性!$HF86))</f>
        <v>1429</v>
      </c>
      <c r="HP86" s="14">
        <f>HJ86+HM86*($HC86-INDEX(属性投放!$AE$6:$AE$26,卡牌属性!$HF86))</f>
        <v>21859</v>
      </c>
      <c r="HQ86" s="14">
        <f t="shared" si="206"/>
        <v>2305</v>
      </c>
      <c r="HR86" s="14">
        <f t="shared" si="207"/>
        <v>1158</v>
      </c>
      <c r="HS86" s="14">
        <f t="shared" si="208"/>
        <v>18935</v>
      </c>
      <c r="HT86" s="14">
        <f>IF(COUNTIF(属性投放!$AO$7:$AO$58,"="&amp;卡牌属性!HC86)&gt;0,卡牌属性!HE86,0)</f>
        <v>0</v>
      </c>
      <c r="HU86" s="14">
        <f t="shared" si="209"/>
        <v>0</v>
      </c>
      <c r="HV86" s="14">
        <f t="shared" si="210"/>
        <v>0</v>
      </c>
      <c r="HW86" s="14">
        <f t="shared" si="211"/>
        <v>0</v>
      </c>
      <c r="HX86" s="14">
        <f>IF(COUNTIF(属性投放!$AE$6:$AE$26,"="&amp;卡牌属性!HC86)&gt;0,卡牌属性!HF86,0)</f>
        <v>0</v>
      </c>
      <c r="HY86" s="14">
        <f t="shared" si="212"/>
        <v>0</v>
      </c>
      <c r="HZ86" s="14">
        <f t="shared" si="213"/>
        <v>0</v>
      </c>
      <c r="IA86" s="14">
        <f t="shared" si="214"/>
        <v>0</v>
      </c>
      <c r="IB86" s="14">
        <f t="shared" si="215"/>
        <v>30</v>
      </c>
      <c r="IC86" s="14">
        <f t="shared" si="216"/>
        <v>11</v>
      </c>
      <c r="ID86" s="14">
        <f t="shared" si="217"/>
        <v>189</v>
      </c>
      <c r="IE86" s="14">
        <f t="shared" si="218"/>
        <v>5778</v>
      </c>
      <c r="IF86" s="14">
        <f t="shared" si="219"/>
        <v>2587</v>
      </c>
      <c r="IG86" s="14">
        <f t="shared" si="220"/>
        <v>40794</v>
      </c>
      <c r="IH86" s="14">
        <f t="shared" si="221"/>
        <v>709</v>
      </c>
      <c r="II86" s="14">
        <f t="shared" si="222"/>
        <v>0</v>
      </c>
      <c r="IJ86" s="14">
        <f t="shared" si="223"/>
        <v>0</v>
      </c>
      <c r="IK86" s="14">
        <f t="shared" si="224"/>
        <v>150314</v>
      </c>
      <c r="IL86" s="17">
        <f t="shared" si="225"/>
        <v>4.7167928469736683E-3</v>
      </c>
      <c r="IM86" s="17">
        <f t="shared" si="226"/>
        <v>0</v>
      </c>
      <c r="IN86" s="17">
        <f t="shared" si="227"/>
        <v>0</v>
      </c>
      <c r="IO86" s="23">
        <f>SUM(IH$5:IH86)</f>
        <v>39459</v>
      </c>
      <c r="IP86" s="14">
        <f>SUM(II$5:II86)</f>
        <v>65145</v>
      </c>
      <c r="IQ86" s="14">
        <f>SUM(IJ$5:IJ86)</f>
        <v>33840</v>
      </c>
      <c r="IR86" s="17">
        <f t="shared" si="228"/>
        <v>0.26251047806591538</v>
      </c>
      <c r="IS86" s="17">
        <f t="shared" si="229"/>
        <v>0.43339276447968916</v>
      </c>
      <c r="IT86" s="17">
        <f t="shared" si="230"/>
        <v>0.22512873052410287</v>
      </c>
      <c r="IW86" s="13">
        <v>82</v>
      </c>
      <c r="IX86" s="14">
        <f>MATCH(IW86-1,属性投放!$T$6:$T$66,1)</f>
        <v>11</v>
      </c>
      <c r="IY86" s="14">
        <f>MATCH(IW86-1,属性投放!$AD$7:$AD$26,1)</f>
        <v>11</v>
      </c>
      <c r="IZ86" s="14" t="str">
        <f>INDEX(属性投放!$AB$7:$AB$26,IY86)</f>
        <v>大叫唤+1</v>
      </c>
      <c r="JA86" s="14">
        <f t="shared" si="231"/>
        <v>2140</v>
      </c>
      <c r="JB86" s="14">
        <f t="shared" si="232"/>
        <v>1020</v>
      </c>
      <c r="JC86" s="14">
        <f t="shared" si="233"/>
        <v>15492</v>
      </c>
      <c r="JD86" s="14">
        <f t="shared" si="234"/>
        <v>76</v>
      </c>
      <c r="JE86" s="14">
        <f t="shared" si="235"/>
        <v>38</v>
      </c>
      <c r="JF86" s="14">
        <f t="shared" si="236"/>
        <v>685</v>
      </c>
      <c r="JG86" s="14">
        <f>INDEX(属性投放!$DC$6:$DC$85,卡牌属性!IY86)</f>
        <v>60</v>
      </c>
      <c r="JH86" s="14">
        <f t="shared" si="237"/>
        <v>3812</v>
      </c>
      <c r="JI86" s="14">
        <f t="shared" si="238"/>
        <v>1856</v>
      </c>
      <c r="JJ86" s="14">
        <f t="shared" si="239"/>
        <v>30562</v>
      </c>
      <c r="JK86" s="14">
        <f t="shared" si="240"/>
        <v>68182</v>
      </c>
    </row>
    <row r="87" spans="31:271" ht="16.5" x14ac:dyDescent="0.2">
      <c r="AE87" s="13">
        <v>83</v>
      </c>
      <c r="AF87" s="13">
        <f t="shared" si="188"/>
        <v>5</v>
      </c>
      <c r="AG87" s="13">
        <f t="shared" si="169"/>
        <v>4</v>
      </c>
      <c r="AH87" s="13"/>
      <c r="AI87" s="13"/>
      <c r="AJ87" s="14">
        <f t="shared" si="170"/>
        <v>1101005</v>
      </c>
      <c r="AK87" s="14" t="str">
        <f t="shared" si="171"/>
        <v>刘羽禅3突</v>
      </c>
      <c r="AL87" s="25" t="s">
        <v>142</v>
      </c>
      <c r="AM87" s="14">
        <v>1</v>
      </c>
      <c r="AN87" s="14">
        <f t="shared" si="172"/>
        <v>3</v>
      </c>
      <c r="AO87" s="14">
        <f>INDEX(属性投放!$DF$6:$DF$85,(卡牌属性!AG87-2)*20+卡牌属性!AN87)</f>
        <v>365</v>
      </c>
      <c r="AP87" s="14">
        <f t="shared" si="241"/>
        <v>365</v>
      </c>
      <c r="AQ87" s="14">
        <f t="shared" si="241"/>
        <v>365</v>
      </c>
      <c r="AR87" s="14">
        <f t="shared" si="241"/>
        <v>365</v>
      </c>
      <c r="AS87" s="14">
        <f t="shared" si="241"/>
        <v>365</v>
      </c>
      <c r="AT87" s="14">
        <f>INDEX(属性投放!$DG$6:$DG$85,(卡牌属性!AG87-2)*20+卡牌属性!AN87)</f>
        <v>109</v>
      </c>
      <c r="AU87" s="14">
        <f t="shared" si="242"/>
        <v>109</v>
      </c>
      <c r="AV87" s="14">
        <f t="shared" si="242"/>
        <v>109</v>
      </c>
      <c r="AW87" s="14">
        <f t="shared" si="242"/>
        <v>109</v>
      </c>
      <c r="AX87" s="14">
        <f t="shared" si="242"/>
        <v>109</v>
      </c>
      <c r="AY87" s="14">
        <f>INDEX(属性投放!$DH$6:$DH$85,(卡牌属性!AG87-2)*20+卡牌属性!AN87)</f>
        <v>1605</v>
      </c>
      <c r="AZ87" s="14">
        <f t="shared" si="243"/>
        <v>1605</v>
      </c>
      <c r="BA87" s="14">
        <f t="shared" si="243"/>
        <v>1605</v>
      </c>
      <c r="BB87" s="14">
        <f t="shared" si="243"/>
        <v>1605</v>
      </c>
      <c r="BC87" s="14">
        <f t="shared" si="243"/>
        <v>1605</v>
      </c>
      <c r="BD87" s="14">
        <f>INDEX(属性投放!$DL$6:$DL$85,(卡牌属性!AG87-2)*20+卡牌属性!AN87)</f>
        <v>22</v>
      </c>
      <c r="BE87" s="14">
        <f t="shared" si="244"/>
        <v>22</v>
      </c>
      <c r="BF87" s="14">
        <f t="shared" si="244"/>
        <v>22</v>
      </c>
      <c r="BG87" s="14">
        <f t="shared" si="244"/>
        <v>22</v>
      </c>
      <c r="BH87" s="14">
        <f t="shared" si="244"/>
        <v>22</v>
      </c>
      <c r="BI87" s="14">
        <f>INDEX(属性投放!$DM$6:$DM$85,(卡牌属性!AG87-2)*20+卡牌属性!AN87)</f>
        <v>11</v>
      </c>
      <c r="BJ87" s="14">
        <f t="shared" si="245"/>
        <v>11</v>
      </c>
      <c r="BK87" s="14">
        <f t="shared" si="245"/>
        <v>11</v>
      </c>
      <c r="BL87" s="14">
        <f t="shared" si="245"/>
        <v>11</v>
      </c>
      <c r="BM87" s="14">
        <f t="shared" si="245"/>
        <v>11</v>
      </c>
      <c r="BN87" s="14">
        <f>INDEX(属性投放!$DN$6:$DN$85,(卡牌属性!AG87-2)*20+卡牌属性!AN87)</f>
        <v>132</v>
      </c>
      <c r="BO87" s="14">
        <f t="shared" si="246"/>
        <v>132</v>
      </c>
      <c r="BP87" s="14">
        <f t="shared" si="246"/>
        <v>132</v>
      </c>
      <c r="BQ87" s="14">
        <f t="shared" si="246"/>
        <v>132</v>
      </c>
      <c r="BR87" s="14">
        <f t="shared" si="246"/>
        <v>132</v>
      </c>
      <c r="BW87" s="13">
        <v>83</v>
      </c>
      <c r="BX87" s="13">
        <f t="shared" si="173"/>
        <v>5</v>
      </c>
      <c r="BY87" s="14">
        <f t="shared" si="174"/>
        <v>3</v>
      </c>
      <c r="BZ87" s="14">
        <f t="shared" si="189"/>
        <v>1102005</v>
      </c>
      <c r="CA87" s="14" t="str">
        <f t="shared" si="190"/>
        <v>李轩辕3突</v>
      </c>
      <c r="CB87" s="25" t="s">
        <v>142</v>
      </c>
      <c r="CC87" s="14">
        <v>2</v>
      </c>
      <c r="CD87" s="14">
        <f t="shared" si="175"/>
        <v>3</v>
      </c>
      <c r="CE87" s="14" t="s">
        <v>21</v>
      </c>
      <c r="CF87" s="14">
        <f>INDEX(属性投放!$AZ$6:$AZ$85,(BY87-2)*20+CD87)</f>
        <v>422</v>
      </c>
      <c r="CG87" s="14" t="s">
        <v>22</v>
      </c>
      <c r="CH87" s="14">
        <f>INDEX(属性投放!$BA$6:$BA$85,(BY87-2)*20+CD87)</f>
        <v>147</v>
      </c>
      <c r="CI87" s="14" t="s">
        <v>510</v>
      </c>
      <c r="CJ87" s="14">
        <f>INDEX(属性投放!$BB$6:$BB$85,(BY87-2)*20+CD87)</f>
        <v>2132</v>
      </c>
      <c r="CK87" s="14" t="s">
        <v>21</v>
      </c>
      <c r="CL87" s="14">
        <f>INDEX(属性投放!$BC$6:$BC$85,(BY87-2)*20+CD87)</f>
        <v>10</v>
      </c>
      <c r="CM87" s="14" t="s">
        <v>22</v>
      </c>
      <c r="CN87" s="14">
        <f>INDEX(属性投放!$BD$6:$BD$85,(BY87-2)*20+CD87)</f>
        <v>5</v>
      </c>
      <c r="CO87" s="14" t="s">
        <v>510</v>
      </c>
      <c r="CP87" s="14">
        <f>INDEX(属性投放!$BE$6:$BE$85,(BY87-2)*20+CD87)</f>
        <v>60</v>
      </c>
      <c r="CS87" s="13">
        <v>83</v>
      </c>
      <c r="CT87" s="13">
        <f t="shared" si="191"/>
        <v>2</v>
      </c>
      <c r="CU87" s="13">
        <f t="shared" si="192"/>
        <v>31</v>
      </c>
      <c r="CV87" s="14">
        <f t="shared" si="193"/>
        <v>3</v>
      </c>
      <c r="CW87" s="14">
        <f t="shared" si="194"/>
        <v>1102002</v>
      </c>
      <c r="CX87" s="14" t="str">
        <f>INDEX($O$6:$O$50,CT87)&amp;"-"&amp;INDEX(属性投放!$AB$7:$AB$50,CZ87)&amp;"-魂火-"&amp;DB87</f>
        <v>许褚-焦热+1-魂火-1</v>
      </c>
      <c r="CY87" s="25" t="s">
        <v>142</v>
      </c>
      <c r="CZ87" s="14">
        <f>INDEX(属性投放!$AM$7:$AM$58,CU87)</f>
        <v>14</v>
      </c>
      <c r="DA87" s="14" t="s">
        <v>537</v>
      </c>
      <c r="DB87" s="14">
        <f>INDEX(属性投放!$AN$7:$AN$58,CU87)</f>
        <v>1</v>
      </c>
      <c r="DC87" s="14">
        <f t="shared" si="176"/>
        <v>31</v>
      </c>
      <c r="DD87" s="14">
        <f>INDEX(属性投放!$AO$7:$AO$58,DC87)</f>
        <v>95</v>
      </c>
      <c r="DE87" s="14" t="s">
        <v>538</v>
      </c>
      <c r="DF87" s="14">
        <f>INDEX(属性投放!$BK$6:$BK$85,(CV87-2)*20+CZ87)</f>
        <v>300</v>
      </c>
      <c r="DG87" s="14">
        <f>SUMIFS(DF$5:DF87,$CT$5:$CT87,"="&amp;$CT87)</f>
        <v>3470</v>
      </c>
      <c r="DH87" s="14" t="s">
        <v>539</v>
      </c>
      <c r="DI87" s="14">
        <f>INDEX(属性投放!$BL$6:$BL$85,(CV87-2)*20+CZ87)</f>
        <v>150</v>
      </c>
      <c r="DJ87" s="14">
        <f>SUMIFS(DI$5:DI87,$CT$5:$CT87,"="&amp;$CT87)</f>
        <v>1738</v>
      </c>
      <c r="DK87" s="14" t="s">
        <v>540</v>
      </c>
      <c r="DL87" s="14">
        <f>INDEX(属性投放!$BM$6:$BM$85,(CV87-2)*20+CZ87)</f>
        <v>3000</v>
      </c>
      <c r="DM87" s="14">
        <f>SUMIFS(DL$5:DL87,$CT$5:$CT87,"="&amp;$CT87)</f>
        <v>30740</v>
      </c>
      <c r="DR87" s="14">
        <f t="shared" si="177"/>
        <v>1102005</v>
      </c>
      <c r="DS87" s="14" t="str">
        <f t="shared" si="178"/>
        <v>李轩辕3突</v>
      </c>
      <c r="DT87" s="14">
        <f t="shared" si="195"/>
        <v>4</v>
      </c>
      <c r="DU87" s="14">
        <f t="shared" si="196"/>
        <v>5</v>
      </c>
      <c r="DV87" s="14">
        <f t="shared" si="197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INDEX(属性投放!$AX$6:$AX$85,(卡牌属性!DW87-2)*20+卡牌属性!DX87)</f>
        <v>10</v>
      </c>
      <c r="EA87" s="14">
        <f>INDEX(属性投放!BQ$6:BQ$85,卡牌属性!$DY87)</f>
        <v>70</v>
      </c>
      <c r="EB87" s="14">
        <f>INDEX(属性投放!BR$6:BR$85,卡牌属性!$DY87)</f>
        <v>35</v>
      </c>
      <c r="EC87" s="14">
        <f>INDEX(属性投放!BS$6:BS$85,卡牌属性!$DY87)</f>
        <v>420</v>
      </c>
      <c r="ED87" s="14">
        <f t="shared" si="248"/>
        <v>299</v>
      </c>
      <c r="EE87" s="14">
        <f t="shared" si="249"/>
        <v>352</v>
      </c>
      <c r="EF87" s="14">
        <f t="shared" si="250"/>
        <v>405</v>
      </c>
      <c r="EG87" s="14">
        <f t="shared" si="251"/>
        <v>405</v>
      </c>
      <c r="EH87" s="14">
        <f t="shared" si="252"/>
        <v>468</v>
      </c>
      <c r="EI87" s="14">
        <f t="shared" si="253"/>
        <v>131</v>
      </c>
      <c r="EJ87" s="14">
        <f t="shared" si="254"/>
        <v>155</v>
      </c>
      <c r="EK87" s="14">
        <f t="shared" si="255"/>
        <v>155</v>
      </c>
      <c r="EL87" s="14">
        <f t="shared" si="256"/>
        <v>189</v>
      </c>
      <c r="EM87" s="14">
        <f t="shared" si="257"/>
        <v>228</v>
      </c>
      <c r="EN87" s="14">
        <f t="shared" si="258"/>
        <v>2030</v>
      </c>
      <c r="EO87" s="14">
        <f t="shared" si="259"/>
        <v>2408</v>
      </c>
      <c r="EP87" s="14">
        <f t="shared" si="260"/>
        <v>2408</v>
      </c>
      <c r="EQ87" s="14">
        <f t="shared" si="261"/>
        <v>2752</v>
      </c>
      <c r="ER87" s="14">
        <f t="shared" si="262"/>
        <v>3180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72</v>
      </c>
      <c r="FD87" s="14">
        <f>INDEX(属性偏向!$U$4:$U$243,(卡牌属性!$DV87-1+FD$3)*20+卡牌属性!$DX87)</f>
        <v>90</v>
      </c>
      <c r="FE87" s="14">
        <f>INDEX(属性偏向!$U$4:$U$243,(卡牌属性!$DV87-1+FE$3)*20+卡牌属性!$DX87)</f>
        <v>90</v>
      </c>
      <c r="FF87" s="14">
        <f>INDEX(属性偏向!$U$4:$U$243,(卡牌属性!$DV87-1+FF$3)*20+卡牌属性!$DX87)</f>
        <v>102</v>
      </c>
      <c r="FG87" s="14">
        <f>INDEX(属性偏向!$U$4:$U$243,(卡牌属性!$DV87-1+FG$3)*20+卡牌属性!$DX87)</f>
        <v>120</v>
      </c>
      <c r="FH87" s="14">
        <f>INDEX(属性投放!$BQ$6:$BQ$85,(卡牌属性!$DW87-2)*20+卡牌属性!$DX87)</f>
        <v>70</v>
      </c>
      <c r="FI87" s="14">
        <f>INDEX(属性投放!$BQ$6:$BQ$85,(卡牌属性!$DW87-2)*20+卡牌属性!$DX87)</f>
        <v>70</v>
      </c>
      <c r="FJ87" s="14">
        <f>INDEX(属性投放!$BQ$6:$BQ$85,(卡牌属性!$DW87-2)*20+卡牌属性!$DX87)</f>
        <v>70</v>
      </c>
      <c r="FK87" s="14">
        <f>INDEX(属性投放!$BQ$6:$BQ$85,(卡牌属性!$DW87-2)*20+卡牌属性!$DX87)</f>
        <v>70</v>
      </c>
      <c r="FL87" s="14">
        <f>INDEX(属性投放!$BQ$6:$BQ$85,(卡牌属性!$DW87-2)*20+卡牌属性!$DX87)</f>
        <v>70</v>
      </c>
      <c r="FM87" s="14">
        <f>INDEX(属性投放!$BR$6:$BR$85,(卡牌属性!$DW87-2)*20+卡牌属性!$DX87)</f>
        <v>35</v>
      </c>
      <c r="FN87" s="14">
        <f>INDEX(属性投放!$BR$6:$BR$85,(卡牌属性!$DW87-2)*20+卡牌属性!$DX87)</f>
        <v>35</v>
      </c>
      <c r="FO87" s="14">
        <f>INDEX(属性投放!$BR$6:$BR$85,(卡牌属性!$DW87-2)*20+卡牌属性!$DX87)</f>
        <v>35</v>
      </c>
      <c r="FP87" s="14">
        <f>INDEX(属性投放!$BR$6:$BR$85,(卡牌属性!$DW87-2)*20+卡牌属性!$DX87)</f>
        <v>35</v>
      </c>
      <c r="FQ87" s="14">
        <f>INDEX(属性投放!$BR$6:$BR$85,(卡牌属性!$DW87-2)*20+卡牌属性!$DX87)</f>
        <v>35</v>
      </c>
      <c r="FR87" s="14">
        <f>INDEX(属性投放!$BS$6:$BS$85,(卡牌属性!$DW87-2)*20+卡牌属性!$DX87)</f>
        <v>420</v>
      </c>
      <c r="FS87" s="14">
        <f>INDEX(属性投放!$BS$6:$BS$85,(卡牌属性!$DW87-2)*20+卡牌属性!$DX87)</f>
        <v>420</v>
      </c>
      <c r="FT87" s="14">
        <f>INDEX(属性投放!$BS$6:$BS$85,(卡牌属性!$DW87-2)*20+卡牌属性!$DX87)</f>
        <v>420</v>
      </c>
      <c r="FU87" s="14">
        <f>INDEX(属性投放!$BS$6:$BS$85,(卡牌属性!$DW87-2)*20+卡牌属性!$DX87)</f>
        <v>420</v>
      </c>
      <c r="FV87" s="14">
        <f>INDEX(属性投放!$BS$6:$BS$85,(卡牌属性!$DW87-2)*20+卡牌属性!$DX87)</f>
        <v>420</v>
      </c>
      <c r="FZ87" s="13">
        <v>83</v>
      </c>
      <c r="GA87" s="13">
        <f t="shared" si="182"/>
        <v>17</v>
      </c>
      <c r="GB87" s="14">
        <f t="shared" si="198"/>
        <v>1102017</v>
      </c>
      <c r="GC87" s="14" t="s">
        <v>1187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7"/>
        <v>17</v>
      </c>
      <c r="GP87" s="14">
        <f t="shared" si="199"/>
        <v>1101016</v>
      </c>
      <c r="GQ87" s="14" t="s">
        <v>1187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MATCH(HC87,属性投放!$AO$6:$AO$58,1)-1</f>
        <v>26</v>
      </c>
      <c r="HF87" s="13">
        <f>MATCH(HC87-1,属性投放!$AE$6:$AE$26,1)</f>
        <v>12</v>
      </c>
      <c r="HG87" s="13" t="str">
        <f>INDEX(属性投放!$AB$7:$AB$26,卡牌属性!HF87)</f>
        <v>大叫唤+2</v>
      </c>
      <c r="HH87" s="14">
        <f t="shared" si="200"/>
        <v>3413</v>
      </c>
      <c r="HI87" s="14">
        <f t="shared" si="201"/>
        <v>1407</v>
      </c>
      <c r="HJ87" s="14">
        <f t="shared" si="202"/>
        <v>21481</v>
      </c>
      <c r="HK87" s="14">
        <f t="shared" si="203"/>
        <v>30</v>
      </c>
      <c r="HL87" s="14">
        <f t="shared" si="204"/>
        <v>11</v>
      </c>
      <c r="HM87" s="14">
        <f t="shared" si="205"/>
        <v>189</v>
      </c>
      <c r="HN87" s="14">
        <f>HH87+HK87*($HC87-INDEX(属性投放!$AE$6:$AE$26,卡牌属性!$HF87))</f>
        <v>3503</v>
      </c>
      <c r="HO87" s="14">
        <f>HI87+HL87*($HC87-INDEX(属性投放!$AE$6:$AE$26,卡牌属性!$HF87))</f>
        <v>1440</v>
      </c>
      <c r="HP87" s="14">
        <f>HJ87+HM87*($HC87-INDEX(属性投放!$AE$6:$AE$26,卡牌属性!$HF87))</f>
        <v>22048</v>
      </c>
      <c r="HQ87" s="14">
        <f t="shared" si="206"/>
        <v>2530</v>
      </c>
      <c r="HR87" s="14">
        <f t="shared" si="207"/>
        <v>1271</v>
      </c>
      <c r="HS87" s="14">
        <f t="shared" si="208"/>
        <v>20960</v>
      </c>
      <c r="HT87" s="14">
        <f>IF(COUNTIF(属性投放!$AO$7:$AO$58,"="&amp;卡牌属性!HC87)&gt;0,卡牌属性!HE87,0)</f>
        <v>26</v>
      </c>
      <c r="HU87" s="14">
        <f t="shared" si="209"/>
        <v>225</v>
      </c>
      <c r="HV87" s="14">
        <f t="shared" si="210"/>
        <v>113</v>
      </c>
      <c r="HW87" s="14">
        <f t="shared" si="211"/>
        <v>2025</v>
      </c>
      <c r="HX87" s="14">
        <f>IF(COUNTIF(属性投放!$AE$6:$AE$26,"="&amp;卡牌属性!HC87)&gt;0,卡牌属性!HF87,0)</f>
        <v>0</v>
      </c>
      <c r="HY87" s="14">
        <f t="shared" si="212"/>
        <v>0</v>
      </c>
      <c r="HZ87" s="14">
        <f t="shared" si="213"/>
        <v>0</v>
      </c>
      <c r="IA87" s="14">
        <f t="shared" si="214"/>
        <v>0</v>
      </c>
      <c r="IB87" s="14">
        <f t="shared" si="215"/>
        <v>30</v>
      </c>
      <c r="IC87" s="14">
        <f t="shared" si="216"/>
        <v>11</v>
      </c>
      <c r="ID87" s="14">
        <f t="shared" si="217"/>
        <v>189</v>
      </c>
      <c r="IE87" s="14">
        <f t="shared" si="218"/>
        <v>6033</v>
      </c>
      <c r="IF87" s="14">
        <f t="shared" si="219"/>
        <v>2711</v>
      </c>
      <c r="IG87" s="14">
        <f t="shared" si="220"/>
        <v>43008</v>
      </c>
      <c r="IH87" s="14">
        <f t="shared" si="221"/>
        <v>709</v>
      </c>
      <c r="II87" s="14">
        <f t="shared" si="222"/>
        <v>6535</v>
      </c>
      <c r="IJ87" s="14">
        <f t="shared" si="223"/>
        <v>0</v>
      </c>
      <c r="IK87" s="14">
        <f t="shared" si="224"/>
        <v>157558</v>
      </c>
      <c r="IL87" s="17">
        <f t="shared" si="225"/>
        <v>4.4999301844400154E-3</v>
      </c>
      <c r="IM87" s="17">
        <f t="shared" si="226"/>
        <v>4.1476789499739777E-2</v>
      </c>
      <c r="IN87" s="17">
        <f t="shared" si="227"/>
        <v>0</v>
      </c>
      <c r="IO87" s="23">
        <f>SUM(IH$5:IH87)</f>
        <v>40168</v>
      </c>
      <c r="IP87" s="14">
        <f>SUM(II$5:II87)</f>
        <v>71680</v>
      </c>
      <c r="IQ87" s="14">
        <f>SUM(IJ$5:IJ87)</f>
        <v>33840</v>
      </c>
      <c r="IR87" s="17">
        <f t="shared" si="228"/>
        <v>0.25494103758615877</v>
      </c>
      <c r="IS87" s="17">
        <f t="shared" si="229"/>
        <v>0.45494357633379456</v>
      </c>
      <c r="IT87" s="17">
        <f t="shared" si="230"/>
        <v>0.21477804998794095</v>
      </c>
      <c r="IW87" s="13">
        <v>83</v>
      </c>
      <c r="IX87" s="14">
        <f>MATCH(IW87-1,属性投放!$T$6:$T$66,1)</f>
        <v>11</v>
      </c>
      <c r="IY87" s="14">
        <f>MATCH(IW87-1,属性投放!$AD$7:$AD$26,1)</f>
        <v>11</v>
      </c>
      <c r="IZ87" s="14" t="str">
        <f>INDEX(属性投放!$AB$7:$AB$26,IY87)</f>
        <v>大叫唤+1</v>
      </c>
      <c r="JA87" s="14">
        <f t="shared" si="231"/>
        <v>2140</v>
      </c>
      <c r="JB87" s="14">
        <f t="shared" si="232"/>
        <v>1020</v>
      </c>
      <c r="JC87" s="14">
        <f t="shared" si="233"/>
        <v>15492</v>
      </c>
      <c r="JD87" s="14">
        <f t="shared" si="234"/>
        <v>76</v>
      </c>
      <c r="JE87" s="14">
        <f t="shared" si="235"/>
        <v>38</v>
      </c>
      <c r="JF87" s="14">
        <f t="shared" si="236"/>
        <v>685</v>
      </c>
      <c r="JG87" s="14">
        <f>INDEX(属性投放!$DC$6:$DC$85,卡牌属性!IY87)</f>
        <v>60</v>
      </c>
      <c r="JH87" s="14">
        <f t="shared" si="237"/>
        <v>3888</v>
      </c>
      <c r="JI87" s="14">
        <f t="shared" si="238"/>
        <v>1894</v>
      </c>
      <c r="JJ87" s="14">
        <f t="shared" si="239"/>
        <v>31247</v>
      </c>
      <c r="JK87" s="14">
        <f t="shared" si="240"/>
        <v>69627</v>
      </c>
    </row>
    <row r="88" spans="31:271" ht="16.5" x14ac:dyDescent="0.2">
      <c r="AE88" s="13">
        <v>84</v>
      </c>
      <c r="AF88" s="13">
        <f t="shared" si="188"/>
        <v>5</v>
      </c>
      <c r="AG88" s="13">
        <f t="shared" si="169"/>
        <v>4</v>
      </c>
      <c r="AH88" s="13"/>
      <c r="AI88" s="13"/>
      <c r="AJ88" s="14">
        <f t="shared" si="170"/>
        <v>1101005</v>
      </c>
      <c r="AK88" s="14" t="str">
        <f t="shared" si="171"/>
        <v>刘羽禅4突</v>
      </c>
      <c r="AL88" s="25" t="s">
        <v>142</v>
      </c>
      <c r="AM88" s="14">
        <v>1</v>
      </c>
      <c r="AN88" s="14">
        <f t="shared" si="172"/>
        <v>4</v>
      </c>
      <c r="AO88" s="14">
        <f>INDEX(属性投放!$DF$6:$DF$85,(卡牌属性!AG88-2)*20+卡牌属性!AN88)</f>
        <v>640</v>
      </c>
      <c r="AP88" s="14">
        <f t="shared" si="241"/>
        <v>640</v>
      </c>
      <c r="AQ88" s="14">
        <f t="shared" si="241"/>
        <v>640</v>
      </c>
      <c r="AR88" s="14">
        <f t="shared" si="241"/>
        <v>640</v>
      </c>
      <c r="AS88" s="14">
        <f t="shared" si="241"/>
        <v>640</v>
      </c>
      <c r="AT88" s="14">
        <f>INDEX(属性投放!$DG$6:$DG$85,(卡牌属性!AG88-2)*20+卡牌属性!AN88)</f>
        <v>248</v>
      </c>
      <c r="AU88" s="14">
        <f t="shared" si="242"/>
        <v>248</v>
      </c>
      <c r="AV88" s="14">
        <f t="shared" si="242"/>
        <v>248</v>
      </c>
      <c r="AW88" s="14">
        <f t="shared" si="242"/>
        <v>248</v>
      </c>
      <c r="AX88" s="14">
        <f t="shared" si="242"/>
        <v>248</v>
      </c>
      <c r="AY88" s="14">
        <f>INDEX(属性投放!$DH$6:$DH$85,(卡牌属性!AG88-2)*20+卡牌属性!AN88)</f>
        <v>3255</v>
      </c>
      <c r="AZ88" s="14">
        <f t="shared" si="243"/>
        <v>3255</v>
      </c>
      <c r="BA88" s="14">
        <f t="shared" si="243"/>
        <v>3255</v>
      </c>
      <c r="BB88" s="14">
        <f t="shared" si="243"/>
        <v>3255</v>
      </c>
      <c r="BC88" s="14">
        <f t="shared" si="243"/>
        <v>3255</v>
      </c>
      <c r="BD88" s="14">
        <f>INDEX(属性投放!$DL$6:$DL$85,(卡牌属性!AG88-2)*20+卡牌属性!AN88)</f>
        <v>40</v>
      </c>
      <c r="BE88" s="14">
        <f t="shared" si="244"/>
        <v>40</v>
      </c>
      <c r="BF88" s="14">
        <f t="shared" si="244"/>
        <v>40</v>
      </c>
      <c r="BG88" s="14">
        <f t="shared" si="244"/>
        <v>40</v>
      </c>
      <c r="BH88" s="14">
        <f t="shared" si="244"/>
        <v>40</v>
      </c>
      <c r="BI88" s="14">
        <f>INDEX(属性投放!$DM$6:$DM$85,(卡牌属性!AG88-2)*20+卡牌属性!AN88)</f>
        <v>20</v>
      </c>
      <c r="BJ88" s="14">
        <f t="shared" si="245"/>
        <v>20</v>
      </c>
      <c r="BK88" s="14">
        <f t="shared" si="245"/>
        <v>20</v>
      </c>
      <c r="BL88" s="14">
        <f t="shared" si="245"/>
        <v>20</v>
      </c>
      <c r="BM88" s="14">
        <f t="shared" si="245"/>
        <v>20</v>
      </c>
      <c r="BN88" s="14">
        <f>INDEX(属性投放!$DN$6:$DN$85,(卡牌属性!AG88-2)*20+卡牌属性!AN88)</f>
        <v>279</v>
      </c>
      <c r="BO88" s="14">
        <f t="shared" si="246"/>
        <v>279</v>
      </c>
      <c r="BP88" s="14">
        <f t="shared" si="246"/>
        <v>279</v>
      </c>
      <c r="BQ88" s="14">
        <f t="shared" si="246"/>
        <v>279</v>
      </c>
      <c r="BR88" s="14">
        <f t="shared" si="246"/>
        <v>279</v>
      </c>
      <c r="BW88" s="13">
        <v>84</v>
      </c>
      <c r="BX88" s="13">
        <f t="shared" si="173"/>
        <v>5</v>
      </c>
      <c r="BY88" s="14">
        <f t="shared" si="174"/>
        <v>3</v>
      </c>
      <c r="BZ88" s="14">
        <f t="shared" si="189"/>
        <v>1102005</v>
      </c>
      <c r="CA88" s="14" t="str">
        <f t="shared" si="190"/>
        <v>李轩辕4突</v>
      </c>
      <c r="CB88" s="25" t="s">
        <v>142</v>
      </c>
      <c r="CC88" s="14">
        <v>2</v>
      </c>
      <c r="CD88" s="14">
        <f t="shared" si="175"/>
        <v>4</v>
      </c>
      <c r="CE88" s="14" t="s">
        <v>21</v>
      </c>
      <c r="CF88" s="14">
        <f>INDEX(属性投放!$AZ$6:$AZ$85,(BY88-2)*20+CD88)</f>
        <v>652</v>
      </c>
      <c r="CG88" s="14" t="s">
        <v>22</v>
      </c>
      <c r="CH88" s="14">
        <f>INDEX(属性投放!$BA$6:$BA$85,(BY88-2)*20+CD88)</f>
        <v>262</v>
      </c>
      <c r="CI88" s="14" t="s">
        <v>510</v>
      </c>
      <c r="CJ88" s="14">
        <f>INDEX(属性投放!$BB$6:$BB$85,(BY88-2)*20+CD88)</f>
        <v>3512</v>
      </c>
      <c r="CK88" s="14" t="s">
        <v>21</v>
      </c>
      <c r="CL88" s="14">
        <f>INDEX(属性投放!$BC$6:$BC$85,(BY88-2)*20+CD88)</f>
        <v>12</v>
      </c>
      <c r="CM88" s="14" t="s">
        <v>22</v>
      </c>
      <c r="CN88" s="14">
        <f>INDEX(属性投放!$BD$6:$BD$85,(BY88-2)*20+CD88)</f>
        <v>6</v>
      </c>
      <c r="CO88" s="14" t="s">
        <v>510</v>
      </c>
      <c r="CP88" s="14">
        <f>INDEX(属性投放!$BE$6:$BE$85,(BY88-2)*20+CD88)</f>
        <v>84</v>
      </c>
      <c r="CS88" s="13">
        <v>84</v>
      </c>
      <c r="CT88" s="13">
        <f t="shared" si="191"/>
        <v>2</v>
      </c>
      <c r="CU88" s="13">
        <f t="shared" si="192"/>
        <v>32</v>
      </c>
      <c r="CV88" s="14">
        <f t="shared" si="193"/>
        <v>3</v>
      </c>
      <c r="CW88" s="14">
        <f t="shared" si="194"/>
        <v>1102002</v>
      </c>
      <c r="CX88" s="14" t="str">
        <f>INDEX($O$6:$O$50,CT88)&amp;"-"&amp;INDEX(属性投放!$AB$7:$AB$50,CZ88)&amp;"-魂火-"&amp;DB88</f>
        <v>许褚-焦热+1-魂火-2</v>
      </c>
      <c r="CY88" s="25" t="s">
        <v>142</v>
      </c>
      <c r="CZ88" s="14">
        <f>INDEX(属性投放!$AM$7:$AM$58,CU88)</f>
        <v>14</v>
      </c>
      <c r="DA88" s="14" t="s">
        <v>537</v>
      </c>
      <c r="DB88" s="14">
        <f>INDEX(属性投放!$AN$7:$AN$58,CU88)</f>
        <v>2</v>
      </c>
      <c r="DC88" s="14">
        <f t="shared" si="176"/>
        <v>32</v>
      </c>
      <c r="DD88" s="14">
        <f>INDEX(属性投放!$AO$7:$AO$58,DC88)</f>
        <v>98</v>
      </c>
      <c r="DE88" s="14" t="s">
        <v>538</v>
      </c>
      <c r="DF88" s="14">
        <f>INDEX(属性投放!$BK$6:$BK$85,(CV88-2)*20+CZ88)</f>
        <v>300</v>
      </c>
      <c r="DG88" s="14">
        <f>SUMIFS(DF$5:DF88,$CT$5:$CT88,"="&amp;$CT88)</f>
        <v>3770</v>
      </c>
      <c r="DH88" s="14" t="s">
        <v>539</v>
      </c>
      <c r="DI88" s="14">
        <f>INDEX(属性投放!$BL$6:$BL$85,(CV88-2)*20+CZ88)</f>
        <v>150</v>
      </c>
      <c r="DJ88" s="14">
        <f>SUMIFS(DI$5:DI88,$CT$5:$CT88,"="&amp;$CT88)</f>
        <v>1888</v>
      </c>
      <c r="DK88" s="14" t="s">
        <v>540</v>
      </c>
      <c r="DL88" s="14">
        <f>INDEX(属性投放!$BM$6:$BM$85,(CV88-2)*20+CZ88)</f>
        <v>3000</v>
      </c>
      <c r="DM88" s="14">
        <f>SUMIFS(DL$5:DL88,$CT$5:$CT88,"="&amp;$CT88)</f>
        <v>33740</v>
      </c>
      <c r="DR88" s="14">
        <f t="shared" si="177"/>
        <v>1102005</v>
      </c>
      <c r="DS88" s="14" t="str">
        <f t="shared" si="178"/>
        <v>李轩辕4突</v>
      </c>
      <c r="DT88" s="14">
        <f t="shared" si="195"/>
        <v>4</v>
      </c>
      <c r="DU88" s="14">
        <f t="shared" si="196"/>
        <v>5</v>
      </c>
      <c r="DV88" s="14">
        <f t="shared" si="197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INDEX(属性投放!$AX$6:$AX$85,(卡牌属性!DW88-2)*20+卡牌属性!DX88)</f>
        <v>10</v>
      </c>
      <c r="EA88" s="14">
        <f>INDEX(属性投放!BQ$6:BQ$85,卡牌属性!$DY88)</f>
        <v>75</v>
      </c>
      <c r="EB88" s="14">
        <f>INDEX(属性投放!BR$6:BR$85,卡牌属性!$DY88)</f>
        <v>38</v>
      </c>
      <c r="EC88" s="14">
        <f>INDEX(属性投放!BS$6:BS$85,卡牌属性!$DY88)</f>
        <v>525</v>
      </c>
      <c r="ED88" s="14">
        <f t="shared" si="248"/>
        <v>449</v>
      </c>
      <c r="EE88" s="14">
        <f t="shared" si="249"/>
        <v>522</v>
      </c>
      <c r="EF88" s="14">
        <f t="shared" si="250"/>
        <v>595</v>
      </c>
      <c r="EG88" s="14">
        <f t="shared" si="251"/>
        <v>595</v>
      </c>
      <c r="EH88" s="14">
        <f t="shared" si="252"/>
        <v>688</v>
      </c>
      <c r="EI88" s="14">
        <f t="shared" si="253"/>
        <v>216</v>
      </c>
      <c r="EJ88" s="14">
        <f t="shared" si="254"/>
        <v>250</v>
      </c>
      <c r="EK88" s="14">
        <f t="shared" si="255"/>
        <v>250</v>
      </c>
      <c r="EL88" s="14">
        <f t="shared" si="256"/>
        <v>304</v>
      </c>
      <c r="EM88" s="14">
        <f t="shared" si="257"/>
        <v>353</v>
      </c>
      <c r="EN88" s="14">
        <f t="shared" si="258"/>
        <v>3170</v>
      </c>
      <c r="EO88" s="14">
        <f t="shared" si="259"/>
        <v>3728</v>
      </c>
      <c r="EP88" s="14">
        <f t="shared" si="260"/>
        <v>3728</v>
      </c>
      <c r="EQ88" s="14">
        <f t="shared" si="261"/>
        <v>4192</v>
      </c>
      <c r="ER88" s="14">
        <f t="shared" si="262"/>
        <v>4800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91</v>
      </c>
      <c r="FD88" s="14">
        <f>INDEX(属性偏向!$U$4:$U$243,(卡牌属性!$DV88-1+FD$3)*20+卡牌属性!$DX88)</f>
        <v>140</v>
      </c>
      <c r="FE88" s="14">
        <f>INDEX(属性偏向!$U$4:$U$243,(卡牌属性!$DV88-1+FE$3)*20+卡牌属性!$DX88)</f>
        <v>140</v>
      </c>
      <c r="FF88" s="14">
        <f>INDEX(属性偏向!$U$4:$U$243,(卡牌属性!$DV88-1+FF$3)*20+卡牌属性!$DX88)</f>
        <v>154</v>
      </c>
      <c r="FG88" s="14">
        <f>INDEX(属性偏向!$U$4:$U$243,(卡牌属性!$DV88-1+FG$3)*20+卡牌属性!$DX88)</f>
        <v>175</v>
      </c>
      <c r="FH88" s="14">
        <f>INDEX(属性投放!$BQ$6:$BQ$85,(卡牌属性!$DW88-2)*20+卡牌属性!$DX88)</f>
        <v>75</v>
      </c>
      <c r="FI88" s="14">
        <f>INDEX(属性投放!$BQ$6:$BQ$85,(卡牌属性!$DW88-2)*20+卡牌属性!$DX88)</f>
        <v>75</v>
      </c>
      <c r="FJ88" s="14">
        <f>INDEX(属性投放!$BQ$6:$BQ$85,(卡牌属性!$DW88-2)*20+卡牌属性!$DX88)</f>
        <v>75</v>
      </c>
      <c r="FK88" s="14">
        <f>INDEX(属性投放!$BQ$6:$BQ$85,(卡牌属性!$DW88-2)*20+卡牌属性!$DX88)</f>
        <v>75</v>
      </c>
      <c r="FL88" s="14">
        <f>INDEX(属性投放!$BQ$6:$BQ$85,(卡牌属性!$DW88-2)*20+卡牌属性!$DX88)</f>
        <v>75</v>
      </c>
      <c r="FM88" s="14">
        <f>INDEX(属性投放!$BR$6:$BR$85,(卡牌属性!$DW88-2)*20+卡牌属性!$DX88)</f>
        <v>38</v>
      </c>
      <c r="FN88" s="14">
        <f>INDEX(属性投放!$BR$6:$BR$85,(卡牌属性!$DW88-2)*20+卡牌属性!$DX88)</f>
        <v>38</v>
      </c>
      <c r="FO88" s="14">
        <f>INDEX(属性投放!$BR$6:$BR$85,(卡牌属性!$DW88-2)*20+卡牌属性!$DX88)</f>
        <v>38</v>
      </c>
      <c r="FP88" s="14">
        <f>INDEX(属性投放!$BR$6:$BR$85,(卡牌属性!$DW88-2)*20+卡牌属性!$DX88)</f>
        <v>38</v>
      </c>
      <c r="FQ88" s="14">
        <f>INDEX(属性投放!$BR$6:$BR$85,(卡牌属性!$DW88-2)*20+卡牌属性!$DX88)</f>
        <v>38</v>
      </c>
      <c r="FR88" s="14">
        <f>INDEX(属性投放!$BS$6:$BS$85,(卡牌属性!$DW88-2)*20+卡牌属性!$DX88)</f>
        <v>525</v>
      </c>
      <c r="FS88" s="14">
        <f>INDEX(属性投放!$BS$6:$BS$85,(卡牌属性!$DW88-2)*20+卡牌属性!$DX88)</f>
        <v>525</v>
      </c>
      <c r="FT88" s="14">
        <f>INDEX(属性投放!$BS$6:$BS$85,(卡牌属性!$DW88-2)*20+卡牌属性!$DX88)</f>
        <v>525</v>
      </c>
      <c r="FU88" s="14">
        <f>INDEX(属性投放!$BS$6:$BS$85,(卡牌属性!$DW88-2)*20+卡牌属性!$DX88)</f>
        <v>525</v>
      </c>
      <c r="FV88" s="14">
        <f>INDEX(属性投放!$BS$6:$BS$85,(卡牌属性!$DW88-2)*20+卡牌属性!$DX88)</f>
        <v>525</v>
      </c>
      <c r="FZ88" s="13">
        <v>84</v>
      </c>
      <c r="GA88" s="13">
        <f t="shared" si="182"/>
        <v>17</v>
      </c>
      <c r="GB88" s="14">
        <f t="shared" si="198"/>
        <v>1102017</v>
      </c>
      <c r="GC88" s="14" t="s">
        <v>1187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7"/>
        <v>17</v>
      </c>
      <c r="GP88" s="14">
        <f t="shared" si="199"/>
        <v>1101016</v>
      </c>
      <c r="GQ88" s="14" t="s">
        <v>1187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MATCH(HC88,属性投放!$AO$6:$AO$58,1)-1</f>
        <v>26</v>
      </c>
      <c r="HF88" s="13">
        <f>MATCH(HC88-1,属性投放!$AE$6:$AE$26,1)</f>
        <v>12</v>
      </c>
      <c r="HG88" s="13" t="str">
        <f>INDEX(属性投放!$AB$7:$AB$26,卡牌属性!HF88)</f>
        <v>大叫唤+2</v>
      </c>
      <c r="HH88" s="14">
        <f t="shared" si="200"/>
        <v>3413</v>
      </c>
      <c r="HI88" s="14">
        <f t="shared" si="201"/>
        <v>1407</v>
      </c>
      <c r="HJ88" s="14">
        <f t="shared" si="202"/>
        <v>21481</v>
      </c>
      <c r="HK88" s="14">
        <f t="shared" si="203"/>
        <v>30</v>
      </c>
      <c r="HL88" s="14">
        <f t="shared" si="204"/>
        <v>11</v>
      </c>
      <c r="HM88" s="14">
        <f t="shared" si="205"/>
        <v>189</v>
      </c>
      <c r="HN88" s="14">
        <f>HH88+HK88*($HC88-INDEX(属性投放!$AE$6:$AE$26,卡牌属性!$HF88))</f>
        <v>3533</v>
      </c>
      <c r="HO88" s="14">
        <f>HI88+HL88*($HC88-INDEX(属性投放!$AE$6:$AE$26,卡牌属性!$HF88))</f>
        <v>1451</v>
      </c>
      <c r="HP88" s="14">
        <f>HJ88+HM88*($HC88-INDEX(属性投放!$AE$6:$AE$26,卡牌属性!$HF88))</f>
        <v>22237</v>
      </c>
      <c r="HQ88" s="14">
        <f t="shared" si="206"/>
        <v>2530</v>
      </c>
      <c r="HR88" s="14">
        <f t="shared" si="207"/>
        <v>1271</v>
      </c>
      <c r="HS88" s="14">
        <f t="shared" si="208"/>
        <v>20960</v>
      </c>
      <c r="HT88" s="14">
        <f>IF(COUNTIF(属性投放!$AO$7:$AO$58,"="&amp;卡牌属性!HC88)&gt;0,卡牌属性!HE88,0)</f>
        <v>0</v>
      </c>
      <c r="HU88" s="14">
        <f t="shared" si="209"/>
        <v>0</v>
      </c>
      <c r="HV88" s="14">
        <f t="shared" si="210"/>
        <v>0</v>
      </c>
      <c r="HW88" s="14">
        <f t="shared" si="211"/>
        <v>0</v>
      </c>
      <c r="HX88" s="14">
        <f>IF(COUNTIF(属性投放!$AE$6:$AE$26,"="&amp;卡牌属性!HC88)&gt;0,卡牌属性!HF88,0)</f>
        <v>0</v>
      </c>
      <c r="HY88" s="14">
        <f t="shared" si="212"/>
        <v>0</v>
      </c>
      <c r="HZ88" s="14">
        <f t="shared" si="213"/>
        <v>0</v>
      </c>
      <c r="IA88" s="14">
        <f t="shared" si="214"/>
        <v>0</v>
      </c>
      <c r="IB88" s="14">
        <f t="shared" si="215"/>
        <v>30</v>
      </c>
      <c r="IC88" s="14">
        <f t="shared" si="216"/>
        <v>11</v>
      </c>
      <c r="ID88" s="14">
        <f t="shared" si="217"/>
        <v>189</v>
      </c>
      <c r="IE88" s="14">
        <f t="shared" si="218"/>
        <v>6063</v>
      </c>
      <c r="IF88" s="14">
        <f t="shared" si="219"/>
        <v>2722</v>
      </c>
      <c r="IG88" s="14">
        <f t="shared" si="220"/>
        <v>43197</v>
      </c>
      <c r="IH88" s="14">
        <f t="shared" si="221"/>
        <v>709</v>
      </c>
      <c r="II88" s="14">
        <f t="shared" si="222"/>
        <v>0</v>
      </c>
      <c r="IJ88" s="14">
        <f t="shared" si="223"/>
        <v>0</v>
      </c>
      <c r="IK88" s="14">
        <f t="shared" si="224"/>
        <v>158267</v>
      </c>
      <c r="IL88" s="17">
        <f t="shared" si="225"/>
        <v>4.4797715253337717E-3</v>
      </c>
      <c r="IM88" s="17">
        <f t="shared" si="226"/>
        <v>0</v>
      </c>
      <c r="IN88" s="17">
        <f t="shared" si="227"/>
        <v>0</v>
      </c>
      <c r="IO88" s="23">
        <f>SUM(IH$5:IH88)</f>
        <v>40877</v>
      </c>
      <c r="IP88" s="14">
        <f>SUM(II$5:II88)</f>
        <v>71680</v>
      </c>
      <c r="IQ88" s="14">
        <f>SUM(IJ$5:IJ88)</f>
        <v>33840</v>
      </c>
      <c r="IR88" s="17">
        <f t="shared" si="228"/>
        <v>0.25827873151067499</v>
      </c>
      <c r="IS88" s="17">
        <f t="shared" si="229"/>
        <v>0.45290553305490089</v>
      </c>
      <c r="IT88" s="17">
        <f t="shared" si="230"/>
        <v>0.21381589339533827</v>
      </c>
      <c r="IW88" s="13">
        <v>84</v>
      </c>
      <c r="IX88" s="14">
        <f>MATCH(IW88-1,属性投放!$T$6:$T$66,1)</f>
        <v>12</v>
      </c>
      <c r="IY88" s="14">
        <f>MATCH(IW88-1,属性投放!$AD$7:$AD$26,1)</f>
        <v>11</v>
      </c>
      <c r="IZ88" s="14" t="str">
        <f>INDEX(属性投放!$AB$7:$AB$26,IY88)</f>
        <v>大叫唤+1</v>
      </c>
      <c r="JA88" s="14">
        <f t="shared" si="231"/>
        <v>2140</v>
      </c>
      <c r="JB88" s="14">
        <f t="shared" si="232"/>
        <v>1020</v>
      </c>
      <c r="JC88" s="14">
        <f t="shared" si="233"/>
        <v>15492</v>
      </c>
      <c r="JD88" s="14">
        <f t="shared" si="234"/>
        <v>76</v>
      </c>
      <c r="JE88" s="14">
        <f t="shared" si="235"/>
        <v>38</v>
      </c>
      <c r="JF88" s="14">
        <f t="shared" si="236"/>
        <v>685</v>
      </c>
      <c r="JG88" s="14">
        <f>INDEX(属性投放!$DC$6:$DC$85,卡牌属性!IY88)</f>
        <v>60</v>
      </c>
      <c r="JH88" s="14">
        <f t="shared" si="237"/>
        <v>3964</v>
      </c>
      <c r="JI88" s="14">
        <f t="shared" si="238"/>
        <v>1932</v>
      </c>
      <c r="JJ88" s="14">
        <f t="shared" si="239"/>
        <v>31932</v>
      </c>
      <c r="JK88" s="14">
        <f t="shared" si="240"/>
        <v>71072</v>
      </c>
    </row>
    <row r="89" spans="31:271" ht="16.5" x14ac:dyDescent="0.2">
      <c r="AE89" s="13">
        <v>85</v>
      </c>
      <c r="AF89" s="13">
        <f t="shared" si="188"/>
        <v>5</v>
      </c>
      <c r="AG89" s="13">
        <f t="shared" si="169"/>
        <v>4</v>
      </c>
      <c r="AH89" s="13"/>
      <c r="AI89" s="13"/>
      <c r="AJ89" s="14">
        <f t="shared" si="170"/>
        <v>1101005</v>
      </c>
      <c r="AK89" s="14" t="str">
        <f t="shared" si="171"/>
        <v>刘羽禅5突</v>
      </c>
      <c r="AL89" s="25" t="s">
        <v>142</v>
      </c>
      <c r="AM89" s="14">
        <v>1</v>
      </c>
      <c r="AN89" s="14">
        <f t="shared" si="172"/>
        <v>5</v>
      </c>
      <c r="AO89" s="14">
        <f>INDEX(属性投放!$DF$6:$DF$85,(卡牌属性!AG89-2)*20+卡牌属性!AN89)</f>
        <v>754</v>
      </c>
      <c r="AP89" s="14">
        <f t="shared" si="241"/>
        <v>754</v>
      </c>
      <c r="AQ89" s="14">
        <f t="shared" si="241"/>
        <v>754</v>
      </c>
      <c r="AR89" s="14">
        <f t="shared" si="241"/>
        <v>754</v>
      </c>
      <c r="AS89" s="14">
        <f t="shared" si="241"/>
        <v>754</v>
      </c>
      <c r="AT89" s="14">
        <f>INDEX(属性投放!$DG$6:$DG$85,(卡牌属性!AG89-2)*20+卡牌属性!AN89)</f>
        <v>305</v>
      </c>
      <c r="AU89" s="14">
        <f t="shared" si="242"/>
        <v>305</v>
      </c>
      <c r="AV89" s="14">
        <f t="shared" si="242"/>
        <v>305</v>
      </c>
      <c r="AW89" s="14">
        <f t="shared" si="242"/>
        <v>305</v>
      </c>
      <c r="AX89" s="14">
        <f t="shared" si="242"/>
        <v>305</v>
      </c>
      <c r="AY89" s="14">
        <f>INDEX(属性投放!$DH$6:$DH$85,(卡牌属性!AG89-2)*20+卡牌属性!AN89)</f>
        <v>4053</v>
      </c>
      <c r="AZ89" s="14">
        <f t="shared" si="243"/>
        <v>4053</v>
      </c>
      <c r="BA89" s="14">
        <f t="shared" si="243"/>
        <v>4053</v>
      </c>
      <c r="BB89" s="14">
        <f t="shared" si="243"/>
        <v>4053</v>
      </c>
      <c r="BC89" s="14">
        <f t="shared" si="243"/>
        <v>4053</v>
      </c>
      <c r="BD89" s="14">
        <f>INDEX(属性投放!$DL$6:$DL$85,(卡牌属性!AG89-2)*20+卡牌属性!AN89)</f>
        <v>40</v>
      </c>
      <c r="BE89" s="14">
        <f t="shared" si="244"/>
        <v>40</v>
      </c>
      <c r="BF89" s="14">
        <f t="shared" si="244"/>
        <v>40</v>
      </c>
      <c r="BG89" s="14">
        <f t="shared" si="244"/>
        <v>40</v>
      </c>
      <c r="BH89" s="14">
        <f t="shared" si="244"/>
        <v>40</v>
      </c>
      <c r="BI89" s="14">
        <f>INDEX(属性投放!$DM$6:$DM$85,(卡牌属性!AG89-2)*20+卡牌属性!AN89)</f>
        <v>20</v>
      </c>
      <c r="BJ89" s="14">
        <f t="shared" si="245"/>
        <v>20</v>
      </c>
      <c r="BK89" s="14">
        <f t="shared" si="245"/>
        <v>20</v>
      </c>
      <c r="BL89" s="14">
        <f t="shared" si="245"/>
        <v>20</v>
      </c>
      <c r="BM89" s="14">
        <f t="shared" si="245"/>
        <v>20</v>
      </c>
      <c r="BN89" s="14">
        <f>INDEX(属性投放!$DN$6:$DN$85,(卡牌属性!AG89-2)*20+卡牌属性!AN89)</f>
        <v>279</v>
      </c>
      <c r="BO89" s="14">
        <f t="shared" si="246"/>
        <v>279</v>
      </c>
      <c r="BP89" s="14">
        <f t="shared" si="246"/>
        <v>279</v>
      </c>
      <c r="BQ89" s="14">
        <f t="shared" si="246"/>
        <v>279</v>
      </c>
      <c r="BR89" s="14">
        <f t="shared" si="246"/>
        <v>279</v>
      </c>
      <c r="BW89" s="13">
        <v>85</v>
      </c>
      <c r="BX89" s="13">
        <f t="shared" si="173"/>
        <v>5</v>
      </c>
      <c r="BY89" s="14">
        <f t="shared" si="174"/>
        <v>3</v>
      </c>
      <c r="BZ89" s="14">
        <f t="shared" si="189"/>
        <v>1102005</v>
      </c>
      <c r="CA89" s="14" t="str">
        <f t="shared" si="190"/>
        <v>李轩辕5突</v>
      </c>
      <c r="CB89" s="25" t="s">
        <v>142</v>
      </c>
      <c r="CC89" s="14">
        <v>2</v>
      </c>
      <c r="CD89" s="14">
        <f t="shared" si="175"/>
        <v>5</v>
      </c>
      <c r="CE89" s="14" t="s">
        <v>21</v>
      </c>
      <c r="CF89" s="14">
        <f>INDEX(属性投放!$AZ$6:$AZ$85,(BY89-2)*20+CD89)</f>
        <v>927</v>
      </c>
      <c r="CG89" s="14" t="s">
        <v>22</v>
      </c>
      <c r="CH89" s="14">
        <f>INDEX(属性投放!$BA$6:$BA$85,(BY89-2)*20+CD89)</f>
        <v>400</v>
      </c>
      <c r="CI89" s="14" t="s">
        <v>510</v>
      </c>
      <c r="CJ89" s="14">
        <f>INDEX(属性投放!$BB$6:$BB$85,(BY89-2)*20+CD89)</f>
        <v>5437</v>
      </c>
      <c r="CK89" s="14" t="s">
        <v>21</v>
      </c>
      <c r="CL89" s="14">
        <f>INDEX(属性投放!$BC$6:$BC$85,(BY89-2)*20+CD89)</f>
        <v>12</v>
      </c>
      <c r="CM89" s="14" t="s">
        <v>22</v>
      </c>
      <c r="CN89" s="14">
        <f>INDEX(属性投放!$BD$6:$BD$85,(BY89-2)*20+CD89)</f>
        <v>6</v>
      </c>
      <c r="CO89" s="14" t="s">
        <v>510</v>
      </c>
      <c r="CP89" s="14">
        <f>INDEX(属性投放!$BE$6:$BE$85,(BY89-2)*20+CD89)</f>
        <v>84</v>
      </c>
      <c r="CS89" s="13">
        <v>85</v>
      </c>
      <c r="CT89" s="13">
        <f t="shared" si="191"/>
        <v>2</v>
      </c>
      <c r="CU89" s="13">
        <f t="shared" si="192"/>
        <v>33</v>
      </c>
      <c r="CV89" s="14">
        <f t="shared" si="193"/>
        <v>3</v>
      </c>
      <c r="CW89" s="14">
        <f t="shared" si="194"/>
        <v>1102002</v>
      </c>
      <c r="CX89" s="14" t="str">
        <f>INDEX($O$6:$O$50,CT89)&amp;"-"&amp;INDEX(属性投放!$AB$7:$AB$50,CZ89)&amp;"-魂火-"&amp;DB89</f>
        <v>许褚-焦热+1-魂火-3</v>
      </c>
      <c r="CY89" s="25" t="s">
        <v>142</v>
      </c>
      <c r="CZ89" s="14">
        <f>INDEX(属性投放!$AM$7:$AM$58,CU89)</f>
        <v>14</v>
      </c>
      <c r="DA89" s="14" t="s">
        <v>537</v>
      </c>
      <c r="DB89" s="14">
        <f>INDEX(属性投放!$AN$7:$AN$58,CU89)</f>
        <v>3</v>
      </c>
      <c r="DC89" s="14">
        <f t="shared" si="176"/>
        <v>33</v>
      </c>
      <c r="DD89" s="14">
        <f>INDEX(属性投放!$AO$7:$AO$58,DC89)</f>
        <v>100</v>
      </c>
      <c r="DE89" s="14" t="s">
        <v>538</v>
      </c>
      <c r="DF89" s="14">
        <f>INDEX(属性投放!$BK$6:$BK$85,(CV89-2)*20+CZ89)</f>
        <v>300</v>
      </c>
      <c r="DG89" s="14">
        <f>SUMIFS(DF$5:DF89,$CT$5:$CT89,"="&amp;$CT89)</f>
        <v>4070</v>
      </c>
      <c r="DH89" s="14" t="s">
        <v>539</v>
      </c>
      <c r="DI89" s="14">
        <f>INDEX(属性投放!$BL$6:$BL$85,(CV89-2)*20+CZ89)</f>
        <v>150</v>
      </c>
      <c r="DJ89" s="14">
        <f>SUMIFS(DI$5:DI89,$CT$5:$CT89,"="&amp;$CT89)</f>
        <v>2038</v>
      </c>
      <c r="DK89" s="14" t="s">
        <v>540</v>
      </c>
      <c r="DL89" s="14">
        <f>INDEX(属性投放!$BM$6:$BM$85,(CV89-2)*20+CZ89)</f>
        <v>3000</v>
      </c>
      <c r="DM89" s="14">
        <f>SUMIFS(DL$5:DL89,$CT$5:$CT89,"="&amp;$CT89)</f>
        <v>36740</v>
      </c>
      <c r="DR89" s="14">
        <f t="shared" si="177"/>
        <v>1102005</v>
      </c>
      <c r="DS89" s="14" t="str">
        <f t="shared" si="178"/>
        <v>李轩辕5突</v>
      </c>
      <c r="DT89" s="14">
        <f t="shared" si="195"/>
        <v>4</v>
      </c>
      <c r="DU89" s="14">
        <f t="shared" si="196"/>
        <v>5</v>
      </c>
      <c r="DV89" s="14">
        <f t="shared" si="197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INDEX(属性投放!$AX$6:$AX$85,(卡牌属性!DW89-2)*20+卡牌属性!DX89)</f>
        <v>7</v>
      </c>
      <c r="EA89" s="14">
        <f>INDEX(属性投放!BQ$6:BQ$85,卡牌属性!$DY89)</f>
        <v>100</v>
      </c>
      <c r="EB89" s="14">
        <f>INDEX(属性投放!BR$6:BR$85,卡牌属性!$DY89)</f>
        <v>50</v>
      </c>
      <c r="EC89" s="14">
        <f>INDEX(属性投放!BS$6:BS$85,卡牌属性!$DY89)</f>
        <v>700</v>
      </c>
      <c r="ED89" s="14">
        <f t="shared" si="248"/>
        <v>624</v>
      </c>
      <c r="EE89" s="14">
        <f t="shared" si="249"/>
        <v>717</v>
      </c>
      <c r="EF89" s="14">
        <f t="shared" si="250"/>
        <v>800</v>
      </c>
      <c r="EG89" s="14">
        <f t="shared" si="251"/>
        <v>800</v>
      </c>
      <c r="EH89" s="14">
        <f t="shared" si="252"/>
        <v>963</v>
      </c>
      <c r="EI89" s="14">
        <f t="shared" si="253"/>
        <v>314</v>
      </c>
      <c r="EJ89" s="14">
        <f t="shared" si="254"/>
        <v>358</v>
      </c>
      <c r="EK89" s="14">
        <f t="shared" si="255"/>
        <v>358</v>
      </c>
      <c r="EL89" s="14">
        <f t="shared" si="256"/>
        <v>442</v>
      </c>
      <c r="EM89" s="14">
        <f t="shared" si="257"/>
        <v>501</v>
      </c>
      <c r="EN89" s="14">
        <f t="shared" si="258"/>
        <v>4605</v>
      </c>
      <c r="EO89" s="14">
        <f t="shared" si="259"/>
        <v>5653</v>
      </c>
      <c r="EP89" s="14">
        <f t="shared" si="260"/>
        <v>5653</v>
      </c>
      <c r="EQ89" s="14">
        <f t="shared" si="261"/>
        <v>6257</v>
      </c>
      <c r="ER89" s="14">
        <f t="shared" si="262"/>
        <v>7075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91</v>
      </c>
      <c r="FD89" s="14">
        <f>INDEX(属性偏向!$U$4:$U$243,(卡牌属性!$DV89-1+FD$3)*20+卡牌属性!$DX89)</f>
        <v>140</v>
      </c>
      <c r="FE89" s="14">
        <f>INDEX(属性偏向!$U$4:$U$243,(卡牌属性!$DV89-1+FE$3)*20+卡牌属性!$DX89)</f>
        <v>140</v>
      </c>
      <c r="FF89" s="14">
        <f>INDEX(属性偏向!$U$4:$U$243,(卡牌属性!$DV89-1+FF$3)*20+卡牌属性!$DX89)</f>
        <v>154</v>
      </c>
      <c r="FG89" s="14">
        <f>INDEX(属性偏向!$U$4:$U$243,(卡牌属性!$DV89-1+FG$3)*20+卡牌属性!$DX89)</f>
        <v>175</v>
      </c>
      <c r="FH89" s="14">
        <f>INDEX(属性投放!$BQ$6:$BQ$85,(卡牌属性!$DW89-2)*20+卡牌属性!$DX89)</f>
        <v>100</v>
      </c>
      <c r="FI89" s="14">
        <f>INDEX(属性投放!$BQ$6:$BQ$85,(卡牌属性!$DW89-2)*20+卡牌属性!$DX89)</f>
        <v>100</v>
      </c>
      <c r="FJ89" s="14">
        <f>INDEX(属性投放!$BQ$6:$BQ$85,(卡牌属性!$DW89-2)*20+卡牌属性!$DX89)</f>
        <v>100</v>
      </c>
      <c r="FK89" s="14">
        <f>INDEX(属性投放!$BQ$6:$BQ$85,(卡牌属性!$DW89-2)*20+卡牌属性!$DX89)</f>
        <v>100</v>
      </c>
      <c r="FL89" s="14">
        <f>INDEX(属性投放!$BQ$6:$BQ$85,(卡牌属性!$DW89-2)*20+卡牌属性!$DX89)</f>
        <v>100</v>
      </c>
      <c r="FM89" s="14">
        <f>INDEX(属性投放!$BR$6:$BR$85,(卡牌属性!$DW89-2)*20+卡牌属性!$DX89)</f>
        <v>50</v>
      </c>
      <c r="FN89" s="14">
        <f>INDEX(属性投放!$BR$6:$BR$85,(卡牌属性!$DW89-2)*20+卡牌属性!$DX89)</f>
        <v>50</v>
      </c>
      <c r="FO89" s="14">
        <f>INDEX(属性投放!$BR$6:$BR$85,(卡牌属性!$DW89-2)*20+卡牌属性!$DX89)</f>
        <v>50</v>
      </c>
      <c r="FP89" s="14">
        <f>INDEX(属性投放!$BR$6:$BR$85,(卡牌属性!$DW89-2)*20+卡牌属性!$DX89)</f>
        <v>50</v>
      </c>
      <c r="FQ89" s="14">
        <f>INDEX(属性投放!$BR$6:$BR$85,(卡牌属性!$DW89-2)*20+卡牌属性!$DX89)</f>
        <v>50</v>
      </c>
      <c r="FR89" s="14">
        <f>INDEX(属性投放!$BS$6:$BS$85,(卡牌属性!$DW89-2)*20+卡牌属性!$DX89)</f>
        <v>700</v>
      </c>
      <c r="FS89" s="14">
        <f>INDEX(属性投放!$BS$6:$BS$85,(卡牌属性!$DW89-2)*20+卡牌属性!$DX89)</f>
        <v>700</v>
      </c>
      <c r="FT89" s="14">
        <f>INDEX(属性投放!$BS$6:$BS$85,(卡牌属性!$DW89-2)*20+卡牌属性!$DX89)</f>
        <v>700</v>
      </c>
      <c r="FU89" s="14">
        <f>INDEX(属性投放!$BS$6:$BS$85,(卡牌属性!$DW89-2)*20+卡牌属性!$DX89)</f>
        <v>700</v>
      </c>
      <c r="FV89" s="14">
        <f>INDEX(属性投放!$BS$6:$BS$85,(卡牌属性!$DW89-2)*20+卡牌属性!$DX89)</f>
        <v>700</v>
      </c>
      <c r="FZ89" s="13">
        <v>85</v>
      </c>
      <c r="GA89" s="13">
        <f t="shared" si="182"/>
        <v>17</v>
      </c>
      <c r="GB89" s="14">
        <f t="shared" si="198"/>
        <v>1102017</v>
      </c>
      <c r="GC89" s="14" t="s">
        <v>1187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7"/>
        <v>17</v>
      </c>
      <c r="GP89" s="14">
        <f t="shared" si="199"/>
        <v>1101016</v>
      </c>
      <c r="GQ89" s="14" t="s">
        <v>1187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MATCH(HC89,属性投放!$AO$6:$AO$58,1)-1</f>
        <v>27</v>
      </c>
      <c r="HF89" s="13">
        <f>MATCH(HC89-1,属性投放!$AE$6:$AE$26,1)</f>
        <v>12</v>
      </c>
      <c r="HG89" s="13" t="str">
        <f>INDEX(属性投放!$AB$7:$AB$26,卡牌属性!HF89)</f>
        <v>大叫唤+2</v>
      </c>
      <c r="HH89" s="14">
        <f t="shared" si="200"/>
        <v>3413</v>
      </c>
      <c r="HI89" s="14">
        <f t="shared" si="201"/>
        <v>1407</v>
      </c>
      <c r="HJ89" s="14">
        <f t="shared" si="202"/>
        <v>21481</v>
      </c>
      <c r="HK89" s="14">
        <f t="shared" si="203"/>
        <v>30</v>
      </c>
      <c r="HL89" s="14">
        <f t="shared" si="204"/>
        <v>11</v>
      </c>
      <c r="HM89" s="14">
        <f t="shared" si="205"/>
        <v>189</v>
      </c>
      <c r="HN89" s="14">
        <f>HH89+HK89*($HC89-INDEX(属性投放!$AE$6:$AE$26,卡牌属性!$HF89))</f>
        <v>3563</v>
      </c>
      <c r="HO89" s="14">
        <f>HI89+HL89*($HC89-INDEX(属性投放!$AE$6:$AE$26,卡牌属性!$HF89))</f>
        <v>1462</v>
      </c>
      <c r="HP89" s="14">
        <f>HJ89+HM89*($HC89-INDEX(属性投放!$AE$6:$AE$26,卡牌属性!$HF89))</f>
        <v>22426</v>
      </c>
      <c r="HQ89" s="14">
        <f t="shared" si="206"/>
        <v>2755</v>
      </c>
      <c r="HR89" s="14">
        <f t="shared" si="207"/>
        <v>1384</v>
      </c>
      <c r="HS89" s="14">
        <f t="shared" si="208"/>
        <v>22985</v>
      </c>
      <c r="HT89" s="14">
        <f>IF(COUNTIF(属性投放!$AO$7:$AO$58,"="&amp;卡牌属性!HC89)&gt;0,卡牌属性!HE89,0)</f>
        <v>27</v>
      </c>
      <c r="HU89" s="14">
        <f t="shared" si="209"/>
        <v>225</v>
      </c>
      <c r="HV89" s="14">
        <f t="shared" si="210"/>
        <v>113</v>
      </c>
      <c r="HW89" s="14">
        <f t="shared" si="211"/>
        <v>2025</v>
      </c>
      <c r="HX89" s="14">
        <f>IF(COUNTIF(属性投放!$AE$6:$AE$26,"="&amp;卡牌属性!HC89)&gt;0,卡牌属性!HF89,0)</f>
        <v>0</v>
      </c>
      <c r="HY89" s="14">
        <f t="shared" si="212"/>
        <v>0</v>
      </c>
      <c r="HZ89" s="14">
        <f t="shared" si="213"/>
        <v>0</v>
      </c>
      <c r="IA89" s="14">
        <f t="shared" si="214"/>
        <v>0</v>
      </c>
      <c r="IB89" s="14">
        <f t="shared" si="215"/>
        <v>30</v>
      </c>
      <c r="IC89" s="14">
        <f t="shared" si="216"/>
        <v>11</v>
      </c>
      <c r="ID89" s="14">
        <f t="shared" si="217"/>
        <v>189</v>
      </c>
      <c r="IE89" s="14">
        <f t="shared" si="218"/>
        <v>6318</v>
      </c>
      <c r="IF89" s="14">
        <f t="shared" si="219"/>
        <v>2846</v>
      </c>
      <c r="IG89" s="14">
        <f t="shared" si="220"/>
        <v>45411</v>
      </c>
      <c r="IH89" s="14">
        <f t="shared" si="221"/>
        <v>709</v>
      </c>
      <c r="II89" s="14">
        <f t="shared" si="222"/>
        <v>6535</v>
      </c>
      <c r="IJ89" s="14">
        <f t="shared" si="223"/>
        <v>0</v>
      </c>
      <c r="IK89" s="14">
        <f t="shared" si="224"/>
        <v>165511</v>
      </c>
      <c r="IL89" s="17">
        <f t="shared" si="225"/>
        <v>4.2837031979747571E-3</v>
      </c>
      <c r="IM89" s="17">
        <f t="shared" si="226"/>
        <v>3.9483780534224314E-2</v>
      </c>
      <c r="IN89" s="17">
        <f t="shared" si="227"/>
        <v>0</v>
      </c>
      <c r="IO89" s="23">
        <f>SUM(IH$5:IH89)</f>
        <v>41586</v>
      </c>
      <c r="IP89" s="14">
        <f>SUM(II$5:II89)</f>
        <v>78215</v>
      </c>
      <c r="IQ89" s="14">
        <f>SUM(IJ$5:IJ89)</f>
        <v>33840</v>
      </c>
      <c r="IR89" s="17">
        <f t="shared" si="228"/>
        <v>0.2512582245288833</v>
      </c>
      <c r="IS89" s="17">
        <f t="shared" si="229"/>
        <v>0.47256677803892189</v>
      </c>
      <c r="IT89" s="17">
        <f t="shared" si="230"/>
        <v>0.20445770975947217</v>
      </c>
      <c r="IW89" s="13">
        <v>85</v>
      </c>
      <c r="IX89" s="14">
        <f>MATCH(IW89-1,属性投放!$T$6:$T$66,1)</f>
        <v>12</v>
      </c>
      <c r="IY89" s="14">
        <f>MATCH(IW89-1,属性投放!$AD$7:$AD$26,1)</f>
        <v>11</v>
      </c>
      <c r="IZ89" s="14" t="str">
        <f>INDEX(属性投放!$AB$7:$AB$26,IY89)</f>
        <v>大叫唤+1</v>
      </c>
      <c r="JA89" s="14">
        <f t="shared" si="231"/>
        <v>2140</v>
      </c>
      <c r="JB89" s="14">
        <f t="shared" si="232"/>
        <v>1020</v>
      </c>
      <c r="JC89" s="14">
        <f t="shared" si="233"/>
        <v>15492</v>
      </c>
      <c r="JD89" s="14">
        <f t="shared" si="234"/>
        <v>76</v>
      </c>
      <c r="JE89" s="14">
        <f t="shared" si="235"/>
        <v>38</v>
      </c>
      <c r="JF89" s="14">
        <f t="shared" si="236"/>
        <v>685</v>
      </c>
      <c r="JG89" s="14">
        <f>INDEX(属性投放!$DC$6:$DC$85,卡牌属性!IY89)</f>
        <v>60</v>
      </c>
      <c r="JH89" s="14">
        <f t="shared" si="237"/>
        <v>4040</v>
      </c>
      <c r="JI89" s="14">
        <f t="shared" si="238"/>
        <v>1970</v>
      </c>
      <c r="JJ89" s="14">
        <f t="shared" si="239"/>
        <v>32617</v>
      </c>
      <c r="JK89" s="14">
        <f t="shared" si="240"/>
        <v>72517</v>
      </c>
    </row>
    <row r="90" spans="31:271" ht="16.5" x14ac:dyDescent="0.2">
      <c r="AE90" s="13">
        <v>86</v>
      </c>
      <c r="AF90" s="13">
        <f t="shared" si="188"/>
        <v>5</v>
      </c>
      <c r="AG90" s="13">
        <f t="shared" si="169"/>
        <v>4</v>
      </c>
      <c r="AH90" s="13"/>
      <c r="AI90" s="13"/>
      <c r="AJ90" s="14">
        <f t="shared" si="170"/>
        <v>1101005</v>
      </c>
      <c r="AK90" s="14" t="str">
        <f t="shared" si="171"/>
        <v>刘羽禅6突</v>
      </c>
      <c r="AL90" s="25" t="s">
        <v>142</v>
      </c>
      <c r="AM90" s="14">
        <v>1</v>
      </c>
      <c r="AN90" s="14">
        <f t="shared" si="172"/>
        <v>6</v>
      </c>
      <c r="AO90" s="14">
        <f>INDEX(属性投放!$DF$6:$DF$85,(卡牌属性!AG90-2)*20+卡牌属性!AN90)</f>
        <v>868</v>
      </c>
      <c r="AP90" s="14">
        <f t="shared" si="241"/>
        <v>868</v>
      </c>
      <c r="AQ90" s="14">
        <f t="shared" si="241"/>
        <v>868</v>
      </c>
      <c r="AR90" s="14">
        <f t="shared" si="241"/>
        <v>868</v>
      </c>
      <c r="AS90" s="14">
        <f t="shared" si="241"/>
        <v>868</v>
      </c>
      <c r="AT90" s="14">
        <f>INDEX(属性投放!$DG$6:$DG$85,(卡牌属性!AG90-2)*20+卡牌属性!AN90)</f>
        <v>362</v>
      </c>
      <c r="AU90" s="14">
        <f t="shared" si="242"/>
        <v>362</v>
      </c>
      <c r="AV90" s="14">
        <f t="shared" si="242"/>
        <v>362</v>
      </c>
      <c r="AW90" s="14">
        <f t="shared" si="242"/>
        <v>362</v>
      </c>
      <c r="AX90" s="14">
        <f t="shared" si="242"/>
        <v>362</v>
      </c>
      <c r="AY90" s="14">
        <f>INDEX(属性投放!$DH$6:$DH$85,(卡牌属性!AG90-2)*20+卡牌属性!AN90)</f>
        <v>4851</v>
      </c>
      <c r="AZ90" s="14">
        <f t="shared" si="243"/>
        <v>4851</v>
      </c>
      <c r="BA90" s="14">
        <f t="shared" si="243"/>
        <v>4851</v>
      </c>
      <c r="BB90" s="14">
        <f t="shared" si="243"/>
        <v>4851</v>
      </c>
      <c r="BC90" s="14">
        <f t="shared" si="243"/>
        <v>4851</v>
      </c>
      <c r="BD90" s="14">
        <f>INDEX(属性投放!$DL$6:$DL$85,(卡牌属性!AG90-2)*20+卡牌属性!AN90)</f>
        <v>40</v>
      </c>
      <c r="BE90" s="14">
        <f t="shared" si="244"/>
        <v>40</v>
      </c>
      <c r="BF90" s="14">
        <f t="shared" si="244"/>
        <v>40</v>
      </c>
      <c r="BG90" s="14">
        <f t="shared" si="244"/>
        <v>40</v>
      </c>
      <c r="BH90" s="14">
        <f t="shared" si="244"/>
        <v>40</v>
      </c>
      <c r="BI90" s="14">
        <f>INDEX(属性投放!$DM$6:$DM$85,(卡牌属性!AG90-2)*20+卡牌属性!AN90)</f>
        <v>20</v>
      </c>
      <c r="BJ90" s="14">
        <f t="shared" si="245"/>
        <v>20</v>
      </c>
      <c r="BK90" s="14">
        <f t="shared" si="245"/>
        <v>20</v>
      </c>
      <c r="BL90" s="14">
        <f t="shared" si="245"/>
        <v>20</v>
      </c>
      <c r="BM90" s="14">
        <f t="shared" si="245"/>
        <v>20</v>
      </c>
      <c r="BN90" s="14">
        <f>INDEX(属性投放!$DN$6:$DN$85,(卡牌属性!AG90-2)*20+卡牌属性!AN90)</f>
        <v>279</v>
      </c>
      <c r="BO90" s="14">
        <f t="shared" si="246"/>
        <v>279</v>
      </c>
      <c r="BP90" s="14">
        <f t="shared" si="246"/>
        <v>279</v>
      </c>
      <c r="BQ90" s="14">
        <f t="shared" si="246"/>
        <v>279</v>
      </c>
      <c r="BR90" s="14">
        <f t="shared" si="246"/>
        <v>279</v>
      </c>
      <c r="BW90" s="13">
        <v>86</v>
      </c>
      <c r="BX90" s="13">
        <f t="shared" si="173"/>
        <v>5</v>
      </c>
      <c r="BY90" s="14">
        <f t="shared" si="174"/>
        <v>3</v>
      </c>
      <c r="BZ90" s="14">
        <f t="shared" si="189"/>
        <v>1102005</v>
      </c>
      <c r="CA90" s="14" t="str">
        <f t="shared" si="190"/>
        <v>李轩辕6突</v>
      </c>
      <c r="CB90" s="25" t="s">
        <v>142</v>
      </c>
      <c r="CC90" s="14">
        <v>2</v>
      </c>
      <c r="CD90" s="14">
        <f t="shared" si="175"/>
        <v>6</v>
      </c>
      <c r="CE90" s="14" t="s">
        <v>21</v>
      </c>
      <c r="CF90" s="14">
        <f>INDEX(属性投放!$AZ$6:$AZ$85,(BY90-2)*20+CD90)</f>
        <v>1201</v>
      </c>
      <c r="CG90" s="14" t="s">
        <v>22</v>
      </c>
      <c r="CH90" s="14">
        <f>INDEX(属性投放!$BA$6:$BA$85,(BY90-2)*20+CD90)</f>
        <v>538</v>
      </c>
      <c r="CI90" s="14" t="s">
        <v>510</v>
      </c>
      <c r="CJ90" s="14">
        <f>INDEX(属性投放!$BB$6:$BB$85,(BY90-2)*20+CD90)</f>
        <v>7355</v>
      </c>
      <c r="CK90" s="14" t="s">
        <v>21</v>
      </c>
      <c r="CL90" s="14">
        <f>INDEX(属性投放!$BC$6:$BC$85,(BY90-2)*20+CD90)</f>
        <v>12</v>
      </c>
      <c r="CM90" s="14" t="s">
        <v>22</v>
      </c>
      <c r="CN90" s="14">
        <f>INDEX(属性投放!$BD$6:$BD$85,(BY90-2)*20+CD90)</f>
        <v>6</v>
      </c>
      <c r="CO90" s="14" t="s">
        <v>510</v>
      </c>
      <c r="CP90" s="14">
        <f>INDEX(属性投放!$BE$6:$BE$85,(BY90-2)*20+CD90)</f>
        <v>84</v>
      </c>
      <c r="CS90" s="13">
        <v>86</v>
      </c>
      <c r="CT90" s="13">
        <f t="shared" si="191"/>
        <v>2</v>
      </c>
      <c r="CU90" s="13">
        <f t="shared" si="192"/>
        <v>34</v>
      </c>
      <c r="CV90" s="14">
        <f t="shared" si="193"/>
        <v>3</v>
      </c>
      <c r="CW90" s="14">
        <f t="shared" si="194"/>
        <v>1102002</v>
      </c>
      <c r="CX90" s="14" t="str">
        <f>INDEX($O$6:$O$50,CT90)&amp;"-"&amp;INDEX(属性投放!$AB$7:$AB$50,CZ90)&amp;"-魂火-"&amp;DB90</f>
        <v>许褚-焦热+2-魂火-1</v>
      </c>
      <c r="CY90" s="25" t="s">
        <v>142</v>
      </c>
      <c r="CZ90" s="14">
        <f>INDEX(属性投放!$AM$7:$AM$58,CU90)</f>
        <v>15</v>
      </c>
      <c r="DA90" s="14" t="s">
        <v>537</v>
      </c>
      <c r="DB90" s="14">
        <f>INDEX(属性投放!$AN$7:$AN$58,CU90)</f>
        <v>1</v>
      </c>
      <c r="DC90" s="14">
        <f t="shared" si="176"/>
        <v>34</v>
      </c>
      <c r="DD90" s="14">
        <f>INDEX(属性投放!$AO$7:$AO$58,DC90)</f>
        <v>103</v>
      </c>
      <c r="DE90" s="14" t="s">
        <v>538</v>
      </c>
      <c r="DF90" s="14">
        <f>INDEX(属性投放!$BK$6:$BK$85,(CV90-2)*20+CZ90)</f>
        <v>400</v>
      </c>
      <c r="DG90" s="14">
        <f>SUMIFS(DF$5:DF90,$CT$5:$CT90,"="&amp;$CT90)</f>
        <v>4470</v>
      </c>
      <c r="DH90" s="14" t="s">
        <v>539</v>
      </c>
      <c r="DI90" s="14">
        <f>INDEX(属性投放!$BL$6:$BL$85,(CV90-2)*20+CZ90)</f>
        <v>200</v>
      </c>
      <c r="DJ90" s="14">
        <f>SUMIFS(DI$5:DI90,$CT$5:$CT90,"="&amp;$CT90)</f>
        <v>2238</v>
      </c>
      <c r="DK90" s="14" t="s">
        <v>540</v>
      </c>
      <c r="DL90" s="14">
        <f>INDEX(属性投放!$BM$6:$BM$85,(CV90-2)*20+CZ90)</f>
        <v>4000</v>
      </c>
      <c r="DM90" s="14">
        <f>SUMIFS(DL$5:DL90,$CT$5:$CT90,"="&amp;$CT90)</f>
        <v>40740</v>
      </c>
      <c r="DR90" s="14">
        <f t="shared" si="177"/>
        <v>1102005</v>
      </c>
      <c r="DS90" s="14" t="str">
        <f t="shared" si="178"/>
        <v>李轩辕6突</v>
      </c>
      <c r="DT90" s="14">
        <f t="shared" si="195"/>
        <v>4</v>
      </c>
      <c r="DU90" s="14">
        <f t="shared" si="196"/>
        <v>5</v>
      </c>
      <c r="DV90" s="14">
        <f t="shared" si="197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INDEX(属性投放!$AX$6:$AX$85,(卡牌属性!DW90-2)*20+卡牌属性!DX90)</f>
        <v>5</v>
      </c>
      <c r="EA90" s="14">
        <f>INDEX(属性投放!BQ$6:BQ$85,卡牌属性!$DY90)</f>
        <v>140</v>
      </c>
      <c r="EB90" s="14">
        <f>INDEX(属性投放!BR$6:BR$85,卡牌属性!$DY90)</f>
        <v>70</v>
      </c>
      <c r="EC90" s="14">
        <f>INDEX(属性投放!BS$6:BS$85,卡牌属性!$DY90)</f>
        <v>980</v>
      </c>
      <c r="ED90" s="14">
        <f t="shared" si="248"/>
        <v>794</v>
      </c>
      <c r="EE90" s="14">
        <f t="shared" si="249"/>
        <v>901</v>
      </c>
      <c r="EF90" s="14">
        <f t="shared" si="250"/>
        <v>991</v>
      </c>
      <c r="EG90" s="14">
        <f t="shared" si="251"/>
        <v>991</v>
      </c>
      <c r="EH90" s="14">
        <f t="shared" si="252"/>
        <v>1203</v>
      </c>
      <c r="EI90" s="14">
        <f t="shared" si="253"/>
        <v>406</v>
      </c>
      <c r="EJ90" s="14">
        <f t="shared" si="254"/>
        <v>457</v>
      </c>
      <c r="EK90" s="14">
        <f t="shared" si="255"/>
        <v>457</v>
      </c>
      <c r="EL90" s="14">
        <f t="shared" si="256"/>
        <v>562</v>
      </c>
      <c r="EM90" s="14">
        <f t="shared" si="257"/>
        <v>628</v>
      </c>
      <c r="EN90" s="14">
        <f t="shared" si="258"/>
        <v>5942</v>
      </c>
      <c r="EO90" s="14">
        <f t="shared" si="259"/>
        <v>7333</v>
      </c>
      <c r="EP90" s="14">
        <f t="shared" si="260"/>
        <v>7333</v>
      </c>
      <c r="EQ90" s="14">
        <f t="shared" si="261"/>
        <v>8035</v>
      </c>
      <c r="ER90" s="14">
        <f t="shared" si="262"/>
        <v>9000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91</v>
      </c>
      <c r="FD90" s="14">
        <f>INDEX(属性偏向!$U$4:$U$243,(卡牌属性!$DV90-1+FD$3)*20+卡牌属性!$DX90)</f>
        <v>140</v>
      </c>
      <c r="FE90" s="14">
        <f>INDEX(属性偏向!$U$4:$U$243,(卡牌属性!$DV90-1+FE$3)*20+卡牌属性!$DX90)</f>
        <v>140</v>
      </c>
      <c r="FF90" s="14">
        <f>INDEX(属性偏向!$U$4:$U$243,(卡牌属性!$DV90-1+FF$3)*20+卡牌属性!$DX90)</f>
        <v>154</v>
      </c>
      <c r="FG90" s="14">
        <f>INDEX(属性偏向!$U$4:$U$243,(卡牌属性!$DV90-1+FG$3)*20+卡牌属性!$DX90)</f>
        <v>175</v>
      </c>
      <c r="FH90" s="14">
        <f>INDEX(属性投放!$BQ$6:$BQ$85,(卡牌属性!$DW90-2)*20+卡牌属性!$DX90)</f>
        <v>140</v>
      </c>
      <c r="FI90" s="14">
        <f>INDEX(属性投放!$BQ$6:$BQ$85,(卡牌属性!$DW90-2)*20+卡牌属性!$DX90)</f>
        <v>140</v>
      </c>
      <c r="FJ90" s="14">
        <f>INDEX(属性投放!$BQ$6:$BQ$85,(卡牌属性!$DW90-2)*20+卡牌属性!$DX90)</f>
        <v>140</v>
      </c>
      <c r="FK90" s="14">
        <f>INDEX(属性投放!$BQ$6:$BQ$85,(卡牌属性!$DW90-2)*20+卡牌属性!$DX90)</f>
        <v>140</v>
      </c>
      <c r="FL90" s="14">
        <f>INDEX(属性投放!$BQ$6:$BQ$85,(卡牌属性!$DW90-2)*20+卡牌属性!$DX90)</f>
        <v>140</v>
      </c>
      <c r="FM90" s="14">
        <f>INDEX(属性投放!$BR$6:$BR$85,(卡牌属性!$DW90-2)*20+卡牌属性!$DX90)</f>
        <v>70</v>
      </c>
      <c r="FN90" s="14">
        <f>INDEX(属性投放!$BR$6:$BR$85,(卡牌属性!$DW90-2)*20+卡牌属性!$DX90)</f>
        <v>70</v>
      </c>
      <c r="FO90" s="14">
        <f>INDEX(属性投放!$BR$6:$BR$85,(卡牌属性!$DW90-2)*20+卡牌属性!$DX90)</f>
        <v>70</v>
      </c>
      <c r="FP90" s="14">
        <f>INDEX(属性投放!$BR$6:$BR$85,(卡牌属性!$DW90-2)*20+卡牌属性!$DX90)</f>
        <v>70</v>
      </c>
      <c r="FQ90" s="14">
        <f>INDEX(属性投放!$BR$6:$BR$85,(卡牌属性!$DW90-2)*20+卡牌属性!$DX90)</f>
        <v>70</v>
      </c>
      <c r="FR90" s="14">
        <f>INDEX(属性投放!$BS$6:$BS$85,(卡牌属性!$DW90-2)*20+卡牌属性!$DX90)</f>
        <v>980</v>
      </c>
      <c r="FS90" s="14">
        <f>INDEX(属性投放!$BS$6:$BS$85,(卡牌属性!$DW90-2)*20+卡牌属性!$DX90)</f>
        <v>980</v>
      </c>
      <c r="FT90" s="14">
        <f>INDEX(属性投放!$BS$6:$BS$85,(卡牌属性!$DW90-2)*20+卡牌属性!$DX90)</f>
        <v>980</v>
      </c>
      <c r="FU90" s="14">
        <f>INDEX(属性投放!$BS$6:$BS$85,(卡牌属性!$DW90-2)*20+卡牌属性!$DX90)</f>
        <v>980</v>
      </c>
      <c r="FV90" s="14">
        <f>INDEX(属性投放!$BS$6:$BS$85,(卡牌属性!$DW90-2)*20+卡牌属性!$DX90)</f>
        <v>980</v>
      </c>
      <c r="FZ90" s="13">
        <v>86</v>
      </c>
      <c r="GA90" s="13">
        <f t="shared" si="182"/>
        <v>18</v>
      </c>
      <c r="GB90" s="14">
        <f t="shared" si="198"/>
        <v>1102018</v>
      </c>
      <c r="GC90" s="14" t="s">
        <v>1187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3">INT((GN90-1)/5)+1</f>
        <v>18</v>
      </c>
      <c r="GP90" s="14">
        <f t="shared" si="199"/>
        <v>1101020</v>
      </c>
      <c r="GQ90" s="14" t="s">
        <v>1187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MATCH(HC90,属性投放!$AO$6:$AO$58,1)-1</f>
        <v>27</v>
      </c>
      <c r="HF90" s="13">
        <f>MATCH(HC90-1,属性投放!$AE$6:$AE$26,1)</f>
        <v>12</v>
      </c>
      <c r="HG90" s="13" t="str">
        <f>INDEX(属性投放!$AB$7:$AB$26,卡牌属性!HF90)</f>
        <v>大叫唤+2</v>
      </c>
      <c r="HH90" s="14">
        <f t="shared" si="200"/>
        <v>3413</v>
      </c>
      <c r="HI90" s="14">
        <f t="shared" si="201"/>
        <v>1407</v>
      </c>
      <c r="HJ90" s="14">
        <f t="shared" si="202"/>
        <v>21481</v>
      </c>
      <c r="HK90" s="14">
        <f t="shared" si="203"/>
        <v>30</v>
      </c>
      <c r="HL90" s="14">
        <f t="shared" si="204"/>
        <v>11</v>
      </c>
      <c r="HM90" s="14">
        <f t="shared" si="205"/>
        <v>189</v>
      </c>
      <c r="HN90" s="14">
        <f>HH90+HK90*($HC90-INDEX(属性投放!$AE$6:$AE$26,卡牌属性!$HF90))</f>
        <v>3593</v>
      </c>
      <c r="HO90" s="14">
        <f>HI90+HL90*($HC90-INDEX(属性投放!$AE$6:$AE$26,卡牌属性!$HF90))</f>
        <v>1473</v>
      </c>
      <c r="HP90" s="14">
        <f>HJ90+HM90*($HC90-INDEX(属性投放!$AE$6:$AE$26,卡牌属性!$HF90))</f>
        <v>22615</v>
      </c>
      <c r="HQ90" s="14">
        <f t="shared" si="206"/>
        <v>2755</v>
      </c>
      <c r="HR90" s="14">
        <f t="shared" si="207"/>
        <v>1384</v>
      </c>
      <c r="HS90" s="14">
        <f t="shared" si="208"/>
        <v>22985</v>
      </c>
      <c r="HT90" s="14">
        <f>IF(COUNTIF(属性投放!$AO$7:$AO$58,"="&amp;卡牌属性!HC90)&gt;0,卡牌属性!HE90,0)</f>
        <v>0</v>
      </c>
      <c r="HU90" s="14">
        <f t="shared" si="209"/>
        <v>0</v>
      </c>
      <c r="HV90" s="14">
        <f t="shared" si="210"/>
        <v>0</v>
      </c>
      <c r="HW90" s="14">
        <f t="shared" si="211"/>
        <v>0</v>
      </c>
      <c r="HX90" s="14">
        <f>IF(COUNTIF(属性投放!$AE$6:$AE$26,"="&amp;卡牌属性!HC90)&gt;0,卡牌属性!HF90,0)</f>
        <v>0</v>
      </c>
      <c r="HY90" s="14">
        <f t="shared" si="212"/>
        <v>0</v>
      </c>
      <c r="HZ90" s="14">
        <f t="shared" si="213"/>
        <v>0</v>
      </c>
      <c r="IA90" s="14">
        <f t="shared" si="214"/>
        <v>0</v>
      </c>
      <c r="IB90" s="14">
        <f t="shared" si="215"/>
        <v>30</v>
      </c>
      <c r="IC90" s="14">
        <f t="shared" si="216"/>
        <v>11</v>
      </c>
      <c r="ID90" s="14">
        <f t="shared" si="217"/>
        <v>189</v>
      </c>
      <c r="IE90" s="14">
        <f t="shared" si="218"/>
        <v>6348</v>
      </c>
      <c r="IF90" s="14">
        <f t="shared" si="219"/>
        <v>2857</v>
      </c>
      <c r="IG90" s="14">
        <f t="shared" si="220"/>
        <v>45600</v>
      </c>
      <c r="IH90" s="14">
        <f t="shared" si="221"/>
        <v>709</v>
      </c>
      <c r="II90" s="14">
        <f t="shared" si="222"/>
        <v>0</v>
      </c>
      <c r="IJ90" s="14">
        <f t="shared" si="223"/>
        <v>0</v>
      </c>
      <c r="IK90" s="14">
        <f t="shared" si="224"/>
        <v>166220</v>
      </c>
      <c r="IL90" s="17">
        <f t="shared" si="225"/>
        <v>4.2654313560341718E-3</v>
      </c>
      <c r="IM90" s="17">
        <f t="shared" si="226"/>
        <v>0</v>
      </c>
      <c r="IN90" s="17">
        <f t="shared" si="227"/>
        <v>0</v>
      </c>
      <c r="IO90" s="23">
        <f>SUM(IH$5:IH90)</f>
        <v>42295</v>
      </c>
      <c r="IP90" s="14">
        <f>SUM(II$5:II90)</f>
        <v>78215</v>
      </c>
      <c r="IQ90" s="14">
        <f>SUM(IJ$5:IJ90)</f>
        <v>33840</v>
      </c>
      <c r="IR90" s="17">
        <f t="shared" si="228"/>
        <v>0.25445193117555048</v>
      </c>
      <c r="IS90" s="17">
        <f t="shared" si="229"/>
        <v>0.47055107688605463</v>
      </c>
      <c r="IT90" s="17">
        <f t="shared" si="230"/>
        <v>0.20358560943328119</v>
      </c>
      <c r="IW90" s="13">
        <v>86</v>
      </c>
      <c r="IX90" s="14">
        <f>MATCH(IW90-1,属性投放!$T$6:$T$66,1)</f>
        <v>12</v>
      </c>
      <c r="IY90" s="14">
        <f>MATCH(IW90-1,属性投放!$AD$7:$AD$26,1)</f>
        <v>12</v>
      </c>
      <c r="IZ90" s="14" t="str">
        <f>INDEX(属性投放!$AB$7:$AB$26,IY90)</f>
        <v>大叫唤+2</v>
      </c>
      <c r="JA90" s="14">
        <f t="shared" si="231"/>
        <v>2357</v>
      </c>
      <c r="JB90" s="14">
        <f t="shared" si="232"/>
        <v>1129</v>
      </c>
      <c r="JC90" s="14">
        <f t="shared" si="233"/>
        <v>17449</v>
      </c>
      <c r="JD90" s="14">
        <f t="shared" si="234"/>
        <v>76</v>
      </c>
      <c r="JE90" s="14">
        <f t="shared" si="235"/>
        <v>38</v>
      </c>
      <c r="JF90" s="14">
        <f t="shared" si="236"/>
        <v>685</v>
      </c>
      <c r="JG90" s="14">
        <f>INDEX(属性投放!$DC$6:$DC$85,卡牌属性!IY90)</f>
        <v>60</v>
      </c>
      <c r="JH90" s="14">
        <f t="shared" si="237"/>
        <v>4333</v>
      </c>
      <c r="JI90" s="14">
        <f t="shared" si="238"/>
        <v>2117</v>
      </c>
      <c r="JJ90" s="14">
        <f t="shared" si="239"/>
        <v>35259</v>
      </c>
      <c r="JK90" s="14">
        <f t="shared" si="240"/>
        <v>78094</v>
      </c>
    </row>
    <row r="91" spans="31:271" ht="16.5" x14ac:dyDescent="0.2">
      <c r="AE91" s="13">
        <v>87</v>
      </c>
      <c r="AF91" s="13">
        <f t="shared" si="188"/>
        <v>5</v>
      </c>
      <c r="AG91" s="13">
        <f t="shared" si="169"/>
        <v>4</v>
      </c>
      <c r="AH91" s="13"/>
      <c r="AI91" s="13"/>
      <c r="AJ91" s="14">
        <f t="shared" si="170"/>
        <v>1101005</v>
      </c>
      <c r="AK91" s="14" t="str">
        <f t="shared" si="171"/>
        <v>刘羽禅7突</v>
      </c>
      <c r="AL91" s="25" t="s">
        <v>142</v>
      </c>
      <c r="AM91" s="14">
        <v>1</v>
      </c>
      <c r="AN91" s="14">
        <f t="shared" si="172"/>
        <v>7</v>
      </c>
      <c r="AO91" s="14">
        <f>INDEX(属性投放!$DF$6:$DF$85,(卡牌属性!AG91-2)*20+卡牌属性!AN91)</f>
        <v>1982</v>
      </c>
      <c r="AP91" s="14">
        <f t="shared" si="241"/>
        <v>1982</v>
      </c>
      <c r="AQ91" s="14">
        <f t="shared" si="241"/>
        <v>1982</v>
      </c>
      <c r="AR91" s="14">
        <f t="shared" si="241"/>
        <v>1982</v>
      </c>
      <c r="AS91" s="14">
        <f t="shared" si="241"/>
        <v>1982</v>
      </c>
      <c r="AT91" s="14">
        <f>INDEX(属性投放!$DG$6:$DG$85,(卡牌属性!AG91-2)*20+卡牌属性!AN91)</f>
        <v>919</v>
      </c>
      <c r="AU91" s="14">
        <f t="shared" si="242"/>
        <v>919</v>
      </c>
      <c r="AV91" s="14">
        <f t="shared" si="242"/>
        <v>919</v>
      </c>
      <c r="AW91" s="14">
        <f t="shared" si="242"/>
        <v>919</v>
      </c>
      <c r="AX91" s="14">
        <f t="shared" si="242"/>
        <v>919</v>
      </c>
      <c r="AY91" s="14">
        <f>INDEX(属性投放!$DH$6:$DH$85,(卡牌属性!AG91-2)*20+卡牌属性!AN91)</f>
        <v>12624</v>
      </c>
      <c r="AZ91" s="14">
        <f t="shared" si="243"/>
        <v>12624</v>
      </c>
      <c r="BA91" s="14">
        <f t="shared" si="243"/>
        <v>12624</v>
      </c>
      <c r="BB91" s="14">
        <f t="shared" si="243"/>
        <v>12624</v>
      </c>
      <c r="BC91" s="14">
        <f t="shared" si="243"/>
        <v>12624</v>
      </c>
      <c r="BD91" s="14">
        <f>INDEX(属性投放!$DL$6:$DL$85,(卡牌属性!AG91-2)*20+卡牌属性!AN91)</f>
        <v>58</v>
      </c>
      <c r="BE91" s="14">
        <f t="shared" si="244"/>
        <v>58</v>
      </c>
      <c r="BF91" s="14">
        <f t="shared" si="244"/>
        <v>58</v>
      </c>
      <c r="BG91" s="14">
        <f t="shared" si="244"/>
        <v>58</v>
      </c>
      <c r="BH91" s="14">
        <f t="shared" si="244"/>
        <v>58</v>
      </c>
      <c r="BI91" s="14">
        <f>INDEX(属性投放!$DM$6:$DM$85,(卡牌属性!AG91-2)*20+卡牌属性!AN91)</f>
        <v>29</v>
      </c>
      <c r="BJ91" s="14">
        <f t="shared" si="245"/>
        <v>29</v>
      </c>
      <c r="BK91" s="14">
        <f t="shared" si="245"/>
        <v>29</v>
      </c>
      <c r="BL91" s="14">
        <f t="shared" si="245"/>
        <v>29</v>
      </c>
      <c r="BM91" s="14">
        <f t="shared" si="245"/>
        <v>29</v>
      </c>
      <c r="BN91" s="14">
        <f>INDEX(属性投放!$DN$6:$DN$85,(卡牌属性!AG91-2)*20+卡牌属性!AN91)</f>
        <v>461</v>
      </c>
      <c r="BO91" s="14">
        <f t="shared" si="246"/>
        <v>461</v>
      </c>
      <c r="BP91" s="14">
        <f t="shared" si="246"/>
        <v>461</v>
      </c>
      <c r="BQ91" s="14">
        <f t="shared" si="246"/>
        <v>461</v>
      </c>
      <c r="BR91" s="14">
        <f t="shared" si="246"/>
        <v>461</v>
      </c>
      <c r="BW91" s="13">
        <v>87</v>
      </c>
      <c r="BX91" s="13">
        <f t="shared" si="173"/>
        <v>5</v>
      </c>
      <c r="BY91" s="14">
        <f t="shared" si="174"/>
        <v>3</v>
      </c>
      <c r="BZ91" s="14">
        <f t="shared" si="189"/>
        <v>1102005</v>
      </c>
      <c r="CA91" s="14" t="str">
        <f t="shared" si="190"/>
        <v>李轩辕7突</v>
      </c>
      <c r="CB91" s="25" t="s">
        <v>142</v>
      </c>
      <c r="CC91" s="14">
        <v>2</v>
      </c>
      <c r="CD91" s="14">
        <f t="shared" si="175"/>
        <v>7</v>
      </c>
      <c r="CE91" s="14" t="s">
        <v>21</v>
      </c>
      <c r="CF91" s="14">
        <f>INDEX(属性投放!$AZ$6:$AZ$85,(BY91-2)*20+CD91)</f>
        <v>1501</v>
      </c>
      <c r="CG91" s="14" t="s">
        <v>22</v>
      </c>
      <c r="CH91" s="14">
        <f>INDEX(属性投放!$BA$6:$BA$85,(BY91-2)*20+CD91)</f>
        <v>688</v>
      </c>
      <c r="CI91" s="14" t="s">
        <v>510</v>
      </c>
      <c r="CJ91" s="14">
        <f>INDEX(属性投放!$BB$6:$BB$85,(BY91-2)*20+CD91)</f>
        <v>9455</v>
      </c>
      <c r="CK91" s="14" t="s">
        <v>21</v>
      </c>
      <c r="CL91" s="14">
        <f>INDEX(属性投放!$BC$6:$BC$85,(BY91-2)*20+CD91)</f>
        <v>15</v>
      </c>
      <c r="CM91" s="14" t="s">
        <v>22</v>
      </c>
      <c r="CN91" s="14">
        <f>INDEX(属性投放!$BD$6:$BD$85,(BY91-2)*20+CD91)</f>
        <v>8</v>
      </c>
      <c r="CO91" s="14" t="s">
        <v>510</v>
      </c>
      <c r="CP91" s="14">
        <f>INDEX(属性投放!$BE$6:$BE$85,(BY91-2)*20+CD91)</f>
        <v>120</v>
      </c>
      <c r="CS91" s="13">
        <v>87</v>
      </c>
      <c r="CT91" s="13">
        <f t="shared" si="191"/>
        <v>2</v>
      </c>
      <c r="CU91" s="13">
        <f t="shared" si="192"/>
        <v>35</v>
      </c>
      <c r="CV91" s="14">
        <f t="shared" si="193"/>
        <v>3</v>
      </c>
      <c r="CW91" s="14">
        <f t="shared" si="194"/>
        <v>1102002</v>
      </c>
      <c r="CX91" s="14" t="str">
        <f>INDEX($O$6:$O$50,CT91)&amp;"-"&amp;INDEX(属性投放!$AB$7:$AB$50,CZ91)&amp;"-魂火-"&amp;DB91</f>
        <v>许褚-焦热+2-魂火-2</v>
      </c>
      <c r="CY91" s="25" t="s">
        <v>142</v>
      </c>
      <c r="CZ91" s="14">
        <f>INDEX(属性投放!$AM$7:$AM$58,CU91)</f>
        <v>15</v>
      </c>
      <c r="DA91" s="14" t="s">
        <v>537</v>
      </c>
      <c r="DB91" s="14">
        <f>INDEX(属性投放!$AN$7:$AN$58,CU91)</f>
        <v>2</v>
      </c>
      <c r="DC91" s="14">
        <f t="shared" si="176"/>
        <v>35</v>
      </c>
      <c r="DD91" s="14">
        <f>INDEX(属性投放!$AO$7:$AO$58,DC91)</f>
        <v>105</v>
      </c>
      <c r="DE91" s="14" t="s">
        <v>538</v>
      </c>
      <c r="DF91" s="14">
        <f>INDEX(属性投放!$BK$6:$BK$85,(CV91-2)*20+CZ91)</f>
        <v>400</v>
      </c>
      <c r="DG91" s="14">
        <f>SUMIFS(DF$5:DF91,$CT$5:$CT91,"="&amp;$CT91)</f>
        <v>4870</v>
      </c>
      <c r="DH91" s="14" t="s">
        <v>539</v>
      </c>
      <c r="DI91" s="14">
        <f>INDEX(属性投放!$BL$6:$BL$85,(CV91-2)*20+CZ91)</f>
        <v>200</v>
      </c>
      <c r="DJ91" s="14">
        <f>SUMIFS(DI$5:DI91,$CT$5:$CT91,"="&amp;$CT91)</f>
        <v>2438</v>
      </c>
      <c r="DK91" s="14" t="s">
        <v>540</v>
      </c>
      <c r="DL91" s="14">
        <f>INDEX(属性投放!$BM$6:$BM$85,(CV91-2)*20+CZ91)</f>
        <v>4000</v>
      </c>
      <c r="DM91" s="14">
        <f>SUMIFS(DL$5:DL91,$CT$5:$CT91,"="&amp;$CT91)</f>
        <v>44740</v>
      </c>
      <c r="DR91" s="14">
        <f t="shared" si="177"/>
        <v>1102005</v>
      </c>
      <c r="DS91" s="14" t="str">
        <f t="shared" si="178"/>
        <v>李轩辕7突</v>
      </c>
      <c r="DT91" s="14">
        <f t="shared" si="195"/>
        <v>4</v>
      </c>
      <c r="DU91" s="14">
        <f t="shared" si="196"/>
        <v>5</v>
      </c>
      <c r="DV91" s="14">
        <f t="shared" si="197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INDEX(属性投放!$AX$6:$AX$85,(卡牌属性!DW91-2)*20+卡牌属性!DX91)</f>
        <v>5</v>
      </c>
      <c r="EA91" s="14">
        <f>INDEX(属性投放!BQ$6:BQ$85,卡牌属性!$DY91)</f>
        <v>135</v>
      </c>
      <c r="EB91" s="14">
        <f>INDEX(属性投放!BR$6:BR$85,卡牌属性!$DY91)</f>
        <v>68</v>
      </c>
      <c r="EC91" s="14">
        <f>INDEX(属性投放!BS$6:BS$85,卡牌属性!$DY91)</f>
        <v>1080</v>
      </c>
      <c r="ED91" s="14">
        <f t="shared" si="248"/>
        <v>984</v>
      </c>
      <c r="EE91" s="14">
        <f t="shared" si="249"/>
        <v>1101</v>
      </c>
      <c r="EF91" s="14">
        <f t="shared" si="250"/>
        <v>1196</v>
      </c>
      <c r="EG91" s="14">
        <f t="shared" si="251"/>
        <v>1196</v>
      </c>
      <c r="EH91" s="14">
        <f t="shared" si="252"/>
        <v>1443</v>
      </c>
      <c r="EI91" s="14">
        <f t="shared" si="253"/>
        <v>506</v>
      </c>
      <c r="EJ91" s="14">
        <f t="shared" si="254"/>
        <v>562</v>
      </c>
      <c r="EK91" s="14">
        <f t="shared" si="255"/>
        <v>562</v>
      </c>
      <c r="EL91" s="14">
        <f t="shared" si="256"/>
        <v>682</v>
      </c>
      <c r="EM91" s="14">
        <f t="shared" si="257"/>
        <v>753</v>
      </c>
      <c r="EN91" s="14">
        <f t="shared" si="258"/>
        <v>7377</v>
      </c>
      <c r="EO91" s="14">
        <f t="shared" si="259"/>
        <v>9013</v>
      </c>
      <c r="EP91" s="14">
        <f t="shared" si="260"/>
        <v>9013</v>
      </c>
      <c r="EQ91" s="14">
        <f t="shared" si="261"/>
        <v>9785</v>
      </c>
      <c r="ER91" s="14">
        <f t="shared" si="262"/>
        <v>10855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128</v>
      </c>
      <c r="FD91" s="14">
        <f>INDEX(属性偏向!$U$4:$U$243,(卡牌属性!$DV91-1+FD$3)*20+卡牌属性!$DX91)</f>
        <v>200</v>
      </c>
      <c r="FE91" s="14">
        <f>INDEX(属性偏向!$U$4:$U$243,(卡牌属性!$DV91-1+FE$3)*20+卡牌属性!$DX91)</f>
        <v>200</v>
      </c>
      <c r="FF91" s="14">
        <f>INDEX(属性偏向!$U$4:$U$243,(卡牌属性!$DV91-1+FF$3)*20+卡牌属性!$DX91)</f>
        <v>224</v>
      </c>
      <c r="FG91" s="14">
        <f>INDEX(属性偏向!$U$4:$U$243,(卡牌属性!$DV91-1+FG$3)*20+卡牌属性!$DX91)</f>
        <v>240</v>
      </c>
      <c r="FH91" s="14">
        <f>INDEX(属性投放!$BQ$6:$BQ$85,(卡牌属性!$DW91-2)*20+卡牌属性!$DX91)</f>
        <v>135</v>
      </c>
      <c r="FI91" s="14">
        <f>INDEX(属性投放!$BQ$6:$BQ$85,(卡牌属性!$DW91-2)*20+卡牌属性!$DX91)</f>
        <v>135</v>
      </c>
      <c r="FJ91" s="14">
        <f>INDEX(属性投放!$BQ$6:$BQ$85,(卡牌属性!$DW91-2)*20+卡牌属性!$DX91)</f>
        <v>135</v>
      </c>
      <c r="FK91" s="14">
        <f>INDEX(属性投放!$BQ$6:$BQ$85,(卡牌属性!$DW91-2)*20+卡牌属性!$DX91)</f>
        <v>135</v>
      </c>
      <c r="FL91" s="14">
        <f>INDEX(属性投放!$BQ$6:$BQ$85,(卡牌属性!$DW91-2)*20+卡牌属性!$DX91)</f>
        <v>135</v>
      </c>
      <c r="FM91" s="14">
        <f>INDEX(属性投放!$BR$6:$BR$85,(卡牌属性!$DW91-2)*20+卡牌属性!$DX91)</f>
        <v>68</v>
      </c>
      <c r="FN91" s="14">
        <f>INDEX(属性投放!$BR$6:$BR$85,(卡牌属性!$DW91-2)*20+卡牌属性!$DX91)</f>
        <v>68</v>
      </c>
      <c r="FO91" s="14">
        <f>INDEX(属性投放!$BR$6:$BR$85,(卡牌属性!$DW91-2)*20+卡牌属性!$DX91)</f>
        <v>68</v>
      </c>
      <c r="FP91" s="14">
        <f>INDEX(属性投放!$BR$6:$BR$85,(卡牌属性!$DW91-2)*20+卡牌属性!$DX91)</f>
        <v>68</v>
      </c>
      <c r="FQ91" s="14">
        <f>INDEX(属性投放!$BR$6:$BR$85,(卡牌属性!$DW91-2)*20+卡牌属性!$DX91)</f>
        <v>68</v>
      </c>
      <c r="FR91" s="14">
        <f>INDEX(属性投放!$BS$6:$BS$85,(卡牌属性!$DW91-2)*20+卡牌属性!$DX91)</f>
        <v>1080</v>
      </c>
      <c r="FS91" s="14">
        <f>INDEX(属性投放!$BS$6:$BS$85,(卡牌属性!$DW91-2)*20+卡牌属性!$DX91)</f>
        <v>1080</v>
      </c>
      <c r="FT91" s="14">
        <f>INDEX(属性投放!$BS$6:$BS$85,(卡牌属性!$DW91-2)*20+卡牌属性!$DX91)</f>
        <v>1080</v>
      </c>
      <c r="FU91" s="14">
        <f>INDEX(属性投放!$BS$6:$BS$85,(卡牌属性!$DW91-2)*20+卡牌属性!$DX91)</f>
        <v>1080</v>
      </c>
      <c r="FV91" s="14">
        <f>INDEX(属性投放!$BS$6:$BS$85,(卡牌属性!$DW91-2)*20+卡牌属性!$DX91)</f>
        <v>1080</v>
      </c>
      <c r="FZ91" s="13">
        <v>87</v>
      </c>
      <c r="GA91" s="13">
        <f t="shared" si="182"/>
        <v>18</v>
      </c>
      <c r="GB91" s="14">
        <f t="shared" si="198"/>
        <v>1102018</v>
      </c>
      <c r="GC91" s="14" t="s">
        <v>1187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3"/>
        <v>18</v>
      </c>
      <c r="GP91" s="14">
        <f t="shared" si="199"/>
        <v>1101020</v>
      </c>
      <c r="GQ91" s="14" t="s">
        <v>1187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MATCH(HC91,属性投放!$AO$6:$AO$58,1)-1</f>
        <v>27</v>
      </c>
      <c r="HF91" s="13">
        <f>MATCH(HC91-1,属性投放!$AE$6:$AE$26,1)</f>
        <v>12</v>
      </c>
      <c r="HG91" s="13" t="str">
        <f>INDEX(属性投放!$AB$7:$AB$26,卡牌属性!HF91)</f>
        <v>大叫唤+2</v>
      </c>
      <c r="HH91" s="14">
        <f t="shared" si="200"/>
        <v>3413</v>
      </c>
      <c r="HI91" s="14">
        <f t="shared" si="201"/>
        <v>1407</v>
      </c>
      <c r="HJ91" s="14">
        <f t="shared" si="202"/>
        <v>21481</v>
      </c>
      <c r="HK91" s="14">
        <f t="shared" si="203"/>
        <v>30</v>
      </c>
      <c r="HL91" s="14">
        <f t="shared" si="204"/>
        <v>11</v>
      </c>
      <c r="HM91" s="14">
        <f t="shared" si="205"/>
        <v>189</v>
      </c>
      <c r="HN91" s="14">
        <f>HH91+HK91*($HC91-INDEX(属性投放!$AE$6:$AE$26,卡牌属性!$HF91))</f>
        <v>3623</v>
      </c>
      <c r="HO91" s="14">
        <f>HI91+HL91*($HC91-INDEX(属性投放!$AE$6:$AE$26,卡牌属性!$HF91))</f>
        <v>1484</v>
      </c>
      <c r="HP91" s="14">
        <f>HJ91+HM91*($HC91-INDEX(属性投放!$AE$6:$AE$26,卡牌属性!$HF91))</f>
        <v>22804</v>
      </c>
      <c r="HQ91" s="14">
        <f t="shared" si="206"/>
        <v>2755</v>
      </c>
      <c r="HR91" s="14">
        <f t="shared" si="207"/>
        <v>1384</v>
      </c>
      <c r="HS91" s="14">
        <f t="shared" si="208"/>
        <v>22985</v>
      </c>
      <c r="HT91" s="14">
        <f>IF(COUNTIF(属性投放!$AO$7:$AO$58,"="&amp;卡牌属性!HC91)&gt;0,卡牌属性!HE91,0)</f>
        <v>0</v>
      </c>
      <c r="HU91" s="14">
        <f t="shared" si="209"/>
        <v>0</v>
      </c>
      <c r="HV91" s="14">
        <f t="shared" si="210"/>
        <v>0</v>
      </c>
      <c r="HW91" s="14">
        <f t="shared" si="211"/>
        <v>0</v>
      </c>
      <c r="HX91" s="14">
        <f>IF(COUNTIF(属性投放!$AE$6:$AE$26,"="&amp;卡牌属性!HC91)&gt;0,卡牌属性!HF91,0)</f>
        <v>12</v>
      </c>
      <c r="HY91" s="14">
        <f t="shared" si="212"/>
        <v>300</v>
      </c>
      <c r="HZ91" s="14">
        <f t="shared" si="213"/>
        <v>150</v>
      </c>
      <c r="IA91" s="14">
        <f t="shared" si="214"/>
        <v>2700</v>
      </c>
      <c r="IB91" s="14">
        <f t="shared" si="215"/>
        <v>30</v>
      </c>
      <c r="IC91" s="14">
        <f t="shared" si="216"/>
        <v>11</v>
      </c>
      <c r="ID91" s="14">
        <f t="shared" si="217"/>
        <v>189</v>
      </c>
      <c r="IE91" s="14">
        <f t="shared" si="218"/>
        <v>6378</v>
      </c>
      <c r="IF91" s="14">
        <f t="shared" si="219"/>
        <v>2868</v>
      </c>
      <c r="IG91" s="14">
        <f t="shared" si="220"/>
        <v>45789</v>
      </c>
      <c r="IH91" s="14">
        <f t="shared" si="221"/>
        <v>709</v>
      </c>
      <c r="II91" s="14">
        <f t="shared" si="222"/>
        <v>0</v>
      </c>
      <c r="IJ91" s="14">
        <f t="shared" si="223"/>
        <v>8700</v>
      </c>
      <c r="IK91" s="14">
        <f t="shared" si="224"/>
        <v>166929</v>
      </c>
      <c r="IL91" s="17">
        <f t="shared" si="225"/>
        <v>4.2473147266202998E-3</v>
      </c>
      <c r="IM91" s="17">
        <f t="shared" si="226"/>
        <v>0</v>
      </c>
      <c r="IN91" s="17">
        <f t="shared" si="227"/>
        <v>5.2117966321010727E-2</v>
      </c>
      <c r="IO91" s="23">
        <f>SUM(IH$5:IH91)</f>
        <v>43004</v>
      </c>
      <c r="IP91" s="14">
        <f>SUM(II$5:II91)</f>
        <v>78215</v>
      </c>
      <c r="IQ91" s="14">
        <f>SUM(IJ$5:IJ91)</f>
        <v>42540</v>
      </c>
      <c r="IR91" s="17">
        <f t="shared" si="228"/>
        <v>0.25761850846767187</v>
      </c>
      <c r="IS91" s="17">
        <f t="shared" si="229"/>
        <v>0.46855249836756946</v>
      </c>
      <c r="IT91" s="17">
        <f t="shared" si="230"/>
        <v>0.25483888359721796</v>
      </c>
      <c r="IW91" s="13">
        <v>87</v>
      </c>
      <c r="IX91" s="14">
        <f>MATCH(IW91-1,属性投放!$T$6:$T$66,1)</f>
        <v>13</v>
      </c>
      <c r="IY91" s="14">
        <f>MATCH(IW91-1,属性投放!$AD$7:$AD$26,1)</f>
        <v>12</v>
      </c>
      <c r="IZ91" s="14" t="str">
        <f>INDEX(属性投放!$AB$7:$AB$26,IY91)</f>
        <v>大叫唤+2</v>
      </c>
      <c r="JA91" s="14">
        <f t="shared" si="231"/>
        <v>2357</v>
      </c>
      <c r="JB91" s="14">
        <f t="shared" si="232"/>
        <v>1129</v>
      </c>
      <c r="JC91" s="14">
        <f t="shared" si="233"/>
        <v>17449</v>
      </c>
      <c r="JD91" s="14">
        <f t="shared" si="234"/>
        <v>76</v>
      </c>
      <c r="JE91" s="14">
        <f t="shared" si="235"/>
        <v>38</v>
      </c>
      <c r="JF91" s="14">
        <f t="shared" si="236"/>
        <v>685</v>
      </c>
      <c r="JG91" s="14">
        <f>INDEX(属性投放!$DC$6:$DC$85,卡牌属性!IY91)</f>
        <v>60</v>
      </c>
      <c r="JH91" s="14">
        <f t="shared" si="237"/>
        <v>4409</v>
      </c>
      <c r="JI91" s="14">
        <f t="shared" si="238"/>
        <v>2155</v>
      </c>
      <c r="JJ91" s="14">
        <f t="shared" si="239"/>
        <v>35944</v>
      </c>
      <c r="JK91" s="14">
        <f t="shared" si="240"/>
        <v>79539</v>
      </c>
    </row>
    <row r="92" spans="31:271" ht="16.5" x14ac:dyDescent="0.2">
      <c r="AE92" s="13">
        <v>88</v>
      </c>
      <c r="AF92" s="13">
        <f t="shared" si="188"/>
        <v>5</v>
      </c>
      <c r="AG92" s="13">
        <f t="shared" si="169"/>
        <v>4</v>
      </c>
      <c r="AH92" s="13"/>
      <c r="AI92" s="13"/>
      <c r="AJ92" s="14">
        <f t="shared" si="170"/>
        <v>1101005</v>
      </c>
      <c r="AK92" s="14" t="str">
        <f t="shared" si="171"/>
        <v>刘羽禅8突</v>
      </c>
      <c r="AL92" s="25" t="s">
        <v>142</v>
      </c>
      <c r="AM92" s="14">
        <v>1</v>
      </c>
      <c r="AN92" s="14">
        <f t="shared" si="172"/>
        <v>8</v>
      </c>
      <c r="AO92" s="14">
        <f>INDEX(属性投放!$DF$6:$DF$85,(卡牌属性!AG92-2)*20+卡牌属性!AN92)</f>
        <v>2147</v>
      </c>
      <c r="AP92" s="14">
        <f t="shared" si="241"/>
        <v>2147</v>
      </c>
      <c r="AQ92" s="14">
        <f t="shared" si="241"/>
        <v>2147</v>
      </c>
      <c r="AR92" s="14">
        <f t="shared" si="241"/>
        <v>2147</v>
      </c>
      <c r="AS92" s="14">
        <f t="shared" si="241"/>
        <v>2147</v>
      </c>
      <c r="AT92" s="14">
        <f>INDEX(属性投放!$DG$6:$DG$85,(卡牌属性!AG92-2)*20+卡牌属性!AN92)</f>
        <v>1002</v>
      </c>
      <c r="AU92" s="14">
        <f t="shared" si="242"/>
        <v>1002</v>
      </c>
      <c r="AV92" s="14">
        <f t="shared" si="242"/>
        <v>1002</v>
      </c>
      <c r="AW92" s="14">
        <f t="shared" si="242"/>
        <v>1002</v>
      </c>
      <c r="AX92" s="14">
        <f t="shared" si="242"/>
        <v>1002</v>
      </c>
      <c r="AY92" s="14">
        <f>INDEX(属性投放!$DH$6:$DH$85,(卡牌属性!AG92-2)*20+卡牌属性!AN92)</f>
        <v>13940</v>
      </c>
      <c r="AZ92" s="14">
        <f t="shared" si="243"/>
        <v>13940</v>
      </c>
      <c r="BA92" s="14">
        <f t="shared" si="243"/>
        <v>13940</v>
      </c>
      <c r="BB92" s="14">
        <f t="shared" si="243"/>
        <v>13940</v>
      </c>
      <c r="BC92" s="14">
        <f t="shared" si="243"/>
        <v>13940</v>
      </c>
      <c r="BD92" s="14">
        <f>INDEX(属性投放!$DL$6:$DL$85,(卡牌属性!AG92-2)*20+卡牌属性!AN92)</f>
        <v>58</v>
      </c>
      <c r="BE92" s="14">
        <f t="shared" si="244"/>
        <v>58</v>
      </c>
      <c r="BF92" s="14">
        <f t="shared" si="244"/>
        <v>58</v>
      </c>
      <c r="BG92" s="14">
        <f t="shared" si="244"/>
        <v>58</v>
      </c>
      <c r="BH92" s="14">
        <f t="shared" si="244"/>
        <v>58</v>
      </c>
      <c r="BI92" s="14">
        <f>INDEX(属性投放!$DM$6:$DM$85,(卡牌属性!AG92-2)*20+卡牌属性!AN92)</f>
        <v>29</v>
      </c>
      <c r="BJ92" s="14">
        <f t="shared" si="245"/>
        <v>29</v>
      </c>
      <c r="BK92" s="14">
        <f t="shared" si="245"/>
        <v>29</v>
      </c>
      <c r="BL92" s="14">
        <f t="shared" si="245"/>
        <v>29</v>
      </c>
      <c r="BM92" s="14">
        <f t="shared" si="245"/>
        <v>29</v>
      </c>
      <c r="BN92" s="14">
        <f>INDEX(属性投放!$DN$6:$DN$85,(卡牌属性!AG92-2)*20+卡牌属性!AN92)</f>
        <v>461</v>
      </c>
      <c r="BO92" s="14">
        <f t="shared" si="246"/>
        <v>461</v>
      </c>
      <c r="BP92" s="14">
        <f t="shared" si="246"/>
        <v>461</v>
      </c>
      <c r="BQ92" s="14">
        <f t="shared" si="246"/>
        <v>461</v>
      </c>
      <c r="BR92" s="14">
        <f t="shared" si="246"/>
        <v>461</v>
      </c>
      <c r="BW92" s="13">
        <v>88</v>
      </c>
      <c r="BX92" s="13">
        <f t="shared" si="173"/>
        <v>5</v>
      </c>
      <c r="BY92" s="14">
        <f t="shared" si="174"/>
        <v>3</v>
      </c>
      <c r="BZ92" s="14">
        <f t="shared" si="189"/>
        <v>1102005</v>
      </c>
      <c r="CA92" s="14" t="str">
        <f t="shared" si="190"/>
        <v>李轩辕8突</v>
      </c>
      <c r="CB92" s="25" t="s">
        <v>142</v>
      </c>
      <c r="CC92" s="14">
        <v>2</v>
      </c>
      <c r="CD92" s="14">
        <f t="shared" si="175"/>
        <v>8</v>
      </c>
      <c r="CE92" s="14" t="s">
        <v>21</v>
      </c>
      <c r="CF92" s="14">
        <f>INDEX(属性投放!$AZ$6:$AZ$85,(BY92-2)*20+CD92)</f>
        <v>1851</v>
      </c>
      <c r="CG92" s="14" t="s">
        <v>22</v>
      </c>
      <c r="CH92" s="14">
        <f>INDEX(属性投放!$BA$6:$BA$85,(BY92-2)*20+CD92)</f>
        <v>866</v>
      </c>
      <c r="CI92" s="14" t="s">
        <v>510</v>
      </c>
      <c r="CJ92" s="14">
        <f>INDEX(属性投放!$BB$6:$BB$85,(BY92-2)*20+CD92)</f>
        <v>12255</v>
      </c>
      <c r="CK92" s="14" t="s">
        <v>21</v>
      </c>
      <c r="CL92" s="14">
        <f>INDEX(属性投放!$BC$6:$BC$85,(BY92-2)*20+CD92)</f>
        <v>15</v>
      </c>
      <c r="CM92" s="14" t="s">
        <v>22</v>
      </c>
      <c r="CN92" s="14">
        <f>INDEX(属性投放!$BD$6:$BD$85,(BY92-2)*20+CD92)</f>
        <v>8</v>
      </c>
      <c r="CO92" s="14" t="s">
        <v>510</v>
      </c>
      <c r="CP92" s="14">
        <f>INDEX(属性投放!$BE$6:$BE$85,(BY92-2)*20+CD92)</f>
        <v>120</v>
      </c>
      <c r="CS92" s="13">
        <v>88</v>
      </c>
      <c r="CT92" s="13">
        <f t="shared" si="191"/>
        <v>2</v>
      </c>
      <c r="CU92" s="13">
        <f t="shared" si="192"/>
        <v>36</v>
      </c>
      <c r="CV92" s="14">
        <f t="shared" si="193"/>
        <v>3</v>
      </c>
      <c r="CW92" s="14">
        <f t="shared" si="194"/>
        <v>1102002</v>
      </c>
      <c r="CX92" s="14" t="str">
        <f>INDEX($O$6:$O$50,CT92)&amp;"-"&amp;INDEX(属性投放!$AB$7:$AB$50,CZ92)&amp;"-魂火-"&amp;DB92</f>
        <v>许褚-焦热+2-魂火-3</v>
      </c>
      <c r="CY92" s="25" t="s">
        <v>142</v>
      </c>
      <c r="CZ92" s="14">
        <f>INDEX(属性投放!$AM$7:$AM$58,CU92)</f>
        <v>15</v>
      </c>
      <c r="DA92" s="14" t="s">
        <v>537</v>
      </c>
      <c r="DB92" s="14">
        <f>INDEX(属性投放!$AN$7:$AN$58,CU92)</f>
        <v>3</v>
      </c>
      <c r="DC92" s="14">
        <f t="shared" si="176"/>
        <v>36</v>
      </c>
      <c r="DD92" s="14">
        <f>INDEX(属性投放!$AO$7:$AO$58,DC92)</f>
        <v>108</v>
      </c>
      <c r="DE92" s="14" t="s">
        <v>538</v>
      </c>
      <c r="DF92" s="14">
        <f>INDEX(属性投放!$BK$6:$BK$85,(CV92-2)*20+CZ92)</f>
        <v>400</v>
      </c>
      <c r="DG92" s="14">
        <f>SUMIFS(DF$5:DF92,$CT$5:$CT92,"="&amp;$CT92)</f>
        <v>5270</v>
      </c>
      <c r="DH92" s="14" t="s">
        <v>539</v>
      </c>
      <c r="DI92" s="14">
        <f>INDEX(属性投放!$BL$6:$BL$85,(CV92-2)*20+CZ92)</f>
        <v>200</v>
      </c>
      <c r="DJ92" s="14">
        <f>SUMIFS(DI$5:DI92,$CT$5:$CT92,"="&amp;$CT92)</f>
        <v>2638</v>
      </c>
      <c r="DK92" s="14" t="s">
        <v>540</v>
      </c>
      <c r="DL92" s="14">
        <f>INDEX(属性投放!$BM$6:$BM$85,(CV92-2)*20+CZ92)</f>
        <v>4000</v>
      </c>
      <c r="DM92" s="14">
        <f>SUMIFS(DL$5:DL92,$CT$5:$CT92,"="&amp;$CT92)</f>
        <v>48740</v>
      </c>
      <c r="DR92" s="14">
        <f t="shared" si="177"/>
        <v>1102005</v>
      </c>
      <c r="DS92" s="14" t="str">
        <f t="shared" si="178"/>
        <v>李轩辕8突</v>
      </c>
      <c r="DT92" s="14">
        <f t="shared" si="195"/>
        <v>4</v>
      </c>
      <c r="DU92" s="14">
        <f t="shared" si="196"/>
        <v>5</v>
      </c>
      <c r="DV92" s="14">
        <f t="shared" si="197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INDEX(属性投放!$AX$6:$AX$85,(卡牌属性!DW92-2)*20+卡牌属性!DX92)</f>
        <v>5</v>
      </c>
      <c r="EA92" s="14">
        <f>INDEX(属性投放!BQ$6:BQ$85,卡牌属性!$DY92)</f>
        <v>125</v>
      </c>
      <c r="EB92" s="14">
        <f>INDEX(属性投放!BR$6:BR$85,卡牌属性!$DY92)</f>
        <v>63</v>
      </c>
      <c r="EC92" s="14">
        <f>INDEX(属性投放!BS$6:BS$85,卡牌属性!$DY92)</f>
        <v>1000</v>
      </c>
      <c r="ED92" s="14">
        <f t="shared" si="248"/>
        <v>1179</v>
      </c>
      <c r="EE92" s="14">
        <f t="shared" si="249"/>
        <v>1311</v>
      </c>
      <c r="EF92" s="14">
        <f t="shared" si="250"/>
        <v>1411</v>
      </c>
      <c r="EG92" s="14">
        <f t="shared" si="251"/>
        <v>1411</v>
      </c>
      <c r="EH92" s="14">
        <f t="shared" si="252"/>
        <v>1703</v>
      </c>
      <c r="EI92" s="14">
        <f t="shared" si="253"/>
        <v>614</v>
      </c>
      <c r="EJ92" s="14">
        <f t="shared" si="254"/>
        <v>670</v>
      </c>
      <c r="EK92" s="14">
        <f t="shared" si="255"/>
        <v>670</v>
      </c>
      <c r="EL92" s="14">
        <f t="shared" si="256"/>
        <v>815</v>
      </c>
      <c r="EM92" s="14">
        <f t="shared" si="257"/>
        <v>891</v>
      </c>
      <c r="EN92" s="14">
        <f t="shared" si="258"/>
        <v>9097</v>
      </c>
      <c r="EO92" s="14">
        <f t="shared" si="259"/>
        <v>11093</v>
      </c>
      <c r="EP92" s="14">
        <f t="shared" si="260"/>
        <v>11093</v>
      </c>
      <c r="EQ92" s="14">
        <f t="shared" si="261"/>
        <v>11985</v>
      </c>
      <c r="ER92" s="14">
        <f t="shared" si="262"/>
        <v>13135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128</v>
      </c>
      <c r="FD92" s="14">
        <f>INDEX(属性偏向!$U$4:$U$243,(卡牌属性!$DV92-1+FD$3)*20+卡牌属性!$DX92)</f>
        <v>200</v>
      </c>
      <c r="FE92" s="14">
        <f>INDEX(属性偏向!$U$4:$U$243,(卡牌属性!$DV92-1+FE$3)*20+卡牌属性!$DX92)</f>
        <v>200</v>
      </c>
      <c r="FF92" s="14">
        <f>INDEX(属性偏向!$U$4:$U$243,(卡牌属性!$DV92-1+FF$3)*20+卡牌属性!$DX92)</f>
        <v>224</v>
      </c>
      <c r="FG92" s="14">
        <f>INDEX(属性偏向!$U$4:$U$243,(卡牌属性!$DV92-1+FG$3)*20+卡牌属性!$DX92)</f>
        <v>240</v>
      </c>
      <c r="FH92" s="14">
        <f>INDEX(属性投放!$BQ$6:$BQ$85,(卡牌属性!$DW92-2)*20+卡牌属性!$DX92)</f>
        <v>125</v>
      </c>
      <c r="FI92" s="14">
        <f>INDEX(属性投放!$BQ$6:$BQ$85,(卡牌属性!$DW92-2)*20+卡牌属性!$DX92)</f>
        <v>125</v>
      </c>
      <c r="FJ92" s="14">
        <f>INDEX(属性投放!$BQ$6:$BQ$85,(卡牌属性!$DW92-2)*20+卡牌属性!$DX92)</f>
        <v>125</v>
      </c>
      <c r="FK92" s="14">
        <f>INDEX(属性投放!$BQ$6:$BQ$85,(卡牌属性!$DW92-2)*20+卡牌属性!$DX92)</f>
        <v>125</v>
      </c>
      <c r="FL92" s="14">
        <f>INDEX(属性投放!$BQ$6:$BQ$85,(卡牌属性!$DW92-2)*20+卡牌属性!$DX92)</f>
        <v>125</v>
      </c>
      <c r="FM92" s="14">
        <f>INDEX(属性投放!$BR$6:$BR$85,(卡牌属性!$DW92-2)*20+卡牌属性!$DX92)</f>
        <v>63</v>
      </c>
      <c r="FN92" s="14">
        <f>INDEX(属性投放!$BR$6:$BR$85,(卡牌属性!$DW92-2)*20+卡牌属性!$DX92)</f>
        <v>63</v>
      </c>
      <c r="FO92" s="14">
        <f>INDEX(属性投放!$BR$6:$BR$85,(卡牌属性!$DW92-2)*20+卡牌属性!$DX92)</f>
        <v>63</v>
      </c>
      <c r="FP92" s="14">
        <f>INDEX(属性投放!$BR$6:$BR$85,(卡牌属性!$DW92-2)*20+卡牌属性!$DX92)</f>
        <v>63</v>
      </c>
      <c r="FQ92" s="14">
        <f>INDEX(属性投放!$BR$6:$BR$85,(卡牌属性!$DW92-2)*20+卡牌属性!$DX92)</f>
        <v>63</v>
      </c>
      <c r="FR92" s="14">
        <f>INDEX(属性投放!$BS$6:$BS$85,(卡牌属性!$DW92-2)*20+卡牌属性!$DX92)</f>
        <v>1000</v>
      </c>
      <c r="FS92" s="14">
        <f>INDEX(属性投放!$BS$6:$BS$85,(卡牌属性!$DW92-2)*20+卡牌属性!$DX92)</f>
        <v>1000</v>
      </c>
      <c r="FT92" s="14">
        <f>INDEX(属性投放!$BS$6:$BS$85,(卡牌属性!$DW92-2)*20+卡牌属性!$DX92)</f>
        <v>1000</v>
      </c>
      <c r="FU92" s="14">
        <f>INDEX(属性投放!$BS$6:$BS$85,(卡牌属性!$DW92-2)*20+卡牌属性!$DX92)</f>
        <v>1000</v>
      </c>
      <c r="FV92" s="14">
        <f>INDEX(属性投放!$BS$6:$BS$85,(卡牌属性!$DW92-2)*20+卡牌属性!$DX92)</f>
        <v>1000</v>
      </c>
      <c r="FZ92" s="13">
        <v>88</v>
      </c>
      <c r="GA92" s="13">
        <f t="shared" si="182"/>
        <v>18</v>
      </c>
      <c r="GB92" s="14">
        <f t="shared" si="198"/>
        <v>1102018</v>
      </c>
      <c r="GC92" s="14" t="s">
        <v>1187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3"/>
        <v>18</v>
      </c>
      <c r="GP92" s="14">
        <f t="shared" si="199"/>
        <v>1101020</v>
      </c>
      <c r="GQ92" s="14" t="s">
        <v>1187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MATCH(HC92,属性投放!$AO$6:$AO$58,1)-1</f>
        <v>28</v>
      </c>
      <c r="HF92" s="13">
        <f>MATCH(HC92-1,属性投放!$AE$6:$AE$26,1)</f>
        <v>13</v>
      </c>
      <c r="HG92" s="13" t="str">
        <f>INDEX(属性投放!$AB$7:$AB$26,卡牌属性!HF92)</f>
        <v>焦热</v>
      </c>
      <c r="HH92" s="14">
        <f t="shared" si="200"/>
        <v>4023</v>
      </c>
      <c r="HI92" s="14">
        <f t="shared" si="201"/>
        <v>1684</v>
      </c>
      <c r="HJ92" s="14">
        <f t="shared" si="202"/>
        <v>26404</v>
      </c>
      <c r="HK92" s="14">
        <f t="shared" si="203"/>
        <v>40</v>
      </c>
      <c r="HL92" s="14">
        <f t="shared" si="204"/>
        <v>13</v>
      </c>
      <c r="HM92" s="14">
        <f t="shared" si="205"/>
        <v>260</v>
      </c>
      <c r="HN92" s="14">
        <f>HH92+HK92*($HC92-INDEX(属性投放!$AE$6:$AE$26,卡牌属性!$HF92))</f>
        <v>4063</v>
      </c>
      <c r="HO92" s="14">
        <f>HI92+HL92*($HC92-INDEX(属性投放!$AE$6:$AE$26,卡牌属性!$HF92))</f>
        <v>1697</v>
      </c>
      <c r="HP92" s="14">
        <f>HJ92+HM92*($HC92-INDEX(属性投放!$AE$6:$AE$26,卡牌属性!$HF92))</f>
        <v>26664</v>
      </c>
      <c r="HQ92" s="14">
        <f t="shared" si="206"/>
        <v>3030</v>
      </c>
      <c r="HR92" s="14">
        <f t="shared" si="207"/>
        <v>1522</v>
      </c>
      <c r="HS92" s="14">
        <f t="shared" si="208"/>
        <v>25735</v>
      </c>
      <c r="HT92" s="14">
        <f>IF(COUNTIF(属性投放!$AO$7:$AO$58,"="&amp;卡牌属性!HC92)&gt;0,卡牌属性!HE92,0)</f>
        <v>28</v>
      </c>
      <c r="HU92" s="14">
        <f t="shared" si="209"/>
        <v>275</v>
      </c>
      <c r="HV92" s="14">
        <f t="shared" si="210"/>
        <v>138</v>
      </c>
      <c r="HW92" s="14">
        <f t="shared" si="211"/>
        <v>2750</v>
      </c>
      <c r="HX92" s="14">
        <f>IF(COUNTIF(属性投放!$AE$6:$AE$26,"="&amp;卡牌属性!HC92)&gt;0,卡牌属性!HF92,0)</f>
        <v>0</v>
      </c>
      <c r="HY92" s="14">
        <f t="shared" si="212"/>
        <v>0</v>
      </c>
      <c r="HZ92" s="14">
        <f t="shared" si="213"/>
        <v>0</v>
      </c>
      <c r="IA92" s="14">
        <f t="shared" si="214"/>
        <v>0</v>
      </c>
      <c r="IB92" s="14">
        <f t="shared" si="215"/>
        <v>40</v>
      </c>
      <c r="IC92" s="14">
        <f t="shared" si="216"/>
        <v>13</v>
      </c>
      <c r="ID92" s="14">
        <f t="shared" si="217"/>
        <v>260</v>
      </c>
      <c r="IE92" s="14">
        <f t="shared" si="218"/>
        <v>7093</v>
      </c>
      <c r="IF92" s="14">
        <f t="shared" si="219"/>
        <v>3219</v>
      </c>
      <c r="IG92" s="14">
        <f t="shared" si="220"/>
        <v>52399</v>
      </c>
      <c r="IH92" s="14">
        <f t="shared" si="221"/>
        <v>920</v>
      </c>
      <c r="II92" s="14">
        <f t="shared" si="222"/>
        <v>8260</v>
      </c>
      <c r="IJ92" s="14">
        <f t="shared" si="223"/>
        <v>0</v>
      </c>
      <c r="IK92" s="14">
        <f t="shared" si="224"/>
        <v>187709</v>
      </c>
      <c r="IL92" s="17">
        <f t="shared" si="225"/>
        <v>4.9012034585448755E-3</v>
      </c>
      <c r="IM92" s="17">
        <f t="shared" si="226"/>
        <v>4.4004283225631165E-2</v>
      </c>
      <c r="IN92" s="17">
        <f t="shared" si="227"/>
        <v>0</v>
      </c>
      <c r="IO92" s="23">
        <f>SUM(IH$5:IH92)</f>
        <v>43924</v>
      </c>
      <c r="IP92" s="14">
        <f>SUM(II$5:II92)</f>
        <v>86475</v>
      </c>
      <c r="IQ92" s="14">
        <f>SUM(IJ$5:IJ92)</f>
        <v>42540</v>
      </c>
      <c r="IR92" s="17">
        <f t="shared" si="228"/>
        <v>0.23400050077513598</v>
      </c>
      <c r="IS92" s="17">
        <f t="shared" si="229"/>
        <v>0.46068648812790008</v>
      </c>
      <c r="IT92" s="17">
        <f t="shared" si="230"/>
        <v>0.22662738600706411</v>
      </c>
      <c r="IW92" s="13">
        <v>88</v>
      </c>
      <c r="IX92" s="14">
        <f>MATCH(IW92-1,属性投放!$T$6:$T$66,1)</f>
        <v>13</v>
      </c>
      <c r="IY92" s="14">
        <f>MATCH(IW92-1,属性投放!$AD$7:$AD$26,1)</f>
        <v>12</v>
      </c>
      <c r="IZ92" s="14" t="str">
        <f>INDEX(属性投放!$AB$7:$AB$26,IY92)</f>
        <v>大叫唤+2</v>
      </c>
      <c r="JA92" s="14">
        <f t="shared" si="231"/>
        <v>2357</v>
      </c>
      <c r="JB92" s="14">
        <f t="shared" si="232"/>
        <v>1129</v>
      </c>
      <c r="JC92" s="14">
        <f t="shared" si="233"/>
        <v>17449</v>
      </c>
      <c r="JD92" s="14">
        <f t="shared" si="234"/>
        <v>76</v>
      </c>
      <c r="JE92" s="14">
        <f t="shared" si="235"/>
        <v>38</v>
      </c>
      <c r="JF92" s="14">
        <f t="shared" si="236"/>
        <v>685</v>
      </c>
      <c r="JG92" s="14">
        <f>INDEX(属性投放!$DC$6:$DC$85,卡牌属性!IY92)</f>
        <v>60</v>
      </c>
      <c r="JH92" s="14">
        <f t="shared" si="237"/>
        <v>4485</v>
      </c>
      <c r="JI92" s="14">
        <f t="shared" si="238"/>
        <v>2193</v>
      </c>
      <c r="JJ92" s="14">
        <f t="shared" si="239"/>
        <v>36629</v>
      </c>
      <c r="JK92" s="14">
        <f t="shared" si="240"/>
        <v>80984</v>
      </c>
    </row>
    <row r="93" spans="31:271" ht="16.5" x14ac:dyDescent="0.2">
      <c r="AE93" s="13">
        <v>89</v>
      </c>
      <c r="AF93" s="13">
        <f t="shared" si="188"/>
        <v>5</v>
      </c>
      <c r="AG93" s="13">
        <f t="shared" si="169"/>
        <v>4</v>
      </c>
      <c r="AH93" s="13"/>
      <c r="AI93" s="13"/>
      <c r="AJ93" s="14">
        <f t="shared" si="170"/>
        <v>1101005</v>
      </c>
      <c r="AK93" s="14" t="str">
        <f t="shared" si="171"/>
        <v>刘羽禅9突</v>
      </c>
      <c r="AL93" s="25" t="s">
        <v>142</v>
      </c>
      <c r="AM93" s="14">
        <v>1</v>
      </c>
      <c r="AN93" s="14">
        <f t="shared" si="172"/>
        <v>9</v>
      </c>
      <c r="AO93" s="14">
        <f>INDEX(属性投放!$DF$6:$DF$85,(卡牌属性!AG93-2)*20+卡牌属性!AN93)</f>
        <v>2312</v>
      </c>
      <c r="AP93" s="14">
        <f t="shared" si="241"/>
        <v>2312</v>
      </c>
      <c r="AQ93" s="14">
        <f t="shared" si="241"/>
        <v>2312</v>
      </c>
      <c r="AR93" s="14">
        <f t="shared" si="241"/>
        <v>2312</v>
      </c>
      <c r="AS93" s="14">
        <f t="shared" si="241"/>
        <v>2312</v>
      </c>
      <c r="AT93" s="14">
        <f>INDEX(属性投放!$DG$6:$DG$85,(卡牌属性!AG93-2)*20+卡牌属性!AN93)</f>
        <v>1085</v>
      </c>
      <c r="AU93" s="14">
        <f t="shared" si="242"/>
        <v>1085</v>
      </c>
      <c r="AV93" s="14">
        <f t="shared" si="242"/>
        <v>1085</v>
      </c>
      <c r="AW93" s="14">
        <f t="shared" si="242"/>
        <v>1085</v>
      </c>
      <c r="AX93" s="14">
        <f t="shared" si="242"/>
        <v>1085</v>
      </c>
      <c r="AY93" s="14">
        <f>INDEX(属性投放!$DH$6:$DH$85,(卡牌属性!AG93-2)*20+卡牌属性!AN93)</f>
        <v>15256</v>
      </c>
      <c r="AZ93" s="14">
        <f t="shared" si="243"/>
        <v>15256</v>
      </c>
      <c r="BA93" s="14">
        <f t="shared" si="243"/>
        <v>15256</v>
      </c>
      <c r="BB93" s="14">
        <f t="shared" si="243"/>
        <v>15256</v>
      </c>
      <c r="BC93" s="14">
        <f t="shared" si="243"/>
        <v>15256</v>
      </c>
      <c r="BD93" s="14">
        <f>INDEX(属性投放!$DL$6:$DL$85,(卡牌属性!AG93-2)*20+卡牌属性!AN93)</f>
        <v>58</v>
      </c>
      <c r="BE93" s="14">
        <f t="shared" si="244"/>
        <v>58</v>
      </c>
      <c r="BF93" s="14">
        <f t="shared" si="244"/>
        <v>58</v>
      </c>
      <c r="BG93" s="14">
        <f t="shared" si="244"/>
        <v>58</v>
      </c>
      <c r="BH93" s="14">
        <f t="shared" si="244"/>
        <v>58</v>
      </c>
      <c r="BI93" s="14">
        <f>INDEX(属性投放!$DM$6:$DM$85,(卡牌属性!AG93-2)*20+卡牌属性!AN93)</f>
        <v>29</v>
      </c>
      <c r="BJ93" s="14">
        <f t="shared" si="245"/>
        <v>29</v>
      </c>
      <c r="BK93" s="14">
        <f t="shared" si="245"/>
        <v>29</v>
      </c>
      <c r="BL93" s="14">
        <f t="shared" si="245"/>
        <v>29</v>
      </c>
      <c r="BM93" s="14">
        <f t="shared" si="245"/>
        <v>29</v>
      </c>
      <c r="BN93" s="14">
        <f>INDEX(属性投放!$DN$6:$DN$85,(卡牌属性!AG93-2)*20+卡牌属性!AN93)</f>
        <v>461</v>
      </c>
      <c r="BO93" s="14">
        <f t="shared" si="246"/>
        <v>461</v>
      </c>
      <c r="BP93" s="14">
        <f t="shared" si="246"/>
        <v>461</v>
      </c>
      <c r="BQ93" s="14">
        <f t="shared" si="246"/>
        <v>461</v>
      </c>
      <c r="BR93" s="14">
        <f t="shared" si="246"/>
        <v>461</v>
      </c>
      <c r="BW93" s="13">
        <v>89</v>
      </c>
      <c r="BX93" s="13">
        <f t="shared" si="173"/>
        <v>5</v>
      </c>
      <c r="BY93" s="14">
        <f t="shared" si="174"/>
        <v>3</v>
      </c>
      <c r="BZ93" s="14">
        <f t="shared" si="189"/>
        <v>1102005</v>
      </c>
      <c r="CA93" s="14" t="str">
        <f t="shared" si="190"/>
        <v>李轩辕9突</v>
      </c>
      <c r="CB93" s="25" t="s">
        <v>142</v>
      </c>
      <c r="CC93" s="14">
        <v>2</v>
      </c>
      <c r="CD93" s="14">
        <f t="shared" si="175"/>
        <v>9</v>
      </c>
      <c r="CE93" s="14" t="s">
        <v>21</v>
      </c>
      <c r="CF93" s="14">
        <f>INDEX(属性投放!$AZ$6:$AZ$85,(BY93-2)*20+CD93)</f>
        <v>2221</v>
      </c>
      <c r="CG93" s="14" t="s">
        <v>22</v>
      </c>
      <c r="CH93" s="14">
        <f>INDEX(属性投放!$BA$6:$BA$85,(BY93-2)*20+CD93)</f>
        <v>1055</v>
      </c>
      <c r="CI93" s="14" t="s">
        <v>510</v>
      </c>
      <c r="CJ93" s="14">
        <f>INDEX(属性投放!$BB$6:$BB$85,(BY93-2)*20+CD93)</f>
        <v>15215</v>
      </c>
      <c r="CK93" s="14" t="s">
        <v>21</v>
      </c>
      <c r="CL93" s="14">
        <f>INDEX(属性投放!$BC$6:$BC$85,(BY93-2)*20+CD93)</f>
        <v>15</v>
      </c>
      <c r="CM93" s="14" t="s">
        <v>22</v>
      </c>
      <c r="CN93" s="14">
        <f>INDEX(属性投放!$BD$6:$BD$85,(BY93-2)*20+CD93)</f>
        <v>8</v>
      </c>
      <c r="CO93" s="14" t="s">
        <v>510</v>
      </c>
      <c r="CP93" s="14">
        <f>INDEX(属性投放!$BE$6:$BE$85,(BY93-2)*20+CD93)</f>
        <v>120</v>
      </c>
      <c r="CS93" s="13">
        <v>89</v>
      </c>
      <c r="CT93" s="13">
        <f t="shared" si="191"/>
        <v>2</v>
      </c>
      <c r="CU93" s="13">
        <f t="shared" si="192"/>
        <v>37</v>
      </c>
      <c r="CV93" s="14">
        <f t="shared" si="193"/>
        <v>3</v>
      </c>
      <c r="CW93" s="14">
        <f t="shared" si="194"/>
        <v>1102002</v>
      </c>
      <c r="CX93" s="14" t="str">
        <f>INDEX($O$6:$O$50,CT93)&amp;"-"&amp;INDEX(属性投放!$AB$7:$AB$50,CZ93)&amp;"-魂火-"&amp;DB93</f>
        <v>许褚-大焦热-魂火-1</v>
      </c>
      <c r="CY93" s="25" t="s">
        <v>142</v>
      </c>
      <c r="CZ93" s="14">
        <f>INDEX(属性投放!$AM$7:$AM$58,CU93)</f>
        <v>16</v>
      </c>
      <c r="DA93" s="14" t="s">
        <v>537</v>
      </c>
      <c r="DB93" s="14">
        <f>INDEX(属性投放!$AN$7:$AN$58,CU93)</f>
        <v>1</v>
      </c>
      <c r="DC93" s="14">
        <f t="shared" si="176"/>
        <v>37</v>
      </c>
      <c r="DD93" s="14">
        <f>INDEX(属性投放!$AO$7:$AO$58,DC93)</f>
        <v>110</v>
      </c>
      <c r="DE93" s="14" t="s">
        <v>538</v>
      </c>
      <c r="DF93" s="14">
        <f>INDEX(属性投放!$BK$6:$BK$85,(CV93-2)*20+CZ93)</f>
        <v>500</v>
      </c>
      <c r="DG93" s="14">
        <f>SUMIFS(DF$5:DF93,$CT$5:$CT93,"="&amp;$CT93)</f>
        <v>5770</v>
      </c>
      <c r="DH93" s="14" t="s">
        <v>539</v>
      </c>
      <c r="DI93" s="14">
        <f>INDEX(属性投放!$BL$6:$BL$85,(CV93-2)*20+CZ93)</f>
        <v>250</v>
      </c>
      <c r="DJ93" s="14">
        <f>SUMIFS(DI$5:DI93,$CT$5:$CT93,"="&amp;$CT93)</f>
        <v>2888</v>
      </c>
      <c r="DK93" s="14" t="s">
        <v>540</v>
      </c>
      <c r="DL93" s="14">
        <f>INDEX(属性投放!$BM$6:$BM$85,(CV93-2)*20+CZ93)</f>
        <v>5000</v>
      </c>
      <c r="DM93" s="14">
        <f>SUMIFS(DL$5:DL93,$CT$5:$CT93,"="&amp;$CT93)</f>
        <v>53740</v>
      </c>
      <c r="DR93" s="14">
        <f t="shared" si="177"/>
        <v>1102005</v>
      </c>
      <c r="DS93" s="14" t="str">
        <f t="shared" si="178"/>
        <v>李轩辕9突</v>
      </c>
      <c r="DT93" s="14">
        <f t="shared" si="195"/>
        <v>4</v>
      </c>
      <c r="DU93" s="14">
        <f t="shared" si="196"/>
        <v>5</v>
      </c>
      <c r="DV93" s="14">
        <f t="shared" si="197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INDEX(属性投放!$AX$6:$AX$85,(卡牌属性!DW93-2)*20+卡牌属性!DX93)</f>
        <v>8</v>
      </c>
      <c r="EA93" s="14">
        <f>INDEX(属性投放!BQ$6:BQ$85,卡牌属性!$DY93)</f>
        <v>185</v>
      </c>
      <c r="EB93" s="14">
        <f>INDEX(属性投放!BR$6:BR$85,卡牌属性!$DY93)</f>
        <v>93</v>
      </c>
      <c r="EC93" s="14">
        <f>INDEX(属性投放!BS$6:BS$85,卡牌属性!$DY93)</f>
        <v>1480</v>
      </c>
      <c r="ED93" s="14">
        <f t="shared" si="248"/>
        <v>1364</v>
      </c>
      <c r="EE93" s="14">
        <f t="shared" si="249"/>
        <v>1511</v>
      </c>
      <c r="EF93" s="14">
        <f t="shared" si="250"/>
        <v>1616</v>
      </c>
      <c r="EG93" s="14">
        <f t="shared" si="251"/>
        <v>1616</v>
      </c>
      <c r="EH93" s="14">
        <f t="shared" si="252"/>
        <v>1953</v>
      </c>
      <c r="EI93" s="14">
        <f t="shared" si="253"/>
        <v>717</v>
      </c>
      <c r="EJ93" s="14">
        <f t="shared" si="254"/>
        <v>773</v>
      </c>
      <c r="EK93" s="14">
        <f t="shared" si="255"/>
        <v>773</v>
      </c>
      <c r="EL93" s="14">
        <f t="shared" si="256"/>
        <v>943</v>
      </c>
      <c r="EM93" s="14">
        <f t="shared" si="257"/>
        <v>1024</v>
      </c>
      <c r="EN93" s="14">
        <f t="shared" si="258"/>
        <v>10737</v>
      </c>
      <c r="EO93" s="14">
        <f t="shared" si="259"/>
        <v>13093</v>
      </c>
      <c r="EP93" s="14">
        <f t="shared" si="260"/>
        <v>13093</v>
      </c>
      <c r="EQ93" s="14">
        <f t="shared" si="261"/>
        <v>14105</v>
      </c>
      <c r="ER93" s="14">
        <f t="shared" si="262"/>
        <v>15335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128</v>
      </c>
      <c r="FD93" s="14">
        <f>INDEX(属性偏向!$U$4:$U$243,(卡牌属性!$DV93-1+FD$3)*20+卡牌属性!$DX93)</f>
        <v>200</v>
      </c>
      <c r="FE93" s="14">
        <f>INDEX(属性偏向!$U$4:$U$243,(卡牌属性!$DV93-1+FE$3)*20+卡牌属性!$DX93)</f>
        <v>200</v>
      </c>
      <c r="FF93" s="14">
        <f>INDEX(属性偏向!$U$4:$U$243,(卡牌属性!$DV93-1+FF$3)*20+卡牌属性!$DX93)</f>
        <v>224</v>
      </c>
      <c r="FG93" s="14">
        <f>INDEX(属性偏向!$U$4:$U$243,(卡牌属性!$DV93-1+FG$3)*20+卡牌属性!$DX93)</f>
        <v>240</v>
      </c>
      <c r="FH93" s="14">
        <f>INDEX(属性投放!$BQ$6:$BQ$85,(卡牌属性!$DW93-2)*20+卡牌属性!$DX93)</f>
        <v>185</v>
      </c>
      <c r="FI93" s="14">
        <f>INDEX(属性投放!$BQ$6:$BQ$85,(卡牌属性!$DW93-2)*20+卡牌属性!$DX93)</f>
        <v>185</v>
      </c>
      <c r="FJ93" s="14">
        <f>INDEX(属性投放!$BQ$6:$BQ$85,(卡牌属性!$DW93-2)*20+卡牌属性!$DX93)</f>
        <v>185</v>
      </c>
      <c r="FK93" s="14">
        <f>INDEX(属性投放!$BQ$6:$BQ$85,(卡牌属性!$DW93-2)*20+卡牌属性!$DX93)</f>
        <v>185</v>
      </c>
      <c r="FL93" s="14">
        <f>INDEX(属性投放!$BQ$6:$BQ$85,(卡牌属性!$DW93-2)*20+卡牌属性!$DX93)</f>
        <v>185</v>
      </c>
      <c r="FM93" s="14">
        <f>INDEX(属性投放!$BR$6:$BR$85,(卡牌属性!$DW93-2)*20+卡牌属性!$DX93)</f>
        <v>93</v>
      </c>
      <c r="FN93" s="14">
        <f>INDEX(属性投放!$BR$6:$BR$85,(卡牌属性!$DW93-2)*20+卡牌属性!$DX93)</f>
        <v>93</v>
      </c>
      <c r="FO93" s="14">
        <f>INDEX(属性投放!$BR$6:$BR$85,(卡牌属性!$DW93-2)*20+卡牌属性!$DX93)</f>
        <v>93</v>
      </c>
      <c r="FP93" s="14">
        <f>INDEX(属性投放!$BR$6:$BR$85,(卡牌属性!$DW93-2)*20+卡牌属性!$DX93)</f>
        <v>93</v>
      </c>
      <c r="FQ93" s="14">
        <f>INDEX(属性投放!$BR$6:$BR$85,(卡牌属性!$DW93-2)*20+卡牌属性!$DX93)</f>
        <v>93</v>
      </c>
      <c r="FR93" s="14">
        <f>INDEX(属性投放!$BS$6:$BS$85,(卡牌属性!$DW93-2)*20+卡牌属性!$DX93)</f>
        <v>1480</v>
      </c>
      <c r="FS93" s="14">
        <f>INDEX(属性投放!$BS$6:$BS$85,(卡牌属性!$DW93-2)*20+卡牌属性!$DX93)</f>
        <v>1480</v>
      </c>
      <c r="FT93" s="14">
        <f>INDEX(属性投放!$BS$6:$BS$85,(卡牌属性!$DW93-2)*20+卡牌属性!$DX93)</f>
        <v>1480</v>
      </c>
      <c r="FU93" s="14">
        <f>INDEX(属性投放!$BS$6:$BS$85,(卡牌属性!$DW93-2)*20+卡牌属性!$DX93)</f>
        <v>1480</v>
      </c>
      <c r="FV93" s="14">
        <f>INDEX(属性投放!$BS$6:$BS$85,(卡牌属性!$DW93-2)*20+卡牌属性!$DX93)</f>
        <v>1480</v>
      </c>
      <c r="FZ93" s="13">
        <v>89</v>
      </c>
      <c r="GA93" s="13">
        <f t="shared" si="182"/>
        <v>18</v>
      </c>
      <c r="GB93" s="14">
        <f t="shared" si="198"/>
        <v>1102018</v>
      </c>
      <c r="GC93" s="14" t="s">
        <v>1187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3"/>
        <v>18</v>
      </c>
      <c r="GP93" s="14">
        <f t="shared" si="199"/>
        <v>1101020</v>
      </c>
      <c r="GQ93" s="14" t="s">
        <v>1187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MATCH(HC93,属性投放!$AO$6:$AO$58,1)-1</f>
        <v>28</v>
      </c>
      <c r="HF93" s="13">
        <f>MATCH(HC93-1,属性投放!$AE$6:$AE$26,1)</f>
        <v>13</v>
      </c>
      <c r="HG93" s="13" t="str">
        <f>INDEX(属性投放!$AB$7:$AB$26,卡牌属性!HF93)</f>
        <v>焦热</v>
      </c>
      <c r="HH93" s="14">
        <f t="shared" si="200"/>
        <v>4023</v>
      </c>
      <c r="HI93" s="14">
        <f t="shared" si="201"/>
        <v>1684</v>
      </c>
      <c r="HJ93" s="14">
        <f t="shared" si="202"/>
        <v>26404</v>
      </c>
      <c r="HK93" s="14">
        <f t="shared" si="203"/>
        <v>40</v>
      </c>
      <c r="HL93" s="14">
        <f t="shared" si="204"/>
        <v>13</v>
      </c>
      <c r="HM93" s="14">
        <f t="shared" si="205"/>
        <v>260</v>
      </c>
      <c r="HN93" s="14">
        <f>HH93+HK93*($HC93-INDEX(属性投放!$AE$6:$AE$26,卡牌属性!$HF93))</f>
        <v>4103</v>
      </c>
      <c r="HO93" s="14">
        <f>HI93+HL93*($HC93-INDEX(属性投放!$AE$6:$AE$26,卡牌属性!$HF93))</f>
        <v>1710</v>
      </c>
      <c r="HP93" s="14">
        <f>HJ93+HM93*($HC93-INDEX(属性投放!$AE$6:$AE$26,卡牌属性!$HF93))</f>
        <v>26924</v>
      </c>
      <c r="HQ93" s="14">
        <f t="shared" si="206"/>
        <v>3030</v>
      </c>
      <c r="HR93" s="14">
        <f t="shared" si="207"/>
        <v>1522</v>
      </c>
      <c r="HS93" s="14">
        <f t="shared" si="208"/>
        <v>25735</v>
      </c>
      <c r="HT93" s="14">
        <f>IF(COUNTIF(属性投放!$AO$7:$AO$58,"="&amp;卡牌属性!HC93)&gt;0,卡牌属性!HE93,0)</f>
        <v>0</v>
      </c>
      <c r="HU93" s="14">
        <f t="shared" si="209"/>
        <v>0</v>
      </c>
      <c r="HV93" s="14">
        <f t="shared" si="210"/>
        <v>0</v>
      </c>
      <c r="HW93" s="14">
        <f t="shared" si="211"/>
        <v>0</v>
      </c>
      <c r="HX93" s="14">
        <f>IF(COUNTIF(属性投放!$AE$6:$AE$26,"="&amp;卡牌属性!HC93)&gt;0,卡牌属性!HF93,0)</f>
        <v>0</v>
      </c>
      <c r="HY93" s="14">
        <f t="shared" si="212"/>
        <v>0</v>
      </c>
      <c r="HZ93" s="14">
        <f t="shared" si="213"/>
        <v>0</v>
      </c>
      <c r="IA93" s="14">
        <f t="shared" si="214"/>
        <v>0</v>
      </c>
      <c r="IB93" s="14">
        <f t="shared" si="215"/>
        <v>40</v>
      </c>
      <c r="IC93" s="14">
        <f t="shared" si="216"/>
        <v>13</v>
      </c>
      <c r="ID93" s="14">
        <f t="shared" si="217"/>
        <v>260</v>
      </c>
      <c r="IE93" s="14">
        <f t="shared" si="218"/>
        <v>7133</v>
      </c>
      <c r="IF93" s="14">
        <f t="shared" si="219"/>
        <v>3232</v>
      </c>
      <c r="IG93" s="14">
        <f t="shared" si="220"/>
        <v>52659</v>
      </c>
      <c r="IH93" s="14">
        <f t="shared" si="221"/>
        <v>920</v>
      </c>
      <c r="II93" s="14">
        <f t="shared" si="222"/>
        <v>0</v>
      </c>
      <c r="IJ93" s="14">
        <f t="shared" si="223"/>
        <v>0</v>
      </c>
      <c r="IK93" s="14">
        <f t="shared" si="224"/>
        <v>188629</v>
      </c>
      <c r="IL93" s="17">
        <f t="shared" si="225"/>
        <v>4.8772988246770111E-3</v>
      </c>
      <c r="IM93" s="17">
        <f t="shared" si="226"/>
        <v>0</v>
      </c>
      <c r="IN93" s="17">
        <f t="shared" si="227"/>
        <v>0</v>
      </c>
      <c r="IO93" s="23">
        <f>SUM(IH$5:IH93)</f>
        <v>44844</v>
      </c>
      <c r="IP93" s="14">
        <f>SUM(II$5:II93)</f>
        <v>86475</v>
      </c>
      <c r="IQ93" s="14">
        <f>SUM(IJ$5:IJ93)</f>
        <v>42540</v>
      </c>
      <c r="IR93" s="17">
        <f t="shared" si="228"/>
        <v>0.23773650923240858</v>
      </c>
      <c r="IS93" s="17">
        <f t="shared" si="229"/>
        <v>0.45843958246080929</v>
      </c>
      <c r="IT93" s="17">
        <f t="shared" si="230"/>
        <v>0.22552205652365226</v>
      </c>
      <c r="IW93" s="13">
        <v>89</v>
      </c>
      <c r="IX93" s="14">
        <f>MATCH(IW93-1,属性投放!$T$6:$T$66,1)</f>
        <v>14</v>
      </c>
      <c r="IY93" s="14">
        <f>MATCH(IW93-1,属性投放!$AD$7:$AD$26,1)</f>
        <v>12</v>
      </c>
      <c r="IZ93" s="14" t="str">
        <f>INDEX(属性投放!$AB$7:$AB$26,IY93)</f>
        <v>大叫唤+2</v>
      </c>
      <c r="JA93" s="14">
        <f t="shared" si="231"/>
        <v>2357</v>
      </c>
      <c r="JB93" s="14">
        <f t="shared" si="232"/>
        <v>1129</v>
      </c>
      <c r="JC93" s="14">
        <f t="shared" si="233"/>
        <v>17449</v>
      </c>
      <c r="JD93" s="14">
        <f t="shared" si="234"/>
        <v>76</v>
      </c>
      <c r="JE93" s="14">
        <f t="shared" si="235"/>
        <v>38</v>
      </c>
      <c r="JF93" s="14">
        <f t="shared" si="236"/>
        <v>685</v>
      </c>
      <c r="JG93" s="14">
        <f>INDEX(属性投放!$DC$6:$DC$85,卡牌属性!IY93)</f>
        <v>60</v>
      </c>
      <c r="JH93" s="14">
        <f t="shared" si="237"/>
        <v>4561</v>
      </c>
      <c r="JI93" s="14">
        <f t="shared" si="238"/>
        <v>2231</v>
      </c>
      <c r="JJ93" s="14">
        <f t="shared" si="239"/>
        <v>37314</v>
      </c>
      <c r="JK93" s="14">
        <f t="shared" si="240"/>
        <v>82429</v>
      </c>
    </row>
    <row r="94" spans="31:271" ht="16.5" x14ac:dyDescent="0.2">
      <c r="AE94" s="13">
        <v>90</v>
      </c>
      <c r="AF94" s="13">
        <f t="shared" si="188"/>
        <v>5</v>
      </c>
      <c r="AG94" s="13">
        <f t="shared" si="169"/>
        <v>4</v>
      </c>
      <c r="AH94" s="13"/>
      <c r="AI94" s="13"/>
      <c r="AJ94" s="14">
        <f t="shared" si="170"/>
        <v>1101005</v>
      </c>
      <c r="AK94" s="14" t="str">
        <f t="shared" si="171"/>
        <v>刘羽禅10突</v>
      </c>
      <c r="AL94" s="25" t="s">
        <v>142</v>
      </c>
      <c r="AM94" s="14">
        <v>1</v>
      </c>
      <c r="AN94" s="14">
        <f t="shared" si="172"/>
        <v>10</v>
      </c>
      <c r="AO94" s="14">
        <f>INDEX(属性投放!$DF$6:$DF$85,(卡牌属性!AG94-2)*20+卡牌属性!AN94)</f>
        <v>3347</v>
      </c>
      <c r="AP94" s="14">
        <f t="shared" si="241"/>
        <v>3347</v>
      </c>
      <c r="AQ94" s="14">
        <f t="shared" si="241"/>
        <v>3347</v>
      </c>
      <c r="AR94" s="14">
        <f t="shared" si="241"/>
        <v>3347</v>
      </c>
      <c r="AS94" s="14">
        <f t="shared" si="241"/>
        <v>3347</v>
      </c>
      <c r="AT94" s="14">
        <f>INDEX(属性投放!$DG$6:$DG$85,(卡牌属性!AG94-2)*20+卡牌属性!AN94)</f>
        <v>1603</v>
      </c>
      <c r="AU94" s="14">
        <f t="shared" si="242"/>
        <v>1603</v>
      </c>
      <c r="AV94" s="14">
        <f t="shared" si="242"/>
        <v>1603</v>
      </c>
      <c r="AW94" s="14">
        <f t="shared" si="242"/>
        <v>1603</v>
      </c>
      <c r="AX94" s="14">
        <f t="shared" si="242"/>
        <v>1603</v>
      </c>
      <c r="AY94" s="14">
        <f>INDEX(属性投放!$DH$6:$DH$85,(卡牌属性!AG94-2)*20+卡牌属性!AN94)</f>
        <v>23487</v>
      </c>
      <c r="AZ94" s="14">
        <f t="shared" si="243"/>
        <v>23487</v>
      </c>
      <c r="BA94" s="14">
        <f t="shared" si="243"/>
        <v>23487</v>
      </c>
      <c r="BB94" s="14">
        <f t="shared" si="243"/>
        <v>23487</v>
      </c>
      <c r="BC94" s="14">
        <f t="shared" si="243"/>
        <v>23487</v>
      </c>
      <c r="BD94" s="14">
        <f>INDEX(属性投放!$DL$6:$DL$85,(卡牌属性!AG94-2)*20+卡牌属性!AN94)</f>
        <v>110</v>
      </c>
      <c r="BE94" s="14">
        <f t="shared" si="244"/>
        <v>110</v>
      </c>
      <c r="BF94" s="14">
        <f t="shared" si="244"/>
        <v>110</v>
      </c>
      <c r="BG94" s="14">
        <f t="shared" si="244"/>
        <v>110</v>
      </c>
      <c r="BH94" s="14">
        <f t="shared" si="244"/>
        <v>110</v>
      </c>
      <c r="BI94" s="14">
        <f>INDEX(属性投放!$DM$6:$DM$85,(卡牌属性!AG94-2)*20+卡牌属性!AN94)</f>
        <v>55</v>
      </c>
      <c r="BJ94" s="14">
        <f t="shared" si="245"/>
        <v>55</v>
      </c>
      <c r="BK94" s="14">
        <f t="shared" si="245"/>
        <v>55</v>
      </c>
      <c r="BL94" s="14">
        <f t="shared" si="245"/>
        <v>55</v>
      </c>
      <c r="BM94" s="14">
        <f t="shared" si="245"/>
        <v>55</v>
      </c>
      <c r="BN94" s="14">
        <f>INDEX(属性投放!$DN$6:$DN$85,(卡牌属性!AG94-2)*20+卡牌属性!AN94)</f>
        <v>988</v>
      </c>
      <c r="BO94" s="14">
        <f t="shared" si="246"/>
        <v>988</v>
      </c>
      <c r="BP94" s="14">
        <f t="shared" si="246"/>
        <v>988</v>
      </c>
      <c r="BQ94" s="14">
        <f t="shared" si="246"/>
        <v>988</v>
      </c>
      <c r="BR94" s="14">
        <f t="shared" si="246"/>
        <v>988</v>
      </c>
      <c r="BW94" s="13">
        <v>90</v>
      </c>
      <c r="BX94" s="13">
        <f t="shared" si="173"/>
        <v>5</v>
      </c>
      <c r="BY94" s="14">
        <f t="shared" si="174"/>
        <v>3</v>
      </c>
      <c r="BZ94" s="14">
        <f t="shared" si="189"/>
        <v>1102005</v>
      </c>
      <c r="CA94" s="14" t="str">
        <f t="shared" si="190"/>
        <v>李轩辕10突</v>
      </c>
      <c r="CB94" s="25" t="s">
        <v>142</v>
      </c>
      <c r="CC94" s="14">
        <v>2</v>
      </c>
      <c r="CD94" s="14">
        <f t="shared" si="175"/>
        <v>10</v>
      </c>
      <c r="CE94" s="14" t="s">
        <v>21</v>
      </c>
      <c r="CF94" s="14">
        <f>INDEX(属性投放!$AZ$6:$AZ$85,(BY94-2)*20+CD94)</f>
        <v>2826</v>
      </c>
      <c r="CG94" s="14" t="s">
        <v>22</v>
      </c>
      <c r="CH94" s="14">
        <f>INDEX(属性投放!$BA$6:$BA$85,(BY94-2)*20+CD94)</f>
        <v>1362</v>
      </c>
      <c r="CI94" s="14" t="s">
        <v>510</v>
      </c>
      <c r="CJ94" s="14">
        <f>INDEX(属性投放!$BB$6:$BB$85,(BY94-2)*20+CD94)</f>
        <v>20055</v>
      </c>
      <c r="CK94" s="14" t="s">
        <v>21</v>
      </c>
      <c r="CL94" s="14">
        <f>INDEX(属性投放!$BC$6:$BC$85,(BY94-2)*20+CD94)</f>
        <v>20</v>
      </c>
      <c r="CM94" s="14" t="s">
        <v>22</v>
      </c>
      <c r="CN94" s="14">
        <f>INDEX(属性投放!$BD$6:$BD$85,(BY94-2)*20+CD94)</f>
        <v>10</v>
      </c>
      <c r="CO94" s="14" t="s">
        <v>510</v>
      </c>
      <c r="CP94" s="14">
        <f>INDEX(属性投放!$BE$6:$BE$85,(BY94-2)*20+CD94)</f>
        <v>180</v>
      </c>
      <c r="CS94" s="13">
        <v>90</v>
      </c>
      <c r="CT94" s="13">
        <f t="shared" si="191"/>
        <v>2</v>
      </c>
      <c r="CU94" s="13">
        <f t="shared" si="192"/>
        <v>38</v>
      </c>
      <c r="CV94" s="14">
        <f t="shared" si="193"/>
        <v>3</v>
      </c>
      <c r="CW94" s="14">
        <f t="shared" si="194"/>
        <v>1102002</v>
      </c>
      <c r="CX94" s="14" t="str">
        <f>INDEX($O$6:$O$50,CT94)&amp;"-"&amp;INDEX(属性投放!$AB$7:$AB$50,CZ94)&amp;"-魂火-"&amp;DB94</f>
        <v>许褚-大焦热-魂火-2</v>
      </c>
      <c r="CY94" s="25" t="s">
        <v>142</v>
      </c>
      <c r="CZ94" s="14">
        <f>INDEX(属性投放!$AM$7:$AM$58,CU94)</f>
        <v>16</v>
      </c>
      <c r="DA94" s="14" t="s">
        <v>537</v>
      </c>
      <c r="DB94" s="14">
        <f>INDEX(属性投放!$AN$7:$AN$58,CU94)</f>
        <v>2</v>
      </c>
      <c r="DC94" s="14">
        <f t="shared" si="176"/>
        <v>38</v>
      </c>
      <c r="DD94" s="14">
        <f>INDEX(属性投放!$AO$7:$AO$58,DC94)</f>
        <v>113</v>
      </c>
      <c r="DE94" s="14" t="s">
        <v>538</v>
      </c>
      <c r="DF94" s="14">
        <f>INDEX(属性投放!$BK$6:$BK$85,(CV94-2)*20+CZ94)</f>
        <v>500</v>
      </c>
      <c r="DG94" s="14">
        <f>SUMIFS(DF$5:DF94,$CT$5:$CT94,"="&amp;$CT94)</f>
        <v>6270</v>
      </c>
      <c r="DH94" s="14" t="s">
        <v>539</v>
      </c>
      <c r="DI94" s="14">
        <f>INDEX(属性投放!$BL$6:$BL$85,(CV94-2)*20+CZ94)</f>
        <v>250</v>
      </c>
      <c r="DJ94" s="14">
        <f>SUMIFS(DI$5:DI94,$CT$5:$CT94,"="&amp;$CT94)</f>
        <v>3138</v>
      </c>
      <c r="DK94" s="14" t="s">
        <v>540</v>
      </c>
      <c r="DL94" s="14">
        <f>INDEX(属性投放!$BM$6:$BM$85,(CV94-2)*20+CZ94)</f>
        <v>5000</v>
      </c>
      <c r="DM94" s="14">
        <f>SUMIFS(DL$5:DL94,$CT$5:$CT94,"="&amp;$CT94)</f>
        <v>58740</v>
      </c>
      <c r="DR94" s="14">
        <f t="shared" si="177"/>
        <v>1102005</v>
      </c>
      <c r="DS94" s="14" t="str">
        <f t="shared" si="178"/>
        <v>李轩辕10突</v>
      </c>
      <c r="DT94" s="14">
        <f t="shared" si="195"/>
        <v>4</v>
      </c>
      <c r="DU94" s="14">
        <f t="shared" si="196"/>
        <v>5</v>
      </c>
      <c r="DV94" s="14">
        <f t="shared" si="197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INDEX(属性投放!$AX$6:$AX$85,(卡牌属性!DW94-2)*20+卡牌属性!DX94)</f>
        <v>7</v>
      </c>
      <c r="EA94" s="14">
        <f>INDEX(属性投放!BQ$6:BQ$85,卡牌属性!$DY94)</f>
        <v>175</v>
      </c>
      <c r="EB94" s="14">
        <f>INDEX(属性投放!BR$6:BR$85,卡牌属性!$DY94)</f>
        <v>88</v>
      </c>
      <c r="EC94" s="14">
        <f>INDEX(属性投放!BS$6:BS$85,卡牌属性!$DY94)</f>
        <v>1575</v>
      </c>
      <c r="ED94" s="14">
        <f t="shared" si="248"/>
        <v>1645</v>
      </c>
      <c r="EE94" s="14">
        <f t="shared" si="249"/>
        <v>1816</v>
      </c>
      <c r="EF94" s="14">
        <f t="shared" si="250"/>
        <v>1929</v>
      </c>
      <c r="EG94" s="14">
        <f t="shared" si="251"/>
        <v>1929</v>
      </c>
      <c r="EH94" s="14">
        <f t="shared" si="252"/>
        <v>2338</v>
      </c>
      <c r="EI94" s="14">
        <f t="shared" si="253"/>
        <v>874</v>
      </c>
      <c r="EJ94" s="14">
        <f t="shared" si="254"/>
        <v>930</v>
      </c>
      <c r="EK94" s="14">
        <f t="shared" si="255"/>
        <v>930</v>
      </c>
      <c r="EL94" s="14">
        <f t="shared" si="256"/>
        <v>1140</v>
      </c>
      <c r="EM94" s="14">
        <f t="shared" si="257"/>
        <v>1229</v>
      </c>
      <c r="EN94" s="14">
        <f t="shared" si="258"/>
        <v>13241</v>
      </c>
      <c r="EO94" s="14">
        <f t="shared" si="259"/>
        <v>16173</v>
      </c>
      <c r="EP94" s="14">
        <f t="shared" si="260"/>
        <v>16173</v>
      </c>
      <c r="EQ94" s="14">
        <f t="shared" si="261"/>
        <v>17377</v>
      </c>
      <c r="ER94" s="14">
        <f t="shared" si="262"/>
        <v>18735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189</v>
      </c>
      <c r="FD94" s="14">
        <f>INDEX(属性偏向!$U$4:$U$243,(卡牌属性!$DV94-1+FD$3)*20+卡牌属性!$DX94)</f>
        <v>270</v>
      </c>
      <c r="FE94" s="14">
        <f>INDEX(属性偏向!$U$4:$U$243,(卡牌属性!$DV94-1+FE$3)*20+卡牌属性!$DX94)</f>
        <v>270</v>
      </c>
      <c r="FF94" s="14">
        <f>INDEX(属性偏向!$U$4:$U$243,(卡牌属性!$DV94-1+FF$3)*20+卡牌属性!$DX94)</f>
        <v>315</v>
      </c>
      <c r="FG94" s="14">
        <f>INDEX(属性偏向!$U$4:$U$243,(卡牌属性!$DV94-1+FG$3)*20+卡牌属性!$DX94)</f>
        <v>360</v>
      </c>
      <c r="FH94" s="14">
        <f>INDEX(属性投放!$BQ$6:$BQ$85,(卡牌属性!$DW94-2)*20+卡牌属性!$DX94)</f>
        <v>175</v>
      </c>
      <c r="FI94" s="14">
        <f>INDEX(属性投放!$BQ$6:$BQ$85,(卡牌属性!$DW94-2)*20+卡牌属性!$DX94)</f>
        <v>175</v>
      </c>
      <c r="FJ94" s="14">
        <f>INDEX(属性投放!$BQ$6:$BQ$85,(卡牌属性!$DW94-2)*20+卡牌属性!$DX94)</f>
        <v>175</v>
      </c>
      <c r="FK94" s="14">
        <f>INDEX(属性投放!$BQ$6:$BQ$85,(卡牌属性!$DW94-2)*20+卡牌属性!$DX94)</f>
        <v>175</v>
      </c>
      <c r="FL94" s="14">
        <f>INDEX(属性投放!$BQ$6:$BQ$85,(卡牌属性!$DW94-2)*20+卡牌属性!$DX94)</f>
        <v>175</v>
      </c>
      <c r="FM94" s="14">
        <f>INDEX(属性投放!$BR$6:$BR$85,(卡牌属性!$DW94-2)*20+卡牌属性!$DX94)</f>
        <v>88</v>
      </c>
      <c r="FN94" s="14">
        <f>INDEX(属性投放!$BR$6:$BR$85,(卡牌属性!$DW94-2)*20+卡牌属性!$DX94)</f>
        <v>88</v>
      </c>
      <c r="FO94" s="14">
        <f>INDEX(属性投放!$BR$6:$BR$85,(卡牌属性!$DW94-2)*20+卡牌属性!$DX94)</f>
        <v>88</v>
      </c>
      <c r="FP94" s="14">
        <f>INDEX(属性投放!$BR$6:$BR$85,(卡牌属性!$DW94-2)*20+卡牌属性!$DX94)</f>
        <v>88</v>
      </c>
      <c r="FQ94" s="14">
        <f>INDEX(属性投放!$BR$6:$BR$85,(卡牌属性!$DW94-2)*20+卡牌属性!$DX94)</f>
        <v>88</v>
      </c>
      <c r="FR94" s="14">
        <f>INDEX(属性投放!$BS$6:$BS$85,(卡牌属性!$DW94-2)*20+卡牌属性!$DX94)</f>
        <v>1575</v>
      </c>
      <c r="FS94" s="14">
        <f>INDEX(属性投放!$BS$6:$BS$85,(卡牌属性!$DW94-2)*20+卡牌属性!$DX94)</f>
        <v>1575</v>
      </c>
      <c r="FT94" s="14">
        <f>INDEX(属性投放!$BS$6:$BS$85,(卡牌属性!$DW94-2)*20+卡牌属性!$DX94)</f>
        <v>1575</v>
      </c>
      <c r="FU94" s="14">
        <f>INDEX(属性投放!$BS$6:$BS$85,(卡牌属性!$DW94-2)*20+卡牌属性!$DX94)</f>
        <v>1575</v>
      </c>
      <c r="FV94" s="14">
        <f>INDEX(属性投放!$BS$6:$BS$85,(卡牌属性!$DW94-2)*20+卡牌属性!$DX94)</f>
        <v>1575</v>
      </c>
      <c r="FZ94" s="13">
        <v>90</v>
      </c>
      <c r="GA94" s="13">
        <f t="shared" si="182"/>
        <v>18</v>
      </c>
      <c r="GB94" s="14">
        <f t="shared" si="198"/>
        <v>1102018</v>
      </c>
      <c r="GC94" s="14" t="s">
        <v>1187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3"/>
        <v>18</v>
      </c>
      <c r="GP94" s="14">
        <f t="shared" si="199"/>
        <v>1101020</v>
      </c>
      <c r="GQ94" s="14" t="s">
        <v>1187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MATCH(HC94,属性投放!$AO$6:$AO$58,1)-1</f>
        <v>29</v>
      </c>
      <c r="HF94" s="13">
        <f>MATCH(HC94-1,属性投放!$AE$6:$AE$26,1)</f>
        <v>13</v>
      </c>
      <c r="HG94" s="13" t="str">
        <f>INDEX(属性投放!$AB$7:$AB$26,卡牌属性!HF94)</f>
        <v>焦热</v>
      </c>
      <c r="HH94" s="14">
        <f t="shared" si="200"/>
        <v>4023</v>
      </c>
      <c r="HI94" s="14">
        <f t="shared" si="201"/>
        <v>1684</v>
      </c>
      <c r="HJ94" s="14">
        <f t="shared" si="202"/>
        <v>26404</v>
      </c>
      <c r="HK94" s="14">
        <f t="shared" si="203"/>
        <v>40</v>
      </c>
      <c r="HL94" s="14">
        <f t="shared" si="204"/>
        <v>13</v>
      </c>
      <c r="HM94" s="14">
        <f t="shared" si="205"/>
        <v>260</v>
      </c>
      <c r="HN94" s="14">
        <f>HH94+HK94*($HC94-INDEX(属性投放!$AE$6:$AE$26,卡牌属性!$HF94))</f>
        <v>4143</v>
      </c>
      <c r="HO94" s="14">
        <f>HI94+HL94*($HC94-INDEX(属性投放!$AE$6:$AE$26,卡牌属性!$HF94))</f>
        <v>1723</v>
      </c>
      <c r="HP94" s="14">
        <f>HJ94+HM94*($HC94-INDEX(属性投放!$AE$6:$AE$26,卡牌属性!$HF94))</f>
        <v>27184</v>
      </c>
      <c r="HQ94" s="14">
        <f t="shared" si="206"/>
        <v>3305</v>
      </c>
      <c r="HR94" s="14">
        <f t="shared" si="207"/>
        <v>1660</v>
      </c>
      <c r="HS94" s="14">
        <f t="shared" si="208"/>
        <v>28485</v>
      </c>
      <c r="HT94" s="14">
        <f>IF(COUNTIF(属性投放!$AO$7:$AO$58,"="&amp;卡牌属性!HC94)&gt;0,卡牌属性!HE94,0)</f>
        <v>29</v>
      </c>
      <c r="HU94" s="14">
        <f t="shared" si="209"/>
        <v>275</v>
      </c>
      <c r="HV94" s="14">
        <f t="shared" si="210"/>
        <v>138</v>
      </c>
      <c r="HW94" s="14">
        <f t="shared" si="211"/>
        <v>2750</v>
      </c>
      <c r="HX94" s="14">
        <f>IF(COUNTIF(属性投放!$AE$6:$AE$26,"="&amp;卡牌属性!HC94)&gt;0,卡牌属性!HF94,0)</f>
        <v>0</v>
      </c>
      <c r="HY94" s="14">
        <f t="shared" si="212"/>
        <v>0</v>
      </c>
      <c r="HZ94" s="14">
        <f t="shared" si="213"/>
        <v>0</v>
      </c>
      <c r="IA94" s="14">
        <f t="shared" si="214"/>
        <v>0</v>
      </c>
      <c r="IB94" s="14">
        <f t="shared" si="215"/>
        <v>40</v>
      </c>
      <c r="IC94" s="14">
        <f t="shared" si="216"/>
        <v>13</v>
      </c>
      <c r="ID94" s="14">
        <f t="shared" si="217"/>
        <v>260</v>
      </c>
      <c r="IE94" s="14">
        <f t="shared" si="218"/>
        <v>7448</v>
      </c>
      <c r="IF94" s="14">
        <f t="shared" si="219"/>
        <v>3383</v>
      </c>
      <c r="IG94" s="14">
        <f t="shared" si="220"/>
        <v>55669</v>
      </c>
      <c r="IH94" s="14">
        <f t="shared" si="221"/>
        <v>920</v>
      </c>
      <c r="II94" s="14">
        <f t="shared" si="222"/>
        <v>8260</v>
      </c>
      <c r="IJ94" s="14">
        <f t="shared" si="223"/>
        <v>0</v>
      </c>
      <c r="IK94" s="14">
        <f t="shared" si="224"/>
        <v>197809</v>
      </c>
      <c r="IL94" s="17">
        <f t="shared" si="225"/>
        <v>4.6509511700680963E-3</v>
      </c>
      <c r="IM94" s="17">
        <f t="shared" si="226"/>
        <v>4.1757452896480945E-2</v>
      </c>
      <c r="IN94" s="17">
        <f t="shared" si="227"/>
        <v>0</v>
      </c>
      <c r="IO94" s="23">
        <f>SUM(IH$5:IH94)</f>
        <v>45764</v>
      </c>
      <c r="IP94" s="14">
        <f>SUM(II$5:II94)</f>
        <v>94735</v>
      </c>
      <c r="IQ94" s="14">
        <f>SUM(IJ$5:IJ94)</f>
        <v>42540</v>
      </c>
      <c r="IR94" s="17">
        <f t="shared" si="228"/>
        <v>0.23135448842064821</v>
      </c>
      <c r="IS94" s="17">
        <f t="shared" si="229"/>
        <v>0.47892158597434897</v>
      </c>
      <c r="IT94" s="17">
        <f t="shared" si="230"/>
        <v>0.21505593779858348</v>
      </c>
      <c r="IW94" s="13">
        <v>90</v>
      </c>
      <c r="IX94" s="14">
        <f>MATCH(IW94-1,属性投放!$T$6:$T$66,1)</f>
        <v>14</v>
      </c>
      <c r="IY94" s="14">
        <f>MATCH(IW94-1,属性投放!$AD$7:$AD$26,1)</f>
        <v>12</v>
      </c>
      <c r="IZ94" s="14" t="str">
        <f>INDEX(属性投放!$AB$7:$AB$26,IY94)</f>
        <v>大叫唤+2</v>
      </c>
      <c r="JA94" s="14">
        <f t="shared" si="231"/>
        <v>2357</v>
      </c>
      <c r="JB94" s="14">
        <f t="shared" si="232"/>
        <v>1129</v>
      </c>
      <c r="JC94" s="14">
        <f t="shared" si="233"/>
        <v>17449</v>
      </c>
      <c r="JD94" s="14">
        <f t="shared" si="234"/>
        <v>76</v>
      </c>
      <c r="JE94" s="14">
        <f t="shared" si="235"/>
        <v>38</v>
      </c>
      <c r="JF94" s="14">
        <f t="shared" si="236"/>
        <v>685</v>
      </c>
      <c r="JG94" s="14">
        <f>INDEX(属性投放!$DC$6:$DC$85,卡牌属性!IY94)</f>
        <v>60</v>
      </c>
      <c r="JH94" s="14">
        <f t="shared" si="237"/>
        <v>4637</v>
      </c>
      <c r="JI94" s="14">
        <f t="shared" si="238"/>
        <v>2269</v>
      </c>
      <c r="JJ94" s="14">
        <f t="shared" si="239"/>
        <v>37999</v>
      </c>
      <c r="JK94" s="14">
        <f t="shared" si="240"/>
        <v>83874</v>
      </c>
    </row>
    <row r="95" spans="31:271" ht="16.5" x14ac:dyDescent="0.2">
      <c r="AE95" s="13">
        <v>91</v>
      </c>
      <c r="AF95" s="13">
        <f t="shared" si="188"/>
        <v>5</v>
      </c>
      <c r="AG95" s="13">
        <f t="shared" si="169"/>
        <v>4</v>
      </c>
      <c r="AH95" s="13"/>
      <c r="AI95" s="13"/>
      <c r="AJ95" s="14">
        <f t="shared" si="170"/>
        <v>1101005</v>
      </c>
      <c r="AK95" s="14" t="str">
        <f t="shared" si="171"/>
        <v>刘羽禅11突</v>
      </c>
      <c r="AL95" s="25" t="s">
        <v>142</v>
      </c>
      <c r="AM95" s="14">
        <v>1</v>
      </c>
      <c r="AN95" s="14">
        <f t="shared" si="172"/>
        <v>11</v>
      </c>
      <c r="AO95" s="14">
        <f>INDEX(属性投放!$DF$6:$DF$85,(卡牌属性!AG95-2)*20+卡牌属性!AN95)</f>
        <v>3661</v>
      </c>
      <c r="AP95" s="14">
        <f t="shared" si="241"/>
        <v>3661</v>
      </c>
      <c r="AQ95" s="14">
        <f t="shared" si="241"/>
        <v>3661</v>
      </c>
      <c r="AR95" s="14">
        <f t="shared" si="241"/>
        <v>3661</v>
      </c>
      <c r="AS95" s="14">
        <f t="shared" si="241"/>
        <v>3661</v>
      </c>
      <c r="AT95" s="14">
        <f>INDEX(属性投放!$DG$6:$DG$85,(卡牌属性!AG95-2)*20+卡牌属性!AN95)</f>
        <v>1760</v>
      </c>
      <c r="AU95" s="14">
        <f t="shared" si="242"/>
        <v>1760</v>
      </c>
      <c r="AV95" s="14">
        <f t="shared" si="242"/>
        <v>1760</v>
      </c>
      <c r="AW95" s="14">
        <f t="shared" si="242"/>
        <v>1760</v>
      </c>
      <c r="AX95" s="14">
        <f t="shared" si="242"/>
        <v>1760</v>
      </c>
      <c r="AY95" s="14">
        <f>INDEX(属性投放!$DH$6:$DH$85,(卡牌属性!AG95-2)*20+卡牌属性!AN95)</f>
        <v>26309</v>
      </c>
      <c r="AZ95" s="14">
        <f t="shared" si="243"/>
        <v>26309</v>
      </c>
      <c r="BA95" s="14">
        <f t="shared" si="243"/>
        <v>26309</v>
      </c>
      <c r="BB95" s="14">
        <f t="shared" si="243"/>
        <v>26309</v>
      </c>
      <c r="BC95" s="14">
        <f t="shared" si="243"/>
        <v>26309</v>
      </c>
      <c r="BD95" s="14">
        <f>INDEX(属性投放!$DL$6:$DL$85,(卡牌属性!AG95-2)*20+卡牌属性!AN95)</f>
        <v>110</v>
      </c>
      <c r="BE95" s="14">
        <f t="shared" si="244"/>
        <v>110</v>
      </c>
      <c r="BF95" s="14">
        <f t="shared" si="244"/>
        <v>110</v>
      </c>
      <c r="BG95" s="14">
        <f t="shared" si="244"/>
        <v>110</v>
      </c>
      <c r="BH95" s="14">
        <f t="shared" si="244"/>
        <v>110</v>
      </c>
      <c r="BI95" s="14">
        <f>INDEX(属性投放!$DM$6:$DM$85,(卡牌属性!AG95-2)*20+卡牌属性!AN95)</f>
        <v>55</v>
      </c>
      <c r="BJ95" s="14">
        <f t="shared" si="245"/>
        <v>55</v>
      </c>
      <c r="BK95" s="14">
        <f t="shared" si="245"/>
        <v>55</v>
      </c>
      <c r="BL95" s="14">
        <f t="shared" si="245"/>
        <v>55</v>
      </c>
      <c r="BM95" s="14">
        <f t="shared" si="245"/>
        <v>55</v>
      </c>
      <c r="BN95" s="14">
        <f>INDEX(属性投放!$DN$6:$DN$85,(卡牌属性!AG95-2)*20+卡牌属性!AN95)</f>
        <v>988</v>
      </c>
      <c r="BO95" s="14">
        <f t="shared" si="246"/>
        <v>988</v>
      </c>
      <c r="BP95" s="14">
        <f t="shared" si="246"/>
        <v>988</v>
      </c>
      <c r="BQ95" s="14">
        <f t="shared" si="246"/>
        <v>988</v>
      </c>
      <c r="BR95" s="14">
        <f t="shared" si="246"/>
        <v>988</v>
      </c>
      <c r="BW95" s="13">
        <v>91</v>
      </c>
      <c r="BX95" s="13">
        <f t="shared" si="173"/>
        <v>5</v>
      </c>
      <c r="BY95" s="14">
        <f t="shared" si="174"/>
        <v>3</v>
      </c>
      <c r="BZ95" s="14">
        <f t="shared" si="189"/>
        <v>1102005</v>
      </c>
      <c r="CA95" s="14" t="str">
        <f t="shared" si="190"/>
        <v>李轩辕11突</v>
      </c>
      <c r="CB95" s="25" t="s">
        <v>142</v>
      </c>
      <c r="CC95" s="14">
        <v>2</v>
      </c>
      <c r="CD95" s="14">
        <f t="shared" si="175"/>
        <v>11</v>
      </c>
      <c r="CE95" s="14" t="s">
        <v>21</v>
      </c>
      <c r="CF95" s="14">
        <f>INDEX(属性投放!$AZ$6:$AZ$85,(BY95-2)*20+CD95)</f>
        <v>3501</v>
      </c>
      <c r="CG95" s="14" t="s">
        <v>22</v>
      </c>
      <c r="CH95" s="14">
        <f>INDEX(属性投放!$BA$6:$BA$85,(BY95-2)*20+CD95)</f>
        <v>1700</v>
      </c>
      <c r="CI95" s="14" t="s">
        <v>510</v>
      </c>
      <c r="CJ95" s="14">
        <f>INDEX(属性投放!$BB$6:$BB$85,(BY95-2)*20+CD95)</f>
        <v>26130</v>
      </c>
      <c r="CK95" s="14" t="s">
        <v>21</v>
      </c>
      <c r="CL95" s="14">
        <f>INDEX(属性投放!$BC$6:$BC$85,(BY95-2)*20+CD95)</f>
        <v>20</v>
      </c>
      <c r="CM95" s="14" t="s">
        <v>22</v>
      </c>
      <c r="CN95" s="14">
        <f>INDEX(属性投放!$BD$6:$BD$85,(BY95-2)*20+CD95)</f>
        <v>10</v>
      </c>
      <c r="CO95" s="14" t="s">
        <v>510</v>
      </c>
      <c r="CP95" s="14">
        <f>INDEX(属性投放!$BE$6:$BE$85,(BY95-2)*20+CD95)</f>
        <v>180</v>
      </c>
      <c r="CS95" s="13">
        <v>91</v>
      </c>
      <c r="CT95" s="13">
        <f t="shared" si="191"/>
        <v>2</v>
      </c>
      <c r="CU95" s="13">
        <f t="shared" si="192"/>
        <v>39</v>
      </c>
      <c r="CV95" s="14">
        <f t="shared" si="193"/>
        <v>3</v>
      </c>
      <c r="CW95" s="14">
        <f t="shared" si="194"/>
        <v>1102002</v>
      </c>
      <c r="CX95" s="14" t="str">
        <f>INDEX($O$6:$O$50,CT95)&amp;"-"&amp;INDEX(属性投放!$AB$7:$AB$50,CZ95)&amp;"-魂火-"&amp;DB95</f>
        <v>许褚-大焦热-魂火-3</v>
      </c>
      <c r="CY95" s="25" t="s">
        <v>142</v>
      </c>
      <c r="CZ95" s="14">
        <f>INDEX(属性投放!$AM$7:$AM$58,CU95)</f>
        <v>16</v>
      </c>
      <c r="DA95" s="14" t="s">
        <v>537</v>
      </c>
      <c r="DB95" s="14">
        <f>INDEX(属性投放!$AN$7:$AN$58,CU95)</f>
        <v>3</v>
      </c>
      <c r="DC95" s="14">
        <f t="shared" si="176"/>
        <v>39</v>
      </c>
      <c r="DD95" s="14">
        <f>INDEX(属性投放!$AO$7:$AO$58,DC95)</f>
        <v>115</v>
      </c>
      <c r="DE95" s="14" t="s">
        <v>538</v>
      </c>
      <c r="DF95" s="14">
        <f>INDEX(属性投放!$BK$6:$BK$85,(CV95-2)*20+CZ95)</f>
        <v>500</v>
      </c>
      <c r="DG95" s="14">
        <f>SUMIFS(DF$5:DF95,$CT$5:$CT95,"="&amp;$CT95)</f>
        <v>6770</v>
      </c>
      <c r="DH95" s="14" t="s">
        <v>539</v>
      </c>
      <c r="DI95" s="14">
        <f>INDEX(属性投放!$BL$6:$BL$85,(CV95-2)*20+CZ95)</f>
        <v>250</v>
      </c>
      <c r="DJ95" s="14">
        <f>SUMIFS(DI$5:DI95,$CT$5:$CT95,"="&amp;$CT95)</f>
        <v>3388</v>
      </c>
      <c r="DK95" s="14" t="s">
        <v>540</v>
      </c>
      <c r="DL95" s="14">
        <f>INDEX(属性投放!$BM$6:$BM$85,(CV95-2)*20+CZ95)</f>
        <v>5000</v>
      </c>
      <c r="DM95" s="14">
        <f>SUMIFS(DL$5:DL95,$CT$5:$CT95,"="&amp;$CT95)</f>
        <v>63740</v>
      </c>
      <c r="DR95" s="14">
        <f t="shared" si="177"/>
        <v>1102005</v>
      </c>
      <c r="DS95" s="14" t="str">
        <f t="shared" si="178"/>
        <v>李轩辕11突</v>
      </c>
      <c r="DT95" s="14">
        <f t="shared" si="195"/>
        <v>4</v>
      </c>
      <c r="DU95" s="14">
        <f t="shared" si="196"/>
        <v>5</v>
      </c>
      <c r="DV95" s="14">
        <f t="shared" si="197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INDEX(属性投放!$AX$6:$AX$85,(卡牌属性!DW95-2)*20+卡牌属性!DX95)</f>
        <v>8</v>
      </c>
      <c r="EA95" s="14">
        <f>INDEX(属性投放!BQ$6:BQ$85,卡牌属性!$DY95)</f>
        <v>240</v>
      </c>
      <c r="EB95" s="14">
        <f>INDEX(属性投放!BR$6:BR$85,卡牌属性!$DY95)</f>
        <v>120</v>
      </c>
      <c r="EC95" s="14">
        <f>INDEX(属性投放!BS$6:BS$85,卡牌属性!$DY95)</f>
        <v>2160</v>
      </c>
      <c r="ED95" s="14">
        <f t="shared" si="248"/>
        <v>1925</v>
      </c>
      <c r="EE95" s="14">
        <f t="shared" si="249"/>
        <v>2131</v>
      </c>
      <c r="EF95" s="14">
        <f t="shared" si="250"/>
        <v>2251</v>
      </c>
      <c r="EG95" s="14">
        <f t="shared" si="251"/>
        <v>2251</v>
      </c>
      <c r="EH95" s="14">
        <f t="shared" si="252"/>
        <v>2723</v>
      </c>
      <c r="EI95" s="14">
        <f t="shared" si="253"/>
        <v>1032</v>
      </c>
      <c r="EJ95" s="14">
        <f t="shared" si="254"/>
        <v>1095</v>
      </c>
      <c r="EK95" s="14">
        <f t="shared" si="255"/>
        <v>1095</v>
      </c>
      <c r="EL95" s="14">
        <f t="shared" si="256"/>
        <v>1333</v>
      </c>
      <c r="EM95" s="14">
        <f t="shared" si="257"/>
        <v>1443</v>
      </c>
      <c r="EN95" s="14">
        <f t="shared" si="258"/>
        <v>16139</v>
      </c>
      <c r="EO95" s="14">
        <f t="shared" si="259"/>
        <v>19638</v>
      </c>
      <c r="EP95" s="14">
        <f t="shared" si="260"/>
        <v>19638</v>
      </c>
      <c r="EQ95" s="14">
        <f t="shared" si="261"/>
        <v>21157</v>
      </c>
      <c r="ER95" s="14">
        <f t="shared" si="262"/>
        <v>22830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189</v>
      </c>
      <c r="FD95" s="14">
        <f>INDEX(属性偏向!$U$4:$U$243,(卡牌属性!$DV95-1+FD$3)*20+卡牌属性!$DX95)</f>
        <v>270</v>
      </c>
      <c r="FE95" s="14">
        <f>INDEX(属性偏向!$U$4:$U$243,(卡牌属性!$DV95-1+FE$3)*20+卡牌属性!$DX95)</f>
        <v>270</v>
      </c>
      <c r="FF95" s="14">
        <f>INDEX(属性偏向!$U$4:$U$243,(卡牌属性!$DV95-1+FF$3)*20+卡牌属性!$DX95)</f>
        <v>315</v>
      </c>
      <c r="FG95" s="14">
        <f>INDEX(属性偏向!$U$4:$U$243,(卡牌属性!$DV95-1+FG$3)*20+卡牌属性!$DX95)</f>
        <v>360</v>
      </c>
      <c r="FH95" s="14">
        <f>INDEX(属性投放!$BQ$6:$BQ$85,(卡牌属性!$DW95-2)*20+卡牌属性!$DX95)</f>
        <v>240</v>
      </c>
      <c r="FI95" s="14">
        <f>INDEX(属性投放!$BQ$6:$BQ$85,(卡牌属性!$DW95-2)*20+卡牌属性!$DX95)</f>
        <v>240</v>
      </c>
      <c r="FJ95" s="14">
        <f>INDEX(属性投放!$BQ$6:$BQ$85,(卡牌属性!$DW95-2)*20+卡牌属性!$DX95)</f>
        <v>240</v>
      </c>
      <c r="FK95" s="14">
        <f>INDEX(属性投放!$BQ$6:$BQ$85,(卡牌属性!$DW95-2)*20+卡牌属性!$DX95)</f>
        <v>240</v>
      </c>
      <c r="FL95" s="14">
        <f>INDEX(属性投放!$BQ$6:$BQ$85,(卡牌属性!$DW95-2)*20+卡牌属性!$DX95)</f>
        <v>240</v>
      </c>
      <c r="FM95" s="14">
        <f>INDEX(属性投放!$BR$6:$BR$85,(卡牌属性!$DW95-2)*20+卡牌属性!$DX95)</f>
        <v>120</v>
      </c>
      <c r="FN95" s="14">
        <f>INDEX(属性投放!$BR$6:$BR$85,(卡牌属性!$DW95-2)*20+卡牌属性!$DX95)</f>
        <v>120</v>
      </c>
      <c r="FO95" s="14">
        <f>INDEX(属性投放!$BR$6:$BR$85,(卡牌属性!$DW95-2)*20+卡牌属性!$DX95)</f>
        <v>120</v>
      </c>
      <c r="FP95" s="14">
        <f>INDEX(属性投放!$BR$6:$BR$85,(卡牌属性!$DW95-2)*20+卡牌属性!$DX95)</f>
        <v>120</v>
      </c>
      <c r="FQ95" s="14">
        <f>INDEX(属性投放!$BR$6:$BR$85,(卡牌属性!$DW95-2)*20+卡牌属性!$DX95)</f>
        <v>120</v>
      </c>
      <c r="FR95" s="14">
        <f>INDEX(属性投放!$BS$6:$BS$85,(卡牌属性!$DW95-2)*20+卡牌属性!$DX95)</f>
        <v>2160</v>
      </c>
      <c r="FS95" s="14">
        <f>INDEX(属性投放!$BS$6:$BS$85,(卡牌属性!$DW95-2)*20+卡牌属性!$DX95)</f>
        <v>2160</v>
      </c>
      <c r="FT95" s="14">
        <f>INDEX(属性投放!$BS$6:$BS$85,(卡牌属性!$DW95-2)*20+卡牌属性!$DX95)</f>
        <v>2160</v>
      </c>
      <c r="FU95" s="14">
        <f>INDEX(属性投放!$BS$6:$BS$85,(卡牌属性!$DW95-2)*20+卡牌属性!$DX95)</f>
        <v>2160</v>
      </c>
      <c r="FV95" s="14">
        <f>INDEX(属性投放!$BS$6:$BS$85,(卡牌属性!$DW95-2)*20+卡牌属性!$DX95)</f>
        <v>2160</v>
      </c>
      <c r="FZ95" s="13">
        <v>91</v>
      </c>
      <c r="GA95" s="13">
        <f t="shared" si="182"/>
        <v>19</v>
      </c>
      <c r="GB95" s="14">
        <f t="shared" si="198"/>
        <v>1102019</v>
      </c>
      <c r="GC95" s="14" t="s">
        <v>1187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1</v>
      </c>
      <c r="GG95" s="14" t="str">
        <f>INDEX(属性评价,卡牌属性!GF95)</f>
        <v>D</v>
      </c>
      <c r="GH95" s="14">
        <f>INDEX(Z$6:Z$36,$GA95)+INDEX(属性偏向!Z$4:Z$8,卡牌属性!$GD95)</f>
        <v>6</v>
      </c>
      <c r="GI95" s="14" t="str">
        <f>INDEX(属性评价,卡牌属性!GH95)</f>
        <v>B+</v>
      </c>
      <c r="GJ95" s="14">
        <f>INDEX(AA$6:AA$36,$GA95)+INDEX(属性偏向!AA$4:AA$8,卡牌属性!$GD95)</f>
        <v>4</v>
      </c>
      <c r="GK95" s="14" t="str">
        <f>INDEX(属性评价,卡牌属性!GJ95)</f>
        <v>C+</v>
      </c>
      <c r="GN95" s="13">
        <v>91</v>
      </c>
      <c r="GO95" s="13">
        <f t="shared" si="263"/>
        <v>19</v>
      </c>
      <c r="GP95" s="14">
        <f t="shared" si="199"/>
        <v>1101022</v>
      </c>
      <c r="GQ95" s="14" t="s">
        <v>1187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MATCH(HC95,属性投放!$AO$6:$AO$58,1)-1</f>
        <v>29</v>
      </c>
      <c r="HF95" s="13">
        <f>MATCH(HC95-1,属性投放!$AE$6:$AE$26,1)</f>
        <v>13</v>
      </c>
      <c r="HG95" s="13" t="str">
        <f>INDEX(属性投放!$AB$7:$AB$26,卡牌属性!HF95)</f>
        <v>焦热</v>
      </c>
      <c r="HH95" s="14">
        <f t="shared" si="200"/>
        <v>4023</v>
      </c>
      <c r="HI95" s="14">
        <f t="shared" si="201"/>
        <v>1684</v>
      </c>
      <c r="HJ95" s="14">
        <f t="shared" si="202"/>
        <v>26404</v>
      </c>
      <c r="HK95" s="14">
        <f t="shared" si="203"/>
        <v>40</v>
      </c>
      <c r="HL95" s="14">
        <f t="shared" si="204"/>
        <v>13</v>
      </c>
      <c r="HM95" s="14">
        <f t="shared" si="205"/>
        <v>260</v>
      </c>
      <c r="HN95" s="14">
        <f>HH95+HK95*($HC95-INDEX(属性投放!$AE$6:$AE$26,卡牌属性!$HF95))</f>
        <v>4183</v>
      </c>
      <c r="HO95" s="14">
        <f>HI95+HL95*($HC95-INDEX(属性投放!$AE$6:$AE$26,卡牌属性!$HF95))</f>
        <v>1736</v>
      </c>
      <c r="HP95" s="14">
        <f>HJ95+HM95*($HC95-INDEX(属性投放!$AE$6:$AE$26,卡牌属性!$HF95))</f>
        <v>27444</v>
      </c>
      <c r="HQ95" s="14">
        <f t="shared" si="206"/>
        <v>3305</v>
      </c>
      <c r="HR95" s="14">
        <f t="shared" si="207"/>
        <v>1660</v>
      </c>
      <c r="HS95" s="14">
        <f t="shared" si="208"/>
        <v>28485</v>
      </c>
      <c r="HT95" s="14">
        <f>IF(COUNTIF(属性投放!$AO$7:$AO$58,"="&amp;卡牌属性!HC95)&gt;0,卡牌属性!HE95,0)</f>
        <v>0</v>
      </c>
      <c r="HU95" s="14">
        <f t="shared" si="209"/>
        <v>0</v>
      </c>
      <c r="HV95" s="14">
        <f t="shared" si="210"/>
        <v>0</v>
      </c>
      <c r="HW95" s="14">
        <f t="shared" si="211"/>
        <v>0</v>
      </c>
      <c r="HX95" s="14">
        <f>IF(COUNTIF(属性投放!$AE$6:$AE$26,"="&amp;卡牌属性!HC95)&gt;0,卡牌属性!HF95,0)</f>
        <v>0</v>
      </c>
      <c r="HY95" s="14">
        <f t="shared" si="212"/>
        <v>0</v>
      </c>
      <c r="HZ95" s="14">
        <f t="shared" si="213"/>
        <v>0</v>
      </c>
      <c r="IA95" s="14">
        <f t="shared" si="214"/>
        <v>0</v>
      </c>
      <c r="IB95" s="14">
        <f t="shared" si="215"/>
        <v>40</v>
      </c>
      <c r="IC95" s="14">
        <f t="shared" si="216"/>
        <v>13</v>
      </c>
      <c r="ID95" s="14">
        <f t="shared" si="217"/>
        <v>260</v>
      </c>
      <c r="IE95" s="14">
        <f t="shared" si="218"/>
        <v>7488</v>
      </c>
      <c r="IF95" s="14">
        <f t="shared" si="219"/>
        <v>3396</v>
      </c>
      <c r="IG95" s="14">
        <f t="shared" si="220"/>
        <v>55929</v>
      </c>
      <c r="IH95" s="14">
        <f t="shared" si="221"/>
        <v>920</v>
      </c>
      <c r="II95" s="14">
        <f t="shared" si="222"/>
        <v>0</v>
      </c>
      <c r="IJ95" s="14">
        <f t="shared" si="223"/>
        <v>0</v>
      </c>
      <c r="IK95" s="14">
        <f t="shared" si="224"/>
        <v>198729</v>
      </c>
      <c r="IL95" s="17">
        <f t="shared" si="225"/>
        <v>4.6294199638703968E-3</v>
      </c>
      <c r="IM95" s="17">
        <f t="shared" si="226"/>
        <v>0</v>
      </c>
      <c r="IN95" s="17">
        <f t="shared" si="227"/>
        <v>0</v>
      </c>
      <c r="IO95" s="23">
        <f>SUM(IH$5:IH95)</f>
        <v>46684</v>
      </c>
      <c r="IP95" s="14">
        <f>SUM(II$5:II95)</f>
        <v>94735</v>
      </c>
      <c r="IQ95" s="14">
        <f>SUM(IJ$5:IJ95)</f>
        <v>42540</v>
      </c>
      <c r="IR95" s="17">
        <f t="shared" si="228"/>
        <v>0.23491287129709304</v>
      </c>
      <c r="IS95" s="17">
        <f t="shared" si="229"/>
        <v>0.47670445682311086</v>
      </c>
      <c r="IT95" s="17">
        <f t="shared" si="230"/>
        <v>0.21406035354678984</v>
      </c>
      <c r="IW95" s="13">
        <v>91</v>
      </c>
      <c r="IX95" s="14">
        <f>MATCH(IW95-1,属性投放!$T$6:$T$66,1)</f>
        <v>15</v>
      </c>
      <c r="IY95" s="14">
        <f>MATCH(IW95-1,属性投放!$AD$7:$AD$26,1)</f>
        <v>13</v>
      </c>
      <c r="IZ95" s="14" t="str">
        <f>INDEX(属性投放!$AB$7:$AB$26,IY95)</f>
        <v>焦热</v>
      </c>
      <c r="JA95" s="14">
        <f t="shared" si="231"/>
        <v>4474</v>
      </c>
      <c r="JB95" s="14">
        <f t="shared" si="232"/>
        <v>2188</v>
      </c>
      <c r="JC95" s="14">
        <f t="shared" si="233"/>
        <v>36531</v>
      </c>
      <c r="JD95" s="14">
        <f t="shared" si="234"/>
        <v>151</v>
      </c>
      <c r="JE95" s="14">
        <f t="shared" si="235"/>
        <v>76</v>
      </c>
      <c r="JF95" s="14">
        <f t="shared" si="236"/>
        <v>1510</v>
      </c>
      <c r="JG95" s="14">
        <f>INDEX(属性投放!$DC$6:$DC$85,卡牌属性!IY95)</f>
        <v>85</v>
      </c>
      <c r="JH95" s="14">
        <f t="shared" si="237"/>
        <v>5380</v>
      </c>
      <c r="JI95" s="14">
        <f t="shared" si="238"/>
        <v>2644</v>
      </c>
      <c r="JJ95" s="14">
        <f t="shared" si="239"/>
        <v>45591</v>
      </c>
      <c r="JK95" s="14">
        <f t="shared" si="240"/>
        <v>98931</v>
      </c>
    </row>
    <row r="96" spans="31:271" ht="16.5" x14ac:dyDescent="0.2">
      <c r="AE96" s="13">
        <v>92</v>
      </c>
      <c r="AF96" s="13">
        <f t="shared" si="188"/>
        <v>5</v>
      </c>
      <c r="AG96" s="13">
        <f t="shared" si="169"/>
        <v>4</v>
      </c>
      <c r="AH96" s="13"/>
      <c r="AI96" s="13"/>
      <c r="AJ96" s="14">
        <f t="shared" si="170"/>
        <v>1101005</v>
      </c>
      <c r="AK96" s="14" t="str">
        <f t="shared" si="171"/>
        <v>刘羽禅12突</v>
      </c>
      <c r="AL96" s="25" t="s">
        <v>142</v>
      </c>
      <c r="AM96" s="14">
        <v>1</v>
      </c>
      <c r="AN96" s="14">
        <f t="shared" si="172"/>
        <v>12</v>
      </c>
      <c r="AO96" s="14">
        <f>INDEX(属性投放!$DF$6:$DF$85,(卡牌属性!AG96-2)*20+卡牌属性!AN96)</f>
        <v>3975</v>
      </c>
      <c r="AP96" s="14">
        <f t="shared" si="241"/>
        <v>3975</v>
      </c>
      <c r="AQ96" s="14">
        <f t="shared" si="241"/>
        <v>3975</v>
      </c>
      <c r="AR96" s="14">
        <f t="shared" si="241"/>
        <v>3975</v>
      </c>
      <c r="AS96" s="14">
        <f t="shared" si="241"/>
        <v>3975</v>
      </c>
      <c r="AT96" s="14">
        <f>INDEX(属性投放!$DG$6:$DG$85,(卡牌属性!AG96-2)*20+卡牌属性!AN96)</f>
        <v>1917</v>
      </c>
      <c r="AU96" s="14">
        <f t="shared" si="242"/>
        <v>1917</v>
      </c>
      <c r="AV96" s="14">
        <f t="shared" si="242"/>
        <v>1917</v>
      </c>
      <c r="AW96" s="14">
        <f t="shared" si="242"/>
        <v>1917</v>
      </c>
      <c r="AX96" s="14">
        <f t="shared" si="242"/>
        <v>1917</v>
      </c>
      <c r="AY96" s="14">
        <f>INDEX(属性投放!$DH$6:$DH$85,(卡牌属性!AG96-2)*20+卡牌属性!AN96)</f>
        <v>29131</v>
      </c>
      <c r="AZ96" s="14">
        <f t="shared" si="243"/>
        <v>29131</v>
      </c>
      <c r="BA96" s="14">
        <f t="shared" si="243"/>
        <v>29131</v>
      </c>
      <c r="BB96" s="14">
        <f t="shared" si="243"/>
        <v>29131</v>
      </c>
      <c r="BC96" s="14">
        <f t="shared" si="243"/>
        <v>29131</v>
      </c>
      <c r="BD96" s="14">
        <f>INDEX(属性投放!$DL$6:$DL$85,(卡牌属性!AG96-2)*20+卡牌属性!AN96)</f>
        <v>110</v>
      </c>
      <c r="BE96" s="14">
        <f t="shared" si="244"/>
        <v>110</v>
      </c>
      <c r="BF96" s="14">
        <f t="shared" si="244"/>
        <v>110</v>
      </c>
      <c r="BG96" s="14">
        <f t="shared" si="244"/>
        <v>110</v>
      </c>
      <c r="BH96" s="14">
        <f t="shared" si="244"/>
        <v>110</v>
      </c>
      <c r="BI96" s="14">
        <f>INDEX(属性投放!$DM$6:$DM$85,(卡牌属性!AG96-2)*20+卡牌属性!AN96)</f>
        <v>55</v>
      </c>
      <c r="BJ96" s="14">
        <f t="shared" si="245"/>
        <v>55</v>
      </c>
      <c r="BK96" s="14">
        <f t="shared" si="245"/>
        <v>55</v>
      </c>
      <c r="BL96" s="14">
        <f t="shared" si="245"/>
        <v>55</v>
      </c>
      <c r="BM96" s="14">
        <f t="shared" si="245"/>
        <v>55</v>
      </c>
      <c r="BN96" s="14">
        <f>INDEX(属性投放!$DN$6:$DN$85,(卡牌属性!AG96-2)*20+卡牌属性!AN96)</f>
        <v>988</v>
      </c>
      <c r="BO96" s="14">
        <f t="shared" si="246"/>
        <v>988</v>
      </c>
      <c r="BP96" s="14">
        <f t="shared" si="246"/>
        <v>988</v>
      </c>
      <c r="BQ96" s="14">
        <f t="shared" si="246"/>
        <v>988</v>
      </c>
      <c r="BR96" s="14">
        <f t="shared" si="246"/>
        <v>988</v>
      </c>
      <c r="BW96" s="13">
        <v>92</v>
      </c>
      <c r="BX96" s="13">
        <f t="shared" si="173"/>
        <v>5</v>
      </c>
      <c r="BY96" s="14">
        <f t="shared" si="174"/>
        <v>3</v>
      </c>
      <c r="BZ96" s="14">
        <f t="shared" si="189"/>
        <v>1102005</v>
      </c>
      <c r="CA96" s="14" t="str">
        <f t="shared" si="190"/>
        <v>李轩辕12突</v>
      </c>
      <c r="CB96" s="25" t="s">
        <v>142</v>
      </c>
      <c r="CC96" s="14">
        <v>2</v>
      </c>
      <c r="CD96" s="14">
        <f t="shared" si="175"/>
        <v>12</v>
      </c>
      <c r="CE96" s="14" t="s">
        <v>21</v>
      </c>
      <c r="CF96" s="14">
        <f>INDEX(属性投放!$AZ$6:$AZ$85,(BY96-2)*20+CD96)</f>
        <v>4351</v>
      </c>
      <c r="CG96" s="14" t="s">
        <v>22</v>
      </c>
      <c r="CH96" s="14">
        <f>INDEX(属性投放!$BA$6:$BA$85,(BY96-2)*20+CD96)</f>
        <v>2125</v>
      </c>
      <c r="CI96" s="14" t="s">
        <v>510</v>
      </c>
      <c r="CJ96" s="14">
        <f>INDEX(属性投放!$BB$6:$BB$85,(BY96-2)*20+CD96)</f>
        <v>33780</v>
      </c>
      <c r="CK96" s="14" t="s">
        <v>21</v>
      </c>
      <c r="CL96" s="14">
        <f>INDEX(属性投放!$BC$6:$BC$85,(BY96-2)*20+CD96)</f>
        <v>20</v>
      </c>
      <c r="CM96" s="14" t="s">
        <v>22</v>
      </c>
      <c r="CN96" s="14">
        <f>INDEX(属性投放!$BD$6:$BD$85,(BY96-2)*20+CD96)</f>
        <v>10</v>
      </c>
      <c r="CO96" s="14" t="s">
        <v>510</v>
      </c>
      <c r="CP96" s="14">
        <f>INDEX(属性投放!$BE$6:$BE$85,(BY96-2)*20+CD96)</f>
        <v>180</v>
      </c>
      <c r="CS96" s="13">
        <v>92</v>
      </c>
      <c r="CT96" s="13">
        <f t="shared" si="191"/>
        <v>2</v>
      </c>
      <c r="CU96" s="13">
        <f t="shared" si="192"/>
        <v>40</v>
      </c>
      <c r="CV96" s="14">
        <f t="shared" si="193"/>
        <v>3</v>
      </c>
      <c r="CW96" s="14">
        <f t="shared" si="194"/>
        <v>1102002</v>
      </c>
      <c r="CX96" s="14" t="str">
        <f>INDEX($O$6:$O$50,CT96)&amp;"-"&amp;INDEX(属性投放!$AB$7:$AB$50,CZ96)&amp;"-魂火-"&amp;DB96</f>
        <v>许褚-大焦热+1-魂火-1</v>
      </c>
      <c r="CY96" s="25" t="s">
        <v>142</v>
      </c>
      <c r="CZ96" s="14">
        <f>INDEX(属性投放!$AM$7:$AM$58,CU96)</f>
        <v>17</v>
      </c>
      <c r="DA96" s="14" t="s">
        <v>537</v>
      </c>
      <c r="DB96" s="14">
        <f>INDEX(属性投放!$AN$7:$AN$58,CU96)</f>
        <v>1</v>
      </c>
      <c r="DC96" s="14">
        <f t="shared" si="176"/>
        <v>40</v>
      </c>
      <c r="DD96" s="14">
        <f>INDEX(属性投放!$AO$7:$AO$58,DC96)</f>
        <v>118</v>
      </c>
      <c r="DE96" s="14" t="s">
        <v>538</v>
      </c>
      <c r="DF96" s="14">
        <f>INDEX(属性投放!$BK$6:$BK$85,(CV96-2)*20+CZ96)</f>
        <v>600</v>
      </c>
      <c r="DG96" s="14">
        <f>SUMIFS(DF$5:DF96,$CT$5:$CT96,"="&amp;$CT96)</f>
        <v>7370</v>
      </c>
      <c r="DH96" s="14" t="s">
        <v>539</v>
      </c>
      <c r="DI96" s="14">
        <f>INDEX(属性投放!$BL$6:$BL$85,(CV96-2)*20+CZ96)</f>
        <v>300</v>
      </c>
      <c r="DJ96" s="14">
        <f>SUMIFS(DI$5:DI96,$CT$5:$CT96,"="&amp;$CT96)</f>
        <v>3688</v>
      </c>
      <c r="DK96" s="14" t="s">
        <v>540</v>
      </c>
      <c r="DL96" s="14">
        <f>INDEX(属性投放!$BM$6:$BM$85,(CV96-2)*20+CZ96)</f>
        <v>6000</v>
      </c>
      <c r="DM96" s="14">
        <f>SUMIFS(DL$5:DL96,$CT$5:$CT96,"="&amp;$CT96)</f>
        <v>69740</v>
      </c>
      <c r="DR96" s="14">
        <f t="shared" si="177"/>
        <v>1102005</v>
      </c>
      <c r="DS96" s="14" t="str">
        <f t="shared" si="178"/>
        <v>李轩辕12突</v>
      </c>
      <c r="DT96" s="14">
        <f t="shared" si="195"/>
        <v>4</v>
      </c>
      <c r="DU96" s="14">
        <f t="shared" si="196"/>
        <v>5</v>
      </c>
      <c r="DV96" s="14">
        <f t="shared" si="197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INDEX(属性投放!$AX$6:$AX$85,(卡牌属性!DW96-2)*20+卡牌属性!DX96)</f>
        <v>7</v>
      </c>
      <c r="EA96" s="14">
        <f>INDEX(属性投放!BQ$6:BQ$85,卡牌属性!$DY96)</f>
        <v>350</v>
      </c>
      <c r="EB96" s="14">
        <f>INDEX(属性投放!BR$6:BR$85,卡牌属性!$DY96)</f>
        <v>175</v>
      </c>
      <c r="EC96" s="14">
        <f>INDEX(属性投放!BS$6:BS$85,卡牌属性!$DY96)</f>
        <v>3150</v>
      </c>
      <c r="ED96" s="14">
        <f t="shared" si="248"/>
        <v>2285</v>
      </c>
      <c r="EE96" s="14">
        <f t="shared" si="249"/>
        <v>2531</v>
      </c>
      <c r="EF96" s="14">
        <f t="shared" si="250"/>
        <v>2659</v>
      </c>
      <c r="EG96" s="14">
        <f t="shared" si="251"/>
        <v>2659</v>
      </c>
      <c r="EH96" s="14">
        <f t="shared" si="252"/>
        <v>3203</v>
      </c>
      <c r="EI96" s="14">
        <f t="shared" si="253"/>
        <v>1232</v>
      </c>
      <c r="EJ96" s="14">
        <f t="shared" si="254"/>
        <v>1303</v>
      </c>
      <c r="EK96" s="14">
        <f t="shared" si="255"/>
        <v>1303</v>
      </c>
      <c r="EL96" s="14">
        <f t="shared" si="256"/>
        <v>1573</v>
      </c>
      <c r="EM96" s="14">
        <f t="shared" si="257"/>
        <v>1707</v>
      </c>
      <c r="EN96" s="14">
        <f t="shared" si="258"/>
        <v>19811</v>
      </c>
      <c r="EO96" s="14">
        <f t="shared" si="259"/>
        <v>23958</v>
      </c>
      <c r="EP96" s="14">
        <f t="shared" si="260"/>
        <v>23958</v>
      </c>
      <c r="EQ96" s="14">
        <f t="shared" si="261"/>
        <v>25837</v>
      </c>
      <c r="ER96" s="14">
        <f t="shared" si="262"/>
        <v>27870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189</v>
      </c>
      <c r="FD96" s="14">
        <f>INDEX(属性偏向!$U$4:$U$243,(卡牌属性!$DV96-1+FD$3)*20+卡牌属性!$DX96)</f>
        <v>270</v>
      </c>
      <c r="FE96" s="14">
        <f>INDEX(属性偏向!$U$4:$U$243,(卡牌属性!$DV96-1+FE$3)*20+卡牌属性!$DX96)</f>
        <v>270</v>
      </c>
      <c r="FF96" s="14">
        <f>INDEX(属性偏向!$U$4:$U$243,(卡牌属性!$DV96-1+FF$3)*20+卡牌属性!$DX96)</f>
        <v>315</v>
      </c>
      <c r="FG96" s="14">
        <f>INDEX(属性偏向!$U$4:$U$243,(卡牌属性!$DV96-1+FG$3)*20+卡牌属性!$DX96)</f>
        <v>360</v>
      </c>
      <c r="FH96" s="14">
        <f>INDEX(属性投放!$BQ$6:$BQ$85,(卡牌属性!$DW96-2)*20+卡牌属性!$DX96)</f>
        <v>350</v>
      </c>
      <c r="FI96" s="14">
        <f>INDEX(属性投放!$BQ$6:$BQ$85,(卡牌属性!$DW96-2)*20+卡牌属性!$DX96)</f>
        <v>350</v>
      </c>
      <c r="FJ96" s="14">
        <f>INDEX(属性投放!$BQ$6:$BQ$85,(卡牌属性!$DW96-2)*20+卡牌属性!$DX96)</f>
        <v>350</v>
      </c>
      <c r="FK96" s="14">
        <f>INDEX(属性投放!$BQ$6:$BQ$85,(卡牌属性!$DW96-2)*20+卡牌属性!$DX96)</f>
        <v>350</v>
      </c>
      <c r="FL96" s="14">
        <f>INDEX(属性投放!$BQ$6:$BQ$85,(卡牌属性!$DW96-2)*20+卡牌属性!$DX96)</f>
        <v>350</v>
      </c>
      <c r="FM96" s="14">
        <f>INDEX(属性投放!$BR$6:$BR$85,(卡牌属性!$DW96-2)*20+卡牌属性!$DX96)</f>
        <v>175</v>
      </c>
      <c r="FN96" s="14">
        <f>INDEX(属性投放!$BR$6:$BR$85,(卡牌属性!$DW96-2)*20+卡牌属性!$DX96)</f>
        <v>175</v>
      </c>
      <c r="FO96" s="14">
        <f>INDEX(属性投放!$BR$6:$BR$85,(卡牌属性!$DW96-2)*20+卡牌属性!$DX96)</f>
        <v>175</v>
      </c>
      <c r="FP96" s="14">
        <f>INDEX(属性投放!$BR$6:$BR$85,(卡牌属性!$DW96-2)*20+卡牌属性!$DX96)</f>
        <v>175</v>
      </c>
      <c r="FQ96" s="14">
        <f>INDEX(属性投放!$BR$6:$BR$85,(卡牌属性!$DW96-2)*20+卡牌属性!$DX96)</f>
        <v>175</v>
      </c>
      <c r="FR96" s="14">
        <f>INDEX(属性投放!$BS$6:$BS$85,(卡牌属性!$DW96-2)*20+卡牌属性!$DX96)</f>
        <v>3150</v>
      </c>
      <c r="FS96" s="14">
        <f>INDEX(属性投放!$BS$6:$BS$85,(卡牌属性!$DW96-2)*20+卡牌属性!$DX96)</f>
        <v>3150</v>
      </c>
      <c r="FT96" s="14">
        <f>INDEX(属性投放!$BS$6:$BS$85,(卡牌属性!$DW96-2)*20+卡牌属性!$DX96)</f>
        <v>3150</v>
      </c>
      <c r="FU96" s="14">
        <f>INDEX(属性投放!$BS$6:$BS$85,(卡牌属性!$DW96-2)*20+卡牌属性!$DX96)</f>
        <v>3150</v>
      </c>
      <c r="FV96" s="14">
        <f>INDEX(属性投放!$BS$6:$BS$85,(卡牌属性!$DW96-2)*20+卡牌属性!$DX96)</f>
        <v>3150</v>
      </c>
      <c r="FZ96" s="13">
        <v>92</v>
      </c>
      <c r="GA96" s="13">
        <f t="shared" si="182"/>
        <v>19</v>
      </c>
      <c r="GB96" s="14">
        <f t="shared" si="198"/>
        <v>1102019</v>
      </c>
      <c r="GC96" s="14" t="s">
        <v>1187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2</v>
      </c>
      <c r="GG96" s="14" t="str">
        <f>INDEX(属性评价,卡牌属性!GF96)</f>
        <v>D+</v>
      </c>
      <c r="GH96" s="14">
        <f>INDEX(Z$6:Z$36,$GA96)+INDEX(属性偏向!Z$4:Z$8,卡牌属性!$GD96)</f>
        <v>7</v>
      </c>
      <c r="GI96" s="14" t="str">
        <f>INDEX(属性评价,卡牌属性!GH96)</f>
        <v>A</v>
      </c>
      <c r="GJ96" s="14">
        <f>INDEX(AA$6:AA$36,$GA96)+INDEX(属性偏向!AA$4:AA$8,卡牌属性!$GD96)</f>
        <v>5</v>
      </c>
      <c r="GK96" s="14" t="str">
        <f>INDEX(属性评价,卡牌属性!GJ96)</f>
        <v>B</v>
      </c>
      <c r="GN96" s="13">
        <v>92</v>
      </c>
      <c r="GO96" s="13">
        <f t="shared" si="263"/>
        <v>19</v>
      </c>
      <c r="GP96" s="14">
        <f t="shared" si="199"/>
        <v>1101022</v>
      </c>
      <c r="GQ96" s="14" t="s">
        <v>1187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MATCH(HC96,属性投放!$AO$6:$AO$58,1)-1</f>
        <v>29</v>
      </c>
      <c r="HF96" s="13">
        <f>MATCH(HC96-1,属性投放!$AE$6:$AE$26,1)</f>
        <v>13</v>
      </c>
      <c r="HG96" s="13" t="str">
        <f>INDEX(属性投放!$AB$7:$AB$26,卡牌属性!HF96)</f>
        <v>焦热</v>
      </c>
      <c r="HH96" s="14">
        <f t="shared" si="200"/>
        <v>4023</v>
      </c>
      <c r="HI96" s="14">
        <f t="shared" si="201"/>
        <v>1684</v>
      </c>
      <c r="HJ96" s="14">
        <f t="shared" si="202"/>
        <v>26404</v>
      </c>
      <c r="HK96" s="14">
        <f t="shared" si="203"/>
        <v>40</v>
      </c>
      <c r="HL96" s="14">
        <f t="shared" si="204"/>
        <v>13</v>
      </c>
      <c r="HM96" s="14">
        <f t="shared" si="205"/>
        <v>260</v>
      </c>
      <c r="HN96" s="14">
        <f>HH96+HK96*($HC96-INDEX(属性投放!$AE$6:$AE$26,卡牌属性!$HF96))</f>
        <v>4223</v>
      </c>
      <c r="HO96" s="14">
        <f>HI96+HL96*($HC96-INDEX(属性投放!$AE$6:$AE$26,卡牌属性!$HF96))</f>
        <v>1749</v>
      </c>
      <c r="HP96" s="14">
        <f>HJ96+HM96*($HC96-INDEX(属性投放!$AE$6:$AE$26,卡牌属性!$HF96))</f>
        <v>27704</v>
      </c>
      <c r="HQ96" s="14">
        <f t="shared" si="206"/>
        <v>3305</v>
      </c>
      <c r="HR96" s="14">
        <f t="shared" si="207"/>
        <v>1660</v>
      </c>
      <c r="HS96" s="14">
        <f t="shared" si="208"/>
        <v>28485</v>
      </c>
      <c r="HT96" s="14">
        <f>IF(COUNTIF(属性投放!$AO$7:$AO$58,"="&amp;卡牌属性!HC96)&gt;0,卡牌属性!HE96,0)</f>
        <v>0</v>
      </c>
      <c r="HU96" s="14">
        <f t="shared" si="209"/>
        <v>0</v>
      </c>
      <c r="HV96" s="14">
        <f t="shared" si="210"/>
        <v>0</v>
      </c>
      <c r="HW96" s="14">
        <f t="shared" si="211"/>
        <v>0</v>
      </c>
      <c r="HX96" s="14">
        <f>IF(COUNTIF(属性投放!$AE$6:$AE$26,"="&amp;卡牌属性!HC96)&gt;0,卡牌属性!HF96,0)</f>
        <v>0</v>
      </c>
      <c r="HY96" s="14">
        <f t="shared" si="212"/>
        <v>0</v>
      </c>
      <c r="HZ96" s="14">
        <f t="shared" si="213"/>
        <v>0</v>
      </c>
      <c r="IA96" s="14">
        <f t="shared" si="214"/>
        <v>0</v>
      </c>
      <c r="IB96" s="14">
        <f t="shared" si="215"/>
        <v>40</v>
      </c>
      <c r="IC96" s="14">
        <f t="shared" si="216"/>
        <v>13</v>
      </c>
      <c r="ID96" s="14">
        <f t="shared" si="217"/>
        <v>260</v>
      </c>
      <c r="IE96" s="14">
        <f t="shared" si="218"/>
        <v>7528</v>
      </c>
      <c r="IF96" s="14">
        <f t="shared" si="219"/>
        <v>3409</v>
      </c>
      <c r="IG96" s="14">
        <f t="shared" si="220"/>
        <v>56189</v>
      </c>
      <c r="IH96" s="14">
        <f t="shared" si="221"/>
        <v>920</v>
      </c>
      <c r="II96" s="14">
        <f t="shared" si="222"/>
        <v>0</v>
      </c>
      <c r="IJ96" s="14">
        <f t="shared" si="223"/>
        <v>0</v>
      </c>
      <c r="IK96" s="14">
        <f t="shared" si="224"/>
        <v>199649</v>
      </c>
      <c r="IL96" s="17">
        <f t="shared" si="225"/>
        <v>4.608087193023757E-3</v>
      </c>
      <c r="IM96" s="17">
        <f t="shared" si="226"/>
        <v>0</v>
      </c>
      <c r="IN96" s="17">
        <f t="shared" si="227"/>
        <v>0</v>
      </c>
      <c r="IO96" s="23">
        <f>SUM(IH$5:IH96)</f>
        <v>47604</v>
      </c>
      <c r="IP96" s="14">
        <f>SUM(II$5:II96)</f>
        <v>94735</v>
      </c>
      <c r="IQ96" s="14">
        <f>SUM(IJ$5:IJ96)</f>
        <v>42540</v>
      </c>
      <c r="IR96" s="17">
        <f t="shared" si="228"/>
        <v>0.23843845949641621</v>
      </c>
      <c r="IS96" s="17">
        <f t="shared" si="229"/>
        <v>0.47450776112076692</v>
      </c>
      <c r="IT96" s="17">
        <f t="shared" si="230"/>
        <v>0.21307394477307676</v>
      </c>
      <c r="IW96" s="13">
        <v>92</v>
      </c>
      <c r="IX96" s="14">
        <f>MATCH(IW96-1,属性投放!$T$6:$T$66,1)</f>
        <v>15</v>
      </c>
      <c r="IY96" s="14">
        <f>MATCH(IW96-1,属性投放!$AD$7:$AD$26,1)</f>
        <v>13</v>
      </c>
      <c r="IZ96" s="14" t="str">
        <f>INDEX(属性投放!$AB$7:$AB$26,IY96)</f>
        <v>焦热</v>
      </c>
      <c r="JA96" s="14">
        <f t="shared" si="231"/>
        <v>4474</v>
      </c>
      <c r="JB96" s="14">
        <f t="shared" si="232"/>
        <v>2188</v>
      </c>
      <c r="JC96" s="14">
        <f t="shared" si="233"/>
        <v>36531</v>
      </c>
      <c r="JD96" s="14">
        <f t="shared" si="234"/>
        <v>151</v>
      </c>
      <c r="JE96" s="14">
        <f t="shared" si="235"/>
        <v>76</v>
      </c>
      <c r="JF96" s="14">
        <f t="shared" si="236"/>
        <v>1510</v>
      </c>
      <c r="JG96" s="14">
        <f>INDEX(属性投放!$DC$6:$DC$85,卡牌属性!IY96)</f>
        <v>85</v>
      </c>
      <c r="JH96" s="14">
        <f t="shared" si="237"/>
        <v>5531</v>
      </c>
      <c r="JI96" s="14">
        <f t="shared" si="238"/>
        <v>2720</v>
      </c>
      <c r="JJ96" s="14">
        <f t="shared" si="239"/>
        <v>47101</v>
      </c>
      <c r="JK96" s="14">
        <f t="shared" si="240"/>
        <v>101956</v>
      </c>
    </row>
    <row r="97" spans="31:271" ht="16.5" x14ac:dyDescent="0.2">
      <c r="AE97" s="13">
        <v>93</v>
      </c>
      <c r="AF97" s="13">
        <f t="shared" si="188"/>
        <v>5</v>
      </c>
      <c r="AG97" s="13">
        <f t="shared" si="169"/>
        <v>4</v>
      </c>
      <c r="AH97" s="13"/>
      <c r="AI97" s="13"/>
      <c r="AJ97" s="14">
        <f t="shared" si="170"/>
        <v>1101005</v>
      </c>
      <c r="AK97" s="14" t="str">
        <f t="shared" si="171"/>
        <v>刘羽禅13突</v>
      </c>
      <c r="AL97" s="25" t="s">
        <v>142</v>
      </c>
      <c r="AM97" s="14">
        <v>1</v>
      </c>
      <c r="AN97" s="14">
        <f t="shared" si="172"/>
        <v>13</v>
      </c>
      <c r="AO97" s="14">
        <f>INDEX(属性投放!$DF$6:$DF$85,(卡牌属性!AG97-2)*20+卡牌属性!AN97)</f>
        <v>7039</v>
      </c>
      <c r="AP97" s="14">
        <f t="shared" si="241"/>
        <v>7039</v>
      </c>
      <c r="AQ97" s="14">
        <f t="shared" si="241"/>
        <v>7039</v>
      </c>
      <c r="AR97" s="14">
        <f t="shared" si="241"/>
        <v>7039</v>
      </c>
      <c r="AS97" s="14">
        <f t="shared" si="241"/>
        <v>7039</v>
      </c>
      <c r="AT97" s="14">
        <f>INDEX(属性投放!$DG$6:$DG$85,(卡牌属性!AG97-2)*20+卡牌属性!AN97)</f>
        <v>3449</v>
      </c>
      <c r="AU97" s="14">
        <f t="shared" si="242"/>
        <v>3449</v>
      </c>
      <c r="AV97" s="14">
        <f t="shared" si="242"/>
        <v>3449</v>
      </c>
      <c r="AW97" s="14">
        <f t="shared" si="242"/>
        <v>3449</v>
      </c>
      <c r="AX97" s="14">
        <f t="shared" si="242"/>
        <v>3449</v>
      </c>
      <c r="AY97" s="14">
        <f>INDEX(属性投放!$DH$6:$DH$85,(卡牌属性!AG97-2)*20+卡牌属性!AN97)</f>
        <v>56653</v>
      </c>
      <c r="AZ97" s="14">
        <f t="shared" si="243"/>
        <v>56653</v>
      </c>
      <c r="BA97" s="14">
        <f t="shared" si="243"/>
        <v>56653</v>
      </c>
      <c r="BB97" s="14">
        <f t="shared" si="243"/>
        <v>56653</v>
      </c>
      <c r="BC97" s="14">
        <f t="shared" si="243"/>
        <v>56653</v>
      </c>
      <c r="BD97" s="14">
        <f>INDEX(属性投放!$DL$6:$DL$85,(卡牌属性!AG97-2)*20+卡牌属性!AN97)</f>
        <v>203</v>
      </c>
      <c r="BE97" s="14">
        <f t="shared" si="244"/>
        <v>203</v>
      </c>
      <c r="BF97" s="14">
        <f t="shared" si="244"/>
        <v>203</v>
      </c>
      <c r="BG97" s="14">
        <f t="shared" si="244"/>
        <v>203</v>
      </c>
      <c r="BH97" s="14">
        <f t="shared" si="244"/>
        <v>203</v>
      </c>
      <c r="BI97" s="14">
        <f>INDEX(属性投放!$DM$6:$DM$85,(卡牌属性!AG97-2)*20+卡牌属性!AN97)</f>
        <v>101</v>
      </c>
      <c r="BJ97" s="14">
        <f t="shared" si="245"/>
        <v>101</v>
      </c>
      <c r="BK97" s="14">
        <f t="shared" si="245"/>
        <v>101</v>
      </c>
      <c r="BL97" s="14">
        <f t="shared" si="245"/>
        <v>101</v>
      </c>
      <c r="BM97" s="14">
        <f t="shared" si="245"/>
        <v>101</v>
      </c>
      <c r="BN97" s="14">
        <f>INDEX(属性投放!$DN$6:$DN$85,(卡牌属性!AG97-2)*20+卡牌属性!AN97)</f>
        <v>2027</v>
      </c>
      <c r="BO97" s="14">
        <f t="shared" si="246"/>
        <v>2027</v>
      </c>
      <c r="BP97" s="14">
        <f t="shared" si="246"/>
        <v>2027</v>
      </c>
      <c r="BQ97" s="14">
        <f t="shared" si="246"/>
        <v>2027</v>
      </c>
      <c r="BR97" s="14">
        <f t="shared" si="246"/>
        <v>2027</v>
      </c>
      <c r="BW97" s="13">
        <v>93</v>
      </c>
      <c r="BX97" s="13">
        <f t="shared" si="173"/>
        <v>5</v>
      </c>
      <c r="BY97" s="14">
        <f t="shared" si="174"/>
        <v>3</v>
      </c>
      <c r="BZ97" s="14">
        <f t="shared" si="189"/>
        <v>1102005</v>
      </c>
      <c r="CA97" s="14" t="str">
        <f t="shared" si="190"/>
        <v>李轩辕13突</v>
      </c>
      <c r="CB97" s="25" t="s">
        <v>142</v>
      </c>
      <c r="CC97" s="14">
        <v>2</v>
      </c>
      <c r="CD97" s="14">
        <f t="shared" si="175"/>
        <v>13</v>
      </c>
      <c r="CE97" s="14" t="s">
        <v>21</v>
      </c>
      <c r="CF97" s="14">
        <f>INDEX(属性投放!$AZ$6:$AZ$85,(BY97-2)*20+CD97)</f>
        <v>5441</v>
      </c>
      <c r="CG97" s="14" t="s">
        <v>22</v>
      </c>
      <c r="CH97" s="14">
        <f>INDEX(属性投放!$BA$6:$BA$85,(BY97-2)*20+CD97)</f>
        <v>2670</v>
      </c>
      <c r="CI97" s="14" t="s">
        <v>510</v>
      </c>
      <c r="CJ97" s="14">
        <f>INDEX(属性投放!$BB$6:$BB$85,(BY97-2)*20+CD97)</f>
        <v>43590</v>
      </c>
      <c r="CK97" s="14" t="s">
        <v>21</v>
      </c>
      <c r="CL97" s="14">
        <f>INDEX(属性投放!$BC$6:$BC$85,(BY97-2)*20+CD97)</f>
        <v>25</v>
      </c>
      <c r="CM97" s="14" t="s">
        <v>22</v>
      </c>
      <c r="CN97" s="14">
        <f>INDEX(属性投放!$BD$6:$BD$85,(BY97-2)*20+CD97)</f>
        <v>13</v>
      </c>
      <c r="CO97" s="14" t="s">
        <v>510</v>
      </c>
      <c r="CP97" s="14">
        <f>INDEX(属性投放!$BE$6:$BE$85,(BY97-2)*20+CD97)</f>
        <v>250</v>
      </c>
      <c r="CS97" s="13">
        <v>93</v>
      </c>
      <c r="CT97" s="13">
        <f t="shared" si="191"/>
        <v>2</v>
      </c>
      <c r="CU97" s="13">
        <f t="shared" si="192"/>
        <v>41</v>
      </c>
      <c r="CV97" s="14">
        <f t="shared" si="193"/>
        <v>3</v>
      </c>
      <c r="CW97" s="14">
        <f t="shared" si="194"/>
        <v>1102002</v>
      </c>
      <c r="CX97" s="14" t="str">
        <f>INDEX($O$6:$O$50,CT97)&amp;"-"&amp;INDEX(属性投放!$AB$7:$AB$50,CZ97)&amp;"-魂火-"&amp;DB97</f>
        <v>许褚-大焦热+1-魂火-2</v>
      </c>
      <c r="CY97" s="25" t="s">
        <v>142</v>
      </c>
      <c r="CZ97" s="14">
        <f>INDEX(属性投放!$AM$7:$AM$58,CU97)</f>
        <v>17</v>
      </c>
      <c r="DA97" s="14" t="s">
        <v>537</v>
      </c>
      <c r="DB97" s="14">
        <f>INDEX(属性投放!$AN$7:$AN$58,CU97)</f>
        <v>2</v>
      </c>
      <c r="DC97" s="14">
        <f t="shared" si="176"/>
        <v>41</v>
      </c>
      <c r="DD97" s="14">
        <f>INDEX(属性投放!$AO$7:$AO$58,DC97)</f>
        <v>120</v>
      </c>
      <c r="DE97" s="14" t="s">
        <v>538</v>
      </c>
      <c r="DF97" s="14">
        <f>INDEX(属性投放!$BK$6:$BK$85,(CV97-2)*20+CZ97)</f>
        <v>600</v>
      </c>
      <c r="DG97" s="14">
        <f>SUMIFS(DF$5:DF97,$CT$5:$CT97,"="&amp;$CT97)</f>
        <v>7970</v>
      </c>
      <c r="DH97" s="14" t="s">
        <v>539</v>
      </c>
      <c r="DI97" s="14">
        <f>INDEX(属性投放!$BL$6:$BL$85,(CV97-2)*20+CZ97)</f>
        <v>300</v>
      </c>
      <c r="DJ97" s="14">
        <f>SUMIFS(DI$5:DI97,$CT$5:$CT97,"="&amp;$CT97)</f>
        <v>3988</v>
      </c>
      <c r="DK97" s="14" t="s">
        <v>540</v>
      </c>
      <c r="DL97" s="14">
        <f>INDEX(属性投放!$BM$6:$BM$85,(CV97-2)*20+CZ97)</f>
        <v>6000</v>
      </c>
      <c r="DM97" s="14">
        <f>SUMIFS(DL$5:DL97,$CT$5:$CT97,"="&amp;$CT97)</f>
        <v>75740</v>
      </c>
      <c r="DR97" s="14">
        <f t="shared" si="177"/>
        <v>1102005</v>
      </c>
      <c r="DS97" s="14" t="str">
        <f t="shared" si="178"/>
        <v>李轩辕13突</v>
      </c>
      <c r="DT97" s="14">
        <f t="shared" si="195"/>
        <v>4</v>
      </c>
      <c r="DU97" s="14">
        <f t="shared" si="196"/>
        <v>5</v>
      </c>
      <c r="DV97" s="14">
        <f t="shared" si="197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INDEX(属性投放!$AX$6:$AX$85,(卡牌属性!DW97-2)*20+卡牌属性!DX97)</f>
        <v>8</v>
      </c>
      <c r="EA97" s="14">
        <f>INDEX(属性投放!BQ$6:BQ$85,卡牌属性!$DY97)</f>
        <v>400</v>
      </c>
      <c r="EB97" s="14">
        <f>INDEX(属性投放!BR$6:BR$85,卡牌属性!$DY97)</f>
        <v>200</v>
      </c>
      <c r="EC97" s="14">
        <f>INDEX(属性投放!BS$6:BS$85,卡牌属性!$DY97)</f>
        <v>4000</v>
      </c>
      <c r="ED97" s="14">
        <f t="shared" si="248"/>
        <v>2740</v>
      </c>
      <c r="EE97" s="14">
        <f t="shared" si="249"/>
        <v>3021</v>
      </c>
      <c r="EF97" s="14">
        <f t="shared" si="250"/>
        <v>3156</v>
      </c>
      <c r="EG97" s="14">
        <f t="shared" si="251"/>
        <v>3156</v>
      </c>
      <c r="EH97" s="14">
        <f t="shared" si="252"/>
        <v>3763</v>
      </c>
      <c r="EI97" s="14">
        <f t="shared" si="253"/>
        <v>1477</v>
      </c>
      <c r="EJ97" s="14">
        <f t="shared" si="254"/>
        <v>1555</v>
      </c>
      <c r="EK97" s="14">
        <f t="shared" si="255"/>
        <v>1555</v>
      </c>
      <c r="EL97" s="14">
        <f t="shared" si="256"/>
        <v>1853</v>
      </c>
      <c r="EM97" s="14">
        <f t="shared" si="257"/>
        <v>2008</v>
      </c>
      <c r="EN97" s="14">
        <f t="shared" si="258"/>
        <v>24284</v>
      </c>
      <c r="EO97" s="14">
        <f t="shared" si="259"/>
        <v>28998</v>
      </c>
      <c r="EP97" s="14">
        <f t="shared" si="260"/>
        <v>28998</v>
      </c>
      <c r="EQ97" s="14">
        <f t="shared" si="261"/>
        <v>31192</v>
      </c>
      <c r="ER97" s="14">
        <f t="shared" si="262"/>
        <v>33540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INDEX(属性投放!$BQ$6:$BQ$85,(卡牌属性!$DW97-2)*20+卡牌属性!$DX97)</f>
        <v>400</v>
      </c>
      <c r="FI97" s="14">
        <f>INDEX(属性投放!$BQ$6:$BQ$85,(卡牌属性!$DW97-2)*20+卡牌属性!$DX97)</f>
        <v>400</v>
      </c>
      <c r="FJ97" s="14">
        <f>INDEX(属性投放!$BQ$6:$BQ$85,(卡牌属性!$DW97-2)*20+卡牌属性!$DX97)</f>
        <v>400</v>
      </c>
      <c r="FK97" s="14">
        <f>INDEX(属性投放!$BQ$6:$BQ$85,(卡牌属性!$DW97-2)*20+卡牌属性!$DX97)</f>
        <v>400</v>
      </c>
      <c r="FL97" s="14">
        <f>INDEX(属性投放!$BQ$6:$BQ$85,(卡牌属性!$DW97-2)*20+卡牌属性!$DX97)</f>
        <v>400</v>
      </c>
      <c r="FM97" s="14">
        <f>INDEX(属性投放!$BR$6:$BR$85,(卡牌属性!$DW97-2)*20+卡牌属性!$DX97)</f>
        <v>200</v>
      </c>
      <c r="FN97" s="14">
        <f>INDEX(属性投放!$BR$6:$BR$85,(卡牌属性!$DW97-2)*20+卡牌属性!$DX97)</f>
        <v>200</v>
      </c>
      <c r="FO97" s="14">
        <f>INDEX(属性投放!$BR$6:$BR$85,(卡牌属性!$DW97-2)*20+卡牌属性!$DX97)</f>
        <v>200</v>
      </c>
      <c r="FP97" s="14">
        <f>INDEX(属性投放!$BR$6:$BR$85,(卡牌属性!$DW97-2)*20+卡牌属性!$DX97)</f>
        <v>200</v>
      </c>
      <c r="FQ97" s="14">
        <f>INDEX(属性投放!$BR$6:$BR$85,(卡牌属性!$DW97-2)*20+卡牌属性!$DX97)</f>
        <v>200</v>
      </c>
      <c r="FR97" s="14">
        <f>INDEX(属性投放!$BS$6:$BS$85,(卡牌属性!$DW97-2)*20+卡牌属性!$DX97)</f>
        <v>4000</v>
      </c>
      <c r="FS97" s="14">
        <f>INDEX(属性投放!$BS$6:$BS$85,(卡牌属性!$DW97-2)*20+卡牌属性!$DX97)</f>
        <v>4000</v>
      </c>
      <c r="FT97" s="14">
        <f>INDEX(属性投放!$BS$6:$BS$85,(卡牌属性!$DW97-2)*20+卡牌属性!$DX97)</f>
        <v>4000</v>
      </c>
      <c r="FU97" s="14">
        <f>INDEX(属性投放!$BS$6:$BS$85,(卡牌属性!$DW97-2)*20+卡牌属性!$DX97)</f>
        <v>4000</v>
      </c>
      <c r="FV97" s="14">
        <f>INDEX(属性投放!$BS$6:$BS$85,(卡牌属性!$DW97-2)*20+卡牌属性!$DX97)</f>
        <v>4000</v>
      </c>
      <c r="FZ97" s="13">
        <v>93</v>
      </c>
      <c r="GA97" s="13">
        <f t="shared" si="182"/>
        <v>19</v>
      </c>
      <c r="GB97" s="14">
        <f t="shared" si="198"/>
        <v>1102019</v>
      </c>
      <c r="GC97" s="14" t="s">
        <v>1187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3</v>
      </c>
      <c r="GG97" s="14" t="str">
        <f>INDEX(属性评价,卡牌属性!GF97)</f>
        <v>C</v>
      </c>
      <c r="GH97" s="14">
        <f>INDEX(Z$6:Z$36,$GA97)+INDEX(属性偏向!Z$4:Z$8,卡牌属性!$GD97)</f>
        <v>7</v>
      </c>
      <c r="GI97" s="14" t="str">
        <f>INDEX(属性评价,卡牌属性!GH97)</f>
        <v>A</v>
      </c>
      <c r="GJ97" s="14">
        <f>INDEX(AA$6:AA$36,$GA97)+INDEX(属性偏向!AA$4:AA$8,卡牌属性!$GD97)</f>
        <v>5</v>
      </c>
      <c r="GK97" s="14" t="str">
        <f>INDEX(属性评价,卡牌属性!GJ97)</f>
        <v>B</v>
      </c>
      <c r="GN97" s="13">
        <v>93</v>
      </c>
      <c r="GO97" s="13">
        <f t="shared" si="263"/>
        <v>19</v>
      </c>
      <c r="GP97" s="14">
        <f t="shared" si="199"/>
        <v>1101022</v>
      </c>
      <c r="GQ97" s="14" t="s">
        <v>1187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MATCH(HC97,属性投放!$AO$6:$AO$58,1)-1</f>
        <v>30</v>
      </c>
      <c r="HF97" s="13">
        <f>MATCH(HC97-1,属性投放!$AE$6:$AE$26,1)</f>
        <v>13</v>
      </c>
      <c r="HG97" s="13" t="str">
        <f>INDEX(属性投放!$AB$7:$AB$26,卡牌属性!HF97)</f>
        <v>焦热</v>
      </c>
      <c r="HH97" s="14">
        <f t="shared" si="200"/>
        <v>4023</v>
      </c>
      <c r="HI97" s="14">
        <f t="shared" si="201"/>
        <v>1684</v>
      </c>
      <c r="HJ97" s="14">
        <f t="shared" si="202"/>
        <v>26404</v>
      </c>
      <c r="HK97" s="14">
        <f t="shared" si="203"/>
        <v>40</v>
      </c>
      <c r="HL97" s="14">
        <f t="shared" si="204"/>
        <v>13</v>
      </c>
      <c r="HM97" s="14">
        <f t="shared" si="205"/>
        <v>260</v>
      </c>
      <c r="HN97" s="14">
        <f>HH97+HK97*($HC97-INDEX(属性投放!$AE$6:$AE$26,卡牌属性!$HF97))</f>
        <v>4263</v>
      </c>
      <c r="HO97" s="14">
        <f>HI97+HL97*($HC97-INDEX(属性投放!$AE$6:$AE$26,卡牌属性!$HF97))</f>
        <v>1762</v>
      </c>
      <c r="HP97" s="14">
        <f>HJ97+HM97*($HC97-INDEX(属性投放!$AE$6:$AE$26,卡牌属性!$HF97))</f>
        <v>27964</v>
      </c>
      <c r="HQ97" s="14">
        <f t="shared" si="206"/>
        <v>3580</v>
      </c>
      <c r="HR97" s="14">
        <f t="shared" si="207"/>
        <v>1798</v>
      </c>
      <c r="HS97" s="14">
        <f t="shared" si="208"/>
        <v>31235</v>
      </c>
      <c r="HT97" s="14">
        <f>IF(COUNTIF(属性投放!$AO$7:$AO$58,"="&amp;卡牌属性!HC97)&gt;0,卡牌属性!HE97,0)</f>
        <v>30</v>
      </c>
      <c r="HU97" s="14">
        <f t="shared" si="209"/>
        <v>275</v>
      </c>
      <c r="HV97" s="14">
        <f t="shared" si="210"/>
        <v>138</v>
      </c>
      <c r="HW97" s="14">
        <f t="shared" si="211"/>
        <v>2750</v>
      </c>
      <c r="HX97" s="14">
        <f>IF(COUNTIF(属性投放!$AE$6:$AE$26,"="&amp;卡牌属性!HC97)&gt;0,卡牌属性!HF97,0)</f>
        <v>0</v>
      </c>
      <c r="HY97" s="14">
        <f t="shared" si="212"/>
        <v>0</v>
      </c>
      <c r="HZ97" s="14">
        <f t="shared" si="213"/>
        <v>0</v>
      </c>
      <c r="IA97" s="14">
        <f t="shared" si="214"/>
        <v>0</v>
      </c>
      <c r="IB97" s="14">
        <f t="shared" si="215"/>
        <v>40</v>
      </c>
      <c r="IC97" s="14">
        <f t="shared" si="216"/>
        <v>13</v>
      </c>
      <c r="ID97" s="14">
        <f t="shared" si="217"/>
        <v>260</v>
      </c>
      <c r="IE97" s="14">
        <f t="shared" si="218"/>
        <v>7843</v>
      </c>
      <c r="IF97" s="14">
        <f t="shared" si="219"/>
        <v>3560</v>
      </c>
      <c r="IG97" s="14">
        <f t="shared" si="220"/>
        <v>59199</v>
      </c>
      <c r="IH97" s="14">
        <f t="shared" si="221"/>
        <v>920</v>
      </c>
      <c r="II97" s="14">
        <f t="shared" si="222"/>
        <v>8260</v>
      </c>
      <c r="IJ97" s="14">
        <f t="shared" si="223"/>
        <v>0</v>
      </c>
      <c r="IK97" s="14">
        <f t="shared" si="224"/>
        <v>208829</v>
      </c>
      <c r="IL97" s="17">
        <f t="shared" si="225"/>
        <v>4.4055183906449771E-3</v>
      </c>
      <c r="IM97" s="17">
        <f t="shared" si="226"/>
        <v>3.955389337687773E-2</v>
      </c>
      <c r="IN97" s="17">
        <f t="shared" si="227"/>
        <v>0</v>
      </c>
      <c r="IO97" s="23">
        <f>SUM(IH$5:IH97)</f>
        <v>48524</v>
      </c>
      <c r="IP97" s="14">
        <f>SUM(II$5:II97)</f>
        <v>102995</v>
      </c>
      <c r="IQ97" s="14">
        <f>SUM(IJ$5:IJ97)</f>
        <v>42540</v>
      </c>
      <c r="IR97" s="17">
        <f t="shared" si="228"/>
        <v>0.23236236346484443</v>
      </c>
      <c r="IS97" s="17">
        <f t="shared" si="229"/>
        <v>0.4932025724396516</v>
      </c>
      <c r="IT97" s="17">
        <f t="shared" si="230"/>
        <v>0.20370733949786668</v>
      </c>
      <c r="IW97" s="13">
        <v>93</v>
      </c>
      <c r="IX97" s="14">
        <f>MATCH(IW97-1,属性投放!$T$6:$T$66,1)</f>
        <v>15</v>
      </c>
      <c r="IY97" s="14">
        <f>MATCH(IW97-1,属性投放!$AD$7:$AD$26,1)</f>
        <v>13</v>
      </c>
      <c r="IZ97" s="14" t="str">
        <f>INDEX(属性投放!$AB$7:$AB$26,IY97)</f>
        <v>焦热</v>
      </c>
      <c r="JA97" s="14">
        <f t="shared" si="231"/>
        <v>4474</v>
      </c>
      <c r="JB97" s="14">
        <f t="shared" si="232"/>
        <v>2188</v>
      </c>
      <c r="JC97" s="14">
        <f t="shared" si="233"/>
        <v>36531</v>
      </c>
      <c r="JD97" s="14">
        <f t="shared" si="234"/>
        <v>151</v>
      </c>
      <c r="JE97" s="14">
        <f t="shared" si="235"/>
        <v>76</v>
      </c>
      <c r="JF97" s="14">
        <f t="shared" si="236"/>
        <v>1510</v>
      </c>
      <c r="JG97" s="14">
        <f>INDEX(属性投放!$DC$6:$DC$85,卡牌属性!IY97)</f>
        <v>85</v>
      </c>
      <c r="JH97" s="14">
        <f t="shared" si="237"/>
        <v>5682</v>
      </c>
      <c r="JI97" s="14">
        <f t="shared" si="238"/>
        <v>2796</v>
      </c>
      <c r="JJ97" s="14">
        <f t="shared" si="239"/>
        <v>48611</v>
      </c>
      <c r="JK97" s="14">
        <f t="shared" si="240"/>
        <v>104981</v>
      </c>
    </row>
    <row r="98" spans="31:271" ht="16.5" x14ac:dyDescent="0.2">
      <c r="AE98" s="13">
        <v>94</v>
      </c>
      <c r="AF98" s="13">
        <f t="shared" si="188"/>
        <v>5</v>
      </c>
      <c r="AG98" s="13">
        <f t="shared" si="169"/>
        <v>4</v>
      </c>
      <c r="AH98" s="13"/>
      <c r="AI98" s="13"/>
      <c r="AJ98" s="14">
        <f t="shared" si="170"/>
        <v>1101005</v>
      </c>
      <c r="AK98" s="14" t="str">
        <f t="shared" si="171"/>
        <v>刘羽禅14突</v>
      </c>
      <c r="AL98" s="25" t="s">
        <v>142</v>
      </c>
      <c r="AM98" s="14">
        <v>1</v>
      </c>
      <c r="AN98" s="14">
        <f t="shared" si="172"/>
        <v>14</v>
      </c>
      <c r="AO98" s="14">
        <f>INDEX(属性投放!$DF$6:$DF$85,(卡牌属性!AG98-2)*20+卡牌属性!AN98)</f>
        <v>7618</v>
      </c>
      <c r="AP98" s="14">
        <f t="shared" si="241"/>
        <v>7618</v>
      </c>
      <c r="AQ98" s="14">
        <f t="shared" si="241"/>
        <v>7618</v>
      </c>
      <c r="AR98" s="14">
        <f t="shared" si="241"/>
        <v>7618</v>
      </c>
      <c r="AS98" s="14">
        <f t="shared" si="241"/>
        <v>7618</v>
      </c>
      <c r="AT98" s="14">
        <f>INDEX(属性投放!$DG$6:$DG$85,(卡牌属性!AG98-2)*20+卡牌属性!AN98)</f>
        <v>3739</v>
      </c>
      <c r="AU98" s="14">
        <f t="shared" si="242"/>
        <v>3739</v>
      </c>
      <c r="AV98" s="14">
        <f t="shared" si="242"/>
        <v>3739</v>
      </c>
      <c r="AW98" s="14">
        <f t="shared" si="242"/>
        <v>3739</v>
      </c>
      <c r="AX98" s="14">
        <f t="shared" si="242"/>
        <v>3739</v>
      </c>
      <c r="AY98" s="14">
        <f>INDEX(属性投放!$DH$6:$DH$85,(卡牌属性!AG98-2)*20+卡牌属性!AN98)</f>
        <v>62443</v>
      </c>
      <c r="AZ98" s="14">
        <f t="shared" si="243"/>
        <v>62443</v>
      </c>
      <c r="BA98" s="14">
        <f t="shared" si="243"/>
        <v>62443</v>
      </c>
      <c r="BB98" s="14">
        <f t="shared" si="243"/>
        <v>62443</v>
      </c>
      <c r="BC98" s="14">
        <f t="shared" si="243"/>
        <v>62443</v>
      </c>
      <c r="BD98" s="14">
        <f>INDEX(属性投放!$DL$6:$DL$85,(卡牌属性!AG98-2)*20+卡牌属性!AN98)</f>
        <v>203</v>
      </c>
      <c r="BE98" s="14">
        <f t="shared" si="244"/>
        <v>203</v>
      </c>
      <c r="BF98" s="14">
        <f t="shared" si="244"/>
        <v>203</v>
      </c>
      <c r="BG98" s="14">
        <f t="shared" si="244"/>
        <v>203</v>
      </c>
      <c r="BH98" s="14">
        <f t="shared" si="244"/>
        <v>203</v>
      </c>
      <c r="BI98" s="14">
        <f>INDEX(属性投放!$DM$6:$DM$85,(卡牌属性!AG98-2)*20+卡牌属性!AN98)</f>
        <v>101</v>
      </c>
      <c r="BJ98" s="14">
        <f t="shared" si="245"/>
        <v>101</v>
      </c>
      <c r="BK98" s="14">
        <f t="shared" si="245"/>
        <v>101</v>
      </c>
      <c r="BL98" s="14">
        <f t="shared" si="245"/>
        <v>101</v>
      </c>
      <c r="BM98" s="14">
        <f t="shared" si="245"/>
        <v>101</v>
      </c>
      <c r="BN98" s="14">
        <f>INDEX(属性投放!$DN$6:$DN$85,(卡牌属性!AG98-2)*20+卡牌属性!AN98)</f>
        <v>2027</v>
      </c>
      <c r="BO98" s="14">
        <f t="shared" si="246"/>
        <v>2027</v>
      </c>
      <c r="BP98" s="14">
        <f t="shared" si="246"/>
        <v>2027</v>
      </c>
      <c r="BQ98" s="14">
        <f t="shared" si="246"/>
        <v>2027</v>
      </c>
      <c r="BR98" s="14">
        <f t="shared" si="246"/>
        <v>2027</v>
      </c>
      <c r="BW98" s="13">
        <v>94</v>
      </c>
      <c r="BX98" s="13">
        <f t="shared" si="173"/>
        <v>5</v>
      </c>
      <c r="BY98" s="14">
        <f t="shared" si="174"/>
        <v>3</v>
      </c>
      <c r="BZ98" s="14">
        <f t="shared" si="189"/>
        <v>1102005</v>
      </c>
      <c r="CA98" s="14" t="str">
        <f t="shared" si="190"/>
        <v>李轩辕14突</v>
      </c>
      <c r="CB98" s="25" t="s">
        <v>142</v>
      </c>
      <c r="CC98" s="14">
        <v>2</v>
      </c>
      <c r="CD98" s="14">
        <f t="shared" si="175"/>
        <v>14</v>
      </c>
      <c r="CE98" s="14" t="s">
        <v>21</v>
      </c>
      <c r="CF98" s="14">
        <f>INDEX(属性投放!$AZ$6:$AZ$85,(BY98-2)*20+CD98)</f>
        <v>6791</v>
      </c>
      <c r="CG98" s="14" t="s">
        <v>22</v>
      </c>
      <c r="CH98" s="14">
        <f>INDEX(属性投放!$BA$6:$BA$85,(BY98-2)*20+CD98)</f>
        <v>3349</v>
      </c>
      <c r="CI98" s="14" t="s">
        <v>510</v>
      </c>
      <c r="CJ98" s="14">
        <f>INDEX(属性投放!$BB$6:$BB$85,(BY98-2)*20+CD98)</f>
        <v>57090</v>
      </c>
      <c r="CK98" s="14" t="s">
        <v>21</v>
      </c>
      <c r="CL98" s="14">
        <f>INDEX(属性投放!$BC$6:$BC$85,(BY98-2)*20+CD98)</f>
        <v>25</v>
      </c>
      <c r="CM98" s="14" t="s">
        <v>22</v>
      </c>
      <c r="CN98" s="14">
        <f>INDEX(属性投放!$BD$6:$BD$85,(BY98-2)*20+CD98)</f>
        <v>13</v>
      </c>
      <c r="CO98" s="14" t="s">
        <v>510</v>
      </c>
      <c r="CP98" s="14">
        <f>INDEX(属性投放!$BE$6:$BE$85,(BY98-2)*20+CD98)</f>
        <v>250</v>
      </c>
      <c r="CS98" s="13">
        <v>94</v>
      </c>
      <c r="CT98" s="13">
        <f t="shared" si="191"/>
        <v>2</v>
      </c>
      <c r="CU98" s="13">
        <f t="shared" si="192"/>
        <v>42</v>
      </c>
      <c r="CV98" s="14">
        <f t="shared" si="193"/>
        <v>3</v>
      </c>
      <c r="CW98" s="14">
        <f t="shared" si="194"/>
        <v>1102002</v>
      </c>
      <c r="CX98" s="14" t="str">
        <f>INDEX($O$6:$O$50,CT98)&amp;"-"&amp;INDEX(属性投放!$AB$7:$AB$50,CZ98)&amp;"-魂火-"&amp;DB98</f>
        <v>许褚-大焦热+1-魂火-3</v>
      </c>
      <c r="CY98" s="25" t="s">
        <v>142</v>
      </c>
      <c r="CZ98" s="14">
        <f>INDEX(属性投放!$AM$7:$AM$58,CU98)</f>
        <v>17</v>
      </c>
      <c r="DA98" s="14" t="s">
        <v>537</v>
      </c>
      <c r="DB98" s="14">
        <f>INDEX(属性投放!$AN$7:$AN$58,CU98)</f>
        <v>3</v>
      </c>
      <c r="DC98" s="14">
        <f t="shared" si="176"/>
        <v>42</v>
      </c>
      <c r="DD98" s="14">
        <f>INDEX(属性投放!$AO$7:$AO$58,DC98)</f>
        <v>123</v>
      </c>
      <c r="DE98" s="14" t="s">
        <v>538</v>
      </c>
      <c r="DF98" s="14">
        <f>INDEX(属性投放!$BK$6:$BK$85,(CV98-2)*20+CZ98)</f>
        <v>600</v>
      </c>
      <c r="DG98" s="14">
        <f>SUMIFS(DF$5:DF98,$CT$5:$CT98,"="&amp;$CT98)</f>
        <v>8570</v>
      </c>
      <c r="DH98" s="14" t="s">
        <v>539</v>
      </c>
      <c r="DI98" s="14">
        <f>INDEX(属性投放!$BL$6:$BL$85,(CV98-2)*20+CZ98)</f>
        <v>300</v>
      </c>
      <c r="DJ98" s="14">
        <f>SUMIFS(DI$5:DI98,$CT$5:$CT98,"="&amp;$CT98)</f>
        <v>4288</v>
      </c>
      <c r="DK98" s="14" t="s">
        <v>540</v>
      </c>
      <c r="DL98" s="14">
        <f>INDEX(属性投放!$BM$6:$BM$85,(CV98-2)*20+CZ98)</f>
        <v>6000</v>
      </c>
      <c r="DM98" s="14">
        <f>SUMIFS(DL$5:DL98,$CT$5:$CT98,"="&amp;$CT98)</f>
        <v>81740</v>
      </c>
      <c r="DR98" s="14">
        <f t="shared" si="177"/>
        <v>1102005</v>
      </c>
      <c r="DS98" s="14" t="str">
        <f t="shared" si="178"/>
        <v>李轩辕14突</v>
      </c>
      <c r="DT98" s="14">
        <f t="shared" si="195"/>
        <v>4</v>
      </c>
      <c r="DU98" s="14">
        <f t="shared" si="196"/>
        <v>5</v>
      </c>
      <c r="DV98" s="14">
        <f t="shared" si="197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INDEX(属性投放!$AX$6:$AX$85,(卡牌属性!DW98-2)*20+卡牌属性!DX98)</f>
        <v>7</v>
      </c>
      <c r="EA98" s="14">
        <f>INDEX(属性投放!BQ$6:BQ$85,卡牌属性!$DY98)</f>
        <v>450</v>
      </c>
      <c r="EB98" s="14">
        <f>INDEX(属性投放!BR$6:BR$85,卡牌属性!$DY98)</f>
        <v>225</v>
      </c>
      <c r="EC98" s="14">
        <f>INDEX(属性投放!BS$6:BS$85,卡牌属性!$DY98)</f>
        <v>4500</v>
      </c>
      <c r="ED98" s="14">
        <f t="shared" si="248"/>
        <v>3300</v>
      </c>
      <c r="EE98" s="14">
        <f t="shared" si="249"/>
        <v>3621</v>
      </c>
      <c r="EF98" s="14">
        <f t="shared" si="250"/>
        <v>3764</v>
      </c>
      <c r="EG98" s="14">
        <f t="shared" si="251"/>
        <v>3764</v>
      </c>
      <c r="EH98" s="14">
        <f t="shared" si="252"/>
        <v>4483</v>
      </c>
      <c r="EI98" s="14">
        <f t="shared" si="253"/>
        <v>1781</v>
      </c>
      <c r="EJ98" s="14">
        <f t="shared" si="254"/>
        <v>1859</v>
      </c>
      <c r="EK98" s="14">
        <f t="shared" si="255"/>
        <v>1859</v>
      </c>
      <c r="EL98" s="14">
        <f t="shared" si="256"/>
        <v>2213</v>
      </c>
      <c r="EM98" s="14">
        <f t="shared" si="257"/>
        <v>2392</v>
      </c>
      <c r="EN98" s="14">
        <f t="shared" si="258"/>
        <v>30364</v>
      </c>
      <c r="EO98" s="14">
        <f t="shared" si="259"/>
        <v>36198</v>
      </c>
      <c r="EP98" s="14">
        <f t="shared" si="260"/>
        <v>36198</v>
      </c>
      <c r="EQ98" s="14">
        <f t="shared" si="261"/>
        <v>38792</v>
      </c>
      <c r="ER98" s="14">
        <f t="shared" si="262"/>
        <v>41540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INDEX(属性投放!$BQ$6:$BQ$85,(卡牌属性!$DW98-2)*20+卡牌属性!$DX98)</f>
        <v>450</v>
      </c>
      <c r="FI98" s="14">
        <f>INDEX(属性投放!$BQ$6:$BQ$85,(卡牌属性!$DW98-2)*20+卡牌属性!$DX98)</f>
        <v>450</v>
      </c>
      <c r="FJ98" s="14">
        <f>INDEX(属性投放!$BQ$6:$BQ$85,(卡牌属性!$DW98-2)*20+卡牌属性!$DX98)</f>
        <v>450</v>
      </c>
      <c r="FK98" s="14">
        <f>INDEX(属性投放!$BQ$6:$BQ$85,(卡牌属性!$DW98-2)*20+卡牌属性!$DX98)</f>
        <v>450</v>
      </c>
      <c r="FL98" s="14">
        <f>INDEX(属性投放!$BQ$6:$BQ$85,(卡牌属性!$DW98-2)*20+卡牌属性!$DX98)</f>
        <v>450</v>
      </c>
      <c r="FM98" s="14">
        <f>INDEX(属性投放!$BR$6:$BR$85,(卡牌属性!$DW98-2)*20+卡牌属性!$DX98)</f>
        <v>225</v>
      </c>
      <c r="FN98" s="14">
        <f>INDEX(属性投放!$BR$6:$BR$85,(卡牌属性!$DW98-2)*20+卡牌属性!$DX98)</f>
        <v>225</v>
      </c>
      <c r="FO98" s="14">
        <f>INDEX(属性投放!$BR$6:$BR$85,(卡牌属性!$DW98-2)*20+卡牌属性!$DX98)</f>
        <v>225</v>
      </c>
      <c r="FP98" s="14">
        <f>INDEX(属性投放!$BR$6:$BR$85,(卡牌属性!$DW98-2)*20+卡牌属性!$DX98)</f>
        <v>225</v>
      </c>
      <c r="FQ98" s="14">
        <f>INDEX(属性投放!$BR$6:$BR$85,(卡牌属性!$DW98-2)*20+卡牌属性!$DX98)</f>
        <v>225</v>
      </c>
      <c r="FR98" s="14">
        <f>INDEX(属性投放!$BS$6:$BS$85,(卡牌属性!$DW98-2)*20+卡牌属性!$DX98)</f>
        <v>4500</v>
      </c>
      <c r="FS98" s="14">
        <f>INDEX(属性投放!$BS$6:$BS$85,(卡牌属性!$DW98-2)*20+卡牌属性!$DX98)</f>
        <v>4500</v>
      </c>
      <c r="FT98" s="14">
        <f>INDEX(属性投放!$BS$6:$BS$85,(卡牌属性!$DW98-2)*20+卡牌属性!$DX98)</f>
        <v>4500</v>
      </c>
      <c r="FU98" s="14">
        <f>INDEX(属性投放!$BS$6:$BS$85,(卡牌属性!$DW98-2)*20+卡牌属性!$DX98)</f>
        <v>4500</v>
      </c>
      <c r="FV98" s="14">
        <f>INDEX(属性投放!$BS$6:$BS$85,(卡牌属性!$DW98-2)*20+卡牌属性!$DX98)</f>
        <v>4500</v>
      </c>
      <c r="FZ98" s="13">
        <v>94</v>
      </c>
      <c r="GA98" s="13">
        <f t="shared" si="182"/>
        <v>19</v>
      </c>
      <c r="GB98" s="14">
        <f t="shared" si="198"/>
        <v>1102019</v>
      </c>
      <c r="GC98" s="14" t="s">
        <v>1187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3</v>
      </c>
      <c r="GG98" s="14" t="str">
        <f>INDEX(属性评价,卡牌属性!GF98)</f>
        <v>C</v>
      </c>
      <c r="GH98" s="14">
        <f>INDEX(Z$6:Z$36,$GA98)+INDEX(属性偏向!Z$4:Z$8,卡牌属性!$GD98)</f>
        <v>8</v>
      </c>
      <c r="GI98" s="14" t="str">
        <f>INDEX(属性评价,卡牌属性!GH98)</f>
        <v>A+</v>
      </c>
      <c r="GJ98" s="14">
        <f>INDEX(AA$6:AA$36,$GA98)+INDEX(属性偏向!AA$4:AA$8,卡牌属性!$GD98)</f>
        <v>6</v>
      </c>
      <c r="GK98" s="14" t="str">
        <f>INDEX(属性评价,卡牌属性!GJ98)</f>
        <v>B+</v>
      </c>
      <c r="GN98" s="13">
        <v>94</v>
      </c>
      <c r="GO98" s="13">
        <f t="shared" si="263"/>
        <v>19</v>
      </c>
      <c r="GP98" s="14">
        <f t="shared" si="199"/>
        <v>1101022</v>
      </c>
      <c r="GQ98" s="14" t="s">
        <v>1187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MATCH(HC98,属性投放!$AO$6:$AO$58,1)-1</f>
        <v>30</v>
      </c>
      <c r="HF98" s="13">
        <f>MATCH(HC98-1,属性投放!$AE$6:$AE$26,1)</f>
        <v>13</v>
      </c>
      <c r="HG98" s="13" t="str">
        <f>INDEX(属性投放!$AB$7:$AB$26,卡牌属性!HF98)</f>
        <v>焦热</v>
      </c>
      <c r="HH98" s="14">
        <f t="shared" si="200"/>
        <v>4023</v>
      </c>
      <c r="HI98" s="14">
        <f t="shared" si="201"/>
        <v>1684</v>
      </c>
      <c r="HJ98" s="14">
        <f t="shared" si="202"/>
        <v>26404</v>
      </c>
      <c r="HK98" s="14">
        <f t="shared" si="203"/>
        <v>40</v>
      </c>
      <c r="HL98" s="14">
        <f t="shared" si="204"/>
        <v>13</v>
      </c>
      <c r="HM98" s="14">
        <f t="shared" si="205"/>
        <v>260</v>
      </c>
      <c r="HN98" s="14">
        <f>HH98+HK98*($HC98-INDEX(属性投放!$AE$6:$AE$26,卡牌属性!$HF98))</f>
        <v>4303</v>
      </c>
      <c r="HO98" s="14">
        <f>HI98+HL98*($HC98-INDEX(属性投放!$AE$6:$AE$26,卡牌属性!$HF98))</f>
        <v>1775</v>
      </c>
      <c r="HP98" s="14">
        <f>HJ98+HM98*($HC98-INDEX(属性投放!$AE$6:$AE$26,卡牌属性!$HF98))</f>
        <v>28224</v>
      </c>
      <c r="HQ98" s="14">
        <f t="shared" si="206"/>
        <v>3580</v>
      </c>
      <c r="HR98" s="14">
        <f t="shared" si="207"/>
        <v>1798</v>
      </c>
      <c r="HS98" s="14">
        <f t="shared" si="208"/>
        <v>31235</v>
      </c>
      <c r="HT98" s="14">
        <f>IF(COUNTIF(属性投放!$AO$7:$AO$58,"="&amp;卡牌属性!HC98)&gt;0,卡牌属性!HE98,0)</f>
        <v>0</v>
      </c>
      <c r="HU98" s="14">
        <f t="shared" si="209"/>
        <v>0</v>
      </c>
      <c r="HV98" s="14">
        <f t="shared" si="210"/>
        <v>0</v>
      </c>
      <c r="HW98" s="14">
        <f t="shared" si="211"/>
        <v>0</v>
      </c>
      <c r="HX98" s="14">
        <f>IF(COUNTIF(属性投放!$AE$6:$AE$26,"="&amp;卡牌属性!HC98)&gt;0,卡牌属性!HF98,0)</f>
        <v>0</v>
      </c>
      <c r="HY98" s="14">
        <f t="shared" si="212"/>
        <v>0</v>
      </c>
      <c r="HZ98" s="14">
        <f t="shared" si="213"/>
        <v>0</v>
      </c>
      <c r="IA98" s="14">
        <f t="shared" si="214"/>
        <v>0</v>
      </c>
      <c r="IB98" s="14">
        <f t="shared" si="215"/>
        <v>40</v>
      </c>
      <c r="IC98" s="14">
        <f t="shared" si="216"/>
        <v>13</v>
      </c>
      <c r="ID98" s="14">
        <f t="shared" si="217"/>
        <v>260</v>
      </c>
      <c r="IE98" s="14">
        <f t="shared" si="218"/>
        <v>7883</v>
      </c>
      <c r="IF98" s="14">
        <f t="shared" si="219"/>
        <v>3573</v>
      </c>
      <c r="IG98" s="14">
        <f t="shared" si="220"/>
        <v>59459</v>
      </c>
      <c r="IH98" s="14">
        <f t="shared" si="221"/>
        <v>920</v>
      </c>
      <c r="II98" s="14">
        <f t="shared" si="222"/>
        <v>0</v>
      </c>
      <c r="IJ98" s="14">
        <f t="shared" si="223"/>
        <v>0</v>
      </c>
      <c r="IK98" s="14">
        <f t="shared" si="224"/>
        <v>209749</v>
      </c>
      <c r="IL98" s="17">
        <f t="shared" si="225"/>
        <v>4.3861949282237344E-3</v>
      </c>
      <c r="IM98" s="17">
        <f t="shared" si="226"/>
        <v>0</v>
      </c>
      <c r="IN98" s="17">
        <f t="shared" si="227"/>
        <v>0</v>
      </c>
      <c r="IO98" s="23">
        <f>SUM(IH$5:IH98)</f>
        <v>49444</v>
      </c>
      <c r="IP98" s="14">
        <f>SUM(II$5:II98)</f>
        <v>102995</v>
      </c>
      <c r="IQ98" s="14">
        <f>SUM(IJ$5:IJ98)</f>
        <v>42540</v>
      </c>
      <c r="IR98" s="17">
        <f t="shared" si="228"/>
        <v>0.2357293717729286</v>
      </c>
      <c r="IS98" s="17">
        <f t="shared" si="229"/>
        <v>0.4910392898178299</v>
      </c>
      <c r="IT98" s="17">
        <f t="shared" si="230"/>
        <v>0.20281383939851919</v>
      </c>
      <c r="IW98" s="13">
        <v>94</v>
      </c>
      <c r="IX98" s="14">
        <f>MATCH(IW98-1,属性投放!$T$6:$T$66,1)</f>
        <v>16</v>
      </c>
      <c r="IY98" s="14">
        <f>MATCH(IW98-1,属性投放!$AD$7:$AD$26,1)</f>
        <v>13</v>
      </c>
      <c r="IZ98" s="14" t="str">
        <f>INDEX(属性投放!$AB$7:$AB$26,IY98)</f>
        <v>焦热</v>
      </c>
      <c r="JA98" s="14">
        <f t="shared" si="231"/>
        <v>4474</v>
      </c>
      <c r="JB98" s="14">
        <f t="shared" si="232"/>
        <v>2188</v>
      </c>
      <c r="JC98" s="14">
        <f t="shared" si="233"/>
        <v>36531</v>
      </c>
      <c r="JD98" s="14">
        <f t="shared" si="234"/>
        <v>151</v>
      </c>
      <c r="JE98" s="14">
        <f t="shared" si="235"/>
        <v>76</v>
      </c>
      <c r="JF98" s="14">
        <f t="shared" si="236"/>
        <v>1510</v>
      </c>
      <c r="JG98" s="14">
        <f>INDEX(属性投放!$DC$6:$DC$85,卡牌属性!IY98)</f>
        <v>85</v>
      </c>
      <c r="JH98" s="14">
        <f t="shared" si="237"/>
        <v>5833</v>
      </c>
      <c r="JI98" s="14">
        <f t="shared" si="238"/>
        <v>2872</v>
      </c>
      <c r="JJ98" s="14">
        <f t="shared" si="239"/>
        <v>50121</v>
      </c>
      <c r="JK98" s="14">
        <f t="shared" si="240"/>
        <v>108006</v>
      </c>
    </row>
    <row r="99" spans="31:271" ht="16.5" x14ac:dyDescent="0.2">
      <c r="AE99" s="13">
        <v>95</v>
      </c>
      <c r="AF99" s="13">
        <f t="shared" si="188"/>
        <v>5</v>
      </c>
      <c r="AG99" s="13">
        <f t="shared" si="169"/>
        <v>4</v>
      </c>
      <c r="AH99" s="13"/>
      <c r="AI99" s="13"/>
      <c r="AJ99" s="14">
        <f t="shared" si="170"/>
        <v>1101005</v>
      </c>
      <c r="AK99" s="14" t="str">
        <f t="shared" si="171"/>
        <v>刘羽禅15突</v>
      </c>
      <c r="AL99" s="25" t="s">
        <v>142</v>
      </c>
      <c r="AM99" s="14">
        <v>1</v>
      </c>
      <c r="AN99" s="14">
        <f t="shared" si="172"/>
        <v>15</v>
      </c>
      <c r="AO99" s="14">
        <f>INDEX(属性投放!$DF$6:$DF$85,(卡牌属性!AG99-2)*20+卡牌属性!AN99)</f>
        <v>8197</v>
      </c>
      <c r="AP99" s="14">
        <f t="shared" si="241"/>
        <v>8197</v>
      </c>
      <c r="AQ99" s="14">
        <f t="shared" si="241"/>
        <v>8197</v>
      </c>
      <c r="AR99" s="14">
        <f t="shared" si="241"/>
        <v>8197</v>
      </c>
      <c r="AS99" s="14">
        <f t="shared" si="241"/>
        <v>8197</v>
      </c>
      <c r="AT99" s="14">
        <f>INDEX(属性投放!$DG$6:$DG$85,(卡牌属性!AG99-2)*20+卡牌属性!AN99)</f>
        <v>4029</v>
      </c>
      <c r="AU99" s="14">
        <f t="shared" si="242"/>
        <v>4029</v>
      </c>
      <c r="AV99" s="14">
        <f t="shared" si="242"/>
        <v>4029</v>
      </c>
      <c r="AW99" s="14">
        <f t="shared" si="242"/>
        <v>4029</v>
      </c>
      <c r="AX99" s="14">
        <f t="shared" si="242"/>
        <v>4029</v>
      </c>
      <c r="AY99" s="14">
        <f>INDEX(属性投放!$DH$6:$DH$85,(卡牌属性!AG99-2)*20+卡牌属性!AN99)</f>
        <v>68233</v>
      </c>
      <c r="AZ99" s="14">
        <f t="shared" si="243"/>
        <v>68233</v>
      </c>
      <c r="BA99" s="14">
        <f t="shared" si="243"/>
        <v>68233</v>
      </c>
      <c r="BB99" s="14">
        <f t="shared" si="243"/>
        <v>68233</v>
      </c>
      <c r="BC99" s="14">
        <f t="shared" si="243"/>
        <v>68233</v>
      </c>
      <c r="BD99" s="14">
        <f>INDEX(属性投放!$DL$6:$DL$85,(卡牌属性!AG99-2)*20+卡牌属性!AN99)</f>
        <v>203</v>
      </c>
      <c r="BE99" s="14">
        <f t="shared" si="244"/>
        <v>203</v>
      </c>
      <c r="BF99" s="14">
        <f t="shared" si="244"/>
        <v>203</v>
      </c>
      <c r="BG99" s="14">
        <f t="shared" si="244"/>
        <v>203</v>
      </c>
      <c r="BH99" s="14">
        <f t="shared" si="244"/>
        <v>203</v>
      </c>
      <c r="BI99" s="14">
        <f>INDEX(属性投放!$DM$6:$DM$85,(卡牌属性!AG99-2)*20+卡牌属性!AN99)</f>
        <v>101</v>
      </c>
      <c r="BJ99" s="14">
        <f t="shared" si="245"/>
        <v>101</v>
      </c>
      <c r="BK99" s="14">
        <f t="shared" si="245"/>
        <v>101</v>
      </c>
      <c r="BL99" s="14">
        <f t="shared" si="245"/>
        <v>101</v>
      </c>
      <c r="BM99" s="14">
        <f t="shared" si="245"/>
        <v>101</v>
      </c>
      <c r="BN99" s="14">
        <f>INDEX(属性投放!$DN$6:$DN$85,(卡牌属性!AG99-2)*20+卡牌属性!AN99)</f>
        <v>2027</v>
      </c>
      <c r="BO99" s="14">
        <f t="shared" si="246"/>
        <v>2027</v>
      </c>
      <c r="BP99" s="14">
        <f t="shared" si="246"/>
        <v>2027</v>
      </c>
      <c r="BQ99" s="14">
        <f t="shared" si="246"/>
        <v>2027</v>
      </c>
      <c r="BR99" s="14">
        <f t="shared" si="246"/>
        <v>2027</v>
      </c>
      <c r="BW99" s="13">
        <v>95</v>
      </c>
      <c r="BX99" s="13">
        <f t="shared" si="173"/>
        <v>5</v>
      </c>
      <c r="BY99" s="14">
        <f t="shared" si="174"/>
        <v>3</v>
      </c>
      <c r="BZ99" s="14">
        <f t="shared" si="189"/>
        <v>1102005</v>
      </c>
      <c r="CA99" s="14" t="str">
        <f t="shared" si="190"/>
        <v>李轩辕15突</v>
      </c>
      <c r="CB99" s="25" t="s">
        <v>142</v>
      </c>
      <c r="CC99" s="14">
        <v>2</v>
      </c>
      <c r="CD99" s="14">
        <f t="shared" si="175"/>
        <v>15</v>
      </c>
      <c r="CE99" s="14" t="s">
        <v>21</v>
      </c>
      <c r="CF99" s="14">
        <f>INDEX(属性投放!$AZ$6:$AZ$85,(BY99-2)*20+CD99)</f>
        <v>8316</v>
      </c>
      <c r="CG99" s="14" t="s">
        <v>22</v>
      </c>
      <c r="CH99" s="14">
        <f>INDEX(属性投放!$BA$6:$BA$85,(BY99-2)*20+CD99)</f>
        <v>4115</v>
      </c>
      <c r="CI99" s="14" t="s">
        <v>510</v>
      </c>
      <c r="CJ99" s="14">
        <f>INDEX(属性投放!$BB$6:$BB$85,(BY99-2)*20+CD99)</f>
        <v>72340</v>
      </c>
      <c r="CK99" s="14" t="s">
        <v>21</v>
      </c>
      <c r="CL99" s="14">
        <f>INDEX(属性投放!$BC$6:$BC$85,(BY99-2)*20+CD99)</f>
        <v>25</v>
      </c>
      <c r="CM99" s="14" t="s">
        <v>22</v>
      </c>
      <c r="CN99" s="14">
        <f>INDEX(属性投放!$BD$6:$BD$85,(BY99-2)*20+CD99)</f>
        <v>13</v>
      </c>
      <c r="CO99" s="14" t="s">
        <v>510</v>
      </c>
      <c r="CP99" s="14">
        <f>INDEX(属性投放!$BE$6:$BE$85,(BY99-2)*20+CD99)</f>
        <v>250</v>
      </c>
      <c r="CS99" s="13">
        <v>95</v>
      </c>
      <c r="CT99" s="13">
        <f t="shared" si="191"/>
        <v>2</v>
      </c>
      <c r="CU99" s="13">
        <f t="shared" si="192"/>
        <v>43</v>
      </c>
      <c r="CV99" s="14">
        <f t="shared" si="193"/>
        <v>3</v>
      </c>
      <c r="CW99" s="14">
        <f t="shared" si="194"/>
        <v>1102002</v>
      </c>
      <c r="CX99" s="14" t="str">
        <f>INDEX($O$6:$O$50,CT99)&amp;"-"&amp;INDEX(属性投放!$AB$7:$AB$50,CZ99)&amp;"-魂火-"&amp;DB99</f>
        <v>许褚-大焦热+2-魂火-1</v>
      </c>
      <c r="CY99" s="25" t="s">
        <v>142</v>
      </c>
      <c r="CZ99" s="14">
        <f>INDEX(属性投放!$AM$7:$AM$58,CU99)</f>
        <v>18</v>
      </c>
      <c r="DA99" s="14" t="s">
        <v>537</v>
      </c>
      <c r="DB99" s="14">
        <f>INDEX(属性投放!$AN$7:$AN$58,CU99)</f>
        <v>1</v>
      </c>
      <c r="DC99" s="14">
        <f t="shared" si="176"/>
        <v>43</v>
      </c>
      <c r="DD99" s="14">
        <f>INDEX(属性投放!$AO$7:$AO$58,DC99)</f>
        <v>125</v>
      </c>
      <c r="DE99" s="14" t="s">
        <v>538</v>
      </c>
      <c r="DF99" s="14">
        <f>INDEX(属性投放!$BK$6:$BK$85,(CV99-2)*20+CZ99)</f>
        <v>700</v>
      </c>
      <c r="DG99" s="14">
        <f>SUMIFS(DF$5:DF99,$CT$5:$CT99,"="&amp;$CT99)</f>
        <v>9270</v>
      </c>
      <c r="DH99" s="14" t="s">
        <v>539</v>
      </c>
      <c r="DI99" s="14">
        <f>INDEX(属性投放!$BL$6:$BL$85,(CV99-2)*20+CZ99)</f>
        <v>350</v>
      </c>
      <c r="DJ99" s="14">
        <f>SUMIFS(DI$5:DI99,$CT$5:$CT99,"="&amp;$CT99)</f>
        <v>4638</v>
      </c>
      <c r="DK99" s="14" t="s">
        <v>540</v>
      </c>
      <c r="DL99" s="14">
        <f>INDEX(属性投放!$BM$6:$BM$85,(CV99-2)*20+CZ99)</f>
        <v>7000</v>
      </c>
      <c r="DM99" s="14">
        <f>SUMIFS(DL$5:DL99,$CT$5:$CT99,"="&amp;$CT99)</f>
        <v>88740</v>
      </c>
      <c r="DR99" s="14">
        <f t="shared" si="177"/>
        <v>1102005</v>
      </c>
      <c r="DS99" s="14" t="str">
        <f t="shared" si="178"/>
        <v>李轩辕15突</v>
      </c>
      <c r="DT99" s="14">
        <f t="shared" si="195"/>
        <v>4</v>
      </c>
      <c r="DU99" s="14">
        <f t="shared" si="196"/>
        <v>5</v>
      </c>
      <c r="DV99" s="14">
        <f t="shared" si="197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INDEX(属性投放!$AX$6:$AX$85,(卡牌属性!DW99-2)*20+卡牌属性!DX99)</f>
        <v>8</v>
      </c>
      <c r="EA99" s="14">
        <f>INDEX(属性投放!BQ$6:BQ$85,卡牌属性!$DY99)</f>
        <v>750</v>
      </c>
      <c r="EB99" s="14">
        <f>INDEX(属性投放!BR$6:BR$85,卡牌属性!$DY99)</f>
        <v>375</v>
      </c>
      <c r="EC99" s="14">
        <f>INDEX(属性投放!BS$6:BS$85,卡牌属性!$DY99)</f>
        <v>7500</v>
      </c>
      <c r="ED99" s="14">
        <f t="shared" si="248"/>
        <v>3890</v>
      </c>
      <c r="EE99" s="14">
        <f t="shared" si="249"/>
        <v>4246</v>
      </c>
      <c r="EF99" s="14">
        <f t="shared" si="250"/>
        <v>4396</v>
      </c>
      <c r="EG99" s="14">
        <f t="shared" si="251"/>
        <v>4396</v>
      </c>
      <c r="EH99" s="14">
        <f t="shared" si="252"/>
        <v>5213</v>
      </c>
      <c r="EI99" s="14">
        <f t="shared" si="253"/>
        <v>2097</v>
      </c>
      <c r="EJ99" s="14">
        <f t="shared" si="254"/>
        <v>2175</v>
      </c>
      <c r="EK99" s="14">
        <f t="shared" si="255"/>
        <v>2175</v>
      </c>
      <c r="EL99" s="14">
        <f t="shared" si="256"/>
        <v>2578</v>
      </c>
      <c r="EM99" s="14">
        <f t="shared" si="257"/>
        <v>2778</v>
      </c>
      <c r="EN99" s="14">
        <f t="shared" si="258"/>
        <v>36684</v>
      </c>
      <c r="EO99" s="14">
        <f t="shared" si="259"/>
        <v>43498</v>
      </c>
      <c r="EP99" s="14">
        <f t="shared" si="260"/>
        <v>43498</v>
      </c>
      <c r="EQ99" s="14">
        <f t="shared" si="261"/>
        <v>46442</v>
      </c>
      <c r="ER99" s="14">
        <f t="shared" si="262"/>
        <v>49540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INDEX(属性投放!$BQ$6:$BQ$85,(卡牌属性!$DW99-2)*20+卡牌属性!$DX99)</f>
        <v>750</v>
      </c>
      <c r="FI99" s="14">
        <f>INDEX(属性投放!$BQ$6:$BQ$85,(卡牌属性!$DW99-2)*20+卡牌属性!$DX99)</f>
        <v>750</v>
      </c>
      <c r="FJ99" s="14">
        <f>INDEX(属性投放!$BQ$6:$BQ$85,(卡牌属性!$DW99-2)*20+卡牌属性!$DX99)</f>
        <v>750</v>
      </c>
      <c r="FK99" s="14">
        <f>INDEX(属性投放!$BQ$6:$BQ$85,(卡牌属性!$DW99-2)*20+卡牌属性!$DX99)</f>
        <v>750</v>
      </c>
      <c r="FL99" s="14">
        <f>INDEX(属性投放!$BQ$6:$BQ$85,(卡牌属性!$DW99-2)*20+卡牌属性!$DX99)</f>
        <v>750</v>
      </c>
      <c r="FM99" s="14">
        <f>INDEX(属性投放!$BR$6:$BR$85,(卡牌属性!$DW99-2)*20+卡牌属性!$DX99)</f>
        <v>375</v>
      </c>
      <c r="FN99" s="14">
        <f>INDEX(属性投放!$BR$6:$BR$85,(卡牌属性!$DW99-2)*20+卡牌属性!$DX99)</f>
        <v>375</v>
      </c>
      <c r="FO99" s="14">
        <f>INDEX(属性投放!$BR$6:$BR$85,(卡牌属性!$DW99-2)*20+卡牌属性!$DX99)</f>
        <v>375</v>
      </c>
      <c r="FP99" s="14">
        <f>INDEX(属性投放!$BR$6:$BR$85,(卡牌属性!$DW99-2)*20+卡牌属性!$DX99)</f>
        <v>375</v>
      </c>
      <c r="FQ99" s="14">
        <f>INDEX(属性投放!$BR$6:$BR$85,(卡牌属性!$DW99-2)*20+卡牌属性!$DX99)</f>
        <v>375</v>
      </c>
      <c r="FR99" s="14">
        <f>INDEX(属性投放!$BS$6:$BS$85,(卡牌属性!$DW99-2)*20+卡牌属性!$DX99)</f>
        <v>7500</v>
      </c>
      <c r="FS99" s="14">
        <f>INDEX(属性投放!$BS$6:$BS$85,(卡牌属性!$DW99-2)*20+卡牌属性!$DX99)</f>
        <v>7500</v>
      </c>
      <c r="FT99" s="14">
        <f>INDEX(属性投放!$BS$6:$BS$85,(卡牌属性!$DW99-2)*20+卡牌属性!$DX99)</f>
        <v>7500</v>
      </c>
      <c r="FU99" s="14">
        <f>INDEX(属性投放!$BS$6:$BS$85,(卡牌属性!$DW99-2)*20+卡牌属性!$DX99)</f>
        <v>7500</v>
      </c>
      <c r="FV99" s="14">
        <f>INDEX(属性投放!$BS$6:$BS$85,(卡牌属性!$DW99-2)*20+卡牌属性!$DX99)</f>
        <v>7500</v>
      </c>
      <c r="FZ99" s="13">
        <v>95</v>
      </c>
      <c r="GA99" s="13">
        <f t="shared" si="182"/>
        <v>19</v>
      </c>
      <c r="GB99" s="14">
        <f t="shared" si="198"/>
        <v>1102019</v>
      </c>
      <c r="GC99" s="14" t="s">
        <v>1187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4</v>
      </c>
      <c r="GG99" s="14" t="str">
        <f>INDEX(属性评价,卡牌属性!GF99)</f>
        <v>C+</v>
      </c>
      <c r="GH99" s="14">
        <f>INDEX(Z$6:Z$36,$GA99)+INDEX(属性偏向!Z$4:Z$8,卡牌属性!$GD99)</f>
        <v>9</v>
      </c>
      <c r="GI99" s="14" t="str">
        <f>INDEX(属性评价,卡牌属性!GH99)</f>
        <v>S</v>
      </c>
      <c r="GJ99" s="14">
        <f>INDEX(AA$6:AA$36,$GA99)+INDEX(属性偏向!AA$4:AA$8,卡牌属性!$GD99)</f>
        <v>7</v>
      </c>
      <c r="GK99" s="14" t="str">
        <f>INDEX(属性评价,卡牌属性!GJ99)</f>
        <v>A</v>
      </c>
      <c r="GN99" s="13">
        <v>95</v>
      </c>
      <c r="GO99" s="13">
        <f t="shared" si="263"/>
        <v>19</v>
      </c>
      <c r="GP99" s="14">
        <f t="shared" si="199"/>
        <v>1101022</v>
      </c>
      <c r="GQ99" s="14" t="s">
        <v>1187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MATCH(HC99,属性投放!$AO$6:$AO$58,1)-1</f>
        <v>31</v>
      </c>
      <c r="HF99" s="13">
        <f>MATCH(HC99-1,属性投放!$AE$6:$AE$26,1)</f>
        <v>13</v>
      </c>
      <c r="HG99" s="13" t="str">
        <f>INDEX(属性投放!$AB$7:$AB$26,卡牌属性!HF99)</f>
        <v>焦热</v>
      </c>
      <c r="HH99" s="14">
        <f t="shared" si="200"/>
        <v>4023</v>
      </c>
      <c r="HI99" s="14">
        <f t="shared" si="201"/>
        <v>1684</v>
      </c>
      <c r="HJ99" s="14">
        <f t="shared" si="202"/>
        <v>26404</v>
      </c>
      <c r="HK99" s="14">
        <f t="shared" si="203"/>
        <v>40</v>
      </c>
      <c r="HL99" s="14">
        <f t="shared" si="204"/>
        <v>13</v>
      </c>
      <c r="HM99" s="14">
        <f t="shared" si="205"/>
        <v>260</v>
      </c>
      <c r="HN99" s="14">
        <f>HH99+HK99*($HC99-INDEX(属性投放!$AE$6:$AE$26,卡牌属性!$HF99))</f>
        <v>4343</v>
      </c>
      <c r="HO99" s="14">
        <f>HI99+HL99*($HC99-INDEX(属性投放!$AE$6:$AE$26,卡牌属性!$HF99))</f>
        <v>1788</v>
      </c>
      <c r="HP99" s="14">
        <f>HJ99+HM99*($HC99-INDEX(属性投放!$AE$6:$AE$26,卡牌属性!$HF99))</f>
        <v>28484</v>
      </c>
      <c r="HQ99" s="14">
        <f t="shared" si="206"/>
        <v>3900</v>
      </c>
      <c r="HR99" s="14">
        <f t="shared" si="207"/>
        <v>1958</v>
      </c>
      <c r="HS99" s="14">
        <f t="shared" si="208"/>
        <v>34435</v>
      </c>
      <c r="HT99" s="14">
        <f>IF(COUNTIF(属性投放!$AO$7:$AO$58,"="&amp;卡牌属性!HC99)&gt;0,卡牌属性!HE99,0)</f>
        <v>31</v>
      </c>
      <c r="HU99" s="14">
        <f t="shared" si="209"/>
        <v>320</v>
      </c>
      <c r="HV99" s="14">
        <f t="shared" si="210"/>
        <v>160</v>
      </c>
      <c r="HW99" s="14">
        <f t="shared" si="211"/>
        <v>3200</v>
      </c>
      <c r="HX99" s="14">
        <f>IF(COUNTIF(属性投放!$AE$6:$AE$26,"="&amp;卡牌属性!HC99)&gt;0,卡牌属性!HF99,0)</f>
        <v>13</v>
      </c>
      <c r="HY99" s="14">
        <f t="shared" si="212"/>
        <v>400</v>
      </c>
      <c r="HZ99" s="14">
        <f t="shared" si="213"/>
        <v>200</v>
      </c>
      <c r="IA99" s="14">
        <f t="shared" si="214"/>
        <v>3600</v>
      </c>
      <c r="IB99" s="14">
        <f t="shared" si="215"/>
        <v>40</v>
      </c>
      <c r="IC99" s="14">
        <f t="shared" si="216"/>
        <v>13</v>
      </c>
      <c r="ID99" s="14">
        <f t="shared" si="217"/>
        <v>260</v>
      </c>
      <c r="IE99" s="14">
        <f t="shared" si="218"/>
        <v>8243</v>
      </c>
      <c r="IF99" s="14">
        <f t="shared" si="219"/>
        <v>3746</v>
      </c>
      <c r="IG99" s="14">
        <f t="shared" si="220"/>
        <v>62919</v>
      </c>
      <c r="IH99" s="14">
        <f t="shared" si="221"/>
        <v>920</v>
      </c>
      <c r="II99" s="14">
        <f t="shared" si="222"/>
        <v>9600</v>
      </c>
      <c r="IJ99" s="14">
        <f t="shared" si="223"/>
        <v>11600</v>
      </c>
      <c r="IK99" s="14">
        <f t="shared" si="224"/>
        <v>220269</v>
      </c>
      <c r="IL99" s="17">
        <f t="shared" si="225"/>
        <v>4.1767112031198218E-3</v>
      </c>
      <c r="IM99" s="17">
        <f t="shared" si="226"/>
        <v>4.358307342385901E-2</v>
      </c>
      <c r="IN99" s="17">
        <f t="shared" si="227"/>
        <v>5.2662880387162971E-2</v>
      </c>
      <c r="IO99" s="23">
        <f>SUM(IH$5:IH99)</f>
        <v>50364</v>
      </c>
      <c r="IP99" s="14">
        <f>SUM(II$5:II99)</f>
        <v>112595</v>
      </c>
      <c r="IQ99" s="14">
        <f>SUM(IJ$5:IJ99)</f>
        <v>54140</v>
      </c>
      <c r="IR99" s="17">
        <f t="shared" si="228"/>
        <v>0.22864769894992032</v>
      </c>
      <c r="IS99" s="17">
        <f t="shared" si="229"/>
        <v>0.51117043251660466</v>
      </c>
      <c r="IT99" s="17">
        <f t="shared" si="230"/>
        <v>0.24579037449663821</v>
      </c>
      <c r="IW99" s="13">
        <v>95</v>
      </c>
      <c r="IX99" s="14">
        <f>MATCH(IW99-1,属性投放!$T$6:$T$66,1)</f>
        <v>17</v>
      </c>
      <c r="IY99" s="14">
        <f>MATCH(IW99-1,属性投放!$AD$7:$AD$26,1)</f>
        <v>13</v>
      </c>
      <c r="IZ99" s="14" t="str">
        <f>INDEX(属性投放!$AB$7:$AB$26,IY99)</f>
        <v>焦热</v>
      </c>
      <c r="JA99" s="14">
        <f t="shared" si="231"/>
        <v>4474</v>
      </c>
      <c r="JB99" s="14">
        <f t="shared" si="232"/>
        <v>2188</v>
      </c>
      <c r="JC99" s="14">
        <f t="shared" si="233"/>
        <v>36531</v>
      </c>
      <c r="JD99" s="14">
        <f t="shared" si="234"/>
        <v>151</v>
      </c>
      <c r="JE99" s="14">
        <f t="shared" si="235"/>
        <v>76</v>
      </c>
      <c r="JF99" s="14">
        <f t="shared" si="236"/>
        <v>1510</v>
      </c>
      <c r="JG99" s="14">
        <f>INDEX(属性投放!$DC$6:$DC$85,卡牌属性!IY99)</f>
        <v>85</v>
      </c>
      <c r="JH99" s="14">
        <f t="shared" si="237"/>
        <v>5984</v>
      </c>
      <c r="JI99" s="14">
        <f t="shared" si="238"/>
        <v>2948</v>
      </c>
      <c r="JJ99" s="14">
        <f t="shared" si="239"/>
        <v>51631</v>
      </c>
      <c r="JK99" s="14">
        <f t="shared" si="240"/>
        <v>111031</v>
      </c>
    </row>
    <row r="100" spans="31:271" ht="16.5" x14ac:dyDescent="0.2">
      <c r="AE100" s="13">
        <v>96</v>
      </c>
      <c r="AF100" s="13">
        <f t="shared" si="188"/>
        <v>5</v>
      </c>
      <c r="AG100" s="13">
        <f t="shared" si="169"/>
        <v>4</v>
      </c>
      <c r="AH100" s="13"/>
      <c r="AI100" s="13"/>
      <c r="AJ100" s="14">
        <f t="shared" si="170"/>
        <v>1101005</v>
      </c>
      <c r="AK100" s="14" t="str">
        <f t="shared" si="171"/>
        <v>刘羽禅16突</v>
      </c>
      <c r="AL100" s="25" t="s">
        <v>142</v>
      </c>
      <c r="AM100" s="14">
        <v>1</v>
      </c>
      <c r="AN100" s="14">
        <f t="shared" si="172"/>
        <v>16</v>
      </c>
      <c r="AO100" s="14">
        <f>INDEX(属性投放!$DF$6:$DF$85,(卡牌属性!AG100-2)*20+卡牌属性!AN100)</f>
        <v>13851</v>
      </c>
      <c r="AP100" s="14">
        <f t="shared" si="241"/>
        <v>13851</v>
      </c>
      <c r="AQ100" s="14">
        <f t="shared" si="241"/>
        <v>13851</v>
      </c>
      <c r="AR100" s="14">
        <f t="shared" si="241"/>
        <v>13851</v>
      </c>
      <c r="AS100" s="14">
        <f t="shared" si="241"/>
        <v>13851</v>
      </c>
      <c r="AT100" s="14">
        <f>INDEX(属性投放!$DG$6:$DG$85,(卡牌属性!AG100-2)*20+卡牌属性!AN100)</f>
        <v>6844</v>
      </c>
      <c r="AU100" s="14">
        <f t="shared" si="242"/>
        <v>6844</v>
      </c>
      <c r="AV100" s="14">
        <f t="shared" si="242"/>
        <v>6844</v>
      </c>
      <c r="AW100" s="14">
        <f t="shared" si="242"/>
        <v>6844</v>
      </c>
      <c r="AX100" s="14">
        <f t="shared" si="242"/>
        <v>6844</v>
      </c>
      <c r="AY100" s="14">
        <f>INDEX(属性投放!$DH$6:$DH$85,(卡牌属性!AG100-2)*20+卡牌属性!AN100)</f>
        <v>124698</v>
      </c>
      <c r="AZ100" s="14">
        <f t="shared" si="243"/>
        <v>124698</v>
      </c>
      <c r="BA100" s="14">
        <f t="shared" si="243"/>
        <v>124698</v>
      </c>
      <c r="BB100" s="14">
        <f t="shared" si="243"/>
        <v>124698</v>
      </c>
      <c r="BC100" s="14">
        <f t="shared" si="243"/>
        <v>124698</v>
      </c>
      <c r="BD100" s="14">
        <f>INDEX(属性投放!$DL$6:$DL$85,(卡牌属性!AG100-2)*20+卡牌属性!AN100)</f>
        <v>284</v>
      </c>
      <c r="BE100" s="14">
        <f t="shared" si="244"/>
        <v>284</v>
      </c>
      <c r="BF100" s="14">
        <f t="shared" si="244"/>
        <v>284</v>
      </c>
      <c r="BG100" s="14">
        <f t="shared" si="244"/>
        <v>284</v>
      </c>
      <c r="BH100" s="14">
        <f t="shared" si="244"/>
        <v>284</v>
      </c>
      <c r="BI100" s="14">
        <f>INDEX(属性投放!$DM$6:$DM$85,(卡牌属性!AG100-2)*20+卡牌属性!AN100)</f>
        <v>142</v>
      </c>
      <c r="BJ100" s="14">
        <f t="shared" si="245"/>
        <v>142</v>
      </c>
      <c r="BK100" s="14">
        <f t="shared" si="245"/>
        <v>142</v>
      </c>
      <c r="BL100" s="14">
        <f t="shared" si="245"/>
        <v>142</v>
      </c>
      <c r="BM100" s="14">
        <f t="shared" si="245"/>
        <v>142</v>
      </c>
      <c r="BN100" s="14">
        <f>INDEX(属性投放!$DN$6:$DN$85,(卡牌属性!AG100-2)*20+卡牌属性!AN100)</f>
        <v>2845</v>
      </c>
      <c r="BO100" s="14">
        <f t="shared" si="246"/>
        <v>2845</v>
      </c>
      <c r="BP100" s="14">
        <f t="shared" si="246"/>
        <v>2845</v>
      </c>
      <c r="BQ100" s="14">
        <f t="shared" si="246"/>
        <v>2845</v>
      </c>
      <c r="BR100" s="14">
        <f t="shared" si="246"/>
        <v>2845</v>
      </c>
      <c r="BW100" s="13">
        <v>96</v>
      </c>
      <c r="BX100" s="13">
        <f t="shared" si="173"/>
        <v>5</v>
      </c>
      <c r="BY100" s="14">
        <f t="shared" si="174"/>
        <v>3</v>
      </c>
      <c r="BZ100" s="14">
        <f t="shared" si="189"/>
        <v>1102005</v>
      </c>
      <c r="CA100" s="14" t="str">
        <f t="shared" si="190"/>
        <v>李轩辕16突</v>
      </c>
      <c r="CB100" s="25" t="s">
        <v>142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INDEX(属性投放!$AZ$6:$AZ$85,(BY100-2)*20+CD100)</f>
        <v>10466</v>
      </c>
      <c r="CG100" s="14" t="s">
        <v>22</v>
      </c>
      <c r="CH100" s="14">
        <f>INDEX(属性投放!$BA$6:$BA$85,(BY100-2)*20+CD100)</f>
        <v>5194</v>
      </c>
      <c r="CI100" s="14" t="s">
        <v>510</v>
      </c>
      <c r="CJ100" s="14">
        <f>INDEX(属性投放!$BB$6:$BB$85,(BY100-2)*20+CD100)</f>
        <v>93840</v>
      </c>
      <c r="CK100" s="14" t="s">
        <v>21</v>
      </c>
      <c r="CL100" s="14">
        <f>INDEX(属性投放!$BC$6:$BC$85,(BY100-2)*20+CD100)</f>
        <v>30</v>
      </c>
      <c r="CM100" s="14" t="s">
        <v>22</v>
      </c>
      <c r="CN100" s="14">
        <f>INDEX(属性投放!$BD$6:$BD$85,(BY100-2)*20+CD100)</f>
        <v>15</v>
      </c>
      <c r="CO100" s="14" t="s">
        <v>510</v>
      </c>
      <c r="CP100" s="14">
        <f>INDEX(属性投放!$BE$6:$BE$85,(BY100-2)*20+CD100)</f>
        <v>300</v>
      </c>
      <c r="CS100" s="13">
        <v>96</v>
      </c>
      <c r="CT100" s="13">
        <f t="shared" si="191"/>
        <v>2</v>
      </c>
      <c r="CU100" s="13">
        <f t="shared" si="192"/>
        <v>44</v>
      </c>
      <c r="CV100" s="14">
        <f t="shared" si="193"/>
        <v>3</v>
      </c>
      <c r="CW100" s="14">
        <f t="shared" si="194"/>
        <v>1102002</v>
      </c>
      <c r="CX100" s="14" t="str">
        <f>INDEX($O$6:$O$50,CT100)&amp;"-"&amp;INDEX(属性投放!$AB$7:$AB$50,CZ100)&amp;"-魂火-"&amp;DB100</f>
        <v>许褚-大焦热+2-魂火-2</v>
      </c>
      <c r="CY100" s="25" t="s">
        <v>142</v>
      </c>
      <c r="CZ100" s="14">
        <f>INDEX(属性投放!$AM$7:$AM$58,CU100)</f>
        <v>18</v>
      </c>
      <c r="DA100" s="14" t="s">
        <v>537</v>
      </c>
      <c r="DB100" s="14">
        <f>INDEX(属性投放!$AN$7:$AN$58,CU100)</f>
        <v>2</v>
      </c>
      <c r="DC100" s="14">
        <f t="shared" si="176"/>
        <v>44</v>
      </c>
      <c r="DD100" s="14">
        <f>INDEX(属性投放!$AO$7:$AO$58,DC100)</f>
        <v>128</v>
      </c>
      <c r="DE100" s="14" t="s">
        <v>538</v>
      </c>
      <c r="DF100" s="14">
        <f>INDEX(属性投放!$BK$6:$BK$85,(CV100-2)*20+CZ100)</f>
        <v>700</v>
      </c>
      <c r="DG100" s="14">
        <f>SUMIFS(DF$5:DF100,$CT$5:$CT100,"="&amp;$CT100)</f>
        <v>9970</v>
      </c>
      <c r="DH100" s="14" t="s">
        <v>539</v>
      </c>
      <c r="DI100" s="14">
        <f>INDEX(属性投放!$BL$6:$BL$85,(CV100-2)*20+CZ100)</f>
        <v>350</v>
      </c>
      <c r="DJ100" s="14">
        <f>SUMIFS(DI$5:DI100,$CT$5:$CT100,"="&amp;$CT100)</f>
        <v>4988</v>
      </c>
      <c r="DK100" s="14" t="s">
        <v>540</v>
      </c>
      <c r="DL100" s="14">
        <f>INDEX(属性投放!$BM$6:$BM$85,(CV100-2)*20+CZ100)</f>
        <v>7000</v>
      </c>
      <c r="DM100" s="14">
        <f>SUMIFS(DL$5:DL100,$CT$5:$CT100,"="&amp;$CT100)</f>
        <v>95740</v>
      </c>
      <c r="DR100" s="14">
        <f t="shared" si="177"/>
        <v>1102005</v>
      </c>
      <c r="DS100" s="14" t="str">
        <f t="shared" si="178"/>
        <v>李轩辕16突</v>
      </c>
      <c r="DT100" s="14">
        <f t="shared" si="195"/>
        <v>4</v>
      </c>
      <c r="DU100" s="14">
        <f t="shared" si="196"/>
        <v>5</v>
      </c>
      <c r="DV100" s="14">
        <f t="shared" si="197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INDEX(属性投放!$AX$6:$AX$85,(卡牌属性!DW100-2)*20+卡牌属性!DX100)</f>
        <v>7</v>
      </c>
      <c r="EA100" s="14">
        <f>INDEX(属性投放!BQ$6:BQ$85,卡牌属性!$DY100)</f>
        <v>800</v>
      </c>
      <c r="EB100" s="14">
        <f>INDEX(属性投放!BR$6:BR$85,卡牌属性!$DY100)</f>
        <v>400</v>
      </c>
      <c r="EC100" s="14">
        <f>INDEX(属性投放!BS$6:BS$85,卡牌属性!$DY100)</f>
        <v>8000</v>
      </c>
      <c r="ED100" s="14">
        <f t="shared" si="248"/>
        <v>4800</v>
      </c>
      <c r="EE100" s="14">
        <f t="shared" si="249"/>
        <v>5196</v>
      </c>
      <c r="EF100" s="14">
        <f t="shared" si="250"/>
        <v>5354</v>
      </c>
      <c r="EG100" s="14">
        <f t="shared" si="251"/>
        <v>5354</v>
      </c>
      <c r="EH100" s="14">
        <f t="shared" si="252"/>
        <v>6283</v>
      </c>
      <c r="EI100" s="14">
        <f t="shared" si="253"/>
        <v>2576</v>
      </c>
      <c r="EJ100" s="14">
        <f t="shared" si="254"/>
        <v>2654</v>
      </c>
      <c r="EK100" s="14">
        <f t="shared" si="255"/>
        <v>2654</v>
      </c>
      <c r="EL100" s="14">
        <f t="shared" si="256"/>
        <v>3113</v>
      </c>
      <c r="EM100" s="14">
        <f t="shared" si="257"/>
        <v>3337</v>
      </c>
      <c r="EN100" s="14">
        <f t="shared" si="258"/>
        <v>46264</v>
      </c>
      <c r="EO100" s="14">
        <f t="shared" si="259"/>
        <v>54198</v>
      </c>
      <c r="EP100" s="14">
        <f t="shared" si="260"/>
        <v>54198</v>
      </c>
      <c r="EQ100" s="14">
        <f t="shared" si="261"/>
        <v>57542</v>
      </c>
      <c r="ER100" s="14">
        <f t="shared" si="262"/>
        <v>61040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INDEX(属性投放!$BQ$6:$BQ$85,(卡牌属性!$DW100-2)*20+卡牌属性!$DX100)</f>
        <v>800</v>
      </c>
      <c r="FI100" s="14">
        <f>INDEX(属性投放!$BQ$6:$BQ$85,(卡牌属性!$DW100-2)*20+卡牌属性!$DX100)</f>
        <v>800</v>
      </c>
      <c r="FJ100" s="14">
        <f>INDEX(属性投放!$BQ$6:$BQ$85,(卡牌属性!$DW100-2)*20+卡牌属性!$DX100)</f>
        <v>800</v>
      </c>
      <c r="FK100" s="14">
        <f>INDEX(属性投放!$BQ$6:$BQ$85,(卡牌属性!$DW100-2)*20+卡牌属性!$DX100)</f>
        <v>800</v>
      </c>
      <c r="FL100" s="14">
        <f>INDEX(属性投放!$BQ$6:$BQ$85,(卡牌属性!$DW100-2)*20+卡牌属性!$DX100)</f>
        <v>800</v>
      </c>
      <c r="FM100" s="14">
        <f>INDEX(属性投放!$BR$6:$BR$85,(卡牌属性!$DW100-2)*20+卡牌属性!$DX100)</f>
        <v>400</v>
      </c>
      <c r="FN100" s="14">
        <f>INDEX(属性投放!$BR$6:$BR$85,(卡牌属性!$DW100-2)*20+卡牌属性!$DX100)</f>
        <v>400</v>
      </c>
      <c r="FO100" s="14">
        <f>INDEX(属性投放!$BR$6:$BR$85,(卡牌属性!$DW100-2)*20+卡牌属性!$DX100)</f>
        <v>400</v>
      </c>
      <c r="FP100" s="14">
        <f>INDEX(属性投放!$BR$6:$BR$85,(卡牌属性!$DW100-2)*20+卡牌属性!$DX100)</f>
        <v>400</v>
      </c>
      <c r="FQ100" s="14">
        <f>INDEX(属性投放!$BR$6:$BR$85,(卡牌属性!$DW100-2)*20+卡牌属性!$DX100)</f>
        <v>400</v>
      </c>
      <c r="FR100" s="14">
        <f>INDEX(属性投放!$BS$6:$BS$85,(卡牌属性!$DW100-2)*20+卡牌属性!$DX100)</f>
        <v>8000</v>
      </c>
      <c r="FS100" s="14">
        <f>INDEX(属性投放!$BS$6:$BS$85,(卡牌属性!$DW100-2)*20+卡牌属性!$DX100)</f>
        <v>8000</v>
      </c>
      <c r="FT100" s="14">
        <f>INDEX(属性投放!$BS$6:$BS$85,(卡牌属性!$DW100-2)*20+卡牌属性!$DX100)</f>
        <v>8000</v>
      </c>
      <c r="FU100" s="14">
        <f>INDEX(属性投放!$BS$6:$BS$85,(卡牌属性!$DW100-2)*20+卡牌属性!$DX100)</f>
        <v>8000</v>
      </c>
      <c r="FV100" s="14">
        <f>INDEX(属性投放!$BS$6:$BS$85,(卡牌属性!$DW100-2)*20+卡牌属性!$DX100)</f>
        <v>8000</v>
      </c>
      <c r="FZ100" s="13">
        <v>96</v>
      </c>
      <c r="GA100" s="13">
        <f t="shared" si="182"/>
        <v>20</v>
      </c>
      <c r="GB100" s="14">
        <f t="shared" si="198"/>
        <v>1102020</v>
      </c>
      <c r="GC100" s="14" t="s">
        <v>1187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3"/>
        <v>20</v>
      </c>
      <c r="GP100" s="14">
        <f t="shared" si="199"/>
        <v>1101023</v>
      </c>
      <c r="GQ100" s="14" t="s">
        <v>1187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MATCH(HC100,属性投放!$AO$6:$AO$58,1)-1</f>
        <v>31</v>
      </c>
      <c r="HF100" s="13">
        <f>MATCH(HC100-1,属性投放!$AE$6:$AE$26,1)</f>
        <v>14</v>
      </c>
      <c r="HG100" s="13" t="str">
        <f>INDEX(属性投放!$AB$7:$AB$26,卡牌属性!HF100)</f>
        <v>焦热+1</v>
      </c>
      <c r="HH100" s="14">
        <f t="shared" si="200"/>
        <v>4793</v>
      </c>
      <c r="HI100" s="14">
        <f t="shared" si="201"/>
        <v>2013</v>
      </c>
      <c r="HJ100" s="14">
        <f t="shared" si="202"/>
        <v>32984</v>
      </c>
      <c r="HK100" s="14">
        <f t="shared" si="203"/>
        <v>40</v>
      </c>
      <c r="HL100" s="14">
        <f t="shared" si="204"/>
        <v>13</v>
      </c>
      <c r="HM100" s="14">
        <f t="shared" si="205"/>
        <v>260</v>
      </c>
      <c r="HN100" s="14">
        <f>HH100+HK100*($HC100-INDEX(属性投放!$AE$6:$AE$26,卡牌属性!$HF100))</f>
        <v>4833</v>
      </c>
      <c r="HO100" s="14">
        <f>HI100+HL100*($HC100-INDEX(属性投放!$AE$6:$AE$26,卡牌属性!$HF100))</f>
        <v>2026</v>
      </c>
      <c r="HP100" s="14">
        <f>HJ100+HM100*($HC100-INDEX(属性投放!$AE$6:$AE$26,卡牌属性!$HF100))</f>
        <v>33244</v>
      </c>
      <c r="HQ100" s="14">
        <f t="shared" si="206"/>
        <v>3900</v>
      </c>
      <c r="HR100" s="14">
        <f t="shared" si="207"/>
        <v>1958</v>
      </c>
      <c r="HS100" s="14">
        <f t="shared" si="208"/>
        <v>34435</v>
      </c>
      <c r="HT100" s="14">
        <f>IF(COUNTIF(属性投放!$AO$7:$AO$58,"="&amp;卡牌属性!HC100)&gt;0,卡牌属性!HE100,0)</f>
        <v>0</v>
      </c>
      <c r="HU100" s="14">
        <f t="shared" si="209"/>
        <v>0</v>
      </c>
      <c r="HV100" s="14">
        <f t="shared" si="210"/>
        <v>0</v>
      </c>
      <c r="HW100" s="14">
        <f t="shared" si="211"/>
        <v>0</v>
      </c>
      <c r="HX100" s="14">
        <f>IF(COUNTIF(属性投放!$AE$6:$AE$26,"="&amp;卡牌属性!HC100)&gt;0,卡牌属性!HF100,0)</f>
        <v>0</v>
      </c>
      <c r="HY100" s="14">
        <f t="shared" si="212"/>
        <v>0</v>
      </c>
      <c r="HZ100" s="14">
        <f t="shared" si="213"/>
        <v>0</v>
      </c>
      <c r="IA100" s="14">
        <f t="shared" si="214"/>
        <v>0</v>
      </c>
      <c r="IB100" s="14">
        <f t="shared" si="215"/>
        <v>40</v>
      </c>
      <c r="IC100" s="14">
        <f t="shared" si="216"/>
        <v>13</v>
      </c>
      <c r="ID100" s="14">
        <f t="shared" si="217"/>
        <v>260</v>
      </c>
      <c r="IE100" s="14">
        <f t="shared" si="218"/>
        <v>8733</v>
      </c>
      <c r="IF100" s="14">
        <f t="shared" si="219"/>
        <v>3984</v>
      </c>
      <c r="IG100" s="14">
        <f t="shared" si="220"/>
        <v>67679</v>
      </c>
      <c r="IH100" s="14">
        <f t="shared" si="221"/>
        <v>920</v>
      </c>
      <c r="II100" s="14">
        <f t="shared" si="222"/>
        <v>0</v>
      </c>
      <c r="IJ100" s="14">
        <f t="shared" si="223"/>
        <v>0</v>
      </c>
      <c r="IK100" s="14">
        <f t="shared" si="224"/>
        <v>234689</v>
      </c>
      <c r="IL100" s="17">
        <f t="shared" si="225"/>
        <v>3.9200814695192357E-3</v>
      </c>
      <c r="IM100" s="17">
        <f t="shared" si="226"/>
        <v>0</v>
      </c>
      <c r="IN100" s="17">
        <f t="shared" si="227"/>
        <v>0</v>
      </c>
      <c r="IO100" s="23">
        <f>SUM(IH$5:IH100)</f>
        <v>51284</v>
      </c>
      <c r="IP100" s="14">
        <f>SUM(II$5:II100)</f>
        <v>112595</v>
      </c>
      <c r="IQ100" s="14">
        <f>SUM(IJ$5:IJ100)</f>
        <v>54140</v>
      </c>
      <c r="IR100" s="17">
        <f t="shared" si="228"/>
        <v>0.21851897617698315</v>
      </c>
      <c r="IS100" s="17">
        <f t="shared" si="229"/>
        <v>0.47976257941360695</v>
      </c>
      <c r="IT100" s="17">
        <f t="shared" si="230"/>
        <v>0.23068827256496896</v>
      </c>
      <c r="IW100" s="13">
        <v>96</v>
      </c>
      <c r="IX100" s="14">
        <f>MATCH(IW100-1,属性投放!$T$6:$T$66,1)</f>
        <v>17</v>
      </c>
      <c r="IY100" s="14">
        <f>MATCH(IW100-1,属性投放!$AD$7:$AD$26,1)</f>
        <v>13</v>
      </c>
      <c r="IZ100" s="14" t="str">
        <f>INDEX(属性投放!$AB$7:$AB$26,IY100)</f>
        <v>焦热</v>
      </c>
      <c r="JA100" s="14">
        <f t="shared" si="231"/>
        <v>4474</v>
      </c>
      <c r="JB100" s="14">
        <f t="shared" si="232"/>
        <v>2188</v>
      </c>
      <c r="JC100" s="14">
        <f t="shared" si="233"/>
        <v>36531</v>
      </c>
      <c r="JD100" s="14">
        <f t="shared" si="234"/>
        <v>151</v>
      </c>
      <c r="JE100" s="14">
        <f t="shared" si="235"/>
        <v>76</v>
      </c>
      <c r="JF100" s="14">
        <f t="shared" si="236"/>
        <v>1510</v>
      </c>
      <c r="JG100" s="14">
        <f>INDEX(属性投放!$DC$6:$DC$85,卡牌属性!IY100)</f>
        <v>85</v>
      </c>
      <c r="JH100" s="14">
        <f t="shared" si="237"/>
        <v>6135</v>
      </c>
      <c r="JI100" s="14">
        <f t="shared" si="238"/>
        <v>3024</v>
      </c>
      <c r="JJ100" s="14">
        <f t="shared" si="239"/>
        <v>53141</v>
      </c>
      <c r="JK100" s="14">
        <f t="shared" si="240"/>
        <v>114056</v>
      </c>
    </row>
    <row r="101" spans="31:271" ht="16.5" x14ac:dyDescent="0.2">
      <c r="AE101" s="13">
        <v>97</v>
      </c>
      <c r="AF101" s="13">
        <f t="shared" si="188"/>
        <v>5</v>
      </c>
      <c r="AG101" s="13">
        <f t="shared" si="169"/>
        <v>4</v>
      </c>
      <c r="AH101" s="13"/>
      <c r="AI101" s="13"/>
      <c r="AJ101" s="14">
        <f t="shared" si="170"/>
        <v>1101005</v>
      </c>
      <c r="AK101" s="14" t="str">
        <f t="shared" si="171"/>
        <v>刘羽禅17突</v>
      </c>
      <c r="AL101" s="25" t="s">
        <v>142</v>
      </c>
      <c r="AM101" s="14">
        <v>1</v>
      </c>
      <c r="AN101" s="14">
        <f t="shared" si="172"/>
        <v>17</v>
      </c>
      <c r="AO101" s="14">
        <f>INDEX(属性投放!$DF$6:$DF$85,(卡牌属性!AG101-2)*20+卡牌属性!AN101)</f>
        <v>14867</v>
      </c>
      <c r="AP101" s="14">
        <f t="shared" si="241"/>
        <v>14867</v>
      </c>
      <c r="AQ101" s="14">
        <f t="shared" si="241"/>
        <v>14867</v>
      </c>
      <c r="AR101" s="14">
        <f t="shared" si="241"/>
        <v>14867</v>
      </c>
      <c r="AS101" s="14">
        <f t="shared" si="241"/>
        <v>14867</v>
      </c>
      <c r="AT101" s="14">
        <f>INDEX(属性投放!$DG$6:$DG$85,(卡牌属性!AG101-2)*20+卡牌属性!AN101)</f>
        <v>7352</v>
      </c>
      <c r="AU101" s="14">
        <f t="shared" si="242"/>
        <v>7352</v>
      </c>
      <c r="AV101" s="14">
        <f t="shared" si="242"/>
        <v>7352</v>
      </c>
      <c r="AW101" s="14">
        <f t="shared" si="242"/>
        <v>7352</v>
      </c>
      <c r="AX101" s="14">
        <f t="shared" si="242"/>
        <v>7352</v>
      </c>
      <c r="AY101" s="14">
        <f>INDEX(属性投放!$DH$6:$DH$85,(卡牌属性!AG101-2)*20+卡牌属性!AN101)</f>
        <v>134858</v>
      </c>
      <c r="AZ101" s="14">
        <f t="shared" si="243"/>
        <v>134858</v>
      </c>
      <c r="BA101" s="14">
        <f t="shared" si="243"/>
        <v>134858</v>
      </c>
      <c r="BB101" s="14">
        <f t="shared" si="243"/>
        <v>134858</v>
      </c>
      <c r="BC101" s="14">
        <f t="shared" si="243"/>
        <v>134858</v>
      </c>
      <c r="BD101" s="14">
        <f>INDEX(属性投放!$DL$6:$DL$85,(卡牌属性!AG101-2)*20+卡牌属性!AN101)</f>
        <v>284</v>
      </c>
      <c r="BE101" s="14">
        <f t="shared" si="244"/>
        <v>284</v>
      </c>
      <c r="BF101" s="14">
        <f t="shared" si="244"/>
        <v>284</v>
      </c>
      <c r="BG101" s="14">
        <f t="shared" si="244"/>
        <v>284</v>
      </c>
      <c r="BH101" s="14">
        <f t="shared" si="244"/>
        <v>284</v>
      </c>
      <c r="BI101" s="14">
        <f>INDEX(属性投放!$DM$6:$DM$85,(卡牌属性!AG101-2)*20+卡牌属性!AN101)</f>
        <v>142</v>
      </c>
      <c r="BJ101" s="14">
        <f t="shared" si="245"/>
        <v>142</v>
      </c>
      <c r="BK101" s="14">
        <f t="shared" si="245"/>
        <v>142</v>
      </c>
      <c r="BL101" s="14">
        <f t="shared" si="245"/>
        <v>142</v>
      </c>
      <c r="BM101" s="14">
        <f t="shared" si="245"/>
        <v>142</v>
      </c>
      <c r="BN101" s="14">
        <f>INDEX(属性投放!$DN$6:$DN$85,(卡牌属性!AG101-2)*20+卡牌属性!AN101)</f>
        <v>2845</v>
      </c>
      <c r="BO101" s="14">
        <f t="shared" si="246"/>
        <v>2845</v>
      </c>
      <c r="BP101" s="14">
        <f t="shared" si="246"/>
        <v>2845</v>
      </c>
      <c r="BQ101" s="14">
        <f t="shared" si="246"/>
        <v>2845</v>
      </c>
      <c r="BR101" s="14">
        <f t="shared" si="246"/>
        <v>2845</v>
      </c>
      <c r="BW101" s="13">
        <v>97</v>
      </c>
      <c r="BX101" s="13">
        <f t="shared" si="173"/>
        <v>5</v>
      </c>
      <c r="BY101" s="14">
        <f t="shared" si="174"/>
        <v>3</v>
      </c>
      <c r="BZ101" s="14">
        <f t="shared" si="189"/>
        <v>1102005</v>
      </c>
      <c r="CA101" s="14" t="str">
        <f t="shared" si="190"/>
        <v>李轩辕17突</v>
      </c>
      <c r="CB101" s="25" t="s">
        <v>142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INDEX(属性投放!$AZ$6:$AZ$85,(BY101-2)*20+CD101)</f>
        <v>12976</v>
      </c>
      <c r="CG101" s="14" t="s">
        <v>22</v>
      </c>
      <c r="CH101" s="14">
        <f>INDEX(属性投放!$BA$6:$BA$85,(BY101-2)*20+CD101)</f>
        <v>6449</v>
      </c>
      <c r="CI101" s="14" t="s">
        <v>510</v>
      </c>
      <c r="CJ101" s="14">
        <f>INDEX(属性投放!$BB$6:$BB$85,(BY101-2)*20+CD101)</f>
        <v>118940</v>
      </c>
      <c r="CK101" s="14" t="s">
        <v>21</v>
      </c>
      <c r="CL101" s="14">
        <f>INDEX(属性投放!$BC$6:$BC$85,(BY101-2)*20+CD101)</f>
        <v>30</v>
      </c>
      <c r="CM101" s="14" t="s">
        <v>22</v>
      </c>
      <c r="CN101" s="14">
        <f>INDEX(属性投放!$BD$6:$BD$85,(BY101-2)*20+CD101)</f>
        <v>15</v>
      </c>
      <c r="CO101" s="14" t="s">
        <v>510</v>
      </c>
      <c r="CP101" s="14">
        <f>INDEX(属性投放!$BE$6:$BE$85,(BY101-2)*20+CD101)</f>
        <v>300</v>
      </c>
      <c r="CS101" s="13">
        <v>97</v>
      </c>
      <c r="CT101" s="13">
        <f t="shared" si="191"/>
        <v>2</v>
      </c>
      <c r="CU101" s="13">
        <f t="shared" si="192"/>
        <v>45</v>
      </c>
      <c r="CV101" s="14">
        <f t="shared" si="193"/>
        <v>3</v>
      </c>
      <c r="CW101" s="14">
        <f t="shared" si="194"/>
        <v>1102002</v>
      </c>
      <c r="CX101" s="14" t="str">
        <f>INDEX($O$6:$O$50,CT101)&amp;"-"&amp;INDEX(属性投放!$AB$7:$AB$50,CZ101)&amp;"-魂火-"&amp;DB101</f>
        <v>许褚-大焦热+2-魂火-3</v>
      </c>
      <c r="CY101" s="25" t="s">
        <v>142</v>
      </c>
      <c r="CZ101" s="14">
        <f>INDEX(属性投放!$AM$7:$AM$58,CU101)</f>
        <v>18</v>
      </c>
      <c r="DA101" s="14" t="s">
        <v>537</v>
      </c>
      <c r="DB101" s="14">
        <f>INDEX(属性投放!$AN$7:$AN$58,CU101)</f>
        <v>3</v>
      </c>
      <c r="DC101" s="14">
        <f t="shared" si="176"/>
        <v>45</v>
      </c>
      <c r="DD101" s="14">
        <f>INDEX(属性投放!$AO$7:$AO$58,DC101)</f>
        <v>130</v>
      </c>
      <c r="DE101" s="14" t="s">
        <v>538</v>
      </c>
      <c r="DF101" s="14">
        <f>INDEX(属性投放!$BK$6:$BK$85,(CV101-2)*20+CZ101)</f>
        <v>700</v>
      </c>
      <c r="DG101" s="14">
        <f>SUMIFS(DF$5:DF101,$CT$5:$CT101,"="&amp;$CT101)</f>
        <v>10670</v>
      </c>
      <c r="DH101" s="14" t="s">
        <v>539</v>
      </c>
      <c r="DI101" s="14">
        <f>INDEX(属性投放!$BL$6:$BL$85,(CV101-2)*20+CZ101)</f>
        <v>350</v>
      </c>
      <c r="DJ101" s="14">
        <f>SUMIFS(DI$5:DI101,$CT$5:$CT101,"="&amp;$CT101)</f>
        <v>5338</v>
      </c>
      <c r="DK101" s="14" t="s">
        <v>540</v>
      </c>
      <c r="DL101" s="14">
        <f>INDEX(属性投放!$BM$6:$BM$85,(CV101-2)*20+CZ101)</f>
        <v>7000</v>
      </c>
      <c r="DM101" s="14">
        <f>SUMIFS(DL$5:DL101,$CT$5:$CT101,"="&amp;$CT101)</f>
        <v>102740</v>
      </c>
      <c r="DR101" s="14">
        <f t="shared" si="177"/>
        <v>1102005</v>
      </c>
      <c r="DS101" s="14" t="str">
        <f t="shared" si="178"/>
        <v>李轩辕17突</v>
      </c>
      <c r="DT101" s="14">
        <f t="shared" si="195"/>
        <v>4</v>
      </c>
      <c r="DU101" s="14">
        <f t="shared" si="196"/>
        <v>5</v>
      </c>
      <c r="DV101" s="14">
        <f t="shared" si="197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INDEX(属性投放!$AX$6:$AX$85,(卡牌属性!DW101-2)*20+卡牌属性!DX101)</f>
        <v>8</v>
      </c>
      <c r="EA101" s="14">
        <f>INDEX(属性投放!BQ$6:BQ$85,卡牌属性!$DY101)</f>
        <v>900</v>
      </c>
      <c r="EB101" s="14">
        <f>INDEX(属性投放!BR$6:BR$85,卡牌属性!$DY101)</f>
        <v>450</v>
      </c>
      <c r="EC101" s="14">
        <f>INDEX(属性投放!BS$6:BS$85,卡牌属性!$DY101)</f>
        <v>9000</v>
      </c>
      <c r="ED101" s="14">
        <f t="shared" si="248"/>
        <v>5775</v>
      </c>
      <c r="EE101" s="14">
        <f t="shared" si="249"/>
        <v>6206</v>
      </c>
      <c r="EF101" s="14">
        <f t="shared" si="250"/>
        <v>6399</v>
      </c>
      <c r="EG101" s="14">
        <f t="shared" si="251"/>
        <v>6399</v>
      </c>
      <c r="EH101" s="14">
        <f t="shared" si="252"/>
        <v>7433</v>
      </c>
      <c r="EI101" s="14">
        <f t="shared" si="253"/>
        <v>3081</v>
      </c>
      <c r="EJ101" s="14">
        <f t="shared" si="254"/>
        <v>3180</v>
      </c>
      <c r="EK101" s="14">
        <f t="shared" si="255"/>
        <v>3180</v>
      </c>
      <c r="EL101" s="14">
        <f t="shared" si="256"/>
        <v>3688</v>
      </c>
      <c r="EM101" s="14">
        <f t="shared" si="257"/>
        <v>3947</v>
      </c>
      <c r="EN101" s="14">
        <f t="shared" si="258"/>
        <v>56714</v>
      </c>
      <c r="EO101" s="14">
        <f t="shared" si="259"/>
        <v>65698</v>
      </c>
      <c r="EP101" s="14">
        <f t="shared" si="260"/>
        <v>65698</v>
      </c>
      <c r="EQ101" s="14">
        <f t="shared" si="261"/>
        <v>69742</v>
      </c>
      <c r="ER101" s="14">
        <f t="shared" si="262"/>
        <v>74290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INDEX(属性投放!$BQ$6:$BQ$85,(卡牌属性!$DW101-2)*20+卡牌属性!$DX101)</f>
        <v>900</v>
      </c>
      <c r="FI101" s="14">
        <f>INDEX(属性投放!$BQ$6:$BQ$85,(卡牌属性!$DW101-2)*20+卡牌属性!$DX101)</f>
        <v>900</v>
      </c>
      <c r="FJ101" s="14">
        <f>INDEX(属性投放!$BQ$6:$BQ$85,(卡牌属性!$DW101-2)*20+卡牌属性!$DX101)</f>
        <v>900</v>
      </c>
      <c r="FK101" s="14">
        <f>INDEX(属性投放!$BQ$6:$BQ$85,(卡牌属性!$DW101-2)*20+卡牌属性!$DX101)</f>
        <v>900</v>
      </c>
      <c r="FL101" s="14">
        <f>INDEX(属性投放!$BQ$6:$BQ$85,(卡牌属性!$DW101-2)*20+卡牌属性!$DX101)</f>
        <v>900</v>
      </c>
      <c r="FM101" s="14">
        <f>INDEX(属性投放!$BR$6:$BR$85,(卡牌属性!$DW101-2)*20+卡牌属性!$DX101)</f>
        <v>450</v>
      </c>
      <c r="FN101" s="14">
        <f>INDEX(属性投放!$BR$6:$BR$85,(卡牌属性!$DW101-2)*20+卡牌属性!$DX101)</f>
        <v>450</v>
      </c>
      <c r="FO101" s="14">
        <f>INDEX(属性投放!$BR$6:$BR$85,(卡牌属性!$DW101-2)*20+卡牌属性!$DX101)</f>
        <v>450</v>
      </c>
      <c r="FP101" s="14">
        <f>INDEX(属性投放!$BR$6:$BR$85,(卡牌属性!$DW101-2)*20+卡牌属性!$DX101)</f>
        <v>450</v>
      </c>
      <c r="FQ101" s="14">
        <f>INDEX(属性投放!$BR$6:$BR$85,(卡牌属性!$DW101-2)*20+卡牌属性!$DX101)</f>
        <v>450</v>
      </c>
      <c r="FR101" s="14">
        <f>INDEX(属性投放!$BS$6:$BS$85,(卡牌属性!$DW101-2)*20+卡牌属性!$DX101)</f>
        <v>9000</v>
      </c>
      <c r="FS101" s="14">
        <f>INDEX(属性投放!$BS$6:$BS$85,(卡牌属性!$DW101-2)*20+卡牌属性!$DX101)</f>
        <v>9000</v>
      </c>
      <c r="FT101" s="14">
        <f>INDEX(属性投放!$BS$6:$BS$85,(卡牌属性!$DW101-2)*20+卡牌属性!$DX101)</f>
        <v>9000</v>
      </c>
      <c r="FU101" s="14">
        <f>INDEX(属性投放!$BS$6:$BS$85,(卡牌属性!$DW101-2)*20+卡牌属性!$DX101)</f>
        <v>9000</v>
      </c>
      <c r="FV101" s="14">
        <f>INDEX(属性投放!$BS$6:$BS$85,(卡牌属性!$DW101-2)*20+卡牌属性!$DX101)</f>
        <v>9000</v>
      </c>
      <c r="FZ101" s="13">
        <v>97</v>
      </c>
      <c r="GA101" s="13">
        <f t="shared" ref="GA101:GA114" si="264">INT((FZ101-1)/5)+1</f>
        <v>20</v>
      </c>
      <c r="GB101" s="14">
        <f t="shared" si="198"/>
        <v>1102020</v>
      </c>
      <c r="GC101" s="14" t="s">
        <v>1187</v>
      </c>
      <c r="GD101" s="14">
        <f t="shared" ref="GD101:GD132" si="265">FZ101-(GA101-1)*5</f>
        <v>2</v>
      </c>
      <c r="GE101" s="14" t="str">
        <f t="shared" ref="GE101:GE132" si="266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3"/>
        <v>20</v>
      </c>
      <c r="GP101" s="14">
        <f t="shared" si="199"/>
        <v>1101023</v>
      </c>
      <c r="GQ101" s="14" t="s">
        <v>1187</v>
      </c>
      <c r="GR101" s="14">
        <f t="shared" ref="GR101:GR114" si="267">GN101-(GO101-1)*5</f>
        <v>2</v>
      </c>
      <c r="GS101" s="14" t="str">
        <f t="shared" ref="GS101:GS114" si="268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MATCH(HC101,属性投放!$AO$6:$AO$58,1)-1</f>
        <v>31</v>
      </c>
      <c r="HF101" s="13">
        <f>MATCH(HC101-1,属性投放!$AE$6:$AE$26,1)</f>
        <v>14</v>
      </c>
      <c r="HG101" s="13" t="str">
        <f>INDEX(属性投放!$AB$7:$AB$26,卡牌属性!HF101)</f>
        <v>焦热+1</v>
      </c>
      <c r="HH101" s="14">
        <f t="shared" si="200"/>
        <v>4793</v>
      </c>
      <c r="HI101" s="14">
        <f t="shared" si="201"/>
        <v>2013</v>
      </c>
      <c r="HJ101" s="14">
        <f t="shared" si="202"/>
        <v>32984</v>
      </c>
      <c r="HK101" s="14">
        <f t="shared" si="203"/>
        <v>40</v>
      </c>
      <c r="HL101" s="14">
        <f t="shared" si="204"/>
        <v>13</v>
      </c>
      <c r="HM101" s="14">
        <f t="shared" si="205"/>
        <v>260</v>
      </c>
      <c r="HN101" s="14">
        <f>HH101+HK101*($HC101-INDEX(属性投放!$AE$6:$AE$26,卡牌属性!$HF101))</f>
        <v>4873</v>
      </c>
      <c r="HO101" s="14">
        <f>HI101+HL101*($HC101-INDEX(属性投放!$AE$6:$AE$26,卡牌属性!$HF101))</f>
        <v>2039</v>
      </c>
      <c r="HP101" s="14">
        <f>HJ101+HM101*($HC101-INDEX(属性投放!$AE$6:$AE$26,卡牌属性!$HF101))</f>
        <v>33504</v>
      </c>
      <c r="HQ101" s="14">
        <f t="shared" si="206"/>
        <v>3900</v>
      </c>
      <c r="HR101" s="14">
        <f t="shared" si="207"/>
        <v>1958</v>
      </c>
      <c r="HS101" s="14">
        <f t="shared" si="208"/>
        <v>34435</v>
      </c>
      <c r="HT101" s="14">
        <f>IF(COUNTIF(属性投放!$AO$7:$AO$58,"="&amp;卡牌属性!HC101)&gt;0,卡牌属性!HE101,0)</f>
        <v>0</v>
      </c>
      <c r="HU101" s="14">
        <f t="shared" si="209"/>
        <v>0</v>
      </c>
      <c r="HV101" s="14">
        <f t="shared" si="210"/>
        <v>0</v>
      </c>
      <c r="HW101" s="14">
        <f t="shared" si="211"/>
        <v>0</v>
      </c>
      <c r="HX101" s="14">
        <f>IF(COUNTIF(属性投放!$AE$6:$AE$26,"="&amp;卡牌属性!HC101)&gt;0,卡牌属性!HF101,0)</f>
        <v>0</v>
      </c>
      <c r="HY101" s="14">
        <f t="shared" si="212"/>
        <v>0</v>
      </c>
      <c r="HZ101" s="14">
        <f t="shared" si="213"/>
        <v>0</v>
      </c>
      <c r="IA101" s="14">
        <f t="shared" si="214"/>
        <v>0</v>
      </c>
      <c r="IB101" s="14">
        <f t="shared" si="215"/>
        <v>40</v>
      </c>
      <c r="IC101" s="14">
        <f t="shared" si="216"/>
        <v>13</v>
      </c>
      <c r="ID101" s="14">
        <f t="shared" si="217"/>
        <v>260</v>
      </c>
      <c r="IE101" s="14">
        <f t="shared" si="218"/>
        <v>8773</v>
      </c>
      <c r="IF101" s="14">
        <f t="shared" si="219"/>
        <v>3997</v>
      </c>
      <c r="IG101" s="14">
        <f t="shared" si="220"/>
        <v>67939</v>
      </c>
      <c r="IH101" s="14">
        <f t="shared" si="221"/>
        <v>920</v>
      </c>
      <c r="II101" s="14">
        <f t="shared" si="222"/>
        <v>0</v>
      </c>
      <c r="IJ101" s="14">
        <f t="shared" si="223"/>
        <v>0</v>
      </c>
      <c r="IK101" s="14">
        <f t="shared" si="224"/>
        <v>235609</v>
      </c>
      <c r="IL101" s="17">
        <f t="shared" si="225"/>
        <v>3.9047744356115427E-3</v>
      </c>
      <c r="IM101" s="17">
        <f t="shared" si="226"/>
        <v>0</v>
      </c>
      <c r="IN101" s="17">
        <f t="shared" si="227"/>
        <v>0</v>
      </c>
      <c r="IO101" s="23">
        <f>SUM(IH$5:IH101)</f>
        <v>52204</v>
      </c>
      <c r="IP101" s="14">
        <f>SUM(II$5:II101)</f>
        <v>112595</v>
      </c>
      <c r="IQ101" s="14">
        <f>SUM(IJ$5:IJ101)</f>
        <v>54140</v>
      </c>
      <c r="IR101" s="17">
        <f t="shared" si="228"/>
        <v>0.22157048330072282</v>
      </c>
      <c r="IS101" s="17">
        <f t="shared" si="229"/>
        <v>0.47788921475834961</v>
      </c>
      <c r="IT101" s="17">
        <f t="shared" si="230"/>
        <v>0.22978748689566189</v>
      </c>
      <c r="IW101" s="13">
        <v>97</v>
      </c>
      <c r="IX101" s="14">
        <f>MATCH(IW101-1,属性投放!$T$6:$T$66,1)</f>
        <v>17</v>
      </c>
      <c r="IY101" s="14">
        <f>MATCH(IW101-1,属性投放!$AD$7:$AD$26,1)</f>
        <v>13</v>
      </c>
      <c r="IZ101" s="14" t="str">
        <f>INDEX(属性投放!$AB$7:$AB$26,IY101)</f>
        <v>焦热</v>
      </c>
      <c r="JA101" s="14">
        <f t="shared" si="231"/>
        <v>4474</v>
      </c>
      <c r="JB101" s="14">
        <f t="shared" si="232"/>
        <v>2188</v>
      </c>
      <c r="JC101" s="14">
        <f t="shared" si="233"/>
        <v>36531</v>
      </c>
      <c r="JD101" s="14">
        <f t="shared" si="234"/>
        <v>151</v>
      </c>
      <c r="JE101" s="14">
        <f t="shared" si="235"/>
        <v>76</v>
      </c>
      <c r="JF101" s="14">
        <f t="shared" si="236"/>
        <v>1510</v>
      </c>
      <c r="JG101" s="14">
        <f>INDEX(属性投放!$DC$6:$DC$85,卡牌属性!IY101)</f>
        <v>85</v>
      </c>
      <c r="JH101" s="14">
        <f t="shared" si="237"/>
        <v>6286</v>
      </c>
      <c r="JI101" s="14">
        <f t="shared" si="238"/>
        <v>3100</v>
      </c>
      <c r="JJ101" s="14">
        <f t="shared" si="239"/>
        <v>54651</v>
      </c>
      <c r="JK101" s="14">
        <f t="shared" si="240"/>
        <v>117081</v>
      </c>
    </row>
    <row r="102" spans="31:271" ht="16.5" x14ac:dyDescent="0.2">
      <c r="AE102" s="13">
        <v>98</v>
      </c>
      <c r="AF102" s="13">
        <f t="shared" si="188"/>
        <v>5</v>
      </c>
      <c r="AG102" s="13">
        <f t="shared" si="169"/>
        <v>4</v>
      </c>
      <c r="AH102" s="13"/>
      <c r="AI102" s="13"/>
      <c r="AJ102" s="14">
        <f t="shared" si="170"/>
        <v>1101005</v>
      </c>
      <c r="AK102" s="14" t="str">
        <f t="shared" si="171"/>
        <v>刘羽禅18突</v>
      </c>
      <c r="AL102" s="25" t="s">
        <v>142</v>
      </c>
      <c r="AM102" s="14">
        <v>1</v>
      </c>
      <c r="AN102" s="14">
        <f t="shared" si="172"/>
        <v>18</v>
      </c>
      <c r="AO102" s="14">
        <f>INDEX(属性投放!$DF$6:$DF$85,(卡牌属性!AG102-2)*20+卡牌属性!AN102)</f>
        <v>15883</v>
      </c>
      <c r="AP102" s="14">
        <f t="shared" si="241"/>
        <v>15883</v>
      </c>
      <c r="AQ102" s="14">
        <f t="shared" si="241"/>
        <v>15883</v>
      </c>
      <c r="AR102" s="14">
        <f t="shared" si="241"/>
        <v>15883</v>
      </c>
      <c r="AS102" s="14">
        <f t="shared" si="241"/>
        <v>15883</v>
      </c>
      <c r="AT102" s="14">
        <f>INDEX(属性投放!$DG$6:$DG$85,(卡牌属性!AG102-2)*20+卡牌属性!AN102)</f>
        <v>7860</v>
      </c>
      <c r="AU102" s="14">
        <f t="shared" si="242"/>
        <v>7860</v>
      </c>
      <c r="AV102" s="14">
        <f t="shared" si="242"/>
        <v>7860</v>
      </c>
      <c r="AW102" s="14">
        <f t="shared" si="242"/>
        <v>7860</v>
      </c>
      <c r="AX102" s="14">
        <f t="shared" si="242"/>
        <v>7860</v>
      </c>
      <c r="AY102" s="14">
        <f>INDEX(属性投放!$DH$6:$DH$85,(卡牌属性!AG102-2)*20+卡牌属性!AN102)</f>
        <v>145018</v>
      </c>
      <c r="AZ102" s="14">
        <f t="shared" si="243"/>
        <v>145018</v>
      </c>
      <c r="BA102" s="14">
        <f t="shared" si="243"/>
        <v>145018</v>
      </c>
      <c r="BB102" s="14">
        <f t="shared" si="243"/>
        <v>145018</v>
      </c>
      <c r="BC102" s="14">
        <f t="shared" si="243"/>
        <v>145018</v>
      </c>
      <c r="BD102" s="14">
        <f>INDEX(属性投放!$DL$6:$DL$85,(卡牌属性!AG102-2)*20+卡牌属性!AN102)</f>
        <v>284</v>
      </c>
      <c r="BE102" s="14">
        <f t="shared" si="244"/>
        <v>284</v>
      </c>
      <c r="BF102" s="14">
        <f t="shared" si="244"/>
        <v>284</v>
      </c>
      <c r="BG102" s="14">
        <f t="shared" si="244"/>
        <v>284</v>
      </c>
      <c r="BH102" s="14">
        <f t="shared" si="244"/>
        <v>284</v>
      </c>
      <c r="BI102" s="14">
        <f>INDEX(属性投放!$DM$6:$DM$85,(卡牌属性!AG102-2)*20+卡牌属性!AN102)</f>
        <v>142</v>
      </c>
      <c r="BJ102" s="14">
        <f t="shared" si="245"/>
        <v>142</v>
      </c>
      <c r="BK102" s="14">
        <f t="shared" si="245"/>
        <v>142</v>
      </c>
      <c r="BL102" s="14">
        <f t="shared" si="245"/>
        <v>142</v>
      </c>
      <c r="BM102" s="14">
        <f t="shared" si="245"/>
        <v>142</v>
      </c>
      <c r="BN102" s="14">
        <f>INDEX(属性投放!$DN$6:$DN$85,(卡牌属性!AG102-2)*20+卡牌属性!AN102)</f>
        <v>2845</v>
      </c>
      <c r="BO102" s="14">
        <f t="shared" si="246"/>
        <v>2845</v>
      </c>
      <c r="BP102" s="14">
        <f t="shared" si="246"/>
        <v>2845</v>
      </c>
      <c r="BQ102" s="14">
        <f t="shared" si="246"/>
        <v>2845</v>
      </c>
      <c r="BR102" s="14">
        <f t="shared" si="246"/>
        <v>2845</v>
      </c>
      <c r="BW102" s="13">
        <v>98</v>
      </c>
      <c r="BX102" s="13">
        <f t="shared" si="173"/>
        <v>5</v>
      </c>
      <c r="BY102" s="14">
        <f t="shared" si="174"/>
        <v>3</v>
      </c>
      <c r="BZ102" s="14">
        <f t="shared" si="189"/>
        <v>1102005</v>
      </c>
      <c r="CA102" s="14" t="str">
        <f t="shared" si="190"/>
        <v>李轩辕18突</v>
      </c>
      <c r="CB102" s="25" t="s">
        <v>142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INDEX(属性投放!$AZ$6:$AZ$85,(BY102-2)*20+CD102)</f>
        <v>15916</v>
      </c>
      <c r="CG102" s="14" t="s">
        <v>22</v>
      </c>
      <c r="CH102" s="14">
        <f>INDEX(属性投放!$BA$6:$BA$85,(BY102-2)*20+CD102)</f>
        <v>7919</v>
      </c>
      <c r="CI102" s="14" t="s">
        <v>510</v>
      </c>
      <c r="CJ102" s="14">
        <f>INDEX(属性投放!$BB$6:$BB$85,(BY102-2)*20+CD102)</f>
        <v>148340</v>
      </c>
      <c r="CK102" s="14" t="s">
        <v>21</v>
      </c>
      <c r="CL102" s="14">
        <f>INDEX(属性投放!$BC$6:$BC$85,(BY102-2)*20+CD102)</f>
        <v>30</v>
      </c>
      <c r="CM102" s="14" t="s">
        <v>22</v>
      </c>
      <c r="CN102" s="14">
        <f>INDEX(属性投放!$BD$6:$BD$85,(BY102-2)*20+CD102)</f>
        <v>15</v>
      </c>
      <c r="CO102" s="14" t="s">
        <v>510</v>
      </c>
      <c r="CP102" s="14">
        <f>INDEX(属性投放!$BE$6:$BE$85,(BY102-2)*20+CD102)</f>
        <v>300</v>
      </c>
      <c r="CS102" s="13">
        <v>98</v>
      </c>
      <c r="CT102" s="13">
        <f t="shared" si="191"/>
        <v>2</v>
      </c>
      <c r="CU102" s="13">
        <f t="shared" si="192"/>
        <v>46</v>
      </c>
      <c r="CV102" s="14">
        <f t="shared" si="193"/>
        <v>3</v>
      </c>
      <c r="CW102" s="14">
        <f t="shared" si="194"/>
        <v>1102002</v>
      </c>
      <c r="CX102" s="14" t="str">
        <f>INDEX($O$6:$O$50,CT102)&amp;"-"&amp;INDEX(属性投放!$AB$7:$AB$50,CZ102)&amp;"-魂火-"&amp;DB102</f>
        <v>许褚-无间-魂火-1</v>
      </c>
      <c r="CY102" s="25" t="s">
        <v>142</v>
      </c>
      <c r="CZ102" s="14">
        <f>INDEX(属性投放!$AM$7:$AM$58,CU102)</f>
        <v>19</v>
      </c>
      <c r="DA102" s="14" t="s">
        <v>537</v>
      </c>
      <c r="DB102" s="14">
        <f>INDEX(属性投放!$AN$7:$AN$58,CU102)</f>
        <v>1</v>
      </c>
      <c r="DC102" s="14">
        <f t="shared" si="176"/>
        <v>46</v>
      </c>
      <c r="DD102" s="14">
        <f>INDEX(属性投放!$AO$7:$AO$58,DC102)</f>
        <v>133</v>
      </c>
      <c r="DE102" s="14" t="s">
        <v>538</v>
      </c>
      <c r="DF102" s="14">
        <f>INDEX(属性投放!$BK$6:$BK$85,(CV102-2)*20+CZ102)</f>
        <v>900</v>
      </c>
      <c r="DG102" s="14">
        <f>SUMIFS(DF$5:DF102,$CT$5:$CT102,"="&amp;$CT102)</f>
        <v>11570</v>
      </c>
      <c r="DH102" s="14" t="s">
        <v>539</v>
      </c>
      <c r="DI102" s="14">
        <f>INDEX(属性投放!$BL$6:$BL$85,(CV102-2)*20+CZ102)</f>
        <v>450</v>
      </c>
      <c r="DJ102" s="14">
        <f>SUMIFS(DI$5:DI102,$CT$5:$CT102,"="&amp;$CT102)</f>
        <v>5788</v>
      </c>
      <c r="DK102" s="14" t="s">
        <v>540</v>
      </c>
      <c r="DL102" s="14">
        <f>INDEX(属性投放!$BM$6:$BM$85,(CV102-2)*20+CZ102)</f>
        <v>9000</v>
      </c>
      <c r="DM102" s="14">
        <f>SUMIFS(DL$5:DL102,$CT$5:$CT102,"="&amp;$CT102)</f>
        <v>111740</v>
      </c>
      <c r="DR102" s="14">
        <f t="shared" si="177"/>
        <v>1102005</v>
      </c>
      <c r="DS102" s="14" t="str">
        <f t="shared" si="178"/>
        <v>李轩辕18突</v>
      </c>
      <c r="DT102" s="14">
        <f t="shared" si="195"/>
        <v>4</v>
      </c>
      <c r="DU102" s="14">
        <f t="shared" si="196"/>
        <v>5</v>
      </c>
      <c r="DV102" s="14">
        <f t="shared" si="197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INDEX(属性投放!$AX$6:$AX$85,(卡牌属性!DW102-2)*20+卡牌属性!DX102)</f>
        <v>7</v>
      </c>
      <c r="EA102" s="14">
        <f>INDEX(属性投放!BQ$6:BQ$85,卡牌属性!$DY102)</f>
        <v>1500</v>
      </c>
      <c r="EB102" s="14">
        <f>INDEX(属性投放!BR$6:BR$85,卡牌属性!$DY102)</f>
        <v>750</v>
      </c>
      <c r="EC102" s="14">
        <f>INDEX(属性投放!BS$6:BS$85,卡牌属性!$DY102)</f>
        <v>15000</v>
      </c>
      <c r="ED102" s="14">
        <f t="shared" si="248"/>
        <v>6875</v>
      </c>
      <c r="EE102" s="14">
        <f t="shared" si="249"/>
        <v>7346</v>
      </c>
      <c r="EF102" s="14">
        <f t="shared" si="250"/>
        <v>7579</v>
      </c>
      <c r="EG102" s="14">
        <f t="shared" si="251"/>
        <v>7579</v>
      </c>
      <c r="EH102" s="14">
        <f t="shared" si="252"/>
        <v>8733</v>
      </c>
      <c r="EI102" s="14">
        <f t="shared" si="253"/>
        <v>3651</v>
      </c>
      <c r="EJ102" s="14">
        <f t="shared" si="254"/>
        <v>3774</v>
      </c>
      <c r="EK102" s="14">
        <f t="shared" si="255"/>
        <v>3774</v>
      </c>
      <c r="EL102" s="14">
        <f t="shared" si="256"/>
        <v>4338</v>
      </c>
      <c r="EM102" s="14">
        <f t="shared" si="257"/>
        <v>4637</v>
      </c>
      <c r="EN102" s="14">
        <f t="shared" si="258"/>
        <v>68514</v>
      </c>
      <c r="EO102" s="14">
        <f t="shared" si="259"/>
        <v>78698</v>
      </c>
      <c r="EP102" s="14">
        <f t="shared" si="260"/>
        <v>78698</v>
      </c>
      <c r="EQ102" s="14">
        <f t="shared" si="261"/>
        <v>83542</v>
      </c>
      <c r="ER102" s="14">
        <f t="shared" si="262"/>
        <v>89290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INDEX(属性投放!$BQ$6:$BQ$85,(卡牌属性!$DW102-2)*20+卡牌属性!$DX102)</f>
        <v>1500</v>
      </c>
      <c r="FI102" s="14">
        <f>INDEX(属性投放!$BQ$6:$BQ$85,(卡牌属性!$DW102-2)*20+卡牌属性!$DX102)</f>
        <v>1500</v>
      </c>
      <c r="FJ102" s="14">
        <f>INDEX(属性投放!$BQ$6:$BQ$85,(卡牌属性!$DW102-2)*20+卡牌属性!$DX102)</f>
        <v>1500</v>
      </c>
      <c r="FK102" s="14">
        <f>INDEX(属性投放!$BQ$6:$BQ$85,(卡牌属性!$DW102-2)*20+卡牌属性!$DX102)</f>
        <v>1500</v>
      </c>
      <c r="FL102" s="14">
        <f>INDEX(属性投放!$BQ$6:$BQ$85,(卡牌属性!$DW102-2)*20+卡牌属性!$DX102)</f>
        <v>1500</v>
      </c>
      <c r="FM102" s="14">
        <f>INDEX(属性投放!$BR$6:$BR$85,(卡牌属性!$DW102-2)*20+卡牌属性!$DX102)</f>
        <v>750</v>
      </c>
      <c r="FN102" s="14">
        <f>INDEX(属性投放!$BR$6:$BR$85,(卡牌属性!$DW102-2)*20+卡牌属性!$DX102)</f>
        <v>750</v>
      </c>
      <c r="FO102" s="14">
        <f>INDEX(属性投放!$BR$6:$BR$85,(卡牌属性!$DW102-2)*20+卡牌属性!$DX102)</f>
        <v>750</v>
      </c>
      <c r="FP102" s="14">
        <f>INDEX(属性投放!$BR$6:$BR$85,(卡牌属性!$DW102-2)*20+卡牌属性!$DX102)</f>
        <v>750</v>
      </c>
      <c r="FQ102" s="14">
        <f>INDEX(属性投放!$BR$6:$BR$85,(卡牌属性!$DW102-2)*20+卡牌属性!$DX102)</f>
        <v>750</v>
      </c>
      <c r="FR102" s="14">
        <f>INDEX(属性投放!$BS$6:$BS$85,(卡牌属性!$DW102-2)*20+卡牌属性!$DX102)</f>
        <v>15000</v>
      </c>
      <c r="FS102" s="14">
        <f>INDEX(属性投放!$BS$6:$BS$85,(卡牌属性!$DW102-2)*20+卡牌属性!$DX102)</f>
        <v>15000</v>
      </c>
      <c r="FT102" s="14">
        <f>INDEX(属性投放!$BS$6:$BS$85,(卡牌属性!$DW102-2)*20+卡牌属性!$DX102)</f>
        <v>15000</v>
      </c>
      <c r="FU102" s="14">
        <f>INDEX(属性投放!$BS$6:$BS$85,(卡牌属性!$DW102-2)*20+卡牌属性!$DX102)</f>
        <v>15000</v>
      </c>
      <c r="FV102" s="14">
        <f>INDEX(属性投放!$BS$6:$BS$85,(卡牌属性!$DW102-2)*20+卡牌属性!$DX102)</f>
        <v>15000</v>
      </c>
      <c r="FZ102" s="13">
        <v>98</v>
      </c>
      <c r="GA102" s="13">
        <f t="shared" si="264"/>
        <v>20</v>
      </c>
      <c r="GB102" s="14">
        <f t="shared" si="198"/>
        <v>1102020</v>
      </c>
      <c r="GC102" s="14" t="s">
        <v>1187</v>
      </c>
      <c r="GD102" s="14">
        <f t="shared" si="265"/>
        <v>3</v>
      </c>
      <c r="GE102" s="14" t="str">
        <f t="shared" si="266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3"/>
        <v>20</v>
      </c>
      <c r="GP102" s="14">
        <f t="shared" si="199"/>
        <v>1101023</v>
      </c>
      <c r="GQ102" s="14" t="s">
        <v>1187</v>
      </c>
      <c r="GR102" s="14">
        <f t="shared" si="267"/>
        <v>3</v>
      </c>
      <c r="GS102" s="14" t="str">
        <f t="shared" si="268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MATCH(HC102,属性投放!$AO$6:$AO$58,1)-1</f>
        <v>32</v>
      </c>
      <c r="HF102" s="13">
        <f>MATCH(HC102-1,属性投放!$AE$6:$AE$26,1)</f>
        <v>14</v>
      </c>
      <c r="HG102" s="13" t="str">
        <f>INDEX(属性投放!$AB$7:$AB$26,卡牌属性!HF102)</f>
        <v>焦热+1</v>
      </c>
      <c r="HH102" s="14">
        <f t="shared" si="200"/>
        <v>4793</v>
      </c>
      <c r="HI102" s="14">
        <f t="shared" si="201"/>
        <v>2013</v>
      </c>
      <c r="HJ102" s="14">
        <f t="shared" si="202"/>
        <v>32984</v>
      </c>
      <c r="HK102" s="14">
        <f t="shared" si="203"/>
        <v>40</v>
      </c>
      <c r="HL102" s="14">
        <f t="shared" si="204"/>
        <v>13</v>
      </c>
      <c r="HM102" s="14">
        <f t="shared" si="205"/>
        <v>260</v>
      </c>
      <c r="HN102" s="14">
        <f>HH102+HK102*($HC102-INDEX(属性投放!$AE$6:$AE$26,卡牌属性!$HF102))</f>
        <v>4913</v>
      </c>
      <c r="HO102" s="14">
        <f>HI102+HL102*($HC102-INDEX(属性投放!$AE$6:$AE$26,卡牌属性!$HF102))</f>
        <v>2052</v>
      </c>
      <c r="HP102" s="14">
        <f>HJ102+HM102*($HC102-INDEX(属性投放!$AE$6:$AE$26,卡牌属性!$HF102))</f>
        <v>33764</v>
      </c>
      <c r="HQ102" s="14">
        <f t="shared" si="206"/>
        <v>4220</v>
      </c>
      <c r="HR102" s="14">
        <f t="shared" si="207"/>
        <v>2118</v>
      </c>
      <c r="HS102" s="14">
        <f t="shared" si="208"/>
        <v>37635</v>
      </c>
      <c r="HT102" s="14">
        <f>IF(COUNTIF(属性投放!$AO$7:$AO$58,"="&amp;卡牌属性!HC102)&gt;0,卡牌属性!HE102,0)</f>
        <v>32</v>
      </c>
      <c r="HU102" s="14">
        <f t="shared" si="209"/>
        <v>320</v>
      </c>
      <c r="HV102" s="14">
        <f t="shared" si="210"/>
        <v>160</v>
      </c>
      <c r="HW102" s="14">
        <f t="shared" si="211"/>
        <v>3200</v>
      </c>
      <c r="HX102" s="14">
        <f>IF(COUNTIF(属性投放!$AE$6:$AE$26,"="&amp;卡牌属性!HC102)&gt;0,卡牌属性!HF102,0)</f>
        <v>0</v>
      </c>
      <c r="HY102" s="14">
        <f t="shared" si="212"/>
        <v>0</v>
      </c>
      <c r="HZ102" s="14">
        <f t="shared" si="213"/>
        <v>0</v>
      </c>
      <c r="IA102" s="14">
        <f t="shared" si="214"/>
        <v>0</v>
      </c>
      <c r="IB102" s="14">
        <f t="shared" si="215"/>
        <v>40</v>
      </c>
      <c r="IC102" s="14">
        <f t="shared" si="216"/>
        <v>13</v>
      </c>
      <c r="ID102" s="14">
        <f t="shared" si="217"/>
        <v>260</v>
      </c>
      <c r="IE102" s="14">
        <f t="shared" si="218"/>
        <v>9133</v>
      </c>
      <c r="IF102" s="14">
        <f t="shared" si="219"/>
        <v>4170</v>
      </c>
      <c r="IG102" s="14">
        <f t="shared" si="220"/>
        <v>71399</v>
      </c>
      <c r="IH102" s="14">
        <f t="shared" si="221"/>
        <v>920</v>
      </c>
      <c r="II102" s="14">
        <f t="shared" si="222"/>
        <v>9600</v>
      </c>
      <c r="IJ102" s="14">
        <f t="shared" si="223"/>
        <v>0</v>
      </c>
      <c r="IK102" s="14">
        <f t="shared" si="224"/>
        <v>246129</v>
      </c>
      <c r="IL102" s="17">
        <f t="shared" si="225"/>
        <v>3.73787729198916E-3</v>
      </c>
      <c r="IM102" s="17">
        <f t="shared" si="226"/>
        <v>3.9003936959886888E-2</v>
      </c>
      <c r="IN102" s="17">
        <f t="shared" si="227"/>
        <v>0</v>
      </c>
      <c r="IO102" s="23">
        <f>SUM(IH$5:IH102)</f>
        <v>53124</v>
      </c>
      <c r="IP102" s="14">
        <f>SUM(II$5:II102)</f>
        <v>122195</v>
      </c>
      <c r="IQ102" s="14">
        <f>SUM(IJ$5:IJ102)</f>
        <v>54140</v>
      </c>
      <c r="IR102" s="17">
        <f t="shared" si="228"/>
        <v>0.21583803615177408</v>
      </c>
      <c r="IS102" s="17">
        <f t="shared" si="229"/>
        <v>0.49646729966806025</v>
      </c>
      <c r="IT102" s="17">
        <f t="shared" si="230"/>
        <v>0.21996595281336209</v>
      </c>
      <c r="IW102" s="13">
        <v>98</v>
      </c>
      <c r="IX102" s="14">
        <f>MATCH(IW102-1,属性投放!$T$6:$T$66,1)</f>
        <v>18</v>
      </c>
      <c r="IY102" s="14">
        <f>MATCH(IW102-1,属性投放!$AD$7:$AD$26,1)</f>
        <v>13</v>
      </c>
      <c r="IZ102" s="14" t="str">
        <f>INDEX(属性投放!$AB$7:$AB$26,IY102)</f>
        <v>焦热</v>
      </c>
      <c r="JA102" s="14">
        <f t="shared" si="231"/>
        <v>4474</v>
      </c>
      <c r="JB102" s="14">
        <f t="shared" si="232"/>
        <v>2188</v>
      </c>
      <c r="JC102" s="14">
        <f t="shared" si="233"/>
        <v>36531</v>
      </c>
      <c r="JD102" s="14">
        <f t="shared" si="234"/>
        <v>151</v>
      </c>
      <c r="JE102" s="14">
        <f t="shared" si="235"/>
        <v>76</v>
      </c>
      <c r="JF102" s="14">
        <f t="shared" si="236"/>
        <v>1510</v>
      </c>
      <c r="JG102" s="14">
        <f>INDEX(属性投放!$DC$6:$DC$85,卡牌属性!IY102)</f>
        <v>85</v>
      </c>
      <c r="JH102" s="14">
        <f t="shared" si="237"/>
        <v>6437</v>
      </c>
      <c r="JI102" s="14">
        <f t="shared" si="238"/>
        <v>3176</v>
      </c>
      <c r="JJ102" s="14">
        <f t="shared" si="239"/>
        <v>56161</v>
      </c>
      <c r="JK102" s="14">
        <f t="shared" si="240"/>
        <v>120106</v>
      </c>
    </row>
    <row r="103" spans="31:271" ht="16.5" x14ac:dyDescent="0.2">
      <c r="AE103" s="13">
        <v>99</v>
      </c>
      <c r="AF103" s="13">
        <f t="shared" si="188"/>
        <v>5</v>
      </c>
      <c r="AG103" s="13">
        <f t="shared" si="169"/>
        <v>4</v>
      </c>
      <c r="AH103" s="13"/>
      <c r="AI103" s="13"/>
      <c r="AJ103" s="14">
        <f t="shared" si="170"/>
        <v>1101005</v>
      </c>
      <c r="AK103" s="14" t="str">
        <f t="shared" si="171"/>
        <v>刘羽禅19突</v>
      </c>
      <c r="AL103" s="25" t="s">
        <v>142</v>
      </c>
      <c r="AM103" s="14">
        <v>1</v>
      </c>
      <c r="AN103" s="14">
        <f t="shared" si="172"/>
        <v>19</v>
      </c>
      <c r="AO103" s="14">
        <f>INDEX(属性投放!$DF$6:$DF$85,(卡牌属性!AG103-2)*20+卡牌属性!AN103)</f>
        <v>23999</v>
      </c>
      <c r="AP103" s="14">
        <f t="shared" si="241"/>
        <v>23999</v>
      </c>
      <c r="AQ103" s="14">
        <f t="shared" si="241"/>
        <v>23999</v>
      </c>
      <c r="AR103" s="14">
        <f t="shared" si="241"/>
        <v>23999</v>
      </c>
      <c r="AS103" s="14">
        <f t="shared" si="241"/>
        <v>23999</v>
      </c>
      <c r="AT103" s="14">
        <f>INDEX(属性投放!$DG$6:$DG$85,(卡牌属性!AG103-2)*20+卡牌属性!AN103)</f>
        <v>11918</v>
      </c>
      <c r="AU103" s="14">
        <f t="shared" si="242"/>
        <v>11918</v>
      </c>
      <c r="AV103" s="14">
        <f t="shared" si="242"/>
        <v>11918</v>
      </c>
      <c r="AW103" s="14">
        <f t="shared" si="242"/>
        <v>11918</v>
      </c>
      <c r="AX103" s="14">
        <f t="shared" si="242"/>
        <v>11918</v>
      </c>
      <c r="AY103" s="14">
        <f>INDEX(属性投放!$DH$6:$DH$85,(卡牌属性!AG103-2)*20+卡牌属性!AN103)</f>
        <v>226303</v>
      </c>
      <c r="AZ103" s="14">
        <f t="shared" si="243"/>
        <v>226303</v>
      </c>
      <c r="BA103" s="14">
        <f t="shared" si="243"/>
        <v>226303</v>
      </c>
      <c r="BB103" s="14">
        <f t="shared" si="243"/>
        <v>226303</v>
      </c>
      <c r="BC103" s="14">
        <f t="shared" si="243"/>
        <v>226303</v>
      </c>
      <c r="BD103" s="14">
        <f>INDEX(属性投放!$DL$6:$DL$85,(卡牌属性!AG103-2)*20+卡牌属性!AN103)</f>
        <v>516</v>
      </c>
      <c r="BE103" s="14">
        <f t="shared" si="244"/>
        <v>516</v>
      </c>
      <c r="BF103" s="14">
        <f t="shared" si="244"/>
        <v>516</v>
      </c>
      <c r="BG103" s="14">
        <f t="shared" si="244"/>
        <v>516</v>
      </c>
      <c r="BH103" s="14">
        <f t="shared" si="244"/>
        <v>516</v>
      </c>
      <c r="BI103" s="14">
        <f>INDEX(属性投放!$DM$6:$DM$85,(卡牌属性!AG103-2)*20+卡牌属性!AN103)</f>
        <v>258</v>
      </c>
      <c r="BJ103" s="14">
        <f t="shared" si="245"/>
        <v>258</v>
      </c>
      <c r="BK103" s="14">
        <f t="shared" si="245"/>
        <v>258</v>
      </c>
      <c r="BL103" s="14">
        <f t="shared" si="245"/>
        <v>258</v>
      </c>
      <c r="BM103" s="14">
        <f t="shared" si="245"/>
        <v>258</v>
      </c>
      <c r="BN103" s="14">
        <f>INDEX(属性投放!$DN$6:$DN$85,(卡牌属性!AG103-2)*20+卡牌属性!AN103)</f>
        <v>5157</v>
      </c>
      <c r="BO103" s="14">
        <f t="shared" si="246"/>
        <v>5157</v>
      </c>
      <c r="BP103" s="14">
        <f t="shared" si="246"/>
        <v>5157</v>
      </c>
      <c r="BQ103" s="14">
        <f t="shared" si="246"/>
        <v>5157</v>
      </c>
      <c r="BR103" s="14">
        <f t="shared" si="246"/>
        <v>5157</v>
      </c>
      <c r="BW103" s="13">
        <v>99</v>
      </c>
      <c r="BX103" s="13">
        <f t="shared" si="173"/>
        <v>5</v>
      </c>
      <c r="BY103" s="14">
        <f t="shared" si="174"/>
        <v>3</v>
      </c>
      <c r="BZ103" s="14">
        <f t="shared" si="189"/>
        <v>1102005</v>
      </c>
      <c r="CA103" s="14" t="str">
        <f t="shared" si="190"/>
        <v>李轩辕19突</v>
      </c>
      <c r="CB103" s="25" t="s">
        <v>142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INDEX(属性投放!$AZ$6:$AZ$85,(BY103-2)*20+CD103)</f>
        <v>19726</v>
      </c>
      <c r="CG103" s="14" t="s">
        <v>22</v>
      </c>
      <c r="CH103" s="14">
        <f>INDEX(属性投放!$BA$6:$BA$85,(BY103-2)*20+CD103)</f>
        <v>9824</v>
      </c>
      <c r="CI103" s="14" t="s">
        <v>510</v>
      </c>
      <c r="CJ103" s="14">
        <f>INDEX(属性投放!$BB$6:$BB$85,(BY103-2)*20+CD103)</f>
        <v>186440</v>
      </c>
      <c r="CK103" s="14" t="s">
        <v>21</v>
      </c>
      <c r="CL103" s="14">
        <f>INDEX(属性投放!$BC$6:$BC$85,(BY103-2)*20+CD103)</f>
        <v>40</v>
      </c>
      <c r="CM103" s="14" t="s">
        <v>22</v>
      </c>
      <c r="CN103" s="14">
        <f>INDEX(属性投放!$BD$6:$BD$85,(BY103-2)*20+CD103)</f>
        <v>20</v>
      </c>
      <c r="CO103" s="14" t="s">
        <v>510</v>
      </c>
      <c r="CP103" s="14">
        <f>INDEX(属性投放!$BE$6:$BE$85,(BY103-2)*20+CD103)</f>
        <v>400</v>
      </c>
      <c r="CS103" s="13">
        <v>99</v>
      </c>
      <c r="CT103" s="13">
        <f t="shared" si="191"/>
        <v>2</v>
      </c>
      <c r="CU103" s="13">
        <f t="shared" si="192"/>
        <v>47</v>
      </c>
      <c r="CV103" s="14">
        <f t="shared" si="193"/>
        <v>3</v>
      </c>
      <c r="CW103" s="14">
        <f t="shared" si="194"/>
        <v>1102002</v>
      </c>
      <c r="CX103" s="14" t="str">
        <f>INDEX($O$6:$O$50,CT103)&amp;"-"&amp;INDEX(属性投放!$AB$7:$AB$50,CZ103)&amp;"-魂火-"&amp;DB103</f>
        <v>许褚-无间-魂火-2</v>
      </c>
      <c r="CY103" s="25" t="s">
        <v>142</v>
      </c>
      <c r="CZ103" s="14">
        <f>INDEX(属性投放!$AM$7:$AM$58,CU103)</f>
        <v>19</v>
      </c>
      <c r="DA103" s="14" t="s">
        <v>537</v>
      </c>
      <c r="DB103" s="14">
        <f>INDEX(属性投放!$AN$7:$AN$58,CU103)</f>
        <v>2</v>
      </c>
      <c r="DC103" s="14">
        <f t="shared" si="176"/>
        <v>47</v>
      </c>
      <c r="DD103" s="14">
        <f>INDEX(属性投放!$AO$7:$AO$58,DC103)</f>
        <v>135</v>
      </c>
      <c r="DE103" s="14" t="s">
        <v>538</v>
      </c>
      <c r="DF103" s="14">
        <f>INDEX(属性投放!$BK$6:$BK$85,(CV103-2)*20+CZ103)</f>
        <v>900</v>
      </c>
      <c r="DG103" s="14">
        <f>SUMIFS(DF$5:DF103,$CT$5:$CT103,"="&amp;$CT103)</f>
        <v>12470</v>
      </c>
      <c r="DH103" s="14" t="s">
        <v>539</v>
      </c>
      <c r="DI103" s="14">
        <f>INDEX(属性投放!$BL$6:$BL$85,(CV103-2)*20+CZ103)</f>
        <v>450</v>
      </c>
      <c r="DJ103" s="14">
        <f>SUMIFS(DI$5:DI103,$CT$5:$CT103,"="&amp;$CT103)</f>
        <v>6238</v>
      </c>
      <c r="DK103" s="14" t="s">
        <v>540</v>
      </c>
      <c r="DL103" s="14">
        <f>INDEX(属性投放!$BM$6:$BM$85,(CV103-2)*20+CZ103)</f>
        <v>9000</v>
      </c>
      <c r="DM103" s="14">
        <f>SUMIFS(DL$5:DL103,$CT$5:$CT103,"="&amp;$CT103)</f>
        <v>120740</v>
      </c>
      <c r="DR103" s="14">
        <f t="shared" si="177"/>
        <v>1102005</v>
      </c>
      <c r="DS103" s="14" t="str">
        <f t="shared" si="178"/>
        <v>李轩辕19突</v>
      </c>
      <c r="DT103" s="14">
        <f t="shared" si="195"/>
        <v>4</v>
      </c>
      <c r="DU103" s="14">
        <f t="shared" si="196"/>
        <v>5</v>
      </c>
      <c r="DV103" s="14">
        <f t="shared" si="197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INDEX(属性投放!$AX$6:$AX$85,(卡牌属性!DW103-2)*20+卡牌属性!DX103)</f>
        <v>8</v>
      </c>
      <c r="EA103" s="14">
        <f>INDEX(属性投放!BQ$6:BQ$85,卡牌属性!$DY103)</f>
        <v>1500</v>
      </c>
      <c r="EB103" s="14">
        <f>INDEX(属性投放!BR$6:BR$85,卡牌属性!$DY103)</f>
        <v>750</v>
      </c>
      <c r="EC103" s="14">
        <f>INDEX(属性投放!BS$6:BS$85,卡牌属性!$DY103)</f>
        <v>15000</v>
      </c>
      <c r="ED103" s="14">
        <f t="shared" si="248"/>
        <v>8550</v>
      </c>
      <c r="EE103" s="14">
        <f t="shared" si="249"/>
        <v>9056</v>
      </c>
      <c r="EF103" s="14">
        <f t="shared" si="250"/>
        <v>9324</v>
      </c>
      <c r="EG103" s="14">
        <f t="shared" si="251"/>
        <v>9324</v>
      </c>
      <c r="EH103" s="14">
        <f t="shared" si="252"/>
        <v>10583</v>
      </c>
      <c r="EI103" s="14">
        <f t="shared" si="253"/>
        <v>4506</v>
      </c>
      <c r="EJ103" s="14">
        <f t="shared" si="254"/>
        <v>4650</v>
      </c>
      <c r="EK103" s="14">
        <f t="shared" si="255"/>
        <v>4650</v>
      </c>
      <c r="EL103" s="14">
        <f t="shared" si="256"/>
        <v>5263</v>
      </c>
      <c r="EM103" s="14">
        <f t="shared" si="257"/>
        <v>5597</v>
      </c>
      <c r="EN103" s="14">
        <f t="shared" si="258"/>
        <v>85964</v>
      </c>
      <c r="EO103" s="14">
        <f t="shared" si="259"/>
        <v>97198</v>
      </c>
      <c r="EP103" s="14">
        <f t="shared" si="260"/>
        <v>97198</v>
      </c>
      <c r="EQ103" s="14">
        <f t="shared" si="261"/>
        <v>102742</v>
      </c>
      <c r="ER103" s="14">
        <f t="shared" si="262"/>
        <v>109540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INDEX(属性投放!$BQ$6:$BQ$85,(卡牌属性!$DW103-2)*20+卡牌属性!$DX103)</f>
        <v>1500</v>
      </c>
      <c r="FI103" s="14">
        <f>INDEX(属性投放!$BQ$6:$BQ$85,(卡牌属性!$DW103-2)*20+卡牌属性!$DX103)</f>
        <v>1500</v>
      </c>
      <c r="FJ103" s="14">
        <f>INDEX(属性投放!$BQ$6:$BQ$85,(卡牌属性!$DW103-2)*20+卡牌属性!$DX103)</f>
        <v>1500</v>
      </c>
      <c r="FK103" s="14">
        <f>INDEX(属性投放!$BQ$6:$BQ$85,(卡牌属性!$DW103-2)*20+卡牌属性!$DX103)</f>
        <v>1500</v>
      </c>
      <c r="FL103" s="14">
        <f>INDEX(属性投放!$BQ$6:$BQ$85,(卡牌属性!$DW103-2)*20+卡牌属性!$DX103)</f>
        <v>1500</v>
      </c>
      <c r="FM103" s="14">
        <f>INDEX(属性投放!$BR$6:$BR$85,(卡牌属性!$DW103-2)*20+卡牌属性!$DX103)</f>
        <v>750</v>
      </c>
      <c r="FN103" s="14">
        <f>INDEX(属性投放!$BR$6:$BR$85,(卡牌属性!$DW103-2)*20+卡牌属性!$DX103)</f>
        <v>750</v>
      </c>
      <c r="FO103" s="14">
        <f>INDEX(属性投放!$BR$6:$BR$85,(卡牌属性!$DW103-2)*20+卡牌属性!$DX103)</f>
        <v>750</v>
      </c>
      <c r="FP103" s="14">
        <f>INDEX(属性投放!$BR$6:$BR$85,(卡牌属性!$DW103-2)*20+卡牌属性!$DX103)</f>
        <v>750</v>
      </c>
      <c r="FQ103" s="14">
        <f>INDEX(属性投放!$BR$6:$BR$85,(卡牌属性!$DW103-2)*20+卡牌属性!$DX103)</f>
        <v>750</v>
      </c>
      <c r="FR103" s="14">
        <f>INDEX(属性投放!$BS$6:$BS$85,(卡牌属性!$DW103-2)*20+卡牌属性!$DX103)</f>
        <v>15000</v>
      </c>
      <c r="FS103" s="14">
        <f>INDEX(属性投放!$BS$6:$BS$85,(卡牌属性!$DW103-2)*20+卡牌属性!$DX103)</f>
        <v>15000</v>
      </c>
      <c r="FT103" s="14">
        <f>INDEX(属性投放!$BS$6:$BS$85,(卡牌属性!$DW103-2)*20+卡牌属性!$DX103)</f>
        <v>15000</v>
      </c>
      <c r="FU103" s="14">
        <f>INDEX(属性投放!$BS$6:$BS$85,(卡牌属性!$DW103-2)*20+卡牌属性!$DX103)</f>
        <v>15000</v>
      </c>
      <c r="FV103" s="14">
        <f>INDEX(属性投放!$BS$6:$BS$85,(卡牌属性!$DW103-2)*20+卡牌属性!$DX103)</f>
        <v>15000</v>
      </c>
      <c r="FZ103" s="13">
        <v>99</v>
      </c>
      <c r="GA103" s="13">
        <f t="shared" si="264"/>
        <v>20</v>
      </c>
      <c r="GB103" s="14">
        <f t="shared" si="198"/>
        <v>1102020</v>
      </c>
      <c r="GC103" s="14" t="s">
        <v>1187</v>
      </c>
      <c r="GD103" s="14">
        <f t="shared" si="265"/>
        <v>4</v>
      </c>
      <c r="GE103" s="14" t="str">
        <f t="shared" si="266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3"/>
        <v>20</v>
      </c>
      <c r="GP103" s="14">
        <f t="shared" si="199"/>
        <v>1101023</v>
      </c>
      <c r="GQ103" s="14" t="s">
        <v>1187</v>
      </c>
      <c r="GR103" s="14">
        <f t="shared" si="267"/>
        <v>4</v>
      </c>
      <c r="GS103" s="14" t="str">
        <f t="shared" si="268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MATCH(HC103,属性投放!$AO$6:$AO$58,1)-1</f>
        <v>32</v>
      </c>
      <c r="HF103" s="13">
        <f>MATCH(HC103-1,属性投放!$AE$6:$AE$26,1)</f>
        <v>14</v>
      </c>
      <c r="HG103" s="13" t="str">
        <f>INDEX(属性投放!$AB$7:$AB$26,卡牌属性!HF103)</f>
        <v>焦热+1</v>
      </c>
      <c r="HH103" s="14">
        <f t="shared" si="200"/>
        <v>4793</v>
      </c>
      <c r="HI103" s="14">
        <f t="shared" si="201"/>
        <v>2013</v>
      </c>
      <c r="HJ103" s="14">
        <f t="shared" si="202"/>
        <v>32984</v>
      </c>
      <c r="HK103" s="14">
        <f t="shared" si="203"/>
        <v>40</v>
      </c>
      <c r="HL103" s="14">
        <f t="shared" si="204"/>
        <v>13</v>
      </c>
      <c r="HM103" s="14">
        <f t="shared" si="205"/>
        <v>260</v>
      </c>
      <c r="HN103" s="14">
        <f>HH103+HK103*($HC103-INDEX(属性投放!$AE$6:$AE$26,卡牌属性!$HF103))</f>
        <v>4953</v>
      </c>
      <c r="HO103" s="14">
        <f>HI103+HL103*($HC103-INDEX(属性投放!$AE$6:$AE$26,卡牌属性!$HF103))</f>
        <v>2065</v>
      </c>
      <c r="HP103" s="14">
        <f>HJ103+HM103*($HC103-INDEX(属性投放!$AE$6:$AE$26,卡牌属性!$HF103))</f>
        <v>34024</v>
      </c>
      <c r="HQ103" s="14">
        <f t="shared" si="206"/>
        <v>4220</v>
      </c>
      <c r="HR103" s="14">
        <f t="shared" si="207"/>
        <v>2118</v>
      </c>
      <c r="HS103" s="14">
        <f t="shared" si="208"/>
        <v>37635</v>
      </c>
      <c r="HT103" s="14">
        <f>IF(COUNTIF(属性投放!$AO$7:$AO$58,"="&amp;卡牌属性!HC103)&gt;0,卡牌属性!HE103,0)</f>
        <v>0</v>
      </c>
      <c r="HU103" s="14">
        <f t="shared" si="209"/>
        <v>0</v>
      </c>
      <c r="HV103" s="14">
        <f t="shared" si="210"/>
        <v>0</v>
      </c>
      <c r="HW103" s="14">
        <f t="shared" si="211"/>
        <v>0</v>
      </c>
      <c r="HX103" s="14">
        <f>IF(COUNTIF(属性投放!$AE$6:$AE$26,"="&amp;卡牌属性!HC103)&gt;0,卡牌属性!HF103,0)</f>
        <v>0</v>
      </c>
      <c r="HY103" s="14">
        <f t="shared" si="212"/>
        <v>0</v>
      </c>
      <c r="HZ103" s="14">
        <f t="shared" si="213"/>
        <v>0</v>
      </c>
      <c r="IA103" s="14">
        <f t="shared" si="214"/>
        <v>0</v>
      </c>
      <c r="IB103" s="14">
        <f t="shared" si="215"/>
        <v>40</v>
      </c>
      <c r="IC103" s="14">
        <f t="shared" si="216"/>
        <v>13</v>
      </c>
      <c r="ID103" s="14">
        <f t="shared" si="217"/>
        <v>260</v>
      </c>
      <c r="IE103" s="14">
        <f t="shared" si="218"/>
        <v>9173</v>
      </c>
      <c r="IF103" s="14">
        <f t="shared" si="219"/>
        <v>4183</v>
      </c>
      <c r="IG103" s="14">
        <f t="shared" si="220"/>
        <v>71659</v>
      </c>
      <c r="IH103" s="14">
        <f t="shared" si="221"/>
        <v>920</v>
      </c>
      <c r="II103" s="14">
        <f t="shared" si="222"/>
        <v>0</v>
      </c>
      <c r="IJ103" s="14">
        <f t="shared" si="223"/>
        <v>0</v>
      </c>
      <c r="IK103" s="14">
        <f t="shared" si="224"/>
        <v>247049</v>
      </c>
      <c r="IL103" s="17">
        <f t="shared" si="225"/>
        <v>3.7239575954567715E-3</v>
      </c>
      <c r="IM103" s="17">
        <f t="shared" si="226"/>
        <v>0</v>
      </c>
      <c r="IN103" s="17">
        <f t="shared" si="227"/>
        <v>0</v>
      </c>
      <c r="IO103" s="23">
        <f>SUM(IH$5:IH103)</f>
        <v>54044</v>
      </c>
      <c r="IP103" s="14">
        <f>SUM(II$5:II103)</f>
        <v>122195</v>
      </c>
      <c r="IQ103" s="14">
        <f>SUM(IJ$5:IJ103)</f>
        <v>54140</v>
      </c>
      <c r="IR103" s="17">
        <f t="shared" si="228"/>
        <v>0.21875822205311496</v>
      </c>
      <c r="IS103" s="17">
        <f t="shared" si="229"/>
        <v>0.49461847649656548</v>
      </c>
      <c r="IT103" s="17">
        <f t="shared" si="230"/>
        <v>0.21914680893264088</v>
      </c>
      <c r="IW103" s="13">
        <v>99</v>
      </c>
      <c r="IX103" s="14">
        <f>MATCH(IW103-1,属性投放!$T$6:$T$66,1)</f>
        <v>18</v>
      </c>
      <c r="IY103" s="14">
        <f>MATCH(IW103-1,属性投放!$AD$7:$AD$26,1)</f>
        <v>13</v>
      </c>
      <c r="IZ103" s="14" t="str">
        <f>INDEX(属性投放!$AB$7:$AB$26,IY103)</f>
        <v>焦热</v>
      </c>
      <c r="JA103" s="14">
        <f t="shared" si="231"/>
        <v>4474</v>
      </c>
      <c r="JB103" s="14">
        <f t="shared" si="232"/>
        <v>2188</v>
      </c>
      <c r="JC103" s="14">
        <f t="shared" si="233"/>
        <v>36531</v>
      </c>
      <c r="JD103" s="14">
        <f t="shared" si="234"/>
        <v>151</v>
      </c>
      <c r="JE103" s="14">
        <f t="shared" si="235"/>
        <v>76</v>
      </c>
      <c r="JF103" s="14">
        <f t="shared" si="236"/>
        <v>1510</v>
      </c>
      <c r="JG103" s="14">
        <f>INDEX(属性投放!$DC$6:$DC$85,卡牌属性!IY103)</f>
        <v>85</v>
      </c>
      <c r="JH103" s="14">
        <f t="shared" si="237"/>
        <v>6588</v>
      </c>
      <c r="JI103" s="14">
        <f t="shared" si="238"/>
        <v>3252</v>
      </c>
      <c r="JJ103" s="14">
        <f t="shared" si="239"/>
        <v>57671</v>
      </c>
      <c r="JK103" s="14">
        <f t="shared" si="240"/>
        <v>123131</v>
      </c>
    </row>
    <row r="104" spans="31:271" ht="16.5" x14ac:dyDescent="0.2">
      <c r="AE104" s="13">
        <v>100</v>
      </c>
      <c r="AF104" s="13">
        <f t="shared" si="188"/>
        <v>5</v>
      </c>
      <c r="AG104" s="13">
        <f t="shared" si="169"/>
        <v>4</v>
      </c>
      <c r="AH104" s="13"/>
      <c r="AI104" s="13"/>
      <c r="AJ104" s="14">
        <f t="shared" si="170"/>
        <v>1101005</v>
      </c>
      <c r="AK104" s="14" t="str">
        <f t="shared" si="171"/>
        <v>刘羽禅20突</v>
      </c>
      <c r="AL104" s="25" t="s">
        <v>142</v>
      </c>
      <c r="AM104" s="14">
        <v>1</v>
      </c>
      <c r="AN104" s="14">
        <f t="shared" si="172"/>
        <v>20</v>
      </c>
      <c r="AO104" s="14">
        <f>INDEX(属性投放!$DF$6:$DF$85,(卡牌属性!AG104-2)*20+卡牌属性!AN104)</f>
        <v>25104</v>
      </c>
      <c r="AP104" s="14">
        <f t="shared" si="241"/>
        <v>25104</v>
      </c>
      <c r="AQ104" s="14">
        <f t="shared" si="241"/>
        <v>25104</v>
      </c>
      <c r="AR104" s="14">
        <f t="shared" si="241"/>
        <v>25104</v>
      </c>
      <c r="AS104" s="14">
        <f t="shared" si="241"/>
        <v>25104</v>
      </c>
      <c r="AT104" s="14">
        <f>INDEX(属性投放!$DG$6:$DG$85,(卡牌属性!AG104-2)*20+卡牌属性!AN104)</f>
        <v>12471</v>
      </c>
      <c r="AU104" s="14">
        <f t="shared" si="242"/>
        <v>12471</v>
      </c>
      <c r="AV104" s="14">
        <f t="shared" si="242"/>
        <v>12471</v>
      </c>
      <c r="AW104" s="14">
        <f t="shared" si="242"/>
        <v>12471</v>
      </c>
      <c r="AX104" s="14">
        <f t="shared" si="242"/>
        <v>12471</v>
      </c>
      <c r="AY104" s="14">
        <f>INDEX(属性投放!$DH$6:$DH$85,(卡牌属性!AG104-2)*20+卡牌属性!AN104)</f>
        <v>237353</v>
      </c>
      <c r="AZ104" s="14">
        <f t="shared" si="243"/>
        <v>237353</v>
      </c>
      <c r="BA104" s="14">
        <f t="shared" si="243"/>
        <v>237353</v>
      </c>
      <c r="BB104" s="14">
        <f t="shared" si="243"/>
        <v>237353</v>
      </c>
      <c r="BC104" s="14">
        <f t="shared" si="243"/>
        <v>237353</v>
      </c>
      <c r="BD104" s="14">
        <f>INDEX(属性投放!$DL$6:$DL$85,(卡牌属性!AG104-2)*20+卡牌属性!AN104)</f>
        <v>516</v>
      </c>
      <c r="BE104" s="14">
        <f t="shared" si="244"/>
        <v>516</v>
      </c>
      <c r="BF104" s="14">
        <f t="shared" si="244"/>
        <v>516</v>
      </c>
      <c r="BG104" s="14">
        <f t="shared" si="244"/>
        <v>516</v>
      </c>
      <c r="BH104" s="14">
        <f t="shared" si="244"/>
        <v>516</v>
      </c>
      <c r="BI104" s="14">
        <f>INDEX(属性投放!$DM$6:$DM$85,(卡牌属性!AG104-2)*20+卡牌属性!AN104)</f>
        <v>258</v>
      </c>
      <c r="BJ104" s="14">
        <f t="shared" si="245"/>
        <v>258</v>
      </c>
      <c r="BK104" s="14">
        <f t="shared" si="245"/>
        <v>258</v>
      </c>
      <c r="BL104" s="14">
        <f t="shared" si="245"/>
        <v>258</v>
      </c>
      <c r="BM104" s="14">
        <f t="shared" si="245"/>
        <v>258</v>
      </c>
      <c r="BN104" s="14">
        <f>INDEX(属性投放!$DN$6:$DN$85,(卡牌属性!AG104-2)*20+卡牌属性!AN104)</f>
        <v>5157</v>
      </c>
      <c r="BO104" s="14">
        <f t="shared" si="246"/>
        <v>5157</v>
      </c>
      <c r="BP104" s="14">
        <f t="shared" si="246"/>
        <v>5157</v>
      </c>
      <c r="BQ104" s="14">
        <f t="shared" si="246"/>
        <v>5157</v>
      </c>
      <c r="BR104" s="14">
        <f t="shared" si="246"/>
        <v>5157</v>
      </c>
      <c r="BW104" s="13">
        <v>100</v>
      </c>
      <c r="BX104" s="13">
        <f t="shared" si="173"/>
        <v>5</v>
      </c>
      <c r="BY104" s="14">
        <f t="shared" si="174"/>
        <v>3</v>
      </c>
      <c r="BZ104" s="14">
        <f t="shared" si="189"/>
        <v>1102005</v>
      </c>
      <c r="CA104" s="14" t="str">
        <f t="shared" si="190"/>
        <v>李轩辕20突</v>
      </c>
      <c r="CB104" s="25" t="s">
        <v>142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INDEX(属性投放!$AZ$6:$AZ$85,(BY104-2)*20+CD104)</f>
        <v>24246</v>
      </c>
      <c r="CG104" s="14" t="s">
        <v>22</v>
      </c>
      <c r="CH104" s="14">
        <f>INDEX(属性投放!$BA$6:$BA$85,(BY104-2)*20+CD104)</f>
        <v>12084</v>
      </c>
      <c r="CI104" s="14" t="s">
        <v>510</v>
      </c>
      <c r="CJ104" s="14">
        <f>INDEX(属性投放!$BB$6:$BB$85,(BY104-2)*20+CD104)</f>
        <v>231640</v>
      </c>
      <c r="CK104" s="14" t="s">
        <v>21</v>
      </c>
      <c r="CL104" s="14">
        <f>INDEX(属性投放!$BC$6:$BC$85,(BY104-2)*20+CD104)</f>
        <v>40</v>
      </c>
      <c r="CM104" s="14" t="s">
        <v>22</v>
      </c>
      <c r="CN104" s="14">
        <f>INDEX(属性投放!$BD$6:$BD$85,(BY104-2)*20+CD104)</f>
        <v>20</v>
      </c>
      <c r="CO104" s="14" t="s">
        <v>510</v>
      </c>
      <c r="CP104" s="14">
        <f>INDEX(属性投放!$BE$6:$BE$85,(BY104-2)*20+CD104)</f>
        <v>400</v>
      </c>
      <c r="CS104" s="13">
        <v>100</v>
      </c>
      <c r="CT104" s="13">
        <f t="shared" si="191"/>
        <v>2</v>
      </c>
      <c r="CU104" s="13">
        <f t="shared" si="192"/>
        <v>48</v>
      </c>
      <c r="CV104" s="14">
        <f t="shared" si="193"/>
        <v>3</v>
      </c>
      <c r="CW104" s="14">
        <f t="shared" si="194"/>
        <v>1102002</v>
      </c>
      <c r="CX104" s="14" t="str">
        <f>INDEX($O$6:$O$50,CT104)&amp;"-"&amp;INDEX(属性投放!$AB$7:$AB$50,CZ104)&amp;"-魂火-"&amp;DB104</f>
        <v>许褚-无间-魂火-3</v>
      </c>
      <c r="CY104" s="25" t="s">
        <v>142</v>
      </c>
      <c r="CZ104" s="14">
        <f>INDEX(属性投放!$AM$7:$AM$58,CU104)</f>
        <v>19</v>
      </c>
      <c r="DA104" s="14" t="s">
        <v>537</v>
      </c>
      <c r="DB104" s="14">
        <f>INDEX(属性投放!$AN$7:$AN$58,CU104)</f>
        <v>3</v>
      </c>
      <c r="DC104" s="14">
        <f t="shared" si="176"/>
        <v>48</v>
      </c>
      <c r="DD104" s="14">
        <f>INDEX(属性投放!$AO$7:$AO$58,DC104)</f>
        <v>138</v>
      </c>
      <c r="DE104" s="14" t="s">
        <v>538</v>
      </c>
      <c r="DF104" s="14">
        <f>INDEX(属性投放!$BK$6:$BK$85,(CV104-2)*20+CZ104)</f>
        <v>900</v>
      </c>
      <c r="DG104" s="14">
        <f>SUMIFS(DF$5:DF104,$CT$5:$CT104,"="&amp;$CT104)</f>
        <v>13370</v>
      </c>
      <c r="DH104" s="14" t="s">
        <v>539</v>
      </c>
      <c r="DI104" s="14">
        <f>INDEX(属性投放!$BL$6:$BL$85,(CV104-2)*20+CZ104)</f>
        <v>450</v>
      </c>
      <c r="DJ104" s="14">
        <f>SUMIFS(DI$5:DI104,$CT$5:$CT104,"="&amp;$CT104)</f>
        <v>6688</v>
      </c>
      <c r="DK104" s="14" t="s">
        <v>540</v>
      </c>
      <c r="DL104" s="14">
        <f>INDEX(属性投放!$BM$6:$BM$85,(CV104-2)*20+CZ104)</f>
        <v>9000</v>
      </c>
      <c r="DM104" s="14">
        <f>SUMIFS(DL$5:DL104,$CT$5:$CT104,"="&amp;$CT104)</f>
        <v>129740</v>
      </c>
      <c r="DR104" s="14">
        <f t="shared" si="177"/>
        <v>1102005</v>
      </c>
      <c r="DS104" s="14" t="str">
        <f t="shared" si="178"/>
        <v>李轩辕20突</v>
      </c>
      <c r="DT104" s="14">
        <f t="shared" si="195"/>
        <v>4</v>
      </c>
      <c r="DU104" s="14">
        <f t="shared" si="196"/>
        <v>5</v>
      </c>
      <c r="DV104" s="14">
        <f t="shared" si="197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INDEX(属性投放!$AX$6:$AX$85,(卡牌属性!DW104-2)*20+卡牌属性!DX104)</f>
        <v>10</v>
      </c>
      <c r="EA104" s="14">
        <f>INDEX(属性投放!BQ$6:BQ$85,卡牌属性!$DY104)</f>
        <v>1500</v>
      </c>
      <c r="EB104" s="14">
        <f>INDEX(属性投放!BR$6:BR$85,卡牌属性!$DY104)</f>
        <v>750</v>
      </c>
      <c r="EC104" s="14">
        <f>INDEX(属性投放!BS$6:BS$85,卡牌属性!$DY104)</f>
        <v>15000</v>
      </c>
      <c r="ED104" s="14">
        <f t="shared" si="248"/>
        <v>10290</v>
      </c>
      <c r="EE104" s="14">
        <f t="shared" si="249"/>
        <v>10876</v>
      </c>
      <c r="EF104" s="14">
        <f t="shared" si="250"/>
        <v>11184</v>
      </c>
      <c r="EG104" s="14">
        <f t="shared" si="251"/>
        <v>11184</v>
      </c>
      <c r="EH104" s="14">
        <f t="shared" si="252"/>
        <v>12683</v>
      </c>
      <c r="EI104" s="14">
        <f t="shared" si="253"/>
        <v>5416</v>
      </c>
      <c r="EJ104" s="14">
        <f t="shared" si="254"/>
        <v>5584</v>
      </c>
      <c r="EK104" s="14">
        <f t="shared" si="255"/>
        <v>5584</v>
      </c>
      <c r="EL104" s="14">
        <f t="shared" si="256"/>
        <v>6317</v>
      </c>
      <c r="EM104" s="14">
        <f t="shared" si="257"/>
        <v>6667</v>
      </c>
      <c r="EN104" s="14">
        <f t="shared" si="258"/>
        <v>104564</v>
      </c>
      <c r="EO104" s="14">
        <f t="shared" si="259"/>
        <v>118198</v>
      </c>
      <c r="EP104" s="14">
        <f t="shared" si="260"/>
        <v>118198</v>
      </c>
      <c r="EQ104" s="14">
        <f t="shared" si="261"/>
        <v>124142</v>
      </c>
      <c r="ER104" s="14">
        <f t="shared" si="262"/>
        <v>132540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INDEX(属性投放!$BQ$6:$BQ$85,(卡牌属性!$DW104-2)*20+卡牌属性!$DX104)</f>
        <v>1500</v>
      </c>
      <c r="FI104" s="14">
        <f>INDEX(属性投放!$BQ$6:$BQ$85,(卡牌属性!$DW104-2)*20+卡牌属性!$DX104)</f>
        <v>1500</v>
      </c>
      <c r="FJ104" s="14">
        <f>INDEX(属性投放!$BQ$6:$BQ$85,(卡牌属性!$DW104-2)*20+卡牌属性!$DX104)</f>
        <v>1500</v>
      </c>
      <c r="FK104" s="14">
        <f>INDEX(属性投放!$BQ$6:$BQ$85,(卡牌属性!$DW104-2)*20+卡牌属性!$DX104)</f>
        <v>1500</v>
      </c>
      <c r="FL104" s="14">
        <f>INDEX(属性投放!$BQ$6:$BQ$85,(卡牌属性!$DW104-2)*20+卡牌属性!$DX104)</f>
        <v>1500</v>
      </c>
      <c r="FM104" s="14">
        <f>INDEX(属性投放!$BR$6:$BR$85,(卡牌属性!$DW104-2)*20+卡牌属性!$DX104)</f>
        <v>750</v>
      </c>
      <c r="FN104" s="14">
        <f>INDEX(属性投放!$BR$6:$BR$85,(卡牌属性!$DW104-2)*20+卡牌属性!$DX104)</f>
        <v>750</v>
      </c>
      <c r="FO104" s="14">
        <f>INDEX(属性投放!$BR$6:$BR$85,(卡牌属性!$DW104-2)*20+卡牌属性!$DX104)</f>
        <v>750</v>
      </c>
      <c r="FP104" s="14">
        <f>INDEX(属性投放!$BR$6:$BR$85,(卡牌属性!$DW104-2)*20+卡牌属性!$DX104)</f>
        <v>750</v>
      </c>
      <c r="FQ104" s="14">
        <f>INDEX(属性投放!$BR$6:$BR$85,(卡牌属性!$DW104-2)*20+卡牌属性!$DX104)</f>
        <v>750</v>
      </c>
      <c r="FR104" s="14">
        <f>INDEX(属性投放!$BS$6:$BS$85,(卡牌属性!$DW104-2)*20+卡牌属性!$DX104)</f>
        <v>15000</v>
      </c>
      <c r="FS104" s="14">
        <f>INDEX(属性投放!$BS$6:$BS$85,(卡牌属性!$DW104-2)*20+卡牌属性!$DX104)</f>
        <v>15000</v>
      </c>
      <c r="FT104" s="14">
        <f>INDEX(属性投放!$BS$6:$BS$85,(卡牌属性!$DW104-2)*20+卡牌属性!$DX104)</f>
        <v>15000</v>
      </c>
      <c r="FU104" s="14">
        <f>INDEX(属性投放!$BS$6:$BS$85,(卡牌属性!$DW104-2)*20+卡牌属性!$DX104)</f>
        <v>15000</v>
      </c>
      <c r="FV104" s="14">
        <f>INDEX(属性投放!$BS$6:$BS$85,(卡牌属性!$DW104-2)*20+卡牌属性!$DX104)</f>
        <v>15000</v>
      </c>
      <c r="FZ104" s="13">
        <v>100</v>
      </c>
      <c r="GA104" s="13">
        <f t="shared" si="264"/>
        <v>20</v>
      </c>
      <c r="GB104" s="14">
        <f t="shared" si="198"/>
        <v>1102020</v>
      </c>
      <c r="GC104" s="14" t="s">
        <v>1187</v>
      </c>
      <c r="GD104" s="14">
        <f t="shared" si="265"/>
        <v>5</v>
      </c>
      <c r="GE104" s="14" t="str">
        <f t="shared" si="266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3"/>
        <v>20</v>
      </c>
      <c r="GP104" s="14">
        <f t="shared" si="199"/>
        <v>1101023</v>
      </c>
      <c r="GQ104" s="14" t="s">
        <v>1187</v>
      </c>
      <c r="GR104" s="14">
        <f t="shared" si="267"/>
        <v>5</v>
      </c>
      <c r="GS104" s="14" t="str">
        <f t="shared" si="268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MATCH(HC104,属性投放!$AO$6:$AO$58,1)-1</f>
        <v>33</v>
      </c>
      <c r="HF104" s="13">
        <f>MATCH(HC104-1,属性投放!$AE$6:$AE$26,1)</f>
        <v>14</v>
      </c>
      <c r="HG104" s="13" t="str">
        <f>INDEX(属性投放!$AB$7:$AB$26,卡牌属性!HF104)</f>
        <v>焦热+1</v>
      </c>
      <c r="HH104" s="14">
        <f t="shared" si="200"/>
        <v>4793</v>
      </c>
      <c r="HI104" s="14">
        <f t="shared" si="201"/>
        <v>2013</v>
      </c>
      <c r="HJ104" s="14">
        <f t="shared" si="202"/>
        <v>32984</v>
      </c>
      <c r="HK104" s="14">
        <f t="shared" si="203"/>
        <v>40</v>
      </c>
      <c r="HL104" s="14">
        <f t="shared" si="204"/>
        <v>13</v>
      </c>
      <c r="HM104" s="14">
        <f t="shared" si="205"/>
        <v>260</v>
      </c>
      <c r="HN104" s="14">
        <f>HH104+HK104*($HC104-INDEX(属性投放!$AE$6:$AE$26,卡牌属性!$HF104))</f>
        <v>4993</v>
      </c>
      <c r="HO104" s="14">
        <f>HI104+HL104*($HC104-INDEX(属性投放!$AE$6:$AE$26,卡牌属性!$HF104))</f>
        <v>2078</v>
      </c>
      <c r="HP104" s="14">
        <f>HJ104+HM104*($HC104-INDEX(属性投放!$AE$6:$AE$26,卡牌属性!$HF104))</f>
        <v>34284</v>
      </c>
      <c r="HQ104" s="14">
        <f t="shared" si="206"/>
        <v>4540</v>
      </c>
      <c r="HR104" s="14">
        <f t="shared" si="207"/>
        <v>2278</v>
      </c>
      <c r="HS104" s="14">
        <f t="shared" si="208"/>
        <v>40835</v>
      </c>
      <c r="HT104" s="14">
        <f>IF(COUNTIF(属性投放!$AO$7:$AO$58,"="&amp;卡牌属性!HC104)&gt;0,卡牌属性!HE104,0)</f>
        <v>33</v>
      </c>
      <c r="HU104" s="14">
        <f t="shared" si="209"/>
        <v>320</v>
      </c>
      <c r="HV104" s="14">
        <f t="shared" si="210"/>
        <v>160</v>
      </c>
      <c r="HW104" s="14">
        <f t="shared" si="211"/>
        <v>3200</v>
      </c>
      <c r="HX104" s="14">
        <f>IF(COUNTIF(属性投放!$AE$6:$AE$26,"="&amp;卡牌属性!HC104)&gt;0,卡牌属性!HF104,0)</f>
        <v>0</v>
      </c>
      <c r="HY104" s="14">
        <f t="shared" si="212"/>
        <v>0</v>
      </c>
      <c r="HZ104" s="14">
        <f t="shared" si="213"/>
        <v>0</v>
      </c>
      <c r="IA104" s="14">
        <f t="shared" si="214"/>
        <v>0</v>
      </c>
      <c r="IB104" s="14">
        <f t="shared" si="215"/>
        <v>40</v>
      </c>
      <c r="IC104" s="14">
        <f t="shared" si="216"/>
        <v>13</v>
      </c>
      <c r="ID104" s="14">
        <f t="shared" si="217"/>
        <v>260</v>
      </c>
      <c r="IE104" s="14">
        <f t="shared" si="218"/>
        <v>9533</v>
      </c>
      <c r="IF104" s="14">
        <f t="shared" si="219"/>
        <v>4356</v>
      </c>
      <c r="IG104" s="14">
        <f t="shared" si="220"/>
        <v>75119</v>
      </c>
      <c r="IH104" s="14">
        <f t="shared" si="221"/>
        <v>920</v>
      </c>
      <c r="II104" s="14">
        <f t="shared" si="222"/>
        <v>9600</v>
      </c>
      <c r="IJ104" s="14">
        <f t="shared" si="223"/>
        <v>0</v>
      </c>
      <c r="IK104" s="14">
        <f t="shared" si="224"/>
        <v>257569</v>
      </c>
      <c r="IL104" s="17">
        <f t="shared" si="225"/>
        <v>3.5718584146384076E-3</v>
      </c>
      <c r="IM104" s="17">
        <f t="shared" si="226"/>
        <v>3.7271566065792079E-2</v>
      </c>
      <c r="IN104" s="17">
        <f t="shared" si="227"/>
        <v>0</v>
      </c>
      <c r="IO104" s="23">
        <f>SUM(IH$5:IH104)</f>
        <v>54964</v>
      </c>
      <c r="IP104" s="14">
        <f>SUM(II$5:II104)</f>
        <v>131795</v>
      </c>
      <c r="IQ104" s="14">
        <f>SUM(IJ$5:IJ104)</f>
        <v>54140</v>
      </c>
      <c r="IR104" s="17">
        <f t="shared" si="228"/>
        <v>0.21339524554585373</v>
      </c>
      <c r="IS104" s="17">
        <f t="shared" si="229"/>
        <v>0.5116881301709445</v>
      </c>
      <c r="IT104" s="17">
        <f t="shared" si="230"/>
        <v>0.21019610279187326</v>
      </c>
      <c r="IW104" s="13">
        <v>100</v>
      </c>
      <c r="IX104" s="14">
        <f>MATCH(IW104-1,属性投放!$T$6:$T$66,1)</f>
        <v>19</v>
      </c>
      <c r="IY104" s="14">
        <f>MATCH(IW104-1,属性投放!$AD$7:$AD$26,1)</f>
        <v>13</v>
      </c>
      <c r="IZ104" s="14" t="str">
        <f>INDEX(属性投放!$AB$7:$AB$26,IY104)</f>
        <v>焦热</v>
      </c>
      <c r="JA104" s="14">
        <f t="shared" si="231"/>
        <v>4474</v>
      </c>
      <c r="JB104" s="14">
        <f t="shared" si="232"/>
        <v>2188</v>
      </c>
      <c r="JC104" s="14">
        <f t="shared" si="233"/>
        <v>36531</v>
      </c>
      <c r="JD104" s="14">
        <f t="shared" si="234"/>
        <v>151</v>
      </c>
      <c r="JE104" s="14">
        <f t="shared" si="235"/>
        <v>76</v>
      </c>
      <c r="JF104" s="14">
        <f t="shared" si="236"/>
        <v>1510</v>
      </c>
      <c r="JG104" s="14">
        <f>INDEX(属性投放!$DC$6:$DC$85,卡牌属性!IY104)</f>
        <v>85</v>
      </c>
      <c r="JH104" s="14">
        <f t="shared" si="237"/>
        <v>6739</v>
      </c>
      <c r="JI104" s="14">
        <f t="shared" si="238"/>
        <v>3328</v>
      </c>
      <c r="JJ104" s="14">
        <f t="shared" si="239"/>
        <v>59181</v>
      </c>
      <c r="JK104" s="14">
        <f t="shared" si="240"/>
        <v>126156</v>
      </c>
    </row>
    <row r="105" spans="31:271" ht="16.5" x14ac:dyDescent="0.2">
      <c r="AE105" s="13">
        <v>101</v>
      </c>
      <c r="AF105" s="13">
        <f t="shared" si="188"/>
        <v>6</v>
      </c>
      <c r="AG105" s="13">
        <f t="shared" si="169"/>
        <v>4</v>
      </c>
      <c r="AH105" s="13"/>
      <c r="AI105" s="13"/>
      <c r="AJ105" s="14">
        <f t="shared" si="170"/>
        <v>1101006</v>
      </c>
      <c r="AK105" s="14" t="str">
        <f t="shared" si="171"/>
        <v>红莲·缇娜1突</v>
      </c>
      <c r="AL105" s="25" t="s">
        <v>142</v>
      </c>
      <c r="AM105" s="14">
        <v>1</v>
      </c>
      <c r="AN105" s="14">
        <f t="shared" si="172"/>
        <v>1</v>
      </c>
      <c r="AO105" s="14">
        <f>INDEX(属性投放!$DF$6:$DF$85,(卡牌属性!AG105-2)*20+卡牌属性!AN105)</f>
        <v>200</v>
      </c>
      <c r="AP105" s="14">
        <f t="shared" ref="AP105:AS124" si="269">$AO105</f>
        <v>200</v>
      </c>
      <c r="AQ105" s="14">
        <f t="shared" si="269"/>
        <v>200</v>
      </c>
      <c r="AR105" s="14">
        <f t="shared" si="269"/>
        <v>200</v>
      </c>
      <c r="AS105" s="14">
        <f t="shared" si="269"/>
        <v>200</v>
      </c>
      <c r="AT105" s="14">
        <f>INDEX(属性投放!$DG$6:$DG$85,(卡牌属性!AG105-2)*20+卡牌属性!AN105)</f>
        <v>20</v>
      </c>
      <c r="AU105" s="14">
        <f t="shared" ref="AU105:AX124" si="270">$AT105</f>
        <v>20</v>
      </c>
      <c r="AV105" s="14">
        <f t="shared" si="270"/>
        <v>20</v>
      </c>
      <c r="AW105" s="14">
        <f t="shared" si="270"/>
        <v>20</v>
      </c>
      <c r="AX105" s="14">
        <f t="shared" si="270"/>
        <v>20</v>
      </c>
      <c r="AY105" s="14">
        <f>INDEX(属性投放!$DH$6:$DH$85,(卡牌属性!AG105-2)*20+卡牌属性!AN105)</f>
        <v>625</v>
      </c>
      <c r="AZ105" s="14">
        <f t="shared" ref="AZ105:BC124" si="271">$AY105</f>
        <v>625</v>
      </c>
      <c r="BA105" s="14">
        <f t="shared" si="271"/>
        <v>625</v>
      </c>
      <c r="BB105" s="14">
        <f t="shared" si="271"/>
        <v>625</v>
      </c>
      <c r="BC105" s="14">
        <f t="shared" si="271"/>
        <v>625</v>
      </c>
      <c r="BD105" s="14">
        <f>INDEX(属性投放!$DL$6:$DL$85,(卡牌属性!AG105-2)*20+卡牌属性!AN105)</f>
        <v>11</v>
      </c>
      <c r="BE105" s="14">
        <f t="shared" ref="BE105:BH124" si="272">$BD105</f>
        <v>11</v>
      </c>
      <c r="BF105" s="14">
        <f t="shared" si="272"/>
        <v>11</v>
      </c>
      <c r="BG105" s="14">
        <f t="shared" si="272"/>
        <v>11</v>
      </c>
      <c r="BH105" s="14">
        <f t="shared" si="272"/>
        <v>11</v>
      </c>
      <c r="BI105" s="14">
        <f>INDEX(属性投放!$DM$6:$DM$85,(卡牌属性!AG105-2)*20+卡牌属性!AN105)</f>
        <v>6</v>
      </c>
      <c r="BJ105" s="14">
        <f t="shared" ref="BJ105:BM124" si="273">$BI105</f>
        <v>6</v>
      </c>
      <c r="BK105" s="14">
        <f t="shared" si="273"/>
        <v>6</v>
      </c>
      <c r="BL105" s="14">
        <f t="shared" si="273"/>
        <v>6</v>
      </c>
      <c r="BM105" s="14">
        <f t="shared" si="273"/>
        <v>6</v>
      </c>
      <c r="BN105" s="14">
        <f>INDEX(属性投放!$DN$6:$DN$85,(卡牌属性!AG105-2)*20+卡牌属性!AN105)</f>
        <v>65</v>
      </c>
      <c r="BO105" s="14">
        <f t="shared" ref="BO105:BR124" si="274">$BN105</f>
        <v>65</v>
      </c>
      <c r="BP105" s="14">
        <f t="shared" si="274"/>
        <v>65</v>
      </c>
      <c r="BQ105" s="14">
        <f t="shared" si="274"/>
        <v>65</v>
      </c>
      <c r="BR105" s="14">
        <f t="shared" si="274"/>
        <v>65</v>
      </c>
      <c r="BW105" s="13">
        <v>101</v>
      </c>
      <c r="BX105" s="13">
        <f t="shared" si="173"/>
        <v>6</v>
      </c>
      <c r="BY105" s="14">
        <f t="shared" si="174"/>
        <v>5</v>
      </c>
      <c r="BZ105" s="14">
        <f t="shared" si="189"/>
        <v>1102006</v>
      </c>
      <c r="CA105" s="14" t="str">
        <f t="shared" si="190"/>
        <v>项羽1突</v>
      </c>
      <c r="CB105" s="25" t="s">
        <v>142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INDEX(属性投放!$AZ$6:$AZ$85,(BY105-2)*20+CD105)</f>
        <v>300</v>
      </c>
      <c r="CG105" s="14" t="s">
        <v>22</v>
      </c>
      <c r="CH105" s="14">
        <f>INDEX(属性投放!$BA$6:$BA$85,(BY105-2)*20+CD105)</f>
        <v>50</v>
      </c>
      <c r="CI105" s="14" t="s">
        <v>510</v>
      </c>
      <c r="CJ105" s="14">
        <f>INDEX(属性投放!$BB$6:$BB$85,(BY105-2)*20+CD105)</f>
        <v>1200</v>
      </c>
      <c r="CK105" s="14" t="s">
        <v>21</v>
      </c>
      <c r="CL105" s="14">
        <f>INDEX(属性投放!$BC$6:$BC$85,(BY105-2)*20+CD105)</f>
        <v>15</v>
      </c>
      <c r="CM105" s="14" t="s">
        <v>22</v>
      </c>
      <c r="CN105" s="14">
        <f>INDEX(属性投放!$BD$6:$BD$85,(BY105-2)*20+CD105)</f>
        <v>8</v>
      </c>
      <c r="CO105" s="14" t="s">
        <v>510</v>
      </c>
      <c r="CP105" s="14">
        <f>INDEX(属性投放!$BE$6:$BE$85,(BY105-2)*20+CD105)</f>
        <v>90</v>
      </c>
      <c r="CS105" s="13">
        <v>101</v>
      </c>
      <c r="CT105" s="13">
        <f t="shared" si="191"/>
        <v>2</v>
      </c>
      <c r="CU105" s="13">
        <f t="shared" si="192"/>
        <v>49</v>
      </c>
      <c r="CV105" s="14">
        <f t="shared" si="193"/>
        <v>3</v>
      </c>
      <c r="CW105" s="14">
        <f t="shared" si="194"/>
        <v>1102002</v>
      </c>
      <c r="CX105" s="14" t="str">
        <f>INDEX($O$6:$O$50,CT105)&amp;"-"&amp;INDEX(属性投放!$AB$7:$AB$50,CZ105)&amp;"-魂火-"&amp;DB105</f>
        <v>许褚-无间+1-魂火-1</v>
      </c>
      <c r="CY105" s="25" t="s">
        <v>142</v>
      </c>
      <c r="CZ105" s="14">
        <f>INDEX(属性投放!$AM$7:$AM$58,CU105)</f>
        <v>20</v>
      </c>
      <c r="DA105" s="14" t="s">
        <v>537</v>
      </c>
      <c r="DB105" s="14">
        <f>INDEX(属性投放!$AN$7:$AN$58,CU105)</f>
        <v>1</v>
      </c>
      <c r="DC105" s="14">
        <f t="shared" si="176"/>
        <v>49</v>
      </c>
      <c r="DD105" s="14">
        <f>INDEX(属性投放!$AO$7:$AO$58,DC105)</f>
        <v>140</v>
      </c>
      <c r="DE105" s="14" t="s">
        <v>538</v>
      </c>
      <c r="DF105" s="14">
        <f>INDEX(属性投放!$BK$6:$BK$85,(CV105-2)*20+CZ105)</f>
        <v>1000</v>
      </c>
      <c r="DG105" s="14">
        <f>SUMIFS(DF$5:DF105,$CT$5:$CT105,"="&amp;$CT105)</f>
        <v>14370</v>
      </c>
      <c r="DH105" s="14" t="s">
        <v>539</v>
      </c>
      <c r="DI105" s="14">
        <f>INDEX(属性投放!$BL$6:$BL$85,(CV105-2)*20+CZ105)</f>
        <v>500</v>
      </c>
      <c r="DJ105" s="14">
        <f>SUMIFS(DI$5:DI105,$CT$5:$CT105,"="&amp;$CT105)</f>
        <v>7188</v>
      </c>
      <c r="DK105" s="14" t="s">
        <v>540</v>
      </c>
      <c r="DL105" s="14">
        <f>INDEX(属性投放!$BM$6:$BM$85,(CV105-2)*20+CZ105)</f>
        <v>10000</v>
      </c>
      <c r="DM105" s="14">
        <f>SUMIFS(DL$5:DL105,$CT$5:$CT105,"="&amp;$CT105)</f>
        <v>139740</v>
      </c>
      <c r="DR105" s="14">
        <f t="shared" si="177"/>
        <v>1102006</v>
      </c>
      <c r="DS105" s="14" t="str">
        <f t="shared" si="178"/>
        <v>项羽1突</v>
      </c>
      <c r="DT105" s="14">
        <f t="shared" si="195"/>
        <v>8</v>
      </c>
      <c r="DU105" s="14">
        <f t="shared" si="196"/>
        <v>9</v>
      </c>
      <c r="DV105" s="14">
        <f t="shared" si="197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INDEX(属性投放!$AX$6:$AX$85,(卡牌属性!DW105-2)*20+卡牌属性!DX105)</f>
        <v>4</v>
      </c>
      <c r="EA105" s="14">
        <f>INDEX(属性投放!BQ$6:BQ$85,卡牌属性!$DY105)</f>
        <v>40</v>
      </c>
      <c r="EB105" s="14">
        <f>INDEX(属性投放!BR$6:BR$85,卡牌属性!$DY105)</f>
        <v>20</v>
      </c>
      <c r="EC105" s="14">
        <f>INDEX(属性投放!BS$6:BS$85,卡牌属性!$DY105)</f>
        <v>240</v>
      </c>
      <c r="ED105" s="14">
        <f>INDEX(属性偏向!$I$4:$I$15,卡牌属性!$DT105+ED$3)</f>
        <v>250</v>
      </c>
      <c r="EE105" s="14">
        <f>INDEX(属性偏向!$I$4:$I$15,卡牌属性!$DT105+EE$3)</f>
        <v>300</v>
      </c>
      <c r="EF105" s="14">
        <f>INDEX(属性偏向!$I$4:$I$15,卡牌属性!$DT105+EF$3)</f>
        <v>350</v>
      </c>
      <c r="EG105" s="14">
        <f>INDEX(属性偏向!$I$4:$I$15,卡牌属性!$DT105+EG$3)</f>
        <v>350</v>
      </c>
      <c r="EH105" s="14">
        <f>INDEX(属性偏向!$I$4:$I$15,卡牌属性!$DT105+EH$3)</f>
        <v>400</v>
      </c>
      <c r="EI105" s="14">
        <f>INDEX(属性偏向!$J$4:$J$15,卡牌属性!$DU105+EI$3)</f>
        <v>100</v>
      </c>
      <c r="EJ105" s="14">
        <f>INDEX(属性偏向!$J$4:$J$15,卡牌属性!$DU105+EJ$3)</f>
        <v>150</v>
      </c>
      <c r="EK105" s="14">
        <f>INDEX(属性偏向!$J$4:$J$15,卡牌属性!$DU105+EK$3)</f>
        <v>150</v>
      </c>
      <c r="EL105" s="14">
        <f>INDEX(属性偏向!$J$4:$J$15,卡牌属性!$DU105+EL$3)</f>
        <v>200</v>
      </c>
      <c r="EM105" s="14">
        <f>INDEX(属性偏向!$J$4:$J$15,卡牌属性!$DU105+EM$3)</f>
        <v>250</v>
      </c>
      <c r="EN105" s="14">
        <f>INDEX(属性偏向!$K$4:$K$15,卡牌属性!$DV105+EN$3)</f>
        <v>1000</v>
      </c>
      <c r="EO105" s="14">
        <f>INDEX(属性偏向!$K$4:$K$15,卡牌属性!$DV105+EO$3)</f>
        <v>1200</v>
      </c>
      <c r="EP105" s="14">
        <f>INDEX(属性偏向!$K$4:$K$15,卡牌属性!$DV105+EP$3)</f>
        <v>1200</v>
      </c>
      <c r="EQ105" s="14">
        <f>INDEX(属性偏向!$K$4:$K$15,卡牌属性!$DV105+EQ$3)</f>
        <v>1500</v>
      </c>
      <c r="ER105" s="14">
        <f>INDEX(属性偏向!$K$4:$K$15,卡牌属性!$DV105+ER$3)</f>
        <v>2000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78</v>
      </c>
      <c r="FD105" s="14">
        <f>INDEX(属性偏向!$U$4:$U$243,(卡牌属性!$DV105-1+FD$3)*20+卡牌属性!$DX105)</f>
        <v>90</v>
      </c>
      <c r="FE105" s="14">
        <f>INDEX(属性偏向!$U$4:$U$243,(卡牌属性!$DV105-1+FE$3)*20+卡牌属性!$DX105)</f>
        <v>90</v>
      </c>
      <c r="FF105" s="14">
        <f>INDEX(属性偏向!$U$4:$U$243,(卡牌属性!$DV105-1+FF$3)*20+卡牌属性!$DX105)</f>
        <v>120</v>
      </c>
      <c r="FG105" s="14">
        <f>INDEX(属性偏向!$U$4:$U$243,(卡牌属性!$DV105-1+FG$3)*20+卡牌属性!$DX105)</f>
        <v>150</v>
      </c>
      <c r="FH105" s="14">
        <f>INDEX(属性投放!$BQ$6:$BQ$85,(卡牌属性!$DW105-2)*20+卡牌属性!$DX105)</f>
        <v>40</v>
      </c>
      <c r="FI105" s="14">
        <f>INDEX(属性投放!$BQ$6:$BQ$85,(卡牌属性!$DW105-2)*20+卡牌属性!$DX105)</f>
        <v>40</v>
      </c>
      <c r="FJ105" s="14">
        <f>INDEX(属性投放!$BQ$6:$BQ$85,(卡牌属性!$DW105-2)*20+卡牌属性!$DX105)</f>
        <v>40</v>
      </c>
      <c r="FK105" s="14">
        <f>INDEX(属性投放!$BQ$6:$BQ$85,(卡牌属性!$DW105-2)*20+卡牌属性!$DX105)</f>
        <v>40</v>
      </c>
      <c r="FL105" s="14">
        <f>INDEX(属性投放!$BQ$6:$BQ$85,(卡牌属性!$DW105-2)*20+卡牌属性!$DX105)</f>
        <v>40</v>
      </c>
      <c r="FM105" s="14">
        <f>INDEX(属性投放!$BR$6:$BR$85,(卡牌属性!$DW105-2)*20+卡牌属性!$DX105)</f>
        <v>20</v>
      </c>
      <c r="FN105" s="14">
        <f>INDEX(属性投放!$BR$6:$BR$85,(卡牌属性!$DW105-2)*20+卡牌属性!$DX105)</f>
        <v>20</v>
      </c>
      <c r="FO105" s="14">
        <f>INDEX(属性投放!$BR$6:$BR$85,(卡牌属性!$DW105-2)*20+卡牌属性!$DX105)</f>
        <v>20</v>
      </c>
      <c r="FP105" s="14">
        <f>INDEX(属性投放!$BR$6:$BR$85,(卡牌属性!$DW105-2)*20+卡牌属性!$DX105)</f>
        <v>20</v>
      </c>
      <c r="FQ105" s="14">
        <f>INDEX(属性投放!$BR$6:$BR$85,(卡牌属性!$DW105-2)*20+卡牌属性!$DX105)</f>
        <v>20</v>
      </c>
      <c r="FR105" s="14">
        <f>INDEX(属性投放!$BS$6:$BS$85,(卡牌属性!$DW105-2)*20+卡牌属性!$DX105)</f>
        <v>240</v>
      </c>
      <c r="FS105" s="14">
        <f>INDEX(属性投放!$BS$6:$BS$85,(卡牌属性!$DW105-2)*20+卡牌属性!$DX105)</f>
        <v>240</v>
      </c>
      <c r="FT105" s="14">
        <f>INDEX(属性投放!$BS$6:$BS$85,(卡牌属性!$DW105-2)*20+卡牌属性!$DX105)</f>
        <v>240</v>
      </c>
      <c r="FU105" s="14">
        <f>INDEX(属性投放!$BS$6:$BS$85,(卡牌属性!$DW105-2)*20+卡牌属性!$DX105)</f>
        <v>240</v>
      </c>
      <c r="FV105" s="14">
        <f>INDEX(属性投放!$BS$6:$BS$85,(卡牌属性!$DW105-2)*20+卡牌属性!$DX105)</f>
        <v>240</v>
      </c>
      <c r="FZ105" s="13">
        <v>101</v>
      </c>
      <c r="GA105" s="13">
        <f t="shared" si="264"/>
        <v>21</v>
      </c>
      <c r="GB105" s="14">
        <f t="shared" si="198"/>
        <v>1102021</v>
      </c>
      <c r="GC105" s="14" t="s">
        <v>1187</v>
      </c>
      <c r="GD105" s="14">
        <f t="shared" si="265"/>
        <v>1</v>
      </c>
      <c r="GE105" s="14" t="str">
        <f t="shared" si="266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3"/>
        <v>21</v>
      </c>
      <c r="GP105" s="14">
        <f t="shared" si="199"/>
        <v>1101026</v>
      </c>
      <c r="GQ105" s="14" t="s">
        <v>1187</v>
      </c>
      <c r="GR105" s="14">
        <f t="shared" si="267"/>
        <v>1</v>
      </c>
      <c r="GS105" s="14" t="str">
        <f t="shared" si="268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MATCH(HC105,属性投放!$AO$6:$AO$58,1)-1</f>
        <v>33</v>
      </c>
      <c r="HF105" s="13">
        <f>MATCH(HC105-1,属性投放!$AE$6:$AE$26,1)</f>
        <v>14</v>
      </c>
      <c r="HG105" s="13" t="str">
        <f>INDEX(属性投放!$AB$7:$AB$26,卡牌属性!HF105)</f>
        <v>焦热+1</v>
      </c>
      <c r="HH105" s="14">
        <f t="shared" si="200"/>
        <v>4793</v>
      </c>
      <c r="HI105" s="14">
        <f t="shared" si="201"/>
        <v>2013</v>
      </c>
      <c r="HJ105" s="14">
        <f t="shared" si="202"/>
        <v>32984</v>
      </c>
      <c r="HK105" s="14">
        <f t="shared" si="203"/>
        <v>40</v>
      </c>
      <c r="HL105" s="14">
        <f t="shared" si="204"/>
        <v>13</v>
      </c>
      <c r="HM105" s="14">
        <f t="shared" si="205"/>
        <v>260</v>
      </c>
      <c r="HN105" s="14">
        <f>HH105+HK105*($HC105-INDEX(属性投放!$AE$6:$AE$26,卡牌属性!$HF105))</f>
        <v>5033</v>
      </c>
      <c r="HO105" s="14">
        <f>HI105+HL105*($HC105-INDEX(属性投放!$AE$6:$AE$26,卡牌属性!$HF105))</f>
        <v>2091</v>
      </c>
      <c r="HP105" s="14">
        <f>HJ105+HM105*($HC105-INDEX(属性投放!$AE$6:$AE$26,卡牌属性!$HF105))</f>
        <v>34544</v>
      </c>
      <c r="HQ105" s="14">
        <f t="shared" si="206"/>
        <v>4540</v>
      </c>
      <c r="HR105" s="14">
        <f t="shared" si="207"/>
        <v>2278</v>
      </c>
      <c r="HS105" s="14">
        <f t="shared" si="208"/>
        <v>40835</v>
      </c>
      <c r="HT105" s="14">
        <f>IF(COUNTIF(属性投放!$AO$7:$AO$58,"="&amp;卡牌属性!HC105)&gt;0,卡牌属性!HE105,0)</f>
        <v>0</v>
      </c>
      <c r="HU105" s="14">
        <f t="shared" si="209"/>
        <v>0</v>
      </c>
      <c r="HV105" s="14">
        <f t="shared" si="210"/>
        <v>0</v>
      </c>
      <c r="HW105" s="14">
        <f t="shared" si="211"/>
        <v>0</v>
      </c>
      <c r="HX105" s="14">
        <f>IF(COUNTIF(属性投放!$AE$6:$AE$26,"="&amp;卡牌属性!HC105)&gt;0,卡牌属性!HF105,0)</f>
        <v>0</v>
      </c>
      <c r="HY105" s="14">
        <f t="shared" si="212"/>
        <v>0</v>
      </c>
      <c r="HZ105" s="14">
        <f t="shared" si="213"/>
        <v>0</v>
      </c>
      <c r="IA105" s="14">
        <f t="shared" si="214"/>
        <v>0</v>
      </c>
      <c r="IB105" s="14">
        <f t="shared" si="215"/>
        <v>40</v>
      </c>
      <c r="IC105" s="14">
        <f t="shared" si="216"/>
        <v>13</v>
      </c>
      <c r="ID105" s="14">
        <f t="shared" si="217"/>
        <v>260</v>
      </c>
      <c r="IE105" s="14">
        <f t="shared" si="218"/>
        <v>9573</v>
      </c>
      <c r="IF105" s="14">
        <f t="shared" si="219"/>
        <v>4369</v>
      </c>
      <c r="IG105" s="14">
        <f t="shared" si="220"/>
        <v>75379</v>
      </c>
      <c r="IH105" s="14">
        <f t="shared" si="221"/>
        <v>920</v>
      </c>
      <c r="II105" s="14">
        <f t="shared" si="222"/>
        <v>0</v>
      </c>
      <c r="IJ105" s="14">
        <f t="shared" si="223"/>
        <v>0</v>
      </c>
      <c r="IK105" s="14">
        <f t="shared" si="224"/>
        <v>258489</v>
      </c>
      <c r="IL105" s="17">
        <f t="shared" si="225"/>
        <v>3.5591456502984654E-3</v>
      </c>
      <c r="IM105" s="17">
        <f t="shared" si="226"/>
        <v>0</v>
      </c>
      <c r="IN105" s="17">
        <f t="shared" si="227"/>
        <v>0</v>
      </c>
      <c r="IO105" s="23">
        <f>SUM(IH$5:IH105)</f>
        <v>55884</v>
      </c>
      <c r="IP105" s="14">
        <f>SUM(II$5:II105)</f>
        <v>131795</v>
      </c>
      <c r="IQ105" s="14">
        <f>SUM(IJ$5:IJ105)</f>
        <v>54140</v>
      </c>
      <c r="IR105" s="17">
        <f t="shared" si="228"/>
        <v>0.21619488643617329</v>
      </c>
      <c r="IS105" s="17">
        <f t="shared" si="229"/>
        <v>0.50986695758813716</v>
      </c>
      <c r="IT105" s="17">
        <f t="shared" si="230"/>
        <v>0.20944798424691186</v>
      </c>
      <c r="IW105" s="13">
        <v>101</v>
      </c>
      <c r="IX105" s="14">
        <f>MATCH(IW105-1,属性投放!$T$6:$T$66,1)</f>
        <v>19</v>
      </c>
      <c r="IY105" s="14">
        <f>MATCH(IW105-1,属性投放!$AD$7:$AD$26,1)</f>
        <v>14</v>
      </c>
      <c r="IZ105" s="14" t="str">
        <f>INDEX(属性投放!$AB$7:$AB$26,IY105)</f>
        <v>焦热+1</v>
      </c>
      <c r="JA105" s="14">
        <f t="shared" si="231"/>
        <v>4906</v>
      </c>
      <c r="JB105" s="14">
        <f t="shared" si="232"/>
        <v>2405</v>
      </c>
      <c r="JC105" s="14">
        <f t="shared" si="233"/>
        <v>40846</v>
      </c>
      <c r="JD105" s="14">
        <f t="shared" si="234"/>
        <v>151</v>
      </c>
      <c r="JE105" s="14">
        <f t="shared" si="235"/>
        <v>76</v>
      </c>
      <c r="JF105" s="14">
        <f t="shared" si="236"/>
        <v>1510</v>
      </c>
      <c r="JG105" s="14">
        <f>INDEX(属性投放!$DC$6:$DC$85,卡牌属性!IY105)</f>
        <v>85</v>
      </c>
      <c r="JH105" s="14">
        <f t="shared" si="237"/>
        <v>7322</v>
      </c>
      <c r="JI105" s="14">
        <f t="shared" si="238"/>
        <v>3621</v>
      </c>
      <c r="JJ105" s="14">
        <f t="shared" si="239"/>
        <v>65006</v>
      </c>
      <c r="JK105" s="14">
        <f t="shared" si="240"/>
        <v>137826</v>
      </c>
    </row>
    <row r="106" spans="31:271" ht="16.5" x14ac:dyDescent="0.2">
      <c r="AE106" s="13">
        <v>102</v>
      </c>
      <c r="AF106" s="13">
        <f t="shared" si="188"/>
        <v>6</v>
      </c>
      <c r="AG106" s="13">
        <f t="shared" si="169"/>
        <v>4</v>
      </c>
      <c r="AH106" s="13"/>
      <c r="AI106" s="13"/>
      <c r="AJ106" s="14">
        <f t="shared" si="170"/>
        <v>1101006</v>
      </c>
      <c r="AK106" s="14" t="str">
        <f t="shared" si="171"/>
        <v>红莲·缇娜2突</v>
      </c>
      <c r="AL106" s="25" t="s">
        <v>142</v>
      </c>
      <c r="AM106" s="14">
        <v>1</v>
      </c>
      <c r="AN106" s="14">
        <f t="shared" si="172"/>
        <v>2</v>
      </c>
      <c r="AO106" s="14">
        <f>INDEX(属性投放!$DF$6:$DF$85,(卡牌属性!AG106-2)*20+卡牌属性!AN106)</f>
        <v>310</v>
      </c>
      <c r="AP106" s="14">
        <f t="shared" si="269"/>
        <v>310</v>
      </c>
      <c r="AQ106" s="14">
        <f t="shared" si="269"/>
        <v>310</v>
      </c>
      <c r="AR106" s="14">
        <f t="shared" si="269"/>
        <v>310</v>
      </c>
      <c r="AS106" s="14">
        <f t="shared" si="269"/>
        <v>310</v>
      </c>
      <c r="AT106" s="14">
        <f>INDEX(属性投放!$DG$6:$DG$85,(卡牌属性!AG106-2)*20+卡牌属性!AN106)</f>
        <v>80</v>
      </c>
      <c r="AU106" s="14">
        <f t="shared" si="270"/>
        <v>80</v>
      </c>
      <c r="AV106" s="14">
        <f t="shared" si="270"/>
        <v>80</v>
      </c>
      <c r="AW106" s="14">
        <f t="shared" si="270"/>
        <v>80</v>
      </c>
      <c r="AX106" s="14">
        <f t="shared" si="270"/>
        <v>80</v>
      </c>
      <c r="AY106" s="14">
        <f>INDEX(属性投放!$DH$6:$DH$85,(卡牌属性!AG106-2)*20+卡牌属性!AN106)</f>
        <v>1275</v>
      </c>
      <c r="AZ106" s="14">
        <f t="shared" si="271"/>
        <v>1275</v>
      </c>
      <c r="BA106" s="14">
        <f t="shared" si="271"/>
        <v>1275</v>
      </c>
      <c r="BB106" s="14">
        <f t="shared" si="271"/>
        <v>1275</v>
      </c>
      <c r="BC106" s="14">
        <f t="shared" si="271"/>
        <v>1275</v>
      </c>
      <c r="BD106" s="14">
        <f>INDEX(属性投放!$DL$6:$DL$85,(卡牌属性!AG106-2)*20+卡牌属性!AN106)</f>
        <v>22</v>
      </c>
      <c r="BE106" s="14">
        <f t="shared" si="272"/>
        <v>22</v>
      </c>
      <c r="BF106" s="14">
        <f t="shared" si="272"/>
        <v>22</v>
      </c>
      <c r="BG106" s="14">
        <f t="shared" si="272"/>
        <v>22</v>
      </c>
      <c r="BH106" s="14">
        <f t="shared" si="272"/>
        <v>22</v>
      </c>
      <c r="BI106" s="14">
        <f>INDEX(属性投放!$DM$6:$DM$85,(卡牌属性!AG106-2)*20+卡牌属性!AN106)</f>
        <v>11</v>
      </c>
      <c r="BJ106" s="14">
        <f t="shared" si="273"/>
        <v>11</v>
      </c>
      <c r="BK106" s="14">
        <f t="shared" si="273"/>
        <v>11</v>
      </c>
      <c r="BL106" s="14">
        <f t="shared" si="273"/>
        <v>11</v>
      </c>
      <c r="BM106" s="14">
        <f t="shared" si="273"/>
        <v>11</v>
      </c>
      <c r="BN106" s="14">
        <f>INDEX(属性投放!$DN$6:$DN$85,(卡牌属性!AG106-2)*20+卡牌属性!AN106)</f>
        <v>132</v>
      </c>
      <c r="BO106" s="14">
        <f t="shared" si="274"/>
        <v>132</v>
      </c>
      <c r="BP106" s="14">
        <f t="shared" si="274"/>
        <v>132</v>
      </c>
      <c r="BQ106" s="14">
        <f t="shared" si="274"/>
        <v>132</v>
      </c>
      <c r="BR106" s="14">
        <f t="shared" si="274"/>
        <v>132</v>
      </c>
      <c r="BW106" s="13">
        <v>102</v>
      </c>
      <c r="BX106" s="13">
        <f t="shared" si="173"/>
        <v>6</v>
      </c>
      <c r="BY106" s="14">
        <f t="shared" si="174"/>
        <v>5</v>
      </c>
      <c r="BZ106" s="14">
        <f t="shared" si="189"/>
        <v>1102006</v>
      </c>
      <c r="CA106" s="14" t="str">
        <f t="shared" si="190"/>
        <v>项羽2突</v>
      </c>
      <c r="CB106" s="25" t="s">
        <v>142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INDEX(属性投放!$AZ$6:$AZ$85,(BY106-2)*20+CD106)</f>
        <v>435</v>
      </c>
      <c r="CG106" s="14" t="s">
        <v>22</v>
      </c>
      <c r="CH106" s="14">
        <f>INDEX(属性投放!$BA$6:$BA$85,(BY106-2)*20+CD106)</f>
        <v>120</v>
      </c>
      <c r="CI106" s="14" t="s">
        <v>510</v>
      </c>
      <c r="CJ106" s="14">
        <f>INDEX(属性投放!$BB$6:$BB$85,(BY106-2)*20+CD106)</f>
        <v>2010</v>
      </c>
      <c r="CK106" s="14" t="s">
        <v>21</v>
      </c>
      <c r="CL106" s="14">
        <f>INDEX(属性投放!$BC$6:$BC$85,(BY106-2)*20+CD106)</f>
        <v>20</v>
      </c>
      <c r="CM106" s="14" t="s">
        <v>22</v>
      </c>
      <c r="CN106" s="14">
        <f>INDEX(属性投放!$BD$6:$BD$85,(BY106-2)*20+CD106)</f>
        <v>10</v>
      </c>
      <c r="CO106" s="14" t="s">
        <v>510</v>
      </c>
      <c r="CP106" s="14">
        <f>INDEX(属性投放!$BE$6:$BE$85,(BY106-2)*20+CD106)</f>
        <v>120</v>
      </c>
      <c r="CS106" s="13">
        <v>102</v>
      </c>
      <c r="CT106" s="13">
        <f t="shared" si="191"/>
        <v>2</v>
      </c>
      <c r="CU106" s="13">
        <f t="shared" si="192"/>
        <v>50</v>
      </c>
      <c r="CV106" s="14">
        <f t="shared" si="193"/>
        <v>3</v>
      </c>
      <c r="CW106" s="14">
        <f t="shared" si="194"/>
        <v>1102002</v>
      </c>
      <c r="CX106" s="14" t="str">
        <f>INDEX($O$6:$O$50,CT106)&amp;"-"&amp;INDEX(属性投放!$AB$7:$AB$50,CZ106)&amp;"-魂火-"&amp;DB106</f>
        <v>许褚-无间+1-魂火-2</v>
      </c>
      <c r="CY106" s="25" t="s">
        <v>142</v>
      </c>
      <c r="CZ106" s="14">
        <f>INDEX(属性投放!$AM$7:$AM$58,CU106)</f>
        <v>20</v>
      </c>
      <c r="DA106" s="14" t="s">
        <v>537</v>
      </c>
      <c r="DB106" s="14">
        <f>INDEX(属性投放!$AN$7:$AN$58,CU106)</f>
        <v>2</v>
      </c>
      <c r="DC106" s="14">
        <f t="shared" si="176"/>
        <v>50</v>
      </c>
      <c r="DD106" s="14">
        <f>INDEX(属性投放!$AO$7:$AO$58,DC106)</f>
        <v>143</v>
      </c>
      <c r="DE106" s="14" t="s">
        <v>538</v>
      </c>
      <c r="DF106" s="14">
        <f>INDEX(属性投放!$BK$6:$BK$85,(CV106-2)*20+CZ106)</f>
        <v>1000</v>
      </c>
      <c r="DG106" s="14">
        <f>SUMIFS(DF$5:DF106,$CT$5:$CT106,"="&amp;$CT106)</f>
        <v>15370</v>
      </c>
      <c r="DH106" s="14" t="s">
        <v>539</v>
      </c>
      <c r="DI106" s="14">
        <f>INDEX(属性投放!$BL$6:$BL$85,(CV106-2)*20+CZ106)</f>
        <v>500</v>
      </c>
      <c r="DJ106" s="14">
        <f>SUMIFS(DI$5:DI106,$CT$5:$CT106,"="&amp;$CT106)</f>
        <v>7688</v>
      </c>
      <c r="DK106" s="14" t="s">
        <v>540</v>
      </c>
      <c r="DL106" s="14">
        <f>INDEX(属性投放!$BM$6:$BM$85,(CV106-2)*20+CZ106)</f>
        <v>10000</v>
      </c>
      <c r="DM106" s="14">
        <f>SUMIFS(DL$5:DL106,$CT$5:$CT106,"="&amp;$CT106)</f>
        <v>149740</v>
      </c>
      <c r="DR106" s="14">
        <f t="shared" si="177"/>
        <v>1102006</v>
      </c>
      <c r="DS106" s="14" t="str">
        <f t="shared" si="178"/>
        <v>项羽2突</v>
      </c>
      <c r="DT106" s="14">
        <f t="shared" si="195"/>
        <v>8</v>
      </c>
      <c r="DU106" s="14">
        <f t="shared" si="196"/>
        <v>9</v>
      </c>
      <c r="DV106" s="14">
        <f t="shared" si="197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INDEX(属性投放!$AX$6:$AX$85,(卡牌属性!DW106-2)*20+卡牌属性!DX106)</f>
        <v>10</v>
      </c>
      <c r="EA106" s="14">
        <f>INDEX(属性投放!BQ$6:BQ$85,卡牌属性!$DY106)</f>
        <v>50</v>
      </c>
      <c r="EB106" s="14">
        <f>INDEX(属性投放!BR$6:BR$85,卡牌属性!$DY106)</f>
        <v>25</v>
      </c>
      <c r="EC106" s="14">
        <f>INDEX(属性投放!BS$6:BS$85,卡牌属性!$DY106)</f>
        <v>300</v>
      </c>
      <c r="ED106" s="14">
        <f t="shared" ref="ED106:ED124" si="275">ED105+$EA105+ES105*$DZ105</f>
        <v>342</v>
      </c>
      <c r="EE106" s="14">
        <f t="shared" ref="EE106:EE124" si="276">EE105+$EA105+ET105*$DZ105</f>
        <v>400</v>
      </c>
      <c r="EF106" s="14">
        <f t="shared" ref="EF106:EF124" si="277">EF105+$EA105+EU105*$DZ105</f>
        <v>470</v>
      </c>
      <c r="EG106" s="14">
        <f t="shared" ref="EG106:EG124" si="278">EG105+$EA105+EV105*$DZ105</f>
        <v>470</v>
      </c>
      <c r="EH106" s="14">
        <f t="shared" ref="EH106:EH124" si="279">EH105+$EA105+EW105*$DZ105</f>
        <v>540</v>
      </c>
      <c r="EI106" s="14">
        <f t="shared" ref="EI106:EI124" si="280">EI105+$EB105+EX105*$DZ105</f>
        <v>152</v>
      </c>
      <c r="EJ106" s="14">
        <f t="shared" ref="EJ106:EJ124" si="281">EJ105+$EB105+EY105*$DZ105</f>
        <v>210</v>
      </c>
      <c r="EK106" s="14">
        <f t="shared" ref="EK106:EK124" si="282">EK105+$EB105+EZ105*$DZ105</f>
        <v>210</v>
      </c>
      <c r="EL106" s="14">
        <f t="shared" ref="EL106:EL124" si="283">EL105+$EB105+FA105*$DZ105</f>
        <v>272</v>
      </c>
      <c r="EM106" s="14">
        <f t="shared" ref="EM106:EM124" si="284">EM105+$EB105+FB105*$DZ105</f>
        <v>330</v>
      </c>
      <c r="EN106" s="14">
        <f t="shared" ref="EN106:EN124" si="285">EN105+$EC105+FC105*$DZ105</f>
        <v>1552</v>
      </c>
      <c r="EO106" s="14">
        <f t="shared" ref="EO106:EO124" si="286">EO105+$EC105+FD105*$DZ105</f>
        <v>1800</v>
      </c>
      <c r="EP106" s="14">
        <f t="shared" ref="EP106:EP124" si="287">EP105+$EC105+FE105*$DZ105</f>
        <v>1800</v>
      </c>
      <c r="EQ106" s="14">
        <f t="shared" ref="EQ106:EQ124" si="288">EQ105+$EC105+FF105*$DZ105</f>
        <v>2220</v>
      </c>
      <c r="ER106" s="14">
        <f t="shared" ref="ER106:ER124" si="289">ER105+$EC105+FG105*$DZ105</f>
        <v>2840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102</v>
      </c>
      <c r="FD106" s="14">
        <f>INDEX(属性偏向!$U$4:$U$243,(卡牌属性!$DV106-1+FD$3)*20+卡牌属性!$DX106)</f>
        <v>120</v>
      </c>
      <c r="FE106" s="14">
        <f>INDEX(属性偏向!$U$4:$U$243,(卡牌属性!$DV106-1+FE$3)*20+卡牌属性!$DX106)</f>
        <v>120</v>
      </c>
      <c r="FF106" s="14">
        <f>INDEX(属性偏向!$U$4:$U$243,(卡牌属性!$DV106-1+FF$3)*20+卡牌属性!$DX106)</f>
        <v>150</v>
      </c>
      <c r="FG106" s="14">
        <f>INDEX(属性偏向!$U$4:$U$243,(卡牌属性!$DV106-1+FG$3)*20+卡牌属性!$DX106)</f>
        <v>180</v>
      </c>
      <c r="FH106" s="14">
        <f>INDEX(属性投放!$BQ$6:$BQ$85,(卡牌属性!$DW106-2)*20+卡牌属性!$DX106)</f>
        <v>50</v>
      </c>
      <c r="FI106" s="14">
        <f>INDEX(属性投放!$BQ$6:$BQ$85,(卡牌属性!$DW106-2)*20+卡牌属性!$DX106)</f>
        <v>50</v>
      </c>
      <c r="FJ106" s="14">
        <f>INDEX(属性投放!$BQ$6:$BQ$85,(卡牌属性!$DW106-2)*20+卡牌属性!$DX106)</f>
        <v>50</v>
      </c>
      <c r="FK106" s="14">
        <f>INDEX(属性投放!$BQ$6:$BQ$85,(卡牌属性!$DW106-2)*20+卡牌属性!$DX106)</f>
        <v>50</v>
      </c>
      <c r="FL106" s="14">
        <f>INDEX(属性投放!$BQ$6:$BQ$85,(卡牌属性!$DW106-2)*20+卡牌属性!$DX106)</f>
        <v>50</v>
      </c>
      <c r="FM106" s="14">
        <f>INDEX(属性投放!$BR$6:$BR$85,(卡牌属性!$DW106-2)*20+卡牌属性!$DX106)</f>
        <v>25</v>
      </c>
      <c r="FN106" s="14">
        <f>INDEX(属性投放!$BR$6:$BR$85,(卡牌属性!$DW106-2)*20+卡牌属性!$DX106)</f>
        <v>25</v>
      </c>
      <c r="FO106" s="14">
        <f>INDEX(属性投放!$BR$6:$BR$85,(卡牌属性!$DW106-2)*20+卡牌属性!$DX106)</f>
        <v>25</v>
      </c>
      <c r="FP106" s="14">
        <f>INDEX(属性投放!$BR$6:$BR$85,(卡牌属性!$DW106-2)*20+卡牌属性!$DX106)</f>
        <v>25</v>
      </c>
      <c r="FQ106" s="14">
        <f>INDEX(属性投放!$BR$6:$BR$85,(卡牌属性!$DW106-2)*20+卡牌属性!$DX106)</f>
        <v>25</v>
      </c>
      <c r="FR106" s="14">
        <f>INDEX(属性投放!$BS$6:$BS$85,(卡牌属性!$DW106-2)*20+卡牌属性!$DX106)</f>
        <v>300</v>
      </c>
      <c r="FS106" s="14">
        <f>INDEX(属性投放!$BS$6:$BS$85,(卡牌属性!$DW106-2)*20+卡牌属性!$DX106)</f>
        <v>300</v>
      </c>
      <c r="FT106" s="14">
        <f>INDEX(属性投放!$BS$6:$BS$85,(卡牌属性!$DW106-2)*20+卡牌属性!$DX106)</f>
        <v>300</v>
      </c>
      <c r="FU106" s="14">
        <f>INDEX(属性投放!$BS$6:$BS$85,(卡牌属性!$DW106-2)*20+卡牌属性!$DX106)</f>
        <v>300</v>
      </c>
      <c r="FV106" s="14">
        <f>INDEX(属性投放!$BS$6:$BS$85,(卡牌属性!$DW106-2)*20+卡牌属性!$DX106)</f>
        <v>300</v>
      </c>
      <c r="FZ106" s="13">
        <v>102</v>
      </c>
      <c r="GA106" s="13">
        <f t="shared" si="264"/>
        <v>21</v>
      </c>
      <c r="GB106" s="14">
        <f t="shared" si="198"/>
        <v>1102021</v>
      </c>
      <c r="GC106" s="14" t="s">
        <v>1187</v>
      </c>
      <c r="GD106" s="14">
        <f t="shared" si="265"/>
        <v>2</v>
      </c>
      <c r="GE106" s="14" t="str">
        <f t="shared" si="266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3"/>
        <v>21</v>
      </c>
      <c r="GP106" s="14">
        <f t="shared" si="199"/>
        <v>1101026</v>
      </c>
      <c r="GQ106" s="14" t="s">
        <v>1187</v>
      </c>
      <c r="GR106" s="14">
        <f t="shared" si="267"/>
        <v>2</v>
      </c>
      <c r="GS106" s="14" t="str">
        <f t="shared" si="268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MATCH(HC106,属性投放!$AO$6:$AO$58,1)-1</f>
        <v>33</v>
      </c>
      <c r="HF106" s="13">
        <f>MATCH(HC106-1,属性投放!$AE$6:$AE$26,1)</f>
        <v>14</v>
      </c>
      <c r="HG106" s="13" t="str">
        <f>INDEX(属性投放!$AB$7:$AB$26,卡牌属性!HF106)</f>
        <v>焦热+1</v>
      </c>
      <c r="HH106" s="14">
        <f t="shared" si="200"/>
        <v>4793</v>
      </c>
      <c r="HI106" s="14">
        <f t="shared" si="201"/>
        <v>2013</v>
      </c>
      <c r="HJ106" s="14">
        <f t="shared" si="202"/>
        <v>32984</v>
      </c>
      <c r="HK106" s="14">
        <f t="shared" si="203"/>
        <v>40</v>
      </c>
      <c r="HL106" s="14">
        <f t="shared" si="204"/>
        <v>13</v>
      </c>
      <c r="HM106" s="14">
        <f t="shared" si="205"/>
        <v>260</v>
      </c>
      <c r="HN106" s="14">
        <f>HH106+HK106*($HC106-INDEX(属性投放!$AE$6:$AE$26,卡牌属性!$HF106))</f>
        <v>5073</v>
      </c>
      <c r="HO106" s="14">
        <f>HI106+HL106*($HC106-INDEX(属性投放!$AE$6:$AE$26,卡牌属性!$HF106))</f>
        <v>2104</v>
      </c>
      <c r="HP106" s="14">
        <f>HJ106+HM106*($HC106-INDEX(属性投放!$AE$6:$AE$26,卡牌属性!$HF106))</f>
        <v>34804</v>
      </c>
      <c r="HQ106" s="14">
        <f t="shared" si="206"/>
        <v>4540</v>
      </c>
      <c r="HR106" s="14">
        <f t="shared" si="207"/>
        <v>2278</v>
      </c>
      <c r="HS106" s="14">
        <f t="shared" si="208"/>
        <v>40835</v>
      </c>
      <c r="HT106" s="14">
        <f>IF(COUNTIF(属性投放!$AO$7:$AO$58,"="&amp;卡牌属性!HC106)&gt;0,卡牌属性!HE106,0)</f>
        <v>0</v>
      </c>
      <c r="HU106" s="14">
        <f t="shared" si="209"/>
        <v>0</v>
      </c>
      <c r="HV106" s="14">
        <f t="shared" si="210"/>
        <v>0</v>
      </c>
      <c r="HW106" s="14">
        <f t="shared" si="211"/>
        <v>0</v>
      </c>
      <c r="HX106" s="14">
        <f>IF(COUNTIF(属性投放!$AE$6:$AE$26,"="&amp;卡牌属性!HC106)&gt;0,卡牌属性!HF106,0)</f>
        <v>14</v>
      </c>
      <c r="HY106" s="14">
        <f t="shared" si="212"/>
        <v>450</v>
      </c>
      <c r="HZ106" s="14">
        <f t="shared" si="213"/>
        <v>225</v>
      </c>
      <c r="IA106" s="14">
        <f t="shared" si="214"/>
        <v>4500</v>
      </c>
      <c r="IB106" s="14">
        <f t="shared" si="215"/>
        <v>40</v>
      </c>
      <c r="IC106" s="14">
        <f t="shared" si="216"/>
        <v>13</v>
      </c>
      <c r="ID106" s="14">
        <f t="shared" si="217"/>
        <v>260</v>
      </c>
      <c r="IE106" s="14">
        <f t="shared" si="218"/>
        <v>9613</v>
      </c>
      <c r="IF106" s="14">
        <f t="shared" si="219"/>
        <v>4382</v>
      </c>
      <c r="IG106" s="14">
        <f t="shared" si="220"/>
        <v>75639</v>
      </c>
      <c r="IH106" s="14">
        <f t="shared" si="221"/>
        <v>920</v>
      </c>
      <c r="II106" s="14">
        <f t="shared" si="222"/>
        <v>0</v>
      </c>
      <c r="IJ106" s="14">
        <f t="shared" si="223"/>
        <v>13500</v>
      </c>
      <c r="IK106" s="14">
        <f t="shared" si="224"/>
        <v>259409</v>
      </c>
      <c r="IL106" s="17">
        <f t="shared" si="225"/>
        <v>3.5465230581822526E-3</v>
      </c>
      <c r="IM106" s="17">
        <f t="shared" si="226"/>
        <v>0</v>
      </c>
      <c r="IN106" s="17">
        <f t="shared" si="227"/>
        <v>5.2041370962456972E-2</v>
      </c>
      <c r="IO106" s="23">
        <f>SUM(IH$5:IH106)</f>
        <v>56804</v>
      </c>
      <c r="IP106" s="14">
        <f>SUM(II$5:II106)</f>
        <v>131795</v>
      </c>
      <c r="IQ106" s="14">
        <f>SUM(IJ$5:IJ106)</f>
        <v>67640</v>
      </c>
      <c r="IR106" s="17">
        <f t="shared" si="228"/>
        <v>0.21897466934454857</v>
      </c>
      <c r="IS106" s="17">
        <f t="shared" si="229"/>
        <v>0.50805870266644571</v>
      </c>
      <c r="IT106" s="17">
        <f t="shared" si="230"/>
        <v>0.26074654310374734</v>
      </c>
      <c r="IW106" s="13">
        <v>102</v>
      </c>
      <c r="IX106" s="14">
        <f>MATCH(IW106-1,属性投放!$T$6:$T$66,1)</f>
        <v>20</v>
      </c>
      <c r="IY106" s="14">
        <f>MATCH(IW106-1,属性投放!$AD$7:$AD$26,1)</f>
        <v>14</v>
      </c>
      <c r="IZ106" s="14" t="str">
        <f>INDEX(属性投放!$AB$7:$AB$26,IY106)</f>
        <v>焦热+1</v>
      </c>
      <c r="JA106" s="14">
        <f t="shared" si="231"/>
        <v>4906</v>
      </c>
      <c r="JB106" s="14">
        <f t="shared" si="232"/>
        <v>2405</v>
      </c>
      <c r="JC106" s="14">
        <f t="shared" si="233"/>
        <v>40846</v>
      </c>
      <c r="JD106" s="14">
        <f t="shared" si="234"/>
        <v>151</v>
      </c>
      <c r="JE106" s="14">
        <f t="shared" si="235"/>
        <v>76</v>
      </c>
      <c r="JF106" s="14">
        <f t="shared" si="236"/>
        <v>1510</v>
      </c>
      <c r="JG106" s="14">
        <f>INDEX(属性投放!$DC$6:$DC$85,卡牌属性!IY106)</f>
        <v>85</v>
      </c>
      <c r="JH106" s="14">
        <f t="shared" si="237"/>
        <v>7473</v>
      </c>
      <c r="JI106" s="14">
        <f t="shared" si="238"/>
        <v>3697</v>
      </c>
      <c r="JJ106" s="14">
        <f t="shared" si="239"/>
        <v>66516</v>
      </c>
      <c r="JK106" s="14">
        <f t="shared" si="240"/>
        <v>140851</v>
      </c>
    </row>
    <row r="107" spans="31:271" ht="16.5" x14ac:dyDescent="0.2">
      <c r="AE107" s="13">
        <v>103</v>
      </c>
      <c r="AF107" s="13">
        <f t="shared" si="188"/>
        <v>6</v>
      </c>
      <c r="AG107" s="13">
        <f t="shared" si="169"/>
        <v>4</v>
      </c>
      <c r="AH107" s="13"/>
      <c r="AI107" s="13"/>
      <c r="AJ107" s="14">
        <f t="shared" si="170"/>
        <v>1101006</v>
      </c>
      <c r="AK107" s="14" t="str">
        <f t="shared" si="171"/>
        <v>红莲·缇娜3突</v>
      </c>
      <c r="AL107" s="25" t="s">
        <v>142</v>
      </c>
      <c r="AM107" s="14">
        <v>1</v>
      </c>
      <c r="AN107" s="14">
        <f t="shared" si="172"/>
        <v>3</v>
      </c>
      <c r="AO107" s="14">
        <f>INDEX(属性投放!$DF$6:$DF$85,(卡牌属性!AG107-2)*20+卡牌属性!AN107)</f>
        <v>365</v>
      </c>
      <c r="AP107" s="14">
        <f t="shared" si="269"/>
        <v>365</v>
      </c>
      <c r="AQ107" s="14">
        <f t="shared" si="269"/>
        <v>365</v>
      </c>
      <c r="AR107" s="14">
        <f t="shared" si="269"/>
        <v>365</v>
      </c>
      <c r="AS107" s="14">
        <f t="shared" si="269"/>
        <v>365</v>
      </c>
      <c r="AT107" s="14">
        <f>INDEX(属性投放!$DG$6:$DG$85,(卡牌属性!AG107-2)*20+卡牌属性!AN107)</f>
        <v>109</v>
      </c>
      <c r="AU107" s="14">
        <f t="shared" si="270"/>
        <v>109</v>
      </c>
      <c r="AV107" s="14">
        <f t="shared" si="270"/>
        <v>109</v>
      </c>
      <c r="AW107" s="14">
        <f t="shared" si="270"/>
        <v>109</v>
      </c>
      <c r="AX107" s="14">
        <f t="shared" si="270"/>
        <v>109</v>
      </c>
      <c r="AY107" s="14">
        <f>INDEX(属性投放!$DH$6:$DH$85,(卡牌属性!AG107-2)*20+卡牌属性!AN107)</f>
        <v>1605</v>
      </c>
      <c r="AZ107" s="14">
        <f t="shared" si="271"/>
        <v>1605</v>
      </c>
      <c r="BA107" s="14">
        <f t="shared" si="271"/>
        <v>1605</v>
      </c>
      <c r="BB107" s="14">
        <f t="shared" si="271"/>
        <v>1605</v>
      </c>
      <c r="BC107" s="14">
        <f t="shared" si="271"/>
        <v>1605</v>
      </c>
      <c r="BD107" s="14">
        <f>INDEX(属性投放!$DL$6:$DL$85,(卡牌属性!AG107-2)*20+卡牌属性!AN107)</f>
        <v>22</v>
      </c>
      <c r="BE107" s="14">
        <f t="shared" si="272"/>
        <v>22</v>
      </c>
      <c r="BF107" s="14">
        <f t="shared" si="272"/>
        <v>22</v>
      </c>
      <c r="BG107" s="14">
        <f t="shared" si="272"/>
        <v>22</v>
      </c>
      <c r="BH107" s="14">
        <f t="shared" si="272"/>
        <v>22</v>
      </c>
      <c r="BI107" s="14">
        <f>INDEX(属性投放!$DM$6:$DM$85,(卡牌属性!AG107-2)*20+卡牌属性!AN107)</f>
        <v>11</v>
      </c>
      <c r="BJ107" s="14">
        <f t="shared" si="273"/>
        <v>11</v>
      </c>
      <c r="BK107" s="14">
        <f t="shared" si="273"/>
        <v>11</v>
      </c>
      <c r="BL107" s="14">
        <f t="shared" si="273"/>
        <v>11</v>
      </c>
      <c r="BM107" s="14">
        <f t="shared" si="273"/>
        <v>11</v>
      </c>
      <c r="BN107" s="14">
        <f>INDEX(属性投放!$DN$6:$DN$85,(卡牌属性!AG107-2)*20+卡牌属性!AN107)</f>
        <v>132</v>
      </c>
      <c r="BO107" s="14">
        <f t="shared" si="274"/>
        <v>132</v>
      </c>
      <c r="BP107" s="14">
        <f t="shared" si="274"/>
        <v>132</v>
      </c>
      <c r="BQ107" s="14">
        <f t="shared" si="274"/>
        <v>132</v>
      </c>
      <c r="BR107" s="14">
        <f t="shared" si="274"/>
        <v>132</v>
      </c>
      <c r="BW107" s="13">
        <v>103</v>
      </c>
      <c r="BX107" s="13">
        <f t="shared" si="173"/>
        <v>6</v>
      </c>
      <c r="BY107" s="14">
        <f t="shared" si="174"/>
        <v>5</v>
      </c>
      <c r="BZ107" s="14">
        <f t="shared" si="189"/>
        <v>1102006</v>
      </c>
      <c r="CA107" s="14" t="str">
        <f t="shared" si="190"/>
        <v>项羽3突</v>
      </c>
      <c r="CB107" s="25" t="s">
        <v>142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INDEX(属性投放!$AZ$6:$AZ$85,(BY107-2)*20+CD107)</f>
        <v>765</v>
      </c>
      <c r="CG107" s="14" t="s">
        <v>22</v>
      </c>
      <c r="CH107" s="14">
        <f>INDEX(属性投放!$BA$6:$BA$85,(BY107-2)*20+CD107)</f>
        <v>285</v>
      </c>
      <c r="CI107" s="14" t="s">
        <v>510</v>
      </c>
      <c r="CJ107" s="14">
        <f>INDEX(属性投放!$BB$6:$BB$85,(BY107-2)*20+CD107)</f>
        <v>3990</v>
      </c>
      <c r="CK107" s="14" t="s">
        <v>21</v>
      </c>
      <c r="CL107" s="14">
        <f>INDEX(属性投放!$BC$6:$BC$85,(BY107-2)*20+CD107)</f>
        <v>20</v>
      </c>
      <c r="CM107" s="14" t="s">
        <v>22</v>
      </c>
      <c r="CN107" s="14">
        <f>INDEX(属性投放!$BD$6:$BD$85,(BY107-2)*20+CD107)</f>
        <v>10</v>
      </c>
      <c r="CO107" s="14" t="s">
        <v>510</v>
      </c>
      <c r="CP107" s="14">
        <f>INDEX(属性投放!$BE$6:$BE$85,(BY107-2)*20+CD107)</f>
        <v>120</v>
      </c>
      <c r="CS107" s="13">
        <v>103</v>
      </c>
      <c r="CT107" s="13">
        <f t="shared" si="191"/>
        <v>2</v>
      </c>
      <c r="CU107" s="13">
        <f t="shared" si="192"/>
        <v>51</v>
      </c>
      <c r="CV107" s="14">
        <f t="shared" si="193"/>
        <v>3</v>
      </c>
      <c r="CW107" s="14">
        <f t="shared" si="194"/>
        <v>1102002</v>
      </c>
      <c r="CX107" s="14" t="str">
        <f>INDEX($O$6:$O$50,CT107)&amp;"-"&amp;INDEX(属性投放!$AB$7:$AB$50,CZ107)&amp;"-魂火-"&amp;DB107</f>
        <v>许褚-无间+1-魂火-3</v>
      </c>
      <c r="CY107" s="25" t="s">
        <v>142</v>
      </c>
      <c r="CZ107" s="14">
        <f>INDEX(属性投放!$AM$7:$AM$58,CU107)</f>
        <v>20</v>
      </c>
      <c r="DA107" s="14" t="s">
        <v>537</v>
      </c>
      <c r="DB107" s="14">
        <f>INDEX(属性投放!$AN$7:$AN$58,CU107)</f>
        <v>3</v>
      </c>
      <c r="DC107" s="14">
        <f t="shared" si="176"/>
        <v>51</v>
      </c>
      <c r="DD107" s="14">
        <f>INDEX(属性投放!$AO$7:$AO$58,DC107)</f>
        <v>145</v>
      </c>
      <c r="DE107" s="14" t="s">
        <v>538</v>
      </c>
      <c r="DF107" s="14">
        <f>INDEX(属性投放!$BK$6:$BK$85,(CV107-2)*20+CZ107)</f>
        <v>1000</v>
      </c>
      <c r="DG107" s="14">
        <f>SUMIFS(DF$5:DF107,$CT$5:$CT107,"="&amp;$CT107)</f>
        <v>16370</v>
      </c>
      <c r="DH107" s="14" t="s">
        <v>539</v>
      </c>
      <c r="DI107" s="14">
        <f>INDEX(属性投放!$BL$6:$BL$85,(CV107-2)*20+CZ107)</f>
        <v>500</v>
      </c>
      <c r="DJ107" s="14">
        <f>SUMIFS(DI$5:DI107,$CT$5:$CT107,"="&amp;$CT107)</f>
        <v>8188</v>
      </c>
      <c r="DK107" s="14" t="s">
        <v>540</v>
      </c>
      <c r="DL107" s="14">
        <f>INDEX(属性投放!$BM$6:$BM$85,(CV107-2)*20+CZ107)</f>
        <v>10000</v>
      </c>
      <c r="DM107" s="14">
        <f>SUMIFS(DL$5:DL107,$CT$5:$CT107,"="&amp;$CT107)</f>
        <v>159740</v>
      </c>
      <c r="DR107" s="14">
        <f t="shared" si="177"/>
        <v>1102006</v>
      </c>
      <c r="DS107" s="14" t="str">
        <f t="shared" si="178"/>
        <v>项羽3突</v>
      </c>
      <c r="DT107" s="14">
        <f t="shared" si="195"/>
        <v>8</v>
      </c>
      <c r="DU107" s="14">
        <f t="shared" si="196"/>
        <v>9</v>
      </c>
      <c r="DV107" s="14">
        <f t="shared" si="197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INDEX(属性投放!$AX$6:$AX$85,(卡牌属性!DW107-2)*20+卡牌属性!DX107)</f>
        <v>10</v>
      </c>
      <c r="EA107" s="14">
        <f>INDEX(属性投放!BQ$6:BQ$85,卡牌属性!$DY107)</f>
        <v>85</v>
      </c>
      <c r="EB107" s="14">
        <f>INDEX(属性投放!BR$6:BR$85,卡牌属性!$DY107)</f>
        <v>43</v>
      </c>
      <c r="EC107" s="14">
        <f>INDEX(属性投放!BS$6:BS$85,卡牌属性!$DY107)</f>
        <v>510</v>
      </c>
      <c r="ED107" s="14">
        <f t="shared" si="275"/>
        <v>562</v>
      </c>
      <c r="EE107" s="14">
        <f t="shared" si="276"/>
        <v>650</v>
      </c>
      <c r="EF107" s="14">
        <f t="shared" si="277"/>
        <v>770</v>
      </c>
      <c r="EG107" s="14">
        <f t="shared" si="278"/>
        <v>770</v>
      </c>
      <c r="EH107" s="14">
        <f t="shared" si="279"/>
        <v>890</v>
      </c>
      <c r="EI107" s="14">
        <f t="shared" si="280"/>
        <v>277</v>
      </c>
      <c r="EJ107" s="14">
        <f t="shared" si="281"/>
        <v>365</v>
      </c>
      <c r="EK107" s="14">
        <f t="shared" si="282"/>
        <v>365</v>
      </c>
      <c r="EL107" s="14">
        <f t="shared" si="283"/>
        <v>447</v>
      </c>
      <c r="EM107" s="14">
        <f t="shared" si="284"/>
        <v>555</v>
      </c>
      <c r="EN107" s="14">
        <f t="shared" si="285"/>
        <v>2872</v>
      </c>
      <c r="EO107" s="14">
        <f t="shared" si="286"/>
        <v>3300</v>
      </c>
      <c r="EP107" s="14">
        <f t="shared" si="287"/>
        <v>3300</v>
      </c>
      <c r="EQ107" s="14">
        <f t="shared" si="288"/>
        <v>4020</v>
      </c>
      <c r="ER107" s="14">
        <f t="shared" si="289"/>
        <v>4940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102</v>
      </c>
      <c r="FD107" s="14">
        <f>INDEX(属性偏向!$U$4:$U$243,(卡牌属性!$DV107-1+FD$3)*20+卡牌属性!$DX107)</f>
        <v>120</v>
      </c>
      <c r="FE107" s="14">
        <f>INDEX(属性偏向!$U$4:$U$243,(卡牌属性!$DV107-1+FE$3)*20+卡牌属性!$DX107)</f>
        <v>120</v>
      </c>
      <c r="FF107" s="14">
        <f>INDEX(属性偏向!$U$4:$U$243,(卡牌属性!$DV107-1+FF$3)*20+卡牌属性!$DX107)</f>
        <v>150</v>
      </c>
      <c r="FG107" s="14">
        <f>INDEX(属性偏向!$U$4:$U$243,(卡牌属性!$DV107-1+FG$3)*20+卡牌属性!$DX107)</f>
        <v>180</v>
      </c>
      <c r="FH107" s="14">
        <f>INDEX(属性投放!$BQ$6:$BQ$85,(卡牌属性!$DW107-2)*20+卡牌属性!$DX107)</f>
        <v>85</v>
      </c>
      <c r="FI107" s="14">
        <f>INDEX(属性投放!$BQ$6:$BQ$85,(卡牌属性!$DW107-2)*20+卡牌属性!$DX107)</f>
        <v>85</v>
      </c>
      <c r="FJ107" s="14">
        <f>INDEX(属性投放!$BQ$6:$BQ$85,(卡牌属性!$DW107-2)*20+卡牌属性!$DX107)</f>
        <v>85</v>
      </c>
      <c r="FK107" s="14">
        <f>INDEX(属性投放!$BQ$6:$BQ$85,(卡牌属性!$DW107-2)*20+卡牌属性!$DX107)</f>
        <v>85</v>
      </c>
      <c r="FL107" s="14">
        <f>INDEX(属性投放!$BQ$6:$BQ$85,(卡牌属性!$DW107-2)*20+卡牌属性!$DX107)</f>
        <v>85</v>
      </c>
      <c r="FM107" s="14">
        <f>INDEX(属性投放!$BR$6:$BR$85,(卡牌属性!$DW107-2)*20+卡牌属性!$DX107)</f>
        <v>43</v>
      </c>
      <c r="FN107" s="14">
        <f>INDEX(属性投放!$BR$6:$BR$85,(卡牌属性!$DW107-2)*20+卡牌属性!$DX107)</f>
        <v>43</v>
      </c>
      <c r="FO107" s="14">
        <f>INDEX(属性投放!$BR$6:$BR$85,(卡牌属性!$DW107-2)*20+卡牌属性!$DX107)</f>
        <v>43</v>
      </c>
      <c r="FP107" s="14">
        <f>INDEX(属性投放!$BR$6:$BR$85,(卡牌属性!$DW107-2)*20+卡牌属性!$DX107)</f>
        <v>43</v>
      </c>
      <c r="FQ107" s="14">
        <f>INDEX(属性投放!$BR$6:$BR$85,(卡牌属性!$DW107-2)*20+卡牌属性!$DX107)</f>
        <v>43</v>
      </c>
      <c r="FR107" s="14">
        <f>INDEX(属性投放!$BS$6:$BS$85,(卡牌属性!$DW107-2)*20+卡牌属性!$DX107)</f>
        <v>510</v>
      </c>
      <c r="FS107" s="14">
        <f>INDEX(属性投放!$BS$6:$BS$85,(卡牌属性!$DW107-2)*20+卡牌属性!$DX107)</f>
        <v>510</v>
      </c>
      <c r="FT107" s="14">
        <f>INDEX(属性投放!$BS$6:$BS$85,(卡牌属性!$DW107-2)*20+卡牌属性!$DX107)</f>
        <v>510</v>
      </c>
      <c r="FU107" s="14">
        <f>INDEX(属性投放!$BS$6:$BS$85,(卡牌属性!$DW107-2)*20+卡牌属性!$DX107)</f>
        <v>510</v>
      </c>
      <c r="FV107" s="14">
        <f>INDEX(属性投放!$BS$6:$BS$85,(卡牌属性!$DW107-2)*20+卡牌属性!$DX107)</f>
        <v>510</v>
      </c>
      <c r="FZ107" s="13">
        <v>103</v>
      </c>
      <c r="GA107" s="13">
        <f t="shared" si="264"/>
        <v>21</v>
      </c>
      <c r="GB107" s="14">
        <f t="shared" si="198"/>
        <v>1102021</v>
      </c>
      <c r="GC107" s="14" t="s">
        <v>1187</v>
      </c>
      <c r="GD107" s="14">
        <f t="shared" si="265"/>
        <v>3</v>
      </c>
      <c r="GE107" s="14" t="str">
        <f t="shared" si="266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3"/>
        <v>21</v>
      </c>
      <c r="GP107" s="14">
        <f t="shared" si="199"/>
        <v>1101026</v>
      </c>
      <c r="GQ107" s="14" t="s">
        <v>1187</v>
      </c>
      <c r="GR107" s="14">
        <f t="shared" si="267"/>
        <v>3</v>
      </c>
      <c r="GS107" s="14" t="str">
        <f t="shared" si="268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MATCH(HC107,属性投放!$AO$6:$AO$58,1)-1</f>
        <v>34</v>
      </c>
      <c r="HF107" s="13">
        <f>MATCH(HC107-1,属性投放!$AE$6:$AE$26,1)</f>
        <v>15</v>
      </c>
      <c r="HG107" s="13" t="str">
        <f>INDEX(属性投放!$AB$7:$AB$26,卡牌属性!HF107)</f>
        <v>焦热+2</v>
      </c>
      <c r="HH107" s="14">
        <f t="shared" si="200"/>
        <v>5573</v>
      </c>
      <c r="HI107" s="14">
        <f t="shared" si="201"/>
        <v>2354</v>
      </c>
      <c r="HJ107" s="14">
        <f t="shared" si="202"/>
        <v>39804</v>
      </c>
      <c r="HK107" s="14">
        <f t="shared" si="203"/>
        <v>40</v>
      </c>
      <c r="HL107" s="14">
        <f t="shared" si="204"/>
        <v>13</v>
      </c>
      <c r="HM107" s="14">
        <f t="shared" si="205"/>
        <v>260</v>
      </c>
      <c r="HN107" s="14">
        <f>HH107+HK107*($HC107-INDEX(属性投放!$AE$6:$AE$26,卡牌属性!$HF107))</f>
        <v>5613</v>
      </c>
      <c r="HO107" s="14">
        <f>HI107+HL107*($HC107-INDEX(属性投放!$AE$6:$AE$26,卡牌属性!$HF107))</f>
        <v>2367</v>
      </c>
      <c r="HP107" s="14">
        <f>HJ107+HM107*($HC107-INDEX(属性投放!$AE$6:$AE$26,卡牌属性!$HF107))</f>
        <v>40064</v>
      </c>
      <c r="HQ107" s="14">
        <f t="shared" si="206"/>
        <v>4985</v>
      </c>
      <c r="HR107" s="14">
        <f t="shared" si="207"/>
        <v>2501</v>
      </c>
      <c r="HS107" s="14">
        <f t="shared" si="208"/>
        <v>45285</v>
      </c>
      <c r="HT107" s="14">
        <f>IF(COUNTIF(属性投放!$AO$7:$AO$58,"="&amp;卡牌属性!HC107)&gt;0,卡牌属性!HE107,0)</f>
        <v>34</v>
      </c>
      <c r="HU107" s="14">
        <f t="shared" si="209"/>
        <v>445</v>
      </c>
      <c r="HV107" s="14">
        <f t="shared" si="210"/>
        <v>223</v>
      </c>
      <c r="HW107" s="14">
        <f t="shared" si="211"/>
        <v>4450</v>
      </c>
      <c r="HX107" s="14">
        <f>IF(COUNTIF(属性投放!$AE$6:$AE$26,"="&amp;卡牌属性!HC107)&gt;0,卡牌属性!HF107,0)</f>
        <v>0</v>
      </c>
      <c r="HY107" s="14">
        <f t="shared" si="212"/>
        <v>0</v>
      </c>
      <c r="HZ107" s="14">
        <f t="shared" si="213"/>
        <v>0</v>
      </c>
      <c r="IA107" s="14">
        <f t="shared" si="214"/>
        <v>0</v>
      </c>
      <c r="IB107" s="14">
        <f t="shared" si="215"/>
        <v>40</v>
      </c>
      <c r="IC107" s="14">
        <f t="shared" si="216"/>
        <v>13</v>
      </c>
      <c r="ID107" s="14">
        <f t="shared" si="217"/>
        <v>260</v>
      </c>
      <c r="IE107" s="14">
        <f t="shared" si="218"/>
        <v>10598</v>
      </c>
      <c r="IF107" s="14">
        <f t="shared" si="219"/>
        <v>4868</v>
      </c>
      <c r="IG107" s="14">
        <f t="shared" si="220"/>
        <v>85349</v>
      </c>
      <c r="IH107" s="14">
        <f t="shared" si="221"/>
        <v>920</v>
      </c>
      <c r="II107" s="14">
        <f t="shared" si="222"/>
        <v>13360</v>
      </c>
      <c r="IJ107" s="14">
        <f t="shared" si="223"/>
        <v>0</v>
      </c>
      <c r="IK107" s="14">
        <f t="shared" si="224"/>
        <v>288689</v>
      </c>
      <c r="IL107" s="17">
        <f t="shared" si="225"/>
        <v>3.1868204192054424E-3</v>
      </c>
      <c r="IM107" s="17">
        <f t="shared" si="226"/>
        <v>4.6278174783244252E-2</v>
      </c>
      <c r="IN107" s="17">
        <f t="shared" si="227"/>
        <v>0</v>
      </c>
      <c r="IO107" s="23">
        <f>SUM(IH$5:IH107)</f>
        <v>57724</v>
      </c>
      <c r="IP107" s="14">
        <f>SUM(II$5:II107)</f>
        <v>145155</v>
      </c>
      <c r="IQ107" s="14">
        <f>SUM(IJ$5:IJ107)</f>
        <v>67640</v>
      </c>
      <c r="IR107" s="17">
        <f t="shared" si="228"/>
        <v>0.19995219769371192</v>
      </c>
      <c r="IS107" s="17">
        <f t="shared" si="229"/>
        <v>0.5028075195106152</v>
      </c>
      <c r="IT107" s="17">
        <f t="shared" si="230"/>
        <v>0.23430057951636535</v>
      </c>
      <c r="IW107" s="13">
        <v>103</v>
      </c>
      <c r="IX107" s="14">
        <f>MATCH(IW107-1,属性投放!$T$6:$T$66,1)</f>
        <v>20</v>
      </c>
      <c r="IY107" s="14">
        <f>MATCH(IW107-1,属性投放!$AD$7:$AD$26,1)</f>
        <v>14</v>
      </c>
      <c r="IZ107" s="14" t="str">
        <f>INDEX(属性投放!$AB$7:$AB$26,IY107)</f>
        <v>焦热+1</v>
      </c>
      <c r="JA107" s="14">
        <f t="shared" si="231"/>
        <v>4906</v>
      </c>
      <c r="JB107" s="14">
        <f t="shared" si="232"/>
        <v>2405</v>
      </c>
      <c r="JC107" s="14">
        <f t="shared" si="233"/>
        <v>40846</v>
      </c>
      <c r="JD107" s="14">
        <f t="shared" si="234"/>
        <v>151</v>
      </c>
      <c r="JE107" s="14">
        <f t="shared" si="235"/>
        <v>76</v>
      </c>
      <c r="JF107" s="14">
        <f t="shared" si="236"/>
        <v>1510</v>
      </c>
      <c r="JG107" s="14">
        <f>INDEX(属性投放!$DC$6:$DC$85,卡牌属性!IY107)</f>
        <v>85</v>
      </c>
      <c r="JH107" s="14">
        <f t="shared" si="237"/>
        <v>7624</v>
      </c>
      <c r="JI107" s="14">
        <f t="shared" si="238"/>
        <v>3773</v>
      </c>
      <c r="JJ107" s="14">
        <f t="shared" si="239"/>
        <v>68026</v>
      </c>
      <c r="JK107" s="14">
        <f t="shared" si="240"/>
        <v>143876</v>
      </c>
    </row>
    <row r="108" spans="31:271" ht="16.5" x14ac:dyDescent="0.2">
      <c r="AE108" s="13">
        <v>104</v>
      </c>
      <c r="AF108" s="13">
        <f t="shared" si="188"/>
        <v>6</v>
      </c>
      <c r="AG108" s="13">
        <f t="shared" si="169"/>
        <v>4</v>
      </c>
      <c r="AH108" s="13"/>
      <c r="AI108" s="13"/>
      <c r="AJ108" s="14">
        <f t="shared" si="170"/>
        <v>1101006</v>
      </c>
      <c r="AK108" s="14" t="str">
        <f t="shared" si="171"/>
        <v>红莲·缇娜4突</v>
      </c>
      <c r="AL108" s="25" t="s">
        <v>142</v>
      </c>
      <c r="AM108" s="14">
        <v>1</v>
      </c>
      <c r="AN108" s="14">
        <f t="shared" si="172"/>
        <v>4</v>
      </c>
      <c r="AO108" s="14">
        <f>INDEX(属性投放!$DF$6:$DF$85,(卡牌属性!AG108-2)*20+卡牌属性!AN108)</f>
        <v>640</v>
      </c>
      <c r="AP108" s="14">
        <f t="shared" si="269"/>
        <v>640</v>
      </c>
      <c r="AQ108" s="14">
        <f t="shared" si="269"/>
        <v>640</v>
      </c>
      <c r="AR108" s="14">
        <f t="shared" si="269"/>
        <v>640</v>
      </c>
      <c r="AS108" s="14">
        <f t="shared" si="269"/>
        <v>640</v>
      </c>
      <c r="AT108" s="14">
        <f>INDEX(属性投放!$DG$6:$DG$85,(卡牌属性!AG108-2)*20+卡牌属性!AN108)</f>
        <v>248</v>
      </c>
      <c r="AU108" s="14">
        <f t="shared" si="270"/>
        <v>248</v>
      </c>
      <c r="AV108" s="14">
        <f t="shared" si="270"/>
        <v>248</v>
      </c>
      <c r="AW108" s="14">
        <f t="shared" si="270"/>
        <v>248</v>
      </c>
      <c r="AX108" s="14">
        <f t="shared" si="270"/>
        <v>248</v>
      </c>
      <c r="AY108" s="14">
        <f>INDEX(属性投放!$DH$6:$DH$85,(卡牌属性!AG108-2)*20+卡牌属性!AN108)</f>
        <v>3255</v>
      </c>
      <c r="AZ108" s="14">
        <f t="shared" si="271"/>
        <v>3255</v>
      </c>
      <c r="BA108" s="14">
        <f t="shared" si="271"/>
        <v>3255</v>
      </c>
      <c r="BB108" s="14">
        <f t="shared" si="271"/>
        <v>3255</v>
      </c>
      <c r="BC108" s="14">
        <f t="shared" si="271"/>
        <v>3255</v>
      </c>
      <c r="BD108" s="14">
        <f>INDEX(属性投放!$DL$6:$DL$85,(卡牌属性!AG108-2)*20+卡牌属性!AN108)</f>
        <v>40</v>
      </c>
      <c r="BE108" s="14">
        <f t="shared" si="272"/>
        <v>40</v>
      </c>
      <c r="BF108" s="14">
        <f t="shared" si="272"/>
        <v>40</v>
      </c>
      <c r="BG108" s="14">
        <f t="shared" si="272"/>
        <v>40</v>
      </c>
      <c r="BH108" s="14">
        <f t="shared" si="272"/>
        <v>40</v>
      </c>
      <c r="BI108" s="14">
        <f>INDEX(属性投放!$DM$6:$DM$85,(卡牌属性!AG108-2)*20+卡牌属性!AN108)</f>
        <v>20</v>
      </c>
      <c r="BJ108" s="14">
        <f t="shared" si="273"/>
        <v>20</v>
      </c>
      <c r="BK108" s="14">
        <f t="shared" si="273"/>
        <v>20</v>
      </c>
      <c r="BL108" s="14">
        <f t="shared" si="273"/>
        <v>20</v>
      </c>
      <c r="BM108" s="14">
        <f t="shared" si="273"/>
        <v>20</v>
      </c>
      <c r="BN108" s="14">
        <f>INDEX(属性投放!$DN$6:$DN$85,(卡牌属性!AG108-2)*20+卡牌属性!AN108)</f>
        <v>279</v>
      </c>
      <c r="BO108" s="14">
        <f t="shared" si="274"/>
        <v>279</v>
      </c>
      <c r="BP108" s="14">
        <f t="shared" si="274"/>
        <v>279</v>
      </c>
      <c r="BQ108" s="14">
        <f t="shared" si="274"/>
        <v>279</v>
      </c>
      <c r="BR108" s="14">
        <f t="shared" si="274"/>
        <v>279</v>
      </c>
      <c r="BW108" s="13">
        <v>104</v>
      </c>
      <c r="BX108" s="13">
        <f t="shared" si="173"/>
        <v>6</v>
      </c>
      <c r="BY108" s="14">
        <f t="shared" si="174"/>
        <v>5</v>
      </c>
      <c r="BZ108" s="14">
        <f t="shared" si="189"/>
        <v>1102006</v>
      </c>
      <c r="CA108" s="14" t="str">
        <f t="shared" si="190"/>
        <v>项羽4突</v>
      </c>
      <c r="CB108" s="25" t="s">
        <v>142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INDEX(属性投放!$AZ$6:$AZ$85,(BY108-2)*20+CD108)</f>
        <v>1140</v>
      </c>
      <c r="CG108" s="14" t="s">
        <v>22</v>
      </c>
      <c r="CH108" s="14">
        <f>INDEX(属性投放!$BA$6:$BA$85,(BY108-2)*20+CD108)</f>
        <v>474</v>
      </c>
      <c r="CI108" s="14" t="s">
        <v>510</v>
      </c>
      <c r="CJ108" s="14">
        <f>INDEX(属性投放!$BB$6:$BB$85,(BY108-2)*20+CD108)</f>
        <v>6240</v>
      </c>
      <c r="CK108" s="14" t="s">
        <v>21</v>
      </c>
      <c r="CL108" s="14">
        <f>INDEX(属性投放!$BC$6:$BC$85,(BY108-2)*20+CD108)</f>
        <v>25</v>
      </c>
      <c r="CM108" s="14" t="s">
        <v>22</v>
      </c>
      <c r="CN108" s="14">
        <f>INDEX(属性投放!$BD$6:$BD$85,(BY108-2)*20+CD108)</f>
        <v>13</v>
      </c>
      <c r="CO108" s="14" t="s">
        <v>510</v>
      </c>
      <c r="CP108" s="14">
        <f>INDEX(属性投放!$BE$6:$BE$85,(BY108-2)*20+CD108)</f>
        <v>175</v>
      </c>
      <c r="CS108" s="13">
        <v>104</v>
      </c>
      <c r="CT108" s="13">
        <f t="shared" si="191"/>
        <v>2</v>
      </c>
      <c r="CU108" s="13">
        <f t="shared" si="192"/>
        <v>52</v>
      </c>
      <c r="CV108" s="14">
        <f t="shared" si="193"/>
        <v>3</v>
      </c>
      <c r="CW108" s="14">
        <f t="shared" si="194"/>
        <v>1102002</v>
      </c>
      <c r="CX108" s="14" t="str">
        <f>INDEX($O$6:$O$50,CT108)&amp;"-"&amp;INDEX(属性投放!$AB$7:$AB$50,CZ108)&amp;"-魂火-"&amp;DB108</f>
        <v>许褚-无间+1-魂火-4</v>
      </c>
      <c r="CY108" s="25" t="s">
        <v>142</v>
      </c>
      <c r="CZ108" s="14">
        <f>INDEX(属性投放!$AM$7:$AM$58,CU108)</f>
        <v>20</v>
      </c>
      <c r="DA108" s="14" t="s">
        <v>537</v>
      </c>
      <c r="DB108" s="14">
        <f>INDEX(属性投放!$AN$7:$AN$58,CU108)</f>
        <v>4</v>
      </c>
      <c r="DC108" s="14">
        <f t="shared" si="176"/>
        <v>52</v>
      </c>
      <c r="DD108" s="14">
        <f>INDEX(属性投放!$AO$7:$AO$58,DC108)</f>
        <v>148</v>
      </c>
      <c r="DE108" s="14" t="s">
        <v>538</v>
      </c>
      <c r="DF108" s="14">
        <f>INDEX(属性投放!$BK$6:$BK$85,(CV108-2)*20+CZ108)</f>
        <v>1000</v>
      </c>
      <c r="DG108" s="14">
        <f>SUMIFS(DF$5:DF108,$CT$5:$CT108,"="&amp;$CT108)</f>
        <v>17370</v>
      </c>
      <c r="DH108" s="14" t="s">
        <v>539</v>
      </c>
      <c r="DI108" s="14">
        <f>INDEX(属性投放!$BL$6:$BL$85,(CV108-2)*20+CZ108)</f>
        <v>500</v>
      </c>
      <c r="DJ108" s="14">
        <f>SUMIFS(DI$5:DI108,$CT$5:$CT108,"="&amp;$CT108)</f>
        <v>8688</v>
      </c>
      <c r="DK108" s="14" t="s">
        <v>540</v>
      </c>
      <c r="DL108" s="14">
        <f>INDEX(属性投放!$BM$6:$BM$85,(CV108-2)*20+CZ108)</f>
        <v>10000</v>
      </c>
      <c r="DM108" s="14">
        <f>SUMIFS(DL$5:DL108,$CT$5:$CT108,"="&amp;$CT108)</f>
        <v>169740</v>
      </c>
      <c r="DR108" s="14">
        <f t="shared" si="177"/>
        <v>1102006</v>
      </c>
      <c r="DS108" s="14" t="str">
        <f t="shared" si="178"/>
        <v>项羽4突</v>
      </c>
      <c r="DT108" s="14">
        <f t="shared" si="195"/>
        <v>8</v>
      </c>
      <c r="DU108" s="14">
        <f t="shared" si="196"/>
        <v>9</v>
      </c>
      <c r="DV108" s="14">
        <f t="shared" si="197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INDEX(属性投放!$AX$6:$AX$85,(卡牌属性!DW108-2)*20+卡牌属性!DX108)</f>
        <v>10</v>
      </c>
      <c r="EA108" s="14">
        <f>INDEX(属性投放!BQ$6:BQ$85,卡牌属性!$DY108)</f>
        <v>120</v>
      </c>
      <c r="EB108" s="14">
        <f>INDEX(属性投放!BR$6:BR$85,卡牌属性!$DY108)</f>
        <v>60</v>
      </c>
      <c r="EC108" s="14">
        <f>INDEX(属性投放!BS$6:BS$85,卡牌属性!$DY108)</f>
        <v>840</v>
      </c>
      <c r="ED108" s="14">
        <f t="shared" si="275"/>
        <v>817</v>
      </c>
      <c r="EE108" s="14">
        <f t="shared" si="276"/>
        <v>935</v>
      </c>
      <c r="EF108" s="14">
        <f t="shared" si="277"/>
        <v>1105</v>
      </c>
      <c r="EG108" s="14">
        <f t="shared" si="278"/>
        <v>1105</v>
      </c>
      <c r="EH108" s="14">
        <f t="shared" si="279"/>
        <v>1275</v>
      </c>
      <c r="EI108" s="14">
        <f t="shared" si="280"/>
        <v>420</v>
      </c>
      <c r="EJ108" s="14">
        <f t="shared" si="281"/>
        <v>538</v>
      </c>
      <c r="EK108" s="14">
        <f t="shared" si="282"/>
        <v>538</v>
      </c>
      <c r="EL108" s="14">
        <f t="shared" si="283"/>
        <v>640</v>
      </c>
      <c r="EM108" s="14">
        <f t="shared" si="284"/>
        <v>798</v>
      </c>
      <c r="EN108" s="14">
        <f t="shared" si="285"/>
        <v>4402</v>
      </c>
      <c r="EO108" s="14">
        <f t="shared" si="286"/>
        <v>5010</v>
      </c>
      <c r="EP108" s="14">
        <f t="shared" si="287"/>
        <v>5010</v>
      </c>
      <c r="EQ108" s="14">
        <f t="shared" si="288"/>
        <v>6030</v>
      </c>
      <c r="ER108" s="14">
        <f t="shared" si="289"/>
        <v>7250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154</v>
      </c>
      <c r="FD108" s="14">
        <f>INDEX(属性偏向!$U$4:$U$243,(卡牌属性!$DV108-1+FD$3)*20+卡牌属性!$DX108)</f>
        <v>175</v>
      </c>
      <c r="FE108" s="14">
        <f>INDEX(属性偏向!$U$4:$U$243,(卡牌属性!$DV108-1+FE$3)*20+卡牌属性!$DX108)</f>
        <v>175</v>
      </c>
      <c r="FF108" s="14">
        <f>INDEX(属性偏向!$U$4:$U$243,(卡牌属性!$DV108-1+FF$3)*20+卡牌属性!$DX108)</f>
        <v>210</v>
      </c>
      <c r="FG108" s="14">
        <f>INDEX(属性偏向!$U$4:$U$243,(卡牌属性!$DV108-1+FG$3)*20+卡牌属性!$DX108)</f>
        <v>280</v>
      </c>
      <c r="FH108" s="14">
        <f>INDEX(属性投放!$BQ$6:$BQ$85,(卡牌属性!$DW108-2)*20+卡牌属性!$DX108)</f>
        <v>120</v>
      </c>
      <c r="FI108" s="14">
        <f>INDEX(属性投放!$BQ$6:$BQ$85,(卡牌属性!$DW108-2)*20+卡牌属性!$DX108)</f>
        <v>120</v>
      </c>
      <c r="FJ108" s="14">
        <f>INDEX(属性投放!$BQ$6:$BQ$85,(卡牌属性!$DW108-2)*20+卡牌属性!$DX108)</f>
        <v>120</v>
      </c>
      <c r="FK108" s="14">
        <f>INDEX(属性投放!$BQ$6:$BQ$85,(卡牌属性!$DW108-2)*20+卡牌属性!$DX108)</f>
        <v>120</v>
      </c>
      <c r="FL108" s="14">
        <f>INDEX(属性投放!$BQ$6:$BQ$85,(卡牌属性!$DW108-2)*20+卡牌属性!$DX108)</f>
        <v>120</v>
      </c>
      <c r="FM108" s="14">
        <f>INDEX(属性投放!$BR$6:$BR$85,(卡牌属性!$DW108-2)*20+卡牌属性!$DX108)</f>
        <v>60</v>
      </c>
      <c r="FN108" s="14">
        <f>INDEX(属性投放!$BR$6:$BR$85,(卡牌属性!$DW108-2)*20+卡牌属性!$DX108)</f>
        <v>60</v>
      </c>
      <c r="FO108" s="14">
        <f>INDEX(属性投放!$BR$6:$BR$85,(卡牌属性!$DW108-2)*20+卡牌属性!$DX108)</f>
        <v>60</v>
      </c>
      <c r="FP108" s="14">
        <f>INDEX(属性投放!$BR$6:$BR$85,(卡牌属性!$DW108-2)*20+卡牌属性!$DX108)</f>
        <v>60</v>
      </c>
      <c r="FQ108" s="14">
        <f>INDEX(属性投放!$BR$6:$BR$85,(卡牌属性!$DW108-2)*20+卡牌属性!$DX108)</f>
        <v>60</v>
      </c>
      <c r="FR108" s="14">
        <f>INDEX(属性投放!$BS$6:$BS$85,(卡牌属性!$DW108-2)*20+卡牌属性!$DX108)</f>
        <v>840</v>
      </c>
      <c r="FS108" s="14">
        <f>INDEX(属性投放!$BS$6:$BS$85,(卡牌属性!$DW108-2)*20+卡牌属性!$DX108)</f>
        <v>840</v>
      </c>
      <c r="FT108" s="14">
        <f>INDEX(属性投放!$BS$6:$BS$85,(卡牌属性!$DW108-2)*20+卡牌属性!$DX108)</f>
        <v>840</v>
      </c>
      <c r="FU108" s="14">
        <f>INDEX(属性投放!$BS$6:$BS$85,(卡牌属性!$DW108-2)*20+卡牌属性!$DX108)</f>
        <v>840</v>
      </c>
      <c r="FV108" s="14">
        <f>INDEX(属性投放!$BS$6:$BS$85,(卡牌属性!$DW108-2)*20+卡牌属性!$DX108)</f>
        <v>840</v>
      </c>
      <c r="FZ108" s="13">
        <v>104</v>
      </c>
      <c r="GA108" s="13">
        <f t="shared" si="264"/>
        <v>21</v>
      </c>
      <c r="GB108" s="14">
        <f t="shared" si="198"/>
        <v>1102021</v>
      </c>
      <c r="GC108" s="14" t="s">
        <v>1187</v>
      </c>
      <c r="GD108" s="14">
        <f t="shared" si="265"/>
        <v>4</v>
      </c>
      <c r="GE108" s="14" t="str">
        <f t="shared" si="266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3"/>
        <v>21</v>
      </c>
      <c r="GP108" s="14">
        <f t="shared" si="199"/>
        <v>1101026</v>
      </c>
      <c r="GQ108" s="14" t="s">
        <v>1187</v>
      </c>
      <c r="GR108" s="14">
        <f t="shared" si="267"/>
        <v>4</v>
      </c>
      <c r="GS108" s="14" t="str">
        <f t="shared" si="268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MATCH(HC108,属性投放!$AO$6:$AO$58,1)-1</f>
        <v>34</v>
      </c>
      <c r="HF108" s="13">
        <f>MATCH(HC108-1,属性投放!$AE$6:$AE$26,1)</f>
        <v>15</v>
      </c>
      <c r="HG108" s="13" t="str">
        <f>INDEX(属性投放!$AB$7:$AB$26,卡牌属性!HF108)</f>
        <v>焦热+2</v>
      </c>
      <c r="HH108" s="14">
        <f t="shared" si="200"/>
        <v>5573</v>
      </c>
      <c r="HI108" s="14">
        <f t="shared" si="201"/>
        <v>2354</v>
      </c>
      <c r="HJ108" s="14">
        <f t="shared" si="202"/>
        <v>39804</v>
      </c>
      <c r="HK108" s="14">
        <f t="shared" si="203"/>
        <v>40</v>
      </c>
      <c r="HL108" s="14">
        <f t="shared" si="204"/>
        <v>13</v>
      </c>
      <c r="HM108" s="14">
        <f t="shared" si="205"/>
        <v>260</v>
      </c>
      <c r="HN108" s="14">
        <f>HH108+HK108*($HC108-INDEX(属性投放!$AE$6:$AE$26,卡牌属性!$HF108))</f>
        <v>5653</v>
      </c>
      <c r="HO108" s="14">
        <f>HI108+HL108*($HC108-INDEX(属性投放!$AE$6:$AE$26,卡牌属性!$HF108))</f>
        <v>2380</v>
      </c>
      <c r="HP108" s="14">
        <f>HJ108+HM108*($HC108-INDEX(属性投放!$AE$6:$AE$26,卡牌属性!$HF108))</f>
        <v>40324</v>
      </c>
      <c r="HQ108" s="14">
        <f t="shared" si="206"/>
        <v>4985</v>
      </c>
      <c r="HR108" s="14">
        <f t="shared" si="207"/>
        <v>2501</v>
      </c>
      <c r="HS108" s="14">
        <f t="shared" si="208"/>
        <v>45285</v>
      </c>
      <c r="HT108" s="14">
        <f>IF(COUNTIF(属性投放!$AO$7:$AO$58,"="&amp;卡牌属性!HC108)&gt;0,卡牌属性!HE108,0)</f>
        <v>0</v>
      </c>
      <c r="HU108" s="14">
        <f t="shared" si="209"/>
        <v>0</v>
      </c>
      <c r="HV108" s="14">
        <f t="shared" si="210"/>
        <v>0</v>
      </c>
      <c r="HW108" s="14">
        <f t="shared" si="211"/>
        <v>0</v>
      </c>
      <c r="HX108" s="14">
        <f>IF(COUNTIF(属性投放!$AE$6:$AE$26,"="&amp;卡牌属性!HC108)&gt;0,卡牌属性!HF108,0)</f>
        <v>0</v>
      </c>
      <c r="HY108" s="14">
        <f t="shared" si="212"/>
        <v>0</v>
      </c>
      <c r="HZ108" s="14">
        <f t="shared" si="213"/>
        <v>0</v>
      </c>
      <c r="IA108" s="14">
        <f t="shared" si="214"/>
        <v>0</v>
      </c>
      <c r="IB108" s="14">
        <f t="shared" si="215"/>
        <v>40</v>
      </c>
      <c r="IC108" s="14">
        <f t="shared" si="216"/>
        <v>13</v>
      </c>
      <c r="ID108" s="14">
        <f t="shared" si="217"/>
        <v>260</v>
      </c>
      <c r="IE108" s="14">
        <f t="shared" si="218"/>
        <v>10638</v>
      </c>
      <c r="IF108" s="14">
        <f t="shared" si="219"/>
        <v>4881</v>
      </c>
      <c r="IG108" s="14">
        <f t="shared" si="220"/>
        <v>85609</v>
      </c>
      <c r="IH108" s="14">
        <f t="shared" si="221"/>
        <v>920</v>
      </c>
      <c r="II108" s="14">
        <f t="shared" si="222"/>
        <v>0</v>
      </c>
      <c r="IJ108" s="14">
        <f t="shared" si="223"/>
        <v>0</v>
      </c>
      <c r="IK108" s="14">
        <f t="shared" si="224"/>
        <v>289609</v>
      </c>
      <c r="IL108" s="17">
        <f t="shared" si="225"/>
        <v>3.1766968567965774E-3</v>
      </c>
      <c r="IM108" s="17">
        <f t="shared" si="226"/>
        <v>0</v>
      </c>
      <c r="IN108" s="17">
        <f t="shared" si="227"/>
        <v>0</v>
      </c>
      <c r="IO108" s="23">
        <f>SUM(IH$5:IH108)</f>
        <v>58644</v>
      </c>
      <c r="IP108" s="14">
        <f>SUM(II$5:II108)</f>
        <v>145155</v>
      </c>
      <c r="IQ108" s="14">
        <f>SUM(IJ$5:IJ108)</f>
        <v>67640</v>
      </c>
      <c r="IR108" s="17">
        <f t="shared" si="228"/>
        <v>0.20249370703258532</v>
      </c>
      <c r="IS108" s="17">
        <f t="shared" si="229"/>
        <v>0.50121025244381212</v>
      </c>
      <c r="IT108" s="17">
        <f t="shared" si="230"/>
        <v>0.23355627760187012</v>
      </c>
      <c r="IW108" s="13">
        <v>104</v>
      </c>
      <c r="IX108" s="14">
        <f>MATCH(IW108-1,属性投放!$T$6:$T$66,1)</f>
        <v>21</v>
      </c>
      <c r="IY108" s="14">
        <f>MATCH(IW108-1,属性投放!$AD$7:$AD$26,1)</f>
        <v>14</v>
      </c>
      <c r="IZ108" s="14" t="str">
        <f>INDEX(属性投放!$AB$7:$AB$26,IY108)</f>
        <v>焦热+1</v>
      </c>
      <c r="JA108" s="14">
        <f t="shared" si="231"/>
        <v>4906</v>
      </c>
      <c r="JB108" s="14">
        <f t="shared" si="232"/>
        <v>2405</v>
      </c>
      <c r="JC108" s="14">
        <f t="shared" si="233"/>
        <v>40846</v>
      </c>
      <c r="JD108" s="14">
        <f t="shared" si="234"/>
        <v>151</v>
      </c>
      <c r="JE108" s="14">
        <f t="shared" si="235"/>
        <v>76</v>
      </c>
      <c r="JF108" s="14">
        <f t="shared" si="236"/>
        <v>1510</v>
      </c>
      <c r="JG108" s="14">
        <f>INDEX(属性投放!$DC$6:$DC$85,卡牌属性!IY108)</f>
        <v>85</v>
      </c>
      <c r="JH108" s="14">
        <f t="shared" si="237"/>
        <v>7775</v>
      </c>
      <c r="JI108" s="14">
        <f t="shared" si="238"/>
        <v>3849</v>
      </c>
      <c r="JJ108" s="14">
        <f t="shared" si="239"/>
        <v>69536</v>
      </c>
      <c r="JK108" s="14">
        <f t="shared" si="240"/>
        <v>146901</v>
      </c>
    </row>
    <row r="109" spans="31:271" ht="16.5" x14ac:dyDescent="0.2">
      <c r="AE109" s="13">
        <v>105</v>
      </c>
      <c r="AF109" s="13">
        <f t="shared" si="188"/>
        <v>6</v>
      </c>
      <c r="AG109" s="13">
        <f t="shared" si="169"/>
        <v>4</v>
      </c>
      <c r="AH109" s="13"/>
      <c r="AI109" s="13"/>
      <c r="AJ109" s="14">
        <f t="shared" si="170"/>
        <v>1101006</v>
      </c>
      <c r="AK109" s="14" t="str">
        <f t="shared" si="171"/>
        <v>红莲·缇娜5突</v>
      </c>
      <c r="AL109" s="25" t="s">
        <v>142</v>
      </c>
      <c r="AM109" s="14">
        <v>1</v>
      </c>
      <c r="AN109" s="14">
        <f t="shared" si="172"/>
        <v>5</v>
      </c>
      <c r="AO109" s="14">
        <f>INDEX(属性投放!$DF$6:$DF$85,(卡牌属性!AG109-2)*20+卡牌属性!AN109)</f>
        <v>754</v>
      </c>
      <c r="AP109" s="14">
        <f t="shared" si="269"/>
        <v>754</v>
      </c>
      <c r="AQ109" s="14">
        <f t="shared" si="269"/>
        <v>754</v>
      </c>
      <c r="AR109" s="14">
        <f t="shared" si="269"/>
        <v>754</v>
      </c>
      <c r="AS109" s="14">
        <f t="shared" si="269"/>
        <v>754</v>
      </c>
      <c r="AT109" s="14">
        <f>INDEX(属性投放!$DG$6:$DG$85,(卡牌属性!AG109-2)*20+卡牌属性!AN109)</f>
        <v>305</v>
      </c>
      <c r="AU109" s="14">
        <f t="shared" si="270"/>
        <v>305</v>
      </c>
      <c r="AV109" s="14">
        <f t="shared" si="270"/>
        <v>305</v>
      </c>
      <c r="AW109" s="14">
        <f t="shared" si="270"/>
        <v>305</v>
      </c>
      <c r="AX109" s="14">
        <f t="shared" si="270"/>
        <v>305</v>
      </c>
      <c r="AY109" s="14">
        <f>INDEX(属性投放!$DH$6:$DH$85,(卡牌属性!AG109-2)*20+卡牌属性!AN109)</f>
        <v>4053</v>
      </c>
      <c r="AZ109" s="14">
        <f t="shared" si="271"/>
        <v>4053</v>
      </c>
      <c r="BA109" s="14">
        <f t="shared" si="271"/>
        <v>4053</v>
      </c>
      <c r="BB109" s="14">
        <f t="shared" si="271"/>
        <v>4053</v>
      </c>
      <c r="BC109" s="14">
        <f t="shared" si="271"/>
        <v>4053</v>
      </c>
      <c r="BD109" s="14">
        <f>INDEX(属性投放!$DL$6:$DL$85,(卡牌属性!AG109-2)*20+卡牌属性!AN109)</f>
        <v>40</v>
      </c>
      <c r="BE109" s="14">
        <f t="shared" si="272"/>
        <v>40</v>
      </c>
      <c r="BF109" s="14">
        <f t="shared" si="272"/>
        <v>40</v>
      </c>
      <c r="BG109" s="14">
        <f t="shared" si="272"/>
        <v>40</v>
      </c>
      <c r="BH109" s="14">
        <f t="shared" si="272"/>
        <v>40</v>
      </c>
      <c r="BI109" s="14">
        <f>INDEX(属性投放!$DM$6:$DM$85,(卡牌属性!AG109-2)*20+卡牌属性!AN109)</f>
        <v>20</v>
      </c>
      <c r="BJ109" s="14">
        <f t="shared" si="273"/>
        <v>20</v>
      </c>
      <c r="BK109" s="14">
        <f t="shared" si="273"/>
        <v>20</v>
      </c>
      <c r="BL109" s="14">
        <f t="shared" si="273"/>
        <v>20</v>
      </c>
      <c r="BM109" s="14">
        <f t="shared" si="273"/>
        <v>20</v>
      </c>
      <c r="BN109" s="14">
        <f>INDEX(属性投放!$DN$6:$DN$85,(卡牌属性!AG109-2)*20+卡牌属性!AN109)</f>
        <v>279</v>
      </c>
      <c r="BO109" s="14">
        <f t="shared" si="274"/>
        <v>279</v>
      </c>
      <c r="BP109" s="14">
        <f t="shared" si="274"/>
        <v>279</v>
      </c>
      <c r="BQ109" s="14">
        <f t="shared" si="274"/>
        <v>279</v>
      </c>
      <c r="BR109" s="14">
        <f t="shared" si="274"/>
        <v>279</v>
      </c>
      <c r="BW109" s="13">
        <v>105</v>
      </c>
      <c r="BX109" s="13">
        <f t="shared" si="173"/>
        <v>6</v>
      </c>
      <c r="BY109" s="14">
        <f t="shared" si="174"/>
        <v>5</v>
      </c>
      <c r="BZ109" s="14">
        <f t="shared" si="189"/>
        <v>1102006</v>
      </c>
      <c r="CA109" s="14" t="str">
        <f t="shared" si="190"/>
        <v>项羽5突</v>
      </c>
      <c r="CB109" s="25" t="s">
        <v>142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INDEX(属性投放!$AZ$6:$AZ$85,(BY109-2)*20+CD109)</f>
        <v>1630</v>
      </c>
      <c r="CG109" s="14" t="s">
        <v>22</v>
      </c>
      <c r="CH109" s="14">
        <f>INDEX(属性投放!$BA$6:$BA$85,(BY109-2)*20+CD109)</f>
        <v>724</v>
      </c>
      <c r="CI109" s="14" t="s">
        <v>510</v>
      </c>
      <c r="CJ109" s="14">
        <f>INDEX(属性投放!$BB$6:$BB$85,(BY109-2)*20+CD109)</f>
        <v>9670</v>
      </c>
      <c r="CK109" s="14" t="s">
        <v>21</v>
      </c>
      <c r="CL109" s="14">
        <f>INDEX(属性投放!$BC$6:$BC$85,(BY109-2)*20+CD109)</f>
        <v>25</v>
      </c>
      <c r="CM109" s="14" t="s">
        <v>22</v>
      </c>
      <c r="CN109" s="14">
        <f>INDEX(属性投放!$BD$6:$BD$85,(BY109-2)*20+CD109)</f>
        <v>13</v>
      </c>
      <c r="CO109" s="14" t="s">
        <v>510</v>
      </c>
      <c r="CP109" s="14">
        <f>INDEX(属性投放!$BE$6:$BE$85,(BY109-2)*20+CD109)</f>
        <v>175</v>
      </c>
      <c r="CS109" s="13">
        <v>105</v>
      </c>
      <c r="CT109" s="13">
        <f t="shared" si="191"/>
        <v>3</v>
      </c>
      <c r="CU109" s="13">
        <f t="shared" si="192"/>
        <v>1</v>
      </c>
      <c r="CV109" s="14">
        <f t="shared" si="193"/>
        <v>4</v>
      </c>
      <c r="CW109" s="14">
        <f t="shared" si="194"/>
        <v>1102003</v>
      </c>
      <c r="CX109" s="14" t="str">
        <f>INDEX($O$6:$O$50,CT109)&amp;"-"&amp;INDEX(属性投放!$AB$7:$AB$50,CZ109)&amp;"-魂火-"&amp;DB109</f>
        <v>典韦-等活-魂火-1</v>
      </c>
      <c r="CY109" s="25" t="s">
        <v>142</v>
      </c>
      <c r="CZ109" s="14">
        <f>INDEX(属性投放!$AM$7:$AM$58,CU109)</f>
        <v>1</v>
      </c>
      <c r="DA109" s="14" t="s">
        <v>537</v>
      </c>
      <c r="DB109" s="14">
        <f>INDEX(属性投放!$AN$7:$AN$58,CU109)</f>
        <v>1</v>
      </c>
      <c r="DC109" s="14">
        <f t="shared" si="176"/>
        <v>1</v>
      </c>
      <c r="DD109" s="14">
        <f>INDEX(属性投放!$AO$7:$AO$58,DC109)</f>
        <v>3</v>
      </c>
      <c r="DE109" s="14" t="s">
        <v>538</v>
      </c>
      <c r="DF109" s="14">
        <f>INDEX(属性投放!$BK$6:$BK$85,(CV109-2)*20+CZ109)</f>
        <v>25</v>
      </c>
      <c r="DG109" s="14">
        <f>SUMIFS(DF$5:DF109,$CT$5:$CT109,"="&amp;$CT109)</f>
        <v>25</v>
      </c>
      <c r="DH109" s="14" t="s">
        <v>539</v>
      </c>
      <c r="DI109" s="14">
        <f>INDEX(属性投放!$BL$6:$BL$85,(CV109-2)*20+CZ109)</f>
        <v>13</v>
      </c>
      <c r="DJ109" s="14">
        <f>SUMIFS(DI$5:DI109,$CT$5:$CT109,"="&amp;$CT109)</f>
        <v>13</v>
      </c>
      <c r="DK109" s="14" t="s">
        <v>540</v>
      </c>
      <c r="DL109" s="14">
        <f>INDEX(属性投放!$BM$6:$BM$85,(CV109-2)*20+CZ109)</f>
        <v>150</v>
      </c>
      <c r="DM109" s="14">
        <f>SUMIFS(DL$5:DL109,$CT$5:$CT109,"="&amp;$CT109)</f>
        <v>150</v>
      </c>
      <c r="DR109" s="14">
        <f t="shared" si="177"/>
        <v>1102006</v>
      </c>
      <c r="DS109" s="14" t="str">
        <f t="shared" si="178"/>
        <v>项羽5突</v>
      </c>
      <c r="DT109" s="14">
        <f t="shared" si="195"/>
        <v>8</v>
      </c>
      <c r="DU109" s="14">
        <f t="shared" si="196"/>
        <v>9</v>
      </c>
      <c r="DV109" s="14">
        <f t="shared" si="197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INDEX(属性投放!$AX$6:$AX$85,(卡牌属性!DW109-2)*20+卡牌属性!DX109)</f>
        <v>7</v>
      </c>
      <c r="EA109" s="14">
        <f>INDEX(属性投放!BQ$6:BQ$85,卡牌属性!$DY109)</f>
        <v>135</v>
      </c>
      <c r="EB109" s="14">
        <f>INDEX(属性投放!BR$6:BR$85,卡牌属性!$DY109)</f>
        <v>68</v>
      </c>
      <c r="EC109" s="14">
        <f>INDEX(属性投放!BS$6:BS$85,卡牌属性!$DY109)</f>
        <v>945</v>
      </c>
      <c r="ED109" s="14">
        <f t="shared" si="275"/>
        <v>1157</v>
      </c>
      <c r="EE109" s="14">
        <f t="shared" si="276"/>
        <v>1305</v>
      </c>
      <c r="EF109" s="14">
        <f t="shared" si="277"/>
        <v>1525</v>
      </c>
      <c r="EG109" s="14">
        <f t="shared" si="278"/>
        <v>1525</v>
      </c>
      <c r="EH109" s="14">
        <f t="shared" si="279"/>
        <v>1795</v>
      </c>
      <c r="EI109" s="14">
        <f t="shared" si="280"/>
        <v>610</v>
      </c>
      <c r="EJ109" s="14">
        <f t="shared" si="281"/>
        <v>748</v>
      </c>
      <c r="EK109" s="14">
        <f t="shared" si="282"/>
        <v>748</v>
      </c>
      <c r="EL109" s="14">
        <f t="shared" si="283"/>
        <v>900</v>
      </c>
      <c r="EM109" s="14">
        <f t="shared" si="284"/>
        <v>1108</v>
      </c>
      <c r="EN109" s="14">
        <f t="shared" si="285"/>
        <v>6782</v>
      </c>
      <c r="EO109" s="14">
        <f t="shared" si="286"/>
        <v>7600</v>
      </c>
      <c r="EP109" s="14">
        <f t="shared" si="287"/>
        <v>7600</v>
      </c>
      <c r="EQ109" s="14">
        <f t="shared" si="288"/>
        <v>8970</v>
      </c>
      <c r="ER109" s="14">
        <f t="shared" si="289"/>
        <v>10890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154</v>
      </c>
      <c r="FD109" s="14">
        <f>INDEX(属性偏向!$U$4:$U$243,(卡牌属性!$DV109-1+FD$3)*20+卡牌属性!$DX109)</f>
        <v>175</v>
      </c>
      <c r="FE109" s="14">
        <f>INDEX(属性偏向!$U$4:$U$243,(卡牌属性!$DV109-1+FE$3)*20+卡牌属性!$DX109)</f>
        <v>175</v>
      </c>
      <c r="FF109" s="14">
        <f>INDEX(属性偏向!$U$4:$U$243,(卡牌属性!$DV109-1+FF$3)*20+卡牌属性!$DX109)</f>
        <v>210</v>
      </c>
      <c r="FG109" s="14">
        <f>INDEX(属性偏向!$U$4:$U$243,(卡牌属性!$DV109-1+FG$3)*20+卡牌属性!$DX109)</f>
        <v>280</v>
      </c>
      <c r="FH109" s="14">
        <f>INDEX(属性投放!$BQ$6:$BQ$85,(卡牌属性!$DW109-2)*20+卡牌属性!$DX109)</f>
        <v>135</v>
      </c>
      <c r="FI109" s="14">
        <f>INDEX(属性投放!$BQ$6:$BQ$85,(卡牌属性!$DW109-2)*20+卡牌属性!$DX109)</f>
        <v>135</v>
      </c>
      <c r="FJ109" s="14">
        <f>INDEX(属性投放!$BQ$6:$BQ$85,(卡牌属性!$DW109-2)*20+卡牌属性!$DX109)</f>
        <v>135</v>
      </c>
      <c r="FK109" s="14">
        <f>INDEX(属性投放!$BQ$6:$BQ$85,(卡牌属性!$DW109-2)*20+卡牌属性!$DX109)</f>
        <v>135</v>
      </c>
      <c r="FL109" s="14">
        <f>INDEX(属性投放!$BQ$6:$BQ$85,(卡牌属性!$DW109-2)*20+卡牌属性!$DX109)</f>
        <v>135</v>
      </c>
      <c r="FM109" s="14">
        <f>INDEX(属性投放!$BR$6:$BR$85,(卡牌属性!$DW109-2)*20+卡牌属性!$DX109)</f>
        <v>68</v>
      </c>
      <c r="FN109" s="14">
        <f>INDEX(属性投放!$BR$6:$BR$85,(卡牌属性!$DW109-2)*20+卡牌属性!$DX109)</f>
        <v>68</v>
      </c>
      <c r="FO109" s="14">
        <f>INDEX(属性投放!$BR$6:$BR$85,(卡牌属性!$DW109-2)*20+卡牌属性!$DX109)</f>
        <v>68</v>
      </c>
      <c r="FP109" s="14">
        <f>INDEX(属性投放!$BR$6:$BR$85,(卡牌属性!$DW109-2)*20+卡牌属性!$DX109)</f>
        <v>68</v>
      </c>
      <c r="FQ109" s="14">
        <f>INDEX(属性投放!$BR$6:$BR$85,(卡牌属性!$DW109-2)*20+卡牌属性!$DX109)</f>
        <v>68</v>
      </c>
      <c r="FR109" s="14">
        <f>INDEX(属性投放!$BS$6:$BS$85,(卡牌属性!$DW109-2)*20+卡牌属性!$DX109)</f>
        <v>945</v>
      </c>
      <c r="FS109" s="14">
        <f>INDEX(属性投放!$BS$6:$BS$85,(卡牌属性!$DW109-2)*20+卡牌属性!$DX109)</f>
        <v>945</v>
      </c>
      <c r="FT109" s="14">
        <f>INDEX(属性投放!$BS$6:$BS$85,(卡牌属性!$DW109-2)*20+卡牌属性!$DX109)</f>
        <v>945</v>
      </c>
      <c r="FU109" s="14">
        <f>INDEX(属性投放!$BS$6:$BS$85,(卡牌属性!$DW109-2)*20+卡牌属性!$DX109)</f>
        <v>945</v>
      </c>
      <c r="FV109" s="14">
        <f>INDEX(属性投放!$BS$6:$BS$85,(卡牌属性!$DW109-2)*20+卡牌属性!$DX109)</f>
        <v>945</v>
      </c>
      <c r="FZ109" s="13">
        <v>105</v>
      </c>
      <c r="GA109" s="13">
        <f t="shared" si="264"/>
        <v>21</v>
      </c>
      <c r="GB109" s="14">
        <f t="shared" si="198"/>
        <v>1102021</v>
      </c>
      <c r="GC109" s="14" t="s">
        <v>1187</v>
      </c>
      <c r="GD109" s="14">
        <f t="shared" si="265"/>
        <v>5</v>
      </c>
      <c r="GE109" s="14" t="str">
        <f t="shared" si="266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3"/>
        <v>21</v>
      </c>
      <c r="GP109" s="14">
        <f t="shared" si="199"/>
        <v>1101026</v>
      </c>
      <c r="GQ109" s="14" t="s">
        <v>1187</v>
      </c>
      <c r="GR109" s="14">
        <f t="shared" si="267"/>
        <v>5</v>
      </c>
      <c r="GS109" s="14" t="str">
        <f t="shared" si="268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MATCH(HC109,属性投放!$AO$6:$AO$58,1)-1</f>
        <v>35</v>
      </c>
      <c r="HF109" s="13">
        <f>MATCH(HC109-1,属性投放!$AE$6:$AE$26,1)</f>
        <v>15</v>
      </c>
      <c r="HG109" s="13" t="str">
        <f>INDEX(属性投放!$AB$7:$AB$26,卡牌属性!HF109)</f>
        <v>焦热+2</v>
      </c>
      <c r="HH109" s="14">
        <f t="shared" si="200"/>
        <v>5573</v>
      </c>
      <c r="HI109" s="14">
        <f t="shared" si="201"/>
        <v>2354</v>
      </c>
      <c r="HJ109" s="14">
        <f t="shared" si="202"/>
        <v>39804</v>
      </c>
      <c r="HK109" s="14">
        <f t="shared" si="203"/>
        <v>40</v>
      </c>
      <c r="HL109" s="14">
        <f t="shared" si="204"/>
        <v>13</v>
      </c>
      <c r="HM109" s="14">
        <f t="shared" si="205"/>
        <v>260</v>
      </c>
      <c r="HN109" s="14">
        <f>HH109+HK109*($HC109-INDEX(属性投放!$AE$6:$AE$26,卡牌属性!$HF109))</f>
        <v>5693</v>
      </c>
      <c r="HO109" s="14">
        <f>HI109+HL109*($HC109-INDEX(属性投放!$AE$6:$AE$26,卡牌属性!$HF109))</f>
        <v>2393</v>
      </c>
      <c r="HP109" s="14">
        <f>HJ109+HM109*($HC109-INDEX(属性投放!$AE$6:$AE$26,卡牌属性!$HF109))</f>
        <v>40584</v>
      </c>
      <c r="HQ109" s="14">
        <f t="shared" si="206"/>
        <v>5430</v>
      </c>
      <c r="HR109" s="14">
        <f t="shared" si="207"/>
        <v>2724</v>
      </c>
      <c r="HS109" s="14">
        <f t="shared" si="208"/>
        <v>49735</v>
      </c>
      <c r="HT109" s="14">
        <f>IF(COUNTIF(属性投放!$AO$7:$AO$58,"="&amp;卡牌属性!HC109)&gt;0,卡牌属性!HE109,0)</f>
        <v>35</v>
      </c>
      <c r="HU109" s="14">
        <f t="shared" si="209"/>
        <v>445</v>
      </c>
      <c r="HV109" s="14">
        <f t="shared" si="210"/>
        <v>223</v>
      </c>
      <c r="HW109" s="14">
        <f t="shared" si="211"/>
        <v>4450</v>
      </c>
      <c r="HX109" s="14">
        <f>IF(COUNTIF(属性投放!$AE$6:$AE$26,"="&amp;卡牌属性!HC109)&gt;0,卡牌属性!HF109,0)</f>
        <v>0</v>
      </c>
      <c r="HY109" s="14">
        <f t="shared" si="212"/>
        <v>0</v>
      </c>
      <c r="HZ109" s="14">
        <f t="shared" si="213"/>
        <v>0</v>
      </c>
      <c r="IA109" s="14">
        <f t="shared" si="214"/>
        <v>0</v>
      </c>
      <c r="IB109" s="14">
        <f t="shared" si="215"/>
        <v>40</v>
      </c>
      <c r="IC109" s="14">
        <f t="shared" si="216"/>
        <v>13</v>
      </c>
      <c r="ID109" s="14">
        <f t="shared" si="217"/>
        <v>260</v>
      </c>
      <c r="IE109" s="14">
        <f t="shared" si="218"/>
        <v>11123</v>
      </c>
      <c r="IF109" s="14">
        <f t="shared" si="219"/>
        <v>5117</v>
      </c>
      <c r="IG109" s="14">
        <f t="shared" si="220"/>
        <v>90319</v>
      </c>
      <c r="IH109" s="14">
        <f t="shared" si="221"/>
        <v>920</v>
      </c>
      <c r="II109" s="14">
        <f t="shared" si="222"/>
        <v>13360</v>
      </c>
      <c r="IJ109" s="14">
        <f t="shared" si="223"/>
        <v>0</v>
      </c>
      <c r="IK109" s="14">
        <f t="shared" si="224"/>
        <v>303889</v>
      </c>
      <c r="IL109" s="17">
        <f t="shared" si="225"/>
        <v>3.0274211965553213E-3</v>
      </c>
      <c r="IM109" s="17">
        <f t="shared" si="226"/>
        <v>4.39634208543251E-2</v>
      </c>
      <c r="IN109" s="17">
        <f t="shared" si="227"/>
        <v>0</v>
      </c>
      <c r="IO109" s="23">
        <f>SUM(IH$5:IH109)</f>
        <v>59564</v>
      </c>
      <c r="IP109" s="14">
        <f>SUM(II$5:II109)</f>
        <v>158515</v>
      </c>
      <c r="IQ109" s="14">
        <f>SUM(IJ$5:IJ109)</f>
        <v>67640</v>
      </c>
      <c r="IR109" s="17">
        <f t="shared" si="228"/>
        <v>0.19600577842567515</v>
      </c>
      <c r="IS109" s="17">
        <f t="shared" si="229"/>
        <v>0.52162138149126824</v>
      </c>
      <c r="IT109" s="17">
        <f t="shared" si="230"/>
        <v>0.22258127145108905</v>
      </c>
      <c r="IW109" s="13">
        <v>105</v>
      </c>
      <c r="IX109" s="14">
        <f>MATCH(IW109-1,属性投放!$T$6:$T$66,1)</f>
        <v>22</v>
      </c>
      <c r="IY109" s="14">
        <f>MATCH(IW109-1,属性投放!$AD$7:$AD$26,1)</f>
        <v>14</v>
      </c>
      <c r="IZ109" s="14" t="str">
        <f>INDEX(属性投放!$AB$7:$AB$26,IY109)</f>
        <v>焦热+1</v>
      </c>
      <c r="JA109" s="14">
        <f t="shared" si="231"/>
        <v>4906</v>
      </c>
      <c r="JB109" s="14">
        <f t="shared" si="232"/>
        <v>2405</v>
      </c>
      <c r="JC109" s="14">
        <f t="shared" si="233"/>
        <v>40846</v>
      </c>
      <c r="JD109" s="14">
        <f t="shared" si="234"/>
        <v>151</v>
      </c>
      <c r="JE109" s="14">
        <f t="shared" si="235"/>
        <v>76</v>
      </c>
      <c r="JF109" s="14">
        <f t="shared" si="236"/>
        <v>1510</v>
      </c>
      <c r="JG109" s="14">
        <f>INDEX(属性投放!$DC$6:$DC$85,卡牌属性!IY109)</f>
        <v>85</v>
      </c>
      <c r="JH109" s="14">
        <f t="shared" si="237"/>
        <v>7926</v>
      </c>
      <c r="JI109" s="14">
        <f t="shared" si="238"/>
        <v>3925</v>
      </c>
      <c r="JJ109" s="14">
        <f t="shared" si="239"/>
        <v>71046</v>
      </c>
      <c r="JK109" s="14">
        <f t="shared" si="240"/>
        <v>149926</v>
      </c>
    </row>
    <row r="110" spans="31:271" ht="16.5" x14ac:dyDescent="0.2">
      <c r="AE110" s="13">
        <v>106</v>
      </c>
      <c r="AF110" s="13">
        <f t="shared" si="188"/>
        <v>6</v>
      </c>
      <c r="AG110" s="13">
        <f t="shared" si="169"/>
        <v>4</v>
      </c>
      <c r="AH110" s="13"/>
      <c r="AI110" s="13"/>
      <c r="AJ110" s="14">
        <f t="shared" si="170"/>
        <v>1101006</v>
      </c>
      <c r="AK110" s="14" t="str">
        <f t="shared" si="171"/>
        <v>红莲·缇娜6突</v>
      </c>
      <c r="AL110" s="25" t="s">
        <v>142</v>
      </c>
      <c r="AM110" s="14">
        <v>1</v>
      </c>
      <c r="AN110" s="14">
        <f t="shared" si="172"/>
        <v>6</v>
      </c>
      <c r="AO110" s="14">
        <f>INDEX(属性投放!$DF$6:$DF$85,(卡牌属性!AG110-2)*20+卡牌属性!AN110)</f>
        <v>868</v>
      </c>
      <c r="AP110" s="14">
        <f t="shared" si="269"/>
        <v>868</v>
      </c>
      <c r="AQ110" s="14">
        <f t="shared" si="269"/>
        <v>868</v>
      </c>
      <c r="AR110" s="14">
        <f t="shared" si="269"/>
        <v>868</v>
      </c>
      <c r="AS110" s="14">
        <f t="shared" si="269"/>
        <v>868</v>
      </c>
      <c r="AT110" s="14">
        <f>INDEX(属性投放!$DG$6:$DG$85,(卡牌属性!AG110-2)*20+卡牌属性!AN110)</f>
        <v>362</v>
      </c>
      <c r="AU110" s="14">
        <f t="shared" si="270"/>
        <v>362</v>
      </c>
      <c r="AV110" s="14">
        <f t="shared" si="270"/>
        <v>362</v>
      </c>
      <c r="AW110" s="14">
        <f t="shared" si="270"/>
        <v>362</v>
      </c>
      <c r="AX110" s="14">
        <f t="shared" si="270"/>
        <v>362</v>
      </c>
      <c r="AY110" s="14">
        <f>INDEX(属性投放!$DH$6:$DH$85,(卡牌属性!AG110-2)*20+卡牌属性!AN110)</f>
        <v>4851</v>
      </c>
      <c r="AZ110" s="14">
        <f t="shared" si="271"/>
        <v>4851</v>
      </c>
      <c r="BA110" s="14">
        <f t="shared" si="271"/>
        <v>4851</v>
      </c>
      <c r="BB110" s="14">
        <f t="shared" si="271"/>
        <v>4851</v>
      </c>
      <c r="BC110" s="14">
        <f t="shared" si="271"/>
        <v>4851</v>
      </c>
      <c r="BD110" s="14">
        <f>INDEX(属性投放!$DL$6:$DL$85,(卡牌属性!AG110-2)*20+卡牌属性!AN110)</f>
        <v>40</v>
      </c>
      <c r="BE110" s="14">
        <f t="shared" si="272"/>
        <v>40</v>
      </c>
      <c r="BF110" s="14">
        <f t="shared" si="272"/>
        <v>40</v>
      </c>
      <c r="BG110" s="14">
        <f t="shared" si="272"/>
        <v>40</v>
      </c>
      <c r="BH110" s="14">
        <f t="shared" si="272"/>
        <v>40</v>
      </c>
      <c r="BI110" s="14">
        <f>INDEX(属性投放!$DM$6:$DM$85,(卡牌属性!AG110-2)*20+卡牌属性!AN110)</f>
        <v>20</v>
      </c>
      <c r="BJ110" s="14">
        <f t="shared" si="273"/>
        <v>20</v>
      </c>
      <c r="BK110" s="14">
        <f t="shared" si="273"/>
        <v>20</v>
      </c>
      <c r="BL110" s="14">
        <f t="shared" si="273"/>
        <v>20</v>
      </c>
      <c r="BM110" s="14">
        <f t="shared" si="273"/>
        <v>20</v>
      </c>
      <c r="BN110" s="14">
        <f>INDEX(属性投放!$DN$6:$DN$85,(卡牌属性!AG110-2)*20+卡牌属性!AN110)</f>
        <v>279</v>
      </c>
      <c r="BO110" s="14">
        <f t="shared" si="274"/>
        <v>279</v>
      </c>
      <c r="BP110" s="14">
        <f t="shared" si="274"/>
        <v>279</v>
      </c>
      <c r="BQ110" s="14">
        <f t="shared" si="274"/>
        <v>279</v>
      </c>
      <c r="BR110" s="14">
        <f t="shared" si="274"/>
        <v>279</v>
      </c>
      <c r="BW110" s="13">
        <v>106</v>
      </c>
      <c r="BX110" s="13">
        <f t="shared" si="173"/>
        <v>6</v>
      </c>
      <c r="BY110" s="14">
        <f t="shared" si="174"/>
        <v>5</v>
      </c>
      <c r="BZ110" s="14">
        <f t="shared" si="189"/>
        <v>1102006</v>
      </c>
      <c r="CA110" s="14" t="str">
        <f t="shared" si="190"/>
        <v>项羽6突</v>
      </c>
      <c r="CB110" s="25" t="s">
        <v>142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INDEX(属性投放!$AZ$6:$AZ$85,(BY110-2)*20+CD110)</f>
        <v>2080</v>
      </c>
      <c r="CG110" s="14" t="s">
        <v>22</v>
      </c>
      <c r="CH110" s="14">
        <f>INDEX(属性投放!$BA$6:$BA$85,(BY110-2)*20+CD110)</f>
        <v>953</v>
      </c>
      <c r="CI110" s="14" t="s">
        <v>510</v>
      </c>
      <c r="CJ110" s="14">
        <f>INDEX(属性投放!$BB$6:$BB$85,(BY110-2)*20+CD110)</f>
        <v>12820</v>
      </c>
      <c r="CK110" s="14" t="s">
        <v>21</v>
      </c>
      <c r="CL110" s="14">
        <f>INDEX(属性投放!$BC$6:$BC$85,(BY110-2)*20+CD110)</f>
        <v>25</v>
      </c>
      <c r="CM110" s="14" t="s">
        <v>22</v>
      </c>
      <c r="CN110" s="14">
        <f>INDEX(属性投放!$BD$6:$BD$85,(BY110-2)*20+CD110)</f>
        <v>13</v>
      </c>
      <c r="CO110" s="14" t="s">
        <v>510</v>
      </c>
      <c r="CP110" s="14">
        <f>INDEX(属性投放!$BE$6:$BE$85,(BY110-2)*20+CD110)</f>
        <v>175</v>
      </c>
      <c r="CS110" s="13">
        <v>106</v>
      </c>
      <c r="CT110" s="13">
        <f t="shared" si="191"/>
        <v>3</v>
      </c>
      <c r="CU110" s="13">
        <f t="shared" si="192"/>
        <v>2</v>
      </c>
      <c r="CV110" s="14">
        <f t="shared" si="193"/>
        <v>4</v>
      </c>
      <c r="CW110" s="14">
        <f t="shared" si="194"/>
        <v>1102003</v>
      </c>
      <c r="CX110" s="14" t="str">
        <f>INDEX($O$6:$O$50,CT110)&amp;"-"&amp;INDEX(属性投放!$AB$7:$AB$50,CZ110)&amp;"-魂火-"&amp;DB110</f>
        <v>典韦-黑绳-魂火-1</v>
      </c>
      <c r="CY110" s="25" t="s">
        <v>142</v>
      </c>
      <c r="CZ110" s="14">
        <f>INDEX(属性投放!$AM$7:$AM$58,CU110)</f>
        <v>2</v>
      </c>
      <c r="DA110" s="14" t="s">
        <v>537</v>
      </c>
      <c r="DB110" s="14">
        <f>INDEX(属性投放!$AN$7:$AN$58,CU110)</f>
        <v>1</v>
      </c>
      <c r="DC110" s="14">
        <f t="shared" si="176"/>
        <v>2</v>
      </c>
      <c r="DD110" s="14">
        <f>INDEX(属性投放!$AO$7:$AO$58,DC110)</f>
        <v>8</v>
      </c>
      <c r="DE110" s="14" t="s">
        <v>538</v>
      </c>
      <c r="DF110" s="14">
        <f>INDEX(属性投放!$BK$6:$BK$85,(CV110-2)*20+CZ110)</f>
        <v>30</v>
      </c>
      <c r="DG110" s="14">
        <f>SUMIFS(DF$5:DF110,$CT$5:$CT110,"="&amp;$CT110)</f>
        <v>55</v>
      </c>
      <c r="DH110" s="14" t="s">
        <v>539</v>
      </c>
      <c r="DI110" s="14">
        <f>INDEX(属性投放!$BL$6:$BL$85,(CV110-2)*20+CZ110)</f>
        <v>15</v>
      </c>
      <c r="DJ110" s="14">
        <f>SUMIFS(DI$5:DI110,$CT$5:$CT110,"="&amp;$CT110)</f>
        <v>28</v>
      </c>
      <c r="DK110" s="14" t="s">
        <v>540</v>
      </c>
      <c r="DL110" s="14">
        <f>INDEX(属性投放!$BM$6:$BM$85,(CV110-2)*20+CZ110)</f>
        <v>180</v>
      </c>
      <c r="DM110" s="14">
        <f>SUMIFS(DL$5:DL110,$CT$5:$CT110,"="&amp;$CT110)</f>
        <v>330</v>
      </c>
      <c r="DR110" s="14">
        <f t="shared" si="177"/>
        <v>1102006</v>
      </c>
      <c r="DS110" s="14" t="str">
        <f t="shared" si="178"/>
        <v>项羽6突</v>
      </c>
      <c r="DT110" s="14">
        <f t="shared" si="195"/>
        <v>8</v>
      </c>
      <c r="DU110" s="14">
        <f t="shared" si="196"/>
        <v>9</v>
      </c>
      <c r="DV110" s="14">
        <f t="shared" si="197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INDEX(属性投放!$AX$6:$AX$85,(卡牌属性!DW110-2)*20+卡牌属性!DX110)</f>
        <v>5</v>
      </c>
      <c r="EA110" s="14">
        <f>INDEX(属性投放!BQ$6:BQ$85,卡牌属性!$DY110)</f>
        <v>180</v>
      </c>
      <c r="EB110" s="14">
        <f>INDEX(属性投放!BR$6:BR$85,卡牌属性!$DY110)</f>
        <v>90</v>
      </c>
      <c r="EC110" s="14">
        <f>INDEX(属性投放!BS$6:BS$85,卡牌属性!$DY110)</f>
        <v>1260</v>
      </c>
      <c r="ED110" s="14">
        <f t="shared" si="275"/>
        <v>1446</v>
      </c>
      <c r="EE110" s="14">
        <f t="shared" si="276"/>
        <v>1615</v>
      </c>
      <c r="EF110" s="14">
        <f t="shared" si="277"/>
        <v>1870</v>
      </c>
      <c r="EG110" s="14">
        <f t="shared" si="278"/>
        <v>1870</v>
      </c>
      <c r="EH110" s="14">
        <f t="shared" si="279"/>
        <v>2210</v>
      </c>
      <c r="EI110" s="14">
        <f t="shared" si="280"/>
        <v>769</v>
      </c>
      <c r="EJ110" s="14">
        <f t="shared" si="281"/>
        <v>921</v>
      </c>
      <c r="EK110" s="14">
        <f t="shared" si="282"/>
        <v>921</v>
      </c>
      <c r="EL110" s="14">
        <f t="shared" si="283"/>
        <v>1108</v>
      </c>
      <c r="EM110" s="14">
        <f t="shared" si="284"/>
        <v>1351</v>
      </c>
      <c r="EN110" s="14">
        <f t="shared" si="285"/>
        <v>8805</v>
      </c>
      <c r="EO110" s="14">
        <f t="shared" si="286"/>
        <v>9770</v>
      </c>
      <c r="EP110" s="14">
        <f t="shared" si="287"/>
        <v>9770</v>
      </c>
      <c r="EQ110" s="14">
        <f t="shared" si="288"/>
        <v>11385</v>
      </c>
      <c r="ER110" s="14">
        <f t="shared" si="289"/>
        <v>13795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154</v>
      </c>
      <c r="FD110" s="14">
        <f>INDEX(属性偏向!$U$4:$U$243,(卡牌属性!$DV110-1+FD$3)*20+卡牌属性!$DX110)</f>
        <v>175</v>
      </c>
      <c r="FE110" s="14">
        <f>INDEX(属性偏向!$U$4:$U$243,(卡牌属性!$DV110-1+FE$3)*20+卡牌属性!$DX110)</f>
        <v>175</v>
      </c>
      <c r="FF110" s="14">
        <f>INDEX(属性偏向!$U$4:$U$243,(卡牌属性!$DV110-1+FF$3)*20+卡牌属性!$DX110)</f>
        <v>210</v>
      </c>
      <c r="FG110" s="14">
        <f>INDEX(属性偏向!$U$4:$U$243,(卡牌属性!$DV110-1+FG$3)*20+卡牌属性!$DX110)</f>
        <v>280</v>
      </c>
      <c r="FH110" s="14">
        <f>INDEX(属性投放!$BQ$6:$BQ$85,(卡牌属性!$DW110-2)*20+卡牌属性!$DX110)</f>
        <v>180</v>
      </c>
      <c r="FI110" s="14">
        <f>INDEX(属性投放!$BQ$6:$BQ$85,(卡牌属性!$DW110-2)*20+卡牌属性!$DX110)</f>
        <v>180</v>
      </c>
      <c r="FJ110" s="14">
        <f>INDEX(属性投放!$BQ$6:$BQ$85,(卡牌属性!$DW110-2)*20+卡牌属性!$DX110)</f>
        <v>180</v>
      </c>
      <c r="FK110" s="14">
        <f>INDEX(属性投放!$BQ$6:$BQ$85,(卡牌属性!$DW110-2)*20+卡牌属性!$DX110)</f>
        <v>180</v>
      </c>
      <c r="FL110" s="14">
        <f>INDEX(属性投放!$BQ$6:$BQ$85,(卡牌属性!$DW110-2)*20+卡牌属性!$DX110)</f>
        <v>180</v>
      </c>
      <c r="FM110" s="14">
        <f>INDEX(属性投放!$BR$6:$BR$85,(卡牌属性!$DW110-2)*20+卡牌属性!$DX110)</f>
        <v>90</v>
      </c>
      <c r="FN110" s="14">
        <f>INDEX(属性投放!$BR$6:$BR$85,(卡牌属性!$DW110-2)*20+卡牌属性!$DX110)</f>
        <v>90</v>
      </c>
      <c r="FO110" s="14">
        <f>INDEX(属性投放!$BR$6:$BR$85,(卡牌属性!$DW110-2)*20+卡牌属性!$DX110)</f>
        <v>90</v>
      </c>
      <c r="FP110" s="14">
        <f>INDEX(属性投放!$BR$6:$BR$85,(卡牌属性!$DW110-2)*20+卡牌属性!$DX110)</f>
        <v>90</v>
      </c>
      <c r="FQ110" s="14">
        <f>INDEX(属性投放!$BR$6:$BR$85,(卡牌属性!$DW110-2)*20+卡牌属性!$DX110)</f>
        <v>90</v>
      </c>
      <c r="FR110" s="14">
        <f>INDEX(属性投放!$BS$6:$BS$85,(卡牌属性!$DW110-2)*20+卡牌属性!$DX110)</f>
        <v>1260</v>
      </c>
      <c r="FS110" s="14">
        <f>INDEX(属性投放!$BS$6:$BS$85,(卡牌属性!$DW110-2)*20+卡牌属性!$DX110)</f>
        <v>1260</v>
      </c>
      <c r="FT110" s="14">
        <f>INDEX(属性投放!$BS$6:$BS$85,(卡牌属性!$DW110-2)*20+卡牌属性!$DX110)</f>
        <v>1260</v>
      </c>
      <c r="FU110" s="14">
        <f>INDEX(属性投放!$BS$6:$BS$85,(卡牌属性!$DW110-2)*20+卡牌属性!$DX110)</f>
        <v>1260</v>
      </c>
      <c r="FV110" s="14">
        <f>INDEX(属性投放!$BS$6:$BS$85,(卡牌属性!$DW110-2)*20+卡牌属性!$DX110)</f>
        <v>1260</v>
      </c>
      <c r="FZ110" s="13">
        <v>106</v>
      </c>
      <c r="GA110" s="13">
        <f t="shared" si="264"/>
        <v>22</v>
      </c>
      <c r="GB110" s="14">
        <f t="shared" si="198"/>
        <v>1102050</v>
      </c>
      <c r="GC110" s="14" t="s">
        <v>1187</v>
      </c>
      <c r="GD110" s="14">
        <f t="shared" si="265"/>
        <v>1</v>
      </c>
      <c r="GE110" s="14" t="str">
        <f t="shared" si="266"/>
        <v>柠檬精-1星</v>
      </c>
      <c r="GF110" s="14">
        <f>INDEX(Y$6:Y$36,$GA110)+INDEX(属性偏向!Y$4:Y$8,卡牌属性!$GD110)</f>
        <v>3</v>
      </c>
      <c r="GG110" s="14" t="str">
        <f>INDEX(属性评价,卡牌属性!GF110)</f>
        <v>C</v>
      </c>
      <c r="GH110" s="14">
        <f>INDEX(Z$6:Z$36,$GA110)+INDEX(属性偏向!Z$4:Z$8,卡牌属性!$GD110)</f>
        <v>1</v>
      </c>
      <c r="GI110" s="14" t="str">
        <f>INDEX(属性评价,卡牌属性!GH110)</f>
        <v>D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90">INT((GN110-1)/5)+1</f>
        <v>22</v>
      </c>
      <c r="GP110" s="14">
        <f t="shared" si="199"/>
        <v>1101030</v>
      </c>
      <c r="GQ110" s="14" t="s">
        <v>1187</v>
      </c>
      <c r="GR110" s="14">
        <f t="shared" si="267"/>
        <v>1</v>
      </c>
      <c r="GS110" s="14" t="str">
        <f t="shared" si="268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MATCH(HC110,属性投放!$AO$6:$AO$58,1)-1</f>
        <v>35</v>
      </c>
      <c r="HF110" s="13">
        <f>MATCH(HC110-1,属性投放!$AE$6:$AE$26,1)</f>
        <v>15</v>
      </c>
      <c r="HG110" s="13" t="str">
        <f>INDEX(属性投放!$AB$7:$AB$26,卡牌属性!HF110)</f>
        <v>焦热+2</v>
      </c>
      <c r="HH110" s="14">
        <f t="shared" si="200"/>
        <v>5573</v>
      </c>
      <c r="HI110" s="14">
        <f t="shared" si="201"/>
        <v>2354</v>
      </c>
      <c r="HJ110" s="14">
        <f t="shared" si="202"/>
        <v>39804</v>
      </c>
      <c r="HK110" s="14">
        <f t="shared" si="203"/>
        <v>40</v>
      </c>
      <c r="HL110" s="14">
        <f t="shared" si="204"/>
        <v>13</v>
      </c>
      <c r="HM110" s="14">
        <f t="shared" si="205"/>
        <v>260</v>
      </c>
      <c r="HN110" s="14">
        <f>HH110+HK110*($HC110-INDEX(属性投放!$AE$6:$AE$26,卡牌属性!$HF110))</f>
        <v>5733</v>
      </c>
      <c r="HO110" s="14">
        <f>HI110+HL110*($HC110-INDEX(属性投放!$AE$6:$AE$26,卡牌属性!$HF110))</f>
        <v>2406</v>
      </c>
      <c r="HP110" s="14">
        <f>HJ110+HM110*($HC110-INDEX(属性投放!$AE$6:$AE$26,卡牌属性!$HF110))</f>
        <v>40844</v>
      </c>
      <c r="HQ110" s="14">
        <f t="shared" si="206"/>
        <v>5430</v>
      </c>
      <c r="HR110" s="14">
        <f t="shared" si="207"/>
        <v>2724</v>
      </c>
      <c r="HS110" s="14">
        <f t="shared" si="208"/>
        <v>49735</v>
      </c>
      <c r="HT110" s="14">
        <f>IF(COUNTIF(属性投放!$AO$7:$AO$58,"="&amp;卡牌属性!HC110)&gt;0,卡牌属性!HE110,0)</f>
        <v>0</v>
      </c>
      <c r="HU110" s="14">
        <f t="shared" si="209"/>
        <v>0</v>
      </c>
      <c r="HV110" s="14">
        <f t="shared" si="210"/>
        <v>0</v>
      </c>
      <c r="HW110" s="14">
        <f t="shared" si="211"/>
        <v>0</v>
      </c>
      <c r="HX110" s="14">
        <f>IF(COUNTIF(属性投放!$AE$6:$AE$26,"="&amp;卡牌属性!HC110)&gt;0,卡牌属性!HF110,0)</f>
        <v>0</v>
      </c>
      <c r="HY110" s="14">
        <f t="shared" si="212"/>
        <v>0</v>
      </c>
      <c r="HZ110" s="14">
        <f t="shared" si="213"/>
        <v>0</v>
      </c>
      <c r="IA110" s="14">
        <f t="shared" si="214"/>
        <v>0</v>
      </c>
      <c r="IB110" s="14">
        <f t="shared" si="215"/>
        <v>40</v>
      </c>
      <c r="IC110" s="14">
        <f t="shared" si="216"/>
        <v>13</v>
      </c>
      <c r="ID110" s="14">
        <f t="shared" si="217"/>
        <v>260</v>
      </c>
      <c r="IE110" s="14">
        <f t="shared" si="218"/>
        <v>11163</v>
      </c>
      <c r="IF110" s="14">
        <f t="shared" si="219"/>
        <v>5130</v>
      </c>
      <c r="IG110" s="14">
        <f t="shared" si="220"/>
        <v>90579</v>
      </c>
      <c r="IH110" s="14">
        <f t="shared" si="221"/>
        <v>920</v>
      </c>
      <c r="II110" s="14">
        <f t="shared" si="222"/>
        <v>0</v>
      </c>
      <c r="IJ110" s="14">
        <f t="shared" si="223"/>
        <v>0</v>
      </c>
      <c r="IK110" s="14">
        <f t="shared" si="224"/>
        <v>304809</v>
      </c>
      <c r="IL110" s="17">
        <f t="shared" si="225"/>
        <v>3.0182835808653945E-3</v>
      </c>
      <c r="IM110" s="17">
        <f t="shared" si="226"/>
        <v>0</v>
      </c>
      <c r="IN110" s="17">
        <f t="shared" si="227"/>
        <v>0</v>
      </c>
      <c r="IO110" s="23">
        <f>SUM(IH$5:IH110)</f>
        <v>60484</v>
      </c>
      <c r="IP110" s="14">
        <f>SUM(II$5:II110)</f>
        <v>158515</v>
      </c>
      <c r="IQ110" s="14">
        <f>SUM(IJ$5:IJ110)</f>
        <v>67640</v>
      </c>
      <c r="IR110" s="17">
        <f t="shared" si="228"/>
        <v>0.1984324609837636</v>
      </c>
      <c r="IS110" s="17">
        <f t="shared" si="229"/>
        <v>0.52004698024008478</v>
      </c>
      <c r="IT110" s="17">
        <f t="shared" si="230"/>
        <v>0.22190945805406009</v>
      </c>
      <c r="IW110" s="13">
        <v>106</v>
      </c>
      <c r="IX110" s="14">
        <f>MATCH(IW110-1,属性投放!$T$6:$T$66,1)</f>
        <v>22</v>
      </c>
      <c r="IY110" s="14">
        <f>MATCH(IW110-1,属性投放!$AD$7:$AD$26,1)</f>
        <v>14</v>
      </c>
      <c r="IZ110" s="14" t="str">
        <f>INDEX(属性投放!$AB$7:$AB$26,IY110)</f>
        <v>焦热+1</v>
      </c>
      <c r="JA110" s="14">
        <f t="shared" si="231"/>
        <v>4906</v>
      </c>
      <c r="JB110" s="14">
        <f t="shared" si="232"/>
        <v>2405</v>
      </c>
      <c r="JC110" s="14">
        <f t="shared" si="233"/>
        <v>40846</v>
      </c>
      <c r="JD110" s="14">
        <f t="shared" si="234"/>
        <v>151</v>
      </c>
      <c r="JE110" s="14">
        <f t="shared" si="235"/>
        <v>76</v>
      </c>
      <c r="JF110" s="14">
        <f t="shared" si="236"/>
        <v>1510</v>
      </c>
      <c r="JG110" s="14">
        <f>INDEX(属性投放!$DC$6:$DC$85,卡牌属性!IY110)</f>
        <v>85</v>
      </c>
      <c r="JH110" s="14">
        <f t="shared" si="237"/>
        <v>8077</v>
      </c>
      <c r="JI110" s="14">
        <f t="shared" si="238"/>
        <v>4001</v>
      </c>
      <c r="JJ110" s="14">
        <f t="shared" si="239"/>
        <v>72556</v>
      </c>
      <c r="JK110" s="14">
        <f t="shared" si="240"/>
        <v>152951</v>
      </c>
    </row>
    <row r="111" spans="31:271" ht="16.5" x14ac:dyDescent="0.2">
      <c r="AE111" s="13">
        <v>107</v>
      </c>
      <c r="AF111" s="13">
        <f t="shared" si="188"/>
        <v>6</v>
      </c>
      <c r="AG111" s="13">
        <f t="shared" si="169"/>
        <v>4</v>
      </c>
      <c r="AH111" s="13"/>
      <c r="AI111" s="13"/>
      <c r="AJ111" s="14">
        <f t="shared" si="170"/>
        <v>1101006</v>
      </c>
      <c r="AK111" s="14" t="str">
        <f t="shared" si="171"/>
        <v>红莲·缇娜7突</v>
      </c>
      <c r="AL111" s="25" t="s">
        <v>142</v>
      </c>
      <c r="AM111" s="14">
        <v>1</v>
      </c>
      <c r="AN111" s="14">
        <f t="shared" si="172"/>
        <v>7</v>
      </c>
      <c r="AO111" s="14">
        <f>INDEX(属性投放!$DF$6:$DF$85,(卡牌属性!AG111-2)*20+卡牌属性!AN111)</f>
        <v>1982</v>
      </c>
      <c r="AP111" s="14">
        <f t="shared" si="269"/>
        <v>1982</v>
      </c>
      <c r="AQ111" s="14">
        <f t="shared" si="269"/>
        <v>1982</v>
      </c>
      <c r="AR111" s="14">
        <f t="shared" si="269"/>
        <v>1982</v>
      </c>
      <c r="AS111" s="14">
        <f t="shared" si="269"/>
        <v>1982</v>
      </c>
      <c r="AT111" s="14">
        <f>INDEX(属性投放!$DG$6:$DG$85,(卡牌属性!AG111-2)*20+卡牌属性!AN111)</f>
        <v>919</v>
      </c>
      <c r="AU111" s="14">
        <f t="shared" si="270"/>
        <v>919</v>
      </c>
      <c r="AV111" s="14">
        <f t="shared" si="270"/>
        <v>919</v>
      </c>
      <c r="AW111" s="14">
        <f t="shared" si="270"/>
        <v>919</v>
      </c>
      <c r="AX111" s="14">
        <f t="shared" si="270"/>
        <v>919</v>
      </c>
      <c r="AY111" s="14">
        <f>INDEX(属性投放!$DH$6:$DH$85,(卡牌属性!AG111-2)*20+卡牌属性!AN111)</f>
        <v>12624</v>
      </c>
      <c r="AZ111" s="14">
        <f t="shared" si="271"/>
        <v>12624</v>
      </c>
      <c r="BA111" s="14">
        <f t="shared" si="271"/>
        <v>12624</v>
      </c>
      <c r="BB111" s="14">
        <f t="shared" si="271"/>
        <v>12624</v>
      </c>
      <c r="BC111" s="14">
        <f t="shared" si="271"/>
        <v>12624</v>
      </c>
      <c r="BD111" s="14">
        <f>INDEX(属性投放!$DL$6:$DL$85,(卡牌属性!AG111-2)*20+卡牌属性!AN111)</f>
        <v>58</v>
      </c>
      <c r="BE111" s="14">
        <f t="shared" si="272"/>
        <v>58</v>
      </c>
      <c r="BF111" s="14">
        <f t="shared" si="272"/>
        <v>58</v>
      </c>
      <c r="BG111" s="14">
        <f t="shared" si="272"/>
        <v>58</v>
      </c>
      <c r="BH111" s="14">
        <f t="shared" si="272"/>
        <v>58</v>
      </c>
      <c r="BI111" s="14">
        <f>INDEX(属性投放!$DM$6:$DM$85,(卡牌属性!AG111-2)*20+卡牌属性!AN111)</f>
        <v>29</v>
      </c>
      <c r="BJ111" s="14">
        <f t="shared" si="273"/>
        <v>29</v>
      </c>
      <c r="BK111" s="14">
        <f t="shared" si="273"/>
        <v>29</v>
      </c>
      <c r="BL111" s="14">
        <f t="shared" si="273"/>
        <v>29</v>
      </c>
      <c r="BM111" s="14">
        <f t="shared" si="273"/>
        <v>29</v>
      </c>
      <c r="BN111" s="14">
        <f>INDEX(属性投放!$DN$6:$DN$85,(卡牌属性!AG111-2)*20+卡牌属性!AN111)</f>
        <v>461</v>
      </c>
      <c r="BO111" s="14">
        <f t="shared" si="274"/>
        <v>461</v>
      </c>
      <c r="BP111" s="14">
        <f t="shared" si="274"/>
        <v>461</v>
      </c>
      <c r="BQ111" s="14">
        <f t="shared" si="274"/>
        <v>461</v>
      </c>
      <c r="BR111" s="14">
        <f t="shared" si="274"/>
        <v>461</v>
      </c>
      <c r="BW111" s="13">
        <v>107</v>
      </c>
      <c r="BX111" s="13">
        <f t="shared" si="173"/>
        <v>6</v>
      </c>
      <c r="BY111" s="14">
        <f t="shared" si="174"/>
        <v>5</v>
      </c>
      <c r="BZ111" s="14">
        <f t="shared" si="189"/>
        <v>1102006</v>
      </c>
      <c r="CA111" s="14" t="str">
        <f t="shared" si="190"/>
        <v>项羽7突</v>
      </c>
      <c r="CB111" s="25" t="s">
        <v>142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INDEX(属性投放!$AZ$6:$AZ$85,(BY111-2)*20+CD111)</f>
        <v>2535</v>
      </c>
      <c r="CG111" s="14" t="s">
        <v>22</v>
      </c>
      <c r="CH111" s="14">
        <f>INDEX(属性投放!$BA$6:$BA$85,(BY111-2)*20+CD111)</f>
        <v>1184</v>
      </c>
      <c r="CI111" s="14" t="s">
        <v>510</v>
      </c>
      <c r="CJ111" s="14">
        <f>INDEX(属性投放!$BB$6:$BB$85,(BY111-2)*20+CD111)</f>
        <v>16005</v>
      </c>
      <c r="CK111" s="14" t="s">
        <v>21</v>
      </c>
      <c r="CL111" s="14">
        <f>INDEX(属性投放!$BC$6:$BC$85,(BY111-2)*20+CD111)</f>
        <v>30</v>
      </c>
      <c r="CM111" s="14" t="s">
        <v>22</v>
      </c>
      <c r="CN111" s="14">
        <f>INDEX(属性投放!$BD$6:$BD$85,(BY111-2)*20+CD111)</f>
        <v>15</v>
      </c>
      <c r="CO111" s="14" t="s">
        <v>510</v>
      </c>
      <c r="CP111" s="14">
        <f>INDEX(属性投放!$BE$6:$BE$85,(BY111-2)*20+CD111)</f>
        <v>240</v>
      </c>
      <c r="CS111" s="13">
        <v>107</v>
      </c>
      <c r="CT111" s="13">
        <f t="shared" si="191"/>
        <v>3</v>
      </c>
      <c r="CU111" s="13">
        <f t="shared" si="192"/>
        <v>3</v>
      </c>
      <c r="CV111" s="14">
        <f t="shared" si="193"/>
        <v>4</v>
      </c>
      <c r="CW111" s="14">
        <f t="shared" si="194"/>
        <v>1102003</v>
      </c>
      <c r="CX111" s="14" t="str">
        <f>INDEX($O$6:$O$50,CT111)&amp;"-"&amp;INDEX(属性投放!$AB$7:$AB$50,CZ111)&amp;"-魂火-"&amp;DB111</f>
        <v>典韦-黑绳-魂火-2</v>
      </c>
      <c r="CY111" s="25" t="s">
        <v>142</v>
      </c>
      <c r="CZ111" s="14">
        <f>INDEX(属性投放!$AM$7:$AM$58,CU111)</f>
        <v>2</v>
      </c>
      <c r="DA111" s="14" t="s">
        <v>537</v>
      </c>
      <c r="DB111" s="14">
        <f>INDEX(属性投放!$AN$7:$AN$58,CU111)</f>
        <v>2</v>
      </c>
      <c r="DC111" s="14">
        <f t="shared" si="176"/>
        <v>3</v>
      </c>
      <c r="DD111" s="14">
        <f>INDEX(属性投放!$AO$7:$AO$58,DC111)</f>
        <v>13</v>
      </c>
      <c r="DE111" s="14" t="s">
        <v>538</v>
      </c>
      <c r="DF111" s="14">
        <f>INDEX(属性投放!$BK$6:$BK$85,(CV111-2)*20+CZ111)</f>
        <v>30</v>
      </c>
      <c r="DG111" s="14">
        <f>SUMIFS(DF$5:DF111,$CT$5:$CT111,"="&amp;$CT111)</f>
        <v>85</v>
      </c>
      <c r="DH111" s="14" t="s">
        <v>539</v>
      </c>
      <c r="DI111" s="14">
        <f>INDEX(属性投放!$BL$6:$BL$85,(CV111-2)*20+CZ111)</f>
        <v>15</v>
      </c>
      <c r="DJ111" s="14">
        <f>SUMIFS(DI$5:DI111,$CT$5:$CT111,"="&amp;$CT111)</f>
        <v>43</v>
      </c>
      <c r="DK111" s="14" t="s">
        <v>540</v>
      </c>
      <c r="DL111" s="14">
        <f>INDEX(属性投放!$BM$6:$BM$85,(CV111-2)*20+CZ111)</f>
        <v>180</v>
      </c>
      <c r="DM111" s="14">
        <f>SUMIFS(DL$5:DL111,$CT$5:$CT111,"="&amp;$CT111)</f>
        <v>510</v>
      </c>
      <c r="DR111" s="14">
        <f t="shared" si="177"/>
        <v>1102006</v>
      </c>
      <c r="DS111" s="14" t="str">
        <f t="shared" si="178"/>
        <v>项羽7突</v>
      </c>
      <c r="DT111" s="14">
        <f t="shared" si="195"/>
        <v>8</v>
      </c>
      <c r="DU111" s="14">
        <f t="shared" si="196"/>
        <v>9</v>
      </c>
      <c r="DV111" s="14">
        <f t="shared" si="197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INDEX(属性投放!$AX$6:$AX$85,(卡牌属性!DW111-2)*20+卡牌属性!DX111)</f>
        <v>5</v>
      </c>
      <c r="EA111" s="14">
        <f>INDEX(属性投放!BQ$6:BQ$85,卡牌属性!$DY111)</f>
        <v>185</v>
      </c>
      <c r="EB111" s="14">
        <f>INDEX(属性投放!BR$6:BR$85,卡牌属性!$DY111)</f>
        <v>93</v>
      </c>
      <c r="EC111" s="14">
        <f>INDEX(属性投放!BS$6:BS$85,卡牌属性!$DY111)</f>
        <v>1480</v>
      </c>
      <c r="ED111" s="14">
        <f t="shared" si="275"/>
        <v>1736</v>
      </c>
      <c r="EE111" s="14">
        <f t="shared" si="276"/>
        <v>1920</v>
      </c>
      <c r="EF111" s="14">
        <f t="shared" si="277"/>
        <v>2200</v>
      </c>
      <c r="EG111" s="14">
        <f t="shared" si="278"/>
        <v>2200</v>
      </c>
      <c r="EH111" s="14">
        <f t="shared" si="279"/>
        <v>2590</v>
      </c>
      <c r="EI111" s="14">
        <f t="shared" si="280"/>
        <v>924</v>
      </c>
      <c r="EJ111" s="14">
        <f t="shared" si="281"/>
        <v>1086</v>
      </c>
      <c r="EK111" s="14">
        <f t="shared" si="282"/>
        <v>1086</v>
      </c>
      <c r="EL111" s="14">
        <f t="shared" si="283"/>
        <v>1298</v>
      </c>
      <c r="EM111" s="14">
        <f t="shared" si="284"/>
        <v>1566</v>
      </c>
      <c r="EN111" s="14">
        <f t="shared" si="285"/>
        <v>10835</v>
      </c>
      <c r="EO111" s="14">
        <f t="shared" si="286"/>
        <v>11905</v>
      </c>
      <c r="EP111" s="14">
        <f t="shared" si="287"/>
        <v>11905</v>
      </c>
      <c r="EQ111" s="14">
        <f t="shared" si="288"/>
        <v>13695</v>
      </c>
      <c r="ER111" s="14">
        <f t="shared" si="289"/>
        <v>16455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224</v>
      </c>
      <c r="FD111" s="14">
        <f>INDEX(属性偏向!$U$4:$U$243,(卡牌属性!$DV111-1+FD$3)*20+卡牌属性!$DX111)</f>
        <v>240</v>
      </c>
      <c r="FE111" s="14">
        <f>INDEX(属性偏向!$U$4:$U$243,(卡牌属性!$DV111-1+FE$3)*20+卡牌属性!$DX111)</f>
        <v>240</v>
      </c>
      <c r="FF111" s="14">
        <f>INDEX(属性偏向!$U$4:$U$243,(卡牌属性!$DV111-1+FF$3)*20+卡牌属性!$DX111)</f>
        <v>320</v>
      </c>
      <c r="FG111" s="14">
        <f>INDEX(属性偏向!$U$4:$U$243,(卡牌属性!$DV111-1+FG$3)*20+卡牌属性!$DX111)</f>
        <v>400</v>
      </c>
      <c r="FH111" s="14">
        <f>INDEX(属性投放!$BQ$6:$BQ$85,(卡牌属性!$DW111-2)*20+卡牌属性!$DX111)</f>
        <v>185</v>
      </c>
      <c r="FI111" s="14">
        <f>INDEX(属性投放!$BQ$6:$BQ$85,(卡牌属性!$DW111-2)*20+卡牌属性!$DX111)</f>
        <v>185</v>
      </c>
      <c r="FJ111" s="14">
        <f>INDEX(属性投放!$BQ$6:$BQ$85,(卡牌属性!$DW111-2)*20+卡牌属性!$DX111)</f>
        <v>185</v>
      </c>
      <c r="FK111" s="14">
        <f>INDEX(属性投放!$BQ$6:$BQ$85,(卡牌属性!$DW111-2)*20+卡牌属性!$DX111)</f>
        <v>185</v>
      </c>
      <c r="FL111" s="14">
        <f>INDEX(属性投放!$BQ$6:$BQ$85,(卡牌属性!$DW111-2)*20+卡牌属性!$DX111)</f>
        <v>185</v>
      </c>
      <c r="FM111" s="14">
        <f>INDEX(属性投放!$BR$6:$BR$85,(卡牌属性!$DW111-2)*20+卡牌属性!$DX111)</f>
        <v>93</v>
      </c>
      <c r="FN111" s="14">
        <f>INDEX(属性投放!$BR$6:$BR$85,(卡牌属性!$DW111-2)*20+卡牌属性!$DX111)</f>
        <v>93</v>
      </c>
      <c r="FO111" s="14">
        <f>INDEX(属性投放!$BR$6:$BR$85,(卡牌属性!$DW111-2)*20+卡牌属性!$DX111)</f>
        <v>93</v>
      </c>
      <c r="FP111" s="14">
        <f>INDEX(属性投放!$BR$6:$BR$85,(卡牌属性!$DW111-2)*20+卡牌属性!$DX111)</f>
        <v>93</v>
      </c>
      <c r="FQ111" s="14">
        <f>INDEX(属性投放!$BR$6:$BR$85,(卡牌属性!$DW111-2)*20+卡牌属性!$DX111)</f>
        <v>93</v>
      </c>
      <c r="FR111" s="14">
        <f>INDEX(属性投放!$BS$6:$BS$85,(卡牌属性!$DW111-2)*20+卡牌属性!$DX111)</f>
        <v>1480</v>
      </c>
      <c r="FS111" s="14">
        <f>INDEX(属性投放!$BS$6:$BS$85,(卡牌属性!$DW111-2)*20+卡牌属性!$DX111)</f>
        <v>1480</v>
      </c>
      <c r="FT111" s="14">
        <f>INDEX(属性投放!$BS$6:$BS$85,(卡牌属性!$DW111-2)*20+卡牌属性!$DX111)</f>
        <v>1480</v>
      </c>
      <c r="FU111" s="14">
        <f>INDEX(属性投放!$BS$6:$BS$85,(卡牌属性!$DW111-2)*20+卡牌属性!$DX111)</f>
        <v>1480</v>
      </c>
      <c r="FV111" s="14">
        <f>INDEX(属性投放!$BS$6:$BS$85,(卡牌属性!$DW111-2)*20+卡牌属性!$DX111)</f>
        <v>1480</v>
      </c>
      <c r="FZ111" s="13">
        <v>107</v>
      </c>
      <c r="GA111" s="13">
        <f t="shared" si="264"/>
        <v>22</v>
      </c>
      <c r="GB111" s="14">
        <f t="shared" si="198"/>
        <v>1102050</v>
      </c>
      <c r="GC111" s="14" t="s">
        <v>1187</v>
      </c>
      <c r="GD111" s="14">
        <f t="shared" si="265"/>
        <v>2</v>
      </c>
      <c r="GE111" s="14" t="str">
        <f t="shared" si="266"/>
        <v>柠檬精-2星</v>
      </c>
      <c r="GF111" s="14">
        <f>INDEX(Y$6:Y$36,$GA111)+INDEX(属性偏向!Y$4:Y$8,卡牌属性!$GD111)</f>
        <v>4</v>
      </c>
      <c r="GG111" s="14" t="str">
        <f>INDEX(属性评价,卡牌属性!GF111)</f>
        <v>C+</v>
      </c>
      <c r="GH111" s="14">
        <f>INDEX(Z$6:Z$36,$GA111)+INDEX(属性偏向!Z$4:Z$8,卡牌属性!$GD111)</f>
        <v>2</v>
      </c>
      <c r="GI111" s="14" t="str">
        <f>INDEX(属性评价,卡牌属性!GH111)</f>
        <v>D+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90"/>
        <v>22</v>
      </c>
      <c r="GP111" s="14">
        <f t="shared" si="199"/>
        <v>1101030</v>
      </c>
      <c r="GQ111" s="14" t="s">
        <v>1187</v>
      </c>
      <c r="GR111" s="14">
        <f t="shared" si="267"/>
        <v>2</v>
      </c>
      <c r="GS111" s="14" t="str">
        <f t="shared" si="268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MATCH(HC111,属性投放!$AO$6:$AO$58,1)-1</f>
        <v>35</v>
      </c>
      <c r="HF111" s="13">
        <f>MATCH(HC111-1,属性投放!$AE$6:$AE$26,1)</f>
        <v>15</v>
      </c>
      <c r="HG111" s="13" t="str">
        <f>INDEX(属性投放!$AB$7:$AB$26,卡牌属性!HF111)</f>
        <v>焦热+2</v>
      </c>
      <c r="HH111" s="14">
        <f t="shared" si="200"/>
        <v>5573</v>
      </c>
      <c r="HI111" s="14">
        <f t="shared" si="201"/>
        <v>2354</v>
      </c>
      <c r="HJ111" s="14">
        <f t="shared" si="202"/>
        <v>39804</v>
      </c>
      <c r="HK111" s="14">
        <f t="shared" si="203"/>
        <v>40</v>
      </c>
      <c r="HL111" s="14">
        <f t="shared" si="204"/>
        <v>13</v>
      </c>
      <c r="HM111" s="14">
        <f t="shared" si="205"/>
        <v>260</v>
      </c>
      <c r="HN111" s="14">
        <f>HH111+HK111*($HC111-INDEX(属性投放!$AE$6:$AE$26,卡牌属性!$HF111))</f>
        <v>5773</v>
      </c>
      <c r="HO111" s="14">
        <f>HI111+HL111*($HC111-INDEX(属性投放!$AE$6:$AE$26,卡牌属性!$HF111))</f>
        <v>2419</v>
      </c>
      <c r="HP111" s="14">
        <f>HJ111+HM111*($HC111-INDEX(属性投放!$AE$6:$AE$26,卡牌属性!$HF111))</f>
        <v>41104</v>
      </c>
      <c r="HQ111" s="14">
        <f t="shared" si="206"/>
        <v>5430</v>
      </c>
      <c r="HR111" s="14">
        <f t="shared" si="207"/>
        <v>2724</v>
      </c>
      <c r="HS111" s="14">
        <f t="shared" si="208"/>
        <v>49735</v>
      </c>
      <c r="HT111" s="14">
        <f>IF(COUNTIF(属性投放!$AO$7:$AO$58,"="&amp;卡牌属性!HC111)&gt;0,卡牌属性!HE111,0)</f>
        <v>0</v>
      </c>
      <c r="HU111" s="14">
        <f t="shared" si="209"/>
        <v>0</v>
      </c>
      <c r="HV111" s="14">
        <f t="shared" si="210"/>
        <v>0</v>
      </c>
      <c r="HW111" s="14">
        <f t="shared" si="211"/>
        <v>0</v>
      </c>
      <c r="HX111" s="14">
        <f>IF(COUNTIF(属性投放!$AE$6:$AE$26,"="&amp;卡牌属性!HC111)&gt;0,卡牌属性!HF111,0)</f>
        <v>0</v>
      </c>
      <c r="HY111" s="14">
        <f t="shared" si="212"/>
        <v>0</v>
      </c>
      <c r="HZ111" s="14">
        <f t="shared" si="213"/>
        <v>0</v>
      </c>
      <c r="IA111" s="14">
        <f t="shared" si="214"/>
        <v>0</v>
      </c>
      <c r="IB111" s="14">
        <f t="shared" si="215"/>
        <v>40</v>
      </c>
      <c r="IC111" s="14">
        <f t="shared" si="216"/>
        <v>13</v>
      </c>
      <c r="ID111" s="14">
        <f t="shared" si="217"/>
        <v>260</v>
      </c>
      <c r="IE111" s="14">
        <f t="shared" si="218"/>
        <v>11203</v>
      </c>
      <c r="IF111" s="14">
        <f t="shared" si="219"/>
        <v>5143</v>
      </c>
      <c r="IG111" s="14">
        <f t="shared" si="220"/>
        <v>90839</v>
      </c>
      <c r="IH111" s="14">
        <f t="shared" si="221"/>
        <v>920</v>
      </c>
      <c r="II111" s="14">
        <f t="shared" si="222"/>
        <v>0</v>
      </c>
      <c r="IJ111" s="14">
        <f t="shared" si="223"/>
        <v>0</v>
      </c>
      <c r="IK111" s="14">
        <f t="shared" si="224"/>
        <v>305729</v>
      </c>
      <c r="IL111" s="17">
        <f t="shared" si="225"/>
        <v>3.0092009590192621E-3</v>
      </c>
      <c r="IM111" s="17">
        <f t="shared" si="226"/>
        <v>0</v>
      </c>
      <c r="IN111" s="17">
        <f t="shared" si="227"/>
        <v>0</v>
      </c>
      <c r="IO111" s="23">
        <f>SUM(IH$5:IH111)</f>
        <v>61404</v>
      </c>
      <c r="IP111" s="14">
        <f>SUM(II$5:II111)</f>
        <v>158515</v>
      </c>
      <c r="IQ111" s="14">
        <f>SUM(IJ$5:IJ111)</f>
        <v>67640</v>
      </c>
      <c r="IR111" s="17">
        <f t="shared" si="228"/>
        <v>0.20084453879088998</v>
      </c>
      <c r="IS111" s="17">
        <f t="shared" si="229"/>
        <v>0.51848205436841122</v>
      </c>
      <c r="IT111" s="17">
        <f t="shared" si="230"/>
        <v>0.22124168790006837</v>
      </c>
      <c r="IW111" s="13">
        <v>107</v>
      </c>
      <c r="IX111" s="14">
        <f>MATCH(IW111-1,属性投放!$T$6:$T$66,1)</f>
        <v>22</v>
      </c>
      <c r="IY111" s="14">
        <f>MATCH(IW111-1,属性投放!$AD$7:$AD$26,1)</f>
        <v>14</v>
      </c>
      <c r="IZ111" s="14" t="str">
        <f>INDEX(属性投放!$AB$7:$AB$26,IY111)</f>
        <v>焦热+1</v>
      </c>
      <c r="JA111" s="14">
        <f t="shared" si="231"/>
        <v>4906</v>
      </c>
      <c r="JB111" s="14">
        <f t="shared" si="232"/>
        <v>2405</v>
      </c>
      <c r="JC111" s="14">
        <f t="shared" si="233"/>
        <v>40846</v>
      </c>
      <c r="JD111" s="14">
        <f t="shared" si="234"/>
        <v>151</v>
      </c>
      <c r="JE111" s="14">
        <f t="shared" si="235"/>
        <v>76</v>
      </c>
      <c r="JF111" s="14">
        <f t="shared" si="236"/>
        <v>1510</v>
      </c>
      <c r="JG111" s="14">
        <f>INDEX(属性投放!$DC$6:$DC$85,卡牌属性!IY111)</f>
        <v>85</v>
      </c>
      <c r="JH111" s="14">
        <f t="shared" si="237"/>
        <v>8228</v>
      </c>
      <c r="JI111" s="14">
        <f t="shared" si="238"/>
        <v>4077</v>
      </c>
      <c r="JJ111" s="14">
        <f t="shared" si="239"/>
        <v>74066</v>
      </c>
      <c r="JK111" s="14">
        <f t="shared" si="240"/>
        <v>155976</v>
      </c>
    </row>
    <row r="112" spans="31:271" ht="16.5" x14ac:dyDescent="0.2">
      <c r="AE112" s="13">
        <v>108</v>
      </c>
      <c r="AF112" s="13">
        <f t="shared" si="188"/>
        <v>6</v>
      </c>
      <c r="AG112" s="13">
        <f t="shared" si="169"/>
        <v>4</v>
      </c>
      <c r="AH112" s="13"/>
      <c r="AI112" s="13"/>
      <c r="AJ112" s="14">
        <f t="shared" si="170"/>
        <v>1101006</v>
      </c>
      <c r="AK112" s="14" t="str">
        <f t="shared" si="171"/>
        <v>红莲·缇娜8突</v>
      </c>
      <c r="AL112" s="25" t="s">
        <v>142</v>
      </c>
      <c r="AM112" s="14">
        <v>1</v>
      </c>
      <c r="AN112" s="14">
        <f t="shared" si="172"/>
        <v>8</v>
      </c>
      <c r="AO112" s="14">
        <f>INDEX(属性投放!$DF$6:$DF$85,(卡牌属性!AG112-2)*20+卡牌属性!AN112)</f>
        <v>2147</v>
      </c>
      <c r="AP112" s="14">
        <f t="shared" si="269"/>
        <v>2147</v>
      </c>
      <c r="AQ112" s="14">
        <f t="shared" si="269"/>
        <v>2147</v>
      </c>
      <c r="AR112" s="14">
        <f t="shared" si="269"/>
        <v>2147</v>
      </c>
      <c r="AS112" s="14">
        <f t="shared" si="269"/>
        <v>2147</v>
      </c>
      <c r="AT112" s="14">
        <f>INDEX(属性投放!$DG$6:$DG$85,(卡牌属性!AG112-2)*20+卡牌属性!AN112)</f>
        <v>1002</v>
      </c>
      <c r="AU112" s="14">
        <f t="shared" si="270"/>
        <v>1002</v>
      </c>
      <c r="AV112" s="14">
        <f t="shared" si="270"/>
        <v>1002</v>
      </c>
      <c r="AW112" s="14">
        <f t="shared" si="270"/>
        <v>1002</v>
      </c>
      <c r="AX112" s="14">
        <f t="shared" si="270"/>
        <v>1002</v>
      </c>
      <c r="AY112" s="14">
        <f>INDEX(属性投放!$DH$6:$DH$85,(卡牌属性!AG112-2)*20+卡牌属性!AN112)</f>
        <v>13940</v>
      </c>
      <c r="AZ112" s="14">
        <f t="shared" si="271"/>
        <v>13940</v>
      </c>
      <c r="BA112" s="14">
        <f t="shared" si="271"/>
        <v>13940</v>
      </c>
      <c r="BB112" s="14">
        <f t="shared" si="271"/>
        <v>13940</v>
      </c>
      <c r="BC112" s="14">
        <f t="shared" si="271"/>
        <v>13940</v>
      </c>
      <c r="BD112" s="14">
        <f>INDEX(属性投放!$DL$6:$DL$85,(卡牌属性!AG112-2)*20+卡牌属性!AN112)</f>
        <v>58</v>
      </c>
      <c r="BE112" s="14">
        <f t="shared" si="272"/>
        <v>58</v>
      </c>
      <c r="BF112" s="14">
        <f t="shared" si="272"/>
        <v>58</v>
      </c>
      <c r="BG112" s="14">
        <f t="shared" si="272"/>
        <v>58</v>
      </c>
      <c r="BH112" s="14">
        <f t="shared" si="272"/>
        <v>58</v>
      </c>
      <c r="BI112" s="14">
        <f>INDEX(属性投放!$DM$6:$DM$85,(卡牌属性!AG112-2)*20+卡牌属性!AN112)</f>
        <v>29</v>
      </c>
      <c r="BJ112" s="14">
        <f t="shared" si="273"/>
        <v>29</v>
      </c>
      <c r="BK112" s="14">
        <f t="shared" si="273"/>
        <v>29</v>
      </c>
      <c r="BL112" s="14">
        <f t="shared" si="273"/>
        <v>29</v>
      </c>
      <c r="BM112" s="14">
        <f t="shared" si="273"/>
        <v>29</v>
      </c>
      <c r="BN112" s="14">
        <f>INDEX(属性投放!$DN$6:$DN$85,(卡牌属性!AG112-2)*20+卡牌属性!AN112)</f>
        <v>461</v>
      </c>
      <c r="BO112" s="14">
        <f t="shared" si="274"/>
        <v>461</v>
      </c>
      <c r="BP112" s="14">
        <f t="shared" si="274"/>
        <v>461</v>
      </c>
      <c r="BQ112" s="14">
        <f t="shared" si="274"/>
        <v>461</v>
      </c>
      <c r="BR112" s="14">
        <f t="shared" si="274"/>
        <v>461</v>
      </c>
      <c r="BW112" s="13">
        <v>108</v>
      </c>
      <c r="BX112" s="13">
        <f t="shared" si="173"/>
        <v>6</v>
      </c>
      <c r="BY112" s="14">
        <f t="shared" si="174"/>
        <v>5</v>
      </c>
      <c r="BZ112" s="14">
        <f t="shared" si="189"/>
        <v>1102006</v>
      </c>
      <c r="CA112" s="14" t="str">
        <f t="shared" si="190"/>
        <v>项羽8突</v>
      </c>
      <c r="CB112" s="25" t="s">
        <v>142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INDEX(属性投放!$AZ$6:$AZ$85,(BY112-2)*20+CD112)</f>
        <v>3070</v>
      </c>
      <c r="CG112" s="14" t="s">
        <v>22</v>
      </c>
      <c r="CH112" s="14">
        <f>INDEX(属性投放!$BA$6:$BA$85,(BY112-2)*20+CD112)</f>
        <v>1452</v>
      </c>
      <c r="CI112" s="14" t="s">
        <v>510</v>
      </c>
      <c r="CJ112" s="14">
        <f>INDEX(属性投放!$BB$6:$BB$85,(BY112-2)*20+CD112)</f>
        <v>20285</v>
      </c>
      <c r="CK112" s="14" t="s">
        <v>21</v>
      </c>
      <c r="CL112" s="14">
        <f>INDEX(属性投放!$BC$6:$BC$85,(BY112-2)*20+CD112)</f>
        <v>30</v>
      </c>
      <c r="CM112" s="14" t="s">
        <v>22</v>
      </c>
      <c r="CN112" s="14">
        <f>INDEX(属性投放!$BD$6:$BD$85,(BY112-2)*20+CD112)</f>
        <v>15</v>
      </c>
      <c r="CO112" s="14" t="s">
        <v>510</v>
      </c>
      <c r="CP112" s="14">
        <f>INDEX(属性投放!$BE$6:$BE$85,(BY112-2)*20+CD112)</f>
        <v>240</v>
      </c>
      <c r="CS112" s="13">
        <v>108</v>
      </c>
      <c r="CT112" s="13">
        <f t="shared" si="191"/>
        <v>3</v>
      </c>
      <c r="CU112" s="13">
        <f t="shared" si="192"/>
        <v>4</v>
      </c>
      <c r="CV112" s="14">
        <f t="shared" si="193"/>
        <v>4</v>
      </c>
      <c r="CW112" s="14">
        <f t="shared" si="194"/>
        <v>1102003</v>
      </c>
      <c r="CX112" s="14" t="str">
        <f>INDEX($O$6:$O$50,CT112)&amp;"-"&amp;INDEX(属性投放!$AB$7:$AB$50,CZ112)&amp;"-魂火-"&amp;DB112</f>
        <v>典韦-黑绳+1-魂火-1</v>
      </c>
      <c r="CY112" s="25" t="s">
        <v>142</v>
      </c>
      <c r="CZ112" s="14">
        <f>INDEX(属性投放!$AM$7:$AM$58,CU112)</f>
        <v>3</v>
      </c>
      <c r="DA112" s="14" t="s">
        <v>537</v>
      </c>
      <c r="DB112" s="14">
        <f>INDEX(属性投放!$AN$7:$AN$58,CU112)</f>
        <v>1</v>
      </c>
      <c r="DC112" s="14">
        <f t="shared" si="176"/>
        <v>4</v>
      </c>
      <c r="DD112" s="14">
        <f>INDEX(属性投放!$AO$7:$AO$58,DC112)</f>
        <v>18</v>
      </c>
      <c r="DE112" s="14" t="s">
        <v>538</v>
      </c>
      <c r="DF112" s="14">
        <f>INDEX(属性投放!$BK$6:$BK$85,(CV112-2)*20+CZ112)</f>
        <v>35</v>
      </c>
      <c r="DG112" s="14">
        <f>SUMIFS(DF$5:DF112,$CT$5:$CT112,"="&amp;$CT112)</f>
        <v>120</v>
      </c>
      <c r="DH112" s="14" t="s">
        <v>539</v>
      </c>
      <c r="DI112" s="14">
        <f>INDEX(属性投放!$BL$6:$BL$85,(CV112-2)*20+CZ112)</f>
        <v>18</v>
      </c>
      <c r="DJ112" s="14">
        <f>SUMIFS(DI$5:DI112,$CT$5:$CT112,"="&amp;$CT112)</f>
        <v>61</v>
      </c>
      <c r="DK112" s="14" t="s">
        <v>540</v>
      </c>
      <c r="DL112" s="14">
        <f>INDEX(属性投放!$BM$6:$BM$85,(CV112-2)*20+CZ112)</f>
        <v>210</v>
      </c>
      <c r="DM112" s="14">
        <f>SUMIFS(DL$5:DL112,$CT$5:$CT112,"="&amp;$CT112)</f>
        <v>720</v>
      </c>
      <c r="DR112" s="14">
        <f t="shared" si="177"/>
        <v>1102006</v>
      </c>
      <c r="DS112" s="14" t="str">
        <f t="shared" si="178"/>
        <v>项羽8突</v>
      </c>
      <c r="DT112" s="14">
        <f t="shared" si="195"/>
        <v>8</v>
      </c>
      <c r="DU112" s="14">
        <f t="shared" si="196"/>
        <v>9</v>
      </c>
      <c r="DV112" s="14">
        <f t="shared" si="197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INDEX(属性投放!$AX$6:$AX$85,(卡牌属性!DW112-2)*20+卡牌属性!DX112)</f>
        <v>5</v>
      </c>
      <c r="EA112" s="14">
        <f>INDEX(属性投放!BQ$6:BQ$85,卡牌属性!$DY112)</f>
        <v>190</v>
      </c>
      <c r="EB112" s="14">
        <f>INDEX(属性投放!BR$6:BR$85,卡牌属性!$DY112)</f>
        <v>95</v>
      </c>
      <c r="EC112" s="14">
        <f>INDEX(属性投放!BS$6:BS$85,卡牌属性!$DY112)</f>
        <v>1520</v>
      </c>
      <c r="ED112" s="14">
        <f t="shared" si="275"/>
        <v>2061</v>
      </c>
      <c r="EE112" s="14">
        <f t="shared" si="276"/>
        <v>2255</v>
      </c>
      <c r="EF112" s="14">
        <f t="shared" si="277"/>
        <v>2585</v>
      </c>
      <c r="EG112" s="14">
        <f t="shared" si="278"/>
        <v>2585</v>
      </c>
      <c r="EH112" s="14">
        <f t="shared" si="279"/>
        <v>3025</v>
      </c>
      <c r="EI112" s="14">
        <f t="shared" si="280"/>
        <v>1092</v>
      </c>
      <c r="EJ112" s="14">
        <f t="shared" si="281"/>
        <v>1279</v>
      </c>
      <c r="EK112" s="14">
        <f t="shared" si="282"/>
        <v>1279</v>
      </c>
      <c r="EL112" s="14">
        <f t="shared" si="283"/>
        <v>1516</v>
      </c>
      <c r="EM112" s="14">
        <f t="shared" si="284"/>
        <v>1849</v>
      </c>
      <c r="EN112" s="14">
        <f t="shared" si="285"/>
        <v>13435</v>
      </c>
      <c r="EO112" s="14">
        <f t="shared" si="286"/>
        <v>14585</v>
      </c>
      <c r="EP112" s="14">
        <f t="shared" si="287"/>
        <v>14585</v>
      </c>
      <c r="EQ112" s="14">
        <f t="shared" si="288"/>
        <v>16775</v>
      </c>
      <c r="ER112" s="14">
        <f t="shared" si="289"/>
        <v>19935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224</v>
      </c>
      <c r="FD112" s="14">
        <f>INDEX(属性偏向!$U$4:$U$243,(卡牌属性!$DV112-1+FD$3)*20+卡牌属性!$DX112)</f>
        <v>240</v>
      </c>
      <c r="FE112" s="14">
        <f>INDEX(属性偏向!$U$4:$U$243,(卡牌属性!$DV112-1+FE$3)*20+卡牌属性!$DX112)</f>
        <v>240</v>
      </c>
      <c r="FF112" s="14">
        <f>INDEX(属性偏向!$U$4:$U$243,(卡牌属性!$DV112-1+FF$3)*20+卡牌属性!$DX112)</f>
        <v>320</v>
      </c>
      <c r="FG112" s="14">
        <f>INDEX(属性偏向!$U$4:$U$243,(卡牌属性!$DV112-1+FG$3)*20+卡牌属性!$DX112)</f>
        <v>400</v>
      </c>
      <c r="FH112" s="14">
        <f>INDEX(属性投放!$BQ$6:$BQ$85,(卡牌属性!$DW112-2)*20+卡牌属性!$DX112)</f>
        <v>190</v>
      </c>
      <c r="FI112" s="14">
        <f>INDEX(属性投放!$BQ$6:$BQ$85,(卡牌属性!$DW112-2)*20+卡牌属性!$DX112)</f>
        <v>190</v>
      </c>
      <c r="FJ112" s="14">
        <f>INDEX(属性投放!$BQ$6:$BQ$85,(卡牌属性!$DW112-2)*20+卡牌属性!$DX112)</f>
        <v>190</v>
      </c>
      <c r="FK112" s="14">
        <f>INDEX(属性投放!$BQ$6:$BQ$85,(卡牌属性!$DW112-2)*20+卡牌属性!$DX112)</f>
        <v>190</v>
      </c>
      <c r="FL112" s="14">
        <f>INDEX(属性投放!$BQ$6:$BQ$85,(卡牌属性!$DW112-2)*20+卡牌属性!$DX112)</f>
        <v>190</v>
      </c>
      <c r="FM112" s="14">
        <f>INDEX(属性投放!$BR$6:$BR$85,(卡牌属性!$DW112-2)*20+卡牌属性!$DX112)</f>
        <v>95</v>
      </c>
      <c r="FN112" s="14">
        <f>INDEX(属性投放!$BR$6:$BR$85,(卡牌属性!$DW112-2)*20+卡牌属性!$DX112)</f>
        <v>95</v>
      </c>
      <c r="FO112" s="14">
        <f>INDEX(属性投放!$BR$6:$BR$85,(卡牌属性!$DW112-2)*20+卡牌属性!$DX112)</f>
        <v>95</v>
      </c>
      <c r="FP112" s="14">
        <f>INDEX(属性投放!$BR$6:$BR$85,(卡牌属性!$DW112-2)*20+卡牌属性!$DX112)</f>
        <v>95</v>
      </c>
      <c r="FQ112" s="14">
        <f>INDEX(属性投放!$BR$6:$BR$85,(卡牌属性!$DW112-2)*20+卡牌属性!$DX112)</f>
        <v>95</v>
      </c>
      <c r="FR112" s="14">
        <f>INDEX(属性投放!$BS$6:$BS$85,(卡牌属性!$DW112-2)*20+卡牌属性!$DX112)</f>
        <v>1520</v>
      </c>
      <c r="FS112" s="14">
        <f>INDEX(属性投放!$BS$6:$BS$85,(卡牌属性!$DW112-2)*20+卡牌属性!$DX112)</f>
        <v>1520</v>
      </c>
      <c r="FT112" s="14">
        <f>INDEX(属性投放!$BS$6:$BS$85,(卡牌属性!$DW112-2)*20+卡牌属性!$DX112)</f>
        <v>1520</v>
      </c>
      <c r="FU112" s="14">
        <f>INDEX(属性投放!$BS$6:$BS$85,(卡牌属性!$DW112-2)*20+卡牌属性!$DX112)</f>
        <v>1520</v>
      </c>
      <c r="FV112" s="14">
        <f>INDEX(属性投放!$BS$6:$BS$85,(卡牌属性!$DW112-2)*20+卡牌属性!$DX112)</f>
        <v>1520</v>
      </c>
      <c r="FZ112" s="13">
        <v>108</v>
      </c>
      <c r="GA112" s="13">
        <f t="shared" si="264"/>
        <v>22</v>
      </c>
      <c r="GB112" s="14">
        <f t="shared" si="198"/>
        <v>1102050</v>
      </c>
      <c r="GC112" s="14" t="s">
        <v>1187</v>
      </c>
      <c r="GD112" s="14">
        <f t="shared" si="265"/>
        <v>3</v>
      </c>
      <c r="GE112" s="14" t="str">
        <f t="shared" si="266"/>
        <v>柠檬精-3星</v>
      </c>
      <c r="GF112" s="14">
        <f>INDEX(Y$6:Y$36,$GA112)+INDEX(属性偏向!Y$4:Y$8,卡牌属性!$GD112)</f>
        <v>5</v>
      </c>
      <c r="GG112" s="14" t="str">
        <f>INDEX(属性评价,卡牌属性!GF112)</f>
        <v>B</v>
      </c>
      <c r="GH112" s="14">
        <f>INDEX(Z$6:Z$36,$GA112)+INDEX(属性偏向!Z$4:Z$8,卡牌属性!$GD112)</f>
        <v>2</v>
      </c>
      <c r="GI112" s="14" t="str">
        <f>INDEX(属性评价,卡牌属性!GH112)</f>
        <v>D+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90"/>
        <v>22</v>
      </c>
      <c r="GP112" s="14">
        <f t="shared" si="199"/>
        <v>1101030</v>
      </c>
      <c r="GQ112" s="14" t="s">
        <v>1187</v>
      </c>
      <c r="GR112" s="14">
        <f t="shared" si="267"/>
        <v>3</v>
      </c>
      <c r="GS112" s="14" t="str">
        <f t="shared" si="268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MATCH(HC112,属性投放!$AO$6:$AO$58,1)-1</f>
        <v>36</v>
      </c>
      <c r="HF112" s="13">
        <f>MATCH(HC112-1,属性投放!$AE$6:$AE$26,1)</f>
        <v>15</v>
      </c>
      <c r="HG112" s="13" t="str">
        <f>INDEX(属性投放!$AB$7:$AB$26,卡牌属性!HF112)</f>
        <v>焦热+2</v>
      </c>
      <c r="HH112" s="14">
        <f t="shared" si="200"/>
        <v>5573</v>
      </c>
      <c r="HI112" s="14">
        <f t="shared" si="201"/>
        <v>2354</v>
      </c>
      <c r="HJ112" s="14">
        <f t="shared" si="202"/>
        <v>39804</v>
      </c>
      <c r="HK112" s="14">
        <f t="shared" si="203"/>
        <v>40</v>
      </c>
      <c r="HL112" s="14">
        <f t="shared" si="204"/>
        <v>13</v>
      </c>
      <c r="HM112" s="14">
        <f t="shared" si="205"/>
        <v>260</v>
      </c>
      <c r="HN112" s="14">
        <f>HH112+HK112*($HC112-INDEX(属性投放!$AE$6:$AE$26,卡牌属性!$HF112))</f>
        <v>5813</v>
      </c>
      <c r="HO112" s="14">
        <f>HI112+HL112*($HC112-INDEX(属性投放!$AE$6:$AE$26,卡牌属性!$HF112))</f>
        <v>2432</v>
      </c>
      <c r="HP112" s="14">
        <f>HJ112+HM112*($HC112-INDEX(属性投放!$AE$6:$AE$26,卡牌属性!$HF112))</f>
        <v>41364</v>
      </c>
      <c r="HQ112" s="14">
        <f t="shared" si="206"/>
        <v>5875</v>
      </c>
      <c r="HR112" s="14">
        <f t="shared" si="207"/>
        <v>2947</v>
      </c>
      <c r="HS112" s="14">
        <f t="shared" si="208"/>
        <v>54185</v>
      </c>
      <c r="HT112" s="14">
        <f>IF(COUNTIF(属性投放!$AO$7:$AO$58,"="&amp;卡牌属性!HC112)&gt;0,卡牌属性!HE112,0)</f>
        <v>36</v>
      </c>
      <c r="HU112" s="14">
        <f t="shared" si="209"/>
        <v>445</v>
      </c>
      <c r="HV112" s="14">
        <f t="shared" si="210"/>
        <v>223</v>
      </c>
      <c r="HW112" s="14">
        <f t="shared" si="211"/>
        <v>4450</v>
      </c>
      <c r="HX112" s="14">
        <f>IF(COUNTIF(属性投放!$AE$6:$AE$26,"="&amp;卡牌属性!HC112)&gt;0,卡牌属性!HF112,0)</f>
        <v>0</v>
      </c>
      <c r="HY112" s="14">
        <f t="shared" si="212"/>
        <v>0</v>
      </c>
      <c r="HZ112" s="14">
        <f t="shared" si="213"/>
        <v>0</v>
      </c>
      <c r="IA112" s="14">
        <f t="shared" si="214"/>
        <v>0</v>
      </c>
      <c r="IB112" s="14">
        <f t="shared" si="215"/>
        <v>40</v>
      </c>
      <c r="IC112" s="14">
        <f t="shared" si="216"/>
        <v>13</v>
      </c>
      <c r="ID112" s="14">
        <f t="shared" si="217"/>
        <v>260</v>
      </c>
      <c r="IE112" s="14">
        <f t="shared" si="218"/>
        <v>11688</v>
      </c>
      <c r="IF112" s="14">
        <f t="shared" si="219"/>
        <v>5379</v>
      </c>
      <c r="IG112" s="14">
        <f t="shared" si="220"/>
        <v>95549</v>
      </c>
      <c r="IH112" s="14">
        <f t="shared" si="221"/>
        <v>920</v>
      </c>
      <c r="II112" s="14">
        <f t="shared" si="222"/>
        <v>13360</v>
      </c>
      <c r="IJ112" s="14">
        <f t="shared" si="223"/>
        <v>0</v>
      </c>
      <c r="IK112" s="14">
        <f t="shared" si="224"/>
        <v>320009</v>
      </c>
      <c r="IL112" s="17">
        <f t="shared" si="225"/>
        <v>2.8749191428991058E-3</v>
      </c>
      <c r="IM112" s="17">
        <f t="shared" si="226"/>
        <v>4.1748825814273971E-2</v>
      </c>
      <c r="IN112" s="17">
        <f t="shared" si="227"/>
        <v>0</v>
      </c>
      <c r="IO112" s="23">
        <f>SUM(IH$5:IH112)</f>
        <v>62324</v>
      </c>
      <c r="IP112" s="14">
        <f>SUM(II$5:II112)</f>
        <v>171875</v>
      </c>
      <c r="IQ112" s="14">
        <f>SUM(IJ$5:IJ112)</f>
        <v>67640</v>
      </c>
      <c r="IR112" s="17">
        <f t="shared" si="228"/>
        <v>0.19475702245874335</v>
      </c>
      <c r="IS112" s="17">
        <f t="shared" si="229"/>
        <v>0.53709426922367809</v>
      </c>
      <c r="IT112" s="17">
        <f t="shared" si="230"/>
        <v>0.21136905524532124</v>
      </c>
      <c r="IW112" s="13">
        <v>108</v>
      </c>
      <c r="IX112" s="14">
        <f>MATCH(IW112-1,属性投放!$T$6:$T$66,1)</f>
        <v>23</v>
      </c>
      <c r="IY112" s="14">
        <f>MATCH(IW112-1,属性投放!$AD$7:$AD$26,1)</f>
        <v>14</v>
      </c>
      <c r="IZ112" s="14" t="str">
        <f>INDEX(属性投放!$AB$7:$AB$26,IY112)</f>
        <v>焦热+1</v>
      </c>
      <c r="JA112" s="14">
        <f t="shared" si="231"/>
        <v>4906</v>
      </c>
      <c r="JB112" s="14">
        <f t="shared" si="232"/>
        <v>2405</v>
      </c>
      <c r="JC112" s="14">
        <f t="shared" si="233"/>
        <v>40846</v>
      </c>
      <c r="JD112" s="14">
        <f t="shared" si="234"/>
        <v>151</v>
      </c>
      <c r="JE112" s="14">
        <f t="shared" si="235"/>
        <v>76</v>
      </c>
      <c r="JF112" s="14">
        <f t="shared" si="236"/>
        <v>1510</v>
      </c>
      <c r="JG112" s="14">
        <f>INDEX(属性投放!$DC$6:$DC$85,卡牌属性!IY112)</f>
        <v>85</v>
      </c>
      <c r="JH112" s="14">
        <f t="shared" si="237"/>
        <v>8379</v>
      </c>
      <c r="JI112" s="14">
        <f t="shared" si="238"/>
        <v>4153</v>
      </c>
      <c r="JJ112" s="14">
        <f t="shared" si="239"/>
        <v>75576</v>
      </c>
      <c r="JK112" s="14">
        <f t="shared" si="240"/>
        <v>159001</v>
      </c>
    </row>
    <row r="113" spans="31:271" ht="16.5" x14ac:dyDescent="0.2">
      <c r="AE113" s="13">
        <v>109</v>
      </c>
      <c r="AF113" s="13">
        <f t="shared" si="188"/>
        <v>6</v>
      </c>
      <c r="AG113" s="13">
        <f t="shared" si="169"/>
        <v>4</v>
      </c>
      <c r="AH113" s="13"/>
      <c r="AI113" s="13"/>
      <c r="AJ113" s="14">
        <f t="shared" si="170"/>
        <v>1101006</v>
      </c>
      <c r="AK113" s="14" t="str">
        <f t="shared" si="171"/>
        <v>红莲·缇娜9突</v>
      </c>
      <c r="AL113" s="25" t="s">
        <v>142</v>
      </c>
      <c r="AM113" s="14">
        <v>1</v>
      </c>
      <c r="AN113" s="14">
        <f t="shared" si="172"/>
        <v>9</v>
      </c>
      <c r="AO113" s="14">
        <f>INDEX(属性投放!$DF$6:$DF$85,(卡牌属性!AG113-2)*20+卡牌属性!AN113)</f>
        <v>2312</v>
      </c>
      <c r="AP113" s="14">
        <f t="shared" si="269"/>
        <v>2312</v>
      </c>
      <c r="AQ113" s="14">
        <f t="shared" si="269"/>
        <v>2312</v>
      </c>
      <c r="AR113" s="14">
        <f t="shared" si="269"/>
        <v>2312</v>
      </c>
      <c r="AS113" s="14">
        <f t="shared" si="269"/>
        <v>2312</v>
      </c>
      <c r="AT113" s="14">
        <f>INDEX(属性投放!$DG$6:$DG$85,(卡牌属性!AG113-2)*20+卡牌属性!AN113)</f>
        <v>1085</v>
      </c>
      <c r="AU113" s="14">
        <f t="shared" si="270"/>
        <v>1085</v>
      </c>
      <c r="AV113" s="14">
        <f t="shared" si="270"/>
        <v>1085</v>
      </c>
      <c r="AW113" s="14">
        <f t="shared" si="270"/>
        <v>1085</v>
      </c>
      <c r="AX113" s="14">
        <f t="shared" si="270"/>
        <v>1085</v>
      </c>
      <c r="AY113" s="14">
        <f>INDEX(属性投放!$DH$6:$DH$85,(卡牌属性!AG113-2)*20+卡牌属性!AN113)</f>
        <v>15256</v>
      </c>
      <c r="AZ113" s="14">
        <f t="shared" si="271"/>
        <v>15256</v>
      </c>
      <c r="BA113" s="14">
        <f t="shared" si="271"/>
        <v>15256</v>
      </c>
      <c r="BB113" s="14">
        <f t="shared" si="271"/>
        <v>15256</v>
      </c>
      <c r="BC113" s="14">
        <f t="shared" si="271"/>
        <v>15256</v>
      </c>
      <c r="BD113" s="14">
        <f>INDEX(属性投放!$DL$6:$DL$85,(卡牌属性!AG113-2)*20+卡牌属性!AN113)</f>
        <v>58</v>
      </c>
      <c r="BE113" s="14">
        <f t="shared" si="272"/>
        <v>58</v>
      </c>
      <c r="BF113" s="14">
        <f t="shared" si="272"/>
        <v>58</v>
      </c>
      <c r="BG113" s="14">
        <f t="shared" si="272"/>
        <v>58</v>
      </c>
      <c r="BH113" s="14">
        <f t="shared" si="272"/>
        <v>58</v>
      </c>
      <c r="BI113" s="14">
        <f>INDEX(属性投放!$DM$6:$DM$85,(卡牌属性!AG113-2)*20+卡牌属性!AN113)</f>
        <v>29</v>
      </c>
      <c r="BJ113" s="14">
        <f t="shared" si="273"/>
        <v>29</v>
      </c>
      <c r="BK113" s="14">
        <f t="shared" si="273"/>
        <v>29</v>
      </c>
      <c r="BL113" s="14">
        <f t="shared" si="273"/>
        <v>29</v>
      </c>
      <c r="BM113" s="14">
        <f t="shared" si="273"/>
        <v>29</v>
      </c>
      <c r="BN113" s="14">
        <f>INDEX(属性投放!$DN$6:$DN$85,(卡牌属性!AG113-2)*20+卡牌属性!AN113)</f>
        <v>461</v>
      </c>
      <c r="BO113" s="14">
        <f t="shared" si="274"/>
        <v>461</v>
      </c>
      <c r="BP113" s="14">
        <f t="shared" si="274"/>
        <v>461</v>
      </c>
      <c r="BQ113" s="14">
        <f t="shared" si="274"/>
        <v>461</v>
      </c>
      <c r="BR113" s="14">
        <f t="shared" si="274"/>
        <v>461</v>
      </c>
      <c r="BW113" s="13">
        <v>109</v>
      </c>
      <c r="BX113" s="13">
        <f t="shared" si="173"/>
        <v>6</v>
      </c>
      <c r="BY113" s="14">
        <f t="shared" si="174"/>
        <v>5</v>
      </c>
      <c r="BZ113" s="14">
        <f t="shared" si="189"/>
        <v>1102006</v>
      </c>
      <c r="CA113" s="14" t="str">
        <f t="shared" si="190"/>
        <v>项羽9突</v>
      </c>
      <c r="CB113" s="25" t="s">
        <v>142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INDEX(属性投放!$AZ$6:$AZ$85,(BY113-2)*20+CD113)</f>
        <v>3650</v>
      </c>
      <c r="CG113" s="14" t="s">
        <v>22</v>
      </c>
      <c r="CH113" s="14">
        <f>INDEX(属性投放!$BA$6:$BA$85,(BY113-2)*20+CD113)</f>
        <v>1742</v>
      </c>
      <c r="CI113" s="14" t="s">
        <v>510</v>
      </c>
      <c r="CJ113" s="14">
        <f>INDEX(属性投放!$BB$6:$BB$85,(BY113-2)*20+CD113)</f>
        <v>24925</v>
      </c>
      <c r="CK113" s="14" t="s">
        <v>21</v>
      </c>
      <c r="CL113" s="14">
        <f>INDEX(属性投放!$BC$6:$BC$85,(BY113-2)*20+CD113)</f>
        <v>30</v>
      </c>
      <c r="CM113" s="14" t="s">
        <v>22</v>
      </c>
      <c r="CN113" s="14">
        <f>INDEX(属性投放!$BD$6:$BD$85,(BY113-2)*20+CD113)</f>
        <v>15</v>
      </c>
      <c r="CO113" s="14" t="s">
        <v>510</v>
      </c>
      <c r="CP113" s="14">
        <f>INDEX(属性投放!$BE$6:$BE$85,(BY113-2)*20+CD113)</f>
        <v>240</v>
      </c>
      <c r="CS113" s="13">
        <v>109</v>
      </c>
      <c r="CT113" s="13">
        <f t="shared" si="191"/>
        <v>3</v>
      </c>
      <c r="CU113" s="13">
        <f t="shared" si="192"/>
        <v>5</v>
      </c>
      <c r="CV113" s="14">
        <f t="shared" si="193"/>
        <v>4</v>
      </c>
      <c r="CW113" s="14">
        <f t="shared" si="194"/>
        <v>1102003</v>
      </c>
      <c r="CX113" s="14" t="str">
        <f>INDEX($O$6:$O$50,CT113)&amp;"-"&amp;INDEX(属性投放!$AB$7:$AB$50,CZ113)&amp;"-魂火-"&amp;DB113</f>
        <v>典韦-黑绳+1-魂火-2</v>
      </c>
      <c r="CY113" s="25" t="s">
        <v>142</v>
      </c>
      <c r="CZ113" s="14">
        <f>INDEX(属性投放!$AM$7:$AM$58,CU113)</f>
        <v>3</v>
      </c>
      <c r="DA113" s="14" t="s">
        <v>537</v>
      </c>
      <c r="DB113" s="14">
        <f>INDEX(属性投放!$AN$7:$AN$58,CU113)</f>
        <v>2</v>
      </c>
      <c r="DC113" s="14">
        <f t="shared" si="176"/>
        <v>5</v>
      </c>
      <c r="DD113" s="14">
        <f>INDEX(属性投放!$AO$7:$AO$58,DC113)</f>
        <v>23</v>
      </c>
      <c r="DE113" s="14" t="s">
        <v>538</v>
      </c>
      <c r="DF113" s="14">
        <f>INDEX(属性投放!$BK$6:$BK$85,(CV113-2)*20+CZ113)</f>
        <v>35</v>
      </c>
      <c r="DG113" s="14">
        <f>SUMIFS(DF$5:DF113,$CT$5:$CT113,"="&amp;$CT113)</f>
        <v>155</v>
      </c>
      <c r="DH113" s="14" t="s">
        <v>539</v>
      </c>
      <c r="DI113" s="14">
        <f>INDEX(属性投放!$BL$6:$BL$85,(CV113-2)*20+CZ113)</f>
        <v>18</v>
      </c>
      <c r="DJ113" s="14">
        <f>SUMIFS(DI$5:DI113,$CT$5:$CT113,"="&amp;$CT113)</f>
        <v>79</v>
      </c>
      <c r="DK113" s="14" t="s">
        <v>540</v>
      </c>
      <c r="DL113" s="14">
        <f>INDEX(属性投放!$BM$6:$BM$85,(CV113-2)*20+CZ113)</f>
        <v>210</v>
      </c>
      <c r="DM113" s="14">
        <f>SUMIFS(DL$5:DL113,$CT$5:$CT113,"="&amp;$CT113)</f>
        <v>930</v>
      </c>
      <c r="DR113" s="14">
        <f t="shared" si="177"/>
        <v>1102006</v>
      </c>
      <c r="DS113" s="14" t="str">
        <f t="shared" si="178"/>
        <v>项羽9突</v>
      </c>
      <c r="DT113" s="14">
        <f t="shared" si="195"/>
        <v>8</v>
      </c>
      <c r="DU113" s="14">
        <f t="shared" si="196"/>
        <v>9</v>
      </c>
      <c r="DV113" s="14">
        <f t="shared" si="197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INDEX(属性投放!$AX$6:$AX$85,(卡牌属性!DW113-2)*20+卡牌属性!DX113)</f>
        <v>8</v>
      </c>
      <c r="EA113" s="14">
        <f>INDEX(属性投放!BQ$6:BQ$85,卡牌属性!$DY113)</f>
        <v>220</v>
      </c>
      <c r="EB113" s="14">
        <f>INDEX(属性投放!BR$6:BR$85,卡牌属性!$DY113)</f>
        <v>110</v>
      </c>
      <c r="EC113" s="14">
        <f>INDEX(属性投放!BS$6:BS$85,卡牌属性!$DY113)</f>
        <v>1760</v>
      </c>
      <c r="ED113" s="14">
        <f t="shared" si="275"/>
        <v>2391</v>
      </c>
      <c r="EE113" s="14">
        <f t="shared" si="276"/>
        <v>2595</v>
      </c>
      <c r="EF113" s="14">
        <f t="shared" si="277"/>
        <v>2975</v>
      </c>
      <c r="EG113" s="14">
        <f t="shared" si="278"/>
        <v>2975</v>
      </c>
      <c r="EH113" s="14">
        <f t="shared" si="279"/>
        <v>3465</v>
      </c>
      <c r="EI113" s="14">
        <f t="shared" si="280"/>
        <v>1262</v>
      </c>
      <c r="EJ113" s="14">
        <f t="shared" si="281"/>
        <v>1474</v>
      </c>
      <c r="EK113" s="14">
        <f t="shared" si="282"/>
        <v>1474</v>
      </c>
      <c r="EL113" s="14">
        <f t="shared" si="283"/>
        <v>1736</v>
      </c>
      <c r="EM113" s="14">
        <f t="shared" si="284"/>
        <v>2134</v>
      </c>
      <c r="EN113" s="14">
        <f t="shared" si="285"/>
        <v>16075</v>
      </c>
      <c r="EO113" s="14">
        <f t="shared" si="286"/>
        <v>17305</v>
      </c>
      <c r="EP113" s="14">
        <f t="shared" si="287"/>
        <v>17305</v>
      </c>
      <c r="EQ113" s="14">
        <f t="shared" si="288"/>
        <v>19895</v>
      </c>
      <c r="ER113" s="14">
        <f t="shared" si="289"/>
        <v>23455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224</v>
      </c>
      <c r="FD113" s="14">
        <f>INDEX(属性偏向!$U$4:$U$243,(卡牌属性!$DV113-1+FD$3)*20+卡牌属性!$DX113)</f>
        <v>240</v>
      </c>
      <c r="FE113" s="14">
        <f>INDEX(属性偏向!$U$4:$U$243,(卡牌属性!$DV113-1+FE$3)*20+卡牌属性!$DX113)</f>
        <v>240</v>
      </c>
      <c r="FF113" s="14">
        <f>INDEX(属性偏向!$U$4:$U$243,(卡牌属性!$DV113-1+FF$3)*20+卡牌属性!$DX113)</f>
        <v>320</v>
      </c>
      <c r="FG113" s="14">
        <f>INDEX(属性偏向!$U$4:$U$243,(卡牌属性!$DV113-1+FG$3)*20+卡牌属性!$DX113)</f>
        <v>400</v>
      </c>
      <c r="FH113" s="14">
        <f>INDEX(属性投放!$BQ$6:$BQ$85,(卡牌属性!$DW113-2)*20+卡牌属性!$DX113)</f>
        <v>220</v>
      </c>
      <c r="FI113" s="14">
        <f>INDEX(属性投放!$BQ$6:$BQ$85,(卡牌属性!$DW113-2)*20+卡牌属性!$DX113)</f>
        <v>220</v>
      </c>
      <c r="FJ113" s="14">
        <f>INDEX(属性投放!$BQ$6:$BQ$85,(卡牌属性!$DW113-2)*20+卡牌属性!$DX113)</f>
        <v>220</v>
      </c>
      <c r="FK113" s="14">
        <f>INDEX(属性投放!$BQ$6:$BQ$85,(卡牌属性!$DW113-2)*20+卡牌属性!$DX113)</f>
        <v>220</v>
      </c>
      <c r="FL113" s="14">
        <f>INDEX(属性投放!$BQ$6:$BQ$85,(卡牌属性!$DW113-2)*20+卡牌属性!$DX113)</f>
        <v>220</v>
      </c>
      <c r="FM113" s="14">
        <f>INDEX(属性投放!$BR$6:$BR$85,(卡牌属性!$DW113-2)*20+卡牌属性!$DX113)</f>
        <v>110</v>
      </c>
      <c r="FN113" s="14">
        <f>INDEX(属性投放!$BR$6:$BR$85,(卡牌属性!$DW113-2)*20+卡牌属性!$DX113)</f>
        <v>110</v>
      </c>
      <c r="FO113" s="14">
        <f>INDEX(属性投放!$BR$6:$BR$85,(卡牌属性!$DW113-2)*20+卡牌属性!$DX113)</f>
        <v>110</v>
      </c>
      <c r="FP113" s="14">
        <f>INDEX(属性投放!$BR$6:$BR$85,(卡牌属性!$DW113-2)*20+卡牌属性!$DX113)</f>
        <v>110</v>
      </c>
      <c r="FQ113" s="14">
        <f>INDEX(属性投放!$BR$6:$BR$85,(卡牌属性!$DW113-2)*20+卡牌属性!$DX113)</f>
        <v>110</v>
      </c>
      <c r="FR113" s="14">
        <f>INDEX(属性投放!$BS$6:$BS$85,(卡牌属性!$DW113-2)*20+卡牌属性!$DX113)</f>
        <v>1760</v>
      </c>
      <c r="FS113" s="14">
        <f>INDEX(属性投放!$BS$6:$BS$85,(卡牌属性!$DW113-2)*20+卡牌属性!$DX113)</f>
        <v>1760</v>
      </c>
      <c r="FT113" s="14">
        <f>INDEX(属性投放!$BS$6:$BS$85,(卡牌属性!$DW113-2)*20+卡牌属性!$DX113)</f>
        <v>1760</v>
      </c>
      <c r="FU113" s="14">
        <f>INDEX(属性投放!$BS$6:$BS$85,(卡牌属性!$DW113-2)*20+卡牌属性!$DX113)</f>
        <v>1760</v>
      </c>
      <c r="FV113" s="14">
        <f>INDEX(属性投放!$BS$6:$BS$85,(卡牌属性!$DW113-2)*20+卡牌属性!$DX113)</f>
        <v>1760</v>
      </c>
      <c r="FZ113" s="13">
        <v>109</v>
      </c>
      <c r="GA113" s="13">
        <f t="shared" si="264"/>
        <v>22</v>
      </c>
      <c r="GB113" s="14">
        <f t="shared" si="198"/>
        <v>1102050</v>
      </c>
      <c r="GC113" s="14" t="s">
        <v>1187</v>
      </c>
      <c r="GD113" s="14">
        <f t="shared" si="265"/>
        <v>4</v>
      </c>
      <c r="GE113" s="14" t="str">
        <f t="shared" si="266"/>
        <v>柠檬精-4星</v>
      </c>
      <c r="GF113" s="14">
        <f>INDEX(Y$6:Y$36,$GA113)+INDEX(属性偏向!Y$4:Y$8,卡牌属性!$GD113)</f>
        <v>5</v>
      </c>
      <c r="GG113" s="14" t="str">
        <f>INDEX(属性评价,卡牌属性!GF113)</f>
        <v>B</v>
      </c>
      <c r="GH113" s="14">
        <f>INDEX(Z$6:Z$36,$GA113)+INDEX(属性偏向!Z$4:Z$8,卡牌属性!$GD113)</f>
        <v>3</v>
      </c>
      <c r="GI113" s="14" t="str">
        <f>INDEX(属性评价,卡牌属性!GH113)</f>
        <v>C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90"/>
        <v>22</v>
      </c>
      <c r="GP113" s="14">
        <f t="shared" si="199"/>
        <v>1101030</v>
      </c>
      <c r="GQ113" s="14" t="s">
        <v>1187</v>
      </c>
      <c r="GR113" s="14">
        <f t="shared" si="267"/>
        <v>4</v>
      </c>
      <c r="GS113" s="14" t="str">
        <f t="shared" si="268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MATCH(HC113,属性投放!$AO$6:$AO$58,1)-1</f>
        <v>36</v>
      </c>
      <c r="HF113" s="13">
        <f>MATCH(HC113-1,属性投放!$AE$6:$AE$26,1)</f>
        <v>15</v>
      </c>
      <c r="HG113" s="13" t="str">
        <f>INDEX(属性投放!$AB$7:$AB$26,卡牌属性!HF113)</f>
        <v>焦热+2</v>
      </c>
      <c r="HH113" s="14">
        <f t="shared" si="200"/>
        <v>5573</v>
      </c>
      <c r="HI113" s="14">
        <f t="shared" si="201"/>
        <v>2354</v>
      </c>
      <c r="HJ113" s="14">
        <f t="shared" si="202"/>
        <v>39804</v>
      </c>
      <c r="HK113" s="14">
        <f t="shared" si="203"/>
        <v>40</v>
      </c>
      <c r="HL113" s="14">
        <f t="shared" si="204"/>
        <v>13</v>
      </c>
      <c r="HM113" s="14">
        <f t="shared" si="205"/>
        <v>260</v>
      </c>
      <c r="HN113" s="14">
        <f>HH113+HK113*($HC113-INDEX(属性投放!$AE$6:$AE$26,卡牌属性!$HF113))</f>
        <v>5853</v>
      </c>
      <c r="HO113" s="14">
        <f>HI113+HL113*($HC113-INDEX(属性投放!$AE$6:$AE$26,卡牌属性!$HF113))</f>
        <v>2445</v>
      </c>
      <c r="HP113" s="14">
        <f>HJ113+HM113*($HC113-INDEX(属性投放!$AE$6:$AE$26,卡牌属性!$HF113))</f>
        <v>41624</v>
      </c>
      <c r="HQ113" s="14">
        <f t="shared" si="206"/>
        <v>5875</v>
      </c>
      <c r="HR113" s="14">
        <f t="shared" si="207"/>
        <v>2947</v>
      </c>
      <c r="HS113" s="14">
        <f t="shared" si="208"/>
        <v>54185</v>
      </c>
      <c r="HT113" s="14">
        <f>IF(COUNTIF(属性投放!$AO$7:$AO$58,"="&amp;卡牌属性!HC113)&gt;0,卡牌属性!HE113,0)</f>
        <v>0</v>
      </c>
      <c r="HU113" s="14">
        <f t="shared" si="209"/>
        <v>0</v>
      </c>
      <c r="HV113" s="14">
        <f t="shared" si="210"/>
        <v>0</v>
      </c>
      <c r="HW113" s="14">
        <f t="shared" si="211"/>
        <v>0</v>
      </c>
      <c r="HX113" s="14">
        <f>IF(COUNTIF(属性投放!$AE$6:$AE$26,"="&amp;卡牌属性!HC113)&gt;0,卡牌属性!HF113,0)</f>
        <v>0</v>
      </c>
      <c r="HY113" s="14">
        <f t="shared" si="212"/>
        <v>0</v>
      </c>
      <c r="HZ113" s="14">
        <f t="shared" si="213"/>
        <v>0</v>
      </c>
      <c r="IA113" s="14">
        <f t="shared" si="214"/>
        <v>0</v>
      </c>
      <c r="IB113" s="14">
        <f t="shared" si="215"/>
        <v>40</v>
      </c>
      <c r="IC113" s="14">
        <f t="shared" si="216"/>
        <v>13</v>
      </c>
      <c r="ID113" s="14">
        <f t="shared" si="217"/>
        <v>260</v>
      </c>
      <c r="IE113" s="14">
        <f t="shared" si="218"/>
        <v>11728</v>
      </c>
      <c r="IF113" s="14">
        <f t="shared" si="219"/>
        <v>5392</v>
      </c>
      <c r="IG113" s="14">
        <f t="shared" si="220"/>
        <v>95809</v>
      </c>
      <c r="IH113" s="14">
        <f t="shared" si="221"/>
        <v>920</v>
      </c>
      <c r="II113" s="14">
        <f t="shared" si="222"/>
        <v>0</v>
      </c>
      <c r="IJ113" s="14">
        <f t="shared" si="223"/>
        <v>0</v>
      </c>
      <c r="IK113" s="14">
        <f t="shared" si="224"/>
        <v>320929</v>
      </c>
      <c r="IL113" s="17">
        <f t="shared" si="225"/>
        <v>2.866677676370786E-3</v>
      </c>
      <c r="IM113" s="17">
        <f t="shared" si="226"/>
        <v>0</v>
      </c>
      <c r="IN113" s="17">
        <f t="shared" si="227"/>
        <v>0</v>
      </c>
      <c r="IO113" s="23">
        <f>SUM(IH$5:IH113)</f>
        <v>63244</v>
      </c>
      <c r="IP113" s="14">
        <f>SUM(II$5:II113)</f>
        <v>171875</v>
      </c>
      <c r="IQ113" s="14">
        <f>SUM(IJ$5:IJ113)</f>
        <v>67640</v>
      </c>
      <c r="IR113" s="17">
        <f t="shared" si="228"/>
        <v>0.1970653945265152</v>
      </c>
      <c r="IS113" s="17">
        <f t="shared" si="229"/>
        <v>0.53555459307198794</v>
      </c>
      <c r="IT113" s="17">
        <f t="shared" si="230"/>
        <v>0.21076312829317387</v>
      </c>
      <c r="IW113" s="13">
        <v>109</v>
      </c>
      <c r="IX113" s="14">
        <f>MATCH(IW113-1,属性投放!$T$6:$T$66,1)</f>
        <v>24</v>
      </c>
      <c r="IY113" s="14">
        <f>MATCH(IW113-1,属性投放!$AD$7:$AD$26,1)</f>
        <v>14</v>
      </c>
      <c r="IZ113" s="14" t="str">
        <f>INDEX(属性投放!$AB$7:$AB$26,IY113)</f>
        <v>焦热+1</v>
      </c>
      <c r="JA113" s="14">
        <f t="shared" si="231"/>
        <v>4906</v>
      </c>
      <c r="JB113" s="14">
        <f t="shared" si="232"/>
        <v>2405</v>
      </c>
      <c r="JC113" s="14">
        <f t="shared" si="233"/>
        <v>40846</v>
      </c>
      <c r="JD113" s="14">
        <f t="shared" si="234"/>
        <v>151</v>
      </c>
      <c r="JE113" s="14">
        <f t="shared" si="235"/>
        <v>76</v>
      </c>
      <c r="JF113" s="14">
        <f t="shared" si="236"/>
        <v>1510</v>
      </c>
      <c r="JG113" s="14">
        <f>INDEX(属性投放!$DC$6:$DC$85,卡牌属性!IY113)</f>
        <v>85</v>
      </c>
      <c r="JH113" s="14">
        <f t="shared" si="237"/>
        <v>8530</v>
      </c>
      <c r="JI113" s="14">
        <f t="shared" si="238"/>
        <v>4229</v>
      </c>
      <c r="JJ113" s="14">
        <f t="shared" si="239"/>
        <v>77086</v>
      </c>
      <c r="JK113" s="14">
        <f t="shared" si="240"/>
        <v>162026</v>
      </c>
    </row>
    <row r="114" spans="31:271" ht="16.5" x14ac:dyDescent="0.2">
      <c r="AE114" s="13">
        <v>110</v>
      </c>
      <c r="AF114" s="13">
        <f t="shared" si="188"/>
        <v>6</v>
      </c>
      <c r="AG114" s="13">
        <f t="shared" si="169"/>
        <v>4</v>
      </c>
      <c r="AH114" s="13"/>
      <c r="AI114" s="13"/>
      <c r="AJ114" s="14">
        <f t="shared" si="170"/>
        <v>1101006</v>
      </c>
      <c r="AK114" s="14" t="str">
        <f t="shared" si="171"/>
        <v>红莲·缇娜10突</v>
      </c>
      <c r="AL114" s="25" t="s">
        <v>142</v>
      </c>
      <c r="AM114" s="14">
        <v>1</v>
      </c>
      <c r="AN114" s="14">
        <f t="shared" si="172"/>
        <v>10</v>
      </c>
      <c r="AO114" s="14">
        <f>INDEX(属性投放!$DF$6:$DF$85,(卡牌属性!AG114-2)*20+卡牌属性!AN114)</f>
        <v>3347</v>
      </c>
      <c r="AP114" s="14">
        <f t="shared" si="269"/>
        <v>3347</v>
      </c>
      <c r="AQ114" s="14">
        <f t="shared" si="269"/>
        <v>3347</v>
      </c>
      <c r="AR114" s="14">
        <f t="shared" si="269"/>
        <v>3347</v>
      </c>
      <c r="AS114" s="14">
        <f t="shared" si="269"/>
        <v>3347</v>
      </c>
      <c r="AT114" s="14">
        <f>INDEX(属性投放!$DG$6:$DG$85,(卡牌属性!AG114-2)*20+卡牌属性!AN114)</f>
        <v>1603</v>
      </c>
      <c r="AU114" s="14">
        <f t="shared" si="270"/>
        <v>1603</v>
      </c>
      <c r="AV114" s="14">
        <f t="shared" si="270"/>
        <v>1603</v>
      </c>
      <c r="AW114" s="14">
        <f t="shared" si="270"/>
        <v>1603</v>
      </c>
      <c r="AX114" s="14">
        <f t="shared" si="270"/>
        <v>1603</v>
      </c>
      <c r="AY114" s="14">
        <f>INDEX(属性投放!$DH$6:$DH$85,(卡牌属性!AG114-2)*20+卡牌属性!AN114)</f>
        <v>23487</v>
      </c>
      <c r="AZ114" s="14">
        <f t="shared" si="271"/>
        <v>23487</v>
      </c>
      <c r="BA114" s="14">
        <f t="shared" si="271"/>
        <v>23487</v>
      </c>
      <c r="BB114" s="14">
        <f t="shared" si="271"/>
        <v>23487</v>
      </c>
      <c r="BC114" s="14">
        <f t="shared" si="271"/>
        <v>23487</v>
      </c>
      <c r="BD114" s="14">
        <f>INDEX(属性投放!$DL$6:$DL$85,(卡牌属性!AG114-2)*20+卡牌属性!AN114)</f>
        <v>110</v>
      </c>
      <c r="BE114" s="14">
        <f t="shared" si="272"/>
        <v>110</v>
      </c>
      <c r="BF114" s="14">
        <f t="shared" si="272"/>
        <v>110</v>
      </c>
      <c r="BG114" s="14">
        <f t="shared" si="272"/>
        <v>110</v>
      </c>
      <c r="BH114" s="14">
        <f t="shared" si="272"/>
        <v>110</v>
      </c>
      <c r="BI114" s="14">
        <f>INDEX(属性投放!$DM$6:$DM$85,(卡牌属性!AG114-2)*20+卡牌属性!AN114)</f>
        <v>55</v>
      </c>
      <c r="BJ114" s="14">
        <f t="shared" si="273"/>
        <v>55</v>
      </c>
      <c r="BK114" s="14">
        <f t="shared" si="273"/>
        <v>55</v>
      </c>
      <c r="BL114" s="14">
        <f t="shared" si="273"/>
        <v>55</v>
      </c>
      <c r="BM114" s="14">
        <f t="shared" si="273"/>
        <v>55</v>
      </c>
      <c r="BN114" s="14">
        <f>INDEX(属性投放!$DN$6:$DN$85,(卡牌属性!AG114-2)*20+卡牌属性!AN114)</f>
        <v>988</v>
      </c>
      <c r="BO114" s="14">
        <f t="shared" si="274"/>
        <v>988</v>
      </c>
      <c r="BP114" s="14">
        <f t="shared" si="274"/>
        <v>988</v>
      </c>
      <c r="BQ114" s="14">
        <f t="shared" si="274"/>
        <v>988</v>
      </c>
      <c r="BR114" s="14">
        <f t="shared" si="274"/>
        <v>988</v>
      </c>
      <c r="BW114" s="13">
        <v>110</v>
      </c>
      <c r="BX114" s="13">
        <f t="shared" si="173"/>
        <v>6</v>
      </c>
      <c r="BY114" s="14">
        <f t="shared" si="174"/>
        <v>5</v>
      </c>
      <c r="BZ114" s="14">
        <f t="shared" si="189"/>
        <v>1102006</v>
      </c>
      <c r="CA114" s="14" t="str">
        <f t="shared" si="190"/>
        <v>项羽10突</v>
      </c>
      <c r="CB114" s="25" t="s">
        <v>142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INDEX(属性投放!$AZ$6:$AZ$85,(BY114-2)*20+CD114)</f>
        <v>4524</v>
      </c>
      <c r="CG114" s="14" t="s">
        <v>22</v>
      </c>
      <c r="CH114" s="14">
        <f>INDEX(属性投放!$BA$6:$BA$85,(BY114-2)*20+CD114)</f>
        <v>2179</v>
      </c>
      <c r="CI114" s="14" t="s">
        <v>510</v>
      </c>
      <c r="CJ114" s="14">
        <f>INDEX(属性投放!$BB$6:$BB$85,(BY114-2)*20+CD114)</f>
        <v>31917</v>
      </c>
      <c r="CK114" s="14" t="s">
        <v>21</v>
      </c>
      <c r="CL114" s="14">
        <f>INDEX(属性投放!$BC$6:$BC$85,(BY114-2)*20+CD114)</f>
        <v>40</v>
      </c>
      <c r="CM114" s="14" t="s">
        <v>22</v>
      </c>
      <c r="CN114" s="14">
        <f>INDEX(属性投放!$BD$6:$BD$85,(BY114-2)*20+CD114)</f>
        <v>20</v>
      </c>
      <c r="CO114" s="14" t="s">
        <v>510</v>
      </c>
      <c r="CP114" s="14">
        <f>INDEX(属性投放!$BE$6:$BE$85,(BY114-2)*20+CD114)</f>
        <v>360</v>
      </c>
      <c r="CS114" s="13">
        <v>110</v>
      </c>
      <c r="CT114" s="13">
        <f t="shared" si="191"/>
        <v>3</v>
      </c>
      <c r="CU114" s="13">
        <f t="shared" si="192"/>
        <v>6</v>
      </c>
      <c r="CV114" s="14">
        <f t="shared" si="193"/>
        <v>4</v>
      </c>
      <c r="CW114" s="14">
        <f t="shared" si="194"/>
        <v>1102003</v>
      </c>
      <c r="CX114" s="14" t="str">
        <f>INDEX($O$6:$O$50,CT114)&amp;"-"&amp;INDEX(属性投放!$AB$7:$AB$50,CZ114)&amp;"-魂火-"&amp;DB114</f>
        <v>典韦-众合-魂火-1</v>
      </c>
      <c r="CY114" s="25" t="s">
        <v>142</v>
      </c>
      <c r="CZ114" s="14">
        <f>INDEX(属性投放!$AM$7:$AM$58,CU114)</f>
        <v>4</v>
      </c>
      <c r="DA114" s="14" t="s">
        <v>537</v>
      </c>
      <c r="DB114" s="14">
        <f>INDEX(属性投放!$AN$7:$AN$58,CU114)</f>
        <v>1</v>
      </c>
      <c r="DC114" s="14">
        <f t="shared" si="176"/>
        <v>6</v>
      </c>
      <c r="DD114" s="14">
        <f>INDEX(属性投放!$AO$7:$AO$58,DC114)</f>
        <v>28</v>
      </c>
      <c r="DE114" s="14" t="s">
        <v>538</v>
      </c>
      <c r="DF114" s="14">
        <f>INDEX(属性投放!$BK$6:$BK$85,(CV114-2)*20+CZ114)</f>
        <v>45</v>
      </c>
      <c r="DG114" s="14">
        <f>SUMIFS(DF$5:DF114,$CT$5:$CT114,"="&amp;$CT114)</f>
        <v>200</v>
      </c>
      <c r="DH114" s="14" t="s">
        <v>539</v>
      </c>
      <c r="DI114" s="14">
        <f>INDEX(属性投放!$BL$6:$BL$85,(CV114-2)*20+CZ114)</f>
        <v>23</v>
      </c>
      <c r="DJ114" s="14">
        <f>SUMIFS(DI$5:DI114,$CT$5:$CT114,"="&amp;$CT114)</f>
        <v>102</v>
      </c>
      <c r="DK114" s="14" t="s">
        <v>540</v>
      </c>
      <c r="DL114" s="14">
        <f>INDEX(属性投放!$BM$6:$BM$85,(CV114-2)*20+CZ114)</f>
        <v>315</v>
      </c>
      <c r="DM114" s="14">
        <f>SUMIFS(DL$5:DL114,$CT$5:$CT114,"="&amp;$CT114)</f>
        <v>1245</v>
      </c>
      <c r="DR114" s="14">
        <f t="shared" si="177"/>
        <v>1102006</v>
      </c>
      <c r="DS114" s="14" t="str">
        <f t="shared" si="178"/>
        <v>项羽10突</v>
      </c>
      <c r="DT114" s="14">
        <f t="shared" si="195"/>
        <v>8</v>
      </c>
      <c r="DU114" s="14">
        <f t="shared" si="196"/>
        <v>9</v>
      </c>
      <c r="DV114" s="14">
        <f t="shared" si="197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INDEX(属性投放!$AX$6:$AX$85,(卡牌属性!DW114-2)*20+卡牌属性!DX114)</f>
        <v>7</v>
      </c>
      <c r="EA114" s="14">
        <f>INDEX(属性投放!BQ$6:BQ$85,卡牌属性!$DY114)</f>
        <v>215</v>
      </c>
      <c r="EB114" s="14">
        <f>INDEX(属性投放!BR$6:BR$85,卡牌属性!$DY114)</f>
        <v>108</v>
      </c>
      <c r="EC114" s="14">
        <f>INDEX(属性投放!BS$6:BS$85,卡牌属性!$DY114)</f>
        <v>1935</v>
      </c>
      <c r="ED114" s="14">
        <f t="shared" si="275"/>
        <v>2835</v>
      </c>
      <c r="EE114" s="14">
        <f t="shared" si="276"/>
        <v>3055</v>
      </c>
      <c r="EF114" s="14">
        <f t="shared" si="277"/>
        <v>3515</v>
      </c>
      <c r="EG114" s="14">
        <f t="shared" si="278"/>
        <v>3515</v>
      </c>
      <c r="EH114" s="14">
        <f t="shared" si="279"/>
        <v>4085</v>
      </c>
      <c r="EI114" s="14">
        <f t="shared" si="280"/>
        <v>1492</v>
      </c>
      <c r="EJ114" s="14">
        <f t="shared" si="281"/>
        <v>1744</v>
      </c>
      <c r="EK114" s="14">
        <f t="shared" si="282"/>
        <v>1744</v>
      </c>
      <c r="EL114" s="14">
        <f t="shared" si="283"/>
        <v>2046</v>
      </c>
      <c r="EM114" s="14">
        <f t="shared" si="284"/>
        <v>2548</v>
      </c>
      <c r="EN114" s="14">
        <f t="shared" si="285"/>
        <v>19627</v>
      </c>
      <c r="EO114" s="14">
        <f t="shared" si="286"/>
        <v>20985</v>
      </c>
      <c r="EP114" s="14">
        <f t="shared" si="287"/>
        <v>20985</v>
      </c>
      <c r="EQ114" s="14">
        <f t="shared" si="288"/>
        <v>24215</v>
      </c>
      <c r="ER114" s="14">
        <f t="shared" si="289"/>
        <v>28415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315</v>
      </c>
      <c r="FD114" s="14">
        <f>INDEX(属性偏向!$U$4:$U$243,(卡牌属性!$DV114-1+FD$3)*20+卡牌属性!$DX114)</f>
        <v>360</v>
      </c>
      <c r="FE114" s="14">
        <f>INDEX(属性偏向!$U$4:$U$243,(卡牌属性!$DV114-1+FE$3)*20+卡牌属性!$DX114)</f>
        <v>360</v>
      </c>
      <c r="FF114" s="14">
        <f>INDEX(属性偏向!$U$4:$U$243,(卡牌属性!$DV114-1+FF$3)*20+卡牌属性!$DX114)</f>
        <v>450</v>
      </c>
      <c r="FG114" s="14">
        <f>INDEX(属性偏向!$U$4:$U$243,(卡牌属性!$DV114-1+FG$3)*20+卡牌属性!$DX114)</f>
        <v>675</v>
      </c>
      <c r="FH114" s="14">
        <f>INDEX(属性投放!$BQ$6:$BQ$85,(卡牌属性!$DW114-2)*20+卡牌属性!$DX114)</f>
        <v>215</v>
      </c>
      <c r="FI114" s="14">
        <f>INDEX(属性投放!$BQ$6:$BQ$85,(卡牌属性!$DW114-2)*20+卡牌属性!$DX114)</f>
        <v>215</v>
      </c>
      <c r="FJ114" s="14">
        <f>INDEX(属性投放!$BQ$6:$BQ$85,(卡牌属性!$DW114-2)*20+卡牌属性!$DX114)</f>
        <v>215</v>
      </c>
      <c r="FK114" s="14">
        <f>INDEX(属性投放!$BQ$6:$BQ$85,(卡牌属性!$DW114-2)*20+卡牌属性!$DX114)</f>
        <v>215</v>
      </c>
      <c r="FL114" s="14">
        <f>INDEX(属性投放!$BQ$6:$BQ$85,(卡牌属性!$DW114-2)*20+卡牌属性!$DX114)</f>
        <v>215</v>
      </c>
      <c r="FM114" s="14">
        <f>INDEX(属性投放!$BR$6:$BR$85,(卡牌属性!$DW114-2)*20+卡牌属性!$DX114)</f>
        <v>108</v>
      </c>
      <c r="FN114" s="14">
        <f>INDEX(属性投放!$BR$6:$BR$85,(卡牌属性!$DW114-2)*20+卡牌属性!$DX114)</f>
        <v>108</v>
      </c>
      <c r="FO114" s="14">
        <f>INDEX(属性投放!$BR$6:$BR$85,(卡牌属性!$DW114-2)*20+卡牌属性!$DX114)</f>
        <v>108</v>
      </c>
      <c r="FP114" s="14">
        <f>INDEX(属性投放!$BR$6:$BR$85,(卡牌属性!$DW114-2)*20+卡牌属性!$DX114)</f>
        <v>108</v>
      </c>
      <c r="FQ114" s="14">
        <f>INDEX(属性投放!$BR$6:$BR$85,(卡牌属性!$DW114-2)*20+卡牌属性!$DX114)</f>
        <v>108</v>
      </c>
      <c r="FR114" s="14">
        <f>INDEX(属性投放!$BS$6:$BS$85,(卡牌属性!$DW114-2)*20+卡牌属性!$DX114)</f>
        <v>1935</v>
      </c>
      <c r="FS114" s="14">
        <f>INDEX(属性投放!$BS$6:$BS$85,(卡牌属性!$DW114-2)*20+卡牌属性!$DX114)</f>
        <v>1935</v>
      </c>
      <c r="FT114" s="14">
        <f>INDEX(属性投放!$BS$6:$BS$85,(卡牌属性!$DW114-2)*20+卡牌属性!$DX114)</f>
        <v>1935</v>
      </c>
      <c r="FU114" s="14">
        <f>INDEX(属性投放!$BS$6:$BS$85,(卡牌属性!$DW114-2)*20+卡牌属性!$DX114)</f>
        <v>1935</v>
      </c>
      <c r="FV114" s="14">
        <f>INDEX(属性投放!$BS$6:$BS$85,(卡牌属性!$DW114-2)*20+卡牌属性!$DX114)</f>
        <v>1935</v>
      </c>
      <c r="FZ114" s="13">
        <v>110</v>
      </c>
      <c r="GA114" s="13">
        <f t="shared" si="264"/>
        <v>22</v>
      </c>
      <c r="GB114" s="14">
        <f t="shared" si="198"/>
        <v>1102050</v>
      </c>
      <c r="GC114" s="14" t="s">
        <v>1187</v>
      </c>
      <c r="GD114" s="14">
        <f t="shared" si="265"/>
        <v>5</v>
      </c>
      <c r="GE114" s="14" t="str">
        <f t="shared" si="266"/>
        <v>柠檬精-5星</v>
      </c>
      <c r="GF114" s="14">
        <f>INDEX(Y$6:Y$36,$GA114)+INDEX(属性偏向!Y$4:Y$8,卡牌属性!$GD114)</f>
        <v>6</v>
      </c>
      <c r="GG114" s="14" t="str">
        <f>INDEX(属性评价,卡牌属性!GF114)</f>
        <v>B+</v>
      </c>
      <c r="GH114" s="14">
        <f>INDEX(Z$6:Z$36,$GA114)+INDEX(属性偏向!Z$4:Z$8,卡牌属性!$GD114)</f>
        <v>4</v>
      </c>
      <c r="GI114" s="14" t="str">
        <f>INDEX(属性评价,卡牌属性!GH114)</f>
        <v>C+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90"/>
        <v>22</v>
      </c>
      <c r="GP114" s="14">
        <f t="shared" si="199"/>
        <v>1101030</v>
      </c>
      <c r="GQ114" s="14" t="s">
        <v>1187</v>
      </c>
      <c r="GR114" s="14">
        <f t="shared" si="267"/>
        <v>5</v>
      </c>
      <c r="GS114" s="14" t="str">
        <f t="shared" si="268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MATCH(HC114,属性投放!$AO$6:$AO$58,1)-1</f>
        <v>37</v>
      </c>
      <c r="HF114" s="13">
        <f>MATCH(HC114-1,属性投放!$AE$6:$AE$26,1)</f>
        <v>15</v>
      </c>
      <c r="HG114" s="13" t="str">
        <f>INDEX(属性投放!$AB$7:$AB$26,卡牌属性!HF114)</f>
        <v>焦热+2</v>
      </c>
      <c r="HH114" s="14">
        <f t="shared" si="200"/>
        <v>5573</v>
      </c>
      <c r="HI114" s="14">
        <f t="shared" si="201"/>
        <v>2354</v>
      </c>
      <c r="HJ114" s="14">
        <f t="shared" si="202"/>
        <v>39804</v>
      </c>
      <c r="HK114" s="14">
        <f t="shared" si="203"/>
        <v>40</v>
      </c>
      <c r="HL114" s="14">
        <f t="shared" si="204"/>
        <v>13</v>
      </c>
      <c r="HM114" s="14">
        <f t="shared" si="205"/>
        <v>260</v>
      </c>
      <c r="HN114" s="14">
        <f>HH114+HK114*($HC114-INDEX(属性投放!$AE$6:$AE$26,卡牌属性!$HF114))</f>
        <v>5893</v>
      </c>
      <c r="HO114" s="14">
        <f>HI114+HL114*($HC114-INDEX(属性投放!$AE$6:$AE$26,卡牌属性!$HF114))</f>
        <v>2458</v>
      </c>
      <c r="HP114" s="14">
        <f>HJ114+HM114*($HC114-INDEX(属性投放!$AE$6:$AE$26,卡牌属性!$HF114))</f>
        <v>41884</v>
      </c>
      <c r="HQ114" s="14">
        <f t="shared" si="206"/>
        <v>6395</v>
      </c>
      <c r="HR114" s="14">
        <f t="shared" si="207"/>
        <v>3207</v>
      </c>
      <c r="HS114" s="14">
        <f t="shared" si="208"/>
        <v>59385</v>
      </c>
      <c r="HT114" s="14">
        <f>IF(COUNTIF(属性投放!$AO$7:$AO$58,"="&amp;卡牌属性!HC114)&gt;0,卡牌属性!HE114,0)</f>
        <v>37</v>
      </c>
      <c r="HU114" s="14">
        <f t="shared" si="209"/>
        <v>520</v>
      </c>
      <c r="HV114" s="14">
        <f t="shared" si="210"/>
        <v>260</v>
      </c>
      <c r="HW114" s="14">
        <f t="shared" si="211"/>
        <v>5200</v>
      </c>
      <c r="HX114" s="14">
        <f>IF(COUNTIF(属性投放!$AE$6:$AE$26,"="&amp;卡牌属性!HC114)&gt;0,卡牌属性!HF114,0)</f>
        <v>15</v>
      </c>
      <c r="HY114" s="14">
        <f t="shared" si="212"/>
        <v>500</v>
      </c>
      <c r="HZ114" s="14">
        <f t="shared" si="213"/>
        <v>250</v>
      </c>
      <c r="IA114" s="14">
        <f t="shared" si="214"/>
        <v>5000</v>
      </c>
      <c r="IB114" s="14">
        <f t="shared" si="215"/>
        <v>40</v>
      </c>
      <c r="IC114" s="14">
        <f t="shared" si="216"/>
        <v>13</v>
      </c>
      <c r="ID114" s="14">
        <f t="shared" si="217"/>
        <v>260</v>
      </c>
      <c r="IE114" s="14">
        <f t="shared" si="218"/>
        <v>12288</v>
      </c>
      <c r="IF114" s="14">
        <f t="shared" si="219"/>
        <v>5665</v>
      </c>
      <c r="IG114" s="14">
        <f t="shared" si="220"/>
        <v>101269</v>
      </c>
      <c r="IH114" s="14">
        <f t="shared" si="221"/>
        <v>920</v>
      </c>
      <c r="II114" s="14">
        <f t="shared" si="222"/>
        <v>15600</v>
      </c>
      <c r="IJ114" s="14">
        <f t="shared" si="223"/>
        <v>15000</v>
      </c>
      <c r="IK114" s="14">
        <f t="shared" si="224"/>
        <v>337449</v>
      </c>
      <c r="IL114" s="17">
        <f t="shared" si="225"/>
        <v>2.7263379058761472E-3</v>
      </c>
      <c r="IM114" s="17">
        <f t="shared" si="226"/>
        <v>4.6229207969204232E-2</v>
      </c>
      <c r="IN114" s="17">
        <f t="shared" si="227"/>
        <v>4.4451161508850229E-2</v>
      </c>
      <c r="IO114" s="23">
        <f>SUM(IH$5:IH114)</f>
        <v>64164</v>
      </c>
      <c r="IP114" s="14">
        <f>SUM(II$5:II114)</f>
        <v>187475</v>
      </c>
      <c r="IQ114" s="14">
        <f>SUM(IJ$5:IJ114)</f>
        <v>82640</v>
      </c>
      <c r="IR114" s="17">
        <f t="shared" si="228"/>
        <v>0.19014428847025772</v>
      </c>
      <c r="IS114" s="17">
        <f t="shared" si="229"/>
        <v>0.55556543359144639</v>
      </c>
      <c r="IT114" s="17">
        <f t="shared" si="230"/>
        <v>0.24489626580609217</v>
      </c>
      <c r="IW114" s="13">
        <v>110</v>
      </c>
      <c r="IX114" s="14">
        <f>MATCH(IW114-1,属性投放!$T$6:$T$66,1)</f>
        <v>24</v>
      </c>
      <c r="IY114" s="14">
        <f>MATCH(IW114-1,属性投放!$AD$7:$AD$26,1)</f>
        <v>14</v>
      </c>
      <c r="IZ114" s="14" t="str">
        <f>INDEX(属性投放!$AB$7:$AB$26,IY114)</f>
        <v>焦热+1</v>
      </c>
      <c r="JA114" s="14">
        <f t="shared" si="231"/>
        <v>4906</v>
      </c>
      <c r="JB114" s="14">
        <f t="shared" si="232"/>
        <v>2405</v>
      </c>
      <c r="JC114" s="14">
        <f t="shared" si="233"/>
        <v>40846</v>
      </c>
      <c r="JD114" s="14">
        <f t="shared" si="234"/>
        <v>151</v>
      </c>
      <c r="JE114" s="14">
        <f t="shared" si="235"/>
        <v>76</v>
      </c>
      <c r="JF114" s="14">
        <f t="shared" si="236"/>
        <v>1510</v>
      </c>
      <c r="JG114" s="14">
        <f>INDEX(属性投放!$DC$6:$DC$85,卡牌属性!IY114)</f>
        <v>85</v>
      </c>
      <c r="JH114" s="14">
        <f t="shared" si="237"/>
        <v>8681</v>
      </c>
      <c r="JI114" s="14">
        <f t="shared" si="238"/>
        <v>4305</v>
      </c>
      <c r="JJ114" s="14">
        <f t="shared" si="239"/>
        <v>78596</v>
      </c>
      <c r="JK114" s="14">
        <f t="shared" si="240"/>
        <v>165051</v>
      </c>
    </row>
    <row r="115" spans="31:271" ht="16.5" x14ac:dyDescent="0.2">
      <c r="AE115" s="13">
        <v>111</v>
      </c>
      <c r="AF115" s="13">
        <f t="shared" si="188"/>
        <v>6</v>
      </c>
      <c r="AG115" s="13">
        <f t="shared" si="169"/>
        <v>4</v>
      </c>
      <c r="AH115" s="13"/>
      <c r="AI115" s="13"/>
      <c r="AJ115" s="14">
        <f t="shared" si="170"/>
        <v>1101006</v>
      </c>
      <c r="AK115" s="14" t="str">
        <f t="shared" si="171"/>
        <v>红莲·缇娜11突</v>
      </c>
      <c r="AL115" s="25" t="s">
        <v>142</v>
      </c>
      <c r="AM115" s="14">
        <v>1</v>
      </c>
      <c r="AN115" s="14">
        <f t="shared" si="172"/>
        <v>11</v>
      </c>
      <c r="AO115" s="14">
        <f>INDEX(属性投放!$DF$6:$DF$85,(卡牌属性!AG115-2)*20+卡牌属性!AN115)</f>
        <v>3661</v>
      </c>
      <c r="AP115" s="14">
        <f t="shared" si="269"/>
        <v>3661</v>
      </c>
      <c r="AQ115" s="14">
        <f t="shared" si="269"/>
        <v>3661</v>
      </c>
      <c r="AR115" s="14">
        <f t="shared" si="269"/>
        <v>3661</v>
      </c>
      <c r="AS115" s="14">
        <f t="shared" si="269"/>
        <v>3661</v>
      </c>
      <c r="AT115" s="14">
        <f>INDEX(属性投放!$DG$6:$DG$85,(卡牌属性!AG115-2)*20+卡牌属性!AN115)</f>
        <v>1760</v>
      </c>
      <c r="AU115" s="14">
        <f t="shared" si="270"/>
        <v>1760</v>
      </c>
      <c r="AV115" s="14">
        <f t="shared" si="270"/>
        <v>1760</v>
      </c>
      <c r="AW115" s="14">
        <f t="shared" si="270"/>
        <v>1760</v>
      </c>
      <c r="AX115" s="14">
        <f t="shared" si="270"/>
        <v>1760</v>
      </c>
      <c r="AY115" s="14">
        <f>INDEX(属性投放!$DH$6:$DH$85,(卡牌属性!AG115-2)*20+卡牌属性!AN115)</f>
        <v>26309</v>
      </c>
      <c r="AZ115" s="14">
        <f t="shared" si="271"/>
        <v>26309</v>
      </c>
      <c r="BA115" s="14">
        <f t="shared" si="271"/>
        <v>26309</v>
      </c>
      <c r="BB115" s="14">
        <f t="shared" si="271"/>
        <v>26309</v>
      </c>
      <c r="BC115" s="14">
        <f t="shared" si="271"/>
        <v>26309</v>
      </c>
      <c r="BD115" s="14">
        <f>INDEX(属性投放!$DL$6:$DL$85,(卡牌属性!AG115-2)*20+卡牌属性!AN115)</f>
        <v>110</v>
      </c>
      <c r="BE115" s="14">
        <f t="shared" si="272"/>
        <v>110</v>
      </c>
      <c r="BF115" s="14">
        <f t="shared" si="272"/>
        <v>110</v>
      </c>
      <c r="BG115" s="14">
        <f t="shared" si="272"/>
        <v>110</v>
      </c>
      <c r="BH115" s="14">
        <f t="shared" si="272"/>
        <v>110</v>
      </c>
      <c r="BI115" s="14">
        <f>INDEX(属性投放!$DM$6:$DM$85,(卡牌属性!AG115-2)*20+卡牌属性!AN115)</f>
        <v>55</v>
      </c>
      <c r="BJ115" s="14">
        <f t="shared" si="273"/>
        <v>55</v>
      </c>
      <c r="BK115" s="14">
        <f t="shared" si="273"/>
        <v>55</v>
      </c>
      <c r="BL115" s="14">
        <f t="shared" si="273"/>
        <v>55</v>
      </c>
      <c r="BM115" s="14">
        <f t="shared" si="273"/>
        <v>55</v>
      </c>
      <c r="BN115" s="14">
        <f>INDEX(属性投放!$DN$6:$DN$85,(卡牌属性!AG115-2)*20+卡牌属性!AN115)</f>
        <v>988</v>
      </c>
      <c r="BO115" s="14">
        <f t="shared" si="274"/>
        <v>988</v>
      </c>
      <c r="BP115" s="14">
        <f t="shared" si="274"/>
        <v>988</v>
      </c>
      <c r="BQ115" s="14">
        <f t="shared" si="274"/>
        <v>988</v>
      </c>
      <c r="BR115" s="14">
        <f t="shared" si="274"/>
        <v>988</v>
      </c>
      <c r="BW115" s="13">
        <v>111</v>
      </c>
      <c r="BX115" s="13">
        <f t="shared" si="173"/>
        <v>6</v>
      </c>
      <c r="BY115" s="14">
        <f t="shared" si="174"/>
        <v>5</v>
      </c>
      <c r="BZ115" s="14">
        <f t="shared" si="189"/>
        <v>1102006</v>
      </c>
      <c r="CA115" s="14" t="str">
        <f t="shared" si="190"/>
        <v>项羽11突</v>
      </c>
      <c r="CB115" s="25" t="s">
        <v>142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INDEX(属性投放!$AZ$6:$AZ$85,(BY115-2)*20+CD115)</f>
        <v>5469</v>
      </c>
      <c r="CG115" s="14" t="s">
        <v>22</v>
      </c>
      <c r="CH115" s="14">
        <f>INDEX(属性投放!$BA$6:$BA$85,(BY115-2)*20+CD115)</f>
        <v>2652</v>
      </c>
      <c r="CI115" s="14" t="s">
        <v>510</v>
      </c>
      <c r="CJ115" s="14">
        <f>INDEX(属性投放!$BB$6:$BB$85,(BY115-2)*20+CD115)</f>
        <v>40422</v>
      </c>
      <c r="CK115" s="14" t="s">
        <v>21</v>
      </c>
      <c r="CL115" s="14">
        <f>INDEX(属性投放!$BC$6:$BC$85,(BY115-2)*20+CD115)</f>
        <v>40</v>
      </c>
      <c r="CM115" s="14" t="s">
        <v>22</v>
      </c>
      <c r="CN115" s="14">
        <f>INDEX(属性投放!$BD$6:$BD$85,(BY115-2)*20+CD115)</f>
        <v>20</v>
      </c>
      <c r="CO115" s="14" t="s">
        <v>510</v>
      </c>
      <c r="CP115" s="14">
        <f>INDEX(属性投放!$BE$6:$BE$85,(BY115-2)*20+CD115)</f>
        <v>360</v>
      </c>
      <c r="CS115" s="13">
        <v>111</v>
      </c>
      <c r="CT115" s="13">
        <f t="shared" si="191"/>
        <v>3</v>
      </c>
      <c r="CU115" s="13">
        <f t="shared" si="192"/>
        <v>7</v>
      </c>
      <c r="CV115" s="14">
        <f t="shared" si="193"/>
        <v>4</v>
      </c>
      <c r="CW115" s="14">
        <f t="shared" si="194"/>
        <v>1102003</v>
      </c>
      <c r="CX115" s="14" t="str">
        <f>INDEX($O$6:$O$50,CT115)&amp;"-"&amp;INDEX(属性投放!$AB$7:$AB$50,CZ115)&amp;"-魂火-"&amp;DB115</f>
        <v>典韦-众合-魂火-2</v>
      </c>
      <c r="CY115" s="25" t="s">
        <v>142</v>
      </c>
      <c r="CZ115" s="14">
        <f>INDEX(属性投放!$AM$7:$AM$58,CU115)</f>
        <v>4</v>
      </c>
      <c r="DA115" s="14" t="s">
        <v>537</v>
      </c>
      <c r="DB115" s="14">
        <f>INDEX(属性投放!$AN$7:$AN$58,CU115)</f>
        <v>2</v>
      </c>
      <c r="DC115" s="14">
        <f t="shared" si="176"/>
        <v>7</v>
      </c>
      <c r="DD115" s="14">
        <f>INDEX(属性投放!$AO$7:$AO$58,DC115)</f>
        <v>33</v>
      </c>
      <c r="DE115" s="14" t="s">
        <v>538</v>
      </c>
      <c r="DF115" s="14">
        <f>INDEX(属性投放!$BK$6:$BK$85,(CV115-2)*20+CZ115)</f>
        <v>45</v>
      </c>
      <c r="DG115" s="14">
        <f>SUMIFS(DF$5:DF115,$CT$5:$CT115,"="&amp;$CT115)</f>
        <v>245</v>
      </c>
      <c r="DH115" s="14" t="s">
        <v>539</v>
      </c>
      <c r="DI115" s="14">
        <f>INDEX(属性投放!$BL$6:$BL$85,(CV115-2)*20+CZ115)</f>
        <v>23</v>
      </c>
      <c r="DJ115" s="14">
        <f>SUMIFS(DI$5:DI115,$CT$5:$CT115,"="&amp;$CT115)</f>
        <v>125</v>
      </c>
      <c r="DK115" s="14" t="s">
        <v>540</v>
      </c>
      <c r="DL115" s="14">
        <f>INDEX(属性投放!$BM$6:$BM$85,(CV115-2)*20+CZ115)</f>
        <v>315</v>
      </c>
      <c r="DM115" s="14">
        <f>SUMIFS(DL$5:DL115,$CT$5:$CT115,"="&amp;$CT115)</f>
        <v>1560</v>
      </c>
      <c r="DR115" s="14">
        <f t="shared" si="177"/>
        <v>1102006</v>
      </c>
      <c r="DS115" s="14" t="str">
        <f t="shared" si="178"/>
        <v>项羽11突</v>
      </c>
      <c r="DT115" s="14">
        <f t="shared" si="195"/>
        <v>8</v>
      </c>
      <c r="DU115" s="14">
        <f t="shared" si="196"/>
        <v>9</v>
      </c>
      <c r="DV115" s="14">
        <f t="shared" si="197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INDEX(属性投放!$AX$6:$AX$85,(卡牌属性!DW115-2)*20+卡牌属性!DX115)</f>
        <v>8</v>
      </c>
      <c r="EA115" s="14">
        <f>INDEX(属性投放!BQ$6:BQ$85,卡牌属性!$DY115)</f>
        <v>320</v>
      </c>
      <c r="EB115" s="14">
        <f>INDEX(属性投放!BR$6:BR$85,卡牌属性!$DY115)</f>
        <v>160</v>
      </c>
      <c r="EC115" s="14">
        <f>INDEX(属性投放!BS$6:BS$85,卡牌属性!$DY115)</f>
        <v>2880</v>
      </c>
      <c r="ED115" s="14">
        <f t="shared" si="275"/>
        <v>3295</v>
      </c>
      <c r="EE115" s="14">
        <f t="shared" si="276"/>
        <v>3550</v>
      </c>
      <c r="EF115" s="14">
        <f t="shared" si="277"/>
        <v>4080</v>
      </c>
      <c r="EG115" s="14">
        <f t="shared" si="278"/>
        <v>4080</v>
      </c>
      <c r="EH115" s="14">
        <f t="shared" si="279"/>
        <v>4825</v>
      </c>
      <c r="EI115" s="14">
        <f t="shared" si="280"/>
        <v>1740</v>
      </c>
      <c r="EJ115" s="14">
        <f t="shared" si="281"/>
        <v>2027</v>
      </c>
      <c r="EK115" s="14">
        <f t="shared" si="282"/>
        <v>2027</v>
      </c>
      <c r="EL115" s="14">
        <f t="shared" si="283"/>
        <v>2420</v>
      </c>
      <c r="EM115" s="14">
        <f t="shared" si="284"/>
        <v>3006</v>
      </c>
      <c r="EN115" s="14">
        <f t="shared" si="285"/>
        <v>23767</v>
      </c>
      <c r="EO115" s="14">
        <f t="shared" si="286"/>
        <v>25440</v>
      </c>
      <c r="EP115" s="14">
        <f t="shared" si="287"/>
        <v>25440</v>
      </c>
      <c r="EQ115" s="14">
        <f t="shared" si="288"/>
        <v>29300</v>
      </c>
      <c r="ER115" s="14">
        <f t="shared" si="289"/>
        <v>35075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315</v>
      </c>
      <c r="FD115" s="14">
        <f>INDEX(属性偏向!$U$4:$U$243,(卡牌属性!$DV115-1+FD$3)*20+卡牌属性!$DX115)</f>
        <v>360</v>
      </c>
      <c r="FE115" s="14">
        <f>INDEX(属性偏向!$U$4:$U$243,(卡牌属性!$DV115-1+FE$3)*20+卡牌属性!$DX115)</f>
        <v>360</v>
      </c>
      <c r="FF115" s="14">
        <f>INDEX(属性偏向!$U$4:$U$243,(卡牌属性!$DV115-1+FF$3)*20+卡牌属性!$DX115)</f>
        <v>450</v>
      </c>
      <c r="FG115" s="14">
        <f>INDEX(属性偏向!$U$4:$U$243,(卡牌属性!$DV115-1+FG$3)*20+卡牌属性!$DX115)</f>
        <v>675</v>
      </c>
      <c r="FH115" s="14">
        <f>INDEX(属性投放!$BQ$6:$BQ$85,(卡牌属性!$DW115-2)*20+卡牌属性!$DX115)</f>
        <v>320</v>
      </c>
      <c r="FI115" s="14">
        <f>INDEX(属性投放!$BQ$6:$BQ$85,(卡牌属性!$DW115-2)*20+卡牌属性!$DX115)</f>
        <v>320</v>
      </c>
      <c r="FJ115" s="14">
        <f>INDEX(属性投放!$BQ$6:$BQ$85,(卡牌属性!$DW115-2)*20+卡牌属性!$DX115)</f>
        <v>320</v>
      </c>
      <c r="FK115" s="14">
        <f>INDEX(属性投放!$BQ$6:$BQ$85,(卡牌属性!$DW115-2)*20+卡牌属性!$DX115)</f>
        <v>320</v>
      </c>
      <c r="FL115" s="14">
        <f>INDEX(属性投放!$BQ$6:$BQ$85,(卡牌属性!$DW115-2)*20+卡牌属性!$DX115)</f>
        <v>320</v>
      </c>
      <c r="FM115" s="14">
        <f>INDEX(属性投放!$BR$6:$BR$85,(卡牌属性!$DW115-2)*20+卡牌属性!$DX115)</f>
        <v>160</v>
      </c>
      <c r="FN115" s="14">
        <f>INDEX(属性投放!$BR$6:$BR$85,(卡牌属性!$DW115-2)*20+卡牌属性!$DX115)</f>
        <v>160</v>
      </c>
      <c r="FO115" s="14">
        <f>INDEX(属性投放!$BR$6:$BR$85,(卡牌属性!$DW115-2)*20+卡牌属性!$DX115)</f>
        <v>160</v>
      </c>
      <c r="FP115" s="14">
        <f>INDEX(属性投放!$BR$6:$BR$85,(卡牌属性!$DW115-2)*20+卡牌属性!$DX115)</f>
        <v>160</v>
      </c>
      <c r="FQ115" s="14">
        <f>INDEX(属性投放!$BR$6:$BR$85,(卡牌属性!$DW115-2)*20+卡牌属性!$DX115)</f>
        <v>160</v>
      </c>
      <c r="FR115" s="14">
        <f>INDEX(属性投放!$BS$6:$BS$85,(卡牌属性!$DW115-2)*20+卡牌属性!$DX115)</f>
        <v>2880</v>
      </c>
      <c r="FS115" s="14">
        <f>INDEX(属性投放!$BS$6:$BS$85,(卡牌属性!$DW115-2)*20+卡牌属性!$DX115)</f>
        <v>2880</v>
      </c>
      <c r="FT115" s="14">
        <f>INDEX(属性投放!$BS$6:$BS$85,(卡牌属性!$DW115-2)*20+卡牌属性!$DX115)</f>
        <v>2880</v>
      </c>
      <c r="FU115" s="14">
        <f>INDEX(属性投放!$BS$6:$BS$85,(卡牌属性!$DW115-2)*20+卡牌属性!$DX115)</f>
        <v>2880</v>
      </c>
      <c r="FV115" s="14">
        <f>INDEX(属性投放!$BS$6:$BS$85,(卡牌属性!$DW115-2)*20+卡牌属性!$DX115)</f>
        <v>2880</v>
      </c>
      <c r="FZ115" s="13">
        <v>111</v>
      </c>
      <c r="GA115" s="13">
        <f t="shared" ref="GA115:GA144" si="291">INT((FZ115-1)/5)+1</f>
        <v>23</v>
      </c>
      <c r="GB115" s="14">
        <f t="shared" si="198"/>
        <v>1102023</v>
      </c>
      <c r="GC115" s="14" t="s">
        <v>1187</v>
      </c>
      <c r="GD115" s="14">
        <f t="shared" si="265"/>
        <v>1</v>
      </c>
      <c r="GE115" s="14" t="str">
        <f t="shared" si="266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90"/>
        <v>23</v>
      </c>
      <c r="GP115" s="14">
        <f t="shared" ref="GP115:GP119" si="292">INDEX($A$6:$A$36,GO115)</f>
        <v>1101043</v>
      </c>
      <c r="GQ115" s="14" t="s">
        <v>1187</v>
      </c>
      <c r="GR115" s="14">
        <f t="shared" ref="GR115:GR119" si="293">GN115-(GO115-1)*5</f>
        <v>1</v>
      </c>
      <c r="GS115" s="14" t="str">
        <f t="shared" ref="GS115:GS119" si="294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MATCH(HC115,属性投放!$AO$6:$AO$58,1)-1</f>
        <v>37</v>
      </c>
      <c r="HF115" s="13">
        <f>MATCH(HC115-1,属性投放!$AE$6:$AE$26,1)</f>
        <v>16</v>
      </c>
      <c r="HG115" s="13" t="str">
        <f>INDEX(属性投放!$AB$7:$AB$26,卡牌属性!HF115)</f>
        <v>大焦热</v>
      </c>
      <c r="HH115" s="14">
        <f t="shared" si="200"/>
        <v>6693</v>
      </c>
      <c r="HI115" s="14">
        <f t="shared" si="201"/>
        <v>2858</v>
      </c>
      <c r="HJ115" s="14">
        <f t="shared" si="202"/>
        <v>49884</v>
      </c>
      <c r="HK115" s="14">
        <f t="shared" si="203"/>
        <v>50</v>
      </c>
      <c r="HL115" s="14">
        <f t="shared" si="204"/>
        <v>18</v>
      </c>
      <c r="HM115" s="14">
        <f t="shared" si="205"/>
        <v>350</v>
      </c>
      <c r="HN115" s="14">
        <f>HH115+HK115*($HC115-INDEX(属性投放!$AE$6:$AE$26,卡牌属性!$HF115))</f>
        <v>6743</v>
      </c>
      <c r="HO115" s="14">
        <f>HI115+HL115*($HC115-INDEX(属性投放!$AE$6:$AE$26,卡牌属性!$HF115))</f>
        <v>2876</v>
      </c>
      <c r="HP115" s="14">
        <f>HJ115+HM115*($HC115-INDEX(属性投放!$AE$6:$AE$26,卡牌属性!$HF115))</f>
        <v>50234</v>
      </c>
      <c r="HQ115" s="14">
        <f t="shared" si="206"/>
        <v>6395</v>
      </c>
      <c r="HR115" s="14">
        <f t="shared" si="207"/>
        <v>3207</v>
      </c>
      <c r="HS115" s="14">
        <f t="shared" si="208"/>
        <v>59385</v>
      </c>
      <c r="HT115" s="14">
        <f>IF(COUNTIF(属性投放!$AO$7:$AO$58,"="&amp;卡牌属性!HC115)&gt;0,卡牌属性!HE115,0)</f>
        <v>0</v>
      </c>
      <c r="HU115" s="14">
        <f t="shared" si="209"/>
        <v>0</v>
      </c>
      <c r="HV115" s="14">
        <f t="shared" si="210"/>
        <v>0</v>
      </c>
      <c r="HW115" s="14">
        <f t="shared" si="211"/>
        <v>0</v>
      </c>
      <c r="HX115" s="14">
        <f>IF(COUNTIF(属性投放!$AE$6:$AE$26,"="&amp;卡牌属性!HC115)&gt;0,卡牌属性!HF115,0)</f>
        <v>0</v>
      </c>
      <c r="HY115" s="14">
        <f t="shared" si="212"/>
        <v>0</v>
      </c>
      <c r="HZ115" s="14">
        <f t="shared" si="213"/>
        <v>0</v>
      </c>
      <c r="IA115" s="14">
        <f t="shared" si="214"/>
        <v>0</v>
      </c>
      <c r="IB115" s="14">
        <f t="shared" si="215"/>
        <v>50</v>
      </c>
      <c r="IC115" s="14">
        <f t="shared" si="216"/>
        <v>18</v>
      </c>
      <c r="ID115" s="14">
        <f t="shared" si="217"/>
        <v>350</v>
      </c>
      <c r="IE115" s="14">
        <f t="shared" si="218"/>
        <v>13138</v>
      </c>
      <c r="IF115" s="14">
        <f t="shared" si="219"/>
        <v>6083</v>
      </c>
      <c r="IG115" s="14">
        <f t="shared" si="220"/>
        <v>109619</v>
      </c>
      <c r="IH115" s="14">
        <f t="shared" si="221"/>
        <v>1210</v>
      </c>
      <c r="II115" s="14">
        <f t="shared" si="222"/>
        <v>0</v>
      </c>
      <c r="IJ115" s="14">
        <f t="shared" si="223"/>
        <v>0</v>
      </c>
      <c r="IK115" s="14">
        <f t="shared" si="224"/>
        <v>362659</v>
      </c>
      <c r="IL115" s="17">
        <f t="shared" si="225"/>
        <v>3.3364675907670842E-3</v>
      </c>
      <c r="IM115" s="17">
        <f t="shared" si="226"/>
        <v>0</v>
      </c>
      <c r="IN115" s="17">
        <f t="shared" si="227"/>
        <v>0</v>
      </c>
      <c r="IO115" s="23">
        <f>SUM(IH$5:IH115)</f>
        <v>65374</v>
      </c>
      <c r="IP115" s="14">
        <f>SUM(II$5:II115)</f>
        <v>187475</v>
      </c>
      <c r="IQ115" s="14">
        <f>SUM(IJ$5:IJ115)</f>
        <v>82640</v>
      </c>
      <c r="IR115" s="17">
        <f t="shared" si="228"/>
        <v>0.18026300188331187</v>
      </c>
      <c r="IS115" s="17">
        <f t="shared" si="229"/>
        <v>0.51694567072649511</v>
      </c>
      <c r="IT115" s="17">
        <f t="shared" si="230"/>
        <v>0.22787246421569574</v>
      </c>
      <c r="IW115" s="13">
        <v>111</v>
      </c>
      <c r="IX115" s="14">
        <f>MATCH(IW115-1,属性投放!$T$6:$T$66,1)</f>
        <v>25</v>
      </c>
      <c r="IY115" s="14">
        <f>MATCH(IW115-1,属性投放!$AD$7:$AD$26,1)</f>
        <v>15</v>
      </c>
      <c r="IZ115" s="14" t="str">
        <f>INDEX(属性投放!$AB$7:$AB$26,IY115)</f>
        <v>焦热+2</v>
      </c>
      <c r="JA115" s="14">
        <f t="shared" si="231"/>
        <v>5338</v>
      </c>
      <c r="JB115" s="14">
        <f t="shared" si="232"/>
        <v>2622</v>
      </c>
      <c r="JC115" s="14">
        <f t="shared" si="233"/>
        <v>45161</v>
      </c>
      <c r="JD115" s="14">
        <f t="shared" si="234"/>
        <v>151</v>
      </c>
      <c r="JE115" s="14">
        <f t="shared" si="235"/>
        <v>76</v>
      </c>
      <c r="JF115" s="14">
        <f t="shared" si="236"/>
        <v>1510</v>
      </c>
      <c r="JG115" s="14">
        <f>INDEX(属性投放!$DC$6:$DC$85,卡牌属性!IY115)</f>
        <v>85</v>
      </c>
      <c r="JH115" s="14">
        <f t="shared" si="237"/>
        <v>9264</v>
      </c>
      <c r="JI115" s="14">
        <f t="shared" si="238"/>
        <v>4598</v>
      </c>
      <c r="JJ115" s="14">
        <f t="shared" si="239"/>
        <v>84421</v>
      </c>
      <c r="JK115" s="14">
        <f t="shared" si="240"/>
        <v>176721</v>
      </c>
    </row>
    <row r="116" spans="31:271" ht="16.5" x14ac:dyDescent="0.2">
      <c r="AE116" s="13">
        <v>112</v>
      </c>
      <c r="AF116" s="13">
        <f t="shared" si="188"/>
        <v>6</v>
      </c>
      <c r="AG116" s="13">
        <f t="shared" si="169"/>
        <v>4</v>
      </c>
      <c r="AH116" s="13"/>
      <c r="AI116" s="13"/>
      <c r="AJ116" s="14">
        <f t="shared" si="170"/>
        <v>1101006</v>
      </c>
      <c r="AK116" s="14" t="str">
        <f t="shared" si="171"/>
        <v>红莲·缇娜12突</v>
      </c>
      <c r="AL116" s="25" t="s">
        <v>142</v>
      </c>
      <c r="AM116" s="14">
        <v>1</v>
      </c>
      <c r="AN116" s="14">
        <f t="shared" si="172"/>
        <v>12</v>
      </c>
      <c r="AO116" s="14">
        <f>INDEX(属性投放!$DF$6:$DF$85,(卡牌属性!AG116-2)*20+卡牌属性!AN116)</f>
        <v>3975</v>
      </c>
      <c r="AP116" s="14">
        <f t="shared" si="269"/>
        <v>3975</v>
      </c>
      <c r="AQ116" s="14">
        <f t="shared" si="269"/>
        <v>3975</v>
      </c>
      <c r="AR116" s="14">
        <f t="shared" si="269"/>
        <v>3975</v>
      </c>
      <c r="AS116" s="14">
        <f t="shared" si="269"/>
        <v>3975</v>
      </c>
      <c r="AT116" s="14">
        <f>INDEX(属性投放!$DG$6:$DG$85,(卡牌属性!AG116-2)*20+卡牌属性!AN116)</f>
        <v>1917</v>
      </c>
      <c r="AU116" s="14">
        <f t="shared" si="270"/>
        <v>1917</v>
      </c>
      <c r="AV116" s="14">
        <f t="shared" si="270"/>
        <v>1917</v>
      </c>
      <c r="AW116" s="14">
        <f t="shared" si="270"/>
        <v>1917</v>
      </c>
      <c r="AX116" s="14">
        <f t="shared" si="270"/>
        <v>1917</v>
      </c>
      <c r="AY116" s="14">
        <f>INDEX(属性投放!$DH$6:$DH$85,(卡牌属性!AG116-2)*20+卡牌属性!AN116)</f>
        <v>29131</v>
      </c>
      <c r="AZ116" s="14">
        <f t="shared" si="271"/>
        <v>29131</v>
      </c>
      <c r="BA116" s="14">
        <f t="shared" si="271"/>
        <v>29131</v>
      </c>
      <c r="BB116" s="14">
        <f t="shared" si="271"/>
        <v>29131</v>
      </c>
      <c r="BC116" s="14">
        <f t="shared" si="271"/>
        <v>29131</v>
      </c>
      <c r="BD116" s="14">
        <f>INDEX(属性投放!$DL$6:$DL$85,(卡牌属性!AG116-2)*20+卡牌属性!AN116)</f>
        <v>110</v>
      </c>
      <c r="BE116" s="14">
        <f t="shared" si="272"/>
        <v>110</v>
      </c>
      <c r="BF116" s="14">
        <f t="shared" si="272"/>
        <v>110</v>
      </c>
      <c r="BG116" s="14">
        <f t="shared" si="272"/>
        <v>110</v>
      </c>
      <c r="BH116" s="14">
        <f t="shared" si="272"/>
        <v>110</v>
      </c>
      <c r="BI116" s="14">
        <f>INDEX(属性投放!$DM$6:$DM$85,(卡牌属性!AG116-2)*20+卡牌属性!AN116)</f>
        <v>55</v>
      </c>
      <c r="BJ116" s="14">
        <f t="shared" si="273"/>
        <v>55</v>
      </c>
      <c r="BK116" s="14">
        <f t="shared" si="273"/>
        <v>55</v>
      </c>
      <c r="BL116" s="14">
        <f t="shared" si="273"/>
        <v>55</v>
      </c>
      <c r="BM116" s="14">
        <f t="shared" si="273"/>
        <v>55</v>
      </c>
      <c r="BN116" s="14">
        <f>INDEX(属性投放!$DN$6:$DN$85,(卡牌属性!AG116-2)*20+卡牌属性!AN116)</f>
        <v>988</v>
      </c>
      <c r="BO116" s="14">
        <f t="shared" si="274"/>
        <v>988</v>
      </c>
      <c r="BP116" s="14">
        <f t="shared" si="274"/>
        <v>988</v>
      </c>
      <c r="BQ116" s="14">
        <f t="shared" si="274"/>
        <v>988</v>
      </c>
      <c r="BR116" s="14">
        <f t="shared" si="274"/>
        <v>988</v>
      </c>
      <c r="BW116" s="13">
        <v>112</v>
      </c>
      <c r="BX116" s="13">
        <f t="shared" si="173"/>
        <v>6</v>
      </c>
      <c r="BY116" s="14">
        <f t="shared" si="174"/>
        <v>5</v>
      </c>
      <c r="BZ116" s="14">
        <f t="shared" si="189"/>
        <v>1102006</v>
      </c>
      <c r="CA116" s="14" t="str">
        <f t="shared" si="190"/>
        <v>项羽12突</v>
      </c>
      <c r="CB116" s="25" t="s">
        <v>142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INDEX(属性投放!$AZ$6:$AZ$85,(BY116-2)*20+CD116)</f>
        <v>6709</v>
      </c>
      <c r="CG116" s="14" t="s">
        <v>22</v>
      </c>
      <c r="CH116" s="14">
        <f>INDEX(属性投放!$BA$6:$BA$85,(BY116-2)*20+CD116)</f>
        <v>3272</v>
      </c>
      <c r="CI116" s="14" t="s">
        <v>510</v>
      </c>
      <c r="CJ116" s="14">
        <f>INDEX(属性投放!$BB$6:$BB$85,(BY116-2)*20+CD116)</f>
        <v>51582</v>
      </c>
      <c r="CK116" s="14" t="s">
        <v>21</v>
      </c>
      <c r="CL116" s="14">
        <f>INDEX(属性投放!$BC$6:$BC$85,(BY116-2)*20+CD116)</f>
        <v>40</v>
      </c>
      <c r="CM116" s="14" t="s">
        <v>22</v>
      </c>
      <c r="CN116" s="14">
        <f>INDEX(属性投放!$BD$6:$BD$85,(BY116-2)*20+CD116)</f>
        <v>20</v>
      </c>
      <c r="CO116" s="14" t="s">
        <v>510</v>
      </c>
      <c r="CP116" s="14">
        <f>INDEX(属性投放!$BE$6:$BE$85,(BY116-2)*20+CD116)</f>
        <v>360</v>
      </c>
      <c r="CS116" s="13">
        <v>112</v>
      </c>
      <c r="CT116" s="13">
        <f t="shared" si="191"/>
        <v>3</v>
      </c>
      <c r="CU116" s="13">
        <f t="shared" si="192"/>
        <v>8</v>
      </c>
      <c r="CV116" s="14">
        <f t="shared" si="193"/>
        <v>4</v>
      </c>
      <c r="CW116" s="14">
        <f t="shared" si="194"/>
        <v>1102003</v>
      </c>
      <c r="CX116" s="14" t="str">
        <f>INDEX($O$6:$O$50,CT116)&amp;"-"&amp;INDEX(属性投放!$AB$7:$AB$50,CZ116)&amp;"-魂火-"&amp;DB116</f>
        <v>典韦-众合+1-魂火-1</v>
      </c>
      <c r="CY116" s="25" t="s">
        <v>142</v>
      </c>
      <c r="CZ116" s="14">
        <f>INDEX(属性投放!$AM$7:$AM$58,CU116)</f>
        <v>5</v>
      </c>
      <c r="DA116" s="14" t="s">
        <v>537</v>
      </c>
      <c r="DB116" s="14">
        <f>INDEX(属性投放!$AN$7:$AN$58,CU116)</f>
        <v>1</v>
      </c>
      <c r="DC116" s="14">
        <f t="shared" si="176"/>
        <v>8</v>
      </c>
      <c r="DD116" s="14">
        <f>INDEX(属性投放!$AO$7:$AO$58,DC116)</f>
        <v>38</v>
      </c>
      <c r="DE116" s="14" t="s">
        <v>538</v>
      </c>
      <c r="DF116" s="14">
        <f>INDEX(属性投放!$BK$6:$BK$85,(CV116-2)*20+CZ116)</f>
        <v>55</v>
      </c>
      <c r="DG116" s="14">
        <f>SUMIFS(DF$5:DF116,$CT$5:$CT116,"="&amp;$CT116)</f>
        <v>300</v>
      </c>
      <c r="DH116" s="14" t="s">
        <v>539</v>
      </c>
      <c r="DI116" s="14">
        <f>INDEX(属性投放!$BL$6:$BL$85,(CV116-2)*20+CZ116)</f>
        <v>28</v>
      </c>
      <c r="DJ116" s="14">
        <f>SUMIFS(DI$5:DI116,$CT$5:$CT116,"="&amp;$CT116)</f>
        <v>153</v>
      </c>
      <c r="DK116" s="14" t="s">
        <v>540</v>
      </c>
      <c r="DL116" s="14">
        <f>INDEX(属性投放!$BM$6:$BM$85,(CV116-2)*20+CZ116)</f>
        <v>385</v>
      </c>
      <c r="DM116" s="14">
        <f>SUMIFS(DL$5:DL116,$CT$5:$CT116,"="&amp;$CT116)</f>
        <v>1945</v>
      </c>
      <c r="DR116" s="14">
        <f t="shared" si="177"/>
        <v>1102006</v>
      </c>
      <c r="DS116" s="14" t="str">
        <f t="shared" si="178"/>
        <v>项羽12突</v>
      </c>
      <c r="DT116" s="14">
        <f t="shared" si="195"/>
        <v>8</v>
      </c>
      <c r="DU116" s="14">
        <f t="shared" si="196"/>
        <v>9</v>
      </c>
      <c r="DV116" s="14">
        <f t="shared" si="197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INDEX(属性投放!$AX$6:$AX$85,(卡牌属性!DW116-2)*20+卡牌属性!DX116)</f>
        <v>7</v>
      </c>
      <c r="EA116" s="14">
        <f>INDEX(属性投放!BQ$6:BQ$85,卡牌属性!$DY116)</f>
        <v>425</v>
      </c>
      <c r="EB116" s="14">
        <f>INDEX(属性投放!BR$6:BR$85,卡牌属性!$DY116)</f>
        <v>213</v>
      </c>
      <c r="EC116" s="14">
        <f>INDEX(属性投放!BS$6:BS$85,卡牌属性!$DY116)</f>
        <v>3825</v>
      </c>
      <c r="ED116" s="14">
        <f t="shared" si="275"/>
        <v>3895</v>
      </c>
      <c r="EE116" s="14">
        <f t="shared" si="276"/>
        <v>4190</v>
      </c>
      <c r="EF116" s="14">
        <f t="shared" si="277"/>
        <v>4800</v>
      </c>
      <c r="EG116" s="14">
        <f t="shared" si="278"/>
        <v>4800</v>
      </c>
      <c r="EH116" s="14">
        <f t="shared" si="279"/>
        <v>5745</v>
      </c>
      <c r="EI116" s="14">
        <f t="shared" si="280"/>
        <v>2060</v>
      </c>
      <c r="EJ116" s="14">
        <f t="shared" si="281"/>
        <v>2387</v>
      </c>
      <c r="EK116" s="14">
        <f t="shared" si="282"/>
        <v>2387</v>
      </c>
      <c r="EL116" s="14">
        <f t="shared" si="283"/>
        <v>2884</v>
      </c>
      <c r="EM116" s="14">
        <f t="shared" si="284"/>
        <v>3566</v>
      </c>
      <c r="EN116" s="14">
        <f t="shared" si="285"/>
        <v>29167</v>
      </c>
      <c r="EO116" s="14">
        <f t="shared" si="286"/>
        <v>31200</v>
      </c>
      <c r="EP116" s="14">
        <f t="shared" si="287"/>
        <v>31200</v>
      </c>
      <c r="EQ116" s="14">
        <f t="shared" si="288"/>
        <v>35780</v>
      </c>
      <c r="ER116" s="14">
        <f t="shared" si="289"/>
        <v>43355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315</v>
      </c>
      <c r="FD116" s="14">
        <f>INDEX(属性偏向!$U$4:$U$243,(卡牌属性!$DV116-1+FD$3)*20+卡牌属性!$DX116)</f>
        <v>360</v>
      </c>
      <c r="FE116" s="14">
        <f>INDEX(属性偏向!$U$4:$U$243,(卡牌属性!$DV116-1+FE$3)*20+卡牌属性!$DX116)</f>
        <v>360</v>
      </c>
      <c r="FF116" s="14">
        <f>INDEX(属性偏向!$U$4:$U$243,(卡牌属性!$DV116-1+FF$3)*20+卡牌属性!$DX116)</f>
        <v>450</v>
      </c>
      <c r="FG116" s="14">
        <f>INDEX(属性偏向!$U$4:$U$243,(卡牌属性!$DV116-1+FG$3)*20+卡牌属性!$DX116)</f>
        <v>675</v>
      </c>
      <c r="FH116" s="14">
        <f>INDEX(属性投放!$BQ$6:$BQ$85,(卡牌属性!$DW116-2)*20+卡牌属性!$DX116)</f>
        <v>425</v>
      </c>
      <c r="FI116" s="14">
        <f>INDEX(属性投放!$BQ$6:$BQ$85,(卡牌属性!$DW116-2)*20+卡牌属性!$DX116)</f>
        <v>425</v>
      </c>
      <c r="FJ116" s="14">
        <f>INDEX(属性投放!$BQ$6:$BQ$85,(卡牌属性!$DW116-2)*20+卡牌属性!$DX116)</f>
        <v>425</v>
      </c>
      <c r="FK116" s="14">
        <f>INDEX(属性投放!$BQ$6:$BQ$85,(卡牌属性!$DW116-2)*20+卡牌属性!$DX116)</f>
        <v>425</v>
      </c>
      <c r="FL116" s="14">
        <f>INDEX(属性投放!$BQ$6:$BQ$85,(卡牌属性!$DW116-2)*20+卡牌属性!$DX116)</f>
        <v>425</v>
      </c>
      <c r="FM116" s="14">
        <f>INDEX(属性投放!$BR$6:$BR$85,(卡牌属性!$DW116-2)*20+卡牌属性!$DX116)</f>
        <v>213</v>
      </c>
      <c r="FN116" s="14">
        <f>INDEX(属性投放!$BR$6:$BR$85,(卡牌属性!$DW116-2)*20+卡牌属性!$DX116)</f>
        <v>213</v>
      </c>
      <c r="FO116" s="14">
        <f>INDEX(属性投放!$BR$6:$BR$85,(卡牌属性!$DW116-2)*20+卡牌属性!$DX116)</f>
        <v>213</v>
      </c>
      <c r="FP116" s="14">
        <f>INDEX(属性投放!$BR$6:$BR$85,(卡牌属性!$DW116-2)*20+卡牌属性!$DX116)</f>
        <v>213</v>
      </c>
      <c r="FQ116" s="14">
        <f>INDEX(属性投放!$BR$6:$BR$85,(卡牌属性!$DW116-2)*20+卡牌属性!$DX116)</f>
        <v>213</v>
      </c>
      <c r="FR116" s="14">
        <f>INDEX(属性投放!$BS$6:$BS$85,(卡牌属性!$DW116-2)*20+卡牌属性!$DX116)</f>
        <v>3825</v>
      </c>
      <c r="FS116" s="14">
        <f>INDEX(属性投放!$BS$6:$BS$85,(卡牌属性!$DW116-2)*20+卡牌属性!$DX116)</f>
        <v>3825</v>
      </c>
      <c r="FT116" s="14">
        <f>INDEX(属性投放!$BS$6:$BS$85,(卡牌属性!$DW116-2)*20+卡牌属性!$DX116)</f>
        <v>3825</v>
      </c>
      <c r="FU116" s="14">
        <f>INDEX(属性投放!$BS$6:$BS$85,(卡牌属性!$DW116-2)*20+卡牌属性!$DX116)</f>
        <v>3825</v>
      </c>
      <c r="FV116" s="14">
        <f>INDEX(属性投放!$BS$6:$BS$85,(卡牌属性!$DW116-2)*20+卡牌属性!$DX116)</f>
        <v>3825</v>
      </c>
      <c r="FZ116" s="13">
        <v>112</v>
      </c>
      <c r="GA116" s="13">
        <f t="shared" si="291"/>
        <v>23</v>
      </c>
      <c r="GB116" s="14">
        <f t="shared" si="198"/>
        <v>1102023</v>
      </c>
      <c r="GC116" s="14" t="s">
        <v>1187</v>
      </c>
      <c r="GD116" s="14">
        <f t="shared" si="265"/>
        <v>2</v>
      </c>
      <c r="GE116" s="14" t="str">
        <f t="shared" si="266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90"/>
        <v>23</v>
      </c>
      <c r="GP116" s="14">
        <f t="shared" si="292"/>
        <v>1101043</v>
      </c>
      <c r="GQ116" s="14" t="s">
        <v>1187</v>
      </c>
      <c r="GR116" s="14">
        <f t="shared" si="293"/>
        <v>2</v>
      </c>
      <c r="GS116" s="14" t="str">
        <f t="shared" si="294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MATCH(HC116,属性投放!$AO$6:$AO$58,1)-1</f>
        <v>37</v>
      </c>
      <c r="HF116" s="13">
        <f>MATCH(HC116-1,属性投放!$AE$6:$AE$26,1)</f>
        <v>16</v>
      </c>
      <c r="HG116" s="13" t="str">
        <f>INDEX(属性投放!$AB$7:$AB$26,卡牌属性!HF116)</f>
        <v>大焦热</v>
      </c>
      <c r="HH116" s="14">
        <f t="shared" si="200"/>
        <v>6693</v>
      </c>
      <c r="HI116" s="14">
        <f t="shared" si="201"/>
        <v>2858</v>
      </c>
      <c r="HJ116" s="14">
        <f t="shared" si="202"/>
        <v>49884</v>
      </c>
      <c r="HK116" s="14">
        <f t="shared" si="203"/>
        <v>50</v>
      </c>
      <c r="HL116" s="14">
        <f t="shared" si="204"/>
        <v>18</v>
      </c>
      <c r="HM116" s="14">
        <f t="shared" si="205"/>
        <v>350</v>
      </c>
      <c r="HN116" s="14">
        <f>HH116+HK116*($HC116-INDEX(属性投放!$AE$6:$AE$26,卡牌属性!$HF116))</f>
        <v>6793</v>
      </c>
      <c r="HO116" s="14">
        <f>HI116+HL116*($HC116-INDEX(属性投放!$AE$6:$AE$26,卡牌属性!$HF116))</f>
        <v>2894</v>
      </c>
      <c r="HP116" s="14">
        <f>HJ116+HM116*($HC116-INDEX(属性投放!$AE$6:$AE$26,卡牌属性!$HF116))</f>
        <v>50584</v>
      </c>
      <c r="HQ116" s="14">
        <f t="shared" si="206"/>
        <v>6395</v>
      </c>
      <c r="HR116" s="14">
        <f t="shared" si="207"/>
        <v>3207</v>
      </c>
      <c r="HS116" s="14">
        <f t="shared" si="208"/>
        <v>59385</v>
      </c>
      <c r="HT116" s="14">
        <f>IF(COUNTIF(属性投放!$AO$7:$AO$58,"="&amp;卡牌属性!HC116)&gt;0,卡牌属性!HE116,0)</f>
        <v>0</v>
      </c>
      <c r="HU116" s="14">
        <f t="shared" si="209"/>
        <v>0</v>
      </c>
      <c r="HV116" s="14">
        <f t="shared" si="210"/>
        <v>0</v>
      </c>
      <c r="HW116" s="14">
        <f t="shared" si="211"/>
        <v>0</v>
      </c>
      <c r="HX116" s="14">
        <f>IF(COUNTIF(属性投放!$AE$6:$AE$26,"="&amp;卡牌属性!HC116)&gt;0,卡牌属性!HF116,0)</f>
        <v>0</v>
      </c>
      <c r="HY116" s="14">
        <f t="shared" si="212"/>
        <v>0</v>
      </c>
      <c r="HZ116" s="14">
        <f t="shared" si="213"/>
        <v>0</v>
      </c>
      <c r="IA116" s="14">
        <f t="shared" si="214"/>
        <v>0</v>
      </c>
      <c r="IB116" s="14">
        <f t="shared" si="215"/>
        <v>50</v>
      </c>
      <c r="IC116" s="14">
        <f t="shared" si="216"/>
        <v>18</v>
      </c>
      <c r="ID116" s="14">
        <f t="shared" si="217"/>
        <v>350</v>
      </c>
      <c r="IE116" s="14">
        <f t="shared" si="218"/>
        <v>13188</v>
      </c>
      <c r="IF116" s="14">
        <f t="shared" si="219"/>
        <v>6101</v>
      </c>
      <c r="IG116" s="14">
        <f t="shared" si="220"/>
        <v>109969</v>
      </c>
      <c r="IH116" s="14">
        <f t="shared" si="221"/>
        <v>1210</v>
      </c>
      <c r="II116" s="14">
        <f t="shared" si="222"/>
        <v>0</v>
      </c>
      <c r="IJ116" s="14">
        <f t="shared" si="223"/>
        <v>0</v>
      </c>
      <c r="IK116" s="14">
        <f t="shared" si="224"/>
        <v>363869</v>
      </c>
      <c r="IL116" s="17">
        <f t="shared" si="225"/>
        <v>3.3253725928837027E-3</v>
      </c>
      <c r="IM116" s="17">
        <f t="shared" si="226"/>
        <v>0</v>
      </c>
      <c r="IN116" s="17">
        <f t="shared" si="227"/>
        <v>0</v>
      </c>
      <c r="IO116" s="23">
        <f>SUM(IH$5:IH116)</f>
        <v>66584</v>
      </c>
      <c r="IP116" s="14">
        <f>SUM(II$5:II116)</f>
        <v>187475</v>
      </c>
      <c r="IQ116" s="14">
        <f>SUM(IJ$5:IJ116)</f>
        <v>82640</v>
      </c>
      <c r="IR116" s="17">
        <f t="shared" si="228"/>
        <v>0.18298893283022186</v>
      </c>
      <c r="IS116" s="17">
        <f t="shared" si="229"/>
        <v>0.51522663376105138</v>
      </c>
      <c r="IT116" s="17">
        <f t="shared" si="230"/>
        <v>0.22711470336851999</v>
      </c>
      <c r="IW116" s="13">
        <v>112</v>
      </c>
      <c r="IX116" s="14">
        <f>MATCH(IW116-1,属性投放!$T$6:$T$66,1)</f>
        <v>25</v>
      </c>
      <c r="IY116" s="14">
        <f>MATCH(IW116-1,属性投放!$AD$7:$AD$26,1)</f>
        <v>15</v>
      </c>
      <c r="IZ116" s="14" t="str">
        <f>INDEX(属性投放!$AB$7:$AB$26,IY116)</f>
        <v>焦热+2</v>
      </c>
      <c r="JA116" s="14">
        <f t="shared" si="231"/>
        <v>5338</v>
      </c>
      <c r="JB116" s="14">
        <f t="shared" si="232"/>
        <v>2622</v>
      </c>
      <c r="JC116" s="14">
        <f t="shared" si="233"/>
        <v>45161</v>
      </c>
      <c r="JD116" s="14">
        <f t="shared" si="234"/>
        <v>151</v>
      </c>
      <c r="JE116" s="14">
        <f t="shared" si="235"/>
        <v>76</v>
      </c>
      <c r="JF116" s="14">
        <f t="shared" si="236"/>
        <v>1510</v>
      </c>
      <c r="JG116" s="14">
        <f>INDEX(属性投放!$DC$6:$DC$85,卡牌属性!IY116)</f>
        <v>85</v>
      </c>
      <c r="JH116" s="14">
        <f t="shared" si="237"/>
        <v>9415</v>
      </c>
      <c r="JI116" s="14">
        <f t="shared" si="238"/>
        <v>4674</v>
      </c>
      <c r="JJ116" s="14">
        <f t="shared" si="239"/>
        <v>85931</v>
      </c>
      <c r="JK116" s="14">
        <f t="shared" si="240"/>
        <v>179746</v>
      </c>
    </row>
    <row r="117" spans="31:271" ht="16.5" x14ac:dyDescent="0.2">
      <c r="AE117" s="13">
        <v>113</v>
      </c>
      <c r="AF117" s="13">
        <f t="shared" si="188"/>
        <v>6</v>
      </c>
      <c r="AG117" s="13">
        <f t="shared" si="169"/>
        <v>4</v>
      </c>
      <c r="AH117" s="13"/>
      <c r="AI117" s="13"/>
      <c r="AJ117" s="14">
        <f t="shared" si="170"/>
        <v>1101006</v>
      </c>
      <c r="AK117" s="14" t="str">
        <f t="shared" si="171"/>
        <v>红莲·缇娜13突</v>
      </c>
      <c r="AL117" s="25" t="s">
        <v>142</v>
      </c>
      <c r="AM117" s="14">
        <v>1</v>
      </c>
      <c r="AN117" s="14">
        <f t="shared" si="172"/>
        <v>13</v>
      </c>
      <c r="AO117" s="14">
        <f>INDEX(属性投放!$DF$6:$DF$85,(卡牌属性!AG117-2)*20+卡牌属性!AN117)</f>
        <v>7039</v>
      </c>
      <c r="AP117" s="14">
        <f t="shared" si="269"/>
        <v>7039</v>
      </c>
      <c r="AQ117" s="14">
        <f t="shared" si="269"/>
        <v>7039</v>
      </c>
      <c r="AR117" s="14">
        <f t="shared" si="269"/>
        <v>7039</v>
      </c>
      <c r="AS117" s="14">
        <f t="shared" si="269"/>
        <v>7039</v>
      </c>
      <c r="AT117" s="14">
        <f>INDEX(属性投放!$DG$6:$DG$85,(卡牌属性!AG117-2)*20+卡牌属性!AN117)</f>
        <v>3449</v>
      </c>
      <c r="AU117" s="14">
        <f t="shared" si="270"/>
        <v>3449</v>
      </c>
      <c r="AV117" s="14">
        <f t="shared" si="270"/>
        <v>3449</v>
      </c>
      <c r="AW117" s="14">
        <f t="shared" si="270"/>
        <v>3449</v>
      </c>
      <c r="AX117" s="14">
        <f t="shared" si="270"/>
        <v>3449</v>
      </c>
      <c r="AY117" s="14">
        <f>INDEX(属性投放!$DH$6:$DH$85,(卡牌属性!AG117-2)*20+卡牌属性!AN117)</f>
        <v>56653</v>
      </c>
      <c r="AZ117" s="14">
        <f t="shared" si="271"/>
        <v>56653</v>
      </c>
      <c r="BA117" s="14">
        <f t="shared" si="271"/>
        <v>56653</v>
      </c>
      <c r="BB117" s="14">
        <f t="shared" si="271"/>
        <v>56653</v>
      </c>
      <c r="BC117" s="14">
        <f t="shared" si="271"/>
        <v>56653</v>
      </c>
      <c r="BD117" s="14">
        <f>INDEX(属性投放!$DL$6:$DL$85,(卡牌属性!AG117-2)*20+卡牌属性!AN117)</f>
        <v>203</v>
      </c>
      <c r="BE117" s="14">
        <f t="shared" si="272"/>
        <v>203</v>
      </c>
      <c r="BF117" s="14">
        <f t="shared" si="272"/>
        <v>203</v>
      </c>
      <c r="BG117" s="14">
        <f t="shared" si="272"/>
        <v>203</v>
      </c>
      <c r="BH117" s="14">
        <f t="shared" si="272"/>
        <v>203</v>
      </c>
      <c r="BI117" s="14">
        <f>INDEX(属性投放!$DM$6:$DM$85,(卡牌属性!AG117-2)*20+卡牌属性!AN117)</f>
        <v>101</v>
      </c>
      <c r="BJ117" s="14">
        <f t="shared" si="273"/>
        <v>101</v>
      </c>
      <c r="BK117" s="14">
        <f t="shared" si="273"/>
        <v>101</v>
      </c>
      <c r="BL117" s="14">
        <f t="shared" si="273"/>
        <v>101</v>
      </c>
      <c r="BM117" s="14">
        <f t="shared" si="273"/>
        <v>101</v>
      </c>
      <c r="BN117" s="14">
        <f>INDEX(属性投放!$DN$6:$DN$85,(卡牌属性!AG117-2)*20+卡牌属性!AN117)</f>
        <v>2027</v>
      </c>
      <c r="BO117" s="14">
        <f t="shared" si="274"/>
        <v>2027</v>
      </c>
      <c r="BP117" s="14">
        <f t="shared" si="274"/>
        <v>2027</v>
      </c>
      <c r="BQ117" s="14">
        <f t="shared" si="274"/>
        <v>2027</v>
      </c>
      <c r="BR117" s="14">
        <f t="shared" si="274"/>
        <v>2027</v>
      </c>
      <c r="BW117" s="13">
        <v>113</v>
      </c>
      <c r="BX117" s="13">
        <f t="shared" si="173"/>
        <v>6</v>
      </c>
      <c r="BY117" s="14">
        <f t="shared" si="174"/>
        <v>5</v>
      </c>
      <c r="BZ117" s="14">
        <f t="shared" si="189"/>
        <v>1102006</v>
      </c>
      <c r="CA117" s="14" t="str">
        <f t="shared" si="190"/>
        <v>项羽13突</v>
      </c>
      <c r="CB117" s="25" t="s">
        <v>142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INDEX(属性投放!$AZ$6:$AZ$85,(BY117-2)*20+CD117)</f>
        <v>8194</v>
      </c>
      <c r="CG117" s="14" t="s">
        <v>22</v>
      </c>
      <c r="CH117" s="14">
        <f>INDEX(属性投放!$BA$6:$BA$85,(BY117-2)*20+CD117)</f>
        <v>4015</v>
      </c>
      <c r="CI117" s="14" t="s">
        <v>510</v>
      </c>
      <c r="CJ117" s="14">
        <f>INDEX(属性投放!$BB$6:$BB$85,(BY117-2)*20+CD117)</f>
        <v>64947</v>
      </c>
      <c r="CK117" s="14" t="s">
        <v>21</v>
      </c>
      <c r="CL117" s="14">
        <f>INDEX(属性投放!$BC$6:$BC$85,(BY117-2)*20+CD117)</f>
        <v>50</v>
      </c>
      <c r="CM117" s="14" t="s">
        <v>22</v>
      </c>
      <c r="CN117" s="14">
        <f>INDEX(属性投放!$BD$6:$BD$85,(BY117-2)*20+CD117)</f>
        <v>25</v>
      </c>
      <c r="CO117" s="14" t="s">
        <v>510</v>
      </c>
      <c r="CP117" s="14">
        <f>INDEX(属性投放!$BE$6:$BE$85,(BY117-2)*20+CD117)</f>
        <v>500</v>
      </c>
      <c r="CS117" s="13">
        <v>113</v>
      </c>
      <c r="CT117" s="13">
        <f t="shared" si="191"/>
        <v>3</v>
      </c>
      <c r="CU117" s="13">
        <f t="shared" si="192"/>
        <v>9</v>
      </c>
      <c r="CV117" s="14">
        <f t="shared" si="193"/>
        <v>4</v>
      </c>
      <c r="CW117" s="14">
        <f t="shared" si="194"/>
        <v>1102003</v>
      </c>
      <c r="CX117" s="14" t="str">
        <f>INDEX($O$6:$O$50,CT117)&amp;"-"&amp;INDEX(属性投放!$AB$7:$AB$50,CZ117)&amp;"-魂火-"&amp;DB117</f>
        <v>典韦-众合+1-魂火-2</v>
      </c>
      <c r="CY117" s="25" t="s">
        <v>142</v>
      </c>
      <c r="CZ117" s="14">
        <f>INDEX(属性投放!$AM$7:$AM$58,CU117)</f>
        <v>5</v>
      </c>
      <c r="DA117" s="14" t="s">
        <v>537</v>
      </c>
      <c r="DB117" s="14">
        <f>INDEX(属性投放!$AN$7:$AN$58,CU117)</f>
        <v>2</v>
      </c>
      <c r="DC117" s="14">
        <f t="shared" si="176"/>
        <v>9</v>
      </c>
      <c r="DD117" s="14">
        <f>INDEX(属性投放!$AO$7:$AO$58,DC117)</f>
        <v>40</v>
      </c>
      <c r="DE117" s="14" t="s">
        <v>538</v>
      </c>
      <c r="DF117" s="14">
        <f>INDEX(属性投放!$BK$6:$BK$85,(CV117-2)*20+CZ117)</f>
        <v>55</v>
      </c>
      <c r="DG117" s="14">
        <f>SUMIFS(DF$5:DF117,$CT$5:$CT117,"="&amp;$CT117)</f>
        <v>355</v>
      </c>
      <c r="DH117" s="14" t="s">
        <v>539</v>
      </c>
      <c r="DI117" s="14">
        <f>INDEX(属性投放!$BL$6:$BL$85,(CV117-2)*20+CZ117)</f>
        <v>28</v>
      </c>
      <c r="DJ117" s="14">
        <f>SUMIFS(DI$5:DI117,$CT$5:$CT117,"="&amp;$CT117)</f>
        <v>181</v>
      </c>
      <c r="DK117" s="14" t="s">
        <v>540</v>
      </c>
      <c r="DL117" s="14">
        <f>INDEX(属性投放!$BM$6:$BM$85,(CV117-2)*20+CZ117)</f>
        <v>385</v>
      </c>
      <c r="DM117" s="14">
        <f>SUMIFS(DL$5:DL117,$CT$5:$CT117,"="&amp;$CT117)</f>
        <v>2330</v>
      </c>
      <c r="DR117" s="14">
        <f t="shared" si="177"/>
        <v>1102006</v>
      </c>
      <c r="DS117" s="14" t="str">
        <f t="shared" si="178"/>
        <v>项羽13突</v>
      </c>
      <c r="DT117" s="14">
        <f t="shared" si="195"/>
        <v>8</v>
      </c>
      <c r="DU117" s="14">
        <f t="shared" si="196"/>
        <v>9</v>
      </c>
      <c r="DV117" s="14">
        <f t="shared" si="197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INDEX(属性投放!$AX$6:$AX$85,(卡牌属性!DW117-2)*20+卡牌属性!DX117)</f>
        <v>8</v>
      </c>
      <c r="EA117" s="14">
        <f>INDEX(属性投放!BQ$6:BQ$85,卡牌属性!$DY117)</f>
        <v>475</v>
      </c>
      <c r="EB117" s="14">
        <f>INDEX(属性投放!BR$6:BR$85,卡牌属性!$DY117)</f>
        <v>238</v>
      </c>
      <c r="EC117" s="14">
        <f>INDEX(属性投放!BS$6:BS$85,卡牌属性!$DY117)</f>
        <v>4750</v>
      </c>
      <c r="ED117" s="14">
        <f t="shared" si="275"/>
        <v>4565</v>
      </c>
      <c r="EE117" s="14">
        <f t="shared" si="276"/>
        <v>4895</v>
      </c>
      <c r="EF117" s="14">
        <f t="shared" si="277"/>
        <v>5575</v>
      </c>
      <c r="EG117" s="14">
        <f t="shared" si="278"/>
        <v>5575</v>
      </c>
      <c r="EH117" s="14">
        <f t="shared" si="279"/>
        <v>6695</v>
      </c>
      <c r="EI117" s="14">
        <f t="shared" si="280"/>
        <v>2413</v>
      </c>
      <c r="EJ117" s="14">
        <f t="shared" si="281"/>
        <v>2775</v>
      </c>
      <c r="EK117" s="14">
        <f t="shared" si="282"/>
        <v>2775</v>
      </c>
      <c r="EL117" s="14">
        <f t="shared" si="283"/>
        <v>3363</v>
      </c>
      <c r="EM117" s="14">
        <f t="shared" si="284"/>
        <v>4129</v>
      </c>
      <c r="EN117" s="14">
        <f t="shared" si="285"/>
        <v>35197</v>
      </c>
      <c r="EO117" s="14">
        <f t="shared" si="286"/>
        <v>37545</v>
      </c>
      <c r="EP117" s="14">
        <f t="shared" si="287"/>
        <v>37545</v>
      </c>
      <c r="EQ117" s="14">
        <f t="shared" si="288"/>
        <v>42755</v>
      </c>
      <c r="ER117" s="14">
        <f t="shared" si="289"/>
        <v>51905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INDEX(属性投放!$BQ$6:$BQ$85,(卡牌属性!$DW117-2)*20+卡牌属性!$DX117)</f>
        <v>475</v>
      </c>
      <c r="FI117" s="14">
        <f>INDEX(属性投放!$BQ$6:$BQ$85,(卡牌属性!$DW117-2)*20+卡牌属性!$DX117)</f>
        <v>475</v>
      </c>
      <c r="FJ117" s="14">
        <f>INDEX(属性投放!$BQ$6:$BQ$85,(卡牌属性!$DW117-2)*20+卡牌属性!$DX117)</f>
        <v>475</v>
      </c>
      <c r="FK117" s="14">
        <f>INDEX(属性投放!$BQ$6:$BQ$85,(卡牌属性!$DW117-2)*20+卡牌属性!$DX117)</f>
        <v>475</v>
      </c>
      <c r="FL117" s="14">
        <f>INDEX(属性投放!$BQ$6:$BQ$85,(卡牌属性!$DW117-2)*20+卡牌属性!$DX117)</f>
        <v>475</v>
      </c>
      <c r="FM117" s="14">
        <f>INDEX(属性投放!$BR$6:$BR$85,(卡牌属性!$DW117-2)*20+卡牌属性!$DX117)</f>
        <v>238</v>
      </c>
      <c r="FN117" s="14">
        <f>INDEX(属性投放!$BR$6:$BR$85,(卡牌属性!$DW117-2)*20+卡牌属性!$DX117)</f>
        <v>238</v>
      </c>
      <c r="FO117" s="14">
        <f>INDEX(属性投放!$BR$6:$BR$85,(卡牌属性!$DW117-2)*20+卡牌属性!$DX117)</f>
        <v>238</v>
      </c>
      <c r="FP117" s="14">
        <f>INDEX(属性投放!$BR$6:$BR$85,(卡牌属性!$DW117-2)*20+卡牌属性!$DX117)</f>
        <v>238</v>
      </c>
      <c r="FQ117" s="14">
        <f>INDEX(属性投放!$BR$6:$BR$85,(卡牌属性!$DW117-2)*20+卡牌属性!$DX117)</f>
        <v>238</v>
      </c>
      <c r="FR117" s="14">
        <f>INDEX(属性投放!$BS$6:$BS$85,(卡牌属性!$DW117-2)*20+卡牌属性!$DX117)</f>
        <v>4750</v>
      </c>
      <c r="FS117" s="14">
        <f>INDEX(属性投放!$BS$6:$BS$85,(卡牌属性!$DW117-2)*20+卡牌属性!$DX117)</f>
        <v>4750</v>
      </c>
      <c r="FT117" s="14">
        <f>INDEX(属性投放!$BS$6:$BS$85,(卡牌属性!$DW117-2)*20+卡牌属性!$DX117)</f>
        <v>4750</v>
      </c>
      <c r="FU117" s="14">
        <f>INDEX(属性投放!$BS$6:$BS$85,(卡牌属性!$DW117-2)*20+卡牌属性!$DX117)</f>
        <v>4750</v>
      </c>
      <c r="FV117" s="14">
        <f>INDEX(属性投放!$BS$6:$BS$85,(卡牌属性!$DW117-2)*20+卡牌属性!$DX117)</f>
        <v>4750</v>
      </c>
      <c r="FZ117" s="13">
        <v>113</v>
      </c>
      <c r="GA117" s="13">
        <f t="shared" si="291"/>
        <v>23</v>
      </c>
      <c r="GB117" s="14">
        <f t="shared" si="198"/>
        <v>1102023</v>
      </c>
      <c r="GC117" s="14" t="s">
        <v>1187</v>
      </c>
      <c r="GD117" s="14">
        <f t="shared" si="265"/>
        <v>3</v>
      </c>
      <c r="GE117" s="14" t="str">
        <f t="shared" si="266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90"/>
        <v>23</v>
      </c>
      <c r="GP117" s="14">
        <f t="shared" si="292"/>
        <v>1101043</v>
      </c>
      <c r="GQ117" s="14" t="s">
        <v>1187</v>
      </c>
      <c r="GR117" s="14">
        <f t="shared" si="293"/>
        <v>3</v>
      </c>
      <c r="GS117" s="14" t="str">
        <f t="shared" si="294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MATCH(HC117,属性投放!$AO$6:$AO$58,1)-1</f>
        <v>38</v>
      </c>
      <c r="HF117" s="13">
        <f>MATCH(HC117-1,属性投放!$AE$6:$AE$26,1)</f>
        <v>16</v>
      </c>
      <c r="HG117" s="13" t="str">
        <f>INDEX(属性投放!$AB$7:$AB$26,卡牌属性!HF117)</f>
        <v>大焦热</v>
      </c>
      <c r="HH117" s="14">
        <f t="shared" si="200"/>
        <v>6693</v>
      </c>
      <c r="HI117" s="14">
        <f t="shared" si="201"/>
        <v>2858</v>
      </c>
      <c r="HJ117" s="14">
        <f t="shared" si="202"/>
        <v>49884</v>
      </c>
      <c r="HK117" s="14">
        <f t="shared" si="203"/>
        <v>50</v>
      </c>
      <c r="HL117" s="14">
        <f t="shared" si="204"/>
        <v>18</v>
      </c>
      <c r="HM117" s="14">
        <f t="shared" si="205"/>
        <v>350</v>
      </c>
      <c r="HN117" s="14">
        <f>HH117+HK117*($HC117-INDEX(属性投放!$AE$6:$AE$26,卡牌属性!$HF117))</f>
        <v>6843</v>
      </c>
      <c r="HO117" s="14">
        <f>HI117+HL117*($HC117-INDEX(属性投放!$AE$6:$AE$26,卡牌属性!$HF117))</f>
        <v>2912</v>
      </c>
      <c r="HP117" s="14">
        <f>HJ117+HM117*($HC117-INDEX(属性投放!$AE$6:$AE$26,卡牌属性!$HF117))</f>
        <v>50934</v>
      </c>
      <c r="HQ117" s="14">
        <f t="shared" si="206"/>
        <v>6915</v>
      </c>
      <c r="HR117" s="14">
        <f t="shared" si="207"/>
        <v>3467</v>
      </c>
      <c r="HS117" s="14">
        <f t="shared" si="208"/>
        <v>64585</v>
      </c>
      <c r="HT117" s="14">
        <f>IF(COUNTIF(属性投放!$AO$7:$AO$58,"="&amp;卡牌属性!HC117)&gt;0,卡牌属性!HE117,0)</f>
        <v>38</v>
      </c>
      <c r="HU117" s="14">
        <f t="shared" si="209"/>
        <v>520</v>
      </c>
      <c r="HV117" s="14">
        <f t="shared" si="210"/>
        <v>260</v>
      </c>
      <c r="HW117" s="14">
        <f t="shared" si="211"/>
        <v>5200</v>
      </c>
      <c r="HX117" s="14">
        <f>IF(COUNTIF(属性投放!$AE$6:$AE$26,"="&amp;卡牌属性!HC117)&gt;0,卡牌属性!HF117,0)</f>
        <v>0</v>
      </c>
      <c r="HY117" s="14">
        <f t="shared" si="212"/>
        <v>0</v>
      </c>
      <c r="HZ117" s="14">
        <f t="shared" si="213"/>
        <v>0</v>
      </c>
      <c r="IA117" s="14">
        <f t="shared" si="214"/>
        <v>0</v>
      </c>
      <c r="IB117" s="14">
        <f t="shared" si="215"/>
        <v>50</v>
      </c>
      <c r="IC117" s="14">
        <f t="shared" si="216"/>
        <v>18</v>
      </c>
      <c r="ID117" s="14">
        <f t="shared" si="217"/>
        <v>350</v>
      </c>
      <c r="IE117" s="14">
        <f t="shared" si="218"/>
        <v>13758</v>
      </c>
      <c r="IF117" s="14">
        <f t="shared" si="219"/>
        <v>6379</v>
      </c>
      <c r="IG117" s="14">
        <f t="shared" si="220"/>
        <v>115519</v>
      </c>
      <c r="IH117" s="14">
        <f t="shared" si="221"/>
        <v>1210</v>
      </c>
      <c r="II117" s="14">
        <f t="shared" si="222"/>
        <v>15600</v>
      </c>
      <c r="IJ117" s="14">
        <f t="shared" si="223"/>
        <v>0</v>
      </c>
      <c r="IK117" s="14">
        <f t="shared" si="224"/>
        <v>380679</v>
      </c>
      <c r="IL117" s="17">
        <f t="shared" si="225"/>
        <v>3.1785309933040698E-3</v>
      </c>
      <c r="IM117" s="17">
        <f t="shared" si="226"/>
        <v>4.0979407847556604E-2</v>
      </c>
      <c r="IN117" s="17">
        <f t="shared" si="227"/>
        <v>0</v>
      </c>
      <c r="IO117" s="23">
        <f>SUM(IH$5:IH117)</f>
        <v>67794</v>
      </c>
      <c r="IP117" s="14">
        <f>SUM(II$5:II117)</f>
        <v>203075</v>
      </c>
      <c r="IQ117" s="14">
        <f>SUM(IJ$5:IJ117)</f>
        <v>82640</v>
      </c>
      <c r="IR117" s="17">
        <f t="shared" si="228"/>
        <v>0.17808704971905465</v>
      </c>
      <c r="IS117" s="17">
        <f t="shared" si="229"/>
        <v>0.53345469542580493</v>
      </c>
      <c r="IT117" s="17">
        <f t="shared" si="230"/>
        <v>0.21708578618731267</v>
      </c>
      <c r="IW117" s="13">
        <v>113</v>
      </c>
      <c r="IX117" s="14">
        <f>MATCH(IW117-1,属性投放!$T$6:$T$66,1)</f>
        <v>26</v>
      </c>
      <c r="IY117" s="14">
        <f>MATCH(IW117-1,属性投放!$AD$7:$AD$26,1)</f>
        <v>15</v>
      </c>
      <c r="IZ117" s="14" t="str">
        <f>INDEX(属性投放!$AB$7:$AB$26,IY117)</f>
        <v>焦热+2</v>
      </c>
      <c r="JA117" s="14">
        <f t="shared" si="231"/>
        <v>5338</v>
      </c>
      <c r="JB117" s="14">
        <f t="shared" si="232"/>
        <v>2622</v>
      </c>
      <c r="JC117" s="14">
        <f t="shared" si="233"/>
        <v>45161</v>
      </c>
      <c r="JD117" s="14">
        <f t="shared" si="234"/>
        <v>151</v>
      </c>
      <c r="JE117" s="14">
        <f t="shared" si="235"/>
        <v>76</v>
      </c>
      <c r="JF117" s="14">
        <f t="shared" si="236"/>
        <v>1510</v>
      </c>
      <c r="JG117" s="14">
        <f>INDEX(属性投放!$DC$6:$DC$85,卡牌属性!IY117)</f>
        <v>85</v>
      </c>
      <c r="JH117" s="14">
        <f t="shared" si="237"/>
        <v>9566</v>
      </c>
      <c r="JI117" s="14">
        <f t="shared" si="238"/>
        <v>4750</v>
      </c>
      <c r="JJ117" s="14">
        <f t="shared" si="239"/>
        <v>87441</v>
      </c>
      <c r="JK117" s="14">
        <f t="shared" si="240"/>
        <v>182771</v>
      </c>
    </row>
    <row r="118" spans="31:271" ht="16.5" x14ac:dyDescent="0.2">
      <c r="AE118" s="13">
        <v>114</v>
      </c>
      <c r="AF118" s="13">
        <f t="shared" si="188"/>
        <v>6</v>
      </c>
      <c r="AG118" s="13">
        <f t="shared" si="169"/>
        <v>4</v>
      </c>
      <c r="AH118" s="13"/>
      <c r="AI118" s="13"/>
      <c r="AJ118" s="14">
        <f t="shared" si="170"/>
        <v>1101006</v>
      </c>
      <c r="AK118" s="14" t="str">
        <f t="shared" si="171"/>
        <v>红莲·缇娜14突</v>
      </c>
      <c r="AL118" s="25" t="s">
        <v>142</v>
      </c>
      <c r="AM118" s="14">
        <v>1</v>
      </c>
      <c r="AN118" s="14">
        <f t="shared" si="172"/>
        <v>14</v>
      </c>
      <c r="AO118" s="14">
        <f>INDEX(属性投放!$DF$6:$DF$85,(卡牌属性!AG118-2)*20+卡牌属性!AN118)</f>
        <v>7618</v>
      </c>
      <c r="AP118" s="14">
        <f t="shared" si="269"/>
        <v>7618</v>
      </c>
      <c r="AQ118" s="14">
        <f t="shared" si="269"/>
        <v>7618</v>
      </c>
      <c r="AR118" s="14">
        <f t="shared" si="269"/>
        <v>7618</v>
      </c>
      <c r="AS118" s="14">
        <f t="shared" si="269"/>
        <v>7618</v>
      </c>
      <c r="AT118" s="14">
        <f>INDEX(属性投放!$DG$6:$DG$85,(卡牌属性!AG118-2)*20+卡牌属性!AN118)</f>
        <v>3739</v>
      </c>
      <c r="AU118" s="14">
        <f t="shared" si="270"/>
        <v>3739</v>
      </c>
      <c r="AV118" s="14">
        <f t="shared" si="270"/>
        <v>3739</v>
      </c>
      <c r="AW118" s="14">
        <f t="shared" si="270"/>
        <v>3739</v>
      </c>
      <c r="AX118" s="14">
        <f t="shared" si="270"/>
        <v>3739</v>
      </c>
      <c r="AY118" s="14">
        <f>INDEX(属性投放!$DH$6:$DH$85,(卡牌属性!AG118-2)*20+卡牌属性!AN118)</f>
        <v>62443</v>
      </c>
      <c r="AZ118" s="14">
        <f t="shared" si="271"/>
        <v>62443</v>
      </c>
      <c r="BA118" s="14">
        <f t="shared" si="271"/>
        <v>62443</v>
      </c>
      <c r="BB118" s="14">
        <f t="shared" si="271"/>
        <v>62443</v>
      </c>
      <c r="BC118" s="14">
        <f t="shared" si="271"/>
        <v>62443</v>
      </c>
      <c r="BD118" s="14">
        <f>INDEX(属性投放!$DL$6:$DL$85,(卡牌属性!AG118-2)*20+卡牌属性!AN118)</f>
        <v>203</v>
      </c>
      <c r="BE118" s="14">
        <f t="shared" si="272"/>
        <v>203</v>
      </c>
      <c r="BF118" s="14">
        <f t="shared" si="272"/>
        <v>203</v>
      </c>
      <c r="BG118" s="14">
        <f t="shared" si="272"/>
        <v>203</v>
      </c>
      <c r="BH118" s="14">
        <f t="shared" si="272"/>
        <v>203</v>
      </c>
      <c r="BI118" s="14">
        <f>INDEX(属性投放!$DM$6:$DM$85,(卡牌属性!AG118-2)*20+卡牌属性!AN118)</f>
        <v>101</v>
      </c>
      <c r="BJ118" s="14">
        <f t="shared" si="273"/>
        <v>101</v>
      </c>
      <c r="BK118" s="14">
        <f t="shared" si="273"/>
        <v>101</v>
      </c>
      <c r="BL118" s="14">
        <f t="shared" si="273"/>
        <v>101</v>
      </c>
      <c r="BM118" s="14">
        <f t="shared" si="273"/>
        <v>101</v>
      </c>
      <c r="BN118" s="14">
        <f>INDEX(属性投放!$DN$6:$DN$85,(卡牌属性!AG118-2)*20+卡牌属性!AN118)</f>
        <v>2027</v>
      </c>
      <c r="BO118" s="14">
        <f t="shared" si="274"/>
        <v>2027</v>
      </c>
      <c r="BP118" s="14">
        <f t="shared" si="274"/>
        <v>2027</v>
      </c>
      <c r="BQ118" s="14">
        <f t="shared" si="274"/>
        <v>2027</v>
      </c>
      <c r="BR118" s="14">
        <f t="shared" si="274"/>
        <v>2027</v>
      </c>
      <c r="BW118" s="13">
        <v>114</v>
      </c>
      <c r="BX118" s="13">
        <f t="shared" si="173"/>
        <v>6</v>
      </c>
      <c r="BY118" s="14">
        <f t="shared" si="174"/>
        <v>5</v>
      </c>
      <c r="BZ118" s="14">
        <f t="shared" si="189"/>
        <v>1102006</v>
      </c>
      <c r="CA118" s="14" t="str">
        <f t="shared" si="190"/>
        <v>项羽14突</v>
      </c>
      <c r="CB118" s="25" t="s">
        <v>142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INDEX(属性投放!$AZ$6:$AZ$85,(BY118-2)*20+CD118)</f>
        <v>10014</v>
      </c>
      <c r="CG118" s="14" t="s">
        <v>22</v>
      </c>
      <c r="CH118" s="14">
        <f>INDEX(属性投放!$BA$6:$BA$85,(BY118-2)*20+CD118)</f>
        <v>4927</v>
      </c>
      <c r="CI118" s="14" t="s">
        <v>510</v>
      </c>
      <c r="CJ118" s="14">
        <f>INDEX(属性投放!$BB$6:$BB$85,(BY118-2)*20+CD118)</f>
        <v>83147</v>
      </c>
      <c r="CK118" s="14" t="s">
        <v>21</v>
      </c>
      <c r="CL118" s="14">
        <f>INDEX(属性投放!$BC$6:$BC$85,(BY118-2)*20+CD118)</f>
        <v>50</v>
      </c>
      <c r="CM118" s="14" t="s">
        <v>22</v>
      </c>
      <c r="CN118" s="14">
        <f>INDEX(属性投放!$BD$6:$BD$85,(BY118-2)*20+CD118)</f>
        <v>25</v>
      </c>
      <c r="CO118" s="14" t="s">
        <v>510</v>
      </c>
      <c r="CP118" s="14">
        <f>INDEX(属性投放!$BE$6:$BE$85,(BY118-2)*20+CD118)</f>
        <v>500</v>
      </c>
      <c r="CS118" s="13">
        <v>114</v>
      </c>
      <c r="CT118" s="13">
        <f t="shared" si="191"/>
        <v>3</v>
      </c>
      <c r="CU118" s="13">
        <f t="shared" si="192"/>
        <v>10</v>
      </c>
      <c r="CV118" s="14">
        <f t="shared" si="193"/>
        <v>4</v>
      </c>
      <c r="CW118" s="14">
        <f t="shared" si="194"/>
        <v>1102003</v>
      </c>
      <c r="CX118" s="14" t="str">
        <f>INDEX($O$6:$O$50,CT118)&amp;"-"&amp;INDEX(属性投放!$AB$7:$AB$50,CZ118)&amp;"-魂火-"&amp;DB118</f>
        <v>典韦-众合+2-魂火-1</v>
      </c>
      <c r="CY118" s="25" t="s">
        <v>142</v>
      </c>
      <c r="CZ118" s="14">
        <f>INDEX(属性投放!$AM$7:$AM$58,CU118)</f>
        <v>6</v>
      </c>
      <c r="DA118" s="14" t="s">
        <v>537</v>
      </c>
      <c r="DB118" s="14">
        <f>INDEX(属性投放!$AN$7:$AN$58,CU118)</f>
        <v>1</v>
      </c>
      <c r="DC118" s="14">
        <f t="shared" si="176"/>
        <v>10</v>
      </c>
      <c r="DD118" s="14">
        <f>INDEX(属性投放!$AO$7:$AO$58,DC118)</f>
        <v>43</v>
      </c>
      <c r="DE118" s="14" t="s">
        <v>538</v>
      </c>
      <c r="DF118" s="14">
        <f>INDEX(属性投放!$BK$6:$BK$85,(CV118-2)*20+CZ118)</f>
        <v>60</v>
      </c>
      <c r="DG118" s="14">
        <f>SUMIFS(DF$5:DF118,$CT$5:$CT118,"="&amp;$CT118)</f>
        <v>415</v>
      </c>
      <c r="DH118" s="14" t="s">
        <v>539</v>
      </c>
      <c r="DI118" s="14">
        <f>INDEX(属性投放!$BL$6:$BL$85,(CV118-2)*20+CZ118)</f>
        <v>30</v>
      </c>
      <c r="DJ118" s="14">
        <f>SUMIFS(DI$5:DI118,$CT$5:$CT118,"="&amp;$CT118)</f>
        <v>211</v>
      </c>
      <c r="DK118" s="14" t="s">
        <v>540</v>
      </c>
      <c r="DL118" s="14">
        <f>INDEX(属性投放!$BM$6:$BM$85,(CV118-2)*20+CZ118)</f>
        <v>420</v>
      </c>
      <c r="DM118" s="14">
        <f>SUMIFS(DL$5:DL118,$CT$5:$CT118,"="&amp;$CT118)</f>
        <v>2750</v>
      </c>
      <c r="DR118" s="14">
        <f t="shared" si="177"/>
        <v>1102006</v>
      </c>
      <c r="DS118" s="14" t="str">
        <f t="shared" si="178"/>
        <v>项羽14突</v>
      </c>
      <c r="DT118" s="14">
        <f t="shared" si="195"/>
        <v>8</v>
      </c>
      <c r="DU118" s="14">
        <f t="shared" si="196"/>
        <v>9</v>
      </c>
      <c r="DV118" s="14">
        <f t="shared" si="197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INDEX(属性投放!$AX$6:$AX$85,(卡牌属性!DW118-2)*20+卡牌属性!DX118)</f>
        <v>7</v>
      </c>
      <c r="EA118" s="14">
        <f>INDEX(属性投放!BQ$6:BQ$85,卡牌属性!$DY118)</f>
        <v>520</v>
      </c>
      <c r="EB118" s="14">
        <f>INDEX(属性投放!BR$6:BR$85,卡牌属性!$DY118)</f>
        <v>260</v>
      </c>
      <c r="EC118" s="14">
        <f>INDEX(属性投放!BS$6:BS$85,卡牌属性!$DY118)</f>
        <v>5200</v>
      </c>
      <c r="ED118" s="14">
        <f t="shared" si="275"/>
        <v>5400</v>
      </c>
      <c r="EE118" s="14">
        <f t="shared" si="276"/>
        <v>5770</v>
      </c>
      <c r="EF118" s="14">
        <f t="shared" si="277"/>
        <v>6650</v>
      </c>
      <c r="EG118" s="14">
        <f t="shared" si="278"/>
        <v>6650</v>
      </c>
      <c r="EH118" s="14">
        <f t="shared" si="279"/>
        <v>7970</v>
      </c>
      <c r="EI118" s="14">
        <f t="shared" si="280"/>
        <v>2851</v>
      </c>
      <c r="EJ118" s="14">
        <f t="shared" si="281"/>
        <v>3317</v>
      </c>
      <c r="EK118" s="14">
        <f t="shared" si="282"/>
        <v>3317</v>
      </c>
      <c r="EL118" s="14">
        <f t="shared" si="283"/>
        <v>4001</v>
      </c>
      <c r="EM118" s="14">
        <f t="shared" si="284"/>
        <v>4967</v>
      </c>
      <c r="EN118" s="14">
        <f t="shared" si="285"/>
        <v>43547</v>
      </c>
      <c r="EO118" s="14">
        <f t="shared" si="286"/>
        <v>46295</v>
      </c>
      <c r="EP118" s="14">
        <f t="shared" si="287"/>
        <v>46295</v>
      </c>
      <c r="EQ118" s="14">
        <f t="shared" si="288"/>
        <v>53505</v>
      </c>
      <c r="ER118" s="14">
        <f t="shared" si="289"/>
        <v>64655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INDEX(属性投放!$BQ$6:$BQ$85,(卡牌属性!$DW118-2)*20+卡牌属性!$DX118)</f>
        <v>520</v>
      </c>
      <c r="FI118" s="14">
        <f>INDEX(属性投放!$BQ$6:$BQ$85,(卡牌属性!$DW118-2)*20+卡牌属性!$DX118)</f>
        <v>520</v>
      </c>
      <c r="FJ118" s="14">
        <f>INDEX(属性投放!$BQ$6:$BQ$85,(卡牌属性!$DW118-2)*20+卡牌属性!$DX118)</f>
        <v>520</v>
      </c>
      <c r="FK118" s="14">
        <f>INDEX(属性投放!$BQ$6:$BQ$85,(卡牌属性!$DW118-2)*20+卡牌属性!$DX118)</f>
        <v>520</v>
      </c>
      <c r="FL118" s="14">
        <f>INDEX(属性投放!$BQ$6:$BQ$85,(卡牌属性!$DW118-2)*20+卡牌属性!$DX118)</f>
        <v>520</v>
      </c>
      <c r="FM118" s="14">
        <f>INDEX(属性投放!$BR$6:$BR$85,(卡牌属性!$DW118-2)*20+卡牌属性!$DX118)</f>
        <v>260</v>
      </c>
      <c r="FN118" s="14">
        <f>INDEX(属性投放!$BR$6:$BR$85,(卡牌属性!$DW118-2)*20+卡牌属性!$DX118)</f>
        <v>260</v>
      </c>
      <c r="FO118" s="14">
        <f>INDEX(属性投放!$BR$6:$BR$85,(卡牌属性!$DW118-2)*20+卡牌属性!$DX118)</f>
        <v>260</v>
      </c>
      <c r="FP118" s="14">
        <f>INDEX(属性投放!$BR$6:$BR$85,(卡牌属性!$DW118-2)*20+卡牌属性!$DX118)</f>
        <v>260</v>
      </c>
      <c r="FQ118" s="14">
        <f>INDEX(属性投放!$BR$6:$BR$85,(卡牌属性!$DW118-2)*20+卡牌属性!$DX118)</f>
        <v>260</v>
      </c>
      <c r="FR118" s="14">
        <f>INDEX(属性投放!$BS$6:$BS$85,(卡牌属性!$DW118-2)*20+卡牌属性!$DX118)</f>
        <v>5200</v>
      </c>
      <c r="FS118" s="14">
        <f>INDEX(属性投放!$BS$6:$BS$85,(卡牌属性!$DW118-2)*20+卡牌属性!$DX118)</f>
        <v>5200</v>
      </c>
      <c r="FT118" s="14">
        <f>INDEX(属性投放!$BS$6:$BS$85,(卡牌属性!$DW118-2)*20+卡牌属性!$DX118)</f>
        <v>5200</v>
      </c>
      <c r="FU118" s="14">
        <f>INDEX(属性投放!$BS$6:$BS$85,(卡牌属性!$DW118-2)*20+卡牌属性!$DX118)</f>
        <v>5200</v>
      </c>
      <c r="FV118" s="14">
        <f>INDEX(属性投放!$BS$6:$BS$85,(卡牌属性!$DW118-2)*20+卡牌属性!$DX118)</f>
        <v>5200</v>
      </c>
      <c r="FZ118" s="13">
        <v>114</v>
      </c>
      <c r="GA118" s="13">
        <f t="shared" si="291"/>
        <v>23</v>
      </c>
      <c r="GB118" s="14">
        <f t="shared" si="198"/>
        <v>1102023</v>
      </c>
      <c r="GC118" s="14" t="s">
        <v>1187</v>
      </c>
      <c r="GD118" s="14">
        <f t="shared" si="265"/>
        <v>4</v>
      </c>
      <c r="GE118" s="14" t="str">
        <f t="shared" si="266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90"/>
        <v>23</v>
      </c>
      <c r="GP118" s="14">
        <f t="shared" si="292"/>
        <v>1101043</v>
      </c>
      <c r="GQ118" s="14" t="s">
        <v>1187</v>
      </c>
      <c r="GR118" s="14">
        <f t="shared" si="293"/>
        <v>4</v>
      </c>
      <c r="GS118" s="14" t="str">
        <f t="shared" si="294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MATCH(HC118,属性投放!$AO$6:$AO$58,1)-1</f>
        <v>38</v>
      </c>
      <c r="HF118" s="13">
        <f>MATCH(HC118-1,属性投放!$AE$6:$AE$26,1)</f>
        <v>16</v>
      </c>
      <c r="HG118" s="13" t="str">
        <f>INDEX(属性投放!$AB$7:$AB$26,卡牌属性!HF118)</f>
        <v>大焦热</v>
      </c>
      <c r="HH118" s="14">
        <f t="shared" si="200"/>
        <v>6693</v>
      </c>
      <c r="HI118" s="14">
        <f t="shared" si="201"/>
        <v>2858</v>
      </c>
      <c r="HJ118" s="14">
        <f t="shared" si="202"/>
        <v>49884</v>
      </c>
      <c r="HK118" s="14">
        <f t="shared" si="203"/>
        <v>50</v>
      </c>
      <c r="HL118" s="14">
        <f t="shared" si="204"/>
        <v>18</v>
      </c>
      <c r="HM118" s="14">
        <f t="shared" si="205"/>
        <v>350</v>
      </c>
      <c r="HN118" s="14">
        <f>HH118+HK118*($HC118-INDEX(属性投放!$AE$6:$AE$26,卡牌属性!$HF118))</f>
        <v>6893</v>
      </c>
      <c r="HO118" s="14">
        <f>HI118+HL118*($HC118-INDEX(属性投放!$AE$6:$AE$26,卡牌属性!$HF118))</f>
        <v>2930</v>
      </c>
      <c r="HP118" s="14">
        <f>HJ118+HM118*($HC118-INDEX(属性投放!$AE$6:$AE$26,卡牌属性!$HF118))</f>
        <v>51284</v>
      </c>
      <c r="HQ118" s="14">
        <f t="shared" si="206"/>
        <v>6915</v>
      </c>
      <c r="HR118" s="14">
        <f t="shared" si="207"/>
        <v>3467</v>
      </c>
      <c r="HS118" s="14">
        <f t="shared" si="208"/>
        <v>64585</v>
      </c>
      <c r="HT118" s="14">
        <f>IF(COUNTIF(属性投放!$AO$7:$AO$58,"="&amp;卡牌属性!HC118)&gt;0,卡牌属性!HE118,0)</f>
        <v>0</v>
      </c>
      <c r="HU118" s="14">
        <f t="shared" si="209"/>
        <v>0</v>
      </c>
      <c r="HV118" s="14">
        <f t="shared" si="210"/>
        <v>0</v>
      </c>
      <c r="HW118" s="14">
        <f t="shared" si="211"/>
        <v>0</v>
      </c>
      <c r="HX118" s="14">
        <f>IF(COUNTIF(属性投放!$AE$6:$AE$26,"="&amp;卡牌属性!HC118)&gt;0,卡牌属性!HF118,0)</f>
        <v>0</v>
      </c>
      <c r="HY118" s="14">
        <f t="shared" si="212"/>
        <v>0</v>
      </c>
      <c r="HZ118" s="14">
        <f t="shared" si="213"/>
        <v>0</v>
      </c>
      <c r="IA118" s="14">
        <f t="shared" si="214"/>
        <v>0</v>
      </c>
      <c r="IB118" s="14">
        <f t="shared" si="215"/>
        <v>50</v>
      </c>
      <c r="IC118" s="14">
        <f t="shared" si="216"/>
        <v>18</v>
      </c>
      <c r="ID118" s="14">
        <f t="shared" si="217"/>
        <v>350</v>
      </c>
      <c r="IE118" s="14">
        <f t="shared" si="218"/>
        <v>13808</v>
      </c>
      <c r="IF118" s="14">
        <f t="shared" si="219"/>
        <v>6397</v>
      </c>
      <c r="IG118" s="14">
        <f t="shared" si="220"/>
        <v>115869</v>
      </c>
      <c r="IH118" s="14">
        <f t="shared" si="221"/>
        <v>1210</v>
      </c>
      <c r="II118" s="14">
        <f t="shared" si="222"/>
        <v>0</v>
      </c>
      <c r="IJ118" s="14">
        <f t="shared" si="223"/>
        <v>0</v>
      </c>
      <c r="IK118" s="14">
        <f t="shared" si="224"/>
        <v>381889</v>
      </c>
      <c r="IL118" s="17">
        <f t="shared" si="225"/>
        <v>3.1684599451673131E-3</v>
      </c>
      <c r="IM118" s="17">
        <f t="shared" si="226"/>
        <v>0</v>
      </c>
      <c r="IN118" s="17">
        <f t="shared" si="227"/>
        <v>0</v>
      </c>
      <c r="IO118" s="23">
        <f>SUM(IH$5:IH118)</f>
        <v>69004</v>
      </c>
      <c r="IP118" s="14">
        <f>SUM(II$5:II118)</f>
        <v>203075</v>
      </c>
      <c r="IQ118" s="14">
        <f>SUM(IJ$5:IJ118)</f>
        <v>82640</v>
      </c>
      <c r="IR118" s="17">
        <f t="shared" si="228"/>
        <v>0.18069124798043409</v>
      </c>
      <c r="IS118" s="17">
        <f t="shared" si="229"/>
        <v>0.53176446559078683</v>
      </c>
      <c r="IT118" s="17">
        <f t="shared" si="230"/>
        <v>0.21639795856911301</v>
      </c>
      <c r="IW118" s="13">
        <v>114</v>
      </c>
      <c r="IX118" s="14">
        <f>MATCH(IW118-1,属性投放!$T$6:$T$66,1)</f>
        <v>26</v>
      </c>
      <c r="IY118" s="14">
        <f>MATCH(IW118-1,属性投放!$AD$7:$AD$26,1)</f>
        <v>15</v>
      </c>
      <c r="IZ118" s="14" t="str">
        <f>INDEX(属性投放!$AB$7:$AB$26,IY118)</f>
        <v>焦热+2</v>
      </c>
      <c r="JA118" s="14">
        <f t="shared" si="231"/>
        <v>5338</v>
      </c>
      <c r="JB118" s="14">
        <f t="shared" si="232"/>
        <v>2622</v>
      </c>
      <c r="JC118" s="14">
        <f t="shared" si="233"/>
        <v>45161</v>
      </c>
      <c r="JD118" s="14">
        <f t="shared" si="234"/>
        <v>151</v>
      </c>
      <c r="JE118" s="14">
        <f t="shared" si="235"/>
        <v>76</v>
      </c>
      <c r="JF118" s="14">
        <f t="shared" si="236"/>
        <v>1510</v>
      </c>
      <c r="JG118" s="14">
        <f>INDEX(属性投放!$DC$6:$DC$85,卡牌属性!IY118)</f>
        <v>85</v>
      </c>
      <c r="JH118" s="14">
        <f t="shared" si="237"/>
        <v>9717</v>
      </c>
      <c r="JI118" s="14">
        <f t="shared" si="238"/>
        <v>4826</v>
      </c>
      <c r="JJ118" s="14">
        <f t="shared" si="239"/>
        <v>88951</v>
      </c>
      <c r="JK118" s="14">
        <f t="shared" si="240"/>
        <v>185796</v>
      </c>
    </row>
    <row r="119" spans="31:271" ht="16.5" x14ac:dyDescent="0.2">
      <c r="AE119" s="13">
        <v>115</v>
      </c>
      <c r="AF119" s="13">
        <f t="shared" si="188"/>
        <v>6</v>
      </c>
      <c r="AG119" s="13">
        <f t="shared" si="169"/>
        <v>4</v>
      </c>
      <c r="AH119" s="13"/>
      <c r="AI119" s="13"/>
      <c r="AJ119" s="14">
        <f t="shared" si="170"/>
        <v>1101006</v>
      </c>
      <c r="AK119" s="14" t="str">
        <f t="shared" si="171"/>
        <v>红莲·缇娜15突</v>
      </c>
      <c r="AL119" s="25" t="s">
        <v>142</v>
      </c>
      <c r="AM119" s="14">
        <v>1</v>
      </c>
      <c r="AN119" s="14">
        <f t="shared" si="172"/>
        <v>15</v>
      </c>
      <c r="AO119" s="14">
        <f>INDEX(属性投放!$DF$6:$DF$85,(卡牌属性!AG119-2)*20+卡牌属性!AN119)</f>
        <v>8197</v>
      </c>
      <c r="AP119" s="14">
        <f t="shared" si="269"/>
        <v>8197</v>
      </c>
      <c r="AQ119" s="14">
        <f t="shared" si="269"/>
        <v>8197</v>
      </c>
      <c r="AR119" s="14">
        <f t="shared" si="269"/>
        <v>8197</v>
      </c>
      <c r="AS119" s="14">
        <f t="shared" si="269"/>
        <v>8197</v>
      </c>
      <c r="AT119" s="14">
        <f>INDEX(属性投放!$DG$6:$DG$85,(卡牌属性!AG119-2)*20+卡牌属性!AN119)</f>
        <v>4029</v>
      </c>
      <c r="AU119" s="14">
        <f t="shared" si="270"/>
        <v>4029</v>
      </c>
      <c r="AV119" s="14">
        <f t="shared" si="270"/>
        <v>4029</v>
      </c>
      <c r="AW119" s="14">
        <f t="shared" si="270"/>
        <v>4029</v>
      </c>
      <c r="AX119" s="14">
        <f t="shared" si="270"/>
        <v>4029</v>
      </c>
      <c r="AY119" s="14">
        <f>INDEX(属性投放!$DH$6:$DH$85,(卡牌属性!AG119-2)*20+卡牌属性!AN119)</f>
        <v>68233</v>
      </c>
      <c r="AZ119" s="14">
        <f t="shared" si="271"/>
        <v>68233</v>
      </c>
      <c r="BA119" s="14">
        <f t="shared" si="271"/>
        <v>68233</v>
      </c>
      <c r="BB119" s="14">
        <f t="shared" si="271"/>
        <v>68233</v>
      </c>
      <c r="BC119" s="14">
        <f t="shared" si="271"/>
        <v>68233</v>
      </c>
      <c r="BD119" s="14">
        <f>INDEX(属性投放!$DL$6:$DL$85,(卡牌属性!AG119-2)*20+卡牌属性!AN119)</f>
        <v>203</v>
      </c>
      <c r="BE119" s="14">
        <f t="shared" si="272"/>
        <v>203</v>
      </c>
      <c r="BF119" s="14">
        <f t="shared" si="272"/>
        <v>203</v>
      </c>
      <c r="BG119" s="14">
        <f t="shared" si="272"/>
        <v>203</v>
      </c>
      <c r="BH119" s="14">
        <f t="shared" si="272"/>
        <v>203</v>
      </c>
      <c r="BI119" s="14">
        <f>INDEX(属性投放!$DM$6:$DM$85,(卡牌属性!AG119-2)*20+卡牌属性!AN119)</f>
        <v>101</v>
      </c>
      <c r="BJ119" s="14">
        <f t="shared" si="273"/>
        <v>101</v>
      </c>
      <c r="BK119" s="14">
        <f t="shared" si="273"/>
        <v>101</v>
      </c>
      <c r="BL119" s="14">
        <f t="shared" si="273"/>
        <v>101</v>
      </c>
      <c r="BM119" s="14">
        <f t="shared" si="273"/>
        <v>101</v>
      </c>
      <c r="BN119" s="14">
        <f>INDEX(属性投放!$DN$6:$DN$85,(卡牌属性!AG119-2)*20+卡牌属性!AN119)</f>
        <v>2027</v>
      </c>
      <c r="BO119" s="14">
        <f t="shared" si="274"/>
        <v>2027</v>
      </c>
      <c r="BP119" s="14">
        <f t="shared" si="274"/>
        <v>2027</v>
      </c>
      <c r="BQ119" s="14">
        <f t="shared" si="274"/>
        <v>2027</v>
      </c>
      <c r="BR119" s="14">
        <f t="shared" si="274"/>
        <v>2027</v>
      </c>
      <c r="BW119" s="13">
        <v>115</v>
      </c>
      <c r="BX119" s="13">
        <f t="shared" si="173"/>
        <v>6</v>
      </c>
      <c r="BY119" s="14">
        <f t="shared" si="174"/>
        <v>5</v>
      </c>
      <c r="BZ119" s="14">
        <f t="shared" si="189"/>
        <v>1102006</v>
      </c>
      <c r="CA119" s="14" t="str">
        <f t="shared" si="190"/>
        <v>项羽15突</v>
      </c>
      <c r="CB119" s="25" t="s">
        <v>142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INDEX(属性投放!$AZ$6:$AZ$85,(BY119-2)*20+CD119)</f>
        <v>11979</v>
      </c>
      <c r="CG119" s="14" t="s">
        <v>22</v>
      </c>
      <c r="CH119" s="14">
        <f>INDEX(属性投放!$BA$6:$BA$85,(BY119-2)*20+CD119)</f>
        <v>5911</v>
      </c>
      <c r="CI119" s="14" t="s">
        <v>510</v>
      </c>
      <c r="CJ119" s="14">
        <f>INDEX(属性投放!$BB$6:$BB$85,(BY119-2)*20+CD119)</f>
        <v>102797</v>
      </c>
      <c r="CK119" s="14" t="s">
        <v>21</v>
      </c>
      <c r="CL119" s="14">
        <f>INDEX(属性投放!$BC$6:$BC$85,(BY119-2)*20+CD119)</f>
        <v>50</v>
      </c>
      <c r="CM119" s="14" t="s">
        <v>22</v>
      </c>
      <c r="CN119" s="14">
        <f>INDEX(属性投放!$BD$6:$BD$85,(BY119-2)*20+CD119)</f>
        <v>25</v>
      </c>
      <c r="CO119" s="14" t="s">
        <v>510</v>
      </c>
      <c r="CP119" s="14">
        <f>INDEX(属性投放!$BE$6:$BE$85,(BY119-2)*20+CD119)</f>
        <v>500</v>
      </c>
      <c r="CS119" s="13">
        <v>115</v>
      </c>
      <c r="CT119" s="13">
        <f t="shared" si="191"/>
        <v>3</v>
      </c>
      <c r="CU119" s="13">
        <f t="shared" si="192"/>
        <v>11</v>
      </c>
      <c r="CV119" s="14">
        <f t="shared" si="193"/>
        <v>4</v>
      </c>
      <c r="CW119" s="14">
        <f t="shared" si="194"/>
        <v>1102003</v>
      </c>
      <c r="CX119" s="14" t="str">
        <f>INDEX($O$6:$O$50,CT119)&amp;"-"&amp;INDEX(属性投放!$AB$7:$AB$50,CZ119)&amp;"-魂火-"&amp;DB119</f>
        <v>典韦-众合+2-魂火-2</v>
      </c>
      <c r="CY119" s="25" t="s">
        <v>142</v>
      </c>
      <c r="CZ119" s="14">
        <f>INDEX(属性投放!$AM$7:$AM$58,CU119)</f>
        <v>6</v>
      </c>
      <c r="DA119" s="14" t="s">
        <v>537</v>
      </c>
      <c r="DB119" s="14">
        <f>INDEX(属性投放!$AN$7:$AN$58,CU119)</f>
        <v>2</v>
      </c>
      <c r="DC119" s="14">
        <f t="shared" si="176"/>
        <v>11</v>
      </c>
      <c r="DD119" s="14">
        <f>INDEX(属性投放!$AO$7:$AO$58,DC119)</f>
        <v>45</v>
      </c>
      <c r="DE119" s="14" t="s">
        <v>538</v>
      </c>
      <c r="DF119" s="14">
        <f>INDEX(属性投放!$BK$6:$BK$85,(CV119-2)*20+CZ119)</f>
        <v>60</v>
      </c>
      <c r="DG119" s="14">
        <f>SUMIFS(DF$5:DF119,$CT$5:$CT119,"="&amp;$CT119)</f>
        <v>475</v>
      </c>
      <c r="DH119" s="14" t="s">
        <v>539</v>
      </c>
      <c r="DI119" s="14">
        <f>INDEX(属性投放!$BL$6:$BL$85,(CV119-2)*20+CZ119)</f>
        <v>30</v>
      </c>
      <c r="DJ119" s="14">
        <f>SUMIFS(DI$5:DI119,$CT$5:$CT119,"="&amp;$CT119)</f>
        <v>241</v>
      </c>
      <c r="DK119" s="14" t="s">
        <v>540</v>
      </c>
      <c r="DL119" s="14">
        <f>INDEX(属性投放!$BM$6:$BM$85,(CV119-2)*20+CZ119)</f>
        <v>420</v>
      </c>
      <c r="DM119" s="14">
        <f>SUMIFS(DL$5:DL119,$CT$5:$CT119,"="&amp;$CT119)</f>
        <v>3170</v>
      </c>
      <c r="DR119" s="14">
        <f t="shared" si="177"/>
        <v>1102006</v>
      </c>
      <c r="DS119" s="14" t="str">
        <f t="shared" si="178"/>
        <v>项羽15突</v>
      </c>
      <c r="DT119" s="14">
        <f t="shared" si="195"/>
        <v>8</v>
      </c>
      <c r="DU119" s="14">
        <f t="shared" si="196"/>
        <v>9</v>
      </c>
      <c r="DV119" s="14">
        <f t="shared" si="197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INDEX(属性投放!$AX$6:$AX$85,(卡牌属性!DW119-2)*20+卡牌属性!DX119)</f>
        <v>8</v>
      </c>
      <c r="EA119" s="14">
        <f>INDEX(属性投放!BQ$6:BQ$85,卡牌属性!$DY119)</f>
        <v>825</v>
      </c>
      <c r="EB119" s="14">
        <f>INDEX(属性投放!BR$6:BR$85,卡牌属性!$DY119)</f>
        <v>413</v>
      </c>
      <c r="EC119" s="14">
        <f>INDEX(属性投放!BS$6:BS$85,卡牌属性!$DY119)</f>
        <v>8250</v>
      </c>
      <c r="ED119" s="14">
        <f t="shared" si="275"/>
        <v>6235</v>
      </c>
      <c r="EE119" s="14">
        <f t="shared" si="276"/>
        <v>6640</v>
      </c>
      <c r="EF119" s="14">
        <f t="shared" si="277"/>
        <v>7695</v>
      </c>
      <c r="EG119" s="14">
        <f t="shared" si="278"/>
        <v>7695</v>
      </c>
      <c r="EH119" s="14">
        <f t="shared" si="279"/>
        <v>9190</v>
      </c>
      <c r="EI119" s="14">
        <f t="shared" si="280"/>
        <v>3286</v>
      </c>
      <c r="EJ119" s="14">
        <f t="shared" si="281"/>
        <v>3843</v>
      </c>
      <c r="EK119" s="14">
        <f t="shared" si="282"/>
        <v>3843</v>
      </c>
      <c r="EL119" s="14">
        <f t="shared" si="283"/>
        <v>4611</v>
      </c>
      <c r="EM119" s="14">
        <f t="shared" si="284"/>
        <v>5752</v>
      </c>
      <c r="EN119" s="14">
        <f t="shared" si="285"/>
        <v>51897</v>
      </c>
      <c r="EO119" s="14">
        <f t="shared" si="286"/>
        <v>54995</v>
      </c>
      <c r="EP119" s="14">
        <f t="shared" si="287"/>
        <v>54995</v>
      </c>
      <c r="EQ119" s="14">
        <f t="shared" si="288"/>
        <v>63955</v>
      </c>
      <c r="ER119" s="14">
        <f t="shared" si="289"/>
        <v>76855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INDEX(属性投放!$BQ$6:$BQ$85,(卡牌属性!$DW119-2)*20+卡牌属性!$DX119)</f>
        <v>825</v>
      </c>
      <c r="FI119" s="14">
        <f>INDEX(属性投放!$BQ$6:$BQ$85,(卡牌属性!$DW119-2)*20+卡牌属性!$DX119)</f>
        <v>825</v>
      </c>
      <c r="FJ119" s="14">
        <f>INDEX(属性投放!$BQ$6:$BQ$85,(卡牌属性!$DW119-2)*20+卡牌属性!$DX119)</f>
        <v>825</v>
      </c>
      <c r="FK119" s="14">
        <f>INDEX(属性投放!$BQ$6:$BQ$85,(卡牌属性!$DW119-2)*20+卡牌属性!$DX119)</f>
        <v>825</v>
      </c>
      <c r="FL119" s="14">
        <f>INDEX(属性投放!$BQ$6:$BQ$85,(卡牌属性!$DW119-2)*20+卡牌属性!$DX119)</f>
        <v>825</v>
      </c>
      <c r="FM119" s="14">
        <f>INDEX(属性投放!$BR$6:$BR$85,(卡牌属性!$DW119-2)*20+卡牌属性!$DX119)</f>
        <v>413</v>
      </c>
      <c r="FN119" s="14">
        <f>INDEX(属性投放!$BR$6:$BR$85,(卡牌属性!$DW119-2)*20+卡牌属性!$DX119)</f>
        <v>413</v>
      </c>
      <c r="FO119" s="14">
        <f>INDEX(属性投放!$BR$6:$BR$85,(卡牌属性!$DW119-2)*20+卡牌属性!$DX119)</f>
        <v>413</v>
      </c>
      <c r="FP119" s="14">
        <f>INDEX(属性投放!$BR$6:$BR$85,(卡牌属性!$DW119-2)*20+卡牌属性!$DX119)</f>
        <v>413</v>
      </c>
      <c r="FQ119" s="14">
        <f>INDEX(属性投放!$BR$6:$BR$85,(卡牌属性!$DW119-2)*20+卡牌属性!$DX119)</f>
        <v>413</v>
      </c>
      <c r="FR119" s="14">
        <f>INDEX(属性投放!$BS$6:$BS$85,(卡牌属性!$DW119-2)*20+卡牌属性!$DX119)</f>
        <v>8250</v>
      </c>
      <c r="FS119" s="14">
        <f>INDEX(属性投放!$BS$6:$BS$85,(卡牌属性!$DW119-2)*20+卡牌属性!$DX119)</f>
        <v>8250</v>
      </c>
      <c r="FT119" s="14">
        <f>INDEX(属性投放!$BS$6:$BS$85,(卡牌属性!$DW119-2)*20+卡牌属性!$DX119)</f>
        <v>8250</v>
      </c>
      <c r="FU119" s="14">
        <f>INDEX(属性投放!$BS$6:$BS$85,(卡牌属性!$DW119-2)*20+卡牌属性!$DX119)</f>
        <v>8250</v>
      </c>
      <c r="FV119" s="14">
        <f>INDEX(属性投放!$BS$6:$BS$85,(卡牌属性!$DW119-2)*20+卡牌属性!$DX119)</f>
        <v>8250</v>
      </c>
      <c r="FZ119" s="13">
        <v>115</v>
      </c>
      <c r="GA119" s="13">
        <f t="shared" si="291"/>
        <v>23</v>
      </c>
      <c r="GB119" s="14">
        <f t="shared" si="198"/>
        <v>1102023</v>
      </c>
      <c r="GC119" s="14" t="s">
        <v>1187</v>
      </c>
      <c r="GD119" s="14">
        <f t="shared" si="265"/>
        <v>5</v>
      </c>
      <c r="GE119" s="14" t="str">
        <f t="shared" si="266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90"/>
        <v>23</v>
      </c>
      <c r="GP119" s="14">
        <f t="shared" si="292"/>
        <v>1101043</v>
      </c>
      <c r="GQ119" s="14" t="s">
        <v>1187</v>
      </c>
      <c r="GR119" s="14">
        <f t="shared" si="293"/>
        <v>5</v>
      </c>
      <c r="GS119" s="14" t="str">
        <f t="shared" si="294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MATCH(HC119,属性投放!$AO$6:$AO$58,1)-1</f>
        <v>39</v>
      </c>
      <c r="HF119" s="13">
        <f>MATCH(HC119-1,属性投放!$AE$6:$AE$26,1)</f>
        <v>16</v>
      </c>
      <c r="HG119" s="13" t="str">
        <f>INDEX(属性投放!$AB$7:$AB$26,卡牌属性!HF119)</f>
        <v>大焦热</v>
      </c>
      <c r="HH119" s="14">
        <f t="shared" si="200"/>
        <v>6693</v>
      </c>
      <c r="HI119" s="14">
        <f t="shared" si="201"/>
        <v>2858</v>
      </c>
      <c r="HJ119" s="14">
        <f t="shared" si="202"/>
        <v>49884</v>
      </c>
      <c r="HK119" s="14">
        <f t="shared" si="203"/>
        <v>50</v>
      </c>
      <c r="HL119" s="14">
        <f t="shared" si="204"/>
        <v>18</v>
      </c>
      <c r="HM119" s="14">
        <f t="shared" si="205"/>
        <v>350</v>
      </c>
      <c r="HN119" s="14">
        <f>HH119+HK119*($HC119-INDEX(属性投放!$AE$6:$AE$26,卡牌属性!$HF119))</f>
        <v>6943</v>
      </c>
      <c r="HO119" s="14">
        <f>HI119+HL119*($HC119-INDEX(属性投放!$AE$6:$AE$26,卡牌属性!$HF119))</f>
        <v>2948</v>
      </c>
      <c r="HP119" s="14">
        <f>HJ119+HM119*($HC119-INDEX(属性投放!$AE$6:$AE$26,卡牌属性!$HF119))</f>
        <v>51634</v>
      </c>
      <c r="HQ119" s="14">
        <f t="shared" si="206"/>
        <v>7435</v>
      </c>
      <c r="HR119" s="14">
        <f t="shared" si="207"/>
        <v>3727</v>
      </c>
      <c r="HS119" s="14">
        <f t="shared" si="208"/>
        <v>69785</v>
      </c>
      <c r="HT119" s="14">
        <f>IF(COUNTIF(属性投放!$AO$7:$AO$58,"="&amp;卡牌属性!HC119)&gt;0,卡牌属性!HE119,0)</f>
        <v>39</v>
      </c>
      <c r="HU119" s="14">
        <f t="shared" si="209"/>
        <v>520</v>
      </c>
      <c r="HV119" s="14">
        <f t="shared" si="210"/>
        <v>260</v>
      </c>
      <c r="HW119" s="14">
        <f t="shared" si="211"/>
        <v>5200</v>
      </c>
      <c r="HX119" s="14">
        <f>IF(COUNTIF(属性投放!$AE$6:$AE$26,"="&amp;卡牌属性!HC119)&gt;0,卡牌属性!HF119,0)</f>
        <v>0</v>
      </c>
      <c r="HY119" s="14">
        <f t="shared" si="212"/>
        <v>0</v>
      </c>
      <c r="HZ119" s="14">
        <f t="shared" si="213"/>
        <v>0</v>
      </c>
      <c r="IA119" s="14">
        <f t="shared" si="214"/>
        <v>0</v>
      </c>
      <c r="IB119" s="14">
        <f t="shared" si="215"/>
        <v>50</v>
      </c>
      <c r="IC119" s="14">
        <f t="shared" si="216"/>
        <v>18</v>
      </c>
      <c r="ID119" s="14">
        <f t="shared" si="217"/>
        <v>350</v>
      </c>
      <c r="IE119" s="14">
        <f t="shared" si="218"/>
        <v>14378</v>
      </c>
      <c r="IF119" s="14">
        <f t="shared" si="219"/>
        <v>6675</v>
      </c>
      <c r="IG119" s="14">
        <f t="shared" si="220"/>
        <v>121419</v>
      </c>
      <c r="IH119" s="14">
        <f t="shared" si="221"/>
        <v>1210</v>
      </c>
      <c r="II119" s="14">
        <f t="shared" si="222"/>
        <v>15600</v>
      </c>
      <c r="IJ119" s="14">
        <f t="shared" si="223"/>
        <v>0</v>
      </c>
      <c r="IK119" s="14">
        <f t="shared" si="224"/>
        <v>398699</v>
      </c>
      <c r="IL119" s="17">
        <f t="shared" si="225"/>
        <v>3.0348709176596881E-3</v>
      </c>
      <c r="IM119" s="17">
        <f t="shared" si="226"/>
        <v>3.9127261417761267E-2</v>
      </c>
      <c r="IN119" s="17">
        <f t="shared" si="227"/>
        <v>0</v>
      </c>
      <c r="IO119" s="23">
        <f>SUM(IH$5:IH119)</f>
        <v>70214</v>
      </c>
      <c r="IP119" s="14">
        <f>SUM(II$5:II119)</f>
        <v>218675</v>
      </c>
      <c r="IQ119" s="14">
        <f>SUM(IJ$5:IJ119)</f>
        <v>82640</v>
      </c>
      <c r="IR119" s="17">
        <f t="shared" si="228"/>
        <v>0.17610779058889037</v>
      </c>
      <c r="IS119" s="17">
        <f t="shared" si="229"/>
        <v>0.54847140323903498</v>
      </c>
      <c r="IT119" s="17">
        <f t="shared" si="230"/>
        <v>0.20727415920280712</v>
      </c>
      <c r="IW119" s="13">
        <v>115</v>
      </c>
      <c r="IX119" s="14">
        <f>MATCH(IW119-1,属性投放!$T$6:$T$66,1)</f>
        <v>27</v>
      </c>
      <c r="IY119" s="14">
        <f>MATCH(IW119-1,属性投放!$AD$7:$AD$26,1)</f>
        <v>15</v>
      </c>
      <c r="IZ119" s="14" t="str">
        <f>INDEX(属性投放!$AB$7:$AB$26,IY119)</f>
        <v>焦热+2</v>
      </c>
      <c r="JA119" s="14">
        <f t="shared" si="231"/>
        <v>5338</v>
      </c>
      <c r="JB119" s="14">
        <f t="shared" si="232"/>
        <v>2622</v>
      </c>
      <c r="JC119" s="14">
        <f t="shared" si="233"/>
        <v>45161</v>
      </c>
      <c r="JD119" s="14">
        <f t="shared" si="234"/>
        <v>151</v>
      </c>
      <c r="JE119" s="14">
        <f t="shared" si="235"/>
        <v>76</v>
      </c>
      <c r="JF119" s="14">
        <f t="shared" si="236"/>
        <v>1510</v>
      </c>
      <c r="JG119" s="14">
        <f>INDEX(属性投放!$DC$6:$DC$85,卡牌属性!IY119)</f>
        <v>85</v>
      </c>
      <c r="JH119" s="14">
        <f t="shared" si="237"/>
        <v>9868</v>
      </c>
      <c r="JI119" s="14">
        <f t="shared" si="238"/>
        <v>4902</v>
      </c>
      <c r="JJ119" s="14">
        <f t="shared" si="239"/>
        <v>90461</v>
      </c>
      <c r="JK119" s="14">
        <f t="shared" si="240"/>
        <v>188821</v>
      </c>
    </row>
    <row r="120" spans="31:271" ht="16.5" x14ac:dyDescent="0.2">
      <c r="AE120" s="13">
        <v>116</v>
      </c>
      <c r="AF120" s="13">
        <f t="shared" si="188"/>
        <v>6</v>
      </c>
      <c r="AG120" s="13">
        <f t="shared" si="169"/>
        <v>4</v>
      </c>
      <c r="AH120" s="13"/>
      <c r="AI120" s="13"/>
      <c r="AJ120" s="14">
        <f t="shared" si="170"/>
        <v>1101006</v>
      </c>
      <c r="AK120" s="14" t="str">
        <f t="shared" si="171"/>
        <v>红莲·缇娜16突</v>
      </c>
      <c r="AL120" s="25" t="s">
        <v>142</v>
      </c>
      <c r="AM120" s="14">
        <v>1</v>
      </c>
      <c r="AN120" s="14">
        <f t="shared" si="172"/>
        <v>16</v>
      </c>
      <c r="AO120" s="14">
        <f>INDEX(属性投放!$DF$6:$DF$85,(卡牌属性!AG120-2)*20+卡牌属性!AN120)</f>
        <v>13851</v>
      </c>
      <c r="AP120" s="14">
        <f t="shared" si="269"/>
        <v>13851</v>
      </c>
      <c r="AQ120" s="14">
        <f t="shared" si="269"/>
        <v>13851</v>
      </c>
      <c r="AR120" s="14">
        <f t="shared" si="269"/>
        <v>13851</v>
      </c>
      <c r="AS120" s="14">
        <f t="shared" si="269"/>
        <v>13851</v>
      </c>
      <c r="AT120" s="14">
        <f>INDEX(属性投放!$DG$6:$DG$85,(卡牌属性!AG120-2)*20+卡牌属性!AN120)</f>
        <v>6844</v>
      </c>
      <c r="AU120" s="14">
        <f t="shared" si="270"/>
        <v>6844</v>
      </c>
      <c r="AV120" s="14">
        <f t="shared" si="270"/>
        <v>6844</v>
      </c>
      <c r="AW120" s="14">
        <f t="shared" si="270"/>
        <v>6844</v>
      </c>
      <c r="AX120" s="14">
        <f t="shared" si="270"/>
        <v>6844</v>
      </c>
      <c r="AY120" s="14">
        <f>INDEX(属性投放!$DH$6:$DH$85,(卡牌属性!AG120-2)*20+卡牌属性!AN120)</f>
        <v>124698</v>
      </c>
      <c r="AZ120" s="14">
        <f t="shared" si="271"/>
        <v>124698</v>
      </c>
      <c r="BA120" s="14">
        <f t="shared" si="271"/>
        <v>124698</v>
      </c>
      <c r="BB120" s="14">
        <f t="shared" si="271"/>
        <v>124698</v>
      </c>
      <c r="BC120" s="14">
        <f t="shared" si="271"/>
        <v>124698</v>
      </c>
      <c r="BD120" s="14">
        <f>INDEX(属性投放!$DL$6:$DL$85,(卡牌属性!AG120-2)*20+卡牌属性!AN120)</f>
        <v>284</v>
      </c>
      <c r="BE120" s="14">
        <f t="shared" si="272"/>
        <v>284</v>
      </c>
      <c r="BF120" s="14">
        <f t="shared" si="272"/>
        <v>284</v>
      </c>
      <c r="BG120" s="14">
        <f t="shared" si="272"/>
        <v>284</v>
      </c>
      <c r="BH120" s="14">
        <f t="shared" si="272"/>
        <v>284</v>
      </c>
      <c r="BI120" s="14">
        <f>INDEX(属性投放!$DM$6:$DM$85,(卡牌属性!AG120-2)*20+卡牌属性!AN120)</f>
        <v>142</v>
      </c>
      <c r="BJ120" s="14">
        <f t="shared" si="273"/>
        <v>142</v>
      </c>
      <c r="BK120" s="14">
        <f t="shared" si="273"/>
        <v>142</v>
      </c>
      <c r="BL120" s="14">
        <f t="shared" si="273"/>
        <v>142</v>
      </c>
      <c r="BM120" s="14">
        <f t="shared" si="273"/>
        <v>142</v>
      </c>
      <c r="BN120" s="14">
        <f>INDEX(属性投放!$DN$6:$DN$85,(卡牌属性!AG120-2)*20+卡牌属性!AN120)</f>
        <v>2845</v>
      </c>
      <c r="BO120" s="14">
        <f t="shared" si="274"/>
        <v>2845</v>
      </c>
      <c r="BP120" s="14">
        <f t="shared" si="274"/>
        <v>2845</v>
      </c>
      <c r="BQ120" s="14">
        <f t="shared" si="274"/>
        <v>2845</v>
      </c>
      <c r="BR120" s="14">
        <f t="shared" si="274"/>
        <v>2845</v>
      </c>
      <c r="BW120" s="13">
        <v>116</v>
      </c>
      <c r="BX120" s="13">
        <f t="shared" si="173"/>
        <v>6</v>
      </c>
      <c r="BY120" s="14">
        <f t="shared" si="174"/>
        <v>5</v>
      </c>
      <c r="BZ120" s="14">
        <f t="shared" si="189"/>
        <v>1102006</v>
      </c>
      <c r="CA120" s="14" t="str">
        <f t="shared" si="190"/>
        <v>项羽16突</v>
      </c>
      <c r="CB120" s="25" t="s">
        <v>142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INDEX(属性投放!$AZ$6:$AZ$85,(BY120-2)*20+CD120)</f>
        <v>14704</v>
      </c>
      <c r="CG120" s="14" t="s">
        <v>22</v>
      </c>
      <c r="CH120" s="14">
        <f>INDEX(属性投放!$BA$6:$BA$85,(BY120-2)*20+CD120)</f>
        <v>7274</v>
      </c>
      <c r="CI120" s="14" t="s">
        <v>510</v>
      </c>
      <c r="CJ120" s="14">
        <f>INDEX(属性投放!$BB$6:$BB$85,(BY120-2)*20+CD120)</f>
        <v>130047</v>
      </c>
      <c r="CK120" s="14" t="s">
        <v>21</v>
      </c>
      <c r="CL120" s="14">
        <f>INDEX(属性投放!$BC$6:$BC$85,(BY120-2)*20+CD120)</f>
        <v>75</v>
      </c>
      <c r="CM120" s="14" t="s">
        <v>22</v>
      </c>
      <c r="CN120" s="14">
        <f>INDEX(属性投放!$BD$6:$BD$85,(BY120-2)*20+CD120)</f>
        <v>38</v>
      </c>
      <c r="CO120" s="14" t="s">
        <v>510</v>
      </c>
      <c r="CP120" s="14">
        <f>INDEX(属性投放!$BE$6:$BE$85,(BY120-2)*20+CD120)</f>
        <v>750</v>
      </c>
      <c r="CS120" s="13">
        <v>116</v>
      </c>
      <c r="CT120" s="13">
        <f t="shared" si="191"/>
        <v>3</v>
      </c>
      <c r="CU120" s="13">
        <f t="shared" si="192"/>
        <v>12</v>
      </c>
      <c r="CV120" s="14">
        <f t="shared" si="193"/>
        <v>4</v>
      </c>
      <c r="CW120" s="14">
        <f t="shared" si="194"/>
        <v>1102003</v>
      </c>
      <c r="CX120" s="14" t="str">
        <f>INDEX($O$6:$O$50,CT120)&amp;"-"&amp;INDEX(属性投放!$AB$7:$AB$50,CZ120)&amp;"-魂火-"&amp;DB120</f>
        <v>典韦-叫唤-魂火-1</v>
      </c>
      <c r="CY120" s="25" t="s">
        <v>142</v>
      </c>
      <c r="CZ120" s="14">
        <f>INDEX(属性投放!$AM$7:$AM$58,CU120)</f>
        <v>7</v>
      </c>
      <c r="DA120" s="14" t="s">
        <v>537</v>
      </c>
      <c r="DB120" s="14">
        <f>INDEX(属性投放!$AN$7:$AN$58,CU120)</f>
        <v>1</v>
      </c>
      <c r="DC120" s="14">
        <f t="shared" si="176"/>
        <v>12</v>
      </c>
      <c r="DD120" s="14">
        <f>INDEX(属性投放!$AO$7:$AO$58,DC120)</f>
        <v>48</v>
      </c>
      <c r="DE120" s="14" t="s">
        <v>538</v>
      </c>
      <c r="DF120" s="14">
        <f>INDEX(属性投放!$BK$6:$BK$85,(CV120-2)*20+CZ120)</f>
        <v>80</v>
      </c>
      <c r="DG120" s="14">
        <f>SUMIFS(DF$5:DF120,$CT$5:$CT120,"="&amp;$CT120)</f>
        <v>555</v>
      </c>
      <c r="DH120" s="14" t="s">
        <v>539</v>
      </c>
      <c r="DI120" s="14">
        <f>INDEX(属性投放!$BL$6:$BL$85,(CV120-2)*20+CZ120)</f>
        <v>40</v>
      </c>
      <c r="DJ120" s="14">
        <f>SUMIFS(DI$5:DI120,$CT$5:$CT120,"="&amp;$CT120)</f>
        <v>281</v>
      </c>
      <c r="DK120" s="14" t="s">
        <v>540</v>
      </c>
      <c r="DL120" s="14">
        <f>INDEX(属性投放!$BM$6:$BM$85,(CV120-2)*20+CZ120)</f>
        <v>640</v>
      </c>
      <c r="DM120" s="14">
        <f>SUMIFS(DL$5:DL120,$CT$5:$CT120,"="&amp;$CT120)</f>
        <v>3810</v>
      </c>
      <c r="DR120" s="14">
        <f t="shared" si="177"/>
        <v>1102006</v>
      </c>
      <c r="DS120" s="14" t="str">
        <f t="shared" si="178"/>
        <v>项羽16突</v>
      </c>
      <c r="DT120" s="14">
        <f t="shared" si="195"/>
        <v>8</v>
      </c>
      <c r="DU120" s="14">
        <f t="shared" si="196"/>
        <v>9</v>
      </c>
      <c r="DV120" s="14">
        <f t="shared" si="197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INDEX(属性投放!$AX$6:$AX$85,(卡牌属性!DW120-2)*20+卡牌属性!DX120)</f>
        <v>7</v>
      </c>
      <c r="EA120" s="14">
        <f>INDEX(属性投放!BQ$6:BQ$85,卡牌属性!$DY120)</f>
        <v>870</v>
      </c>
      <c r="EB120" s="14">
        <f>INDEX(属性投放!BR$6:BR$85,卡牌属性!$DY120)</f>
        <v>435</v>
      </c>
      <c r="EC120" s="14">
        <f>INDEX(属性投放!BS$6:BS$85,卡牌属性!$DY120)</f>
        <v>8700</v>
      </c>
      <c r="ED120" s="14">
        <f t="shared" si="275"/>
        <v>7420</v>
      </c>
      <c r="EE120" s="14">
        <f t="shared" si="276"/>
        <v>7865</v>
      </c>
      <c r="EF120" s="14">
        <f t="shared" si="277"/>
        <v>9120</v>
      </c>
      <c r="EG120" s="14">
        <f t="shared" si="278"/>
        <v>9120</v>
      </c>
      <c r="EH120" s="14">
        <f t="shared" si="279"/>
        <v>10815</v>
      </c>
      <c r="EI120" s="14">
        <f t="shared" si="280"/>
        <v>3899</v>
      </c>
      <c r="EJ120" s="14">
        <f t="shared" si="281"/>
        <v>4560</v>
      </c>
      <c r="EK120" s="14">
        <f t="shared" si="282"/>
        <v>4560</v>
      </c>
      <c r="EL120" s="14">
        <f t="shared" si="283"/>
        <v>5424</v>
      </c>
      <c r="EM120" s="14">
        <f t="shared" si="284"/>
        <v>6765</v>
      </c>
      <c r="EN120" s="14">
        <f t="shared" si="285"/>
        <v>63747</v>
      </c>
      <c r="EO120" s="14">
        <f t="shared" si="286"/>
        <v>67245</v>
      </c>
      <c r="EP120" s="14">
        <f t="shared" si="287"/>
        <v>67245</v>
      </c>
      <c r="EQ120" s="14">
        <f t="shared" si="288"/>
        <v>78205</v>
      </c>
      <c r="ER120" s="14">
        <f t="shared" si="289"/>
        <v>93105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INDEX(属性投放!$BQ$6:$BQ$85,(卡牌属性!$DW120-2)*20+卡牌属性!$DX120)</f>
        <v>870</v>
      </c>
      <c r="FI120" s="14">
        <f>INDEX(属性投放!$BQ$6:$BQ$85,(卡牌属性!$DW120-2)*20+卡牌属性!$DX120)</f>
        <v>870</v>
      </c>
      <c r="FJ120" s="14">
        <f>INDEX(属性投放!$BQ$6:$BQ$85,(卡牌属性!$DW120-2)*20+卡牌属性!$DX120)</f>
        <v>870</v>
      </c>
      <c r="FK120" s="14">
        <f>INDEX(属性投放!$BQ$6:$BQ$85,(卡牌属性!$DW120-2)*20+卡牌属性!$DX120)</f>
        <v>870</v>
      </c>
      <c r="FL120" s="14">
        <f>INDEX(属性投放!$BQ$6:$BQ$85,(卡牌属性!$DW120-2)*20+卡牌属性!$DX120)</f>
        <v>870</v>
      </c>
      <c r="FM120" s="14">
        <f>INDEX(属性投放!$BR$6:$BR$85,(卡牌属性!$DW120-2)*20+卡牌属性!$DX120)</f>
        <v>435</v>
      </c>
      <c r="FN120" s="14">
        <f>INDEX(属性投放!$BR$6:$BR$85,(卡牌属性!$DW120-2)*20+卡牌属性!$DX120)</f>
        <v>435</v>
      </c>
      <c r="FO120" s="14">
        <f>INDEX(属性投放!$BR$6:$BR$85,(卡牌属性!$DW120-2)*20+卡牌属性!$DX120)</f>
        <v>435</v>
      </c>
      <c r="FP120" s="14">
        <f>INDEX(属性投放!$BR$6:$BR$85,(卡牌属性!$DW120-2)*20+卡牌属性!$DX120)</f>
        <v>435</v>
      </c>
      <c r="FQ120" s="14">
        <f>INDEX(属性投放!$BR$6:$BR$85,(卡牌属性!$DW120-2)*20+卡牌属性!$DX120)</f>
        <v>435</v>
      </c>
      <c r="FR120" s="14">
        <f>INDEX(属性投放!$BS$6:$BS$85,(卡牌属性!$DW120-2)*20+卡牌属性!$DX120)</f>
        <v>8700</v>
      </c>
      <c r="FS120" s="14">
        <f>INDEX(属性投放!$BS$6:$BS$85,(卡牌属性!$DW120-2)*20+卡牌属性!$DX120)</f>
        <v>8700</v>
      </c>
      <c r="FT120" s="14">
        <f>INDEX(属性投放!$BS$6:$BS$85,(卡牌属性!$DW120-2)*20+卡牌属性!$DX120)</f>
        <v>8700</v>
      </c>
      <c r="FU120" s="14">
        <f>INDEX(属性投放!$BS$6:$BS$85,(卡牌属性!$DW120-2)*20+卡牌属性!$DX120)</f>
        <v>8700</v>
      </c>
      <c r="FV120" s="14">
        <f>INDEX(属性投放!$BS$6:$BS$85,(卡牌属性!$DW120-2)*20+卡牌属性!$DX120)</f>
        <v>8700</v>
      </c>
      <c r="FZ120" s="13">
        <v>116</v>
      </c>
      <c r="GA120" s="13">
        <f t="shared" si="291"/>
        <v>24</v>
      </c>
      <c r="GB120" s="14">
        <f t="shared" si="198"/>
        <v>1102024</v>
      </c>
      <c r="GC120" s="14" t="s">
        <v>1187</v>
      </c>
      <c r="GD120" s="14">
        <f t="shared" si="265"/>
        <v>1</v>
      </c>
      <c r="GE120" s="14" t="str">
        <f t="shared" si="266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MATCH(HC120,属性投放!$AO$6:$AO$58,1)-1</f>
        <v>39</v>
      </c>
      <c r="HF120" s="13">
        <f>MATCH(HC120-1,属性投放!$AE$6:$AE$26,1)</f>
        <v>16</v>
      </c>
      <c r="HG120" s="13" t="str">
        <f>INDEX(属性投放!$AB$7:$AB$26,卡牌属性!HF120)</f>
        <v>大焦热</v>
      </c>
      <c r="HH120" s="14">
        <f t="shared" si="200"/>
        <v>6693</v>
      </c>
      <c r="HI120" s="14">
        <f t="shared" si="201"/>
        <v>2858</v>
      </c>
      <c r="HJ120" s="14">
        <f t="shared" si="202"/>
        <v>49884</v>
      </c>
      <c r="HK120" s="14">
        <f t="shared" si="203"/>
        <v>50</v>
      </c>
      <c r="HL120" s="14">
        <f t="shared" si="204"/>
        <v>18</v>
      </c>
      <c r="HM120" s="14">
        <f t="shared" si="205"/>
        <v>350</v>
      </c>
      <c r="HN120" s="14">
        <f>HH120+HK120*($HC120-INDEX(属性投放!$AE$6:$AE$26,卡牌属性!$HF120))</f>
        <v>6993</v>
      </c>
      <c r="HO120" s="14">
        <f>HI120+HL120*($HC120-INDEX(属性投放!$AE$6:$AE$26,卡牌属性!$HF120))</f>
        <v>2966</v>
      </c>
      <c r="HP120" s="14">
        <f>HJ120+HM120*($HC120-INDEX(属性投放!$AE$6:$AE$26,卡牌属性!$HF120))</f>
        <v>51984</v>
      </c>
      <c r="HQ120" s="14">
        <f t="shared" si="206"/>
        <v>7435</v>
      </c>
      <c r="HR120" s="14">
        <f t="shared" si="207"/>
        <v>3727</v>
      </c>
      <c r="HS120" s="14">
        <f t="shared" si="208"/>
        <v>69785</v>
      </c>
      <c r="HT120" s="14">
        <f>IF(COUNTIF(属性投放!$AO$7:$AO$58,"="&amp;卡牌属性!HC120)&gt;0,卡牌属性!HE120,0)</f>
        <v>0</v>
      </c>
      <c r="HU120" s="14">
        <f t="shared" si="209"/>
        <v>0</v>
      </c>
      <c r="HV120" s="14">
        <f t="shared" si="210"/>
        <v>0</v>
      </c>
      <c r="HW120" s="14">
        <f t="shared" si="211"/>
        <v>0</v>
      </c>
      <c r="HX120" s="14">
        <f>IF(COUNTIF(属性投放!$AE$6:$AE$26,"="&amp;卡牌属性!HC120)&gt;0,卡牌属性!HF120,0)</f>
        <v>0</v>
      </c>
      <c r="HY120" s="14">
        <f t="shared" si="212"/>
        <v>0</v>
      </c>
      <c r="HZ120" s="14">
        <f t="shared" si="213"/>
        <v>0</v>
      </c>
      <c r="IA120" s="14">
        <f t="shared" si="214"/>
        <v>0</v>
      </c>
      <c r="IB120" s="14">
        <f t="shared" si="215"/>
        <v>50</v>
      </c>
      <c r="IC120" s="14">
        <f t="shared" si="216"/>
        <v>18</v>
      </c>
      <c r="ID120" s="14">
        <f t="shared" si="217"/>
        <v>350</v>
      </c>
      <c r="IE120" s="14">
        <f t="shared" si="218"/>
        <v>14428</v>
      </c>
      <c r="IF120" s="14">
        <f t="shared" si="219"/>
        <v>6693</v>
      </c>
      <c r="IG120" s="14">
        <f t="shared" si="220"/>
        <v>121769</v>
      </c>
      <c r="IH120" s="14">
        <f t="shared" si="221"/>
        <v>1210</v>
      </c>
      <c r="II120" s="14">
        <f t="shared" si="222"/>
        <v>0</v>
      </c>
      <c r="IJ120" s="14">
        <f t="shared" si="223"/>
        <v>0</v>
      </c>
      <c r="IK120" s="14">
        <f t="shared" si="224"/>
        <v>399909</v>
      </c>
      <c r="IL120" s="17">
        <f t="shared" si="225"/>
        <v>3.0256883440982823E-3</v>
      </c>
      <c r="IM120" s="17">
        <f t="shared" si="226"/>
        <v>0</v>
      </c>
      <c r="IN120" s="17">
        <f t="shared" si="227"/>
        <v>0</v>
      </c>
      <c r="IO120" s="23">
        <f>SUM(IH$5:IH120)</f>
        <v>71424</v>
      </c>
      <c r="IP120" s="14">
        <f>SUM(II$5:II120)</f>
        <v>218675</v>
      </c>
      <c r="IQ120" s="14">
        <f>SUM(IJ$5:IJ120)</f>
        <v>82640</v>
      </c>
      <c r="IR120" s="17">
        <f t="shared" si="228"/>
        <v>0.17860063164369894</v>
      </c>
      <c r="IS120" s="17">
        <f t="shared" si="229"/>
        <v>0.54681189970718336</v>
      </c>
      <c r="IT120" s="17">
        <f t="shared" si="230"/>
        <v>0.20664701219527443</v>
      </c>
      <c r="IW120" s="13">
        <v>116</v>
      </c>
      <c r="IX120" s="14">
        <f>MATCH(IW120-1,属性投放!$T$6:$T$66,1)</f>
        <v>28</v>
      </c>
      <c r="IY120" s="14">
        <f>MATCH(IW120-1,属性投放!$AD$7:$AD$26,1)</f>
        <v>15</v>
      </c>
      <c r="IZ120" s="14" t="str">
        <f>INDEX(属性投放!$AB$7:$AB$26,IY120)</f>
        <v>焦热+2</v>
      </c>
      <c r="JA120" s="14">
        <f t="shared" si="231"/>
        <v>5338</v>
      </c>
      <c r="JB120" s="14">
        <f t="shared" si="232"/>
        <v>2622</v>
      </c>
      <c r="JC120" s="14">
        <f t="shared" si="233"/>
        <v>45161</v>
      </c>
      <c r="JD120" s="14">
        <f t="shared" si="234"/>
        <v>151</v>
      </c>
      <c r="JE120" s="14">
        <f t="shared" si="235"/>
        <v>76</v>
      </c>
      <c r="JF120" s="14">
        <f t="shared" si="236"/>
        <v>1510</v>
      </c>
      <c r="JG120" s="14">
        <f>INDEX(属性投放!$DC$6:$DC$85,卡牌属性!IY120)</f>
        <v>85</v>
      </c>
      <c r="JH120" s="14">
        <f t="shared" si="237"/>
        <v>10019</v>
      </c>
      <c r="JI120" s="14">
        <f t="shared" si="238"/>
        <v>4978</v>
      </c>
      <c r="JJ120" s="14">
        <f t="shared" si="239"/>
        <v>91971</v>
      </c>
      <c r="JK120" s="14">
        <f t="shared" si="240"/>
        <v>191846</v>
      </c>
    </row>
    <row r="121" spans="31:271" ht="16.5" x14ac:dyDescent="0.2">
      <c r="AE121" s="13">
        <v>117</v>
      </c>
      <c r="AF121" s="13">
        <f t="shared" si="188"/>
        <v>6</v>
      </c>
      <c r="AG121" s="13">
        <f t="shared" si="169"/>
        <v>4</v>
      </c>
      <c r="AH121" s="13"/>
      <c r="AI121" s="13"/>
      <c r="AJ121" s="14">
        <f t="shared" si="170"/>
        <v>1101006</v>
      </c>
      <c r="AK121" s="14" t="str">
        <f t="shared" si="171"/>
        <v>红莲·缇娜17突</v>
      </c>
      <c r="AL121" s="25" t="s">
        <v>142</v>
      </c>
      <c r="AM121" s="14">
        <v>1</v>
      </c>
      <c r="AN121" s="14">
        <f t="shared" si="172"/>
        <v>17</v>
      </c>
      <c r="AO121" s="14">
        <f>INDEX(属性投放!$DF$6:$DF$85,(卡牌属性!AG121-2)*20+卡牌属性!AN121)</f>
        <v>14867</v>
      </c>
      <c r="AP121" s="14">
        <f t="shared" si="269"/>
        <v>14867</v>
      </c>
      <c r="AQ121" s="14">
        <f t="shared" si="269"/>
        <v>14867</v>
      </c>
      <c r="AR121" s="14">
        <f t="shared" si="269"/>
        <v>14867</v>
      </c>
      <c r="AS121" s="14">
        <f t="shared" si="269"/>
        <v>14867</v>
      </c>
      <c r="AT121" s="14">
        <f>INDEX(属性投放!$DG$6:$DG$85,(卡牌属性!AG121-2)*20+卡牌属性!AN121)</f>
        <v>7352</v>
      </c>
      <c r="AU121" s="14">
        <f t="shared" si="270"/>
        <v>7352</v>
      </c>
      <c r="AV121" s="14">
        <f t="shared" si="270"/>
        <v>7352</v>
      </c>
      <c r="AW121" s="14">
        <f t="shared" si="270"/>
        <v>7352</v>
      </c>
      <c r="AX121" s="14">
        <f t="shared" si="270"/>
        <v>7352</v>
      </c>
      <c r="AY121" s="14">
        <f>INDEX(属性投放!$DH$6:$DH$85,(卡牌属性!AG121-2)*20+卡牌属性!AN121)</f>
        <v>134858</v>
      </c>
      <c r="AZ121" s="14">
        <f t="shared" si="271"/>
        <v>134858</v>
      </c>
      <c r="BA121" s="14">
        <f t="shared" si="271"/>
        <v>134858</v>
      </c>
      <c r="BB121" s="14">
        <f t="shared" si="271"/>
        <v>134858</v>
      </c>
      <c r="BC121" s="14">
        <f t="shared" si="271"/>
        <v>134858</v>
      </c>
      <c r="BD121" s="14">
        <f>INDEX(属性投放!$DL$6:$DL$85,(卡牌属性!AG121-2)*20+卡牌属性!AN121)</f>
        <v>284</v>
      </c>
      <c r="BE121" s="14">
        <f t="shared" si="272"/>
        <v>284</v>
      </c>
      <c r="BF121" s="14">
        <f t="shared" si="272"/>
        <v>284</v>
      </c>
      <c r="BG121" s="14">
        <f t="shared" si="272"/>
        <v>284</v>
      </c>
      <c r="BH121" s="14">
        <f t="shared" si="272"/>
        <v>284</v>
      </c>
      <c r="BI121" s="14">
        <f>INDEX(属性投放!$DM$6:$DM$85,(卡牌属性!AG121-2)*20+卡牌属性!AN121)</f>
        <v>142</v>
      </c>
      <c r="BJ121" s="14">
        <f t="shared" si="273"/>
        <v>142</v>
      </c>
      <c r="BK121" s="14">
        <f t="shared" si="273"/>
        <v>142</v>
      </c>
      <c r="BL121" s="14">
        <f t="shared" si="273"/>
        <v>142</v>
      </c>
      <c r="BM121" s="14">
        <f t="shared" si="273"/>
        <v>142</v>
      </c>
      <c r="BN121" s="14">
        <f>INDEX(属性投放!$DN$6:$DN$85,(卡牌属性!AG121-2)*20+卡牌属性!AN121)</f>
        <v>2845</v>
      </c>
      <c r="BO121" s="14">
        <f t="shared" si="274"/>
        <v>2845</v>
      </c>
      <c r="BP121" s="14">
        <f t="shared" si="274"/>
        <v>2845</v>
      </c>
      <c r="BQ121" s="14">
        <f t="shared" si="274"/>
        <v>2845</v>
      </c>
      <c r="BR121" s="14">
        <f t="shared" si="274"/>
        <v>2845</v>
      </c>
      <c r="BW121" s="13">
        <v>117</v>
      </c>
      <c r="BX121" s="13">
        <f t="shared" si="173"/>
        <v>6</v>
      </c>
      <c r="BY121" s="14">
        <f t="shared" si="174"/>
        <v>5</v>
      </c>
      <c r="BZ121" s="14">
        <f t="shared" si="189"/>
        <v>1102006</v>
      </c>
      <c r="CA121" s="14" t="str">
        <f t="shared" si="190"/>
        <v>项羽17突</v>
      </c>
      <c r="CB121" s="25" t="s">
        <v>142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INDEX(属性投放!$AZ$6:$AZ$85,(BY121-2)*20+CD121)</f>
        <v>17839</v>
      </c>
      <c r="CG121" s="14" t="s">
        <v>22</v>
      </c>
      <c r="CH121" s="14">
        <f>INDEX(属性投放!$BA$6:$BA$85,(BY121-2)*20+CD121)</f>
        <v>8845</v>
      </c>
      <c r="CI121" s="14" t="s">
        <v>510</v>
      </c>
      <c r="CJ121" s="14">
        <f>INDEX(属性投放!$BB$6:$BB$85,(BY121-2)*20+CD121)</f>
        <v>161397</v>
      </c>
      <c r="CK121" s="14" t="s">
        <v>21</v>
      </c>
      <c r="CL121" s="14">
        <f>INDEX(属性投放!$BC$6:$BC$85,(BY121-2)*20+CD121)</f>
        <v>75</v>
      </c>
      <c r="CM121" s="14" t="s">
        <v>22</v>
      </c>
      <c r="CN121" s="14">
        <f>INDEX(属性投放!$BD$6:$BD$85,(BY121-2)*20+CD121)</f>
        <v>38</v>
      </c>
      <c r="CO121" s="14" t="s">
        <v>510</v>
      </c>
      <c r="CP121" s="14">
        <f>INDEX(属性投放!$BE$6:$BE$85,(BY121-2)*20+CD121)</f>
        <v>750</v>
      </c>
      <c r="CS121" s="13">
        <v>117</v>
      </c>
      <c r="CT121" s="13">
        <f t="shared" si="191"/>
        <v>3</v>
      </c>
      <c r="CU121" s="13">
        <f t="shared" si="192"/>
        <v>13</v>
      </c>
      <c r="CV121" s="14">
        <f t="shared" si="193"/>
        <v>4</v>
      </c>
      <c r="CW121" s="14">
        <f t="shared" si="194"/>
        <v>1102003</v>
      </c>
      <c r="CX121" s="14" t="str">
        <f>INDEX($O$6:$O$50,CT121)&amp;"-"&amp;INDEX(属性投放!$AB$7:$AB$50,CZ121)&amp;"-魂火-"&amp;DB121</f>
        <v>典韦-叫唤-魂火-2</v>
      </c>
      <c r="CY121" s="25" t="s">
        <v>142</v>
      </c>
      <c r="CZ121" s="14">
        <f>INDEX(属性投放!$AM$7:$AM$58,CU121)</f>
        <v>7</v>
      </c>
      <c r="DA121" s="14" t="s">
        <v>537</v>
      </c>
      <c r="DB121" s="14">
        <f>INDEX(属性投放!$AN$7:$AN$58,CU121)</f>
        <v>2</v>
      </c>
      <c r="DC121" s="14">
        <f t="shared" si="176"/>
        <v>13</v>
      </c>
      <c r="DD121" s="14">
        <f>INDEX(属性投放!$AO$7:$AO$58,DC121)</f>
        <v>50</v>
      </c>
      <c r="DE121" s="14" t="s">
        <v>538</v>
      </c>
      <c r="DF121" s="14">
        <f>INDEX(属性投放!$BK$6:$BK$85,(CV121-2)*20+CZ121)</f>
        <v>80</v>
      </c>
      <c r="DG121" s="14">
        <f>SUMIFS(DF$5:DF121,$CT$5:$CT121,"="&amp;$CT121)</f>
        <v>635</v>
      </c>
      <c r="DH121" s="14" t="s">
        <v>539</v>
      </c>
      <c r="DI121" s="14">
        <f>INDEX(属性投放!$BL$6:$BL$85,(CV121-2)*20+CZ121)</f>
        <v>40</v>
      </c>
      <c r="DJ121" s="14">
        <f>SUMIFS(DI$5:DI121,$CT$5:$CT121,"="&amp;$CT121)</f>
        <v>321</v>
      </c>
      <c r="DK121" s="14" t="s">
        <v>540</v>
      </c>
      <c r="DL121" s="14">
        <f>INDEX(属性投放!$BM$6:$BM$85,(CV121-2)*20+CZ121)</f>
        <v>640</v>
      </c>
      <c r="DM121" s="14">
        <f>SUMIFS(DL$5:DL121,$CT$5:$CT121,"="&amp;$CT121)</f>
        <v>4450</v>
      </c>
      <c r="DR121" s="14">
        <f t="shared" si="177"/>
        <v>1102006</v>
      </c>
      <c r="DS121" s="14" t="str">
        <f t="shared" si="178"/>
        <v>项羽17突</v>
      </c>
      <c r="DT121" s="14">
        <f t="shared" si="195"/>
        <v>8</v>
      </c>
      <c r="DU121" s="14">
        <f t="shared" si="196"/>
        <v>9</v>
      </c>
      <c r="DV121" s="14">
        <f t="shared" si="197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INDEX(属性投放!$AX$6:$AX$85,(卡牌属性!DW121-2)*20+卡牌属性!DX121)</f>
        <v>8</v>
      </c>
      <c r="EA121" s="14">
        <f>INDEX(属性投放!BQ$6:BQ$85,卡牌属性!$DY121)</f>
        <v>950</v>
      </c>
      <c r="EB121" s="14">
        <f>INDEX(属性投放!BR$6:BR$85,卡牌属性!$DY121)</f>
        <v>475</v>
      </c>
      <c r="EC121" s="14">
        <f>INDEX(属性投放!BS$6:BS$85,卡牌属性!$DY121)</f>
        <v>9500</v>
      </c>
      <c r="ED121" s="14">
        <f t="shared" si="275"/>
        <v>8710</v>
      </c>
      <c r="EE121" s="14">
        <f t="shared" si="276"/>
        <v>9260</v>
      </c>
      <c r="EF121" s="14">
        <f t="shared" si="277"/>
        <v>10690</v>
      </c>
      <c r="EG121" s="14">
        <f t="shared" si="278"/>
        <v>10690</v>
      </c>
      <c r="EH121" s="14">
        <f t="shared" si="279"/>
        <v>12735</v>
      </c>
      <c r="EI121" s="14">
        <f t="shared" si="280"/>
        <v>4600</v>
      </c>
      <c r="EJ121" s="14">
        <f t="shared" si="281"/>
        <v>5345</v>
      </c>
      <c r="EK121" s="14">
        <f t="shared" si="282"/>
        <v>5345</v>
      </c>
      <c r="EL121" s="14">
        <f t="shared" si="283"/>
        <v>6384</v>
      </c>
      <c r="EM121" s="14">
        <f t="shared" si="284"/>
        <v>7900</v>
      </c>
      <c r="EN121" s="14">
        <f t="shared" si="285"/>
        <v>76647</v>
      </c>
      <c r="EO121" s="14">
        <f t="shared" si="286"/>
        <v>81195</v>
      </c>
      <c r="EP121" s="14">
        <f t="shared" si="287"/>
        <v>81195</v>
      </c>
      <c r="EQ121" s="14">
        <f t="shared" si="288"/>
        <v>93905</v>
      </c>
      <c r="ER121" s="14">
        <f t="shared" si="289"/>
        <v>112305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INDEX(属性投放!$BQ$6:$BQ$85,(卡牌属性!$DW121-2)*20+卡牌属性!$DX121)</f>
        <v>950</v>
      </c>
      <c r="FI121" s="14">
        <f>INDEX(属性投放!$BQ$6:$BQ$85,(卡牌属性!$DW121-2)*20+卡牌属性!$DX121)</f>
        <v>950</v>
      </c>
      <c r="FJ121" s="14">
        <f>INDEX(属性投放!$BQ$6:$BQ$85,(卡牌属性!$DW121-2)*20+卡牌属性!$DX121)</f>
        <v>950</v>
      </c>
      <c r="FK121" s="14">
        <f>INDEX(属性投放!$BQ$6:$BQ$85,(卡牌属性!$DW121-2)*20+卡牌属性!$DX121)</f>
        <v>950</v>
      </c>
      <c r="FL121" s="14">
        <f>INDEX(属性投放!$BQ$6:$BQ$85,(卡牌属性!$DW121-2)*20+卡牌属性!$DX121)</f>
        <v>950</v>
      </c>
      <c r="FM121" s="14">
        <f>INDEX(属性投放!$BR$6:$BR$85,(卡牌属性!$DW121-2)*20+卡牌属性!$DX121)</f>
        <v>475</v>
      </c>
      <c r="FN121" s="14">
        <f>INDEX(属性投放!$BR$6:$BR$85,(卡牌属性!$DW121-2)*20+卡牌属性!$DX121)</f>
        <v>475</v>
      </c>
      <c r="FO121" s="14">
        <f>INDEX(属性投放!$BR$6:$BR$85,(卡牌属性!$DW121-2)*20+卡牌属性!$DX121)</f>
        <v>475</v>
      </c>
      <c r="FP121" s="14">
        <f>INDEX(属性投放!$BR$6:$BR$85,(卡牌属性!$DW121-2)*20+卡牌属性!$DX121)</f>
        <v>475</v>
      </c>
      <c r="FQ121" s="14">
        <f>INDEX(属性投放!$BR$6:$BR$85,(卡牌属性!$DW121-2)*20+卡牌属性!$DX121)</f>
        <v>475</v>
      </c>
      <c r="FR121" s="14">
        <f>INDEX(属性投放!$BS$6:$BS$85,(卡牌属性!$DW121-2)*20+卡牌属性!$DX121)</f>
        <v>9500</v>
      </c>
      <c r="FS121" s="14">
        <f>INDEX(属性投放!$BS$6:$BS$85,(卡牌属性!$DW121-2)*20+卡牌属性!$DX121)</f>
        <v>9500</v>
      </c>
      <c r="FT121" s="14">
        <f>INDEX(属性投放!$BS$6:$BS$85,(卡牌属性!$DW121-2)*20+卡牌属性!$DX121)</f>
        <v>9500</v>
      </c>
      <c r="FU121" s="14">
        <f>INDEX(属性投放!$BS$6:$BS$85,(卡牌属性!$DW121-2)*20+卡牌属性!$DX121)</f>
        <v>9500</v>
      </c>
      <c r="FV121" s="14">
        <f>INDEX(属性投放!$BS$6:$BS$85,(卡牌属性!$DW121-2)*20+卡牌属性!$DX121)</f>
        <v>9500</v>
      </c>
      <c r="FZ121" s="13">
        <v>117</v>
      </c>
      <c r="GA121" s="13">
        <f t="shared" si="291"/>
        <v>24</v>
      </c>
      <c r="GB121" s="14">
        <f t="shared" si="198"/>
        <v>1102024</v>
      </c>
      <c r="GC121" s="14" t="s">
        <v>1187</v>
      </c>
      <c r="GD121" s="14">
        <f t="shared" si="265"/>
        <v>2</v>
      </c>
      <c r="GE121" s="14" t="str">
        <f t="shared" si="266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MATCH(HC121,属性投放!$AO$6:$AO$58,1)-1</f>
        <v>39</v>
      </c>
      <c r="HF121" s="13">
        <f>MATCH(HC121-1,属性投放!$AE$6:$AE$26,1)</f>
        <v>16</v>
      </c>
      <c r="HG121" s="13" t="str">
        <f>INDEX(属性投放!$AB$7:$AB$26,卡牌属性!HF121)</f>
        <v>大焦热</v>
      </c>
      <c r="HH121" s="14">
        <f t="shared" si="200"/>
        <v>6693</v>
      </c>
      <c r="HI121" s="14">
        <f t="shared" si="201"/>
        <v>2858</v>
      </c>
      <c r="HJ121" s="14">
        <f t="shared" si="202"/>
        <v>49884</v>
      </c>
      <c r="HK121" s="14">
        <f t="shared" si="203"/>
        <v>50</v>
      </c>
      <c r="HL121" s="14">
        <f t="shared" si="204"/>
        <v>18</v>
      </c>
      <c r="HM121" s="14">
        <f t="shared" si="205"/>
        <v>350</v>
      </c>
      <c r="HN121" s="14">
        <f>HH121+HK121*($HC121-INDEX(属性投放!$AE$6:$AE$26,卡牌属性!$HF121))</f>
        <v>7043</v>
      </c>
      <c r="HO121" s="14">
        <f>HI121+HL121*($HC121-INDEX(属性投放!$AE$6:$AE$26,卡牌属性!$HF121))</f>
        <v>2984</v>
      </c>
      <c r="HP121" s="14">
        <f>HJ121+HM121*($HC121-INDEX(属性投放!$AE$6:$AE$26,卡牌属性!$HF121))</f>
        <v>52334</v>
      </c>
      <c r="HQ121" s="14">
        <f t="shared" si="206"/>
        <v>7435</v>
      </c>
      <c r="HR121" s="14">
        <f t="shared" si="207"/>
        <v>3727</v>
      </c>
      <c r="HS121" s="14">
        <f t="shared" si="208"/>
        <v>69785</v>
      </c>
      <c r="HT121" s="14">
        <f>IF(COUNTIF(属性投放!$AO$7:$AO$58,"="&amp;卡牌属性!HC121)&gt;0,卡牌属性!HE121,0)</f>
        <v>0</v>
      </c>
      <c r="HU121" s="14">
        <f t="shared" si="209"/>
        <v>0</v>
      </c>
      <c r="HV121" s="14">
        <f t="shared" si="210"/>
        <v>0</v>
      </c>
      <c r="HW121" s="14">
        <f t="shared" si="211"/>
        <v>0</v>
      </c>
      <c r="HX121" s="14">
        <f>IF(COUNTIF(属性投放!$AE$6:$AE$26,"="&amp;卡牌属性!HC121)&gt;0,卡牌属性!HF121,0)</f>
        <v>16</v>
      </c>
      <c r="HY121" s="14">
        <f t="shared" si="212"/>
        <v>800</v>
      </c>
      <c r="HZ121" s="14">
        <f t="shared" si="213"/>
        <v>400</v>
      </c>
      <c r="IA121" s="14">
        <f t="shared" si="214"/>
        <v>8000</v>
      </c>
      <c r="IB121" s="14">
        <f t="shared" si="215"/>
        <v>50</v>
      </c>
      <c r="IC121" s="14">
        <f t="shared" si="216"/>
        <v>18</v>
      </c>
      <c r="ID121" s="14">
        <f t="shared" si="217"/>
        <v>350</v>
      </c>
      <c r="IE121" s="14">
        <f t="shared" si="218"/>
        <v>14478</v>
      </c>
      <c r="IF121" s="14">
        <f t="shared" si="219"/>
        <v>6711</v>
      </c>
      <c r="IG121" s="14">
        <f t="shared" si="220"/>
        <v>122119</v>
      </c>
      <c r="IH121" s="14">
        <f t="shared" si="221"/>
        <v>1210</v>
      </c>
      <c r="II121" s="14">
        <f t="shared" si="222"/>
        <v>0</v>
      </c>
      <c r="IJ121" s="14">
        <f t="shared" si="223"/>
        <v>24000</v>
      </c>
      <c r="IK121" s="14">
        <f t="shared" si="224"/>
        <v>401119</v>
      </c>
      <c r="IL121" s="17">
        <f t="shared" si="225"/>
        <v>3.0165611701265709E-3</v>
      </c>
      <c r="IM121" s="17">
        <f t="shared" si="226"/>
        <v>0</v>
      </c>
      <c r="IN121" s="17">
        <f t="shared" si="227"/>
        <v>5.9832618250444385E-2</v>
      </c>
      <c r="IO121" s="23">
        <f>SUM(IH$5:IH121)</f>
        <v>72634</v>
      </c>
      <c r="IP121" s="14">
        <f>SUM(II$5:II121)</f>
        <v>218675</v>
      </c>
      <c r="IQ121" s="14">
        <f>SUM(IJ$5:IJ121)</f>
        <v>106640</v>
      </c>
      <c r="IR121" s="17">
        <f t="shared" si="228"/>
        <v>0.18107843308344906</v>
      </c>
      <c r="IS121" s="17">
        <f t="shared" si="229"/>
        <v>0.54516240816316353</v>
      </c>
      <c r="IT121" s="17">
        <f t="shared" si="230"/>
        <v>0.26585626709280785</v>
      </c>
      <c r="IW121" s="13">
        <v>117</v>
      </c>
      <c r="IX121" s="14">
        <f>MATCH(IW121-1,属性投放!$T$6:$T$66,1)</f>
        <v>28</v>
      </c>
      <c r="IY121" s="14">
        <f>MATCH(IW121-1,属性投放!$AD$7:$AD$26,1)</f>
        <v>15</v>
      </c>
      <c r="IZ121" s="14" t="str">
        <f>INDEX(属性投放!$AB$7:$AB$26,IY121)</f>
        <v>焦热+2</v>
      </c>
      <c r="JA121" s="14">
        <f t="shared" si="231"/>
        <v>5338</v>
      </c>
      <c r="JB121" s="14">
        <f t="shared" si="232"/>
        <v>2622</v>
      </c>
      <c r="JC121" s="14">
        <f t="shared" si="233"/>
        <v>45161</v>
      </c>
      <c r="JD121" s="14">
        <f t="shared" si="234"/>
        <v>151</v>
      </c>
      <c r="JE121" s="14">
        <f t="shared" si="235"/>
        <v>76</v>
      </c>
      <c r="JF121" s="14">
        <f t="shared" si="236"/>
        <v>1510</v>
      </c>
      <c r="JG121" s="14">
        <f>INDEX(属性投放!$DC$6:$DC$85,卡牌属性!IY121)</f>
        <v>85</v>
      </c>
      <c r="JH121" s="14">
        <f t="shared" si="237"/>
        <v>10170</v>
      </c>
      <c r="JI121" s="14">
        <f t="shared" si="238"/>
        <v>5054</v>
      </c>
      <c r="JJ121" s="14">
        <f t="shared" si="239"/>
        <v>93481</v>
      </c>
      <c r="JK121" s="14">
        <f t="shared" si="240"/>
        <v>194871</v>
      </c>
    </row>
    <row r="122" spans="31:271" ht="16.5" x14ac:dyDescent="0.2">
      <c r="AE122" s="13">
        <v>118</v>
      </c>
      <c r="AF122" s="13">
        <f t="shared" si="188"/>
        <v>6</v>
      </c>
      <c r="AG122" s="13">
        <f t="shared" si="169"/>
        <v>4</v>
      </c>
      <c r="AH122" s="13"/>
      <c r="AI122" s="13"/>
      <c r="AJ122" s="14">
        <f t="shared" si="170"/>
        <v>1101006</v>
      </c>
      <c r="AK122" s="14" t="str">
        <f t="shared" si="171"/>
        <v>红莲·缇娜18突</v>
      </c>
      <c r="AL122" s="25" t="s">
        <v>142</v>
      </c>
      <c r="AM122" s="14">
        <v>1</v>
      </c>
      <c r="AN122" s="14">
        <f t="shared" si="172"/>
        <v>18</v>
      </c>
      <c r="AO122" s="14">
        <f>INDEX(属性投放!$DF$6:$DF$85,(卡牌属性!AG122-2)*20+卡牌属性!AN122)</f>
        <v>15883</v>
      </c>
      <c r="AP122" s="14">
        <f t="shared" si="269"/>
        <v>15883</v>
      </c>
      <c r="AQ122" s="14">
        <f t="shared" si="269"/>
        <v>15883</v>
      </c>
      <c r="AR122" s="14">
        <f t="shared" si="269"/>
        <v>15883</v>
      </c>
      <c r="AS122" s="14">
        <f t="shared" si="269"/>
        <v>15883</v>
      </c>
      <c r="AT122" s="14">
        <f>INDEX(属性投放!$DG$6:$DG$85,(卡牌属性!AG122-2)*20+卡牌属性!AN122)</f>
        <v>7860</v>
      </c>
      <c r="AU122" s="14">
        <f t="shared" si="270"/>
        <v>7860</v>
      </c>
      <c r="AV122" s="14">
        <f t="shared" si="270"/>
        <v>7860</v>
      </c>
      <c r="AW122" s="14">
        <f t="shared" si="270"/>
        <v>7860</v>
      </c>
      <c r="AX122" s="14">
        <f t="shared" si="270"/>
        <v>7860</v>
      </c>
      <c r="AY122" s="14">
        <f>INDEX(属性投放!$DH$6:$DH$85,(卡牌属性!AG122-2)*20+卡牌属性!AN122)</f>
        <v>145018</v>
      </c>
      <c r="AZ122" s="14">
        <f t="shared" si="271"/>
        <v>145018</v>
      </c>
      <c r="BA122" s="14">
        <f t="shared" si="271"/>
        <v>145018</v>
      </c>
      <c r="BB122" s="14">
        <f t="shared" si="271"/>
        <v>145018</v>
      </c>
      <c r="BC122" s="14">
        <f t="shared" si="271"/>
        <v>145018</v>
      </c>
      <c r="BD122" s="14">
        <f>INDEX(属性投放!$DL$6:$DL$85,(卡牌属性!AG122-2)*20+卡牌属性!AN122)</f>
        <v>284</v>
      </c>
      <c r="BE122" s="14">
        <f t="shared" si="272"/>
        <v>284</v>
      </c>
      <c r="BF122" s="14">
        <f t="shared" si="272"/>
        <v>284</v>
      </c>
      <c r="BG122" s="14">
        <f t="shared" si="272"/>
        <v>284</v>
      </c>
      <c r="BH122" s="14">
        <f t="shared" si="272"/>
        <v>284</v>
      </c>
      <c r="BI122" s="14">
        <f>INDEX(属性投放!$DM$6:$DM$85,(卡牌属性!AG122-2)*20+卡牌属性!AN122)</f>
        <v>142</v>
      </c>
      <c r="BJ122" s="14">
        <f t="shared" si="273"/>
        <v>142</v>
      </c>
      <c r="BK122" s="14">
        <f t="shared" si="273"/>
        <v>142</v>
      </c>
      <c r="BL122" s="14">
        <f t="shared" si="273"/>
        <v>142</v>
      </c>
      <c r="BM122" s="14">
        <f t="shared" si="273"/>
        <v>142</v>
      </c>
      <c r="BN122" s="14">
        <f>INDEX(属性投放!$DN$6:$DN$85,(卡牌属性!AG122-2)*20+卡牌属性!AN122)</f>
        <v>2845</v>
      </c>
      <c r="BO122" s="14">
        <f t="shared" si="274"/>
        <v>2845</v>
      </c>
      <c r="BP122" s="14">
        <f t="shared" si="274"/>
        <v>2845</v>
      </c>
      <c r="BQ122" s="14">
        <f t="shared" si="274"/>
        <v>2845</v>
      </c>
      <c r="BR122" s="14">
        <f t="shared" si="274"/>
        <v>2845</v>
      </c>
      <c r="BW122" s="13">
        <v>118</v>
      </c>
      <c r="BX122" s="13">
        <f t="shared" si="173"/>
        <v>6</v>
      </c>
      <c r="BY122" s="14">
        <f t="shared" si="174"/>
        <v>5</v>
      </c>
      <c r="BZ122" s="14">
        <f t="shared" si="189"/>
        <v>1102006</v>
      </c>
      <c r="CA122" s="14" t="str">
        <f t="shared" si="190"/>
        <v>项羽18突</v>
      </c>
      <c r="CB122" s="25" t="s">
        <v>142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INDEX(属性投放!$AZ$6:$AZ$85,(BY122-2)*20+CD122)</f>
        <v>21549</v>
      </c>
      <c r="CG122" s="14" t="s">
        <v>22</v>
      </c>
      <c r="CH122" s="14">
        <f>INDEX(属性投放!$BA$6:$BA$85,(BY122-2)*20+CD122)</f>
        <v>10704</v>
      </c>
      <c r="CI122" s="14" t="s">
        <v>510</v>
      </c>
      <c r="CJ122" s="14">
        <f>INDEX(属性投放!$BB$6:$BB$85,(BY122-2)*20+CD122)</f>
        <v>198497</v>
      </c>
      <c r="CK122" s="14" t="s">
        <v>21</v>
      </c>
      <c r="CL122" s="14">
        <f>INDEX(属性投放!$BC$6:$BC$85,(BY122-2)*20+CD122)</f>
        <v>75</v>
      </c>
      <c r="CM122" s="14" t="s">
        <v>22</v>
      </c>
      <c r="CN122" s="14">
        <f>INDEX(属性投放!$BD$6:$BD$85,(BY122-2)*20+CD122)</f>
        <v>38</v>
      </c>
      <c r="CO122" s="14" t="s">
        <v>510</v>
      </c>
      <c r="CP122" s="14">
        <f>INDEX(属性投放!$BE$6:$BE$85,(BY122-2)*20+CD122)</f>
        <v>750</v>
      </c>
      <c r="CS122" s="13">
        <v>118</v>
      </c>
      <c r="CT122" s="13">
        <f t="shared" si="191"/>
        <v>3</v>
      </c>
      <c r="CU122" s="13">
        <f t="shared" si="192"/>
        <v>14</v>
      </c>
      <c r="CV122" s="14">
        <f t="shared" si="193"/>
        <v>4</v>
      </c>
      <c r="CW122" s="14">
        <f t="shared" si="194"/>
        <v>1102003</v>
      </c>
      <c r="CX122" s="14" t="str">
        <f>INDEX($O$6:$O$50,CT122)&amp;"-"&amp;INDEX(属性投放!$AB$7:$AB$50,CZ122)&amp;"-魂火-"&amp;DB122</f>
        <v>典韦-叫唤+1-魂火-1</v>
      </c>
      <c r="CY122" s="25" t="s">
        <v>142</v>
      </c>
      <c r="CZ122" s="14">
        <f>INDEX(属性投放!$AM$7:$AM$58,CU122)</f>
        <v>8</v>
      </c>
      <c r="DA122" s="14" t="s">
        <v>537</v>
      </c>
      <c r="DB122" s="14">
        <f>INDEX(属性投放!$AN$7:$AN$58,CU122)</f>
        <v>1</v>
      </c>
      <c r="DC122" s="14">
        <f t="shared" si="176"/>
        <v>14</v>
      </c>
      <c r="DD122" s="14">
        <f>INDEX(属性投放!$AO$7:$AO$58,DC122)</f>
        <v>53</v>
      </c>
      <c r="DE122" s="14" t="s">
        <v>538</v>
      </c>
      <c r="DF122" s="14">
        <f>INDEX(属性投放!$BK$6:$BK$85,(CV122-2)*20+CZ122)</f>
        <v>100</v>
      </c>
      <c r="DG122" s="14">
        <f>SUMIFS(DF$5:DF122,$CT$5:$CT122,"="&amp;$CT122)</f>
        <v>735</v>
      </c>
      <c r="DH122" s="14" t="s">
        <v>539</v>
      </c>
      <c r="DI122" s="14">
        <f>INDEX(属性投放!$BL$6:$BL$85,(CV122-2)*20+CZ122)</f>
        <v>50</v>
      </c>
      <c r="DJ122" s="14">
        <f>SUMIFS(DI$5:DI122,$CT$5:$CT122,"="&amp;$CT122)</f>
        <v>371</v>
      </c>
      <c r="DK122" s="14" t="s">
        <v>540</v>
      </c>
      <c r="DL122" s="14">
        <f>INDEX(属性投放!$BM$6:$BM$85,(CV122-2)*20+CZ122)</f>
        <v>800</v>
      </c>
      <c r="DM122" s="14">
        <f>SUMIFS(DL$5:DL122,$CT$5:$CT122,"="&amp;$CT122)</f>
        <v>5250</v>
      </c>
      <c r="DR122" s="14">
        <f t="shared" si="177"/>
        <v>1102006</v>
      </c>
      <c r="DS122" s="14" t="str">
        <f t="shared" si="178"/>
        <v>项羽18突</v>
      </c>
      <c r="DT122" s="14">
        <f t="shared" si="195"/>
        <v>8</v>
      </c>
      <c r="DU122" s="14">
        <f t="shared" si="196"/>
        <v>9</v>
      </c>
      <c r="DV122" s="14">
        <f t="shared" si="197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INDEX(属性投放!$AX$6:$AX$85,(卡牌属性!DW122-2)*20+卡牌属性!DX122)</f>
        <v>7</v>
      </c>
      <c r="EA122" s="14">
        <f>INDEX(属性投放!BQ$6:BQ$85,卡牌属性!$DY122)</f>
        <v>1500</v>
      </c>
      <c r="EB122" s="14">
        <f>INDEX(属性投放!BR$6:BR$85,卡牌属性!$DY122)</f>
        <v>750</v>
      </c>
      <c r="EC122" s="14">
        <f>INDEX(属性投放!BS$6:BS$85,卡牌属性!$DY122)</f>
        <v>15000</v>
      </c>
      <c r="ED122" s="14">
        <f t="shared" si="275"/>
        <v>10140</v>
      </c>
      <c r="EE122" s="14">
        <f t="shared" si="276"/>
        <v>10810</v>
      </c>
      <c r="EF122" s="14">
        <f t="shared" si="277"/>
        <v>12440</v>
      </c>
      <c r="EG122" s="14">
        <f t="shared" si="278"/>
        <v>12440</v>
      </c>
      <c r="EH122" s="14">
        <f t="shared" si="279"/>
        <v>14885</v>
      </c>
      <c r="EI122" s="14">
        <f t="shared" si="280"/>
        <v>5379</v>
      </c>
      <c r="EJ122" s="14">
        <f t="shared" si="281"/>
        <v>6220</v>
      </c>
      <c r="EK122" s="14">
        <f t="shared" si="282"/>
        <v>6220</v>
      </c>
      <c r="EL122" s="14">
        <f t="shared" si="283"/>
        <v>7459</v>
      </c>
      <c r="EM122" s="14">
        <f t="shared" si="284"/>
        <v>9175</v>
      </c>
      <c r="EN122" s="14">
        <f t="shared" si="285"/>
        <v>90947</v>
      </c>
      <c r="EO122" s="14">
        <f t="shared" si="286"/>
        <v>96695</v>
      </c>
      <c r="EP122" s="14">
        <f t="shared" si="287"/>
        <v>96695</v>
      </c>
      <c r="EQ122" s="14">
        <f t="shared" si="288"/>
        <v>111405</v>
      </c>
      <c r="ER122" s="14">
        <f t="shared" si="289"/>
        <v>133805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INDEX(属性投放!$BQ$6:$BQ$85,(卡牌属性!$DW122-2)*20+卡牌属性!$DX122)</f>
        <v>1500</v>
      </c>
      <c r="FI122" s="14">
        <f>INDEX(属性投放!$BQ$6:$BQ$85,(卡牌属性!$DW122-2)*20+卡牌属性!$DX122)</f>
        <v>1500</v>
      </c>
      <c r="FJ122" s="14">
        <f>INDEX(属性投放!$BQ$6:$BQ$85,(卡牌属性!$DW122-2)*20+卡牌属性!$DX122)</f>
        <v>1500</v>
      </c>
      <c r="FK122" s="14">
        <f>INDEX(属性投放!$BQ$6:$BQ$85,(卡牌属性!$DW122-2)*20+卡牌属性!$DX122)</f>
        <v>1500</v>
      </c>
      <c r="FL122" s="14">
        <f>INDEX(属性投放!$BQ$6:$BQ$85,(卡牌属性!$DW122-2)*20+卡牌属性!$DX122)</f>
        <v>1500</v>
      </c>
      <c r="FM122" s="14">
        <f>INDEX(属性投放!$BR$6:$BR$85,(卡牌属性!$DW122-2)*20+卡牌属性!$DX122)</f>
        <v>750</v>
      </c>
      <c r="FN122" s="14">
        <f>INDEX(属性投放!$BR$6:$BR$85,(卡牌属性!$DW122-2)*20+卡牌属性!$DX122)</f>
        <v>750</v>
      </c>
      <c r="FO122" s="14">
        <f>INDEX(属性投放!$BR$6:$BR$85,(卡牌属性!$DW122-2)*20+卡牌属性!$DX122)</f>
        <v>750</v>
      </c>
      <c r="FP122" s="14">
        <f>INDEX(属性投放!$BR$6:$BR$85,(卡牌属性!$DW122-2)*20+卡牌属性!$DX122)</f>
        <v>750</v>
      </c>
      <c r="FQ122" s="14">
        <f>INDEX(属性投放!$BR$6:$BR$85,(卡牌属性!$DW122-2)*20+卡牌属性!$DX122)</f>
        <v>750</v>
      </c>
      <c r="FR122" s="14">
        <f>INDEX(属性投放!$BS$6:$BS$85,(卡牌属性!$DW122-2)*20+卡牌属性!$DX122)</f>
        <v>15000</v>
      </c>
      <c r="FS122" s="14">
        <f>INDEX(属性投放!$BS$6:$BS$85,(卡牌属性!$DW122-2)*20+卡牌属性!$DX122)</f>
        <v>15000</v>
      </c>
      <c r="FT122" s="14">
        <f>INDEX(属性投放!$BS$6:$BS$85,(卡牌属性!$DW122-2)*20+卡牌属性!$DX122)</f>
        <v>15000</v>
      </c>
      <c r="FU122" s="14">
        <f>INDEX(属性投放!$BS$6:$BS$85,(卡牌属性!$DW122-2)*20+卡牌属性!$DX122)</f>
        <v>15000</v>
      </c>
      <c r="FV122" s="14">
        <f>INDEX(属性投放!$BS$6:$BS$85,(卡牌属性!$DW122-2)*20+卡牌属性!$DX122)</f>
        <v>15000</v>
      </c>
      <c r="FZ122" s="13">
        <v>118</v>
      </c>
      <c r="GA122" s="13">
        <f t="shared" si="291"/>
        <v>24</v>
      </c>
      <c r="GB122" s="14">
        <f t="shared" si="198"/>
        <v>1102024</v>
      </c>
      <c r="GC122" s="14" t="s">
        <v>1187</v>
      </c>
      <c r="GD122" s="14">
        <f t="shared" si="265"/>
        <v>3</v>
      </c>
      <c r="GE122" s="14" t="str">
        <f t="shared" si="266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MATCH(HC122,属性投放!$AO$6:$AO$58,1)-1</f>
        <v>40</v>
      </c>
      <c r="HF122" s="13">
        <f>MATCH(HC122-1,属性投放!$AE$6:$AE$26,1)</f>
        <v>17</v>
      </c>
      <c r="HG122" s="13" t="str">
        <f>INDEX(属性投放!$AB$7:$AB$26,卡牌属性!HF122)</f>
        <v>大焦热+1</v>
      </c>
      <c r="HH122" s="14">
        <f t="shared" si="200"/>
        <v>7893</v>
      </c>
      <c r="HI122" s="14">
        <f t="shared" si="201"/>
        <v>3409</v>
      </c>
      <c r="HJ122" s="14">
        <f t="shared" si="202"/>
        <v>60834</v>
      </c>
      <c r="HK122" s="14">
        <f t="shared" si="203"/>
        <v>50</v>
      </c>
      <c r="HL122" s="14">
        <f t="shared" si="204"/>
        <v>18</v>
      </c>
      <c r="HM122" s="14">
        <f t="shared" si="205"/>
        <v>350</v>
      </c>
      <c r="HN122" s="14">
        <f>HH122+HK122*($HC122-INDEX(属性投放!$AE$6:$AE$26,卡牌属性!$HF122))</f>
        <v>7943</v>
      </c>
      <c r="HO122" s="14">
        <f>HI122+HL122*($HC122-INDEX(属性投放!$AE$6:$AE$26,卡牌属性!$HF122))</f>
        <v>3427</v>
      </c>
      <c r="HP122" s="14">
        <f>HJ122+HM122*($HC122-INDEX(属性投放!$AE$6:$AE$26,卡牌属性!$HF122))</f>
        <v>61184</v>
      </c>
      <c r="HQ122" s="14">
        <f t="shared" si="206"/>
        <v>8085</v>
      </c>
      <c r="HR122" s="14">
        <f t="shared" si="207"/>
        <v>4052</v>
      </c>
      <c r="HS122" s="14">
        <f t="shared" si="208"/>
        <v>76285</v>
      </c>
      <c r="HT122" s="14">
        <f>IF(COUNTIF(属性投放!$AO$7:$AO$58,"="&amp;卡牌属性!HC122)&gt;0,卡牌属性!HE122,0)</f>
        <v>40</v>
      </c>
      <c r="HU122" s="14">
        <f t="shared" si="209"/>
        <v>650</v>
      </c>
      <c r="HV122" s="14">
        <f t="shared" si="210"/>
        <v>325</v>
      </c>
      <c r="HW122" s="14">
        <f t="shared" si="211"/>
        <v>6500</v>
      </c>
      <c r="HX122" s="14">
        <f>IF(COUNTIF(属性投放!$AE$6:$AE$26,"="&amp;卡牌属性!HC122)&gt;0,卡牌属性!HF122,0)</f>
        <v>0</v>
      </c>
      <c r="HY122" s="14">
        <f t="shared" si="212"/>
        <v>0</v>
      </c>
      <c r="HZ122" s="14">
        <f t="shared" si="213"/>
        <v>0</v>
      </c>
      <c r="IA122" s="14">
        <f t="shared" si="214"/>
        <v>0</v>
      </c>
      <c r="IB122" s="14">
        <f t="shared" si="215"/>
        <v>50</v>
      </c>
      <c r="IC122" s="14">
        <f t="shared" si="216"/>
        <v>18</v>
      </c>
      <c r="ID122" s="14">
        <f t="shared" si="217"/>
        <v>350</v>
      </c>
      <c r="IE122" s="14">
        <f t="shared" si="218"/>
        <v>16028</v>
      </c>
      <c r="IF122" s="14">
        <f t="shared" si="219"/>
        <v>7479</v>
      </c>
      <c r="IG122" s="14">
        <f t="shared" si="220"/>
        <v>137469</v>
      </c>
      <c r="IH122" s="14">
        <f t="shared" si="221"/>
        <v>1210</v>
      </c>
      <c r="II122" s="14">
        <f t="shared" si="222"/>
        <v>19500</v>
      </c>
      <c r="IJ122" s="14">
        <f t="shared" si="223"/>
        <v>0</v>
      </c>
      <c r="IK122" s="14">
        <f t="shared" si="224"/>
        <v>447329</v>
      </c>
      <c r="IL122" s="17">
        <f t="shared" si="225"/>
        <v>2.7049442356744139E-3</v>
      </c>
      <c r="IM122" s="17">
        <f t="shared" si="226"/>
        <v>4.3592076525331466E-2</v>
      </c>
      <c r="IN122" s="17">
        <f t="shared" si="227"/>
        <v>0</v>
      </c>
      <c r="IO122" s="23">
        <f>SUM(IH$5:IH122)</f>
        <v>73844</v>
      </c>
      <c r="IP122" s="14">
        <f>SUM(II$5:II122)</f>
        <v>238175</v>
      </c>
      <c r="IQ122" s="14">
        <f>SUM(IJ$5:IJ122)</f>
        <v>106640</v>
      </c>
      <c r="IR122" s="17">
        <f t="shared" si="228"/>
        <v>0.16507760507367061</v>
      </c>
      <c r="IS122" s="17">
        <f t="shared" si="229"/>
        <v>0.5324380936626063</v>
      </c>
      <c r="IT122" s="17">
        <f t="shared" si="230"/>
        <v>0.23839277131596656</v>
      </c>
      <c r="IW122" s="13">
        <v>118</v>
      </c>
      <c r="IX122" s="14">
        <f>MATCH(IW122-1,属性投放!$T$6:$T$66,1)</f>
        <v>29</v>
      </c>
      <c r="IY122" s="14">
        <f>MATCH(IW122-1,属性投放!$AD$7:$AD$26,1)</f>
        <v>15</v>
      </c>
      <c r="IZ122" s="14" t="str">
        <f>INDEX(属性投放!$AB$7:$AB$26,IY122)</f>
        <v>焦热+2</v>
      </c>
      <c r="JA122" s="14">
        <f t="shared" si="231"/>
        <v>5338</v>
      </c>
      <c r="JB122" s="14">
        <f t="shared" si="232"/>
        <v>2622</v>
      </c>
      <c r="JC122" s="14">
        <f t="shared" si="233"/>
        <v>45161</v>
      </c>
      <c r="JD122" s="14">
        <f t="shared" si="234"/>
        <v>151</v>
      </c>
      <c r="JE122" s="14">
        <f t="shared" si="235"/>
        <v>76</v>
      </c>
      <c r="JF122" s="14">
        <f t="shared" si="236"/>
        <v>1510</v>
      </c>
      <c r="JG122" s="14">
        <f>INDEX(属性投放!$DC$6:$DC$85,卡牌属性!IY122)</f>
        <v>85</v>
      </c>
      <c r="JH122" s="14">
        <f t="shared" si="237"/>
        <v>10321</v>
      </c>
      <c r="JI122" s="14">
        <f t="shared" si="238"/>
        <v>5130</v>
      </c>
      <c r="JJ122" s="14">
        <f t="shared" si="239"/>
        <v>94991</v>
      </c>
      <c r="JK122" s="14">
        <f t="shared" si="240"/>
        <v>197896</v>
      </c>
    </row>
    <row r="123" spans="31:271" ht="16.5" x14ac:dyDescent="0.2">
      <c r="AE123" s="13">
        <v>119</v>
      </c>
      <c r="AF123" s="13">
        <f t="shared" si="188"/>
        <v>6</v>
      </c>
      <c r="AG123" s="13">
        <f t="shared" si="169"/>
        <v>4</v>
      </c>
      <c r="AH123" s="13"/>
      <c r="AI123" s="13"/>
      <c r="AJ123" s="14">
        <f t="shared" si="170"/>
        <v>1101006</v>
      </c>
      <c r="AK123" s="14" t="str">
        <f t="shared" si="171"/>
        <v>红莲·缇娜19突</v>
      </c>
      <c r="AL123" s="25" t="s">
        <v>142</v>
      </c>
      <c r="AM123" s="14">
        <v>1</v>
      </c>
      <c r="AN123" s="14">
        <f t="shared" si="172"/>
        <v>19</v>
      </c>
      <c r="AO123" s="14">
        <f>INDEX(属性投放!$DF$6:$DF$85,(卡牌属性!AG123-2)*20+卡牌属性!AN123)</f>
        <v>23999</v>
      </c>
      <c r="AP123" s="14">
        <f t="shared" si="269"/>
        <v>23999</v>
      </c>
      <c r="AQ123" s="14">
        <f t="shared" si="269"/>
        <v>23999</v>
      </c>
      <c r="AR123" s="14">
        <f t="shared" si="269"/>
        <v>23999</v>
      </c>
      <c r="AS123" s="14">
        <f t="shared" si="269"/>
        <v>23999</v>
      </c>
      <c r="AT123" s="14">
        <f>INDEX(属性投放!$DG$6:$DG$85,(卡牌属性!AG123-2)*20+卡牌属性!AN123)</f>
        <v>11918</v>
      </c>
      <c r="AU123" s="14">
        <f t="shared" si="270"/>
        <v>11918</v>
      </c>
      <c r="AV123" s="14">
        <f t="shared" si="270"/>
        <v>11918</v>
      </c>
      <c r="AW123" s="14">
        <f t="shared" si="270"/>
        <v>11918</v>
      </c>
      <c r="AX123" s="14">
        <f t="shared" si="270"/>
        <v>11918</v>
      </c>
      <c r="AY123" s="14">
        <f>INDEX(属性投放!$DH$6:$DH$85,(卡牌属性!AG123-2)*20+卡牌属性!AN123)</f>
        <v>226303</v>
      </c>
      <c r="AZ123" s="14">
        <f t="shared" si="271"/>
        <v>226303</v>
      </c>
      <c r="BA123" s="14">
        <f t="shared" si="271"/>
        <v>226303</v>
      </c>
      <c r="BB123" s="14">
        <f t="shared" si="271"/>
        <v>226303</v>
      </c>
      <c r="BC123" s="14">
        <f t="shared" si="271"/>
        <v>226303</v>
      </c>
      <c r="BD123" s="14">
        <f>INDEX(属性投放!$DL$6:$DL$85,(卡牌属性!AG123-2)*20+卡牌属性!AN123)</f>
        <v>516</v>
      </c>
      <c r="BE123" s="14">
        <f t="shared" si="272"/>
        <v>516</v>
      </c>
      <c r="BF123" s="14">
        <f t="shared" si="272"/>
        <v>516</v>
      </c>
      <c r="BG123" s="14">
        <f t="shared" si="272"/>
        <v>516</v>
      </c>
      <c r="BH123" s="14">
        <f t="shared" si="272"/>
        <v>516</v>
      </c>
      <c r="BI123" s="14">
        <f>INDEX(属性投放!$DM$6:$DM$85,(卡牌属性!AG123-2)*20+卡牌属性!AN123)</f>
        <v>258</v>
      </c>
      <c r="BJ123" s="14">
        <f t="shared" si="273"/>
        <v>258</v>
      </c>
      <c r="BK123" s="14">
        <f t="shared" si="273"/>
        <v>258</v>
      </c>
      <c r="BL123" s="14">
        <f t="shared" si="273"/>
        <v>258</v>
      </c>
      <c r="BM123" s="14">
        <f t="shared" si="273"/>
        <v>258</v>
      </c>
      <c r="BN123" s="14">
        <f>INDEX(属性投放!$DN$6:$DN$85,(卡牌属性!AG123-2)*20+卡牌属性!AN123)</f>
        <v>5157</v>
      </c>
      <c r="BO123" s="14">
        <f t="shared" si="274"/>
        <v>5157</v>
      </c>
      <c r="BP123" s="14">
        <f t="shared" si="274"/>
        <v>5157</v>
      </c>
      <c r="BQ123" s="14">
        <f t="shared" si="274"/>
        <v>5157</v>
      </c>
      <c r="BR123" s="14">
        <f t="shared" si="274"/>
        <v>5157</v>
      </c>
      <c r="BW123" s="13">
        <v>119</v>
      </c>
      <c r="BX123" s="13">
        <f t="shared" si="173"/>
        <v>6</v>
      </c>
      <c r="BY123" s="14">
        <f t="shared" si="174"/>
        <v>5</v>
      </c>
      <c r="BZ123" s="14">
        <f t="shared" si="189"/>
        <v>1102006</v>
      </c>
      <c r="CA123" s="14" t="str">
        <f t="shared" si="190"/>
        <v>项羽19突</v>
      </c>
      <c r="CB123" s="25" t="s">
        <v>142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INDEX(属性投放!$AZ$6:$AZ$85,(BY123-2)*20+CD123)</f>
        <v>26064</v>
      </c>
      <c r="CG123" s="14" t="s">
        <v>22</v>
      </c>
      <c r="CH123" s="14">
        <f>INDEX(属性投放!$BA$6:$BA$85,(BY123-2)*20+CD123)</f>
        <v>12965</v>
      </c>
      <c r="CI123" s="14" t="s">
        <v>510</v>
      </c>
      <c r="CJ123" s="14">
        <f>INDEX(属性投放!$BB$6:$BB$85,(BY123-2)*20+CD123)</f>
        <v>243647</v>
      </c>
      <c r="CK123" s="14" t="s">
        <v>21</v>
      </c>
      <c r="CL123" s="14">
        <f>INDEX(属性投放!$BC$6:$BC$85,(BY123-2)*20+CD123)</f>
        <v>100</v>
      </c>
      <c r="CM123" s="14" t="s">
        <v>22</v>
      </c>
      <c r="CN123" s="14">
        <f>INDEX(属性投放!$BD$6:$BD$85,(BY123-2)*20+CD123)</f>
        <v>50</v>
      </c>
      <c r="CO123" s="14" t="s">
        <v>510</v>
      </c>
      <c r="CP123" s="14">
        <f>INDEX(属性投放!$BE$6:$BE$85,(BY123-2)*20+CD123)</f>
        <v>1000</v>
      </c>
      <c r="CS123" s="13">
        <v>119</v>
      </c>
      <c r="CT123" s="13">
        <f t="shared" si="191"/>
        <v>3</v>
      </c>
      <c r="CU123" s="13">
        <f t="shared" si="192"/>
        <v>15</v>
      </c>
      <c r="CV123" s="14">
        <f t="shared" si="193"/>
        <v>4</v>
      </c>
      <c r="CW123" s="14">
        <f t="shared" si="194"/>
        <v>1102003</v>
      </c>
      <c r="CX123" s="14" t="str">
        <f>INDEX($O$6:$O$50,CT123)&amp;"-"&amp;INDEX(属性投放!$AB$7:$AB$50,CZ123)&amp;"-魂火-"&amp;DB123</f>
        <v>典韦-叫唤+1-魂火-2</v>
      </c>
      <c r="CY123" s="25" t="s">
        <v>142</v>
      </c>
      <c r="CZ123" s="14">
        <f>INDEX(属性投放!$AM$7:$AM$58,CU123)</f>
        <v>8</v>
      </c>
      <c r="DA123" s="14" t="s">
        <v>537</v>
      </c>
      <c r="DB123" s="14">
        <f>INDEX(属性投放!$AN$7:$AN$58,CU123)</f>
        <v>2</v>
      </c>
      <c r="DC123" s="14">
        <f t="shared" si="176"/>
        <v>15</v>
      </c>
      <c r="DD123" s="14">
        <f>INDEX(属性投放!$AO$7:$AO$58,DC123)</f>
        <v>55</v>
      </c>
      <c r="DE123" s="14" t="s">
        <v>538</v>
      </c>
      <c r="DF123" s="14">
        <f>INDEX(属性投放!$BK$6:$BK$85,(CV123-2)*20+CZ123)</f>
        <v>100</v>
      </c>
      <c r="DG123" s="14">
        <f>SUMIFS(DF$5:DF123,$CT$5:$CT123,"="&amp;$CT123)</f>
        <v>835</v>
      </c>
      <c r="DH123" s="14" t="s">
        <v>539</v>
      </c>
      <c r="DI123" s="14">
        <f>INDEX(属性投放!$BL$6:$BL$85,(CV123-2)*20+CZ123)</f>
        <v>50</v>
      </c>
      <c r="DJ123" s="14">
        <f>SUMIFS(DI$5:DI123,$CT$5:$CT123,"="&amp;$CT123)</f>
        <v>421</v>
      </c>
      <c r="DK123" s="14" t="s">
        <v>540</v>
      </c>
      <c r="DL123" s="14">
        <f>INDEX(属性投放!$BM$6:$BM$85,(CV123-2)*20+CZ123)</f>
        <v>800</v>
      </c>
      <c r="DM123" s="14">
        <f>SUMIFS(DL$5:DL123,$CT$5:$CT123,"="&amp;$CT123)</f>
        <v>6050</v>
      </c>
      <c r="DR123" s="14">
        <f t="shared" si="177"/>
        <v>1102006</v>
      </c>
      <c r="DS123" s="14" t="str">
        <f t="shared" si="178"/>
        <v>项羽19突</v>
      </c>
      <c r="DT123" s="14">
        <f t="shared" si="195"/>
        <v>8</v>
      </c>
      <c r="DU123" s="14">
        <f t="shared" si="196"/>
        <v>9</v>
      </c>
      <c r="DV123" s="14">
        <f t="shared" si="197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INDEX(属性投放!$AX$6:$AX$85,(卡牌属性!DW123-2)*20+卡牌属性!DX123)</f>
        <v>8</v>
      </c>
      <c r="EA123" s="14">
        <f>INDEX(属性投放!BQ$6:BQ$85,卡牌属性!$DY123)</f>
        <v>1550</v>
      </c>
      <c r="EB123" s="14">
        <f>INDEX(属性投放!BR$6:BR$85,卡牌属性!$DY123)</f>
        <v>775</v>
      </c>
      <c r="EC123" s="14">
        <f>INDEX(属性投放!BS$6:BS$85,卡牌属性!$DY123)</f>
        <v>15500</v>
      </c>
      <c r="ED123" s="14">
        <f t="shared" si="275"/>
        <v>12060</v>
      </c>
      <c r="EE123" s="14">
        <f t="shared" si="276"/>
        <v>12835</v>
      </c>
      <c r="EF123" s="14">
        <f t="shared" si="277"/>
        <v>14640</v>
      </c>
      <c r="EG123" s="14">
        <f t="shared" si="278"/>
        <v>14640</v>
      </c>
      <c r="EH123" s="14">
        <f t="shared" si="279"/>
        <v>17435</v>
      </c>
      <c r="EI123" s="14">
        <f t="shared" si="280"/>
        <v>6395</v>
      </c>
      <c r="EJ123" s="14">
        <f t="shared" si="281"/>
        <v>7320</v>
      </c>
      <c r="EK123" s="14">
        <f t="shared" si="282"/>
        <v>7320</v>
      </c>
      <c r="EL123" s="14">
        <f t="shared" si="283"/>
        <v>8734</v>
      </c>
      <c r="EM123" s="14">
        <f t="shared" si="284"/>
        <v>10625</v>
      </c>
      <c r="EN123" s="14">
        <f t="shared" si="285"/>
        <v>110147</v>
      </c>
      <c r="EO123" s="14">
        <f t="shared" si="286"/>
        <v>116945</v>
      </c>
      <c r="EP123" s="14">
        <f t="shared" si="287"/>
        <v>116945</v>
      </c>
      <c r="EQ123" s="14">
        <f t="shared" si="288"/>
        <v>133405</v>
      </c>
      <c r="ER123" s="14">
        <f t="shared" si="289"/>
        <v>159305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INDEX(属性投放!$BQ$6:$BQ$85,(卡牌属性!$DW123-2)*20+卡牌属性!$DX123)</f>
        <v>1550</v>
      </c>
      <c r="FI123" s="14">
        <f>INDEX(属性投放!$BQ$6:$BQ$85,(卡牌属性!$DW123-2)*20+卡牌属性!$DX123)</f>
        <v>1550</v>
      </c>
      <c r="FJ123" s="14">
        <f>INDEX(属性投放!$BQ$6:$BQ$85,(卡牌属性!$DW123-2)*20+卡牌属性!$DX123)</f>
        <v>1550</v>
      </c>
      <c r="FK123" s="14">
        <f>INDEX(属性投放!$BQ$6:$BQ$85,(卡牌属性!$DW123-2)*20+卡牌属性!$DX123)</f>
        <v>1550</v>
      </c>
      <c r="FL123" s="14">
        <f>INDEX(属性投放!$BQ$6:$BQ$85,(卡牌属性!$DW123-2)*20+卡牌属性!$DX123)</f>
        <v>1550</v>
      </c>
      <c r="FM123" s="14">
        <f>INDEX(属性投放!$BR$6:$BR$85,(卡牌属性!$DW123-2)*20+卡牌属性!$DX123)</f>
        <v>775</v>
      </c>
      <c r="FN123" s="14">
        <f>INDEX(属性投放!$BR$6:$BR$85,(卡牌属性!$DW123-2)*20+卡牌属性!$DX123)</f>
        <v>775</v>
      </c>
      <c r="FO123" s="14">
        <f>INDEX(属性投放!$BR$6:$BR$85,(卡牌属性!$DW123-2)*20+卡牌属性!$DX123)</f>
        <v>775</v>
      </c>
      <c r="FP123" s="14">
        <f>INDEX(属性投放!$BR$6:$BR$85,(卡牌属性!$DW123-2)*20+卡牌属性!$DX123)</f>
        <v>775</v>
      </c>
      <c r="FQ123" s="14">
        <f>INDEX(属性投放!$BR$6:$BR$85,(卡牌属性!$DW123-2)*20+卡牌属性!$DX123)</f>
        <v>775</v>
      </c>
      <c r="FR123" s="14">
        <f>INDEX(属性投放!$BS$6:$BS$85,(卡牌属性!$DW123-2)*20+卡牌属性!$DX123)</f>
        <v>15500</v>
      </c>
      <c r="FS123" s="14">
        <f>INDEX(属性投放!$BS$6:$BS$85,(卡牌属性!$DW123-2)*20+卡牌属性!$DX123)</f>
        <v>15500</v>
      </c>
      <c r="FT123" s="14">
        <f>INDEX(属性投放!$BS$6:$BS$85,(卡牌属性!$DW123-2)*20+卡牌属性!$DX123)</f>
        <v>15500</v>
      </c>
      <c r="FU123" s="14">
        <f>INDEX(属性投放!$BS$6:$BS$85,(卡牌属性!$DW123-2)*20+卡牌属性!$DX123)</f>
        <v>15500</v>
      </c>
      <c r="FV123" s="14">
        <f>INDEX(属性投放!$BS$6:$BS$85,(卡牌属性!$DW123-2)*20+卡牌属性!$DX123)</f>
        <v>15500</v>
      </c>
      <c r="FZ123" s="13">
        <v>119</v>
      </c>
      <c r="GA123" s="13">
        <f t="shared" si="291"/>
        <v>24</v>
      </c>
      <c r="GB123" s="14">
        <f t="shared" si="198"/>
        <v>1102024</v>
      </c>
      <c r="GC123" s="14" t="s">
        <v>1187</v>
      </c>
      <c r="GD123" s="14">
        <f t="shared" si="265"/>
        <v>4</v>
      </c>
      <c r="GE123" s="14" t="str">
        <f t="shared" si="266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MATCH(HC123,属性投放!$AO$6:$AO$58,1)-1</f>
        <v>40</v>
      </c>
      <c r="HF123" s="13">
        <f>MATCH(HC123-1,属性投放!$AE$6:$AE$26,1)</f>
        <v>17</v>
      </c>
      <c r="HG123" s="13" t="str">
        <f>INDEX(属性投放!$AB$7:$AB$26,卡牌属性!HF123)</f>
        <v>大焦热+1</v>
      </c>
      <c r="HH123" s="14">
        <f t="shared" si="200"/>
        <v>7893</v>
      </c>
      <c r="HI123" s="14">
        <f t="shared" si="201"/>
        <v>3409</v>
      </c>
      <c r="HJ123" s="14">
        <f t="shared" si="202"/>
        <v>60834</v>
      </c>
      <c r="HK123" s="14">
        <f t="shared" si="203"/>
        <v>50</v>
      </c>
      <c r="HL123" s="14">
        <f t="shared" si="204"/>
        <v>18</v>
      </c>
      <c r="HM123" s="14">
        <f t="shared" si="205"/>
        <v>350</v>
      </c>
      <c r="HN123" s="14">
        <f>HH123+HK123*($HC123-INDEX(属性投放!$AE$6:$AE$26,卡牌属性!$HF123))</f>
        <v>7993</v>
      </c>
      <c r="HO123" s="14">
        <f>HI123+HL123*($HC123-INDEX(属性投放!$AE$6:$AE$26,卡牌属性!$HF123))</f>
        <v>3445</v>
      </c>
      <c r="HP123" s="14">
        <f>HJ123+HM123*($HC123-INDEX(属性投放!$AE$6:$AE$26,卡牌属性!$HF123))</f>
        <v>61534</v>
      </c>
      <c r="HQ123" s="14">
        <f t="shared" si="206"/>
        <v>8085</v>
      </c>
      <c r="HR123" s="14">
        <f t="shared" si="207"/>
        <v>4052</v>
      </c>
      <c r="HS123" s="14">
        <f t="shared" si="208"/>
        <v>76285</v>
      </c>
      <c r="HT123" s="14">
        <f>IF(COUNTIF(属性投放!$AO$7:$AO$58,"="&amp;卡牌属性!HC123)&gt;0,卡牌属性!HE123,0)</f>
        <v>0</v>
      </c>
      <c r="HU123" s="14">
        <f t="shared" si="209"/>
        <v>0</v>
      </c>
      <c r="HV123" s="14">
        <f t="shared" si="210"/>
        <v>0</v>
      </c>
      <c r="HW123" s="14">
        <f t="shared" si="211"/>
        <v>0</v>
      </c>
      <c r="HX123" s="14">
        <f>IF(COUNTIF(属性投放!$AE$6:$AE$26,"="&amp;卡牌属性!HC123)&gt;0,卡牌属性!HF123,0)</f>
        <v>0</v>
      </c>
      <c r="HY123" s="14">
        <f t="shared" si="212"/>
        <v>0</v>
      </c>
      <c r="HZ123" s="14">
        <f t="shared" si="213"/>
        <v>0</v>
      </c>
      <c r="IA123" s="14">
        <f t="shared" si="214"/>
        <v>0</v>
      </c>
      <c r="IB123" s="14">
        <f t="shared" si="215"/>
        <v>50</v>
      </c>
      <c r="IC123" s="14">
        <f t="shared" si="216"/>
        <v>18</v>
      </c>
      <c r="ID123" s="14">
        <f t="shared" si="217"/>
        <v>350</v>
      </c>
      <c r="IE123" s="14">
        <f t="shared" si="218"/>
        <v>16078</v>
      </c>
      <c r="IF123" s="14">
        <f t="shared" si="219"/>
        <v>7497</v>
      </c>
      <c r="IG123" s="14">
        <f t="shared" si="220"/>
        <v>137819</v>
      </c>
      <c r="IH123" s="14">
        <f t="shared" si="221"/>
        <v>1210</v>
      </c>
      <c r="II123" s="14">
        <f t="shared" si="222"/>
        <v>0</v>
      </c>
      <c r="IJ123" s="14">
        <f t="shared" si="223"/>
        <v>0</v>
      </c>
      <c r="IK123" s="14">
        <f t="shared" si="224"/>
        <v>448539</v>
      </c>
      <c r="IL123" s="17">
        <f t="shared" si="225"/>
        <v>2.6976472502948461E-3</v>
      </c>
      <c r="IM123" s="17">
        <f t="shared" si="226"/>
        <v>0</v>
      </c>
      <c r="IN123" s="17">
        <f t="shared" si="227"/>
        <v>0</v>
      </c>
      <c r="IO123" s="23">
        <f>SUM(IH$5:IH123)</f>
        <v>75054</v>
      </c>
      <c r="IP123" s="14">
        <f>SUM(II$5:II123)</f>
        <v>238175</v>
      </c>
      <c r="IQ123" s="14">
        <f>SUM(IJ$5:IJ123)</f>
        <v>106640</v>
      </c>
      <c r="IR123" s="17">
        <f t="shared" si="228"/>
        <v>0.1673299311765532</v>
      </c>
      <c r="IS123" s="17">
        <f t="shared" si="229"/>
        <v>0.5310017635032851</v>
      </c>
      <c r="IT123" s="17">
        <f t="shared" si="230"/>
        <v>0.23774967171193587</v>
      </c>
      <c r="IW123" s="13">
        <v>119</v>
      </c>
      <c r="IX123" s="14">
        <f>MATCH(IW123-1,属性投放!$T$6:$T$66,1)</f>
        <v>29</v>
      </c>
      <c r="IY123" s="14">
        <f>MATCH(IW123-1,属性投放!$AD$7:$AD$26,1)</f>
        <v>15</v>
      </c>
      <c r="IZ123" s="14" t="str">
        <f>INDEX(属性投放!$AB$7:$AB$26,IY123)</f>
        <v>焦热+2</v>
      </c>
      <c r="JA123" s="14">
        <f t="shared" si="231"/>
        <v>5338</v>
      </c>
      <c r="JB123" s="14">
        <f t="shared" si="232"/>
        <v>2622</v>
      </c>
      <c r="JC123" s="14">
        <f t="shared" si="233"/>
        <v>45161</v>
      </c>
      <c r="JD123" s="14">
        <f t="shared" si="234"/>
        <v>151</v>
      </c>
      <c r="JE123" s="14">
        <f t="shared" si="235"/>
        <v>76</v>
      </c>
      <c r="JF123" s="14">
        <f t="shared" si="236"/>
        <v>1510</v>
      </c>
      <c r="JG123" s="14">
        <f>INDEX(属性投放!$DC$6:$DC$85,卡牌属性!IY123)</f>
        <v>85</v>
      </c>
      <c r="JH123" s="14">
        <f t="shared" si="237"/>
        <v>10472</v>
      </c>
      <c r="JI123" s="14">
        <f t="shared" si="238"/>
        <v>5206</v>
      </c>
      <c r="JJ123" s="14">
        <f t="shared" si="239"/>
        <v>96501</v>
      </c>
      <c r="JK123" s="14">
        <f t="shared" si="240"/>
        <v>200921</v>
      </c>
    </row>
    <row r="124" spans="31:271" ht="16.5" x14ac:dyDescent="0.2">
      <c r="AE124" s="13">
        <v>120</v>
      </c>
      <c r="AF124" s="13">
        <f t="shared" si="188"/>
        <v>6</v>
      </c>
      <c r="AG124" s="13">
        <f t="shared" si="169"/>
        <v>4</v>
      </c>
      <c r="AH124" s="13"/>
      <c r="AI124" s="13"/>
      <c r="AJ124" s="14">
        <f t="shared" si="170"/>
        <v>1101006</v>
      </c>
      <c r="AK124" s="14" t="str">
        <f t="shared" si="171"/>
        <v>红莲·缇娜20突</v>
      </c>
      <c r="AL124" s="25" t="s">
        <v>142</v>
      </c>
      <c r="AM124" s="14">
        <v>1</v>
      </c>
      <c r="AN124" s="14">
        <f t="shared" si="172"/>
        <v>20</v>
      </c>
      <c r="AO124" s="14">
        <f>INDEX(属性投放!$DF$6:$DF$85,(卡牌属性!AG124-2)*20+卡牌属性!AN124)</f>
        <v>25104</v>
      </c>
      <c r="AP124" s="14">
        <f t="shared" si="269"/>
        <v>25104</v>
      </c>
      <c r="AQ124" s="14">
        <f t="shared" si="269"/>
        <v>25104</v>
      </c>
      <c r="AR124" s="14">
        <f t="shared" si="269"/>
        <v>25104</v>
      </c>
      <c r="AS124" s="14">
        <f t="shared" si="269"/>
        <v>25104</v>
      </c>
      <c r="AT124" s="14">
        <f>INDEX(属性投放!$DG$6:$DG$85,(卡牌属性!AG124-2)*20+卡牌属性!AN124)</f>
        <v>12471</v>
      </c>
      <c r="AU124" s="14">
        <f t="shared" si="270"/>
        <v>12471</v>
      </c>
      <c r="AV124" s="14">
        <f t="shared" si="270"/>
        <v>12471</v>
      </c>
      <c r="AW124" s="14">
        <f t="shared" si="270"/>
        <v>12471</v>
      </c>
      <c r="AX124" s="14">
        <f t="shared" si="270"/>
        <v>12471</v>
      </c>
      <c r="AY124" s="14">
        <f>INDEX(属性投放!$DH$6:$DH$85,(卡牌属性!AG124-2)*20+卡牌属性!AN124)</f>
        <v>237353</v>
      </c>
      <c r="AZ124" s="14">
        <f t="shared" si="271"/>
        <v>237353</v>
      </c>
      <c r="BA124" s="14">
        <f t="shared" si="271"/>
        <v>237353</v>
      </c>
      <c r="BB124" s="14">
        <f t="shared" si="271"/>
        <v>237353</v>
      </c>
      <c r="BC124" s="14">
        <f t="shared" si="271"/>
        <v>237353</v>
      </c>
      <c r="BD124" s="14">
        <f>INDEX(属性投放!$DL$6:$DL$85,(卡牌属性!AG124-2)*20+卡牌属性!AN124)</f>
        <v>516</v>
      </c>
      <c r="BE124" s="14">
        <f t="shared" si="272"/>
        <v>516</v>
      </c>
      <c r="BF124" s="14">
        <f t="shared" si="272"/>
        <v>516</v>
      </c>
      <c r="BG124" s="14">
        <f t="shared" si="272"/>
        <v>516</v>
      </c>
      <c r="BH124" s="14">
        <f t="shared" si="272"/>
        <v>516</v>
      </c>
      <c r="BI124" s="14">
        <f>INDEX(属性投放!$DM$6:$DM$85,(卡牌属性!AG124-2)*20+卡牌属性!AN124)</f>
        <v>258</v>
      </c>
      <c r="BJ124" s="14">
        <f t="shared" si="273"/>
        <v>258</v>
      </c>
      <c r="BK124" s="14">
        <f t="shared" si="273"/>
        <v>258</v>
      </c>
      <c r="BL124" s="14">
        <f t="shared" si="273"/>
        <v>258</v>
      </c>
      <c r="BM124" s="14">
        <f t="shared" si="273"/>
        <v>258</v>
      </c>
      <c r="BN124" s="14">
        <f>INDEX(属性投放!$DN$6:$DN$85,(卡牌属性!AG124-2)*20+卡牌属性!AN124)</f>
        <v>5157</v>
      </c>
      <c r="BO124" s="14">
        <f t="shared" si="274"/>
        <v>5157</v>
      </c>
      <c r="BP124" s="14">
        <f t="shared" si="274"/>
        <v>5157</v>
      </c>
      <c r="BQ124" s="14">
        <f t="shared" si="274"/>
        <v>5157</v>
      </c>
      <c r="BR124" s="14">
        <f t="shared" si="274"/>
        <v>5157</v>
      </c>
      <c r="BW124" s="13">
        <v>120</v>
      </c>
      <c r="BX124" s="13">
        <f t="shared" si="173"/>
        <v>6</v>
      </c>
      <c r="BY124" s="14">
        <f t="shared" si="174"/>
        <v>5</v>
      </c>
      <c r="BZ124" s="14">
        <f t="shared" si="189"/>
        <v>1102006</v>
      </c>
      <c r="CA124" s="14" t="str">
        <f t="shared" si="190"/>
        <v>项羽20突</v>
      </c>
      <c r="CB124" s="25" t="s">
        <v>142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INDEX(属性投放!$AZ$6:$AZ$85,(BY124-2)*20+CD124)</f>
        <v>31354</v>
      </c>
      <c r="CG124" s="14" t="s">
        <v>22</v>
      </c>
      <c r="CH124" s="14">
        <f>INDEX(属性投放!$BA$6:$BA$85,(BY124-2)*20+CD124)</f>
        <v>15610</v>
      </c>
      <c r="CI124" s="14" t="s">
        <v>510</v>
      </c>
      <c r="CJ124" s="14">
        <f>INDEX(属性投放!$BB$6:$BB$85,(BY124-2)*20+CD124)</f>
        <v>296547</v>
      </c>
      <c r="CK124" s="14" t="s">
        <v>21</v>
      </c>
      <c r="CL124" s="14">
        <f>INDEX(属性投放!$BC$6:$BC$85,(BY124-2)*20+CD124)</f>
        <v>100</v>
      </c>
      <c r="CM124" s="14" t="s">
        <v>22</v>
      </c>
      <c r="CN124" s="14">
        <f>INDEX(属性投放!$BD$6:$BD$85,(BY124-2)*20+CD124)</f>
        <v>50</v>
      </c>
      <c r="CO124" s="14" t="s">
        <v>510</v>
      </c>
      <c r="CP124" s="14">
        <f>INDEX(属性投放!$BE$6:$BE$85,(BY124-2)*20+CD124)</f>
        <v>1000</v>
      </c>
      <c r="CS124" s="13">
        <v>120</v>
      </c>
      <c r="CT124" s="13">
        <f t="shared" si="191"/>
        <v>3</v>
      </c>
      <c r="CU124" s="13">
        <f t="shared" si="192"/>
        <v>16</v>
      </c>
      <c r="CV124" s="14">
        <f t="shared" si="193"/>
        <v>4</v>
      </c>
      <c r="CW124" s="14">
        <f t="shared" si="194"/>
        <v>1102003</v>
      </c>
      <c r="CX124" s="14" t="str">
        <f>INDEX($O$6:$O$50,CT124)&amp;"-"&amp;INDEX(属性投放!$AB$7:$AB$50,CZ124)&amp;"-魂火-"&amp;DB124</f>
        <v>典韦-叫唤+2-魂火-1</v>
      </c>
      <c r="CY124" s="25" t="s">
        <v>142</v>
      </c>
      <c r="CZ124" s="14">
        <f>INDEX(属性投放!$AM$7:$AM$58,CU124)</f>
        <v>9</v>
      </c>
      <c r="DA124" s="14" t="s">
        <v>537</v>
      </c>
      <c r="DB124" s="14">
        <f>INDEX(属性投放!$AN$7:$AN$58,CU124)</f>
        <v>1</v>
      </c>
      <c r="DC124" s="14">
        <f t="shared" si="176"/>
        <v>16</v>
      </c>
      <c r="DD124" s="14">
        <f>INDEX(属性投放!$AO$7:$AO$58,DC124)</f>
        <v>58</v>
      </c>
      <c r="DE124" s="14" t="s">
        <v>538</v>
      </c>
      <c r="DF124" s="14">
        <f>INDEX(属性投放!$BK$6:$BK$85,(CV124-2)*20+CZ124)</f>
        <v>115</v>
      </c>
      <c r="DG124" s="14">
        <f>SUMIFS(DF$5:DF124,$CT$5:$CT124,"="&amp;$CT124)</f>
        <v>950</v>
      </c>
      <c r="DH124" s="14" t="s">
        <v>539</v>
      </c>
      <c r="DI124" s="14">
        <f>INDEX(属性投放!$BL$6:$BL$85,(CV124-2)*20+CZ124)</f>
        <v>58</v>
      </c>
      <c r="DJ124" s="14">
        <f>SUMIFS(DI$5:DI124,$CT$5:$CT124,"="&amp;$CT124)</f>
        <v>479</v>
      </c>
      <c r="DK124" s="14" t="s">
        <v>540</v>
      </c>
      <c r="DL124" s="14">
        <f>INDEX(属性投放!$BM$6:$BM$85,(CV124-2)*20+CZ124)</f>
        <v>920</v>
      </c>
      <c r="DM124" s="14">
        <f>SUMIFS(DL$5:DL124,$CT$5:$CT124,"="&amp;$CT124)</f>
        <v>6970</v>
      </c>
      <c r="DR124" s="14">
        <f t="shared" si="177"/>
        <v>1102006</v>
      </c>
      <c r="DS124" s="14" t="str">
        <f t="shared" si="178"/>
        <v>项羽20突</v>
      </c>
      <c r="DT124" s="14">
        <f t="shared" si="195"/>
        <v>8</v>
      </c>
      <c r="DU124" s="14">
        <f t="shared" si="196"/>
        <v>9</v>
      </c>
      <c r="DV124" s="14">
        <f t="shared" si="197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INDEX(属性投放!$AX$6:$AX$85,(卡牌属性!DW124-2)*20+卡牌属性!DX124)</f>
        <v>10</v>
      </c>
      <c r="EA124" s="14">
        <f>INDEX(属性投放!BQ$6:BQ$85,卡牌属性!$DY124)</f>
        <v>1600</v>
      </c>
      <c r="EB124" s="14">
        <f>INDEX(属性投放!BR$6:BR$85,卡牌属性!$DY124)</f>
        <v>800</v>
      </c>
      <c r="EC124" s="14">
        <f>INDEX(属性投放!BS$6:BS$85,卡牌属性!$DY124)</f>
        <v>16000</v>
      </c>
      <c r="ED124" s="14">
        <f t="shared" si="275"/>
        <v>14250</v>
      </c>
      <c r="EE124" s="14">
        <f t="shared" si="276"/>
        <v>15185</v>
      </c>
      <c r="EF124" s="14">
        <f t="shared" si="277"/>
        <v>17390</v>
      </c>
      <c r="EG124" s="14">
        <f t="shared" si="278"/>
        <v>17390</v>
      </c>
      <c r="EH124" s="14">
        <f t="shared" si="279"/>
        <v>20585</v>
      </c>
      <c r="EI124" s="14">
        <f t="shared" si="280"/>
        <v>7570</v>
      </c>
      <c r="EJ124" s="14">
        <f t="shared" si="281"/>
        <v>8695</v>
      </c>
      <c r="EK124" s="14">
        <f t="shared" si="282"/>
        <v>8695</v>
      </c>
      <c r="EL124" s="14">
        <f t="shared" si="283"/>
        <v>10309</v>
      </c>
      <c r="EM124" s="14">
        <f t="shared" si="284"/>
        <v>12600</v>
      </c>
      <c r="EN124" s="14">
        <f t="shared" si="285"/>
        <v>132047</v>
      </c>
      <c r="EO124" s="14">
        <f t="shared" si="286"/>
        <v>140445</v>
      </c>
      <c r="EP124" s="14">
        <f t="shared" si="287"/>
        <v>140445</v>
      </c>
      <c r="EQ124" s="14">
        <f t="shared" si="288"/>
        <v>160905</v>
      </c>
      <c r="ER124" s="14">
        <f t="shared" si="289"/>
        <v>190805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INDEX(属性投放!$BQ$6:$BQ$85,(卡牌属性!$DW124-2)*20+卡牌属性!$DX124)</f>
        <v>1600</v>
      </c>
      <c r="FI124" s="14">
        <f>INDEX(属性投放!$BQ$6:$BQ$85,(卡牌属性!$DW124-2)*20+卡牌属性!$DX124)</f>
        <v>1600</v>
      </c>
      <c r="FJ124" s="14">
        <f>INDEX(属性投放!$BQ$6:$BQ$85,(卡牌属性!$DW124-2)*20+卡牌属性!$DX124)</f>
        <v>1600</v>
      </c>
      <c r="FK124" s="14">
        <f>INDEX(属性投放!$BQ$6:$BQ$85,(卡牌属性!$DW124-2)*20+卡牌属性!$DX124)</f>
        <v>1600</v>
      </c>
      <c r="FL124" s="14">
        <f>INDEX(属性投放!$BQ$6:$BQ$85,(卡牌属性!$DW124-2)*20+卡牌属性!$DX124)</f>
        <v>1600</v>
      </c>
      <c r="FM124" s="14">
        <f>INDEX(属性投放!$BR$6:$BR$85,(卡牌属性!$DW124-2)*20+卡牌属性!$DX124)</f>
        <v>800</v>
      </c>
      <c r="FN124" s="14">
        <f>INDEX(属性投放!$BR$6:$BR$85,(卡牌属性!$DW124-2)*20+卡牌属性!$DX124)</f>
        <v>800</v>
      </c>
      <c r="FO124" s="14">
        <f>INDEX(属性投放!$BR$6:$BR$85,(卡牌属性!$DW124-2)*20+卡牌属性!$DX124)</f>
        <v>800</v>
      </c>
      <c r="FP124" s="14">
        <f>INDEX(属性投放!$BR$6:$BR$85,(卡牌属性!$DW124-2)*20+卡牌属性!$DX124)</f>
        <v>800</v>
      </c>
      <c r="FQ124" s="14">
        <f>INDEX(属性投放!$BR$6:$BR$85,(卡牌属性!$DW124-2)*20+卡牌属性!$DX124)</f>
        <v>800</v>
      </c>
      <c r="FR124" s="14">
        <f>INDEX(属性投放!$BS$6:$BS$85,(卡牌属性!$DW124-2)*20+卡牌属性!$DX124)</f>
        <v>16000</v>
      </c>
      <c r="FS124" s="14">
        <f>INDEX(属性投放!$BS$6:$BS$85,(卡牌属性!$DW124-2)*20+卡牌属性!$DX124)</f>
        <v>16000</v>
      </c>
      <c r="FT124" s="14">
        <f>INDEX(属性投放!$BS$6:$BS$85,(卡牌属性!$DW124-2)*20+卡牌属性!$DX124)</f>
        <v>16000</v>
      </c>
      <c r="FU124" s="14">
        <f>INDEX(属性投放!$BS$6:$BS$85,(卡牌属性!$DW124-2)*20+卡牌属性!$DX124)</f>
        <v>16000</v>
      </c>
      <c r="FV124" s="14">
        <f>INDEX(属性投放!$BS$6:$BS$85,(卡牌属性!$DW124-2)*20+卡牌属性!$DX124)</f>
        <v>16000</v>
      </c>
      <c r="FZ124" s="13">
        <v>120</v>
      </c>
      <c r="GA124" s="13">
        <f t="shared" si="291"/>
        <v>24</v>
      </c>
      <c r="GB124" s="14">
        <f t="shared" si="198"/>
        <v>1102024</v>
      </c>
      <c r="GC124" s="14" t="s">
        <v>1187</v>
      </c>
      <c r="GD124" s="14">
        <f t="shared" si="265"/>
        <v>5</v>
      </c>
      <c r="GE124" s="14" t="str">
        <f t="shared" si="266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MATCH(HC124,属性投放!$AO$6:$AO$58,1)-1</f>
        <v>41</v>
      </c>
      <c r="HF124" s="13">
        <f>MATCH(HC124-1,属性投放!$AE$6:$AE$26,1)</f>
        <v>17</v>
      </c>
      <c r="HG124" s="13" t="str">
        <f>INDEX(属性投放!$AB$7:$AB$26,卡牌属性!HF124)</f>
        <v>大焦热+1</v>
      </c>
      <c r="HH124" s="14">
        <f t="shared" si="200"/>
        <v>7893</v>
      </c>
      <c r="HI124" s="14">
        <f t="shared" si="201"/>
        <v>3409</v>
      </c>
      <c r="HJ124" s="14">
        <f t="shared" si="202"/>
        <v>60834</v>
      </c>
      <c r="HK124" s="14">
        <f t="shared" si="203"/>
        <v>50</v>
      </c>
      <c r="HL124" s="14">
        <f t="shared" si="204"/>
        <v>18</v>
      </c>
      <c r="HM124" s="14">
        <f t="shared" si="205"/>
        <v>350</v>
      </c>
      <c r="HN124" s="14">
        <f>HH124+HK124*($HC124-INDEX(属性投放!$AE$6:$AE$26,卡牌属性!$HF124))</f>
        <v>8043</v>
      </c>
      <c r="HO124" s="14">
        <f>HI124+HL124*($HC124-INDEX(属性投放!$AE$6:$AE$26,卡牌属性!$HF124))</f>
        <v>3463</v>
      </c>
      <c r="HP124" s="14">
        <f>HJ124+HM124*($HC124-INDEX(属性投放!$AE$6:$AE$26,卡牌属性!$HF124))</f>
        <v>61884</v>
      </c>
      <c r="HQ124" s="14">
        <f t="shared" si="206"/>
        <v>8735</v>
      </c>
      <c r="HR124" s="14">
        <f t="shared" si="207"/>
        <v>4377</v>
      </c>
      <c r="HS124" s="14">
        <f t="shared" si="208"/>
        <v>82785</v>
      </c>
      <c r="HT124" s="14">
        <f>IF(COUNTIF(属性投放!$AO$7:$AO$58,"="&amp;卡牌属性!HC124)&gt;0,卡牌属性!HE124,0)</f>
        <v>41</v>
      </c>
      <c r="HU124" s="14">
        <f t="shared" si="209"/>
        <v>650</v>
      </c>
      <c r="HV124" s="14">
        <f t="shared" si="210"/>
        <v>325</v>
      </c>
      <c r="HW124" s="14">
        <f t="shared" si="211"/>
        <v>6500</v>
      </c>
      <c r="HX124" s="14">
        <f>IF(COUNTIF(属性投放!$AE$6:$AE$26,"="&amp;卡牌属性!HC124)&gt;0,卡牌属性!HF124,0)</f>
        <v>0</v>
      </c>
      <c r="HY124" s="14">
        <f t="shared" si="212"/>
        <v>0</v>
      </c>
      <c r="HZ124" s="14">
        <f t="shared" si="213"/>
        <v>0</v>
      </c>
      <c r="IA124" s="14">
        <f t="shared" si="214"/>
        <v>0</v>
      </c>
      <c r="IB124" s="14">
        <f t="shared" si="215"/>
        <v>50</v>
      </c>
      <c r="IC124" s="14">
        <f t="shared" si="216"/>
        <v>18</v>
      </c>
      <c r="ID124" s="14">
        <f t="shared" si="217"/>
        <v>350</v>
      </c>
      <c r="IE124" s="14">
        <f t="shared" si="218"/>
        <v>16778</v>
      </c>
      <c r="IF124" s="14">
        <f t="shared" si="219"/>
        <v>7840</v>
      </c>
      <c r="IG124" s="14">
        <f t="shared" si="220"/>
        <v>144669</v>
      </c>
      <c r="IH124" s="14">
        <f t="shared" si="221"/>
        <v>1210</v>
      </c>
      <c r="II124" s="14">
        <f t="shared" si="222"/>
        <v>19500</v>
      </c>
      <c r="IJ124" s="14">
        <f t="shared" si="223"/>
        <v>0</v>
      </c>
      <c r="IK124" s="14">
        <f t="shared" si="224"/>
        <v>469249</v>
      </c>
      <c r="IL124" s="17">
        <f t="shared" si="225"/>
        <v>2.5785883400923602E-3</v>
      </c>
      <c r="IM124" s="17">
        <f t="shared" si="226"/>
        <v>4.155576250562068E-2</v>
      </c>
      <c r="IN124" s="17">
        <f t="shared" si="227"/>
        <v>0</v>
      </c>
      <c r="IO124" s="23">
        <f>SUM(IH$5:IH124)</f>
        <v>76264</v>
      </c>
      <c r="IP124" s="14">
        <f>SUM(II$5:II124)</f>
        <v>257675</v>
      </c>
      <c r="IQ124" s="14">
        <f>SUM(IJ$5:IJ124)</f>
        <v>106640</v>
      </c>
      <c r="IR124" s="17">
        <f t="shared" si="228"/>
        <v>0.16252352162711056</v>
      </c>
      <c r="IS124" s="17">
        <f t="shared" si="229"/>
        <v>0.54912210787875948</v>
      </c>
      <c r="IT124" s="17">
        <f t="shared" si="230"/>
        <v>0.22725674428714818</v>
      </c>
      <c r="IW124" s="13">
        <v>120</v>
      </c>
      <c r="IX124" s="14">
        <f>MATCH(IW124-1,属性投放!$T$6:$T$66,1)</f>
        <v>30</v>
      </c>
      <c r="IY124" s="14">
        <f>MATCH(IW124-1,属性投放!$AD$7:$AD$26,1)</f>
        <v>15</v>
      </c>
      <c r="IZ124" s="14" t="str">
        <f>INDEX(属性投放!$AB$7:$AB$26,IY124)</f>
        <v>焦热+2</v>
      </c>
      <c r="JA124" s="14">
        <f t="shared" si="231"/>
        <v>5338</v>
      </c>
      <c r="JB124" s="14">
        <f t="shared" si="232"/>
        <v>2622</v>
      </c>
      <c r="JC124" s="14">
        <f t="shared" si="233"/>
        <v>45161</v>
      </c>
      <c r="JD124" s="14">
        <f t="shared" si="234"/>
        <v>151</v>
      </c>
      <c r="JE124" s="14">
        <f t="shared" si="235"/>
        <v>76</v>
      </c>
      <c r="JF124" s="14">
        <f t="shared" si="236"/>
        <v>1510</v>
      </c>
      <c r="JG124" s="14">
        <f>INDEX(属性投放!$DC$6:$DC$85,卡牌属性!IY124)</f>
        <v>85</v>
      </c>
      <c r="JH124" s="14">
        <f t="shared" si="237"/>
        <v>10623</v>
      </c>
      <c r="JI124" s="14">
        <f t="shared" si="238"/>
        <v>5282</v>
      </c>
      <c r="JJ124" s="14">
        <f t="shared" si="239"/>
        <v>98011</v>
      </c>
      <c r="JK124" s="14">
        <f t="shared" si="240"/>
        <v>203946</v>
      </c>
    </row>
    <row r="125" spans="31:271" ht="16.5" x14ac:dyDescent="0.2">
      <c r="AE125" s="13">
        <v>121</v>
      </c>
      <c r="AF125" s="13">
        <f t="shared" si="188"/>
        <v>7</v>
      </c>
      <c r="AG125" s="13">
        <f t="shared" si="169"/>
        <v>4</v>
      </c>
      <c r="AH125" s="13"/>
      <c r="AI125" s="13"/>
      <c r="AJ125" s="14">
        <f t="shared" si="170"/>
        <v>1101007</v>
      </c>
      <c r="AK125" s="14" t="str">
        <f t="shared" si="171"/>
        <v>战斗曹焱兵1突</v>
      </c>
      <c r="AL125" s="25" t="s">
        <v>142</v>
      </c>
      <c r="AM125" s="14">
        <v>1</v>
      </c>
      <c r="AN125" s="14">
        <f t="shared" si="172"/>
        <v>1</v>
      </c>
      <c r="AO125" s="14">
        <f>INDEX(属性投放!$DF$6:$DF$85,(卡牌属性!AG125-2)*20+卡牌属性!AN125)</f>
        <v>200</v>
      </c>
      <c r="AP125" s="14">
        <f t="shared" ref="AP125:AS144" si="295">$AO125</f>
        <v>200</v>
      </c>
      <c r="AQ125" s="14">
        <f t="shared" si="295"/>
        <v>200</v>
      </c>
      <c r="AR125" s="14">
        <f t="shared" si="295"/>
        <v>200</v>
      </c>
      <c r="AS125" s="14">
        <f t="shared" si="295"/>
        <v>200</v>
      </c>
      <c r="AT125" s="14">
        <f>INDEX(属性投放!$DG$6:$DG$85,(卡牌属性!AG125-2)*20+卡牌属性!AN125)</f>
        <v>20</v>
      </c>
      <c r="AU125" s="14">
        <f t="shared" ref="AU125:AX144" si="296">$AT125</f>
        <v>20</v>
      </c>
      <c r="AV125" s="14">
        <f t="shared" si="296"/>
        <v>20</v>
      </c>
      <c r="AW125" s="14">
        <f t="shared" si="296"/>
        <v>20</v>
      </c>
      <c r="AX125" s="14">
        <f t="shared" si="296"/>
        <v>20</v>
      </c>
      <c r="AY125" s="14">
        <f>INDEX(属性投放!$DH$6:$DH$85,(卡牌属性!AG125-2)*20+卡牌属性!AN125)</f>
        <v>625</v>
      </c>
      <c r="AZ125" s="14">
        <f t="shared" ref="AZ125:BC144" si="297">$AY125</f>
        <v>625</v>
      </c>
      <c r="BA125" s="14">
        <f t="shared" si="297"/>
        <v>625</v>
      </c>
      <c r="BB125" s="14">
        <f t="shared" si="297"/>
        <v>625</v>
      </c>
      <c r="BC125" s="14">
        <f t="shared" si="297"/>
        <v>625</v>
      </c>
      <c r="BD125" s="14">
        <f>INDEX(属性投放!$DL$6:$DL$85,(卡牌属性!AG125-2)*20+卡牌属性!AN125)</f>
        <v>11</v>
      </c>
      <c r="BE125" s="14">
        <f t="shared" ref="BE125:BH144" si="298">$BD125</f>
        <v>11</v>
      </c>
      <c r="BF125" s="14">
        <f t="shared" si="298"/>
        <v>11</v>
      </c>
      <c r="BG125" s="14">
        <f t="shared" si="298"/>
        <v>11</v>
      </c>
      <c r="BH125" s="14">
        <f t="shared" si="298"/>
        <v>11</v>
      </c>
      <c r="BI125" s="14">
        <f>INDEX(属性投放!$DM$6:$DM$85,(卡牌属性!AG125-2)*20+卡牌属性!AN125)</f>
        <v>6</v>
      </c>
      <c r="BJ125" s="14">
        <f t="shared" ref="BJ125:BM144" si="299">$BI125</f>
        <v>6</v>
      </c>
      <c r="BK125" s="14">
        <f t="shared" si="299"/>
        <v>6</v>
      </c>
      <c r="BL125" s="14">
        <f t="shared" si="299"/>
        <v>6</v>
      </c>
      <c r="BM125" s="14">
        <f t="shared" si="299"/>
        <v>6</v>
      </c>
      <c r="BN125" s="14">
        <f>INDEX(属性投放!$DN$6:$DN$85,(卡牌属性!AG125-2)*20+卡牌属性!AN125)</f>
        <v>65</v>
      </c>
      <c r="BO125" s="14">
        <f t="shared" ref="BO125:BR144" si="300">$BN125</f>
        <v>65</v>
      </c>
      <c r="BP125" s="14">
        <f t="shared" si="300"/>
        <v>65</v>
      </c>
      <c r="BQ125" s="14">
        <f t="shared" si="300"/>
        <v>65</v>
      </c>
      <c r="BR125" s="14">
        <f t="shared" si="300"/>
        <v>65</v>
      </c>
      <c r="BW125" s="13">
        <v>121</v>
      </c>
      <c r="BX125" s="13">
        <f t="shared" si="173"/>
        <v>7</v>
      </c>
      <c r="BY125" s="14">
        <f t="shared" si="174"/>
        <v>4</v>
      </c>
      <c r="BZ125" s="14">
        <f t="shared" si="189"/>
        <v>1102007</v>
      </c>
      <c r="CA125" s="14" t="str">
        <f t="shared" si="190"/>
        <v>天使缇娜1突</v>
      </c>
      <c r="CB125" s="25" t="s">
        <v>142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INDEX(属性投放!$AZ$6:$AZ$85,(BY125-2)*20+CD125)</f>
        <v>200</v>
      </c>
      <c r="CG125" s="14" t="s">
        <v>22</v>
      </c>
      <c r="CH125" s="14">
        <f>INDEX(属性投放!$BA$6:$BA$85,(BY125-2)*20+CD125)</f>
        <v>25</v>
      </c>
      <c r="CI125" s="14" t="s">
        <v>510</v>
      </c>
      <c r="CJ125" s="14">
        <f>INDEX(属性投放!$BB$6:$BB$85,(BY125-2)*20+CD125)</f>
        <v>800</v>
      </c>
      <c r="CK125" s="14" t="s">
        <v>21</v>
      </c>
      <c r="CL125" s="14">
        <f>INDEX(属性投放!$BC$6:$BC$85,(BY125-2)*20+CD125)</f>
        <v>12</v>
      </c>
      <c r="CM125" s="14" t="s">
        <v>22</v>
      </c>
      <c r="CN125" s="14">
        <f>INDEX(属性投放!$BD$6:$BD$85,(BY125-2)*20+CD125)</f>
        <v>6</v>
      </c>
      <c r="CO125" s="14" t="s">
        <v>510</v>
      </c>
      <c r="CP125" s="14">
        <f>INDEX(属性投放!$BE$6:$BE$85,(BY125-2)*20+CD125)</f>
        <v>72</v>
      </c>
      <c r="CS125" s="13">
        <v>121</v>
      </c>
      <c r="CT125" s="13">
        <f t="shared" si="191"/>
        <v>3</v>
      </c>
      <c r="CU125" s="13">
        <f t="shared" si="192"/>
        <v>17</v>
      </c>
      <c r="CV125" s="14">
        <f t="shared" si="193"/>
        <v>4</v>
      </c>
      <c r="CW125" s="14">
        <f t="shared" si="194"/>
        <v>1102003</v>
      </c>
      <c r="CX125" s="14" t="str">
        <f>INDEX($O$6:$O$50,CT125)&amp;"-"&amp;INDEX(属性投放!$AB$7:$AB$50,CZ125)&amp;"-魂火-"&amp;DB125</f>
        <v>典韦-叫唤+2-魂火-2</v>
      </c>
      <c r="CY125" s="25" t="s">
        <v>142</v>
      </c>
      <c r="CZ125" s="14">
        <f>INDEX(属性投放!$AM$7:$AM$58,CU125)</f>
        <v>9</v>
      </c>
      <c r="DA125" s="14" t="s">
        <v>537</v>
      </c>
      <c r="DB125" s="14">
        <f>INDEX(属性投放!$AN$7:$AN$58,CU125)</f>
        <v>2</v>
      </c>
      <c r="DC125" s="14">
        <f t="shared" si="176"/>
        <v>17</v>
      </c>
      <c r="DD125" s="14">
        <f>INDEX(属性投放!$AO$7:$AO$58,DC125)</f>
        <v>60</v>
      </c>
      <c r="DE125" s="14" t="s">
        <v>538</v>
      </c>
      <c r="DF125" s="14">
        <f>INDEX(属性投放!$BK$6:$BK$85,(CV125-2)*20+CZ125)</f>
        <v>115</v>
      </c>
      <c r="DG125" s="14">
        <f>SUMIFS(DF$5:DF125,$CT$5:$CT125,"="&amp;$CT125)</f>
        <v>1065</v>
      </c>
      <c r="DH125" s="14" t="s">
        <v>539</v>
      </c>
      <c r="DI125" s="14">
        <f>INDEX(属性投放!$BL$6:$BL$85,(CV125-2)*20+CZ125)</f>
        <v>58</v>
      </c>
      <c r="DJ125" s="14">
        <f>SUMIFS(DI$5:DI125,$CT$5:$CT125,"="&amp;$CT125)</f>
        <v>537</v>
      </c>
      <c r="DK125" s="14" t="s">
        <v>540</v>
      </c>
      <c r="DL125" s="14">
        <f>INDEX(属性投放!$BM$6:$BM$85,(CV125-2)*20+CZ125)</f>
        <v>920</v>
      </c>
      <c r="DM125" s="14">
        <f>SUMIFS(DL$5:DL125,$CT$5:$CT125,"="&amp;$CT125)</f>
        <v>7890</v>
      </c>
      <c r="DR125" s="14">
        <f t="shared" si="177"/>
        <v>1102007</v>
      </c>
      <c r="DS125" s="14" t="str">
        <f t="shared" si="178"/>
        <v>天使缇娜1突</v>
      </c>
      <c r="DT125" s="14">
        <f t="shared" si="195"/>
        <v>7</v>
      </c>
      <c r="DU125" s="14">
        <f t="shared" si="196"/>
        <v>6</v>
      </c>
      <c r="DV125" s="14">
        <f t="shared" si="197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INDEX(属性投放!$AX$6:$AX$85,(卡牌属性!DW125-2)*20+卡牌属性!DX125)</f>
        <v>4</v>
      </c>
      <c r="EA125" s="14">
        <f>INDEX(属性投放!BQ$6:BQ$85,卡牌属性!$DY125)</f>
        <v>35</v>
      </c>
      <c r="EB125" s="14">
        <f>INDEX(属性投放!BR$6:BR$85,卡牌属性!$DY125)</f>
        <v>18</v>
      </c>
      <c r="EC125" s="14">
        <f>INDEX(属性投放!BS$6:BS$85,卡牌属性!$DY125)</f>
        <v>210</v>
      </c>
      <c r="ED125" s="14">
        <f>INDEX(属性偏向!$I$4:$I$15,卡牌属性!$DT125+ED$3)</f>
        <v>200</v>
      </c>
      <c r="EE125" s="14">
        <f>INDEX(属性偏向!$I$4:$I$15,卡牌属性!$DT125+EE$3)</f>
        <v>250</v>
      </c>
      <c r="EF125" s="14">
        <f>INDEX(属性偏向!$I$4:$I$15,卡牌属性!$DT125+EF$3)</f>
        <v>300</v>
      </c>
      <c r="EG125" s="14">
        <f>INDEX(属性偏向!$I$4:$I$15,卡牌属性!$DT125+EG$3)</f>
        <v>300</v>
      </c>
      <c r="EH125" s="14">
        <f>INDEX(属性偏向!$I$4:$I$15,卡牌属性!$DT125+EH$3)</f>
        <v>350</v>
      </c>
      <c r="EI125" s="14">
        <f>INDEX(属性偏向!$J$4:$J$15,卡牌属性!$DU125+EI$3)</f>
        <v>40</v>
      </c>
      <c r="EJ125" s="14">
        <f>INDEX(属性偏向!$J$4:$J$15,卡牌属性!$DU125+EJ$3)</f>
        <v>50</v>
      </c>
      <c r="EK125" s="14">
        <f>INDEX(属性偏向!$J$4:$J$15,卡牌属性!$DU125+EK$3)</f>
        <v>50</v>
      </c>
      <c r="EL125" s="14">
        <f>INDEX(属性偏向!$J$4:$J$15,卡牌属性!$DU125+EL$3)</f>
        <v>75</v>
      </c>
      <c r="EM125" s="14">
        <f>INDEX(属性偏向!$J$4:$J$15,卡牌属性!$DU125+EM$3)</f>
        <v>100</v>
      </c>
      <c r="EN125" s="14">
        <f>INDEX(属性偏向!$K$4:$K$15,卡牌属性!$DV125+EN$3)</f>
        <v>650</v>
      </c>
      <c r="EO125" s="14">
        <f>INDEX(属性偏向!$K$4:$K$15,卡牌属性!$DV125+EO$3)</f>
        <v>800</v>
      </c>
      <c r="EP125" s="14">
        <f>INDEX(属性偏向!$K$4:$K$15,卡牌属性!$DV125+EP$3)</f>
        <v>800</v>
      </c>
      <c r="EQ125" s="14">
        <f>INDEX(属性偏向!$K$4:$K$15,卡牌属性!$DV125+EQ$3)</f>
        <v>1000</v>
      </c>
      <c r="ER125" s="14">
        <f>INDEX(属性偏向!$K$4:$K$15,卡牌属性!$DV125+ER$3)</f>
        <v>1200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60</v>
      </c>
      <c r="FD125" s="14">
        <f>INDEX(属性偏向!$U$4:$U$243,(卡牌属性!$DV125-1+FD$3)*20+卡牌属性!$DX125)</f>
        <v>72</v>
      </c>
      <c r="FE125" s="14">
        <f>INDEX(属性偏向!$U$4:$U$243,(卡牌属性!$DV125-1+FE$3)*20+卡牌属性!$DX125)</f>
        <v>72</v>
      </c>
      <c r="FF125" s="14">
        <f>INDEX(属性偏向!$U$4:$U$243,(卡牌属性!$DV125-1+FF$3)*20+卡牌属性!$DX125)</f>
        <v>78</v>
      </c>
      <c r="FG125" s="14">
        <f>INDEX(属性偏向!$U$4:$U$243,(卡牌属性!$DV125-1+FG$3)*20+卡牌属性!$DX125)</f>
        <v>90</v>
      </c>
      <c r="FH125" s="14">
        <f>INDEX(属性投放!$BQ$6:$BQ$85,(卡牌属性!$DW125-2)*20+卡牌属性!$DX125)</f>
        <v>35</v>
      </c>
      <c r="FI125" s="14">
        <f>INDEX(属性投放!$BQ$6:$BQ$85,(卡牌属性!$DW125-2)*20+卡牌属性!$DX125)</f>
        <v>35</v>
      </c>
      <c r="FJ125" s="14">
        <f>INDEX(属性投放!$BQ$6:$BQ$85,(卡牌属性!$DW125-2)*20+卡牌属性!$DX125)</f>
        <v>35</v>
      </c>
      <c r="FK125" s="14">
        <f>INDEX(属性投放!$BQ$6:$BQ$85,(卡牌属性!$DW125-2)*20+卡牌属性!$DX125)</f>
        <v>35</v>
      </c>
      <c r="FL125" s="14">
        <f>INDEX(属性投放!$BQ$6:$BQ$85,(卡牌属性!$DW125-2)*20+卡牌属性!$DX125)</f>
        <v>35</v>
      </c>
      <c r="FM125" s="14">
        <f>INDEX(属性投放!$BR$6:$BR$85,(卡牌属性!$DW125-2)*20+卡牌属性!$DX125)</f>
        <v>18</v>
      </c>
      <c r="FN125" s="14">
        <f>INDEX(属性投放!$BR$6:$BR$85,(卡牌属性!$DW125-2)*20+卡牌属性!$DX125)</f>
        <v>18</v>
      </c>
      <c r="FO125" s="14">
        <f>INDEX(属性投放!$BR$6:$BR$85,(卡牌属性!$DW125-2)*20+卡牌属性!$DX125)</f>
        <v>18</v>
      </c>
      <c r="FP125" s="14">
        <f>INDEX(属性投放!$BR$6:$BR$85,(卡牌属性!$DW125-2)*20+卡牌属性!$DX125)</f>
        <v>18</v>
      </c>
      <c r="FQ125" s="14">
        <f>INDEX(属性投放!$BR$6:$BR$85,(卡牌属性!$DW125-2)*20+卡牌属性!$DX125)</f>
        <v>18</v>
      </c>
      <c r="FR125" s="14">
        <f>INDEX(属性投放!$BS$6:$BS$85,(卡牌属性!$DW125-2)*20+卡牌属性!$DX125)</f>
        <v>210</v>
      </c>
      <c r="FS125" s="14">
        <f>INDEX(属性投放!$BS$6:$BS$85,(卡牌属性!$DW125-2)*20+卡牌属性!$DX125)</f>
        <v>210</v>
      </c>
      <c r="FT125" s="14">
        <f>INDEX(属性投放!$BS$6:$BS$85,(卡牌属性!$DW125-2)*20+卡牌属性!$DX125)</f>
        <v>210</v>
      </c>
      <c r="FU125" s="14">
        <f>INDEX(属性投放!$BS$6:$BS$85,(卡牌属性!$DW125-2)*20+卡牌属性!$DX125)</f>
        <v>210</v>
      </c>
      <c r="FV125" s="14">
        <f>INDEX(属性投放!$BS$6:$BS$85,(卡牌属性!$DW125-2)*20+卡牌属性!$DX125)</f>
        <v>210</v>
      </c>
      <c r="FZ125" s="13">
        <v>121</v>
      </c>
      <c r="GA125" s="13">
        <f t="shared" si="291"/>
        <v>25</v>
      </c>
      <c r="GB125" s="14">
        <f t="shared" si="198"/>
        <v>1102026</v>
      </c>
      <c r="GC125" s="14" t="s">
        <v>1187</v>
      </c>
      <c r="GD125" s="14">
        <f t="shared" si="265"/>
        <v>1</v>
      </c>
      <c r="GE125" s="14" t="str">
        <f t="shared" si="266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MATCH(HC125,属性投放!$AO$6:$AO$58,1)-1</f>
        <v>41</v>
      </c>
      <c r="HF125" s="13">
        <f>MATCH(HC125-1,属性投放!$AE$6:$AE$26,1)</f>
        <v>17</v>
      </c>
      <c r="HG125" s="13" t="str">
        <f>INDEX(属性投放!$AB$7:$AB$26,卡牌属性!HF125)</f>
        <v>大焦热+1</v>
      </c>
      <c r="HH125" s="14">
        <f t="shared" si="200"/>
        <v>7893</v>
      </c>
      <c r="HI125" s="14">
        <f t="shared" si="201"/>
        <v>3409</v>
      </c>
      <c r="HJ125" s="14">
        <f t="shared" si="202"/>
        <v>60834</v>
      </c>
      <c r="HK125" s="14">
        <f t="shared" si="203"/>
        <v>50</v>
      </c>
      <c r="HL125" s="14">
        <f t="shared" si="204"/>
        <v>18</v>
      </c>
      <c r="HM125" s="14">
        <f t="shared" si="205"/>
        <v>350</v>
      </c>
      <c r="HN125" s="14">
        <f>HH125+HK125*($HC125-INDEX(属性投放!$AE$6:$AE$26,卡牌属性!$HF125))</f>
        <v>8093</v>
      </c>
      <c r="HO125" s="14">
        <f>HI125+HL125*($HC125-INDEX(属性投放!$AE$6:$AE$26,卡牌属性!$HF125))</f>
        <v>3481</v>
      </c>
      <c r="HP125" s="14">
        <f>HJ125+HM125*($HC125-INDEX(属性投放!$AE$6:$AE$26,卡牌属性!$HF125))</f>
        <v>62234</v>
      </c>
      <c r="HQ125" s="14">
        <f t="shared" si="206"/>
        <v>8735</v>
      </c>
      <c r="HR125" s="14">
        <f t="shared" si="207"/>
        <v>4377</v>
      </c>
      <c r="HS125" s="14">
        <f t="shared" si="208"/>
        <v>82785</v>
      </c>
      <c r="HT125" s="14">
        <f>IF(COUNTIF(属性投放!$AO$7:$AO$58,"="&amp;卡牌属性!HC125)&gt;0,卡牌属性!HE125,0)</f>
        <v>0</v>
      </c>
      <c r="HU125" s="14">
        <f t="shared" si="209"/>
        <v>0</v>
      </c>
      <c r="HV125" s="14">
        <f t="shared" si="210"/>
        <v>0</v>
      </c>
      <c r="HW125" s="14">
        <f t="shared" si="211"/>
        <v>0</v>
      </c>
      <c r="HX125" s="14">
        <f>IF(COUNTIF(属性投放!$AE$6:$AE$26,"="&amp;卡牌属性!HC125)&gt;0,卡牌属性!HF125,0)</f>
        <v>0</v>
      </c>
      <c r="HY125" s="14">
        <f t="shared" si="212"/>
        <v>0</v>
      </c>
      <c r="HZ125" s="14">
        <f t="shared" si="213"/>
        <v>0</v>
      </c>
      <c r="IA125" s="14">
        <f t="shared" si="214"/>
        <v>0</v>
      </c>
      <c r="IB125" s="14">
        <f t="shared" si="215"/>
        <v>50</v>
      </c>
      <c r="IC125" s="14">
        <f t="shared" si="216"/>
        <v>18</v>
      </c>
      <c r="ID125" s="14">
        <f t="shared" si="217"/>
        <v>350</v>
      </c>
      <c r="IE125" s="14">
        <f t="shared" si="218"/>
        <v>16828</v>
      </c>
      <c r="IF125" s="14">
        <f t="shared" si="219"/>
        <v>7858</v>
      </c>
      <c r="IG125" s="14">
        <f t="shared" si="220"/>
        <v>145019</v>
      </c>
      <c r="IH125" s="14">
        <f t="shared" si="221"/>
        <v>1210</v>
      </c>
      <c r="II125" s="14">
        <f t="shared" si="222"/>
        <v>0</v>
      </c>
      <c r="IJ125" s="14">
        <f t="shared" si="223"/>
        <v>0</v>
      </c>
      <c r="IK125" s="14">
        <f t="shared" si="224"/>
        <v>470459</v>
      </c>
      <c r="IL125" s="17">
        <f t="shared" si="225"/>
        <v>2.5719563235053425E-3</v>
      </c>
      <c r="IM125" s="17">
        <f t="shared" si="226"/>
        <v>0</v>
      </c>
      <c r="IN125" s="17">
        <f t="shared" si="227"/>
        <v>0</v>
      </c>
      <c r="IO125" s="23">
        <f>SUM(IH$5:IH125)</f>
        <v>77474</v>
      </c>
      <c r="IP125" s="14">
        <f>SUM(II$5:II125)</f>
        <v>257675</v>
      </c>
      <c r="IQ125" s="14">
        <f>SUM(IJ$5:IJ125)</f>
        <v>106640</v>
      </c>
      <c r="IR125" s="17">
        <f t="shared" si="228"/>
        <v>0.16467747455144868</v>
      </c>
      <c r="IS125" s="17">
        <f t="shared" si="229"/>
        <v>0.54770978980102414</v>
      </c>
      <c r="IT125" s="17">
        <f t="shared" si="230"/>
        <v>0.22667224986661963</v>
      </c>
      <c r="IW125" s="13">
        <v>121</v>
      </c>
      <c r="IX125" s="14">
        <f>MATCH(IW125-1,属性投放!$T$6:$T$66,1)</f>
        <v>31</v>
      </c>
      <c r="IY125" s="14">
        <f>MATCH(IW125-1,属性投放!$AD$7:$AD$26,1)</f>
        <v>16</v>
      </c>
      <c r="IZ125" s="14" t="str">
        <f>INDEX(属性投放!$AB$7:$AB$26,IY125)</f>
        <v>大焦热</v>
      </c>
      <c r="JA125" s="14">
        <f t="shared" si="231"/>
        <v>9545</v>
      </c>
      <c r="JB125" s="14">
        <f t="shared" si="232"/>
        <v>4739</v>
      </c>
      <c r="JC125" s="14">
        <f t="shared" si="233"/>
        <v>87226</v>
      </c>
      <c r="JD125" s="14">
        <f t="shared" si="234"/>
        <v>235</v>
      </c>
      <c r="JE125" s="14">
        <f t="shared" si="235"/>
        <v>117</v>
      </c>
      <c r="JF125" s="14">
        <f t="shared" si="236"/>
        <v>2346</v>
      </c>
      <c r="JG125" s="14">
        <f>INDEX(属性投放!$DC$6:$DC$85,卡牌属性!IY125)</f>
        <v>110</v>
      </c>
      <c r="JH125" s="14">
        <f t="shared" si="237"/>
        <v>12130</v>
      </c>
      <c r="JI125" s="14">
        <f t="shared" si="238"/>
        <v>6026</v>
      </c>
      <c r="JJ125" s="14">
        <f t="shared" si="239"/>
        <v>113032</v>
      </c>
      <c r="JK125" s="14">
        <f t="shared" si="240"/>
        <v>233942</v>
      </c>
    </row>
    <row r="126" spans="31:271" ht="16.5" x14ac:dyDescent="0.2">
      <c r="AE126" s="13">
        <v>122</v>
      </c>
      <c r="AF126" s="13">
        <f t="shared" si="188"/>
        <v>7</v>
      </c>
      <c r="AG126" s="13">
        <f t="shared" si="169"/>
        <v>4</v>
      </c>
      <c r="AH126" s="13"/>
      <c r="AI126" s="13"/>
      <c r="AJ126" s="14">
        <f t="shared" si="170"/>
        <v>1101007</v>
      </c>
      <c r="AK126" s="14" t="str">
        <f t="shared" si="171"/>
        <v>战斗曹焱兵2突</v>
      </c>
      <c r="AL126" s="25" t="s">
        <v>142</v>
      </c>
      <c r="AM126" s="14">
        <v>1</v>
      </c>
      <c r="AN126" s="14">
        <f t="shared" si="172"/>
        <v>2</v>
      </c>
      <c r="AO126" s="14">
        <f>INDEX(属性投放!$DF$6:$DF$85,(卡牌属性!AG126-2)*20+卡牌属性!AN126)</f>
        <v>310</v>
      </c>
      <c r="AP126" s="14">
        <f t="shared" si="295"/>
        <v>310</v>
      </c>
      <c r="AQ126" s="14">
        <f t="shared" si="295"/>
        <v>310</v>
      </c>
      <c r="AR126" s="14">
        <f t="shared" si="295"/>
        <v>310</v>
      </c>
      <c r="AS126" s="14">
        <f t="shared" si="295"/>
        <v>310</v>
      </c>
      <c r="AT126" s="14">
        <f>INDEX(属性投放!$DG$6:$DG$85,(卡牌属性!AG126-2)*20+卡牌属性!AN126)</f>
        <v>80</v>
      </c>
      <c r="AU126" s="14">
        <f t="shared" si="296"/>
        <v>80</v>
      </c>
      <c r="AV126" s="14">
        <f t="shared" si="296"/>
        <v>80</v>
      </c>
      <c r="AW126" s="14">
        <f t="shared" si="296"/>
        <v>80</v>
      </c>
      <c r="AX126" s="14">
        <f t="shared" si="296"/>
        <v>80</v>
      </c>
      <c r="AY126" s="14">
        <f>INDEX(属性投放!$DH$6:$DH$85,(卡牌属性!AG126-2)*20+卡牌属性!AN126)</f>
        <v>1275</v>
      </c>
      <c r="AZ126" s="14">
        <f t="shared" si="297"/>
        <v>1275</v>
      </c>
      <c r="BA126" s="14">
        <f t="shared" si="297"/>
        <v>1275</v>
      </c>
      <c r="BB126" s="14">
        <f t="shared" si="297"/>
        <v>1275</v>
      </c>
      <c r="BC126" s="14">
        <f t="shared" si="297"/>
        <v>1275</v>
      </c>
      <c r="BD126" s="14">
        <f>INDEX(属性投放!$DL$6:$DL$85,(卡牌属性!AG126-2)*20+卡牌属性!AN126)</f>
        <v>22</v>
      </c>
      <c r="BE126" s="14">
        <f t="shared" si="298"/>
        <v>22</v>
      </c>
      <c r="BF126" s="14">
        <f t="shared" si="298"/>
        <v>22</v>
      </c>
      <c r="BG126" s="14">
        <f t="shared" si="298"/>
        <v>22</v>
      </c>
      <c r="BH126" s="14">
        <f t="shared" si="298"/>
        <v>22</v>
      </c>
      <c r="BI126" s="14">
        <f>INDEX(属性投放!$DM$6:$DM$85,(卡牌属性!AG126-2)*20+卡牌属性!AN126)</f>
        <v>11</v>
      </c>
      <c r="BJ126" s="14">
        <f t="shared" si="299"/>
        <v>11</v>
      </c>
      <c r="BK126" s="14">
        <f t="shared" si="299"/>
        <v>11</v>
      </c>
      <c r="BL126" s="14">
        <f t="shared" si="299"/>
        <v>11</v>
      </c>
      <c r="BM126" s="14">
        <f t="shared" si="299"/>
        <v>11</v>
      </c>
      <c r="BN126" s="14">
        <f>INDEX(属性投放!$DN$6:$DN$85,(卡牌属性!AG126-2)*20+卡牌属性!AN126)</f>
        <v>132</v>
      </c>
      <c r="BO126" s="14">
        <f t="shared" si="300"/>
        <v>132</v>
      </c>
      <c r="BP126" s="14">
        <f t="shared" si="300"/>
        <v>132</v>
      </c>
      <c r="BQ126" s="14">
        <f t="shared" si="300"/>
        <v>132</v>
      </c>
      <c r="BR126" s="14">
        <f t="shared" si="300"/>
        <v>132</v>
      </c>
      <c r="BW126" s="13">
        <v>122</v>
      </c>
      <c r="BX126" s="13">
        <f t="shared" si="173"/>
        <v>7</v>
      </c>
      <c r="BY126" s="14">
        <f t="shared" si="174"/>
        <v>4</v>
      </c>
      <c r="BZ126" s="14">
        <f t="shared" si="189"/>
        <v>1102007</v>
      </c>
      <c r="CA126" s="14" t="str">
        <f t="shared" si="190"/>
        <v>天使缇娜2突</v>
      </c>
      <c r="CB126" s="25" t="s">
        <v>142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INDEX(属性投放!$AZ$6:$AZ$85,(BY126-2)*20+CD126)</f>
        <v>308</v>
      </c>
      <c r="CG126" s="14" t="s">
        <v>22</v>
      </c>
      <c r="CH126" s="14">
        <f>INDEX(属性投放!$BA$6:$BA$85,(BY126-2)*20+CD126)</f>
        <v>80</v>
      </c>
      <c r="CI126" s="14" t="s">
        <v>510</v>
      </c>
      <c r="CJ126" s="14">
        <f>INDEX(属性投放!$BB$6:$BB$85,(BY126-2)*20+CD126)</f>
        <v>1448</v>
      </c>
      <c r="CK126" s="14" t="s">
        <v>21</v>
      </c>
      <c r="CL126" s="14">
        <f>INDEX(属性投放!$BC$6:$BC$85,(BY126-2)*20+CD126)</f>
        <v>15</v>
      </c>
      <c r="CM126" s="14" t="s">
        <v>22</v>
      </c>
      <c r="CN126" s="14">
        <f>INDEX(属性投放!$BD$6:$BD$85,(BY126-2)*20+CD126)</f>
        <v>8</v>
      </c>
      <c r="CO126" s="14" t="s">
        <v>510</v>
      </c>
      <c r="CP126" s="14">
        <f>INDEX(属性投放!$BE$6:$BE$85,(BY126-2)*20+CD126)</f>
        <v>90</v>
      </c>
      <c r="CS126" s="13">
        <v>122</v>
      </c>
      <c r="CT126" s="13">
        <f t="shared" si="191"/>
        <v>3</v>
      </c>
      <c r="CU126" s="13">
        <f t="shared" si="192"/>
        <v>18</v>
      </c>
      <c r="CV126" s="14">
        <f t="shared" si="193"/>
        <v>4</v>
      </c>
      <c r="CW126" s="14">
        <f t="shared" si="194"/>
        <v>1102003</v>
      </c>
      <c r="CX126" s="14" t="str">
        <f>INDEX($O$6:$O$50,CT126)&amp;"-"&amp;INDEX(属性投放!$AB$7:$AB$50,CZ126)&amp;"-魂火-"&amp;DB126</f>
        <v>典韦-叫唤+2-魂火-3</v>
      </c>
      <c r="CY126" s="25" t="s">
        <v>142</v>
      </c>
      <c r="CZ126" s="14">
        <f>INDEX(属性投放!$AM$7:$AM$58,CU126)</f>
        <v>9</v>
      </c>
      <c r="DA126" s="14" t="s">
        <v>537</v>
      </c>
      <c r="DB126" s="14">
        <f>INDEX(属性投放!$AN$7:$AN$58,CU126)</f>
        <v>3</v>
      </c>
      <c r="DC126" s="14">
        <f t="shared" si="176"/>
        <v>18</v>
      </c>
      <c r="DD126" s="14">
        <f>INDEX(属性投放!$AO$7:$AO$58,DC126)</f>
        <v>63</v>
      </c>
      <c r="DE126" s="14" t="s">
        <v>538</v>
      </c>
      <c r="DF126" s="14">
        <f>INDEX(属性投放!$BK$6:$BK$85,(CV126-2)*20+CZ126)</f>
        <v>115</v>
      </c>
      <c r="DG126" s="14">
        <f>SUMIFS(DF$5:DF126,$CT$5:$CT126,"="&amp;$CT126)</f>
        <v>1180</v>
      </c>
      <c r="DH126" s="14" t="s">
        <v>539</v>
      </c>
      <c r="DI126" s="14">
        <f>INDEX(属性投放!$BL$6:$BL$85,(CV126-2)*20+CZ126)</f>
        <v>58</v>
      </c>
      <c r="DJ126" s="14">
        <f>SUMIFS(DI$5:DI126,$CT$5:$CT126,"="&amp;$CT126)</f>
        <v>595</v>
      </c>
      <c r="DK126" s="14" t="s">
        <v>540</v>
      </c>
      <c r="DL126" s="14">
        <f>INDEX(属性投放!$BM$6:$BM$85,(CV126-2)*20+CZ126)</f>
        <v>920</v>
      </c>
      <c r="DM126" s="14">
        <f>SUMIFS(DL$5:DL126,$CT$5:$CT126,"="&amp;$CT126)</f>
        <v>8810</v>
      </c>
      <c r="DR126" s="14">
        <f t="shared" si="177"/>
        <v>1102007</v>
      </c>
      <c r="DS126" s="14" t="str">
        <f t="shared" si="178"/>
        <v>天使缇娜2突</v>
      </c>
      <c r="DT126" s="14">
        <f t="shared" si="195"/>
        <v>7</v>
      </c>
      <c r="DU126" s="14">
        <f t="shared" si="196"/>
        <v>6</v>
      </c>
      <c r="DV126" s="14">
        <f t="shared" si="197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INDEX(属性投放!$AX$6:$AX$85,(卡牌属性!DW126-2)*20+卡牌属性!DX126)</f>
        <v>10</v>
      </c>
      <c r="EA126" s="14">
        <f>INDEX(属性投放!BQ$6:BQ$85,卡牌属性!$DY126)</f>
        <v>40</v>
      </c>
      <c r="EB126" s="14">
        <f>INDEX(属性投放!BR$6:BR$85,卡牌属性!$DY126)</f>
        <v>20</v>
      </c>
      <c r="EC126" s="14">
        <f>INDEX(属性投放!BS$6:BS$85,卡牌属性!$DY126)</f>
        <v>240</v>
      </c>
      <c r="ED126" s="14">
        <f t="shared" ref="ED126:ED144" si="301">ED125+$EA125+ES125*$DZ125</f>
        <v>283</v>
      </c>
      <c r="EE126" s="14">
        <f t="shared" ref="EE126:EE144" si="302">EE125+$EA125+ET125*$DZ125</f>
        <v>337</v>
      </c>
      <c r="EF126" s="14">
        <f t="shared" ref="EF126:EF144" si="303">EF125+$EA125+EU125*$DZ125</f>
        <v>395</v>
      </c>
      <c r="EG126" s="14">
        <f t="shared" ref="EG126:EG144" si="304">EG125+$EA125+EV125*$DZ125</f>
        <v>395</v>
      </c>
      <c r="EH126" s="14">
        <f t="shared" ref="EH126:EH144" si="305">EH125+$EA125+EW125*$DZ125</f>
        <v>465</v>
      </c>
      <c r="EI126" s="14">
        <f t="shared" ref="EI126:EI144" si="306">EI125+$EB125+EX125*$DZ125</f>
        <v>78</v>
      </c>
      <c r="EJ126" s="14">
        <f t="shared" ref="EJ126:EJ144" si="307">EJ125+$EB125+EY125*$DZ125</f>
        <v>92</v>
      </c>
      <c r="EK126" s="14">
        <f t="shared" ref="EK126:EK144" si="308">EK125+$EB125+EZ125*$DZ125</f>
        <v>92</v>
      </c>
      <c r="EL126" s="14">
        <f t="shared" ref="EL126:EL144" si="309">EL125+$EB125+FA125*$DZ125</f>
        <v>121</v>
      </c>
      <c r="EM126" s="14">
        <f t="shared" ref="EM126:EM144" si="310">EM125+$EB125+FB125*$DZ125</f>
        <v>150</v>
      </c>
      <c r="EN126" s="14">
        <f t="shared" ref="EN126:EN144" si="311">EN125+$EC125+FC125*$DZ125</f>
        <v>1100</v>
      </c>
      <c r="EO126" s="14">
        <f t="shared" ref="EO126:EO144" si="312">EO125+$EC125+FD125*$DZ125</f>
        <v>1298</v>
      </c>
      <c r="EP126" s="14">
        <f t="shared" ref="EP126:EP144" si="313">EP125+$EC125+FE125*$DZ125</f>
        <v>1298</v>
      </c>
      <c r="EQ126" s="14">
        <f t="shared" ref="EQ126:EQ144" si="314">EQ125+$EC125+FF125*$DZ125</f>
        <v>1522</v>
      </c>
      <c r="ER126" s="14">
        <f t="shared" ref="ER126:ER144" si="315">ER125+$EC125+FG125*$DZ125</f>
        <v>1770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72</v>
      </c>
      <c r="FD126" s="14">
        <f>INDEX(属性偏向!$U$4:$U$243,(卡牌属性!$DV126-1+FD$3)*20+卡牌属性!$DX126)</f>
        <v>90</v>
      </c>
      <c r="FE126" s="14">
        <f>INDEX(属性偏向!$U$4:$U$243,(卡牌属性!$DV126-1+FE$3)*20+卡牌属性!$DX126)</f>
        <v>90</v>
      </c>
      <c r="FF126" s="14">
        <f>INDEX(属性偏向!$U$4:$U$243,(卡牌属性!$DV126-1+FF$3)*20+卡牌属性!$DX126)</f>
        <v>102</v>
      </c>
      <c r="FG126" s="14">
        <f>INDEX(属性偏向!$U$4:$U$243,(卡牌属性!$DV126-1+FG$3)*20+卡牌属性!$DX126)</f>
        <v>120</v>
      </c>
      <c r="FH126" s="14">
        <f>INDEX(属性投放!$BQ$6:$BQ$85,(卡牌属性!$DW126-2)*20+卡牌属性!$DX126)</f>
        <v>40</v>
      </c>
      <c r="FI126" s="14">
        <f>INDEX(属性投放!$BQ$6:$BQ$85,(卡牌属性!$DW126-2)*20+卡牌属性!$DX126)</f>
        <v>40</v>
      </c>
      <c r="FJ126" s="14">
        <f>INDEX(属性投放!$BQ$6:$BQ$85,(卡牌属性!$DW126-2)*20+卡牌属性!$DX126)</f>
        <v>40</v>
      </c>
      <c r="FK126" s="14">
        <f>INDEX(属性投放!$BQ$6:$BQ$85,(卡牌属性!$DW126-2)*20+卡牌属性!$DX126)</f>
        <v>40</v>
      </c>
      <c r="FL126" s="14">
        <f>INDEX(属性投放!$BQ$6:$BQ$85,(卡牌属性!$DW126-2)*20+卡牌属性!$DX126)</f>
        <v>40</v>
      </c>
      <c r="FM126" s="14">
        <f>INDEX(属性投放!$BR$6:$BR$85,(卡牌属性!$DW126-2)*20+卡牌属性!$DX126)</f>
        <v>20</v>
      </c>
      <c r="FN126" s="14">
        <f>INDEX(属性投放!$BR$6:$BR$85,(卡牌属性!$DW126-2)*20+卡牌属性!$DX126)</f>
        <v>20</v>
      </c>
      <c r="FO126" s="14">
        <f>INDEX(属性投放!$BR$6:$BR$85,(卡牌属性!$DW126-2)*20+卡牌属性!$DX126)</f>
        <v>20</v>
      </c>
      <c r="FP126" s="14">
        <f>INDEX(属性投放!$BR$6:$BR$85,(卡牌属性!$DW126-2)*20+卡牌属性!$DX126)</f>
        <v>20</v>
      </c>
      <c r="FQ126" s="14">
        <f>INDEX(属性投放!$BR$6:$BR$85,(卡牌属性!$DW126-2)*20+卡牌属性!$DX126)</f>
        <v>20</v>
      </c>
      <c r="FR126" s="14">
        <f>INDEX(属性投放!$BS$6:$BS$85,(卡牌属性!$DW126-2)*20+卡牌属性!$DX126)</f>
        <v>240</v>
      </c>
      <c r="FS126" s="14">
        <f>INDEX(属性投放!$BS$6:$BS$85,(卡牌属性!$DW126-2)*20+卡牌属性!$DX126)</f>
        <v>240</v>
      </c>
      <c r="FT126" s="14">
        <f>INDEX(属性投放!$BS$6:$BS$85,(卡牌属性!$DW126-2)*20+卡牌属性!$DX126)</f>
        <v>240</v>
      </c>
      <c r="FU126" s="14">
        <f>INDEX(属性投放!$BS$6:$BS$85,(卡牌属性!$DW126-2)*20+卡牌属性!$DX126)</f>
        <v>240</v>
      </c>
      <c r="FV126" s="14">
        <f>INDEX(属性投放!$BS$6:$BS$85,(卡牌属性!$DW126-2)*20+卡牌属性!$DX126)</f>
        <v>240</v>
      </c>
      <c r="FZ126" s="13">
        <v>122</v>
      </c>
      <c r="GA126" s="13">
        <f t="shared" si="291"/>
        <v>25</v>
      </c>
      <c r="GB126" s="14">
        <f t="shared" si="198"/>
        <v>1102026</v>
      </c>
      <c r="GC126" s="14" t="s">
        <v>1187</v>
      </c>
      <c r="GD126" s="14">
        <f t="shared" si="265"/>
        <v>2</v>
      </c>
      <c r="GE126" s="14" t="str">
        <f t="shared" si="266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MATCH(HC126,属性投放!$AO$6:$AO$58,1)-1</f>
        <v>41</v>
      </c>
      <c r="HF126" s="13">
        <f>MATCH(HC126-1,属性投放!$AE$6:$AE$26,1)</f>
        <v>17</v>
      </c>
      <c r="HG126" s="13" t="str">
        <f>INDEX(属性投放!$AB$7:$AB$26,卡牌属性!HF126)</f>
        <v>大焦热+1</v>
      </c>
      <c r="HH126" s="14">
        <f t="shared" si="200"/>
        <v>7893</v>
      </c>
      <c r="HI126" s="14">
        <f t="shared" si="201"/>
        <v>3409</v>
      </c>
      <c r="HJ126" s="14">
        <f t="shared" si="202"/>
        <v>60834</v>
      </c>
      <c r="HK126" s="14">
        <f t="shared" si="203"/>
        <v>50</v>
      </c>
      <c r="HL126" s="14">
        <f t="shared" si="204"/>
        <v>18</v>
      </c>
      <c r="HM126" s="14">
        <f t="shared" si="205"/>
        <v>350</v>
      </c>
      <c r="HN126" s="14">
        <f>HH126+HK126*($HC126-INDEX(属性投放!$AE$6:$AE$26,卡牌属性!$HF126))</f>
        <v>8143</v>
      </c>
      <c r="HO126" s="14">
        <f>HI126+HL126*($HC126-INDEX(属性投放!$AE$6:$AE$26,卡牌属性!$HF126))</f>
        <v>3499</v>
      </c>
      <c r="HP126" s="14">
        <f>HJ126+HM126*($HC126-INDEX(属性投放!$AE$6:$AE$26,卡牌属性!$HF126))</f>
        <v>62584</v>
      </c>
      <c r="HQ126" s="14">
        <f t="shared" si="206"/>
        <v>8735</v>
      </c>
      <c r="HR126" s="14">
        <f t="shared" si="207"/>
        <v>4377</v>
      </c>
      <c r="HS126" s="14">
        <f t="shared" si="208"/>
        <v>82785</v>
      </c>
      <c r="HT126" s="14">
        <f>IF(COUNTIF(属性投放!$AO$7:$AO$58,"="&amp;卡牌属性!HC126)&gt;0,卡牌属性!HE126,0)</f>
        <v>0</v>
      </c>
      <c r="HU126" s="14">
        <f t="shared" si="209"/>
        <v>0</v>
      </c>
      <c r="HV126" s="14">
        <f t="shared" si="210"/>
        <v>0</v>
      </c>
      <c r="HW126" s="14">
        <f t="shared" si="211"/>
        <v>0</v>
      </c>
      <c r="HX126" s="14">
        <f>IF(COUNTIF(属性投放!$AE$6:$AE$26,"="&amp;卡牌属性!HC126)&gt;0,卡牌属性!HF126,0)</f>
        <v>0</v>
      </c>
      <c r="HY126" s="14">
        <f t="shared" si="212"/>
        <v>0</v>
      </c>
      <c r="HZ126" s="14">
        <f t="shared" si="213"/>
        <v>0</v>
      </c>
      <c r="IA126" s="14">
        <f t="shared" si="214"/>
        <v>0</v>
      </c>
      <c r="IB126" s="14">
        <f t="shared" si="215"/>
        <v>50</v>
      </c>
      <c r="IC126" s="14">
        <f t="shared" si="216"/>
        <v>18</v>
      </c>
      <c r="ID126" s="14">
        <f t="shared" si="217"/>
        <v>350</v>
      </c>
      <c r="IE126" s="14">
        <f t="shared" si="218"/>
        <v>16878</v>
      </c>
      <c r="IF126" s="14">
        <f t="shared" si="219"/>
        <v>7876</v>
      </c>
      <c r="IG126" s="14">
        <f t="shared" si="220"/>
        <v>145369</v>
      </c>
      <c r="IH126" s="14">
        <f t="shared" si="221"/>
        <v>1210</v>
      </c>
      <c r="II126" s="14">
        <f t="shared" si="222"/>
        <v>0</v>
      </c>
      <c r="IJ126" s="14">
        <f t="shared" si="223"/>
        <v>0</v>
      </c>
      <c r="IK126" s="14">
        <f t="shared" si="224"/>
        <v>471669</v>
      </c>
      <c r="IL126" s="17">
        <f t="shared" si="225"/>
        <v>2.5653583339163692E-3</v>
      </c>
      <c r="IM126" s="17">
        <f t="shared" si="226"/>
        <v>0</v>
      </c>
      <c r="IN126" s="17">
        <f t="shared" si="227"/>
        <v>0</v>
      </c>
      <c r="IO126" s="23">
        <f>SUM(IH$5:IH126)</f>
        <v>78684</v>
      </c>
      <c r="IP126" s="14">
        <f>SUM(II$5:II126)</f>
        <v>257675</v>
      </c>
      <c r="IQ126" s="14">
        <f>SUM(IJ$5:IJ126)</f>
        <v>106640</v>
      </c>
      <c r="IR126" s="17">
        <f t="shared" si="228"/>
        <v>0.1668203761536162</v>
      </c>
      <c r="IS126" s="17">
        <f t="shared" si="229"/>
        <v>0.54630471792719049</v>
      </c>
      <c r="IT126" s="17">
        <f t="shared" si="230"/>
        <v>0.22609075432135672</v>
      </c>
      <c r="IW126" s="13">
        <v>122</v>
      </c>
      <c r="IX126" s="14">
        <f>MATCH(IW126-1,属性投放!$T$6:$T$66,1)</f>
        <v>31</v>
      </c>
      <c r="IY126" s="14">
        <f>MATCH(IW126-1,属性投放!$AD$7:$AD$26,1)</f>
        <v>16</v>
      </c>
      <c r="IZ126" s="14" t="str">
        <f>INDEX(属性投放!$AB$7:$AB$26,IY126)</f>
        <v>大焦热</v>
      </c>
      <c r="JA126" s="14">
        <f t="shared" si="231"/>
        <v>9545</v>
      </c>
      <c r="JB126" s="14">
        <f t="shared" si="232"/>
        <v>4739</v>
      </c>
      <c r="JC126" s="14">
        <f t="shared" si="233"/>
        <v>87226</v>
      </c>
      <c r="JD126" s="14">
        <f t="shared" si="234"/>
        <v>235</v>
      </c>
      <c r="JE126" s="14">
        <f t="shared" si="235"/>
        <v>117</v>
      </c>
      <c r="JF126" s="14">
        <f t="shared" si="236"/>
        <v>2346</v>
      </c>
      <c r="JG126" s="14">
        <f>INDEX(属性投放!$DC$6:$DC$85,卡牌属性!IY126)</f>
        <v>110</v>
      </c>
      <c r="JH126" s="14">
        <f t="shared" si="237"/>
        <v>12365</v>
      </c>
      <c r="JI126" s="14">
        <f t="shared" si="238"/>
        <v>6143</v>
      </c>
      <c r="JJ126" s="14">
        <f t="shared" si="239"/>
        <v>115378</v>
      </c>
      <c r="JK126" s="14">
        <f t="shared" si="240"/>
        <v>238633</v>
      </c>
    </row>
    <row r="127" spans="31:271" ht="16.5" x14ac:dyDescent="0.2">
      <c r="AE127" s="13">
        <v>123</v>
      </c>
      <c r="AF127" s="13">
        <f t="shared" si="188"/>
        <v>7</v>
      </c>
      <c r="AG127" s="13">
        <f t="shared" si="169"/>
        <v>4</v>
      </c>
      <c r="AH127" s="13"/>
      <c r="AI127" s="13"/>
      <c r="AJ127" s="14">
        <f t="shared" si="170"/>
        <v>1101007</v>
      </c>
      <c r="AK127" s="14" t="str">
        <f t="shared" si="171"/>
        <v>战斗曹焱兵3突</v>
      </c>
      <c r="AL127" s="25" t="s">
        <v>142</v>
      </c>
      <c r="AM127" s="14">
        <v>1</v>
      </c>
      <c r="AN127" s="14">
        <f t="shared" si="172"/>
        <v>3</v>
      </c>
      <c r="AO127" s="14">
        <f>INDEX(属性投放!$DF$6:$DF$85,(卡牌属性!AG127-2)*20+卡牌属性!AN127)</f>
        <v>365</v>
      </c>
      <c r="AP127" s="14">
        <f t="shared" si="295"/>
        <v>365</v>
      </c>
      <c r="AQ127" s="14">
        <f t="shared" si="295"/>
        <v>365</v>
      </c>
      <c r="AR127" s="14">
        <f t="shared" si="295"/>
        <v>365</v>
      </c>
      <c r="AS127" s="14">
        <f t="shared" si="295"/>
        <v>365</v>
      </c>
      <c r="AT127" s="14">
        <f>INDEX(属性投放!$DG$6:$DG$85,(卡牌属性!AG127-2)*20+卡牌属性!AN127)</f>
        <v>109</v>
      </c>
      <c r="AU127" s="14">
        <f t="shared" si="296"/>
        <v>109</v>
      </c>
      <c r="AV127" s="14">
        <f t="shared" si="296"/>
        <v>109</v>
      </c>
      <c r="AW127" s="14">
        <f t="shared" si="296"/>
        <v>109</v>
      </c>
      <c r="AX127" s="14">
        <f t="shared" si="296"/>
        <v>109</v>
      </c>
      <c r="AY127" s="14">
        <f>INDEX(属性投放!$DH$6:$DH$85,(卡牌属性!AG127-2)*20+卡牌属性!AN127)</f>
        <v>1605</v>
      </c>
      <c r="AZ127" s="14">
        <f t="shared" si="297"/>
        <v>1605</v>
      </c>
      <c r="BA127" s="14">
        <f t="shared" si="297"/>
        <v>1605</v>
      </c>
      <c r="BB127" s="14">
        <f t="shared" si="297"/>
        <v>1605</v>
      </c>
      <c r="BC127" s="14">
        <f t="shared" si="297"/>
        <v>1605</v>
      </c>
      <c r="BD127" s="14">
        <f>INDEX(属性投放!$DL$6:$DL$85,(卡牌属性!AG127-2)*20+卡牌属性!AN127)</f>
        <v>22</v>
      </c>
      <c r="BE127" s="14">
        <f t="shared" si="298"/>
        <v>22</v>
      </c>
      <c r="BF127" s="14">
        <f t="shared" si="298"/>
        <v>22</v>
      </c>
      <c r="BG127" s="14">
        <f t="shared" si="298"/>
        <v>22</v>
      </c>
      <c r="BH127" s="14">
        <f t="shared" si="298"/>
        <v>22</v>
      </c>
      <c r="BI127" s="14">
        <f>INDEX(属性投放!$DM$6:$DM$85,(卡牌属性!AG127-2)*20+卡牌属性!AN127)</f>
        <v>11</v>
      </c>
      <c r="BJ127" s="14">
        <f t="shared" si="299"/>
        <v>11</v>
      </c>
      <c r="BK127" s="14">
        <f t="shared" si="299"/>
        <v>11</v>
      </c>
      <c r="BL127" s="14">
        <f t="shared" si="299"/>
        <v>11</v>
      </c>
      <c r="BM127" s="14">
        <f t="shared" si="299"/>
        <v>11</v>
      </c>
      <c r="BN127" s="14">
        <f>INDEX(属性投放!$DN$6:$DN$85,(卡牌属性!AG127-2)*20+卡牌属性!AN127)</f>
        <v>132</v>
      </c>
      <c r="BO127" s="14">
        <f t="shared" si="300"/>
        <v>132</v>
      </c>
      <c r="BP127" s="14">
        <f t="shared" si="300"/>
        <v>132</v>
      </c>
      <c r="BQ127" s="14">
        <f t="shared" si="300"/>
        <v>132</v>
      </c>
      <c r="BR127" s="14">
        <f t="shared" si="300"/>
        <v>132</v>
      </c>
      <c r="BW127" s="13">
        <v>123</v>
      </c>
      <c r="BX127" s="13">
        <f t="shared" si="173"/>
        <v>7</v>
      </c>
      <c r="BY127" s="14">
        <f t="shared" si="174"/>
        <v>4</v>
      </c>
      <c r="BZ127" s="14">
        <f t="shared" si="189"/>
        <v>1102007</v>
      </c>
      <c r="CA127" s="14" t="str">
        <f t="shared" si="190"/>
        <v>天使缇娜3突</v>
      </c>
      <c r="CB127" s="25" t="s">
        <v>142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INDEX(属性投放!$AZ$6:$AZ$85,(BY127-2)*20+CD127)</f>
        <v>558</v>
      </c>
      <c r="CG127" s="14" t="s">
        <v>22</v>
      </c>
      <c r="CH127" s="14">
        <f>INDEX(属性投放!$BA$6:$BA$85,(BY127-2)*20+CD127)</f>
        <v>210</v>
      </c>
      <c r="CI127" s="14" t="s">
        <v>510</v>
      </c>
      <c r="CJ127" s="14">
        <f>INDEX(属性投放!$BB$6:$BB$85,(BY127-2)*20+CD127)</f>
        <v>2948</v>
      </c>
      <c r="CK127" s="14" t="s">
        <v>21</v>
      </c>
      <c r="CL127" s="14">
        <f>INDEX(属性投放!$BC$6:$BC$85,(BY127-2)*20+CD127)</f>
        <v>15</v>
      </c>
      <c r="CM127" s="14" t="s">
        <v>22</v>
      </c>
      <c r="CN127" s="14">
        <f>INDEX(属性投放!$BD$6:$BD$85,(BY127-2)*20+CD127)</f>
        <v>8</v>
      </c>
      <c r="CO127" s="14" t="s">
        <v>510</v>
      </c>
      <c r="CP127" s="14">
        <f>INDEX(属性投放!$BE$6:$BE$85,(BY127-2)*20+CD127)</f>
        <v>90</v>
      </c>
      <c r="CS127" s="13">
        <v>123</v>
      </c>
      <c r="CT127" s="13">
        <f t="shared" si="191"/>
        <v>3</v>
      </c>
      <c r="CU127" s="13">
        <f t="shared" si="192"/>
        <v>19</v>
      </c>
      <c r="CV127" s="14">
        <f t="shared" si="193"/>
        <v>4</v>
      </c>
      <c r="CW127" s="14">
        <f t="shared" si="194"/>
        <v>1102003</v>
      </c>
      <c r="CX127" s="14" t="str">
        <f>INDEX($O$6:$O$50,CT127)&amp;"-"&amp;INDEX(属性投放!$AB$7:$AB$50,CZ127)&amp;"-魂火-"&amp;DB127</f>
        <v>典韦-大叫唤-魂火-1</v>
      </c>
      <c r="CY127" s="25" t="s">
        <v>142</v>
      </c>
      <c r="CZ127" s="14">
        <f>INDEX(属性投放!$AM$7:$AM$58,CU127)</f>
        <v>10</v>
      </c>
      <c r="DA127" s="14" t="s">
        <v>537</v>
      </c>
      <c r="DB127" s="14">
        <f>INDEX(属性投放!$AN$7:$AN$58,CU127)</f>
        <v>1</v>
      </c>
      <c r="DC127" s="14">
        <f t="shared" si="176"/>
        <v>19</v>
      </c>
      <c r="DD127" s="14">
        <f>INDEX(属性投放!$AO$7:$AO$58,DC127)</f>
        <v>65</v>
      </c>
      <c r="DE127" s="14" t="s">
        <v>538</v>
      </c>
      <c r="DF127" s="14">
        <f>INDEX(属性投放!$BK$6:$BK$85,(CV127-2)*20+CZ127)</f>
        <v>130</v>
      </c>
      <c r="DG127" s="14">
        <f>SUMIFS(DF$5:DF127,$CT$5:$CT127,"="&amp;$CT127)</f>
        <v>1310</v>
      </c>
      <c r="DH127" s="14" t="s">
        <v>539</v>
      </c>
      <c r="DI127" s="14">
        <f>INDEX(属性投放!$BL$6:$BL$85,(CV127-2)*20+CZ127)</f>
        <v>65</v>
      </c>
      <c r="DJ127" s="14">
        <f>SUMIFS(DI$5:DI127,$CT$5:$CT127,"="&amp;$CT127)</f>
        <v>660</v>
      </c>
      <c r="DK127" s="14" t="s">
        <v>540</v>
      </c>
      <c r="DL127" s="14">
        <f>INDEX(属性投放!$BM$6:$BM$85,(CV127-2)*20+CZ127)</f>
        <v>1170</v>
      </c>
      <c r="DM127" s="14">
        <f>SUMIFS(DL$5:DL127,$CT$5:$CT127,"="&amp;$CT127)</f>
        <v>9980</v>
      </c>
      <c r="DR127" s="14">
        <f t="shared" si="177"/>
        <v>1102007</v>
      </c>
      <c r="DS127" s="14" t="str">
        <f t="shared" si="178"/>
        <v>天使缇娜3突</v>
      </c>
      <c r="DT127" s="14">
        <f t="shared" si="195"/>
        <v>7</v>
      </c>
      <c r="DU127" s="14">
        <f t="shared" si="196"/>
        <v>6</v>
      </c>
      <c r="DV127" s="14">
        <f t="shared" si="197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INDEX(属性投放!$AX$6:$AX$85,(卡牌属性!DW127-2)*20+卡牌属性!DX127)</f>
        <v>10</v>
      </c>
      <c r="EA127" s="14">
        <f>INDEX(属性投放!BQ$6:BQ$85,卡牌属性!$DY127)</f>
        <v>80</v>
      </c>
      <c r="EB127" s="14">
        <f>INDEX(属性投放!BR$6:BR$85,卡牌属性!$DY127)</f>
        <v>40</v>
      </c>
      <c r="EC127" s="14">
        <f>INDEX(属性投放!BS$6:BS$85,卡牌属性!$DY127)</f>
        <v>480</v>
      </c>
      <c r="ED127" s="14">
        <f t="shared" si="301"/>
        <v>473</v>
      </c>
      <c r="EE127" s="14">
        <f t="shared" si="302"/>
        <v>547</v>
      </c>
      <c r="EF127" s="14">
        <f t="shared" si="303"/>
        <v>635</v>
      </c>
      <c r="EG127" s="14">
        <f t="shared" si="304"/>
        <v>635</v>
      </c>
      <c r="EH127" s="14">
        <f t="shared" si="305"/>
        <v>755</v>
      </c>
      <c r="EI127" s="14">
        <f t="shared" si="306"/>
        <v>158</v>
      </c>
      <c r="EJ127" s="14">
        <f t="shared" si="307"/>
        <v>192</v>
      </c>
      <c r="EK127" s="14">
        <f t="shared" si="308"/>
        <v>192</v>
      </c>
      <c r="EL127" s="14">
        <f t="shared" si="309"/>
        <v>231</v>
      </c>
      <c r="EM127" s="14">
        <f t="shared" si="310"/>
        <v>270</v>
      </c>
      <c r="EN127" s="14">
        <f t="shared" si="311"/>
        <v>2060</v>
      </c>
      <c r="EO127" s="14">
        <f t="shared" si="312"/>
        <v>2438</v>
      </c>
      <c r="EP127" s="14">
        <f t="shared" si="313"/>
        <v>2438</v>
      </c>
      <c r="EQ127" s="14">
        <f t="shared" si="314"/>
        <v>2782</v>
      </c>
      <c r="ER127" s="14">
        <f t="shared" si="315"/>
        <v>3210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72</v>
      </c>
      <c r="FD127" s="14">
        <f>INDEX(属性偏向!$U$4:$U$243,(卡牌属性!$DV127-1+FD$3)*20+卡牌属性!$DX127)</f>
        <v>90</v>
      </c>
      <c r="FE127" s="14">
        <f>INDEX(属性偏向!$U$4:$U$243,(卡牌属性!$DV127-1+FE$3)*20+卡牌属性!$DX127)</f>
        <v>90</v>
      </c>
      <c r="FF127" s="14">
        <f>INDEX(属性偏向!$U$4:$U$243,(卡牌属性!$DV127-1+FF$3)*20+卡牌属性!$DX127)</f>
        <v>102</v>
      </c>
      <c r="FG127" s="14">
        <f>INDEX(属性偏向!$U$4:$U$243,(卡牌属性!$DV127-1+FG$3)*20+卡牌属性!$DX127)</f>
        <v>120</v>
      </c>
      <c r="FH127" s="14">
        <f>INDEX(属性投放!$BQ$6:$BQ$85,(卡牌属性!$DW127-2)*20+卡牌属性!$DX127)</f>
        <v>80</v>
      </c>
      <c r="FI127" s="14">
        <f>INDEX(属性投放!$BQ$6:$BQ$85,(卡牌属性!$DW127-2)*20+卡牌属性!$DX127)</f>
        <v>80</v>
      </c>
      <c r="FJ127" s="14">
        <f>INDEX(属性投放!$BQ$6:$BQ$85,(卡牌属性!$DW127-2)*20+卡牌属性!$DX127)</f>
        <v>80</v>
      </c>
      <c r="FK127" s="14">
        <f>INDEX(属性投放!$BQ$6:$BQ$85,(卡牌属性!$DW127-2)*20+卡牌属性!$DX127)</f>
        <v>80</v>
      </c>
      <c r="FL127" s="14">
        <f>INDEX(属性投放!$BQ$6:$BQ$85,(卡牌属性!$DW127-2)*20+卡牌属性!$DX127)</f>
        <v>80</v>
      </c>
      <c r="FM127" s="14">
        <f>INDEX(属性投放!$BR$6:$BR$85,(卡牌属性!$DW127-2)*20+卡牌属性!$DX127)</f>
        <v>40</v>
      </c>
      <c r="FN127" s="14">
        <f>INDEX(属性投放!$BR$6:$BR$85,(卡牌属性!$DW127-2)*20+卡牌属性!$DX127)</f>
        <v>40</v>
      </c>
      <c r="FO127" s="14">
        <f>INDEX(属性投放!$BR$6:$BR$85,(卡牌属性!$DW127-2)*20+卡牌属性!$DX127)</f>
        <v>40</v>
      </c>
      <c r="FP127" s="14">
        <f>INDEX(属性投放!$BR$6:$BR$85,(卡牌属性!$DW127-2)*20+卡牌属性!$DX127)</f>
        <v>40</v>
      </c>
      <c r="FQ127" s="14">
        <f>INDEX(属性投放!$BR$6:$BR$85,(卡牌属性!$DW127-2)*20+卡牌属性!$DX127)</f>
        <v>40</v>
      </c>
      <c r="FR127" s="14">
        <f>INDEX(属性投放!$BS$6:$BS$85,(卡牌属性!$DW127-2)*20+卡牌属性!$DX127)</f>
        <v>480</v>
      </c>
      <c r="FS127" s="14">
        <f>INDEX(属性投放!$BS$6:$BS$85,(卡牌属性!$DW127-2)*20+卡牌属性!$DX127)</f>
        <v>480</v>
      </c>
      <c r="FT127" s="14">
        <f>INDEX(属性投放!$BS$6:$BS$85,(卡牌属性!$DW127-2)*20+卡牌属性!$DX127)</f>
        <v>480</v>
      </c>
      <c r="FU127" s="14">
        <f>INDEX(属性投放!$BS$6:$BS$85,(卡牌属性!$DW127-2)*20+卡牌属性!$DX127)</f>
        <v>480</v>
      </c>
      <c r="FV127" s="14">
        <f>INDEX(属性投放!$BS$6:$BS$85,(卡牌属性!$DW127-2)*20+卡牌属性!$DX127)</f>
        <v>480</v>
      </c>
      <c r="FZ127" s="13">
        <v>123</v>
      </c>
      <c r="GA127" s="13">
        <f t="shared" si="291"/>
        <v>25</v>
      </c>
      <c r="GB127" s="14">
        <f t="shared" si="198"/>
        <v>1102026</v>
      </c>
      <c r="GC127" s="14" t="s">
        <v>1187</v>
      </c>
      <c r="GD127" s="14">
        <f t="shared" si="265"/>
        <v>3</v>
      </c>
      <c r="GE127" s="14" t="str">
        <f t="shared" si="266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MATCH(HC127,属性投放!$AO$6:$AO$58,1)-1</f>
        <v>42</v>
      </c>
      <c r="HF127" s="13">
        <f>MATCH(HC127-1,属性投放!$AE$6:$AE$26,1)</f>
        <v>17</v>
      </c>
      <c r="HG127" s="13" t="str">
        <f>INDEX(属性投放!$AB$7:$AB$26,卡牌属性!HF127)</f>
        <v>大焦热+1</v>
      </c>
      <c r="HH127" s="14">
        <f t="shared" si="200"/>
        <v>7893</v>
      </c>
      <c r="HI127" s="14">
        <f t="shared" si="201"/>
        <v>3409</v>
      </c>
      <c r="HJ127" s="14">
        <f t="shared" si="202"/>
        <v>60834</v>
      </c>
      <c r="HK127" s="14">
        <f t="shared" si="203"/>
        <v>50</v>
      </c>
      <c r="HL127" s="14">
        <f t="shared" si="204"/>
        <v>18</v>
      </c>
      <c r="HM127" s="14">
        <f t="shared" si="205"/>
        <v>350</v>
      </c>
      <c r="HN127" s="14">
        <f>HH127+HK127*($HC127-INDEX(属性投放!$AE$6:$AE$26,卡牌属性!$HF127))</f>
        <v>8193</v>
      </c>
      <c r="HO127" s="14">
        <f>HI127+HL127*($HC127-INDEX(属性投放!$AE$6:$AE$26,卡牌属性!$HF127))</f>
        <v>3517</v>
      </c>
      <c r="HP127" s="14">
        <f>HJ127+HM127*($HC127-INDEX(属性投放!$AE$6:$AE$26,卡牌属性!$HF127))</f>
        <v>62934</v>
      </c>
      <c r="HQ127" s="14">
        <f t="shared" si="206"/>
        <v>9385</v>
      </c>
      <c r="HR127" s="14">
        <f t="shared" si="207"/>
        <v>4702</v>
      </c>
      <c r="HS127" s="14">
        <f t="shared" si="208"/>
        <v>89285</v>
      </c>
      <c r="HT127" s="14">
        <f>IF(COUNTIF(属性投放!$AO$7:$AO$58,"="&amp;卡牌属性!HC127)&gt;0,卡牌属性!HE127,0)</f>
        <v>42</v>
      </c>
      <c r="HU127" s="14">
        <f t="shared" si="209"/>
        <v>650</v>
      </c>
      <c r="HV127" s="14">
        <f t="shared" si="210"/>
        <v>325</v>
      </c>
      <c r="HW127" s="14">
        <f t="shared" si="211"/>
        <v>6500</v>
      </c>
      <c r="HX127" s="14">
        <f>IF(COUNTIF(属性投放!$AE$6:$AE$26,"="&amp;卡牌属性!HC127)&gt;0,卡牌属性!HF127,0)</f>
        <v>0</v>
      </c>
      <c r="HY127" s="14">
        <f t="shared" si="212"/>
        <v>0</v>
      </c>
      <c r="HZ127" s="14">
        <f t="shared" si="213"/>
        <v>0</v>
      </c>
      <c r="IA127" s="14">
        <f t="shared" si="214"/>
        <v>0</v>
      </c>
      <c r="IB127" s="14">
        <f t="shared" si="215"/>
        <v>50</v>
      </c>
      <c r="IC127" s="14">
        <f t="shared" si="216"/>
        <v>18</v>
      </c>
      <c r="ID127" s="14">
        <f t="shared" si="217"/>
        <v>350</v>
      </c>
      <c r="IE127" s="14">
        <f t="shared" si="218"/>
        <v>17578</v>
      </c>
      <c r="IF127" s="14">
        <f t="shared" si="219"/>
        <v>8219</v>
      </c>
      <c r="IG127" s="14">
        <f t="shared" si="220"/>
        <v>152219</v>
      </c>
      <c r="IH127" s="14">
        <f t="shared" si="221"/>
        <v>1210</v>
      </c>
      <c r="II127" s="14">
        <f t="shared" si="222"/>
        <v>19500</v>
      </c>
      <c r="IJ127" s="14">
        <f t="shared" si="223"/>
        <v>0</v>
      </c>
      <c r="IK127" s="14">
        <f t="shared" si="224"/>
        <v>492379</v>
      </c>
      <c r="IL127" s="17">
        <f t="shared" si="225"/>
        <v>2.4574565527774339E-3</v>
      </c>
      <c r="IM127" s="17">
        <f t="shared" si="226"/>
        <v>3.9603638660462771E-2</v>
      </c>
      <c r="IN127" s="17">
        <f t="shared" si="227"/>
        <v>0</v>
      </c>
      <c r="IO127" s="23">
        <f>SUM(IH$5:IH127)</f>
        <v>79894</v>
      </c>
      <c r="IP127" s="14">
        <f>SUM(II$5:II127)</f>
        <v>277175</v>
      </c>
      <c r="IQ127" s="14">
        <f>SUM(IJ$5:IJ127)</f>
        <v>106640</v>
      </c>
      <c r="IR127" s="17">
        <f t="shared" si="228"/>
        <v>0.16226118498148784</v>
      </c>
      <c r="IS127" s="17">
        <f t="shared" si="229"/>
        <v>0.56293018183147536</v>
      </c>
      <c r="IT127" s="17">
        <f t="shared" si="230"/>
        <v>0.21658112957701284</v>
      </c>
      <c r="IW127" s="13">
        <v>123</v>
      </c>
      <c r="IX127" s="14">
        <f>MATCH(IW127-1,属性投放!$T$6:$T$66,1)</f>
        <v>32</v>
      </c>
      <c r="IY127" s="14">
        <f>MATCH(IW127-1,属性投放!$AD$7:$AD$26,1)</f>
        <v>16</v>
      </c>
      <c r="IZ127" s="14" t="str">
        <f>INDEX(属性投放!$AB$7:$AB$26,IY127)</f>
        <v>大焦热</v>
      </c>
      <c r="JA127" s="14">
        <f t="shared" si="231"/>
        <v>9545</v>
      </c>
      <c r="JB127" s="14">
        <f t="shared" si="232"/>
        <v>4739</v>
      </c>
      <c r="JC127" s="14">
        <f t="shared" si="233"/>
        <v>87226</v>
      </c>
      <c r="JD127" s="14">
        <f t="shared" si="234"/>
        <v>235</v>
      </c>
      <c r="JE127" s="14">
        <f t="shared" si="235"/>
        <v>117</v>
      </c>
      <c r="JF127" s="14">
        <f t="shared" si="236"/>
        <v>2346</v>
      </c>
      <c r="JG127" s="14">
        <f>INDEX(属性投放!$DC$6:$DC$85,卡牌属性!IY127)</f>
        <v>110</v>
      </c>
      <c r="JH127" s="14">
        <f t="shared" si="237"/>
        <v>12600</v>
      </c>
      <c r="JI127" s="14">
        <f t="shared" si="238"/>
        <v>6260</v>
      </c>
      <c r="JJ127" s="14">
        <f t="shared" si="239"/>
        <v>117724</v>
      </c>
      <c r="JK127" s="14">
        <f t="shared" si="240"/>
        <v>243324</v>
      </c>
    </row>
    <row r="128" spans="31:271" ht="16.5" x14ac:dyDescent="0.2">
      <c r="AE128" s="13">
        <v>124</v>
      </c>
      <c r="AF128" s="13">
        <f t="shared" si="188"/>
        <v>7</v>
      </c>
      <c r="AG128" s="13">
        <f t="shared" si="169"/>
        <v>4</v>
      </c>
      <c r="AH128" s="13"/>
      <c r="AI128" s="13"/>
      <c r="AJ128" s="14">
        <f t="shared" si="170"/>
        <v>1101007</v>
      </c>
      <c r="AK128" s="14" t="str">
        <f t="shared" si="171"/>
        <v>战斗曹焱兵4突</v>
      </c>
      <c r="AL128" s="25" t="s">
        <v>142</v>
      </c>
      <c r="AM128" s="14">
        <v>1</v>
      </c>
      <c r="AN128" s="14">
        <f t="shared" si="172"/>
        <v>4</v>
      </c>
      <c r="AO128" s="14">
        <f>INDEX(属性投放!$DF$6:$DF$85,(卡牌属性!AG128-2)*20+卡牌属性!AN128)</f>
        <v>640</v>
      </c>
      <c r="AP128" s="14">
        <f t="shared" si="295"/>
        <v>640</v>
      </c>
      <c r="AQ128" s="14">
        <f t="shared" si="295"/>
        <v>640</v>
      </c>
      <c r="AR128" s="14">
        <f t="shared" si="295"/>
        <v>640</v>
      </c>
      <c r="AS128" s="14">
        <f t="shared" si="295"/>
        <v>640</v>
      </c>
      <c r="AT128" s="14">
        <f>INDEX(属性投放!$DG$6:$DG$85,(卡牌属性!AG128-2)*20+卡牌属性!AN128)</f>
        <v>248</v>
      </c>
      <c r="AU128" s="14">
        <f t="shared" si="296"/>
        <v>248</v>
      </c>
      <c r="AV128" s="14">
        <f t="shared" si="296"/>
        <v>248</v>
      </c>
      <c r="AW128" s="14">
        <f t="shared" si="296"/>
        <v>248</v>
      </c>
      <c r="AX128" s="14">
        <f t="shared" si="296"/>
        <v>248</v>
      </c>
      <c r="AY128" s="14">
        <f>INDEX(属性投放!$DH$6:$DH$85,(卡牌属性!AG128-2)*20+卡牌属性!AN128)</f>
        <v>3255</v>
      </c>
      <c r="AZ128" s="14">
        <f t="shared" si="297"/>
        <v>3255</v>
      </c>
      <c r="BA128" s="14">
        <f t="shared" si="297"/>
        <v>3255</v>
      </c>
      <c r="BB128" s="14">
        <f t="shared" si="297"/>
        <v>3255</v>
      </c>
      <c r="BC128" s="14">
        <f t="shared" si="297"/>
        <v>3255</v>
      </c>
      <c r="BD128" s="14">
        <f>INDEX(属性投放!$DL$6:$DL$85,(卡牌属性!AG128-2)*20+卡牌属性!AN128)</f>
        <v>40</v>
      </c>
      <c r="BE128" s="14">
        <f t="shared" si="298"/>
        <v>40</v>
      </c>
      <c r="BF128" s="14">
        <f t="shared" si="298"/>
        <v>40</v>
      </c>
      <c r="BG128" s="14">
        <f t="shared" si="298"/>
        <v>40</v>
      </c>
      <c r="BH128" s="14">
        <f t="shared" si="298"/>
        <v>40</v>
      </c>
      <c r="BI128" s="14">
        <f>INDEX(属性投放!$DM$6:$DM$85,(卡牌属性!AG128-2)*20+卡牌属性!AN128)</f>
        <v>20</v>
      </c>
      <c r="BJ128" s="14">
        <f t="shared" si="299"/>
        <v>20</v>
      </c>
      <c r="BK128" s="14">
        <f t="shared" si="299"/>
        <v>20</v>
      </c>
      <c r="BL128" s="14">
        <f t="shared" si="299"/>
        <v>20</v>
      </c>
      <c r="BM128" s="14">
        <f t="shared" si="299"/>
        <v>20</v>
      </c>
      <c r="BN128" s="14">
        <f>INDEX(属性投放!$DN$6:$DN$85,(卡牌属性!AG128-2)*20+卡牌属性!AN128)</f>
        <v>279</v>
      </c>
      <c r="BO128" s="14">
        <f t="shared" si="300"/>
        <v>279</v>
      </c>
      <c r="BP128" s="14">
        <f t="shared" si="300"/>
        <v>279</v>
      </c>
      <c r="BQ128" s="14">
        <f t="shared" si="300"/>
        <v>279</v>
      </c>
      <c r="BR128" s="14">
        <f t="shared" si="300"/>
        <v>279</v>
      </c>
      <c r="BW128" s="13">
        <v>124</v>
      </c>
      <c r="BX128" s="13">
        <f t="shared" si="173"/>
        <v>7</v>
      </c>
      <c r="BY128" s="14">
        <f t="shared" si="174"/>
        <v>4</v>
      </c>
      <c r="BZ128" s="14">
        <f t="shared" si="189"/>
        <v>1102007</v>
      </c>
      <c r="CA128" s="14" t="str">
        <f t="shared" si="190"/>
        <v>天使缇娜4突</v>
      </c>
      <c r="CB128" s="25" t="s">
        <v>142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INDEX(属性投放!$AZ$6:$AZ$85,(BY128-2)*20+CD128)</f>
        <v>858</v>
      </c>
      <c r="CG128" s="14" t="s">
        <v>22</v>
      </c>
      <c r="CH128" s="14">
        <f>INDEX(属性投放!$BA$6:$BA$85,(BY128-2)*20+CD128)</f>
        <v>366</v>
      </c>
      <c r="CI128" s="14" t="s">
        <v>510</v>
      </c>
      <c r="CJ128" s="14">
        <f>INDEX(属性投放!$BB$6:$BB$85,(BY128-2)*20+CD128)</f>
        <v>4748</v>
      </c>
      <c r="CK128" s="14" t="s">
        <v>21</v>
      </c>
      <c r="CL128" s="14">
        <f>INDEX(属性投放!$BC$6:$BC$85,(BY128-2)*20+CD128)</f>
        <v>20</v>
      </c>
      <c r="CM128" s="14" t="s">
        <v>22</v>
      </c>
      <c r="CN128" s="14">
        <f>INDEX(属性投放!$BD$6:$BD$85,(BY128-2)*20+CD128)</f>
        <v>10</v>
      </c>
      <c r="CO128" s="14" t="s">
        <v>510</v>
      </c>
      <c r="CP128" s="14">
        <f>INDEX(属性投放!$BE$6:$BE$85,(BY128-2)*20+CD128)</f>
        <v>140</v>
      </c>
      <c r="CS128" s="13">
        <v>124</v>
      </c>
      <c r="CT128" s="13">
        <f t="shared" si="191"/>
        <v>3</v>
      </c>
      <c r="CU128" s="13">
        <f t="shared" si="192"/>
        <v>20</v>
      </c>
      <c r="CV128" s="14">
        <f t="shared" si="193"/>
        <v>4</v>
      </c>
      <c r="CW128" s="14">
        <f t="shared" si="194"/>
        <v>1102003</v>
      </c>
      <c r="CX128" s="14" t="str">
        <f>INDEX($O$6:$O$50,CT128)&amp;"-"&amp;INDEX(属性投放!$AB$7:$AB$50,CZ128)&amp;"-魂火-"&amp;DB128</f>
        <v>典韦-大叫唤-魂火-2</v>
      </c>
      <c r="CY128" s="25" t="s">
        <v>142</v>
      </c>
      <c r="CZ128" s="14">
        <f>INDEX(属性投放!$AM$7:$AM$58,CU128)</f>
        <v>10</v>
      </c>
      <c r="DA128" s="14" t="s">
        <v>537</v>
      </c>
      <c r="DB128" s="14">
        <f>INDEX(属性投放!$AN$7:$AN$58,CU128)</f>
        <v>2</v>
      </c>
      <c r="DC128" s="14">
        <f t="shared" si="176"/>
        <v>20</v>
      </c>
      <c r="DD128" s="14">
        <f>INDEX(属性投放!$AO$7:$AO$58,DC128)</f>
        <v>68</v>
      </c>
      <c r="DE128" s="14" t="s">
        <v>538</v>
      </c>
      <c r="DF128" s="14">
        <f>INDEX(属性投放!$BK$6:$BK$85,(CV128-2)*20+CZ128)</f>
        <v>130</v>
      </c>
      <c r="DG128" s="14">
        <f>SUMIFS(DF$5:DF128,$CT$5:$CT128,"="&amp;$CT128)</f>
        <v>1440</v>
      </c>
      <c r="DH128" s="14" t="s">
        <v>539</v>
      </c>
      <c r="DI128" s="14">
        <f>INDEX(属性投放!$BL$6:$BL$85,(CV128-2)*20+CZ128)</f>
        <v>65</v>
      </c>
      <c r="DJ128" s="14">
        <f>SUMIFS(DI$5:DI128,$CT$5:$CT128,"="&amp;$CT128)</f>
        <v>725</v>
      </c>
      <c r="DK128" s="14" t="s">
        <v>540</v>
      </c>
      <c r="DL128" s="14">
        <f>INDEX(属性投放!$BM$6:$BM$85,(CV128-2)*20+CZ128)</f>
        <v>1170</v>
      </c>
      <c r="DM128" s="14">
        <f>SUMIFS(DL$5:DL128,$CT$5:$CT128,"="&amp;$CT128)</f>
        <v>11150</v>
      </c>
      <c r="DR128" s="14">
        <f t="shared" si="177"/>
        <v>1102007</v>
      </c>
      <c r="DS128" s="14" t="str">
        <f t="shared" si="178"/>
        <v>天使缇娜4突</v>
      </c>
      <c r="DT128" s="14">
        <f t="shared" si="195"/>
        <v>7</v>
      </c>
      <c r="DU128" s="14">
        <f t="shared" si="196"/>
        <v>6</v>
      </c>
      <c r="DV128" s="14">
        <f t="shared" si="197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INDEX(属性投放!$AX$6:$AX$85,(卡牌属性!DW128-2)*20+卡牌属性!DX128)</f>
        <v>10</v>
      </c>
      <c r="EA128" s="14">
        <f>INDEX(属性投放!BQ$6:BQ$85,卡牌属性!$DY128)</f>
        <v>100</v>
      </c>
      <c r="EB128" s="14">
        <f>INDEX(属性投放!BR$6:BR$85,卡牌属性!$DY128)</f>
        <v>50</v>
      </c>
      <c r="EC128" s="14">
        <f>INDEX(属性投放!BS$6:BS$85,卡牌属性!$DY128)</f>
        <v>700</v>
      </c>
      <c r="ED128" s="14">
        <f t="shared" si="301"/>
        <v>703</v>
      </c>
      <c r="EE128" s="14">
        <f t="shared" si="302"/>
        <v>797</v>
      </c>
      <c r="EF128" s="14">
        <f t="shared" si="303"/>
        <v>915</v>
      </c>
      <c r="EG128" s="14">
        <f t="shared" si="304"/>
        <v>915</v>
      </c>
      <c r="EH128" s="14">
        <f t="shared" si="305"/>
        <v>1085</v>
      </c>
      <c r="EI128" s="14">
        <f t="shared" si="306"/>
        <v>258</v>
      </c>
      <c r="EJ128" s="14">
        <f t="shared" si="307"/>
        <v>312</v>
      </c>
      <c r="EK128" s="14">
        <f t="shared" si="308"/>
        <v>312</v>
      </c>
      <c r="EL128" s="14">
        <f t="shared" si="309"/>
        <v>361</v>
      </c>
      <c r="EM128" s="14">
        <f t="shared" si="310"/>
        <v>410</v>
      </c>
      <c r="EN128" s="14">
        <f t="shared" si="311"/>
        <v>3260</v>
      </c>
      <c r="EO128" s="14">
        <f t="shared" si="312"/>
        <v>3818</v>
      </c>
      <c r="EP128" s="14">
        <f t="shared" si="313"/>
        <v>3818</v>
      </c>
      <c r="EQ128" s="14">
        <f t="shared" si="314"/>
        <v>4282</v>
      </c>
      <c r="ER128" s="14">
        <f t="shared" si="315"/>
        <v>4890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91</v>
      </c>
      <c r="FD128" s="14">
        <f>INDEX(属性偏向!$U$4:$U$243,(卡牌属性!$DV128-1+FD$3)*20+卡牌属性!$DX128)</f>
        <v>140</v>
      </c>
      <c r="FE128" s="14">
        <f>INDEX(属性偏向!$U$4:$U$243,(卡牌属性!$DV128-1+FE$3)*20+卡牌属性!$DX128)</f>
        <v>140</v>
      </c>
      <c r="FF128" s="14">
        <f>INDEX(属性偏向!$U$4:$U$243,(卡牌属性!$DV128-1+FF$3)*20+卡牌属性!$DX128)</f>
        <v>154</v>
      </c>
      <c r="FG128" s="14">
        <f>INDEX(属性偏向!$U$4:$U$243,(卡牌属性!$DV128-1+FG$3)*20+卡牌属性!$DX128)</f>
        <v>175</v>
      </c>
      <c r="FH128" s="14">
        <f>INDEX(属性投放!$BQ$6:$BQ$85,(卡牌属性!$DW128-2)*20+卡牌属性!$DX128)</f>
        <v>100</v>
      </c>
      <c r="FI128" s="14">
        <f>INDEX(属性投放!$BQ$6:$BQ$85,(卡牌属性!$DW128-2)*20+卡牌属性!$DX128)</f>
        <v>100</v>
      </c>
      <c r="FJ128" s="14">
        <f>INDEX(属性投放!$BQ$6:$BQ$85,(卡牌属性!$DW128-2)*20+卡牌属性!$DX128)</f>
        <v>100</v>
      </c>
      <c r="FK128" s="14">
        <f>INDEX(属性投放!$BQ$6:$BQ$85,(卡牌属性!$DW128-2)*20+卡牌属性!$DX128)</f>
        <v>100</v>
      </c>
      <c r="FL128" s="14">
        <f>INDEX(属性投放!$BQ$6:$BQ$85,(卡牌属性!$DW128-2)*20+卡牌属性!$DX128)</f>
        <v>100</v>
      </c>
      <c r="FM128" s="14">
        <f>INDEX(属性投放!$BR$6:$BR$85,(卡牌属性!$DW128-2)*20+卡牌属性!$DX128)</f>
        <v>50</v>
      </c>
      <c r="FN128" s="14">
        <f>INDEX(属性投放!$BR$6:$BR$85,(卡牌属性!$DW128-2)*20+卡牌属性!$DX128)</f>
        <v>50</v>
      </c>
      <c r="FO128" s="14">
        <f>INDEX(属性投放!$BR$6:$BR$85,(卡牌属性!$DW128-2)*20+卡牌属性!$DX128)</f>
        <v>50</v>
      </c>
      <c r="FP128" s="14">
        <f>INDEX(属性投放!$BR$6:$BR$85,(卡牌属性!$DW128-2)*20+卡牌属性!$DX128)</f>
        <v>50</v>
      </c>
      <c r="FQ128" s="14">
        <f>INDEX(属性投放!$BR$6:$BR$85,(卡牌属性!$DW128-2)*20+卡牌属性!$DX128)</f>
        <v>50</v>
      </c>
      <c r="FR128" s="14">
        <f>INDEX(属性投放!$BS$6:$BS$85,(卡牌属性!$DW128-2)*20+卡牌属性!$DX128)</f>
        <v>700</v>
      </c>
      <c r="FS128" s="14">
        <f>INDEX(属性投放!$BS$6:$BS$85,(卡牌属性!$DW128-2)*20+卡牌属性!$DX128)</f>
        <v>700</v>
      </c>
      <c r="FT128" s="14">
        <f>INDEX(属性投放!$BS$6:$BS$85,(卡牌属性!$DW128-2)*20+卡牌属性!$DX128)</f>
        <v>700</v>
      </c>
      <c r="FU128" s="14">
        <f>INDEX(属性投放!$BS$6:$BS$85,(卡牌属性!$DW128-2)*20+卡牌属性!$DX128)</f>
        <v>700</v>
      </c>
      <c r="FV128" s="14">
        <f>INDEX(属性投放!$BS$6:$BS$85,(卡牌属性!$DW128-2)*20+卡牌属性!$DX128)</f>
        <v>700</v>
      </c>
      <c r="FZ128" s="13">
        <v>124</v>
      </c>
      <c r="GA128" s="13">
        <f t="shared" si="291"/>
        <v>25</v>
      </c>
      <c r="GB128" s="14">
        <f t="shared" si="198"/>
        <v>1102026</v>
      </c>
      <c r="GC128" s="14" t="s">
        <v>1187</v>
      </c>
      <c r="GD128" s="14">
        <f t="shared" si="265"/>
        <v>4</v>
      </c>
      <c r="GE128" s="14" t="str">
        <f t="shared" si="266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MATCH(HC128,属性投放!$AO$6:$AO$58,1)-1</f>
        <v>42</v>
      </c>
      <c r="HF128" s="13">
        <f>MATCH(HC128-1,属性投放!$AE$6:$AE$26,1)</f>
        <v>17</v>
      </c>
      <c r="HG128" s="13" t="str">
        <f>INDEX(属性投放!$AB$7:$AB$26,卡牌属性!HF128)</f>
        <v>大焦热+1</v>
      </c>
      <c r="HH128" s="14">
        <f t="shared" si="200"/>
        <v>7893</v>
      </c>
      <c r="HI128" s="14">
        <f t="shared" si="201"/>
        <v>3409</v>
      </c>
      <c r="HJ128" s="14">
        <f t="shared" si="202"/>
        <v>60834</v>
      </c>
      <c r="HK128" s="14">
        <f t="shared" si="203"/>
        <v>50</v>
      </c>
      <c r="HL128" s="14">
        <f t="shared" si="204"/>
        <v>18</v>
      </c>
      <c r="HM128" s="14">
        <f t="shared" si="205"/>
        <v>350</v>
      </c>
      <c r="HN128" s="14">
        <f>HH128+HK128*($HC128-INDEX(属性投放!$AE$6:$AE$26,卡牌属性!$HF128))</f>
        <v>8243</v>
      </c>
      <c r="HO128" s="14">
        <f>HI128+HL128*($HC128-INDEX(属性投放!$AE$6:$AE$26,卡牌属性!$HF128))</f>
        <v>3535</v>
      </c>
      <c r="HP128" s="14">
        <f>HJ128+HM128*($HC128-INDEX(属性投放!$AE$6:$AE$26,卡牌属性!$HF128))</f>
        <v>63284</v>
      </c>
      <c r="HQ128" s="14">
        <f t="shared" si="206"/>
        <v>9385</v>
      </c>
      <c r="HR128" s="14">
        <f t="shared" si="207"/>
        <v>4702</v>
      </c>
      <c r="HS128" s="14">
        <f t="shared" si="208"/>
        <v>89285</v>
      </c>
      <c r="HT128" s="14">
        <f>IF(COUNTIF(属性投放!$AO$7:$AO$58,"="&amp;卡牌属性!HC128)&gt;0,卡牌属性!HE128,0)</f>
        <v>0</v>
      </c>
      <c r="HU128" s="14">
        <f t="shared" si="209"/>
        <v>0</v>
      </c>
      <c r="HV128" s="14">
        <f t="shared" si="210"/>
        <v>0</v>
      </c>
      <c r="HW128" s="14">
        <f t="shared" si="211"/>
        <v>0</v>
      </c>
      <c r="HX128" s="14">
        <f>IF(COUNTIF(属性投放!$AE$6:$AE$26,"="&amp;卡牌属性!HC128)&gt;0,卡牌属性!HF128,0)</f>
        <v>0</v>
      </c>
      <c r="HY128" s="14">
        <f t="shared" si="212"/>
        <v>0</v>
      </c>
      <c r="HZ128" s="14">
        <f t="shared" si="213"/>
        <v>0</v>
      </c>
      <c r="IA128" s="14">
        <f t="shared" si="214"/>
        <v>0</v>
      </c>
      <c r="IB128" s="14">
        <f t="shared" si="215"/>
        <v>50</v>
      </c>
      <c r="IC128" s="14">
        <f t="shared" si="216"/>
        <v>18</v>
      </c>
      <c r="ID128" s="14">
        <f t="shared" si="217"/>
        <v>350</v>
      </c>
      <c r="IE128" s="14">
        <f t="shared" si="218"/>
        <v>17628</v>
      </c>
      <c r="IF128" s="14">
        <f t="shared" si="219"/>
        <v>8237</v>
      </c>
      <c r="IG128" s="14">
        <f t="shared" si="220"/>
        <v>152569</v>
      </c>
      <c r="IH128" s="14">
        <f t="shared" si="221"/>
        <v>1210</v>
      </c>
      <c r="II128" s="14">
        <f t="shared" si="222"/>
        <v>0</v>
      </c>
      <c r="IJ128" s="14">
        <f t="shared" si="223"/>
        <v>0</v>
      </c>
      <c r="IK128" s="14">
        <f t="shared" si="224"/>
        <v>493589</v>
      </c>
      <c r="IL128" s="17">
        <f t="shared" si="225"/>
        <v>2.4514322644953596E-3</v>
      </c>
      <c r="IM128" s="17">
        <f t="shared" si="226"/>
        <v>0</v>
      </c>
      <c r="IN128" s="17">
        <f t="shared" si="227"/>
        <v>0</v>
      </c>
      <c r="IO128" s="23">
        <f>SUM(IH$5:IH128)</f>
        <v>81104</v>
      </c>
      <c r="IP128" s="14">
        <f>SUM(II$5:II128)</f>
        <v>277175</v>
      </c>
      <c r="IQ128" s="14">
        <f>SUM(IJ$5:IJ128)</f>
        <v>106640</v>
      </c>
      <c r="IR128" s="17">
        <f t="shared" si="228"/>
        <v>0.16431484494184434</v>
      </c>
      <c r="IS128" s="17">
        <f t="shared" si="229"/>
        <v>0.56155019662107541</v>
      </c>
      <c r="IT128" s="17">
        <f t="shared" si="230"/>
        <v>0.21605019560808689</v>
      </c>
      <c r="IW128" s="13">
        <v>124</v>
      </c>
      <c r="IX128" s="14">
        <f>MATCH(IW128-1,属性投放!$T$6:$T$66,1)</f>
        <v>33</v>
      </c>
      <c r="IY128" s="14">
        <f>MATCH(IW128-1,属性投放!$AD$7:$AD$26,1)</f>
        <v>16</v>
      </c>
      <c r="IZ128" s="14" t="str">
        <f>INDEX(属性投放!$AB$7:$AB$26,IY128)</f>
        <v>大焦热</v>
      </c>
      <c r="JA128" s="14">
        <f t="shared" si="231"/>
        <v>9545</v>
      </c>
      <c r="JB128" s="14">
        <f t="shared" si="232"/>
        <v>4739</v>
      </c>
      <c r="JC128" s="14">
        <f t="shared" si="233"/>
        <v>87226</v>
      </c>
      <c r="JD128" s="14">
        <f t="shared" si="234"/>
        <v>235</v>
      </c>
      <c r="JE128" s="14">
        <f t="shared" si="235"/>
        <v>117</v>
      </c>
      <c r="JF128" s="14">
        <f t="shared" si="236"/>
        <v>2346</v>
      </c>
      <c r="JG128" s="14">
        <f>INDEX(属性投放!$DC$6:$DC$85,卡牌属性!IY128)</f>
        <v>110</v>
      </c>
      <c r="JH128" s="14">
        <f t="shared" si="237"/>
        <v>12835</v>
      </c>
      <c r="JI128" s="14">
        <f t="shared" si="238"/>
        <v>6377</v>
      </c>
      <c r="JJ128" s="14">
        <f t="shared" si="239"/>
        <v>120070</v>
      </c>
      <c r="JK128" s="14">
        <f t="shared" si="240"/>
        <v>248015</v>
      </c>
    </row>
    <row r="129" spans="31:271" ht="16.5" x14ac:dyDescent="0.2">
      <c r="AE129" s="13">
        <v>125</v>
      </c>
      <c r="AF129" s="13">
        <f t="shared" si="188"/>
        <v>7</v>
      </c>
      <c r="AG129" s="13">
        <f t="shared" si="169"/>
        <v>4</v>
      </c>
      <c r="AH129" s="13"/>
      <c r="AI129" s="13"/>
      <c r="AJ129" s="14">
        <f t="shared" si="170"/>
        <v>1101007</v>
      </c>
      <c r="AK129" s="14" t="str">
        <f t="shared" si="171"/>
        <v>战斗曹焱兵5突</v>
      </c>
      <c r="AL129" s="25" t="s">
        <v>142</v>
      </c>
      <c r="AM129" s="14">
        <v>1</v>
      </c>
      <c r="AN129" s="14">
        <f t="shared" si="172"/>
        <v>5</v>
      </c>
      <c r="AO129" s="14">
        <f>INDEX(属性投放!$DF$6:$DF$85,(卡牌属性!AG129-2)*20+卡牌属性!AN129)</f>
        <v>754</v>
      </c>
      <c r="AP129" s="14">
        <f t="shared" si="295"/>
        <v>754</v>
      </c>
      <c r="AQ129" s="14">
        <f t="shared" si="295"/>
        <v>754</v>
      </c>
      <c r="AR129" s="14">
        <f t="shared" si="295"/>
        <v>754</v>
      </c>
      <c r="AS129" s="14">
        <f t="shared" si="295"/>
        <v>754</v>
      </c>
      <c r="AT129" s="14">
        <f>INDEX(属性投放!$DG$6:$DG$85,(卡牌属性!AG129-2)*20+卡牌属性!AN129)</f>
        <v>305</v>
      </c>
      <c r="AU129" s="14">
        <f t="shared" si="296"/>
        <v>305</v>
      </c>
      <c r="AV129" s="14">
        <f t="shared" si="296"/>
        <v>305</v>
      </c>
      <c r="AW129" s="14">
        <f t="shared" si="296"/>
        <v>305</v>
      </c>
      <c r="AX129" s="14">
        <f t="shared" si="296"/>
        <v>305</v>
      </c>
      <c r="AY129" s="14">
        <f>INDEX(属性投放!$DH$6:$DH$85,(卡牌属性!AG129-2)*20+卡牌属性!AN129)</f>
        <v>4053</v>
      </c>
      <c r="AZ129" s="14">
        <f t="shared" si="297"/>
        <v>4053</v>
      </c>
      <c r="BA129" s="14">
        <f t="shared" si="297"/>
        <v>4053</v>
      </c>
      <c r="BB129" s="14">
        <f t="shared" si="297"/>
        <v>4053</v>
      </c>
      <c r="BC129" s="14">
        <f t="shared" si="297"/>
        <v>4053</v>
      </c>
      <c r="BD129" s="14">
        <f>INDEX(属性投放!$DL$6:$DL$85,(卡牌属性!AG129-2)*20+卡牌属性!AN129)</f>
        <v>40</v>
      </c>
      <c r="BE129" s="14">
        <f t="shared" si="298"/>
        <v>40</v>
      </c>
      <c r="BF129" s="14">
        <f t="shared" si="298"/>
        <v>40</v>
      </c>
      <c r="BG129" s="14">
        <f t="shared" si="298"/>
        <v>40</v>
      </c>
      <c r="BH129" s="14">
        <f t="shared" si="298"/>
        <v>40</v>
      </c>
      <c r="BI129" s="14">
        <f>INDEX(属性投放!$DM$6:$DM$85,(卡牌属性!AG129-2)*20+卡牌属性!AN129)</f>
        <v>20</v>
      </c>
      <c r="BJ129" s="14">
        <f t="shared" si="299"/>
        <v>20</v>
      </c>
      <c r="BK129" s="14">
        <f t="shared" si="299"/>
        <v>20</v>
      </c>
      <c r="BL129" s="14">
        <f t="shared" si="299"/>
        <v>20</v>
      </c>
      <c r="BM129" s="14">
        <f t="shared" si="299"/>
        <v>20</v>
      </c>
      <c r="BN129" s="14">
        <f>INDEX(属性投放!$DN$6:$DN$85,(卡牌属性!AG129-2)*20+卡牌属性!AN129)</f>
        <v>279</v>
      </c>
      <c r="BO129" s="14">
        <f t="shared" si="300"/>
        <v>279</v>
      </c>
      <c r="BP129" s="14">
        <f t="shared" si="300"/>
        <v>279</v>
      </c>
      <c r="BQ129" s="14">
        <f t="shared" si="300"/>
        <v>279</v>
      </c>
      <c r="BR129" s="14">
        <f t="shared" si="300"/>
        <v>279</v>
      </c>
      <c r="BW129" s="13">
        <v>125</v>
      </c>
      <c r="BX129" s="13">
        <f t="shared" si="173"/>
        <v>7</v>
      </c>
      <c r="BY129" s="14">
        <f t="shared" si="174"/>
        <v>4</v>
      </c>
      <c r="BZ129" s="14">
        <f t="shared" si="189"/>
        <v>1102007</v>
      </c>
      <c r="CA129" s="14" t="str">
        <f t="shared" si="190"/>
        <v>天使缇娜5突</v>
      </c>
      <c r="CB129" s="25" t="s">
        <v>142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INDEX(属性投放!$AZ$6:$AZ$85,(BY129-2)*20+CD129)</f>
        <v>1248</v>
      </c>
      <c r="CG129" s="14" t="s">
        <v>22</v>
      </c>
      <c r="CH129" s="14">
        <f>INDEX(属性投放!$BA$6:$BA$85,(BY129-2)*20+CD129)</f>
        <v>562</v>
      </c>
      <c r="CI129" s="14" t="s">
        <v>510</v>
      </c>
      <c r="CJ129" s="14">
        <f>INDEX(属性投放!$BB$6:$BB$85,(BY129-2)*20+CD129)</f>
        <v>7478</v>
      </c>
      <c r="CK129" s="14" t="s">
        <v>21</v>
      </c>
      <c r="CL129" s="14">
        <f>INDEX(属性投放!$BC$6:$BC$85,(BY129-2)*20+CD129)</f>
        <v>20</v>
      </c>
      <c r="CM129" s="14" t="s">
        <v>22</v>
      </c>
      <c r="CN129" s="14">
        <f>INDEX(属性投放!$BD$6:$BD$85,(BY129-2)*20+CD129)</f>
        <v>10</v>
      </c>
      <c r="CO129" s="14" t="s">
        <v>510</v>
      </c>
      <c r="CP129" s="14">
        <f>INDEX(属性投放!$BE$6:$BE$85,(BY129-2)*20+CD129)</f>
        <v>140</v>
      </c>
      <c r="CS129" s="13">
        <v>125</v>
      </c>
      <c r="CT129" s="13">
        <f t="shared" si="191"/>
        <v>3</v>
      </c>
      <c r="CU129" s="13">
        <f t="shared" si="192"/>
        <v>21</v>
      </c>
      <c r="CV129" s="14">
        <f t="shared" si="193"/>
        <v>4</v>
      </c>
      <c r="CW129" s="14">
        <f t="shared" si="194"/>
        <v>1102003</v>
      </c>
      <c r="CX129" s="14" t="str">
        <f>INDEX($O$6:$O$50,CT129)&amp;"-"&amp;INDEX(属性投放!$AB$7:$AB$50,CZ129)&amp;"-魂火-"&amp;DB129</f>
        <v>典韦-大叫唤-魂火-3</v>
      </c>
      <c r="CY129" s="25" t="s">
        <v>142</v>
      </c>
      <c r="CZ129" s="14">
        <f>INDEX(属性投放!$AM$7:$AM$58,CU129)</f>
        <v>10</v>
      </c>
      <c r="DA129" s="14" t="s">
        <v>537</v>
      </c>
      <c r="DB129" s="14">
        <f>INDEX(属性投放!$AN$7:$AN$58,CU129)</f>
        <v>3</v>
      </c>
      <c r="DC129" s="14">
        <f t="shared" si="176"/>
        <v>21</v>
      </c>
      <c r="DD129" s="14">
        <f>INDEX(属性投放!$AO$7:$AO$58,DC129)</f>
        <v>70</v>
      </c>
      <c r="DE129" s="14" t="s">
        <v>538</v>
      </c>
      <c r="DF129" s="14">
        <f>INDEX(属性投放!$BK$6:$BK$85,(CV129-2)*20+CZ129)</f>
        <v>130</v>
      </c>
      <c r="DG129" s="14">
        <f>SUMIFS(DF$5:DF129,$CT$5:$CT129,"="&amp;$CT129)</f>
        <v>1570</v>
      </c>
      <c r="DH129" s="14" t="s">
        <v>539</v>
      </c>
      <c r="DI129" s="14">
        <f>INDEX(属性投放!$BL$6:$BL$85,(CV129-2)*20+CZ129)</f>
        <v>65</v>
      </c>
      <c r="DJ129" s="14">
        <f>SUMIFS(DI$5:DI129,$CT$5:$CT129,"="&amp;$CT129)</f>
        <v>790</v>
      </c>
      <c r="DK129" s="14" t="s">
        <v>540</v>
      </c>
      <c r="DL129" s="14">
        <f>INDEX(属性投放!$BM$6:$BM$85,(CV129-2)*20+CZ129)</f>
        <v>1170</v>
      </c>
      <c r="DM129" s="14">
        <f>SUMIFS(DL$5:DL129,$CT$5:$CT129,"="&amp;$CT129)</f>
        <v>12320</v>
      </c>
      <c r="DR129" s="14">
        <f t="shared" si="177"/>
        <v>1102007</v>
      </c>
      <c r="DS129" s="14" t="str">
        <f t="shared" si="178"/>
        <v>天使缇娜5突</v>
      </c>
      <c r="DT129" s="14">
        <f t="shared" si="195"/>
        <v>7</v>
      </c>
      <c r="DU129" s="14">
        <f t="shared" si="196"/>
        <v>6</v>
      </c>
      <c r="DV129" s="14">
        <f t="shared" si="197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INDEX(属性投放!$AX$6:$AX$85,(卡牌属性!DW129-2)*20+卡牌属性!DX129)</f>
        <v>7</v>
      </c>
      <c r="EA129" s="14">
        <f>INDEX(属性投放!BQ$6:BQ$85,卡牌属性!$DY129)</f>
        <v>120</v>
      </c>
      <c r="EB129" s="14">
        <f>INDEX(属性投放!BR$6:BR$85,卡牌属性!$DY129)</f>
        <v>60</v>
      </c>
      <c r="EC129" s="14">
        <f>INDEX(属性投放!BS$6:BS$85,卡牌属性!$DY129)</f>
        <v>840</v>
      </c>
      <c r="ED129" s="14">
        <f t="shared" si="301"/>
        <v>1003</v>
      </c>
      <c r="EE129" s="14">
        <f t="shared" si="302"/>
        <v>1117</v>
      </c>
      <c r="EF129" s="14">
        <f t="shared" si="303"/>
        <v>1265</v>
      </c>
      <c r="EG129" s="14">
        <f t="shared" si="304"/>
        <v>1265</v>
      </c>
      <c r="EH129" s="14">
        <f t="shared" si="305"/>
        <v>1485</v>
      </c>
      <c r="EI129" s="14">
        <f t="shared" si="306"/>
        <v>378</v>
      </c>
      <c r="EJ129" s="14">
        <f t="shared" si="307"/>
        <v>462</v>
      </c>
      <c r="EK129" s="14">
        <f t="shared" si="308"/>
        <v>462</v>
      </c>
      <c r="EL129" s="14">
        <f t="shared" si="309"/>
        <v>521</v>
      </c>
      <c r="EM129" s="14">
        <f t="shared" si="310"/>
        <v>590</v>
      </c>
      <c r="EN129" s="14">
        <f t="shared" si="311"/>
        <v>4870</v>
      </c>
      <c r="EO129" s="14">
        <f t="shared" si="312"/>
        <v>5918</v>
      </c>
      <c r="EP129" s="14">
        <f t="shared" si="313"/>
        <v>5918</v>
      </c>
      <c r="EQ129" s="14">
        <f t="shared" si="314"/>
        <v>6522</v>
      </c>
      <c r="ER129" s="14">
        <f t="shared" si="315"/>
        <v>7340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91</v>
      </c>
      <c r="FD129" s="14">
        <f>INDEX(属性偏向!$U$4:$U$243,(卡牌属性!$DV129-1+FD$3)*20+卡牌属性!$DX129)</f>
        <v>140</v>
      </c>
      <c r="FE129" s="14">
        <f>INDEX(属性偏向!$U$4:$U$243,(卡牌属性!$DV129-1+FE$3)*20+卡牌属性!$DX129)</f>
        <v>140</v>
      </c>
      <c r="FF129" s="14">
        <f>INDEX(属性偏向!$U$4:$U$243,(卡牌属性!$DV129-1+FF$3)*20+卡牌属性!$DX129)</f>
        <v>154</v>
      </c>
      <c r="FG129" s="14">
        <f>INDEX(属性偏向!$U$4:$U$243,(卡牌属性!$DV129-1+FG$3)*20+卡牌属性!$DX129)</f>
        <v>175</v>
      </c>
      <c r="FH129" s="14">
        <f>INDEX(属性投放!$BQ$6:$BQ$85,(卡牌属性!$DW129-2)*20+卡牌属性!$DX129)</f>
        <v>120</v>
      </c>
      <c r="FI129" s="14">
        <f>INDEX(属性投放!$BQ$6:$BQ$85,(卡牌属性!$DW129-2)*20+卡牌属性!$DX129)</f>
        <v>120</v>
      </c>
      <c r="FJ129" s="14">
        <f>INDEX(属性投放!$BQ$6:$BQ$85,(卡牌属性!$DW129-2)*20+卡牌属性!$DX129)</f>
        <v>120</v>
      </c>
      <c r="FK129" s="14">
        <f>INDEX(属性投放!$BQ$6:$BQ$85,(卡牌属性!$DW129-2)*20+卡牌属性!$DX129)</f>
        <v>120</v>
      </c>
      <c r="FL129" s="14">
        <f>INDEX(属性投放!$BQ$6:$BQ$85,(卡牌属性!$DW129-2)*20+卡牌属性!$DX129)</f>
        <v>120</v>
      </c>
      <c r="FM129" s="14">
        <f>INDEX(属性投放!$BR$6:$BR$85,(卡牌属性!$DW129-2)*20+卡牌属性!$DX129)</f>
        <v>60</v>
      </c>
      <c r="FN129" s="14">
        <f>INDEX(属性投放!$BR$6:$BR$85,(卡牌属性!$DW129-2)*20+卡牌属性!$DX129)</f>
        <v>60</v>
      </c>
      <c r="FO129" s="14">
        <f>INDEX(属性投放!$BR$6:$BR$85,(卡牌属性!$DW129-2)*20+卡牌属性!$DX129)</f>
        <v>60</v>
      </c>
      <c r="FP129" s="14">
        <f>INDEX(属性投放!$BR$6:$BR$85,(卡牌属性!$DW129-2)*20+卡牌属性!$DX129)</f>
        <v>60</v>
      </c>
      <c r="FQ129" s="14">
        <f>INDEX(属性投放!$BR$6:$BR$85,(卡牌属性!$DW129-2)*20+卡牌属性!$DX129)</f>
        <v>60</v>
      </c>
      <c r="FR129" s="14">
        <f>INDEX(属性投放!$BS$6:$BS$85,(卡牌属性!$DW129-2)*20+卡牌属性!$DX129)</f>
        <v>840</v>
      </c>
      <c r="FS129" s="14">
        <f>INDEX(属性投放!$BS$6:$BS$85,(卡牌属性!$DW129-2)*20+卡牌属性!$DX129)</f>
        <v>840</v>
      </c>
      <c r="FT129" s="14">
        <f>INDEX(属性投放!$BS$6:$BS$85,(卡牌属性!$DW129-2)*20+卡牌属性!$DX129)</f>
        <v>840</v>
      </c>
      <c r="FU129" s="14">
        <f>INDEX(属性投放!$BS$6:$BS$85,(卡牌属性!$DW129-2)*20+卡牌属性!$DX129)</f>
        <v>840</v>
      </c>
      <c r="FV129" s="14">
        <f>INDEX(属性投放!$BS$6:$BS$85,(卡牌属性!$DW129-2)*20+卡牌属性!$DX129)</f>
        <v>840</v>
      </c>
      <c r="FZ129" s="13">
        <v>125</v>
      </c>
      <c r="GA129" s="13">
        <f t="shared" si="291"/>
        <v>25</v>
      </c>
      <c r="GB129" s="14">
        <f t="shared" si="198"/>
        <v>1102026</v>
      </c>
      <c r="GC129" s="14" t="s">
        <v>1187</v>
      </c>
      <c r="GD129" s="14">
        <f t="shared" si="265"/>
        <v>5</v>
      </c>
      <c r="GE129" s="14" t="str">
        <f t="shared" si="266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MATCH(HC129,属性投放!$AO$6:$AO$58,1)-1</f>
        <v>43</v>
      </c>
      <c r="HF129" s="13">
        <f>MATCH(HC129-1,属性投放!$AE$6:$AE$26,1)</f>
        <v>17</v>
      </c>
      <c r="HG129" s="13" t="str">
        <f>INDEX(属性投放!$AB$7:$AB$26,卡牌属性!HF129)</f>
        <v>大焦热+1</v>
      </c>
      <c r="HH129" s="14">
        <f t="shared" si="200"/>
        <v>7893</v>
      </c>
      <c r="HI129" s="14">
        <f t="shared" si="201"/>
        <v>3409</v>
      </c>
      <c r="HJ129" s="14">
        <f t="shared" si="202"/>
        <v>60834</v>
      </c>
      <c r="HK129" s="14">
        <f t="shared" si="203"/>
        <v>50</v>
      </c>
      <c r="HL129" s="14">
        <f t="shared" si="204"/>
        <v>18</v>
      </c>
      <c r="HM129" s="14">
        <f t="shared" si="205"/>
        <v>350</v>
      </c>
      <c r="HN129" s="14">
        <f>HH129+HK129*($HC129-INDEX(属性投放!$AE$6:$AE$26,卡牌属性!$HF129))</f>
        <v>8293</v>
      </c>
      <c r="HO129" s="14">
        <f>HI129+HL129*($HC129-INDEX(属性投放!$AE$6:$AE$26,卡牌属性!$HF129))</f>
        <v>3553</v>
      </c>
      <c r="HP129" s="14">
        <f>HJ129+HM129*($HC129-INDEX(属性投放!$AE$6:$AE$26,卡牌属性!$HF129))</f>
        <v>63634</v>
      </c>
      <c r="HQ129" s="14">
        <f t="shared" si="206"/>
        <v>10135</v>
      </c>
      <c r="HR129" s="14">
        <f t="shared" si="207"/>
        <v>5077</v>
      </c>
      <c r="HS129" s="14">
        <f t="shared" si="208"/>
        <v>96785</v>
      </c>
      <c r="HT129" s="14">
        <f>IF(COUNTIF(属性投放!$AO$7:$AO$58,"="&amp;卡牌属性!HC129)&gt;0,卡牌属性!HE129,0)</f>
        <v>43</v>
      </c>
      <c r="HU129" s="14">
        <f t="shared" si="209"/>
        <v>750</v>
      </c>
      <c r="HV129" s="14">
        <f t="shared" si="210"/>
        <v>375</v>
      </c>
      <c r="HW129" s="14">
        <f t="shared" si="211"/>
        <v>7500</v>
      </c>
      <c r="HX129" s="14">
        <f>IF(COUNTIF(属性投放!$AE$6:$AE$26,"="&amp;卡牌属性!HC129)&gt;0,卡牌属性!HF129,0)</f>
        <v>17</v>
      </c>
      <c r="HY129" s="14">
        <f t="shared" si="212"/>
        <v>850</v>
      </c>
      <c r="HZ129" s="14">
        <f t="shared" si="213"/>
        <v>425</v>
      </c>
      <c r="IA129" s="14">
        <f t="shared" si="214"/>
        <v>8500</v>
      </c>
      <c r="IB129" s="14">
        <f t="shared" si="215"/>
        <v>50</v>
      </c>
      <c r="IC129" s="14">
        <f t="shared" si="216"/>
        <v>18</v>
      </c>
      <c r="ID129" s="14">
        <f t="shared" si="217"/>
        <v>350</v>
      </c>
      <c r="IE129" s="14">
        <f t="shared" si="218"/>
        <v>18428</v>
      </c>
      <c r="IF129" s="14">
        <f t="shared" si="219"/>
        <v>8630</v>
      </c>
      <c r="IG129" s="14">
        <f t="shared" si="220"/>
        <v>160419</v>
      </c>
      <c r="IH129" s="14">
        <f t="shared" si="221"/>
        <v>1210</v>
      </c>
      <c r="II129" s="14">
        <f t="shared" si="222"/>
        <v>22500</v>
      </c>
      <c r="IJ129" s="14">
        <f t="shared" si="223"/>
        <v>25500</v>
      </c>
      <c r="IK129" s="14">
        <f t="shared" si="224"/>
        <v>517299</v>
      </c>
      <c r="IL129" s="17">
        <f t="shared" si="225"/>
        <v>2.3390727606277992E-3</v>
      </c>
      <c r="IM129" s="17">
        <f t="shared" si="226"/>
        <v>4.3495154639773131E-2</v>
      </c>
      <c r="IN129" s="17">
        <f t="shared" si="227"/>
        <v>4.9294508591742878E-2</v>
      </c>
      <c r="IO129" s="23">
        <f>SUM(IH$5:IH129)</f>
        <v>82314</v>
      </c>
      <c r="IP129" s="14">
        <f>SUM(II$5:II129)</f>
        <v>299675</v>
      </c>
      <c r="IQ129" s="14">
        <f>SUM(IJ$5:IJ129)</f>
        <v>132140</v>
      </c>
      <c r="IR129" s="17">
        <f t="shared" si="228"/>
        <v>0.15912267373414601</v>
      </c>
      <c r="IS129" s="17">
        <f t="shared" si="229"/>
        <v>0.5793071318521783</v>
      </c>
      <c r="IT129" s="17">
        <f t="shared" si="230"/>
        <v>0.25544221040442761</v>
      </c>
      <c r="IW129" s="13">
        <v>125</v>
      </c>
      <c r="IX129" s="14">
        <f>MATCH(IW129-1,属性投放!$T$6:$T$66,1)</f>
        <v>34</v>
      </c>
      <c r="IY129" s="14">
        <f>MATCH(IW129-1,属性投放!$AD$7:$AD$26,1)</f>
        <v>16</v>
      </c>
      <c r="IZ129" s="14" t="str">
        <f>INDEX(属性投放!$AB$7:$AB$26,IY129)</f>
        <v>大焦热</v>
      </c>
      <c r="JA129" s="14">
        <f t="shared" si="231"/>
        <v>9545</v>
      </c>
      <c r="JB129" s="14">
        <f t="shared" si="232"/>
        <v>4739</v>
      </c>
      <c r="JC129" s="14">
        <f t="shared" si="233"/>
        <v>87226</v>
      </c>
      <c r="JD129" s="14">
        <f t="shared" si="234"/>
        <v>235</v>
      </c>
      <c r="JE129" s="14">
        <f t="shared" si="235"/>
        <v>117</v>
      </c>
      <c r="JF129" s="14">
        <f t="shared" si="236"/>
        <v>2346</v>
      </c>
      <c r="JG129" s="14">
        <f>INDEX(属性投放!$DC$6:$DC$85,卡牌属性!IY129)</f>
        <v>110</v>
      </c>
      <c r="JH129" s="14">
        <f t="shared" si="237"/>
        <v>13070</v>
      </c>
      <c r="JI129" s="14">
        <f t="shared" si="238"/>
        <v>6494</v>
      </c>
      <c r="JJ129" s="14">
        <f t="shared" si="239"/>
        <v>122416</v>
      </c>
      <c r="JK129" s="14">
        <f t="shared" si="240"/>
        <v>252706</v>
      </c>
    </row>
    <row r="130" spans="31:271" ht="16.5" x14ac:dyDescent="0.2">
      <c r="AE130" s="13">
        <v>126</v>
      </c>
      <c r="AF130" s="13">
        <f t="shared" si="188"/>
        <v>7</v>
      </c>
      <c r="AG130" s="13">
        <f t="shared" si="169"/>
        <v>4</v>
      </c>
      <c r="AH130" s="13"/>
      <c r="AI130" s="13"/>
      <c r="AJ130" s="14">
        <f t="shared" si="170"/>
        <v>1101007</v>
      </c>
      <c r="AK130" s="14" t="str">
        <f t="shared" si="171"/>
        <v>战斗曹焱兵6突</v>
      </c>
      <c r="AL130" s="25" t="s">
        <v>142</v>
      </c>
      <c r="AM130" s="14">
        <v>1</v>
      </c>
      <c r="AN130" s="14">
        <f t="shared" si="172"/>
        <v>6</v>
      </c>
      <c r="AO130" s="14">
        <f>INDEX(属性投放!$DF$6:$DF$85,(卡牌属性!AG130-2)*20+卡牌属性!AN130)</f>
        <v>868</v>
      </c>
      <c r="AP130" s="14">
        <f t="shared" si="295"/>
        <v>868</v>
      </c>
      <c r="AQ130" s="14">
        <f t="shared" si="295"/>
        <v>868</v>
      </c>
      <c r="AR130" s="14">
        <f t="shared" si="295"/>
        <v>868</v>
      </c>
      <c r="AS130" s="14">
        <f t="shared" si="295"/>
        <v>868</v>
      </c>
      <c r="AT130" s="14">
        <f>INDEX(属性投放!$DG$6:$DG$85,(卡牌属性!AG130-2)*20+卡牌属性!AN130)</f>
        <v>362</v>
      </c>
      <c r="AU130" s="14">
        <f t="shared" si="296"/>
        <v>362</v>
      </c>
      <c r="AV130" s="14">
        <f t="shared" si="296"/>
        <v>362</v>
      </c>
      <c r="AW130" s="14">
        <f t="shared" si="296"/>
        <v>362</v>
      </c>
      <c r="AX130" s="14">
        <f t="shared" si="296"/>
        <v>362</v>
      </c>
      <c r="AY130" s="14">
        <f>INDEX(属性投放!$DH$6:$DH$85,(卡牌属性!AG130-2)*20+卡牌属性!AN130)</f>
        <v>4851</v>
      </c>
      <c r="AZ130" s="14">
        <f t="shared" si="297"/>
        <v>4851</v>
      </c>
      <c r="BA130" s="14">
        <f t="shared" si="297"/>
        <v>4851</v>
      </c>
      <c r="BB130" s="14">
        <f t="shared" si="297"/>
        <v>4851</v>
      </c>
      <c r="BC130" s="14">
        <f t="shared" si="297"/>
        <v>4851</v>
      </c>
      <c r="BD130" s="14">
        <f>INDEX(属性投放!$DL$6:$DL$85,(卡牌属性!AG130-2)*20+卡牌属性!AN130)</f>
        <v>40</v>
      </c>
      <c r="BE130" s="14">
        <f t="shared" si="298"/>
        <v>40</v>
      </c>
      <c r="BF130" s="14">
        <f t="shared" si="298"/>
        <v>40</v>
      </c>
      <c r="BG130" s="14">
        <f t="shared" si="298"/>
        <v>40</v>
      </c>
      <c r="BH130" s="14">
        <f t="shared" si="298"/>
        <v>40</v>
      </c>
      <c r="BI130" s="14">
        <f>INDEX(属性投放!$DM$6:$DM$85,(卡牌属性!AG130-2)*20+卡牌属性!AN130)</f>
        <v>20</v>
      </c>
      <c r="BJ130" s="14">
        <f t="shared" si="299"/>
        <v>20</v>
      </c>
      <c r="BK130" s="14">
        <f t="shared" si="299"/>
        <v>20</v>
      </c>
      <c r="BL130" s="14">
        <f t="shared" si="299"/>
        <v>20</v>
      </c>
      <c r="BM130" s="14">
        <f t="shared" si="299"/>
        <v>20</v>
      </c>
      <c r="BN130" s="14">
        <f>INDEX(属性投放!$DN$6:$DN$85,(卡牌属性!AG130-2)*20+卡牌属性!AN130)</f>
        <v>279</v>
      </c>
      <c r="BO130" s="14">
        <f t="shared" si="300"/>
        <v>279</v>
      </c>
      <c r="BP130" s="14">
        <f t="shared" si="300"/>
        <v>279</v>
      </c>
      <c r="BQ130" s="14">
        <f t="shared" si="300"/>
        <v>279</v>
      </c>
      <c r="BR130" s="14">
        <f t="shared" si="300"/>
        <v>279</v>
      </c>
      <c r="BW130" s="13">
        <v>126</v>
      </c>
      <c r="BX130" s="13">
        <f t="shared" si="173"/>
        <v>7</v>
      </c>
      <c r="BY130" s="14">
        <f t="shared" si="174"/>
        <v>4</v>
      </c>
      <c r="BZ130" s="14">
        <f t="shared" si="189"/>
        <v>1102007</v>
      </c>
      <c r="CA130" s="14" t="str">
        <f t="shared" si="190"/>
        <v>天使缇娜6突</v>
      </c>
      <c r="CB130" s="25" t="s">
        <v>142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INDEX(属性投放!$AZ$6:$AZ$85,(BY130-2)*20+CD130)</f>
        <v>1618</v>
      </c>
      <c r="CG130" s="14" t="s">
        <v>22</v>
      </c>
      <c r="CH130" s="14">
        <f>INDEX(属性投放!$BA$6:$BA$85,(BY130-2)*20+CD130)</f>
        <v>748</v>
      </c>
      <c r="CI130" s="14" t="s">
        <v>510</v>
      </c>
      <c r="CJ130" s="14">
        <f>INDEX(属性投放!$BB$6:$BB$85,(BY130-2)*20+CD130)</f>
        <v>10068</v>
      </c>
      <c r="CK130" s="14" t="s">
        <v>21</v>
      </c>
      <c r="CL130" s="14">
        <f>INDEX(属性投放!$BC$6:$BC$85,(BY130-2)*20+CD130)</f>
        <v>20</v>
      </c>
      <c r="CM130" s="14" t="s">
        <v>22</v>
      </c>
      <c r="CN130" s="14">
        <f>INDEX(属性投放!$BD$6:$BD$85,(BY130-2)*20+CD130)</f>
        <v>10</v>
      </c>
      <c r="CO130" s="14" t="s">
        <v>510</v>
      </c>
      <c r="CP130" s="14">
        <f>INDEX(属性投放!$BE$6:$BE$85,(BY130-2)*20+CD130)</f>
        <v>140</v>
      </c>
      <c r="CS130" s="13">
        <v>126</v>
      </c>
      <c r="CT130" s="13">
        <f t="shared" si="191"/>
        <v>3</v>
      </c>
      <c r="CU130" s="13">
        <f t="shared" si="192"/>
        <v>22</v>
      </c>
      <c r="CV130" s="14">
        <f t="shared" si="193"/>
        <v>4</v>
      </c>
      <c r="CW130" s="14">
        <f t="shared" si="194"/>
        <v>1102003</v>
      </c>
      <c r="CX130" s="14" t="str">
        <f>INDEX($O$6:$O$50,CT130)&amp;"-"&amp;INDEX(属性投放!$AB$7:$AB$50,CZ130)&amp;"-魂火-"&amp;DB130</f>
        <v>典韦-大叫唤+1-魂火-1</v>
      </c>
      <c r="CY130" s="25" t="s">
        <v>142</v>
      </c>
      <c r="CZ130" s="14">
        <f>INDEX(属性投放!$AM$7:$AM$58,CU130)</f>
        <v>11</v>
      </c>
      <c r="DA130" s="14" t="s">
        <v>537</v>
      </c>
      <c r="DB130" s="14">
        <f>INDEX(属性投放!$AN$7:$AN$58,CU130)</f>
        <v>1</v>
      </c>
      <c r="DC130" s="14">
        <f t="shared" si="176"/>
        <v>22</v>
      </c>
      <c r="DD130" s="14">
        <f>INDEX(属性投放!$AO$7:$AO$58,DC130)</f>
        <v>73</v>
      </c>
      <c r="DE130" s="14" t="s">
        <v>538</v>
      </c>
      <c r="DF130" s="14">
        <f>INDEX(属性投放!$BK$6:$BK$85,(CV130-2)*20+CZ130)</f>
        <v>170</v>
      </c>
      <c r="DG130" s="14">
        <f>SUMIFS(DF$5:DF130,$CT$5:$CT130,"="&amp;$CT130)</f>
        <v>1740</v>
      </c>
      <c r="DH130" s="14" t="s">
        <v>539</v>
      </c>
      <c r="DI130" s="14">
        <f>INDEX(属性投放!$BL$6:$BL$85,(CV130-2)*20+CZ130)</f>
        <v>85</v>
      </c>
      <c r="DJ130" s="14">
        <f>SUMIFS(DI$5:DI130,$CT$5:$CT130,"="&amp;$CT130)</f>
        <v>875</v>
      </c>
      <c r="DK130" s="14" t="s">
        <v>540</v>
      </c>
      <c r="DL130" s="14">
        <f>INDEX(属性投放!$BM$6:$BM$85,(CV130-2)*20+CZ130)</f>
        <v>1530</v>
      </c>
      <c r="DM130" s="14">
        <f>SUMIFS(DL$5:DL130,$CT$5:$CT130,"="&amp;$CT130)</f>
        <v>13850</v>
      </c>
      <c r="DR130" s="14">
        <f t="shared" si="177"/>
        <v>1102007</v>
      </c>
      <c r="DS130" s="14" t="str">
        <f t="shared" si="178"/>
        <v>天使缇娜6突</v>
      </c>
      <c r="DT130" s="14">
        <f t="shared" si="195"/>
        <v>7</v>
      </c>
      <c r="DU130" s="14">
        <f t="shared" si="196"/>
        <v>6</v>
      </c>
      <c r="DV130" s="14">
        <f t="shared" si="197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INDEX(属性投放!$AX$6:$AX$85,(卡牌属性!DW130-2)*20+卡牌属性!DX130)</f>
        <v>5</v>
      </c>
      <c r="EA130" s="14">
        <f>INDEX(属性投放!BQ$6:BQ$85,卡牌属性!$DY130)</f>
        <v>160</v>
      </c>
      <c r="EB130" s="14">
        <f>INDEX(属性投放!BR$6:BR$85,卡牌属性!$DY130)</f>
        <v>80</v>
      </c>
      <c r="EC130" s="14">
        <f>INDEX(属性投放!BS$6:BS$85,卡牌属性!$DY130)</f>
        <v>1120</v>
      </c>
      <c r="ED130" s="14">
        <f t="shared" si="301"/>
        <v>1263</v>
      </c>
      <c r="EE130" s="14">
        <f t="shared" si="302"/>
        <v>1391</v>
      </c>
      <c r="EF130" s="14">
        <f t="shared" si="303"/>
        <v>1560</v>
      </c>
      <c r="EG130" s="14">
        <f t="shared" si="304"/>
        <v>1560</v>
      </c>
      <c r="EH130" s="14">
        <f t="shared" si="305"/>
        <v>1815</v>
      </c>
      <c r="EI130" s="14">
        <f t="shared" si="306"/>
        <v>487</v>
      </c>
      <c r="EJ130" s="14">
        <f t="shared" si="307"/>
        <v>592</v>
      </c>
      <c r="EK130" s="14">
        <f t="shared" si="308"/>
        <v>592</v>
      </c>
      <c r="EL130" s="14">
        <f t="shared" si="309"/>
        <v>658</v>
      </c>
      <c r="EM130" s="14">
        <f t="shared" si="310"/>
        <v>741</v>
      </c>
      <c r="EN130" s="14">
        <f t="shared" si="311"/>
        <v>6347</v>
      </c>
      <c r="EO130" s="14">
        <f t="shared" si="312"/>
        <v>7738</v>
      </c>
      <c r="EP130" s="14">
        <f t="shared" si="313"/>
        <v>7738</v>
      </c>
      <c r="EQ130" s="14">
        <f t="shared" si="314"/>
        <v>8440</v>
      </c>
      <c r="ER130" s="14">
        <f t="shared" si="315"/>
        <v>9405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91</v>
      </c>
      <c r="FD130" s="14">
        <f>INDEX(属性偏向!$U$4:$U$243,(卡牌属性!$DV130-1+FD$3)*20+卡牌属性!$DX130)</f>
        <v>140</v>
      </c>
      <c r="FE130" s="14">
        <f>INDEX(属性偏向!$U$4:$U$243,(卡牌属性!$DV130-1+FE$3)*20+卡牌属性!$DX130)</f>
        <v>140</v>
      </c>
      <c r="FF130" s="14">
        <f>INDEX(属性偏向!$U$4:$U$243,(卡牌属性!$DV130-1+FF$3)*20+卡牌属性!$DX130)</f>
        <v>154</v>
      </c>
      <c r="FG130" s="14">
        <f>INDEX(属性偏向!$U$4:$U$243,(卡牌属性!$DV130-1+FG$3)*20+卡牌属性!$DX130)</f>
        <v>175</v>
      </c>
      <c r="FH130" s="14">
        <f>INDEX(属性投放!$BQ$6:$BQ$85,(卡牌属性!$DW130-2)*20+卡牌属性!$DX130)</f>
        <v>160</v>
      </c>
      <c r="FI130" s="14">
        <f>INDEX(属性投放!$BQ$6:$BQ$85,(卡牌属性!$DW130-2)*20+卡牌属性!$DX130)</f>
        <v>160</v>
      </c>
      <c r="FJ130" s="14">
        <f>INDEX(属性投放!$BQ$6:$BQ$85,(卡牌属性!$DW130-2)*20+卡牌属性!$DX130)</f>
        <v>160</v>
      </c>
      <c r="FK130" s="14">
        <f>INDEX(属性投放!$BQ$6:$BQ$85,(卡牌属性!$DW130-2)*20+卡牌属性!$DX130)</f>
        <v>160</v>
      </c>
      <c r="FL130" s="14">
        <f>INDEX(属性投放!$BQ$6:$BQ$85,(卡牌属性!$DW130-2)*20+卡牌属性!$DX130)</f>
        <v>160</v>
      </c>
      <c r="FM130" s="14">
        <f>INDEX(属性投放!$BR$6:$BR$85,(卡牌属性!$DW130-2)*20+卡牌属性!$DX130)</f>
        <v>80</v>
      </c>
      <c r="FN130" s="14">
        <f>INDEX(属性投放!$BR$6:$BR$85,(卡牌属性!$DW130-2)*20+卡牌属性!$DX130)</f>
        <v>80</v>
      </c>
      <c r="FO130" s="14">
        <f>INDEX(属性投放!$BR$6:$BR$85,(卡牌属性!$DW130-2)*20+卡牌属性!$DX130)</f>
        <v>80</v>
      </c>
      <c r="FP130" s="14">
        <f>INDEX(属性投放!$BR$6:$BR$85,(卡牌属性!$DW130-2)*20+卡牌属性!$DX130)</f>
        <v>80</v>
      </c>
      <c r="FQ130" s="14">
        <f>INDEX(属性投放!$BR$6:$BR$85,(卡牌属性!$DW130-2)*20+卡牌属性!$DX130)</f>
        <v>80</v>
      </c>
      <c r="FR130" s="14">
        <f>INDEX(属性投放!$BS$6:$BS$85,(卡牌属性!$DW130-2)*20+卡牌属性!$DX130)</f>
        <v>1120</v>
      </c>
      <c r="FS130" s="14">
        <f>INDEX(属性投放!$BS$6:$BS$85,(卡牌属性!$DW130-2)*20+卡牌属性!$DX130)</f>
        <v>1120</v>
      </c>
      <c r="FT130" s="14">
        <f>INDEX(属性投放!$BS$6:$BS$85,(卡牌属性!$DW130-2)*20+卡牌属性!$DX130)</f>
        <v>1120</v>
      </c>
      <c r="FU130" s="14">
        <f>INDEX(属性投放!$BS$6:$BS$85,(卡牌属性!$DW130-2)*20+卡牌属性!$DX130)</f>
        <v>1120</v>
      </c>
      <c r="FV130" s="14">
        <f>INDEX(属性投放!$BS$6:$BS$85,(卡牌属性!$DW130-2)*20+卡牌属性!$DX130)</f>
        <v>1120</v>
      </c>
      <c r="FZ130" s="13">
        <v>126</v>
      </c>
      <c r="GA130" s="13">
        <f t="shared" si="291"/>
        <v>26</v>
      </c>
      <c r="GB130" s="14">
        <f t="shared" si="198"/>
        <v>1102028</v>
      </c>
      <c r="GC130" s="14" t="s">
        <v>1187</v>
      </c>
      <c r="GD130" s="14">
        <f t="shared" si="265"/>
        <v>1</v>
      </c>
      <c r="GE130" s="14" t="str">
        <f t="shared" si="266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MATCH(HC130,属性投放!$AO$6:$AO$58,1)-1</f>
        <v>43</v>
      </c>
      <c r="HF130" s="13">
        <f>MATCH(HC130-1,属性投放!$AE$6:$AE$26,1)</f>
        <v>18</v>
      </c>
      <c r="HG130" s="13" t="str">
        <f>INDEX(属性投放!$AB$7:$AB$26,卡牌属性!HF130)</f>
        <v>大焦热+2</v>
      </c>
      <c r="HH130" s="14">
        <f t="shared" si="200"/>
        <v>9243</v>
      </c>
      <c r="HI130" s="14">
        <f t="shared" si="201"/>
        <v>4028</v>
      </c>
      <c r="HJ130" s="14">
        <f t="shared" si="202"/>
        <v>73134</v>
      </c>
      <c r="HK130" s="14">
        <f t="shared" si="203"/>
        <v>50</v>
      </c>
      <c r="HL130" s="14">
        <f t="shared" si="204"/>
        <v>18</v>
      </c>
      <c r="HM130" s="14">
        <f t="shared" si="205"/>
        <v>350</v>
      </c>
      <c r="HN130" s="14">
        <f>HH130+HK130*($HC130-INDEX(属性投放!$AE$6:$AE$26,卡牌属性!$HF130))</f>
        <v>9293</v>
      </c>
      <c r="HO130" s="14">
        <f>HI130+HL130*($HC130-INDEX(属性投放!$AE$6:$AE$26,卡牌属性!$HF130))</f>
        <v>4046</v>
      </c>
      <c r="HP130" s="14">
        <f>HJ130+HM130*($HC130-INDEX(属性投放!$AE$6:$AE$26,卡牌属性!$HF130))</f>
        <v>73484</v>
      </c>
      <c r="HQ130" s="14">
        <f t="shared" si="206"/>
        <v>10135</v>
      </c>
      <c r="HR130" s="14">
        <f t="shared" si="207"/>
        <v>5077</v>
      </c>
      <c r="HS130" s="14">
        <f t="shared" si="208"/>
        <v>96785</v>
      </c>
      <c r="HT130" s="14">
        <f>IF(COUNTIF(属性投放!$AO$7:$AO$58,"="&amp;卡牌属性!HC130)&gt;0,卡牌属性!HE130,0)</f>
        <v>0</v>
      </c>
      <c r="HU130" s="14">
        <f t="shared" si="209"/>
        <v>0</v>
      </c>
      <c r="HV130" s="14">
        <f t="shared" si="210"/>
        <v>0</v>
      </c>
      <c r="HW130" s="14">
        <f t="shared" si="211"/>
        <v>0</v>
      </c>
      <c r="HX130" s="14">
        <f>IF(COUNTIF(属性投放!$AE$6:$AE$26,"="&amp;卡牌属性!HC130)&gt;0,卡牌属性!HF130,0)</f>
        <v>0</v>
      </c>
      <c r="HY130" s="14">
        <f t="shared" si="212"/>
        <v>0</v>
      </c>
      <c r="HZ130" s="14">
        <f t="shared" si="213"/>
        <v>0</v>
      </c>
      <c r="IA130" s="14">
        <f t="shared" si="214"/>
        <v>0</v>
      </c>
      <c r="IB130" s="14">
        <f t="shared" si="215"/>
        <v>50</v>
      </c>
      <c r="IC130" s="14">
        <f t="shared" si="216"/>
        <v>18</v>
      </c>
      <c r="ID130" s="14">
        <f t="shared" si="217"/>
        <v>350</v>
      </c>
      <c r="IE130" s="14">
        <f t="shared" si="218"/>
        <v>19428</v>
      </c>
      <c r="IF130" s="14">
        <f t="shared" si="219"/>
        <v>9123</v>
      </c>
      <c r="IG130" s="14">
        <f t="shared" si="220"/>
        <v>170269</v>
      </c>
      <c r="IH130" s="14">
        <f t="shared" si="221"/>
        <v>1210</v>
      </c>
      <c r="II130" s="14">
        <f t="shared" si="222"/>
        <v>0</v>
      </c>
      <c r="IJ130" s="14">
        <f t="shared" si="223"/>
        <v>0</v>
      </c>
      <c r="IK130" s="14">
        <f t="shared" si="224"/>
        <v>547009</v>
      </c>
      <c r="IL130" s="17">
        <f t="shared" si="225"/>
        <v>2.2120294181631381E-3</v>
      </c>
      <c r="IM130" s="17">
        <f t="shared" si="226"/>
        <v>0</v>
      </c>
      <c r="IN130" s="17">
        <f t="shared" si="227"/>
        <v>0</v>
      </c>
      <c r="IO130" s="23">
        <f>SUM(IH$5:IH130)</f>
        <v>83524</v>
      </c>
      <c r="IP130" s="14">
        <f>SUM(II$5:II130)</f>
        <v>299675</v>
      </c>
      <c r="IQ130" s="14">
        <f>SUM(IJ$5:IJ130)</f>
        <v>132140</v>
      </c>
      <c r="IR130" s="17">
        <f t="shared" si="228"/>
        <v>0.15269218605178342</v>
      </c>
      <c r="IS130" s="17">
        <f t="shared" si="229"/>
        <v>0.54784290569259375</v>
      </c>
      <c r="IT130" s="17">
        <f t="shared" si="230"/>
        <v>0.24156823745130335</v>
      </c>
      <c r="IW130" s="13">
        <v>126</v>
      </c>
      <c r="IX130" s="14">
        <f>MATCH(IW130-1,属性投放!$T$6:$T$66,1)</f>
        <v>34</v>
      </c>
      <c r="IY130" s="14">
        <f>MATCH(IW130-1,属性投放!$AD$7:$AD$26,1)</f>
        <v>16</v>
      </c>
      <c r="IZ130" s="14" t="str">
        <f>INDEX(属性投放!$AB$7:$AB$26,IY130)</f>
        <v>大焦热</v>
      </c>
      <c r="JA130" s="14">
        <f t="shared" si="231"/>
        <v>9545</v>
      </c>
      <c r="JB130" s="14">
        <f t="shared" si="232"/>
        <v>4739</v>
      </c>
      <c r="JC130" s="14">
        <f t="shared" si="233"/>
        <v>87226</v>
      </c>
      <c r="JD130" s="14">
        <f t="shared" si="234"/>
        <v>235</v>
      </c>
      <c r="JE130" s="14">
        <f t="shared" si="235"/>
        <v>117</v>
      </c>
      <c r="JF130" s="14">
        <f t="shared" si="236"/>
        <v>2346</v>
      </c>
      <c r="JG130" s="14">
        <f>INDEX(属性投放!$DC$6:$DC$85,卡牌属性!IY130)</f>
        <v>110</v>
      </c>
      <c r="JH130" s="14">
        <f t="shared" si="237"/>
        <v>13305</v>
      </c>
      <c r="JI130" s="14">
        <f t="shared" si="238"/>
        <v>6611</v>
      </c>
      <c r="JJ130" s="14">
        <f t="shared" si="239"/>
        <v>124762</v>
      </c>
      <c r="JK130" s="14">
        <f t="shared" si="240"/>
        <v>257397</v>
      </c>
    </row>
    <row r="131" spans="31:271" ht="16.5" x14ac:dyDescent="0.2">
      <c r="AE131" s="13">
        <v>127</v>
      </c>
      <c r="AF131" s="13">
        <f t="shared" si="188"/>
        <v>7</v>
      </c>
      <c r="AG131" s="13">
        <f t="shared" si="169"/>
        <v>4</v>
      </c>
      <c r="AH131" s="13"/>
      <c r="AI131" s="13"/>
      <c r="AJ131" s="14">
        <f t="shared" si="170"/>
        <v>1101007</v>
      </c>
      <c r="AK131" s="14" t="str">
        <f t="shared" si="171"/>
        <v>战斗曹焱兵7突</v>
      </c>
      <c r="AL131" s="25" t="s">
        <v>142</v>
      </c>
      <c r="AM131" s="14">
        <v>1</v>
      </c>
      <c r="AN131" s="14">
        <f t="shared" si="172"/>
        <v>7</v>
      </c>
      <c r="AO131" s="14">
        <f>INDEX(属性投放!$DF$6:$DF$85,(卡牌属性!AG131-2)*20+卡牌属性!AN131)</f>
        <v>1982</v>
      </c>
      <c r="AP131" s="14">
        <f t="shared" si="295"/>
        <v>1982</v>
      </c>
      <c r="AQ131" s="14">
        <f t="shared" si="295"/>
        <v>1982</v>
      </c>
      <c r="AR131" s="14">
        <f t="shared" si="295"/>
        <v>1982</v>
      </c>
      <c r="AS131" s="14">
        <f t="shared" si="295"/>
        <v>1982</v>
      </c>
      <c r="AT131" s="14">
        <f>INDEX(属性投放!$DG$6:$DG$85,(卡牌属性!AG131-2)*20+卡牌属性!AN131)</f>
        <v>919</v>
      </c>
      <c r="AU131" s="14">
        <f t="shared" si="296"/>
        <v>919</v>
      </c>
      <c r="AV131" s="14">
        <f t="shared" si="296"/>
        <v>919</v>
      </c>
      <c r="AW131" s="14">
        <f t="shared" si="296"/>
        <v>919</v>
      </c>
      <c r="AX131" s="14">
        <f t="shared" si="296"/>
        <v>919</v>
      </c>
      <c r="AY131" s="14">
        <f>INDEX(属性投放!$DH$6:$DH$85,(卡牌属性!AG131-2)*20+卡牌属性!AN131)</f>
        <v>12624</v>
      </c>
      <c r="AZ131" s="14">
        <f t="shared" si="297"/>
        <v>12624</v>
      </c>
      <c r="BA131" s="14">
        <f t="shared" si="297"/>
        <v>12624</v>
      </c>
      <c r="BB131" s="14">
        <f t="shared" si="297"/>
        <v>12624</v>
      </c>
      <c r="BC131" s="14">
        <f t="shared" si="297"/>
        <v>12624</v>
      </c>
      <c r="BD131" s="14">
        <f>INDEX(属性投放!$DL$6:$DL$85,(卡牌属性!AG131-2)*20+卡牌属性!AN131)</f>
        <v>58</v>
      </c>
      <c r="BE131" s="14">
        <f t="shared" si="298"/>
        <v>58</v>
      </c>
      <c r="BF131" s="14">
        <f t="shared" si="298"/>
        <v>58</v>
      </c>
      <c r="BG131" s="14">
        <f t="shared" si="298"/>
        <v>58</v>
      </c>
      <c r="BH131" s="14">
        <f t="shared" si="298"/>
        <v>58</v>
      </c>
      <c r="BI131" s="14">
        <f>INDEX(属性投放!$DM$6:$DM$85,(卡牌属性!AG131-2)*20+卡牌属性!AN131)</f>
        <v>29</v>
      </c>
      <c r="BJ131" s="14">
        <f t="shared" si="299"/>
        <v>29</v>
      </c>
      <c r="BK131" s="14">
        <f t="shared" si="299"/>
        <v>29</v>
      </c>
      <c r="BL131" s="14">
        <f t="shared" si="299"/>
        <v>29</v>
      </c>
      <c r="BM131" s="14">
        <f t="shared" si="299"/>
        <v>29</v>
      </c>
      <c r="BN131" s="14">
        <f>INDEX(属性投放!$DN$6:$DN$85,(卡牌属性!AG131-2)*20+卡牌属性!AN131)</f>
        <v>461</v>
      </c>
      <c r="BO131" s="14">
        <f t="shared" si="300"/>
        <v>461</v>
      </c>
      <c r="BP131" s="14">
        <f t="shared" si="300"/>
        <v>461</v>
      </c>
      <c r="BQ131" s="14">
        <f t="shared" si="300"/>
        <v>461</v>
      </c>
      <c r="BR131" s="14">
        <f t="shared" si="300"/>
        <v>461</v>
      </c>
      <c r="BW131" s="13">
        <v>127</v>
      </c>
      <c r="BX131" s="13">
        <f t="shared" si="173"/>
        <v>7</v>
      </c>
      <c r="BY131" s="14">
        <f t="shared" si="174"/>
        <v>4</v>
      </c>
      <c r="BZ131" s="14">
        <f t="shared" si="189"/>
        <v>1102007</v>
      </c>
      <c r="CA131" s="14" t="str">
        <f t="shared" si="190"/>
        <v>天使缇娜7突</v>
      </c>
      <c r="CB131" s="25" t="s">
        <v>142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INDEX(属性投放!$AZ$6:$AZ$85,(BY131-2)*20+CD131)</f>
        <v>1998</v>
      </c>
      <c r="CG131" s="14" t="s">
        <v>22</v>
      </c>
      <c r="CH131" s="14">
        <f>INDEX(属性投放!$BA$6:$BA$85,(BY131-2)*20+CD131)</f>
        <v>938</v>
      </c>
      <c r="CI131" s="14" t="s">
        <v>510</v>
      </c>
      <c r="CJ131" s="14">
        <f>INDEX(属性投放!$BB$6:$BB$85,(BY131-2)*20+CD131)</f>
        <v>12728</v>
      </c>
      <c r="CK131" s="14" t="s">
        <v>21</v>
      </c>
      <c r="CL131" s="14">
        <f>INDEX(属性投放!$BC$6:$BC$85,(BY131-2)*20+CD131)</f>
        <v>25</v>
      </c>
      <c r="CM131" s="14" t="s">
        <v>22</v>
      </c>
      <c r="CN131" s="14">
        <f>INDEX(属性投放!$BD$6:$BD$85,(BY131-2)*20+CD131)</f>
        <v>13</v>
      </c>
      <c r="CO131" s="14" t="s">
        <v>510</v>
      </c>
      <c r="CP131" s="14">
        <f>INDEX(属性投放!$BE$6:$BE$85,(BY131-2)*20+CD131)</f>
        <v>200</v>
      </c>
      <c r="CS131" s="13">
        <v>127</v>
      </c>
      <c r="CT131" s="13">
        <f t="shared" si="191"/>
        <v>3</v>
      </c>
      <c r="CU131" s="13">
        <f t="shared" si="192"/>
        <v>23</v>
      </c>
      <c r="CV131" s="14">
        <f t="shared" si="193"/>
        <v>4</v>
      </c>
      <c r="CW131" s="14">
        <f t="shared" si="194"/>
        <v>1102003</v>
      </c>
      <c r="CX131" s="14" t="str">
        <f>INDEX($O$6:$O$50,CT131)&amp;"-"&amp;INDEX(属性投放!$AB$7:$AB$50,CZ131)&amp;"-魂火-"&amp;DB131</f>
        <v>典韦-大叫唤+1-魂火-2</v>
      </c>
      <c r="CY131" s="25" t="s">
        <v>142</v>
      </c>
      <c r="CZ131" s="14">
        <f>INDEX(属性投放!$AM$7:$AM$58,CU131)</f>
        <v>11</v>
      </c>
      <c r="DA131" s="14" t="s">
        <v>537</v>
      </c>
      <c r="DB131" s="14">
        <f>INDEX(属性投放!$AN$7:$AN$58,CU131)</f>
        <v>2</v>
      </c>
      <c r="DC131" s="14">
        <f t="shared" si="176"/>
        <v>23</v>
      </c>
      <c r="DD131" s="14">
        <f>INDEX(属性投放!$AO$7:$AO$58,DC131)</f>
        <v>75</v>
      </c>
      <c r="DE131" s="14" t="s">
        <v>538</v>
      </c>
      <c r="DF131" s="14">
        <f>INDEX(属性投放!$BK$6:$BK$85,(CV131-2)*20+CZ131)</f>
        <v>170</v>
      </c>
      <c r="DG131" s="14">
        <f>SUMIFS(DF$5:DF131,$CT$5:$CT131,"="&amp;$CT131)</f>
        <v>1910</v>
      </c>
      <c r="DH131" s="14" t="s">
        <v>539</v>
      </c>
      <c r="DI131" s="14">
        <f>INDEX(属性投放!$BL$6:$BL$85,(CV131-2)*20+CZ131)</f>
        <v>85</v>
      </c>
      <c r="DJ131" s="14">
        <f>SUMIFS(DI$5:DI131,$CT$5:$CT131,"="&amp;$CT131)</f>
        <v>960</v>
      </c>
      <c r="DK131" s="14" t="s">
        <v>540</v>
      </c>
      <c r="DL131" s="14">
        <f>INDEX(属性投放!$BM$6:$BM$85,(CV131-2)*20+CZ131)</f>
        <v>1530</v>
      </c>
      <c r="DM131" s="14">
        <f>SUMIFS(DL$5:DL131,$CT$5:$CT131,"="&amp;$CT131)</f>
        <v>15380</v>
      </c>
      <c r="DR131" s="14">
        <f t="shared" si="177"/>
        <v>1102007</v>
      </c>
      <c r="DS131" s="14" t="str">
        <f t="shared" si="178"/>
        <v>天使缇娜7突</v>
      </c>
      <c r="DT131" s="14">
        <f t="shared" si="195"/>
        <v>7</v>
      </c>
      <c r="DU131" s="14">
        <f t="shared" si="196"/>
        <v>6</v>
      </c>
      <c r="DV131" s="14">
        <f t="shared" si="197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INDEX(属性投放!$AX$6:$AX$85,(卡牌属性!DW131-2)*20+卡牌属性!DX131)</f>
        <v>5</v>
      </c>
      <c r="EA131" s="14">
        <f>INDEX(属性投放!BQ$6:BQ$85,卡牌属性!$DY131)</f>
        <v>165</v>
      </c>
      <c r="EB131" s="14">
        <f>INDEX(属性投放!BR$6:BR$85,卡牌属性!$DY131)</f>
        <v>83</v>
      </c>
      <c r="EC131" s="14">
        <f>INDEX(属性投放!BS$6:BS$85,卡牌属性!$DY131)</f>
        <v>1320</v>
      </c>
      <c r="ED131" s="14">
        <f t="shared" si="301"/>
        <v>1523</v>
      </c>
      <c r="EE131" s="14">
        <f t="shared" si="302"/>
        <v>1661</v>
      </c>
      <c r="EF131" s="14">
        <f t="shared" si="303"/>
        <v>1845</v>
      </c>
      <c r="EG131" s="14">
        <f t="shared" si="304"/>
        <v>1845</v>
      </c>
      <c r="EH131" s="14">
        <f t="shared" si="305"/>
        <v>2125</v>
      </c>
      <c r="EI131" s="14">
        <f t="shared" si="306"/>
        <v>602</v>
      </c>
      <c r="EJ131" s="14">
        <f t="shared" si="307"/>
        <v>722</v>
      </c>
      <c r="EK131" s="14">
        <f t="shared" si="308"/>
        <v>722</v>
      </c>
      <c r="EL131" s="14">
        <f t="shared" si="309"/>
        <v>793</v>
      </c>
      <c r="EM131" s="14">
        <f t="shared" si="310"/>
        <v>886</v>
      </c>
      <c r="EN131" s="14">
        <f t="shared" si="311"/>
        <v>7922</v>
      </c>
      <c r="EO131" s="14">
        <f t="shared" si="312"/>
        <v>9558</v>
      </c>
      <c r="EP131" s="14">
        <f t="shared" si="313"/>
        <v>9558</v>
      </c>
      <c r="EQ131" s="14">
        <f t="shared" si="314"/>
        <v>10330</v>
      </c>
      <c r="ER131" s="14">
        <f t="shared" si="315"/>
        <v>11400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128</v>
      </c>
      <c r="FD131" s="14">
        <f>INDEX(属性偏向!$U$4:$U$243,(卡牌属性!$DV131-1+FD$3)*20+卡牌属性!$DX131)</f>
        <v>200</v>
      </c>
      <c r="FE131" s="14">
        <f>INDEX(属性偏向!$U$4:$U$243,(卡牌属性!$DV131-1+FE$3)*20+卡牌属性!$DX131)</f>
        <v>200</v>
      </c>
      <c r="FF131" s="14">
        <f>INDEX(属性偏向!$U$4:$U$243,(卡牌属性!$DV131-1+FF$3)*20+卡牌属性!$DX131)</f>
        <v>224</v>
      </c>
      <c r="FG131" s="14">
        <f>INDEX(属性偏向!$U$4:$U$243,(卡牌属性!$DV131-1+FG$3)*20+卡牌属性!$DX131)</f>
        <v>240</v>
      </c>
      <c r="FH131" s="14">
        <f>INDEX(属性投放!$BQ$6:$BQ$85,(卡牌属性!$DW131-2)*20+卡牌属性!$DX131)</f>
        <v>165</v>
      </c>
      <c r="FI131" s="14">
        <f>INDEX(属性投放!$BQ$6:$BQ$85,(卡牌属性!$DW131-2)*20+卡牌属性!$DX131)</f>
        <v>165</v>
      </c>
      <c r="FJ131" s="14">
        <f>INDEX(属性投放!$BQ$6:$BQ$85,(卡牌属性!$DW131-2)*20+卡牌属性!$DX131)</f>
        <v>165</v>
      </c>
      <c r="FK131" s="14">
        <f>INDEX(属性投放!$BQ$6:$BQ$85,(卡牌属性!$DW131-2)*20+卡牌属性!$DX131)</f>
        <v>165</v>
      </c>
      <c r="FL131" s="14">
        <f>INDEX(属性投放!$BQ$6:$BQ$85,(卡牌属性!$DW131-2)*20+卡牌属性!$DX131)</f>
        <v>165</v>
      </c>
      <c r="FM131" s="14">
        <f>INDEX(属性投放!$BR$6:$BR$85,(卡牌属性!$DW131-2)*20+卡牌属性!$DX131)</f>
        <v>83</v>
      </c>
      <c r="FN131" s="14">
        <f>INDEX(属性投放!$BR$6:$BR$85,(卡牌属性!$DW131-2)*20+卡牌属性!$DX131)</f>
        <v>83</v>
      </c>
      <c r="FO131" s="14">
        <f>INDEX(属性投放!$BR$6:$BR$85,(卡牌属性!$DW131-2)*20+卡牌属性!$DX131)</f>
        <v>83</v>
      </c>
      <c r="FP131" s="14">
        <f>INDEX(属性投放!$BR$6:$BR$85,(卡牌属性!$DW131-2)*20+卡牌属性!$DX131)</f>
        <v>83</v>
      </c>
      <c r="FQ131" s="14">
        <f>INDEX(属性投放!$BR$6:$BR$85,(卡牌属性!$DW131-2)*20+卡牌属性!$DX131)</f>
        <v>83</v>
      </c>
      <c r="FR131" s="14">
        <f>INDEX(属性投放!$BS$6:$BS$85,(卡牌属性!$DW131-2)*20+卡牌属性!$DX131)</f>
        <v>1320</v>
      </c>
      <c r="FS131" s="14">
        <f>INDEX(属性投放!$BS$6:$BS$85,(卡牌属性!$DW131-2)*20+卡牌属性!$DX131)</f>
        <v>1320</v>
      </c>
      <c r="FT131" s="14">
        <f>INDEX(属性投放!$BS$6:$BS$85,(卡牌属性!$DW131-2)*20+卡牌属性!$DX131)</f>
        <v>1320</v>
      </c>
      <c r="FU131" s="14">
        <f>INDEX(属性投放!$BS$6:$BS$85,(卡牌属性!$DW131-2)*20+卡牌属性!$DX131)</f>
        <v>1320</v>
      </c>
      <c r="FV131" s="14">
        <f>INDEX(属性投放!$BS$6:$BS$85,(卡牌属性!$DW131-2)*20+卡牌属性!$DX131)</f>
        <v>1320</v>
      </c>
      <c r="FZ131" s="13">
        <v>127</v>
      </c>
      <c r="GA131" s="13">
        <f t="shared" si="291"/>
        <v>26</v>
      </c>
      <c r="GB131" s="14">
        <f t="shared" si="198"/>
        <v>1102028</v>
      </c>
      <c r="GC131" s="14" t="s">
        <v>1187</v>
      </c>
      <c r="GD131" s="14">
        <f t="shared" si="265"/>
        <v>2</v>
      </c>
      <c r="GE131" s="14" t="str">
        <f t="shared" si="266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MATCH(HC131,属性投放!$AO$6:$AO$58,1)-1</f>
        <v>43</v>
      </c>
      <c r="HF131" s="13">
        <f>MATCH(HC131-1,属性投放!$AE$6:$AE$26,1)</f>
        <v>18</v>
      </c>
      <c r="HG131" s="13" t="str">
        <f>INDEX(属性投放!$AB$7:$AB$26,卡牌属性!HF131)</f>
        <v>大焦热+2</v>
      </c>
      <c r="HH131" s="14">
        <f t="shared" si="200"/>
        <v>9243</v>
      </c>
      <c r="HI131" s="14">
        <f t="shared" si="201"/>
        <v>4028</v>
      </c>
      <c r="HJ131" s="14">
        <f t="shared" si="202"/>
        <v>73134</v>
      </c>
      <c r="HK131" s="14">
        <f t="shared" si="203"/>
        <v>50</v>
      </c>
      <c r="HL131" s="14">
        <f t="shared" si="204"/>
        <v>18</v>
      </c>
      <c r="HM131" s="14">
        <f t="shared" si="205"/>
        <v>350</v>
      </c>
      <c r="HN131" s="14">
        <f>HH131+HK131*($HC131-INDEX(属性投放!$AE$6:$AE$26,卡牌属性!$HF131))</f>
        <v>9343</v>
      </c>
      <c r="HO131" s="14">
        <f>HI131+HL131*($HC131-INDEX(属性投放!$AE$6:$AE$26,卡牌属性!$HF131))</f>
        <v>4064</v>
      </c>
      <c r="HP131" s="14">
        <f>HJ131+HM131*($HC131-INDEX(属性投放!$AE$6:$AE$26,卡牌属性!$HF131))</f>
        <v>73834</v>
      </c>
      <c r="HQ131" s="14">
        <f t="shared" si="206"/>
        <v>10135</v>
      </c>
      <c r="HR131" s="14">
        <f t="shared" si="207"/>
        <v>5077</v>
      </c>
      <c r="HS131" s="14">
        <f t="shared" si="208"/>
        <v>96785</v>
      </c>
      <c r="HT131" s="14">
        <f>IF(COUNTIF(属性投放!$AO$7:$AO$58,"="&amp;卡牌属性!HC131)&gt;0,卡牌属性!HE131,0)</f>
        <v>0</v>
      </c>
      <c r="HU131" s="14">
        <f t="shared" si="209"/>
        <v>0</v>
      </c>
      <c r="HV131" s="14">
        <f t="shared" si="210"/>
        <v>0</v>
      </c>
      <c r="HW131" s="14">
        <f t="shared" si="211"/>
        <v>0</v>
      </c>
      <c r="HX131" s="14">
        <f>IF(COUNTIF(属性投放!$AE$6:$AE$26,"="&amp;卡牌属性!HC131)&gt;0,卡牌属性!HF131,0)</f>
        <v>0</v>
      </c>
      <c r="HY131" s="14">
        <f t="shared" si="212"/>
        <v>0</v>
      </c>
      <c r="HZ131" s="14">
        <f t="shared" si="213"/>
        <v>0</v>
      </c>
      <c r="IA131" s="14">
        <f t="shared" si="214"/>
        <v>0</v>
      </c>
      <c r="IB131" s="14">
        <f t="shared" si="215"/>
        <v>50</v>
      </c>
      <c r="IC131" s="14">
        <f t="shared" si="216"/>
        <v>18</v>
      </c>
      <c r="ID131" s="14">
        <f t="shared" si="217"/>
        <v>350</v>
      </c>
      <c r="IE131" s="14">
        <f t="shared" si="218"/>
        <v>19478</v>
      </c>
      <c r="IF131" s="14">
        <f t="shared" si="219"/>
        <v>9141</v>
      </c>
      <c r="IG131" s="14">
        <f t="shared" si="220"/>
        <v>170619</v>
      </c>
      <c r="IH131" s="14">
        <f t="shared" si="221"/>
        <v>1210</v>
      </c>
      <c r="II131" s="14">
        <f t="shared" si="222"/>
        <v>0</v>
      </c>
      <c r="IJ131" s="14">
        <f t="shared" si="223"/>
        <v>0</v>
      </c>
      <c r="IK131" s="14">
        <f t="shared" si="224"/>
        <v>548219</v>
      </c>
      <c r="IL131" s="17">
        <f t="shared" si="225"/>
        <v>2.2071471437509461E-3</v>
      </c>
      <c r="IM131" s="17">
        <f t="shared" si="226"/>
        <v>0</v>
      </c>
      <c r="IN131" s="17">
        <f t="shared" si="227"/>
        <v>0</v>
      </c>
      <c r="IO131" s="23">
        <f>SUM(IH$5:IH131)</f>
        <v>84734</v>
      </c>
      <c r="IP131" s="14">
        <f>SUM(II$5:II131)</f>
        <v>299675</v>
      </c>
      <c r="IQ131" s="14">
        <f>SUM(IJ$5:IJ131)</f>
        <v>132140</v>
      </c>
      <c r="IR131" s="17">
        <f t="shared" si="228"/>
        <v>0.1545623190732171</v>
      </c>
      <c r="IS131" s="17">
        <f t="shared" si="229"/>
        <v>0.54663373578807006</v>
      </c>
      <c r="IT131" s="17">
        <f t="shared" si="230"/>
        <v>0.24103506080599177</v>
      </c>
      <c r="IW131" s="13">
        <v>127</v>
      </c>
      <c r="IX131" s="14">
        <f>MATCH(IW131-1,属性投放!$T$6:$T$66,1)</f>
        <v>35</v>
      </c>
      <c r="IY131" s="14">
        <f>MATCH(IW131-1,属性投放!$AD$7:$AD$26,1)</f>
        <v>16</v>
      </c>
      <c r="IZ131" s="14" t="str">
        <f>INDEX(属性投放!$AB$7:$AB$26,IY131)</f>
        <v>大焦热</v>
      </c>
      <c r="JA131" s="14">
        <f t="shared" si="231"/>
        <v>9545</v>
      </c>
      <c r="JB131" s="14">
        <f t="shared" si="232"/>
        <v>4739</v>
      </c>
      <c r="JC131" s="14">
        <f t="shared" si="233"/>
        <v>87226</v>
      </c>
      <c r="JD131" s="14">
        <f t="shared" si="234"/>
        <v>235</v>
      </c>
      <c r="JE131" s="14">
        <f t="shared" si="235"/>
        <v>117</v>
      </c>
      <c r="JF131" s="14">
        <f t="shared" si="236"/>
        <v>2346</v>
      </c>
      <c r="JG131" s="14">
        <f>INDEX(属性投放!$DC$6:$DC$85,卡牌属性!IY131)</f>
        <v>110</v>
      </c>
      <c r="JH131" s="14">
        <f t="shared" si="237"/>
        <v>13540</v>
      </c>
      <c r="JI131" s="14">
        <f t="shared" si="238"/>
        <v>6728</v>
      </c>
      <c r="JJ131" s="14">
        <f t="shared" si="239"/>
        <v>127108</v>
      </c>
      <c r="JK131" s="14">
        <f t="shared" si="240"/>
        <v>262088</v>
      </c>
    </row>
    <row r="132" spans="31:271" ht="16.5" x14ac:dyDescent="0.2">
      <c r="AE132" s="13">
        <v>128</v>
      </c>
      <c r="AF132" s="13">
        <f t="shared" si="188"/>
        <v>7</v>
      </c>
      <c r="AG132" s="13">
        <f t="shared" si="169"/>
        <v>4</v>
      </c>
      <c r="AH132" s="13"/>
      <c r="AI132" s="13"/>
      <c r="AJ132" s="14">
        <f t="shared" si="170"/>
        <v>1101007</v>
      </c>
      <c r="AK132" s="14" t="str">
        <f t="shared" si="171"/>
        <v>战斗曹焱兵8突</v>
      </c>
      <c r="AL132" s="25" t="s">
        <v>142</v>
      </c>
      <c r="AM132" s="14">
        <v>1</v>
      </c>
      <c r="AN132" s="14">
        <f t="shared" si="172"/>
        <v>8</v>
      </c>
      <c r="AO132" s="14">
        <f>INDEX(属性投放!$DF$6:$DF$85,(卡牌属性!AG132-2)*20+卡牌属性!AN132)</f>
        <v>2147</v>
      </c>
      <c r="AP132" s="14">
        <f t="shared" si="295"/>
        <v>2147</v>
      </c>
      <c r="AQ132" s="14">
        <f t="shared" si="295"/>
        <v>2147</v>
      </c>
      <c r="AR132" s="14">
        <f t="shared" si="295"/>
        <v>2147</v>
      </c>
      <c r="AS132" s="14">
        <f t="shared" si="295"/>
        <v>2147</v>
      </c>
      <c r="AT132" s="14">
        <f>INDEX(属性投放!$DG$6:$DG$85,(卡牌属性!AG132-2)*20+卡牌属性!AN132)</f>
        <v>1002</v>
      </c>
      <c r="AU132" s="14">
        <f t="shared" si="296"/>
        <v>1002</v>
      </c>
      <c r="AV132" s="14">
        <f t="shared" si="296"/>
        <v>1002</v>
      </c>
      <c r="AW132" s="14">
        <f t="shared" si="296"/>
        <v>1002</v>
      </c>
      <c r="AX132" s="14">
        <f t="shared" si="296"/>
        <v>1002</v>
      </c>
      <c r="AY132" s="14">
        <f>INDEX(属性投放!$DH$6:$DH$85,(卡牌属性!AG132-2)*20+卡牌属性!AN132)</f>
        <v>13940</v>
      </c>
      <c r="AZ132" s="14">
        <f t="shared" si="297"/>
        <v>13940</v>
      </c>
      <c r="BA132" s="14">
        <f t="shared" si="297"/>
        <v>13940</v>
      </c>
      <c r="BB132" s="14">
        <f t="shared" si="297"/>
        <v>13940</v>
      </c>
      <c r="BC132" s="14">
        <f t="shared" si="297"/>
        <v>13940</v>
      </c>
      <c r="BD132" s="14">
        <f>INDEX(属性投放!$DL$6:$DL$85,(卡牌属性!AG132-2)*20+卡牌属性!AN132)</f>
        <v>58</v>
      </c>
      <c r="BE132" s="14">
        <f t="shared" si="298"/>
        <v>58</v>
      </c>
      <c r="BF132" s="14">
        <f t="shared" si="298"/>
        <v>58</v>
      </c>
      <c r="BG132" s="14">
        <f t="shared" si="298"/>
        <v>58</v>
      </c>
      <c r="BH132" s="14">
        <f t="shared" si="298"/>
        <v>58</v>
      </c>
      <c r="BI132" s="14">
        <f>INDEX(属性投放!$DM$6:$DM$85,(卡牌属性!AG132-2)*20+卡牌属性!AN132)</f>
        <v>29</v>
      </c>
      <c r="BJ132" s="14">
        <f t="shared" si="299"/>
        <v>29</v>
      </c>
      <c r="BK132" s="14">
        <f t="shared" si="299"/>
        <v>29</v>
      </c>
      <c r="BL132" s="14">
        <f t="shared" si="299"/>
        <v>29</v>
      </c>
      <c r="BM132" s="14">
        <f t="shared" si="299"/>
        <v>29</v>
      </c>
      <c r="BN132" s="14">
        <f>INDEX(属性投放!$DN$6:$DN$85,(卡牌属性!AG132-2)*20+卡牌属性!AN132)</f>
        <v>461</v>
      </c>
      <c r="BO132" s="14">
        <f t="shared" si="300"/>
        <v>461</v>
      </c>
      <c r="BP132" s="14">
        <f t="shared" si="300"/>
        <v>461</v>
      </c>
      <c r="BQ132" s="14">
        <f t="shared" si="300"/>
        <v>461</v>
      </c>
      <c r="BR132" s="14">
        <f t="shared" si="300"/>
        <v>461</v>
      </c>
      <c r="BW132" s="13">
        <v>128</v>
      </c>
      <c r="BX132" s="13">
        <f t="shared" si="173"/>
        <v>7</v>
      </c>
      <c r="BY132" s="14">
        <f t="shared" si="174"/>
        <v>4</v>
      </c>
      <c r="BZ132" s="14">
        <f t="shared" si="189"/>
        <v>1102007</v>
      </c>
      <c r="CA132" s="14" t="str">
        <f t="shared" si="190"/>
        <v>天使缇娜8突</v>
      </c>
      <c r="CB132" s="25" t="s">
        <v>142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INDEX(属性投放!$AZ$6:$AZ$85,(BY132-2)*20+CD132)</f>
        <v>2448</v>
      </c>
      <c r="CG132" s="14" t="s">
        <v>22</v>
      </c>
      <c r="CH132" s="14">
        <f>INDEX(属性投放!$BA$6:$BA$85,(BY132-2)*20+CD132)</f>
        <v>1166</v>
      </c>
      <c r="CI132" s="14" t="s">
        <v>510</v>
      </c>
      <c r="CJ132" s="14">
        <f>INDEX(属性投放!$BB$6:$BB$85,(BY132-2)*20+CD132)</f>
        <v>16328</v>
      </c>
      <c r="CK132" s="14" t="s">
        <v>21</v>
      </c>
      <c r="CL132" s="14">
        <f>INDEX(属性投放!$BC$6:$BC$85,(BY132-2)*20+CD132)</f>
        <v>25</v>
      </c>
      <c r="CM132" s="14" t="s">
        <v>22</v>
      </c>
      <c r="CN132" s="14">
        <f>INDEX(属性投放!$BD$6:$BD$85,(BY132-2)*20+CD132)</f>
        <v>13</v>
      </c>
      <c r="CO132" s="14" t="s">
        <v>510</v>
      </c>
      <c r="CP132" s="14">
        <f>INDEX(属性投放!$BE$6:$BE$85,(BY132-2)*20+CD132)</f>
        <v>200</v>
      </c>
      <c r="CS132" s="13">
        <v>128</v>
      </c>
      <c r="CT132" s="13">
        <f t="shared" si="191"/>
        <v>3</v>
      </c>
      <c r="CU132" s="13">
        <f t="shared" si="192"/>
        <v>24</v>
      </c>
      <c r="CV132" s="14">
        <f t="shared" si="193"/>
        <v>4</v>
      </c>
      <c r="CW132" s="14">
        <f t="shared" si="194"/>
        <v>1102003</v>
      </c>
      <c r="CX132" s="14" t="str">
        <f>INDEX($O$6:$O$50,CT132)&amp;"-"&amp;INDEX(属性投放!$AB$7:$AB$50,CZ132)&amp;"-魂火-"&amp;DB132</f>
        <v>典韦-大叫唤+1-魂火-3</v>
      </c>
      <c r="CY132" s="25" t="s">
        <v>142</v>
      </c>
      <c r="CZ132" s="14">
        <f>INDEX(属性投放!$AM$7:$AM$58,CU132)</f>
        <v>11</v>
      </c>
      <c r="DA132" s="14" t="s">
        <v>537</v>
      </c>
      <c r="DB132" s="14">
        <f>INDEX(属性投放!$AN$7:$AN$58,CU132)</f>
        <v>3</v>
      </c>
      <c r="DC132" s="14">
        <f t="shared" si="176"/>
        <v>24</v>
      </c>
      <c r="DD132" s="14">
        <f>INDEX(属性投放!$AO$7:$AO$58,DC132)</f>
        <v>78</v>
      </c>
      <c r="DE132" s="14" t="s">
        <v>538</v>
      </c>
      <c r="DF132" s="14">
        <f>INDEX(属性投放!$BK$6:$BK$85,(CV132-2)*20+CZ132)</f>
        <v>170</v>
      </c>
      <c r="DG132" s="14">
        <f>SUMIFS(DF$5:DF132,$CT$5:$CT132,"="&amp;$CT132)</f>
        <v>2080</v>
      </c>
      <c r="DH132" s="14" t="s">
        <v>539</v>
      </c>
      <c r="DI132" s="14">
        <f>INDEX(属性投放!$BL$6:$BL$85,(CV132-2)*20+CZ132)</f>
        <v>85</v>
      </c>
      <c r="DJ132" s="14">
        <f>SUMIFS(DI$5:DI132,$CT$5:$CT132,"="&amp;$CT132)</f>
        <v>1045</v>
      </c>
      <c r="DK132" s="14" t="s">
        <v>540</v>
      </c>
      <c r="DL132" s="14">
        <f>INDEX(属性投放!$BM$6:$BM$85,(CV132-2)*20+CZ132)</f>
        <v>1530</v>
      </c>
      <c r="DM132" s="14">
        <f>SUMIFS(DL$5:DL132,$CT$5:$CT132,"="&amp;$CT132)</f>
        <v>16910</v>
      </c>
      <c r="DR132" s="14">
        <f t="shared" si="177"/>
        <v>1102007</v>
      </c>
      <c r="DS132" s="14" t="str">
        <f t="shared" si="178"/>
        <v>天使缇娜8突</v>
      </c>
      <c r="DT132" s="14">
        <f t="shared" si="195"/>
        <v>7</v>
      </c>
      <c r="DU132" s="14">
        <f t="shared" si="196"/>
        <v>6</v>
      </c>
      <c r="DV132" s="14">
        <f t="shared" si="197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INDEX(属性投放!$AX$6:$AX$85,(卡牌属性!DW132-2)*20+卡牌属性!DX132)</f>
        <v>5</v>
      </c>
      <c r="EA132" s="14">
        <f>INDEX(属性投放!BQ$6:BQ$85,卡牌属性!$DY132)</f>
        <v>125</v>
      </c>
      <c r="EB132" s="14">
        <f>INDEX(属性投放!BR$6:BR$85,卡牌属性!$DY132)</f>
        <v>63</v>
      </c>
      <c r="EC132" s="14">
        <f>INDEX(属性投放!BS$6:BS$85,卡牌属性!$DY132)</f>
        <v>1000</v>
      </c>
      <c r="ED132" s="14">
        <f t="shared" si="301"/>
        <v>1813</v>
      </c>
      <c r="EE132" s="14">
        <f t="shared" si="302"/>
        <v>1966</v>
      </c>
      <c r="EF132" s="14">
        <f t="shared" si="303"/>
        <v>2160</v>
      </c>
      <c r="EG132" s="14">
        <f t="shared" si="304"/>
        <v>2160</v>
      </c>
      <c r="EH132" s="14">
        <f t="shared" si="305"/>
        <v>2490</v>
      </c>
      <c r="EI132" s="14">
        <f t="shared" si="306"/>
        <v>725</v>
      </c>
      <c r="EJ132" s="14">
        <f t="shared" si="307"/>
        <v>870</v>
      </c>
      <c r="EK132" s="14">
        <f t="shared" si="308"/>
        <v>870</v>
      </c>
      <c r="EL132" s="14">
        <f t="shared" si="309"/>
        <v>946</v>
      </c>
      <c r="EM132" s="14">
        <f t="shared" si="310"/>
        <v>1044</v>
      </c>
      <c r="EN132" s="14">
        <f t="shared" si="311"/>
        <v>9882</v>
      </c>
      <c r="EO132" s="14">
        <f t="shared" si="312"/>
        <v>11878</v>
      </c>
      <c r="EP132" s="14">
        <f t="shared" si="313"/>
        <v>11878</v>
      </c>
      <c r="EQ132" s="14">
        <f t="shared" si="314"/>
        <v>12770</v>
      </c>
      <c r="ER132" s="14">
        <f t="shared" si="315"/>
        <v>13920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128</v>
      </c>
      <c r="FD132" s="14">
        <f>INDEX(属性偏向!$U$4:$U$243,(卡牌属性!$DV132-1+FD$3)*20+卡牌属性!$DX132)</f>
        <v>200</v>
      </c>
      <c r="FE132" s="14">
        <f>INDEX(属性偏向!$U$4:$U$243,(卡牌属性!$DV132-1+FE$3)*20+卡牌属性!$DX132)</f>
        <v>200</v>
      </c>
      <c r="FF132" s="14">
        <f>INDEX(属性偏向!$U$4:$U$243,(卡牌属性!$DV132-1+FF$3)*20+卡牌属性!$DX132)</f>
        <v>224</v>
      </c>
      <c r="FG132" s="14">
        <f>INDEX(属性偏向!$U$4:$U$243,(卡牌属性!$DV132-1+FG$3)*20+卡牌属性!$DX132)</f>
        <v>240</v>
      </c>
      <c r="FH132" s="14">
        <f>INDEX(属性投放!$BQ$6:$BQ$85,(卡牌属性!$DW132-2)*20+卡牌属性!$DX132)</f>
        <v>125</v>
      </c>
      <c r="FI132" s="14">
        <f>INDEX(属性投放!$BQ$6:$BQ$85,(卡牌属性!$DW132-2)*20+卡牌属性!$DX132)</f>
        <v>125</v>
      </c>
      <c r="FJ132" s="14">
        <f>INDEX(属性投放!$BQ$6:$BQ$85,(卡牌属性!$DW132-2)*20+卡牌属性!$DX132)</f>
        <v>125</v>
      </c>
      <c r="FK132" s="14">
        <f>INDEX(属性投放!$BQ$6:$BQ$85,(卡牌属性!$DW132-2)*20+卡牌属性!$DX132)</f>
        <v>125</v>
      </c>
      <c r="FL132" s="14">
        <f>INDEX(属性投放!$BQ$6:$BQ$85,(卡牌属性!$DW132-2)*20+卡牌属性!$DX132)</f>
        <v>125</v>
      </c>
      <c r="FM132" s="14">
        <f>INDEX(属性投放!$BR$6:$BR$85,(卡牌属性!$DW132-2)*20+卡牌属性!$DX132)</f>
        <v>63</v>
      </c>
      <c r="FN132" s="14">
        <f>INDEX(属性投放!$BR$6:$BR$85,(卡牌属性!$DW132-2)*20+卡牌属性!$DX132)</f>
        <v>63</v>
      </c>
      <c r="FO132" s="14">
        <f>INDEX(属性投放!$BR$6:$BR$85,(卡牌属性!$DW132-2)*20+卡牌属性!$DX132)</f>
        <v>63</v>
      </c>
      <c r="FP132" s="14">
        <f>INDEX(属性投放!$BR$6:$BR$85,(卡牌属性!$DW132-2)*20+卡牌属性!$DX132)</f>
        <v>63</v>
      </c>
      <c r="FQ132" s="14">
        <f>INDEX(属性投放!$BR$6:$BR$85,(卡牌属性!$DW132-2)*20+卡牌属性!$DX132)</f>
        <v>63</v>
      </c>
      <c r="FR132" s="14">
        <f>INDEX(属性投放!$BS$6:$BS$85,(卡牌属性!$DW132-2)*20+卡牌属性!$DX132)</f>
        <v>1000</v>
      </c>
      <c r="FS132" s="14">
        <f>INDEX(属性投放!$BS$6:$BS$85,(卡牌属性!$DW132-2)*20+卡牌属性!$DX132)</f>
        <v>1000</v>
      </c>
      <c r="FT132" s="14">
        <f>INDEX(属性投放!$BS$6:$BS$85,(卡牌属性!$DW132-2)*20+卡牌属性!$DX132)</f>
        <v>1000</v>
      </c>
      <c r="FU132" s="14">
        <f>INDEX(属性投放!$BS$6:$BS$85,(卡牌属性!$DW132-2)*20+卡牌属性!$DX132)</f>
        <v>1000</v>
      </c>
      <c r="FV132" s="14">
        <f>INDEX(属性投放!$BS$6:$BS$85,(卡牌属性!$DW132-2)*20+卡牌属性!$DX132)</f>
        <v>1000</v>
      </c>
      <c r="FZ132" s="13">
        <v>128</v>
      </c>
      <c r="GA132" s="13">
        <f t="shared" si="291"/>
        <v>26</v>
      </c>
      <c r="GB132" s="14">
        <f t="shared" si="198"/>
        <v>1102028</v>
      </c>
      <c r="GC132" s="14" t="s">
        <v>1187</v>
      </c>
      <c r="GD132" s="14">
        <f t="shared" si="265"/>
        <v>3</v>
      </c>
      <c r="GE132" s="14" t="str">
        <f t="shared" si="266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MATCH(HC132,属性投放!$AO$6:$AO$58,1)-1</f>
        <v>44</v>
      </c>
      <c r="HF132" s="13">
        <f>MATCH(HC132-1,属性投放!$AE$6:$AE$26,1)</f>
        <v>18</v>
      </c>
      <c r="HG132" s="13" t="str">
        <f>INDEX(属性投放!$AB$7:$AB$26,卡牌属性!HF132)</f>
        <v>大焦热+2</v>
      </c>
      <c r="HH132" s="14">
        <f t="shared" si="200"/>
        <v>9243</v>
      </c>
      <c r="HI132" s="14">
        <f t="shared" si="201"/>
        <v>4028</v>
      </c>
      <c r="HJ132" s="14">
        <f t="shared" si="202"/>
        <v>73134</v>
      </c>
      <c r="HK132" s="14">
        <f t="shared" si="203"/>
        <v>50</v>
      </c>
      <c r="HL132" s="14">
        <f t="shared" si="204"/>
        <v>18</v>
      </c>
      <c r="HM132" s="14">
        <f t="shared" si="205"/>
        <v>350</v>
      </c>
      <c r="HN132" s="14">
        <f>HH132+HK132*($HC132-INDEX(属性投放!$AE$6:$AE$26,卡牌属性!$HF132))</f>
        <v>9393</v>
      </c>
      <c r="HO132" s="14">
        <f>HI132+HL132*($HC132-INDEX(属性投放!$AE$6:$AE$26,卡牌属性!$HF132))</f>
        <v>4082</v>
      </c>
      <c r="HP132" s="14">
        <f>HJ132+HM132*($HC132-INDEX(属性投放!$AE$6:$AE$26,卡牌属性!$HF132))</f>
        <v>74184</v>
      </c>
      <c r="HQ132" s="14">
        <f t="shared" si="206"/>
        <v>10885</v>
      </c>
      <c r="HR132" s="14">
        <f t="shared" si="207"/>
        <v>5452</v>
      </c>
      <c r="HS132" s="14">
        <f t="shared" si="208"/>
        <v>104285</v>
      </c>
      <c r="HT132" s="14">
        <f>IF(COUNTIF(属性投放!$AO$7:$AO$58,"="&amp;卡牌属性!HC132)&gt;0,卡牌属性!HE132,0)</f>
        <v>44</v>
      </c>
      <c r="HU132" s="14">
        <f t="shared" si="209"/>
        <v>750</v>
      </c>
      <c r="HV132" s="14">
        <f t="shared" si="210"/>
        <v>375</v>
      </c>
      <c r="HW132" s="14">
        <f t="shared" si="211"/>
        <v>7500</v>
      </c>
      <c r="HX132" s="14">
        <f>IF(COUNTIF(属性投放!$AE$6:$AE$26,"="&amp;卡牌属性!HC132)&gt;0,卡牌属性!HF132,0)</f>
        <v>0</v>
      </c>
      <c r="HY132" s="14">
        <f t="shared" si="212"/>
        <v>0</v>
      </c>
      <c r="HZ132" s="14">
        <f t="shared" si="213"/>
        <v>0</v>
      </c>
      <c r="IA132" s="14">
        <f t="shared" si="214"/>
        <v>0</v>
      </c>
      <c r="IB132" s="14">
        <f t="shared" si="215"/>
        <v>50</v>
      </c>
      <c r="IC132" s="14">
        <f t="shared" si="216"/>
        <v>18</v>
      </c>
      <c r="ID132" s="14">
        <f t="shared" si="217"/>
        <v>350</v>
      </c>
      <c r="IE132" s="14">
        <f t="shared" si="218"/>
        <v>20278</v>
      </c>
      <c r="IF132" s="14">
        <f t="shared" si="219"/>
        <v>9534</v>
      </c>
      <c r="IG132" s="14">
        <f t="shared" si="220"/>
        <v>178469</v>
      </c>
      <c r="IH132" s="14">
        <f t="shared" si="221"/>
        <v>1210</v>
      </c>
      <c r="II132" s="14">
        <f t="shared" si="222"/>
        <v>22500</v>
      </c>
      <c r="IJ132" s="14">
        <f t="shared" si="223"/>
        <v>0</v>
      </c>
      <c r="IK132" s="14">
        <f t="shared" si="224"/>
        <v>571929</v>
      </c>
      <c r="IL132" s="17">
        <f t="shared" si="225"/>
        <v>2.1156472219453814E-3</v>
      </c>
      <c r="IM132" s="17">
        <f t="shared" si="226"/>
        <v>3.9340547515513288E-2</v>
      </c>
      <c r="IN132" s="17">
        <f t="shared" si="227"/>
        <v>0</v>
      </c>
      <c r="IO132" s="23">
        <f>SUM(IH$5:IH132)</f>
        <v>85944</v>
      </c>
      <c r="IP132" s="14">
        <f>SUM(II$5:II132)</f>
        <v>322175</v>
      </c>
      <c r="IQ132" s="14">
        <f>SUM(IJ$5:IJ132)</f>
        <v>132140</v>
      </c>
      <c r="IR132" s="17">
        <f t="shared" si="228"/>
        <v>0.15027040069658995</v>
      </c>
      <c r="IS132" s="17">
        <f t="shared" si="229"/>
        <v>0.56331292870268868</v>
      </c>
      <c r="IT132" s="17">
        <f t="shared" si="230"/>
        <v>0.23104266438666338</v>
      </c>
      <c r="IW132" s="13">
        <v>128</v>
      </c>
      <c r="IX132" s="14">
        <f>MATCH(IW132-1,属性投放!$T$6:$T$66,1)</f>
        <v>36</v>
      </c>
      <c r="IY132" s="14">
        <f>MATCH(IW132-1,属性投放!$AD$7:$AD$26,1)</f>
        <v>16</v>
      </c>
      <c r="IZ132" s="14" t="str">
        <f>INDEX(属性投放!$AB$7:$AB$26,IY132)</f>
        <v>大焦热</v>
      </c>
      <c r="JA132" s="14">
        <f t="shared" si="231"/>
        <v>9545</v>
      </c>
      <c r="JB132" s="14">
        <f t="shared" si="232"/>
        <v>4739</v>
      </c>
      <c r="JC132" s="14">
        <f t="shared" si="233"/>
        <v>87226</v>
      </c>
      <c r="JD132" s="14">
        <f t="shared" si="234"/>
        <v>235</v>
      </c>
      <c r="JE132" s="14">
        <f t="shared" si="235"/>
        <v>117</v>
      </c>
      <c r="JF132" s="14">
        <f t="shared" si="236"/>
        <v>2346</v>
      </c>
      <c r="JG132" s="14">
        <f>INDEX(属性投放!$DC$6:$DC$85,卡牌属性!IY132)</f>
        <v>110</v>
      </c>
      <c r="JH132" s="14">
        <f t="shared" si="237"/>
        <v>13775</v>
      </c>
      <c r="JI132" s="14">
        <f t="shared" si="238"/>
        <v>6845</v>
      </c>
      <c r="JJ132" s="14">
        <f t="shared" si="239"/>
        <v>129454</v>
      </c>
      <c r="JK132" s="14">
        <f t="shared" si="240"/>
        <v>266779</v>
      </c>
    </row>
    <row r="133" spans="31:271" ht="16.5" x14ac:dyDescent="0.2">
      <c r="AE133" s="13">
        <v>129</v>
      </c>
      <c r="AF133" s="13">
        <f t="shared" si="188"/>
        <v>7</v>
      </c>
      <c r="AG133" s="13">
        <f t="shared" ref="AG133:AG196" si="316">INDEX($D$6:$D$43,AF133)</f>
        <v>4</v>
      </c>
      <c r="AH133" s="13"/>
      <c r="AI133" s="13"/>
      <c r="AJ133" s="14">
        <f t="shared" ref="AJ133:AJ196" si="317">INDEX($A$5:$A$43,AF133+1)</f>
        <v>1101007</v>
      </c>
      <c r="AK133" s="14" t="str">
        <f t="shared" ref="AK133:AK196" si="318">INDEX($B$5:$B$43,MATCH(AJ133,$A$5:$A$43,0))&amp;AN133&amp;"突"</f>
        <v>战斗曹焱兵9突</v>
      </c>
      <c r="AL133" s="25" t="s">
        <v>142</v>
      </c>
      <c r="AM133" s="14">
        <v>1</v>
      </c>
      <c r="AN133" s="14">
        <f t="shared" ref="AN133:AN196" si="319">AE133-INDEX($F$5:$F$43,AF133)</f>
        <v>9</v>
      </c>
      <c r="AO133" s="14">
        <f>INDEX(属性投放!$DF$6:$DF$85,(卡牌属性!AG133-2)*20+卡牌属性!AN133)</f>
        <v>2312</v>
      </c>
      <c r="AP133" s="14">
        <f t="shared" si="295"/>
        <v>2312</v>
      </c>
      <c r="AQ133" s="14">
        <f t="shared" si="295"/>
        <v>2312</v>
      </c>
      <c r="AR133" s="14">
        <f t="shared" si="295"/>
        <v>2312</v>
      </c>
      <c r="AS133" s="14">
        <f t="shared" si="295"/>
        <v>2312</v>
      </c>
      <c r="AT133" s="14">
        <f>INDEX(属性投放!$DG$6:$DG$85,(卡牌属性!AG133-2)*20+卡牌属性!AN133)</f>
        <v>1085</v>
      </c>
      <c r="AU133" s="14">
        <f t="shared" si="296"/>
        <v>1085</v>
      </c>
      <c r="AV133" s="14">
        <f t="shared" si="296"/>
        <v>1085</v>
      </c>
      <c r="AW133" s="14">
        <f t="shared" si="296"/>
        <v>1085</v>
      </c>
      <c r="AX133" s="14">
        <f t="shared" si="296"/>
        <v>1085</v>
      </c>
      <c r="AY133" s="14">
        <f>INDEX(属性投放!$DH$6:$DH$85,(卡牌属性!AG133-2)*20+卡牌属性!AN133)</f>
        <v>15256</v>
      </c>
      <c r="AZ133" s="14">
        <f t="shared" si="297"/>
        <v>15256</v>
      </c>
      <c r="BA133" s="14">
        <f t="shared" si="297"/>
        <v>15256</v>
      </c>
      <c r="BB133" s="14">
        <f t="shared" si="297"/>
        <v>15256</v>
      </c>
      <c r="BC133" s="14">
        <f t="shared" si="297"/>
        <v>15256</v>
      </c>
      <c r="BD133" s="14">
        <f>INDEX(属性投放!$DL$6:$DL$85,(卡牌属性!AG133-2)*20+卡牌属性!AN133)</f>
        <v>58</v>
      </c>
      <c r="BE133" s="14">
        <f t="shared" si="298"/>
        <v>58</v>
      </c>
      <c r="BF133" s="14">
        <f t="shared" si="298"/>
        <v>58</v>
      </c>
      <c r="BG133" s="14">
        <f t="shared" si="298"/>
        <v>58</v>
      </c>
      <c r="BH133" s="14">
        <f t="shared" si="298"/>
        <v>58</v>
      </c>
      <c r="BI133" s="14">
        <f>INDEX(属性投放!$DM$6:$DM$85,(卡牌属性!AG133-2)*20+卡牌属性!AN133)</f>
        <v>29</v>
      </c>
      <c r="BJ133" s="14">
        <f t="shared" si="299"/>
        <v>29</v>
      </c>
      <c r="BK133" s="14">
        <f t="shared" si="299"/>
        <v>29</v>
      </c>
      <c r="BL133" s="14">
        <f t="shared" si="299"/>
        <v>29</v>
      </c>
      <c r="BM133" s="14">
        <f t="shared" si="299"/>
        <v>29</v>
      </c>
      <c r="BN133" s="14">
        <f>INDEX(属性投放!$DN$6:$DN$85,(卡牌属性!AG133-2)*20+卡牌属性!AN133)</f>
        <v>461</v>
      </c>
      <c r="BO133" s="14">
        <f t="shared" si="300"/>
        <v>461</v>
      </c>
      <c r="BP133" s="14">
        <f t="shared" si="300"/>
        <v>461</v>
      </c>
      <c r="BQ133" s="14">
        <f t="shared" si="300"/>
        <v>461</v>
      </c>
      <c r="BR133" s="14">
        <f t="shared" si="300"/>
        <v>461</v>
      </c>
      <c r="BW133" s="13">
        <v>129</v>
      </c>
      <c r="BX133" s="13">
        <f t="shared" ref="BX133:BX196" si="320">MATCH(BW133-1,$S$5:$S$43,1)</f>
        <v>7</v>
      </c>
      <c r="BY133" s="14">
        <f t="shared" ref="BY133:BY196" si="321">INDEX($Q$6:$Q$43,BX133)</f>
        <v>4</v>
      </c>
      <c r="BZ133" s="14">
        <f t="shared" si="189"/>
        <v>1102007</v>
      </c>
      <c r="CA133" s="14" t="str">
        <f t="shared" si="190"/>
        <v>天使缇娜9突</v>
      </c>
      <c r="CB133" s="25" t="s">
        <v>142</v>
      </c>
      <c r="CC133" s="14">
        <v>2</v>
      </c>
      <c r="CD133" s="14">
        <f t="shared" ref="CD133:CD196" si="322">BW133-INDEX($S$5:$S$43,BX133)</f>
        <v>9</v>
      </c>
      <c r="CE133" s="14" t="s">
        <v>21</v>
      </c>
      <c r="CF133" s="14">
        <f>INDEX(属性投放!$AZ$6:$AZ$85,(BY133-2)*20+CD133)</f>
        <v>2898</v>
      </c>
      <c r="CG133" s="14" t="s">
        <v>22</v>
      </c>
      <c r="CH133" s="14">
        <f>INDEX(属性投放!$BA$6:$BA$85,(BY133-2)*20+CD133)</f>
        <v>1394</v>
      </c>
      <c r="CI133" s="14" t="s">
        <v>510</v>
      </c>
      <c r="CJ133" s="14">
        <f>INDEX(属性投放!$BB$6:$BB$85,(BY133-2)*20+CD133)</f>
        <v>19928</v>
      </c>
      <c r="CK133" s="14" t="s">
        <v>21</v>
      </c>
      <c r="CL133" s="14">
        <f>INDEX(属性投放!$BC$6:$BC$85,(BY133-2)*20+CD133)</f>
        <v>25</v>
      </c>
      <c r="CM133" s="14" t="s">
        <v>22</v>
      </c>
      <c r="CN133" s="14">
        <f>INDEX(属性投放!$BD$6:$BD$85,(BY133-2)*20+CD133)</f>
        <v>13</v>
      </c>
      <c r="CO133" s="14" t="s">
        <v>510</v>
      </c>
      <c r="CP133" s="14">
        <f>INDEX(属性投放!$BE$6:$BE$85,(BY133-2)*20+CD133)</f>
        <v>200</v>
      </c>
      <c r="CS133" s="13">
        <v>129</v>
      </c>
      <c r="CT133" s="13">
        <f t="shared" si="191"/>
        <v>3</v>
      </c>
      <c r="CU133" s="13">
        <f t="shared" si="192"/>
        <v>25</v>
      </c>
      <c r="CV133" s="14">
        <f t="shared" si="193"/>
        <v>4</v>
      </c>
      <c r="CW133" s="14">
        <f t="shared" si="194"/>
        <v>1102003</v>
      </c>
      <c r="CX133" s="14" t="str">
        <f>INDEX($O$6:$O$50,CT133)&amp;"-"&amp;INDEX(属性投放!$AB$7:$AB$50,CZ133)&amp;"-魂火-"&amp;DB133</f>
        <v>典韦-大叫唤+2-魂火-1</v>
      </c>
      <c r="CY133" s="25" t="s">
        <v>142</v>
      </c>
      <c r="CZ133" s="14">
        <f>INDEX(属性投放!$AM$7:$AM$58,CU133)</f>
        <v>12</v>
      </c>
      <c r="DA133" s="14" t="s">
        <v>537</v>
      </c>
      <c r="DB133" s="14">
        <f>INDEX(属性投放!$AN$7:$AN$58,CU133)</f>
        <v>1</v>
      </c>
      <c r="DC133" s="14">
        <f t="shared" ref="DC133:DC196" si="323">CU133</f>
        <v>25</v>
      </c>
      <c r="DD133" s="14">
        <f>INDEX(属性投放!$AO$7:$AO$58,DC133)</f>
        <v>80</v>
      </c>
      <c r="DE133" s="14" t="s">
        <v>538</v>
      </c>
      <c r="DF133" s="14">
        <f>INDEX(属性投放!$BK$6:$BK$85,(CV133-2)*20+CZ133)</f>
        <v>225</v>
      </c>
      <c r="DG133" s="14">
        <f>SUMIFS(DF$5:DF133,$CT$5:$CT133,"="&amp;$CT133)</f>
        <v>2305</v>
      </c>
      <c r="DH133" s="14" t="s">
        <v>539</v>
      </c>
      <c r="DI133" s="14">
        <f>INDEX(属性投放!$BL$6:$BL$85,(CV133-2)*20+CZ133)</f>
        <v>113</v>
      </c>
      <c r="DJ133" s="14">
        <f>SUMIFS(DI$5:DI133,$CT$5:$CT133,"="&amp;$CT133)</f>
        <v>1158</v>
      </c>
      <c r="DK133" s="14" t="s">
        <v>540</v>
      </c>
      <c r="DL133" s="14">
        <f>INDEX(属性投放!$BM$6:$BM$85,(CV133-2)*20+CZ133)</f>
        <v>2025</v>
      </c>
      <c r="DM133" s="14">
        <f>SUMIFS(DL$5:DL133,$CT$5:$CT133,"="&amp;$CT133)</f>
        <v>18935</v>
      </c>
      <c r="DR133" s="14">
        <f t="shared" ref="DR133:DR196" si="324">BZ133</f>
        <v>1102007</v>
      </c>
      <c r="DS133" s="14" t="str">
        <f t="shared" ref="DS133:DS196" si="325">CA133</f>
        <v>天使缇娜9突</v>
      </c>
      <c r="DT133" s="14">
        <f t="shared" si="195"/>
        <v>7</v>
      </c>
      <c r="DU133" s="14">
        <f t="shared" si="196"/>
        <v>6</v>
      </c>
      <c r="DV133" s="14">
        <f t="shared" si="197"/>
        <v>6</v>
      </c>
      <c r="DW133" s="14">
        <f t="shared" ref="DW133:DW196" si="326">BY133</f>
        <v>4</v>
      </c>
      <c r="DX133" s="14">
        <f t="shared" ref="DX133:DX196" si="327">CD133</f>
        <v>9</v>
      </c>
      <c r="DY133" s="14">
        <f t="shared" ref="DY133:DY196" si="328">(DW133-2)*20+DX133</f>
        <v>49</v>
      </c>
      <c r="DZ133" s="14">
        <f>INDEX(属性投放!$AX$6:$AX$85,(卡牌属性!DW133-2)*20+卡牌属性!DX133)</f>
        <v>8</v>
      </c>
      <c r="EA133" s="14">
        <f>INDEX(属性投放!BQ$6:BQ$85,卡牌属性!$DY133)</f>
        <v>200</v>
      </c>
      <c r="EB133" s="14">
        <f>INDEX(属性投放!BR$6:BR$85,卡牌属性!$DY133)</f>
        <v>100</v>
      </c>
      <c r="EC133" s="14">
        <f>INDEX(属性投放!BS$6:BS$85,卡牌属性!$DY133)</f>
        <v>1600</v>
      </c>
      <c r="ED133" s="14">
        <f t="shared" si="301"/>
        <v>2063</v>
      </c>
      <c r="EE133" s="14">
        <f t="shared" si="302"/>
        <v>2231</v>
      </c>
      <c r="EF133" s="14">
        <f t="shared" si="303"/>
        <v>2435</v>
      </c>
      <c r="EG133" s="14">
        <f t="shared" si="304"/>
        <v>2435</v>
      </c>
      <c r="EH133" s="14">
        <f t="shared" si="305"/>
        <v>2815</v>
      </c>
      <c r="EI133" s="14">
        <f t="shared" si="306"/>
        <v>828</v>
      </c>
      <c r="EJ133" s="14">
        <f t="shared" si="307"/>
        <v>998</v>
      </c>
      <c r="EK133" s="14">
        <f t="shared" si="308"/>
        <v>998</v>
      </c>
      <c r="EL133" s="14">
        <f t="shared" si="309"/>
        <v>1079</v>
      </c>
      <c r="EM133" s="14">
        <f t="shared" si="310"/>
        <v>1182</v>
      </c>
      <c r="EN133" s="14">
        <f t="shared" si="311"/>
        <v>11522</v>
      </c>
      <c r="EO133" s="14">
        <f t="shared" si="312"/>
        <v>13878</v>
      </c>
      <c r="EP133" s="14">
        <f t="shared" si="313"/>
        <v>13878</v>
      </c>
      <c r="EQ133" s="14">
        <f t="shared" si="314"/>
        <v>14890</v>
      </c>
      <c r="ER133" s="14">
        <f t="shared" si="315"/>
        <v>16120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128</v>
      </c>
      <c r="FD133" s="14">
        <f>INDEX(属性偏向!$U$4:$U$243,(卡牌属性!$DV133-1+FD$3)*20+卡牌属性!$DX133)</f>
        <v>200</v>
      </c>
      <c r="FE133" s="14">
        <f>INDEX(属性偏向!$U$4:$U$243,(卡牌属性!$DV133-1+FE$3)*20+卡牌属性!$DX133)</f>
        <v>200</v>
      </c>
      <c r="FF133" s="14">
        <f>INDEX(属性偏向!$U$4:$U$243,(卡牌属性!$DV133-1+FF$3)*20+卡牌属性!$DX133)</f>
        <v>224</v>
      </c>
      <c r="FG133" s="14">
        <f>INDEX(属性偏向!$U$4:$U$243,(卡牌属性!$DV133-1+FG$3)*20+卡牌属性!$DX133)</f>
        <v>240</v>
      </c>
      <c r="FH133" s="14">
        <f>INDEX(属性投放!$BQ$6:$BQ$85,(卡牌属性!$DW133-2)*20+卡牌属性!$DX133)</f>
        <v>200</v>
      </c>
      <c r="FI133" s="14">
        <f>INDEX(属性投放!$BQ$6:$BQ$85,(卡牌属性!$DW133-2)*20+卡牌属性!$DX133)</f>
        <v>200</v>
      </c>
      <c r="FJ133" s="14">
        <f>INDEX(属性投放!$BQ$6:$BQ$85,(卡牌属性!$DW133-2)*20+卡牌属性!$DX133)</f>
        <v>200</v>
      </c>
      <c r="FK133" s="14">
        <f>INDEX(属性投放!$BQ$6:$BQ$85,(卡牌属性!$DW133-2)*20+卡牌属性!$DX133)</f>
        <v>200</v>
      </c>
      <c r="FL133" s="14">
        <f>INDEX(属性投放!$BQ$6:$BQ$85,(卡牌属性!$DW133-2)*20+卡牌属性!$DX133)</f>
        <v>200</v>
      </c>
      <c r="FM133" s="14">
        <f>INDEX(属性投放!$BR$6:$BR$85,(卡牌属性!$DW133-2)*20+卡牌属性!$DX133)</f>
        <v>100</v>
      </c>
      <c r="FN133" s="14">
        <f>INDEX(属性投放!$BR$6:$BR$85,(卡牌属性!$DW133-2)*20+卡牌属性!$DX133)</f>
        <v>100</v>
      </c>
      <c r="FO133" s="14">
        <f>INDEX(属性投放!$BR$6:$BR$85,(卡牌属性!$DW133-2)*20+卡牌属性!$DX133)</f>
        <v>100</v>
      </c>
      <c r="FP133" s="14">
        <f>INDEX(属性投放!$BR$6:$BR$85,(卡牌属性!$DW133-2)*20+卡牌属性!$DX133)</f>
        <v>100</v>
      </c>
      <c r="FQ133" s="14">
        <f>INDEX(属性投放!$BR$6:$BR$85,(卡牌属性!$DW133-2)*20+卡牌属性!$DX133)</f>
        <v>100</v>
      </c>
      <c r="FR133" s="14">
        <f>INDEX(属性投放!$BS$6:$BS$85,(卡牌属性!$DW133-2)*20+卡牌属性!$DX133)</f>
        <v>1600</v>
      </c>
      <c r="FS133" s="14">
        <f>INDEX(属性投放!$BS$6:$BS$85,(卡牌属性!$DW133-2)*20+卡牌属性!$DX133)</f>
        <v>1600</v>
      </c>
      <c r="FT133" s="14">
        <f>INDEX(属性投放!$BS$6:$BS$85,(卡牌属性!$DW133-2)*20+卡牌属性!$DX133)</f>
        <v>1600</v>
      </c>
      <c r="FU133" s="14">
        <f>INDEX(属性投放!$BS$6:$BS$85,(卡牌属性!$DW133-2)*20+卡牌属性!$DX133)</f>
        <v>1600</v>
      </c>
      <c r="FV133" s="14">
        <f>INDEX(属性投放!$BS$6:$BS$85,(卡牌属性!$DW133-2)*20+卡牌属性!$DX133)</f>
        <v>1600</v>
      </c>
      <c r="FZ133" s="13">
        <v>129</v>
      </c>
      <c r="GA133" s="13">
        <f t="shared" si="291"/>
        <v>26</v>
      </c>
      <c r="GB133" s="14">
        <f t="shared" si="198"/>
        <v>1102028</v>
      </c>
      <c r="GC133" s="14" t="s">
        <v>1187</v>
      </c>
      <c r="GD133" s="14">
        <f t="shared" ref="GD133:GD144" si="329">FZ133-(GA133-1)*5</f>
        <v>4</v>
      </c>
      <c r="GE133" s="14" t="str">
        <f t="shared" ref="GE133:GE144" si="330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MATCH(HC133,属性投放!$AO$6:$AO$58,1)-1</f>
        <v>44</v>
      </c>
      <c r="HF133" s="13">
        <f>MATCH(HC133-1,属性投放!$AE$6:$AE$26,1)</f>
        <v>18</v>
      </c>
      <c r="HG133" s="13" t="str">
        <f>INDEX(属性投放!$AB$7:$AB$26,卡牌属性!HF133)</f>
        <v>大焦热+2</v>
      </c>
      <c r="HH133" s="14">
        <f t="shared" si="200"/>
        <v>9243</v>
      </c>
      <c r="HI133" s="14">
        <f t="shared" si="201"/>
        <v>4028</v>
      </c>
      <c r="HJ133" s="14">
        <f t="shared" si="202"/>
        <v>73134</v>
      </c>
      <c r="HK133" s="14">
        <f t="shared" si="203"/>
        <v>50</v>
      </c>
      <c r="HL133" s="14">
        <f t="shared" si="204"/>
        <v>18</v>
      </c>
      <c r="HM133" s="14">
        <f t="shared" si="205"/>
        <v>350</v>
      </c>
      <c r="HN133" s="14">
        <f>HH133+HK133*($HC133-INDEX(属性投放!$AE$6:$AE$26,卡牌属性!$HF133))</f>
        <v>9443</v>
      </c>
      <c r="HO133" s="14">
        <f>HI133+HL133*($HC133-INDEX(属性投放!$AE$6:$AE$26,卡牌属性!$HF133))</f>
        <v>4100</v>
      </c>
      <c r="HP133" s="14">
        <f>HJ133+HM133*($HC133-INDEX(属性投放!$AE$6:$AE$26,卡牌属性!$HF133))</f>
        <v>74534</v>
      </c>
      <c r="HQ133" s="14">
        <f t="shared" si="206"/>
        <v>10885</v>
      </c>
      <c r="HR133" s="14">
        <f t="shared" si="207"/>
        <v>5452</v>
      </c>
      <c r="HS133" s="14">
        <f t="shared" si="208"/>
        <v>104285</v>
      </c>
      <c r="HT133" s="14">
        <f>IF(COUNTIF(属性投放!$AO$7:$AO$58,"="&amp;卡牌属性!HC133)&gt;0,卡牌属性!HE133,0)</f>
        <v>0</v>
      </c>
      <c r="HU133" s="14">
        <f t="shared" si="209"/>
        <v>0</v>
      </c>
      <c r="HV133" s="14">
        <f t="shared" si="210"/>
        <v>0</v>
      </c>
      <c r="HW133" s="14">
        <f t="shared" si="211"/>
        <v>0</v>
      </c>
      <c r="HX133" s="14">
        <f>IF(COUNTIF(属性投放!$AE$6:$AE$26,"="&amp;卡牌属性!HC133)&gt;0,卡牌属性!HF133,0)</f>
        <v>0</v>
      </c>
      <c r="HY133" s="14">
        <f t="shared" si="212"/>
        <v>0</v>
      </c>
      <c r="HZ133" s="14">
        <f t="shared" si="213"/>
        <v>0</v>
      </c>
      <c r="IA133" s="14">
        <f t="shared" si="214"/>
        <v>0</v>
      </c>
      <c r="IB133" s="14">
        <f t="shared" si="215"/>
        <v>50</v>
      </c>
      <c r="IC133" s="14">
        <f t="shared" si="216"/>
        <v>18</v>
      </c>
      <c r="ID133" s="14">
        <f t="shared" si="217"/>
        <v>350</v>
      </c>
      <c r="IE133" s="14">
        <f t="shared" si="218"/>
        <v>20328</v>
      </c>
      <c r="IF133" s="14">
        <f t="shared" si="219"/>
        <v>9552</v>
      </c>
      <c r="IG133" s="14">
        <f t="shared" si="220"/>
        <v>178819</v>
      </c>
      <c r="IH133" s="14">
        <f t="shared" si="221"/>
        <v>1210</v>
      </c>
      <c r="II133" s="14">
        <f t="shared" si="222"/>
        <v>0</v>
      </c>
      <c r="IJ133" s="14">
        <f t="shared" si="223"/>
        <v>0</v>
      </c>
      <c r="IK133" s="14">
        <f t="shared" si="224"/>
        <v>573139</v>
      </c>
      <c r="IL133" s="17">
        <f t="shared" si="225"/>
        <v>2.1111807083447473E-3</v>
      </c>
      <c r="IM133" s="17">
        <f t="shared" si="226"/>
        <v>0</v>
      </c>
      <c r="IN133" s="17">
        <f t="shared" si="227"/>
        <v>0</v>
      </c>
      <c r="IO133" s="23">
        <f>SUM(IH$5:IH133)</f>
        <v>87154</v>
      </c>
      <c r="IP133" s="14">
        <f>SUM(II$5:II133)</f>
        <v>322175</v>
      </c>
      <c r="IQ133" s="14">
        <f>SUM(IJ$5:IJ133)</f>
        <v>132140</v>
      </c>
      <c r="IR133" s="17">
        <f t="shared" si="228"/>
        <v>0.15206433343394885</v>
      </c>
      <c r="IS133" s="17">
        <f t="shared" si="229"/>
        <v>0.56212367331485036</v>
      </c>
      <c r="IT133" s="17">
        <f t="shared" si="230"/>
        <v>0.23055489157080569</v>
      </c>
      <c r="IW133" s="13">
        <v>129</v>
      </c>
      <c r="IX133" s="14">
        <f>MATCH(IW133-1,属性投放!$T$6:$T$66,1)</f>
        <v>37</v>
      </c>
      <c r="IY133" s="14">
        <f>MATCH(IW133-1,属性投放!$AD$7:$AD$26,1)</f>
        <v>16</v>
      </c>
      <c r="IZ133" s="14" t="str">
        <f>INDEX(属性投放!$AB$7:$AB$26,IY133)</f>
        <v>大焦热</v>
      </c>
      <c r="JA133" s="14">
        <f t="shared" si="231"/>
        <v>9545</v>
      </c>
      <c r="JB133" s="14">
        <f t="shared" si="232"/>
        <v>4739</v>
      </c>
      <c r="JC133" s="14">
        <f t="shared" si="233"/>
        <v>87226</v>
      </c>
      <c r="JD133" s="14">
        <f t="shared" si="234"/>
        <v>235</v>
      </c>
      <c r="JE133" s="14">
        <f t="shared" si="235"/>
        <v>117</v>
      </c>
      <c r="JF133" s="14">
        <f t="shared" si="236"/>
        <v>2346</v>
      </c>
      <c r="JG133" s="14">
        <f>INDEX(属性投放!$DC$6:$DC$85,卡牌属性!IY133)</f>
        <v>110</v>
      </c>
      <c r="JH133" s="14">
        <f t="shared" si="237"/>
        <v>14010</v>
      </c>
      <c r="JI133" s="14">
        <f t="shared" si="238"/>
        <v>6962</v>
      </c>
      <c r="JJ133" s="14">
        <f t="shared" si="239"/>
        <v>131800</v>
      </c>
      <c r="JK133" s="14">
        <f t="shared" si="240"/>
        <v>271470</v>
      </c>
    </row>
    <row r="134" spans="31:271" ht="16.5" x14ac:dyDescent="0.2">
      <c r="AE134" s="13">
        <v>130</v>
      </c>
      <c r="AF134" s="13">
        <f t="shared" ref="AF134:AF197" si="331">MATCH(AE134-1,$F$5:$F$42,1)</f>
        <v>7</v>
      </c>
      <c r="AG134" s="13">
        <f t="shared" si="316"/>
        <v>4</v>
      </c>
      <c r="AH134" s="13"/>
      <c r="AI134" s="13"/>
      <c r="AJ134" s="14">
        <f t="shared" si="317"/>
        <v>1101007</v>
      </c>
      <c r="AK134" s="14" t="str">
        <f t="shared" si="318"/>
        <v>战斗曹焱兵10突</v>
      </c>
      <c r="AL134" s="25" t="s">
        <v>142</v>
      </c>
      <c r="AM134" s="14">
        <v>1</v>
      </c>
      <c r="AN134" s="14">
        <f t="shared" si="319"/>
        <v>10</v>
      </c>
      <c r="AO134" s="14">
        <f>INDEX(属性投放!$DF$6:$DF$85,(卡牌属性!AG134-2)*20+卡牌属性!AN134)</f>
        <v>3347</v>
      </c>
      <c r="AP134" s="14">
        <f t="shared" si="295"/>
        <v>3347</v>
      </c>
      <c r="AQ134" s="14">
        <f t="shared" si="295"/>
        <v>3347</v>
      </c>
      <c r="AR134" s="14">
        <f t="shared" si="295"/>
        <v>3347</v>
      </c>
      <c r="AS134" s="14">
        <f t="shared" si="295"/>
        <v>3347</v>
      </c>
      <c r="AT134" s="14">
        <f>INDEX(属性投放!$DG$6:$DG$85,(卡牌属性!AG134-2)*20+卡牌属性!AN134)</f>
        <v>1603</v>
      </c>
      <c r="AU134" s="14">
        <f t="shared" si="296"/>
        <v>1603</v>
      </c>
      <c r="AV134" s="14">
        <f t="shared" si="296"/>
        <v>1603</v>
      </c>
      <c r="AW134" s="14">
        <f t="shared" si="296"/>
        <v>1603</v>
      </c>
      <c r="AX134" s="14">
        <f t="shared" si="296"/>
        <v>1603</v>
      </c>
      <c r="AY134" s="14">
        <f>INDEX(属性投放!$DH$6:$DH$85,(卡牌属性!AG134-2)*20+卡牌属性!AN134)</f>
        <v>23487</v>
      </c>
      <c r="AZ134" s="14">
        <f t="shared" si="297"/>
        <v>23487</v>
      </c>
      <c r="BA134" s="14">
        <f t="shared" si="297"/>
        <v>23487</v>
      </c>
      <c r="BB134" s="14">
        <f t="shared" si="297"/>
        <v>23487</v>
      </c>
      <c r="BC134" s="14">
        <f t="shared" si="297"/>
        <v>23487</v>
      </c>
      <c r="BD134" s="14">
        <f>INDEX(属性投放!$DL$6:$DL$85,(卡牌属性!AG134-2)*20+卡牌属性!AN134)</f>
        <v>110</v>
      </c>
      <c r="BE134" s="14">
        <f t="shared" si="298"/>
        <v>110</v>
      </c>
      <c r="BF134" s="14">
        <f t="shared" si="298"/>
        <v>110</v>
      </c>
      <c r="BG134" s="14">
        <f t="shared" si="298"/>
        <v>110</v>
      </c>
      <c r="BH134" s="14">
        <f t="shared" si="298"/>
        <v>110</v>
      </c>
      <c r="BI134" s="14">
        <f>INDEX(属性投放!$DM$6:$DM$85,(卡牌属性!AG134-2)*20+卡牌属性!AN134)</f>
        <v>55</v>
      </c>
      <c r="BJ134" s="14">
        <f t="shared" si="299"/>
        <v>55</v>
      </c>
      <c r="BK134" s="14">
        <f t="shared" si="299"/>
        <v>55</v>
      </c>
      <c r="BL134" s="14">
        <f t="shared" si="299"/>
        <v>55</v>
      </c>
      <c r="BM134" s="14">
        <f t="shared" si="299"/>
        <v>55</v>
      </c>
      <c r="BN134" s="14">
        <f>INDEX(属性投放!$DN$6:$DN$85,(卡牌属性!AG134-2)*20+卡牌属性!AN134)</f>
        <v>988</v>
      </c>
      <c r="BO134" s="14">
        <f t="shared" si="300"/>
        <v>988</v>
      </c>
      <c r="BP134" s="14">
        <f t="shared" si="300"/>
        <v>988</v>
      </c>
      <c r="BQ134" s="14">
        <f t="shared" si="300"/>
        <v>988</v>
      </c>
      <c r="BR134" s="14">
        <f t="shared" si="300"/>
        <v>988</v>
      </c>
      <c r="BW134" s="13">
        <v>130</v>
      </c>
      <c r="BX134" s="13">
        <f t="shared" si="320"/>
        <v>7</v>
      </c>
      <c r="BY134" s="14">
        <f t="shared" si="321"/>
        <v>4</v>
      </c>
      <c r="BZ134" s="14">
        <f t="shared" ref="BZ134:BZ197" si="332">INDEX($N$6:$N$43,BX134)</f>
        <v>1102007</v>
      </c>
      <c r="CA134" s="14" t="str">
        <f t="shared" ref="CA134:CA197" si="333">INDEX($O$6:$O$43,BX134)&amp;CD134&amp;"突"</f>
        <v>天使缇娜10突</v>
      </c>
      <c r="CB134" s="25" t="s">
        <v>142</v>
      </c>
      <c r="CC134" s="14">
        <v>2</v>
      </c>
      <c r="CD134" s="14">
        <f t="shared" si="322"/>
        <v>10</v>
      </c>
      <c r="CE134" s="14" t="s">
        <v>21</v>
      </c>
      <c r="CF134" s="14">
        <f>INDEX(属性投放!$AZ$6:$AZ$85,(BY134-2)*20+CD134)</f>
        <v>3643</v>
      </c>
      <c r="CG134" s="14" t="s">
        <v>22</v>
      </c>
      <c r="CH134" s="14">
        <f>INDEX(属性投放!$BA$6:$BA$85,(BY134-2)*20+CD134)</f>
        <v>1772</v>
      </c>
      <c r="CI134" s="14" t="s">
        <v>510</v>
      </c>
      <c r="CJ134" s="14">
        <f>INDEX(属性投放!$BB$6:$BB$85,(BY134-2)*20+CD134)</f>
        <v>25888</v>
      </c>
      <c r="CK134" s="14" t="s">
        <v>21</v>
      </c>
      <c r="CL134" s="14">
        <f>INDEX(属性投放!$BC$6:$BC$85,(BY134-2)*20+CD134)</f>
        <v>30</v>
      </c>
      <c r="CM134" s="14" t="s">
        <v>22</v>
      </c>
      <c r="CN134" s="14">
        <f>INDEX(属性投放!$BD$6:$BD$85,(BY134-2)*20+CD134)</f>
        <v>15</v>
      </c>
      <c r="CO134" s="14" t="s">
        <v>510</v>
      </c>
      <c r="CP134" s="14">
        <f>INDEX(属性投放!$BE$6:$BE$85,(BY134-2)*20+CD134)</f>
        <v>270</v>
      </c>
      <c r="CS134" s="13">
        <v>130</v>
      </c>
      <c r="CT134" s="13">
        <f t="shared" ref="CT134:CT197" si="334">MATCH(CS134-1,$U$5:$U$36,1)</f>
        <v>3</v>
      </c>
      <c r="CU134" s="13">
        <f t="shared" ref="CU134:CU197" si="335">CS134-(CT134-1)*52</f>
        <v>26</v>
      </c>
      <c r="CV134" s="14">
        <f t="shared" ref="CV134:CV197" si="336">INDEX($Q$6:$Q$50,CT134)</f>
        <v>4</v>
      </c>
      <c r="CW134" s="14">
        <f t="shared" ref="CW134:CW197" si="337">INDEX($N$6:$N$50,CT134)</f>
        <v>1102003</v>
      </c>
      <c r="CX134" s="14" t="str">
        <f>INDEX($O$6:$O$50,CT134)&amp;"-"&amp;INDEX(属性投放!$AB$7:$AB$50,CZ134)&amp;"-魂火-"&amp;DB134</f>
        <v>典韦-大叫唤+2-魂火-2</v>
      </c>
      <c r="CY134" s="25" t="s">
        <v>142</v>
      </c>
      <c r="CZ134" s="14">
        <f>INDEX(属性投放!$AM$7:$AM$58,CU134)</f>
        <v>12</v>
      </c>
      <c r="DA134" s="14" t="s">
        <v>537</v>
      </c>
      <c r="DB134" s="14">
        <f>INDEX(属性投放!$AN$7:$AN$58,CU134)</f>
        <v>2</v>
      </c>
      <c r="DC134" s="14">
        <f t="shared" si="323"/>
        <v>26</v>
      </c>
      <c r="DD134" s="14">
        <f>INDEX(属性投放!$AO$7:$AO$58,DC134)</f>
        <v>83</v>
      </c>
      <c r="DE134" s="14" t="s">
        <v>538</v>
      </c>
      <c r="DF134" s="14">
        <f>INDEX(属性投放!$BK$6:$BK$85,(CV134-2)*20+CZ134)</f>
        <v>225</v>
      </c>
      <c r="DG134" s="14">
        <f>SUMIFS(DF$5:DF134,$CT$5:$CT134,"="&amp;$CT134)</f>
        <v>2530</v>
      </c>
      <c r="DH134" s="14" t="s">
        <v>539</v>
      </c>
      <c r="DI134" s="14">
        <f>INDEX(属性投放!$BL$6:$BL$85,(CV134-2)*20+CZ134)</f>
        <v>113</v>
      </c>
      <c r="DJ134" s="14">
        <f>SUMIFS(DI$5:DI134,$CT$5:$CT134,"="&amp;$CT134)</f>
        <v>1271</v>
      </c>
      <c r="DK134" s="14" t="s">
        <v>540</v>
      </c>
      <c r="DL134" s="14">
        <f>INDEX(属性投放!$BM$6:$BM$85,(CV134-2)*20+CZ134)</f>
        <v>2025</v>
      </c>
      <c r="DM134" s="14">
        <f>SUMIFS(DL$5:DL134,$CT$5:$CT134,"="&amp;$CT134)</f>
        <v>20960</v>
      </c>
      <c r="DR134" s="14">
        <f t="shared" si="324"/>
        <v>1102007</v>
      </c>
      <c r="DS134" s="14" t="str">
        <f t="shared" si="325"/>
        <v>天使缇娜10突</v>
      </c>
      <c r="DT134" s="14">
        <f t="shared" ref="DT134:DT197" si="338">INDEX(Y$6:Y$43,$BX134)</f>
        <v>7</v>
      </c>
      <c r="DU134" s="14">
        <f t="shared" ref="DU134:DU197" si="339">INDEX(Z$6:Z$43,$BX134)</f>
        <v>6</v>
      </c>
      <c r="DV134" s="14">
        <f t="shared" ref="DV134:DV197" si="340">INDEX(AA$6:AA$43,$BX134)</f>
        <v>6</v>
      </c>
      <c r="DW134" s="14">
        <f t="shared" si="326"/>
        <v>4</v>
      </c>
      <c r="DX134" s="14">
        <f t="shared" si="327"/>
        <v>10</v>
      </c>
      <c r="DY134" s="14">
        <f t="shared" si="328"/>
        <v>50</v>
      </c>
      <c r="DZ134" s="14">
        <f>INDEX(属性投放!$AX$6:$AX$85,(卡牌属性!DW134-2)*20+卡牌属性!DX134)</f>
        <v>7</v>
      </c>
      <c r="EA134" s="14">
        <f>INDEX(属性投放!BQ$6:BQ$85,卡牌属性!$DY134)</f>
        <v>200</v>
      </c>
      <c r="EB134" s="14">
        <f>INDEX(属性投放!BR$6:BR$85,卡牌属性!$DY134)</f>
        <v>100</v>
      </c>
      <c r="EC134" s="14">
        <f>INDEX(属性投放!BS$6:BS$85,卡牌属性!$DY134)</f>
        <v>1800</v>
      </c>
      <c r="ED134" s="14">
        <f t="shared" si="301"/>
        <v>2463</v>
      </c>
      <c r="EE134" s="14">
        <f t="shared" si="302"/>
        <v>2655</v>
      </c>
      <c r="EF134" s="14">
        <f t="shared" si="303"/>
        <v>2875</v>
      </c>
      <c r="EG134" s="14">
        <f t="shared" si="304"/>
        <v>2875</v>
      </c>
      <c r="EH134" s="14">
        <f t="shared" si="305"/>
        <v>3335</v>
      </c>
      <c r="EI134" s="14">
        <f t="shared" si="306"/>
        <v>992</v>
      </c>
      <c r="EJ134" s="14">
        <f t="shared" si="307"/>
        <v>1202</v>
      </c>
      <c r="EK134" s="14">
        <f t="shared" si="308"/>
        <v>1202</v>
      </c>
      <c r="EL134" s="14">
        <f t="shared" si="309"/>
        <v>1291</v>
      </c>
      <c r="EM134" s="14">
        <f t="shared" si="310"/>
        <v>1402</v>
      </c>
      <c r="EN134" s="14">
        <f t="shared" si="311"/>
        <v>14146</v>
      </c>
      <c r="EO134" s="14">
        <f t="shared" si="312"/>
        <v>17078</v>
      </c>
      <c r="EP134" s="14">
        <f t="shared" si="313"/>
        <v>17078</v>
      </c>
      <c r="EQ134" s="14">
        <f t="shared" si="314"/>
        <v>18282</v>
      </c>
      <c r="ER134" s="14">
        <f t="shared" si="315"/>
        <v>19640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189</v>
      </c>
      <c r="FD134" s="14">
        <f>INDEX(属性偏向!$U$4:$U$243,(卡牌属性!$DV134-1+FD$3)*20+卡牌属性!$DX134)</f>
        <v>270</v>
      </c>
      <c r="FE134" s="14">
        <f>INDEX(属性偏向!$U$4:$U$243,(卡牌属性!$DV134-1+FE$3)*20+卡牌属性!$DX134)</f>
        <v>270</v>
      </c>
      <c r="FF134" s="14">
        <f>INDEX(属性偏向!$U$4:$U$243,(卡牌属性!$DV134-1+FF$3)*20+卡牌属性!$DX134)</f>
        <v>315</v>
      </c>
      <c r="FG134" s="14">
        <f>INDEX(属性偏向!$U$4:$U$243,(卡牌属性!$DV134-1+FG$3)*20+卡牌属性!$DX134)</f>
        <v>360</v>
      </c>
      <c r="FH134" s="14">
        <f>INDEX(属性投放!$BQ$6:$BQ$85,(卡牌属性!$DW134-2)*20+卡牌属性!$DX134)</f>
        <v>200</v>
      </c>
      <c r="FI134" s="14">
        <f>INDEX(属性投放!$BQ$6:$BQ$85,(卡牌属性!$DW134-2)*20+卡牌属性!$DX134)</f>
        <v>200</v>
      </c>
      <c r="FJ134" s="14">
        <f>INDEX(属性投放!$BQ$6:$BQ$85,(卡牌属性!$DW134-2)*20+卡牌属性!$DX134)</f>
        <v>200</v>
      </c>
      <c r="FK134" s="14">
        <f>INDEX(属性投放!$BQ$6:$BQ$85,(卡牌属性!$DW134-2)*20+卡牌属性!$DX134)</f>
        <v>200</v>
      </c>
      <c r="FL134" s="14">
        <f>INDEX(属性投放!$BQ$6:$BQ$85,(卡牌属性!$DW134-2)*20+卡牌属性!$DX134)</f>
        <v>200</v>
      </c>
      <c r="FM134" s="14">
        <f>INDEX(属性投放!$BR$6:$BR$85,(卡牌属性!$DW134-2)*20+卡牌属性!$DX134)</f>
        <v>100</v>
      </c>
      <c r="FN134" s="14">
        <f>INDEX(属性投放!$BR$6:$BR$85,(卡牌属性!$DW134-2)*20+卡牌属性!$DX134)</f>
        <v>100</v>
      </c>
      <c r="FO134" s="14">
        <f>INDEX(属性投放!$BR$6:$BR$85,(卡牌属性!$DW134-2)*20+卡牌属性!$DX134)</f>
        <v>100</v>
      </c>
      <c r="FP134" s="14">
        <f>INDEX(属性投放!$BR$6:$BR$85,(卡牌属性!$DW134-2)*20+卡牌属性!$DX134)</f>
        <v>100</v>
      </c>
      <c r="FQ134" s="14">
        <f>INDEX(属性投放!$BR$6:$BR$85,(卡牌属性!$DW134-2)*20+卡牌属性!$DX134)</f>
        <v>100</v>
      </c>
      <c r="FR134" s="14">
        <f>INDEX(属性投放!$BS$6:$BS$85,(卡牌属性!$DW134-2)*20+卡牌属性!$DX134)</f>
        <v>1800</v>
      </c>
      <c r="FS134" s="14">
        <f>INDEX(属性投放!$BS$6:$BS$85,(卡牌属性!$DW134-2)*20+卡牌属性!$DX134)</f>
        <v>1800</v>
      </c>
      <c r="FT134" s="14">
        <f>INDEX(属性投放!$BS$6:$BS$85,(卡牌属性!$DW134-2)*20+卡牌属性!$DX134)</f>
        <v>1800</v>
      </c>
      <c r="FU134" s="14">
        <f>INDEX(属性投放!$BS$6:$BS$85,(卡牌属性!$DW134-2)*20+卡牌属性!$DX134)</f>
        <v>1800</v>
      </c>
      <c r="FV134" s="14">
        <f>INDEX(属性投放!$BS$6:$BS$85,(卡牌属性!$DW134-2)*20+卡牌属性!$DX134)</f>
        <v>1800</v>
      </c>
      <c r="FZ134" s="13">
        <v>130</v>
      </c>
      <c r="GA134" s="13">
        <f t="shared" si="291"/>
        <v>26</v>
      </c>
      <c r="GB134" s="14">
        <f t="shared" ref="GB134:GB144" si="341">INDEX($N$6:$N$36,GA134)</f>
        <v>1102028</v>
      </c>
      <c r="GC134" s="14" t="s">
        <v>1187</v>
      </c>
      <c r="GD134" s="14">
        <f t="shared" si="329"/>
        <v>5</v>
      </c>
      <c r="GE134" s="14" t="str">
        <f t="shared" si="330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MATCH(HC134,属性投放!$AO$6:$AO$58,1)-1</f>
        <v>45</v>
      </c>
      <c r="HF134" s="13">
        <f>MATCH(HC134-1,属性投放!$AE$6:$AE$26,1)</f>
        <v>18</v>
      </c>
      <c r="HG134" s="13" t="str">
        <f>INDEX(属性投放!$AB$7:$AB$26,卡牌属性!HF134)</f>
        <v>大焦热+2</v>
      </c>
      <c r="HH134" s="14">
        <f t="shared" ref="HH134:HH154" si="342">INDEX($ED$5:$EH$564,($HF$2-1)*20+$HF134,$HH$2)</f>
        <v>9243</v>
      </c>
      <c r="HI134" s="14">
        <f t="shared" ref="HI134:HI154" si="343">INDEX($EI$5:$EM$564,($HF$2-1)*20+$HF134,$HH$2)</f>
        <v>4028</v>
      </c>
      <c r="HJ134" s="14">
        <f t="shared" ref="HJ134:HJ154" si="344">INDEX($EN$5:$ER$564,($HF$2-1)*20+$HF134,$HH$2)</f>
        <v>73134</v>
      </c>
      <c r="HK134" s="14">
        <f t="shared" ref="HK134:HK154" si="345">INDEX($ES$5:$EW$564,($HF$2-1)*20+$HF134,$HH$2)</f>
        <v>50</v>
      </c>
      <c r="HL134" s="14">
        <f t="shared" ref="HL134:HL154" si="346">INDEX($EX$5:$FB$564,($HF$2-1)*20+$HF134,$HH$2)</f>
        <v>18</v>
      </c>
      <c r="HM134" s="14">
        <f t="shared" ref="HM134:HM154" si="347">INDEX($FC$5:$FG$564,($HF$2-1)*20+$HF134,$HH$2)</f>
        <v>350</v>
      </c>
      <c r="HN134" s="14">
        <f>HH134+HK134*($HC134-INDEX(属性投放!$AE$6:$AE$26,卡牌属性!$HF134))</f>
        <v>9493</v>
      </c>
      <c r="HO134" s="14">
        <f>HI134+HL134*($HC134-INDEX(属性投放!$AE$6:$AE$26,卡牌属性!$HF134))</f>
        <v>4118</v>
      </c>
      <c r="HP134" s="14">
        <f>HJ134+HM134*($HC134-INDEX(属性投放!$AE$6:$AE$26,卡牌属性!$HF134))</f>
        <v>74884</v>
      </c>
      <c r="HQ134" s="14">
        <f t="shared" ref="HQ134:HQ154" si="348">IF($HE134&gt;0,INDEX(DG$5:DG$1460,($HF$2-1)*52+$HE134),0)</f>
        <v>11635</v>
      </c>
      <c r="HR134" s="14">
        <f t="shared" ref="HR134:HR154" si="349">IF($HE134&gt;0,INDEX(DJ$5:DJ$1460,($HF$2-1)*52+$HE134),0)</f>
        <v>5827</v>
      </c>
      <c r="HS134" s="14">
        <f t="shared" ref="HS134:HS154" si="350">IF($HE134&gt;0,INDEX(DM$5:DM$1460,($HF$2-1)*52+$HE134),0)</f>
        <v>111785</v>
      </c>
      <c r="HT134" s="14">
        <f>IF(COUNTIF(属性投放!$AO$7:$AO$58,"="&amp;卡牌属性!HC134)&gt;0,卡牌属性!HE134,0)</f>
        <v>45</v>
      </c>
      <c r="HU134" s="14">
        <f t="shared" ref="HU134:HU154" si="351">IF($HT134&gt;0,INDEX($DF$5:$DF$1460,($HF$2-1)*52+HT134),0)</f>
        <v>750</v>
      </c>
      <c r="HV134" s="14">
        <f t="shared" ref="HV134:HV154" si="352">IF($HT134&gt;0,INDEX($DI$5:$DI$1460,($HF$2-1)*52+HT134),0)</f>
        <v>375</v>
      </c>
      <c r="HW134" s="14">
        <f t="shared" ref="HW134:HW154" si="353">IF($HT134&gt;0,INDEX($DL$5:$DL$1460,($HF$2-1)*52+HT134),0)</f>
        <v>7500</v>
      </c>
      <c r="HX134" s="14">
        <f>IF(COUNTIF(属性投放!$AE$6:$AE$26,"="&amp;卡牌属性!HC134)&gt;0,卡牌属性!HF134,0)</f>
        <v>0</v>
      </c>
      <c r="HY134" s="14">
        <f t="shared" ref="HY134:HY154" si="354">IF(HX134&gt;1,INDEX(EA$5:EA$564,($HF$2-1)*20+$HX134-1),0)</f>
        <v>0</v>
      </c>
      <c r="HZ134" s="14">
        <f t="shared" ref="HZ134:HZ154" si="355">IF(HY134&gt;1,INDEX(EB$5:EB$564,($HF$2-1)*20+$HX134-1),0)</f>
        <v>0</v>
      </c>
      <c r="IA134" s="14">
        <f t="shared" ref="IA134:IA154" si="356">IF(HZ134&gt;1,INDEX(EC$5:EC$564,($HF$2-1)*20+$HX134-1),0)</f>
        <v>0</v>
      </c>
      <c r="IB134" s="14">
        <f t="shared" ref="IB134:IB153" si="357">HK134</f>
        <v>50</v>
      </c>
      <c r="IC134" s="14">
        <f t="shared" ref="IC134:IC153" si="358">HL134</f>
        <v>18</v>
      </c>
      <c r="ID134" s="14">
        <f t="shared" ref="ID134:ID153" si="359">HM134</f>
        <v>350</v>
      </c>
      <c r="IE134" s="14">
        <f t="shared" ref="IE134:IE153" si="360">HN134+HQ134</f>
        <v>21128</v>
      </c>
      <c r="IF134" s="14">
        <f t="shared" ref="IF134:IF153" si="361">HO134+HR134</f>
        <v>9945</v>
      </c>
      <c r="IG134" s="14">
        <f t="shared" ref="IG134:IG153" si="362">HP134+HS134</f>
        <v>186669</v>
      </c>
      <c r="IH134" s="14">
        <f t="shared" ref="IH134:IH154" si="363">SUMPRODUCT($HK134:$HM134,$IE$2:$IG$2)</f>
        <v>1210</v>
      </c>
      <c r="II134" s="14">
        <f t="shared" ref="II134:II153" si="364">SUMPRODUCT(HU134:HW134,$IE$2:$IG$2)</f>
        <v>22500</v>
      </c>
      <c r="IJ134" s="14">
        <f t="shared" ref="IJ134:IJ153" si="365">SUMPRODUCT(HY134:IA134,$IE$2:$IG$2)</f>
        <v>0</v>
      </c>
      <c r="IK134" s="14">
        <f t="shared" ref="IK134:IK153" si="366">SUMPRODUCT(IE134:IG134,$IE$2:$IG$2)</f>
        <v>596849</v>
      </c>
      <c r="IL134" s="17">
        <f t="shared" ref="IL134:IL153" si="367">IH134/IK134</f>
        <v>2.0273134410881146E-3</v>
      </c>
      <c r="IM134" s="17">
        <f t="shared" ref="IM134:IM153" si="368">II134/IK134</f>
        <v>3.7697977210316175E-2</v>
      </c>
      <c r="IN134" s="17">
        <f t="shared" ref="IN134:IN153" si="369">IJ134/IK134</f>
        <v>0</v>
      </c>
      <c r="IO134" s="23">
        <f>SUM(IH$5:IH134)</f>
        <v>88364</v>
      </c>
      <c r="IP134" s="14">
        <f>SUM(II$5:II134)</f>
        <v>344675</v>
      </c>
      <c r="IQ134" s="14">
        <f>SUM(IJ$5:IJ134)</f>
        <v>132140</v>
      </c>
      <c r="IR134" s="17">
        <f t="shared" ref="IR134:IR153" si="370">IO134/IK134</f>
        <v>0.14805084703166127</v>
      </c>
      <c r="IS134" s="17">
        <f t="shared" ref="IS134:IS153" si="371">IP134/IK134</f>
        <v>0.57749112422069904</v>
      </c>
      <c r="IT134" s="17">
        <f t="shared" ref="IT134:IT153" si="372">IQ134/IK134</f>
        <v>0.22139603149205242</v>
      </c>
      <c r="IW134" s="13">
        <v>130</v>
      </c>
      <c r="IX134" s="14">
        <f>MATCH(IW134-1,属性投放!$T$6:$T$66,1)</f>
        <v>38</v>
      </c>
      <c r="IY134" s="14">
        <f>MATCH(IW134-1,属性投放!$AD$7:$AD$26,1)</f>
        <v>16</v>
      </c>
      <c r="IZ134" s="14" t="str">
        <f>INDEX(属性投放!$AB$7:$AB$26,IY134)</f>
        <v>大焦热</v>
      </c>
      <c r="JA134" s="14">
        <f t="shared" ref="JA134:JA154" si="373">INDEX($AO$5:$AS$444,($IZ$2-1)*20+$IY134,$JB$2)</f>
        <v>9545</v>
      </c>
      <c r="JB134" s="14">
        <f t="shared" ref="JB134:JB154" si="374">INDEX($AT$5:$AX$444,($IZ$2-1)*20+$IY134,$JB$2)</f>
        <v>4739</v>
      </c>
      <c r="JC134" s="14">
        <f t="shared" ref="JC134:JC154" si="375">INDEX($AY$5:$BC$444,($IZ$2-1)*20+$IY134,$JB$2)</f>
        <v>87226</v>
      </c>
      <c r="JD134" s="14">
        <f t="shared" ref="JD134:JD154" si="376">INDEX($BD$5:$BH$444,($IZ$2-1)*20+$IY134,$JB$2)</f>
        <v>235</v>
      </c>
      <c r="JE134" s="14">
        <f t="shared" ref="JE134:JE154" si="377">INDEX($BI$5:$BM$444,($IZ$2-1)*20+$IY134,$JB$2)</f>
        <v>117</v>
      </c>
      <c r="JF134" s="14">
        <f t="shared" ref="JF134:JF154" si="378">INDEX($BN$5:$BR$444,($IZ$2-1)*20+$IY134,$JB$2)</f>
        <v>2346</v>
      </c>
      <c r="JG134" s="14">
        <f>INDEX(属性投放!$DC$6:$DC$85,卡牌属性!IY134)</f>
        <v>110</v>
      </c>
      <c r="JH134" s="14">
        <f t="shared" ref="JH134:JH154" si="379">($IW134-$JG134)*JD134+JA134</f>
        <v>14245</v>
      </c>
      <c r="JI134" s="14">
        <f t="shared" ref="JI134:JI154" si="380">($IW134-$JG134)*JE134+JB134</f>
        <v>7079</v>
      </c>
      <c r="JJ134" s="14">
        <f t="shared" ref="JJ134:JJ154" si="381">($IW134-$JG134)*JF134+JC134</f>
        <v>134146</v>
      </c>
      <c r="JK134" s="14">
        <f t="shared" ref="JK134:JK154" si="382">SUMPRODUCT($JH$3:$JJ$3,JH134:JJ134)</f>
        <v>276161</v>
      </c>
    </row>
    <row r="135" spans="31:271" ht="16.5" x14ac:dyDescent="0.2">
      <c r="AE135" s="13">
        <v>131</v>
      </c>
      <c r="AF135" s="13">
        <f t="shared" si="331"/>
        <v>7</v>
      </c>
      <c r="AG135" s="13">
        <f t="shared" si="316"/>
        <v>4</v>
      </c>
      <c r="AH135" s="13"/>
      <c r="AI135" s="13"/>
      <c r="AJ135" s="14">
        <f t="shared" si="317"/>
        <v>1101007</v>
      </c>
      <c r="AK135" s="14" t="str">
        <f t="shared" si="318"/>
        <v>战斗曹焱兵11突</v>
      </c>
      <c r="AL135" s="25" t="s">
        <v>142</v>
      </c>
      <c r="AM135" s="14">
        <v>1</v>
      </c>
      <c r="AN135" s="14">
        <f t="shared" si="319"/>
        <v>11</v>
      </c>
      <c r="AO135" s="14">
        <f>INDEX(属性投放!$DF$6:$DF$85,(卡牌属性!AG135-2)*20+卡牌属性!AN135)</f>
        <v>3661</v>
      </c>
      <c r="AP135" s="14">
        <f t="shared" si="295"/>
        <v>3661</v>
      </c>
      <c r="AQ135" s="14">
        <f t="shared" si="295"/>
        <v>3661</v>
      </c>
      <c r="AR135" s="14">
        <f t="shared" si="295"/>
        <v>3661</v>
      </c>
      <c r="AS135" s="14">
        <f t="shared" si="295"/>
        <v>3661</v>
      </c>
      <c r="AT135" s="14">
        <f>INDEX(属性投放!$DG$6:$DG$85,(卡牌属性!AG135-2)*20+卡牌属性!AN135)</f>
        <v>1760</v>
      </c>
      <c r="AU135" s="14">
        <f t="shared" si="296"/>
        <v>1760</v>
      </c>
      <c r="AV135" s="14">
        <f t="shared" si="296"/>
        <v>1760</v>
      </c>
      <c r="AW135" s="14">
        <f t="shared" si="296"/>
        <v>1760</v>
      </c>
      <c r="AX135" s="14">
        <f t="shared" si="296"/>
        <v>1760</v>
      </c>
      <c r="AY135" s="14">
        <f>INDEX(属性投放!$DH$6:$DH$85,(卡牌属性!AG135-2)*20+卡牌属性!AN135)</f>
        <v>26309</v>
      </c>
      <c r="AZ135" s="14">
        <f t="shared" si="297"/>
        <v>26309</v>
      </c>
      <c r="BA135" s="14">
        <f t="shared" si="297"/>
        <v>26309</v>
      </c>
      <c r="BB135" s="14">
        <f t="shared" si="297"/>
        <v>26309</v>
      </c>
      <c r="BC135" s="14">
        <f t="shared" si="297"/>
        <v>26309</v>
      </c>
      <c r="BD135" s="14">
        <f>INDEX(属性投放!$DL$6:$DL$85,(卡牌属性!AG135-2)*20+卡牌属性!AN135)</f>
        <v>110</v>
      </c>
      <c r="BE135" s="14">
        <f t="shared" si="298"/>
        <v>110</v>
      </c>
      <c r="BF135" s="14">
        <f t="shared" si="298"/>
        <v>110</v>
      </c>
      <c r="BG135" s="14">
        <f t="shared" si="298"/>
        <v>110</v>
      </c>
      <c r="BH135" s="14">
        <f t="shared" si="298"/>
        <v>110</v>
      </c>
      <c r="BI135" s="14">
        <f>INDEX(属性投放!$DM$6:$DM$85,(卡牌属性!AG135-2)*20+卡牌属性!AN135)</f>
        <v>55</v>
      </c>
      <c r="BJ135" s="14">
        <f t="shared" si="299"/>
        <v>55</v>
      </c>
      <c r="BK135" s="14">
        <f t="shared" si="299"/>
        <v>55</v>
      </c>
      <c r="BL135" s="14">
        <f t="shared" si="299"/>
        <v>55</v>
      </c>
      <c r="BM135" s="14">
        <f t="shared" si="299"/>
        <v>55</v>
      </c>
      <c r="BN135" s="14">
        <f>INDEX(属性投放!$DN$6:$DN$85,(卡牌属性!AG135-2)*20+卡牌属性!AN135)</f>
        <v>988</v>
      </c>
      <c r="BO135" s="14">
        <f t="shared" si="300"/>
        <v>988</v>
      </c>
      <c r="BP135" s="14">
        <f t="shared" si="300"/>
        <v>988</v>
      </c>
      <c r="BQ135" s="14">
        <f t="shared" si="300"/>
        <v>988</v>
      </c>
      <c r="BR135" s="14">
        <f t="shared" si="300"/>
        <v>988</v>
      </c>
      <c r="BW135" s="13">
        <v>131</v>
      </c>
      <c r="BX135" s="13">
        <f t="shared" si="320"/>
        <v>7</v>
      </c>
      <c r="BY135" s="14">
        <f t="shared" si="321"/>
        <v>4</v>
      </c>
      <c r="BZ135" s="14">
        <f t="shared" si="332"/>
        <v>1102007</v>
      </c>
      <c r="CA135" s="14" t="str">
        <f t="shared" si="333"/>
        <v>天使缇娜11突</v>
      </c>
      <c r="CB135" s="25" t="s">
        <v>142</v>
      </c>
      <c r="CC135" s="14">
        <v>2</v>
      </c>
      <c r="CD135" s="14">
        <f t="shared" si="322"/>
        <v>11</v>
      </c>
      <c r="CE135" s="14" t="s">
        <v>21</v>
      </c>
      <c r="CF135" s="14">
        <f>INDEX(属性投放!$AZ$6:$AZ$85,(BY135-2)*20+CD135)</f>
        <v>4443</v>
      </c>
      <c r="CG135" s="14" t="s">
        <v>22</v>
      </c>
      <c r="CH135" s="14">
        <f>INDEX(属性投放!$BA$6:$BA$85,(BY135-2)*20+CD135)</f>
        <v>2172</v>
      </c>
      <c r="CI135" s="14" t="s">
        <v>510</v>
      </c>
      <c r="CJ135" s="14">
        <f>INDEX(属性投放!$BB$6:$BB$85,(BY135-2)*20+CD135)</f>
        <v>33088</v>
      </c>
      <c r="CK135" s="14" t="s">
        <v>21</v>
      </c>
      <c r="CL135" s="14">
        <f>INDEX(属性投放!$BC$6:$BC$85,(BY135-2)*20+CD135)</f>
        <v>30</v>
      </c>
      <c r="CM135" s="14" t="s">
        <v>22</v>
      </c>
      <c r="CN135" s="14">
        <f>INDEX(属性投放!$BD$6:$BD$85,(BY135-2)*20+CD135)</f>
        <v>15</v>
      </c>
      <c r="CO135" s="14" t="s">
        <v>510</v>
      </c>
      <c r="CP135" s="14">
        <f>INDEX(属性投放!$BE$6:$BE$85,(BY135-2)*20+CD135)</f>
        <v>270</v>
      </c>
      <c r="CS135" s="13">
        <v>131</v>
      </c>
      <c r="CT135" s="13">
        <f t="shared" si="334"/>
        <v>3</v>
      </c>
      <c r="CU135" s="13">
        <f t="shared" si="335"/>
        <v>27</v>
      </c>
      <c r="CV135" s="14">
        <f t="shared" si="336"/>
        <v>4</v>
      </c>
      <c r="CW135" s="14">
        <f t="shared" si="337"/>
        <v>1102003</v>
      </c>
      <c r="CX135" s="14" t="str">
        <f>INDEX($O$6:$O$50,CT135)&amp;"-"&amp;INDEX(属性投放!$AB$7:$AB$50,CZ135)&amp;"-魂火-"&amp;DB135</f>
        <v>典韦-大叫唤+2-魂火-3</v>
      </c>
      <c r="CY135" s="25" t="s">
        <v>142</v>
      </c>
      <c r="CZ135" s="14">
        <f>INDEX(属性投放!$AM$7:$AM$58,CU135)</f>
        <v>12</v>
      </c>
      <c r="DA135" s="14" t="s">
        <v>537</v>
      </c>
      <c r="DB135" s="14">
        <f>INDEX(属性投放!$AN$7:$AN$58,CU135)</f>
        <v>3</v>
      </c>
      <c r="DC135" s="14">
        <f t="shared" si="323"/>
        <v>27</v>
      </c>
      <c r="DD135" s="14">
        <f>INDEX(属性投放!$AO$7:$AO$58,DC135)</f>
        <v>85</v>
      </c>
      <c r="DE135" s="14" t="s">
        <v>538</v>
      </c>
      <c r="DF135" s="14">
        <f>INDEX(属性投放!$BK$6:$BK$85,(CV135-2)*20+CZ135)</f>
        <v>225</v>
      </c>
      <c r="DG135" s="14">
        <f>SUMIFS(DF$5:DF135,$CT$5:$CT135,"="&amp;$CT135)</f>
        <v>2755</v>
      </c>
      <c r="DH135" s="14" t="s">
        <v>539</v>
      </c>
      <c r="DI135" s="14">
        <f>INDEX(属性投放!$BL$6:$BL$85,(CV135-2)*20+CZ135)</f>
        <v>113</v>
      </c>
      <c r="DJ135" s="14">
        <f>SUMIFS(DI$5:DI135,$CT$5:$CT135,"="&amp;$CT135)</f>
        <v>1384</v>
      </c>
      <c r="DK135" s="14" t="s">
        <v>540</v>
      </c>
      <c r="DL135" s="14">
        <f>INDEX(属性投放!$BM$6:$BM$85,(CV135-2)*20+CZ135)</f>
        <v>2025</v>
      </c>
      <c r="DM135" s="14">
        <f>SUMIFS(DL$5:DL135,$CT$5:$CT135,"="&amp;$CT135)</f>
        <v>22985</v>
      </c>
      <c r="DR135" s="14">
        <f t="shared" si="324"/>
        <v>1102007</v>
      </c>
      <c r="DS135" s="14" t="str">
        <f t="shared" si="325"/>
        <v>天使缇娜11突</v>
      </c>
      <c r="DT135" s="14">
        <f t="shared" si="338"/>
        <v>7</v>
      </c>
      <c r="DU135" s="14">
        <f t="shared" si="339"/>
        <v>6</v>
      </c>
      <c r="DV135" s="14">
        <f t="shared" si="340"/>
        <v>6</v>
      </c>
      <c r="DW135" s="14">
        <f t="shared" si="326"/>
        <v>4</v>
      </c>
      <c r="DX135" s="14">
        <f t="shared" si="327"/>
        <v>11</v>
      </c>
      <c r="DY135" s="14">
        <f t="shared" si="328"/>
        <v>51</v>
      </c>
      <c r="DZ135" s="14">
        <f>INDEX(属性投放!$AX$6:$AX$85,(卡牌属性!DW135-2)*20+卡牌属性!DX135)</f>
        <v>8</v>
      </c>
      <c r="EA135" s="14">
        <f>INDEX(属性投放!BQ$6:BQ$85,卡牌属性!$DY135)</f>
        <v>300</v>
      </c>
      <c r="EB135" s="14">
        <f>INDEX(属性投放!BR$6:BR$85,卡牌属性!$DY135)</f>
        <v>150</v>
      </c>
      <c r="EC135" s="14">
        <f>INDEX(属性投放!BS$6:BS$85,卡牌属性!$DY135)</f>
        <v>2700</v>
      </c>
      <c r="ED135" s="14">
        <f t="shared" si="301"/>
        <v>2873</v>
      </c>
      <c r="EE135" s="14">
        <f t="shared" si="302"/>
        <v>3100</v>
      </c>
      <c r="EF135" s="14">
        <f t="shared" si="303"/>
        <v>3355</v>
      </c>
      <c r="EG135" s="14">
        <f t="shared" si="304"/>
        <v>3355</v>
      </c>
      <c r="EH135" s="14">
        <f t="shared" si="305"/>
        <v>3885</v>
      </c>
      <c r="EI135" s="14">
        <f t="shared" si="306"/>
        <v>1169</v>
      </c>
      <c r="EJ135" s="14">
        <f t="shared" si="307"/>
        <v>1407</v>
      </c>
      <c r="EK135" s="14">
        <f t="shared" si="308"/>
        <v>1407</v>
      </c>
      <c r="EL135" s="14">
        <f t="shared" si="309"/>
        <v>1517</v>
      </c>
      <c r="EM135" s="14">
        <f t="shared" si="310"/>
        <v>1642</v>
      </c>
      <c r="EN135" s="14">
        <f t="shared" si="311"/>
        <v>17269</v>
      </c>
      <c r="EO135" s="14">
        <f t="shared" si="312"/>
        <v>20768</v>
      </c>
      <c r="EP135" s="14">
        <f t="shared" si="313"/>
        <v>20768</v>
      </c>
      <c r="EQ135" s="14">
        <f t="shared" si="314"/>
        <v>22287</v>
      </c>
      <c r="ER135" s="14">
        <f t="shared" si="315"/>
        <v>23960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189</v>
      </c>
      <c r="FD135" s="14">
        <f>INDEX(属性偏向!$U$4:$U$243,(卡牌属性!$DV135-1+FD$3)*20+卡牌属性!$DX135)</f>
        <v>270</v>
      </c>
      <c r="FE135" s="14">
        <f>INDEX(属性偏向!$U$4:$U$243,(卡牌属性!$DV135-1+FE$3)*20+卡牌属性!$DX135)</f>
        <v>270</v>
      </c>
      <c r="FF135" s="14">
        <f>INDEX(属性偏向!$U$4:$U$243,(卡牌属性!$DV135-1+FF$3)*20+卡牌属性!$DX135)</f>
        <v>315</v>
      </c>
      <c r="FG135" s="14">
        <f>INDEX(属性偏向!$U$4:$U$243,(卡牌属性!$DV135-1+FG$3)*20+卡牌属性!$DX135)</f>
        <v>360</v>
      </c>
      <c r="FH135" s="14">
        <f>INDEX(属性投放!$BQ$6:$BQ$85,(卡牌属性!$DW135-2)*20+卡牌属性!$DX135)</f>
        <v>300</v>
      </c>
      <c r="FI135" s="14">
        <f>INDEX(属性投放!$BQ$6:$BQ$85,(卡牌属性!$DW135-2)*20+卡牌属性!$DX135)</f>
        <v>300</v>
      </c>
      <c r="FJ135" s="14">
        <f>INDEX(属性投放!$BQ$6:$BQ$85,(卡牌属性!$DW135-2)*20+卡牌属性!$DX135)</f>
        <v>300</v>
      </c>
      <c r="FK135" s="14">
        <f>INDEX(属性投放!$BQ$6:$BQ$85,(卡牌属性!$DW135-2)*20+卡牌属性!$DX135)</f>
        <v>300</v>
      </c>
      <c r="FL135" s="14">
        <f>INDEX(属性投放!$BQ$6:$BQ$85,(卡牌属性!$DW135-2)*20+卡牌属性!$DX135)</f>
        <v>300</v>
      </c>
      <c r="FM135" s="14">
        <f>INDEX(属性投放!$BR$6:$BR$85,(卡牌属性!$DW135-2)*20+卡牌属性!$DX135)</f>
        <v>150</v>
      </c>
      <c r="FN135" s="14">
        <f>INDEX(属性投放!$BR$6:$BR$85,(卡牌属性!$DW135-2)*20+卡牌属性!$DX135)</f>
        <v>150</v>
      </c>
      <c r="FO135" s="14">
        <f>INDEX(属性投放!$BR$6:$BR$85,(卡牌属性!$DW135-2)*20+卡牌属性!$DX135)</f>
        <v>150</v>
      </c>
      <c r="FP135" s="14">
        <f>INDEX(属性投放!$BR$6:$BR$85,(卡牌属性!$DW135-2)*20+卡牌属性!$DX135)</f>
        <v>150</v>
      </c>
      <c r="FQ135" s="14">
        <f>INDEX(属性投放!$BR$6:$BR$85,(卡牌属性!$DW135-2)*20+卡牌属性!$DX135)</f>
        <v>150</v>
      </c>
      <c r="FR135" s="14">
        <f>INDEX(属性投放!$BS$6:$BS$85,(卡牌属性!$DW135-2)*20+卡牌属性!$DX135)</f>
        <v>2700</v>
      </c>
      <c r="FS135" s="14">
        <f>INDEX(属性投放!$BS$6:$BS$85,(卡牌属性!$DW135-2)*20+卡牌属性!$DX135)</f>
        <v>2700</v>
      </c>
      <c r="FT135" s="14">
        <f>INDEX(属性投放!$BS$6:$BS$85,(卡牌属性!$DW135-2)*20+卡牌属性!$DX135)</f>
        <v>2700</v>
      </c>
      <c r="FU135" s="14">
        <f>INDEX(属性投放!$BS$6:$BS$85,(卡牌属性!$DW135-2)*20+卡牌属性!$DX135)</f>
        <v>2700</v>
      </c>
      <c r="FV135" s="14">
        <f>INDEX(属性投放!$BS$6:$BS$85,(卡牌属性!$DW135-2)*20+卡牌属性!$DX135)</f>
        <v>2700</v>
      </c>
      <c r="FZ135" s="13">
        <v>131</v>
      </c>
      <c r="GA135" s="13">
        <f t="shared" si="291"/>
        <v>27</v>
      </c>
      <c r="GB135" s="14">
        <f t="shared" si="341"/>
        <v>1102030</v>
      </c>
      <c r="GC135" s="14" t="s">
        <v>1187</v>
      </c>
      <c r="GD135" s="14">
        <f t="shared" si="329"/>
        <v>1</v>
      </c>
      <c r="GE135" s="14" t="str">
        <f t="shared" si="330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MATCH(HC135,属性投放!$AO$6:$AO$58,1)-1</f>
        <v>45</v>
      </c>
      <c r="HF135" s="13">
        <f>MATCH(HC135-1,属性投放!$AE$6:$AE$26,1)</f>
        <v>18</v>
      </c>
      <c r="HG135" s="13" t="str">
        <f>INDEX(属性投放!$AB$7:$AB$26,卡牌属性!HF135)</f>
        <v>大焦热+2</v>
      </c>
      <c r="HH135" s="14">
        <f t="shared" si="342"/>
        <v>9243</v>
      </c>
      <c r="HI135" s="14">
        <f t="shared" si="343"/>
        <v>4028</v>
      </c>
      <c r="HJ135" s="14">
        <f t="shared" si="344"/>
        <v>73134</v>
      </c>
      <c r="HK135" s="14">
        <f t="shared" si="345"/>
        <v>50</v>
      </c>
      <c r="HL135" s="14">
        <f t="shared" si="346"/>
        <v>18</v>
      </c>
      <c r="HM135" s="14">
        <f t="shared" si="347"/>
        <v>350</v>
      </c>
      <c r="HN135" s="14">
        <f>HH135+HK135*($HC135-INDEX(属性投放!$AE$6:$AE$26,卡牌属性!$HF135))</f>
        <v>9543</v>
      </c>
      <c r="HO135" s="14">
        <f>HI135+HL135*($HC135-INDEX(属性投放!$AE$6:$AE$26,卡牌属性!$HF135))</f>
        <v>4136</v>
      </c>
      <c r="HP135" s="14">
        <f>HJ135+HM135*($HC135-INDEX(属性投放!$AE$6:$AE$26,卡牌属性!$HF135))</f>
        <v>75234</v>
      </c>
      <c r="HQ135" s="14">
        <f t="shared" si="348"/>
        <v>11635</v>
      </c>
      <c r="HR135" s="14">
        <f t="shared" si="349"/>
        <v>5827</v>
      </c>
      <c r="HS135" s="14">
        <f t="shared" si="350"/>
        <v>111785</v>
      </c>
      <c r="HT135" s="14">
        <f>IF(COUNTIF(属性投放!$AO$7:$AO$58,"="&amp;卡牌属性!HC135)&gt;0,卡牌属性!HE135,0)</f>
        <v>0</v>
      </c>
      <c r="HU135" s="14">
        <f t="shared" si="351"/>
        <v>0</v>
      </c>
      <c r="HV135" s="14">
        <f t="shared" si="352"/>
        <v>0</v>
      </c>
      <c r="HW135" s="14">
        <f t="shared" si="353"/>
        <v>0</v>
      </c>
      <c r="HX135" s="14">
        <f>IF(COUNTIF(属性投放!$AE$6:$AE$26,"="&amp;卡牌属性!HC135)&gt;0,卡牌属性!HF135,0)</f>
        <v>0</v>
      </c>
      <c r="HY135" s="14">
        <f t="shared" si="354"/>
        <v>0</v>
      </c>
      <c r="HZ135" s="14">
        <f t="shared" si="355"/>
        <v>0</v>
      </c>
      <c r="IA135" s="14">
        <f t="shared" si="356"/>
        <v>0</v>
      </c>
      <c r="IB135" s="14">
        <f t="shared" si="357"/>
        <v>50</v>
      </c>
      <c r="IC135" s="14">
        <f t="shared" si="358"/>
        <v>18</v>
      </c>
      <c r="ID135" s="14">
        <f t="shared" si="359"/>
        <v>350</v>
      </c>
      <c r="IE135" s="14">
        <f t="shared" si="360"/>
        <v>21178</v>
      </c>
      <c r="IF135" s="14">
        <f t="shared" si="361"/>
        <v>9963</v>
      </c>
      <c r="IG135" s="14">
        <f t="shared" si="362"/>
        <v>187019</v>
      </c>
      <c r="IH135" s="14">
        <f t="shared" si="363"/>
        <v>1210</v>
      </c>
      <c r="II135" s="14">
        <f t="shared" si="364"/>
        <v>0</v>
      </c>
      <c r="IJ135" s="14">
        <f t="shared" si="365"/>
        <v>0</v>
      </c>
      <c r="IK135" s="14">
        <f t="shared" si="366"/>
        <v>598059</v>
      </c>
      <c r="IL135" s="17">
        <f t="shared" si="367"/>
        <v>2.0232117566995897E-3</v>
      </c>
      <c r="IM135" s="17">
        <f t="shared" si="368"/>
        <v>0</v>
      </c>
      <c r="IN135" s="17">
        <f t="shared" si="369"/>
        <v>0</v>
      </c>
      <c r="IO135" s="23">
        <f>SUM(IH$5:IH135)</f>
        <v>89574</v>
      </c>
      <c r="IP135" s="14">
        <f>SUM(II$5:II135)</f>
        <v>344675</v>
      </c>
      <c r="IQ135" s="14">
        <f>SUM(IJ$5:IJ135)</f>
        <v>132140</v>
      </c>
      <c r="IR135" s="17">
        <f t="shared" si="370"/>
        <v>0.14977452057405707</v>
      </c>
      <c r="IS135" s="17">
        <f t="shared" si="371"/>
        <v>0.57632273738878603</v>
      </c>
      <c r="IT135" s="17">
        <f t="shared" si="372"/>
        <v>0.22094810043825108</v>
      </c>
      <c r="IW135" s="13">
        <v>131</v>
      </c>
      <c r="IX135" s="14">
        <f>MATCH(IW135-1,属性投放!$T$6:$T$66,1)</f>
        <v>38</v>
      </c>
      <c r="IY135" s="14">
        <f>MATCH(IW135-1,属性投放!$AD$7:$AD$26,1)</f>
        <v>17</v>
      </c>
      <c r="IZ135" s="14" t="str">
        <f>INDEX(属性投放!$AB$7:$AB$26,IY135)</f>
        <v>大焦热+1</v>
      </c>
      <c r="JA135" s="14">
        <f t="shared" si="373"/>
        <v>10383</v>
      </c>
      <c r="JB135" s="14">
        <f t="shared" si="374"/>
        <v>5158</v>
      </c>
      <c r="JC135" s="14">
        <f t="shared" si="375"/>
        <v>95606</v>
      </c>
      <c r="JD135" s="14">
        <f t="shared" si="376"/>
        <v>235</v>
      </c>
      <c r="JE135" s="14">
        <f t="shared" si="377"/>
        <v>117</v>
      </c>
      <c r="JF135" s="14">
        <f t="shared" si="378"/>
        <v>2346</v>
      </c>
      <c r="JG135" s="14">
        <f>INDEX(属性投放!$DC$6:$DC$85,卡牌属性!IY135)</f>
        <v>110</v>
      </c>
      <c r="JH135" s="14">
        <f t="shared" si="379"/>
        <v>15318</v>
      </c>
      <c r="JI135" s="14">
        <f t="shared" si="380"/>
        <v>7615</v>
      </c>
      <c r="JJ135" s="14">
        <f t="shared" si="381"/>
        <v>144872</v>
      </c>
      <c r="JK135" s="14">
        <f t="shared" si="382"/>
        <v>297612</v>
      </c>
    </row>
    <row r="136" spans="31:271" ht="16.5" x14ac:dyDescent="0.2">
      <c r="AE136" s="13">
        <v>132</v>
      </c>
      <c r="AF136" s="13">
        <f t="shared" si="331"/>
        <v>7</v>
      </c>
      <c r="AG136" s="13">
        <f t="shared" si="316"/>
        <v>4</v>
      </c>
      <c r="AH136" s="13"/>
      <c r="AI136" s="13"/>
      <c r="AJ136" s="14">
        <f t="shared" si="317"/>
        <v>1101007</v>
      </c>
      <c r="AK136" s="14" t="str">
        <f t="shared" si="318"/>
        <v>战斗曹焱兵12突</v>
      </c>
      <c r="AL136" s="25" t="s">
        <v>142</v>
      </c>
      <c r="AM136" s="14">
        <v>1</v>
      </c>
      <c r="AN136" s="14">
        <f t="shared" si="319"/>
        <v>12</v>
      </c>
      <c r="AO136" s="14">
        <f>INDEX(属性投放!$DF$6:$DF$85,(卡牌属性!AG136-2)*20+卡牌属性!AN136)</f>
        <v>3975</v>
      </c>
      <c r="AP136" s="14">
        <f t="shared" si="295"/>
        <v>3975</v>
      </c>
      <c r="AQ136" s="14">
        <f t="shared" si="295"/>
        <v>3975</v>
      </c>
      <c r="AR136" s="14">
        <f t="shared" si="295"/>
        <v>3975</v>
      </c>
      <c r="AS136" s="14">
        <f t="shared" si="295"/>
        <v>3975</v>
      </c>
      <c r="AT136" s="14">
        <f>INDEX(属性投放!$DG$6:$DG$85,(卡牌属性!AG136-2)*20+卡牌属性!AN136)</f>
        <v>1917</v>
      </c>
      <c r="AU136" s="14">
        <f t="shared" si="296"/>
        <v>1917</v>
      </c>
      <c r="AV136" s="14">
        <f t="shared" si="296"/>
        <v>1917</v>
      </c>
      <c r="AW136" s="14">
        <f t="shared" si="296"/>
        <v>1917</v>
      </c>
      <c r="AX136" s="14">
        <f t="shared" si="296"/>
        <v>1917</v>
      </c>
      <c r="AY136" s="14">
        <f>INDEX(属性投放!$DH$6:$DH$85,(卡牌属性!AG136-2)*20+卡牌属性!AN136)</f>
        <v>29131</v>
      </c>
      <c r="AZ136" s="14">
        <f t="shared" si="297"/>
        <v>29131</v>
      </c>
      <c r="BA136" s="14">
        <f t="shared" si="297"/>
        <v>29131</v>
      </c>
      <c r="BB136" s="14">
        <f t="shared" si="297"/>
        <v>29131</v>
      </c>
      <c r="BC136" s="14">
        <f t="shared" si="297"/>
        <v>29131</v>
      </c>
      <c r="BD136" s="14">
        <f>INDEX(属性投放!$DL$6:$DL$85,(卡牌属性!AG136-2)*20+卡牌属性!AN136)</f>
        <v>110</v>
      </c>
      <c r="BE136" s="14">
        <f t="shared" si="298"/>
        <v>110</v>
      </c>
      <c r="BF136" s="14">
        <f t="shared" si="298"/>
        <v>110</v>
      </c>
      <c r="BG136" s="14">
        <f t="shared" si="298"/>
        <v>110</v>
      </c>
      <c r="BH136" s="14">
        <f t="shared" si="298"/>
        <v>110</v>
      </c>
      <c r="BI136" s="14">
        <f>INDEX(属性投放!$DM$6:$DM$85,(卡牌属性!AG136-2)*20+卡牌属性!AN136)</f>
        <v>55</v>
      </c>
      <c r="BJ136" s="14">
        <f t="shared" si="299"/>
        <v>55</v>
      </c>
      <c r="BK136" s="14">
        <f t="shared" si="299"/>
        <v>55</v>
      </c>
      <c r="BL136" s="14">
        <f t="shared" si="299"/>
        <v>55</v>
      </c>
      <c r="BM136" s="14">
        <f t="shared" si="299"/>
        <v>55</v>
      </c>
      <c r="BN136" s="14">
        <f>INDEX(属性投放!$DN$6:$DN$85,(卡牌属性!AG136-2)*20+卡牌属性!AN136)</f>
        <v>988</v>
      </c>
      <c r="BO136" s="14">
        <f t="shared" si="300"/>
        <v>988</v>
      </c>
      <c r="BP136" s="14">
        <f t="shared" si="300"/>
        <v>988</v>
      </c>
      <c r="BQ136" s="14">
        <f t="shared" si="300"/>
        <v>988</v>
      </c>
      <c r="BR136" s="14">
        <f t="shared" si="300"/>
        <v>988</v>
      </c>
      <c r="BW136" s="13">
        <v>132</v>
      </c>
      <c r="BX136" s="13">
        <f t="shared" si="320"/>
        <v>7</v>
      </c>
      <c r="BY136" s="14">
        <f t="shared" si="321"/>
        <v>4</v>
      </c>
      <c r="BZ136" s="14">
        <f t="shared" si="332"/>
        <v>1102007</v>
      </c>
      <c r="CA136" s="14" t="str">
        <f t="shared" si="333"/>
        <v>天使缇娜12突</v>
      </c>
      <c r="CB136" s="25" t="s">
        <v>142</v>
      </c>
      <c r="CC136" s="14">
        <v>2</v>
      </c>
      <c r="CD136" s="14">
        <f t="shared" si="322"/>
        <v>12</v>
      </c>
      <c r="CE136" s="14" t="s">
        <v>21</v>
      </c>
      <c r="CF136" s="14">
        <f>INDEX(属性投放!$AZ$6:$AZ$85,(BY136-2)*20+CD136)</f>
        <v>5493</v>
      </c>
      <c r="CG136" s="14" t="s">
        <v>22</v>
      </c>
      <c r="CH136" s="14">
        <f>INDEX(属性投放!$BA$6:$BA$85,(BY136-2)*20+CD136)</f>
        <v>2697</v>
      </c>
      <c r="CI136" s="14" t="s">
        <v>510</v>
      </c>
      <c r="CJ136" s="14">
        <f>INDEX(属性投放!$BB$6:$BB$85,(BY136-2)*20+CD136)</f>
        <v>42538</v>
      </c>
      <c r="CK136" s="14" t="s">
        <v>21</v>
      </c>
      <c r="CL136" s="14">
        <f>INDEX(属性投放!$BC$6:$BC$85,(BY136-2)*20+CD136)</f>
        <v>30</v>
      </c>
      <c r="CM136" s="14" t="s">
        <v>22</v>
      </c>
      <c r="CN136" s="14">
        <f>INDEX(属性投放!$BD$6:$BD$85,(BY136-2)*20+CD136)</f>
        <v>15</v>
      </c>
      <c r="CO136" s="14" t="s">
        <v>510</v>
      </c>
      <c r="CP136" s="14">
        <f>INDEX(属性投放!$BE$6:$BE$85,(BY136-2)*20+CD136)</f>
        <v>270</v>
      </c>
      <c r="CS136" s="13">
        <v>132</v>
      </c>
      <c r="CT136" s="13">
        <f t="shared" si="334"/>
        <v>3</v>
      </c>
      <c r="CU136" s="13">
        <f t="shared" si="335"/>
        <v>28</v>
      </c>
      <c r="CV136" s="14">
        <f t="shared" si="336"/>
        <v>4</v>
      </c>
      <c r="CW136" s="14">
        <f t="shared" si="337"/>
        <v>1102003</v>
      </c>
      <c r="CX136" s="14" t="str">
        <f>INDEX($O$6:$O$50,CT136)&amp;"-"&amp;INDEX(属性投放!$AB$7:$AB$50,CZ136)&amp;"-魂火-"&amp;DB136</f>
        <v>典韦-焦热-魂火-1</v>
      </c>
      <c r="CY136" s="25" t="s">
        <v>142</v>
      </c>
      <c r="CZ136" s="14">
        <f>INDEX(属性投放!$AM$7:$AM$58,CU136)</f>
        <v>13</v>
      </c>
      <c r="DA136" s="14" t="s">
        <v>537</v>
      </c>
      <c r="DB136" s="14">
        <f>INDEX(属性投放!$AN$7:$AN$58,CU136)</f>
        <v>1</v>
      </c>
      <c r="DC136" s="14">
        <f t="shared" si="323"/>
        <v>28</v>
      </c>
      <c r="DD136" s="14">
        <f>INDEX(属性投放!$AO$7:$AO$58,DC136)</f>
        <v>88</v>
      </c>
      <c r="DE136" s="14" t="s">
        <v>538</v>
      </c>
      <c r="DF136" s="14">
        <f>INDEX(属性投放!$BK$6:$BK$85,(CV136-2)*20+CZ136)</f>
        <v>275</v>
      </c>
      <c r="DG136" s="14">
        <f>SUMIFS(DF$5:DF136,$CT$5:$CT136,"="&amp;$CT136)</f>
        <v>3030</v>
      </c>
      <c r="DH136" s="14" t="s">
        <v>539</v>
      </c>
      <c r="DI136" s="14">
        <f>INDEX(属性投放!$BL$6:$BL$85,(CV136-2)*20+CZ136)</f>
        <v>138</v>
      </c>
      <c r="DJ136" s="14">
        <f>SUMIFS(DI$5:DI136,$CT$5:$CT136,"="&amp;$CT136)</f>
        <v>1522</v>
      </c>
      <c r="DK136" s="14" t="s">
        <v>540</v>
      </c>
      <c r="DL136" s="14">
        <f>INDEX(属性投放!$BM$6:$BM$85,(CV136-2)*20+CZ136)</f>
        <v>2750</v>
      </c>
      <c r="DM136" s="14">
        <f>SUMIFS(DL$5:DL136,$CT$5:$CT136,"="&amp;$CT136)</f>
        <v>25735</v>
      </c>
      <c r="DR136" s="14">
        <f t="shared" si="324"/>
        <v>1102007</v>
      </c>
      <c r="DS136" s="14" t="str">
        <f t="shared" si="325"/>
        <v>天使缇娜12突</v>
      </c>
      <c r="DT136" s="14">
        <f t="shared" si="338"/>
        <v>7</v>
      </c>
      <c r="DU136" s="14">
        <f t="shared" si="339"/>
        <v>6</v>
      </c>
      <c r="DV136" s="14">
        <f t="shared" si="340"/>
        <v>6</v>
      </c>
      <c r="DW136" s="14">
        <f t="shared" si="326"/>
        <v>4</v>
      </c>
      <c r="DX136" s="14">
        <f t="shared" si="327"/>
        <v>12</v>
      </c>
      <c r="DY136" s="14">
        <f t="shared" si="328"/>
        <v>52</v>
      </c>
      <c r="DZ136" s="14">
        <f>INDEX(属性投放!$AX$6:$AX$85,(卡牌属性!DW136-2)*20+卡牌属性!DX136)</f>
        <v>7</v>
      </c>
      <c r="EA136" s="14">
        <f>INDEX(属性投放!BQ$6:BQ$85,卡牌属性!$DY136)</f>
        <v>400</v>
      </c>
      <c r="EB136" s="14">
        <f>INDEX(属性投放!BR$6:BR$85,卡牌属性!$DY136)</f>
        <v>200</v>
      </c>
      <c r="EC136" s="14">
        <f>INDEX(属性投放!BS$6:BS$85,卡牌属性!$DY136)</f>
        <v>3600</v>
      </c>
      <c r="ED136" s="14">
        <f t="shared" si="301"/>
        <v>3413</v>
      </c>
      <c r="EE136" s="14">
        <f t="shared" si="302"/>
        <v>3680</v>
      </c>
      <c r="EF136" s="14">
        <f t="shared" si="303"/>
        <v>3975</v>
      </c>
      <c r="EG136" s="14">
        <f t="shared" si="304"/>
        <v>3975</v>
      </c>
      <c r="EH136" s="14">
        <f t="shared" si="305"/>
        <v>4585</v>
      </c>
      <c r="EI136" s="14">
        <f t="shared" si="306"/>
        <v>1407</v>
      </c>
      <c r="EJ136" s="14">
        <f t="shared" si="307"/>
        <v>1677</v>
      </c>
      <c r="EK136" s="14">
        <f t="shared" si="308"/>
        <v>1677</v>
      </c>
      <c r="EL136" s="14">
        <f t="shared" si="309"/>
        <v>1811</v>
      </c>
      <c r="EM136" s="14">
        <f t="shared" si="310"/>
        <v>1952</v>
      </c>
      <c r="EN136" s="14">
        <f t="shared" si="311"/>
        <v>21481</v>
      </c>
      <c r="EO136" s="14">
        <f t="shared" si="312"/>
        <v>25628</v>
      </c>
      <c r="EP136" s="14">
        <f t="shared" si="313"/>
        <v>25628</v>
      </c>
      <c r="EQ136" s="14">
        <f t="shared" si="314"/>
        <v>27507</v>
      </c>
      <c r="ER136" s="14">
        <f t="shared" si="315"/>
        <v>29540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189</v>
      </c>
      <c r="FD136" s="14">
        <f>INDEX(属性偏向!$U$4:$U$243,(卡牌属性!$DV136-1+FD$3)*20+卡牌属性!$DX136)</f>
        <v>270</v>
      </c>
      <c r="FE136" s="14">
        <f>INDEX(属性偏向!$U$4:$U$243,(卡牌属性!$DV136-1+FE$3)*20+卡牌属性!$DX136)</f>
        <v>270</v>
      </c>
      <c r="FF136" s="14">
        <f>INDEX(属性偏向!$U$4:$U$243,(卡牌属性!$DV136-1+FF$3)*20+卡牌属性!$DX136)</f>
        <v>315</v>
      </c>
      <c r="FG136" s="14">
        <f>INDEX(属性偏向!$U$4:$U$243,(卡牌属性!$DV136-1+FG$3)*20+卡牌属性!$DX136)</f>
        <v>360</v>
      </c>
      <c r="FH136" s="14">
        <f>INDEX(属性投放!$BQ$6:$BQ$85,(卡牌属性!$DW136-2)*20+卡牌属性!$DX136)</f>
        <v>400</v>
      </c>
      <c r="FI136" s="14">
        <f>INDEX(属性投放!$BQ$6:$BQ$85,(卡牌属性!$DW136-2)*20+卡牌属性!$DX136)</f>
        <v>400</v>
      </c>
      <c r="FJ136" s="14">
        <f>INDEX(属性投放!$BQ$6:$BQ$85,(卡牌属性!$DW136-2)*20+卡牌属性!$DX136)</f>
        <v>400</v>
      </c>
      <c r="FK136" s="14">
        <f>INDEX(属性投放!$BQ$6:$BQ$85,(卡牌属性!$DW136-2)*20+卡牌属性!$DX136)</f>
        <v>400</v>
      </c>
      <c r="FL136" s="14">
        <f>INDEX(属性投放!$BQ$6:$BQ$85,(卡牌属性!$DW136-2)*20+卡牌属性!$DX136)</f>
        <v>400</v>
      </c>
      <c r="FM136" s="14">
        <f>INDEX(属性投放!$BR$6:$BR$85,(卡牌属性!$DW136-2)*20+卡牌属性!$DX136)</f>
        <v>200</v>
      </c>
      <c r="FN136" s="14">
        <f>INDEX(属性投放!$BR$6:$BR$85,(卡牌属性!$DW136-2)*20+卡牌属性!$DX136)</f>
        <v>200</v>
      </c>
      <c r="FO136" s="14">
        <f>INDEX(属性投放!$BR$6:$BR$85,(卡牌属性!$DW136-2)*20+卡牌属性!$DX136)</f>
        <v>200</v>
      </c>
      <c r="FP136" s="14">
        <f>INDEX(属性投放!$BR$6:$BR$85,(卡牌属性!$DW136-2)*20+卡牌属性!$DX136)</f>
        <v>200</v>
      </c>
      <c r="FQ136" s="14">
        <f>INDEX(属性投放!$BR$6:$BR$85,(卡牌属性!$DW136-2)*20+卡牌属性!$DX136)</f>
        <v>200</v>
      </c>
      <c r="FR136" s="14">
        <f>INDEX(属性投放!$BS$6:$BS$85,(卡牌属性!$DW136-2)*20+卡牌属性!$DX136)</f>
        <v>3600</v>
      </c>
      <c r="FS136" s="14">
        <f>INDEX(属性投放!$BS$6:$BS$85,(卡牌属性!$DW136-2)*20+卡牌属性!$DX136)</f>
        <v>3600</v>
      </c>
      <c r="FT136" s="14">
        <f>INDEX(属性投放!$BS$6:$BS$85,(卡牌属性!$DW136-2)*20+卡牌属性!$DX136)</f>
        <v>3600</v>
      </c>
      <c r="FU136" s="14">
        <f>INDEX(属性投放!$BS$6:$BS$85,(卡牌属性!$DW136-2)*20+卡牌属性!$DX136)</f>
        <v>3600</v>
      </c>
      <c r="FV136" s="14">
        <f>INDEX(属性投放!$BS$6:$BS$85,(卡牌属性!$DW136-2)*20+卡牌属性!$DX136)</f>
        <v>3600</v>
      </c>
      <c r="FZ136" s="13">
        <v>132</v>
      </c>
      <c r="GA136" s="13">
        <f t="shared" si="291"/>
        <v>27</v>
      </c>
      <c r="GB136" s="14">
        <f t="shared" si="341"/>
        <v>1102030</v>
      </c>
      <c r="GC136" s="14" t="s">
        <v>1187</v>
      </c>
      <c r="GD136" s="14">
        <f t="shared" si="329"/>
        <v>2</v>
      </c>
      <c r="GE136" s="14" t="str">
        <f t="shared" si="330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MATCH(HC136,属性投放!$AO$6:$AO$58,1)-1</f>
        <v>45</v>
      </c>
      <c r="HF136" s="13">
        <f>MATCH(HC136-1,属性投放!$AE$6:$AE$26,1)</f>
        <v>18</v>
      </c>
      <c r="HG136" s="13" t="str">
        <f>INDEX(属性投放!$AB$7:$AB$26,卡牌属性!HF136)</f>
        <v>大焦热+2</v>
      </c>
      <c r="HH136" s="14">
        <f t="shared" si="342"/>
        <v>9243</v>
      </c>
      <c r="HI136" s="14">
        <f t="shared" si="343"/>
        <v>4028</v>
      </c>
      <c r="HJ136" s="14">
        <f t="shared" si="344"/>
        <v>73134</v>
      </c>
      <c r="HK136" s="14">
        <f t="shared" si="345"/>
        <v>50</v>
      </c>
      <c r="HL136" s="14">
        <f t="shared" si="346"/>
        <v>18</v>
      </c>
      <c r="HM136" s="14">
        <f t="shared" si="347"/>
        <v>350</v>
      </c>
      <c r="HN136" s="14">
        <f>HH136+HK136*($HC136-INDEX(属性投放!$AE$6:$AE$26,卡牌属性!$HF136))</f>
        <v>9593</v>
      </c>
      <c r="HO136" s="14">
        <f>HI136+HL136*($HC136-INDEX(属性投放!$AE$6:$AE$26,卡牌属性!$HF136))</f>
        <v>4154</v>
      </c>
      <c r="HP136" s="14">
        <f>HJ136+HM136*($HC136-INDEX(属性投放!$AE$6:$AE$26,卡牌属性!$HF136))</f>
        <v>75584</v>
      </c>
      <c r="HQ136" s="14">
        <f t="shared" si="348"/>
        <v>11635</v>
      </c>
      <c r="HR136" s="14">
        <f t="shared" si="349"/>
        <v>5827</v>
      </c>
      <c r="HS136" s="14">
        <f t="shared" si="350"/>
        <v>111785</v>
      </c>
      <c r="HT136" s="14">
        <f>IF(COUNTIF(属性投放!$AO$7:$AO$58,"="&amp;卡牌属性!HC136)&gt;0,卡牌属性!HE136,0)</f>
        <v>0</v>
      </c>
      <c r="HU136" s="14">
        <f t="shared" si="351"/>
        <v>0</v>
      </c>
      <c r="HV136" s="14">
        <f t="shared" si="352"/>
        <v>0</v>
      </c>
      <c r="HW136" s="14">
        <f t="shared" si="353"/>
        <v>0</v>
      </c>
      <c r="HX136" s="14">
        <f>IF(COUNTIF(属性投放!$AE$6:$AE$26,"="&amp;卡牌属性!HC136)&gt;0,卡牌属性!HF136,0)</f>
        <v>18</v>
      </c>
      <c r="HY136" s="14">
        <f t="shared" si="354"/>
        <v>950</v>
      </c>
      <c r="HZ136" s="14">
        <f t="shared" si="355"/>
        <v>475</v>
      </c>
      <c r="IA136" s="14">
        <f t="shared" si="356"/>
        <v>9500</v>
      </c>
      <c r="IB136" s="14">
        <f t="shared" si="357"/>
        <v>50</v>
      </c>
      <c r="IC136" s="14">
        <f t="shared" si="358"/>
        <v>18</v>
      </c>
      <c r="ID136" s="14">
        <f t="shared" si="359"/>
        <v>350</v>
      </c>
      <c r="IE136" s="14">
        <f t="shared" si="360"/>
        <v>21228</v>
      </c>
      <c r="IF136" s="14">
        <f t="shared" si="361"/>
        <v>9981</v>
      </c>
      <c r="IG136" s="14">
        <f t="shared" si="362"/>
        <v>187369</v>
      </c>
      <c r="IH136" s="14">
        <f t="shared" si="363"/>
        <v>1210</v>
      </c>
      <c r="II136" s="14">
        <f t="shared" si="364"/>
        <v>0</v>
      </c>
      <c r="IJ136" s="14">
        <f t="shared" si="365"/>
        <v>28500</v>
      </c>
      <c r="IK136" s="14">
        <f t="shared" si="366"/>
        <v>599269</v>
      </c>
      <c r="IL136" s="17">
        <f t="shared" si="367"/>
        <v>2.0191266359514677E-3</v>
      </c>
      <c r="IM136" s="17">
        <f t="shared" si="368"/>
        <v>0</v>
      </c>
      <c r="IN136" s="17">
        <f t="shared" si="369"/>
        <v>4.755794142530316E-2</v>
      </c>
      <c r="IO136" s="23">
        <f>SUM(IH$5:IH136)</f>
        <v>90784</v>
      </c>
      <c r="IP136" s="14">
        <f>SUM(II$5:II136)</f>
        <v>344675</v>
      </c>
      <c r="IQ136" s="14">
        <f>SUM(IJ$5:IJ136)</f>
        <v>160640</v>
      </c>
      <c r="IR136" s="17">
        <f t="shared" si="370"/>
        <v>0.15149123348613061</v>
      </c>
      <c r="IS136" s="17">
        <f t="shared" si="371"/>
        <v>0.57515906879881995</v>
      </c>
      <c r="IT136" s="17">
        <f t="shared" si="372"/>
        <v>0.2680599196687965</v>
      </c>
      <c r="IW136" s="13">
        <v>132</v>
      </c>
      <c r="IX136" s="14">
        <f>MATCH(IW136-1,属性投放!$T$6:$T$66,1)</f>
        <v>39</v>
      </c>
      <c r="IY136" s="14">
        <f>MATCH(IW136-1,属性投放!$AD$7:$AD$26,1)</f>
        <v>17</v>
      </c>
      <c r="IZ136" s="14" t="str">
        <f>INDEX(属性投放!$AB$7:$AB$26,IY136)</f>
        <v>大焦热+1</v>
      </c>
      <c r="JA136" s="14">
        <f t="shared" si="373"/>
        <v>10383</v>
      </c>
      <c r="JB136" s="14">
        <f t="shared" si="374"/>
        <v>5158</v>
      </c>
      <c r="JC136" s="14">
        <f t="shared" si="375"/>
        <v>95606</v>
      </c>
      <c r="JD136" s="14">
        <f t="shared" si="376"/>
        <v>235</v>
      </c>
      <c r="JE136" s="14">
        <f t="shared" si="377"/>
        <v>117</v>
      </c>
      <c r="JF136" s="14">
        <f t="shared" si="378"/>
        <v>2346</v>
      </c>
      <c r="JG136" s="14">
        <f>INDEX(属性投放!$DC$6:$DC$85,卡牌属性!IY136)</f>
        <v>110</v>
      </c>
      <c r="JH136" s="14">
        <f t="shared" si="379"/>
        <v>15553</v>
      </c>
      <c r="JI136" s="14">
        <f t="shared" si="380"/>
        <v>7732</v>
      </c>
      <c r="JJ136" s="14">
        <f t="shared" si="381"/>
        <v>147218</v>
      </c>
      <c r="JK136" s="14">
        <f t="shared" si="382"/>
        <v>302303</v>
      </c>
    </row>
    <row r="137" spans="31:271" ht="16.5" x14ac:dyDescent="0.2">
      <c r="AE137" s="13">
        <v>133</v>
      </c>
      <c r="AF137" s="13">
        <f t="shared" si="331"/>
        <v>7</v>
      </c>
      <c r="AG137" s="13">
        <f t="shared" si="316"/>
        <v>4</v>
      </c>
      <c r="AH137" s="13"/>
      <c r="AI137" s="13"/>
      <c r="AJ137" s="14">
        <f t="shared" si="317"/>
        <v>1101007</v>
      </c>
      <c r="AK137" s="14" t="str">
        <f t="shared" si="318"/>
        <v>战斗曹焱兵13突</v>
      </c>
      <c r="AL137" s="25" t="s">
        <v>142</v>
      </c>
      <c r="AM137" s="14">
        <v>1</v>
      </c>
      <c r="AN137" s="14">
        <f t="shared" si="319"/>
        <v>13</v>
      </c>
      <c r="AO137" s="14">
        <f>INDEX(属性投放!$DF$6:$DF$85,(卡牌属性!AG137-2)*20+卡牌属性!AN137)</f>
        <v>7039</v>
      </c>
      <c r="AP137" s="14">
        <f t="shared" si="295"/>
        <v>7039</v>
      </c>
      <c r="AQ137" s="14">
        <f t="shared" si="295"/>
        <v>7039</v>
      </c>
      <c r="AR137" s="14">
        <f t="shared" si="295"/>
        <v>7039</v>
      </c>
      <c r="AS137" s="14">
        <f t="shared" si="295"/>
        <v>7039</v>
      </c>
      <c r="AT137" s="14">
        <f>INDEX(属性投放!$DG$6:$DG$85,(卡牌属性!AG137-2)*20+卡牌属性!AN137)</f>
        <v>3449</v>
      </c>
      <c r="AU137" s="14">
        <f t="shared" si="296"/>
        <v>3449</v>
      </c>
      <c r="AV137" s="14">
        <f t="shared" si="296"/>
        <v>3449</v>
      </c>
      <c r="AW137" s="14">
        <f t="shared" si="296"/>
        <v>3449</v>
      </c>
      <c r="AX137" s="14">
        <f t="shared" si="296"/>
        <v>3449</v>
      </c>
      <c r="AY137" s="14">
        <f>INDEX(属性投放!$DH$6:$DH$85,(卡牌属性!AG137-2)*20+卡牌属性!AN137)</f>
        <v>56653</v>
      </c>
      <c r="AZ137" s="14">
        <f t="shared" si="297"/>
        <v>56653</v>
      </c>
      <c r="BA137" s="14">
        <f t="shared" si="297"/>
        <v>56653</v>
      </c>
      <c r="BB137" s="14">
        <f t="shared" si="297"/>
        <v>56653</v>
      </c>
      <c r="BC137" s="14">
        <f t="shared" si="297"/>
        <v>56653</v>
      </c>
      <c r="BD137" s="14">
        <f>INDEX(属性投放!$DL$6:$DL$85,(卡牌属性!AG137-2)*20+卡牌属性!AN137)</f>
        <v>203</v>
      </c>
      <c r="BE137" s="14">
        <f t="shared" si="298"/>
        <v>203</v>
      </c>
      <c r="BF137" s="14">
        <f t="shared" si="298"/>
        <v>203</v>
      </c>
      <c r="BG137" s="14">
        <f t="shared" si="298"/>
        <v>203</v>
      </c>
      <c r="BH137" s="14">
        <f t="shared" si="298"/>
        <v>203</v>
      </c>
      <c r="BI137" s="14">
        <f>INDEX(属性投放!$DM$6:$DM$85,(卡牌属性!AG137-2)*20+卡牌属性!AN137)</f>
        <v>101</v>
      </c>
      <c r="BJ137" s="14">
        <f t="shared" si="299"/>
        <v>101</v>
      </c>
      <c r="BK137" s="14">
        <f t="shared" si="299"/>
        <v>101</v>
      </c>
      <c r="BL137" s="14">
        <f t="shared" si="299"/>
        <v>101</v>
      </c>
      <c r="BM137" s="14">
        <f t="shared" si="299"/>
        <v>101</v>
      </c>
      <c r="BN137" s="14">
        <f>INDEX(属性投放!$DN$6:$DN$85,(卡牌属性!AG137-2)*20+卡牌属性!AN137)</f>
        <v>2027</v>
      </c>
      <c r="BO137" s="14">
        <f t="shared" si="300"/>
        <v>2027</v>
      </c>
      <c r="BP137" s="14">
        <f t="shared" si="300"/>
        <v>2027</v>
      </c>
      <c r="BQ137" s="14">
        <f t="shared" si="300"/>
        <v>2027</v>
      </c>
      <c r="BR137" s="14">
        <f t="shared" si="300"/>
        <v>2027</v>
      </c>
      <c r="BW137" s="13">
        <v>133</v>
      </c>
      <c r="BX137" s="13">
        <f t="shared" si="320"/>
        <v>7</v>
      </c>
      <c r="BY137" s="14">
        <f t="shared" si="321"/>
        <v>4</v>
      </c>
      <c r="BZ137" s="14">
        <f t="shared" si="332"/>
        <v>1102007</v>
      </c>
      <c r="CA137" s="14" t="str">
        <f t="shared" si="333"/>
        <v>天使缇娜13突</v>
      </c>
      <c r="CB137" s="25" t="s">
        <v>142</v>
      </c>
      <c r="CC137" s="14">
        <v>2</v>
      </c>
      <c r="CD137" s="14">
        <f t="shared" si="322"/>
        <v>13</v>
      </c>
      <c r="CE137" s="14" t="s">
        <v>21</v>
      </c>
      <c r="CF137" s="14">
        <f>INDEX(属性投放!$AZ$6:$AZ$85,(BY137-2)*20+CD137)</f>
        <v>6778</v>
      </c>
      <c r="CG137" s="14" t="s">
        <v>22</v>
      </c>
      <c r="CH137" s="14">
        <f>INDEX(属性投放!$BA$6:$BA$85,(BY137-2)*20+CD137)</f>
        <v>3341</v>
      </c>
      <c r="CI137" s="14" t="s">
        <v>510</v>
      </c>
      <c r="CJ137" s="14">
        <f>INDEX(属性投放!$BB$6:$BB$85,(BY137-2)*20+CD137)</f>
        <v>54103</v>
      </c>
      <c r="CK137" s="14" t="s">
        <v>21</v>
      </c>
      <c r="CL137" s="14">
        <f>INDEX(属性投放!$BC$6:$BC$85,(BY137-2)*20+CD137)</f>
        <v>40</v>
      </c>
      <c r="CM137" s="14" t="s">
        <v>22</v>
      </c>
      <c r="CN137" s="14">
        <f>INDEX(属性投放!$BD$6:$BD$85,(BY137-2)*20+CD137)</f>
        <v>20</v>
      </c>
      <c r="CO137" s="14" t="s">
        <v>510</v>
      </c>
      <c r="CP137" s="14">
        <f>INDEX(属性投放!$BE$6:$BE$85,(BY137-2)*20+CD137)</f>
        <v>400</v>
      </c>
      <c r="CS137" s="13">
        <v>133</v>
      </c>
      <c r="CT137" s="13">
        <f t="shared" si="334"/>
        <v>3</v>
      </c>
      <c r="CU137" s="13">
        <f t="shared" si="335"/>
        <v>29</v>
      </c>
      <c r="CV137" s="14">
        <f t="shared" si="336"/>
        <v>4</v>
      </c>
      <c r="CW137" s="14">
        <f t="shared" si="337"/>
        <v>1102003</v>
      </c>
      <c r="CX137" s="14" t="str">
        <f>INDEX($O$6:$O$50,CT137)&amp;"-"&amp;INDEX(属性投放!$AB$7:$AB$50,CZ137)&amp;"-魂火-"&amp;DB137</f>
        <v>典韦-焦热-魂火-2</v>
      </c>
      <c r="CY137" s="25" t="s">
        <v>142</v>
      </c>
      <c r="CZ137" s="14">
        <f>INDEX(属性投放!$AM$7:$AM$58,CU137)</f>
        <v>13</v>
      </c>
      <c r="DA137" s="14" t="s">
        <v>537</v>
      </c>
      <c r="DB137" s="14">
        <f>INDEX(属性投放!$AN$7:$AN$58,CU137)</f>
        <v>2</v>
      </c>
      <c r="DC137" s="14">
        <f t="shared" si="323"/>
        <v>29</v>
      </c>
      <c r="DD137" s="14">
        <f>INDEX(属性投放!$AO$7:$AO$58,DC137)</f>
        <v>90</v>
      </c>
      <c r="DE137" s="14" t="s">
        <v>538</v>
      </c>
      <c r="DF137" s="14">
        <f>INDEX(属性投放!$BK$6:$BK$85,(CV137-2)*20+CZ137)</f>
        <v>275</v>
      </c>
      <c r="DG137" s="14">
        <f>SUMIFS(DF$5:DF137,$CT$5:$CT137,"="&amp;$CT137)</f>
        <v>3305</v>
      </c>
      <c r="DH137" s="14" t="s">
        <v>539</v>
      </c>
      <c r="DI137" s="14">
        <f>INDEX(属性投放!$BL$6:$BL$85,(CV137-2)*20+CZ137)</f>
        <v>138</v>
      </c>
      <c r="DJ137" s="14">
        <f>SUMIFS(DI$5:DI137,$CT$5:$CT137,"="&amp;$CT137)</f>
        <v>1660</v>
      </c>
      <c r="DK137" s="14" t="s">
        <v>540</v>
      </c>
      <c r="DL137" s="14">
        <f>INDEX(属性投放!$BM$6:$BM$85,(CV137-2)*20+CZ137)</f>
        <v>2750</v>
      </c>
      <c r="DM137" s="14">
        <f>SUMIFS(DL$5:DL137,$CT$5:$CT137,"="&amp;$CT137)</f>
        <v>28485</v>
      </c>
      <c r="DR137" s="14">
        <f t="shared" si="324"/>
        <v>1102007</v>
      </c>
      <c r="DS137" s="14" t="str">
        <f t="shared" si="325"/>
        <v>天使缇娜13突</v>
      </c>
      <c r="DT137" s="14">
        <f t="shared" si="338"/>
        <v>7</v>
      </c>
      <c r="DU137" s="14">
        <f t="shared" si="339"/>
        <v>6</v>
      </c>
      <c r="DV137" s="14">
        <f t="shared" si="340"/>
        <v>6</v>
      </c>
      <c r="DW137" s="14">
        <f t="shared" si="326"/>
        <v>4</v>
      </c>
      <c r="DX137" s="14">
        <f t="shared" si="327"/>
        <v>13</v>
      </c>
      <c r="DY137" s="14">
        <f t="shared" si="328"/>
        <v>53</v>
      </c>
      <c r="DZ137" s="14">
        <f>INDEX(属性投放!$AX$6:$AX$85,(卡牌属性!DW137-2)*20+卡牌属性!DX137)</f>
        <v>8</v>
      </c>
      <c r="EA137" s="14">
        <f>INDEX(属性投放!BQ$6:BQ$85,卡牌属性!$DY137)</f>
        <v>450</v>
      </c>
      <c r="EB137" s="14">
        <f>INDEX(属性投放!BR$6:BR$85,卡牌属性!$DY137)</f>
        <v>225</v>
      </c>
      <c r="EC137" s="14">
        <f>INDEX(属性投放!BS$6:BS$85,卡牌属性!$DY137)</f>
        <v>4500</v>
      </c>
      <c r="ED137" s="14">
        <f t="shared" si="301"/>
        <v>4023</v>
      </c>
      <c r="EE137" s="14">
        <f t="shared" si="302"/>
        <v>4325</v>
      </c>
      <c r="EF137" s="14">
        <f t="shared" si="303"/>
        <v>4655</v>
      </c>
      <c r="EG137" s="14">
        <f t="shared" si="304"/>
        <v>4655</v>
      </c>
      <c r="EH137" s="14">
        <f t="shared" si="305"/>
        <v>5335</v>
      </c>
      <c r="EI137" s="14">
        <f t="shared" si="306"/>
        <v>1684</v>
      </c>
      <c r="EJ137" s="14">
        <f t="shared" si="307"/>
        <v>1982</v>
      </c>
      <c r="EK137" s="14">
        <f t="shared" si="308"/>
        <v>1982</v>
      </c>
      <c r="EL137" s="14">
        <f t="shared" si="309"/>
        <v>2137</v>
      </c>
      <c r="EM137" s="14">
        <f t="shared" si="310"/>
        <v>2292</v>
      </c>
      <c r="EN137" s="14">
        <f t="shared" si="311"/>
        <v>26404</v>
      </c>
      <c r="EO137" s="14">
        <f t="shared" si="312"/>
        <v>31118</v>
      </c>
      <c r="EP137" s="14">
        <f t="shared" si="313"/>
        <v>31118</v>
      </c>
      <c r="EQ137" s="14">
        <f t="shared" si="314"/>
        <v>33312</v>
      </c>
      <c r="ER137" s="14">
        <f t="shared" si="315"/>
        <v>35660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INDEX(属性投放!$BQ$6:$BQ$85,(卡牌属性!$DW137-2)*20+卡牌属性!$DX137)</f>
        <v>450</v>
      </c>
      <c r="FI137" s="14">
        <f>INDEX(属性投放!$BQ$6:$BQ$85,(卡牌属性!$DW137-2)*20+卡牌属性!$DX137)</f>
        <v>450</v>
      </c>
      <c r="FJ137" s="14">
        <f>INDEX(属性投放!$BQ$6:$BQ$85,(卡牌属性!$DW137-2)*20+卡牌属性!$DX137)</f>
        <v>450</v>
      </c>
      <c r="FK137" s="14">
        <f>INDEX(属性投放!$BQ$6:$BQ$85,(卡牌属性!$DW137-2)*20+卡牌属性!$DX137)</f>
        <v>450</v>
      </c>
      <c r="FL137" s="14">
        <f>INDEX(属性投放!$BQ$6:$BQ$85,(卡牌属性!$DW137-2)*20+卡牌属性!$DX137)</f>
        <v>450</v>
      </c>
      <c r="FM137" s="14">
        <f>INDEX(属性投放!$BR$6:$BR$85,(卡牌属性!$DW137-2)*20+卡牌属性!$DX137)</f>
        <v>225</v>
      </c>
      <c r="FN137" s="14">
        <f>INDEX(属性投放!$BR$6:$BR$85,(卡牌属性!$DW137-2)*20+卡牌属性!$DX137)</f>
        <v>225</v>
      </c>
      <c r="FO137" s="14">
        <f>INDEX(属性投放!$BR$6:$BR$85,(卡牌属性!$DW137-2)*20+卡牌属性!$DX137)</f>
        <v>225</v>
      </c>
      <c r="FP137" s="14">
        <f>INDEX(属性投放!$BR$6:$BR$85,(卡牌属性!$DW137-2)*20+卡牌属性!$DX137)</f>
        <v>225</v>
      </c>
      <c r="FQ137" s="14">
        <f>INDEX(属性投放!$BR$6:$BR$85,(卡牌属性!$DW137-2)*20+卡牌属性!$DX137)</f>
        <v>225</v>
      </c>
      <c r="FR137" s="14">
        <f>INDEX(属性投放!$BS$6:$BS$85,(卡牌属性!$DW137-2)*20+卡牌属性!$DX137)</f>
        <v>4500</v>
      </c>
      <c r="FS137" s="14">
        <f>INDEX(属性投放!$BS$6:$BS$85,(卡牌属性!$DW137-2)*20+卡牌属性!$DX137)</f>
        <v>4500</v>
      </c>
      <c r="FT137" s="14">
        <f>INDEX(属性投放!$BS$6:$BS$85,(卡牌属性!$DW137-2)*20+卡牌属性!$DX137)</f>
        <v>4500</v>
      </c>
      <c r="FU137" s="14">
        <f>INDEX(属性投放!$BS$6:$BS$85,(卡牌属性!$DW137-2)*20+卡牌属性!$DX137)</f>
        <v>4500</v>
      </c>
      <c r="FV137" s="14">
        <f>INDEX(属性投放!$BS$6:$BS$85,(卡牌属性!$DW137-2)*20+卡牌属性!$DX137)</f>
        <v>4500</v>
      </c>
      <c r="FZ137" s="13">
        <v>133</v>
      </c>
      <c r="GA137" s="13">
        <f t="shared" si="291"/>
        <v>27</v>
      </c>
      <c r="GB137" s="14">
        <f t="shared" si="341"/>
        <v>1102030</v>
      </c>
      <c r="GC137" s="14" t="s">
        <v>1187</v>
      </c>
      <c r="GD137" s="14">
        <f t="shared" si="329"/>
        <v>3</v>
      </c>
      <c r="GE137" s="14" t="str">
        <f t="shared" si="330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MATCH(HC137,属性投放!$AO$6:$AO$58,1)-1</f>
        <v>46</v>
      </c>
      <c r="HF137" s="13">
        <f>MATCH(HC137-1,属性投放!$AE$6:$AE$26,1)</f>
        <v>19</v>
      </c>
      <c r="HG137" s="13" t="str">
        <f>INDEX(属性投放!$AB$7:$AB$26,卡牌属性!HF137)</f>
        <v>无间</v>
      </c>
      <c r="HH137" s="14">
        <f t="shared" si="342"/>
        <v>11093</v>
      </c>
      <c r="HI137" s="14">
        <f t="shared" si="343"/>
        <v>4904</v>
      </c>
      <c r="HJ137" s="14">
        <f t="shared" si="344"/>
        <v>90584</v>
      </c>
      <c r="HK137" s="14">
        <f t="shared" si="345"/>
        <v>75</v>
      </c>
      <c r="HL137" s="14">
        <f t="shared" si="346"/>
        <v>23</v>
      </c>
      <c r="HM137" s="14">
        <f t="shared" si="347"/>
        <v>450</v>
      </c>
      <c r="HN137" s="14">
        <f>HH137+HK137*($HC137-INDEX(属性投放!$AE$6:$AE$26,卡牌属性!$HF137))</f>
        <v>11168</v>
      </c>
      <c r="HO137" s="14">
        <f>HI137+HL137*($HC137-INDEX(属性投放!$AE$6:$AE$26,卡牌属性!$HF137))</f>
        <v>4927</v>
      </c>
      <c r="HP137" s="14">
        <f>HJ137+HM137*($HC137-INDEX(属性投放!$AE$6:$AE$26,卡牌属性!$HF137))</f>
        <v>91034</v>
      </c>
      <c r="HQ137" s="14">
        <f t="shared" si="348"/>
        <v>12535</v>
      </c>
      <c r="HR137" s="14">
        <f t="shared" si="349"/>
        <v>6277</v>
      </c>
      <c r="HS137" s="14">
        <f t="shared" si="350"/>
        <v>120785</v>
      </c>
      <c r="HT137" s="14">
        <f>IF(COUNTIF(属性投放!$AO$7:$AO$58,"="&amp;卡牌属性!HC137)&gt;0,卡牌属性!HE137,0)</f>
        <v>46</v>
      </c>
      <c r="HU137" s="14">
        <f t="shared" si="351"/>
        <v>900</v>
      </c>
      <c r="HV137" s="14">
        <f t="shared" si="352"/>
        <v>450</v>
      </c>
      <c r="HW137" s="14">
        <f t="shared" si="353"/>
        <v>9000</v>
      </c>
      <c r="HX137" s="14">
        <f>IF(COUNTIF(属性投放!$AE$6:$AE$26,"="&amp;卡牌属性!HC137)&gt;0,卡牌属性!HF137,0)</f>
        <v>0</v>
      </c>
      <c r="HY137" s="14">
        <f t="shared" si="354"/>
        <v>0</v>
      </c>
      <c r="HZ137" s="14">
        <f t="shared" si="355"/>
        <v>0</v>
      </c>
      <c r="IA137" s="14">
        <f t="shared" si="356"/>
        <v>0</v>
      </c>
      <c r="IB137" s="14">
        <f t="shared" si="357"/>
        <v>75</v>
      </c>
      <c r="IC137" s="14">
        <f t="shared" si="358"/>
        <v>23</v>
      </c>
      <c r="ID137" s="14">
        <f t="shared" si="359"/>
        <v>450</v>
      </c>
      <c r="IE137" s="14">
        <f t="shared" si="360"/>
        <v>23703</v>
      </c>
      <c r="IF137" s="14">
        <f t="shared" si="361"/>
        <v>11204</v>
      </c>
      <c r="IG137" s="14">
        <f t="shared" si="362"/>
        <v>211819</v>
      </c>
      <c r="IH137" s="14">
        <f t="shared" si="363"/>
        <v>1660</v>
      </c>
      <c r="II137" s="14">
        <f t="shared" si="364"/>
        <v>27000</v>
      </c>
      <c r="IJ137" s="14">
        <f t="shared" si="365"/>
        <v>0</v>
      </c>
      <c r="IK137" s="14">
        <f t="shared" si="366"/>
        <v>672929</v>
      </c>
      <c r="IL137" s="17">
        <f t="shared" si="367"/>
        <v>2.4668278525669129E-3</v>
      </c>
      <c r="IM137" s="17">
        <f t="shared" si="368"/>
        <v>4.0123103626088341E-2</v>
      </c>
      <c r="IN137" s="17">
        <f t="shared" si="369"/>
        <v>0</v>
      </c>
      <c r="IO137" s="23">
        <f>SUM(IH$5:IH137)</f>
        <v>92444</v>
      </c>
      <c r="IP137" s="14">
        <f>SUM(II$5:II137)</f>
        <v>371675</v>
      </c>
      <c r="IQ137" s="14">
        <f>SUM(IJ$5:IJ137)</f>
        <v>160640</v>
      </c>
      <c r="IR137" s="17">
        <f t="shared" si="370"/>
        <v>0.13737556265222631</v>
      </c>
      <c r="IS137" s="17">
        <f t="shared" si="371"/>
        <v>0.55232424223060683</v>
      </c>
      <c r="IT137" s="17">
        <f t="shared" si="372"/>
        <v>0.23871760616647522</v>
      </c>
      <c r="IW137" s="13">
        <v>133</v>
      </c>
      <c r="IX137" s="14">
        <f>MATCH(IW137-1,属性投放!$T$6:$T$66,1)</f>
        <v>40</v>
      </c>
      <c r="IY137" s="14">
        <f>MATCH(IW137-1,属性投放!$AD$7:$AD$26,1)</f>
        <v>17</v>
      </c>
      <c r="IZ137" s="14" t="str">
        <f>INDEX(属性投放!$AB$7:$AB$26,IY137)</f>
        <v>大焦热+1</v>
      </c>
      <c r="JA137" s="14">
        <f t="shared" si="373"/>
        <v>10383</v>
      </c>
      <c r="JB137" s="14">
        <f t="shared" si="374"/>
        <v>5158</v>
      </c>
      <c r="JC137" s="14">
        <f t="shared" si="375"/>
        <v>95606</v>
      </c>
      <c r="JD137" s="14">
        <f t="shared" si="376"/>
        <v>235</v>
      </c>
      <c r="JE137" s="14">
        <f t="shared" si="377"/>
        <v>117</v>
      </c>
      <c r="JF137" s="14">
        <f t="shared" si="378"/>
        <v>2346</v>
      </c>
      <c r="JG137" s="14">
        <f>INDEX(属性投放!$DC$6:$DC$85,卡牌属性!IY137)</f>
        <v>110</v>
      </c>
      <c r="JH137" s="14">
        <f t="shared" si="379"/>
        <v>15788</v>
      </c>
      <c r="JI137" s="14">
        <f t="shared" si="380"/>
        <v>7849</v>
      </c>
      <c r="JJ137" s="14">
        <f t="shared" si="381"/>
        <v>149564</v>
      </c>
      <c r="JK137" s="14">
        <f t="shared" si="382"/>
        <v>306994</v>
      </c>
    </row>
    <row r="138" spans="31:271" ht="16.5" x14ac:dyDescent="0.2">
      <c r="AE138" s="13">
        <v>134</v>
      </c>
      <c r="AF138" s="13">
        <f t="shared" si="331"/>
        <v>7</v>
      </c>
      <c r="AG138" s="13">
        <f t="shared" si="316"/>
        <v>4</v>
      </c>
      <c r="AH138" s="13"/>
      <c r="AI138" s="13"/>
      <c r="AJ138" s="14">
        <f t="shared" si="317"/>
        <v>1101007</v>
      </c>
      <c r="AK138" s="14" t="str">
        <f t="shared" si="318"/>
        <v>战斗曹焱兵14突</v>
      </c>
      <c r="AL138" s="25" t="s">
        <v>142</v>
      </c>
      <c r="AM138" s="14">
        <v>1</v>
      </c>
      <c r="AN138" s="14">
        <f t="shared" si="319"/>
        <v>14</v>
      </c>
      <c r="AO138" s="14">
        <f>INDEX(属性投放!$DF$6:$DF$85,(卡牌属性!AG138-2)*20+卡牌属性!AN138)</f>
        <v>7618</v>
      </c>
      <c r="AP138" s="14">
        <f t="shared" si="295"/>
        <v>7618</v>
      </c>
      <c r="AQ138" s="14">
        <f t="shared" si="295"/>
        <v>7618</v>
      </c>
      <c r="AR138" s="14">
        <f t="shared" si="295"/>
        <v>7618</v>
      </c>
      <c r="AS138" s="14">
        <f t="shared" si="295"/>
        <v>7618</v>
      </c>
      <c r="AT138" s="14">
        <f>INDEX(属性投放!$DG$6:$DG$85,(卡牌属性!AG138-2)*20+卡牌属性!AN138)</f>
        <v>3739</v>
      </c>
      <c r="AU138" s="14">
        <f t="shared" si="296"/>
        <v>3739</v>
      </c>
      <c r="AV138" s="14">
        <f t="shared" si="296"/>
        <v>3739</v>
      </c>
      <c r="AW138" s="14">
        <f t="shared" si="296"/>
        <v>3739</v>
      </c>
      <c r="AX138" s="14">
        <f t="shared" si="296"/>
        <v>3739</v>
      </c>
      <c r="AY138" s="14">
        <f>INDEX(属性投放!$DH$6:$DH$85,(卡牌属性!AG138-2)*20+卡牌属性!AN138)</f>
        <v>62443</v>
      </c>
      <c r="AZ138" s="14">
        <f t="shared" si="297"/>
        <v>62443</v>
      </c>
      <c r="BA138" s="14">
        <f t="shared" si="297"/>
        <v>62443</v>
      </c>
      <c r="BB138" s="14">
        <f t="shared" si="297"/>
        <v>62443</v>
      </c>
      <c r="BC138" s="14">
        <f t="shared" si="297"/>
        <v>62443</v>
      </c>
      <c r="BD138" s="14">
        <f>INDEX(属性投放!$DL$6:$DL$85,(卡牌属性!AG138-2)*20+卡牌属性!AN138)</f>
        <v>203</v>
      </c>
      <c r="BE138" s="14">
        <f t="shared" si="298"/>
        <v>203</v>
      </c>
      <c r="BF138" s="14">
        <f t="shared" si="298"/>
        <v>203</v>
      </c>
      <c r="BG138" s="14">
        <f t="shared" si="298"/>
        <v>203</v>
      </c>
      <c r="BH138" s="14">
        <f t="shared" si="298"/>
        <v>203</v>
      </c>
      <c r="BI138" s="14">
        <f>INDEX(属性投放!$DM$6:$DM$85,(卡牌属性!AG138-2)*20+卡牌属性!AN138)</f>
        <v>101</v>
      </c>
      <c r="BJ138" s="14">
        <f t="shared" si="299"/>
        <v>101</v>
      </c>
      <c r="BK138" s="14">
        <f t="shared" si="299"/>
        <v>101</v>
      </c>
      <c r="BL138" s="14">
        <f t="shared" si="299"/>
        <v>101</v>
      </c>
      <c r="BM138" s="14">
        <f t="shared" si="299"/>
        <v>101</v>
      </c>
      <c r="BN138" s="14">
        <f>INDEX(属性投放!$DN$6:$DN$85,(卡牌属性!AG138-2)*20+卡牌属性!AN138)</f>
        <v>2027</v>
      </c>
      <c r="BO138" s="14">
        <f t="shared" si="300"/>
        <v>2027</v>
      </c>
      <c r="BP138" s="14">
        <f t="shared" si="300"/>
        <v>2027</v>
      </c>
      <c r="BQ138" s="14">
        <f t="shared" si="300"/>
        <v>2027</v>
      </c>
      <c r="BR138" s="14">
        <f t="shared" si="300"/>
        <v>2027</v>
      </c>
      <c r="BW138" s="13">
        <v>134</v>
      </c>
      <c r="BX138" s="13">
        <f t="shared" si="320"/>
        <v>7</v>
      </c>
      <c r="BY138" s="14">
        <f t="shared" si="321"/>
        <v>4</v>
      </c>
      <c r="BZ138" s="14">
        <f t="shared" si="332"/>
        <v>1102007</v>
      </c>
      <c r="CA138" s="14" t="str">
        <f t="shared" si="333"/>
        <v>天使缇娜14突</v>
      </c>
      <c r="CB138" s="25" t="s">
        <v>142</v>
      </c>
      <c r="CC138" s="14">
        <v>2</v>
      </c>
      <c r="CD138" s="14">
        <f t="shared" si="322"/>
        <v>14</v>
      </c>
      <c r="CE138" s="14" t="s">
        <v>21</v>
      </c>
      <c r="CF138" s="14">
        <f>INDEX(属性投放!$AZ$6:$AZ$85,(BY138-2)*20+CD138)</f>
        <v>8373</v>
      </c>
      <c r="CG138" s="14" t="s">
        <v>22</v>
      </c>
      <c r="CH138" s="14">
        <f>INDEX(属性投放!$BA$6:$BA$85,(BY138-2)*20+CD138)</f>
        <v>4140</v>
      </c>
      <c r="CI138" s="14" t="s">
        <v>510</v>
      </c>
      <c r="CJ138" s="14">
        <f>INDEX(属性投放!$BB$6:$BB$85,(BY138-2)*20+CD138)</f>
        <v>70053</v>
      </c>
      <c r="CK138" s="14" t="s">
        <v>21</v>
      </c>
      <c r="CL138" s="14">
        <f>INDEX(属性投放!$BC$6:$BC$85,(BY138-2)*20+CD138)</f>
        <v>40</v>
      </c>
      <c r="CM138" s="14" t="s">
        <v>22</v>
      </c>
      <c r="CN138" s="14">
        <f>INDEX(属性投放!$BD$6:$BD$85,(BY138-2)*20+CD138)</f>
        <v>20</v>
      </c>
      <c r="CO138" s="14" t="s">
        <v>510</v>
      </c>
      <c r="CP138" s="14">
        <f>INDEX(属性投放!$BE$6:$BE$85,(BY138-2)*20+CD138)</f>
        <v>400</v>
      </c>
      <c r="CS138" s="13">
        <v>134</v>
      </c>
      <c r="CT138" s="13">
        <f t="shared" si="334"/>
        <v>3</v>
      </c>
      <c r="CU138" s="13">
        <f t="shared" si="335"/>
        <v>30</v>
      </c>
      <c r="CV138" s="14">
        <f t="shared" si="336"/>
        <v>4</v>
      </c>
      <c r="CW138" s="14">
        <f t="shared" si="337"/>
        <v>1102003</v>
      </c>
      <c r="CX138" s="14" t="str">
        <f>INDEX($O$6:$O$50,CT138)&amp;"-"&amp;INDEX(属性投放!$AB$7:$AB$50,CZ138)&amp;"-魂火-"&amp;DB138</f>
        <v>典韦-焦热-魂火-3</v>
      </c>
      <c r="CY138" s="25" t="s">
        <v>142</v>
      </c>
      <c r="CZ138" s="14">
        <f>INDEX(属性投放!$AM$7:$AM$58,CU138)</f>
        <v>13</v>
      </c>
      <c r="DA138" s="14" t="s">
        <v>537</v>
      </c>
      <c r="DB138" s="14">
        <f>INDEX(属性投放!$AN$7:$AN$58,CU138)</f>
        <v>3</v>
      </c>
      <c r="DC138" s="14">
        <f t="shared" si="323"/>
        <v>30</v>
      </c>
      <c r="DD138" s="14">
        <f>INDEX(属性投放!$AO$7:$AO$58,DC138)</f>
        <v>93</v>
      </c>
      <c r="DE138" s="14" t="s">
        <v>538</v>
      </c>
      <c r="DF138" s="14">
        <f>INDEX(属性投放!$BK$6:$BK$85,(CV138-2)*20+CZ138)</f>
        <v>275</v>
      </c>
      <c r="DG138" s="14">
        <f>SUMIFS(DF$5:DF138,$CT$5:$CT138,"="&amp;$CT138)</f>
        <v>3580</v>
      </c>
      <c r="DH138" s="14" t="s">
        <v>539</v>
      </c>
      <c r="DI138" s="14">
        <f>INDEX(属性投放!$BL$6:$BL$85,(CV138-2)*20+CZ138)</f>
        <v>138</v>
      </c>
      <c r="DJ138" s="14">
        <f>SUMIFS(DI$5:DI138,$CT$5:$CT138,"="&amp;$CT138)</f>
        <v>1798</v>
      </c>
      <c r="DK138" s="14" t="s">
        <v>540</v>
      </c>
      <c r="DL138" s="14">
        <f>INDEX(属性投放!$BM$6:$BM$85,(CV138-2)*20+CZ138)</f>
        <v>2750</v>
      </c>
      <c r="DM138" s="14">
        <f>SUMIFS(DL$5:DL138,$CT$5:$CT138,"="&amp;$CT138)</f>
        <v>31235</v>
      </c>
      <c r="DR138" s="14">
        <f t="shared" si="324"/>
        <v>1102007</v>
      </c>
      <c r="DS138" s="14" t="str">
        <f t="shared" si="325"/>
        <v>天使缇娜14突</v>
      </c>
      <c r="DT138" s="14">
        <f t="shared" si="338"/>
        <v>7</v>
      </c>
      <c r="DU138" s="14">
        <f t="shared" si="339"/>
        <v>6</v>
      </c>
      <c r="DV138" s="14">
        <f t="shared" si="340"/>
        <v>6</v>
      </c>
      <c r="DW138" s="14">
        <f t="shared" si="326"/>
        <v>4</v>
      </c>
      <c r="DX138" s="14">
        <f t="shared" si="327"/>
        <v>14</v>
      </c>
      <c r="DY138" s="14">
        <f t="shared" si="328"/>
        <v>54</v>
      </c>
      <c r="DZ138" s="14">
        <f>INDEX(属性投放!$AX$6:$AX$85,(卡牌属性!DW138-2)*20+卡牌属性!DX138)</f>
        <v>7</v>
      </c>
      <c r="EA138" s="14">
        <f>INDEX(属性投放!BQ$6:BQ$85,卡牌属性!$DY138)</f>
        <v>500</v>
      </c>
      <c r="EB138" s="14">
        <f>INDEX(属性投放!BR$6:BR$85,卡牌属性!$DY138)</f>
        <v>250</v>
      </c>
      <c r="EC138" s="14">
        <f>INDEX(属性投放!BS$6:BS$85,卡牌属性!$DY138)</f>
        <v>5000</v>
      </c>
      <c r="ED138" s="14">
        <f t="shared" si="301"/>
        <v>4793</v>
      </c>
      <c r="EE138" s="14">
        <f t="shared" si="302"/>
        <v>5135</v>
      </c>
      <c r="EF138" s="14">
        <f t="shared" si="303"/>
        <v>5505</v>
      </c>
      <c r="EG138" s="14">
        <f t="shared" si="304"/>
        <v>5505</v>
      </c>
      <c r="EH138" s="14">
        <f t="shared" si="305"/>
        <v>6385</v>
      </c>
      <c r="EI138" s="14">
        <f t="shared" si="306"/>
        <v>2013</v>
      </c>
      <c r="EJ138" s="14">
        <f t="shared" si="307"/>
        <v>2367</v>
      </c>
      <c r="EK138" s="14">
        <f t="shared" si="308"/>
        <v>2367</v>
      </c>
      <c r="EL138" s="14">
        <f t="shared" si="309"/>
        <v>2546</v>
      </c>
      <c r="EM138" s="14">
        <f t="shared" si="310"/>
        <v>2717</v>
      </c>
      <c r="EN138" s="14">
        <f t="shared" si="311"/>
        <v>32984</v>
      </c>
      <c r="EO138" s="14">
        <f t="shared" si="312"/>
        <v>38818</v>
      </c>
      <c r="EP138" s="14">
        <f t="shared" si="313"/>
        <v>38818</v>
      </c>
      <c r="EQ138" s="14">
        <f t="shared" si="314"/>
        <v>41412</v>
      </c>
      <c r="ER138" s="14">
        <f t="shared" si="315"/>
        <v>44160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INDEX(属性投放!$BQ$6:$BQ$85,(卡牌属性!$DW138-2)*20+卡牌属性!$DX138)</f>
        <v>500</v>
      </c>
      <c r="FI138" s="14">
        <f>INDEX(属性投放!$BQ$6:$BQ$85,(卡牌属性!$DW138-2)*20+卡牌属性!$DX138)</f>
        <v>500</v>
      </c>
      <c r="FJ138" s="14">
        <f>INDEX(属性投放!$BQ$6:$BQ$85,(卡牌属性!$DW138-2)*20+卡牌属性!$DX138)</f>
        <v>500</v>
      </c>
      <c r="FK138" s="14">
        <f>INDEX(属性投放!$BQ$6:$BQ$85,(卡牌属性!$DW138-2)*20+卡牌属性!$DX138)</f>
        <v>500</v>
      </c>
      <c r="FL138" s="14">
        <f>INDEX(属性投放!$BQ$6:$BQ$85,(卡牌属性!$DW138-2)*20+卡牌属性!$DX138)</f>
        <v>500</v>
      </c>
      <c r="FM138" s="14">
        <f>INDEX(属性投放!$BR$6:$BR$85,(卡牌属性!$DW138-2)*20+卡牌属性!$DX138)</f>
        <v>250</v>
      </c>
      <c r="FN138" s="14">
        <f>INDEX(属性投放!$BR$6:$BR$85,(卡牌属性!$DW138-2)*20+卡牌属性!$DX138)</f>
        <v>250</v>
      </c>
      <c r="FO138" s="14">
        <f>INDEX(属性投放!$BR$6:$BR$85,(卡牌属性!$DW138-2)*20+卡牌属性!$DX138)</f>
        <v>250</v>
      </c>
      <c r="FP138" s="14">
        <f>INDEX(属性投放!$BR$6:$BR$85,(卡牌属性!$DW138-2)*20+卡牌属性!$DX138)</f>
        <v>250</v>
      </c>
      <c r="FQ138" s="14">
        <f>INDEX(属性投放!$BR$6:$BR$85,(卡牌属性!$DW138-2)*20+卡牌属性!$DX138)</f>
        <v>250</v>
      </c>
      <c r="FR138" s="14">
        <f>INDEX(属性投放!$BS$6:$BS$85,(卡牌属性!$DW138-2)*20+卡牌属性!$DX138)</f>
        <v>5000</v>
      </c>
      <c r="FS138" s="14">
        <f>INDEX(属性投放!$BS$6:$BS$85,(卡牌属性!$DW138-2)*20+卡牌属性!$DX138)</f>
        <v>5000</v>
      </c>
      <c r="FT138" s="14">
        <f>INDEX(属性投放!$BS$6:$BS$85,(卡牌属性!$DW138-2)*20+卡牌属性!$DX138)</f>
        <v>5000</v>
      </c>
      <c r="FU138" s="14">
        <f>INDEX(属性投放!$BS$6:$BS$85,(卡牌属性!$DW138-2)*20+卡牌属性!$DX138)</f>
        <v>5000</v>
      </c>
      <c r="FV138" s="14">
        <f>INDEX(属性投放!$BS$6:$BS$85,(卡牌属性!$DW138-2)*20+卡牌属性!$DX138)</f>
        <v>5000</v>
      </c>
      <c r="FZ138" s="13">
        <v>134</v>
      </c>
      <c r="GA138" s="13">
        <f t="shared" si="291"/>
        <v>27</v>
      </c>
      <c r="GB138" s="14">
        <f t="shared" si="341"/>
        <v>1102030</v>
      </c>
      <c r="GC138" s="14" t="s">
        <v>1187</v>
      </c>
      <c r="GD138" s="14">
        <f t="shared" si="329"/>
        <v>4</v>
      </c>
      <c r="GE138" s="14" t="str">
        <f t="shared" si="330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MATCH(HC138,属性投放!$AO$6:$AO$58,1)-1</f>
        <v>46</v>
      </c>
      <c r="HF138" s="13">
        <f>MATCH(HC138-1,属性投放!$AE$6:$AE$26,1)</f>
        <v>19</v>
      </c>
      <c r="HG138" s="13" t="str">
        <f>INDEX(属性投放!$AB$7:$AB$26,卡牌属性!HF138)</f>
        <v>无间</v>
      </c>
      <c r="HH138" s="14">
        <f t="shared" si="342"/>
        <v>11093</v>
      </c>
      <c r="HI138" s="14">
        <f t="shared" si="343"/>
        <v>4904</v>
      </c>
      <c r="HJ138" s="14">
        <f t="shared" si="344"/>
        <v>90584</v>
      </c>
      <c r="HK138" s="14">
        <f t="shared" si="345"/>
        <v>75</v>
      </c>
      <c r="HL138" s="14">
        <f t="shared" si="346"/>
        <v>23</v>
      </c>
      <c r="HM138" s="14">
        <f t="shared" si="347"/>
        <v>450</v>
      </c>
      <c r="HN138" s="14">
        <f>HH138+HK138*($HC138-INDEX(属性投放!$AE$6:$AE$26,卡牌属性!$HF138))</f>
        <v>11243</v>
      </c>
      <c r="HO138" s="14">
        <f>HI138+HL138*($HC138-INDEX(属性投放!$AE$6:$AE$26,卡牌属性!$HF138))</f>
        <v>4950</v>
      </c>
      <c r="HP138" s="14">
        <f>HJ138+HM138*($HC138-INDEX(属性投放!$AE$6:$AE$26,卡牌属性!$HF138))</f>
        <v>91484</v>
      </c>
      <c r="HQ138" s="14">
        <f t="shared" si="348"/>
        <v>12535</v>
      </c>
      <c r="HR138" s="14">
        <f t="shared" si="349"/>
        <v>6277</v>
      </c>
      <c r="HS138" s="14">
        <f t="shared" si="350"/>
        <v>120785</v>
      </c>
      <c r="HT138" s="14">
        <f>IF(COUNTIF(属性投放!$AO$7:$AO$58,"="&amp;卡牌属性!HC138)&gt;0,卡牌属性!HE138,0)</f>
        <v>0</v>
      </c>
      <c r="HU138" s="14">
        <f t="shared" si="351"/>
        <v>0</v>
      </c>
      <c r="HV138" s="14">
        <f t="shared" si="352"/>
        <v>0</v>
      </c>
      <c r="HW138" s="14">
        <f t="shared" si="353"/>
        <v>0</v>
      </c>
      <c r="HX138" s="14">
        <f>IF(COUNTIF(属性投放!$AE$6:$AE$26,"="&amp;卡牌属性!HC138)&gt;0,卡牌属性!HF138,0)</f>
        <v>0</v>
      </c>
      <c r="HY138" s="14">
        <f t="shared" si="354"/>
        <v>0</v>
      </c>
      <c r="HZ138" s="14">
        <f t="shared" si="355"/>
        <v>0</v>
      </c>
      <c r="IA138" s="14">
        <f t="shared" si="356"/>
        <v>0</v>
      </c>
      <c r="IB138" s="14">
        <f t="shared" si="357"/>
        <v>75</v>
      </c>
      <c r="IC138" s="14">
        <f t="shared" si="358"/>
        <v>23</v>
      </c>
      <c r="ID138" s="14">
        <f t="shared" si="359"/>
        <v>450</v>
      </c>
      <c r="IE138" s="14">
        <f t="shared" si="360"/>
        <v>23778</v>
      </c>
      <c r="IF138" s="14">
        <f t="shared" si="361"/>
        <v>11227</v>
      </c>
      <c r="IG138" s="14">
        <f t="shared" si="362"/>
        <v>212269</v>
      </c>
      <c r="IH138" s="14">
        <f t="shared" si="363"/>
        <v>1660</v>
      </c>
      <c r="II138" s="14">
        <f t="shared" si="364"/>
        <v>0</v>
      </c>
      <c r="IJ138" s="14">
        <f t="shared" si="365"/>
        <v>0</v>
      </c>
      <c r="IK138" s="14">
        <f t="shared" si="366"/>
        <v>674589</v>
      </c>
      <c r="IL138" s="17">
        <f t="shared" si="367"/>
        <v>2.4607575872123617E-3</v>
      </c>
      <c r="IM138" s="17">
        <f t="shared" si="368"/>
        <v>0</v>
      </c>
      <c r="IN138" s="17">
        <f t="shared" si="369"/>
        <v>0</v>
      </c>
      <c r="IO138" s="23">
        <f>SUM(IH$5:IH138)</f>
        <v>94104</v>
      </c>
      <c r="IP138" s="14">
        <f>SUM(II$5:II138)</f>
        <v>371675</v>
      </c>
      <c r="IQ138" s="14">
        <f>SUM(IJ$5:IJ138)</f>
        <v>160640</v>
      </c>
      <c r="IR138" s="17">
        <f t="shared" si="370"/>
        <v>0.13949827228134465</v>
      </c>
      <c r="IS138" s="17">
        <f t="shared" si="371"/>
        <v>0.55096510616093652</v>
      </c>
      <c r="IT138" s="17">
        <f t="shared" si="372"/>
        <v>0.23813018000589989</v>
      </c>
      <c r="IW138" s="13">
        <v>134</v>
      </c>
      <c r="IX138" s="14">
        <f>MATCH(IW138-1,属性投放!$T$6:$T$66,1)</f>
        <v>41</v>
      </c>
      <c r="IY138" s="14">
        <f>MATCH(IW138-1,属性投放!$AD$7:$AD$26,1)</f>
        <v>17</v>
      </c>
      <c r="IZ138" s="14" t="str">
        <f>INDEX(属性投放!$AB$7:$AB$26,IY138)</f>
        <v>大焦热+1</v>
      </c>
      <c r="JA138" s="14">
        <f t="shared" si="373"/>
        <v>10383</v>
      </c>
      <c r="JB138" s="14">
        <f t="shared" si="374"/>
        <v>5158</v>
      </c>
      <c r="JC138" s="14">
        <f t="shared" si="375"/>
        <v>95606</v>
      </c>
      <c r="JD138" s="14">
        <f t="shared" si="376"/>
        <v>235</v>
      </c>
      <c r="JE138" s="14">
        <f t="shared" si="377"/>
        <v>117</v>
      </c>
      <c r="JF138" s="14">
        <f t="shared" si="378"/>
        <v>2346</v>
      </c>
      <c r="JG138" s="14">
        <f>INDEX(属性投放!$DC$6:$DC$85,卡牌属性!IY138)</f>
        <v>110</v>
      </c>
      <c r="JH138" s="14">
        <f t="shared" si="379"/>
        <v>16023</v>
      </c>
      <c r="JI138" s="14">
        <f t="shared" si="380"/>
        <v>7966</v>
      </c>
      <c r="JJ138" s="14">
        <f t="shared" si="381"/>
        <v>151910</v>
      </c>
      <c r="JK138" s="14">
        <f t="shared" si="382"/>
        <v>311685</v>
      </c>
    </row>
    <row r="139" spans="31:271" ht="16.5" x14ac:dyDescent="0.2">
      <c r="AE139" s="13">
        <v>135</v>
      </c>
      <c r="AF139" s="13">
        <f t="shared" si="331"/>
        <v>7</v>
      </c>
      <c r="AG139" s="13">
        <f t="shared" si="316"/>
        <v>4</v>
      </c>
      <c r="AH139" s="13"/>
      <c r="AI139" s="13"/>
      <c r="AJ139" s="14">
        <f t="shared" si="317"/>
        <v>1101007</v>
      </c>
      <c r="AK139" s="14" t="str">
        <f t="shared" si="318"/>
        <v>战斗曹焱兵15突</v>
      </c>
      <c r="AL139" s="25" t="s">
        <v>142</v>
      </c>
      <c r="AM139" s="14">
        <v>1</v>
      </c>
      <c r="AN139" s="14">
        <f t="shared" si="319"/>
        <v>15</v>
      </c>
      <c r="AO139" s="14">
        <f>INDEX(属性投放!$DF$6:$DF$85,(卡牌属性!AG139-2)*20+卡牌属性!AN139)</f>
        <v>8197</v>
      </c>
      <c r="AP139" s="14">
        <f t="shared" si="295"/>
        <v>8197</v>
      </c>
      <c r="AQ139" s="14">
        <f t="shared" si="295"/>
        <v>8197</v>
      </c>
      <c r="AR139" s="14">
        <f t="shared" si="295"/>
        <v>8197</v>
      </c>
      <c r="AS139" s="14">
        <f t="shared" si="295"/>
        <v>8197</v>
      </c>
      <c r="AT139" s="14">
        <f>INDEX(属性投放!$DG$6:$DG$85,(卡牌属性!AG139-2)*20+卡牌属性!AN139)</f>
        <v>4029</v>
      </c>
      <c r="AU139" s="14">
        <f t="shared" si="296"/>
        <v>4029</v>
      </c>
      <c r="AV139" s="14">
        <f t="shared" si="296"/>
        <v>4029</v>
      </c>
      <c r="AW139" s="14">
        <f t="shared" si="296"/>
        <v>4029</v>
      </c>
      <c r="AX139" s="14">
        <f t="shared" si="296"/>
        <v>4029</v>
      </c>
      <c r="AY139" s="14">
        <f>INDEX(属性投放!$DH$6:$DH$85,(卡牌属性!AG139-2)*20+卡牌属性!AN139)</f>
        <v>68233</v>
      </c>
      <c r="AZ139" s="14">
        <f t="shared" si="297"/>
        <v>68233</v>
      </c>
      <c r="BA139" s="14">
        <f t="shared" si="297"/>
        <v>68233</v>
      </c>
      <c r="BB139" s="14">
        <f t="shared" si="297"/>
        <v>68233</v>
      </c>
      <c r="BC139" s="14">
        <f t="shared" si="297"/>
        <v>68233</v>
      </c>
      <c r="BD139" s="14">
        <f>INDEX(属性投放!$DL$6:$DL$85,(卡牌属性!AG139-2)*20+卡牌属性!AN139)</f>
        <v>203</v>
      </c>
      <c r="BE139" s="14">
        <f t="shared" si="298"/>
        <v>203</v>
      </c>
      <c r="BF139" s="14">
        <f t="shared" si="298"/>
        <v>203</v>
      </c>
      <c r="BG139" s="14">
        <f t="shared" si="298"/>
        <v>203</v>
      </c>
      <c r="BH139" s="14">
        <f t="shared" si="298"/>
        <v>203</v>
      </c>
      <c r="BI139" s="14">
        <f>INDEX(属性投放!$DM$6:$DM$85,(卡牌属性!AG139-2)*20+卡牌属性!AN139)</f>
        <v>101</v>
      </c>
      <c r="BJ139" s="14">
        <f t="shared" si="299"/>
        <v>101</v>
      </c>
      <c r="BK139" s="14">
        <f t="shared" si="299"/>
        <v>101</v>
      </c>
      <c r="BL139" s="14">
        <f t="shared" si="299"/>
        <v>101</v>
      </c>
      <c r="BM139" s="14">
        <f t="shared" si="299"/>
        <v>101</v>
      </c>
      <c r="BN139" s="14">
        <f>INDEX(属性投放!$DN$6:$DN$85,(卡牌属性!AG139-2)*20+卡牌属性!AN139)</f>
        <v>2027</v>
      </c>
      <c r="BO139" s="14">
        <f t="shared" si="300"/>
        <v>2027</v>
      </c>
      <c r="BP139" s="14">
        <f t="shared" si="300"/>
        <v>2027</v>
      </c>
      <c r="BQ139" s="14">
        <f t="shared" si="300"/>
        <v>2027</v>
      </c>
      <c r="BR139" s="14">
        <f t="shared" si="300"/>
        <v>2027</v>
      </c>
      <c r="BW139" s="13">
        <v>135</v>
      </c>
      <c r="BX139" s="13">
        <f t="shared" si="320"/>
        <v>7</v>
      </c>
      <c r="BY139" s="14">
        <f t="shared" si="321"/>
        <v>4</v>
      </c>
      <c r="BZ139" s="14">
        <f t="shared" si="332"/>
        <v>1102007</v>
      </c>
      <c r="CA139" s="14" t="str">
        <f t="shared" si="333"/>
        <v>天使缇娜15突</v>
      </c>
      <c r="CB139" s="25" t="s">
        <v>142</v>
      </c>
      <c r="CC139" s="14">
        <v>2</v>
      </c>
      <c r="CD139" s="14">
        <f t="shared" si="322"/>
        <v>15</v>
      </c>
      <c r="CE139" s="14" t="s">
        <v>21</v>
      </c>
      <c r="CF139" s="14">
        <f>INDEX(属性投放!$AZ$6:$AZ$85,(BY139-2)*20+CD139)</f>
        <v>10113</v>
      </c>
      <c r="CG139" s="14" t="s">
        <v>22</v>
      </c>
      <c r="CH139" s="14">
        <f>INDEX(属性投放!$BA$6:$BA$85,(BY139-2)*20+CD139)</f>
        <v>5010</v>
      </c>
      <c r="CI139" s="14" t="s">
        <v>510</v>
      </c>
      <c r="CJ139" s="14">
        <f>INDEX(属性投放!$BB$6:$BB$85,(BY139-2)*20+CD139)</f>
        <v>87453</v>
      </c>
      <c r="CK139" s="14" t="s">
        <v>21</v>
      </c>
      <c r="CL139" s="14">
        <f>INDEX(属性投放!$BC$6:$BC$85,(BY139-2)*20+CD139)</f>
        <v>40</v>
      </c>
      <c r="CM139" s="14" t="s">
        <v>22</v>
      </c>
      <c r="CN139" s="14">
        <f>INDEX(属性投放!$BD$6:$BD$85,(BY139-2)*20+CD139)</f>
        <v>20</v>
      </c>
      <c r="CO139" s="14" t="s">
        <v>510</v>
      </c>
      <c r="CP139" s="14">
        <f>INDEX(属性投放!$BE$6:$BE$85,(BY139-2)*20+CD139)</f>
        <v>400</v>
      </c>
      <c r="CS139" s="13">
        <v>135</v>
      </c>
      <c r="CT139" s="13">
        <f t="shared" si="334"/>
        <v>3</v>
      </c>
      <c r="CU139" s="13">
        <f t="shared" si="335"/>
        <v>31</v>
      </c>
      <c r="CV139" s="14">
        <f t="shared" si="336"/>
        <v>4</v>
      </c>
      <c r="CW139" s="14">
        <f t="shared" si="337"/>
        <v>1102003</v>
      </c>
      <c r="CX139" s="14" t="str">
        <f>INDEX($O$6:$O$50,CT139)&amp;"-"&amp;INDEX(属性投放!$AB$7:$AB$50,CZ139)&amp;"-魂火-"&amp;DB139</f>
        <v>典韦-焦热+1-魂火-1</v>
      </c>
      <c r="CY139" s="25" t="s">
        <v>142</v>
      </c>
      <c r="CZ139" s="14">
        <f>INDEX(属性投放!$AM$7:$AM$58,CU139)</f>
        <v>14</v>
      </c>
      <c r="DA139" s="14" t="s">
        <v>537</v>
      </c>
      <c r="DB139" s="14">
        <f>INDEX(属性投放!$AN$7:$AN$58,CU139)</f>
        <v>1</v>
      </c>
      <c r="DC139" s="14">
        <f t="shared" si="323"/>
        <v>31</v>
      </c>
      <c r="DD139" s="14">
        <f>INDEX(属性投放!$AO$7:$AO$58,DC139)</f>
        <v>95</v>
      </c>
      <c r="DE139" s="14" t="s">
        <v>538</v>
      </c>
      <c r="DF139" s="14">
        <f>INDEX(属性投放!$BK$6:$BK$85,(CV139-2)*20+CZ139)</f>
        <v>320</v>
      </c>
      <c r="DG139" s="14">
        <f>SUMIFS(DF$5:DF139,$CT$5:$CT139,"="&amp;$CT139)</f>
        <v>3900</v>
      </c>
      <c r="DH139" s="14" t="s">
        <v>539</v>
      </c>
      <c r="DI139" s="14">
        <f>INDEX(属性投放!$BL$6:$BL$85,(CV139-2)*20+CZ139)</f>
        <v>160</v>
      </c>
      <c r="DJ139" s="14">
        <f>SUMIFS(DI$5:DI139,$CT$5:$CT139,"="&amp;$CT139)</f>
        <v>1958</v>
      </c>
      <c r="DK139" s="14" t="s">
        <v>540</v>
      </c>
      <c r="DL139" s="14">
        <f>INDEX(属性投放!$BM$6:$BM$85,(CV139-2)*20+CZ139)</f>
        <v>3200</v>
      </c>
      <c r="DM139" s="14">
        <f>SUMIFS(DL$5:DL139,$CT$5:$CT139,"="&amp;$CT139)</f>
        <v>34435</v>
      </c>
      <c r="DR139" s="14">
        <f t="shared" si="324"/>
        <v>1102007</v>
      </c>
      <c r="DS139" s="14" t="str">
        <f t="shared" si="325"/>
        <v>天使缇娜15突</v>
      </c>
      <c r="DT139" s="14">
        <f t="shared" si="338"/>
        <v>7</v>
      </c>
      <c r="DU139" s="14">
        <f t="shared" si="339"/>
        <v>6</v>
      </c>
      <c r="DV139" s="14">
        <f t="shared" si="340"/>
        <v>6</v>
      </c>
      <c r="DW139" s="14">
        <f t="shared" si="326"/>
        <v>4</v>
      </c>
      <c r="DX139" s="14">
        <f t="shared" si="327"/>
        <v>15</v>
      </c>
      <c r="DY139" s="14">
        <f t="shared" si="328"/>
        <v>55</v>
      </c>
      <c r="DZ139" s="14">
        <f>INDEX(属性投放!$AX$6:$AX$85,(卡牌属性!DW139-2)*20+卡牌属性!DX139)</f>
        <v>8</v>
      </c>
      <c r="EA139" s="14">
        <f>INDEX(属性投放!BQ$6:BQ$85,卡牌属性!$DY139)</f>
        <v>800</v>
      </c>
      <c r="EB139" s="14">
        <f>INDEX(属性投放!BR$6:BR$85,卡牌属性!$DY139)</f>
        <v>400</v>
      </c>
      <c r="EC139" s="14">
        <f>INDEX(属性投放!BS$6:BS$85,卡牌属性!$DY139)</f>
        <v>8000</v>
      </c>
      <c r="ED139" s="14">
        <f t="shared" si="301"/>
        <v>5573</v>
      </c>
      <c r="EE139" s="14">
        <f t="shared" si="302"/>
        <v>5950</v>
      </c>
      <c r="EF139" s="14">
        <f t="shared" si="303"/>
        <v>6355</v>
      </c>
      <c r="EG139" s="14">
        <f t="shared" si="304"/>
        <v>6355</v>
      </c>
      <c r="EH139" s="14">
        <f t="shared" si="305"/>
        <v>7410</v>
      </c>
      <c r="EI139" s="14">
        <f t="shared" si="306"/>
        <v>2354</v>
      </c>
      <c r="EJ139" s="14">
        <f t="shared" si="307"/>
        <v>2757</v>
      </c>
      <c r="EK139" s="14">
        <f t="shared" si="308"/>
        <v>2757</v>
      </c>
      <c r="EL139" s="14">
        <f t="shared" si="309"/>
        <v>2957</v>
      </c>
      <c r="EM139" s="14">
        <f t="shared" si="310"/>
        <v>3142</v>
      </c>
      <c r="EN139" s="14">
        <f t="shared" si="311"/>
        <v>39804</v>
      </c>
      <c r="EO139" s="14">
        <f t="shared" si="312"/>
        <v>46618</v>
      </c>
      <c r="EP139" s="14">
        <f t="shared" si="313"/>
        <v>46618</v>
      </c>
      <c r="EQ139" s="14">
        <f t="shared" si="314"/>
        <v>49562</v>
      </c>
      <c r="ER139" s="14">
        <f t="shared" si="315"/>
        <v>52660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INDEX(属性投放!$BQ$6:$BQ$85,(卡牌属性!$DW139-2)*20+卡牌属性!$DX139)</f>
        <v>800</v>
      </c>
      <c r="FI139" s="14">
        <f>INDEX(属性投放!$BQ$6:$BQ$85,(卡牌属性!$DW139-2)*20+卡牌属性!$DX139)</f>
        <v>800</v>
      </c>
      <c r="FJ139" s="14">
        <f>INDEX(属性投放!$BQ$6:$BQ$85,(卡牌属性!$DW139-2)*20+卡牌属性!$DX139)</f>
        <v>800</v>
      </c>
      <c r="FK139" s="14">
        <f>INDEX(属性投放!$BQ$6:$BQ$85,(卡牌属性!$DW139-2)*20+卡牌属性!$DX139)</f>
        <v>800</v>
      </c>
      <c r="FL139" s="14">
        <f>INDEX(属性投放!$BQ$6:$BQ$85,(卡牌属性!$DW139-2)*20+卡牌属性!$DX139)</f>
        <v>800</v>
      </c>
      <c r="FM139" s="14">
        <f>INDEX(属性投放!$BR$6:$BR$85,(卡牌属性!$DW139-2)*20+卡牌属性!$DX139)</f>
        <v>400</v>
      </c>
      <c r="FN139" s="14">
        <f>INDEX(属性投放!$BR$6:$BR$85,(卡牌属性!$DW139-2)*20+卡牌属性!$DX139)</f>
        <v>400</v>
      </c>
      <c r="FO139" s="14">
        <f>INDEX(属性投放!$BR$6:$BR$85,(卡牌属性!$DW139-2)*20+卡牌属性!$DX139)</f>
        <v>400</v>
      </c>
      <c r="FP139" s="14">
        <f>INDEX(属性投放!$BR$6:$BR$85,(卡牌属性!$DW139-2)*20+卡牌属性!$DX139)</f>
        <v>400</v>
      </c>
      <c r="FQ139" s="14">
        <f>INDEX(属性投放!$BR$6:$BR$85,(卡牌属性!$DW139-2)*20+卡牌属性!$DX139)</f>
        <v>400</v>
      </c>
      <c r="FR139" s="14">
        <f>INDEX(属性投放!$BS$6:$BS$85,(卡牌属性!$DW139-2)*20+卡牌属性!$DX139)</f>
        <v>8000</v>
      </c>
      <c r="FS139" s="14">
        <f>INDEX(属性投放!$BS$6:$BS$85,(卡牌属性!$DW139-2)*20+卡牌属性!$DX139)</f>
        <v>8000</v>
      </c>
      <c r="FT139" s="14">
        <f>INDEX(属性投放!$BS$6:$BS$85,(卡牌属性!$DW139-2)*20+卡牌属性!$DX139)</f>
        <v>8000</v>
      </c>
      <c r="FU139" s="14">
        <f>INDEX(属性投放!$BS$6:$BS$85,(卡牌属性!$DW139-2)*20+卡牌属性!$DX139)</f>
        <v>8000</v>
      </c>
      <c r="FV139" s="14">
        <f>INDEX(属性投放!$BS$6:$BS$85,(卡牌属性!$DW139-2)*20+卡牌属性!$DX139)</f>
        <v>8000</v>
      </c>
      <c r="FZ139" s="13">
        <v>135</v>
      </c>
      <c r="GA139" s="13">
        <f t="shared" si="291"/>
        <v>27</v>
      </c>
      <c r="GB139" s="14">
        <f t="shared" si="341"/>
        <v>1102030</v>
      </c>
      <c r="GC139" s="14" t="s">
        <v>1187</v>
      </c>
      <c r="GD139" s="14">
        <f t="shared" si="329"/>
        <v>5</v>
      </c>
      <c r="GE139" s="14" t="str">
        <f t="shared" si="330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MATCH(HC139,属性投放!$AO$6:$AO$58,1)-1</f>
        <v>47</v>
      </c>
      <c r="HF139" s="13">
        <f>MATCH(HC139-1,属性投放!$AE$6:$AE$26,1)</f>
        <v>19</v>
      </c>
      <c r="HG139" s="13" t="str">
        <f>INDEX(属性投放!$AB$7:$AB$26,卡牌属性!HF139)</f>
        <v>无间</v>
      </c>
      <c r="HH139" s="14">
        <f t="shared" si="342"/>
        <v>11093</v>
      </c>
      <c r="HI139" s="14">
        <f t="shared" si="343"/>
        <v>4904</v>
      </c>
      <c r="HJ139" s="14">
        <f t="shared" si="344"/>
        <v>90584</v>
      </c>
      <c r="HK139" s="14">
        <f t="shared" si="345"/>
        <v>75</v>
      </c>
      <c r="HL139" s="14">
        <f t="shared" si="346"/>
        <v>23</v>
      </c>
      <c r="HM139" s="14">
        <f t="shared" si="347"/>
        <v>450</v>
      </c>
      <c r="HN139" s="14">
        <f>HH139+HK139*($HC139-INDEX(属性投放!$AE$6:$AE$26,卡牌属性!$HF139))</f>
        <v>11318</v>
      </c>
      <c r="HO139" s="14">
        <f>HI139+HL139*($HC139-INDEX(属性投放!$AE$6:$AE$26,卡牌属性!$HF139))</f>
        <v>4973</v>
      </c>
      <c r="HP139" s="14">
        <f>HJ139+HM139*($HC139-INDEX(属性投放!$AE$6:$AE$26,卡牌属性!$HF139))</f>
        <v>91934</v>
      </c>
      <c r="HQ139" s="14">
        <f t="shared" si="348"/>
        <v>13435</v>
      </c>
      <c r="HR139" s="14">
        <f t="shared" si="349"/>
        <v>6727</v>
      </c>
      <c r="HS139" s="14">
        <f t="shared" si="350"/>
        <v>129785</v>
      </c>
      <c r="HT139" s="14">
        <f>IF(COUNTIF(属性投放!$AO$7:$AO$58,"="&amp;卡牌属性!HC139)&gt;0,卡牌属性!HE139,0)</f>
        <v>47</v>
      </c>
      <c r="HU139" s="14">
        <f t="shared" si="351"/>
        <v>900</v>
      </c>
      <c r="HV139" s="14">
        <f t="shared" si="352"/>
        <v>450</v>
      </c>
      <c r="HW139" s="14">
        <f t="shared" si="353"/>
        <v>9000</v>
      </c>
      <c r="HX139" s="14">
        <f>IF(COUNTIF(属性投放!$AE$6:$AE$26,"="&amp;卡牌属性!HC139)&gt;0,卡牌属性!HF139,0)</f>
        <v>0</v>
      </c>
      <c r="HY139" s="14">
        <f t="shared" si="354"/>
        <v>0</v>
      </c>
      <c r="HZ139" s="14">
        <f t="shared" si="355"/>
        <v>0</v>
      </c>
      <c r="IA139" s="14">
        <f t="shared" si="356"/>
        <v>0</v>
      </c>
      <c r="IB139" s="14">
        <f t="shared" si="357"/>
        <v>75</v>
      </c>
      <c r="IC139" s="14">
        <f t="shared" si="358"/>
        <v>23</v>
      </c>
      <c r="ID139" s="14">
        <f t="shared" si="359"/>
        <v>450</v>
      </c>
      <c r="IE139" s="14">
        <f t="shared" si="360"/>
        <v>24753</v>
      </c>
      <c r="IF139" s="14">
        <f t="shared" si="361"/>
        <v>11700</v>
      </c>
      <c r="IG139" s="14">
        <f t="shared" si="362"/>
        <v>221719</v>
      </c>
      <c r="IH139" s="14">
        <f t="shared" si="363"/>
        <v>1660</v>
      </c>
      <c r="II139" s="14">
        <f t="shared" si="364"/>
        <v>27000</v>
      </c>
      <c r="IJ139" s="14">
        <f t="shared" si="365"/>
        <v>0</v>
      </c>
      <c r="IK139" s="14">
        <f t="shared" si="366"/>
        <v>703249</v>
      </c>
      <c r="IL139" s="17">
        <f t="shared" si="367"/>
        <v>2.360472606431008E-3</v>
      </c>
      <c r="IM139" s="17">
        <f t="shared" si="368"/>
        <v>3.8393229140745312E-2</v>
      </c>
      <c r="IN139" s="17">
        <f t="shared" si="369"/>
        <v>0</v>
      </c>
      <c r="IO139" s="23">
        <f>SUM(IH$5:IH139)</f>
        <v>95764</v>
      </c>
      <c r="IP139" s="14">
        <f>SUM(II$5:II139)</f>
        <v>398675</v>
      </c>
      <c r="IQ139" s="14">
        <f>SUM(IJ$5:IJ139)</f>
        <v>160640</v>
      </c>
      <c r="IR139" s="17">
        <f t="shared" si="370"/>
        <v>0.13617367390497534</v>
      </c>
      <c r="IS139" s="17">
        <f t="shared" si="371"/>
        <v>0.56690446769209768</v>
      </c>
      <c r="IT139" s="17">
        <f t="shared" si="372"/>
        <v>0.22842549367293805</v>
      </c>
      <c r="IW139" s="13">
        <v>135</v>
      </c>
      <c r="IX139" s="14">
        <f>MATCH(IW139-1,属性投放!$T$6:$T$66,1)</f>
        <v>43</v>
      </c>
      <c r="IY139" s="14">
        <f>MATCH(IW139-1,属性投放!$AD$7:$AD$26,1)</f>
        <v>17</v>
      </c>
      <c r="IZ139" s="14" t="str">
        <f>INDEX(属性投放!$AB$7:$AB$26,IY139)</f>
        <v>大焦热+1</v>
      </c>
      <c r="JA139" s="14">
        <f t="shared" si="373"/>
        <v>10383</v>
      </c>
      <c r="JB139" s="14">
        <f t="shared" si="374"/>
        <v>5158</v>
      </c>
      <c r="JC139" s="14">
        <f t="shared" si="375"/>
        <v>95606</v>
      </c>
      <c r="JD139" s="14">
        <f t="shared" si="376"/>
        <v>235</v>
      </c>
      <c r="JE139" s="14">
        <f t="shared" si="377"/>
        <v>117</v>
      </c>
      <c r="JF139" s="14">
        <f t="shared" si="378"/>
        <v>2346</v>
      </c>
      <c r="JG139" s="14">
        <f>INDEX(属性投放!$DC$6:$DC$85,卡牌属性!IY139)</f>
        <v>110</v>
      </c>
      <c r="JH139" s="14">
        <f t="shared" si="379"/>
        <v>16258</v>
      </c>
      <c r="JI139" s="14">
        <f t="shared" si="380"/>
        <v>8083</v>
      </c>
      <c r="JJ139" s="14">
        <f t="shared" si="381"/>
        <v>154256</v>
      </c>
      <c r="JK139" s="14">
        <f t="shared" si="382"/>
        <v>316376</v>
      </c>
    </row>
    <row r="140" spans="31:271" ht="16.5" x14ac:dyDescent="0.2">
      <c r="AE140" s="13">
        <v>136</v>
      </c>
      <c r="AF140" s="13">
        <f t="shared" si="331"/>
        <v>7</v>
      </c>
      <c r="AG140" s="13">
        <f t="shared" si="316"/>
        <v>4</v>
      </c>
      <c r="AH140" s="13"/>
      <c r="AI140" s="13"/>
      <c r="AJ140" s="14">
        <f t="shared" si="317"/>
        <v>1101007</v>
      </c>
      <c r="AK140" s="14" t="str">
        <f t="shared" si="318"/>
        <v>战斗曹焱兵16突</v>
      </c>
      <c r="AL140" s="25" t="s">
        <v>142</v>
      </c>
      <c r="AM140" s="14">
        <v>1</v>
      </c>
      <c r="AN140" s="14">
        <f t="shared" si="319"/>
        <v>16</v>
      </c>
      <c r="AO140" s="14">
        <f>INDEX(属性投放!$DF$6:$DF$85,(卡牌属性!AG140-2)*20+卡牌属性!AN140)</f>
        <v>13851</v>
      </c>
      <c r="AP140" s="14">
        <f t="shared" si="295"/>
        <v>13851</v>
      </c>
      <c r="AQ140" s="14">
        <f t="shared" si="295"/>
        <v>13851</v>
      </c>
      <c r="AR140" s="14">
        <f t="shared" si="295"/>
        <v>13851</v>
      </c>
      <c r="AS140" s="14">
        <f t="shared" si="295"/>
        <v>13851</v>
      </c>
      <c r="AT140" s="14">
        <f>INDEX(属性投放!$DG$6:$DG$85,(卡牌属性!AG140-2)*20+卡牌属性!AN140)</f>
        <v>6844</v>
      </c>
      <c r="AU140" s="14">
        <f t="shared" si="296"/>
        <v>6844</v>
      </c>
      <c r="AV140" s="14">
        <f t="shared" si="296"/>
        <v>6844</v>
      </c>
      <c r="AW140" s="14">
        <f t="shared" si="296"/>
        <v>6844</v>
      </c>
      <c r="AX140" s="14">
        <f t="shared" si="296"/>
        <v>6844</v>
      </c>
      <c r="AY140" s="14">
        <f>INDEX(属性投放!$DH$6:$DH$85,(卡牌属性!AG140-2)*20+卡牌属性!AN140)</f>
        <v>124698</v>
      </c>
      <c r="AZ140" s="14">
        <f t="shared" si="297"/>
        <v>124698</v>
      </c>
      <c r="BA140" s="14">
        <f t="shared" si="297"/>
        <v>124698</v>
      </c>
      <c r="BB140" s="14">
        <f t="shared" si="297"/>
        <v>124698</v>
      </c>
      <c r="BC140" s="14">
        <f t="shared" si="297"/>
        <v>124698</v>
      </c>
      <c r="BD140" s="14">
        <f>INDEX(属性投放!$DL$6:$DL$85,(卡牌属性!AG140-2)*20+卡牌属性!AN140)</f>
        <v>284</v>
      </c>
      <c r="BE140" s="14">
        <f t="shared" si="298"/>
        <v>284</v>
      </c>
      <c r="BF140" s="14">
        <f t="shared" si="298"/>
        <v>284</v>
      </c>
      <c r="BG140" s="14">
        <f t="shared" si="298"/>
        <v>284</v>
      </c>
      <c r="BH140" s="14">
        <f t="shared" si="298"/>
        <v>284</v>
      </c>
      <c r="BI140" s="14">
        <f>INDEX(属性投放!$DM$6:$DM$85,(卡牌属性!AG140-2)*20+卡牌属性!AN140)</f>
        <v>142</v>
      </c>
      <c r="BJ140" s="14">
        <f t="shared" si="299"/>
        <v>142</v>
      </c>
      <c r="BK140" s="14">
        <f t="shared" si="299"/>
        <v>142</v>
      </c>
      <c r="BL140" s="14">
        <f t="shared" si="299"/>
        <v>142</v>
      </c>
      <c r="BM140" s="14">
        <f t="shared" si="299"/>
        <v>142</v>
      </c>
      <c r="BN140" s="14">
        <f>INDEX(属性投放!$DN$6:$DN$85,(卡牌属性!AG140-2)*20+卡牌属性!AN140)</f>
        <v>2845</v>
      </c>
      <c r="BO140" s="14">
        <f t="shared" si="300"/>
        <v>2845</v>
      </c>
      <c r="BP140" s="14">
        <f t="shared" si="300"/>
        <v>2845</v>
      </c>
      <c r="BQ140" s="14">
        <f t="shared" si="300"/>
        <v>2845</v>
      </c>
      <c r="BR140" s="14">
        <f t="shared" si="300"/>
        <v>2845</v>
      </c>
      <c r="BW140" s="13">
        <v>136</v>
      </c>
      <c r="BX140" s="13">
        <f t="shared" si="320"/>
        <v>7</v>
      </c>
      <c r="BY140" s="14">
        <f t="shared" si="321"/>
        <v>4</v>
      </c>
      <c r="BZ140" s="14">
        <f t="shared" si="332"/>
        <v>1102007</v>
      </c>
      <c r="CA140" s="14" t="str">
        <f t="shared" si="333"/>
        <v>天使缇娜16突</v>
      </c>
      <c r="CB140" s="25" t="s">
        <v>142</v>
      </c>
      <c r="CC140" s="14">
        <v>2</v>
      </c>
      <c r="CD140" s="14">
        <f t="shared" si="322"/>
        <v>16</v>
      </c>
      <c r="CE140" s="14" t="s">
        <v>21</v>
      </c>
      <c r="CF140" s="14">
        <f>INDEX(属性投放!$AZ$6:$AZ$85,(BY140-2)*20+CD140)</f>
        <v>12568</v>
      </c>
      <c r="CG140" s="14" t="s">
        <v>22</v>
      </c>
      <c r="CH140" s="14">
        <f>INDEX(属性投放!$BA$6:$BA$85,(BY140-2)*20+CD140)</f>
        <v>6239</v>
      </c>
      <c r="CI140" s="14" t="s">
        <v>510</v>
      </c>
      <c r="CJ140" s="14">
        <f>INDEX(属性投放!$BB$6:$BB$85,(BY140-2)*20+CD140)</f>
        <v>112003</v>
      </c>
      <c r="CK140" s="14" t="s">
        <v>21</v>
      </c>
      <c r="CL140" s="14">
        <f>INDEX(属性投放!$BC$6:$BC$85,(BY140-2)*20+CD140)</f>
        <v>50</v>
      </c>
      <c r="CM140" s="14" t="s">
        <v>22</v>
      </c>
      <c r="CN140" s="14">
        <f>INDEX(属性投放!$BD$6:$BD$85,(BY140-2)*20+CD140)</f>
        <v>25</v>
      </c>
      <c r="CO140" s="14" t="s">
        <v>510</v>
      </c>
      <c r="CP140" s="14">
        <f>INDEX(属性投放!$BE$6:$BE$85,(BY140-2)*20+CD140)</f>
        <v>500</v>
      </c>
      <c r="CS140" s="13">
        <v>136</v>
      </c>
      <c r="CT140" s="13">
        <f t="shared" si="334"/>
        <v>3</v>
      </c>
      <c r="CU140" s="13">
        <f t="shared" si="335"/>
        <v>32</v>
      </c>
      <c r="CV140" s="14">
        <f t="shared" si="336"/>
        <v>4</v>
      </c>
      <c r="CW140" s="14">
        <f t="shared" si="337"/>
        <v>1102003</v>
      </c>
      <c r="CX140" s="14" t="str">
        <f>INDEX($O$6:$O$50,CT140)&amp;"-"&amp;INDEX(属性投放!$AB$7:$AB$50,CZ140)&amp;"-魂火-"&amp;DB140</f>
        <v>典韦-焦热+1-魂火-2</v>
      </c>
      <c r="CY140" s="25" t="s">
        <v>142</v>
      </c>
      <c r="CZ140" s="14">
        <f>INDEX(属性投放!$AM$7:$AM$58,CU140)</f>
        <v>14</v>
      </c>
      <c r="DA140" s="14" t="s">
        <v>537</v>
      </c>
      <c r="DB140" s="14">
        <f>INDEX(属性投放!$AN$7:$AN$58,CU140)</f>
        <v>2</v>
      </c>
      <c r="DC140" s="14">
        <f t="shared" si="323"/>
        <v>32</v>
      </c>
      <c r="DD140" s="14">
        <f>INDEX(属性投放!$AO$7:$AO$58,DC140)</f>
        <v>98</v>
      </c>
      <c r="DE140" s="14" t="s">
        <v>538</v>
      </c>
      <c r="DF140" s="14">
        <f>INDEX(属性投放!$BK$6:$BK$85,(CV140-2)*20+CZ140)</f>
        <v>320</v>
      </c>
      <c r="DG140" s="14">
        <f>SUMIFS(DF$5:DF140,$CT$5:$CT140,"="&amp;$CT140)</f>
        <v>4220</v>
      </c>
      <c r="DH140" s="14" t="s">
        <v>539</v>
      </c>
      <c r="DI140" s="14">
        <f>INDEX(属性投放!$BL$6:$BL$85,(CV140-2)*20+CZ140)</f>
        <v>160</v>
      </c>
      <c r="DJ140" s="14">
        <f>SUMIFS(DI$5:DI140,$CT$5:$CT140,"="&amp;$CT140)</f>
        <v>2118</v>
      </c>
      <c r="DK140" s="14" t="s">
        <v>540</v>
      </c>
      <c r="DL140" s="14">
        <f>INDEX(属性投放!$BM$6:$BM$85,(CV140-2)*20+CZ140)</f>
        <v>3200</v>
      </c>
      <c r="DM140" s="14">
        <f>SUMIFS(DL$5:DL140,$CT$5:$CT140,"="&amp;$CT140)</f>
        <v>37635</v>
      </c>
      <c r="DR140" s="14">
        <f t="shared" si="324"/>
        <v>1102007</v>
      </c>
      <c r="DS140" s="14" t="str">
        <f t="shared" si="325"/>
        <v>天使缇娜16突</v>
      </c>
      <c r="DT140" s="14">
        <f t="shared" si="338"/>
        <v>7</v>
      </c>
      <c r="DU140" s="14">
        <f t="shared" si="339"/>
        <v>6</v>
      </c>
      <c r="DV140" s="14">
        <f t="shared" si="340"/>
        <v>6</v>
      </c>
      <c r="DW140" s="14">
        <f t="shared" si="326"/>
        <v>4</v>
      </c>
      <c r="DX140" s="14">
        <f t="shared" si="327"/>
        <v>16</v>
      </c>
      <c r="DY140" s="14">
        <f t="shared" si="328"/>
        <v>56</v>
      </c>
      <c r="DZ140" s="14">
        <f>INDEX(属性投放!$AX$6:$AX$85,(卡牌属性!DW140-2)*20+卡牌属性!DX140)</f>
        <v>7</v>
      </c>
      <c r="EA140" s="14">
        <f>INDEX(属性投放!BQ$6:BQ$85,卡牌属性!$DY140)</f>
        <v>850</v>
      </c>
      <c r="EB140" s="14">
        <f>INDEX(属性投放!BR$6:BR$85,卡牌属性!$DY140)</f>
        <v>425</v>
      </c>
      <c r="EC140" s="14">
        <f>INDEX(属性投放!BS$6:BS$85,卡牌属性!$DY140)</f>
        <v>8500</v>
      </c>
      <c r="ED140" s="14">
        <f t="shared" si="301"/>
        <v>6693</v>
      </c>
      <c r="EE140" s="14">
        <f t="shared" si="302"/>
        <v>7110</v>
      </c>
      <c r="EF140" s="14">
        <f t="shared" si="303"/>
        <v>7555</v>
      </c>
      <c r="EG140" s="14">
        <f t="shared" si="304"/>
        <v>7555</v>
      </c>
      <c r="EH140" s="14">
        <f t="shared" si="305"/>
        <v>8810</v>
      </c>
      <c r="EI140" s="14">
        <f t="shared" si="306"/>
        <v>2858</v>
      </c>
      <c r="EJ140" s="14">
        <f t="shared" si="307"/>
        <v>3317</v>
      </c>
      <c r="EK140" s="14">
        <f t="shared" si="308"/>
        <v>3317</v>
      </c>
      <c r="EL140" s="14">
        <f t="shared" si="309"/>
        <v>3541</v>
      </c>
      <c r="EM140" s="14">
        <f t="shared" si="310"/>
        <v>3742</v>
      </c>
      <c r="EN140" s="14">
        <f t="shared" si="311"/>
        <v>49884</v>
      </c>
      <c r="EO140" s="14">
        <f t="shared" si="312"/>
        <v>57818</v>
      </c>
      <c r="EP140" s="14">
        <f t="shared" si="313"/>
        <v>57818</v>
      </c>
      <c r="EQ140" s="14">
        <f t="shared" si="314"/>
        <v>61162</v>
      </c>
      <c r="ER140" s="14">
        <f t="shared" si="315"/>
        <v>64660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INDEX(属性投放!$BQ$6:$BQ$85,(卡牌属性!$DW140-2)*20+卡牌属性!$DX140)</f>
        <v>850</v>
      </c>
      <c r="FI140" s="14">
        <f>INDEX(属性投放!$BQ$6:$BQ$85,(卡牌属性!$DW140-2)*20+卡牌属性!$DX140)</f>
        <v>850</v>
      </c>
      <c r="FJ140" s="14">
        <f>INDEX(属性投放!$BQ$6:$BQ$85,(卡牌属性!$DW140-2)*20+卡牌属性!$DX140)</f>
        <v>850</v>
      </c>
      <c r="FK140" s="14">
        <f>INDEX(属性投放!$BQ$6:$BQ$85,(卡牌属性!$DW140-2)*20+卡牌属性!$DX140)</f>
        <v>850</v>
      </c>
      <c r="FL140" s="14">
        <f>INDEX(属性投放!$BQ$6:$BQ$85,(卡牌属性!$DW140-2)*20+卡牌属性!$DX140)</f>
        <v>850</v>
      </c>
      <c r="FM140" s="14">
        <f>INDEX(属性投放!$BR$6:$BR$85,(卡牌属性!$DW140-2)*20+卡牌属性!$DX140)</f>
        <v>425</v>
      </c>
      <c r="FN140" s="14">
        <f>INDEX(属性投放!$BR$6:$BR$85,(卡牌属性!$DW140-2)*20+卡牌属性!$DX140)</f>
        <v>425</v>
      </c>
      <c r="FO140" s="14">
        <f>INDEX(属性投放!$BR$6:$BR$85,(卡牌属性!$DW140-2)*20+卡牌属性!$DX140)</f>
        <v>425</v>
      </c>
      <c r="FP140" s="14">
        <f>INDEX(属性投放!$BR$6:$BR$85,(卡牌属性!$DW140-2)*20+卡牌属性!$DX140)</f>
        <v>425</v>
      </c>
      <c r="FQ140" s="14">
        <f>INDEX(属性投放!$BR$6:$BR$85,(卡牌属性!$DW140-2)*20+卡牌属性!$DX140)</f>
        <v>425</v>
      </c>
      <c r="FR140" s="14">
        <f>INDEX(属性投放!$BS$6:$BS$85,(卡牌属性!$DW140-2)*20+卡牌属性!$DX140)</f>
        <v>8500</v>
      </c>
      <c r="FS140" s="14">
        <f>INDEX(属性投放!$BS$6:$BS$85,(卡牌属性!$DW140-2)*20+卡牌属性!$DX140)</f>
        <v>8500</v>
      </c>
      <c r="FT140" s="14">
        <f>INDEX(属性投放!$BS$6:$BS$85,(卡牌属性!$DW140-2)*20+卡牌属性!$DX140)</f>
        <v>8500</v>
      </c>
      <c r="FU140" s="14">
        <f>INDEX(属性投放!$BS$6:$BS$85,(卡牌属性!$DW140-2)*20+卡牌属性!$DX140)</f>
        <v>8500</v>
      </c>
      <c r="FV140" s="14">
        <f>INDEX(属性投放!$BS$6:$BS$85,(卡牌属性!$DW140-2)*20+卡牌属性!$DX140)</f>
        <v>8500</v>
      </c>
      <c r="FZ140" s="13">
        <v>136</v>
      </c>
      <c r="GA140" s="13">
        <f t="shared" si="291"/>
        <v>28</v>
      </c>
      <c r="GB140" s="14">
        <f t="shared" si="341"/>
        <v>1102031</v>
      </c>
      <c r="GC140" s="14" t="s">
        <v>1187</v>
      </c>
      <c r="GD140" s="14">
        <f t="shared" si="329"/>
        <v>1</v>
      </c>
      <c r="GE140" s="14" t="str">
        <f t="shared" si="330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MATCH(HC140,属性投放!$AO$6:$AO$58,1)-1</f>
        <v>47</v>
      </c>
      <c r="HF140" s="13">
        <f>MATCH(HC140-1,属性投放!$AE$6:$AE$26,1)</f>
        <v>19</v>
      </c>
      <c r="HG140" s="13" t="str">
        <f>INDEX(属性投放!$AB$7:$AB$26,卡牌属性!HF140)</f>
        <v>无间</v>
      </c>
      <c r="HH140" s="14">
        <f t="shared" si="342"/>
        <v>11093</v>
      </c>
      <c r="HI140" s="14">
        <f t="shared" si="343"/>
        <v>4904</v>
      </c>
      <c r="HJ140" s="14">
        <f t="shared" si="344"/>
        <v>90584</v>
      </c>
      <c r="HK140" s="14">
        <f t="shared" si="345"/>
        <v>75</v>
      </c>
      <c r="HL140" s="14">
        <f t="shared" si="346"/>
        <v>23</v>
      </c>
      <c r="HM140" s="14">
        <f t="shared" si="347"/>
        <v>450</v>
      </c>
      <c r="HN140" s="14">
        <f>HH140+HK140*($HC140-INDEX(属性投放!$AE$6:$AE$26,卡牌属性!$HF140))</f>
        <v>11393</v>
      </c>
      <c r="HO140" s="14">
        <f>HI140+HL140*($HC140-INDEX(属性投放!$AE$6:$AE$26,卡牌属性!$HF140))</f>
        <v>4996</v>
      </c>
      <c r="HP140" s="14">
        <f>HJ140+HM140*($HC140-INDEX(属性投放!$AE$6:$AE$26,卡牌属性!$HF140))</f>
        <v>92384</v>
      </c>
      <c r="HQ140" s="14">
        <f t="shared" si="348"/>
        <v>13435</v>
      </c>
      <c r="HR140" s="14">
        <f t="shared" si="349"/>
        <v>6727</v>
      </c>
      <c r="HS140" s="14">
        <f t="shared" si="350"/>
        <v>129785</v>
      </c>
      <c r="HT140" s="14">
        <f>IF(COUNTIF(属性投放!$AO$7:$AO$58,"="&amp;卡牌属性!HC140)&gt;0,卡牌属性!HE140,0)</f>
        <v>0</v>
      </c>
      <c r="HU140" s="14">
        <f t="shared" si="351"/>
        <v>0</v>
      </c>
      <c r="HV140" s="14">
        <f t="shared" si="352"/>
        <v>0</v>
      </c>
      <c r="HW140" s="14">
        <f t="shared" si="353"/>
        <v>0</v>
      </c>
      <c r="HX140" s="14">
        <f>IF(COUNTIF(属性投放!$AE$6:$AE$26,"="&amp;卡牌属性!HC140)&gt;0,卡牌属性!HF140,0)</f>
        <v>0</v>
      </c>
      <c r="HY140" s="14">
        <f t="shared" si="354"/>
        <v>0</v>
      </c>
      <c r="HZ140" s="14">
        <f t="shared" si="355"/>
        <v>0</v>
      </c>
      <c r="IA140" s="14">
        <f t="shared" si="356"/>
        <v>0</v>
      </c>
      <c r="IB140" s="14">
        <f t="shared" si="357"/>
        <v>75</v>
      </c>
      <c r="IC140" s="14">
        <f t="shared" si="358"/>
        <v>23</v>
      </c>
      <c r="ID140" s="14">
        <f t="shared" si="359"/>
        <v>450</v>
      </c>
      <c r="IE140" s="14">
        <f t="shared" si="360"/>
        <v>24828</v>
      </c>
      <c r="IF140" s="14">
        <f t="shared" si="361"/>
        <v>11723</v>
      </c>
      <c r="IG140" s="14">
        <f t="shared" si="362"/>
        <v>222169</v>
      </c>
      <c r="IH140" s="14">
        <f t="shared" si="363"/>
        <v>1660</v>
      </c>
      <c r="II140" s="14">
        <f t="shared" si="364"/>
        <v>0</v>
      </c>
      <c r="IJ140" s="14">
        <f t="shared" si="365"/>
        <v>0</v>
      </c>
      <c r="IK140" s="14">
        <f t="shared" si="366"/>
        <v>704909</v>
      </c>
      <c r="IL140" s="17">
        <f t="shared" si="367"/>
        <v>2.3549138966873738E-3</v>
      </c>
      <c r="IM140" s="17">
        <f t="shared" si="368"/>
        <v>0</v>
      </c>
      <c r="IN140" s="17">
        <f t="shared" si="369"/>
        <v>0</v>
      </c>
      <c r="IO140" s="23">
        <f>SUM(IH$5:IH140)</f>
        <v>97424</v>
      </c>
      <c r="IP140" s="14">
        <f>SUM(II$5:II140)</f>
        <v>398675</v>
      </c>
      <c r="IQ140" s="14">
        <f>SUM(IJ$5:IJ140)</f>
        <v>160640</v>
      </c>
      <c r="IR140" s="17">
        <f t="shared" si="370"/>
        <v>0.13820791052462092</v>
      </c>
      <c r="IS140" s="17">
        <f t="shared" si="371"/>
        <v>0.56556945648303536</v>
      </c>
      <c r="IT140" s="17">
        <f t="shared" si="372"/>
        <v>0.22788757130352996</v>
      </c>
      <c r="IW140" s="13">
        <v>136</v>
      </c>
      <c r="IX140" s="14">
        <f>MATCH(IW140-1,属性投放!$T$6:$T$66,1)</f>
        <v>43</v>
      </c>
      <c r="IY140" s="14">
        <f>MATCH(IW140-1,属性投放!$AD$7:$AD$26,1)</f>
        <v>18</v>
      </c>
      <c r="IZ140" s="14" t="str">
        <f>INDEX(属性投放!$AB$7:$AB$26,IY140)</f>
        <v>大焦热+2</v>
      </c>
      <c r="JA140" s="14">
        <f t="shared" si="373"/>
        <v>11221</v>
      </c>
      <c r="JB140" s="14">
        <f t="shared" si="374"/>
        <v>5577</v>
      </c>
      <c r="JC140" s="14">
        <f t="shared" si="375"/>
        <v>103986</v>
      </c>
      <c r="JD140" s="14">
        <f t="shared" si="376"/>
        <v>235</v>
      </c>
      <c r="JE140" s="14">
        <f t="shared" si="377"/>
        <v>117</v>
      </c>
      <c r="JF140" s="14">
        <f t="shared" si="378"/>
        <v>2346</v>
      </c>
      <c r="JG140" s="14">
        <f>INDEX(属性投放!$DC$6:$DC$85,卡牌属性!IY140)</f>
        <v>110</v>
      </c>
      <c r="JH140" s="14">
        <f t="shared" si="379"/>
        <v>17331</v>
      </c>
      <c r="JI140" s="14">
        <f t="shared" si="380"/>
        <v>8619</v>
      </c>
      <c r="JJ140" s="14">
        <f t="shared" si="381"/>
        <v>164982</v>
      </c>
      <c r="JK140" s="14">
        <f t="shared" si="382"/>
        <v>337827</v>
      </c>
    </row>
    <row r="141" spans="31:271" ht="16.5" x14ac:dyDescent="0.2">
      <c r="AE141" s="13">
        <v>137</v>
      </c>
      <c r="AF141" s="13">
        <f t="shared" si="331"/>
        <v>7</v>
      </c>
      <c r="AG141" s="13">
        <f t="shared" si="316"/>
        <v>4</v>
      </c>
      <c r="AH141" s="13"/>
      <c r="AI141" s="13"/>
      <c r="AJ141" s="14">
        <f t="shared" si="317"/>
        <v>1101007</v>
      </c>
      <c r="AK141" s="14" t="str">
        <f t="shared" si="318"/>
        <v>战斗曹焱兵17突</v>
      </c>
      <c r="AL141" s="25" t="s">
        <v>142</v>
      </c>
      <c r="AM141" s="14">
        <v>1</v>
      </c>
      <c r="AN141" s="14">
        <f t="shared" si="319"/>
        <v>17</v>
      </c>
      <c r="AO141" s="14">
        <f>INDEX(属性投放!$DF$6:$DF$85,(卡牌属性!AG141-2)*20+卡牌属性!AN141)</f>
        <v>14867</v>
      </c>
      <c r="AP141" s="14">
        <f t="shared" si="295"/>
        <v>14867</v>
      </c>
      <c r="AQ141" s="14">
        <f t="shared" si="295"/>
        <v>14867</v>
      </c>
      <c r="AR141" s="14">
        <f t="shared" si="295"/>
        <v>14867</v>
      </c>
      <c r="AS141" s="14">
        <f t="shared" si="295"/>
        <v>14867</v>
      </c>
      <c r="AT141" s="14">
        <f>INDEX(属性投放!$DG$6:$DG$85,(卡牌属性!AG141-2)*20+卡牌属性!AN141)</f>
        <v>7352</v>
      </c>
      <c r="AU141" s="14">
        <f t="shared" si="296"/>
        <v>7352</v>
      </c>
      <c r="AV141" s="14">
        <f t="shared" si="296"/>
        <v>7352</v>
      </c>
      <c r="AW141" s="14">
        <f t="shared" si="296"/>
        <v>7352</v>
      </c>
      <c r="AX141" s="14">
        <f t="shared" si="296"/>
        <v>7352</v>
      </c>
      <c r="AY141" s="14">
        <f>INDEX(属性投放!$DH$6:$DH$85,(卡牌属性!AG141-2)*20+卡牌属性!AN141)</f>
        <v>134858</v>
      </c>
      <c r="AZ141" s="14">
        <f t="shared" si="297"/>
        <v>134858</v>
      </c>
      <c r="BA141" s="14">
        <f t="shared" si="297"/>
        <v>134858</v>
      </c>
      <c r="BB141" s="14">
        <f t="shared" si="297"/>
        <v>134858</v>
      </c>
      <c r="BC141" s="14">
        <f t="shared" si="297"/>
        <v>134858</v>
      </c>
      <c r="BD141" s="14">
        <f>INDEX(属性投放!$DL$6:$DL$85,(卡牌属性!AG141-2)*20+卡牌属性!AN141)</f>
        <v>284</v>
      </c>
      <c r="BE141" s="14">
        <f t="shared" si="298"/>
        <v>284</v>
      </c>
      <c r="BF141" s="14">
        <f t="shared" si="298"/>
        <v>284</v>
      </c>
      <c r="BG141" s="14">
        <f t="shared" si="298"/>
        <v>284</v>
      </c>
      <c r="BH141" s="14">
        <f t="shared" si="298"/>
        <v>284</v>
      </c>
      <c r="BI141" s="14">
        <f>INDEX(属性投放!$DM$6:$DM$85,(卡牌属性!AG141-2)*20+卡牌属性!AN141)</f>
        <v>142</v>
      </c>
      <c r="BJ141" s="14">
        <f t="shared" si="299"/>
        <v>142</v>
      </c>
      <c r="BK141" s="14">
        <f t="shared" si="299"/>
        <v>142</v>
      </c>
      <c r="BL141" s="14">
        <f t="shared" si="299"/>
        <v>142</v>
      </c>
      <c r="BM141" s="14">
        <f t="shared" si="299"/>
        <v>142</v>
      </c>
      <c r="BN141" s="14">
        <f>INDEX(属性投放!$DN$6:$DN$85,(卡牌属性!AG141-2)*20+卡牌属性!AN141)</f>
        <v>2845</v>
      </c>
      <c r="BO141" s="14">
        <f t="shared" si="300"/>
        <v>2845</v>
      </c>
      <c r="BP141" s="14">
        <f t="shared" si="300"/>
        <v>2845</v>
      </c>
      <c r="BQ141" s="14">
        <f t="shared" si="300"/>
        <v>2845</v>
      </c>
      <c r="BR141" s="14">
        <f t="shared" si="300"/>
        <v>2845</v>
      </c>
      <c r="BW141" s="13">
        <v>137</v>
      </c>
      <c r="BX141" s="13">
        <f t="shared" si="320"/>
        <v>7</v>
      </c>
      <c r="BY141" s="14">
        <f t="shared" si="321"/>
        <v>4</v>
      </c>
      <c r="BZ141" s="14">
        <f t="shared" si="332"/>
        <v>1102007</v>
      </c>
      <c r="CA141" s="14" t="str">
        <f t="shared" si="333"/>
        <v>天使缇娜17突</v>
      </c>
      <c r="CB141" s="25" t="s">
        <v>142</v>
      </c>
      <c r="CC141" s="14">
        <v>2</v>
      </c>
      <c r="CD141" s="14">
        <f t="shared" si="322"/>
        <v>17</v>
      </c>
      <c r="CE141" s="14" t="s">
        <v>21</v>
      </c>
      <c r="CF141" s="14">
        <f>INDEX(属性投放!$AZ$6:$AZ$85,(BY141-2)*20+CD141)</f>
        <v>15328</v>
      </c>
      <c r="CG141" s="14" t="s">
        <v>22</v>
      </c>
      <c r="CH141" s="14">
        <f>INDEX(属性投放!$BA$6:$BA$85,(BY141-2)*20+CD141)</f>
        <v>7619</v>
      </c>
      <c r="CI141" s="14" t="s">
        <v>510</v>
      </c>
      <c r="CJ141" s="14">
        <f>INDEX(属性投放!$BB$6:$BB$85,(BY141-2)*20+CD141)</f>
        <v>139603</v>
      </c>
      <c r="CK141" s="14" t="s">
        <v>21</v>
      </c>
      <c r="CL141" s="14">
        <f>INDEX(属性投放!$BC$6:$BC$85,(BY141-2)*20+CD141)</f>
        <v>50</v>
      </c>
      <c r="CM141" s="14" t="s">
        <v>22</v>
      </c>
      <c r="CN141" s="14">
        <f>INDEX(属性投放!$BD$6:$BD$85,(BY141-2)*20+CD141)</f>
        <v>25</v>
      </c>
      <c r="CO141" s="14" t="s">
        <v>510</v>
      </c>
      <c r="CP141" s="14">
        <f>INDEX(属性投放!$BE$6:$BE$85,(BY141-2)*20+CD141)</f>
        <v>500</v>
      </c>
      <c r="CS141" s="13">
        <v>137</v>
      </c>
      <c r="CT141" s="13">
        <f t="shared" si="334"/>
        <v>3</v>
      </c>
      <c r="CU141" s="13">
        <f t="shared" si="335"/>
        <v>33</v>
      </c>
      <c r="CV141" s="14">
        <f t="shared" si="336"/>
        <v>4</v>
      </c>
      <c r="CW141" s="14">
        <f t="shared" si="337"/>
        <v>1102003</v>
      </c>
      <c r="CX141" s="14" t="str">
        <f>INDEX($O$6:$O$50,CT141)&amp;"-"&amp;INDEX(属性投放!$AB$7:$AB$50,CZ141)&amp;"-魂火-"&amp;DB141</f>
        <v>典韦-焦热+1-魂火-3</v>
      </c>
      <c r="CY141" s="25" t="s">
        <v>142</v>
      </c>
      <c r="CZ141" s="14">
        <f>INDEX(属性投放!$AM$7:$AM$58,CU141)</f>
        <v>14</v>
      </c>
      <c r="DA141" s="14" t="s">
        <v>537</v>
      </c>
      <c r="DB141" s="14">
        <f>INDEX(属性投放!$AN$7:$AN$58,CU141)</f>
        <v>3</v>
      </c>
      <c r="DC141" s="14">
        <f t="shared" si="323"/>
        <v>33</v>
      </c>
      <c r="DD141" s="14">
        <f>INDEX(属性投放!$AO$7:$AO$58,DC141)</f>
        <v>100</v>
      </c>
      <c r="DE141" s="14" t="s">
        <v>538</v>
      </c>
      <c r="DF141" s="14">
        <f>INDEX(属性投放!$BK$6:$BK$85,(CV141-2)*20+CZ141)</f>
        <v>320</v>
      </c>
      <c r="DG141" s="14">
        <f>SUMIFS(DF$5:DF141,$CT$5:$CT141,"="&amp;$CT141)</f>
        <v>4540</v>
      </c>
      <c r="DH141" s="14" t="s">
        <v>539</v>
      </c>
      <c r="DI141" s="14">
        <f>INDEX(属性投放!$BL$6:$BL$85,(CV141-2)*20+CZ141)</f>
        <v>160</v>
      </c>
      <c r="DJ141" s="14">
        <f>SUMIFS(DI$5:DI141,$CT$5:$CT141,"="&amp;$CT141)</f>
        <v>2278</v>
      </c>
      <c r="DK141" s="14" t="s">
        <v>540</v>
      </c>
      <c r="DL141" s="14">
        <f>INDEX(属性投放!$BM$6:$BM$85,(CV141-2)*20+CZ141)</f>
        <v>3200</v>
      </c>
      <c r="DM141" s="14">
        <f>SUMIFS(DL$5:DL141,$CT$5:$CT141,"="&amp;$CT141)</f>
        <v>40835</v>
      </c>
      <c r="DR141" s="14">
        <f t="shared" si="324"/>
        <v>1102007</v>
      </c>
      <c r="DS141" s="14" t="str">
        <f t="shared" si="325"/>
        <v>天使缇娜17突</v>
      </c>
      <c r="DT141" s="14">
        <f t="shared" si="338"/>
        <v>7</v>
      </c>
      <c r="DU141" s="14">
        <f t="shared" si="339"/>
        <v>6</v>
      </c>
      <c r="DV141" s="14">
        <f t="shared" si="340"/>
        <v>6</v>
      </c>
      <c r="DW141" s="14">
        <f t="shared" si="326"/>
        <v>4</v>
      </c>
      <c r="DX141" s="14">
        <f t="shared" si="327"/>
        <v>17</v>
      </c>
      <c r="DY141" s="14">
        <f t="shared" si="328"/>
        <v>57</v>
      </c>
      <c r="DZ141" s="14">
        <f>INDEX(属性投放!$AX$6:$AX$85,(卡牌属性!DW141-2)*20+卡牌属性!DX141)</f>
        <v>8</v>
      </c>
      <c r="EA141" s="14">
        <f>INDEX(属性投放!BQ$6:BQ$85,卡牌属性!$DY141)</f>
        <v>950</v>
      </c>
      <c r="EB141" s="14">
        <f>INDEX(属性投放!BR$6:BR$85,卡牌属性!$DY141)</f>
        <v>475</v>
      </c>
      <c r="EC141" s="14">
        <f>INDEX(属性投放!BS$6:BS$85,卡牌属性!$DY141)</f>
        <v>9500</v>
      </c>
      <c r="ED141" s="14">
        <f t="shared" si="301"/>
        <v>7893</v>
      </c>
      <c r="EE141" s="14">
        <f t="shared" si="302"/>
        <v>8380</v>
      </c>
      <c r="EF141" s="14">
        <f t="shared" si="303"/>
        <v>8930</v>
      </c>
      <c r="EG141" s="14">
        <f t="shared" si="304"/>
        <v>8930</v>
      </c>
      <c r="EH141" s="14">
        <f t="shared" si="305"/>
        <v>10360</v>
      </c>
      <c r="EI141" s="14">
        <f t="shared" si="306"/>
        <v>3409</v>
      </c>
      <c r="EJ141" s="14">
        <f t="shared" si="307"/>
        <v>3917</v>
      </c>
      <c r="EK141" s="14">
        <f t="shared" si="308"/>
        <v>3917</v>
      </c>
      <c r="EL141" s="14">
        <f t="shared" si="309"/>
        <v>4176</v>
      </c>
      <c r="EM141" s="14">
        <f t="shared" si="310"/>
        <v>4433</v>
      </c>
      <c r="EN141" s="14">
        <f t="shared" si="311"/>
        <v>60834</v>
      </c>
      <c r="EO141" s="14">
        <f t="shared" si="312"/>
        <v>69818</v>
      </c>
      <c r="EP141" s="14">
        <f t="shared" si="313"/>
        <v>69818</v>
      </c>
      <c r="EQ141" s="14">
        <f t="shared" si="314"/>
        <v>73862</v>
      </c>
      <c r="ER141" s="14">
        <f t="shared" si="315"/>
        <v>78410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INDEX(属性投放!$BQ$6:$BQ$85,(卡牌属性!$DW141-2)*20+卡牌属性!$DX141)</f>
        <v>950</v>
      </c>
      <c r="FI141" s="14">
        <f>INDEX(属性投放!$BQ$6:$BQ$85,(卡牌属性!$DW141-2)*20+卡牌属性!$DX141)</f>
        <v>950</v>
      </c>
      <c r="FJ141" s="14">
        <f>INDEX(属性投放!$BQ$6:$BQ$85,(卡牌属性!$DW141-2)*20+卡牌属性!$DX141)</f>
        <v>950</v>
      </c>
      <c r="FK141" s="14">
        <f>INDEX(属性投放!$BQ$6:$BQ$85,(卡牌属性!$DW141-2)*20+卡牌属性!$DX141)</f>
        <v>950</v>
      </c>
      <c r="FL141" s="14">
        <f>INDEX(属性投放!$BQ$6:$BQ$85,(卡牌属性!$DW141-2)*20+卡牌属性!$DX141)</f>
        <v>950</v>
      </c>
      <c r="FM141" s="14">
        <f>INDEX(属性投放!$BR$6:$BR$85,(卡牌属性!$DW141-2)*20+卡牌属性!$DX141)</f>
        <v>475</v>
      </c>
      <c r="FN141" s="14">
        <f>INDEX(属性投放!$BR$6:$BR$85,(卡牌属性!$DW141-2)*20+卡牌属性!$DX141)</f>
        <v>475</v>
      </c>
      <c r="FO141" s="14">
        <f>INDEX(属性投放!$BR$6:$BR$85,(卡牌属性!$DW141-2)*20+卡牌属性!$DX141)</f>
        <v>475</v>
      </c>
      <c r="FP141" s="14">
        <f>INDEX(属性投放!$BR$6:$BR$85,(卡牌属性!$DW141-2)*20+卡牌属性!$DX141)</f>
        <v>475</v>
      </c>
      <c r="FQ141" s="14">
        <f>INDEX(属性投放!$BR$6:$BR$85,(卡牌属性!$DW141-2)*20+卡牌属性!$DX141)</f>
        <v>475</v>
      </c>
      <c r="FR141" s="14">
        <f>INDEX(属性投放!$BS$6:$BS$85,(卡牌属性!$DW141-2)*20+卡牌属性!$DX141)</f>
        <v>9500</v>
      </c>
      <c r="FS141" s="14">
        <f>INDEX(属性投放!$BS$6:$BS$85,(卡牌属性!$DW141-2)*20+卡牌属性!$DX141)</f>
        <v>9500</v>
      </c>
      <c r="FT141" s="14">
        <f>INDEX(属性投放!$BS$6:$BS$85,(卡牌属性!$DW141-2)*20+卡牌属性!$DX141)</f>
        <v>9500</v>
      </c>
      <c r="FU141" s="14">
        <f>INDEX(属性投放!$BS$6:$BS$85,(卡牌属性!$DW141-2)*20+卡牌属性!$DX141)</f>
        <v>9500</v>
      </c>
      <c r="FV141" s="14">
        <f>INDEX(属性投放!$BS$6:$BS$85,(卡牌属性!$DW141-2)*20+卡牌属性!$DX141)</f>
        <v>9500</v>
      </c>
      <c r="FZ141" s="13">
        <v>137</v>
      </c>
      <c r="GA141" s="13">
        <f t="shared" si="291"/>
        <v>28</v>
      </c>
      <c r="GB141" s="14">
        <f t="shared" si="341"/>
        <v>1102031</v>
      </c>
      <c r="GC141" s="14" t="s">
        <v>1187</v>
      </c>
      <c r="GD141" s="14">
        <f t="shared" si="329"/>
        <v>2</v>
      </c>
      <c r="GE141" s="14" t="str">
        <f t="shared" si="330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MATCH(HC141,属性投放!$AO$6:$AO$58,1)-1</f>
        <v>47</v>
      </c>
      <c r="HF141" s="13">
        <f>MATCH(HC141-1,属性投放!$AE$6:$AE$26,1)</f>
        <v>19</v>
      </c>
      <c r="HG141" s="13" t="str">
        <f>INDEX(属性投放!$AB$7:$AB$26,卡牌属性!HF141)</f>
        <v>无间</v>
      </c>
      <c r="HH141" s="14">
        <f t="shared" si="342"/>
        <v>11093</v>
      </c>
      <c r="HI141" s="14">
        <f t="shared" si="343"/>
        <v>4904</v>
      </c>
      <c r="HJ141" s="14">
        <f t="shared" si="344"/>
        <v>90584</v>
      </c>
      <c r="HK141" s="14">
        <f t="shared" si="345"/>
        <v>75</v>
      </c>
      <c r="HL141" s="14">
        <f t="shared" si="346"/>
        <v>23</v>
      </c>
      <c r="HM141" s="14">
        <f t="shared" si="347"/>
        <v>450</v>
      </c>
      <c r="HN141" s="14">
        <f>HH141+HK141*($HC141-INDEX(属性投放!$AE$6:$AE$26,卡牌属性!$HF141))</f>
        <v>11468</v>
      </c>
      <c r="HO141" s="14">
        <f>HI141+HL141*($HC141-INDEX(属性投放!$AE$6:$AE$26,卡牌属性!$HF141))</f>
        <v>5019</v>
      </c>
      <c r="HP141" s="14">
        <f>HJ141+HM141*($HC141-INDEX(属性投放!$AE$6:$AE$26,卡牌属性!$HF141))</f>
        <v>92834</v>
      </c>
      <c r="HQ141" s="14">
        <f t="shared" si="348"/>
        <v>13435</v>
      </c>
      <c r="HR141" s="14">
        <f t="shared" si="349"/>
        <v>6727</v>
      </c>
      <c r="HS141" s="14">
        <f t="shared" si="350"/>
        <v>129785</v>
      </c>
      <c r="HT141" s="14">
        <f>IF(COUNTIF(属性投放!$AO$7:$AO$58,"="&amp;卡牌属性!HC141)&gt;0,卡牌属性!HE141,0)</f>
        <v>0</v>
      </c>
      <c r="HU141" s="14">
        <f t="shared" si="351"/>
        <v>0</v>
      </c>
      <c r="HV141" s="14">
        <f t="shared" si="352"/>
        <v>0</v>
      </c>
      <c r="HW141" s="14">
        <f t="shared" si="353"/>
        <v>0</v>
      </c>
      <c r="HX141" s="14">
        <f>IF(COUNTIF(属性投放!$AE$6:$AE$26,"="&amp;卡牌属性!HC141)&gt;0,卡牌属性!HF141,0)</f>
        <v>0</v>
      </c>
      <c r="HY141" s="14">
        <f t="shared" si="354"/>
        <v>0</v>
      </c>
      <c r="HZ141" s="14">
        <f t="shared" si="355"/>
        <v>0</v>
      </c>
      <c r="IA141" s="14">
        <f t="shared" si="356"/>
        <v>0</v>
      </c>
      <c r="IB141" s="14">
        <f t="shared" si="357"/>
        <v>75</v>
      </c>
      <c r="IC141" s="14">
        <f t="shared" si="358"/>
        <v>23</v>
      </c>
      <c r="ID141" s="14">
        <f t="shared" si="359"/>
        <v>450</v>
      </c>
      <c r="IE141" s="14">
        <f t="shared" si="360"/>
        <v>24903</v>
      </c>
      <c r="IF141" s="14">
        <f t="shared" si="361"/>
        <v>11746</v>
      </c>
      <c r="IG141" s="14">
        <f t="shared" si="362"/>
        <v>222619</v>
      </c>
      <c r="IH141" s="14">
        <f t="shared" si="363"/>
        <v>1660</v>
      </c>
      <c r="II141" s="14">
        <f t="shared" si="364"/>
        <v>0</v>
      </c>
      <c r="IJ141" s="14">
        <f t="shared" si="365"/>
        <v>0</v>
      </c>
      <c r="IK141" s="14">
        <f t="shared" si="366"/>
        <v>706569</v>
      </c>
      <c r="IL141" s="17">
        <f t="shared" si="367"/>
        <v>2.3493813060012541E-3</v>
      </c>
      <c r="IM141" s="17">
        <f t="shared" si="368"/>
        <v>0</v>
      </c>
      <c r="IN141" s="17">
        <f t="shared" si="369"/>
        <v>0</v>
      </c>
      <c r="IO141" s="23">
        <f>SUM(IH$5:IH141)</f>
        <v>99084</v>
      </c>
      <c r="IP141" s="14">
        <f>SUM(II$5:II141)</f>
        <v>398675</v>
      </c>
      <c r="IQ141" s="14">
        <f>SUM(IJ$5:IJ141)</f>
        <v>160640</v>
      </c>
      <c r="IR141" s="17">
        <f t="shared" si="370"/>
        <v>0.14023258874929412</v>
      </c>
      <c r="IS141" s="17">
        <f t="shared" si="371"/>
        <v>0.56424071817472887</v>
      </c>
      <c r="IT141" s="17">
        <f t="shared" si="372"/>
        <v>0.22735217650363942</v>
      </c>
      <c r="IW141" s="13">
        <v>137</v>
      </c>
      <c r="IX141" s="14">
        <f>MATCH(IW141-1,属性投放!$T$6:$T$66,1)</f>
        <v>44</v>
      </c>
      <c r="IY141" s="14">
        <f>MATCH(IW141-1,属性投放!$AD$7:$AD$26,1)</f>
        <v>18</v>
      </c>
      <c r="IZ141" s="14" t="str">
        <f>INDEX(属性投放!$AB$7:$AB$26,IY141)</f>
        <v>大焦热+2</v>
      </c>
      <c r="JA141" s="14">
        <f t="shared" si="373"/>
        <v>11221</v>
      </c>
      <c r="JB141" s="14">
        <f t="shared" si="374"/>
        <v>5577</v>
      </c>
      <c r="JC141" s="14">
        <f t="shared" si="375"/>
        <v>103986</v>
      </c>
      <c r="JD141" s="14">
        <f t="shared" si="376"/>
        <v>235</v>
      </c>
      <c r="JE141" s="14">
        <f t="shared" si="377"/>
        <v>117</v>
      </c>
      <c r="JF141" s="14">
        <f t="shared" si="378"/>
        <v>2346</v>
      </c>
      <c r="JG141" s="14">
        <f>INDEX(属性投放!$DC$6:$DC$85,卡牌属性!IY141)</f>
        <v>110</v>
      </c>
      <c r="JH141" s="14">
        <f t="shared" si="379"/>
        <v>17566</v>
      </c>
      <c r="JI141" s="14">
        <f t="shared" si="380"/>
        <v>8736</v>
      </c>
      <c r="JJ141" s="14">
        <f t="shared" si="381"/>
        <v>167328</v>
      </c>
      <c r="JK141" s="14">
        <f t="shared" si="382"/>
        <v>342518</v>
      </c>
    </row>
    <row r="142" spans="31:271" ht="16.5" x14ac:dyDescent="0.2">
      <c r="AE142" s="13">
        <v>138</v>
      </c>
      <c r="AF142" s="13">
        <f t="shared" si="331"/>
        <v>7</v>
      </c>
      <c r="AG142" s="13">
        <f t="shared" si="316"/>
        <v>4</v>
      </c>
      <c r="AH142" s="13"/>
      <c r="AI142" s="13"/>
      <c r="AJ142" s="14">
        <f t="shared" si="317"/>
        <v>1101007</v>
      </c>
      <c r="AK142" s="14" t="str">
        <f t="shared" si="318"/>
        <v>战斗曹焱兵18突</v>
      </c>
      <c r="AL142" s="25" t="s">
        <v>142</v>
      </c>
      <c r="AM142" s="14">
        <v>1</v>
      </c>
      <c r="AN142" s="14">
        <f t="shared" si="319"/>
        <v>18</v>
      </c>
      <c r="AO142" s="14">
        <f>INDEX(属性投放!$DF$6:$DF$85,(卡牌属性!AG142-2)*20+卡牌属性!AN142)</f>
        <v>15883</v>
      </c>
      <c r="AP142" s="14">
        <f t="shared" si="295"/>
        <v>15883</v>
      </c>
      <c r="AQ142" s="14">
        <f t="shared" si="295"/>
        <v>15883</v>
      </c>
      <c r="AR142" s="14">
        <f t="shared" si="295"/>
        <v>15883</v>
      </c>
      <c r="AS142" s="14">
        <f t="shared" si="295"/>
        <v>15883</v>
      </c>
      <c r="AT142" s="14">
        <f>INDEX(属性投放!$DG$6:$DG$85,(卡牌属性!AG142-2)*20+卡牌属性!AN142)</f>
        <v>7860</v>
      </c>
      <c r="AU142" s="14">
        <f t="shared" si="296"/>
        <v>7860</v>
      </c>
      <c r="AV142" s="14">
        <f t="shared" si="296"/>
        <v>7860</v>
      </c>
      <c r="AW142" s="14">
        <f t="shared" si="296"/>
        <v>7860</v>
      </c>
      <c r="AX142" s="14">
        <f t="shared" si="296"/>
        <v>7860</v>
      </c>
      <c r="AY142" s="14">
        <f>INDEX(属性投放!$DH$6:$DH$85,(卡牌属性!AG142-2)*20+卡牌属性!AN142)</f>
        <v>145018</v>
      </c>
      <c r="AZ142" s="14">
        <f t="shared" si="297"/>
        <v>145018</v>
      </c>
      <c r="BA142" s="14">
        <f t="shared" si="297"/>
        <v>145018</v>
      </c>
      <c r="BB142" s="14">
        <f t="shared" si="297"/>
        <v>145018</v>
      </c>
      <c r="BC142" s="14">
        <f t="shared" si="297"/>
        <v>145018</v>
      </c>
      <c r="BD142" s="14">
        <f>INDEX(属性投放!$DL$6:$DL$85,(卡牌属性!AG142-2)*20+卡牌属性!AN142)</f>
        <v>284</v>
      </c>
      <c r="BE142" s="14">
        <f t="shared" si="298"/>
        <v>284</v>
      </c>
      <c r="BF142" s="14">
        <f t="shared" si="298"/>
        <v>284</v>
      </c>
      <c r="BG142" s="14">
        <f t="shared" si="298"/>
        <v>284</v>
      </c>
      <c r="BH142" s="14">
        <f t="shared" si="298"/>
        <v>284</v>
      </c>
      <c r="BI142" s="14">
        <f>INDEX(属性投放!$DM$6:$DM$85,(卡牌属性!AG142-2)*20+卡牌属性!AN142)</f>
        <v>142</v>
      </c>
      <c r="BJ142" s="14">
        <f t="shared" si="299"/>
        <v>142</v>
      </c>
      <c r="BK142" s="14">
        <f t="shared" si="299"/>
        <v>142</v>
      </c>
      <c r="BL142" s="14">
        <f t="shared" si="299"/>
        <v>142</v>
      </c>
      <c r="BM142" s="14">
        <f t="shared" si="299"/>
        <v>142</v>
      </c>
      <c r="BN142" s="14">
        <f>INDEX(属性投放!$DN$6:$DN$85,(卡牌属性!AG142-2)*20+卡牌属性!AN142)</f>
        <v>2845</v>
      </c>
      <c r="BO142" s="14">
        <f t="shared" si="300"/>
        <v>2845</v>
      </c>
      <c r="BP142" s="14">
        <f t="shared" si="300"/>
        <v>2845</v>
      </c>
      <c r="BQ142" s="14">
        <f t="shared" si="300"/>
        <v>2845</v>
      </c>
      <c r="BR142" s="14">
        <f t="shared" si="300"/>
        <v>2845</v>
      </c>
      <c r="BW142" s="13">
        <v>138</v>
      </c>
      <c r="BX142" s="13">
        <f t="shared" si="320"/>
        <v>7</v>
      </c>
      <c r="BY142" s="14">
        <f t="shared" si="321"/>
        <v>4</v>
      </c>
      <c r="BZ142" s="14">
        <f t="shared" si="332"/>
        <v>1102007</v>
      </c>
      <c r="CA142" s="14" t="str">
        <f t="shared" si="333"/>
        <v>天使缇娜18突</v>
      </c>
      <c r="CB142" s="25" t="s">
        <v>142</v>
      </c>
      <c r="CC142" s="14">
        <v>2</v>
      </c>
      <c r="CD142" s="14">
        <f t="shared" si="322"/>
        <v>18</v>
      </c>
      <c r="CE142" s="14" t="s">
        <v>21</v>
      </c>
      <c r="CF142" s="14">
        <f>INDEX(属性投放!$AZ$6:$AZ$85,(BY142-2)*20+CD142)</f>
        <v>18628</v>
      </c>
      <c r="CG142" s="14" t="s">
        <v>22</v>
      </c>
      <c r="CH142" s="14">
        <f>INDEX(属性投放!$BA$6:$BA$85,(BY142-2)*20+CD142)</f>
        <v>9269</v>
      </c>
      <c r="CI142" s="14" t="s">
        <v>510</v>
      </c>
      <c r="CJ142" s="14">
        <f>INDEX(属性投放!$BB$6:$BB$85,(BY142-2)*20+CD142)</f>
        <v>172603</v>
      </c>
      <c r="CK142" s="14" t="s">
        <v>21</v>
      </c>
      <c r="CL142" s="14">
        <f>INDEX(属性投放!$BC$6:$BC$85,(BY142-2)*20+CD142)</f>
        <v>50</v>
      </c>
      <c r="CM142" s="14" t="s">
        <v>22</v>
      </c>
      <c r="CN142" s="14">
        <f>INDEX(属性投放!$BD$6:$BD$85,(BY142-2)*20+CD142)</f>
        <v>25</v>
      </c>
      <c r="CO142" s="14" t="s">
        <v>510</v>
      </c>
      <c r="CP142" s="14">
        <f>INDEX(属性投放!$BE$6:$BE$85,(BY142-2)*20+CD142)</f>
        <v>500</v>
      </c>
      <c r="CS142" s="13">
        <v>138</v>
      </c>
      <c r="CT142" s="13">
        <f t="shared" si="334"/>
        <v>3</v>
      </c>
      <c r="CU142" s="13">
        <f t="shared" si="335"/>
        <v>34</v>
      </c>
      <c r="CV142" s="14">
        <f t="shared" si="336"/>
        <v>4</v>
      </c>
      <c r="CW142" s="14">
        <f t="shared" si="337"/>
        <v>1102003</v>
      </c>
      <c r="CX142" s="14" t="str">
        <f>INDEX($O$6:$O$50,CT142)&amp;"-"&amp;INDEX(属性投放!$AB$7:$AB$50,CZ142)&amp;"-魂火-"&amp;DB142</f>
        <v>典韦-焦热+2-魂火-1</v>
      </c>
      <c r="CY142" s="25" t="s">
        <v>142</v>
      </c>
      <c r="CZ142" s="14">
        <f>INDEX(属性投放!$AM$7:$AM$58,CU142)</f>
        <v>15</v>
      </c>
      <c r="DA142" s="14" t="s">
        <v>537</v>
      </c>
      <c r="DB142" s="14">
        <f>INDEX(属性投放!$AN$7:$AN$58,CU142)</f>
        <v>1</v>
      </c>
      <c r="DC142" s="14">
        <f t="shared" si="323"/>
        <v>34</v>
      </c>
      <c r="DD142" s="14">
        <f>INDEX(属性投放!$AO$7:$AO$58,DC142)</f>
        <v>103</v>
      </c>
      <c r="DE142" s="14" t="s">
        <v>538</v>
      </c>
      <c r="DF142" s="14">
        <f>INDEX(属性投放!$BK$6:$BK$85,(CV142-2)*20+CZ142)</f>
        <v>445</v>
      </c>
      <c r="DG142" s="14">
        <f>SUMIFS(DF$5:DF142,$CT$5:$CT142,"="&amp;$CT142)</f>
        <v>4985</v>
      </c>
      <c r="DH142" s="14" t="s">
        <v>539</v>
      </c>
      <c r="DI142" s="14">
        <f>INDEX(属性投放!$BL$6:$BL$85,(CV142-2)*20+CZ142)</f>
        <v>223</v>
      </c>
      <c r="DJ142" s="14">
        <f>SUMIFS(DI$5:DI142,$CT$5:$CT142,"="&amp;$CT142)</f>
        <v>2501</v>
      </c>
      <c r="DK142" s="14" t="s">
        <v>540</v>
      </c>
      <c r="DL142" s="14">
        <f>INDEX(属性投放!$BM$6:$BM$85,(CV142-2)*20+CZ142)</f>
        <v>4450</v>
      </c>
      <c r="DM142" s="14">
        <f>SUMIFS(DL$5:DL142,$CT$5:$CT142,"="&amp;$CT142)</f>
        <v>45285</v>
      </c>
      <c r="DR142" s="14">
        <f t="shared" si="324"/>
        <v>1102007</v>
      </c>
      <c r="DS142" s="14" t="str">
        <f t="shared" si="325"/>
        <v>天使缇娜18突</v>
      </c>
      <c r="DT142" s="14">
        <f t="shared" si="338"/>
        <v>7</v>
      </c>
      <c r="DU142" s="14">
        <f t="shared" si="339"/>
        <v>6</v>
      </c>
      <c r="DV142" s="14">
        <f t="shared" si="340"/>
        <v>6</v>
      </c>
      <c r="DW142" s="14">
        <f t="shared" si="326"/>
        <v>4</v>
      </c>
      <c r="DX142" s="14">
        <f t="shared" si="327"/>
        <v>18</v>
      </c>
      <c r="DY142" s="14">
        <f t="shared" si="328"/>
        <v>58</v>
      </c>
      <c r="DZ142" s="14">
        <f>INDEX(属性投放!$AX$6:$AX$85,(卡牌属性!DW142-2)*20+卡牌属性!DX142)</f>
        <v>7</v>
      </c>
      <c r="EA142" s="14">
        <f>INDEX(属性投放!BQ$6:BQ$85,卡牌属性!$DY142)</f>
        <v>1500</v>
      </c>
      <c r="EB142" s="14">
        <f>INDEX(属性投放!BR$6:BR$85,卡牌属性!$DY142)</f>
        <v>750</v>
      </c>
      <c r="EC142" s="14">
        <f>INDEX(属性投放!BS$6:BS$85,卡牌属性!$DY142)</f>
        <v>15000</v>
      </c>
      <c r="ED142" s="14">
        <f t="shared" si="301"/>
        <v>9243</v>
      </c>
      <c r="EE142" s="14">
        <f t="shared" si="302"/>
        <v>9810</v>
      </c>
      <c r="EF142" s="14">
        <f t="shared" si="303"/>
        <v>10480</v>
      </c>
      <c r="EG142" s="14">
        <f t="shared" si="304"/>
        <v>10480</v>
      </c>
      <c r="EH142" s="14">
        <f t="shared" si="305"/>
        <v>12110</v>
      </c>
      <c r="EI142" s="14">
        <f t="shared" si="306"/>
        <v>4028</v>
      </c>
      <c r="EJ142" s="14">
        <f t="shared" si="307"/>
        <v>4592</v>
      </c>
      <c r="EK142" s="14">
        <f t="shared" si="308"/>
        <v>4592</v>
      </c>
      <c r="EL142" s="14">
        <f t="shared" si="309"/>
        <v>4891</v>
      </c>
      <c r="EM142" s="14">
        <f t="shared" si="310"/>
        <v>5212</v>
      </c>
      <c r="EN142" s="14">
        <f t="shared" si="311"/>
        <v>73134</v>
      </c>
      <c r="EO142" s="14">
        <f t="shared" si="312"/>
        <v>83318</v>
      </c>
      <c r="EP142" s="14">
        <f t="shared" si="313"/>
        <v>83318</v>
      </c>
      <c r="EQ142" s="14">
        <f t="shared" si="314"/>
        <v>88162</v>
      </c>
      <c r="ER142" s="14">
        <f t="shared" si="315"/>
        <v>93910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INDEX(属性投放!$BQ$6:$BQ$85,(卡牌属性!$DW142-2)*20+卡牌属性!$DX142)</f>
        <v>1500</v>
      </c>
      <c r="FI142" s="14">
        <f>INDEX(属性投放!$BQ$6:$BQ$85,(卡牌属性!$DW142-2)*20+卡牌属性!$DX142)</f>
        <v>1500</v>
      </c>
      <c r="FJ142" s="14">
        <f>INDEX(属性投放!$BQ$6:$BQ$85,(卡牌属性!$DW142-2)*20+卡牌属性!$DX142)</f>
        <v>1500</v>
      </c>
      <c r="FK142" s="14">
        <f>INDEX(属性投放!$BQ$6:$BQ$85,(卡牌属性!$DW142-2)*20+卡牌属性!$DX142)</f>
        <v>1500</v>
      </c>
      <c r="FL142" s="14">
        <f>INDEX(属性投放!$BQ$6:$BQ$85,(卡牌属性!$DW142-2)*20+卡牌属性!$DX142)</f>
        <v>1500</v>
      </c>
      <c r="FM142" s="14">
        <f>INDEX(属性投放!$BR$6:$BR$85,(卡牌属性!$DW142-2)*20+卡牌属性!$DX142)</f>
        <v>750</v>
      </c>
      <c r="FN142" s="14">
        <f>INDEX(属性投放!$BR$6:$BR$85,(卡牌属性!$DW142-2)*20+卡牌属性!$DX142)</f>
        <v>750</v>
      </c>
      <c r="FO142" s="14">
        <f>INDEX(属性投放!$BR$6:$BR$85,(卡牌属性!$DW142-2)*20+卡牌属性!$DX142)</f>
        <v>750</v>
      </c>
      <c r="FP142" s="14">
        <f>INDEX(属性投放!$BR$6:$BR$85,(卡牌属性!$DW142-2)*20+卡牌属性!$DX142)</f>
        <v>750</v>
      </c>
      <c r="FQ142" s="14">
        <f>INDEX(属性投放!$BR$6:$BR$85,(卡牌属性!$DW142-2)*20+卡牌属性!$DX142)</f>
        <v>750</v>
      </c>
      <c r="FR142" s="14">
        <f>INDEX(属性投放!$BS$6:$BS$85,(卡牌属性!$DW142-2)*20+卡牌属性!$DX142)</f>
        <v>15000</v>
      </c>
      <c r="FS142" s="14">
        <f>INDEX(属性投放!$BS$6:$BS$85,(卡牌属性!$DW142-2)*20+卡牌属性!$DX142)</f>
        <v>15000</v>
      </c>
      <c r="FT142" s="14">
        <f>INDEX(属性投放!$BS$6:$BS$85,(卡牌属性!$DW142-2)*20+卡牌属性!$DX142)</f>
        <v>15000</v>
      </c>
      <c r="FU142" s="14">
        <f>INDEX(属性投放!$BS$6:$BS$85,(卡牌属性!$DW142-2)*20+卡牌属性!$DX142)</f>
        <v>15000</v>
      </c>
      <c r="FV142" s="14">
        <f>INDEX(属性投放!$BS$6:$BS$85,(卡牌属性!$DW142-2)*20+卡牌属性!$DX142)</f>
        <v>15000</v>
      </c>
      <c r="FZ142" s="13">
        <v>138</v>
      </c>
      <c r="GA142" s="13">
        <f t="shared" si="291"/>
        <v>28</v>
      </c>
      <c r="GB142" s="14">
        <f t="shared" si="341"/>
        <v>1102031</v>
      </c>
      <c r="GC142" s="14" t="s">
        <v>1187</v>
      </c>
      <c r="GD142" s="14">
        <f t="shared" si="329"/>
        <v>3</v>
      </c>
      <c r="GE142" s="14" t="str">
        <f t="shared" si="330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MATCH(HC142,属性投放!$AO$6:$AO$58,1)-1</f>
        <v>48</v>
      </c>
      <c r="HF142" s="13">
        <f>MATCH(HC142-1,属性投放!$AE$6:$AE$26,1)</f>
        <v>19</v>
      </c>
      <c r="HG142" s="13" t="str">
        <f>INDEX(属性投放!$AB$7:$AB$26,卡牌属性!HF142)</f>
        <v>无间</v>
      </c>
      <c r="HH142" s="14">
        <f t="shared" si="342"/>
        <v>11093</v>
      </c>
      <c r="HI142" s="14">
        <f t="shared" si="343"/>
        <v>4904</v>
      </c>
      <c r="HJ142" s="14">
        <f t="shared" si="344"/>
        <v>90584</v>
      </c>
      <c r="HK142" s="14">
        <f t="shared" si="345"/>
        <v>75</v>
      </c>
      <c r="HL142" s="14">
        <f t="shared" si="346"/>
        <v>23</v>
      </c>
      <c r="HM142" s="14">
        <f t="shared" si="347"/>
        <v>450</v>
      </c>
      <c r="HN142" s="14">
        <f>HH142+HK142*($HC142-INDEX(属性投放!$AE$6:$AE$26,卡牌属性!$HF142))</f>
        <v>11543</v>
      </c>
      <c r="HO142" s="14">
        <f>HI142+HL142*($HC142-INDEX(属性投放!$AE$6:$AE$26,卡牌属性!$HF142))</f>
        <v>5042</v>
      </c>
      <c r="HP142" s="14">
        <f>HJ142+HM142*($HC142-INDEX(属性投放!$AE$6:$AE$26,卡牌属性!$HF142))</f>
        <v>93284</v>
      </c>
      <c r="HQ142" s="14">
        <f t="shared" si="348"/>
        <v>14335</v>
      </c>
      <c r="HR142" s="14">
        <f t="shared" si="349"/>
        <v>7177</v>
      </c>
      <c r="HS142" s="14">
        <f t="shared" si="350"/>
        <v>138785</v>
      </c>
      <c r="HT142" s="14">
        <f>IF(COUNTIF(属性投放!$AO$7:$AO$58,"="&amp;卡牌属性!HC142)&gt;0,卡牌属性!HE142,0)</f>
        <v>48</v>
      </c>
      <c r="HU142" s="14">
        <f t="shared" si="351"/>
        <v>900</v>
      </c>
      <c r="HV142" s="14">
        <f t="shared" si="352"/>
        <v>450</v>
      </c>
      <c r="HW142" s="14">
        <f t="shared" si="353"/>
        <v>9000</v>
      </c>
      <c r="HX142" s="14">
        <f>IF(COUNTIF(属性投放!$AE$6:$AE$26,"="&amp;卡牌属性!HC142)&gt;0,卡牌属性!HF142,0)</f>
        <v>0</v>
      </c>
      <c r="HY142" s="14">
        <f t="shared" si="354"/>
        <v>0</v>
      </c>
      <c r="HZ142" s="14">
        <f t="shared" si="355"/>
        <v>0</v>
      </c>
      <c r="IA142" s="14">
        <f t="shared" si="356"/>
        <v>0</v>
      </c>
      <c r="IB142" s="14">
        <f t="shared" si="357"/>
        <v>75</v>
      </c>
      <c r="IC142" s="14">
        <f t="shared" si="358"/>
        <v>23</v>
      </c>
      <c r="ID142" s="14">
        <f t="shared" si="359"/>
        <v>450</v>
      </c>
      <c r="IE142" s="14">
        <f t="shared" si="360"/>
        <v>25878</v>
      </c>
      <c r="IF142" s="14">
        <f t="shared" si="361"/>
        <v>12219</v>
      </c>
      <c r="IG142" s="14">
        <f t="shared" si="362"/>
        <v>232069</v>
      </c>
      <c r="IH142" s="14">
        <f t="shared" si="363"/>
        <v>1660</v>
      </c>
      <c r="II142" s="14">
        <f t="shared" si="364"/>
        <v>27000</v>
      </c>
      <c r="IJ142" s="14">
        <f t="shared" si="365"/>
        <v>0</v>
      </c>
      <c r="IK142" s="14">
        <f t="shared" si="366"/>
        <v>735229</v>
      </c>
      <c r="IL142" s="17">
        <f t="shared" si="367"/>
        <v>2.2577999507636397E-3</v>
      </c>
      <c r="IM142" s="17">
        <f t="shared" si="368"/>
        <v>3.6723252211215827E-2</v>
      </c>
      <c r="IN142" s="17">
        <f t="shared" si="369"/>
        <v>0</v>
      </c>
      <c r="IO142" s="23">
        <f>SUM(IH$5:IH142)</f>
        <v>100744</v>
      </c>
      <c r="IP142" s="14">
        <f>SUM(II$5:II142)</f>
        <v>425675</v>
      </c>
      <c r="IQ142" s="14">
        <f>SUM(IJ$5:IJ142)</f>
        <v>160640</v>
      </c>
      <c r="IR142" s="17">
        <f t="shared" si="370"/>
        <v>0.1370239748432121</v>
      </c>
      <c r="IS142" s="17">
        <f t="shared" si="371"/>
        <v>0.57896927351886285</v>
      </c>
      <c r="IT142" s="17">
        <f t="shared" si="372"/>
        <v>0.2184897494522115</v>
      </c>
      <c r="IW142" s="13">
        <v>138</v>
      </c>
      <c r="IX142" s="14">
        <f>MATCH(IW142-1,属性投放!$T$6:$T$66,1)</f>
        <v>45</v>
      </c>
      <c r="IY142" s="14">
        <f>MATCH(IW142-1,属性投放!$AD$7:$AD$26,1)</f>
        <v>18</v>
      </c>
      <c r="IZ142" s="14" t="str">
        <f>INDEX(属性投放!$AB$7:$AB$26,IY142)</f>
        <v>大焦热+2</v>
      </c>
      <c r="JA142" s="14">
        <f t="shared" si="373"/>
        <v>11221</v>
      </c>
      <c r="JB142" s="14">
        <f t="shared" si="374"/>
        <v>5577</v>
      </c>
      <c r="JC142" s="14">
        <f t="shared" si="375"/>
        <v>103986</v>
      </c>
      <c r="JD142" s="14">
        <f t="shared" si="376"/>
        <v>235</v>
      </c>
      <c r="JE142" s="14">
        <f t="shared" si="377"/>
        <v>117</v>
      </c>
      <c r="JF142" s="14">
        <f t="shared" si="378"/>
        <v>2346</v>
      </c>
      <c r="JG142" s="14">
        <f>INDEX(属性投放!$DC$6:$DC$85,卡牌属性!IY142)</f>
        <v>110</v>
      </c>
      <c r="JH142" s="14">
        <f t="shared" si="379"/>
        <v>17801</v>
      </c>
      <c r="JI142" s="14">
        <f t="shared" si="380"/>
        <v>8853</v>
      </c>
      <c r="JJ142" s="14">
        <f t="shared" si="381"/>
        <v>169674</v>
      </c>
      <c r="JK142" s="14">
        <f t="shared" si="382"/>
        <v>347209</v>
      </c>
    </row>
    <row r="143" spans="31:271" ht="16.5" x14ac:dyDescent="0.2">
      <c r="AE143" s="13">
        <v>139</v>
      </c>
      <c r="AF143" s="13">
        <f t="shared" si="331"/>
        <v>7</v>
      </c>
      <c r="AG143" s="13">
        <f t="shared" si="316"/>
        <v>4</v>
      </c>
      <c r="AH143" s="13"/>
      <c r="AI143" s="13"/>
      <c r="AJ143" s="14">
        <f t="shared" si="317"/>
        <v>1101007</v>
      </c>
      <c r="AK143" s="14" t="str">
        <f t="shared" si="318"/>
        <v>战斗曹焱兵19突</v>
      </c>
      <c r="AL143" s="25" t="s">
        <v>142</v>
      </c>
      <c r="AM143" s="14">
        <v>1</v>
      </c>
      <c r="AN143" s="14">
        <f t="shared" si="319"/>
        <v>19</v>
      </c>
      <c r="AO143" s="14">
        <f>INDEX(属性投放!$DF$6:$DF$85,(卡牌属性!AG143-2)*20+卡牌属性!AN143)</f>
        <v>23999</v>
      </c>
      <c r="AP143" s="14">
        <f t="shared" si="295"/>
        <v>23999</v>
      </c>
      <c r="AQ143" s="14">
        <f t="shared" si="295"/>
        <v>23999</v>
      </c>
      <c r="AR143" s="14">
        <f t="shared" si="295"/>
        <v>23999</v>
      </c>
      <c r="AS143" s="14">
        <f t="shared" si="295"/>
        <v>23999</v>
      </c>
      <c r="AT143" s="14">
        <f>INDEX(属性投放!$DG$6:$DG$85,(卡牌属性!AG143-2)*20+卡牌属性!AN143)</f>
        <v>11918</v>
      </c>
      <c r="AU143" s="14">
        <f t="shared" si="296"/>
        <v>11918</v>
      </c>
      <c r="AV143" s="14">
        <f t="shared" si="296"/>
        <v>11918</v>
      </c>
      <c r="AW143" s="14">
        <f t="shared" si="296"/>
        <v>11918</v>
      </c>
      <c r="AX143" s="14">
        <f t="shared" si="296"/>
        <v>11918</v>
      </c>
      <c r="AY143" s="14">
        <f>INDEX(属性投放!$DH$6:$DH$85,(卡牌属性!AG143-2)*20+卡牌属性!AN143)</f>
        <v>226303</v>
      </c>
      <c r="AZ143" s="14">
        <f t="shared" si="297"/>
        <v>226303</v>
      </c>
      <c r="BA143" s="14">
        <f t="shared" si="297"/>
        <v>226303</v>
      </c>
      <c r="BB143" s="14">
        <f t="shared" si="297"/>
        <v>226303</v>
      </c>
      <c r="BC143" s="14">
        <f t="shared" si="297"/>
        <v>226303</v>
      </c>
      <c r="BD143" s="14">
        <f>INDEX(属性投放!$DL$6:$DL$85,(卡牌属性!AG143-2)*20+卡牌属性!AN143)</f>
        <v>516</v>
      </c>
      <c r="BE143" s="14">
        <f t="shared" si="298"/>
        <v>516</v>
      </c>
      <c r="BF143" s="14">
        <f t="shared" si="298"/>
        <v>516</v>
      </c>
      <c r="BG143" s="14">
        <f t="shared" si="298"/>
        <v>516</v>
      </c>
      <c r="BH143" s="14">
        <f t="shared" si="298"/>
        <v>516</v>
      </c>
      <c r="BI143" s="14">
        <f>INDEX(属性投放!$DM$6:$DM$85,(卡牌属性!AG143-2)*20+卡牌属性!AN143)</f>
        <v>258</v>
      </c>
      <c r="BJ143" s="14">
        <f t="shared" si="299"/>
        <v>258</v>
      </c>
      <c r="BK143" s="14">
        <f t="shared" si="299"/>
        <v>258</v>
      </c>
      <c r="BL143" s="14">
        <f t="shared" si="299"/>
        <v>258</v>
      </c>
      <c r="BM143" s="14">
        <f t="shared" si="299"/>
        <v>258</v>
      </c>
      <c r="BN143" s="14">
        <f>INDEX(属性投放!$DN$6:$DN$85,(卡牌属性!AG143-2)*20+卡牌属性!AN143)</f>
        <v>5157</v>
      </c>
      <c r="BO143" s="14">
        <f t="shared" si="300"/>
        <v>5157</v>
      </c>
      <c r="BP143" s="14">
        <f t="shared" si="300"/>
        <v>5157</v>
      </c>
      <c r="BQ143" s="14">
        <f t="shared" si="300"/>
        <v>5157</v>
      </c>
      <c r="BR143" s="14">
        <f t="shared" si="300"/>
        <v>5157</v>
      </c>
      <c r="BW143" s="13">
        <v>139</v>
      </c>
      <c r="BX143" s="13">
        <f t="shared" si="320"/>
        <v>7</v>
      </c>
      <c r="BY143" s="14">
        <f t="shared" si="321"/>
        <v>4</v>
      </c>
      <c r="BZ143" s="14">
        <f t="shared" si="332"/>
        <v>1102007</v>
      </c>
      <c r="CA143" s="14" t="str">
        <f t="shared" si="333"/>
        <v>天使缇娜19突</v>
      </c>
      <c r="CB143" s="25" t="s">
        <v>142</v>
      </c>
      <c r="CC143" s="14">
        <v>2</v>
      </c>
      <c r="CD143" s="14">
        <f t="shared" si="322"/>
        <v>19</v>
      </c>
      <c r="CE143" s="14" t="s">
        <v>21</v>
      </c>
      <c r="CF143" s="14">
        <f>INDEX(属性投放!$AZ$6:$AZ$85,(BY143-2)*20+CD143)</f>
        <v>22728</v>
      </c>
      <c r="CG143" s="14" t="s">
        <v>22</v>
      </c>
      <c r="CH143" s="14">
        <f>INDEX(属性投放!$BA$6:$BA$85,(BY143-2)*20+CD143)</f>
        <v>11319</v>
      </c>
      <c r="CI143" s="14" t="s">
        <v>510</v>
      </c>
      <c r="CJ143" s="14">
        <f>INDEX(属性投放!$BB$6:$BB$85,(BY143-2)*20+CD143)</f>
        <v>213603</v>
      </c>
      <c r="CK143" s="14" t="s">
        <v>21</v>
      </c>
      <c r="CL143" s="14">
        <f>INDEX(属性投放!$BC$6:$BC$85,(BY143-2)*20+CD143)</f>
        <v>75</v>
      </c>
      <c r="CM143" s="14" t="s">
        <v>22</v>
      </c>
      <c r="CN143" s="14">
        <f>INDEX(属性投放!$BD$6:$BD$85,(BY143-2)*20+CD143)</f>
        <v>38</v>
      </c>
      <c r="CO143" s="14" t="s">
        <v>510</v>
      </c>
      <c r="CP143" s="14">
        <f>INDEX(属性投放!$BE$6:$BE$85,(BY143-2)*20+CD143)</f>
        <v>750</v>
      </c>
      <c r="CS143" s="13">
        <v>139</v>
      </c>
      <c r="CT143" s="13">
        <f t="shared" si="334"/>
        <v>3</v>
      </c>
      <c r="CU143" s="13">
        <f t="shared" si="335"/>
        <v>35</v>
      </c>
      <c r="CV143" s="14">
        <f t="shared" si="336"/>
        <v>4</v>
      </c>
      <c r="CW143" s="14">
        <f t="shared" si="337"/>
        <v>1102003</v>
      </c>
      <c r="CX143" s="14" t="str">
        <f>INDEX($O$6:$O$50,CT143)&amp;"-"&amp;INDEX(属性投放!$AB$7:$AB$50,CZ143)&amp;"-魂火-"&amp;DB143</f>
        <v>典韦-焦热+2-魂火-2</v>
      </c>
      <c r="CY143" s="25" t="s">
        <v>142</v>
      </c>
      <c r="CZ143" s="14">
        <f>INDEX(属性投放!$AM$7:$AM$58,CU143)</f>
        <v>15</v>
      </c>
      <c r="DA143" s="14" t="s">
        <v>537</v>
      </c>
      <c r="DB143" s="14">
        <f>INDEX(属性投放!$AN$7:$AN$58,CU143)</f>
        <v>2</v>
      </c>
      <c r="DC143" s="14">
        <f t="shared" si="323"/>
        <v>35</v>
      </c>
      <c r="DD143" s="14">
        <f>INDEX(属性投放!$AO$7:$AO$58,DC143)</f>
        <v>105</v>
      </c>
      <c r="DE143" s="14" t="s">
        <v>538</v>
      </c>
      <c r="DF143" s="14">
        <f>INDEX(属性投放!$BK$6:$BK$85,(CV143-2)*20+CZ143)</f>
        <v>445</v>
      </c>
      <c r="DG143" s="14">
        <f>SUMIFS(DF$5:DF143,$CT$5:$CT143,"="&amp;$CT143)</f>
        <v>5430</v>
      </c>
      <c r="DH143" s="14" t="s">
        <v>539</v>
      </c>
      <c r="DI143" s="14">
        <f>INDEX(属性投放!$BL$6:$BL$85,(CV143-2)*20+CZ143)</f>
        <v>223</v>
      </c>
      <c r="DJ143" s="14">
        <f>SUMIFS(DI$5:DI143,$CT$5:$CT143,"="&amp;$CT143)</f>
        <v>2724</v>
      </c>
      <c r="DK143" s="14" t="s">
        <v>540</v>
      </c>
      <c r="DL143" s="14">
        <f>INDEX(属性投放!$BM$6:$BM$85,(CV143-2)*20+CZ143)</f>
        <v>4450</v>
      </c>
      <c r="DM143" s="14">
        <f>SUMIFS(DL$5:DL143,$CT$5:$CT143,"="&amp;$CT143)</f>
        <v>49735</v>
      </c>
      <c r="DR143" s="14">
        <f t="shared" si="324"/>
        <v>1102007</v>
      </c>
      <c r="DS143" s="14" t="str">
        <f t="shared" si="325"/>
        <v>天使缇娜19突</v>
      </c>
      <c r="DT143" s="14">
        <f t="shared" si="338"/>
        <v>7</v>
      </c>
      <c r="DU143" s="14">
        <f t="shared" si="339"/>
        <v>6</v>
      </c>
      <c r="DV143" s="14">
        <f t="shared" si="340"/>
        <v>6</v>
      </c>
      <c r="DW143" s="14">
        <f t="shared" si="326"/>
        <v>4</v>
      </c>
      <c r="DX143" s="14">
        <f t="shared" si="327"/>
        <v>19</v>
      </c>
      <c r="DY143" s="14">
        <f t="shared" si="328"/>
        <v>59</v>
      </c>
      <c r="DZ143" s="14">
        <f>INDEX(属性投放!$AX$6:$AX$85,(卡牌属性!DW143-2)*20+卡牌属性!DX143)</f>
        <v>8</v>
      </c>
      <c r="EA143" s="14">
        <f>INDEX(属性投放!BQ$6:BQ$85,卡牌属性!$DY143)</f>
        <v>1500</v>
      </c>
      <c r="EB143" s="14">
        <f>INDEX(属性投放!BR$6:BR$85,卡牌属性!$DY143)</f>
        <v>750</v>
      </c>
      <c r="EC143" s="14">
        <f>INDEX(属性投放!BS$6:BS$85,卡牌属性!$DY143)</f>
        <v>15000</v>
      </c>
      <c r="ED143" s="14">
        <f t="shared" si="301"/>
        <v>11093</v>
      </c>
      <c r="EE143" s="14">
        <f t="shared" si="302"/>
        <v>11730</v>
      </c>
      <c r="EF143" s="14">
        <f t="shared" si="303"/>
        <v>12505</v>
      </c>
      <c r="EG143" s="14">
        <f t="shared" si="304"/>
        <v>12505</v>
      </c>
      <c r="EH143" s="14">
        <f t="shared" si="305"/>
        <v>14310</v>
      </c>
      <c r="EI143" s="14">
        <f t="shared" si="306"/>
        <v>4904</v>
      </c>
      <c r="EJ143" s="14">
        <f t="shared" si="307"/>
        <v>5517</v>
      </c>
      <c r="EK143" s="14">
        <f t="shared" si="308"/>
        <v>5517</v>
      </c>
      <c r="EL143" s="14">
        <f t="shared" si="309"/>
        <v>5851</v>
      </c>
      <c r="EM143" s="14">
        <f t="shared" si="310"/>
        <v>6228</v>
      </c>
      <c r="EN143" s="14">
        <f t="shared" si="311"/>
        <v>90584</v>
      </c>
      <c r="EO143" s="14">
        <f t="shared" si="312"/>
        <v>101818</v>
      </c>
      <c r="EP143" s="14">
        <f t="shared" si="313"/>
        <v>101818</v>
      </c>
      <c r="EQ143" s="14">
        <f t="shared" si="314"/>
        <v>107362</v>
      </c>
      <c r="ER143" s="14">
        <f t="shared" si="315"/>
        <v>114160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INDEX(属性投放!$BQ$6:$BQ$85,(卡牌属性!$DW143-2)*20+卡牌属性!$DX143)</f>
        <v>1500</v>
      </c>
      <c r="FI143" s="14">
        <f>INDEX(属性投放!$BQ$6:$BQ$85,(卡牌属性!$DW143-2)*20+卡牌属性!$DX143)</f>
        <v>1500</v>
      </c>
      <c r="FJ143" s="14">
        <f>INDEX(属性投放!$BQ$6:$BQ$85,(卡牌属性!$DW143-2)*20+卡牌属性!$DX143)</f>
        <v>1500</v>
      </c>
      <c r="FK143" s="14">
        <f>INDEX(属性投放!$BQ$6:$BQ$85,(卡牌属性!$DW143-2)*20+卡牌属性!$DX143)</f>
        <v>1500</v>
      </c>
      <c r="FL143" s="14">
        <f>INDEX(属性投放!$BQ$6:$BQ$85,(卡牌属性!$DW143-2)*20+卡牌属性!$DX143)</f>
        <v>1500</v>
      </c>
      <c r="FM143" s="14">
        <f>INDEX(属性投放!$BR$6:$BR$85,(卡牌属性!$DW143-2)*20+卡牌属性!$DX143)</f>
        <v>750</v>
      </c>
      <c r="FN143" s="14">
        <f>INDEX(属性投放!$BR$6:$BR$85,(卡牌属性!$DW143-2)*20+卡牌属性!$DX143)</f>
        <v>750</v>
      </c>
      <c r="FO143" s="14">
        <f>INDEX(属性投放!$BR$6:$BR$85,(卡牌属性!$DW143-2)*20+卡牌属性!$DX143)</f>
        <v>750</v>
      </c>
      <c r="FP143" s="14">
        <f>INDEX(属性投放!$BR$6:$BR$85,(卡牌属性!$DW143-2)*20+卡牌属性!$DX143)</f>
        <v>750</v>
      </c>
      <c r="FQ143" s="14">
        <f>INDEX(属性投放!$BR$6:$BR$85,(卡牌属性!$DW143-2)*20+卡牌属性!$DX143)</f>
        <v>750</v>
      </c>
      <c r="FR143" s="14">
        <f>INDEX(属性投放!$BS$6:$BS$85,(卡牌属性!$DW143-2)*20+卡牌属性!$DX143)</f>
        <v>15000</v>
      </c>
      <c r="FS143" s="14">
        <f>INDEX(属性投放!$BS$6:$BS$85,(卡牌属性!$DW143-2)*20+卡牌属性!$DX143)</f>
        <v>15000</v>
      </c>
      <c r="FT143" s="14">
        <f>INDEX(属性投放!$BS$6:$BS$85,(卡牌属性!$DW143-2)*20+卡牌属性!$DX143)</f>
        <v>15000</v>
      </c>
      <c r="FU143" s="14">
        <f>INDEX(属性投放!$BS$6:$BS$85,(卡牌属性!$DW143-2)*20+卡牌属性!$DX143)</f>
        <v>15000</v>
      </c>
      <c r="FV143" s="14">
        <f>INDEX(属性投放!$BS$6:$BS$85,(卡牌属性!$DW143-2)*20+卡牌属性!$DX143)</f>
        <v>15000</v>
      </c>
      <c r="FZ143" s="13">
        <v>139</v>
      </c>
      <c r="GA143" s="13">
        <f t="shared" si="291"/>
        <v>28</v>
      </c>
      <c r="GB143" s="14">
        <f t="shared" si="341"/>
        <v>1102031</v>
      </c>
      <c r="GC143" s="14" t="s">
        <v>1187</v>
      </c>
      <c r="GD143" s="14">
        <f t="shared" si="329"/>
        <v>4</v>
      </c>
      <c r="GE143" s="14" t="str">
        <f t="shared" si="330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MATCH(HC143,属性投放!$AO$6:$AO$58,1)-1</f>
        <v>48</v>
      </c>
      <c r="HF143" s="13">
        <f>MATCH(HC143-1,属性投放!$AE$6:$AE$26,1)</f>
        <v>19</v>
      </c>
      <c r="HG143" s="13" t="str">
        <f>INDEX(属性投放!$AB$7:$AB$26,卡牌属性!HF143)</f>
        <v>无间</v>
      </c>
      <c r="HH143" s="14">
        <f t="shared" si="342"/>
        <v>11093</v>
      </c>
      <c r="HI143" s="14">
        <f t="shared" si="343"/>
        <v>4904</v>
      </c>
      <c r="HJ143" s="14">
        <f t="shared" si="344"/>
        <v>90584</v>
      </c>
      <c r="HK143" s="14">
        <f t="shared" si="345"/>
        <v>75</v>
      </c>
      <c r="HL143" s="14">
        <f t="shared" si="346"/>
        <v>23</v>
      </c>
      <c r="HM143" s="14">
        <f t="shared" si="347"/>
        <v>450</v>
      </c>
      <c r="HN143" s="14">
        <f>HH143+HK143*($HC143-INDEX(属性投放!$AE$6:$AE$26,卡牌属性!$HF143))</f>
        <v>11618</v>
      </c>
      <c r="HO143" s="14">
        <f>HI143+HL143*($HC143-INDEX(属性投放!$AE$6:$AE$26,卡牌属性!$HF143))</f>
        <v>5065</v>
      </c>
      <c r="HP143" s="14">
        <f>HJ143+HM143*($HC143-INDEX(属性投放!$AE$6:$AE$26,卡牌属性!$HF143))</f>
        <v>93734</v>
      </c>
      <c r="HQ143" s="14">
        <f t="shared" si="348"/>
        <v>14335</v>
      </c>
      <c r="HR143" s="14">
        <f t="shared" si="349"/>
        <v>7177</v>
      </c>
      <c r="HS143" s="14">
        <f t="shared" si="350"/>
        <v>138785</v>
      </c>
      <c r="HT143" s="14">
        <f>IF(COUNTIF(属性投放!$AO$7:$AO$58,"="&amp;卡牌属性!HC143)&gt;0,卡牌属性!HE143,0)</f>
        <v>0</v>
      </c>
      <c r="HU143" s="14">
        <f t="shared" si="351"/>
        <v>0</v>
      </c>
      <c r="HV143" s="14">
        <f t="shared" si="352"/>
        <v>0</v>
      </c>
      <c r="HW143" s="14">
        <f t="shared" si="353"/>
        <v>0</v>
      </c>
      <c r="HX143" s="14">
        <f>IF(COUNTIF(属性投放!$AE$6:$AE$26,"="&amp;卡牌属性!HC143)&gt;0,卡牌属性!HF143,0)</f>
        <v>0</v>
      </c>
      <c r="HY143" s="14">
        <f t="shared" si="354"/>
        <v>0</v>
      </c>
      <c r="HZ143" s="14">
        <f t="shared" si="355"/>
        <v>0</v>
      </c>
      <c r="IA143" s="14">
        <f t="shared" si="356"/>
        <v>0</v>
      </c>
      <c r="IB143" s="14">
        <f t="shared" si="357"/>
        <v>75</v>
      </c>
      <c r="IC143" s="14">
        <f t="shared" si="358"/>
        <v>23</v>
      </c>
      <c r="ID143" s="14">
        <f t="shared" si="359"/>
        <v>450</v>
      </c>
      <c r="IE143" s="14">
        <f t="shared" si="360"/>
        <v>25953</v>
      </c>
      <c r="IF143" s="14">
        <f t="shared" si="361"/>
        <v>12242</v>
      </c>
      <c r="IG143" s="14">
        <f t="shared" si="362"/>
        <v>232519</v>
      </c>
      <c r="IH143" s="14">
        <f t="shared" si="363"/>
        <v>1660</v>
      </c>
      <c r="II143" s="14">
        <f t="shared" si="364"/>
        <v>0</v>
      </c>
      <c r="IJ143" s="14">
        <f t="shared" si="365"/>
        <v>0</v>
      </c>
      <c r="IK143" s="14">
        <f t="shared" si="366"/>
        <v>736889</v>
      </c>
      <c r="IL143" s="17">
        <f t="shared" si="367"/>
        <v>2.2527137737162585E-3</v>
      </c>
      <c r="IM143" s="17">
        <f t="shared" si="368"/>
        <v>0</v>
      </c>
      <c r="IN143" s="17">
        <f t="shared" si="369"/>
        <v>0</v>
      </c>
      <c r="IO143" s="23">
        <f>SUM(IH$5:IH143)</f>
        <v>102404</v>
      </c>
      <c r="IP143" s="14">
        <f>SUM(II$5:II143)</f>
        <v>425675</v>
      </c>
      <c r="IQ143" s="14">
        <f>SUM(IJ$5:IJ143)</f>
        <v>160640</v>
      </c>
      <c r="IR143" s="17">
        <f t="shared" si="370"/>
        <v>0.13896801282146973</v>
      </c>
      <c r="IS143" s="17">
        <f t="shared" si="371"/>
        <v>0.57766502146184839</v>
      </c>
      <c r="IT143" s="17">
        <f t="shared" si="372"/>
        <v>0.21799755458420467</v>
      </c>
      <c r="IW143" s="13">
        <v>139</v>
      </c>
      <c r="IX143" s="14">
        <f>MATCH(IW143-1,属性投放!$T$6:$T$66,1)</f>
        <v>46</v>
      </c>
      <c r="IY143" s="14">
        <f>MATCH(IW143-1,属性投放!$AD$7:$AD$26,1)</f>
        <v>18</v>
      </c>
      <c r="IZ143" s="14" t="str">
        <f>INDEX(属性投放!$AB$7:$AB$26,IY143)</f>
        <v>大焦热+2</v>
      </c>
      <c r="JA143" s="14">
        <f t="shared" si="373"/>
        <v>11221</v>
      </c>
      <c r="JB143" s="14">
        <f t="shared" si="374"/>
        <v>5577</v>
      </c>
      <c r="JC143" s="14">
        <f t="shared" si="375"/>
        <v>103986</v>
      </c>
      <c r="JD143" s="14">
        <f t="shared" si="376"/>
        <v>235</v>
      </c>
      <c r="JE143" s="14">
        <f t="shared" si="377"/>
        <v>117</v>
      </c>
      <c r="JF143" s="14">
        <f t="shared" si="378"/>
        <v>2346</v>
      </c>
      <c r="JG143" s="14">
        <f>INDEX(属性投放!$DC$6:$DC$85,卡牌属性!IY143)</f>
        <v>110</v>
      </c>
      <c r="JH143" s="14">
        <f t="shared" si="379"/>
        <v>18036</v>
      </c>
      <c r="JI143" s="14">
        <f t="shared" si="380"/>
        <v>8970</v>
      </c>
      <c r="JJ143" s="14">
        <f t="shared" si="381"/>
        <v>172020</v>
      </c>
      <c r="JK143" s="14">
        <f t="shared" si="382"/>
        <v>351900</v>
      </c>
    </row>
    <row r="144" spans="31:271" ht="16.5" x14ac:dyDescent="0.2">
      <c r="AE144" s="13">
        <v>140</v>
      </c>
      <c r="AF144" s="13">
        <f t="shared" si="331"/>
        <v>7</v>
      </c>
      <c r="AG144" s="13">
        <f t="shared" si="316"/>
        <v>4</v>
      </c>
      <c r="AH144" s="13"/>
      <c r="AI144" s="13"/>
      <c r="AJ144" s="14">
        <f t="shared" si="317"/>
        <v>1101007</v>
      </c>
      <c r="AK144" s="14" t="str">
        <f t="shared" si="318"/>
        <v>战斗曹焱兵20突</v>
      </c>
      <c r="AL144" s="25" t="s">
        <v>142</v>
      </c>
      <c r="AM144" s="14">
        <v>1</v>
      </c>
      <c r="AN144" s="14">
        <f t="shared" si="319"/>
        <v>20</v>
      </c>
      <c r="AO144" s="14">
        <f>INDEX(属性投放!$DF$6:$DF$85,(卡牌属性!AG144-2)*20+卡牌属性!AN144)</f>
        <v>25104</v>
      </c>
      <c r="AP144" s="14">
        <f t="shared" si="295"/>
        <v>25104</v>
      </c>
      <c r="AQ144" s="14">
        <f t="shared" si="295"/>
        <v>25104</v>
      </c>
      <c r="AR144" s="14">
        <f t="shared" si="295"/>
        <v>25104</v>
      </c>
      <c r="AS144" s="14">
        <f t="shared" si="295"/>
        <v>25104</v>
      </c>
      <c r="AT144" s="14">
        <f>INDEX(属性投放!$DG$6:$DG$85,(卡牌属性!AG144-2)*20+卡牌属性!AN144)</f>
        <v>12471</v>
      </c>
      <c r="AU144" s="14">
        <f t="shared" si="296"/>
        <v>12471</v>
      </c>
      <c r="AV144" s="14">
        <f t="shared" si="296"/>
        <v>12471</v>
      </c>
      <c r="AW144" s="14">
        <f t="shared" si="296"/>
        <v>12471</v>
      </c>
      <c r="AX144" s="14">
        <f t="shared" si="296"/>
        <v>12471</v>
      </c>
      <c r="AY144" s="14">
        <f>INDEX(属性投放!$DH$6:$DH$85,(卡牌属性!AG144-2)*20+卡牌属性!AN144)</f>
        <v>237353</v>
      </c>
      <c r="AZ144" s="14">
        <f t="shared" si="297"/>
        <v>237353</v>
      </c>
      <c r="BA144" s="14">
        <f t="shared" si="297"/>
        <v>237353</v>
      </c>
      <c r="BB144" s="14">
        <f t="shared" si="297"/>
        <v>237353</v>
      </c>
      <c r="BC144" s="14">
        <f t="shared" si="297"/>
        <v>237353</v>
      </c>
      <c r="BD144" s="14">
        <f>INDEX(属性投放!$DL$6:$DL$85,(卡牌属性!AG144-2)*20+卡牌属性!AN144)</f>
        <v>516</v>
      </c>
      <c r="BE144" s="14">
        <f t="shared" si="298"/>
        <v>516</v>
      </c>
      <c r="BF144" s="14">
        <f t="shared" si="298"/>
        <v>516</v>
      </c>
      <c r="BG144" s="14">
        <f t="shared" si="298"/>
        <v>516</v>
      </c>
      <c r="BH144" s="14">
        <f t="shared" si="298"/>
        <v>516</v>
      </c>
      <c r="BI144" s="14">
        <f>INDEX(属性投放!$DM$6:$DM$85,(卡牌属性!AG144-2)*20+卡牌属性!AN144)</f>
        <v>258</v>
      </c>
      <c r="BJ144" s="14">
        <f t="shared" si="299"/>
        <v>258</v>
      </c>
      <c r="BK144" s="14">
        <f t="shared" si="299"/>
        <v>258</v>
      </c>
      <c r="BL144" s="14">
        <f t="shared" si="299"/>
        <v>258</v>
      </c>
      <c r="BM144" s="14">
        <f t="shared" si="299"/>
        <v>258</v>
      </c>
      <c r="BN144" s="14">
        <f>INDEX(属性投放!$DN$6:$DN$85,(卡牌属性!AG144-2)*20+卡牌属性!AN144)</f>
        <v>5157</v>
      </c>
      <c r="BO144" s="14">
        <f t="shared" si="300"/>
        <v>5157</v>
      </c>
      <c r="BP144" s="14">
        <f t="shared" si="300"/>
        <v>5157</v>
      </c>
      <c r="BQ144" s="14">
        <f t="shared" si="300"/>
        <v>5157</v>
      </c>
      <c r="BR144" s="14">
        <f t="shared" si="300"/>
        <v>5157</v>
      </c>
      <c r="BW144" s="13">
        <v>140</v>
      </c>
      <c r="BX144" s="13">
        <f t="shared" si="320"/>
        <v>7</v>
      </c>
      <c r="BY144" s="14">
        <f t="shared" si="321"/>
        <v>4</v>
      </c>
      <c r="BZ144" s="14">
        <f t="shared" si="332"/>
        <v>1102007</v>
      </c>
      <c r="CA144" s="14" t="str">
        <f t="shared" si="333"/>
        <v>天使缇娜20突</v>
      </c>
      <c r="CB144" s="25" t="s">
        <v>142</v>
      </c>
      <c r="CC144" s="14">
        <v>2</v>
      </c>
      <c r="CD144" s="14">
        <f t="shared" si="322"/>
        <v>20</v>
      </c>
      <c r="CE144" s="14" t="s">
        <v>21</v>
      </c>
      <c r="CF144" s="14">
        <f>INDEX(属性投放!$AZ$6:$AZ$85,(BY144-2)*20+CD144)</f>
        <v>27528</v>
      </c>
      <c r="CG144" s="14" t="s">
        <v>22</v>
      </c>
      <c r="CH144" s="14">
        <f>INDEX(属性投放!$BA$6:$BA$85,(BY144-2)*20+CD144)</f>
        <v>13723</v>
      </c>
      <c r="CI144" s="14" t="s">
        <v>510</v>
      </c>
      <c r="CJ144" s="14">
        <f>INDEX(属性投放!$BB$6:$BB$85,(BY144-2)*20+CD144)</f>
        <v>261603</v>
      </c>
      <c r="CK144" s="14" t="s">
        <v>21</v>
      </c>
      <c r="CL144" s="14">
        <f>INDEX(属性投放!$BC$6:$BC$85,(BY144-2)*20+CD144)</f>
        <v>75</v>
      </c>
      <c r="CM144" s="14" t="s">
        <v>22</v>
      </c>
      <c r="CN144" s="14">
        <f>INDEX(属性投放!$BD$6:$BD$85,(BY144-2)*20+CD144)</f>
        <v>38</v>
      </c>
      <c r="CO144" s="14" t="s">
        <v>510</v>
      </c>
      <c r="CP144" s="14">
        <f>INDEX(属性投放!$BE$6:$BE$85,(BY144-2)*20+CD144)</f>
        <v>750</v>
      </c>
      <c r="CS144" s="13">
        <v>140</v>
      </c>
      <c r="CT144" s="13">
        <f t="shared" si="334"/>
        <v>3</v>
      </c>
      <c r="CU144" s="13">
        <f t="shared" si="335"/>
        <v>36</v>
      </c>
      <c r="CV144" s="14">
        <f t="shared" si="336"/>
        <v>4</v>
      </c>
      <c r="CW144" s="14">
        <f t="shared" si="337"/>
        <v>1102003</v>
      </c>
      <c r="CX144" s="14" t="str">
        <f>INDEX($O$6:$O$50,CT144)&amp;"-"&amp;INDEX(属性投放!$AB$7:$AB$50,CZ144)&amp;"-魂火-"&amp;DB144</f>
        <v>典韦-焦热+2-魂火-3</v>
      </c>
      <c r="CY144" s="25" t="s">
        <v>142</v>
      </c>
      <c r="CZ144" s="14">
        <f>INDEX(属性投放!$AM$7:$AM$58,CU144)</f>
        <v>15</v>
      </c>
      <c r="DA144" s="14" t="s">
        <v>537</v>
      </c>
      <c r="DB144" s="14">
        <f>INDEX(属性投放!$AN$7:$AN$58,CU144)</f>
        <v>3</v>
      </c>
      <c r="DC144" s="14">
        <f t="shared" si="323"/>
        <v>36</v>
      </c>
      <c r="DD144" s="14">
        <f>INDEX(属性投放!$AO$7:$AO$58,DC144)</f>
        <v>108</v>
      </c>
      <c r="DE144" s="14" t="s">
        <v>538</v>
      </c>
      <c r="DF144" s="14">
        <f>INDEX(属性投放!$BK$6:$BK$85,(CV144-2)*20+CZ144)</f>
        <v>445</v>
      </c>
      <c r="DG144" s="14">
        <f>SUMIFS(DF$5:DF144,$CT$5:$CT144,"="&amp;$CT144)</f>
        <v>5875</v>
      </c>
      <c r="DH144" s="14" t="s">
        <v>539</v>
      </c>
      <c r="DI144" s="14">
        <f>INDEX(属性投放!$BL$6:$BL$85,(CV144-2)*20+CZ144)</f>
        <v>223</v>
      </c>
      <c r="DJ144" s="14">
        <f>SUMIFS(DI$5:DI144,$CT$5:$CT144,"="&amp;$CT144)</f>
        <v>2947</v>
      </c>
      <c r="DK144" s="14" t="s">
        <v>540</v>
      </c>
      <c r="DL144" s="14">
        <f>INDEX(属性投放!$BM$6:$BM$85,(CV144-2)*20+CZ144)</f>
        <v>4450</v>
      </c>
      <c r="DM144" s="14">
        <f>SUMIFS(DL$5:DL144,$CT$5:$CT144,"="&amp;$CT144)</f>
        <v>54185</v>
      </c>
      <c r="DR144" s="14">
        <f t="shared" si="324"/>
        <v>1102007</v>
      </c>
      <c r="DS144" s="14" t="str">
        <f t="shared" si="325"/>
        <v>天使缇娜20突</v>
      </c>
      <c r="DT144" s="14">
        <f t="shared" si="338"/>
        <v>7</v>
      </c>
      <c r="DU144" s="14">
        <f t="shared" si="339"/>
        <v>6</v>
      </c>
      <c r="DV144" s="14">
        <f t="shared" si="340"/>
        <v>6</v>
      </c>
      <c r="DW144" s="14">
        <f t="shared" si="326"/>
        <v>4</v>
      </c>
      <c r="DX144" s="14">
        <f t="shared" si="327"/>
        <v>20</v>
      </c>
      <c r="DY144" s="14">
        <f t="shared" si="328"/>
        <v>60</v>
      </c>
      <c r="DZ144" s="14">
        <f>INDEX(属性投放!$AX$6:$AX$85,(卡牌属性!DW144-2)*20+卡牌属性!DX144)</f>
        <v>10</v>
      </c>
      <c r="EA144" s="14">
        <f>INDEX(属性投放!BQ$6:BQ$85,卡牌属性!$DY144)</f>
        <v>1500</v>
      </c>
      <c r="EB144" s="14">
        <f>INDEX(属性投放!BR$6:BR$85,卡牌属性!$DY144)</f>
        <v>750</v>
      </c>
      <c r="EC144" s="14">
        <f>INDEX(属性投放!BS$6:BS$85,卡牌属性!$DY144)</f>
        <v>15000</v>
      </c>
      <c r="ED144" s="14">
        <f t="shared" si="301"/>
        <v>13193</v>
      </c>
      <c r="EE144" s="14">
        <f t="shared" si="302"/>
        <v>13870</v>
      </c>
      <c r="EF144" s="14">
        <f t="shared" si="303"/>
        <v>14805</v>
      </c>
      <c r="EG144" s="14">
        <f t="shared" si="304"/>
        <v>14805</v>
      </c>
      <c r="EH144" s="14">
        <f t="shared" si="305"/>
        <v>17010</v>
      </c>
      <c r="EI144" s="14">
        <f t="shared" si="306"/>
        <v>5838</v>
      </c>
      <c r="EJ144" s="14">
        <f t="shared" si="307"/>
        <v>6571</v>
      </c>
      <c r="EK144" s="14">
        <f t="shared" si="308"/>
        <v>6571</v>
      </c>
      <c r="EL144" s="14">
        <f t="shared" si="309"/>
        <v>6921</v>
      </c>
      <c r="EM144" s="14">
        <f t="shared" si="310"/>
        <v>7378</v>
      </c>
      <c r="EN144" s="14">
        <f t="shared" si="311"/>
        <v>109184</v>
      </c>
      <c r="EO144" s="14">
        <f t="shared" si="312"/>
        <v>122818</v>
      </c>
      <c r="EP144" s="14">
        <f t="shared" si="313"/>
        <v>122818</v>
      </c>
      <c r="EQ144" s="14">
        <f t="shared" si="314"/>
        <v>128762</v>
      </c>
      <c r="ER144" s="14">
        <f t="shared" si="315"/>
        <v>137160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INDEX(属性投放!$BQ$6:$BQ$85,(卡牌属性!$DW144-2)*20+卡牌属性!$DX144)</f>
        <v>1500</v>
      </c>
      <c r="FI144" s="14">
        <f>INDEX(属性投放!$BQ$6:$BQ$85,(卡牌属性!$DW144-2)*20+卡牌属性!$DX144)</f>
        <v>1500</v>
      </c>
      <c r="FJ144" s="14">
        <f>INDEX(属性投放!$BQ$6:$BQ$85,(卡牌属性!$DW144-2)*20+卡牌属性!$DX144)</f>
        <v>1500</v>
      </c>
      <c r="FK144" s="14">
        <f>INDEX(属性投放!$BQ$6:$BQ$85,(卡牌属性!$DW144-2)*20+卡牌属性!$DX144)</f>
        <v>1500</v>
      </c>
      <c r="FL144" s="14">
        <f>INDEX(属性投放!$BQ$6:$BQ$85,(卡牌属性!$DW144-2)*20+卡牌属性!$DX144)</f>
        <v>1500</v>
      </c>
      <c r="FM144" s="14">
        <f>INDEX(属性投放!$BR$6:$BR$85,(卡牌属性!$DW144-2)*20+卡牌属性!$DX144)</f>
        <v>750</v>
      </c>
      <c r="FN144" s="14">
        <f>INDEX(属性投放!$BR$6:$BR$85,(卡牌属性!$DW144-2)*20+卡牌属性!$DX144)</f>
        <v>750</v>
      </c>
      <c r="FO144" s="14">
        <f>INDEX(属性投放!$BR$6:$BR$85,(卡牌属性!$DW144-2)*20+卡牌属性!$DX144)</f>
        <v>750</v>
      </c>
      <c r="FP144" s="14">
        <f>INDEX(属性投放!$BR$6:$BR$85,(卡牌属性!$DW144-2)*20+卡牌属性!$DX144)</f>
        <v>750</v>
      </c>
      <c r="FQ144" s="14">
        <f>INDEX(属性投放!$BR$6:$BR$85,(卡牌属性!$DW144-2)*20+卡牌属性!$DX144)</f>
        <v>750</v>
      </c>
      <c r="FR144" s="14">
        <f>INDEX(属性投放!$BS$6:$BS$85,(卡牌属性!$DW144-2)*20+卡牌属性!$DX144)</f>
        <v>15000</v>
      </c>
      <c r="FS144" s="14">
        <f>INDEX(属性投放!$BS$6:$BS$85,(卡牌属性!$DW144-2)*20+卡牌属性!$DX144)</f>
        <v>15000</v>
      </c>
      <c r="FT144" s="14">
        <f>INDEX(属性投放!$BS$6:$BS$85,(卡牌属性!$DW144-2)*20+卡牌属性!$DX144)</f>
        <v>15000</v>
      </c>
      <c r="FU144" s="14">
        <f>INDEX(属性投放!$BS$6:$BS$85,(卡牌属性!$DW144-2)*20+卡牌属性!$DX144)</f>
        <v>15000</v>
      </c>
      <c r="FV144" s="14">
        <f>INDEX(属性投放!$BS$6:$BS$85,(卡牌属性!$DW144-2)*20+卡牌属性!$DX144)</f>
        <v>15000</v>
      </c>
      <c r="FZ144" s="13">
        <v>140</v>
      </c>
      <c r="GA144" s="13">
        <f t="shared" si="291"/>
        <v>28</v>
      </c>
      <c r="GB144" s="14">
        <f t="shared" si="341"/>
        <v>1102031</v>
      </c>
      <c r="GC144" s="14" t="s">
        <v>1187</v>
      </c>
      <c r="GD144" s="14">
        <f t="shared" si="329"/>
        <v>5</v>
      </c>
      <c r="GE144" s="14" t="str">
        <f t="shared" si="330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MATCH(HC144,属性投放!$AO$6:$AO$58,1)-1</f>
        <v>49</v>
      </c>
      <c r="HF144" s="13">
        <f>MATCH(HC144-1,属性投放!$AE$6:$AE$26,1)</f>
        <v>19</v>
      </c>
      <c r="HG144" s="13" t="str">
        <f>INDEX(属性投放!$AB$7:$AB$26,卡牌属性!HF144)</f>
        <v>无间</v>
      </c>
      <c r="HH144" s="14">
        <f t="shared" si="342"/>
        <v>11093</v>
      </c>
      <c r="HI144" s="14">
        <f t="shared" si="343"/>
        <v>4904</v>
      </c>
      <c r="HJ144" s="14">
        <f t="shared" si="344"/>
        <v>90584</v>
      </c>
      <c r="HK144" s="14">
        <f t="shared" si="345"/>
        <v>75</v>
      </c>
      <c r="HL144" s="14">
        <f t="shared" si="346"/>
        <v>23</v>
      </c>
      <c r="HM144" s="14">
        <f t="shared" si="347"/>
        <v>450</v>
      </c>
      <c r="HN144" s="14">
        <f>HH144+HK144*($HC144-INDEX(属性投放!$AE$6:$AE$26,卡牌属性!$HF144))</f>
        <v>11693</v>
      </c>
      <c r="HO144" s="14">
        <f>HI144+HL144*($HC144-INDEX(属性投放!$AE$6:$AE$26,卡牌属性!$HF144))</f>
        <v>5088</v>
      </c>
      <c r="HP144" s="14">
        <f>HJ144+HM144*($HC144-INDEX(属性投放!$AE$6:$AE$26,卡牌属性!$HF144))</f>
        <v>94184</v>
      </c>
      <c r="HQ144" s="14">
        <f t="shared" si="348"/>
        <v>15335</v>
      </c>
      <c r="HR144" s="14">
        <f t="shared" si="349"/>
        <v>7677</v>
      </c>
      <c r="HS144" s="14">
        <f t="shared" si="350"/>
        <v>148785</v>
      </c>
      <c r="HT144" s="14">
        <f>IF(COUNTIF(属性投放!$AO$7:$AO$58,"="&amp;卡牌属性!HC144)&gt;0,卡牌属性!HE144,0)</f>
        <v>49</v>
      </c>
      <c r="HU144" s="14">
        <f t="shared" si="351"/>
        <v>1000</v>
      </c>
      <c r="HV144" s="14">
        <f t="shared" si="352"/>
        <v>500</v>
      </c>
      <c r="HW144" s="14">
        <f t="shared" si="353"/>
        <v>10000</v>
      </c>
      <c r="HX144" s="14">
        <f>IF(COUNTIF(属性投放!$AE$6:$AE$26,"="&amp;卡牌属性!HC144)&gt;0,卡牌属性!HF144,0)</f>
        <v>19</v>
      </c>
      <c r="HY144" s="14">
        <f t="shared" si="354"/>
        <v>1500</v>
      </c>
      <c r="HZ144" s="14">
        <f t="shared" si="355"/>
        <v>750</v>
      </c>
      <c r="IA144" s="14">
        <f t="shared" si="356"/>
        <v>15000</v>
      </c>
      <c r="IB144" s="14">
        <f t="shared" si="357"/>
        <v>75</v>
      </c>
      <c r="IC144" s="14">
        <f t="shared" si="358"/>
        <v>23</v>
      </c>
      <c r="ID144" s="14">
        <f t="shared" si="359"/>
        <v>450</v>
      </c>
      <c r="IE144" s="14">
        <f t="shared" si="360"/>
        <v>27028</v>
      </c>
      <c r="IF144" s="14">
        <f t="shared" si="361"/>
        <v>12765</v>
      </c>
      <c r="IG144" s="14">
        <f t="shared" si="362"/>
        <v>242969</v>
      </c>
      <c r="IH144" s="14">
        <f t="shared" si="363"/>
        <v>1660</v>
      </c>
      <c r="II144" s="14">
        <f t="shared" si="364"/>
        <v>30000</v>
      </c>
      <c r="IJ144" s="14">
        <f t="shared" si="365"/>
        <v>45000</v>
      </c>
      <c r="IK144" s="14">
        <f t="shared" si="366"/>
        <v>768549</v>
      </c>
      <c r="IL144" s="17">
        <f t="shared" si="367"/>
        <v>2.1599143320725159E-3</v>
      </c>
      <c r="IM144" s="17">
        <f t="shared" si="368"/>
        <v>3.9034596362756309E-2</v>
      </c>
      <c r="IN144" s="17">
        <f t="shared" si="369"/>
        <v>5.8551894544134467E-2</v>
      </c>
      <c r="IO144" s="23">
        <f>SUM(IH$5:IH144)</f>
        <v>104064</v>
      </c>
      <c r="IP144" s="14">
        <f>SUM(II$5:II144)</f>
        <v>455675</v>
      </c>
      <c r="IQ144" s="14">
        <f>SUM(IJ$5:IJ144)</f>
        <v>205640</v>
      </c>
      <c r="IR144" s="17">
        <f t="shared" si="370"/>
        <v>0.13540320786312909</v>
      </c>
      <c r="IS144" s="17">
        <f t="shared" si="371"/>
        <v>0.59290298991996604</v>
      </c>
      <c r="IT144" s="17">
        <f t="shared" si="372"/>
        <v>0.26756914653457359</v>
      </c>
      <c r="IW144" s="13">
        <v>140</v>
      </c>
      <c r="IX144" s="14">
        <f>MATCH(IW144-1,属性投放!$T$6:$T$66,1)</f>
        <v>48</v>
      </c>
      <c r="IY144" s="14">
        <f>MATCH(IW144-1,属性投放!$AD$7:$AD$26,1)</f>
        <v>18</v>
      </c>
      <c r="IZ144" s="14" t="str">
        <f>INDEX(属性投放!$AB$7:$AB$26,IY144)</f>
        <v>大焦热+2</v>
      </c>
      <c r="JA144" s="14">
        <f t="shared" si="373"/>
        <v>11221</v>
      </c>
      <c r="JB144" s="14">
        <f t="shared" si="374"/>
        <v>5577</v>
      </c>
      <c r="JC144" s="14">
        <f t="shared" si="375"/>
        <v>103986</v>
      </c>
      <c r="JD144" s="14">
        <f t="shared" si="376"/>
        <v>235</v>
      </c>
      <c r="JE144" s="14">
        <f t="shared" si="377"/>
        <v>117</v>
      </c>
      <c r="JF144" s="14">
        <f t="shared" si="378"/>
        <v>2346</v>
      </c>
      <c r="JG144" s="14">
        <f>INDEX(属性投放!$DC$6:$DC$85,卡牌属性!IY144)</f>
        <v>110</v>
      </c>
      <c r="JH144" s="14">
        <f t="shared" si="379"/>
        <v>18271</v>
      </c>
      <c r="JI144" s="14">
        <f t="shared" si="380"/>
        <v>9087</v>
      </c>
      <c r="JJ144" s="14">
        <f t="shared" si="381"/>
        <v>174366</v>
      </c>
      <c r="JK144" s="14">
        <f t="shared" si="382"/>
        <v>356591</v>
      </c>
    </row>
    <row r="145" spans="31:271" ht="16.5" x14ac:dyDescent="0.2">
      <c r="AE145" s="13">
        <v>141</v>
      </c>
      <c r="AF145" s="13">
        <f t="shared" si="331"/>
        <v>8</v>
      </c>
      <c r="AG145" s="13">
        <f t="shared" si="316"/>
        <v>2</v>
      </c>
      <c r="AH145" s="13"/>
      <c r="AI145" s="13"/>
      <c r="AJ145" s="14">
        <f t="shared" si="317"/>
        <v>1101008</v>
      </c>
      <c r="AK145" s="14" t="str">
        <f t="shared" si="318"/>
        <v>黑尔·坎普1突</v>
      </c>
      <c r="AL145" s="25" t="s">
        <v>142</v>
      </c>
      <c r="AM145" s="14">
        <v>1</v>
      </c>
      <c r="AN145" s="14">
        <f t="shared" si="319"/>
        <v>1</v>
      </c>
      <c r="AO145" s="14">
        <f>INDEX(属性投放!$DF$6:$DF$85,(卡牌属性!AG145-2)*20+卡牌属性!AN145)</f>
        <v>100</v>
      </c>
      <c r="AP145" s="14">
        <f t="shared" ref="AP145:AS164" si="383">$AO145</f>
        <v>100</v>
      </c>
      <c r="AQ145" s="14">
        <f t="shared" si="383"/>
        <v>100</v>
      </c>
      <c r="AR145" s="14">
        <f t="shared" si="383"/>
        <v>100</v>
      </c>
      <c r="AS145" s="14">
        <f t="shared" si="383"/>
        <v>100</v>
      </c>
      <c r="AT145" s="14">
        <f>INDEX(属性投放!$DG$6:$DG$85,(卡牌属性!AG145-2)*20+卡牌属性!AN145)</f>
        <v>0</v>
      </c>
      <c r="AU145" s="14">
        <f t="shared" ref="AU145:AX164" si="384">$AT145</f>
        <v>0</v>
      </c>
      <c r="AV145" s="14">
        <f t="shared" si="384"/>
        <v>0</v>
      </c>
      <c r="AW145" s="14">
        <f t="shared" si="384"/>
        <v>0</v>
      </c>
      <c r="AX145" s="14">
        <f t="shared" si="384"/>
        <v>0</v>
      </c>
      <c r="AY145" s="14">
        <f>INDEX(属性投放!$DH$6:$DH$85,(卡牌属性!AG145-2)*20+卡牌属性!AN145)</f>
        <v>250.00000000000003</v>
      </c>
      <c r="AZ145" s="14">
        <f t="shared" ref="AZ145:BC164" si="385">$AY145</f>
        <v>250.00000000000003</v>
      </c>
      <c r="BA145" s="14">
        <f t="shared" si="385"/>
        <v>250.00000000000003</v>
      </c>
      <c r="BB145" s="14">
        <f t="shared" si="385"/>
        <v>250.00000000000003</v>
      </c>
      <c r="BC145" s="14">
        <f t="shared" si="385"/>
        <v>250.00000000000003</v>
      </c>
      <c r="BD145" s="14">
        <f>INDEX(属性投放!$DL$6:$DL$85,(卡牌属性!AG145-2)*20+卡牌属性!AN145)</f>
        <v>6</v>
      </c>
      <c r="BE145" s="14">
        <f t="shared" ref="BE145:BH164" si="386">$BD145</f>
        <v>6</v>
      </c>
      <c r="BF145" s="14">
        <f t="shared" si="386"/>
        <v>6</v>
      </c>
      <c r="BG145" s="14">
        <f t="shared" si="386"/>
        <v>6</v>
      </c>
      <c r="BH145" s="14">
        <f t="shared" si="386"/>
        <v>6</v>
      </c>
      <c r="BI145" s="14">
        <f>INDEX(属性投放!$DM$6:$DM$85,(卡牌属性!AG145-2)*20+卡牌属性!AN145)</f>
        <v>3</v>
      </c>
      <c r="BJ145" s="14">
        <f t="shared" ref="BJ145:BM164" si="387">$BI145</f>
        <v>3</v>
      </c>
      <c r="BK145" s="14">
        <f t="shared" si="387"/>
        <v>3</v>
      </c>
      <c r="BL145" s="14">
        <f t="shared" si="387"/>
        <v>3</v>
      </c>
      <c r="BM145" s="14">
        <f t="shared" si="387"/>
        <v>3</v>
      </c>
      <c r="BN145" s="14">
        <f>INDEX(属性投放!$DN$6:$DN$85,(卡牌属性!AG145-2)*20+卡牌属性!AN145)</f>
        <v>36</v>
      </c>
      <c r="BO145" s="14">
        <f t="shared" ref="BO145:BR164" si="388">$BN145</f>
        <v>36</v>
      </c>
      <c r="BP145" s="14">
        <f t="shared" si="388"/>
        <v>36</v>
      </c>
      <c r="BQ145" s="14">
        <f t="shared" si="388"/>
        <v>36</v>
      </c>
      <c r="BR145" s="14">
        <f t="shared" si="388"/>
        <v>36</v>
      </c>
      <c r="BW145" s="13">
        <v>141</v>
      </c>
      <c r="BX145" s="13">
        <f t="shared" si="320"/>
        <v>8</v>
      </c>
      <c r="BY145" s="14">
        <f t="shared" si="321"/>
        <v>4</v>
      </c>
      <c r="BZ145" s="14">
        <f t="shared" si="332"/>
        <v>1102008</v>
      </c>
      <c r="CA145" s="14" t="str">
        <f t="shared" si="333"/>
        <v>夏侯渊1突</v>
      </c>
      <c r="CB145" s="25" t="s">
        <v>142</v>
      </c>
      <c r="CC145" s="14">
        <v>2</v>
      </c>
      <c r="CD145" s="14">
        <f t="shared" si="322"/>
        <v>1</v>
      </c>
      <c r="CE145" s="14" t="s">
        <v>21</v>
      </c>
      <c r="CF145" s="14">
        <f>INDEX(属性投放!$AZ$6:$AZ$85,(BY145-2)*20+CD145)</f>
        <v>200</v>
      </c>
      <c r="CG145" s="14" t="s">
        <v>22</v>
      </c>
      <c r="CH145" s="14">
        <f>INDEX(属性投放!$BA$6:$BA$85,(BY145-2)*20+CD145)</f>
        <v>25</v>
      </c>
      <c r="CI145" s="14" t="s">
        <v>510</v>
      </c>
      <c r="CJ145" s="14">
        <f>INDEX(属性投放!$BB$6:$BB$85,(BY145-2)*20+CD145)</f>
        <v>800</v>
      </c>
      <c r="CK145" s="14" t="s">
        <v>21</v>
      </c>
      <c r="CL145" s="14">
        <f>INDEX(属性投放!$BC$6:$BC$85,(BY145-2)*20+CD145)</f>
        <v>12</v>
      </c>
      <c r="CM145" s="14" t="s">
        <v>22</v>
      </c>
      <c r="CN145" s="14">
        <f>INDEX(属性投放!$BD$6:$BD$85,(BY145-2)*20+CD145)</f>
        <v>6</v>
      </c>
      <c r="CO145" s="14" t="s">
        <v>510</v>
      </c>
      <c r="CP145" s="14">
        <f>INDEX(属性投放!$BE$6:$BE$85,(BY145-2)*20+CD145)</f>
        <v>72</v>
      </c>
      <c r="CS145" s="13">
        <v>141</v>
      </c>
      <c r="CT145" s="13">
        <f t="shared" si="334"/>
        <v>3</v>
      </c>
      <c r="CU145" s="13">
        <f t="shared" si="335"/>
        <v>37</v>
      </c>
      <c r="CV145" s="14">
        <f t="shared" si="336"/>
        <v>4</v>
      </c>
      <c r="CW145" s="14">
        <f t="shared" si="337"/>
        <v>1102003</v>
      </c>
      <c r="CX145" s="14" t="str">
        <f>INDEX($O$6:$O$50,CT145)&amp;"-"&amp;INDEX(属性投放!$AB$7:$AB$50,CZ145)&amp;"-魂火-"&amp;DB145</f>
        <v>典韦-大焦热-魂火-1</v>
      </c>
      <c r="CY145" s="25" t="s">
        <v>142</v>
      </c>
      <c r="CZ145" s="14">
        <f>INDEX(属性投放!$AM$7:$AM$58,CU145)</f>
        <v>16</v>
      </c>
      <c r="DA145" s="14" t="s">
        <v>537</v>
      </c>
      <c r="DB145" s="14">
        <f>INDEX(属性投放!$AN$7:$AN$58,CU145)</f>
        <v>1</v>
      </c>
      <c r="DC145" s="14">
        <f t="shared" si="323"/>
        <v>37</v>
      </c>
      <c r="DD145" s="14">
        <f>INDEX(属性投放!$AO$7:$AO$58,DC145)</f>
        <v>110</v>
      </c>
      <c r="DE145" s="14" t="s">
        <v>538</v>
      </c>
      <c r="DF145" s="14">
        <f>INDEX(属性投放!$BK$6:$BK$85,(CV145-2)*20+CZ145)</f>
        <v>520</v>
      </c>
      <c r="DG145" s="14">
        <f>SUMIFS(DF$5:DF145,$CT$5:$CT145,"="&amp;$CT145)</f>
        <v>6395</v>
      </c>
      <c r="DH145" s="14" t="s">
        <v>539</v>
      </c>
      <c r="DI145" s="14">
        <f>INDEX(属性投放!$BL$6:$BL$85,(CV145-2)*20+CZ145)</f>
        <v>260</v>
      </c>
      <c r="DJ145" s="14">
        <f>SUMIFS(DI$5:DI145,$CT$5:$CT145,"="&amp;$CT145)</f>
        <v>3207</v>
      </c>
      <c r="DK145" s="14" t="s">
        <v>540</v>
      </c>
      <c r="DL145" s="14">
        <f>INDEX(属性投放!$BM$6:$BM$85,(CV145-2)*20+CZ145)</f>
        <v>5200</v>
      </c>
      <c r="DM145" s="14">
        <f>SUMIFS(DL$5:DL145,$CT$5:$CT145,"="&amp;$CT145)</f>
        <v>59385</v>
      </c>
      <c r="DR145" s="14">
        <f t="shared" si="324"/>
        <v>1102008</v>
      </c>
      <c r="DS145" s="14" t="str">
        <f t="shared" si="325"/>
        <v>夏侯渊1突</v>
      </c>
      <c r="DT145" s="14">
        <f t="shared" si="338"/>
        <v>7</v>
      </c>
      <c r="DU145" s="14">
        <f t="shared" si="339"/>
        <v>5</v>
      </c>
      <c r="DV145" s="14">
        <f t="shared" si="340"/>
        <v>9</v>
      </c>
      <c r="DW145" s="14">
        <f t="shared" si="326"/>
        <v>4</v>
      </c>
      <c r="DX145" s="14">
        <f t="shared" si="327"/>
        <v>1</v>
      </c>
      <c r="DY145" s="14">
        <f t="shared" si="328"/>
        <v>41</v>
      </c>
      <c r="DZ145" s="14">
        <f>INDEX(属性投放!$AX$6:$AX$85,(卡牌属性!DW145-2)*20+卡牌属性!DX145)</f>
        <v>4</v>
      </c>
      <c r="EA145" s="14">
        <f>INDEX(属性投放!BQ$6:BQ$85,卡牌属性!$DY145)</f>
        <v>35</v>
      </c>
      <c r="EB145" s="14">
        <f>INDEX(属性投放!BR$6:BR$85,卡牌属性!$DY145)</f>
        <v>18</v>
      </c>
      <c r="EC145" s="14">
        <f>INDEX(属性投放!BS$6:BS$85,卡牌属性!$DY145)</f>
        <v>210</v>
      </c>
      <c r="ED145" s="14">
        <f>INDEX(属性偏向!$I$4:$I$15,卡牌属性!$DT145+ED$3)</f>
        <v>200</v>
      </c>
      <c r="EE145" s="14">
        <f>INDEX(属性偏向!$I$4:$I$15,卡牌属性!$DT145+EE$3)</f>
        <v>250</v>
      </c>
      <c r="EF145" s="14">
        <f>INDEX(属性偏向!$I$4:$I$15,卡牌属性!$DT145+EF$3)</f>
        <v>300</v>
      </c>
      <c r="EG145" s="14">
        <f>INDEX(属性偏向!$I$4:$I$15,卡牌属性!$DT145+EG$3)</f>
        <v>300</v>
      </c>
      <c r="EH145" s="14">
        <f>INDEX(属性偏向!$I$4:$I$15,卡牌属性!$DT145+EH$3)</f>
        <v>350</v>
      </c>
      <c r="EI145" s="14">
        <f>INDEX(属性偏向!$J$4:$J$15,卡牌属性!$DU145+EI$3)</f>
        <v>30</v>
      </c>
      <c r="EJ145" s="14">
        <f>INDEX(属性偏向!$J$4:$J$15,卡牌属性!$DU145+EJ$3)</f>
        <v>40</v>
      </c>
      <c r="EK145" s="14">
        <f>INDEX(属性偏向!$J$4:$J$15,卡牌属性!$DU145+EK$3)</f>
        <v>40</v>
      </c>
      <c r="EL145" s="14">
        <f>INDEX(属性偏向!$J$4:$J$15,卡牌属性!$DU145+EL$3)</f>
        <v>50</v>
      </c>
      <c r="EM145" s="14">
        <f>INDEX(属性偏向!$J$4:$J$15,卡牌属性!$DU145+EM$3)</f>
        <v>75</v>
      </c>
      <c r="EN145" s="14">
        <f>INDEX(属性偏向!$K$4:$K$15,卡牌属性!$DV145+EN$3)</f>
        <v>1200</v>
      </c>
      <c r="EO145" s="14">
        <f>INDEX(属性偏向!$K$4:$K$15,卡牌属性!$DV145+EO$3)</f>
        <v>1500</v>
      </c>
      <c r="EP145" s="14">
        <f>INDEX(属性偏向!$K$4:$K$15,卡牌属性!$DV145+EP$3)</f>
        <v>1500</v>
      </c>
      <c r="EQ145" s="14">
        <f>INDEX(属性偏向!$K$4:$K$15,卡牌属性!$DV145+EQ$3)</f>
        <v>2000</v>
      </c>
      <c r="ER145" s="14">
        <f>INDEX(属性偏向!$K$4:$K$15,卡牌属性!$DV145+ER$3)</f>
        <v>2500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90</v>
      </c>
      <c r="FD145" s="14">
        <f>INDEX(属性偏向!$U$4:$U$243,(卡牌属性!$DV145-1+FD$3)*20+卡牌属性!$DX145)</f>
        <v>120</v>
      </c>
      <c r="FE145" s="14">
        <f>INDEX(属性偏向!$U$4:$U$243,(卡牌属性!$DV145-1+FE$3)*20+卡牌属性!$DX145)</f>
        <v>120</v>
      </c>
      <c r="FF145" s="14">
        <f>INDEX(属性偏向!$U$4:$U$243,(卡牌属性!$DV145-1+FF$3)*20+卡牌属性!$DX145)</f>
        <v>150</v>
      </c>
      <c r="FG145" s="14">
        <f>INDEX(属性偏向!$U$4:$U$243,(卡牌属性!$DV145-1+FG$3)*20+卡牌属性!$DX145)</f>
        <v>180</v>
      </c>
      <c r="FH145" s="14">
        <f>INDEX(属性投放!$BQ$6:$BQ$85,(卡牌属性!$DW145-2)*20+卡牌属性!$DX145)</f>
        <v>35</v>
      </c>
      <c r="FI145" s="14">
        <f>INDEX(属性投放!$BQ$6:$BQ$85,(卡牌属性!$DW145-2)*20+卡牌属性!$DX145)</f>
        <v>35</v>
      </c>
      <c r="FJ145" s="14">
        <f>INDEX(属性投放!$BQ$6:$BQ$85,(卡牌属性!$DW145-2)*20+卡牌属性!$DX145)</f>
        <v>35</v>
      </c>
      <c r="FK145" s="14">
        <f>INDEX(属性投放!$BQ$6:$BQ$85,(卡牌属性!$DW145-2)*20+卡牌属性!$DX145)</f>
        <v>35</v>
      </c>
      <c r="FL145" s="14">
        <f>INDEX(属性投放!$BQ$6:$BQ$85,(卡牌属性!$DW145-2)*20+卡牌属性!$DX145)</f>
        <v>35</v>
      </c>
      <c r="FM145" s="14">
        <f>INDEX(属性投放!$BR$6:$BR$85,(卡牌属性!$DW145-2)*20+卡牌属性!$DX145)</f>
        <v>18</v>
      </c>
      <c r="FN145" s="14">
        <f>INDEX(属性投放!$BR$6:$BR$85,(卡牌属性!$DW145-2)*20+卡牌属性!$DX145)</f>
        <v>18</v>
      </c>
      <c r="FO145" s="14">
        <f>INDEX(属性投放!$BR$6:$BR$85,(卡牌属性!$DW145-2)*20+卡牌属性!$DX145)</f>
        <v>18</v>
      </c>
      <c r="FP145" s="14">
        <f>INDEX(属性投放!$BR$6:$BR$85,(卡牌属性!$DW145-2)*20+卡牌属性!$DX145)</f>
        <v>18</v>
      </c>
      <c r="FQ145" s="14">
        <f>INDEX(属性投放!$BR$6:$BR$85,(卡牌属性!$DW145-2)*20+卡牌属性!$DX145)</f>
        <v>18</v>
      </c>
      <c r="FR145" s="14">
        <f>INDEX(属性投放!$BS$6:$BS$85,(卡牌属性!$DW145-2)*20+卡牌属性!$DX145)</f>
        <v>210</v>
      </c>
      <c r="FS145" s="14">
        <f>INDEX(属性投放!$BS$6:$BS$85,(卡牌属性!$DW145-2)*20+卡牌属性!$DX145)</f>
        <v>210</v>
      </c>
      <c r="FT145" s="14">
        <f>INDEX(属性投放!$BS$6:$BS$85,(卡牌属性!$DW145-2)*20+卡牌属性!$DX145)</f>
        <v>210</v>
      </c>
      <c r="FU145" s="14">
        <f>INDEX(属性投放!$BS$6:$BS$85,(卡牌属性!$DW145-2)*20+卡牌属性!$DX145)</f>
        <v>210</v>
      </c>
      <c r="FV145" s="14">
        <f>INDEX(属性投放!$BS$6:$BS$85,(卡牌属性!$DW145-2)*20+卡牌属性!$DX145)</f>
        <v>210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MATCH(HC145,属性投放!$AO$6:$AO$58,1)-1</f>
        <v>49</v>
      </c>
      <c r="HF145" s="13">
        <f>MATCH(HC145-1,属性投放!$AE$6:$AE$26,1)</f>
        <v>20</v>
      </c>
      <c r="HG145" s="13" t="str">
        <f>INDEX(属性投放!$AB$7:$AB$26,卡牌属性!HF145)</f>
        <v>无间+1</v>
      </c>
      <c r="HH145" s="14">
        <f t="shared" si="342"/>
        <v>13193</v>
      </c>
      <c r="HI145" s="14">
        <f t="shared" si="343"/>
        <v>5838</v>
      </c>
      <c r="HJ145" s="14">
        <f t="shared" si="344"/>
        <v>109184</v>
      </c>
      <c r="HK145" s="14">
        <f t="shared" si="345"/>
        <v>75</v>
      </c>
      <c r="HL145" s="14">
        <f t="shared" si="346"/>
        <v>23</v>
      </c>
      <c r="HM145" s="14">
        <f t="shared" si="347"/>
        <v>450</v>
      </c>
      <c r="HN145" s="14">
        <f>HH145+HK145*($HC145-INDEX(属性投放!$AE$6:$AE$26,卡牌属性!$HF145))</f>
        <v>13268</v>
      </c>
      <c r="HO145" s="14">
        <f>HI145+HL145*($HC145-INDEX(属性投放!$AE$6:$AE$26,卡牌属性!$HF145))</f>
        <v>5861</v>
      </c>
      <c r="HP145" s="14">
        <f>HJ145+HM145*($HC145-INDEX(属性投放!$AE$6:$AE$26,卡牌属性!$HF145))</f>
        <v>109634</v>
      </c>
      <c r="HQ145" s="14">
        <f t="shared" si="348"/>
        <v>15335</v>
      </c>
      <c r="HR145" s="14">
        <f t="shared" si="349"/>
        <v>7677</v>
      </c>
      <c r="HS145" s="14">
        <f t="shared" si="350"/>
        <v>148785</v>
      </c>
      <c r="HT145" s="14">
        <f>IF(COUNTIF(属性投放!$AO$7:$AO$58,"="&amp;卡牌属性!HC145)&gt;0,卡牌属性!HE145,0)</f>
        <v>0</v>
      </c>
      <c r="HU145" s="14">
        <f t="shared" si="351"/>
        <v>0</v>
      </c>
      <c r="HV145" s="14">
        <f t="shared" si="352"/>
        <v>0</v>
      </c>
      <c r="HW145" s="14">
        <f t="shared" si="353"/>
        <v>0</v>
      </c>
      <c r="HX145" s="14">
        <f>IF(COUNTIF(属性投放!$AE$6:$AE$26,"="&amp;卡牌属性!HC145)&gt;0,卡牌属性!HF145,0)</f>
        <v>0</v>
      </c>
      <c r="HY145" s="14">
        <f t="shared" si="354"/>
        <v>0</v>
      </c>
      <c r="HZ145" s="14">
        <f t="shared" si="355"/>
        <v>0</v>
      </c>
      <c r="IA145" s="14">
        <f t="shared" si="356"/>
        <v>0</v>
      </c>
      <c r="IB145" s="14">
        <f t="shared" si="357"/>
        <v>75</v>
      </c>
      <c r="IC145" s="14">
        <f t="shared" si="358"/>
        <v>23</v>
      </c>
      <c r="ID145" s="14">
        <f t="shared" si="359"/>
        <v>450</v>
      </c>
      <c r="IE145" s="14">
        <f t="shared" si="360"/>
        <v>28603</v>
      </c>
      <c r="IF145" s="14">
        <f t="shared" si="361"/>
        <v>13538</v>
      </c>
      <c r="IG145" s="14">
        <f t="shared" si="362"/>
        <v>258419</v>
      </c>
      <c r="IH145" s="14">
        <f t="shared" si="363"/>
        <v>1660</v>
      </c>
      <c r="II145" s="14">
        <f t="shared" si="364"/>
        <v>0</v>
      </c>
      <c r="IJ145" s="14">
        <f t="shared" si="365"/>
        <v>0</v>
      </c>
      <c r="IK145" s="14">
        <f t="shared" si="366"/>
        <v>815209</v>
      </c>
      <c r="IL145" s="17">
        <f t="shared" si="367"/>
        <v>2.0362876268539723E-3</v>
      </c>
      <c r="IM145" s="17">
        <f t="shared" si="368"/>
        <v>0</v>
      </c>
      <c r="IN145" s="17">
        <f t="shared" si="369"/>
        <v>0</v>
      </c>
      <c r="IO145" s="23">
        <f>SUM(IH$5:IH145)</f>
        <v>105724</v>
      </c>
      <c r="IP145" s="14">
        <f>SUM(II$5:II145)</f>
        <v>455675</v>
      </c>
      <c r="IQ145" s="14">
        <f>SUM(IJ$5:IJ145)</f>
        <v>205640</v>
      </c>
      <c r="IR145" s="17">
        <f t="shared" si="370"/>
        <v>0.12968944160331891</v>
      </c>
      <c r="IS145" s="17">
        <f t="shared" si="371"/>
        <v>0.55896708696788189</v>
      </c>
      <c r="IT145" s="17">
        <f t="shared" si="372"/>
        <v>0.25225432987123547</v>
      </c>
      <c r="IW145" s="13">
        <v>141</v>
      </c>
      <c r="IX145" s="14">
        <f>MATCH(IW145-1,属性投放!$T$6:$T$66,1)</f>
        <v>48</v>
      </c>
      <c r="IY145" s="14">
        <f>MATCH(IW145-1,属性投放!$AD$7:$AD$26,1)</f>
        <v>19</v>
      </c>
      <c r="IZ145" s="14" t="str">
        <f>INDEX(属性投放!$AB$7:$AB$26,IY145)</f>
        <v>无间</v>
      </c>
      <c r="JA145" s="14">
        <f t="shared" si="373"/>
        <v>17934</v>
      </c>
      <c r="JB145" s="14">
        <f t="shared" si="374"/>
        <v>8921</v>
      </c>
      <c r="JC145" s="14">
        <f t="shared" si="375"/>
        <v>171016</v>
      </c>
      <c r="JD145" s="14">
        <f t="shared" si="376"/>
        <v>462</v>
      </c>
      <c r="JE145" s="14">
        <f t="shared" si="377"/>
        <v>231</v>
      </c>
      <c r="JF145" s="14">
        <f t="shared" si="378"/>
        <v>4620</v>
      </c>
      <c r="JG145" s="14">
        <f>INDEX(属性投放!$DC$6:$DC$85,卡牌属性!IY145)</f>
        <v>135</v>
      </c>
      <c r="JH145" s="14">
        <f t="shared" si="379"/>
        <v>20706</v>
      </c>
      <c r="JI145" s="14">
        <f t="shared" si="380"/>
        <v>10307</v>
      </c>
      <c r="JJ145" s="14">
        <f t="shared" si="381"/>
        <v>198736</v>
      </c>
      <c r="JK145" s="14">
        <f t="shared" si="382"/>
        <v>405336</v>
      </c>
    </row>
    <row r="146" spans="31:271" ht="16.5" x14ac:dyDescent="0.2">
      <c r="AE146" s="13">
        <v>142</v>
      </c>
      <c r="AF146" s="13">
        <f t="shared" si="331"/>
        <v>8</v>
      </c>
      <c r="AG146" s="13">
        <f t="shared" si="316"/>
        <v>2</v>
      </c>
      <c r="AH146" s="13"/>
      <c r="AI146" s="13"/>
      <c r="AJ146" s="14">
        <f t="shared" si="317"/>
        <v>1101008</v>
      </c>
      <c r="AK146" s="14" t="str">
        <f t="shared" si="318"/>
        <v>黑尔·坎普2突</v>
      </c>
      <c r="AL146" s="25" t="s">
        <v>142</v>
      </c>
      <c r="AM146" s="14">
        <v>1</v>
      </c>
      <c r="AN146" s="14">
        <f t="shared" si="319"/>
        <v>2</v>
      </c>
      <c r="AO146" s="14">
        <f>INDEX(属性投放!$DF$6:$DF$85,(卡牌属性!AG146-2)*20+卡牌属性!AN146)</f>
        <v>160</v>
      </c>
      <c r="AP146" s="14">
        <f t="shared" si="383"/>
        <v>160</v>
      </c>
      <c r="AQ146" s="14">
        <f t="shared" si="383"/>
        <v>160</v>
      </c>
      <c r="AR146" s="14">
        <f t="shared" si="383"/>
        <v>160</v>
      </c>
      <c r="AS146" s="14">
        <f t="shared" si="383"/>
        <v>160</v>
      </c>
      <c r="AT146" s="14">
        <f>INDEX(属性投放!$DG$6:$DG$85,(卡牌属性!AG146-2)*20+卡牌属性!AN146)</f>
        <v>30</v>
      </c>
      <c r="AU146" s="14">
        <f t="shared" si="384"/>
        <v>30</v>
      </c>
      <c r="AV146" s="14">
        <f t="shared" si="384"/>
        <v>30</v>
      </c>
      <c r="AW146" s="14">
        <f t="shared" si="384"/>
        <v>30</v>
      </c>
      <c r="AX146" s="14">
        <f t="shared" si="384"/>
        <v>30</v>
      </c>
      <c r="AY146" s="14">
        <f>INDEX(属性投放!$DH$6:$DH$85,(卡牌属性!AG146-2)*20+卡牌属性!AN146)</f>
        <v>610</v>
      </c>
      <c r="AZ146" s="14">
        <f t="shared" si="385"/>
        <v>610</v>
      </c>
      <c r="BA146" s="14">
        <f t="shared" si="385"/>
        <v>610</v>
      </c>
      <c r="BB146" s="14">
        <f t="shared" si="385"/>
        <v>610</v>
      </c>
      <c r="BC146" s="14">
        <f t="shared" si="385"/>
        <v>610</v>
      </c>
      <c r="BD146" s="14">
        <f>INDEX(属性投放!$DL$6:$DL$85,(卡牌属性!AG146-2)*20+卡牌属性!AN146)</f>
        <v>12</v>
      </c>
      <c r="BE146" s="14">
        <f t="shared" si="386"/>
        <v>12</v>
      </c>
      <c r="BF146" s="14">
        <f t="shared" si="386"/>
        <v>12</v>
      </c>
      <c r="BG146" s="14">
        <f t="shared" si="386"/>
        <v>12</v>
      </c>
      <c r="BH146" s="14">
        <f t="shared" si="386"/>
        <v>12</v>
      </c>
      <c r="BI146" s="14">
        <f>INDEX(属性投放!$DM$6:$DM$85,(卡牌属性!AG146-2)*20+卡牌属性!AN146)</f>
        <v>6</v>
      </c>
      <c r="BJ146" s="14">
        <f t="shared" si="387"/>
        <v>6</v>
      </c>
      <c r="BK146" s="14">
        <f t="shared" si="387"/>
        <v>6</v>
      </c>
      <c r="BL146" s="14">
        <f t="shared" si="387"/>
        <v>6</v>
      </c>
      <c r="BM146" s="14">
        <f t="shared" si="387"/>
        <v>6</v>
      </c>
      <c r="BN146" s="14">
        <f>INDEX(属性投放!$DN$6:$DN$85,(卡牌属性!AG146-2)*20+卡牌属性!AN146)</f>
        <v>70</v>
      </c>
      <c r="BO146" s="14">
        <f t="shared" si="388"/>
        <v>70</v>
      </c>
      <c r="BP146" s="14">
        <f t="shared" si="388"/>
        <v>70</v>
      </c>
      <c r="BQ146" s="14">
        <f t="shared" si="388"/>
        <v>70</v>
      </c>
      <c r="BR146" s="14">
        <f t="shared" si="388"/>
        <v>70</v>
      </c>
      <c r="BW146" s="13">
        <v>142</v>
      </c>
      <c r="BX146" s="13">
        <f t="shared" si="320"/>
        <v>8</v>
      </c>
      <c r="BY146" s="14">
        <f t="shared" si="321"/>
        <v>4</v>
      </c>
      <c r="BZ146" s="14">
        <f t="shared" si="332"/>
        <v>1102008</v>
      </c>
      <c r="CA146" s="14" t="str">
        <f t="shared" si="333"/>
        <v>夏侯渊2突</v>
      </c>
      <c r="CB146" s="25" t="s">
        <v>142</v>
      </c>
      <c r="CC146" s="14">
        <v>2</v>
      </c>
      <c r="CD146" s="14">
        <f t="shared" si="322"/>
        <v>2</v>
      </c>
      <c r="CE146" s="14" t="s">
        <v>21</v>
      </c>
      <c r="CF146" s="14">
        <f>INDEX(属性投放!$AZ$6:$AZ$85,(BY146-2)*20+CD146)</f>
        <v>308</v>
      </c>
      <c r="CG146" s="14" t="s">
        <v>22</v>
      </c>
      <c r="CH146" s="14">
        <f>INDEX(属性投放!$BA$6:$BA$85,(BY146-2)*20+CD146)</f>
        <v>80</v>
      </c>
      <c r="CI146" s="14" t="s">
        <v>510</v>
      </c>
      <c r="CJ146" s="14">
        <f>INDEX(属性投放!$BB$6:$BB$85,(BY146-2)*20+CD146)</f>
        <v>1448</v>
      </c>
      <c r="CK146" s="14" t="s">
        <v>21</v>
      </c>
      <c r="CL146" s="14">
        <f>INDEX(属性投放!$BC$6:$BC$85,(BY146-2)*20+CD146)</f>
        <v>15</v>
      </c>
      <c r="CM146" s="14" t="s">
        <v>22</v>
      </c>
      <c r="CN146" s="14">
        <f>INDEX(属性投放!$BD$6:$BD$85,(BY146-2)*20+CD146)</f>
        <v>8</v>
      </c>
      <c r="CO146" s="14" t="s">
        <v>510</v>
      </c>
      <c r="CP146" s="14">
        <f>INDEX(属性投放!$BE$6:$BE$85,(BY146-2)*20+CD146)</f>
        <v>90</v>
      </c>
      <c r="CS146" s="13">
        <v>142</v>
      </c>
      <c r="CT146" s="13">
        <f t="shared" si="334"/>
        <v>3</v>
      </c>
      <c r="CU146" s="13">
        <f t="shared" si="335"/>
        <v>38</v>
      </c>
      <c r="CV146" s="14">
        <f t="shared" si="336"/>
        <v>4</v>
      </c>
      <c r="CW146" s="14">
        <f t="shared" si="337"/>
        <v>1102003</v>
      </c>
      <c r="CX146" s="14" t="str">
        <f>INDEX($O$6:$O$50,CT146)&amp;"-"&amp;INDEX(属性投放!$AB$7:$AB$50,CZ146)&amp;"-魂火-"&amp;DB146</f>
        <v>典韦-大焦热-魂火-2</v>
      </c>
      <c r="CY146" s="25" t="s">
        <v>142</v>
      </c>
      <c r="CZ146" s="14">
        <f>INDEX(属性投放!$AM$7:$AM$58,CU146)</f>
        <v>16</v>
      </c>
      <c r="DA146" s="14" t="s">
        <v>537</v>
      </c>
      <c r="DB146" s="14">
        <f>INDEX(属性投放!$AN$7:$AN$58,CU146)</f>
        <v>2</v>
      </c>
      <c r="DC146" s="14">
        <f t="shared" si="323"/>
        <v>38</v>
      </c>
      <c r="DD146" s="14">
        <f>INDEX(属性投放!$AO$7:$AO$58,DC146)</f>
        <v>113</v>
      </c>
      <c r="DE146" s="14" t="s">
        <v>538</v>
      </c>
      <c r="DF146" s="14">
        <f>INDEX(属性投放!$BK$6:$BK$85,(CV146-2)*20+CZ146)</f>
        <v>520</v>
      </c>
      <c r="DG146" s="14">
        <f>SUMIFS(DF$5:DF146,$CT$5:$CT146,"="&amp;$CT146)</f>
        <v>6915</v>
      </c>
      <c r="DH146" s="14" t="s">
        <v>539</v>
      </c>
      <c r="DI146" s="14">
        <f>INDEX(属性投放!$BL$6:$BL$85,(CV146-2)*20+CZ146)</f>
        <v>260</v>
      </c>
      <c r="DJ146" s="14">
        <f>SUMIFS(DI$5:DI146,$CT$5:$CT146,"="&amp;$CT146)</f>
        <v>3467</v>
      </c>
      <c r="DK146" s="14" t="s">
        <v>540</v>
      </c>
      <c r="DL146" s="14">
        <f>INDEX(属性投放!$BM$6:$BM$85,(CV146-2)*20+CZ146)</f>
        <v>5200</v>
      </c>
      <c r="DM146" s="14">
        <f>SUMIFS(DL$5:DL146,$CT$5:$CT146,"="&amp;$CT146)</f>
        <v>64585</v>
      </c>
      <c r="DR146" s="14">
        <f t="shared" si="324"/>
        <v>1102008</v>
      </c>
      <c r="DS146" s="14" t="str">
        <f t="shared" si="325"/>
        <v>夏侯渊2突</v>
      </c>
      <c r="DT146" s="14">
        <f t="shared" si="338"/>
        <v>7</v>
      </c>
      <c r="DU146" s="14">
        <f t="shared" si="339"/>
        <v>5</v>
      </c>
      <c r="DV146" s="14">
        <f t="shared" si="340"/>
        <v>9</v>
      </c>
      <c r="DW146" s="14">
        <f t="shared" si="326"/>
        <v>4</v>
      </c>
      <c r="DX146" s="14">
        <f t="shared" si="327"/>
        <v>2</v>
      </c>
      <c r="DY146" s="14">
        <f t="shared" si="328"/>
        <v>42</v>
      </c>
      <c r="DZ146" s="14">
        <f>INDEX(属性投放!$AX$6:$AX$85,(卡牌属性!DW146-2)*20+卡牌属性!DX146)</f>
        <v>10</v>
      </c>
      <c r="EA146" s="14">
        <f>INDEX(属性投放!BQ$6:BQ$85,卡牌属性!$DY146)</f>
        <v>40</v>
      </c>
      <c r="EB146" s="14">
        <f>INDEX(属性投放!BR$6:BR$85,卡牌属性!$DY146)</f>
        <v>20</v>
      </c>
      <c r="EC146" s="14">
        <f>INDEX(属性投放!BS$6:BS$85,卡牌属性!$DY146)</f>
        <v>240</v>
      </c>
      <c r="ED146" s="14">
        <f t="shared" ref="ED146:ED164" si="389">ED145+$EA145+ES145*$DZ145</f>
        <v>283</v>
      </c>
      <c r="EE146" s="14">
        <f t="shared" ref="EE146:EE164" si="390">EE145+$EA145+ET145*$DZ145</f>
        <v>337</v>
      </c>
      <c r="EF146" s="14">
        <f t="shared" ref="EF146:EF164" si="391">EF145+$EA145+EU145*$DZ145</f>
        <v>395</v>
      </c>
      <c r="EG146" s="14">
        <f t="shared" ref="EG146:EG164" si="392">EG145+$EA145+EV145*$DZ145</f>
        <v>395</v>
      </c>
      <c r="EH146" s="14">
        <f t="shared" ref="EH146:EH164" si="393">EH145+$EA145+EW145*$DZ145</f>
        <v>465</v>
      </c>
      <c r="EI146" s="14">
        <f t="shared" ref="EI146:EI164" si="394">EI145+$EB145+EX145*$DZ145</f>
        <v>64</v>
      </c>
      <c r="EJ146" s="14">
        <f t="shared" ref="EJ146:EJ164" si="395">EJ145+$EB145+EY145*$DZ145</f>
        <v>78</v>
      </c>
      <c r="EK146" s="14">
        <f t="shared" ref="EK146:EK164" si="396">EK145+$EB145+EZ145*$DZ145</f>
        <v>78</v>
      </c>
      <c r="EL146" s="14">
        <f t="shared" ref="EL146:EL164" si="397">EL145+$EB145+FA145*$DZ145</f>
        <v>92</v>
      </c>
      <c r="EM146" s="14">
        <f t="shared" ref="EM146:EM164" si="398">EM145+$EB145+FB145*$DZ145</f>
        <v>121</v>
      </c>
      <c r="EN146" s="14">
        <f t="shared" ref="EN146:EN164" si="399">EN145+$EC145+FC145*$DZ145</f>
        <v>1770</v>
      </c>
      <c r="EO146" s="14">
        <f t="shared" ref="EO146:EO164" si="400">EO145+$EC145+FD145*$DZ145</f>
        <v>2190</v>
      </c>
      <c r="EP146" s="14">
        <f t="shared" ref="EP146:EP164" si="401">EP145+$EC145+FE145*$DZ145</f>
        <v>2190</v>
      </c>
      <c r="EQ146" s="14">
        <f t="shared" ref="EQ146:EQ164" si="402">EQ145+$EC145+FF145*$DZ145</f>
        <v>2810</v>
      </c>
      <c r="ER146" s="14">
        <f t="shared" ref="ER146:ER164" si="403">ER145+$EC145+FG145*$DZ145</f>
        <v>3430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120</v>
      </c>
      <c r="FD146" s="14">
        <f>INDEX(属性偏向!$U$4:$U$243,(卡牌属性!$DV146-1+FD$3)*20+卡牌属性!$DX146)</f>
        <v>150</v>
      </c>
      <c r="FE146" s="14">
        <f>INDEX(属性偏向!$U$4:$U$243,(卡牌属性!$DV146-1+FE$3)*20+卡牌属性!$DX146)</f>
        <v>150</v>
      </c>
      <c r="FF146" s="14">
        <f>INDEX(属性偏向!$U$4:$U$243,(卡牌属性!$DV146-1+FF$3)*20+卡牌属性!$DX146)</f>
        <v>180</v>
      </c>
      <c r="FG146" s="14">
        <f>INDEX(属性偏向!$U$4:$U$243,(卡牌属性!$DV146-1+FG$3)*20+卡牌属性!$DX146)</f>
        <v>240</v>
      </c>
      <c r="FH146" s="14">
        <f>INDEX(属性投放!$BQ$6:$BQ$85,(卡牌属性!$DW146-2)*20+卡牌属性!$DX146)</f>
        <v>40</v>
      </c>
      <c r="FI146" s="14">
        <f>INDEX(属性投放!$BQ$6:$BQ$85,(卡牌属性!$DW146-2)*20+卡牌属性!$DX146)</f>
        <v>40</v>
      </c>
      <c r="FJ146" s="14">
        <f>INDEX(属性投放!$BQ$6:$BQ$85,(卡牌属性!$DW146-2)*20+卡牌属性!$DX146)</f>
        <v>40</v>
      </c>
      <c r="FK146" s="14">
        <f>INDEX(属性投放!$BQ$6:$BQ$85,(卡牌属性!$DW146-2)*20+卡牌属性!$DX146)</f>
        <v>40</v>
      </c>
      <c r="FL146" s="14">
        <f>INDEX(属性投放!$BQ$6:$BQ$85,(卡牌属性!$DW146-2)*20+卡牌属性!$DX146)</f>
        <v>40</v>
      </c>
      <c r="FM146" s="14">
        <f>INDEX(属性投放!$BR$6:$BR$85,(卡牌属性!$DW146-2)*20+卡牌属性!$DX146)</f>
        <v>20</v>
      </c>
      <c r="FN146" s="14">
        <f>INDEX(属性投放!$BR$6:$BR$85,(卡牌属性!$DW146-2)*20+卡牌属性!$DX146)</f>
        <v>20</v>
      </c>
      <c r="FO146" s="14">
        <f>INDEX(属性投放!$BR$6:$BR$85,(卡牌属性!$DW146-2)*20+卡牌属性!$DX146)</f>
        <v>20</v>
      </c>
      <c r="FP146" s="14">
        <f>INDEX(属性投放!$BR$6:$BR$85,(卡牌属性!$DW146-2)*20+卡牌属性!$DX146)</f>
        <v>20</v>
      </c>
      <c r="FQ146" s="14">
        <f>INDEX(属性投放!$BR$6:$BR$85,(卡牌属性!$DW146-2)*20+卡牌属性!$DX146)</f>
        <v>20</v>
      </c>
      <c r="FR146" s="14">
        <f>INDEX(属性投放!$BS$6:$BS$85,(卡牌属性!$DW146-2)*20+卡牌属性!$DX146)</f>
        <v>240</v>
      </c>
      <c r="FS146" s="14">
        <f>INDEX(属性投放!$BS$6:$BS$85,(卡牌属性!$DW146-2)*20+卡牌属性!$DX146)</f>
        <v>240</v>
      </c>
      <c r="FT146" s="14">
        <f>INDEX(属性投放!$BS$6:$BS$85,(卡牌属性!$DW146-2)*20+卡牌属性!$DX146)</f>
        <v>240</v>
      </c>
      <c r="FU146" s="14">
        <f>INDEX(属性投放!$BS$6:$BS$85,(卡牌属性!$DW146-2)*20+卡牌属性!$DX146)</f>
        <v>240</v>
      </c>
      <c r="FV146" s="14">
        <f>INDEX(属性投放!$BS$6:$BS$85,(卡牌属性!$DW146-2)*20+卡牌属性!$DX146)</f>
        <v>240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MATCH(HC146,属性投放!$AO$6:$AO$58,1)-1</f>
        <v>49</v>
      </c>
      <c r="HF146" s="13">
        <f>MATCH(HC146-1,属性投放!$AE$6:$AE$26,1)</f>
        <v>20</v>
      </c>
      <c r="HG146" s="13" t="str">
        <f>INDEX(属性投放!$AB$7:$AB$26,卡牌属性!HF146)</f>
        <v>无间+1</v>
      </c>
      <c r="HH146" s="14">
        <f t="shared" si="342"/>
        <v>13193</v>
      </c>
      <c r="HI146" s="14">
        <f t="shared" si="343"/>
        <v>5838</v>
      </c>
      <c r="HJ146" s="14">
        <f t="shared" si="344"/>
        <v>109184</v>
      </c>
      <c r="HK146" s="14">
        <f t="shared" si="345"/>
        <v>75</v>
      </c>
      <c r="HL146" s="14">
        <f t="shared" si="346"/>
        <v>23</v>
      </c>
      <c r="HM146" s="14">
        <f t="shared" si="347"/>
        <v>450</v>
      </c>
      <c r="HN146" s="14">
        <f>HH146+HK146*($HC146-INDEX(属性投放!$AE$6:$AE$26,卡牌属性!$HF146))</f>
        <v>13343</v>
      </c>
      <c r="HO146" s="14">
        <f>HI146+HL146*($HC146-INDEX(属性投放!$AE$6:$AE$26,卡牌属性!$HF146))</f>
        <v>5884</v>
      </c>
      <c r="HP146" s="14">
        <f>HJ146+HM146*($HC146-INDEX(属性投放!$AE$6:$AE$26,卡牌属性!$HF146))</f>
        <v>110084</v>
      </c>
      <c r="HQ146" s="14">
        <f t="shared" si="348"/>
        <v>15335</v>
      </c>
      <c r="HR146" s="14">
        <f t="shared" si="349"/>
        <v>7677</v>
      </c>
      <c r="HS146" s="14">
        <f t="shared" si="350"/>
        <v>148785</v>
      </c>
      <c r="HT146" s="14">
        <f>IF(COUNTIF(属性投放!$AO$7:$AO$58,"="&amp;卡牌属性!HC146)&gt;0,卡牌属性!HE146,0)</f>
        <v>0</v>
      </c>
      <c r="HU146" s="14">
        <f t="shared" si="351"/>
        <v>0</v>
      </c>
      <c r="HV146" s="14">
        <f t="shared" si="352"/>
        <v>0</v>
      </c>
      <c r="HW146" s="14">
        <f t="shared" si="353"/>
        <v>0</v>
      </c>
      <c r="HX146" s="14">
        <f>IF(COUNTIF(属性投放!$AE$6:$AE$26,"="&amp;卡牌属性!HC146)&gt;0,卡牌属性!HF146,0)</f>
        <v>0</v>
      </c>
      <c r="HY146" s="14">
        <f t="shared" si="354"/>
        <v>0</v>
      </c>
      <c r="HZ146" s="14">
        <f t="shared" si="355"/>
        <v>0</v>
      </c>
      <c r="IA146" s="14">
        <f t="shared" si="356"/>
        <v>0</v>
      </c>
      <c r="IB146" s="14">
        <f t="shared" si="357"/>
        <v>75</v>
      </c>
      <c r="IC146" s="14">
        <f t="shared" si="358"/>
        <v>23</v>
      </c>
      <c r="ID146" s="14">
        <f t="shared" si="359"/>
        <v>450</v>
      </c>
      <c r="IE146" s="14">
        <f t="shared" si="360"/>
        <v>28678</v>
      </c>
      <c r="IF146" s="14">
        <f t="shared" si="361"/>
        <v>13561</v>
      </c>
      <c r="IG146" s="14">
        <f t="shared" si="362"/>
        <v>258869</v>
      </c>
      <c r="IH146" s="14">
        <f t="shared" si="363"/>
        <v>1660</v>
      </c>
      <c r="II146" s="14">
        <f t="shared" si="364"/>
        <v>0</v>
      </c>
      <c r="IJ146" s="14">
        <f t="shared" si="365"/>
        <v>0</v>
      </c>
      <c r="IK146" s="14">
        <f t="shared" si="366"/>
        <v>816869</v>
      </c>
      <c r="IL146" s="17">
        <f t="shared" si="367"/>
        <v>2.0321495857964986E-3</v>
      </c>
      <c r="IM146" s="17">
        <f t="shared" si="368"/>
        <v>0</v>
      </c>
      <c r="IN146" s="17">
        <f t="shared" si="369"/>
        <v>0</v>
      </c>
      <c r="IO146" s="23">
        <f>SUM(IH$5:IH146)</f>
        <v>107384</v>
      </c>
      <c r="IP146" s="14">
        <f>SUM(II$5:II146)</f>
        <v>455675</v>
      </c>
      <c r="IQ146" s="14">
        <f>SUM(IJ$5:IJ146)</f>
        <v>205640</v>
      </c>
      <c r="IR146" s="17">
        <f t="shared" si="370"/>
        <v>0.13145804284407903</v>
      </c>
      <c r="IS146" s="17">
        <f t="shared" si="371"/>
        <v>0.55783118223362615</v>
      </c>
      <c r="IT146" s="17">
        <f t="shared" si="372"/>
        <v>0.25174171133927226</v>
      </c>
      <c r="IW146" s="13">
        <v>142</v>
      </c>
      <c r="IX146" s="14">
        <f>MATCH(IW146-1,属性投放!$T$6:$T$66,1)</f>
        <v>49</v>
      </c>
      <c r="IY146" s="14">
        <f>MATCH(IW146-1,属性投放!$AD$7:$AD$26,1)</f>
        <v>19</v>
      </c>
      <c r="IZ146" s="14" t="str">
        <f>INDEX(属性投放!$AB$7:$AB$26,IY146)</f>
        <v>无间</v>
      </c>
      <c r="JA146" s="14">
        <f t="shared" si="373"/>
        <v>17934</v>
      </c>
      <c r="JB146" s="14">
        <f t="shared" si="374"/>
        <v>8921</v>
      </c>
      <c r="JC146" s="14">
        <f t="shared" si="375"/>
        <v>171016</v>
      </c>
      <c r="JD146" s="14">
        <f t="shared" si="376"/>
        <v>462</v>
      </c>
      <c r="JE146" s="14">
        <f t="shared" si="377"/>
        <v>231</v>
      </c>
      <c r="JF146" s="14">
        <f t="shared" si="378"/>
        <v>4620</v>
      </c>
      <c r="JG146" s="14">
        <f>INDEX(属性投放!$DC$6:$DC$85,卡牌属性!IY146)</f>
        <v>135</v>
      </c>
      <c r="JH146" s="14">
        <f t="shared" si="379"/>
        <v>21168</v>
      </c>
      <c r="JI146" s="14">
        <f t="shared" si="380"/>
        <v>10538</v>
      </c>
      <c r="JJ146" s="14">
        <f t="shared" si="381"/>
        <v>203356</v>
      </c>
      <c r="JK146" s="14">
        <f t="shared" si="382"/>
        <v>414576</v>
      </c>
    </row>
    <row r="147" spans="31:271" ht="16.5" x14ac:dyDescent="0.2">
      <c r="AE147" s="13">
        <v>143</v>
      </c>
      <c r="AF147" s="13">
        <f t="shared" si="331"/>
        <v>8</v>
      </c>
      <c r="AG147" s="13">
        <f t="shared" si="316"/>
        <v>2</v>
      </c>
      <c r="AH147" s="13"/>
      <c r="AI147" s="13"/>
      <c r="AJ147" s="14">
        <f t="shared" si="317"/>
        <v>1101008</v>
      </c>
      <c r="AK147" s="14" t="str">
        <f t="shared" si="318"/>
        <v>黑尔·坎普3突</v>
      </c>
      <c r="AL147" s="25" t="s">
        <v>142</v>
      </c>
      <c r="AM147" s="14">
        <v>1</v>
      </c>
      <c r="AN147" s="14">
        <f t="shared" si="319"/>
        <v>3</v>
      </c>
      <c r="AO147" s="14">
        <f>INDEX(属性投放!$DF$6:$DF$85,(卡牌属性!AG147-2)*20+卡牌属性!AN147)</f>
        <v>189</v>
      </c>
      <c r="AP147" s="14">
        <f t="shared" si="383"/>
        <v>189</v>
      </c>
      <c r="AQ147" s="14">
        <f t="shared" si="383"/>
        <v>189</v>
      </c>
      <c r="AR147" s="14">
        <f t="shared" si="383"/>
        <v>189</v>
      </c>
      <c r="AS147" s="14">
        <f t="shared" si="383"/>
        <v>189</v>
      </c>
      <c r="AT147" s="14">
        <f>INDEX(属性投放!$DG$6:$DG$85,(卡牌属性!AG147-2)*20+卡牌属性!AN147)</f>
        <v>45</v>
      </c>
      <c r="AU147" s="14">
        <f t="shared" si="384"/>
        <v>45</v>
      </c>
      <c r="AV147" s="14">
        <f t="shared" si="384"/>
        <v>45</v>
      </c>
      <c r="AW147" s="14">
        <f t="shared" si="384"/>
        <v>45</v>
      </c>
      <c r="AX147" s="14">
        <f t="shared" si="384"/>
        <v>45</v>
      </c>
      <c r="AY147" s="14">
        <f>INDEX(属性投放!$DH$6:$DH$85,(卡牌属性!AG147-2)*20+卡牌属性!AN147)</f>
        <v>784</v>
      </c>
      <c r="AZ147" s="14">
        <f t="shared" si="385"/>
        <v>784</v>
      </c>
      <c r="BA147" s="14">
        <f t="shared" si="385"/>
        <v>784</v>
      </c>
      <c r="BB147" s="14">
        <f t="shared" si="385"/>
        <v>784</v>
      </c>
      <c r="BC147" s="14">
        <f t="shared" si="385"/>
        <v>784</v>
      </c>
      <c r="BD147" s="14">
        <f>INDEX(属性投放!$DL$6:$DL$85,(卡牌属性!AG147-2)*20+卡牌属性!AN147)</f>
        <v>12</v>
      </c>
      <c r="BE147" s="14">
        <f t="shared" si="386"/>
        <v>12</v>
      </c>
      <c r="BF147" s="14">
        <f t="shared" si="386"/>
        <v>12</v>
      </c>
      <c r="BG147" s="14">
        <f t="shared" si="386"/>
        <v>12</v>
      </c>
      <c r="BH147" s="14">
        <f t="shared" si="386"/>
        <v>12</v>
      </c>
      <c r="BI147" s="14">
        <f>INDEX(属性投放!$DM$6:$DM$85,(卡牌属性!AG147-2)*20+卡牌属性!AN147)</f>
        <v>6</v>
      </c>
      <c r="BJ147" s="14">
        <f t="shared" si="387"/>
        <v>6</v>
      </c>
      <c r="BK147" s="14">
        <f t="shared" si="387"/>
        <v>6</v>
      </c>
      <c r="BL147" s="14">
        <f t="shared" si="387"/>
        <v>6</v>
      </c>
      <c r="BM147" s="14">
        <f t="shared" si="387"/>
        <v>6</v>
      </c>
      <c r="BN147" s="14">
        <f>INDEX(属性投放!$DN$6:$DN$85,(卡牌属性!AG147-2)*20+卡牌属性!AN147)</f>
        <v>70</v>
      </c>
      <c r="BO147" s="14">
        <f t="shared" si="388"/>
        <v>70</v>
      </c>
      <c r="BP147" s="14">
        <f t="shared" si="388"/>
        <v>70</v>
      </c>
      <c r="BQ147" s="14">
        <f t="shared" si="388"/>
        <v>70</v>
      </c>
      <c r="BR147" s="14">
        <f t="shared" si="388"/>
        <v>70</v>
      </c>
      <c r="BW147" s="13">
        <v>143</v>
      </c>
      <c r="BX147" s="13">
        <f t="shared" si="320"/>
        <v>8</v>
      </c>
      <c r="BY147" s="14">
        <f t="shared" si="321"/>
        <v>4</v>
      </c>
      <c r="BZ147" s="14">
        <f t="shared" si="332"/>
        <v>1102008</v>
      </c>
      <c r="CA147" s="14" t="str">
        <f t="shared" si="333"/>
        <v>夏侯渊3突</v>
      </c>
      <c r="CB147" s="25" t="s">
        <v>142</v>
      </c>
      <c r="CC147" s="14">
        <v>2</v>
      </c>
      <c r="CD147" s="14">
        <f t="shared" si="322"/>
        <v>3</v>
      </c>
      <c r="CE147" s="14" t="s">
        <v>21</v>
      </c>
      <c r="CF147" s="14">
        <f>INDEX(属性投放!$AZ$6:$AZ$85,(BY147-2)*20+CD147)</f>
        <v>558</v>
      </c>
      <c r="CG147" s="14" t="s">
        <v>22</v>
      </c>
      <c r="CH147" s="14">
        <f>INDEX(属性投放!$BA$6:$BA$85,(BY147-2)*20+CD147)</f>
        <v>210</v>
      </c>
      <c r="CI147" s="14" t="s">
        <v>510</v>
      </c>
      <c r="CJ147" s="14">
        <f>INDEX(属性投放!$BB$6:$BB$85,(BY147-2)*20+CD147)</f>
        <v>2948</v>
      </c>
      <c r="CK147" s="14" t="s">
        <v>21</v>
      </c>
      <c r="CL147" s="14">
        <f>INDEX(属性投放!$BC$6:$BC$85,(BY147-2)*20+CD147)</f>
        <v>15</v>
      </c>
      <c r="CM147" s="14" t="s">
        <v>22</v>
      </c>
      <c r="CN147" s="14">
        <f>INDEX(属性投放!$BD$6:$BD$85,(BY147-2)*20+CD147)</f>
        <v>8</v>
      </c>
      <c r="CO147" s="14" t="s">
        <v>510</v>
      </c>
      <c r="CP147" s="14">
        <f>INDEX(属性投放!$BE$6:$BE$85,(BY147-2)*20+CD147)</f>
        <v>90</v>
      </c>
      <c r="CS147" s="13">
        <v>143</v>
      </c>
      <c r="CT147" s="13">
        <f t="shared" si="334"/>
        <v>3</v>
      </c>
      <c r="CU147" s="13">
        <f t="shared" si="335"/>
        <v>39</v>
      </c>
      <c r="CV147" s="14">
        <f t="shared" si="336"/>
        <v>4</v>
      </c>
      <c r="CW147" s="14">
        <f t="shared" si="337"/>
        <v>1102003</v>
      </c>
      <c r="CX147" s="14" t="str">
        <f>INDEX($O$6:$O$50,CT147)&amp;"-"&amp;INDEX(属性投放!$AB$7:$AB$50,CZ147)&amp;"-魂火-"&amp;DB147</f>
        <v>典韦-大焦热-魂火-3</v>
      </c>
      <c r="CY147" s="25" t="s">
        <v>142</v>
      </c>
      <c r="CZ147" s="14">
        <f>INDEX(属性投放!$AM$7:$AM$58,CU147)</f>
        <v>16</v>
      </c>
      <c r="DA147" s="14" t="s">
        <v>537</v>
      </c>
      <c r="DB147" s="14">
        <f>INDEX(属性投放!$AN$7:$AN$58,CU147)</f>
        <v>3</v>
      </c>
      <c r="DC147" s="14">
        <f t="shared" si="323"/>
        <v>39</v>
      </c>
      <c r="DD147" s="14">
        <f>INDEX(属性投放!$AO$7:$AO$58,DC147)</f>
        <v>115</v>
      </c>
      <c r="DE147" s="14" t="s">
        <v>538</v>
      </c>
      <c r="DF147" s="14">
        <f>INDEX(属性投放!$BK$6:$BK$85,(CV147-2)*20+CZ147)</f>
        <v>520</v>
      </c>
      <c r="DG147" s="14">
        <f>SUMIFS(DF$5:DF147,$CT$5:$CT147,"="&amp;$CT147)</f>
        <v>7435</v>
      </c>
      <c r="DH147" s="14" t="s">
        <v>539</v>
      </c>
      <c r="DI147" s="14">
        <f>INDEX(属性投放!$BL$6:$BL$85,(CV147-2)*20+CZ147)</f>
        <v>260</v>
      </c>
      <c r="DJ147" s="14">
        <f>SUMIFS(DI$5:DI147,$CT$5:$CT147,"="&amp;$CT147)</f>
        <v>3727</v>
      </c>
      <c r="DK147" s="14" t="s">
        <v>540</v>
      </c>
      <c r="DL147" s="14">
        <f>INDEX(属性投放!$BM$6:$BM$85,(CV147-2)*20+CZ147)</f>
        <v>5200</v>
      </c>
      <c r="DM147" s="14">
        <f>SUMIFS(DL$5:DL147,$CT$5:$CT147,"="&amp;$CT147)</f>
        <v>69785</v>
      </c>
      <c r="DR147" s="14">
        <f t="shared" si="324"/>
        <v>1102008</v>
      </c>
      <c r="DS147" s="14" t="str">
        <f t="shared" si="325"/>
        <v>夏侯渊3突</v>
      </c>
      <c r="DT147" s="14">
        <f t="shared" si="338"/>
        <v>7</v>
      </c>
      <c r="DU147" s="14">
        <f t="shared" si="339"/>
        <v>5</v>
      </c>
      <c r="DV147" s="14">
        <f t="shared" si="340"/>
        <v>9</v>
      </c>
      <c r="DW147" s="14">
        <f t="shared" si="326"/>
        <v>4</v>
      </c>
      <c r="DX147" s="14">
        <f t="shared" si="327"/>
        <v>3</v>
      </c>
      <c r="DY147" s="14">
        <f t="shared" si="328"/>
        <v>43</v>
      </c>
      <c r="DZ147" s="14">
        <f>INDEX(属性投放!$AX$6:$AX$85,(卡牌属性!DW147-2)*20+卡牌属性!DX147)</f>
        <v>10</v>
      </c>
      <c r="EA147" s="14">
        <f>INDEX(属性投放!BQ$6:BQ$85,卡牌属性!$DY147)</f>
        <v>80</v>
      </c>
      <c r="EB147" s="14">
        <f>INDEX(属性投放!BR$6:BR$85,卡牌属性!$DY147)</f>
        <v>40</v>
      </c>
      <c r="EC147" s="14">
        <f>INDEX(属性投放!BS$6:BS$85,卡牌属性!$DY147)</f>
        <v>480</v>
      </c>
      <c r="ED147" s="14">
        <f t="shared" si="389"/>
        <v>473</v>
      </c>
      <c r="EE147" s="14">
        <f t="shared" si="390"/>
        <v>547</v>
      </c>
      <c r="EF147" s="14">
        <f t="shared" si="391"/>
        <v>635</v>
      </c>
      <c r="EG147" s="14">
        <f t="shared" si="392"/>
        <v>635</v>
      </c>
      <c r="EH147" s="14">
        <f t="shared" si="393"/>
        <v>755</v>
      </c>
      <c r="EI147" s="14">
        <f t="shared" si="394"/>
        <v>134</v>
      </c>
      <c r="EJ147" s="14">
        <f t="shared" si="395"/>
        <v>158</v>
      </c>
      <c r="EK147" s="14">
        <f t="shared" si="396"/>
        <v>158</v>
      </c>
      <c r="EL147" s="14">
        <f t="shared" si="397"/>
        <v>192</v>
      </c>
      <c r="EM147" s="14">
        <f t="shared" si="398"/>
        <v>231</v>
      </c>
      <c r="EN147" s="14">
        <f t="shared" si="399"/>
        <v>3210</v>
      </c>
      <c r="EO147" s="14">
        <f t="shared" si="400"/>
        <v>3930</v>
      </c>
      <c r="EP147" s="14">
        <f t="shared" si="401"/>
        <v>3930</v>
      </c>
      <c r="EQ147" s="14">
        <f t="shared" si="402"/>
        <v>4850</v>
      </c>
      <c r="ER147" s="14">
        <f t="shared" si="403"/>
        <v>6070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120</v>
      </c>
      <c r="FD147" s="14">
        <f>INDEX(属性偏向!$U$4:$U$243,(卡牌属性!$DV147-1+FD$3)*20+卡牌属性!$DX147)</f>
        <v>150</v>
      </c>
      <c r="FE147" s="14">
        <f>INDEX(属性偏向!$U$4:$U$243,(卡牌属性!$DV147-1+FE$3)*20+卡牌属性!$DX147)</f>
        <v>150</v>
      </c>
      <c r="FF147" s="14">
        <f>INDEX(属性偏向!$U$4:$U$243,(卡牌属性!$DV147-1+FF$3)*20+卡牌属性!$DX147)</f>
        <v>180</v>
      </c>
      <c r="FG147" s="14">
        <f>INDEX(属性偏向!$U$4:$U$243,(卡牌属性!$DV147-1+FG$3)*20+卡牌属性!$DX147)</f>
        <v>240</v>
      </c>
      <c r="FH147" s="14">
        <f>INDEX(属性投放!$BQ$6:$BQ$85,(卡牌属性!$DW147-2)*20+卡牌属性!$DX147)</f>
        <v>80</v>
      </c>
      <c r="FI147" s="14">
        <f>INDEX(属性投放!$BQ$6:$BQ$85,(卡牌属性!$DW147-2)*20+卡牌属性!$DX147)</f>
        <v>80</v>
      </c>
      <c r="FJ147" s="14">
        <f>INDEX(属性投放!$BQ$6:$BQ$85,(卡牌属性!$DW147-2)*20+卡牌属性!$DX147)</f>
        <v>80</v>
      </c>
      <c r="FK147" s="14">
        <f>INDEX(属性投放!$BQ$6:$BQ$85,(卡牌属性!$DW147-2)*20+卡牌属性!$DX147)</f>
        <v>80</v>
      </c>
      <c r="FL147" s="14">
        <f>INDEX(属性投放!$BQ$6:$BQ$85,(卡牌属性!$DW147-2)*20+卡牌属性!$DX147)</f>
        <v>80</v>
      </c>
      <c r="FM147" s="14">
        <f>INDEX(属性投放!$BR$6:$BR$85,(卡牌属性!$DW147-2)*20+卡牌属性!$DX147)</f>
        <v>40</v>
      </c>
      <c r="FN147" s="14">
        <f>INDEX(属性投放!$BR$6:$BR$85,(卡牌属性!$DW147-2)*20+卡牌属性!$DX147)</f>
        <v>40</v>
      </c>
      <c r="FO147" s="14">
        <f>INDEX(属性投放!$BR$6:$BR$85,(卡牌属性!$DW147-2)*20+卡牌属性!$DX147)</f>
        <v>40</v>
      </c>
      <c r="FP147" s="14">
        <f>INDEX(属性投放!$BR$6:$BR$85,(卡牌属性!$DW147-2)*20+卡牌属性!$DX147)</f>
        <v>40</v>
      </c>
      <c r="FQ147" s="14">
        <f>INDEX(属性投放!$BR$6:$BR$85,(卡牌属性!$DW147-2)*20+卡牌属性!$DX147)</f>
        <v>40</v>
      </c>
      <c r="FR147" s="14">
        <f>INDEX(属性投放!$BS$6:$BS$85,(卡牌属性!$DW147-2)*20+卡牌属性!$DX147)</f>
        <v>480</v>
      </c>
      <c r="FS147" s="14">
        <f>INDEX(属性投放!$BS$6:$BS$85,(卡牌属性!$DW147-2)*20+卡牌属性!$DX147)</f>
        <v>480</v>
      </c>
      <c r="FT147" s="14">
        <f>INDEX(属性投放!$BS$6:$BS$85,(卡牌属性!$DW147-2)*20+卡牌属性!$DX147)</f>
        <v>480</v>
      </c>
      <c r="FU147" s="14">
        <f>INDEX(属性投放!$BS$6:$BS$85,(卡牌属性!$DW147-2)*20+卡牌属性!$DX147)</f>
        <v>480</v>
      </c>
      <c r="FV147" s="14">
        <f>INDEX(属性投放!$BS$6:$BS$85,(卡牌属性!$DW147-2)*20+卡牌属性!$DX147)</f>
        <v>480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MATCH(HC147,属性投放!$AO$6:$AO$58,1)-1</f>
        <v>50</v>
      </c>
      <c r="HF147" s="13">
        <f>MATCH(HC147-1,属性投放!$AE$6:$AE$26,1)</f>
        <v>20</v>
      </c>
      <c r="HG147" s="13" t="str">
        <f>INDEX(属性投放!$AB$7:$AB$26,卡牌属性!HF147)</f>
        <v>无间+1</v>
      </c>
      <c r="HH147" s="14">
        <f t="shared" si="342"/>
        <v>13193</v>
      </c>
      <c r="HI147" s="14">
        <f t="shared" si="343"/>
        <v>5838</v>
      </c>
      <c r="HJ147" s="14">
        <f t="shared" si="344"/>
        <v>109184</v>
      </c>
      <c r="HK147" s="14">
        <f t="shared" si="345"/>
        <v>75</v>
      </c>
      <c r="HL147" s="14">
        <f t="shared" si="346"/>
        <v>23</v>
      </c>
      <c r="HM147" s="14">
        <f t="shared" si="347"/>
        <v>450</v>
      </c>
      <c r="HN147" s="14">
        <f>HH147+HK147*($HC147-INDEX(属性投放!$AE$6:$AE$26,卡牌属性!$HF147))</f>
        <v>13418</v>
      </c>
      <c r="HO147" s="14">
        <f>HI147+HL147*($HC147-INDEX(属性投放!$AE$6:$AE$26,卡牌属性!$HF147))</f>
        <v>5907</v>
      </c>
      <c r="HP147" s="14">
        <f>HJ147+HM147*($HC147-INDEX(属性投放!$AE$6:$AE$26,卡牌属性!$HF147))</f>
        <v>110534</v>
      </c>
      <c r="HQ147" s="14">
        <f t="shared" si="348"/>
        <v>16335</v>
      </c>
      <c r="HR147" s="14">
        <f t="shared" si="349"/>
        <v>8177</v>
      </c>
      <c r="HS147" s="14">
        <f t="shared" si="350"/>
        <v>158785</v>
      </c>
      <c r="HT147" s="14">
        <f>IF(COUNTIF(属性投放!$AO$7:$AO$58,"="&amp;卡牌属性!HC147)&gt;0,卡牌属性!HE147,0)</f>
        <v>50</v>
      </c>
      <c r="HU147" s="14">
        <f t="shared" si="351"/>
        <v>1000</v>
      </c>
      <c r="HV147" s="14">
        <f t="shared" si="352"/>
        <v>500</v>
      </c>
      <c r="HW147" s="14">
        <f t="shared" si="353"/>
        <v>10000</v>
      </c>
      <c r="HX147" s="14">
        <f>IF(COUNTIF(属性投放!$AE$6:$AE$26,"="&amp;卡牌属性!HC147)&gt;0,卡牌属性!HF147,0)</f>
        <v>0</v>
      </c>
      <c r="HY147" s="14">
        <f t="shared" si="354"/>
        <v>0</v>
      </c>
      <c r="HZ147" s="14">
        <f t="shared" si="355"/>
        <v>0</v>
      </c>
      <c r="IA147" s="14">
        <f t="shared" si="356"/>
        <v>0</v>
      </c>
      <c r="IB147" s="14">
        <f t="shared" si="357"/>
        <v>75</v>
      </c>
      <c r="IC147" s="14">
        <f t="shared" si="358"/>
        <v>23</v>
      </c>
      <c r="ID147" s="14">
        <f t="shared" si="359"/>
        <v>450</v>
      </c>
      <c r="IE147" s="14">
        <f t="shared" si="360"/>
        <v>29753</v>
      </c>
      <c r="IF147" s="14">
        <f t="shared" si="361"/>
        <v>14084</v>
      </c>
      <c r="IG147" s="14">
        <f t="shared" si="362"/>
        <v>269319</v>
      </c>
      <c r="IH147" s="14">
        <f t="shared" si="363"/>
        <v>1660</v>
      </c>
      <c r="II147" s="14">
        <f t="shared" si="364"/>
        <v>30000</v>
      </c>
      <c r="IJ147" s="14">
        <f t="shared" si="365"/>
        <v>0</v>
      </c>
      <c r="IK147" s="14">
        <f t="shared" si="366"/>
        <v>848529</v>
      </c>
      <c r="IL147" s="17">
        <f t="shared" si="367"/>
        <v>1.9563267725675845E-3</v>
      </c>
      <c r="IM147" s="17">
        <f t="shared" si="368"/>
        <v>3.5355303118691291E-2</v>
      </c>
      <c r="IN147" s="17">
        <f t="shared" si="369"/>
        <v>0</v>
      </c>
      <c r="IO147" s="23">
        <f>SUM(IH$5:IH147)</f>
        <v>109044</v>
      </c>
      <c r="IP147" s="14">
        <f>SUM(II$5:II147)</f>
        <v>485675</v>
      </c>
      <c r="IQ147" s="14">
        <f>SUM(IJ$5:IJ147)</f>
        <v>205640</v>
      </c>
      <c r="IR147" s="17">
        <f t="shared" si="370"/>
        <v>0.1285094557758191</v>
      </c>
      <c r="IS147" s="17">
        <f t="shared" si="371"/>
        <v>0.57237289473901309</v>
      </c>
      <c r="IT147" s="17">
        <f t="shared" si="372"/>
        <v>0.24234881777758921</v>
      </c>
      <c r="IW147" s="13">
        <v>143</v>
      </c>
      <c r="IX147" s="14">
        <f>MATCH(IW147-1,属性投放!$T$6:$T$66,1)</f>
        <v>51</v>
      </c>
      <c r="IY147" s="14">
        <f>MATCH(IW147-1,属性投放!$AD$7:$AD$26,1)</f>
        <v>19</v>
      </c>
      <c r="IZ147" s="14" t="str">
        <f>INDEX(属性投放!$AB$7:$AB$26,IY147)</f>
        <v>无间</v>
      </c>
      <c r="JA147" s="14">
        <f t="shared" si="373"/>
        <v>17934</v>
      </c>
      <c r="JB147" s="14">
        <f t="shared" si="374"/>
        <v>8921</v>
      </c>
      <c r="JC147" s="14">
        <f t="shared" si="375"/>
        <v>171016</v>
      </c>
      <c r="JD147" s="14">
        <f t="shared" si="376"/>
        <v>462</v>
      </c>
      <c r="JE147" s="14">
        <f t="shared" si="377"/>
        <v>231</v>
      </c>
      <c r="JF147" s="14">
        <f t="shared" si="378"/>
        <v>4620</v>
      </c>
      <c r="JG147" s="14">
        <f>INDEX(属性投放!$DC$6:$DC$85,卡牌属性!IY147)</f>
        <v>135</v>
      </c>
      <c r="JH147" s="14">
        <f t="shared" si="379"/>
        <v>21630</v>
      </c>
      <c r="JI147" s="14">
        <f t="shared" si="380"/>
        <v>10769</v>
      </c>
      <c r="JJ147" s="14">
        <f t="shared" si="381"/>
        <v>207976</v>
      </c>
      <c r="JK147" s="14">
        <f t="shared" si="382"/>
        <v>423816</v>
      </c>
    </row>
    <row r="148" spans="31:271" ht="16.5" x14ac:dyDescent="0.2">
      <c r="AE148" s="13">
        <v>144</v>
      </c>
      <c r="AF148" s="13">
        <f t="shared" si="331"/>
        <v>8</v>
      </c>
      <c r="AG148" s="13">
        <f t="shared" si="316"/>
        <v>2</v>
      </c>
      <c r="AH148" s="13"/>
      <c r="AI148" s="13"/>
      <c r="AJ148" s="14">
        <f t="shared" si="317"/>
        <v>1101008</v>
      </c>
      <c r="AK148" s="14" t="str">
        <f t="shared" si="318"/>
        <v>黑尔·坎普4突</v>
      </c>
      <c r="AL148" s="25" t="s">
        <v>142</v>
      </c>
      <c r="AM148" s="14">
        <v>1</v>
      </c>
      <c r="AN148" s="14">
        <f t="shared" si="319"/>
        <v>4</v>
      </c>
      <c r="AO148" s="14">
        <f>INDEX(属性投放!$DF$6:$DF$85,(卡牌属性!AG148-2)*20+卡牌属性!AN148)</f>
        <v>338</v>
      </c>
      <c r="AP148" s="14">
        <f t="shared" si="383"/>
        <v>338</v>
      </c>
      <c r="AQ148" s="14">
        <f t="shared" si="383"/>
        <v>338</v>
      </c>
      <c r="AR148" s="14">
        <f t="shared" si="383"/>
        <v>338</v>
      </c>
      <c r="AS148" s="14">
        <f t="shared" si="383"/>
        <v>338</v>
      </c>
      <c r="AT148" s="14">
        <f>INDEX(属性投放!$DG$6:$DG$85,(卡牌属性!AG148-2)*20+卡牌属性!AN148)</f>
        <v>120</v>
      </c>
      <c r="AU148" s="14">
        <f t="shared" si="384"/>
        <v>120</v>
      </c>
      <c r="AV148" s="14">
        <f t="shared" si="384"/>
        <v>120</v>
      </c>
      <c r="AW148" s="14">
        <f t="shared" si="384"/>
        <v>120</v>
      </c>
      <c r="AX148" s="14">
        <f t="shared" si="384"/>
        <v>120</v>
      </c>
      <c r="AY148" s="14">
        <f>INDEX(属性投放!$DH$6:$DH$85,(卡牌属性!AG148-2)*20+卡牌属性!AN148)</f>
        <v>1658</v>
      </c>
      <c r="AZ148" s="14">
        <f t="shared" si="385"/>
        <v>1658</v>
      </c>
      <c r="BA148" s="14">
        <f t="shared" si="385"/>
        <v>1658</v>
      </c>
      <c r="BB148" s="14">
        <f t="shared" si="385"/>
        <v>1658</v>
      </c>
      <c r="BC148" s="14">
        <f t="shared" si="385"/>
        <v>1658</v>
      </c>
      <c r="BD148" s="14">
        <f>INDEX(属性投放!$DL$6:$DL$85,(卡牌属性!AG148-2)*20+卡牌属性!AN148)</f>
        <v>22</v>
      </c>
      <c r="BE148" s="14">
        <f t="shared" si="386"/>
        <v>22</v>
      </c>
      <c r="BF148" s="14">
        <f t="shared" si="386"/>
        <v>22</v>
      </c>
      <c r="BG148" s="14">
        <f t="shared" si="386"/>
        <v>22</v>
      </c>
      <c r="BH148" s="14">
        <f t="shared" si="386"/>
        <v>22</v>
      </c>
      <c r="BI148" s="14">
        <f>INDEX(属性投放!$DM$6:$DM$85,(卡牌属性!AG148-2)*20+卡牌属性!AN148)</f>
        <v>11</v>
      </c>
      <c r="BJ148" s="14">
        <f t="shared" si="387"/>
        <v>11</v>
      </c>
      <c r="BK148" s="14">
        <f t="shared" si="387"/>
        <v>11</v>
      </c>
      <c r="BL148" s="14">
        <f t="shared" si="387"/>
        <v>11</v>
      </c>
      <c r="BM148" s="14">
        <f t="shared" si="387"/>
        <v>11</v>
      </c>
      <c r="BN148" s="14">
        <f>INDEX(属性投放!$DN$6:$DN$85,(卡牌属性!AG148-2)*20+卡牌属性!AN148)</f>
        <v>153</v>
      </c>
      <c r="BO148" s="14">
        <f t="shared" si="388"/>
        <v>153</v>
      </c>
      <c r="BP148" s="14">
        <f t="shared" si="388"/>
        <v>153</v>
      </c>
      <c r="BQ148" s="14">
        <f t="shared" si="388"/>
        <v>153</v>
      </c>
      <c r="BR148" s="14">
        <f t="shared" si="388"/>
        <v>153</v>
      </c>
      <c r="BW148" s="13">
        <v>144</v>
      </c>
      <c r="BX148" s="13">
        <f t="shared" si="320"/>
        <v>8</v>
      </c>
      <c r="BY148" s="14">
        <f t="shared" si="321"/>
        <v>4</v>
      </c>
      <c r="BZ148" s="14">
        <f t="shared" si="332"/>
        <v>1102008</v>
      </c>
      <c r="CA148" s="14" t="str">
        <f t="shared" si="333"/>
        <v>夏侯渊4突</v>
      </c>
      <c r="CB148" s="25" t="s">
        <v>142</v>
      </c>
      <c r="CC148" s="14">
        <v>2</v>
      </c>
      <c r="CD148" s="14">
        <f t="shared" si="322"/>
        <v>4</v>
      </c>
      <c r="CE148" s="14" t="s">
        <v>21</v>
      </c>
      <c r="CF148" s="14">
        <f>INDEX(属性投放!$AZ$6:$AZ$85,(BY148-2)*20+CD148)</f>
        <v>858</v>
      </c>
      <c r="CG148" s="14" t="s">
        <v>22</v>
      </c>
      <c r="CH148" s="14">
        <f>INDEX(属性投放!$BA$6:$BA$85,(BY148-2)*20+CD148)</f>
        <v>366</v>
      </c>
      <c r="CI148" s="14" t="s">
        <v>510</v>
      </c>
      <c r="CJ148" s="14">
        <f>INDEX(属性投放!$BB$6:$BB$85,(BY148-2)*20+CD148)</f>
        <v>4748</v>
      </c>
      <c r="CK148" s="14" t="s">
        <v>21</v>
      </c>
      <c r="CL148" s="14">
        <f>INDEX(属性投放!$BC$6:$BC$85,(BY148-2)*20+CD148)</f>
        <v>20</v>
      </c>
      <c r="CM148" s="14" t="s">
        <v>22</v>
      </c>
      <c r="CN148" s="14">
        <f>INDEX(属性投放!$BD$6:$BD$85,(BY148-2)*20+CD148)</f>
        <v>10</v>
      </c>
      <c r="CO148" s="14" t="s">
        <v>510</v>
      </c>
      <c r="CP148" s="14">
        <f>INDEX(属性投放!$BE$6:$BE$85,(BY148-2)*20+CD148)</f>
        <v>140</v>
      </c>
      <c r="CS148" s="13">
        <v>144</v>
      </c>
      <c r="CT148" s="13">
        <f t="shared" si="334"/>
        <v>3</v>
      </c>
      <c r="CU148" s="13">
        <f t="shared" si="335"/>
        <v>40</v>
      </c>
      <c r="CV148" s="14">
        <f t="shared" si="336"/>
        <v>4</v>
      </c>
      <c r="CW148" s="14">
        <f t="shared" si="337"/>
        <v>1102003</v>
      </c>
      <c r="CX148" s="14" t="str">
        <f>INDEX($O$6:$O$50,CT148)&amp;"-"&amp;INDEX(属性投放!$AB$7:$AB$50,CZ148)&amp;"-魂火-"&amp;DB148</f>
        <v>典韦-大焦热+1-魂火-1</v>
      </c>
      <c r="CY148" s="25" t="s">
        <v>142</v>
      </c>
      <c r="CZ148" s="14">
        <f>INDEX(属性投放!$AM$7:$AM$58,CU148)</f>
        <v>17</v>
      </c>
      <c r="DA148" s="14" t="s">
        <v>537</v>
      </c>
      <c r="DB148" s="14">
        <f>INDEX(属性投放!$AN$7:$AN$58,CU148)</f>
        <v>1</v>
      </c>
      <c r="DC148" s="14">
        <f t="shared" si="323"/>
        <v>40</v>
      </c>
      <c r="DD148" s="14">
        <f>INDEX(属性投放!$AO$7:$AO$58,DC148)</f>
        <v>118</v>
      </c>
      <c r="DE148" s="14" t="s">
        <v>538</v>
      </c>
      <c r="DF148" s="14">
        <f>INDEX(属性投放!$BK$6:$BK$85,(CV148-2)*20+CZ148)</f>
        <v>650</v>
      </c>
      <c r="DG148" s="14">
        <f>SUMIFS(DF$5:DF148,$CT$5:$CT148,"="&amp;$CT148)</f>
        <v>8085</v>
      </c>
      <c r="DH148" s="14" t="s">
        <v>539</v>
      </c>
      <c r="DI148" s="14">
        <f>INDEX(属性投放!$BL$6:$BL$85,(CV148-2)*20+CZ148)</f>
        <v>325</v>
      </c>
      <c r="DJ148" s="14">
        <f>SUMIFS(DI$5:DI148,$CT$5:$CT148,"="&amp;$CT148)</f>
        <v>4052</v>
      </c>
      <c r="DK148" s="14" t="s">
        <v>540</v>
      </c>
      <c r="DL148" s="14">
        <f>INDEX(属性投放!$BM$6:$BM$85,(CV148-2)*20+CZ148)</f>
        <v>6500</v>
      </c>
      <c r="DM148" s="14">
        <f>SUMIFS(DL$5:DL148,$CT$5:$CT148,"="&amp;$CT148)</f>
        <v>76285</v>
      </c>
      <c r="DR148" s="14">
        <f t="shared" si="324"/>
        <v>1102008</v>
      </c>
      <c r="DS148" s="14" t="str">
        <f t="shared" si="325"/>
        <v>夏侯渊4突</v>
      </c>
      <c r="DT148" s="14">
        <f t="shared" si="338"/>
        <v>7</v>
      </c>
      <c r="DU148" s="14">
        <f t="shared" si="339"/>
        <v>5</v>
      </c>
      <c r="DV148" s="14">
        <f t="shared" si="340"/>
        <v>9</v>
      </c>
      <c r="DW148" s="14">
        <f t="shared" si="326"/>
        <v>4</v>
      </c>
      <c r="DX148" s="14">
        <f t="shared" si="327"/>
        <v>4</v>
      </c>
      <c r="DY148" s="14">
        <f t="shared" si="328"/>
        <v>44</v>
      </c>
      <c r="DZ148" s="14">
        <f>INDEX(属性投放!$AX$6:$AX$85,(卡牌属性!DW148-2)*20+卡牌属性!DX148)</f>
        <v>10</v>
      </c>
      <c r="EA148" s="14">
        <f>INDEX(属性投放!BQ$6:BQ$85,卡牌属性!$DY148)</f>
        <v>100</v>
      </c>
      <c r="EB148" s="14">
        <f>INDEX(属性投放!BR$6:BR$85,卡牌属性!$DY148)</f>
        <v>50</v>
      </c>
      <c r="EC148" s="14">
        <f>INDEX(属性投放!BS$6:BS$85,卡牌属性!$DY148)</f>
        <v>700</v>
      </c>
      <c r="ED148" s="14">
        <f t="shared" si="389"/>
        <v>703</v>
      </c>
      <c r="EE148" s="14">
        <f t="shared" si="390"/>
        <v>797</v>
      </c>
      <c r="EF148" s="14">
        <f t="shared" si="391"/>
        <v>915</v>
      </c>
      <c r="EG148" s="14">
        <f t="shared" si="392"/>
        <v>915</v>
      </c>
      <c r="EH148" s="14">
        <f t="shared" si="393"/>
        <v>1085</v>
      </c>
      <c r="EI148" s="14">
        <f t="shared" si="394"/>
        <v>224</v>
      </c>
      <c r="EJ148" s="14">
        <f t="shared" si="395"/>
        <v>258</v>
      </c>
      <c r="EK148" s="14">
        <f t="shared" si="396"/>
        <v>258</v>
      </c>
      <c r="EL148" s="14">
        <f t="shared" si="397"/>
        <v>312</v>
      </c>
      <c r="EM148" s="14">
        <f t="shared" si="398"/>
        <v>361</v>
      </c>
      <c r="EN148" s="14">
        <f t="shared" si="399"/>
        <v>4890</v>
      </c>
      <c r="EO148" s="14">
        <f t="shared" si="400"/>
        <v>5910</v>
      </c>
      <c r="EP148" s="14">
        <f t="shared" si="401"/>
        <v>5910</v>
      </c>
      <c r="EQ148" s="14">
        <f t="shared" si="402"/>
        <v>7130</v>
      </c>
      <c r="ER148" s="14">
        <f t="shared" si="403"/>
        <v>8950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175</v>
      </c>
      <c r="FD148" s="14">
        <f>INDEX(属性偏向!$U$4:$U$243,(卡牌属性!$DV148-1+FD$3)*20+卡牌属性!$DX148)</f>
        <v>210</v>
      </c>
      <c r="FE148" s="14">
        <f>INDEX(属性偏向!$U$4:$U$243,(卡牌属性!$DV148-1+FE$3)*20+卡牌属性!$DX148)</f>
        <v>210</v>
      </c>
      <c r="FF148" s="14">
        <f>INDEX(属性偏向!$U$4:$U$243,(卡牌属性!$DV148-1+FF$3)*20+卡牌属性!$DX148)</f>
        <v>280</v>
      </c>
      <c r="FG148" s="14">
        <f>INDEX(属性偏向!$U$4:$U$243,(卡牌属性!$DV148-1+FG$3)*20+卡牌属性!$DX148)</f>
        <v>350</v>
      </c>
      <c r="FH148" s="14">
        <f>INDEX(属性投放!$BQ$6:$BQ$85,(卡牌属性!$DW148-2)*20+卡牌属性!$DX148)</f>
        <v>100</v>
      </c>
      <c r="FI148" s="14">
        <f>INDEX(属性投放!$BQ$6:$BQ$85,(卡牌属性!$DW148-2)*20+卡牌属性!$DX148)</f>
        <v>100</v>
      </c>
      <c r="FJ148" s="14">
        <f>INDEX(属性投放!$BQ$6:$BQ$85,(卡牌属性!$DW148-2)*20+卡牌属性!$DX148)</f>
        <v>100</v>
      </c>
      <c r="FK148" s="14">
        <f>INDEX(属性投放!$BQ$6:$BQ$85,(卡牌属性!$DW148-2)*20+卡牌属性!$DX148)</f>
        <v>100</v>
      </c>
      <c r="FL148" s="14">
        <f>INDEX(属性投放!$BQ$6:$BQ$85,(卡牌属性!$DW148-2)*20+卡牌属性!$DX148)</f>
        <v>100</v>
      </c>
      <c r="FM148" s="14">
        <f>INDEX(属性投放!$BR$6:$BR$85,(卡牌属性!$DW148-2)*20+卡牌属性!$DX148)</f>
        <v>50</v>
      </c>
      <c r="FN148" s="14">
        <f>INDEX(属性投放!$BR$6:$BR$85,(卡牌属性!$DW148-2)*20+卡牌属性!$DX148)</f>
        <v>50</v>
      </c>
      <c r="FO148" s="14">
        <f>INDEX(属性投放!$BR$6:$BR$85,(卡牌属性!$DW148-2)*20+卡牌属性!$DX148)</f>
        <v>50</v>
      </c>
      <c r="FP148" s="14">
        <f>INDEX(属性投放!$BR$6:$BR$85,(卡牌属性!$DW148-2)*20+卡牌属性!$DX148)</f>
        <v>50</v>
      </c>
      <c r="FQ148" s="14">
        <f>INDEX(属性投放!$BR$6:$BR$85,(卡牌属性!$DW148-2)*20+卡牌属性!$DX148)</f>
        <v>50</v>
      </c>
      <c r="FR148" s="14">
        <f>INDEX(属性投放!$BS$6:$BS$85,(卡牌属性!$DW148-2)*20+卡牌属性!$DX148)</f>
        <v>700</v>
      </c>
      <c r="FS148" s="14">
        <f>INDEX(属性投放!$BS$6:$BS$85,(卡牌属性!$DW148-2)*20+卡牌属性!$DX148)</f>
        <v>700</v>
      </c>
      <c r="FT148" s="14">
        <f>INDEX(属性投放!$BS$6:$BS$85,(卡牌属性!$DW148-2)*20+卡牌属性!$DX148)</f>
        <v>700</v>
      </c>
      <c r="FU148" s="14">
        <f>INDEX(属性投放!$BS$6:$BS$85,(卡牌属性!$DW148-2)*20+卡牌属性!$DX148)</f>
        <v>700</v>
      </c>
      <c r="FV148" s="14">
        <f>INDEX(属性投放!$BS$6:$BS$85,(卡牌属性!$DW148-2)*20+卡牌属性!$DX148)</f>
        <v>700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MATCH(HC148,属性投放!$AO$6:$AO$58,1)-1</f>
        <v>50</v>
      </c>
      <c r="HF148" s="13">
        <f>MATCH(HC148-1,属性投放!$AE$6:$AE$26,1)</f>
        <v>20</v>
      </c>
      <c r="HG148" s="13" t="str">
        <f>INDEX(属性投放!$AB$7:$AB$26,卡牌属性!HF148)</f>
        <v>无间+1</v>
      </c>
      <c r="HH148" s="14">
        <f t="shared" si="342"/>
        <v>13193</v>
      </c>
      <c r="HI148" s="14">
        <f t="shared" si="343"/>
        <v>5838</v>
      </c>
      <c r="HJ148" s="14">
        <f t="shared" si="344"/>
        <v>109184</v>
      </c>
      <c r="HK148" s="14">
        <f t="shared" si="345"/>
        <v>75</v>
      </c>
      <c r="HL148" s="14">
        <f t="shared" si="346"/>
        <v>23</v>
      </c>
      <c r="HM148" s="14">
        <f t="shared" si="347"/>
        <v>450</v>
      </c>
      <c r="HN148" s="14">
        <f>HH148+HK148*($HC148-INDEX(属性投放!$AE$6:$AE$26,卡牌属性!$HF148))</f>
        <v>13493</v>
      </c>
      <c r="HO148" s="14">
        <f>HI148+HL148*($HC148-INDEX(属性投放!$AE$6:$AE$26,卡牌属性!$HF148))</f>
        <v>5930</v>
      </c>
      <c r="HP148" s="14">
        <f>HJ148+HM148*($HC148-INDEX(属性投放!$AE$6:$AE$26,卡牌属性!$HF148))</f>
        <v>110984</v>
      </c>
      <c r="HQ148" s="14">
        <f t="shared" si="348"/>
        <v>16335</v>
      </c>
      <c r="HR148" s="14">
        <f t="shared" si="349"/>
        <v>8177</v>
      </c>
      <c r="HS148" s="14">
        <f t="shared" si="350"/>
        <v>158785</v>
      </c>
      <c r="HT148" s="14">
        <f>IF(COUNTIF(属性投放!$AO$7:$AO$58,"="&amp;卡牌属性!HC148)&gt;0,卡牌属性!HE148,0)</f>
        <v>0</v>
      </c>
      <c r="HU148" s="14">
        <f t="shared" si="351"/>
        <v>0</v>
      </c>
      <c r="HV148" s="14">
        <f t="shared" si="352"/>
        <v>0</v>
      </c>
      <c r="HW148" s="14">
        <f t="shared" si="353"/>
        <v>0</v>
      </c>
      <c r="HX148" s="14">
        <f>IF(COUNTIF(属性投放!$AE$6:$AE$26,"="&amp;卡牌属性!HC148)&gt;0,卡牌属性!HF148,0)</f>
        <v>0</v>
      </c>
      <c r="HY148" s="14">
        <f t="shared" si="354"/>
        <v>0</v>
      </c>
      <c r="HZ148" s="14">
        <f t="shared" si="355"/>
        <v>0</v>
      </c>
      <c r="IA148" s="14">
        <f t="shared" si="356"/>
        <v>0</v>
      </c>
      <c r="IB148" s="14">
        <f t="shared" si="357"/>
        <v>75</v>
      </c>
      <c r="IC148" s="14">
        <f t="shared" si="358"/>
        <v>23</v>
      </c>
      <c r="ID148" s="14">
        <f t="shared" si="359"/>
        <v>450</v>
      </c>
      <c r="IE148" s="14">
        <f t="shared" si="360"/>
        <v>29828</v>
      </c>
      <c r="IF148" s="14">
        <f t="shared" si="361"/>
        <v>14107</v>
      </c>
      <c r="IG148" s="14">
        <f t="shared" si="362"/>
        <v>269769</v>
      </c>
      <c r="IH148" s="14">
        <f t="shared" si="363"/>
        <v>1660</v>
      </c>
      <c r="II148" s="14">
        <f t="shared" si="364"/>
        <v>0</v>
      </c>
      <c r="IJ148" s="14">
        <f t="shared" si="365"/>
        <v>0</v>
      </c>
      <c r="IK148" s="14">
        <f t="shared" si="366"/>
        <v>850189</v>
      </c>
      <c r="IL148" s="17">
        <f t="shared" si="367"/>
        <v>1.9525070307896243E-3</v>
      </c>
      <c r="IM148" s="17">
        <f t="shared" si="368"/>
        <v>0</v>
      </c>
      <c r="IN148" s="17">
        <f t="shared" si="369"/>
        <v>0</v>
      </c>
      <c r="IO148" s="23">
        <f>SUM(IH$5:IH148)</f>
        <v>110704</v>
      </c>
      <c r="IP148" s="14">
        <f>SUM(II$5:II148)</f>
        <v>485675</v>
      </c>
      <c r="IQ148" s="14">
        <f>SUM(IJ$5:IJ148)</f>
        <v>205640</v>
      </c>
      <c r="IR148" s="17">
        <f t="shared" si="370"/>
        <v>0.13021104719068349</v>
      </c>
      <c r="IS148" s="17">
        <f t="shared" si="371"/>
        <v>0.5712553326378017</v>
      </c>
      <c r="IT148" s="17">
        <f t="shared" si="372"/>
        <v>0.24187563000697493</v>
      </c>
      <c r="IW148" s="13">
        <v>144</v>
      </c>
      <c r="IX148" s="14">
        <f>MATCH(IW148-1,属性投放!$T$6:$T$66,1)</f>
        <v>52</v>
      </c>
      <c r="IY148" s="14">
        <f>MATCH(IW148-1,属性投放!$AD$7:$AD$26,1)</f>
        <v>19</v>
      </c>
      <c r="IZ148" s="14" t="str">
        <f>INDEX(属性投放!$AB$7:$AB$26,IY148)</f>
        <v>无间</v>
      </c>
      <c r="JA148" s="14">
        <f t="shared" si="373"/>
        <v>17934</v>
      </c>
      <c r="JB148" s="14">
        <f t="shared" si="374"/>
        <v>8921</v>
      </c>
      <c r="JC148" s="14">
        <f t="shared" si="375"/>
        <v>171016</v>
      </c>
      <c r="JD148" s="14">
        <f t="shared" si="376"/>
        <v>462</v>
      </c>
      <c r="JE148" s="14">
        <f t="shared" si="377"/>
        <v>231</v>
      </c>
      <c r="JF148" s="14">
        <f t="shared" si="378"/>
        <v>4620</v>
      </c>
      <c r="JG148" s="14">
        <f>INDEX(属性投放!$DC$6:$DC$85,卡牌属性!IY148)</f>
        <v>135</v>
      </c>
      <c r="JH148" s="14">
        <f t="shared" si="379"/>
        <v>22092</v>
      </c>
      <c r="JI148" s="14">
        <f t="shared" si="380"/>
        <v>11000</v>
      </c>
      <c r="JJ148" s="14">
        <f t="shared" si="381"/>
        <v>212596</v>
      </c>
      <c r="JK148" s="14">
        <f t="shared" si="382"/>
        <v>433056</v>
      </c>
    </row>
    <row r="149" spans="31:271" ht="16.5" x14ac:dyDescent="0.2">
      <c r="AE149" s="13">
        <v>145</v>
      </c>
      <c r="AF149" s="13">
        <f t="shared" si="331"/>
        <v>8</v>
      </c>
      <c r="AG149" s="13">
        <f t="shared" si="316"/>
        <v>2</v>
      </c>
      <c r="AH149" s="13"/>
      <c r="AI149" s="13"/>
      <c r="AJ149" s="14">
        <f t="shared" si="317"/>
        <v>1101008</v>
      </c>
      <c r="AK149" s="14" t="str">
        <f t="shared" si="318"/>
        <v>黑尔·坎普5突</v>
      </c>
      <c r="AL149" s="25" t="s">
        <v>142</v>
      </c>
      <c r="AM149" s="14">
        <v>1</v>
      </c>
      <c r="AN149" s="14">
        <f t="shared" si="319"/>
        <v>5</v>
      </c>
      <c r="AO149" s="14">
        <f>INDEX(属性投放!$DF$6:$DF$85,(卡牌属性!AG149-2)*20+卡牌属性!AN149)</f>
        <v>401</v>
      </c>
      <c r="AP149" s="14">
        <f t="shared" si="383"/>
        <v>401</v>
      </c>
      <c r="AQ149" s="14">
        <f t="shared" si="383"/>
        <v>401</v>
      </c>
      <c r="AR149" s="14">
        <f t="shared" si="383"/>
        <v>401</v>
      </c>
      <c r="AS149" s="14">
        <f t="shared" si="383"/>
        <v>401</v>
      </c>
      <c r="AT149" s="14">
        <f>INDEX(属性投放!$DG$6:$DG$85,(卡牌属性!AG149-2)*20+卡牌属性!AN149)</f>
        <v>151</v>
      </c>
      <c r="AU149" s="14">
        <f t="shared" si="384"/>
        <v>151</v>
      </c>
      <c r="AV149" s="14">
        <f t="shared" si="384"/>
        <v>151</v>
      </c>
      <c r="AW149" s="14">
        <f t="shared" si="384"/>
        <v>151</v>
      </c>
      <c r="AX149" s="14">
        <f t="shared" si="384"/>
        <v>151</v>
      </c>
      <c r="AY149" s="14">
        <f>INDEX(属性投放!$DH$6:$DH$85,(卡牌属性!AG149-2)*20+卡牌属性!AN149)</f>
        <v>2096</v>
      </c>
      <c r="AZ149" s="14">
        <f t="shared" si="385"/>
        <v>2096</v>
      </c>
      <c r="BA149" s="14">
        <f t="shared" si="385"/>
        <v>2096</v>
      </c>
      <c r="BB149" s="14">
        <f t="shared" si="385"/>
        <v>2096</v>
      </c>
      <c r="BC149" s="14">
        <f t="shared" si="385"/>
        <v>2096</v>
      </c>
      <c r="BD149" s="14">
        <f>INDEX(属性投放!$DL$6:$DL$85,(卡牌属性!AG149-2)*20+卡牌属性!AN149)</f>
        <v>22</v>
      </c>
      <c r="BE149" s="14">
        <f t="shared" si="386"/>
        <v>22</v>
      </c>
      <c r="BF149" s="14">
        <f t="shared" si="386"/>
        <v>22</v>
      </c>
      <c r="BG149" s="14">
        <f t="shared" si="386"/>
        <v>22</v>
      </c>
      <c r="BH149" s="14">
        <f t="shared" si="386"/>
        <v>22</v>
      </c>
      <c r="BI149" s="14">
        <f>INDEX(属性投放!$DM$6:$DM$85,(卡牌属性!AG149-2)*20+卡牌属性!AN149)</f>
        <v>11</v>
      </c>
      <c r="BJ149" s="14">
        <f t="shared" si="387"/>
        <v>11</v>
      </c>
      <c r="BK149" s="14">
        <f t="shared" si="387"/>
        <v>11</v>
      </c>
      <c r="BL149" s="14">
        <f t="shared" si="387"/>
        <v>11</v>
      </c>
      <c r="BM149" s="14">
        <f t="shared" si="387"/>
        <v>11</v>
      </c>
      <c r="BN149" s="14">
        <f>INDEX(属性投放!$DN$6:$DN$85,(卡牌属性!AG149-2)*20+卡牌属性!AN149)</f>
        <v>153</v>
      </c>
      <c r="BO149" s="14">
        <f t="shared" si="388"/>
        <v>153</v>
      </c>
      <c r="BP149" s="14">
        <f t="shared" si="388"/>
        <v>153</v>
      </c>
      <c r="BQ149" s="14">
        <f t="shared" si="388"/>
        <v>153</v>
      </c>
      <c r="BR149" s="14">
        <f t="shared" si="388"/>
        <v>153</v>
      </c>
      <c r="BW149" s="13">
        <v>145</v>
      </c>
      <c r="BX149" s="13">
        <f t="shared" si="320"/>
        <v>8</v>
      </c>
      <c r="BY149" s="14">
        <f t="shared" si="321"/>
        <v>4</v>
      </c>
      <c r="BZ149" s="14">
        <f t="shared" si="332"/>
        <v>1102008</v>
      </c>
      <c r="CA149" s="14" t="str">
        <f t="shared" si="333"/>
        <v>夏侯渊5突</v>
      </c>
      <c r="CB149" s="25" t="s">
        <v>142</v>
      </c>
      <c r="CC149" s="14">
        <v>2</v>
      </c>
      <c r="CD149" s="14">
        <f t="shared" si="322"/>
        <v>5</v>
      </c>
      <c r="CE149" s="14" t="s">
        <v>21</v>
      </c>
      <c r="CF149" s="14">
        <f>INDEX(属性投放!$AZ$6:$AZ$85,(BY149-2)*20+CD149)</f>
        <v>1248</v>
      </c>
      <c r="CG149" s="14" t="s">
        <v>22</v>
      </c>
      <c r="CH149" s="14">
        <f>INDEX(属性投放!$BA$6:$BA$85,(BY149-2)*20+CD149)</f>
        <v>562</v>
      </c>
      <c r="CI149" s="14" t="s">
        <v>510</v>
      </c>
      <c r="CJ149" s="14">
        <f>INDEX(属性投放!$BB$6:$BB$85,(BY149-2)*20+CD149)</f>
        <v>7478</v>
      </c>
      <c r="CK149" s="14" t="s">
        <v>21</v>
      </c>
      <c r="CL149" s="14">
        <f>INDEX(属性投放!$BC$6:$BC$85,(BY149-2)*20+CD149)</f>
        <v>20</v>
      </c>
      <c r="CM149" s="14" t="s">
        <v>22</v>
      </c>
      <c r="CN149" s="14">
        <f>INDEX(属性投放!$BD$6:$BD$85,(BY149-2)*20+CD149)</f>
        <v>10</v>
      </c>
      <c r="CO149" s="14" t="s">
        <v>510</v>
      </c>
      <c r="CP149" s="14">
        <f>INDEX(属性投放!$BE$6:$BE$85,(BY149-2)*20+CD149)</f>
        <v>140</v>
      </c>
      <c r="CS149" s="13">
        <v>145</v>
      </c>
      <c r="CT149" s="13">
        <f t="shared" si="334"/>
        <v>3</v>
      </c>
      <c r="CU149" s="13">
        <f t="shared" si="335"/>
        <v>41</v>
      </c>
      <c r="CV149" s="14">
        <f t="shared" si="336"/>
        <v>4</v>
      </c>
      <c r="CW149" s="14">
        <f t="shared" si="337"/>
        <v>1102003</v>
      </c>
      <c r="CX149" s="14" t="str">
        <f>INDEX($O$6:$O$50,CT149)&amp;"-"&amp;INDEX(属性投放!$AB$7:$AB$50,CZ149)&amp;"-魂火-"&amp;DB149</f>
        <v>典韦-大焦热+1-魂火-2</v>
      </c>
      <c r="CY149" s="25" t="s">
        <v>142</v>
      </c>
      <c r="CZ149" s="14">
        <f>INDEX(属性投放!$AM$7:$AM$58,CU149)</f>
        <v>17</v>
      </c>
      <c r="DA149" s="14" t="s">
        <v>537</v>
      </c>
      <c r="DB149" s="14">
        <f>INDEX(属性投放!$AN$7:$AN$58,CU149)</f>
        <v>2</v>
      </c>
      <c r="DC149" s="14">
        <f t="shared" si="323"/>
        <v>41</v>
      </c>
      <c r="DD149" s="14">
        <f>INDEX(属性投放!$AO$7:$AO$58,DC149)</f>
        <v>120</v>
      </c>
      <c r="DE149" s="14" t="s">
        <v>538</v>
      </c>
      <c r="DF149" s="14">
        <f>INDEX(属性投放!$BK$6:$BK$85,(CV149-2)*20+CZ149)</f>
        <v>650</v>
      </c>
      <c r="DG149" s="14">
        <f>SUMIFS(DF$5:DF149,$CT$5:$CT149,"="&amp;$CT149)</f>
        <v>8735</v>
      </c>
      <c r="DH149" s="14" t="s">
        <v>539</v>
      </c>
      <c r="DI149" s="14">
        <f>INDEX(属性投放!$BL$6:$BL$85,(CV149-2)*20+CZ149)</f>
        <v>325</v>
      </c>
      <c r="DJ149" s="14">
        <f>SUMIFS(DI$5:DI149,$CT$5:$CT149,"="&amp;$CT149)</f>
        <v>4377</v>
      </c>
      <c r="DK149" s="14" t="s">
        <v>540</v>
      </c>
      <c r="DL149" s="14">
        <f>INDEX(属性投放!$BM$6:$BM$85,(CV149-2)*20+CZ149)</f>
        <v>6500</v>
      </c>
      <c r="DM149" s="14">
        <f>SUMIFS(DL$5:DL149,$CT$5:$CT149,"="&amp;$CT149)</f>
        <v>82785</v>
      </c>
      <c r="DR149" s="14">
        <f t="shared" si="324"/>
        <v>1102008</v>
      </c>
      <c r="DS149" s="14" t="str">
        <f t="shared" si="325"/>
        <v>夏侯渊5突</v>
      </c>
      <c r="DT149" s="14">
        <f t="shared" si="338"/>
        <v>7</v>
      </c>
      <c r="DU149" s="14">
        <f t="shared" si="339"/>
        <v>5</v>
      </c>
      <c r="DV149" s="14">
        <f t="shared" si="340"/>
        <v>9</v>
      </c>
      <c r="DW149" s="14">
        <f t="shared" si="326"/>
        <v>4</v>
      </c>
      <c r="DX149" s="14">
        <f t="shared" si="327"/>
        <v>5</v>
      </c>
      <c r="DY149" s="14">
        <f t="shared" si="328"/>
        <v>45</v>
      </c>
      <c r="DZ149" s="14">
        <f>INDEX(属性投放!$AX$6:$AX$85,(卡牌属性!DW149-2)*20+卡牌属性!DX149)</f>
        <v>7</v>
      </c>
      <c r="EA149" s="14">
        <f>INDEX(属性投放!BQ$6:BQ$85,卡牌属性!$DY149)</f>
        <v>120</v>
      </c>
      <c r="EB149" s="14">
        <f>INDEX(属性投放!BR$6:BR$85,卡牌属性!$DY149)</f>
        <v>60</v>
      </c>
      <c r="EC149" s="14">
        <f>INDEX(属性投放!BS$6:BS$85,卡牌属性!$DY149)</f>
        <v>840</v>
      </c>
      <c r="ED149" s="14">
        <f t="shared" si="389"/>
        <v>1003</v>
      </c>
      <c r="EE149" s="14">
        <f t="shared" si="390"/>
        <v>1117</v>
      </c>
      <c r="EF149" s="14">
        <f t="shared" si="391"/>
        <v>1265</v>
      </c>
      <c r="EG149" s="14">
        <f t="shared" si="392"/>
        <v>1265</v>
      </c>
      <c r="EH149" s="14">
        <f t="shared" si="393"/>
        <v>1485</v>
      </c>
      <c r="EI149" s="14">
        <f t="shared" si="394"/>
        <v>334</v>
      </c>
      <c r="EJ149" s="14">
        <f t="shared" si="395"/>
        <v>378</v>
      </c>
      <c r="EK149" s="14">
        <f t="shared" si="396"/>
        <v>378</v>
      </c>
      <c r="EL149" s="14">
        <f t="shared" si="397"/>
        <v>462</v>
      </c>
      <c r="EM149" s="14">
        <f t="shared" si="398"/>
        <v>521</v>
      </c>
      <c r="EN149" s="14">
        <f t="shared" si="399"/>
        <v>7340</v>
      </c>
      <c r="EO149" s="14">
        <f t="shared" si="400"/>
        <v>8710</v>
      </c>
      <c r="EP149" s="14">
        <f t="shared" si="401"/>
        <v>8710</v>
      </c>
      <c r="EQ149" s="14">
        <f t="shared" si="402"/>
        <v>10630</v>
      </c>
      <c r="ER149" s="14">
        <f t="shared" si="403"/>
        <v>13150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175</v>
      </c>
      <c r="FD149" s="14">
        <f>INDEX(属性偏向!$U$4:$U$243,(卡牌属性!$DV149-1+FD$3)*20+卡牌属性!$DX149)</f>
        <v>210</v>
      </c>
      <c r="FE149" s="14">
        <f>INDEX(属性偏向!$U$4:$U$243,(卡牌属性!$DV149-1+FE$3)*20+卡牌属性!$DX149)</f>
        <v>210</v>
      </c>
      <c r="FF149" s="14">
        <f>INDEX(属性偏向!$U$4:$U$243,(卡牌属性!$DV149-1+FF$3)*20+卡牌属性!$DX149)</f>
        <v>280</v>
      </c>
      <c r="FG149" s="14">
        <f>INDEX(属性偏向!$U$4:$U$243,(卡牌属性!$DV149-1+FG$3)*20+卡牌属性!$DX149)</f>
        <v>350</v>
      </c>
      <c r="FH149" s="14">
        <f>INDEX(属性投放!$BQ$6:$BQ$85,(卡牌属性!$DW149-2)*20+卡牌属性!$DX149)</f>
        <v>120</v>
      </c>
      <c r="FI149" s="14">
        <f>INDEX(属性投放!$BQ$6:$BQ$85,(卡牌属性!$DW149-2)*20+卡牌属性!$DX149)</f>
        <v>120</v>
      </c>
      <c r="FJ149" s="14">
        <f>INDEX(属性投放!$BQ$6:$BQ$85,(卡牌属性!$DW149-2)*20+卡牌属性!$DX149)</f>
        <v>120</v>
      </c>
      <c r="FK149" s="14">
        <f>INDEX(属性投放!$BQ$6:$BQ$85,(卡牌属性!$DW149-2)*20+卡牌属性!$DX149)</f>
        <v>120</v>
      </c>
      <c r="FL149" s="14">
        <f>INDEX(属性投放!$BQ$6:$BQ$85,(卡牌属性!$DW149-2)*20+卡牌属性!$DX149)</f>
        <v>120</v>
      </c>
      <c r="FM149" s="14">
        <f>INDEX(属性投放!$BR$6:$BR$85,(卡牌属性!$DW149-2)*20+卡牌属性!$DX149)</f>
        <v>60</v>
      </c>
      <c r="FN149" s="14">
        <f>INDEX(属性投放!$BR$6:$BR$85,(卡牌属性!$DW149-2)*20+卡牌属性!$DX149)</f>
        <v>60</v>
      </c>
      <c r="FO149" s="14">
        <f>INDEX(属性投放!$BR$6:$BR$85,(卡牌属性!$DW149-2)*20+卡牌属性!$DX149)</f>
        <v>60</v>
      </c>
      <c r="FP149" s="14">
        <f>INDEX(属性投放!$BR$6:$BR$85,(卡牌属性!$DW149-2)*20+卡牌属性!$DX149)</f>
        <v>60</v>
      </c>
      <c r="FQ149" s="14">
        <f>INDEX(属性投放!$BR$6:$BR$85,(卡牌属性!$DW149-2)*20+卡牌属性!$DX149)</f>
        <v>60</v>
      </c>
      <c r="FR149" s="14">
        <f>INDEX(属性投放!$BS$6:$BS$85,(卡牌属性!$DW149-2)*20+卡牌属性!$DX149)</f>
        <v>840</v>
      </c>
      <c r="FS149" s="14">
        <f>INDEX(属性投放!$BS$6:$BS$85,(卡牌属性!$DW149-2)*20+卡牌属性!$DX149)</f>
        <v>840</v>
      </c>
      <c r="FT149" s="14">
        <f>INDEX(属性投放!$BS$6:$BS$85,(卡牌属性!$DW149-2)*20+卡牌属性!$DX149)</f>
        <v>840</v>
      </c>
      <c r="FU149" s="14">
        <f>INDEX(属性投放!$BS$6:$BS$85,(卡牌属性!$DW149-2)*20+卡牌属性!$DX149)</f>
        <v>840</v>
      </c>
      <c r="FV149" s="14">
        <f>INDEX(属性投放!$BS$6:$BS$85,(卡牌属性!$DW149-2)*20+卡牌属性!$DX149)</f>
        <v>840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MATCH(HC149,属性投放!$AO$6:$AO$58,1)-1</f>
        <v>51</v>
      </c>
      <c r="HF149" s="13">
        <f>MATCH(HC149-1,属性投放!$AE$6:$AE$26,1)</f>
        <v>20</v>
      </c>
      <c r="HG149" s="13" t="str">
        <f>INDEX(属性投放!$AB$7:$AB$26,卡牌属性!HF149)</f>
        <v>无间+1</v>
      </c>
      <c r="HH149" s="14">
        <f t="shared" si="342"/>
        <v>13193</v>
      </c>
      <c r="HI149" s="14">
        <f t="shared" si="343"/>
        <v>5838</v>
      </c>
      <c r="HJ149" s="14">
        <f t="shared" si="344"/>
        <v>109184</v>
      </c>
      <c r="HK149" s="14">
        <f t="shared" si="345"/>
        <v>75</v>
      </c>
      <c r="HL149" s="14">
        <f t="shared" si="346"/>
        <v>23</v>
      </c>
      <c r="HM149" s="14">
        <f t="shared" si="347"/>
        <v>450</v>
      </c>
      <c r="HN149" s="14">
        <f>HH149+HK149*($HC149-INDEX(属性投放!$AE$6:$AE$26,卡牌属性!$HF149))</f>
        <v>13568</v>
      </c>
      <c r="HO149" s="14">
        <f>HI149+HL149*($HC149-INDEX(属性投放!$AE$6:$AE$26,卡牌属性!$HF149))</f>
        <v>5953</v>
      </c>
      <c r="HP149" s="14">
        <f>HJ149+HM149*($HC149-INDEX(属性投放!$AE$6:$AE$26,卡牌属性!$HF149))</f>
        <v>111434</v>
      </c>
      <c r="HQ149" s="14">
        <f t="shared" si="348"/>
        <v>17335</v>
      </c>
      <c r="HR149" s="14">
        <f t="shared" si="349"/>
        <v>8677</v>
      </c>
      <c r="HS149" s="14">
        <f t="shared" si="350"/>
        <v>168785</v>
      </c>
      <c r="HT149" s="14">
        <f>IF(COUNTIF(属性投放!$AO$7:$AO$58,"="&amp;卡牌属性!HC149)&gt;0,卡牌属性!HE149,0)</f>
        <v>51</v>
      </c>
      <c r="HU149" s="14">
        <f t="shared" si="351"/>
        <v>1000</v>
      </c>
      <c r="HV149" s="14">
        <f t="shared" si="352"/>
        <v>500</v>
      </c>
      <c r="HW149" s="14">
        <f t="shared" si="353"/>
        <v>10000</v>
      </c>
      <c r="HX149" s="14">
        <f>IF(COUNTIF(属性投放!$AE$6:$AE$26,"="&amp;卡牌属性!HC149)&gt;0,卡牌属性!HF149,0)</f>
        <v>0</v>
      </c>
      <c r="HY149" s="14">
        <f t="shared" si="354"/>
        <v>0</v>
      </c>
      <c r="HZ149" s="14">
        <f t="shared" si="355"/>
        <v>0</v>
      </c>
      <c r="IA149" s="14">
        <f t="shared" si="356"/>
        <v>0</v>
      </c>
      <c r="IB149" s="14">
        <f t="shared" si="357"/>
        <v>75</v>
      </c>
      <c r="IC149" s="14">
        <f t="shared" si="358"/>
        <v>23</v>
      </c>
      <c r="ID149" s="14">
        <f t="shared" si="359"/>
        <v>450</v>
      </c>
      <c r="IE149" s="14">
        <f t="shared" si="360"/>
        <v>30903</v>
      </c>
      <c r="IF149" s="14">
        <f t="shared" si="361"/>
        <v>14630</v>
      </c>
      <c r="IG149" s="14">
        <f t="shared" si="362"/>
        <v>280219</v>
      </c>
      <c r="IH149" s="14">
        <f t="shared" si="363"/>
        <v>1660</v>
      </c>
      <c r="II149" s="14">
        <f t="shared" si="364"/>
        <v>30000</v>
      </c>
      <c r="IJ149" s="14">
        <f t="shared" si="365"/>
        <v>0</v>
      </c>
      <c r="IK149" s="14">
        <f t="shared" si="366"/>
        <v>881849</v>
      </c>
      <c r="IL149" s="17">
        <f t="shared" si="367"/>
        <v>1.8824084395401026E-3</v>
      </c>
      <c r="IM149" s="17">
        <f t="shared" si="368"/>
        <v>3.401942963024282E-2</v>
      </c>
      <c r="IN149" s="17">
        <f t="shared" si="369"/>
        <v>0</v>
      </c>
      <c r="IO149" s="23">
        <f>SUM(IH$5:IH149)</f>
        <v>112364</v>
      </c>
      <c r="IP149" s="14">
        <f>SUM(II$5:II149)</f>
        <v>515675</v>
      </c>
      <c r="IQ149" s="14">
        <f>SUM(IJ$5:IJ149)</f>
        <v>205640</v>
      </c>
      <c r="IR149" s="17">
        <f t="shared" si="370"/>
        <v>0.12741863969908682</v>
      </c>
      <c r="IS149" s="17">
        <f t="shared" si="371"/>
        <v>0.58476564581918222</v>
      </c>
      <c r="IT149" s="17">
        <f t="shared" si="372"/>
        <v>0.23319185030543779</v>
      </c>
      <c r="IW149" s="13">
        <v>145</v>
      </c>
      <c r="IX149" s="14">
        <f>MATCH(IW149-1,属性投放!$T$6:$T$66,1)</f>
        <v>54</v>
      </c>
      <c r="IY149" s="14">
        <f>MATCH(IW149-1,属性投放!$AD$7:$AD$26,1)</f>
        <v>19</v>
      </c>
      <c r="IZ149" s="14" t="str">
        <f>INDEX(属性投放!$AB$7:$AB$26,IY149)</f>
        <v>无间</v>
      </c>
      <c r="JA149" s="14">
        <f t="shared" si="373"/>
        <v>17934</v>
      </c>
      <c r="JB149" s="14">
        <f t="shared" si="374"/>
        <v>8921</v>
      </c>
      <c r="JC149" s="14">
        <f t="shared" si="375"/>
        <v>171016</v>
      </c>
      <c r="JD149" s="14">
        <f t="shared" si="376"/>
        <v>462</v>
      </c>
      <c r="JE149" s="14">
        <f t="shared" si="377"/>
        <v>231</v>
      </c>
      <c r="JF149" s="14">
        <f t="shared" si="378"/>
        <v>4620</v>
      </c>
      <c r="JG149" s="14">
        <f>INDEX(属性投放!$DC$6:$DC$85,卡牌属性!IY149)</f>
        <v>135</v>
      </c>
      <c r="JH149" s="14">
        <f t="shared" si="379"/>
        <v>22554</v>
      </c>
      <c r="JI149" s="14">
        <f t="shared" si="380"/>
        <v>11231</v>
      </c>
      <c r="JJ149" s="14">
        <f t="shared" si="381"/>
        <v>217216</v>
      </c>
      <c r="JK149" s="14">
        <f t="shared" si="382"/>
        <v>442296</v>
      </c>
    </row>
    <row r="150" spans="31:271" ht="16.5" x14ac:dyDescent="0.2">
      <c r="AE150" s="13">
        <v>146</v>
      </c>
      <c r="AF150" s="13">
        <f t="shared" si="331"/>
        <v>8</v>
      </c>
      <c r="AG150" s="13">
        <f t="shared" si="316"/>
        <v>2</v>
      </c>
      <c r="AH150" s="13"/>
      <c r="AI150" s="13"/>
      <c r="AJ150" s="14">
        <f t="shared" si="317"/>
        <v>1101008</v>
      </c>
      <c r="AK150" s="14" t="str">
        <f t="shared" si="318"/>
        <v>黑尔·坎普6突</v>
      </c>
      <c r="AL150" s="25" t="s">
        <v>142</v>
      </c>
      <c r="AM150" s="14">
        <v>1</v>
      </c>
      <c r="AN150" s="14">
        <f t="shared" si="319"/>
        <v>6</v>
      </c>
      <c r="AO150" s="14">
        <f>INDEX(属性投放!$DF$6:$DF$85,(卡牌属性!AG150-2)*20+卡牌属性!AN150)</f>
        <v>464</v>
      </c>
      <c r="AP150" s="14">
        <f t="shared" si="383"/>
        <v>464</v>
      </c>
      <c r="AQ150" s="14">
        <f t="shared" si="383"/>
        <v>464</v>
      </c>
      <c r="AR150" s="14">
        <f t="shared" si="383"/>
        <v>464</v>
      </c>
      <c r="AS150" s="14">
        <f t="shared" si="383"/>
        <v>464</v>
      </c>
      <c r="AT150" s="14">
        <f>INDEX(属性投放!$DG$6:$DG$85,(卡牌属性!AG150-2)*20+卡牌属性!AN150)</f>
        <v>182</v>
      </c>
      <c r="AU150" s="14">
        <f t="shared" si="384"/>
        <v>182</v>
      </c>
      <c r="AV150" s="14">
        <f t="shared" si="384"/>
        <v>182</v>
      </c>
      <c r="AW150" s="14">
        <f t="shared" si="384"/>
        <v>182</v>
      </c>
      <c r="AX150" s="14">
        <f t="shared" si="384"/>
        <v>182</v>
      </c>
      <c r="AY150" s="14">
        <f>INDEX(属性投放!$DH$6:$DH$85,(卡牌属性!AG150-2)*20+卡牌属性!AN150)</f>
        <v>2534</v>
      </c>
      <c r="AZ150" s="14">
        <f t="shared" si="385"/>
        <v>2534</v>
      </c>
      <c r="BA150" s="14">
        <f t="shared" si="385"/>
        <v>2534</v>
      </c>
      <c r="BB150" s="14">
        <f t="shared" si="385"/>
        <v>2534</v>
      </c>
      <c r="BC150" s="14">
        <f t="shared" si="385"/>
        <v>2534</v>
      </c>
      <c r="BD150" s="14">
        <f>INDEX(属性投放!$DL$6:$DL$85,(卡牌属性!AG150-2)*20+卡牌属性!AN150)</f>
        <v>22</v>
      </c>
      <c r="BE150" s="14">
        <f t="shared" si="386"/>
        <v>22</v>
      </c>
      <c r="BF150" s="14">
        <f t="shared" si="386"/>
        <v>22</v>
      </c>
      <c r="BG150" s="14">
        <f t="shared" si="386"/>
        <v>22</v>
      </c>
      <c r="BH150" s="14">
        <f t="shared" si="386"/>
        <v>22</v>
      </c>
      <c r="BI150" s="14">
        <f>INDEX(属性投放!$DM$6:$DM$85,(卡牌属性!AG150-2)*20+卡牌属性!AN150)</f>
        <v>11</v>
      </c>
      <c r="BJ150" s="14">
        <f t="shared" si="387"/>
        <v>11</v>
      </c>
      <c r="BK150" s="14">
        <f t="shared" si="387"/>
        <v>11</v>
      </c>
      <c r="BL150" s="14">
        <f t="shared" si="387"/>
        <v>11</v>
      </c>
      <c r="BM150" s="14">
        <f t="shared" si="387"/>
        <v>11</v>
      </c>
      <c r="BN150" s="14">
        <f>INDEX(属性投放!$DN$6:$DN$85,(卡牌属性!AG150-2)*20+卡牌属性!AN150)</f>
        <v>153</v>
      </c>
      <c r="BO150" s="14">
        <f t="shared" si="388"/>
        <v>153</v>
      </c>
      <c r="BP150" s="14">
        <f t="shared" si="388"/>
        <v>153</v>
      </c>
      <c r="BQ150" s="14">
        <f t="shared" si="388"/>
        <v>153</v>
      </c>
      <c r="BR150" s="14">
        <f t="shared" si="388"/>
        <v>153</v>
      </c>
      <c r="BW150" s="13">
        <v>146</v>
      </c>
      <c r="BX150" s="13">
        <f t="shared" si="320"/>
        <v>8</v>
      </c>
      <c r="BY150" s="14">
        <f t="shared" si="321"/>
        <v>4</v>
      </c>
      <c r="BZ150" s="14">
        <f t="shared" si="332"/>
        <v>1102008</v>
      </c>
      <c r="CA150" s="14" t="str">
        <f t="shared" si="333"/>
        <v>夏侯渊6突</v>
      </c>
      <c r="CB150" s="25" t="s">
        <v>142</v>
      </c>
      <c r="CC150" s="14">
        <v>2</v>
      </c>
      <c r="CD150" s="14">
        <f t="shared" si="322"/>
        <v>6</v>
      </c>
      <c r="CE150" s="14" t="s">
        <v>21</v>
      </c>
      <c r="CF150" s="14">
        <f>INDEX(属性投放!$AZ$6:$AZ$85,(BY150-2)*20+CD150)</f>
        <v>1618</v>
      </c>
      <c r="CG150" s="14" t="s">
        <v>22</v>
      </c>
      <c r="CH150" s="14">
        <f>INDEX(属性投放!$BA$6:$BA$85,(BY150-2)*20+CD150)</f>
        <v>748</v>
      </c>
      <c r="CI150" s="14" t="s">
        <v>510</v>
      </c>
      <c r="CJ150" s="14">
        <f>INDEX(属性投放!$BB$6:$BB$85,(BY150-2)*20+CD150)</f>
        <v>10068</v>
      </c>
      <c r="CK150" s="14" t="s">
        <v>21</v>
      </c>
      <c r="CL150" s="14">
        <f>INDEX(属性投放!$BC$6:$BC$85,(BY150-2)*20+CD150)</f>
        <v>20</v>
      </c>
      <c r="CM150" s="14" t="s">
        <v>22</v>
      </c>
      <c r="CN150" s="14">
        <f>INDEX(属性投放!$BD$6:$BD$85,(BY150-2)*20+CD150)</f>
        <v>10</v>
      </c>
      <c r="CO150" s="14" t="s">
        <v>510</v>
      </c>
      <c r="CP150" s="14">
        <f>INDEX(属性投放!$BE$6:$BE$85,(BY150-2)*20+CD150)</f>
        <v>140</v>
      </c>
      <c r="CS150" s="13">
        <v>146</v>
      </c>
      <c r="CT150" s="13">
        <f t="shared" si="334"/>
        <v>3</v>
      </c>
      <c r="CU150" s="13">
        <f t="shared" si="335"/>
        <v>42</v>
      </c>
      <c r="CV150" s="14">
        <f t="shared" si="336"/>
        <v>4</v>
      </c>
      <c r="CW150" s="14">
        <f t="shared" si="337"/>
        <v>1102003</v>
      </c>
      <c r="CX150" s="14" t="str">
        <f>INDEX($O$6:$O$50,CT150)&amp;"-"&amp;INDEX(属性投放!$AB$7:$AB$50,CZ150)&amp;"-魂火-"&amp;DB150</f>
        <v>典韦-大焦热+1-魂火-3</v>
      </c>
      <c r="CY150" s="25" t="s">
        <v>142</v>
      </c>
      <c r="CZ150" s="14">
        <f>INDEX(属性投放!$AM$7:$AM$58,CU150)</f>
        <v>17</v>
      </c>
      <c r="DA150" s="14" t="s">
        <v>537</v>
      </c>
      <c r="DB150" s="14">
        <f>INDEX(属性投放!$AN$7:$AN$58,CU150)</f>
        <v>3</v>
      </c>
      <c r="DC150" s="14">
        <f t="shared" si="323"/>
        <v>42</v>
      </c>
      <c r="DD150" s="14">
        <f>INDEX(属性投放!$AO$7:$AO$58,DC150)</f>
        <v>123</v>
      </c>
      <c r="DE150" s="14" t="s">
        <v>538</v>
      </c>
      <c r="DF150" s="14">
        <f>INDEX(属性投放!$BK$6:$BK$85,(CV150-2)*20+CZ150)</f>
        <v>650</v>
      </c>
      <c r="DG150" s="14">
        <f>SUMIFS(DF$5:DF150,$CT$5:$CT150,"="&amp;$CT150)</f>
        <v>9385</v>
      </c>
      <c r="DH150" s="14" t="s">
        <v>539</v>
      </c>
      <c r="DI150" s="14">
        <f>INDEX(属性投放!$BL$6:$BL$85,(CV150-2)*20+CZ150)</f>
        <v>325</v>
      </c>
      <c r="DJ150" s="14">
        <f>SUMIFS(DI$5:DI150,$CT$5:$CT150,"="&amp;$CT150)</f>
        <v>4702</v>
      </c>
      <c r="DK150" s="14" t="s">
        <v>540</v>
      </c>
      <c r="DL150" s="14">
        <f>INDEX(属性投放!$BM$6:$BM$85,(CV150-2)*20+CZ150)</f>
        <v>6500</v>
      </c>
      <c r="DM150" s="14">
        <f>SUMIFS(DL$5:DL150,$CT$5:$CT150,"="&amp;$CT150)</f>
        <v>89285</v>
      </c>
      <c r="DR150" s="14">
        <f t="shared" si="324"/>
        <v>1102008</v>
      </c>
      <c r="DS150" s="14" t="str">
        <f t="shared" si="325"/>
        <v>夏侯渊6突</v>
      </c>
      <c r="DT150" s="14">
        <f t="shared" si="338"/>
        <v>7</v>
      </c>
      <c r="DU150" s="14">
        <f t="shared" si="339"/>
        <v>5</v>
      </c>
      <c r="DV150" s="14">
        <f t="shared" si="340"/>
        <v>9</v>
      </c>
      <c r="DW150" s="14">
        <f t="shared" si="326"/>
        <v>4</v>
      </c>
      <c r="DX150" s="14">
        <f t="shared" si="327"/>
        <v>6</v>
      </c>
      <c r="DY150" s="14">
        <f t="shared" si="328"/>
        <v>46</v>
      </c>
      <c r="DZ150" s="14">
        <f>INDEX(属性投放!$AX$6:$AX$85,(卡牌属性!DW150-2)*20+卡牌属性!DX150)</f>
        <v>5</v>
      </c>
      <c r="EA150" s="14">
        <f>INDEX(属性投放!BQ$6:BQ$85,卡牌属性!$DY150)</f>
        <v>160</v>
      </c>
      <c r="EB150" s="14">
        <f>INDEX(属性投放!BR$6:BR$85,卡牌属性!$DY150)</f>
        <v>80</v>
      </c>
      <c r="EC150" s="14">
        <f>INDEX(属性投放!BS$6:BS$85,卡牌属性!$DY150)</f>
        <v>1120</v>
      </c>
      <c r="ED150" s="14">
        <f t="shared" si="389"/>
        <v>1263</v>
      </c>
      <c r="EE150" s="14">
        <f t="shared" si="390"/>
        <v>1391</v>
      </c>
      <c r="EF150" s="14">
        <f t="shared" si="391"/>
        <v>1560</v>
      </c>
      <c r="EG150" s="14">
        <f t="shared" si="392"/>
        <v>1560</v>
      </c>
      <c r="EH150" s="14">
        <f t="shared" si="393"/>
        <v>1815</v>
      </c>
      <c r="EI150" s="14">
        <f t="shared" si="394"/>
        <v>436</v>
      </c>
      <c r="EJ150" s="14">
        <f t="shared" si="395"/>
        <v>487</v>
      </c>
      <c r="EK150" s="14">
        <f t="shared" si="396"/>
        <v>487</v>
      </c>
      <c r="EL150" s="14">
        <f t="shared" si="397"/>
        <v>592</v>
      </c>
      <c r="EM150" s="14">
        <f t="shared" si="398"/>
        <v>658</v>
      </c>
      <c r="EN150" s="14">
        <f t="shared" si="399"/>
        <v>9405</v>
      </c>
      <c r="EO150" s="14">
        <f t="shared" si="400"/>
        <v>11020</v>
      </c>
      <c r="EP150" s="14">
        <f t="shared" si="401"/>
        <v>11020</v>
      </c>
      <c r="EQ150" s="14">
        <f t="shared" si="402"/>
        <v>13430</v>
      </c>
      <c r="ER150" s="14">
        <f t="shared" si="403"/>
        <v>16440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175</v>
      </c>
      <c r="FD150" s="14">
        <f>INDEX(属性偏向!$U$4:$U$243,(卡牌属性!$DV150-1+FD$3)*20+卡牌属性!$DX150)</f>
        <v>210</v>
      </c>
      <c r="FE150" s="14">
        <f>INDEX(属性偏向!$U$4:$U$243,(卡牌属性!$DV150-1+FE$3)*20+卡牌属性!$DX150)</f>
        <v>210</v>
      </c>
      <c r="FF150" s="14">
        <f>INDEX(属性偏向!$U$4:$U$243,(卡牌属性!$DV150-1+FF$3)*20+卡牌属性!$DX150)</f>
        <v>280</v>
      </c>
      <c r="FG150" s="14">
        <f>INDEX(属性偏向!$U$4:$U$243,(卡牌属性!$DV150-1+FG$3)*20+卡牌属性!$DX150)</f>
        <v>350</v>
      </c>
      <c r="FH150" s="14">
        <f>INDEX(属性投放!$BQ$6:$BQ$85,(卡牌属性!$DW150-2)*20+卡牌属性!$DX150)</f>
        <v>160</v>
      </c>
      <c r="FI150" s="14">
        <f>INDEX(属性投放!$BQ$6:$BQ$85,(卡牌属性!$DW150-2)*20+卡牌属性!$DX150)</f>
        <v>160</v>
      </c>
      <c r="FJ150" s="14">
        <f>INDEX(属性投放!$BQ$6:$BQ$85,(卡牌属性!$DW150-2)*20+卡牌属性!$DX150)</f>
        <v>160</v>
      </c>
      <c r="FK150" s="14">
        <f>INDEX(属性投放!$BQ$6:$BQ$85,(卡牌属性!$DW150-2)*20+卡牌属性!$DX150)</f>
        <v>160</v>
      </c>
      <c r="FL150" s="14">
        <f>INDEX(属性投放!$BQ$6:$BQ$85,(卡牌属性!$DW150-2)*20+卡牌属性!$DX150)</f>
        <v>160</v>
      </c>
      <c r="FM150" s="14">
        <f>INDEX(属性投放!$BR$6:$BR$85,(卡牌属性!$DW150-2)*20+卡牌属性!$DX150)</f>
        <v>80</v>
      </c>
      <c r="FN150" s="14">
        <f>INDEX(属性投放!$BR$6:$BR$85,(卡牌属性!$DW150-2)*20+卡牌属性!$DX150)</f>
        <v>80</v>
      </c>
      <c r="FO150" s="14">
        <f>INDEX(属性投放!$BR$6:$BR$85,(卡牌属性!$DW150-2)*20+卡牌属性!$DX150)</f>
        <v>80</v>
      </c>
      <c r="FP150" s="14">
        <f>INDEX(属性投放!$BR$6:$BR$85,(卡牌属性!$DW150-2)*20+卡牌属性!$DX150)</f>
        <v>80</v>
      </c>
      <c r="FQ150" s="14">
        <f>INDEX(属性投放!$BR$6:$BR$85,(卡牌属性!$DW150-2)*20+卡牌属性!$DX150)</f>
        <v>80</v>
      </c>
      <c r="FR150" s="14">
        <f>INDEX(属性投放!$BS$6:$BS$85,(卡牌属性!$DW150-2)*20+卡牌属性!$DX150)</f>
        <v>1120</v>
      </c>
      <c r="FS150" s="14">
        <f>INDEX(属性投放!$BS$6:$BS$85,(卡牌属性!$DW150-2)*20+卡牌属性!$DX150)</f>
        <v>1120</v>
      </c>
      <c r="FT150" s="14">
        <f>INDEX(属性投放!$BS$6:$BS$85,(卡牌属性!$DW150-2)*20+卡牌属性!$DX150)</f>
        <v>1120</v>
      </c>
      <c r="FU150" s="14">
        <f>INDEX(属性投放!$BS$6:$BS$85,(卡牌属性!$DW150-2)*20+卡牌属性!$DX150)</f>
        <v>1120</v>
      </c>
      <c r="FV150" s="14">
        <f>INDEX(属性投放!$BS$6:$BS$85,(卡牌属性!$DW150-2)*20+卡牌属性!$DX150)</f>
        <v>1120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MATCH(HC150,属性投放!$AO$6:$AO$58,1)-1</f>
        <v>51</v>
      </c>
      <c r="HF150" s="13">
        <f>MATCH(HC150-1,属性投放!$AE$6:$AE$26,1)</f>
        <v>20</v>
      </c>
      <c r="HG150" s="13" t="str">
        <f>INDEX(属性投放!$AB$7:$AB$26,卡牌属性!HF150)</f>
        <v>无间+1</v>
      </c>
      <c r="HH150" s="14">
        <f t="shared" si="342"/>
        <v>13193</v>
      </c>
      <c r="HI150" s="14">
        <f t="shared" si="343"/>
        <v>5838</v>
      </c>
      <c r="HJ150" s="14">
        <f t="shared" si="344"/>
        <v>109184</v>
      </c>
      <c r="HK150" s="14">
        <f t="shared" si="345"/>
        <v>75</v>
      </c>
      <c r="HL150" s="14">
        <f t="shared" si="346"/>
        <v>23</v>
      </c>
      <c r="HM150" s="14">
        <f t="shared" si="347"/>
        <v>450</v>
      </c>
      <c r="HN150" s="14">
        <f>HH150+HK150*($HC150-INDEX(属性投放!$AE$6:$AE$26,卡牌属性!$HF150))</f>
        <v>13643</v>
      </c>
      <c r="HO150" s="14">
        <f>HI150+HL150*($HC150-INDEX(属性投放!$AE$6:$AE$26,卡牌属性!$HF150))</f>
        <v>5976</v>
      </c>
      <c r="HP150" s="14">
        <f>HJ150+HM150*($HC150-INDEX(属性投放!$AE$6:$AE$26,卡牌属性!$HF150))</f>
        <v>111884</v>
      </c>
      <c r="HQ150" s="14">
        <f t="shared" si="348"/>
        <v>17335</v>
      </c>
      <c r="HR150" s="14">
        <f t="shared" si="349"/>
        <v>8677</v>
      </c>
      <c r="HS150" s="14">
        <f t="shared" si="350"/>
        <v>168785</v>
      </c>
      <c r="HT150" s="14">
        <f>IF(COUNTIF(属性投放!$AO$7:$AO$58,"="&amp;卡牌属性!HC150)&gt;0,卡牌属性!HE150,0)</f>
        <v>0</v>
      </c>
      <c r="HU150" s="14">
        <f t="shared" si="351"/>
        <v>0</v>
      </c>
      <c r="HV150" s="14">
        <f t="shared" si="352"/>
        <v>0</v>
      </c>
      <c r="HW150" s="14">
        <f t="shared" si="353"/>
        <v>0</v>
      </c>
      <c r="HX150" s="14">
        <f>IF(COUNTIF(属性投放!$AE$6:$AE$26,"="&amp;卡牌属性!HC150)&gt;0,卡牌属性!HF150,0)</f>
        <v>0</v>
      </c>
      <c r="HY150" s="14">
        <f t="shared" si="354"/>
        <v>0</v>
      </c>
      <c r="HZ150" s="14">
        <f t="shared" si="355"/>
        <v>0</v>
      </c>
      <c r="IA150" s="14">
        <f t="shared" si="356"/>
        <v>0</v>
      </c>
      <c r="IB150" s="14">
        <f t="shared" si="357"/>
        <v>75</v>
      </c>
      <c r="IC150" s="14">
        <f t="shared" si="358"/>
        <v>23</v>
      </c>
      <c r="ID150" s="14">
        <f t="shared" si="359"/>
        <v>450</v>
      </c>
      <c r="IE150" s="14">
        <f t="shared" si="360"/>
        <v>30978</v>
      </c>
      <c r="IF150" s="14">
        <f t="shared" si="361"/>
        <v>14653</v>
      </c>
      <c r="IG150" s="14">
        <f t="shared" si="362"/>
        <v>280669</v>
      </c>
      <c r="IH150" s="14">
        <f t="shared" si="363"/>
        <v>1660</v>
      </c>
      <c r="II150" s="14">
        <f t="shared" si="364"/>
        <v>0</v>
      </c>
      <c r="IJ150" s="14">
        <f t="shared" si="365"/>
        <v>0</v>
      </c>
      <c r="IK150" s="14">
        <f t="shared" si="366"/>
        <v>883509</v>
      </c>
      <c r="IL150" s="17">
        <f t="shared" si="367"/>
        <v>1.878871635716218E-3</v>
      </c>
      <c r="IM150" s="17">
        <f t="shared" si="368"/>
        <v>0</v>
      </c>
      <c r="IN150" s="17">
        <f t="shared" si="369"/>
        <v>0</v>
      </c>
      <c r="IO150" s="23">
        <f>SUM(IH$5:IH150)</f>
        <v>114024</v>
      </c>
      <c r="IP150" s="14">
        <f>SUM(II$5:II150)</f>
        <v>515675</v>
      </c>
      <c r="IQ150" s="14">
        <f>SUM(IJ$5:IJ150)</f>
        <v>205640</v>
      </c>
      <c r="IR150" s="17">
        <f t="shared" si="370"/>
        <v>0.12905810806681087</v>
      </c>
      <c r="IS150" s="17">
        <f t="shared" si="371"/>
        <v>0.58366694623371129</v>
      </c>
      <c r="IT150" s="17">
        <f t="shared" si="372"/>
        <v>0.23275371275221871</v>
      </c>
      <c r="IW150" s="13">
        <v>146</v>
      </c>
      <c r="IX150" s="14">
        <f>MATCH(IW150-1,属性投放!$T$6:$T$66,1)</f>
        <v>54</v>
      </c>
      <c r="IY150" s="14">
        <f>MATCH(IW150-1,属性投放!$AD$7:$AD$26,1)</f>
        <v>19</v>
      </c>
      <c r="IZ150" s="14" t="str">
        <f>INDEX(属性投放!$AB$7:$AB$26,IY150)</f>
        <v>无间</v>
      </c>
      <c r="JA150" s="14">
        <f t="shared" si="373"/>
        <v>17934</v>
      </c>
      <c r="JB150" s="14">
        <f t="shared" si="374"/>
        <v>8921</v>
      </c>
      <c r="JC150" s="14">
        <f t="shared" si="375"/>
        <v>171016</v>
      </c>
      <c r="JD150" s="14">
        <f t="shared" si="376"/>
        <v>462</v>
      </c>
      <c r="JE150" s="14">
        <f t="shared" si="377"/>
        <v>231</v>
      </c>
      <c r="JF150" s="14">
        <f t="shared" si="378"/>
        <v>4620</v>
      </c>
      <c r="JG150" s="14">
        <f>INDEX(属性投放!$DC$6:$DC$85,卡牌属性!IY150)</f>
        <v>135</v>
      </c>
      <c r="JH150" s="14">
        <f t="shared" si="379"/>
        <v>23016</v>
      </c>
      <c r="JI150" s="14">
        <f t="shared" si="380"/>
        <v>11462</v>
      </c>
      <c r="JJ150" s="14">
        <f t="shared" si="381"/>
        <v>221836</v>
      </c>
      <c r="JK150" s="14">
        <f t="shared" si="382"/>
        <v>451536</v>
      </c>
    </row>
    <row r="151" spans="31:271" ht="16.5" x14ac:dyDescent="0.2">
      <c r="AE151" s="13">
        <v>147</v>
      </c>
      <c r="AF151" s="13">
        <f t="shared" si="331"/>
        <v>8</v>
      </c>
      <c r="AG151" s="13">
        <f t="shared" si="316"/>
        <v>2</v>
      </c>
      <c r="AH151" s="13"/>
      <c r="AI151" s="13"/>
      <c r="AJ151" s="14">
        <f t="shared" si="317"/>
        <v>1101008</v>
      </c>
      <c r="AK151" s="14" t="str">
        <f t="shared" si="318"/>
        <v>黑尔·坎普7突</v>
      </c>
      <c r="AL151" s="25" t="s">
        <v>142</v>
      </c>
      <c r="AM151" s="14">
        <v>1</v>
      </c>
      <c r="AN151" s="14">
        <f t="shared" si="319"/>
        <v>7</v>
      </c>
      <c r="AO151" s="14">
        <f>INDEX(属性投放!$DF$6:$DF$85,(卡牌属性!AG151-2)*20+卡牌属性!AN151)</f>
        <v>1077</v>
      </c>
      <c r="AP151" s="14">
        <f t="shared" si="383"/>
        <v>1077</v>
      </c>
      <c r="AQ151" s="14">
        <f t="shared" si="383"/>
        <v>1077</v>
      </c>
      <c r="AR151" s="14">
        <f t="shared" si="383"/>
        <v>1077</v>
      </c>
      <c r="AS151" s="14">
        <f t="shared" si="383"/>
        <v>1077</v>
      </c>
      <c r="AT151" s="14">
        <f>INDEX(属性投放!$DG$6:$DG$85,(卡牌属性!AG151-2)*20+卡牌属性!AN151)</f>
        <v>488</v>
      </c>
      <c r="AU151" s="14">
        <f t="shared" si="384"/>
        <v>488</v>
      </c>
      <c r="AV151" s="14">
        <f t="shared" si="384"/>
        <v>488</v>
      </c>
      <c r="AW151" s="14">
        <f t="shared" si="384"/>
        <v>488</v>
      </c>
      <c r="AX151" s="14">
        <f t="shared" si="384"/>
        <v>488</v>
      </c>
      <c r="AY151" s="14">
        <f>INDEX(属性投放!$DH$6:$DH$85,(卡牌属性!AG151-2)*20+卡牌属性!AN151)</f>
        <v>6797</v>
      </c>
      <c r="AZ151" s="14">
        <f t="shared" si="385"/>
        <v>6797</v>
      </c>
      <c r="BA151" s="14">
        <f t="shared" si="385"/>
        <v>6797</v>
      </c>
      <c r="BB151" s="14">
        <f t="shared" si="385"/>
        <v>6797</v>
      </c>
      <c r="BC151" s="14">
        <f t="shared" si="385"/>
        <v>6797</v>
      </c>
      <c r="BD151" s="14">
        <f>INDEX(属性投放!$DL$6:$DL$85,(卡牌属性!AG151-2)*20+卡牌属性!AN151)</f>
        <v>36</v>
      </c>
      <c r="BE151" s="14">
        <f t="shared" si="386"/>
        <v>36</v>
      </c>
      <c r="BF151" s="14">
        <f t="shared" si="386"/>
        <v>36</v>
      </c>
      <c r="BG151" s="14">
        <f t="shared" si="386"/>
        <v>36</v>
      </c>
      <c r="BH151" s="14">
        <f t="shared" si="386"/>
        <v>36</v>
      </c>
      <c r="BI151" s="14">
        <f>INDEX(属性投放!$DM$6:$DM$85,(卡牌属性!AG151-2)*20+卡牌属性!AN151)</f>
        <v>18</v>
      </c>
      <c r="BJ151" s="14">
        <f t="shared" si="387"/>
        <v>18</v>
      </c>
      <c r="BK151" s="14">
        <f t="shared" si="387"/>
        <v>18</v>
      </c>
      <c r="BL151" s="14">
        <f t="shared" si="387"/>
        <v>18</v>
      </c>
      <c r="BM151" s="14">
        <f t="shared" si="387"/>
        <v>18</v>
      </c>
      <c r="BN151" s="14">
        <f>INDEX(属性投放!$DN$6:$DN$85,(卡牌属性!AG151-2)*20+卡牌属性!AN151)</f>
        <v>286</v>
      </c>
      <c r="BO151" s="14">
        <f t="shared" si="388"/>
        <v>286</v>
      </c>
      <c r="BP151" s="14">
        <f t="shared" si="388"/>
        <v>286</v>
      </c>
      <c r="BQ151" s="14">
        <f t="shared" si="388"/>
        <v>286</v>
      </c>
      <c r="BR151" s="14">
        <f t="shared" si="388"/>
        <v>286</v>
      </c>
      <c r="BW151" s="13">
        <v>147</v>
      </c>
      <c r="BX151" s="13">
        <f t="shared" si="320"/>
        <v>8</v>
      </c>
      <c r="BY151" s="14">
        <f t="shared" si="321"/>
        <v>4</v>
      </c>
      <c r="BZ151" s="14">
        <f t="shared" si="332"/>
        <v>1102008</v>
      </c>
      <c r="CA151" s="14" t="str">
        <f t="shared" si="333"/>
        <v>夏侯渊7突</v>
      </c>
      <c r="CB151" s="25" t="s">
        <v>142</v>
      </c>
      <c r="CC151" s="14">
        <v>2</v>
      </c>
      <c r="CD151" s="14">
        <f t="shared" si="322"/>
        <v>7</v>
      </c>
      <c r="CE151" s="14" t="s">
        <v>21</v>
      </c>
      <c r="CF151" s="14">
        <f>INDEX(属性投放!$AZ$6:$AZ$85,(BY151-2)*20+CD151)</f>
        <v>1998</v>
      </c>
      <c r="CG151" s="14" t="s">
        <v>22</v>
      </c>
      <c r="CH151" s="14">
        <f>INDEX(属性投放!$BA$6:$BA$85,(BY151-2)*20+CD151)</f>
        <v>938</v>
      </c>
      <c r="CI151" s="14" t="s">
        <v>510</v>
      </c>
      <c r="CJ151" s="14">
        <f>INDEX(属性投放!$BB$6:$BB$85,(BY151-2)*20+CD151)</f>
        <v>12728</v>
      </c>
      <c r="CK151" s="14" t="s">
        <v>21</v>
      </c>
      <c r="CL151" s="14">
        <f>INDEX(属性投放!$BC$6:$BC$85,(BY151-2)*20+CD151)</f>
        <v>25</v>
      </c>
      <c r="CM151" s="14" t="s">
        <v>22</v>
      </c>
      <c r="CN151" s="14">
        <f>INDEX(属性投放!$BD$6:$BD$85,(BY151-2)*20+CD151)</f>
        <v>13</v>
      </c>
      <c r="CO151" s="14" t="s">
        <v>510</v>
      </c>
      <c r="CP151" s="14">
        <f>INDEX(属性投放!$BE$6:$BE$85,(BY151-2)*20+CD151)</f>
        <v>200</v>
      </c>
      <c r="CS151" s="13">
        <v>147</v>
      </c>
      <c r="CT151" s="13">
        <f t="shared" si="334"/>
        <v>3</v>
      </c>
      <c r="CU151" s="13">
        <f t="shared" si="335"/>
        <v>43</v>
      </c>
      <c r="CV151" s="14">
        <f t="shared" si="336"/>
        <v>4</v>
      </c>
      <c r="CW151" s="14">
        <f t="shared" si="337"/>
        <v>1102003</v>
      </c>
      <c r="CX151" s="14" t="str">
        <f>INDEX($O$6:$O$50,CT151)&amp;"-"&amp;INDEX(属性投放!$AB$7:$AB$50,CZ151)&amp;"-魂火-"&amp;DB151</f>
        <v>典韦-大焦热+2-魂火-1</v>
      </c>
      <c r="CY151" s="25" t="s">
        <v>142</v>
      </c>
      <c r="CZ151" s="14">
        <f>INDEX(属性投放!$AM$7:$AM$58,CU151)</f>
        <v>18</v>
      </c>
      <c r="DA151" s="14" t="s">
        <v>537</v>
      </c>
      <c r="DB151" s="14">
        <f>INDEX(属性投放!$AN$7:$AN$58,CU151)</f>
        <v>1</v>
      </c>
      <c r="DC151" s="14">
        <f t="shared" si="323"/>
        <v>43</v>
      </c>
      <c r="DD151" s="14">
        <f>INDEX(属性投放!$AO$7:$AO$58,DC151)</f>
        <v>125</v>
      </c>
      <c r="DE151" s="14" t="s">
        <v>538</v>
      </c>
      <c r="DF151" s="14">
        <f>INDEX(属性投放!$BK$6:$BK$85,(CV151-2)*20+CZ151)</f>
        <v>750</v>
      </c>
      <c r="DG151" s="14">
        <f>SUMIFS(DF$5:DF151,$CT$5:$CT151,"="&amp;$CT151)</f>
        <v>10135</v>
      </c>
      <c r="DH151" s="14" t="s">
        <v>539</v>
      </c>
      <c r="DI151" s="14">
        <f>INDEX(属性投放!$BL$6:$BL$85,(CV151-2)*20+CZ151)</f>
        <v>375</v>
      </c>
      <c r="DJ151" s="14">
        <f>SUMIFS(DI$5:DI151,$CT$5:$CT151,"="&amp;$CT151)</f>
        <v>5077</v>
      </c>
      <c r="DK151" s="14" t="s">
        <v>540</v>
      </c>
      <c r="DL151" s="14">
        <f>INDEX(属性投放!$BM$6:$BM$85,(CV151-2)*20+CZ151)</f>
        <v>7500</v>
      </c>
      <c r="DM151" s="14">
        <f>SUMIFS(DL$5:DL151,$CT$5:$CT151,"="&amp;$CT151)</f>
        <v>96785</v>
      </c>
      <c r="DR151" s="14">
        <f t="shared" si="324"/>
        <v>1102008</v>
      </c>
      <c r="DS151" s="14" t="str">
        <f t="shared" si="325"/>
        <v>夏侯渊7突</v>
      </c>
      <c r="DT151" s="14">
        <f t="shared" si="338"/>
        <v>7</v>
      </c>
      <c r="DU151" s="14">
        <f t="shared" si="339"/>
        <v>5</v>
      </c>
      <c r="DV151" s="14">
        <f t="shared" si="340"/>
        <v>9</v>
      </c>
      <c r="DW151" s="14">
        <f t="shared" si="326"/>
        <v>4</v>
      </c>
      <c r="DX151" s="14">
        <f t="shared" si="327"/>
        <v>7</v>
      </c>
      <c r="DY151" s="14">
        <f t="shared" si="328"/>
        <v>47</v>
      </c>
      <c r="DZ151" s="14">
        <f>INDEX(属性投放!$AX$6:$AX$85,(卡牌属性!DW151-2)*20+卡牌属性!DX151)</f>
        <v>5</v>
      </c>
      <c r="EA151" s="14">
        <f>INDEX(属性投放!BQ$6:BQ$85,卡牌属性!$DY151)</f>
        <v>165</v>
      </c>
      <c r="EB151" s="14">
        <f>INDEX(属性投放!BR$6:BR$85,卡牌属性!$DY151)</f>
        <v>83</v>
      </c>
      <c r="EC151" s="14">
        <f>INDEX(属性投放!BS$6:BS$85,卡牌属性!$DY151)</f>
        <v>1320</v>
      </c>
      <c r="ED151" s="14">
        <f t="shared" si="389"/>
        <v>1523</v>
      </c>
      <c r="EE151" s="14">
        <f t="shared" si="390"/>
        <v>1661</v>
      </c>
      <c r="EF151" s="14">
        <f t="shared" si="391"/>
        <v>1845</v>
      </c>
      <c r="EG151" s="14">
        <f t="shared" si="392"/>
        <v>1845</v>
      </c>
      <c r="EH151" s="14">
        <f t="shared" si="393"/>
        <v>2125</v>
      </c>
      <c r="EI151" s="14">
        <f t="shared" si="394"/>
        <v>546</v>
      </c>
      <c r="EJ151" s="14">
        <f t="shared" si="395"/>
        <v>602</v>
      </c>
      <c r="EK151" s="14">
        <f t="shared" si="396"/>
        <v>602</v>
      </c>
      <c r="EL151" s="14">
        <f t="shared" si="397"/>
        <v>722</v>
      </c>
      <c r="EM151" s="14">
        <f t="shared" si="398"/>
        <v>793</v>
      </c>
      <c r="EN151" s="14">
        <f t="shared" si="399"/>
        <v>11400</v>
      </c>
      <c r="EO151" s="14">
        <f t="shared" si="400"/>
        <v>13190</v>
      </c>
      <c r="EP151" s="14">
        <f t="shared" si="401"/>
        <v>13190</v>
      </c>
      <c r="EQ151" s="14">
        <f t="shared" si="402"/>
        <v>15950</v>
      </c>
      <c r="ER151" s="14">
        <f t="shared" si="403"/>
        <v>19310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240</v>
      </c>
      <c r="FD151" s="14">
        <f>INDEX(属性偏向!$U$4:$U$243,(卡牌属性!$DV151-1+FD$3)*20+卡牌属性!$DX151)</f>
        <v>320</v>
      </c>
      <c r="FE151" s="14">
        <f>INDEX(属性偏向!$U$4:$U$243,(卡牌属性!$DV151-1+FE$3)*20+卡牌属性!$DX151)</f>
        <v>320</v>
      </c>
      <c r="FF151" s="14">
        <f>INDEX(属性偏向!$U$4:$U$243,(卡牌属性!$DV151-1+FF$3)*20+卡牌属性!$DX151)</f>
        <v>400</v>
      </c>
      <c r="FG151" s="14">
        <f>INDEX(属性偏向!$U$4:$U$243,(卡牌属性!$DV151-1+FG$3)*20+卡牌属性!$DX151)</f>
        <v>600</v>
      </c>
      <c r="FH151" s="14">
        <f>INDEX(属性投放!$BQ$6:$BQ$85,(卡牌属性!$DW151-2)*20+卡牌属性!$DX151)</f>
        <v>165</v>
      </c>
      <c r="FI151" s="14">
        <f>INDEX(属性投放!$BQ$6:$BQ$85,(卡牌属性!$DW151-2)*20+卡牌属性!$DX151)</f>
        <v>165</v>
      </c>
      <c r="FJ151" s="14">
        <f>INDEX(属性投放!$BQ$6:$BQ$85,(卡牌属性!$DW151-2)*20+卡牌属性!$DX151)</f>
        <v>165</v>
      </c>
      <c r="FK151" s="14">
        <f>INDEX(属性投放!$BQ$6:$BQ$85,(卡牌属性!$DW151-2)*20+卡牌属性!$DX151)</f>
        <v>165</v>
      </c>
      <c r="FL151" s="14">
        <f>INDEX(属性投放!$BQ$6:$BQ$85,(卡牌属性!$DW151-2)*20+卡牌属性!$DX151)</f>
        <v>165</v>
      </c>
      <c r="FM151" s="14">
        <f>INDEX(属性投放!$BR$6:$BR$85,(卡牌属性!$DW151-2)*20+卡牌属性!$DX151)</f>
        <v>83</v>
      </c>
      <c r="FN151" s="14">
        <f>INDEX(属性投放!$BR$6:$BR$85,(卡牌属性!$DW151-2)*20+卡牌属性!$DX151)</f>
        <v>83</v>
      </c>
      <c r="FO151" s="14">
        <f>INDEX(属性投放!$BR$6:$BR$85,(卡牌属性!$DW151-2)*20+卡牌属性!$DX151)</f>
        <v>83</v>
      </c>
      <c r="FP151" s="14">
        <f>INDEX(属性投放!$BR$6:$BR$85,(卡牌属性!$DW151-2)*20+卡牌属性!$DX151)</f>
        <v>83</v>
      </c>
      <c r="FQ151" s="14">
        <f>INDEX(属性投放!$BR$6:$BR$85,(卡牌属性!$DW151-2)*20+卡牌属性!$DX151)</f>
        <v>83</v>
      </c>
      <c r="FR151" s="14">
        <f>INDEX(属性投放!$BS$6:$BS$85,(卡牌属性!$DW151-2)*20+卡牌属性!$DX151)</f>
        <v>1320</v>
      </c>
      <c r="FS151" s="14">
        <f>INDEX(属性投放!$BS$6:$BS$85,(卡牌属性!$DW151-2)*20+卡牌属性!$DX151)</f>
        <v>1320</v>
      </c>
      <c r="FT151" s="14">
        <f>INDEX(属性投放!$BS$6:$BS$85,(卡牌属性!$DW151-2)*20+卡牌属性!$DX151)</f>
        <v>1320</v>
      </c>
      <c r="FU151" s="14">
        <f>INDEX(属性投放!$BS$6:$BS$85,(卡牌属性!$DW151-2)*20+卡牌属性!$DX151)</f>
        <v>1320</v>
      </c>
      <c r="FV151" s="14">
        <f>INDEX(属性投放!$BS$6:$BS$85,(卡牌属性!$DW151-2)*20+卡牌属性!$DX151)</f>
        <v>1320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MATCH(HC151,属性投放!$AO$6:$AO$58,1)-1</f>
        <v>51</v>
      </c>
      <c r="HF151" s="13">
        <f>MATCH(HC151-1,属性投放!$AE$6:$AE$26,1)</f>
        <v>20</v>
      </c>
      <c r="HG151" s="13" t="str">
        <f>INDEX(属性投放!$AB$7:$AB$26,卡牌属性!HF151)</f>
        <v>无间+1</v>
      </c>
      <c r="HH151" s="14">
        <f t="shared" si="342"/>
        <v>13193</v>
      </c>
      <c r="HI151" s="14">
        <f t="shared" si="343"/>
        <v>5838</v>
      </c>
      <c r="HJ151" s="14">
        <f t="shared" si="344"/>
        <v>109184</v>
      </c>
      <c r="HK151" s="14">
        <f t="shared" si="345"/>
        <v>75</v>
      </c>
      <c r="HL151" s="14">
        <f t="shared" si="346"/>
        <v>23</v>
      </c>
      <c r="HM151" s="14">
        <f t="shared" si="347"/>
        <v>450</v>
      </c>
      <c r="HN151" s="14">
        <f>HH151+HK151*($HC151-INDEX(属性投放!$AE$6:$AE$26,卡牌属性!$HF151))</f>
        <v>13718</v>
      </c>
      <c r="HO151" s="14">
        <f>HI151+HL151*($HC151-INDEX(属性投放!$AE$6:$AE$26,卡牌属性!$HF151))</f>
        <v>5999</v>
      </c>
      <c r="HP151" s="14">
        <f>HJ151+HM151*($HC151-INDEX(属性投放!$AE$6:$AE$26,卡牌属性!$HF151))</f>
        <v>112334</v>
      </c>
      <c r="HQ151" s="14">
        <f t="shared" si="348"/>
        <v>17335</v>
      </c>
      <c r="HR151" s="14">
        <f t="shared" si="349"/>
        <v>8677</v>
      </c>
      <c r="HS151" s="14">
        <f t="shared" si="350"/>
        <v>168785</v>
      </c>
      <c r="HT151" s="14">
        <f>IF(COUNTIF(属性投放!$AO$7:$AO$58,"="&amp;卡牌属性!HC151)&gt;0,卡牌属性!HE151,0)</f>
        <v>0</v>
      </c>
      <c r="HU151" s="14">
        <f t="shared" si="351"/>
        <v>0</v>
      </c>
      <c r="HV151" s="14">
        <f t="shared" si="352"/>
        <v>0</v>
      </c>
      <c r="HW151" s="14">
        <f t="shared" si="353"/>
        <v>0</v>
      </c>
      <c r="HX151" s="14">
        <f>IF(COUNTIF(属性投放!$AE$6:$AE$26,"="&amp;卡牌属性!HC151)&gt;0,卡牌属性!HF151,0)</f>
        <v>0</v>
      </c>
      <c r="HY151" s="14">
        <f t="shared" si="354"/>
        <v>0</v>
      </c>
      <c r="HZ151" s="14">
        <f t="shared" si="355"/>
        <v>0</v>
      </c>
      <c r="IA151" s="14">
        <f t="shared" si="356"/>
        <v>0</v>
      </c>
      <c r="IB151" s="14">
        <f t="shared" si="357"/>
        <v>75</v>
      </c>
      <c r="IC151" s="14">
        <f t="shared" si="358"/>
        <v>23</v>
      </c>
      <c r="ID151" s="14">
        <f t="shared" si="359"/>
        <v>450</v>
      </c>
      <c r="IE151" s="14">
        <f t="shared" si="360"/>
        <v>31053</v>
      </c>
      <c r="IF151" s="14">
        <f t="shared" si="361"/>
        <v>14676</v>
      </c>
      <c r="IG151" s="14">
        <f t="shared" si="362"/>
        <v>281119</v>
      </c>
      <c r="IH151" s="14">
        <f t="shared" si="363"/>
        <v>1660</v>
      </c>
      <c r="II151" s="14">
        <f t="shared" si="364"/>
        <v>0</v>
      </c>
      <c r="IJ151" s="14">
        <f t="shared" si="365"/>
        <v>0</v>
      </c>
      <c r="IK151" s="14">
        <f t="shared" si="366"/>
        <v>885169</v>
      </c>
      <c r="IL151" s="17">
        <f t="shared" si="367"/>
        <v>1.875348097368977E-3</v>
      </c>
      <c r="IM151" s="17">
        <f t="shared" si="368"/>
        <v>0</v>
      </c>
      <c r="IN151" s="17">
        <f t="shared" si="369"/>
        <v>0</v>
      </c>
      <c r="IO151" s="23">
        <f>SUM(IH$5:IH151)</f>
        <v>115684</v>
      </c>
      <c r="IP151" s="14">
        <f>SUM(II$5:II151)</f>
        <v>515675</v>
      </c>
      <c r="IQ151" s="14">
        <f>SUM(IJ$5:IJ151)</f>
        <v>205640</v>
      </c>
      <c r="IR151" s="17">
        <f t="shared" si="370"/>
        <v>0.13069142728676672</v>
      </c>
      <c r="IS151" s="17">
        <f t="shared" si="371"/>
        <v>0.58257236753659469</v>
      </c>
      <c r="IT151" s="17">
        <f t="shared" si="372"/>
        <v>0.23231721851985326</v>
      </c>
      <c r="IW151" s="13">
        <v>147</v>
      </c>
      <c r="IX151" s="14">
        <f>MATCH(IW151-1,属性投放!$T$6:$T$66,1)</f>
        <v>55</v>
      </c>
      <c r="IY151" s="14">
        <f>MATCH(IW151-1,属性投放!$AD$7:$AD$26,1)</f>
        <v>19</v>
      </c>
      <c r="IZ151" s="14" t="str">
        <f>INDEX(属性投放!$AB$7:$AB$26,IY151)</f>
        <v>无间</v>
      </c>
      <c r="JA151" s="14">
        <f t="shared" si="373"/>
        <v>17934</v>
      </c>
      <c r="JB151" s="14">
        <f t="shared" si="374"/>
        <v>8921</v>
      </c>
      <c r="JC151" s="14">
        <f t="shared" si="375"/>
        <v>171016</v>
      </c>
      <c r="JD151" s="14">
        <f t="shared" si="376"/>
        <v>462</v>
      </c>
      <c r="JE151" s="14">
        <f t="shared" si="377"/>
        <v>231</v>
      </c>
      <c r="JF151" s="14">
        <f t="shared" si="378"/>
        <v>4620</v>
      </c>
      <c r="JG151" s="14">
        <f>INDEX(属性投放!$DC$6:$DC$85,卡牌属性!IY151)</f>
        <v>135</v>
      </c>
      <c r="JH151" s="14">
        <f t="shared" si="379"/>
        <v>23478</v>
      </c>
      <c r="JI151" s="14">
        <f t="shared" si="380"/>
        <v>11693</v>
      </c>
      <c r="JJ151" s="14">
        <f t="shared" si="381"/>
        <v>226456</v>
      </c>
      <c r="JK151" s="14">
        <f t="shared" si="382"/>
        <v>460776</v>
      </c>
    </row>
    <row r="152" spans="31:271" ht="16.5" x14ac:dyDescent="0.2">
      <c r="AE152" s="13">
        <v>148</v>
      </c>
      <c r="AF152" s="13">
        <f t="shared" si="331"/>
        <v>8</v>
      </c>
      <c r="AG152" s="13">
        <f t="shared" si="316"/>
        <v>2</v>
      </c>
      <c r="AH152" s="13"/>
      <c r="AI152" s="13"/>
      <c r="AJ152" s="14">
        <f t="shared" si="317"/>
        <v>1101008</v>
      </c>
      <c r="AK152" s="14" t="str">
        <f t="shared" si="318"/>
        <v>黑尔·坎普8突</v>
      </c>
      <c r="AL152" s="25" t="s">
        <v>142</v>
      </c>
      <c r="AM152" s="14">
        <v>1</v>
      </c>
      <c r="AN152" s="14">
        <f t="shared" si="319"/>
        <v>8</v>
      </c>
      <c r="AO152" s="14">
        <f>INDEX(属性投放!$DF$6:$DF$85,(卡牌属性!AG152-2)*20+卡牌属性!AN152)</f>
        <v>1179</v>
      </c>
      <c r="AP152" s="14">
        <f t="shared" si="383"/>
        <v>1179</v>
      </c>
      <c r="AQ152" s="14">
        <f t="shared" si="383"/>
        <v>1179</v>
      </c>
      <c r="AR152" s="14">
        <f t="shared" si="383"/>
        <v>1179</v>
      </c>
      <c r="AS152" s="14">
        <f t="shared" si="383"/>
        <v>1179</v>
      </c>
      <c r="AT152" s="14">
        <f>INDEX(属性投放!$DG$6:$DG$85,(卡牌属性!AG152-2)*20+卡牌属性!AN152)</f>
        <v>539</v>
      </c>
      <c r="AU152" s="14">
        <f t="shared" si="384"/>
        <v>539</v>
      </c>
      <c r="AV152" s="14">
        <f t="shared" si="384"/>
        <v>539</v>
      </c>
      <c r="AW152" s="14">
        <f t="shared" si="384"/>
        <v>539</v>
      </c>
      <c r="AX152" s="14">
        <f t="shared" si="384"/>
        <v>539</v>
      </c>
      <c r="AY152" s="14">
        <f>INDEX(属性投放!$DH$6:$DH$85,(卡牌属性!AG152-2)*20+卡牌属性!AN152)</f>
        <v>7613</v>
      </c>
      <c r="AZ152" s="14">
        <f t="shared" si="385"/>
        <v>7613</v>
      </c>
      <c r="BA152" s="14">
        <f t="shared" si="385"/>
        <v>7613</v>
      </c>
      <c r="BB152" s="14">
        <f t="shared" si="385"/>
        <v>7613</v>
      </c>
      <c r="BC152" s="14">
        <f t="shared" si="385"/>
        <v>7613</v>
      </c>
      <c r="BD152" s="14">
        <f>INDEX(属性投放!$DL$6:$DL$85,(卡牌属性!AG152-2)*20+卡牌属性!AN152)</f>
        <v>36</v>
      </c>
      <c r="BE152" s="14">
        <f t="shared" si="386"/>
        <v>36</v>
      </c>
      <c r="BF152" s="14">
        <f t="shared" si="386"/>
        <v>36</v>
      </c>
      <c r="BG152" s="14">
        <f t="shared" si="386"/>
        <v>36</v>
      </c>
      <c r="BH152" s="14">
        <f t="shared" si="386"/>
        <v>36</v>
      </c>
      <c r="BI152" s="14">
        <f>INDEX(属性投放!$DM$6:$DM$85,(卡牌属性!AG152-2)*20+卡牌属性!AN152)</f>
        <v>18</v>
      </c>
      <c r="BJ152" s="14">
        <f t="shared" si="387"/>
        <v>18</v>
      </c>
      <c r="BK152" s="14">
        <f t="shared" si="387"/>
        <v>18</v>
      </c>
      <c r="BL152" s="14">
        <f t="shared" si="387"/>
        <v>18</v>
      </c>
      <c r="BM152" s="14">
        <f t="shared" si="387"/>
        <v>18</v>
      </c>
      <c r="BN152" s="14">
        <f>INDEX(属性投放!$DN$6:$DN$85,(卡牌属性!AG152-2)*20+卡牌属性!AN152)</f>
        <v>286</v>
      </c>
      <c r="BO152" s="14">
        <f t="shared" si="388"/>
        <v>286</v>
      </c>
      <c r="BP152" s="14">
        <f t="shared" si="388"/>
        <v>286</v>
      </c>
      <c r="BQ152" s="14">
        <f t="shared" si="388"/>
        <v>286</v>
      </c>
      <c r="BR152" s="14">
        <f t="shared" si="388"/>
        <v>286</v>
      </c>
      <c r="BW152" s="13">
        <v>148</v>
      </c>
      <c r="BX152" s="13">
        <f t="shared" si="320"/>
        <v>8</v>
      </c>
      <c r="BY152" s="14">
        <f t="shared" si="321"/>
        <v>4</v>
      </c>
      <c r="BZ152" s="14">
        <f t="shared" si="332"/>
        <v>1102008</v>
      </c>
      <c r="CA152" s="14" t="str">
        <f t="shared" si="333"/>
        <v>夏侯渊8突</v>
      </c>
      <c r="CB152" s="25" t="s">
        <v>142</v>
      </c>
      <c r="CC152" s="14">
        <v>2</v>
      </c>
      <c r="CD152" s="14">
        <f t="shared" si="322"/>
        <v>8</v>
      </c>
      <c r="CE152" s="14" t="s">
        <v>21</v>
      </c>
      <c r="CF152" s="14">
        <f>INDEX(属性投放!$AZ$6:$AZ$85,(BY152-2)*20+CD152)</f>
        <v>2448</v>
      </c>
      <c r="CG152" s="14" t="s">
        <v>22</v>
      </c>
      <c r="CH152" s="14">
        <f>INDEX(属性投放!$BA$6:$BA$85,(BY152-2)*20+CD152)</f>
        <v>1166</v>
      </c>
      <c r="CI152" s="14" t="s">
        <v>510</v>
      </c>
      <c r="CJ152" s="14">
        <f>INDEX(属性投放!$BB$6:$BB$85,(BY152-2)*20+CD152)</f>
        <v>16328</v>
      </c>
      <c r="CK152" s="14" t="s">
        <v>21</v>
      </c>
      <c r="CL152" s="14">
        <f>INDEX(属性投放!$BC$6:$BC$85,(BY152-2)*20+CD152)</f>
        <v>25</v>
      </c>
      <c r="CM152" s="14" t="s">
        <v>22</v>
      </c>
      <c r="CN152" s="14">
        <f>INDEX(属性投放!$BD$6:$BD$85,(BY152-2)*20+CD152)</f>
        <v>13</v>
      </c>
      <c r="CO152" s="14" t="s">
        <v>510</v>
      </c>
      <c r="CP152" s="14">
        <f>INDEX(属性投放!$BE$6:$BE$85,(BY152-2)*20+CD152)</f>
        <v>200</v>
      </c>
      <c r="CS152" s="13">
        <v>148</v>
      </c>
      <c r="CT152" s="13">
        <f t="shared" si="334"/>
        <v>3</v>
      </c>
      <c r="CU152" s="13">
        <f t="shared" si="335"/>
        <v>44</v>
      </c>
      <c r="CV152" s="14">
        <f t="shared" si="336"/>
        <v>4</v>
      </c>
      <c r="CW152" s="14">
        <f t="shared" si="337"/>
        <v>1102003</v>
      </c>
      <c r="CX152" s="14" t="str">
        <f>INDEX($O$6:$O$50,CT152)&amp;"-"&amp;INDEX(属性投放!$AB$7:$AB$50,CZ152)&amp;"-魂火-"&amp;DB152</f>
        <v>典韦-大焦热+2-魂火-2</v>
      </c>
      <c r="CY152" s="25" t="s">
        <v>142</v>
      </c>
      <c r="CZ152" s="14">
        <f>INDEX(属性投放!$AM$7:$AM$58,CU152)</f>
        <v>18</v>
      </c>
      <c r="DA152" s="14" t="s">
        <v>537</v>
      </c>
      <c r="DB152" s="14">
        <f>INDEX(属性投放!$AN$7:$AN$58,CU152)</f>
        <v>2</v>
      </c>
      <c r="DC152" s="14">
        <f t="shared" si="323"/>
        <v>44</v>
      </c>
      <c r="DD152" s="14">
        <f>INDEX(属性投放!$AO$7:$AO$58,DC152)</f>
        <v>128</v>
      </c>
      <c r="DE152" s="14" t="s">
        <v>538</v>
      </c>
      <c r="DF152" s="14">
        <f>INDEX(属性投放!$BK$6:$BK$85,(CV152-2)*20+CZ152)</f>
        <v>750</v>
      </c>
      <c r="DG152" s="14">
        <f>SUMIFS(DF$5:DF152,$CT$5:$CT152,"="&amp;$CT152)</f>
        <v>10885</v>
      </c>
      <c r="DH152" s="14" t="s">
        <v>539</v>
      </c>
      <c r="DI152" s="14">
        <f>INDEX(属性投放!$BL$6:$BL$85,(CV152-2)*20+CZ152)</f>
        <v>375</v>
      </c>
      <c r="DJ152" s="14">
        <f>SUMIFS(DI$5:DI152,$CT$5:$CT152,"="&amp;$CT152)</f>
        <v>5452</v>
      </c>
      <c r="DK152" s="14" t="s">
        <v>540</v>
      </c>
      <c r="DL152" s="14">
        <f>INDEX(属性投放!$BM$6:$BM$85,(CV152-2)*20+CZ152)</f>
        <v>7500</v>
      </c>
      <c r="DM152" s="14">
        <f>SUMIFS(DL$5:DL152,$CT$5:$CT152,"="&amp;$CT152)</f>
        <v>104285</v>
      </c>
      <c r="DR152" s="14">
        <f t="shared" si="324"/>
        <v>1102008</v>
      </c>
      <c r="DS152" s="14" t="str">
        <f t="shared" si="325"/>
        <v>夏侯渊8突</v>
      </c>
      <c r="DT152" s="14">
        <f t="shared" si="338"/>
        <v>7</v>
      </c>
      <c r="DU152" s="14">
        <f t="shared" si="339"/>
        <v>5</v>
      </c>
      <c r="DV152" s="14">
        <f t="shared" si="340"/>
        <v>9</v>
      </c>
      <c r="DW152" s="14">
        <f t="shared" si="326"/>
        <v>4</v>
      </c>
      <c r="DX152" s="14">
        <f t="shared" si="327"/>
        <v>8</v>
      </c>
      <c r="DY152" s="14">
        <f t="shared" si="328"/>
        <v>48</v>
      </c>
      <c r="DZ152" s="14">
        <f>INDEX(属性投放!$AX$6:$AX$85,(卡牌属性!DW152-2)*20+卡牌属性!DX152)</f>
        <v>5</v>
      </c>
      <c r="EA152" s="14">
        <f>INDEX(属性投放!BQ$6:BQ$85,卡牌属性!$DY152)</f>
        <v>125</v>
      </c>
      <c r="EB152" s="14">
        <f>INDEX(属性投放!BR$6:BR$85,卡牌属性!$DY152)</f>
        <v>63</v>
      </c>
      <c r="EC152" s="14">
        <f>INDEX(属性投放!BS$6:BS$85,卡牌属性!$DY152)</f>
        <v>1000</v>
      </c>
      <c r="ED152" s="14">
        <f t="shared" si="389"/>
        <v>1813</v>
      </c>
      <c r="EE152" s="14">
        <f t="shared" si="390"/>
        <v>1966</v>
      </c>
      <c r="EF152" s="14">
        <f t="shared" si="391"/>
        <v>2160</v>
      </c>
      <c r="EG152" s="14">
        <f t="shared" si="392"/>
        <v>2160</v>
      </c>
      <c r="EH152" s="14">
        <f t="shared" si="393"/>
        <v>2490</v>
      </c>
      <c r="EI152" s="14">
        <f t="shared" si="394"/>
        <v>669</v>
      </c>
      <c r="EJ152" s="14">
        <f t="shared" si="395"/>
        <v>725</v>
      </c>
      <c r="EK152" s="14">
        <f t="shared" si="396"/>
        <v>725</v>
      </c>
      <c r="EL152" s="14">
        <f t="shared" si="397"/>
        <v>870</v>
      </c>
      <c r="EM152" s="14">
        <f t="shared" si="398"/>
        <v>946</v>
      </c>
      <c r="EN152" s="14">
        <f t="shared" si="399"/>
        <v>13920</v>
      </c>
      <c r="EO152" s="14">
        <f t="shared" si="400"/>
        <v>16110</v>
      </c>
      <c r="EP152" s="14">
        <f t="shared" si="401"/>
        <v>16110</v>
      </c>
      <c r="EQ152" s="14">
        <f t="shared" si="402"/>
        <v>19270</v>
      </c>
      <c r="ER152" s="14">
        <f t="shared" si="403"/>
        <v>23630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240</v>
      </c>
      <c r="FD152" s="14">
        <f>INDEX(属性偏向!$U$4:$U$243,(卡牌属性!$DV152-1+FD$3)*20+卡牌属性!$DX152)</f>
        <v>320</v>
      </c>
      <c r="FE152" s="14">
        <f>INDEX(属性偏向!$U$4:$U$243,(卡牌属性!$DV152-1+FE$3)*20+卡牌属性!$DX152)</f>
        <v>320</v>
      </c>
      <c r="FF152" s="14">
        <f>INDEX(属性偏向!$U$4:$U$243,(卡牌属性!$DV152-1+FF$3)*20+卡牌属性!$DX152)</f>
        <v>400</v>
      </c>
      <c r="FG152" s="14">
        <f>INDEX(属性偏向!$U$4:$U$243,(卡牌属性!$DV152-1+FG$3)*20+卡牌属性!$DX152)</f>
        <v>600</v>
      </c>
      <c r="FH152" s="14">
        <f>INDEX(属性投放!$BQ$6:$BQ$85,(卡牌属性!$DW152-2)*20+卡牌属性!$DX152)</f>
        <v>125</v>
      </c>
      <c r="FI152" s="14">
        <f>INDEX(属性投放!$BQ$6:$BQ$85,(卡牌属性!$DW152-2)*20+卡牌属性!$DX152)</f>
        <v>125</v>
      </c>
      <c r="FJ152" s="14">
        <f>INDEX(属性投放!$BQ$6:$BQ$85,(卡牌属性!$DW152-2)*20+卡牌属性!$DX152)</f>
        <v>125</v>
      </c>
      <c r="FK152" s="14">
        <f>INDEX(属性投放!$BQ$6:$BQ$85,(卡牌属性!$DW152-2)*20+卡牌属性!$DX152)</f>
        <v>125</v>
      </c>
      <c r="FL152" s="14">
        <f>INDEX(属性投放!$BQ$6:$BQ$85,(卡牌属性!$DW152-2)*20+卡牌属性!$DX152)</f>
        <v>125</v>
      </c>
      <c r="FM152" s="14">
        <f>INDEX(属性投放!$BR$6:$BR$85,(卡牌属性!$DW152-2)*20+卡牌属性!$DX152)</f>
        <v>63</v>
      </c>
      <c r="FN152" s="14">
        <f>INDEX(属性投放!$BR$6:$BR$85,(卡牌属性!$DW152-2)*20+卡牌属性!$DX152)</f>
        <v>63</v>
      </c>
      <c r="FO152" s="14">
        <f>INDEX(属性投放!$BR$6:$BR$85,(卡牌属性!$DW152-2)*20+卡牌属性!$DX152)</f>
        <v>63</v>
      </c>
      <c r="FP152" s="14">
        <f>INDEX(属性投放!$BR$6:$BR$85,(卡牌属性!$DW152-2)*20+卡牌属性!$DX152)</f>
        <v>63</v>
      </c>
      <c r="FQ152" s="14">
        <f>INDEX(属性投放!$BR$6:$BR$85,(卡牌属性!$DW152-2)*20+卡牌属性!$DX152)</f>
        <v>63</v>
      </c>
      <c r="FR152" s="14">
        <f>INDEX(属性投放!$BS$6:$BS$85,(卡牌属性!$DW152-2)*20+卡牌属性!$DX152)</f>
        <v>1000</v>
      </c>
      <c r="FS152" s="14">
        <f>INDEX(属性投放!$BS$6:$BS$85,(卡牌属性!$DW152-2)*20+卡牌属性!$DX152)</f>
        <v>1000</v>
      </c>
      <c r="FT152" s="14">
        <f>INDEX(属性投放!$BS$6:$BS$85,(卡牌属性!$DW152-2)*20+卡牌属性!$DX152)</f>
        <v>1000</v>
      </c>
      <c r="FU152" s="14">
        <f>INDEX(属性投放!$BS$6:$BS$85,(卡牌属性!$DW152-2)*20+卡牌属性!$DX152)</f>
        <v>1000</v>
      </c>
      <c r="FV152" s="14">
        <f>INDEX(属性投放!$BS$6:$BS$85,(卡牌属性!$DW152-2)*20+卡牌属性!$DX152)</f>
        <v>1000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MATCH(HC152,属性投放!$AO$6:$AO$58,1)-1</f>
        <v>52</v>
      </c>
      <c r="HF152" s="13">
        <f>MATCH(HC152-1,属性投放!$AE$6:$AE$26,1)</f>
        <v>20</v>
      </c>
      <c r="HG152" s="13" t="str">
        <f>INDEX(属性投放!$AB$7:$AB$26,卡牌属性!HF152)</f>
        <v>无间+1</v>
      </c>
      <c r="HH152" s="14">
        <f t="shared" si="342"/>
        <v>13193</v>
      </c>
      <c r="HI152" s="14">
        <f t="shared" si="343"/>
        <v>5838</v>
      </c>
      <c r="HJ152" s="14">
        <f t="shared" si="344"/>
        <v>109184</v>
      </c>
      <c r="HK152" s="14">
        <f t="shared" si="345"/>
        <v>75</v>
      </c>
      <c r="HL152" s="14">
        <f t="shared" si="346"/>
        <v>23</v>
      </c>
      <c r="HM152" s="14">
        <f t="shared" si="347"/>
        <v>450</v>
      </c>
      <c r="HN152" s="14">
        <f>HH152+HK152*($HC152-INDEX(属性投放!$AE$6:$AE$26,卡牌属性!$HF152))</f>
        <v>13793</v>
      </c>
      <c r="HO152" s="14">
        <f>HI152+HL152*($HC152-INDEX(属性投放!$AE$6:$AE$26,卡牌属性!$HF152))</f>
        <v>6022</v>
      </c>
      <c r="HP152" s="14">
        <f>HJ152+HM152*($HC152-INDEX(属性投放!$AE$6:$AE$26,卡牌属性!$HF152))</f>
        <v>112784</v>
      </c>
      <c r="HQ152" s="14">
        <f t="shared" si="348"/>
        <v>18335</v>
      </c>
      <c r="HR152" s="14">
        <f t="shared" si="349"/>
        <v>9177</v>
      </c>
      <c r="HS152" s="14">
        <f t="shared" si="350"/>
        <v>178785</v>
      </c>
      <c r="HT152" s="14">
        <f>IF(COUNTIF(属性投放!$AO$7:$AO$58,"="&amp;卡牌属性!HC152)&gt;0,卡牌属性!HE152,0)</f>
        <v>52</v>
      </c>
      <c r="HU152" s="14">
        <f t="shared" si="351"/>
        <v>1000</v>
      </c>
      <c r="HV152" s="14">
        <f t="shared" si="352"/>
        <v>500</v>
      </c>
      <c r="HW152" s="14">
        <f t="shared" si="353"/>
        <v>10000</v>
      </c>
      <c r="HX152" s="14">
        <f>IF(COUNTIF(属性投放!$AE$6:$AE$26,"="&amp;卡牌属性!HC152)&gt;0,卡牌属性!HF152,0)</f>
        <v>0</v>
      </c>
      <c r="HY152" s="14">
        <f t="shared" si="354"/>
        <v>0</v>
      </c>
      <c r="HZ152" s="14">
        <f t="shared" si="355"/>
        <v>0</v>
      </c>
      <c r="IA152" s="14">
        <f t="shared" si="356"/>
        <v>0</v>
      </c>
      <c r="IB152" s="14">
        <f t="shared" si="357"/>
        <v>75</v>
      </c>
      <c r="IC152" s="14">
        <f t="shared" si="358"/>
        <v>23</v>
      </c>
      <c r="ID152" s="14">
        <f t="shared" si="359"/>
        <v>450</v>
      </c>
      <c r="IE152" s="14">
        <f t="shared" si="360"/>
        <v>32128</v>
      </c>
      <c r="IF152" s="14">
        <f t="shared" si="361"/>
        <v>15199</v>
      </c>
      <c r="IG152" s="14">
        <f t="shared" si="362"/>
        <v>291569</v>
      </c>
      <c r="IH152" s="14">
        <f t="shared" si="363"/>
        <v>1660</v>
      </c>
      <c r="II152" s="14">
        <f t="shared" si="364"/>
        <v>30000</v>
      </c>
      <c r="IJ152" s="14">
        <f t="shared" si="365"/>
        <v>0</v>
      </c>
      <c r="IK152" s="14">
        <f t="shared" si="366"/>
        <v>916829</v>
      </c>
      <c r="IL152" s="17">
        <f t="shared" si="367"/>
        <v>1.8105884521541094E-3</v>
      </c>
      <c r="IM152" s="17">
        <f t="shared" si="368"/>
        <v>3.272147805097788E-2</v>
      </c>
      <c r="IN152" s="17">
        <f t="shared" si="369"/>
        <v>0</v>
      </c>
      <c r="IO152" s="23">
        <f>SUM(IH$5:IH152)</f>
        <v>117344</v>
      </c>
      <c r="IP152" s="14">
        <f>SUM(II$5:II152)</f>
        <v>545675</v>
      </c>
      <c r="IQ152" s="14">
        <f>SUM(IJ$5:IJ152)</f>
        <v>205640</v>
      </c>
      <c r="IR152" s="17">
        <f t="shared" si="370"/>
        <v>0.12798897068046494</v>
      </c>
      <c r="IS152" s="17">
        <f t="shared" si="371"/>
        <v>0.59517641784891184</v>
      </c>
      <c r="IT152" s="17">
        <f t="shared" si="372"/>
        <v>0.22429482488010305</v>
      </c>
      <c r="IW152" s="13">
        <v>148</v>
      </c>
      <c r="IX152" s="14">
        <f>MATCH(IW152-1,属性投放!$T$6:$T$66,1)</f>
        <v>57</v>
      </c>
      <c r="IY152" s="14">
        <f>MATCH(IW152-1,属性投放!$AD$7:$AD$26,1)</f>
        <v>19</v>
      </c>
      <c r="IZ152" s="14" t="str">
        <f>INDEX(属性投放!$AB$7:$AB$26,IY152)</f>
        <v>无间</v>
      </c>
      <c r="JA152" s="14">
        <f t="shared" si="373"/>
        <v>17934</v>
      </c>
      <c r="JB152" s="14">
        <f t="shared" si="374"/>
        <v>8921</v>
      </c>
      <c r="JC152" s="14">
        <f t="shared" si="375"/>
        <v>171016</v>
      </c>
      <c r="JD152" s="14">
        <f t="shared" si="376"/>
        <v>462</v>
      </c>
      <c r="JE152" s="14">
        <f t="shared" si="377"/>
        <v>231</v>
      </c>
      <c r="JF152" s="14">
        <f t="shared" si="378"/>
        <v>4620</v>
      </c>
      <c r="JG152" s="14">
        <f>INDEX(属性投放!$DC$6:$DC$85,卡牌属性!IY152)</f>
        <v>135</v>
      </c>
      <c r="JH152" s="14">
        <f t="shared" si="379"/>
        <v>23940</v>
      </c>
      <c r="JI152" s="14">
        <f t="shared" si="380"/>
        <v>11924</v>
      </c>
      <c r="JJ152" s="14">
        <f t="shared" si="381"/>
        <v>231076</v>
      </c>
      <c r="JK152" s="14">
        <f t="shared" si="382"/>
        <v>470016</v>
      </c>
    </row>
    <row r="153" spans="31:271" ht="16.5" x14ac:dyDescent="0.2">
      <c r="AE153" s="13">
        <v>149</v>
      </c>
      <c r="AF153" s="13">
        <f t="shared" si="331"/>
        <v>8</v>
      </c>
      <c r="AG153" s="13">
        <f t="shared" si="316"/>
        <v>2</v>
      </c>
      <c r="AH153" s="13"/>
      <c r="AI153" s="13"/>
      <c r="AJ153" s="14">
        <f t="shared" si="317"/>
        <v>1101008</v>
      </c>
      <c r="AK153" s="14" t="str">
        <f t="shared" si="318"/>
        <v>黑尔·坎普9突</v>
      </c>
      <c r="AL153" s="25" t="s">
        <v>142</v>
      </c>
      <c r="AM153" s="14">
        <v>1</v>
      </c>
      <c r="AN153" s="14">
        <f t="shared" si="319"/>
        <v>9</v>
      </c>
      <c r="AO153" s="14">
        <f>INDEX(属性投放!$DF$6:$DF$85,(卡牌属性!AG153-2)*20+卡牌属性!AN153)</f>
        <v>1281</v>
      </c>
      <c r="AP153" s="14">
        <f t="shared" si="383"/>
        <v>1281</v>
      </c>
      <c r="AQ153" s="14">
        <f t="shared" si="383"/>
        <v>1281</v>
      </c>
      <c r="AR153" s="14">
        <f t="shared" si="383"/>
        <v>1281</v>
      </c>
      <c r="AS153" s="14">
        <f t="shared" si="383"/>
        <v>1281</v>
      </c>
      <c r="AT153" s="14">
        <f>INDEX(属性投放!$DG$6:$DG$85,(卡牌属性!AG153-2)*20+卡牌属性!AN153)</f>
        <v>590</v>
      </c>
      <c r="AU153" s="14">
        <f t="shared" si="384"/>
        <v>590</v>
      </c>
      <c r="AV153" s="14">
        <f t="shared" si="384"/>
        <v>590</v>
      </c>
      <c r="AW153" s="14">
        <f t="shared" si="384"/>
        <v>590</v>
      </c>
      <c r="AX153" s="14">
        <f t="shared" si="384"/>
        <v>590</v>
      </c>
      <c r="AY153" s="14">
        <f>INDEX(属性投放!$DH$6:$DH$85,(卡牌属性!AG153-2)*20+卡牌属性!AN153)</f>
        <v>8429</v>
      </c>
      <c r="AZ153" s="14">
        <f t="shared" si="385"/>
        <v>8429</v>
      </c>
      <c r="BA153" s="14">
        <f t="shared" si="385"/>
        <v>8429</v>
      </c>
      <c r="BB153" s="14">
        <f t="shared" si="385"/>
        <v>8429</v>
      </c>
      <c r="BC153" s="14">
        <f t="shared" si="385"/>
        <v>8429</v>
      </c>
      <c r="BD153" s="14">
        <f>INDEX(属性投放!$DL$6:$DL$85,(卡牌属性!AG153-2)*20+卡牌属性!AN153)</f>
        <v>36</v>
      </c>
      <c r="BE153" s="14">
        <f t="shared" si="386"/>
        <v>36</v>
      </c>
      <c r="BF153" s="14">
        <f t="shared" si="386"/>
        <v>36</v>
      </c>
      <c r="BG153" s="14">
        <f t="shared" si="386"/>
        <v>36</v>
      </c>
      <c r="BH153" s="14">
        <f t="shared" si="386"/>
        <v>36</v>
      </c>
      <c r="BI153" s="14">
        <f>INDEX(属性投放!$DM$6:$DM$85,(卡牌属性!AG153-2)*20+卡牌属性!AN153)</f>
        <v>18</v>
      </c>
      <c r="BJ153" s="14">
        <f t="shared" si="387"/>
        <v>18</v>
      </c>
      <c r="BK153" s="14">
        <f t="shared" si="387"/>
        <v>18</v>
      </c>
      <c r="BL153" s="14">
        <f t="shared" si="387"/>
        <v>18</v>
      </c>
      <c r="BM153" s="14">
        <f t="shared" si="387"/>
        <v>18</v>
      </c>
      <c r="BN153" s="14">
        <f>INDEX(属性投放!$DN$6:$DN$85,(卡牌属性!AG153-2)*20+卡牌属性!AN153)</f>
        <v>286</v>
      </c>
      <c r="BO153" s="14">
        <f t="shared" si="388"/>
        <v>286</v>
      </c>
      <c r="BP153" s="14">
        <f t="shared" si="388"/>
        <v>286</v>
      </c>
      <c r="BQ153" s="14">
        <f t="shared" si="388"/>
        <v>286</v>
      </c>
      <c r="BR153" s="14">
        <f t="shared" si="388"/>
        <v>286</v>
      </c>
      <c r="BW153" s="13">
        <v>149</v>
      </c>
      <c r="BX153" s="13">
        <f t="shared" si="320"/>
        <v>8</v>
      </c>
      <c r="BY153" s="14">
        <f t="shared" si="321"/>
        <v>4</v>
      </c>
      <c r="BZ153" s="14">
        <f t="shared" si="332"/>
        <v>1102008</v>
      </c>
      <c r="CA153" s="14" t="str">
        <f t="shared" si="333"/>
        <v>夏侯渊9突</v>
      </c>
      <c r="CB153" s="25" t="s">
        <v>142</v>
      </c>
      <c r="CC153" s="14">
        <v>2</v>
      </c>
      <c r="CD153" s="14">
        <f t="shared" si="322"/>
        <v>9</v>
      </c>
      <c r="CE153" s="14" t="s">
        <v>21</v>
      </c>
      <c r="CF153" s="14">
        <f>INDEX(属性投放!$AZ$6:$AZ$85,(BY153-2)*20+CD153)</f>
        <v>2898</v>
      </c>
      <c r="CG153" s="14" t="s">
        <v>22</v>
      </c>
      <c r="CH153" s="14">
        <f>INDEX(属性投放!$BA$6:$BA$85,(BY153-2)*20+CD153)</f>
        <v>1394</v>
      </c>
      <c r="CI153" s="14" t="s">
        <v>510</v>
      </c>
      <c r="CJ153" s="14">
        <f>INDEX(属性投放!$BB$6:$BB$85,(BY153-2)*20+CD153)</f>
        <v>19928</v>
      </c>
      <c r="CK153" s="14" t="s">
        <v>21</v>
      </c>
      <c r="CL153" s="14">
        <f>INDEX(属性投放!$BC$6:$BC$85,(BY153-2)*20+CD153)</f>
        <v>25</v>
      </c>
      <c r="CM153" s="14" t="s">
        <v>22</v>
      </c>
      <c r="CN153" s="14">
        <f>INDEX(属性投放!$BD$6:$BD$85,(BY153-2)*20+CD153)</f>
        <v>13</v>
      </c>
      <c r="CO153" s="14" t="s">
        <v>510</v>
      </c>
      <c r="CP153" s="14">
        <f>INDEX(属性投放!$BE$6:$BE$85,(BY153-2)*20+CD153)</f>
        <v>200</v>
      </c>
      <c r="CS153" s="13">
        <v>149</v>
      </c>
      <c r="CT153" s="13">
        <f t="shared" si="334"/>
        <v>3</v>
      </c>
      <c r="CU153" s="13">
        <f t="shared" si="335"/>
        <v>45</v>
      </c>
      <c r="CV153" s="14">
        <f t="shared" si="336"/>
        <v>4</v>
      </c>
      <c r="CW153" s="14">
        <f t="shared" si="337"/>
        <v>1102003</v>
      </c>
      <c r="CX153" s="14" t="str">
        <f>INDEX($O$6:$O$50,CT153)&amp;"-"&amp;INDEX(属性投放!$AB$7:$AB$50,CZ153)&amp;"-魂火-"&amp;DB153</f>
        <v>典韦-大焦热+2-魂火-3</v>
      </c>
      <c r="CY153" s="25" t="s">
        <v>142</v>
      </c>
      <c r="CZ153" s="14">
        <f>INDEX(属性投放!$AM$7:$AM$58,CU153)</f>
        <v>18</v>
      </c>
      <c r="DA153" s="14" t="s">
        <v>537</v>
      </c>
      <c r="DB153" s="14">
        <f>INDEX(属性投放!$AN$7:$AN$58,CU153)</f>
        <v>3</v>
      </c>
      <c r="DC153" s="14">
        <f t="shared" si="323"/>
        <v>45</v>
      </c>
      <c r="DD153" s="14">
        <f>INDEX(属性投放!$AO$7:$AO$58,DC153)</f>
        <v>130</v>
      </c>
      <c r="DE153" s="14" t="s">
        <v>538</v>
      </c>
      <c r="DF153" s="14">
        <f>INDEX(属性投放!$BK$6:$BK$85,(CV153-2)*20+CZ153)</f>
        <v>750</v>
      </c>
      <c r="DG153" s="14">
        <f>SUMIFS(DF$5:DF153,$CT$5:$CT153,"="&amp;$CT153)</f>
        <v>11635</v>
      </c>
      <c r="DH153" s="14" t="s">
        <v>539</v>
      </c>
      <c r="DI153" s="14">
        <f>INDEX(属性投放!$BL$6:$BL$85,(CV153-2)*20+CZ153)</f>
        <v>375</v>
      </c>
      <c r="DJ153" s="14">
        <f>SUMIFS(DI$5:DI153,$CT$5:$CT153,"="&amp;$CT153)</f>
        <v>5827</v>
      </c>
      <c r="DK153" s="14" t="s">
        <v>540</v>
      </c>
      <c r="DL153" s="14">
        <f>INDEX(属性投放!$BM$6:$BM$85,(CV153-2)*20+CZ153)</f>
        <v>7500</v>
      </c>
      <c r="DM153" s="14">
        <f>SUMIFS(DL$5:DL153,$CT$5:$CT153,"="&amp;$CT153)</f>
        <v>111785</v>
      </c>
      <c r="DR153" s="14">
        <f t="shared" si="324"/>
        <v>1102008</v>
      </c>
      <c r="DS153" s="14" t="str">
        <f t="shared" si="325"/>
        <v>夏侯渊9突</v>
      </c>
      <c r="DT153" s="14">
        <f t="shared" si="338"/>
        <v>7</v>
      </c>
      <c r="DU153" s="14">
        <f t="shared" si="339"/>
        <v>5</v>
      </c>
      <c r="DV153" s="14">
        <f t="shared" si="340"/>
        <v>9</v>
      </c>
      <c r="DW153" s="14">
        <f t="shared" si="326"/>
        <v>4</v>
      </c>
      <c r="DX153" s="14">
        <f t="shared" si="327"/>
        <v>9</v>
      </c>
      <c r="DY153" s="14">
        <f t="shared" si="328"/>
        <v>49</v>
      </c>
      <c r="DZ153" s="14">
        <f>INDEX(属性投放!$AX$6:$AX$85,(卡牌属性!DW153-2)*20+卡牌属性!DX153)</f>
        <v>8</v>
      </c>
      <c r="EA153" s="14">
        <f>INDEX(属性投放!BQ$6:BQ$85,卡牌属性!$DY153)</f>
        <v>200</v>
      </c>
      <c r="EB153" s="14">
        <f>INDEX(属性投放!BR$6:BR$85,卡牌属性!$DY153)</f>
        <v>100</v>
      </c>
      <c r="EC153" s="14">
        <f>INDEX(属性投放!BS$6:BS$85,卡牌属性!$DY153)</f>
        <v>1600</v>
      </c>
      <c r="ED153" s="14">
        <f t="shared" si="389"/>
        <v>2063</v>
      </c>
      <c r="EE153" s="14">
        <f t="shared" si="390"/>
        <v>2231</v>
      </c>
      <c r="EF153" s="14">
        <f t="shared" si="391"/>
        <v>2435</v>
      </c>
      <c r="EG153" s="14">
        <f t="shared" si="392"/>
        <v>2435</v>
      </c>
      <c r="EH153" s="14">
        <f t="shared" si="393"/>
        <v>2815</v>
      </c>
      <c r="EI153" s="14">
        <f t="shared" si="394"/>
        <v>772</v>
      </c>
      <c r="EJ153" s="14">
        <f t="shared" si="395"/>
        <v>828</v>
      </c>
      <c r="EK153" s="14">
        <f t="shared" si="396"/>
        <v>828</v>
      </c>
      <c r="EL153" s="14">
        <f t="shared" si="397"/>
        <v>998</v>
      </c>
      <c r="EM153" s="14">
        <f t="shared" si="398"/>
        <v>1079</v>
      </c>
      <c r="EN153" s="14">
        <f t="shared" si="399"/>
        <v>16120</v>
      </c>
      <c r="EO153" s="14">
        <f t="shared" si="400"/>
        <v>18710</v>
      </c>
      <c r="EP153" s="14">
        <f t="shared" si="401"/>
        <v>18710</v>
      </c>
      <c r="EQ153" s="14">
        <f t="shared" si="402"/>
        <v>22270</v>
      </c>
      <c r="ER153" s="14">
        <f t="shared" si="403"/>
        <v>27630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240</v>
      </c>
      <c r="FD153" s="14">
        <f>INDEX(属性偏向!$U$4:$U$243,(卡牌属性!$DV153-1+FD$3)*20+卡牌属性!$DX153)</f>
        <v>320</v>
      </c>
      <c r="FE153" s="14">
        <f>INDEX(属性偏向!$U$4:$U$243,(卡牌属性!$DV153-1+FE$3)*20+卡牌属性!$DX153)</f>
        <v>320</v>
      </c>
      <c r="FF153" s="14">
        <f>INDEX(属性偏向!$U$4:$U$243,(卡牌属性!$DV153-1+FF$3)*20+卡牌属性!$DX153)</f>
        <v>400</v>
      </c>
      <c r="FG153" s="14">
        <f>INDEX(属性偏向!$U$4:$U$243,(卡牌属性!$DV153-1+FG$3)*20+卡牌属性!$DX153)</f>
        <v>600</v>
      </c>
      <c r="FH153" s="14">
        <f>INDEX(属性投放!$BQ$6:$BQ$85,(卡牌属性!$DW153-2)*20+卡牌属性!$DX153)</f>
        <v>200</v>
      </c>
      <c r="FI153" s="14">
        <f>INDEX(属性投放!$BQ$6:$BQ$85,(卡牌属性!$DW153-2)*20+卡牌属性!$DX153)</f>
        <v>200</v>
      </c>
      <c r="FJ153" s="14">
        <f>INDEX(属性投放!$BQ$6:$BQ$85,(卡牌属性!$DW153-2)*20+卡牌属性!$DX153)</f>
        <v>200</v>
      </c>
      <c r="FK153" s="14">
        <f>INDEX(属性投放!$BQ$6:$BQ$85,(卡牌属性!$DW153-2)*20+卡牌属性!$DX153)</f>
        <v>200</v>
      </c>
      <c r="FL153" s="14">
        <f>INDEX(属性投放!$BQ$6:$BQ$85,(卡牌属性!$DW153-2)*20+卡牌属性!$DX153)</f>
        <v>200</v>
      </c>
      <c r="FM153" s="14">
        <f>INDEX(属性投放!$BR$6:$BR$85,(卡牌属性!$DW153-2)*20+卡牌属性!$DX153)</f>
        <v>100</v>
      </c>
      <c r="FN153" s="14">
        <f>INDEX(属性投放!$BR$6:$BR$85,(卡牌属性!$DW153-2)*20+卡牌属性!$DX153)</f>
        <v>100</v>
      </c>
      <c r="FO153" s="14">
        <f>INDEX(属性投放!$BR$6:$BR$85,(卡牌属性!$DW153-2)*20+卡牌属性!$DX153)</f>
        <v>100</v>
      </c>
      <c r="FP153" s="14">
        <f>INDEX(属性投放!$BR$6:$BR$85,(卡牌属性!$DW153-2)*20+卡牌属性!$DX153)</f>
        <v>100</v>
      </c>
      <c r="FQ153" s="14">
        <f>INDEX(属性投放!$BR$6:$BR$85,(卡牌属性!$DW153-2)*20+卡牌属性!$DX153)</f>
        <v>100</v>
      </c>
      <c r="FR153" s="14">
        <f>INDEX(属性投放!$BS$6:$BS$85,(卡牌属性!$DW153-2)*20+卡牌属性!$DX153)</f>
        <v>1600</v>
      </c>
      <c r="FS153" s="14">
        <f>INDEX(属性投放!$BS$6:$BS$85,(卡牌属性!$DW153-2)*20+卡牌属性!$DX153)</f>
        <v>1600</v>
      </c>
      <c r="FT153" s="14">
        <f>INDEX(属性投放!$BS$6:$BS$85,(卡牌属性!$DW153-2)*20+卡牌属性!$DX153)</f>
        <v>1600</v>
      </c>
      <c r="FU153" s="14">
        <f>INDEX(属性投放!$BS$6:$BS$85,(卡牌属性!$DW153-2)*20+卡牌属性!$DX153)</f>
        <v>1600</v>
      </c>
      <c r="FV153" s="14">
        <f>INDEX(属性投放!$BS$6:$BS$85,(卡牌属性!$DW153-2)*20+卡牌属性!$DX153)</f>
        <v>1600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MATCH(HC153,属性投放!$AO$6:$AO$58,1)-1</f>
        <v>52</v>
      </c>
      <c r="HF153" s="13">
        <f>MATCH(HC153-1,属性投放!$AE$6:$AE$26,1)</f>
        <v>20</v>
      </c>
      <c r="HG153" s="13" t="str">
        <f>INDEX(属性投放!$AB$7:$AB$26,卡牌属性!HF153)</f>
        <v>无间+1</v>
      </c>
      <c r="HH153" s="14">
        <f t="shared" si="342"/>
        <v>13193</v>
      </c>
      <c r="HI153" s="14">
        <f t="shared" si="343"/>
        <v>5838</v>
      </c>
      <c r="HJ153" s="14">
        <f t="shared" si="344"/>
        <v>109184</v>
      </c>
      <c r="HK153" s="14">
        <f t="shared" si="345"/>
        <v>75</v>
      </c>
      <c r="HL153" s="14">
        <f t="shared" si="346"/>
        <v>23</v>
      </c>
      <c r="HM153" s="14">
        <f t="shared" si="347"/>
        <v>450</v>
      </c>
      <c r="HN153" s="14">
        <f>HH153+HK153*($HC153-INDEX(属性投放!$AE$6:$AE$26,卡牌属性!$HF153))</f>
        <v>13868</v>
      </c>
      <c r="HO153" s="14">
        <f>HI153+HL153*($HC153-INDEX(属性投放!$AE$6:$AE$26,卡牌属性!$HF153))</f>
        <v>6045</v>
      </c>
      <c r="HP153" s="14">
        <f>HJ153+HM153*($HC153-INDEX(属性投放!$AE$6:$AE$26,卡牌属性!$HF153))</f>
        <v>113234</v>
      </c>
      <c r="HQ153" s="14">
        <f t="shared" si="348"/>
        <v>18335</v>
      </c>
      <c r="HR153" s="14">
        <f t="shared" si="349"/>
        <v>9177</v>
      </c>
      <c r="HS153" s="14">
        <f t="shared" si="350"/>
        <v>178785</v>
      </c>
      <c r="HT153" s="14">
        <f>IF(COUNTIF(属性投放!$AO$7:$AO$58,"="&amp;卡牌属性!HC153)&gt;0,卡牌属性!HE153,0)</f>
        <v>0</v>
      </c>
      <c r="HU153" s="14">
        <f t="shared" si="351"/>
        <v>0</v>
      </c>
      <c r="HV153" s="14">
        <f t="shared" si="352"/>
        <v>0</v>
      </c>
      <c r="HW153" s="14">
        <f t="shared" si="353"/>
        <v>0</v>
      </c>
      <c r="HX153" s="14">
        <f>IF(COUNTIF(属性投放!$AE$6:$AE$26,"="&amp;卡牌属性!HC153)&gt;0,卡牌属性!HF153,0)</f>
        <v>0</v>
      </c>
      <c r="HY153" s="14">
        <f t="shared" si="354"/>
        <v>0</v>
      </c>
      <c r="HZ153" s="14">
        <f t="shared" si="355"/>
        <v>0</v>
      </c>
      <c r="IA153" s="14">
        <f t="shared" si="356"/>
        <v>0</v>
      </c>
      <c r="IB153" s="14">
        <f t="shared" si="357"/>
        <v>75</v>
      </c>
      <c r="IC153" s="14">
        <f t="shared" si="358"/>
        <v>23</v>
      </c>
      <c r="ID153" s="14">
        <f t="shared" si="359"/>
        <v>450</v>
      </c>
      <c r="IE153" s="14">
        <f t="shared" si="360"/>
        <v>32203</v>
      </c>
      <c r="IF153" s="14">
        <f t="shared" si="361"/>
        <v>15222</v>
      </c>
      <c r="IG153" s="14">
        <f t="shared" si="362"/>
        <v>292019</v>
      </c>
      <c r="IH153" s="14">
        <f t="shared" si="363"/>
        <v>1660</v>
      </c>
      <c r="II153" s="14">
        <f t="shared" si="364"/>
        <v>0</v>
      </c>
      <c r="IJ153" s="14">
        <f t="shared" si="365"/>
        <v>0</v>
      </c>
      <c r="IK153" s="14">
        <f t="shared" si="366"/>
        <v>918489</v>
      </c>
      <c r="IL153" s="17">
        <f t="shared" si="367"/>
        <v>1.8073161464100278E-3</v>
      </c>
      <c r="IM153" s="17">
        <f t="shared" si="368"/>
        <v>0</v>
      </c>
      <c r="IN153" s="17">
        <f t="shared" si="369"/>
        <v>0</v>
      </c>
      <c r="IO153" s="23">
        <f>SUM(IH$5:IH153)</f>
        <v>119004</v>
      </c>
      <c r="IP153" s="14">
        <f>SUM(II$5:II153)</f>
        <v>545675</v>
      </c>
      <c r="IQ153" s="14">
        <f>SUM(IJ$5:IJ153)</f>
        <v>205640</v>
      </c>
      <c r="IR153" s="17">
        <f t="shared" si="370"/>
        <v>0.12956497029360178</v>
      </c>
      <c r="IS153" s="17">
        <f t="shared" si="371"/>
        <v>0.59410074589897099</v>
      </c>
      <c r="IT153" s="17">
        <f t="shared" si="372"/>
        <v>0.22388945322154102</v>
      </c>
      <c r="IW153" s="13">
        <v>149</v>
      </c>
      <c r="IX153" s="14">
        <f>MATCH(IW153-1,属性投放!$T$6:$T$66,1)</f>
        <v>58</v>
      </c>
      <c r="IY153" s="14">
        <f>MATCH(IW153-1,属性投放!$AD$7:$AD$26,1)</f>
        <v>19</v>
      </c>
      <c r="IZ153" s="14" t="str">
        <f>INDEX(属性投放!$AB$7:$AB$26,IY153)</f>
        <v>无间</v>
      </c>
      <c r="JA153" s="14">
        <f t="shared" si="373"/>
        <v>17934</v>
      </c>
      <c r="JB153" s="14">
        <f t="shared" si="374"/>
        <v>8921</v>
      </c>
      <c r="JC153" s="14">
        <f t="shared" si="375"/>
        <v>171016</v>
      </c>
      <c r="JD153" s="14">
        <f t="shared" si="376"/>
        <v>462</v>
      </c>
      <c r="JE153" s="14">
        <f t="shared" si="377"/>
        <v>231</v>
      </c>
      <c r="JF153" s="14">
        <f t="shared" si="378"/>
        <v>4620</v>
      </c>
      <c r="JG153" s="14">
        <f>INDEX(属性投放!$DC$6:$DC$85,卡牌属性!IY153)</f>
        <v>135</v>
      </c>
      <c r="JH153" s="14">
        <f t="shared" si="379"/>
        <v>24402</v>
      </c>
      <c r="JI153" s="14">
        <f t="shared" si="380"/>
        <v>12155</v>
      </c>
      <c r="JJ153" s="14">
        <f t="shared" si="381"/>
        <v>235696</v>
      </c>
      <c r="JK153" s="14">
        <f t="shared" si="382"/>
        <v>479256</v>
      </c>
    </row>
    <row r="154" spans="31:271" ht="16.5" x14ac:dyDescent="0.2">
      <c r="AE154" s="13">
        <v>150</v>
      </c>
      <c r="AF154" s="13">
        <f t="shared" si="331"/>
        <v>8</v>
      </c>
      <c r="AG154" s="13">
        <f t="shared" si="316"/>
        <v>2</v>
      </c>
      <c r="AH154" s="13"/>
      <c r="AI154" s="13"/>
      <c r="AJ154" s="14">
        <f t="shared" si="317"/>
        <v>1101008</v>
      </c>
      <c r="AK154" s="14" t="str">
        <f t="shared" si="318"/>
        <v>黑尔·坎普10突</v>
      </c>
      <c r="AL154" s="25" t="s">
        <v>142</v>
      </c>
      <c r="AM154" s="14">
        <v>1</v>
      </c>
      <c r="AN154" s="14">
        <f t="shared" si="319"/>
        <v>10</v>
      </c>
      <c r="AO154" s="14">
        <f>INDEX(属性投放!$DF$6:$DF$85,(卡牌属性!AG154-2)*20+卡牌属性!AN154)</f>
        <v>1923</v>
      </c>
      <c r="AP154" s="14">
        <f t="shared" si="383"/>
        <v>1923</v>
      </c>
      <c r="AQ154" s="14">
        <f t="shared" si="383"/>
        <v>1923</v>
      </c>
      <c r="AR154" s="14">
        <f t="shared" si="383"/>
        <v>1923</v>
      </c>
      <c r="AS154" s="14">
        <f t="shared" si="383"/>
        <v>1923</v>
      </c>
      <c r="AT154" s="14">
        <f>INDEX(属性投放!$DG$6:$DG$85,(卡牌属性!AG154-2)*20+卡牌属性!AN154)</f>
        <v>911</v>
      </c>
      <c r="AU154" s="14">
        <f t="shared" si="384"/>
        <v>911</v>
      </c>
      <c r="AV154" s="14">
        <f t="shared" si="384"/>
        <v>911</v>
      </c>
      <c r="AW154" s="14">
        <f t="shared" si="384"/>
        <v>911</v>
      </c>
      <c r="AX154" s="14">
        <f t="shared" si="384"/>
        <v>911</v>
      </c>
      <c r="AY154" s="14">
        <f>INDEX(属性投放!$DH$6:$DH$85,(卡牌属性!AG154-2)*20+卡牌属性!AN154)</f>
        <v>13535</v>
      </c>
      <c r="AZ154" s="14">
        <f t="shared" si="385"/>
        <v>13535</v>
      </c>
      <c r="BA154" s="14">
        <f t="shared" si="385"/>
        <v>13535</v>
      </c>
      <c r="BB154" s="14">
        <f t="shared" si="385"/>
        <v>13535</v>
      </c>
      <c r="BC154" s="14">
        <f t="shared" si="385"/>
        <v>13535</v>
      </c>
      <c r="BD154" s="14">
        <f>INDEX(属性投放!$DL$6:$DL$85,(卡牌属性!AG154-2)*20+卡牌属性!AN154)</f>
        <v>76</v>
      </c>
      <c r="BE154" s="14">
        <f t="shared" si="386"/>
        <v>76</v>
      </c>
      <c r="BF154" s="14">
        <f t="shared" si="386"/>
        <v>76</v>
      </c>
      <c r="BG154" s="14">
        <f t="shared" si="386"/>
        <v>76</v>
      </c>
      <c r="BH154" s="14">
        <f t="shared" si="386"/>
        <v>76</v>
      </c>
      <c r="BI154" s="14">
        <f>INDEX(属性投放!$DM$6:$DM$85,(卡牌属性!AG154-2)*20+卡牌属性!AN154)</f>
        <v>38</v>
      </c>
      <c r="BJ154" s="14">
        <f t="shared" si="387"/>
        <v>38</v>
      </c>
      <c r="BK154" s="14">
        <f t="shared" si="387"/>
        <v>38</v>
      </c>
      <c r="BL154" s="14">
        <f t="shared" si="387"/>
        <v>38</v>
      </c>
      <c r="BM154" s="14">
        <f t="shared" si="387"/>
        <v>38</v>
      </c>
      <c r="BN154" s="14">
        <f>INDEX(属性投放!$DN$6:$DN$85,(卡牌属性!AG154-2)*20+卡牌属性!AN154)</f>
        <v>685</v>
      </c>
      <c r="BO154" s="14">
        <f t="shared" si="388"/>
        <v>685</v>
      </c>
      <c r="BP154" s="14">
        <f t="shared" si="388"/>
        <v>685</v>
      </c>
      <c r="BQ154" s="14">
        <f t="shared" si="388"/>
        <v>685</v>
      </c>
      <c r="BR154" s="14">
        <f t="shared" si="388"/>
        <v>685</v>
      </c>
      <c r="BW154" s="13">
        <v>150</v>
      </c>
      <c r="BX154" s="13">
        <f t="shared" si="320"/>
        <v>8</v>
      </c>
      <c r="BY154" s="14">
        <f t="shared" si="321"/>
        <v>4</v>
      </c>
      <c r="BZ154" s="14">
        <f t="shared" si="332"/>
        <v>1102008</v>
      </c>
      <c r="CA154" s="14" t="str">
        <f t="shared" si="333"/>
        <v>夏侯渊10突</v>
      </c>
      <c r="CB154" s="25" t="s">
        <v>142</v>
      </c>
      <c r="CC154" s="14">
        <v>2</v>
      </c>
      <c r="CD154" s="14">
        <f t="shared" si="322"/>
        <v>10</v>
      </c>
      <c r="CE154" s="14" t="s">
        <v>21</v>
      </c>
      <c r="CF154" s="14">
        <f>INDEX(属性投放!$AZ$6:$AZ$85,(BY154-2)*20+CD154)</f>
        <v>3643</v>
      </c>
      <c r="CG154" s="14" t="s">
        <v>22</v>
      </c>
      <c r="CH154" s="14">
        <f>INDEX(属性投放!$BA$6:$BA$85,(BY154-2)*20+CD154)</f>
        <v>1772</v>
      </c>
      <c r="CI154" s="14" t="s">
        <v>510</v>
      </c>
      <c r="CJ154" s="14">
        <f>INDEX(属性投放!$BB$6:$BB$85,(BY154-2)*20+CD154)</f>
        <v>25888</v>
      </c>
      <c r="CK154" s="14" t="s">
        <v>21</v>
      </c>
      <c r="CL154" s="14">
        <f>INDEX(属性投放!$BC$6:$BC$85,(BY154-2)*20+CD154)</f>
        <v>30</v>
      </c>
      <c r="CM154" s="14" t="s">
        <v>22</v>
      </c>
      <c r="CN154" s="14">
        <f>INDEX(属性投放!$BD$6:$BD$85,(BY154-2)*20+CD154)</f>
        <v>15</v>
      </c>
      <c r="CO154" s="14" t="s">
        <v>510</v>
      </c>
      <c r="CP154" s="14">
        <f>INDEX(属性投放!$BE$6:$BE$85,(BY154-2)*20+CD154)</f>
        <v>270</v>
      </c>
      <c r="CS154" s="13">
        <v>150</v>
      </c>
      <c r="CT154" s="13">
        <f t="shared" si="334"/>
        <v>3</v>
      </c>
      <c r="CU154" s="13">
        <f t="shared" si="335"/>
        <v>46</v>
      </c>
      <c r="CV154" s="14">
        <f t="shared" si="336"/>
        <v>4</v>
      </c>
      <c r="CW154" s="14">
        <f t="shared" si="337"/>
        <v>1102003</v>
      </c>
      <c r="CX154" s="14" t="str">
        <f>INDEX($O$6:$O$50,CT154)&amp;"-"&amp;INDEX(属性投放!$AB$7:$AB$50,CZ154)&amp;"-魂火-"&amp;DB154</f>
        <v>典韦-无间-魂火-1</v>
      </c>
      <c r="CY154" s="25" t="s">
        <v>142</v>
      </c>
      <c r="CZ154" s="14">
        <f>INDEX(属性投放!$AM$7:$AM$58,CU154)</f>
        <v>19</v>
      </c>
      <c r="DA154" s="14" t="s">
        <v>537</v>
      </c>
      <c r="DB154" s="14">
        <f>INDEX(属性投放!$AN$7:$AN$58,CU154)</f>
        <v>1</v>
      </c>
      <c r="DC154" s="14">
        <f t="shared" si="323"/>
        <v>46</v>
      </c>
      <c r="DD154" s="14">
        <f>INDEX(属性投放!$AO$7:$AO$58,DC154)</f>
        <v>133</v>
      </c>
      <c r="DE154" s="14" t="s">
        <v>538</v>
      </c>
      <c r="DF154" s="14">
        <f>INDEX(属性投放!$BK$6:$BK$85,(CV154-2)*20+CZ154)</f>
        <v>900</v>
      </c>
      <c r="DG154" s="14">
        <f>SUMIFS(DF$5:DF154,$CT$5:$CT154,"="&amp;$CT154)</f>
        <v>12535</v>
      </c>
      <c r="DH154" s="14" t="s">
        <v>539</v>
      </c>
      <c r="DI154" s="14">
        <f>INDEX(属性投放!$BL$6:$BL$85,(CV154-2)*20+CZ154)</f>
        <v>450</v>
      </c>
      <c r="DJ154" s="14">
        <f>SUMIFS(DI$5:DI154,$CT$5:$CT154,"="&amp;$CT154)</f>
        <v>6277</v>
      </c>
      <c r="DK154" s="14" t="s">
        <v>540</v>
      </c>
      <c r="DL154" s="14">
        <f>INDEX(属性投放!$BM$6:$BM$85,(CV154-2)*20+CZ154)</f>
        <v>9000</v>
      </c>
      <c r="DM154" s="14">
        <f>SUMIFS(DL$5:DL154,$CT$5:$CT154,"="&amp;$CT154)</f>
        <v>120785</v>
      </c>
      <c r="DR154" s="14">
        <f t="shared" si="324"/>
        <v>1102008</v>
      </c>
      <c r="DS154" s="14" t="str">
        <f t="shared" si="325"/>
        <v>夏侯渊10突</v>
      </c>
      <c r="DT154" s="14">
        <f t="shared" si="338"/>
        <v>7</v>
      </c>
      <c r="DU154" s="14">
        <f t="shared" si="339"/>
        <v>5</v>
      </c>
      <c r="DV154" s="14">
        <f t="shared" si="340"/>
        <v>9</v>
      </c>
      <c r="DW154" s="14">
        <f t="shared" si="326"/>
        <v>4</v>
      </c>
      <c r="DX154" s="14">
        <f t="shared" si="327"/>
        <v>10</v>
      </c>
      <c r="DY154" s="14">
        <f t="shared" si="328"/>
        <v>50</v>
      </c>
      <c r="DZ154" s="14">
        <f>INDEX(属性投放!$AX$6:$AX$85,(卡牌属性!DW154-2)*20+卡牌属性!DX154)</f>
        <v>7</v>
      </c>
      <c r="EA154" s="14">
        <f>INDEX(属性投放!BQ$6:BQ$85,卡牌属性!$DY154)</f>
        <v>200</v>
      </c>
      <c r="EB154" s="14">
        <f>INDEX(属性投放!BR$6:BR$85,卡牌属性!$DY154)</f>
        <v>100</v>
      </c>
      <c r="EC154" s="14">
        <f>INDEX(属性投放!BS$6:BS$85,卡牌属性!$DY154)</f>
        <v>1800</v>
      </c>
      <c r="ED154" s="14">
        <f t="shared" si="389"/>
        <v>2463</v>
      </c>
      <c r="EE154" s="14">
        <f t="shared" si="390"/>
        <v>2655</v>
      </c>
      <c r="EF154" s="14">
        <f t="shared" si="391"/>
        <v>2875</v>
      </c>
      <c r="EG154" s="14">
        <f t="shared" si="392"/>
        <v>2875</v>
      </c>
      <c r="EH154" s="14">
        <f t="shared" si="393"/>
        <v>3335</v>
      </c>
      <c r="EI154" s="14">
        <f t="shared" si="394"/>
        <v>936</v>
      </c>
      <c r="EJ154" s="14">
        <f t="shared" si="395"/>
        <v>992</v>
      </c>
      <c r="EK154" s="14">
        <f t="shared" si="396"/>
        <v>992</v>
      </c>
      <c r="EL154" s="14">
        <f t="shared" si="397"/>
        <v>1202</v>
      </c>
      <c r="EM154" s="14">
        <f t="shared" si="398"/>
        <v>1291</v>
      </c>
      <c r="EN154" s="14">
        <f t="shared" si="399"/>
        <v>19640</v>
      </c>
      <c r="EO154" s="14">
        <f t="shared" si="400"/>
        <v>22870</v>
      </c>
      <c r="EP154" s="14">
        <f t="shared" si="401"/>
        <v>22870</v>
      </c>
      <c r="EQ154" s="14">
        <f t="shared" si="402"/>
        <v>27070</v>
      </c>
      <c r="ER154" s="14">
        <f t="shared" si="403"/>
        <v>34030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360</v>
      </c>
      <c r="FD154" s="14">
        <f>INDEX(属性偏向!$U$4:$U$243,(卡牌属性!$DV154-1+FD$3)*20+卡牌属性!$DX154)</f>
        <v>450</v>
      </c>
      <c r="FE154" s="14">
        <f>INDEX(属性偏向!$U$4:$U$243,(卡牌属性!$DV154-1+FE$3)*20+卡牌属性!$DX154)</f>
        <v>450</v>
      </c>
      <c r="FF154" s="14">
        <f>INDEX(属性偏向!$U$4:$U$243,(卡牌属性!$DV154-1+FF$3)*20+卡牌属性!$DX154)</f>
        <v>675</v>
      </c>
      <c r="FG154" s="14">
        <f>INDEX(属性偏向!$U$4:$U$243,(卡牌属性!$DV154-1+FG$3)*20+卡牌属性!$DX154)</f>
        <v>900</v>
      </c>
      <c r="FH154" s="14">
        <f>INDEX(属性投放!$BQ$6:$BQ$85,(卡牌属性!$DW154-2)*20+卡牌属性!$DX154)</f>
        <v>200</v>
      </c>
      <c r="FI154" s="14">
        <f>INDEX(属性投放!$BQ$6:$BQ$85,(卡牌属性!$DW154-2)*20+卡牌属性!$DX154)</f>
        <v>200</v>
      </c>
      <c r="FJ154" s="14">
        <f>INDEX(属性投放!$BQ$6:$BQ$85,(卡牌属性!$DW154-2)*20+卡牌属性!$DX154)</f>
        <v>200</v>
      </c>
      <c r="FK154" s="14">
        <f>INDEX(属性投放!$BQ$6:$BQ$85,(卡牌属性!$DW154-2)*20+卡牌属性!$DX154)</f>
        <v>200</v>
      </c>
      <c r="FL154" s="14">
        <f>INDEX(属性投放!$BQ$6:$BQ$85,(卡牌属性!$DW154-2)*20+卡牌属性!$DX154)</f>
        <v>200</v>
      </c>
      <c r="FM154" s="14">
        <f>INDEX(属性投放!$BR$6:$BR$85,(卡牌属性!$DW154-2)*20+卡牌属性!$DX154)</f>
        <v>100</v>
      </c>
      <c r="FN154" s="14">
        <f>INDEX(属性投放!$BR$6:$BR$85,(卡牌属性!$DW154-2)*20+卡牌属性!$DX154)</f>
        <v>100</v>
      </c>
      <c r="FO154" s="14">
        <f>INDEX(属性投放!$BR$6:$BR$85,(卡牌属性!$DW154-2)*20+卡牌属性!$DX154)</f>
        <v>100</v>
      </c>
      <c r="FP154" s="14">
        <f>INDEX(属性投放!$BR$6:$BR$85,(卡牌属性!$DW154-2)*20+卡牌属性!$DX154)</f>
        <v>100</v>
      </c>
      <c r="FQ154" s="14">
        <f>INDEX(属性投放!$BR$6:$BR$85,(卡牌属性!$DW154-2)*20+卡牌属性!$DX154)</f>
        <v>100</v>
      </c>
      <c r="FR154" s="14">
        <f>INDEX(属性投放!$BS$6:$BS$85,(卡牌属性!$DW154-2)*20+卡牌属性!$DX154)</f>
        <v>1800</v>
      </c>
      <c r="FS154" s="14">
        <f>INDEX(属性投放!$BS$6:$BS$85,(卡牌属性!$DW154-2)*20+卡牌属性!$DX154)</f>
        <v>1800</v>
      </c>
      <c r="FT154" s="14">
        <f>INDEX(属性投放!$BS$6:$BS$85,(卡牌属性!$DW154-2)*20+卡牌属性!$DX154)</f>
        <v>1800</v>
      </c>
      <c r="FU154" s="14">
        <f>INDEX(属性投放!$BS$6:$BS$85,(卡牌属性!$DW154-2)*20+卡牌属性!$DX154)</f>
        <v>1800</v>
      </c>
      <c r="FV154" s="14">
        <f>INDEX(属性投放!$BS$6:$BS$85,(卡牌属性!$DW154-2)*20+卡牌属性!$DX154)</f>
        <v>1800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MATCH(HC154,属性投放!$AO$6:$AO$58,1)-1</f>
        <v>52</v>
      </c>
      <c r="HF154" s="13">
        <f>MATCH(HC154-1,属性投放!$AE$6:$AE$26,1)</f>
        <v>20</v>
      </c>
      <c r="HG154" s="13" t="str">
        <f>INDEX(属性投放!$AB$7:$AB$26,卡牌属性!HF154)</f>
        <v>无间+1</v>
      </c>
      <c r="HH154" s="14">
        <f t="shared" si="342"/>
        <v>13193</v>
      </c>
      <c r="HI154" s="14">
        <f t="shared" si="343"/>
        <v>5838</v>
      </c>
      <c r="HJ154" s="14">
        <f t="shared" si="344"/>
        <v>109184</v>
      </c>
      <c r="HK154" s="14">
        <f t="shared" si="345"/>
        <v>75</v>
      </c>
      <c r="HL154" s="14">
        <f t="shared" si="346"/>
        <v>23</v>
      </c>
      <c r="HM154" s="14">
        <f t="shared" si="347"/>
        <v>450</v>
      </c>
      <c r="HN154" s="14">
        <f>HH154+HK154*($HC154-INDEX(属性投放!$AE$6:$AE$26,卡牌属性!$HF154))</f>
        <v>13943</v>
      </c>
      <c r="HO154" s="14">
        <f>HI154+HL154*($HC154-INDEX(属性投放!$AE$6:$AE$26,卡牌属性!$HF154))</f>
        <v>6068</v>
      </c>
      <c r="HP154" s="14">
        <f>HJ154+HM154*($HC154-INDEX(属性投放!$AE$6:$AE$26,卡牌属性!$HF154))</f>
        <v>113684</v>
      </c>
      <c r="HQ154" s="14">
        <f t="shared" si="348"/>
        <v>18335</v>
      </c>
      <c r="HR154" s="14">
        <f t="shared" si="349"/>
        <v>9177</v>
      </c>
      <c r="HS154" s="14">
        <f t="shared" si="350"/>
        <v>178785</v>
      </c>
      <c r="HT154" s="14">
        <f>IF(COUNTIF(属性投放!$AO$7:$AO$58,"="&amp;卡牌属性!HC154)&gt;0,卡牌属性!HE154,0)</f>
        <v>0</v>
      </c>
      <c r="HU154" s="14">
        <f t="shared" si="351"/>
        <v>0</v>
      </c>
      <c r="HV154" s="14">
        <f t="shared" si="352"/>
        <v>0</v>
      </c>
      <c r="HW154" s="14">
        <f t="shared" si="353"/>
        <v>0</v>
      </c>
      <c r="HX154" s="14">
        <f>IF(COUNTIF(属性投放!$AE$6:$AE$26,"="&amp;卡牌属性!HC154)&gt;0,卡牌属性!HF154,0)</f>
        <v>20</v>
      </c>
      <c r="HY154" s="14">
        <f t="shared" si="354"/>
        <v>1500</v>
      </c>
      <c r="HZ154" s="14">
        <f t="shared" si="355"/>
        <v>750</v>
      </c>
      <c r="IA154" s="14">
        <f t="shared" si="356"/>
        <v>15000</v>
      </c>
      <c r="IB154" s="14">
        <f t="shared" ref="IB154" si="404">HK154</f>
        <v>75</v>
      </c>
      <c r="IC154" s="14">
        <f t="shared" ref="IC154" si="405">HL154</f>
        <v>23</v>
      </c>
      <c r="ID154" s="14">
        <f t="shared" ref="ID154" si="406">HM154</f>
        <v>450</v>
      </c>
      <c r="IE154" s="14">
        <f t="shared" ref="IE154" si="407">HN154+HQ154</f>
        <v>32278</v>
      </c>
      <c r="IF154" s="14">
        <f t="shared" ref="IF154" si="408">HO154+HR154</f>
        <v>15245</v>
      </c>
      <c r="IG154" s="14">
        <f t="shared" ref="IG154" si="409">HP154+HS154</f>
        <v>292469</v>
      </c>
      <c r="IH154" s="14">
        <f t="shared" si="363"/>
        <v>1660</v>
      </c>
      <c r="II154" s="14">
        <f t="shared" ref="II154" si="410">SUMPRODUCT(HU154:HW154,$IE$2:$IG$2)</f>
        <v>0</v>
      </c>
      <c r="IJ154" s="14">
        <f t="shared" ref="IJ154" si="411">SUMPRODUCT(HY154:IA154,$IE$2:$IG$2)</f>
        <v>45000</v>
      </c>
      <c r="IK154" s="14">
        <f t="shared" ref="IK154" si="412">SUMPRODUCT(IE154:IG154,$IE$2:$IG$2)</f>
        <v>920149</v>
      </c>
      <c r="IL154" s="17">
        <f t="shared" ref="IL154" si="413">IH154/IK154</f>
        <v>1.8040556475092621E-3</v>
      </c>
      <c r="IM154" s="17">
        <f t="shared" ref="IM154" si="414">II154/IK154</f>
        <v>0</v>
      </c>
      <c r="IN154" s="17">
        <f t="shared" ref="IN154" si="415">IJ154/IK154</f>
        <v>4.890512297464867E-2</v>
      </c>
      <c r="IO154" s="23">
        <f>SUM(IH$5:IH154)</f>
        <v>120664</v>
      </c>
      <c r="IP154" s="14">
        <f>SUM(II$5:II154)</f>
        <v>545675</v>
      </c>
      <c r="IQ154" s="14">
        <f>SUM(IJ$5:IJ154)</f>
        <v>250640</v>
      </c>
      <c r="IR154" s="17">
        <f t="shared" ref="IR154" si="416">IO154/IK154</f>
        <v>0.1311352835247335</v>
      </c>
      <c r="IS154" s="17">
        <f t="shared" ref="IS154" si="417">IP154/IK154</f>
        <v>0.59302895509314257</v>
      </c>
      <c r="IT154" s="17">
        <f t="shared" ref="IT154" si="418">IQ154/IK154</f>
        <v>0.27239066716368759</v>
      </c>
      <c r="IW154" s="13">
        <v>150</v>
      </c>
      <c r="IX154" s="14">
        <f>MATCH(IW154-1,属性投放!$T$6:$T$66,1)</f>
        <v>60</v>
      </c>
      <c r="IY154" s="14">
        <f>MATCH(IW154-1,属性投放!$AD$7:$AD$26,1)</f>
        <v>19</v>
      </c>
      <c r="IZ154" s="14" t="str">
        <f>INDEX(属性投放!$AB$7:$AB$26,IY154)</f>
        <v>无间</v>
      </c>
      <c r="JA154" s="14">
        <f t="shared" si="373"/>
        <v>17934</v>
      </c>
      <c r="JB154" s="14">
        <f t="shared" si="374"/>
        <v>8921</v>
      </c>
      <c r="JC154" s="14">
        <f t="shared" si="375"/>
        <v>171016</v>
      </c>
      <c r="JD154" s="14">
        <f t="shared" si="376"/>
        <v>462</v>
      </c>
      <c r="JE154" s="14">
        <f t="shared" si="377"/>
        <v>231</v>
      </c>
      <c r="JF154" s="14">
        <f t="shared" si="378"/>
        <v>4620</v>
      </c>
      <c r="JG154" s="14">
        <f>INDEX(属性投放!$DC$6:$DC$85,卡牌属性!IY154)</f>
        <v>135</v>
      </c>
      <c r="JH154" s="14">
        <f t="shared" si="379"/>
        <v>24864</v>
      </c>
      <c r="JI154" s="14">
        <f t="shared" si="380"/>
        <v>12386</v>
      </c>
      <c r="JJ154" s="14">
        <f t="shared" si="381"/>
        <v>240316</v>
      </c>
      <c r="JK154" s="14">
        <f t="shared" si="382"/>
        <v>488496</v>
      </c>
    </row>
    <row r="155" spans="31:271" ht="16.5" x14ac:dyDescent="0.2">
      <c r="AE155" s="13">
        <v>151</v>
      </c>
      <c r="AF155" s="13">
        <f t="shared" si="331"/>
        <v>8</v>
      </c>
      <c r="AG155" s="13">
        <f t="shared" si="316"/>
        <v>2</v>
      </c>
      <c r="AH155" s="13"/>
      <c r="AI155" s="13"/>
      <c r="AJ155" s="14">
        <f t="shared" si="317"/>
        <v>1101008</v>
      </c>
      <c r="AK155" s="14" t="str">
        <f t="shared" si="318"/>
        <v>黑尔·坎普11突</v>
      </c>
      <c r="AL155" s="25" t="s">
        <v>142</v>
      </c>
      <c r="AM155" s="14">
        <v>1</v>
      </c>
      <c r="AN155" s="14">
        <f t="shared" si="319"/>
        <v>11</v>
      </c>
      <c r="AO155" s="14">
        <f>INDEX(属性投放!$DF$6:$DF$85,(卡牌属性!AG155-2)*20+卡牌属性!AN155)</f>
        <v>2140</v>
      </c>
      <c r="AP155" s="14">
        <f t="shared" si="383"/>
        <v>2140</v>
      </c>
      <c r="AQ155" s="14">
        <f t="shared" si="383"/>
        <v>2140</v>
      </c>
      <c r="AR155" s="14">
        <f t="shared" si="383"/>
        <v>2140</v>
      </c>
      <c r="AS155" s="14">
        <f t="shared" si="383"/>
        <v>2140</v>
      </c>
      <c r="AT155" s="14">
        <f>INDEX(属性投放!$DG$6:$DG$85,(卡牌属性!AG155-2)*20+卡牌属性!AN155)</f>
        <v>1020</v>
      </c>
      <c r="AU155" s="14">
        <f t="shared" si="384"/>
        <v>1020</v>
      </c>
      <c r="AV155" s="14">
        <f t="shared" si="384"/>
        <v>1020</v>
      </c>
      <c r="AW155" s="14">
        <f t="shared" si="384"/>
        <v>1020</v>
      </c>
      <c r="AX155" s="14">
        <f t="shared" si="384"/>
        <v>1020</v>
      </c>
      <c r="AY155" s="14">
        <f>INDEX(属性投放!$DH$6:$DH$85,(卡牌属性!AG155-2)*20+卡牌属性!AN155)</f>
        <v>15492</v>
      </c>
      <c r="AZ155" s="14">
        <f t="shared" si="385"/>
        <v>15492</v>
      </c>
      <c r="BA155" s="14">
        <f t="shared" si="385"/>
        <v>15492</v>
      </c>
      <c r="BB155" s="14">
        <f t="shared" si="385"/>
        <v>15492</v>
      </c>
      <c r="BC155" s="14">
        <f t="shared" si="385"/>
        <v>15492</v>
      </c>
      <c r="BD155" s="14">
        <f>INDEX(属性投放!$DL$6:$DL$85,(卡牌属性!AG155-2)*20+卡牌属性!AN155)</f>
        <v>76</v>
      </c>
      <c r="BE155" s="14">
        <f t="shared" si="386"/>
        <v>76</v>
      </c>
      <c r="BF155" s="14">
        <f t="shared" si="386"/>
        <v>76</v>
      </c>
      <c r="BG155" s="14">
        <f t="shared" si="386"/>
        <v>76</v>
      </c>
      <c r="BH155" s="14">
        <f t="shared" si="386"/>
        <v>76</v>
      </c>
      <c r="BI155" s="14">
        <f>INDEX(属性投放!$DM$6:$DM$85,(卡牌属性!AG155-2)*20+卡牌属性!AN155)</f>
        <v>38</v>
      </c>
      <c r="BJ155" s="14">
        <f t="shared" si="387"/>
        <v>38</v>
      </c>
      <c r="BK155" s="14">
        <f t="shared" si="387"/>
        <v>38</v>
      </c>
      <c r="BL155" s="14">
        <f t="shared" si="387"/>
        <v>38</v>
      </c>
      <c r="BM155" s="14">
        <f t="shared" si="387"/>
        <v>38</v>
      </c>
      <c r="BN155" s="14">
        <f>INDEX(属性投放!$DN$6:$DN$85,(卡牌属性!AG155-2)*20+卡牌属性!AN155)</f>
        <v>685</v>
      </c>
      <c r="BO155" s="14">
        <f t="shared" si="388"/>
        <v>685</v>
      </c>
      <c r="BP155" s="14">
        <f t="shared" si="388"/>
        <v>685</v>
      </c>
      <c r="BQ155" s="14">
        <f t="shared" si="388"/>
        <v>685</v>
      </c>
      <c r="BR155" s="14">
        <f t="shared" si="388"/>
        <v>685</v>
      </c>
      <c r="BW155" s="13">
        <v>151</v>
      </c>
      <c r="BX155" s="13">
        <f t="shared" si="320"/>
        <v>8</v>
      </c>
      <c r="BY155" s="14">
        <f t="shared" si="321"/>
        <v>4</v>
      </c>
      <c r="BZ155" s="14">
        <f t="shared" si="332"/>
        <v>1102008</v>
      </c>
      <c r="CA155" s="14" t="str">
        <f t="shared" si="333"/>
        <v>夏侯渊11突</v>
      </c>
      <c r="CB155" s="25" t="s">
        <v>142</v>
      </c>
      <c r="CC155" s="14">
        <v>2</v>
      </c>
      <c r="CD155" s="14">
        <f t="shared" si="322"/>
        <v>11</v>
      </c>
      <c r="CE155" s="14" t="s">
        <v>21</v>
      </c>
      <c r="CF155" s="14">
        <f>INDEX(属性投放!$AZ$6:$AZ$85,(BY155-2)*20+CD155)</f>
        <v>4443</v>
      </c>
      <c r="CG155" s="14" t="s">
        <v>22</v>
      </c>
      <c r="CH155" s="14">
        <f>INDEX(属性投放!$BA$6:$BA$85,(BY155-2)*20+CD155)</f>
        <v>2172</v>
      </c>
      <c r="CI155" s="14" t="s">
        <v>510</v>
      </c>
      <c r="CJ155" s="14">
        <f>INDEX(属性投放!$BB$6:$BB$85,(BY155-2)*20+CD155)</f>
        <v>33088</v>
      </c>
      <c r="CK155" s="14" t="s">
        <v>21</v>
      </c>
      <c r="CL155" s="14">
        <f>INDEX(属性投放!$BC$6:$BC$85,(BY155-2)*20+CD155)</f>
        <v>30</v>
      </c>
      <c r="CM155" s="14" t="s">
        <v>22</v>
      </c>
      <c r="CN155" s="14">
        <f>INDEX(属性投放!$BD$6:$BD$85,(BY155-2)*20+CD155)</f>
        <v>15</v>
      </c>
      <c r="CO155" s="14" t="s">
        <v>510</v>
      </c>
      <c r="CP155" s="14">
        <f>INDEX(属性投放!$BE$6:$BE$85,(BY155-2)*20+CD155)</f>
        <v>270</v>
      </c>
      <c r="CS155" s="13">
        <v>151</v>
      </c>
      <c r="CT155" s="13">
        <f t="shared" si="334"/>
        <v>3</v>
      </c>
      <c r="CU155" s="13">
        <f t="shared" si="335"/>
        <v>47</v>
      </c>
      <c r="CV155" s="14">
        <f t="shared" si="336"/>
        <v>4</v>
      </c>
      <c r="CW155" s="14">
        <f t="shared" si="337"/>
        <v>1102003</v>
      </c>
      <c r="CX155" s="14" t="str">
        <f>INDEX($O$6:$O$50,CT155)&amp;"-"&amp;INDEX(属性投放!$AB$7:$AB$50,CZ155)&amp;"-魂火-"&amp;DB155</f>
        <v>典韦-无间-魂火-2</v>
      </c>
      <c r="CY155" s="25" t="s">
        <v>142</v>
      </c>
      <c r="CZ155" s="14">
        <f>INDEX(属性投放!$AM$7:$AM$58,CU155)</f>
        <v>19</v>
      </c>
      <c r="DA155" s="14" t="s">
        <v>537</v>
      </c>
      <c r="DB155" s="14">
        <f>INDEX(属性投放!$AN$7:$AN$58,CU155)</f>
        <v>2</v>
      </c>
      <c r="DC155" s="14">
        <f t="shared" si="323"/>
        <v>47</v>
      </c>
      <c r="DD155" s="14">
        <f>INDEX(属性投放!$AO$7:$AO$58,DC155)</f>
        <v>135</v>
      </c>
      <c r="DE155" s="14" t="s">
        <v>538</v>
      </c>
      <c r="DF155" s="14">
        <f>INDEX(属性投放!$BK$6:$BK$85,(CV155-2)*20+CZ155)</f>
        <v>900</v>
      </c>
      <c r="DG155" s="14">
        <f>SUMIFS(DF$5:DF155,$CT$5:$CT155,"="&amp;$CT155)</f>
        <v>13435</v>
      </c>
      <c r="DH155" s="14" t="s">
        <v>539</v>
      </c>
      <c r="DI155" s="14">
        <f>INDEX(属性投放!$BL$6:$BL$85,(CV155-2)*20+CZ155)</f>
        <v>450</v>
      </c>
      <c r="DJ155" s="14">
        <f>SUMIFS(DI$5:DI155,$CT$5:$CT155,"="&amp;$CT155)</f>
        <v>6727</v>
      </c>
      <c r="DK155" s="14" t="s">
        <v>540</v>
      </c>
      <c r="DL155" s="14">
        <f>INDEX(属性投放!$BM$6:$BM$85,(CV155-2)*20+CZ155)</f>
        <v>9000</v>
      </c>
      <c r="DM155" s="14">
        <f>SUMIFS(DL$5:DL155,$CT$5:$CT155,"="&amp;$CT155)</f>
        <v>129785</v>
      </c>
      <c r="DR155" s="14">
        <f t="shared" si="324"/>
        <v>1102008</v>
      </c>
      <c r="DS155" s="14" t="str">
        <f t="shared" si="325"/>
        <v>夏侯渊11突</v>
      </c>
      <c r="DT155" s="14">
        <f t="shared" si="338"/>
        <v>7</v>
      </c>
      <c r="DU155" s="14">
        <f t="shared" si="339"/>
        <v>5</v>
      </c>
      <c r="DV155" s="14">
        <f t="shared" si="340"/>
        <v>9</v>
      </c>
      <c r="DW155" s="14">
        <f t="shared" si="326"/>
        <v>4</v>
      </c>
      <c r="DX155" s="14">
        <f t="shared" si="327"/>
        <v>11</v>
      </c>
      <c r="DY155" s="14">
        <f t="shared" si="328"/>
        <v>51</v>
      </c>
      <c r="DZ155" s="14">
        <f>INDEX(属性投放!$AX$6:$AX$85,(卡牌属性!DW155-2)*20+卡牌属性!DX155)</f>
        <v>8</v>
      </c>
      <c r="EA155" s="14">
        <f>INDEX(属性投放!BQ$6:BQ$85,卡牌属性!$DY155)</f>
        <v>300</v>
      </c>
      <c r="EB155" s="14">
        <f>INDEX(属性投放!BR$6:BR$85,卡牌属性!$DY155)</f>
        <v>150</v>
      </c>
      <c r="EC155" s="14">
        <f>INDEX(属性投放!BS$6:BS$85,卡牌属性!$DY155)</f>
        <v>2700</v>
      </c>
      <c r="ED155" s="14">
        <f t="shared" si="389"/>
        <v>2873</v>
      </c>
      <c r="EE155" s="14">
        <f t="shared" si="390"/>
        <v>3100</v>
      </c>
      <c r="EF155" s="14">
        <f t="shared" si="391"/>
        <v>3355</v>
      </c>
      <c r="EG155" s="14">
        <f t="shared" si="392"/>
        <v>3355</v>
      </c>
      <c r="EH155" s="14">
        <f t="shared" si="393"/>
        <v>3885</v>
      </c>
      <c r="EI155" s="14">
        <f t="shared" si="394"/>
        <v>1106</v>
      </c>
      <c r="EJ155" s="14">
        <f t="shared" si="395"/>
        <v>1169</v>
      </c>
      <c r="EK155" s="14">
        <f t="shared" si="396"/>
        <v>1169</v>
      </c>
      <c r="EL155" s="14">
        <f t="shared" si="397"/>
        <v>1407</v>
      </c>
      <c r="EM155" s="14">
        <f t="shared" si="398"/>
        <v>1517</v>
      </c>
      <c r="EN155" s="14">
        <f t="shared" si="399"/>
        <v>23960</v>
      </c>
      <c r="EO155" s="14">
        <f t="shared" si="400"/>
        <v>27820</v>
      </c>
      <c r="EP155" s="14">
        <f t="shared" si="401"/>
        <v>27820</v>
      </c>
      <c r="EQ155" s="14">
        <f t="shared" si="402"/>
        <v>33595</v>
      </c>
      <c r="ER155" s="14">
        <f t="shared" si="403"/>
        <v>42130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360</v>
      </c>
      <c r="FD155" s="14">
        <f>INDEX(属性偏向!$U$4:$U$243,(卡牌属性!$DV155-1+FD$3)*20+卡牌属性!$DX155)</f>
        <v>450</v>
      </c>
      <c r="FE155" s="14">
        <f>INDEX(属性偏向!$U$4:$U$243,(卡牌属性!$DV155-1+FE$3)*20+卡牌属性!$DX155)</f>
        <v>450</v>
      </c>
      <c r="FF155" s="14">
        <f>INDEX(属性偏向!$U$4:$U$243,(卡牌属性!$DV155-1+FF$3)*20+卡牌属性!$DX155)</f>
        <v>675</v>
      </c>
      <c r="FG155" s="14">
        <f>INDEX(属性偏向!$U$4:$U$243,(卡牌属性!$DV155-1+FG$3)*20+卡牌属性!$DX155)</f>
        <v>900</v>
      </c>
      <c r="FH155" s="14">
        <f>INDEX(属性投放!$BQ$6:$BQ$85,(卡牌属性!$DW155-2)*20+卡牌属性!$DX155)</f>
        <v>300</v>
      </c>
      <c r="FI155" s="14">
        <f>INDEX(属性投放!$BQ$6:$BQ$85,(卡牌属性!$DW155-2)*20+卡牌属性!$DX155)</f>
        <v>300</v>
      </c>
      <c r="FJ155" s="14">
        <f>INDEX(属性投放!$BQ$6:$BQ$85,(卡牌属性!$DW155-2)*20+卡牌属性!$DX155)</f>
        <v>300</v>
      </c>
      <c r="FK155" s="14">
        <f>INDEX(属性投放!$BQ$6:$BQ$85,(卡牌属性!$DW155-2)*20+卡牌属性!$DX155)</f>
        <v>300</v>
      </c>
      <c r="FL155" s="14">
        <f>INDEX(属性投放!$BQ$6:$BQ$85,(卡牌属性!$DW155-2)*20+卡牌属性!$DX155)</f>
        <v>300</v>
      </c>
      <c r="FM155" s="14">
        <f>INDEX(属性投放!$BR$6:$BR$85,(卡牌属性!$DW155-2)*20+卡牌属性!$DX155)</f>
        <v>150</v>
      </c>
      <c r="FN155" s="14">
        <f>INDEX(属性投放!$BR$6:$BR$85,(卡牌属性!$DW155-2)*20+卡牌属性!$DX155)</f>
        <v>150</v>
      </c>
      <c r="FO155" s="14">
        <f>INDEX(属性投放!$BR$6:$BR$85,(卡牌属性!$DW155-2)*20+卡牌属性!$DX155)</f>
        <v>150</v>
      </c>
      <c r="FP155" s="14">
        <f>INDEX(属性投放!$BR$6:$BR$85,(卡牌属性!$DW155-2)*20+卡牌属性!$DX155)</f>
        <v>150</v>
      </c>
      <c r="FQ155" s="14">
        <f>INDEX(属性投放!$BR$6:$BR$85,(卡牌属性!$DW155-2)*20+卡牌属性!$DX155)</f>
        <v>150</v>
      </c>
      <c r="FR155" s="14">
        <f>INDEX(属性投放!$BS$6:$BS$85,(卡牌属性!$DW155-2)*20+卡牌属性!$DX155)</f>
        <v>2700</v>
      </c>
      <c r="FS155" s="14">
        <f>INDEX(属性投放!$BS$6:$BS$85,(卡牌属性!$DW155-2)*20+卡牌属性!$DX155)</f>
        <v>2700</v>
      </c>
      <c r="FT155" s="14">
        <f>INDEX(属性投放!$BS$6:$BS$85,(卡牌属性!$DW155-2)*20+卡牌属性!$DX155)</f>
        <v>2700</v>
      </c>
      <c r="FU155" s="14">
        <f>INDEX(属性投放!$BS$6:$BS$85,(卡牌属性!$DW155-2)*20+卡牌属性!$DX155)</f>
        <v>2700</v>
      </c>
      <c r="FV155" s="14">
        <f>INDEX(属性投放!$BS$6:$BS$85,(卡牌属性!$DW155-2)*20+卡牌属性!$DX155)</f>
        <v>2700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1" ht="16.5" x14ac:dyDescent="0.2">
      <c r="AE156" s="13">
        <v>152</v>
      </c>
      <c r="AF156" s="13">
        <f t="shared" si="331"/>
        <v>8</v>
      </c>
      <c r="AG156" s="13">
        <f t="shared" si="316"/>
        <v>2</v>
      </c>
      <c r="AH156" s="13"/>
      <c r="AI156" s="13"/>
      <c r="AJ156" s="14">
        <f t="shared" si="317"/>
        <v>1101008</v>
      </c>
      <c r="AK156" s="14" t="str">
        <f t="shared" si="318"/>
        <v>黑尔·坎普12突</v>
      </c>
      <c r="AL156" s="25" t="s">
        <v>142</v>
      </c>
      <c r="AM156" s="14">
        <v>1</v>
      </c>
      <c r="AN156" s="14">
        <f t="shared" si="319"/>
        <v>12</v>
      </c>
      <c r="AO156" s="14">
        <f>INDEX(属性投放!$DF$6:$DF$85,(卡牌属性!AG156-2)*20+卡牌属性!AN156)</f>
        <v>2357</v>
      </c>
      <c r="AP156" s="14">
        <f t="shared" si="383"/>
        <v>2357</v>
      </c>
      <c r="AQ156" s="14">
        <f t="shared" si="383"/>
        <v>2357</v>
      </c>
      <c r="AR156" s="14">
        <f t="shared" si="383"/>
        <v>2357</v>
      </c>
      <c r="AS156" s="14">
        <f t="shared" si="383"/>
        <v>2357</v>
      </c>
      <c r="AT156" s="14">
        <f>INDEX(属性投放!$DG$6:$DG$85,(卡牌属性!AG156-2)*20+卡牌属性!AN156)</f>
        <v>1129</v>
      </c>
      <c r="AU156" s="14">
        <f t="shared" si="384"/>
        <v>1129</v>
      </c>
      <c r="AV156" s="14">
        <f t="shared" si="384"/>
        <v>1129</v>
      </c>
      <c r="AW156" s="14">
        <f t="shared" si="384"/>
        <v>1129</v>
      </c>
      <c r="AX156" s="14">
        <f t="shared" si="384"/>
        <v>1129</v>
      </c>
      <c r="AY156" s="14">
        <f>INDEX(属性投放!$DH$6:$DH$85,(卡牌属性!AG156-2)*20+卡牌属性!AN156)</f>
        <v>17449</v>
      </c>
      <c r="AZ156" s="14">
        <f t="shared" si="385"/>
        <v>17449</v>
      </c>
      <c r="BA156" s="14">
        <f t="shared" si="385"/>
        <v>17449</v>
      </c>
      <c r="BB156" s="14">
        <f t="shared" si="385"/>
        <v>17449</v>
      </c>
      <c r="BC156" s="14">
        <f t="shared" si="385"/>
        <v>17449</v>
      </c>
      <c r="BD156" s="14">
        <f>INDEX(属性投放!$DL$6:$DL$85,(卡牌属性!AG156-2)*20+卡牌属性!AN156)</f>
        <v>76</v>
      </c>
      <c r="BE156" s="14">
        <f t="shared" si="386"/>
        <v>76</v>
      </c>
      <c r="BF156" s="14">
        <f t="shared" si="386"/>
        <v>76</v>
      </c>
      <c r="BG156" s="14">
        <f t="shared" si="386"/>
        <v>76</v>
      </c>
      <c r="BH156" s="14">
        <f t="shared" si="386"/>
        <v>76</v>
      </c>
      <c r="BI156" s="14">
        <f>INDEX(属性投放!$DM$6:$DM$85,(卡牌属性!AG156-2)*20+卡牌属性!AN156)</f>
        <v>38</v>
      </c>
      <c r="BJ156" s="14">
        <f t="shared" si="387"/>
        <v>38</v>
      </c>
      <c r="BK156" s="14">
        <f t="shared" si="387"/>
        <v>38</v>
      </c>
      <c r="BL156" s="14">
        <f t="shared" si="387"/>
        <v>38</v>
      </c>
      <c r="BM156" s="14">
        <f t="shared" si="387"/>
        <v>38</v>
      </c>
      <c r="BN156" s="14">
        <f>INDEX(属性投放!$DN$6:$DN$85,(卡牌属性!AG156-2)*20+卡牌属性!AN156)</f>
        <v>685</v>
      </c>
      <c r="BO156" s="14">
        <f t="shared" si="388"/>
        <v>685</v>
      </c>
      <c r="BP156" s="14">
        <f t="shared" si="388"/>
        <v>685</v>
      </c>
      <c r="BQ156" s="14">
        <f t="shared" si="388"/>
        <v>685</v>
      </c>
      <c r="BR156" s="14">
        <f t="shared" si="388"/>
        <v>685</v>
      </c>
      <c r="BW156" s="13">
        <v>152</v>
      </c>
      <c r="BX156" s="13">
        <f t="shared" si="320"/>
        <v>8</v>
      </c>
      <c r="BY156" s="14">
        <f t="shared" si="321"/>
        <v>4</v>
      </c>
      <c r="BZ156" s="14">
        <f t="shared" si="332"/>
        <v>1102008</v>
      </c>
      <c r="CA156" s="14" t="str">
        <f t="shared" si="333"/>
        <v>夏侯渊12突</v>
      </c>
      <c r="CB156" s="25" t="s">
        <v>142</v>
      </c>
      <c r="CC156" s="14">
        <v>2</v>
      </c>
      <c r="CD156" s="14">
        <f t="shared" si="322"/>
        <v>12</v>
      </c>
      <c r="CE156" s="14" t="s">
        <v>21</v>
      </c>
      <c r="CF156" s="14">
        <f>INDEX(属性投放!$AZ$6:$AZ$85,(BY156-2)*20+CD156)</f>
        <v>5493</v>
      </c>
      <c r="CG156" s="14" t="s">
        <v>22</v>
      </c>
      <c r="CH156" s="14">
        <f>INDEX(属性投放!$BA$6:$BA$85,(BY156-2)*20+CD156)</f>
        <v>2697</v>
      </c>
      <c r="CI156" s="14" t="s">
        <v>510</v>
      </c>
      <c r="CJ156" s="14">
        <f>INDEX(属性投放!$BB$6:$BB$85,(BY156-2)*20+CD156)</f>
        <v>42538</v>
      </c>
      <c r="CK156" s="14" t="s">
        <v>21</v>
      </c>
      <c r="CL156" s="14">
        <f>INDEX(属性投放!$BC$6:$BC$85,(BY156-2)*20+CD156)</f>
        <v>30</v>
      </c>
      <c r="CM156" s="14" t="s">
        <v>22</v>
      </c>
      <c r="CN156" s="14">
        <f>INDEX(属性投放!$BD$6:$BD$85,(BY156-2)*20+CD156)</f>
        <v>15</v>
      </c>
      <c r="CO156" s="14" t="s">
        <v>510</v>
      </c>
      <c r="CP156" s="14">
        <f>INDEX(属性投放!$BE$6:$BE$85,(BY156-2)*20+CD156)</f>
        <v>270</v>
      </c>
      <c r="CS156" s="13">
        <v>152</v>
      </c>
      <c r="CT156" s="13">
        <f t="shared" si="334"/>
        <v>3</v>
      </c>
      <c r="CU156" s="13">
        <f t="shared" si="335"/>
        <v>48</v>
      </c>
      <c r="CV156" s="14">
        <f t="shared" si="336"/>
        <v>4</v>
      </c>
      <c r="CW156" s="14">
        <f t="shared" si="337"/>
        <v>1102003</v>
      </c>
      <c r="CX156" s="14" t="str">
        <f>INDEX($O$6:$O$50,CT156)&amp;"-"&amp;INDEX(属性投放!$AB$7:$AB$50,CZ156)&amp;"-魂火-"&amp;DB156</f>
        <v>典韦-无间-魂火-3</v>
      </c>
      <c r="CY156" s="25" t="s">
        <v>142</v>
      </c>
      <c r="CZ156" s="14">
        <f>INDEX(属性投放!$AM$7:$AM$58,CU156)</f>
        <v>19</v>
      </c>
      <c r="DA156" s="14" t="s">
        <v>537</v>
      </c>
      <c r="DB156" s="14">
        <f>INDEX(属性投放!$AN$7:$AN$58,CU156)</f>
        <v>3</v>
      </c>
      <c r="DC156" s="14">
        <f t="shared" si="323"/>
        <v>48</v>
      </c>
      <c r="DD156" s="14">
        <f>INDEX(属性投放!$AO$7:$AO$58,DC156)</f>
        <v>138</v>
      </c>
      <c r="DE156" s="14" t="s">
        <v>538</v>
      </c>
      <c r="DF156" s="14">
        <f>INDEX(属性投放!$BK$6:$BK$85,(CV156-2)*20+CZ156)</f>
        <v>900</v>
      </c>
      <c r="DG156" s="14">
        <f>SUMIFS(DF$5:DF156,$CT$5:$CT156,"="&amp;$CT156)</f>
        <v>14335</v>
      </c>
      <c r="DH156" s="14" t="s">
        <v>539</v>
      </c>
      <c r="DI156" s="14">
        <f>INDEX(属性投放!$BL$6:$BL$85,(CV156-2)*20+CZ156)</f>
        <v>450</v>
      </c>
      <c r="DJ156" s="14">
        <f>SUMIFS(DI$5:DI156,$CT$5:$CT156,"="&amp;$CT156)</f>
        <v>7177</v>
      </c>
      <c r="DK156" s="14" t="s">
        <v>540</v>
      </c>
      <c r="DL156" s="14">
        <f>INDEX(属性投放!$BM$6:$BM$85,(CV156-2)*20+CZ156)</f>
        <v>9000</v>
      </c>
      <c r="DM156" s="14">
        <f>SUMIFS(DL$5:DL156,$CT$5:$CT156,"="&amp;$CT156)</f>
        <v>138785</v>
      </c>
      <c r="DR156" s="14">
        <f t="shared" si="324"/>
        <v>1102008</v>
      </c>
      <c r="DS156" s="14" t="str">
        <f t="shared" si="325"/>
        <v>夏侯渊12突</v>
      </c>
      <c r="DT156" s="14">
        <f t="shared" si="338"/>
        <v>7</v>
      </c>
      <c r="DU156" s="14">
        <f t="shared" si="339"/>
        <v>5</v>
      </c>
      <c r="DV156" s="14">
        <f t="shared" si="340"/>
        <v>9</v>
      </c>
      <c r="DW156" s="14">
        <f t="shared" si="326"/>
        <v>4</v>
      </c>
      <c r="DX156" s="14">
        <f t="shared" si="327"/>
        <v>12</v>
      </c>
      <c r="DY156" s="14">
        <f t="shared" si="328"/>
        <v>52</v>
      </c>
      <c r="DZ156" s="14">
        <f>INDEX(属性投放!$AX$6:$AX$85,(卡牌属性!DW156-2)*20+卡牌属性!DX156)</f>
        <v>7</v>
      </c>
      <c r="EA156" s="14">
        <f>INDEX(属性投放!BQ$6:BQ$85,卡牌属性!$DY156)</f>
        <v>400</v>
      </c>
      <c r="EB156" s="14">
        <f>INDEX(属性投放!BR$6:BR$85,卡牌属性!$DY156)</f>
        <v>200</v>
      </c>
      <c r="EC156" s="14">
        <f>INDEX(属性投放!BS$6:BS$85,卡牌属性!$DY156)</f>
        <v>3600</v>
      </c>
      <c r="ED156" s="14">
        <f t="shared" si="389"/>
        <v>3413</v>
      </c>
      <c r="EE156" s="14">
        <f t="shared" si="390"/>
        <v>3680</v>
      </c>
      <c r="EF156" s="14">
        <f t="shared" si="391"/>
        <v>3975</v>
      </c>
      <c r="EG156" s="14">
        <f t="shared" si="392"/>
        <v>3975</v>
      </c>
      <c r="EH156" s="14">
        <f t="shared" si="393"/>
        <v>4585</v>
      </c>
      <c r="EI156" s="14">
        <f t="shared" si="394"/>
        <v>1336</v>
      </c>
      <c r="EJ156" s="14">
        <f t="shared" si="395"/>
        <v>1407</v>
      </c>
      <c r="EK156" s="14">
        <f t="shared" si="396"/>
        <v>1407</v>
      </c>
      <c r="EL156" s="14">
        <f t="shared" si="397"/>
        <v>1677</v>
      </c>
      <c r="EM156" s="14">
        <f t="shared" si="398"/>
        <v>1811</v>
      </c>
      <c r="EN156" s="14">
        <f t="shared" si="399"/>
        <v>29540</v>
      </c>
      <c r="EO156" s="14">
        <f t="shared" si="400"/>
        <v>34120</v>
      </c>
      <c r="EP156" s="14">
        <f t="shared" si="401"/>
        <v>34120</v>
      </c>
      <c r="EQ156" s="14">
        <f t="shared" si="402"/>
        <v>41695</v>
      </c>
      <c r="ER156" s="14">
        <f t="shared" si="403"/>
        <v>52030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360</v>
      </c>
      <c r="FD156" s="14">
        <f>INDEX(属性偏向!$U$4:$U$243,(卡牌属性!$DV156-1+FD$3)*20+卡牌属性!$DX156)</f>
        <v>450</v>
      </c>
      <c r="FE156" s="14">
        <f>INDEX(属性偏向!$U$4:$U$243,(卡牌属性!$DV156-1+FE$3)*20+卡牌属性!$DX156)</f>
        <v>450</v>
      </c>
      <c r="FF156" s="14">
        <f>INDEX(属性偏向!$U$4:$U$243,(卡牌属性!$DV156-1+FF$3)*20+卡牌属性!$DX156)</f>
        <v>675</v>
      </c>
      <c r="FG156" s="14">
        <f>INDEX(属性偏向!$U$4:$U$243,(卡牌属性!$DV156-1+FG$3)*20+卡牌属性!$DX156)</f>
        <v>900</v>
      </c>
      <c r="FH156" s="14">
        <f>INDEX(属性投放!$BQ$6:$BQ$85,(卡牌属性!$DW156-2)*20+卡牌属性!$DX156)</f>
        <v>400</v>
      </c>
      <c r="FI156" s="14">
        <f>INDEX(属性投放!$BQ$6:$BQ$85,(卡牌属性!$DW156-2)*20+卡牌属性!$DX156)</f>
        <v>400</v>
      </c>
      <c r="FJ156" s="14">
        <f>INDEX(属性投放!$BQ$6:$BQ$85,(卡牌属性!$DW156-2)*20+卡牌属性!$DX156)</f>
        <v>400</v>
      </c>
      <c r="FK156" s="14">
        <f>INDEX(属性投放!$BQ$6:$BQ$85,(卡牌属性!$DW156-2)*20+卡牌属性!$DX156)</f>
        <v>400</v>
      </c>
      <c r="FL156" s="14">
        <f>INDEX(属性投放!$BQ$6:$BQ$85,(卡牌属性!$DW156-2)*20+卡牌属性!$DX156)</f>
        <v>400</v>
      </c>
      <c r="FM156" s="14">
        <f>INDEX(属性投放!$BR$6:$BR$85,(卡牌属性!$DW156-2)*20+卡牌属性!$DX156)</f>
        <v>200</v>
      </c>
      <c r="FN156" s="14">
        <f>INDEX(属性投放!$BR$6:$BR$85,(卡牌属性!$DW156-2)*20+卡牌属性!$DX156)</f>
        <v>200</v>
      </c>
      <c r="FO156" s="14">
        <f>INDEX(属性投放!$BR$6:$BR$85,(卡牌属性!$DW156-2)*20+卡牌属性!$DX156)</f>
        <v>200</v>
      </c>
      <c r="FP156" s="14">
        <f>INDEX(属性投放!$BR$6:$BR$85,(卡牌属性!$DW156-2)*20+卡牌属性!$DX156)</f>
        <v>200</v>
      </c>
      <c r="FQ156" s="14">
        <f>INDEX(属性投放!$BR$6:$BR$85,(卡牌属性!$DW156-2)*20+卡牌属性!$DX156)</f>
        <v>200</v>
      </c>
      <c r="FR156" s="14">
        <f>INDEX(属性投放!$BS$6:$BS$85,(卡牌属性!$DW156-2)*20+卡牌属性!$DX156)</f>
        <v>3600</v>
      </c>
      <c r="FS156" s="14">
        <f>INDEX(属性投放!$BS$6:$BS$85,(卡牌属性!$DW156-2)*20+卡牌属性!$DX156)</f>
        <v>3600</v>
      </c>
      <c r="FT156" s="14">
        <f>INDEX(属性投放!$BS$6:$BS$85,(卡牌属性!$DW156-2)*20+卡牌属性!$DX156)</f>
        <v>3600</v>
      </c>
      <c r="FU156" s="14">
        <f>INDEX(属性投放!$BS$6:$BS$85,(卡牌属性!$DW156-2)*20+卡牌属性!$DX156)</f>
        <v>3600</v>
      </c>
      <c r="FV156" s="14">
        <f>INDEX(属性投放!$BS$6:$BS$85,(卡牌属性!$DW156-2)*20+卡牌属性!$DX156)</f>
        <v>3600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1" ht="16.5" x14ac:dyDescent="0.2">
      <c r="AE157" s="13">
        <v>153</v>
      </c>
      <c r="AF157" s="13">
        <f t="shared" si="331"/>
        <v>8</v>
      </c>
      <c r="AG157" s="13">
        <f t="shared" si="316"/>
        <v>2</v>
      </c>
      <c r="AH157" s="13"/>
      <c r="AI157" s="13"/>
      <c r="AJ157" s="14">
        <f t="shared" si="317"/>
        <v>1101008</v>
      </c>
      <c r="AK157" s="14" t="str">
        <f t="shared" si="318"/>
        <v>黑尔·坎普13突</v>
      </c>
      <c r="AL157" s="25" t="s">
        <v>142</v>
      </c>
      <c r="AM157" s="14">
        <v>1</v>
      </c>
      <c r="AN157" s="14">
        <f t="shared" si="319"/>
        <v>13</v>
      </c>
      <c r="AO157" s="14">
        <f>INDEX(属性投放!$DF$6:$DF$85,(卡牌属性!AG157-2)*20+卡牌属性!AN157)</f>
        <v>4474</v>
      </c>
      <c r="AP157" s="14">
        <f t="shared" si="383"/>
        <v>4474</v>
      </c>
      <c r="AQ157" s="14">
        <f t="shared" si="383"/>
        <v>4474</v>
      </c>
      <c r="AR157" s="14">
        <f t="shared" si="383"/>
        <v>4474</v>
      </c>
      <c r="AS157" s="14">
        <f t="shared" si="383"/>
        <v>4474</v>
      </c>
      <c r="AT157" s="14">
        <f>INDEX(属性投放!$DG$6:$DG$85,(卡牌属性!AG157-2)*20+卡牌属性!AN157)</f>
        <v>2188</v>
      </c>
      <c r="AU157" s="14">
        <f t="shared" si="384"/>
        <v>2188</v>
      </c>
      <c r="AV157" s="14">
        <f t="shared" si="384"/>
        <v>2188</v>
      </c>
      <c r="AW157" s="14">
        <f t="shared" si="384"/>
        <v>2188</v>
      </c>
      <c r="AX157" s="14">
        <f t="shared" si="384"/>
        <v>2188</v>
      </c>
      <c r="AY157" s="14">
        <f>INDEX(属性投放!$DH$6:$DH$85,(卡牌属性!AG157-2)*20+卡牌属性!AN157)</f>
        <v>36531</v>
      </c>
      <c r="AZ157" s="14">
        <f t="shared" si="385"/>
        <v>36531</v>
      </c>
      <c r="BA157" s="14">
        <f t="shared" si="385"/>
        <v>36531</v>
      </c>
      <c r="BB157" s="14">
        <f t="shared" si="385"/>
        <v>36531</v>
      </c>
      <c r="BC157" s="14">
        <f t="shared" si="385"/>
        <v>36531</v>
      </c>
      <c r="BD157" s="14">
        <f>INDEX(属性投放!$DL$6:$DL$85,(卡牌属性!AG157-2)*20+卡牌属性!AN157)</f>
        <v>151</v>
      </c>
      <c r="BE157" s="14">
        <f t="shared" si="386"/>
        <v>151</v>
      </c>
      <c r="BF157" s="14">
        <f t="shared" si="386"/>
        <v>151</v>
      </c>
      <c r="BG157" s="14">
        <f t="shared" si="386"/>
        <v>151</v>
      </c>
      <c r="BH157" s="14">
        <f t="shared" si="386"/>
        <v>151</v>
      </c>
      <c r="BI157" s="14">
        <f>INDEX(属性投放!$DM$6:$DM$85,(卡牌属性!AG157-2)*20+卡牌属性!AN157)</f>
        <v>76</v>
      </c>
      <c r="BJ157" s="14">
        <f t="shared" si="387"/>
        <v>76</v>
      </c>
      <c r="BK157" s="14">
        <f t="shared" si="387"/>
        <v>76</v>
      </c>
      <c r="BL157" s="14">
        <f t="shared" si="387"/>
        <v>76</v>
      </c>
      <c r="BM157" s="14">
        <f t="shared" si="387"/>
        <v>76</v>
      </c>
      <c r="BN157" s="14">
        <f>INDEX(属性投放!$DN$6:$DN$85,(卡牌属性!AG157-2)*20+卡牌属性!AN157)</f>
        <v>1510</v>
      </c>
      <c r="BO157" s="14">
        <f t="shared" si="388"/>
        <v>1510</v>
      </c>
      <c r="BP157" s="14">
        <f t="shared" si="388"/>
        <v>1510</v>
      </c>
      <c r="BQ157" s="14">
        <f t="shared" si="388"/>
        <v>1510</v>
      </c>
      <c r="BR157" s="14">
        <f t="shared" si="388"/>
        <v>1510</v>
      </c>
      <c r="BW157" s="13">
        <v>153</v>
      </c>
      <c r="BX157" s="13">
        <f t="shared" si="320"/>
        <v>8</v>
      </c>
      <c r="BY157" s="14">
        <f t="shared" si="321"/>
        <v>4</v>
      </c>
      <c r="BZ157" s="14">
        <f t="shared" si="332"/>
        <v>1102008</v>
      </c>
      <c r="CA157" s="14" t="str">
        <f t="shared" si="333"/>
        <v>夏侯渊13突</v>
      </c>
      <c r="CB157" s="25" t="s">
        <v>142</v>
      </c>
      <c r="CC157" s="14">
        <v>2</v>
      </c>
      <c r="CD157" s="14">
        <f t="shared" si="322"/>
        <v>13</v>
      </c>
      <c r="CE157" s="14" t="s">
        <v>21</v>
      </c>
      <c r="CF157" s="14">
        <f>INDEX(属性投放!$AZ$6:$AZ$85,(BY157-2)*20+CD157)</f>
        <v>6778</v>
      </c>
      <c r="CG157" s="14" t="s">
        <v>22</v>
      </c>
      <c r="CH157" s="14">
        <f>INDEX(属性投放!$BA$6:$BA$85,(BY157-2)*20+CD157)</f>
        <v>3341</v>
      </c>
      <c r="CI157" s="14" t="s">
        <v>510</v>
      </c>
      <c r="CJ157" s="14">
        <f>INDEX(属性投放!$BB$6:$BB$85,(BY157-2)*20+CD157)</f>
        <v>54103</v>
      </c>
      <c r="CK157" s="14" t="s">
        <v>21</v>
      </c>
      <c r="CL157" s="14">
        <f>INDEX(属性投放!$BC$6:$BC$85,(BY157-2)*20+CD157)</f>
        <v>40</v>
      </c>
      <c r="CM157" s="14" t="s">
        <v>22</v>
      </c>
      <c r="CN157" s="14">
        <f>INDEX(属性投放!$BD$6:$BD$85,(BY157-2)*20+CD157)</f>
        <v>20</v>
      </c>
      <c r="CO157" s="14" t="s">
        <v>510</v>
      </c>
      <c r="CP157" s="14">
        <f>INDEX(属性投放!$BE$6:$BE$85,(BY157-2)*20+CD157)</f>
        <v>400</v>
      </c>
      <c r="CS157" s="13">
        <v>153</v>
      </c>
      <c r="CT157" s="13">
        <f t="shared" si="334"/>
        <v>3</v>
      </c>
      <c r="CU157" s="13">
        <f t="shared" si="335"/>
        <v>49</v>
      </c>
      <c r="CV157" s="14">
        <f t="shared" si="336"/>
        <v>4</v>
      </c>
      <c r="CW157" s="14">
        <f t="shared" si="337"/>
        <v>1102003</v>
      </c>
      <c r="CX157" s="14" t="str">
        <f>INDEX($O$6:$O$50,CT157)&amp;"-"&amp;INDEX(属性投放!$AB$7:$AB$50,CZ157)&amp;"-魂火-"&amp;DB157</f>
        <v>典韦-无间+1-魂火-1</v>
      </c>
      <c r="CY157" s="25" t="s">
        <v>142</v>
      </c>
      <c r="CZ157" s="14">
        <f>INDEX(属性投放!$AM$7:$AM$58,CU157)</f>
        <v>20</v>
      </c>
      <c r="DA157" s="14" t="s">
        <v>537</v>
      </c>
      <c r="DB157" s="14">
        <f>INDEX(属性投放!$AN$7:$AN$58,CU157)</f>
        <v>1</v>
      </c>
      <c r="DC157" s="14">
        <f t="shared" si="323"/>
        <v>49</v>
      </c>
      <c r="DD157" s="14">
        <f>INDEX(属性投放!$AO$7:$AO$58,DC157)</f>
        <v>140</v>
      </c>
      <c r="DE157" s="14" t="s">
        <v>538</v>
      </c>
      <c r="DF157" s="14">
        <f>INDEX(属性投放!$BK$6:$BK$85,(CV157-2)*20+CZ157)</f>
        <v>1000</v>
      </c>
      <c r="DG157" s="14">
        <f>SUMIFS(DF$5:DF157,$CT$5:$CT157,"="&amp;$CT157)</f>
        <v>15335</v>
      </c>
      <c r="DH157" s="14" t="s">
        <v>539</v>
      </c>
      <c r="DI157" s="14">
        <f>INDEX(属性投放!$BL$6:$BL$85,(CV157-2)*20+CZ157)</f>
        <v>500</v>
      </c>
      <c r="DJ157" s="14">
        <f>SUMIFS(DI$5:DI157,$CT$5:$CT157,"="&amp;$CT157)</f>
        <v>7677</v>
      </c>
      <c r="DK157" s="14" t="s">
        <v>540</v>
      </c>
      <c r="DL157" s="14">
        <f>INDEX(属性投放!$BM$6:$BM$85,(CV157-2)*20+CZ157)</f>
        <v>10000</v>
      </c>
      <c r="DM157" s="14">
        <f>SUMIFS(DL$5:DL157,$CT$5:$CT157,"="&amp;$CT157)</f>
        <v>148785</v>
      </c>
      <c r="DR157" s="14">
        <f t="shared" si="324"/>
        <v>1102008</v>
      </c>
      <c r="DS157" s="14" t="str">
        <f t="shared" si="325"/>
        <v>夏侯渊13突</v>
      </c>
      <c r="DT157" s="14">
        <f t="shared" si="338"/>
        <v>7</v>
      </c>
      <c r="DU157" s="14">
        <f t="shared" si="339"/>
        <v>5</v>
      </c>
      <c r="DV157" s="14">
        <f t="shared" si="340"/>
        <v>9</v>
      </c>
      <c r="DW157" s="14">
        <f t="shared" si="326"/>
        <v>4</v>
      </c>
      <c r="DX157" s="14">
        <f t="shared" si="327"/>
        <v>13</v>
      </c>
      <c r="DY157" s="14">
        <f t="shared" si="328"/>
        <v>53</v>
      </c>
      <c r="DZ157" s="14">
        <f>INDEX(属性投放!$AX$6:$AX$85,(卡牌属性!DW157-2)*20+卡牌属性!DX157)</f>
        <v>8</v>
      </c>
      <c r="EA157" s="14">
        <f>INDEX(属性投放!BQ$6:BQ$85,卡牌属性!$DY157)</f>
        <v>450</v>
      </c>
      <c r="EB157" s="14">
        <f>INDEX(属性投放!BR$6:BR$85,卡牌属性!$DY157)</f>
        <v>225</v>
      </c>
      <c r="EC157" s="14">
        <f>INDEX(属性投放!BS$6:BS$85,卡牌属性!$DY157)</f>
        <v>4500</v>
      </c>
      <c r="ED157" s="14">
        <f t="shared" si="389"/>
        <v>4023</v>
      </c>
      <c r="EE157" s="14">
        <f t="shared" si="390"/>
        <v>4325</v>
      </c>
      <c r="EF157" s="14">
        <f t="shared" si="391"/>
        <v>4655</v>
      </c>
      <c r="EG157" s="14">
        <f t="shared" si="392"/>
        <v>4655</v>
      </c>
      <c r="EH157" s="14">
        <f t="shared" si="393"/>
        <v>5335</v>
      </c>
      <c r="EI157" s="14">
        <f t="shared" si="394"/>
        <v>1606</v>
      </c>
      <c r="EJ157" s="14">
        <f t="shared" si="395"/>
        <v>1684</v>
      </c>
      <c r="EK157" s="14">
        <f t="shared" si="396"/>
        <v>1684</v>
      </c>
      <c r="EL157" s="14">
        <f t="shared" si="397"/>
        <v>1982</v>
      </c>
      <c r="EM157" s="14">
        <f t="shared" si="398"/>
        <v>2137</v>
      </c>
      <c r="EN157" s="14">
        <f t="shared" si="399"/>
        <v>35660</v>
      </c>
      <c r="EO157" s="14">
        <f t="shared" si="400"/>
        <v>40870</v>
      </c>
      <c r="EP157" s="14">
        <f t="shared" si="401"/>
        <v>40870</v>
      </c>
      <c r="EQ157" s="14">
        <f t="shared" si="402"/>
        <v>50020</v>
      </c>
      <c r="ER157" s="14">
        <f t="shared" si="403"/>
        <v>61930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INDEX(属性投放!$BQ$6:$BQ$85,(卡牌属性!$DW157-2)*20+卡牌属性!$DX157)</f>
        <v>450</v>
      </c>
      <c r="FI157" s="14">
        <f>INDEX(属性投放!$BQ$6:$BQ$85,(卡牌属性!$DW157-2)*20+卡牌属性!$DX157)</f>
        <v>450</v>
      </c>
      <c r="FJ157" s="14">
        <f>INDEX(属性投放!$BQ$6:$BQ$85,(卡牌属性!$DW157-2)*20+卡牌属性!$DX157)</f>
        <v>450</v>
      </c>
      <c r="FK157" s="14">
        <f>INDEX(属性投放!$BQ$6:$BQ$85,(卡牌属性!$DW157-2)*20+卡牌属性!$DX157)</f>
        <v>450</v>
      </c>
      <c r="FL157" s="14">
        <f>INDEX(属性投放!$BQ$6:$BQ$85,(卡牌属性!$DW157-2)*20+卡牌属性!$DX157)</f>
        <v>450</v>
      </c>
      <c r="FM157" s="14">
        <f>INDEX(属性投放!$BR$6:$BR$85,(卡牌属性!$DW157-2)*20+卡牌属性!$DX157)</f>
        <v>225</v>
      </c>
      <c r="FN157" s="14">
        <f>INDEX(属性投放!$BR$6:$BR$85,(卡牌属性!$DW157-2)*20+卡牌属性!$DX157)</f>
        <v>225</v>
      </c>
      <c r="FO157" s="14">
        <f>INDEX(属性投放!$BR$6:$BR$85,(卡牌属性!$DW157-2)*20+卡牌属性!$DX157)</f>
        <v>225</v>
      </c>
      <c r="FP157" s="14">
        <f>INDEX(属性投放!$BR$6:$BR$85,(卡牌属性!$DW157-2)*20+卡牌属性!$DX157)</f>
        <v>225</v>
      </c>
      <c r="FQ157" s="14">
        <f>INDEX(属性投放!$BR$6:$BR$85,(卡牌属性!$DW157-2)*20+卡牌属性!$DX157)</f>
        <v>225</v>
      </c>
      <c r="FR157" s="14">
        <f>INDEX(属性投放!$BS$6:$BS$85,(卡牌属性!$DW157-2)*20+卡牌属性!$DX157)</f>
        <v>4500</v>
      </c>
      <c r="FS157" s="14">
        <f>INDEX(属性投放!$BS$6:$BS$85,(卡牌属性!$DW157-2)*20+卡牌属性!$DX157)</f>
        <v>4500</v>
      </c>
      <c r="FT157" s="14">
        <f>INDEX(属性投放!$BS$6:$BS$85,(卡牌属性!$DW157-2)*20+卡牌属性!$DX157)</f>
        <v>4500</v>
      </c>
      <c r="FU157" s="14">
        <f>INDEX(属性投放!$BS$6:$BS$85,(卡牌属性!$DW157-2)*20+卡牌属性!$DX157)</f>
        <v>4500</v>
      </c>
      <c r="FV157" s="14">
        <f>INDEX(属性投放!$BS$6:$BS$85,(卡牌属性!$DW157-2)*20+卡牌属性!$DX157)</f>
        <v>4500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1" ht="16.5" x14ac:dyDescent="0.2">
      <c r="AE158" s="13">
        <v>154</v>
      </c>
      <c r="AF158" s="13">
        <f t="shared" si="331"/>
        <v>8</v>
      </c>
      <c r="AG158" s="13">
        <f t="shared" si="316"/>
        <v>2</v>
      </c>
      <c r="AH158" s="13"/>
      <c r="AI158" s="13"/>
      <c r="AJ158" s="14">
        <f t="shared" si="317"/>
        <v>1101008</v>
      </c>
      <c r="AK158" s="14" t="str">
        <f t="shared" si="318"/>
        <v>黑尔·坎普14突</v>
      </c>
      <c r="AL158" s="25" t="s">
        <v>142</v>
      </c>
      <c r="AM158" s="14">
        <v>1</v>
      </c>
      <c r="AN158" s="14">
        <f t="shared" si="319"/>
        <v>14</v>
      </c>
      <c r="AO158" s="14">
        <f>INDEX(属性投放!$DF$6:$DF$85,(卡牌属性!AG158-2)*20+卡牌属性!AN158)</f>
        <v>4906</v>
      </c>
      <c r="AP158" s="14">
        <f t="shared" si="383"/>
        <v>4906</v>
      </c>
      <c r="AQ158" s="14">
        <f t="shared" si="383"/>
        <v>4906</v>
      </c>
      <c r="AR158" s="14">
        <f t="shared" si="383"/>
        <v>4906</v>
      </c>
      <c r="AS158" s="14">
        <f t="shared" si="383"/>
        <v>4906</v>
      </c>
      <c r="AT158" s="14">
        <f>INDEX(属性投放!$DG$6:$DG$85,(卡牌属性!AG158-2)*20+卡牌属性!AN158)</f>
        <v>2405</v>
      </c>
      <c r="AU158" s="14">
        <f t="shared" si="384"/>
        <v>2405</v>
      </c>
      <c r="AV158" s="14">
        <f t="shared" si="384"/>
        <v>2405</v>
      </c>
      <c r="AW158" s="14">
        <f t="shared" si="384"/>
        <v>2405</v>
      </c>
      <c r="AX158" s="14">
        <f t="shared" si="384"/>
        <v>2405</v>
      </c>
      <c r="AY158" s="14">
        <f>INDEX(属性投放!$DH$6:$DH$85,(卡牌属性!AG158-2)*20+卡牌属性!AN158)</f>
        <v>40846</v>
      </c>
      <c r="AZ158" s="14">
        <f t="shared" si="385"/>
        <v>40846</v>
      </c>
      <c r="BA158" s="14">
        <f t="shared" si="385"/>
        <v>40846</v>
      </c>
      <c r="BB158" s="14">
        <f t="shared" si="385"/>
        <v>40846</v>
      </c>
      <c r="BC158" s="14">
        <f t="shared" si="385"/>
        <v>40846</v>
      </c>
      <c r="BD158" s="14">
        <f>INDEX(属性投放!$DL$6:$DL$85,(卡牌属性!AG158-2)*20+卡牌属性!AN158)</f>
        <v>151</v>
      </c>
      <c r="BE158" s="14">
        <f t="shared" si="386"/>
        <v>151</v>
      </c>
      <c r="BF158" s="14">
        <f t="shared" si="386"/>
        <v>151</v>
      </c>
      <c r="BG158" s="14">
        <f t="shared" si="386"/>
        <v>151</v>
      </c>
      <c r="BH158" s="14">
        <f t="shared" si="386"/>
        <v>151</v>
      </c>
      <c r="BI158" s="14">
        <f>INDEX(属性投放!$DM$6:$DM$85,(卡牌属性!AG158-2)*20+卡牌属性!AN158)</f>
        <v>76</v>
      </c>
      <c r="BJ158" s="14">
        <f t="shared" si="387"/>
        <v>76</v>
      </c>
      <c r="BK158" s="14">
        <f t="shared" si="387"/>
        <v>76</v>
      </c>
      <c r="BL158" s="14">
        <f t="shared" si="387"/>
        <v>76</v>
      </c>
      <c r="BM158" s="14">
        <f t="shared" si="387"/>
        <v>76</v>
      </c>
      <c r="BN158" s="14">
        <f>INDEX(属性投放!$DN$6:$DN$85,(卡牌属性!AG158-2)*20+卡牌属性!AN158)</f>
        <v>1510</v>
      </c>
      <c r="BO158" s="14">
        <f t="shared" si="388"/>
        <v>1510</v>
      </c>
      <c r="BP158" s="14">
        <f t="shared" si="388"/>
        <v>1510</v>
      </c>
      <c r="BQ158" s="14">
        <f t="shared" si="388"/>
        <v>1510</v>
      </c>
      <c r="BR158" s="14">
        <f t="shared" si="388"/>
        <v>1510</v>
      </c>
      <c r="BW158" s="13">
        <v>154</v>
      </c>
      <c r="BX158" s="13">
        <f t="shared" si="320"/>
        <v>8</v>
      </c>
      <c r="BY158" s="14">
        <f t="shared" si="321"/>
        <v>4</v>
      </c>
      <c r="BZ158" s="14">
        <f t="shared" si="332"/>
        <v>1102008</v>
      </c>
      <c r="CA158" s="14" t="str">
        <f t="shared" si="333"/>
        <v>夏侯渊14突</v>
      </c>
      <c r="CB158" s="25" t="s">
        <v>142</v>
      </c>
      <c r="CC158" s="14">
        <v>2</v>
      </c>
      <c r="CD158" s="14">
        <f t="shared" si="322"/>
        <v>14</v>
      </c>
      <c r="CE158" s="14" t="s">
        <v>21</v>
      </c>
      <c r="CF158" s="14">
        <f>INDEX(属性投放!$AZ$6:$AZ$85,(BY158-2)*20+CD158)</f>
        <v>8373</v>
      </c>
      <c r="CG158" s="14" t="s">
        <v>22</v>
      </c>
      <c r="CH158" s="14">
        <f>INDEX(属性投放!$BA$6:$BA$85,(BY158-2)*20+CD158)</f>
        <v>4140</v>
      </c>
      <c r="CI158" s="14" t="s">
        <v>510</v>
      </c>
      <c r="CJ158" s="14">
        <f>INDEX(属性投放!$BB$6:$BB$85,(BY158-2)*20+CD158)</f>
        <v>70053</v>
      </c>
      <c r="CK158" s="14" t="s">
        <v>21</v>
      </c>
      <c r="CL158" s="14">
        <f>INDEX(属性投放!$BC$6:$BC$85,(BY158-2)*20+CD158)</f>
        <v>40</v>
      </c>
      <c r="CM158" s="14" t="s">
        <v>22</v>
      </c>
      <c r="CN158" s="14">
        <f>INDEX(属性投放!$BD$6:$BD$85,(BY158-2)*20+CD158)</f>
        <v>20</v>
      </c>
      <c r="CO158" s="14" t="s">
        <v>510</v>
      </c>
      <c r="CP158" s="14">
        <f>INDEX(属性投放!$BE$6:$BE$85,(BY158-2)*20+CD158)</f>
        <v>400</v>
      </c>
      <c r="CS158" s="13">
        <v>154</v>
      </c>
      <c r="CT158" s="13">
        <f t="shared" si="334"/>
        <v>3</v>
      </c>
      <c r="CU158" s="13">
        <f t="shared" si="335"/>
        <v>50</v>
      </c>
      <c r="CV158" s="14">
        <f t="shared" si="336"/>
        <v>4</v>
      </c>
      <c r="CW158" s="14">
        <f t="shared" si="337"/>
        <v>1102003</v>
      </c>
      <c r="CX158" s="14" t="str">
        <f>INDEX($O$6:$O$50,CT158)&amp;"-"&amp;INDEX(属性投放!$AB$7:$AB$50,CZ158)&amp;"-魂火-"&amp;DB158</f>
        <v>典韦-无间+1-魂火-2</v>
      </c>
      <c r="CY158" s="25" t="s">
        <v>142</v>
      </c>
      <c r="CZ158" s="14">
        <f>INDEX(属性投放!$AM$7:$AM$58,CU158)</f>
        <v>20</v>
      </c>
      <c r="DA158" s="14" t="s">
        <v>537</v>
      </c>
      <c r="DB158" s="14">
        <f>INDEX(属性投放!$AN$7:$AN$58,CU158)</f>
        <v>2</v>
      </c>
      <c r="DC158" s="14">
        <f t="shared" si="323"/>
        <v>50</v>
      </c>
      <c r="DD158" s="14">
        <f>INDEX(属性投放!$AO$7:$AO$58,DC158)</f>
        <v>143</v>
      </c>
      <c r="DE158" s="14" t="s">
        <v>538</v>
      </c>
      <c r="DF158" s="14">
        <f>INDEX(属性投放!$BK$6:$BK$85,(CV158-2)*20+CZ158)</f>
        <v>1000</v>
      </c>
      <c r="DG158" s="14">
        <f>SUMIFS(DF$5:DF158,$CT$5:$CT158,"="&amp;$CT158)</f>
        <v>16335</v>
      </c>
      <c r="DH158" s="14" t="s">
        <v>539</v>
      </c>
      <c r="DI158" s="14">
        <f>INDEX(属性投放!$BL$6:$BL$85,(CV158-2)*20+CZ158)</f>
        <v>500</v>
      </c>
      <c r="DJ158" s="14">
        <f>SUMIFS(DI$5:DI158,$CT$5:$CT158,"="&amp;$CT158)</f>
        <v>8177</v>
      </c>
      <c r="DK158" s="14" t="s">
        <v>540</v>
      </c>
      <c r="DL158" s="14">
        <f>INDEX(属性投放!$BM$6:$BM$85,(CV158-2)*20+CZ158)</f>
        <v>10000</v>
      </c>
      <c r="DM158" s="14">
        <f>SUMIFS(DL$5:DL158,$CT$5:$CT158,"="&amp;$CT158)</f>
        <v>158785</v>
      </c>
      <c r="DR158" s="14">
        <f t="shared" si="324"/>
        <v>1102008</v>
      </c>
      <c r="DS158" s="14" t="str">
        <f t="shared" si="325"/>
        <v>夏侯渊14突</v>
      </c>
      <c r="DT158" s="14">
        <f t="shared" si="338"/>
        <v>7</v>
      </c>
      <c r="DU158" s="14">
        <f t="shared" si="339"/>
        <v>5</v>
      </c>
      <c r="DV158" s="14">
        <f t="shared" si="340"/>
        <v>9</v>
      </c>
      <c r="DW158" s="14">
        <f t="shared" si="326"/>
        <v>4</v>
      </c>
      <c r="DX158" s="14">
        <f t="shared" si="327"/>
        <v>14</v>
      </c>
      <c r="DY158" s="14">
        <f t="shared" si="328"/>
        <v>54</v>
      </c>
      <c r="DZ158" s="14">
        <f>INDEX(属性投放!$AX$6:$AX$85,(卡牌属性!DW158-2)*20+卡牌属性!DX158)</f>
        <v>7</v>
      </c>
      <c r="EA158" s="14">
        <f>INDEX(属性投放!BQ$6:BQ$85,卡牌属性!$DY158)</f>
        <v>500</v>
      </c>
      <c r="EB158" s="14">
        <f>INDEX(属性投放!BR$6:BR$85,卡牌属性!$DY158)</f>
        <v>250</v>
      </c>
      <c r="EC158" s="14">
        <f>INDEX(属性投放!BS$6:BS$85,卡牌属性!$DY158)</f>
        <v>5000</v>
      </c>
      <c r="ED158" s="14">
        <f t="shared" si="389"/>
        <v>4793</v>
      </c>
      <c r="EE158" s="14">
        <f t="shared" si="390"/>
        <v>5135</v>
      </c>
      <c r="EF158" s="14">
        <f t="shared" si="391"/>
        <v>5505</v>
      </c>
      <c r="EG158" s="14">
        <f t="shared" si="392"/>
        <v>5505</v>
      </c>
      <c r="EH158" s="14">
        <f t="shared" si="393"/>
        <v>6385</v>
      </c>
      <c r="EI158" s="14">
        <f t="shared" si="394"/>
        <v>1935</v>
      </c>
      <c r="EJ158" s="14">
        <f t="shared" si="395"/>
        <v>2013</v>
      </c>
      <c r="EK158" s="14">
        <f t="shared" si="396"/>
        <v>2013</v>
      </c>
      <c r="EL158" s="14">
        <f t="shared" si="397"/>
        <v>2367</v>
      </c>
      <c r="EM158" s="14">
        <f t="shared" si="398"/>
        <v>2546</v>
      </c>
      <c r="EN158" s="14">
        <f t="shared" si="399"/>
        <v>44160</v>
      </c>
      <c r="EO158" s="14">
        <f t="shared" si="400"/>
        <v>51370</v>
      </c>
      <c r="EP158" s="14">
        <f t="shared" si="401"/>
        <v>51370</v>
      </c>
      <c r="EQ158" s="14">
        <f t="shared" si="402"/>
        <v>62520</v>
      </c>
      <c r="ER158" s="14">
        <f t="shared" si="403"/>
        <v>78430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INDEX(属性投放!$BQ$6:$BQ$85,(卡牌属性!$DW158-2)*20+卡牌属性!$DX158)</f>
        <v>500</v>
      </c>
      <c r="FI158" s="14">
        <f>INDEX(属性投放!$BQ$6:$BQ$85,(卡牌属性!$DW158-2)*20+卡牌属性!$DX158)</f>
        <v>500</v>
      </c>
      <c r="FJ158" s="14">
        <f>INDEX(属性投放!$BQ$6:$BQ$85,(卡牌属性!$DW158-2)*20+卡牌属性!$DX158)</f>
        <v>500</v>
      </c>
      <c r="FK158" s="14">
        <f>INDEX(属性投放!$BQ$6:$BQ$85,(卡牌属性!$DW158-2)*20+卡牌属性!$DX158)</f>
        <v>500</v>
      </c>
      <c r="FL158" s="14">
        <f>INDEX(属性投放!$BQ$6:$BQ$85,(卡牌属性!$DW158-2)*20+卡牌属性!$DX158)</f>
        <v>500</v>
      </c>
      <c r="FM158" s="14">
        <f>INDEX(属性投放!$BR$6:$BR$85,(卡牌属性!$DW158-2)*20+卡牌属性!$DX158)</f>
        <v>250</v>
      </c>
      <c r="FN158" s="14">
        <f>INDEX(属性投放!$BR$6:$BR$85,(卡牌属性!$DW158-2)*20+卡牌属性!$DX158)</f>
        <v>250</v>
      </c>
      <c r="FO158" s="14">
        <f>INDEX(属性投放!$BR$6:$BR$85,(卡牌属性!$DW158-2)*20+卡牌属性!$DX158)</f>
        <v>250</v>
      </c>
      <c r="FP158" s="14">
        <f>INDEX(属性投放!$BR$6:$BR$85,(卡牌属性!$DW158-2)*20+卡牌属性!$DX158)</f>
        <v>250</v>
      </c>
      <c r="FQ158" s="14">
        <f>INDEX(属性投放!$BR$6:$BR$85,(卡牌属性!$DW158-2)*20+卡牌属性!$DX158)</f>
        <v>250</v>
      </c>
      <c r="FR158" s="14">
        <f>INDEX(属性投放!$BS$6:$BS$85,(卡牌属性!$DW158-2)*20+卡牌属性!$DX158)</f>
        <v>5000</v>
      </c>
      <c r="FS158" s="14">
        <f>INDEX(属性投放!$BS$6:$BS$85,(卡牌属性!$DW158-2)*20+卡牌属性!$DX158)</f>
        <v>5000</v>
      </c>
      <c r="FT158" s="14">
        <f>INDEX(属性投放!$BS$6:$BS$85,(卡牌属性!$DW158-2)*20+卡牌属性!$DX158)</f>
        <v>5000</v>
      </c>
      <c r="FU158" s="14">
        <f>INDEX(属性投放!$BS$6:$BS$85,(卡牌属性!$DW158-2)*20+卡牌属性!$DX158)</f>
        <v>5000</v>
      </c>
      <c r="FV158" s="14">
        <f>INDEX(属性投放!$BS$6:$BS$85,(卡牌属性!$DW158-2)*20+卡牌属性!$DX158)</f>
        <v>5000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1" ht="16.5" x14ac:dyDescent="0.2">
      <c r="AE159" s="13">
        <v>155</v>
      </c>
      <c r="AF159" s="13">
        <f t="shared" si="331"/>
        <v>8</v>
      </c>
      <c r="AG159" s="13">
        <f t="shared" si="316"/>
        <v>2</v>
      </c>
      <c r="AH159" s="13"/>
      <c r="AI159" s="13"/>
      <c r="AJ159" s="14">
        <f t="shared" si="317"/>
        <v>1101008</v>
      </c>
      <c r="AK159" s="14" t="str">
        <f t="shared" si="318"/>
        <v>黑尔·坎普15突</v>
      </c>
      <c r="AL159" s="25" t="s">
        <v>142</v>
      </c>
      <c r="AM159" s="14">
        <v>1</v>
      </c>
      <c r="AN159" s="14">
        <f t="shared" si="319"/>
        <v>15</v>
      </c>
      <c r="AO159" s="14">
        <f>INDEX(属性投放!$DF$6:$DF$85,(卡牌属性!AG159-2)*20+卡牌属性!AN159)</f>
        <v>5338</v>
      </c>
      <c r="AP159" s="14">
        <f t="shared" si="383"/>
        <v>5338</v>
      </c>
      <c r="AQ159" s="14">
        <f t="shared" si="383"/>
        <v>5338</v>
      </c>
      <c r="AR159" s="14">
        <f t="shared" si="383"/>
        <v>5338</v>
      </c>
      <c r="AS159" s="14">
        <f t="shared" si="383"/>
        <v>5338</v>
      </c>
      <c r="AT159" s="14">
        <f>INDEX(属性投放!$DG$6:$DG$85,(卡牌属性!AG159-2)*20+卡牌属性!AN159)</f>
        <v>2622</v>
      </c>
      <c r="AU159" s="14">
        <f t="shared" si="384"/>
        <v>2622</v>
      </c>
      <c r="AV159" s="14">
        <f t="shared" si="384"/>
        <v>2622</v>
      </c>
      <c r="AW159" s="14">
        <f t="shared" si="384"/>
        <v>2622</v>
      </c>
      <c r="AX159" s="14">
        <f t="shared" si="384"/>
        <v>2622</v>
      </c>
      <c r="AY159" s="14">
        <f>INDEX(属性投放!$DH$6:$DH$85,(卡牌属性!AG159-2)*20+卡牌属性!AN159)</f>
        <v>45161</v>
      </c>
      <c r="AZ159" s="14">
        <f t="shared" si="385"/>
        <v>45161</v>
      </c>
      <c r="BA159" s="14">
        <f t="shared" si="385"/>
        <v>45161</v>
      </c>
      <c r="BB159" s="14">
        <f t="shared" si="385"/>
        <v>45161</v>
      </c>
      <c r="BC159" s="14">
        <f t="shared" si="385"/>
        <v>45161</v>
      </c>
      <c r="BD159" s="14">
        <f>INDEX(属性投放!$DL$6:$DL$85,(卡牌属性!AG159-2)*20+卡牌属性!AN159)</f>
        <v>151</v>
      </c>
      <c r="BE159" s="14">
        <f t="shared" si="386"/>
        <v>151</v>
      </c>
      <c r="BF159" s="14">
        <f t="shared" si="386"/>
        <v>151</v>
      </c>
      <c r="BG159" s="14">
        <f t="shared" si="386"/>
        <v>151</v>
      </c>
      <c r="BH159" s="14">
        <f t="shared" si="386"/>
        <v>151</v>
      </c>
      <c r="BI159" s="14">
        <f>INDEX(属性投放!$DM$6:$DM$85,(卡牌属性!AG159-2)*20+卡牌属性!AN159)</f>
        <v>76</v>
      </c>
      <c r="BJ159" s="14">
        <f t="shared" si="387"/>
        <v>76</v>
      </c>
      <c r="BK159" s="14">
        <f t="shared" si="387"/>
        <v>76</v>
      </c>
      <c r="BL159" s="14">
        <f t="shared" si="387"/>
        <v>76</v>
      </c>
      <c r="BM159" s="14">
        <f t="shared" si="387"/>
        <v>76</v>
      </c>
      <c r="BN159" s="14">
        <f>INDEX(属性投放!$DN$6:$DN$85,(卡牌属性!AG159-2)*20+卡牌属性!AN159)</f>
        <v>1510</v>
      </c>
      <c r="BO159" s="14">
        <f t="shared" si="388"/>
        <v>1510</v>
      </c>
      <c r="BP159" s="14">
        <f t="shared" si="388"/>
        <v>1510</v>
      </c>
      <c r="BQ159" s="14">
        <f t="shared" si="388"/>
        <v>1510</v>
      </c>
      <c r="BR159" s="14">
        <f t="shared" si="388"/>
        <v>1510</v>
      </c>
      <c r="BW159" s="13">
        <v>155</v>
      </c>
      <c r="BX159" s="13">
        <f t="shared" si="320"/>
        <v>8</v>
      </c>
      <c r="BY159" s="14">
        <f t="shared" si="321"/>
        <v>4</v>
      </c>
      <c r="BZ159" s="14">
        <f t="shared" si="332"/>
        <v>1102008</v>
      </c>
      <c r="CA159" s="14" t="str">
        <f t="shared" si="333"/>
        <v>夏侯渊15突</v>
      </c>
      <c r="CB159" s="25" t="s">
        <v>142</v>
      </c>
      <c r="CC159" s="14">
        <v>2</v>
      </c>
      <c r="CD159" s="14">
        <f t="shared" si="322"/>
        <v>15</v>
      </c>
      <c r="CE159" s="14" t="s">
        <v>21</v>
      </c>
      <c r="CF159" s="14">
        <f>INDEX(属性投放!$AZ$6:$AZ$85,(BY159-2)*20+CD159)</f>
        <v>10113</v>
      </c>
      <c r="CG159" s="14" t="s">
        <v>22</v>
      </c>
      <c r="CH159" s="14">
        <f>INDEX(属性投放!$BA$6:$BA$85,(BY159-2)*20+CD159)</f>
        <v>5010</v>
      </c>
      <c r="CI159" s="14" t="s">
        <v>510</v>
      </c>
      <c r="CJ159" s="14">
        <f>INDEX(属性投放!$BB$6:$BB$85,(BY159-2)*20+CD159)</f>
        <v>87453</v>
      </c>
      <c r="CK159" s="14" t="s">
        <v>21</v>
      </c>
      <c r="CL159" s="14">
        <f>INDEX(属性投放!$BC$6:$BC$85,(BY159-2)*20+CD159)</f>
        <v>40</v>
      </c>
      <c r="CM159" s="14" t="s">
        <v>22</v>
      </c>
      <c r="CN159" s="14">
        <f>INDEX(属性投放!$BD$6:$BD$85,(BY159-2)*20+CD159)</f>
        <v>20</v>
      </c>
      <c r="CO159" s="14" t="s">
        <v>510</v>
      </c>
      <c r="CP159" s="14">
        <f>INDEX(属性投放!$BE$6:$BE$85,(BY159-2)*20+CD159)</f>
        <v>400</v>
      </c>
      <c r="CS159" s="13">
        <v>155</v>
      </c>
      <c r="CT159" s="13">
        <f t="shared" si="334"/>
        <v>3</v>
      </c>
      <c r="CU159" s="13">
        <f t="shared" si="335"/>
        <v>51</v>
      </c>
      <c r="CV159" s="14">
        <f t="shared" si="336"/>
        <v>4</v>
      </c>
      <c r="CW159" s="14">
        <f t="shared" si="337"/>
        <v>1102003</v>
      </c>
      <c r="CX159" s="14" t="str">
        <f>INDEX($O$6:$O$50,CT159)&amp;"-"&amp;INDEX(属性投放!$AB$7:$AB$50,CZ159)&amp;"-魂火-"&amp;DB159</f>
        <v>典韦-无间+1-魂火-3</v>
      </c>
      <c r="CY159" s="25" t="s">
        <v>142</v>
      </c>
      <c r="CZ159" s="14">
        <f>INDEX(属性投放!$AM$7:$AM$58,CU159)</f>
        <v>20</v>
      </c>
      <c r="DA159" s="14" t="s">
        <v>537</v>
      </c>
      <c r="DB159" s="14">
        <f>INDEX(属性投放!$AN$7:$AN$58,CU159)</f>
        <v>3</v>
      </c>
      <c r="DC159" s="14">
        <f t="shared" si="323"/>
        <v>51</v>
      </c>
      <c r="DD159" s="14">
        <f>INDEX(属性投放!$AO$7:$AO$58,DC159)</f>
        <v>145</v>
      </c>
      <c r="DE159" s="14" t="s">
        <v>538</v>
      </c>
      <c r="DF159" s="14">
        <f>INDEX(属性投放!$BK$6:$BK$85,(CV159-2)*20+CZ159)</f>
        <v>1000</v>
      </c>
      <c r="DG159" s="14">
        <f>SUMIFS(DF$5:DF159,$CT$5:$CT159,"="&amp;$CT159)</f>
        <v>17335</v>
      </c>
      <c r="DH159" s="14" t="s">
        <v>539</v>
      </c>
      <c r="DI159" s="14">
        <f>INDEX(属性投放!$BL$6:$BL$85,(CV159-2)*20+CZ159)</f>
        <v>500</v>
      </c>
      <c r="DJ159" s="14">
        <f>SUMIFS(DI$5:DI159,$CT$5:$CT159,"="&amp;$CT159)</f>
        <v>8677</v>
      </c>
      <c r="DK159" s="14" t="s">
        <v>540</v>
      </c>
      <c r="DL159" s="14">
        <f>INDEX(属性投放!$BM$6:$BM$85,(CV159-2)*20+CZ159)</f>
        <v>10000</v>
      </c>
      <c r="DM159" s="14">
        <f>SUMIFS(DL$5:DL159,$CT$5:$CT159,"="&amp;$CT159)</f>
        <v>168785</v>
      </c>
      <c r="DR159" s="14">
        <f t="shared" si="324"/>
        <v>1102008</v>
      </c>
      <c r="DS159" s="14" t="str">
        <f t="shared" si="325"/>
        <v>夏侯渊15突</v>
      </c>
      <c r="DT159" s="14">
        <f t="shared" si="338"/>
        <v>7</v>
      </c>
      <c r="DU159" s="14">
        <f t="shared" si="339"/>
        <v>5</v>
      </c>
      <c r="DV159" s="14">
        <f t="shared" si="340"/>
        <v>9</v>
      </c>
      <c r="DW159" s="14">
        <f t="shared" si="326"/>
        <v>4</v>
      </c>
      <c r="DX159" s="14">
        <f t="shared" si="327"/>
        <v>15</v>
      </c>
      <c r="DY159" s="14">
        <f t="shared" si="328"/>
        <v>55</v>
      </c>
      <c r="DZ159" s="14">
        <f>INDEX(属性投放!$AX$6:$AX$85,(卡牌属性!DW159-2)*20+卡牌属性!DX159)</f>
        <v>8</v>
      </c>
      <c r="EA159" s="14">
        <f>INDEX(属性投放!BQ$6:BQ$85,卡牌属性!$DY159)</f>
        <v>800</v>
      </c>
      <c r="EB159" s="14">
        <f>INDEX(属性投放!BR$6:BR$85,卡牌属性!$DY159)</f>
        <v>400</v>
      </c>
      <c r="EC159" s="14">
        <f>INDEX(属性投放!BS$6:BS$85,卡牌属性!$DY159)</f>
        <v>8000</v>
      </c>
      <c r="ED159" s="14">
        <f t="shared" si="389"/>
        <v>5573</v>
      </c>
      <c r="EE159" s="14">
        <f t="shared" si="390"/>
        <v>5950</v>
      </c>
      <c r="EF159" s="14">
        <f t="shared" si="391"/>
        <v>6355</v>
      </c>
      <c r="EG159" s="14">
        <f t="shared" si="392"/>
        <v>6355</v>
      </c>
      <c r="EH159" s="14">
        <f t="shared" si="393"/>
        <v>7410</v>
      </c>
      <c r="EI159" s="14">
        <f t="shared" si="394"/>
        <v>2276</v>
      </c>
      <c r="EJ159" s="14">
        <f t="shared" si="395"/>
        <v>2354</v>
      </c>
      <c r="EK159" s="14">
        <f t="shared" si="396"/>
        <v>2354</v>
      </c>
      <c r="EL159" s="14">
        <f t="shared" si="397"/>
        <v>2757</v>
      </c>
      <c r="EM159" s="14">
        <f t="shared" si="398"/>
        <v>2957</v>
      </c>
      <c r="EN159" s="14">
        <f t="shared" si="399"/>
        <v>52660</v>
      </c>
      <c r="EO159" s="14">
        <f t="shared" si="400"/>
        <v>61620</v>
      </c>
      <c r="EP159" s="14">
        <f t="shared" si="401"/>
        <v>61620</v>
      </c>
      <c r="EQ159" s="14">
        <f t="shared" si="402"/>
        <v>74520</v>
      </c>
      <c r="ER159" s="14">
        <f t="shared" si="403"/>
        <v>93930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INDEX(属性投放!$BQ$6:$BQ$85,(卡牌属性!$DW159-2)*20+卡牌属性!$DX159)</f>
        <v>800</v>
      </c>
      <c r="FI159" s="14">
        <f>INDEX(属性投放!$BQ$6:$BQ$85,(卡牌属性!$DW159-2)*20+卡牌属性!$DX159)</f>
        <v>800</v>
      </c>
      <c r="FJ159" s="14">
        <f>INDEX(属性投放!$BQ$6:$BQ$85,(卡牌属性!$DW159-2)*20+卡牌属性!$DX159)</f>
        <v>800</v>
      </c>
      <c r="FK159" s="14">
        <f>INDEX(属性投放!$BQ$6:$BQ$85,(卡牌属性!$DW159-2)*20+卡牌属性!$DX159)</f>
        <v>800</v>
      </c>
      <c r="FL159" s="14">
        <f>INDEX(属性投放!$BQ$6:$BQ$85,(卡牌属性!$DW159-2)*20+卡牌属性!$DX159)</f>
        <v>800</v>
      </c>
      <c r="FM159" s="14">
        <f>INDEX(属性投放!$BR$6:$BR$85,(卡牌属性!$DW159-2)*20+卡牌属性!$DX159)</f>
        <v>400</v>
      </c>
      <c r="FN159" s="14">
        <f>INDEX(属性投放!$BR$6:$BR$85,(卡牌属性!$DW159-2)*20+卡牌属性!$DX159)</f>
        <v>400</v>
      </c>
      <c r="FO159" s="14">
        <f>INDEX(属性投放!$BR$6:$BR$85,(卡牌属性!$DW159-2)*20+卡牌属性!$DX159)</f>
        <v>400</v>
      </c>
      <c r="FP159" s="14">
        <f>INDEX(属性投放!$BR$6:$BR$85,(卡牌属性!$DW159-2)*20+卡牌属性!$DX159)</f>
        <v>400</v>
      </c>
      <c r="FQ159" s="14">
        <f>INDEX(属性投放!$BR$6:$BR$85,(卡牌属性!$DW159-2)*20+卡牌属性!$DX159)</f>
        <v>400</v>
      </c>
      <c r="FR159" s="14">
        <f>INDEX(属性投放!$BS$6:$BS$85,(卡牌属性!$DW159-2)*20+卡牌属性!$DX159)</f>
        <v>8000</v>
      </c>
      <c r="FS159" s="14">
        <f>INDEX(属性投放!$BS$6:$BS$85,(卡牌属性!$DW159-2)*20+卡牌属性!$DX159)</f>
        <v>8000</v>
      </c>
      <c r="FT159" s="14">
        <f>INDEX(属性投放!$BS$6:$BS$85,(卡牌属性!$DW159-2)*20+卡牌属性!$DX159)</f>
        <v>8000</v>
      </c>
      <c r="FU159" s="14">
        <f>INDEX(属性投放!$BS$6:$BS$85,(卡牌属性!$DW159-2)*20+卡牌属性!$DX159)</f>
        <v>8000</v>
      </c>
      <c r="FV159" s="14">
        <f>INDEX(属性投放!$BS$6:$BS$85,(卡牌属性!$DW159-2)*20+卡牌属性!$DX159)</f>
        <v>8000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1" ht="16.5" x14ac:dyDescent="0.2">
      <c r="AE160" s="13">
        <v>156</v>
      </c>
      <c r="AF160" s="13">
        <f t="shared" si="331"/>
        <v>8</v>
      </c>
      <c r="AG160" s="13">
        <f t="shared" si="316"/>
        <v>2</v>
      </c>
      <c r="AH160" s="13"/>
      <c r="AI160" s="13"/>
      <c r="AJ160" s="14">
        <f t="shared" si="317"/>
        <v>1101008</v>
      </c>
      <c r="AK160" s="14" t="str">
        <f t="shared" si="318"/>
        <v>黑尔·坎普16突</v>
      </c>
      <c r="AL160" s="25" t="s">
        <v>142</v>
      </c>
      <c r="AM160" s="14">
        <v>1</v>
      </c>
      <c r="AN160" s="14">
        <f t="shared" si="319"/>
        <v>16</v>
      </c>
      <c r="AO160" s="14">
        <f>INDEX(属性投放!$DF$6:$DF$85,(卡牌属性!AG160-2)*20+卡牌属性!AN160)</f>
        <v>9545</v>
      </c>
      <c r="AP160" s="14">
        <f t="shared" si="383"/>
        <v>9545</v>
      </c>
      <c r="AQ160" s="14">
        <f t="shared" si="383"/>
        <v>9545</v>
      </c>
      <c r="AR160" s="14">
        <f t="shared" si="383"/>
        <v>9545</v>
      </c>
      <c r="AS160" s="14">
        <f t="shared" si="383"/>
        <v>9545</v>
      </c>
      <c r="AT160" s="14">
        <f>INDEX(属性投放!$DG$6:$DG$85,(卡牌属性!AG160-2)*20+卡牌属性!AN160)</f>
        <v>4739</v>
      </c>
      <c r="AU160" s="14">
        <f t="shared" si="384"/>
        <v>4739</v>
      </c>
      <c r="AV160" s="14">
        <f t="shared" si="384"/>
        <v>4739</v>
      </c>
      <c r="AW160" s="14">
        <f t="shared" si="384"/>
        <v>4739</v>
      </c>
      <c r="AX160" s="14">
        <f t="shared" si="384"/>
        <v>4739</v>
      </c>
      <c r="AY160" s="14">
        <f>INDEX(属性投放!$DH$6:$DH$85,(卡牌属性!AG160-2)*20+卡牌属性!AN160)</f>
        <v>87226</v>
      </c>
      <c r="AZ160" s="14">
        <f t="shared" si="385"/>
        <v>87226</v>
      </c>
      <c r="BA160" s="14">
        <f t="shared" si="385"/>
        <v>87226</v>
      </c>
      <c r="BB160" s="14">
        <f t="shared" si="385"/>
        <v>87226</v>
      </c>
      <c r="BC160" s="14">
        <f t="shared" si="385"/>
        <v>87226</v>
      </c>
      <c r="BD160" s="14">
        <f>INDEX(属性投放!$DL$6:$DL$85,(卡牌属性!AG160-2)*20+卡牌属性!AN160)</f>
        <v>235</v>
      </c>
      <c r="BE160" s="14">
        <f t="shared" si="386"/>
        <v>235</v>
      </c>
      <c r="BF160" s="14">
        <f t="shared" si="386"/>
        <v>235</v>
      </c>
      <c r="BG160" s="14">
        <f t="shared" si="386"/>
        <v>235</v>
      </c>
      <c r="BH160" s="14">
        <f t="shared" si="386"/>
        <v>235</v>
      </c>
      <c r="BI160" s="14">
        <f>INDEX(属性投放!$DM$6:$DM$85,(卡牌属性!AG160-2)*20+卡牌属性!AN160)</f>
        <v>117</v>
      </c>
      <c r="BJ160" s="14">
        <f t="shared" si="387"/>
        <v>117</v>
      </c>
      <c r="BK160" s="14">
        <f t="shared" si="387"/>
        <v>117</v>
      </c>
      <c r="BL160" s="14">
        <f t="shared" si="387"/>
        <v>117</v>
      </c>
      <c r="BM160" s="14">
        <f t="shared" si="387"/>
        <v>117</v>
      </c>
      <c r="BN160" s="14">
        <f>INDEX(属性投放!$DN$6:$DN$85,(卡牌属性!AG160-2)*20+卡牌属性!AN160)</f>
        <v>2346</v>
      </c>
      <c r="BO160" s="14">
        <f t="shared" si="388"/>
        <v>2346</v>
      </c>
      <c r="BP160" s="14">
        <f t="shared" si="388"/>
        <v>2346</v>
      </c>
      <c r="BQ160" s="14">
        <f t="shared" si="388"/>
        <v>2346</v>
      </c>
      <c r="BR160" s="14">
        <f t="shared" si="388"/>
        <v>2346</v>
      </c>
      <c r="BW160" s="13">
        <v>156</v>
      </c>
      <c r="BX160" s="13">
        <f t="shared" si="320"/>
        <v>8</v>
      </c>
      <c r="BY160" s="14">
        <f t="shared" si="321"/>
        <v>4</v>
      </c>
      <c r="BZ160" s="14">
        <f t="shared" si="332"/>
        <v>1102008</v>
      </c>
      <c r="CA160" s="14" t="str">
        <f t="shared" si="333"/>
        <v>夏侯渊16突</v>
      </c>
      <c r="CB160" s="25" t="s">
        <v>142</v>
      </c>
      <c r="CC160" s="14">
        <v>2</v>
      </c>
      <c r="CD160" s="14">
        <f t="shared" si="322"/>
        <v>16</v>
      </c>
      <c r="CE160" s="14" t="s">
        <v>21</v>
      </c>
      <c r="CF160" s="14">
        <f>INDEX(属性投放!$AZ$6:$AZ$85,(BY160-2)*20+CD160)</f>
        <v>12568</v>
      </c>
      <c r="CG160" s="14" t="s">
        <v>22</v>
      </c>
      <c r="CH160" s="14">
        <f>INDEX(属性投放!$BA$6:$BA$85,(BY160-2)*20+CD160)</f>
        <v>6239</v>
      </c>
      <c r="CI160" s="14" t="s">
        <v>510</v>
      </c>
      <c r="CJ160" s="14">
        <f>INDEX(属性投放!$BB$6:$BB$85,(BY160-2)*20+CD160)</f>
        <v>112003</v>
      </c>
      <c r="CK160" s="14" t="s">
        <v>21</v>
      </c>
      <c r="CL160" s="14">
        <f>INDEX(属性投放!$BC$6:$BC$85,(BY160-2)*20+CD160)</f>
        <v>50</v>
      </c>
      <c r="CM160" s="14" t="s">
        <v>22</v>
      </c>
      <c r="CN160" s="14">
        <f>INDEX(属性投放!$BD$6:$BD$85,(BY160-2)*20+CD160)</f>
        <v>25</v>
      </c>
      <c r="CO160" s="14" t="s">
        <v>510</v>
      </c>
      <c r="CP160" s="14">
        <f>INDEX(属性投放!$BE$6:$BE$85,(BY160-2)*20+CD160)</f>
        <v>500</v>
      </c>
      <c r="CS160" s="13">
        <v>156</v>
      </c>
      <c r="CT160" s="13">
        <f t="shared" si="334"/>
        <v>3</v>
      </c>
      <c r="CU160" s="13">
        <f t="shared" si="335"/>
        <v>52</v>
      </c>
      <c r="CV160" s="14">
        <f t="shared" si="336"/>
        <v>4</v>
      </c>
      <c r="CW160" s="14">
        <f t="shared" si="337"/>
        <v>1102003</v>
      </c>
      <c r="CX160" s="14" t="str">
        <f>INDEX($O$6:$O$50,CT160)&amp;"-"&amp;INDEX(属性投放!$AB$7:$AB$50,CZ160)&amp;"-魂火-"&amp;DB160</f>
        <v>典韦-无间+1-魂火-4</v>
      </c>
      <c r="CY160" s="25" t="s">
        <v>142</v>
      </c>
      <c r="CZ160" s="14">
        <f>INDEX(属性投放!$AM$7:$AM$58,CU160)</f>
        <v>20</v>
      </c>
      <c r="DA160" s="14" t="s">
        <v>537</v>
      </c>
      <c r="DB160" s="14">
        <f>INDEX(属性投放!$AN$7:$AN$58,CU160)</f>
        <v>4</v>
      </c>
      <c r="DC160" s="14">
        <f t="shared" si="323"/>
        <v>52</v>
      </c>
      <c r="DD160" s="14">
        <f>INDEX(属性投放!$AO$7:$AO$58,DC160)</f>
        <v>148</v>
      </c>
      <c r="DE160" s="14" t="s">
        <v>538</v>
      </c>
      <c r="DF160" s="14">
        <f>INDEX(属性投放!$BK$6:$BK$85,(CV160-2)*20+CZ160)</f>
        <v>1000</v>
      </c>
      <c r="DG160" s="14">
        <f>SUMIFS(DF$5:DF160,$CT$5:$CT160,"="&amp;$CT160)</f>
        <v>18335</v>
      </c>
      <c r="DH160" s="14" t="s">
        <v>539</v>
      </c>
      <c r="DI160" s="14">
        <f>INDEX(属性投放!$BL$6:$BL$85,(CV160-2)*20+CZ160)</f>
        <v>500</v>
      </c>
      <c r="DJ160" s="14">
        <f>SUMIFS(DI$5:DI160,$CT$5:$CT160,"="&amp;$CT160)</f>
        <v>9177</v>
      </c>
      <c r="DK160" s="14" t="s">
        <v>540</v>
      </c>
      <c r="DL160" s="14">
        <f>INDEX(属性投放!$BM$6:$BM$85,(CV160-2)*20+CZ160)</f>
        <v>10000</v>
      </c>
      <c r="DM160" s="14">
        <f>SUMIFS(DL$5:DL160,$CT$5:$CT160,"="&amp;$CT160)</f>
        <v>178785</v>
      </c>
      <c r="DR160" s="14">
        <f t="shared" si="324"/>
        <v>1102008</v>
      </c>
      <c r="DS160" s="14" t="str">
        <f t="shared" si="325"/>
        <v>夏侯渊16突</v>
      </c>
      <c r="DT160" s="14">
        <f t="shared" si="338"/>
        <v>7</v>
      </c>
      <c r="DU160" s="14">
        <f t="shared" si="339"/>
        <v>5</v>
      </c>
      <c r="DV160" s="14">
        <f t="shared" si="340"/>
        <v>9</v>
      </c>
      <c r="DW160" s="14">
        <f t="shared" si="326"/>
        <v>4</v>
      </c>
      <c r="DX160" s="14">
        <f t="shared" si="327"/>
        <v>16</v>
      </c>
      <c r="DY160" s="14">
        <f t="shared" si="328"/>
        <v>56</v>
      </c>
      <c r="DZ160" s="14">
        <f>INDEX(属性投放!$AX$6:$AX$85,(卡牌属性!DW160-2)*20+卡牌属性!DX160)</f>
        <v>7</v>
      </c>
      <c r="EA160" s="14">
        <f>INDEX(属性投放!BQ$6:BQ$85,卡牌属性!$DY160)</f>
        <v>850</v>
      </c>
      <c r="EB160" s="14">
        <f>INDEX(属性投放!BR$6:BR$85,卡牌属性!$DY160)</f>
        <v>425</v>
      </c>
      <c r="EC160" s="14">
        <f>INDEX(属性投放!BS$6:BS$85,卡牌属性!$DY160)</f>
        <v>8500</v>
      </c>
      <c r="ED160" s="14">
        <f t="shared" si="389"/>
        <v>6693</v>
      </c>
      <c r="EE160" s="14">
        <f t="shared" si="390"/>
        <v>7110</v>
      </c>
      <c r="EF160" s="14">
        <f t="shared" si="391"/>
        <v>7555</v>
      </c>
      <c r="EG160" s="14">
        <f t="shared" si="392"/>
        <v>7555</v>
      </c>
      <c r="EH160" s="14">
        <f t="shared" si="393"/>
        <v>8810</v>
      </c>
      <c r="EI160" s="14">
        <f t="shared" si="394"/>
        <v>2780</v>
      </c>
      <c r="EJ160" s="14">
        <f t="shared" si="395"/>
        <v>2858</v>
      </c>
      <c r="EK160" s="14">
        <f t="shared" si="396"/>
        <v>2858</v>
      </c>
      <c r="EL160" s="14">
        <f t="shared" si="397"/>
        <v>3317</v>
      </c>
      <c r="EM160" s="14">
        <f t="shared" si="398"/>
        <v>3541</v>
      </c>
      <c r="EN160" s="14">
        <f t="shared" si="399"/>
        <v>64660</v>
      </c>
      <c r="EO160" s="14">
        <f t="shared" si="400"/>
        <v>75620</v>
      </c>
      <c r="EP160" s="14">
        <f t="shared" si="401"/>
        <v>75620</v>
      </c>
      <c r="EQ160" s="14">
        <f t="shared" si="402"/>
        <v>90520</v>
      </c>
      <c r="ER160" s="14">
        <f t="shared" si="403"/>
        <v>113930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INDEX(属性投放!$BQ$6:$BQ$85,(卡牌属性!$DW160-2)*20+卡牌属性!$DX160)</f>
        <v>850</v>
      </c>
      <c r="FI160" s="14">
        <f>INDEX(属性投放!$BQ$6:$BQ$85,(卡牌属性!$DW160-2)*20+卡牌属性!$DX160)</f>
        <v>850</v>
      </c>
      <c r="FJ160" s="14">
        <f>INDEX(属性投放!$BQ$6:$BQ$85,(卡牌属性!$DW160-2)*20+卡牌属性!$DX160)</f>
        <v>850</v>
      </c>
      <c r="FK160" s="14">
        <f>INDEX(属性投放!$BQ$6:$BQ$85,(卡牌属性!$DW160-2)*20+卡牌属性!$DX160)</f>
        <v>850</v>
      </c>
      <c r="FL160" s="14">
        <f>INDEX(属性投放!$BQ$6:$BQ$85,(卡牌属性!$DW160-2)*20+卡牌属性!$DX160)</f>
        <v>850</v>
      </c>
      <c r="FM160" s="14">
        <f>INDEX(属性投放!$BR$6:$BR$85,(卡牌属性!$DW160-2)*20+卡牌属性!$DX160)</f>
        <v>425</v>
      </c>
      <c r="FN160" s="14">
        <f>INDEX(属性投放!$BR$6:$BR$85,(卡牌属性!$DW160-2)*20+卡牌属性!$DX160)</f>
        <v>425</v>
      </c>
      <c r="FO160" s="14">
        <f>INDEX(属性投放!$BR$6:$BR$85,(卡牌属性!$DW160-2)*20+卡牌属性!$DX160)</f>
        <v>425</v>
      </c>
      <c r="FP160" s="14">
        <f>INDEX(属性投放!$BR$6:$BR$85,(卡牌属性!$DW160-2)*20+卡牌属性!$DX160)</f>
        <v>425</v>
      </c>
      <c r="FQ160" s="14">
        <f>INDEX(属性投放!$BR$6:$BR$85,(卡牌属性!$DW160-2)*20+卡牌属性!$DX160)</f>
        <v>425</v>
      </c>
      <c r="FR160" s="14">
        <f>INDEX(属性投放!$BS$6:$BS$85,(卡牌属性!$DW160-2)*20+卡牌属性!$DX160)</f>
        <v>8500</v>
      </c>
      <c r="FS160" s="14">
        <f>INDEX(属性投放!$BS$6:$BS$85,(卡牌属性!$DW160-2)*20+卡牌属性!$DX160)</f>
        <v>8500</v>
      </c>
      <c r="FT160" s="14">
        <f>INDEX(属性投放!$BS$6:$BS$85,(卡牌属性!$DW160-2)*20+卡牌属性!$DX160)</f>
        <v>8500</v>
      </c>
      <c r="FU160" s="14">
        <f>INDEX(属性投放!$BS$6:$BS$85,(卡牌属性!$DW160-2)*20+卡牌属性!$DX160)</f>
        <v>8500</v>
      </c>
      <c r="FV160" s="14">
        <f>INDEX(属性投放!$BS$6:$BS$85,(卡牌属性!$DW160-2)*20+卡牌属性!$DX160)</f>
        <v>8500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1"/>
        <v>8</v>
      </c>
      <c r="AG161" s="13">
        <f t="shared" si="316"/>
        <v>2</v>
      </c>
      <c r="AH161" s="13"/>
      <c r="AI161" s="13"/>
      <c r="AJ161" s="14">
        <f t="shared" si="317"/>
        <v>1101008</v>
      </c>
      <c r="AK161" s="14" t="str">
        <f t="shared" si="318"/>
        <v>黑尔·坎普17突</v>
      </c>
      <c r="AL161" s="25" t="s">
        <v>142</v>
      </c>
      <c r="AM161" s="14">
        <v>1</v>
      </c>
      <c r="AN161" s="14">
        <f t="shared" si="319"/>
        <v>17</v>
      </c>
      <c r="AO161" s="14">
        <f>INDEX(属性投放!$DF$6:$DF$85,(卡牌属性!AG161-2)*20+卡牌属性!AN161)</f>
        <v>10383</v>
      </c>
      <c r="AP161" s="14">
        <f t="shared" si="383"/>
        <v>10383</v>
      </c>
      <c r="AQ161" s="14">
        <f t="shared" si="383"/>
        <v>10383</v>
      </c>
      <c r="AR161" s="14">
        <f t="shared" si="383"/>
        <v>10383</v>
      </c>
      <c r="AS161" s="14">
        <f t="shared" si="383"/>
        <v>10383</v>
      </c>
      <c r="AT161" s="14">
        <f>INDEX(属性投放!$DG$6:$DG$85,(卡牌属性!AG161-2)*20+卡牌属性!AN161)</f>
        <v>5158</v>
      </c>
      <c r="AU161" s="14">
        <f t="shared" si="384"/>
        <v>5158</v>
      </c>
      <c r="AV161" s="14">
        <f t="shared" si="384"/>
        <v>5158</v>
      </c>
      <c r="AW161" s="14">
        <f t="shared" si="384"/>
        <v>5158</v>
      </c>
      <c r="AX161" s="14">
        <f t="shared" si="384"/>
        <v>5158</v>
      </c>
      <c r="AY161" s="14">
        <f>INDEX(属性投放!$DH$6:$DH$85,(卡牌属性!AG161-2)*20+卡牌属性!AN161)</f>
        <v>95606</v>
      </c>
      <c r="AZ161" s="14">
        <f t="shared" si="385"/>
        <v>95606</v>
      </c>
      <c r="BA161" s="14">
        <f t="shared" si="385"/>
        <v>95606</v>
      </c>
      <c r="BB161" s="14">
        <f t="shared" si="385"/>
        <v>95606</v>
      </c>
      <c r="BC161" s="14">
        <f t="shared" si="385"/>
        <v>95606</v>
      </c>
      <c r="BD161" s="14">
        <f>INDEX(属性投放!$DL$6:$DL$85,(卡牌属性!AG161-2)*20+卡牌属性!AN161)</f>
        <v>235</v>
      </c>
      <c r="BE161" s="14">
        <f t="shared" si="386"/>
        <v>235</v>
      </c>
      <c r="BF161" s="14">
        <f t="shared" si="386"/>
        <v>235</v>
      </c>
      <c r="BG161" s="14">
        <f t="shared" si="386"/>
        <v>235</v>
      </c>
      <c r="BH161" s="14">
        <f t="shared" si="386"/>
        <v>235</v>
      </c>
      <c r="BI161" s="14">
        <f>INDEX(属性投放!$DM$6:$DM$85,(卡牌属性!AG161-2)*20+卡牌属性!AN161)</f>
        <v>117</v>
      </c>
      <c r="BJ161" s="14">
        <f t="shared" si="387"/>
        <v>117</v>
      </c>
      <c r="BK161" s="14">
        <f t="shared" si="387"/>
        <v>117</v>
      </c>
      <c r="BL161" s="14">
        <f t="shared" si="387"/>
        <v>117</v>
      </c>
      <c r="BM161" s="14">
        <f t="shared" si="387"/>
        <v>117</v>
      </c>
      <c r="BN161" s="14">
        <f>INDEX(属性投放!$DN$6:$DN$85,(卡牌属性!AG161-2)*20+卡牌属性!AN161)</f>
        <v>2346</v>
      </c>
      <c r="BO161" s="14">
        <f t="shared" si="388"/>
        <v>2346</v>
      </c>
      <c r="BP161" s="14">
        <f t="shared" si="388"/>
        <v>2346</v>
      </c>
      <c r="BQ161" s="14">
        <f t="shared" si="388"/>
        <v>2346</v>
      </c>
      <c r="BR161" s="14">
        <f t="shared" si="388"/>
        <v>2346</v>
      </c>
      <c r="BW161" s="13">
        <v>157</v>
      </c>
      <c r="BX161" s="13">
        <f t="shared" si="320"/>
        <v>8</v>
      </c>
      <c r="BY161" s="14">
        <f t="shared" si="321"/>
        <v>4</v>
      </c>
      <c r="BZ161" s="14">
        <f t="shared" si="332"/>
        <v>1102008</v>
      </c>
      <c r="CA161" s="14" t="str">
        <f t="shared" si="333"/>
        <v>夏侯渊17突</v>
      </c>
      <c r="CB161" s="25" t="s">
        <v>142</v>
      </c>
      <c r="CC161" s="14">
        <v>2</v>
      </c>
      <c r="CD161" s="14">
        <f t="shared" si="322"/>
        <v>17</v>
      </c>
      <c r="CE161" s="14" t="s">
        <v>21</v>
      </c>
      <c r="CF161" s="14">
        <f>INDEX(属性投放!$AZ$6:$AZ$85,(BY161-2)*20+CD161)</f>
        <v>15328</v>
      </c>
      <c r="CG161" s="14" t="s">
        <v>22</v>
      </c>
      <c r="CH161" s="14">
        <f>INDEX(属性投放!$BA$6:$BA$85,(BY161-2)*20+CD161)</f>
        <v>7619</v>
      </c>
      <c r="CI161" s="14" t="s">
        <v>510</v>
      </c>
      <c r="CJ161" s="14">
        <f>INDEX(属性投放!$BB$6:$BB$85,(BY161-2)*20+CD161)</f>
        <v>139603</v>
      </c>
      <c r="CK161" s="14" t="s">
        <v>21</v>
      </c>
      <c r="CL161" s="14">
        <f>INDEX(属性投放!$BC$6:$BC$85,(BY161-2)*20+CD161)</f>
        <v>50</v>
      </c>
      <c r="CM161" s="14" t="s">
        <v>22</v>
      </c>
      <c r="CN161" s="14">
        <f>INDEX(属性投放!$BD$6:$BD$85,(BY161-2)*20+CD161)</f>
        <v>25</v>
      </c>
      <c r="CO161" s="14" t="s">
        <v>510</v>
      </c>
      <c r="CP161" s="14">
        <f>INDEX(属性投放!$BE$6:$BE$85,(BY161-2)*20+CD161)</f>
        <v>500</v>
      </c>
      <c r="CS161" s="13">
        <v>157</v>
      </c>
      <c r="CT161" s="13">
        <f t="shared" si="334"/>
        <v>4</v>
      </c>
      <c r="CU161" s="13">
        <f t="shared" si="335"/>
        <v>1</v>
      </c>
      <c r="CV161" s="14">
        <f t="shared" si="336"/>
        <v>2</v>
      </c>
      <c r="CW161" s="14">
        <f t="shared" si="337"/>
        <v>1102004</v>
      </c>
      <c r="CX161" s="14" t="str">
        <f>INDEX($O$6:$O$50,CT161)&amp;"-"&amp;INDEX(属性投放!$AB$7:$AB$50,CZ161)&amp;"-魂火-"&amp;DB161</f>
        <v>唐流雨-等活-魂火-1</v>
      </c>
      <c r="CY161" s="25" t="s">
        <v>142</v>
      </c>
      <c r="CZ161" s="14">
        <f>INDEX(属性投放!$AM$7:$AM$58,CU161)</f>
        <v>1</v>
      </c>
      <c r="DA161" s="14" t="s">
        <v>537</v>
      </c>
      <c r="DB161" s="14">
        <f>INDEX(属性投放!$AN$7:$AN$58,CU161)</f>
        <v>1</v>
      </c>
      <c r="DC161" s="14">
        <f t="shared" si="323"/>
        <v>1</v>
      </c>
      <c r="DD161" s="14">
        <f>INDEX(属性投放!$AO$7:$AO$58,DC161)</f>
        <v>3</v>
      </c>
      <c r="DE161" s="14" t="s">
        <v>538</v>
      </c>
      <c r="DF161" s="14">
        <f>INDEX(属性投放!$BK$6:$BK$85,(CV161-2)*20+CZ161)</f>
        <v>15</v>
      </c>
      <c r="DG161" s="14">
        <f>SUMIFS(DF$5:DF161,$CT$5:$CT161,"="&amp;$CT161)</f>
        <v>15</v>
      </c>
      <c r="DH161" s="14" t="s">
        <v>539</v>
      </c>
      <c r="DI161" s="14">
        <f>INDEX(属性投放!$BL$6:$BL$85,(CV161-2)*20+CZ161)</f>
        <v>8</v>
      </c>
      <c r="DJ161" s="14">
        <f>SUMIFS(DI$5:DI161,$CT$5:$CT161,"="&amp;$CT161)</f>
        <v>8</v>
      </c>
      <c r="DK161" s="14" t="s">
        <v>540</v>
      </c>
      <c r="DL161" s="14">
        <f>INDEX(属性投放!$BM$6:$BM$85,(CV161-2)*20+CZ161)</f>
        <v>90</v>
      </c>
      <c r="DM161" s="14">
        <f>SUMIFS(DL$5:DL161,$CT$5:$CT161,"="&amp;$CT161)</f>
        <v>90</v>
      </c>
      <c r="DR161" s="14">
        <f t="shared" si="324"/>
        <v>1102008</v>
      </c>
      <c r="DS161" s="14" t="str">
        <f t="shared" si="325"/>
        <v>夏侯渊17突</v>
      </c>
      <c r="DT161" s="14">
        <f t="shared" si="338"/>
        <v>7</v>
      </c>
      <c r="DU161" s="14">
        <f t="shared" si="339"/>
        <v>5</v>
      </c>
      <c r="DV161" s="14">
        <f t="shared" si="340"/>
        <v>9</v>
      </c>
      <c r="DW161" s="14">
        <f t="shared" si="326"/>
        <v>4</v>
      </c>
      <c r="DX161" s="14">
        <f t="shared" si="327"/>
        <v>17</v>
      </c>
      <c r="DY161" s="14">
        <f t="shared" si="328"/>
        <v>57</v>
      </c>
      <c r="DZ161" s="14">
        <f>INDEX(属性投放!$AX$6:$AX$85,(卡牌属性!DW161-2)*20+卡牌属性!DX161)</f>
        <v>8</v>
      </c>
      <c r="EA161" s="14">
        <f>INDEX(属性投放!BQ$6:BQ$85,卡牌属性!$DY161)</f>
        <v>950</v>
      </c>
      <c r="EB161" s="14">
        <f>INDEX(属性投放!BR$6:BR$85,卡牌属性!$DY161)</f>
        <v>475</v>
      </c>
      <c r="EC161" s="14">
        <f>INDEX(属性投放!BS$6:BS$85,卡牌属性!$DY161)</f>
        <v>9500</v>
      </c>
      <c r="ED161" s="14">
        <f t="shared" si="389"/>
        <v>7893</v>
      </c>
      <c r="EE161" s="14">
        <f t="shared" si="390"/>
        <v>8380</v>
      </c>
      <c r="EF161" s="14">
        <f t="shared" si="391"/>
        <v>8930</v>
      </c>
      <c r="EG161" s="14">
        <f t="shared" si="392"/>
        <v>8930</v>
      </c>
      <c r="EH161" s="14">
        <f t="shared" si="393"/>
        <v>10360</v>
      </c>
      <c r="EI161" s="14">
        <f t="shared" si="394"/>
        <v>3310</v>
      </c>
      <c r="EJ161" s="14">
        <f t="shared" si="395"/>
        <v>3409</v>
      </c>
      <c r="EK161" s="14">
        <f t="shared" si="396"/>
        <v>3409</v>
      </c>
      <c r="EL161" s="14">
        <f t="shared" si="397"/>
        <v>3917</v>
      </c>
      <c r="EM161" s="14">
        <f t="shared" si="398"/>
        <v>4176</v>
      </c>
      <c r="EN161" s="14">
        <f t="shared" si="399"/>
        <v>78410</v>
      </c>
      <c r="EO161" s="14">
        <f t="shared" si="400"/>
        <v>91120</v>
      </c>
      <c r="EP161" s="14">
        <f t="shared" si="401"/>
        <v>91120</v>
      </c>
      <c r="EQ161" s="14">
        <f t="shared" si="402"/>
        <v>109520</v>
      </c>
      <c r="ER161" s="14">
        <f t="shared" si="403"/>
        <v>136430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INDEX(属性投放!$BQ$6:$BQ$85,(卡牌属性!$DW161-2)*20+卡牌属性!$DX161)</f>
        <v>950</v>
      </c>
      <c r="FI161" s="14">
        <f>INDEX(属性投放!$BQ$6:$BQ$85,(卡牌属性!$DW161-2)*20+卡牌属性!$DX161)</f>
        <v>950</v>
      </c>
      <c r="FJ161" s="14">
        <f>INDEX(属性投放!$BQ$6:$BQ$85,(卡牌属性!$DW161-2)*20+卡牌属性!$DX161)</f>
        <v>950</v>
      </c>
      <c r="FK161" s="14">
        <f>INDEX(属性投放!$BQ$6:$BQ$85,(卡牌属性!$DW161-2)*20+卡牌属性!$DX161)</f>
        <v>950</v>
      </c>
      <c r="FL161" s="14">
        <f>INDEX(属性投放!$BQ$6:$BQ$85,(卡牌属性!$DW161-2)*20+卡牌属性!$DX161)</f>
        <v>950</v>
      </c>
      <c r="FM161" s="14">
        <f>INDEX(属性投放!$BR$6:$BR$85,(卡牌属性!$DW161-2)*20+卡牌属性!$DX161)</f>
        <v>475</v>
      </c>
      <c r="FN161" s="14">
        <f>INDEX(属性投放!$BR$6:$BR$85,(卡牌属性!$DW161-2)*20+卡牌属性!$DX161)</f>
        <v>475</v>
      </c>
      <c r="FO161" s="14">
        <f>INDEX(属性投放!$BR$6:$BR$85,(卡牌属性!$DW161-2)*20+卡牌属性!$DX161)</f>
        <v>475</v>
      </c>
      <c r="FP161" s="14">
        <f>INDEX(属性投放!$BR$6:$BR$85,(卡牌属性!$DW161-2)*20+卡牌属性!$DX161)</f>
        <v>475</v>
      </c>
      <c r="FQ161" s="14">
        <f>INDEX(属性投放!$BR$6:$BR$85,(卡牌属性!$DW161-2)*20+卡牌属性!$DX161)</f>
        <v>475</v>
      </c>
      <c r="FR161" s="14">
        <f>INDEX(属性投放!$BS$6:$BS$85,(卡牌属性!$DW161-2)*20+卡牌属性!$DX161)</f>
        <v>9500</v>
      </c>
      <c r="FS161" s="14">
        <f>INDEX(属性投放!$BS$6:$BS$85,(卡牌属性!$DW161-2)*20+卡牌属性!$DX161)</f>
        <v>9500</v>
      </c>
      <c r="FT161" s="14">
        <f>INDEX(属性投放!$BS$6:$BS$85,(卡牌属性!$DW161-2)*20+卡牌属性!$DX161)</f>
        <v>9500</v>
      </c>
      <c r="FU161" s="14">
        <f>INDEX(属性投放!$BS$6:$BS$85,(卡牌属性!$DW161-2)*20+卡牌属性!$DX161)</f>
        <v>9500</v>
      </c>
      <c r="FV161" s="14">
        <f>INDEX(属性投放!$BS$6:$BS$85,(卡牌属性!$DW161-2)*20+卡牌属性!$DX161)</f>
        <v>9500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1"/>
        <v>8</v>
      </c>
      <c r="AG162" s="13">
        <f t="shared" si="316"/>
        <v>2</v>
      </c>
      <c r="AH162" s="13"/>
      <c r="AI162" s="13"/>
      <c r="AJ162" s="14">
        <f t="shared" si="317"/>
        <v>1101008</v>
      </c>
      <c r="AK162" s="14" t="str">
        <f t="shared" si="318"/>
        <v>黑尔·坎普18突</v>
      </c>
      <c r="AL162" s="25" t="s">
        <v>142</v>
      </c>
      <c r="AM162" s="14">
        <v>1</v>
      </c>
      <c r="AN162" s="14">
        <f t="shared" si="319"/>
        <v>18</v>
      </c>
      <c r="AO162" s="14">
        <f>INDEX(属性投放!$DF$6:$DF$85,(卡牌属性!AG162-2)*20+卡牌属性!AN162)</f>
        <v>11221</v>
      </c>
      <c r="AP162" s="14">
        <f t="shared" si="383"/>
        <v>11221</v>
      </c>
      <c r="AQ162" s="14">
        <f t="shared" si="383"/>
        <v>11221</v>
      </c>
      <c r="AR162" s="14">
        <f t="shared" si="383"/>
        <v>11221</v>
      </c>
      <c r="AS162" s="14">
        <f t="shared" si="383"/>
        <v>11221</v>
      </c>
      <c r="AT162" s="14">
        <f>INDEX(属性投放!$DG$6:$DG$85,(卡牌属性!AG162-2)*20+卡牌属性!AN162)</f>
        <v>5577</v>
      </c>
      <c r="AU162" s="14">
        <f t="shared" si="384"/>
        <v>5577</v>
      </c>
      <c r="AV162" s="14">
        <f t="shared" si="384"/>
        <v>5577</v>
      </c>
      <c r="AW162" s="14">
        <f t="shared" si="384"/>
        <v>5577</v>
      </c>
      <c r="AX162" s="14">
        <f t="shared" si="384"/>
        <v>5577</v>
      </c>
      <c r="AY162" s="14">
        <f>INDEX(属性投放!$DH$6:$DH$85,(卡牌属性!AG162-2)*20+卡牌属性!AN162)</f>
        <v>103986</v>
      </c>
      <c r="AZ162" s="14">
        <f t="shared" si="385"/>
        <v>103986</v>
      </c>
      <c r="BA162" s="14">
        <f t="shared" si="385"/>
        <v>103986</v>
      </c>
      <c r="BB162" s="14">
        <f t="shared" si="385"/>
        <v>103986</v>
      </c>
      <c r="BC162" s="14">
        <f t="shared" si="385"/>
        <v>103986</v>
      </c>
      <c r="BD162" s="14">
        <f>INDEX(属性投放!$DL$6:$DL$85,(卡牌属性!AG162-2)*20+卡牌属性!AN162)</f>
        <v>235</v>
      </c>
      <c r="BE162" s="14">
        <f t="shared" si="386"/>
        <v>235</v>
      </c>
      <c r="BF162" s="14">
        <f t="shared" si="386"/>
        <v>235</v>
      </c>
      <c r="BG162" s="14">
        <f t="shared" si="386"/>
        <v>235</v>
      </c>
      <c r="BH162" s="14">
        <f t="shared" si="386"/>
        <v>235</v>
      </c>
      <c r="BI162" s="14">
        <f>INDEX(属性投放!$DM$6:$DM$85,(卡牌属性!AG162-2)*20+卡牌属性!AN162)</f>
        <v>117</v>
      </c>
      <c r="BJ162" s="14">
        <f t="shared" si="387"/>
        <v>117</v>
      </c>
      <c r="BK162" s="14">
        <f t="shared" si="387"/>
        <v>117</v>
      </c>
      <c r="BL162" s="14">
        <f t="shared" si="387"/>
        <v>117</v>
      </c>
      <c r="BM162" s="14">
        <f t="shared" si="387"/>
        <v>117</v>
      </c>
      <c r="BN162" s="14">
        <f>INDEX(属性投放!$DN$6:$DN$85,(卡牌属性!AG162-2)*20+卡牌属性!AN162)</f>
        <v>2346</v>
      </c>
      <c r="BO162" s="14">
        <f t="shared" si="388"/>
        <v>2346</v>
      </c>
      <c r="BP162" s="14">
        <f t="shared" si="388"/>
        <v>2346</v>
      </c>
      <c r="BQ162" s="14">
        <f t="shared" si="388"/>
        <v>2346</v>
      </c>
      <c r="BR162" s="14">
        <f t="shared" si="388"/>
        <v>2346</v>
      </c>
      <c r="BW162" s="13">
        <v>158</v>
      </c>
      <c r="BX162" s="13">
        <f t="shared" si="320"/>
        <v>8</v>
      </c>
      <c r="BY162" s="14">
        <f t="shared" si="321"/>
        <v>4</v>
      </c>
      <c r="BZ162" s="14">
        <f t="shared" si="332"/>
        <v>1102008</v>
      </c>
      <c r="CA162" s="14" t="str">
        <f t="shared" si="333"/>
        <v>夏侯渊18突</v>
      </c>
      <c r="CB162" s="25" t="s">
        <v>142</v>
      </c>
      <c r="CC162" s="14">
        <v>2</v>
      </c>
      <c r="CD162" s="14">
        <f t="shared" si="322"/>
        <v>18</v>
      </c>
      <c r="CE162" s="14" t="s">
        <v>21</v>
      </c>
      <c r="CF162" s="14">
        <f>INDEX(属性投放!$AZ$6:$AZ$85,(BY162-2)*20+CD162)</f>
        <v>18628</v>
      </c>
      <c r="CG162" s="14" t="s">
        <v>22</v>
      </c>
      <c r="CH162" s="14">
        <f>INDEX(属性投放!$BA$6:$BA$85,(BY162-2)*20+CD162)</f>
        <v>9269</v>
      </c>
      <c r="CI162" s="14" t="s">
        <v>510</v>
      </c>
      <c r="CJ162" s="14">
        <f>INDEX(属性投放!$BB$6:$BB$85,(BY162-2)*20+CD162)</f>
        <v>172603</v>
      </c>
      <c r="CK162" s="14" t="s">
        <v>21</v>
      </c>
      <c r="CL162" s="14">
        <f>INDEX(属性投放!$BC$6:$BC$85,(BY162-2)*20+CD162)</f>
        <v>50</v>
      </c>
      <c r="CM162" s="14" t="s">
        <v>22</v>
      </c>
      <c r="CN162" s="14">
        <f>INDEX(属性投放!$BD$6:$BD$85,(BY162-2)*20+CD162)</f>
        <v>25</v>
      </c>
      <c r="CO162" s="14" t="s">
        <v>510</v>
      </c>
      <c r="CP162" s="14">
        <f>INDEX(属性投放!$BE$6:$BE$85,(BY162-2)*20+CD162)</f>
        <v>500</v>
      </c>
      <c r="CS162" s="13">
        <v>158</v>
      </c>
      <c r="CT162" s="13">
        <f t="shared" si="334"/>
        <v>4</v>
      </c>
      <c r="CU162" s="13">
        <f t="shared" si="335"/>
        <v>2</v>
      </c>
      <c r="CV162" s="14">
        <f t="shared" si="336"/>
        <v>2</v>
      </c>
      <c r="CW162" s="14">
        <f t="shared" si="337"/>
        <v>1102004</v>
      </c>
      <c r="CX162" s="14" t="str">
        <f>INDEX($O$6:$O$50,CT162)&amp;"-"&amp;INDEX(属性投放!$AB$7:$AB$50,CZ162)&amp;"-魂火-"&amp;DB162</f>
        <v>唐流雨-黑绳-魂火-1</v>
      </c>
      <c r="CY162" s="25" t="s">
        <v>142</v>
      </c>
      <c r="CZ162" s="14">
        <f>INDEX(属性投放!$AM$7:$AM$58,CU162)</f>
        <v>2</v>
      </c>
      <c r="DA162" s="14" t="s">
        <v>537</v>
      </c>
      <c r="DB162" s="14">
        <f>INDEX(属性投放!$AN$7:$AN$58,CU162)</f>
        <v>1</v>
      </c>
      <c r="DC162" s="14">
        <f t="shared" si="323"/>
        <v>2</v>
      </c>
      <c r="DD162" s="14">
        <f>INDEX(属性投放!$AO$7:$AO$58,DC162)</f>
        <v>8</v>
      </c>
      <c r="DE162" s="14" t="s">
        <v>538</v>
      </c>
      <c r="DF162" s="14">
        <f>INDEX(属性投放!$BK$6:$BK$85,(CV162-2)*20+CZ162)</f>
        <v>20</v>
      </c>
      <c r="DG162" s="14">
        <f>SUMIFS(DF$5:DF162,$CT$5:$CT162,"="&amp;$CT162)</f>
        <v>35</v>
      </c>
      <c r="DH162" s="14" t="s">
        <v>539</v>
      </c>
      <c r="DI162" s="14">
        <f>INDEX(属性投放!$BL$6:$BL$85,(CV162-2)*20+CZ162)</f>
        <v>10</v>
      </c>
      <c r="DJ162" s="14">
        <f>SUMIFS(DI$5:DI162,$CT$5:$CT162,"="&amp;$CT162)</f>
        <v>18</v>
      </c>
      <c r="DK162" s="14" t="s">
        <v>540</v>
      </c>
      <c r="DL162" s="14">
        <f>INDEX(属性投放!$BM$6:$BM$85,(CV162-2)*20+CZ162)</f>
        <v>120</v>
      </c>
      <c r="DM162" s="14">
        <f>SUMIFS(DL$5:DL162,$CT$5:$CT162,"="&amp;$CT162)</f>
        <v>210</v>
      </c>
      <c r="DR162" s="14">
        <f t="shared" si="324"/>
        <v>1102008</v>
      </c>
      <c r="DS162" s="14" t="str">
        <f t="shared" si="325"/>
        <v>夏侯渊18突</v>
      </c>
      <c r="DT162" s="14">
        <f t="shared" si="338"/>
        <v>7</v>
      </c>
      <c r="DU162" s="14">
        <f t="shared" si="339"/>
        <v>5</v>
      </c>
      <c r="DV162" s="14">
        <f t="shared" si="340"/>
        <v>9</v>
      </c>
      <c r="DW162" s="14">
        <f t="shared" si="326"/>
        <v>4</v>
      </c>
      <c r="DX162" s="14">
        <f t="shared" si="327"/>
        <v>18</v>
      </c>
      <c r="DY162" s="14">
        <f t="shared" si="328"/>
        <v>58</v>
      </c>
      <c r="DZ162" s="14">
        <f>INDEX(属性投放!$AX$6:$AX$85,(卡牌属性!DW162-2)*20+卡牌属性!DX162)</f>
        <v>7</v>
      </c>
      <c r="EA162" s="14">
        <f>INDEX(属性投放!BQ$6:BQ$85,卡牌属性!$DY162)</f>
        <v>1500</v>
      </c>
      <c r="EB162" s="14">
        <f>INDEX(属性投放!BR$6:BR$85,卡牌属性!$DY162)</f>
        <v>750</v>
      </c>
      <c r="EC162" s="14">
        <f>INDEX(属性投放!BS$6:BS$85,卡牌属性!$DY162)</f>
        <v>15000</v>
      </c>
      <c r="ED162" s="14">
        <f t="shared" si="389"/>
        <v>9243</v>
      </c>
      <c r="EE162" s="14">
        <f t="shared" si="390"/>
        <v>9810</v>
      </c>
      <c r="EF162" s="14">
        <f t="shared" si="391"/>
        <v>10480</v>
      </c>
      <c r="EG162" s="14">
        <f t="shared" si="392"/>
        <v>10480</v>
      </c>
      <c r="EH162" s="14">
        <f t="shared" si="393"/>
        <v>12110</v>
      </c>
      <c r="EI162" s="14">
        <f t="shared" si="394"/>
        <v>3905</v>
      </c>
      <c r="EJ162" s="14">
        <f t="shared" si="395"/>
        <v>4028</v>
      </c>
      <c r="EK162" s="14">
        <f t="shared" si="396"/>
        <v>4028</v>
      </c>
      <c r="EL162" s="14">
        <f t="shared" si="397"/>
        <v>4592</v>
      </c>
      <c r="EM162" s="14">
        <f t="shared" si="398"/>
        <v>4891</v>
      </c>
      <c r="EN162" s="14">
        <f t="shared" si="399"/>
        <v>93910</v>
      </c>
      <c r="EO162" s="14">
        <f t="shared" si="400"/>
        <v>108620</v>
      </c>
      <c r="EP162" s="14">
        <f t="shared" si="401"/>
        <v>108620</v>
      </c>
      <c r="EQ162" s="14">
        <f t="shared" si="402"/>
        <v>131020</v>
      </c>
      <c r="ER162" s="14">
        <f t="shared" si="403"/>
        <v>161930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INDEX(属性投放!$BQ$6:$BQ$85,(卡牌属性!$DW162-2)*20+卡牌属性!$DX162)</f>
        <v>1500</v>
      </c>
      <c r="FI162" s="14">
        <f>INDEX(属性投放!$BQ$6:$BQ$85,(卡牌属性!$DW162-2)*20+卡牌属性!$DX162)</f>
        <v>1500</v>
      </c>
      <c r="FJ162" s="14">
        <f>INDEX(属性投放!$BQ$6:$BQ$85,(卡牌属性!$DW162-2)*20+卡牌属性!$DX162)</f>
        <v>1500</v>
      </c>
      <c r="FK162" s="14">
        <f>INDEX(属性投放!$BQ$6:$BQ$85,(卡牌属性!$DW162-2)*20+卡牌属性!$DX162)</f>
        <v>1500</v>
      </c>
      <c r="FL162" s="14">
        <f>INDEX(属性投放!$BQ$6:$BQ$85,(卡牌属性!$DW162-2)*20+卡牌属性!$DX162)</f>
        <v>1500</v>
      </c>
      <c r="FM162" s="14">
        <f>INDEX(属性投放!$BR$6:$BR$85,(卡牌属性!$DW162-2)*20+卡牌属性!$DX162)</f>
        <v>750</v>
      </c>
      <c r="FN162" s="14">
        <f>INDEX(属性投放!$BR$6:$BR$85,(卡牌属性!$DW162-2)*20+卡牌属性!$DX162)</f>
        <v>750</v>
      </c>
      <c r="FO162" s="14">
        <f>INDEX(属性投放!$BR$6:$BR$85,(卡牌属性!$DW162-2)*20+卡牌属性!$DX162)</f>
        <v>750</v>
      </c>
      <c r="FP162" s="14">
        <f>INDEX(属性投放!$BR$6:$BR$85,(卡牌属性!$DW162-2)*20+卡牌属性!$DX162)</f>
        <v>750</v>
      </c>
      <c r="FQ162" s="14">
        <f>INDEX(属性投放!$BR$6:$BR$85,(卡牌属性!$DW162-2)*20+卡牌属性!$DX162)</f>
        <v>750</v>
      </c>
      <c r="FR162" s="14">
        <f>INDEX(属性投放!$BS$6:$BS$85,(卡牌属性!$DW162-2)*20+卡牌属性!$DX162)</f>
        <v>15000</v>
      </c>
      <c r="FS162" s="14">
        <f>INDEX(属性投放!$BS$6:$BS$85,(卡牌属性!$DW162-2)*20+卡牌属性!$DX162)</f>
        <v>15000</v>
      </c>
      <c r="FT162" s="14">
        <f>INDEX(属性投放!$BS$6:$BS$85,(卡牌属性!$DW162-2)*20+卡牌属性!$DX162)</f>
        <v>15000</v>
      </c>
      <c r="FU162" s="14">
        <f>INDEX(属性投放!$BS$6:$BS$85,(卡牌属性!$DW162-2)*20+卡牌属性!$DX162)</f>
        <v>15000</v>
      </c>
      <c r="FV162" s="14">
        <f>INDEX(属性投放!$BS$6:$BS$85,(卡牌属性!$DW162-2)*20+卡牌属性!$DX162)</f>
        <v>15000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1"/>
        <v>8</v>
      </c>
      <c r="AG163" s="13">
        <f t="shared" si="316"/>
        <v>2</v>
      </c>
      <c r="AH163" s="13"/>
      <c r="AI163" s="13"/>
      <c r="AJ163" s="14">
        <f t="shared" si="317"/>
        <v>1101008</v>
      </c>
      <c r="AK163" s="14" t="str">
        <f t="shared" si="318"/>
        <v>黑尔·坎普19突</v>
      </c>
      <c r="AL163" s="25" t="s">
        <v>142</v>
      </c>
      <c r="AM163" s="14">
        <v>1</v>
      </c>
      <c r="AN163" s="14">
        <f t="shared" si="319"/>
        <v>19</v>
      </c>
      <c r="AO163" s="14">
        <f>INDEX(属性投放!$DF$6:$DF$85,(卡牌属性!AG163-2)*20+卡牌属性!AN163)</f>
        <v>17934</v>
      </c>
      <c r="AP163" s="14">
        <f t="shared" si="383"/>
        <v>17934</v>
      </c>
      <c r="AQ163" s="14">
        <f t="shared" si="383"/>
        <v>17934</v>
      </c>
      <c r="AR163" s="14">
        <f t="shared" si="383"/>
        <v>17934</v>
      </c>
      <c r="AS163" s="14">
        <f t="shared" si="383"/>
        <v>17934</v>
      </c>
      <c r="AT163" s="14">
        <f>INDEX(属性投放!$DG$6:$DG$85,(卡牌属性!AG163-2)*20+卡牌属性!AN163)</f>
        <v>8921</v>
      </c>
      <c r="AU163" s="14">
        <f t="shared" si="384"/>
        <v>8921</v>
      </c>
      <c r="AV163" s="14">
        <f t="shared" si="384"/>
        <v>8921</v>
      </c>
      <c r="AW163" s="14">
        <f t="shared" si="384"/>
        <v>8921</v>
      </c>
      <c r="AX163" s="14">
        <f t="shared" si="384"/>
        <v>8921</v>
      </c>
      <c r="AY163" s="14">
        <f>INDEX(属性投放!$DH$6:$DH$85,(卡牌属性!AG163-2)*20+卡牌属性!AN163)</f>
        <v>171016</v>
      </c>
      <c r="AZ163" s="14">
        <f t="shared" si="385"/>
        <v>171016</v>
      </c>
      <c r="BA163" s="14">
        <f t="shared" si="385"/>
        <v>171016</v>
      </c>
      <c r="BB163" s="14">
        <f t="shared" si="385"/>
        <v>171016</v>
      </c>
      <c r="BC163" s="14">
        <f t="shared" si="385"/>
        <v>171016</v>
      </c>
      <c r="BD163" s="14">
        <f>INDEX(属性投放!$DL$6:$DL$85,(卡牌属性!AG163-2)*20+卡牌属性!AN163)</f>
        <v>462</v>
      </c>
      <c r="BE163" s="14">
        <f t="shared" si="386"/>
        <v>462</v>
      </c>
      <c r="BF163" s="14">
        <f t="shared" si="386"/>
        <v>462</v>
      </c>
      <c r="BG163" s="14">
        <f t="shared" si="386"/>
        <v>462</v>
      </c>
      <c r="BH163" s="14">
        <f t="shared" si="386"/>
        <v>462</v>
      </c>
      <c r="BI163" s="14">
        <f>INDEX(属性投放!$DM$6:$DM$85,(卡牌属性!AG163-2)*20+卡牌属性!AN163)</f>
        <v>231</v>
      </c>
      <c r="BJ163" s="14">
        <f t="shared" si="387"/>
        <v>231</v>
      </c>
      <c r="BK163" s="14">
        <f t="shared" si="387"/>
        <v>231</v>
      </c>
      <c r="BL163" s="14">
        <f t="shared" si="387"/>
        <v>231</v>
      </c>
      <c r="BM163" s="14">
        <f t="shared" si="387"/>
        <v>231</v>
      </c>
      <c r="BN163" s="14">
        <f>INDEX(属性投放!$DN$6:$DN$85,(卡牌属性!AG163-2)*20+卡牌属性!AN163)</f>
        <v>4620</v>
      </c>
      <c r="BO163" s="14">
        <f t="shared" si="388"/>
        <v>4620</v>
      </c>
      <c r="BP163" s="14">
        <f t="shared" si="388"/>
        <v>4620</v>
      </c>
      <c r="BQ163" s="14">
        <f t="shared" si="388"/>
        <v>4620</v>
      </c>
      <c r="BR163" s="14">
        <f t="shared" si="388"/>
        <v>4620</v>
      </c>
      <c r="BW163" s="13">
        <v>159</v>
      </c>
      <c r="BX163" s="13">
        <f t="shared" si="320"/>
        <v>8</v>
      </c>
      <c r="BY163" s="14">
        <f t="shared" si="321"/>
        <v>4</v>
      </c>
      <c r="BZ163" s="14">
        <f t="shared" si="332"/>
        <v>1102008</v>
      </c>
      <c r="CA163" s="14" t="str">
        <f t="shared" si="333"/>
        <v>夏侯渊19突</v>
      </c>
      <c r="CB163" s="25" t="s">
        <v>142</v>
      </c>
      <c r="CC163" s="14">
        <v>2</v>
      </c>
      <c r="CD163" s="14">
        <f t="shared" si="322"/>
        <v>19</v>
      </c>
      <c r="CE163" s="14" t="s">
        <v>21</v>
      </c>
      <c r="CF163" s="14">
        <f>INDEX(属性投放!$AZ$6:$AZ$85,(BY163-2)*20+CD163)</f>
        <v>22728</v>
      </c>
      <c r="CG163" s="14" t="s">
        <v>22</v>
      </c>
      <c r="CH163" s="14">
        <f>INDEX(属性投放!$BA$6:$BA$85,(BY163-2)*20+CD163)</f>
        <v>11319</v>
      </c>
      <c r="CI163" s="14" t="s">
        <v>510</v>
      </c>
      <c r="CJ163" s="14">
        <f>INDEX(属性投放!$BB$6:$BB$85,(BY163-2)*20+CD163)</f>
        <v>213603</v>
      </c>
      <c r="CK163" s="14" t="s">
        <v>21</v>
      </c>
      <c r="CL163" s="14">
        <f>INDEX(属性投放!$BC$6:$BC$85,(BY163-2)*20+CD163)</f>
        <v>75</v>
      </c>
      <c r="CM163" s="14" t="s">
        <v>22</v>
      </c>
      <c r="CN163" s="14">
        <f>INDEX(属性投放!$BD$6:$BD$85,(BY163-2)*20+CD163)</f>
        <v>38</v>
      </c>
      <c r="CO163" s="14" t="s">
        <v>510</v>
      </c>
      <c r="CP163" s="14">
        <f>INDEX(属性投放!$BE$6:$BE$85,(BY163-2)*20+CD163)</f>
        <v>750</v>
      </c>
      <c r="CS163" s="13">
        <v>159</v>
      </c>
      <c r="CT163" s="13">
        <f t="shared" si="334"/>
        <v>4</v>
      </c>
      <c r="CU163" s="13">
        <f t="shared" si="335"/>
        <v>3</v>
      </c>
      <c r="CV163" s="14">
        <f t="shared" si="336"/>
        <v>2</v>
      </c>
      <c r="CW163" s="14">
        <f t="shared" si="337"/>
        <v>1102004</v>
      </c>
      <c r="CX163" s="14" t="str">
        <f>INDEX($O$6:$O$50,CT163)&amp;"-"&amp;INDEX(属性投放!$AB$7:$AB$50,CZ163)&amp;"-魂火-"&amp;DB163</f>
        <v>唐流雨-黑绳-魂火-2</v>
      </c>
      <c r="CY163" s="25" t="s">
        <v>142</v>
      </c>
      <c r="CZ163" s="14">
        <f>INDEX(属性投放!$AM$7:$AM$58,CU163)</f>
        <v>2</v>
      </c>
      <c r="DA163" s="14" t="s">
        <v>537</v>
      </c>
      <c r="DB163" s="14">
        <f>INDEX(属性投放!$AN$7:$AN$58,CU163)</f>
        <v>2</v>
      </c>
      <c r="DC163" s="14">
        <f t="shared" si="323"/>
        <v>3</v>
      </c>
      <c r="DD163" s="14">
        <f>INDEX(属性投放!$AO$7:$AO$58,DC163)</f>
        <v>13</v>
      </c>
      <c r="DE163" s="14" t="s">
        <v>538</v>
      </c>
      <c r="DF163" s="14">
        <f>INDEX(属性投放!$BK$6:$BK$85,(CV163-2)*20+CZ163)</f>
        <v>20</v>
      </c>
      <c r="DG163" s="14">
        <f>SUMIFS(DF$5:DF163,$CT$5:$CT163,"="&amp;$CT163)</f>
        <v>55</v>
      </c>
      <c r="DH163" s="14" t="s">
        <v>539</v>
      </c>
      <c r="DI163" s="14">
        <f>INDEX(属性投放!$BL$6:$BL$85,(CV163-2)*20+CZ163)</f>
        <v>10</v>
      </c>
      <c r="DJ163" s="14">
        <f>SUMIFS(DI$5:DI163,$CT$5:$CT163,"="&amp;$CT163)</f>
        <v>28</v>
      </c>
      <c r="DK163" s="14" t="s">
        <v>540</v>
      </c>
      <c r="DL163" s="14">
        <f>INDEX(属性投放!$BM$6:$BM$85,(CV163-2)*20+CZ163)</f>
        <v>120</v>
      </c>
      <c r="DM163" s="14">
        <f>SUMIFS(DL$5:DL163,$CT$5:$CT163,"="&amp;$CT163)</f>
        <v>330</v>
      </c>
      <c r="DR163" s="14">
        <f t="shared" si="324"/>
        <v>1102008</v>
      </c>
      <c r="DS163" s="14" t="str">
        <f t="shared" si="325"/>
        <v>夏侯渊19突</v>
      </c>
      <c r="DT163" s="14">
        <f t="shared" si="338"/>
        <v>7</v>
      </c>
      <c r="DU163" s="14">
        <f t="shared" si="339"/>
        <v>5</v>
      </c>
      <c r="DV163" s="14">
        <f t="shared" si="340"/>
        <v>9</v>
      </c>
      <c r="DW163" s="14">
        <f t="shared" si="326"/>
        <v>4</v>
      </c>
      <c r="DX163" s="14">
        <f t="shared" si="327"/>
        <v>19</v>
      </c>
      <c r="DY163" s="14">
        <f t="shared" si="328"/>
        <v>59</v>
      </c>
      <c r="DZ163" s="14">
        <f>INDEX(属性投放!$AX$6:$AX$85,(卡牌属性!DW163-2)*20+卡牌属性!DX163)</f>
        <v>8</v>
      </c>
      <c r="EA163" s="14">
        <f>INDEX(属性投放!BQ$6:BQ$85,卡牌属性!$DY163)</f>
        <v>1500</v>
      </c>
      <c r="EB163" s="14">
        <f>INDEX(属性投放!BR$6:BR$85,卡牌属性!$DY163)</f>
        <v>750</v>
      </c>
      <c r="EC163" s="14">
        <f>INDEX(属性投放!BS$6:BS$85,卡牌属性!$DY163)</f>
        <v>15000</v>
      </c>
      <c r="ED163" s="14">
        <f t="shared" si="389"/>
        <v>11093</v>
      </c>
      <c r="EE163" s="14">
        <f t="shared" si="390"/>
        <v>11730</v>
      </c>
      <c r="EF163" s="14">
        <f t="shared" si="391"/>
        <v>12505</v>
      </c>
      <c r="EG163" s="14">
        <f t="shared" si="392"/>
        <v>12505</v>
      </c>
      <c r="EH163" s="14">
        <f t="shared" si="393"/>
        <v>14310</v>
      </c>
      <c r="EI163" s="14">
        <f t="shared" si="394"/>
        <v>4760</v>
      </c>
      <c r="EJ163" s="14">
        <f t="shared" si="395"/>
        <v>4904</v>
      </c>
      <c r="EK163" s="14">
        <f t="shared" si="396"/>
        <v>4904</v>
      </c>
      <c r="EL163" s="14">
        <f t="shared" si="397"/>
        <v>5517</v>
      </c>
      <c r="EM163" s="14">
        <f t="shared" si="398"/>
        <v>5851</v>
      </c>
      <c r="EN163" s="14">
        <f t="shared" si="399"/>
        <v>114160</v>
      </c>
      <c r="EO163" s="14">
        <f t="shared" si="400"/>
        <v>130620</v>
      </c>
      <c r="EP163" s="14">
        <f t="shared" si="401"/>
        <v>130620</v>
      </c>
      <c r="EQ163" s="14">
        <f t="shared" si="402"/>
        <v>156520</v>
      </c>
      <c r="ER163" s="14">
        <f t="shared" si="403"/>
        <v>190930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INDEX(属性投放!$BQ$6:$BQ$85,(卡牌属性!$DW163-2)*20+卡牌属性!$DX163)</f>
        <v>1500</v>
      </c>
      <c r="FI163" s="14">
        <f>INDEX(属性投放!$BQ$6:$BQ$85,(卡牌属性!$DW163-2)*20+卡牌属性!$DX163)</f>
        <v>1500</v>
      </c>
      <c r="FJ163" s="14">
        <f>INDEX(属性投放!$BQ$6:$BQ$85,(卡牌属性!$DW163-2)*20+卡牌属性!$DX163)</f>
        <v>1500</v>
      </c>
      <c r="FK163" s="14">
        <f>INDEX(属性投放!$BQ$6:$BQ$85,(卡牌属性!$DW163-2)*20+卡牌属性!$DX163)</f>
        <v>1500</v>
      </c>
      <c r="FL163" s="14">
        <f>INDEX(属性投放!$BQ$6:$BQ$85,(卡牌属性!$DW163-2)*20+卡牌属性!$DX163)</f>
        <v>1500</v>
      </c>
      <c r="FM163" s="14">
        <f>INDEX(属性投放!$BR$6:$BR$85,(卡牌属性!$DW163-2)*20+卡牌属性!$DX163)</f>
        <v>750</v>
      </c>
      <c r="FN163" s="14">
        <f>INDEX(属性投放!$BR$6:$BR$85,(卡牌属性!$DW163-2)*20+卡牌属性!$DX163)</f>
        <v>750</v>
      </c>
      <c r="FO163" s="14">
        <f>INDEX(属性投放!$BR$6:$BR$85,(卡牌属性!$DW163-2)*20+卡牌属性!$DX163)</f>
        <v>750</v>
      </c>
      <c r="FP163" s="14">
        <f>INDEX(属性投放!$BR$6:$BR$85,(卡牌属性!$DW163-2)*20+卡牌属性!$DX163)</f>
        <v>750</v>
      </c>
      <c r="FQ163" s="14">
        <f>INDEX(属性投放!$BR$6:$BR$85,(卡牌属性!$DW163-2)*20+卡牌属性!$DX163)</f>
        <v>750</v>
      </c>
      <c r="FR163" s="14">
        <f>INDEX(属性投放!$BS$6:$BS$85,(卡牌属性!$DW163-2)*20+卡牌属性!$DX163)</f>
        <v>15000</v>
      </c>
      <c r="FS163" s="14">
        <f>INDEX(属性投放!$BS$6:$BS$85,(卡牌属性!$DW163-2)*20+卡牌属性!$DX163)</f>
        <v>15000</v>
      </c>
      <c r="FT163" s="14">
        <f>INDEX(属性投放!$BS$6:$BS$85,(卡牌属性!$DW163-2)*20+卡牌属性!$DX163)</f>
        <v>15000</v>
      </c>
      <c r="FU163" s="14">
        <f>INDEX(属性投放!$BS$6:$BS$85,(卡牌属性!$DW163-2)*20+卡牌属性!$DX163)</f>
        <v>15000</v>
      </c>
      <c r="FV163" s="14">
        <f>INDEX(属性投放!$BS$6:$BS$85,(卡牌属性!$DW163-2)*20+卡牌属性!$DX163)</f>
        <v>15000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1"/>
        <v>8</v>
      </c>
      <c r="AG164" s="13">
        <f t="shared" si="316"/>
        <v>2</v>
      </c>
      <c r="AH164" s="13"/>
      <c r="AI164" s="13"/>
      <c r="AJ164" s="14">
        <f t="shared" si="317"/>
        <v>1101008</v>
      </c>
      <c r="AK164" s="14" t="str">
        <f t="shared" si="318"/>
        <v>黑尔·坎普20突</v>
      </c>
      <c r="AL164" s="25" t="s">
        <v>142</v>
      </c>
      <c r="AM164" s="14">
        <v>1</v>
      </c>
      <c r="AN164" s="14">
        <f t="shared" si="319"/>
        <v>20</v>
      </c>
      <c r="AO164" s="14">
        <f>INDEX(属性投放!$DF$6:$DF$85,(卡牌属性!AG164-2)*20+卡牌属性!AN164)</f>
        <v>18924</v>
      </c>
      <c r="AP164" s="14">
        <f t="shared" si="383"/>
        <v>18924</v>
      </c>
      <c r="AQ164" s="14">
        <f t="shared" si="383"/>
        <v>18924</v>
      </c>
      <c r="AR164" s="14">
        <f t="shared" si="383"/>
        <v>18924</v>
      </c>
      <c r="AS164" s="14">
        <f t="shared" si="383"/>
        <v>18924</v>
      </c>
      <c r="AT164" s="14">
        <f>INDEX(属性投放!$DG$6:$DG$85,(卡牌属性!AG164-2)*20+卡牌属性!AN164)</f>
        <v>9417</v>
      </c>
      <c r="AU164" s="14">
        <f t="shared" si="384"/>
        <v>9417</v>
      </c>
      <c r="AV164" s="14">
        <f t="shared" si="384"/>
        <v>9417</v>
      </c>
      <c r="AW164" s="14">
        <f t="shared" si="384"/>
        <v>9417</v>
      </c>
      <c r="AX164" s="14">
        <f t="shared" si="384"/>
        <v>9417</v>
      </c>
      <c r="AY164" s="14">
        <f>INDEX(属性投放!$DH$6:$DH$85,(卡牌属性!AG164-2)*20+卡牌属性!AN164)</f>
        <v>180916</v>
      </c>
      <c r="AZ164" s="14">
        <f t="shared" si="385"/>
        <v>180916</v>
      </c>
      <c r="BA164" s="14">
        <f t="shared" si="385"/>
        <v>180916</v>
      </c>
      <c r="BB164" s="14">
        <f t="shared" si="385"/>
        <v>180916</v>
      </c>
      <c r="BC164" s="14">
        <f t="shared" si="385"/>
        <v>180916</v>
      </c>
      <c r="BD164" s="14">
        <f>INDEX(属性投放!$DL$6:$DL$85,(卡牌属性!AG164-2)*20+卡牌属性!AN164)</f>
        <v>462</v>
      </c>
      <c r="BE164" s="14">
        <f t="shared" si="386"/>
        <v>462</v>
      </c>
      <c r="BF164" s="14">
        <f t="shared" si="386"/>
        <v>462</v>
      </c>
      <c r="BG164" s="14">
        <f t="shared" si="386"/>
        <v>462</v>
      </c>
      <c r="BH164" s="14">
        <f t="shared" si="386"/>
        <v>462</v>
      </c>
      <c r="BI164" s="14">
        <f>INDEX(属性投放!$DM$6:$DM$85,(卡牌属性!AG164-2)*20+卡牌属性!AN164)</f>
        <v>231</v>
      </c>
      <c r="BJ164" s="14">
        <f t="shared" si="387"/>
        <v>231</v>
      </c>
      <c r="BK164" s="14">
        <f t="shared" si="387"/>
        <v>231</v>
      </c>
      <c r="BL164" s="14">
        <f t="shared" si="387"/>
        <v>231</v>
      </c>
      <c r="BM164" s="14">
        <f t="shared" si="387"/>
        <v>231</v>
      </c>
      <c r="BN164" s="14">
        <f>INDEX(属性投放!$DN$6:$DN$85,(卡牌属性!AG164-2)*20+卡牌属性!AN164)</f>
        <v>4620</v>
      </c>
      <c r="BO164" s="14">
        <f t="shared" si="388"/>
        <v>4620</v>
      </c>
      <c r="BP164" s="14">
        <f t="shared" si="388"/>
        <v>4620</v>
      </c>
      <c r="BQ164" s="14">
        <f t="shared" si="388"/>
        <v>4620</v>
      </c>
      <c r="BR164" s="14">
        <f t="shared" si="388"/>
        <v>4620</v>
      </c>
      <c r="BW164" s="13">
        <v>160</v>
      </c>
      <c r="BX164" s="13">
        <f t="shared" si="320"/>
        <v>8</v>
      </c>
      <c r="BY164" s="14">
        <f t="shared" si="321"/>
        <v>4</v>
      </c>
      <c r="BZ164" s="14">
        <f t="shared" si="332"/>
        <v>1102008</v>
      </c>
      <c r="CA164" s="14" t="str">
        <f t="shared" si="333"/>
        <v>夏侯渊20突</v>
      </c>
      <c r="CB164" s="25" t="s">
        <v>142</v>
      </c>
      <c r="CC164" s="14">
        <v>2</v>
      </c>
      <c r="CD164" s="14">
        <f t="shared" si="322"/>
        <v>20</v>
      </c>
      <c r="CE164" s="14" t="s">
        <v>21</v>
      </c>
      <c r="CF164" s="14">
        <f>INDEX(属性投放!$AZ$6:$AZ$85,(BY164-2)*20+CD164)</f>
        <v>27528</v>
      </c>
      <c r="CG164" s="14" t="s">
        <v>22</v>
      </c>
      <c r="CH164" s="14">
        <f>INDEX(属性投放!$BA$6:$BA$85,(BY164-2)*20+CD164)</f>
        <v>13723</v>
      </c>
      <c r="CI164" s="14" t="s">
        <v>510</v>
      </c>
      <c r="CJ164" s="14">
        <f>INDEX(属性投放!$BB$6:$BB$85,(BY164-2)*20+CD164)</f>
        <v>261603</v>
      </c>
      <c r="CK164" s="14" t="s">
        <v>21</v>
      </c>
      <c r="CL164" s="14">
        <f>INDEX(属性投放!$BC$6:$BC$85,(BY164-2)*20+CD164)</f>
        <v>75</v>
      </c>
      <c r="CM164" s="14" t="s">
        <v>22</v>
      </c>
      <c r="CN164" s="14">
        <f>INDEX(属性投放!$BD$6:$BD$85,(BY164-2)*20+CD164)</f>
        <v>38</v>
      </c>
      <c r="CO164" s="14" t="s">
        <v>510</v>
      </c>
      <c r="CP164" s="14">
        <f>INDEX(属性投放!$BE$6:$BE$85,(BY164-2)*20+CD164)</f>
        <v>750</v>
      </c>
      <c r="CS164" s="13">
        <v>160</v>
      </c>
      <c r="CT164" s="13">
        <f t="shared" si="334"/>
        <v>4</v>
      </c>
      <c r="CU164" s="13">
        <f t="shared" si="335"/>
        <v>4</v>
      </c>
      <c r="CV164" s="14">
        <f t="shared" si="336"/>
        <v>2</v>
      </c>
      <c r="CW164" s="14">
        <f t="shared" si="337"/>
        <v>1102004</v>
      </c>
      <c r="CX164" s="14" t="str">
        <f>INDEX($O$6:$O$50,CT164)&amp;"-"&amp;INDEX(属性投放!$AB$7:$AB$50,CZ164)&amp;"-魂火-"&amp;DB164</f>
        <v>唐流雨-黑绳+1-魂火-1</v>
      </c>
      <c r="CY164" s="25" t="s">
        <v>142</v>
      </c>
      <c r="CZ164" s="14">
        <f>INDEX(属性投放!$AM$7:$AM$58,CU164)</f>
        <v>3</v>
      </c>
      <c r="DA164" s="14" t="s">
        <v>537</v>
      </c>
      <c r="DB164" s="14">
        <f>INDEX(属性投放!$AN$7:$AN$58,CU164)</f>
        <v>1</v>
      </c>
      <c r="DC164" s="14">
        <f t="shared" si="323"/>
        <v>4</v>
      </c>
      <c r="DD164" s="14">
        <f>INDEX(属性投放!$AO$7:$AO$58,DC164)</f>
        <v>18</v>
      </c>
      <c r="DE164" s="14" t="s">
        <v>538</v>
      </c>
      <c r="DF164" s="14">
        <f>INDEX(属性投放!$BK$6:$BK$85,(CV164-2)*20+CZ164)</f>
        <v>25</v>
      </c>
      <c r="DG164" s="14">
        <f>SUMIFS(DF$5:DF164,$CT$5:$CT164,"="&amp;$CT164)</f>
        <v>80</v>
      </c>
      <c r="DH164" s="14" t="s">
        <v>539</v>
      </c>
      <c r="DI164" s="14">
        <f>INDEX(属性投放!$BL$6:$BL$85,(CV164-2)*20+CZ164)</f>
        <v>13</v>
      </c>
      <c r="DJ164" s="14">
        <f>SUMIFS(DI$5:DI164,$CT$5:$CT164,"="&amp;$CT164)</f>
        <v>41</v>
      </c>
      <c r="DK164" s="14" t="s">
        <v>540</v>
      </c>
      <c r="DL164" s="14">
        <f>INDEX(属性投放!$BM$6:$BM$85,(CV164-2)*20+CZ164)</f>
        <v>150</v>
      </c>
      <c r="DM164" s="14">
        <f>SUMIFS(DL$5:DL164,$CT$5:$CT164,"="&amp;$CT164)</f>
        <v>480</v>
      </c>
      <c r="DR164" s="14">
        <f t="shared" si="324"/>
        <v>1102008</v>
      </c>
      <c r="DS164" s="14" t="str">
        <f t="shared" si="325"/>
        <v>夏侯渊20突</v>
      </c>
      <c r="DT164" s="14">
        <f t="shared" si="338"/>
        <v>7</v>
      </c>
      <c r="DU164" s="14">
        <f t="shared" si="339"/>
        <v>5</v>
      </c>
      <c r="DV164" s="14">
        <f t="shared" si="340"/>
        <v>9</v>
      </c>
      <c r="DW164" s="14">
        <f t="shared" si="326"/>
        <v>4</v>
      </c>
      <c r="DX164" s="14">
        <f t="shared" si="327"/>
        <v>20</v>
      </c>
      <c r="DY164" s="14">
        <f t="shared" si="328"/>
        <v>60</v>
      </c>
      <c r="DZ164" s="14">
        <f>INDEX(属性投放!$AX$6:$AX$85,(卡牌属性!DW164-2)*20+卡牌属性!DX164)</f>
        <v>10</v>
      </c>
      <c r="EA164" s="14">
        <f>INDEX(属性投放!BQ$6:BQ$85,卡牌属性!$DY164)</f>
        <v>1500</v>
      </c>
      <c r="EB164" s="14">
        <f>INDEX(属性投放!BR$6:BR$85,卡牌属性!$DY164)</f>
        <v>750</v>
      </c>
      <c r="EC164" s="14">
        <f>INDEX(属性投放!BS$6:BS$85,卡牌属性!$DY164)</f>
        <v>15000</v>
      </c>
      <c r="ED164" s="14">
        <f t="shared" si="389"/>
        <v>13193</v>
      </c>
      <c r="EE164" s="14">
        <f t="shared" si="390"/>
        <v>13870</v>
      </c>
      <c r="EF164" s="14">
        <f t="shared" si="391"/>
        <v>14805</v>
      </c>
      <c r="EG164" s="14">
        <f t="shared" si="392"/>
        <v>14805</v>
      </c>
      <c r="EH164" s="14">
        <f t="shared" si="393"/>
        <v>17010</v>
      </c>
      <c r="EI164" s="14">
        <f t="shared" si="394"/>
        <v>5670</v>
      </c>
      <c r="EJ164" s="14">
        <f t="shared" si="395"/>
        <v>5838</v>
      </c>
      <c r="EK164" s="14">
        <f t="shared" si="396"/>
        <v>5838</v>
      </c>
      <c r="EL164" s="14">
        <f t="shared" si="397"/>
        <v>6571</v>
      </c>
      <c r="EM164" s="14">
        <f t="shared" si="398"/>
        <v>6921</v>
      </c>
      <c r="EN164" s="14">
        <f t="shared" si="399"/>
        <v>137160</v>
      </c>
      <c r="EO164" s="14">
        <f t="shared" si="400"/>
        <v>157620</v>
      </c>
      <c r="EP164" s="14">
        <f t="shared" si="401"/>
        <v>157620</v>
      </c>
      <c r="EQ164" s="14">
        <f t="shared" si="402"/>
        <v>187520</v>
      </c>
      <c r="ER164" s="14">
        <f t="shared" si="403"/>
        <v>229930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INDEX(属性投放!$BQ$6:$BQ$85,(卡牌属性!$DW164-2)*20+卡牌属性!$DX164)</f>
        <v>1500</v>
      </c>
      <c r="FI164" s="14">
        <f>INDEX(属性投放!$BQ$6:$BQ$85,(卡牌属性!$DW164-2)*20+卡牌属性!$DX164)</f>
        <v>1500</v>
      </c>
      <c r="FJ164" s="14">
        <f>INDEX(属性投放!$BQ$6:$BQ$85,(卡牌属性!$DW164-2)*20+卡牌属性!$DX164)</f>
        <v>1500</v>
      </c>
      <c r="FK164" s="14">
        <f>INDEX(属性投放!$BQ$6:$BQ$85,(卡牌属性!$DW164-2)*20+卡牌属性!$DX164)</f>
        <v>1500</v>
      </c>
      <c r="FL164" s="14">
        <f>INDEX(属性投放!$BQ$6:$BQ$85,(卡牌属性!$DW164-2)*20+卡牌属性!$DX164)</f>
        <v>1500</v>
      </c>
      <c r="FM164" s="14">
        <f>INDEX(属性投放!$BR$6:$BR$85,(卡牌属性!$DW164-2)*20+卡牌属性!$DX164)</f>
        <v>750</v>
      </c>
      <c r="FN164" s="14">
        <f>INDEX(属性投放!$BR$6:$BR$85,(卡牌属性!$DW164-2)*20+卡牌属性!$DX164)</f>
        <v>750</v>
      </c>
      <c r="FO164" s="14">
        <f>INDEX(属性投放!$BR$6:$BR$85,(卡牌属性!$DW164-2)*20+卡牌属性!$DX164)</f>
        <v>750</v>
      </c>
      <c r="FP164" s="14">
        <f>INDEX(属性投放!$BR$6:$BR$85,(卡牌属性!$DW164-2)*20+卡牌属性!$DX164)</f>
        <v>750</v>
      </c>
      <c r="FQ164" s="14">
        <f>INDEX(属性投放!$BR$6:$BR$85,(卡牌属性!$DW164-2)*20+卡牌属性!$DX164)</f>
        <v>750</v>
      </c>
      <c r="FR164" s="14">
        <f>INDEX(属性投放!$BS$6:$BS$85,(卡牌属性!$DW164-2)*20+卡牌属性!$DX164)</f>
        <v>15000</v>
      </c>
      <c r="FS164" s="14">
        <f>INDEX(属性投放!$BS$6:$BS$85,(卡牌属性!$DW164-2)*20+卡牌属性!$DX164)</f>
        <v>15000</v>
      </c>
      <c r="FT164" s="14">
        <f>INDEX(属性投放!$BS$6:$BS$85,(卡牌属性!$DW164-2)*20+卡牌属性!$DX164)</f>
        <v>15000</v>
      </c>
      <c r="FU164" s="14">
        <f>INDEX(属性投放!$BS$6:$BS$85,(卡牌属性!$DW164-2)*20+卡牌属性!$DX164)</f>
        <v>15000</v>
      </c>
      <c r="FV164" s="14">
        <f>INDEX(属性投放!$BS$6:$BS$85,(卡牌属性!$DW164-2)*20+卡牌属性!$DX164)</f>
        <v>15000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1"/>
        <v>9</v>
      </c>
      <c r="AG165" s="13">
        <f t="shared" si="316"/>
        <v>3</v>
      </c>
      <c r="AH165" s="13"/>
      <c r="AI165" s="13"/>
      <c r="AJ165" s="14">
        <f t="shared" si="317"/>
        <v>1101009</v>
      </c>
      <c r="AK165" s="14" t="str">
        <f t="shared" si="318"/>
        <v>北落师门1突</v>
      </c>
      <c r="AL165" s="25" t="s">
        <v>142</v>
      </c>
      <c r="AM165" s="14">
        <v>1</v>
      </c>
      <c r="AN165" s="14">
        <f t="shared" si="319"/>
        <v>1</v>
      </c>
      <c r="AO165" s="14">
        <f>INDEX(属性投放!$DF$6:$DF$85,(卡牌属性!AG165-2)*20+卡牌属性!AN165)</f>
        <v>150</v>
      </c>
      <c r="AP165" s="14">
        <f t="shared" ref="AP165:AS184" si="419">$AO165</f>
        <v>150</v>
      </c>
      <c r="AQ165" s="14">
        <f t="shared" si="419"/>
        <v>150</v>
      </c>
      <c r="AR165" s="14">
        <f t="shared" si="419"/>
        <v>150</v>
      </c>
      <c r="AS165" s="14">
        <f t="shared" si="419"/>
        <v>150</v>
      </c>
      <c r="AT165" s="14">
        <f>INDEX(属性投放!$DG$6:$DG$85,(卡牌属性!AG165-2)*20+卡牌属性!AN165)</f>
        <v>0</v>
      </c>
      <c r="AU165" s="14">
        <f t="shared" ref="AU165:AX184" si="420">$AT165</f>
        <v>0</v>
      </c>
      <c r="AV165" s="14">
        <f t="shared" si="420"/>
        <v>0</v>
      </c>
      <c r="AW165" s="14">
        <f t="shared" si="420"/>
        <v>0</v>
      </c>
      <c r="AX165" s="14">
        <f t="shared" si="420"/>
        <v>0</v>
      </c>
      <c r="AY165" s="14">
        <f>INDEX(属性投放!$DH$6:$DH$85,(卡牌属性!AG165-2)*20+卡牌属性!AN165)</f>
        <v>375</v>
      </c>
      <c r="AZ165" s="14">
        <f t="shared" ref="AZ165:BC184" si="421">$AY165</f>
        <v>375</v>
      </c>
      <c r="BA165" s="14">
        <f t="shared" si="421"/>
        <v>375</v>
      </c>
      <c r="BB165" s="14">
        <f t="shared" si="421"/>
        <v>375</v>
      </c>
      <c r="BC165" s="14">
        <f t="shared" si="421"/>
        <v>375</v>
      </c>
      <c r="BD165" s="14">
        <f>INDEX(属性投放!$DL$6:$DL$85,(卡牌属性!AG165-2)*20+卡牌属性!AN165)</f>
        <v>8</v>
      </c>
      <c r="BE165" s="14">
        <f t="shared" ref="BE165:BH184" si="422">$BD165</f>
        <v>8</v>
      </c>
      <c r="BF165" s="14">
        <f t="shared" si="422"/>
        <v>8</v>
      </c>
      <c r="BG165" s="14">
        <f t="shared" si="422"/>
        <v>8</v>
      </c>
      <c r="BH165" s="14">
        <f t="shared" si="422"/>
        <v>8</v>
      </c>
      <c r="BI165" s="14">
        <f>INDEX(属性投放!$DM$6:$DM$85,(卡牌属性!AG165-2)*20+卡牌属性!AN165)</f>
        <v>4</v>
      </c>
      <c r="BJ165" s="14">
        <f t="shared" ref="BJ165:BM184" si="423">$BI165</f>
        <v>4</v>
      </c>
      <c r="BK165" s="14">
        <f t="shared" si="423"/>
        <v>4</v>
      </c>
      <c r="BL165" s="14">
        <f t="shared" si="423"/>
        <v>4</v>
      </c>
      <c r="BM165" s="14">
        <f t="shared" si="423"/>
        <v>4</v>
      </c>
      <c r="BN165" s="14">
        <f>INDEX(属性投放!$DN$6:$DN$85,(卡牌属性!AG165-2)*20+卡牌属性!AN165)</f>
        <v>49</v>
      </c>
      <c r="BO165" s="14">
        <f t="shared" ref="BO165:BR184" si="424">$BN165</f>
        <v>49</v>
      </c>
      <c r="BP165" s="14">
        <f t="shared" si="424"/>
        <v>49</v>
      </c>
      <c r="BQ165" s="14">
        <f t="shared" si="424"/>
        <v>49</v>
      </c>
      <c r="BR165" s="14">
        <f t="shared" si="424"/>
        <v>49</v>
      </c>
      <c r="BW165" s="13">
        <v>161</v>
      </c>
      <c r="BX165" s="13">
        <f t="shared" si="320"/>
        <v>9</v>
      </c>
      <c r="BY165" s="14">
        <f t="shared" si="321"/>
        <v>3</v>
      </c>
      <c r="BZ165" s="14">
        <f t="shared" si="332"/>
        <v>1102009</v>
      </c>
      <c r="CA165" s="14" t="str">
        <f t="shared" si="333"/>
        <v>徐晃1突</v>
      </c>
      <c r="CB165" s="25" t="s">
        <v>142</v>
      </c>
      <c r="CC165" s="14">
        <v>2</v>
      </c>
      <c r="CD165" s="14">
        <f t="shared" si="322"/>
        <v>1</v>
      </c>
      <c r="CE165" s="14" t="s">
        <v>21</v>
      </c>
      <c r="CF165" s="14">
        <f>INDEX(属性投放!$AZ$6:$AZ$85,(BY165-2)*20+CD165)</f>
        <v>150</v>
      </c>
      <c r="CG165" s="14" t="s">
        <v>22</v>
      </c>
      <c r="CH165" s="14">
        <f>INDEX(属性投放!$BA$6:$BA$85,(BY165-2)*20+CD165)</f>
        <v>10</v>
      </c>
      <c r="CI165" s="14" t="s">
        <v>510</v>
      </c>
      <c r="CJ165" s="14">
        <f>INDEX(属性投放!$BB$6:$BB$85,(BY165-2)*20+CD165)</f>
        <v>500</v>
      </c>
      <c r="CK165" s="14" t="s">
        <v>21</v>
      </c>
      <c r="CL165" s="14">
        <f>INDEX(属性投放!$BC$6:$BC$85,(BY165-2)*20+CD165)</f>
        <v>8</v>
      </c>
      <c r="CM165" s="14" t="s">
        <v>22</v>
      </c>
      <c r="CN165" s="14">
        <f>INDEX(属性投放!$BD$6:$BD$85,(BY165-2)*20+CD165)</f>
        <v>4</v>
      </c>
      <c r="CO165" s="14" t="s">
        <v>510</v>
      </c>
      <c r="CP165" s="14">
        <f>INDEX(属性投放!$BE$6:$BE$85,(BY165-2)*20+CD165)</f>
        <v>48</v>
      </c>
      <c r="CS165" s="13">
        <v>161</v>
      </c>
      <c r="CT165" s="13">
        <f t="shared" si="334"/>
        <v>4</v>
      </c>
      <c r="CU165" s="13">
        <f t="shared" si="335"/>
        <v>5</v>
      </c>
      <c r="CV165" s="14">
        <f t="shared" si="336"/>
        <v>2</v>
      </c>
      <c r="CW165" s="14">
        <f t="shared" si="337"/>
        <v>1102004</v>
      </c>
      <c r="CX165" s="14" t="str">
        <f>INDEX($O$6:$O$50,CT165)&amp;"-"&amp;INDEX(属性投放!$AB$7:$AB$50,CZ165)&amp;"-魂火-"&amp;DB165</f>
        <v>唐流雨-黑绳+1-魂火-2</v>
      </c>
      <c r="CY165" s="25" t="s">
        <v>142</v>
      </c>
      <c r="CZ165" s="14">
        <f>INDEX(属性投放!$AM$7:$AM$58,CU165)</f>
        <v>3</v>
      </c>
      <c r="DA165" s="14" t="s">
        <v>537</v>
      </c>
      <c r="DB165" s="14">
        <f>INDEX(属性投放!$AN$7:$AN$58,CU165)</f>
        <v>2</v>
      </c>
      <c r="DC165" s="14">
        <f t="shared" si="323"/>
        <v>5</v>
      </c>
      <c r="DD165" s="14">
        <f>INDEX(属性投放!$AO$7:$AO$58,DC165)</f>
        <v>23</v>
      </c>
      <c r="DE165" s="14" t="s">
        <v>538</v>
      </c>
      <c r="DF165" s="14">
        <f>INDEX(属性投放!$BK$6:$BK$85,(CV165-2)*20+CZ165)</f>
        <v>25</v>
      </c>
      <c r="DG165" s="14">
        <f>SUMIFS(DF$5:DF165,$CT$5:$CT165,"="&amp;$CT165)</f>
        <v>105</v>
      </c>
      <c r="DH165" s="14" t="s">
        <v>539</v>
      </c>
      <c r="DI165" s="14">
        <f>INDEX(属性投放!$BL$6:$BL$85,(CV165-2)*20+CZ165)</f>
        <v>13</v>
      </c>
      <c r="DJ165" s="14">
        <f>SUMIFS(DI$5:DI165,$CT$5:$CT165,"="&amp;$CT165)</f>
        <v>54</v>
      </c>
      <c r="DK165" s="14" t="s">
        <v>540</v>
      </c>
      <c r="DL165" s="14">
        <f>INDEX(属性投放!$BM$6:$BM$85,(CV165-2)*20+CZ165)</f>
        <v>150</v>
      </c>
      <c r="DM165" s="14">
        <f>SUMIFS(DL$5:DL165,$CT$5:$CT165,"="&amp;$CT165)</f>
        <v>630</v>
      </c>
      <c r="DR165" s="14">
        <f t="shared" si="324"/>
        <v>1102009</v>
      </c>
      <c r="DS165" s="14" t="str">
        <f t="shared" si="325"/>
        <v>徐晃1突</v>
      </c>
      <c r="DT165" s="14">
        <f t="shared" si="338"/>
        <v>4</v>
      </c>
      <c r="DU165" s="14">
        <f t="shared" si="339"/>
        <v>5</v>
      </c>
      <c r="DV165" s="14">
        <f t="shared" si="340"/>
        <v>7</v>
      </c>
      <c r="DW165" s="14">
        <f t="shared" si="326"/>
        <v>3</v>
      </c>
      <c r="DX165" s="14">
        <f t="shared" si="327"/>
        <v>1</v>
      </c>
      <c r="DY165" s="14">
        <f t="shared" si="328"/>
        <v>21</v>
      </c>
      <c r="DZ165" s="14">
        <f>INDEX(属性投放!$AX$6:$AX$85,(卡牌属性!DW165-2)*20+卡牌属性!DX165)</f>
        <v>4</v>
      </c>
      <c r="EA165" s="14">
        <f>INDEX(属性投放!BQ$6:BQ$85,卡牌属性!$DY165)</f>
        <v>30</v>
      </c>
      <c r="EB165" s="14">
        <f>INDEX(属性投放!BR$6:BR$85,卡牌属性!$DY165)</f>
        <v>15</v>
      </c>
      <c r="EC165" s="14">
        <f>INDEX(属性投放!BS$6:BS$85,卡牌属性!$DY165)</f>
        <v>180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175</v>
      </c>
      <c r="EG165" s="14">
        <f>INDEX(属性偏向!$I$4:$I$15,卡牌属性!$DT165+EG$3)</f>
        <v>175</v>
      </c>
      <c r="EH165" s="14">
        <f>INDEX(属性偏向!$I$4:$I$15,卡牌属性!$DT165+EH$3)</f>
        <v>200</v>
      </c>
      <c r="EI165" s="14">
        <f>INDEX(属性偏向!$J$4:$J$15,卡牌属性!$DU165+EI$3)</f>
        <v>30</v>
      </c>
      <c r="EJ165" s="14">
        <f>INDEX(属性偏向!$J$4:$J$15,卡牌属性!$DU165+EJ$3)</f>
        <v>40</v>
      </c>
      <c r="EK165" s="14">
        <f>INDEX(属性偏向!$J$4:$J$15,卡牌属性!$DU165+EK$3)</f>
        <v>40</v>
      </c>
      <c r="EL165" s="14">
        <f>INDEX(属性偏向!$J$4:$J$15,卡牌属性!$DU165+EL$3)</f>
        <v>50</v>
      </c>
      <c r="EM165" s="14">
        <f>INDEX(属性偏向!$J$4:$J$15,卡牌属性!$DU165+EM$3)</f>
        <v>75</v>
      </c>
      <c r="EN165" s="14">
        <f>INDEX(属性偏向!$K$4:$K$15,卡牌属性!$DV165+EN$3)</f>
        <v>800</v>
      </c>
      <c r="EO165" s="14">
        <f>INDEX(属性偏向!$K$4:$K$15,卡牌属性!$DV165+EO$3)</f>
        <v>1000</v>
      </c>
      <c r="EP165" s="14">
        <f>INDEX(属性偏向!$K$4:$K$15,卡牌属性!$DV165+EP$3)</f>
        <v>1000</v>
      </c>
      <c r="EQ165" s="14">
        <f>INDEX(属性偏向!$K$4:$K$15,卡牌属性!$DV165+EQ$3)</f>
        <v>1200</v>
      </c>
      <c r="ER165" s="14">
        <f>INDEX(属性偏向!$K$4:$K$15,卡牌属性!$DV165+ER$3)</f>
        <v>1500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72</v>
      </c>
      <c r="FD165" s="14">
        <f>INDEX(属性偏向!$U$4:$U$243,(卡牌属性!$DV165-1+FD$3)*20+卡牌属性!$DX165)</f>
        <v>78</v>
      </c>
      <c r="FE165" s="14">
        <f>INDEX(属性偏向!$U$4:$U$243,(卡牌属性!$DV165-1+FE$3)*20+卡牌属性!$DX165)</f>
        <v>78</v>
      </c>
      <c r="FF165" s="14">
        <f>INDEX(属性偏向!$U$4:$U$243,(卡牌属性!$DV165-1+FF$3)*20+卡牌属性!$DX165)</f>
        <v>90</v>
      </c>
      <c r="FG165" s="14">
        <f>INDEX(属性偏向!$U$4:$U$243,(卡牌属性!$DV165-1+FG$3)*20+卡牌属性!$DX165)</f>
        <v>120</v>
      </c>
      <c r="FH165" s="14">
        <f>INDEX(属性投放!$BQ$6:$BQ$85,(卡牌属性!$DW165-2)*20+卡牌属性!$DX165)</f>
        <v>30</v>
      </c>
      <c r="FI165" s="14">
        <f>INDEX(属性投放!$BQ$6:$BQ$85,(卡牌属性!$DW165-2)*20+卡牌属性!$DX165)</f>
        <v>30</v>
      </c>
      <c r="FJ165" s="14">
        <f>INDEX(属性投放!$BQ$6:$BQ$85,(卡牌属性!$DW165-2)*20+卡牌属性!$DX165)</f>
        <v>30</v>
      </c>
      <c r="FK165" s="14">
        <f>INDEX(属性投放!$BQ$6:$BQ$85,(卡牌属性!$DW165-2)*20+卡牌属性!$DX165)</f>
        <v>30</v>
      </c>
      <c r="FL165" s="14">
        <f>INDEX(属性投放!$BQ$6:$BQ$85,(卡牌属性!$DW165-2)*20+卡牌属性!$DX165)</f>
        <v>30</v>
      </c>
      <c r="FM165" s="14">
        <f>INDEX(属性投放!$BR$6:$BR$85,(卡牌属性!$DW165-2)*20+卡牌属性!$DX165)</f>
        <v>15</v>
      </c>
      <c r="FN165" s="14">
        <f>INDEX(属性投放!$BR$6:$BR$85,(卡牌属性!$DW165-2)*20+卡牌属性!$DX165)</f>
        <v>15</v>
      </c>
      <c r="FO165" s="14">
        <f>INDEX(属性投放!$BR$6:$BR$85,(卡牌属性!$DW165-2)*20+卡牌属性!$DX165)</f>
        <v>15</v>
      </c>
      <c r="FP165" s="14">
        <f>INDEX(属性投放!$BR$6:$BR$85,(卡牌属性!$DW165-2)*20+卡牌属性!$DX165)</f>
        <v>15</v>
      </c>
      <c r="FQ165" s="14">
        <f>INDEX(属性投放!$BR$6:$BR$85,(卡牌属性!$DW165-2)*20+卡牌属性!$DX165)</f>
        <v>15</v>
      </c>
      <c r="FR165" s="14">
        <f>INDEX(属性投放!$BS$6:$BS$85,(卡牌属性!$DW165-2)*20+卡牌属性!$DX165)</f>
        <v>180</v>
      </c>
      <c r="FS165" s="14">
        <f>INDEX(属性投放!$BS$6:$BS$85,(卡牌属性!$DW165-2)*20+卡牌属性!$DX165)</f>
        <v>180</v>
      </c>
      <c r="FT165" s="14">
        <f>INDEX(属性投放!$BS$6:$BS$85,(卡牌属性!$DW165-2)*20+卡牌属性!$DX165)</f>
        <v>180</v>
      </c>
      <c r="FU165" s="14">
        <f>INDEX(属性投放!$BS$6:$BS$85,(卡牌属性!$DW165-2)*20+卡牌属性!$DX165)</f>
        <v>180</v>
      </c>
      <c r="FV165" s="14">
        <f>INDEX(属性投放!$BS$6:$BS$85,(卡牌属性!$DW165-2)*20+卡牌属性!$DX165)</f>
        <v>180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1"/>
        <v>9</v>
      </c>
      <c r="AG166" s="13">
        <f t="shared" si="316"/>
        <v>3</v>
      </c>
      <c r="AH166" s="13"/>
      <c r="AI166" s="13"/>
      <c r="AJ166" s="14">
        <f t="shared" si="317"/>
        <v>1101009</v>
      </c>
      <c r="AK166" s="14" t="str">
        <f t="shared" si="318"/>
        <v>北落师门2突</v>
      </c>
      <c r="AL166" s="25" t="s">
        <v>142</v>
      </c>
      <c r="AM166" s="14">
        <v>1</v>
      </c>
      <c r="AN166" s="14">
        <f t="shared" si="319"/>
        <v>2</v>
      </c>
      <c r="AO166" s="14">
        <f>INDEX(属性投放!$DF$6:$DF$85,(卡牌属性!AG166-2)*20+卡牌属性!AN166)</f>
        <v>230</v>
      </c>
      <c r="AP166" s="14">
        <f t="shared" si="419"/>
        <v>230</v>
      </c>
      <c r="AQ166" s="14">
        <f t="shared" si="419"/>
        <v>230</v>
      </c>
      <c r="AR166" s="14">
        <f t="shared" si="419"/>
        <v>230</v>
      </c>
      <c r="AS166" s="14">
        <f t="shared" si="419"/>
        <v>230</v>
      </c>
      <c r="AT166" s="14">
        <f>INDEX(属性投放!$DG$6:$DG$85,(卡牌属性!AG166-2)*20+卡牌属性!AN166)</f>
        <v>40</v>
      </c>
      <c r="AU166" s="14">
        <f t="shared" si="420"/>
        <v>40</v>
      </c>
      <c r="AV166" s="14">
        <f t="shared" si="420"/>
        <v>40</v>
      </c>
      <c r="AW166" s="14">
        <f t="shared" si="420"/>
        <v>40</v>
      </c>
      <c r="AX166" s="14">
        <f t="shared" si="420"/>
        <v>40</v>
      </c>
      <c r="AY166" s="14">
        <f>INDEX(属性投放!$DH$6:$DH$85,(卡牌属性!AG166-2)*20+卡牌属性!AN166)</f>
        <v>865</v>
      </c>
      <c r="AZ166" s="14">
        <f t="shared" si="421"/>
        <v>865</v>
      </c>
      <c r="BA166" s="14">
        <f t="shared" si="421"/>
        <v>865</v>
      </c>
      <c r="BB166" s="14">
        <f t="shared" si="421"/>
        <v>865</v>
      </c>
      <c r="BC166" s="14">
        <f t="shared" si="421"/>
        <v>865</v>
      </c>
      <c r="BD166" s="14">
        <f>INDEX(属性投放!$DL$6:$DL$85,(卡牌属性!AG166-2)*20+卡牌属性!AN166)</f>
        <v>17</v>
      </c>
      <c r="BE166" s="14">
        <f t="shared" si="422"/>
        <v>17</v>
      </c>
      <c r="BF166" s="14">
        <f t="shared" si="422"/>
        <v>17</v>
      </c>
      <c r="BG166" s="14">
        <f t="shared" si="422"/>
        <v>17</v>
      </c>
      <c r="BH166" s="14">
        <f t="shared" si="422"/>
        <v>17</v>
      </c>
      <c r="BI166" s="14">
        <f>INDEX(属性投放!$DM$6:$DM$85,(卡牌属性!AG166-2)*20+卡牌属性!AN166)</f>
        <v>8</v>
      </c>
      <c r="BJ166" s="14">
        <f t="shared" si="423"/>
        <v>8</v>
      </c>
      <c r="BK166" s="14">
        <f t="shared" si="423"/>
        <v>8</v>
      </c>
      <c r="BL166" s="14">
        <f t="shared" si="423"/>
        <v>8</v>
      </c>
      <c r="BM166" s="14">
        <f t="shared" si="423"/>
        <v>8</v>
      </c>
      <c r="BN166" s="14">
        <f>INDEX(属性投放!$DN$6:$DN$85,(卡牌属性!AG166-2)*20+卡牌属性!AN166)</f>
        <v>101</v>
      </c>
      <c r="BO166" s="14">
        <f t="shared" si="424"/>
        <v>101</v>
      </c>
      <c r="BP166" s="14">
        <f t="shared" si="424"/>
        <v>101</v>
      </c>
      <c r="BQ166" s="14">
        <f t="shared" si="424"/>
        <v>101</v>
      </c>
      <c r="BR166" s="14">
        <f t="shared" si="424"/>
        <v>101</v>
      </c>
      <c r="BW166" s="13">
        <v>162</v>
      </c>
      <c r="BX166" s="13">
        <f t="shared" si="320"/>
        <v>9</v>
      </c>
      <c r="BY166" s="14">
        <f t="shared" si="321"/>
        <v>3</v>
      </c>
      <c r="BZ166" s="14">
        <f t="shared" si="332"/>
        <v>1102009</v>
      </c>
      <c r="CA166" s="14" t="str">
        <f t="shared" si="333"/>
        <v>徐晃2突</v>
      </c>
      <c r="CB166" s="25" t="s">
        <v>142</v>
      </c>
      <c r="CC166" s="14">
        <v>2</v>
      </c>
      <c r="CD166" s="14">
        <f t="shared" si="322"/>
        <v>2</v>
      </c>
      <c r="CE166" s="14" t="s">
        <v>21</v>
      </c>
      <c r="CF166" s="14">
        <f>INDEX(属性投放!$AZ$6:$AZ$85,(BY166-2)*20+CD166)</f>
        <v>232</v>
      </c>
      <c r="CG166" s="14" t="s">
        <v>22</v>
      </c>
      <c r="CH166" s="14">
        <f>INDEX(属性投放!$BA$6:$BA$85,(BY166-2)*20+CD166)</f>
        <v>51</v>
      </c>
      <c r="CI166" s="14" t="s">
        <v>510</v>
      </c>
      <c r="CJ166" s="14">
        <f>INDEX(属性投放!$BB$6:$BB$85,(BY166-2)*20+CD166)</f>
        <v>992</v>
      </c>
      <c r="CK166" s="14" t="s">
        <v>21</v>
      </c>
      <c r="CL166" s="14">
        <f>INDEX(属性投放!$BC$6:$BC$85,(BY166-2)*20+CD166)</f>
        <v>10</v>
      </c>
      <c r="CM166" s="14" t="s">
        <v>22</v>
      </c>
      <c r="CN166" s="14">
        <f>INDEX(属性投放!$BD$6:$BD$85,(BY166-2)*20+CD166)</f>
        <v>5</v>
      </c>
      <c r="CO166" s="14" t="s">
        <v>510</v>
      </c>
      <c r="CP166" s="14">
        <f>INDEX(属性投放!$BE$6:$BE$85,(BY166-2)*20+CD166)</f>
        <v>60</v>
      </c>
      <c r="CS166" s="13">
        <v>162</v>
      </c>
      <c r="CT166" s="13">
        <f t="shared" si="334"/>
        <v>4</v>
      </c>
      <c r="CU166" s="13">
        <f t="shared" si="335"/>
        <v>6</v>
      </c>
      <c r="CV166" s="14">
        <f t="shared" si="336"/>
        <v>2</v>
      </c>
      <c r="CW166" s="14">
        <f t="shared" si="337"/>
        <v>1102004</v>
      </c>
      <c r="CX166" s="14" t="str">
        <f>INDEX($O$6:$O$50,CT166)&amp;"-"&amp;INDEX(属性投放!$AB$7:$AB$50,CZ166)&amp;"-魂火-"&amp;DB166</f>
        <v>唐流雨-众合-魂火-1</v>
      </c>
      <c r="CY166" s="25" t="s">
        <v>142</v>
      </c>
      <c r="CZ166" s="14">
        <f>INDEX(属性投放!$AM$7:$AM$58,CU166)</f>
        <v>4</v>
      </c>
      <c r="DA166" s="14" t="s">
        <v>537</v>
      </c>
      <c r="DB166" s="14">
        <f>INDEX(属性投放!$AN$7:$AN$58,CU166)</f>
        <v>1</v>
      </c>
      <c r="DC166" s="14">
        <f t="shared" si="323"/>
        <v>6</v>
      </c>
      <c r="DD166" s="14">
        <f>INDEX(属性投放!$AO$7:$AO$58,DC166)</f>
        <v>28</v>
      </c>
      <c r="DE166" s="14" t="s">
        <v>538</v>
      </c>
      <c r="DF166" s="14">
        <f>INDEX(属性投放!$BK$6:$BK$85,(CV166-2)*20+CZ166)</f>
        <v>30</v>
      </c>
      <c r="DG166" s="14">
        <f>SUMIFS(DF$5:DF166,$CT$5:$CT166,"="&amp;$CT166)</f>
        <v>135</v>
      </c>
      <c r="DH166" s="14" t="s">
        <v>539</v>
      </c>
      <c r="DI166" s="14">
        <f>INDEX(属性投放!$BL$6:$BL$85,(CV166-2)*20+CZ166)</f>
        <v>15</v>
      </c>
      <c r="DJ166" s="14">
        <f>SUMIFS(DI$5:DI166,$CT$5:$CT166,"="&amp;$CT166)</f>
        <v>69</v>
      </c>
      <c r="DK166" s="14" t="s">
        <v>540</v>
      </c>
      <c r="DL166" s="14">
        <f>INDEX(属性投放!$BM$6:$BM$85,(CV166-2)*20+CZ166)</f>
        <v>210</v>
      </c>
      <c r="DM166" s="14">
        <f>SUMIFS(DL$5:DL166,$CT$5:$CT166,"="&amp;$CT166)</f>
        <v>840</v>
      </c>
      <c r="DR166" s="14">
        <f t="shared" si="324"/>
        <v>1102009</v>
      </c>
      <c r="DS166" s="14" t="str">
        <f t="shared" si="325"/>
        <v>徐晃2突</v>
      </c>
      <c r="DT166" s="14">
        <f t="shared" si="338"/>
        <v>4</v>
      </c>
      <c r="DU166" s="14">
        <f t="shared" si="339"/>
        <v>5</v>
      </c>
      <c r="DV166" s="14">
        <f t="shared" si="340"/>
        <v>7</v>
      </c>
      <c r="DW166" s="14">
        <f t="shared" si="326"/>
        <v>3</v>
      </c>
      <c r="DX166" s="14">
        <f t="shared" si="327"/>
        <v>2</v>
      </c>
      <c r="DY166" s="14">
        <f t="shared" si="328"/>
        <v>22</v>
      </c>
      <c r="DZ166" s="14">
        <f>INDEX(属性投放!$AX$6:$AX$85,(卡牌属性!DW166-2)*20+卡牌属性!DX166)</f>
        <v>10</v>
      </c>
      <c r="EA166" s="14">
        <f>INDEX(属性投放!BQ$6:BQ$85,卡牌属性!$DY166)</f>
        <v>40</v>
      </c>
      <c r="EB166" s="14">
        <f>INDEX(属性投放!BR$6:BR$85,卡牌属性!$DY166)</f>
        <v>20</v>
      </c>
      <c r="EC166" s="14">
        <f>INDEX(属性投放!BS$6:BS$85,卡牌属性!$DY166)</f>
        <v>240</v>
      </c>
      <c r="ED166" s="14">
        <f t="shared" ref="ED166:ED184" si="425">ED165+$EA165+ES165*$DZ165</f>
        <v>179</v>
      </c>
      <c r="EE166" s="14">
        <f t="shared" ref="EE166:EE184" si="426">EE165+$EA165+ET165*$DZ165</f>
        <v>212</v>
      </c>
      <c r="EF166" s="14">
        <f t="shared" ref="EF166:EF184" si="427">EF165+$EA165+EU165*$DZ165</f>
        <v>245</v>
      </c>
      <c r="EG166" s="14">
        <f t="shared" ref="EG166:EG184" si="428">EG165+$EA165+EV165*$DZ165</f>
        <v>245</v>
      </c>
      <c r="EH166" s="14">
        <f t="shared" ref="EH166:EH184" si="429">EH165+$EA165+EW165*$DZ165</f>
        <v>278</v>
      </c>
      <c r="EI166" s="14">
        <f t="shared" ref="EI166:EI184" si="430">EI165+$EB165+EX165*$DZ165</f>
        <v>61</v>
      </c>
      <c r="EJ166" s="14">
        <f t="shared" ref="EJ166:EJ184" si="431">EJ165+$EB165+EY165*$DZ165</f>
        <v>75</v>
      </c>
      <c r="EK166" s="14">
        <f t="shared" ref="EK166:EK184" si="432">EK165+$EB165+EZ165*$DZ165</f>
        <v>75</v>
      </c>
      <c r="EL166" s="14">
        <f t="shared" ref="EL166:EL184" si="433">EL165+$EB165+FA165*$DZ165</f>
        <v>89</v>
      </c>
      <c r="EM166" s="14">
        <f t="shared" ref="EM166:EM184" si="434">EM165+$EB165+FB165*$DZ165</f>
        <v>118</v>
      </c>
      <c r="EN166" s="14">
        <f t="shared" ref="EN166:EN184" si="435">EN165+$EC165+FC165*$DZ165</f>
        <v>1268</v>
      </c>
      <c r="EO166" s="14">
        <f t="shared" ref="EO166:EO184" si="436">EO165+$EC165+FD165*$DZ165</f>
        <v>1492</v>
      </c>
      <c r="EP166" s="14">
        <f t="shared" ref="EP166:EP184" si="437">EP165+$EC165+FE165*$DZ165</f>
        <v>1492</v>
      </c>
      <c r="EQ166" s="14">
        <f t="shared" ref="EQ166:EQ184" si="438">EQ165+$EC165+FF165*$DZ165</f>
        <v>1740</v>
      </c>
      <c r="ER166" s="14">
        <f t="shared" ref="ER166:ER184" si="439">ER165+$EC165+FG165*$DZ165</f>
        <v>2160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90</v>
      </c>
      <c r="FD166" s="14">
        <f>INDEX(属性偏向!$U$4:$U$243,(卡牌属性!$DV166-1+FD$3)*20+卡牌属性!$DX166)</f>
        <v>102</v>
      </c>
      <c r="FE166" s="14">
        <f>INDEX(属性偏向!$U$4:$U$243,(卡牌属性!$DV166-1+FE$3)*20+卡牌属性!$DX166)</f>
        <v>102</v>
      </c>
      <c r="FF166" s="14">
        <f>INDEX(属性偏向!$U$4:$U$243,(卡牌属性!$DV166-1+FF$3)*20+卡牌属性!$DX166)</f>
        <v>120</v>
      </c>
      <c r="FG166" s="14">
        <f>INDEX(属性偏向!$U$4:$U$243,(卡牌属性!$DV166-1+FG$3)*20+卡牌属性!$DX166)</f>
        <v>150</v>
      </c>
      <c r="FH166" s="14">
        <f>INDEX(属性投放!$BQ$6:$BQ$85,(卡牌属性!$DW166-2)*20+卡牌属性!$DX166)</f>
        <v>40</v>
      </c>
      <c r="FI166" s="14">
        <f>INDEX(属性投放!$BQ$6:$BQ$85,(卡牌属性!$DW166-2)*20+卡牌属性!$DX166)</f>
        <v>40</v>
      </c>
      <c r="FJ166" s="14">
        <f>INDEX(属性投放!$BQ$6:$BQ$85,(卡牌属性!$DW166-2)*20+卡牌属性!$DX166)</f>
        <v>40</v>
      </c>
      <c r="FK166" s="14">
        <f>INDEX(属性投放!$BQ$6:$BQ$85,(卡牌属性!$DW166-2)*20+卡牌属性!$DX166)</f>
        <v>40</v>
      </c>
      <c r="FL166" s="14">
        <f>INDEX(属性投放!$BQ$6:$BQ$85,(卡牌属性!$DW166-2)*20+卡牌属性!$DX166)</f>
        <v>40</v>
      </c>
      <c r="FM166" s="14">
        <f>INDEX(属性投放!$BR$6:$BR$85,(卡牌属性!$DW166-2)*20+卡牌属性!$DX166)</f>
        <v>20</v>
      </c>
      <c r="FN166" s="14">
        <f>INDEX(属性投放!$BR$6:$BR$85,(卡牌属性!$DW166-2)*20+卡牌属性!$DX166)</f>
        <v>20</v>
      </c>
      <c r="FO166" s="14">
        <f>INDEX(属性投放!$BR$6:$BR$85,(卡牌属性!$DW166-2)*20+卡牌属性!$DX166)</f>
        <v>20</v>
      </c>
      <c r="FP166" s="14">
        <f>INDEX(属性投放!$BR$6:$BR$85,(卡牌属性!$DW166-2)*20+卡牌属性!$DX166)</f>
        <v>20</v>
      </c>
      <c r="FQ166" s="14">
        <f>INDEX(属性投放!$BR$6:$BR$85,(卡牌属性!$DW166-2)*20+卡牌属性!$DX166)</f>
        <v>20</v>
      </c>
      <c r="FR166" s="14">
        <f>INDEX(属性投放!$BS$6:$BS$85,(卡牌属性!$DW166-2)*20+卡牌属性!$DX166)</f>
        <v>240</v>
      </c>
      <c r="FS166" s="14">
        <f>INDEX(属性投放!$BS$6:$BS$85,(卡牌属性!$DW166-2)*20+卡牌属性!$DX166)</f>
        <v>240</v>
      </c>
      <c r="FT166" s="14">
        <f>INDEX(属性投放!$BS$6:$BS$85,(卡牌属性!$DW166-2)*20+卡牌属性!$DX166)</f>
        <v>240</v>
      </c>
      <c r="FU166" s="14">
        <f>INDEX(属性投放!$BS$6:$BS$85,(卡牌属性!$DW166-2)*20+卡牌属性!$DX166)</f>
        <v>240</v>
      </c>
      <c r="FV166" s="14">
        <f>INDEX(属性投放!$BS$6:$BS$85,(卡牌属性!$DW166-2)*20+卡牌属性!$DX166)</f>
        <v>240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1"/>
        <v>9</v>
      </c>
      <c r="AG167" s="13">
        <f t="shared" si="316"/>
        <v>3</v>
      </c>
      <c r="AH167" s="13"/>
      <c r="AI167" s="13"/>
      <c r="AJ167" s="14">
        <f t="shared" si="317"/>
        <v>1101009</v>
      </c>
      <c r="AK167" s="14" t="str">
        <f t="shared" si="318"/>
        <v>北落师门3突</v>
      </c>
      <c r="AL167" s="25" t="s">
        <v>142</v>
      </c>
      <c r="AM167" s="14">
        <v>1</v>
      </c>
      <c r="AN167" s="14">
        <f t="shared" si="319"/>
        <v>3</v>
      </c>
      <c r="AO167" s="14">
        <f>INDEX(属性投放!$DF$6:$DF$85,(卡牌属性!AG167-2)*20+卡牌属性!AN167)</f>
        <v>272</v>
      </c>
      <c r="AP167" s="14">
        <f t="shared" si="419"/>
        <v>272</v>
      </c>
      <c r="AQ167" s="14">
        <f t="shared" si="419"/>
        <v>272</v>
      </c>
      <c r="AR167" s="14">
        <f t="shared" si="419"/>
        <v>272</v>
      </c>
      <c r="AS167" s="14">
        <f t="shared" si="419"/>
        <v>272</v>
      </c>
      <c r="AT167" s="14">
        <f>INDEX(属性投放!$DG$6:$DG$85,(卡牌属性!AG167-2)*20+卡牌属性!AN167)</f>
        <v>61</v>
      </c>
      <c r="AU167" s="14">
        <f t="shared" si="420"/>
        <v>61</v>
      </c>
      <c r="AV167" s="14">
        <f t="shared" si="420"/>
        <v>61</v>
      </c>
      <c r="AW167" s="14">
        <f t="shared" si="420"/>
        <v>61</v>
      </c>
      <c r="AX167" s="14">
        <f t="shared" si="420"/>
        <v>61</v>
      </c>
      <c r="AY167" s="14">
        <f>INDEX(属性投放!$DH$6:$DH$85,(卡牌属性!AG167-2)*20+卡牌属性!AN167)</f>
        <v>1117</v>
      </c>
      <c r="AZ167" s="14">
        <f t="shared" si="421"/>
        <v>1117</v>
      </c>
      <c r="BA167" s="14">
        <f t="shared" si="421"/>
        <v>1117</v>
      </c>
      <c r="BB167" s="14">
        <f t="shared" si="421"/>
        <v>1117</v>
      </c>
      <c r="BC167" s="14">
        <f t="shared" si="421"/>
        <v>1117</v>
      </c>
      <c r="BD167" s="14">
        <f>INDEX(属性投放!$DL$6:$DL$85,(卡牌属性!AG167-2)*20+卡牌属性!AN167)</f>
        <v>17</v>
      </c>
      <c r="BE167" s="14">
        <f t="shared" si="422"/>
        <v>17</v>
      </c>
      <c r="BF167" s="14">
        <f t="shared" si="422"/>
        <v>17</v>
      </c>
      <c r="BG167" s="14">
        <f t="shared" si="422"/>
        <v>17</v>
      </c>
      <c r="BH167" s="14">
        <f t="shared" si="422"/>
        <v>17</v>
      </c>
      <c r="BI167" s="14">
        <f>INDEX(属性投放!$DM$6:$DM$85,(卡牌属性!AG167-2)*20+卡牌属性!AN167)</f>
        <v>8</v>
      </c>
      <c r="BJ167" s="14">
        <f t="shared" si="423"/>
        <v>8</v>
      </c>
      <c r="BK167" s="14">
        <f t="shared" si="423"/>
        <v>8</v>
      </c>
      <c r="BL167" s="14">
        <f t="shared" si="423"/>
        <v>8</v>
      </c>
      <c r="BM167" s="14">
        <f t="shared" si="423"/>
        <v>8</v>
      </c>
      <c r="BN167" s="14">
        <f>INDEX(属性投放!$DN$6:$DN$85,(卡牌属性!AG167-2)*20+卡牌属性!AN167)</f>
        <v>101</v>
      </c>
      <c r="BO167" s="14">
        <f t="shared" si="424"/>
        <v>101</v>
      </c>
      <c r="BP167" s="14">
        <f t="shared" si="424"/>
        <v>101</v>
      </c>
      <c r="BQ167" s="14">
        <f t="shared" si="424"/>
        <v>101</v>
      </c>
      <c r="BR167" s="14">
        <f t="shared" si="424"/>
        <v>101</v>
      </c>
      <c r="BW167" s="13">
        <v>163</v>
      </c>
      <c r="BX167" s="13">
        <f t="shared" si="320"/>
        <v>9</v>
      </c>
      <c r="BY167" s="14">
        <f t="shared" si="321"/>
        <v>3</v>
      </c>
      <c r="BZ167" s="14">
        <f t="shared" si="332"/>
        <v>1102009</v>
      </c>
      <c r="CA167" s="14" t="str">
        <f t="shared" si="333"/>
        <v>徐晃3突</v>
      </c>
      <c r="CB167" s="25" t="s">
        <v>142</v>
      </c>
      <c r="CC167" s="14">
        <v>2</v>
      </c>
      <c r="CD167" s="14">
        <f t="shared" si="322"/>
        <v>3</v>
      </c>
      <c r="CE167" s="14" t="s">
        <v>21</v>
      </c>
      <c r="CF167" s="14">
        <f>INDEX(属性投放!$AZ$6:$AZ$85,(BY167-2)*20+CD167)</f>
        <v>422</v>
      </c>
      <c r="CG167" s="14" t="s">
        <v>22</v>
      </c>
      <c r="CH167" s="14">
        <f>INDEX(属性投放!$BA$6:$BA$85,(BY167-2)*20+CD167)</f>
        <v>147</v>
      </c>
      <c r="CI167" s="14" t="s">
        <v>510</v>
      </c>
      <c r="CJ167" s="14">
        <f>INDEX(属性投放!$BB$6:$BB$85,(BY167-2)*20+CD167)</f>
        <v>2132</v>
      </c>
      <c r="CK167" s="14" t="s">
        <v>21</v>
      </c>
      <c r="CL167" s="14">
        <f>INDEX(属性投放!$BC$6:$BC$85,(BY167-2)*20+CD167)</f>
        <v>10</v>
      </c>
      <c r="CM167" s="14" t="s">
        <v>22</v>
      </c>
      <c r="CN167" s="14">
        <f>INDEX(属性投放!$BD$6:$BD$85,(BY167-2)*20+CD167)</f>
        <v>5</v>
      </c>
      <c r="CO167" s="14" t="s">
        <v>510</v>
      </c>
      <c r="CP167" s="14">
        <f>INDEX(属性投放!$BE$6:$BE$85,(BY167-2)*20+CD167)</f>
        <v>60</v>
      </c>
      <c r="CS167" s="13">
        <v>163</v>
      </c>
      <c r="CT167" s="13">
        <f t="shared" si="334"/>
        <v>4</v>
      </c>
      <c r="CU167" s="13">
        <f t="shared" si="335"/>
        <v>7</v>
      </c>
      <c r="CV167" s="14">
        <f t="shared" si="336"/>
        <v>2</v>
      </c>
      <c r="CW167" s="14">
        <f t="shared" si="337"/>
        <v>1102004</v>
      </c>
      <c r="CX167" s="14" t="str">
        <f>INDEX($O$6:$O$50,CT167)&amp;"-"&amp;INDEX(属性投放!$AB$7:$AB$50,CZ167)&amp;"-魂火-"&amp;DB167</f>
        <v>唐流雨-众合-魂火-2</v>
      </c>
      <c r="CY167" s="25" t="s">
        <v>142</v>
      </c>
      <c r="CZ167" s="14">
        <f>INDEX(属性投放!$AM$7:$AM$58,CU167)</f>
        <v>4</v>
      </c>
      <c r="DA167" s="14" t="s">
        <v>537</v>
      </c>
      <c r="DB167" s="14">
        <f>INDEX(属性投放!$AN$7:$AN$58,CU167)</f>
        <v>2</v>
      </c>
      <c r="DC167" s="14">
        <f t="shared" si="323"/>
        <v>7</v>
      </c>
      <c r="DD167" s="14">
        <f>INDEX(属性投放!$AO$7:$AO$58,DC167)</f>
        <v>33</v>
      </c>
      <c r="DE167" s="14" t="s">
        <v>538</v>
      </c>
      <c r="DF167" s="14">
        <f>INDEX(属性投放!$BK$6:$BK$85,(CV167-2)*20+CZ167)</f>
        <v>30</v>
      </c>
      <c r="DG167" s="14">
        <f>SUMIFS(DF$5:DF167,$CT$5:$CT167,"="&amp;$CT167)</f>
        <v>165</v>
      </c>
      <c r="DH167" s="14" t="s">
        <v>539</v>
      </c>
      <c r="DI167" s="14">
        <f>INDEX(属性投放!$BL$6:$BL$85,(CV167-2)*20+CZ167)</f>
        <v>15</v>
      </c>
      <c r="DJ167" s="14">
        <f>SUMIFS(DI$5:DI167,$CT$5:$CT167,"="&amp;$CT167)</f>
        <v>84</v>
      </c>
      <c r="DK167" s="14" t="s">
        <v>540</v>
      </c>
      <c r="DL167" s="14">
        <f>INDEX(属性投放!$BM$6:$BM$85,(CV167-2)*20+CZ167)</f>
        <v>210</v>
      </c>
      <c r="DM167" s="14">
        <f>SUMIFS(DL$5:DL167,$CT$5:$CT167,"="&amp;$CT167)</f>
        <v>1050</v>
      </c>
      <c r="DR167" s="14">
        <f t="shared" si="324"/>
        <v>1102009</v>
      </c>
      <c r="DS167" s="14" t="str">
        <f t="shared" si="325"/>
        <v>徐晃3突</v>
      </c>
      <c r="DT167" s="14">
        <f t="shared" si="338"/>
        <v>4</v>
      </c>
      <c r="DU167" s="14">
        <f t="shared" si="339"/>
        <v>5</v>
      </c>
      <c r="DV167" s="14">
        <f t="shared" si="340"/>
        <v>7</v>
      </c>
      <c r="DW167" s="14">
        <f t="shared" si="326"/>
        <v>3</v>
      </c>
      <c r="DX167" s="14">
        <f t="shared" si="327"/>
        <v>3</v>
      </c>
      <c r="DY167" s="14">
        <f t="shared" si="328"/>
        <v>23</v>
      </c>
      <c r="DZ167" s="14">
        <f>INDEX(属性投放!$AX$6:$AX$85,(卡牌属性!DW167-2)*20+卡牌属性!DX167)</f>
        <v>10</v>
      </c>
      <c r="EA167" s="14">
        <f>INDEX(属性投放!BQ$6:BQ$85,卡牌属性!$DY167)</f>
        <v>70</v>
      </c>
      <c r="EB167" s="14">
        <f>INDEX(属性投放!BR$6:BR$85,卡牌属性!$DY167)</f>
        <v>35</v>
      </c>
      <c r="EC167" s="14">
        <f>INDEX(属性投放!BS$6:BS$85,卡牌属性!$DY167)</f>
        <v>420</v>
      </c>
      <c r="ED167" s="14">
        <f t="shared" si="425"/>
        <v>299</v>
      </c>
      <c r="EE167" s="14">
        <f t="shared" si="426"/>
        <v>352</v>
      </c>
      <c r="EF167" s="14">
        <f t="shared" si="427"/>
        <v>405</v>
      </c>
      <c r="EG167" s="14">
        <f t="shared" si="428"/>
        <v>405</v>
      </c>
      <c r="EH167" s="14">
        <f t="shared" si="429"/>
        <v>468</v>
      </c>
      <c r="EI167" s="14">
        <f t="shared" si="430"/>
        <v>131</v>
      </c>
      <c r="EJ167" s="14">
        <f t="shared" si="431"/>
        <v>155</v>
      </c>
      <c r="EK167" s="14">
        <f t="shared" si="432"/>
        <v>155</v>
      </c>
      <c r="EL167" s="14">
        <f t="shared" si="433"/>
        <v>189</v>
      </c>
      <c r="EM167" s="14">
        <f t="shared" si="434"/>
        <v>228</v>
      </c>
      <c r="EN167" s="14">
        <f t="shared" si="435"/>
        <v>2408</v>
      </c>
      <c r="EO167" s="14">
        <f t="shared" si="436"/>
        <v>2752</v>
      </c>
      <c r="EP167" s="14">
        <f t="shared" si="437"/>
        <v>2752</v>
      </c>
      <c r="EQ167" s="14">
        <f t="shared" si="438"/>
        <v>3180</v>
      </c>
      <c r="ER167" s="14">
        <f t="shared" si="439"/>
        <v>3900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90</v>
      </c>
      <c r="FD167" s="14">
        <f>INDEX(属性偏向!$U$4:$U$243,(卡牌属性!$DV167-1+FD$3)*20+卡牌属性!$DX167)</f>
        <v>102</v>
      </c>
      <c r="FE167" s="14">
        <f>INDEX(属性偏向!$U$4:$U$243,(卡牌属性!$DV167-1+FE$3)*20+卡牌属性!$DX167)</f>
        <v>102</v>
      </c>
      <c r="FF167" s="14">
        <f>INDEX(属性偏向!$U$4:$U$243,(卡牌属性!$DV167-1+FF$3)*20+卡牌属性!$DX167)</f>
        <v>120</v>
      </c>
      <c r="FG167" s="14">
        <f>INDEX(属性偏向!$U$4:$U$243,(卡牌属性!$DV167-1+FG$3)*20+卡牌属性!$DX167)</f>
        <v>150</v>
      </c>
      <c r="FH167" s="14">
        <f>INDEX(属性投放!$BQ$6:$BQ$85,(卡牌属性!$DW167-2)*20+卡牌属性!$DX167)</f>
        <v>70</v>
      </c>
      <c r="FI167" s="14">
        <f>INDEX(属性投放!$BQ$6:$BQ$85,(卡牌属性!$DW167-2)*20+卡牌属性!$DX167)</f>
        <v>70</v>
      </c>
      <c r="FJ167" s="14">
        <f>INDEX(属性投放!$BQ$6:$BQ$85,(卡牌属性!$DW167-2)*20+卡牌属性!$DX167)</f>
        <v>70</v>
      </c>
      <c r="FK167" s="14">
        <f>INDEX(属性投放!$BQ$6:$BQ$85,(卡牌属性!$DW167-2)*20+卡牌属性!$DX167)</f>
        <v>70</v>
      </c>
      <c r="FL167" s="14">
        <f>INDEX(属性投放!$BQ$6:$BQ$85,(卡牌属性!$DW167-2)*20+卡牌属性!$DX167)</f>
        <v>70</v>
      </c>
      <c r="FM167" s="14">
        <f>INDEX(属性投放!$BR$6:$BR$85,(卡牌属性!$DW167-2)*20+卡牌属性!$DX167)</f>
        <v>35</v>
      </c>
      <c r="FN167" s="14">
        <f>INDEX(属性投放!$BR$6:$BR$85,(卡牌属性!$DW167-2)*20+卡牌属性!$DX167)</f>
        <v>35</v>
      </c>
      <c r="FO167" s="14">
        <f>INDEX(属性投放!$BR$6:$BR$85,(卡牌属性!$DW167-2)*20+卡牌属性!$DX167)</f>
        <v>35</v>
      </c>
      <c r="FP167" s="14">
        <f>INDEX(属性投放!$BR$6:$BR$85,(卡牌属性!$DW167-2)*20+卡牌属性!$DX167)</f>
        <v>35</v>
      </c>
      <c r="FQ167" s="14">
        <f>INDEX(属性投放!$BR$6:$BR$85,(卡牌属性!$DW167-2)*20+卡牌属性!$DX167)</f>
        <v>35</v>
      </c>
      <c r="FR167" s="14">
        <f>INDEX(属性投放!$BS$6:$BS$85,(卡牌属性!$DW167-2)*20+卡牌属性!$DX167)</f>
        <v>420</v>
      </c>
      <c r="FS167" s="14">
        <f>INDEX(属性投放!$BS$6:$BS$85,(卡牌属性!$DW167-2)*20+卡牌属性!$DX167)</f>
        <v>420</v>
      </c>
      <c r="FT167" s="14">
        <f>INDEX(属性投放!$BS$6:$BS$85,(卡牌属性!$DW167-2)*20+卡牌属性!$DX167)</f>
        <v>420</v>
      </c>
      <c r="FU167" s="14">
        <f>INDEX(属性投放!$BS$6:$BS$85,(卡牌属性!$DW167-2)*20+卡牌属性!$DX167)</f>
        <v>420</v>
      </c>
      <c r="FV167" s="14">
        <f>INDEX(属性投放!$BS$6:$BS$85,(卡牌属性!$DW167-2)*20+卡牌属性!$DX167)</f>
        <v>420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1"/>
        <v>9</v>
      </c>
      <c r="AG168" s="13">
        <f t="shared" si="316"/>
        <v>3</v>
      </c>
      <c r="AH168" s="13"/>
      <c r="AI168" s="13"/>
      <c r="AJ168" s="14">
        <f t="shared" si="317"/>
        <v>1101009</v>
      </c>
      <c r="AK168" s="14" t="str">
        <f t="shared" si="318"/>
        <v>北落师门4突</v>
      </c>
      <c r="AL168" s="25" t="s">
        <v>142</v>
      </c>
      <c r="AM168" s="14">
        <v>1</v>
      </c>
      <c r="AN168" s="14">
        <f t="shared" si="319"/>
        <v>4</v>
      </c>
      <c r="AO168" s="14">
        <f>INDEX(属性投放!$DF$6:$DF$85,(卡牌属性!AG168-2)*20+卡牌属性!AN168)</f>
        <v>484</v>
      </c>
      <c r="AP168" s="14">
        <f t="shared" si="419"/>
        <v>484</v>
      </c>
      <c r="AQ168" s="14">
        <f t="shared" si="419"/>
        <v>484</v>
      </c>
      <c r="AR168" s="14">
        <f t="shared" si="419"/>
        <v>484</v>
      </c>
      <c r="AS168" s="14">
        <f t="shared" si="419"/>
        <v>484</v>
      </c>
      <c r="AT168" s="14">
        <f>INDEX(属性投放!$DG$6:$DG$85,(卡牌属性!AG168-2)*20+卡牌属性!AN168)</f>
        <v>162</v>
      </c>
      <c r="AU168" s="14">
        <f t="shared" si="420"/>
        <v>162</v>
      </c>
      <c r="AV168" s="14">
        <f t="shared" si="420"/>
        <v>162</v>
      </c>
      <c r="AW168" s="14">
        <f t="shared" si="420"/>
        <v>162</v>
      </c>
      <c r="AX168" s="14">
        <f t="shared" si="420"/>
        <v>162</v>
      </c>
      <c r="AY168" s="14">
        <f>INDEX(属性投放!$DH$6:$DH$85,(卡牌属性!AG168-2)*20+卡牌属性!AN168)</f>
        <v>2379</v>
      </c>
      <c r="AZ168" s="14">
        <f t="shared" si="421"/>
        <v>2379</v>
      </c>
      <c r="BA168" s="14">
        <f t="shared" si="421"/>
        <v>2379</v>
      </c>
      <c r="BB168" s="14">
        <f t="shared" si="421"/>
        <v>2379</v>
      </c>
      <c r="BC168" s="14">
        <f t="shared" si="421"/>
        <v>2379</v>
      </c>
      <c r="BD168" s="14">
        <f>INDEX(属性投放!$DL$6:$DL$85,(卡牌属性!AG168-2)*20+卡牌属性!AN168)</f>
        <v>30</v>
      </c>
      <c r="BE168" s="14">
        <f t="shared" si="422"/>
        <v>30</v>
      </c>
      <c r="BF168" s="14">
        <f t="shared" si="422"/>
        <v>30</v>
      </c>
      <c r="BG168" s="14">
        <f t="shared" si="422"/>
        <v>30</v>
      </c>
      <c r="BH168" s="14">
        <f t="shared" si="422"/>
        <v>30</v>
      </c>
      <c r="BI168" s="14">
        <f>INDEX(属性投放!$DM$6:$DM$85,(卡牌属性!AG168-2)*20+卡牌属性!AN168)</f>
        <v>15</v>
      </c>
      <c r="BJ168" s="14">
        <f t="shared" si="423"/>
        <v>15</v>
      </c>
      <c r="BK168" s="14">
        <f t="shared" si="423"/>
        <v>15</v>
      </c>
      <c r="BL168" s="14">
        <f t="shared" si="423"/>
        <v>15</v>
      </c>
      <c r="BM168" s="14">
        <f t="shared" si="423"/>
        <v>15</v>
      </c>
      <c r="BN168" s="14">
        <f>INDEX(属性投放!$DN$6:$DN$85,(卡牌属性!AG168-2)*20+卡牌属性!AN168)</f>
        <v>208</v>
      </c>
      <c r="BO168" s="14">
        <f t="shared" si="424"/>
        <v>208</v>
      </c>
      <c r="BP168" s="14">
        <f t="shared" si="424"/>
        <v>208</v>
      </c>
      <c r="BQ168" s="14">
        <f t="shared" si="424"/>
        <v>208</v>
      </c>
      <c r="BR168" s="14">
        <f t="shared" si="424"/>
        <v>208</v>
      </c>
      <c r="BW168" s="13">
        <v>164</v>
      </c>
      <c r="BX168" s="13">
        <f t="shared" si="320"/>
        <v>9</v>
      </c>
      <c r="BY168" s="14">
        <f t="shared" si="321"/>
        <v>3</v>
      </c>
      <c r="BZ168" s="14">
        <f t="shared" si="332"/>
        <v>1102009</v>
      </c>
      <c r="CA168" s="14" t="str">
        <f t="shared" si="333"/>
        <v>徐晃4突</v>
      </c>
      <c r="CB168" s="25" t="s">
        <v>142</v>
      </c>
      <c r="CC168" s="14">
        <v>2</v>
      </c>
      <c r="CD168" s="14">
        <f t="shared" si="322"/>
        <v>4</v>
      </c>
      <c r="CE168" s="14" t="s">
        <v>21</v>
      </c>
      <c r="CF168" s="14">
        <f>INDEX(属性投放!$AZ$6:$AZ$85,(BY168-2)*20+CD168)</f>
        <v>652</v>
      </c>
      <c r="CG168" s="14" t="s">
        <v>22</v>
      </c>
      <c r="CH168" s="14">
        <f>INDEX(属性投放!$BA$6:$BA$85,(BY168-2)*20+CD168)</f>
        <v>262</v>
      </c>
      <c r="CI168" s="14" t="s">
        <v>510</v>
      </c>
      <c r="CJ168" s="14">
        <f>INDEX(属性投放!$BB$6:$BB$85,(BY168-2)*20+CD168)</f>
        <v>3512</v>
      </c>
      <c r="CK168" s="14" t="s">
        <v>21</v>
      </c>
      <c r="CL168" s="14">
        <f>INDEX(属性投放!$BC$6:$BC$85,(BY168-2)*20+CD168)</f>
        <v>12</v>
      </c>
      <c r="CM168" s="14" t="s">
        <v>22</v>
      </c>
      <c r="CN168" s="14">
        <f>INDEX(属性投放!$BD$6:$BD$85,(BY168-2)*20+CD168)</f>
        <v>6</v>
      </c>
      <c r="CO168" s="14" t="s">
        <v>510</v>
      </c>
      <c r="CP168" s="14">
        <f>INDEX(属性投放!$BE$6:$BE$85,(BY168-2)*20+CD168)</f>
        <v>84</v>
      </c>
      <c r="CS168" s="13">
        <v>164</v>
      </c>
      <c r="CT168" s="13">
        <f t="shared" si="334"/>
        <v>4</v>
      </c>
      <c r="CU168" s="13">
        <f t="shared" si="335"/>
        <v>8</v>
      </c>
      <c r="CV168" s="14">
        <f t="shared" si="336"/>
        <v>2</v>
      </c>
      <c r="CW168" s="14">
        <f t="shared" si="337"/>
        <v>1102004</v>
      </c>
      <c r="CX168" s="14" t="str">
        <f>INDEX($O$6:$O$50,CT168)&amp;"-"&amp;INDEX(属性投放!$AB$7:$AB$50,CZ168)&amp;"-魂火-"&amp;DB168</f>
        <v>唐流雨-众合+1-魂火-1</v>
      </c>
      <c r="CY168" s="25" t="s">
        <v>142</v>
      </c>
      <c r="CZ168" s="14">
        <f>INDEX(属性投放!$AM$7:$AM$58,CU168)</f>
        <v>5</v>
      </c>
      <c r="DA168" s="14" t="s">
        <v>537</v>
      </c>
      <c r="DB168" s="14">
        <f>INDEX(属性投放!$AN$7:$AN$58,CU168)</f>
        <v>1</v>
      </c>
      <c r="DC168" s="14">
        <f t="shared" si="323"/>
        <v>8</v>
      </c>
      <c r="DD168" s="14">
        <f>INDEX(属性投放!$AO$7:$AO$58,DC168)</f>
        <v>38</v>
      </c>
      <c r="DE168" s="14" t="s">
        <v>538</v>
      </c>
      <c r="DF168" s="14">
        <f>INDEX(属性投放!$BK$6:$BK$85,(CV168-2)*20+CZ168)</f>
        <v>35</v>
      </c>
      <c r="DG168" s="14">
        <f>SUMIFS(DF$5:DF168,$CT$5:$CT168,"="&amp;$CT168)</f>
        <v>200</v>
      </c>
      <c r="DH168" s="14" t="s">
        <v>539</v>
      </c>
      <c r="DI168" s="14">
        <f>INDEX(属性投放!$BL$6:$BL$85,(CV168-2)*20+CZ168)</f>
        <v>18</v>
      </c>
      <c r="DJ168" s="14">
        <f>SUMIFS(DI$5:DI168,$CT$5:$CT168,"="&amp;$CT168)</f>
        <v>102</v>
      </c>
      <c r="DK168" s="14" t="s">
        <v>540</v>
      </c>
      <c r="DL168" s="14">
        <f>INDEX(属性投放!$BM$6:$BM$85,(CV168-2)*20+CZ168)</f>
        <v>245</v>
      </c>
      <c r="DM168" s="14">
        <f>SUMIFS(DL$5:DL168,$CT$5:$CT168,"="&amp;$CT168)</f>
        <v>1295</v>
      </c>
      <c r="DR168" s="14">
        <f t="shared" si="324"/>
        <v>1102009</v>
      </c>
      <c r="DS168" s="14" t="str">
        <f t="shared" si="325"/>
        <v>徐晃4突</v>
      </c>
      <c r="DT168" s="14">
        <f t="shared" si="338"/>
        <v>4</v>
      </c>
      <c r="DU168" s="14">
        <f t="shared" si="339"/>
        <v>5</v>
      </c>
      <c r="DV168" s="14">
        <f t="shared" si="340"/>
        <v>7</v>
      </c>
      <c r="DW168" s="14">
        <f t="shared" si="326"/>
        <v>3</v>
      </c>
      <c r="DX168" s="14">
        <f t="shared" si="327"/>
        <v>4</v>
      </c>
      <c r="DY168" s="14">
        <f t="shared" si="328"/>
        <v>24</v>
      </c>
      <c r="DZ168" s="14">
        <f>INDEX(属性投放!$AX$6:$AX$85,(卡牌属性!DW168-2)*20+卡牌属性!DX168)</f>
        <v>10</v>
      </c>
      <c r="EA168" s="14">
        <f>INDEX(属性投放!BQ$6:BQ$85,卡牌属性!$DY168)</f>
        <v>75</v>
      </c>
      <c r="EB168" s="14">
        <f>INDEX(属性投放!BR$6:BR$85,卡牌属性!$DY168)</f>
        <v>38</v>
      </c>
      <c r="EC168" s="14">
        <f>INDEX(属性投放!BS$6:BS$85,卡牌属性!$DY168)</f>
        <v>525</v>
      </c>
      <c r="ED168" s="14">
        <f t="shared" si="425"/>
        <v>449</v>
      </c>
      <c r="EE168" s="14">
        <f t="shared" si="426"/>
        <v>522</v>
      </c>
      <c r="EF168" s="14">
        <f t="shared" si="427"/>
        <v>595</v>
      </c>
      <c r="EG168" s="14">
        <f t="shared" si="428"/>
        <v>595</v>
      </c>
      <c r="EH168" s="14">
        <f t="shared" si="429"/>
        <v>688</v>
      </c>
      <c r="EI168" s="14">
        <f t="shared" si="430"/>
        <v>216</v>
      </c>
      <c r="EJ168" s="14">
        <f t="shared" si="431"/>
        <v>250</v>
      </c>
      <c r="EK168" s="14">
        <f t="shared" si="432"/>
        <v>250</v>
      </c>
      <c r="EL168" s="14">
        <f t="shared" si="433"/>
        <v>304</v>
      </c>
      <c r="EM168" s="14">
        <f t="shared" si="434"/>
        <v>353</v>
      </c>
      <c r="EN168" s="14">
        <f t="shared" si="435"/>
        <v>3728</v>
      </c>
      <c r="EO168" s="14">
        <f t="shared" si="436"/>
        <v>4192</v>
      </c>
      <c r="EP168" s="14">
        <f t="shared" si="437"/>
        <v>4192</v>
      </c>
      <c r="EQ168" s="14">
        <f t="shared" si="438"/>
        <v>4800</v>
      </c>
      <c r="ER168" s="14">
        <f t="shared" si="439"/>
        <v>5820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140</v>
      </c>
      <c r="FD168" s="14">
        <f>INDEX(属性偏向!$U$4:$U$243,(卡牌属性!$DV168-1+FD$3)*20+卡牌属性!$DX168)</f>
        <v>154</v>
      </c>
      <c r="FE168" s="14">
        <f>INDEX(属性偏向!$U$4:$U$243,(卡牌属性!$DV168-1+FE$3)*20+卡牌属性!$DX168)</f>
        <v>154</v>
      </c>
      <c r="FF168" s="14">
        <f>INDEX(属性偏向!$U$4:$U$243,(卡牌属性!$DV168-1+FF$3)*20+卡牌属性!$DX168)</f>
        <v>175</v>
      </c>
      <c r="FG168" s="14">
        <f>INDEX(属性偏向!$U$4:$U$243,(卡牌属性!$DV168-1+FG$3)*20+卡牌属性!$DX168)</f>
        <v>210</v>
      </c>
      <c r="FH168" s="14">
        <f>INDEX(属性投放!$BQ$6:$BQ$85,(卡牌属性!$DW168-2)*20+卡牌属性!$DX168)</f>
        <v>75</v>
      </c>
      <c r="FI168" s="14">
        <f>INDEX(属性投放!$BQ$6:$BQ$85,(卡牌属性!$DW168-2)*20+卡牌属性!$DX168)</f>
        <v>75</v>
      </c>
      <c r="FJ168" s="14">
        <f>INDEX(属性投放!$BQ$6:$BQ$85,(卡牌属性!$DW168-2)*20+卡牌属性!$DX168)</f>
        <v>75</v>
      </c>
      <c r="FK168" s="14">
        <f>INDEX(属性投放!$BQ$6:$BQ$85,(卡牌属性!$DW168-2)*20+卡牌属性!$DX168)</f>
        <v>75</v>
      </c>
      <c r="FL168" s="14">
        <f>INDEX(属性投放!$BQ$6:$BQ$85,(卡牌属性!$DW168-2)*20+卡牌属性!$DX168)</f>
        <v>75</v>
      </c>
      <c r="FM168" s="14">
        <f>INDEX(属性投放!$BR$6:$BR$85,(卡牌属性!$DW168-2)*20+卡牌属性!$DX168)</f>
        <v>38</v>
      </c>
      <c r="FN168" s="14">
        <f>INDEX(属性投放!$BR$6:$BR$85,(卡牌属性!$DW168-2)*20+卡牌属性!$DX168)</f>
        <v>38</v>
      </c>
      <c r="FO168" s="14">
        <f>INDEX(属性投放!$BR$6:$BR$85,(卡牌属性!$DW168-2)*20+卡牌属性!$DX168)</f>
        <v>38</v>
      </c>
      <c r="FP168" s="14">
        <f>INDEX(属性投放!$BR$6:$BR$85,(卡牌属性!$DW168-2)*20+卡牌属性!$DX168)</f>
        <v>38</v>
      </c>
      <c r="FQ168" s="14">
        <f>INDEX(属性投放!$BR$6:$BR$85,(卡牌属性!$DW168-2)*20+卡牌属性!$DX168)</f>
        <v>38</v>
      </c>
      <c r="FR168" s="14">
        <f>INDEX(属性投放!$BS$6:$BS$85,(卡牌属性!$DW168-2)*20+卡牌属性!$DX168)</f>
        <v>525</v>
      </c>
      <c r="FS168" s="14">
        <f>INDEX(属性投放!$BS$6:$BS$85,(卡牌属性!$DW168-2)*20+卡牌属性!$DX168)</f>
        <v>525</v>
      </c>
      <c r="FT168" s="14">
        <f>INDEX(属性投放!$BS$6:$BS$85,(卡牌属性!$DW168-2)*20+卡牌属性!$DX168)</f>
        <v>525</v>
      </c>
      <c r="FU168" s="14">
        <f>INDEX(属性投放!$BS$6:$BS$85,(卡牌属性!$DW168-2)*20+卡牌属性!$DX168)</f>
        <v>525</v>
      </c>
      <c r="FV168" s="14">
        <f>INDEX(属性投放!$BS$6:$BS$85,(卡牌属性!$DW168-2)*20+卡牌属性!$DX168)</f>
        <v>525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1"/>
        <v>9</v>
      </c>
      <c r="AG169" s="13">
        <f t="shared" si="316"/>
        <v>3</v>
      </c>
      <c r="AH169" s="13"/>
      <c r="AI169" s="13"/>
      <c r="AJ169" s="14">
        <f t="shared" si="317"/>
        <v>1101009</v>
      </c>
      <c r="AK169" s="14" t="str">
        <f t="shared" si="318"/>
        <v>北落师门5突</v>
      </c>
      <c r="AL169" s="25" t="s">
        <v>142</v>
      </c>
      <c r="AM169" s="14">
        <v>1</v>
      </c>
      <c r="AN169" s="14">
        <f t="shared" si="319"/>
        <v>5</v>
      </c>
      <c r="AO169" s="14">
        <f>INDEX(属性投放!$DF$6:$DF$85,(卡牌属性!AG169-2)*20+卡牌属性!AN169)</f>
        <v>569</v>
      </c>
      <c r="AP169" s="14">
        <f t="shared" si="419"/>
        <v>569</v>
      </c>
      <c r="AQ169" s="14">
        <f t="shared" si="419"/>
        <v>569</v>
      </c>
      <c r="AR169" s="14">
        <f t="shared" si="419"/>
        <v>569</v>
      </c>
      <c r="AS169" s="14">
        <f t="shared" si="419"/>
        <v>569</v>
      </c>
      <c r="AT169" s="14">
        <f>INDEX(属性投放!$DG$6:$DG$85,(卡牌属性!AG169-2)*20+卡牌属性!AN169)</f>
        <v>205</v>
      </c>
      <c r="AU169" s="14">
        <f t="shared" si="420"/>
        <v>205</v>
      </c>
      <c r="AV169" s="14">
        <f t="shared" si="420"/>
        <v>205</v>
      </c>
      <c r="AW169" s="14">
        <f t="shared" si="420"/>
        <v>205</v>
      </c>
      <c r="AX169" s="14">
        <f t="shared" si="420"/>
        <v>205</v>
      </c>
      <c r="AY169" s="14">
        <f>INDEX(属性投放!$DH$6:$DH$85,(卡牌属性!AG169-2)*20+卡牌属性!AN169)</f>
        <v>2973</v>
      </c>
      <c r="AZ169" s="14">
        <f t="shared" si="421"/>
        <v>2973</v>
      </c>
      <c r="BA169" s="14">
        <f t="shared" si="421"/>
        <v>2973</v>
      </c>
      <c r="BB169" s="14">
        <f t="shared" si="421"/>
        <v>2973</v>
      </c>
      <c r="BC169" s="14">
        <f t="shared" si="421"/>
        <v>2973</v>
      </c>
      <c r="BD169" s="14">
        <f>INDEX(属性投放!$DL$6:$DL$85,(卡牌属性!AG169-2)*20+卡牌属性!AN169)</f>
        <v>30</v>
      </c>
      <c r="BE169" s="14">
        <f t="shared" si="422"/>
        <v>30</v>
      </c>
      <c r="BF169" s="14">
        <f t="shared" si="422"/>
        <v>30</v>
      </c>
      <c r="BG169" s="14">
        <f t="shared" si="422"/>
        <v>30</v>
      </c>
      <c r="BH169" s="14">
        <f t="shared" si="422"/>
        <v>30</v>
      </c>
      <c r="BI169" s="14">
        <f>INDEX(属性投放!$DM$6:$DM$85,(卡牌属性!AG169-2)*20+卡牌属性!AN169)</f>
        <v>15</v>
      </c>
      <c r="BJ169" s="14">
        <f t="shared" si="423"/>
        <v>15</v>
      </c>
      <c r="BK169" s="14">
        <f t="shared" si="423"/>
        <v>15</v>
      </c>
      <c r="BL169" s="14">
        <f t="shared" si="423"/>
        <v>15</v>
      </c>
      <c r="BM169" s="14">
        <f t="shared" si="423"/>
        <v>15</v>
      </c>
      <c r="BN169" s="14">
        <f>INDEX(属性投放!$DN$6:$DN$85,(卡牌属性!AG169-2)*20+卡牌属性!AN169)</f>
        <v>208</v>
      </c>
      <c r="BO169" s="14">
        <f t="shared" si="424"/>
        <v>208</v>
      </c>
      <c r="BP169" s="14">
        <f t="shared" si="424"/>
        <v>208</v>
      </c>
      <c r="BQ169" s="14">
        <f t="shared" si="424"/>
        <v>208</v>
      </c>
      <c r="BR169" s="14">
        <f t="shared" si="424"/>
        <v>208</v>
      </c>
      <c r="BW169" s="13">
        <v>165</v>
      </c>
      <c r="BX169" s="13">
        <f t="shared" si="320"/>
        <v>9</v>
      </c>
      <c r="BY169" s="14">
        <f t="shared" si="321"/>
        <v>3</v>
      </c>
      <c r="BZ169" s="14">
        <f t="shared" si="332"/>
        <v>1102009</v>
      </c>
      <c r="CA169" s="14" t="str">
        <f t="shared" si="333"/>
        <v>徐晃5突</v>
      </c>
      <c r="CB169" s="25" t="s">
        <v>142</v>
      </c>
      <c r="CC169" s="14">
        <v>2</v>
      </c>
      <c r="CD169" s="14">
        <f t="shared" si="322"/>
        <v>5</v>
      </c>
      <c r="CE169" s="14" t="s">
        <v>21</v>
      </c>
      <c r="CF169" s="14">
        <f>INDEX(属性投放!$AZ$6:$AZ$85,(BY169-2)*20+CD169)</f>
        <v>927</v>
      </c>
      <c r="CG169" s="14" t="s">
        <v>22</v>
      </c>
      <c r="CH169" s="14">
        <f>INDEX(属性投放!$BA$6:$BA$85,(BY169-2)*20+CD169)</f>
        <v>400</v>
      </c>
      <c r="CI169" s="14" t="s">
        <v>510</v>
      </c>
      <c r="CJ169" s="14">
        <f>INDEX(属性投放!$BB$6:$BB$85,(BY169-2)*20+CD169)</f>
        <v>5437</v>
      </c>
      <c r="CK169" s="14" t="s">
        <v>21</v>
      </c>
      <c r="CL169" s="14">
        <f>INDEX(属性投放!$BC$6:$BC$85,(BY169-2)*20+CD169)</f>
        <v>12</v>
      </c>
      <c r="CM169" s="14" t="s">
        <v>22</v>
      </c>
      <c r="CN169" s="14">
        <f>INDEX(属性投放!$BD$6:$BD$85,(BY169-2)*20+CD169)</f>
        <v>6</v>
      </c>
      <c r="CO169" s="14" t="s">
        <v>510</v>
      </c>
      <c r="CP169" s="14">
        <f>INDEX(属性投放!$BE$6:$BE$85,(BY169-2)*20+CD169)</f>
        <v>84</v>
      </c>
      <c r="CS169" s="13">
        <v>165</v>
      </c>
      <c r="CT169" s="13">
        <f t="shared" si="334"/>
        <v>4</v>
      </c>
      <c r="CU169" s="13">
        <f t="shared" si="335"/>
        <v>9</v>
      </c>
      <c r="CV169" s="14">
        <f t="shared" si="336"/>
        <v>2</v>
      </c>
      <c r="CW169" s="14">
        <f t="shared" si="337"/>
        <v>1102004</v>
      </c>
      <c r="CX169" s="14" t="str">
        <f>INDEX($O$6:$O$50,CT169)&amp;"-"&amp;INDEX(属性投放!$AB$7:$AB$50,CZ169)&amp;"-魂火-"&amp;DB169</f>
        <v>唐流雨-众合+1-魂火-2</v>
      </c>
      <c r="CY169" s="25" t="s">
        <v>142</v>
      </c>
      <c r="CZ169" s="14">
        <f>INDEX(属性投放!$AM$7:$AM$58,CU169)</f>
        <v>5</v>
      </c>
      <c r="DA169" s="14" t="s">
        <v>537</v>
      </c>
      <c r="DB169" s="14">
        <f>INDEX(属性投放!$AN$7:$AN$58,CU169)</f>
        <v>2</v>
      </c>
      <c r="DC169" s="14">
        <f t="shared" si="323"/>
        <v>9</v>
      </c>
      <c r="DD169" s="14">
        <f>INDEX(属性投放!$AO$7:$AO$58,DC169)</f>
        <v>40</v>
      </c>
      <c r="DE169" s="14" t="s">
        <v>538</v>
      </c>
      <c r="DF169" s="14">
        <f>INDEX(属性投放!$BK$6:$BK$85,(CV169-2)*20+CZ169)</f>
        <v>35</v>
      </c>
      <c r="DG169" s="14">
        <f>SUMIFS(DF$5:DF169,$CT$5:$CT169,"="&amp;$CT169)</f>
        <v>235</v>
      </c>
      <c r="DH169" s="14" t="s">
        <v>539</v>
      </c>
      <c r="DI169" s="14">
        <f>INDEX(属性投放!$BL$6:$BL$85,(CV169-2)*20+CZ169)</f>
        <v>18</v>
      </c>
      <c r="DJ169" s="14">
        <f>SUMIFS(DI$5:DI169,$CT$5:$CT169,"="&amp;$CT169)</f>
        <v>120</v>
      </c>
      <c r="DK169" s="14" t="s">
        <v>540</v>
      </c>
      <c r="DL169" s="14">
        <f>INDEX(属性投放!$BM$6:$BM$85,(CV169-2)*20+CZ169)</f>
        <v>245</v>
      </c>
      <c r="DM169" s="14">
        <f>SUMIFS(DL$5:DL169,$CT$5:$CT169,"="&amp;$CT169)</f>
        <v>1540</v>
      </c>
      <c r="DR169" s="14">
        <f t="shared" si="324"/>
        <v>1102009</v>
      </c>
      <c r="DS169" s="14" t="str">
        <f t="shared" si="325"/>
        <v>徐晃5突</v>
      </c>
      <c r="DT169" s="14">
        <f t="shared" si="338"/>
        <v>4</v>
      </c>
      <c r="DU169" s="14">
        <f t="shared" si="339"/>
        <v>5</v>
      </c>
      <c r="DV169" s="14">
        <f t="shared" si="340"/>
        <v>7</v>
      </c>
      <c r="DW169" s="14">
        <f t="shared" si="326"/>
        <v>3</v>
      </c>
      <c r="DX169" s="14">
        <f t="shared" si="327"/>
        <v>5</v>
      </c>
      <c r="DY169" s="14">
        <f t="shared" si="328"/>
        <v>25</v>
      </c>
      <c r="DZ169" s="14">
        <f>INDEX(属性投放!$AX$6:$AX$85,(卡牌属性!DW169-2)*20+卡牌属性!DX169)</f>
        <v>7</v>
      </c>
      <c r="EA169" s="14">
        <f>INDEX(属性投放!BQ$6:BQ$85,卡牌属性!$DY169)</f>
        <v>100</v>
      </c>
      <c r="EB169" s="14">
        <f>INDEX(属性投放!BR$6:BR$85,卡牌属性!$DY169)</f>
        <v>50</v>
      </c>
      <c r="EC169" s="14">
        <f>INDEX(属性投放!BS$6:BS$85,卡牌属性!$DY169)</f>
        <v>700</v>
      </c>
      <c r="ED169" s="14">
        <f t="shared" si="425"/>
        <v>624</v>
      </c>
      <c r="EE169" s="14">
        <f t="shared" si="426"/>
        <v>717</v>
      </c>
      <c r="EF169" s="14">
        <f t="shared" si="427"/>
        <v>800</v>
      </c>
      <c r="EG169" s="14">
        <f t="shared" si="428"/>
        <v>800</v>
      </c>
      <c r="EH169" s="14">
        <f t="shared" si="429"/>
        <v>963</v>
      </c>
      <c r="EI169" s="14">
        <f t="shared" si="430"/>
        <v>314</v>
      </c>
      <c r="EJ169" s="14">
        <f t="shared" si="431"/>
        <v>358</v>
      </c>
      <c r="EK169" s="14">
        <f t="shared" si="432"/>
        <v>358</v>
      </c>
      <c r="EL169" s="14">
        <f t="shared" si="433"/>
        <v>442</v>
      </c>
      <c r="EM169" s="14">
        <f t="shared" si="434"/>
        <v>501</v>
      </c>
      <c r="EN169" s="14">
        <f t="shared" si="435"/>
        <v>5653</v>
      </c>
      <c r="EO169" s="14">
        <f t="shared" si="436"/>
        <v>6257</v>
      </c>
      <c r="EP169" s="14">
        <f t="shared" si="437"/>
        <v>6257</v>
      </c>
      <c r="EQ169" s="14">
        <f t="shared" si="438"/>
        <v>7075</v>
      </c>
      <c r="ER169" s="14">
        <f t="shared" si="439"/>
        <v>8445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140</v>
      </c>
      <c r="FD169" s="14">
        <f>INDEX(属性偏向!$U$4:$U$243,(卡牌属性!$DV169-1+FD$3)*20+卡牌属性!$DX169)</f>
        <v>154</v>
      </c>
      <c r="FE169" s="14">
        <f>INDEX(属性偏向!$U$4:$U$243,(卡牌属性!$DV169-1+FE$3)*20+卡牌属性!$DX169)</f>
        <v>154</v>
      </c>
      <c r="FF169" s="14">
        <f>INDEX(属性偏向!$U$4:$U$243,(卡牌属性!$DV169-1+FF$3)*20+卡牌属性!$DX169)</f>
        <v>175</v>
      </c>
      <c r="FG169" s="14">
        <f>INDEX(属性偏向!$U$4:$U$243,(卡牌属性!$DV169-1+FG$3)*20+卡牌属性!$DX169)</f>
        <v>210</v>
      </c>
      <c r="FH169" s="14">
        <f>INDEX(属性投放!$BQ$6:$BQ$85,(卡牌属性!$DW169-2)*20+卡牌属性!$DX169)</f>
        <v>100</v>
      </c>
      <c r="FI169" s="14">
        <f>INDEX(属性投放!$BQ$6:$BQ$85,(卡牌属性!$DW169-2)*20+卡牌属性!$DX169)</f>
        <v>100</v>
      </c>
      <c r="FJ169" s="14">
        <f>INDEX(属性投放!$BQ$6:$BQ$85,(卡牌属性!$DW169-2)*20+卡牌属性!$DX169)</f>
        <v>100</v>
      </c>
      <c r="FK169" s="14">
        <f>INDEX(属性投放!$BQ$6:$BQ$85,(卡牌属性!$DW169-2)*20+卡牌属性!$DX169)</f>
        <v>100</v>
      </c>
      <c r="FL169" s="14">
        <f>INDEX(属性投放!$BQ$6:$BQ$85,(卡牌属性!$DW169-2)*20+卡牌属性!$DX169)</f>
        <v>100</v>
      </c>
      <c r="FM169" s="14">
        <f>INDEX(属性投放!$BR$6:$BR$85,(卡牌属性!$DW169-2)*20+卡牌属性!$DX169)</f>
        <v>50</v>
      </c>
      <c r="FN169" s="14">
        <f>INDEX(属性投放!$BR$6:$BR$85,(卡牌属性!$DW169-2)*20+卡牌属性!$DX169)</f>
        <v>50</v>
      </c>
      <c r="FO169" s="14">
        <f>INDEX(属性投放!$BR$6:$BR$85,(卡牌属性!$DW169-2)*20+卡牌属性!$DX169)</f>
        <v>50</v>
      </c>
      <c r="FP169" s="14">
        <f>INDEX(属性投放!$BR$6:$BR$85,(卡牌属性!$DW169-2)*20+卡牌属性!$DX169)</f>
        <v>50</v>
      </c>
      <c r="FQ169" s="14">
        <f>INDEX(属性投放!$BR$6:$BR$85,(卡牌属性!$DW169-2)*20+卡牌属性!$DX169)</f>
        <v>50</v>
      </c>
      <c r="FR169" s="14">
        <f>INDEX(属性投放!$BS$6:$BS$85,(卡牌属性!$DW169-2)*20+卡牌属性!$DX169)</f>
        <v>700</v>
      </c>
      <c r="FS169" s="14">
        <f>INDEX(属性投放!$BS$6:$BS$85,(卡牌属性!$DW169-2)*20+卡牌属性!$DX169)</f>
        <v>700</v>
      </c>
      <c r="FT169" s="14">
        <f>INDEX(属性投放!$BS$6:$BS$85,(卡牌属性!$DW169-2)*20+卡牌属性!$DX169)</f>
        <v>700</v>
      </c>
      <c r="FU169" s="14">
        <f>INDEX(属性投放!$BS$6:$BS$85,(卡牌属性!$DW169-2)*20+卡牌属性!$DX169)</f>
        <v>700</v>
      </c>
      <c r="FV169" s="14">
        <f>INDEX(属性投放!$BS$6:$BS$85,(卡牌属性!$DW169-2)*20+卡牌属性!$DX169)</f>
        <v>700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1"/>
        <v>9</v>
      </c>
      <c r="AG170" s="13">
        <f t="shared" si="316"/>
        <v>3</v>
      </c>
      <c r="AH170" s="13"/>
      <c r="AI170" s="13"/>
      <c r="AJ170" s="14">
        <f t="shared" si="317"/>
        <v>1101009</v>
      </c>
      <c r="AK170" s="14" t="str">
        <f t="shared" si="318"/>
        <v>北落师门6突</v>
      </c>
      <c r="AL170" s="25" t="s">
        <v>142</v>
      </c>
      <c r="AM170" s="14">
        <v>1</v>
      </c>
      <c r="AN170" s="14">
        <f t="shared" si="319"/>
        <v>6</v>
      </c>
      <c r="AO170" s="14">
        <f>INDEX(属性投放!$DF$6:$DF$85,(卡牌属性!AG170-2)*20+卡牌属性!AN170)</f>
        <v>654</v>
      </c>
      <c r="AP170" s="14">
        <f t="shared" si="419"/>
        <v>654</v>
      </c>
      <c r="AQ170" s="14">
        <f t="shared" si="419"/>
        <v>654</v>
      </c>
      <c r="AR170" s="14">
        <f t="shared" si="419"/>
        <v>654</v>
      </c>
      <c r="AS170" s="14">
        <f t="shared" si="419"/>
        <v>654</v>
      </c>
      <c r="AT170" s="14">
        <f>INDEX(属性投放!$DG$6:$DG$85,(卡牌属性!AG170-2)*20+卡牌属性!AN170)</f>
        <v>248</v>
      </c>
      <c r="AU170" s="14">
        <f t="shared" si="420"/>
        <v>248</v>
      </c>
      <c r="AV170" s="14">
        <f t="shared" si="420"/>
        <v>248</v>
      </c>
      <c r="AW170" s="14">
        <f t="shared" si="420"/>
        <v>248</v>
      </c>
      <c r="AX170" s="14">
        <f t="shared" si="420"/>
        <v>248</v>
      </c>
      <c r="AY170" s="14">
        <f>INDEX(属性投放!$DH$6:$DH$85,(卡牌属性!AG170-2)*20+卡牌属性!AN170)</f>
        <v>3567</v>
      </c>
      <c r="AZ170" s="14">
        <f t="shared" si="421"/>
        <v>3567</v>
      </c>
      <c r="BA170" s="14">
        <f t="shared" si="421"/>
        <v>3567</v>
      </c>
      <c r="BB170" s="14">
        <f t="shared" si="421"/>
        <v>3567</v>
      </c>
      <c r="BC170" s="14">
        <f t="shared" si="421"/>
        <v>3567</v>
      </c>
      <c r="BD170" s="14">
        <f>INDEX(属性投放!$DL$6:$DL$85,(卡牌属性!AG170-2)*20+卡牌属性!AN170)</f>
        <v>30</v>
      </c>
      <c r="BE170" s="14">
        <f t="shared" si="422"/>
        <v>30</v>
      </c>
      <c r="BF170" s="14">
        <f t="shared" si="422"/>
        <v>30</v>
      </c>
      <c r="BG170" s="14">
        <f t="shared" si="422"/>
        <v>30</v>
      </c>
      <c r="BH170" s="14">
        <f t="shared" si="422"/>
        <v>30</v>
      </c>
      <c r="BI170" s="14">
        <f>INDEX(属性投放!$DM$6:$DM$85,(卡牌属性!AG170-2)*20+卡牌属性!AN170)</f>
        <v>15</v>
      </c>
      <c r="BJ170" s="14">
        <f t="shared" si="423"/>
        <v>15</v>
      </c>
      <c r="BK170" s="14">
        <f t="shared" si="423"/>
        <v>15</v>
      </c>
      <c r="BL170" s="14">
        <f t="shared" si="423"/>
        <v>15</v>
      </c>
      <c r="BM170" s="14">
        <f t="shared" si="423"/>
        <v>15</v>
      </c>
      <c r="BN170" s="14">
        <f>INDEX(属性投放!$DN$6:$DN$85,(卡牌属性!AG170-2)*20+卡牌属性!AN170)</f>
        <v>208</v>
      </c>
      <c r="BO170" s="14">
        <f t="shared" si="424"/>
        <v>208</v>
      </c>
      <c r="BP170" s="14">
        <f t="shared" si="424"/>
        <v>208</v>
      </c>
      <c r="BQ170" s="14">
        <f t="shared" si="424"/>
        <v>208</v>
      </c>
      <c r="BR170" s="14">
        <f t="shared" si="424"/>
        <v>208</v>
      </c>
      <c r="BW170" s="13">
        <v>166</v>
      </c>
      <c r="BX170" s="13">
        <f t="shared" si="320"/>
        <v>9</v>
      </c>
      <c r="BY170" s="14">
        <f t="shared" si="321"/>
        <v>3</v>
      </c>
      <c r="BZ170" s="14">
        <f t="shared" si="332"/>
        <v>1102009</v>
      </c>
      <c r="CA170" s="14" t="str">
        <f t="shared" si="333"/>
        <v>徐晃6突</v>
      </c>
      <c r="CB170" s="25" t="s">
        <v>142</v>
      </c>
      <c r="CC170" s="14">
        <v>2</v>
      </c>
      <c r="CD170" s="14">
        <f t="shared" si="322"/>
        <v>6</v>
      </c>
      <c r="CE170" s="14" t="s">
        <v>21</v>
      </c>
      <c r="CF170" s="14">
        <f>INDEX(属性投放!$AZ$6:$AZ$85,(BY170-2)*20+CD170)</f>
        <v>1201</v>
      </c>
      <c r="CG170" s="14" t="s">
        <v>22</v>
      </c>
      <c r="CH170" s="14">
        <f>INDEX(属性投放!$BA$6:$BA$85,(BY170-2)*20+CD170)</f>
        <v>538</v>
      </c>
      <c r="CI170" s="14" t="s">
        <v>510</v>
      </c>
      <c r="CJ170" s="14">
        <f>INDEX(属性投放!$BB$6:$BB$85,(BY170-2)*20+CD170)</f>
        <v>7355</v>
      </c>
      <c r="CK170" s="14" t="s">
        <v>21</v>
      </c>
      <c r="CL170" s="14">
        <f>INDEX(属性投放!$BC$6:$BC$85,(BY170-2)*20+CD170)</f>
        <v>12</v>
      </c>
      <c r="CM170" s="14" t="s">
        <v>22</v>
      </c>
      <c r="CN170" s="14">
        <f>INDEX(属性投放!$BD$6:$BD$85,(BY170-2)*20+CD170)</f>
        <v>6</v>
      </c>
      <c r="CO170" s="14" t="s">
        <v>510</v>
      </c>
      <c r="CP170" s="14">
        <f>INDEX(属性投放!$BE$6:$BE$85,(BY170-2)*20+CD170)</f>
        <v>84</v>
      </c>
      <c r="CS170" s="13">
        <v>166</v>
      </c>
      <c r="CT170" s="13">
        <f t="shared" si="334"/>
        <v>4</v>
      </c>
      <c r="CU170" s="13">
        <f t="shared" si="335"/>
        <v>10</v>
      </c>
      <c r="CV170" s="14">
        <f t="shared" si="336"/>
        <v>2</v>
      </c>
      <c r="CW170" s="14">
        <f t="shared" si="337"/>
        <v>1102004</v>
      </c>
      <c r="CX170" s="14" t="str">
        <f>INDEX($O$6:$O$50,CT170)&amp;"-"&amp;INDEX(属性投放!$AB$7:$AB$50,CZ170)&amp;"-魂火-"&amp;DB170</f>
        <v>唐流雨-众合+2-魂火-1</v>
      </c>
      <c r="CY170" s="25" t="s">
        <v>142</v>
      </c>
      <c r="CZ170" s="14">
        <f>INDEX(属性投放!$AM$7:$AM$58,CU170)</f>
        <v>6</v>
      </c>
      <c r="DA170" s="14" t="s">
        <v>537</v>
      </c>
      <c r="DB170" s="14">
        <f>INDEX(属性投放!$AN$7:$AN$58,CU170)</f>
        <v>1</v>
      </c>
      <c r="DC170" s="14">
        <f t="shared" si="323"/>
        <v>10</v>
      </c>
      <c r="DD170" s="14">
        <f>INDEX(属性投放!$AO$7:$AO$58,DC170)</f>
        <v>43</v>
      </c>
      <c r="DE170" s="14" t="s">
        <v>538</v>
      </c>
      <c r="DF170" s="14">
        <f>INDEX(属性投放!$BK$6:$BK$85,(CV170-2)*20+CZ170)</f>
        <v>40</v>
      </c>
      <c r="DG170" s="14">
        <f>SUMIFS(DF$5:DF170,$CT$5:$CT170,"="&amp;$CT170)</f>
        <v>275</v>
      </c>
      <c r="DH170" s="14" t="s">
        <v>539</v>
      </c>
      <c r="DI170" s="14">
        <f>INDEX(属性投放!$BL$6:$BL$85,(CV170-2)*20+CZ170)</f>
        <v>20</v>
      </c>
      <c r="DJ170" s="14">
        <f>SUMIFS(DI$5:DI170,$CT$5:$CT170,"="&amp;$CT170)</f>
        <v>140</v>
      </c>
      <c r="DK170" s="14" t="s">
        <v>540</v>
      </c>
      <c r="DL170" s="14">
        <f>INDEX(属性投放!$BM$6:$BM$85,(CV170-2)*20+CZ170)</f>
        <v>280</v>
      </c>
      <c r="DM170" s="14">
        <f>SUMIFS(DL$5:DL170,$CT$5:$CT170,"="&amp;$CT170)</f>
        <v>1820</v>
      </c>
      <c r="DR170" s="14">
        <f t="shared" si="324"/>
        <v>1102009</v>
      </c>
      <c r="DS170" s="14" t="str">
        <f t="shared" si="325"/>
        <v>徐晃6突</v>
      </c>
      <c r="DT170" s="14">
        <f t="shared" si="338"/>
        <v>4</v>
      </c>
      <c r="DU170" s="14">
        <f t="shared" si="339"/>
        <v>5</v>
      </c>
      <c r="DV170" s="14">
        <f t="shared" si="340"/>
        <v>7</v>
      </c>
      <c r="DW170" s="14">
        <f t="shared" si="326"/>
        <v>3</v>
      </c>
      <c r="DX170" s="14">
        <f t="shared" si="327"/>
        <v>6</v>
      </c>
      <c r="DY170" s="14">
        <f t="shared" si="328"/>
        <v>26</v>
      </c>
      <c r="DZ170" s="14">
        <f>INDEX(属性投放!$AX$6:$AX$85,(卡牌属性!DW170-2)*20+卡牌属性!DX170)</f>
        <v>5</v>
      </c>
      <c r="EA170" s="14">
        <f>INDEX(属性投放!BQ$6:BQ$85,卡牌属性!$DY170)</f>
        <v>140</v>
      </c>
      <c r="EB170" s="14">
        <f>INDEX(属性投放!BR$6:BR$85,卡牌属性!$DY170)</f>
        <v>70</v>
      </c>
      <c r="EC170" s="14">
        <f>INDEX(属性投放!BS$6:BS$85,卡牌属性!$DY170)</f>
        <v>980</v>
      </c>
      <c r="ED170" s="14">
        <f t="shared" si="425"/>
        <v>794</v>
      </c>
      <c r="EE170" s="14">
        <f t="shared" si="426"/>
        <v>901</v>
      </c>
      <c r="EF170" s="14">
        <f t="shared" si="427"/>
        <v>991</v>
      </c>
      <c r="EG170" s="14">
        <f t="shared" si="428"/>
        <v>991</v>
      </c>
      <c r="EH170" s="14">
        <f t="shared" si="429"/>
        <v>1203</v>
      </c>
      <c r="EI170" s="14">
        <f t="shared" si="430"/>
        <v>406</v>
      </c>
      <c r="EJ170" s="14">
        <f t="shared" si="431"/>
        <v>457</v>
      </c>
      <c r="EK170" s="14">
        <f t="shared" si="432"/>
        <v>457</v>
      </c>
      <c r="EL170" s="14">
        <f t="shared" si="433"/>
        <v>562</v>
      </c>
      <c r="EM170" s="14">
        <f t="shared" si="434"/>
        <v>628</v>
      </c>
      <c r="EN170" s="14">
        <f t="shared" si="435"/>
        <v>7333</v>
      </c>
      <c r="EO170" s="14">
        <f t="shared" si="436"/>
        <v>8035</v>
      </c>
      <c r="EP170" s="14">
        <f t="shared" si="437"/>
        <v>8035</v>
      </c>
      <c r="EQ170" s="14">
        <f t="shared" si="438"/>
        <v>9000</v>
      </c>
      <c r="ER170" s="14">
        <f t="shared" si="439"/>
        <v>10615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140</v>
      </c>
      <c r="FD170" s="14">
        <f>INDEX(属性偏向!$U$4:$U$243,(卡牌属性!$DV170-1+FD$3)*20+卡牌属性!$DX170)</f>
        <v>154</v>
      </c>
      <c r="FE170" s="14">
        <f>INDEX(属性偏向!$U$4:$U$243,(卡牌属性!$DV170-1+FE$3)*20+卡牌属性!$DX170)</f>
        <v>154</v>
      </c>
      <c r="FF170" s="14">
        <f>INDEX(属性偏向!$U$4:$U$243,(卡牌属性!$DV170-1+FF$3)*20+卡牌属性!$DX170)</f>
        <v>175</v>
      </c>
      <c r="FG170" s="14">
        <f>INDEX(属性偏向!$U$4:$U$243,(卡牌属性!$DV170-1+FG$3)*20+卡牌属性!$DX170)</f>
        <v>210</v>
      </c>
      <c r="FH170" s="14">
        <f>INDEX(属性投放!$BQ$6:$BQ$85,(卡牌属性!$DW170-2)*20+卡牌属性!$DX170)</f>
        <v>140</v>
      </c>
      <c r="FI170" s="14">
        <f>INDEX(属性投放!$BQ$6:$BQ$85,(卡牌属性!$DW170-2)*20+卡牌属性!$DX170)</f>
        <v>140</v>
      </c>
      <c r="FJ170" s="14">
        <f>INDEX(属性投放!$BQ$6:$BQ$85,(卡牌属性!$DW170-2)*20+卡牌属性!$DX170)</f>
        <v>140</v>
      </c>
      <c r="FK170" s="14">
        <f>INDEX(属性投放!$BQ$6:$BQ$85,(卡牌属性!$DW170-2)*20+卡牌属性!$DX170)</f>
        <v>140</v>
      </c>
      <c r="FL170" s="14">
        <f>INDEX(属性投放!$BQ$6:$BQ$85,(卡牌属性!$DW170-2)*20+卡牌属性!$DX170)</f>
        <v>140</v>
      </c>
      <c r="FM170" s="14">
        <f>INDEX(属性投放!$BR$6:$BR$85,(卡牌属性!$DW170-2)*20+卡牌属性!$DX170)</f>
        <v>70</v>
      </c>
      <c r="FN170" s="14">
        <f>INDEX(属性投放!$BR$6:$BR$85,(卡牌属性!$DW170-2)*20+卡牌属性!$DX170)</f>
        <v>70</v>
      </c>
      <c r="FO170" s="14">
        <f>INDEX(属性投放!$BR$6:$BR$85,(卡牌属性!$DW170-2)*20+卡牌属性!$DX170)</f>
        <v>70</v>
      </c>
      <c r="FP170" s="14">
        <f>INDEX(属性投放!$BR$6:$BR$85,(卡牌属性!$DW170-2)*20+卡牌属性!$DX170)</f>
        <v>70</v>
      </c>
      <c r="FQ170" s="14">
        <f>INDEX(属性投放!$BR$6:$BR$85,(卡牌属性!$DW170-2)*20+卡牌属性!$DX170)</f>
        <v>70</v>
      </c>
      <c r="FR170" s="14">
        <f>INDEX(属性投放!$BS$6:$BS$85,(卡牌属性!$DW170-2)*20+卡牌属性!$DX170)</f>
        <v>980</v>
      </c>
      <c r="FS170" s="14">
        <f>INDEX(属性投放!$BS$6:$BS$85,(卡牌属性!$DW170-2)*20+卡牌属性!$DX170)</f>
        <v>980</v>
      </c>
      <c r="FT170" s="14">
        <f>INDEX(属性投放!$BS$6:$BS$85,(卡牌属性!$DW170-2)*20+卡牌属性!$DX170)</f>
        <v>980</v>
      </c>
      <c r="FU170" s="14">
        <f>INDEX(属性投放!$BS$6:$BS$85,(卡牌属性!$DW170-2)*20+卡牌属性!$DX170)</f>
        <v>980</v>
      </c>
      <c r="FV170" s="14">
        <f>INDEX(属性投放!$BS$6:$BS$85,(卡牌属性!$DW170-2)*20+卡牌属性!$DX170)</f>
        <v>980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1"/>
        <v>9</v>
      </c>
      <c r="AG171" s="13">
        <f t="shared" si="316"/>
        <v>3</v>
      </c>
      <c r="AH171" s="13"/>
      <c r="AI171" s="13"/>
      <c r="AJ171" s="14">
        <f t="shared" si="317"/>
        <v>1101009</v>
      </c>
      <c r="AK171" s="14" t="str">
        <f t="shared" si="318"/>
        <v>北落师门7突</v>
      </c>
      <c r="AL171" s="25" t="s">
        <v>142</v>
      </c>
      <c r="AM171" s="14">
        <v>1</v>
      </c>
      <c r="AN171" s="14">
        <f t="shared" si="319"/>
        <v>7</v>
      </c>
      <c r="AO171" s="14">
        <f>INDEX(属性投放!$DF$6:$DF$85,(卡牌属性!AG171-2)*20+卡牌属性!AN171)</f>
        <v>1489</v>
      </c>
      <c r="AP171" s="14">
        <f t="shared" si="419"/>
        <v>1489</v>
      </c>
      <c r="AQ171" s="14">
        <f t="shared" si="419"/>
        <v>1489</v>
      </c>
      <c r="AR171" s="14">
        <f t="shared" si="419"/>
        <v>1489</v>
      </c>
      <c r="AS171" s="14">
        <f t="shared" si="419"/>
        <v>1489</v>
      </c>
      <c r="AT171" s="14">
        <f>INDEX(属性投放!$DG$6:$DG$85,(卡牌属性!AG171-2)*20+卡牌属性!AN171)</f>
        <v>666</v>
      </c>
      <c r="AU171" s="14">
        <f t="shared" si="420"/>
        <v>666</v>
      </c>
      <c r="AV171" s="14">
        <f t="shared" si="420"/>
        <v>666</v>
      </c>
      <c r="AW171" s="14">
        <f t="shared" si="420"/>
        <v>666</v>
      </c>
      <c r="AX171" s="14">
        <f t="shared" si="420"/>
        <v>666</v>
      </c>
      <c r="AY171" s="14">
        <f>INDEX(属性投放!$DH$6:$DH$85,(卡牌属性!AG171-2)*20+卡牌属性!AN171)</f>
        <v>9361</v>
      </c>
      <c r="AZ171" s="14">
        <f t="shared" si="421"/>
        <v>9361</v>
      </c>
      <c r="BA171" s="14">
        <f t="shared" si="421"/>
        <v>9361</v>
      </c>
      <c r="BB171" s="14">
        <f t="shared" si="421"/>
        <v>9361</v>
      </c>
      <c r="BC171" s="14">
        <f t="shared" si="421"/>
        <v>9361</v>
      </c>
      <c r="BD171" s="14">
        <f>INDEX(属性投放!$DL$6:$DL$85,(卡牌属性!AG171-2)*20+卡牌属性!AN171)</f>
        <v>46</v>
      </c>
      <c r="BE171" s="14">
        <f t="shared" si="422"/>
        <v>46</v>
      </c>
      <c r="BF171" s="14">
        <f t="shared" si="422"/>
        <v>46</v>
      </c>
      <c r="BG171" s="14">
        <f t="shared" si="422"/>
        <v>46</v>
      </c>
      <c r="BH171" s="14">
        <f t="shared" si="422"/>
        <v>46</v>
      </c>
      <c r="BI171" s="14">
        <f>INDEX(属性投放!$DM$6:$DM$85,(卡牌属性!AG171-2)*20+卡牌属性!AN171)</f>
        <v>24</v>
      </c>
      <c r="BJ171" s="14">
        <f t="shared" si="423"/>
        <v>24</v>
      </c>
      <c r="BK171" s="14">
        <f t="shared" si="423"/>
        <v>24</v>
      </c>
      <c r="BL171" s="14">
        <f t="shared" si="423"/>
        <v>24</v>
      </c>
      <c r="BM171" s="14">
        <f t="shared" si="423"/>
        <v>24</v>
      </c>
      <c r="BN171" s="14">
        <f>INDEX(属性投放!$DN$6:$DN$85,(卡牌属性!AG171-2)*20+卡牌属性!AN171)</f>
        <v>371</v>
      </c>
      <c r="BO171" s="14">
        <f t="shared" si="424"/>
        <v>371</v>
      </c>
      <c r="BP171" s="14">
        <f t="shared" si="424"/>
        <v>371</v>
      </c>
      <c r="BQ171" s="14">
        <f t="shared" si="424"/>
        <v>371</v>
      </c>
      <c r="BR171" s="14">
        <f t="shared" si="424"/>
        <v>371</v>
      </c>
      <c r="BW171" s="13">
        <v>167</v>
      </c>
      <c r="BX171" s="13">
        <f t="shared" si="320"/>
        <v>9</v>
      </c>
      <c r="BY171" s="14">
        <f t="shared" si="321"/>
        <v>3</v>
      </c>
      <c r="BZ171" s="14">
        <f t="shared" si="332"/>
        <v>1102009</v>
      </c>
      <c r="CA171" s="14" t="str">
        <f t="shared" si="333"/>
        <v>徐晃7突</v>
      </c>
      <c r="CB171" s="25" t="s">
        <v>142</v>
      </c>
      <c r="CC171" s="14">
        <v>2</v>
      </c>
      <c r="CD171" s="14">
        <f t="shared" si="322"/>
        <v>7</v>
      </c>
      <c r="CE171" s="14" t="s">
        <v>21</v>
      </c>
      <c r="CF171" s="14">
        <f>INDEX(属性投放!$AZ$6:$AZ$85,(BY171-2)*20+CD171)</f>
        <v>1501</v>
      </c>
      <c r="CG171" s="14" t="s">
        <v>22</v>
      </c>
      <c r="CH171" s="14">
        <f>INDEX(属性投放!$BA$6:$BA$85,(BY171-2)*20+CD171)</f>
        <v>688</v>
      </c>
      <c r="CI171" s="14" t="s">
        <v>510</v>
      </c>
      <c r="CJ171" s="14">
        <f>INDEX(属性投放!$BB$6:$BB$85,(BY171-2)*20+CD171)</f>
        <v>9455</v>
      </c>
      <c r="CK171" s="14" t="s">
        <v>21</v>
      </c>
      <c r="CL171" s="14">
        <f>INDEX(属性投放!$BC$6:$BC$85,(BY171-2)*20+CD171)</f>
        <v>15</v>
      </c>
      <c r="CM171" s="14" t="s">
        <v>22</v>
      </c>
      <c r="CN171" s="14">
        <f>INDEX(属性投放!$BD$6:$BD$85,(BY171-2)*20+CD171)</f>
        <v>8</v>
      </c>
      <c r="CO171" s="14" t="s">
        <v>510</v>
      </c>
      <c r="CP171" s="14">
        <f>INDEX(属性投放!$BE$6:$BE$85,(BY171-2)*20+CD171)</f>
        <v>120</v>
      </c>
      <c r="CS171" s="13">
        <v>167</v>
      </c>
      <c r="CT171" s="13">
        <f t="shared" si="334"/>
        <v>4</v>
      </c>
      <c r="CU171" s="13">
        <f t="shared" si="335"/>
        <v>11</v>
      </c>
      <c r="CV171" s="14">
        <f t="shared" si="336"/>
        <v>2</v>
      </c>
      <c r="CW171" s="14">
        <f t="shared" si="337"/>
        <v>1102004</v>
      </c>
      <c r="CX171" s="14" t="str">
        <f>INDEX($O$6:$O$50,CT171)&amp;"-"&amp;INDEX(属性投放!$AB$7:$AB$50,CZ171)&amp;"-魂火-"&amp;DB171</f>
        <v>唐流雨-众合+2-魂火-2</v>
      </c>
      <c r="CY171" s="25" t="s">
        <v>142</v>
      </c>
      <c r="CZ171" s="14">
        <f>INDEX(属性投放!$AM$7:$AM$58,CU171)</f>
        <v>6</v>
      </c>
      <c r="DA171" s="14" t="s">
        <v>537</v>
      </c>
      <c r="DB171" s="14">
        <f>INDEX(属性投放!$AN$7:$AN$58,CU171)</f>
        <v>2</v>
      </c>
      <c r="DC171" s="14">
        <f t="shared" si="323"/>
        <v>11</v>
      </c>
      <c r="DD171" s="14">
        <f>INDEX(属性投放!$AO$7:$AO$58,DC171)</f>
        <v>45</v>
      </c>
      <c r="DE171" s="14" t="s">
        <v>538</v>
      </c>
      <c r="DF171" s="14">
        <f>INDEX(属性投放!$BK$6:$BK$85,(CV171-2)*20+CZ171)</f>
        <v>40</v>
      </c>
      <c r="DG171" s="14">
        <f>SUMIFS(DF$5:DF171,$CT$5:$CT171,"="&amp;$CT171)</f>
        <v>315</v>
      </c>
      <c r="DH171" s="14" t="s">
        <v>539</v>
      </c>
      <c r="DI171" s="14">
        <f>INDEX(属性投放!$BL$6:$BL$85,(CV171-2)*20+CZ171)</f>
        <v>20</v>
      </c>
      <c r="DJ171" s="14">
        <f>SUMIFS(DI$5:DI171,$CT$5:$CT171,"="&amp;$CT171)</f>
        <v>160</v>
      </c>
      <c r="DK171" s="14" t="s">
        <v>540</v>
      </c>
      <c r="DL171" s="14">
        <f>INDEX(属性投放!$BM$6:$BM$85,(CV171-2)*20+CZ171)</f>
        <v>280</v>
      </c>
      <c r="DM171" s="14">
        <f>SUMIFS(DL$5:DL171,$CT$5:$CT171,"="&amp;$CT171)</f>
        <v>2100</v>
      </c>
      <c r="DR171" s="14">
        <f t="shared" si="324"/>
        <v>1102009</v>
      </c>
      <c r="DS171" s="14" t="str">
        <f t="shared" si="325"/>
        <v>徐晃7突</v>
      </c>
      <c r="DT171" s="14">
        <f t="shared" si="338"/>
        <v>4</v>
      </c>
      <c r="DU171" s="14">
        <f t="shared" si="339"/>
        <v>5</v>
      </c>
      <c r="DV171" s="14">
        <f t="shared" si="340"/>
        <v>7</v>
      </c>
      <c r="DW171" s="14">
        <f t="shared" si="326"/>
        <v>3</v>
      </c>
      <c r="DX171" s="14">
        <f t="shared" si="327"/>
        <v>7</v>
      </c>
      <c r="DY171" s="14">
        <f t="shared" si="328"/>
        <v>27</v>
      </c>
      <c r="DZ171" s="14">
        <f>INDEX(属性投放!$AX$6:$AX$85,(卡牌属性!DW171-2)*20+卡牌属性!DX171)</f>
        <v>5</v>
      </c>
      <c r="EA171" s="14">
        <f>INDEX(属性投放!BQ$6:BQ$85,卡牌属性!$DY171)</f>
        <v>135</v>
      </c>
      <c r="EB171" s="14">
        <f>INDEX(属性投放!BR$6:BR$85,卡牌属性!$DY171)</f>
        <v>68</v>
      </c>
      <c r="EC171" s="14">
        <f>INDEX(属性投放!BS$6:BS$85,卡牌属性!$DY171)</f>
        <v>1080</v>
      </c>
      <c r="ED171" s="14">
        <f t="shared" si="425"/>
        <v>984</v>
      </c>
      <c r="EE171" s="14">
        <f t="shared" si="426"/>
        <v>1101</v>
      </c>
      <c r="EF171" s="14">
        <f t="shared" si="427"/>
        <v>1196</v>
      </c>
      <c r="EG171" s="14">
        <f t="shared" si="428"/>
        <v>1196</v>
      </c>
      <c r="EH171" s="14">
        <f t="shared" si="429"/>
        <v>1443</v>
      </c>
      <c r="EI171" s="14">
        <f t="shared" si="430"/>
        <v>506</v>
      </c>
      <c r="EJ171" s="14">
        <f t="shared" si="431"/>
        <v>562</v>
      </c>
      <c r="EK171" s="14">
        <f t="shared" si="432"/>
        <v>562</v>
      </c>
      <c r="EL171" s="14">
        <f t="shared" si="433"/>
        <v>682</v>
      </c>
      <c r="EM171" s="14">
        <f t="shared" si="434"/>
        <v>753</v>
      </c>
      <c r="EN171" s="14">
        <f t="shared" si="435"/>
        <v>9013</v>
      </c>
      <c r="EO171" s="14">
        <f t="shared" si="436"/>
        <v>9785</v>
      </c>
      <c r="EP171" s="14">
        <f t="shared" si="437"/>
        <v>9785</v>
      </c>
      <c r="EQ171" s="14">
        <f t="shared" si="438"/>
        <v>10855</v>
      </c>
      <c r="ER171" s="14">
        <f t="shared" si="439"/>
        <v>12645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200</v>
      </c>
      <c r="FD171" s="14">
        <f>INDEX(属性偏向!$U$4:$U$243,(卡牌属性!$DV171-1+FD$3)*20+卡牌属性!$DX171)</f>
        <v>224</v>
      </c>
      <c r="FE171" s="14">
        <f>INDEX(属性偏向!$U$4:$U$243,(卡牌属性!$DV171-1+FE$3)*20+卡牌属性!$DX171)</f>
        <v>224</v>
      </c>
      <c r="FF171" s="14">
        <f>INDEX(属性偏向!$U$4:$U$243,(卡牌属性!$DV171-1+FF$3)*20+卡牌属性!$DX171)</f>
        <v>240</v>
      </c>
      <c r="FG171" s="14">
        <f>INDEX(属性偏向!$U$4:$U$243,(卡牌属性!$DV171-1+FG$3)*20+卡牌属性!$DX171)</f>
        <v>320</v>
      </c>
      <c r="FH171" s="14">
        <f>INDEX(属性投放!$BQ$6:$BQ$85,(卡牌属性!$DW171-2)*20+卡牌属性!$DX171)</f>
        <v>135</v>
      </c>
      <c r="FI171" s="14">
        <f>INDEX(属性投放!$BQ$6:$BQ$85,(卡牌属性!$DW171-2)*20+卡牌属性!$DX171)</f>
        <v>135</v>
      </c>
      <c r="FJ171" s="14">
        <f>INDEX(属性投放!$BQ$6:$BQ$85,(卡牌属性!$DW171-2)*20+卡牌属性!$DX171)</f>
        <v>135</v>
      </c>
      <c r="FK171" s="14">
        <f>INDEX(属性投放!$BQ$6:$BQ$85,(卡牌属性!$DW171-2)*20+卡牌属性!$DX171)</f>
        <v>135</v>
      </c>
      <c r="FL171" s="14">
        <f>INDEX(属性投放!$BQ$6:$BQ$85,(卡牌属性!$DW171-2)*20+卡牌属性!$DX171)</f>
        <v>135</v>
      </c>
      <c r="FM171" s="14">
        <f>INDEX(属性投放!$BR$6:$BR$85,(卡牌属性!$DW171-2)*20+卡牌属性!$DX171)</f>
        <v>68</v>
      </c>
      <c r="FN171" s="14">
        <f>INDEX(属性投放!$BR$6:$BR$85,(卡牌属性!$DW171-2)*20+卡牌属性!$DX171)</f>
        <v>68</v>
      </c>
      <c r="FO171" s="14">
        <f>INDEX(属性投放!$BR$6:$BR$85,(卡牌属性!$DW171-2)*20+卡牌属性!$DX171)</f>
        <v>68</v>
      </c>
      <c r="FP171" s="14">
        <f>INDEX(属性投放!$BR$6:$BR$85,(卡牌属性!$DW171-2)*20+卡牌属性!$DX171)</f>
        <v>68</v>
      </c>
      <c r="FQ171" s="14">
        <f>INDEX(属性投放!$BR$6:$BR$85,(卡牌属性!$DW171-2)*20+卡牌属性!$DX171)</f>
        <v>68</v>
      </c>
      <c r="FR171" s="14">
        <f>INDEX(属性投放!$BS$6:$BS$85,(卡牌属性!$DW171-2)*20+卡牌属性!$DX171)</f>
        <v>1080</v>
      </c>
      <c r="FS171" s="14">
        <f>INDEX(属性投放!$BS$6:$BS$85,(卡牌属性!$DW171-2)*20+卡牌属性!$DX171)</f>
        <v>1080</v>
      </c>
      <c r="FT171" s="14">
        <f>INDEX(属性投放!$BS$6:$BS$85,(卡牌属性!$DW171-2)*20+卡牌属性!$DX171)</f>
        <v>1080</v>
      </c>
      <c r="FU171" s="14">
        <f>INDEX(属性投放!$BS$6:$BS$85,(卡牌属性!$DW171-2)*20+卡牌属性!$DX171)</f>
        <v>1080</v>
      </c>
      <c r="FV171" s="14">
        <f>INDEX(属性投放!$BS$6:$BS$85,(卡牌属性!$DW171-2)*20+卡牌属性!$DX171)</f>
        <v>1080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1"/>
        <v>9</v>
      </c>
      <c r="AG172" s="13">
        <f t="shared" si="316"/>
        <v>3</v>
      </c>
      <c r="AH172" s="13"/>
      <c r="AI172" s="13"/>
      <c r="AJ172" s="14">
        <f t="shared" si="317"/>
        <v>1101009</v>
      </c>
      <c r="AK172" s="14" t="str">
        <f t="shared" si="318"/>
        <v>北落师门8突</v>
      </c>
      <c r="AL172" s="25" t="s">
        <v>142</v>
      </c>
      <c r="AM172" s="14">
        <v>1</v>
      </c>
      <c r="AN172" s="14">
        <f t="shared" si="319"/>
        <v>8</v>
      </c>
      <c r="AO172" s="14">
        <f>INDEX(属性投放!$DF$6:$DF$85,(卡牌属性!AG172-2)*20+卡牌属性!AN172)</f>
        <v>1622</v>
      </c>
      <c r="AP172" s="14">
        <f t="shared" si="419"/>
        <v>1622</v>
      </c>
      <c r="AQ172" s="14">
        <f t="shared" si="419"/>
        <v>1622</v>
      </c>
      <c r="AR172" s="14">
        <f t="shared" si="419"/>
        <v>1622</v>
      </c>
      <c r="AS172" s="14">
        <f t="shared" si="419"/>
        <v>1622</v>
      </c>
      <c r="AT172" s="14">
        <f>INDEX(属性投放!$DG$6:$DG$85,(卡牌属性!AG172-2)*20+卡牌属性!AN172)</f>
        <v>733</v>
      </c>
      <c r="AU172" s="14">
        <f t="shared" si="420"/>
        <v>733</v>
      </c>
      <c r="AV172" s="14">
        <f t="shared" si="420"/>
        <v>733</v>
      </c>
      <c r="AW172" s="14">
        <f t="shared" si="420"/>
        <v>733</v>
      </c>
      <c r="AX172" s="14">
        <f t="shared" si="420"/>
        <v>733</v>
      </c>
      <c r="AY172" s="14">
        <f>INDEX(属性投放!$DH$6:$DH$85,(卡牌属性!AG172-2)*20+卡牌属性!AN172)</f>
        <v>10421</v>
      </c>
      <c r="AZ172" s="14">
        <f t="shared" si="421"/>
        <v>10421</v>
      </c>
      <c r="BA172" s="14">
        <f t="shared" si="421"/>
        <v>10421</v>
      </c>
      <c r="BB172" s="14">
        <f t="shared" si="421"/>
        <v>10421</v>
      </c>
      <c r="BC172" s="14">
        <f t="shared" si="421"/>
        <v>10421</v>
      </c>
      <c r="BD172" s="14">
        <f>INDEX(属性投放!$DL$6:$DL$85,(卡牌属性!AG172-2)*20+卡牌属性!AN172)</f>
        <v>46</v>
      </c>
      <c r="BE172" s="14">
        <f t="shared" si="422"/>
        <v>46</v>
      </c>
      <c r="BF172" s="14">
        <f t="shared" si="422"/>
        <v>46</v>
      </c>
      <c r="BG172" s="14">
        <f t="shared" si="422"/>
        <v>46</v>
      </c>
      <c r="BH172" s="14">
        <f t="shared" si="422"/>
        <v>46</v>
      </c>
      <c r="BI172" s="14">
        <f>INDEX(属性投放!$DM$6:$DM$85,(卡牌属性!AG172-2)*20+卡牌属性!AN172)</f>
        <v>24</v>
      </c>
      <c r="BJ172" s="14">
        <f t="shared" si="423"/>
        <v>24</v>
      </c>
      <c r="BK172" s="14">
        <f t="shared" si="423"/>
        <v>24</v>
      </c>
      <c r="BL172" s="14">
        <f t="shared" si="423"/>
        <v>24</v>
      </c>
      <c r="BM172" s="14">
        <f t="shared" si="423"/>
        <v>24</v>
      </c>
      <c r="BN172" s="14">
        <f>INDEX(属性投放!$DN$6:$DN$85,(卡牌属性!AG172-2)*20+卡牌属性!AN172)</f>
        <v>371</v>
      </c>
      <c r="BO172" s="14">
        <f t="shared" si="424"/>
        <v>371</v>
      </c>
      <c r="BP172" s="14">
        <f t="shared" si="424"/>
        <v>371</v>
      </c>
      <c r="BQ172" s="14">
        <f t="shared" si="424"/>
        <v>371</v>
      </c>
      <c r="BR172" s="14">
        <f t="shared" si="424"/>
        <v>371</v>
      </c>
      <c r="BW172" s="13">
        <v>168</v>
      </c>
      <c r="BX172" s="13">
        <f t="shared" si="320"/>
        <v>9</v>
      </c>
      <c r="BY172" s="14">
        <f t="shared" si="321"/>
        <v>3</v>
      </c>
      <c r="BZ172" s="14">
        <f t="shared" si="332"/>
        <v>1102009</v>
      </c>
      <c r="CA172" s="14" t="str">
        <f t="shared" si="333"/>
        <v>徐晃8突</v>
      </c>
      <c r="CB172" s="25" t="s">
        <v>142</v>
      </c>
      <c r="CC172" s="14">
        <v>2</v>
      </c>
      <c r="CD172" s="14">
        <f t="shared" si="322"/>
        <v>8</v>
      </c>
      <c r="CE172" s="14" t="s">
        <v>21</v>
      </c>
      <c r="CF172" s="14">
        <f>INDEX(属性投放!$AZ$6:$AZ$85,(BY172-2)*20+CD172)</f>
        <v>1851</v>
      </c>
      <c r="CG172" s="14" t="s">
        <v>22</v>
      </c>
      <c r="CH172" s="14">
        <f>INDEX(属性投放!$BA$6:$BA$85,(BY172-2)*20+CD172)</f>
        <v>866</v>
      </c>
      <c r="CI172" s="14" t="s">
        <v>510</v>
      </c>
      <c r="CJ172" s="14">
        <f>INDEX(属性投放!$BB$6:$BB$85,(BY172-2)*20+CD172)</f>
        <v>12255</v>
      </c>
      <c r="CK172" s="14" t="s">
        <v>21</v>
      </c>
      <c r="CL172" s="14">
        <f>INDEX(属性投放!$BC$6:$BC$85,(BY172-2)*20+CD172)</f>
        <v>15</v>
      </c>
      <c r="CM172" s="14" t="s">
        <v>22</v>
      </c>
      <c r="CN172" s="14">
        <f>INDEX(属性投放!$BD$6:$BD$85,(BY172-2)*20+CD172)</f>
        <v>8</v>
      </c>
      <c r="CO172" s="14" t="s">
        <v>510</v>
      </c>
      <c r="CP172" s="14">
        <f>INDEX(属性投放!$BE$6:$BE$85,(BY172-2)*20+CD172)</f>
        <v>120</v>
      </c>
      <c r="CS172" s="13">
        <v>168</v>
      </c>
      <c r="CT172" s="13">
        <f t="shared" si="334"/>
        <v>4</v>
      </c>
      <c r="CU172" s="13">
        <f t="shared" si="335"/>
        <v>12</v>
      </c>
      <c r="CV172" s="14">
        <f t="shared" si="336"/>
        <v>2</v>
      </c>
      <c r="CW172" s="14">
        <f t="shared" si="337"/>
        <v>1102004</v>
      </c>
      <c r="CX172" s="14" t="str">
        <f>INDEX($O$6:$O$50,CT172)&amp;"-"&amp;INDEX(属性投放!$AB$7:$AB$50,CZ172)&amp;"-魂火-"&amp;DB172</f>
        <v>唐流雨-叫唤-魂火-1</v>
      </c>
      <c r="CY172" s="25" t="s">
        <v>142</v>
      </c>
      <c r="CZ172" s="14">
        <f>INDEX(属性投放!$AM$7:$AM$58,CU172)</f>
        <v>7</v>
      </c>
      <c r="DA172" s="14" t="s">
        <v>537</v>
      </c>
      <c r="DB172" s="14">
        <f>INDEX(属性投放!$AN$7:$AN$58,CU172)</f>
        <v>1</v>
      </c>
      <c r="DC172" s="14">
        <f t="shared" si="323"/>
        <v>12</v>
      </c>
      <c r="DD172" s="14">
        <f>INDEX(属性投放!$AO$7:$AO$58,DC172)</f>
        <v>48</v>
      </c>
      <c r="DE172" s="14" t="s">
        <v>538</v>
      </c>
      <c r="DF172" s="14">
        <f>INDEX(属性投放!$BK$6:$BK$85,(CV172-2)*20+CZ172)</f>
        <v>55</v>
      </c>
      <c r="DG172" s="14">
        <f>SUMIFS(DF$5:DF172,$CT$5:$CT172,"="&amp;$CT172)</f>
        <v>370</v>
      </c>
      <c r="DH172" s="14" t="s">
        <v>539</v>
      </c>
      <c r="DI172" s="14">
        <f>INDEX(属性投放!$BL$6:$BL$85,(CV172-2)*20+CZ172)</f>
        <v>28</v>
      </c>
      <c r="DJ172" s="14">
        <f>SUMIFS(DI$5:DI172,$CT$5:$CT172,"="&amp;$CT172)</f>
        <v>188</v>
      </c>
      <c r="DK172" s="14" t="s">
        <v>540</v>
      </c>
      <c r="DL172" s="14">
        <f>INDEX(属性投放!$BM$6:$BM$85,(CV172-2)*20+CZ172)</f>
        <v>440</v>
      </c>
      <c r="DM172" s="14">
        <f>SUMIFS(DL$5:DL172,$CT$5:$CT172,"="&amp;$CT172)</f>
        <v>2540</v>
      </c>
      <c r="DR172" s="14">
        <f t="shared" si="324"/>
        <v>1102009</v>
      </c>
      <c r="DS172" s="14" t="str">
        <f t="shared" si="325"/>
        <v>徐晃8突</v>
      </c>
      <c r="DT172" s="14">
        <f t="shared" si="338"/>
        <v>4</v>
      </c>
      <c r="DU172" s="14">
        <f t="shared" si="339"/>
        <v>5</v>
      </c>
      <c r="DV172" s="14">
        <f t="shared" si="340"/>
        <v>7</v>
      </c>
      <c r="DW172" s="14">
        <f t="shared" si="326"/>
        <v>3</v>
      </c>
      <c r="DX172" s="14">
        <f t="shared" si="327"/>
        <v>8</v>
      </c>
      <c r="DY172" s="14">
        <f t="shared" si="328"/>
        <v>28</v>
      </c>
      <c r="DZ172" s="14">
        <f>INDEX(属性投放!$AX$6:$AX$85,(卡牌属性!DW172-2)*20+卡牌属性!DX172)</f>
        <v>5</v>
      </c>
      <c r="EA172" s="14">
        <f>INDEX(属性投放!BQ$6:BQ$85,卡牌属性!$DY172)</f>
        <v>125</v>
      </c>
      <c r="EB172" s="14">
        <f>INDEX(属性投放!BR$6:BR$85,卡牌属性!$DY172)</f>
        <v>63</v>
      </c>
      <c r="EC172" s="14">
        <f>INDEX(属性投放!BS$6:BS$85,卡牌属性!$DY172)</f>
        <v>1000</v>
      </c>
      <c r="ED172" s="14">
        <f t="shared" si="425"/>
        <v>1179</v>
      </c>
      <c r="EE172" s="14">
        <f t="shared" si="426"/>
        <v>1311</v>
      </c>
      <c r="EF172" s="14">
        <f t="shared" si="427"/>
        <v>1411</v>
      </c>
      <c r="EG172" s="14">
        <f t="shared" si="428"/>
        <v>1411</v>
      </c>
      <c r="EH172" s="14">
        <f t="shared" si="429"/>
        <v>1703</v>
      </c>
      <c r="EI172" s="14">
        <f t="shared" si="430"/>
        <v>614</v>
      </c>
      <c r="EJ172" s="14">
        <f t="shared" si="431"/>
        <v>670</v>
      </c>
      <c r="EK172" s="14">
        <f t="shared" si="432"/>
        <v>670</v>
      </c>
      <c r="EL172" s="14">
        <f t="shared" si="433"/>
        <v>815</v>
      </c>
      <c r="EM172" s="14">
        <f t="shared" si="434"/>
        <v>891</v>
      </c>
      <c r="EN172" s="14">
        <f t="shared" si="435"/>
        <v>11093</v>
      </c>
      <c r="EO172" s="14">
        <f t="shared" si="436"/>
        <v>11985</v>
      </c>
      <c r="EP172" s="14">
        <f t="shared" si="437"/>
        <v>11985</v>
      </c>
      <c r="EQ172" s="14">
        <f t="shared" si="438"/>
        <v>13135</v>
      </c>
      <c r="ER172" s="14">
        <f t="shared" si="439"/>
        <v>15325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200</v>
      </c>
      <c r="FD172" s="14">
        <f>INDEX(属性偏向!$U$4:$U$243,(卡牌属性!$DV172-1+FD$3)*20+卡牌属性!$DX172)</f>
        <v>224</v>
      </c>
      <c r="FE172" s="14">
        <f>INDEX(属性偏向!$U$4:$U$243,(卡牌属性!$DV172-1+FE$3)*20+卡牌属性!$DX172)</f>
        <v>224</v>
      </c>
      <c r="FF172" s="14">
        <f>INDEX(属性偏向!$U$4:$U$243,(卡牌属性!$DV172-1+FF$3)*20+卡牌属性!$DX172)</f>
        <v>240</v>
      </c>
      <c r="FG172" s="14">
        <f>INDEX(属性偏向!$U$4:$U$243,(卡牌属性!$DV172-1+FG$3)*20+卡牌属性!$DX172)</f>
        <v>320</v>
      </c>
      <c r="FH172" s="14">
        <f>INDEX(属性投放!$BQ$6:$BQ$85,(卡牌属性!$DW172-2)*20+卡牌属性!$DX172)</f>
        <v>125</v>
      </c>
      <c r="FI172" s="14">
        <f>INDEX(属性投放!$BQ$6:$BQ$85,(卡牌属性!$DW172-2)*20+卡牌属性!$DX172)</f>
        <v>125</v>
      </c>
      <c r="FJ172" s="14">
        <f>INDEX(属性投放!$BQ$6:$BQ$85,(卡牌属性!$DW172-2)*20+卡牌属性!$DX172)</f>
        <v>125</v>
      </c>
      <c r="FK172" s="14">
        <f>INDEX(属性投放!$BQ$6:$BQ$85,(卡牌属性!$DW172-2)*20+卡牌属性!$DX172)</f>
        <v>125</v>
      </c>
      <c r="FL172" s="14">
        <f>INDEX(属性投放!$BQ$6:$BQ$85,(卡牌属性!$DW172-2)*20+卡牌属性!$DX172)</f>
        <v>125</v>
      </c>
      <c r="FM172" s="14">
        <f>INDEX(属性投放!$BR$6:$BR$85,(卡牌属性!$DW172-2)*20+卡牌属性!$DX172)</f>
        <v>63</v>
      </c>
      <c r="FN172" s="14">
        <f>INDEX(属性投放!$BR$6:$BR$85,(卡牌属性!$DW172-2)*20+卡牌属性!$DX172)</f>
        <v>63</v>
      </c>
      <c r="FO172" s="14">
        <f>INDEX(属性投放!$BR$6:$BR$85,(卡牌属性!$DW172-2)*20+卡牌属性!$DX172)</f>
        <v>63</v>
      </c>
      <c r="FP172" s="14">
        <f>INDEX(属性投放!$BR$6:$BR$85,(卡牌属性!$DW172-2)*20+卡牌属性!$DX172)</f>
        <v>63</v>
      </c>
      <c r="FQ172" s="14">
        <f>INDEX(属性投放!$BR$6:$BR$85,(卡牌属性!$DW172-2)*20+卡牌属性!$DX172)</f>
        <v>63</v>
      </c>
      <c r="FR172" s="14">
        <f>INDEX(属性投放!$BS$6:$BS$85,(卡牌属性!$DW172-2)*20+卡牌属性!$DX172)</f>
        <v>1000</v>
      </c>
      <c r="FS172" s="14">
        <f>INDEX(属性投放!$BS$6:$BS$85,(卡牌属性!$DW172-2)*20+卡牌属性!$DX172)</f>
        <v>1000</v>
      </c>
      <c r="FT172" s="14">
        <f>INDEX(属性投放!$BS$6:$BS$85,(卡牌属性!$DW172-2)*20+卡牌属性!$DX172)</f>
        <v>1000</v>
      </c>
      <c r="FU172" s="14">
        <f>INDEX(属性投放!$BS$6:$BS$85,(卡牌属性!$DW172-2)*20+卡牌属性!$DX172)</f>
        <v>1000</v>
      </c>
      <c r="FV172" s="14">
        <f>INDEX(属性投放!$BS$6:$BS$85,(卡牌属性!$DW172-2)*20+卡牌属性!$DX172)</f>
        <v>1000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1"/>
        <v>9</v>
      </c>
      <c r="AG173" s="13">
        <f t="shared" si="316"/>
        <v>3</v>
      </c>
      <c r="AH173" s="13"/>
      <c r="AI173" s="13"/>
      <c r="AJ173" s="14">
        <f t="shared" si="317"/>
        <v>1101009</v>
      </c>
      <c r="AK173" s="14" t="str">
        <f t="shared" si="318"/>
        <v>北落师门9突</v>
      </c>
      <c r="AL173" s="25" t="s">
        <v>142</v>
      </c>
      <c r="AM173" s="14">
        <v>1</v>
      </c>
      <c r="AN173" s="14">
        <f t="shared" si="319"/>
        <v>9</v>
      </c>
      <c r="AO173" s="14">
        <f>INDEX(属性投放!$DF$6:$DF$85,(卡牌属性!AG173-2)*20+卡牌属性!AN173)</f>
        <v>1755</v>
      </c>
      <c r="AP173" s="14">
        <f t="shared" si="419"/>
        <v>1755</v>
      </c>
      <c r="AQ173" s="14">
        <f t="shared" si="419"/>
        <v>1755</v>
      </c>
      <c r="AR173" s="14">
        <f t="shared" si="419"/>
        <v>1755</v>
      </c>
      <c r="AS173" s="14">
        <f t="shared" si="419"/>
        <v>1755</v>
      </c>
      <c r="AT173" s="14">
        <f>INDEX(属性投放!$DG$6:$DG$85,(卡牌属性!AG173-2)*20+卡牌属性!AN173)</f>
        <v>800</v>
      </c>
      <c r="AU173" s="14">
        <f t="shared" si="420"/>
        <v>800</v>
      </c>
      <c r="AV173" s="14">
        <f t="shared" si="420"/>
        <v>800</v>
      </c>
      <c r="AW173" s="14">
        <f t="shared" si="420"/>
        <v>800</v>
      </c>
      <c r="AX173" s="14">
        <f t="shared" si="420"/>
        <v>800</v>
      </c>
      <c r="AY173" s="14">
        <f>INDEX(属性投放!$DH$6:$DH$85,(卡牌属性!AG173-2)*20+卡牌属性!AN173)</f>
        <v>11481</v>
      </c>
      <c r="AZ173" s="14">
        <f t="shared" si="421"/>
        <v>11481</v>
      </c>
      <c r="BA173" s="14">
        <f t="shared" si="421"/>
        <v>11481</v>
      </c>
      <c r="BB173" s="14">
        <f t="shared" si="421"/>
        <v>11481</v>
      </c>
      <c r="BC173" s="14">
        <f t="shared" si="421"/>
        <v>11481</v>
      </c>
      <c r="BD173" s="14">
        <f>INDEX(属性投放!$DL$6:$DL$85,(卡牌属性!AG173-2)*20+卡牌属性!AN173)</f>
        <v>46</v>
      </c>
      <c r="BE173" s="14">
        <f t="shared" si="422"/>
        <v>46</v>
      </c>
      <c r="BF173" s="14">
        <f t="shared" si="422"/>
        <v>46</v>
      </c>
      <c r="BG173" s="14">
        <f t="shared" si="422"/>
        <v>46</v>
      </c>
      <c r="BH173" s="14">
        <f t="shared" si="422"/>
        <v>46</v>
      </c>
      <c r="BI173" s="14">
        <f>INDEX(属性投放!$DM$6:$DM$85,(卡牌属性!AG173-2)*20+卡牌属性!AN173)</f>
        <v>24</v>
      </c>
      <c r="BJ173" s="14">
        <f t="shared" si="423"/>
        <v>24</v>
      </c>
      <c r="BK173" s="14">
        <f t="shared" si="423"/>
        <v>24</v>
      </c>
      <c r="BL173" s="14">
        <f t="shared" si="423"/>
        <v>24</v>
      </c>
      <c r="BM173" s="14">
        <f t="shared" si="423"/>
        <v>24</v>
      </c>
      <c r="BN173" s="14">
        <f>INDEX(属性投放!$DN$6:$DN$85,(卡牌属性!AG173-2)*20+卡牌属性!AN173)</f>
        <v>371</v>
      </c>
      <c r="BO173" s="14">
        <f t="shared" si="424"/>
        <v>371</v>
      </c>
      <c r="BP173" s="14">
        <f t="shared" si="424"/>
        <v>371</v>
      </c>
      <c r="BQ173" s="14">
        <f t="shared" si="424"/>
        <v>371</v>
      </c>
      <c r="BR173" s="14">
        <f t="shared" si="424"/>
        <v>371</v>
      </c>
      <c r="BW173" s="13">
        <v>169</v>
      </c>
      <c r="BX173" s="13">
        <f t="shared" si="320"/>
        <v>9</v>
      </c>
      <c r="BY173" s="14">
        <f t="shared" si="321"/>
        <v>3</v>
      </c>
      <c r="BZ173" s="14">
        <f t="shared" si="332"/>
        <v>1102009</v>
      </c>
      <c r="CA173" s="14" t="str">
        <f t="shared" si="333"/>
        <v>徐晃9突</v>
      </c>
      <c r="CB173" s="25" t="s">
        <v>142</v>
      </c>
      <c r="CC173" s="14">
        <v>2</v>
      </c>
      <c r="CD173" s="14">
        <f t="shared" si="322"/>
        <v>9</v>
      </c>
      <c r="CE173" s="14" t="s">
        <v>21</v>
      </c>
      <c r="CF173" s="14">
        <f>INDEX(属性投放!$AZ$6:$AZ$85,(BY173-2)*20+CD173)</f>
        <v>2221</v>
      </c>
      <c r="CG173" s="14" t="s">
        <v>22</v>
      </c>
      <c r="CH173" s="14">
        <f>INDEX(属性投放!$BA$6:$BA$85,(BY173-2)*20+CD173)</f>
        <v>1055</v>
      </c>
      <c r="CI173" s="14" t="s">
        <v>510</v>
      </c>
      <c r="CJ173" s="14">
        <f>INDEX(属性投放!$BB$6:$BB$85,(BY173-2)*20+CD173)</f>
        <v>15215</v>
      </c>
      <c r="CK173" s="14" t="s">
        <v>21</v>
      </c>
      <c r="CL173" s="14">
        <f>INDEX(属性投放!$BC$6:$BC$85,(BY173-2)*20+CD173)</f>
        <v>15</v>
      </c>
      <c r="CM173" s="14" t="s">
        <v>22</v>
      </c>
      <c r="CN173" s="14">
        <f>INDEX(属性投放!$BD$6:$BD$85,(BY173-2)*20+CD173)</f>
        <v>8</v>
      </c>
      <c r="CO173" s="14" t="s">
        <v>510</v>
      </c>
      <c r="CP173" s="14">
        <f>INDEX(属性投放!$BE$6:$BE$85,(BY173-2)*20+CD173)</f>
        <v>120</v>
      </c>
      <c r="CS173" s="13">
        <v>169</v>
      </c>
      <c r="CT173" s="13">
        <f t="shared" si="334"/>
        <v>4</v>
      </c>
      <c r="CU173" s="13">
        <f t="shared" si="335"/>
        <v>13</v>
      </c>
      <c r="CV173" s="14">
        <f t="shared" si="336"/>
        <v>2</v>
      </c>
      <c r="CW173" s="14">
        <f t="shared" si="337"/>
        <v>1102004</v>
      </c>
      <c r="CX173" s="14" t="str">
        <f>INDEX($O$6:$O$50,CT173)&amp;"-"&amp;INDEX(属性投放!$AB$7:$AB$50,CZ173)&amp;"-魂火-"&amp;DB173</f>
        <v>唐流雨-叫唤-魂火-2</v>
      </c>
      <c r="CY173" s="25" t="s">
        <v>142</v>
      </c>
      <c r="CZ173" s="14">
        <f>INDEX(属性投放!$AM$7:$AM$58,CU173)</f>
        <v>7</v>
      </c>
      <c r="DA173" s="14" t="s">
        <v>537</v>
      </c>
      <c r="DB173" s="14">
        <f>INDEX(属性投放!$AN$7:$AN$58,CU173)</f>
        <v>2</v>
      </c>
      <c r="DC173" s="14">
        <f t="shared" si="323"/>
        <v>13</v>
      </c>
      <c r="DD173" s="14">
        <f>INDEX(属性投放!$AO$7:$AO$58,DC173)</f>
        <v>50</v>
      </c>
      <c r="DE173" s="14" t="s">
        <v>538</v>
      </c>
      <c r="DF173" s="14">
        <f>INDEX(属性投放!$BK$6:$BK$85,(CV173-2)*20+CZ173)</f>
        <v>55</v>
      </c>
      <c r="DG173" s="14">
        <f>SUMIFS(DF$5:DF173,$CT$5:$CT173,"="&amp;$CT173)</f>
        <v>425</v>
      </c>
      <c r="DH173" s="14" t="s">
        <v>539</v>
      </c>
      <c r="DI173" s="14">
        <f>INDEX(属性投放!$BL$6:$BL$85,(CV173-2)*20+CZ173)</f>
        <v>28</v>
      </c>
      <c r="DJ173" s="14">
        <f>SUMIFS(DI$5:DI173,$CT$5:$CT173,"="&amp;$CT173)</f>
        <v>216</v>
      </c>
      <c r="DK173" s="14" t="s">
        <v>540</v>
      </c>
      <c r="DL173" s="14">
        <f>INDEX(属性投放!$BM$6:$BM$85,(CV173-2)*20+CZ173)</f>
        <v>440</v>
      </c>
      <c r="DM173" s="14">
        <f>SUMIFS(DL$5:DL173,$CT$5:$CT173,"="&amp;$CT173)</f>
        <v>2980</v>
      </c>
      <c r="DR173" s="14">
        <f t="shared" si="324"/>
        <v>1102009</v>
      </c>
      <c r="DS173" s="14" t="str">
        <f t="shared" si="325"/>
        <v>徐晃9突</v>
      </c>
      <c r="DT173" s="14">
        <f t="shared" si="338"/>
        <v>4</v>
      </c>
      <c r="DU173" s="14">
        <f t="shared" si="339"/>
        <v>5</v>
      </c>
      <c r="DV173" s="14">
        <f t="shared" si="340"/>
        <v>7</v>
      </c>
      <c r="DW173" s="14">
        <f t="shared" si="326"/>
        <v>3</v>
      </c>
      <c r="DX173" s="14">
        <f t="shared" si="327"/>
        <v>9</v>
      </c>
      <c r="DY173" s="14">
        <f t="shared" si="328"/>
        <v>29</v>
      </c>
      <c r="DZ173" s="14">
        <f>INDEX(属性投放!$AX$6:$AX$85,(卡牌属性!DW173-2)*20+卡牌属性!DX173)</f>
        <v>8</v>
      </c>
      <c r="EA173" s="14">
        <f>INDEX(属性投放!BQ$6:BQ$85,卡牌属性!$DY173)</f>
        <v>185</v>
      </c>
      <c r="EB173" s="14">
        <f>INDEX(属性投放!BR$6:BR$85,卡牌属性!$DY173)</f>
        <v>93</v>
      </c>
      <c r="EC173" s="14">
        <f>INDEX(属性投放!BS$6:BS$85,卡牌属性!$DY173)</f>
        <v>1480</v>
      </c>
      <c r="ED173" s="14">
        <f t="shared" si="425"/>
        <v>1364</v>
      </c>
      <c r="EE173" s="14">
        <f t="shared" si="426"/>
        <v>1511</v>
      </c>
      <c r="EF173" s="14">
        <f t="shared" si="427"/>
        <v>1616</v>
      </c>
      <c r="EG173" s="14">
        <f t="shared" si="428"/>
        <v>1616</v>
      </c>
      <c r="EH173" s="14">
        <f t="shared" si="429"/>
        <v>1953</v>
      </c>
      <c r="EI173" s="14">
        <f t="shared" si="430"/>
        <v>717</v>
      </c>
      <c r="EJ173" s="14">
        <f t="shared" si="431"/>
        <v>773</v>
      </c>
      <c r="EK173" s="14">
        <f t="shared" si="432"/>
        <v>773</v>
      </c>
      <c r="EL173" s="14">
        <f t="shared" si="433"/>
        <v>943</v>
      </c>
      <c r="EM173" s="14">
        <f t="shared" si="434"/>
        <v>1024</v>
      </c>
      <c r="EN173" s="14">
        <f t="shared" si="435"/>
        <v>13093</v>
      </c>
      <c r="EO173" s="14">
        <f t="shared" si="436"/>
        <v>14105</v>
      </c>
      <c r="EP173" s="14">
        <f t="shared" si="437"/>
        <v>14105</v>
      </c>
      <c r="EQ173" s="14">
        <f t="shared" si="438"/>
        <v>15335</v>
      </c>
      <c r="ER173" s="14">
        <f t="shared" si="439"/>
        <v>17925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200</v>
      </c>
      <c r="FD173" s="14">
        <f>INDEX(属性偏向!$U$4:$U$243,(卡牌属性!$DV173-1+FD$3)*20+卡牌属性!$DX173)</f>
        <v>224</v>
      </c>
      <c r="FE173" s="14">
        <f>INDEX(属性偏向!$U$4:$U$243,(卡牌属性!$DV173-1+FE$3)*20+卡牌属性!$DX173)</f>
        <v>224</v>
      </c>
      <c r="FF173" s="14">
        <f>INDEX(属性偏向!$U$4:$U$243,(卡牌属性!$DV173-1+FF$3)*20+卡牌属性!$DX173)</f>
        <v>240</v>
      </c>
      <c r="FG173" s="14">
        <f>INDEX(属性偏向!$U$4:$U$243,(卡牌属性!$DV173-1+FG$3)*20+卡牌属性!$DX173)</f>
        <v>320</v>
      </c>
      <c r="FH173" s="14">
        <f>INDEX(属性投放!$BQ$6:$BQ$85,(卡牌属性!$DW173-2)*20+卡牌属性!$DX173)</f>
        <v>185</v>
      </c>
      <c r="FI173" s="14">
        <f>INDEX(属性投放!$BQ$6:$BQ$85,(卡牌属性!$DW173-2)*20+卡牌属性!$DX173)</f>
        <v>185</v>
      </c>
      <c r="FJ173" s="14">
        <f>INDEX(属性投放!$BQ$6:$BQ$85,(卡牌属性!$DW173-2)*20+卡牌属性!$DX173)</f>
        <v>185</v>
      </c>
      <c r="FK173" s="14">
        <f>INDEX(属性投放!$BQ$6:$BQ$85,(卡牌属性!$DW173-2)*20+卡牌属性!$DX173)</f>
        <v>185</v>
      </c>
      <c r="FL173" s="14">
        <f>INDEX(属性投放!$BQ$6:$BQ$85,(卡牌属性!$DW173-2)*20+卡牌属性!$DX173)</f>
        <v>185</v>
      </c>
      <c r="FM173" s="14">
        <f>INDEX(属性投放!$BR$6:$BR$85,(卡牌属性!$DW173-2)*20+卡牌属性!$DX173)</f>
        <v>93</v>
      </c>
      <c r="FN173" s="14">
        <f>INDEX(属性投放!$BR$6:$BR$85,(卡牌属性!$DW173-2)*20+卡牌属性!$DX173)</f>
        <v>93</v>
      </c>
      <c r="FO173" s="14">
        <f>INDEX(属性投放!$BR$6:$BR$85,(卡牌属性!$DW173-2)*20+卡牌属性!$DX173)</f>
        <v>93</v>
      </c>
      <c r="FP173" s="14">
        <f>INDEX(属性投放!$BR$6:$BR$85,(卡牌属性!$DW173-2)*20+卡牌属性!$DX173)</f>
        <v>93</v>
      </c>
      <c r="FQ173" s="14">
        <f>INDEX(属性投放!$BR$6:$BR$85,(卡牌属性!$DW173-2)*20+卡牌属性!$DX173)</f>
        <v>93</v>
      </c>
      <c r="FR173" s="14">
        <f>INDEX(属性投放!$BS$6:$BS$85,(卡牌属性!$DW173-2)*20+卡牌属性!$DX173)</f>
        <v>1480</v>
      </c>
      <c r="FS173" s="14">
        <f>INDEX(属性投放!$BS$6:$BS$85,(卡牌属性!$DW173-2)*20+卡牌属性!$DX173)</f>
        <v>1480</v>
      </c>
      <c r="FT173" s="14">
        <f>INDEX(属性投放!$BS$6:$BS$85,(卡牌属性!$DW173-2)*20+卡牌属性!$DX173)</f>
        <v>1480</v>
      </c>
      <c r="FU173" s="14">
        <f>INDEX(属性投放!$BS$6:$BS$85,(卡牌属性!$DW173-2)*20+卡牌属性!$DX173)</f>
        <v>1480</v>
      </c>
      <c r="FV173" s="14">
        <f>INDEX(属性投放!$BS$6:$BS$85,(卡牌属性!$DW173-2)*20+卡牌属性!$DX173)</f>
        <v>1480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1"/>
        <v>9</v>
      </c>
      <c r="AG174" s="13">
        <f t="shared" si="316"/>
        <v>3</v>
      </c>
      <c r="AH174" s="13"/>
      <c r="AI174" s="13"/>
      <c r="AJ174" s="14">
        <f t="shared" si="317"/>
        <v>1101009</v>
      </c>
      <c r="AK174" s="14" t="str">
        <f t="shared" si="318"/>
        <v>北落师门10突</v>
      </c>
      <c r="AL174" s="25" t="s">
        <v>142</v>
      </c>
      <c r="AM174" s="14">
        <v>1</v>
      </c>
      <c r="AN174" s="14">
        <f t="shared" si="319"/>
        <v>10</v>
      </c>
      <c r="AO174" s="14">
        <f>INDEX(属性投放!$DF$6:$DF$85,(卡牌属性!AG174-2)*20+卡牌属性!AN174)</f>
        <v>2578</v>
      </c>
      <c r="AP174" s="14">
        <f t="shared" si="419"/>
        <v>2578</v>
      </c>
      <c r="AQ174" s="14">
        <f t="shared" si="419"/>
        <v>2578</v>
      </c>
      <c r="AR174" s="14">
        <f t="shared" si="419"/>
        <v>2578</v>
      </c>
      <c r="AS174" s="14">
        <f t="shared" si="419"/>
        <v>2578</v>
      </c>
      <c r="AT174" s="14">
        <f>INDEX(属性投放!$DG$6:$DG$85,(卡牌属性!AG174-2)*20+卡牌属性!AN174)</f>
        <v>1227</v>
      </c>
      <c r="AU174" s="14">
        <f t="shared" si="420"/>
        <v>1227</v>
      </c>
      <c r="AV174" s="14">
        <f t="shared" si="420"/>
        <v>1227</v>
      </c>
      <c r="AW174" s="14">
        <f t="shared" si="420"/>
        <v>1227</v>
      </c>
      <c r="AX174" s="14">
        <f t="shared" si="420"/>
        <v>1227</v>
      </c>
      <c r="AY174" s="14">
        <f>INDEX(属性投放!$DH$6:$DH$85,(卡牌属性!AG174-2)*20+卡牌属性!AN174)</f>
        <v>18106</v>
      </c>
      <c r="AZ174" s="14">
        <f t="shared" si="421"/>
        <v>18106</v>
      </c>
      <c r="BA174" s="14">
        <f t="shared" si="421"/>
        <v>18106</v>
      </c>
      <c r="BB174" s="14">
        <f t="shared" si="421"/>
        <v>18106</v>
      </c>
      <c r="BC174" s="14">
        <f t="shared" si="421"/>
        <v>18106</v>
      </c>
      <c r="BD174" s="14">
        <f>INDEX(属性投放!$DL$6:$DL$85,(卡牌属性!AG174-2)*20+卡牌属性!AN174)</f>
        <v>92</v>
      </c>
      <c r="BE174" s="14">
        <f t="shared" si="422"/>
        <v>92</v>
      </c>
      <c r="BF174" s="14">
        <f t="shared" si="422"/>
        <v>92</v>
      </c>
      <c r="BG174" s="14">
        <f t="shared" si="422"/>
        <v>92</v>
      </c>
      <c r="BH174" s="14">
        <f t="shared" si="422"/>
        <v>92</v>
      </c>
      <c r="BI174" s="14">
        <f>INDEX(属性投放!$DM$6:$DM$85,(卡牌属性!AG174-2)*20+卡牌属性!AN174)</f>
        <v>46</v>
      </c>
      <c r="BJ174" s="14">
        <f t="shared" si="423"/>
        <v>46</v>
      </c>
      <c r="BK174" s="14">
        <f t="shared" si="423"/>
        <v>46</v>
      </c>
      <c r="BL174" s="14">
        <f t="shared" si="423"/>
        <v>46</v>
      </c>
      <c r="BM174" s="14">
        <f t="shared" si="423"/>
        <v>46</v>
      </c>
      <c r="BN174" s="14">
        <f>INDEX(属性投放!$DN$6:$DN$85,(卡牌属性!AG174-2)*20+卡牌属性!AN174)</f>
        <v>824</v>
      </c>
      <c r="BO174" s="14">
        <f t="shared" si="424"/>
        <v>824</v>
      </c>
      <c r="BP174" s="14">
        <f t="shared" si="424"/>
        <v>824</v>
      </c>
      <c r="BQ174" s="14">
        <f t="shared" si="424"/>
        <v>824</v>
      </c>
      <c r="BR174" s="14">
        <f t="shared" si="424"/>
        <v>824</v>
      </c>
      <c r="BW174" s="13">
        <v>170</v>
      </c>
      <c r="BX174" s="13">
        <f t="shared" si="320"/>
        <v>9</v>
      </c>
      <c r="BY174" s="14">
        <f t="shared" si="321"/>
        <v>3</v>
      </c>
      <c r="BZ174" s="14">
        <f t="shared" si="332"/>
        <v>1102009</v>
      </c>
      <c r="CA174" s="14" t="str">
        <f t="shared" si="333"/>
        <v>徐晃10突</v>
      </c>
      <c r="CB174" s="25" t="s">
        <v>142</v>
      </c>
      <c r="CC174" s="14">
        <v>2</v>
      </c>
      <c r="CD174" s="14">
        <f t="shared" si="322"/>
        <v>10</v>
      </c>
      <c r="CE174" s="14" t="s">
        <v>21</v>
      </c>
      <c r="CF174" s="14">
        <f>INDEX(属性投放!$AZ$6:$AZ$85,(BY174-2)*20+CD174)</f>
        <v>2826</v>
      </c>
      <c r="CG174" s="14" t="s">
        <v>22</v>
      </c>
      <c r="CH174" s="14">
        <f>INDEX(属性投放!$BA$6:$BA$85,(BY174-2)*20+CD174)</f>
        <v>1362</v>
      </c>
      <c r="CI174" s="14" t="s">
        <v>510</v>
      </c>
      <c r="CJ174" s="14">
        <f>INDEX(属性投放!$BB$6:$BB$85,(BY174-2)*20+CD174)</f>
        <v>20055</v>
      </c>
      <c r="CK174" s="14" t="s">
        <v>21</v>
      </c>
      <c r="CL174" s="14">
        <f>INDEX(属性投放!$BC$6:$BC$85,(BY174-2)*20+CD174)</f>
        <v>20</v>
      </c>
      <c r="CM174" s="14" t="s">
        <v>22</v>
      </c>
      <c r="CN174" s="14">
        <f>INDEX(属性投放!$BD$6:$BD$85,(BY174-2)*20+CD174)</f>
        <v>10</v>
      </c>
      <c r="CO174" s="14" t="s">
        <v>510</v>
      </c>
      <c r="CP174" s="14">
        <f>INDEX(属性投放!$BE$6:$BE$85,(BY174-2)*20+CD174)</f>
        <v>180</v>
      </c>
      <c r="CS174" s="13">
        <v>170</v>
      </c>
      <c r="CT174" s="13">
        <f t="shared" si="334"/>
        <v>4</v>
      </c>
      <c r="CU174" s="13">
        <f t="shared" si="335"/>
        <v>14</v>
      </c>
      <c r="CV174" s="14">
        <f t="shared" si="336"/>
        <v>2</v>
      </c>
      <c r="CW174" s="14">
        <f t="shared" si="337"/>
        <v>1102004</v>
      </c>
      <c r="CX174" s="14" t="str">
        <f>INDEX($O$6:$O$50,CT174)&amp;"-"&amp;INDEX(属性投放!$AB$7:$AB$50,CZ174)&amp;"-魂火-"&amp;DB174</f>
        <v>唐流雨-叫唤+1-魂火-1</v>
      </c>
      <c r="CY174" s="25" t="s">
        <v>142</v>
      </c>
      <c r="CZ174" s="14">
        <f>INDEX(属性投放!$AM$7:$AM$58,CU174)</f>
        <v>8</v>
      </c>
      <c r="DA174" s="14" t="s">
        <v>537</v>
      </c>
      <c r="DB174" s="14">
        <f>INDEX(属性投放!$AN$7:$AN$58,CU174)</f>
        <v>1</v>
      </c>
      <c r="DC174" s="14">
        <f t="shared" si="323"/>
        <v>14</v>
      </c>
      <c r="DD174" s="14">
        <f>INDEX(属性投放!$AO$7:$AO$58,DC174)</f>
        <v>53</v>
      </c>
      <c r="DE174" s="14" t="s">
        <v>538</v>
      </c>
      <c r="DF174" s="14">
        <f>INDEX(属性投放!$BK$6:$BK$85,(CV174-2)*20+CZ174)</f>
        <v>70</v>
      </c>
      <c r="DG174" s="14">
        <f>SUMIFS(DF$5:DF174,$CT$5:$CT174,"="&amp;$CT174)</f>
        <v>495</v>
      </c>
      <c r="DH174" s="14" t="s">
        <v>539</v>
      </c>
      <c r="DI174" s="14">
        <f>INDEX(属性投放!$BL$6:$BL$85,(CV174-2)*20+CZ174)</f>
        <v>35</v>
      </c>
      <c r="DJ174" s="14">
        <f>SUMIFS(DI$5:DI174,$CT$5:$CT174,"="&amp;$CT174)</f>
        <v>251</v>
      </c>
      <c r="DK174" s="14" t="s">
        <v>540</v>
      </c>
      <c r="DL174" s="14">
        <f>INDEX(属性投放!$BM$6:$BM$85,(CV174-2)*20+CZ174)</f>
        <v>560</v>
      </c>
      <c r="DM174" s="14">
        <f>SUMIFS(DL$5:DL174,$CT$5:$CT174,"="&amp;$CT174)</f>
        <v>3540</v>
      </c>
      <c r="DR174" s="14">
        <f t="shared" si="324"/>
        <v>1102009</v>
      </c>
      <c r="DS174" s="14" t="str">
        <f t="shared" si="325"/>
        <v>徐晃10突</v>
      </c>
      <c r="DT174" s="14">
        <f t="shared" si="338"/>
        <v>4</v>
      </c>
      <c r="DU174" s="14">
        <f t="shared" si="339"/>
        <v>5</v>
      </c>
      <c r="DV174" s="14">
        <f t="shared" si="340"/>
        <v>7</v>
      </c>
      <c r="DW174" s="14">
        <f t="shared" si="326"/>
        <v>3</v>
      </c>
      <c r="DX174" s="14">
        <f t="shared" si="327"/>
        <v>10</v>
      </c>
      <c r="DY174" s="14">
        <f t="shared" si="328"/>
        <v>30</v>
      </c>
      <c r="DZ174" s="14">
        <f>INDEX(属性投放!$AX$6:$AX$85,(卡牌属性!DW174-2)*20+卡牌属性!DX174)</f>
        <v>7</v>
      </c>
      <c r="EA174" s="14">
        <f>INDEX(属性投放!BQ$6:BQ$85,卡牌属性!$DY174)</f>
        <v>175</v>
      </c>
      <c r="EB174" s="14">
        <f>INDEX(属性投放!BR$6:BR$85,卡牌属性!$DY174)</f>
        <v>88</v>
      </c>
      <c r="EC174" s="14">
        <f>INDEX(属性投放!BS$6:BS$85,卡牌属性!$DY174)</f>
        <v>1575</v>
      </c>
      <c r="ED174" s="14">
        <f t="shared" si="425"/>
        <v>1645</v>
      </c>
      <c r="EE174" s="14">
        <f t="shared" si="426"/>
        <v>1816</v>
      </c>
      <c r="EF174" s="14">
        <f t="shared" si="427"/>
        <v>1929</v>
      </c>
      <c r="EG174" s="14">
        <f t="shared" si="428"/>
        <v>1929</v>
      </c>
      <c r="EH174" s="14">
        <f t="shared" si="429"/>
        <v>2338</v>
      </c>
      <c r="EI174" s="14">
        <f t="shared" si="430"/>
        <v>874</v>
      </c>
      <c r="EJ174" s="14">
        <f t="shared" si="431"/>
        <v>930</v>
      </c>
      <c r="EK174" s="14">
        <f t="shared" si="432"/>
        <v>930</v>
      </c>
      <c r="EL174" s="14">
        <f t="shared" si="433"/>
        <v>1140</v>
      </c>
      <c r="EM174" s="14">
        <f t="shared" si="434"/>
        <v>1229</v>
      </c>
      <c r="EN174" s="14">
        <f t="shared" si="435"/>
        <v>16173</v>
      </c>
      <c r="EO174" s="14">
        <f t="shared" si="436"/>
        <v>17377</v>
      </c>
      <c r="EP174" s="14">
        <f t="shared" si="437"/>
        <v>17377</v>
      </c>
      <c r="EQ174" s="14">
        <f t="shared" si="438"/>
        <v>18735</v>
      </c>
      <c r="ER174" s="14">
        <f t="shared" si="439"/>
        <v>21965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270</v>
      </c>
      <c r="FD174" s="14">
        <f>INDEX(属性偏向!$U$4:$U$243,(卡牌属性!$DV174-1+FD$3)*20+卡牌属性!$DX174)</f>
        <v>315</v>
      </c>
      <c r="FE174" s="14">
        <f>INDEX(属性偏向!$U$4:$U$243,(卡牌属性!$DV174-1+FE$3)*20+卡牌属性!$DX174)</f>
        <v>315</v>
      </c>
      <c r="FF174" s="14">
        <f>INDEX(属性偏向!$U$4:$U$243,(卡牌属性!$DV174-1+FF$3)*20+卡牌属性!$DX174)</f>
        <v>360</v>
      </c>
      <c r="FG174" s="14">
        <f>INDEX(属性偏向!$U$4:$U$243,(卡牌属性!$DV174-1+FG$3)*20+卡牌属性!$DX174)</f>
        <v>450</v>
      </c>
      <c r="FH174" s="14">
        <f>INDEX(属性投放!$BQ$6:$BQ$85,(卡牌属性!$DW174-2)*20+卡牌属性!$DX174)</f>
        <v>175</v>
      </c>
      <c r="FI174" s="14">
        <f>INDEX(属性投放!$BQ$6:$BQ$85,(卡牌属性!$DW174-2)*20+卡牌属性!$DX174)</f>
        <v>175</v>
      </c>
      <c r="FJ174" s="14">
        <f>INDEX(属性投放!$BQ$6:$BQ$85,(卡牌属性!$DW174-2)*20+卡牌属性!$DX174)</f>
        <v>175</v>
      </c>
      <c r="FK174" s="14">
        <f>INDEX(属性投放!$BQ$6:$BQ$85,(卡牌属性!$DW174-2)*20+卡牌属性!$DX174)</f>
        <v>175</v>
      </c>
      <c r="FL174" s="14">
        <f>INDEX(属性投放!$BQ$6:$BQ$85,(卡牌属性!$DW174-2)*20+卡牌属性!$DX174)</f>
        <v>175</v>
      </c>
      <c r="FM174" s="14">
        <f>INDEX(属性投放!$BR$6:$BR$85,(卡牌属性!$DW174-2)*20+卡牌属性!$DX174)</f>
        <v>88</v>
      </c>
      <c r="FN174" s="14">
        <f>INDEX(属性投放!$BR$6:$BR$85,(卡牌属性!$DW174-2)*20+卡牌属性!$DX174)</f>
        <v>88</v>
      </c>
      <c r="FO174" s="14">
        <f>INDEX(属性投放!$BR$6:$BR$85,(卡牌属性!$DW174-2)*20+卡牌属性!$DX174)</f>
        <v>88</v>
      </c>
      <c r="FP174" s="14">
        <f>INDEX(属性投放!$BR$6:$BR$85,(卡牌属性!$DW174-2)*20+卡牌属性!$DX174)</f>
        <v>88</v>
      </c>
      <c r="FQ174" s="14">
        <f>INDEX(属性投放!$BR$6:$BR$85,(卡牌属性!$DW174-2)*20+卡牌属性!$DX174)</f>
        <v>88</v>
      </c>
      <c r="FR174" s="14">
        <f>INDEX(属性投放!$BS$6:$BS$85,(卡牌属性!$DW174-2)*20+卡牌属性!$DX174)</f>
        <v>1575</v>
      </c>
      <c r="FS174" s="14">
        <f>INDEX(属性投放!$BS$6:$BS$85,(卡牌属性!$DW174-2)*20+卡牌属性!$DX174)</f>
        <v>1575</v>
      </c>
      <c r="FT174" s="14">
        <f>INDEX(属性投放!$BS$6:$BS$85,(卡牌属性!$DW174-2)*20+卡牌属性!$DX174)</f>
        <v>1575</v>
      </c>
      <c r="FU174" s="14">
        <f>INDEX(属性投放!$BS$6:$BS$85,(卡牌属性!$DW174-2)*20+卡牌属性!$DX174)</f>
        <v>1575</v>
      </c>
      <c r="FV174" s="14">
        <f>INDEX(属性投放!$BS$6:$BS$85,(卡牌属性!$DW174-2)*20+卡牌属性!$DX174)</f>
        <v>1575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1"/>
        <v>9</v>
      </c>
      <c r="AG175" s="13">
        <f t="shared" si="316"/>
        <v>3</v>
      </c>
      <c r="AH175" s="13"/>
      <c r="AI175" s="13"/>
      <c r="AJ175" s="14">
        <f t="shared" si="317"/>
        <v>1101009</v>
      </c>
      <c r="AK175" s="14" t="str">
        <f t="shared" si="318"/>
        <v>北落师门11突</v>
      </c>
      <c r="AL175" s="25" t="s">
        <v>142</v>
      </c>
      <c r="AM175" s="14">
        <v>1</v>
      </c>
      <c r="AN175" s="14">
        <f t="shared" si="319"/>
        <v>11</v>
      </c>
      <c r="AO175" s="14">
        <f>INDEX(属性投放!$DF$6:$DF$85,(卡牌属性!AG175-2)*20+卡牌属性!AN175)</f>
        <v>2840</v>
      </c>
      <c r="AP175" s="14">
        <f t="shared" si="419"/>
        <v>2840</v>
      </c>
      <c r="AQ175" s="14">
        <f t="shared" si="419"/>
        <v>2840</v>
      </c>
      <c r="AR175" s="14">
        <f t="shared" si="419"/>
        <v>2840</v>
      </c>
      <c r="AS175" s="14">
        <f t="shared" si="419"/>
        <v>2840</v>
      </c>
      <c r="AT175" s="14">
        <f>INDEX(属性投放!$DG$6:$DG$85,(卡牌属性!AG175-2)*20+卡牌属性!AN175)</f>
        <v>1358</v>
      </c>
      <c r="AU175" s="14">
        <f t="shared" si="420"/>
        <v>1358</v>
      </c>
      <c r="AV175" s="14">
        <f t="shared" si="420"/>
        <v>1358</v>
      </c>
      <c r="AW175" s="14">
        <f t="shared" si="420"/>
        <v>1358</v>
      </c>
      <c r="AX175" s="14">
        <f t="shared" si="420"/>
        <v>1358</v>
      </c>
      <c r="AY175" s="14">
        <f>INDEX(属性投放!$DH$6:$DH$85,(卡牌属性!AG175-2)*20+卡牌属性!AN175)</f>
        <v>20460</v>
      </c>
      <c r="AZ175" s="14">
        <f t="shared" si="421"/>
        <v>20460</v>
      </c>
      <c r="BA175" s="14">
        <f t="shared" si="421"/>
        <v>20460</v>
      </c>
      <c r="BB175" s="14">
        <f t="shared" si="421"/>
        <v>20460</v>
      </c>
      <c r="BC175" s="14">
        <f t="shared" si="421"/>
        <v>20460</v>
      </c>
      <c r="BD175" s="14">
        <f>INDEX(属性投放!$DL$6:$DL$85,(卡牌属性!AG175-2)*20+卡牌属性!AN175)</f>
        <v>92</v>
      </c>
      <c r="BE175" s="14">
        <f t="shared" si="422"/>
        <v>92</v>
      </c>
      <c r="BF175" s="14">
        <f t="shared" si="422"/>
        <v>92</v>
      </c>
      <c r="BG175" s="14">
        <f t="shared" si="422"/>
        <v>92</v>
      </c>
      <c r="BH175" s="14">
        <f t="shared" si="422"/>
        <v>92</v>
      </c>
      <c r="BI175" s="14">
        <f>INDEX(属性投放!$DM$6:$DM$85,(卡牌属性!AG175-2)*20+卡牌属性!AN175)</f>
        <v>46</v>
      </c>
      <c r="BJ175" s="14">
        <f t="shared" si="423"/>
        <v>46</v>
      </c>
      <c r="BK175" s="14">
        <f t="shared" si="423"/>
        <v>46</v>
      </c>
      <c r="BL175" s="14">
        <f t="shared" si="423"/>
        <v>46</v>
      </c>
      <c r="BM175" s="14">
        <f t="shared" si="423"/>
        <v>46</v>
      </c>
      <c r="BN175" s="14">
        <f>INDEX(属性投放!$DN$6:$DN$85,(卡牌属性!AG175-2)*20+卡牌属性!AN175)</f>
        <v>824</v>
      </c>
      <c r="BO175" s="14">
        <f t="shared" si="424"/>
        <v>824</v>
      </c>
      <c r="BP175" s="14">
        <f t="shared" si="424"/>
        <v>824</v>
      </c>
      <c r="BQ175" s="14">
        <f t="shared" si="424"/>
        <v>824</v>
      </c>
      <c r="BR175" s="14">
        <f t="shared" si="424"/>
        <v>824</v>
      </c>
      <c r="BW175" s="13">
        <v>171</v>
      </c>
      <c r="BX175" s="13">
        <f t="shared" si="320"/>
        <v>9</v>
      </c>
      <c r="BY175" s="14">
        <f t="shared" si="321"/>
        <v>3</v>
      </c>
      <c r="BZ175" s="14">
        <f t="shared" si="332"/>
        <v>1102009</v>
      </c>
      <c r="CA175" s="14" t="str">
        <f t="shared" si="333"/>
        <v>徐晃11突</v>
      </c>
      <c r="CB175" s="25" t="s">
        <v>142</v>
      </c>
      <c r="CC175" s="14">
        <v>2</v>
      </c>
      <c r="CD175" s="14">
        <f t="shared" si="322"/>
        <v>11</v>
      </c>
      <c r="CE175" s="14" t="s">
        <v>21</v>
      </c>
      <c r="CF175" s="14">
        <f>INDEX(属性投放!$AZ$6:$AZ$85,(BY175-2)*20+CD175)</f>
        <v>3501</v>
      </c>
      <c r="CG175" s="14" t="s">
        <v>22</v>
      </c>
      <c r="CH175" s="14">
        <f>INDEX(属性投放!$BA$6:$BA$85,(BY175-2)*20+CD175)</f>
        <v>1700</v>
      </c>
      <c r="CI175" s="14" t="s">
        <v>510</v>
      </c>
      <c r="CJ175" s="14">
        <f>INDEX(属性投放!$BB$6:$BB$85,(BY175-2)*20+CD175)</f>
        <v>26130</v>
      </c>
      <c r="CK175" s="14" t="s">
        <v>21</v>
      </c>
      <c r="CL175" s="14">
        <f>INDEX(属性投放!$BC$6:$BC$85,(BY175-2)*20+CD175)</f>
        <v>20</v>
      </c>
      <c r="CM175" s="14" t="s">
        <v>22</v>
      </c>
      <c r="CN175" s="14">
        <f>INDEX(属性投放!$BD$6:$BD$85,(BY175-2)*20+CD175)</f>
        <v>10</v>
      </c>
      <c r="CO175" s="14" t="s">
        <v>510</v>
      </c>
      <c r="CP175" s="14">
        <f>INDEX(属性投放!$BE$6:$BE$85,(BY175-2)*20+CD175)</f>
        <v>180</v>
      </c>
      <c r="CS175" s="13">
        <v>171</v>
      </c>
      <c r="CT175" s="13">
        <f t="shared" si="334"/>
        <v>4</v>
      </c>
      <c r="CU175" s="13">
        <f t="shared" si="335"/>
        <v>15</v>
      </c>
      <c r="CV175" s="14">
        <f t="shared" si="336"/>
        <v>2</v>
      </c>
      <c r="CW175" s="14">
        <f t="shared" si="337"/>
        <v>1102004</v>
      </c>
      <c r="CX175" s="14" t="str">
        <f>INDEX($O$6:$O$50,CT175)&amp;"-"&amp;INDEX(属性投放!$AB$7:$AB$50,CZ175)&amp;"-魂火-"&amp;DB175</f>
        <v>唐流雨-叫唤+1-魂火-2</v>
      </c>
      <c r="CY175" s="25" t="s">
        <v>142</v>
      </c>
      <c r="CZ175" s="14">
        <f>INDEX(属性投放!$AM$7:$AM$58,CU175)</f>
        <v>8</v>
      </c>
      <c r="DA175" s="14" t="s">
        <v>537</v>
      </c>
      <c r="DB175" s="14">
        <f>INDEX(属性投放!$AN$7:$AN$58,CU175)</f>
        <v>2</v>
      </c>
      <c r="DC175" s="14">
        <f t="shared" si="323"/>
        <v>15</v>
      </c>
      <c r="DD175" s="14">
        <f>INDEX(属性投放!$AO$7:$AO$58,DC175)</f>
        <v>55</v>
      </c>
      <c r="DE175" s="14" t="s">
        <v>538</v>
      </c>
      <c r="DF175" s="14">
        <f>INDEX(属性投放!$BK$6:$BK$85,(CV175-2)*20+CZ175)</f>
        <v>70</v>
      </c>
      <c r="DG175" s="14">
        <f>SUMIFS(DF$5:DF175,$CT$5:$CT175,"="&amp;$CT175)</f>
        <v>565</v>
      </c>
      <c r="DH175" s="14" t="s">
        <v>539</v>
      </c>
      <c r="DI175" s="14">
        <f>INDEX(属性投放!$BL$6:$BL$85,(CV175-2)*20+CZ175)</f>
        <v>35</v>
      </c>
      <c r="DJ175" s="14">
        <f>SUMIFS(DI$5:DI175,$CT$5:$CT175,"="&amp;$CT175)</f>
        <v>286</v>
      </c>
      <c r="DK175" s="14" t="s">
        <v>540</v>
      </c>
      <c r="DL175" s="14">
        <f>INDEX(属性投放!$BM$6:$BM$85,(CV175-2)*20+CZ175)</f>
        <v>560</v>
      </c>
      <c r="DM175" s="14">
        <f>SUMIFS(DL$5:DL175,$CT$5:$CT175,"="&amp;$CT175)</f>
        <v>4100</v>
      </c>
      <c r="DR175" s="14">
        <f t="shared" si="324"/>
        <v>1102009</v>
      </c>
      <c r="DS175" s="14" t="str">
        <f t="shared" si="325"/>
        <v>徐晃11突</v>
      </c>
      <c r="DT175" s="14">
        <f t="shared" si="338"/>
        <v>4</v>
      </c>
      <c r="DU175" s="14">
        <f t="shared" si="339"/>
        <v>5</v>
      </c>
      <c r="DV175" s="14">
        <f t="shared" si="340"/>
        <v>7</v>
      </c>
      <c r="DW175" s="14">
        <f t="shared" si="326"/>
        <v>3</v>
      </c>
      <c r="DX175" s="14">
        <f t="shared" si="327"/>
        <v>11</v>
      </c>
      <c r="DY175" s="14">
        <f t="shared" si="328"/>
        <v>31</v>
      </c>
      <c r="DZ175" s="14">
        <f>INDEX(属性投放!$AX$6:$AX$85,(卡牌属性!DW175-2)*20+卡牌属性!DX175)</f>
        <v>8</v>
      </c>
      <c r="EA175" s="14">
        <f>INDEX(属性投放!BQ$6:BQ$85,卡牌属性!$DY175)</f>
        <v>240</v>
      </c>
      <c r="EB175" s="14">
        <f>INDEX(属性投放!BR$6:BR$85,卡牌属性!$DY175)</f>
        <v>120</v>
      </c>
      <c r="EC175" s="14">
        <f>INDEX(属性投放!BS$6:BS$85,卡牌属性!$DY175)</f>
        <v>2160</v>
      </c>
      <c r="ED175" s="14">
        <f t="shared" si="425"/>
        <v>1925</v>
      </c>
      <c r="EE175" s="14">
        <f t="shared" si="426"/>
        <v>2131</v>
      </c>
      <c r="EF175" s="14">
        <f t="shared" si="427"/>
        <v>2251</v>
      </c>
      <c r="EG175" s="14">
        <f t="shared" si="428"/>
        <v>2251</v>
      </c>
      <c r="EH175" s="14">
        <f t="shared" si="429"/>
        <v>2723</v>
      </c>
      <c r="EI175" s="14">
        <f t="shared" si="430"/>
        <v>1032</v>
      </c>
      <c r="EJ175" s="14">
        <f t="shared" si="431"/>
        <v>1095</v>
      </c>
      <c r="EK175" s="14">
        <f t="shared" si="432"/>
        <v>1095</v>
      </c>
      <c r="EL175" s="14">
        <f t="shared" si="433"/>
        <v>1333</v>
      </c>
      <c r="EM175" s="14">
        <f t="shared" si="434"/>
        <v>1443</v>
      </c>
      <c r="EN175" s="14">
        <f t="shared" si="435"/>
        <v>19638</v>
      </c>
      <c r="EO175" s="14">
        <f t="shared" si="436"/>
        <v>21157</v>
      </c>
      <c r="EP175" s="14">
        <f t="shared" si="437"/>
        <v>21157</v>
      </c>
      <c r="EQ175" s="14">
        <f t="shared" si="438"/>
        <v>22830</v>
      </c>
      <c r="ER175" s="14">
        <f t="shared" si="439"/>
        <v>26690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270</v>
      </c>
      <c r="FD175" s="14">
        <f>INDEX(属性偏向!$U$4:$U$243,(卡牌属性!$DV175-1+FD$3)*20+卡牌属性!$DX175)</f>
        <v>315</v>
      </c>
      <c r="FE175" s="14">
        <f>INDEX(属性偏向!$U$4:$U$243,(卡牌属性!$DV175-1+FE$3)*20+卡牌属性!$DX175)</f>
        <v>315</v>
      </c>
      <c r="FF175" s="14">
        <f>INDEX(属性偏向!$U$4:$U$243,(卡牌属性!$DV175-1+FF$3)*20+卡牌属性!$DX175)</f>
        <v>360</v>
      </c>
      <c r="FG175" s="14">
        <f>INDEX(属性偏向!$U$4:$U$243,(卡牌属性!$DV175-1+FG$3)*20+卡牌属性!$DX175)</f>
        <v>450</v>
      </c>
      <c r="FH175" s="14">
        <f>INDEX(属性投放!$BQ$6:$BQ$85,(卡牌属性!$DW175-2)*20+卡牌属性!$DX175)</f>
        <v>240</v>
      </c>
      <c r="FI175" s="14">
        <f>INDEX(属性投放!$BQ$6:$BQ$85,(卡牌属性!$DW175-2)*20+卡牌属性!$DX175)</f>
        <v>240</v>
      </c>
      <c r="FJ175" s="14">
        <f>INDEX(属性投放!$BQ$6:$BQ$85,(卡牌属性!$DW175-2)*20+卡牌属性!$DX175)</f>
        <v>240</v>
      </c>
      <c r="FK175" s="14">
        <f>INDEX(属性投放!$BQ$6:$BQ$85,(卡牌属性!$DW175-2)*20+卡牌属性!$DX175)</f>
        <v>240</v>
      </c>
      <c r="FL175" s="14">
        <f>INDEX(属性投放!$BQ$6:$BQ$85,(卡牌属性!$DW175-2)*20+卡牌属性!$DX175)</f>
        <v>240</v>
      </c>
      <c r="FM175" s="14">
        <f>INDEX(属性投放!$BR$6:$BR$85,(卡牌属性!$DW175-2)*20+卡牌属性!$DX175)</f>
        <v>120</v>
      </c>
      <c r="FN175" s="14">
        <f>INDEX(属性投放!$BR$6:$BR$85,(卡牌属性!$DW175-2)*20+卡牌属性!$DX175)</f>
        <v>120</v>
      </c>
      <c r="FO175" s="14">
        <f>INDEX(属性投放!$BR$6:$BR$85,(卡牌属性!$DW175-2)*20+卡牌属性!$DX175)</f>
        <v>120</v>
      </c>
      <c r="FP175" s="14">
        <f>INDEX(属性投放!$BR$6:$BR$85,(卡牌属性!$DW175-2)*20+卡牌属性!$DX175)</f>
        <v>120</v>
      </c>
      <c r="FQ175" s="14">
        <f>INDEX(属性投放!$BR$6:$BR$85,(卡牌属性!$DW175-2)*20+卡牌属性!$DX175)</f>
        <v>120</v>
      </c>
      <c r="FR175" s="14">
        <f>INDEX(属性投放!$BS$6:$BS$85,(卡牌属性!$DW175-2)*20+卡牌属性!$DX175)</f>
        <v>2160</v>
      </c>
      <c r="FS175" s="14">
        <f>INDEX(属性投放!$BS$6:$BS$85,(卡牌属性!$DW175-2)*20+卡牌属性!$DX175)</f>
        <v>2160</v>
      </c>
      <c r="FT175" s="14">
        <f>INDEX(属性投放!$BS$6:$BS$85,(卡牌属性!$DW175-2)*20+卡牌属性!$DX175)</f>
        <v>2160</v>
      </c>
      <c r="FU175" s="14">
        <f>INDEX(属性投放!$BS$6:$BS$85,(卡牌属性!$DW175-2)*20+卡牌属性!$DX175)</f>
        <v>2160</v>
      </c>
      <c r="FV175" s="14">
        <f>INDEX(属性投放!$BS$6:$BS$85,(卡牌属性!$DW175-2)*20+卡牌属性!$DX175)</f>
        <v>2160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1"/>
        <v>9</v>
      </c>
      <c r="AG176" s="13">
        <f t="shared" si="316"/>
        <v>3</v>
      </c>
      <c r="AH176" s="13"/>
      <c r="AI176" s="13"/>
      <c r="AJ176" s="14">
        <f t="shared" si="317"/>
        <v>1101009</v>
      </c>
      <c r="AK176" s="14" t="str">
        <f t="shared" si="318"/>
        <v>北落师门12突</v>
      </c>
      <c r="AL176" s="25" t="s">
        <v>142</v>
      </c>
      <c r="AM176" s="14">
        <v>1</v>
      </c>
      <c r="AN176" s="14">
        <f t="shared" si="319"/>
        <v>12</v>
      </c>
      <c r="AO176" s="14">
        <f>INDEX(属性投放!$DF$6:$DF$85,(卡牌属性!AG176-2)*20+卡牌属性!AN176)</f>
        <v>3102</v>
      </c>
      <c r="AP176" s="14">
        <f t="shared" si="419"/>
        <v>3102</v>
      </c>
      <c r="AQ176" s="14">
        <f t="shared" si="419"/>
        <v>3102</v>
      </c>
      <c r="AR176" s="14">
        <f t="shared" si="419"/>
        <v>3102</v>
      </c>
      <c r="AS176" s="14">
        <f t="shared" si="419"/>
        <v>3102</v>
      </c>
      <c r="AT176" s="14">
        <f>INDEX(属性投放!$DG$6:$DG$85,(卡牌属性!AG176-2)*20+卡牌属性!AN176)</f>
        <v>1489</v>
      </c>
      <c r="AU176" s="14">
        <f t="shared" si="420"/>
        <v>1489</v>
      </c>
      <c r="AV176" s="14">
        <f t="shared" si="420"/>
        <v>1489</v>
      </c>
      <c r="AW176" s="14">
        <f t="shared" si="420"/>
        <v>1489</v>
      </c>
      <c r="AX176" s="14">
        <f t="shared" si="420"/>
        <v>1489</v>
      </c>
      <c r="AY176" s="14">
        <f>INDEX(属性投放!$DH$6:$DH$85,(卡牌属性!AG176-2)*20+卡牌属性!AN176)</f>
        <v>22814</v>
      </c>
      <c r="AZ176" s="14">
        <f t="shared" si="421"/>
        <v>22814</v>
      </c>
      <c r="BA176" s="14">
        <f t="shared" si="421"/>
        <v>22814</v>
      </c>
      <c r="BB176" s="14">
        <f t="shared" si="421"/>
        <v>22814</v>
      </c>
      <c r="BC176" s="14">
        <f t="shared" si="421"/>
        <v>22814</v>
      </c>
      <c r="BD176" s="14">
        <f>INDEX(属性投放!$DL$6:$DL$85,(卡牌属性!AG176-2)*20+卡牌属性!AN176)</f>
        <v>92</v>
      </c>
      <c r="BE176" s="14">
        <f t="shared" si="422"/>
        <v>92</v>
      </c>
      <c r="BF176" s="14">
        <f t="shared" si="422"/>
        <v>92</v>
      </c>
      <c r="BG176" s="14">
        <f t="shared" si="422"/>
        <v>92</v>
      </c>
      <c r="BH176" s="14">
        <f t="shared" si="422"/>
        <v>92</v>
      </c>
      <c r="BI176" s="14">
        <f>INDEX(属性投放!$DM$6:$DM$85,(卡牌属性!AG176-2)*20+卡牌属性!AN176)</f>
        <v>46</v>
      </c>
      <c r="BJ176" s="14">
        <f t="shared" si="423"/>
        <v>46</v>
      </c>
      <c r="BK176" s="14">
        <f t="shared" si="423"/>
        <v>46</v>
      </c>
      <c r="BL176" s="14">
        <f t="shared" si="423"/>
        <v>46</v>
      </c>
      <c r="BM176" s="14">
        <f t="shared" si="423"/>
        <v>46</v>
      </c>
      <c r="BN176" s="14">
        <f>INDEX(属性投放!$DN$6:$DN$85,(卡牌属性!AG176-2)*20+卡牌属性!AN176)</f>
        <v>824</v>
      </c>
      <c r="BO176" s="14">
        <f t="shared" si="424"/>
        <v>824</v>
      </c>
      <c r="BP176" s="14">
        <f t="shared" si="424"/>
        <v>824</v>
      </c>
      <c r="BQ176" s="14">
        <f t="shared" si="424"/>
        <v>824</v>
      </c>
      <c r="BR176" s="14">
        <f t="shared" si="424"/>
        <v>824</v>
      </c>
      <c r="BW176" s="13">
        <v>172</v>
      </c>
      <c r="BX176" s="13">
        <f t="shared" si="320"/>
        <v>9</v>
      </c>
      <c r="BY176" s="14">
        <f t="shared" si="321"/>
        <v>3</v>
      </c>
      <c r="BZ176" s="14">
        <f t="shared" si="332"/>
        <v>1102009</v>
      </c>
      <c r="CA176" s="14" t="str">
        <f t="shared" si="333"/>
        <v>徐晃12突</v>
      </c>
      <c r="CB176" s="25" t="s">
        <v>142</v>
      </c>
      <c r="CC176" s="14">
        <v>2</v>
      </c>
      <c r="CD176" s="14">
        <f t="shared" si="322"/>
        <v>12</v>
      </c>
      <c r="CE176" s="14" t="s">
        <v>21</v>
      </c>
      <c r="CF176" s="14">
        <f>INDEX(属性投放!$AZ$6:$AZ$85,(BY176-2)*20+CD176)</f>
        <v>4351</v>
      </c>
      <c r="CG176" s="14" t="s">
        <v>22</v>
      </c>
      <c r="CH176" s="14">
        <f>INDEX(属性投放!$BA$6:$BA$85,(BY176-2)*20+CD176)</f>
        <v>2125</v>
      </c>
      <c r="CI176" s="14" t="s">
        <v>510</v>
      </c>
      <c r="CJ176" s="14">
        <f>INDEX(属性投放!$BB$6:$BB$85,(BY176-2)*20+CD176)</f>
        <v>33780</v>
      </c>
      <c r="CK176" s="14" t="s">
        <v>21</v>
      </c>
      <c r="CL176" s="14">
        <f>INDEX(属性投放!$BC$6:$BC$85,(BY176-2)*20+CD176)</f>
        <v>20</v>
      </c>
      <c r="CM176" s="14" t="s">
        <v>22</v>
      </c>
      <c r="CN176" s="14">
        <f>INDEX(属性投放!$BD$6:$BD$85,(BY176-2)*20+CD176)</f>
        <v>10</v>
      </c>
      <c r="CO176" s="14" t="s">
        <v>510</v>
      </c>
      <c r="CP176" s="14">
        <f>INDEX(属性投放!$BE$6:$BE$85,(BY176-2)*20+CD176)</f>
        <v>180</v>
      </c>
      <c r="CS176" s="13">
        <v>172</v>
      </c>
      <c r="CT176" s="13">
        <f t="shared" si="334"/>
        <v>4</v>
      </c>
      <c r="CU176" s="13">
        <f t="shared" si="335"/>
        <v>16</v>
      </c>
      <c r="CV176" s="14">
        <f t="shared" si="336"/>
        <v>2</v>
      </c>
      <c r="CW176" s="14">
        <f t="shared" si="337"/>
        <v>1102004</v>
      </c>
      <c r="CX176" s="14" t="str">
        <f>INDEX($O$6:$O$50,CT176)&amp;"-"&amp;INDEX(属性投放!$AB$7:$AB$50,CZ176)&amp;"-魂火-"&amp;DB176</f>
        <v>唐流雨-叫唤+2-魂火-1</v>
      </c>
      <c r="CY176" s="25" t="s">
        <v>142</v>
      </c>
      <c r="CZ176" s="14">
        <f>INDEX(属性投放!$AM$7:$AM$58,CU176)</f>
        <v>9</v>
      </c>
      <c r="DA176" s="14" t="s">
        <v>537</v>
      </c>
      <c r="DB176" s="14">
        <f>INDEX(属性投放!$AN$7:$AN$58,CU176)</f>
        <v>1</v>
      </c>
      <c r="DC176" s="14">
        <f t="shared" si="323"/>
        <v>16</v>
      </c>
      <c r="DD176" s="14">
        <f>INDEX(属性投放!$AO$7:$AO$58,DC176)</f>
        <v>58</v>
      </c>
      <c r="DE176" s="14" t="s">
        <v>538</v>
      </c>
      <c r="DF176" s="14">
        <f>INDEX(属性投放!$BK$6:$BK$85,(CV176-2)*20+CZ176)</f>
        <v>80</v>
      </c>
      <c r="DG176" s="14">
        <f>SUMIFS(DF$5:DF176,$CT$5:$CT176,"="&amp;$CT176)</f>
        <v>645</v>
      </c>
      <c r="DH176" s="14" t="s">
        <v>539</v>
      </c>
      <c r="DI176" s="14">
        <f>INDEX(属性投放!$BL$6:$BL$85,(CV176-2)*20+CZ176)</f>
        <v>40</v>
      </c>
      <c r="DJ176" s="14">
        <f>SUMIFS(DI$5:DI176,$CT$5:$CT176,"="&amp;$CT176)</f>
        <v>326</v>
      </c>
      <c r="DK176" s="14" t="s">
        <v>540</v>
      </c>
      <c r="DL176" s="14">
        <f>INDEX(属性投放!$BM$6:$BM$85,(CV176-2)*20+CZ176)</f>
        <v>640</v>
      </c>
      <c r="DM176" s="14">
        <f>SUMIFS(DL$5:DL176,$CT$5:$CT176,"="&amp;$CT176)</f>
        <v>4740</v>
      </c>
      <c r="DR176" s="14">
        <f t="shared" si="324"/>
        <v>1102009</v>
      </c>
      <c r="DS176" s="14" t="str">
        <f t="shared" si="325"/>
        <v>徐晃12突</v>
      </c>
      <c r="DT176" s="14">
        <f t="shared" si="338"/>
        <v>4</v>
      </c>
      <c r="DU176" s="14">
        <f t="shared" si="339"/>
        <v>5</v>
      </c>
      <c r="DV176" s="14">
        <f t="shared" si="340"/>
        <v>7</v>
      </c>
      <c r="DW176" s="14">
        <f t="shared" si="326"/>
        <v>3</v>
      </c>
      <c r="DX176" s="14">
        <f t="shared" si="327"/>
        <v>12</v>
      </c>
      <c r="DY176" s="14">
        <f t="shared" si="328"/>
        <v>32</v>
      </c>
      <c r="DZ176" s="14">
        <f>INDEX(属性投放!$AX$6:$AX$85,(卡牌属性!DW176-2)*20+卡牌属性!DX176)</f>
        <v>7</v>
      </c>
      <c r="EA176" s="14">
        <f>INDEX(属性投放!BQ$6:BQ$85,卡牌属性!$DY176)</f>
        <v>350</v>
      </c>
      <c r="EB176" s="14">
        <f>INDEX(属性投放!BR$6:BR$85,卡牌属性!$DY176)</f>
        <v>175</v>
      </c>
      <c r="EC176" s="14">
        <f>INDEX(属性投放!BS$6:BS$85,卡牌属性!$DY176)</f>
        <v>3150</v>
      </c>
      <c r="ED176" s="14">
        <f t="shared" si="425"/>
        <v>2285</v>
      </c>
      <c r="EE176" s="14">
        <f t="shared" si="426"/>
        <v>2531</v>
      </c>
      <c r="EF176" s="14">
        <f t="shared" si="427"/>
        <v>2659</v>
      </c>
      <c r="EG176" s="14">
        <f t="shared" si="428"/>
        <v>2659</v>
      </c>
      <c r="EH176" s="14">
        <f t="shared" si="429"/>
        <v>3203</v>
      </c>
      <c r="EI176" s="14">
        <f t="shared" si="430"/>
        <v>1232</v>
      </c>
      <c r="EJ176" s="14">
        <f t="shared" si="431"/>
        <v>1303</v>
      </c>
      <c r="EK176" s="14">
        <f t="shared" si="432"/>
        <v>1303</v>
      </c>
      <c r="EL176" s="14">
        <f t="shared" si="433"/>
        <v>1573</v>
      </c>
      <c r="EM176" s="14">
        <f t="shared" si="434"/>
        <v>1707</v>
      </c>
      <c r="EN176" s="14">
        <f t="shared" si="435"/>
        <v>23958</v>
      </c>
      <c r="EO176" s="14">
        <f t="shared" si="436"/>
        <v>25837</v>
      </c>
      <c r="EP176" s="14">
        <f t="shared" si="437"/>
        <v>25837</v>
      </c>
      <c r="EQ176" s="14">
        <f t="shared" si="438"/>
        <v>27870</v>
      </c>
      <c r="ER176" s="14">
        <f t="shared" si="439"/>
        <v>32450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270</v>
      </c>
      <c r="FD176" s="14">
        <f>INDEX(属性偏向!$U$4:$U$243,(卡牌属性!$DV176-1+FD$3)*20+卡牌属性!$DX176)</f>
        <v>315</v>
      </c>
      <c r="FE176" s="14">
        <f>INDEX(属性偏向!$U$4:$U$243,(卡牌属性!$DV176-1+FE$3)*20+卡牌属性!$DX176)</f>
        <v>315</v>
      </c>
      <c r="FF176" s="14">
        <f>INDEX(属性偏向!$U$4:$U$243,(卡牌属性!$DV176-1+FF$3)*20+卡牌属性!$DX176)</f>
        <v>360</v>
      </c>
      <c r="FG176" s="14">
        <f>INDEX(属性偏向!$U$4:$U$243,(卡牌属性!$DV176-1+FG$3)*20+卡牌属性!$DX176)</f>
        <v>450</v>
      </c>
      <c r="FH176" s="14">
        <f>INDEX(属性投放!$BQ$6:$BQ$85,(卡牌属性!$DW176-2)*20+卡牌属性!$DX176)</f>
        <v>350</v>
      </c>
      <c r="FI176" s="14">
        <f>INDEX(属性投放!$BQ$6:$BQ$85,(卡牌属性!$DW176-2)*20+卡牌属性!$DX176)</f>
        <v>350</v>
      </c>
      <c r="FJ176" s="14">
        <f>INDEX(属性投放!$BQ$6:$BQ$85,(卡牌属性!$DW176-2)*20+卡牌属性!$DX176)</f>
        <v>350</v>
      </c>
      <c r="FK176" s="14">
        <f>INDEX(属性投放!$BQ$6:$BQ$85,(卡牌属性!$DW176-2)*20+卡牌属性!$DX176)</f>
        <v>350</v>
      </c>
      <c r="FL176" s="14">
        <f>INDEX(属性投放!$BQ$6:$BQ$85,(卡牌属性!$DW176-2)*20+卡牌属性!$DX176)</f>
        <v>350</v>
      </c>
      <c r="FM176" s="14">
        <f>INDEX(属性投放!$BR$6:$BR$85,(卡牌属性!$DW176-2)*20+卡牌属性!$DX176)</f>
        <v>175</v>
      </c>
      <c r="FN176" s="14">
        <f>INDEX(属性投放!$BR$6:$BR$85,(卡牌属性!$DW176-2)*20+卡牌属性!$DX176)</f>
        <v>175</v>
      </c>
      <c r="FO176" s="14">
        <f>INDEX(属性投放!$BR$6:$BR$85,(卡牌属性!$DW176-2)*20+卡牌属性!$DX176)</f>
        <v>175</v>
      </c>
      <c r="FP176" s="14">
        <f>INDEX(属性投放!$BR$6:$BR$85,(卡牌属性!$DW176-2)*20+卡牌属性!$DX176)</f>
        <v>175</v>
      </c>
      <c r="FQ176" s="14">
        <f>INDEX(属性投放!$BR$6:$BR$85,(卡牌属性!$DW176-2)*20+卡牌属性!$DX176)</f>
        <v>175</v>
      </c>
      <c r="FR176" s="14">
        <f>INDEX(属性投放!$BS$6:$BS$85,(卡牌属性!$DW176-2)*20+卡牌属性!$DX176)</f>
        <v>3150</v>
      </c>
      <c r="FS176" s="14">
        <f>INDEX(属性投放!$BS$6:$BS$85,(卡牌属性!$DW176-2)*20+卡牌属性!$DX176)</f>
        <v>3150</v>
      </c>
      <c r="FT176" s="14">
        <f>INDEX(属性投放!$BS$6:$BS$85,(卡牌属性!$DW176-2)*20+卡牌属性!$DX176)</f>
        <v>3150</v>
      </c>
      <c r="FU176" s="14">
        <f>INDEX(属性投放!$BS$6:$BS$85,(卡牌属性!$DW176-2)*20+卡牌属性!$DX176)</f>
        <v>3150</v>
      </c>
      <c r="FV176" s="14">
        <f>INDEX(属性投放!$BS$6:$BS$85,(卡牌属性!$DW176-2)*20+卡牌属性!$DX176)</f>
        <v>3150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1"/>
        <v>9</v>
      </c>
      <c r="AG177" s="13">
        <f t="shared" si="316"/>
        <v>3</v>
      </c>
      <c r="AH177" s="13"/>
      <c r="AI177" s="13"/>
      <c r="AJ177" s="14">
        <f t="shared" si="317"/>
        <v>1101009</v>
      </c>
      <c r="AK177" s="14" t="str">
        <f t="shared" si="318"/>
        <v>北落师门13突</v>
      </c>
      <c r="AL177" s="25" t="s">
        <v>142</v>
      </c>
      <c r="AM177" s="14">
        <v>1</v>
      </c>
      <c r="AN177" s="14">
        <f t="shared" si="319"/>
        <v>13</v>
      </c>
      <c r="AO177" s="14">
        <f>INDEX(属性投放!$DF$6:$DF$85,(卡牌属性!AG177-2)*20+卡牌属性!AN177)</f>
        <v>5664</v>
      </c>
      <c r="AP177" s="14">
        <f t="shared" si="419"/>
        <v>5664</v>
      </c>
      <c r="AQ177" s="14">
        <f t="shared" si="419"/>
        <v>5664</v>
      </c>
      <c r="AR177" s="14">
        <f t="shared" si="419"/>
        <v>5664</v>
      </c>
      <c r="AS177" s="14">
        <f t="shared" si="419"/>
        <v>5664</v>
      </c>
      <c r="AT177" s="14">
        <f>INDEX(属性投放!$DG$6:$DG$85,(卡牌属性!AG177-2)*20+卡牌属性!AN177)</f>
        <v>2770</v>
      </c>
      <c r="AU177" s="14">
        <f t="shared" si="420"/>
        <v>2770</v>
      </c>
      <c r="AV177" s="14">
        <f t="shared" si="420"/>
        <v>2770</v>
      </c>
      <c r="AW177" s="14">
        <f t="shared" si="420"/>
        <v>2770</v>
      </c>
      <c r="AX177" s="14">
        <f t="shared" si="420"/>
        <v>2770</v>
      </c>
      <c r="AY177" s="14">
        <f>INDEX(属性投放!$DH$6:$DH$85,(卡牌属性!AG177-2)*20+卡牌属性!AN177)</f>
        <v>45768</v>
      </c>
      <c r="AZ177" s="14">
        <f t="shared" si="421"/>
        <v>45768</v>
      </c>
      <c r="BA177" s="14">
        <f t="shared" si="421"/>
        <v>45768</v>
      </c>
      <c r="BB177" s="14">
        <f t="shared" si="421"/>
        <v>45768</v>
      </c>
      <c r="BC177" s="14">
        <f t="shared" si="421"/>
        <v>45768</v>
      </c>
      <c r="BD177" s="14">
        <f>INDEX(属性投放!$DL$6:$DL$85,(卡牌属性!AG177-2)*20+卡牌属性!AN177)</f>
        <v>176</v>
      </c>
      <c r="BE177" s="14">
        <f t="shared" si="422"/>
        <v>176</v>
      </c>
      <c r="BF177" s="14">
        <f t="shared" si="422"/>
        <v>176</v>
      </c>
      <c r="BG177" s="14">
        <f t="shared" si="422"/>
        <v>176</v>
      </c>
      <c r="BH177" s="14">
        <f t="shared" si="422"/>
        <v>176</v>
      </c>
      <c r="BI177" s="14">
        <f>INDEX(属性投放!$DM$6:$DM$85,(卡牌属性!AG177-2)*20+卡牌属性!AN177)</f>
        <v>88</v>
      </c>
      <c r="BJ177" s="14">
        <f t="shared" si="423"/>
        <v>88</v>
      </c>
      <c r="BK177" s="14">
        <f t="shared" si="423"/>
        <v>88</v>
      </c>
      <c r="BL177" s="14">
        <f t="shared" si="423"/>
        <v>88</v>
      </c>
      <c r="BM177" s="14">
        <f t="shared" si="423"/>
        <v>88</v>
      </c>
      <c r="BN177" s="14">
        <f>INDEX(属性投放!$DN$6:$DN$85,(卡牌属性!AG177-2)*20+卡牌属性!AN177)</f>
        <v>1759</v>
      </c>
      <c r="BO177" s="14">
        <f t="shared" si="424"/>
        <v>1759</v>
      </c>
      <c r="BP177" s="14">
        <f t="shared" si="424"/>
        <v>1759</v>
      </c>
      <c r="BQ177" s="14">
        <f t="shared" si="424"/>
        <v>1759</v>
      </c>
      <c r="BR177" s="14">
        <f t="shared" si="424"/>
        <v>1759</v>
      </c>
      <c r="BW177" s="13">
        <v>173</v>
      </c>
      <c r="BX177" s="13">
        <f t="shared" si="320"/>
        <v>9</v>
      </c>
      <c r="BY177" s="14">
        <f t="shared" si="321"/>
        <v>3</v>
      </c>
      <c r="BZ177" s="14">
        <f t="shared" si="332"/>
        <v>1102009</v>
      </c>
      <c r="CA177" s="14" t="str">
        <f t="shared" si="333"/>
        <v>徐晃13突</v>
      </c>
      <c r="CB177" s="25" t="s">
        <v>142</v>
      </c>
      <c r="CC177" s="14">
        <v>2</v>
      </c>
      <c r="CD177" s="14">
        <f t="shared" si="322"/>
        <v>13</v>
      </c>
      <c r="CE177" s="14" t="s">
        <v>21</v>
      </c>
      <c r="CF177" s="14">
        <f>INDEX(属性投放!$AZ$6:$AZ$85,(BY177-2)*20+CD177)</f>
        <v>5441</v>
      </c>
      <c r="CG177" s="14" t="s">
        <v>22</v>
      </c>
      <c r="CH177" s="14">
        <f>INDEX(属性投放!$BA$6:$BA$85,(BY177-2)*20+CD177)</f>
        <v>2670</v>
      </c>
      <c r="CI177" s="14" t="s">
        <v>510</v>
      </c>
      <c r="CJ177" s="14">
        <f>INDEX(属性投放!$BB$6:$BB$85,(BY177-2)*20+CD177)</f>
        <v>43590</v>
      </c>
      <c r="CK177" s="14" t="s">
        <v>21</v>
      </c>
      <c r="CL177" s="14">
        <f>INDEX(属性投放!$BC$6:$BC$85,(BY177-2)*20+CD177)</f>
        <v>25</v>
      </c>
      <c r="CM177" s="14" t="s">
        <v>22</v>
      </c>
      <c r="CN177" s="14">
        <f>INDEX(属性投放!$BD$6:$BD$85,(BY177-2)*20+CD177)</f>
        <v>13</v>
      </c>
      <c r="CO177" s="14" t="s">
        <v>510</v>
      </c>
      <c r="CP177" s="14">
        <f>INDEX(属性投放!$BE$6:$BE$85,(BY177-2)*20+CD177)</f>
        <v>250</v>
      </c>
      <c r="CS177" s="13">
        <v>173</v>
      </c>
      <c r="CT177" s="13">
        <f t="shared" si="334"/>
        <v>4</v>
      </c>
      <c r="CU177" s="13">
        <f t="shared" si="335"/>
        <v>17</v>
      </c>
      <c r="CV177" s="14">
        <f t="shared" si="336"/>
        <v>2</v>
      </c>
      <c r="CW177" s="14">
        <f t="shared" si="337"/>
        <v>1102004</v>
      </c>
      <c r="CX177" s="14" t="str">
        <f>INDEX($O$6:$O$50,CT177)&amp;"-"&amp;INDEX(属性投放!$AB$7:$AB$50,CZ177)&amp;"-魂火-"&amp;DB177</f>
        <v>唐流雨-叫唤+2-魂火-2</v>
      </c>
      <c r="CY177" s="25" t="s">
        <v>142</v>
      </c>
      <c r="CZ177" s="14">
        <f>INDEX(属性投放!$AM$7:$AM$58,CU177)</f>
        <v>9</v>
      </c>
      <c r="DA177" s="14" t="s">
        <v>537</v>
      </c>
      <c r="DB177" s="14">
        <f>INDEX(属性投放!$AN$7:$AN$58,CU177)</f>
        <v>2</v>
      </c>
      <c r="DC177" s="14">
        <f t="shared" si="323"/>
        <v>17</v>
      </c>
      <c r="DD177" s="14">
        <f>INDEX(属性投放!$AO$7:$AO$58,DC177)</f>
        <v>60</v>
      </c>
      <c r="DE177" s="14" t="s">
        <v>538</v>
      </c>
      <c r="DF177" s="14">
        <f>INDEX(属性投放!$BK$6:$BK$85,(CV177-2)*20+CZ177)</f>
        <v>80</v>
      </c>
      <c r="DG177" s="14">
        <f>SUMIFS(DF$5:DF177,$CT$5:$CT177,"="&amp;$CT177)</f>
        <v>725</v>
      </c>
      <c r="DH177" s="14" t="s">
        <v>539</v>
      </c>
      <c r="DI177" s="14">
        <f>INDEX(属性投放!$BL$6:$BL$85,(CV177-2)*20+CZ177)</f>
        <v>40</v>
      </c>
      <c r="DJ177" s="14">
        <f>SUMIFS(DI$5:DI177,$CT$5:$CT177,"="&amp;$CT177)</f>
        <v>366</v>
      </c>
      <c r="DK177" s="14" t="s">
        <v>540</v>
      </c>
      <c r="DL177" s="14">
        <f>INDEX(属性投放!$BM$6:$BM$85,(CV177-2)*20+CZ177)</f>
        <v>640</v>
      </c>
      <c r="DM177" s="14">
        <f>SUMIFS(DL$5:DL177,$CT$5:$CT177,"="&amp;$CT177)</f>
        <v>5380</v>
      </c>
      <c r="DR177" s="14">
        <f t="shared" si="324"/>
        <v>1102009</v>
      </c>
      <c r="DS177" s="14" t="str">
        <f t="shared" si="325"/>
        <v>徐晃13突</v>
      </c>
      <c r="DT177" s="14">
        <f t="shared" si="338"/>
        <v>4</v>
      </c>
      <c r="DU177" s="14">
        <f t="shared" si="339"/>
        <v>5</v>
      </c>
      <c r="DV177" s="14">
        <f t="shared" si="340"/>
        <v>7</v>
      </c>
      <c r="DW177" s="14">
        <f t="shared" si="326"/>
        <v>3</v>
      </c>
      <c r="DX177" s="14">
        <f t="shared" si="327"/>
        <v>13</v>
      </c>
      <c r="DY177" s="14">
        <f t="shared" si="328"/>
        <v>33</v>
      </c>
      <c r="DZ177" s="14">
        <f>INDEX(属性投放!$AX$6:$AX$85,(卡牌属性!DW177-2)*20+卡牌属性!DX177)</f>
        <v>8</v>
      </c>
      <c r="EA177" s="14">
        <f>INDEX(属性投放!BQ$6:BQ$85,卡牌属性!$DY177)</f>
        <v>400</v>
      </c>
      <c r="EB177" s="14">
        <f>INDEX(属性投放!BR$6:BR$85,卡牌属性!$DY177)</f>
        <v>200</v>
      </c>
      <c r="EC177" s="14">
        <f>INDEX(属性投放!BS$6:BS$85,卡牌属性!$DY177)</f>
        <v>4000</v>
      </c>
      <c r="ED177" s="14">
        <f t="shared" si="425"/>
        <v>2740</v>
      </c>
      <c r="EE177" s="14">
        <f t="shared" si="426"/>
        <v>3021</v>
      </c>
      <c r="EF177" s="14">
        <f t="shared" si="427"/>
        <v>3156</v>
      </c>
      <c r="EG177" s="14">
        <f t="shared" si="428"/>
        <v>3156</v>
      </c>
      <c r="EH177" s="14">
        <f t="shared" si="429"/>
        <v>3763</v>
      </c>
      <c r="EI177" s="14">
        <f t="shared" si="430"/>
        <v>1477</v>
      </c>
      <c r="EJ177" s="14">
        <f t="shared" si="431"/>
        <v>1555</v>
      </c>
      <c r="EK177" s="14">
        <f t="shared" si="432"/>
        <v>1555</v>
      </c>
      <c r="EL177" s="14">
        <f t="shared" si="433"/>
        <v>1853</v>
      </c>
      <c r="EM177" s="14">
        <f t="shared" si="434"/>
        <v>2008</v>
      </c>
      <c r="EN177" s="14">
        <f t="shared" si="435"/>
        <v>28998</v>
      </c>
      <c r="EO177" s="14">
        <f t="shared" si="436"/>
        <v>31192</v>
      </c>
      <c r="EP177" s="14">
        <f t="shared" si="437"/>
        <v>31192</v>
      </c>
      <c r="EQ177" s="14">
        <f t="shared" si="438"/>
        <v>33540</v>
      </c>
      <c r="ER177" s="14">
        <f t="shared" si="439"/>
        <v>38750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INDEX(属性投放!$BQ$6:$BQ$85,(卡牌属性!$DW177-2)*20+卡牌属性!$DX177)</f>
        <v>400</v>
      </c>
      <c r="FI177" s="14">
        <f>INDEX(属性投放!$BQ$6:$BQ$85,(卡牌属性!$DW177-2)*20+卡牌属性!$DX177)</f>
        <v>400</v>
      </c>
      <c r="FJ177" s="14">
        <f>INDEX(属性投放!$BQ$6:$BQ$85,(卡牌属性!$DW177-2)*20+卡牌属性!$DX177)</f>
        <v>400</v>
      </c>
      <c r="FK177" s="14">
        <f>INDEX(属性投放!$BQ$6:$BQ$85,(卡牌属性!$DW177-2)*20+卡牌属性!$DX177)</f>
        <v>400</v>
      </c>
      <c r="FL177" s="14">
        <f>INDEX(属性投放!$BQ$6:$BQ$85,(卡牌属性!$DW177-2)*20+卡牌属性!$DX177)</f>
        <v>400</v>
      </c>
      <c r="FM177" s="14">
        <f>INDEX(属性投放!$BR$6:$BR$85,(卡牌属性!$DW177-2)*20+卡牌属性!$DX177)</f>
        <v>200</v>
      </c>
      <c r="FN177" s="14">
        <f>INDEX(属性投放!$BR$6:$BR$85,(卡牌属性!$DW177-2)*20+卡牌属性!$DX177)</f>
        <v>200</v>
      </c>
      <c r="FO177" s="14">
        <f>INDEX(属性投放!$BR$6:$BR$85,(卡牌属性!$DW177-2)*20+卡牌属性!$DX177)</f>
        <v>200</v>
      </c>
      <c r="FP177" s="14">
        <f>INDEX(属性投放!$BR$6:$BR$85,(卡牌属性!$DW177-2)*20+卡牌属性!$DX177)</f>
        <v>200</v>
      </c>
      <c r="FQ177" s="14">
        <f>INDEX(属性投放!$BR$6:$BR$85,(卡牌属性!$DW177-2)*20+卡牌属性!$DX177)</f>
        <v>200</v>
      </c>
      <c r="FR177" s="14">
        <f>INDEX(属性投放!$BS$6:$BS$85,(卡牌属性!$DW177-2)*20+卡牌属性!$DX177)</f>
        <v>4000</v>
      </c>
      <c r="FS177" s="14">
        <f>INDEX(属性投放!$BS$6:$BS$85,(卡牌属性!$DW177-2)*20+卡牌属性!$DX177)</f>
        <v>4000</v>
      </c>
      <c r="FT177" s="14">
        <f>INDEX(属性投放!$BS$6:$BS$85,(卡牌属性!$DW177-2)*20+卡牌属性!$DX177)</f>
        <v>4000</v>
      </c>
      <c r="FU177" s="14">
        <f>INDEX(属性投放!$BS$6:$BS$85,(卡牌属性!$DW177-2)*20+卡牌属性!$DX177)</f>
        <v>4000</v>
      </c>
      <c r="FV177" s="14">
        <f>INDEX(属性投放!$BS$6:$BS$85,(卡牌属性!$DW177-2)*20+卡牌属性!$DX177)</f>
        <v>4000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1"/>
        <v>9</v>
      </c>
      <c r="AG178" s="13">
        <f t="shared" si="316"/>
        <v>3</v>
      </c>
      <c r="AH178" s="13"/>
      <c r="AI178" s="13"/>
      <c r="AJ178" s="14">
        <f t="shared" si="317"/>
        <v>1101009</v>
      </c>
      <c r="AK178" s="14" t="str">
        <f t="shared" si="318"/>
        <v>北落师门14突</v>
      </c>
      <c r="AL178" s="25" t="s">
        <v>142</v>
      </c>
      <c r="AM178" s="14">
        <v>1</v>
      </c>
      <c r="AN178" s="14">
        <f t="shared" si="319"/>
        <v>14</v>
      </c>
      <c r="AO178" s="14">
        <f>INDEX(属性投放!$DF$6:$DF$85,(卡牌属性!AG178-2)*20+卡牌属性!AN178)</f>
        <v>6167</v>
      </c>
      <c r="AP178" s="14">
        <f t="shared" si="419"/>
        <v>6167</v>
      </c>
      <c r="AQ178" s="14">
        <f t="shared" si="419"/>
        <v>6167</v>
      </c>
      <c r="AR178" s="14">
        <f t="shared" si="419"/>
        <v>6167</v>
      </c>
      <c r="AS178" s="14">
        <f t="shared" si="419"/>
        <v>6167</v>
      </c>
      <c r="AT178" s="14">
        <f>INDEX(属性投放!$DG$6:$DG$85,(卡牌属性!AG178-2)*20+卡牌属性!AN178)</f>
        <v>3022</v>
      </c>
      <c r="AU178" s="14">
        <f t="shared" si="420"/>
        <v>3022</v>
      </c>
      <c r="AV178" s="14">
        <f t="shared" si="420"/>
        <v>3022</v>
      </c>
      <c r="AW178" s="14">
        <f t="shared" si="420"/>
        <v>3022</v>
      </c>
      <c r="AX178" s="14">
        <f t="shared" si="420"/>
        <v>3022</v>
      </c>
      <c r="AY178" s="14">
        <f>INDEX(属性投放!$DH$6:$DH$85,(卡牌属性!AG178-2)*20+卡牌属性!AN178)</f>
        <v>50793</v>
      </c>
      <c r="AZ178" s="14">
        <f t="shared" si="421"/>
        <v>50793</v>
      </c>
      <c r="BA178" s="14">
        <f t="shared" si="421"/>
        <v>50793</v>
      </c>
      <c r="BB178" s="14">
        <f t="shared" si="421"/>
        <v>50793</v>
      </c>
      <c r="BC178" s="14">
        <f t="shared" si="421"/>
        <v>50793</v>
      </c>
      <c r="BD178" s="14">
        <f>INDEX(属性投放!$DL$6:$DL$85,(卡牌属性!AG178-2)*20+卡牌属性!AN178)</f>
        <v>176</v>
      </c>
      <c r="BE178" s="14">
        <f t="shared" si="422"/>
        <v>176</v>
      </c>
      <c r="BF178" s="14">
        <f t="shared" si="422"/>
        <v>176</v>
      </c>
      <c r="BG178" s="14">
        <f t="shared" si="422"/>
        <v>176</v>
      </c>
      <c r="BH178" s="14">
        <f t="shared" si="422"/>
        <v>176</v>
      </c>
      <c r="BI178" s="14">
        <f>INDEX(属性投放!$DM$6:$DM$85,(卡牌属性!AG178-2)*20+卡牌属性!AN178)</f>
        <v>88</v>
      </c>
      <c r="BJ178" s="14">
        <f t="shared" si="423"/>
        <v>88</v>
      </c>
      <c r="BK178" s="14">
        <f t="shared" si="423"/>
        <v>88</v>
      </c>
      <c r="BL178" s="14">
        <f t="shared" si="423"/>
        <v>88</v>
      </c>
      <c r="BM178" s="14">
        <f t="shared" si="423"/>
        <v>88</v>
      </c>
      <c r="BN178" s="14">
        <f>INDEX(属性投放!$DN$6:$DN$85,(卡牌属性!AG178-2)*20+卡牌属性!AN178)</f>
        <v>1759</v>
      </c>
      <c r="BO178" s="14">
        <f t="shared" si="424"/>
        <v>1759</v>
      </c>
      <c r="BP178" s="14">
        <f t="shared" si="424"/>
        <v>1759</v>
      </c>
      <c r="BQ178" s="14">
        <f t="shared" si="424"/>
        <v>1759</v>
      </c>
      <c r="BR178" s="14">
        <f t="shared" si="424"/>
        <v>1759</v>
      </c>
      <c r="BW178" s="13">
        <v>174</v>
      </c>
      <c r="BX178" s="13">
        <f t="shared" si="320"/>
        <v>9</v>
      </c>
      <c r="BY178" s="14">
        <f t="shared" si="321"/>
        <v>3</v>
      </c>
      <c r="BZ178" s="14">
        <f t="shared" si="332"/>
        <v>1102009</v>
      </c>
      <c r="CA178" s="14" t="str">
        <f t="shared" si="333"/>
        <v>徐晃14突</v>
      </c>
      <c r="CB178" s="25" t="s">
        <v>142</v>
      </c>
      <c r="CC178" s="14">
        <v>2</v>
      </c>
      <c r="CD178" s="14">
        <f t="shared" si="322"/>
        <v>14</v>
      </c>
      <c r="CE178" s="14" t="s">
        <v>21</v>
      </c>
      <c r="CF178" s="14">
        <f>INDEX(属性投放!$AZ$6:$AZ$85,(BY178-2)*20+CD178)</f>
        <v>6791</v>
      </c>
      <c r="CG178" s="14" t="s">
        <v>22</v>
      </c>
      <c r="CH178" s="14">
        <f>INDEX(属性投放!$BA$6:$BA$85,(BY178-2)*20+CD178)</f>
        <v>3349</v>
      </c>
      <c r="CI178" s="14" t="s">
        <v>510</v>
      </c>
      <c r="CJ178" s="14">
        <f>INDEX(属性投放!$BB$6:$BB$85,(BY178-2)*20+CD178)</f>
        <v>57090</v>
      </c>
      <c r="CK178" s="14" t="s">
        <v>21</v>
      </c>
      <c r="CL178" s="14">
        <f>INDEX(属性投放!$BC$6:$BC$85,(BY178-2)*20+CD178)</f>
        <v>25</v>
      </c>
      <c r="CM178" s="14" t="s">
        <v>22</v>
      </c>
      <c r="CN178" s="14">
        <f>INDEX(属性投放!$BD$6:$BD$85,(BY178-2)*20+CD178)</f>
        <v>13</v>
      </c>
      <c r="CO178" s="14" t="s">
        <v>510</v>
      </c>
      <c r="CP178" s="14">
        <f>INDEX(属性投放!$BE$6:$BE$85,(BY178-2)*20+CD178)</f>
        <v>250</v>
      </c>
      <c r="CS178" s="13">
        <v>174</v>
      </c>
      <c r="CT178" s="13">
        <f t="shared" si="334"/>
        <v>4</v>
      </c>
      <c r="CU178" s="13">
        <f t="shared" si="335"/>
        <v>18</v>
      </c>
      <c r="CV178" s="14">
        <f t="shared" si="336"/>
        <v>2</v>
      </c>
      <c r="CW178" s="14">
        <f t="shared" si="337"/>
        <v>1102004</v>
      </c>
      <c r="CX178" s="14" t="str">
        <f>INDEX($O$6:$O$50,CT178)&amp;"-"&amp;INDEX(属性投放!$AB$7:$AB$50,CZ178)&amp;"-魂火-"&amp;DB178</f>
        <v>唐流雨-叫唤+2-魂火-3</v>
      </c>
      <c r="CY178" s="25" t="s">
        <v>142</v>
      </c>
      <c r="CZ178" s="14">
        <f>INDEX(属性投放!$AM$7:$AM$58,CU178)</f>
        <v>9</v>
      </c>
      <c r="DA178" s="14" t="s">
        <v>537</v>
      </c>
      <c r="DB178" s="14">
        <f>INDEX(属性投放!$AN$7:$AN$58,CU178)</f>
        <v>3</v>
      </c>
      <c r="DC178" s="14">
        <f t="shared" si="323"/>
        <v>18</v>
      </c>
      <c r="DD178" s="14">
        <f>INDEX(属性投放!$AO$7:$AO$58,DC178)</f>
        <v>63</v>
      </c>
      <c r="DE178" s="14" t="s">
        <v>538</v>
      </c>
      <c r="DF178" s="14">
        <f>INDEX(属性投放!$BK$6:$BK$85,(CV178-2)*20+CZ178)</f>
        <v>80</v>
      </c>
      <c r="DG178" s="14">
        <f>SUMIFS(DF$5:DF178,$CT$5:$CT178,"="&amp;$CT178)</f>
        <v>805</v>
      </c>
      <c r="DH178" s="14" t="s">
        <v>539</v>
      </c>
      <c r="DI178" s="14">
        <f>INDEX(属性投放!$BL$6:$BL$85,(CV178-2)*20+CZ178)</f>
        <v>40</v>
      </c>
      <c r="DJ178" s="14">
        <f>SUMIFS(DI$5:DI178,$CT$5:$CT178,"="&amp;$CT178)</f>
        <v>406</v>
      </c>
      <c r="DK178" s="14" t="s">
        <v>540</v>
      </c>
      <c r="DL178" s="14">
        <f>INDEX(属性投放!$BM$6:$BM$85,(CV178-2)*20+CZ178)</f>
        <v>640</v>
      </c>
      <c r="DM178" s="14">
        <f>SUMIFS(DL$5:DL178,$CT$5:$CT178,"="&amp;$CT178)</f>
        <v>6020</v>
      </c>
      <c r="DR178" s="14">
        <f t="shared" si="324"/>
        <v>1102009</v>
      </c>
      <c r="DS178" s="14" t="str">
        <f t="shared" si="325"/>
        <v>徐晃14突</v>
      </c>
      <c r="DT178" s="14">
        <f t="shared" si="338"/>
        <v>4</v>
      </c>
      <c r="DU178" s="14">
        <f t="shared" si="339"/>
        <v>5</v>
      </c>
      <c r="DV178" s="14">
        <f t="shared" si="340"/>
        <v>7</v>
      </c>
      <c r="DW178" s="14">
        <f t="shared" si="326"/>
        <v>3</v>
      </c>
      <c r="DX178" s="14">
        <f t="shared" si="327"/>
        <v>14</v>
      </c>
      <c r="DY178" s="14">
        <f t="shared" si="328"/>
        <v>34</v>
      </c>
      <c r="DZ178" s="14">
        <f>INDEX(属性投放!$AX$6:$AX$85,(卡牌属性!DW178-2)*20+卡牌属性!DX178)</f>
        <v>7</v>
      </c>
      <c r="EA178" s="14">
        <f>INDEX(属性投放!BQ$6:BQ$85,卡牌属性!$DY178)</f>
        <v>450</v>
      </c>
      <c r="EB178" s="14">
        <f>INDEX(属性投放!BR$6:BR$85,卡牌属性!$DY178)</f>
        <v>225</v>
      </c>
      <c r="EC178" s="14">
        <f>INDEX(属性投放!BS$6:BS$85,卡牌属性!$DY178)</f>
        <v>4500</v>
      </c>
      <c r="ED178" s="14">
        <f t="shared" si="425"/>
        <v>3300</v>
      </c>
      <c r="EE178" s="14">
        <f t="shared" si="426"/>
        <v>3621</v>
      </c>
      <c r="EF178" s="14">
        <f t="shared" si="427"/>
        <v>3764</v>
      </c>
      <c r="EG178" s="14">
        <f t="shared" si="428"/>
        <v>3764</v>
      </c>
      <c r="EH178" s="14">
        <f t="shared" si="429"/>
        <v>4483</v>
      </c>
      <c r="EI178" s="14">
        <f t="shared" si="430"/>
        <v>1781</v>
      </c>
      <c r="EJ178" s="14">
        <f t="shared" si="431"/>
        <v>1859</v>
      </c>
      <c r="EK178" s="14">
        <f t="shared" si="432"/>
        <v>1859</v>
      </c>
      <c r="EL178" s="14">
        <f t="shared" si="433"/>
        <v>2213</v>
      </c>
      <c r="EM178" s="14">
        <f t="shared" si="434"/>
        <v>2392</v>
      </c>
      <c r="EN178" s="14">
        <f t="shared" si="435"/>
        <v>36198</v>
      </c>
      <c r="EO178" s="14">
        <f t="shared" si="436"/>
        <v>38792</v>
      </c>
      <c r="EP178" s="14">
        <f t="shared" si="437"/>
        <v>38792</v>
      </c>
      <c r="EQ178" s="14">
        <f t="shared" si="438"/>
        <v>41540</v>
      </c>
      <c r="ER178" s="14">
        <f t="shared" si="439"/>
        <v>48750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INDEX(属性投放!$BQ$6:$BQ$85,(卡牌属性!$DW178-2)*20+卡牌属性!$DX178)</f>
        <v>450</v>
      </c>
      <c r="FI178" s="14">
        <f>INDEX(属性投放!$BQ$6:$BQ$85,(卡牌属性!$DW178-2)*20+卡牌属性!$DX178)</f>
        <v>450</v>
      </c>
      <c r="FJ178" s="14">
        <f>INDEX(属性投放!$BQ$6:$BQ$85,(卡牌属性!$DW178-2)*20+卡牌属性!$DX178)</f>
        <v>450</v>
      </c>
      <c r="FK178" s="14">
        <f>INDEX(属性投放!$BQ$6:$BQ$85,(卡牌属性!$DW178-2)*20+卡牌属性!$DX178)</f>
        <v>450</v>
      </c>
      <c r="FL178" s="14">
        <f>INDEX(属性投放!$BQ$6:$BQ$85,(卡牌属性!$DW178-2)*20+卡牌属性!$DX178)</f>
        <v>450</v>
      </c>
      <c r="FM178" s="14">
        <f>INDEX(属性投放!$BR$6:$BR$85,(卡牌属性!$DW178-2)*20+卡牌属性!$DX178)</f>
        <v>225</v>
      </c>
      <c r="FN178" s="14">
        <f>INDEX(属性投放!$BR$6:$BR$85,(卡牌属性!$DW178-2)*20+卡牌属性!$DX178)</f>
        <v>225</v>
      </c>
      <c r="FO178" s="14">
        <f>INDEX(属性投放!$BR$6:$BR$85,(卡牌属性!$DW178-2)*20+卡牌属性!$DX178)</f>
        <v>225</v>
      </c>
      <c r="FP178" s="14">
        <f>INDEX(属性投放!$BR$6:$BR$85,(卡牌属性!$DW178-2)*20+卡牌属性!$DX178)</f>
        <v>225</v>
      </c>
      <c r="FQ178" s="14">
        <f>INDEX(属性投放!$BR$6:$BR$85,(卡牌属性!$DW178-2)*20+卡牌属性!$DX178)</f>
        <v>225</v>
      </c>
      <c r="FR178" s="14">
        <f>INDEX(属性投放!$BS$6:$BS$85,(卡牌属性!$DW178-2)*20+卡牌属性!$DX178)</f>
        <v>4500</v>
      </c>
      <c r="FS178" s="14">
        <f>INDEX(属性投放!$BS$6:$BS$85,(卡牌属性!$DW178-2)*20+卡牌属性!$DX178)</f>
        <v>4500</v>
      </c>
      <c r="FT178" s="14">
        <f>INDEX(属性投放!$BS$6:$BS$85,(卡牌属性!$DW178-2)*20+卡牌属性!$DX178)</f>
        <v>4500</v>
      </c>
      <c r="FU178" s="14">
        <f>INDEX(属性投放!$BS$6:$BS$85,(卡牌属性!$DW178-2)*20+卡牌属性!$DX178)</f>
        <v>4500</v>
      </c>
      <c r="FV178" s="14">
        <f>INDEX(属性投放!$BS$6:$BS$85,(卡牌属性!$DW178-2)*20+卡牌属性!$DX178)</f>
        <v>4500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1"/>
        <v>9</v>
      </c>
      <c r="AG179" s="13">
        <f t="shared" si="316"/>
        <v>3</v>
      </c>
      <c r="AH179" s="13"/>
      <c r="AI179" s="13"/>
      <c r="AJ179" s="14">
        <f t="shared" si="317"/>
        <v>1101009</v>
      </c>
      <c r="AK179" s="14" t="str">
        <f t="shared" si="318"/>
        <v>北落师门15突</v>
      </c>
      <c r="AL179" s="25" t="s">
        <v>142</v>
      </c>
      <c r="AM179" s="14">
        <v>1</v>
      </c>
      <c r="AN179" s="14">
        <f t="shared" si="319"/>
        <v>15</v>
      </c>
      <c r="AO179" s="14">
        <f>INDEX(属性投放!$DF$6:$DF$85,(卡牌属性!AG179-2)*20+卡牌属性!AN179)</f>
        <v>6670</v>
      </c>
      <c r="AP179" s="14">
        <f t="shared" si="419"/>
        <v>6670</v>
      </c>
      <c r="AQ179" s="14">
        <f t="shared" si="419"/>
        <v>6670</v>
      </c>
      <c r="AR179" s="14">
        <f t="shared" si="419"/>
        <v>6670</v>
      </c>
      <c r="AS179" s="14">
        <f t="shared" si="419"/>
        <v>6670</v>
      </c>
      <c r="AT179" s="14">
        <f>INDEX(属性投放!$DG$6:$DG$85,(卡牌属性!AG179-2)*20+卡牌属性!AN179)</f>
        <v>3274</v>
      </c>
      <c r="AU179" s="14">
        <f t="shared" si="420"/>
        <v>3274</v>
      </c>
      <c r="AV179" s="14">
        <f t="shared" si="420"/>
        <v>3274</v>
      </c>
      <c r="AW179" s="14">
        <f t="shared" si="420"/>
        <v>3274</v>
      </c>
      <c r="AX179" s="14">
        <f t="shared" si="420"/>
        <v>3274</v>
      </c>
      <c r="AY179" s="14">
        <f>INDEX(属性投放!$DH$6:$DH$85,(卡牌属性!AG179-2)*20+卡牌属性!AN179)</f>
        <v>55818</v>
      </c>
      <c r="AZ179" s="14">
        <f t="shared" si="421"/>
        <v>55818</v>
      </c>
      <c r="BA179" s="14">
        <f t="shared" si="421"/>
        <v>55818</v>
      </c>
      <c r="BB179" s="14">
        <f t="shared" si="421"/>
        <v>55818</v>
      </c>
      <c r="BC179" s="14">
        <f t="shared" si="421"/>
        <v>55818</v>
      </c>
      <c r="BD179" s="14">
        <f>INDEX(属性投放!$DL$6:$DL$85,(卡牌属性!AG179-2)*20+卡牌属性!AN179)</f>
        <v>176</v>
      </c>
      <c r="BE179" s="14">
        <f t="shared" si="422"/>
        <v>176</v>
      </c>
      <c r="BF179" s="14">
        <f t="shared" si="422"/>
        <v>176</v>
      </c>
      <c r="BG179" s="14">
        <f t="shared" si="422"/>
        <v>176</v>
      </c>
      <c r="BH179" s="14">
        <f t="shared" si="422"/>
        <v>176</v>
      </c>
      <c r="BI179" s="14">
        <f>INDEX(属性投放!$DM$6:$DM$85,(卡牌属性!AG179-2)*20+卡牌属性!AN179)</f>
        <v>88</v>
      </c>
      <c r="BJ179" s="14">
        <f t="shared" si="423"/>
        <v>88</v>
      </c>
      <c r="BK179" s="14">
        <f t="shared" si="423"/>
        <v>88</v>
      </c>
      <c r="BL179" s="14">
        <f t="shared" si="423"/>
        <v>88</v>
      </c>
      <c r="BM179" s="14">
        <f t="shared" si="423"/>
        <v>88</v>
      </c>
      <c r="BN179" s="14">
        <f>INDEX(属性投放!$DN$6:$DN$85,(卡牌属性!AG179-2)*20+卡牌属性!AN179)</f>
        <v>1759</v>
      </c>
      <c r="BO179" s="14">
        <f t="shared" si="424"/>
        <v>1759</v>
      </c>
      <c r="BP179" s="14">
        <f t="shared" si="424"/>
        <v>1759</v>
      </c>
      <c r="BQ179" s="14">
        <f t="shared" si="424"/>
        <v>1759</v>
      </c>
      <c r="BR179" s="14">
        <f t="shared" si="424"/>
        <v>1759</v>
      </c>
      <c r="BW179" s="13">
        <v>175</v>
      </c>
      <c r="BX179" s="13">
        <f t="shared" si="320"/>
        <v>9</v>
      </c>
      <c r="BY179" s="14">
        <f t="shared" si="321"/>
        <v>3</v>
      </c>
      <c r="BZ179" s="14">
        <f t="shared" si="332"/>
        <v>1102009</v>
      </c>
      <c r="CA179" s="14" t="str">
        <f t="shared" si="333"/>
        <v>徐晃15突</v>
      </c>
      <c r="CB179" s="25" t="s">
        <v>142</v>
      </c>
      <c r="CC179" s="14">
        <v>2</v>
      </c>
      <c r="CD179" s="14">
        <f t="shared" si="322"/>
        <v>15</v>
      </c>
      <c r="CE179" s="14" t="s">
        <v>21</v>
      </c>
      <c r="CF179" s="14">
        <f>INDEX(属性投放!$AZ$6:$AZ$85,(BY179-2)*20+CD179)</f>
        <v>8316</v>
      </c>
      <c r="CG179" s="14" t="s">
        <v>22</v>
      </c>
      <c r="CH179" s="14">
        <f>INDEX(属性投放!$BA$6:$BA$85,(BY179-2)*20+CD179)</f>
        <v>4115</v>
      </c>
      <c r="CI179" s="14" t="s">
        <v>510</v>
      </c>
      <c r="CJ179" s="14">
        <f>INDEX(属性投放!$BB$6:$BB$85,(BY179-2)*20+CD179)</f>
        <v>72340</v>
      </c>
      <c r="CK179" s="14" t="s">
        <v>21</v>
      </c>
      <c r="CL179" s="14">
        <f>INDEX(属性投放!$BC$6:$BC$85,(BY179-2)*20+CD179)</f>
        <v>25</v>
      </c>
      <c r="CM179" s="14" t="s">
        <v>22</v>
      </c>
      <c r="CN179" s="14">
        <f>INDEX(属性投放!$BD$6:$BD$85,(BY179-2)*20+CD179)</f>
        <v>13</v>
      </c>
      <c r="CO179" s="14" t="s">
        <v>510</v>
      </c>
      <c r="CP179" s="14">
        <f>INDEX(属性投放!$BE$6:$BE$85,(BY179-2)*20+CD179)</f>
        <v>250</v>
      </c>
      <c r="CS179" s="13">
        <v>175</v>
      </c>
      <c r="CT179" s="13">
        <f t="shared" si="334"/>
        <v>4</v>
      </c>
      <c r="CU179" s="13">
        <f t="shared" si="335"/>
        <v>19</v>
      </c>
      <c r="CV179" s="14">
        <f t="shared" si="336"/>
        <v>2</v>
      </c>
      <c r="CW179" s="14">
        <f t="shared" si="337"/>
        <v>1102004</v>
      </c>
      <c r="CX179" s="14" t="str">
        <f>INDEX($O$6:$O$50,CT179)&amp;"-"&amp;INDEX(属性投放!$AB$7:$AB$50,CZ179)&amp;"-魂火-"&amp;DB179</f>
        <v>唐流雨-大叫唤-魂火-1</v>
      </c>
      <c r="CY179" s="25" t="s">
        <v>142</v>
      </c>
      <c r="CZ179" s="14">
        <f>INDEX(属性投放!$AM$7:$AM$58,CU179)</f>
        <v>10</v>
      </c>
      <c r="DA179" s="14" t="s">
        <v>537</v>
      </c>
      <c r="DB179" s="14">
        <f>INDEX(属性投放!$AN$7:$AN$58,CU179)</f>
        <v>1</v>
      </c>
      <c r="DC179" s="14">
        <f t="shared" si="323"/>
        <v>19</v>
      </c>
      <c r="DD179" s="14">
        <f>INDEX(属性投放!$AO$7:$AO$58,DC179)</f>
        <v>65</v>
      </c>
      <c r="DE179" s="14" t="s">
        <v>538</v>
      </c>
      <c r="DF179" s="14">
        <f>INDEX(属性投放!$BK$6:$BK$85,(CV179-2)*20+CZ179)</f>
        <v>100</v>
      </c>
      <c r="DG179" s="14">
        <f>SUMIFS(DF$5:DF179,$CT$5:$CT179,"="&amp;$CT179)</f>
        <v>905</v>
      </c>
      <c r="DH179" s="14" t="s">
        <v>539</v>
      </c>
      <c r="DI179" s="14">
        <f>INDEX(属性投放!$BL$6:$BL$85,(CV179-2)*20+CZ179)</f>
        <v>50</v>
      </c>
      <c r="DJ179" s="14">
        <f>SUMIFS(DI$5:DI179,$CT$5:$CT179,"="&amp;$CT179)</f>
        <v>456</v>
      </c>
      <c r="DK179" s="14" t="s">
        <v>540</v>
      </c>
      <c r="DL179" s="14">
        <f>INDEX(属性投放!$BM$6:$BM$85,(CV179-2)*20+CZ179)</f>
        <v>900</v>
      </c>
      <c r="DM179" s="14">
        <f>SUMIFS(DL$5:DL179,$CT$5:$CT179,"="&amp;$CT179)</f>
        <v>6920</v>
      </c>
      <c r="DR179" s="14">
        <f t="shared" si="324"/>
        <v>1102009</v>
      </c>
      <c r="DS179" s="14" t="str">
        <f t="shared" si="325"/>
        <v>徐晃15突</v>
      </c>
      <c r="DT179" s="14">
        <f t="shared" si="338"/>
        <v>4</v>
      </c>
      <c r="DU179" s="14">
        <f t="shared" si="339"/>
        <v>5</v>
      </c>
      <c r="DV179" s="14">
        <f t="shared" si="340"/>
        <v>7</v>
      </c>
      <c r="DW179" s="14">
        <f t="shared" si="326"/>
        <v>3</v>
      </c>
      <c r="DX179" s="14">
        <f t="shared" si="327"/>
        <v>15</v>
      </c>
      <c r="DY179" s="14">
        <f t="shared" si="328"/>
        <v>35</v>
      </c>
      <c r="DZ179" s="14">
        <f>INDEX(属性投放!$AX$6:$AX$85,(卡牌属性!DW179-2)*20+卡牌属性!DX179)</f>
        <v>8</v>
      </c>
      <c r="EA179" s="14">
        <f>INDEX(属性投放!BQ$6:BQ$85,卡牌属性!$DY179)</f>
        <v>750</v>
      </c>
      <c r="EB179" s="14">
        <f>INDEX(属性投放!BR$6:BR$85,卡牌属性!$DY179)</f>
        <v>375</v>
      </c>
      <c r="EC179" s="14">
        <f>INDEX(属性投放!BS$6:BS$85,卡牌属性!$DY179)</f>
        <v>7500</v>
      </c>
      <c r="ED179" s="14">
        <f t="shared" si="425"/>
        <v>3890</v>
      </c>
      <c r="EE179" s="14">
        <f t="shared" si="426"/>
        <v>4246</v>
      </c>
      <c r="EF179" s="14">
        <f t="shared" si="427"/>
        <v>4396</v>
      </c>
      <c r="EG179" s="14">
        <f t="shared" si="428"/>
        <v>4396</v>
      </c>
      <c r="EH179" s="14">
        <f t="shared" si="429"/>
        <v>5213</v>
      </c>
      <c r="EI179" s="14">
        <f t="shared" si="430"/>
        <v>2097</v>
      </c>
      <c r="EJ179" s="14">
        <f t="shared" si="431"/>
        <v>2175</v>
      </c>
      <c r="EK179" s="14">
        <f t="shared" si="432"/>
        <v>2175</v>
      </c>
      <c r="EL179" s="14">
        <f t="shared" si="433"/>
        <v>2578</v>
      </c>
      <c r="EM179" s="14">
        <f t="shared" si="434"/>
        <v>2778</v>
      </c>
      <c r="EN179" s="14">
        <f t="shared" si="435"/>
        <v>43498</v>
      </c>
      <c r="EO179" s="14">
        <f t="shared" si="436"/>
        <v>46442</v>
      </c>
      <c r="EP179" s="14">
        <f t="shared" si="437"/>
        <v>46442</v>
      </c>
      <c r="EQ179" s="14">
        <f t="shared" si="438"/>
        <v>49540</v>
      </c>
      <c r="ER179" s="14">
        <f t="shared" si="439"/>
        <v>58500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INDEX(属性投放!$BQ$6:$BQ$85,(卡牌属性!$DW179-2)*20+卡牌属性!$DX179)</f>
        <v>750</v>
      </c>
      <c r="FI179" s="14">
        <f>INDEX(属性投放!$BQ$6:$BQ$85,(卡牌属性!$DW179-2)*20+卡牌属性!$DX179)</f>
        <v>750</v>
      </c>
      <c r="FJ179" s="14">
        <f>INDEX(属性投放!$BQ$6:$BQ$85,(卡牌属性!$DW179-2)*20+卡牌属性!$DX179)</f>
        <v>750</v>
      </c>
      <c r="FK179" s="14">
        <f>INDEX(属性投放!$BQ$6:$BQ$85,(卡牌属性!$DW179-2)*20+卡牌属性!$DX179)</f>
        <v>750</v>
      </c>
      <c r="FL179" s="14">
        <f>INDEX(属性投放!$BQ$6:$BQ$85,(卡牌属性!$DW179-2)*20+卡牌属性!$DX179)</f>
        <v>750</v>
      </c>
      <c r="FM179" s="14">
        <f>INDEX(属性投放!$BR$6:$BR$85,(卡牌属性!$DW179-2)*20+卡牌属性!$DX179)</f>
        <v>375</v>
      </c>
      <c r="FN179" s="14">
        <f>INDEX(属性投放!$BR$6:$BR$85,(卡牌属性!$DW179-2)*20+卡牌属性!$DX179)</f>
        <v>375</v>
      </c>
      <c r="FO179" s="14">
        <f>INDEX(属性投放!$BR$6:$BR$85,(卡牌属性!$DW179-2)*20+卡牌属性!$DX179)</f>
        <v>375</v>
      </c>
      <c r="FP179" s="14">
        <f>INDEX(属性投放!$BR$6:$BR$85,(卡牌属性!$DW179-2)*20+卡牌属性!$DX179)</f>
        <v>375</v>
      </c>
      <c r="FQ179" s="14">
        <f>INDEX(属性投放!$BR$6:$BR$85,(卡牌属性!$DW179-2)*20+卡牌属性!$DX179)</f>
        <v>375</v>
      </c>
      <c r="FR179" s="14">
        <f>INDEX(属性投放!$BS$6:$BS$85,(卡牌属性!$DW179-2)*20+卡牌属性!$DX179)</f>
        <v>7500</v>
      </c>
      <c r="FS179" s="14">
        <f>INDEX(属性投放!$BS$6:$BS$85,(卡牌属性!$DW179-2)*20+卡牌属性!$DX179)</f>
        <v>7500</v>
      </c>
      <c r="FT179" s="14">
        <f>INDEX(属性投放!$BS$6:$BS$85,(卡牌属性!$DW179-2)*20+卡牌属性!$DX179)</f>
        <v>7500</v>
      </c>
      <c r="FU179" s="14">
        <f>INDEX(属性投放!$BS$6:$BS$85,(卡牌属性!$DW179-2)*20+卡牌属性!$DX179)</f>
        <v>7500</v>
      </c>
      <c r="FV179" s="14">
        <f>INDEX(属性投放!$BS$6:$BS$85,(卡牌属性!$DW179-2)*20+卡牌属性!$DX179)</f>
        <v>7500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1"/>
        <v>9</v>
      </c>
      <c r="AG180" s="13">
        <f t="shared" si="316"/>
        <v>3</v>
      </c>
      <c r="AH180" s="13"/>
      <c r="AI180" s="13"/>
      <c r="AJ180" s="14">
        <f t="shared" si="317"/>
        <v>1101009</v>
      </c>
      <c r="AK180" s="14" t="str">
        <f t="shared" si="318"/>
        <v>北落师门16突</v>
      </c>
      <c r="AL180" s="25" t="s">
        <v>142</v>
      </c>
      <c r="AM180" s="14">
        <v>1</v>
      </c>
      <c r="AN180" s="14">
        <f t="shared" si="319"/>
        <v>16</v>
      </c>
      <c r="AO180" s="14">
        <f>INDEX(属性投放!$DF$6:$DF$85,(卡牌属性!AG180-2)*20+卡牌属性!AN180)</f>
        <v>11573</v>
      </c>
      <c r="AP180" s="14">
        <f t="shared" si="419"/>
        <v>11573</v>
      </c>
      <c r="AQ180" s="14">
        <f t="shared" si="419"/>
        <v>11573</v>
      </c>
      <c r="AR180" s="14">
        <f t="shared" si="419"/>
        <v>11573</v>
      </c>
      <c r="AS180" s="14">
        <f t="shared" si="419"/>
        <v>11573</v>
      </c>
      <c r="AT180" s="14">
        <f>INDEX(属性投放!$DG$6:$DG$85,(卡牌属性!AG180-2)*20+卡牌属性!AN180)</f>
        <v>5726</v>
      </c>
      <c r="AU180" s="14">
        <f t="shared" si="420"/>
        <v>5726</v>
      </c>
      <c r="AV180" s="14">
        <f t="shared" si="420"/>
        <v>5726</v>
      </c>
      <c r="AW180" s="14">
        <f t="shared" si="420"/>
        <v>5726</v>
      </c>
      <c r="AX180" s="14">
        <f t="shared" si="420"/>
        <v>5726</v>
      </c>
      <c r="AY180" s="14">
        <f>INDEX(属性投放!$DH$6:$DH$85,(卡牌属性!AG180-2)*20+卡牌属性!AN180)</f>
        <v>104818</v>
      </c>
      <c r="AZ180" s="14">
        <f t="shared" si="421"/>
        <v>104818</v>
      </c>
      <c r="BA180" s="14">
        <f t="shared" si="421"/>
        <v>104818</v>
      </c>
      <c r="BB180" s="14">
        <f t="shared" si="421"/>
        <v>104818</v>
      </c>
      <c r="BC180" s="14">
        <f t="shared" si="421"/>
        <v>104818</v>
      </c>
      <c r="BD180" s="14">
        <f>INDEX(属性投放!$DL$6:$DL$85,(卡牌属性!AG180-2)*20+卡牌属性!AN180)</f>
        <v>259</v>
      </c>
      <c r="BE180" s="14">
        <f t="shared" si="422"/>
        <v>259</v>
      </c>
      <c r="BF180" s="14">
        <f t="shared" si="422"/>
        <v>259</v>
      </c>
      <c r="BG180" s="14">
        <f t="shared" si="422"/>
        <v>259</v>
      </c>
      <c r="BH180" s="14">
        <f t="shared" si="422"/>
        <v>259</v>
      </c>
      <c r="BI180" s="14">
        <f>INDEX(属性投放!$DM$6:$DM$85,(卡牌属性!AG180-2)*20+卡牌属性!AN180)</f>
        <v>130</v>
      </c>
      <c r="BJ180" s="14">
        <f t="shared" si="423"/>
        <v>130</v>
      </c>
      <c r="BK180" s="14">
        <f t="shared" si="423"/>
        <v>130</v>
      </c>
      <c r="BL180" s="14">
        <f t="shared" si="423"/>
        <v>130</v>
      </c>
      <c r="BM180" s="14">
        <f t="shared" si="423"/>
        <v>130</v>
      </c>
      <c r="BN180" s="14">
        <f>INDEX(属性投放!$DN$6:$DN$85,(卡牌属性!AG180-2)*20+卡牌属性!AN180)</f>
        <v>2593</v>
      </c>
      <c r="BO180" s="14">
        <f t="shared" si="424"/>
        <v>2593</v>
      </c>
      <c r="BP180" s="14">
        <f t="shared" si="424"/>
        <v>2593</v>
      </c>
      <c r="BQ180" s="14">
        <f t="shared" si="424"/>
        <v>2593</v>
      </c>
      <c r="BR180" s="14">
        <f t="shared" si="424"/>
        <v>2593</v>
      </c>
      <c r="BW180" s="13">
        <v>176</v>
      </c>
      <c r="BX180" s="13">
        <f t="shared" si="320"/>
        <v>9</v>
      </c>
      <c r="BY180" s="14">
        <f t="shared" si="321"/>
        <v>3</v>
      </c>
      <c r="BZ180" s="14">
        <f t="shared" si="332"/>
        <v>1102009</v>
      </c>
      <c r="CA180" s="14" t="str">
        <f t="shared" si="333"/>
        <v>徐晃16突</v>
      </c>
      <c r="CB180" s="25" t="s">
        <v>142</v>
      </c>
      <c r="CC180" s="14">
        <v>2</v>
      </c>
      <c r="CD180" s="14">
        <f t="shared" si="322"/>
        <v>16</v>
      </c>
      <c r="CE180" s="14" t="s">
        <v>21</v>
      </c>
      <c r="CF180" s="14">
        <f>INDEX(属性投放!$AZ$6:$AZ$85,(BY180-2)*20+CD180)</f>
        <v>10466</v>
      </c>
      <c r="CG180" s="14" t="s">
        <v>22</v>
      </c>
      <c r="CH180" s="14">
        <f>INDEX(属性投放!$BA$6:$BA$85,(BY180-2)*20+CD180)</f>
        <v>5194</v>
      </c>
      <c r="CI180" s="14" t="s">
        <v>510</v>
      </c>
      <c r="CJ180" s="14">
        <f>INDEX(属性投放!$BB$6:$BB$85,(BY180-2)*20+CD180)</f>
        <v>93840</v>
      </c>
      <c r="CK180" s="14" t="s">
        <v>21</v>
      </c>
      <c r="CL180" s="14">
        <f>INDEX(属性投放!$BC$6:$BC$85,(BY180-2)*20+CD180)</f>
        <v>30</v>
      </c>
      <c r="CM180" s="14" t="s">
        <v>22</v>
      </c>
      <c r="CN180" s="14">
        <f>INDEX(属性投放!$BD$6:$BD$85,(BY180-2)*20+CD180)</f>
        <v>15</v>
      </c>
      <c r="CO180" s="14" t="s">
        <v>510</v>
      </c>
      <c r="CP180" s="14">
        <f>INDEX(属性投放!$BE$6:$BE$85,(BY180-2)*20+CD180)</f>
        <v>300</v>
      </c>
      <c r="CS180" s="13">
        <v>176</v>
      </c>
      <c r="CT180" s="13">
        <f t="shared" si="334"/>
        <v>4</v>
      </c>
      <c r="CU180" s="13">
        <f t="shared" si="335"/>
        <v>20</v>
      </c>
      <c r="CV180" s="14">
        <f t="shared" si="336"/>
        <v>2</v>
      </c>
      <c r="CW180" s="14">
        <f t="shared" si="337"/>
        <v>1102004</v>
      </c>
      <c r="CX180" s="14" t="str">
        <f>INDEX($O$6:$O$50,CT180)&amp;"-"&amp;INDEX(属性投放!$AB$7:$AB$50,CZ180)&amp;"-魂火-"&amp;DB180</f>
        <v>唐流雨-大叫唤-魂火-2</v>
      </c>
      <c r="CY180" s="25" t="s">
        <v>142</v>
      </c>
      <c r="CZ180" s="14">
        <f>INDEX(属性投放!$AM$7:$AM$58,CU180)</f>
        <v>10</v>
      </c>
      <c r="DA180" s="14" t="s">
        <v>537</v>
      </c>
      <c r="DB180" s="14">
        <f>INDEX(属性投放!$AN$7:$AN$58,CU180)</f>
        <v>2</v>
      </c>
      <c r="DC180" s="14">
        <f t="shared" si="323"/>
        <v>20</v>
      </c>
      <c r="DD180" s="14">
        <f>INDEX(属性投放!$AO$7:$AO$58,DC180)</f>
        <v>68</v>
      </c>
      <c r="DE180" s="14" t="s">
        <v>538</v>
      </c>
      <c r="DF180" s="14">
        <f>INDEX(属性投放!$BK$6:$BK$85,(CV180-2)*20+CZ180)</f>
        <v>100</v>
      </c>
      <c r="DG180" s="14">
        <f>SUMIFS(DF$5:DF180,$CT$5:$CT180,"="&amp;$CT180)</f>
        <v>1005</v>
      </c>
      <c r="DH180" s="14" t="s">
        <v>539</v>
      </c>
      <c r="DI180" s="14">
        <f>INDEX(属性投放!$BL$6:$BL$85,(CV180-2)*20+CZ180)</f>
        <v>50</v>
      </c>
      <c r="DJ180" s="14">
        <f>SUMIFS(DI$5:DI180,$CT$5:$CT180,"="&amp;$CT180)</f>
        <v>506</v>
      </c>
      <c r="DK180" s="14" t="s">
        <v>540</v>
      </c>
      <c r="DL180" s="14">
        <f>INDEX(属性投放!$BM$6:$BM$85,(CV180-2)*20+CZ180)</f>
        <v>900</v>
      </c>
      <c r="DM180" s="14">
        <f>SUMIFS(DL$5:DL180,$CT$5:$CT180,"="&amp;$CT180)</f>
        <v>7820</v>
      </c>
      <c r="DR180" s="14">
        <f t="shared" si="324"/>
        <v>1102009</v>
      </c>
      <c r="DS180" s="14" t="str">
        <f t="shared" si="325"/>
        <v>徐晃16突</v>
      </c>
      <c r="DT180" s="14">
        <f t="shared" si="338"/>
        <v>4</v>
      </c>
      <c r="DU180" s="14">
        <f t="shared" si="339"/>
        <v>5</v>
      </c>
      <c r="DV180" s="14">
        <f t="shared" si="340"/>
        <v>7</v>
      </c>
      <c r="DW180" s="14">
        <f t="shared" si="326"/>
        <v>3</v>
      </c>
      <c r="DX180" s="14">
        <f t="shared" si="327"/>
        <v>16</v>
      </c>
      <c r="DY180" s="14">
        <f t="shared" si="328"/>
        <v>36</v>
      </c>
      <c r="DZ180" s="14">
        <f>INDEX(属性投放!$AX$6:$AX$85,(卡牌属性!DW180-2)*20+卡牌属性!DX180)</f>
        <v>7</v>
      </c>
      <c r="EA180" s="14">
        <f>INDEX(属性投放!BQ$6:BQ$85,卡牌属性!$DY180)</f>
        <v>800</v>
      </c>
      <c r="EB180" s="14">
        <f>INDEX(属性投放!BR$6:BR$85,卡牌属性!$DY180)</f>
        <v>400</v>
      </c>
      <c r="EC180" s="14">
        <f>INDEX(属性投放!BS$6:BS$85,卡牌属性!$DY180)</f>
        <v>8000</v>
      </c>
      <c r="ED180" s="14">
        <f t="shared" si="425"/>
        <v>4800</v>
      </c>
      <c r="EE180" s="14">
        <f t="shared" si="426"/>
        <v>5196</v>
      </c>
      <c r="EF180" s="14">
        <f t="shared" si="427"/>
        <v>5354</v>
      </c>
      <c r="EG180" s="14">
        <f t="shared" si="428"/>
        <v>5354</v>
      </c>
      <c r="EH180" s="14">
        <f t="shared" si="429"/>
        <v>6283</v>
      </c>
      <c r="EI180" s="14">
        <f t="shared" si="430"/>
        <v>2576</v>
      </c>
      <c r="EJ180" s="14">
        <f t="shared" si="431"/>
        <v>2654</v>
      </c>
      <c r="EK180" s="14">
        <f t="shared" si="432"/>
        <v>2654</v>
      </c>
      <c r="EL180" s="14">
        <f t="shared" si="433"/>
        <v>3113</v>
      </c>
      <c r="EM180" s="14">
        <f t="shared" si="434"/>
        <v>3337</v>
      </c>
      <c r="EN180" s="14">
        <f t="shared" si="435"/>
        <v>54198</v>
      </c>
      <c r="EO180" s="14">
        <f t="shared" si="436"/>
        <v>57542</v>
      </c>
      <c r="EP180" s="14">
        <f t="shared" si="437"/>
        <v>57542</v>
      </c>
      <c r="EQ180" s="14">
        <f t="shared" si="438"/>
        <v>61040</v>
      </c>
      <c r="ER180" s="14">
        <f t="shared" si="439"/>
        <v>72000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INDEX(属性投放!$BQ$6:$BQ$85,(卡牌属性!$DW180-2)*20+卡牌属性!$DX180)</f>
        <v>800</v>
      </c>
      <c r="FI180" s="14">
        <f>INDEX(属性投放!$BQ$6:$BQ$85,(卡牌属性!$DW180-2)*20+卡牌属性!$DX180)</f>
        <v>800</v>
      </c>
      <c r="FJ180" s="14">
        <f>INDEX(属性投放!$BQ$6:$BQ$85,(卡牌属性!$DW180-2)*20+卡牌属性!$DX180)</f>
        <v>800</v>
      </c>
      <c r="FK180" s="14">
        <f>INDEX(属性投放!$BQ$6:$BQ$85,(卡牌属性!$DW180-2)*20+卡牌属性!$DX180)</f>
        <v>800</v>
      </c>
      <c r="FL180" s="14">
        <f>INDEX(属性投放!$BQ$6:$BQ$85,(卡牌属性!$DW180-2)*20+卡牌属性!$DX180)</f>
        <v>800</v>
      </c>
      <c r="FM180" s="14">
        <f>INDEX(属性投放!$BR$6:$BR$85,(卡牌属性!$DW180-2)*20+卡牌属性!$DX180)</f>
        <v>400</v>
      </c>
      <c r="FN180" s="14">
        <f>INDEX(属性投放!$BR$6:$BR$85,(卡牌属性!$DW180-2)*20+卡牌属性!$DX180)</f>
        <v>400</v>
      </c>
      <c r="FO180" s="14">
        <f>INDEX(属性投放!$BR$6:$BR$85,(卡牌属性!$DW180-2)*20+卡牌属性!$DX180)</f>
        <v>400</v>
      </c>
      <c r="FP180" s="14">
        <f>INDEX(属性投放!$BR$6:$BR$85,(卡牌属性!$DW180-2)*20+卡牌属性!$DX180)</f>
        <v>400</v>
      </c>
      <c r="FQ180" s="14">
        <f>INDEX(属性投放!$BR$6:$BR$85,(卡牌属性!$DW180-2)*20+卡牌属性!$DX180)</f>
        <v>400</v>
      </c>
      <c r="FR180" s="14">
        <f>INDEX(属性投放!$BS$6:$BS$85,(卡牌属性!$DW180-2)*20+卡牌属性!$DX180)</f>
        <v>8000</v>
      </c>
      <c r="FS180" s="14">
        <f>INDEX(属性投放!$BS$6:$BS$85,(卡牌属性!$DW180-2)*20+卡牌属性!$DX180)</f>
        <v>8000</v>
      </c>
      <c r="FT180" s="14">
        <f>INDEX(属性投放!$BS$6:$BS$85,(卡牌属性!$DW180-2)*20+卡牌属性!$DX180)</f>
        <v>8000</v>
      </c>
      <c r="FU180" s="14">
        <f>INDEX(属性投放!$BS$6:$BS$85,(卡牌属性!$DW180-2)*20+卡牌属性!$DX180)</f>
        <v>8000</v>
      </c>
      <c r="FV180" s="14">
        <f>INDEX(属性投放!$BS$6:$BS$85,(卡牌属性!$DW180-2)*20+卡牌属性!$DX180)</f>
        <v>8000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1"/>
        <v>9</v>
      </c>
      <c r="AG181" s="13">
        <f t="shared" si="316"/>
        <v>3</v>
      </c>
      <c r="AH181" s="13"/>
      <c r="AI181" s="13"/>
      <c r="AJ181" s="14">
        <f t="shared" si="317"/>
        <v>1101009</v>
      </c>
      <c r="AK181" s="14" t="str">
        <f t="shared" si="318"/>
        <v>北落师门17突</v>
      </c>
      <c r="AL181" s="25" t="s">
        <v>142</v>
      </c>
      <c r="AM181" s="14">
        <v>1</v>
      </c>
      <c r="AN181" s="14">
        <f t="shared" si="319"/>
        <v>17</v>
      </c>
      <c r="AO181" s="14">
        <f>INDEX(属性投放!$DF$6:$DF$85,(卡牌属性!AG181-2)*20+卡牌属性!AN181)</f>
        <v>12499</v>
      </c>
      <c r="AP181" s="14">
        <f t="shared" si="419"/>
        <v>12499</v>
      </c>
      <c r="AQ181" s="14">
        <f t="shared" si="419"/>
        <v>12499</v>
      </c>
      <c r="AR181" s="14">
        <f t="shared" si="419"/>
        <v>12499</v>
      </c>
      <c r="AS181" s="14">
        <f t="shared" si="419"/>
        <v>12499</v>
      </c>
      <c r="AT181" s="14">
        <f>INDEX(属性投放!$DG$6:$DG$85,(卡牌属性!AG181-2)*20+卡牌属性!AN181)</f>
        <v>6189</v>
      </c>
      <c r="AU181" s="14">
        <f t="shared" si="420"/>
        <v>6189</v>
      </c>
      <c r="AV181" s="14">
        <f t="shared" si="420"/>
        <v>6189</v>
      </c>
      <c r="AW181" s="14">
        <f t="shared" si="420"/>
        <v>6189</v>
      </c>
      <c r="AX181" s="14">
        <f t="shared" si="420"/>
        <v>6189</v>
      </c>
      <c r="AY181" s="14">
        <f>INDEX(属性投放!$DH$6:$DH$85,(卡牌属性!AG181-2)*20+卡牌属性!AN181)</f>
        <v>114078</v>
      </c>
      <c r="AZ181" s="14">
        <f t="shared" si="421"/>
        <v>114078</v>
      </c>
      <c r="BA181" s="14">
        <f t="shared" si="421"/>
        <v>114078</v>
      </c>
      <c r="BB181" s="14">
        <f t="shared" si="421"/>
        <v>114078</v>
      </c>
      <c r="BC181" s="14">
        <f t="shared" si="421"/>
        <v>114078</v>
      </c>
      <c r="BD181" s="14">
        <f>INDEX(属性投放!$DL$6:$DL$85,(卡牌属性!AG181-2)*20+卡牌属性!AN181)</f>
        <v>259</v>
      </c>
      <c r="BE181" s="14">
        <f t="shared" si="422"/>
        <v>259</v>
      </c>
      <c r="BF181" s="14">
        <f t="shared" si="422"/>
        <v>259</v>
      </c>
      <c r="BG181" s="14">
        <f t="shared" si="422"/>
        <v>259</v>
      </c>
      <c r="BH181" s="14">
        <f t="shared" si="422"/>
        <v>259</v>
      </c>
      <c r="BI181" s="14">
        <f>INDEX(属性投放!$DM$6:$DM$85,(卡牌属性!AG181-2)*20+卡牌属性!AN181)</f>
        <v>130</v>
      </c>
      <c r="BJ181" s="14">
        <f t="shared" si="423"/>
        <v>130</v>
      </c>
      <c r="BK181" s="14">
        <f t="shared" si="423"/>
        <v>130</v>
      </c>
      <c r="BL181" s="14">
        <f t="shared" si="423"/>
        <v>130</v>
      </c>
      <c r="BM181" s="14">
        <f t="shared" si="423"/>
        <v>130</v>
      </c>
      <c r="BN181" s="14">
        <f>INDEX(属性投放!$DN$6:$DN$85,(卡牌属性!AG181-2)*20+卡牌属性!AN181)</f>
        <v>2593</v>
      </c>
      <c r="BO181" s="14">
        <f t="shared" si="424"/>
        <v>2593</v>
      </c>
      <c r="BP181" s="14">
        <f t="shared" si="424"/>
        <v>2593</v>
      </c>
      <c r="BQ181" s="14">
        <f t="shared" si="424"/>
        <v>2593</v>
      </c>
      <c r="BR181" s="14">
        <f t="shared" si="424"/>
        <v>2593</v>
      </c>
      <c r="BW181" s="13">
        <v>177</v>
      </c>
      <c r="BX181" s="13">
        <f t="shared" si="320"/>
        <v>9</v>
      </c>
      <c r="BY181" s="14">
        <f t="shared" si="321"/>
        <v>3</v>
      </c>
      <c r="BZ181" s="14">
        <f t="shared" si="332"/>
        <v>1102009</v>
      </c>
      <c r="CA181" s="14" t="str">
        <f t="shared" si="333"/>
        <v>徐晃17突</v>
      </c>
      <c r="CB181" s="25" t="s">
        <v>142</v>
      </c>
      <c r="CC181" s="14">
        <v>2</v>
      </c>
      <c r="CD181" s="14">
        <f t="shared" si="322"/>
        <v>17</v>
      </c>
      <c r="CE181" s="14" t="s">
        <v>21</v>
      </c>
      <c r="CF181" s="14">
        <f>INDEX(属性投放!$AZ$6:$AZ$85,(BY181-2)*20+CD181)</f>
        <v>12976</v>
      </c>
      <c r="CG181" s="14" t="s">
        <v>22</v>
      </c>
      <c r="CH181" s="14">
        <f>INDEX(属性投放!$BA$6:$BA$85,(BY181-2)*20+CD181)</f>
        <v>6449</v>
      </c>
      <c r="CI181" s="14" t="s">
        <v>510</v>
      </c>
      <c r="CJ181" s="14">
        <f>INDEX(属性投放!$BB$6:$BB$85,(BY181-2)*20+CD181)</f>
        <v>118940</v>
      </c>
      <c r="CK181" s="14" t="s">
        <v>21</v>
      </c>
      <c r="CL181" s="14">
        <f>INDEX(属性投放!$BC$6:$BC$85,(BY181-2)*20+CD181)</f>
        <v>30</v>
      </c>
      <c r="CM181" s="14" t="s">
        <v>22</v>
      </c>
      <c r="CN181" s="14">
        <f>INDEX(属性投放!$BD$6:$BD$85,(BY181-2)*20+CD181)</f>
        <v>15</v>
      </c>
      <c r="CO181" s="14" t="s">
        <v>510</v>
      </c>
      <c r="CP181" s="14">
        <f>INDEX(属性投放!$BE$6:$BE$85,(BY181-2)*20+CD181)</f>
        <v>300</v>
      </c>
      <c r="CS181" s="13">
        <v>177</v>
      </c>
      <c r="CT181" s="13">
        <f t="shared" si="334"/>
        <v>4</v>
      </c>
      <c r="CU181" s="13">
        <f t="shared" si="335"/>
        <v>21</v>
      </c>
      <c r="CV181" s="14">
        <f t="shared" si="336"/>
        <v>2</v>
      </c>
      <c r="CW181" s="14">
        <f t="shared" si="337"/>
        <v>1102004</v>
      </c>
      <c r="CX181" s="14" t="str">
        <f>INDEX($O$6:$O$50,CT181)&amp;"-"&amp;INDEX(属性投放!$AB$7:$AB$50,CZ181)&amp;"-魂火-"&amp;DB181</f>
        <v>唐流雨-大叫唤-魂火-3</v>
      </c>
      <c r="CY181" s="25" t="s">
        <v>142</v>
      </c>
      <c r="CZ181" s="14">
        <f>INDEX(属性投放!$AM$7:$AM$58,CU181)</f>
        <v>10</v>
      </c>
      <c r="DA181" s="14" t="s">
        <v>537</v>
      </c>
      <c r="DB181" s="14">
        <f>INDEX(属性投放!$AN$7:$AN$58,CU181)</f>
        <v>3</v>
      </c>
      <c r="DC181" s="14">
        <f t="shared" si="323"/>
        <v>21</v>
      </c>
      <c r="DD181" s="14">
        <f>INDEX(属性投放!$AO$7:$AO$58,DC181)</f>
        <v>70</v>
      </c>
      <c r="DE181" s="14" t="s">
        <v>538</v>
      </c>
      <c r="DF181" s="14">
        <f>INDEX(属性投放!$BK$6:$BK$85,(CV181-2)*20+CZ181)</f>
        <v>100</v>
      </c>
      <c r="DG181" s="14">
        <f>SUMIFS(DF$5:DF181,$CT$5:$CT181,"="&amp;$CT181)</f>
        <v>1105</v>
      </c>
      <c r="DH181" s="14" t="s">
        <v>539</v>
      </c>
      <c r="DI181" s="14">
        <f>INDEX(属性投放!$BL$6:$BL$85,(CV181-2)*20+CZ181)</f>
        <v>50</v>
      </c>
      <c r="DJ181" s="14">
        <f>SUMIFS(DI$5:DI181,$CT$5:$CT181,"="&amp;$CT181)</f>
        <v>556</v>
      </c>
      <c r="DK181" s="14" t="s">
        <v>540</v>
      </c>
      <c r="DL181" s="14">
        <f>INDEX(属性投放!$BM$6:$BM$85,(CV181-2)*20+CZ181)</f>
        <v>900</v>
      </c>
      <c r="DM181" s="14">
        <f>SUMIFS(DL$5:DL181,$CT$5:$CT181,"="&amp;$CT181)</f>
        <v>8720</v>
      </c>
      <c r="DR181" s="14">
        <f t="shared" si="324"/>
        <v>1102009</v>
      </c>
      <c r="DS181" s="14" t="str">
        <f t="shared" si="325"/>
        <v>徐晃17突</v>
      </c>
      <c r="DT181" s="14">
        <f t="shared" si="338"/>
        <v>4</v>
      </c>
      <c r="DU181" s="14">
        <f t="shared" si="339"/>
        <v>5</v>
      </c>
      <c r="DV181" s="14">
        <f t="shared" si="340"/>
        <v>7</v>
      </c>
      <c r="DW181" s="14">
        <f t="shared" si="326"/>
        <v>3</v>
      </c>
      <c r="DX181" s="14">
        <f t="shared" si="327"/>
        <v>17</v>
      </c>
      <c r="DY181" s="14">
        <f t="shared" si="328"/>
        <v>37</v>
      </c>
      <c r="DZ181" s="14">
        <f>INDEX(属性投放!$AX$6:$AX$85,(卡牌属性!DW181-2)*20+卡牌属性!DX181)</f>
        <v>8</v>
      </c>
      <c r="EA181" s="14">
        <f>INDEX(属性投放!BQ$6:BQ$85,卡牌属性!$DY181)</f>
        <v>900</v>
      </c>
      <c r="EB181" s="14">
        <f>INDEX(属性投放!BR$6:BR$85,卡牌属性!$DY181)</f>
        <v>450</v>
      </c>
      <c r="EC181" s="14">
        <f>INDEX(属性投放!BS$6:BS$85,卡牌属性!$DY181)</f>
        <v>9000</v>
      </c>
      <c r="ED181" s="14">
        <f t="shared" si="425"/>
        <v>5775</v>
      </c>
      <c r="EE181" s="14">
        <f t="shared" si="426"/>
        <v>6206</v>
      </c>
      <c r="EF181" s="14">
        <f t="shared" si="427"/>
        <v>6399</v>
      </c>
      <c r="EG181" s="14">
        <f t="shared" si="428"/>
        <v>6399</v>
      </c>
      <c r="EH181" s="14">
        <f t="shared" si="429"/>
        <v>7433</v>
      </c>
      <c r="EI181" s="14">
        <f t="shared" si="430"/>
        <v>3081</v>
      </c>
      <c r="EJ181" s="14">
        <f t="shared" si="431"/>
        <v>3180</v>
      </c>
      <c r="EK181" s="14">
        <f t="shared" si="432"/>
        <v>3180</v>
      </c>
      <c r="EL181" s="14">
        <f t="shared" si="433"/>
        <v>3688</v>
      </c>
      <c r="EM181" s="14">
        <f t="shared" si="434"/>
        <v>3947</v>
      </c>
      <c r="EN181" s="14">
        <f t="shared" si="435"/>
        <v>65698</v>
      </c>
      <c r="EO181" s="14">
        <f t="shared" si="436"/>
        <v>69742</v>
      </c>
      <c r="EP181" s="14">
        <f t="shared" si="437"/>
        <v>69742</v>
      </c>
      <c r="EQ181" s="14">
        <f t="shared" si="438"/>
        <v>74290</v>
      </c>
      <c r="ER181" s="14">
        <f t="shared" si="439"/>
        <v>87000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INDEX(属性投放!$BQ$6:$BQ$85,(卡牌属性!$DW181-2)*20+卡牌属性!$DX181)</f>
        <v>900</v>
      </c>
      <c r="FI181" s="14">
        <f>INDEX(属性投放!$BQ$6:$BQ$85,(卡牌属性!$DW181-2)*20+卡牌属性!$DX181)</f>
        <v>900</v>
      </c>
      <c r="FJ181" s="14">
        <f>INDEX(属性投放!$BQ$6:$BQ$85,(卡牌属性!$DW181-2)*20+卡牌属性!$DX181)</f>
        <v>900</v>
      </c>
      <c r="FK181" s="14">
        <f>INDEX(属性投放!$BQ$6:$BQ$85,(卡牌属性!$DW181-2)*20+卡牌属性!$DX181)</f>
        <v>900</v>
      </c>
      <c r="FL181" s="14">
        <f>INDEX(属性投放!$BQ$6:$BQ$85,(卡牌属性!$DW181-2)*20+卡牌属性!$DX181)</f>
        <v>900</v>
      </c>
      <c r="FM181" s="14">
        <f>INDEX(属性投放!$BR$6:$BR$85,(卡牌属性!$DW181-2)*20+卡牌属性!$DX181)</f>
        <v>450</v>
      </c>
      <c r="FN181" s="14">
        <f>INDEX(属性投放!$BR$6:$BR$85,(卡牌属性!$DW181-2)*20+卡牌属性!$DX181)</f>
        <v>450</v>
      </c>
      <c r="FO181" s="14">
        <f>INDEX(属性投放!$BR$6:$BR$85,(卡牌属性!$DW181-2)*20+卡牌属性!$DX181)</f>
        <v>450</v>
      </c>
      <c r="FP181" s="14">
        <f>INDEX(属性投放!$BR$6:$BR$85,(卡牌属性!$DW181-2)*20+卡牌属性!$DX181)</f>
        <v>450</v>
      </c>
      <c r="FQ181" s="14">
        <f>INDEX(属性投放!$BR$6:$BR$85,(卡牌属性!$DW181-2)*20+卡牌属性!$DX181)</f>
        <v>450</v>
      </c>
      <c r="FR181" s="14">
        <f>INDEX(属性投放!$BS$6:$BS$85,(卡牌属性!$DW181-2)*20+卡牌属性!$DX181)</f>
        <v>9000</v>
      </c>
      <c r="FS181" s="14">
        <f>INDEX(属性投放!$BS$6:$BS$85,(卡牌属性!$DW181-2)*20+卡牌属性!$DX181)</f>
        <v>9000</v>
      </c>
      <c r="FT181" s="14">
        <f>INDEX(属性投放!$BS$6:$BS$85,(卡牌属性!$DW181-2)*20+卡牌属性!$DX181)</f>
        <v>9000</v>
      </c>
      <c r="FU181" s="14">
        <f>INDEX(属性投放!$BS$6:$BS$85,(卡牌属性!$DW181-2)*20+卡牌属性!$DX181)</f>
        <v>9000</v>
      </c>
      <c r="FV181" s="14">
        <f>INDEX(属性投放!$BS$6:$BS$85,(卡牌属性!$DW181-2)*20+卡牌属性!$DX181)</f>
        <v>9000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1"/>
        <v>9</v>
      </c>
      <c r="AG182" s="13">
        <f t="shared" si="316"/>
        <v>3</v>
      </c>
      <c r="AH182" s="13"/>
      <c r="AI182" s="13"/>
      <c r="AJ182" s="14">
        <f t="shared" si="317"/>
        <v>1101009</v>
      </c>
      <c r="AK182" s="14" t="str">
        <f t="shared" si="318"/>
        <v>北落师门18突</v>
      </c>
      <c r="AL182" s="25" t="s">
        <v>142</v>
      </c>
      <c r="AM182" s="14">
        <v>1</v>
      </c>
      <c r="AN182" s="14">
        <f t="shared" si="319"/>
        <v>18</v>
      </c>
      <c r="AO182" s="14">
        <f>INDEX(属性投放!$DF$6:$DF$85,(卡牌属性!AG182-2)*20+卡牌属性!AN182)</f>
        <v>13425</v>
      </c>
      <c r="AP182" s="14">
        <f t="shared" si="419"/>
        <v>13425</v>
      </c>
      <c r="AQ182" s="14">
        <f t="shared" si="419"/>
        <v>13425</v>
      </c>
      <c r="AR182" s="14">
        <f t="shared" si="419"/>
        <v>13425</v>
      </c>
      <c r="AS182" s="14">
        <f t="shared" si="419"/>
        <v>13425</v>
      </c>
      <c r="AT182" s="14">
        <f>INDEX(属性投放!$DG$6:$DG$85,(卡牌属性!AG182-2)*20+卡牌属性!AN182)</f>
        <v>6652</v>
      </c>
      <c r="AU182" s="14">
        <f t="shared" si="420"/>
        <v>6652</v>
      </c>
      <c r="AV182" s="14">
        <f t="shared" si="420"/>
        <v>6652</v>
      </c>
      <c r="AW182" s="14">
        <f t="shared" si="420"/>
        <v>6652</v>
      </c>
      <c r="AX182" s="14">
        <f t="shared" si="420"/>
        <v>6652</v>
      </c>
      <c r="AY182" s="14">
        <f>INDEX(属性投放!$DH$6:$DH$85,(卡牌属性!AG182-2)*20+卡牌属性!AN182)</f>
        <v>123338</v>
      </c>
      <c r="AZ182" s="14">
        <f t="shared" si="421"/>
        <v>123338</v>
      </c>
      <c r="BA182" s="14">
        <f t="shared" si="421"/>
        <v>123338</v>
      </c>
      <c r="BB182" s="14">
        <f t="shared" si="421"/>
        <v>123338</v>
      </c>
      <c r="BC182" s="14">
        <f t="shared" si="421"/>
        <v>123338</v>
      </c>
      <c r="BD182" s="14">
        <f>INDEX(属性投放!$DL$6:$DL$85,(卡牌属性!AG182-2)*20+卡牌属性!AN182)</f>
        <v>259</v>
      </c>
      <c r="BE182" s="14">
        <f t="shared" si="422"/>
        <v>259</v>
      </c>
      <c r="BF182" s="14">
        <f t="shared" si="422"/>
        <v>259</v>
      </c>
      <c r="BG182" s="14">
        <f t="shared" si="422"/>
        <v>259</v>
      </c>
      <c r="BH182" s="14">
        <f t="shared" si="422"/>
        <v>259</v>
      </c>
      <c r="BI182" s="14">
        <f>INDEX(属性投放!$DM$6:$DM$85,(卡牌属性!AG182-2)*20+卡牌属性!AN182)</f>
        <v>130</v>
      </c>
      <c r="BJ182" s="14">
        <f t="shared" si="423"/>
        <v>130</v>
      </c>
      <c r="BK182" s="14">
        <f t="shared" si="423"/>
        <v>130</v>
      </c>
      <c r="BL182" s="14">
        <f t="shared" si="423"/>
        <v>130</v>
      </c>
      <c r="BM182" s="14">
        <f t="shared" si="423"/>
        <v>130</v>
      </c>
      <c r="BN182" s="14">
        <f>INDEX(属性投放!$DN$6:$DN$85,(卡牌属性!AG182-2)*20+卡牌属性!AN182)</f>
        <v>2593</v>
      </c>
      <c r="BO182" s="14">
        <f t="shared" si="424"/>
        <v>2593</v>
      </c>
      <c r="BP182" s="14">
        <f t="shared" si="424"/>
        <v>2593</v>
      </c>
      <c r="BQ182" s="14">
        <f t="shared" si="424"/>
        <v>2593</v>
      </c>
      <c r="BR182" s="14">
        <f t="shared" si="424"/>
        <v>2593</v>
      </c>
      <c r="BW182" s="13">
        <v>178</v>
      </c>
      <c r="BX182" s="13">
        <f t="shared" si="320"/>
        <v>9</v>
      </c>
      <c r="BY182" s="14">
        <f t="shared" si="321"/>
        <v>3</v>
      </c>
      <c r="BZ182" s="14">
        <f t="shared" si="332"/>
        <v>1102009</v>
      </c>
      <c r="CA182" s="14" t="str">
        <f t="shared" si="333"/>
        <v>徐晃18突</v>
      </c>
      <c r="CB182" s="25" t="s">
        <v>142</v>
      </c>
      <c r="CC182" s="14">
        <v>2</v>
      </c>
      <c r="CD182" s="14">
        <f t="shared" si="322"/>
        <v>18</v>
      </c>
      <c r="CE182" s="14" t="s">
        <v>21</v>
      </c>
      <c r="CF182" s="14">
        <f>INDEX(属性投放!$AZ$6:$AZ$85,(BY182-2)*20+CD182)</f>
        <v>15916</v>
      </c>
      <c r="CG182" s="14" t="s">
        <v>22</v>
      </c>
      <c r="CH182" s="14">
        <f>INDEX(属性投放!$BA$6:$BA$85,(BY182-2)*20+CD182)</f>
        <v>7919</v>
      </c>
      <c r="CI182" s="14" t="s">
        <v>510</v>
      </c>
      <c r="CJ182" s="14">
        <f>INDEX(属性投放!$BB$6:$BB$85,(BY182-2)*20+CD182)</f>
        <v>148340</v>
      </c>
      <c r="CK182" s="14" t="s">
        <v>21</v>
      </c>
      <c r="CL182" s="14">
        <f>INDEX(属性投放!$BC$6:$BC$85,(BY182-2)*20+CD182)</f>
        <v>30</v>
      </c>
      <c r="CM182" s="14" t="s">
        <v>22</v>
      </c>
      <c r="CN182" s="14">
        <f>INDEX(属性投放!$BD$6:$BD$85,(BY182-2)*20+CD182)</f>
        <v>15</v>
      </c>
      <c r="CO182" s="14" t="s">
        <v>510</v>
      </c>
      <c r="CP182" s="14">
        <f>INDEX(属性投放!$BE$6:$BE$85,(BY182-2)*20+CD182)</f>
        <v>300</v>
      </c>
      <c r="CS182" s="13">
        <v>178</v>
      </c>
      <c r="CT182" s="13">
        <f t="shared" si="334"/>
        <v>4</v>
      </c>
      <c r="CU182" s="13">
        <f t="shared" si="335"/>
        <v>22</v>
      </c>
      <c r="CV182" s="14">
        <f t="shared" si="336"/>
        <v>2</v>
      </c>
      <c r="CW182" s="14">
        <f t="shared" si="337"/>
        <v>1102004</v>
      </c>
      <c r="CX182" s="14" t="str">
        <f>INDEX($O$6:$O$50,CT182)&amp;"-"&amp;INDEX(属性投放!$AB$7:$AB$50,CZ182)&amp;"-魂火-"&amp;DB182</f>
        <v>唐流雨-大叫唤+1-魂火-1</v>
      </c>
      <c r="CY182" s="25" t="s">
        <v>142</v>
      </c>
      <c r="CZ182" s="14">
        <f>INDEX(属性投放!$AM$7:$AM$58,CU182)</f>
        <v>11</v>
      </c>
      <c r="DA182" s="14" t="s">
        <v>537</v>
      </c>
      <c r="DB182" s="14">
        <f>INDEX(属性投放!$AN$7:$AN$58,CU182)</f>
        <v>1</v>
      </c>
      <c r="DC182" s="14">
        <f t="shared" si="323"/>
        <v>22</v>
      </c>
      <c r="DD182" s="14">
        <f>INDEX(属性投放!$AO$7:$AO$58,DC182)</f>
        <v>73</v>
      </c>
      <c r="DE182" s="14" t="s">
        <v>538</v>
      </c>
      <c r="DF182" s="14">
        <f>INDEX(属性投放!$BK$6:$BK$85,(CV182-2)*20+CZ182)</f>
        <v>130</v>
      </c>
      <c r="DG182" s="14">
        <f>SUMIFS(DF$5:DF182,$CT$5:$CT182,"="&amp;$CT182)</f>
        <v>1235</v>
      </c>
      <c r="DH182" s="14" t="s">
        <v>539</v>
      </c>
      <c r="DI182" s="14">
        <f>INDEX(属性投放!$BL$6:$BL$85,(CV182-2)*20+CZ182)</f>
        <v>65</v>
      </c>
      <c r="DJ182" s="14">
        <f>SUMIFS(DI$5:DI182,$CT$5:$CT182,"="&amp;$CT182)</f>
        <v>621</v>
      </c>
      <c r="DK182" s="14" t="s">
        <v>540</v>
      </c>
      <c r="DL182" s="14">
        <f>INDEX(属性投放!$BM$6:$BM$85,(CV182-2)*20+CZ182)</f>
        <v>1170</v>
      </c>
      <c r="DM182" s="14">
        <f>SUMIFS(DL$5:DL182,$CT$5:$CT182,"="&amp;$CT182)</f>
        <v>9890</v>
      </c>
      <c r="DR182" s="14">
        <f t="shared" si="324"/>
        <v>1102009</v>
      </c>
      <c r="DS182" s="14" t="str">
        <f t="shared" si="325"/>
        <v>徐晃18突</v>
      </c>
      <c r="DT182" s="14">
        <f t="shared" si="338"/>
        <v>4</v>
      </c>
      <c r="DU182" s="14">
        <f t="shared" si="339"/>
        <v>5</v>
      </c>
      <c r="DV182" s="14">
        <f t="shared" si="340"/>
        <v>7</v>
      </c>
      <c r="DW182" s="14">
        <f t="shared" si="326"/>
        <v>3</v>
      </c>
      <c r="DX182" s="14">
        <f t="shared" si="327"/>
        <v>18</v>
      </c>
      <c r="DY182" s="14">
        <f t="shared" si="328"/>
        <v>38</v>
      </c>
      <c r="DZ182" s="14">
        <f>INDEX(属性投放!$AX$6:$AX$85,(卡牌属性!DW182-2)*20+卡牌属性!DX182)</f>
        <v>7</v>
      </c>
      <c r="EA182" s="14">
        <f>INDEX(属性投放!BQ$6:BQ$85,卡牌属性!$DY182)</f>
        <v>1500</v>
      </c>
      <c r="EB182" s="14">
        <f>INDEX(属性投放!BR$6:BR$85,卡牌属性!$DY182)</f>
        <v>750</v>
      </c>
      <c r="EC182" s="14">
        <f>INDEX(属性投放!BS$6:BS$85,卡牌属性!$DY182)</f>
        <v>15000</v>
      </c>
      <c r="ED182" s="14">
        <f t="shared" si="425"/>
        <v>6875</v>
      </c>
      <c r="EE182" s="14">
        <f t="shared" si="426"/>
        <v>7346</v>
      </c>
      <c r="EF182" s="14">
        <f t="shared" si="427"/>
        <v>7579</v>
      </c>
      <c r="EG182" s="14">
        <f t="shared" si="428"/>
        <v>7579</v>
      </c>
      <c r="EH182" s="14">
        <f t="shared" si="429"/>
        <v>8733</v>
      </c>
      <c r="EI182" s="14">
        <f t="shared" si="430"/>
        <v>3651</v>
      </c>
      <c r="EJ182" s="14">
        <f t="shared" si="431"/>
        <v>3774</v>
      </c>
      <c r="EK182" s="14">
        <f t="shared" si="432"/>
        <v>3774</v>
      </c>
      <c r="EL182" s="14">
        <f t="shared" si="433"/>
        <v>4338</v>
      </c>
      <c r="EM182" s="14">
        <f t="shared" si="434"/>
        <v>4637</v>
      </c>
      <c r="EN182" s="14">
        <f t="shared" si="435"/>
        <v>78698</v>
      </c>
      <c r="EO182" s="14">
        <f t="shared" si="436"/>
        <v>83542</v>
      </c>
      <c r="EP182" s="14">
        <f t="shared" si="437"/>
        <v>83542</v>
      </c>
      <c r="EQ182" s="14">
        <f t="shared" si="438"/>
        <v>89290</v>
      </c>
      <c r="ER182" s="14">
        <f t="shared" si="439"/>
        <v>104000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INDEX(属性投放!$BQ$6:$BQ$85,(卡牌属性!$DW182-2)*20+卡牌属性!$DX182)</f>
        <v>1500</v>
      </c>
      <c r="FI182" s="14">
        <f>INDEX(属性投放!$BQ$6:$BQ$85,(卡牌属性!$DW182-2)*20+卡牌属性!$DX182)</f>
        <v>1500</v>
      </c>
      <c r="FJ182" s="14">
        <f>INDEX(属性投放!$BQ$6:$BQ$85,(卡牌属性!$DW182-2)*20+卡牌属性!$DX182)</f>
        <v>1500</v>
      </c>
      <c r="FK182" s="14">
        <f>INDEX(属性投放!$BQ$6:$BQ$85,(卡牌属性!$DW182-2)*20+卡牌属性!$DX182)</f>
        <v>1500</v>
      </c>
      <c r="FL182" s="14">
        <f>INDEX(属性投放!$BQ$6:$BQ$85,(卡牌属性!$DW182-2)*20+卡牌属性!$DX182)</f>
        <v>1500</v>
      </c>
      <c r="FM182" s="14">
        <f>INDEX(属性投放!$BR$6:$BR$85,(卡牌属性!$DW182-2)*20+卡牌属性!$DX182)</f>
        <v>750</v>
      </c>
      <c r="FN182" s="14">
        <f>INDEX(属性投放!$BR$6:$BR$85,(卡牌属性!$DW182-2)*20+卡牌属性!$DX182)</f>
        <v>750</v>
      </c>
      <c r="FO182" s="14">
        <f>INDEX(属性投放!$BR$6:$BR$85,(卡牌属性!$DW182-2)*20+卡牌属性!$DX182)</f>
        <v>750</v>
      </c>
      <c r="FP182" s="14">
        <f>INDEX(属性投放!$BR$6:$BR$85,(卡牌属性!$DW182-2)*20+卡牌属性!$DX182)</f>
        <v>750</v>
      </c>
      <c r="FQ182" s="14">
        <f>INDEX(属性投放!$BR$6:$BR$85,(卡牌属性!$DW182-2)*20+卡牌属性!$DX182)</f>
        <v>750</v>
      </c>
      <c r="FR182" s="14">
        <f>INDEX(属性投放!$BS$6:$BS$85,(卡牌属性!$DW182-2)*20+卡牌属性!$DX182)</f>
        <v>15000</v>
      </c>
      <c r="FS182" s="14">
        <f>INDEX(属性投放!$BS$6:$BS$85,(卡牌属性!$DW182-2)*20+卡牌属性!$DX182)</f>
        <v>15000</v>
      </c>
      <c r="FT182" s="14">
        <f>INDEX(属性投放!$BS$6:$BS$85,(卡牌属性!$DW182-2)*20+卡牌属性!$DX182)</f>
        <v>15000</v>
      </c>
      <c r="FU182" s="14">
        <f>INDEX(属性投放!$BS$6:$BS$85,(卡牌属性!$DW182-2)*20+卡牌属性!$DX182)</f>
        <v>15000</v>
      </c>
      <c r="FV182" s="14">
        <f>INDEX(属性投放!$BS$6:$BS$85,(卡牌属性!$DW182-2)*20+卡牌属性!$DX182)</f>
        <v>15000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1"/>
        <v>9</v>
      </c>
      <c r="AG183" s="13">
        <f t="shared" si="316"/>
        <v>3</v>
      </c>
      <c r="AH183" s="13"/>
      <c r="AI183" s="13"/>
      <c r="AJ183" s="14">
        <f t="shared" si="317"/>
        <v>1101009</v>
      </c>
      <c r="AK183" s="14" t="str">
        <f t="shared" si="318"/>
        <v>北落师门19突</v>
      </c>
      <c r="AL183" s="25" t="s">
        <v>142</v>
      </c>
      <c r="AM183" s="14">
        <v>1</v>
      </c>
      <c r="AN183" s="14">
        <f t="shared" si="319"/>
        <v>19</v>
      </c>
      <c r="AO183" s="14">
        <f>INDEX(属性投放!$DF$6:$DF$85,(卡牌属性!AG183-2)*20+卡牌属性!AN183)</f>
        <v>20826</v>
      </c>
      <c r="AP183" s="14">
        <f t="shared" si="419"/>
        <v>20826</v>
      </c>
      <c r="AQ183" s="14">
        <f t="shared" si="419"/>
        <v>20826</v>
      </c>
      <c r="AR183" s="14">
        <f t="shared" si="419"/>
        <v>20826</v>
      </c>
      <c r="AS183" s="14">
        <f t="shared" si="419"/>
        <v>20826</v>
      </c>
      <c r="AT183" s="14">
        <f>INDEX(属性投放!$DG$6:$DG$85,(卡牌属性!AG183-2)*20+卡牌属性!AN183)</f>
        <v>10365</v>
      </c>
      <c r="AU183" s="14">
        <f t="shared" si="420"/>
        <v>10365</v>
      </c>
      <c r="AV183" s="14">
        <f t="shared" si="420"/>
        <v>10365</v>
      </c>
      <c r="AW183" s="14">
        <f t="shared" si="420"/>
        <v>10365</v>
      </c>
      <c r="AX183" s="14">
        <f t="shared" si="420"/>
        <v>10365</v>
      </c>
      <c r="AY183" s="14">
        <f>INDEX(属性投放!$DH$6:$DH$85,(卡牌属性!AG183-2)*20+卡牌属性!AN183)</f>
        <v>197423</v>
      </c>
      <c r="AZ183" s="14">
        <f t="shared" si="421"/>
        <v>197423</v>
      </c>
      <c r="BA183" s="14">
        <f t="shared" si="421"/>
        <v>197423</v>
      </c>
      <c r="BB183" s="14">
        <f t="shared" si="421"/>
        <v>197423</v>
      </c>
      <c r="BC183" s="14">
        <f t="shared" si="421"/>
        <v>197423</v>
      </c>
      <c r="BD183" s="14">
        <f>INDEX(属性投放!$DL$6:$DL$85,(卡牌属性!AG183-2)*20+卡牌属性!AN183)</f>
        <v>486</v>
      </c>
      <c r="BE183" s="14">
        <f t="shared" si="422"/>
        <v>486</v>
      </c>
      <c r="BF183" s="14">
        <f t="shared" si="422"/>
        <v>486</v>
      </c>
      <c r="BG183" s="14">
        <f t="shared" si="422"/>
        <v>486</v>
      </c>
      <c r="BH183" s="14">
        <f t="shared" si="422"/>
        <v>486</v>
      </c>
      <c r="BI183" s="14">
        <f>INDEX(属性投放!$DM$6:$DM$85,(卡牌属性!AG183-2)*20+卡牌属性!AN183)</f>
        <v>243</v>
      </c>
      <c r="BJ183" s="14">
        <f t="shared" si="423"/>
        <v>243</v>
      </c>
      <c r="BK183" s="14">
        <f t="shared" si="423"/>
        <v>243</v>
      </c>
      <c r="BL183" s="14">
        <f t="shared" si="423"/>
        <v>243</v>
      </c>
      <c r="BM183" s="14">
        <f t="shared" si="423"/>
        <v>243</v>
      </c>
      <c r="BN183" s="14">
        <f>INDEX(属性投放!$DN$6:$DN$85,(卡牌属性!AG183-2)*20+卡牌属性!AN183)</f>
        <v>4863</v>
      </c>
      <c r="BO183" s="14">
        <f t="shared" si="424"/>
        <v>4863</v>
      </c>
      <c r="BP183" s="14">
        <f t="shared" si="424"/>
        <v>4863</v>
      </c>
      <c r="BQ183" s="14">
        <f t="shared" si="424"/>
        <v>4863</v>
      </c>
      <c r="BR183" s="14">
        <f t="shared" si="424"/>
        <v>4863</v>
      </c>
      <c r="BW183" s="13">
        <v>179</v>
      </c>
      <c r="BX183" s="13">
        <f t="shared" si="320"/>
        <v>9</v>
      </c>
      <c r="BY183" s="14">
        <f t="shared" si="321"/>
        <v>3</v>
      </c>
      <c r="BZ183" s="14">
        <f t="shared" si="332"/>
        <v>1102009</v>
      </c>
      <c r="CA183" s="14" t="str">
        <f t="shared" si="333"/>
        <v>徐晃19突</v>
      </c>
      <c r="CB183" s="25" t="s">
        <v>142</v>
      </c>
      <c r="CC183" s="14">
        <v>2</v>
      </c>
      <c r="CD183" s="14">
        <f t="shared" si="322"/>
        <v>19</v>
      </c>
      <c r="CE183" s="14" t="s">
        <v>21</v>
      </c>
      <c r="CF183" s="14">
        <f>INDEX(属性投放!$AZ$6:$AZ$85,(BY183-2)*20+CD183)</f>
        <v>19726</v>
      </c>
      <c r="CG183" s="14" t="s">
        <v>22</v>
      </c>
      <c r="CH183" s="14">
        <f>INDEX(属性投放!$BA$6:$BA$85,(BY183-2)*20+CD183)</f>
        <v>9824</v>
      </c>
      <c r="CI183" s="14" t="s">
        <v>510</v>
      </c>
      <c r="CJ183" s="14">
        <f>INDEX(属性投放!$BB$6:$BB$85,(BY183-2)*20+CD183)</f>
        <v>186440</v>
      </c>
      <c r="CK183" s="14" t="s">
        <v>21</v>
      </c>
      <c r="CL183" s="14">
        <f>INDEX(属性投放!$BC$6:$BC$85,(BY183-2)*20+CD183)</f>
        <v>40</v>
      </c>
      <c r="CM183" s="14" t="s">
        <v>22</v>
      </c>
      <c r="CN183" s="14">
        <f>INDEX(属性投放!$BD$6:$BD$85,(BY183-2)*20+CD183)</f>
        <v>20</v>
      </c>
      <c r="CO183" s="14" t="s">
        <v>510</v>
      </c>
      <c r="CP183" s="14">
        <f>INDEX(属性投放!$BE$6:$BE$85,(BY183-2)*20+CD183)</f>
        <v>400</v>
      </c>
      <c r="CS183" s="13">
        <v>179</v>
      </c>
      <c r="CT183" s="13">
        <f t="shared" si="334"/>
        <v>4</v>
      </c>
      <c r="CU183" s="13">
        <f t="shared" si="335"/>
        <v>23</v>
      </c>
      <c r="CV183" s="14">
        <f t="shared" si="336"/>
        <v>2</v>
      </c>
      <c r="CW183" s="14">
        <f t="shared" si="337"/>
        <v>1102004</v>
      </c>
      <c r="CX183" s="14" t="str">
        <f>INDEX($O$6:$O$50,CT183)&amp;"-"&amp;INDEX(属性投放!$AB$7:$AB$50,CZ183)&amp;"-魂火-"&amp;DB183</f>
        <v>唐流雨-大叫唤+1-魂火-2</v>
      </c>
      <c r="CY183" s="25" t="s">
        <v>142</v>
      </c>
      <c r="CZ183" s="14">
        <f>INDEX(属性投放!$AM$7:$AM$58,CU183)</f>
        <v>11</v>
      </c>
      <c r="DA183" s="14" t="s">
        <v>537</v>
      </c>
      <c r="DB183" s="14">
        <f>INDEX(属性投放!$AN$7:$AN$58,CU183)</f>
        <v>2</v>
      </c>
      <c r="DC183" s="14">
        <f t="shared" si="323"/>
        <v>23</v>
      </c>
      <c r="DD183" s="14">
        <f>INDEX(属性投放!$AO$7:$AO$58,DC183)</f>
        <v>75</v>
      </c>
      <c r="DE183" s="14" t="s">
        <v>538</v>
      </c>
      <c r="DF183" s="14">
        <f>INDEX(属性投放!$BK$6:$BK$85,(CV183-2)*20+CZ183)</f>
        <v>130</v>
      </c>
      <c r="DG183" s="14">
        <f>SUMIFS(DF$5:DF183,$CT$5:$CT183,"="&amp;$CT183)</f>
        <v>1365</v>
      </c>
      <c r="DH183" s="14" t="s">
        <v>539</v>
      </c>
      <c r="DI183" s="14">
        <f>INDEX(属性投放!$BL$6:$BL$85,(CV183-2)*20+CZ183)</f>
        <v>65</v>
      </c>
      <c r="DJ183" s="14">
        <f>SUMIFS(DI$5:DI183,$CT$5:$CT183,"="&amp;$CT183)</f>
        <v>686</v>
      </c>
      <c r="DK183" s="14" t="s">
        <v>540</v>
      </c>
      <c r="DL183" s="14">
        <f>INDEX(属性投放!$BM$6:$BM$85,(CV183-2)*20+CZ183)</f>
        <v>1170</v>
      </c>
      <c r="DM183" s="14">
        <f>SUMIFS(DL$5:DL183,$CT$5:$CT183,"="&amp;$CT183)</f>
        <v>11060</v>
      </c>
      <c r="DR183" s="14">
        <f t="shared" si="324"/>
        <v>1102009</v>
      </c>
      <c r="DS183" s="14" t="str">
        <f t="shared" si="325"/>
        <v>徐晃19突</v>
      </c>
      <c r="DT183" s="14">
        <f t="shared" si="338"/>
        <v>4</v>
      </c>
      <c r="DU183" s="14">
        <f t="shared" si="339"/>
        <v>5</v>
      </c>
      <c r="DV183" s="14">
        <f t="shared" si="340"/>
        <v>7</v>
      </c>
      <c r="DW183" s="14">
        <f t="shared" si="326"/>
        <v>3</v>
      </c>
      <c r="DX183" s="14">
        <f t="shared" si="327"/>
        <v>19</v>
      </c>
      <c r="DY183" s="14">
        <f t="shared" si="328"/>
        <v>39</v>
      </c>
      <c r="DZ183" s="14">
        <f>INDEX(属性投放!$AX$6:$AX$85,(卡牌属性!DW183-2)*20+卡牌属性!DX183)</f>
        <v>8</v>
      </c>
      <c r="EA183" s="14">
        <f>INDEX(属性投放!BQ$6:BQ$85,卡牌属性!$DY183)</f>
        <v>1500</v>
      </c>
      <c r="EB183" s="14">
        <f>INDEX(属性投放!BR$6:BR$85,卡牌属性!$DY183)</f>
        <v>750</v>
      </c>
      <c r="EC183" s="14">
        <f>INDEX(属性投放!BS$6:BS$85,卡牌属性!$DY183)</f>
        <v>15000</v>
      </c>
      <c r="ED183" s="14">
        <f t="shared" si="425"/>
        <v>8550</v>
      </c>
      <c r="EE183" s="14">
        <f t="shared" si="426"/>
        <v>9056</v>
      </c>
      <c r="EF183" s="14">
        <f t="shared" si="427"/>
        <v>9324</v>
      </c>
      <c r="EG183" s="14">
        <f t="shared" si="428"/>
        <v>9324</v>
      </c>
      <c r="EH183" s="14">
        <f t="shared" si="429"/>
        <v>10583</v>
      </c>
      <c r="EI183" s="14">
        <f t="shared" si="430"/>
        <v>4506</v>
      </c>
      <c r="EJ183" s="14">
        <f t="shared" si="431"/>
        <v>4650</v>
      </c>
      <c r="EK183" s="14">
        <f t="shared" si="432"/>
        <v>4650</v>
      </c>
      <c r="EL183" s="14">
        <f t="shared" si="433"/>
        <v>5263</v>
      </c>
      <c r="EM183" s="14">
        <f t="shared" si="434"/>
        <v>5597</v>
      </c>
      <c r="EN183" s="14">
        <f t="shared" si="435"/>
        <v>97198</v>
      </c>
      <c r="EO183" s="14">
        <f t="shared" si="436"/>
        <v>102742</v>
      </c>
      <c r="EP183" s="14">
        <f t="shared" si="437"/>
        <v>102742</v>
      </c>
      <c r="EQ183" s="14">
        <f t="shared" si="438"/>
        <v>109540</v>
      </c>
      <c r="ER183" s="14">
        <f t="shared" si="439"/>
        <v>126000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INDEX(属性投放!$BQ$6:$BQ$85,(卡牌属性!$DW183-2)*20+卡牌属性!$DX183)</f>
        <v>1500</v>
      </c>
      <c r="FI183" s="14">
        <f>INDEX(属性投放!$BQ$6:$BQ$85,(卡牌属性!$DW183-2)*20+卡牌属性!$DX183)</f>
        <v>1500</v>
      </c>
      <c r="FJ183" s="14">
        <f>INDEX(属性投放!$BQ$6:$BQ$85,(卡牌属性!$DW183-2)*20+卡牌属性!$DX183)</f>
        <v>1500</v>
      </c>
      <c r="FK183" s="14">
        <f>INDEX(属性投放!$BQ$6:$BQ$85,(卡牌属性!$DW183-2)*20+卡牌属性!$DX183)</f>
        <v>1500</v>
      </c>
      <c r="FL183" s="14">
        <f>INDEX(属性投放!$BQ$6:$BQ$85,(卡牌属性!$DW183-2)*20+卡牌属性!$DX183)</f>
        <v>1500</v>
      </c>
      <c r="FM183" s="14">
        <f>INDEX(属性投放!$BR$6:$BR$85,(卡牌属性!$DW183-2)*20+卡牌属性!$DX183)</f>
        <v>750</v>
      </c>
      <c r="FN183" s="14">
        <f>INDEX(属性投放!$BR$6:$BR$85,(卡牌属性!$DW183-2)*20+卡牌属性!$DX183)</f>
        <v>750</v>
      </c>
      <c r="FO183" s="14">
        <f>INDEX(属性投放!$BR$6:$BR$85,(卡牌属性!$DW183-2)*20+卡牌属性!$DX183)</f>
        <v>750</v>
      </c>
      <c r="FP183" s="14">
        <f>INDEX(属性投放!$BR$6:$BR$85,(卡牌属性!$DW183-2)*20+卡牌属性!$DX183)</f>
        <v>750</v>
      </c>
      <c r="FQ183" s="14">
        <f>INDEX(属性投放!$BR$6:$BR$85,(卡牌属性!$DW183-2)*20+卡牌属性!$DX183)</f>
        <v>750</v>
      </c>
      <c r="FR183" s="14">
        <f>INDEX(属性投放!$BS$6:$BS$85,(卡牌属性!$DW183-2)*20+卡牌属性!$DX183)</f>
        <v>15000</v>
      </c>
      <c r="FS183" s="14">
        <f>INDEX(属性投放!$BS$6:$BS$85,(卡牌属性!$DW183-2)*20+卡牌属性!$DX183)</f>
        <v>15000</v>
      </c>
      <c r="FT183" s="14">
        <f>INDEX(属性投放!$BS$6:$BS$85,(卡牌属性!$DW183-2)*20+卡牌属性!$DX183)</f>
        <v>15000</v>
      </c>
      <c r="FU183" s="14">
        <f>INDEX(属性投放!$BS$6:$BS$85,(卡牌属性!$DW183-2)*20+卡牌属性!$DX183)</f>
        <v>15000</v>
      </c>
      <c r="FV183" s="14">
        <f>INDEX(属性投放!$BS$6:$BS$85,(卡牌属性!$DW183-2)*20+卡牌属性!$DX183)</f>
        <v>15000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1"/>
        <v>9</v>
      </c>
      <c r="AG184" s="13">
        <f t="shared" si="316"/>
        <v>3</v>
      </c>
      <c r="AH184" s="13"/>
      <c r="AI184" s="13"/>
      <c r="AJ184" s="14">
        <f t="shared" si="317"/>
        <v>1101009</v>
      </c>
      <c r="AK184" s="14" t="str">
        <f t="shared" si="318"/>
        <v>北落师门20突</v>
      </c>
      <c r="AL184" s="25" t="s">
        <v>142</v>
      </c>
      <c r="AM184" s="14">
        <v>1</v>
      </c>
      <c r="AN184" s="14">
        <f t="shared" si="319"/>
        <v>20</v>
      </c>
      <c r="AO184" s="14">
        <f>INDEX(属性投放!$DF$6:$DF$85,(卡牌属性!AG184-2)*20+卡牌属性!AN184)</f>
        <v>21868</v>
      </c>
      <c r="AP184" s="14">
        <f t="shared" si="419"/>
        <v>21868</v>
      </c>
      <c r="AQ184" s="14">
        <f t="shared" si="419"/>
        <v>21868</v>
      </c>
      <c r="AR184" s="14">
        <f t="shared" si="419"/>
        <v>21868</v>
      </c>
      <c r="AS184" s="14">
        <f t="shared" si="419"/>
        <v>21868</v>
      </c>
      <c r="AT184" s="14">
        <f>INDEX(属性投放!$DG$6:$DG$85,(卡牌属性!AG184-2)*20+卡牌属性!AN184)</f>
        <v>10886</v>
      </c>
      <c r="AU184" s="14">
        <f t="shared" si="420"/>
        <v>10886</v>
      </c>
      <c r="AV184" s="14">
        <f t="shared" si="420"/>
        <v>10886</v>
      </c>
      <c r="AW184" s="14">
        <f t="shared" si="420"/>
        <v>10886</v>
      </c>
      <c r="AX184" s="14">
        <f t="shared" si="420"/>
        <v>10886</v>
      </c>
      <c r="AY184" s="14">
        <f>INDEX(属性投放!$DH$6:$DH$85,(卡牌属性!AG184-2)*20+卡牌属性!AN184)</f>
        <v>207843</v>
      </c>
      <c r="AZ184" s="14">
        <f t="shared" si="421"/>
        <v>207843</v>
      </c>
      <c r="BA184" s="14">
        <f t="shared" si="421"/>
        <v>207843</v>
      </c>
      <c r="BB184" s="14">
        <f t="shared" si="421"/>
        <v>207843</v>
      </c>
      <c r="BC184" s="14">
        <f t="shared" si="421"/>
        <v>207843</v>
      </c>
      <c r="BD184" s="14">
        <f>INDEX(属性投放!$DL$6:$DL$85,(卡牌属性!AG184-2)*20+卡牌属性!AN184)</f>
        <v>486</v>
      </c>
      <c r="BE184" s="14">
        <f t="shared" si="422"/>
        <v>486</v>
      </c>
      <c r="BF184" s="14">
        <f t="shared" si="422"/>
        <v>486</v>
      </c>
      <c r="BG184" s="14">
        <f t="shared" si="422"/>
        <v>486</v>
      </c>
      <c r="BH184" s="14">
        <f t="shared" si="422"/>
        <v>486</v>
      </c>
      <c r="BI184" s="14">
        <f>INDEX(属性投放!$DM$6:$DM$85,(卡牌属性!AG184-2)*20+卡牌属性!AN184)</f>
        <v>243</v>
      </c>
      <c r="BJ184" s="14">
        <f t="shared" si="423"/>
        <v>243</v>
      </c>
      <c r="BK184" s="14">
        <f t="shared" si="423"/>
        <v>243</v>
      </c>
      <c r="BL184" s="14">
        <f t="shared" si="423"/>
        <v>243</v>
      </c>
      <c r="BM184" s="14">
        <f t="shared" si="423"/>
        <v>243</v>
      </c>
      <c r="BN184" s="14">
        <f>INDEX(属性投放!$DN$6:$DN$85,(卡牌属性!AG184-2)*20+卡牌属性!AN184)</f>
        <v>4863</v>
      </c>
      <c r="BO184" s="14">
        <f t="shared" si="424"/>
        <v>4863</v>
      </c>
      <c r="BP184" s="14">
        <f t="shared" si="424"/>
        <v>4863</v>
      </c>
      <c r="BQ184" s="14">
        <f t="shared" si="424"/>
        <v>4863</v>
      </c>
      <c r="BR184" s="14">
        <f t="shared" si="424"/>
        <v>4863</v>
      </c>
      <c r="BW184" s="13">
        <v>180</v>
      </c>
      <c r="BX184" s="13">
        <f t="shared" si="320"/>
        <v>9</v>
      </c>
      <c r="BY184" s="14">
        <f t="shared" si="321"/>
        <v>3</v>
      </c>
      <c r="BZ184" s="14">
        <f t="shared" si="332"/>
        <v>1102009</v>
      </c>
      <c r="CA184" s="14" t="str">
        <f t="shared" si="333"/>
        <v>徐晃20突</v>
      </c>
      <c r="CB184" s="25" t="s">
        <v>142</v>
      </c>
      <c r="CC184" s="14">
        <v>2</v>
      </c>
      <c r="CD184" s="14">
        <f t="shared" si="322"/>
        <v>20</v>
      </c>
      <c r="CE184" s="14" t="s">
        <v>21</v>
      </c>
      <c r="CF184" s="14">
        <f>INDEX(属性投放!$AZ$6:$AZ$85,(BY184-2)*20+CD184)</f>
        <v>24246</v>
      </c>
      <c r="CG184" s="14" t="s">
        <v>22</v>
      </c>
      <c r="CH184" s="14">
        <f>INDEX(属性投放!$BA$6:$BA$85,(BY184-2)*20+CD184)</f>
        <v>12084</v>
      </c>
      <c r="CI184" s="14" t="s">
        <v>510</v>
      </c>
      <c r="CJ184" s="14">
        <f>INDEX(属性投放!$BB$6:$BB$85,(BY184-2)*20+CD184)</f>
        <v>231640</v>
      </c>
      <c r="CK184" s="14" t="s">
        <v>21</v>
      </c>
      <c r="CL184" s="14">
        <f>INDEX(属性投放!$BC$6:$BC$85,(BY184-2)*20+CD184)</f>
        <v>40</v>
      </c>
      <c r="CM184" s="14" t="s">
        <v>22</v>
      </c>
      <c r="CN184" s="14">
        <f>INDEX(属性投放!$BD$6:$BD$85,(BY184-2)*20+CD184)</f>
        <v>20</v>
      </c>
      <c r="CO184" s="14" t="s">
        <v>510</v>
      </c>
      <c r="CP184" s="14">
        <f>INDEX(属性投放!$BE$6:$BE$85,(BY184-2)*20+CD184)</f>
        <v>400</v>
      </c>
      <c r="CS184" s="13">
        <v>180</v>
      </c>
      <c r="CT184" s="13">
        <f t="shared" si="334"/>
        <v>4</v>
      </c>
      <c r="CU184" s="13">
        <f t="shared" si="335"/>
        <v>24</v>
      </c>
      <c r="CV184" s="14">
        <f t="shared" si="336"/>
        <v>2</v>
      </c>
      <c r="CW184" s="14">
        <f t="shared" si="337"/>
        <v>1102004</v>
      </c>
      <c r="CX184" s="14" t="str">
        <f>INDEX($O$6:$O$50,CT184)&amp;"-"&amp;INDEX(属性投放!$AB$7:$AB$50,CZ184)&amp;"-魂火-"&amp;DB184</f>
        <v>唐流雨-大叫唤+1-魂火-3</v>
      </c>
      <c r="CY184" s="25" t="s">
        <v>142</v>
      </c>
      <c r="CZ184" s="14">
        <f>INDEX(属性投放!$AM$7:$AM$58,CU184)</f>
        <v>11</v>
      </c>
      <c r="DA184" s="14" t="s">
        <v>537</v>
      </c>
      <c r="DB184" s="14">
        <f>INDEX(属性投放!$AN$7:$AN$58,CU184)</f>
        <v>3</v>
      </c>
      <c r="DC184" s="14">
        <f t="shared" si="323"/>
        <v>24</v>
      </c>
      <c r="DD184" s="14">
        <f>INDEX(属性投放!$AO$7:$AO$58,DC184)</f>
        <v>78</v>
      </c>
      <c r="DE184" s="14" t="s">
        <v>538</v>
      </c>
      <c r="DF184" s="14">
        <f>INDEX(属性投放!$BK$6:$BK$85,(CV184-2)*20+CZ184)</f>
        <v>130</v>
      </c>
      <c r="DG184" s="14">
        <f>SUMIFS(DF$5:DF184,$CT$5:$CT184,"="&amp;$CT184)</f>
        <v>1495</v>
      </c>
      <c r="DH184" s="14" t="s">
        <v>539</v>
      </c>
      <c r="DI184" s="14">
        <f>INDEX(属性投放!$BL$6:$BL$85,(CV184-2)*20+CZ184)</f>
        <v>65</v>
      </c>
      <c r="DJ184" s="14">
        <f>SUMIFS(DI$5:DI184,$CT$5:$CT184,"="&amp;$CT184)</f>
        <v>751</v>
      </c>
      <c r="DK184" s="14" t="s">
        <v>540</v>
      </c>
      <c r="DL184" s="14">
        <f>INDEX(属性投放!$BM$6:$BM$85,(CV184-2)*20+CZ184)</f>
        <v>1170</v>
      </c>
      <c r="DM184" s="14">
        <f>SUMIFS(DL$5:DL184,$CT$5:$CT184,"="&amp;$CT184)</f>
        <v>12230</v>
      </c>
      <c r="DR184" s="14">
        <f t="shared" si="324"/>
        <v>1102009</v>
      </c>
      <c r="DS184" s="14" t="str">
        <f t="shared" si="325"/>
        <v>徐晃20突</v>
      </c>
      <c r="DT184" s="14">
        <f t="shared" si="338"/>
        <v>4</v>
      </c>
      <c r="DU184" s="14">
        <f t="shared" si="339"/>
        <v>5</v>
      </c>
      <c r="DV184" s="14">
        <f t="shared" si="340"/>
        <v>7</v>
      </c>
      <c r="DW184" s="14">
        <f t="shared" si="326"/>
        <v>3</v>
      </c>
      <c r="DX184" s="14">
        <f t="shared" si="327"/>
        <v>20</v>
      </c>
      <c r="DY184" s="14">
        <f t="shared" si="328"/>
        <v>40</v>
      </c>
      <c r="DZ184" s="14">
        <f>INDEX(属性投放!$AX$6:$AX$85,(卡牌属性!DW184-2)*20+卡牌属性!DX184)</f>
        <v>10</v>
      </c>
      <c r="EA184" s="14">
        <f>INDEX(属性投放!BQ$6:BQ$85,卡牌属性!$DY184)</f>
        <v>1500</v>
      </c>
      <c r="EB184" s="14">
        <f>INDEX(属性投放!BR$6:BR$85,卡牌属性!$DY184)</f>
        <v>750</v>
      </c>
      <c r="EC184" s="14">
        <f>INDEX(属性投放!BS$6:BS$85,卡牌属性!$DY184)</f>
        <v>15000</v>
      </c>
      <c r="ED184" s="14">
        <f t="shared" si="425"/>
        <v>10290</v>
      </c>
      <c r="EE184" s="14">
        <f t="shared" si="426"/>
        <v>10876</v>
      </c>
      <c r="EF184" s="14">
        <f t="shared" si="427"/>
        <v>11184</v>
      </c>
      <c r="EG184" s="14">
        <f t="shared" si="428"/>
        <v>11184</v>
      </c>
      <c r="EH184" s="14">
        <f t="shared" si="429"/>
        <v>12683</v>
      </c>
      <c r="EI184" s="14">
        <f t="shared" si="430"/>
        <v>5416</v>
      </c>
      <c r="EJ184" s="14">
        <f t="shared" si="431"/>
        <v>5584</v>
      </c>
      <c r="EK184" s="14">
        <f t="shared" si="432"/>
        <v>5584</v>
      </c>
      <c r="EL184" s="14">
        <f t="shared" si="433"/>
        <v>6317</v>
      </c>
      <c r="EM184" s="14">
        <f t="shared" si="434"/>
        <v>6667</v>
      </c>
      <c r="EN184" s="14">
        <f t="shared" si="435"/>
        <v>118198</v>
      </c>
      <c r="EO184" s="14">
        <f t="shared" si="436"/>
        <v>124142</v>
      </c>
      <c r="EP184" s="14">
        <f t="shared" si="437"/>
        <v>124142</v>
      </c>
      <c r="EQ184" s="14">
        <f t="shared" si="438"/>
        <v>132540</v>
      </c>
      <c r="ER184" s="14">
        <f t="shared" si="439"/>
        <v>153000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INDEX(属性投放!$BQ$6:$BQ$85,(卡牌属性!$DW184-2)*20+卡牌属性!$DX184)</f>
        <v>1500</v>
      </c>
      <c r="FI184" s="14">
        <f>INDEX(属性投放!$BQ$6:$BQ$85,(卡牌属性!$DW184-2)*20+卡牌属性!$DX184)</f>
        <v>1500</v>
      </c>
      <c r="FJ184" s="14">
        <f>INDEX(属性投放!$BQ$6:$BQ$85,(卡牌属性!$DW184-2)*20+卡牌属性!$DX184)</f>
        <v>1500</v>
      </c>
      <c r="FK184" s="14">
        <f>INDEX(属性投放!$BQ$6:$BQ$85,(卡牌属性!$DW184-2)*20+卡牌属性!$DX184)</f>
        <v>1500</v>
      </c>
      <c r="FL184" s="14">
        <f>INDEX(属性投放!$BQ$6:$BQ$85,(卡牌属性!$DW184-2)*20+卡牌属性!$DX184)</f>
        <v>1500</v>
      </c>
      <c r="FM184" s="14">
        <f>INDEX(属性投放!$BR$6:$BR$85,(卡牌属性!$DW184-2)*20+卡牌属性!$DX184)</f>
        <v>750</v>
      </c>
      <c r="FN184" s="14">
        <f>INDEX(属性投放!$BR$6:$BR$85,(卡牌属性!$DW184-2)*20+卡牌属性!$DX184)</f>
        <v>750</v>
      </c>
      <c r="FO184" s="14">
        <f>INDEX(属性投放!$BR$6:$BR$85,(卡牌属性!$DW184-2)*20+卡牌属性!$DX184)</f>
        <v>750</v>
      </c>
      <c r="FP184" s="14">
        <f>INDEX(属性投放!$BR$6:$BR$85,(卡牌属性!$DW184-2)*20+卡牌属性!$DX184)</f>
        <v>750</v>
      </c>
      <c r="FQ184" s="14">
        <f>INDEX(属性投放!$BR$6:$BR$85,(卡牌属性!$DW184-2)*20+卡牌属性!$DX184)</f>
        <v>750</v>
      </c>
      <c r="FR184" s="14">
        <f>INDEX(属性投放!$BS$6:$BS$85,(卡牌属性!$DW184-2)*20+卡牌属性!$DX184)</f>
        <v>15000</v>
      </c>
      <c r="FS184" s="14">
        <f>INDEX(属性投放!$BS$6:$BS$85,(卡牌属性!$DW184-2)*20+卡牌属性!$DX184)</f>
        <v>15000</v>
      </c>
      <c r="FT184" s="14">
        <f>INDEX(属性投放!$BS$6:$BS$85,(卡牌属性!$DW184-2)*20+卡牌属性!$DX184)</f>
        <v>15000</v>
      </c>
      <c r="FU184" s="14">
        <f>INDEX(属性投放!$BS$6:$BS$85,(卡牌属性!$DW184-2)*20+卡牌属性!$DX184)</f>
        <v>15000</v>
      </c>
      <c r="FV184" s="14">
        <f>INDEX(属性投放!$BS$6:$BS$85,(卡牌属性!$DW184-2)*20+卡牌属性!$DX184)</f>
        <v>15000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1"/>
        <v>10</v>
      </c>
      <c r="AG185" s="13">
        <f t="shared" si="316"/>
        <v>4</v>
      </c>
      <c r="AH185" s="13"/>
      <c r="AI185" s="13"/>
      <c r="AJ185" s="14">
        <f t="shared" si="317"/>
        <v>1101010</v>
      </c>
      <c r="AK185" s="14" t="str">
        <f t="shared" si="318"/>
        <v>盖文1突</v>
      </c>
      <c r="AL185" s="25" t="s">
        <v>142</v>
      </c>
      <c r="AM185" s="14">
        <v>1</v>
      </c>
      <c r="AN185" s="14">
        <f t="shared" si="319"/>
        <v>1</v>
      </c>
      <c r="AO185" s="14">
        <f>INDEX(属性投放!$DF$6:$DF$85,(卡牌属性!AG185-2)*20+卡牌属性!AN185)</f>
        <v>200</v>
      </c>
      <c r="AP185" s="14">
        <f t="shared" ref="AP185:AS204" si="440">$AO185</f>
        <v>200</v>
      </c>
      <c r="AQ185" s="14">
        <f t="shared" si="440"/>
        <v>200</v>
      </c>
      <c r="AR185" s="14">
        <f t="shared" si="440"/>
        <v>200</v>
      </c>
      <c r="AS185" s="14">
        <f t="shared" si="440"/>
        <v>200</v>
      </c>
      <c r="AT185" s="14">
        <f>INDEX(属性投放!$DG$6:$DG$85,(卡牌属性!AG185-2)*20+卡牌属性!AN185)</f>
        <v>20</v>
      </c>
      <c r="AU185" s="14">
        <f t="shared" ref="AU185:AX204" si="441">$AT185</f>
        <v>20</v>
      </c>
      <c r="AV185" s="14">
        <f t="shared" si="441"/>
        <v>20</v>
      </c>
      <c r="AW185" s="14">
        <f t="shared" si="441"/>
        <v>20</v>
      </c>
      <c r="AX185" s="14">
        <f t="shared" si="441"/>
        <v>20</v>
      </c>
      <c r="AY185" s="14">
        <f>INDEX(属性投放!$DH$6:$DH$85,(卡牌属性!AG185-2)*20+卡牌属性!AN185)</f>
        <v>625</v>
      </c>
      <c r="AZ185" s="14">
        <f t="shared" ref="AZ185:BC204" si="442">$AY185</f>
        <v>625</v>
      </c>
      <c r="BA185" s="14">
        <f t="shared" si="442"/>
        <v>625</v>
      </c>
      <c r="BB185" s="14">
        <f t="shared" si="442"/>
        <v>625</v>
      </c>
      <c r="BC185" s="14">
        <f t="shared" si="442"/>
        <v>625</v>
      </c>
      <c r="BD185" s="14">
        <f>INDEX(属性投放!$DL$6:$DL$85,(卡牌属性!AG185-2)*20+卡牌属性!AN185)</f>
        <v>11</v>
      </c>
      <c r="BE185" s="14">
        <f t="shared" ref="BE185:BH204" si="443">$BD185</f>
        <v>11</v>
      </c>
      <c r="BF185" s="14">
        <f t="shared" si="443"/>
        <v>11</v>
      </c>
      <c r="BG185" s="14">
        <f t="shared" si="443"/>
        <v>11</v>
      </c>
      <c r="BH185" s="14">
        <f t="shared" si="443"/>
        <v>11</v>
      </c>
      <c r="BI185" s="14">
        <f>INDEX(属性投放!$DM$6:$DM$85,(卡牌属性!AG185-2)*20+卡牌属性!AN185)</f>
        <v>6</v>
      </c>
      <c r="BJ185" s="14">
        <f t="shared" ref="BJ185:BM204" si="444">$BI185</f>
        <v>6</v>
      </c>
      <c r="BK185" s="14">
        <f t="shared" si="444"/>
        <v>6</v>
      </c>
      <c r="BL185" s="14">
        <f t="shared" si="444"/>
        <v>6</v>
      </c>
      <c r="BM185" s="14">
        <f t="shared" si="444"/>
        <v>6</v>
      </c>
      <c r="BN185" s="14">
        <f>INDEX(属性投放!$DN$6:$DN$85,(卡牌属性!AG185-2)*20+卡牌属性!AN185)</f>
        <v>65</v>
      </c>
      <c r="BO185" s="14">
        <f t="shared" ref="BO185:BR204" si="445">$BN185</f>
        <v>65</v>
      </c>
      <c r="BP185" s="14">
        <f t="shared" si="445"/>
        <v>65</v>
      </c>
      <c r="BQ185" s="14">
        <f t="shared" si="445"/>
        <v>65</v>
      </c>
      <c r="BR185" s="14">
        <f t="shared" si="445"/>
        <v>65</v>
      </c>
      <c r="BW185" s="13">
        <v>181</v>
      </c>
      <c r="BX185" s="13">
        <f t="shared" si="320"/>
        <v>10</v>
      </c>
      <c r="BY185" s="14">
        <f t="shared" si="321"/>
        <v>4</v>
      </c>
      <c r="BZ185" s="14">
        <f t="shared" si="332"/>
        <v>1102010</v>
      </c>
      <c r="CA185" s="14" t="str">
        <f t="shared" si="333"/>
        <v>张郃1突</v>
      </c>
      <c r="CB185" s="25" t="s">
        <v>142</v>
      </c>
      <c r="CC185" s="14">
        <v>2</v>
      </c>
      <c r="CD185" s="14">
        <f t="shared" si="322"/>
        <v>1</v>
      </c>
      <c r="CE185" s="14" t="s">
        <v>21</v>
      </c>
      <c r="CF185" s="14">
        <f>INDEX(属性投放!$AZ$6:$AZ$85,(BY185-2)*20+CD185)</f>
        <v>200</v>
      </c>
      <c r="CG185" s="14" t="s">
        <v>22</v>
      </c>
      <c r="CH185" s="14">
        <f>INDEX(属性投放!$BA$6:$BA$85,(BY185-2)*20+CD185)</f>
        <v>25</v>
      </c>
      <c r="CI185" s="14" t="s">
        <v>510</v>
      </c>
      <c r="CJ185" s="14">
        <f>INDEX(属性投放!$BB$6:$BB$85,(BY185-2)*20+CD185)</f>
        <v>800</v>
      </c>
      <c r="CK185" s="14" t="s">
        <v>21</v>
      </c>
      <c r="CL185" s="14">
        <f>INDEX(属性投放!$BC$6:$BC$85,(BY185-2)*20+CD185)</f>
        <v>12</v>
      </c>
      <c r="CM185" s="14" t="s">
        <v>22</v>
      </c>
      <c r="CN185" s="14">
        <f>INDEX(属性投放!$BD$6:$BD$85,(BY185-2)*20+CD185)</f>
        <v>6</v>
      </c>
      <c r="CO185" s="14" t="s">
        <v>510</v>
      </c>
      <c r="CP185" s="14">
        <f>INDEX(属性投放!$BE$6:$BE$85,(BY185-2)*20+CD185)</f>
        <v>72</v>
      </c>
      <c r="CS185" s="13">
        <v>181</v>
      </c>
      <c r="CT185" s="13">
        <f t="shared" si="334"/>
        <v>4</v>
      </c>
      <c r="CU185" s="13">
        <f t="shared" si="335"/>
        <v>25</v>
      </c>
      <c r="CV185" s="14">
        <f t="shared" si="336"/>
        <v>2</v>
      </c>
      <c r="CW185" s="14">
        <f t="shared" si="337"/>
        <v>1102004</v>
      </c>
      <c r="CX185" s="14" t="str">
        <f>INDEX($O$6:$O$50,CT185)&amp;"-"&amp;INDEX(属性投放!$AB$7:$AB$50,CZ185)&amp;"-魂火-"&amp;DB185</f>
        <v>唐流雨-大叫唤+2-魂火-1</v>
      </c>
      <c r="CY185" s="25" t="s">
        <v>142</v>
      </c>
      <c r="CZ185" s="14">
        <f>INDEX(属性投放!$AM$7:$AM$58,CU185)</f>
        <v>12</v>
      </c>
      <c r="DA185" s="14" t="s">
        <v>537</v>
      </c>
      <c r="DB185" s="14">
        <f>INDEX(属性投放!$AN$7:$AN$58,CU185)</f>
        <v>1</v>
      </c>
      <c r="DC185" s="14">
        <f t="shared" si="323"/>
        <v>25</v>
      </c>
      <c r="DD185" s="14">
        <f>INDEX(属性投放!$AO$7:$AO$58,DC185)</f>
        <v>80</v>
      </c>
      <c r="DE185" s="14" t="s">
        <v>538</v>
      </c>
      <c r="DF185" s="14">
        <f>INDEX(属性投放!$BK$6:$BK$85,(CV185-2)*20+CZ185)</f>
        <v>170</v>
      </c>
      <c r="DG185" s="14">
        <f>SUMIFS(DF$5:DF185,$CT$5:$CT185,"="&amp;$CT185)</f>
        <v>1665</v>
      </c>
      <c r="DH185" s="14" t="s">
        <v>539</v>
      </c>
      <c r="DI185" s="14">
        <f>INDEX(属性投放!$BL$6:$BL$85,(CV185-2)*20+CZ185)</f>
        <v>85</v>
      </c>
      <c r="DJ185" s="14">
        <f>SUMIFS(DI$5:DI185,$CT$5:$CT185,"="&amp;$CT185)</f>
        <v>836</v>
      </c>
      <c r="DK185" s="14" t="s">
        <v>540</v>
      </c>
      <c r="DL185" s="14">
        <f>INDEX(属性投放!$BM$6:$BM$85,(CV185-2)*20+CZ185)</f>
        <v>1530</v>
      </c>
      <c r="DM185" s="14">
        <f>SUMIFS(DL$5:DL185,$CT$5:$CT185,"="&amp;$CT185)</f>
        <v>13760</v>
      </c>
      <c r="DR185" s="14">
        <f t="shared" si="324"/>
        <v>1102010</v>
      </c>
      <c r="DS185" s="14" t="str">
        <f t="shared" si="325"/>
        <v>张郃1突</v>
      </c>
      <c r="DT185" s="14">
        <f t="shared" si="338"/>
        <v>8</v>
      </c>
      <c r="DU185" s="14">
        <f t="shared" si="339"/>
        <v>6</v>
      </c>
      <c r="DV185" s="14">
        <f t="shared" si="340"/>
        <v>5</v>
      </c>
      <c r="DW185" s="14">
        <f t="shared" si="326"/>
        <v>4</v>
      </c>
      <c r="DX185" s="14">
        <f t="shared" si="327"/>
        <v>1</v>
      </c>
      <c r="DY185" s="14">
        <f t="shared" si="328"/>
        <v>41</v>
      </c>
      <c r="DZ185" s="14">
        <f>INDEX(属性投放!$AX$6:$AX$85,(卡牌属性!DW185-2)*20+卡牌属性!DX185)</f>
        <v>4</v>
      </c>
      <c r="EA185" s="14">
        <f>INDEX(属性投放!BQ$6:BQ$85,卡牌属性!$DY185)</f>
        <v>35</v>
      </c>
      <c r="EB185" s="14">
        <f>INDEX(属性投放!BR$6:BR$85,卡牌属性!$DY185)</f>
        <v>18</v>
      </c>
      <c r="EC185" s="14">
        <f>INDEX(属性投放!BS$6:BS$85,卡牌属性!$DY185)</f>
        <v>210</v>
      </c>
      <c r="ED185" s="14">
        <f>INDEX(属性偏向!$I$4:$I$15,卡牌属性!$DT185+ED$3)</f>
        <v>250</v>
      </c>
      <c r="EE185" s="14">
        <f>INDEX(属性偏向!$I$4:$I$15,卡牌属性!$DT185+EE$3)</f>
        <v>300</v>
      </c>
      <c r="EF185" s="14">
        <f>INDEX(属性偏向!$I$4:$I$15,卡牌属性!$DT185+EF$3)</f>
        <v>350</v>
      </c>
      <c r="EG185" s="14">
        <f>INDEX(属性偏向!$I$4:$I$15,卡牌属性!$DT185+EG$3)</f>
        <v>350</v>
      </c>
      <c r="EH185" s="14">
        <f>INDEX(属性偏向!$I$4:$I$15,卡牌属性!$DT185+EH$3)</f>
        <v>400</v>
      </c>
      <c r="EI185" s="14">
        <f>INDEX(属性偏向!$J$4:$J$15,卡牌属性!$DU185+EI$3)</f>
        <v>40</v>
      </c>
      <c r="EJ185" s="14">
        <f>INDEX(属性偏向!$J$4:$J$15,卡牌属性!$DU185+EJ$3)</f>
        <v>50</v>
      </c>
      <c r="EK185" s="14">
        <f>INDEX(属性偏向!$J$4:$J$15,卡牌属性!$DU185+EK$3)</f>
        <v>50</v>
      </c>
      <c r="EL185" s="14">
        <f>INDEX(属性偏向!$J$4:$J$15,卡牌属性!$DU185+EL$3)</f>
        <v>75</v>
      </c>
      <c r="EM185" s="14">
        <f>INDEX(属性偏向!$J$4:$J$15,卡牌属性!$DU185+EM$3)</f>
        <v>100</v>
      </c>
      <c r="EN185" s="14">
        <f>INDEX(属性偏向!$K$4:$K$15,卡牌属性!$DV185+EN$3)</f>
        <v>500</v>
      </c>
      <c r="EO185" s="14">
        <f>INDEX(属性偏向!$K$4:$K$15,卡牌属性!$DV185+EO$3)</f>
        <v>650</v>
      </c>
      <c r="EP185" s="14">
        <f>INDEX(属性偏向!$K$4:$K$15,卡牌属性!$DV185+EP$3)</f>
        <v>650</v>
      </c>
      <c r="EQ185" s="14">
        <f>INDEX(属性偏向!$K$4:$K$15,卡牌属性!$DV185+EQ$3)</f>
        <v>800</v>
      </c>
      <c r="ER185" s="14">
        <f>INDEX(属性偏向!$K$4:$K$15,卡牌属性!$DV185+ER$3)</f>
        <v>1000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48</v>
      </c>
      <c r="FD185" s="14">
        <f>INDEX(属性偏向!$U$4:$U$243,(卡牌属性!$DV185-1+FD$3)*20+卡牌属性!$DX185)</f>
        <v>60</v>
      </c>
      <c r="FE185" s="14">
        <f>INDEX(属性偏向!$U$4:$U$243,(卡牌属性!$DV185-1+FE$3)*20+卡牌属性!$DX185)</f>
        <v>60</v>
      </c>
      <c r="FF185" s="14">
        <f>INDEX(属性偏向!$U$4:$U$243,(卡牌属性!$DV185-1+FF$3)*20+卡牌属性!$DX185)</f>
        <v>72</v>
      </c>
      <c r="FG185" s="14">
        <f>INDEX(属性偏向!$U$4:$U$243,(卡牌属性!$DV185-1+FG$3)*20+卡牌属性!$DX185)</f>
        <v>78</v>
      </c>
      <c r="FH185" s="14">
        <f>INDEX(属性投放!$BQ$6:$BQ$85,(卡牌属性!$DW185-2)*20+卡牌属性!$DX185)</f>
        <v>35</v>
      </c>
      <c r="FI185" s="14">
        <f>INDEX(属性投放!$BQ$6:$BQ$85,(卡牌属性!$DW185-2)*20+卡牌属性!$DX185)</f>
        <v>35</v>
      </c>
      <c r="FJ185" s="14">
        <f>INDEX(属性投放!$BQ$6:$BQ$85,(卡牌属性!$DW185-2)*20+卡牌属性!$DX185)</f>
        <v>35</v>
      </c>
      <c r="FK185" s="14">
        <f>INDEX(属性投放!$BQ$6:$BQ$85,(卡牌属性!$DW185-2)*20+卡牌属性!$DX185)</f>
        <v>35</v>
      </c>
      <c r="FL185" s="14">
        <f>INDEX(属性投放!$BQ$6:$BQ$85,(卡牌属性!$DW185-2)*20+卡牌属性!$DX185)</f>
        <v>35</v>
      </c>
      <c r="FM185" s="14">
        <f>INDEX(属性投放!$BR$6:$BR$85,(卡牌属性!$DW185-2)*20+卡牌属性!$DX185)</f>
        <v>18</v>
      </c>
      <c r="FN185" s="14">
        <f>INDEX(属性投放!$BR$6:$BR$85,(卡牌属性!$DW185-2)*20+卡牌属性!$DX185)</f>
        <v>18</v>
      </c>
      <c r="FO185" s="14">
        <f>INDEX(属性投放!$BR$6:$BR$85,(卡牌属性!$DW185-2)*20+卡牌属性!$DX185)</f>
        <v>18</v>
      </c>
      <c r="FP185" s="14">
        <f>INDEX(属性投放!$BR$6:$BR$85,(卡牌属性!$DW185-2)*20+卡牌属性!$DX185)</f>
        <v>18</v>
      </c>
      <c r="FQ185" s="14">
        <f>INDEX(属性投放!$BR$6:$BR$85,(卡牌属性!$DW185-2)*20+卡牌属性!$DX185)</f>
        <v>18</v>
      </c>
      <c r="FR185" s="14">
        <f>INDEX(属性投放!$BS$6:$BS$85,(卡牌属性!$DW185-2)*20+卡牌属性!$DX185)</f>
        <v>210</v>
      </c>
      <c r="FS185" s="14">
        <f>INDEX(属性投放!$BS$6:$BS$85,(卡牌属性!$DW185-2)*20+卡牌属性!$DX185)</f>
        <v>210</v>
      </c>
      <c r="FT185" s="14">
        <f>INDEX(属性投放!$BS$6:$BS$85,(卡牌属性!$DW185-2)*20+卡牌属性!$DX185)</f>
        <v>210</v>
      </c>
      <c r="FU185" s="14">
        <f>INDEX(属性投放!$BS$6:$BS$85,(卡牌属性!$DW185-2)*20+卡牌属性!$DX185)</f>
        <v>210</v>
      </c>
      <c r="FV185" s="14">
        <f>INDEX(属性投放!$BS$6:$BS$85,(卡牌属性!$DW185-2)*20+卡牌属性!$DX185)</f>
        <v>210</v>
      </c>
    </row>
    <row r="186" spans="31:193" ht="16.5" x14ac:dyDescent="0.2">
      <c r="AE186" s="13">
        <v>182</v>
      </c>
      <c r="AF186" s="13">
        <f t="shared" si="331"/>
        <v>10</v>
      </c>
      <c r="AG186" s="13">
        <f t="shared" si="316"/>
        <v>4</v>
      </c>
      <c r="AH186" s="13"/>
      <c r="AI186" s="13"/>
      <c r="AJ186" s="14">
        <f t="shared" si="317"/>
        <v>1101010</v>
      </c>
      <c r="AK186" s="14" t="str">
        <f t="shared" si="318"/>
        <v>盖文2突</v>
      </c>
      <c r="AL186" s="25" t="s">
        <v>142</v>
      </c>
      <c r="AM186" s="14">
        <v>1</v>
      </c>
      <c r="AN186" s="14">
        <f t="shared" si="319"/>
        <v>2</v>
      </c>
      <c r="AO186" s="14">
        <f>INDEX(属性投放!$DF$6:$DF$85,(卡牌属性!AG186-2)*20+卡牌属性!AN186)</f>
        <v>310</v>
      </c>
      <c r="AP186" s="14">
        <f t="shared" si="440"/>
        <v>310</v>
      </c>
      <c r="AQ186" s="14">
        <f t="shared" si="440"/>
        <v>310</v>
      </c>
      <c r="AR186" s="14">
        <f t="shared" si="440"/>
        <v>310</v>
      </c>
      <c r="AS186" s="14">
        <f t="shared" si="440"/>
        <v>310</v>
      </c>
      <c r="AT186" s="14">
        <f>INDEX(属性投放!$DG$6:$DG$85,(卡牌属性!AG186-2)*20+卡牌属性!AN186)</f>
        <v>80</v>
      </c>
      <c r="AU186" s="14">
        <f t="shared" si="441"/>
        <v>80</v>
      </c>
      <c r="AV186" s="14">
        <f t="shared" si="441"/>
        <v>80</v>
      </c>
      <c r="AW186" s="14">
        <f t="shared" si="441"/>
        <v>80</v>
      </c>
      <c r="AX186" s="14">
        <f t="shared" si="441"/>
        <v>80</v>
      </c>
      <c r="AY186" s="14">
        <f>INDEX(属性投放!$DH$6:$DH$85,(卡牌属性!AG186-2)*20+卡牌属性!AN186)</f>
        <v>1275</v>
      </c>
      <c r="AZ186" s="14">
        <f t="shared" si="442"/>
        <v>1275</v>
      </c>
      <c r="BA186" s="14">
        <f t="shared" si="442"/>
        <v>1275</v>
      </c>
      <c r="BB186" s="14">
        <f t="shared" si="442"/>
        <v>1275</v>
      </c>
      <c r="BC186" s="14">
        <f t="shared" si="442"/>
        <v>1275</v>
      </c>
      <c r="BD186" s="14">
        <f>INDEX(属性投放!$DL$6:$DL$85,(卡牌属性!AG186-2)*20+卡牌属性!AN186)</f>
        <v>22</v>
      </c>
      <c r="BE186" s="14">
        <f t="shared" si="443"/>
        <v>22</v>
      </c>
      <c r="BF186" s="14">
        <f t="shared" si="443"/>
        <v>22</v>
      </c>
      <c r="BG186" s="14">
        <f t="shared" si="443"/>
        <v>22</v>
      </c>
      <c r="BH186" s="14">
        <f t="shared" si="443"/>
        <v>22</v>
      </c>
      <c r="BI186" s="14">
        <f>INDEX(属性投放!$DM$6:$DM$85,(卡牌属性!AG186-2)*20+卡牌属性!AN186)</f>
        <v>11</v>
      </c>
      <c r="BJ186" s="14">
        <f t="shared" si="444"/>
        <v>11</v>
      </c>
      <c r="BK186" s="14">
        <f t="shared" si="444"/>
        <v>11</v>
      </c>
      <c r="BL186" s="14">
        <f t="shared" si="444"/>
        <v>11</v>
      </c>
      <c r="BM186" s="14">
        <f t="shared" si="444"/>
        <v>11</v>
      </c>
      <c r="BN186" s="14">
        <f>INDEX(属性投放!$DN$6:$DN$85,(卡牌属性!AG186-2)*20+卡牌属性!AN186)</f>
        <v>132</v>
      </c>
      <c r="BO186" s="14">
        <f t="shared" si="445"/>
        <v>132</v>
      </c>
      <c r="BP186" s="14">
        <f t="shared" si="445"/>
        <v>132</v>
      </c>
      <c r="BQ186" s="14">
        <f t="shared" si="445"/>
        <v>132</v>
      </c>
      <c r="BR186" s="14">
        <f t="shared" si="445"/>
        <v>132</v>
      </c>
      <c r="BW186" s="13">
        <v>182</v>
      </c>
      <c r="BX186" s="13">
        <f t="shared" si="320"/>
        <v>10</v>
      </c>
      <c r="BY186" s="14">
        <f t="shared" si="321"/>
        <v>4</v>
      </c>
      <c r="BZ186" s="14">
        <f t="shared" si="332"/>
        <v>1102010</v>
      </c>
      <c r="CA186" s="14" t="str">
        <f t="shared" si="333"/>
        <v>张郃2突</v>
      </c>
      <c r="CB186" s="25" t="s">
        <v>142</v>
      </c>
      <c r="CC186" s="14">
        <v>2</v>
      </c>
      <c r="CD186" s="14">
        <f t="shared" si="322"/>
        <v>2</v>
      </c>
      <c r="CE186" s="14" t="s">
        <v>21</v>
      </c>
      <c r="CF186" s="14">
        <f>INDEX(属性投放!$AZ$6:$AZ$85,(BY186-2)*20+CD186)</f>
        <v>308</v>
      </c>
      <c r="CG186" s="14" t="s">
        <v>22</v>
      </c>
      <c r="CH186" s="14">
        <f>INDEX(属性投放!$BA$6:$BA$85,(BY186-2)*20+CD186)</f>
        <v>80</v>
      </c>
      <c r="CI186" s="14" t="s">
        <v>510</v>
      </c>
      <c r="CJ186" s="14">
        <f>INDEX(属性投放!$BB$6:$BB$85,(BY186-2)*20+CD186)</f>
        <v>1448</v>
      </c>
      <c r="CK186" s="14" t="s">
        <v>21</v>
      </c>
      <c r="CL186" s="14">
        <f>INDEX(属性投放!$BC$6:$BC$85,(BY186-2)*20+CD186)</f>
        <v>15</v>
      </c>
      <c r="CM186" s="14" t="s">
        <v>22</v>
      </c>
      <c r="CN186" s="14">
        <f>INDEX(属性投放!$BD$6:$BD$85,(BY186-2)*20+CD186)</f>
        <v>8</v>
      </c>
      <c r="CO186" s="14" t="s">
        <v>510</v>
      </c>
      <c r="CP186" s="14">
        <f>INDEX(属性投放!$BE$6:$BE$85,(BY186-2)*20+CD186)</f>
        <v>90</v>
      </c>
      <c r="CS186" s="13">
        <v>182</v>
      </c>
      <c r="CT186" s="13">
        <f t="shared" si="334"/>
        <v>4</v>
      </c>
      <c r="CU186" s="13">
        <f t="shared" si="335"/>
        <v>26</v>
      </c>
      <c r="CV186" s="14">
        <f t="shared" si="336"/>
        <v>2</v>
      </c>
      <c r="CW186" s="14">
        <f t="shared" si="337"/>
        <v>1102004</v>
      </c>
      <c r="CX186" s="14" t="str">
        <f>INDEX($O$6:$O$50,CT186)&amp;"-"&amp;INDEX(属性投放!$AB$7:$AB$50,CZ186)&amp;"-魂火-"&amp;DB186</f>
        <v>唐流雨-大叫唤+2-魂火-2</v>
      </c>
      <c r="CY186" s="25" t="s">
        <v>142</v>
      </c>
      <c r="CZ186" s="14">
        <f>INDEX(属性投放!$AM$7:$AM$58,CU186)</f>
        <v>12</v>
      </c>
      <c r="DA186" s="14" t="s">
        <v>537</v>
      </c>
      <c r="DB186" s="14">
        <f>INDEX(属性投放!$AN$7:$AN$58,CU186)</f>
        <v>2</v>
      </c>
      <c r="DC186" s="14">
        <f t="shared" si="323"/>
        <v>26</v>
      </c>
      <c r="DD186" s="14">
        <f>INDEX(属性投放!$AO$7:$AO$58,DC186)</f>
        <v>83</v>
      </c>
      <c r="DE186" s="14" t="s">
        <v>538</v>
      </c>
      <c r="DF186" s="14">
        <f>INDEX(属性投放!$BK$6:$BK$85,(CV186-2)*20+CZ186)</f>
        <v>170</v>
      </c>
      <c r="DG186" s="14">
        <f>SUMIFS(DF$5:DF186,$CT$5:$CT186,"="&amp;$CT186)</f>
        <v>1835</v>
      </c>
      <c r="DH186" s="14" t="s">
        <v>539</v>
      </c>
      <c r="DI186" s="14">
        <f>INDEX(属性投放!$BL$6:$BL$85,(CV186-2)*20+CZ186)</f>
        <v>85</v>
      </c>
      <c r="DJ186" s="14">
        <f>SUMIFS(DI$5:DI186,$CT$5:$CT186,"="&amp;$CT186)</f>
        <v>921</v>
      </c>
      <c r="DK186" s="14" t="s">
        <v>540</v>
      </c>
      <c r="DL186" s="14">
        <f>INDEX(属性投放!$BM$6:$BM$85,(CV186-2)*20+CZ186)</f>
        <v>1530</v>
      </c>
      <c r="DM186" s="14">
        <f>SUMIFS(DL$5:DL186,$CT$5:$CT186,"="&amp;$CT186)</f>
        <v>15290</v>
      </c>
      <c r="DR186" s="14">
        <f t="shared" si="324"/>
        <v>1102010</v>
      </c>
      <c r="DS186" s="14" t="str">
        <f t="shared" si="325"/>
        <v>张郃2突</v>
      </c>
      <c r="DT186" s="14">
        <f t="shared" si="338"/>
        <v>8</v>
      </c>
      <c r="DU186" s="14">
        <f t="shared" si="339"/>
        <v>6</v>
      </c>
      <c r="DV186" s="14">
        <f t="shared" si="340"/>
        <v>5</v>
      </c>
      <c r="DW186" s="14">
        <f t="shared" si="326"/>
        <v>4</v>
      </c>
      <c r="DX186" s="14">
        <f t="shared" si="327"/>
        <v>2</v>
      </c>
      <c r="DY186" s="14">
        <f t="shared" si="328"/>
        <v>42</v>
      </c>
      <c r="DZ186" s="14">
        <f>INDEX(属性投放!$AX$6:$AX$85,(卡牌属性!DW186-2)*20+卡牌属性!DX186)</f>
        <v>10</v>
      </c>
      <c r="EA186" s="14">
        <f>INDEX(属性投放!BQ$6:BQ$85,卡牌属性!$DY186)</f>
        <v>40</v>
      </c>
      <c r="EB186" s="14">
        <f>INDEX(属性投放!BR$6:BR$85,卡牌属性!$DY186)</f>
        <v>20</v>
      </c>
      <c r="EC186" s="14">
        <f>INDEX(属性投放!BS$6:BS$85,卡牌属性!$DY186)</f>
        <v>240</v>
      </c>
      <c r="ED186" s="14">
        <f t="shared" ref="ED186:ED204" si="446">ED185+$EA185+ES185*$DZ185</f>
        <v>337</v>
      </c>
      <c r="EE186" s="14">
        <f t="shared" ref="EE186:EE204" si="447">EE185+$EA185+ET185*$DZ185</f>
        <v>395</v>
      </c>
      <c r="EF186" s="14">
        <f t="shared" ref="EF186:EF204" si="448">EF185+$EA185+EU185*$DZ185</f>
        <v>465</v>
      </c>
      <c r="EG186" s="14">
        <f t="shared" ref="EG186:EG204" si="449">EG185+$EA185+EV185*$DZ185</f>
        <v>465</v>
      </c>
      <c r="EH186" s="14">
        <f t="shared" ref="EH186:EH204" si="450">EH185+$EA185+EW185*$DZ185</f>
        <v>535</v>
      </c>
      <c r="EI186" s="14">
        <f t="shared" ref="EI186:EI204" si="451">EI185+$EB185+EX185*$DZ185</f>
        <v>78</v>
      </c>
      <c r="EJ186" s="14">
        <f t="shared" ref="EJ186:EJ204" si="452">EJ185+$EB185+EY185*$DZ185</f>
        <v>92</v>
      </c>
      <c r="EK186" s="14">
        <f t="shared" ref="EK186:EK204" si="453">EK185+$EB185+EZ185*$DZ185</f>
        <v>92</v>
      </c>
      <c r="EL186" s="14">
        <f t="shared" ref="EL186:EL204" si="454">EL185+$EB185+FA185*$DZ185</f>
        <v>121</v>
      </c>
      <c r="EM186" s="14">
        <f t="shared" ref="EM186:EM204" si="455">EM185+$EB185+FB185*$DZ185</f>
        <v>150</v>
      </c>
      <c r="EN186" s="14">
        <f t="shared" ref="EN186:EN204" si="456">EN185+$EC185+FC185*$DZ185</f>
        <v>902</v>
      </c>
      <c r="EO186" s="14">
        <f t="shared" ref="EO186:EO204" si="457">EO185+$EC185+FD185*$DZ185</f>
        <v>1100</v>
      </c>
      <c r="EP186" s="14">
        <f t="shared" ref="EP186:EP204" si="458">EP185+$EC185+FE185*$DZ185</f>
        <v>1100</v>
      </c>
      <c r="EQ186" s="14">
        <f t="shared" ref="EQ186:EQ204" si="459">EQ185+$EC185+FF185*$DZ185</f>
        <v>1298</v>
      </c>
      <c r="ER186" s="14">
        <f t="shared" ref="ER186:ER204" si="460">ER185+$EC185+FG185*$DZ185</f>
        <v>1522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60</v>
      </c>
      <c r="FD186" s="14">
        <f>INDEX(属性偏向!$U$4:$U$243,(卡牌属性!$DV186-1+FD$3)*20+卡牌属性!$DX186)</f>
        <v>72</v>
      </c>
      <c r="FE186" s="14">
        <f>INDEX(属性偏向!$U$4:$U$243,(卡牌属性!$DV186-1+FE$3)*20+卡牌属性!$DX186)</f>
        <v>72</v>
      </c>
      <c r="FF186" s="14">
        <f>INDEX(属性偏向!$U$4:$U$243,(卡牌属性!$DV186-1+FF$3)*20+卡牌属性!$DX186)</f>
        <v>90</v>
      </c>
      <c r="FG186" s="14">
        <f>INDEX(属性偏向!$U$4:$U$243,(卡牌属性!$DV186-1+FG$3)*20+卡牌属性!$DX186)</f>
        <v>102</v>
      </c>
      <c r="FH186" s="14">
        <f>INDEX(属性投放!$BQ$6:$BQ$85,(卡牌属性!$DW186-2)*20+卡牌属性!$DX186)</f>
        <v>40</v>
      </c>
      <c r="FI186" s="14">
        <f>INDEX(属性投放!$BQ$6:$BQ$85,(卡牌属性!$DW186-2)*20+卡牌属性!$DX186)</f>
        <v>40</v>
      </c>
      <c r="FJ186" s="14">
        <f>INDEX(属性投放!$BQ$6:$BQ$85,(卡牌属性!$DW186-2)*20+卡牌属性!$DX186)</f>
        <v>40</v>
      </c>
      <c r="FK186" s="14">
        <f>INDEX(属性投放!$BQ$6:$BQ$85,(卡牌属性!$DW186-2)*20+卡牌属性!$DX186)</f>
        <v>40</v>
      </c>
      <c r="FL186" s="14">
        <f>INDEX(属性投放!$BQ$6:$BQ$85,(卡牌属性!$DW186-2)*20+卡牌属性!$DX186)</f>
        <v>40</v>
      </c>
      <c r="FM186" s="14">
        <f>INDEX(属性投放!$BR$6:$BR$85,(卡牌属性!$DW186-2)*20+卡牌属性!$DX186)</f>
        <v>20</v>
      </c>
      <c r="FN186" s="14">
        <f>INDEX(属性投放!$BR$6:$BR$85,(卡牌属性!$DW186-2)*20+卡牌属性!$DX186)</f>
        <v>20</v>
      </c>
      <c r="FO186" s="14">
        <f>INDEX(属性投放!$BR$6:$BR$85,(卡牌属性!$DW186-2)*20+卡牌属性!$DX186)</f>
        <v>20</v>
      </c>
      <c r="FP186" s="14">
        <f>INDEX(属性投放!$BR$6:$BR$85,(卡牌属性!$DW186-2)*20+卡牌属性!$DX186)</f>
        <v>20</v>
      </c>
      <c r="FQ186" s="14">
        <f>INDEX(属性投放!$BR$6:$BR$85,(卡牌属性!$DW186-2)*20+卡牌属性!$DX186)</f>
        <v>20</v>
      </c>
      <c r="FR186" s="14">
        <f>INDEX(属性投放!$BS$6:$BS$85,(卡牌属性!$DW186-2)*20+卡牌属性!$DX186)</f>
        <v>240</v>
      </c>
      <c r="FS186" s="14">
        <f>INDEX(属性投放!$BS$6:$BS$85,(卡牌属性!$DW186-2)*20+卡牌属性!$DX186)</f>
        <v>240</v>
      </c>
      <c r="FT186" s="14">
        <f>INDEX(属性投放!$BS$6:$BS$85,(卡牌属性!$DW186-2)*20+卡牌属性!$DX186)</f>
        <v>240</v>
      </c>
      <c r="FU186" s="14">
        <f>INDEX(属性投放!$BS$6:$BS$85,(卡牌属性!$DW186-2)*20+卡牌属性!$DX186)</f>
        <v>240</v>
      </c>
      <c r="FV186" s="14">
        <f>INDEX(属性投放!$BS$6:$BS$85,(卡牌属性!$DW186-2)*20+卡牌属性!$DX186)</f>
        <v>240</v>
      </c>
    </row>
    <row r="187" spans="31:193" ht="16.5" x14ac:dyDescent="0.2">
      <c r="AE187" s="13">
        <v>183</v>
      </c>
      <c r="AF187" s="13">
        <f t="shared" si="331"/>
        <v>10</v>
      </c>
      <c r="AG187" s="13">
        <f t="shared" si="316"/>
        <v>4</v>
      </c>
      <c r="AH187" s="13"/>
      <c r="AI187" s="13"/>
      <c r="AJ187" s="14">
        <f t="shared" si="317"/>
        <v>1101010</v>
      </c>
      <c r="AK187" s="14" t="str">
        <f t="shared" si="318"/>
        <v>盖文3突</v>
      </c>
      <c r="AL187" s="25" t="s">
        <v>142</v>
      </c>
      <c r="AM187" s="14">
        <v>1</v>
      </c>
      <c r="AN187" s="14">
        <f t="shared" si="319"/>
        <v>3</v>
      </c>
      <c r="AO187" s="14">
        <f>INDEX(属性投放!$DF$6:$DF$85,(卡牌属性!AG187-2)*20+卡牌属性!AN187)</f>
        <v>365</v>
      </c>
      <c r="AP187" s="14">
        <f t="shared" si="440"/>
        <v>365</v>
      </c>
      <c r="AQ187" s="14">
        <f t="shared" si="440"/>
        <v>365</v>
      </c>
      <c r="AR187" s="14">
        <f t="shared" si="440"/>
        <v>365</v>
      </c>
      <c r="AS187" s="14">
        <f t="shared" si="440"/>
        <v>365</v>
      </c>
      <c r="AT187" s="14">
        <f>INDEX(属性投放!$DG$6:$DG$85,(卡牌属性!AG187-2)*20+卡牌属性!AN187)</f>
        <v>109</v>
      </c>
      <c r="AU187" s="14">
        <f t="shared" si="441"/>
        <v>109</v>
      </c>
      <c r="AV187" s="14">
        <f t="shared" si="441"/>
        <v>109</v>
      </c>
      <c r="AW187" s="14">
        <f t="shared" si="441"/>
        <v>109</v>
      </c>
      <c r="AX187" s="14">
        <f t="shared" si="441"/>
        <v>109</v>
      </c>
      <c r="AY187" s="14">
        <f>INDEX(属性投放!$DH$6:$DH$85,(卡牌属性!AG187-2)*20+卡牌属性!AN187)</f>
        <v>1605</v>
      </c>
      <c r="AZ187" s="14">
        <f t="shared" si="442"/>
        <v>1605</v>
      </c>
      <c r="BA187" s="14">
        <f t="shared" si="442"/>
        <v>1605</v>
      </c>
      <c r="BB187" s="14">
        <f t="shared" si="442"/>
        <v>1605</v>
      </c>
      <c r="BC187" s="14">
        <f t="shared" si="442"/>
        <v>1605</v>
      </c>
      <c r="BD187" s="14">
        <f>INDEX(属性投放!$DL$6:$DL$85,(卡牌属性!AG187-2)*20+卡牌属性!AN187)</f>
        <v>22</v>
      </c>
      <c r="BE187" s="14">
        <f t="shared" si="443"/>
        <v>22</v>
      </c>
      <c r="BF187" s="14">
        <f t="shared" si="443"/>
        <v>22</v>
      </c>
      <c r="BG187" s="14">
        <f t="shared" si="443"/>
        <v>22</v>
      </c>
      <c r="BH187" s="14">
        <f t="shared" si="443"/>
        <v>22</v>
      </c>
      <c r="BI187" s="14">
        <f>INDEX(属性投放!$DM$6:$DM$85,(卡牌属性!AG187-2)*20+卡牌属性!AN187)</f>
        <v>11</v>
      </c>
      <c r="BJ187" s="14">
        <f t="shared" si="444"/>
        <v>11</v>
      </c>
      <c r="BK187" s="14">
        <f t="shared" si="444"/>
        <v>11</v>
      </c>
      <c r="BL187" s="14">
        <f t="shared" si="444"/>
        <v>11</v>
      </c>
      <c r="BM187" s="14">
        <f t="shared" si="444"/>
        <v>11</v>
      </c>
      <c r="BN187" s="14">
        <f>INDEX(属性投放!$DN$6:$DN$85,(卡牌属性!AG187-2)*20+卡牌属性!AN187)</f>
        <v>132</v>
      </c>
      <c r="BO187" s="14">
        <f t="shared" si="445"/>
        <v>132</v>
      </c>
      <c r="BP187" s="14">
        <f t="shared" si="445"/>
        <v>132</v>
      </c>
      <c r="BQ187" s="14">
        <f t="shared" si="445"/>
        <v>132</v>
      </c>
      <c r="BR187" s="14">
        <f t="shared" si="445"/>
        <v>132</v>
      </c>
      <c r="BW187" s="13">
        <v>183</v>
      </c>
      <c r="BX187" s="13">
        <f t="shared" si="320"/>
        <v>10</v>
      </c>
      <c r="BY187" s="14">
        <f t="shared" si="321"/>
        <v>4</v>
      </c>
      <c r="BZ187" s="14">
        <f t="shared" si="332"/>
        <v>1102010</v>
      </c>
      <c r="CA187" s="14" t="str">
        <f t="shared" si="333"/>
        <v>张郃3突</v>
      </c>
      <c r="CB187" s="25" t="s">
        <v>142</v>
      </c>
      <c r="CC187" s="14">
        <v>2</v>
      </c>
      <c r="CD187" s="14">
        <f t="shared" si="322"/>
        <v>3</v>
      </c>
      <c r="CE187" s="14" t="s">
        <v>21</v>
      </c>
      <c r="CF187" s="14">
        <f>INDEX(属性投放!$AZ$6:$AZ$85,(BY187-2)*20+CD187)</f>
        <v>558</v>
      </c>
      <c r="CG187" s="14" t="s">
        <v>22</v>
      </c>
      <c r="CH187" s="14">
        <f>INDEX(属性投放!$BA$6:$BA$85,(BY187-2)*20+CD187)</f>
        <v>210</v>
      </c>
      <c r="CI187" s="14" t="s">
        <v>510</v>
      </c>
      <c r="CJ187" s="14">
        <f>INDEX(属性投放!$BB$6:$BB$85,(BY187-2)*20+CD187)</f>
        <v>2948</v>
      </c>
      <c r="CK187" s="14" t="s">
        <v>21</v>
      </c>
      <c r="CL187" s="14">
        <f>INDEX(属性投放!$BC$6:$BC$85,(BY187-2)*20+CD187)</f>
        <v>15</v>
      </c>
      <c r="CM187" s="14" t="s">
        <v>22</v>
      </c>
      <c r="CN187" s="14">
        <f>INDEX(属性投放!$BD$6:$BD$85,(BY187-2)*20+CD187)</f>
        <v>8</v>
      </c>
      <c r="CO187" s="14" t="s">
        <v>510</v>
      </c>
      <c r="CP187" s="14">
        <f>INDEX(属性投放!$BE$6:$BE$85,(BY187-2)*20+CD187)</f>
        <v>90</v>
      </c>
      <c r="CS187" s="13">
        <v>183</v>
      </c>
      <c r="CT187" s="13">
        <f t="shared" si="334"/>
        <v>4</v>
      </c>
      <c r="CU187" s="13">
        <f t="shared" si="335"/>
        <v>27</v>
      </c>
      <c r="CV187" s="14">
        <f t="shared" si="336"/>
        <v>2</v>
      </c>
      <c r="CW187" s="14">
        <f t="shared" si="337"/>
        <v>1102004</v>
      </c>
      <c r="CX187" s="14" t="str">
        <f>INDEX($O$6:$O$50,CT187)&amp;"-"&amp;INDEX(属性投放!$AB$7:$AB$50,CZ187)&amp;"-魂火-"&amp;DB187</f>
        <v>唐流雨-大叫唤+2-魂火-3</v>
      </c>
      <c r="CY187" s="25" t="s">
        <v>142</v>
      </c>
      <c r="CZ187" s="14">
        <f>INDEX(属性投放!$AM$7:$AM$58,CU187)</f>
        <v>12</v>
      </c>
      <c r="DA187" s="14" t="s">
        <v>537</v>
      </c>
      <c r="DB187" s="14">
        <f>INDEX(属性投放!$AN$7:$AN$58,CU187)</f>
        <v>3</v>
      </c>
      <c r="DC187" s="14">
        <f t="shared" si="323"/>
        <v>27</v>
      </c>
      <c r="DD187" s="14">
        <f>INDEX(属性投放!$AO$7:$AO$58,DC187)</f>
        <v>85</v>
      </c>
      <c r="DE187" s="14" t="s">
        <v>538</v>
      </c>
      <c r="DF187" s="14">
        <f>INDEX(属性投放!$BK$6:$BK$85,(CV187-2)*20+CZ187)</f>
        <v>170</v>
      </c>
      <c r="DG187" s="14">
        <f>SUMIFS(DF$5:DF187,$CT$5:$CT187,"="&amp;$CT187)</f>
        <v>2005</v>
      </c>
      <c r="DH187" s="14" t="s">
        <v>539</v>
      </c>
      <c r="DI187" s="14">
        <f>INDEX(属性投放!$BL$6:$BL$85,(CV187-2)*20+CZ187)</f>
        <v>85</v>
      </c>
      <c r="DJ187" s="14">
        <f>SUMIFS(DI$5:DI187,$CT$5:$CT187,"="&amp;$CT187)</f>
        <v>1006</v>
      </c>
      <c r="DK187" s="14" t="s">
        <v>540</v>
      </c>
      <c r="DL187" s="14">
        <f>INDEX(属性投放!$BM$6:$BM$85,(CV187-2)*20+CZ187)</f>
        <v>1530</v>
      </c>
      <c r="DM187" s="14">
        <f>SUMIFS(DL$5:DL187,$CT$5:$CT187,"="&amp;$CT187)</f>
        <v>16820</v>
      </c>
      <c r="DR187" s="14">
        <f t="shared" si="324"/>
        <v>1102010</v>
      </c>
      <c r="DS187" s="14" t="str">
        <f t="shared" si="325"/>
        <v>张郃3突</v>
      </c>
      <c r="DT187" s="14">
        <f t="shared" si="338"/>
        <v>8</v>
      </c>
      <c r="DU187" s="14">
        <f t="shared" si="339"/>
        <v>6</v>
      </c>
      <c r="DV187" s="14">
        <f t="shared" si="340"/>
        <v>5</v>
      </c>
      <c r="DW187" s="14">
        <f t="shared" si="326"/>
        <v>4</v>
      </c>
      <c r="DX187" s="14">
        <f t="shared" si="327"/>
        <v>3</v>
      </c>
      <c r="DY187" s="14">
        <f t="shared" si="328"/>
        <v>43</v>
      </c>
      <c r="DZ187" s="14">
        <f>INDEX(属性投放!$AX$6:$AX$85,(卡牌属性!DW187-2)*20+卡牌属性!DX187)</f>
        <v>10</v>
      </c>
      <c r="EA187" s="14">
        <f>INDEX(属性投放!BQ$6:BQ$85,卡牌属性!$DY187)</f>
        <v>80</v>
      </c>
      <c r="EB187" s="14">
        <f>INDEX(属性投放!BR$6:BR$85,卡牌属性!$DY187)</f>
        <v>40</v>
      </c>
      <c r="EC187" s="14">
        <f>INDEX(属性投放!BS$6:BS$85,卡牌属性!$DY187)</f>
        <v>480</v>
      </c>
      <c r="ED187" s="14">
        <f t="shared" si="446"/>
        <v>547</v>
      </c>
      <c r="EE187" s="14">
        <f t="shared" si="447"/>
        <v>635</v>
      </c>
      <c r="EF187" s="14">
        <f t="shared" si="448"/>
        <v>755</v>
      </c>
      <c r="EG187" s="14">
        <f t="shared" si="449"/>
        <v>755</v>
      </c>
      <c r="EH187" s="14">
        <f t="shared" si="450"/>
        <v>875</v>
      </c>
      <c r="EI187" s="14">
        <f t="shared" si="451"/>
        <v>158</v>
      </c>
      <c r="EJ187" s="14">
        <f t="shared" si="452"/>
        <v>192</v>
      </c>
      <c r="EK187" s="14">
        <f t="shared" si="453"/>
        <v>192</v>
      </c>
      <c r="EL187" s="14">
        <f t="shared" si="454"/>
        <v>231</v>
      </c>
      <c r="EM187" s="14">
        <f t="shared" si="455"/>
        <v>270</v>
      </c>
      <c r="EN187" s="14">
        <f t="shared" si="456"/>
        <v>1742</v>
      </c>
      <c r="EO187" s="14">
        <f t="shared" si="457"/>
        <v>2060</v>
      </c>
      <c r="EP187" s="14">
        <f t="shared" si="458"/>
        <v>2060</v>
      </c>
      <c r="EQ187" s="14">
        <f t="shared" si="459"/>
        <v>2438</v>
      </c>
      <c r="ER187" s="14">
        <f t="shared" si="460"/>
        <v>2782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60</v>
      </c>
      <c r="FD187" s="14">
        <f>INDEX(属性偏向!$U$4:$U$243,(卡牌属性!$DV187-1+FD$3)*20+卡牌属性!$DX187)</f>
        <v>72</v>
      </c>
      <c r="FE187" s="14">
        <f>INDEX(属性偏向!$U$4:$U$243,(卡牌属性!$DV187-1+FE$3)*20+卡牌属性!$DX187)</f>
        <v>72</v>
      </c>
      <c r="FF187" s="14">
        <f>INDEX(属性偏向!$U$4:$U$243,(卡牌属性!$DV187-1+FF$3)*20+卡牌属性!$DX187)</f>
        <v>90</v>
      </c>
      <c r="FG187" s="14">
        <f>INDEX(属性偏向!$U$4:$U$243,(卡牌属性!$DV187-1+FG$3)*20+卡牌属性!$DX187)</f>
        <v>102</v>
      </c>
      <c r="FH187" s="14">
        <f>INDEX(属性投放!$BQ$6:$BQ$85,(卡牌属性!$DW187-2)*20+卡牌属性!$DX187)</f>
        <v>80</v>
      </c>
      <c r="FI187" s="14">
        <f>INDEX(属性投放!$BQ$6:$BQ$85,(卡牌属性!$DW187-2)*20+卡牌属性!$DX187)</f>
        <v>80</v>
      </c>
      <c r="FJ187" s="14">
        <f>INDEX(属性投放!$BQ$6:$BQ$85,(卡牌属性!$DW187-2)*20+卡牌属性!$DX187)</f>
        <v>80</v>
      </c>
      <c r="FK187" s="14">
        <f>INDEX(属性投放!$BQ$6:$BQ$85,(卡牌属性!$DW187-2)*20+卡牌属性!$DX187)</f>
        <v>80</v>
      </c>
      <c r="FL187" s="14">
        <f>INDEX(属性投放!$BQ$6:$BQ$85,(卡牌属性!$DW187-2)*20+卡牌属性!$DX187)</f>
        <v>80</v>
      </c>
      <c r="FM187" s="14">
        <f>INDEX(属性投放!$BR$6:$BR$85,(卡牌属性!$DW187-2)*20+卡牌属性!$DX187)</f>
        <v>40</v>
      </c>
      <c r="FN187" s="14">
        <f>INDEX(属性投放!$BR$6:$BR$85,(卡牌属性!$DW187-2)*20+卡牌属性!$DX187)</f>
        <v>40</v>
      </c>
      <c r="FO187" s="14">
        <f>INDEX(属性投放!$BR$6:$BR$85,(卡牌属性!$DW187-2)*20+卡牌属性!$DX187)</f>
        <v>40</v>
      </c>
      <c r="FP187" s="14">
        <f>INDEX(属性投放!$BR$6:$BR$85,(卡牌属性!$DW187-2)*20+卡牌属性!$DX187)</f>
        <v>40</v>
      </c>
      <c r="FQ187" s="14">
        <f>INDEX(属性投放!$BR$6:$BR$85,(卡牌属性!$DW187-2)*20+卡牌属性!$DX187)</f>
        <v>40</v>
      </c>
      <c r="FR187" s="14">
        <f>INDEX(属性投放!$BS$6:$BS$85,(卡牌属性!$DW187-2)*20+卡牌属性!$DX187)</f>
        <v>480</v>
      </c>
      <c r="FS187" s="14">
        <f>INDEX(属性投放!$BS$6:$BS$85,(卡牌属性!$DW187-2)*20+卡牌属性!$DX187)</f>
        <v>480</v>
      </c>
      <c r="FT187" s="14">
        <f>INDEX(属性投放!$BS$6:$BS$85,(卡牌属性!$DW187-2)*20+卡牌属性!$DX187)</f>
        <v>480</v>
      </c>
      <c r="FU187" s="14">
        <f>INDEX(属性投放!$BS$6:$BS$85,(卡牌属性!$DW187-2)*20+卡牌属性!$DX187)</f>
        <v>480</v>
      </c>
      <c r="FV187" s="14">
        <f>INDEX(属性投放!$BS$6:$BS$85,(卡牌属性!$DW187-2)*20+卡牌属性!$DX187)</f>
        <v>480</v>
      </c>
    </row>
    <row r="188" spans="31:193" ht="16.5" x14ac:dyDescent="0.2">
      <c r="AE188" s="13">
        <v>184</v>
      </c>
      <c r="AF188" s="13">
        <f t="shared" si="331"/>
        <v>10</v>
      </c>
      <c r="AG188" s="13">
        <f t="shared" si="316"/>
        <v>4</v>
      </c>
      <c r="AH188" s="13"/>
      <c r="AI188" s="13"/>
      <c r="AJ188" s="14">
        <f t="shared" si="317"/>
        <v>1101010</v>
      </c>
      <c r="AK188" s="14" t="str">
        <f t="shared" si="318"/>
        <v>盖文4突</v>
      </c>
      <c r="AL188" s="25" t="s">
        <v>142</v>
      </c>
      <c r="AM188" s="14">
        <v>1</v>
      </c>
      <c r="AN188" s="14">
        <f t="shared" si="319"/>
        <v>4</v>
      </c>
      <c r="AO188" s="14">
        <f>INDEX(属性投放!$DF$6:$DF$85,(卡牌属性!AG188-2)*20+卡牌属性!AN188)</f>
        <v>640</v>
      </c>
      <c r="AP188" s="14">
        <f t="shared" si="440"/>
        <v>640</v>
      </c>
      <c r="AQ188" s="14">
        <f t="shared" si="440"/>
        <v>640</v>
      </c>
      <c r="AR188" s="14">
        <f t="shared" si="440"/>
        <v>640</v>
      </c>
      <c r="AS188" s="14">
        <f t="shared" si="440"/>
        <v>640</v>
      </c>
      <c r="AT188" s="14">
        <f>INDEX(属性投放!$DG$6:$DG$85,(卡牌属性!AG188-2)*20+卡牌属性!AN188)</f>
        <v>248</v>
      </c>
      <c r="AU188" s="14">
        <f t="shared" si="441"/>
        <v>248</v>
      </c>
      <c r="AV188" s="14">
        <f t="shared" si="441"/>
        <v>248</v>
      </c>
      <c r="AW188" s="14">
        <f t="shared" si="441"/>
        <v>248</v>
      </c>
      <c r="AX188" s="14">
        <f t="shared" si="441"/>
        <v>248</v>
      </c>
      <c r="AY188" s="14">
        <f>INDEX(属性投放!$DH$6:$DH$85,(卡牌属性!AG188-2)*20+卡牌属性!AN188)</f>
        <v>3255</v>
      </c>
      <c r="AZ188" s="14">
        <f t="shared" si="442"/>
        <v>3255</v>
      </c>
      <c r="BA188" s="14">
        <f t="shared" si="442"/>
        <v>3255</v>
      </c>
      <c r="BB188" s="14">
        <f t="shared" si="442"/>
        <v>3255</v>
      </c>
      <c r="BC188" s="14">
        <f t="shared" si="442"/>
        <v>3255</v>
      </c>
      <c r="BD188" s="14">
        <f>INDEX(属性投放!$DL$6:$DL$85,(卡牌属性!AG188-2)*20+卡牌属性!AN188)</f>
        <v>40</v>
      </c>
      <c r="BE188" s="14">
        <f t="shared" si="443"/>
        <v>40</v>
      </c>
      <c r="BF188" s="14">
        <f t="shared" si="443"/>
        <v>40</v>
      </c>
      <c r="BG188" s="14">
        <f t="shared" si="443"/>
        <v>40</v>
      </c>
      <c r="BH188" s="14">
        <f t="shared" si="443"/>
        <v>40</v>
      </c>
      <c r="BI188" s="14">
        <f>INDEX(属性投放!$DM$6:$DM$85,(卡牌属性!AG188-2)*20+卡牌属性!AN188)</f>
        <v>20</v>
      </c>
      <c r="BJ188" s="14">
        <f t="shared" si="444"/>
        <v>20</v>
      </c>
      <c r="BK188" s="14">
        <f t="shared" si="444"/>
        <v>20</v>
      </c>
      <c r="BL188" s="14">
        <f t="shared" si="444"/>
        <v>20</v>
      </c>
      <c r="BM188" s="14">
        <f t="shared" si="444"/>
        <v>20</v>
      </c>
      <c r="BN188" s="14">
        <f>INDEX(属性投放!$DN$6:$DN$85,(卡牌属性!AG188-2)*20+卡牌属性!AN188)</f>
        <v>279</v>
      </c>
      <c r="BO188" s="14">
        <f t="shared" si="445"/>
        <v>279</v>
      </c>
      <c r="BP188" s="14">
        <f t="shared" si="445"/>
        <v>279</v>
      </c>
      <c r="BQ188" s="14">
        <f t="shared" si="445"/>
        <v>279</v>
      </c>
      <c r="BR188" s="14">
        <f t="shared" si="445"/>
        <v>279</v>
      </c>
      <c r="BW188" s="13">
        <v>184</v>
      </c>
      <c r="BX188" s="13">
        <f t="shared" si="320"/>
        <v>10</v>
      </c>
      <c r="BY188" s="14">
        <f t="shared" si="321"/>
        <v>4</v>
      </c>
      <c r="BZ188" s="14">
        <f t="shared" si="332"/>
        <v>1102010</v>
      </c>
      <c r="CA188" s="14" t="str">
        <f t="shared" si="333"/>
        <v>张郃4突</v>
      </c>
      <c r="CB188" s="25" t="s">
        <v>142</v>
      </c>
      <c r="CC188" s="14">
        <v>2</v>
      </c>
      <c r="CD188" s="14">
        <f t="shared" si="322"/>
        <v>4</v>
      </c>
      <c r="CE188" s="14" t="s">
        <v>21</v>
      </c>
      <c r="CF188" s="14">
        <f>INDEX(属性投放!$AZ$6:$AZ$85,(BY188-2)*20+CD188)</f>
        <v>858</v>
      </c>
      <c r="CG188" s="14" t="s">
        <v>22</v>
      </c>
      <c r="CH188" s="14">
        <f>INDEX(属性投放!$BA$6:$BA$85,(BY188-2)*20+CD188)</f>
        <v>366</v>
      </c>
      <c r="CI188" s="14" t="s">
        <v>510</v>
      </c>
      <c r="CJ188" s="14">
        <f>INDEX(属性投放!$BB$6:$BB$85,(BY188-2)*20+CD188)</f>
        <v>4748</v>
      </c>
      <c r="CK188" s="14" t="s">
        <v>21</v>
      </c>
      <c r="CL188" s="14">
        <f>INDEX(属性投放!$BC$6:$BC$85,(BY188-2)*20+CD188)</f>
        <v>20</v>
      </c>
      <c r="CM188" s="14" t="s">
        <v>22</v>
      </c>
      <c r="CN188" s="14">
        <f>INDEX(属性投放!$BD$6:$BD$85,(BY188-2)*20+CD188)</f>
        <v>10</v>
      </c>
      <c r="CO188" s="14" t="s">
        <v>510</v>
      </c>
      <c r="CP188" s="14">
        <f>INDEX(属性投放!$BE$6:$BE$85,(BY188-2)*20+CD188)</f>
        <v>140</v>
      </c>
      <c r="CS188" s="13">
        <v>184</v>
      </c>
      <c r="CT188" s="13">
        <f t="shared" si="334"/>
        <v>4</v>
      </c>
      <c r="CU188" s="13">
        <f t="shared" si="335"/>
        <v>28</v>
      </c>
      <c r="CV188" s="14">
        <f t="shared" si="336"/>
        <v>2</v>
      </c>
      <c r="CW188" s="14">
        <f t="shared" si="337"/>
        <v>1102004</v>
      </c>
      <c r="CX188" s="14" t="str">
        <f>INDEX($O$6:$O$50,CT188)&amp;"-"&amp;INDEX(属性投放!$AB$7:$AB$50,CZ188)&amp;"-魂火-"&amp;DB188</f>
        <v>唐流雨-焦热-魂火-1</v>
      </c>
      <c r="CY188" s="25" t="s">
        <v>142</v>
      </c>
      <c r="CZ188" s="14">
        <f>INDEX(属性投放!$AM$7:$AM$58,CU188)</f>
        <v>13</v>
      </c>
      <c r="DA188" s="14" t="s">
        <v>537</v>
      </c>
      <c r="DB188" s="14">
        <f>INDEX(属性投放!$AN$7:$AN$58,CU188)</f>
        <v>1</v>
      </c>
      <c r="DC188" s="14">
        <f t="shared" si="323"/>
        <v>28</v>
      </c>
      <c r="DD188" s="14">
        <f>INDEX(属性投放!$AO$7:$AO$58,DC188)</f>
        <v>88</v>
      </c>
      <c r="DE188" s="14" t="s">
        <v>538</v>
      </c>
      <c r="DF188" s="14">
        <f>INDEX(属性投放!$BK$6:$BK$85,(CV188-2)*20+CZ188)</f>
        <v>220</v>
      </c>
      <c r="DG188" s="14">
        <f>SUMIFS(DF$5:DF188,$CT$5:$CT188,"="&amp;$CT188)</f>
        <v>2225</v>
      </c>
      <c r="DH188" s="14" t="s">
        <v>539</v>
      </c>
      <c r="DI188" s="14">
        <f>INDEX(属性投放!$BL$6:$BL$85,(CV188-2)*20+CZ188)</f>
        <v>110</v>
      </c>
      <c r="DJ188" s="14">
        <f>SUMIFS(DI$5:DI188,$CT$5:$CT188,"="&amp;$CT188)</f>
        <v>1116</v>
      </c>
      <c r="DK188" s="14" t="s">
        <v>540</v>
      </c>
      <c r="DL188" s="14">
        <f>INDEX(属性投放!$BM$6:$BM$85,(CV188-2)*20+CZ188)</f>
        <v>2200</v>
      </c>
      <c r="DM188" s="14">
        <f>SUMIFS(DL$5:DL188,$CT$5:$CT188,"="&amp;$CT188)</f>
        <v>19020</v>
      </c>
      <c r="DR188" s="14">
        <f t="shared" si="324"/>
        <v>1102010</v>
      </c>
      <c r="DS188" s="14" t="str">
        <f t="shared" si="325"/>
        <v>张郃4突</v>
      </c>
      <c r="DT188" s="14">
        <f t="shared" si="338"/>
        <v>8</v>
      </c>
      <c r="DU188" s="14">
        <f t="shared" si="339"/>
        <v>6</v>
      </c>
      <c r="DV188" s="14">
        <f t="shared" si="340"/>
        <v>5</v>
      </c>
      <c r="DW188" s="14">
        <f t="shared" si="326"/>
        <v>4</v>
      </c>
      <c r="DX188" s="14">
        <f t="shared" si="327"/>
        <v>4</v>
      </c>
      <c r="DY188" s="14">
        <f t="shared" si="328"/>
        <v>44</v>
      </c>
      <c r="DZ188" s="14">
        <f>INDEX(属性投放!$AX$6:$AX$85,(卡牌属性!DW188-2)*20+卡牌属性!DX188)</f>
        <v>10</v>
      </c>
      <c r="EA188" s="14">
        <f>INDEX(属性投放!BQ$6:BQ$85,卡牌属性!$DY188)</f>
        <v>100</v>
      </c>
      <c r="EB188" s="14">
        <f>INDEX(属性投放!BR$6:BR$85,卡牌属性!$DY188)</f>
        <v>50</v>
      </c>
      <c r="EC188" s="14">
        <f>INDEX(属性投放!BS$6:BS$85,卡牌属性!$DY188)</f>
        <v>700</v>
      </c>
      <c r="ED188" s="14">
        <f t="shared" si="446"/>
        <v>797</v>
      </c>
      <c r="EE188" s="14">
        <f t="shared" si="447"/>
        <v>915</v>
      </c>
      <c r="EF188" s="14">
        <f t="shared" si="448"/>
        <v>1085</v>
      </c>
      <c r="EG188" s="14">
        <f t="shared" si="449"/>
        <v>1085</v>
      </c>
      <c r="EH188" s="14">
        <f t="shared" si="450"/>
        <v>1255</v>
      </c>
      <c r="EI188" s="14">
        <f t="shared" si="451"/>
        <v>258</v>
      </c>
      <c r="EJ188" s="14">
        <f t="shared" si="452"/>
        <v>312</v>
      </c>
      <c r="EK188" s="14">
        <f t="shared" si="453"/>
        <v>312</v>
      </c>
      <c r="EL188" s="14">
        <f t="shared" si="454"/>
        <v>361</v>
      </c>
      <c r="EM188" s="14">
        <f t="shared" si="455"/>
        <v>410</v>
      </c>
      <c r="EN188" s="14">
        <f t="shared" si="456"/>
        <v>2822</v>
      </c>
      <c r="EO188" s="14">
        <f t="shared" si="457"/>
        <v>3260</v>
      </c>
      <c r="EP188" s="14">
        <f t="shared" si="458"/>
        <v>3260</v>
      </c>
      <c r="EQ188" s="14">
        <f t="shared" si="459"/>
        <v>3818</v>
      </c>
      <c r="ER188" s="14">
        <f t="shared" si="460"/>
        <v>4282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84</v>
      </c>
      <c r="FD188" s="14">
        <f>INDEX(属性偏向!$U$4:$U$243,(卡牌属性!$DV188-1+FD$3)*20+卡牌属性!$DX188)</f>
        <v>91</v>
      </c>
      <c r="FE188" s="14">
        <f>INDEX(属性偏向!$U$4:$U$243,(卡牌属性!$DV188-1+FE$3)*20+卡牌属性!$DX188)</f>
        <v>91</v>
      </c>
      <c r="FF188" s="14">
        <f>INDEX(属性偏向!$U$4:$U$243,(卡牌属性!$DV188-1+FF$3)*20+卡牌属性!$DX188)</f>
        <v>140</v>
      </c>
      <c r="FG188" s="14">
        <f>INDEX(属性偏向!$U$4:$U$243,(卡牌属性!$DV188-1+FG$3)*20+卡牌属性!$DX188)</f>
        <v>154</v>
      </c>
      <c r="FH188" s="14">
        <f>INDEX(属性投放!$BQ$6:$BQ$85,(卡牌属性!$DW188-2)*20+卡牌属性!$DX188)</f>
        <v>100</v>
      </c>
      <c r="FI188" s="14">
        <f>INDEX(属性投放!$BQ$6:$BQ$85,(卡牌属性!$DW188-2)*20+卡牌属性!$DX188)</f>
        <v>100</v>
      </c>
      <c r="FJ188" s="14">
        <f>INDEX(属性投放!$BQ$6:$BQ$85,(卡牌属性!$DW188-2)*20+卡牌属性!$DX188)</f>
        <v>100</v>
      </c>
      <c r="FK188" s="14">
        <f>INDEX(属性投放!$BQ$6:$BQ$85,(卡牌属性!$DW188-2)*20+卡牌属性!$DX188)</f>
        <v>100</v>
      </c>
      <c r="FL188" s="14">
        <f>INDEX(属性投放!$BQ$6:$BQ$85,(卡牌属性!$DW188-2)*20+卡牌属性!$DX188)</f>
        <v>100</v>
      </c>
      <c r="FM188" s="14">
        <f>INDEX(属性投放!$BR$6:$BR$85,(卡牌属性!$DW188-2)*20+卡牌属性!$DX188)</f>
        <v>50</v>
      </c>
      <c r="FN188" s="14">
        <f>INDEX(属性投放!$BR$6:$BR$85,(卡牌属性!$DW188-2)*20+卡牌属性!$DX188)</f>
        <v>50</v>
      </c>
      <c r="FO188" s="14">
        <f>INDEX(属性投放!$BR$6:$BR$85,(卡牌属性!$DW188-2)*20+卡牌属性!$DX188)</f>
        <v>50</v>
      </c>
      <c r="FP188" s="14">
        <f>INDEX(属性投放!$BR$6:$BR$85,(卡牌属性!$DW188-2)*20+卡牌属性!$DX188)</f>
        <v>50</v>
      </c>
      <c r="FQ188" s="14">
        <f>INDEX(属性投放!$BR$6:$BR$85,(卡牌属性!$DW188-2)*20+卡牌属性!$DX188)</f>
        <v>50</v>
      </c>
      <c r="FR188" s="14">
        <f>INDEX(属性投放!$BS$6:$BS$85,(卡牌属性!$DW188-2)*20+卡牌属性!$DX188)</f>
        <v>700</v>
      </c>
      <c r="FS188" s="14">
        <f>INDEX(属性投放!$BS$6:$BS$85,(卡牌属性!$DW188-2)*20+卡牌属性!$DX188)</f>
        <v>700</v>
      </c>
      <c r="FT188" s="14">
        <f>INDEX(属性投放!$BS$6:$BS$85,(卡牌属性!$DW188-2)*20+卡牌属性!$DX188)</f>
        <v>700</v>
      </c>
      <c r="FU188" s="14">
        <f>INDEX(属性投放!$BS$6:$BS$85,(卡牌属性!$DW188-2)*20+卡牌属性!$DX188)</f>
        <v>700</v>
      </c>
      <c r="FV188" s="14">
        <f>INDEX(属性投放!$BS$6:$BS$85,(卡牌属性!$DW188-2)*20+卡牌属性!$DX188)</f>
        <v>700</v>
      </c>
    </row>
    <row r="189" spans="31:193" ht="16.5" x14ac:dyDescent="0.2">
      <c r="AE189" s="13">
        <v>185</v>
      </c>
      <c r="AF189" s="13">
        <f t="shared" si="331"/>
        <v>10</v>
      </c>
      <c r="AG189" s="13">
        <f t="shared" si="316"/>
        <v>4</v>
      </c>
      <c r="AH189" s="13"/>
      <c r="AI189" s="13"/>
      <c r="AJ189" s="14">
        <f t="shared" si="317"/>
        <v>1101010</v>
      </c>
      <c r="AK189" s="14" t="str">
        <f t="shared" si="318"/>
        <v>盖文5突</v>
      </c>
      <c r="AL189" s="25" t="s">
        <v>142</v>
      </c>
      <c r="AM189" s="14">
        <v>1</v>
      </c>
      <c r="AN189" s="14">
        <f t="shared" si="319"/>
        <v>5</v>
      </c>
      <c r="AO189" s="14">
        <f>INDEX(属性投放!$DF$6:$DF$85,(卡牌属性!AG189-2)*20+卡牌属性!AN189)</f>
        <v>754</v>
      </c>
      <c r="AP189" s="14">
        <f t="shared" si="440"/>
        <v>754</v>
      </c>
      <c r="AQ189" s="14">
        <f t="shared" si="440"/>
        <v>754</v>
      </c>
      <c r="AR189" s="14">
        <f t="shared" si="440"/>
        <v>754</v>
      </c>
      <c r="AS189" s="14">
        <f t="shared" si="440"/>
        <v>754</v>
      </c>
      <c r="AT189" s="14">
        <f>INDEX(属性投放!$DG$6:$DG$85,(卡牌属性!AG189-2)*20+卡牌属性!AN189)</f>
        <v>305</v>
      </c>
      <c r="AU189" s="14">
        <f t="shared" si="441"/>
        <v>305</v>
      </c>
      <c r="AV189" s="14">
        <f t="shared" si="441"/>
        <v>305</v>
      </c>
      <c r="AW189" s="14">
        <f t="shared" si="441"/>
        <v>305</v>
      </c>
      <c r="AX189" s="14">
        <f t="shared" si="441"/>
        <v>305</v>
      </c>
      <c r="AY189" s="14">
        <f>INDEX(属性投放!$DH$6:$DH$85,(卡牌属性!AG189-2)*20+卡牌属性!AN189)</f>
        <v>4053</v>
      </c>
      <c r="AZ189" s="14">
        <f t="shared" si="442"/>
        <v>4053</v>
      </c>
      <c r="BA189" s="14">
        <f t="shared" si="442"/>
        <v>4053</v>
      </c>
      <c r="BB189" s="14">
        <f t="shared" si="442"/>
        <v>4053</v>
      </c>
      <c r="BC189" s="14">
        <f t="shared" si="442"/>
        <v>4053</v>
      </c>
      <c r="BD189" s="14">
        <f>INDEX(属性投放!$DL$6:$DL$85,(卡牌属性!AG189-2)*20+卡牌属性!AN189)</f>
        <v>40</v>
      </c>
      <c r="BE189" s="14">
        <f t="shared" si="443"/>
        <v>40</v>
      </c>
      <c r="BF189" s="14">
        <f t="shared" si="443"/>
        <v>40</v>
      </c>
      <c r="BG189" s="14">
        <f t="shared" si="443"/>
        <v>40</v>
      </c>
      <c r="BH189" s="14">
        <f t="shared" si="443"/>
        <v>40</v>
      </c>
      <c r="BI189" s="14">
        <f>INDEX(属性投放!$DM$6:$DM$85,(卡牌属性!AG189-2)*20+卡牌属性!AN189)</f>
        <v>20</v>
      </c>
      <c r="BJ189" s="14">
        <f t="shared" si="444"/>
        <v>20</v>
      </c>
      <c r="BK189" s="14">
        <f t="shared" si="444"/>
        <v>20</v>
      </c>
      <c r="BL189" s="14">
        <f t="shared" si="444"/>
        <v>20</v>
      </c>
      <c r="BM189" s="14">
        <f t="shared" si="444"/>
        <v>20</v>
      </c>
      <c r="BN189" s="14">
        <f>INDEX(属性投放!$DN$6:$DN$85,(卡牌属性!AG189-2)*20+卡牌属性!AN189)</f>
        <v>279</v>
      </c>
      <c r="BO189" s="14">
        <f t="shared" si="445"/>
        <v>279</v>
      </c>
      <c r="BP189" s="14">
        <f t="shared" si="445"/>
        <v>279</v>
      </c>
      <c r="BQ189" s="14">
        <f t="shared" si="445"/>
        <v>279</v>
      </c>
      <c r="BR189" s="14">
        <f t="shared" si="445"/>
        <v>279</v>
      </c>
      <c r="BW189" s="13">
        <v>185</v>
      </c>
      <c r="BX189" s="13">
        <f t="shared" si="320"/>
        <v>10</v>
      </c>
      <c r="BY189" s="14">
        <f t="shared" si="321"/>
        <v>4</v>
      </c>
      <c r="BZ189" s="14">
        <f t="shared" si="332"/>
        <v>1102010</v>
      </c>
      <c r="CA189" s="14" t="str">
        <f t="shared" si="333"/>
        <v>张郃5突</v>
      </c>
      <c r="CB189" s="25" t="s">
        <v>142</v>
      </c>
      <c r="CC189" s="14">
        <v>2</v>
      </c>
      <c r="CD189" s="14">
        <f t="shared" si="322"/>
        <v>5</v>
      </c>
      <c r="CE189" s="14" t="s">
        <v>21</v>
      </c>
      <c r="CF189" s="14">
        <f>INDEX(属性投放!$AZ$6:$AZ$85,(BY189-2)*20+CD189)</f>
        <v>1248</v>
      </c>
      <c r="CG189" s="14" t="s">
        <v>22</v>
      </c>
      <c r="CH189" s="14">
        <f>INDEX(属性投放!$BA$6:$BA$85,(BY189-2)*20+CD189)</f>
        <v>562</v>
      </c>
      <c r="CI189" s="14" t="s">
        <v>510</v>
      </c>
      <c r="CJ189" s="14">
        <f>INDEX(属性投放!$BB$6:$BB$85,(BY189-2)*20+CD189)</f>
        <v>7478</v>
      </c>
      <c r="CK189" s="14" t="s">
        <v>21</v>
      </c>
      <c r="CL189" s="14">
        <f>INDEX(属性投放!$BC$6:$BC$85,(BY189-2)*20+CD189)</f>
        <v>20</v>
      </c>
      <c r="CM189" s="14" t="s">
        <v>22</v>
      </c>
      <c r="CN189" s="14">
        <f>INDEX(属性投放!$BD$6:$BD$85,(BY189-2)*20+CD189)</f>
        <v>10</v>
      </c>
      <c r="CO189" s="14" t="s">
        <v>510</v>
      </c>
      <c r="CP189" s="14">
        <f>INDEX(属性投放!$BE$6:$BE$85,(BY189-2)*20+CD189)</f>
        <v>140</v>
      </c>
      <c r="CS189" s="13">
        <v>185</v>
      </c>
      <c r="CT189" s="13">
        <f t="shared" si="334"/>
        <v>4</v>
      </c>
      <c r="CU189" s="13">
        <f t="shared" si="335"/>
        <v>29</v>
      </c>
      <c r="CV189" s="14">
        <f t="shared" si="336"/>
        <v>2</v>
      </c>
      <c r="CW189" s="14">
        <f t="shared" si="337"/>
        <v>1102004</v>
      </c>
      <c r="CX189" s="14" t="str">
        <f>INDEX($O$6:$O$50,CT189)&amp;"-"&amp;INDEX(属性投放!$AB$7:$AB$50,CZ189)&amp;"-魂火-"&amp;DB189</f>
        <v>唐流雨-焦热-魂火-2</v>
      </c>
      <c r="CY189" s="25" t="s">
        <v>142</v>
      </c>
      <c r="CZ189" s="14">
        <f>INDEX(属性投放!$AM$7:$AM$58,CU189)</f>
        <v>13</v>
      </c>
      <c r="DA189" s="14" t="s">
        <v>537</v>
      </c>
      <c r="DB189" s="14">
        <f>INDEX(属性投放!$AN$7:$AN$58,CU189)</f>
        <v>2</v>
      </c>
      <c r="DC189" s="14">
        <f t="shared" si="323"/>
        <v>29</v>
      </c>
      <c r="DD189" s="14">
        <f>INDEX(属性投放!$AO$7:$AO$58,DC189)</f>
        <v>90</v>
      </c>
      <c r="DE189" s="14" t="s">
        <v>538</v>
      </c>
      <c r="DF189" s="14">
        <f>INDEX(属性投放!$BK$6:$BK$85,(CV189-2)*20+CZ189)</f>
        <v>220</v>
      </c>
      <c r="DG189" s="14">
        <f>SUMIFS(DF$5:DF189,$CT$5:$CT189,"="&amp;$CT189)</f>
        <v>2445</v>
      </c>
      <c r="DH189" s="14" t="s">
        <v>539</v>
      </c>
      <c r="DI189" s="14">
        <f>INDEX(属性投放!$BL$6:$BL$85,(CV189-2)*20+CZ189)</f>
        <v>110</v>
      </c>
      <c r="DJ189" s="14">
        <f>SUMIFS(DI$5:DI189,$CT$5:$CT189,"="&amp;$CT189)</f>
        <v>1226</v>
      </c>
      <c r="DK189" s="14" t="s">
        <v>540</v>
      </c>
      <c r="DL189" s="14">
        <f>INDEX(属性投放!$BM$6:$BM$85,(CV189-2)*20+CZ189)</f>
        <v>2200</v>
      </c>
      <c r="DM189" s="14">
        <f>SUMIFS(DL$5:DL189,$CT$5:$CT189,"="&amp;$CT189)</f>
        <v>21220</v>
      </c>
      <c r="DR189" s="14">
        <f t="shared" si="324"/>
        <v>1102010</v>
      </c>
      <c r="DS189" s="14" t="str">
        <f t="shared" si="325"/>
        <v>张郃5突</v>
      </c>
      <c r="DT189" s="14">
        <f t="shared" si="338"/>
        <v>8</v>
      </c>
      <c r="DU189" s="14">
        <f t="shared" si="339"/>
        <v>6</v>
      </c>
      <c r="DV189" s="14">
        <f t="shared" si="340"/>
        <v>5</v>
      </c>
      <c r="DW189" s="14">
        <f t="shared" si="326"/>
        <v>4</v>
      </c>
      <c r="DX189" s="14">
        <f t="shared" si="327"/>
        <v>5</v>
      </c>
      <c r="DY189" s="14">
        <f t="shared" si="328"/>
        <v>45</v>
      </c>
      <c r="DZ189" s="14">
        <f>INDEX(属性投放!$AX$6:$AX$85,(卡牌属性!DW189-2)*20+卡牌属性!DX189)</f>
        <v>7</v>
      </c>
      <c r="EA189" s="14">
        <f>INDEX(属性投放!BQ$6:BQ$85,卡牌属性!$DY189)</f>
        <v>120</v>
      </c>
      <c r="EB189" s="14">
        <f>INDEX(属性投放!BR$6:BR$85,卡牌属性!$DY189)</f>
        <v>60</v>
      </c>
      <c r="EC189" s="14">
        <f>INDEX(属性投放!BS$6:BS$85,卡牌属性!$DY189)</f>
        <v>840</v>
      </c>
      <c r="ED189" s="14">
        <f t="shared" si="446"/>
        <v>1117</v>
      </c>
      <c r="EE189" s="14">
        <f t="shared" si="447"/>
        <v>1265</v>
      </c>
      <c r="EF189" s="14">
        <f t="shared" si="448"/>
        <v>1485</v>
      </c>
      <c r="EG189" s="14">
        <f t="shared" si="449"/>
        <v>1485</v>
      </c>
      <c r="EH189" s="14">
        <f t="shared" si="450"/>
        <v>1755</v>
      </c>
      <c r="EI189" s="14">
        <f t="shared" si="451"/>
        <v>378</v>
      </c>
      <c r="EJ189" s="14">
        <f t="shared" si="452"/>
        <v>462</v>
      </c>
      <c r="EK189" s="14">
        <f t="shared" si="453"/>
        <v>462</v>
      </c>
      <c r="EL189" s="14">
        <f t="shared" si="454"/>
        <v>521</v>
      </c>
      <c r="EM189" s="14">
        <f t="shared" si="455"/>
        <v>590</v>
      </c>
      <c r="EN189" s="14">
        <f t="shared" si="456"/>
        <v>4362</v>
      </c>
      <c r="EO189" s="14">
        <f t="shared" si="457"/>
        <v>4870</v>
      </c>
      <c r="EP189" s="14">
        <f t="shared" si="458"/>
        <v>4870</v>
      </c>
      <c r="EQ189" s="14">
        <f t="shared" si="459"/>
        <v>5918</v>
      </c>
      <c r="ER189" s="14">
        <f t="shared" si="460"/>
        <v>6522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84</v>
      </c>
      <c r="FD189" s="14">
        <f>INDEX(属性偏向!$U$4:$U$243,(卡牌属性!$DV189-1+FD$3)*20+卡牌属性!$DX189)</f>
        <v>91</v>
      </c>
      <c r="FE189" s="14">
        <f>INDEX(属性偏向!$U$4:$U$243,(卡牌属性!$DV189-1+FE$3)*20+卡牌属性!$DX189)</f>
        <v>91</v>
      </c>
      <c r="FF189" s="14">
        <f>INDEX(属性偏向!$U$4:$U$243,(卡牌属性!$DV189-1+FF$3)*20+卡牌属性!$DX189)</f>
        <v>140</v>
      </c>
      <c r="FG189" s="14">
        <f>INDEX(属性偏向!$U$4:$U$243,(卡牌属性!$DV189-1+FG$3)*20+卡牌属性!$DX189)</f>
        <v>154</v>
      </c>
      <c r="FH189" s="14">
        <f>INDEX(属性投放!$BQ$6:$BQ$85,(卡牌属性!$DW189-2)*20+卡牌属性!$DX189)</f>
        <v>120</v>
      </c>
      <c r="FI189" s="14">
        <f>INDEX(属性投放!$BQ$6:$BQ$85,(卡牌属性!$DW189-2)*20+卡牌属性!$DX189)</f>
        <v>120</v>
      </c>
      <c r="FJ189" s="14">
        <f>INDEX(属性投放!$BQ$6:$BQ$85,(卡牌属性!$DW189-2)*20+卡牌属性!$DX189)</f>
        <v>120</v>
      </c>
      <c r="FK189" s="14">
        <f>INDEX(属性投放!$BQ$6:$BQ$85,(卡牌属性!$DW189-2)*20+卡牌属性!$DX189)</f>
        <v>120</v>
      </c>
      <c r="FL189" s="14">
        <f>INDEX(属性投放!$BQ$6:$BQ$85,(卡牌属性!$DW189-2)*20+卡牌属性!$DX189)</f>
        <v>120</v>
      </c>
      <c r="FM189" s="14">
        <f>INDEX(属性投放!$BR$6:$BR$85,(卡牌属性!$DW189-2)*20+卡牌属性!$DX189)</f>
        <v>60</v>
      </c>
      <c r="FN189" s="14">
        <f>INDEX(属性投放!$BR$6:$BR$85,(卡牌属性!$DW189-2)*20+卡牌属性!$DX189)</f>
        <v>60</v>
      </c>
      <c r="FO189" s="14">
        <f>INDEX(属性投放!$BR$6:$BR$85,(卡牌属性!$DW189-2)*20+卡牌属性!$DX189)</f>
        <v>60</v>
      </c>
      <c r="FP189" s="14">
        <f>INDEX(属性投放!$BR$6:$BR$85,(卡牌属性!$DW189-2)*20+卡牌属性!$DX189)</f>
        <v>60</v>
      </c>
      <c r="FQ189" s="14">
        <f>INDEX(属性投放!$BR$6:$BR$85,(卡牌属性!$DW189-2)*20+卡牌属性!$DX189)</f>
        <v>60</v>
      </c>
      <c r="FR189" s="14">
        <f>INDEX(属性投放!$BS$6:$BS$85,(卡牌属性!$DW189-2)*20+卡牌属性!$DX189)</f>
        <v>840</v>
      </c>
      <c r="FS189" s="14">
        <f>INDEX(属性投放!$BS$6:$BS$85,(卡牌属性!$DW189-2)*20+卡牌属性!$DX189)</f>
        <v>840</v>
      </c>
      <c r="FT189" s="14">
        <f>INDEX(属性投放!$BS$6:$BS$85,(卡牌属性!$DW189-2)*20+卡牌属性!$DX189)</f>
        <v>840</v>
      </c>
      <c r="FU189" s="14">
        <f>INDEX(属性投放!$BS$6:$BS$85,(卡牌属性!$DW189-2)*20+卡牌属性!$DX189)</f>
        <v>840</v>
      </c>
      <c r="FV189" s="14">
        <f>INDEX(属性投放!$BS$6:$BS$85,(卡牌属性!$DW189-2)*20+卡牌属性!$DX189)</f>
        <v>840</v>
      </c>
    </row>
    <row r="190" spans="31:193" ht="16.5" x14ac:dyDescent="0.2">
      <c r="AE190" s="13">
        <v>186</v>
      </c>
      <c r="AF190" s="13">
        <f t="shared" si="331"/>
        <v>10</v>
      </c>
      <c r="AG190" s="13">
        <f t="shared" si="316"/>
        <v>4</v>
      </c>
      <c r="AH190" s="13"/>
      <c r="AI190" s="13"/>
      <c r="AJ190" s="14">
        <f t="shared" si="317"/>
        <v>1101010</v>
      </c>
      <c r="AK190" s="14" t="str">
        <f t="shared" si="318"/>
        <v>盖文6突</v>
      </c>
      <c r="AL190" s="25" t="s">
        <v>142</v>
      </c>
      <c r="AM190" s="14">
        <v>1</v>
      </c>
      <c r="AN190" s="14">
        <f t="shared" si="319"/>
        <v>6</v>
      </c>
      <c r="AO190" s="14">
        <f>INDEX(属性投放!$DF$6:$DF$85,(卡牌属性!AG190-2)*20+卡牌属性!AN190)</f>
        <v>868</v>
      </c>
      <c r="AP190" s="14">
        <f t="shared" si="440"/>
        <v>868</v>
      </c>
      <c r="AQ190" s="14">
        <f t="shared" si="440"/>
        <v>868</v>
      </c>
      <c r="AR190" s="14">
        <f t="shared" si="440"/>
        <v>868</v>
      </c>
      <c r="AS190" s="14">
        <f t="shared" si="440"/>
        <v>868</v>
      </c>
      <c r="AT190" s="14">
        <f>INDEX(属性投放!$DG$6:$DG$85,(卡牌属性!AG190-2)*20+卡牌属性!AN190)</f>
        <v>362</v>
      </c>
      <c r="AU190" s="14">
        <f t="shared" si="441"/>
        <v>362</v>
      </c>
      <c r="AV190" s="14">
        <f t="shared" si="441"/>
        <v>362</v>
      </c>
      <c r="AW190" s="14">
        <f t="shared" si="441"/>
        <v>362</v>
      </c>
      <c r="AX190" s="14">
        <f t="shared" si="441"/>
        <v>362</v>
      </c>
      <c r="AY190" s="14">
        <f>INDEX(属性投放!$DH$6:$DH$85,(卡牌属性!AG190-2)*20+卡牌属性!AN190)</f>
        <v>4851</v>
      </c>
      <c r="AZ190" s="14">
        <f t="shared" si="442"/>
        <v>4851</v>
      </c>
      <c r="BA190" s="14">
        <f t="shared" si="442"/>
        <v>4851</v>
      </c>
      <c r="BB190" s="14">
        <f t="shared" si="442"/>
        <v>4851</v>
      </c>
      <c r="BC190" s="14">
        <f t="shared" si="442"/>
        <v>4851</v>
      </c>
      <c r="BD190" s="14">
        <f>INDEX(属性投放!$DL$6:$DL$85,(卡牌属性!AG190-2)*20+卡牌属性!AN190)</f>
        <v>40</v>
      </c>
      <c r="BE190" s="14">
        <f t="shared" si="443"/>
        <v>40</v>
      </c>
      <c r="BF190" s="14">
        <f t="shared" si="443"/>
        <v>40</v>
      </c>
      <c r="BG190" s="14">
        <f t="shared" si="443"/>
        <v>40</v>
      </c>
      <c r="BH190" s="14">
        <f t="shared" si="443"/>
        <v>40</v>
      </c>
      <c r="BI190" s="14">
        <f>INDEX(属性投放!$DM$6:$DM$85,(卡牌属性!AG190-2)*20+卡牌属性!AN190)</f>
        <v>20</v>
      </c>
      <c r="BJ190" s="14">
        <f t="shared" si="444"/>
        <v>20</v>
      </c>
      <c r="BK190" s="14">
        <f t="shared" si="444"/>
        <v>20</v>
      </c>
      <c r="BL190" s="14">
        <f t="shared" si="444"/>
        <v>20</v>
      </c>
      <c r="BM190" s="14">
        <f t="shared" si="444"/>
        <v>20</v>
      </c>
      <c r="BN190" s="14">
        <f>INDEX(属性投放!$DN$6:$DN$85,(卡牌属性!AG190-2)*20+卡牌属性!AN190)</f>
        <v>279</v>
      </c>
      <c r="BO190" s="14">
        <f t="shared" si="445"/>
        <v>279</v>
      </c>
      <c r="BP190" s="14">
        <f t="shared" si="445"/>
        <v>279</v>
      </c>
      <c r="BQ190" s="14">
        <f t="shared" si="445"/>
        <v>279</v>
      </c>
      <c r="BR190" s="14">
        <f t="shared" si="445"/>
        <v>279</v>
      </c>
      <c r="BW190" s="13">
        <v>186</v>
      </c>
      <c r="BX190" s="13">
        <f t="shared" si="320"/>
        <v>10</v>
      </c>
      <c r="BY190" s="14">
        <f t="shared" si="321"/>
        <v>4</v>
      </c>
      <c r="BZ190" s="14">
        <f t="shared" si="332"/>
        <v>1102010</v>
      </c>
      <c r="CA190" s="14" t="str">
        <f t="shared" si="333"/>
        <v>张郃6突</v>
      </c>
      <c r="CB190" s="25" t="s">
        <v>142</v>
      </c>
      <c r="CC190" s="14">
        <v>2</v>
      </c>
      <c r="CD190" s="14">
        <f t="shared" si="322"/>
        <v>6</v>
      </c>
      <c r="CE190" s="14" t="s">
        <v>21</v>
      </c>
      <c r="CF190" s="14">
        <f>INDEX(属性投放!$AZ$6:$AZ$85,(BY190-2)*20+CD190)</f>
        <v>1618</v>
      </c>
      <c r="CG190" s="14" t="s">
        <v>22</v>
      </c>
      <c r="CH190" s="14">
        <f>INDEX(属性投放!$BA$6:$BA$85,(BY190-2)*20+CD190)</f>
        <v>748</v>
      </c>
      <c r="CI190" s="14" t="s">
        <v>510</v>
      </c>
      <c r="CJ190" s="14">
        <f>INDEX(属性投放!$BB$6:$BB$85,(BY190-2)*20+CD190)</f>
        <v>10068</v>
      </c>
      <c r="CK190" s="14" t="s">
        <v>21</v>
      </c>
      <c r="CL190" s="14">
        <f>INDEX(属性投放!$BC$6:$BC$85,(BY190-2)*20+CD190)</f>
        <v>20</v>
      </c>
      <c r="CM190" s="14" t="s">
        <v>22</v>
      </c>
      <c r="CN190" s="14">
        <f>INDEX(属性投放!$BD$6:$BD$85,(BY190-2)*20+CD190)</f>
        <v>10</v>
      </c>
      <c r="CO190" s="14" t="s">
        <v>510</v>
      </c>
      <c r="CP190" s="14">
        <f>INDEX(属性投放!$BE$6:$BE$85,(BY190-2)*20+CD190)</f>
        <v>140</v>
      </c>
      <c r="CS190" s="13">
        <v>186</v>
      </c>
      <c r="CT190" s="13">
        <f t="shared" si="334"/>
        <v>4</v>
      </c>
      <c r="CU190" s="13">
        <f t="shared" si="335"/>
        <v>30</v>
      </c>
      <c r="CV190" s="14">
        <f t="shared" si="336"/>
        <v>2</v>
      </c>
      <c r="CW190" s="14">
        <f t="shared" si="337"/>
        <v>1102004</v>
      </c>
      <c r="CX190" s="14" t="str">
        <f>INDEX($O$6:$O$50,CT190)&amp;"-"&amp;INDEX(属性投放!$AB$7:$AB$50,CZ190)&amp;"-魂火-"&amp;DB190</f>
        <v>唐流雨-焦热-魂火-3</v>
      </c>
      <c r="CY190" s="25" t="s">
        <v>142</v>
      </c>
      <c r="CZ190" s="14">
        <f>INDEX(属性投放!$AM$7:$AM$58,CU190)</f>
        <v>13</v>
      </c>
      <c r="DA190" s="14" t="s">
        <v>537</v>
      </c>
      <c r="DB190" s="14">
        <f>INDEX(属性投放!$AN$7:$AN$58,CU190)</f>
        <v>3</v>
      </c>
      <c r="DC190" s="14">
        <f t="shared" si="323"/>
        <v>30</v>
      </c>
      <c r="DD190" s="14">
        <f>INDEX(属性投放!$AO$7:$AO$58,DC190)</f>
        <v>93</v>
      </c>
      <c r="DE190" s="14" t="s">
        <v>538</v>
      </c>
      <c r="DF190" s="14">
        <f>INDEX(属性投放!$BK$6:$BK$85,(CV190-2)*20+CZ190)</f>
        <v>220</v>
      </c>
      <c r="DG190" s="14">
        <f>SUMIFS(DF$5:DF190,$CT$5:$CT190,"="&amp;$CT190)</f>
        <v>2665</v>
      </c>
      <c r="DH190" s="14" t="s">
        <v>539</v>
      </c>
      <c r="DI190" s="14">
        <f>INDEX(属性投放!$BL$6:$BL$85,(CV190-2)*20+CZ190)</f>
        <v>110</v>
      </c>
      <c r="DJ190" s="14">
        <f>SUMIFS(DI$5:DI190,$CT$5:$CT190,"="&amp;$CT190)</f>
        <v>1336</v>
      </c>
      <c r="DK190" s="14" t="s">
        <v>540</v>
      </c>
      <c r="DL190" s="14">
        <f>INDEX(属性投放!$BM$6:$BM$85,(CV190-2)*20+CZ190)</f>
        <v>2200</v>
      </c>
      <c r="DM190" s="14">
        <f>SUMIFS(DL$5:DL190,$CT$5:$CT190,"="&amp;$CT190)</f>
        <v>23420</v>
      </c>
      <c r="DR190" s="14">
        <f t="shared" si="324"/>
        <v>1102010</v>
      </c>
      <c r="DS190" s="14" t="str">
        <f t="shared" si="325"/>
        <v>张郃6突</v>
      </c>
      <c r="DT190" s="14">
        <f t="shared" si="338"/>
        <v>8</v>
      </c>
      <c r="DU190" s="14">
        <f t="shared" si="339"/>
        <v>6</v>
      </c>
      <c r="DV190" s="14">
        <f t="shared" si="340"/>
        <v>5</v>
      </c>
      <c r="DW190" s="14">
        <f t="shared" si="326"/>
        <v>4</v>
      </c>
      <c r="DX190" s="14">
        <f t="shared" si="327"/>
        <v>6</v>
      </c>
      <c r="DY190" s="14">
        <f t="shared" si="328"/>
        <v>46</v>
      </c>
      <c r="DZ190" s="14">
        <f>INDEX(属性投放!$AX$6:$AX$85,(卡牌属性!DW190-2)*20+卡牌属性!DX190)</f>
        <v>5</v>
      </c>
      <c r="EA190" s="14">
        <f>INDEX(属性投放!BQ$6:BQ$85,卡牌属性!$DY190)</f>
        <v>160</v>
      </c>
      <c r="EB190" s="14">
        <f>INDEX(属性投放!BR$6:BR$85,卡牌属性!$DY190)</f>
        <v>80</v>
      </c>
      <c r="EC190" s="14">
        <f>INDEX(属性投放!BS$6:BS$85,卡牌属性!$DY190)</f>
        <v>1120</v>
      </c>
      <c r="ED190" s="14">
        <f t="shared" si="446"/>
        <v>1391</v>
      </c>
      <c r="EE190" s="14">
        <f t="shared" si="447"/>
        <v>1560</v>
      </c>
      <c r="EF190" s="14">
        <f t="shared" si="448"/>
        <v>1815</v>
      </c>
      <c r="EG190" s="14">
        <f t="shared" si="449"/>
        <v>1815</v>
      </c>
      <c r="EH190" s="14">
        <f t="shared" si="450"/>
        <v>2155</v>
      </c>
      <c r="EI190" s="14">
        <f t="shared" si="451"/>
        <v>487</v>
      </c>
      <c r="EJ190" s="14">
        <f t="shared" si="452"/>
        <v>592</v>
      </c>
      <c r="EK190" s="14">
        <f t="shared" si="453"/>
        <v>592</v>
      </c>
      <c r="EL190" s="14">
        <f t="shared" si="454"/>
        <v>658</v>
      </c>
      <c r="EM190" s="14">
        <f t="shared" si="455"/>
        <v>741</v>
      </c>
      <c r="EN190" s="14">
        <f t="shared" si="456"/>
        <v>5790</v>
      </c>
      <c r="EO190" s="14">
        <f t="shared" si="457"/>
        <v>6347</v>
      </c>
      <c r="EP190" s="14">
        <f t="shared" si="458"/>
        <v>6347</v>
      </c>
      <c r="EQ190" s="14">
        <f t="shared" si="459"/>
        <v>7738</v>
      </c>
      <c r="ER190" s="14">
        <f t="shared" si="460"/>
        <v>8440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84</v>
      </c>
      <c r="FD190" s="14">
        <f>INDEX(属性偏向!$U$4:$U$243,(卡牌属性!$DV190-1+FD$3)*20+卡牌属性!$DX190)</f>
        <v>91</v>
      </c>
      <c r="FE190" s="14">
        <f>INDEX(属性偏向!$U$4:$U$243,(卡牌属性!$DV190-1+FE$3)*20+卡牌属性!$DX190)</f>
        <v>91</v>
      </c>
      <c r="FF190" s="14">
        <f>INDEX(属性偏向!$U$4:$U$243,(卡牌属性!$DV190-1+FF$3)*20+卡牌属性!$DX190)</f>
        <v>140</v>
      </c>
      <c r="FG190" s="14">
        <f>INDEX(属性偏向!$U$4:$U$243,(卡牌属性!$DV190-1+FG$3)*20+卡牌属性!$DX190)</f>
        <v>154</v>
      </c>
      <c r="FH190" s="14">
        <f>INDEX(属性投放!$BQ$6:$BQ$85,(卡牌属性!$DW190-2)*20+卡牌属性!$DX190)</f>
        <v>160</v>
      </c>
      <c r="FI190" s="14">
        <f>INDEX(属性投放!$BQ$6:$BQ$85,(卡牌属性!$DW190-2)*20+卡牌属性!$DX190)</f>
        <v>160</v>
      </c>
      <c r="FJ190" s="14">
        <f>INDEX(属性投放!$BQ$6:$BQ$85,(卡牌属性!$DW190-2)*20+卡牌属性!$DX190)</f>
        <v>160</v>
      </c>
      <c r="FK190" s="14">
        <f>INDEX(属性投放!$BQ$6:$BQ$85,(卡牌属性!$DW190-2)*20+卡牌属性!$DX190)</f>
        <v>160</v>
      </c>
      <c r="FL190" s="14">
        <f>INDEX(属性投放!$BQ$6:$BQ$85,(卡牌属性!$DW190-2)*20+卡牌属性!$DX190)</f>
        <v>160</v>
      </c>
      <c r="FM190" s="14">
        <f>INDEX(属性投放!$BR$6:$BR$85,(卡牌属性!$DW190-2)*20+卡牌属性!$DX190)</f>
        <v>80</v>
      </c>
      <c r="FN190" s="14">
        <f>INDEX(属性投放!$BR$6:$BR$85,(卡牌属性!$DW190-2)*20+卡牌属性!$DX190)</f>
        <v>80</v>
      </c>
      <c r="FO190" s="14">
        <f>INDEX(属性投放!$BR$6:$BR$85,(卡牌属性!$DW190-2)*20+卡牌属性!$DX190)</f>
        <v>80</v>
      </c>
      <c r="FP190" s="14">
        <f>INDEX(属性投放!$BR$6:$BR$85,(卡牌属性!$DW190-2)*20+卡牌属性!$DX190)</f>
        <v>80</v>
      </c>
      <c r="FQ190" s="14">
        <f>INDEX(属性投放!$BR$6:$BR$85,(卡牌属性!$DW190-2)*20+卡牌属性!$DX190)</f>
        <v>80</v>
      </c>
      <c r="FR190" s="14">
        <f>INDEX(属性投放!$BS$6:$BS$85,(卡牌属性!$DW190-2)*20+卡牌属性!$DX190)</f>
        <v>1120</v>
      </c>
      <c r="FS190" s="14">
        <f>INDEX(属性投放!$BS$6:$BS$85,(卡牌属性!$DW190-2)*20+卡牌属性!$DX190)</f>
        <v>1120</v>
      </c>
      <c r="FT190" s="14">
        <f>INDEX(属性投放!$BS$6:$BS$85,(卡牌属性!$DW190-2)*20+卡牌属性!$DX190)</f>
        <v>1120</v>
      </c>
      <c r="FU190" s="14">
        <f>INDEX(属性投放!$BS$6:$BS$85,(卡牌属性!$DW190-2)*20+卡牌属性!$DX190)</f>
        <v>1120</v>
      </c>
      <c r="FV190" s="14">
        <f>INDEX(属性投放!$BS$6:$BS$85,(卡牌属性!$DW190-2)*20+卡牌属性!$DX190)</f>
        <v>1120</v>
      </c>
    </row>
    <row r="191" spans="31:193" ht="16.5" x14ac:dyDescent="0.2">
      <c r="AE191" s="13">
        <v>187</v>
      </c>
      <c r="AF191" s="13">
        <f t="shared" si="331"/>
        <v>10</v>
      </c>
      <c r="AG191" s="13">
        <f t="shared" si="316"/>
        <v>4</v>
      </c>
      <c r="AH191" s="13"/>
      <c r="AI191" s="13"/>
      <c r="AJ191" s="14">
        <f t="shared" si="317"/>
        <v>1101010</v>
      </c>
      <c r="AK191" s="14" t="str">
        <f t="shared" si="318"/>
        <v>盖文7突</v>
      </c>
      <c r="AL191" s="25" t="s">
        <v>142</v>
      </c>
      <c r="AM191" s="14">
        <v>1</v>
      </c>
      <c r="AN191" s="14">
        <f t="shared" si="319"/>
        <v>7</v>
      </c>
      <c r="AO191" s="14">
        <f>INDEX(属性投放!$DF$6:$DF$85,(卡牌属性!AG191-2)*20+卡牌属性!AN191)</f>
        <v>1982</v>
      </c>
      <c r="AP191" s="14">
        <f t="shared" si="440"/>
        <v>1982</v>
      </c>
      <c r="AQ191" s="14">
        <f t="shared" si="440"/>
        <v>1982</v>
      </c>
      <c r="AR191" s="14">
        <f t="shared" si="440"/>
        <v>1982</v>
      </c>
      <c r="AS191" s="14">
        <f t="shared" si="440"/>
        <v>1982</v>
      </c>
      <c r="AT191" s="14">
        <f>INDEX(属性投放!$DG$6:$DG$85,(卡牌属性!AG191-2)*20+卡牌属性!AN191)</f>
        <v>919</v>
      </c>
      <c r="AU191" s="14">
        <f t="shared" si="441"/>
        <v>919</v>
      </c>
      <c r="AV191" s="14">
        <f t="shared" si="441"/>
        <v>919</v>
      </c>
      <c r="AW191" s="14">
        <f t="shared" si="441"/>
        <v>919</v>
      </c>
      <c r="AX191" s="14">
        <f t="shared" si="441"/>
        <v>919</v>
      </c>
      <c r="AY191" s="14">
        <f>INDEX(属性投放!$DH$6:$DH$85,(卡牌属性!AG191-2)*20+卡牌属性!AN191)</f>
        <v>12624</v>
      </c>
      <c r="AZ191" s="14">
        <f t="shared" si="442"/>
        <v>12624</v>
      </c>
      <c r="BA191" s="14">
        <f t="shared" si="442"/>
        <v>12624</v>
      </c>
      <c r="BB191" s="14">
        <f t="shared" si="442"/>
        <v>12624</v>
      </c>
      <c r="BC191" s="14">
        <f t="shared" si="442"/>
        <v>12624</v>
      </c>
      <c r="BD191" s="14">
        <f>INDEX(属性投放!$DL$6:$DL$85,(卡牌属性!AG191-2)*20+卡牌属性!AN191)</f>
        <v>58</v>
      </c>
      <c r="BE191" s="14">
        <f t="shared" si="443"/>
        <v>58</v>
      </c>
      <c r="BF191" s="14">
        <f t="shared" si="443"/>
        <v>58</v>
      </c>
      <c r="BG191" s="14">
        <f t="shared" si="443"/>
        <v>58</v>
      </c>
      <c r="BH191" s="14">
        <f t="shared" si="443"/>
        <v>58</v>
      </c>
      <c r="BI191" s="14">
        <f>INDEX(属性投放!$DM$6:$DM$85,(卡牌属性!AG191-2)*20+卡牌属性!AN191)</f>
        <v>29</v>
      </c>
      <c r="BJ191" s="14">
        <f t="shared" si="444"/>
        <v>29</v>
      </c>
      <c r="BK191" s="14">
        <f t="shared" si="444"/>
        <v>29</v>
      </c>
      <c r="BL191" s="14">
        <f t="shared" si="444"/>
        <v>29</v>
      </c>
      <c r="BM191" s="14">
        <f t="shared" si="444"/>
        <v>29</v>
      </c>
      <c r="BN191" s="14">
        <f>INDEX(属性投放!$DN$6:$DN$85,(卡牌属性!AG191-2)*20+卡牌属性!AN191)</f>
        <v>461</v>
      </c>
      <c r="BO191" s="14">
        <f t="shared" si="445"/>
        <v>461</v>
      </c>
      <c r="BP191" s="14">
        <f t="shared" si="445"/>
        <v>461</v>
      </c>
      <c r="BQ191" s="14">
        <f t="shared" si="445"/>
        <v>461</v>
      </c>
      <c r="BR191" s="14">
        <f t="shared" si="445"/>
        <v>461</v>
      </c>
      <c r="BW191" s="13">
        <v>187</v>
      </c>
      <c r="BX191" s="13">
        <f t="shared" si="320"/>
        <v>10</v>
      </c>
      <c r="BY191" s="14">
        <f t="shared" si="321"/>
        <v>4</v>
      </c>
      <c r="BZ191" s="14">
        <f t="shared" si="332"/>
        <v>1102010</v>
      </c>
      <c r="CA191" s="14" t="str">
        <f t="shared" si="333"/>
        <v>张郃7突</v>
      </c>
      <c r="CB191" s="25" t="s">
        <v>142</v>
      </c>
      <c r="CC191" s="14">
        <v>2</v>
      </c>
      <c r="CD191" s="14">
        <f t="shared" si="322"/>
        <v>7</v>
      </c>
      <c r="CE191" s="14" t="s">
        <v>21</v>
      </c>
      <c r="CF191" s="14">
        <f>INDEX(属性投放!$AZ$6:$AZ$85,(BY191-2)*20+CD191)</f>
        <v>1998</v>
      </c>
      <c r="CG191" s="14" t="s">
        <v>22</v>
      </c>
      <c r="CH191" s="14">
        <f>INDEX(属性投放!$BA$6:$BA$85,(BY191-2)*20+CD191)</f>
        <v>938</v>
      </c>
      <c r="CI191" s="14" t="s">
        <v>510</v>
      </c>
      <c r="CJ191" s="14">
        <f>INDEX(属性投放!$BB$6:$BB$85,(BY191-2)*20+CD191)</f>
        <v>12728</v>
      </c>
      <c r="CK191" s="14" t="s">
        <v>21</v>
      </c>
      <c r="CL191" s="14">
        <f>INDEX(属性投放!$BC$6:$BC$85,(BY191-2)*20+CD191)</f>
        <v>25</v>
      </c>
      <c r="CM191" s="14" t="s">
        <v>22</v>
      </c>
      <c r="CN191" s="14">
        <f>INDEX(属性投放!$BD$6:$BD$85,(BY191-2)*20+CD191)</f>
        <v>13</v>
      </c>
      <c r="CO191" s="14" t="s">
        <v>510</v>
      </c>
      <c r="CP191" s="14">
        <f>INDEX(属性投放!$BE$6:$BE$85,(BY191-2)*20+CD191)</f>
        <v>200</v>
      </c>
      <c r="CS191" s="13">
        <v>187</v>
      </c>
      <c r="CT191" s="13">
        <f t="shared" si="334"/>
        <v>4</v>
      </c>
      <c r="CU191" s="13">
        <f t="shared" si="335"/>
        <v>31</v>
      </c>
      <c r="CV191" s="14">
        <f t="shared" si="336"/>
        <v>2</v>
      </c>
      <c r="CW191" s="14">
        <f t="shared" si="337"/>
        <v>1102004</v>
      </c>
      <c r="CX191" s="14" t="str">
        <f>INDEX($O$6:$O$50,CT191)&amp;"-"&amp;INDEX(属性投放!$AB$7:$AB$50,CZ191)&amp;"-魂火-"&amp;DB191</f>
        <v>唐流雨-焦热+1-魂火-1</v>
      </c>
      <c r="CY191" s="25" t="s">
        <v>142</v>
      </c>
      <c r="CZ191" s="14">
        <f>INDEX(属性投放!$AM$7:$AM$58,CU191)</f>
        <v>14</v>
      </c>
      <c r="DA191" s="14" t="s">
        <v>537</v>
      </c>
      <c r="DB191" s="14">
        <f>INDEX(属性投放!$AN$7:$AN$58,CU191)</f>
        <v>1</v>
      </c>
      <c r="DC191" s="14">
        <f t="shared" si="323"/>
        <v>31</v>
      </c>
      <c r="DD191" s="14">
        <f>INDEX(属性投放!$AO$7:$AO$58,DC191)</f>
        <v>95</v>
      </c>
      <c r="DE191" s="14" t="s">
        <v>538</v>
      </c>
      <c r="DF191" s="14">
        <f>INDEX(属性投放!$BK$6:$BK$85,(CV191-2)*20+CZ191)</f>
        <v>270</v>
      </c>
      <c r="DG191" s="14">
        <f>SUMIFS(DF$5:DF191,$CT$5:$CT191,"="&amp;$CT191)</f>
        <v>2935</v>
      </c>
      <c r="DH191" s="14" t="s">
        <v>539</v>
      </c>
      <c r="DI191" s="14">
        <f>INDEX(属性投放!$BL$6:$BL$85,(CV191-2)*20+CZ191)</f>
        <v>135</v>
      </c>
      <c r="DJ191" s="14">
        <f>SUMIFS(DI$5:DI191,$CT$5:$CT191,"="&amp;$CT191)</f>
        <v>1471</v>
      </c>
      <c r="DK191" s="14" t="s">
        <v>540</v>
      </c>
      <c r="DL191" s="14">
        <f>INDEX(属性投放!$BM$6:$BM$85,(CV191-2)*20+CZ191)</f>
        <v>2700</v>
      </c>
      <c r="DM191" s="14">
        <f>SUMIFS(DL$5:DL191,$CT$5:$CT191,"="&amp;$CT191)</f>
        <v>26120</v>
      </c>
      <c r="DR191" s="14">
        <f t="shared" si="324"/>
        <v>1102010</v>
      </c>
      <c r="DS191" s="14" t="str">
        <f t="shared" si="325"/>
        <v>张郃7突</v>
      </c>
      <c r="DT191" s="14">
        <f t="shared" si="338"/>
        <v>8</v>
      </c>
      <c r="DU191" s="14">
        <f t="shared" si="339"/>
        <v>6</v>
      </c>
      <c r="DV191" s="14">
        <f t="shared" si="340"/>
        <v>5</v>
      </c>
      <c r="DW191" s="14">
        <f t="shared" si="326"/>
        <v>4</v>
      </c>
      <c r="DX191" s="14">
        <f t="shared" si="327"/>
        <v>7</v>
      </c>
      <c r="DY191" s="14">
        <f t="shared" si="328"/>
        <v>47</v>
      </c>
      <c r="DZ191" s="14">
        <f>INDEX(属性投放!$AX$6:$AX$85,(卡牌属性!DW191-2)*20+卡牌属性!DX191)</f>
        <v>5</v>
      </c>
      <c r="EA191" s="14">
        <f>INDEX(属性投放!BQ$6:BQ$85,卡牌属性!$DY191)</f>
        <v>165</v>
      </c>
      <c r="EB191" s="14">
        <f>INDEX(属性投放!BR$6:BR$85,卡牌属性!$DY191)</f>
        <v>83</v>
      </c>
      <c r="EC191" s="14">
        <f>INDEX(属性投放!BS$6:BS$85,卡牌属性!$DY191)</f>
        <v>1320</v>
      </c>
      <c r="ED191" s="14">
        <f t="shared" si="446"/>
        <v>1661</v>
      </c>
      <c r="EE191" s="14">
        <f t="shared" si="447"/>
        <v>1845</v>
      </c>
      <c r="EF191" s="14">
        <f t="shared" si="448"/>
        <v>2125</v>
      </c>
      <c r="EG191" s="14">
        <f t="shared" si="449"/>
        <v>2125</v>
      </c>
      <c r="EH191" s="14">
        <f t="shared" si="450"/>
        <v>2515</v>
      </c>
      <c r="EI191" s="14">
        <f t="shared" si="451"/>
        <v>602</v>
      </c>
      <c r="EJ191" s="14">
        <f t="shared" si="452"/>
        <v>722</v>
      </c>
      <c r="EK191" s="14">
        <f t="shared" si="453"/>
        <v>722</v>
      </c>
      <c r="EL191" s="14">
        <f t="shared" si="454"/>
        <v>793</v>
      </c>
      <c r="EM191" s="14">
        <f t="shared" si="455"/>
        <v>886</v>
      </c>
      <c r="EN191" s="14">
        <f t="shared" si="456"/>
        <v>7330</v>
      </c>
      <c r="EO191" s="14">
        <f t="shared" si="457"/>
        <v>7922</v>
      </c>
      <c r="EP191" s="14">
        <f t="shared" si="458"/>
        <v>7922</v>
      </c>
      <c r="EQ191" s="14">
        <f t="shared" si="459"/>
        <v>9558</v>
      </c>
      <c r="ER191" s="14">
        <f t="shared" si="460"/>
        <v>10330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120</v>
      </c>
      <c r="FD191" s="14">
        <f>INDEX(属性偏向!$U$4:$U$243,(卡牌属性!$DV191-1+FD$3)*20+卡牌属性!$DX191)</f>
        <v>128</v>
      </c>
      <c r="FE191" s="14">
        <f>INDEX(属性偏向!$U$4:$U$243,(卡牌属性!$DV191-1+FE$3)*20+卡牌属性!$DX191)</f>
        <v>128</v>
      </c>
      <c r="FF191" s="14">
        <f>INDEX(属性偏向!$U$4:$U$243,(卡牌属性!$DV191-1+FF$3)*20+卡牌属性!$DX191)</f>
        <v>200</v>
      </c>
      <c r="FG191" s="14">
        <f>INDEX(属性偏向!$U$4:$U$243,(卡牌属性!$DV191-1+FG$3)*20+卡牌属性!$DX191)</f>
        <v>224</v>
      </c>
      <c r="FH191" s="14">
        <f>INDEX(属性投放!$BQ$6:$BQ$85,(卡牌属性!$DW191-2)*20+卡牌属性!$DX191)</f>
        <v>165</v>
      </c>
      <c r="FI191" s="14">
        <f>INDEX(属性投放!$BQ$6:$BQ$85,(卡牌属性!$DW191-2)*20+卡牌属性!$DX191)</f>
        <v>165</v>
      </c>
      <c r="FJ191" s="14">
        <f>INDEX(属性投放!$BQ$6:$BQ$85,(卡牌属性!$DW191-2)*20+卡牌属性!$DX191)</f>
        <v>165</v>
      </c>
      <c r="FK191" s="14">
        <f>INDEX(属性投放!$BQ$6:$BQ$85,(卡牌属性!$DW191-2)*20+卡牌属性!$DX191)</f>
        <v>165</v>
      </c>
      <c r="FL191" s="14">
        <f>INDEX(属性投放!$BQ$6:$BQ$85,(卡牌属性!$DW191-2)*20+卡牌属性!$DX191)</f>
        <v>165</v>
      </c>
      <c r="FM191" s="14">
        <f>INDEX(属性投放!$BR$6:$BR$85,(卡牌属性!$DW191-2)*20+卡牌属性!$DX191)</f>
        <v>83</v>
      </c>
      <c r="FN191" s="14">
        <f>INDEX(属性投放!$BR$6:$BR$85,(卡牌属性!$DW191-2)*20+卡牌属性!$DX191)</f>
        <v>83</v>
      </c>
      <c r="FO191" s="14">
        <f>INDEX(属性投放!$BR$6:$BR$85,(卡牌属性!$DW191-2)*20+卡牌属性!$DX191)</f>
        <v>83</v>
      </c>
      <c r="FP191" s="14">
        <f>INDEX(属性投放!$BR$6:$BR$85,(卡牌属性!$DW191-2)*20+卡牌属性!$DX191)</f>
        <v>83</v>
      </c>
      <c r="FQ191" s="14">
        <f>INDEX(属性投放!$BR$6:$BR$85,(卡牌属性!$DW191-2)*20+卡牌属性!$DX191)</f>
        <v>83</v>
      </c>
      <c r="FR191" s="14">
        <f>INDEX(属性投放!$BS$6:$BS$85,(卡牌属性!$DW191-2)*20+卡牌属性!$DX191)</f>
        <v>1320</v>
      </c>
      <c r="FS191" s="14">
        <f>INDEX(属性投放!$BS$6:$BS$85,(卡牌属性!$DW191-2)*20+卡牌属性!$DX191)</f>
        <v>1320</v>
      </c>
      <c r="FT191" s="14">
        <f>INDEX(属性投放!$BS$6:$BS$85,(卡牌属性!$DW191-2)*20+卡牌属性!$DX191)</f>
        <v>1320</v>
      </c>
      <c r="FU191" s="14">
        <f>INDEX(属性投放!$BS$6:$BS$85,(卡牌属性!$DW191-2)*20+卡牌属性!$DX191)</f>
        <v>1320</v>
      </c>
      <c r="FV191" s="14">
        <f>INDEX(属性投放!$BS$6:$BS$85,(卡牌属性!$DW191-2)*20+卡牌属性!$DX191)</f>
        <v>1320</v>
      </c>
    </row>
    <row r="192" spans="31:193" ht="16.5" x14ac:dyDescent="0.2">
      <c r="AE192" s="13">
        <v>188</v>
      </c>
      <c r="AF192" s="13">
        <f t="shared" si="331"/>
        <v>10</v>
      </c>
      <c r="AG192" s="13">
        <f t="shared" si="316"/>
        <v>4</v>
      </c>
      <c r="AH192" s="13"/>
      <c r="AI192" s="13"/>
      <c r="AJ192" s="14">
        <f t="shared" si="317"/>
        <v>1101010</v>
      </c>
      <c r="AK192" s="14" t="str">
        <f t="shared" si="318"/>
        <v>盖文8突</v>
      </c>
      <c r="AL192" s="25" t="s">
        <v>142</v>
      </c>
      <c r="AM192" s="14">
        <v>1</v>
      </c>
      <c r="AN192" s="14">
        <f t="shared" si="319"/>
        <v>8</v>
      </c>
      <c r="AO192" s="14">
        <f>INDEX(属性投放!$DF$6:$DF$85,(卡牌属性!AG192-2)*20+卡牌属性!AN192)</f>
        <v>2147</v>
      </c>
      <c r="AP192" s="14">
        <f t="shared" si="440"/>
        <v>2147</v>
      </c>
      <c r="AQ192" s="14">
        <f t="shared" si="440"/>
        <v>2147</v>
      </c>
      <c r="AR192" s="14">
        <f t="shared" si="440"/>
        <v>2147</v>
      </c>
      <c r="AS192" s="14">
        <f t="shared" si="440"/>
        <v>2147</v>
      </c>
      <c r="AT192" s="14">
        <f>INDEX(属性投放!$DG$6:$DG$85,(卡牌属性!AG192-2)*20+卡牌属性!AN192)</f>
        <v>1002</v>
      </c>
      <c r="AU192" s="14">
        <f t="shared" si="441"/>
        <v>1002</v>
      </c>
      <c r="AV192" s="14">
        <f t="shared" si="441"/>
        <v>1002</v>
      </c>
      <c r="AW192" s="14">
        <f t="shared" si="441"/>
        <v>1002</v>
      </c>
      <c r="AX192" s="14">
        <f t="shared" si="441"/>
        <v>1002</v>
      </c>
      <c r="AY192" s="14">
        <f>INDEX(属性投放!$DH$6:$DH$85,(卡牌属性!AG192-2)*20+卡牌属性!AN192)</f>
        <v>13940</v>
      </c>
      <c r="AZ192" s="14">
        <f t="shared" si="442"/>
        <v>13940</v>
      </c>
      <c r="BA192" s="14">
        <f t="shared" si="442"/>
        <v>13940</v>
      </c>
      <c r="BB192" s="14">
        <f t="shared" si="442"/>
        <v>13940</v>
      </c>
      <c r="BC192" s="14">
        <f t="shared" si="442"/>
        <v>13940</v>
      </c>
      <c r="BD192" s="14">
        <f>INDEX(属性投放!$DL$6:$DL$85,(卡牌属性!AG192-2)*20+卡牌属性!AN192)</f>
        <v>58</v>
      </c>
      <c r="BE192" s="14">
        <f t="shared" si="443"/>
        <v>58</v>
      </c>
      <c r="BF192" s="14">
        <f t="shared" si="443"/>
        <v>58</v>
      </c>
      <c r="BG192" s="14">
        <f t="shared" si="443"/>
        <v>58</v>
      </c>
      <c r="BH192" s="14">
        <f t="shared" si="443"/>
        <v>58</v>
      </c>
      <c r="BI192" s="14">
        <f>INDEX(属性投放!$DM$6:$DM$85,(卡牌属性!AG192-2)*20+卡牌属性!AN192)</f>
        <v>29</v>
      </c>
      <c r="BJ192" s="14">
        <f t="shared" si="444"/>
        <v>29</v>
      </c>
      <c r="BK192" s="14">
        <f t="shared" si="444"/>
        <v>29</v>
      </c>
      <c r="BL192" s="14">
        <f t="shared" si="444"/>
        <v>29</v>
      </c>
      <c r="BM192" s="14">
        <f t="shared" si="444"/>
        <v>29</v>
      </c>
      <c r="BN192" s="14">
        <f>INDEX(属性投放!$DN$6:$DN$85,(卡牌属性!AG192-2)*20+卡牌属性!AN192)</f>
        <v>461</v>
      </c>
      <c r="BO192" s="14">
        <f t="shared" si="445"/>
        <v>461</v>
      </c>
      <c r="BP192" s="14">
        <f t="shared" si="445"/>
        <v>461</v>
      </c>
      <c r="BQ192" s="14">
        <f t="shared" si="445"/>
        <v>461</v>
      </c>
      <c r="BR192" s="14">
        <f t="shared" si="445"/>
        <v>461</v>
      </c>
      <c r="BW192" s="13">
        <v>188</v>
      </c>
      <c r="BX192" s="13">
        <f t="shared" si="320"/>
        <v>10</v>
      </c>
      <c r="BY192" s="14">
        <f t="shared" si="321"/>
        <v>4</v>
      </c>
      <c r="BZ192" s="14">
        <f t="shared" si="332"/>
        <v>1102010</v>
      </c>
      <c r="CA192" s="14" t="str">
        <f t="shared" si="333"/>
        <v>张郃8突</v>
      </c>
      <c r="CB192" s="25" t="s">
        <v>142</v>
      </c>
      <c r="CC192" s="14">
        <v>2</v>
      </c>
      <c r="CD192" s="14">
        <f t="shared" si="322"/>
        <v>8</v>
      </c>
      <c r="CE192" s="14" t="s">
        <v>21</v>
      </c>
      <c r="CF192" s="14">
        <f>INDEX(属性投放!$AZ$6:$AZ$85,(BY192-2)*20+CD192)</f>
        <v>2448</v>
      </c>
      <c r="CG192" s="14" t="s">
        <v>22</v>
      </c>
      <c r="CH192" s="14">
        <f>INDEX(属性投放!$BA$6:$BA$85,(BY192-2)*20+CD192)</f>
        <v>1166</v>
      </c>
      <c r="CI192" s="14" t="s">
        <v>510</v>
      </c>
      <c r="CJ192" s="14">
        <f>INDEX(属性投放!$BB$6:$BB$85,(BY192-2)*20+CD192)</f>
        <v>16328</v>
      </c>
      <c r="CK192" s="14" t="s">
        <v>21</v>
      </c>
      <c r="CL192" s="14">
        <f>INDEX(属性投放!$BC$6:$BC$85,(BY192-2)*20+CD192)</f>
        <v>25</v>
      </c>
      <c r="CM192" s="14" t="s">
        <v>22</v>
      </c>
      <c r="CN192" s="14">
        <f>INDEX(属性投放!$BD$6:$BD$85,(BY192-2)*20+CD192)</f>
        <v>13</v>
      </c>
      <c r="CO192" s="14" t="s">
        <v>510</v>
      </c>
      <c r="CP192" s="14">
        <f>INDEX(属性投放!$BE$6:$BE$85,(BY192-2)*20+CD192)</f>
        <v>200</v>
      </c>
      <c r="CS192" s="13">
        <v>188</v>
      </c>
      <c r="CT192" s="13">
        <f t="shared" si="334"/>
        <v>4</v>
      </c>
      <c r="CU192" s="13">
        <f t="shared" si="335"/>
        <v>32</v>
      </c>
      <c r="CV192" s="14">
        <f t="shared" si="336"/>
        <v>2</v>
      </c>
      <c r="CW192" s="14">
        <f t="shared" si="337"/>
        <v>1102004</v>
      </c>
      <c r="CX192" s="14" t="str">
        <f>INDEX($O$6:$O$50,CT192)&amp;"-"&amp;INDEX(属性投放!$AB$7:$AB$50,CZ192)&amp;"-魂火-"&amp;DB192</f>
        <v>唐流雨-焦热+1-魂火-2</v>
      </c>
      <c r="CY192" s="25" t="s">
        <v>142</v>
      </c>
      <c r="CZ192" s="14">
        <f>INDEX(属性投放!$AM$7:$AM$58,CU192)</f>
        <v>14</v>
      </c>
      <c r="DA192" s="14" t="s">
        <v>537</v>
      </c>
      <c r="DB192" s="14">
        <f>INDEX(属性投放!$AN$7:$AN$58,CU192)</f>
        <v>2</v>
      </c>
      <c r="DC192" s="14">
        <f t="shared" si="323"/>
        <v>32</v>
      </c>
      <c r="DD192" s="14">
        <f>INDEX(属性投放!$AO$7:$AO$58,DC192)</f>
        <v>98</v>
      </c>
      <c r="DE192" s="14" t="s">
        <v>538</v>
      </c>
      <c r="DF192" s="14">
        <f>INDEX(属性投放!$BK$6:$BK$85,(CV192-2)*20+CZ192)</f>
        <v>270</v>
      </c>
      <c r="DG192" s="14">
        <f>SUMIFS(DF$5:DF192,$CT$5:$CT192,"="&amp;$CT192)</f>
        <v>3205</v>
      </c>
      <c r="DH192" s="14" t="s">
        <v>539</v>
      </c>
      <c r="DI192" s="14">
        <f>INDEX(属性投放!$BL$6:$BL$85,(CV192-2)*20+CZ192)</f>
        <v>135</v>
      </c>
      <c r="DJ192" s="14">
        <f>SUMIFS(DI$5:DI192,$CT$5:$CT192,"="&amp;$CT192)</f>
        <v>1606</v>
      </c>
      <c r="DK192" s="14" t="s">
        <v>540</v>
      </c>
      <c r="DL192" s="14">
        <f>INDEX(属性投放!$BM$6:$BM$85,(CV192-2)*20+CZ192)</f>
        <v>2700</v>
      </c>
      <c r="DM192" s="14">
        <f>SUMIFS(DL$5:DL192,$CT$5:$CT192,"="&amp;$CT192)</f>
        <v>28820</v>
      </c>
      <c r="DR192" s="14">
        <f t="shared" si="324"/>
        <v>1102010</v>
      </c>
      <c r="DS192" s="14" t="str">
        <f t="shared" si="325"/>
        <v>张郃8突</v>
      </c>
      <c r="DT192" s="14">
        <f t="shared" si="338"/>
        <v>8</v>
      </c>
      <c r="DU192" s="14">
        <f t="shared" si="339"/>
        <v>6</v>
      </c>
      <c r="DV192" s="14">
        <f t="shared" si="340"/>
        <v>5</v>
      </c>
      <c r="DW192" s="14">
        <f t="shared" si="326"/>
        <v>4</v>
      </c>
      <c r="DX192" s="14">
        <f t="shared" si="327"/>
        <v>8</v>
      </c>
      <c r="DY192" s="14">
        <f t="shared" si="328"/>
        <v>48</v>
      </c>
      <c r="DZ192" s="14">
        <f>INDEX(属性投放!$AX$6:$AX$85,(卡牌属性!DW192-2)*20+卡牌属性!DX192)</f>
        <v>5</v>
      </c>
      <c r="EA192" s="14">
        <f>INDEX(属性投放!BQ$6:BQ$85,卡牌属性!$DY192)</f>
        <v>125</v>
      </c>
      <c r="EB192" s="14">
        <f>INDEX(属性投放!BR$6:BR$85,卡牌属性!$DY192)</f>
        <v>63</v>
      </c>
      <c r="EC192" s="14">
        <f>INDEX(属性投放!BS$6:BS$85,卡牌属性!$DY192)</f>
        <v>1000</v>
      </c>
      <c r="ED192" s="14">
        <f t="shared" si="446"/>
        <v>1966</v>
      </c>
      <c r="EE192" s="14">
        <f t="shared" si="447"/>
        <v>2160</v>
      </c>
      <c r="EF192" s="14">
        <f t="shared" si="448"/>
        <v>2490</v>
      </c>
      <c r="EG192" s="14">
        <f t="shared" si="449"/>
        <v>2490</v>
      </c>
      <c r="EH192" s="14">
        <f t="shared" si="450"/>
        <v>2930</v>
      </c>
      <c r="EI192" s="14">
        <f t="shared" si="451"/>
        <v>725</v>
      </c>
      <c r="EJ192" s="14">
        <f t="shared" si="452"/>
        <v>870</v>
      </c>
      <c r="EK192" s="14">
        <f t="shared" si="453"/>
        <v>870</v>
      </c>
      <c r="EL192" s="14">
        <f t="shared" si="454"/>
        <v>946</v>
      </c>
      <c r="EM192" s="14">
        <f t="shared" si="455"/>
        <v>1044</v>
      </c>
      <c r="EN192" s="14">
        <f t="shared" si="456"/>
        <v>9250</v>
      </c>
      <c r="EO192" s="14">
        <f t="shared" si="457"/>
        <v>9882</v>
      </c>
      <c r="EP192" s="14">
        <f t="shared" si="458"/>
        <v>9882</v>
      </c>
      <c r="EQ192" s="14">
        <f t="shared" si="459"/>
        <v>11878</v>
      </c>
      <c r="ER192" s="14">
        <f t="shared" si="460"/>
        <v>12770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120</v>
      </c>
      <c r="FD192" s="14">
        <f>INDEX(属性偏向!$U$4:$U$243,(卡牌属性!$DV192-1+FD$3)*20+卡牌属性!$DX192)</f>
        <v>128</v>
      </c>
      <c r="FE192" s="14">
        <f>INDEX(属性偏向!$U$4:$U$243,(卡牌属性!$DV192-1+FE$3)*20+卡牌属性!$DX192)</f>
        <v>128</v>
      </c>
      <c r="FF192" s="14">
        <f>INDEX(属性偏向!$U$4:$U$243,(卡牌属性!$DV192-1+FF$3)*20+卡牌属性!$DX192)</f>
        <v>200</v>
      </c>
      <c r="FG192" s="14">
        <f>INDEX(属性偏向!$U$4:$U$243,(卡牌属性!$DV192-1+FG$3)*20+卡牌属性!$DX192)</f>
        <v>224</v>
      </c>
      <c r="FH192" s="14">
        <f>INDEX(属性投放!$BQ$6:$BQ$85,(卡牌属性!$DW192-2)*20+卡牌属性!$DX192)</f>
        <v>125</v>
      </c>
      <c r="FI192" s="14">
        <f>INDEX(属性投放!$BQ$6:$BQ$85,(卡牌属性!$DW192-2)*20+卡牌属性!$DX192)</f>
        <v>125</v>
      </c>
      <c r="FJ192" s="14">
        <f>INDEX(属性投放!$BQ$6:$BQ$85,(卡牌属性!$DW192-2)*20+卡牌属性!$DX192)</f>
        <v>125</v>
      </c>
      <c r="FK192" s="14">
        <f>INDEX(属性投放!$BQ$6:$BQ$85,(卡牌属性!$DW192-2)*20+卡牌属性!$DX192)</f>
        <v>125</v>
      </c>
      <c r="FL192" s="14">
        <f>INDEX(属性投放!$BQ$6:$BQ$85,(卡牌属性!$DW192-2)*20+卡牌属性!$DX192)</f>
        <v>125</v>
      </c>
      <c r="FM192" s="14">
        <f>INDEX(属性投放!$BR$6:$BR$85,(卡牌属性!$DW192-2)*20+卡牌属性!$DX192)</f>
        <v>63</v>
      </c>
      <c r="FN192" s="14">
        <f>INDEX(属性投放!$BR$6:$BR$85,(卡牌属性!$DW192-2)*20+卡牌属性!$DX192)</f>
        <v>63</v>
      </c>
      <c r="FO192" s="14">
        <f>INDEX(属性投放!$BR$6:$BR$85,(卡牌属性!$DW192-2)*20+卡牌属性!$DX192)</f>
        <v>63</v>
      </c>
      <c r="FP192" s="14">
        <f>INDEX(属性投放!$BR$6:$BR$85,(卡牌属性!$DW192-2)*20+卡牌属性!$DX192)</f>
        <v>63</v>
      </c>
      <c r="FQ192" s="14">
        <f>INDEX(属性投放!$BR$6:$BR$85,(卡牌属性!$DW192-2)*20+卡牌属性!$DX192)</f>
        <v>63</v>
      </c>
      <c r="FR192" s="14">
        <f>INDEX(属性投放!$BS$6:$BS$85,(卡牌属性!$DW192-2)*20+卡牌属性!$DX192)</f>
        <v>1000</v>
      </c>
      <c r="FS192" s="14">
        <f>INDEX(属性投放!$BS$6:$BS$85,(卡牌属性!$DW192-2)*20+卡牌属性!$DX192)</f>
        <v>1000</v>
      </c>
      <c r="FT192" s="14">
        <f>INDEX(属性投放!$BS$6:$BS$85,(卡牌属性!$DW192-2)*20+卡牌属性!$DX192)</f>
        <v>1000</v>
      </c>
      <c r="FU192" s="14">
        <f>INDEX(属性投放!$BS$6:$BS$85,(卡牌属性!$DW192-2)*20+卡牌属性!$DX192)</f>
        <v>1000</v>
      </c>
      <c r="FV192" s="14">
        <f>INDEX(属性投放!$BS$6:$BS$85,(卡牌属性!$DW192-2)*20+卡牌属性!$DX192)</f>
        <v>1000</v>
      </c>
    </row>
    <row r="193" spans="31:178" ht="16.5" x14ac:dyDescent="0.2">
      <c r="AE193" s="13">
        <v>189</v>
      </c>
      <c r="AF193" s="13">
        <f t="shared" si="331"/>
        <v>10</v>
      </c>
      <c r="AG193" s="13">
        <f t="shared" si="316"/>
        <v>4</v>
      </c>
      <c r="AH193" s="13"/>
      <c r="AI193" s="13"/>
      <c r="AJ193" s="14">
        <f t="shared" si="317"/>
        <v>1101010</v>
      </c>
      <c r="AK193" s="14" t="str">
        <f t="shared" si="318"/>
        <v>盖文9突</v>
      </c>
      <c r="AL193" s="25" t="s">
        <v>142</v>
      </c>
      <c r="AM193" s="14">
        <v>1</v>
      </c>
      <c r="AN193" s="14">
        <f t="shared" si="319"/>
        <v>9</v>
      </c>
      <c r="AO193" s="14">
        <f>INDEX(属性投放!$DF$6:$DF$85,(卡牌属性!AG193-2)*20+卡牌属性!AN193)</f>
        <v>2312</v>
      </c>
      <c r="AP193" s="14">
        <f t="shared" si="440"/>
        <v>2312</v>
      </c>
      <c r="AQ193" s="14">
        <f t="shared" si="440"/>
        <v>2312</v>
      </c>
      <c r="AR193" s="14">
        <f t="shared" si="440"/>
        <v>2312</v>
      </c>
      <c r="AS193" s="14">
        <f t="shared" si="440"/>
        <v>2312</v>
      </c>
      <c r="AT193" s="14">
        <f>INDEX(属性投放!$DG$6:$DG$85,(卡牌属性!AG193-2)*20+卡牌属性!AN193)</f>
        <v>1085</v>
      </c>
      <c r="AU193" s="14">
        <f t="shared" si="441"/>
        <v>1085</v>
      </c>
      <c r="AV193" s="14">
        <f t="shared" si="441"/>
        <v>1085</v>
      </c>
      <c r="AW193" s="14">
        <f t="shared" si="441"/>
        <v>1085</v>
      </c>
      <c r="AX193" s="14">
        <f t="shared" si="441"/>
        <v>1085</v>
      </c>
      <c r="AY193" s="14">
        <f>INDEX(属性投放!$DH$6:$DH$85,(卡牌属性!AG193-2)*20+卡牌属性!AN193)</f>
        <v>15256</v>
      </c>
      <c r="AZ193" s="14">
        <f t="shared" si="442"/>
        <v>15256</v>
      </c>
      <c r="BA193" s="14">
        <f t="shared" si="442"/>
        <v>15256</v>
      </c>
      <c r="BB193" s="14">
        <f t="shared" si="442"/>
        <v>15256</v>
      </c>
      <c r="BC193" s="14">
        <f t="shared" si="442"/>
        <v>15256</v>
      </c>
      <c r="BD193" s="14">
        <f>INDEX(属性投放!$DL$6:$DL$85,(卡牌属性!AG193-2)*20+卡牌属性!AN193)</f>
        <v>58</v>
      </c>
      <c r="BE193" s="14">
        <f t="shared" si="443"/>
        <v>58</v>
      </c>
      <c r="BF193" s="14">
        <f t="shared" si="443"/>
        <v>58</v>
      </c>
      <c r="BG193" s="14">
        <f t="shared" si="443"/>
        <v>58</v>
      </c>
      <c r="BH193" s="14">
        <f t="shared" si="443"/>
        <v>58</v>
      </c>
      <c r="BI193" s="14">
        <f>INDEX(属性投放!$DM$6:$DM$85,(卡牌属性!AG193-2)*20+卡牌属性!AN193)</f>
        <v>29</v>
      </c>
      <c r="BJ193" s="14">
        <f t="shared" si="444"/>
        <v>29</v>
      </c>
      <c r="BK193" s="14">
        <f t="shared" si="444"/>
        <v>29</v>
      </c>
      <c r="BL193" s="14">
        <f t="shared" si="444"/>
        <v>29</v>
      </c>
      <c r="BM193" s="14">
        <f t="shared" si="444"/>
        <v>29</v>
      </c>
      <c r="BN193" s="14">
        <f>INDEX(属性投放!$DN$6:$DN$85,(卡牌属性!AG193-2)*20+卡牌属性!AN193)</f>
        <v>461</v>
      </c>
      <c r="BO193" s="14">
        <f t="shared" si="445"/>
        <v>461</v>
      </c>
      <c r="BP193" s="14">
        <f t="shared" si="445"/>
        <v>461</v>
      </c>
      <c r="BQ193" s="14">
        <f t="shared" si="445"/>
        <v>461</v>
      </c>
      <c r="BR193" s="14">
        <f t="shared" si="445"/>
        <v>461</v>
      </c>
      <c r="BW193" s="13">
        <v>189</v>
      </c>
      <c r="BX193" s="13">
        <f t="shared" si="320"/>
        <v>10</v>
      </c>
      <c r="BY193" s="14">
        <f t="shared" si="321"/>
        <v>4</v>
      </c>
      <c r="BZ193" s="14">
        <f t="shared" si="332"/>
        <v>1102010</v>
      </c>
      <c r="CA193" s="14" t="str">
        <f t="shared" si="333"/>
        <v>张郃9突</v>
      </c>
      <c r="CB193" s="25" t="s">
        <v>142</v>
      </c>
      <c r="CC193" s="14">
        <v>2</v>
      </c>
      <c r="CD193" s="14">
        <f t="shared" si="322"/>
        <v>9</v>
      </c>
      <c r="CE193" s="14" t="s">
        <v>21</v>
      </c>
      <c r="CF193" s="14">
        <f>INDEX(属性投放!$AZ$6:$AZ$85,(BY193-2)*20+CD193)</f>
        <v>2898</v>
      </c>
      <c r="CG193" s="14" t="s">
        <v>22</v>
      </c>
      <c r="CH193" s="14">
        <f>INDEX(属性投放!$BA$6:$BA$85,(BY193-2)*20+CD193)</f>
        <v>1394</v>
      </c>
      <c r="CI193" s="14" t="s">
        <v>510</v>
      </c>
      <c r="CJ193" s="14">
        <f>INDEX(属性投放!$BB$6:$BB$85,(BY193-2)*20+CD193)</f>
        <v>19928</v>
      </c>
      <c r="CK193" s="14" t="s">
        <v>21</v>
      </c>
      <c r="CL193" s="14">
        <f>INDEX(属性投放!$BC$6:$BC$85,(BY193-2)*20+CD193)</f>
        <v>25</v>
      </c>
      <c r="CM193" s="14" t="s">
        <v>22</v>
      </c>
      <c r="CN193" s="14">
        <f>INDEX(属性投放!$BD$6:$BD$85,(BY193-2)*20+CD193)</f>
        <v>13</v>
      </c>
      <c r="CO193" s="14" t="s">
        <v>510</v>
      </c>
      <c r="CP193" s="14">
        <f>INDEX(属性投放!$BE$6:$BE$85,(BY193-2)*20+CD193)</f>
        <v>200</v>
      </c>
      <c r="CS193" s="13">
        <v>189</v>
      </c>
      <c r="CT193" s="13">
        <f t="shared" si="334"/>
        <v>4</v>
      </c>
      <c r="CU193" s="13">
        <f t="shared" si="335"/>
        <v>33</v>
      </c>
      <c r="CV193" s="14">
        <f t="shared" si="336"/>
        <v>2</v>
      </c>
      <c r="CW193" s="14">
        <f t="shared" si="337"/>
        <v>1102004</v>
      </c>
      <c r="CX193" s="14" t="str">
        <f>INDEX($O$6:$O$50,CT193)&amp;"-"&amp;INDEX(属性投放!$AB$7:$AB$50,CZ193)&amp;"-魂火-"&amp;DB193</f>
        <v>唐流雨-焦热+1-魂火-3</v>
      </c>
      <c r="CY193" s="25" t="s">
        <v>142</v>
      </c>
      <c r="CZ193" s="14">
        <f>INDEX(属性投放!$AM$7:$AM$58,CU193)</f>
        <v>14</v>
      </c>
      <c r="DA193" s="14" t="s">
        <v>537</v>
      </c>
      <c r="DB193" s="14">
        <f>INDEX(属性投放!$AN$7:$AN$58,CU193)</f>
        <v>3</v>
      </c>
      <c r="DC193" s="14">
        <f t="shared" si="323"/>
        <v>33</v>
      </c>
      <c r="DD193" s="14">
        <f>INDEX(属性投放!$AO$7:$AO$58,DC193)</f>
        <v>100</v>
      </c>
      <c r="DE193" s="14" t="s">
        <v>538</v>
      </c>
      <c r="DF193" s="14">
        <f>INDEX(属性投放!$BK$6:$BK$85,(CV193-2)*20+CZ193)</f>
        <v>270</v>
      </c>
      <c r="DG193" s="14">
        <f>SUMIFS(DF$5:DF193,$CT$5:$CT193,"="&amp;$CT193)</f>
        <v>3475</v>
      </c>
      <c r="DH193" s="14" t="s">
        <v>539</v>
      </c>
      <c r="DI193" s="14">
        <f>INDEX(属性投放!$BL$6:$BL$85,(CV193-2)*20+CZ193)</f>
        <v>135</v>
      </c>
      <c r="DJ193" s="14">
        <f>SUMIFS(DI$5:DI193,$CT$5:$CT193,"="&amp;$CT193)</f>
        <v>1741</v>
      </c>
      <c r="DK193" s="14" t="s">
        <v>540</v>
      </c>
      <c r="DL193" s="14">
        <f>INDEX(属性投放!$BM$6:$BM$85,(CV193-2)*20+CZ193)</f>
        <v>2700</v>
      </c>
      <c r="DM193" s="14">
        <f>SUMIFS(DL$5:DL193,$CT$5:$CT193,"="&amp;$CT193)</f>
        <v>31520</v>
      </c>
      <c r="DR193" s="14">
        <f t="shared" si="324"/>
        <v>1102010</v>
      </c>
      <c r="DS193" s="14" t="str">
        <f t="shared" si="325"/>
        <v>张郃9突</v>
      </c>
      <c r="DT193" s="14">
        <f t="shared" si="338"/>
        <v>8</v>
      </c>
      <c r="DU193" s="14">
        <f t="shared" si="339"/>
        <v>6</v>
      </c>
      <c r="DV193" s="14">
        <f t="shared" si="340"/>
        <v>5</v>
      </c>
      <c r="DW193" s="14">
        <f t="shared" si="326"/>
        <v>4</v>
      </c>
      <c r="DX193" s="14">
        <f t="shared" si="327"/>
        <v>9</v>
      </c>
      <c r="DY193" s="14">
        <f t="shared" si="328"/>
        <v>49</v>
      </c>
      <c r="DZ193" s="14">
        <f>INDEX(属性投放!$AX$6:$AX$85,(卡牌属性!DW193-2)*20+卡牌属性!DX193)</f>
        <v>8</v>
      </c>
      <c r="EA193" s="14">
        <f>INDEX(属性投放!BQ$6:BQ$85,卡牌属性!$DY193)</f>
        <v>200</v>
      </c>
      <c r="EB193" s="14">
        <f>INDEX(属性投放!BR$6:BR$85,卡牌属性!$DY193)</f>
        <v>100</v>
      </c>
      <c r="EC193" s="14">
        <f>INDEX(属性投放!BS$6:BS$85,卡牌属性!$DY193)</f>
        <v>1600</v>
      </c>
      <c r="ED193" s="14">
        <f t="shared" si="446"/>
        <v>2231</v>
      </c>
      <c r="EE193" s="14">
        <f t="shared" si="447"/>
        <v>2435</v>
      </c>
      <c r="EF193" s="14">
        <f t="shared" si="448"/>
        <v>2815</v>
      </c>
      <c r="EG193" s="14">
        <f t="shared" si="449"/>
        <v>2815</v>
      </c>
      <c r="EH193" s="14">
        <f t="shared" si="450"/>
        <v>3305</v>
      </c>
      <c r="EI193" s="14">
        <f t="shared" si="451"/>
        <v>828</v>
      </c>
      <c r="EJ193" s="14">
        <f t="shared" si="452"/>
        <v>998</v>
      </c>
      <c r="EK193" s="14">
        <f t="shared" si="453"/>
        <v>998</v>
      </c>
      <c r="EL193" s="14">
        <f t="shared" si="454"/>
        <v>1079</v>
      </c>
      <c r="EM193" s="14">
        <f t="shared" si="455"/>
        <v>1182</v>
      </c>
      <c r="EN193" s="14">
        <f t="shared" si="456"/>
        <v>10850</v>
      </c>
      <c r="EO193" s="14">
        <f t="shared" si="457"/>
        <v>11522</v>
      </c>
      <c r="EP193" s="14">
        <f t="shared" si="458"/>
        <v>11522</v>
      </c>
      <c r="EQ193" s="14">
        <f t="shared" si="459"/>
        <v>13878</v>
      </c>
      <c r="ER193" s="14">
        <f t="shared" si="460"/>
        <v>14890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120</v>
      </c>
      <c r="FD193" s="14">
        <f>INDEX(属性偏向!$U$4:$U$243,(卡牌属性!$DV193-1+FD$3)*20+卡牌属性!$DX193)</f>
        <v>128</v>
      </c>
      <c r="FE193" s="14">
        <f>INDEX(属性偏向!$U$4:$U$243,(卡牌属性!$DV193-1+FE$3)*20+卡牌属性!$DX193)</f>
        <v>128</v>
      </c>
      <c r="FF193" s="14">
        <f>INDEX(属性偏向!$U$4:$U$243,(卡牌属性!$DV193-1+FF$3)*20+卡牌属性!$DX193)</f>
        <v>200</v>
      </c>
      <c r="FG193" s="14">
        <f>INDEX(属性偏向!$U$4:$U$243,(卡牌属性!$DV193-1+FG$3)*20+卡牌属性!$DX193)</f>
        <v>224</v>
      </c>
      <c r="FH193" s="14">
        <f>INDEX(属性投放!$BQ$6:$BQ$85,(卡牌属性!$DW193-2)*20+卡牌属性!$DX193)</f>
        <v>200</v>
      </c>
      <c r="FI193" s="14">
        <f>INDEX(属性投放!$BQ$6:$BQ$85,(卡牌属性!$DW193-2)*20+卡牌属性!$DX193)</f>
        <v>200</v>
      </c>
      <c r="FJ193" s="14">
        <f>INDEX(属性投放!$BQ$6:$BQ$85,(卡牌属性!$DW193-2)*20+卡牌属性!$DX193)</f>
        <v>200</v>
      </c>
      <c r="FK193" s="14">
        <f>INDEX(属性投放!$BQ$6:$BQ$85,(卡牌属性!$DW193-2)*20+卡牌属性!$DX193)</f>
        <v>200</v>
      </c>
      <c r="FL193" s="14">
        <f>INDEX(属性投放!$BQ$6:$BQ$85,(卡牌属性!$DW193-2)*20+卡牌属性!$DX193)</f>
        <v>200</v>
      </c>
      <c r="FM193" s="14">
        <f>INDEX(属性投放!$BR$6:$BR$85,(卡牌属性!$DW193-2)*20+卡牌属性!$DX193)</f>
        <v>100</v>
      </c>
      <c r="FN193" s="14">
        <f>INDEX(属性投放!$BR$6:$BR$85,(卡牌属性!$DW193-2)*20+卡牌属性!$DX193)</f>
        <v>100</v>
      </c>
      <c r="FO193" s="14">
        <f>INDEX(属性投放!$BR$6:$BR$85,(卡牌属性!$DW193-2)*20+卡牌属性!$DX193)</f>
        <v>100</v>
      </c>
      <c r="FP193" s="14">
        <f>INDEX(属性投放!$BR$6:$BR$85,(卡牌属性!$DW193-2)*20+卡牌属性!$DX193)</f>
        <v>100</v>
      </c>
      <c r="FQ193" s="14">
        <f>INDEX(属性投放!$BR$6:$BR$85,(卡牌属性!$DW193-2)*20+卡牌属性!$DX193)</f>
        <v>100</v>
      </c>
      <c r="FR193" s="14">
        <f>INDEX(属性投放!$BS$6:$BS$85,(卡牌属性!$DW193-2)*20+卡牌属性!$DX193)</f>
        <v>1600</v>
      </c>
      <c r="FS193" s="14">
        <f>INDEX(属性投放!$BS$6:$BS$85,(卡牌属性!$DW193-2)*20+卡牌属性!$DX193)</f>
        <v>1600</v>
      </c>
      <c r="FT193" s="14">
        <f>INDEX(属性投放!$BS$6:$BS$85,(卡牌属性!$DW193-2)*20+卡牌属性!$DX193)</f>
        <v>1600</v>
      </c>
      <c r="FU193" s="14">
        <f>INDEX(属性投放!$BS$6:$BS$85,(卡牌属性!$DW193-2)*20+卡牌属性!$DX193)</f>
        <v>1600</v>
      </c>
      <c r="FV193" s="14">
        <f>INDEX(属性投放!$BS$6:$BS$85,(卡牌属性!$DW193-2)*20+卡牌属性!$DX193)</f>
        <v>1600</v>
      </c>
    </row>
    <row r="194" spans="31:178" ht="16.5" x14ac:dyDescent="0.2">
      <c r="AE194" s="13">
        <v>190</v>
      </c>
      <c r="AF194" s="13">
        <f t="shared" si="331"/>
        <v>10</v>
      </c>
      <c r="AG194" s="13">
        <f t="shared" si="316"/>
        <v>4</v>
      </c>
      <c r="AH194" s="13"/>
      <c r="AI194" s="13"/>
      <c r="AJ194" s="14">
        <f t="shared" si="317"/>
        <v>1101010</v>
      </c>
      <c r="AK194" s="14" t="str">
        <f t="shared" si="318"/>
        <v>盖文10突</v>
      </c>
      <c r="AL194" s="25" t="s">
        <v>142</v>
      </c>
      <c r="AM194" s="14">
        <v>1</v>
      </c>
      <c r="AN194" s="14">
        <f t="shared" si="319"/>
        <v>10</v>
      </c>
      <c r="AO194" s="14">
        <f>INDEX(属性投放!$DF$6:$DF$85,(卡牌属性!AG194-2)*20+卡牌属性!AN194)</f>
        <v>3347</v>
      </c>
      <c r="AP194" s="14">
        <f t="shared" si="440"/>
        <v>3347</v>
      </c>
      <c r="AQ194" s="14">
        <f t="shared" si="440"/>
        <v>3347</v>
      </c>
      <c r="AR194" s="14">
        <f t="shared" si="440"/>
        <v>3347</v>
      </c>
      <c r="AS194" s="14">
        <f t="shared" si="440"/>
        <v>3347</v>
      </c>
      <c r="AT194" s="14">
        <f>INDEX(属性投放!$DG$6:$DG$85,(卡牌属性!AG194-2)*20+卡牌属性!AN194)</f>
        <v>1603</v>
      </c>
      <c r="AU194" s="14">
        <f t="shared" si="441"/>
        <v>1603</v>
      </c>
      <c r="AV194" s="14">
        <f t="shared" si="441"/>
        <v>1603</v>
      </c>
      <c r="AW194" s="14">
        <f t="shared" si="441"/>
        <v>1603</v>
      </c>
      <c r="AX194" s="14">
        <f t="shared" si="441"/>
        <v>1603</v>
      </c>
      <c r="AY194" s="14">
        <f>INDEX(属性投放!$DH$6:$DH$85,(卡牌属性!AG194-2)*20+卡牌属性!AN194)</f>
        <v>23487</v>
      </c>
      <c r="AZ194" s="14">
        <f t="shared" si="442"/>
        <v>23487</v>
      </c>
      <c r="BA194" s="14">
        <f t="shared" si="442"/>
        <v>23487</v>
      </c>
      <c r="BB194" s="14">
        <f t="shared" si="442"/>
        <v>23487</v>
      </c>
      <c r="BC194" s="14">
        <f t="shared" si="442"/>
        <v>23487</v>
      </c>
      <c r="BD194" s="14">
        <f>INDEX(属性投放!$DL$6:$DL$85,(卡牌属性!AG194-2)*20+卡牌属性!AN194)</f>
        <v>110</v>
      </c>
      <c r="BE194" s="14">
        <f t="shared" si="443"/>
        <v>110</v>
      </c>
      <c r="BF194" s="14">
        <f t="shared" si="443"/>
        <v>110</v>
      </c>
      <c r="BG194" s="14">
        <f t="shared" si="443"/>
        <v>110</v>
      </c>
      <c r="BH194" s="14">
        <f t="shared" si="443"/>
        <v>110</v>
      </c>
      <c r="BI194" s="14">
        <f>INDEX(属性投放!$DM$6:$DM$85,(卡牌属性!AG194-2)*20+卡牌属性!AN194)</f>
        <v>55</v>
      </c>
      <c r="BJ194" s="14">
        <f t="shared" si="444"/>
        <v>55</v>
      </c>
      <c r="BK194" s="14">
        <f t="shared" si="444"/>
        <v>55</v>
      </c>
      <c r="BL194" s="14">
        <f t="shared" si="444"/>
        <v>55</v>
      </c>
      <c r="BM194" s="14">
        <f t="shared" si="444"/>
        <v>55</v>
      </c>
      <c r="BN194" s="14">
        <f>INDEX(属性投放!$DN$6:$DN$85,(卡牌属性!AG194-2)*20+卡牌属性!AN194)</f>
        <v>988</v>
      </c>
      <c r="BO194" s="14">
        <f t="shared" si="445"/>
        <v>988</v>
      </c>
      <c r="BP194" s="14">
        <f t="shared" si="445"/>
        <v>988</v>
      </c>
      <c r="BQ194" s="14">
        <f t="shared" si="445"/>
        <v>988</v>
      </c>
      <c r="BR194" s="14">
        <f t="shared" si="445"/>
        <v>988</v>
      </c>
      <c r="BW194" s="13">
        <v>190</v>
      </c>
      <c r="BX194" s="13">
        <f t="shared" si="320"/>
        <v>10</v>
      </c>
      <c r="BY194" s="14">
        <f t="shared" si="321"/>
        <v>4</v>
      </c>
      <c r="BZ194" s="14">
        <f t="shared" si="332"/>
        <v>1102010</v>
      </c>
      <c r="CA194" s="14" t="str">
        <f t="shared" si="333"/>
        <v>张郃10突</v>
      </c>
      <c r="CB194" s="25" t="s">
        <v>142</v>
      </c>
      <c r="CC194" s="14">
        <v>2</v>
      </c>
      <c r="CD194" s="14">
        <f t="shared" si="322"/>
        <v>10</v>
      </c>
      <c r="CE194" s="14" t="s">
        <v>21</v>
      </c>
      <c r="CF194" s="14">
        <f>INDEX(属性投放!$AZ$6:$AZ$85,(BY194-2)*20+CD194)</f>
        <v>3643</v>
      </c>
      <c r="CG194" s="14" t="s">
        <v>22</v>
      </c>
      <c r="CH194" s="14">
        <f>INDEX(属性投放!$BA$6:$BA$85,(BY194-2)*20+CD194)</f>
        <v>1772</v>
      </c>
      <c r="CI194" s="14" t="s">
        <v>510</v>
      </c>
      <c r="CJ194" s="14">
        <f>INDEX(属性投放!$BB$6:$BB$85,(BY194-2)*20+CD194)</f>
        <v>25888</v>
      </c>
      <c r="CK194" s="14" t="s">
        <v>21</v>
      </c>
      <c r="CL194" s="14">
        <f>INDEX(属性投放!$BC$6:$BC$85,(BY194-2)*20+CD194)</f>
        <v>30</v>
      </c>
      <c r="CM194" s="14" t="s">
        <v>22</v>
      </c>
      <c r="CN194" s="14">
        <f>INDEX(属性投放!$BD$6:$BD$85,(BY194-2)*20+CD194)</f>
        <v>15</v>
      </c>
      <c r="CO194" s="14" t="s">
        <v>510</v>
      </c>
      <c r="CP194" s="14">
        <f>INDEX(属性投放!$BE$6:$BE$85,(BY194-2)*20+CD194)</f>
        <v>270</v>
      </c>
      <c r="CS194" s="13">
        <v>190</v>
      </c>
      <c r="CT194" s="13">
        <f t="shared" si="334"/>
        <v>4</v>
      </c>
      <c r="CU194" s="13">
        <f t="shared" si="335"/>
        <v>34</v>
      </c>
      <c r="CV194" s="14">
        <f t="shared" si="336"/>
        <v>2</v>
      </c>
      <c r="CW194" s="14">
        <f t="shared" si="337"/>
        <v>1102004</v>
      </c>
      <c r="CX194" s="14" t="str">
        <f>INDEX($O$6:$O$50,CT194)&amp;"-"&amp;INDEX(属性投放!$AB$7:$AB$50,CZ194)&amp;"-魂火-"&amp;DB194</f>
        <v>唐流雨-焦热+2-魂火-1</v>
      </c>
      <c r="CY194" s="25" t="s">
        <v>142</v>
      </c>
      <c r="CZ194" s="14">
        <f>INDEX(属性投放!$AM$7:$AM$58,CU194)</f>
        <v>15</v>
      </c>
      <c r="DA194" s="14" t="s">
        <v>537</v>
      </c>
      <c r="DB194" s="14">
        <f>INDEX(属性投放!$AN$7:$AN$58,CU194)</f>
        <v>1</v>
      </c>
      <c r="DC194" s="14">
        <f t="shared" si="323"/>
        <v>34</v>
      </c>
      <c r="DD194" s="14">
        <f>INDEX(属性投放!$AO$7:$AO$58,DC194)</f>
        <v>103</v>
      </c>
      <c r="DE194" s="14" t="s">
        <v>538</v>
      </c>
      <c r="DF194" s="14">
        <f>INDEX(属性投放!$BK$6:$BK$85,(CV194-2)*20+CZ194)</f>
        <v>350</v>
      </c>
      <c r="DG194" s="14">
        <f>SUMIFS(DF$5:DF194,$CT$5:$CT194,"="&amp;$CT194)</f>
        <v>3825</v>
      </c>
      <c r="DH194" s="14" t="s">
        <v>539</v>
      </c>
      <c r="DI194" s="14">
        <f>INDEX(属性投放!$BL$6:$BL$85,(CV194-2)*20+CZ194)</f>
        <v>175</v>
      </c>
      <c r="DJ194" s="14">
        <f>SUMIFS(DI$5:DI194,$CT$5:$CT194,"="&amp;$CT194)</f>
        <v>1916</v>
      </c>
      <c r="DK194" s="14" t="s">
        <v>540</v>
      </c>
      <c r="DL194" s="14">
        <f>INDEX(属性投放!$BM$6:$BM$85,(CV194-2)*20+CZ194)</f>
        <v>3500</v>
      </c>
      <c r="DM194" s="14">
        <f>SUMIFS(DL$5:DL194,$CT$5:$CT194,"="&amp;$CT194)</f>
        <v>35020</v>
      </c>
      <c r="DR194" s="14">
        <f t="shared" si="324"/>
        <v>1102010</v>
      </c>
      <c r="DS194" s="14" t="str">
        <f t="shared" si="325"/>
        <v>张郃10突</v>
      </c>
      <c r="DT194" s="14">
        <f t="shared" si="338"/>
        <v>8</v>
      </c>
      <c r="DU194" s="14">
        <f t="shared" si="339"/>
        <v>6</v>
      </c>
      <c r="DV194" s="14">
        <f t="shared" si="340"/>
        <v>5</v>
      </c>
      <c r="DW194" s="14">
        <f t="shared" si="326"/>
        <v>4</v>
      </c>
      <c r="DX194" s="14">
        <f t="shared" si="327"/>
        <v>10</v>
      </c>
      <c r="DY194" s="14">
        <f t="shared" si="328"/>
        <v>50</v>
      </c>
      <c r="DZ194" s="14">
        <f>INDEX(属性投放!$AX$6:$AX$85,(卡牌属性!DW194-2)*20+卡牌属性!DX194)</f>
        <v>7</v>
      </c>
      <c r="EA194" s="14">
        <f>INDEX(属性投放!BQ$6:BQ$85,卡牌属性!$DY194)</f>
        <v>200</v>
      </c>
      <c r="EB194" s="14">
        <f>INDEX(属性投放!BR$6:BR$85,卡牌属性!$DY194)</f>
        <v>100</v>
      </c>
      <c r="EC194" s="14">
        <f>INDEX(属性投放!BS$6:BS$85,卡牌属性!$DY194)</f>
        <v>1800</v>
      </c>
      <c r="ED194" s="14">
        <f t="shared" si="446"/>
        <v>2655</v>
      </c>
      <c r="EE194" s="14">
        <f t="shared" si="447"/>
        <v>2875</v>
      </c>
      <c r="EF194" s="14">
        <f t="shared" si="448"/>
        <v>3335</v>
      </c>
      <c r="EG194" s="14">
        <f t="shared" si="449"/>
        <v>3335</v>
      </c>
      <c r="EH194" s="14">
        <f t="shared" si="450"/>
        <v>3905</v>
      </c>
      <c r="EI194" s="14">
        <f t="shared" si="451"/>
        <v>992</v>
      </c>
      <c r="EJ194" s="14">
        <f t="shared" si="452"/>
        <v>1202</v>
      </c>
      <c r="EK194" s="14">
        <f t="shared" si="453"/>
        <v>1202</v>
      </c>
      <c r="EL194" s="14">
        <f t="shared" si="454"/>
        <v>1291</v>
      </c>
      <c r="EM194" s="14">
        <f t="shared" si="455"/>
        <v>1402</v>
      </c>
      <c r="EN194" s="14">
        <f t="shared" si="456"/>
        <v>13410</v>
      </c>
      <c r="EO194" s="14">
        <f t="shared" si="457"/>
        <v>14146</v>
      </c>
      <c r="EP194" s="14">
        <f t="shared" si="458"/>
        <v>14146</v>
      </c>
      <c r="EQ194" s="14">
        <f t="shared" si="459"/>
        <v>17078</v>
      </c>
      <c r="ER194" s="14">
        <f t="shared" si="460"/>
        <v>18282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180</v>
      </c>
      <c r="FD194" s="14">
        <f>INDEX(属性偏向!$U$4:$U$243,(卡牌属性!$DV194-1+FD$3)*20+卡牌属性!$DX194)</f>
        <v>189</v>
      </c>
      <c r="FE194" s="14">
        <f>INDEX(属性偏向!$U$4:$U$243,(卡牌属性!$DV194-1+FE$3)*20+卡牌属性!$DX194)</f>
        <v>189</v>
      </c>
      <c r="FF194" s="14">
        <f>INDEX(属性偏向!$U$4:$U$243,(卡牌属性!$DV194-1+FF$3)*20+卡牌属性!$DX194)</f>
        <v>270</v>
      </c>
      <c r="FG194" s="14">
        <f>INDEX(属性偏向!$U$4:$U$243,(卡牌属性!$DV194-1+FG$3)*20+卡牌属性!$DX194)</f>
        <v>315</v>
      </c>
      <c r="FH194" s="14">
        <f>INDEX(属性投放!$BQ$6:$BQ$85,(卡牌属性!$DW194-2)*20+卡牌属性!$DX194)</f>
        <v>200</v>
      </c>
      <c r="FI194" s="14">
        <f>INDEX(属性投放!$BQ$6:$BQ$85,(卡牌属性!$DW194-2)*20+卡牌属性!$DX194)</f>
        <v>200</v>
      </c>
      <c r="FJ194" s="14">
        <f>INDEX(属性投放!$BQ$6:$BQ$85,(卡牌属性!$DW194-2)*20+卡牌属性!$DX194)</f>
        <v>200</v>
      </c>
      <c r="FK194" s="14">
        <f>INDEX(属性投放!$BQ$6:$BQ$85,(卡牌属性!$DW194-2)*20+卡牌属性!$DX194)</f>
        <v>200</v>
      </c>
      <c r="FL194" s="14">
        <f>INDEX(属性投放!$BQ$6:$BQ$85,(卡牌属性!$DW194-2)*20+卡牌属性!$DX194)</f>
        <v>200</v>
      </c>
      <c r="FM194" s="14">
        <f>INDEX(属性投放!$BR$6:$BR$85,(卡牌属性!$DW194-2)*20+卡牌属性!$DX194)</f>
        <v>100</v>
      </c>
      <c r="FN194" s="14">
        <f>INDEX(属性投放!$BR$6:$BR$85,(卡牌属性!$DW194-2)*20+卡牌属性!$DX194)</f>
        <v>100</v>
      </c>
      <c r="FO194" s="14">
        <f>INDEX(属性投放!$BR$6:$BR$85,(卡牌属性!$DW194-2)*20+卡牌属性!$DX194)</f>
        <v>100</v>
      </c>
      <c r="FP194" s="14">
        <f>INDEX(属性投放!$BR$6:$BR$85,(卡牌属性!$DW194-2)*20+卡牌属性!$DX194)</f>
        <v>100</v>
      </c>
      <c r="FQ194" s="14">
        <f>INDEX(属性投放!$BR$6:$BR$85,(卡牌属性!$DW194-2)*20+卡牌属性!$DX194)</f>
        <v>100</v>
      </c>
      <c r="FR194" s="14">
        <f>INDEX(属性投放!$BS$6:$BS$85,(卡牌属性!$DW194-2)*20+卡牌属性!$DX194)</f>
        <v>1800</v>
      </c>
      <c r="FS194" s="14">
        <f>INDEX(属性投放!$BS$6:$BS$85,(卡牌属性!$DW194-2)*20+卡牌属性!$DX194)</f>
        <v>1800</v>
      </c>
      <c r="FT194" s="14">
        <f>INDEX(属性投放!$BS$6:$BS$85,(卡牌属性!$DW194-2)*20+卡牌属性!$DX194)</f>
        <v>1800</v>
      </c>
      <c r="FU194" s="14">
        <f>INDEX(属性投放!$BS$6:$BS$85,(卡牌属性!$DW194-2)*20+卡牌属性!$DX194)</f>
        <v>1800</v>
      </c>
      <c r="FV194" s="14">
        <f>INDEX(属性投放!$BS$6:$BS$85,(卡牌属性!$DW194-2)*20+卡牌属性!$DX194)</f>
        <v>1800</v>
      </c>
    </row>
    <row r="195" spans="31:178" ht="16.5" x14ac:dyDescent="0.2">
      <c r="AE195" s="13">
        <v>191</v>
      </c>
      <c r="AF195" s="13">
        <f t="shared" si="331"/>
        <v>10</v>
      </c>
      <c r="AG195" s="13">
        <f t="shared" si="316"/>
        <v>4</v>
      </c>
      <c r="AH195" s="13"/>
      <c r="AI195" s="13"/>
      <c r="AJ195" s="14">
        <f t="shared" si="317"/>
        <v>1101010</v>
      </c>
      <c r="AK195" s="14" t="str">
        <f t="shared" si="318"/>
        <v>盖文11突</v>
      </c>
      <c r="AL195" s="25" t="s">
        <v>142</v>
      </c>
      <c r="AM195" s="14">
        <v>1</v>
      </c>
      <c r="AN195" s="14">
        <f t="shared" si="319"/>
        <v>11</v>
      </c>
      <c r="AO195" s="14">
        <f>INDEX(属性投放!$DF$6:$DF$85,(卡牌属性!AG195-2)*20+卡牌属性!AN195)</f>
        <v>3661</v>
      </c>
      <c r="AP195" s="14">
        <f t="shared" si="440"/>
        <v>3661</v>
      </c>
      <c r="AQ195" s="14">
        <f t="shared" si="440"/>
        <v>3661</v>
      </c>
      <c r="AR195" s="14">
        <f t="shared" si="440"/>
        <v>3661</v>
      </c>
      <c r="AS195" s="14">
        <f t="shared" si="440"/>
        <v>3661</v>
      </c>
      <c r="AT195" s="14">
        <f>INDEX(属性投放!$DG$6:$DG$85,(卡牌属性!AG195-2)*20+卡牌属性!AN195)</f>
        <v>1760</v>
      </c>
      <c r="AU195" s="14">
        <f t="shared" si="441"/>
        <v>1760</v>
      </c>
      <c r="AV195" s="14">
        <f t="shared" si="441"/>
        <v>1760</v>
      </c>
      <c r="AW195" s="14">
        <f t="shared" si="441"/>
        <v>1760</v>
      </c>
      <c r="AX195" s="14">
        <f t="shared" si="441"/>
        <v>1760</v>
      </c>
      <c r="AY195" s="14">
        <f>INDEX(属性投放!$DH$6:$DH$85,(卡牌属性!AG195-2)*20+卡牌属性!AN195)</f>
        <v>26309</v>
      </c>
      <c r="AZ195" s="14">
        <f t="shared" si="442"/>
        <v>26309</v>
      </c>
      <c r="BA195" s="14">
        <f t="shared" si="442"/>
        <v>26309</v>
      </c>
      <c r="BB195" s="14">
        <f t="shared" si="442"/>
        <v>26309</v>
      </c>
      <c r="BC195" s="14">
        <f t="shared" si="442"/>
        <v>26309</v>
      </c>
      <c r="BD195" s="14">
        <f>INDEX(属性投放!$DL$6:$DL$85,(卡牌属性!AG195-2)*20+卡牌属性!AN195)</f>
        <v>110</v>
      </c>
      <c r="BE195" s="14">
        <f t="shared" si="443"/>
        <v>110</v>
      </c>
      <c r="BF195" s="14">
        <f t="shared" si="443"/>
        <v>110</v>
      </c>
      <c r="BG195" s="14">
        <f t="shared" si="443"/>
        <v>110</v>
      </c>
      <c r="BH195" s="14">
        <f t="shared" si="443"/>
        <v>110</v>
      </c>
      <c r="BI195" s="14">
        <f>INDEX(属性投放!$DM$6:$DM$85,(卡牌属性!AG195-2)*20+卡牌属性!AN195)</f>
        <v>55</v>
      </c>
      <c r="BJ195" s="14">
        <f t="shared" si="444"/>
        <v>55</v>
      </c>
      <c r="BK195" s="14">
        <f t="shared" si="444"/>
        <v>55</v>
      </c>
      <c r="BL195" s="14">
        <f t="shared" si="444"/>
        <v>55</v>
      </c>
      <c r="BM195" s="14">
        <f t="shared" si="444"/>
        <v>55</v>
      </c>
      <c r="BN195" s="14">
        <f>INDEX(属性投放!$DN$6:$DN$85,(卡牌属性!AG195-2)*20+卡牌属性!AN195)</f>
        <v>988</v>
      </c>
      <c r="BO195" s="14">
        <f t="shared" si="445"/>
        <v>988</v>
      </c>
      <c r="BP195" s="14">
        <f t="shared" si="445"/>
        <v>988</v>
      </c>
      <c r="BQ195" s="14">
        <f t="shared" si="445"/>
        <v>988</v>
      </c>
      <c r="BR195" s="14">
        <f t="shared" si="445"/>
        <v>988</v>
      </c>
      <c r="BW195" s="13">
        <v>191</v>
      </c>
      <c r="BX195" s="13">
        <f t="shared" si="320"/>
        <v>10</v>
      </c>
      <c r="BY195" s="14">
        <f t="shared" si="321"/>
        <v>4</v>
      </c>
      <c r="BZ195" s="14">
        <f t="shared" si="332"/>
        <v>1102010</v>
      </c>
      <c r="CA195" s="14" t="str">
        <f t="shared" si="333"/>
        <v>张郃11突</v>
      </c>
      <c r="CB195" s="25" t="s">
        <v>142</v>
      </c>
      <c r="CC195" s="14">
        <v>2</v>
      </c>
      <c r="CD195" s="14">
        <f t="shared" si="322"/>
        <v>11</v>
      </c>
      <c r="CE195" s="14" t="s">
        <v>21</v>
      </c>
      <c r="CF195" s="14">
        <f>INDEX(属性投放!$AZ$6:$AZ$85,(BY195-2)*20+CD195)</f>
        <v>4443</v>
      </c>
      <c r="CG195" s="14" t="s">
        <v>22</v>
      </c>
      <c r="CH195" s="14">
        <f>INDEX(属性投放!$BA$6:$BA$85,(BY195-2)*20+CD195)</f>
        <v>2172</v>
      </c>
      <c r="CI195" s="14" t="s">
        <v>510</v>
      </c>
      <c r="CJ195" s="14">
        <f>INDEX(属性投放!$BB$6:$BB$85,(BY195-2)*20+CD195)</f>
        <v>33088</v>
      </c>
      <c r="CK195" s="14" t="s">
        <v>21</v>
      </c>
      <c r="CL195" s="14">
        <f>INDEX(属性投放!$BC$6:$BC$85,(BY195-2)*20+CD195)</f>
        <v>30</v>
      </c>
      <c r="CM195" s="14" t="s">
        <v>22</v>
      </c>
      <c r="CN195" s="14">
        <f>INDEX(属性投放!$BD$6:$BD$85,(BY195-2)*20+CD195)</f>
        <v>15</v>
      </c>
      <c r="CO195" s="14" t="s">
        <v>510</v>
      </c>
      <c r="CP195" s="14">
        <f>INDEX(属性投放!$BE$6:$BE$85,(BY195-2)*20+CD195)</f>
        <v>270</v>
      </c>
      <c r="CS195" s="13">
        <v>191</v>
      </c>
      <c r="CT195" s="13">
        <f t="shared" si="334"/>
        <v>4</v>
      </c>
      <c r="CU195" s="13">
        <f t="shared" si="335"/>
        <v>35</v>
      </c>
      <c r="CV195" s="14">
        <f t="shared" si="336"/>
        <v>2</v>
      </c>
      <c r="CW195" s="14">
        <f t="shared" si="337"/>
        <v>1102004</v>
      </c>
      <c r="CX195" s="14" t="str">
        <f>INDEX($O$6:$O$50,CT195)&amp;"-"&amp;INDEX(属性投放!$AB$7:$AB$50,CZ195)&amp;"-魂火-"&amp;DB195</f>
        <v>唐流雨-焦热+2-魂火-2</v>
      </c>
      <c r="CY195" s="25" t="s">
        <v>142</v>
      </c>
      <c r="CZ195" s="14">
        <f>INDEX(属性投放!$AM$7:$AM$58,CU195)</f>
        <v>15</v>
      </c>
      <c r="DA195" s="14" t="s">
        <v>537</v>
      </c>
      <c r="DB195" s="14">
        <f>INDEX(属性投放!$AN$7:$AN$58,CU195)</f>
        <v>2</v>
      </c>
      <c r="DC195" s="14">
        <f t="shared" si="323"/>
        <v>35</v>
      </c>
      <c r="DD195" s="14">
        <f>INDEX(属性投放!$AO$7:$AO$58,DC195)</f>
        <v>105</v>
      </c>
      <c r="DE195" s="14" t="s">
        <v>538</v>
      </c>
      <c r="DF195" s="14">
        <f>INDEX(属性投放!$BK$6:$BK$85,(CV195-2)*20+CZ195)</f>
        <v>350</v>
      </c>
      <c r="DG195" s="14">
        <f>SUMIFS(DF$5:DF195,$CT$5:$CT195,"="&amp;$CT195)</f>
        <v>4175</v>
      </c>
      <c r="DH195" s="14" t="s">
        <v>539</v>
      </c>
      <c r="DI195" s="14">
        <f>INDEX(属性投放!$BL$6:$BL$85,(CV195-2)*20+CZ195)</f>
        <v>175</v>
      </c>
      <c r="DJ195" s="14">
        <f>SUMIFS(DI$5:DI195,$CT$5:$CT195,"="&amp;$CT195)</f>
        <v>2091</v>
      </c>
      <c r="DK195" s="14" t="s">
        <v>540</v>
      </c>
      <c r="DL195" s="14">
        <f>INDEX(属性投放!$BM$6:$BM$85,(CV195-2)*20+CZ195)</f>
        <v>3500</v>
      </c>
      <c r="DM195" s="14">
        <f>SUMIFS(DL$5:DL195,$CT$5:$CT195,"="&amp;$CT195)</f>
        <v>38520</v>
      </c>
      <c r="DR195" s="14">
        <f t="shared" si="324"/>
        <v>1102010</v>
      </c>
      <c r="DS195" s="14" t="str">
        <f t="shared" si="325"/>
        <v>张郃11突</v>
      </c>
      <c r="DT195" s="14">
        <f t="shared" si="338"/>
        <v>8</v>
      </c>
      <c r="DU195" s="14">
        <f t="shared" si="339"/>
        <v>6</v>
      </c>
      <c r="DV195" s="14">
        <f t="shared" si="340"/>
        <v>5</v>
      </c>
      <c r="DW195" s="14">
        <f t="shared" si="326"/>
        <v>4</v>
      </c>
      <c r="DX195" s="14">
        <f t="shared" si="327"/>
        <v>11</v>
      </c>
      <c r="DY195" s="14">
        <f t="shared" si="328"/>
        <v>51</v>
      </c>
      <c r="DZ195" s="14">
        <f>INDEX(属性投放!$AX$6:$AX$85,(卡牌属性!DW195-2)*20+卡牌属性!DX195)</f>
        <v>8</v>
      </c>
      <c r="EA195" s="14">
        <f>INDEX(属性投放!BQ$6:BQ$85,卡牌属性!$DY195)</f>
        <v>300</v>
      </c>
      <c r="EB195" s="14">
        <f>INDEX(属性投放!BR$6:BR$85,卡牌属性!$DY195)</f>
        <v>150</v>
      </c>
      <c r="EC195" s="14">
        <f>INDEX(属性投放!BS$6:BS$85,卡牌属性!$DY195)</f>
        <v>2700</v>
      </c>
      <c r="ED195" s="14">
        <f t="shared" si="446"/>
        <v>3100</v>
      </c>
      <c r="EE195" s="14">
        <f t="shared" si="447"/>
        <v>3355</v>
      </c>
      <c r="EF195" s="14">
        <f t="shared" si="448"/>
        <v>3885</v>
      </c>
      <c r="EG195" s="14">
        <f t="shared" si="449"/>
        <v>3885</v>
      </c>
      <c r="EH195" s="14">
        <f t="shared" si="450"/>
        <v>4630</v>
      </c>
      <c r="EI195" s="14">
        <f t="shared" si="451"/>
        <v>1169</v>
      </c>
      <c r="EJ195" s="14">
        <f t="shared" si="452"/>
        <v>1407</v>
      </c>
      <c r="EK195" s="14">
        <f t="shared" si="453"/>
        <v>1407</v>
      </c>
      <c r="EL195" s="14">
        <f t="shared" si="454"/>
        <v>1517</v>
      </c>
      <c r="EM195" s="14">
        <f t="shared" si="455"/>
        <v>1642</v>
      </c>
      <c r="EN195" s="14">
        <f t="shared" si="456"/>
        <v>16470</v>
      </c>
      <c r="EO195" s="14">
        <f t="shared" si="457"/>
        <v>17269</v>
      </c>
      <c r="EP195" s="14">
        <f t="shared" si="458"/>
        <v>17269</v>
      </c>
      <c r="EQ195" s="14">
        <f t="shared" si="459"/>
        <v>20768</v>
      </c>
      <c r="ER195" s="14">
        <f t="shared" si="460"/>
        <v>22287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180</v>
      </c>
      <c r="FD195" s="14">
        <f>INDEX(属性偏向!$U$4:$U$243,(卡牌属性!$DV195-1+FD$3)*20+卡牌属性!$DX195)</f>
        <v>189</v>
      </c>
      <c r="FE195" s="14">
        <f>INDEX(属性偏向!$U$4:$U$243,(卡牌属性!$DV195-1+FE$3)*20+卡牌属性!$DX195)</f>
        <v>189</v>
      </c>
      <c r="FF195" s="14">
        <f>INDEX(属性偏向!$U$4:$U$243,(卡牌属性!$DV195-1+FF$3)*20+卡牌属性!$DX195)</f>
        <v>270</v>
      </c>
      <c r="FG195" s="14">
        <f>INDEX(属性偏向!$U$4:$U$243,(卡牌属性!$DV195-1+FG$3)*20+卡牌属性!$DX195)</f>
        <v>315</v>
      </c>
      <c r="FH195" s="14">
        <f>INDEX(属性投放!$BQ$6:$BQ$85,(卡牌属性!$DW195-2)*20+卡牌属性!$DX195)</f>
        <v>300</v>
      </c>
      <c r="FI195" s="14">
        <f>INDEX(属性投放!$BQ$6:$BQ$85,(卡牌属性!$DW195-2)*20+卡牌属性!$DX195)</f>
        <v>300</v>
      </c>
      <c r="FJ195" s="14">
        <f>INDEX(属性投放!$BQ$6:$BQ$85,(卡牌属性!$DW195-2)*20+卡牌属性!$DX195)</f>
        <v>300</v>
      </c>
      <c r="FK195" s="14">
        <f>INDEX(属性投放!$BQ$6:$BQ$85,(卡牌属性!$DW195-2)*20+卡牌属性!$DX195)</f>
        <v>300</v>
      </c>
      <c r="FL195" s="14">
        <f>INDEX(属性投放!$BQ$6:$BQ$85,(卡牌属性!$DW195-2)*20+卡牌属性!$DX195)</f>
        <v>300</v>
      </c>
      <c r="FM195" s="14">
        <f>INDEX(属性投放!$BR$6:$BR$85,(卡牌属性!$DW195-2)*20+卡牌属性!$DX195)</f>
        <v>150</v>
      </c>
      <c r="FN195" s="14">
        <f>INDEX(属性投放!$BR$6:$BR$85,(卡牌属性!$DW195-2)*20+卡牌属性!$DX195)</f>
        <v>150</v>
      </c>
      <c r="FO195" s="14">
        <f>INDEX(属性投放!$BR$6:$BR$85,(卡牌属性!$DW195-2)*20+卡牌属性!$DX195)</f>
        <v>150</v>
      </c>
      <c r="FP195" s="14">
        <f>INDEX(属性投放!$BR$6:$BR$85,(卡牌属性!$DW195-2)*20+卡牌属性!$DX195)</f>
        <v>150</v>
      </c>
      <c r="FQ195" s="14">
        <f>INDEX(属性投放!$BR$6:$BR$85,(卡牌属性!$DW195-2)*20+卡牌属性!$DX195)</f>
        <v>150</v>
      </c>
      <c r="FR195" s="14">
        <f>INDEX(属性投放!$BS$6:$BS$85,(卡牌属性!$DW195-2)*20+卡牌属性!$DX195)</f>
        <v>2700</v>
      </c>
      <c r="FS195" s="14">
        <f>INDEX(属性投放!$BS$6:$BS$85,(卡牌属性!$DW195-2)*20+卡牌属性!$DX195)</f>
        <v>2700</v>
      </c>
      <c r="FT195" s="14">
        <f>INDEX(属性投放!$BS$6:$BS$85,(卡牌属性!$DW195-2)*20+卡牌属性!$DX195)</f>
        <v>2700</v>
      </c>
      <c r="FU195" s="14">
        <f>INDEX(属性投放!$BS$6:$BS$85,(卡牌属性!$DW195-2)*20+卡牌属性!$DX195)</f>
        <v>2700</v>
      </c>
      <c r="FV195" s="14">
        <f>INDEX(属性投放!$BS$6:$BS$85,(卡牌属性!$DW195-2)*20+卡牌属性!$DX195)</f>
        <v>2700</v>
      </c>
    </row>
    <row r="196" spans="31:178" ht="16.5" x14ac:dyDescent="0.2">
      <c r="AE196" s="13">
        <v>192</v>
      </c>
      <c r="AF196" s="13">
        <f t="shared" si="331"/>
        <v>10</v>
      </c>
      <c r="AG196" s="13">
        <f t="shared" si="316"/>
        <v>4</v>
      </c>
      <c r="AH196" s="13"/>
      <c r="AI196" s="13"/>
      <c r="AJ196" s="14">
        <f t="shared" si="317"/>
        <v>1101010</v>
      </c>
      <c r="AK196" s="14" t="str">
        <f t="shared" si="318"/>
        <v>盖文12突</v>
      </c>
      <c r="AL196" s="25" t="s">
        <v>142</v>
      </c>
      <c r="AM196" s="14">
        <v>1</v>
      </c>
      <c r="AN196" s="14">
        <f t="shared" si="319"/>
        <v>12</v>
      </c>
      <c r="AO196" s="14">
        <f>INDEX(属性投放!$DF$6:$DF$85,(卡牌属性!AG196-2)*20+卡牌属性!AN196)</f>
        <v>3975</v>
      </c>
      <c r="AP196" s="14">
        <f t="shared" si="440"/>
        <v>3975</v>
      </c>
      <c r="AQ196" s="14">
        <f t="shared" si="440"/>
        <v>3975</v>
      </c>
      <c r="AR196" s="14">
        <f t="shared" si="440"/>
        <v>3975</v>
      </c>
      <c r="AS196" s="14">
        <f t="shared" si="440"/>
        <v>3975</v>
      </c>
      <c r="AT196" s="14">
        <f>INDEX(属性投放!$DG$6:$DG$85,(卡牌属性!AG196-2)*20+卡牌属性!AN196)</f>
        <v>1917</v>
      </c>
      <c r="AU196" s="14">
        <f t="shared" si="441"/>
        <v>1917</v>
      </c>
      <c r="AV196" s="14">
        <f t="shared" si="441"/>
        <v>1917</v>
      </c>
      <c r="AW196" s="14">
        <f t="shared" si="441"/>
        <v>1917</v>
      </c>
      <c r="AX196" s="14">
        <f t="shared" si="441"/>
        <v>1917</v>
      </c>
      <c r="AY196" s="14">
        <f>INDEX(属性投放!$DH$6:$DH$85,(卡牌属性!AG196-2)*20+卡牌属性!AN196)</f>
        <v>29131</v>
      </c>
      <c r="AZ196" s="14">
        <f t="shared" si="442"/>
        <v>29131</v>
      </c>
      <c r="BA196" s="14">
        <f t="shared" si="442"/>
        <v>29131</v>
      </c>
      <c r="BB196" s="14">
        <f t="shared" si="442"/>
        <v>29131</v>
      </c>
      <c r="BC196" s="14">
        <f t="shared" si="442"/>
        <v>29131</v>
      </c>
      <c r="BD196" s="14">
        <f>INDEX(属性投放!$DL$6:$DL$85,(卡牌属性!AG196-2)*20+卡牌属性!AN196)</f>
        <v>110</v>
      </c>
      <c r="BE196" s="14">
        <f t="shared" si="443"/>
        <v>110</v>
      </c>
      <c r="BF196" s="14">
        <f t="shared" si="443"/>
        <v>110</v>
      </c>
      <c r="BG196" s="14">
        <f t="shared" si="443"/>
        <v>110</v>
      </c>
      <c r="BH196" s="14">
        <f t="shared" si="443"/>
        <v>110</v>
      </c>
      <c r="BI196" s="14">
        <f>INDEX(属性投放!$DM$6:$DM$85,(卡牌属性!AG196-2)*20+卡牌属性!AN196)</f>
        <v>55</v>
      </c>
      <c r="BJ196" s="14">
        <f t="shared" si="444"/>
        <v>55</v>
      </c>
      <c r="BK196" s="14">
        <f t="shared" si="444"/>
        <v>55</v>
      </c>
      <c r="BL196" s="14">
        <f t="shared" si="444"/>
        <v>55</v>
      </c>
      <c r="BM196" s="14">
        <f t="shared" si="444"/>
        <v>55</v>
      </c>
      <c r="BN196" s="14">
        <f>INDEX(属性投放!$DN$6:$DN$85,(卡牌属性!AG196-2)*20+卡牌属性!AN196)</f>
        <v>988</v>
      </c>
      <c r="BO196" s="14">
        <f t="shared" si="445"/>
        <v>988</v>
      </c>
      <c r="BP196" s="14">
        <f t="shared" si="445"/>
        <v>988</v>
      </c>
      <c r="BQ196" s="14">
        <f t="shared" si="445"/>
        <v>988</v>
      </c>
      <c r="BR196" s="14">
        <f t="shared" si="445"/>
        <v>988</v>
      </c>
      <c r="BW196" s="13">
        <v>192</v>
      </c>
      <c r="BX196" s="13">
        <f t="shared" si="320"/>
        <v>10</v>
      </c>
      <c r="BY196" s="14">
        <f t="shared" si="321"/>
        <v>4</v>
      </c>
      <c r="BZ196" s="14">
        <f t="shared" si="332"/>
        <v>1102010</v>
      </c>
      <c r="CA196" s="14" t="str">
        <f t="shared" si="333"/>
        <v>张郃12突</v>
      </c>
      <c r="CB196" s="25" t="s">
        <v>142</v>
      </c>
      <c r="CC196" s="14">
        <v>2</v>
      </c>
      <c r="CD196" s="14">
        <f t="shared" si="322"/>
        <v>12</v>
      </c>
      <c r="CE196" s="14" t="s">
        <v>21</v>
      </c>
      <c r="CF196" s="14">
        <f>INDEX(属性投放!$AZ$6:$AZ$85,(BY196-2)*20+CD196)</f>
        <v>5493</v>
      </c>
      <c r="CG196" s="14" t="s">
        <v>22</v>
      </c>
      <c r="CH196" s="14">
        <f>INDEX(属性投放!$BA$6:$BA$85,(BY196-2)*20+CD196)</f>
        <v>2697</v>
      </c>
      <c r="CI196" s="14" t="s">
        <v>510</v>
      </c>
      <c r="CJ196" s="14">
        <f>INDEX(属性投放!$BB$6:$BB$85,(BY196-2)*20+CD196)</f>
        <v>42538</v>
      </c>
      <c r="CK196" s="14" t="s">
        <v>21</v>
      </c>
      <c r="CL196" s="14">
        <f>INDEX(属性投放!$BC$6:$BC$85,(BY196-2)*20+CD196)</f>
        <v>30</v>
      </c>
      <c r="CM196" s="14" t="s">
        <v>22</v>
      </c>
      <c r="CN196" s="14">
        <f>INDEX(属性投放!$BD$6:$BD$85,(BY196-2)*20+CD196)</f>
        <v>15</v>
      </c>
      <c r="CO196" s="14" t="s">
        <v>510</v>
      </c>
      <c r="CP196" s="14">
        <f>INDEX(属性投放!$BE$6:$BE$85,(BY196-2)*20+CD196)</f>
        <v>270</v>
      </c>
      <c r="CS196" s="13">
        <v>192</v>
      </c>
      <c r="CT196" s="13">
        <f t="shared" si="334"/>
        <v>4</v>
      </c>
      <c r="CU196" s="13">
        <f t="shared" si="335"/>
        <v>36</v>
      </c>
      <c r="CV196" s="14">
        <f t="shared" si="336"/>
        <v>2</v>
      </c>
      <c r="CW196" s="14">
        <f t="shared" si="337"/>
        <v>1102004</v>
      </c>
      <c r="CX196" s="14" t="str">
        <f>INDEX($O$6:$O$50,CT196)&amp;"-"&amp;INDEX(属性投放!$AB$7:$AB$50,CZ196)&amp;"-魂火-"&amp;DB196</f>
        <v>唐流雨-焦热+2-魂火-3</v>
      </c>
      <c r="CY196" s="25" t="s">
        <v>142</v>
      </c>
      <c r="CZ196" s="14">
        <f>INDEX(属性投放!$AM$7:$AM$58,CU196)</f>
        <v>15</v>
      </c>
      <c r="DA196" s="14" t="s">
        <v>537</v>
      </c>
      <c r="DB196" s="14">
        <f>INDEX(属性投放!$AN$7:$AN$58,CU196)</f>
        <v>3</v>
      </c>
      <c r="DC196" s="14">
        <f t="shared" si="323"/>
        <v>36</v>
      </c>
      <c r="DD196" s="14">
        <f>INDEX(属性投放!$AO$7:$AO$58,DC196)</f>
        <v>108</v>
      </c>
      <c r="DE196" s="14" t="s">
        <v>538</v>
      </c>
      <c r="DF196" s="14">
        <f>INDEX(属性投放!$BK$6:$BK$85,(CV196-2)*20+CZ196)</f>
        <v>350</v>
      </c>
      <c r="DG196" s="14">
        <f>SUMIFS(DF$5:DF196,$CT$5:$CT196,"="&amp;$CT196)</f>
        <v>4525</v>
      </c>
      <c r="DH196" s="14" t="s">
        <v>539</v>
      </c>
      <c r="DI196" s="14">
        <f>INDEX(属性投放!$BL$6:$BL$85,(CV196-2)*20+CZ196)</f>
        <v>175</v>
      </c>
      <c r="DJ196" s="14">
        <f>SUMIFS(DI$5:DI196,$CT$5:$CT196,"="&amp;$CT196)</f>
        <v>2266</v>
      </c>
      <c r="DK196" s="14" t="s">
        <v>540</v>
      </c>
      <c r="DL196" s="14">
        <f>INDEX(属性投放!$BM$6:$BM$85,(CV196-2)*20+CZ196)</f>
        <v>3500</v>
      </c>
      <c r="DM196" s="14">
        <f>SUMIFS(DL$5:DL196,$CT$5:$CT196,"="&amp;$CT196)</f>
        <v>42020</v>
      </c>
      <c r="DR196" s="14">
        <f t="shared" si="324"/>
        <v>1102010</v>
      </c>
      <c r="DS196" s="14" t="str">
        <f t="shared" si="325"/>
        <v>张郃12突</v>
      </c>
      <c r="DT196" s="14">
        <f t="shared" si="338"/>
        <v>8</v>
      </c>
      <c r="DU196" s="14">
        <f t="shared" si="339"/>
        <v>6</v>
      </c>
      <c r="DV196" s="14">
        <f t="shared" si="340"/>
        <v>5</v>
      </c>
      <c r="DW196" s="14">
        <f t="shared" si="326"/>
        <v>4</v>
      </c>
      <c r="DX196" s="14">
        <f t="shared" si="327"/>
        <v>12</v>
      </c>
      <c r="DY196" s="14">
        <f t="shared" si="328"/>
        <v>52</v>
      </c>
      <c r="DZ196" s="14">
        <f>INDEX(属性投放!$AX$6:$AX$85,(卡牌属性!DW196-2)*20+卡牌属性!DX196)</f>
        <v>7</v>
      </c>
      <c r="EA196" s="14">
        <f>INDEX(属性投放!BQ$6:BQ$85,卡牌属性!$DY196)</f>
        <v>400</v>
      </c>
      <c r="EB196" s="14">
        <f>INDEX(属性投放!BR$6:BR$85,卡牌属性!$DY196)</f>
        <v>200</v>
      </c>
      <c r="EC196" s="14">
        <f>INDEX(属性投放!BS$6:BS$85,卡牌属性!$DY196)</f>
        <v>3600</v>
      </c>
      <c r="ED196" s="14">
        <f t="shared" si="446"/>
        <v>3680</v>
      </c>
      <c r="EE196" s="14">
        <f t="shared" si="447"/>
        <v>3975</v>
      </c>
      <c r="EF196" s="14">
        <f t="shared" si="448"/>
        <v>4585</v>
      </c>
      <c r="EG196" s="14">
        <f t="shared" si="449"/>
        <v>4585</v>
      </c>
      <c r="EH196" s="14">
        <f t="shared" si="450"/>
        <v>5530</v>
      </c>
      <c r="EI196" s="14">
        <f t="shared" si="451"/>
        <v>1407</v>
      </c>
      <c r="EJ196" s="14">
        <f t="shared" si="452"/>
        <v>1677</v>
      </c>
      <c r="EK196" s="14">
        <f t="shared" si="453"/>
        <v>1677</v>
      </c>
      <c r="EL196" s="14">
        <f t="shared" si="454"/>
        <v>1811</v>
      </c>
      <c r="EM196" s="14">
        <f t="shared" si="455"/>
        <v>1952</v>
      </c>
      <c r="EN196" s="14">
        <f t="shared" si="456"/>
        <v>20610</v>
      </c>
      <c r="EO196" s="14">
        <f t="shared" si="457"/>
        <v>21481</v>
      </c>
      <c r="EP196" s="14">
        <f t="shared" si="458"/>
        <v>21481</v>
      </c>
      <c r="EQ196" s="14">
        <f t="shared" si="459"/>
        <v>25628</v>
      </c>
      <c r="ER196" s="14">
        <f t="shared" si="460"/>
        <v>27507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180</v>
      </c>
      <c r="FD196" s="14">
        <f>INDEX(属性偏向!$U$4:$U$243,(卡牌属性!$DV196-1+FD$3)*20+卡牌属性!$DX196)</f>
        <v>189</v>
      </c>
      <c r="FE196" s="14">
        <f>INDEX(属性偏向!$U$4:$U$243,(卡牌属性!$DV196-1+FE$3)*20+卡牌属性!$DX196)</f>
        <v>189</v>
      </c>
      <c r="FF196" s="14">
        <f>INDEX(属性偏向!$U$4:$U$243,(卡牌属性!$DV196-1+FF$3)*20+卡牌属性!$DX196)</f>
        <v>270</v>
      </c>
      <c r="FG196" s="14">
        <f>INDEX(属性偏向!$U$4:$U$243,(卡牌属性!$DV196-1+FG$3)*20+卡牌属性!$DX196)</f>
        <v>315</v>
      </c>
      <c r="FH196" s="14">
        <f>INDEX(属性投放!$BQ$6:$BQ$85,(卡牌属性!$DW196-2)*20+卡牌属性!$DX196)</f>
        <v>400</v>
      </c>
      <c r="FI196" s="14">
        <f>INDEX(属性投放!$BQ$6:$BQ$85,(卡牌属性!$DW196-2)*20+卡牌属性!$DX196)</f>
        <v>400</v>
      </c>
      <c r="FJ196" s="14">
        <f>INDEX(属性投放!$BQ$6:$BQ$85,(卡牌属性!$DW196-2)*20+卡牌属性!$DX196)</f>
        <v>400</v>
      </c>
      <c r="FK196" s="14">
        <f>INDEX(属性投放!$BQ$6:$BQ$85,(卡牌属性!$DW196-2)*20+卡牌属性!$DX196)</f>
        <v>400</v>
      </c>
      <c r="FL196" s="14">
        <f>INDEX(属性投放!$BQ$6:$BQ$85,(卡牌属性!$DW196-2)*20+卡牌属性!$DX196)</f>
        <v>400</v>
      </c>
      <c r="FM196" s="14">
        <f>INDEX(属性投放!$BR$6:$BR$85,(卡牌属性!$DW196-2)*20+卡牌属性!$DX196)</f>
        <v>200</v>
      </c>
      <c r="FN196" s="14">
        <f>INDEX(属性投放!$BR$6:$BR$85,(卡牌属性!$DW196-2)*20+卡牌属性!$DX196)</f>
        <v>200</v>
      </c>
      <c r="FO196" s="14">
        <f>INDEX(属性投放!$BR$6:$BR$85,(卡牌属性!$DW196-2)*20+卡牌属性!$DX196)</f>
        <v>200</v>
      </c>
      <c r="FP196" s="14">
        <f>INDEX(属性投放!$BR$6:$BR$85,(卡牌属性!$DW196-2)*20+卡牌属性!$DX196)</f>
        <v>200</v>
      </c>
      <c r="FQ196" s="14">
        <f>INDEX(属性投放!$BR$6:$BR$85,(卡牌属性!$DW196-2)*20+卡牌属性!$DX196)</f>
        <v>200</v>
      </c>
      <c r="FR196" s="14">
        <f>INDEX(属性投放!$BS$6:$BS$85,(卡牌属性!$DW196-2)*20+卡牌属性!$DX196)</f>
        <v>3600</v>
      </c>
      <c r="FS196" s="14">
        <f>INDEX(属性投放!$BS$6:$BS$85,(卡牌属性!$DW196-2)*20+卡牌属性!$DX196)</f>
        <v>3600</v>
      </c>
      <c r="FT196" s="14">
        <f>INDEX(属性投放!$BS$6:$BS$85,(卡牌属性!$DW196-2)*20+卡牌属性!$DX196)</f>
        <v>3600</v>
      </c>
      <c r="FU196" s="14">
        <f>INDEX(属性投放!$BS$6:$BS$85,(卡牌属性!$DW196-2)*20+卡牌属性!$DX196)</f>
        <v>3600</v>
      </c>
      <c r="FV196" s="14">
        <f>INDEX(属性投放!$BS$6:$BS$85,(卡牌属性!$DW196-2)*20+卡牌属性!$DX196)</f>
        <v>3600</v>
      </c>
    </row>
    <row r="197" spans="31:178" ht="16.5" x14ac:dyDescent="0.2">
      <c r="AE197" s="13">
        <v>193</v>
      </c>
      <c r="AF197" s="13">
        <f t="shared" si="331"/>
        <v>10</v>
      </c>
      <c r="AG197" s="13">
        <f t="shared" ref="AG197:AG260" si="461">INDEX($D$6:$D$43,AF197)</f>
        <v>4</v>
      </c>
      <c r="AH197" s="13"/>
      <c r="AI197" s="13"/>
      <c r="AJ197" s="14">
        <f t="shared" ref="AJ197:AJ260" si="462">INDEX($A$5:$A$43,AF197+1)</f>
        <v>1101010</v>
      </c>
      <c r="AK197" s="14" t="str">
        <f t="shared" ref="AK197:AK260" si="463">INDEX($B$5:$B$43,MATCH(AJ197,$A$5:$A$43,0))&amp;AN197&amp;"突"</f>
        <v>盖文13突</v>
      </c>
      <c r="AL197" s="25" t="s">
        <v>142</v>
      </c>
      <c r="AM197" s="14">
        <v>1</v>
      </c>
      <c r="AN197" s="14">
        <f t="shared" ref="AN197:AN260" si="464">AE197-INDEX($F$5:$F$43,AF197)</f>
        <v>13</v>
      </c>
      <c r="AO197" s="14">
        <f>INDEX(属性投放!$DF$6:$DF$85,(卡牌属性!AG197-2)*20+卡牌属性!AN197)</f>
        <v>7039</v>
      </c>
      <c r="AP197" s="14">
        <f t="shared" si="440"/>
        <v>7039</v>
      </c>
      <c r="AQ197" s="14">
        <f t="shared" si="440"/>
        <v>7039</v>
      </c>
      <c r="AR197" s="14">
        <f t="shared" si="440"/>
        <v>7039</v>
      </c>
      <c r="AS197" s="14">
        <f t="shared" si="440"/>
        <v>7039</v>
      </c>
      <c r="AT197" s="14">
        <f>INDEX(属性投放!$DG$6:$DG$85,(卡牌属性!AG197-2)*20+卡牌属性!AN197)</f>
        <v>3449</v>
      </c>
      <c r="AU197" s="14">
        <f t="shared" si="441"/>
        <v>3449</v>
      </c>
      <c r="AV197" s="14">
        <f t="shared" si="441"/>
        <v>3449</v>
      </c>
      <c r="AW197" s="14">
        <f t="shared" si="441"/>
        <v>3449</v>
      </c>
      <c r="AX197" s="14">
        <f t="shared" si="441"/>
        <v>3449</v>
      </c>
      <c r="AY197" s="14">
        <f>INDEX(属性投放!$DH$6:$DH$85,(卡牌属性!AG197-2)*20+卡牌属性!AN197)</f>
        <v>56653</v>
      </c>
      <c r="AZ197" s="14">
        <f t="shared" si="442"/>
        <v>56653</v>
      </c>
      <c r="BA197" s="14">
        <f t="shared" si="442"/>
        <v>56653</v>
      </c>
      <c r="BB197" s="14">
        <f t="shared" si="442"/>
        <v>56653</v>
      </c>
      <c r="BC197" s="14">
        <f t="shared" si="442"/>
        <v>56653</v>
      </c>
      <c r="BD197" s="14">
        <f>INDEX(属性投放!$DL$6:$DL$85,(卡牌属性!AG197-2)*20+卡牌属性!AN197)</f>
        <v>203</v>
      </c>
      <c r="BE197" s="14">
        <f t="shared" si="443"/>
        <v>203</v>
      </c>
      <c r="BF197" s="14">
        <f t="shared" si="443"/>
        <v>203</v>
      </c>
      <c r="BG197" s="14">
        <f t="shared" si="443"/>
        <v>203</v>
      </c>
      <c r="BH197" s="14">
        <f t="shared" si="443"/>
        <v>203</v>
      </c>
      <c r="BI197" s="14">
        <f>INDEX(属性投放!$DM$6:$DM$85,(卡牌属性!AG197-2)*20+卡牌属性!AN197)</f>
        <v>101</v>
      </c>
      <c r="BJ197" s="14">
        <f t="shared" si="444"/>
        <v>101</v>
      </c>
      <c r="BK197" s="14">
        <f t="shared" si="444"/>
        <v>101</v>
      </c>
      <c r="BL197" s="14">
        <f t="shared" si="444"/>
        <v>101</v>
      </c>
      <c r="BM197" s="14">
        <f t="shared" si="444"/>
        <v>101</v>
      </c>
      <c r="BN197" s="14">
        <f>INDEX(属性投放!$DN$6:$DN$85,(卡牌属性!AG197-2)*20+卡牌属性!AN197)</f>
        <v>2027</v>
      </c>
      <c r="BO197" s="14">
        <f t="shared" si="445"/>
        <v>2027</v>
      </c>
      <c r="BP197" s="14">
        <f t="shared" si="445"/>
        <v>2027</v>
      </c>
      <c r="BQ197" s="14">
        <f t="shared" si="445"/>
        <v>2027</v>
      </c>
      <c r="BR197" s="14">
        <f t="shared" si="445"/>
        <v>2027</v>
      </c>
      <c r="BW197" s="13">
        <v>193</v>
      </c>
      <c r="BX197" s="13">
        <f t="shared" ref="BX197:BX260" si="465">MATCH(BW197-1,$S$5:$S$43,1)</f>
        <v>10</v>
      </c>
      <c r="BY197" s="14">
        <f t="shared" ref="BY197:BY260" si="466">INDEX($Q$6:$Q$43,BX197)</f>
        <v>4</v>
      </c>
      <c r="BZ197" s="14">
        <f t="shared" si="332"/>
        <v>1102010</v>
      </c>
      <c r="CA197" s="14" t="str">
        <f t="shared" si="333"/>
        <v>张郃13突</v>
      </c>
      <c r="CB197" s="25" t="s">
        <v>142</v>
      </c>
      <c r="CC197" s="14">
        <v>2</v>
      </c>
      <c r="CD197" s="14">
        <f t="shared" ref="CD197:CD260" si="467">BW197-INDEX($S$5:$S$43,BX197)</f>
        <v>13</v>
      </c>
      <c r="CE197" s="14" t="s">
        <v>21</v>
      </c>
      <c r="CF197" s="14">
        <f>INDEX(属性投放!$AZ$6:$AZ$85,(BY197-2)*20+CD197)</f>
        <v>6778</v>
      </c>
      <c r="CG197" s="14" t="s">
        <v>22</v>
      </c>
      <c r="CH197" s="14">
        <f>INDEX(属性投放!$BA$6:$BA$85,(BY197-2)*20+CD197)</f>
        <v>3341</v>
      </c>
      <c r="CI197" s="14" t="s">
        <v>510</v>
      </c>
      <c r="CJ197" s="14">
        <f>INDEX(属性投放!$BB$6:$BB$85,(BY197-2)*20+CD197)</f>
        <v>54103</v>
      </c>
      <c r="CK197" s="14" t="s">
        <v>21</v>
      </c>
      <c r="CL197" s="14">
        <f>INDEX(属性投放!$BC$6:$BC$85,(BY197-2)*20+CD197)</f>
        <v>40</v>
      </c>
      <c r="CM197" s="14" t="s">
        <v>22</v>
      </c>
      <c r="CN197" s="14">
        <f>INDEX(属性投放!$BD$6:$BD$85,(BY197-2)*20+CD197)</f>
        <v>20</v>
      </c>
      <c r="CO197" s="14" t="s">
        <v>510</v>
      </c>
      <c r="CP197" s="14">
        <f>INDEX(属性投放!$BE$6:$BE$85,(BY197-2)*20+CD197)</f>
        <v>400</v>
      </c>
      <c r="CS197" s="13">
        <v>193</v>
      </c>
      <c r="CT197" s="13">
        <f t="shared" si="334"/>
        <v>4</v>
      </c>
      <c r="CU197" s="13">
        <f t="shared" si="335"/>
        <v>37</v>
      </c>
      <c r="CV197" s="14">
        <f t="shared" si="336"/>
        <v>2</v>
      </c>
      <c r="CW197" s="14">
        <f t="shared" si="337"/>
        <v>1102004</v>
      </c>
      <c r="CX197" s="14" t="str">
        <f>INDEX($O$6:$O$50,CT197)&amp;"-"&amp;INDEX(属性投放!$AB$7:$AB$50,CZ197)&amp;"-魂火-"&amp;DB197</f>
        <v>唐流雨-大焦热-魂火-1</v>
      </c>
      <c r="CY197" s="25" t="s">
        <v>142</v>
      </c>
      <c r="CZ197" s="14">
        <f>INDEX(属性投放!$AM$7:$AM$58,CU197)</f>
        <v>16</v>
      </c>
      <c r="DA197" s="14" t="s">
        <v>537</v>
      </c>
      <c r="DB197" s="14">
        <f>INDEX(属性投放!$AN$7:$AN$58,CU197)</f>
        <v>1</v>
      </c>
      <c r="DC197" s="14">
        <f t="shared" ref="DC197:DC260" si="468">CU197</f>
        <v>37</v>
      </c>
      <c r="DD197" s="14">
        <f>INDEX(属性投放!$AO$7:$AO$58,DC197)</f>
        <v>110</v>
      </c>
      <c r="DE197" s="14" t="s">
        <v>538</v>
      </c>
      <c r="DF197" s="14">
        <f>INDEX(属性投放!$BK$6:$BK$85,(CV197-2)*20+CZ197)</f>
        <v>450</v>
      </c>
      <c r="DG197" s="14">
        <f>SUMIFS(DF$5:DF197,$CT$5:$CT197,"="&amp;$CT197)</f>
        <v>4975</v>
      </c>
      <c r="DH197" s="14" t="s">
        <v>539</v>
      </c>
      <c r="DI197" s="14">
        <f>INDEX(属性投放!$BL$6:$BL$85,(CV197-2)*20+CZ197)</f>
        <v>225</v>
      </c>
      <c r="DJ197" s="14">
        <f>SUMIFS(DI$5:DI197,$CT$5:$CT197,"="&amp;$CT197)</f>
        <v>2491</v>
      </c>
      <c r="DK197" s="14" t="s">
        <v>540</v>
      </c>
      <c r="DL197" s="14">
        <f>INDEX(属性投放!$BM$6:$BM$85,(CV197-2)*20+CZ197)</f>
        <v>4500</v>
      </c>
      <c r="DM197" s="14">
        <f>SUMIFS(DL$5:DL197,$CT$5:$CT197,"="&amp;$CT197)</f>
        <v>46520</v>
      </c>
      <c r="DR197" s="14">
        <f t="shared" ref="DR197:DR260" si="469">BZ197</f>
        <v>1102010</v>
      </c>
      <c r="DS197" s="14" t="str">
        <f t="shared" ref="DS197:DS260" si="470">CA197</f>
        <v>张郃13突</v>
      </c>
      <c r="DT197" s="14">
        <f t="shared" si="338"/>
        <v>8</v>
      </c>
      <c r="DU197" s="14">
        <f t="shared" si="339"/>
        <v>6</v>
      </c>
      <c r="DV197" s="14">
        <f t="shared" si="340"/>
        <v>5</v>
      </c>
      <c r="DW197" s="14">
        <f t="shared" ref="DW197:DW260" si="471">BY197</f>
        <v>4</v>
      </c>
      <c r="DX197" s="14">
        <f t="shared" ref="DX197:DX260" si="472">CD197</f>
        <v>13</v>
      </c>
      <c r="DY197" s="14">
        <f t="shared" ref="DY197:DY260" si="473">(DW197-2)*20+DX197</f>
        <v>53</v>
      </c>
      <c r="DZ197" s="14">
        <f>INDEX(属性投放!$AX$6:$AX$85,(卡牌属性!DW197-2)*20+卡牌属性!DX197)</f>
        <v>8</v>
      </c>
      <c r="EA197" s="14">
        <f>INDEX(属性投放!BQ$6:BQ$85,卡牌属性!$DY197)</f>
        <v>450</v>
      </c>
      <c r="EB197" s="14">
        <f>INDEX(属性投放!BR$6:BR$85,卡牌属性!$DY197)</f>
        <v>225</v>
      </c>
      <c r="EC197" s="14">
        <f>INDEX(属性投放!BS$6:BS$85,卡牌属性!$DY197)</f>
        <v>4500</v>
      </c>
      <c r="ED197" s="14">
        <f t="shared" si="446"/>
        <v>4325</v>
      </c>
      <c r="EE197" s="14">
        <f t="shared" si="447"/>
        <v>4655</v>
      </c>
      <c r="EF197" s="14">
        <f t="shared" si="448"/>
        <v>5335</v>
      </c>
      <c r="EG197" s="14">
        <f t="shared" si="449"/>
        <v>5335</v>
      </c>
      <c r="EH197" s="14">
        <f t="shared" si="450"/>
        <v>6455</v>
      </c>
      <c r="EI197" s="14">
        <f t="shared" si="451"/>
        <v>1684</v>
      </c>
      <c r="EJ197" s="14">
        <f t="shared" si="452"/>
        <v>1982</v>
      </c>
      <c r="EK197" s="14">
        <f t="shared" si="453"/>
        <v>1982</v>
      </c>
      <c r="EL197" s="14">
        <f t="shared" si="454"/>
        <v>2137</v>
      </c>
      <c r="EM197" s="14">
        <f t="shared" si="455"/>
        <v>2292</v>
      </c>
      <c r="EN197" s="14">
        <f t="shared" si="456"/>
        <v>25470</v>
      </c>
      <c r="EO197" s="14">
        <f t="shared" si="457"/>
        <v>26404</v>
      </c>
      <c r="EP197" s="14">
        <f t="shared" si="458"/>
        <v>26404</v>
      </c>
      <c r="EQ197" s="14">
        <f t="shared" si="459"/>
        <v>31118</v>
      </c>
      <c r="ER197" s="14">
        <f t="shared" si="460"/>
        <v>33312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INDEX(属性投放!$BQ$6:$BQ$85,(卡牌属性!$DW197-2)*20+卡牌属性!$DX197)</f>
        <v>450</v>
      </c>
      <c r="FI197" s="14">
        <f>INDEX(属性投放!$BQ$6:$BQ$85,(卡牌属性!$DW197-2)*20+卡牌属性!$DX197)</f>
        <v>450</v>
      </c>
      <c r="FJ197" s="14">
        <f>INDEX(属性投放!$BQ$6:$BQ$85,(卡牌属性!$DW197-2)*20+卡牌属性!$DX197)</f>
        <v>450</v>
      </c>
      <c r="FK197" s="14">
        <f>INDEX(属性投放!$BQ$6:$BQ$85,(卡牌属性!$DW197-2)*20+卡牌属性!$DX197)</f>
        <v>450</v>
      </c>
      <c r="FL197" s="14">
        <f>INDEX(属性投放!$BQ$6:$BQ$85,(卡牌属性!$DW197-2)*20+卡牌属性!$DX197)</f>
        <v>450</v>
      </c>
      <c r="FM197" s="14">
        <f>INDEX(属性投放!$BR$6:$BR$85,(卡牌属性!$DW197-2)*20+卡牌属性!$DX197)</f>
        <v>225</v>
      </c>
      <c r="FN197" s="14">
        <f>INDEX(属性投放!$BR$6:$BR$85,(卡牌属性!$DW197-2)*20+卡牌属性!$DX197)</f>
        <v>225</v>
      </c>
      <c r="FO197" s="14">
        <f>INDEX(属性投放!$BR$6:$BR$85,(卡牌属性!$DW197-2)*20+卡牌属性!$DX197)</f>
        <v>225</v>
      </c>
      <c r="FP197" s="14">
        <f>INDEX(属性投放!$BR$6:$BR$85,(卡牌属性!$DW197-2)*20+卡牌属性!$DX197)</f>
        <v>225</v>
      </c>
      <c r="FQ197" s="14">
        <f>INDEX(属性投放!$BR$6:$BR$85,(卡牌属性!$DW197-2)*20+卡牌属性!$DX197)</f>
        <v>225</v>
      </c>
      <c r="FR197" s="14">
        <f>INDEX(属性投放!$BS$6:$BS$85,(卡牌属性!$DW197-2)*20+卡牌属性!$DX197)</f>
        <v>4500</v>
      </c>
      <c r="FS197" s="14">
        <f>INDEX(属性投放!$BS$6:$BS$85,(卡牌属性!$DW197-2)*20+卡牌属性!$DX197)</f>
        <v>4500</v>
      </c>
      <c r="FT197" s="14">
        <f>INDEX(属性投放!$BS$6:$BS$85,(卡牌属性!$DW197-2)*20+卡牌属性!$DX197)</f>
        <v>4500</v>
      </c>
      <c r="FU197" s="14">
        <f>INDEX(属性投放!$BS$6:$BS$85,(卡牌属性!$DW197-2)*20+卡牌属性!$DX197)</f>
        <v>4500</v>
      </c>
      <c r="FV197" s="14">
        <f>INDEX(属性投放!$BS$6:$BS$85,(卡牌属性!$DW197-2)*20+卡牌属性!$DX197)</f>
        <v>4500</v>
      </c>
    </row>
    <row r="198" spans="31:178" ht="16.5" x14ac:dyDescent="0.2">
      <c r="AE198" s="13">
        <v>194</v>
      </c>
      <c r="AF198" s="13">
        <f t="shared" ref="AF198:AF261" si="474">MATCH(AE198-1,$F$5:$F$42,1)</f>
        <v>10</v>
      </c>
      <c r="AG198" s="13">
        <f t="shared" si="461"/>
        <v>4</v>
      </c>
      <c r="AH198" s="13"/>
      <c r="AI198" s="13"/>
      <c r="AJ198" s="14">
        <f t="shared" si="462"/>
        <v>1101010</v>
      </c>
      <c r="AK198" s="14" t="str">
        <f t="shared" si="463"/>
        <v>盖文14突</v>
      </c>
      <c r="AL198" s="25" t="s">
        <v>142</v>
      </c>
      <c r="AM198" s="14">
        <v>1</v>
      </c>
      <c r="AN198" s="14">
        <f t="shared" si="464"/>
        <v>14</v>
      </c>
      <c r="AO198" s="14">
        <f>INDEX(属性投放!$DF$6:$DF$85,(卡牌属性!AG198-2)*20+卡牌属性!AN198)</f>
        <v>7618</v>
      </c>
      <c r="AP198" s="14">
        <f t="shared" si="440"/>
        <v>7618</v>
      </c>
      <c r="AQ198" s="14">
        <f t="shared" si="440"/>
        <v>7618</v>
      </c>
      <c r="AR198" s="14">
        <f t="shared" si="440"/>
        <v>7618</v>
      </c>
      <c r="AS198" s="14">
        <f t="shared" si="440"/>
        <v>7618</v>
      </c>
      <c r="AT198" s="14">
        <f>INDEX(属性投放!$DG$6:$DG$85,(卡牌属性!AG198-2)*20+卡牌属性!AN198)</f>
        <v>3739</v>
      </c>
      <c r="AU198" s="14">
        <f t="shared" si="441"/>
        <v>3739</v>
      </c>
      <c r="AV198" s="14">
        <f t="shared" si="441"/>
        <v>3739</v>
      </c>
      <c r="AW198" s="14">
        <f t="shared" si="441"/>
        <v>3739</v>
      </c>
      <c r="AX198" s="14">
        <f t="shared" si="441"/>
        <v>3739</v>
      </c>
      <c r="AY198" s="14">
        <f>INDEX(属性投放!$DH$6:$DH$85,(卡牌属性!AG198-2)*20+卡牌属性!AN198)</f>
        <v>62443</v>
      </c>
      <c r="AZ198" s="14">
        <f t="shared" si="442"/>
        <v>62443</v>
      </c>
      <c r="BA198" s="14">
        <f t="shared" si="442"/>
        <v>62443</v>
      </c>
      <c r="BB198" s="14">
        <f t="shared" si="442"/>
        <v>62443</v>
      </c>
      <c r="BC198" s="14">
        <f t="shared" si="442"/>
        <v>62443</v>
      </c>
      <c r="BD198" s="14">
        <f>INDEX(属性投放!$DL$6:$DL$85,(卡牌属性!AG198-2)*20+卡牌属性!AN198)</f>
        <v>203</v>
      </c>
      <c r="BE198" s="14">
        <f t="shared" si="443"/>
        <v>203</v>
      </c>
      <c r="BF198" s="14">
        <f t="shared" si="443"/>
        <v>203</v>
      </c>
      <c r="BG198" s="14">
        <f t="shared" si="443"/>
        <v>203</v>
      </c>
      <c r="BH198" s="14">
        <f t="shared" si="443"/>
        <v>203</v>
      </c>
      <c r="BI198" s="14">
        <f>INDEX(属性投放!$DM$6:$DM$85,(卡牌属性!AG198-2)*20+卡牌属性!AN198)</f>
        <v>101</v>
      </c>
      <c r="BJ198" s="14">
        <f t="shared" si="444"/>
        <v>101</v>
      </c>
      <c r="BK198" s="14">
        <f t="shared" si="444"/>
        <v>101</v>
      </c>
      <c r="BL198" s="14">
        <f t="shared" si="444"/>
        <v>101</v>
      </c>
      <c r="BM198" s="14">
        <f t="shared" si="444"/>
        <v>101</v>
      </c>
      <c r="BN198" s="14">
        <f>INDEX(属性投放!$DN$6:$DN$85,(卡牌属性!AG198-2)*20+卡牌属性!AN198)</f>
        <v>2027</v>
      </c>
      <c r="BO198" s="14">
        <f t="shared" si="445"/>
        <v>2027</v>
      </c>
      <c r="BP198" s="14">
        <f t="shared" si="445"/>
        <v>2027</v>
      </c>
      <c r="BQ198" s="14">
        <f t="shared" si="445"/>
        <v>2027</v>
      </c>
      <c r="BR198" s="14">
        <f t="shared" si="445"/>
        <v>2027</v>
      </c>
      <c r="BW198" s="13">
        <v>194</v>
      </c>
      <c r="BX198" s="13">
        <f t="shared" si="465"/>
        <v>10</v>
      </c>
      <c r="BY198" s="14">
        <f t="shared" si="466"/>
        <v>4</v>
      </c>
      <c r="BZ198" s="14">
        <f t="shared" ref="BZ198:BZ261" si="475">INDEX($N$6:$N$43,BX198)</f>
        <v>1102010</v>
      </c>
      <c r="CA198" s="14" t="str">
        <f t="shared" ref="CA198:CA261" si="476">INDEX($O$6:$O$43,BX198)&amp;CD198&amp;"突"</f>
        <v>张郃14突</v>
      </c>
      <c r="CB198" s="25" t="s">
        <v>142</v>
      </c>
      <c r="CC198" s="14">
        <v>2</v>
      </c>
      <c r="CD198" s="14">
        <f t="shared" si="467"/>
        <v>14</v>
      </c>
      <c r="CE198" s="14" t="s">
        <v>21</v>
      </c>
      <c r="CF198" s="14">
        <f>INDEX(属性投放!$AZ$6:$AZ$85,(BY198-2)*20+CD198)</f>
        <v>8373</v>
      </c>
      <c r="CG198" s="14" t="s">
        <v>22</v>
      </c>
      <c r="CH198" s="14">
        <f>INDEX(属性投放!$BA$6:$BA$85,(BY198-2)*20+CD198)</f>
        <v>4140</v>
      </c>
      <c r="CI198" s="14" t="s">
        <v>510</v>
      </c>
      <c r="CJ198" s="14">
        <f>INDEX(属性投放!$BB$6:$BB$85,(BY198-2)*20+CD198)</f>
        <v>70053</v>
      </c>
      <c r="CK198" s="14" t="s">
        <v>21</v>
      </c>
      <c r="CL198" s="14">
        <f>INDEX(属性投放!$BC$6:$BC$85,(BY198-2)*20+CD198)</f>
        <v>40</v>
      </c>
      <c r="CM198" s="14" t="s">
        <v>22</v>
      </c>
      <c r="CN198" s="14">
        <f>INDEX(属性投放!$BD$6:$BD$85,(BY198-2)*20+CD198)</f>
        <v>20</v>
      </c>
      <c r="CO198" s="14" t="s">
        <v>510</v>
      </c>
      <c r="CP198" s="14">
        <f>INDEX(属性投放!$BE$6:$BE$85,(BY198-2)*20+CD198)</f>
        <v>400</v>
      </c>
      <c r="CS198" s="13">
        <v>194</v>
      </c>
      <c r="CT198" s="13">
        <f t="shared" ref="CT198:CT261" si="477">MATCH(CS198-1,$U$5:$U$36,1)</f>
        <v>4</v>
      </c>
      <c r="CU198" s="13">
        <f t="shared" ref="CU198:CU261" si="478">CS198-(CT198-1)*52</f>
        <v>38</v>
      </c>
      <c r="CV198" s="14">
        <f t="shared" ref="CV198:CV261" si="479">INDEX($Q$6:$Q$50,CT198)</f>
        <v>2</v>
      </c>
      <c r="CW198" s="14">
        <f t="shared" ref="CW198:CW261" si="480">INDEX($N$6:$N$50,CT198)</f>
        <v>1102004</v>
      </c>
      <c r="CX198" s="14" t="str">
        <f>INDEX($O$6:$O$50,CT198)&amp;"-"&amp;INDEX(属性投放!$AB$7:$AB$50,CZ198)&amp;"-魂火-"&amp;DB198</f>
        <v>唐流雨-大焦热-魂火-2</v>
      </c>
      <c r="CY198" s="25" t="s">
        <v>142</v>
      </c>
      <c r="CZ198" s="14">
        <f>INDEX(属性投放!$AM$7:$AM$58,CU198)</f>
        <v>16</v>
      </c>
      <c r="DA198" s="14" t="s">
        <v>537</v>
      </c>
      <c r="DB198" s="14">
        <f>INDEX(属性投放!$AN$7:$AN$58,CU198)</f>
        <v>2</v>
      </c>
      <c r="DC198" s="14">
        <f t="shared" si="468"/>
        <v>38</v>
      </c>
      <c r="DD198" s="14">
        <f>INDEX(属性投放!$AO$7:$AO$58,DC198)</f>
        <v>113</v>
      </c>
      <c r="DE198" s="14" t="s">
        <v>538</v>
      </c>
      <c r="DF198" s="14">
        <f>INDEX(属性投放!$BK$6:$BK$85,(CV198-2)*20+CZ198)</f>
        <v>450</v>
      </c>
      <c r="DG198" s="14">
        <f>SUMIFS(DF$5:DF198,$CT$5:$CT198,"="&amp;$CT198)</f>
        <v>5425</v>
      </c>
      <c r="DH198" s="14" t="s">
        <v>539</v>
      </c>
      <c r="DI198" s="14">
        <f>INDEX(属性投放!$BL$6:$BL$85,(CV198-2)*20+CZ198)</f>
        <v>225</v>
      </c>
      <c r="DJ198" s="14">
        <f>SUMIFS(DI$5:DI198,$CT$5:$CT198,"="&amp;$CT198)</f>
        <v>2716</v>
      </c>
      <c r="DK198" s="14" t="s">
        <v>540</v>
      </c>
      <c r="DL198" s="14">
        <f>INDEX(属性投放!$BM$6:$BM$85,(CV198-2)*20+CZ198)</f>
        <v>4500</v>
      </c>
      <c r="DM198" s="14">
        <f>SUMIFS(DL$5:DL198,$CT$5:$CT198,"="&amp;$CT198)</f>
        <v>51020</v>
      </c>
      <c r="DR198" s="14">
        <f t="shared" si="469"/>
        <v>1102010</v>
      </c>
      <c r="DS198" s="14" t="str">
        <f t="shared" si="470"/>
        <v>张郃14突</v>
      </c>
      <c r="DT198" s="14">
        <f t="shared" ref="DT198:DT261" si="481">INDEX(Y$6:Y$43,$BX198)</f>
        <v>8</v>
      </c>
      <c r="DU198" s="14">
        <f t="shared" ref="DU198:DU261" si="482">INDEX(Z$6:Z$43,$BX198)</f>
        <v>6</v>
      </c>
      <c r="DV198" s="14">
        <f t="shared" ref="DV198:DV261" si="483">INDEX(AA$6:AA$43,$BX198)</f>
        <v>5</v>
      </c>
      <c r="DW198" s="14">
        <f t="shared" si="471"/>
        <v>4</v>
      </c>
      <c r="DX198" s="14">
        <f t="shared" si="472"/>
        <v>14</v>
      </c>
      <c r="DY198" s="14">
        <f t="shared" si="473"/>
        <v>54</v>
      </c>
      <c r="DZ198" s="14">
        <f>INDEX(属性投放!$AX$6:$AX$85,(卡牌属性!DW198-2)*20+卡牌属性!DX198)</f>
        <v>7</v>
      </c>
      <c r="EA198" s="14">
        <f>INDEX(属性投放!BQ$6:BQ$85,卡牌属性!$DY198)</f>
        <v>500</v>
      </c>
      <c r="EB198" s="14">
        <f>INDEX(属性投放!BR$6:BR$85,卡牌属性!$DY198)</f>
        <v>250</v>
      </c>
      <c r="EC198" s="14">
        <f>INDEX(属性投放!BS$6:BS$85,卡牌属性!$DY198)</f>
        <v>5000</v>
      </c>
      <c r="ED198" s="14">
        <f t="shared" si="446"/>
        <v>5135</v>
      </c>
      <c r="EE198" s="14">
        <f t="shared" si="447"/>
        <v>5505</v>
      </c>
      <c r="EF198" s="14">
        <f t="shared" si="448"/>
        <v>6385</v>
      </c>
      <c r="EG198" s="14">
        <f t="shared" si="449"/>
        <v>6385</v>
      </c>
      <c r="EH198" s="14">
        <f t="shared" si="450"/>
        <v>7705</v>
      </c>
      <c r="EI198" s="14">
        <f t="shared" si="451"/>
        <v>2013</v>
      </c>
      <c r="EJ198" s="14">
        <f t="shared" si="452"/>
        <v>2367</v>
      </c>
      <c r="EK198" s="14">
        <f t="shared" si="453"/>
        <v>2367</v>
      </c>
      <c r="EL198" s="14">
        <f t="shared" si="454"/>
        <v>2546</v>
      </c>
      <c r="EM198" s="14">
        <f t="shared" si="455"/>
        <v>2717</v>
      </c>
      <c r="EN198" s="14">
        <f t="shared" si="456"/>
        <v>31970</v>
      </c>
      <c r="EO198" s="14">
        <f t="shared" si="457"/>
        <v>32984</v>
      </c>
      <c r="EP198" s="14">
        <f t="shared" si="458"/>
        <v>32984</v>
      </c>
      <c r="EQ198" s="14">
        <f t="shared" si="459"/>
        <v>38818</v>
      </c>
      <c r="ER198" s="14">
        <f t="shared" si="460"/>
        <v>41412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INDEX(属性投放!$BQ$6:$BQ$85,(卡牌属性!$DW198-2)*20+卡牌属性!$DX198)</f>
        <v>500</v>
      </c>
      <c r="FI198" s="14">
        <f>INDEX(属性投放!$BQ$6:$BQ$85,(卡牌属性!$DW198-2)*20+卡牌属性!$DX198)</f>
        <v>500</v>
      </c>
      <c r="FJ198" s="14">
        <f>INDEX(属性投放!$BQ$6:$BQ$85,(卡牌属性!$DW198-2)*20+卡牌属性!$DX198)</f>
        <v>500</v>
      </c>
      <c r="FK198" s="14">
        <f>INDEX(属性投放!$BQ$6:$BQ$85,(卡牌属性!$DW198-2)*20+卡牌属性!$DX198)</f>
        <v>500</v>
      </c>
      <c r="FL198" s="14">
        <f>INDEX(属性投放!$BQ$6:$BQ$85,(卡牌属性!$DW198-2)*20+卡牌属性!$DX198)</f>
        <v>500</v>
      </c>
      <c r="FM198" s="14">
        <f>INDEX(属性投放!$BR$6:$BR$85,(卡牌属性!$DW198-2)*20+卡牌属性!$DX198)</f>
        <v>250</v>
      </c>
      <c r="FN198" s="14">
        <f>INDEX(属性投放!$BR$6:$BR$85,(卡牌属性!$DW198-2)*20+卡牌属性!$DX198)</f>
        <v>250</v>
      </c>
      <c r="FO198" s="14">
        <f>INDEX(属性投放!$BR$6:$BR$85,(卡牌属性!$DW198-2)*20+卡牌属性!$DX198)</f>
        <v>250</v>
      </c>
      <c r="FP198" s="14">
        <f>INDEX(属性投放!$BR$6:$BR$85,(卡牌属性!$DW198-2)*20+卡牌属性!$DX198)</f>
        <v>250</v>
      </c>
      <c r="FQ198" s="14">
        <f>INDEX(属性投放!$BR$6:$BR$85,(卡牌属性!$DW198-2)*20+卡牌属性!$DX198)</f>
        <v>250</v>
      </c>
      <c r="FR198" s="14">
        <f>INDEX(属性投放!$BS$6:$BS$85,(卡牌属性!$DW198-2)*20+卡牌属性!$DX198)</f>
        <v>5000</v>
      </c>
      <c r="FS198" s="14">
        <f>INDEX(属性投放!$BS$6:$BS$85,(卡牌属性!$DW198-2)*20+卡牌属性!$DX198)</f>
        <v>5000</v>
      </c>
      <c r="FT198" s="14">
        <f>INDEX(属性投放!$BS$6:$BS$85,(卡牌属性!$DW198-2)*20+卡牌属性!$DX198)</f>
        <v>5000</v>
      </c>
      <c r="FU198" s="14">
        <f>INDEX(属性投放!$BS$6:$BS$85,(卡牌属性!$DW198-2)*20+卡牌属性!$DX198)</f>
        <v>5000</v>
      </c>
      <c r="FV198" s="14">
        <f>INDEX(属性投放!$BS$6:$BS$85,(卡牌属性!$DW198-2)*20+卡牌属性!$DX198)</f>
        <v>5000</v>
      </c>
    </row>
    <row r="199" spans="31:178" ht="16.5" x14ac:dyDescent="0.2">
      <c r="AE199" s="13">
        <v>195</v>
      </c>
      <c r="AF199" s="13">
        <f t="shared" si="474"/>
        <v>10</v>
      </c>
      <c r="AG199" s="13">
        <f t="shared" si="461"/>
        <v>4</v>
      </c>
      <c r="AH199" s="13"/>
      <c r="AI199" s="13"/>
      <c r="AJ199" s="14">
        <f t="shared" si="462"/>
        <v>1101010</v>
      </c>
      <c r="AK199" s="14" t="str">
        <f t="shared" si="463"/>
        <v>盖文15突</v>
      </c>
      <c r="AL199" s="25" t="s">
        <v>142</v>
      </c>
      <c r="AM199" s="14">
        <v>1</v>
      </c>
      <c r="AN199" s="14">
        <f t="shared" si="464"/>
        <v>15</v>
      </c>
      <c r="AO199" s="14">
        <f>INDEX(属性投放!$DF$6:$DF$85,(卡牌属性!AG199-2)*20+卡牌属性!AN199)</f>
        <v>8197</v>
      </c>
      <c r="AP199" s="14">
        <f t="shared" si="440"/>
        <v>8197</v>
      </c>
      <c r="AQ199" s="14">
        <f t="shared" si="440"/>
        <v>8197</v>
      </c>
      <c r="AR199" s="14">
        <f t="shared" si="440"/>
        <v>8197</v>
      </c>
      <c r="AS199" s="14">
        <f t="shared" si="440"/>
        <v>8197</v>
      </c>
      <c r="AT199" s="14">
        <f>INDEX(属性投放!$DG$6:$DG$85,(卡牌属性!AG199-2)*20+卡牌属性!AN199)</f>
        <v>4029</v>
      </c>
      <c r="AU199" s="14">
        <f t="shared" si="441"/>
        <v>4029</v>
      </c>
      <c r="AV199" s="14">
        <f t="shared" si="441"/>
        <v>4029</v>
      </c>
      <c r="AW199" s="14">
        <f t="shared" si="441"/>
        <v>4029</v>
      </c>
      <c r="AX199" s="14">
        <f t="shared" si="441"/>
        <v>4029</v>
      </c>
      <c r="AY199" s="14">
        <f>INDEX(属性投放!$DH$6:$DH$85,(卡牌属性!AG199-2)*20+卡牌属性!AN199)</f>
        <v>68233</v>
      </c>
      <c r="AZ199" s="14">
        <f t="shared" si="442"/>
        <v>68233</v>
      </c>
      <c r="BA199" s="14">
        <f t="shared" si="442"/>
        <v>68233</v>
      </c>
      <c r="BB199" s="14">
        <f t="shared" si="442"/>
        <v>68233</v>
      </c>
      <c r="BC199" s="14">
        <f t="shared" si="442"/>
        <v>68233</v>
      </c>
      <c r="BD199" s="14">
        <f>INDEX(属性投放!$DL$6:$DL$85,(卡牌属性!AG199-2)*20+卡牌属性!AN199)</f>
        <v>203</v>
      </c>
      <c r="BE199" s="14">
        <f t="shared" si="443"/>
        <v>203</v>
      </c>
      <c r="BF199" s="14">
        <f t="shared" si="443"/>
        <v>203</v>
      </c>
      <c r="BG199" s="14">
        <f t="shared" si="443"/>
        <v>203</v>
      </c>
      <c r="BH199" s="14">
        <f t="shared" si="443"/>
        <v>203</v>
      </c>
      <c r="BI199" s="14">
        <f>INDEX(属性投放!$DM$6:$DM$85,(卡牌属性!AG199-2)*20+卡牌属性!AN199)</f>
        <v>101</v>
      </c>
      <c r="BJ199" s="14">
        <f t="shared" si="444"/>
        <v>101</v>
      </c>
      <c r="BK199" s="14">
        <f t="shared" si="444"/>
        <v>101</v>
      </c>
      <c r="BL199" s="14">
        <f t="shared" si="444"/>
        <v>101</v>
      </c>
      <c r="BM199" s="14">
        <f t="shared" si="444"/>
        <v>101</v>
      </c>
      <c r="BN199" s="14">
        <f>INDEX(属性投放!$DN$6:$DN$85,(卡牌属性!AG199-2)*20+卡牌属性!AN199)</f>
        <v>2027</v>
      </c>
      <c r="BO199" s="14">
        <f t="shared" si="445"/>
        <v>2027</v>
      </c>
      <c r="BP199" s="14">
        <f t="shared" si="445"/>
        <v>2027</v>
      </c>
      <c r="BQ199" s="14">
        <f t="shared" si="445"/>
        <v>2027</v>
      </c>
      <c r="BR199" s="14">
        <f t="shared" si="445"/>
        <v>2027</v>
      </c>
      <c r="BW199" s="13">
        <v>195</v>
      </c>
      <c r="BX199" s="13">
        <f t="shared" si="465"/>
        <v>10</v>
      </c>
      <c r="BY199" s="14">
        <f t="shared" si="466"/>
        <v>4</v>
      </c>
      <c r="BZ199" s="14">
        <f t="shared" si="475"/>
        <v>1102010</v>
      </c>
      <c r="CA199" s="14" t="str">
        <f t="shared" si="476"/>
        <v>张郃15突</v>
      </c>
      <c r="CB199" s="25" t="s">
        <v>142</v>
      </c>
      <c r="CC199" s="14">
        <v>2</v>
      </c>
      <c r="CD199" s="14">
        <f t="shared" si="467"/>
        <v>15</v>
      </c>
      <c r="CE199" s="14" t="s">
        <v>21</v>
      </c>
      <c r="CF199" s="14">
        <f>INDEX(属性投放!$AZ$6:$AZ$85,(BY199-2)*20+CD199)</f>
        <v>10113</v>
      </c>
      <c r="CG199" s="14" t="s">
        <v>22</v>
      </c>
      <c r="CH199" s="14">
        <f>INDEX(属性投放!$BA$6:$BA$85,(BY199-2)*20+CD199)</f>
        <v>5010</v>
      </c>
      <c r="CI199" s="14" t="s">
        <v>510</v>
      </c>
      <c r="CJ199" s="14">
        <f>INDEX(属性投放!$BB$6:$BB$85,(BY199-2)*20+CD199)</f>
        <v>87453</v>
      </c>
      <c r="CK199" s="14" t="s">
        <v>21</v>
      </c>
      <c r="CL199" s="14">
        <f>INDEX(属性投放!$BC$6:$BC$85,(BY199-2)*20+CD199)</f>
        <v>40</v>
      </c>
      <c r="CM199" s="14" t="s">
        <v>22</v>
      </c>
      <c r="CN199" s="14">
        <f>INDEX(属性投放!$BD$6:$BD$85,(BY199-2)*20+CD199)</f>
        <v>20</v>
      </c>
      <c r="CO199" s="14" t="s">
        <v>510</v>
      </c>
      <c r="CP199" s="14">
        <f>INDEX(属性投放!$BE$6:$BE$85,(BY199-2)*20+CD199)</f>
        <v>400</v>
      </c>
      <c r="CS199" s="13">
        <v>195</v>
      </c>
      <c r="CT199" s="13">
        <f t="shared" si="477"/>
        <v>4</v>
      </c>
      <c r="CU199" s="13">
        <f t="shared" si="478"/>
        <v>39</v>
      </c>
      <c r="CV199" s="14">
        <f t="shared" si="479"/>
        <v>2</v>
      </c>
      <c r="CW199" s="14">
        <f t="shared" si="480"/>
        <v>1102004</v>
      </c>
      <c r="CX199" s="14" t="str">
        <f>INDEX($O$6:$O$50,CT199)&amp;"-"&amp;INDEX(属性投放!$AB$7:$AB$50,CZ199)&amp;"-魂火-"&amp;DB199</f>
        <v>唐流雨-大焦热-魂火-3</v>
      </c>
      <c r="CY199" s="25" t="s">
        <v>142</v>
      </c>
      <c r="CZ199" s="14">
        <f>INDEX(属性投放!$AM$7:$AM$58,CU199)</f>
        <v>16</v>
      </c>
      <c r="DA199" s="14" t="s">
        <v>537</v>
      </c>
      <c r="DB199" s="14">
        <f>INDEX(属性投放!$AN$7:$AN$58,CU199)</f>
        <v>3</v>
      </c>
      <c r="DC199" s="14">
        <f t="shared" si="468"/>
        <v>39</v>
      </c>
      <c r="DD199" s="14">
        <f>INDEX(属性投放!$AO$7:$AO$58,DC199)</f>
        <v>115</v>
      </c>
      <c r="DE199" s="14" t="s">
        <v>538</v>
      </c>
      <c r="DF199" s="14">
        <f>INDEX(属性投放!$BK$6:$BK$85,(CV199-2)*20+CZ199)</f>
        <v>450</v>
      </c>
      <c r="DG199" s="14">
        <f>SUMIFS(DF$5:DF199,$CT$5:$CT199,"="&amp;$CT199)</f>
        <v>5875</v>
      </c>
      <c r="DH199" s="14" t="s">
        <v>539</v>
      </c>
      <c r="DI199" s="14">
        <f>INDEX(属性投放!$BL$6:$BL$85,(CV199-2)*20+CZ199)</f>
        <v>225</v>
      </c>
      <c r="DJ199" s="14">
        <f>SUMIFS(DI$5:DI199,$CT$5:$CT199,"="&amp;$CT199)</f>
        <v>2941</v>
      </c>
      <c r="DK199" s="14" t="s">
        <v>540</v>
      </c>
      <c r="DL199" s="14">
        <f>INDEX(属性投放!$BM$6:$BM$85,(CV199-2)*20+CZ199)</f>
        <v>4500</v>
      </c>
      <c r="DM199" s="14">
        <f>SUMIFS(DL$5:DL199,$CT$5:$CT199,"="&amp;$CT199)</f>
        <v>55520</v>
      </c>
      <c r="DR199" s="14">
        <f t="shared" si="469"/>
        <v>1102010</v>
      </c>
      <c r="DS199" s="14" t="str">
        <f t="shared" si="470"/>
        <v>张郃15突</v>
      </c>
      <c r="DT199" s="14">
        <f t="shared" si="481"/>
        <v>8</v>
      </c>
      <c r="DU199" s="14">
        <f t="shared" si="482"/>
        <v>6</v>
      </c>
      <c r="DV199" s="14">
        <f t="shared" si="483"/>
        <v>5</v>
      </c>
      <c r="DW199" s="14">
        <f t="shared" si="471"/>
        <v>4</v>
      </c>
      <c r="DX199" s="14">
        <f t="shared" si="472"/>
        <v>15</v>
      </c>
      <c r="DY199" s="14">
        <f t="shared" si="473"/>
        <v>55</v>
      </c>
      <c r="DZ199" s="14">
        <f>INDEX(属性投放!$AX$6:$AX$85,(卡牌属性!DW199-2)*20+卡牌属性!DX199)</f>
        <v>8</v>
      </c>
      <c r="EA199" s="14">
        <f>INDEX(属性投放!BQ$6:BQ$85,卡牌属性!$DY199)</f>
        <v>800</v>
      </c>
      <c r="EB199" s="14">
        <f>INDEX(属性投放!BR$6:BR$85,卡牌属性!$DY199)</f>
        <v>400</v>
      </c>
      <c r="EC199" s="14">
        <f>INDEX(属性投放!BS$6:BS$85,卡牌属性!$DY199)</f>
        <v>8000</v>
      </c>
      <c r="ED199" s="14">
        <f t="shared" si="446"/>
        <v>5950</v>
      </c>
      <c r="EE199" s="14">
        <f t="shared" si="447"/>
        <v>6355</v>
      </c>
      <c r="EF199" s="14">
        <f t="shared" si="448"/>
        <v>7410</v>
      </c>
      <c r="EG199" s="14">
        <f t="shared" si="449"/>
        <v>7410</v>
      </c>
      <c r="EH199" s="14">
        <f t="shared" si="450"/>
        <v>8905</v>
      </c>
      <c r="EI199" s="14">
        <f t="shared" si="451"/>
        <v>2354</v>
      </c>
      <c r="EJ199" s="14">
        <f t="shared" si="452"/>
        <v>2757</v>
      </c>
      <c r="EK199" s="14">
        <f t="shared" si="453"/>
        <v>2757</v>
      </c>
      <c r="EL199" s="14">
        <f t="shared" si="454"/>
        <v>2957</v>
      </c>
      <c r="EM199" s="14">
        <f t="shared" si="455"/>
        <v>3142</v>
      </c>
      <c r="EN199" s="14">
        <f t="shared" si="456"/>
        <v>38720</v>
      </c>
      <c r="EO199" s="14">
        <f t="shared" si="457"/>
        <v>39804</v>
      </c>
      <c r="EP199" s="14">
        <f t="shared" si="458"/>
        <v>39804</v>
      </c>
      <c r="EQ199" s="14">
        <f t="shared" si="459"/>
        <v>46618</v>
      </c>
      <c r="ER199" s="14">
        <f t="shared" si="460"/>
        <v>49562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INDEX(属性投放!$BQ$6:$BQ$85,(卡牌属性!$DW199-2)*20+卡牌属性!$DX199)</f>
        <v>800</v>
      </c>
      <c r="FI199" s="14">
        <f>INDEX(属性投放!$BQ$6:$BQ$85,(卡牌属性!$DW199-2)*20+卡牌属性!$DX199)</f>
        <v>800</v>
      </c>
      <c r="FJ199" s="14">
        <f>INDEX(属性投放!$BQ$6:$BQ$85,(卡牌属性!$DW199-2)*20+卡牌属性!$DX199)</f>
        <v>800</v>
      </c>
      <c r="FK199" s="14">
        <f>INDEX(属性投放!$BQ$6:$BQ$85,(卡牌属性!$DW199-2)*20+卡牌属性!$DX199)</f>
        <v>800</v>
      </c>
      <c r="FL199" s="14">
        <f>INDEX(属性投放!$BQ$6:$BQ$85,(卡牌属性!$DW199-2)*20+卡牌属性!$DX199)</f>
        <v>800</v>
      </c>
      <c r="FM199" s="14">
        <f>INDEX(属性投放!$BR$6:$BR$85,(卡牌属性!$DW199-2)*20+卡牌属性!$DX199)</f>
        <v>400</v>
      </c>
      <c r="FN199" s="14">
        <f>INDEX(属性投放!$BR$6:$BR$85,(卡牌属性!$DW199-2)*20+卡牌属性!$DX199)</f>
        <v>400</v>
      </c>
      <c r="FO199" s="14">
        <f>INDEX(属性投放!$BR$6:$BR$85,(卡牌属性!$DW199-2)*20+卡牌属性!$DX199)</f>
        <v>400</v>
      </c>
      <c r="FP199" s="14">
        <f>INDEX(属性投放!$BR$6:$BR$85,(卡牌属性!$DW199-2)*20+卡牌属性!$DX199)</f>
        <v>400</v>
      </c>
      <c r="FQ199" s="14">
        <f>INDEX(属性投放!$BR$6:$BR$85,(卡牌属性!$DW199-2)*20+卡牌属性!$DX199)</f>
        <v>400</v>
      </c>
      <c r="FR199" s="14">
        <f>INDEX(属性投放!$BS$6:$BS$85,(卡牌属性!$DW199-2)*20+卡牌属性!$DX199)</f>
        <v>8000</v>
      </c>
      <c r="FS199" s="14">
        <f>INDEX(属性投放!$BS$6:$BS$85,(卡牌属性!$DW199-2)*20+卡牌属性!$DX199)</f>
        <v>8000</v>
      </c>
      <c r="FT199" s="14">
        <f>INDEX(属性投放!$BS$6:$BS$85,(卡牌属性!$DW199-2)*20+卡牌属性!$DX199)</f>
        <v>8000</v>
      </c>
      <c r="FU199" s="14">
        <f>INDEX(属性投放!$BS$6:$BS$85,(卡牌属性!$DW199-2)*20+卡牌属性!$DX199)</f>
        <v>8000</v>
      </c>
      <c r="FV199" s="14">
        <f>INDEX(属性投放!$BS$6:$BS$85,(卡牌属性!$DW199-2)*20+卡牌属性!$DX199)</f>
        <v>8000</v>
      </c>
    </row>
    <row r="200" spans="31:178" ht="16.5" x14ac:dyDescent="0.2">
      <c r="AE200" s="13">
        <v>196</v>
      </c>
      <c r="AF200" s="13">
        <f t="shared" si="474"/>
        <v>10</v>
      </c>
      <c r="AG200" s="13">
        <f t="shared" si="461"/>
        <v>4</v>
      </c>
      <c r="AH200" s="13"/>
      <c r="AI200" s="13"/>
      <c r="AJ200" s="14">
        <f t="shared" si="462"/>
        <v>1101010</v>
      </c>
      <c r="AK200" s="14" t="str">
        <f t="shared" si="463"/>
        <v>盖文16突</v>
      </c>
      <c r="AL200" s="25" t="s">
        <v>142</v>
      </c>
      <c r="AM200" s="14">
        <v>1</v>
      </c>
      <c r="AN200" s="14">
        <f t="shared" si="464"/>
        <v>16</v>
      </c>
      <c r="AO200" s="14">
        <f>INDEX(属性投放!$DF$6:$DF$85,(卡牌属性!AG200-2)*20+卡牌属性!AN200)</f>
        <v>13851</v>
      </c>
      <c r="AP200" s="14">
        <f t="shared" si="440"/>
        <v>13851</v>
      </c>
      <c r="AQ200" s="14">
        <f t="shared" si="440"/>
        <v>13851</v>
      </c>
      <c r="AR200" s="14">
        <f t="shared" si="440"/>
        <v>13851</v>
      </c>
      <c r="AS200" s="14">
        <f t="shared" si="440"/>
        <v>13851</v>
      </c>
      <c r="AT200" s="14">
        <f>INDEX(属性投放!$DG$6:$DG$85,(卡牌属性!AG200-2)*20+卡牌属性!AN200)</f>
        <v>6844</v>
      </c>
      <c r="AU200" s="14">
        <f t="shared" si="441"/>
        <v>6844</v>
      </c>
      <c r="AV200" s="14">
        <f t="shared" si="441"/>
        <v>6844</v>
      </c>
      <c r="AW200" s="14">
        <f t="shared" si="441"/>
        <v>6844</v>
      </c>
      <c r="AX200" s="14">
        <f t="shared" si="441"/>
        <v>6844</v>
      </c>
      <c r="AY200" s="14">
        <f>INDEX(属性投放!$DH$6:$DH$85,(卡牌属性!AG200-2)*20+卡牌属性!AN200)</f>
        <v>124698</v>
      </c>
      <c r="AZ200" s="14">
        <f t="shared" si="442"/>
        <v>124698</v>
      </c>
      <c r="BA200" s="14">
        <f t="shared" si="442"/>
        <v>124698</v>
      </c>
      <c r="BB200" s="14">
        <f t="shared" si="442"/>
        <v>124698</v>
      </c>
      <c r="BC200" s="14">
        <f t="shared" si="442"/>
        <v>124698</v>
      </c>
      <c r="BD200" s="14">
        <f>INDEX(属性投放!$DL$6:$DL$85,(卡牌属性!AG200-2)*20+卡牌属性!AN200)</f>
        <v>284</v>
      </c>
      <c r="BE200" s="14">
        <f t="shared" si="443"/>
        <v>284</v>
      </c>
      <c r="BF200" s="14">
        <f t="shared" si="443"/>
        <v>284</v>
      </c>
      <c r="BG200" s="14">
        <f t="shared" si="443"/>
        <v>284</v>
      </c>
      <c r="BH200" s="14">
        <f t="shared" si="443"/>
        <v>284</v>
      </c>
      <c r="BI200" s="14">
        <f>INDEX(属性投放!$DM$6:$DM$85,(卡牌属性!AG200-2)*20+卡牌属性!AN200)</f>
        <v>142</v>
      </c>
      <c r="BJ200" s="14">
        <f t="shared" si="444"/>
        <v>142</v>
      </c>
      <c r="BK200" s="14">
        <f t="shared" si="444"/>
        <v>142</v>
      </c>
      <c r="BL200" s="14">
        <f t="shared" si="444"/>
        <v>142</v>
      </c>
      <c r="BM200" s="14">
        <f t="shared" si="444"/>
        <v>142</v>
      </c>
      <c r="BN200" s="14">
        <f>INDEX(属性投放!$DN$6:$DN$85,(卡牌属性!AG200-2)*20+卡牌属性!AN200)</f>
        <v>2845</v>
      </c>
      <c r="BO200" s="14">
        <f t="shared" si="445"/>
        <v>2845</v>
      </c>
      <c r="BP200" s="14">
        <f t="shared" si="445"/>
        <v>2845</v>
      </c>
      <c r="BQ200" s="14">
        <f t="shared" si="445"/>
        <v>2845</v>
      </c>
      <c r="BR200" s="14">
        <f t="shared" si="445"/>
        <v>2845</v>
      </c>
      <c r="BW200" s="13">
        <v>196</v>
      </c>
      <c r="BX200" s="13">
        <f t="shared" si="465"/>
        <v>10</v>
      </c>
      <c r="BY200" s="14">
        <f t="shared" si="466"/>
        <v>4</v>
      </c>
      <c r="BZ200" s="14">
        <f t="shared" si="475"/>
        <v>1102010</v>
      </c>
      <c r="CA200" s="14" t="str">
        <f t="shared" si="476"/>
        <v>张郃16突</v>
      </c>
      <c r="CB200" s="25" t="s">
        <v>142</v>
      </c>
      <c r="CC200" s="14">
        <v>2</v>
      </c>
      <c r="CD200" s="14">
        <f t="shared" si="467"/>
        <v>16</v>
      </c>
      <c r="CE200" s="14" t="s">
        <v>21</v>
      </c>
      <c r="CF200" s="14">
        <f>INDEX(属性投放!$AZ$6:$AZ$85,(BY200-2)*20+CD200)</f>
        <v>12568</v>
      </c>
      <c r="CG200" s="14" t="s">
        <v>22</v>
      </c>
      <c r="CH200" s="14">
        <f>INDEX(属性投放!$BA$6:$BA$85,(BY200-2)*20+CD200)</f>
        <v>6239</v>
      </c>
      <c r="CI200" s="14" t="s">
        <v>510</v>
      </c>
      <c r="CJ200" s="14">
        <f>INDEX(属性投放!$BB$6:$BB$85,(BY200-2)*20+CD200)</f>
        <v>112003</v>
      </c>
      <c r="CK200" s="14" t="s">
        <v>21</v>
      </c>
      <c r="CL200" s="14">
        <f>INDEX(属性投放!$BC$6:$BC$85,(BY200-2)*20+CD200)</f>
        <v>50</v>
      </c>
      <c r="CM200" s="14" t="s">
        <v>22</v>
      </c>
      <c r="CN200" s="14">
        <f>INDEX(属性投放!$BD$6:$BD$85,(BY200-2)*20+CD200)</f>
        <v>25</v>
      </c>
      <c r="CO200" s="14" t="s">
        <v>510</v>
      </c>
      <c r="CP200" s="14">
        <f>INDEX(属性投放!$BE$6:$BE$85,(BY200-2)*20+CD200)</f>
        <v>500</v>
      </c>
      <c r="CS200" s="13">
        <v>196</v>
      </c>
      <c r="CT200" s="13">
        <f t="shared" si="477"/>
        <v>4</v>
      </c>
      <c r="CU200" s="13">
        <f t="shared" si="478"/>
        <v>40</v>
      </c>
      <c r="CV200" s="14">
        <f t="shared" si="479"/>
        <v>2</v>
      </c>
      <c r="CW200" s="14">
        <f t="shared" si="480"/>
        <v>1102004</v>
      </c>
      <c r="CX200" s="14" t="str">
        <f>INDEX($O$6:$O$50,CT200)&amp;"-"&amp;INDEX(属性投放!$AB$7:$AB$50,CZ200)&amp;"-魂火-"&amp;DB200</f>
        <v>唐流雨-大焦热+1-魂火-1</v>
      </c>
      <c r="CY200" s="25" t="s">
        <v>142</v>
      </c>
      <c r="CZ200" s="14">
        <f>INDEX(属性投放!$AM$7:$AM$58,CU200)</f>
        <v>17</v>
      </c>
      <c r="DA200" s="14" t="s">
        <v>537</v>
      </c>
      <c r="DB200" s="14">
        <f>INDEX(属性投放!$AN$7:$AN$58,CU200)</f>
        <v>1</v>
      </c>
      <c r="DC200" s="14">
        <f t="shared" si="468"/>
        <v>40</v>
      </c>
      <c r="DD200" s="14">
        <f>INDEX(属性投放!$AO$7:$AO$58,DC200)</f>
        <v>118</v>
      </c>
      <c r="DE200" s="14" t="s">
        <v>538</v>
      </c>
      <c r="DF200" s="14">
        <f>INDEX(属性投放!$BK$6:$BK$85,(CV200-2)*20+CZ200)</f>
        <v>550</v>
      </c>
      <c r="DG200" s="14">
        <f>SUMIFS(DF$5:DF200,$CT$5:$CT200,"="&amp;$CT200)</f>
        <v>6425</v>
      </c>
      <c r="DH200" s="14" t="s">
        <v>539</v>
      </c>
      <c r="DI200" s="14">
        <f>INDEX(属性投放!$BL$6:$BL$85,(CV200-2)*20+CZ200)</f>
        <v>275</v>
      </c>
      <c r="DJ200" s="14">
        <f>SUMIFS(DI$5:DI200,$CT$5:$CT200,"="&amp;$CT200)</f>
        <v>3216</v>
      </c>
      <c r="DK200" s="14" t="s">
        <v>540</v>
      </c>
      <c r="DL200" s="14">
        <f>INDEX(属性投放!$BM$6:$BM$85,(CV200-2)*20+CZ200)</f>
        <v>5500</v>
      </c>
      <c r="DM200" s="14">
        <f>SUMIFS(DL$5:DL200,$CT$5:$CT200,"="&amp;$CT200)</f>
        <v>61020</v>
      </c>
      <c r="DR200" s="14">
        <f t="shared" si="469"/>
        <v>1102010</v>
      </c>
      <c r="DS200" s="14" t="str">
        <f t="shared" si="470"/>
        <v>张郃16突</v>
      </c>
      <c r="DT200" s="14">
        <f t="shared" si="481"/>
        <v>8</v>
      </c>
      <c r="DU200" s="14">
        <f t="shared" si="482"/>
        <v>6</v>
      </c>
      <c r="DV200" s="14">
        <f t="shared" si="483"/>
        <v>5</v>
      </c>
      <c r="DW200" s="14">
        <f t="shared" si="471"/>
        <v>4</v>
      </c>
      <c r="DX200" s="14">
        <f t="shared" si="472"/>
        <v>16</v>
      </c>
      <c r="DY200" s="14">
        <f t="shared" si="473"/>
        <v>56</v>
      </c>
      <c r="DZ200" s="14">
        <f>INDEX(属性投放!$AX$6:$AX$85,(卡牌属性!DW200-2)*20+卡牌属性!DX200)</f>
        <v>7</v>
      </c>
      <c r="EA200" s="14">
        <f>INDEX(属性投放!BQ$6:BQ$85,卡牌属性!$DY200)</f>
        <v>850</v>
      </c>
      <c r="EB200" s="14">
        <f>INDEX(属性投放!BR$6:BR$85,卡牌属性!$DY200)</f>
        <v>425</v>
      </c>
      <c r="EC200" s="14">
        <f>INDEX(属性投放!BS$6:BS$85,卡牌属性!$DY200)</f>
        <v>8500</v>
      </c>
      <c r="ED200" s="14">
        <f t="shared" si="446"/>
        <v>7110</v>
      </c>
      <c r="EE200" s="14">
        <f t="shared" si="447"/>
        <v>7555</v>
      </c>
      <c r="EF200" s="14">
        <f t="shared" si="448"/>
        <v>8810</v>
      </c>
      <c r="EG200" s="14">
        <f t="shared" si="449"/>
        <v>8810</v>
      </c>
      <c r="EH200" s="14">
        <f t="shared" si="450"/>
        <v>10505</v>
      </c>
      <c r="EI200" s="14">
        <f t="shared" si="451"/>
        <v>2858</v>
      </c>
      <c r="EJ200" s="14">
        <f t="shared" si="452"/>
        <v>3317</v>
      </c>
      <c r="EK200" s="14">
        <f t="shared" si="453"/>
        <v>3317</v>
      </c>
      <c r="EL200" s="14">
        <f t="shared" si="454"/>
        <v>3541</v>
      </c>
      <c r="EM200" s="14">
        <f t="shared" si="455"/>
        <v>3742</v>
      </c>
      <c r="EN200" s="14">
        <f t="shared" si="456"/>
        <v>48720</v>
      </c>
      <c r="EO200" s="14">
        <f t="shared" si="457"/>
        <v>49884</v>
      </c>
      <c r="EP200" s="14">
        <f t="shared" si="458"/>
        <v>49884</v>
      </c>
      <c r="EQ200" s="14">
        <f t="shared" si="459"/>
        <v>57818</v>
      </c>
      <c r="ER200" s="14">
        <f t="shared" si="460"/>
        <v>61162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INDEX(属性投放!$BQ$6:$BQ$85,(卡牌属性!$DW200-2)*20+卡牌属性!$DX200)</f>
        <v>850</v>
      </c>
      <c r="FI200" s="14">
        <f>INDEX(属性投放!$BQ$6:$BQ$85,(卡牌属性!$DW200-2)*20+卡牌属性!$DX200)</f>
        <v>850</v>
      </c>
      <c r="FJ200" s="14">
        <f>INDEX(属性投放!$BQ$6:$BQ$85,(卡牌属性!$DW200-2)*20+卡牌属性!$DX200)</f>
        <v>850</v>
      </c>
      <c r="FK200" s="14">
        <f>INDEX(属性投放!$BQ$6:$BQ$85,(卡牌属性!$DW200-2)*20+卡牌属性!$DX200)</f>
        <v>850</v>
      </c>
      <c r="FL200" s="14">
        <f>INDEX(属性投放!$BQ$6:$BQ$85,(卡牌属性!$DW200-2)*20+卡牌属性!$DX200)</f>
        <v>850</v>
      </c>
      <c r="FM200" s="14">
        <f>INDEX(属性投放!$BR$6:$BR$85,(卡牌属性!$DW200-2)*20+卡牌属性!$DX200)</f>
        <v>425</v>
      </c>
      <c r="FN200" s="14">
        <f>INDEX(属性投放!$BR$6:$BR$85,(卡牌属性!$DW200-2)*20+卡牌属性!$DX200)</f>
        <v>425</v>
      </c>
      <c r="FO200" s="14">
        <f>INDEX(属性投放!$BR$6:$BR$85,(卡牌属性!$DW200-2)*20+卡牌属性!$DX200)</f>
        <v>425</v>
      </c>
      <c r="FP200" s="14">
        <f>INDEX(属性投放!$BR$6:$BR$85,(卡牌属性!$DW200-2)*20+卡牌属性!$DX200)</f>
        <v>425</v>
      </c>
      <c r="FQ200" s="14">
        <f>INDEX(属性投放!$BR$6:$BR$85,(卡牌属性!$DW200-2)*20+卡牌属性!$DX200)</f>
        <v>425</v>
      </c>
      <c r="FR200" s="14">
        <f>INDEX(属性投放!$BS$6:$BS$85,(卡牌属性!$DW200-2)*20+卡牌属性!$DX200)</f>
        <v>8500</v>
      </c>
      <c r="FS200" s="14">
        <f>INDEX(属性投放!$BS$6:$BS$85,(卡牌属性!$DW200-2)*20+卡牌属性!$DX200)</f>
        <v>8500</v>
      </c>
      <c r="FT200" s="14">
        <f>INDEX(属性投放!$BS$6:$BS$85,(卡牌属性!$DW200-2)*20+卡牌属性!$DX200)</f>
        <v>8500</v>
      </c>
      <c r="FU200" s="14">
        <f>INDEX(属性投放!$BS$6:$BS$85,(卡牌属性!$DW200-2)*20+卡牌属性!$DX200)</f>
        <v>8500</v>
      </c>
      <c r="FV200" s="14">
        <f>INDEX(属性投放!$BS$6:$BS$85,(卡牌属性!$DW200-2)*20+卡牌属性!$DX200)</f>
        <v>8500</v>
      </c>
    </row>
    <row r="201" spans="31:178" ht="16.5" x14ac:dyDescent="0.2">
      <c r="AE201" s="13">
        <v>197</v>
      </c>
      <c r="AF201" s="13">
        <f t="shared" si="474"/>
        <v>10</v>
      </c>
      <c r="AG201" s="13">
        <f t="shared" si="461"/>
        <v>4</v>
      </c>
      <c r="AH201" s="13"/>
      <c r="AI201" s="13"/>
      <c r="AJ201" s="14">
        <f t="shared" si="462"/>
        <v>1101010</v>
      </c>
      <c r="AK201" s="14" t="str">
        <f t="shared" si="463"/>
        <v>盖文17突</v>
      </c>
      <c r="AL201" s="25" t="s">
        <v>142</v>
      </c>
      <c r="AM201" s="14">
        <v>1</v>
      </c>
      <c r="AN201" s="14">
        <f t="shared" si="464"/>
        <v>17</v>
      </c>
      <c r="AO201" s="14">
        <f>INDEX(属性投放!$DF$6:$DF$85,(卡牌属性!AG201-2)*20+卡牌属性!AN201)</f>
        <v>14867</v>
      </c>
      <c r="AP201" s="14">
        <f t="shared" si="440"/>
        <v>14867</v>
      </c>
      <c r="AQ201" s="14">
        <f t="shared" si="440"/>
        <v>14867</v>
      </c>
      <c r="AR201" s="14">
        <f t="shared" si="440"/>
        <v>14867</v>
      </c>
      <c r="AS201" s="14">
        <f t="shared" si="440"/>
        <v>14867</v>
      </c>
      <c r="AT201" s="14">
        <f>INDEX(属性投放!$DG$6:$DG$85,(卡牌属性!AG201-2)*20+卡牌属性!AN201)</f>
        <v>7352</v>
      </c>
      <c r="AU201" s="14">
        <f t="shared" si="441"/>
        <v>7352</v>
      </c>
      <c r="AV201" s="14">
        <f t="shared" si="441"/>
        <v>7352</v>
      </c>
      <c r="AW201" s="14">
        <f t="shared" si="441"/>
        <v>7352</v>
      </c>
      <c r="AX201" s="14">
        <f t="shared" si="441"/>
        <v>7352</v>
      </c>
      <c r="AY201" s="14">
        <f>INDEX(属性投放!$DH$6:$DH$85,(卡牌属性!AG201-2)*20+卡牌属性!AN201)</f>
        <v>134858</v>
      </c>
      <c r="AZ201" s="14">
        <f t="shared" si="442"/>
        <v>134858</v>
      </c>
      <c r="BA201" s="14">
        <f t="shared" si="442"/>
        <v>134858</v>
      </c>
      <c r="BB201" s="14">
        <f t="shared" si="442"/>
        <v>134858</v>
      </c>
      <c r="BC201" s="14">
        <f t="shared" si="442"/>
        <v>134858</v>
      </c>
      <c r="BD201" s="14">
        <f>INDEX(属性投放!$DL$6:$DL$85,(卡牌属性!AG201-2)*20+卡牌属性!AN201)</f>
        <v>284</v>
      </c>
      <c r="BE201" s="14">
        <f t="shared" si="443"/>
        <v>284</v>
      </c>
      <c r="BF201" s="14">
        <f t="shared" si="443"/>
        <v>284</v>
      </c>
      <c r="BG201" s="14">
        <f t="shared" si="443"/>
        <v>284</v>
      </c>
      <c r="BH201" s="14">
        <f t="shared" si="443"/>
        <v>284</v>
      </c>
      <c r="BI201" s="14">
        <f>INDEX(属性投放!$DM$6:$DM$85,(卡牌属性!AG201-2)*20+卡牌属性!AN201)</f>
        <v>142</v>
      </c>
      <c r="BJ201" s="14">
        <f t="shared" si="444"/>
        <v>142</v>
      </c>
      <c r="BK201" s="14">
        <f t="shared" si="444"/>
        <v>142</v>
      </c>
      <c r="BL201" s="14">
        <f t="shared" si="444"/>
        <v>142</v>
      </c>
      <c r="BM201" s="14">
        <f t="shared" si="444"/>
        <v>142</v>
      </c>
      <c r="BN201" s="14">
        <f>INDEX(属性投放!$DN$6:$DN$85,(卡牌属性!AG201-2)*20+卡牌属性!AN201)</f>
        <v>2845</v>
      </c>
      <c r="BO201" s="14">
        <f t="shared" si="445"/>
        <v>2845</v>
      </c>
      <c r="BP201" s="14">
        <f t="shared" si="445"/>
        <v>2845</v>
      </c>
      <c r="BQ201" s="14">
        <f t="shared" si="445"/>
        <v>2845</v>
      </c>
      <c r="BR201" s="14">
        <f t="shared" si="445"/>
        <v>2845</v>
      </c>
      <c r="BW201" s="13">
        <v>197</v>
      </c>
      <c r="BX201" s="13">
        <f t="shared" si="465"/>
        <v>10</v>
      </c>
      <c r="BY201" s="14">
        <f t="shared" si="466"/>
        <v>4</v>
      </c>
      <c r="BZ201" s="14">
        <f t="shared" si="475"/>
        <v>1102010</v>
      </c>
      <c r="CA201" s="14" t="str">
        <f t="shared" si="476"/>
        <v>张郃17突</v>
      </c>
      <c r="CB201" s="25" t="s">
        <v>142</v>
      </c>
      <c r="CC201" s="14">
        <v>2</v>
      </c>
      <c r="CD201" s="14">
        <f t="shared" si="467"/>
        <v>17</v>
      </c>
      <c r="CE201" s="14" t="s">
        <v>21</v>
      </c>
      <c r="CF201" s="14">
        <f>INDEX(属性投放!$AZ$6:$AZ$85,(BY201-2)*20+CD201)</f>
        <v>15328</v>
      </c>
      <c r="CG201" s="14" t="s">
        <v>22</v>
      </c>
      <c r="CH201" s="14">
        <f>INDEX(属性投放!$BA$6:$BA$85,(BY201-2)*20+CD201)</f>
        <v>7619</v>
      </c>
      <c r="CI201" s="14" t="s">
        <v>510</v>
      </c>
      <c r="CJ201" s="14">
        <f>INDEX(属性投放!$BB$6:$BB$85,(BY201-2)*20+CD201)</f>
        <v>139603</v>
      </c>
      <c r="CK201" s="14" t="s">
        <v>21</v>
      </c>
      <c r="CL201" s="14">
        <f>INDEX(属性投放!$BC$6:$BC$85,(BY201-2)*20+CD201)</f>
        <v>50</v>
      </c>
      <c r="CM201" s="14" t="s">
        <v>22</v>
      </c>
      <c r="CN201" s="14">
        <f>INDEX(属性投放!$BD$6:$BD$85,(BY201-2)*20+CD201)</f>
        <v>25</v>
      </c>
      <c r="CO201" s="14" t="s">
        <v>510</v>
      </c>
      <c r="CP201" s="14">
        <f>INDEX(属性投放!$BE$6:$BE$85,(BY201-2)*20+CD201)</f>
        <v>500</v>
      </c>
      <c r="CS201" s="13">
        <v>197</v>
      </c>
      <c r="CT201" s="13">
        <f t="shared" si="477"/>
        <v>4</v>
      </c>
      <c r="CU201" s="13">
        <f t="shared" si="478"/>
        <v>41</v>
      </c>
      <c r="CV201" s="14">
        <f t="shared" si="479"/>
        <v>2</v>
      </c>
      <c r="CW201" s="14">
        <f t="shared" si="480"/>
        <v>1102004</v>
      </c>
      <c r="CX201" s="14" t="str">
        <f>INDEX($O$6:$O$50,CT201)&amp;"-"&amp;INDEX(属性投放!$AB$7:$AB$50,CZ201)&amp;"-魂火-"&amp;DB201</f>
        <v>唐流雨-大焦热+1-魂火-2</v>
      </c>
      <c r="CY201" s="25" t="s">
        <v>142</v>
      </c>
      <c r="CZ201" s="14">
        <f>INDEX(属性投放!$AM$7:$AM$58,CU201)</f>
        <v>17</v>
      </c>
      <c r="DA201" s="14" t="s">
        <v>537</v>
      </c>
      <c r="DB201" s="14">
        <f>INDEX(属性投放!$AN$7:$AN$58,CU201)</f>
        <v>2</v>
      </c>
      <c r="DC201" s="14">
        <f t="shared" si="468"/>
        <v>41</v>
      </c>
      <c r="DD201" s="14">
        <f>INDEX(属性投放!$AO$7:$AO$58,DC201)</f>
        <v>120</v>
      </c>
      <c r="DE201" s="14" t="s">
        <v>538</v>
      </c>
      <c r="DF201" s="14">
        <f>INDEX(属性投放!$BK$6:$BK$85,(CV201-2)*20+CZ201)</f>
        <v>550</v>
      </c>
      <c r="DG201" s="14">
        <f>SUMIFS(DF$5:DF201,$CT$5:$CT201,"="&amp;$CT201)</f>
        <v>6975</v>
      </c>
      <c r="DH201" s="14" t="s">
        <v>539</v>
      </c>
      <c r="DI201" s="14">
        <f>INDEX(属性投放!$BL$6:$BL$85,(CV201-2)*20+CZ201)</f>
        <v>275</v>
      </c>
      <c r="DJ201" s="14">
        <f>SUMIFS(DI$5:DI201,$CT$5:$CT201,"="&amp;$CT201)</f>
        <v>3491</v>
      </c>
      <c r="DK201" s="14" t="s">
        <v>540</v>
      </c>
      <c r="DL201" s="14">
        <f>INDEX(属性投放!$BM$6:$BM$85,(CV201-2)*20+CZ201)</f>
        <v>5500</v>
      </c>
      <c r="DM201" s="14">
        <f>SUMIFS(DL$5:DL201,$CT$5:$CT201,"="&amp;$CT201)</f>
        <v>66520</v>
      </c>
      <c r="DR201" s="14">
        <f t="shared" si="469"/>
        <v>1102010</v>
      </c>
      <c r="DS201" s="14" t="str">
        <f t="shared" si="470"/>
        <v>张郃17突</v>
      </c>
      <c r="DT201" s="14">
        <f t="shared" si="481"/>
        <v>8</v>
      </c>
      <c r="DU201" s="14">
        <f t="shared" si="482"/>
        <v>6</v>
      </c>
      <c r="DV201" s="14">
        <f t="shared" si="483"/>
        <v>5</v>
      </c>
      <c r="DW201" s="14">
        <f t="shared" si="471"/>
        <v>4</v>
      </c>
      <c r="DX201" s="14">
        <f t="shared" si="472"/>
        <v>17</v>
      </c>
      <c r="DY201" s="14">
        <f t="shared" si="473"/>
        <v>57</v>
      </c>
      <c r="DZ201" s="14">
        <f>INDEX(属性投放!$AX$6:$AX$85,(卡牌属性!DW201-2)*20+卡牌属性!DX201)</f>
        <v>8</v>
      </c>
      <c r="EA201" s="14">
        <f>INDEX(属性投放!BQ$6:BQ$85,卡牌属性!$DY201)</f>
        <v>950</v>
      </c>
      <c r="EB201" s="14">
        <f>INDEX(属性投放!BR$6:BR$85,卡牌属性!$DY201)</f>
        <v>475</v>
      </c>
      <c r="EC201" s="14">
        <f>INDEX(属性投放!BS$6:BS$85,卡牌属性!$DY201)</f>
        <v>9500</v>
      </c>
      <c r="ED201" s="14">
        <f t="shared" si="446"/>
        <v>8380</v>
      </c>
      <c r="EE201" s="14">
        <f t="shared" si="447"/>
        <v>8930</v>
      </c>
      <c r="EF201" s="14">
        <f t="shared" si="448"/>
        <v>10360</v>
      </c>
      <c r="EG201" s="14">
        <f t="shared" si="449"/>
        <v>10360</v>
      </c>
      <c r="EH201" s="14">
        <f t="shared" si="450"/>
        <v>12405</v>
      </c>
      <c r="EI201" s="14">
        <f t="shared" si="451"/>
        <v>3409</v>
      </c>
      <c r="EJ201" s="14">
        <f t="shared" si="452"/>
        <v>3917</v>
      </c>
      <c r="EK201" s="14">
        <f t="shared" si="453"/>
        <v>3917</v>
      </c>
      <c r="EL201" s="14">
        <f t="shared" si="454"/>
        <v>4176</v>
      </c>
      <c r="EM201" s="14">
        <f t="shared" si="455"/>
        <v>4433</v>
      </c>
      <c r="EN201" s="14">
        <f t="shared" si="456"/>
        <v>59320</v>
      </c>
      <c r="EO201" s="14">
        <f t="shared" si="457"/>
        <v>60834</v>
      </c>
      <c r="EP201" s="14">
        <f t="shared" si="458"/>
        <v>60834</v>
      </c>
      <c r="EQ201" s="14">
        <f t="shared" si="459"/>
        <v>69818</v>
      </c>
      <c r="ER201" s="14">
        <f t="shared" si="460"/>
        <v>73862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INDEX(属性投放!$BQ$6:$BQ$85,(卡牌属性!$DW201-2)*20+卡牌属性!$DX201)</f>
        <v>950</v>
      </c>
      <c r="FI201" s="14">
        <f>INDEX(属性投放!$BQ$6:$BQ$85,(卡牌属性!$DW201-2)*20+卡牌属性!$DX201)</f>
        <v>950</v>
      </c>
      <c r="FJ201" s="14">
        <f>INDEX(属性投放!$BQ$6:$BQ$85,(卡牌属性!$DW201-2)*20+卡牌属性!$DX201)</f>
        <v>950</v>
      </c>
      <c r="FK201" s="14">
        <f>INDEX(属性投放!$BQ$6:$BQ$85,(卡牌属性!$DW201-2)*20+卡牌属性!$DX201)</f>
        <v>950</v>
      </c>
      <c r="FL201" s="14">
        <f>INDEX(属性投放!$BQ$6:$BQ$85,(卡牌属性!$DW201-2)*20+卡牌属性!$DX201)</f>
        <v>950</v>
      </c>
      <c r="FM201" s="14">
        <f>INDEX(属性投放!$BR$6:$BR$85,(卡牌属性!$DW201-2)*20+卡牌属性!$DX201)</f>
        <v>475</v>
      </c>
      <c r="FN201" s="14">
        <f>INDEX(属性投放!$BR$6:$BR$85,(卡牌属性!$DW201-2)*20+卡牌属性!$DX201)</f>
        <v>475</v>
      </c>
      <c r="FO201" s="14">
        <f>INDEX(属性投放!$BR$6:$BR$85,(卡牌属性!$DW201-2)*20+卡牌属性!$DX201)</f>
        <v>475</v>
      </c>
      <c r="FP201" s="14">
        <f>INDEX(属性投放!$BR$6:$BR$85,(卡牌属性!$DW201-2)*20+卡牌属性!$DX201)</f>
        <v>475</v>
      </c>
      <c r="FQ201" s="14">
        <f>INDEX(属性投放!$BR$6:$BR$85,(卡牌属性!$DW201-2)*20+卡牌属性!$DX201)</f>
        <v>475</v>
      </c>
      <c r="FR201" s="14">
        <f>INDEX(属性投放!$BS$6:$BS$85,(卡牌属性!$DW201-2)*20+卡牌属性!$DX201)</f>
        <v>9500</v>
      </c>
      <c r="FS201" s="14">
        <f>INDEX(属性投放!$BS$6:$BS$85,(卡牌属性!$DW201-2)*20+卡牌属性!$DX201)</f>
        <v>9500</v>
      </c>
      <c r="FT201" s="14">
        <f>INDEX(属性投放!$BS$6:$BS$85,(卡牌属性!$DW201-2)*20+卡牌属性!$DX201)</f>
        <v>9500</v>
      </c>
      <c r="FU201" s="14">
        <f>INDEX(属性投放!$BS$6:$BS$85,(卡牌属性!$DW201-2)*20+卡牌属性!$DX201)</f>
        <v>9500</v>
      </c>
      <c r="FV201" s="14">
        <f>INDEX(属性投放!$BS$6:$BS$85,(卡牌属性!$DW201-2)*20+卡牌属性!$DX201)</f>
        <v>9500</v>
      </c>
    </row>
    <row r="202" spans="31:178" ht="16.5" x14ac:dyDescent="0.2">
      <c r="AE202" s="13">
        <v>198</v>
      </c>
      <c r="AF202" s="13">
        <f t="shared" si="474"/>
        <v>10</v>
      </c>
      <c r="AG202" s="13">
        <f t="shared" si="461"/>
        <v>4</v>
      </c>
      <c r="AH202" s="13"/>
      <c r="AI202" s="13"/>
      <c r="AJ202" s="14">
        <f t="shared" si="462"/>
        <v>1101010</v>
      </c>
      <c r="AK202" s="14" t="str">
        <f t="shared" si="463"/>
        <v>盖文18突</v>
      </c>
      <c r="AL202" s="25" t="s">
        <v>142</v>
      </c>
      <c r="AM202" s="14">
        <v>1</v>
      </c>
      <c r="AN202" s="14">
        <f t="shared" si="464"/>
        <v>18</v>
      </c>
      <c r="AO202" s="14">
        <f>INDEX(属性投放!$DF$6:$DF$85,(卡牌属性!AG202-2)*20+卡牌属性!AN202)</f>
        <v>15883</v>
      </c>
      <c r="AP202" s="14">
        <f t="shared" si="440"/>
        <v>15883</v>
      </c>
      <c r="AQ202" s="14">
        <f t="shared" si="440"/>
        <v>15883</v>
      </c>
      <c r="AR202" s="14">
        <f t="shared" si="440"/>
        <v>15883</v>
      </c>
      <c r="AS202" s="14">
        <f t="shared" si="440"/>
        <v>15883</v>
      </c>
      <c r="AT202" s="14">
        <f>INDEX(属性投放!$DG$6:$DG$85,(卡牌属性!AG202-2)*20+卡牌属性!AN202)</f>
        <v>7860</v>
      </c>
      <c r="AU202" s="14">
        <f t="shared" si="441"/>
        <v>7860</v>
      </c>
      <c r="AV202" s="14">
        <f t="shared" si="441"/>
        <v>7860</v>
      </c>
      <c r="AW202" s="14">
        <f t="shared" si="441"/>
        <v>7860</v>
      </c>
      <c r="AX202" s="14">
        <f t="shared" si="441"/>
        <v>7860</v>
      </c>
      <c r="AY202" s="14">
        <f>INDEX(属性投放!$DH$6:$DH$85,(卡牌属性!AG202-2)*20+卡牌属性!AN202)</f>
        <v>145018</v>
      </c>
      <c r="AZ202" s="14">
        <f t="shared" si="442"/>
        <v>145018</v>
      </c>
      <c r="BA202" s="14">
        <f t="shared" si="442"/>
        <v>145018</v>
      </c>
      <c r="BB202" s="14">
        <f t="shared" si="442"/>
        <v>145018</v>
      </c>
      <c r="BC202" s="14">
        <f t="shared" si="442"/>
        <v>145018</v>
      </c>
      <c r="BD202" s="14">
        <f>INDEX(属性投放!$DL$6:$DL$85,(卡牌属性!AG202-2)*20+卡牌属性!AN202)</f>
        <v>284</v>
      </c>
      <c r="BE202" s="14">
        <f t="shared" si="443"/>
        <v>284</v>
      </c>
      <c r="BF202" s="14">
        <f t="shared" si="443"/>
        <v>284</v>
      </c>
      <c r="BG202" s="14">
        <f t="shared" si="443"/>
        <v>284</v>
      </c>
      <c r="BH202" s="14">
        <f t="shared" si="443"/>
        <v>284</v>
      </c>
      <c r="BI202" s="14">
        <f>INDEX(属性投放!$DM$6:$DM$85,(卡牌属性!AG202-2)*20+卡牌属性!AN202)</f>
        <v>142</v>
      </c>
      <c r="BJ202" s="14">
        <f t="shared" si="444"/>
        <v>142</v>
      </c>
      <c r="BK202" s="14">
        <f t="shared" si="444"/>
        <v>142</v>
      </c>
      <c r="BL202" s="14">
        <f t="shared" si="444"/>
        <v>142</v>
      </c>
      <c r="BM202" s="14">
        <f t="shared" si="444"/>
        <v>142</v>
      </c>
      <c r="BN202" s="14">
        <f>INDEX(属性投放!$DN$6:$DN$85,(卡牌属性!AG202-2)*20+卡牌属性!AN202)</f>
        <v>2845</v>
      </c>
      <c r="BO202" s="14">
        <f t="shared" si="445"/>
        <v>2845</v>
      </c>
      <c r="BP202" s="14">
        <f t="shared" si="445"/>
        <v>2845</v>
      </c>
      <c r="BQ202" s="14">
        <f t="shared" si="445"/>
        <v>2845</v>
      </c>
      <c r="BR202" s="14">
        <f t="shared" si="445"/>
        <v>2845</v>
      </c>
      <c r="BW202" s="13">
        <v>198</v>
      </c>
      <c r="BX202" s="13">
        <f t="shared" si="465"/>
        <v>10</v>
      </c>
      <c r="BY202" s="14">
        <f t="shared" si="466"/>
        <v>4</v>
      </c>
      <c r="BZ202" s="14">
        <f t="shared" si="475"/>
        <v>1102010</v>
      </c>
      <c r="CA202" s="14" t="str">
        <f t="shared" si="476"/>
        <v>张郃18突</v>
      </c>
      <c r="CB202" s="25" t="s">
        <v>142</v>
      </c>
      <c r="CC202" s="14">
        <v>2</v>
      </c>
      <c r="CD202" s="14">
        <f t="shared" si="467"/>
        <v>18</v>
      </c>
      <c r="CE202" s="14" t="s">
        <v>21</v>
      </c>
      <c r="CF202" s="14">
        <f>INDEX(属性投放!$AZ$6:$AZ$85,(BY202-2)*20+CD202)</f>
        <v>18628</v>
      </c>
      <c r="CG202" s="14" t="s">
        <v>22</v>
      </c>
      <c r="CH202" s="14">
        <f>INDEX(属性投放!$BA$6:$BA$85,(BY202-2)*20+CD202)</f>
        <v>9269</v>
      </c>
      <c r="CI202" s="14" t="s">
        <v>510</v>
      </c>
      <c r="CJ202" s="14">
        <f>INDEX(属性投放!$BB$6:$BB$85,(BY202-2)*20+CD202)</f>
        <v>172603</v>
      </c>
      <c r="CK202" s="14" t="s">
        <v>21</v>
      </c>
      <c r="CL202" s="14">
        <f>INDEX(属性投放!$BC$6:$BC$85,(BY202-2)*20+CD202)</f>
        <v>50</v>
      </c>
      <c r="CM202" s="14" t="s">
        <v>22</v>
      </c>
      <c r="CN202" s="14">
        <f>INDEX(属性投放!$BD$6:$BD$85,(BY202-2)*20+CD202)</f>
        <v>25</v>
      </c>
      <c r="CO202" s="14" t="s">
        <v>510</v>
      </c>
      <c r="CP202" s="14">
        <f>INDEX(属性投放!$BE$6:$BE$85,(BY202-2)*20+CD202)</f>
        <v>500</v>
      </c>
      <c r="CS202" s="13">
        <v>198</v>
      </c>
      <c r="CT202" s="13">
        <f t="shared" si="477"/>
        <v>4</v>
      </c>
      <c r="CU202" s="13">
        <f t="shared" si="478"/>
        <v>42</v>
      </c>
      <c r="CV202" s="14">
        <f t="shared" si="479"/>
        <v>2</v>
      </c>
      <c r="CW202" s="14">
        <f t="shared" si="480"/>
        <v>1102004</v>
      </c>
      <c r="CX202" s="14" t="str">
        <f>INDEX($O$6:$O$50,CT202)&amp;"-"&amp;INDEX(属性投放!$AB$7:$AB$50,CZ202)&amp;"-魂火-"&amp;DB202</f>
        <v>唐流雨-大焦热+1-魂火-3</v>
      </c>
      <c r="CY202" s="25" t="s">
        <v>142</v>
      </c>
      <c r="CZ202" s="14">
        <f>INDEX(属性投放!$AM$7:$AM$58,CU202)</f>
        <v>17</v>
      </c>
      <c r="DA202" s="14" t="s">
        <v>537</v>
      </c>
      <c r="DB202" s="14">
        <f>INDEX(属性投放!$AN$7:$AN$58,CU202)</f>
        <v>3</v>
      </c>
      <c r="DC202" s="14">
        <f t="shared" si="468"/>
        <v>42</v>
      </c>
      <c r="DD202" s="14">
        <f>INDEX(属性投放!$AO$7:$AO$58,DC202)</f>
        <v>123</v>
      </c>
      <c r="DE202" s="14" t="s">
        <v>538</v>
      </c>
      <c r="DF202" s="14">
        <f>INDEX(属性投放!$BK$6:$BK$85,(CV202-2)*20+CZ202)</f>
        <v>550</v>
      </c>
      <c r="DG202" s="14">
        <f>SUMIFS(DF$5:DF202,$CT$5:$CT202,"="&amp;$CT202)</f>
        <v>7525</v>
      </c>
      <c r="DH202" s="14" t="s">
        <v>539</v>
      </c>
      <c r="DI202" s="14">
        <f>INDEX(属性投放!$BL$6:$BL$85,(CV202-2)*20+CZ202)</f>
        <v>275</v>
      </c>
      <c r="DJ202" s="14">
        <f>SUMIFS(DI$5:DI202,$CT$5:$CT202,"="&amp;$CT202)</f>
        <v>3766</v>
      </c>
      <c r="DK202" s="14" t="s">
        <v>540</v>
      </c>
      <c r="DL202" s="14">
        <f>INDEX(属性投放!$BM$6:$BM$85,(CV202-2)*20+CZ202)</f>
        <v>5500</v>
      </c>
      <c r="DM202" s="14">
        <f>SUMIFS(DL$5:DL202,$CT$5:$CT202,"="&amp;$CT202)</f>
        <v>72020</v>
      </c>
      <c r="DR202" s="14">
        <f t="shared" si="469"/>
        <v>1102010</v>
      </c>
      <c r="DS202" s="14" t="str">
        <f t="shared" si="470"/>
        <v>张郃18突</v>
      </c>
      <c r="DT202" s="14">
        <f t="shared" si="481"/>
        <v>8</v>
      </c>
      <c r="DU202" s="14">
        <f t="shared" si="482"/>
        <v>6</v>
      </c>
      <c r="DV202" s="14">
        <f t="shared" si="483"/>
        <v>5</v>
      </c>
      <c r="DW202" s="14">
        <f t="shared" si="471"/>
        <v>4</v>
      </c>
      <c r="DX202" s="14">
        <f t="shared" si="472"/>
        <v>18</v>
      </c>
      <c r="DY202" s="14">
        <f t="shared" si="473"/>
        <v>58</v>
      </c>
      <c r="DZ202" s="14">
        <f>INDEX(属性投放!$AX$6:$AX$85,(卡牌属性!DW202-2)*20+卡牌属性!DX202)</f>
        <v>7</v>
      </c>
      <c r="EA202" s="14">
        <f>INDEX(属性投放!BQ$6:BQ$85,卡牌属性!$DY202)</f>
        <v>1500</v>
      </c>
      <c r="EB202" s="14">
        <f>INDEX(属性投放!BR$6:BR$85,卡牌属性!$DY202)</f>
        <v>750</v>
      </c>
      <c r="EC202" s="14">
        <f>INDEX(属性投放!BS$6:BS$85,卡牌属性!$DY202)</f>
        <v>15000</v>
      </c>
      <c r="ED202" s="14">
        <f t="shared" si="446"/>
        <v>9810</v>
      </c>
      <c r="EE202" s="14">
        <f t="shared" si="447"/>
        <v>10480</v>
      </c>
      <c r="EF202" s="14">
        <f t="shared" si="448"/>
        <v>12110</v>
      </c>
      <c r="EG202" s="14">
        <f t="shared" si="449"/>
        <v>12110</v>
      </c>
      <c r="EH202" s="14">
        <f t="shared" si="450"/>
        <v>14555</v>
      </c>
      <c r="EI202" s="14">
        <f t="shared" si="451"/>
        <v>4028</v>
      </c>
      <c r="EJ202" s="14">
        <f t="shared" si="452"/>
        <v>4592</v>
      </c>
      <c r="EK202" s="14">
        <f t="shared" si="453"/>
        <v>4592</v>
      </c>
      <c r="EL202" s="14">
        <f t="shared" si="454"/>
        <v>4891</v>
      </c>
      <c r="EM202" s="14">
        <f t="shared" si="455"/>
        <v>5212</v>
      </c>
      <c r="EN202" s="14">
        <f t="shared" si="456"/>
        <v>71220</v>
      </c>
      <c r="EO202" s="14">
        <f t="shared" si="457"/>
        <v>73134</v>
      </c>
      <c r="EP202" s="14">
        <f t="shared" si="458"/>
        <v>73134</v>
      </c>
      <c r="EQ202" s="14">
        <f t="shared" si="459"/>
        <v>83318</v>
      </c>
      <c r="ER202" s="14">
        <f t="shared" si="460"/>
        <v>88162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INDEX(属性投放!$BQ$6:$BQ$85,(卡牌属性!$DW202-2)*20+卡牌属性!$DX202)</f>
        <v>1500</v>
      </c>
      <c r="FI202" s="14">
        <f>INDEX(属性投放!$BQ$6:$BQ$85,(卡牌属性!$DW202-2)*20+卡牌属性!$DX202)</f>
        <v>1500</v>
      </c>
      <c r="FJ202" s="14">
        <f>INDEX(属性投放!$BQ$6:$BQ$85,(卡牌属性!$DW202-2)*20+卡牌属性!$DX202)</f>
        <v>1500</v>
      </c>
      <c r="FK202" s="14">
        <f>INDEX(属性投放!$BQ$6:$BQ$85,(卡牌属性!$DW202-2)*20+卡牌属性!$DX202)</f>
        <v>1500</v>
      </c>
      <c r="FL202" s="14">
        <f>INDEX(属性投放!$BQ$6:$BQ$85,(卡牌属性!$DW202-2)*20+卡牌属性!$DX202)</f>
        <v>1500</v>
      </c>
      <c r="FM202" s="14">
        <f>INDEX(属性投放!$BR$6:$BR$85,(卡牌属性!$DW202-2)*20+卡牌属性!$DX202)</f>
        <v>750</v>
      </c>
      <c r="FN202" s="14">
        <f>INDEX(属性投放!$BR$6:$BR$85,(卡牌属性!$DW202-2)*20+卡牌属性!$DX202)</f>
        <v>750</v>
      </c>
      <c r="FO202" s="14">
        <f>INDEX(属性投放!$BR$6:$BR$85,(卡牌属性!$DW202-2)*20+卡牌属性!$DX202)</f>
        <v>750</v>
      </c>
      <c r="FP202" s="14">
        <f>INDEX(属性投放!$BR$6:$BR$85,(卡牌属性!$DW202-2)*20+卡牌属性!$DX202)</f>
        <v>750</v>
      </c>
      <c r="FQ202" s="14">
        <f>INDEX(属性投放!$BR$6:$BR$85,(卡牌属性!$DW202-2)*20+卡牌属性!$DX202)</f>
        <v>750</v>
      </c>
      <c r="FR202" s="14">
        <f>INDEX(属性投放!$BS$6:$BS$85,(卡牌属性!$DW202-2)*20+卡牌属性!$DX202)</f>
        <v>15000</v>
      </c>
      <c r="FS202" s="14">
        <f>INDEX(属性投放!$BS$6:$BS$85,(卡牌属性!$DW202-2)*20+卡牌属性!$DX202)</f>
        <v>15000</v>
      </c>
      <c r="FT202" s="14">
        <f>INDEX(属性投放!$BS$6:$BS$85,(卡牌属性!$DW202-2)*20+卡牌属性!$DX202)</f>
        <v>15000</v>
      </c>
      <c r="FU202" s="14">
        <f>INDEX(属性投放!$BS$6:$BS$85,(卡牌属性!$DW202-2)*20+卡牌属性!$DX202)</f>
        <v>15000</v>
      </c>
      <c r="FV202" s="14">
        <f>INDEX(属性投放!$BS$6:$BS$85,(卡牌属性!$DW202-2)*20+卡牌属性!$DX202)</f>
        <v>15000</v>
      </c>
    </row>
    <row r="203" spans="31:178" ht="16.5" x14ac:dyDescent="0.2">
      <c r="AE203" s="13">
        <v>199</v>
      </c>
      <c r="AF203" s="13">
        <f t="shared" si="474"/>
        <v>10</v>
      </c>
      <c r="AG203" s="13">
        <f t="shared" si="461"/>
        <v>4</v>
      </c>
      <c r="AH203" s="13"/>
      <c r="AI203" s="13"/>
      <c r="AJ203" s="14">
        <f t="shared" si="462"/>
        <v>1101010</v>
      </c>
      <c r="AK203" s="14" t="str">
        <f t="shared" si="463"/>
        <v>盖文19突</v>
      </c>
      <c r="AL203" s="25" t="s">
        <v>142</v>
      </c>
      <c r="AM203" s="14">
        <v>1</v>
      </c>
      <c r="AN203" s="14">
        <f t="shared" si="464"/>
        <v>19</v>
      </c>
      <c r="AO203" s="14">
        <f>INDEX(属性投放!$DF$6:$DF$85,(卡牌属性!AG203-2)*20+卡牌属性!AN203)</f>
        <v>23999</v>
      </c>
      <c r="AP203" s="14">
        <f t="shared" si="440"/>
        <v>23999</v>
      </c>
      <c r="AQ203" s="14">
        <f t="shared" si="440"/>
        <v>23999</v>
      </c>
      <c r="AR203" s="14">
        <f t="shared" si="440"/>
        <v>23999</v>
      </c>
      <c r="AS203" s="14">
        <f t="shared" si="440"/>
        <v>23999</v>
      </c>
      <c r="AT203" s="14">
        <f>INDEX(属性投放!$DG$6:$DG$85,(卡牌属性!AG203-2)*20+卡牌属性!AN203)</f>
        <v>11918</v>
      </c>
      <c r="AU203" s="14">
        <f t="shared" si="441"/>
        <v>11918</v>
      </c>
      <c r="AV203" s="14">
        <f t="shared" si="441"/>
        <v>11918</v>
      </c>
      <c r="AW203" s="14">
        <f t="shared" si="441"/>
        <v>11918</v>
      </c>
      <c r="AX203" s="14">
        <f t="shared" si="441"/>
        <v>11918</v>
      </c>
      <c r="AY203" s="14">
        <f>INDEX(属性投放!$DH$6:$DH$85,(卡牌属性!AG203-2)*20+卡牌属性!AN203)</f>
        <v>226303</v>
      </c>
      <c r="AZ203" s="14">
        <f t="shared" si="442"/>
        <v>226303</v>
      </c>
      <c r="BA203" s="14">
        <f t="shared" si="442"/>
        <v>226303</v>
      </c>
      <c r="BB203" s="14">
        <f t="shared" si="442"/>
        <v>226303</v>
      </c>
      <c r="BC203" s="14">
        <f t="shared" si="442"/>
        <v>226303</v>
      </c>
      <c r="BD203" s="14">
        <f>INDEX(属性投放!$DL$6:$DL$85,(卡牌属性!AG203-2)*20+卡牌属性!AN203)</f>
        <v>516</v>
      </c>
      <c r="BE203" s="14">
        <f t="shared" si="443"/>
        <v>516</v>
      </c>
      <c r="BF203" s="14">
        <f t="shared" si="443"/>
        <v>516</v>
      </c>
      <c r="BG203" s="14">
        <f t="shared" si="443"/>
        <v>516</v>
      </c>
      <c r="BH203" s="14">
        <f t="shared" si="443"/>
        <v>516</v>
      </c>
      <c r="BI203" s="14">
        <f>INDEX(属性投放!$DM$6:$DM$85,(卡牌属性!AG203-2)*20+卡牌属性!AN203)</f>
        <v>258</v>
      </c>
      <c r="BJ203" s="14">
        <f t="shared" si="444"/>
        <v>258</v>
      </c>
      <c r="BK203" s="14">
        <f t="shared" si="444"/>
        <v>258</v>
      </c>
      <c r="BL203" s="14">
        <f t="shared" si="444"/>
        <v>258</v>
      </c>
      <c r="BM203" s="14">
        <f t="shared" si="444"/>
        <v>258</v>
      </c>
      <c r="BN203" s="14">
        <f>INDEX(属性投放!$DN$6:$DN$85,(卡牌属性!AG203-2)*20+卡牌属性!AN203)</f>
        <v>5157</v>
      </c>
      <c r="BO203" s="14">
        <f t="shared" si="445"/>
        <v>5157</v>
      </c>
      <c r="BP203" s="14">
        <f t="shared" si="445"/>
        <v>5157</v>
      </c>
      <c r="BQ203" s="14">
        <f t="shared" si="445"/>
        <v>5157</v>
      </c>
      <c r="BR203" s="14">
        <f t="shared" si="445"/>
        <v>5157</v>
      </c>
      <c r="BW203" s="13">
        <v>199</v>
      </c>
      <c r="BX203" s="13">
        <f t="shared" si="465"/>
        <v>10</v>
      </c>
      <c r="BY203" s="14">
        <f t="shared" si="466"/>
        <v>4</v>
      </c>
      <c r="BZ203" s="14">
        <f t="shared" si="475"/>
        <v>1102010</v>
      </c>
      <c r="CA203" s="14" t="str">
        <f t="shared" si="476"/>
        <v>张郃19突</v>
      </c>
      <c r="CB203" s="25" t="s">
        <v>142</v>
      </c>
      <c r="CC203" s="14">
        <v>2</v>
      </c>
      <c r="CD203" s="14">
        <f t="shared" si="467"/>
        <v>19</v>
      </c>
      <c r="CE203" s="14" t="s">
        <v>21</v>
      </c>
      <c r="CF203" s="14">
        <f>INDEX(属性投放!$AZ$6:$AZ$85,(BY203-2)*20+CD203)</f>
        <v>22728</v>
      </c>
      <c r="CG203" s="14" t="s">
        <v>22</v>
      </c>
      <c r="CH203" s="14">
        <f>INDEX(属性投放!$BA$6:$BA$85,(BY203-2)*20+CD203)</f>
        <v>11319</v>
      </c>
      <c r="CI203" s="14" t="s">
        <v>510</v>
      </c>
      <c r="CJ203" s="14">
        <f>INDEX(属性投放!$BB$6:$BB$85,(BY203-2)*20+CD203)</f>
        <v>213603</v>
      </c>
      <c r="CK203" s="14" t="s">
        <v>21</v>
      </c>
      <c r="CL203" s="14">
        <f>INDEX(属性投放!$BC$6:$BC$85,(BY203-2)*20+CD203)</f>
        <v>75</v>
      </c>
      <c r="CM203" s="14" t="s">
        <v>22</v>
      </c>
      <c r="CN203" s="14">
        <f>INDEX(属性投放!$BD$6:$BD$85,(BY203-2)*20+CD203)</f>
        <v>38</v>
      </c>
      <c r="CO203" s="14" t="s">
        <v>510</v>
      </c>
      <c r="CP203" s="14">
        <f>INDEX(属性投放!$BE$6:$BE$85,(BY203-2)*20+CD203)</f>
        <v>750</v>
      </c>
      <c r="CS203" s="13">
        <v>199</v>
      </c>
      <c r="CT203" s="13">
        <f t="shared" si="477"/>
        <v>4</v>
      </c>
      <c r="CU203" s="13">
        <f t="shared" si="478"/>
        <v>43</v>
      </c>
      <c r="CV203" s="14">
        <f t="shared" si="479"/>
        <v>2</v>
      </c>
      <c r="CW203" s="14">
        <f t="shared" si="480"/>
        <v>1102004</v>
      </c>
      <c r="CX203" s="14" t="str">
        <f>INDEX($O$6:$O$50,CT203)&amp;"-"&amp;INDEX(属性投放!$AB$7:$AB$50,CZ203)&amp;"-魂火-"&amp;DB203</f>
        <v>唐流雨-大焦热+2-魂火-1</v>
      </c>
      <c r="CY203" s="25" t="s">
        <v>142</v>
      </c>
      <c r="CZ203" s="14">
        <f>INDEX(属性投放!$AM$7:$AM$58,CU203)</f>
        <v>18</v>
      </c>
      <c r="DA203" s="14" t="s">
        <v>537</v>
      </c>
      <c r="DB203" s="14">
        <f>INDEX(属性投放!$AN$7:$AN$58,CU203)</f>
        <v>1</v>
      </c>
      <c r="DC203" s="14">
        <f t="shared" si="468"/>
        <v>43</v>
      </c>
      <c r="DD203" s="14">
        <f>INDEX(属性投放!$AO$7:$AO$58,DC203)</f>
        <v>125</v>
      </c>
      <c r="DE203" s="14" t="s">
        <v>538</v>
      </c>
      <c r="DF203" s="14">
        <f>INDEX(属性投放!$BK$6:$BK$85,(CV203-2)*20+CZ203)</f>
        <v>680</v>
      </c>
      <c r="DG203" s="14">
        <f>SUMIFS(DF$5:DF203,$CT$5:$CT203,"="&amp;$CT203)</f>
        <v>8205</v>
      </c>
      <c r="DH203" s="14" t="s">
        <v>539</v>
      </c>
      <c r="DI203" s="14">
        <f>INDEX(属性投放!$BL$6:$BL$85,(CV203-2)*20+CZ203)</f>
        <v>340</v>
      </c>
      <c r="DJ203" s="14">
        <f>SUMIFS(DI$5:DI203,$CT$5:$CT203,"="&amp;$CT203)</f>
        <v>4106</v>
      </c>
      <c r="DK203" s="14" t="s">
        <v>540</v>
      </c>
      <c r="DL203" s="14">
        <f>INDEX(属性投放!$BM$6:$BM$85,(CV203-2)*20+CZ203)</f>
        <v>6800</v>
      </c>
      <c r="DM203" s="14">
        <f>SUMIFS(DL$5:DL203,$CT$5:$CT203,"="&amp;$CT203)</f>
        <v>78820</v>
      </c>
      <c r="DR203" s="14">
        <f t="shared" si="469"/>
        <v>1102010</v>
      </c>
      <c r="DS203" s="14" t="str">
        <f t="shared" si="470"/>
        <v>张郃19突</v>
      </c>
      <c r="DT203" s="14">
        <f t="shared" si="481"/>
        <v>8</v>
      </c>
      <c r="DU203" s="14">
        <f t="shared" si="482"/>
        <v>6</v>
      </c>
      <c r="DV203" s="14">
        <f t="shared" si="483"/>
        <v>5</v>
      </c>
      <c r="DW203" s="14">
        <f t="shared" si="471"/>
        <v>4</v>
      </c>
      <c r="DX203" s="14">
        <f t="shared" si="472"/>
        <v>19</v>
      </c>
      <c r="DY203" s="14">
        <f t="shared" si="473"/>
        <v>59</v>
      </c>
      <c r="DZ203" s="14">
        <f>INDEX(属性投放!$AX$6:$AX$85,(卡牌属性!DW203-2)*20+卡牌属性!DX203)</f>
        <v>8</v>
      </c>
      <c r="EA203" s="14">
        <f>INDEX(属性投放!BQ$6:BQ$85,卡牌属性!$DY203)</f>
        <v>1500</v>
      </c>
      <c r="EB203" s="14">
        <f>INDEX(属性投放!BR$6:BR$85,卡牌属性!$DY203)</f>
        <v>750</v>
      </c>
      <c r="EC203" s="14">
        <f>INDEX(属性投放!BS$6:BS$85,卡牌属性!$DY203)</f>
        <v>15000</v>
      </c>
      <c r="ED203" s="14">
        <f t="shared" si="446"/>
        <v>11730</v>
      </c>
      <c r="EE203" s="14">
        <f t="shared" si="447"/>
        <v>12505</v>
      </c>
      <c r="EF203" s="14">
        <f t="shared" si="448"/>
        <v>14310</v>
      </c>
      <c r="EG203" s="14">
        <f t="shared" si="449"/>
        <v>14310</v>
      </c>
      <c r="EH203" s="14">
        <f t="shared" si="450"/>
        <v>17105</v>
      </c>
      <c r="EI203" s="14">
        <f t="shared" si="451"/>
        <v>4904</v>
      </c>
      <c r="EJ203" s="14">
        <f t="shared" si="452"/>
        <v>5517</v>
      </c>
      <c r="EK203" s="14">
        <f t="shared" si="453"/>
        <v>5517</v>
      </c>
      <c r="EL203" s="14">
        <f t="shared" si="454"/>
        <v>5851</v>
      </c>
      <c r="EM203" s="14">
        <f t="shared" si="455"/>
        <v>6228</v>
      </c>
      <c r="EN203" s="14">
        <f t="shared" si="456"/>
        <v>88320</v>
      </c>
      <c r="EO203" s="14">
        <f t="shared" si="457"/>
        <v>90584</v>
      </c>
      <c r="EP203" s="14">
        <f t="shared" si="458"/>
        <v>90584</v>
      </c>
      <c r="EQ203" s="14">
        <f t="shared" si="459"/>
        <v>101818</v>
      </c>
      <c r="ER203" s="14">
        <f t="shared" si="460"/>
        <v>107362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INDEX(属性投放!$BQ$6:$BQ$85,(卡牌属性!$DW203-2)*20+卡牌属性!$DX203)</f>
        <v>1500</v>
      </c>
      <c r="FI203" s="14">
        <f>INDEX(属性投放!$BQ$6:$BQ$85,(卡牌属性!$DW203-2)*20+卡牌属性!$DX203)</f>
        <v>1500</v>
      </c>
      <c r="FJ203" s="14">
        <f>INDEX(属性投放!$BQ$6:$BQ$85,(卡牌属性!$DW203-2)*20+卡牌属性!$DX203)</f>
        <v>1500</v>
      </c>
      <c r="FK203" s="14">
        <f>INDEX(属性投放!$BQ$6:$BQ$85,(卡牌属性!$DW203-2)*20+卡牌属性!$DX203)</f>
        <v>1500</v>
      </c>
      <c r="FL203" s="14">
        <f>INDEX(属性投放!$BQ$6:$BQ$85,(卡牌属性!$DW203-2)*20+卡牌属性!$DX203)</f>
        <v>1500</v>
      </c>
      <c r="FM203" s="14">
        <f>INDEX(属性投放!$BR$6:$BR$85,(卡牌属性!$DW203-2)*20+卡牌属性!$DX203)</f>
        <v>750</v>
      </c>
      <c r="FN203" s="14">
        <f>INDEX(属性投放!$BR$6:$BR$85,(卡牌属性!$DW203-2)*20+卡牌属性!$DX203)</f>
        <v>750</v>
      </c>
      <c r="FO203" s="14">
        <f>INDEX(属性投放!$BR$6:$BR$85,(卡牌属性!$DW203-2)*20+卡牌属性!$DX203)</f>
        <v>750</v>
      </c>
      <c r="FP203" s="14">
        <f>INDEX(属性投放!$BR$6:$BR$85,(卡牌属性!$DW203-2)*20+卡牌属性!$DX203)</f>
        <v>750</v>
      </c>
      <c r="FQ203" s="14">
        <f>INDEX(属性投放!$BR$6:$BR$85,(卡牌属性!$DW203-2)*20+卡牌属性!$DX203)</f>
        <v>750</v>
      </c>
      <c r="FR203" s="14">
        <f>INDEX(属性投放!$BS$6:$BS$85,(卡牌属性!$DW203-2)*20+卡牌属性!$DX203)</f>
        <v>15000</v>
      </c>
      <c r="FS203" s="14">
        <f>INDEX(属性投放!$BS$6:$BS$85,(卡牌属性!$DW203-2)*20+卡牌属性!$DX203)</f>
        <v>15000</v>
      </c>
      <c r="FT203" s="14">
        <f>INDEX(属性投放!$BS$6:$BS$85,(卡牌属性!$DW203-2)*20+卡牌属性!$DX203)</f>
        <v>15000</v>
      </c>
      <c r="FU203" s="14">
        <f>INDEX(属性投放!$BS$6:$BS$85,(卡牌属性!$DW203-2)*20+卡牌属性!$DX203)</f>
        <v>15000</v>
      </c>
      <c r="FV203" s="14">
        <f>INDEX(属性投放!$BS$6:$BS$85,(卡牌属性!$DW203-2)*20+卡牌属性!$DX203)</f>
        <v>15000</v>
      </c>
    </row>
    <row r="204" spans="31:178" ht="16.5" x14ac:dyDescent="0.2">
      <c r="AE204" s="13">
        <v>200</v>
      </c>
      <c r="AF204" s="13">
        <f t="shared" si="474"/>
        <v>10</v>
      </c>
      <c r="AG204" s="13">
        <f t="shared" si="461"/>
        <v>4</v>
      </c>
      <c r="AH204" s="13"/>
      <c r="AI204" s="13"/>
      <c r="AJ204" s="14">
        <f t="shared" si="462"/>
        <v>1101010</v>
      </c>
      <c r="AK204" s="14" t="str">
        <f t="shared" si="463"/>
        <v>盖文20突</v>
      </c>
      <c r="AL204" s="25" t="s">
        <v>142</v>
      </c>
      <c r="AM204" s="14">
        <v>1</v>
      </c>
      <c r="AN204" s="14">
        <f t="shared" si="464"/>
        <v>20</v>
      </c>
      <c r="AO204" s="14">
        <f>INDEX(属性投放!$DF$6:$DF$85,(卡牌属性!AG204-2)*20+卡牌属性!AN204)</f>
        <v>25104</v>
      </c>
      <c r="AP204" s="14">
        <f t="shared" si="440"/>
        <v>25104</v>
      </c>
      <c r="AQ204" s="14">
        <f t="shared" si="440"/>
        <v>25104</v>
      </c>
      <c r="AR204" s="14">
        <f t="shared" si="440"/>
        <v>25104</v>
      </c>
      <c r="AS204" s="14">
        <f t="shared" si="440"/>
        <v>25104</v>
      </c>
      <c r="AT204" s="14">
        <f>INDEX(属性投放!$DG$6:$DG$85,(卡牌属性!AG204-2)*20+卡牌属性!AN204)</f>
        <v>12471</v>
      </c>
      <c r="AU204" s="14">
        <f t="shared" si="441"/>
        <v>12471</v>
      </c>
      <c r="AV204" s="14">
        <f t="shared" si="441"/>
        <v>12471</v>
      </c>
      <c r="AW204" s="14">
        <f t="shared" si="441"/>
        <v>12471</v>
      </c>
      <c r="AX204" s="14">
        <f t="shared" si="441"/>
        <v>12471</v>
      </c>
      <c r="AY204" s="14">
        <f>INDEX(属性投放!$DH$6:$DH$85,(卡牌属性!AG204-2)*20+卡牌属性!AN204)</f>
        <v>237353</v>
      </c>
      <c r="AZ204" s="14">
        <f t="shared" si="442"/>
        <v>237353</v>
      </c>
      <c r="BA204" s="14">
        <f t="shared" si="442"/>
        <v>237353</v>
      </c>
      <c r="BB204" s="14">
        <f t="shared" si="442"/>
        <v>237353</v>
      </c>
      <c r="BC204" s="14">
        <f t="shared" si="442"/>
        <v>237353</v>
      </c>
      <c r="BD204" s="14">
        <f>INDEX(属性投放!$DL$6:$DL$85,(卡牌属性!AG204-2)*20+卡牌属性!AN204)</f>
        <v>516</v>
      </c>
      <c r="BE204" s="14">
        <f t="shared" si="443"/>
        <v>516</v>
      </c>
      <c r="BF204" s="14">
        <f t="shared" si="443"/>
        <v>516</v>
      </c>
      <c r="BG204" s="14">
        <f t="shared" si="443"/>
        <v>516</v>
      </c>
      <c r="BH204" s="14">
        <f t="shared" si="443"/>
        <v>516</v>
      </c>
      <c r="BI204" s="14">
        <f>INDEX(属性投放!$DM$6:$DM$85,(卡牌属性!AG204-2)*20+卡牌属性!AN204)</f>
        <v>258</v>
      </c>
      <c r="BJ204" s="14">
        <f t="shared" si="444"/>
        <v>258</v>
      </c>
      <c r="BK204" s="14">
        <f t="shared" si="444"/>
        <v>258</v>
      </c>
      <c r="BL204" s="14">
        <f t="shared" si="444"/>
        <v>258</v>
      </c>
      <c r="BM204" s="14">
        <f t="shared" si="444"/>
        <v>258</v>
      </c>
      <c r="BN204" s="14">
        <f>INDEX(属性投放!$DN$6:$DN$85,(卡牌属性!AG204-2)*20+卡牌属性!AN204)</f>
        <v>5157</v>
      </c>
      <c r="BO204" s="14">
        <f t="shared" si="445"/>
        <v>5157</v>
      </c>
      <c r="BP204" s="14">
        <f t="shared" si="445"/>
        <v>5157</v>
      </c>
      <c r="BQ204" s="14">
        <f t="shared" si="445"/>
        <v>5157</v>
      </c>
      <c r="BR204" s="14">
        <f t="shared" si="445"/>
        <v>5157</v>
      </c>
      <c r="BW204" s="13">
        <v>200</v>
      </c>
      <c r="BX204" s="13">
        <f t="shared" si="465"/>
        <v>10</v>
      </c>
      <c r="BY204" s="14">
        <f t="shared" si="466"/>
        <v>4</v>
      </c>
      <c r="BZ204" s="14">
        <f t="shared" si="475"/>
        <v>1102010</v>
      </c>
      <c r="CA204" s="14" t="str">
        <f t="shared" si="476"/>
        <v>张郃20突</v>
      </c>
      <c r="CB204" s="25" t="s">
        <v>142</v>
      </c>
      <c r="CC204" s="14">
        <v>2</v>
      </c>
      <c r="CD204" s="14">
        <f t="shared" si="467"/>
        <v>20</v>
      </c>
      <c r="CE204" s="14" t="s">
        <v>21</v>
      </c>
      <c r="CF204" s="14">
        <f>INDEX(属性投放!$AZ$6:$AZ$85,(BY204-2)*20+CD204)</f>
        <v>27528</v>
      </c>
      <c r="CG204" s="14" t="s">
        <v>22</v>
      </c>
      <c r="CH204" s="14">
        <f>INDEX(属性投放!$BA$6:$BA$85,(BY204-2)*20+CD204)</f>
        <v>13723</v>
      </c>
      <c r="CI204" s="14" t="s">
        <v>510</v>
      </c>
      <c r="CJ204" s="14">
        <f>INDEX(属性投放!$BB$6:$BB$85,(BY204-2)*20+CD204)</f>
        <v>261603</v>
      </c>
      <c r="CK204" s="14" t="s">
        <v>21</v>
      </c>
      <c r="CL204" s="14">
        <f>INDEX(属性投放!$BC$6:$BC$85,(BY204-2)*20+CD204)</f>
        <v>75</v>
      </c>
      <c r="CM204" s="14" t="s">
        <v>22</v>
      </c>
      <c r="CN204" s="14">
        <f>INDEX(属性投放!$BD$6:$BD$85,(BY204-2)*20+CD204)</f>
        <v>38</v>
      </c>
      <c r="CO204" s="14" t="s">
        <v>510</v>
      </c>
      <c r="CP204" s="14">
        <f>INDEX(属性投放!$BE$6:$BE$85,(BY204-2)*20+CD204)</f>
        <v>750</v>
      </c>
      <c r="CS204" s="13">
        <v>200</v>
      </c>
      <c r="CT204" s="13">
        <f t="shared" si="477"/>
        <v>4</v>
      </c>
      <c r="CU204" s="13">
        <f t="shared" si="478"/>
        <v>44</v>
      </c>
      <c r="CV204" s="14">
        <f t="shared" si="479"/>
        <v>2</v>
      </c>
      <c r="CW204" s="14">
        <f t="shared" si="480"/>
        <v>1102004</v>
      </c>
      <c r="CX204" s="14" t="str">
        <f>INDEX($O$6:$O$50,CT204)&amp;"-"&amp;INDEX(属性投放!$AB$7:$AB$50,CZ204)&amp;"-魂火-"&amp;DB204</f>
        <v>唐流雨-大焦热+2-魂火-2</v>
      </c>
      <c r="CY204" s="25" t="s">
        <v>142</v>
      </c>
      <c r="CZ204" s="14">
        <f>INDEX(属性投放!$AM$7:$AM$58,CU204)</f>
        <v>18</v>
      </c>
      <c r="DA204" s="14" t="s">
        <v>537</v>
      </c>
      <c r="DB204" s="14">
        <f>INDEX(属性投放!$AN$7:$AN$58,CU204)</f>
        <v>2</v>
      </c>
      <c r="DC204" s="14">
        <f t="shared" si="468"/>
        <v>44</v>
      </c>
      <c r="DD204" s="14">
        <f>INDEX(属性投放!$AO$7:$AO$58,DC204)</f>
        <v>128</v>
      </c>
      <c r="DE204" s="14" t="s">
        <v>538</v>
      </c>
      <c r="DF204" s="14">
        <f>INDEX(属性投放!$BK$6:$BK$85,(CV204-2)*20+CZ204)</f>
        <v>680</v>
      </c>
      <c r="DG204" s="14">
        <f>SUMIFS(DF$5:DF204,$CT$5:$CT204,"="&amp;$CT204)</f>
        <v>8885</v>
      </c>
      <c r="DH204" s="14" t="s">
        <v>539</v>
      </c>
      <c r="DI204" s="14">
        <f>INDEX(属性投放!$BL$6:$BL$85,(CV204-2)*20+CZ204)</f>
        <v>340</v>
      </c>
      <c r="DJ204" s="14">
        <f>SUMIFS(DI$5:DI204,$CT$5:$CT204,"="&amp;$CT204)</f>
        <v>4446</v>
      </c>
      <c r="DK204" s="14" t="s">
        <v>540</v>
      </c>
      <c r="DL204" s="14">
        <f>INDEX(属性投放!$BM$6:$BM$85,(CV204-2)*20+CZ204)</f>
        <v>6800</v>
      </c>
      <c r="DM204" s="14">
        <f>SUMIFS(DL$5:DL204,$CT$5:$CT204,"="&amp;$CT204)</f>
        <v>85620</v>
      </c>
      <c r="DR204" s="14">
        <f t="shared" si="469"/>
        <v>1102010</v>
      </c>
      <c r="DS204" s="14" t="str">
        <f t="shared" si="470"/>
        <v>张郃20突</v>
      </c>
      <c r="DT204" s="14">
        <f t="shared" si="481"/>
        <v>8</v>
      </c>
      <c r="DU204" s="14">
        <f t="shared" si="482"/>
        <v>6</v>
      </c>
      <c r="DV204" s="14">
        <f t="shared" si="483"/>
        <v>5</v>
      </c>
      <c r="DW204" s="14">
        <f t="shared" si="471"/>
        <v>4</v>
      </c>
      <c r="DX204" s="14">
        <f t="shared" si="472"/>
        <v>20</v>
      </c>
      <c r="DY204" s="14">
        <f t="shared" si="473"/>
        <v>60</v>
      </c>
      <c r="DZ204" s="14">
        <f>INDEX(属性投放!$AX$6:$AX$85,(卡牌属性!DW204-2)*20+卡牌属性!DX204)</f>
        <v>10</v>
      </c>
      <c r="EA204" s="14">
        <f>INDEX(属性投放!BQ$6:BQ$85,卡牌属性!$DY204)</f>
        <v>1500</v>
      </c>
      <c r="EB204" s="14">
        <f>INDEX(属性投放!BR$6:BR$85,卡牌属性!$DY204)</f>
        <v>750</v>
      </c>
      <c r="EC204" s="14">
        <f>INDEX(属性投放!BS$6:BS$85,卡牌属性!$DY204)</f>
        <v>15000</v>
      </c>
      <c r="ED204" s="14">
        <f t="shared" si="446"/>
        <v>13870</v>
      </c>
      <c r="EE204" s="14">
        <f t="shared" si="447"/>
        <v>14805</v>
      </c>
      <c r="EF204" s="14">
        <f t="shared" si="448"/>
        <v>17010</v>
      </c>
      <c r="EG204" s="14">
        <f t="shared" si="449"/>
        <v>17010</v>
      </c>
      <c r="EH204" s="14">
        <f t="shared" si="450"/>
        <v>20205</v>
      </c>
      <c r="EI204" s="14">
        <f t="shared" si="451"/>
        <v>5838</v>
      </c>
      <c r="EJ204" s="14">
        <f t="shared" si="452"/>
        <v>6571</v>
      </c>
      <c r="EK204" s="14">
        <f t="shared" si="453"/>
        <v>6571</v>
      </c>
      <c r="EL204" s="14">
        <f t="shared" si="454"/>
        <v>6921</v>
      </c>
      <c r="EM204" s="14">
        <f t="shared" si="455"/>
        <v>7378</v>
      </c>
      <c r="EN204" s="14">
        <f t="shared" si="456"/>
        <v>106520</v>
      </c>
      <c r="EO204" s="14">
        <f t="shared" si="457"/>
        <v>109184</v>
      </c>
      <c r="EP204" s="14">
        <f t="shared" si="458"/>
        <v>109184</v>
      </c>
      <c r="EQ204" s="14">
        <f t="shared" si="459"/>
        <v>122818</v>
      </c>
      <c r="ER204" s="14">
        <f t="shared" si="460"/>
        <v>128762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INDEX(属性投放!$BQ$6:$BQ$85,(卡牌属性!$DW204-2)*20+卡牌属性!$DX204)</f>
        <v>1500</v>
      </c>
      <c r="FI204" s="14">
        <f>INDEX(属性投放!$BQ$6:$BQ$85,(卡牌属性!$DW204-2)*20+卡牌属性!$DX204)</f>
        <v>1500</v>
      </c>
      <c r="FJ204" s="14">
        <f>INDEX(属性投放!$BQ$6:$BQ$85,(卡牌属性!$DW204-2)*20+卡牌属性!$DX204)</f>
        <v>1500</v>
      </c>
      <c r="FK204" s="14">
        <f>INDEX(属性投放!$BQ$6:$BQ$85,(卡牌属性!$DW204-2)*20+卡牌属性!$DX204)</f>
        <v>1500</v>
      </c>
      <c r="FL204" s="14">
        <f>INDEX(属性投放!$BQ$6:$BQ$85,(卡牌属性!$DW204-2)*20+卡牌属性!$DX204)</f>
        <v>1500</v>
      </c>
      <c r="FM204" s="14">
        <f>INDEX(属性投放!$BR$6:$BR$85,(卡牌属性!$DW204-2)*20+卡牌属性!$DX204)</f>
        <v>750</v>
      </c>
      <c r="FN204" s="14">
        <f>INDEX(属性投放!$BR$6:$BR$85,(卡牌属性!$DW204-2)*20+卡牌属性!$DX204)</f>
        <v>750</v>
      </c>
      <c r="FO204" s="14">
        <f>INDEX(属性投放!$BR$6:$BR$85,(卡牌属性!$DW204-2)*20+卡牌属性!$DX204)</f>
        <v>750</v>
      </c>
      <c r="FP204" s="14">
        <f>INDEX(属性投放!$BR$6:$BR$85,(卡牌属性!$DW204-2)*20+卡牌属性!$DX204)</f>
        <v>750</v>
      </c>
      <c r="FQ204" s="14">
        <f>INDEX(属性投放!$BR$6:$BR$85,(卡牌属性!$DW204-2)*20+卡牌属性!$DX204)</f>
        <v>750</v>
      </c>
      <c r="FR204" s="14">
        <f>INDEX(属性投放!$BS$6:$BS$85,(卡牌属性!$DW204-2)*20+卡牌属性!$DX204)</f>
        <v>15000</v>
      </c>
      <c r="FS204" s="14">
        <f>INDEX(属性投放!$BS$6:$BS$85,(卡牌属性!$DW204-2)*20+卡牌属性!$DX204)</f>
        <v>15000</v>
      </c>
      <c r="FT204" s="14">
        <f>INDEX(属性投放!$BS$6:$BS$85,(卡牌属性!$DW204-2)*20+卡牌属性!$DX204)</f>
        <v>15000</v>
      </c>
      <c r="FU204" s="14">
        <f>INDEX(属性投放!$BS$6:$BS$85,(卡牌属性!$DW204-2)*20+卡牌属性!$DX204)</f>
        <v>15000</v>
      </c>
      <c r="FV204" s="14">
        <f>INDEX(属性投放!$BS$6:$BS$85,(卡牌属性!$DW204-2)*20+卡牌属性!$DX204)</f>
        <v>15000</v>
      </c>
    </row>
    <row r="205" spans="31:178" ht="16.5" x14ac:dyDescent="0.2">
      <c r="AE205" s="13">
        <v>201</v>
      </c>
      <c r="AF205" s="13">
        <f t="shared" si="474"/>
        <v>11</v>
      </c>
      <c r="AG205" s="13">
        <f t="shared" si="461"/>
        <v>3</v>
      </c>
      <c r="AH205" s="13"/>
      <c r="AI205" s="13"/>
      <c r="AJ205" s="14">
        <f t="shared" si="462"/>
        <v>1101011</v>
      </c>
      <c r="AK205" s="14" t="str">
        <f t="shared" si="463"/>
        <v>阎风吒1突</v>
      </c>
      <c r="AL205" s="25" t="s">
        <v>142</v>
      </c>
      <c r="AM205" s="14">
        <v>1</v>
      </c>
      <c r="AN205" s="14">
        <f t="shared" si="464"/>
        <v>1</v>
      </c>
      <c r="AO205" s="14">
        <f>INDEX(属性投放!$DF$6:$DF$85,(卡牌属性!AG205-2)*20+卡牌属性!AN205)</f>
        <v>150</v>
      </c>
      <c r="AP205" s="14">
        <f t="shared" ref="AP205:AS224" si="484">$AO205</f>
        <v>150</v>
      </c>
      <c r="AQ205" s="14">
        <f t="shared" si="484"/>
        <v>150</v>
      </c>
      <c r="AR205" s="14">
        <f t="shared" si="484"/>
        <v>150</v>
      </c>
      <c r="AS205" s="14">
        <f t="shared" si="484"/>
        <v>150</v>
      </c>
      <c r="AT205" s="14">
        <f>INDEX(属性投放!$DG$6:$DG$85,(卡牌属性!AG205-2)*20+卡牌属性!AN205)</f>
        <v>0</v>
      </c>
      <c r="AU205" s="14">
        <f t="shared" ref="AU205:AX224" si="485">$AT205</f>
        <v>0</v>
      </c>
      <c r="AV205" s="14">
        <f t="shared" si="485"/>
        <v>0</v>
      </c>
      <c r="AW205" s="14">
        <f t="shared" si="485"/>
        <v>0</v>
      </c>
      <c r="AX205" s="14">
        <f t="shared" si="485"/>
        <v>0</v>
      </c>
      <c r="AY205" s="14">
        <f>INDEX(属性投放!$DH$6:$DH$85,(卡牌属性!AG205-2)*20+卡牌属性!AN205)</f>
        <v>375</v>
      </c>
      <c r="AZ205" s="14">
        <f t="shared" ref="AZ205:BC224" si="486">$AY205</f>
        <v>375</v>
      </c>
      <c r="BA205" s="14">
        <f t="shared" si="486"/>
        <v>375</v>
      </c>
      <c r="BB205" s="14">
        <f t="shared" si="486"/>
        <v>375</v>
      </c>
      <c r="BC205" s="14">
        <f t="shared" si="486"/>
        <v>375</v>
      </c>
      <c r="BD205" s="14">
        <f>INDEX(属性投放!$DL$6:$DL$85,(卡牌属性!AG205-2)*20+卡牌属性!AN205)</f>
        <v>8</v>
      </c>
      <c r="BE205" s="14">
        <f t="shared" ref="BE205:BH224" si="487">$BD205</f>
        <v>8</v>
      </c>
      <c r="BF205" s="14">
        <f t="shared" si="487"/>
        <v>8</v>
      </c>
      <c r="BG205" s="14">
        <f t="shared" si="487"/>
        <v>8</v>
      </c>
      <c r="BH205" s="14">
        <f t="shared" si="487"/>
        <v>8</v>
      </c>
      <c r="BI205" s="14">
        <f>INDEX(属性投放!$DM$6:$DM$85,(卡牌属性!AG205-2)*20+卡牌属性!AN205)</f>
        <v>4</v>
      </c>
      <c r="BJ205" s="14">
        <f t="shared" ref="BJ205:BM224" si="488">$BI205</f>
        <v>4</v>
      </c>
      <c r="BK205" s="14">
        <f t="shared" si="488"/>
        <v>4</v>
      </c>
      <c r="BL205" s="14">
        <f t="shared" si="488"/>
        <v>4</v>
      </c>
      <c r="BM205" s="14">
        <f t="shared" si="488"/>
        <v>4</v>
      </c>
      <c r="BN205" s="14">
        <f>INDEX(属性投放!$DN$6:$DN$85,(卡牌属性!AG205-2)*20+卡牌属性!AN205)</f>
        <v>49</v>
      </c>
      <c r="BO205" s="14">
        <f t="shared" ref="BO205:BR224" si="489">$BN205</f>
        <v>49</v>
      </c>
      <c r="BP205" s="14">
        <f t="shared" si="489"/>
        <v>49</v>
      </c>
      <c r="BQ205" s="14">
        <f t="shared" si="489"/>
        <v>49</v>
      </c>
      <c r="BR205" s="14">
        <f t="shared" si="489"/>
        <v>49</v>
      </c>
      <c r="BW205" s="13">
        <v>201</v>
      </c>
      <c r="BX205" s="13">
        <f t="shared" si="465"/>
        <v>11</v>
      </c>
      <c r="BY205" s="14">
        <f t="shared" si="466"/>
        <v>4</v>
      </c>
      <c r="BZ205" s="14">
        <f t="shared" si="475"/>
        <v>1102011</v>
      </c>
      <c r="CA205" s="14" t="str">
        <f t="shared" si="476"/>
        <v>张飞1突</v>
      </c>
      <c r="CB205" s="25" t="s">
        <v>142</v>
      </c>
      <c r="CC205" s="14">
        <v>2</v>
      </c>
      <c r="CD205" s="14">
        <f t="shared" si="467"/>
        <v>1</v>
      </c>
      <c r="CE205" s="14" t="s">
        <v>21</v>
      </c>
      <c r="CF205" s="14">
        <f>INDEX(属性投放!$AZ$6:$AZ$85,(BY205-2)*20+CD205)</f>
        <v>200</v>
      </c>
      <c r="CG205" s="14" t="s">
        <v>22</v>
      </c>
      <c r="CH205" s="14">
        <f>INDEX(属性投放!$BA$6:$BA$85,(BY205-2)*20+CD205)</f>
        <v>25</v>
      </c>
      <c r="CI205" s="14" t="s">
        <v>510</v>
      </c>
      <c r="CJ205" s="14">
        <f>INDEX(属性投放!$BB$6:$BB$85,(BY205-2)*20+CD205)</f>
        <v>800</v>
      </c>
      <c r="CK205" s="14" t="s">
        <v>21</v>
      </c>
      <c r="CL205" s="14">
        <f>INDEX(属性投放!$BC$6:$BC$85,(BY205-2)*20+CD205)</f>
        <v>12</v>
      </c>
      <c r="CM205" s="14" t="s">
        <v>22</v>
      </c>
      <c r="CN205" s="14">
        <f>INDEX(属性投放!$BD$6:$BD$85,(BY205-2)*20+CD205)</f>
        <v>6</v>
      </c>
      <c r="CO205" s="14" t="s">
        <v>510</v>
      </c>
      <c r="CP205" s="14">
        <f>INDEX(属性投放!$BE$6:$BE$85,(BY205-2)*20+CD205)</f>
        <v>72</v>
      </c>
      <c r="CS205" s="13">
        <v>201</v>
      </c>
      <c r="CT205" s="13">
        <f t="shared" si="477"/>
        <v>4</v>
      </c>
      <c r="CU205" s="13">
        <f t="shared" si="478"/>
        <v>45</v>
      </c>
      <c r="CV205" s="14">
        <f t="shared" si="479"/>
        <v>2</v>
      </c>
      <c r="CW205" s="14">
        <f t="shared" si="480"/>
        <v>1102004</v>
      </c>
      <c r="CX205" s="14" t="str">
        <f>INDEX($O$6:$O$50,CT205)&amp;"-"&amp;INDEX(属性投放!$AB$7:$AB$50,CZ205)&amp;"-魂火-"&amp;DB205</f>
        <v>唐流雨-大焦热+2-魂火-3</v>
      </c>
      <c r="CY205" s="25" t="s">
        <v>142</v>
      </c>
      <c r="CZ205" s="14">
        <f>INDEX(属性投放!$AM$7:$AM$58,CU205)</f>
        <v>18</v>
      </c>
      <c r="DA205" s="14" t="s">
        <v>537</v>
      </c>
      <c r="DB205" s="14">
        <f>INDEX(属性投放!$AN$7:$AN$58,CU205)</f>
        <v>3</v>
      </c>
      <c r="DC205" s="14">
        <f t="shared" si="468"/>
        <v>45</v>
      </c>
      <c r="DD205" s="14">
        <f>INDEX(属性投放!$AO$7:$AO$58,DC205)</f>
        <v>130</v>
      </c>
      <c r="DE205" s="14" t="s">
        <v>538</v>
      </c>
      <c r="DF205" s="14">
        <f>INDEX(属性投放!$BK$6:$BK$85,(CV205-2)*20+CZ205)</f>
        <v>680</v>
      </c>
      <c r="DG205" s="14">
        <f>SUMIFS(DF$5:DF205,$CT$5:$CT205,"="&amp;$CT205)</f>
        <v>9565</v>
      </c>
      <c r="DH205" s="14" t="s">
        <v>539</v>
      </c>
      <c r="DI205" s="14">
        <f>INDEX(属性投放!$BL$6:$BL$85,(CV205-2)*20+CZ205)</f>
        <v>340</v>
      </c>
      <c r="DJ205" s="14">
        <f>SUMIFS(DI$5:DI205,$CT$5:$CT205,"="&amp;$CT205)</f>
        <v>4786</v>
      </c>
      <c r="DK205" s="14" t="s">
        <v>540</v>
      </c>
      <c r="DL205" s="14">
        <f>INDEX(属性投放!$BM$6:$BM$85,(CV205-2)*20+CZ205)</f>
        <v>6800</v>
      </c>
      <c r="DM205" s="14">
        <f>SUMIFS(DL$5:DL205,$CT$5:$CT205,"="&amp;$CT205)</f>
        <v>92420</v>
      </c>
      <c r="DR205" s="14">
        <f t="shared" si="469"/>
        <v>1102011</v>
      </c>
      <c r="DS205" s="14" t="str">
        <f t="shared" si="470"/>
        <v>张飞1突</v>
      </c>
      <c r="DT205" s="14">
        <f t="shared" si="481"/>
        <v>5</v>
      </c>
      <c r="DU205" s="14">
        <f t="shared" si="482"/>
        <v>6</v>
      </c>
      <c r="DV205" s="14">
        <f t="shared" si="483"/>
        <v>8</v>
      </c>
      <c r="DW205" s="14">
        <f t="shared" si="471"/>
        <v>4</v>
      </c>
      <c r="DX205" s="14">
        <f t="shared" si="472"/>
        <v>1</v>
      </c>
      <c r="DY205" s="14">
        <f t="shared" si="473"/>
        <v>41</v>
      </c>
      <c r="DZ205" s="14">
        <f>INDEX(属性投放!$AX$6:$AX$85,(卡牌属性!DW205-2)*20+卡牌属性!DX205)</f>
        <v>4</v>
      </c>
      <c r="EA205" s="14">
        <f>INDEX(属性投放!BQ$6:BQ$85,卡牌属性!$DY205)</f>
        <v>35</v>
      </c>
      <c r="EB205" s="14">
        <f>INDEX(属性投放!BR$6:BR$85,卡牌属性!$DY205)</f>
        <v>18</v>
      </c>
      <c r="EC205" s="14">
        <f>INDEX(属性投放!BS$6:BS$85,卡牌属性!$DY205)</f>
        <v>210</v>
      </c>
      <c r="ED205" s="14">
        <f>INDEX(属性偏向!$I$4:$I$15,卡牌属性!$DT205+ED$3)</f>
        <v>150</v>
      </c>
      <c r="EE205" s="14">
        <f>INDEX(属性偏向!$I$4:$I$15,卡牌属性!$DT205+EE$3)</f>
        <v>175</v>
      </c>
      <c r="EF205" s="14">
        <f>INDEX(属性偏向!$I$4:$I$15,卡牌属性!$DT205+EF$3)</f>
        <v>200</v>
      </c>
      <c r="EG205" s="14">
        <f>INDEX(属性偏向!$I$4:$I$15,卡牌属性!$DT205+EG$3)</f>
        <v>200</v>
      </c>
      <c r="EH205" s="14">
        <f>INDEX(属性偏向!$I$4:$I$15,卡牌属性!$DT205+EH$3)</f>
        <v>250</v>
      </c>
      <c r="EI205" s="14">
        <f>INDEX(属性偏向!$J$4:$J$15,卡牌属性!$DU205+EI$3)</f>
        <v>40</v>
      </c>
      <c r="EJ205" s="14">
        <f>INDEX(属性偏向!$J$4:$J$15,卡牌属性!$DU205+EJ$3)</f>
        <v>50</v>
      </c>
      <c r="EK205" s="14">
        <f>INDEX(属性偏向!$J$4:$J$15,卡牌属性!$DU205+EK$3)</f>
        <v>50</v>
      </c>
      <c r="EL205" s="14">
        <f>INDEX(属性偏向!$J$4:$J$15,卡牌属性!$DU205+EL$3)</f>
        <v>75</v>
      </c>
      <c r="EM205" s="14">
        <f>INDEX(属性偏向!$J$4:$J$15,卡牌属性!$DU205+EM$3)</f>
        <v>100</v>
      </c>
      <c r="EN205" s="14">
        <f>INDEX(属性偏向!$K$4:$K$15,卡牌属性!$DV205+EN$3)</f>
        <v>1000</v>
      </c>
      <c r="EO205" s="14">
        <f>INDEX(属性偏向!$K$4:$K$15,卡牌属性!$DV205+EO$3)</f>
        <v>1200</v>
      </c>
      <c r="EP205" s="14">
        <f>INDEX(属性偏向!$K$4:$K$15,卡牌属性!$DV205+EP$3)</f>
        <v>1200</v>
      </c>
      <c r="EQ205" s="14">
        <f>INDEX(属性偏向!$K$4:$K$15,卡牌属性!$DV205+EQ$3)</f>
        <v>1500</v>
      </c>
      <c r="ER205" s="14">
        <f>INDEX(属性偏向!$K$4:$K$15,卡牌属性!$DV205+ER$3)</f>
        <v>2000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78</v>
      </c>
      <c r="FD205" s="14">
        <f>INDEX(属性偏向!$U$4:$U$243,(卡牌属性!$DV205-1+FD$3)*20+卡牌属性!$DX205)</f>
        <v>90</v>
      </c>
      <c r="FE205" s="14">
        <f>INDEX(属性偏向!$U$4:$U$243,(卡牌属性!$DV205-1+FE$3)*20+卡牌属性!$DX205)</f>
        <v>90</v>
      </c>
      <c r="FF205" s="14">
        <f>INDEX(属性偏向!$U$4:$U$243,(卡牌属性!$DV205-1+FF$3)*20+卡牌属性!$DX205)</f>
        <v>120</v>
      </c>
      <c r="FG205" s="14">
        <f>INDEX(属性偏向!$U$4:$U$243,(卡牌属性!$DV205-1+FG$3)*20+卡牌属性!$DX205)</f>
        <v>150</v>
      </c>
      <c r="FH205" s="14">
        <f>INDEX(属性投放!$BQ$6:$BQ$85,(卡牌属性!$DW205-2)*20+卡牌属性!$DX205)</f>
        <v>35</v>
      </c>
      <c r="FI205" s="14">
        <f>INDEX(属性投放!$BQ$6:$BQ$85,(卡牌属性!$DW205-2)*20+卡牌属性!$DX205)</f>
        <v>35</v>
      </c>
      <c r="FJ205" s="14">
        <f>INDEX(属性投放!$BQ$6:$BQ$85,(卡牌属性!$DW205-2)*20+卡牌属性!$DX205)</f>
        <v>35</v>
      </c>
      <c r="FK205" s="14">
        <f>INDEX(属性投放!$BQ$6:$BQ$85,(卡牌属性!$DW205-2)*20+卡牌属性!$DX205)</f>
        <v>35</v>
      </c>
      <c r="FL205" s="14">
        <f>INDEX(属性投放!$BQ$6:$BQ$85,(卡牌属性!$DW205-2)*20+卡牌属性!$DX205)</f>
        <v>35</v>
      </c>
      <c r="FM205" s="14">
        <f>INDEX(属性投放!$BR$6:$BR$85,(卡牌属性!$DW205-2)*20+卡牌属性!$DX205)</f>
        <v>18</v>
      </c>
      <c r="FN205" s="14">
        <f>INDEX(属性投放!$BR$6:$BR$85,(卡牌属性!$DW205-2)*20+卡牌属性!$DX205)</f>
        <v>18</v>
      </c>
      <c r="FO205" s="14">
        <f>INDEX(属性投放!$BR$6:$BR$85,(卡牌属性!$DW205-2)*20+卡牌属性!$DX205)</f>
        <v>18</v>
      </c>
      <c r="FP205" s="14">
        <f>INDEX(属性投放!$BR$6:$BR$85,(卡牌属性!$DW205-2)*20+卡牌属性!$DX205)</f>
        <v>18</v>
      </c>
      <c r="FQ205" s="14">
        <f>INDEX(属性投放!$BR$6:$BR$85,(卡牌属性!$DW205-2)*20+卡牌属性!$DX205)</f>
        <v>18</v>
      </c>
      <c r="FR205" s="14">
        <f>INDEX(属性投放!$BS$6:$BS$85,(卡牌属性!$DW205-2)*20+卡牌属性!$DX205)</f>
        <v>210</v>
      </c>
      <c r="FS205" s="14">
        <f>INDEX(属性投放!$BS$6:$BS$85,(卡牌属性!$DW205-2)*20+卡牌属性!$DX205)</f>
        <v>210</v>
      </c>
      <c r="FT205" s="14">
        <f>INDEX(属性投放!$BS$6:$BS$85,(卡牌属性!$DW205-2)*20+卡牌属性!$DX205)</f>
        <v>210</v>
      </c>
      <c r="FU205" s="14">
        <f>INDEX(属性投放!$BS$6:$BS$85,(卡牌属性!$DW205-2)*20+卡牌属性!$DX205)</f>
        <v>210</v>
      </c>
      <c r="FV205" s="14">
        <f>INDEX(属性投放!$BS$6:$BS$85,(卡牌属性!$DW205-2)*20+卡牌属性!$DX205)</f>
        <v>210</v>
      </c>
    </row>
    <row r="206" spans="31:178" ht="16.5" x14ac:dyDescent="0.2">
      <c r="AE206" s="13">
        <v>202</v>
      </c>
      <c r="AF206" s="13">
        <f t="shared" si="474"/>
        <v>11</v>
      </c>
      <c r="AG206" s="13">
        <f t="shared" si="461"/>
        <v>3</v>
      </c>
      <c r="AH206" s="13"/>
      <c r="AI206" s="13"/>
      <c r="AJ206" s="14">
        <f t="shared" si="462"/>
        <v>1101011</v>
      </c>
      <c r="AK206" s="14" t="str">
        <f t="shared" si="463"/>
        <v>阎风吒2突</v>
      </c>
      <c r="AL206" s="25" t="s">
        <v>142</v>
      </c>
      <c r="AM206" s="14">
        <v>1</v>
      </c>
      <c r="AN206" s="14">
        <f t="shared" si="464"/>
        <v>2</v>
      </c>
      <c r="AO206" s="14">
        <f>INDEX(属性投放!$DF$6:$DF$85,(卡牌属性!AG206-2)*20+卡牌属性!AN206)</f>
        <v>230</v>
      </c>
      <c r="AP206" s="14">
        <f t="shared" si="484"/>
        <v>230</v>
      </c>
      <c r="AQ206" s="14">
        <f t="shared" si="484"/>
        <v>230</v>
      </c>
      <c r="AR206" s="14">
        <f t="shared" si="484"/>
        <v>230</v>
      </c>
      <c r="AS206" s="14">
        <f t="shared" si="484"/>
        <v>230</v>
      </c>
      <c r="AT206" s="14">
        <f>INDEX(属性投放!$DG$6:$DG$85,(卡牌属性!AG206-2)*20+卡牌属性!AN206)</f>
        <v>40</v>
      </c>
      <c r="AU206" s="14">
        <f t="shared" si="485"/>
        <v>40</v>
      </c>
      <c r="AV206" s="14">
        <f t="shared" si="485"/>
        <v>40</v>
      </c>
      <c r="AW206" s="14">
        <f t="shared" si="485"/>
        <v>40</v>
      </c>
      <c r="AX206" s="14">
        <f t="shared" si="485"/>
        <v>40</v>
      </c>
      <c r="AY206" s="14">
        <f>INDEX(属性投放!$DH$6:$DH$85,(卡牌属性!AG206-2)*20+卡牌属性!AN206)</f>
        <v>865</v>
      </c>
      <c r="AZ206" s="14">
        <f t="shared" si="486"/>
        <v>865</v>
      </c>
      <c r="BA206" s="14">
        <f t="shared" si="486"/>
        <v>865</v>
      </c>
      <c r="BB206" s="14">
        <f t="shared" si="486"/>
        <v>865</v>
      </c>
      <c r="BC206" s="14">
        <f t="shared" si="486"/>
        <v>865</v>
      </c>
      <c r="BD206" s="14">
        <f>INDEX(属性投放!$DL$6:$DL$85,(卡牌属性!AG206-2)*20+卡牌属性!AN206)</f>
        <v>17</v>
      </c>
      <c r="BE206" s="14">
        <f t="shared" si="487"/>
        <v>17</v>
      </c>
      <c r="BF206" s="14">
        <f t="shared" si="487"/>
        <v>17</v>
      </c>
      <c r="BG206" s="14">
        <f t="shared" si="487"/>
        <v>17</v>
      </c>
      <c r="BH206" s="14">
        <f t="shared" si="487"/>
        <v>17</v>
      </c>
      <c r="BI206" s="14">
        <f>INDEX(属性投放!$DM$6:$DM$85,(卡牌属性!AG206-2)*20+卡牌属性!AN206)</f>
        <v>8</v>
      </c>
      <c r="BJ206" s="14">
        <f t="shared" si="488"/>
        <v>8</v>
      </c>
      <c r="BK206" s="14">
        <f t="shared" si="488"/>
        <v>8</v>
      </c>
      <c r="BL206" s="14">
        <f t="shared" si="488"/>
        <v>8</v>
      </c>
      <c r="BM206" s="14">
        <f t="shared" si="488"/>
        <v>8</v>
      </c>
      <c r="BN206" s="14">
        <f>INDEX(属性投放!$DN$6:$DN$85,(卡牌属性!AG206-2)*20+卡牌属性!AN206)</f>
        <v>101</v>
      </c>
      <c r="BO206" s="14">
        <f t="shared" si="489"/>
        <v>101</v>
      </c>
      <c r="BP206" s="14">
        <f t="shared" si="489"/>
        <v>101</v>
      </c>
      <c r="BQ206" s="14">
        <f t="shared" si="489"/>
        <v>101</v>
      </c>
      <c r="BR206" s="14">
        <f t="shared" si="489"/>
        <v>101</v>
      </c>
      <c r="BW206" s="13">
        <v>202</v>
      </c>
      <c r="BX206" s="13">
        <f t="shared" si="465"/>
        <v>11</v>
      </c>
      <c r="BY206" s="14">
        <f t="shared" si="466"/>
        <v>4</v>
      </c>
      <c r="BZ206" s="14">
        <f t="shared" si="475"/>
        <v>1102011</v>
      </c>
      <c r="CA206" s="14" t="str">
        <f t="shared" si="476"/>
        <v>张飞2突</v>
      </c>
      <c r="CB206" s="25" t="s">
        <v>142</v>
      </c>
      <c r="CC206" s="14">
        <v>2</v>
      </c>
      <c r="CD206" s="14">
        <f t="shared" si="467"/>
        <v>2</v>
      </c>
      <c r="CE206" s="14" t="s">
        <v>21</v>
      </c>
      <c r="CF206" s="14">
        <f>INDEX(属性投放!$AZ$6:$AZ$85,(BY206-2)*20+CD206)</f>
        <v>308</v>
      </c>
      <c r="CG206" s="14" t="s">
        <v>22</v>
      </c>
      <c r="CH206" s="14">
        <f>INDEX(属性投放!$BA$6:$BA$85,(BY206-2)*20+CD206)</f>
        <v>80</v>
      </c>
      <c r="CI206" s="14" t="s">
        <v>510</v>
      </c>
      <c r="CJ206" s="14">
        <f>INDEX(属性投放!$BB$6:$BB$85,(BY206-2)*20+CD206)</f>
        <v>1448</v>
      </c>
      <c r="CK206" s="14" t="s">
        <v>21</v>
      </c>
      <c r="CL206" s="14">
        <f>INDEX(属性投放!$BC$6:$BC$85,(BY206-2)*20+CD206)</f>
        <v>15</v>
      </c>
      <c r="CM206" s="14" t="s">
        <v>22</v>
      </c>
      <c r="CN206" s="14">
        <f>INDEX(属性投放!$BD$6:$BD$85,(BY206-2)*20+CD206)</f>
        <v>8</v>
      </c>
      <c r="CO206" s="14" t="s">
        <v>510</v>
      </c>
      <c r="CP206" s="14">
        <f>INDEX(属性投放!$BE$6:$BE$85,(BY206-2)*20+CD206)</f>
        <v>90</v>
      </c>
      <c r="CS206" s="13">
        <v>202</v>
      </c>
      <c r="CT206" s="13">
        <f t="shared" si="477"/>
        <v>4</v>
      </c>
      <c r="CU206" s="13">
        <f t="shared" si="478"/>
        <v>46</v>
      </c>
      <c r="CV206" s="14">
        <f t="shared" si="479"/>
        <v>2</v>
      </c>
      <c r="CW206" s="14">
        <f t="shared" si="480"/>
        <v>1102004</v>
      </c>
      <c r="CX206" s="14" t="str">
        <f>INDEX($O$6:$O$50,CT206)&amp;"-"&amp;INDEX(属性投放!$AB$7:$AB$50,CZ206)&amp;"-魂火-"&amp;DB206</f>
        <v>唐流雨-无间-魂火-1</v>
      </c>
      <c r="CY206" s="25" t="s">
        <v>142</v>
      </c>
      <c r="CZ206" s="14">
        <f>INDEX(属性投放!$AM$7:$AM$58,CU206)</f>
        <v>19</v>
      </c>
      <c r="DA206" s="14" t="s">
        <v>537</v>
      </c>
      <c r="DB206" s="14">
        <f>INDEX(属性投放!$AN$7:$AN$58,CU206)</f>
        <v>1</v>
      </c>
      <c r="DC206" s="14">
        <f t="shared" si="468"/>
        <v>46</v>
      </c>
      <c r="DD206" s="14">
        <f>INDEX(属性投放!$AO$7:$AO$58,DC206)</f>
        <v>133</v>
      </c>
      <c r="DE206" s="14" t="s">
        <v>538</v>
      </c>
      <c r="DF206" s="14">
        <f>INDEX(属性投放!$BK$6:$BK$85,(CV206-2)*20+CZ206)</f>
        <v>850</v>
      </c>
      <c r="DG206" s="14">
        <f>SUMIFS(DF$5:DF206,$CT$5:$CT206,"="&amp;$CT206)</f>
        <v>10415</v>
      </c>
      <c r="DH206" s="14" t="s">
        <v>539</v>
      </c>
      <c r="DI206" s="14">
        <f>INDEX(属性投放!$BL$6:$BL$85,(CV206-2)*20+CZ206)</f>
        <v>425</v>
      </c>
      <c r="DJ206" s="14">
        <f>SUMIFS(DI$5:DI206,$CT$5:$CT206,"="&amp;$CT206)</f>
        <v>5211</v>
      </c>
      <c r="DK206" s="14" t="s">
        <v>540</v>
      </c>
      <c r="DL206" s="14">
        <f>INDEX(属性投放!$BM$6:$BM$85,(CV206-2)*20+CZ206)</f>
        <v>8500</v>
      </c>
      <c r="DM206" s="14">
        <f>SUMIFS(DL$5:DL206,$CT$5:$CT206,"="&amp;$CT206)</f>
        <v>100920</v>
      </c>
      <c r="DR206" s="14">
        <f t="shared" si="469"/>
        <v>1102011</v>
      </c>
      <c r="DS206" s="14" t="str">
        <f t="shared" si="470"/>
        <v>张飞2突</v>
      </c>
      <c r="DT206" s="14">
        <f t="shared" si="481"/>
        <v>5</v>
      </c>
      <c r="DU206" s="14">
        <f t="shared" si="482"/>
        <v>6</v>
      </c>
      <c r="DV206" s="14">
        <f t="shared" si="483"/>
        <v>8</v>
      </c>
      <c r="DW206" s="14">
        <f t="shared" si="471"/>
        <v>4</v>
      </c>
      <c r="DX206" s="14">
        <f t="shared" si="472"/>
        <v>2</v>
      </c>
      <c r="DY206" s="14">
        <f t="shared" si="473"/>
        <v>42</v>
      </c>
      <c r="DZ206" s="14">
        <f>INDEX(属性投放!$AX$6:$AX$85,(卡牌属性!DW206-2)*20+卡牌属性!DX206)</f>
        <v>10</v>
      </c>
      <c r="EA206" s="14">
        <f>INDEX(属性投放!BQ$6:BQ$85,卡牌属性!$DY206)</f>
        <v>40</v>
      </c>
      <c r="EB206" s="14">
        <f>INDEX(属性投放!BR$6:BR$85,卡牌属性!$DY206)</f>
        <v>20</v>
      </c>
      <c r="EC206" s="14">
        <f>INDEX(属性投放!BS$6:BS$85,卡牌属性!$DY206)</f>
        <v>240</v>
      </c>
      <c r="ED206" s="14">
        <f t="shared" ref="ED206:ED224" si="490">ED205+$EA205+ES205*$DZ205</f>
        <v>217</v>
      </c>
      <c r="EE206" s="14">
        <f t="shared" ref="EE206:EE224" si="491">EE205+$EA205+ET205*$DZ205</f>
        <v>250</v>
      </c>
      <c r="EF206" s="14">
        <f t="shared" ref="EF206:EF224" si="492">EF205+$EA205+EU205*$DZ205</f>
        <v>283</v>
      </c>
      <c r="EG206" s="14">
        <f t="shared" ref="EG206:EG224" si="493">EG205+$EA205+EV205*$DZ205</f>
        <v>283</v>
      </c>
      <c r="EH206" s="14">
        <f t="shared" ref="EH206:EH224" si="494">EH205+$EA205+EW205*$DZ205</f>
        <v>337</v>
      </c>
      <c r="EI206" s="14">
        <f t="shared" ref="EI206:EI224" si="495">EI205+$EB205+EX205*$DZ205</f>
        <v>78</v>
      </c>
      <c r="EJ206" s="14">
        <f t="shared" ref="EJ206:EJ224" si="496">EJ205+$EB205+EY205*$DZ205</f>
        <v>92</v>
      </c>
      <c r="EK206" s="14">
        <f t="shared" ref="EK206:EK224" si="497">EK205+$EB205+EZ205*$DZ205</f>
        <v>92</v>
      </c>
      <c r="EL206" s="14">
        <f t="shared" ref="EL206:EL224" si="498">EL205+$EB205+FA205*$DZ205</f>
        <v>121</v>
      </c>
      <c r="EM206" s="14">
        <f t="shared" ref="EM206:EM224" si="499">EM205+$EB205+FB205*$DZ205</f>
        <v>150</v>
      </c>
      <c r="EN206" s="14">
        <f t="shared" ref="EN206:EN224" si="500">EN205+$EC205+FC205*$DZ205</f>
        <v>1522</v>
      </c>
      <c r="EO206" s="14">
        <f t="shared" ref="EO206:EO224" si="501">EO205+$EC205+FD205*$DZ205</f>
        <v>1770</v>
      </c>
      <c r="EP206" s="14">
        <f t="shared" ref="EP206:EP224" si="502">EP205+$EC205+FE205*$DZ205</f>
        <v>1770</v>
      </c>
      <c r="EQ206" s="14">
        <f t="shared" ref="EQ206:EQ224" si="503">EQ205+$EC205+FF205*$DZ205</f>
        <v>2190</v>
      </c>
      <c r="ER206" s="14">
        <f t="shared" ref="ER206:ER224" si="504">ER205+$EC205+FG205*$DZ205</f>
        <v>2810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102</v>
      </c>
      <c r="FD206" s="14">
        <f>INDEX(属性偏向!$U$4:$U$243,(卡牌属性!$DV206-1+FD$3)*20+卡牌属性!$DX206)</f>
        <v>120</v>
      </c>
      <c r="FE206" s="14">
        <f>INDEX(属性偏向!$U$4:$U$243,(卡牌属性!$DV206-1+FE$3)*20+卡牌属性!$DX206)</f>
        <v>120</v>
      </c>
      <c r="FF206" s="14">
        <f>INDEX(属性偏向!$U$4:$U$243,(卡牌属性!$DV206-1+FF$3)*20+卡牌属性!$DX206)</f>
        <v>150</v>
      </c>
      <c r="FG206" s="14">
        <f>INDEX(属性偏向!$U$4:$U$243,(卡牌属性!$DV206-1+FG$3)*20+卡牌属性!$DX206)</f>
        <v>180</v>
      </c>
      <c r="FH206" s="14">
        <f>INDEX(属性投放!$BQ$6:$BQ$85,(卡牌属性!$DW206-2)*20+卡牌属性!$DX206)</f>
        <v>40</v>
      </c>
      <c r="FI206" s="14">
        <f>INDEX(属性投放!$BQ$6:$BQ$85,(卡牌属性!$DW206-2)*20+卡牌属性!$DX206)</f>
        <v>40</v>
      </c>
      <c r="FJ206" s="14">
        <f>INDEX(属性投放!$BQ$6:$BQ$85,(卡牌属性!$DW206-2)*20+卡牌属性!$DX206)</f>
        <v>40</v>
      </c>
      <c r="FK206" s="14">
        <f>INDEX(属性投放!$BQ$6:$BQ$85,(卡牌属性!$DW206-2)*20+卡牌属性!$DX206)</f>
        <v>40</v>
      </c>
      <c r="FL206" s="14">
        <f>INDEX(属性投放!$BQ$6:$BQ$85,(卡牌属性!$DW206-2)*20+卡牌属性!$DX206)</f>
        <v>40</v>
      </c>
      <c r="FM206" s="14">
        <f>INDEX(属性投放!$BR$6:$BR$85,(卡牌属性!$DW206-2)*20+卡牌属性!$DX206)</f>
        <v>20</v>
      </c>
      <c r="FN206" s="14">
        <f>INDEX(属性投放!$BR$6:$BR$85,(卡牌属性!$DW206-2)*20+卡牌属性!$DX206)</f>
        <v>20</v>
      </c>
      <c r="FO206" s="14">
        <f>INDEX(属性投放!$BR$6:$BR$85,(卡牌属性!$DW206-2)*20+卡牌属性!$DX206)</f>
        <v>20</v>
      </c>
      <c r="FP206" s="14">
        <f>INDEX(属性投放!$BR$6:$BR$85,(卡牌属性!$DW206-2)*20+卡牌属性!$DX206)</f>
        <v>20</v>
      </c>
      <c r="FQ206" s="14">
        <f>INDEX(属性投放!$BR$6:$BR$85,(卡牌属性!$DW206-2)*20+卡牌属性!$DX206)</f>
        <v>20</v>
      </c>
      <c r="FR206" s="14">
        <f>INDEX(属性投放!$BS$6:$BS$85,(卡牌属性!$DW206-2)*20+卡牌属性!$DX206)</f>
        <v>240</v>
      </c>
      <c r="FS206" s="14">
        <f>INDEX(属性投放!$BS$6:$BS$85,(卡牌属性!$DW206-2)*20+卡牌属性!$DX206)</f>
        <v>240</v>
      </c>
      <c r="FT206" s="14">
        <f>INDEX(属性投放!$BS$6:$BS$85,(卡牌属性!$DW206-2)*20+卡牌属性!$DX206)</f>
        <v>240</v>
      </c>
      <c r="FU206" s="14">
        <f>INDEX(属性投放!$BS$6:$BS$85,(卡牌属性!$DW206-2)*20+卡牌属性!$DX206)</f>
        <v>240</v>
      </c>
      <c r="FV206" s="14">
        <f>INDEX(属性投放!$BS$6:$BS$85,(卡牌属性!$DW206-2)*20+卡牌属性!$DX206)</f>
        <v>240</v>
      </c>
    </row>
    <row r="207" spans="31:178" ht="16.5" x14ac:dyDescent="0.2">
      <c r="AE207" s="13">
        <v>203</v>
      </c>
      <c r="AF207" s="13">
        <f t="shared" si="474"/>
        <v>11</v>
      </c>
      <c r="AG207" s="13">
        <f t="shared" si="461"/>
        <v>3</v>
      </c>
      <c r="AH207" s="13"/>
      <c r="AI207" s="13"/>
      <c r="AJ207" s="14">
        <f t="shared" si="462"/>
        <v>1101011</v>
      </c>
      <c r="AK207" s="14" t="str">
        <f t="shared" si="463"/>
        <v>阎风吒3突</v>
      </c>
      <c r="AL207" s="25" t="s">
        <v>142</v>
      </c>
      <c r="AM207" s="14">
        <v>1</v>
      </c>
      <c r="AN207" s="14">
        <f t="shared" si="464"/>
        <v>3</v>
      </c>
      <c r="AO207" s="14">
        <f>INDEX(属性投放!$DF$6:$DF$85,(卡牌属性!AG207-2)*20+卡牌属性!AN207)</f>
        <v>272</v>
      </c>
      <c r="AP207" s="14">
        <f t="shared" si="484"/>
        <v>272</v>
      </c>
      <c r="AQ207" s="14">
        <f t="shared" si="484"/>
        <v>272</v>
      </c>
      <c r="AR207" s="14">
        <f t="shared" si="484"/>
        <v>272</v>
      </c>
      <c r="AS207" s="14">
        <f t="shared" si="484"/>
        <v>272</v>
      </c>
      <c r="AT207" s="14">
        <f>INDEX(属性投放!$DG$6:$DG$85,(卡牌属性!AG207-2)*20+卡牌属性!AN207)</f>
        <v>61</v>
      </c>
      <c r="AU207" s="14">
        <f t="shared" si="485"/>
        <v>61</v>
      </c>
      <c r="AV207" s="14">
        <f t="shared" si="485"/>
        <v>61</v>
      </c>
      <c r="AW207" s="14">
        <f t="shared" si="485"/>
        <v>61</v>
      </c>
      <c r="AX207" s="14">
        <f t="shared" si="485"/>
        <v>61</v>
      </c>
      <c r="AY207" s="14">
        <f>INDEX(属性投放!$DH$6:$DH$85,(卡牌属性!AG207-2)*20+卡牌属性!AN207)</f>
        <v>1117</v>
      </c>
      <c r="AZ207" s="14">
        <f t="shared" si="486"/>
        <v>1117</v>
      </c>
      <c r="BA207" s="14">
        <f t="shared" si="486"/>
        <v>1117</v>
      </c>
      <c r="BB207" s="14">
        <f t="shared" si="486"/>
        <v>1117</v>
      </c>
      <c r="BC207" s="14">
        <f t="shared" si="486"/>
        <v>1117</v>
      </c>
      <c r="BD207" s="14">
        <f>INDEX(属性投放!$DL$6:$DL$85,(卡牌属性!AG207-2)*20+卡牌属性!AN207)</f>
        <v>17</v>
      </c>
      <c r="BE207" s="14">
        <f t="shared" si="487"/>
        <v>17</v>
      </c>
      <c r="BF207" s="14">
        <f t="shared" si="487"/>
        <v>17</v>
      </c>
      <c r="BG207" s="14">
        <f t="shared" si="487"/>
        <v>17</v>
      </c>
      <c r="BH207" s="14">
        <f t="shared" si="487"/>
        <v>17</v>
      </c>
      <c r="BI207" s="14">
        <f>INDEX(属性投放!$DM$6:$DM$85,(卡牌属性!AG207-2)*20+卡牌属性!AN207)</f>
        <v>8</v>
      </c>
      <c r="BJ207" s="14">
        <f t="shared" si="488"/>
        <v>8</v>
      </c>
      <c r="BK207" s="14">
        <f t="shared" si="488"/>
        <v>8</v>
      </c>
      <c r="BL207" s="14">
        <f t="shared" si="488"/>
        <v>8</v>
      </c>
      <c r="BM207" s="14">
        <f t="shared" si="488"/>
        <v>8</v>
      </c>
      <c r="BN207" s="14">
        <f>INDEX(属性投放!$DN$6:$DN$85,(卡牌属性!AG207-2)*20+卡牌属性!AN207)</f>
        <v>101</v>
      </c>
      <c r="BO207" s="14">
        <f t="shared" si="489"/>
        <v>101</v>
      </c>
      <c r="BP207" s="14">
        <f t="shared" si="489"/>
        <v>101</v>
      </c>
      <c r="BQ207" s="14">
        <f t="shared" si="489"/>
        <v>101</v>
      </c>
      <c r="BR207" s="14">
        <f t="shared" si="489"/>
        <v>101</v>
      </c>
      <c r="BW207" s="13">
        <v>203</v>
      </c>
      <c r="BX207" s="13">
        <f t="shared" si="465"/>
        <v>11</v>
      </c>
      <c r="BY207" s="14">
        <f t="shared" si="466"/>
        <v>4</v>
      </c>
      <c r="BZ207" s="14">
        <f t="shared" si="475"/>
        <v>1102011</v>
      </c>
      <c r="CA207" s="14" t="str">
        <f t="shared" si="476"/>
        <v>张飞3突</v>
      </c>
      <c r="CB207" s="25" t="s">
        <v>142</v>
      </c>
      <c r="CC207" s="14">
        <v>2</v>
      </c>
      <c r="CD207" s="14">
        <f t="shared" si="467"/>
        <v>3</v>
      </c>
      <c r="CE207" s="14" t="s">
        <v>21</v>
      </c>
      <c r="CF207" s="14">
        <f>INDEX(属性投放!$AZ$6:$AZ$85,(BY207-2)*20+CD207)</f>
        <v>558</v>
      </c>
      <c r="CG207" s="14" t="s">
        <v>22</v>
      </c>
      <c r="CH207" s="14">
        <f>INDEX(属性投放!$BA$6:$BA$85,(BY207-2)*20+CD207)</f>
        <v>210</v>
      </c>
      <c r="CI207" s="14" t="s">
        <v>510</v>
      </c>
      <c r="CJ207" s="14">
        <f>INDEX(属性投放!$BB$6:$BB$85,(BY207-2)*20+CD207)</f>
        <v>2948</v>
      </c>
      <c r="CK207" s="14" t="s">
        <v>21</v>
      </c>
      <c r="CL207" s="14">
        <f>INDEX(属性投放!$BC$6:$BC$85,(BY207-2)*20+CD207)</f>
        <v>15</v>
      </c>
      <c r="CM207" s="14" t="s">
        <v>22</v>
      </c>
      <c r="CN207" s="14">
        <f>INDEX(属性投放!$BD$6:$BD$85,(BY207-2)*20+CD207)</f>
        <v>8</v>
      </c>
      <c r="CO207" s="14" t="s">
        <v>510</v>
      </c>
      <c r="CP207" s="14">
        <f>INDEX(属性投放!$BE$6:$BE$85,(BY207-2)*20+CD207)</f>
        <v>90</v>
      </c>
      <c r="CS207" s="13">
        <v>203</v>
      </c>
      <c r="CT207" s="13">
        <f t="shared" si="477"/>
        <v>4</v>
      </c>
      <c r="CU207" s="13">
        <f t="shared" si="478"/>
        <v>47</v>
      </c>
      <c r="CV207" s="14">
        <f t="shared" si="479"/>
        <v>2</v>
      </c>
      <c r="CW207" s="14">
        <f t="shared" si="480"/>
        <v>1102004</v>
      </c>
      <c r="CX207" s="14" t="str">
        <f>INDEX($O$6:$O$50,CT207)&amp;"-"&amp;INDEX(属性投放!$AB$7:$AB$50,CZ207)&amp;"-魂火-"&amp;DB207</f>
        <v>唐流雨-无间-魂火-2</v>
      </c>
      <c r="CY207" s="25" t="s">
        <v>142</v>
      </c>
      <c r="CZ207" s="14">
        <f>INDEX(属性投放!$AM$7:$AM$58,CU207)</f>
        <v>19</v>
      </c>
      <c r="DA207" s="14" t="s">
        <v>537</v>
      </c>
      <c r="DB207" s="14">
        <f>INDEX(属性投放!$AN$7:$AN$58,CU207)</f>
        <v>2</v>
      </c>
      <c r="DC207" s="14">
        <f t="shared" si="468"/>
        <v>47</v>
      </c>
      <c r="DD207" s="14">
        <f>INDEX(属性投放!$AO$7:$AO$58,DC207)</f>
        <v>135</v>
      </c>
      <c r="DE207" s="14" t="s">
        <v>538</v>
      </c>
      <c r="DF207" s="14">
        <f>INDEX(属性投放!$BK$6:$BK$85,(CV207-2)*20+CZ207)</f>
        <v>850</v>
      </c>
      <c r="DG207" s="14">
        <f>SUMIFS(DF$5:DF207,$CT$5:$CT207,"="&amp;$CT207)</f>
        <v>11265</v>
      </c>
      <c r="DH207" s="14" t="s">
        <v>539</v>
      </c>
      <c r="DI207" s="14">
        <f>INDEX(属性投放!$BL$6:$BL$85,(CV207-2)*20+CZ207)</f>
        <v>425</v>
      </c>
      <c r="DJ207" s="14">
        <f>SUMIFS(DI$5:DI207,$CT$5:$CT207,"="&amp;$CT207)</f>
        <v>5636</v>
      </c>
      <c r="DK207" s="14" t="s">
        <v>540</v>
      </c>
      <c r="DL207" s="14">
        <f>INDEX(属性投放!$BM$6:$BM$85,(CV207-2)*20+CZ207)</f>
        <v>8500</v>
      </c>
      <c r="DM207" s="14">
        <f>SUMIFS(DL$5:DL207,$CT$5:$CT207,"="&amp;$CT207)</f>
        <v>109420</v>
      </c>
      <c r="DR207" s="14">
        <f t="shared" si="469"/>
        <v>1102011</v>
      </c>
      <c r="DS207" s="14" t="str">
        <f t="shared" si="470"/>
        <v>张飞3突</v>
      </c>
      <c r="DT207" s="14">
        <f t="shared" si="481"/>
        <v>5</v>
      </c>
      <c r="DU207" s="14">
        <f t="shared" si="482"/>
        <v>6</v>
      </c>
      <c r="DV207" s="14">
        <f t="shared" si="483"/>
        <v>8</v>
      </c>
      <c r="DW207" s="14">
        <f t="shared" si="471"/>
        <v>4</v>
      </c>
      <c r="DX207" s="14">
        <f t="shared" si="472"/>
        <v>3</v>
      </c>
      <c r="DY207" s="14">
        <f t="shared" si="473"/>
        <v>43</v>
      </c>
      <c r="DZ207" s="14">
        <f>INDEX(属性投放!$AX$6:$AX$85,(卡牌属性!DW207-2)*20+卡牌属性!DX207)</f>
        <v>10</v>
      </c>
      <c r="EA207" s="14">
        <f>INDEX(属性投放!BQ$6:BQ$85,卡牌属性!$DY207)</f>
        <v>80</v>
      </c>
      <c r="EB207" s="14">
        <f>INDEX(属性投放!BR$6:BR$85,卡牌属性!$DY207)</f>
        <v>40</v>
      </c>
      <c r="EC207" s="14">
        <f>INDEX(属性投放!BS$6:BS$85,卡牌属性!$DY207)</f>
        <v>480</v>
      </c>
      <c r="ED207" s="14">
        <f t="shared" si="490"/>
        <v>357</v>
      </c>
      <c r="EE207" s="14">
        <f t="shared" si="491"/>
        <v>410</v>
      </c>
      <c r="EF207" s="14">
        <f t="shared" si="492"/>
        <v>473</v>
      </c>
      <c r="EG207" s="14">
        <f t="shared" si="493"/>
        <v>473</v>
      </c>
      <c r="EH207" s="14">
        <f t="shared" si="494"/>
        <v>547</v>
      </c>
      <c r="EI207" s="14">
        <f t="shared" si="495"/>
        <v>158</v>
      </c>
      <c r="EJ207" s="14">
        <f t="shared" si="496"/>
        <v>192</v>
      </c>
      <c r="EK207" s="14">
        <f t="shared" si="497"/>
        <v>192</v>
      </c>
      <c r="EL207" s="14">
        <f t="shared" si="498"/>
        <v>231</v>
      </c>
      <c r="EM207" s="14">
        <f t="shared" si="499"/>
        <v>270</v>
      </c>
      <c r="EN207" s="14">
        <f t="shared" si="500"/>
        <v>2782</v>
      </c>
      <c r="EO207" s="14">
        <f t="shared" si="501"/>
        <v>3210</v>
      </c>
      <c r="EP207" s="14">
        <f t="shared" si="502"/>
        <v>3210</v>
      </c>
      <c r="EQ207" s="14">
        <f t="shared" si="503"/>
        <v>3930</v>
      </c>
      <c r="ER207" s="14">
        <f t="shared" si="504"/>
        <v>4850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102</v>
      </c>
      <c r="FD207" s="14">
        <f>INDEX(属性偏向!$U$4:$U$243,(卡牌属性!$DV207-1+FD$3)*20+卡牌属性!$DX207)</f>
        <v>120</v>
      </c>
      <c r="FE207" s="14">
        <f>INDEX(属性偏向!$U$4:$U$243,(卡牌属性!$DV207-1+FE$3)*20+卡牌属性!$DX207)</f>
        <v>120</v>
      </c>
      <c r="FF207" s="14">
        <f>INDEX(属性偏向!$U$4:$U$243,(卡牌属性!$DV207-1+FF$3)*20+卡牌属性!$DX207)</f>
        <v>150</v>
      </c>
      <c r="FG207" s="14">
        <f>INDEX(属性偏向!$U$4:$U$243,(卡牌属性!$DV207-1+FG$3)*20+卡牌属性!$DX207)</f>
        <v>180</v>
      </c>
      <c r="FH207" s="14">
        <f>INDEX(属性投放!$BQ$6:$BQ$85,(卡牌属性!$DW207-2)*20+卡牌属性!$DX207)</f>
        <v>80</v>
      </c>
      <c r="FI207" s="14">
        <f>INDEX(属性投放!$BQ$6:$BQ$85,(卡牌属性!$DW207-2)*20+卡牌属性!$DX207)</f>
        <v>80</v>
      </c>
      <c r="FJ207" s="14">
        <f>INDEX(属性投放!$BQ$6:$BQ$85,(卡牌属性!$DW207-2)*20+卡牌属性!$DX207)</f>
        <v>80</v>
      </c>
      <c r="FK207" s="14">
        <f>INDEX(属性投放!$BQ$6:$BQ$85,(卡牌属性!$DW207-2)*20+卡牌属性!$DX207)</f>
        <v>80</v>
      </c>
      <c r="FL207" s="14">
        <f>INDEX(属性投放!$BQ$6:$BQ$85,(卡牌属性!$DW207-2)*20+卡牌属性!$DX207)</f>
        <v>80</v>
      </c>
      <c r="FM207" s="14">
        <f>INDEX(属性投放!$BR$6:$BR$85,(卡牌属性!$DW207-2)*20+卡牌属性!$DX207)</f>
        <v>40</v>
      </c>
      <c r="FN207" s="14">
        <f>INDEX(属性投放!$BR$6:$BR$85,(卡牌属性!$DW207-2)*20+卡牌属性!$DX207)</f>
        <v>40</v>
      </c>
      <c r="FO207" s="14">
        <f>INDEX(属性投放!$BR$6:$BR$85,(卡牌属性!$DW207-2)*20+卡牌属性!$DX207)</f>
        <v>40</v>
      </c>
      <c r="FP207" s="14">
        <f>INDEX(属性投放!$BR$6:$BR$85,(卡牌属性!$DW207-2)*20+卡牌属性!$DX207)</f>
        <v>40</v>
      </c>
      <c r="FQ207" s="14">
        <f>INDEX(属性投放!$BR$6:$BR$85,(卡牌属性!$DW207-2)*20+卡牌属性!$DX207)</f>
        <v>40</v>
      </c>
      <c r="FR207" s="14">
        <f>INDEX(属性投放!$BS$6:$BS$85,(卡牌属性!$DW207-2)*20+卡牌属性!$DX207)</f>
        <v>480</v>
      </c>
      <c r="FS207" s="14">
        <f>INDEX(属性投放!$BS$6:$BS$85,(卡牌属性!$DW207-2)*20+卡牌属性!$DX207)</f>
        <v>480</v>
      </c>
      <c r="FT207" s="14">
        <f>INDEX(属性投放!$BS$6:$BS$85,(卡牌属性!$DW207-2)*20+卡牌属性!$DX207)</f>
        <v>480</v>
      </c>
      <c r="FU207" s="14">
        <f>INDEX(属性投放!$BS$6:$BS$85,(卡牌属性!$DW207-2)*20+卡牌属性!$DX207)</f>
        <v>480</v>
      </c>
      <c r="FV207" s="14">
        <f>INDEX(属性投放!$BS$6:$BS$85,(卡牌属性!$DW207-2)*20+卡牌属性!$DX207)</f>
        <v>480</v>
      </c>
    </row>
    <row r="208" spans="31:178" ht="16.5" x14ac:dyDescent="0.2">
      <c r="AE208" s="13">
        <v>204</v>
      </c>
      <c r="AF208" s="13">
        <f t="shared" si="474"/>
        <v>11</v>
      </c>
      <c r="AG208" s="13">
        <f t="shared" si="461"/>
        <v>3</v>
      </c>
      <c r="AH208" s="13"/>
      <c r="AI208" s="13"/>
      <c r="AJ208" s="14">
        <f t="shared" si="462"/>
        <v>1101011</v>
      </c>
      <c r="AK208" s="14" t="str">
        <f t="shared" si="463"/>
        <v>阎风吒4突</v>
      </c>
      <c r="AL208" s="25" t="s">
        <v>142</v>
      </c>
      <c r="AM208" s="14">
        <v>1</v>
      </c>
      <c r="AN208" s="14">
        <f t="shared" si="464"/>
        <v>4</v>
      </c>
      <c r="AO208" s="14">
        <f>INDEX(属性投放!$DF$6:$DF$85,(卡牌属性!AG208-2)*20+卡牌属性!AN208)</f>
        <v>484</v>
      </c>
      <c r="AP208" s="14">
        <f t="shared" si="484"/>
        <v>484</v>
      </c>
      <c r="AQ208" s="14">
        <f t="shared" si="484"/>
        <v>484</v>
      </c>
      <c r="AR208" s="14">
        <f t="shared" si="484"/>
        <v>484</v>
      </c>
      <c r="AS208" s="14">
        <f t="shared" si="484"/>
        <v>484</v>
      </c>
      <c r="AT208" s="14">
        <f>INDEX(属性投放!$DG$6:$DG$85,(卡牌属性!AG208-2)*20+卡牌属性!AN208)</f>
        <v>162</v>
      </c>
      <c r="AU208" s="14">
        <f t="shared" si="485"/>
        <v>162</v>
      </c>
      <c r="AV208" s="14">
        <f t="shared" si="485"/>
        <v>162</v>
      </c>
      <c r="AW208" s="14">
        <f t="shared" si="485"/>
        <v>162</v>
      </c>
      <c r="AX208" s="14">
        <f t="shared" si="485"/>
        <v>162</v>
      </c>
      <c r="AY208" s="14">
        <f>INDEX(属性投放!$DH$6:$DH$85,(卡牌属性!AG208-2)*20+卡牌属性!AN208)</f>
        <v>2379</v>
      </c>
      <c r="AZ208" s="14">
        <f t="shared" si="486"/>
        <v>2379</v>
      </c>
      <c r="BA208" s="14">
        <f t="shared" si="486"/>
        <v>2379</v>
      </c>
      <c r="BB208" s="14">
        <f t="shared" si="486"/>
        <v>2379</v>
      </c>
      <c r="BC208" s="14">
        <f t="shared" si="486"/>
        <v>2379</v>
      </c>
      <c r="BD208" s="14">
        <f>INDEX(属性投放!$DL$6:$DL$85,(卡牌属性!AG208-2)*20+卡牌属性!AN208)</f>
        <v>30</v>
      </c>
      <c r="BE208" s="14">
        <f t="shared" si="487"/>
        <v>30</v>
      </c>
      <c r="BF208" s="14">
        <f t="shared" si="487"/>
        <v>30</v>
      </c>
      <c r="BG208" s="14">
        <f t="shared" si="487"/>
        <v>30</v>
      </c>
      <c r="BH208" s="14">
        <f t="shared" si="487"/>
        <v>30</v>
      </c>
      <c r="BI208" s="14">
        <f>INDEX(属性投放!$DM$6:$DM$85,(卡牌属性!AG208-2)*20+卡牌属性!AN208)</f>
        <v>15</v>
      </c>
      <c r="BJ208" s="14">
        <f t="shared" si="488"/>
        <v>15</v>
      </c>
      <c r="BK208" s="14">
        <f t="shared" si="488"/>
        <v>15</v>
      </c>
      <c r="BL208" s="14">
        <f t="shared" si="488"/>
        <v>15</v>
      </c>
      <c r="BM208" s="14">
        <f t="shared" si="488"/>
        <v>15</v>
      </c>
      <c r="BN208" s="14">
        <f>INDEX(属性投放!$DN$6:$DN$85,(卡牌属性!AG208-2)*20+卡牌属性!AN208)</f>
        <v>208</v>
      </c>
      <c r="BO208" s="14">
        <f t="shared" si="489"/>
        <v>208</v>
      </c>
      <c r="BP208" s="14">
        <f t="shared" si="489"/>
        <v>208</v>
      </c>
      <c r="BQ208" s="14">
        <f t="shared" si="489"/>
        <v>208</v>
      </c>
      <c r="BR208" s="14">
        <f t="shared" si="489"/>
        <v>208</v>
      </c>
      <c r="BW208" s="13">
        <v>204</v>
      </c>
      <c r="BX208" s="13">
        <f t="shared" si="465"/>
        <v>11</v>
      </c>
      <c r="BY208" s="14">
        <f t="shared" si="466"/>
        <v>4</v>
      </c>
      <c r="BZ208" s="14">
        <f t="shared" si="475"/>
        <v>1102011</v>
      </c>
      <c r="CA208" s="14" t="str">
        <f t="shared" si="476"/>
        <v>张飞4突</v>
      </c>
      <c r="CB208" s="25" t="s">
        <v>142</v>
      </c>
      <c r="CC208" s="14">
        <v>2</v>
      </c>
      <c r="CD208" s="14">
        <f t="shared" si="467"/>
        <v>4</v>
      </c>
      <c r="CE208" s="14" t="s">
        <v>21</v>
      </c>
      <c r="CF208" s="14">
        <f>INDEX(属性投放!$AZ$6:$AZ$85,(BY208-2)*20+CD208)</f>
        <v>858</v>
      </c>
      <c r="CG208" s="14" t="s">
        <v>22</v>
      </c>
      <c r="CH208" s="14">
        <f>INDEX(属性投放!$BA$6:$BA$85,(BY208-2)*20+CD208)</f>
        <v>366</v>
      </c>
      <c r="CI208" s="14" t="s">
        <v>510</v>
      </c>
      <c r="CJ208" s="14">
        <f>INDEX(属性投放!$BB$6:$BB$85,(BY208-2)*20+CD208)</f>
        <v>4748</v>
      </c>
      <c r="CK208" s="14" t="s">
        <v>21</v>
      </c>
      <c r="CL208" s="14">
        <f>INDEX(属性投放!$BC$6:$BC$85,(BY208-2)*20+CD208)</f>
        <v>20</v>
      </c>
      <c r="CM208" s="14" t="s">
        <v>22</v>
      </c>
      <c r="CN208" s="14">
        <f>INDEX(属性投放!$BD$6:$BD$85,(BY208-2)*20+CD208)</f>
        <v>10</v>
      </c>
      <c r="CO208" s="14" t="s">
        <v>510</v>
      </c>
      <c r="CP208" s="14">
        <f>INDEX(属性投放!$BE$6:$BE$85,(BY208-2)*20+CD208)</f>
        <v>140</v>
      </c>
      <c r="CS208" s="13">
        <v>204</v>
      </c>
      <c r="CT208" s="13">
        <f t="shared" si="477"/>
        <v>4</v>
      </c>
      <c r="CU208" s="13">
        <f t="shared" si="478"/>
        <v>48</v>
      </c>
      <c r="CV208" s="14">
        <f t="shared" si="479"/>
        <v>2</v>
      </c>
      <c r="CW208" s="14">
        <f t="shared" si="480"/>
        <v>1102004</v>
      </c>
      <c r="CX208" s="14" t="str">
        <f>INDEX($O$6:$O$50,CT208)&amp;"-"&amp;INDEX(属性投放!$AB$7:$AB$50,CZ208)&amp;"-魂火-"&amp;DB208</f>
        <v>唐流雨-无间-魂火-3</v>
      </c>
      <c r="CY208" s="25" t="s">
        <v>142</v>
      </c>
      <c r="CZ208" s="14">
        <f>INDEX(属性投放!$AM$7:$AM$58,CU208)</f>
        <v>19</v>
      </c>
      <c r="DA208" s="14" t="s">
        <v>537</v>
      </c>
      <c r="DB208" s="14">
        <f>INDEX(属性投放!$AN$7:$AN$58,CU208)</f>
        <v>3</v>
      </c>
      <c r="DC208" s="14">
        <f t="shared" si="468"/>
        <v>48</v>
      </c>
      <c r="DD208" s="14">
        <f>INDEX(属性投放!$AO$7:$AO$58,DC208)</f>
        <v>138</v>
      </c>
      <c r="DE208" s="14" t="s">
        <v>538</v>
      </c>
      <c r="DF208" s="14">
        <f>INDEX(属性投放!$BK$6:$BK$85,(CV208-2)*20+CZ208)</f>
        <v>850</v>
      </c>
      <c r="DG208" s="14">
        <f>SUMIFS(DF$5:DF208,$CT$5:$CT208,"="&amp;$CT208)</f>
        <v>12115</v>
      </c>
      <c r="DH208" s="14" t="s">
        <v>539</v>
      </c>
      <c r="DI208" s="14">
        <f>INDEX(属性投放!$BL$6:$BL$85,(CV208-2)*20+CZ208)</f>
        <v>425</v>
      </c>
      <c r="DJ208" s="14">
        <f>SUMIFS(DI$5:DI208,$CT$5:$CT208,"="&amp;$CT208)</f>
        <v>6061</v>
      </c>
      <c r="DK208" s="14" t="s">
        <v>540</v>
      </c>
      <c r="DL208" s="14">
        <f>INDEX(属性投放!$BM$6:$BM$85,(CV208-2)*20+CZ208)</f>
        <v>8500</v>
      </c>
      <c r="DM208" s="14">
        <f>SUMIFS(DL$5:DL208,$CT$5:$CT208,"="&amp;$CT208)</f>
        <v>117920</v>
      </c>
      <c r="DR208" s="14">
        <f t="shared" si="469"/>
        <v>1102011</v>
      </c>
      <c r="DS208" s="14" t="str">
        <f t="shared" si="470"/>
        <v>张飞4突</v>
      </c>
      <c r="DT208" s="14">
        <f t="shared" si="481"/>
        <v>5</v>
      </c>
      <c r="DU208" s="14">
        <f t="shared" si="482"/>
        <v>6</v>
      </c>
      <c r="DV208" s="14">
        <f t="shared" si="483"/>
        <v>8</v>
      </c>
      <c r="DW208" s="14">
        <f t="shared" si="471"/>
        <v>4</v>
      </c>
      <c r="DX208" s="14">
        <f t="shared" si="472"/>
        <v>4</v>
      </c>
      <c r="DY208" s="14">
        <f t="shared" si="473"/>
        <v>44</v>
      </c>
      <c r="DZ208" s="14">
        <f>INDEX(属性投放!$AX$6:$AX$85,(卡牌属性!DW208-2)*20+卡牌属性!DX208)</f>
        <v>10</v>
      </c>
      <c r="EA208" s="14">
        <f>INDEX(属性投放!BQ$6:BQ$85,卡牌属性!$DY208)</f>
        <v>100</v>
      </c>
      <c r="EB208" s="14">
        <f>INDEX(属性投放!BR$6:BR$85,卡牌属性!$DY208)</f>
        <v>50</v>
      </c>
      <c r="EC208" s="14">
        <f>INDEX(属性投放!BS$6:BS$85,卡牌属性!$DY208)</f>
        <v>700</v>
      </c>
      <c r="ED208" s="14">
        <f t="shared" si="490"/>
        <v>537</v>
      </c>
      <c r="EE208" s="14">
        <f t="shared" si="491"/>
        <v>610</v>
      </c>
      <c r="EF208" s="14">
        <f t="shared" si="492"/>
        <v>703</v>
      </c>
      <c r="EG208" s="14">
        <f t="shared" si="493"/>
        <v>703</v>
      </c>
      <c r="EH208" s="14">
        <f t="shared" si="494"/>
        <v>797</v>
      </c>
      <c r="EI208" s="14">
        <f t="shared" si="495"/>
        <v>258</v>
      </c>
      <c r="EJ208" s="14">
        <f t="shared" si="496"/>
        <v>312</v>
      </c>
      <c r="EK208" s="14">
        <f t="shared" si="497"/>
        <v>312</v>
      </c>
      <c r="EL208" s="14">
        <f t="shared" si="498"/>
        <v>361</v>
      </c>
      <c r="EM208" s="14">
        <f t="shared" si="499"/>
        <v>410</v>
      </c>
      <c r="EN208" s="14">
        <f t="shared" si="500"/>
        <v>4282</v>
      </c>
      <c r="EO208" s="14">
        <f t="shared" si="501"/>
        <v>4890</v>
      </c>
      <c r="EP208" s="14">
        <f t="shared" si="502"/>
        <v>4890</v>
      </c>
      <c r="EQ208" s="14">
        <f t="shared" si="503"/>
        <v>5910</v>
      </c>
      <c r="ER208" s="14">
        <f t="shared" si="504"/>
        <v>7130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154</v>
      </c>
      <c r="FD208" s="14">
        <f>INDEX(属性偏向!$U$4:$U$243,(卡牌属性!$DV208-1+FD$3)*20+卡牌属性!$DX208)</f>
        <v>175</v>
      </c>
      <c r="FE208" s="14">
        <f>INDEX(属性偏向!$U$4:$U$243,(卡牌属性!$DV208-1+FE$3)*20+卡牌属性!$DX208)</f>
        <v>175</v>
      </c>
      <c r="FF208" s="14">
        <f>INDEX(属性偏向!$U$4:$U$243,(卡牌属性!$DV208-1+FF$3)*20+卡牌属性!$DX208)</f>
        <v>210</v>
      </c>
      <c r="FG208" s="14">
        <f>INDEX(属性偏向!$U$4:$U$243,(卡牌属性!$DV208-1+FG$3)*20+卡牌属性!$DX208)</f>
        <v>280</v>
      </c>
      <c r="FH208" s="14">
        <f>INDEX(属性投放!$BQ$6:$BQ$85,(卡牌属性!$DW208-2)*20+卡牌属性!$DX208)</f>
        <v>100</v>
      </c>
      <c r="FI208" s="14">
        <f>INDEX(属性投放!$BQ$6:$BQ$85,(卡牌属性!$DW208-2)*20+卡牌属性!$DX208)</f>
        <v>100</v>
      </c>
      <c r="FJ208" s="14">
        <f>INDEX(属性投放!$BQ$6:$BQ$85,(卡牌属性!$DW208-2)*20+卡牌属性!$DX208)</f>
        <v>100</v>
      </c>
      <c r="FK208" s="14">
        <f>INDEX(属性投放!$BQ$6:$BQ$85,(卡牌属性!$DW208-2)*20+卡牌属性!$DX208)</f>
        <v>100</v>
      </c>
      <c r="FL208" s="14">
        <f>INDEX(属性投放!$BQ$6:$BQ$85,(卡牌属性!$DW208-2)*20+卡牌属性!$DX208)</f>
        <v>100</v>
      </c>
      <c r="FM208" s="14">
        <f>INDEX(属性投放!$BR$6:$BR$85,(卡牌属性!$DW208-2)*20+卡牌属性!$DX208)</f>
        <v>50</v>
      </c>
      <c r="FN208" s="14">
        <f>INDEX(属性投放!$BR$6:$BR$85,(卡牌属性!$DW208-2)*20+卡牌属性!$DX208)</f>
        <v>50</v>
      </c>
      <c r="FO208" s="14">
        <f>INDEX(属性投放!$BR$6:$BR$85,(卡牌属性!$DW208-2)*20+卡牌属性!$DX208)</f>
        <v>50</v>
      </c>
      <c r="FP208" s="14">
        <f>INDEX(属性投放!$BR$6:$BR$85,(卡牌属性!$DW208-2)*20+卡牌属性!$DX208)</f>
        <v>50</v>
      </c>
      <c r="FQ208" s="14">
        <f>INDEX(属性投放!$BR$6:$BR$85,(卡牌属性!$DW208-2)*20+卡牌属性!$DX208)</f>
        <v>50</v>
      </c>
      <c r="FR208" s="14">
        <f>INDEX(属性投放!$BS$6:$BS$85,(卡牌属性!$DW208-2)*20+卡牌属性!$DX208)</f>
        <v>700</v>
      </c>
      <c r="FS208" s="14">
        <f>INDEX(属性投放!$BS$6:$BS$85,(卡牌属性!$DW208-2)*20+卡牌属性!$DX208)</f>
        <v>700</v>
      </c>
      <c r="FT208" s="14">
        <f>INDEX(属性投放!$BS$6:$BS$85,(卡牌属性!$DW208-2)*20+卡牌属性!$DX208)</f>
        <v>700</v>
      </c>
      <c r="FU208" s="14">
        <f>INDEX(属性投放!$BS$6:$BS$85,(卡牌属性!$DW208-2)*20+卡牌属性!$DX208)</f>
        <v>700</v>
      </c>
      <c r="FV208" s="14">
        <f>INDEX(属性投放!$BS$6:$BS$85,(卡牌属性!$DW208-2)*20+卡牌属性!$DX208)</f>
        <v>700</v>
      </c>
    </row>
    <row r="209" spans="31:178" ht="16.5" x14ac:dyDescent="0.2">
      <c r="AE209" s="13">
        <v>205</v>
      </c>
      <c r="AF209" s="13">
        <f t="shared" si="474"/>
        <v>11</v>
      </c>
      <c r="AG209" s="13">
        <f t="shared" si="461"/>
        <v>3</v>
      </c>
      <c r="AH209" s="13"/>
      <c r="AI209" s="13"/>
      <c r="AJ209" s="14">
        <f t="shared" si="462"/>
        <v>1101011</v>
      </c>
      <c r="AK209" s="14" t="str">
        <f t="shared" si="463"/>
        <v>阎风吒5突</v>
      </c>
      <c r="AL209" s="25" t="s">
        <v>142</v>
      </c>
      <c r="AM209" s="14">
        <v>1</v>
      </c>
      <c r="AN209" s="14">
        <f t="shared" si="464"/>
        <v>5</v>
      </c>
      <c r="AO209" s="14">
        <f>INDEX(属性投放!$DF$6:$DF$85,(卡牌属性!AG209-2)*20+卡牌属性!AN209)</f>
        <v>569</v>
      </c>
      <c r="AP209" s="14">
        <f t="shared" si="484"/>
        <v>569</v>
      </c>
      <c r="AQ209" s="14">
        <f t="shared" si="484"/>
        <v>569</v>
      </c>
      <c r="AR209" s="14">
        <f t="shared" si="484"/>
        <v>569</v>
      </c>
      <c r="AS209" s="14">
        <f t="shared" si="484"/>
        <v>569</v>
      </c>
      <c r="AT209" s="14">
        <f>INDEX(属性投放!$DG$6:$DG$85,(卡牌属性!AG209-2)*20+卡牌属性!AN209)</f>
        <v>205</v>
      </c>
      <c r="AU209" s="14">
        <f t="shared" si="485"/>
        <v>205</v>
      </c>
      <c r="AV209" s="14">
        <f t="shared" si="485"/>
        <v>205</v>
      </c>
      <c r="AW209" s="14">
        <f t="shared" si="485"/>
        <v>205</v>
      </c>
      <c r="AX209" s="14">
        <f t="shared" si="485"/>
        <v>205</v>
      </c>
      <c r="AY209" s="14">
        <f>INDEX(属性投放!$DH$6:$DH$85,(卡牌属性!AG209-2)*20+卡牌属性!AN209)</f>
        <v>2973</v>
      </c>
      <c r="AZ209" s="14">
        <f t="shared" si="486"/>
        <v>2973</v>
      </c>
      <c r="BA209" s="14">
        <f t="shared" si="486"/>
        <v>2973</v>
      </c>
      <c r="BB209" s="14">
        <f t="shared" si="486"/>
        <v>2973</v>
      </c>
      <c r="BC209" s="14">
        <f t="shared" si="486"/>
        <v>2973</v>
      </c>
      <c r="BD209" s="14">
        <f>INDEX(属性投放!$DL$6:$DL$85,(卡牌属性!AG209-2)*20+卡牌属性!AN209)</f>
        <v>30</v>
      </c>
      <c r="BE209" s="14">
        <f t="shared" si="487"/>
        <v>30</v>
      </c>
      <c r="BF209" s="14">
        <f t="shared" si="487"/>
        <v>30</v>
      </c>
      <c r="BG209" s="14">
        <f t="shared" si="487"/>
        <v>30</v>
      </c>
      <c r="BH209" s="14">
        <f t="shared" si="487"/>
        <v>30</v>
      </c>
      <c r="BI209" s="14">
        <f>INDEX(属性投放!$DM$6:$DM$85,(卡牌属性!AG209-2)*20+卡牌属性!AN209)</f>
        <v>15</v>
      </c>
      <c r="BJ209" s="14">
        <f t="shared" si="488"/>
        <v>15</v>
      </c>
      <c r="BK209" s="14">
        <f t="shared" si="488"/>
        <v>15</v>
      </c>
      <c r="BL209" s="14">
        <f t="shared" si="488"/>
        <v>15</v>
      </c>
      <c r="BM209" s="14">
        <f t="shared" si="488"/>
        <v>15</v>
      </c>
      <c r="BN209" s="14">
        <f>INDEX(属性投放!$DN$6:$DN$85,(卡牌属性!AG209-2)*20+卡牌属性!AN209)</f>
        <v>208</v>
      </c>
      <c r="BO209" s="14">
        <f t="shared" si="489"/>
        <v>208</v>
      </c>
      <c r="BP209" s="14">
        <f t="shared" si="489"/>
        <v>208</v>
      </c>
      <c r="BQ209" s="14">
        <f t="shared" si="489"/>
        <v>208</v>
      </c>
      <c r="BR209" s="14">
        <f t="shared" si="489"/>
        <v>208</v>
      </c>
      <c r="BW209" s="13">
        <v>205</v>
      </c>
      <c r="BX209" s="13">
        <f t="shared" si="465"/>
        <v>11</v>
      </c>
      <c r="BY209" s="14">
        <f t="shared" si="466"/>
        <v>4</v>
      </c>
      <c r="BZ209" s="14">
        <f t="shared" si="475"/>
        <v>1102011</v>
      </c>
      <c r="CA209" s="14" t="str">
        <f t="shared" si="476"/>
        <v>张飞5突</v>
      </c>
      <c r="CB209" s="25" t="s">
        <v>142</v>
      </c>
      <c r="CC209" s="14">
        <v>2</v>
      </c>
      <c r="CD209" s="14">
        <f t="shared" si="467"/>
        <v>5</v>
      </c>
      <c r="CE209" s="14" t="s">
        <v>21</v>
      </c>
      <c r="CF209" s="14">
        <f>INDEX(属性投放!$AZ$6:$AZ$85,(BY209-2)*20+CD209)</f>
        <v>1248</v>
      </c>
      <c r="CG209" s="14" t="s">
        <v>22</v>
      </c>
      <c r="CH209" s="14">
        <f>INDEX(属性投放!$BA$6:$BA$85,(BY209-2)*20+CD209)</f>
        <v>562</v>
      </c>
      <c r="CI209" s="14" t="s">
        <v>510</v>
      </c>
      <c r="CJ209" s="14">
        <f>INDEX(属性投放!$BB$6:$BB$85,(BY209-2)*20+CD209)</f>
        <v>7478</v>
      </c>
      <c r="CK209" s="14" t="s">
        <v>21</v>
      </c>
      <c r="CL209" s="14">
        <f>INDEX(属性投放!$BC$6:$BC$85,(BY209-2)*20+CD209)</f>
        <v>20</v>
      </c>
      <c r="CM209" s="14" t="s">
        <v>22</v>
      </c>
      <c r="CN209" s="14">
        <f>INDEX(属性投放!$BD$6:$BD$85,(BY209-2)*20+CD209)</f>
        <v>10</v>
      </c>
      <c r="CO209" s="14" t="s">
        <v>510</v>
      </c>
      <c r="CP209" s="14">
        <f>INDEX(属性投放!$BE$6:$BE$85,(BY209-2)*20+CD209)</f>
        <v>140</v>
      </c>
      <c r="CS209" s="13">
        <v>205</v>
      </c>
      <c r="CT209" s="13">
        <f t="shared" si="477"/>
        <v>4</v>
      </c>
      <c r="CU209" s="13">
        <f t="shared" si="478"/>
        <v>49</v>
      </c>
      <c r="CV209" s="14">
        <f t="shared" si="479"/>
        <v>2</v>
      </c>
      <c r="CW209" s="14">
        <f t="shared" si="480"/>
        <v>1102004</v>
      </c>
      <c r="CX209" s="14" t="str">
        <f>INDEX($O$6:$O$50,CT209)&amp;"-"&amp;INDEX(属性投放!$AB$7:$AB$50,CZ209)&amp;"-魂火-"&amp;DB209</f>
        <v>唐流雨-无间+1-魂火-1</v>
      </c>
      <c r="CY209" s="25" t="s">
        <v>142</v>
      </c>
      <c r="CZ209" s="14">
        <f>INDEX(属性投放!$AM$7:$AM$58,CU209)</f>
        <v>20</v>
      </c>
      <c r="DA209" s="14" t="s">
        <v>537</v>
      </c>
      <c r="DB209" s="14">
        <f>INDEX(属性投放!$AN$7:$AN$58,CU209)</f>
        <v>1</v>
      </c>
      <c r="DC209" s="14">
        <f t="shared" si="468"/>
        <v>49</v>
      </c>
      <c r="DD209" s="14">
        <f>INDEX(属性投放!$AO$7:$AO$58,DC209)</f>
        <v>140</v>
      </c>
      <c r="DE209" s="14" t="s">
        <v>538</v>
      </c>
      <c r="DF209" s="14">
        <f>INDEX(属性投放!$BK$6:$BK$85,(CV209-2)*20+CZ209)</f>
        <v>1000</v>
      </c>
      <c r="DG209" s="14">
        <f>SUMIFS(DF$5:DF209,$CT$5:$CT209,"="&amp;$CT209)</f>
        <v>13115</v>
      </c>
      <c r="DH209" s="14" t="s">
        <v>539</v>
      </c>
      <c r="DI209" s="14">
        <f>INDEX(属性投放!$BL$6:$BL$85,(CV209-2)*20+CZ209)</f>
        <v>500</v>
      </c>
      <c r="DJ209" s="14">
        <f>SUMIFS(DI$5:DI209,$CT$5:$CT209,"="&amp;$CT209)</f>
        <v>6561</v>
      </c>
      <c r="DK209" s="14" t="s">
        <v>540</v>
      </c>
      <c r="DL209" s="14">
        <f>INDEX(属性投放!$BM$6:$BM$85,(CV209-2)*20+CZ209)</f>
        <v>10000</v>
      </c>
      <c r="DM209" s="14">
        <f>SUMIFS(DL$5:DL209,$CT$5:$CT209,"="&amp;$CT209)</f>
        <v>127920</v>
      </c>
      <c r="DR209" s="14">
        <f t="shared" si="469"/>
        <v>1102011</v>
      </c>
      <c r="DS209" s="14" t="str">
        <f t="shared" si="470"/>
        <v>张飞5突</v>
      </c>
      <c r="DT209" s="14">
        <f t="shared" si="481"/>
        <v>5</v>
      </c>
      <c r="DU209" s="14">
        <f t="shared" si="482"/>
        <v>6</v>
      </c>
      <c r="DV209" s="14">
        <f t="shared" si="483"/>
        <v>8</v>
      </c>
      <c r="DW209" s="14">
        <f t="shared" si="471"/>
        <v>4</v>
      </c>
      <c r="DX209" s="14">
        <f t="shared" si="472"/>
        <v>5</v>
      </c>
      <c r="DY209" s="14">
        <f t="shared" si="473"/>
        <v>45</v>
      </c>
      <c r="DZ209" s="14">
        <f>INDEX(属性投放!$AX$6:$AX$85,(卡牌属性!DW209-2)*20+卡牌属性!DX209)</f>
        <v>7</v>
      </c>
      <c r="EA209" s="14">
        <f>INDEX(属性投放!BQ$6:BQ$85,卡牌属性!$DY209)</f>
        <v>120</v>
      </c>
      <c r="EB209" s="14">
        <f>INDEX(属性投放!BR$6:BR$85,卡牌属性!$DY209)</f>
        <v>60</v>
      </c>
      <c r="EC209" s="14">
        <f>INDEX(属性投放!BS$6:BS$85,卡牌属性!$DY209)</f>
        <v>840</v>
      </c>
      <c r="ED209" s="14">
        <f t="shared" si="490"/>
        <v>757</v>
      </c>
      <c r="EE209" s="14">
        <f t="shared" si="491"/>
        <v>840</v>
      </c>
      <c r="EF209" s="14">
        <f t="shared" si="492"/>
        <v>1003</v>
      </c>
      <c r="EG209" s="14">
        <f t="shared" si="493"/>
        <v>1003</v>
      </c>
      <c r="EH209" s="14">
        <f t="shared" si="494"/>
        <v>1117</v>
      </c>
      <c r="EI209" s="14">
        <f t="shared" si="495"/>
        <v>378</v>
      </c>
      <c r="EJ209" s="14">
        <f t="shared" si="496"/>
        <v>462</v>
      </c>
      <c r="EK209" s="14">
        <f t="shared" si="497"/>
        <v>462</v>
      </c>
      <c r="EL209" s="14">
        <f t="shared" si="498"/>
        <v>521</v>
      </c>
      <c r="EM209" s="14">
        <f t="shared" si="499"/>
        <v>590</v>
      </c>
      <c r="EN209" s="14">
        <f t="shared" si="500"/>
        <v>6522</v>
      </c>
      <c r="EO209" s="14">
        <f t="shared" si="501"/>
        <v>7340</v>
      </c>
      <c r="EP209" s="14">
        <f t="shared" si="502"/>
        <v>7340</v>
      </c>
      <c r="EQ209" s="14">
        <f t="shared" si="503"/>
        <v>8710</v>
      </c>
      <c r="ER209" s="14">
        <f t="shared" si="504"/>
        <v>10630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154</v>
      </c>
      <c r="FD209" s="14">
        <f>INDEX(属性偏向!$U$4:$U$243,(卡牌属性!$DV209-1+FD$3)*20+卡牌属性!$DX209)</f>
        <v>175</v>
      </c>
      <c r="FE209" s="14">
        <f>INDEX(属性偏向!$U$4:$U$243,(卡牌属性!$DV209-1+FE$3)*20+卡牌属性!$DX209)</f>
        <v>175</v>
      </c>
      <c r="FF209" s="14">
        <f>INDEX(属性偏向!$U$4:$U$243,(卡牌属性!$DV209-1+FF$3)*20+卡牌属性!$DX209)</f>
        <v>210</v>
      </c>
      <c r="FG209" s="14">
        <f>INDEX(属性偏向!$U$4:$U$243,(卡牌属性!$DV209-1+FG$3)*20+卡牌属性!$DX209)</f>
        <v>280</v>
      </c>
      <c r="FH209" s="14">
        <f>INDEX(属性投放!$BQ$6:$BQ$85,(卡牌属性!$DW209-2)*20+卡牌属性!$DX209)</f>
        <v>120</v>
      </c>
      <c r="FI209" s="14">
        <f>INDEX(属性投放!$BQ$6:$BQ$85,(卡牌属性!$DW209-2)*20+卡牌属性!$DX209)</f>
        <v>120</v>
      </c>
      <c r="FJ209" s="14">
        <f>INDEX(属性投放!$BQ$6:$BQ$85,(卡牌属性!$DW209-2)*20+卡牌属性!$DX209)</f>
        <v>120</v>
      </c>
      <c r="FK209" s="14">
        <f>INDEX(属性投放!$BQ$6:$BQ$85,(卡牌属性!$DW209-2)*20+卡牌属性!$DX209)</f>
        <v>120</v>
      </c>
      <c r="FL209" s="14">
        <f>INDEX(属性投放!$BQ$6:$BQ$85,(卡牌属性!$DW209-2)*20+卡牌属性!$DX209)</f>
        <v>120</v>
      </c>
      <c r="FM209" s="14">
        <f>INDEX(属性投放!$BR$6:$BR$85,(卡牌属性!$DW209-2)*20+卡牌属性!$DX209)</f>
        <v>60</v>
      </c>
      <c r="FN209" s="14">
        <f>INDEX(属性投放!$BR$6:$BR$85,(卡牌属性!$DW209-2)*20+卡牌属性!$DX209)</f>
        <v>60</v>
      </c>
      <c r="FO209" s="14">
        <f>INDEX(属性投放!$BR$6:$BR$85,(卡牌属性!$DW209-2)*20+卡牌属性!$DX209)</f>
        <v>60</v>
      </c>
      <c r="FP209" s="14">
        <f>INDEX(属性投放!$BR$6:$BR$85,(卡牌属性!$DW209-2)*20+卡牌属性!$DX209)</f>
        <v>60</v>
      </c>
      <c r="FQ209" s="14">
        <f>INDEX(属性投放!$BR$6:$BR$85,(卡牌属性!$DW209-2)*20+卡牌属性!$DX209)</f>
        <v>60</v>
      </c>
      <c r="FR209" s="14">
        <f>INDEX(属性投放!$BS$6:$BS$85,(卡牌属性!$DW209-2)*20+卡牌属性!$DX209)</f>
        <v>840</v>
      </c>
      <c r="FS209" s="14">
        <f>INDEX(属性投放!$BS$6:$BS$85,(卡牌属性!$DW209-2)*20+卡牌属性!$DX209)</f>
        <v>840</v>
      </c>
      <c r="FT209" s="14">
        <f>INDEX(属性投放!$BS$6:$BS$85,(卡牌属性!$DW209-2)*20+卡牌属性!$DX209)</f>
        <v>840</v>
      </c>
      <c r="FU209" s="14">
        <f>INDEX(属性投放!$BS$6:$BS$85,(卡牌属性!$DW209-2)*20+卡牌属性!$DX209)</f>
        <v>840</v>
      </c>
      <c r="FV209" s="14">
        <f>INDEX(属性投放!$BS$6:$BS$85,(卡牌属性!$DW209-2)*20+卡牌属性!$DX209)</f>
        <v>840</v>
      </c>
    </row>
    <row r="210" spans="31:178" ht="16.5" x14ac:dyDescent="0.2">
      <c r="AE210" s="13">
        <v>206</v>
      </c>
      <c r="AF210" s="13">
        <f t="shared" si="474"/>
        <v>11</v>
      </c>
      <c r="AG210" s="13">
        <f t="shared" si="461"/>
        <v>3</v>
      </c>
      <c r="AH210" s="13"/>
      <c r="AI210" s="13"/>
      <c r="AJ210" s="14">
        <f t="shared" si="462"/>
        <v>1101011</v>
      </c>
      <c r="AK210" s="14" t="str">
        <f t="shared" si="463"/>
        <v>阎风吒6突</v>
      </c>
      <c r="AL210" s="25" t="s">
        <v>142</v>
      </c>
      <c r="AM210" s="14">
        <v>1</v>
      </c>
      <c r="AN210" s="14">
        <f t="shared" si="464"/>
        <v>6</v>
      </c>
      <c r="AO210" s="14">
        <f>INDEX(属性投放!$DF$6:$DF$85,(卡牌属性!AG210-2)*20+卡牌属性!AN210)</f>
        <v>654</v>
      </c>
      <c r="AP210" s="14">
        <f t="shared" si="484"/>
        <v>654</v>
      </c>
      <c r="AQ210" s="14">
        <f t="shared" si="484"/>
        <v>654</v>
      </c>
      <c r="AR210" s="14">
        <f t="shared" si="484"/>
        <v>654</v>
      </c>
      <c r="AS210" s="14">
        <f t="shared" si="484"/>
        <v>654</v>
      </c>
      <c r="AT210" s="14">
        <f>INDEX(属性投放!$DG$6:$DG$85,(卡牌属性!AG210-2)*20+卡牌属性!AN210)</f>
        <v>248</v>
      </c>
      <c r="AU210" s="14">
        <f t="shared" si="485"/>
        <v>248</v>
      </c>
      <c r="AV210" s="14">
        <f t="shared" si="485"/>
        <v>248</v>
      </c>
      <c r="AW210" s="14">
        <f t="shared" si="485"/>
        <v>248</v>
      </c>
      <c r="AX210" s="14">
        <f t="shared" si="485"/>
        <v>248</v>
      </c>
      <c r="AY210" s="14">
        <f>INDEX(属性投放!$DH$6:$DH$85,(卡牌属性!AG210-2)*20+卡牌属性!AN210)</f>
        <v>3567</v>
      </c>
      <c r="AZ210" s="14">
        <f t="shared" si="486"/>
        <v>3567</v>
      </c>
      <c r="BA210" s="14">
        <f t="shared" si="486"/>
        <v>3567</v>
      </c>
      <c r="BB210" s="14">
        <f t="shared" si="486"/>
        <v>3567</v>
      </c>
      <c r="BC210" s="14">
        <f t="shared" si="486"/>
        <v>3567</v>
      </c>
      <c r="BD210" s="14">
        <f>INDEX(属性投放!$DL$6:$DL$85,(卡牌属性!AG210-2)*20+卡牌属性!AN210)</f>
        <v>30</v>
      </c>
      <c r="BE210" s="14">
        <f t="shared" si="487"/>
        <v>30</v>
      </c>
      <c r="BF210" s="14">
        <f t="shared" si="487"/>
        <v>30</v>
      </c>
      <c r="BG210" s="14">
        <f t="shared" si="487"/>
        <v>30</v>
      </c>
      <c r="BH210" s="14">
        <f t="shared" si="487"/>
        <v>30</v>
      </c>
      <c r="BI210" s="14">
        <f>INDEX(属性投放!$DM$6:$DM$85,(卡牌属性!AG210-2)*20+卡牌属性!AN210)</f>
        <v>15</v>
      </c>
      <c r="BJ210" s="14">
        <f t="shared" si="488"/>
        <v>15</v>
      </c>
      <c r="BK210" s="14">
        <f t="shared" si="488"/>
        <v>15</v>
      </c>
      <c r="BL210" s="14">
        <f t="shared" si="488"/>
        <v>15</v>
      </c>
      <c r="BM210" s="14">
        <f t="shared" si="488"/>
        <v>15</v>
      </c>
      <c r="BN210" s="14">
        <f>INDEX(属性投放!$DN$6:$DN$85,(卡牌属性!AG210-2)*20+卡牌属性!AN210)</f>
        <v>208</v>
      </c>
      <c r="BO210" s="14">
        <f t="shared" si="489"/>
        <v>208</v>
      </c>
      <c r="BP210" s="14">
        <f t="shared" si="489"/>
        <v>208</v>
      </c>
      <c r="BQ210" s="14">
        <f t="shared" si="489"/>
        <v>208</v>
      </c>
      <c r="BR210" s="14">
        <f t="shared" si="489"/>
        <v>208</v>
      </c>
      <c r="BW210" s="13">
        <v>206</v>
      </c>
      <c r="BX210" s="13">
        <f t="shared" si="465"/>
        <v>11</v>
      </c>
      <c r="BY210" s="14">
        <f t="shared" si="466"/>
        <v>4</v>
      </c>
      <c r="BZ210" s="14">
        <f t="shared" si="475"/>
        <v>1102011</v>
      </c>
      <c r="CA210" s="14" t="str">
        <f t="shared" si="476"/>
        <v>张飞6突</v>
      </c>
      <c r="CB210" s="25" t="s">
        <v>142</v>
      </c>
      <c r="CC210" s="14">
        <v>2</v>
      </c>
      <c r="CD210" s="14">
        <f t="shared" si="467"/>
        <v>6</v>
      </c>
      <c r="CE210" s="14" t="s">
        <v>21</v>
      </c>
      <c r="CF210" s="14">
        <f>INDEX(属性投放!$AZ$6:$AZ$85,(BY210-2)*20+CD210)</f>
        <v>1618</v>
      </c>
      <c r="CG210" s="14" t="s">
        <v>22</v>
      </c>
      <c r="CH210" s="14">
        <f>INDEX(属性投放!$BA$6:$BA$85,(BY210-2)*20+CD210)</f>
        <v>748</v>
      </c>
      <c r="CI210" s="14" t="s">
        <v>510</v>
      </c>
      <c r="CJ210" s="14">
        <f>INDEX(属性投放!$BB$6:$BB$85,(BY210-2)*20+CD210)</f>
        <v>10068</v>
      </c>
      <c r="CK210" s="14" t="s">
        <v>21</v>
      </c>
      <c r="CL210" s="14">
        <f>INDEX(属性投放!$BC$6:$BC$85,(BY210-2)*20+CD210)</f>
        <v>20</v>
      </c>
      <c r="CM210" s="14" t="s">
        <v>22</v>
      </c>
      <c r="CN210" s="14">
        <f>INDEX(属性投放!$BD$6:$BD$85,(BY210-2)*20+CD210)</f>
        <v>10</v>
      </c>
      <c r="CO210" s="14" t="s">
        <v>510</v>
      </c>
      <c r="CP210" s="14">
        <f>INDEX(属性投放!$BE$6:$BE$85,(BY210-2)*20+CD210)</f>
        <v>140</v>
      </c>
      <c r="CS210" s="13">
        <v>206</v>
      </c>
      <c r="CT210" s="13">
        <f t="shared" si="477"/>
        <v>4</v>
      </c>
      <c r="CU210" s="13">
        <f t="shared" si="478"/>
        <v>50</v>
      </c>
      <c r="CV210" s="14">
        <f t="shared" si="479"/>
        <v>2</v>
      </c>
      <c r="CW210" s="14">
        <f t="shared" si="480"/>
        <v>1102004</v>
      </c>
      <c r="CX210" s="14" t="str">
        <f>INDEX($O$6:$O$50,CT210)&amp;"-"&amp;INDEX(属性投放!$AB$7:$AB$50,CZ210)&amp;"-魂火-"&amp;DB210</f>
        <v>唐流雨-无间+1-魂火-2</v>
      </c>
      <c r="CY210" s="25" t="s">
        <v>142</v>
      </c>
      <c r="CZ210" s="14">
        <f>INDEX(属性投放!$AM$7:$AM$58,CU210)</f>
        <v>20</v>
      </c>
      <c r="DA210" s="14" t="s">
        <v>537</v>
      </c>
      <c r="DB210" s="14">
        <f>INDEX(属性投放!$AN$7:$AN$58,CU210)</f>
        <v>2</v>
      </c>
      <c r="DC210" s="14">
        <f t="shared" si="468"/>
        <v>50</v>
      </c>
      <c r="DD210" s="14">
        <f>INDEX(属性投放!$AO$7:$AO$58,DC210)</f>
        <v>143</v>
      </c>
      <c r="DE210" s="14" t="s">
        <v>538</v>
      </c>
      <c r="DF210" s="14">
        <f>INDEX(属性投放!$BK$6:$BK$85,(CV210-2)*20+CZ210)</f>
        <v>1000</v>
      </c>
      <c r="DG210" s="14">
        <f>SUMIFS(DF$5:DF210,$CT$5:$CT210,"="&amp;$CT210)</f>
        <v>14115</v>
      </c>
      <c r="DH210" s="14" t="s">
        <v>539</v>
      </c>
      <c r="DI210" s="14">
        <f>INDEX(属性投放!$BL$6:$BL$85,(CV210-2)*20+CZ210)</f>
        <v>500</v>
      </c>
      <c r="DJ210" s="14">
        <f>SUMIFS(DI$5:DI210,$CT$5:$CT210,"="&amp;$CT210)</f>
        <v>7061</v>
      </c>
      <c r="DK210" s="14" t="s">
        <v>540</v>
      </c>
      <c r="DL210" s="14">
        <f>INDEX(属性投放!$BM$6:$BM$85,(CV210-2)*20+CZ210)</f>
        <v>10000</v>
      </c>
      <c r="DM210" s="14">
        <f>SUMIFS(DL$5:DL210,$CT$5:$CT210,"="&amp;$CT210)</f>
        <v>137920</v>
      </c>
      <c r="DR210" s="14">
        <f t="shared" si="469"/>
        <v>1102011</v>
      </c>
      <c r="DS210" s="14" t="str">
        <f t="shared" si="470"/>
        <v>张飞6突</v>
      </c>
      <c r="DT210" s="14">
        <f t="shared" si="481"/>
        <v>5</v>
      </c>
      <c r="DU210" s="14">
        <f t="shared" si="482"/>
        <v>6</v>
      </c>
      <c r="DV210" s="14">
        <f t="shared" si="483"/>
        <v>8</v>
      </c>
      <c r="DW210" s="14">
        <f t="shared" si="471"/>
        <v>4</v>
      </c>
      <c r="DX210" s="14">
        <f t="shared" si="472"/>
        <v>6</v>
      </c>
      <c r="DY210" s="14">
        <f t="shared" si="473"/>
        <v>46</v>
      </c>
      <c r="DZ210" s="14">
        <f>INDEX(属性投放!$AX$6:$AX$85,(卡牌属性!DW210-2)*20+卡牌属性!DX210)</f>
        <v>5</v>
      </c>
      <c r="EA210" s="14">
        <f>INDEX(属性投放!BQ$6:BQ$85,卡牌属性!$DY210)</f>
        <v>160</v>
      </c>
      <c r="EB210" s="14">
        <f>INDEX(属性投放!BR$6:BR$85,卡牌属性!$DY210)</f>
        <v>80</v>
      </c>
      <c r="EC210" s="14">
        <f>INDEX(属性投放!BS$6:BS$85,卡牌属性!$DY210)</f>
        <v>1120</v>
      </c>
      <c r="ED210" s="14">
        <f t="shared" si="490"/>
        <v>961</v>
      </c>
      <c r="EE210" s="14">
        <f t="shared" si="491"/>
        <v>1051</v>
      </c>
      <c r="EF210" s="14">
        <f t="shared" si="492"/>
        <v>1263</v>
      </c>
      <c r="EG210" s="14">
        <f t="shared" si="493"/>
        <v>1263</v>
      </c>
      <c r="EH210" s="14">
        <f t="shared" si="494"/>
        <v>1391</v>
      </c>
      <c r="EI210" s="14">
        <f t="shared" si="495"/>
        <v>487</v>
      </c>
      <c r="EJ210" s="14">
        <f t="shared" si="496"/>
        <v>592</v>
      </c>
      <c r="EK210" s="14">
        <f t="shared" si="497"/>
        <v>592</v>
      </c>
      <c r="EL210" s="14">
        <f t="shared" si="498"/>
        <v>658</v>
      </c>
      <c r="EM210" s="14">
        <f t="shared" si="499"/>
        <v>741</v>
      </c>
      <c r="EN210" s="14">
        <f t="shared" si="500"/>
        <v>8440</v>
      </c>
      <c r="EO210" s="14">
        <f t="shared" si="501"/>
        <v>9405</v>
      </c>
      <c r="EP210" s="14">
        <f t="shared" si="502"/>
        <v>9405</v>
      </c>
      <c r="EQ210" s="14">
        <f t="shared" si="503"/>
        <v>11020</v>
      </c>
      <c r="ER210" s="14">
        <f t="shared" si="504"/>
        <v>13430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154</v>
      </c>
      <c r="FD210" s="14">
        <f>INDEX(属性偏向!$U$4:$U$243,(卡牌属性!$DV210-1+FD$3)*20+卡牌属性!$DX210)</f>
        <v>175</v>
      </c>
      <c r="FE210" s="14">
        <f>INDEX(属性偏向!$U$4:$U$243,(卡牌属性!$DV210-1+FE$3)*20+卡牌属性!$DX210)</f>
        <v>175</v>
      </c>
      <c r="FF210" s="14">
        <f>INDEX(属性偏向!$U$4:$U$243,(卡牌属性!$DV210-1+FF$3)*20+卡牌属性!$DX210)</f>
        <v>210</v>
      </c>
      <c r="FG210" s="14">
        <f>INDEX(属性偏向!$U$4:$U$243,(卡牌属性!$DV210-1+FG$3)*20+卡牌属性!$DX210)</f>
        <v>280</v>
      </c>
      <c r="FH210" s="14">
        <f>INDEX(属性投放!$BQ$6:$BQ$85,(卡牌属性!$DW210-2)*20+卡牌属性!$DX210)</f>
        <v>160</v>
      </c>
      <c r="FI210" s="14">
        <f>INDEX(属性投放!$BQ$6:$BQ$85,(卡牌属性!$DW210-2)*20+卡牌属性!$DX210)</f>
        <v>160</v>
      </c>
      <c r="FJ210" s="14">
        <f>INDEX(属性投放!$BQ$6:$BQ$85,(卡牌属性!$DW210-2)*20+卡牌属性!$DX210)</f>
        <v>160</v>
      </c>
      <c r="FK210" s="14">
        <f>INDEX(属性投放!$BQ$6:$BQ$85,(卡牌属性!$DW210-2)*20+卡牌属性!$DX210)</f>
        <v>160</v>
      </c>
      <c r="FL210" s="14">
        <f>INDEX(属性投放!$BQ$6:$BQ$85,(卡牌属性!$DW210-2)*20+卡牌属性!$DX210)</f>
        <v>160</v>
      </c>
      <c r="FM210" s="14">
        <f>INDEX(属性投放!$BR$6:$BR$85,(卡牌属性!$DW210-2)*20+卡牌属性!$DX210)</f>
        <v>80</v>
      </c>
      <c r="FN210" s="14">
        <f>INDEX(属性投放!$BR$6:$BR$85,(卡牌属性!$DW210-2)*20+卡牌属性!$DX210)</f>
        <v>80</v>
      </c>
      <c r="FO210" s="14">
        <f>INDEX(属性投放!$BR$6:$BR$85,(卡牌属性!$DW210-2)*20+卡牌属性!$DX210)</f>
        <v>80</v>
      </c>
      <c r="FP210" s="14">
        <f>INDEX(属性投放!$BR$6:$BR$85,(卡牌属性!$DW210-2)*20+卡牌属性!$DX210)</f>
        <v>80</v>
      </c>
      <c r="FQ210" s="14">
        <f>INDEX(属性投放!$BR$6:$BR$85,(卡牌属性!$DW210-2)*20+卡牌属性!$DX210)</f>
        <v>80</v>
      </c>
      <c r="FR210" s="14">
        <f>INDEX(属性投放!$BS$6:$BS$85,(卡牌属性!$DW210-2)*20+卡牌属性!$DX210)</f>
        <v>1120</v>
      </c>
      <c r="FS210" s="14">
        <f>INDEX(属性投放!$BS$6:$BS$85,(卡牌属性!$DW210-2)*20+卡牌属性!$DX210)</f>
        <v>1120</v>
      </c>
      <c r="FT210" s="14">
        <f>INDEX(属性投放!$BS$6:$BS$85,(卡牌属性!$DW210-2)*20+卡牌属性!$DX210)</f>
        <v>1120</v>
      </c>
      <c r="FU210" s="14">
        <f>INDEX(属性投放!$BS$6:$BS$85,(卡牌属性!$DW210-2)*20+卡牌属性!$DX210)</f>
        <v>1120</v>
      </c>
      <c r="FV210" s="14">
        <f>INDEX(属性投放!$BS$6:$BS$85,(卡牌属性!$DW210-2)*20+卡牌属性!$DX210)</f>
        <v>1120</v>
      </c>
    </row>
    <row r="211" spans="31:178" ht="16.5" x14ac:dyDescent="0.2">
      <c r="AE211" s="13">
        <v>207</v>
      </c>
      <c r="AF211" s="13">
        <f t="shared" si="474"/>
        <v>11</v>
      </c>
      <c r="AG211" s="13">
        <f t="shared" si="461"/>
        <v>3</v>
      </c>
      <c r="AH211" s="13"/>
      <c r="AI211" s="13"/>
      <c r="AJ211" s="14">
        <f t="shared" si="462"/>
        <v>1101011</v>
      </c>
      <c r="AK211" s="14" t="str">
        <f t="shared" si="463"/>
        <v>阎风吒7突</v>
      </c>
      <c r="AL211" s="25" t="s">
        <v>142</v>
      </c>
      <c r="AM211" s="14">
        <v>1</v>
      </c>
      <c r="AN211" s="14">
        <f t="shared" si="464"/>
        <v>7</v>
      </c>
      <c r="AO211" s="14">
        <f>INDEX(属性投放!$DF$6:$DF$85,(卡牌属性!AG211-2)*20+卡牌属性!AN211)</f>
        <v>1489</v>
      </c>
      <c r="AP211" s="14">
        <f t="shared" si="484"/>
        <v>1489</v>
      </c>
      <c r="AQ211" s="14">
        <f t="shared" si="484"/>
        <v>1489</v>
      </c>
      <c r="AR211" s="14">
        <f t="shared" si="484"/>
        <v>1489</v>
      </c>
      <c r="AS211" s="14">
        <f t="shared" si="484"/>
        <v>1489</v>
      </c>
      <c r="AT211" s="14">
        <f>INDEX(属性投放!$DG$6:$DG$85,(卡牌属性!AG211-2)*20+卡牌属性!AN211)</f>
        <v>666</v>
      </c>
      <c r="AU211" s="14">
        <f t="shared" si="485"/>
        <v>666</v>
      </c>
      <c r="AV211" s="14">
        <f t="shared" si="485"/>
        <v>666</v>
      </c>
      <c r="AW211" s="14">
        <f t="shared" si="485"/>
        <v>666</v>
      </c>
      <c r="AX211" s="14">
        <f t="shared" si="485"/>
        <v>666</v>
      </c>
      <c r="AY211" s="14">
        <f>INDEX(属性投放!$DH$6:$DH$85,(卡牌属性!AG211-2)*20+卡牌属性!AN211)</f>
        <v>9361</v>
      </c>
      <c r="AZ211" s="14">
        <f t="shared" si="486"/>
        <v>9361</v>
      </c>
      <c r="BA211" s="14">
        <f t="shared" si="486"/>
        <v>9361</v>
      </c>
      <c r="BB211" s="14">
        <f t="shared" si="486"/>
        <v>9361</v>
      </c>
      <c r="BC211" s="14">
        <f t="shared" si="486"/>
        <v>9361</v>
      </c>
      <c r="BD211" s="14">
        <f>INDEX(属性投放!$DL$6:$DL$85,(卡牌属性!AG211-2)*20+卡牌属性!AN211)</f>
        <v>46</v>
      </c>
      <c r="BE211" s="14">
        <f t="shared" si="487"/>
        <v>46</v>
      </c>
      <c r="BF211" s="14">
        <f t="shared" si="487"/>
        <v>46</v>
      </c>
      <c r="BG211" s="14">
        <f t="shared" si="487"/>
        <v>46</v>
      </c>
      <c r="BH211" s="14">
        <f t="shared" si="487"/>
        <v>46</v>
      </c>
      <c r="BI211" s="14">
        <f>INDEX(属性投放!$DM$6:$DM$85,(卡牌属性!AG211-2)*20+卡牌属性!AN211)</f>
        <v>24</v>
      </c>
      <c r="BJ211" s="14">
        <f t="shared" si="488"/>
        <v>24</v>
      </c>
      <c r="BK211" s="14">
        <f t="shared" si="488"/>
        <v>24</v>
      </c>
      <c r="BL211" s="14">
        <f t="shared" si="488"/>
        <v>24</v>
      </c>
      <c r="BM211" s="14">
        <f t="shared" si="488"/>
        <v>24</v>
      </c>
      <c r="BN211" s="14">
        <f>INDEX(属性投放!$DN$6:$DN$85,(卡牌属性!AG211-2)*20+卡牌属性!AN211)</f>
        <v>371</v>
      </c>
      <c r="BO211" s="14">
        <f t="shared" si="489"/>
        <v>371</v>
      </c>
      <c r="BP211" s="14">
        <f t="shared" si="489"/>
        <v>371</v>
      </c>
      <c r="BQ211" s="14">
        <f t="shared" si="489"/>
        <v>371</v>
      </c>
      <c r="BR211" s="14">
        <f t="shared" si="489"/>
        <v>371</v>
      </c>
      <c r="BW211" s="13">
        <v>207</v>
      </c>
      <c r="BX211" s="13">
        <f t="shared" si="465"/>
        <v>11</v>
      </c>
      <c r="BY211" s="14">
        <f t="shared" si="466"/>
        <v>4</v>
      </c>
      <c r="BZ211" s="14">
        <f t="shared" si="475"/>
        <v>1102011</v>
      </c>
      <c r="CA211" s="14" t="str">
        <f t="shared" si="476"/>
        <v>张飞7突</v>
      </c>
      <c r="CB211" s="25" t="s">
        <v>142</v>
      </c>
      <c r="CC211" s="14">
        <v>2</v>
      </c>
      <c r="CD211" s="14">
        <f t="shared" si="467"/>
        <v>7</v>
      </c>
      <c r="CE211" s="14" t="s">
        <v>21</v>
      </c>
      <c r="CF211" s="14">
        <f>INDEX(属性投放!$AZ$6:$AZ$85,(BY211-2)*20+CD211)</f>
        <v>1998</v>
      </c>
      <c r="CG211" s="14" t="s">
        <v>22</v>
      </c>
      <c r="CH211" s="14">
        <f>INDEX(属性投放!$BA$6:$BA$85,(BY211-2)*20+CD211)</f>
        <v>938</v>
      </c>
      <c r="CI211" s="14" t="s">
        <v>510</v>
      </c>
      <c r="CJ211" s="14">
        <f>INDEX(属性投放!$BB$6:$BB$85,(BY211-2)*20+CD211)</f>
        <v>12728</v>
      </c>
      <c r="CK211" s="14" t="s">
        <v>21</v>
      </c>
      <c r="CL211" s="14">
        <f>INDEX(属性投放!$BC$6:$BC$85,(BY211-2)*20+CD211)</f>
        <v>25</v>
      </c>
      <c r="CM211" s="14" t="s">
        <v>22</v>
      </c>
      <c r="CN211" s="14">
        <f>INDEX(属性投放!$BD$6:$BD$85,(BY211-2)*20+CD211)</f>
        <v>13</v>
      </c>
      <c r="CO211" s="14" t="s">
        <v>510</v>
      </c>
      <c r="CP211" s="14">
        <f>INDEX(属性投放!$BE$6:$BE$85,(BY211-2)*20+CD211)</f>
        <v>200</v>
      </c>
      <c r="CS211" s="13">
        <v>207</v>
      </c>
      <c r="CT211" s="13">
        <f t="shared" si="477"/>
        <v>4</v>
      </c>
      <c r="CU211" s="13">
        <f t="shared" si="478"/>
        <v>51</v>
      </c>
      <c r="CV211" s="14">
        <f t="shared" si="479"/>
        <v>2</v>
      </c>
      <c r="CW211" s="14">
        <f t="shared" si="480"/>
        <v>1102004</v>
      </c>
      <c r="CX211" s="14" t="str">
        <f>INDEX($O$6:$O$50,CT211)&amp;"-"&amp;INDEX(属性投放!$AB$7:$AB$50,CZ211)&amp;"-魂火-"&amp;DB211</f>
        <v>唐流雨-无间+1-魂火-3</v>
      </c>
      <c r="CY211" s="25" t="s">
        <v>142</v>
      </c>
      <c r="CZ211" s="14">
        <f>INDEX(属性投放!$AM$7:$AM$58,CU211)</f>
        <v>20</v>
      </c>
      <c r="DA211" s="14" t="s">
        <v>537</v>
      </c>
      <c r="DB211" s="14">
        <f>INDEX(属性投放!$AN$7:$AN$58,CU211)</f>
        <v>3</v>
      </c>
      <c r="DC211" s="14">
        <f t="shared" si="468"/>
        <v>51</v>
      </c>
      <c r="DD211" s="14">
        <f>INDEX(属性投放!$AO$7:$AO$58,DC211)</f>
        <v>145</v>
      </c>
      <c r="DE211" s="14" t="s">
        <v>538</v>
      </c>
      <c r="DF211" s="14">
        <f>INDEX(属性投放!$BK$6:$BK$85,(CV211-2)*20+CZ211)</f>
        <v>1000</v>
      </c>
      <c r="DG211" s="14">
        <f>SUMIFS(DF$5:DF211,$CT$5:$CT211,"="&amp;$CT211)</f>
        <v>15115</v>
      </c>
      <c r="DH211" s="14" t="s">
        <v>539</v>
      </c>
      <c r="DI211" s="14">
        <f>INDEX(属性投放!$BL$6:$BL$85,(CV211-2)*20+CZ211)</f>
        <v>500</v>
      </c>
      <c r="DJ211" s="14">
        <f>SUMIFS(DI$5:DI211,$CT$5:$CT211,"="&amp;$CT211)</f>
        <v>7561</v>
      </c>
      <c r="DK211" s="14" t="s">
        <v>540</v>
      </c>
      <c r="DL211" s="14">
        <f>INDEX(属性投放!$BM$6:$BM$85,(CV211-2)*20+CZ211)</f>
        <v>10000</v>
      </c>
      <c r="DM211" s="14">
        <f>SUMIFS(DL$5:DL211,$CT$5:$CT211,"="&amp;$CT211)</f>
        <v>147920</v>
      </c>
      <c r="DR211" s="14">
        <f t="shared" si="469"/>
        <v>1102011</v>
      </c>
      <c r="DS211" s="14" t="str">
        <f t="shared" si="470"/>
        <v>张飞7突</v>
      </c>
      <c r="DT211" s="14">
        <f t="shared" si="481"/>
        <v>5</v>
      </c>
      <c r="DU211" s="14">
        <f t="shared" si="482"/>
        <v>6</v>
      </c>
      <c r="DV211" s="14">
        <f t="shared" si="483"/>
        <v>8</v>
      </c>
      <c r="DW211" s="14">
        <f t="shared" si="471"/>
        <v>4</v>
      </c>
      <c r="DX211" s="14">
        <f t="shared" si="472"/>
        <v>7</v>
      </c>
      <c r="DY211" s="14">
        <f t="shared" si="473"/>
        <v>47</v>
      </c>
      <c r="DZ211" s="14">
        <f>INDEX(属性投放!$AX$6:$AX$85,(卡牌属性!DW211-2)*20+卡牌属性!DX211)</f>
        <v>5</v>
      </c>
      <c r="EA211" s="14">
        <f>INDEX(属性投放!BQ$6:BQ$85,卡牌属性!$DY211)</f>
        <v>165</v>
      </c>
      <c r="EB211" s="14">
        <f>INDEX(属性投放!BR$6:BR$85,卡牌属性!$DY211)</f>
        <v>83</v>
      </c>
      <c r="EC211" s="14">
        <f>INDEX(属性投放!BS$6:BS$85,卡牌属性!$DY211)</f>
        <v>1320</v>
      </c>
      <c r="ED211" s="14">
        <f t="shared" si="490"/>
        <v>1181</v>
      </c>
      <c r="EE211" s="14">
        <f t="shared" si="491"/>
        <v>1276</v>
      </c>
      <c r="EF211" s="14">
        <f t="shared" si="492"/>
        <v>1523</v>
      </c>
      <c r="EG211" s="14">
        <f t="shared" si="493"/>
        <v>1523</v>
      </c>
      <c r="EH211" s="14">
        <f t="shared" si="494"/>
        <v>1661</v>
      </c>
      <c r="EI211" s="14">
        <f t="shared" si="495"/>
        <v>602</v>
      </c>
      <c r="EJ211" s="14">
        <f t="shared" si="496"/>
        <v>722</v>
      </c>
      <c r="EK211" s="14">
        <f t="shared" si="497"/>
        <v>722</v>
      </c>
      <c r="EL211" s="14">
        <f t="shared" si="498"/>
        <v>793</v>
      </c>
      <c r="EM211" s="14">
        <f t="shared" si="499"/>
        <v>886</v>
      </c>
      <c r="EN211" s="14">
        <f t="shared" si="500"/>
        <v>10330</v>
      </c>
      <c r="EO211" s="14">
        <f t="shared" si="501"/>
        <v>11400</v>
      </c>
      <c r="EP211" s="14">
        <f t="shared" si="502"/>
        <v>11400</v>
      </c>
      <c r="EQ211" s="14">
        <f t="shared" si="503"/>
        <v>13190</v>
      </c>
      <c r="ER211" s="14">
        <f t="shared" si="504"/>
        <v>15950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224</v>
      </c>
      <c r="FD211" s="14">
        <f>INDEX(属性偏向!$U$4:$U$243,(卡牌属性!$DV211-1+FD$3)*20+卡牌属性!$DX211)</f>
        <v>240</v>
      </c>
      <c r="FE211" s="14">
        <f>INDEX(属性偏向!$U$4:$U$243,(卡牌属性!$DV211-1+FE$3)*20+卡牌属性!$DX211)</f>
        <v>240</v>
      </c>
      <c r="FF211" s="14">
        <f>INDEX(属性偏向!$U$4:$U$243,(卡牌属性!$DV211-1+FF$3)*20+卡牌属性!$DX211)</f>
        <v>320</v>
      </c>
      <c r="FG211" s="14">
        <f>INDEX(属性偏向!$U$4:$U$243,(卡牌属性!$DV211-1+FG$3)*20+卡牌属性!$DX211)</f>
        <v>400</v>
      </c>
      <c r="FH211" s="14">
        <f>INDEX(属性投放!$BQ$6:$BQ$85,(卡牌属性!$DW211-2)*20+卡牌属性!$DX211)</f>
        <v>165</v>
      </c>
      <c r="FI211" s="14">
        <f>INDEX(属性投放!$BQ$6:$BQ$85,(卡牌属性!$DW211-2)*20+卡牌属性!$DX211)</f>
        <v>165</v>
      </c>
      <c r="FJ211" s="14">
        <f>INDEX(属性投放!$BQ$6:$BQ$85,(卡牌属性!$DW211-2)*20+卡牌属性!$DX211)</f>
        <v>165</v>
      </c>
      <c r="FK211" s="14">
        <f>INDEX(属性投放!$BQ$6:$BQ$85,(卡牌属性!$DW211-2)*20+卡牌属性!$DX211)</f>
        <v>165</v>
      </c>
      <c r="FL211" s="14">
        <f>INDEX(属性投放!$BQ$6:$BQ$85,(卡牌属性!$DW211-2)*20+卡牌属性!$DX211)</f>
        <v>165</v>
      </c>
      <c r="FM211" s="14">
        <f>INDEX(属性投放!$BR$6:$BR$85,(卡牌属性!$DW211-2)*20+卡牌属性!$DX211)</f>
        <v>83</v>
      </c>
      <c r="FN211" s="14">
        <f>INDEX(属性投放!$BR$6:$BR$85,(卡牌属性!$DW211-2)*20+卡牌属性!$DX211)</f>
        <v>83</v>
      </c>
      <c r="FO211" s="14">
        <f>INDEX(属性投放!$BR$6:$BR$85,(卡牌属性!$DW211-2)*20+卡牌属性!$DX211)</f>
        <v>83</v>
      </c>
      <c r="FP211" s="14">
        <f>INDEX(属性投放!$BR$6:$BR$85,(卡牌属性!$DW211-2)*20+卡牌属性!$DX211)</f>
        <v>83</v>
      </c>
      <c r="FQ211" s="14">
        <f>INDEX(属性投放!$BR$6:$BR$85,(卡牌属性!$DW211-2)*20+卡牌属性!$DX211)</f>
        <v>83</v>
      </c>
      <c r="FR211" s="14">
        <f>INDEX(属性投放!$BS$6:$BS$85,(卡牌属性!$DW211-2)*20+卡牌属性!$DX211)</f>
        <v>1320</v>
      </c>
      <c r="FS211" s="14">
        <f>INDEX(属性投放!$BS$6:$BS$85,(卡牌属性!$DW211-2)*20+卡牌属性!$DX211)</f>
        <v>1320</v>
      </c>
      <c r="FT211" s="14">
        <f>INDEX(属性投放!$BS$6:$BS$85,(卡牌属性!$DW211-2)*20+卡牌属性!$DX211)</f>
        <v>1320</v>
      </c>
      <c r="FU211" s="14">
        <f>INDEX(属性投放!$BS$6:$BS$85,(卡牌属性!$DW211-2)*20+卡牌属性!$DX211)</f>
        <v>1320</v>
      </c>
      <c r="FV211" s="14">
        <f>INDEX(属性投放!$BS$6:$BS$85,(卡牌属性!$DW211-2)*20+卡牌属性!$DX211)</f>
        <v>1320</v>
      </c>
    </row>
    <row r="212" spans="31:178" ht="16.5" x14ac:dyDescent="0.2">
      <c r="AE212" s="13">
        <v>208</v>
      </c>
      <c r="AF212" s="13">
        <f t="shared" si="474"/>
        <v>11</v>
      </c>
      <c r="AG212" s="13">
        <f t="shared" si="461"/>
        <v>3</v>
      </c>
      <c r="AH212" s="13"/>
      <c r="AI212" s="13"/>
      <c r="AJ212" s="14">
        <f t="shared" si="462"/>
        <v>1101011</v>
      </c>
      <c r="AK212" s="14" t="str">
        <f t="shared" si="463"/>
        <v>阎风吒8突</v>
      </c>
      <c r="AL212" s="25" t="s">
        <v>142</v>
      </c>
      <c r="AM212" s="14">
        <v>1</v>
      </c>
      <c r="AN212" s="14">
        <f t="shared" si="464"/>
        <v>8</v>
      </c>
      <c r="AO212" s="14">
        <f>INDEX(属性投放!$DF$6:$DF$85,(卡牌属性!AG212-2)*20+卡牌属性!AN212)</f>
        <v>1622</v>
      </c>
      <c r="AP212" s="14">
        <f t="shared" si="484"/>
        <v>1622</v>
      </c>
      <c r="AQ212" s="14">
        <f t="shared" si="484"/>
        <v>1622</v>
      </c>
      <c r="AR212" s="14">
        <f t="shared" si="484"/>
        <v>1622</v>
      </c>
      <c r="AS212" s="14">
        <f t="shared" si="484"/>
        <v>1622</v>
      </c>
      <c r="AT212" s="14">
        <f>INDEX(属性投放!$DG$6:$DG$85,(卡牌属性!AG212-2)*20+卡牌属性!AN212)</f>
        <v>733</v>
      </c>
      <c r="AU212" s="14">
        <f t="shared" si="485"/>
        <v>733</v>
      </c>
      <c r="AV212" s="14">
        <f t="shared" si="485"/>
        <v>733</v>
      </c>
      <c r="AW212" s="14">
        <f t="shared" si="485"/>
        <v>733</v>
      </c>
      <c r="AX212" s="14">
        <f t="shared" si="485"/>
        <v>733</v>
      </c>
      <c r="AY212" s="14">
        <f>INDEX(属性投放!$DH$6:$DH$85,(卡牌属性!AG212-2)*20+卡牌属性!AN212)</f>
        <v>10421</v>
      </c>
      <c r="AZ212" s="14">
        <f t="shared" si="486"/>
        <v>10421</v>
      </c>
      <c r="BA212" s="14">
        <f t="shared" si="486"/>
        <v>10421</v>
      </c>
      <c r="BB212" s="14">
        <f t="shared" si="486"/>
        <v>10421</v>
      </c>
      <c r="BC212" s="14">
        <f t="shared" si="486"/>
        <v>10421</v>
      </c>
      <c r="BD212" s="14">
        <f>INDEX(属性投放!$DL$6:$DL$85,(卡牌属性!AG212-2)*20+卡牌属性!AN212)</f>
        <v>46</v>
      </c>
      <c r="BE212" s="14">
        <f t="shared" si="487"/>
        <v>46</v>
      </c>
      <c r="BF212" s="14">
        <f t="shared" si="487"/>
        <v>46</v>
      </c>
      <c r="BG212" s="14">
        <f t="shared" si="487"/>
        <v>46</v>
      </c>
      <c r="BH212" s="14">
        <f t="shared" si="487"/>
        <v>46</v>
      </c>
      <c r="BI212" s="14">
        <f>INDEX(属性投放!$DM$6:$DM$85,(卡牌属性!AG212-2)*20+卡牌属性!AN212)</f>
        <v>24</v>
      </c>
      <c r="BJ212" s="14">
        <f t="shared" si="488"/>
        <v>24</v>
      </c>
      <c r="BK212" s="14">
        <f t="shared" si="488"/>
        <v>24</v>
      </c>
      <c r="BL212" s="14">
        <f t="shared" si="488"/>
        <v>24</v>
      </c>
      <c r="BM212" s="14">
        <f t="shared" si="488"/>
        <v>24</v>
      </c>
      <c r="BN212" s="14">
        <f>INDEX(属性投放!$DN$6:$DN$85,(卡牌属性!AG212-2)*20+卡牌属性!AN212)</f>
        <v>371</v>
      </c>
      <c r="BO212" s="14">
        <f t="shared" si="489"/>
        <v>371</v>
      </c>
      <c r="BP212" s="14">
        <f t="shared" si="489"/>
        <v>371</v>
      </c>
      <c r="BQ212" s="14">
        <f t="shared" si="489"/>
        <v>371</v>
      </c>
      <c r="BR212" s="14">
        <f t="shared" si="489"/>
        <v>371</v>
      </c>
      <c r="BW212" s="13">
        <v>208</v>
      </c>
      <c r="BX212" s="13">
        <f t="shared" si="465"/>
        <v>11</v>
      </c>
      <c r="BY212" s="14">
        <f t="shared" si="466"/>
        <v>4</v>
      </c>
      <c r="BZ212" s="14">
        <f t="shared" si="475"/>
        <v>1102011</v>
      </c>
      <c r="CA212" s="14" t="str">
        <f t="shared" si="476"/>
        <v>张飞8突</v>
      </c>
      <c r="CB212" s="25" t="s">
        <v>142</v>
      </c>
      <c r="CC212" s="14">
        <v>2</v>
      </c>
      <c r="CD212" s="14">
        <f t="shared" si="467"/>
        <v>8</v>
      </c>
      <c r="CE212" s="14" t="s">
        <v>21</v>
      </c>
      <c r="CF212" s="14">
        <f>INDEX(属性投放!$AZ$6:$AZ$85,(BY212-2)*20+CD212)</f>
        <v>2448</v>
      </c>
      <c r="CG212" s="14" t="s">
        <v>22</v>
      </c>
      <c r="CH212" s="14">
        <f>INDEX(属性投放!$BA$6:$BA$85,(BY212-2)*20+CD212)</f>
        <v>1166</v>
      </c>
      <c r="CI212" s="14" t="s">
        <v>510</v>
      </c>
      <c r="CJ212" s="14">
        <f>INDEX(属性投放!$BB$6:$BB$85,(BY212-2)*20+CD212)</f>
        <v>16328</v>
      </c>
      <c r="CK212" s="14" t="s">
        <v>21</v>
      </c>
      <c r="CL212" s="14">
        <f>INDEX(属性投放!$BC$6:$BC$85,(BY212-2)*20+CD212)</f>
        <v>25</v>
      </c>
      <c r="CM212" s="14" t="s">
        <v>22</v>
      </c>
      <c r="CN212" s="14">
        <f>INDEX(属性投放!$BD$6:$BD$85,(BY212-2)*20+CD212)</f>
        <v>13</v>
      </c>
      <c r="CO212" s="14" t="s">
        <v>510</v>
      </c>
      <c r="CP212" s="14">
        <f>INDEX(属性投放!$BE$6:$BE$85,(BY212-2)*20+CD212)</f>
        <v>200</v>
      </c>
      <c r="CS212" s="13">
        <v>208</v>
      </c>
      <c r="CT212" s="13">
        <f t="shared" si="477"/>
        <v>4</v>
      </c>
      <c r="CU212" s="13">
        <f t="shared" si="478"/>
        <v>52</v>
      </c>
      <c r="CV212" s="14">
        <f t="shared" si="479"/>
        <v>2</v>
      </c>
      <c r="CW212" s="14">
        <f t="shared" si="480"/>
        <v>1102004</v>
      </c>
      <c r="CX212" s="14" t="str">
        <f>INDEX($O$6:$O$50,CT212)&amp;"-"&amp;INDEX(属性投放!$AB$7:$AB$50,CZ212)&amp;"-魂火-"&amp;DB212</f>
        <v>唐流雨-无间+1-魂火-4</v>
      </c>
      <c r="CY212" s="25" t="s">
        <v>142</v>
      </c>
      <c r="CZ212" s="14">
        <f>INDEX(属性投放!$AM$7:$AM$58,CU212)</f>
        <v>20</v>
      </c>
      <c r="DA212" s="14" t="s">
        <v>537</v>
      </c>
      <c r="DB212" s="14">
        <f>INDEX(属性投放!$AN$7:$AN$58,CU212)</f>
        <v>4</v>
      </c>
      <c r="DC212" s="14">
        <f t="shared" si="468"/>
        <v>52</v>
      </c>
      <c r="DD212" s="14">
        <f>INDEX(属性投放!$AO$7:$AO$58,DC212)</f>
        <v>148</v>
      </c>
      <c r="DE212" s="14" t="s">
        <v>538</v>
      </c>
      <c r="DF212" s="14">
        <f>INDEX(属性投放!$BK$6:$BK$85,(CV212-2)*20+CZ212)</f>
        <v>1000</v>
      </c>
      <c r="DG212" s="14">
        <f>SUMIFS(DF$5:DF212,$CT$5:$CT212,"="&amp;$CT212)</f>
        <v>16115</v>
      </c>
      <c r="DH212" s="14" t="s">
        <v>539</v>
      </c>
      <c r="DI212" s="14">
        <f>INDEX(属性投放!$BL$6:$BL$85,(CV212-2)*20+CZ212)</f>
        <v>500</v>
      </c>
      <c r="DJ212" s="14">
        <f>SUMIFS(DI$5:DI212,$CT$5:$CT212,"="&amp;$CT212)</f>
        <v>8061</v>
      </c>
      <c r="DK212" s="14" t="s">
        <v>540</v>
      </c>
      <c r="DL212" s="14">
        <f>INDEX(属性投放!$BM$6:$BM$85,(CV212-2)*20+CZ212)</f>
        <v>10000</v>
      </c>
      <c r="DM212" s="14">
        <f>SUMIFS(DL$5:DL212,$CT$5:$CT212,"="&amp;$CT212)</f>
        <v>157920</v>
      </c>
      <c r="DR212" s="14">
        <f t="shared" si="469"/>
        <v>1102011</v>
      </c>
      <c r="DS212" s="14" t="str">
        <f t="shared" si="470"/>
        <v>张飞8突</v>
      </c>
      <c r="DT212" s="14">
        <f t="shared" si="481"/>
        <v>5</v>
      </c>
      <c r="DU212" s="14">
        <f t="shared" si="482"/>
        <v>6</v>
      </c>
      <c r="DV212" s="14">
        <f t="shared" si="483"/>
        <v>8</v>
      </c>
      <c r="DW212" s="14">
        <f t="shared" si="471"/>
        <v>4</v>
      </c>
      <c r="DX212" s="14">
        <f t="shared" si="472"/>
        <v>8</v>
      </c>
      <c r="DY212" s="14">
        <f t="shared" si="473"/>
        <v>48</v>
      </c>
      <c r="DZ212" s="14">
        <f>INDEX(属性投放!$AX$6:$AX$85,(卡牌属性!DW212-2)*20+卡牌属性!DX212)</f>
        <v>5</v>
      </c>
      <c r="EA212" s="14">
        <f>INDEX(属性投放!BQ$6:BQ$85,卡牌属性!$DY212)</f>
        <v>125</v>
      </c>
      <c r="EB212" s="14">
        <f>INDEX(属性投放!BR$6:BR$85,卡牌属性!$DY212)</f>
        <v>63</v>
      </c>
      <c r="EC212" s="14">
        <f>INDEX(属性投放!BS$6:BS$85,卡牌属性!$DY212)</f>
        <v>1000</v>
      </c>
      <c r="ED212" s="14">
        <f t="shared" si="490"/>
        <v>1421</v>
      </c>
      <c r="EE212" s="14">
        <f t="shared" si="491"/>
        <v>1521</v>
      </c>
      <c r="EF212" s="14">
        <f t="shared" si="492"/>
        <v>1813</v>
      </c>
      <c r="EG212" s="14">
        <f t="shared" si="493"/>
        <v>1813</v>
      </c>
      <c r="EH212" s="14">
        <f t="shared" si="494"/>
        <v>1966</v>
      </c>
      <c r="EI212" s="14">
        <f t="shared" si="495"/>
        <v>725</v>
      </c>
      <c r="EJ212" s="14">
        <f t="shared" si="496"/>
        <v>870</v>
      </c>
      <c r="EK212" s="14">
        <f t="shared" si="497"/>
        <v>870</v>
      </c>
      <c r="EL212" s="14">
        <f t="shared" si="498"/>
        <v>946</v>
      </c>
      <c r="EM212" s="14">
        <f t="shared" si="499"/>
        <v>1044</v>
      </c>
      <c r="EN212" s="14">
        <f t="shared" si="500"/>
        <v>12770</v>
      </c>
      <c r="EO212" s="14">
        <f t="shared" si="501"/>
        <v>13920</v>
      </c>
      <c r="EP212" s="14">
        <f t="shared" si="502"/>
        <v>13920</v>
      </c>
      <c r="EQ212" s="14">
        <f t="shared" si="503"/>
        <v>16110</v>
      </c>
      <c r="ER212" s="14">
        <f t="shared" si="504"/>
        <v>19270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224</v>
      </c>
      <c r="FD212" s="14">
        <f>INDEX(属性偏向!$U$4:$U$243,(卡牌属性!$DV212-1+FD$3)*20+卡牌属性!$DX212)</f>
        <v>240</v>
      </c>
      <c r="FE212" s="14">
        <f>INDEX(属性偏向!$U$4:$U$243,(卡牌属性!$DV212-1+FE$3)*20+卡牌属性!$DX212)</f>
        <v>240</v>
      </c>
      <c r="FF212" s="14">
        <f>INDEX(属性偏向!$U$4:$U$243,(卡牌属性!$DV212-1+FF$3)*20+卡牌属性!$DX212)</f>
        <v>320</v>
      </c>
      <c r="FG212" s="14">
        <f>INDEX(属性偏向!$U$4:$U$243,(卡牌属性!$DV212-1+FG$3)*20+卡牌属性!$DX212)</f>
        <v>400</v>
      </c>
      <c r="FH212" s="14">
        <f>INDEX(属性投放!$BQ$6:$BQ$85,(卡牌属性!$DW212-2)*20+卡牌属性!$DX212)</f>
        <v>125</v>
      </c>
      <c r="FI212" s="14">
        <f>INDEX(属性投放!$BQ$6:$BQ$85,(卡牌属性!$DW212-2)*20+卡牌属性!$DX212)</f>
        <v>125</v>
      </c>
      <c r="FJ212" s="14">
        <f>INDEX(属性投放!$BQ$6:$BQ$85,(卡牌属性!$DW212-2)*20+卡牌属性!$DX212)</f>
        <v>125</v>
      </c>
      <c r="FK212" s="14">
        <f>INDEX(属性投放!$BQ$6:$BQ$85,(卡牌属性!$DW212-2)*20+卡牌属性!$DX212)</f>
        <v>125</v>
      </c>
      <c r="FL212" s="14">
        <f>INDEX(属性投放!$BQ$6:$BQ$85,(卡牌属性!$DW212-2)*20+卡牌属性!$DX212)</f>
        <v>125</v>
      </c>
      <c r="FM212" s="14">
        <f>INDEX(属性投放!$BR$6:$BR$85,(卡牌属性!$DW212-2)*20+卡牌属性!$DX212)</f>
        <v>63</v>
      </c>
      <c r="FN212" s="14">
        <f>INDEX(属性投放!$BR$6:$BR$85,(卡牌属性!$DW212-2)*20+卡牌属性!$DX212)</f>
        <v>63</v>
      </c>
      <c r="FO212" s="14">
        <f>INDEX(属性投放!$BR$6:$BR$85,(卡牌属性!$DW212-2)*20+卡牌属性!$DX212)</f>
        <v>63</v>
      </c>
      <c r="FP212" s="14">
        <f>INDEX(属性投放!$BR$6:$BR$85,(卡牌属性!$DW212-2)*20+卡牌属性!$DX212)</f>
        <v>63</v>
      </c>
      <c r="FQ212" s="14">
        <f>INDEX(属性投放!$BR$6:$BR$85,(卡牌属性!$DW212-2)*20+卡牌属性!$DX212)</f>
        <v>63</v>
      </c>
      <c r="FR212" s="14">
        <f>INDEX(属性投放!$BS$6:$BS$85,(卡牌属性!$DW212-2)*20+卡牌属性!$DX212)</f>
        <v>1000</v>
      </c>
      <c r="FS212" s="14">
        <f>INDEX(属性投放!$BS$6:$BS$85,(卡牌属性!$DW212-2)*20+卡牌属性!$DX212)</f>
        <v>1000</v>
      </c>
      <c r="FT212" s="14">
        <f>INDEX(属性投放!$BS$6:$BS$85,(卡牌属性!$DW212-2)*20+卡牌属性!$DX212)</f>
        <v>1000</v>
      </c>
      <c r="FU212" s="14">
        <f>INDEX(属性投放!$BS$6:$BS$85,(卡牌属性!$DW212-2)*20+卡牌属性!$DX212)</f>
        <v>1000</v>
      </c>
      <c r="FV212" s="14">
        <f>INDEX(属性投放!$BS$6:$BS$85,(卡牌属性!$DW212-2)*20+卡牌属性!$DX212)</f>
        <v>1000</v>
      </c>
    </row>
    <row r="213" spans="31:178" ht="16.5" x14ac:dyDescent="0.2">
      <c r="AE213" s="13">
        <v>209</v>
      </c>
      <c r="AF213" s="13">
        <f t="shared" si="474"/>
        <v>11</v>
      </c>
      <c r="AG213" s="13">
        <f t="shared" si="461"/>
        <v>3</v>
      </c>
      <c r="AH213" s="13"/>
      <c r="AI213" s="13"/>
      <c r="AJ213" s="14">
        <f t="shared" si="462"/>
        <v>1101011</v>
      </c>
      <c r="AK213" s="14" t="str">
        <f t="shared" si="463"/>
        <v>阎风吒9突</v>
      </c>
      <c r="AL213" s="25" t="s">
        <v>142</v>
      </c>
      <c r="AM213" s="14">
        <v>1</v>
      </c>
      <c r="AN213" s="14">
        <f t="shared" si="464"/>
        <v>9</v>
      </c>
      <c r="AO213" s="14">
        <f>INDEX(属性投放!$DF$6:$DF$85,(卡牌属性!AG213-2)*20+卡牌属性!AN213)</f>
        <v>1755</v>
      </c>
      <c r="AP213" s="14">
        <f t="shared" si="484"/>
        <v>1755</v>
      </c>
      <c r="AQ213" s="14">
        <f t="shared" si="484"/>
        <v>1755</v>
      </c>
      <c r="AR213" s="14">
        <f t="shared" si="484"/>
        <v>1755</v>
      </c>
      <c r="AS213" s="14">
        <f t="shared" si="484"/>
        <v>1755</v>
      </c>
      <c r="AT213" s="14">
        <f>INDEX(属性投放!$DG$6:$DG$85,(卡牌属性!AG213-2)*20+卡牌属性!AN213)</f>
        <v>800</v>
      </c>
      <c r="AU213" s="14">
        <f t="shared" si="485"/>
        <v>800</v>
      </c>
      <c r="AV213" s="14">
        <f t="shared" si="485"/>
        <v>800</v>
      </c>
      <c r="AW213" s="14">
        <f t="shared" si="485"/>
        <v>800</v>
      </c>
      <c r="AX213" s="14">
        <f t="shared" si="485"/>
        <v>800</v>
      </c>
      <c r="AY213" s="14">
        <f>INDEX(属性投放!$DH$6:$DH$85,(卡牌属性!AG213-2)*20+卡牌属性!AN213)</f>
        <v>11481</v>
      </c>
      <c r="AZ213" s="14">
        <f t="shared" si="486"/>
        <v>11481</v>
      </c>
      <c r="BA213" s="14">
        <f t="shared" si="486"/>
        <v>11481</v>
      </c>
      <c r="BB213" s="14">
        <f t="shared" si="486"/>
        <v>11481</v>
      </c>
      <c r="BC213" s="14">
        <f t="shared" si="486"/>
        <v>11481</v>
      </c>
      <c r="BD213" s="14">
        <f>INDEX(属性投放!$DL$6:$DL$85,(卡牌属性!AG213-2)*20+卡牌属性!AN213)</f>
        <v>46</v>
      </c>
      <c r="BE213" s="14">
        <f t="shared" si="487"/>
        <v>46</v>
      </c>
      <c r="BF213" s="14">
        <f t="shared" si="487"/>
        <v>46</v>
      </c>
      <c r="BG213" s="14">
        <f t="shared" si="487"/>
        <v>46</v>
      </c>
      <c r="BH213" s="14">
        <f t="shared" si="487"/>
        <v>46</v>
      </c>
      <c r="BI213" s="14">
        <f>INDEX(属性投放!$DM$6:$DM$85,(卡牌属性!AG213-2)*20+卡牌属性!AN213)</f>
        <v>24</v>
      </c>
      <c r="BJ213" s="14">
        <f t="shared" si="488"/>
        <v>24</v>
      </c>
      <c r="BK213" s="14">
        <f t="shared" si="488"/>
        <v>24</v>
      </c>
      <c r="BL213" s="14">
        <f t="shared" si="488"/>
        <v>24</v>
      </c>
      <c r="BM213" s="14">
        <f t="shared" si="488"/>
        <v>24</v>
      </c>
      <c r="BN213" s="14">
        <f>INDEX(属性投放!$DN$6:$DN$85,(卡牌属性!AG213-2)*20+卡牌属性!AN213)</f>
        <v>371</v>
      </c>
      <c r="BO213" s="14">
        <f t="shared" si="489"/>
        <v>371</v>
      </c>
      <c r="BP213" s="14">
        <f t="shared" si="489"/>
        <v>371</v>
      </c>
      <c r="BQ213" s="14">
        <f t="shared" si="489"/>
        <v>371</v>
      </c>
      <c r="BR213" s="14">
        <f t="shared" si="489"/>
        <v>371</v>
      </c>
      <c r="BW213" s="13">
        <v>209</v>
      </c>
      <c r="BX213" s="13">
        <f t="shared" si="465"/>
        <v>11</v>
      </c>
      <c r="BY213" s="14">
        <f t="shared" si="466"/>
        <v>4</v>
      </c>
      <c r="BZ213" s="14">
        <f t="shared" si="475"/>
        <v>1102011</v>
      </c>
      <c r="CA213" s="14" t="str">
        <f t="shared" si="476"/>
        <v>张飞9突</v>
      </c>
      <c r="CB213" s="25" t="s">
        <v>142</v>
      </c>
      <c r="CC213" s="14">
        <v>2</v>
      </c>
      <c r="CD213" s="14">
        <f t="shared" si="467"/>
        <v>9</v>
      </c>
      <c r="CE213" s="14" t="s">
        <v>21</v>
      </c>
      <c r="CF213" s="14">
        <f>INDEX(属性投放!$AZ$6:$AZ$85,(BY213-2)*20+CD213)</f>
        <v>2898</v>
      </c>
      <c r="CG213" s="14" t="s">
        <v>22</v>
      </c>
      <c r="CH213" s="14">
        <f>INDEX(属性投放!$BA$6:$BA$85,(BY213-2)*20+CD213)</f>
        <v>1394</v>
      </c>
      <c r="CI213" s="14" t="s">
        <v>510</v>
      </c>
      <c r="CJ213" s="14">
        <f>INDEX(属性投放!$BB$6:$BB$85,(BY213-2)*20+CD213)</f>
        <v>19928</v>
      </c>
      <c r="CK213" s="14" t="s">
        <v>21</v>
      </c>
      <c r="CL213" s="14">
        <f>INDEX(属性投放!$BC$6:$BC$85,(BY213-2)*20+CD213)</f>
        <v>25</v>
      </c>
      <c r="CM213" s="14" t="s">
        <v>22</v>
      </c>
      <c r="CN213" s="14">
        <f>INDEX(属性投放!$BD$6:$BD$85,(BY213-2)*20+CD213)</f>
        <v>13</v>
      </c>
      <c r="CO213" s="14" t="s">
        <v>510</v>
      </c>
      <c r="CP213" s="14">
        <f>INDEX(属性投放!$BE$6:$BE$85,(BY213-2)*20+CD213)</f>
        <v>200</v>
      </c>
      <c r="CS213" s="13">
        <v>209</v>
      </c>
      <c r="CT213" s="13">
        <f t="shared" si="477"/>
        <v>5</v>
      </c>
      <c r="CU213" s="13">
        <f t="shared" si="478"/>
        <v>1</v>
      </c>
      <c r="CV213" s="14">
        <f t="shared" si="479"/>
        <v>3</v>
      </c>
      <c r="CW213" s="14">
        <f t="shared" si="480"/>
        <v>1102005</v>
      </c>
      <c r="CX213" s="14" t="str">
        <f>INDEX($O$6:$O$50,CT213)&amp;"-"&amp;INDEX(属性投放!$AB$7:$AB$50,CZ213)&amp;"-魂火-"&amp;DB213</f>
        <v>李轩辕-等活-魂火-1</v>
      </c>
      <c r="CY213" s="25" t="s">
        <v>142</v>
      </c>
      <c r="CZ213" s="14">
        <f>INDEX(属性投放!$AM$7:$AM$58,CU213)</f>
        <v>1</v>
      </c>
      <c r="DA213" s="14" t="s">
        <v>537</v>
      </c>
      <c r="DB213" s="14">
        <f>INDEX(属性投放!$AN$7:$AN$58,CU213)</f>
        <v>1</v>
      </c>
      <c r="DC213" s="14">
        <f t="shared" si="468"/>
        <v>1</v>
      </c>
      <c r="DD213" s="14">
        <f>INDEX(属性投放!$AO$7:$AO$58,DC213)</f>
        <v>3</v>
      </c>
      <c r="DE213" s="14" t="s">
        <v>538</v>
      </c>
      <c r="DF213" s="14">
        <f>INDEX(属性投放!$BK$6:$BK$85,(CV213-2)*20+CZ213)</f>
        <v>20</v>
      </c>
      <c r="DG213" s="14">
        <f>SUMIFS(DF$5:DF213,$CT$5:$CT213,"="&amp;$CT213)</f>
        <v>20</v>
      </c>
      <c r="DH213" s="14" t="s">
        <v>539</v>
      </c>
      <c r="DI213" s="14">
        <f>INDEX(属性投放!$BL$6:$BL$85,(CV213-2)*20+CZ213)</f>
        <v>10</v>
      </c>
      <c r="DJ213" s="14">
        <f>SUMIFS(DI$5:DI213,$CT$5:$CT213,"="&amp;$CT213)</f>
        <v>10</v>
      </c>
      <c r="DK213" s="14" t="s">
        <v>540</v>
      </c>
      <c r="DL213" s="14">
        <f>INDEX(属性投放!$BM$6:$BM$85,(CV213-2)*20+CZ213)</f>
        <v>120</v>
      </c>
      <c r="DM213" s="14">
        <f>SUMIFS(DL$5:DL213,$CT$5:$CT213,"="&amp;$CT213)</f>
        <v>120</v>
      </c>
      <c r="DR213" s="14">
        <f t="shared" si="469"/>
        <v>1102011</v>
      </c>
      <c r="DS213" s="14" t="str">
        <f t="shared" si="470"/>
        <v>张飞9突</v>
      </c>
      <c r="DT213" s="14">
        <f t="shared" si="481"/>
        <v>5</v>
      </c>
      <c r="DU213" s="14">
        <f t="shared" si="482"/>
        <v>6</v>
      </c>
      <c r="DV213" s="14">
        <f t="shared" si="483"/>
        <v>8</v>
      </c>
      <c r="DW213" s="14">
        <f t="shared" si="471"/>
        <v>4</v>
      </c>
      <c r="DX213" s="14">
        <f t="shared" si="472"/>
        <v>9</v>
      </c>
      <c r="DY213" s="14">
        <f t="shared" si="473"/>
        <v>49</v>
      </c>
      <c r="DZ213" s="14">
        <f>INDEX(属性投放!$AX$6:$AX$85,(卡牌属性!DW213-2)*20+卡牌属性!DX213)</f>
        <v>8</v>
      </c>
      <c r="EA213" s="14">
        <f>INDEX(属性投放!BQ$6:BQ$85,卡牌属性!$DY213)</f>
        <v>200</v>
      </c>
      <c r="EB213" s="14">
        <f>INDEX(属性投放!BR$6:BR$85,卡牌属性!$DY213)</f>
        <v>100</v>
      </c>
      <c r="EC213" s="14">
        <f>INDEX(属性投放!BS$6:BS$85,卡牌属性!$DY213)</f>
        <v>1600</v>
      </c>
      <c r="ED213" s="14">
        <f t="shared" si="490"/>
        <v>1621</v>
      </c>
      <c r="EE213" s="14">
        <f t="shared" si="491"/>
        <v>1726</v>
      </c>
      <c r="EF213" s="14">
        <f t="shared" si="492"/>
        <v>2063</v>
      </c>
      <c r="EG213" s="14">
        <f t="shared" si="493"/>
        <v>2063</v>
      </c>
      <c r="EH213" s="14">
        <f t="shared" si="494"/>
        <v>2231</v>
      </c>
      <c r="EI213" s="14">
        <f t="shared" si="495"/>
        <v>828</v>
      </c>
      <c r="EJ213" s="14">
        <f t="shared" si="496"/>
        <v>998</v>
      </c>
      <c r="EK213" s="14">
        <f t="shared" si="497"/>
        <v>998</v>
      </c>
      <c r="EL213" s="14">
        <f t="shared" si="498"/>
        <v>1079</v>
      </c>
      <c r="EM213" s="14">
        <f t="shared" si="499"/>
        <v>1182</v>
      </c>
      <c r="EN213" s="14">
        <f t="shared" si="500"/>
        <v>14890</v>
      </c>
      <c r="EO213" s="14">
        <f t="shared" si="501"/>
        <v>16120</v>
      </c>
      <c r="EP213" s="14">
        <f t="shared" si="502"/>
        <v>16120</v>
      </c>
      <c r="EQ213" s="14">
        <f t="shared" si="503"/>
        <v>18710</v>
      </c>
      <c r="ER213" s="14">
        <f t="shared" si="504"/>
        <v>22270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224</v>
      </c>
      <c r="FD213" s="14">
        <f>INDEX(属性偏向!$U$4:$U$243,(卡牌属性!$DV213-1+FD$3)*20+卡牌属性!$DX213)</f>
        <v>240</v>
      </c>
      <c r="FE213" s="14">
        <f>INDEX(属性偏向!$U$4:$U$243,(卡牌属性!$DV213-1+FE$3)*20+卡牌属性!$DX213)</f>
        <v>240</v>
      </c>
      <c r="FF213" s="14">
        <f>INDEX(属性偏向!$U$4:$U$243,(卡牌属性!$DV213-1+FF$3)*20+卡牌属性!$DX213)</f>
        <v>320</v>
      </c>
      <c r="FG213" s="14">
        <f>INDEX(属性偏向!$U$4:$U$243,(卡牌属性!$DV213-1+FG$3)*20+卡牌属性!$DX213)</f>
        <v>400</v>
      </c>
      <c r="FH213" s="14">
        <f>INDEX(属性投放!$BQ$6:$BQ$85,(卡牌属性!$DW213-2)*20+卡牌属性!$DX213)</f>
        <v>200</v>
      </c>
      <c r="FI213" s="14">
        <f>INDEX(属性投放!$BQ$6:$BQ$85,(卡牌属性!$DW213-2)*20+卡牌属性!$DX213)</f>
        <v>200</v>
      </c>
      <c r="FJ213" s="14">
        <f>INDEX(属性投放!$BQ$6:$BQ$85,(卡牌属性!$DW213-2)*20+卡牌属性!$DX213)</f>
        <v>200</v>
      </c>
      <c r="FK213" s="14">
        <f>INDEX(属性投放!$BQ$6:$BQ$85,(卡牌属性!$DW213-2)*20+卡牌属性!$DX213)</f>
        <v>200</v>
      </c>
      <c r="FL213" s="14">
        <f>INDEX(属性投放!$BQ$6:$BQ$85,(卡牌属性!$DW213-2)*20+卡牌属性!$DX213)</f>
        <v>200</v>
      </c>
      <c r="FM213" s="14">
        <f>INDEX(属性投放!$BR$6:$BR$85,(卡牌属性!$DW213-2)*20+卡牌属性!$DX213)</f>
        <v>100</v>
      </c>
      <c r="FN213" s="14">
        <f>INDEX(属性投放!$BR$6:$BR$85,(卡牌属性!$DW213-2)*20+卡牌属性!$DX213)</f>
        <v>100</v>
      </c>
      <c r="FO213" s="14">
        <f>INDEX(属性投放!$BR$6:$BR$85,(卡牌属性!$DW213-2)*20+卡牌属性!$DX213)</f>
        <v>100</v>
      </c>
      <c r="FP213" s="14">
        <f>INDEX(属性投放!$BR$6:$BR$85,(卡牌属性!$DW213-2)*20+卡牌属性!$DX213)</f>
        <v>100</v>
      </c>
      <c r="FQ213" s="14">
        <f>INDEX(属性投放!$BR$6:$BR$85,(卡牌属性!$DW213-2)*20+卡牌属性!$DX213)</f>
        <v>100</v>
      </c>
      <c r="FR213" s="14">
        <f>INDEX(属性投放!$BS$6:$BS$85,(卡牌属性!$DW213-2)*20+卡牌属性!$DX213)</f>
        <v>1600</v>
      </c>
      <c r="FS213" s="14">
        <f>INDEX(属性投放!$BS$6:$BS$85,(卡牌属性!$DW213-2)*20+卡牌属性!$DX213)</f>
        <v>1600</v>
      </c>
      <c r="FT213" s="14">
        <f>INDEX(属性投放!$BS$6:$BS$85,(卡牌属性!$DW213-2)*20+卡牌属性!$DX213)</f>
        <v>1600</v>
      </c>
      <c r="FU213" s="14">
        <f>INDEX(属性投放!$BS$6:$BS$85,(卡牌属性!$DW213-2)*20+卡牌属性!$DX213)</f>
        <v>1600</v>
      </c>
      <c r="FV213" s="14">
        <f>INDEX(属性投放!$BS$6:$BS$85,(卡牌属性!$DW213-2)*20+卡牌属性!$DX213)</f>
        <v>1600</v>
      </c>
    </row>
    <row r="214" spans="31:178" ht="16.5" x14ac:dyDescent="0.2">
      <c r="AE214" s="13">
        <v>210</v>
      </c>
      <c r="AF214" s="13">
        <f t="shared" si="474"/>
        <v>11</v>
      </c>
      <c r="AG214" s="13">
        <f t="shared" si="461"/>
        <v>3</v>
      </c>
      <c r="AH214" s="13"/>
      <c r="AI214" s="13"/>
      <c r="AJ214" s="14">
        <f t="shared" si="462"/>
        <v>1101011</v>
      </c>
      <c r="AK214" s="14" t="str">
        <f t="shared" si="463"/>
        <v>阎风吒10突</v>
      </c>
      <c r="AL214" s="25" t="s">
        <v>142</v>
      </c>
      <c r="AM214" s="14">
        <v>1</v>
      </c>
      <c r="AN214" s="14">
        <f t="shared" si="464"/>
        <v>10</v>
      </c>
      <c r="AO214" s="14">
        <f>INDEX(属性投放!$DF$6:$DF$85,(卡牌属性!AG214-2)*20+卡牌属性!AN214)</f>
        <v>2578</v>
      </c>
      <c r="AP214" s="14">
        <f t="shared" si="484"/>
        <v>2578</v>
      </c>
      <c r="AQ214" s="14">
        <f t="shared" si="484"/>
        <v>2578</v>
      </c>
      <c r="AR214" s="14">
        <f t="shared" si="484"/>
        <v>2578</v>
      </c>
      <c r="AS214" s="14">
        <f t="shared" si="484"/>
        <v>2578</v>
      </c>
      <c r="AT214" s="14">
        <f>INDEX(属性投放!$DG$6:$DG$85,(卡牌属性!AG214-2)*20+卡牌属性!AN214)</f>
        <v>1227</v>
      </c>
      <c r="AU214" s="14">
        <f t="shared" si="485"/>
        <v>1227</v>
      </c>
      <c r="AV214" s="14">
        <f t="shared" si="485"/>
        <v>1227</v>
      </c>
      <c r="AW214" s="14">
        <f t="shared" si="485"/>
        <v>1227</v>
      </c>
      <c r="AX214" s="14">
        <f t="shared" si="485"/>
        <v>1227</v>
      </c>
      <c r="AY214" s="14">
        <f>INDEX(属性投放!$DH$6:$DH$85,(卡牌属性!AG214-2)*20+卡牌属性!AN214)</f>
        <v>18106</v>
      </c>
      <c r="AZ214" s="14">
        <f t="shared" si="486"/>
        <v>18106</v>
      </c>
      <c r="BA214" s="14">
        <f t="shared" si="486"/>
        <v>18106</v>
      </c>
      <c r="BB214" s="14">
        <f t="shared" si="486"/>
        <v>18106</v>
      </c>
      <c r="BC214" s="14">
        <f t="shared" si="486"/>
        <v>18106</v>
      </c>
      <c r="BD214" s="14">
        <f>INDEX(属性投放!$DL$6:$DL$85,(卡牌属性!AG214-2)*20+卡牌属性!AN214)</f>
        <v>92</v>
      </c>
      <c r="BE214" s="14">
        <f t="shared" si="487"/>
        <v>92</v>
      </c>
      <c r="BF214" s="14">
        <f t="shared" si="487"/>
        <v>92</v>
      </c>
      <c r="BG214" s="14">
        <f t="shared" si="487"/>
        <v>92</v>
      </c>
      <c r="BH214" s="14">
        <f t="shared" si="487"/>
        <v>92</v>
      </c>
      <c r="BI214" s="14">
        <f>INDEX(属性投放!$DM$6:$DM$85,(卡牌属性!AG214-2)*20+卡牌属性!AN214)</f>
        <v>46</v>
      </c>
      <c r="BJ214" s="14">
        <f t="shared" si="488"/>
        <v>46</v>
      </c>
      <c r="BK214" s="14">
        <f t="shared" si="488"/>
        <v>46</v>
      </c>
      <c r="BL214" s="14">
        <f t="shared" si="488"/>
        <v>46</v>
      </c>
      <c r="BM214" s="14">
        <f t="shared" si="488"/>
        <v>46</v>
      </c>
      <c r="BN214" s="14">
        <f>INDEX(属性投放!$DN$6:$DN$85,(卡牌属性!AG214-2)*20+卡牌属性!AN214)</f>
        <v>824</v>
      </c>
      <c r="BO214" s="14">
        <f t="shared" si="489"/>
        <v>824</v>
      </c>
      <c r="BP214" s="14">
        <f t="shared" si="489"/>
        <v>824</v>
      </c>
      <c r="BQ214" s="14">
        <f t="shared" si="489"/>
        <v>824</v>
      </c>
      <c r="BR214" s="14">
        <f t="shared" si="489"/>
        <v>824</v>
      </c>
      <c r="BW214" s="13">
        <v>210</v>
      </c>
      <c r="BX214" s="13">
        <f t="shared" si="465"/>
        <v>11</v>
      </c>
      <c r="BY214" s="14">
        <f t="shared" si="466"/>
        <v>4</v>
      </c>
      <c r="BZ214" s="14">
        <f t="shared" si="475"/>
        <v>1102011</v>
      </c>
      <c r="CA214" s="14" t="str">
        <f t="shared" si="476"/>
        <v>张飞10突</v>
      </c>
      <c r="CB214" s="25" t="s">
        <v>142</v>
      </c>
      <c r="CC214" s="14">
        <v>2</v>
      </c>
      <c r="CD214" s="14">
        <f t="shared" si="467"/>
        <v>10</v>
      </c>
      <c r="CE214" s="14" t="s">
        <v>21</v>
      </c>
      <c r="CF214" s="14">
        <f>INDEX(属性投放!$AZ$6:$AZ$85,(BY214-2)*20+CD214)</f>
        <v>3643</v>
      </c>
      <c r="CG214" s="14" t="s">
        <v>22</v>
      </c>
      <c r="CH214" s="14">
        <f>INDEX(属性投放!$BA$6:$BA$85,(BY214-2)*20+CD214)</f>
        <v>1772</v>
      </c>
      <c r="CI214" s="14" t="s">
        <v>510</v>
      </c>
      <c r="CJ214" s="14">
        <f>INDEX(属性投放!$BB$6:$BB$85,(BY214-2)*20+CD214)</f>
        <v>25888</v>
      </c>
      <c r="CK214" s="14" t="s">
        <v>21</v>
      </c>
      <c r="CL214" s="14">
        <f>INDEX(属性投放!$BC$6:$BC$85,(BY214-2)*20+CD214)</f>
        <v>30</v>
      </c>
      <c r="CM214" s="14" t="s">
        <v>22</v>
      </c>
      <c r="CN214" s="14">
        <f>INDEX(属性投放!$BD$6:$BD$85,(BY214-2)*20+CD214)</f>
        <v>15</v>
      </c>
      <c r="CO214" s="14" t="s">
        <v>510</v>
      </c>
      <c r="CP214" s="14">
        <f>INDEX(属性投放!$BE$6:$BE$85,(BY214-2)*20+CD214)</f>
        <v>270</v>
      </c>
      <c r="CS214" s="13">
        <v>210</v>
      </c>
      <c r="CT214" s="13">
        <f t="shared" si="477"/>
        <v>5</v>
      </c>
      <c r="CU214" s="13">
        <f t="shared" si="478"/>
        <v>2</v>
      </c>
      <c r="CV214" s="14">
        <f t="shared" si="479"/>
        <v>3</v>
      </c>
      <c r="CW214" s="14">
        <f t="shared" si="480"/>
        <v>1102005</v>
      </c>
      <c r="CX214" s="14" t="str">
        <f>INDEX($O$6:$O$50,CT214)&amp;"-"&amp;INDEX(属性投放!$AB$7:$AB$50,CZ214)&amp;"-魂火-"&amp;DB214</f>
        <v>李轩辕-黑绳-魂火-1</v>
      </c>
      <c r="CY214" s="25" t="s">
        <v>142</v>
      </c>
      <c r="CZ214" s="14">
        <f>INDEX(属性投放!$AM$7:$AM$58,CU214)</f>
        <v>2</v>
      </c>
      <c r="DA214" s="14" t="s">
        <v>537</v>
      </c>
      <c r="DB214" s="14">
        <f>INDEX(属性投放!$AN$7:$AN$58,CU214)</f>
        <v>1</v>
      </c>
      <c r="DC214" s="14">
        <f t="shared" si="468"/>
        <v>2</v>
      </c>
      <c r="DD214" s="14">
        <f>INDEX(属性投放!$AO$7:$AO$58,DC214)</f>
        <v>8</v>
      </c>
      <c r="DE214" s="14" t="s">
        <v>538</v>
      </c>
      <c r="DF214" s="14">
        <f>INDEX(属性投放!$BK$6:$BK$85,(CV214-2)*20+CZ214)</f>
        <v>25</v>
      </c>
      <c r="DG214" s="14">
        <f>SUMIFS(DF$5:DF214,$CT$5:$CT214,"="&amp;$CT214)</f>
        <v>45</v>
      </c>
      <c r="DH214" s="14" t="s">
        <v>539</v>
      </c>
      <c r="DI214" s="14">
        <f>INDEX(属性投放!$BL$6:$BL$85,(CV214-2)*20+CZ214)</f>
        <v>13</v>
      </c>
      <c r="DJ214" s="14">
        <f>SUMIFS(DI$5:DI214,$CT$5:$CT214,"="&amp;$CT214)</f>
        <v>23</v>
      </c>
      <c r="DK214" s="14" t="s">
        <v>540</v>
      </c>
      <c r="DL214" s="14">
        <f>INDEX(属性投放!$BM$6:$BM$85,(CV214-2)*20+CZ214)</f>
        <v>150</v>
      </c>
      <c r="DM214" s="14">
        <f>SUMIFS(DL$5:DL214,$CT$5:$CT214,"="&amp;$CT214)</f>
        <v>270</v>
      </c>
      <c r="DR214" s="14">
        <f t="shared" si="469"/>
        <v>1102011</v>
      </c>
      <c r="DS214" s="14" t="str">
        <f t="shared" si="470"/>
        <v>张飞10突</v>
      </c>
      <c r="DT214" s="14">
        <f t="shared" si="481"/>
        <v>5</v>
      </c>
      <c r="DU214" s="14">
        <f t="shared" si="482"/>
        <v>6</v>
      </c>
      <c r="DV214" s="14">
        <f t="shared" si="483"/>
        <v>8</v>
      </c>
      <c r="DW214" s="14">
        <f t="shared" si="471"/>
        <v>4</v>
      </c>
      <c r="DX214" s="14">
        <f t="shared" si="472"/>
        <v>10</v>
      </c>
      <c r="DY214" s="14">
        <f t="shared" si="473"/>
        <v>50</v>
      </c>
      <c r="DZ214" s="14">
        <f>INDEX(属性投放!$AX$6:$AX$85,(卡牌属性!DW214-2)*20+卡牌属性!DX214)</f>
        <v>7</v>
      </c>
      <c r="EA214" s="14">
        <f>INDEX(属性投放!BQ$6:BQ$85,卡牌属性!$DY214)</f>
        <v>200</v>
      </c>
      <c r="EB214" s="14">
        <f>INDEX(属性投放!BR$6:BR$85,卡牌属性!$DY214)</f>
        <v>100</v>
      </c>
      <c r="EC214" s="14">
        <f>INDEX(属性投放!BS$6:BS$85,卡牌属性!$DY214)</f>
        <v>1800</v>
      </c>
      <c r="ED214" s="14">
        <f t="shared" si="490"/>
        <v>1941</v>
      </c>
      <c r="EE214" s="14">
        <f t="shared" si="491"/>
        <v>2054</v>
      </c>
      <c r="EF214" s="14">
        <f t="shared" si="492"/>
        <v>2463</v>
      </c>
      <c r="EG214" s="14">
        <f t="shared" si="493"/>
        <v>2463</v>
      </c>
      <c r="EH214" s="14">
        <f t="shared" si="494"/>
        <v>2655</v>
      </c>
      <c r="EI214" s="14">
        <f t="shared" si="495"/>
        <v>992</v>
      </c>
      <c r="EJ214" s="14">
        <f t="shared" si="496"/>
        <v>1202</v>
      </c>
      <c r="EK214" s="14">
        <f t="shared" si="497"/>
        <v>1202</v>
      </c>
      <c r="EL214" s="14">
        <f t="shared" si="498"/>
        <v>1291</v>
      </c>
      <c r="EM214" s="14">
        <f t="shared" si="499"/>
        <v>1402</v>
      </c>
      <c r="EN214" s="14">
        <f t="shared" si="500"/>
        <v>18282</v>
      </c>
      <c r="EO214" s="14">
        <f t="shared" si="501"/>
        <v>19640</v>
      </c>
      <c r="EP214" s="14">
        <f t="shared" si="502"/>
        <v>19640</v>
      </c>
      <c r="EQ214" s="14">
        <f t="shared" si="503"/>
        <v>22870</v>
      </c>
      <c r="ER214" s="14">
        <f t="shared" si="504"/>
        <v>27070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315</v>
      </c>
      <c r="FD214" s="14">
        <f>INDEX(属性偏向!$U$4:$U$243,(卡牌属性!$DV214-1+FD$3)*20+卡牌属性!$DX214)</f>
        <v>360</v>
      </c>
      <c r="FE214" s="14">
        <f>INDEX(属性偏向!$U$4:$U$243,(卡牌属性!$DV214-1+FE$3)*20+卡牌属性!$DX214)</f>
        <v>360</v>
      </c>
      <c r="FF214" s="14">
        <f>INDEX(属性偏向!$U$4:$U$243,(卡牌属性!$DV214-1+FF$3)*20+卡牌属性!$DX214)</f>
        <v>450</v>
      </c>
      <c r="FG214" s="14">
        <f>INDEX(属性偏向!$U$4:$U$243,(卡牌属性!$DV214-1+FG$3)*20+卡牌属性!$DX214)</f>
        <v>675</v>
      </c>
      <c r="FH214" s="14">
        <f>INDEX(属性投放!$BQ$6:$BQ$85,(卡牌属性!$DW214-2)*20+卡牌属性!$DX214)</f>
        <v>200</v>
      </c>
      <c r="FI214" s="14">
        <f>INDEX(属性投放!$BQ$6:$BQ$85,(卡牌属性!$DW214-2)*20+卡牌属性!$DX214)</f>
        <v>200</v>
      </c>
      <c r="FJ214" s="14">
        <f>INDEX(属性投放!$BQ$6:$BQ$85,(卡牌属性!$DW214-2)*20+卡牌属性!$DX214)</f>
        <v>200</v>
      </c>
      <c r="FK214" s="14">
        <f>INDEX(属性投放!$BQ$6:$BQ$85,(卡牌属性!$DW214-2)*20+卡牌属性!$DX214)</f>
        <v>200</v>
      </c>
      <c r="FL214" s="14">
        <f>INDEX(属性投放!$BQ$6:$BQ$85,(卡牌属性!$DW214-2)*20+卡牌属性!$DX214)</f>
        <v>200</v>
      </c>
      <c r="FM214" s="14">
        <f>INDEX(属性投放!$BR$6:$BR$85,(卡牌属性!$DW214-2)*20+卡牌属性!$DX214)</f>
        <v>100</v>
      </c>
      <c r="FN214" s="14">
        <f>INDEX(属性投放!$BR$6:$BR$85,(卡牌属性!$DW214-2)*20+卡牌属性!$DX214)</f>
        <v>100</v>
      </c>
      <c r="FO214" s="14">
        <f>INDEX(属性投放!$BR$6:$BR$85,(卡牌属性!$DW214-2)*20+卡牌属性!$DX214)</f>
        <v>100</v>
      </c>
      <c r="FP214" s="14">
        <f>INDEX(属性投放!$BR$6:$BR$85,(卡牌属性!$DW214-2)*20+卡牌属性!$DX214)</f>
        <v>100</v>
      </c>
      <c r="FQ214" s="14">
        <f>INDEX(属性投放!$BR$6:$BR$85,(卡牌属性!$DW214-2)*20+卡牌属性!$DX214)</f>
        <v>100</v>
      </c>
      <c r="FR214" s="14">
        <f>INDEX(属性投放!$BS$6:$BS$85,(卡牌属性!$DW214-2)*20+卡牌属性!$DX214)</f>
        <v>1800</v>
      </c>
      <c r="FS214" s="14">
        <f>INDEX(属性投放!$BS$6:$BS$85,(卡牌属性!$DW214-2)*20+卡牌属性!$DX214)</f>
        <v>1800</v>
      </c>
      <c r="FT214" s="14">
        <f>INDEX(属性投放!$BS$6:$BS$85,(卡牌属性!$DW214-2)*20+卡牌属性!$DX214)</f>
        <v>1800</v>
      </c>
      <c r="FU214" s="14">
        <f>INDEX(属性投放!$BS$6:$BS$85,(卡牌属性!$DW214-2)*20+卡牌属性!$DX214)</f>
        <v>1800</v>
      </c>
      <c r="FV214" s="14">
        <f>INDEX(属性投放!$BS$6:$BS$85,(卡牌属性!$DW214-2)*20+卡牌属性!$DX214)</f>
        <v>1800</v>
      </c>
    </row>
    <row r="215" spans="31:178" ht="16.5" x14ac:dyDescent="0.2">
      <c r="AE215" s="13">
        <v>211</v>
      </c>
      <c r="AF215" s="13">
        <f t="shared" si="474"/>
        <v>11</v>
      </c>
      <c r="AG215" s="13">
        <f t="shared" si="461"/>
        <v>3</v>
      </c>
      <c r="AH215" s="13"/>
      <c r="AI215" s="13"/>
      <c r="AJ215" s="14">
        <f t="shared" si="462"/>
        <v>1101011</v>
      </c>
      <c r="AK215" s="14" t="str">
        <f t="shared" si="463"/>
        <v>阎风吒11突</v>
      </c>
      <c r="AL215" s="25" t="s">
        <v>142</v>
      </c>
      <c r="AM215" s="14">
        <v>1</v>
      </c>
      <c r="AN215" s="14">
        <f t="shared" si="464"/>
        <v>11</v>
      </c>
      <c r="AO215" s="14">
        <f>INDEX(属性投放!$DF$6:$DF$85,(卡牌属性!AG215-2)*20+卡牌属性!AN215)</f>
        <v>2840</v>
      </c>
      <c r="AP215" s="14">
        <f t="shared" si="484"/>
        <v>2840</v>
      </c>
      <c r="AQ215" s="14">
        <f t="shared" si="484"/>
        <v>2840</v>
      </c>
      <c r="AR215" s="14">
        <f t="shared" si="484"/>
        <v>2840</v>
      </c>
      <c r="AS215" s="14">
        <f t="shared" si="484"/>
        <v>2840</v>
      </c>
      <c r="AT215" s="14">
        <f>INDEX(属性投放!$DG$6:$DG$85,(卡牌属性!AG215-2)*20+卡牌属性!AN215)</f>
        <v>1358</v>
      </c>
      <c r="AU215" s="14">
        <f t="shared" si="485"/>
        <v>1358</v>
      </c>
      <c r="AV215" s="14">
        <f t="shared" si="485"/>
        <v>1358</v>
      </c>
      <c r="AW215" s="14">
        <f t="shared" si="485"/>
        <v>1358</v>
      </c>
      <c r="AX215" s="14">
        <f t="shared" si="485"/>
        <v>1358</v>
      </c>
      <c r="AY215" s="14">
        <f>INDEX(属性投放!$DH$6:$DH$85,(卡牌属性!AG215-2)*20+卡牌属性!AN215)</f>
        <v>20460</v>
      </c>
      <c r="AZ215" s="14">
        <f t="shared" si="486"/>
        <v>20460</v>
      </c>
      <c r="BA215" s="14">
        <f t="shared" si="486"/>
        <v>20460</v>
      </c>
      <c r="BB215" s="14">
        <f t="shared" si="486"/>
        <v>20460</v>
      </c>
      <c r="BC215" s="14">
        <f t="shared" si="486"/>
        <v>20460</v>
      </c>
      <c r="BD215" s="14">
        <f>INDEX(属性投放!$DL$6:$DL$85,(卡牌属性!AG215-2)*20+卡牌属性!AN215)</f>
        <v>92</v>
      </c>
      <c r="BE215" s="14">
        <f t="shared" si="487"/>
        <v>92</v>
      </c>
      <c r="BF215" s="14">
        <f t="shared" si="487"/>
        <v>92</v>
      </c>
      <c r="BG215" s="14">
        <f t="shared" si="487"/>
        <v>92</v>
      </c>
      <c r="BH215" s="14">
        <f t="shared" si="487"/>
        <v>92</v>
      </c>
      <c r="BI215" s="14">
        <f>INDEX(属性投放!$DM$6:$DM$85,(卡牌属性!AG215-2)*20+卡牌属性!AN215)</f>
        <v>46</v>
      </c>
      <c r="BJ215" s="14">
        <f t="shared" si="488"/>
        <v>46</v>
      </c>
      <c r="BK215" s="14">
        <f t="shared" si="488"/>
        <v>46</v>
      </c>
      <c r="BL215" s="14">
        <f t="shared" si="488"/>
        <v>46</v>
      </c>
      <c r="BM215" s="14">
        <f t="shared" si="488"/>
        <v>46</v>
      </c>
      <c r="BN215" s="14">
        <f>INDEX(属性投放!$DN$6:$DN$85,(卡牌属性!AG215-2)*20+卡牌属性!AN215)</f>
        <v>824</v>
      </c>
      <c r="BO215" s="14">
        <f t="shared" si="489"/>
        <v>824</v>
      </c>
      <c r="BP215" s="14">
        <f t="shared" si="489"/>
        <v>824</v>
      </c>
      <c r="BQ215" s="14">
        <f t="shared" si="489"/>
        <v>824</v>
      </c>
      <c r="BR215" s="14">
        <f t="shared" si="489"/>
        <v>824</v>
      </c>
      <c r="BW215" s="13">
        <v>211</v>
      </c>
      <c r="BX215" s="13">
        <f t="shared" si="465"/>
        <v>11</v>
      </c>
      <c r="BY215" s="14">
        <f t="shared" si="466"/>
        <v>4</v>
      </c>
      <c r="BZ215" s="14">
        <f t="shared" si="475"/>
        <v>1102011</v>
      </c>
      <c r="CA215" s="14" t="str">
        <f t="shared" si="476"/>
        <v>张飞11突</v>
      </c>
      <c r="CB215" s="25" t="s">
        <v>142</v>
      </c>
      <c r="CC215" s="14">
        <v>2</v>
      </c>
      <c r="CD215" s="14">
        <f t="shared" si="467"/>
        <v>11</v>
      </c>
      <c r="CE215" s="14" t="s">
        <v>21</v>
      </c>
      <c r="CF215" s="14">
        <f>INDEX(属性投放!$AZ$6:$AZ$85,(BY215-2)*20+CD215)</f>
        <v>4443</v>
      </c>
      <c r="CG215" s="14" t="s">
        <v>22</v>
      </c>
      <c r="CH215" s="14">
        <f>INDEX(属性投放!$BA$6:$BA$85,(BY215-2)*20+CD215)</f>
        <v>2172</v>
      </c>
      <c r="CI215" s="14" t="s">
        <v>510</v>
      </c>
      <c r="CJ215" s="14">
        <f>INDEX(属性投放!$BB$6:$BB$85,(BY215-2)*20+CD215)</f>
        <v>33088</v>
      </c>
      <c r="CK215" s="14" t="s">
        <v>21</v>
      </c>
      <c r="CL215" s="14">
        <f>INDEX(属性投放!$BC$6:$BC$85,(BY215-2)*20+CD215)</f>
        <v>30</v>
      </c>
      <c r="CM215" s="14" t="s">
        <v>22</v>
      </c>
      <c r="CN215" s="14">
        <f>INDEX(属性投放!$BD$6:$BD$85,(BY215-2)*20+CD215)</f>
        <v>15</v>
      </c>
      <c r="CO215" s="14" t="s">
        <v>510</v>
      </c>
      <c r="CP215" s="14">
        <f>INDEX(属性投放!$BE$6:$BE$85,(BY215-2)*20+CD215)</f>
        <v>270</v>
      </c>
      <c r="CS215" s="13">
        <v>211</v>
      </c>
      <c r="CT215" s="13">
        <f t="shared" si="477"/>
        <v>5</v>
      </c>
      <c r="CU215" s="13">
        <f t="shared" si="478"/>
        <v>3</v>
      </c>
      <c r="CV215" s="14">
        <f t="shared" si="479"/>
        <v>3</v>
      </c>
      <c r="CW215" s="14">
        <f t="shared" si="480"/>
        <v>1102005</v>
      </c>
      <c r="CX215" s="14" t="str">
        <f>INDEX($O$6:$O$50,CT215)&amp;"-"&amp;INDEX(属性投放!$AB$7:$AB$50,CZ215)&amp;"-魂火-"&amp;DB215</f>
        <v>李轩辕-黑绳-魂火-2</v>
      </c>
      <c r="CY215" s="25" t="s">
        <v>142</v>
      </c>
      <c r="CZ215" s="14">
        <f>INDEX(属性投放!$AM$7:$AM$58,CU215)</f>
        <v>2</v>
      </c>
      <c r="DA215" s="14" t="s">
        <v>537</v>
      </c>
      <c r="DB215" s="14">
        <f>INDEX(属性投放!$AN$7:$AN$58,CU215)</f>
        <v>2</v>
      </c>
      <c r="DC215" s="14">
        <f t="shared" si="468"/>
        <v>3</v>
      </c>
      <c r="DD215" s="14">
        <f>INDEX(属性投放!$AO$7:$AO$58,DC215)</f>
        <v>13</v>
      </c>
      <c r="DE215" s="14" t="s">
        <v>538</v>
      </c>
      <c r="DF215" s="14">
        <f>INDEX(属性投放!$BK$6:$BK$85,(CV215-2)*20+CZ215)</f>
        <v>25</v>
      </c>
      <c r="DG215" s="14">
        <f>SUMIFS(DF$5:DF215,$CT$5:$CT215,"="&amp;$CT215)</f>
        <v>70</v>
      </c>
      <c r="DH215" s="14" t="s">
        <v>539</v>
      </c>
      <c r="DI215" s="14">
        <f>INDEX(属性投放!$BL$6:$BL$85,(CV215-2)*20+CZ215)</f>
        <v>13</v>
      </c>
      <c r="DJ215" s="14">
        <f>SUMIFS(DI$5:DI215,$CT$5:$CT215,"="&amp;$CT215)</f>
        <v>36</v>
      </c>
      <c r="DK215" s="14" t="s">
        <v>540</v>
      </c>
      <c r="DL215" s="14">
        <f>INDEX(属性投放!$BM$6:$BM$85,(CV215-2)*20+CZ215)</f>
        <v>150</v>
      </c>
      <c r="DM215" s="14">
        <f>SUMIFS(DL$5:DL215,$CT$5:$CT215,"="&amp;$CT215)</f>
        <v>420</v>
      </c>
      <c r="DR215" s="14">
        <f t="shared" si="469"/>
        <v>1102011</v>
      </c>
      <c r="DS215" s="14" t="str">
        <f t="shared" si="470"/>
        <v>张飞11突</v>
      </c>
      <c r="DT215" s="14">
        <f t="shared" si="481"/>
        <v>5</v>
      </c>
      <c r="DU215" s="14">
        <f t="shared" si="482"/>
        <v>6</v>
      </c>
      <c r="DV215" s="14">
        <f t="shared" si="483"/>
        <v>8</v>
      </c>
      <c r="DW215" s="14">
        <f t="shared" si="471"/>
        <v>4</v>
      </c>
      <c r="DX215" s="14">
        <f t="shared" si="472"/>
        <v>11</v>
      </c>
      <c r="DY215" s="14">
        <f t="shared" si="473"/>
        <v>51</v>
      </c>
      <c r="DZ215" s="14">
        <f>INDEX(属性投放!$AX$6:$AX$85,(卡牌属性!DW215-2)*20+卡牌属性!DX215)</f>
        <v>8</v>
      </c>
      <c r="EA215" s="14">
        <f>INDEX(属性投放!BQ$6:BQ$85,卡牌属性!$DY215)</f>
        <v>300</v>
      </c>
      <c r="EB215" s="14">
        <f>INDEX(属性投放!BR$6:BR$85,卡牌属性!$DY215)</f>
        <v>150</v>
      </c>
      <c r="EC215" s="14">
        <f>INDEX(属性投放!BS$6:BS$85,卡牌属性!$DY215)</f>
        <v>2700</v>
      </c>
      <c r="ED215" s="14">
        <f t="shared" si="490"/>
        <v>2281</v>
      </c>
      <c r="EE215" s="14">
        <f t="shared" si="491"/>
        <v>2401</v>
      </c>
      <c r="EF215" s="14">
        <f t="shared" si="492"/>
        <v>2873</v>
      </c>
      <c r="EG215" s="14">
        <f t="shared" si="493"/>
        <v>2873</v>
      </c>
      <c r="EH215" s="14">
        <f t="shared" si="494"/>
        <v>3100</v>
      </c>
      <c r="EI215" s="14">
        <f t="shared" si="495"/>
        <v>1169</v>
      </c>
      <c r="EJ215" s="14">
        <f t="shared" si="496"/>
        <v>1407</v>
      </c>
      <c r="EK215" s="14">
        <f t="shared" si="497"/>
        <v>1407</v>
      </c>
      <c r="EL215" s="14">
        <f t="shared" si="498"/>
        <v>1517</v>
      </c>
      <c r="EM215" s="14">
        <f t="shared" si="499"/>
        <v>1642</v>
      </c>
      <c r="EN215" s="14">
        <f t="shared" si="500"/>
        <v>22287</v>
      </c>
      <c r="EO215" s="14">
        <f t="shared" si="501"/>
        <v>23960</v>
      </c>
      <c r="EP215" s="14">
        <f t="shared" si="502"/>
        <v>23960</v>
      </c>
      <c r="EQ215" s="14">
        <f t="shared" si="503"/>
        <v>27820</v>
      </c>
      <c r="ER215" s="14">
        <f t="shared" si="504"/>
        <v>33595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315</v>
      </c>
      <c r="FD215" s="14">
        <f>INDEX(属性偏向!$U$4:$U$243,(卡牌属性!$DV215-1+FD$3)*20+卡牌属性!$DX215)</f>
        <v>360</v>
      </c>
      <c r="FE215" s="14">
        <f>INDEX(属性偏向!$U$4:$U$243,(卡牌属性!$DV215-1+FE$3)*20+卡牌属性!$DX215)</f>
        <v>360</v>
      </c>
      <c r="FF215" s="14">
        <f>INDEX(属性偏向!$U$4:$U$243,(卡牌属性!$DV215-1+FF$3)*20+卡牌属性!$DX215)</f>
        <v>450</v>
      </c>
      <c r="FG215" s="14">
        <f>INDEX(属性偏向!$U$4:$U$243,(卡牌属性!$DV215-1+FG$3)*20+卡牌属性!$DX215)</f>
        <v>675</v>
      </c>
      <c r="FH215" s="14">
        <f>INDEX(属性投放!$BQ$6:$BQ$85,(卡牌属性!$DW215-2)*20+卡牌属性!$DX215)</f>
        <v>300</v>
      </c>
      <c r="FI215" s="14">
        <f>INDEX(属性投放!$BQ$6:$BQ$85,(卡牌属性!$DW215-2)*20+卡牌属性!$DX215)</f>
        <v>300</v>
      </c>
      <c r="FJ215" s="14">
        <f>INDEX(属性投放!$BQ$6:$BQ$85,(卡牌属性!$DW215-2)*20+卡牌属性!$DX215)</f>
        <v>300</v>
      </c>
      <c r="FK215" s="14">
        <f>INDEX(属性投放!$BQ$6:$BQ$85,(卡牌属性!$DW215-2)*20+卡牌属性!$DX215)</f>
        <v>300</v>
      </c>
      <c r="FL215" s="14">
        <f>INDEX(属性投放!$BQ$6:$BQ$85,(卡牌属性!$DW215-2)*20+卡牌属性!$DX215)</f>
        <v>300</v>
      </c>
      <c r="FM215" s="14">
        <f>INDEX(属性投放!$BR$6:$BR$85,(卡牌属性!$DW215-2)*20+卡牌属性!$DX215)</f>
        <v>150</v>
      </c>
      <c r="FN215" s="14">
        <f>INDEX(属性投放!$BR$6:$BR$85,(卡牌属性!$DW215-2)*20+卡牌属性!$DX215)</f>
        <v>150</v>
      </c>
      <c r="FO215" s="14">
        <f>INDEX(属性投放!$BR$6:$BR$85,(卡牌属性!$DW215-2)*20+卡牌属性!$DX215)</f>
        <v>150</v>
      </c>
      <c r="FP215" s="14">
        <f>INDEX(属性投放!$BR$6:$BR$85,(卡牌属性!$DW215-2)*20+卡牌属性!$DX215)</f>
        <v>150</v>
      </c>
      <c r="FQ215" s="14">
        <f>INDEX(属性投放!$BR$6:$BR$85,(卡牌属性!$DW215-2)*20+卡牌属性!$DX215)</f>
        <v>150</v>
      </c>
      <c r="FR215" s="14">
        <f>INDEX(属性投放!$BS$6:$BS$85,(卡牌属性!$DW215-2)*20+卡牌属性!$DX215)</f>
        <v>2700</v>
      </c>
      <c r="FS215" s="14">
        <f>INDEX(属性投放!$BS$6:$BS$85,(卡牌属性!$DW215-2)*20+卡牌属性!$DX215)</f>
        <v>2700</v>
      </c>
      <c r="FT215" s="14">
        <f>INDEX(属性投放!$BS$6:$BS$85,(卡牌属性!$DW215-2)*20+卡牌属性!$DX215)</f>
        <v>2700</v>
      </c>
      <c r="FU215" s="14">
        <f>INDEX(属性投放!$BS$6:$BS$85,(卡牌属性!$DW215-2)*20+卡牌属性!$DX215)</f>
        <v>2700</v>
      </c>
      <c r="FV215" s="14">
        <f>INDEX(属性投放!$BS$6:$BS$85,(卡牌属性!$DW215-2)*20+卡牌属性!$DX215)</f>
        <v>2700</v>
      </c>
    </row>
    <row r="216" spans="31:178" ht="16.5" x14ac:dyDescent="0.2">
      <c r="AE216" s="13">
        <v>212</v>
      </c>
      <c r="AF216" s="13">
        <f t="shared" si="474"/>
        <v>11</v>
      </c>
      <c r="AG216" s="13">
        <f t="shared" si="461"/>
        <v>3</v>
      </c>
      <c r="AH216" s="13"/>
      <c r="AI216" s="13"/>
      <c r="AJ216" s="14">
        <f t="shared" si="462"/>
        <v>1101011</v>
      </c>
      <c r="AK216" s="14" t="str">
        <f t="shared" si="463"/>
        <v>阎风吒12突</v>
      </c>
      <c r="AL216" s="25" t="s">
        <v>142</v>
      </c>
      <c r="AM216" s="14">
        <v>1</v>
      </c>
      <c r="AN216" s="14">
        <f t="shared" si="464"/>
        <v>12</v>
      </c>
      <c r="AO216" s="14">
        <f>INDEX(属性投放!$DF$6:$DF$85,(卡牌属性!AG216-2)*20+卡牌属性!AN216)</f>
        <v>3102</v>
      </c>
      <c r="AP216" s="14">
        <f t="shared" si="484"/>
        <v>3102</v>
      </c>
      <c r="AQ216" s="14">
        <f t="shared" si="484"/>
        <v>3102</v>
      </c>
      <c r="AR216" s="14">
        <f t="shared" si="484"/>
        <v>3102</v>
      </c>
      <c r="AS216" s="14">
        <f t="shared" si="484"/>
        <v>3102</v>
      </c>
      <c r="AT216" s="14">
        <f>INDEX(属性投放!$DG$6:$DG$85,(卡牌属性!AG216-2)*20+卡牌属性!AN216)</f>
        <v>1489</v>
      </c>
      <c r="AU216" s="14">
        <f t="shared" si="485"/>
        <v>1489</v>
      </c>
      <c r="AV216" s="14">
        <f t="shared" si="485"/>
        <v>1489</v>
      </c>
      <c r="AW216" s="14">
        <f t="shared" si="485"/>
        <v>1489</v>
      </c>
      <c r="AX216" s="14">
        <f t="shared" si="485"/>
        <v>1489</v>
      </c>
      <c r="AY216" s="14">
        <f>INDEX(属性投放!$DH$6:$DH$85,(卡牌属性!AG216-2)*20+卡牌属性!AN216)</f>
        <v>22814</v>
      </c>
      <c r="AZ216" s="14">
        <f t="shared" si="486"/>
        <v>22814</v>
      </c>
      <c r="BA216" s="14">
        <f t="shared" si="486"/>
        <v>22814</v>
      </c>
      <c r="BB216" s="14">
        <f t="shared" si="486"/>
        <v>22814</v>
      </c>
      <c r="BC216" s="14">
        <f t="shared" si="486"/>
        <v>22814</v>
      </c>
      <c r="BD216" s="14">
        <f>INDEX(属性投放!$DL$6:$DL$85,(卡牌属性!AG216-2)*20+卡牌属性!AN216)</f>
        <v>92</v>
      </c>
      <c r="BE216" s="14">
        <f t="shared" si="487"/>
        <v>92</v>
      </c>
      <c r="BF216" s="14">
        <f t="shared" si="487"/>
        <v>92</v>
      </c>
      <c r="BG216" s="14">
        <f t="shared" si="487"/>
        <v>92</v>
      </c>
      <c r="BH216" s="14">
        <f t="shared" si="487"/>
        <v>92</v>
      </c>
      <c r="BI216" s="14">
        <f>INDEX(属性投放!$DM$6:$DM$85,(卡牌属性!AG216-2)*20+卡牌属性!AN216)</f>
        <v>46</v>
      </c>
      <c r="BJ216" s="14">
        <f t="shared" si="488"/>
        <v>46</v>
      </c>
      <c r="BK216" s="14">
        <f t="shared" si="488"/>
        <v>46</v>
      </c>
      <c r="BL216" s="14">
        <f t="shared" si="488"/>
        <v>46</v>
      </c>
      <c r="BM216" s="14">
        <f t="shared" si="488"/>
        <v>46</v>
      </c>
      <c r="BN216" s="14">
        <f>INDEX(属性投放!$DN$6:$DN$85,(卡牌属性!AG216-2)*20+卡牌属性!AN216)</f>
        <v>824</v>
      </c>
      <c r="BO216" s="14">
        <f t="shared" si="489"/>
        <v>824</v>
      </c>
      <c r="BP216" s="14">
        <f t="shared" si="489"/>
        <v>824</v>
      </c>
      <c r="BQ216" s="14">
        <f t="shared" si="489"/>
        <v>824</v>
      </c>
      <c r="BR216" s="14">
        <f t="shared" si="489"/>
        <v>824</v>
      </c>
      <c r="BW216" s="13">
        <v>212</v>
      </c>
      <c r="BX216" s="13">
        <f t="shared" si="465"/>
        <v>11</v>
      </c>
      <c r="BY216" s="14">
        <f t="shared" si="466"/>
        <v>4</v>
      </c>
      <c r="BZ216" s="14">
        <f t="shared" si="475"/>
        <v>1102011</v>
      </c>
      <c r="CA216" s="14" t="str">
        <f t="shared" si="476"/>
        <v>张飞12突</v>
      </c>
      <c r="CB216" s="25" t="s">
        <v>142</v>
      </c>
      <c r="CC216" s="14">
        <v>2</v>
      </c>
      <c r="CD216" s="14">
        <f t="shared" si="467"/>
        <v>12</v>
      </c>
      <c r="CE216" s="14" t="s">
        <v>21</v>
      </c>
      <c r="CF216" s="14">
        <f>INDEX(属性投放!$AZ$6:$AZ$85,(BY216-2)*20+CD216)</f>
        <v>5493</v>
      </c>
      <c r="CG216" s="14" t="s">
        <v>22</v>
      </c>
      <c r="CH216" s="14">
        <f>INDEX(属性投放!$BA$6:$BA$85,(BY216-2)*20+CD216)</f>
        <v>2697</v>
      </c>
      <c r="CI216" s="14" t="s">
        <v>510</v>
      </c>
      <c r="CJ216" s="14">
        <f>INDEX(属性投放!$BB$6:$BB$85,(BY216-2)*20+CD216)</f>
        <v>42538</v>
      </c>
      <c r="CK216" s="14" t="s">
        <v>21</v>
      </c>
      <c r="CL216" s="14">
        <f>INDEX(属性投放!$BC$6:$BC$85,(BY216-2)*20+CD216)</f>
        <v>30</v>
      </c>
      <c r="CM216" s="14" t="s">
        <v>22</v>
      </c>
      <c r="CN216" s="14">
        <f>INDEX(属性投放!$BD$6:$BD$85,(BY216-2)*20+CD216)</f>
        <v>15</v>
      </c>
      <c r="CO216" s="14" t="s">
        <v>510</v>
      </c>
      <c r="CP216" s="14">
        <f>INDEX(属性投放!$BE$6:$BE$85,(BY216-2)*20+CD216)</f>
        <v>270</v>
      </c>
      <c r="CS216" s="13">
        <v>212</v>
      </c>
      <c r="CT216" s="13">
        <f t="shared" si="477"/>
        <v>5</v>
      </c>
      <c r="CU216" s="13">
        <f t="shared" si="478"/>
        <v>4</v>
      </c>
      <c r="CV216" s="14">
        <f t="shared" si="479"/>
        <v>3</v>
      </c>
      <c r="CW216" s="14">
        <f t="shared" si="480"/>
        <v>1102005</v>
      </c>
      <c r="CX216" s="14" t="str">
        <f>INDEX($O$6:$O$50,CT216)&amp;"-"&amp;INDEX(属性投放!$AB$7:$AB$50,CZ216)&amp;"-魂火-"&amp;DB216</f>
        <v>李轩辕-黑绳+1-魂火-1</v>
      </c>
      <c r="CY216" s="25" t="s">
        <v>142</v>
      </c>
      <c r="CZ216" s="14">
        <f>INDEX(属性投放!$AM$7:$AM$58,CU216)</f>
        <v>3</v>
      </c>
      <c r="DA216" s="14" t="s">
        <v>537</v>
      </c>
      <c r="DB216" s="14">
        <f>INDEX(属性投放!$AN$7:$AN$58,CU216)</f>
        <v>1</v>
      </c>
      <c r="DC216" s="14">
        <f t="shared" si="468"/>
        <v>4</v>
      </c>
      <c r="DD216" s="14">
        <f>INDEX(属性投放!$AO$7:$AO$58,DC216)</f>
        <v>18</v>
      </c>
      <c r="DE216" s="14" t="s">
        <v>538</v>
      </c>
      <c r="DF216" s="14">
        <f>INDEX(属性投放!$BK$6:$BK$85,(CV216-2)*20+CZ216)</f>
        <v>30</v>
      </c>
      <c r="DG216" s="14">
        <f>SUMIFS(DF$5:DF216,$CT$5:$CT216,"="&amp;$CT216)</f>
        <v>100</v>
      </c>
      <c r="DH216" s="14" t="s">
        <v>539</v>
      </c>
      <c r="DI216" s="14">
        <f>INDEX(属性投放!$BL$6:$BL$85,(CV216-2)*20+CZ216)</f>
        <v>15</v>
      </c>
      <c r="DJ216" s="14">
        <f>SUMIFS(DI$5:DI216,$CT$5:$CT216,"="&amp;$CT216)</f>
        <v>51</v>
      </c>
      <c r="DK216" s="14" t="s">
        <v>540</v>
      </c>
      <c r="DL216" s="14">
        <f>INDEX(属性投放!$BM$6:$BM$85,(CV216-2)*20+CZ216)</f>
        <v>180</v>
      </c>
      <c r="DM216" s="14">
        <f>SUMIFS(DL$5:DL216,$CT$5:$CT216,"="&amp;$CT216)</f>
        <v>600</v>
      </c>
      <c r="DR216" s="14">
        <f t="shared" si="469"/>
        <v>1102011</v>
      </c>
      <c r="DS216" s="14" t="str">
        <f t="shared" si="470"/>
        <v>张飞12突</v>
      </c>
      <c r="DT216" s="14">
        <f t="shared" si="481"/>
        <v>5</v>
      </c>
      <c r="DU216" s="14">
        <f t="shared" si="482"/>
        <v>6</v>
      </c>
      <c r="DV216" s="14">
        <f t="shared" si="483"/>
        <v>8</v>
      </c>
      <c r="DW216" s="14">
        <f t="shared" si="471"/>
        <v>4</v>
      </c>
      <c r="DX216" s="14">
        <f t="shared" si="472"/>
        <v>12</v>
      </c>
      <c r="DY216" s="14">
        <f t="shared" si="473"/>
        <v>52</v>
      </c>
      <c r="DZ216" s="14">
        <f>INDEX(属性投放!$AX$6:$AX$85,(卡牌属性!DW216-2)*20+卡牌属性!DX216)</f>
        <v>7</v>
      </c>
      <c r="EA216" s="14">
        <f>INDEX(属性投放!BQ$6:BQ$85,卡牌属性!$DY216)</f>
        <v>400</v>
      </c>
      <c r="EB216" s="14">
        <f>INDEX(属性投放!BR$6:BR$85,卡牌属性!$DY216)</f>
        <v>200</v>
      </c>
      <c r="EC216" s="14">
        <f>INDEX(属性投放!BS$6:BS$85,卡牌属性!$DY216)</f>
        <v>3600</v>
      </c>
      <c r="ED216" s="14">
        <f t="shared" si="490"/>
        <v>2741</v>
      </c>
      <c r="EE216" s="14">
        <f t="shared" si="491"/>
        <v>2869</v>
      </c>
      <c r="EF216" s="14">
        <f t="shared" si="492"/>
        <v>3413</v>
      </c>
      <c r="EG216" s="14">
        <f t="shared" si="493"/>
        <v>3413</v>
      </c>
      <c r="EH216" s="14">
        <f t="shared" si="494"/>
        <v>3680</v>
      </c>
      <c r="EI216" s="14">
        <f t="shared" si="495"/>
        <v>1407</v>
      </c>
      <c r="EJ216" s="14">
        <f t="shared" si="496"/>
        <v>1677</v>
      </c>
      <c r="EK216" s="14">
        <f t="shared" si="497"/>
        <v>1677</v>
      </c>
      <c r="EL216" s="14">
        <f t="shared" si="498"/>
        <v>1811</v>
      </c>
      <c r="EM216" s="14">
        <f t="shared" si="499"/>
        <v>1952</v>
      </c>
      <c r="EN216" s="14">
        <f t="shared" si="500"/>
        <v>27507</v>
      </c>
      <c r="EO216" s="14">
        <f t="shared" si="501"/>
        <v>29540</v>
      </c>
      <c r="EP216" s="14">
        <f t="shared" si="502"/>
        <v>29540</v>
      </c>
      <c r="EQ216" s="14">
        <f t="shared" si="503"/>
        <v>34120</v>
      </c>
      <c r="ER216" s="14">
        <f t="shared" si="504"/>
        <v>41695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315</v>
      </c>
      <c r="FD216" s="14">
        <f>INDEX(属性偏向!$U$4:$U$243,(卡牌属性!$DV216-1+FD$3)*20+卡牌属性!$DX216)</f>
        <v>360</v>
      </c>
      <c r="FE216" s="14">
        <f>INDEX(属性偏向!$U$4:$U$243,(卡牌属性!$DV216-1+FE$3)*20+卡牌属性!$DX216)</f>
        <v>360</v>
      </c>
      <c r="FF216" s="14">
        <f>INDEX(属性偏向!$U$4:$U$243,(卡牌属性!$DV216-1+FF$3)*20+卡牌属性!$DX216)</f>
        <v>450</v>
      </c>
      <c r="FG216" s="14">
        <f>INDEX(属性偏向!$U$4:$U$243,(卡牌属性!$DV216-1+FG$3)*20+卡牌属性!$DX216)</f>
        <v>675</v>
      </c>
      <c r="FH216" s="14">
        <f>INDEX(属性投放!$BQ$6:$BQ$85,(卡牌属性!$DW216-2)*20+卡牌属性!$DX216)</f>
        <v>400</v>
      </c>
      <c r="FI216" s="14">
        <f>INDEX(属性投放!$BQ$6:$BQ$85,(卡牌属性!$DW216-2)*20+卡牌属性!$DX216)</f>
        <v>400</v>
      </c>
      <c r="FJ216" s="14">
        <f>INDEX(属性投放!$BQ$6:$BQ$85,(卡牌属性!$DW216-2)*20+卡牌属性!$DX216)</f>
        <v>400</v>
      </c>
      <c r="FK216" s="14">
        <f>INDEX(属性投放!$BQ$6:$BQ$85,(卡牌属性!$DW216-2)*20+卡牌属性!$DX216)</f>
        <v>400</v>
      </c>
      <c r="FL216" s="14">
        <f>INDEX(属性投放!$BQ$6:$BQ$85,(卡牌属性!$DW216-2)*20+卡牌属性!$DX216)</f>
        <v>400</v>
      </c>
      <c r="FM216" s="14">
        <f>INDEX(属性投放!$BR$6:$BR$85,(卡牌属性!$DW216-2)*20+卡牌属性!$DX216)</f>
        <v>200</v>
      </c>
      <c r="FN216" s="14">
        <f>INDEX(属性投放!$BR$6:$BR$85,(卡牌属性!$DW216-2)*20+卡牌属性!$DX216)</f>
        <v>200</v>
      </c>
      <c r="FO216" s="14">
        <f>INDEX(属性投放!$BR$6:$BR$85,(卡牌属性!$DW216-2)*20+卡牌属性!$DX216)</f>
        <v>200</v>
      </c>
      <c r="FP216" s="14">
        <f>INDEX(属性投放!$BR$6:$BR$85,(卡牌属性!$DW216-2)*20+卡牌属性!$DX216)</f>
        <v>200</v>
      </c>
      <c r="FQ216" s="14">
        <f>INDEX(属性投放!$BR$6:$BR$85,(卡牌属性!$DW216-2)*20+卡牌属性!$DX216)</f>
        <v>200</v>
      </c>
      <c r="FR216" s="14">
        <f>INDEX(属性投放!$BS$6:$BS$85,(卡牌属性!$DW216-2)*20+卡牌属性!$DX216)</f>
        <v>3600</v>
      </c>
      <c r="FS216" s="14">
        <f>INDEX(属性投放!$BS$6:$BS$85,(卡牌属性!$DW216-2)*20+卡牌属性!$DX216)</f>
        <v>3600</v>
      </c>
      <c r="FT216" s="14">
        <f>INDEX(属性投放!$BS$6:$BS$85,(卡牌属性!$DW216-2)*20+卡牌属性!$DX216)</f>
        <v>3600</v>
      </c>
      <c r="FU216" s="14">
        <f>INDEX(属性投放!$BS$6:$BS$85,(卡牌属性!$DW216-2)*20+卡牌属性!$DX216)</f>
        <v>3600</v>
      </c>
      <c r="FV216" s="14">
        <f>INDEX(属性投放!$BS$6:$BS$85,(卡牌属性!$DW216-2)*20+卡牌属性!$DX216)</f>
        <v>3600</v>
      </c>
    </row>
    <row r="217" spans="31:178" ht="16.5" x14ac:dyDescent="0.2">
      <c r="AE217" s="13">
        <v>213</v>
      </c>
      <c r="AF217" s="13">
        <f t="shared" si="474"/>
        <v>11</v>
      </c>
      <c r="AG217" s="13">
        <f t="shared" si="461"/>
        <v>3</v>
      </c>
      <c r="AH217" s="13"/>
      <c r="AI217" s="13"/>
      <c r="AJ217" s="14">
        <f t="shared" si="462"/>
        <v>1101011</v>
      </c>
      <c r="AK217" s="14" t="str">
        <f t="shared" si="463"/>
        <v>阎风吒13突</v>
      </c>
      <c r="AL217" s="25" t="s">
        <v>142</v>
      </c>
      <c r="AM217" s="14">
        <v>1</v>
      </c>
      <c r="AN217" s="14">
        <f t="shared" si="464"/>
        <v>13</v>
      </c>
      <c r="AO217" s="14">
        <f>INDEX(属性投放!$DF$6:$DF$85,(卡牌属性!AG217-2)*20+卡牌属性!AN217)</f>
        <v>5664</v>
      </c>
      <c r="AP217" s="14">
        <f t="shared" si="484"/>
        <v>5664</v>
      </c>
      <c r="AQ217" s="14">
        <f t="shared" si="484"/>
        <v>5664</v>
      </c>
      <c r="AR217" s="14">
        <f t="shared" si="484"/>
        <v>5664</v>
      </c>
      <c r="AS217" s="14">
        <f t="shared" si="484"/>
        <v>5664</v>
      </c>
      <c r="AT217" s="14">
        <f>INDEX(属性投放!$DG$6:$DG$85,(卡牌属性!AG217-2)*20+卡牌属性!AN217)</f>
        <v>2770</v>
      </c>
      <c r="AU217" s="14">
        <f t="shared" si="485"/>
        <v>2770</v>
      </c>
      <c r="AV217" s="14">
        <f t="shared" si="485"/>
        <v>2770</v>
      </c>
      <c r="AW217" s="14">
        <f t="shared" si="485"/>
        <v>2770</v>
      </c>
      <c r="AX217" s="14">
        <f t="shared" si="485"/>
        <v>2770</v>
      </c>
      <c r="AY217" s="14">
        <f>INDEX(属性投放!$DH$6:$DH$85,(卡牌属性!AG217-2)*20+卡牌属性!AN217)</f>
        <v>45768</v>
      </c>
      <c r="AZ217" s="14">
        <f t="shared" si="486"/>
        <v>45768</v>
      </c>
      <c r="BA217" s="14">
        <f t="shared" si="486"/>
        <v>45768</v>
      </c>
      <c r="BB217" s="14">
        <f t="shared" si="486"/>
        <v>45768</v>
      </c>
      <c r="BC217" s="14">
        <f t="shared" si="486"/>
        <v>45768</v>
      </c>
      <c r="BD217" s="14">
        <f>INDEX(属性投放!$DL$6:$DL$85,(卡牌属性!AG217-2)*20+卡牌属性!AN217)</f>
        <v>176</v>
      </c>
      <c r="BE217" s="14">
        <f t="shared" si="487"/>
        <v>176</v>
      </c>
      <c r="BF217" s="14">
        <f t="shared" si="487"/>
        <v>176</v>
      </c>
      <c r="BG217" s="14">
        <f t="shared" si="487"/>
        <v>176</v>
      </c>
      <c r="BH217" s="14">
        <f t="shared" si="487"/>
        <v>176</v>
      </c>
      <c r="BI217" s="14">
        <f>INDEX(属性投放!$DM$6:$DM$85,(卡牌属性!AG217-2)*20+卡牌属性!AN217)</f>
        <v>88</v>
      </c>
      <c r="BJ217" s="14">
        <f t="shared" si="488"/>
        <v>88</v>
      </c>
      <c r="BK217" s="14">
        <f t="shared" si="488"/>
        <v>88</v>
      </c>
      <c r="BL217" s="14">
        <f t="shared" si="488"/>
        <v>88</v>
      </c>
      <c r="BM217" s="14">
        <f t="shared" si="488"/>
        <v>88</v>
      </c>
      <c r="BN217" s="14">
        <f>INDEX(属性投放!$DN$6:$DN$85,(卡牌属性!AG217-2)*20+卡牌属性!AN217)</f>
        <v>1759</v>
      </c>
      <c r="BO217" s="14">
        <f t="shared" si="489"/>
        <v>1759</v>
      </c>
      <c r="BP217" s="14">
        <f t="shared" si="489"/>
        <v>1759</v>
      </c>
      <c r="BQ217" s="14">
        <f t="shared" si="489"/>
        <v>1759</v>
      </c>
      <c r="BR217" s="14">
        <f t="shared" si="489"/>
        <v>1759</v>
      </c>
      <c r="BW217" s="13">
        <v>213</v>
      </c>
      <c r="BX217" s="13">
        <f t="shared" si="465"/>
        <v>11</v>
      </c>
      <c r="BY217" s="14">
        <f t="shared" si="466"/>
        <v>4</v>
      </c>
      <c r="BZ217" s="14">
        <f t="shared" si="475"/>
        <v>1102011</v>
      </c>
      <c r="CA217" s="14" t="str">
        <f t="shared" si="476"/>
        <v>张飞13突</v>
      </c>
      <c r="CB217" s="25" t="s">
        <v>142</v>
      </c>
      <c r="CC217" s="14">
        <v>2</v>
      </c>
      <c r="CD217" s="14">
        <f t="shared" si="467"/>
        <v>13</v>
      </c>
      <c r="CE217" s="14" t="s">
        <v>21</v>
      </c>
      <c r="CF217" s="14">
        <f>INDEX(属性投放!$AZ$6:$AZ$85,(BY217-2)*20+CD217)</f>
        <v>6778</v>
      </c>
      <c r="CG217" s="14" t="s">
        <v>22</v>
      </c>
      <c r="CH217" s="14">
        <f>INDEX(属性投放!$BA$6:$BA$85,(BY217-2)*20+CD217)</f>
        <v>3341</v>
      </c>
      <c r="CI217" s="14" t="s">
        <v>510</v>
      </c>
      <c r="CJ217" s="14">
        <f>INDEX(属性投放!$BB$6:$BB$85,(BY217-2)*20+CD217)</f>
        <v>54103</v>
      </c>
      <c r="CK217" s="14" t="s">
        <v>21</v>
      </c>
      <c r="CL217" s="14">
        <f>INDEX(属性投放!$BC$6:$BC$85,(BY217-2)*20+CD217)</f>
        <v>40</v>
      </c>
      <c r="CM217" s="14" t="s">
        <v>22</v>
      </c>
      <c r="CN217" s="14">
        <f>INDEX(属性投放!$BD$6:$BD$85,(BY217-2)*20+CD217)</f>
        <v>20</v>
      </c>
      <c r="CO217" s="14" t="s">
        <v>510</v>
      </c>
      <c r="CP217" s="14">
        <f>INDEX(属性投放!$BE$6:$BE$85,(BY217-2)*20+CD217)</f>
        <v>400</v>
      </c>
      <c r="CS217" s="13">
        <v>213</v>
      </c>
      <c r="CT217" s="13">
        <f t="shared" si="477"/>
        <v>5</v>
      </c>
      <c r="CU217" s="13">
        <f t="shared" si="478"/>
        <v>5</v>
      </c>
      <c r="CV217" s="14">
        <f t="shared" si="479"/>
        <v>3</v>
      </c>
      <c r="CW217" s="14">
        <f t="shared" si="480"/>
        <v>1102005</v>
      </c>
      <c r="CX217" s="14" t="str">
        <f>INDEX($O$6:$O$50,CT217)&amp;"-"&amp;INDEX(属性投放!$AB$7:$AB$50,CZ217)&amp;"-魂火-"&amp;DB217</f>
        <v>李轩辕-黑绳+1-魂火-2</v>
      </c>
      <c r="CY217" s="25" t="s">
        <v>142</v>
      </c>
      <c r="CZ217" s="14">
        <f>INDEX(属性投放!$AM$7:$AM$58,CU217)</f>
        <v>3</v>
      </c>
      <c r="DA217" s="14" t="s">
        <v>537</v>
      </c>
      <c r="DB217" s="14">
        <f>INDEX(属性投放!$AN$7:$AN$58,CU217)</f>
        <v>2</v>
      </c>
      <c r="DC217" s="14">
        <f t="shared" si="468"/>
        <v>5</v>
      </c>
      <c r="DD217" s="14">
        <f>INDEX(属性投放!$AO$7:$AO$58,DC217)</f>
        <v>23</v>
      </c>
      <c r="DE217" s="14" t="s">
        <v>538</v>
      </c>
      <c r="DF217" s="14">
        <f>INDEX(属性投放!$BK$6:$BK$85,(CV217-2)*20+CZ217)</f>
        <v>30</v>
      </c>
      <c r="DG217" s="14">
        <f>SUMIFS(DF$5:DF217,$CT$5:$CT217,"="&amp;$CT217)</f>
        <v>130</v>
      </c>
      <c r="DH217" s="14" t="s">
        <v>539</v>
      </c>
      <c r="DI217" s="14">
        <f>INDEX(属性投放!$BL$6:$BL$85,(CV217-2)*20+CZ217)</f>
        <v>15</v>
      </c>
      <c r="DJ217" s="14">
        <f>SUMIFS(DI$5:DI217,$CT$5:$CT217,"="&amp;$CT217)</f>
        <v>66</v>
      </c>
      <c r="DK217" s="14" t="s">
        <v>540</v>
      </c>
      <c r="DL217" s="14">
        <f>INDEX(属性投放!$BM$6:$BM$85,(CV217-2)*20+CZ217)</f>
        <v>180</v>
      </c>
      <c r="DM217" s="14">
        <f>SUMIFS(DL$5:DL217,$CT$5:$CT217,"="&amp;$CT217)</f>
        <v>780</v>
      </c>
      <c r="DR217" s="14">
        <f t="shared" si="469"/>
        <v>1102011</v>
      </c>
      <c r="DS217" s="14" t="str">
        <f t="shared" si="470"/>
        <v>张飞13突</v>
      </c>
      <c r="DT217" s="14">
        <f t="shared" si="481"/>
        <v>5</v>
      </c>
      <c r="DU217" s="14">
        <f t="shared" si="482"/>
        <v>6</v>
      </c>
      <c r="DV217" s="14">
        <f t="shared" si="483"/>
        <v>8</v>
      </c>
      <c r="DW217" s="14">
        <f t="shared" si="471"/>
        <v>4</v>
      </c>
      <c r="DX217" s="14">
        <f t="shared" si="472"/>
        <v>13</v>
      </c>
      <c r="DY217" s="14">
        <f t="shared" si="473"/>
        <v>53</v>
      </c>
      <c r="DZ217" s="14">
        <f>INDEX(属性投放!$AX$6:$AX$85,(卡牌属性!DW217-2)*20+卡牌属性!DX217)</f>
        <v>8</v>
      </c>
      <c r="EA217" s="14">
        <f>INDEX(属性投放!BQ$6:BQ$85,卡牌属性!$DY217)</f>
        <v>450</v>
      </c>
      <c r="EB217" s="14">
        <f>INDEX(属性投放!BR$6:BR$85,卡牌属性!$DY217)</f>
        <v>225</v>
      </c>
      <c r="EC217" s="14">
        <f>INDEX(属性投放!BS$6:BS$85,卡牌属性!$DY217)</f>
        <v>4500</v>
      </c>
      <c r="ED217" s="14">
        <f t="shared" si="490"/>
        <v>3281</v>
      </c>
      <c r="EE217" s="14">
        <f t="shared" si="491"/>
        <v>3416</v>
      </c>
      <c r="EF217" s="14">
        <f t="shared" si="492"/>
        <v>4023</v>
      </c>
      <c r="EG217" s="14">
        <f t="shared" si="493"/>
        <v>4023</v>
      </c>
      <c r="EH217" s="14">
        <f t="shared" si="494"/>
        <v>4325</v>
      </c>
      <c r="EI217" s="14">
        <f t="shared" si="495"/>
        <v>1684</v>
      </c>
      <c r="EJ217" s="14">
        <f t="shared" si="496"/>
        <v>1982</v>
      </c>
      <c r="EK217" s="14">
        <f t="shared" si="497"/>
        <v>1982</v>
      </c>
      <c r="EL217" s="14">
        <f t="shared" si="498"/>
        <v>2137</v>
      </c>
      <c r="EM217" s="14">
        <f t="shared" si="499"/>
        <v>2292</v>
      </c>
      <c r="EN217" s="14">
        <f t="shared" si="500"/>
        <v>33312</v>
      </c>
      <c r="EO217" s="14">
        <f t="shared" si="501"/>
        <v>35660</v>
      </c>
      <c r="EP217" s="14">
        <f t="shared" si="502"/>
        <v>35660</v>
      </c>
      <c r="EQ217" s="14">
        <f t="shared" si="503"/>
        <v>40870</v>
      </c>
      <c r="ER217" s="14">
        <f t="shared" si="504"/>
        <v>50020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INDEX(属性投放!$BQ$6:$BQ$85,(卡牌属性!$DW217-2)*20+卡牌属性!$DX217)</f>
        <v>450</v>
      </c>
      <c r="FI217" s="14">
        <f>INDEX(属性投放!$BQ$6:$BQ$85,(卡牌属性!$DW217-2)*20+卡牌属性!$DX217)</f>
        <v>450</v>
      </c>
      <c r="FJ217" s="14">
        <f>INDEX(属性投放!$BQ$6:$BQ$85,(卡牌属性!$DW217-2)*20+卡牌属性!$DX217)</f>
        <v>450</v>
      </c>
      <c r="FK217" s="14">
        <f>INDEX(属性投放!$BQ$6:$BQ$85,(卡牌属性!$DW217-2)*20+卡牌属性!$DX217)</f>
        <v>450</v>
      </c>
      <c r="FL217" s="14">
        <f>INDEX(属性投放!$BQ$6:$BQ$85,(卡牌属性!$DW217-2)*20+卡牌属性!$DX217)</f>
        <v>450</v>
      </c>
      <c r="FM217" s="14">
        <f>INDEX(属性投放!$BR$6:$BR$85,(卡牌属性!$DW217-2)*20+卡牌属性!$DX217)</f>
        <v>225</v>
      </c>
      <c r="FN217" s="14">
        <f>INDEX(属性投放!$BR$6:$BR$85,(卡牌属性!$DW217-2)*20+卡牌属性!$DX217)</f>
        <v>225</v>
      </c>
      <c r="FO217" s="14">
        <f>INDEX(属性投放!$BR$6:$BR$85,(卡牌属性!$DW217-2)*20+卡牌属性!$DX217)</f>
        <v>225</v>
      </c>
      <c r="FP217" s="14">
        <f>INDEX(属性投放!$BR$6:$BR$85,(卡牌属性!$DW217-2)*20+卡牌属性!$DX217)</f>
        <v>225</v>
      </c>
      <c r="FQ217" s="14">
        <f>INDEX(属性投放!$BR$6:$BR$85,(卡牌属性!$DW217-2)*20+卡牌属性!$DX217)</f>
        <v>225</v>
      </c>
      <c r="FR217" s="14">
        <f>INDEX(属性投放!$BS$6:$BS$85,(卡牌属性!$DW217-2)*20+卡牌属性!$DX217)</f>
        <v>4500</v>
      </c>
      <c r="FS217" s="14">
        <f>INDEX(属性投放!$BS$6:$BS$85,(卡牌属性!$DW217-2)*20+卡牌属性!$DX217)</f>
        <v>4500</v>
      </c>
      <c r="FT217" s="14">
        <f>INDEX(属性投放!$BS$6:$BS$85,(卡牌属性!$DW217-2)*20+卡牌属性!$DX217)</f>
        <v>4500</v>
      </c>
      <c r="FU217" s="14">
        <f>INDEX(属性投放!$BS$6:$BS$85,(卡牌属性!$DW217-2)*20+卡牌属性!$DX217)</f>
        <v>4500</v>
      </c>
      <c r="FV217" s="14">
        <f>INDEX(属性投放!$BS$6:$BS$85,(卡牌属性!$DW217-2)*20+卡牌属性!$DX217)</f>
        <v>4500</v>
      </c>
    </row>
    <row r="218" spans="31:178" ht="16.5" x14ac:dyDescent="0.2">
      <c r="AE218" s="13">
        <v>214</v>
      </c>
      <c r="AF218" s="13">
        <f t="shared" si="474"/>
        <v>11</v>
      </c>
      <c r="AG218" s="13">
        <f t="shared" si="461"/>
        <v>3</v>
      </c>
      <c r="AH218" s="13"/>
      <c r="AI218" s="13"/>
      <c r="AJ218" s="14">
        <f t="shared" si="462"/>
        <v>1101011</v>
      </c>
      <c r="AK218" s="14" t="str">
        <f t="shared" si="463"/>
        <v>阎风吒14突</v>
      </c>
      <c r="AL218" s="25" t="s">
        <v>142</v>
      </c>
      <c r="AM218" s="14">
        <v>1</v>
      </c>
      <c r="AN218" s="14">
        <f t="shared" si="464"/>
        <v>14</v>
      </c>
      <c r="AO218" s="14">
        <f>INDEX(属性投放!$DF$6:$DF$85,(卡牌属性!AG218-2)*20+卡牌属性!AN218)</f>
        <v>6167</v>
      </c>
      <c r="AP218" s="14">
        <f t="shared" si="484"/>
        <v>6167</v>
      </c>
      <c r="AQ218" s="14">
        <f t="shared" si="484"/>
        <v>6167</v>
      </c>
      <c r="AR218" s="14">
        <f t="shared" si="484"/>
        <v>6167</v>
      </c>
      <c r="AS218" s="14">
        <f t="shared" si="484"/>
        <v>6167</v>
      </c>
      <c r="AT218" s="14">
        <f>INDEX(属性投放!$DG$6:$DG$85,(卡牌属性!AG218-2)*20+卡牌属性!AN218)</f>
        <v>3022</v>
      </c>
      <c r="AU218" s="14">
        <f t="shared" si="485"/>
        <v>3022</v>
      </c>
      <c r="AV218" s="14">
        <f t="shared" si="485"/>
        <v>3022</v>
      </c>
      <c r="AW218" s="14">
        <f t="shared" si="485"/>
        <v>3022</v>
      </c>
      <c r="AX218" s="14">
        <f t="shared" si="485"/>
        <v>3022</v>
      </c>
      <c r="AY218" s="14">
        <f>INDEX(属性投放!$DH$6:$DH$85,(卡牌属性!AG218-2)*20+卡牌属性!AN218)</f>
        <v>50793</v>
      </c>
      <c r="AZ218" s="14">
        <f t="shared" si="486"/>
        <v>50793</v>
      </c>
      <c r="BA218" s="14">
        <f t="shared" si="486"/>
        <v>50793</v>
      </c>
      <c r="BB218" s="14">
        <f t="shared" si="486"/>
        <v>50793</v>
      </c>
      <c r="BC218" s="14">
        <f t="shared" si="486"/>
        <v>50793</v>
      </c>
      <c r="BD218" s="14">
        <f>INDEX(属性投放!$DL$6:$DL$85,(卡牌属性!AG218-2)*20+卡牌属性!AN218)</f>
        <v>176</v>
      </c>
      <c r="BE218" s="14">
        <f t="shared" si="487"/>
        <v>176</v>
      </c>
      <c r="BF218" s="14">
        <f t="shared" si="487"/>
        <v>176</v>
      </c>
      <c r="BG218" s="14">
        <f t="shared" si="487"/>
        <v>176</v>
      </c>
      <c r="BH218" s="14">
        <f t="shared" si="487"/>
        <v>176</v>
      </c>
      <c r="BI218" s="14">
        <f>INDEX(属性投放!$DM$6:$DM$85,(卡牌属性!AG218-2)*20+卡牌属性!AN218)</f>
        <v>88</v>
      </c>
      <c r="BJ218" s="14">
        <f t="shared" si="488"/>
        <v>88</v>
      </c>
      <c r="BK218" s="14">
        <f t="shared" si="488"/>
        <v>88</v>
      </c>
      <c r="BL218" s="14">
        <f t="shared" si="488"/>
        <v>88</v>
      </c>
      <c r="BM218" s="14">
        <f t="shared" si="488"/>
        <v>88</v>
      </c>
      <c r="BN218" s="14">
        <f>INDEX(属性投放!$DN$6:$DN$85,(卡牌属性!AG218-2)*20+卡牌属性!AN218)</f>
        <v>1759</v>
      </c>
      <c r="BO218" s="14">
        <f t="shared" si="489"/>
        <v>1759</v>
      </c>
      <c r="BP218" s="14">
        <f t="shared" si="489"/>
        <v>1759</v>
      </c>
      <c r="BQ218" s="14">
        <f t="shared" si="489"/>
        <v>1759</v>
      </c>
      <c r="BR218" s="14">
        <f t="shared" si="489"/>
        <v>1759</v>
      </c>
      <c r="BW218" s="13">
        <v>214</v>
      </c>
      <c r="BX218" s="13">
        <f t="shared" si="465"/>
        <v>11</v>
      </c>
      <c r="BY218" s="14">
        <f t="shared" si="466"/>
        <v>4</v>
      </c>
      <c r="BZ218" s="14">
        <f t="shared" si="475"/>
        <v>1102011</v>
      </c>
      <c r="CA218" s="14" t="str">
        <f t="shared" si="476"/>
        <v>张飞14突</v>
      </c>
      <c r="CB218" s="25" t="s">
        <v>142</v>
      </c>
      <c r="CC218" s="14">
        <v>2</v>
      </c>
      <c r="CD218" s="14">
        <f t="shared" si="467"/>
        <v>14</v>
      </c>
      <c r="CE218" s="14" t="s">
        <v>21</v>
      </c>
      <c r="CF218" s="14">
        <f>INDEX(属性投放!$AZ$6:$AZ$85,(BY218-2)*20+CD218)</f>
        <v>8373</v>
      </c>
      <c r="CG218" s="14" t="s">
        <v>22</v>
      </c>
      <c r="CH218" s="14">
        <f>INDEX(属性投放!$BA$6:$BA$85,(BY218-2)*20+CD218)</f>
        <v>4140</v>
      </c>
      <c r="CI218" s="14" t="s">
        <v>510</v>
      </c>
      <c r="CJ218" s="14">
        <f>INDEX(属性投放!$BB$6:$BB$85,(BY218-2)*20+CD218)</f>
        <v>70053</v>
      </c>
      <c r="CK218" s="14" t="s">
        <v>21</v>
      </c>
      <c r="CL218" s="14">
        <f>INDEX(属性投放!$BC$6:$BC$85,(BY218-2)*20+CD218)</f>
        <v>40</v>
      </c>
      <c r="CM218" s="14" t="s">
        <v>22</v>
      </c>
      <c r="CN218" s="14">
        <f>INDEX(属性投放!$BD$6:$BD$85,(BY218-2)*20+CD218)</f>
        <v>20</v>
      </c>
      <c r="CO218" s="14" t="s">
        <v>510</v>
      </c>
      <c r="CP218" s="14">
        <f>INDEX(属性投放!$BE$6:$BE$85,(BY218-2)*20+CD218)</f>
        <v>400</v>
      </c>
      <c r="CS218" s="13">
        <v>214</v>
      </c>
      <c r="CT218" s="13">
        <f t="shared" si="477"/>
        <v>5</v>
      </c>
      <c r="CU218" s="13">
        <f t="shared" si="478"/>
        <v>6</v>
      </c>
      <c r="CV218" s="14">
        <f t="shared" si="479"/>
        <v>3</v>
      </c>
      <c r="CW218" s="14">
        <f t="shared" si="480"/>
        <v>1102005</v>
      </c>
      <c r="CX218" s="14" t="str">
        <f>INDEX($O$6:$O$50,CT218)&amp;"-"&amp;INDEX(属性投放!$AB$7:$AB$50,CZ218)&amp;"-魂火-"&amp;DB218</f>
        <v>李轩辕-众合-魂火-1</v>
      </c>
      <c r="CY218" s="25" t="s">
        <v>142</v>
      </c>
      <c r="CZ218" s="14">
        <f>INDEX(属性投放!$AM$7:$AM$58,CU218)</f>
        <v>4</v>
      </c>
      <c r="DA218" s="14" t="s">
        <v>537</v>
      </c>
      <c r="DB218" s="14">
        <f>INDEX(属性投放!$AN$7:$AN$58,CU218)</f>
        <v>1</v>
      </c>
      <c r="DC218" s="14">
        <f t="shared" si="468"/>
        <v>6</v>
      </c>
      <c r="DD218" s="14">
        <f>INDEX(属性投放!$AO$7:$AO$58,DC218)</f>
        <v>28</v>
      </c>
      <c r="DE218" s="14" t="s">
        <v>538</v>
      </c>
      <c r="DF218" s="14">
        <f>INDEX(属性投放!$BK$6:$BK$85,(CV218-2)*20+CZ218)</f>
        <v>40</v>
      </c>
      <c r="DG218" s="14">
        <f>SUMIFS(DF$5:DF218,$CT$5:$CT218,"="&amp;$CT218)</f>
        <v>170</v>
      </c>
      <c r="DH218" s="14" t="s">
        <v>539</v>
      </c>
      <c r="DI218" s="14">
        <f>INDEX(属性投放!$BL$6:$BL$85,(CV218-2)*20+CZ218)</f>
        <v>20</v>
      </c>
      <c r="DJ218" s="14">
        <f>SUMIFS(DI$5:DI218,$CT$5:$CT218,"="&amp;$CT218)</f>
        <v>86</v>
      </c>
      <c r="DK218" s="14" t="s">
        <v>540</v>
      </c>
      <c r="DL218" s="14">
        <f>INDEX(属性投放!$BM$6:$BM$85,(CV218-2)*20+CZ218)</f>
        <v>280</v>
      </c>
      <c r="DM218" s="14">
        <f>SUMIFS(DL$5:DL218,$CT$5:$CT218,"="&amp;$CT218)</f>
        <v>1060</v>
      </c>
      <c r="DR218" s="14">
        <f t="shared" si="469"/>
        <v>1102011</v>
      </c>
      <c r="DS218" s="14" t="str">
        <f t="shared" si="470"/>
        <v>张飞14突</v>
      </c>
      <c r="DT218" s="14">
        <f t="shared" si="481"/>
        <v>5</v>
      </c>
      <c r="DU218" s="14">
        <f t="shared" si="482"/>
        <v>6</v>
      </c>
      <c r="DV218" s="14">
        <f t="shared" si="483"/>
        <v>8</v>
      </c>
      <c r="DW218" s="14">
        <f t="shared" si="471"/>
        <v>4</v>
      </c>
      <c r="DX218" s="14">
        <f t="shared" si="472"/>
        <v>14</v>
      </c>
      <c r="DY218" s="14">
        <f t="shared" si="473"/>
        <v>54</v>
      </c>
      <c r="DZ218" s="14">
        <f>INDEX(属性投放!$AX$6:$AX$85,(卡牌属性!DW218-2)*20+卡牌属性!DX218)</f>
        <v>7</v>
      </c>
      <c r="EA218" s="14">
        <f>INDEX(属性投放!BQ$6:BQ$85,卡牌属性!$DY218)</f>
        <v>500</v>
      </c>
      <c r="EB218" s="14">
        <f>INDEX(属性投放!BR$6:BR$85,卡牌属性!$DY218)</f>
        <v>250</v>
      </c>
      <c r="EC218" s="14">
        <f>INDEX(属性投放!BS$6:BS$85,卡牌属性!$DY218)</f>
        <v>5000</v>
      </c>
      <c r="ED218" s="14">
        <f t="shared" si="490"/>
        <v>3931</v>
      </c>
      <c r="EE218" s="14">
        <f t="shared" si="491"/>
        <v>4074</v>
      </c>
      <c r="EF218" s="14">
        <f t="shared" si="492"/>
        <v>4793</v>
      </c>
      <c r="EG218" s="14">
        <f t="shared" si="493"/>
        <v>4793</v>
      </c>
      <c r="EH218" s="14">
        <f t="shared" si="494"/>
        <v>5135</v>
      </c>
      <c r="EI218" s="14">
        <f t="shared" si="495"/>
        <v>2013</v>
      </c>
      <c r="EJ218" s="14">
        <f t="shared" si="496"/>
        <v>2367</v>
      </c>
      <c r="EK218" s="14">
        <f t="shared" si="497"/>
        <v>2367</v>
      </c>
      <c r="EL218" s="14">
        <f t="shared" si="498"/>
        <v>2546</v>
      </c>
      <c r="EM218" s="14">
        <f t="shared" si="499"/>
        <v>2717</v>
      </c>
      <c r="EN218" s="14">
        <f t="shared" si="500"/>
        <v>41412</v>
      </c>
      <c r="EO218" s="14">
        <f t="shared" si="501"/>
        <v>44160</v>
      </c>
      <c r="EP218" s="14">
        <f t="shared" si="502"/>
        <v>44160</v>
      </c>
      <c r="EQ218" s="14">
        <f t="shared" si="503"/>
        <v>51370</v>
      </c>
      <c r="ER218" s="14">
        <f t="shared" si="504"/>
        <v>62520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INDEX(属性投放!$BQ$6:$BQ$85,(卡牌属性!$DW218-2)*20+卡牌属性!$DX218)</f>
        <v>500</v>
      </c>
      <c r="FI218" s="14">
        <f>INDEX(属性投放!$BQ$6:$BQ$85,(卡牌属性!$DW218-2)*20+卡牌属性!$DX218)</f>
        <v>500</v>
      </c>
      <c r="FJ218" s="14">
        <f>INDEX(属性投放!$BQ$6:$BQ$85,(卡牌属性!$DW218-2)*20+卡牌属性!$DX218)</f>
        <v>500</v>
      </c>
      <c r="FK218" s="14">
        <f>INDEX(属性投放!$BQ$6:$BQ$85,(卡牌属性!$DW218-2)*20+卡牌属性!$DX218)</f>
        <v>500</v>
      </c>
      <c r="FL218" s="14">
        <f>INDEX(属性投放!$BQ$6:$BQ$85,(卡牌属性!$DW218-2)*20+卡牌属性!$DX218)</f>
        <v>500</v>
      </c>
      <c r="FM218" s="14">
        <f>INDEX(属性投放!$BR$6:$BR$85,(卡牌属性!$DW218-2)*20+卡牌属性!$DX218)</f>
        <v>250</v>
      </c>
      <c r="FN218" s="14">
        <f>INDEX(属性投放!$BR$6:$BR$85,(卡牌属性!$DW218-2)*20+卡牌属性!$DX218)</f>
        <v>250</v>
      </c>
      <c r="FO218" s="14">
        <f>INDEX(属性投放!$BR$6:$BR$85,(卡牌属性!$DW218-2)*20+卡牌属性!$DX218)</f>
        <v>250</v>
      </c>
      <c r="FP218" s="14">
        <f>INDEX(属性投放!$BR$6:$BR$85,(卡牌属性!$DW218-2)*20+卡牌属性!$DX218)</f>
        <v>250</v>
      </c>
      <c r="FQ218" s="14">
        <f>INDEX(属性投放!$BR$6:$BR$85,(卡牌属性!$DW218-2)*20+卡牌属性!$DX218)</f>
        <v>250</v>
      </c>
      <c r="FR218" s="14">
        <f>INDEX(属性投放!$BS$6:$BS$85,(卡牌属性!$DW218-2)*20+卡牌属性!$DX218)</f>
        <v>5000</v>
      </c>
      <c r="FS218" s="14">
        <f>INDEX(属性投放!$BS$6:$BS$85,(卡牌属性!$DW218-2)*20+卡牌属性!$DX218)</f>
        <v>5000</v>
      </c>
      <c r="FT218" s="14">
        <f>INDEX(属性投放!$BS$6:$BS$85,(卡牌属性!$DW218-2)*20+卡牌属性!$DX218)</f>
        <v>5000</v>
      </c>
      <c r="FU218" s="14">
        <f>INDEX(属性投放!$BS$6:$BS$85,(卡牌属性!$DW218-2)*20+卡牌属性!$DX218)</f>
        <v>5000</v>
      </c>
      <c r="FV218" s="14">
        <f>INDEX(属性投放!$BS$6:$BS$85,(卡牌属性!$DW218-2)*20+卡牌属性!$DX218)</f>
        <v>5000</v>
      </c>
    </row>
    <row r="219" spans="31:178" ht="16.5" x14ac:dyDescent="0.2">
      <c r="AE219" s="13">
        <v>215</v>
      </c>
      <c r="AF219" s="13">
        <f t="shared" si="474"/>
        <v>11</v>
      </c>
      <c r="AG219" s="13">
        <f t="shared" si="461"/>
        <v>3</v>
      </c>
      <c r="AH219" s="13"/>
      <c r="AI219" s="13"/>
      <c r="AJ219" s="14">
        <f t="shared" si="462"/>
        <v>1101011</v>
      </c>
      <c r="AK219" s="14" t="str">
        <f t="shared" si="463"/>
        <v>阎风吒15突</v>
      </c>
      <c r="AL219" s="25" t="s">
        <v>142</v>
      </c>
      <c r="AM219" s="14">
        <v>1</v>
      </c>
      <c r="AN219" s="14">
        <f t="shared" si="464"/>
        <v>15</v>
      </c>
      <c r="AO219" s="14">
        <f>INDEX(属性投放!$DF$6:$DF$85,(卡牌属性!AG219-2)*20+卡牌属性!AN219)</f>
        <v>6670</v>
      </c>
      <c r="AP219" s="14">
        <f t="shared" si="484"/>
        <v>6670</v>
      </c>
      <c r="AQ219" s="14">
        <f t="shared" si="484"/>
        <v>6670</v>
      </c>
      <c r="AR219" s="14">
        <f t="shared" si="484"/>
        <v>6670</v>
      </c>
      <c r="AS219" s="14">
        <f t="shared" si="484"/>
        <v>6670</v>
      </c>
      <c r="AT219" s="14">
        <f>INDEX(属性投放!$DG$6:$DG$85,(卡牌属性!AG219-2)*20+卡牌属性!AN219)</f>
        <v>3274</v>
      </c>
      <c r="AU219" s="14">
        <f t="shared" si="485"/>
        <v>3274</v>
      </c>
      <c r="AV219" s="14">
        <f t="shared" si="485"/>
        <v>3274</v>
      </c>
      <c r="AW219" s="14">
        <f t="shared" si="485"/>
        <v>3274</v>
      </c>
      <c r="AX219" s="14">
        <f t="shared" si="485"/>
        <v>3274</v>
      </c>
      <c r="AY219" s="14">
        <f>INDEX(属性投放!$DH$6:$DH$85,(卡牌属性!AG219-2)*20+卡牌属性!AN219)</f>
        <v>55818</v>
      </c>
      <c r="AZ219" s="14">
        <f t="shared" si="486"/>
        <v>55818</v>
      </c>
      <c r="BA219" s="14">
        <f t="shared" si="486"/>
        <v>55818</v>
      </c>
      <c r="BB219" s="14">
        <f t="shared" si="486"/>
        <v>55818</v>
      </c>
      <c r="BC219" s="14">
        <f t="shared" si="486"/>
        <v>55818</v>
      </c>
      <c r="BD219" s="14">
        <f>INDEX(属性投放!$DL$6:$DL$85,(卡牌属性!AG219-2)*20+卡牌属性!AN219)</f>
        <v>176</v>
      </c>
      <c r="BE219" s="14">
        <f t="shared" si="487"/>
        <v>176</v>
      </c>
      <c r="BF219" s="14">
        <f t="shared" si="487"/>
        <v>176</v>
      </c>
      <c r="BG219" s="14">
        <f t="shared" si="487"/>
        <v>176</v>
      </c>
      <c r="BH219" s="14">
        <f t="shared" si="487"/>
        <v>176</v>
      </c>
      <c r="BI219" s="14">
        <f>INDEX(属性投放!$DM$6:$DM$85,(卡牌属性!AG219-2)*20+卡牌属性!AN219)</f>
        <v>88</v>
      </c>
      <c r="BJ219" s="14">
        <f t="shared" si="488"/>
        <v>88</v>
      </c>
      <c r="BK219" s="14">
        <f t="shared" si="488"/>
        <v>88</v>
      </c>
      <c r="BL219" s="14">
        <f t="shared" si="488"/>
        <v>88</v>
      </c>
      <c r="BM219" s="14">
        <f t="shared" si="488"/>
        <v>88</v>
      </c>
      <c r="BN219" s="14">
        <f>INDEX(属性投放!$DN$6:$DN$85,(卡牌属性!AG219-2)*20+卡牌属性!AN219)</f>
        <v>1759</v>
      </c>
      <c r="BO219" s="14">
        <f t="shared" si="489"/>
        <v>1759</v>
      </c>
      <c r="BP219" s="14">
        <f t="shared" si="489"/>
        <v>1759</v>
      </c>
      <c r="BQ219" s="14">
        <f t="shared" si="489"/>
        <v>1759</v>
      </c>
      <c r="BR219" s="14">
        <f t="shared" si="489"/>
        <v>1759</v>
      </c>
      <c r="BW219" s="13">
        <v>215</v>
      </c>
      <c r="BX219" s="13">
        <f t="shared" si="465"/>
        <v>11</v>
      </c>
      <c r="BY219" s="14">
        <f t="shared" si="466"/>
        <v>4</v>
      </c>
      <c r="BZ219" s="14">
        <f t="shared" si="475"/>
        <v>1102011</v>
      </c>
      <c r="CA219" s="14" t="str">
        <f t="shared" si="476"/>
        <v>张飞15突</v>
      </c>
      <c r="CB219" s="25" t="s">
        <v>142</v>
      </c>
      <c r="CC219" s="14">
        <v>2</v>
      </c>
      <c r="CD219" s="14">
        <f t="shared" si="467"/>
        <v>15</v>
      </c>
      <c r="CE219" s="14" t="s">
        <v>21</v>
      </c>
      <c r="CF219" s="14">
        <f>INDEX(属性投放!$AZ$6:$AZ$85,(BY219-2)*20+CD219)</f>
        <v>10113</v>
      </c>
      <c r="CG219" s="14" t="s">
        <v>22</v>
      </c>
      <c r="CH219" s="14">
        <f>INDEX(属性投放!$BA$6:$BA$85,(BY219-2)*20+CD219)</f>
        <v>5010</v>
      </c>
      <c r="CI219" s="14" t="s">
        <v>510</v>
      </c>
      <c r="CJ219" s="14">
        <f>INDEX(属性投放!$BB$6:$BB$85,(BY219-2)*20+CD219)</f>
        <v>87453</v>
      </c>
      <c r="CK219" s="14" t="s">
        <v>21</v>
      </c>
      <c r="CL219" s="14">
        <f>INDEX(属性投放!$BC$6:$BC$85,(BY219-2)*20+CD219)</f>
        <v>40</v>
      </c>
      <c r="CM219" s="14" t="s">
        <v>22</v>
      </c>
      <c r="CN219" s="14">
        <f>INDEX(属性投放!$BD$6:$BD$85,(BY219-2)*20+CD219)</f>
        <v>20</v>
      </c>
      <c r="CO219" s="14" t="s">
        <v>510</v>
      </c>
      <c r="CP219" s="14">
        <f>INDEX(属性投放!$BE$6:$BE$85,(BY219-2)*20+CD219)</f>
        <v>400</v>
      </c>
      <c r="CS219" s="13">
        <v>215</v>
      </c>
      <c r="CT219" s="13">
        <f t="shared" si="477"/>
        <v>5</v>
      </c>
      <c r="CU219" s="13">
        <f t="shared" si="478"/>
        <v>7</v>
      </c>
      <c r="CV219" s="14">
        <f t="shared" si="479"/>
        <v>3</v>
      </c>
      <c r="CW219" s="14">
        <f t="shared" si="480"/>
        <v>1102005</v>
      </c>
      <c r="CX219" s="14" t="str">
        <f>INDEX($O$6:$O$50,CT219)&amp;"-"&amp;INDEX(属性投放!$AB$7:$AB$50,CZ219)&amp;"-魂火-"&amp;DB219</f>
        <v>李轩辕-众合-魂火-2</v>
      </c>
      <c r="CY219" s="25" t="s">
        <v>142</v>
      </c>
      <c r="CZ219" s="14">
        <f>INDEX(属性投放!$AM$7:$AM$58,CU219)</f>
        <v>4</v>
      </c>
      <c r="DA219" s="14" t="s">
        <v>537</v>
      </c>
      <c r="DB219" s="14">
        <f>INDEX(属性投放!$AN$7:$AN$58,CU219)</f>
        <v>2</v>
      </c>
      <c r="DC219" s="14">
        <f t="shared" si="468"/>
        <v>7</v>
      </c>
      <c r="DD219" s="14">
        <f>INDEX(属性投放!$AO$7:$AO$58,DC219)</f>
        <v>33</v>
      </c>
      <c r="DE219" s="14" t="s">
        <v>538</v>
      </c>
      <c r="DF219" s="14">
        <f>INDEX(属性投放!$BK$6:$BK$85,(CV219-2)*20+CZ219)</f>
        <v>40</v>
      </c>
      <c r="DG219" s="14">
        <f>SUMIFS(DF$5:DF219,$CT$5:$CT219,"="&amp;$CT219)</f>
        <v>210</v>
      </c>
      <c r="DH219" s="14" t="s">
        <v>539</v>
      </c>
      <c r="DI219" s="14">
        <f>INDEX(属性投放!$BL$6:$BL$85,(CV219-2)*20+CZ219)</f>
        <v>20</v>
      </c>
      <c r="DJ219" s="14">
        <f>SUMIFS(DI$5:DI219,$CT$5:$CT219,"="&amp;$CT219)</f>
        <v>106</v>
      </c>
      <c r="DK219" s="14" t="s">
        <v>540</v>
      </c>
      <c r="DL219" s="14">
        <f>INDEX(属性投放!$BM$6:$BM$85,(CV219-2)*20+CZ219)</f>
        <v>280</v>
      </c>
      <c r="DM219" s="14">
        <f>SUMIFS(DL$5:DL219,$CT$5:$CT219,"="&amp;$CT219)</f>
        <v>1340</v>
      </c>
      <c r="DR219" s="14">
        <f t="shared" si="469"/>
        <v>1102011</v>
      </c>
      <c r="DS219" s="14" t="str">
        <f t="shared" si="470"/>
        <v>张飞15突</v>
      </c>
      <c r="DT219" s="14">
        <f t="shared" si="481"/>
        <v>5</v>
      </c>
      <c r="DU219" s="14">
        <f t="shared" si="482"/>
        <v>6</v>
      </c>
      <c r="DV219" s="14">
        <f t="shared" si="483"/>
        <v>8</v>
      </c>
      <c r="DW219" s="14">
        <f t="shared" si="471"/>
        <v>4</v>
      </c>
      <c r="DX219" s="14">
        <f t="shared" si="472"/>
        <v>15</v>
      </c>
      <c r="DY219" s="14">
        <f t="shared" si="473"/>
        <v>55</v>
      </c>
      <c r="DZ219" s="14">
        <f>INDEX(属性投放!$AX$6:$AX$85,(卡牌属性!DW219-2)*20+卡牌属性!DX219)</f>
        <v>8</v>
      </c>
      <c r="EA219" s="14">
        <f>INDEX(属性投放!BQ$6:BQ$85,卡牌属性!$DY219)</f>
        <v>800</v>
      </c>
      <c r="EB219" s="14">
        <f>INDEX(属性投放!BR$6:BR$85,卡牌属性!$DY219)</f>
        <v>400</v>
      </c>
      <c r="EC219" s="14">
        <f>INDEX(属性投放!BS$6:BS$85,卡牌属性!$DY219)</f>
        <v>8000</v>
      </c>
      <c r="ED219" s="14">
        <f t="shared" si="490"/>
        <v>4606</v>
      </c>
      <c r="EE219" s="14">
        <f t="shared" si="491"/>
        <v>4756</v>
      </c>
      <c r="EF219" s="14">
        <f t="shared" si="492"/>
        <v>5573</v>
      </c>
      <c r="EG219" s="14">
        <f t="shared" si="493"/>
        <v>5573</v>
      </c>
      <c r="EH219" s="14">
        <f t="shared" si="494"/>
        <v>5950</v>
      </c>
      <c r="EI219" s="14">
        <f t="shared" si="495"/>
        <v>2354</v>
      </c>
      <c r="EJ219" s="14">
        <f t="shared" si="496"/>
        <v>2757</v>
      </c>
      <c r="EK219" s="14">
        <f t="shared" si="497"/>
        <v>2757</v>
      </c>
      <c r="EL219" s="14">
        <f t="shared" si="498"/>
        <v>2957</v>
      </c>
      <c r="EM219" s="14">
        <f t="shared" si="499"/>
        <v>3142</v>
      </c>
      <c r="EN219" s="14">
        <f t="shared" si="500"/>
        <v>49562</v>
      </c>
      <c r="EO219" s="14">
        <f t="shared" si="501"/>
        <v>52660</v>
      </c>
      <c r="EP219" s="14">
        <f t="shared" si="502"/>
        <v>52660</v>
      </c>
      <c r="EQ219" s="14">
        <f t="shared" si="503"/>
        <v>61620</v>
      </c>
      <c r="ER219" s="14">
        <f t="shared" si="504"/>
        <v>74520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INDEX(属性投放!$BQ$6:$BQ$85,(卡牌属性!$DW219-2)*20+卡牌属性!$DX219)</f>
        <v>800</v>
      </c>
      <c r="FI219" s="14">
        <f>INDEX(属性投放!$BQ$6:$BQ$85,(卡牌属性!$DW219-2)*20+卡牌属性!$DX219)</f>
        <v>800</v>
      </c>
      <c r="FJ219" s="14">
        <f>INDEX(属性投放!$BQ$6:$BQ$85,(卡牌属性!$DW219-2)*20+卡牌属性!$DX219)</f>
        <v>800</v>
      </c>
      <c r="FK219" s="14">
        <f>INDEX(属性投放!$BQ$6:$BQ$85,(卡牌属性!$DW219-2)*20+卡牌属性!$DX219)</f>
        <v>800</v>
      </c>
      <c r="FL219" s="14">
        <f>INDEX(属性投放!$BQ$6:$BQ$85,(卡牌属性!$DW219-2)*20+卡牌属性!$DX219)</f>
        <v>800</v>
      </c>
      <c r="FM219" s="14">
        <f>INDEX(属性投放!$BR$6:$BR$85,(卡牌属性!$DW219-2)*20+卡牌属性!$DX219)</f>
        <v>400</v>
      </c>
      <c r="FN219" s="14">
        <f>INDEX(属性投放!$BR$6:$BR$85,(卡牌属性!$DW219-2)*20+卡牌属性!$DX219)</f>
        <v>400</v>
      </c>
      <c r="FO219" s="14">
        <f>INDEX(属性投放!$BR$6:$BR$85,(卡牌属性!$DW219-2)*20+卡牌属性!$DX219)</f>
        <v>400</v>
      </c>
      <c r="FP219" s="14">
        <f>INDEX(属性投放!$BR$6:$BR$85,(卡牌属性!$DW219-2)*20+卡牌属性!$DX219)</f>
        <v>400</v>
      </c>
      <c r="FQ219" s="14">
        <f>INDEX(属性投放!$BR$6:$BR$85,(卡牌属性!$DW219-2)*20+卡牌属性!$DX219)</f>
        <v>400</v>
      </c>
      <c r="FR219" s="14">
        <f>INDEX(属性投放!$BS$6:$BS$85,(卡牌属性!$DW219-2)*20+卡牌属性!$DX219)</f>
        <v>8000</v>
      </c>
      <c r="FS219" s="14">
        <f>INDEX(属性投放!$BS$6:$BS$85,(卡牌属性!$DW219-2)*20+卡牌属性!$DX219)</f>
        <v>8000</v>
      </c>
      <c r="FT219" s="14">
        <f>INDEX(属性投放!$BS$6:$BS$85,(卡牌属性!$DW219-2)*20+卡牌属性!$DX219)</f>
        <v>8000</v>
      </c>
      <c r="FU219" s="14">
        <f>INDEX(属性投放!$BS$6:$BS$85,(卡牌属性!$DW219-2)*20+卡牌属性!$DX219)</f>
        <v>8000</v>
      </c>
      <c r="FV219" s="14">
        <f>INDEX(属性投放!$BS$6:$BS$85,(卡牌属性!$DW219-2)*20+卡牌属性!$DX219)</f>
        <v>8000</v>
      </c>
    </row>
    <row r="220" spans="31:178" ht="16.5" x14ac:dyDescent="0.2">
      <c r="AE220" s="13">
        <v>216</v>
      </c>
      <c r="AF220" s="13">
        <f t="shared" si="474"/>
        <v>11</v>
      </c>
      <c r="AG220" s="13">
        <f t="shared" si="461"/>
        <v>3</v>
      </c>
      <c r="AH220" s="13"/>
      <c r="AI220" s="13"/>
      <c r="AJ220" s="14">
        <f t="shared" si="462"/>
        <v>1101011</v>
      </c>
      <c r="AK220" s="14" t="str">
        <f t="shared" si="463"/>
        <v>阎风吒16突</v>
      </c>
      <c r="AL220" s="25" t="s">
        <v>142</v>
      </c>
      <c r="AM220" s="14">
        <v>1</v>
      </c>
      <c r="AN220" s="14">
        <f t="shared" si="464"/>
        <v>16</v>
      </c>
      <c r="AO220" s="14">
        <f>INDEX(属性投放!$DF$6:$DF$85,(卡牌属性!AG220-2)*20+卡牌属性!AN220)</f>
        <v>11573</v>
      </c>
      <c r="AP220" s="14">
        <f t="shared" si="484"/>
        <v>11573</v>
      </c>
      <c r="AQ220" s="14">
        <f t="shared" si="484"/>
        <v>11573</v>
      </c>
      <c r="AR220" s="14">
        <f t="shared" si="484"/>
        <v>11573</v>
      </c>
      <c r="AS220" s="14">
        <f t="shared" si="484"/>
        <v>11573</v>
      </c>
      <c r="AT220" s="14">
        <f>INDEX(属性投放!$DG$6:$DG$85,(卡牌属性!AG220-2)*20+卡牌属性!AN220)</f>
        <v>5726</v>
      </c>
      <c r="AU220" s="14">
        <f t="shared" si="485"/>
        <v>5726</v>
      </c>
      <c r="AV220" s="14">
        <f t="shared" si="485"/>
        <v>5726</v>
      </c>
      <c r="AW220" s="14">
        <f t="shared" si="485"/>
        <v>5726</v>
      </c>
      <c r="AX220" s="14">
        <f t="shared" si="485"/>
        <v>5726</v>
      </c>
      <c r="AY220" s="14">
        <f>INDEX(属性投放!$DH$6:$DH$85,(卡牌属性!AG220-2)*20+卡牌属性!AN220)</f>
        <v>104818</v>
      </c>
      <c r="AZ220" s="14">
        <f t="shared" si="486"/>
        <v>104818</v>
      </c>
      <c r="BA220" s="14">
        <f t="shared" si="486"/>
        <v>104818</v>
      </c>
      <c r="BB220" s="14">
        <f t="shared" si="486"/>
        <v>104818</v>
      </c>
      <c r="BC220" s="14">
        <f t="shared" si="486"/>
        <v>104818</v>
      </c>
      <c r="BD220" s="14">
        <f>INDEX(属性投放!$DL$6:$DL$85,(卡牌属性!AG220-2)*20+卡牌属性!AN220)</f>
        <v>259</v>
      </c>
      <c r="BE220" s="14">
        <f t="shared" si="487"/>
        <v>259</v>
      </c>
      <c r="BF220" s="14">
        <f t="shared" si="487"/>
        <v>259</v>
      </c>
      <c r="BG220" s="14">
        <f t="shared" si="487"/>
        <v>259</v>
      </c>
      <c r="BH220" s="14">
        <f t="shared" si="487"/>
        <v>259</v>
      </c>
      <c r="BI220" s="14">
        <f>INDEX(属性投放!$DM$6:$DM$85,(卡牌属性!AG220-2)*20+卡牌属性!AN220)</f>
        <v>130</v>
      </c>
      <c r="BJ220" s="14">
        <f t="shared" si="488"/>
        <v>130</v>
      </c>
      <c r="BK220" s="14">
        <f t="shared" si="488"/>
        <v>130</v>
      </c>
      <c r="BL220" s="14">
        <f t="shared" si="488"/>
        <v>130</v>
      </c>
      <c r="BM220" s="14">
        <f t="shared" si="488"/>
        <v>130</v>
      </c>
      <c r="BN220" s="14">
        <f>INDEX(属性投放!$DN$6:$DN$85,(卡牌属性!AG220-2)*20+卡牌属性!AN220)</f>
        <v>2593</v>
      </c>
      <c r="BO220" s="14">
        <f t="shared" si="489"/>
        <v>2593</v>
      </c>
      <c r="BP220" s="14">
        <f t="shared" si="489"/>
        <v>2593</v>
      </c>
      <c r="BQ220" s="14">
        <f t="shared" si="489"/>
        <v>2593</v>
      </c>
      <c r="BR220" s="14">
        <f t="shared" si="489"/>
        <v>2593</v>
      </c>
      <c r="BW220" s="13">
        <v>216</v>
      </c>
      <c r="BX220" s="13">
        <f t="shared" si="465"/>
        <v>11</v>
      </c>
      <c r="BY220" s="14">
        <f t="shared" si="466"/>
        <v>4</v>
      </c>
      <c r="BZ220" s="14">
        <f t="shared" si="475"/>
        <v>1102011</v>
      </c>
      <c r="CA220" s="14" t="str">
        <f t="shared" si="476"/>
        <v>张飞16突</v>
      </c>
      <c r="CB220" s="25" t="s">
        <v>142</v>
      </c>
      <c r="CC220" s="14">
        <v>2</v>
      </c>
      <c r="CD220" s="14">
        <f t="shared" si="467"/>
        <v>16</v>
      </c>
      <c r="CE220" s="14" t="s">
        <v>21</v>
      </c>
      <c r="CF220" s="14">
        <f>INDEX(属性投放!$AZ$6:$AZ$85,(BY220-2)*20+CD220)</f>
        <v>12568</v>
      </c>
      <c r="CG220" s="14" t="s">
        <v>22</v>
      </c>
      <c r="CH220" s="14">
        <f>INDEX(属性投放!$BA$6:$BA$85,(BY220-2)*20+CD220)</f>
        <v>6239</v>
      </c>
      <c r="CI220" s="14" t="s">
        <v>510</v>
      </c>
      <c r="CJ220" s="14">
        <f>INDEX(属性投放!$BB$6:$BB$85,(BY220-2)*20+CD220)</f>
        <v>112003</v>
      </c>
      <c r="CK220" s="14" t="s">
        <v>21</v>
      </c>
      <c r="CL220" s="14">
        <f>INDEX(属性投放!$BC$6:$BC$85,(BY220-2)*20+CD220)</f>
        <v>50</v>
      </c>
      <c r="CM220" s="14" t="s">
        <v>22</v>
      </c>
      <c r="CN220" s="14">
        <f>INDEX(属性投放!$BD$6:$BD$85,(BY220-2)*20+CD220)</f>
        <v>25</v>
      </c>
      <c r="CO220" s="14" t="s">
        <v>510</v>
      </c>
      <c r="CP220" s="14">
        <f>INDEX(属性投放!$BE$6:$BE$85,(BY220-2)*20+CD220)</f>
        <v>500</v>
      </c>
      <c r="CS220" s="13">
        <v>216</v>
      </c>
      <c r="CT220" s="13">
        <f t="shared" si="477"/>
        <v>5</v>
      </c>
      <c r="CU220" s="13">
        <f t="shared" si="478"/>
        <v>8</v>
      </c>
      <c r="CV220" s="14">
        <f t="shared" si="479"/>
        <v>3</v>
      </c>
      <c r="CW220" s="14">
        <f t="shared" si="480"/>
        <v>1102005</v>
      </c>
      <c r="CX220" s="14" t="str">
        <f>INDEX($O$6:$O$50,CT220)&amp;"-"&amp;INDEX(属性投放!$AB$7:$AB$50,CZ220)&amp;"-魂火-"&amp;DB220</f>
        <v>李轩辕-众合+1-魂火-1</v>
      </c>
      <c r="CY220" s="25" t="s">
        <v>142</v>
      </c>
      <c r="CZ220" s="14">
        <f>INDEX(属性投放!$AM$7:$AM$58,CU220)</f>
        <v>5</v>
      </c>
      <c r="DA220" s="14" t="s">
        <v>537</v>
      </c>
      <c r="DB220" s="14">
        <f>INDEX(属性投放!$AN$7:$AN$58,CU220)</f>
        <v>1</v>
      </c>
      <c r="DC220" s="14">
        <f t="shared" si="468"/>
        <v>8</v>
      </c>
      <c r="DD220" s="14">
        <f>INDEX(属性投放!$AO$7:$AO$58,DC220)</f>
        <v>38</v>
      </c>
      <c r="DE220" s="14" t="s">
        <v>538</v>
      </c>
      <c r="DF220" s="14">
        <f>INDEX(属性投放!$BK$6:$BK$85,(CV220-2)*20+CZ220)</f>
        <v>45</v>
      </c>
      <c r="DG220" s="14">
        <f>SUMIFS(DF$5:DF220,$CT$5:$CT220,"="&amp;$CT220)</f>
        <v>255</v>
      </c>
      <c r="DH220" s="14" t="s">
        <v>539</v>
      </c>
      <c r="DI220" s="14">
        <f>INDEX(属性投放!$BL$6:$BL$85,(CV220-2)*20+CZ220)</f>
        <v>23</v>
      </c>
      <c r="DJ220" s="14">
        <f>SUMIFS(DI$5:DI220,$CT$5:$CT220,"="&amp;$CT220)</f>
        <v>129</v>
      </c>
      <c r="DK220" s="14" t="s">
        <v>540</v>
      </c>
      <c r="DL220" s="14">
        <f>INDEX(属性投放!$BM$6:$BM$85,(CV220-2)*20+CZ220)</f>
        <v>315</v>
      </c>
      <c r="DM220" s="14">
        <f>SUMIFS(DL$5:DL220,$CT$5:$CT220,"="&amp;$CT220)</f>
        <v>1655</v>
      </c>
      <c r="DR220" s="14">
        <f t="shared" si="469"/>
        <v>1102011</v>
      </c>
      <c r="DS220" s="14" t="str">
        <f t="shared" si="470"/>
        <v>张飞16突</v>
      </c>
      <c r="DT220" s="14">
        <f t="shared" si="481"/>
        <v>5</v>
      </c>
      <c r="DU220" s="14">
        <f t="shared" si="482"/>
        <v>6</v>
      </c>
      <c r="DV220" s="14">
        <f t="shared" si="483"/>
        <v>8</v>
      </c>
      <c r="DW220" s="14">
        <f t="shared" si="471"/>
        <v>4</v>
      </c>
      <c r="DX220" s="14">
        <f t="shared" si="472"/>
        <v>16</v>
      </c>
      <c r="DY220" s="14">
        <f t="shared" si="473"/>
        <v>56</v>
      </c>
      <c r="DZ220" s="14">
        <f>INDEX(属性投放!$AX$6:$AX$85,(卡牌属性!DW220-2)*20+卡牌属性!DX220)</f>
        <v>7</v>
      </c>
      <c r="EA220" s="14">
        <f>INDEX(属性投放!BQ$6:BQ$85,卡牌属性!$DY220)</f>
        <v>850</v>
      </c>
      <c r="EB220" s="14">
        <f>INDEX(属性投放!BR$6:BR$85,卡牌属性!$DY220)</f>
        <v>425</v>
      </c>
      <c r="EC220" s="14">
        <f>INDEX(属性投放!BS$6:BS$85,卡牌属性!$DY220)</f>
        <v>8500</v>
      </c>
      <c r="ED220" s="14">
        <f t="shared" si="490"/>
        <v>5606</v>
      </c>
      <c r="EE220" s="14">
        <f t="shared" si="491"/>
        <v>5764</v>
      </c>
      <c r="EF220" s="14">
        <f t="shared" si="492"/>
        <v>6693</v>
      </c>
      <c r="EG220" s="14">
        <f t="shared" si="493"/>
        <v>6693</v>
      </c>
      <c r="EH220" s="14">
        <f t="shared" si="494"/>
        <v>7110</v>
      </c>
      <c r="EI220" s="14">
        <f t="shared" si="495"/>
        <v>2858</v>
      </c>
      <c r="EJ220" s="14">
        <f t="shared" si="496"/>
        <v>3317</v>
      </c>
      <c r="EK220" s="14">
        <f t="shared" si="497"/>
        <v>3317</v>
      </c>
      <c r="EL220" s="14">
        <f t="shared" si="498"/>
        <v>3541</v>
      </c>
      <c r="EM220" s="14">
        <f t="shared" si="499"/>
        <v>3742</v>
      </c>
      <c r="EN220" s="14">
        <f t="shared" si="500"/>
        <v>61162</v>
      </c>
      <c r="EO220" s="14">
        <f t="shared" si="501"/>
        <v>64660</v>
      </c>
      <c r="EP220" s="14">
        <f t="shared" si="502"/>
        <v>64660</v>
      </c>
      <c r="EQ220" s="14">
        <f t="shared" si="503"/>
        <v>75620</v>
      </c>
      <c r="ER220" s="14">
        <f t="shared" si="504"/>
        <v>90520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INDEX(属性投放!$BQ$6:$BQ$85,(卡牌属性!$DW220-2)*20+卡牌属性!$DX220)</f>
        <v>850</v>
      </c>
      <c r="FI220" s="14">
        <f>INDEX(属性投放!$BQ$6:$BQ$85,(卡牌属性!$DW220-2)*20+卡牌属性!$DX220)</f>
        <v>850</v>
      </c>
      <c r="FJ220" s="14">
        <f>INDEX(属性投放!$BQ$6:$BQ$85,(卡牌属性!$DW220-2)*20+卡牌属性!$DX220)</f>
        <v>850</v>
      </c>
      <c r="FK220" s="14">
        <f>INDEX(属性投放!$BQ$6:$BQ$85,(卡牌属性!$DW220-2)*20+卡牌属性!$DX220)</f>
        <v>850</v>
      </c>
      <c r="FL220" s="14">
        <f>INDEX(属性投放!$BQ$6:$BQ$85,(卡牌属性!$DW220-2)*20+卡牌属性!$DX220)</f>
        <v>850</v>
      </c>
      <c r="FM220" s="14">
        <f>INDEX(属性投放!$BR$6:$BR$85,(卡牌属性!$DW220-2)*20+卡牌属性!$DX220)</f>
        <v>425</v>
      </c>
      <c r="FN220" s="14">
        <f>INDEX(属性投放!$BR$6:$BR$85,(卡牌属性!$DW220-2)*20+卡牌属性!$DX220)</f>
        <v>425</v>
      </c>
      <c r="FO220" s="14">
        <f>INDEX(属性投放!$BR$6:$BR$85,(卡牌属性!$DW220-2)*20+卡牌属性!$DX220)</f>
        <v>425</v>
      </c>
      <c r="FP220" s="14">
        <f>INDEX(属性投放!$BR$6:$BR$85,(卡牌属性!$DW220-2)*20+卡牌属性!$DX220)</f>
        <v>425</v>
      </c>
      <c r="FQ220" s="14">
        <f>INDEX(属性投放!$BR$6:$BR$85,(卡牌属性!$DW220-2)*20+卡牌属性!$DX220)</f>
        <v>425</v>
      </c>
      <c r="FR220" s="14">
        <f>INDEX(属性投放!$BS$6:$BS$85,(卡牌属性!$DW220-2)*20+卡牌属性!$DX220)</f>
        <v>8500</v>
      </c>
      <c r="FS220" s="14">
        <f>INDEX(属性投放!$BS$6:$BS$85,(卡牌属性!$DW220-2)*20+卡牌属性!$DX220)</f>
        <v>8500</v>
      </c>
      <c r="FT220" s="14">
        <f>INDEX(属性投放!$BS$6:$BS$85,(卡牌属性!$DW220-2)*20+卡牌属性!$DX220)</f>
        <v>8500</v>
      </c>
      <c r="FU220" s="14">
        <f>INDEX(属性投放!$BS$6:$BS$85,(卡牌属性!$DW220-2)*20+卡牌属性!$DX220)</f>
        <v>8500</v>
      </c>
      <c r="FV220" s="14">
        <f>INDEX(属性投放!$BS$6:$BS$85,(卡牌属性!$DW220-2)*20+卡牌属性!$DX220)</f>
        <v>8500</v>
      </c>
    </row>
    <row r="221" spans="31:178" ht="16.5" x14ac:dyDescent="0.2">
      <c r="AE221" s="13">
        <v>217</v>
      </c>
      <c r="AF221" s="13">
        <f t="shared" si="474"/>
        <v>11</v>
      </c>
      <c r="AG221" s="13">
        <f t="shared" si="461"/>
        <v>3</v>
      </c>
      <c r="AH221" s="13"/>
      <c r="AI221" s="13"/>
      <c r="AJ221" s="14">
        <f t="shared" si="462"/>
        <v>1101011</v>
      </c>
      <c r="AK221" s="14" t="str">
        <f t="shared" si="463"/>
        <v>阎风吒17突</v>
      </c>
      <c r="AL221" s="25" t="s">
        <v>142</v>
      </c>
      <c r="AM221" s="14">
        <v>1</v>
      </c>
      <c r="AN221" s="14">
        <f t="shared" si="464"/>
        <v>17</v>
      </c>
      <c r="AO221" s="14">
        <f>INDEX(属性投放!$DF$6:$DF$85,(卡牌属性!AG221-2)*20+卡牌属性!AN221)</f>
        <v>12499</v>
      </c>
      <c r="AP221" s="14">
        <f t="shared" si="484"/>
        <v>12499</v>
      </c>
      <c r="AQ221" s="14">
        <f t="shared" si="484"/>
        <v>12499</v>
      </c>
      <c r="AR221" s="14">
        <f t="shared" si="484"/>
        <v>12499</v>
      </c>
      <c r="AS221" s="14">
        <f t="shared" si="484"/>
        <v>12499</v>
      </c>
      <c r="AT221" s="14">
        <f>INDEX(属性投放!$DG$6:$DG$85,(卡牌属性!AG221-2)*20+卡牌属性!AN221)</f>
        <v>6189</v>
      </c>
      <c r="AU221" s="14">
        <f t="shared" si="485"/>
        <v>6189</v>
      </c>
      <c r="AV221" s="14">
        <f t="shared" si="485"/>
        <v>6189</v>
      </c>
      <c r="AW221" s="14">
        <f t="shared" si="485"/>
        <v>6189</v>
      </c>
      <c r="AX221" s="14">
        <f t="shared" si="485"/>
        <v>6189</v>
      </c>
      <c r="AY221" s="14">
        <f>INDEX(属性投放!$DH$6:$DH$85,(卡牌属性!AG221-2)*20+卡牌属性!AN221)</f>
        <v>114078</v>
      </c>
      <c r="AZ221" s="14">
        <f t="shared" si="486"/>
        <v>114078</v>
      </c>
      <c r="BA221" s="14">
        <f t="shared" si="486"/>
        <v>114078</v>
      </c>
      <c r="BB221" s="14">
        <f t="shared" si="486"/>
        <v>114078</v>
      </c>
      <c r="BC221" s="14">
        <f t="shared" si="486"/>
        <v>114078</v>
      </c>
      <c r="BD221" s="14">
        <f>INDEX(属性投放!$DL$6:$DL$85,(卡牌属性!AG221-2)*20+卡牌属性!AN221)</f>
        <v>259</v>
      </c>
      <c r="BE221" s="14">
        <f t="shared" si="487"/>
        <v>259</v>
      </c>
      <c r="BF221" s="14">
        <f t="shared" si="487"/>
        <v>259</v>
      </c>
      <c r="BG221" s="14">
        <f t="shared" si="487"/>
        <v>259</v>
      </c>
      <c r="BH221" s="14">
        <f t="shared" si="487"/>
        <v>259</v>
      </c>
      <c r="BI221" s="14">
        <f>INDEX(属性投放!$DM$6:$DM$85,(卡牌属性!AG221-2)*20+卡牌属性!AN221)</f>
        <v>130</v>
      </c>
      <c r="BJ221" s="14">
        <f t="shared" si="488"/>
        <v>130</v>
      </c>
      <c r="BK221" s="14">
        <f t="shared" si="488"/>
        <v>130</v>
      </c>
      <c r="BL221" s="14">
        <f t="shared" si="488"/>
        <v>130</v>
      </c>
      <c r="BM221" s="14">
        <f t="shared" si="488"/>
        <v>130</v>
      </c>
      <c r="BN221" s="14">
        <f>INDEX(属性投放!$DN$6:$DN$85,(卡牌属性!AG221-2)*20+卡牌属性!AN221)</f>
        <v>2593</v>
      </c>
      <c r="BO221" s="14">
        <f t="shared" si="489"/>
        <v>2593</v>
      </c>
      <c r="BP221" s="14">
        <f t="shared" si="489"/>
        <v>2593</v>
      </c>
      <c r="BQ221" s="14">
        <f t="shared" si="489"/>
        <v>2593</v>
      </c>
      <c r="BR221" s="14">
        <f t="shared" si="489"/>
        <v>2593</v>
      </c>
      <c r="BW221" s="13">
        <v>217</v>
      </c>
      <c r="BX221" s="13">
        <f t="shared" si="465"/>
        <v>11</v>
      </c>
      <c r="BY221" s="14">
        <f t="shared" si="466"/>
        <v>4</v>
      </c>
      <c r="BZ221" s="14">
        <f t="shared" si="475"/>
        <v>1102011</v>
      </c>
      <c r="CA221" s="14" t="str">
        <f t="shared" si="476"/>
        <v>张飞17突</v>
      </c>
      <c r="CB221" s="25" t="s">
        <v>142</v>
      </c>
      <c r="CC221" s="14">
        <v>2</v>
      </c>
      <c r="CD221" s="14">
        <f t="shared" si="467"/>
        <v>17</v>
      </c>
      <c r="CE221" s="14" t="s">
        <v>21</v>
      </c>
      <c r="CF221" s="14">
        <f>INDEX(属性投放!$AZ$6:$AZ$85,(BY221-2)*20+CD221)</f>
        <v>15328</v>
      </c>
      <c r="CG221" s="14" t="s">
        <v>22</v>
      </c>
      <c r="CH221" s="14">
        <f>INDEX(属性投放!$BA$6:$BA$85,(BY221-2)*20+CD221)</f>
        <v>7619</v>
      </c>
      <c r="CI221" s="14" t="s">
        <v>510</v>
      </c>
      <c r="CJ221" s="14">
        <f>INDEX(属性投放!$BB$6:$BB$85,(BY221-2)*20+CD221)</f>
        <v>139603</v>
      </c>
      <c r="CK221" s="14" t="s">
        <v>21</v>
      </c>
      <c r="CL221" s="14">
        <f>INDEX(属性投放!$BC$6:$BC$85,(BY221-2)*20+CD221)</f>
        <v>50</v>
      </c>
      <c r="CM221" s="14" t="s">
        <v>22</v>
      </c>
      <c r="CN221" s="14">
        <f>INDEX(属性投放!$BD$6:$BD$85,(BY221-2)*20+CD221)</f>
        <v>25</v>
      </c>
      <c r="CO221" s="14" t="s">
        <v>510</v>
      </c>
      <c r="CP221" s="14">
        <f>INDEX(属性投放!$BE$6:$BE$85,(BY221-2)*20+CD221)</f>
        <v>500</v>
      </c>
      <c r="CS221" s="13">
        <v>217</v>
      </c>
      <c r="CT221" s="13">
        <f t="shared" si="477"/>
        <v>5</v>
      </c>
      <c r="CU221" s="13">
        <f t="shared" si="478"/>
        <v>9</v>
      </c>
      <c r="CV221" s="14">
        <f t="shared" si="479"/>
        <v>3</v>
      </c>
      <c r="CW221" s="14">
        <f t="shared" si="480"/>
        <v>1102005</v>
      </c>
      <c r="CX221" s="14" t="str">
        <f>INDEX($O$6:$O$50,CT221)&amp;"-"&amp;INDEX(属性投放!$AB$7:$AB$50,CZ221)&amp;"-魂火-"&amp;DB221</f>
        <v>李轩辕-众合+1-魂火-2</v>
      </c>
      <c r="CY221" s="25" t="s">
        <v>142</v>
      </c>
      <c r="CZ221" s="14">
        <f>INDEX(属性投放!$AM$7:$AM$58,CU221)</f>
        <v>5</v>
      </c>
      <c r="DA221" s="14" t="s">
        <v>537</v>
      </c>
      <c r="DB221" s="14">
        <f>INDEX(属性投放!$AN$7:$AN$58,CU221)</f>
        <v>2</v>
      </c>
      <c r="DC221" s="14">
        <f t="shared" si="468"/>
        <v>9</v>
      </c>
      <c r="DD221" s="14">
        <f>INDEX(属性投放!$AO$7:$AO$58,DC221)</f>
        <v>40</v>
      </c>
      <c r="DE221" s="14" t="s">
        <v>538</v>
      </c>
      <c r="DF221" s="14">
        <f>INDEX(属性投放!$BK$6:$BK$85,(CV221-2)*20+CZ221)</f>
        <v>45</v>
      </c>
      <c r="DG221" s="14">
        <f>SUMIFS(DF$5:DF221,$CT$5:$CT221,"="&amp;$CT221)</f>
        <v>300</v>
      </c>
      <c r="DH221" s="14" t="s">
        <v>539</v>
      </c>
      <c r="DI221" s="14">
        <f>INDEX(属性投放!$BL$6:$BL$85,(CV221-2)*20+CZ221)</f>
        <v>23</v>
      </c>
      <c r="DJ221" s="14">
        <f>SUMIFS(DI$5:DI221,$CT$5:$CT221,"="&amp;$CT221)</f>
        <v>152</v>
      </c>
      <c r="DK221" s="14" t="s">
        <v>540</v>
      </c>
      <c r="DL221" s="14">
        <f>INDEX(属性投放!$BM$6:$BM$85,(CV221-2)*20+CZ221)</f>
        <v>315</v>
      </c>
      <c r="DM221" s="14">
        <f>SUMIFS(DL$5:DL221,$CT$5:$CT221,"="&amp;$CT221)</f>
        <v>1970</v>
      </c>
      <c r="DR221" s="14">
        <f t="shared" si="469"/>
        <v>1102011</v>
      </c>
      <c r="DS221" s="14" t="str">
        <f t="shared" si="470"/>
        <v>张飞17突</v>
      </c>
      <c r="DT221" s="14">
        <f t="shared" si="481"/>
        <v>5</v>
      </c>
      <c r="DU221" s="14">
        <f t="shared" si="482"/>
        <v>6</v>
      </c>
      <c r="DV221" s="14">
        <f t="shared" si="483"/>
        <v>8</v>
      </c>
      <c r="DW221" s="14">
        <f t="shared" si="471"/>
        <v>4</v>
      </c>
      <c r="DX221" s="14">
        <f t="shared" si="472"/>
        <v>17</v>
      </c>
      <c r="DY221" s="14">
        <f t="shared" si="473"/>
        <v>57</v>
      </c>
      <c r="DZ221" s="14">
        <f>INDEX(属性投放!$AX$6:$AX$85,(卡牌属性!DW221-2)*20+卡牌属性!DX221)</f>
        <v>8</v>
      </c>
      <c r="EA221" s="14">
        <f>INDEX(属性投放!BQ$6:BQ$85,卡牌属性!$DY221)</f>
        <v>950</v>
      </c>
      <c r="EB221" s="14">
        <f>INDEX(属性投放!BR$6:BR$85,卡牌属性!$DY221)</f>
        <v>475</v>
      </c>
      <c r="EC221" s="14">
        <f>INDEX(属性投放!BS$6:BS$85,卡牌属性!$DY221)</f>
        <v>9500</v>
      </c>
      <c r="ED221" s="14">
        <f t="shared" si="490"/>
        <v>6666</v>
      </c>
      <c r="EE221" s="14">
        <f t="shared" si="491"/>
        <v>6859</v>
      </c>
      <c r="EF221" s="14">
        <f t="shared" si="492"/>
        <v>7893</v>
      </c>
      <c r="EG221" s="14">
        <f t="shared" si="493"/>
        <v>7893</v>
      </c>
      <c r="EH221" s="14">
        <f t="shared" si="494"/>
        <v>8380</v>
      </c>
      <c r="EI221" s="14">
        <f t="shared" si="495"/>
        <v>3409</v>
      </c>
      <c r="EJ221" s="14">
        <f t="shared" si="496"/>
        <v>3917</v>
      </c>
      <c r="EK221" s="14">
        <f t="shared" si="497"/>
        <v>3917</v>
      </c>
      <c r="EL221" s="14">
        <f t="shared" si="498"/>
        <v>4176</v>
      </c>
      <c r="EM221" s="14">
        <f t="shared" si="499"/>
        <v>4433</v>
      </c>
      <c r="EN221" s="14">
        <f t="shared" si="500"/>
        <v>73862</v>
      </c>
      <c r="EO221" s="14">
        <f t="shared" si="501"/>
        <v>78410</v>
      </c>
      <c r="EP221" s="14">
        <f t="shared" si="502"/>
        <v>78410</v>
      </c>
      <c r="EQ221" s="14">
        <f t="shared" si="503"/>
        <v>91120</v>
      </c>
      <c r="ER221" s="14">
        <f t="shared" si="504"/>
        <v>109520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INDEX(属性投放!$BQ$6:$BQ$85,(卡牌属性!$DW221-2)*20+卡牌属性!$DX221)</f>
        <v>950</v>
      </c>
      <c r="FI221" s="14">
        <f>INDEX(属性投放!$BQ$6:$BQ$85,(卡牌属性!$DW221-2)*20+卡牌属性!$DX221)</f>
        <v>950</v>
      </c>
      <c r="FJ221" s="14">
        <f>INDEX(属性投放!$BQ$6:$BQ$85,(卡牌属性!$DW221-2)*20+卡牌属性!$DX221)</f>
        <v>950</v>
      </c>
      <c r="FK221" s="14">
        <f>INDEX(属性投放!$BQ$6:$BQ$85,(卡牌属性!$DW221-2)*20+卡牌属性!$DX221)</f>
        <v>950</v>
      </c>
      <c r="FL221" s="14">
        <f>INDEX(属性投放!$BQ$6:$BQ$85,(卡牌属性!$DW221-2)*20+卡牌属性!$DX221)</f>
        <v>950</v>
      </c>
      <c r="FM221" s="14">
        <f>INDEX(属性投放!$BR$6:$BR$85,(卡牌属性!$DW221-2)*20+卡牌属性!$DX221)</f>
        <v>475</v>
      </c>
      <c r="FN221" s="14">
        <f>INDEX(属性投放!$BR$6:$BR$85,(卡牌属性!$DW221-2)*20+卡牌属性!$DX221)</f>
        <v>475</v>
      </c>
      <c r="FO221" s="14">
        <f>INDEX(属性投放!$BR$6:$BR$85,(卡牌属性!$DW221-2)*20+卡牌属性!$DX221)</f>
        <v>475</v>
      </c>
      <c r="FP221" s="14">
        <f>INDEX(属性投放!$BR$6:$BR$85,(卡牌属性!$DW221-2)*20+卡牌属性!$DX221)</f>
        <v>475</v>
      </c>
      <c r="FQ221" s="14">
        <f>INDEX(属性投放!$BR$6:$BR$85,(卡牌属性!$DW221-2)*20+卡牌属性!$DX221)</f>
        <v>475</v>
      </c>
      <c r="FR221" s="14">
        <f>INDEX(属性投放!$BS$6:$BS$85,(卡牌属性!$DW221-2)*20+卡牌属性!$DX221)</f>
        <v>9500</v>
      </c>
      <c r="FS221" s="14">
        <f>INDEX(属性投放!$BS$6:$BS$85,(卡牌属性!$DW221-2)*20+卡牌属性!$DX221)</f>
        <v>9500</v>
      </c>
      <c r="FT221" s="14">
        <f>INDEX(属性投放!$BS$6:$BS$85,(卡牌属性!$DW221-2)*20+卡牌属性!$DX221)</f>
        <v>9500</v>
      </c>
      <c r="FU221" s="14">
        <f>INDEX(属性投放!$BS$6:$BS$85,(卡牌属性!$DW221-2)*20+卡牌属性!$DX221)</f>
        <v>9500</v>
      </c>
      <c r="FV221" s="14">
        <f>INDEX(属性投放!$BS$6:$BS$85,(卡牌属性!$DW221-2)*20+卡牌属性!$DX221)</f>
        <v>9500</v>
      </c>
    </row>
    <row r="222" spans="31:178" ht="16.5" x14ac:dyDescent="0.2">
      <c r="AE222" s="13">
        <v>218</v>
      </c>
      <c r="AF222" s="13">
        <f t="shared" si="474"/>
        <v>11</v>
      </c>
      <c r="AG222" s="13">
        <f t="shared" si="461"/>
        <v>3</v>
      </c>
      <c r="AH222" s="13"/>
      <c r="AI222" s="13"/>
      <c r="AJ222" s="14">
        <f t="shared" si="462"/>
        <v>1101011</v>
      </c>
      <c r="AK222" s="14" t="str">
        <f t="shared" si="463"/>
        <v>阎风吒18突</v>
      </c>
      <c r="AL222" s="25" t="s">
        <v>142</v>
      </c>
      <c r="AM222" s="14">
        <v>1</v>
      </c>
      <c r="AN222" s="14">
        <f t="shared" si="464"/>
        <v>18</v>
      </c>
      <c r="AO222" s="14">
        <f>INDEX(属性投放!$DF$6:$DF$85,(卡牌属性!AG222-2)*20+卡牌属性!AN222)</f>
        <v>13425</v>
      </c>
      <c r="AP222" s="14">
        <f t="shared" si="484"/>
        <v>13425</v>
      </c>
      <c r="AQ222" s="14">
        <f t="shared" si="484"/>
        <v>13425</v>
      </c>
      <c r="AR222" s="14">
        <f t="shared" si="484"/>
        <v>13425</v>
      </c>
      <c r="AS222" s="14">
        <f t="shared" si="484"/>
        <v>13425</v>
      </c>
      <c r="AT222" s="14">
        <f>INDEX(属性投放!$DG$6:$DG$85,(卡牌属性!AG222-2)*20+卡牌属性!AN222)</f>
        <v>6652</v>
      </c>
      <c r="AU222" s="14">
        <f t="shared" si="485"/>
        <v>6652</v>
      </c>
      <c r="AV222" s="14">
        <f t="shared" si="485"/>
        <v>6652</v>
      </c>
      <c r="AW222" s="14">
        <f t="shared" si="485"/>
        <v>6652</v>
      </c>
      <c r="AX222" s="14">
        <f t="shared" si="485"/>
        <v>6652</v>
      </c>
      <c r="AY222" s="14">
        <f>INDEX(属性投放!$DH$6:$DH$85,(卡牌属性!AG222-2)*20+卡牌属性!AN222)</f>
        <v>123338</v>
      </c>
      <c r="AZ222" s="14">
        <f t="shared" si="486"/>
        <v>123338</v>
      </c>
      <c r="BA222" s="14">
        <f t="shared" si="486"/>
        <v>123338</v>
      </c>
      <c r="BB222" s="14">
        <f t="shared" si="486"/>
        <v>123338</v>
      </c>
      <c r="BC222" s="14">
        <f t="shared" si="486"/>
        <v>123338</v>
      </c>
      <c r="BD222" s="14">
        <f>INDEX(属性投放!$DL$6:$DL$85,(卡牌属性!AG222-2)*20+卡牌属性!AN222)</f>
        <v>259</v>
      </c>
      <c r="BE222" s="14">
        <f t="shared" si="487"/>
        <v>259</v>
      </c>
      <c r="BF222" s="14">
        <f t="shared" si="487"/>
        <v>259</v>
      </c>
      <c r="BG222" s="14">
        <f t="shared" si="487"/>
        <v>259</v>
      </c>
      <c r="BH222" s="14">
        <f t="shared" si="487"/>
        <v>259</v>
      </c>
      <c r="BI222" s="14">
        <f>INDEX(属性投放!$DM$6:$DM$85,(卡牌属性!AG222-2)*20+卡牌属性!AN222)</f>
        <v>130</v>
      </c>
      <c r="BJ222" s="14">
        <f t="shared" si="488"/>
        <v>130</v>
      </c>
      <c r="BK222" s="14">
        <f t="shared" si="488"/>
        <v>130</v>
      </c>
      <c r="BL222" s="14">
        <f t="shared" si="488"/>
        <v>130</v>
      </c>
      <c r="BM222" s="14">
        <f t="shared" si="488"/>
        <v>130</v>
      </c>
      <c r="BN222" s="14">
        <f>INDEX(属性投放!$DN$6:$DN$85,(卡牌属性!AG222-2)*20+卡牌属性!AN222)</f>
        <v>2593</v>
      </c>
      <c r="BO222" s="14">
        <f t="shared" si="489"/>
        <v>2593</v>
      </c>
      <c r="BP222" s="14">
        <f t="shared" si="489"/>
        <v>2593</v>
      </c>
      <c r="BQ222" s="14">
        <f t="shared" si="489"/>
        <v>2593</v>
      </c>
      <c r="BR222" s="14">
        <f t="shared" si="489"/>
        <v>2593</v>
      </c>
      <c r="BW222" s="13">
        <v>218</v>
      </c>
      <c r="BX222" s="13">
        <f t="shared" si="465"/>
        <v>11</v>
      </c>
      <c r="BY222" s="14">
        <f t="shared" si="466"/>
        <v>4</v>
      </c>
      <c r="BZ222" s="14">
        <f t="shared" si="475"/>
        <v>1102011</v>
      </c>
      <c r="CA222" s="14" t="str">
        <f t="shared" si="476"/>
        <v>张飞18突</v>
      </c>
      <c r="CB222" s="25" t="s">
        <v>142</v>
      </c>
      <c r="CC222" s="14">
        <v>2</v>
      </c>
      <c r="CD222" s="14">
        <f t="shared" si="467"/>
        <v>18</v>
      </c>
      <c r="CE222" s="14" t="s">
        <v>21</v>
      </c>
      <c r="CF222" s="14">
        <f>INDEX(属性投放!$AZ$6:$AZ$85,(BY222-2)*20+CD222)</f>
        <v>18628</v>
      </c>
      <c r="CG222" s="14" t="s">
        <v>22</v>
      </c>
      <c r="CH222" s="14">
        <f>INDEX(属性投放!$BA$6:$BA$85,(BY222-2)*20+CD222)</f>
        <v>9269</v>
      </c>
      <c r="CI222" s="14" t="s">
        <v>510</v>
      </c>
      <c r="CJ222" s="14">
        <f>INDEX(属性投放!$BB$6:$BB$85,(BY222-2)*20+CD222)</f>
        <v>172603</v>
      </c>
      <c r="CK222" s="14" t="s">
        <v>21</v>
      </c>
      <c r="CL222" s="14">
        <f>INDEX(属性投放!$BC$6:$BC$85,(BY222-2)*20+CD222)</f>
        <v>50</v>
      </c>
      <c r="CM222" s="14" t="s">
        <v>22</v>
      </c>
      <c r="CN222" s="14">
        <f>INDEX(属性投放!$BD$6:$BD$85,(BY222-2)*20+CD222)</f>
        <v>25</v>
      </c>
      <c r="CO222" s="14" t="s">
        <v>510</v>
      </c>
      <c r="CP222" s="14">
        <f>INDEX(属性投放!$BE$6:$BE$85,(BY222-2)*20+CD222)</f>
        <v>500</v>
      </c>
      <c r="CS222" s="13">
        <v>218</v>
      </c>
      <c r="CT222" s="13">
        <f t="shared" si="477"/>
        <v>5</v>
      </c>
      <c r="CU222" s="13">
        <f t="shared" si="478"/>
        <v>10</v>
      </c>
      <c r="CV222" s="14">
        <f t="shared" si="479"/>
        <v>3</v>
      </c>
      <c r="CW222" s="14">
        <f t="shared" si="480"/>
        <v>1102005</v>
      </c>
      <c r="CX222" s="14" t="str">
        <f>INDEX($O$6:$O$50,CT222)&amp;"-"&amp;INDEX(属性投放!$AB$7:$AB$50,CZ222)&amp;"-魂火-"&amp;DB222</f>
        <v>李轩辕-众合+2-魂火-1</v>
      </c>
      <c r="CY222" s="25" t="s">
        <v>142</v>
      </c>
      <c r="CZ222" s="14">
        <f>INDEX(属性投放!$AM$7:$AM$58,CU222)</f>
        <v>6</v>
      </c>
      <c r="DA222" s="14" t="s">
        <v>537</v>
      </c>
      <c r="DB222" s="14">
        <f>INDEX(属性投放!$AN$7:$AN$58,CU222)</f>
        <v>1</v>
      </c>
      <c r="DC222" s="14">
        <f t="shared" si="468"/>
        <v>10</v>
      </c>
      <c r="DD222" s="14">
        <f>INDEX(属性投放!$AO$7:$AO$58,DC222)</f>
        <v>43</v>
      </c>
      <c r="DE222" s="14" t="s">
        <v>538</v>
      </c>
      <c r="DF222" s="14">
        <f>INDEX(属性投放!$BK$6:$BK$85,(CV222-2)*20+CZ222)</f>
        <v>50</v>
      </c>
      <c r="DG222" s="14">
        <f>SUMIFS(DF$5:DF222,$CT$5:$CT222,"="&amp;$CT222)</f>
        <v>350</v>
      </c>
      <c r="DH222" s="14" t="s">
        <v>539</v>
      </c>
      <c r="DI222" s="14">
        <f>INDEX(属性投放!$BL$6:$BL$85,(CV222-2)*20+CZ222)</f>
        <v>25</v>
      </c>
      <c r="DJ222" s="14">
        <f>SUMIFS(DI$5:DI222,$CT$5:$CT222,"="&amp;$CT222)</f>
        <v>177</v>
      </c>
      <c r="DK222" s="14" t="s">
        <v>540</v>
      </c>
      <c r="DL222" s="14">
        <f>INDEX(属性投放!$BM$6:$BM$85,(CV222-2)*20+CZ222)</f>
        <v>350</v>
      </c>
      <c r="DM222" s="14">
        <f>SUMIFS(DL$5:DL222,$CT$5:$CT222,"="&amp;$CT222)</f>
        <v>2320</v>
      </c>
      <c r="DR222" s="14">
        <f t="shared" si="469"/>
        <v>1102011</v>
      </c>
      <c r="DS222" s="14" t="str">
        <f t="shared" si="470"/>
        <v>张飞18突</v>
      </c>
      <c r="DT222" s="14">
        <f t="shared" si="481"/>
        <v>5</v>
      </c>
      <c r="DU222" s="14">
        <f t="shared" si="482"/>
        <v>6</v>
      </c>
      <c r="DV222" s="14">
        <f t="shared" si="483"/>
        <v>8</v>
      </c>
      <c r="DW222" s="14">
        <f t="shared" si="471"/>
        <v>4</v>
      </c>
      <c r="DX222" s="14">
        <f t="shared" si="472"/>
        <v>18</v>
      </c>
      <c r="DY222" s="14">
        <f t="shared" si="473"/>
        <v>58</v>
      </c>
      <c r="DZ222" s="14">
        <f>INDEX(属性投放!$AX$6:$AX$85,(卡牌属性!DW222-2)*20+卡牌属性!DX222)</f>
        <v>7</v>
      </c>
      <c r="EA222" s="14">
        <f>INDEX(属性投放!BQ$6:BQ$85,卡牌属性!$DY222)</f>
        <v>1500</v>
      </c>
      <c r="EB222" s="14">
        <f>INDEX(属性投放!BR$6:BR$85,卡牌属性!$DY222)</f>
        <v>750</v>
      </c>
      <c r="EC222" s="14">
        <f>INDEX(属性投放!BS$6:BS$85,卡牌属性!$DY222)</f>
        <v>15000</v>
      </c>
      <c r="ED222" s="14">
        <f t="shared" si="490"/>
        <v>7856</v>
      </c>
      <c r="EE222" s="14">
        <f t="shared" si="491"/>
        <v>8089</v>
      </c>
      <c r="EF222" s="14">
        <f t="shared" si="492"/>
        <v>9243</v>
      </c>
      <c r="EG222" s="14">
        <f t="shared" si="493"/>
        <v>9243</v>
      </c>
      <c r="EH222" s="14">
        <f t="shared" si="494"/>
        <v>9810</v>
      </c>
      <c r="EI222" s="14">
        <f t="shared" si="495"/>
        <v>4028</v>
      </c>
      <c r="EJ222" s="14">
        <f t="shared" si="496"/>
        <v>4592</v>
      </c>
      <c r="EK222" s="14">
        <f t="shared" si="497"/>
        <v>4592</v>
      </c>
      <c r="EL222" s="14">
        <f t="shared" si="498"/>
        <v>4891</v>
      </c>
      <c r="EM222" s="14">
        <f t="shared" si="499"/>
        <v>5212</v>
      </c>
      <c r="EN222" s="14">
        <f t="shared" si="500"/>
        <v>88162</v>
      </c>
      <c r="EO222" s="14">
        <f t="shared" si="501"/>
        <v>93910</v>
      </c>
      <c r="EP222" s="14">
        <f t="shared" si="502"/>
        <v>93910</v>
      </c>
      <c r="EQ222" s="14">
        <f t="shared" si="503"/>
        <v>108620</v>
      </c>
      <c r="ER222" s="14">
        <f t="shared" si="504"/>
        <v>131020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INDEX(属性投放!$BQ$6:$BQ$85,(卡牌属性!$DW222-2)*20+卡牌属性!$DX222)</f>
        <v>1500</v>
      </c>
      <c r="FI222" s="14">
        <f>INDEX(属性投放!$BQ$6:$BQ$85,(卡牌属性!$DW222-2)*20+卡牌属性!$DX222)</f>
        <v>1500</v>
      </c>
      <c r="FJ222" s="14">
        <f>INDEX(属性投放!$BQ$6:$BQ$85,(卡牌属性!$DW222-2)*20+卡牌属性!$DX222)</f>
        <v>1500</v>
      </c>
      <c r="FK222" s="14">
        <f>INDEX(属性投放!$BQ$6:$BQ$85,(卡牌属性!$DW222-2)*20+卡牌属性!$DX222)</f>
        <v>1500</v>
      </c>
      <c r="FL222" s="14">
        <f>INDEX(属性投放!$BQ$6:$BQ$85,(卡牌属性!$DW222-2)*20+卡牌属性!$DX222)</f>
        <v>1500</v>
      </c>
      <c r="FM222" s="14">
        <f>INDEX(属性投放!$BR$6:$BR$85,(卡牌属性!$DW222-2)*20+卡牌属性!$DX222)</f>
        <v>750</v>
      </c>
      <c r="FN222" s="14">
        <f>INDEX(属性投放!$BR$6:$BR$85,(卡牌属性!$DW222-2)*20+卡牌属性!$DX222)</f>
        <v>750</v>
      </c>
      <c r="FO222" s="14">
        <f>INDEX(属性投放!$BR$6:$BR$85,(卡牌属性!$DW222-2)*20+卡牌属性!$DX222)</f>
        <v>750</v>
      </c>
      <c r="FP222" s="14">
        <f>INDEX(属性投放!$BR$6:$BR$85,(卡牌属性!$DW222-2)*20+卡牌属性!$DX222)</f>
        <v>750</v>
      </c>
      <c r="FQ222" s="14">
        <f>INDEX(属性投放!$BR$6:$BR$85,(卡牌属性!$DW222-2)*20+卡牌属性!$DX222)</f>
        <v>750</v>
      </c>
      <c r="FR222" s="14">
        <f>INDEX(属性投放!$BS$6:$BS$85,(卡牌属性!$DW222-2)*20+卡牌属性!$DX222)</f>
        <v>15000</v>
      </c>
      <c r="FS222" s="14">
        <f>INDEX(属性投放!$BS$6:$BS$85,(卡牌属性!$DW222-2)*20+卡牌属性!$DX222)</f>
        <v>15000</v>
      </c>
      <c r="FT222" s="14">
        <f>INDEX(属性投放!$BS$6:$BS$85,(卡牌属性!$DW222-2)*20+卡牌属性!$DX222)</f>
        <v>15000</v>
      </c>
      <c r="FU222" s="14">
        <f>INDEX(属性投放!$BS$6:$BS$85,(卡牌属性!$DW222-2)*20+卡牌属性!$DX222)</f>
        <v>15000</v>
      </c>
      <c r="FV222" s="14">
        <f>INDEX(属性投放!$BS$6:$BS$85,(卡牌属性!$DW222-2)*20+卡牌属性!$DX222)</f>
        <v>15000</v>
      </c>
    </row>
    <row r="223" spans="31:178" ht="16.5" x14ac:dyDescent="0.2">
      <c r="AE223" s="13">
        <v>219</v>
      </c>
      <c r="AF223" s="13">
        <f t="shared" si="474"/>
        <v>11</v>
      </c>
      <c r="AG223" s="13">
        <f t="shared" si="461"/>
        <v>3</v>
      </c>
      <c r="AH223" s="13"/>
      <c r="AI223" s="13"/>
      <c r="AJ223" s="14">
        <f t="shared" si="462"/>
        <v>1101011</v>
      </c>
      <c r="AK223" s="14" t="str">
        <f t="shared" si="463"/>
        <v>阎风吒19突</v>
      </c>
      <c r="AL223" s="25" t="s">
        <v>142</v>
      </c>
      <c r="AM223" s="14">
        <v>1</v>
      </c>
      <c r="AN223" s="14">
        <f t="shared" si="464"/>
        <v>19</v>
      </c>
      <c r="AO223" s="14">
        <f>INDEX(属性投放!$DF$6:$DF$85,(卡牌属性!AG223-2)*20+卡牌属性!AN223)</f>
        <v>20826</v>
      </c>
      <c r="AP223" s="14">
        <f t="shared" si="484"/>
        <v>20826</v>
      </c>
      <c r="AQ223" s="14">
        <f t="shared" si="484"/>
        <v>20826</v>
      </c>
      <c r="AR223" s="14">
        <f t="shared" si="484"/>
        <v>20826</v>
      </c>
      <c r="AS223" s="14">
        <f t="shared" si="484"/>
        <v>20826</v>
      </c>
      <c r="AT223" s="14">
        <f>INDEX(属性投放!$DG$6:$DG$85,(卡牌属性!AG223-2)*20+卡牌属性!AN223)</f>
        <v>10365</v>
      </c>
      <c r="AU223" s="14">
        <f t="shared" si="485"/>
        <v>10365</v>
      </c>
      <c r="AV223" s="14">
        <f t="shared" si="485"/>
        <v>10365</v>
      </c>
      <c r="AW223" s="14">
        <f t="shared" si="485"/>
        <v>10365</v>
      </c>
      <c r="AX223" s="14">
        <f t="shared" si="485"/>
        <v>10365</v>
      </c>
      <c r="AY223" s="14">
        <f>INDEX(属性投放!$DH$6:$DH$85,(卡牌属性!AG223-2)*20+卡牌属性!AN223)</f>
        <v>197423</v>
      </c>
      <c r="AZ223" s="14">
        <f t="shared" si="486"/>
        <v>197423</v>
      </c>
      <c r="BA223" s="14">
        <f t="shared" si="486"/>
        <v>197423</v>
      </c>
      <c r="BB223" s="14">
        <f t="shared" si="486"/>
        <v>197423</v>
      </c>
      <c r="BC223" s="14">
        <f t="shared" si="486"/>
        <v>197423</v>
      </c>
      <c r="BD223" s="14">
        <f>INDEX(属性投放!$DL$6:$DL$85,(卡牌属性!AG223-2)*20+卡牌属性!AN223)</f>
        <v>486</v>
      </c>
      <c r="BE223" s="14">
        <f t="shared" si="487"/>
        <v>486</v>
      </c>
      <c r="BF223" s="14">
        <f t="shared" si="487"/>
        <v>486</v>
      </c>
      <c r="BG223" s="14">
        <f t="shared" si="487"/>
        <v>486</v>
      </c>
      <c r="BH223" s="14">
        <f t="shared" si="487"/>
        <v>486</v>
      </c>
      <c r="BI223" s="14">
        <f>INDEX(属性投放!$DM$6:$DM$85,(卡牌属性!AG223-2)*20+卡牌属性!AN223)</f>
        <v>243</v>
      </c>
      <c r="BJ223" s="14">
        <f t="shared" si="488"/>
        <v>243</v>
      </c>
      <c r="BK223" s="14">
        <f t="shared" si="488"/>
        <v>243</v>
      </c>
      <c r="BL223" s="14">
        <f t="shared" si="488"/>
        <v>243</v>
      </c>
      <c r="BM223" s="14">
        <f t="shared" si="488"/>
        <v>243</v>
      </c>
      <c r="BN223" s="14">
        <f>INDEX(属性投放!$DN$6:$DN$85,(卡牌属性!AG223-2)*20+卡牌属性!AN223)</f>
        <v>4863</v>
      </c>
      <c r="BO223" s="14">
        <f t="shared" si="489"/>
        <v>4863</v>
      </c>
      <c r="BP223" s="14">
        <f t="shared" si="489"/>
        <v>4863</v>
      </c>
      <c r="BQ223" s="14">
        <f t="shared" si="489"/>
        <v>4863</v>
      </c>
      <c r="BR223" s="14">
        <f t="shared" si="489"/>
        <v>4863</v>
      </c>
      <c r="BW223" s="13">
        <v>219</v>
      </c>
      <c r="BX223" s="13">
        <f t="shared" si="465"/>
        <v>11</v>
      </c>
      <c r="BY223" s="14">
        <f t="shared" si="466"/>
        <v>4</v>
      </c>
      <c r="BZ223" s="14">
        <f t="shared" si="475"/>
        <v>1102011</v>
      </c>
      <c r="CA223" s="14" t="str">
        <f t="shared" si="476"/>
        <v>张飞19突</v>
      </c>
      <c r="CB223" s="25" t="s">
        <v>142</v>
      </c>
      <c r="CC223" s="14">
        <v>2</v>
      </c>
      <c r="CD223" s="14">
        <f t="shared" si="467"/>
        <v>19</v>
      </c>
      <c r="CE223" s="14" t="s">
        <v>21</v>
      </c>
      <c r="CF223" s="14">
        <f>INDEX(属性投放!$AZ$6:$AZ$85,(BY223-2)*20+CD223)</f>
        <v>22728</v>
      </c>
      <c r="CG223" s="14" t="s">
        <v>22</v>
      </c>
      <c r="CH223" s="14">
        <f>INDEX(属性投放!$BA$6:$BA$85,(BY223-2)*20+CD223)</f>
        <v>11319</v>
      </c>
      <c r="CI223" s="14" t="s">
        <v>510</v>
      </c>
      <c r="CJ223" s="14">
        <f>INDEX(属性投放!$BB$6:$BB$85,(BY223-2)*20+CD223)</f>
        <v>213603</v>
      </c>
      <c r="CK223" s="14" t="s">
        <v>21</v>
      </c>
      <c r="CL223" s="14">
        <f>INDEX(属性投放!$BC$6:$BC$85,(BY223-2)*20+CD223)</f>
        <v>75</v>
      </c>
      <c r="CM223" s="14" t="s">
        <v>22</v>
      </c>
      <c r="CN223" s="14">
        <f>INDEX(属性投放!$BD$6:$BD$85,(BY223-2)*20+CD223)</f>
        <v>38</v>
      </c>
      <c r="CO223" s="14" t="s">
        <v>510</v>
      </c>
      <c r="CP223" s="14">
        <f>INDEX(属性投放!$BE$6:$BE$85,(BY223-2)*20+CD223)</f>
        <v>750</v>
      </c>
      <c r="CS223" s="13">
        <v>219</v>
      </c>
      <c r="CT223" s="13">
        <f t="shared" si="477"/>
        <v>5</v>
      </c>
      <c r="CU223" s="13">
        <f t="shared" si="478"/>
        <v>11</v>
      </c>
      <c r="CV223" s="14">
        <f t="shared" si="479"/>
        <v>3</v>
      </c>
      <c r="CW223" s="14">
        <f t="shared" si="480"/>
        <v>1102005</v>
      </c>
      <c r="CX223" s="14" t="str">
        <f>INDEX($O$6:$O$50,CT223)&amp;"-"&amp;INDEX(属性投放!$AB$7:$AB$50,CZ223)&amp;"-魂火-"&amp;DB223</f>
        <v>李轩辕-众合+2-魂火-2</v>
      </c>
      <c r="CY223" s="25" t="s">
        <v>142</v>
      </c>
      <c r="CZ223" s="14">
        <f>INDEX(属性投放!$AM$7:$AM$58,CU223)</f>
        <v>6</v>
      </c>
      <c r="DA223" s="14" t="s">
        <v>537</v>
      </c>
      <c r="DB223" s="14">
        <f>INDEX(属性投放!$AN$7:$AN$58,CU223)</f>
        <v>2</v>
      </c>
      <c r="DC223" s="14">
        <f t="shared" si="468"/>
        <v>11</v>
      </c>
      <c r="DD223" s="14">
        <f>INDEX(属性投放!$AO$7:$AO$58,DC223)</f>
        <v>45</v>
      </c>
      <c r="DE223" s="14" t="s">
        <v>538</v>
      </c>
      <c r="DF223" s="14">
        <f>INDEX(属性投放!$BK$6:$BK$85,(CV223-2)*20+CZ223)</f>
        <v>50</v>
      </c>
      <c r="DG223" s="14">
        <f>SUMIFS(DF$5:DF223,$CT$5:$CT223,"="&amp;$CT223)</f>
        <v>400</v>
      </c>
      <c r="DH223" s="14" t="s">
        <v>539</v>
      </c>
      <c r="DI223" s="14">
        <f>INDEX(属性投放!$BL$6:$BL$85,(CV223-2)*20+CZ223)</f>
        <v>25</v>
      </c>
      <c r="DJ223" s="14">
        <f>SUMIFS(DI$5:DI223,$CT$5:$CT223,"="&amp;$CT223)</f>
        <v>202</v>
      </c>
      <c r="DK223" s="14" t="s">
        <v>540</v>
      </c>
      <c r="DL223" s="14">
        <f>INDEX(属性投放!$BM$6:$BM$85,(CV223-2)*20+CZ223)</f>
        <v>350</v>
      </c>
      <c r="DM223" s="14">
        <f>SUMIFS(DL$5:DL223,$CT$5:$CT223,"="&amp;$CT223)</f>
        <v>2670</v>
      </c>
      <c r="DR223" s="14">
        <f t="shared" si="469"/>
        <v>1102011</v>
      </c>
      <c r="DS223" s="14" t="str">
        <f t="shared" si="470"/>
        <v>张飞19突</v>
      </c>
      <c r="DT223" s="14">
        <f t="shared" si="481"/>
        <v>5</v>
      </c>
      <c r="DU223" s="14">
        <f t="shared" si="482"/>
        <v>6</v>
      </c>
      <c r="DV223" s="14">
        <f t="shared" si="483"/>
        <v>8</v>
      </c>
      <c r="DW223" s="14">
        <f t="shared" si="471"/>
        <v>4</v>
      </c>
      <c r="DX223" s="14">
        <f t="shared" si="472"/>
        <v>19</v>
      </c>
      <c r="DY223" s="14">
        <f t="shared" si="473"/>
        <v>59</v>
      </c>
      <c r="DZ223" s="14">
        <f>INDEX(属性投放!$AX$6:$AX$85,(卡牌属性!DW223-2)*20+卡牌属性!DX223)</f>
        <v>8</v>
      </c>
      <c r="EA223" s="14">
        <f>INDEX(属性投放!BQ$6:BQ$85,卡牌属性!$DY223)</f>
        <v>1500</v>
      </c>
      <c r="EB223" s="14">
        <f>INDEX(属性投放!BR$6:BR$85,卡牌属性!$DY223)</f>
        <v>750</v>
      </c>
      <c r="EC223" s="14">
        <f>INDEX(属性投放!BS$6:BS$85,卡牌属性!$DY223)</f>
        <v>15000</v>
      </c>
      <c r="ED223" s="14">
        <f t="shared" si="490"/>
        <v>9566</v>
      </c>
      <c r="EE223" s="14">
        <f t="shared" si="491"/>
        <v>9834</v>
      </c>
      <c r="EF223" s="14">
        <f t="shared" si="492"/>
        <v>11093</v>
      </c>
      <c r="EG223" s="14">
        <f t="shared" si="493"/>
        <v>11093</v>
      </c>
      <c r="EH223" s="14">
        <f t="shared" si="494"/>
        <v>11730</v>
      </c>
      <c r="EI223" s="14">
        <f t="shared" si="495"/>
        <v>4904</v>
      </c>
      <c r="EJ223" s="14">
        <f t="shared" si="496"/>
        <v>5517</v>
      </c>
      <c r="EK223" s="14">
        <f t="shared" si="497"/>
        <v>5517</v>
      </c>
      <c r="EL223" s="14">
        <f t="shared" si="498"/>
        <v>5851</v>
      </c>
      <c r="EM223" s="14">
        <f t="shared" si="499"/>
        <v>6228</v>
      </c>
      <c r="EN223" s="14">
        <f t="shared" si="500"/>
        <v>107362</v>
      </c>
      <c r="EO223" s="14">
        <f t="shared" si="501"/>
        <v>114160</v>
      </c>
      <c r="EP223" s="14">
        <f t="shared" si="502"/>
        <v>114160</v>
      </c>
      <c r="EQ223" s="14">
        <f t="shared" si="503"/>
        <v>130620</v>
      </c>
      <c r="ER223" s="14">
        <f t="shared" si="504"/>
        <v>156520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INDEX(属性投放!$BQ$6:$BQ$85,(卡牌属性!$DW223-2)*20+卡牌属性!$DX223)</f>
        <v>1500</v>
      </c>
      <c r="FI223" s="14">
        <f>INDEX(属性投放!$BQ$6:$BQ$85,(卡牌属性!$DW223-2)*20+卡牌属性!$DX223)</f>
        <v>1500</v>
      </c>
      <c r="FJ223" s="14">
        <f>INDEX(属性投放!$BQ$6:$BQ$85,(卡牌属性!$DW223-2)*20+卡牌属性!$DX223)</f>
        <v>1500</v>
      </c>
      <c r="FK223" s="14">
        <f>INDEX(属性投放!$BQ$6:$BQ$85,(卡牌属性!$DW223-2)*20+卡牌属性!$DX223)</f>
        <v>1500</v>
      </c>
      <c r="FL223" s="14">
        <f>INDEX(属性投放!$BQ$6:$BQ$85,(卡牌属性!$DW223-2)*20+卡牌属性!$DX223)</f>
        <v>1500</v>
      </c>
      <c r="FM223" s="14">
        <f>INDEX(属性投放!$BR$6:$BR$85,(卡牌属性!$DW223-2)*20+卡牌属性!$DX223)</f>
        <v>750</v>
      </c>
      <c r="FN223" s="14">
        <f>INDEX(属性投放!$BR$6:$BR$85,(卡牌属性!$DW223-2)*20+卡牌属性!$DX223)</f>
        <v>750</v>
      </c>
      <c r="FO223" s="14">
        <f>INDEX(属性投放!$BR$6:$BR$85,(卡牌属性!$DW223-2)*20+卡牌属性!$DX223)</f>
        <v>750</v>
      </c>
      <c r="FP223" s="14">
        <f>INDEX(属性投放!$BR$6:$BR$85,(卡牌属性!$DW223-2)*20+卡牌属性!$DX223)</f>
        <v>750</v>
      </c>
      <c r="FQ223" s="14">
        <f>INDEX(属性投放!$BR$6:$BR$85,(卡牌属性!$DW223-2)*20+卡牌属性!$DX223)</f>
        <v>750</v>
      </c>
      <c r="FR223" s="14">
        <f>INDEX(属性投放!$BS$6:$BS$85,(卡牌属性!$DW223-2)*20+卡牌属性!$DX223)</f>
        <v>15000</v>
      </c>
      <c r="FS223" s="14">
        <f>INDEX(属性投放!$BS$6:$BS$85,(卡牌属性!$DW223-2)*20+卡牌属性!$DX223)</f>
        <v>15000</v>
      </c>
      <c r="FT223" s="14">
        <f>INDEX(属性投放!$BS$6:$BS$85,(卡牌属性!$DW223-2)*20+卡牌属性!$DX223)</f>
        <v>15000</v>
      </c>
      <c r="FU223" s="14">
        <f>INDEX(属性投放!$BS$6:$BS$85,(卡牌属性!$DW223-2)*20+卡牌属性!$DX223)</f>
        <v>15000</v>
      </c>
      <c r="FV223" s="14">
        <f>INDEX(属性投放!$BS$6:$BS$85,(卡牌属性!$DW223-2)*20+卡牌属性!$DX223)</f>
        <v>15000</v>
      </c>
    </row>
    <row r="224" spans="31:178" ht="16.5" x14ac:dyDescent="0.2">
      <c r="AE224" s="13">
        <v>220</v>
      </c>
      <c r="AF224" s="13">
        <f t="shared" si="474"/>
        <v>11</v>
      </c>
      <c r="AG224" s="13">
        <f t="shared" si="461"/>
        <v>3</v>
      </c>
      <c r="AH224" s="13"/>
      <c r="AI224" s="13"/>
      <c r="AJ224" s="14">
        <f t="shared" si="462"/>
        <v>1101011</v>
      </c>
      <c r="AK224" s="14" t="str">
        <f t="shared" si="463"/>
        <v>阎风吒20突</v>
      </c>
      <c r="AL224" s="25" t="s">
        <v>142</v>
      </c>
      <c r="AM224" s="14">
        <v>1</v>
      </c>
      <c r="AN224" s="14">
        <f t="shared" si="464"/>
        <v>20</v>
      </c>
      <c r="AO224" s="14">
        <f>INDEX(属性投放!$DF$6:$DF$85,(卡牌属性!AG224-2)*20+卡牌属性!AN224)</f>
        <v>21868</v>
      </c>
      <c r="AP224" s="14">
        <f t="shared" si="484"/>
        <v>21868</v>
      </c>
      <c r="AQ224" s="14">
        <f t="shared" si="484"/>
        <v>21868</v>
      </c>
      <c r="AR224" s="14">
        <f t="shared" si="484"/>
        <v>21868</v>
      </c>
      <c r="AS224" s="14">
        <f t="shared" si="484"/>
        <v>21868</v>
      </c>
      <c r="AT224" s="14">
        <f>INDEX(属性投放!$DG$6:$DG$85,(卡牌属性!AG224-2)*20+卡牌属性!AN224)</f>
        <v>10886</v>
      </c>
      <c r="AU224" s="14">
        <f t="shared" si="485"/>
        <v>10886</v>
      </c>
      <c r="AV224" s="14">
        <f t="shared" si="485"/>
        <v>10886</v>
      </c>
      <c r="AW224" s="14">
        <f t="shared" si="485"/>
        <v>10886</v>
      </c>
      <c r="AX224" s="14">
        <f t="shared" si="485"/>
        <v>10886</v>
      </c>
      <c r="AY224" s="14">
        <f>INDEX(属性投放!$DH$6:$DH$85,(卡牌属性!AG224-2)*20+卡牌属性!AN224)</f>
        <v>207843</v>
      </c>
      <c r="AZ224" s="14">
        <f t="shared" si="486"/>
        <v>207843</v>
      </c>
      <c r="BA224" s="14">
        <f t="shared" si="486"/>
        <v>207843</v>
      </c>
      <c r="BB224" s="14">
        <f t="shared" si="486"/>
        <v>207843</v>
      </c>
      <c r="BC224" s="14">
        <f t="shared" si="486"/>
        <v>207843</v>
      </c>
      <c r="BD224" s="14">
        <f>INDEX(属性投放!$DL$6:$DL$85,(卡牌属性!AG224-2)*20+卡牌属性!AN224)</f>
        <v>486</v>
      </c>
      <c r="BE224" s="14">
        <f t="shared" si="487"/>
        <v>486</v>
      </c>
      <c r="BF224" s="14">
        <f t="shared" si="487"/>
        <v>486</v>
      </c>
      <c r="BG224" s="14">
        <f t="shared" si="487"/>
        <v>486</v>
      </c>
      <c r="BH224" s="14">
        <f t="shared" si="487"/>
        <v>486</v>
      </c>
      <c r="BI224" s="14">
        <f>INDEX(属性投放!$DM$6:$DM$85,(卡牌属性!AG224-2)*20+卡牌属性!AN224)</f>
        <v>243</v>
      </c>
      <c r="BJ224" s="14">
        <f t="shared" si="488"/>
        <v>243</v>
      </c>
      <c r="BK224" s="14">
        <f t="shared" si="488"/>
        <v>243</v>
      </c>
      <c r="BL224" s="14">
        <f t="shared" si="488"/>
        <v>243</v>
      </c>
      <c r="BM224" s="14">
        <f t="shared" si="488"/>
        <v>243</v>
      </c>
      <c r="BN224" s="14">
        <f>INDEX(属性投放!$DN$6:$DN$85,(卡牌属性!AG224-2)*20+卡牌属性!AN224)</f>
        <v>4863</v>
      </c>
      <c r="BO224" s="14">
        <f t="shared" si="489"/>
        <v>4863</v>
      </c>
      <c r="BP224" s="14">
        <f t="shared" si="489"/>
        <v>4863</v>
      </c>
      <c r="BQ224" s="14">
        <f t="shared" si="489"/>
        <v>4863</v>
      </c>
      <c r="BR224" s="14">
        <f t="shared" si="489"/>
        <v>4863</v>
      </c>
      <c r="BW224" s="13">
        <v>220</v>
      </c>
      <c r="BX224" s="13">
        <f t="shared" si="465"/>
        <v>11</v>
      </c>
      <c r="BY224" s="14">
        <f t="shared" si="466"/>
        <v>4</v>
      </c>
      <c r="BZ224" s="14">
        <f t="shared" si="475"/>
        <v>1102011</v>
      </c>
      <c r="CA224" s="14" t="str">
        <f t="shared" si="476"/>
        <v>张飞20突</v>
      </c>
      <c r="CB224" s="25" t="s">
        <v>142</v>
      </c>
      <c r="CC224" s="14">
        <v>2</v>
      </c>
      <c r="CD224" s="14">
        <f t="shared" si="467"/>
        <v>20</v>
      </c>
      <c r="CE224" s="14" t="s">
        <v>21</v>
      </c>
      <c r="CF224" s="14">
        <f>INDEX(属性投放!$AZ$6:$AZ$85,(BY224-2)*20+CD224)</f>
        <v>27528</v>
      </c>
      <c r="CG224" s="14" t="s">
        <v>22</v>
      </c>
      <c r="CH224" s="14">
        <f>INDEX(属性投放!$BA$6:$BA$85,(BY224-2)*20+CD224)</f>
        <v>13723</v>
      </c>
      <c r="CI224" s="14" t="s">
        <v>510</v>
      </c>
      <c r="CJ224" s="14">
        <f>INDEX(属性投放!$BB$6:$BB$85,(BY224-2)*20+CD224)</f>
        <v>261603</v>
      </c>
      <c r="CK224" s="14" t="s">
        <v>21</v>
      </c>
      <c r="CL224" s="14">
        <f>INDEX(属性投放!$BC$6:$BC$85,(BY224-2)*20+CD224)</f>
        <v>75</v>
      </c>
      <c r="CM224" s="14" t="s">
        <v>22</v>
      </c>
      <c r="CN224" s="14">
        <f>INDEX(属性投放!$BD$6:$BD$85,(BY224-2)*20+CD224)</f>
        <v>38</v>
      </c>
      <c r="CO224" s="14" t="s">
        <v>510</v>
      </c>
      <c r="CP224" s="14">
        <f>INDEX(属性投放!$BE$6:$BE$85,(BY224-2)*20+CD224)</f>
        <v>750</v>
      </c>
      <c r="CS224" s="13">
        <v>220</v>
      </c>
      <c r="CT224" s="13">
        <f t="shared" si="477"/>
        <v>5</v>
      </c>
      <c r="CU224" s="13">
        <f t="shared" si="478"/>
        <v>12</v>
      </c>
      <c r="CV224" s="14">
        <f t="shared" si="479"/>
        <v>3</v>
      </c>
      <c r="CW224" s="14">
        <f t="shared" si="480"/>
        <v>1102005</v>
      </c>
      <c r="CX224" s="14" t="str">
        <f>INDEX($O$6:$O$50,CT224)&amp;"-"&amp;INDEX(属性投放!$AB$7:$AB$50,CZ224)&amp;"-魂火-"&amp;DB224</f>
        <v>李轩辕-叫唤-魂火-1</v>
      </c>
      <c r="CY224" s="25" t="s">
        <v>142</v>
      </c>
      <c r="CZ224" s="14">
        <f>INDEX(属性投放!$AM$7:$AM$58,CU224)</f>
        <v>7</v>
      </c>
      <c r="DA224" s="14" t="s">
        <v>537</v>
      </c>
      <c r="DB224" s="14">
        <f>INDEX(属性投放!$AN$7:$AN$58,CU224)</f>
        <v>1</v>
      </c>
      <c r="DC224" s="14">
        <f t="shared" si="468"/>
        <v>12</v>
      </c>
      <c r="DD224" s="14">
        <f>INDEX(属性投放!$AO$7:$AO$58,DC224)</f>
        <v>48</v>
      </c>
      <c r="DE224" s="14" t="s">
        <v>538</v>
      </c>
      <c r="DF224" s="14">
        <f>INDEX(属性投放!$BK$6:$BK$85,(CV224-2)*20+CZ224)</f>
        <v>70</v>
      </c>
      <c r="DG224" s="14">
        <f>SUMIFS(DF$5:DF224,$CT$5:$CT224,"="&amp;$CT224)</f>
        <v>470</v>
      </c>
      <c r="DH224" s="14" t="s">
        <v>539</v>
      </c>
      <c r="DI224" s="14">
        <f>INDEX(属性投放!$BL$6:$BL$85,(CV224-2)*20+CZ224)</f>
        <v>35</v>
      </c>
      <c r="DJ224" s="14">
        <f>SUMIFS(DI$5:DI224,$CT$5:$CT224,"="&amp;$CT224)</f>
        <v>237</v>
      </c>
      <c r="DK224" s="14" t="s">
        <v>540</v>
      </c>
      <c r="DL224" s="14">
        <f>INDEX(属性投放!$BM$6:$BM$85,(CV224-2)*20+CZ224)</f>
        <v>560</v>
      </c>
      <c r="DM224" s="14">
        <f>SUMIFS(DL$5:DL224,$CT$5:$CT224,"="&amp;$CT224)</f>
        <v>3230</v>
      </c>
      <c r="DR224" s="14">
        <f t="shared" si="469"/>
        <v>1102011</v>
      </c>
      <c r="DS224" s="14" t="str">
        <f t="shared" si="470"/>
        <v>张飞20突</v>
      </c>
      <c r="DT224" s="14">
        <f t="shared" si="481"/>
        <v>5</v>
      </c>
      <c r="DU224" s="14">
        <f t="shared" si="482"/>
        <v>6</v>
      </c>
      <c r="DV224" s="14">
        <f t="shared" si="483"/>
        <v>8</v>
      </c>
      <c r="DW224" s="14">
        <f t="shared" si="471"/>
        <v>4</v>
      </c>
      <c r="DX224" s="14">
        <f t="shared" si="472"/>
        <v>20</v>
      </c>
      <c r="DY224" s="14">
        <f t="shared" si="473"/>
        <v>60</v>
      </c>
      <c r="DZ224" s="14">
        <f>INDEX(属性投放!$AX$6:$AX$85,(卡牌属性!DW224-2)*20+卡牌属性!DX224)</f>
        <v>10</v>
      </c>
      <c r="EA224" s="14">
        <f>INDEX(属性投放!BQ$6:BQ$85,卡牌属性!$DY224)</f>
        <v>1500</v>
      </c>
      <c r="EB224" s="14">
        <f>INDEX(属性投放!BR$6:BR$85,卡牌属性!$DY224)</f>
        <v>750</v>
      </c>
      <c r="EC224" s="14">
        <f>INDEX(属性投放!BS$6:BS$85,卡牌属性!$DY224)</f>
        <v>15000</v>
      </c>
      <c r="ED224" s="14">
        <f t="shared" si="490"/>
        <v>11386</v>
      </c>
      <c r="EE224" s="14">
        <f t="shared" si="491"/>
        <v>11694</v>
      </c>
      <c r="EF224" s="14">
        <f t="shared" si="492"/>
        <v>13193</v>
      </c>
      <c r="EG224" s="14">
        <f t="shared" si="493"/>
        <v>13193</v>
      </c>
      <c r="EH224" s="14">
        <f t="shared" si="494"/>
        <v>13870</v>
      </c>
      <c r="EI224" s="14">
        <f t="shared" si="495"/>
        <v>5838</v>
      </c>
      <c r="EJ224" s="14">
        <f t="shared" si="496"/>
        <v>6571</v>
      </c>
      <c r="EK224" s="14">
        <f t="shared" si="497"/>
        <v>6571</v>
      </c>
      <c r="EL224" s="14">
        <f t="shared" si="498"/>
        <v>6921</v>
      </c>
      <c r="EM224" s="14">
        <f t="shared" si="499"/>
        <v>7378</v>
      </c>
      <c r="EN224" s="14">
        <f t="shared" si="500"/>
        <v>128762</v>
      </c>
      <c r="EO224" s="14">
        <f t="shared" si="501"/>
        <v>137160</v>
      </c>
      <c r="EP224" s="14">
        <f t="shared" si="502"/>
        <v>137160</v>
      </c>
      <c r="EQ224" s="14">
        <f t="shared" si="503"/>
        <v>157620</v>
      </c>
      <c r="ER224" s="14">
        <f t="shared" si="504"/>
        <v>187520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INDEX(属性投放!$BQ$6:$BQ$85,(卡牌属性!$DW224-2)*20+卡牌属性!$DX224)</f>
        <v>1500</v>
      </c>
      <c r="FI224" s="14">
        <f>INDEX(属性投放!$BQ$6:$BQ$85,(卡牌属性!$DW224-2)*20+卡牌属性!$DX224)</f>
        <v>1500</v>
      </c>
      <c r="FJ224" s="14">
        <f>INDEX(属性投放!$BQ$6:$BQ$85,(卡牌属性!$DW224-2)*20+卡牌属性!$DX224)</f>
        <v>1500</v>
      </c>
      <c r="FK224" s="14">
        <f>INDEX(属性投放!$BQ$6:$BQ$85,(卡牌属性!$DW224-2)*20+卡牌属性!$DX224)</f>
        <v>1500</v>
      </c>
      <c r="FL224" s="14">
        <f>INDEX(属性投放!$BQ$6:$BQ$85,(卡牌属性!$DW224-2)*20+卡牌属性!$DX224)</f>
        <v>1500</v>
      </c>
      <c r="FM224" s="14">
        <f>INDEX(属性投放!$BR$6:$BR$85,(卡牌属性!$DW224-2)*20+卡牌属性!$DX224)</f>
        <v>750</v>
      </c>
      <c r="FN224" s="14">
        <f>INDEX(属性投放!$BR$6:$BR$85,(卡牌属性!$DW224-2)*20+卡牌属性!$DX224)</f>
        <v>750</v>
      </c>
      <c r="FO224" s="14">
        <f>INDEX(属性投放!$BR$6:$BR$85,(卡牌属性!$DW224-2)*20+卡牌属性!$DX224)</f>
        <v>750</v>
      </c>
      <c r="FP224" s="14">
        <f>INDEX(属性投放!$BR$6:$BR$85,(卡牌属性!$DW224-2)*20+卡牌属性!$DX224)</f>
        <v>750</v>
      </c>
      <c r="FQ224" s="14">
        <f>INDEX(属性投放!$BR$6:$BR$85,(卡牌属性!$DW224-2)*20+卡牌属性!$DX224)</f>
        <v>750</v>
      </c>
      <c r="FR224" s="14">
        <f>INDEX(属性投放!$BS$6:$BS$85,(卡牌属性!$DW224-2)*20+卡牌属性!$DX224)</f>
        <v>15000</v>
      </c>
      <c r="FS224" s="14">
        <f>INDEX(属性投放!$BS$6:$BS$85,(卡牌属性!$DW224-2)*20+卡牌属性!$DX224)</f>
        <v>15000</v>
      </c>
      <c r="FT224" s="14">
        <f>INDEX(属性投放!$BS$6:$BS$85,(卡牌属性!$DW224-2)*20+卡牌属性!$DX224)</f>
        <v>15000</v>
      </c>
      <c r="FU224" s="14">
        <f>INDEX(属性投放!$BS$6:$BS$85,(卡牌属性!$DW224-2)*20+卡牌属性!$DX224)</f>
        <v>15000</v>
      </c>
      <c r="FV224" s="14">
        <f>INDEX(属性投放!$BS$6:$BS$85,(卡牌属性!$DW224-2)*20+卡牌属性!$DX224)</f>
        <v>15000</v>
      </c>
    </row>
    <row r="225" spans="31:178" ht="16.5" x14ac:dyDescent="0.2">
      <c r="AE225" s="13">
        <v>221</v>
      </c>
      <c r="AF225" s="13">
        <f t="shared" si="474"/>
        <v>12</v>
      </c>
      <c r="AG225" s="13">
        <f t="shared" si="461"/>
        <v>2</v>
      </c>
      <c r="AH225" s="13"/>
      <c r="AI225" s="13"/>
      <c r="AJ225" s="14">
        <f t="shared" si="462"/>
        <v>1101012</v>
      </c>
      <c r="AK225" s="14" t="str">
        <f t="shared" si="463"/>
        <v>南御夫1突</v>
      </c>
      <c r="AL225" s="25" t="s">
        <v>142</v>
      </c>
      <c r="AM225" s="14">
        <v>1</v>
      </c>
      <c r="AN225" s="14">
        <f t="shared" si="464"/>
        <v>1</v>
      </c>
      <c r="AO225" s="14">
        <f>INDEX(属性投放!$DF$6:$DF$85,(卡牌属性!AG225-2)*20+卡牌属性!AN225)</f>
        <v>100</v>
      </c>
      <c r="AP225" s="14">
        <f t="shared" ref="AP225:AS244" si="505">$AO225</f>
        <v>100</v>
      </c>
      <c r="AQ225" s="14">
        <f t="shared" si="505"/>
        <v>100</v>
      </c>
      <c r="AR225" s="14">
        <f t="shared" si="505"/>
        <v>100</v>
      </c>
      <c r="AS225" s="14">
        <f t="shared" si="505"/>
        <v>100</v>
      </c>
      <c r="AT225" s="14">
        <f>INDEX(属性投放!$DG$6:$DG$85,(卡牌属性!AG225-2)*20+卡牌属性!AN225)</f>
        <v>0</v>
      </c>
      <c r="AU225" s="14">
        <f t="shared" ref="AU225:AX244" si="506">$AT225</f>
        <v>0</v>
      </c>
      <c r="AV225" s="14">
        <f t="shared" si="506"/>
        <v>0</v>
      </c>
      <c r="AW225" s="14">
        <f t="shared" si="506"/>
        <v>0</v>
      </c>
      <c r="AX225" s="14">
        <f t="shared" si="506"/>
        <v>0</v>
      </c>
      <c r="AY225" s="14">
        <f>INDEX(属性投放!$DH$6:$DH$85,(卡牌属性!AG225-2)*20+卡牌属性!AN225)</f>
        <v>250.00000000000003</v>
      </c>
      <c r="AZ225" s="14">
        <f t="shared" ref="AZ225:BC244" si="507">$AY225</f>
        <v>250.00000000000003</v>
      </c>
      <c r="BA225" s="14">
        <f t="shared" si="507"/>
        <v>250.00000000000003</v>
      </c>
      <c r="BB225" s="14">
        <f t="shared" si="507"/>
        <v>250.00000000000003</v>
      </c>
      <c r="BC225" s="14">
        <f t="shared" si="507"/>
        <v>250.00000000000003</v>
      </c>
      <c r="BD225" s="14">
        <f>INDEX(属性投放!$DL$6:$DL$85,(卡牌属性!AG225-2)*20+卡牌属性!AN225)</f>
        <v>6</v>
      </c>
      <c r="BE225" s="14">
        <f t="shared" ref="BE225:BH244" si="508">$BD225</f>
        <v>6</v>
      </c>
      <c r="BF225" s="14">
        <f t="shared" si="508"/>
        <v>6</v>
      </c>
      <c r="BG225" s="14">
        <f t="shared" si="508"/>
        <v>6</v>
      </c>
      <c r="BH225" s="14">
        <f t="shared" si="508"/>
        <v>6</v>
      </c>
      <c r="BI225" s="14">
        <f>INDEX(属性投放!$DM$6:$DM$85,(卡牌属性!AG225-2)*20+卡牌属性!AN225)</f>
        <v>3</v>
      </c>
      <c r="BJ225" s="14">
        <f t="shared" ref="BJ225:BM244" si="509">$BI225</f>
        <v>3</v>
      </c>
      <c r="BK225" s="14">
        <f t="shared" si="509"/>
        <v>3</v>
      </c>
      <c r="BL225" s="14">
        <f t="shared" si="509"/>
        <v>3</v>
      </c>
      <c r="BM225" s="14">
        <f t="shared" si="509"/>
        <v>3</v>
      </c>
      <c r="BN225" s="14">
        <f>INDEX(属性投放!$DN$6:$DN$85,(卡牌属性!AG225-2)*20+卡牌属性!AN225)</f>
        <v>36</v>
      </c>
      <c r="BO225" s="14">
        <f t="shared" ref="BO225:BR244" si="510">$BN225</f>
        <v>36</v>
      </c>
      <c r="BP225" s="14">
        <f t="shared" si="510"/>
        <v>36</v>
      </c>
      <c r="BQ225" s="14">
        <f t="shared" si="510"/>
        <v>36</v>
      </c>
      <c r="BR225" s="14">
        <f t="shared" si="510"/>
        <v>36</v>
      </c>
      <c r="BW225" s="13">
        <v>221</v>
      </c>
      <c r="BX225" s="13">
        <f t="shared" si="465"/>
        <v>12</v>
      </c>
      <c r="BY225" s="14">
        <f t="shared" si="466"/>
        <v>5</v>
      </c>
      <c r="BZ225" s="14">
        <f t="shared" si="475"/>
        <v>1102012</v>
      </c>
      <c r="CA225" s="14" t="str">
        <f t="shared" si="476"/>
        <v>夏侯惇1突</v>
      </c>
      <c r="CB225" s="25" t="s">
        <v>142</v>
      </c>
      <c r="CC225" s="14">
        <v>2</v>
      </c>
      <c r="CD225" s="14">
        <f t="shared" si="467"/>
        <v>1</v>
      </c>
      <c r="CE225" s="14" t="s">
        <v>21</v>
      </c>
      <c r="CF225" s="14">
        <f>INDEX(属性投放!$AZ$6:$AZ$85,(BY225-2)*20+CD225)</f>
        <v>300</v>
      </c>
      <c r="CG225" s="14" t="s">
        <v>22</v>
      </c>
      <c r="CH225" s="14">
        <f>INDEX(属性投放!$BA$6:$BA$85,(BY225-2)*20+CD225)</f>
        <v>50</v>
      </c>
      <c r="CI225" s="14" t="s">
        <v>510</v>
      </c>
      <c r="CJ225" s="14">
        <f>INDEX(属性投放!$BB$6:$BB$85,(BY225-2)*20+CD225)</f>
        <v>1200</v>
      </c>
      <c r="CK225" s="14" t="s">
        <v>21</v>
      </c>
      <c r="CL225" s="14">
        <f>INDEX(属性投放!$BC$6:$BC$85,(BY225-2)*20+CD225)</f>
        <v>15</v>
      </c>
      <c r="CM225" s="14" t="s">
        <v>22</v>
      </c>
      <c r="CN225" s="14">
        <f>INDEX(属性投放!$BD$6:$BD$85,(BY225-2)*20+CD225)</f>
        <v>8</v>
      </c>
      <c r="CO225" s="14" t="s">
        <v>510</v>
      </c>
      <c r="CP225" s="14">
        <f>INDEX(属性投放!$BE$6:$BE$85,(BY225-2)*20+CD225)</f>
        <v>90</v>
      </c>
      <c r="CS225" s="13">
        <v>221</v>
      </c>
      <c r="CT225" s="13">
        <f t="shared" si="477"/>
        <v>5</v>
      </c>
      <c r="CU225" s="13">
        <f t="shared" si="478"/>
        <v>13</v>
      </c>
      <c r="CV225" s="14">
        <f t="shared" si="479"/>
        <v>3</v>
      </c>
      <c r="CW225" s="14">
        <f t="shared" si="480"/>
        <v>1102005</v>
      </c>
      <c r="CX225" s="14" t="str">
        <f>INDEX($O$6:$O$50,CT225)&amp;"-"&amp;INDEX(属性投放!$AB$7:$AB$50,CZ225)&amp;"-魂火-"&amp;DB225</f>
        <v>李轩辕-叫唤-魂火-2</v>
      </c>
      <c r="CY225" s="25" t="s">
        <v>142</v>
      </c>
      <c r="CZ225" s="14">
        <f>INDEX(属性投放!$AM$7:$AM$58,CU225)</f>
        <v>7</v>
      </c>
      <c r="DA225" s="14" t="s">
        <v>537</v>
      </c>
      <c r="DB225" s="14">
        <f>INDEX(属性投放!$AN$7:$AN$58,CU225)</f>
        <v>2</v>
      </c>
      <c r="DC225" s="14">
        <f t="shared" si="468"/>
        <v>13</v>
      </c>
      <c r="DD225" s="14">
        <f>INDEX(属性投放!$AO$7:$AO$58,DC225)</f>
        <v>50</v>
      </c>
      <c r="DE225" s="14" t="s">
        <v>538</v>
      </c>
      <c r="DF225" s="14">
        <f>INDEX(属性投放!$BK$6:$BK$85,(CV225-2)*20+CZ225)</f>
        <v>70</v>
      </c>
      <c r="DG225" s="14">
        <f>SUMIFS(DF$5:DF225,$CT$5:$CT225,"="&amp;$CT225)</f>
        <v>540</v>
      </c>
      <c r="DH225" s="14" t="s">
        <v>539</v>
      </c>
      <c r="DI225" s="14">
        <f>INDEX(属性投放!$BL$6:$BL$85,(CV225-2)*20+CZ225)</f>
        <v>35</v>
      </c>
      <c r="DJ225" s="14">
        <f>SUMIFS(DI$5:DI225,$CT$5:$CT225,"="&amp;$CT225)</f>
        <v>272</v>
      </c>
      <c r="DK225" s="14" t="s">
        <v>540</v>
      </c>
      <c r="DL225" s="14">
        <f>INDEX(属性投放!$BM$6:$BM$85,(CV225-2)*20+CZ225)</f>
        <v>560</v>
      </c>
      <c r="DM225" s="14">
        <f>SUMIFS(DL$5:DL225,$CT$5:$CT225,"="&amp;$CT225)</f>
        <v>3790</v>
      </c>
      <c r="DR225" s="14">
        <f t="shared" si="469"/>
        <v>1102012</v>
      </c>
      <c r="DS225" s="14" t="str">
        <f t="shared" si="470"/>
        <v>夏侯惇1突</v>
      </c>
      <c r="DT225" s="14">
        <f t="shared" si="481"/>
        <v>7</v>
      </c>
      <c r="DU225" s="14">
        <f t="shared" si="482"/>
        <v>7</v>
      </c>
      <c r="DV225" s="14">
        <f t="shared" si="483"/>
        <v>9</v>
      </c>
      <c r="DW225" s="14">
        <f t="shared" si="471"/>
        <v>5</v>
      </c>
      <c r="DX225" s="14">
        <f t="shared" si="472"/>
        <v>1</v>
      </c>
      <c r="DY225" s="14">
        <f t="shared" si="473"/>
        <v>61</v>
      </c>
      <c r="DZ225" s="14">
        <f>INDEX(属性投放!$AX$6:$AX$85,(卡牌属性!DW225-2)*20+卡牌属性!DX225)</f>
        <v>4</v>
      </c>
      <c r="EA225" s="14">
        <f>INDEX(属性投放!BQ$6:BQ$85,卡牌属性!$DY225)</f>
        <v>40</v>
      </c>
      <c r="EB225" s="14">
        <f>INDEX(属性投放!BR$6:BR$85,卡牌属性!$DY225)</f>
        <v>20</v>
      </c>
      <c r="EC225" s="14">
        <f>INDEX(属性投放!BS$6:BS$85,卡牌属性!$DY225)</f>
        <v>240</v>
      </c>
      <c r="ED225" s="14">
        <f>INDEX(属性偏向!$I$4:$I$15,卡牌属性!$DT225+ED$3)</f>
        <v>200</v>
      </c>
      <c r="EE225" s="14">
        <f>INDEX(属性偏向!$I$4:$I$15,卡牌属性!$DT225+EE$3)</f>
        <v>250</v>
      </c>
      <c r="EF225" s="14">
        <f>INDEX(属性偏向!$I$4:$I$15,卡牌属性!$DT225+EF$3)</f>
        <v>300</v>
      </c>
      <c r="EG225" s="14">
        <f>INDEX(属性偏向!$I$4:$I$15,卡牌属性!$DT225+EG$3)</f>
        <v>300</v>
      </c>
      <c r="EH225" s="14">
        <f>INDEX(属性偏向!$I$4:$I$15,卡牌属性!$DT225+EH$3)</f>
        <v>350</v>
      </c>
      <c r="EI225" s="14">
        <f>INDEX(属性偏向!$J$4:$J$15,卡牌属性!$DU225+EI$3)</f>
        <v>50</v>
      </c>
      <c r="EJ225" s="14">
        <f>INDEX(属性偏向!$J$4:$J$15,卡牌属性!$DU225+EJ$3)</f>
        <v>75</v>
      </c>
      <c r="EK225" s="14">
        <f>INDEX(属性偏向!$J$4:$J$15,卡牌属性!$DU225+EK$3)</f>
        <v>75</v>
      </c>
      <c r="EL225" s="14">
        <f>INDEX(属性偏向!$J$4:$J$15,卡牌属性!$DU225+EL$3)</f>
        <v>100</v>
      </c>
      <c r="EM225" s="14">
        <f>INDEX(属性偏向!$J$4:$J$15,卡牌属性!$DU225+EM$3)</f>
        <v>150</v>
      </c>
      <c r="EN225" s="14">
        <f>INDEX(属性偏向!$K$4:$K$15,卡牌属性!$DV225+EN$3)</f>
        <v>1200</v>
      </c>
      <c r="EO225" s="14">
        <f>INDEX(属性偏向!$K$4:$K$15,卡牌属性!$DV225+EO$3)</f>
        <v>1500</v>
      </c>
      <c r="EP225" s="14">
        <f>INDEX(属性偏向!$K$4:$K$15,卡牌属性!$DV225+EP$3)</f>
        <v>1500</v>
      </c>
      <c r="EQ225" s="14">
        <f>INDEX(属性偏向!$K$4:$K$15,卡牌属性!$DV225+EQ$3)</f>
        <v>2000</v>
      </c>
      <c r="ER225" s="14">
        <f>INDEX(属性偏向!$K$4:$K$15,卡牌属性!$DV225+ER$3)</f>
        <v>2500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90</v>
      </c>
      <c r="FD225" s="14">
        <f>INDEX(属性偏向!$U$4:$U$243,(卡牌属性!$DV225-1+FD$3)*20+卡牌属性!$DX225)</f>
        <v>120</v>
      </c>
      <c r="FE225" s="14">
        <f>INDEX(属性偏向!$U$4:$U$243,(卡牌属性!$DV225-1+FE$3)*20+卡牌属性!$DX225)</f>
        <v>120</v>
      </c>
      <c r="FF225" s="14">
        <f>INDEX(属性偏向!$U$4:$U$243,(卡牌属性!$DV225-1+FF$3)*20+卡牌属性!$DX225)</f>
        <v>150</v>
      </c>
      <c r="FG225" s="14">
        <f>INDEX(属性偏向!$U$4:$U$243,(卡牌属性!$DV225-1+FG$3)*20+卡牌属性!$DX225)</f>
        <v>180</v>
      </c>
      <c r="FH225" s="14">
        <f>INDEX(属性投放!$BQ$6:$BQ$85,(卡牌属性!$DW225-2)*20+卡牌属性!$DX225)</f>
        <v>40</v>
      </c>
      <c r="FI225" s="14">
        <f>INDEX(属性投放!$BQ$6:$BQ$85,(卡牌属性!$DW225-2)*20+卡牌属性!$DX225)</f>
        <v>40</v>
      </c>
      <c r="FJ225" s="14">
        <f>INDEX(属性投放!$BQ$6:$BQ$85,(卡牌属性!$DW225-2)*20+卡牌属性!$DX225)</f>
        <v>40</v>
      </c>
      <c r="FK225" s="14">
        <f>INDEX(属性投放!$BQ$6:$BQ$85,(卡牌属性!$DW225-2)*20+卡牌属性!$DX225)</f>
        <v>40</v>
      </c>
      <c r="FL225" s="14">
        <f>INDEX(属性投放!$BQ$6:$BQ$85,(卡牌属性!$DW225-2)*20+卡牌属性!$DX225)</f>
        <v>40</v>
      </c>
      <c r="FM225" s="14">
        <f>INDEX(属性投放!$BR$6:$BR$85,(卡牌属性!$DW225-2)*20+卡牌属性!$DX225)</f>
        <v>20</v>
      </c>
      <c r="FN225" s="14">
        <f>INDEX(属性投放!$BR$6:$BR$85,(卡牌属性!$DW225-2)*20+卡牌属性!$DX225)</f>
        <v>20</v>
      </c>
      <c r="FO225" s="14">
        <f>INDEX(属性投放!$BR$6:$BR$85,(卡牌属性!$DW225-2)*20+卡牌属性!$DX225)</f>
        <v>20</v>
      </c>
      <c r="FP225" s="14">
        <f>INDEX(属性投放!$BR$6:$BR$85,(卡牌属性!$DW225-2)*20+卡牌属性!$DX225)</f>
        <v>20</v>
      </c>
      <c r="FQ225" s="14">
        <f>INDEX(属性投放!$BR$6:$BR$85,(卡牌属性!$DW225-2)*20+卡牌属性!$DX225)</f>
        <v>20</v>
      </c>
      <c r="FR225" s="14">
        <f>INDEX(属性投放!$BS$6:$BS$85,(卡牌属性!$DW225-2)*20+卡牌属性!$DX225)</f>
        <v>240</v>
      </c>
      <c r="FS225" s="14">
        <f>INDEX(属性投放!$BS$6:$BS$85,(卡牌属性!$DW225-2)*20+卡牌属性!$DX225)</f>
        <v>240</v>
      </c>
      <c r="FT225" s="14">
        <f>INDEX(属性投放!$BS$6:$BS$85,(卡牌属性!$DW225-2)*20+卡牌属性!$DX225)</f>
        <v>240</v>
      </c>
      <c r="FU225" s="14">
        <f>INDEX(属性投放!$BS$6:$BS$85,(卡牌属性!$DW225-2)*20+卡牌属性!$DX225)</f>
        <v>240</v>
      </c>
      <c r="FV225" s="14">
        <f>INDEX(属性投放!$BS$6:$BS$85,(卡牌属性!$DW225-2)*20+卡牌属性!$DX225)</f>
        <v>240</v>
      </c>
    </row>
    <row r="226" spans="31:178" ht="16.5" x14ac:dyDescent="0.2">
      <c r="AE226" s="13">
        <v>222</v>
      </c>
      <c r="AF226" s="13">
        <f t="shared" si="474"/>
        <v>12</v>
      </c>
      <c r="AG226" s="13">
        <f t="shared" si="461"/>
        <v>2</v>
      </c>
      <c r="AH226" s="13"/>
      <c r="AI226" s="13"/>
      <c r="AJ226" s="14">
        <f t="shared" si="462"/>
        <v>1101012</v>
      </c>
      <c r="AK226" s="14" t="str">
        <f t="shared" si="463"/>
        <v>南御夫2突</v>
      </c>
      <c r="AL226" s="25" t="s">
        <v>142</v>
      </c>
      <c r="AM226" s="14">
        <v>1</v>
      </c>
      <c r="AN226" s="14">
        <f t="shared" si="464"/>
        <v>2</v>
      </c>
      <c r="AO226" s="14">
        <f>INDEX(属性投放!$DF$6:$DF$85,(卡牌属性!AG226-2)*20+卡牌属性!AN226)</f>
        <v>160</v>
      </c>
      <c r="AP226" s="14">
        <f t="shared" si="505"/>
        <v>160</v>
      </c>
      <c r="AQ226" s="14">
        <f t="shared" si="505"/>
        <v>160</v>
      </c>
      <c r="AR226" s="14">
        <f t="shared" si="505"/>
        <v>160</v>
      </c>
      <c r="AS226" s="14">
        <f t="shared" si="505"/>
        <v>160</v>
      </c>
      <c r="AT226" s="14">
        <f>INDEX(属性投放!$DG$6:$DG$85,(卡牌属性!AG226-2)*20+卡牌属性!AN226)</f>
        <v>30</v>
      </c>
      <c r="AU226" s="14">
        <f t="shared" si="506"/>
        <v>30</v>
      </c>
      <c r="AV226" s="14">
        <f t="shared" si="506"/>
        <v>30</v>
      </c>
      <c r="AW226" s="14">
        <f t="shared" si="506"/>
        <v>30</v>
      </c>
      <c r="AX226" s="14">
        <f t="shared" si="506"/>
        <v>30</v>
      </c>
      <c r="AY226" s="14">
        <f>INDEX(属性投放!$DH$6:$DH$85,(卡牌属性!AG226-2)*20+卡牌属性!AN226)</f>
        <v>610</v>
      </c>
      <c r="AZ226" s="14">
        <f t="shared" si="507"/>
        <v>610</v>
      </c>
      <c r="BA226" s="14">
        <f t="shared" si="507"/>
        <v>610</v>
      </c>
      <c r="BB226" s="14">
        <f t="shared" si="507"/>
        <v>610</v>
      </c>
      <c r="BC226" s="14">
        <f t="shared" si="507"/>
        <v>610</v>
      </c>
      <c r="BD226" s="14">
        <f>INDEX(属性投放!$DL$6:$DL$85,(卡牌属性!AG226-2)*20+卡牌属性!AN226)</f>
        <v>12</v>
      </c>
      <c r="BE226" s="14">
        <f t="shared" si="508"/>
        <v>12</v>
      </c>
      <c r="BF226" s="14">
        <f t="shared" si="508"/>
        <v>12</v>
      </c>
      <c r="BG226" s="14">
        <f t="shared" si="508"/>
        <v>12</v>
      </c>
      <c r="BH226" s="14">
        <f t="shared" si="508"/>
        <v>12</v>
      </c>
      <c r="BI226" s="14">
        <f>INDEX(属性投放!$DM$6:$DM$85,(卡牌属性!AG226-2)*20+卡牌属性!AN226)</f>
        <v>6</v>
      </c>
      <c r="BJ226" s="14">
        <f t="shared" si="509"/>
        <v>6</v>
      </c>
      <c r="BK226" s="14">
        <f t="shared" si="509"/>
        <v>6</v>
      </c>
      <c r="BL226" s="14">
        <f t="shared" si="509"/>
        <v>6</v>
      </c>
      <c r="BM226" s="14">
        <f t="shared" si="509"/>
        <v>6</v>
      </c>
      <c r="BN226" s="14">
        <f>INDEX(属性投放!$DN$6:$DN$85,(卡牌属性!AG226-2)*20+卡牌属性!AN226)</f>
        <v>70</v>
      </c>
      <c r="BO226" s="14">
        <f t="shared" si="510"/>
        <v>70</v>
      </c>
      <c r="BP226" s="14">
        <f t="shared" si="510"/>
        <v>70</v>
      </c>
      <c r="BQ226" s="14">
        <f t="shared" si="510"/>
        <v>70</v>
      </c>
      <c r="BR226" s="14">
        <f t="shared" si="510"/>
        <v>70</v>
      </c>
      <c r="BW226" s="13">
        <v>222</v>
      </c>
      <c r="BX226" s="13">
        <f t="shared" si="465"/>
        <v>12</v>
      </c>
      <c r="BY226" s="14">
        <f t="shared" si="466"/>
        <v>5</v>
      </c>
      <c r="BZ226" s="14">
        <f t="shared" si="475"/>
        <v>1102012</v>
      </c>
      <c r="CA226" s="14" t="str">
        <f t="shared" si="476"/>
        <v>夏侯惇2突</v>
      </c>
      <c r="CB226" s="25" t="s">
        <v>142</v>
      </c>
      <c r="CC226" s="14">
        <v>2</v>
      </c>
      <c r="CD226" s="14">
        <f t="shared" si="467"/>
        <v>2</v>
      </c>
      <c r="CE226" s="14" t="s">
        <v>21</v>
      </c>
      <c r="CF226" s="14">
        <f>INDEX(属性投放!$AZ$6:$AZ$85,(BY226-2)*20+CD226)</f>
        <v>435</v>
      </c>
      <c r="CG226" s="14" t="s">
        <v>22</v>
      </c>
      <c r="CH226" s="14">
        <f>INDEX(属性投放!$BA$6:$BA$85,(BY226-2)*20+CD226)</f>
        <v>120</v>
      </c>
      <c r="CI226" s="14" t="s">
        <v>510</v>
      </c>
      <c r="CJ226" s="14">
        <f>INDEX(属性投放!$BB$6:$BB$85,(BY226-2)*20+CD226)</f>
        <v>2010</v>
      </c>
      <c r="CK226" s="14" t="s">
        <v>21</v>
      </c>
      <c r="CL226" s="14">
        <f>INDEX(属性投放!$BC$6:$BC$85,(BY226-2)*20+CD226)</f>
        <v>20</v>
      </c>
      <c r="CM226" s="14" t="s">
        <v>22</v>
      </c>
      <c r="CN226" s="14">
        <f>INDEX(属性投放!$BD$6:$BD$85,(BY226-2)*20+CD226)</f>
        <v>10</v>
      </c>
      <c r="CO226" s="14" t="s">
        <v>510</v>
      </c>
      <c r="CP226" s="14">
        <f>INDEX(属性投放!$BE$6:$BE$85,(BY226-2)*20+CD226)</f>
        <v>120</v>
      </c>
      <c r="CS226" s="13">
        <v>222</v>
      </c>
      <c r="CT226" s="13">
        <f t="shared" si="477"/>
        <v>5</v>
      </c>
      <c r="CU226" s="13">
        <f t="shared" si="478"/>
        <v>14</v>
      </c>
      <c r="CV226" s="14">
        <f t="shared" si="479"/>
        <v>3</v>
      </c>
      <c r="CW226" s="14">
        <f t="shared" si="480"/>
        <v>1102005</v>
      </c>
      <c r="CX226" s="14" t="str">
        <f>INDEX($O$6:$O$50,CT226)&amp;"-"&amp;INDEX(属性投放!$AB$7:$AB$50,CZ226)&amp;"-魂火-"&amp;DB226</f>
        <v>李轩辕-叫唤+1-魂火-1</v>
      </c>
      <c r="CY226" s="25" t="s">
        <v>142</v>
      </c>
      <c r="CZ226" s="14">
        <f>INDEX(属性投放!$AM$7:$AM$58,CU226)</f>
        <v>8</v>
      </c>
      <c r="DA226" s="14" t="s">
        <v>537</v>
      </c>
      <c r="DB226" s="14">
        <f>INDEX(属性投放!$AN$7:$AN$58,CU226)</f>
        <v>1</v>
      </c>
      <c r="DC226" s="14">
        <f t="shared" si="468"/>
        <v>14</v>
      </c>
      <c r="DD226" s="14">
        <f>INDEX(属性投放!$AO$7:$AO$58,DC226)</f>
        <v>53</v>
      </c>
      <c r="DE226" s="14" t="s">
        <v>538</v>
      </c>
      <c r="DF226" s="14">
        <f>INDEX(属性投放!$BK$6:$BK$85,(CV226-2)*20+CZ226)</f>
        <v>85</v>
      </c>
      <c r="DG226" s="14">
        <f>SUMIFS(DF$5:DF226,$CT$5:$CT226,"="&amp;$CT226)</f>
        <v>625</v>
      </c>
      <c r="DH226" s="14" t="s">
        <v>539</v>
      </c>
      <c r="DI226" s="14">
        <f>INDEX(属性投放!$BL$6:$BL$85,(CV226-2)*20+CZ226)</f>
        <v>43</v>
      </c>
      <c r="DJ226" s="14">
        <f>SUMIFS(DI$5:DI226,$CT$5:$CT226,"="&amp;$CT226)</f>
        <v>315</v>
      </c>
      <c r="DK226" s="14" t="s">
        <v>540</v>
      </c>
      <c r="DL226" s="14">
        <f>INDEX(属性投放!$BM$6:$BM$85,(CV226-2)*20+CZ226)</f>
        <v>680</v>
      </c>
      <c r="DM226" s="14">
        <f>SUMIFS(DL$5:DL226,$CT$5:$CT226,"="&amp;$CT226)</f>
        <v>4470</v>
      </c>
      <c r="DR226" s="14">
        <f t="shared" si="469"/>
        <v>1102012</v>
      </c>
      <c r="DS226" s="14" t="str">
        <f t="shared" si="470"/>
        <v>夏侯惇2突</v>
      </c>
      <c r="DT226" s="14">
        <f t="shared" si="481"/>
        <v>7</v>
      </c>
      <c r="DU226" s="14">
        <f t="shared" si="482"/>
        <v>7</v>
      </c>
      <c r="DV226" s="14">
        <f t="shared" si="483"/>
        <v>9</v>
      </c>
      <c r="DW226" s="14">
        <f t="shared" si="471"/>
        <v>5</v>
      </c>
      <c r="DX226" s="14">
        <f t="shared" si="472"/>
        <v>2</v>
      </c>
      <c r="DY226" s="14">
        <f t="shared" si="473"/>
        <v>62</v>
      </c>
      <c r="DZ226" s="14">
        <f>INDEX(属性投放!$AX$6:$AX$85,(卡牌属性!DW226-2)*20+卡牌属性!DX226)</f>
        <v>10</v>
      </c>
      <c r="EA226" s="14">
        <f>INDEX(属性投放!BQ$6:BQ$85,卡牌属性!$DY226)</f>
        <v>50</v>
      </c>
      <c r="EB226" s="14">
        <f>INDEX(属性投放!BR$6:BR$85,卡牌属性!$DY226)</f>
        <v>25</v>
      </c>
      <c r="EC226" s="14">
        <f>INDEX(属性投放!BS$6:BS$85,卡牌属性!$DY226)</f>
        <v>300</v>
      </c>
      <c r="ED226" s="14">
        <f t="shared" ref="ED226:ED244" si="511">ED225+$EA225+ES225*$DZ225</f>
        <v>288</v>
      </c>
      <c r="EE226" s="14">
        <f t="shared" ref="EE226:EE244" si="512">EE225+$EA225+ET225*$DZ225</f>
        <v>342</v>
      </c>
      <c r="EF226" s="14">
        <f t="shared" ref="EF226:EF244" si="513">EF225+$EA225+EU225*$DZ225</f>
        <v>400</v>
      </c>
      <c r="EG226" s="14">
        <f t="shared" ref="EG226:EG244" si="514">EG225+$EA225+EV225*$DZ225</f>
        <v>400</v>
      </c>
      <c r="EH226" s="14">
        <f t="shared" ref="EH226:EH244" si="515">EH225+$EA225+EW225*$DZ225</f>
        <v>470</v>
      </c>
      <c r="EI226" s="14">
        <f t="shared" ref="EI226:EI244" si="516">EI225+$EB225+EX225*$DZ225</f>
        <v>94</v>
      </c>
      <c r="EJ226" s="14">
        <f t="shared" ref="EJ226:EJ244" si="517">EJ225+$EB225+EY225*$DZ225</f>
        <v>123</v>
      </c>
      <c r="EK226" s="14">
        <f t="shared" ref="EK226:EK244" si="518">EK225+$EB225+EZ225*$DZ225</f>
        <v>123</v>
      </c>
      <c r="EL226" s="14">
        <f t="shared" ref="EL226:EL244" si="519">EL225+$EB225+FA225*$DZ225</f>
        <v>152</v>
      </c>
      <c r="EM226" s="14">
        <f t="shared" ref="EM226:EM244" si="520">EM225+$EB225+FB225*$DZ225</f>
        <v>210</v>
      </c>
      <c r="EN226" s="14">
        <f t="shared" ref="EN226:EN244" si="521">EN225+$EC225+FC225*$DZ225</f>
        <v>1800</v>
      </c>
      <c r="EO226" s="14">
        <f t="shared" ref="EO226:EO244" si="522">EO225+$EC225+FD225*$DZ225</f>
        <v>2220</v>
      </c>
      <c r="EP226" s="14">
        <f t="shared" ref="EP226:EP244" si="523">EP225+$EC225+FE225*$DZ225</f>
        <v>2220</v>
      </c>
      <c r="EQ226" s="14">
        <f t="shared" ref="EQ226:EQ244" si="524">EQ225+$EC225+FF225*$DZ225</f>
        <v>2840</v>
      </c>
      <c r="ER226" s="14">
        <f t="shared" ref="ER226:ER244" si="525">ER225+$EC225+FG225*$DZ225</f>
        <v>3460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120</v>
      </c>
      <c r="FD226" s="14">
        <f>INDEX(属性偏向!$U$4:$U$243,(卡牌属性!$DV226-1+FD$3)*20+卡牌属性!$DX226)</f>
        <v>150</v>
      </c>
      <c r="FE226" s="14">
        <f>INDEX(属性偏向!$U$4:$U$243,(卡牌属性!$DV226-1+FE$3)*20+卡牌属性!$DX226)</f>
        <v>150</v>
      </c>
      <c r="FF226" s="14">
        <f>INDEX(属性偏向!$U$4:$U$243,(卡牌属性!$DV226-1+FF$3)*20+卡牌属性!$DX226)</f>
        <v>180</v>
      </c>
      <c r="FG226" s="14">
        <f>INDEX(属性偏向!$U$4:$U$243,(卡牌属性!$DV226-1+FG$3)*20+卡牌属性!$DX226)</f>
        <v>240</v>
      </c>
      <c r="FH226" s="14">
        <f>INDEX(属性投放!$BQ$6:$BQ$85,(卡牌属性!$DW226-2)*20+卡牌属性!$DX226)</f>
        <v>50</v>
      </c>
      <c r="FI226" s="14">
        <f>INDEX(属性投放!$BQ$6:$BQ$85,(卡牌属性!$DW226-2)*20+卡牌属性!$DX226)</f>
        <v>50</v>
      </c>
      <c r="FJ226" s="14">
        <f>INDEX(属性投放!$BQ$6:$BQ$85,(卡牌属性!$DW226-2)*20+卡牌属性!$DX226)</f>
        <v>50</v>
      </c>
      <c r="FK226" s="14">
        <f>INDEX(属性投放!$BQ$6:$BQ$85,(卡牌属性!$DW226-2)*20+卡牌属性!$DX226)</f>
        <v>50</v>
      </c>
      <c r="FL226" s="14">
        <f>INDEX(属性投放!$BQ$6:$BQ$85,(卡牌属性!$DW226-2)*20+卡牌属性!$DX226)</f>
        <v>50</v>
      </c>
      <c r="FM226" s="14">
        <f>INDEX(属性投放!$BR$6:$BR$85,(卡牌属性!$DW226-2)*20+卡牌属性!$DX226)</f>
        <v>25</v>
      </c>
      <c r="FN226" s="14">
        <f>INDEX(属性投放!$BR$6:$BR$85,(卡牌属性!$DW226-2)*20+卡牌属性!$DX226)</f>
        <v>25</v>
      </c>
      <c r="FO226" s="14">
        <f>INDEX(属性投放!$BR$6:$BR$85,(卡牌属性!$DW226-2)*20+卡牌属性!$DX226)</f>
        <v>25</v>
      </c>
      <c r="FP226" s="14">
        <f>INDEX(属性投放!$BR$6:$BR$85,(卡牌属性!$DW226-2)*20+卡牌属性!$DX226)</f>
        <v>25</v>
      </c>
      <c r="FQ226" s="14">
        <f>INDEX(属性投放!$BR$6:$BR$85,(卡牌属性!$DW226-2)*20+卡牌属性!$DX226)</f>
        <v>25</v>
      </c>
      <c r="FR226" s="14">
        <f>INDEX(属性投放!$BS$6:$BS$85,(卡牌属性!$DW226-2)*20+卡牌属性!$DX226)</f>
        <v>300</v>
      </c>
      <c r="FS226" s="14">
        <f>INDEX(属性投放!$BS$6:$BS$85,(卡牌属性!$DW226-2)*20+卡牌属性!$DX226)</f>
        <v>300</v>
      </c>
      <c r="FT226" s="14">
        <f>INDEX(属性投放!$BS$6:$BS$85,(卡牌属性!$DW226-2)*20+卡牌属性!$DX226)</f>
        <v>300</v>
      </c>
      <c r="FU226" s="14">
        <f>INDEX(属性投放!$BS$6:$BS$85,(卡牌属性!$DW226-2)*20+卡牌属性!$DX226)</f>
        <v>300</v>
      </c>
      <c r="FV226" s="14">
        <f>INDEX(属性投放!$BS$6:$BS$85,(卡牌属性!$DW226-2)*20+卡牌属性!$DX226)</f>
        <v>300</v>
      </c>
    </row>
    <row r="227" spans="31:178" ht="16.5" x14ac:dyDescent="0.2">
      <c r="AE227" s="13">
        <v>223</v>
      </c>
      <c r="AF227" s="13">
        <f t="shared" si="474"/>
        <v>12</v>
      </c>
      <c r="AG227" s="13">
        <f t="shared" si="461"/>
        <v>2</v>
      </c>
      <c r="AH227" s="13"/>
      <c r="AI227" s="13"/>
      <c r="AJ227" s="14">
        <f t="shared" si="462"/>
        <v>1101012</v>
      </c>
      <c r="AK227" s="14" t="str">
        <f t="shared" si="463"/>
        <v>南御夫3突</v>
      </c>
      <c r="AL227" s="25" t="s">
        <v>142</v>
      </c>
      <c r="AM227" s="14">
        <v>1</v>
      </c>
      <c r="AN227" s="14">
        <f t="shared" si="464"/>
        <v>3</v>
      </c>
      <c r="AO227" s="14">
        <f>INDEX(属性投放!$DF$6:$DF$85,(卡牌属性!AG227-2)*20+卡牌属性!AN227)</f>
        <v>189</v>
      </c>
      <c r="AP227" s="14">
        <f t="shared" si="505"/>
        <v>189</v>
      </c>
      <c r="AQ227" s="14">
        <f t="shared" si="505"/>
        <v>189</v>
      </c>
      <c r="AR227" s="14">
        <f t="shared" si="505"/>
        <v>189</v>
      </c>
      <c r="AS227" s="14">
        <f t="shared" si="505"/>
        <v>189</v>
      </c>
      <c r="AT227" s="14">
        <f>INDEX(属性投放!$DG$6:$DG$85,(卡牌属性!AG227-2)*20+卡牌属性!AN227)</f>
        <v>45</v>
      </c>
      <c r="AU227" s="14">
        <f t="shared" si="506"/>
        <v>45</v>
      </c>
      <c r="AV227" s="14">
        <f t="shared" si="506"/>
        <v>45</v>
      </c>
      <c r="AW227" s="14">
        <f t="shared" si="506"/>
        <v>45</v>
      </c>
      <c r="AX227" s="14">
        <f t="shared" si="506"/>
        <v>45</v>
      </c>
      <c r="AY227" s="14">
        <f>INDEX(属性投放!$DH$6:$DH$85,(卡牌属性!AG227-2)*20+卡牌属性!AN227)</f>
        <v>784</v>
      </c>
      <c r="AZ227" s="14">
        <f t="shared" si="507"/>
        <v>784</v>
      </c>
      <c r="BA227" s="14">
        <f t="shared" si="507"/>
        <v>784</v>
      </c>
      <c r="BB227" s="14">
        <f t="shared" si="507"/>
        <v>784</v>
      </c>
      <c r="BC227" s="14">
        <f t="shared" si="507"/>
        <v>784</v>
      </c>
      <c r="BD227" s="14">
        <f>INDEX(属性投放!$DL$6:$DL$85,(卡牌属性!AG227-2)*20+卡牌属性!AN227)</f>
        <v>12</v>
      </c>
      <c r="BE227" s="14">
        <f t="shared" si="508"/>
        <v>12</v>
      </c>
      <c r="BF227" s="14">
        <f t="shared" si="508"/>
        <v>12</v>
      </c>
      <c r="BG227" s="14">
        <f t="shared" si="508"/>
        <v>12</v>
      </c>
      <c r="BH227" s="14">
        <f t="shared" si="508"/>
        <v>12</v>
      </c>
      <c r="BI227" s="14">
        <f>INDEX(属性投放!$DM$6:$DM$85,(卡牌属性!AG227-2)*20+卡牌属性!AN227)</f>
        <v>6</v>
      </c>
      <c r="BJ227" s="14">
        <f t="shared" si="509"/>
        <v>6</v>
      </c>
      <c r="BK227" s="14">
        <f t="shared" si="509"/>
        <v>6</v>
      </c>
      <c r="BL227" s="14">
        <f t="shared" si="509"/>
        <v>6</v>
      </c>
      <c r="BM227" s="14">
        <f t="shared" si="509"/>
        <v>6</v>
      </c>
      <c r="BN227" s="14">
        <f>INDEX(属性投放!$DN$6:$DN$85,(卡牌属性!AG227-2)*20+卡牌属性!AN227)</f>
        <v>70</v>
      </c>
      <c r="BO227" s="14">
        <f t="shared" si="510"/>
        <v>70</v>
      </c>
      <c r="BP227" s="14">
        <f t="shared" si="510"/>
        <v>70</v>
      </c>
      <c r="BQ227" s="14">
        <f t="shared" si="510"/>
        <v>70</v>
      </c>
      <c r="BR227" s="14">
        <f t="shared" si="510"/>
        <v>70</v>
      </c>
      <c r="BW227" s="13">
        <v>223</v>
      </c>
      <c r="BX227" s="13">
        <f t="shared" si="465"/>
        <v>12</v>
      </c>
      <c r="BY227" s="14">
        <f t="shared" si="466"/>
        <v>5</v>
      </c>
      <c r="BZ227" s="14">
        <f t="shared" si="475"/>
        <v>1102012</v>
      </c>
      <c r="CA227" s="14" t="str">
        <f t="shared" si="476"/>
        <v>夏侯惇3突</v>
      </c>
      <c r="CB227" s="25" t="s">
        <v>142</v>
      </c>
      <c r="CC227" s="14">
        <v>2</v>
      </c>
      <c r="CD227" s="14">
        <f t="shared" si="467"/>
        <v>3</v>
      </c>
      <c r="CE227" s="14" t="s">
        <v>21</v>
      </c>
      <c r="CF227" s="14">
        <f>INDEX(属性投放!$AZ$6:$AZ$85,(BY227-2)*20+CD227)</f>
        <v>765</v>
      </c>
      <c r="CG227" s="14" t="s">
        <v>22</v>
      </c>
      <c r="CH227" s="14">
        <f>INDEX(属性投放!$BA$6:$BA$85,(BY227-2)*20+CD227)</f>
        <v>285</v>
      </c>
      <c r="CI227" s="14" t="s">
        <v>510</v>
      </c>
      <c r="CJ227" s="14">
        <f>INDEX(属性投放!$BB$6:$BB$85,(BY227-2)*20+CD227)</f>
        <v>3990</v>
      </c>
      <c r="CK227" s="14" t="s">
        <v>21</v>
      </c>
      <c r="CL227" s="14">
        <f>INDEX(属性投放!$BC$6:$BC$85,(BY227-2)*20+CD227)</f>
        <v>20</v>
      </c>
      <c r="CM227" s="14" t="s">
        <v>22</v>
      </c>
      <c r="CN227" s="14">
        <f>INDEX(属性投放!$BD$6:$BD$85,(BY227-2)*20+CD227)</f>
        <v>10</v>
      </c>
      <c r="CO227" s="14" t="s">
        <v>510</v>
      </c>
      <c r="CP227" s="14">
        <f>INDEX(属性投放!$BE$6:$BE$85,(BY227-2)*20+CD227)</f>
        <v>120</v>
      </c>
      <c r="CS227" s="13">
        <v>223</v>
      </c>
      <c r="CT227" s="13">
        <f t="shared" si="477"/>
        <v>5</v>
      </c>
      <c r="CU227" s="13">
        <f t="shared" si="478"/>
        <v>15</v>
      </c>
      <c r="CV227" s="14">
        <f t="shared" si="479"/>
        <v>3</v>
      </c>
      <c r="CW227" s="14">
        <f t="shared" si="480"/>
        <v>1102005</v>
      </c>
      <c r="CX227" s="14" t="str">
        <f>INDEX($O$6:$O$50,CT227)&amp;"-"&amp;INDEX(属性投放!$AB$7:$AB$50,CZ227)&amp;"-魂火-"&amp;DB227</f>
        <v>李轩辕-叫唤+1-魂火-2</v>
      </c>
      <c r="CY227" s="25" t="s">
        <v>142</v>
      </c>
      <c r="CZ227" s="14">
        <f>INDEX(属性投放!$AM$7:$AM$58,CU227)</f>
        <v>8</v>
      </c>
      <c r="DA227" s="14" t="s">
        <v>537</v>
      </c>
      <c r="DB227" s="14">
        <f>INDEX(属性投放!$AN$7:$AN$58,CU227)</f>
        <v>2</v>
      </c>
      <c r="DC227" s="14">
        <f t="shared" si="468"/>
        <v>15</v>
      </c>
      <c r="DD227" s="14">
        <f>INDEX(属性投放!$AO$7:$AO$58,DC227)</f>
        <v>55</v>
      </c>
      <c r="DE227" s="14" t="s">
        <v>538</v>
      </c>
      <c r="DF227" s="14">
        <f>INDEX(属性投放!$BK$6:$BK$85,(CV227-2)*20+CZ227)</f>
        <v>85</v>
      </c>
      <c r="DG227" s="14">
        <f>SUMIFS(DF$5:DF227,$CT$5:$CT227,"="&amp;$CT227)</f>
        <v>710</v>
      </c>
      <c r="DH227" s="14" t="s">
        <v>539</v>
      </c>
      <c r="DI227" s="14">
        <f>INDEX(属性投放!$BL$6:$BL$85,(CV227-2)*20+CZ227)</f>
        <v>43</v>
      </c>
      <c r="DJ227" s="14">
        <f>SUMIFS(DI$5:DI227,$CT$5:$CT227,"="&amp;$CT227)</f>
        <v>358</v>
      </c>
      <c r="DK227" s="14" t="s">
        <v>540</v>
      </c>
      <c r="DL227" s="14">
        <f>INDEX(属性投放!$BM$6:$BM$85,(CV227-2)*20+CZ227)</f>
        <v>680</v>
      </c>
      <c r="DM227" s="14">
        <f>SUMIFS(DL$5:DL227,$CT$5:$CT227,"="&amp;$CT227)</f>
        <v>5150</v>
      </c>
      <c r="DR227" s="14">
        <f t="shared" si="469"/>
        <v>1102012</v>
      </c>
      <c r="DS227" s="14" t="str">
        <f t="shared" si="470"/>
        <v>夏侯惇3突</v>
      </c>
      <c r="DT227" s="14">
        <f t="shared" si="481"/>
        <v>7</v>
      </c>
      <c r="DU227" s="14">
        <f t="shared" si="482"/>
        <v>7</v>
      </c>
      <c r="DV227" s="14">
        <f t="shared" si="483"/>
        <v>9</v>
      </c>
      <c r="DW227" s="14">
        <f t="shared" si="471"/>
        <v>5</v>
      </c>
      <c r="DX227" s="14">
        <f t="shared" si="472"/>
        <v>3</v>
      </c>
      <c r="DY227" s="14">
        <f t="shared" si="473"/>
        <v>63</v>
      </c>
      <c r="DZ227" s="14">
        <f>INDEX(属性投放!$AX$6:$AX$85,(卡牌属性!DW227-2)*20+卡牌属性!DX227)</f>
        <v>10</v>
      </c>
      <c r="EA227" s="14">
        <f>INDEX(属性投放!BQ$6:BQ$85,卡牌属性!$DY227)</f>
        <v>85</v>
      </c>
      <c r="EB227" s="14">
        <f>INDEX(属性投放!BR$6:BR$85,卡牌属性!$DY227)</f>
        <v>43</v>
      </c>
      <c r="EC227" s="14">
        <f>INDEX(属性投放!BS$6:BS$85,卡牌属性!$DY227)</f>
        <v>510</v>
      </c>
      <c r="ED227" s="14">
        <f t="shared" si="511"/>
        <v>488</v>
      </c>
      <c r="EE227" s="14">
        <f t="shared" si="512"/>
        <v>562</v>
      </c>
      <c r="EF227" s="14">
        <f t="shared" si="513"/>
        <v>650</v>
      </c>
      <c r="EG227" s="14">
        <f t="shared" si="514"/>
        <v>650</v>
      </c>
      <c r="EH227" s="14">
        <f t="shared" si="515"/>
        <v>770</v>
      </c>
      <c r="EI227" s="14">
        <f t="shared" si="516"/>
        <v>199</v>
      </c>
      <c r="EJ227" s="14">
        <f t="shared" si="517"/>
        <v>238</v>
      </c>
      <c r="EK227" s="14">
        <f t="shared" si="518"/>
        <v>238</v>
      </c>
      <c r="EL227" s="14">
        <f t="shared" si="519"/>
        <v>277</v>
      </c>
      <c r="EM227" s="14">
        <f t="shared" si="520"/>
        <v>365</v>
      </c>
      <c r="EN227" s="14">
        <f t="shared" si="521"/>
        <v>3300</v>
      </c>
      <c r="EO227" s="14">
        <f t="shared" si="522"/>
        <v>4020</v>
      </c>
      <c r="EP227" s="14">
        <f t="shared" si="523"/>
        <v>4020</v>
      </c>
      <c r="EQ227" s="14">
        <f t="shared" si="524"/>
        <v>4940</v>
      </c>
      <c r="ER227" s="14">
        <f t="shared" si="525"/>
        <v>6160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120</v>
      </c>
      <c r="FD227" s="14">
        <f>INDEX(属性偏向!$U$4:$U$243,(卡牌属性!$DV227-1+FD$3)*20+卡牌属性!$DX227)</f>
        <v>150</v>
      </c>
      <c r="FE227" s="14">
        <f>INDEX(属性偏向!$U$4:$U$243,(卡牌属性!$DV227-1+FE$3)*20+卡牌属性!$DX227)</f>
        <v>150</v>
      </c>
      <c r="FF227" s="14">
        <f>INDEX(属性偏向!$U$4:$U$243,(卡牌属性!$DV227-1+FF$3)*20+卡牌属性!$DX227)</f>
        <v>180</v>
      </c>
      <c r="FG227" s="14">
        <f>INDEX(属性偏向!$U$4:$U$243,(卡牌属性!$DV227-1+FG$3)*20+卡牌属性!$DX227)</f>
        <v>240</v>
      </c>
      <c r="FH227" s="14">
        <f>INDEX(属性投放!$BQ$6:$BQ$85,(卡牌属性!$DW227-2)*20+卡牌属性!$DX227)</f>
        <v>85</v>
      </c>
      <c r="FI227" s="14">
        <f>INDEX(属性投放!$BQ$6:$BQ$85,(卡牌属性!$DW227-2)*20+卡牌属性!$DX227)</f>
        <v>85</v>
      </c>
      <c r="FJ227" s="14">
        <f>INDEX(属性投放!$BQ$6:$BQ$85,(卡牌属性!$DW227-2)*20+卡牌属性!$DX227)</f>
        <v>85</v>
      </c>
      <c r="FK227" s="14">
        <f>INDEX(属性投放!$BQ$6:$BQ$85,(卡牌属性!$DW227-2)*20+卡牌属性!$DX227)</f>
        <v>85</v>
      </c>
      <c r="FL227" s="14">
        <f>INDEX(属性投放!$BQ$6:$BQ$85,(卡牌属性!$DW227-2)*20+卡牌属性!$DX227)</f>
        <v>85</v>
      </c>
      <c r="FM227" s="14">
        <f>INDEX(属性投放!$BR$6:$BR$85,(卡牌属性!$DW227-2)*20+卡牌属性!$DX227)</f>
        <v>43</v>
      </c>
      <c r="FN227" s="14">
        <f>INDEX(属性投放!$BR$6:$BR$85,(卡牌属性!$DW227-2)*20+卡牌属性!$DX227)</f>
        <v>43</v>
      </c>
      <c r="FO227" s="14">
        <f>INDEX(属性投放!$BR$6:$BR$85,(卡牌属性!$DW227-2)*20+卡牌属性!$DX227)</f>
        <v>43</v>
      </c>
      <c r="FP227" s="14">
        <f>INDEX(属性投放!$BR$6:$BR$85,(卡牌属性!$DW227-2)*20+卡牌属性!$DX227)</f>
        <v>43</v>
      </c>
      <c r="FQ227" s="14">
        <f>INDEX(属性投放!$BR$6:$BR$85,(卡牌属性!$DW227-2)*20+卡牌属性!$DX227)</f>
        <v>43</v>
      </c>
      <c r="FR227" s="14">
        <f>INDEX(属性投放!$BS$6:$BS$85,(卡牌属性!$DW227-2)*20+卡牌属性!$DX227)</f>
        <v>510</v>
      </c>
      <c r="FS227" s="14">
        <f>INDEX(属性投放!$BS$6:$BS$85,(卡牌属性!$DW227-2)*20+卡牌属性!$DX227)</f>
        <v>510</v>
      </c>
      <c r="FT227" s="14">
        <f>INDEX(属性投放!$BS$6:$BS$85,(卡牌属性!$DW227-2)*20+卡牌属性!$DX227)</f>
        <v>510</v>
      </c>
      <c r="FU227" s="14">
        <f>INDEX(属性投放!$BS$6:$BS$85,(卡牌属性!$DW227-2)*20+卡牌属性!$DX227)</f>
        <v>510</v>
      </c>
      <c r="FV227" s="14">
        <f>INDEX(属性投放!$BS$6:$BS$85,(卡牌属性!$DW227-2)*20+卡牌属性!$DX227)</f>
        <v>510</v>
      </c>
    </row>
    <row r="228" spans="31:178" ht="16.5" x14ac:dyDescent="0.2">
      <c r="AE228" s="13">
        <v>224</v>
      </c>
      <c r="AF228" s="13">
        <f t="shared" si="474"/>
        <v>12</v>
      </c>
      <c r="AG228" s="13">
        <f t="shared" si="461"/>
        <v>2</v>
      </c>
      <c r="AH228" s="13"/>
      <c r="AI228" s="13"/>
      <c r="AJ228" s="14">
        <f t="shared" si="462"/>
        <v>1101012</v>
      </c>
      <c r="AK228" s="14" t="str">
        <f t="shared" si="463"/>
        <v>南御夫4突</v>
      </c>
      <c r="AL228" s="25" t="s">
        <v>142</v>
      </c>
      <c r="AM228" s="14">
        <v>1</v>
      </c>
      <c r="AN228" s="14">
        <f t="shared" si="464"/>
        <v>4</v>
      </c>
      <c r="AO228" s="14">
        <f>INDEX(属性投放!$DF$6:$DF$85,(卡牌属性!AG228-2)*20+卡牌属性!AN228)</f>
        <v>338</v>
      </c>
      <c r="AP228" s="14">
        <f t="shared" si="505"/>
        <v>338</v>
      </c>
      <c r="AQ228" s="14">
        <f t="shared" si="505"/>
        <v>338</v>
      </c>
      <c r="AR228" s="14">
        <f t="shared" si="505"/>
        <v>338</v>
      </c>
      <c r="AS228" s="14">
        <f t="shared" si="505"/>
        <v>338</v>
      </c>
      <c r="AT228" s="14">
        <f>INDEX(属性投放!$DG$6:$DG$85,(卡牌属性!AG228-2)*20+卡牌属性!AN228)</f>
        <v>120</v>
      </c>
      <c r="AU228" s="14">
        <f t="shared" si="506"/>
        <v>120</v>
      </c>
      <c r="AV228" s="14">
        <f t="shared" si="506"/>
        <v>120</v>
      </c>
      <c r="AW228" s="14">
        <f t="shared" si="506"/>
        <v>120</v>
      </c>
      <c r="AX228" s="14">
        <f t="shared" si="506"/>
        <v>120</v>
      </c>
      <c r="AY228" s="14">
        <f>INDEX(属性投放!$DH$6:$DH$85,(卡牌属性!AG228-2)*20+卡牌属性!AN228)</f>
        <v>1658</v>
      </c>
      <c r="AZ228" s="14">
        <f t="shared" si="507"/>
        <v>1658</v>
      </c>
      <c r="BA228" s="14">
        <f t="shared" si="507"/>
        <v>1658</v>
      </c>
      <c r="BB228" s="14">
        <f t="shared" si="507"/>
        <v>1658</v>
      </c>
      <c r="BC228" s="14">
        <f t="shared" si="507"/>
        <v>1658</v>
      </c>
      <c r="BD228" s="14">
        <f>INDEX(属性投放!$DL$6:$DL$85,(卡牌属性!AG228-2)*20+卡牌属性!AN228)</f>
        <v>22</v>
      </c>
      <c r="BE228" s="14">
        <f t="shared" si="508"/>
        <v>22</v>
      </c>
      <c r="BF228" s="14">
        <f t="shared" si="508"/>
        <v>22</v>
      </c>
      <c r="BG228" s="14">
        <f t="shared" si="508"/>
        <v>22</v>
      </c>
      <c r="BH228" s="14">
        <f t="shared" si="508"/>
        <v>22</v>
      </c>
      <c r="BI228" s="14">
        <f>INDEX(属性投放!$DM$6:$DM$85,(卡牌属性!AG228-2)*20+卡牌属性!AN228)</f>
        <v>11</v>
      </c>
      <c r="BJ228" s="14">
        <f t="shared" si="509"/>
        <v>11</v>
      </c>
      <c r="BK228" s="14">
        <f t="shared" si="509"/>
        <v>11</v>
      </c>
      <c r="BL228" s="14">
        <f t="shared" si="509"/>
        <v>11</v>
      </c>
      <c r="BM228" s="14">
        <f t="shared" si="509"/>
        <v>11</v>
      </c>
      <c r="BN228" s="14">
        <f>INDEX(属性投放!$DN$6:$DN$85,(卡牌属性!AG228-2)*20+卡牌属性!AN228)</f>
        <v>153</v>
      </c>
      <c r="BO228" s="14">
        <f t="shared" si="510"/>
        <v>153</v>
      </c>
      <c r="BP228" s="14">
        <f t="shared" si="510"/>
        <v>153</v>
      </c>
      <c r="BQ228" s="14">
        <f t="shared" si="510"/>
        <v>153</v>
      </c>
      <c r="BR228" s="14">
        <f t="shared" si="510"/>
        <v>153</v>
      </c>
      <c r="BW228" s="13">
        <v>224</v>
      </c>
      <c r="BX228" s="13">
        <f t="shared" si="465"/>
        <v>12</v>
      </c>
      <c r="BY228" s="14">
        <f t="shared" si="466"/>
        <v>5</v>
      </c>
      <c r="BZ228" s="14">
        <f t="shared" si="475"/>
        <v>1102012</v>
      </c>
      <c r="CA228" s="14" t="str">
        <f t="shared" si="476"/>
        <v>夏侯惇4突</v>
      </c>
      <c r="CB228" s="25" t="s">
        <v>142</v>
      </c>
      <c r="CC228" s="14">
        <v>2</v>
      </c>
      <c r="CD228" s="14">
        <f t="shared" si="467"/>
        <v>4</v>
      </c>
      <c r="CE228" s="14" t="s">
        <v>21</v>
      </c>
      <c r="CF228" s="14">
        <f>INDEX(属性投放!$AZ$6:$AZ$85,(BY228-2)*20+CD228)</f>
        <v>1140</v>
      </c>
      <c r="CG228" s="14" t="s">
        <v>22</v>
      </c>
      <c r="CH228" s="14">
        <f>INDEX(属性投放!$BA$6:$BA$85,(BY228-2)*20+CD228)</f>
        <v>474</v>
      </c>
      <c r="CI228" s="14" t="s">
        <v>510</v>
      </c>
      <c r="CJ228" s="14">
        <f>INDEX(属性投放!$BB$6:$BB$85,(BY228-2)*20+CD228)</f>
        <v>6240</v>
      </c>
      <c r="CK228" s="14" t="s">
        <v>21</v>
      </c>
      <c r="CL228" s="14">
        <f>INDEX(属性投放!$BC$6:$BC$85,(BY228-2)*20+CD228)</f>
        <v>25</v>
      </c>
      <c r="CM228" s="14" t="s">
        <v>22</v>
      </c>
      <c r="CN228" s="14">
        <f>INDEX(属性投放!$BD$6:$BD$85,(BY228-2)*20+CD228)</f>
        <v>13</v>
      </c>
      <c r="CO228" s="14" t="s">
        <v>510</v>
      </c>
      <c r="CP228" s="14">
        <f>INDEX(属性投放!$BE$6:$BE$85,(BY228-2)*20+CD228)</f>
        <v>175</v>
      </c>
      <c r="CS228" s="13">
        <v>224</v>
      </c>
      <c r="CT228" s="13">
        <f t="shared" si="477"/>
        <v>5</v>
      </c>
      <c r="CU228" s="13">
        <f t="shared" si="478"/>
        <v>16</v>
      </c>
      <c r="CV228" s="14">
        <f t="shared" si="479"/>
        <v>3</v>
      </c>
      <c r="CW228" s="14">
        <f t="shared" si="480"/>
        <v>1102005</v>
      </c>
      <c r="CX228" s="14" t="str">
        <f>INDEX($O$6:$O$50,CT228)&amp;"-"&amp;INDEX(属性投放!$AB$7:$AB$50,CZ228)&amp;"-魂火-"&amp;DB228</f>
        <v>李轩辕-叫唤+2-魂火-1</v>
      </c>
      <c r="CY228" s="25" t="s">
        <v>142</v>
      </c>
      <c r="CZ228" s="14">
        <f>INDEX(属性投放!$AM$7:$AM$58,CU228)</f>
        <v>9</v>
      </c>
      <c r="DA228" s="14" t="s">
        <v>537</v>
      </c>
      <c r="DB228" s="14">
        <f>INDEX(属性投放!$AN$7:$AN$58,CU228)</f>
        <v>1</v>
      </c>
      <c r="DC228" s="14">
        <f t="shared" si="468"/>
        <v>16</v>
      </c>
      <c r="DD228" s="14">
        <f>INDEX(属性投放!$AO$7:$AO$58,DC228)</f>
        <v>58</v>
      </c>
      <c r="DE228" s="14" t="s">
        <v>538</v>
      </c>
      <c r="DF228" s="14">
        <f>INDEX(属性投放!$BK$6:$BK$85,(CV228-2)*20+CZ228)</f>
        <v>100</v>
      </c>
      <c r="DG228" s="14">
        <f>SUMIFS(DF$5:DF228,$CT$5:$CT228,"="&amp;$CT228)</f>
        <v>810</v>
      </c>
      <c r="DH228" s="14" t="s">
        <v>539</v>
      </c>
      <c r="DI228" s="14">
        <f>INDEX(属性投放!$BL$6:$BL$85,(CV228-2)*20+CZ228)</f>
        <v>50</v>
      </c>
      <c r="DJ228" s="14">
        <f>SUMIFS(DI$5:DI228,$CT$5:$CT228,"="&amp;$CT228)</f>
        <v>408</v>
      </c>
      <c r="DK228" s="14" t="s">
        <v>540</v>
      </c>
      <c r="DL228" s="14">
        <f>INDEX(属性投放!$BM$6:$BM$85,(CV228-2)*20+CZ228)</f>
        <v>800</v>
      </c>
      <c r="DM228" s="14">
        <f>SUMIFS(DL$5:DL228,$CT$5:$CT228,"="&amp;$CT228)</f>
        <v>5950</v>
      </c>
      <c r="DR228" s="14">
        <f t="shared" si="469"/>
        <v>1102012</v>
      </c>
      <c r="DS228" s="14" t="str">
        <f t="shared" si="470"/>
        <v>夏侯惇4突</v>
      </c>
      <c r="DT228" s="14">
        <f t="shared" si="481"/>
        <v>7</v>
      </c>
      <c r="DU228" s="14">
        <f t="shared" si="482"/>
        <v>7</v>
      </c>
      <c r="DV228" s="14">
        <f t="shared" si="483"/>
        <v>9</v>
      </c>
      <c r="DW228" s="14">
        <f t="shared" si="471"/>
        <v>5</v>
      </c>
      <c r="DX228" s="14">
        <f t="shared" si="472"/>
        <v>4</v>
      </c>
      <c r="DY228" s="14">
        <f t="shared" si="473"/>
        <v>64</v>
      </c>
      <c r="DZ228" s="14">
        <f>INDEX(属性投放!$AX$6:$AX$85,(卡牌属性!DW228-2)*20+卡牌属性!DX228)</f>
        <v>10</v>
      </c>
      <c r="EA228" s="14">
        <f>INDEX(属性投放!BQ$6:BQ$85,卡牌属性!$DY228)</f>
        <v>120</v>
      </c>
      <c r="EB228" s="14">
        <f>INDEX(属性投放!BR$6:BR$85,卡牌属性!$DY228)</f>
        <v>60</v>
      </c>
      <c r="EC228" s="14">
        <f>INDEX(属性投放!BS$6:BS$85,卡牌属性!$DY228)</f>
        <v>840</v>
      </c>
      <c r="ED228" s="14">
        <f t="shared" si="511"/>
        <v>723</v>
      </c>
      <c r="EE228" s="14">
        <f t="shared" si="512"/>
        <v>817</v>
      </c>
      <c r="EF228" s="14">
        <f t="shared" si="513"/>
        <v>935</v>
      </c>
      <c r="EG228" s="14">
        <f t="shared" si="514"/>
        <v>935</v>
      </c>
      <c r="EH228" s="14">
        <f t="shared" si="515"/>
        <v>1105</v>
      </c>
      <c r="EI228" s="14">
        <f t="shared" si="516"/>
        <v>322</v>
      </c>
      <c r="EJ228" s="14">
        <f t="shared" si="517"/>
        <v>371</v>
      </c>
      <c r="EK228" s="14">
        <f t="shared" si="518"/>
        <v>371</v>
      </c>
      <c r="EL228" s="14">
        <f t="shared" si="519"/>
        <v>420</v>
      </c>
      <c r="EM228" s="14">
        <f t="shared" si="520"/>
        <v>538</v>
      </c>
      <c r="EN228" s="14">
        <f t="shared" si="521"/>
        <v>5010</v>
      </c>
      <c r="EO228" s="14">
        <f t="shared" si="522"/>
        <v>6030</v>
      </c>
      <c r="EP228" s="14">
        <f t="shared" si="523"/>
        <v>6030</v>
      </c>
      <c r="EQ228" s="14">
        <f t="shared" si="524"/>
        <v>7250</v>
      </c>
      <c r="ER228" s="14">
        <f t="shared" si="525"/>
        <v>9070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175</v>
      </c>
      <c r="FD228" s="14">
        <f>INDEX(属性偏向!$U$4:$U$243,(卡牌属性!$DV228-1+FD$3)*20+卡牌属性!$DX228)</f>
        <v>210</v>
      </c>
      <c r="FE228" s="14">
        <f>INDEX(属性偏向!$U$4:$U$243,(卡牌属性!$DV228-1+FE$3)*20+卡牌属性!$DX228)</f>
        <v>210</v>
      </c>
      <c r="FF228" s="14">
        <f>INDEX(属性偏向!$U$4:$U$243,(卡牌属性!$DV228-1+FF$3)*20+卡牌属性!$DX228)</f>
        <v>280</v>
      </c>
      <c r="FG228" s="14">
        <f>INDEX(属性偏向!$U$4:$U$243,(卡牌属性!$DV228-1+FG$3)*20+卡牌属性!$DX228)</f>
        <v>350</v>
      </c>
      <c r="FH228" s="14">
        <f>INDEX(属性投放!$BQ$6:$BQ$85,(卡牌属性!$DW228-2)*20+卡牌属性!$DX228)</f>
        <v>120</v>
      </c>
      <c r="FI228" s="14">
        <f>INDEX(属性投放!$BQ$6:$BQ$85,(卡牌属性!$DW228-2)*20+卡牌属性!$DX228)</f>
        <v>120</v>
      </c>
      <c r="FJ228" s="14">
        <f>INDEX(属性投放!$BQ$6:$BQ$85,(卡牌属性!$DW228-2)*20+卡牌属性!$DX228)</f>
        <v>120</v>
      </c>
      <c r="FK228" s="14">
        <f>INDEX(属性投放!$BQ$6:$BQ$85,(卡牌属性!$DW228-2)*20+卡牌属性!$DX228)</f>
        <v>120</v>
      </c>
      <c r="FL228" s="14">
        <f>INDEX(属性投放!$BQ$6:$BQ$85,(卡牌属性!$DW228-2)*20+卡牌属性!$DX228)</f>
        <v>120</v>
      </c>
      <c r="FM228" s="14">
        <f>INDEX(属性投放!$BR$6:$BR$85,(卡牌属性!$DW228-2)*20+卡牌属性!$DX228)</f>
        <v>60</v>
      </c>
      <c r="FN228" s="14">
        <f>INDEX(属性投放!$BR$6:$BR$85,(卡牌属性!$DW228-2)*20+卡牌属性!$DX228)</f>
        <v>60</v>
      </c>
      <c r="FO228" s="14">
        <f>INDEX(属性投放!$BR$6:$BR$85,(卡牌属性!$DW228-2)*20+卡牌属性!$DX228)</f>
        <v>60</v>
      </c>
      <c r="FP228" s="14">
        <f>INDEX(属性投放!$BR$6:$BR$85,(卡牌属性!$DW228-2)*20+卡牌属性!$DX228)</f>
        <v>60</v>
      </c>
      <c r="FQ228" s="14">
        <f>INDEX(属性投放!$BR$6:$BR$85,(卡牌属性!$DW228-2)*20+卡牌属性!$DX228)</f>
        <v>60</v>
      </c>
      <c r="FR228" s="14">
        <f>INDEX(属性投放!$BS$6:$BS$85,(卡牌属性!$DW228-2)*20+卡牌属性!$DX228)</f>
        <v>840</v>
      </c>
      <c r="FS228" s="14">
        <f>INDEX(属性投放!$BS$6:$BS$85,(卡牌属性!$DW228-2)*20+卡牌属性!$DX228)</f>
        <v>840</v>
      </c>
      <c r="FT228" s="14">
        <f>INDEX(属性投放!$BS$6:$BS$85,(卡牌属性!$DW228-2)*20+卡牌属性!$DX228)</f>
        <v>840</v>
      </c>
      <c r="FU228" s="14">
        <f>INDEX(属性投放!$BS$6:$BS$85,(卡牌属性!$DW228-2)*20+卡牌属性!$DX228)</f>
        <v>840</v>
      </c>
      <c r="FV228" s="14">
        <f>INDEX(属性投放!$BS$6:$BS$85,(卡牌属性!$DW228-2)*20+卡牌属性!$DX228)</f>
        <v>840</v>
      </c>
    </row>
    <row r="229" spans="31:178" ht="16.5" x14ac:dyDescent="0.2">
      <c r="AE229" s="13">
        <v>225</v>
      </c>
      <c r="AF229" s="13">
        <f t="shared" si="474"/>
        <v>12</v>
      </c>
      <c r="AG229" s="13">
        <f t="shared" si="461"/>
        <v>2</v>
      </c>
      <c r="AH229" s="13"/>
      <c r="AI229" s="13"/>
      <c r="AJ229" s="14">
        <f t="shared" si="462"/>
        <v>1101012</v>
      </c>
      <c r="AK229" s="14" t="str">
        <f t="shared" si="463"/>
        <v>南御夫5突</v>
      </c>
      <c r="AL229" s="25" t="s">
        <v>142</v>
      </c>
      <c r="AM229" s="14">
        <v>1</v>
      </c>
      <c r="AN229" s="14">
        <f t="shared" si="464"/>
        <v>5</v>
      </c>
      <c r="AO229" s="14">
        <f>INDEX(属性投放!$DF$6:$DF$85,(卡牌属性!AG229-2)*20+卡牌属性!AN229)</f>
        <v>401</v>
      </c>
      <c r="AP229" s="14">
        <f t="shared" si="505"/>
        <v>401</v>
      </c>
      <c r="AQ229" s="14">
        <f t="shared" si="505"/>
        <v>401</v>
      </c>
      <c r="AR229" s="14">
        <f t="shared" si="505"/>
        <v>401</v>
      </c>
      <c r="AS229" s="14">
        <f t="shared" si="505"/>
        <v>401</v>
      </c>
      <c r="AT229" s="14">
        <f>INDEX(属性投放!$DG$6:$DG$85,(卡牌属性!AG229-2)*20+卡牌属性!AN229)</f>
        <v>151</v>
      </c>
      <c r="AU229" s="14">
        <f t="shared" si="506"/>
        <v>151</v>
      </c>
      <c r="AV229" s="14">
        <f t="shared" si="506"/>
        <v>151</v>
      </c>
      <c r="AW229" s="14">
        <f t="shared" si="506"/>
        <v>151</v>
      </c>
      <c r="AX229" s="14">
        <f t="shared" si="506"/>
        <v>151</v>
      </c>
      <c r="AY229" s="14">
        <f>INDEX(属性投放!$DH$6:$DH$85,(卡牌属性!AG229-2)*20+卡牌属性!AN229)</f>
        <v>2096</v>
      </c>
      <c r="AZ229" s="14">
        <f t="shared" si="507"/>
        <v>2096</v>
      </c>
      <c r="BA229" s="14">
        <f t="shared" si="507"/>
        <v>2096</v>
      </c>
      <c r="BB229" s="14">
        <f t="shared" si="507"/>
        <v>2096</v>
      </c>
      <c r="BC229" s="14">
        <f t="shared" si="507"/>
        <v>2096</v>
      </c>
      <c r="BD229" s="14">
        <f>INDEX(属性投放!$DL$6:$DL$85,(卡牌属性!AG229-2)*20+卡牌属性!AN229)</f>
        <v>22</v>
      </c>
      <c r="BE229" s="14">
        <f t="shared" si="508"/>
        <v>22</v>
      </c>
      <c r="BF229" s="14">
        <f t="shared" si="508"/>
        <v>22</v>
      </c>
      <c r="BG229" s="14">
        <f t="shared" si="508"/>
        <v>22</v>
      </c>
      <c r="BH229" s="14">
        <f t="shared" si="508"/>
        <v>22</v>
      </c>
      <c r="BI229" s="14">
        <f>INDEX(属性投放!$DM$6:$DM$85,(卡牌属性!AG229-2)*20+卡牌属性!AN229)</f>
        <v>11</v>
      </c>
      <c r="BJ229" s="14">
        <f t="shared" si="509"/>
        <v>11</v>
      </c>
      <c r="BK229" s="14">
        <f t="shared" si="509"/>
        <v>11</v>
      </c>
      <c r="BL229" s="14">
        <f t="shared" si="509"/>
        <v>11</v>
      </c>
      <c r="BM229" s="14">
        <f t="shared" si="509"/>
        <v>11</v>
      </c>
      <c r="BN229" s="14">
        <f>INDEX(属性投放!$DN$6:$DN$85,(卡牌属性!AG229-2)*20+卡牌属性!AN229)</f>
        <v>153</v>
      </c>
      <c r="BO229" s="14">
        <f t="shared" si="510"/>
        <v>153</v>
      </c>
      <c r="BP229" s="14">
        <f t="shared" si="510"/>
        <v>153</v>
      </c>
      <c r="BQ229" s="14">
        <f t="shared" si="510"/>
        <v>153</v>
      </c>
      <c r="BR229" s="14">
        <f t="shared" si="510"/>
        <v>153</v>
      </c>
      <c r="BW229" s="13">
        <v>225</v>
      </c>
      <c r="BX229" s="13">
        <f t="shared" si="465"/>
        <v>12</v>
      </c>
      <c r="BY229" s="14">
        <f t="shared" si="466"/>
        <v>5</v>
      </c>
      <c r="BZ229" s="14">
        <f t="shared" si="475"/>
        <v>1102012</v>
      </c>
      <c r="CA229" s="14" t="str">
        <f t="shared" si="476"/>
        <v>夏侯惇5突</v>
      </c>
      <c r="CB229" s="25" t="s">
        <v>142</v>
      </c>
      <c r="CC229" s="14">
        <v>2</v>
      </c>
      <c r="CD229" s="14">
        <f t="shared" si="467"/>
        <v>5</v>
      </c>
      <c r="CE229" s="14" t="s">
        <v>21</v>
      </c>
      <c r="CF229" s="14">
        <f>INDEX(属性投放!$AZ$6:$AZ$85,(BY229-2)*20+CD229)</f>
        <v>1630</v>
      </c>
      <c r="CG229" s="14" t="s">
        <v>22</v>
      </c>
      <c r="CH229" s="14">
        <f>INDEX(属性投放!$BA$6:$BA$85,(BY229-2)*20+CD229)</f>
        <v>724</v>
      </c>
      <c r="CI229" s="14" t="s">
        <v>510</v>
      </c>
      <c r="CJ229" s="14">
        <f>INDEX(属性投放!$BB$6:$BB$85,(BY229-2)*20+CD229)</f>
        <v>9670</v>
      </c>
      <c r="CK229" s="14" t="s">
        <v>21</v>
      </c>
      <c r="CL229" s="14">
        <f>INDEX(属性投放!$BC$6:$BC$85,(BY229-2)*20+CD229)</f>
        <v>25</v>
      </c>
      <c r="CM229" s="14" t="s">
        <v>22</v>
      </c>
      <c r="CN229" s="14">
        <f>INDEX(属性投放!$BD$6:$BD$85,(BY229-2)*20+CD229)</f>
        <v>13</v>
      </c>
      <c r="CO229" s="14" t="s">
        <v>510</v>
      </c>
      <c r="CP229" s="14">
        <f>INDEX(属性投放!$BE$6:$BE$85,(BY229-2)*20+CD229)</f>
        <v>175</v>
      </c>
      <c r="CS229" s="13">
        <v>225</v>
      </c>
      <c r="CT229" s="13">
        <f t="shared" si="477"/>
        <v>5</v>
      </c>
      <c r="CU229" s="13">
        <f t="shared" si="478"/>
        <v>17</v>
      </c>
      <c r="CV229" s="14">
        <f t="shared" si="479"/>
        <v>3</v>
      </c>
      <c r="CW229" s="14">
        <f t="shared" si="480"/>
        <v>1102005</v>
      </c>
      <c r="CX229" s="14" t="str">
        <f>INDEX($O$6:$O$50,CT229)&amp;"-"&amp;INDEX(属性投放!$AB$7:$AB$50,CZ229)&amp;"-魂火-"&amp;DB229</f>
        <v>李轩辕-叫唤+2-魂火-2</v>
      </c>
      <c r="CY229" s="25" t="s">
        <v>142</v>
      </c>
      <c r="CZ229" s="14">
        <f>INDEX(属性投放!$AM$7:$AM$58,CU229)</f>
        <v>9</v>
      </c>
      <c r="DA229" s="14" t="s">
        <v>537</v>
      </c>
      <c r="DB229" s="14">
        <f>INDEX(属性投放!$AN$7:$AN$58,CU229)</f>
        <v>2</v>
      </c>
      <c r="DC229" s="14">
        <f t="shared" si="468"/>
        <v>17</v>
      </c>
      <c r="DD229" s="14">
        <f>INDEX(属性投放!$AO$7:$AO$58,DC229)</f>
        <v>60</v>
      </c>
      <c r="DE229" s="14" t="s">
        <v>538</v>
      </c>
      <c r="DF229" s="14">
        <f>INDEX(属性投放!$BK$6:$BK$85,(CV229-2)*20+CZ229)</f>
        <v>100</v>
      </c>
      <c r="DG229" s="14">
        <f>SUMIFS(DF$5:DF229,$CT$5:$CT229,"="&amp;$CT229)</f>
        <v>910</v>
      </c>
      <c r="DH229" s="14" t="s">
        <v>539</v>
      </c>
      <c r="DI229" s="14">
        <f>INDEX(属性投放!$BL$6:$BL$85,(CV229-2)*20+CZ229)</f>
        <v>50</v>
      </c>
      <c r="DJ229" s="14">
        <f>SUMIFS(DI$5:DI229,$CT$5:$CT229,"="&amp;$CT229)</f>
        <v>458</v>
      </c>
      <c r="DK229" s="14" t="s">
        <v>540</v>
      </c>
      <c r="DL229" s="14">
        <f>INDEX(属性投放!$BM$6:$BM$85,(CV229-2)*20+CZ229)</f>
        <v>800</v>
      </c>
      <c r="DM229" s="14">
        <f>SUMIFS(DL$5:DL229,$CT$5:$CT229,"="&amp;$CT229)</f>
        <v>6750</v>
      </c>
      <c r="DR229" s="14">
        <f t="shared" si="469"/>
        <v>1102012</v>
      </c>
      <c r="DS229" s="14" t="str">
        <f t="shared" si="470"/>
        <v>夏侯惇5突</v>
      </c>
      <c r="DT229" s="14">
        <f t="shared" si="481"/>
        <v>7</v>
      </c>
      <c r="DU229" s="14">
        <f t="shared" si="482"/>
        <v>7</v>
      </c>
      <c r="DV229" s="14">
        <f t="shared" si="483"/>
        <v>9</v>
      </c>
      <c r="DW229" s="14">
        <f t="shared" si="471"/>
        <v>5</v>
      </c>
      <c r="DX229" s="14">
        <f t="shared" si="472"/>
        <v>5</v>
      </c>
      <c r="DY229" s="14">
        <f t="shared" si="473"/>
        <v>65</v>
      </c>
      <c r="DZ229" s="14">
        <f>INDEX(属性投放!$AX$6:$AX$85,(卡牌属性!DW229-2)*20+卡牌属性!DX229)</f>
        <v>7</v>
      </c>
      <c r="EA229" s="14">
        <f>INDEX(属性投放!BQ$6:BQ$85,卡牌属性!$DY229)</f>
        <v>135</v>
      </c>
      <c r="EB229" s="14">
        <f>INDEX(属性投放!BR$6:BR$85,卡牌属性!$DY229)</f>
        <v>68</v>
      </c>
      <c r="EC229" s="14">
        <f>INDEX(属性投放!BS$6:BS$85,卡牌属性!$DY229)</f>
        <v>945</v>
      </c>
      <c r="ED229" s="14">
        <f t="shared" si="511"/>
        <v>1043</v>
      </c>
      <c r="EE229" s="14">
        <f t="shared" si="512"/>
        <v>1157</v>
      </c>
      <c r="EF229" s="14">
        <f t="shared" si="513"/>
        <v>1305</v>
      </c>
      <c r="EG229" s="14">
        <f t="shared" si="514"/>
        <v>1305</v>
      </c>
      <c r="EH229" s="14">
        <f t="shared" si="515"/>
        <v>1525</v>
      </c>
      <c r="EI229" s="14">
        <f t="shared" si="516"/>
        <v>482</v>
      </c>
      <c r="EJ229" s="14">
        <f t="shared" si="517"/>
        <v>541</v>
      </c>
      <c r="EK229" s="14">
        <f t="shared" si="518"/>
        <v>541</v>
      </c>
      <c r="EL229" s="14">
        <f t="shared" si="519"/>
        <v>610</v>
      </c>
      <c r="EM229" s="14">
        <f t="shared" si="520"/>
        <v>748</v>
      </c>
      <c r="EN229" s="14">
        <f t="shared" si="521"/>
        <v>7600</v>
      </c>
      <c r="EO229" s="14">
        <f t="shared" si="522"/>
        <v>8970</v>
      </c>
      <c r="EP229" s="14">
        <f t="shared" si="523"/>
        <v>8970</v>
      </c>
      <c r="EQ229" s="14">
        <f t="shared" si="524"/>
        <v>10890</v>
      </c>
      <c r="ER229" s="14">
        <f t="shared" si="525"/>
        <v>13410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175</v>
      </c>
      <c r="FD229" s="14">
        <f>INDEX(属性偏向!$U$4:$U$243,(卡牌属性!$DV229-1+FD$3)*20+卡牌属性!$DX229)</f>
        <v>210</v>
      </c>
      <c r="FE229" s="14">
        <f>INDEX(属性偏向!$U$4:$U$243,(卡牌属性!$DV229-1+FE$3)*20+卡牌属性!$DX229)</f>
        <v>210</v>
      </c>
      <c r="FF229" s="14">
        <f>INDEX(属性偏向!$U$4:$U$243,(卡牌属性!$DV229-1+FF$3)*20+卡牌属性!$DX229)</f>
        <v>280</v>
      </c>
      <c r="FG229" s="14">
        <f>INDEX(属性偏向!$U$4:$U$243,(卡牌属性!$DV229-1+FG$3)*20+卡牌属性!$DX229)</f>
        <v>350</v>
      </c>
      <c r="FH229" s="14">
        <f>INDEX(属性投放!$BQ$6:$BQ$85,(卡牌属性!$DW229-2)*20+卡牌属性!$DX229)</f>
        <v>135</v>
      </c>
      <c r="FI229" s="14">
        <f>INDEX(属性投放!$BQ$6:$BQ$85,(卡牌属性!$DW229-2)*20+卡牌属性!$DX229)</f>
        <v>135</v>
      </c>
      <c r="FJ229" s="14">
        <f>INDEX(属性投放!$BQ$6:$BQ$85,(卡牌属性!$DW229-2)*20+卡牌属性!$DX229)</f>
        <v>135</v>
      </c>
      <c r="FK229" s="14">
        <f>INDEX(属性投放!$BQ$6:$BQ$85,(卡牌属性!$DW229-2)*20+卡牌属性!$DX229)</f>
        <v>135</v>
      </c>
      <c r="FL229" s="14">
        <f>INDEX(属性投放!$BQ$6:$BQ$85,(卡牌属性!$DW229-2)*20+卡牌属性!$DX229)</f>
        <v>135</v>
      </c>
      <c r="FM229" s="14">
        <f>INDEX(属性投放!$BR$6:$BR$85,(卡牌属性!$DW229-2)*20+卡牌属性!$DX229)</f>
        <v>68</v>
      </c>
      <c r="FN229" s="14">
        <f>INDEX(属性投放!$BR$6:$BR$85,(卡牌属性!$DW229-2)*20+卡牌属性!$DX229)</f>
        <v>68</v>
      </c>
      <c r="FO229" s="14">
        <f>INDEX(属性投放!$BR$6:$BR$85,(卡牌属性!$DW229-2)*20+卡牌属性!$DX229)</f>
        <v>68</v>
      </c>
      <c r="FP229" s="14">
        <f>INDEX(属性投放!$BR$6:$BR$85,(卡牌属性!$DW229-2)*20+卡牌属性!$DX229)</f>
        <v>68</v>
      </c>
      <c r="FQ229" s="14">
        <f>INDEX(属性投放!$BR$6:$BR$85,(卡牌属性!$DW229-2)*20+卡牌属性!$DX229)</f>
        <v>68</v>
      </c>
      <c r="FR229" s="14">
        <f>INDEX(属性投放!$BS$6:$BS$85,(卡牌属性!$DW229-2)*20+卡牌属性!$DX229)</f>
        <v>945</v>
      </c>
      <c r="FS229" s="14">
        <f>INDEX(属性投放!$BS$6:$BS$85,(卡牌属性!$DW229-2)*20+卡牌属性!$DX229)</f>
        <v>945</v>
      </c>
      <c r="FT229" s="14">
        <f>INDEX(属性投放!$BS$6:$BS$85,(卡牌属性!$DW229-2)*20+卡牌属性!$DX229)</f>
        <v>945</v>
      </c>
      <c r="FU229" s="14">
        <f>INDEX(属性投放!$BS$6:$BS$85,(卡牌属性!$DW229-2)*20+卡牌属性!$DX229)</f>
        <v>945</v>
      </c>
      <c r="FV229" s="14">
        <f>INDEX(属性投放!$BS$6:$BS$85,(卡牌属性!$DW229-2)*20+卡牌属性!$DX229)</f>
        <v>945</v>
      </c>
    </row>
    <row r="230" spans="31:178" ht="16.5" x14ac:dyDescent="0.2">
      <c r="AE230" s="13">
        <v>226</v>
      </c>
      <c r="AF230" s="13">
        <f t="shared" si="474"/>
        <v>12</v>
      </c>
      <c r="AG230" s="13">
        <f t="shared" si="461"/>
        <v>2</v>
      </c>
      <c r="AH230" s="13"/>
      <c r="AI230" s="13"/>
      <c r="AJ230" s="14">
        <f t="shared" si="462"/>
        <v>1101012</v>
      </c>
      <c r="AK230" s="14" t="str">
        <f t="shared" si="463"/>
        <v>南御夫6突</v>
      </c>
      <c r="AL230" s="25" t="s">
        <v>142</v>
      </c>
      <c r="AM230" s="14">
        <v>1</v>
      </c>
      <c r="AN230" s="14">
        <f t="shared" si="464"/>
        <v>6</v>
      </c>
      <c r="AO230" s="14">
        <f>INDEX(属性投放!$DF$6:$DF$85,(卡牌属性!AG230-2)*20+卡牌属性!AN230)</f>
        <v>464</v>
      </c>
      <c r="AP230" s="14">
        <f t="shared" si="505"/>
        <v>464</v>
      </c>
      <c r="AQ230" s="14">
        <f t="shared" si="505"/>
        <v>464</v>
      </c>
      <c r="AR230" s="14">
        <f t="shared" si="505"/>
        <v>464</v>
      </c>
      <c r="AS230" s="14">
        <f t="shared" si="505"/>
        <v>464</v>
      </c>
      <c r="AT230" s="14">
        <f>INDEX(属性投放!$DG$6:$DG$85,(卡牌属性!AG230-2)*20+卡牌属性!AN230)</f>
        <v>182</v>
      </c>
      <c r="AU230" s="14">
        <f t="shared" si="506"/>
        <v>182</v>
      </c>
      <c r="AV230" s="14">
        <f t="shared" si="506"/>
        <v>182</v>
      </c>
      <c r="AW230" s="14">
        <f t="shared" si="506"/>
        <v>182</v>
      </c>
      <c r="AX230" s="14">
        <f t="shared" si="506"/>
        <v>182</v>
      </c>
      <c r="AY230" s="14">
        <f>INDEX(属性投放!$DH$6:$DH$85,(卡牌属性!AG230-2)*20+卡牌属性!AN230)</f>
        <v>2534</v>
      </c>
      <c r="AZ230" s="14">
        <f t="shared" si="507"/>
        <v>2534</v>
      </c>
      <c r="BA230" s="14">
        <f t="shared" si="507"/>
        <v>2534</v>
      </c>
      <c r="BB230" s="14">
        <f t="shared" si="507"/>
        <v>2534</v>
      </c>
      <c r="BC230" s="14">
        <f t="shared" si="507"/>
        <v>2534</v>
      </c>
      <c r="BD230" s="14">
        <f>INDEX(属性投放!$DL$6:$DL$85,(卡牌属性!AG230-2)*20+卡牌属性!AN230)</f>
        <v>22</v>
      </c>
      <c r="BE230" s="14">
        <f t="shared" si="508"/>
        <v>22</v>
      </c>
      <c r="BF230" s="14">
        <f t="shared" si="508"/>
        <v>22</v>
      </c>
      <c r="BG230" s="14">
        <f t="shared" si="508"/>
        <v>22</v>
      </c>
      <c r="BH230" s="14">
        <f t="shared" si="508"/>
        <v>22</v>
      </c>
      <c r="BI230" s="14">
        <f>INDEX(属性投放!$DM$6:$DM$85,(卡牌属性!AG230-2)*20+卡牌属性!AN230)</f>
        <v>11</v>
      </c>
      <c r="BJ230" s="14">
        <f t="shared" si="509"/>
        <v>11</v>
      </c>
      <c r="BK230" s="14">
        <f t="shared" si="509"/>
        <v>11</v>
      </c>
      <c r="BL230" s="14">
        <f t="shared" si="509"/>
        <v>11</v>
      </c>
      <c r="BM230" s="14">
        <f t="shared" si="509"/>
        <v>11</v>
      </c>
      <c r="BN230" s="14">
        <f>INDEX(属性投放!$DN$6:$DN$85,(卡牌属性!AG230-2)*20+卡牌属性!AN230)</f>
        <v>153</v>
      </c>
      <c r="BO230" s="14">
        <f t="shared" si="510"/>
        <v>153</v>
      </c>
      <c r="BP230" s="14">
        <f t="shared" si="510"/>
        <v>153</v>
      </c>
      <c r="BQ230" s="14">
        <f t="shared" si="510"/>
        <v>153</v>
      </c>
      <c r="BR230" s="14">
        <f t="shared" si="510"/>
        <v>153</v>
      </c>
      <c r="BW230" s="13">
        <v>226</v>
      </c>
      <c r="BX230" s="13">
        <f t="shared" si="465"/>
        <v>12</v>
      </c>
      <c r="BY230" s="14">
        <f t="shared" si="466"/>
        <v>5</v>
      </c>
      <c r="BZ230" s="14">
        <f t="shared" si="475"/>
        <v>1102012</v>
      </c>
      <c r="CA230" s="14" t="str">
        <f t="shared" si="476"/>
        <v>夏侯惇6突</v>
      </c>
      <c r="CB230" s="25" t="s">
        <v>142</v>
      </c>
      <c r="CC230" s="14">
        <v>2</v>
      </c>
      <c r="CD230" s="14">
        <f t="shared" si="467"/>
        <v>6</v>
      </c>
      <c r="CE230" s="14" t="s">
        <v>21</v>
      </c>
      <c r="CF230" s="14">
        <f>INDEX(属性投放!$AZ$6:$AZ$85,(BY230-2)*20+CD230)</f>
        <v>2080</v>
      </c>
      <c r="CG230" s="14" t="s">
        <v>22</v>
      </c>
      <c r="CH230" s="14">
        <f>INDEX(属性投放!$BA$6:$BA$85,(BY230-2)*20+CD230)</f>
        <v>953</v>
      </c>
      <c r="CI230" s="14" t="s">
        <v>510</v>
      </c>
      <c r="CJ230" s="14">
        <f>INDEX(属性投放!$BB$6:$BB$85,(BY230-2)*20+CD230)</f>
        <v>12820</v>
      </c>
      <c r="CK230" s="14" t="s">
        <v>21</v>
      </c>
      <c r="CL230" s="14">
        <f>INDEX(属性投放!$BC$6:$BC$85,(BY230-2)*20+CD230)</f>
        <v>25</v>
      </c>
      <c r="CM230" s="14" t="s">
        <v>22</v>
      </c>
      <c r="CN230" s="14">
        <f>INDEX(属性投放!$BD$6:$BD$85,(BY230-2)*20+CD230)</f>
        <v>13</v>
      </c>
      <c r="CO230" s="14" t="s">
        <v>510</v>
      </c>
      <c r="CP230" s="14">
        <f>INDEX(属性投放!$BE$6:$BE$85,(BY230-2)*20+CD230)</f>
        <v>175</v>
      </c>
      <c r="CS230" s="13">
        <v>226</v>
      </c>
      <c r="CT230" s="13">
        <f t="shared" si="477"/>
        <v>5</v>
      </c>
      <c r="CU230" s="13">
        <f t="shared" si="478"/>
        <v>18</v>
      </c>
      <c r="CV230" s="14">
        <f t="shared" si="479"/>
        <v>3</v>
      </c>
      <c r="CW230" s="14">
        <f t="shared" si="480"/>
        <v>1102005</v>
      </c>
      <c r="CX230" s="14" t="str">
        <f>INDEX($O$6:$O$50,CT230)&amp;"-"&amp;INDEX(属性投放!$AB$7:$AB$50,CZ230)&amp;"-魂火-"&amp;DB230</f>
        <v>李轩辕-叫唤+2-魂火-3</v>
      </c>
      <c r="CY230" s="25" t="s">
        <v>142</v>
      </c>
      <c r="CZ230" s="14">
        <f>INDEX(属性投放!$AM$7:$AM$58,CU230)</f>
        <v>9</v>
      </c>
      <c r="DA230" s="14" t="s">
        <v>537</v>
      </c>
      <c r="DB230" s="14">
        <f>INDEX(属性投放!$AN$7:$AN$58,CU230)</f>
        <v>3</v>
      </c>
      <c r="DC230" s="14">
        <f t="shared" si="468"/>
        <v>18</v>
      </c>
      <c r="DD230" s="14">
        <f>INDEX(属性投放!$AO$7:$AO$58,DC230)</f>
        <v>63</v>
      </c>
      <c r="DE230" s="14" t="s">
        <v>538</v>
      </c>
      <c r="DF230" s="14">
        <f>INDEX(属性投放!$BK$6:$BK$85,(CV230-2)*20+CZ230)</f>
        <v>100</v>
      </c>
      <c r="DG230" s="14">
        <f>SUMIFS(DF$5:DF230,$CT$5:$CT230,"="&amp;$CT230)</f>
        <v>1010</v>
      </c>
      <c r="DH230" s="14" t="s">
        <v>539</v>
      </c>
      <c r="DI230" s="14">
        <f>INDEX(属性投放!$BL$6:$BL$85,(CV230-2)*20+CZ230)</f>
        <v>50</v>
      </c>
      <c r="DJ230" s="14">
        <f>SUMIFS(DI$5:DI230,$CT$5:$CT230,"="&amp;$CT230)</f>
        <v>508</v>
      </c>
      <c r="DK230" s="14" t="s">
        <v>540</v>
      </c>
      <c r="DL230" s="14">
        <f>INDEX(属性投放!$BM$6:$BM$85,(CV230-2)*20+CZ230)</f>
        <v>800</v>
      </c>
      <c r="DM230" s="14">
        <f>SUMIFS(DL$5:DL230,$CT$5:$CT230,"="&amp;$CT230)</f>
        <v>7550</v>
      </c>
      <c r="DR230" s="14">
        <f t="shared" si="469"/>
        <v>1102012</v>
      </c>
      <c r="DS230" s="14" t="str">
        <f t="shared" si="470"/>
        <v>夏侯惇6突</v>
      </c>
      <c r="DT230" s="14">
        <f t="shared" si="481"/>
        <v>7</v>
      </c>
      <c r="DU230" s="14">
        <f t="shared" si="482"/>
        <v>7</v>
      </c>
      <c r="DV230" s="14">
        <f t="shared" si="483"/>
        <v>9</v>
      </c>
      <c r="DW230" s="14">
        <f t="shared" si="471"/>
        <v>5</v>
      </c>
      <c r="DX230" s="14">
        <f t="shared" si="472"/>
        <v>6</v>
      </c>
      <c r="DY230" s="14">
        <f t="shared" si="473"/>
        <v>66</v>
      </c>
      <c r="DZ230" s="14">
        <f>INDEX(属性投放!$AX$6:$AX$85,(卡牌属性!DW230-2)*20+卡牌属性!DX230)</f>
        <v>5</v>
      </c>
      <c r="EA230" s="14">
        <f>INDEX(属性投放!BQ$6:BQ$85,卡牌属性!$DY230)</f>
        <v>180</v>
      </c>
      <c r="EB230" s="14">
        <f>INDEX(属性投放!BR$6:BR$85,卡牌属性!$DY230)</f>
        <v>90</v>
      </c>
      <c r="EC230" s="14">
        <f>INDEX(属性投放!BS$6:BS$85,卡牌属性!$DY230)</f>
        <v>1260</v>
      </c>
      <c r="ED230" s="14">
        <f t="shared" si="511"/>
        <v>1318</v>
      </c>
      <c r="EE230" s="14">
        <f t="shared" si="512"/>
        <v>1446</v>
      </c>
      <c r="EF230" s="14">
        <f t="shared" si="513"/>
        <v>1615</v>
      </c>
      <c r="EG230" s="14">
        <f t="shared" si="514"/>
        <v>1615</v>
      </c>
      <c r="EH230" s="14">
        <f t="shared" si="515"/>
        <v>1870</v>
      </c>
      <c r="EI230" s="14">
        <f t="shared" si="516"/>
        <v>620</v>
      </c>
      <c r="EJ230" s="14">
        <f t="shared" si="517"/>
        <v>686</v>
      </c>
      <c r="EK230" s="14">
        <f t="shared" si="518"/>
        <v>686</v>
      </c>
      <c r="EL230" s="14">
        <f t="shared" si="519"/>
        <v>769</v>
      </c>
      <c r="EM230" s="14">
        <f t="shared" si="520"/>
        <v>921</v>
      </c>
      <c r="EN230" s="14">
        <f t="shared" si="521"/>
        <v>9770</v>
      </c>
      <c r="EO230" s="14">
        <f t="shared" si="522"/>
        <v>11385</v>
      </c>
      <c r="EP230" s="14">
        <f t="shared" si="523"/>
        <v>11385</v>
      </c>
      <c r="EQ230" s="14">
        <f t="shared" si="524"/>
        <v>13795</v>
      </c>
      <c r="ER230" s="14">
        <f t="shared" si="525"/>
        <v>16805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175</v>
      </c>
      <c r="FD230" s="14">
        <f>INDEX(属性偏向!$U$4:$U$243,(卡牌属性!$DV230-1+FD$3)*20+卡牌属性!$DX230)</f>
        <v>210</v>
      </c>
      <c r="FE230" s="14">
        <f>INDEX(属性偏向!$U$4:$U$243,(卡牌属性!$DV230-1+FE$3)*20+卡牌属性!$DX230)</f>
        <v>210</v>
      </c>
      <c r="FF230" s="14">
        <f>INDEX(属性偏向!$U$4:$U$243,(卡牌属性!$DV230-1+FF$3)*20+卡牌属性!$DX230)</f>
        <v>280</v>
      </c>
      <c r="FG230" s="14">
        <f>INDEX(属性偏向!$U$4:$U$243,(卡牌属性!$DV230-1+FG$3)*20+卡牌属性!$DX230)</f>
        <v>350</v>
      </c>
      <c r="FH230" s="14">
        <f>INDEX(属性投放!$BQ$6:$BQ$85,(卡牌属性!$DW230-2)*20+卡牌属性!$DX230)</f>
        <v>180</v>
      </c>
      <c r="FI230" s="14">
        <f>INDEX(属性投放!$BQ$6:$BQ$85,(卡牌属性!$DW230-2)*20+卡牌属性!$DX230)</f>
        <v>180</v>
      </c>
      <c r="FJ230" s="14">
        <f>INDEX(属性投放!$BQ$6:$BQ$85,(卡牌属性!$DW230-2)*20+卡牌属性!$DX230)</f>
        <v>180</v>
      </c>
      <c r="FK230" s="14">
        <f>INDEX(属性投放!$BQ$6:$BQ$85,(卡牌属性!$DW230-2)*20+卡牌属性!$DX230)</f>
        <v>180</v>
      </c>
      <c r="FL230" s="14">
        <f>INDEX(属性投放!$BQ$6:$BQ$85,(卡牌属性!$DW230-2)*20+卡牌属性!$DX230)</f>
        <v>180</v>
      </c>
      <c r="FM230" s="14">
        <f>INDEX(属性投放!$BR$6:$BR$85,(卡牌属性!$DW230-2)*20+卡牌属性!$DX230)</f>
        <v>90</v>
      </c>
      <c r="FN230" s="14">
        <f>INDEX(属性投放!$BR$6:$BR$85,(卡牌属性!$DW230-2)*20+卡牌属性!$DX230)</f>
        <v>90</v>
      </c>
      <c r="FO230" s="14">
        <f>INDEX(属性投放!$BR$6:$BR$85,(卡牌属性!$DW230-2)*20+卡牌属性!$DX230)</f>
        <v>90</v>
      </c>
      <c r="FP230" s="14">
        <f>INDEX(属性投放!$BR$6:$BR$85,(卡牌属性!$DW230-2)*20+卡牌属性!$DX230)</f>
        <v>90</v>
      </c>
      <c r="FQ230" s="14">
        <f>INDEX(属性投放!$BR$6:$BR$85,(卡牌属性!$DW230-2)*20+卡牌属性!$DX230)</f>
        <v>90</v>
      </c>
      <c r="FR230" s="14">
        <f>INDEX(属性投放!$BS$6:$BS$85,(卡牌属性!$DW230-2)*20+卡牌属性!$DX230)</f>
        <v>1260</v>
      </c>
      <c r="FS230" s="14">
        <f>INDEX(属性投放!$BS$6:$BS$85,(卡牌属性!$DW230-2)*20+卡牌属性!$DX230)</f>
        <v>1260</v>
      </c>
      <c r="FT230" s="14">
        <f>INDEX(属性投放!$BS$6:$BS$85,(卡牌属性!$DW230-2)*20+卡牌属性!$DX230)</f>
        <v>1260</v>
      </c>
      <c r="FU230" s="14">
        <f>INDEX(属性投放!$BS$6:$BS$85,(卡牌属性!$DW230-2)*20+卡牌属性!$DX230)</f>
        <v>1260</v>
      </c>
      <c r="FV230" s="14">
        <f>INDEX(属性投放!$BS$6:$BS$85,(卡牌属性!$DW230-2)*20+卡牌属性!$DX230)</f>
        <v>1260</v>
      </c>
    </row>
    <row r="231" spans="31:178" ht="16.5" x14ac:dyDescent="0.2">
      <c r="AE231" s="13">
        <v>227</v>
      </c>
      <c r="AF231" s="13">
        <f t="shared" si="474"/>
        <v>12</v>
      </c>
      <c r="AG231" s="13">
        <f t="shared" si="461"/>
        <v>2</v>
      </c>
      <c r="AH231" s="13"/>
      <c r="AI231" s="13"/>
      <c r="AJ231" s="14">
        <f t="shared" si="462"/>
        <v>1101012</v>
      </c>
      <c r="AK231" s="14" t="str">
        <f t="shared" si="463"/>
        <v>南御夫7突</v>
      </c>
      <c r="AL231" s="25" t="s">
        <v>142</v>
      </c>
      <c r="AM231" s="14">
        <v>1</v>
      </c>
      <c r="AN231" s="14">
        <f t="shared" si="464"/>
        <v>7</v>
      </c>
      <c r="AO231" s="14">
        <f>INDEX(属性投放!$DF$6:$DF$85,(卡牌属性!AG231-2)*20+卡牌属性!AN231)</f>
        <v>1077</v>
      </c>
      <c r="AP231" s="14">
        <f t="shared" si="505"/>
        <v>1077</v>
      </c>
      <c r="AQ231" s="14">
        <f t="shared" si="505"/>
        <v>1077</v>
      </c>
      <c r="AR231" s="14">
        <f t="shared" si="505"/>
        <v>1077</v>
      </c>
      <c r="AS231" s="14">
        <f t="shared" si="505"/>
        <v>1077</v>
      </c>
      <c r="AT231" s="14">
        <f>INDEX(属性投放!$DG$6:$DG$85,(卡牌属性!AG231-2)*20+卡牌属性!AN231)</f>
        <v>488</v>
      </c>
      <c r="AU231" s="14">
        <f t="shared" si="506"/>
        <v>488</v>
      </c>
      <c r="AV231" s="14">
        <f t="shared" si="506"/>
        <v>488</v>
      </c>
      <c r="AW231" s="14">
        <f t="shared" si="506"/>
        <v>488</v>
      </c>
      <c r="AX231" s="14">
        <f t="shared" si="506"/>
        <v>488</v>
      </c>
      <c r="AY231" s="14">
        <f>INDEX(属性投放!$DH$6:$DH$85,(卡牌属性!AG231-2)*20+卡牌属性!AN231)</f>
        <v>6797</v>
      </c>
      <c r="AZ231" s="14">
        <f t="shared" si="507"/>
        <v>6797</v>
      </c>
      <c r="BA231" s="14">
        <f t="shared" si="507"/>
        <v>6797</v>
      </c>
      <c r="BB231" s="14">
        <f t="shared" si="507"/>
        <v>6797</v>
      </c>
      <c r="BC231" s="14">
        <f t="shared" si="507"/>
        <v>6797</v>
      </c>
      <c r="BD231" s="14">
        <f>INDEX(属性投放!$DL$6:$DL$85,(卡牌属性!AG231-2)*20+卡牌属性!AN231)</f>
        <v>36</v>
      </c>
      <c r="BE231" s="14">
        <f t="shared" si="508"/>
        <v>36</v>
      </c>
      <c r="BF231" s="14">
        <f t="shared" si="508"/>
        <v>36</v>
      </c>
      <c r="BG231" s="14">
        <f t="shared" si="508"/>
        <v>36</v>
      </c>
      <c r="BH231" s="14">
        <f t="shared" si="508"/>
        <v>36</v>
      </c>
      <c r="BI231" s="14">
        <f>INDEX(属性投放!$DM$6:$DM$85,(卡牌属性!AG231-2)*20+卡牌属性!AN231)</f>
        <v>18</v>
      </c>
      <c r="BJ231" s="14">
        <f t="shared" si="509"/>
        <v>18</v>
      </c>
      <c r="BK231" s="14">
        <f t="shared" si="509"/>
        <v>18</v>
      </c>
      <c r="BL231" s="14">
        <f t="shared" si="509"/>
        <v>18</v>
      </c>
      <c r="BM231" s="14">
        <f t="shared" si="509"/>
        <v>18</v>
      </c>
      <c r="BN231" s="14">
        <f>INDEX(属性投放!$DN$6:$DN$85,(卡牌属性!AG231-2)*20+卡牌属性!AN231)</f>
        <v>286</v>
      </c>
      <c r="BO231" s="14">
        <f t="shared" si="510"/>
        <v>286</v>
      </c>
      <c r="BP231" s="14">
        <f t="shared" si="510"/>
        <v>286</v>
      </c>
      <c r="BQ231" s="14">
        <f t="shared" si="510"/>
        <v>286</v>
      </c>
      <c r="BR231" s="14">
        <f t="shared" si="510"/>
        <v>286</v>
      </c>
      <c r="BW231" s="13">
        <v>227</v>
      </c>
      <c r="BX231" s="13">
        <f t="shared" si="465"/>
        <v>12</v>
      </c>
      <c r="BY231" s="14">
        <f t="shared" si="466"/>
        <v>5</v>
      </c>
      <c r="BZ231" s="14">
        <f t="shared" si="475"/>
        <v>1102012</v>
      </c>
      <c r="CA231" s="14" t="str">
        <f t="shared" si="476"/>
        <v>夏侯惇7突</v>
      </c>
      <c r="CB231" s="25" t="s">
        <v>142</v>
      </c>
      <c r="CC231" s="14">
        <v>2</v>
      </c>
      <c r="CD231" s="14">
        <f t="shared" si="467"/>
        <v>7</v>
      </c>
      <c r="CE231" s="14" t="s">
        <v>21</v>
      </c>
      <c r="CF231" s="14">
        <f>INDEX(属性投放!$AZ$6:$AZ$85,(BY231-2)*20+CD231)</f>
        <v>2535</v>
      </c>
      <c r="CG231" s="14" t="s">
        <v>22</v>
      </c>
      <c r="CH231" s="14">
        <f>INDEX(属性投放!$BA$6:$BA$85,(BY231-2)*20+CD231)</f>
        <v>1184</v>
      </c>
      <c r="CI231" s="14" t="s">
        <v>510</v>
      </c>
      <c r="CJ231" s="14">
        <f>INDEX(属性投放!$BB$6:$BB$85,(BY231-2)*20+CD231)</f>
        <v>16005</v>
      </c>
      <c r="CK231" s="14" t="s">
        <v>21</v>
      </c>
      <c r="CL231" s="14">
        <f>INDEX(属性投放!$BC$6:$BC$85,(BY231-2)*20+CD231)</f>
        <v>30</v>
      </c>
      <c r="CM231" s="14" t="s">
        <v>22</v>
      </c>
      <c r="CN231" s="14">
        <f>INDEX(属性投放!$BD$6:$BD$85,(BY231-2)*20+CD231)</f>
        <v>15</v>
      </c>
      <c r="CO231" s="14" t="s">
        <v>510</v>
      </c>
      <c r="CP231" s="14">
        <f>INDEX(属性投放!$BE$6:$BE$85,(BY231-2)*20+CD231)</f>
        <v>240</v>
      </c>
      <c r="CS231" s="13">
        <v>227</v>
      </c>
      <c r="CT231" s="13">
        <f t="shared" si="477"/>
        <v>5</v>
      </c>
      <c r="CU231" s="13">
        <f t="shared" si="478"/>
        <v>19</v>
      </c>
      <c r="CV231" s="14">
        <f t="shared" si="479"/>
        <v>3</v>
      </c>
      <c r="CW231" s="14">
        <f t="shared" si="480"/>
        <v>1102005</v>
      </c>
      <c r="CX231" s="14" t="str">
        <f>INDEX($O$6:$O$50,CT231)&amp;"-"&amp;INDEX(属性投放!$AB$7:$AB$50,CZ231)&amp;"-魂火-"&amp;DB231</f>
        <v>李轩辕-大叫唤-魂火-1</v>
      </c>
      <c r="CY231" s="25" t="s">
        <v>142</v>
      </c>
      <c r="CZ231" s="14">
        <f>INDEX(属性投放!$AM$7:$AM$58,CU231)</f>
        <v>10</v>
      </c>
      <c r="DA231" s="14" t="s">
        <v>537</v>
      </c>
      <c r="DB231" s="14">
        <f>INDEX(属性投放!$AN$7:$AN$58,CU231)</f>
        <v>1</v>
      </c>
      <c r="DC231" s="14">
        <f t="shared" si="468"/>
        <v>19</v>
      </c>
      <c r="DD231" s="14">
        <f>INDEX(属性投放!$AO$7:$AO$58,DC231)</f>
        <v>65</v>
      </c>
      <c r="DE231" s="14" t="s">
        <v>538</v>
      </c>
      <c r="DF231" s="14">
        <f>INDEX(属性投放!$BK$6:$BK$85,(CV231-2)*20+CZ231)</f>
        <v>120</v>
      </c>
      <c r="DG231" s="14">
        <f>SUMIFS(DF$5:DF231,$CT$5:$CT231,"="&amp;$CT231)</f>
        <v>1130</v>
      </c>
      <c r="DH231" s="14" t="s">
        <v>539</v>
      </c>
      <c r="DI231" s="14">
        <f>INDEX(属性投放!$BL$6:$BL$85,(CV231-2)*20+CZ231)</f>
        <v>60</v>
      </c>
      <c r="DJ231" s="14">
        <f>SUMIFS(DI$5:DI231,$CT$5:$CT231,"="&amp;$CT231)</f>
        <v>568</v>
      </c>
      <c r="DK231" s="14" t="s">
        <v>540</v>
      </c>
      <c r="DL231" s="14">
        <f>INDEX(属性投放!$BM$6:$BM$85,(CV231-2)*20+CZ231)</f>
        <v>1080</v>
      </c>
      <c r="DM231" s="14">
        <f>SUMIFS(DL$5:DL231,$CT$5:$CT231,"="&amp;$CT231)</f>
        <v>8630</v>
      </c>
      <c r="DR231" s="14">
        <f t="shared" si="469"/>
        <v>1102012</v>
      </c>
      <c r="DS231" s="14" t="str">
        <f t="shared" si="470"/>
        <v>夏侯惇7突</v>
      </c>
      <c r="DT231" s="14">
        <f t="shared" si="481"/>
        <v>7</v>
      </c>
      <c r="DU231" s="14">
        <f t="shared" si="482"/>
        <v>7</v>
      </c>
      <c r="DV231" s="14">
        <f t="shared" si="483"/>
        <v>9</v>
      </c>
      <c r="DW231" s="14">
        <f t="shared" si="471"/>
        <v>5</v>
      </c>
      <c r="DX231" s="14">
        <f t="shared" si="472"/>
        <v>7</v>
      </c>
      <c r="DY231" s="14">
        <f t="shared" si="473"/>
        <v>67</v>
      </c>
      <c r="DZ231" s="14">
        <f>INDEX(属性投放!$AX$6:$AX$85,(卡牌属性!DW231-2)*20+卡牌属性!DX231)</f>
        <v>5</v>
      </c>
      <c r="EA231" s="14">
        <f>INDEX(属性投放!BQ$6:BQ$85,卡牌属性!$DY231)</f>
        <v>185</v>
      </c>
      <c r="EB231" s="14">
        <f>INDEX(属性投放!BR$6:BR$85,卡牌属性!$DY231)</f>
        <v>93</v>
      </c>
      <c r="EC231" s="14">
        <f>INDEX(属性投放!BS$6:BS$85,卡牌属性!$DY231)</f>
        <v>1480</v>
      </c>
      <c r="ED231" s="14">
        <f t="shared" si="511"/>
        <v>1598</v>
      </c>
      <c r="EE231" s="14">
        <f t="shared" si="512"/>
        <v>1736</v>
      </c>
      <c r="EF231" s="14">
        <f t="shared" si="513"/>
        <v>1920</v>
      </c>
      <c r="EG231" s="14">
        <f t="shared" si="514"/>
        <v>1920</v>
      </c>
      <c r="EH231" s="14">
        <f t="shared" si="515"/>
        <v>2200</v>
      </c>
      <c r="EI231" s="14">
        <f t="shared" si="516"/>
        <v>760</v>
      </c>
      <c r="EJ231" s="14">
        <f t="shared" si="517"/>
        <v>831</v>
      </c>
      <c r="EK231" s="14">
        <f t="shared" si="518"/>
        <v>831</v>
      </c>
      <c r="EL231" s="14">
        <f t="shared" si="519"/>
        <v>924</v>
      </c>
      <c r="EM231" s="14">
        <f t="shared" si="520"/>
        <v>1086</v>
      </c>
      <c r="EN231" s="14">
        <f t="shared" si="521"/>
        <v>11905</v>
      </c>
      <c r="EO231" s="14">
        <f t="shared" si="522"/>
        <v>13695</v>
      </c>
      <c r="EP231" s="14">
        <f t="shared" si="523"/>
        <v>13695</v>
      </c>
      <c r="EQ231" s="14">
        <f t="shared" si="524"/>
        <v>16455</v>
      </c>
      <c r="ER231" s="14">
        <f t="shared" si="525"/>
        <v>19815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240</v>
      </c>
      <c r="FD231" s="14">
        <f>INDEX(属性偏向!$U$4:$U$243,(卡牌属性!$DV231-1+FD$3)*20+卡牌属性!$DX231)</f>
        <v>320</v>
      </c>
      <c r="FE231" s="14">
        <f>INDEX(属性偏向!$U$4:$U$243,(卡牌属性!$DV231-1+FE$3)*20+卡牌属性!$DX231)</f>
        <v>320</v>
      </c>
      <c r="FF231" s="14">
        <f>INDEX(属性偏向!$U$4:$U$243,(卡牌属性!$DV231-1+FF$3)*20+卡牌属性!$DX231)</f>
        <v>400</v>
      </c>
      <c r="FG231" s="14">
        <f>INDEX(属性偏向!$U$4:$U$243,(卡牌属性!$DV231-1+FG$3)*20+卡牌属性!$DX231)</f>
        <v>600</v>
      </c>
      <c r="FH231" s="14">
        <f>INDEX(属性投放!$BQ$6:$BQ$85,(卡牌属性!$DW231-2)*20+卡牌属性!$DX231)</f>
        <v>185</v>
      </c>
      <c r="FI231" s="14">
        <f>INDEX(属性投放!$BQ$6:$BQ$85,(卡牌属性!$DW231-2)*20+卡牌属性!$DX231)</f>
        <v>185</v>
      </c>
      <c r="FJ231" s="14">
        <f>INDEX(属性投放!$BQ$6:$BQ$85,(卡牌属性!$DW231-2)*20+卡牌属性!$DX231)</f>
        <v>185</v>
      </c>
      <c r="FK231" s="14">
        <f>INDEX(属性投放!$BQ$6:$BQ$85,(卡牌属性!$DW231-2)*20+卡牌属性!$DX231)</f>
        <v>185</v>
      </c>
      <c r="FL231" s="14">
        <f>INDEX(属性投放!$BQ$6:$BQ$85,(卡牌属性!$DW231-2)*20+卡牌属性!$DX231)</f>
        <v>185</v>
      </c>
      <c r="FM231" s="14">
        <f>INDEX(属性投放!$BR$6:$BR$85,(卡牌属性!$DW231-2)*20+卡牌属性!$DX231)</f>
        <v>93</v>
      </c>
      <c r="FN231" s="14">
        <f>INDEX(属性投放!$BR$6:$BR$85,(卡牌属性!$DW231-2)*20+卡牌属性!$DX231)</f>
        <v>93</v>
      </c>
      <c r="FO231" s="14">
        <f>INDEX(属性投放!$BR$6:$BR$85,(卡牌属性!$DW231-2)*20+卡牌属性!$DX231)</f>
        <v>93</v>
      </c>
      <c r="FP231" s="14">
        <f>INDEX(属性投放!$BR$6:$BR$85,(卡牌属性!$DW231-2)*20+卡牌属性!$DX231)</f>
        <v>93</v>
      </c>
      <c r="FQ231" s="14">
        <f>INDEX(属性投放!$BR$6:$BR$85,(卡牌属性!$DW231-2)*20+卡牌属性!$DX231)</f>
        <v>93</v>
      </c>
      <c r="FR231" s="14">
        <f>INDEX(属性投放!$BS$6:$BS$85,(卡牌属性!$DW231-2)*20+卡牌属性!$DX231)</f>
        <v>1480</v>
      </c>
      <c r="FS231" s="14">
        <f>INDEX(属性投放!$BS$6:$BS$85,(卡牌属性!$DW231-2)*20+卡牌属性!$DX231)</f>
        <v>1480</v>
      </c>
      <c r="FT231" s="14">
        <f>INDEX(属性投放!$BS$6:$BS$85,(卡牌属性!$DW231-2)*20+卡牌属性!$DX231)</f>
        <v>1480</v>
      </c>
      <c r="FU231" s="14">
        <f>INDEX(属性投放!$BS$6:$BS$85,(卡牌属性!$DW231-2)*20+卡牌属性!$DX231)</f>
        <v>1480</v>
      </c>
      <c r="FV231" s="14">
        <f>INDEX(属性投放!$BS$6:$BS$85,(卡牌属性!$DW231-2)*20+卡牌属性!$DX231)</f>
        <v>1480</v>
      </c>
    </row>
    <row r="232" spans="31:178" ht="16.5" x14ac:dyDescent="0.2">
      <c r="AE232" s="13">
        <v>228</v>
      </c>
      <c r="AF232" s="13">
        <f t="shared" si="474"/>
        <v>12</v>
      </c>
      <c r="AG232" s="13">
        <f t="shared" si="461"/>
        <v>2</v>
      </c>
      <c r="AH232" s="13"/>
      <c r="AI232" s="13"/>
      <c r="AJ232" s="14">
        <f t="shared" si="462"/>
        <v>1101012</v>
      </c>
      <c r="AK232" s="14" t="str">
        <f t="shared" si="463"/>
        <v>南御夫8突</v>
      </c>
      <c r="AL232" s="25" t="s">
        <v>142</v>
      </c>
      <c r="AM232" s="14">
        <v>1</v>
      </c>
      <c r="AN232" s="14">
        <f t="shared" si="464"/>
        <v>8</v>
      </c>
      <c r="AO232" s="14">
        <f>INDEX(属性投放!$DF$6:$DF$85,(卡牌属性!AG232-2)*20+卡牌属性!AN232)</f>
        <v>1179</v>
      </c>
      <c r="AP232" s="14">
        <f t="shared" si="505"/>
        <v>1179</v>
      </c>
      <c r="AQ232" s="14">
        <f t="shared" si="505"/>
        <v>1179</v>
      </c>
      <c r="AR232" s="14">
        <f t="shared" si="505"/>
        <v>1179</v>
      </c>
      <c r="AS232" s="14">
        <f t="shared" si="505"/>
        <v>1179</v>
      </c>
      <c r="AT232" s="14">
        <f>INDEX(属性投放!$DG$6:$DG$85,(卡牌属性!AG232-2)*20+卡牌属性!AN232)</f>
        <v>539</v>
      </c>
      <c r="AU232" s="14">
        <f t="shared" si="506"/>
        <v>539</v>
      </c>
      <c r="AV232" s="14">
        <f t="shared" si="506"/>
        <v>539</v>
      </c>
      <c r="AW232" s="14">
        <f t="shared" si="506"/>
        <v>539</v>
      </c>
      <c r="AX232" s="14">
        <f t="shared" si="506"/>
        <v>539</v>
      </c>
      <c r="AY232" s="14">
        <f>INDEX(属性投放!$DH$6:$DH$85,(卡牌属性!AG232-2)*20+卡牌属性!AN232)</f>
        <v>7613</v>
      </c>
      <c r="AZ232" s="14">
        <f t="shared" si="507"/>
        <v>7613</v>
      </c>
      <c r="BA232" s="14">
        <f t="shared" si="507"/>
        <v>7613</v>
      </c>
      <c r="BB232" s="14">
        <f t="shared" si="507"/>
        <v>7613</v>
      </c>
      <c r="BC232" s="14">
        <f t="shared" si="507"/>
        <v>7613</v>
      </c>
      <c r="BD232" s="14">
        <f>INDEX(属性投放!$DL$6:$DL$85,(卡牌属性!AG232-2)*20+卡牌属性!AN232)</f>
        <v>36</v>
      </c>
      <c r="BE232" s="14">
        <f t="shared" si="508"/>
        <v>36</v>
      </c>
      <c r="BF232" s="14">
        <f t="shared" si="508"/>
        <v>36</v>
      </c>
      <c r="BG232" s="14">
        <f t="shared" si="508"/>
        <v>36</v>
      </c>
      <c r="BH232" s="14">
        <f t="shared" si="508"/>
        <v>36</v>
      </c>
      <c r="BI232" s="14">
        <f>INDEX(属性投放!$DM$6:$DM$85,(卡牌属性!AG232-2)*20+卡牌属性!AN232)</f>
        <v>18</v>
      </c>
      <c r="BJ232" s="14">
        <f t="shared" si="509"/>
        <v>18</v>
      </c>
      <c r="BK232" s="14">
        <f t="shared" si="509"/>
        <v>18</v>
      </c>
      <c r="BL232" s="14">
        <f t="shared" si="509"/>
        <v>18</v>
      </c>
      <c r="BM232" s="14">
        <f t="shared" si="509"/>
        <v>18</v>
      </c>
      <c r="BN232" s="14">
        <f>INDEX(属性投放!$DN$6:$DN$85,(卡牌属性!AG232-2)*20+卡牌属性!AN232)</f>
        <v>286</v>
      </c>
      <c r="BO232" s="14">
        <f t="shared" si="510"/>
        <v>286</v>
      </c>
      <c r="BP232" s="14">
        <f t="shared" si="510"/>
        <v>286</v>
      </c>
      <c r="BQ232" s="14">
        <f t="shared" si="510"/>
        <v>286</v>
      </c>
      <c r="BR232" s="14">
        <f t="shared" si="510"/>
        <v>286</v>
      </c>
      <c r="BW232" s="13">
        <v>228</v>
      </c>
      <c r="BX232" s="13">
        <f t="shared" si="465"/>
        <v>12</v>
      </c>
      <c r="BY232" s="14">
        <f t="shared" si="466"/>
        <v>5</v>
      </c>
      <c r="BZ232" s="14">
        <f t="shared" si="475"/>
        <v>1102012</v>
      </c>
      <c r="CA232" s="14" t="str">
        <f t="shared" si="476"/>
        <v>夏侯惇8突</v>
      </c>
      <c r="CB232" s="25" t="s">
        <v>142</v>
      </c>
      <c r="CC232" s="14">
        <v>2</v>
      </c>
      <c r="CD232" s="14">
        <f t="shared" si="467"/>
        <v>8</v>
      </c>
      <c r="CE232" s="14" t="s">
        <v>21</v>
      </c>
      <c r="CF232" s="14">
        <f>INDEX(属性投放!$AZ$6:$AZ$85,(BY232-2)*20+CD232)</f>
        <v>3070</v>
      </c>
      <c r="CG232" s="14" t="s">
        <v>22</v>
      </c>
      <c r="CH232" s="14">
        <f>INDEX(属性投放!$BA$6:$BA$85,(BY232-2)*20+CD232)</f>
        <v>1452</v>
      </c>
      <c r="CI232" s="14" t="s">
        <v>510</v>
      </c>
      <c r="CJ232" s="14">
        <f>INDEX(属性投放!$BB$6:$BB$85,(BY232-2)*20+CD232)</f>
        <v>20285</v>
      </c>
      <c r="CK232" s="14" t="s">
        <v>21</v>
      </c>
      <c r="CL232" s="14">
        <f>INDEX(属性投放!$BC$6:$BC$85,(BY232-2)*20+CD232)</f>
        <v>30</v>
      </c>
      <c r="CM232" s="14" t="s">
        <v>22</v>
      </c>
      <c r="CN232" s="14">
        <f>INDEX(属性投放!$BD$6:$BD$85,(BY232-2)*20+CD232)</f>
        <v>15</v>
      </c>
      <c r="CO232" s="14" t="s">
        <v>510</v>
      </c>
      <c r="CP232" s="14">
        <f>INDEX(属性投放!$BE$6:$BE$85,(BY232-2)*20+CD232)</f>
        <v>240</v>
      </c>
      <c r="CS232" s="13">
        <v>228</v>
      </c>
      <c r="CT232" s="13">
        <f t="shared" si="477"/>
        <v>5</v>
      </c>
      <c r="CU232" s="13">
        <f t="shared" si="478"/>
        <v>20</v>
      </c>
      <c r="CV232" s="14">
        <f t="shared" si="479"/>
        <v>3</v>
      </c>
      <c r="CW232" s="14">
        <f t="shared" si="480"/>
        <v>1102005</v>
      </c>
      <c r="CX232" s="14" t="str">
        <f>INDEX($O$6:$O$50,CT232)&amp;"-"&amp;INDEX(属性投放!$AB$7:$AB$50,CZ232)&amp;"-魂火-"&amp;DB232</f>
        <v>李轩辕-大叫唤-魂火-2</v>
      </c>
      <c r="CY232" s="25" t="s">
        <v>142</v>
      </c>
      <c r="CZ232" s="14">
        <f>INDEX(属性投放!$AM$7:$AM$58,CU232)</f>
        <v>10</v>
      </c>
      <c r="DA232" s="14" t="s">
        <v>537</v>
      </c>
      <c r="DB232" s="14">
        <f>INDEX(属性投放!$AN$7:$AN$58,CU232)</f>
        <v>2</v>
      </c>
      <c r="DC232" s="14">
        <f t="shared" si="468"/>
        <v>20</v>
      </c>
      <c r="DD232" s="14">
        <f>INDEX(属性投放!$AO$7:$AO$58,DC232)</f>
        <v>68</v>
      </c>
      <c r="DE232" s="14" t="s">
        <v>538</v>
      </c>
      <c r="DF232" s="14">
        <f>INDEX(属性投放!$BK$6:$BK$85,(CV232-2)*20+CZ232)</f>
        <v>120</v>
      </c>
      <c r="DG232" s="14">
        <f>SUMIFS(DF$5:DF232,$CT$5:$CT232,"="&amp;$CT232)</f>
        <v>1250</v>
      </c>
      <c r="DH232" s="14" t="s">
        <v>539</v>
      </c>
      <c r="DI232" s="14">
        <f>INDEX(属性投放!$BL$6:$BL$85,(CV232-2)*20+CZ232)</f>
        <v>60</v>
      </c>
      <c r="DJ232" s="14">
        <f>SUMIFS(DI$5:DI232,$CT$5:$CT232,"="&amp;$CT232)</f>
        <v>628</v>
      </c>
      <c r="DK232" s="14" t="s">
        <v>540</v>
      </c>
      <c r="DL232" s="14">
        <f>INDEX(属性投放!$BM$6:$BM$85,(CV232-2)*20+CZ232)</f>
        <v>1080</v>
      </c>
      <c r="DM232" s="14">
        <f>SUMIFS(DL$5:DL232,$CT$5:$CT232,"="&amp;$CT232)</f>
        <v>9710</v>
      </c>
      <c r="DR232" s="14">
        <f t="shared" si="469"/>
        <v>1102012</v>
      </c>
      <c r="DS232" s="14" t="str">
        <f t="shared" si="470"/>
        <v>夏侯惇8突</v>
      </c>
      <c r="DT232" s="14">
        <f t="shared" si="481"/>
        <v>7</v>
      </c>
      <c r="DU232" s="14">
        <f t="shared" si="482"/>
        <v>7</v>
      </c>
      <c r="DV232" s="14">
        <f t="shared" si="483"/>
        <v>9</v>
      </c>
      <c r="DW232" s="14">
        <f t="shared" si="471"/>
        <v>5</v>
      </c>
      <c r="DX232" s="14">
        <f t="shared" si="472"/>
        <v>8</v>
      </c>
      <c r="DY232" s="14">
        <f t="shared" si="473"/>
        <v>68</v>
      </c>
      <c r="DZ232" s="14">
        <f>INDEX(属性投放!$AX$6:$AX$85,(卡牌属性!DW232-2)*20+卡牌属性!DX232)</f>
        <v>5</v>
      </c>
      <c r="EA232" s="14">
        <f>INDEX(属性投放!BQ$6:BQ$85,卡牌属性!$DY232)</f>
        <v>190</v>
      </c>
      <c r="EB232" s="14">
        <f>INDEX(属性投放!BR$6:BR$85,卡牌属性!$DY232)</f>
        <v>95</v>
      </c>
      <c r="EC232" s="14">
        <f>INDEX(属性投放!BS$6:BS$85,卡牌属性!$DY232)</f>
        <v>1520</v>
      </c>
      <c r="ED232" s="14">
        <f t="shared" si="511"/>
        <v>1908</v>
      </c>
      <c r="EE232" s="14">
        <f t="shared" si="512"/>
        <v>2061</v>
      </c>
      <c r="EF232" s="14">
        <f t="shared" si="513"/>
        <v>2255</v>
      </c>
      <c r="EG232" s="14">
        <f t="shared" si="514"/>
        <v>2255</v>
      </c>
      <c r="EH232" s="14">
        <f t="shared" si="515"/>
        <v>2585</v>
      </c>
      <c r="EI232" s="14">
        <f t="shared" si="516"/>
        <v>918</v>
      </c>
      <c r="EJ232" s="14">
        <f t="shared" si="517"/>
        <v>994</v>
      </c>
      <c r="EK232" s="14">
        <f t="shared" si="518"/>
        <v>994</v>
      </c>
      <c r="EL232" s="14">
        <f t="shared" si="519"/>
        <v>1092</v>
      </c>
      <c r="EM232" s="14">
        <f t="shared" si="520"/>
        <v>1279</v>
      </c>
      <c r="EN232" s="14">
        <f t="shared" si="521"/>
        <v>14585</v>
      </c>
      <c r="EO232" s="14">
        <f t="shared" si="522"/>
        <v>16775</v>
      </c>
      <c r="EP232" s="14">
        <f t="shared" si="523"/>
        <v>16775</v>
      </c>
      <c r="EQ232" s="14">
        <f t="shared" si="524"/>
        <v>19935</v>
      </c>
      <c r="ER232" s="14">
        <f t="shared" si="525"/>
        <v>24295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240</v>
      </c>
      <c r="FD232" s="14">
        <f>INDEX(属性偏向!$U$4:$U$243,(卡牌属性!$DV232-1+FD$3)*20+卡牌属性!$DX232)</f>
        <v>320</v>
      </c>
      <c r="FE232" s="14">
        <f>INDEX(属性偏向!$U$4:$U$243,(卡牌属性!$DV232-1+FE$3)*20+卡牌属性!$DX232)</f>
        <v>320</v>
      </c>
      <c r="FF232" s="14">
        <f>INDEX(属性偏向!$U$4:$U$243,(卡牌属性!$DV232-1+FF$3)*20+卡牌属性!$DX232)</f>
        <v>400</v>
      </c>
      <c r="FG232" s="14">
        <f>INDEX(属性偏向!$U$4:$U$243,(卡牌属性!$DV232-1+FG$3)*20+卡牌属性!$DX232)</f>
        <v>600</v>
      </c>
      <c r="FH232" s="14">
        <f>INDEX(属性投放!$BQ$6:$BQ$85,(卡牌属性!$DW232-2)*20+卡牌属性!$DX232)</f>
        <v>190</v>
      </c>
      <c r="FI232" s="14">
        <f>INDEX(属性投放!$BQ$6:$BQ$85,(卡牌属性!$DW232-2)*20+卡牌属性!$DX232)</f>
        <v>190</v>
      </c>
      <c r="FJ232" s="14">
        <f>INDEX(属性投放!$BQ$6:$BQ$85,(卡牌属性!$DW232-2)*20+卡牌属性!$DX232)</f>
        <v>190</v>
      </c>
      <c r="FK232" s="14">
        <f>INDEX(属性投放!$BQ$6:$BQ$85,(卡牌属性!$DW232-2)*20+卡牌属性!$DX232)</f>
        <v>190</v>
      </c>
      <c r="FL232" s="14">
        <f>INDEX(属性投放!$BQ$6:$BQ$85,(卡牌属性!$DW232-2)*20+卡牌属性!$DX232)</f>
        <v>190</v>
      </c>
      <c r="FM232" s="14">
        <f>INDEX(属性投放!$BR$6:$BR$85,(卡牌属性!$DW232-2)*20+卡牌属性!$DX232)</f>
        <v>95</v>
      </c>
      <c r="FN232" s="14">
        <f>INDEX(属性投放!$BR$6:$BR$85,(卡牌属性!$DW232-2)*20+卡牌属性!$DX232)</f>
        <v>95</v>
      </c>
      <c r="FO232" s="14">
        <f>INDEX(属性投放!$BR$6:$BR$85,(卡牌属性!$DW232-2)*20+卡牌属性!$DX232)</f>
        <v>95</v>
      </c>
      <c r="FP232" s="14">
        <f>INDEX(属性投放!$BR$6:$BR$85,(卡牌属性!$DW232-2)*20+卡牌属性!$DX232)</f>
        <v>95</v>
      </c>
      <c r="FQ232" s="14">
        <f>INDEX(属性投放!$BR$6:$BR$85,(卡牌属性!$DW232-2)*20+卡牌属性!$DX232)</f>
        <v>95</v>
      </c>
      <c r="FR232" s="14">
        <f>INDEX(属性投放!$BS$6:$BS$85,(卡牌属性!$DW232-2)*20+卡牌属性!$DX232)</f>
        <v>1520</v>
      </c>
      <c r="FS232" s="14">
        <f>INDEX(属性投放!$BS$6:$BS$85,(卡牌属性!$DW232-2)*20+卡牌属性!$DX232)</f>
        <v>1520</v>
      </c>
      <c r="FT232" s="14">
        <f>INDEX(属性投放!$BS$6:$BS$85,(卡牌属性!$DW232-2)*20+卡牌属性!$DX232)</f>
        <v>1520</v>
      </c>
      <c r="FU232" s="14">
        <f>INDEX(属性投放!$BS$6:$BS$85,(卡牌属性!$DW232-2)*20+卡牌属性!$DX232)</f>
        <v>1520</v>
      </c>
      <c r="FV232" s="14">
        <f>INDEX(属性投放!$BS$6:$BS$85,(卡牌属性!$DW232-2)*20+卡牌属性!$DX232)</f>
        <v>1520</v>
      </c>
    </row>
    <row r="233" spans="31:178" ht="16.5" x14ac:dyDescent="0.2">
      <c r="AE233" s="13">
        <v>229</v>
      </c>
      <c r="AF233" s="13">
        <f t="shared" si="474"/>
        <v>12</v>
      </c>
      <c r="AG233" s="13">
        <f t="shared" si="461"/>
        <v>2</v>
      </c>
      <c r="AH233" s="13"/>
      <c r="AI233" s="13"/>
      <c r="AJ233" s="14">
        <f t="shared" si="462"/>
        <v>1101012</v>
      </c>
      <c r="AK233" s="14" t="str">
        <f t="shared" si="463"/>
        <v>南御夫9突</v>
      </c>
      <c r="AL233" s="25" t="s">
        <v>142</v>
      </c>
      <c r="AM233" s="14">
        <v>1</v>
      </c>
      <c r="AN233" s="14">
        <f t="shared" si="464"/>
        <v>9</v>
      </c>
      <c r="AO233" s="14">
        <f>INDEX(属性投放!$DF$6:$DF$85,(卡牌属性!AG233-2)*20+卡牌属性!AN233)</f>
        <v>1281</v>
      </c>
      <c r="AP233" s="14">
        <f t="shared" si="505"/>
        <v>1281</v>
      </c>
      <c r="AQ233" s="14">
        <f t="shared" si="505"/>
        <v>1281</v>
      </c>
      <c r="AR233" s="14">
        <f t="shared" si="505"/>
        <v>1281</v>
      </c>
      <c r="AS233" s="14">
        <f t="shared" si="505"/>
        <v>1281</v>
      </c>
      <c r="AT233" s="14">
        <f>INDEX(属性投放!$DG$6:$DG$85,(卡牌属性!AG233-2)*20+卡牌属性!AN233)</f>
        <v>590</v>
      </c>
      <c r="AU233" s="14">
        <f t="shared" si="506"/>
        <v>590</v>
      </c>
      <c r="AV233" s="14">
        <f t="shared" si="506"/>
        <v>590</v>
      </c>
      <c r="AW233" s="14">
        <f t="shared" si="506"/>
        <v>590</v>
      </c>
      <c r="AX233" s="14">
        <f t="shared" si="506"/>
        <v>590</v>
      </c>
      <c r="AY233" s="14">
        <f>INDEX(属性投放!$DH$6:$DH$85,(卡牌属性!AG233-2)*20+卡牌属性!AN233)</f>
        <v>8429</v>
      </c>
      <c r="AZ233" s="14">
        <f t="shared" si="507"/>
        <v>8429</v>
      </c>
      <c r="BA233" s="14">
        <f t="shared" si="507"/>
        <v>8429</v>
      </c>
      <c r="BB233" s="14">
        <f t="shared" si="507"/>
        <v>8429</v>
      </c>
      <c r="BC233" s="14">
        <f t="shared" si="507"/>
        <v>8429</v>
      </c>
      <c r="BD233" s="14">
        <f>INDEX(属性投放!$DL$6:$DL$85,(卡牌属性!AG233-2)*20+卡牌属性!AN233)</f>
        <v>36</v>
      </c>
      <c r="BE233" s="14">
        <f t="shared" si="508"/>
        <v>36</v>
      </c>
      <c r="BF233" s="14">
        <f t="shared" si="508"/>
        <v>36</v>
      </c>
      <c r="BG233" s="14">
        <f t="shared" si="508"/>
        <v>36</v>
      </c>
      <c r="BH233" s="14">
        <f t="shared" si="508"/>
        <v>36</v>
      </c>
      <c r="BI233" s="14">
        <f>INDEX(属性投放!$DM$6:$DM$85,(卡牌属性!AG233-2)*20+卡牌属性!AN233)</f>
        <v>18</v>
      </c>
      <c r="BJ233" s="14">
        <f t="shared" si="509"/>
        <v>18</v>
      </c>
      <c r="BK233" s="14">
        <f t="shared" si="509"/>
        <v>18</v>
      </c>
      <c r="BL233" s="14">
        <f t="shared" si="509"/>
        <v>18</v>
      </c>
      <c r="BM233" s="14">
        <f t="shared" si="509"/>
        <v>18</v>
      </c>
      <c r="BN233" s="14">
        <f>INDEX(属性投放!$DN$6:$DN$85,(卡牌属性!AG233-2)*20+卡牌属性!AN233)</f>
        <v>286</v>
      </c>
      <c r="BO233" s="14">
        <f t="shared" si="510"/>
        <v>286</v>
      </c>
      <c r="BP233" s="14">
        <f t="shared" si="510"/>
        <v>286</v>
      </c>
      <c r="BQ233" s="14">
        <f t="shared" si="510"/>
        <v>286</v>
      </c>
      <c r="BR233" s="14">
        <f t="shared" si="510"/>
        <v>286</v>
      </c>
      <c r="BW233" s="13">
        <v>229</v>
      </c>
      <c r="BX233" s="13">
        <f t="shared" si="465"/>
        <v>12</v>
      </c>
      <c r="BY233" s="14">
        <f t="shared" si="466"/>
        <v>5</v>
      </c>
      <c r="BZ233" s="14">
        <f t="shared" si="475"/>
        <v>1102012</v>
      </c>
      <c r="CA233" s="14" t="str">
        <f t="shared" si="476"/>
        <v>夏侯惇9突</v>
      </c>
      <c r="CB233" s="25" t="s">
        <v>142</v>
      </c>
      <c r="CC233" s="14">
        <v>2</v>
      </c>
      <c r="CD233" s="14">
        <f t="shared" si="467"/>
        <v>9</v>
      </c>
      <c r="CE233" s="14" t="s">
        <v>21</v>
      </c>
      <c r="CF233" s="14">
        <f>INDEX(属性投放!$AZ$6:$AZ$85,(BY233-2)*20+CD233)</f>
        <v>3650</v>
      </c>
      <c r="CG233" s="14" t="s">
        <v>22</v>
      </c>
      <c r="CH233" s="14">
        <f>INDEX(属性投放!$BA$6:$BA$85,(BY233-2)*20+CD233)</f>
        <v>1742</v>
      </c>
      <c r="CI233" s="14" t="s">
        <v>510</v>
      </c>
      <c r="CJ233" s="14">
        <f>INDEX(属性投放!$BB$6:$BB$85,(BY233-2)*20+CD233)</f>
        <v>24925</v>
      </c>
      <c r="CK233" s="14" t="s">
        <v>21</v>
      </c>
      <c r="CL233" s="14">
        <f>INDEX(属性投放!$BC$6:$BC$85,(BY233-2)*20+CD233)</f>
        <v>30</v>
      </c>
      <c r="CM233" s="14" t="s">
        <v>22</v>
      </c>
      <c r="CN233" s="14">
        <f>INDEX(属性投放!$BD$6:$BD$85,(BY233-2)*20+CD233)</f>
        <v>15</v>
      </c>
      <c r="CO233" s="14" t="s">
        <v>510</v>
      </c>
      <c r="CP233" s="14">
        <f>INDEX(属性投放!$BE$6:$BE$85,(BY233-2)*20+CD233)</f>
        <v>240</v>
      </c>
      <c r="CS233" s="13">
        <v>229</v>
      </c>
      <c r="CT233" s="13">
        <f t="shared" si="477"/>
        <v>5</v>
      </c>
      <c r="CU233" s="13">
        <f t="shared" si="478"/>
        <v>21</v>
      </c>
      <c r="CV233" s="14">
        <f t="shared" si="479"/>
        <v>3</v>
      </c>
      <c r="CW233" s="14">
        <f t="shared" si="480"/>
        <v>1102005</v>
      </c>
      <c r="CX233" s="14" t="str">
        <f>INDEX($O$6:$O$50,CT233)&amp;"-"&amp;INDEX(属性投放!$AB$7:$AB$50,CZ233)&amp;"-魂火-"&amp;DB233</f>
        <v>李轩辕-大叫唤-魂火-3</v>
      </c>
      <c r="CY233" s="25" t="s">
        <v>142</v>
      </c>
      <c r="CZ233" s="14">
        <f>INDEX(属性投放!$AM$7:$AM$58,CU233)</f>
        <v>10</v>
      </c>
      <c r="DA233" s="14" t="s">
        <v>537</v>
      </c>
      <c r="DB233" s="14">
        <f>INDEX(属性投放!$AN$7:$AN$58,CU233)</f>
        <v>3</v>
      </c>
      <c r="DC233" s="14">
        <f t="shared" si="468"/>
        <v>21</v>
      </c>
      <c r="DD233" s="14">
        <f>INDEX(属性投放!$AO$7:$AO$58,DC233)</f>
        <v>70</v>
      </c>
      <c r="DE233" s="14" t="s">
        <v>538</v>
      </c>
      <c r="DF233" s="14">
        <f>INDEX(属性投放!$BK$6:$BK$85,(CV233-2)*20+CZ233)</f>
        <v>120</v>
      </c>
      <c r="DG233" s="14">
        <f>SUMIFS(DF$5:DF233,$CT$5:$CT233,"="&amp;$CT233)</f>
        <v>1370</v>
      </c>
      <c r="DH233" s="14" t="s">
        <v>539</v>
      </c>
      <c r="DI233" s="14">
        <f>INDEX(属性投放!$BL$6:$BL$85,(CV233-2)*20+CZ233)</f>
        <v>60</v>
      </c>
      <c r="DJ233" s="14">
        <f>SUMIFS(DI$5:DI233,$CT$5:$CT233,"="&amp;$CT233)</f>
        <v>688</v>
      </c>
      <c r="DK233" s="14" t="s">
        <v>540</v>
      </c>
      <c r="DL233" s="14">
        <f>INDEX(属性投放!$BM$6:$BM$85,(CV233-2)*20+CZ233)</f>
        <v>1080</v>
      </c>
      <c r="DM233" s="14">
        <f>SUMIFS(DL$5:DL233,$CT$5:$CT233,"="&amp;$CT233)</f>
        <v>10790</v>
      </c>
      <c r="DR233" s="14">
        <f t="shared" si="469"/>
        <v>1102012</v>
      </c>
      <c r="DS233" s="14" t="str">
        <f t="shared" si="470"/>
        <v>夏侯惇9突</v>
      </c>
      <c r="DT233" s="14">
        <f t="shared" si="481"/>
        <v>7</v>
      </c>
      <c r="DU233" s="14">
        <f t="shared" si="482"/>
        <v>7</v>
      </c>
      <c r="DV233" s="14">
        <f t="shared" si="483"/>
        <v>9</v>
      </c>
      <c r="DW233" s="14">
        <f t="shared" si="471"/>
        <v>5</v>
      </c>
      <c r="DX233" s="14">
        <f t="shared" si="472"/>
        <v>9</v>
      </c>
      <c r="DY233" s="14">
        <f t="shared" si="473"/>
        <v>69</v>
      </c>
      <c r="DZ233" s="14">
        <f>INDEX(属性投放!$AX$6:$AX$85,(卡牌属性!DW233-2)*20+卡牌属性!DX233)</f>
        <v>8</v>
      </c>
      <c r="EA233" s="14">
        <f>INDEX(属性投放!BQ$6:BQ$85,卡牌属性!$DY233)</f>
        <v>220</v>
      </c>
      <c r="EB233" s="14">
        <f>INDEX(属性投放!BR$6:BR$85,卡牌属性!$DY233)</f>
        <v>110</v>
      </c>
      <c r="EC233" s="14">
        <f>INDEX(属性投放!BS$6:BS$85,卡牌属性!$DY233)</f>
        <v>1760</v>
      </c>
      <c r="ED233" s="14">
        <f t="shared" si="511"/>
        <v>2223</v>
      </c>
      <c r="EE233" s="14">
        <f t="shared" si="512"/>
        <v>2391</v>
      </c>
      <c r="EF233" s="14">
        <f t="shared" si="513"/>
        <v>2595</v>
      </c>
      <c r="EG233" s="14">
        <f t="shared" si="514"/>
        <v>2595</v>
      </c>
      <c r="EH233" s="14">
        <f t="shared" si="515"/>
        <v>2975</v>
      </c>
      <c r="EI233" s="14">
        <f t="shared" si="516"/>
        <v>1078</v>
      </c>
      <c r="EJ233" s="14">
        <f t="shared" si="517"/>
        <v>1159</v>
      </c>
      <c r="EK233" s="14">
        <f t="shared" si="518"/>
        <v>1159</v>
      </c>
      <c r="EL233" s="14">
        <f t="shared" si="519"/>
        <v>1262</v>
      </c>
      <c r="EM233" s="14">
        <f t="shared" si="520"/>
        <v>1474</v>
      </c>
      <c r="EN233" s="14">
        <f t="shared" si="521"/>
        <v>17305</v>
      </c>
      <c r="EO233" s="14">
        <f t="shared" si="522"/>
        <v>19895</v>
      </c>
      <c r="EP233" s="14">
        <f t="shared" si="523"/>
        <v>19895</v>
      </c>
      <c r="EQ233" s="14">
        <f t="shared" si="524"/>
        <v>23455</v>
      </c>
      <c r="ER233" s="14">
        <f t="shared" si="525"/>
        <v>28815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240</v>
      </c>
      <c r="FD233" s="14">
        <f>INDEX(属性偏向!$U$4:$U$243,(卡牌属性!$DV233-1+FD$3)*20+卡牌属性!$DX233)</f>
        <v>320</v>
      </c>
      <c r="FE233" s="14">
        <f>INDEX(属性偏向!$U$4:$U$243,(卡牌属性!$DV233-1+FE$3)*20+卡牌属性!$DX233)</f>
        <v>320</v>
      </c>
      <c r="FF233" s="14">
        <f>INDEX(属性偏向!$U$4:$U$243,(卡牌属性!$DV233-1+FF$3)*20+卡牌属性!$DX233)</f>
        <v>400</v>
      </c>
      <c r="FG233" s="14">
        <f>INDEX(属性偏向!$U$4:$U$243,(卡牌属性!$DV233-1+FG$3)*20+卡牌属性!$DX233)</f>
        <v>600</v>
      </c>
      <c r="FH233" s="14">
        <f>INDEX(属性投放!$BQ$6:$BQ$85,(卡牌属性!$DW233-2)*20+卡牌属性!$DX233)</f>
        <v>220</v>
      </c>
      <c r="FI233" s="14">
        <f>INDEX(属性投放!$BQ$6:$BQ$85,(卡牌属性!$DW233-2)*20+卡牌属性!$DX233)</f>
        <v>220</v>
      </c>
      <c r="FJ233" s="14">
        <f>INDEX(属性投放!$BQ$6:$BQ$85,(卡牌属性!$DW233-2)*20+卡牌属性!$DX233)</f>
        <v>220</v>
      </c>
      <c r="FK233" s="14">
        <f>INDEX(属性投放!$BQ$6:$BQ$85,(卡牌属性!$DW233-2)*20+卡牌属性!$DX233)</f>
        <v>220</v>
      </c>
      <c r="FL233" s="14">
        <f>INDEX(属性投放!$BQ$6:$BQ$85,(卡牌属性!$DW233-2)*20+卡牌属性!$DX233)</f>
        <v>220</v>
      </c>
      <c r="FM233" s="14">
        <f>INDEX(属性投放!$BR$6:$BR$85,(卡牌属性!$DW233-2)*20+卡牌属性!$DX233)</f>
        <v>110</v>
      </c>
      <c r="FN233" s="14">
        <f>INDEX(属性投放!$BR$6:$BR$85,(卡牌属性!$DW233-2)*20+卡牌属性!$DX233)</f>
        <v>110</v>
      </c>
      <c r="FO233" s="14">
        <f>INDEX(属性投放!$BR$6:$BR$85,(卡牌属性!$DW233-2)*20+卡牌属性!$DX233)</f>
        <v>110</v>
      </c>
      <c r="FP233" s="14">
        <f>INDEX(属性投放!$BR$6:$BR$85,(卡牌属性!$DW233-2)*20+卡牌属性!$DX233)</f>
        <v>110</v>
      </c>
      <c r="FQ233" s="14">
        <f>INDEX(属性投放!$BR$6:$BR$85,(卡牌属性!$DW233-2)*20+卡牌属性!$DX233)</f>
        <v>110</v>
      </c>
      <c r="FR233" s="14">
        <f>INDEX(属性投放!$BS$6:$BS$85,(卡牌属性!$DW233-2)*20+卡牌属性!$DX233)</f>
        <v>1760</v>
      </c>
      <c r="FS233" s="14">
        <f>INDEX(属性投放!$BS$6:$BS$85,(卡牌属性!$DW233-2)*20+卡牌属性!$DX233)</f>
        <v>1760</v>
      </c>
      <c r="FT233" s="14">
        <f>INDEX(属性投放!$BS$6:$BS$85,(卡牌属性!$DW233-2)*20+卡牌属性!$DX233)</f>
        <v>1760</v>
      </c>
      <c r="FU233" s="14">
        <f>INDEX(属性投放!$BS$6:$BS$85,(卡牌属性!$DW233-2)*20+卡牌属性!$DX233)</f>
        <v>1760</v>
      </c>
      <c r="FV233" s="14">
        <f>INDEX(属性投放!$BS$6:$BS$85,(卡牌属性!$DW233-2)*20+卡牌属性!$DX233)</f>
        <v>1760</v>
      </c>
    </row>
    <row r="234" spans="31:178" ht="16.5" x14ac:dyDescent="0.2">
      <c r="AE234" s="13">
        <v>230</v>
      </c>
      <c r="AF234" s="13">
        <f t="shared" si="474"/>
        <v>12</v>
      </c>
      <c r="AG234" s="13">
        <f t="shared" si="461"/>
        <v>2</v>
      </c>
      <c r="AH234" s="13"/>
      <c r="AI234" s="13"/>
      <c r="AJ234" s="14">
        <f t="shared" si="462"/>
        <v>1101012</v>
      </c>
      <c r="AK234" s="14" t="str">
        <f t="shared" si="463"/>
        <v>南御夫10突</v>
      </c>
      <c r="AL234" s="25" t="s">
        <v>142</v>
      </c>
      <c r="AM234" s="14">
        <v>1</v>
      </c>
      <c r="AN234" s="14">
        <f t="shared" si="464"/>
        <v>10</v>
      </c>
      <c r="AO234" s="14">
        <f>INDEX(属性投放!$DF$6:$DF$85,(卡牌属性!AG234-2)*20+卡牌属性!AN234)</f>
        <v>1923</v>
      </c>
      <c r="AP234" s="14">
        <f t="shared" si="505"/>
        <v>1923</v>
      </c>
      <c r="AQ234" s="14">
        <f t="shared" si="505"/>
        <v>1923</v>
      </c>
      <c r="AR234" s="14">
        <f t="shared" si="505"/>
        <v>1923</v>
      </c>
      <c r="AS234" s="14">
        <f t="shared" si="505"/>
        <v>1923</v>
      </c>
      <c r="AT234" s="14">
        <f>INDEX(属性投放!$DG$6:$DG$85,(卡牌属性!AG234-2)*20+卡牌属性!AN234)</f>
        <v>911</v>
      </c>
      <c r="AU234" s="14">
        <f t="shared" si="506"/>
        <v>911</v>
      </c>
      <c r="AV234" s="14">
        <f t="shared" si="506"/>
        <v>911</v>
      </c>
      <c r="AW234" s="14">
        <f t="shared" si="506"/>
        <v>911</v>
      </c>
      <c r="AX234" s="14">
        <f t="shared" si="506"/>
        <v>911</v>
      </c>
      <c r="AY234" s="14">
        <f>INDEX(属性投放!$DH$6:$DH$85,(卡牌属性!AG234-2)*20+卡牌属性!AN234)</f>
        <v>13535</v>
      </c>
      <c r="AZ234" s="14">
        <f t="shared" si="507"/>
        <v>13535</v>
      </c>
      <c r="BA234" s="14">
        <f t="shared" si="507"/>
        <v>13535</v>
      </c>
      <c r="BB234" s="14">
        <f t="shared" si="507"/>
        <v>13535</v>
      </c>
      <c r="BC234" s="14">
        <f t="shared" si="507"/>
        <v>13535</v>
      </c>
      <c r="BD234" s="14">
        <f>INDEX(属性投放!$DL$6:$DL$85,(卡牌属性!AG234-2)*20+卡牌属性!AN234)</f>
        <v>76</v>
      </c>
      <c r="BE234" s="14">
        <f t="shared" si="508"/>
        <v>76</v>
      </c>
      <c r="BF234" s="14">
        <f t="shared" si="508"/>
        <v>76</v>
      </c>
      <c r="BG234" s="14">
        <f t="shared" si="508"/>
        <v>76</v>
      </c>
      <c r="BH234" s="14">
        <f t="shared" si="508"/>
        <v>76</v>
      </c>
      <c r="BI234" s="14">
        <f>INDEX(属性投放!$DM$6:$DM$85,(卡牌属性!AG234-2)*20+卡牌属性!AN234)</f>
        <v>38</v>
      </c>
      <c r="BJ234" s="14">
        <f t="shared" si="509"/>
        <v>38</v>
      </c>
      <c r="BK234" s="14">
        <f t="shared" si="509"/>
        <v>38</v>
      </c>
      <c r="BL234" s="14">
        <f t="shared" si="509"/>
        <v>38</v>
      </c>
      <c r="BM234" s="14">
        <f t="shared" si="509"/>
        <v>38</v>
      </c>
      <c r="BN234" s="14">
        <f>INDEX(属性投放!$DN$6:$DN$85,(卡牌属性!AG234-2)*20+卡牌属性!AN234)</f>
        <v>685</v>
      </c>
      <c r="BO234" s="14">
        <f t="shared" si="510"/>
        <v>685</v>
      </c>
      <c r="BP234" s="14">
        <f t="shared" si="510"/>
        <v>685</v>
      </c>
      <c r="BQ234" s="14">
        <f t="shared" si="510"/>
        <v>685</v>
      </c>
      <c r="BR234" s="14">
        <f t="shared" si="510"/>
        <v>685</v>
      </c>
      <c r="BW234" s="13">
        <v>230</v>
      </c>
      <c r="BX234" s="13">
        <f t="shared" si="465"/>
        <v>12</v>
      </c>
      <c r="BY234" s="14">
        <f t="shared" si="466"/>
        <v>5</v>
      </c>
      <c r="BZ234" s="14">
        <f t="shared" si="475"/>
        <v>1102012</v>
      </c>
      <c r="CA234" s="14" t="str">
        <f t="shared" si="476"/>
        <v>夏侯惇10突</v>
      </c>
      <c r="CB234" s="25" t="s">
        <v>142</v>
      </c>
      <c r="CC234" s="14">
        <v>2</v>
      </c>
      <c r="CD234" s="14">
        <f t="shared" si="467"/>
        <v>10</v>
      </c>
      <c r="CE234" s="14" t="s">
        <v>21</v>
      </c>
      <c r="CF234" s="14">
        <f>INDEX(属性投放!$AZ$6:$AZ$85,(BY234-2)*20+CD234)</f>
        <v>4524</v>
      </c>
      <c r="CG234" s="14" t="s">
        <v>22</v>
      </c>
      <c r="CH234" s="14">
        <f>INDEX(属性投放!$BA$6:$BA$85,(BY234-2)*20+CD234)</f>
        <v>2179</v>
      </c>
      <c r="CI234" s="14" t="s">
        <v>510</v>
      </c>
      <c r="CJ234" s="14">
        <f>INDEX(属性投放!$BB$6:$BB$85,(BY234-2)*20+CD234)</f>
        <v>31917</v>
      </c>
      <c r="CK234" s="14" t="s">
        <v>21</v>
      </c>
      <c r="CL234" s="14">
        <f>INDEX(属性投放!$BC$6:$BC$85,(BY234-2)*20+CD234)</f>
        <v>40</v>
      </c>
      <c r="CM234" s="14" t="s">
        <v>22</v>
      </c>
      <c r="CN234" s="14">
        <f>INDEX(属性投放!$BD$6:$BD$85,(BY234-2)*20+CD234)</f>
        <v>20</v>
      </c>
      <c r="CO234" s="14" t="s">
        <v>510</v>
      </c>
      <c r="CP234" s="14">
        <f>INDEX(属性投放!$BE$6:$BE$85,(BY234-2)*20+CD234)</f>
        <v>360</v>
      </c>
      <c r="CS234" s="13">
        <v>230</v>
      </c>
      <c r="CT234" s="13">
        <f t="shared" si="477"/>
        <v>5</v>
      </c>
      <c r="CU234" s="13">
        <f t="shared" si="478"/>
        <v>22</v>
      </c>
      <c r="CV234" s="14">
        <f t="shared" si="479"/>
        <v>3</v>
      </c>
      <c r="CW234" s="14">
        <f t="shared" si="480"/>
        <v>1102005</v>
      </c>
      <c r="CX234" s="14" t="str">
        <f>INDEX($O$6:$O$50,CT234)&amp;"-"&amp;INDEX(属性投放!$AB$7:$AB$50,CZ234)&amp;"-魂火-"&amp;DB234</f>
        <v>李轩辕-大叫唤+1-魂火-1</v>
      </c>
      <c r="CY234" s="25" t="s">
        <v>142</v>
      </c>
      <c r="CZ234" s="14">
        <f>INDEX(属性投放!$AM$7:$AM$58,CU234)</f>
        <v>11</v>
      </c>
      <c r="DA234" s="14" t="s">
        <v>537</v>
      </c>
      <c r="DB234" s="14">
        <f>INDEX(属性投放!$AN$7:$AN$58,CU234)</f>
        <v>1</v>
      </c>
      <c r="DC234" s="14">
        <f t="shared" si="468"/>
        <v>22</v>
      </c>
      <c r="DD234" s="14">
        <f>INDEX(属性投放!$AO$7:$AO$58,DC234)</f>
        <v>73</v>
      </c>
      <c r="DE234" s="14" t="s">
        <v>538</v>
      </c>
      <c r="DF234" s="14">
        <f>INDEX(属性投放!$BK$6:$BK$85,(CV234-2)*20+CZ234)</f>
        <v>150</v>
      </c>
      <c r="DG234" s="14">
        <f>SUMIFS(DF$5:DF234,$CT$5:$CT234,"="&amp;$CT234)</f>
        <v>1520</v>
      </c>
      <c r="DH234" s="14" t="s">
        <v>539</v>
      </c>
      <c r="DI234" s="14">
        <f>INDEX(属性投放!$BL$6:$BL$85,(CV234-2)*20+CZ234)</f>
        <v>75</v>
      </c>
      <c r="DJ234" s="14">
        <f>SUMIFS(DI$5:DI234,$CT$5:$CT234,"="&amp;$CT234)</f>
        <v>763</v>
      </c>
      <c r="DK234" s="14" t="s">
        <v>540</v>
      </c>
      <c r="DL234" s="14">
        <f>INDEX(属性投放!$BM$6:$BM$85,(CV234-2)*20+CZ234)</f>
        <v>1350</v>
      </c>
      <c r="DM234" s="14">
        <f>SUMIFS(DL$5:DL234,$CT$5:$CT234,"="&amp;$CT234)</f>
        <v>12140</v>
      </c>
      <c r="DR234" s="14">
        <f t="shared" si="469"/>
        <v>1102012</v>
      </c>
      <c r="DS234" s="14" t="str">
        <f t="shared" si="470"/>
        <v>夏侯惇10突</v>
      </c>
      <c r="DT234" s="14">
        <f t="shared" si="481"/>
        <v>7</v>
      </c>
      <c r="DU234" s="14">
        <f t="shared" si="482"/>
        <v>7</v>
      </c>
      <c r="DV234" s="14">
        <f t="shared" si="483"/>
        <v>9</v>
      </c>
      <c r="DW234" s="14">
        <f t="shared" si="471"/>
        <v>5</v>
      </c>
      <c r="DX234" s="14">
        <f t="shared" si="472"/>
        <v>10</v>
      </c>
      <c r="DY234" s="14">
        <f t="shared" si="473"/>
        <v>70</v>
      </c>
      <c r="DZ234" s="14">
        <f>INDEX(属性投放!$AX$6:$AX$85,(卡牌属性!DW234-2)*20+卡牌属性!DX234)</f>
        <v>7</v>
      </c>
      <c r="EA234" s="14">
        <f>INDEX(属性投放!BQ$6:BQ$85,卡牌属性!$DY234)</f>
        <v>215</v>
      </c>
      <c r="EB234" s="14">
        <f>INDEX(属性投放!BR$6:BR$85,卡牌属性!$DY234)</f>
        <v>108</v>
      </c>
      <c r="EC234" s="14">
        <f>INDEX(属性投放!BS$6:BS$85,卡牌属性!$DY234)</f>
        <v>1935</v>
      </c>
      <c r="ED234" s="14">
        <f t="shared" si="511"/>
        <v>2643</v>
      </c>
      <c r="EE234" s="14">
        <f t="shared" si="512"/>
        <v>2835</v>
      </c>
      <c r="EF234" s="14">
        <f t="shared" si="513"/>
        <v>3055</v>
      </c>
      <c r="EG234" s="14">
        <f t="shared" si="514"/>
        <v>3055</v>
      </c>
      <c r="EH234" s="14">
        <f t="shared" si="515"/>
        <v>3515</v>
      </c>
      <c r="EI234" s="14">
        <f t="shared" si="516"/>
        <v>1292</v>
      </c>
      <c r="EJ234" s="14">
        <f t="shared" si="517"/>
        <v>1381</v>
      </c>
      <c r="EK234" s="14">
        <f t="shared" si="518"/>
        <v>1381</v>
      </c>
      <c r="EL234" s="14">
        <f t="shared" si="519"/>
        <v>1492</v>
      </c>
      <c r="EM234" s="14">
        <f t="shared" si="520"/>
        <v>1744</v>
      </c>
      <c r="EN234" s="14">
        <f t="shared" si="521"/>
        <v>20985</v>
      </c>
      <c r="EO234" s="14">
        <f t="shared" si="522"/>
        <v>24215</v>
      </c>
      <c r="EP234" s="14">
        <f t="shared" si="523"/>
        <v>24215</v>
      </c>
      <c r="EQ234" s="14">
        <f t="shared" si="524"/>
        <v>28415</v>
      </c>
      <c r="ER234" s="14">
        <f t="shared" si="525"/>
        <v>35375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360</v>
      </c>
      <c r="FD234" s="14">
        <f>INDEX(属性偏向!$U$4:$U$243,(卡牌属性!$DV234-1+FD$3)*20+卡牌属性!$DX234)</f>
        <v>450</v>
      </c>
      <c r="FE234" s="14">
        <f>INDEX(属性偏向!$U$4:$U$243,(卡牌属性!$DV234-1+FE$3)*20+卡牌属性!$DX234)</f>
        <v>450</v>
      </c>
      <c r="FF234" s="14">
        <f>INDEX(属性偏向!$U$4:$U$243,(卡牌属性!$DV234-1+FF$3)*20+卡牌属性!$DX234)</f>
        <v>675</v>
      </c>
      <c r="FG234" s="14">
        <f>INDEX(属性偏向!$U$4:$U$243,(卡牌属性!$DV234-1+FG$3)*20+卡牌属性!$DX234)</f>
        <v>900</v>
      </c>
      <c r="FH234" s="14">
        <f>INDEX(属性投放!$BQ$6:$BQ$85,(卡牌属性!$DW234-2)*20+卡牌属性!$DX234)</f>
        <v>215</v>
      </c>
      <c r="FI234" s="14">
        <f>INDEX(属性投放!$BQ$6:$BQ$85,(卡牌属性!$DW234-2)*20+卡牌属性!$DX234)</f>
        <v>215</v>
      </c>
      <c r="FJ234" s="14">
        <f>INDEX(属性投放!$BQ$6:$BQ$85,(卡牌属性!$DW234-2)*20+卡牌属性!$DX234)</f>
        <v>215</v>
      </c>
      <c r="FK234" s="14">
        <f>INDEX(属性投放!$BQ$6:$BQ$85,(卡牌属性!$DW234-2)*20+卡牌属性!$DX234)</f>
        <v>215</v>
      </c>
      <c r="FL234" s="14">
        <f>INDEX(属性投放!$BQ$6:$BQ$85,(卡牌属性!$DW234-2)*20+卡牌属性!$DX234)</f>
        <v>215</v>
      </c>
      <c r="FM234" s="14">
        <f>INDEX(属性投放!$BR$6:$BR$85,(卡牌属性!$DW234-2)*20+卡牌属性!$DX234)</f>
        <v>108</v>
      </c>
      <c r="FN234" s="14">
        <f>INDEX(属性投放!$BR$6:$BR$85,(卡牌属性!$DW234-2)*20+卡牌属性!$DX234)</f>
        <v>108</v>
      </c>
      <c r="FO234" s="14">
        <f>INDEX(属性投放!$BR$6:$BR$85,(卡牌属性!$DW234-2)*20+卡牌属性!$DX234)</f>
        <v>108</v>
      </c>
      <c r="FP234" s="14">
        <f>INDEX(属性投放!$BR$6:$BR$85,(卡牌属性!$DW234-2)*20+卡牌属性!$DX234)</f>
        <v>108</v>
      </c>
      <c r="FQ234" s="14">
        <f>INDEX(属性投放!$BR$6:$BR$85,(卡牌属性!$DW234-2)*20+卡牌属性!$DX234)</f>
        <v>108</v>
      </c>
      <c r="FR234" s="14">
        <f>INDEX(属性投放!$BS$6:$BS$85,(卡牌属性!$DW234-2)*20+卡牌属性!$DX234)</f>
        <v>1935</v>
      </c>
      <c r="FS234" s="14">
        <f>INDEX(属性投放!$BS$6:$BS$85,(卡牌属性!$DW234-2)*20+卡牌属性!$DX234)</f>
        <v>1935</v>
      </c>
      <c r="FT234" s="14">
        <f>INDEX(属性投放!$BS$6:$BS$85,(卡牌属性!$DW234-2)*20+卡牌属性!$DX234)</f>
        <v>1935</v>
      </c>
      <c r="FU234" s="14">
        <f>INDEX(属性投放!$BS$6:$BS$85,(卡牌属性!$DW234-2)*20+卡牌属性!$DX234)</f>
        <v>1935</v>
      </c>
      <c r="FV234" s="14">
        <f>INDEX(属性投放!$BS$6:$BS$85,(卡牌属性!$DW234-2)*20+卡牌属性!$DX234)</f>
        <v>1935</v>
      </c>
    </row>
    <row r="235" spans="31:178" ht="16.5" x14ac:dyDescent="0.2">
      <c r="AE235" s="13">
        <v>231</v>
      </c>
      <c r="AF235" s="13">
        <f t="shared" si="474"/>
        <v>12</v>
      </c>
      <c r="AG235" s="13">
        <f t="shared" si="461"/>
        <v>2</v>
      </c>
      <c r="AH235" s="13"/>
      <c r="AI235" s="13"/>
      <c r="AJ235" s="14">
        <f t="shared" si="462"/>
        <v>1101012</v>
      </c>
      <c r="AK235" s="14" t="str">
        <f t="shared" si="463"/>
        <v>南御夫11突</v>
      </c>
      <c r="AL235" s="25" t="s">
        <v>142</v>
      </c>
      <c r="AM235" s="14">
        <v>1</v>
      </c>
      <c r="AN235" s="14">
        <f t="shared" si="464"/>
        <v>11</v>
      </c>
      <c r="AO235" s="14">
        <f>INDEX(属性投放!$DF$6:$DF$85,(卡牌属性!AG235-2)*20+卡牌属性!AN235)</f>
        <v>2140</v>
      </c>
      <c r="AP235" s="14">
        <f t="shared" si="505"/>
        <v>2140</v>
      </c>
      <c r="AQ235" s="14">
        <f t="shared" si="505"/>
        <v>2140</v>
      </c>
      <c r="AR235" s="14">
        <f t="shared" si="505"/>
        <v>2140</v>
      </c>
      <c r="AS235" s="14">
        <f t="shared" si="505"/>
        <v>2140</v>
      </c>
      <c r="AT235" s="14">
        <f>INDEX(属性投放!$DG$6:$DG$85,(卡牌属性!AG235-2)*20+卡牌属性!AN235)</f>
        <v>1020</v>
      </c>
      <c r="AU235" s="14">
        <f t="shared" si="506"/>
        <v>1020</v>
      </c>
      <c r="AV235" s="14">
        <f t="shared" si="506"/>
        <v>1020</v>
      </c>
      <c r="AW235" s="14">
        <f t="shared" si="506"/>
        <v>1020</v>
      </c>
      <c r="AX235" s="14">
        <f t="shared" si="506"/>
        <v>1020</v>
      </c>
      <c r="AY235" s="14">
        <f>INDEX(属性投放!$DH$6:$DH$85,(卡牌属性!AG235-2)*20+卡牌属性!AN235)</f>
        <v>15492</v>
      </c>
      <c r="AZ235" s="14">
        <f t="shared" si="507"/>
        <v>15492</v>
      </c>
      <c r="BA235" s="14">
        <f t="shared" si="507"/>
        <v>15492</v>
      </c>
      <c r="BB235" s="14">
        <f t="shared" si="507"/>
        <v>15492</v>
      </c>
      <c r="BC235" s="14">
        <f t="shared" si="507"/>
        <v>15492</v>
      </c>
      <c r="BD235" s="14">
        <f>INDEX(属性投放!$DL$6:$DL$85,(卡牌属性!AG235-2)*20+卡牌属性!AN235)</f>
        <v>76</v>
      </c>
      <c r="BE235" s="14">
        <f t="shared" si="508"/>
        <v>76</v>
      </c>
      <c r="BF235" s="14">
        <f t="shared" si="508"/>
        <v>76</v>
      </c>
      <c r="BG235" s="14">
        <f t="shared" si="508"/>
        <v>76</v>
      </c>
      <c r="BH235" s="14">
        <f t="shared" si="508"/>
        <v>76</v>
      </c>
      <c r="BI235" s="14">
        <f>INDEX(属性投放!$DM$6:$DM$85,(卡牌属性!AG235-2)*20+卡牌属性!AN235)</f>
        <v>38</v>
      </c>
      <c r="BJ235" s="14">
        <f t="shared" si="509"/>
        <v>38</v>
      </c>
      <c r="BK235" s="14">
        <f t="shared" si="509"/>
        <v>38</v>
      </c>
      <c r="BL235" s="14">
        <f t="shared" si="509"/>
        <v>38</v>
      </c>
      <c r="BM235" s="14">
        <f t="shared" si="509"/>
        <v>38</v>
      </c>
      <c r="BN235" s="14">
        <f>INDEX(属性投放!$DN$6:$DN$85,(卡牌属性!AG235-2)*20+卡牌属性!AN235)</f>
        <v>685</v>
      </c>
      <c r="BO235" s="14">
        <f t="shared" si="510"/>
        <v>685</v>
      </c>
      <c r="BP235" s="14">
        <f t="shared" si="510"/>
        <v>685</v>
      </c>
      <c r="BQ235" s="14">
        <f t="shared" si="510"/>
        <v>685</v>
      </c>
      <c r="BR235" s="14">
        <f t="shared" si="510"/>
        <v>685</v>
      </c>
      <c r="BW235" s="13">
        <v>231</v>
      </c>
      <c r="BX235" s="13">
        <f t="shared" si="465"/>
        <v>12</v>
      </c>
      <c r="BY235" s="14">
        <f t="shared" si="466"/>
        <v>5</v>
      </c>
      <c r="BZ235" s="14">
        <f t="shared" si="475"/>
        <v>1102012</v>
      </c>
      <c r="CA235" s="14" t="str">
        <f t="shared" si="476"/>
        <v>夏侯惇11突</v>
      </c>
      <c r="CB235" s="25" t="s">
        <v>142</v>
      </c>
      <c r="CC235" s="14">
        <v>2</v>
      </c>
      <c r="CD235" s="14">
        <f t="shared" si="467"/>
        <v>11</v>
      </c>
      <c r="CE235" s="14" t="s">
        <v>21</v>
      </c>
      <c r="CF235" s="14">
        <f>INDEX(属性投放!$AZ$6:$AZ$85,(BY235-2)*20+CD235)</f>
        <v>5469</v>
      </c>
      <c r="CG235" s="14" t="s">
        <v>22</v>
      </c>
      <c r="CH235" s="14">
        <f>INDEX(属性投放!$BA$6:$BA$85,(BY235-2)*20+CD235)</f>
        <v>2652</v>
      </c>
      <c r="CI235" s="14" t="s">
        <v>510</v>
      </c>
      <c r="CJ235" s="14">
        <f>INDEX(属性投放!$BB$6:$BB$85,(BY235-2)*20+CD235)</f>
        <v>40422</v>
      </c>
      <c r="CK235" s="14" t="s">
        <v>21</v>
      </c>
      <c r="CL235" s="14">
        <f>INDEX(属性投放!$BC$6:$BC$85,(BY235-2)*20+CD235)</f>
        <v>40</v>
      </c>
      <c r="CM235" s="14" t="s">
        <v>22</v>
      </c>
      <c r="CN235" s="14">
        <f>INDEX(属性投放!$BD$6:$BD$85,(BY235-2)*20+CD235)</f>
        <v>20</v>
      </c>
      <c r="CO235" s="14" t="s">
        <v>510</v>
      </c>
      <c r="CP235" s="14">
        <f>INDEX(属性投放!$BE$6:$BE$85,(BY235-2)*20+CD235)</f>
        <v>360</v>
      </c>
      <c r="CS235" s="13">
        <v>231</v>
      </c>
      <c r="CT235" s="13">
        <f t="shared" si="477"/>
        <v>5</v>
      </c>
      <c r="CU235" s="13">
        <f t="shared" si="478"/>
        <v>23</v>
      </c>
      <c r="CV235" s="14">
        <f t="shared" si="479"/>
        <v>3</v>
      </c>
      <c r="CW235" s="14">
        <f t="shared" si="480"/>
        <v>1102005</v>
      </c>
      <c r="CX235" s="14" t="str">
        <f>INDEX($O$6:$O$50,CT235)&amp;"-"&amp;INDEX(属性投放!$AB$7:$AB$50,CZ235)&amp;"-魂火-"&amp;DB235</f>
        <v>李轩辕-大叫唤+1-魂火-2</v>
      </c>
      <c r="CY235" s="25" t="s">
        <v>142</v>
      </c>
      <c r="CZ235" s="14">
        <f>INDEX(属性投放!$AM$7:$AM$58,CU235)</f>
        <v>11</v>
      </c>
      <c r="DA235" s="14" t="s">
        <v>537</v>
      </c>
      <c r="DB235" s="14">
        <f>INDEX(属性投放!$AN$7:$AN$58,CU235)</f>
        <v>2</v>
      </c>
      <c r="DC235" s="14">
        <f t="shared" si="468"/>
        <v>23</v>
      </c>
      <c r="DD235" s="14">
        <f>INDEX(属性投放!$AO$7:$AO$58,DC235)</f>
        <v>75</v>
      </c>
      <c r="DE235" s="14" t="s">
        <v>538</v>
      </c>
      <c r="DF235" s="14">
        <f>INDEX(属性投放!$BK$6:$BK$85,(CV235-2)*20+CZ235)</f>
        <v>150</v>
      </c>
      <c r="DG235" s="14">
        <f>SUMIFS(DF$5:DF235,$CT$5:$CT235,"="&amp;$CT235)</f>
        <v>1670</v>
      </c>
      <c r="DH235" s="14" t="s">
        <v>539</v>
      </c>
      <c r="DI235" s="14">
        <f>INDEX(属性投放!$BL$6:$BL$85,(CV235-2)*20+CZ235)</f>
        <v>75</v>
      </c>
      <c r="DJ235" s="14">
        <f>SUMIFS(DI$5:DI235,$CT$5:$CT235,"="&amp;$CT235)</f>
        <v>838</v>
      </c>
      <c r="DK235" s="14" t="s">
        <v>540</v>
      </c>
      <c r="DL235" s="14">
        <f>INDEX(属性投放!$BM$6:$BM$85,(CV235-2)*20+CZ235)</f>
        <v>1350</v>
      </c>
      <c r="DM235" s="14">
        <f>SUMIFS(DL$5:DL235,$CT$5:$CT235,"="&amp;$CT235)</f>
        <v>13490</v>
      </c>
      <c r="DR235" s="14">
        <f t="shared" si="469"/>
        <v>1102012</v>
      </c>
      <c r="DS235" s="14" t="str">
        <f t="shared" si="470"/>
        <v>夏侯惇11突</v>
      </c>
      <c r="DT235" s="14">
        <f t="shared" si="481"/>
        <v>7</v>
      </c>
      <c r="DU235" s="14">
        <f t="shared" si="482"/>
        <v>7</v>
      </c>
      <c r="DV235" s="14">
        <f t="shared" si="483"/>
        <v>9</v>
      </c>
      <c r="DW235" s="14">
        <f t="shared" si="471"/>
        <v>5</v>
      </c>
      <c r="DX235" s="14">
        <f t="shared" si="472"/>
        <v>11</v>
      </c>
      <c r="DY235" s="14">
        <f t="shared" si="473"/>
        <v>71</v>
      </c>
      <c r="DZ235" s="14">
        <f>INDEX(属性投放!$AX$6:$AX$85,(卡牌属性!DW235-2)*20+卡牌属性!DX235)</f>
        <v>8</v>
      </c>
      <c r="EA235" s="14">
        <f>INDEX(属性投放!BQ$6:BQ$85,卡牌属性!$DY235)</f>
        <v>320</v>
      </c>
      <c r="EB235" s="14">
        <f>INDEX(属性投放!BR$6:BR$85,卡牌属性!$DY235)</f>
        <v>160</v>
      </c>
      <c r="EC235" s="14">
        <f>INDEX(属性投放!BS$6:BS$85,卡牌属性!$DY235)</f>
        <v>2880</v>
      </c>
      <c r="ED235" s="14">
        <f t="shared" si="511"/>
        <v>3068</v>
      </c>
      <c r="EE235" s="14">
        <f t="shared" si="512"/>
        <v>3295</v>
      </c>
      <c r="EF235" s="14">
        <f t="shared" si="513"/>
        <v>3550</v>
      </c>
      <c r="EG235" s="14">
        <f t="shared" si="514"/>
        <v>3550</v>
      </c>
      <c r="EH235" s="14">
        <f t="shared" si="515"/>
        <v>4080</v>
      </c>
      <c r="EI235" s="14">
        <f t="shared" si="516"/>
        <v>1505</v>
      </c>
      <c r="EJ235" s="14">
        <f t="shared" si="517"/>
        <v>1615</v>
      </c>
      <c r="EK235" s="14">
        <f t="shared" si="518"/>
        <v>1615</v>
      </c>
      <c r="EL235" s="14">
        <f t="shared" si="519"/>
        <v>1740</v>
      </c>
      <c r="EM235" s="14">
        <f t="shared" si="520"/>
        <v>2027</v>
      </c>
      <c r="EN235" s="14">
        <f t="shared" si="521"/>
        <v>25440</v>
      </c>
      <c r="EO235" s="14">
        <f t="shared" si="522"/>
        <v>29300</v>
      </c>
      <c r="EP235" s="14">
        <f t="shared" si="523"/>
        <v>29300</v>
      </c>
      <c r="EQ235" s="14">
        <f t="shared" si="524"/>
        <v>35075</v>
      </c>
      <c r="ER235" s="14">
        <f t="shared" si="525"/>
        <v>43610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360</v>
      </c>
      <c r="FD235" s="14">
        <f>INDEX(属性偏向!$U$4:$U$243,(卡牌属性!$DV235-1+FD$3)*20+卡牌属性!$DX235)</f>
        <v>450</v>
      </c>
      <c r="FE235" s="14">
        <f>INDEX(属性偏向!$U$4:$U$243,(卡牌属性!$DV235-1+FE$3)*20+卡牌属性!$DX235)</f>
        <v>450</v>
      </c>
      <c r="FF235" s="14">
        <f>INDEX(属性偏向!$U$4:$U$243,(卡牌属性!$DV235-1+FF$3)*20+卡牌属性!$DX235)</f>
        <v>675</v>
      </c>
      <c r="FG235" s="14">
        <f>INDEX(属性偏向!$U$4:$U$243,(卡牌属性!$DV235-1+FG$3)*20+卡牌属性!$DX235)</f>
        <v>900</v>
      </c>
      <c r="FH235" s="14">
        <f>INDEX(属性投放!$BQ$6:$BQ$85,(卡牌属性!$DW235-2)*20+卡牌属性!$DX235)</f>
        <v>320</v>
      </c>
      <c r="FI235" s="14">
        <f>INDEX(属性投放!$BQ$6:$BQ$85,(卡牌属性!$DW235-2)*20+卡牌属性!$DX235)</f>
        <v>320</v>
      </c>
      <c r="FJ235" s="14">
        <f>INDEX(属性投放!$BQ$6:$BQ$85,(卡牌属性!$DW235-2)*20+卡牌属性!$DX235)</f>
        <v>320</v>
      </c>
      <c r="FK235" s="14">
        <f>INDEX(属性投放!$BQ$6:$BQ$85,(卡牌属性!$DW235-2)*20+卡牌属性!$DX235)</f>
        <v>320</v>
      </c>
      <c r="FL235" s="14">
        <f>INDEX(属性投放!$BQ$6:$BQ$85,(卡牌属性!$DW235-2)*20+卡牌属性!$DX235)</f>
        <v>320</v>
      </c>
      <c r="FM235" s="14">
        <f>INDEX(属性投放!$BR$6:$BR$85,(卡牌属性!$DW235-2)*20+卡牌属性!$DX235)</f>
        <v>160</v>
      </c>
      <c r="FN235" s="14">
        <f>INDEX(属性投放!$BR$6:$BR$85,(卡牌属性!$DW235-2)*20+卡牌属性!$DX235)</f>
        <v>160</v>
      </c>
      <c r="FO235" s="14">
        <f>INDEX(属性投放!$BR$6:$BR$85,(卡牌属性!$DW235-2)*20+卡牌属性!$DX235)</f>
        <v>160</v>
      </c>
      <c r="FP235" s="14">
        <f>INDEX(属性投放!$BR$6:$BR$85,(卡牌属性!$DW235-2)*20+卡牌属性!$DX235)</f>
        <v>160</v>
      </c>
      <c r="FQ235" s="14">
        <f>INDEX(属性投放!$BR$6:$BR$85,(卡牌属性!$DW235-2)*20+卡牌属性!$DX235)</f>
        <v>160</v>
      </c>
      <c r="FR235" s="14">
        <f>INDEX(属性投放!$BS$6:$BS$85,(卡牌属性!$DW235-2)*20+卡牌属性!$DX235)</f>
        <v>2880</v>
      </c>
      <c r="FS235" s="14">
        <f>INDEX(属性投放!$BS$6:$BS$85,(卡牌属性!$DW235-2)*20+卡牌属性!$DX235)</f>
        <v>2880</v>
      </c>
      <c r="FT235" s="14">
        <f>INDEX(属性投放!$BS$6:$BS$85,(卡牌属性!$DW235-2)*20+卡牌属性!$DX235)</f>
        <v>2880</v>
      </c>
      <c r="FU235" s="14">
        <f>INDEX(属性投放!$BS$6:$BS$85,(卡牌属性!$DW235-2)*20+卡牌属性!$DX235)</f>
        <v>2880</v>
      </c>
      <c r="FV235" s="14">
        <f>INDEX(属性投放!$BS$6:$BS$85,(卡牌属性!$DW235-2)*20+卡牌属性!$DX235)</f>
        <v>2880</v>
      </c>
    </row>
    <row r="236" spans="31:178" ht="16.5" x14ac:dyDescent="0.2">
      <c r="AE236" s="13">
        <v>232</v>
      </c>
      <c r="AF236" s="13">
        <f t="shared" si="474"/>
        <v>12</v>
      </c>
      <c r="AG236" s="13">
        <f t="shared" si="461"/>
        <v>2</v>
      </c>
      <c r="AH236" s="13"/>
      <c r="AI236" s="13"/>
      <c r="AJ236" s="14">
        <f t="shared" si="462"/>
        <v>1101012</v>
      </c>
      <c r="AK236" s="14" t="str">
        <f t="shared" si="463"/>
        <v>南御夫12突</v>
      </c>
      <c r="AL236" s="25" t="s">
        <v>142</v>
      </c>
      <c r="AM236" s="14">
        <v>1</v>
      </c>
      <c r="AN236" s="14">
        <f t="shared" si="464"/>
        <v>12</v>
      </c>
      <c r="AO236" s="14">
        <f>INDEX(属性投放!$DF$6:$DF$85,(卡牌属性!AG236-2)*20+卡牌属性!AN236)</f>
        <v>2357</v>
      </c>
      <c r="AP236" s="14">
        <f t="shared" si="505"/>
        <v>2357</v>
      </c>
      <c r="AQ236" s="14">
        <f t="shared" si="505"/>
        <v>2357</v>
      </c>
      <c r="AR236" s="14">
        <f t="shared" si="505"/>
        <v>2357</v>
      </c>
      <c r="AS236" s="14">
        <f t="shared" si="505"/>
        <v>2357</v>
      </c>
      <c r="AT236" s="14">
        <f>INDEX(属性投放!$DG$6:$DG$85,(卡牌属性!AG236-2)*20+卡牌属性!AN236)</f>
        <v>1129</v>
      </c>
      <c r="AU236" s="14">
        <f t="shared" si="506"/>
        <v>1129</v>
      </c>
      <c r="AV236" s="14">
        <f t="shared" si="506"/>
        <v>1129</v>
      </c>
      <c r="AW236" s="14">
        <f t="shared" si="506"/>
        <v>1129</v>
      </c>
      <c r="AX236" s="14">
        <f t="shared" si="506"/>
        <v>1129</v>
      </c>
      <c r="AY236" s="14">
        <f>INDEX(属性投放!$DH$6:$DH$85,(卡牌属性!AG236-2)*20+卡牌属性!AN236)</f>
        <v>17449</v>
      </c>
      <c r="AZ236" s="14">
        <f t="shared" si="507"/>
        <v>17449</v>
      </c>
      <c r="BA236" s="14">
        <f t="shared" si="507"/>
        <v>17449</v>
      </c>
      <c r="BB236" s="14">
        <f t="shared" si="507"/>
        <v>17449</v>
      </c>
      <c r="BC236" s="14">
        <f t="shared" si="507"/>
        <v>17449</v>
      </c>
      <c r="BD236" s="14">
        <f>INDEX(属性投放!$DL$6:$DL$85,(卡牌属性!AG236-2)*20+卡牌属性!AN236)</f>
        <v>76</v>
      </c>
      <c r="BE236" s="14">
        <f t="shared" si="508"/>
        <v>76</v>
      </c>
      <c r="BF236" s="14">
        <f t="shared" si="508"/>
        <v>76</v>
      </c>
      <c r="BG236" s="14">
        <f t="shared" si="508"/>
        <v>76</v>
      </c>
      <c r="BH236" s="14">
        <f t="shared" si="508"/>
        <v>76</v>
      </c>
      <c r="BI236" s="14">
        <f>INDEX(属性投放!$DM$6:$DM$85,(卡牌属性!AG236-2)*20+卡牌属性!AN236)</f>
        <v>38</v>
      </c>
      <c r="BJ236" s="14">
        <f t="shared" si="509"/>
        <v>38</v>
      </c>
      <c r="BK236" s="14">
        <f t="shared" si="509"/>
        <v>38</v>
      </c>
      <c r="BL236" s="14">
        <f t="shared" si="509"/>
        <v>38</v>
      </c>
      <c r="BM236" s="14">
        <f t="shared" si="509"/>
        <v>38</v>
      </c>
      <c r="BN236" s="14">
        <f>INDEX(属性投放!$DN$6:$DN$85,(卡牌属性!AG236-2)*20+卡牌属性!AN236)</f>
        <v>685</v>
      </c>
      <c r="BO236" s="14">
        <f t="shared" si="510"/>
        <v>685</v>
      </c>
      <c r="BP236" s="14">
        <f t="shared" si="510"/>
        <v>685</v>
      </c>
      <c r="BQ236" s="14">
        <f t="shared" si="510"/>
        <v>685</v>
      </c>
      <c r="BR236" s="14">
        <f t="shared" si="510"/>
        <v>685</v>
      </c>
      <c r="BW236" s="13">
        <v>232</v>
      </c>
      <c r="BX236" s="13">
        <f t="shared" si="465"/>
        <v>12</v>
      </c>
      <c r="BY236" s="14">
        <f t="shared" si="466"/>
        <v>5</v>
      </c>
      <c r="BZ236" s="14">
        <f t="shared" si="475"/>
        <v>1102012</v>
      </c>
      <c r="CA236" s="14" t="str">
        <f t="shared" si="476"/>
        <v>夏侯惇12突</v>
      </c>
      <c r="CB236" s="25" t="s">
        <v>142</v>
      </c>
      <c r="CC236" s="14">
        <v>2</v>
      </c>
      <c r="CD236" s="14">
        <f t="shared" si="467"/>
        <v>12</v>
      </c>
      <c r="CE236" s="14" t="s">
        <v>21</v>
      </c>
      <c r="CF236" s="14">
        <f>INDEX(属性投放!$AZ$6:$AZ$85,(BY236-2)*20+CD236)</f>
        <v>6709</v>
      </c>
      <c r="CG236" s="14" t="s">
        <v>22</v>
      </c>
      <c r="CH236" s="14">
        <f>INDEX(属性投放!$BA$6:$BA$85,(BY236-2)*20+CD236)</f>
        <v>3272</v>
      </c>
      <c r="CI236" s="14" t="s">
        <v>510</v>
      </c>
      <c r="CJ236" s="14">
        <f>INDEX(属性投放!$BB$6:$BB$85,(BY236-2)*20+CD236)</f>
        <v>51582</v>
      </c>
      <c r="CK236" s="14" t="s">
        <v>21</v>
      </c>
      <c r="CL236" s="14">
        <f>INDEX(属性投放!$BC$6:$BC$85,(BY236-2)*20+CD236)</f>
        <v>40</v>
      </c>
      <c r="CM236" s="14" t="s">
        <v>22</v>
      </c>
      <c r="CN236" s="14">
        <f>INDEX(属性投放!$BD$6:$BD$85,(BY236-2)*20+CD236)</f>
        <v>20</v>
      </c>
      <c r="CO236" s="14" t="s">
        <v>510</v>
      </c>
      <c r="CP236" s="14">
        <f>INDEX(属性投放!$BE$6:$BE$85,(BY236-2)*20+CD236)</f>
        <v>360</v>
      </c>
      <c r="CS236" s="13">
        <v>232</v>
      </c>
      <c r="CT236" s="13">
        <f t="shared" si="477"/>
        <v>5</v>
      </c>
      <c r="CU236" s="13">
        <f t="shared" si="478"/>
        <v>24</v>
      </c>
      <c r="CV236" s="14">
        <f t="shared" si="479"/>
        <v>3</v>
      </c>
      <c r="CW236" s="14">
        <f t="shared" si="480"/>
        <v>1102005</v>
      </c>
      <c r="CX236" s="14" t="str">
        <f>INDEX($O$6:$O$50,CT236)&amp;"-"&amp;INDEX(属性投放!$AB$7:$AB$50,CZ236)&amp;"-魂火-"&amp;DB236</f>
        <v>李轩辕-大叫唤+1-魂火-3</v>
      </c>
      <c r="CY236" s="25" t="s">
        <v>142</v>
      </c>
      <c r="CZ236" s="14">
        <f>INDEX(属性投放!$AM$7:$AM$58,CU236)</f>
        <v>11</v>
      </c>
      <c r="DA236" s="14" t="s">
        <v>537</v>
      </c>
      <c r="DB236" s="14">
        <f>INDEX(属性投放!$AN$7:$AN$58,CU236)</f>
        <v>3</v>
      </c>
      <c r="DC236" s="14">
        <f t="shared" si="468"/>
        <v>24</v>
      </c>
      <c r="DD236" s="14">
        <f>INDEX(属性投放!$AO$7:$AO$58,DC236)</f>
        <v>78</v>
      </c>
      <c r="DE236" s="14" t="s">
        <v>538</v>
      </c>
      <c r="DF236" s="14">
        <f>INDEX(属性投放!$BK$6:$BK$85,(CV236-2)*20+CZ236)</f>
        <v>150</v>
      </c>
      <c r="DG236" s="14">
        <f>SUMIFS(DF$5:DF236,$CT$5:$CT236,"="&amp;$CT236)</f>
        <v>1820</v>
      </c>
      <c r="DH236" s="14" t="s">
        <v>539</v>
      </c>
      <c r="DI236" s="14">
        <f>INDEX(属性投放!$BL$6:$BL$85,(CV236-2)*20+CZ236)</f>
        <v>75</v>
      </c>
      <c r="DJ236" s="14">
        <f>SUMIFS(DI$5:DI236,$CT$5:$CT236,"="&amp;$CT236)</f>
        <v>913</v>
      </c>
      <c r="DK236" s="14" t="s">
        <v>540</v>
      </c>
      <c r="DL236" s="14">
        <f>INDEX(属性投放!$BM$6:$BM$85,(CV236-2)*20+CZ236)</f>
        <v>1350</v>
      </c>
      <c r="DM236" s="14">
        <f>SUMIFS(DL$5:DL236,$CT$5:$CT236,"="&amp;$CT236)</f>
        <v>14840</v>
      </c>
      <c r="DR236" s="14">
        <f t="shared" si="469"/>
        <v>1102012</v>
      </c>
      <c r="DS236" s="14" t="str">
        <f t="shared" si="470"/>
        <v>夏侯惇12突</v>
      </c>
      <c r="DT236" s="14">
        <f t="shared" si="481"/>
        <v>7</v>
      </c>
      <c r="DU236" s="14">
        <f t="shared" si="482"/>
        <v>7</v>
      </c>
      <c r="DV236" s="14">
        <f t="shared" si="483"/>
        <v>9</v>
      </c>
      <c r="DW236" s="14">
        <f t="shared" si="471"/>
        <v>5</v>
      </c>
      <c r="DX236" s="14">
        <f t="shared" si="472"/>
        <v>12</v>
      </c>
      <c r="DY236" s="14">
        <f t="shared" si="473"/>
        <v>72</v>
      </c>
      <c r="DZ236" s="14">
        <f>INDEX(属性投放!$AX$6:$AX$85,(卡牌属性!DW236-2)*20+卡牌属性!DX236)</f>
        <v>7</v>
      </c>
      <c r="EA236" s="14">
        <f>INDEX(属性投放!BQ$6:BQ$85,卡牌属性!$DY236)</f>
        <v>425</v>
      </c>
      <c r="EB236" s="14">
        <f>INDEX(属性投放!BR$6:BR$85,卡牌属性!$DY236)</f>
        <v>213</v>
      </c>
      <c r="EC236" s="14">
        <f>INDEX(属性投放!BS$6:BS$85,卡牌属性!$DY236)</f>
        <v>3825</v>
      </c>
      <c r="ED236" s="14">
        <f t="shared" si="511"/>
        <v>3628</v>
      </c>
      <c r="EE236" s="14">
        <f t="shared" si="512"/>
        <v>3895</v>
      </c>
      <c r="EF236" s="14">
        <f t="shared" si="513"/>
        <v>4190</v>
      </c>
      <c r="EG236" s="14">
        <f t="shared" si="514"/>
        <v>4190</v>
      </c>
      <c r="EH236" s="14">
        <f t="shared" si="515"/>
        <v>4800</v>
      </c>
      <c r="EI236" s="14">
        <f t="shared" si="516"/>
        <v>1785</v>
      </c>
      <c r="EJ236" s="14">
        <f t="shared" si="517"/>
        <v>1919</v>
      </c>
      <c r="EK236" s="14">
        <f t="shared" si="518"/>
        <v>1919</v>
      </c>
      <c r="EL236" s="14">
        <f t="shared" si="519"/>
        <v>2060</v>
      </c>
      <c r="EM236" s="14">
        <f t="shared" si="520"/>
        <v>2387</v>
      </c>
      <c r="EN236" s="14">
        <f t="shared" si="521"/>
        <v>31200</v>
      </c>
      <c r="EO236" s="14">
        <f t="shared" si="522"/>
        <v>35780</v>
      </c>
      <c r="EP236" s="14">
        <f t="shared" si="523"/>
        <v>35780</v>
      </c>
      <c r="EQ236" s="14">
        <f t="shared" si="524"/>
        <v>43355</v>
      </c>
      <c r="ER236" s="14">
        <f t="shared" si="525"/>
        <v>53690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360</v>
      </c>
      <c r="FD236" s="14">
        <f>INDEX(属性偏向!$U$4:$U$243,(卡牌属性!$DV236-1+FD$3)*20+卡牌属性!$DX236)</f>
        <v>450</v>
      </c>
      <c r="FE236" s="14">
        <f>INDEX(属性偏向!$U$4:$U$243,(卡牌属性!$DV236-1+FE$3)*20+卡牌属性!$DX236)</f>
        <v>450</v>
      </c>
      <c r="FF236" s="14">
        <f>INDEX(属性偏向!$U$4:$U$243,(卡牌属性!$DV236-1+FF$3)*20+卡牌属性!$DX236)</f>
        <v>675</v>
      </c>
      <c r="FG236" s="14">
        <f>INDEX(属性偏向!$U$4:$U$243,(卡牌属性!$DV236-1+FG$3)*20+卡牌属性!$DX236)</f>
        <v>900</v>
      </c>
      <c r="FH236" s="14">
        <f>INDEX(属性投放!$BQ$6:$BQ$85,(卡牌属性!$DW236-2)*20+卡牌属性!$DX236)</f>
        <v>425</v>
      </c>
      <c r="FI236" s="14">
        <f>INDEX(属性投放!$BQ$6:$BQ$85,(卡牌属性!$DW236-2)*20+卡牌属性!$DX236)</f>
        <v>425</v>
      </c>
      <c r="FJ236" s="14">
        <f>INDEX(属性投放!$BQ$6:$BQ$85,(卡牌属性!$DW236-2)*20+卡牌属性!$DX236)</f>
        <v>425</v>
      </c>
      <c r="FK236" s="14">
        <f>INDEX(属性投放!$BQ$6:$BQ$85,(卡牌属性!$DW236-2)*20+卡牌属性!$DX236)</f>
        <v>425</v>
      </c>
      <c r="FL236" s="14">
        <f>INDEX(属性投放!$BQ$6:$BQ$85,(卡牌属性!$DW236-2)*20+卡牌属性!$DX236)</f>
        <v>425</v>
      </c>
      <c r="FM236" s="14">
        <f>INDEX(属性投放!$BR$6:$BR$85,(卡牌属性!$DW236-2)*20+卡牌属性!$DX236)</f>
        <v>213</v>
      </c>
      <c r="FN236" s="14">
        <f>INDEX(属性投放!$BR$6:$BR$85,(卡牌属性!$DW236-2)*20+卡牌属性!$DX236)</f>
        <v>213</v>
      </c>
      <c r="FO236" s="14">
        <f>INDEX(属性投放!$BR$6:$BR$85,(卡牌属性!$DW236-2)*20+卡牌属性!$DX236)</f>
        <v>213</v>
      </c>
      <c r="FP236" s="14">
        <f>INDEX(属性投放!$BR$6:$BR$85,(卡牌属性!$DW236-2)*20+卡牌属性!$DX236)</f>
        <v>213</v>
      </c>
      <c r="FQ236" s="14">
        <f>INDEX(属性投放!$BR$6:$BR$85,(卡牌属性!$DW236-2)*20+卡牌属性!$DX236)</f>
        <v>213</v>
      </c>
      <c r="FR236" s="14">
        <f>INDEX(属性投放!$BS$6:$BS$85,(卡牌属性!$DW236-2)*20+卡牌属性!$DX236)</f>
        <v>3825</v>
      </c>
      <c r="FS236" s="14">
        <f>INDEX(属性投放!$BS$6:$BS$85,(卡牌属性!$DW236-2)*20+卡牌属性!$DX236)</f>
        <v>3825</v>
      </c>
      <c r="FT236" s="14">
        <f>INDEX(属性投放!$BS$6:$BS$85,(卡牌属性!$DW236-2)*20+卡牌属性!$DX236)</f>
        <v>3825</v>
      </c>
      <c r="FU236" s="14">
        <f>INDEX(属性投放!$BS$6:$BS$85,(卡牌属性!$DW236-2)*20+卡牌属性!$DX236)</f>
        <v>3825</v>
      </c>
      <c r="FV236" s="14">
        <f>INDEX(属性投放!$BS$6:$BS$85,(卡牌属性!$DW236-2)*20+卡牌属性!$DX236)</f>
        <v>3825</v>
      </c>
    </row>
    <row r="237" spans="31:178" ht="16.5" x14ac:dyDescent="0.2">
      <c r="AE237" s="13">
        <v>233</v>
      </c>
      <c r="AF237" s="13">
        <f t="shared" si="474"/>
        <v>12</v>
      </c>
      <c r="AG237" s="13">
        <f t="shared" si="461"/>
        <v>2</v>
      </c>
      <c r="AH237" s="13"/>
      <c r="AI237" s="13"/>
      <c r="AJ237" s="14">
        <f t="shared" si="462"/>
        <v>1101012</v>
      </c>
      <c r="AK237" s="14" t="str">
        <f t="shared" si="463"/>
        <v>南御夫13突</v>
      </c>
      <c r="AL237" s="25" t="s">
        <v>142</v>
      </c>
      <c r="AM237" s="14">
        <v>1</v>
      </c>
      <c r="AN237" s="14">
        <f t="shared" si="464"/>
        <v>13</v>
      </c>
      <c r="AO237" s="14">
        <f>INDEX(属性投放!$DF$6:$DF$85,(卡牌属性!AG237-2)*20+卡牌属性!AN237)</f>
        <v>4474</v>
      </c>
      <c r="AP237" s="14">
        <f t="shared" si="505"/>
        <v>4474</v>
      </c>
      <c r="AQ237" s="14">
        <f t="shared" si="505"/>
        <v>4474</v>
      </c>
      <c r="AR237" s="14">
        <f t="shared" si="505"/>
        <v>4474</v>
      </c>
      <c r="AS237" s="14">
        <f t="shared" si="505"/>
        <v>4474</v>
      </c>
      <c r="AT237" s="14">
        <f>INDEX(属性投放!$DG$6:$DG$85,(卡牌属性!AG237-2)*20+卡牌属性!AN237)</f>
        <v>2188</v>
      </c>
      <c r="AU237" s="14">
        <f t="shared" si="506"/>
        <v>2188</v>
      </c>
      <c r="AV237" s="14">
        <f t="shared" si="506"/>
        <v>2188</v>
      </c>
      <c r="AW237" s="14">
        <f t="shared" si="506"/>
        <v>2188</v>
      </c>
      <c r="AX237" s="14">
        <f t="shared" si="506"/>
        <v>2188</v>
      </c>
      <c r="AY237" s="14">
        <f>INDEX(属性投放!$DH$6:$DH$85,(卡牌属性!AG237-2)*20+卡牌属性!AN237)</f>
        <v>36531</v>
      </c>
      <c r="AZ237" s="14">
        <f t="shared" si="507"/>
        <v>36531</v>
      </c>
      <c r="BA237" s="14">
        <f t="shared" si="507"/>
        <v>36531</v>
      </c>
      <c r="BB237" s="14">
        <f t="shared" si="507"/>
        <v>36531</v>
      </c>
      <c r="BC237" s="14">
        <f t="shared" si="507"/>
        <v>36531</v>
      </c>
      <c r="BD237" s="14">
        <f>INDEX(属性投放!$DL$6:$DL$85,(卡牌属性!AG237-2)*20+卡牌属性!AN237)</f>
        <v>151</v>
      </c>
      <c r="BE237" s="14">
        <f t="shared" si="508"/>
        <v>151</v>
      </c>
      <c r="BF237" s="14">
        <f t="shared" si="508"/>
        <v>151</v>
      </c>
      <c r="BG237" s="14">
        <f t="shared" si="508"/>
        <v>151</v>
      </c>
      <c r="BH237" s="14">
        <f t="shared" si="508"/>
        <v>151</v>
      </c>
      <c r="BI237" s="14">
        <f>INDEX(属性投放!$DM$6:$DM$85,(卡牌属性!AG237-2)*20+卡牌属性!AN237)</f>
        <v>76</v>
      </c>
      <c r="BJ237" s="14">
        <f t="shared" si="509"/>
        <v>76</v>
      </c>
      <c r="BK237" s="14">
        <f t="shared" si="509"/>
        <v>76</v>
      </c>
      <c r="BL237" s="14">
        <f t="shared" si="509"/>
        <v>76</v>
      </c>
      <c r="BM237" s="14">
        <f t="shared" si="509"/>
        <v>76</v>
      </c>
      <c r="BN237" s="14">
        <f>INDEX(属性投放!$DN$6:$DN$85,(卡牌属性!AG237-2)*20+卡牌属性!AN237)</f>
        <v>1510</v>
      </c>
      <c r="BO237" s="14">
        <f t="shared" si="510"/>
        <v>1510</v>
      </c>
      <c r="BP237" s="14">
        <f t="shared" si="510"/>
        <v>1510</v>
      </c>
      <c r="BQ237" s="14">
        <f t="shared" si="510"/>
        <v>1510</v>
      </c>
      <c r="BR237" s="14">
        <f t="shared" si="510"/>
        <v>1510</v>
      </c>
      <c r="BW237" s="13">
        <v>233</v>
      </c>
      <c r="BX237" s="13">
        <f t="shared" si="465"/>
        <v>12</v>
      </c>
      <c r="BY237" s="14">
        <f t="shared" si="466"/>
        <v>5</v>
      </c>
      <c r="BZ237" s="14">
        <f t="shared" si="475"/>
        <v>1102012</v>
      </c>
      <c r="CA237" s="14" t="str">
        <f t="shared" si="476"/>
        <v>夏侯惇13突</v>
      </c>
      <c r="CB237" s="25" t="s">
        <v>142</v>
      </c>
      <c r="CC237" s="14">
        <v>2</v>
      </c>
      <c r="CD237" s="14">
        <f t="shared" si="467"/>
        <v>13</v>
      </c>
      <c r="CE237" s="14" t="s">
        <v>21</v>
      </c>
      <c r="CF237" s="14">
        <f>INDEX(属性投放!$AZ$6:$AZ$85,(BY237-2)*20+CD237)</f>
        <v>8194</v>
      </c>
      <c r="CG237" s="14" t="s">
        <v>22</v>
      </c>
      <c r="CH237" s="14">
        <f>INDEX(属性投放!$BA$6:$BA$85,(BY237-2)*20+CD237)</f>
        <v>4015</v>
      </c>
      <c r="CI237" s="14" t="s">
        <v>510</v>
      </c>
      <c r="CJ237" s="14">
        <f>INDEX(属性投放!$BB$6:$BB$85,(BY237-2)*20+CD237)</f>
        <v>64947</v>
      </c>
      <c r="CK237" s="14" t="s">
        <v>21</v>
      </c>
      <c r="CL237" s="14">
        <f>INDEX(属性投放!$BC$6:$BC$85,(BY237-2)*20+CD237)</f>
        <v>50</v>
      </c>
      <c r="CM237" s="14" t="s">
        <v>22</v>
      </c>
      <c r="CN237" s="14">
        <f>INDEX(属性投放!$BD$6:$BD$85,(BY237-2)*20+CD237)</f>
        <v>25</v>
      </c>
      <c r="CO237" s="14" t="s">
        <v>510</v>
      </c>
      <c r="CP237" s="14">
        <f>INDEX(属性投放!$BE$6:$BE$85,(BY237-2)*20+CD237)</f>
        <v>500</v>
      </c>
      <c r="CS237" s="13">
        <v>233</v>
      </c>
      <c r="CT237" s="13">
        <f t="shared" si="477"/>
        <v>5</v>
      </c>
      <c r="CU237" s="13">
        <f t="shared" si="478"/>
        <v>25</v>
      </c>
      <c r="CV237" s="14">
        <f t="shared" si="479"/>
        <v>3</v>
      </c>
      <c r="CW237" s="14">
        <f t="shared" si="480"/>
        <v>1102005</v>
      </c>
      <c r="CX237" s="14" t="str">
        <f>INDEX($O$6:$O$50,CT237)&amp;"-"&amp;INDEX(属性投放!$AB$7:$AB$50,CZ237)&amp;"-魂火-"&amp;DB237</f>
        <v>李轩辕-大叫唤+2-魂火-1</v>
      </c>
      <c r="CY237" s="25" t="s">
        <v>142</v>
      </c>
      <c r="CZ237" s="14">
        <f>INDEX(属性投放!$AM$7:$AM$58,CU237)</f>
        <v>12</v>
      </c>
      <c r="DA237" s="14" t="s">
        <v>537</v>
      </c>
      <c r="DB237" s="14">
        <f>INDEX(属性投放!$AN$7:$AN$58,CU237)</f>
        <v>1</v>
      </c>
      <c r="DC237" s="14">
        <f t="shared" si="468"/>
        <v>25</v>
      </c>
      <c r="DD237" s="14">
        <f>INDEX(属性投放!$AO$7:$AO$58,DC237)</f>
        <v>80</v>
      </c>
      <c r="DE237" s="14" t="s">
        <v>538</v>
      </c>
      <c r="DF237" s="14">
        <f>INDEX(属性投放!$BK$6:$BK$85,(CV237-2)*20+CZ237)</f>
        <v>200</v>
      </c>
      <c r="DG237" s="14">
        <f>SUMIFS(DF$5:DF237,$CT$5:$CT237,"="&amp;$CT237)</f>
        <v>2020</v>
      </c>
      <c r="DH237" s="14" t="s">
        <v>539</v>
      </c>
      <c r="DI237" s="14">
        <f>INDEX(属性投放!$BL$6:$BL$85,(CV237-2)*20+CZ237)</f>
        <v>100</v>
      </c>
      <c r="DJ237" s="14">
        <f>SUMIFS(DI$5:DI237,$CT$5:$CT237,"="&amp;$CT237)</f>
        <v>1013</v>
      </c>
      <c r="DK237" s="14" t="s">
        <v>540</v>
      </c>
      <c r="DL237" s="14">
        <f>INDEX(属性投放!$BM$6:$BM$85,(CV237-2)*20+CZ237)</f>
        <v>1800</v>
      </c>
      <c r="DM237" s="14">
        <f>SUMIFS(DL$5:DL237,$CT$5:$CT237,"="&amp;$CT237)</f>
        <v>16640</v>
      </c>
      <c r="DR237" s="14">
        <f t="shared" si="469"/>
        <v>1102012</v>
      </c>
      <c r="DS237" s="14" t="str">
        <f t="shared" si="470"/>
        <v>夏侯惇13突</v>
      </c>
      <c r="DT237" s="14">
        <f t="shared" si="481"/>
        <v>7</v>
      </c>
      <c r="DU237" s="14">
        <f t="shared" si="482"/>
        <v>7</v>
      </c>
      <c r="DV237" s="14">
        <f t="shared" si="483"/>
        <v>9</v>
      </c>
      <c r="DW237" s="14">
        <f t="shared" si="471"/>
        <v>5</v>
      </c>
      <c r="DX237" s="14">
        <f t="shared" si="472"/>
        <v>13</v>
      </c>
      <c r="DY237" s="14">
        <f t="shared" si="473"/>
        <v>73</v>
      </c>
      <c r="DZ237" s="14">
        <f>INDEX(属性投放!$AX$6:$AX$85,(卡牌属性!DW237-2)*20+卡牌属性!DX237)</f>
        <v>8</v>
      </c>
      <c r="EA237" s="14">
        <f>INDEX(属性投放!BQ$6:BQ$85,卡牌属性!$DY237)</f>
        <v>475</v>
      </c>
      <c r="EB237" s="14">
        <f>INDEX(属性投放!BR$6:BR$85,卡牌属性!$DY237)</f>
        <v>238</v>
      </c>
      <c r="EC237" s="14">
        <f>INDEX(属性投放!BS$6:BS$85,卡牌属性!$DY237)</f>
        <v>4750</v>
      </c>
      <c r="ED237" s="14">
        <f t="shared" si="511"/>
        <v>4263</v>
      </c>
      <c r="EE237" s="14">
        <f t="shared" si="512"/>
        <v>4565</v>
      </c>
      <c r="EF237" s="14">
        <f t="shared" si="513"/>
        <v>4895</v>
      </c>
      <c r="EG237" s="14">
        <f t="shared" si="514"/>
        <v>4895</v>
      </c>
      <c r="EH237" s="14">
        <f t="shared" si="515"/>
        <v>5575</v>
      </c>
      <c r="EI237" s="14">
        <f t="shared" si="516"/>
        <v>2103</v>
      </c>
      <c r="EJ237" s="14">
        <f t="shared" si="517"/>
        <v>2258</v>
      </c>
      <c r="EK237" s="14">
        <f t="shared" si="518"/>
        <v>2258</v>
      </c>
      <c r="EL237" s="14">
        <f t="shared" si="519"/>
        <v>2413</v>
      </c>
      <c r="EM237" s="14">
        <f t="shared" si="520"/>
        <v>2775</v>
      </c>
      <c r="EN237" s="14">
        <f t="shared" si="521"/>
        <v>37545</v>
      </c>
      <c r="EO237" s="14">
        <f t="shared" si="522"/>
        <v>42755</v>
      </c>
      <c r="EP237" s="14">
        <f t="shared" si="523"/>
        <v>42755</v>
      </c>
      <c r="EQ237" s="14">
        <f t="shared" si="524"/>
        <v>51905</v>
      </c>
      <c r="ER237" s="14">
        <f t="shared" si="525"/>
        <v>63815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INDEX(属性投放!$BQ$6:$BQ$85,(卡牌属性!$DW237-2)*20+卡牌属性!$DX237)</f>
        <v>475</v>
      </c>
      <c r="FI237" s="14">
        <f>INDEX(属性投放!$BQ$6:$BQ$85,(卡牌属性!$DW237-2)*20+卡牌属性!$DX237)</f>
        <v>475</v>
      </c>
      <c r="FJ237" s="14">
        <f>INDEX(属性投放!$BQ$6:$BQ$85,(卡牌属性!$DW237-2)*20+卡牌属性!$DX237)</f>
        <v>475</v>
      </c>
      <c r="FK237" s="14">
        <f>INDEX(属性投放!$BQ$6:$BQ$85,(卡牌属性!$DW237-2)*20+卡牌属性!$DX237)</f>
        <v>475</v>
      </c>
      <c r="FL237" s="14">
        <f>INDEX(属性投放!$BQ$6:$BQ$85,(卡牌属性!$DW237-2)*20+卡牌属性!$DX237)</f>
        <v>475</v>
      </c>
      <c r="FM237" s="14">
        <f>INDEX(属性投放!$BR$6:$BR$85,(卡牌属性!$DW237-2)*20+卡牌属性!$DX237)</f>
        <v>238</v>
      </c>
      <c r="FN237" s="14">
        <f>INDEX(属性投放!$BR$6:$BR$85,(卡牌属性!$DW237-2)*20+卡牌属性!$DX237)</f>
        <v>238</v>
      </c>
      <c r="FO237" s="14">
        <f>INDEX(属性投放!$BR$6:$BR$85,(卡牌属性!$DW237-2)*20+卡牌属性!$DX237)</f>
        <v>238</v>
      </c>
      <c r="FP237" s="14">
        <f>INDEX(属性投放!$BR$6:$BR$85,(卡牌属性!$DW237-2)*20+卡牌属性!$DX237)</f>
        <v>238</v>
      </c>
      <c r="FQ237" s="14">
        <f>INDEX(属性投放!$BR$6:$BR$85,(卡牌属性!$DW237-2)*20+卡牌属性!$DX237)</f>
        <v>238</v>
      </c>
      <c r="FR237" s="14">
        <f>INDEX(属性投放!$BS$6:$BS$85,(卡牌属性!$DW237-2)*20+卡牌属性!$DX237)</f>
        <v>4750</v>
      </c>
      <c r="FS237" s="14">
        <f>INDEX(属性投放!$BS$6:$BS$85,(卡牌属性!$DW237-2)*20+卡牌属性!$DX237)</f>
        <v>4750</v>
      </c>
      <c r="FT237" s="14">
        <f>INDEX(属性投放!$BS$6:$BS$85,(卡牌属性!$DW237-2)*20+卡牌属性!$DX237)</f>
        <v>4750</v>
      </c>
      <c r="FU237" s="14">
        <f>INDEX(属性投放!$BS$6:$BS$85,(卡牌属性!$DW237-2)*20+卡牌属性!$DX237)</f>
        <v>4750</v>
      </c>
      <c r="FV237" s="14">
        <f>INDEX(属性投放!$BS$6:$BS$85,(卡牌属性!$DW237-2)*20+卡牌属性!$DX237)</f>
        <v>4750</v>
      </c>
    </row>
    <row r="238" spans="31:178" ht="16.5" x14ac:dyDescent="0.2">
      <c r="AE238" s="13">
        <v>234</v>
      </c>
      <c r="AF238" s="13">
        <f t="shared" si="474"/>
        <v>12</v>
      </c>
      <c r="AG238" s="13">
        <f t="shared" si="461"/>
        <v>2</v>
      </c>
      <c r="AH238" s="13"/>
      <c r="AI238" s="13"/>
      <c r="AJ238" s="14">
        <f t="shared" si="462"/>
        <v>1101012</v>
      </c>
      <c r="AK238" s="14" t="str">
        <f t="shared" si="463"/>
        <v>南御夫14突</v>
      </c>
      <c r="AL238" s="25" t="s">
        <v>142</v>
      </c>
      <c r="AM238" s="14">
        <v>1</v>
      </c>
      <c r="AN238" s="14">
        <f t="shared" si="464"/>
        <v>14</v>
      </c>
      <c r="AO238" s="14">
        <f>INDEX(属性投放!$DF$6:$DF$85,(卡牌属性!AG238-2)*20+卡牌属性!AN238)</f>
        <v>4906</v>
      </c>
      <c r="AP238" s="14">
        <f t="shared" si="505"/>
        <v>4906</v>
      </c>
      <c r="AQ238" s="14">
        <f t="shared" si="505"/>
        <v>4906</v>
      </c>
      <c r="AR238" s="14">
        <f t="shared" si="505"/>
        <v>4906</v>
      </c>
      <c r="AS238" s="14">
        <f t="shared" si="505"/>
        <v>4906</v>
      </c>
      <c r="AT238" s="14">
        <f>INDEX(属性投放!$DG$6:$DG$85,(卡牌属性!AG238-2)*20+卡牌属性!AN238)</f>
        <v>2405</v>
      </c>
      <c r="AU238" s="14">
        <f t="shared" si="506"/>
        <v>2405</v>
      </c>
      <c r="AV238" s="14">
        <f t="shared" si="506"/>
        <v>2405</v>
      </c>
      <c r="AW238" s="14">
        <f t="shared" si="506"/>
        <v>2405</v>
      </c>
      <c r="AX238" s="14">
        <f t="shared" si="506"/>
        <v>2405</v>
      </c>
      <c r="AY238" s="14">
        <f>INDEX(属性投放!$DH$6:$DH$85,(卡牌属性!AG238-2)*20+卡牌属性!AN238)</f>
        <v>40846</v>
      </c>
      <c r="AZ238" s="14">
        <f t="shared" si="507"/>
        <v>40846</v>
      </c>
      <c r="BA238" s="14">
        <f t="shared" si="507"/>
        <v>40846</v>
      </c>
      <c r="BB238" s="14">
        <f t="shared" si="507"/>
        <v>40846</v>
      </c>
      <c r="BC238" s="14">
        <f t="shared" si="507"/>
        <v>40846</v>
      </c>
      <c r="BD238" s="14">
        <f>INDEX(属性投放!$DL$6:$DL$85,(卡牌属性!AG238-2)*20+卡牌属性!AN238)</f>
        <v>151</v>
      </c>
      <c r="BE238" s="14">
        <f t="shared" si="508"/>
        <v>151</v>
      </c>
      <c r="BF238" s="14">
        <f t="shared" si="508"/>
        <v>151</v>
      </c>
      <c r="BG238" s="14">
        <f t="shared" si="508"/>
        <v>151</v>
      </c>
      <c r="BH238" s="14">
        <f t="shared" si="508"/>
        <v>151</v>
      </c>
      <c r="BI238" s="14">
        <f>INDEX(属性投放!$DM$6:$DM$85,(卡牌属性!AG238-2)*20+卡牌属性!AN238)</f>
        <v>76</v>
      </c>
      <c r="BJ238" s="14">
        <f t="shared" si="509"/>
        <v>76</v>
      </c>
      <c r="BK238" s="14">
        <f t="shared" si="509"/>
        <v>76</v>
      </c>
      <c r="BL238" s="14">
        <f t="shared" si="509"/>
        <v>76</v>
      </c>
      <c r="BM238" s="14">
        <f t="shared" si="509"/>
        <v>76</v>
      </c>
      <c r="BN238" s="14">
        <f>INDEX(属性投放!$DN$6:$DN$85,(卡牌属性!AG238-2)*20+卡牌属性!AN238)</f>
        <v>1510</v>
      </c>
      <c r="BO238" s="14">
        <f t="shared" si="510"/>
        <v>1510</v>
      </c>
      <c r="BP238" s="14">
        <f t="shared" si="510"/>
        <v>1510</v>
      </c>
      <c r="BQ238" s="14">
        <f t="shared" si="510"/>
        <v>1510</v>
      </c>
      <c r="BR238" s="14">
        <f t="shared" si="510"/>
        <v>1510</v>
      </c>
      <c r="BW238" s="13">
        <v>234</v>
      </c>
      <c r="BX238" s="13">
        <f t="shared" si="465"/>
        <v>12</v>
      </c>
      <c r="BY238" s="14">
        <f t="shared" si="466"/>
        <v>5</v>
      </c>
      <c r="BZ238" s="14">
        <f t="shared" si="475"/>
        <v>1102012</v>
      </c>
      <c r="CA238" s="14" t="str">
        <f t="shared" si="476"/>
        <v>夏侯惇14突</v>
      </c>
      <c r="CB238" s="25" t="s">
        <v>142</v>
      </c>
      <c r="CC238" s="14">
        <v>2</v>
      </c>
      <c r="CD238" s="14">
        <f t="shared" si="467"/>
        <v>14</v>
      </c>
      <c r="CE238" s="14" t="s">
        <v>21</v>
      </c>
      <c r="CF238" s="14">
        <f>INDEX(属性投放!$AZ$6:$AZ$85,(BY238-2)*20+CD238)</f>
        <v>10014</v>
      </c>
      <c r="CG238" s="14" t="s">
        <v>22</v>
      </c>
      <c r="CH238" s="14">
        <f>INDEX(属性投放!$BA$6:$BA$85,(BY238-2)*20+CD238)</f>
        <v>4927</v>
      </c>
      <c r="CI238" s="14" t="s">
        <v>510</v>
      </c>
      <c r="CJ238" s="14">
        <f>INDEX(属性投放!$BB$6:$BB$85,(BY238-2)*20+CD238)</f>
        <v>83147</v>
      </c>
      <c r="CK238" s="14" t="s">
        <v>21</v>
      </c>
      <c r="CL238" s="14">
        <f>INDEX(属性投放!$BC$6:$BC$85,(BY238-2)*20+CD238)</f>
        <v>50</v>
      </c>
      <c r="CM238" s="14" t="s">
        <v>22</v>
      </c>
      <c r="CN238" s="14">
        <f>INDEX(属性投放!$BD$6:$BD$85,(BY238-2)*20+CD238)</f>
        <v>25</v>
      </c>
      <c r="CO238" s="14" t="s">
        <v>510</v>
      </c>
      <c r="CP238" s="14">
        <f>INDEX(属性投放!$BE$6:$BE$85,(BY238-2)*20+CD238)</f>
        <v>500</v>
      </c>
      <c r="CS238" s="13">
        <v>234</v>
      </c>
      <c r="CT238" s="13">
        <f t="shared" si="477"/>
        <v>5</v>
      </c>
      <c r="CU238" s="13">
        <f t="shared" si="478"/>
        <v>26</v>
      </c>
      <c r="CV238" s="14">
        <f t="shared" si="479"/>
        <v>3</v>
      </c>
      <c r="CW238" s="14">
        <f t="shared" si="480"/>
        <v>1102005</v>
      </c>
      <c r="CX238" s="14" t="str">
        <f>INDEX($O$6:$O$50,CT238)&amp;"-"&amp;INDEX(属性投放!$AB$7:$AB$50,CZ238)&amp;"-魂火-"&amp;DB238</f>
        <v>李轩辕-大叫唤+2-魂火-2</v>
      </c>
      <c r="CY238" s="25" t="s">
        <v>142</v>
      </c>
      <c r="CZ238" s="14">
        <f>INDEX(属性投放!$AM$7:$AM$58,CU238)</f>
        <v>12</v>
      </c>
      <c r="DA238" s="14" t="s">
        <v>537</v>
      </c>
      <c r="DB238" s="14">
        <f>INDEX(属性投放!$AN$7:$AN$58,CU238)</f>
        <v>2</v>
      </c>
      <c r="DC238" s="14">
        <f t="shared" si="468"/>
        <v>26</v>
      </c>
      <c r="DD238" s="14">
        <f>INDEX(属性投放!$AO$7:$AO$58,DC238)</f>
        <v>83</v>
      </c>
      <c r="DE238" s="14" t="s">
        <v>538</v>
      </c>
      <c r="DF238" s="14">
        <f>INDEX(属性投放!$BK$6:$BK$85,(CV238-2)*20+CZ238)</f>
        <v>200</v>
      </c>
      <c r="DG238" s="14">
        <f>SUMIFS(DF$5:DF238,$CT$5:$CT238,"="&amp;$CT238)</f>
        <v>2220</v>
      </c>
      <c r="DH238" s="14" t="s">
        <v>539</v>
      </c>
      <c r="DI238" s="14">
        <f>INDEX(属性投放!$BL$6:$BL$85,(CV238-2)*20+CZ238)</f>
        <v>100</v>
      </c>
      <c r="DJ238" s="14">
        <f>SUMIFS(DI$5:DI238,$CT$5:$CT238,"="&amp;$CT238)</f>
        <v>1113</v>
      </c>
      <c r="DK238" s="14" t="s">
        <v>540</v>
      </c>
      <c r="DL238" s="14">
        <f>INDEX(属性投放!$BM$6:$BM$85,(CV238-2)*20+CZ238)</f>
        <v>1800</v>
      </c>
      <c r="DM238" s="14">
        <f>SUMIFS(DL$5:DL238,$CT$5:$CT238,"="&amp;$CT238)</f>
        <v>18440</v>
      </c>
      <c r="DR238" s="14">
        <f t="shared" si="469"/>
        <v>1102012</v>
      </c>
      <c r="DS238" s="14" t="str">
        <f t="shared" si="470"/>
        <v>夏侯惇14突</v>
      </c>
      <c r="DT238" s="14">
        <f t="shared" si="481"/>
        <v>7</v>
      </c>
      <c r="DU238" s="14">
        <f t="shared" si="482"/>
        <v>7</v>
      </c>
      <c r="DV238" s="14">
        <f t="shared" si="483"/>
        <v>9</v>
      </c>
      <c r="DW238" s="14">
        <f t="shared" si="471"/>
        <v>5</v>
      </c>
      <c r="DX238" s="14">
        <f t="shared" si="472"/>
        <v>14</v>
      </c>
      <c r="DY238" s="14">
        <f t="shared" si="473"/>
        <v>74</v>
      </c>
      <c r="DZ238" s="14">
        <f>INDEX(属性投放!$AX$6:$AX$85,(卡牌属性!DW238-2)*20+卡牌属性!DX238)</f>
        <v>7</v>
      </c>
      <c r="EA238" s="14">
        <f>INDEX(属性投放!BQ$6:BQ$85,卡牌属性!$DY238)</f>
        <v>520</v>
      </c>
      <c r="EB238" s="14">
        <f>INDEX(属性投放!BR$6:BR$85,卡牌属性!$DY238)</f>
        <v>260</v>
      </c>
      <c r="EC238" s="14">
        <f>INDEX(属性投放!BS$6:BS$85,卡牌属性!$DY238)</f>
        <v>5200</v>
      </c>
      <c r="ED238" s="14">
        <f t="shared" si="511"/>
        <v>5058</v>
      </c>
      <c r="EE238" s="14">
        <f t="shared" si="512"/>
        <v>5400</v>
      </c>
      <c r="EF238" s="14">
        <f t="shared" si="513"/>
        <v>5770</v>
      </c>
      <c r="EG238" s="14">
        <f t="shared" si="514"/>
        <v>5770</v>
      </c>
      <c r="EH238" s="14">
        <f t="shared" si="515"/>
        <v>6650</v>
      </c>
      <c r="EI238" s="14">
        <f t="shared" si="516"/>
        <v>2501</v>
      </c>
      <c r="EJ238" s="14">
        <f t="shared" si="517"/>
        <v>2680</v>
      </c>
      <c r="EK238" s="14">
        <f t="shared" si="518"/>
        <v>2680</v>
      </c>
      <c r="EL238" s="14">
        <f t="shared" si="519"/>
        <v>2851</v>
      </c>
      <c r="EM238" s="14">
        <f t="shared" si="520"/>
        <v>3317</v>
      </c>
      <c r="EN238" s="14">
        <f t="shared" si="521"/>
        <v>46295</v>
      </c>
      <c r="EO238" s="14">
        <f t="shared" si="522"/>
        <v>53505</v>
      </c>
      <c r="EP238" s="14">
        <f t="shared" si="523"/>
        <v>53505</v>
      </c>
      <c r="EQ238" s="14">
        <f t="shared" si="524"/>
        <v>64655</v>
      </c>
      <c r="ER238" s="14">
        <f t="shared" si="525"/>
        <v>80565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INDEX(属性投放!$BQ$6:$BQ$85,(卡牌属性!$DW238-2)*20+卡牌属性!$DX238)</f>
        <v>520</v>
      </c>
      <c r="FI238" s="14">
        <f>INDEX(属性投放!$BQ$6:$BQ$85,(卡牌属性!$DW238-2)*20+卡牌属性!$DX238)</f>
        <v>520</v>
      </c>
      <c r="FJ238" s="14">
        <f>INDEX(属性投放!$BQ$6:$BQ$85,(卡牌属性!$DW238-2)*20+卡牌属性!$DX238)</f>
        <v>520</v>
      </c>
      <c r="FK238" s="14">
        <f>INDEX(属性投放!$BQ$6:$BQ$85,(卡牌属性!$DW238-2)*20+卡牌属性!$DX238)</f>
        <v>520</v>
      </c>
      <c r="FL238" s="14">
        <f>INDEX(属性投放!$BQ$6:$BQ$85,(卡牌属性!$DW238-2)*20+卡牌属性!$DX238)</f>
        <v>520</v>
      </c>
      <c r="FM238" s="14">
        <f>INDEX(属性投放!$BR$6:$BR$85,(卡牌属性!$DW238-2)*20+卡牌属性!$DX238)</f>
        <v>260</v>
      </c>
      <c r="FN238" s="14">
        <f>INDEX(属性投放!$BR$6:$BR$85,(卡牌属性!$DW238-2)*20+卡牌属性!$DX238)</f>
        <v>260</v>
      </c>
      <c r="FO238" s="14">
        <f>INDEX(属性投放!$BR$6:$BR$85,(卡牌属性!$DW238-2)*20+卡牌属性!$DX238)</f>
        <v>260</v>
      </c>
      <c r="FP238" s="14">
        <f>INDEX(属性投放!$BR$6:$BR$85,(卡牌属性!$DW238-2)*20+卡牌属性!$DX238)</f>
        <v>260</v>
      </c>
      <c r="FQ238" s="14">
        <f>INDEX(属性投放!$BR$6:$BR$85,(卡牌属性!$DW238-2)*20+卡牌属性!$DX238)</f>
        <v>260</v>
      </c>
      <c r="FR238" s="14">
        <f>INDEX(属性投放!$BS$6:$BS$85,(卡牌属性!$DW238-2)*20+卡牌属性!$DX238)</f>
        <v>5200</v>
      </c>
      <c r="FS238" s="14">
        <f>INDEX(属性投放!$BS$6:$BS$85,(卡牌属性!$DW238-2)*20+卡牌属性!$DX238)</f>
        <v>5200</v>
      </c>
      <c r="FT238" s="14">
        <f>INDEX(属性投放!$BS$6:$BS$85,(卡牌属性!$DW238-2)*20+卡牌属性!$DX238)</f>
        <v>5200</v>
      </c>
      <c r="FU238" s="14">
        <f>INDEX(属性投放!$BS$6:$BS$85,(卡牌属性!$DW238-2)*20+卡牌属性!$DX238)</f>
        <v>5200</v>
      </c>
      <c r="FV238" s="14">
        <f>INDEX(属性投放!$BS$6:$BS$85,(卡牌属性!$DW238-2)*20+卡牌属性!$DX238)</f>
        <v>5200</v>
      </c>
    </row>
    <row r="239" spans="31:178" ht="16.5" x14ac:dyDescent="0.2">
      <c r="AE239" s="13">
        <v>235</v>
      </c>
      <c r="AF239" s="13">
        <f t="shared" si="474"/>
        <v>12</v>
      </c>
      <c r="AG239" s="13">
        <f t="shared" si="461"/>
        <v>2</v>
      </c>
      <c r="AH239" s="13"/>
      <c r="AI239" s="13"/>
      <c r="AJ239" s="14">
        <f t="shared" si="462"/>
        <v>1101012</v>
      </c>
      <c r="AK239" s="14" t="str">
        <f t="shared" si="463"/>
        <v>南御夫15突</v>
      </c>
      <c r="AL239" s="25" t="s">
        <v>142</v>
      </c>
      <c r="AM239" s="14">
        <v>1</v>
      </c>
      <c r="AN239" s="14">
        <f t="shared" si="464"/>
        <v>15</v>
      </c>
      <c r="AO239" s="14">
        <f>INDEX(属性投放!$DF$6:$DF$85,(卡牌属性!AG239-2)*20+卡牌属性!AN239)</f>
        <v>5338</v>
      </c>
      <c r="AP239" s="14">
        <f t="shared" si="505"/>
        <v>5338</v>
      </c>
      <c r="AQ239" s="14">
        <f t="shared" si="505"/>
        <v>5338</v>
      </c>
      <c r="AR239" s="14">
        <f t="shared" si="505"/>
        <v>5338</v>
      </c>
      <c r="AS239" s="14">
        <f t="shared" si="505"/>
        <v>5338</v>
      </c>
      <c r="AT239" s="14">
        <f>INDEX(属性投放!$DG$6:$DG$85,(卡牌属性!AG239-2)*20+卡牌属性!AN239)</f>
        <v>2622</v>
      </c>
      <c r="AU239" s="14">
        <f t="shared" si="506"/>
        <v>2622</v>
      </c>
      <c r="AV239" s="14">
        <f t="shared" si="506"/>
        <v>2622</v>
      </c>
      <c r="AW239" s="14">
        <f t="shared" si="506"/>
        <v>2622</v>
      </c>
      <c r="AX239" s="14">
        <f t="shared" si="506"/>
        <v>2622</v>
      </c>
      <c r="AY239" s="14">
        <f>INDEX(属性投放!$DH$6:$DH$85,(卡牌属性!AG239-2)*20+卡牌属性!AN239)</f>
        <v>45161</v>
      </c>
      <c r="AZ239" s="14">
        <f t="shared" si="507"/>
        <v>45161</v>
      </c>
      <c r="BA239" s="14">
        <f t="shared" si="507"/>
        <v>45161</v>
      </c>
      <c r="BB239" s="14">
        <f t="shared" si="507"/>
        <v>45161</v>
      </c>
      <c r="BC239" s="14">
        <f t="shared" si="507"/>
        <v>45161</v>
      </c>
      <c r="BD239" s="14">
        <f>INDEX(属性投放!$DL$6:$DL$85,(卡牌属性!AG239-2)*20+卡牌属性!AN239)</f>
        <v>151</v>
      </c>
      <c r="BE239" s="14">
        <f t="shared" si="508"/>
        <v>151</v>
      </c>
      <c r="BF239" s="14">
        <f t="shared" si="508"/>
        <v>151</v>
      </c>
      <c r="BG239" s="14">
        <f t="shared" si="508"/>
        <v>151</v>
      </c>
      <c r="BH239" s="14">
        <f t="shared" si="508"/>
        <v>151</v>
      </c>
      <c r="BI239" s="14">
        <f>INDEX(属性投放!$DM$6:$DM$85,(卡牌属性!AG239-2)*20+卡牌属性!AN239)</f>
        <v>76</v>
      </c>
      <c r="BJ239" s="14">
        <f t="shared" si="509"/>
        <v>76</v>
      </c>
      <c r="BK239" s="14">
        <f t="shared" si="509"/>
        <v>76</v>
      </c>
      <c r="BL239" s="14">
        <f t="shared" si="509"/>
        <v>76</v>
      </c>
      <c r="BM239" s="14">
        <f t="shared" si="509"/>
        <v>76</v>
      </c>
      <c r="BN239" s="14">
        <f>INDEX(属性投放!$DN$6:$DN$85,(卡牌属性!AG239-2)*20+卡牌属性!AN239)</f>
        <v>1510</v>
      </c>
      <c r="BO239" s="14">
        <f t="shared" si="510"/>
        <v>1510</v>
      </c>
      <c r="BP239" s="14">
        <f t="shared" si="510"/>
        <v>1510</v>
      </c>
      <c r="BQ239" s="14">
        <f t="shared" si="510"/>
        <v>1510</v>
      </c>
      <c r="BR239" s="14">
        <f t="shared" si="510"/>
        <v>1510</v>
      </c>
      <c r="BW239" s="13">
        <v>235</v>
      </c>
      <c r="BX239" s="13">
        <f t="shared" si="465"/>
        <v>12</v>
      </c>
      <c r="BY239" s="14">
        <f t="shared" si="466"/>
        <v>5</v>
      </c>
      <c r="BZ239" s="14">
        <f t="shared" si="475"/>
        <v>1102012</v>
      </c>
      <c r="CA239" s="14" t="str">
        <f t="shared" si="476"/>
        <v>夏侯惇15突</v>
      </c>
      <c r="CB239" s="25" t="s">
        <v>142</v>
      </c>
      <c r="CC239" s="14">
        <v>2</v>
      </c>
      <c r="CD239" s="14">
        <f t="shared" si="467"/>
        <v>15</v>
      </c>
      <c r="CE239" s="14" t="s">
        <v>21</v>
      </c>
      <c r="CF239" s="14">
        <f>INDEX(属性投放!$AZ$6:$AZ$85,(BY239-2)*20+CD239)</f>
        <v>11979</v>
      </c>
      <c r="CG239" s="14" t="s">
        <v>22</v>
      </c>
      <c r="CH239" s="14">
        <f>INDEX(属性投放!$BA$6:$BA$85,(BY239-2)*20+CD239)</f>
        <v>5911</v>
      </c>
      <c r="CI239" s="14" t="s">
        <v>510</v>
      </c>
      <c r="CJ239" s="14">
        <f>INDEX(属性投放!$BB$6:$BB$85,(BY239-2)*20+CD239)</f>
        <v>102797</v>
      </c>
      <c r="CK239" s="14" t="s">
        <v>21</v>
      </c>
      <c r="CL239" s="14">
        <f>INDEX(属性投放!$BC$6:$BC$85,(BY239-2)*20+CD239)</f>
        <v>50</v>
      </c>
      <c r="CM239" s="14" t="s">
        <v>22</v>
      </c>
      <c r="CN239" s="14">
        <f>INDEX(属性投放!$BD$6:$BD$85,(BY239-2)*20+CD239)</f>
        <v>25</v>
      </c>
      <c r="CO239" s="14" t="s">
        <v>510</v>
      </c>
      <c r="CP239" s="14">
        <f>INDEX(属性投放!$BE$6:$BE$85,(BY239-2)*20+CD239)</f>
        <v>500</v>
      </c>
      <c r="CS239" s="13">
        <v>235</v>
      </c>
      <c r="CT239" s="13">
        <f t="shared" si="477"/>
        <v>5</v>
      </c>
      <c r="CU239" s="13">
        <f t="shared" si="478"/>
        <v>27</v>
      </c>
      <c r="CV239" s="14">
        <f t="shared" si="479"/>
        <v>3</v>
      </c>
      <c r="CW239" s="14">
        <f t="shared" si="480"/>
        <v>1102005</v>
      </c>
      <c r="CX239" s="14" t="str">
        <f>INDEX($O$6:$O$50,CT239)&amp;"-"&amp;INDEX(属性投放!$AB$7:$AB$50,CZ239)&amp;"-魂火-"&amp;DB239</f>
        <v>李轩辕-大叫唤+2-魂火-3</v>
      </c>
      <c r="CY239" s="25" t="s">
        <v>142</v>
      </c>
      <c r="CZ239" s="14">
        <f>INDEX(属性投放!$AM$7:$AM$58,CU239)</f>
        <v>12</v>
      </c>
      <c r="DA239" s="14" t="s">
        <v>537</v>
      </c>
      <c r="DB239" s="14">
        <f>INDEX(属性投放!$AN$7:$AN$58,CU239)</f>
        <v>3</v>
      </c>
      <c r="DC239" s="14">
        <f t="shared" si="468"/>
        <v>27</v>
      </c>
      <c r="DD239" s="14">
        <f>INDEX(属性投放!$AO$7:$AO$58,DC239)</f>
        <v>85</v>
      </c>
      <c r="DE239" s="14" t="s">
        <v>538</v>
      </c>
      <c r="DF239" s="14">
        <f>INDEX(属性投放!$BK$6:$BK$85,(CV239-2)*20+CZ239)</f>
        <v>200</v>
      </c>
      <c r="DG239" s="14">
        <f>SUMIFS(DF$5:DF239,$CT$5:$CT239,"="&amp;$CT239)</f>
        <v>2420</v>
      </c>
      <c r="DH239" s="14" t="s">
        <v>539</v>
      </c>
      <c r="DI239" s="14">
        <f>INDEX(属性投放!$BL$6:$BL$85,(CV239-2)*20+CZ239)</f>
        <v>100</v>
      </c>
      <c r="DJ239" s="14">
        <f>SUMIFS(DI$5:DI239,$CT$5:$CT239,"="&amp;$CT239)</f>
        <v>1213</v>
      </c>
      <c r="DK239" s="14" t="s">
        <v>540</v>
      </c>
      <c r="DL239" s="14">
        <f>INDEX(属性投放!$BM$6:$BM$85,(CV239-2)*20+CZ239)</f>
        <v>1800</v>
      </c>
      <c r="DM239" s="14">
        <f>SUMIFS(DL$5:DL239,$CT$5:$CT239,"="&amp;$CT239)</f>
        <v>20240</v>
      </c>
      <c r="DR239" s="14">
        <f t="shared" si="469"/>
        <v>1102012</v>
      </c>
      <c r="DS239" s="14" t="str">
        <f t="shared" si="470"/>
        <v>夏侯惇15突</v>
      </c>
      <c r="DT239" s="14">
        <f t="shared" si="481"/>
        <v>7</v>
      </c>
      <c r="DU239" s="14">
        <f t="shared" si="482"/>
        <v>7</v>
      </c>
      <c r="DV239" s="14">
        <f t="shared" si="483"/>
        <v>9</v>
      </c>
      <c r="DW239" s="14">
        <f t="shared" si="471"/>
        <v>5</v>
      </c>
      <c r="DX239" s="14">
        <f t="shared" si="472"/>
        <v>15</v>
      </c>
      <c r="DY239" s="14">
        <f t="shared" si="473"/>
        <v>75</v>
      </c>
      <c r="DZ239" s="14">
        <f>INDEX(属性投放!$AX$6:$AX$85,(卡牌属性!DW239-2)*20+卡牌属性!DX239)</f>
        <v>8</v>
      </c>
      <c r="EA239" s="14">
        <f>INDEX(属性投放!BQ$6:BQ$85,卡牌属性!$DY239)</f>
        <v>825</v>
      </c>
      <c r="EB239" s="14">
        <f>INDEX(属性投放!BR$6:BR$85,卡牌属性!$DY239)</f>
        <v>413</v>
      </c>
      <c r="EC239" s="14">
        <f>INDEX(属性投放!BS$6:BS$85,卡牌属性!$DY239)</f>
        <v>8250</v>
      </c>
      <c r="ED239" s="14">
        <f t="shared" si="511"/>
        <v>5858</v>
      </c>
      <c r="EE239" s="14">
        <f t="shared" si="512"/>
        <v>6235</v>
      </c>
      <c r="EF239" s="14">
        <f t="shared" si="513"/>
        <v>6640</v>
      </c>
      <c r="EG239" s="14">
        <f t="shared" si="514"/>
        <v>6640</v>
      </c>
      <c r="EH239" s="14">
        <f t="shared" si="515"/>
        <v>7695</v>
      </c>
      <c r="EI239" s="14">
        <f t="shared" si="516"/>
        <v>2901</v>
      </c>
      <c r="EJ239" s="14">
        <f t="shared" si="517"/>
        <v>3101</v>
      </c>
      <c r="EK239" s="14">
        <f t="shared" si="518"/>
        <v>3101</v>
      </c>
      <c r="EL239" s="14">
        <f t="shared" si="519"/>
        <v>3286</v>
      </c>
      <c r="EM239" s="14">
        <f t="shared" si="520"/>
        <v>3843</v>
      </c>
      <c r="EN239" s="14">
        <f t="shared" si="521"/>
        <v>54995</v>
      </c>
      <c r="EO239" s="14">
        <f t="shared" si="522"/>
        <v>63955</v>
      </c>
      <c r="EP239" s="14">
        <f t="shared" si="523"/>
        <v>63955</v>
      </c>
      <c r="EQ239" s="14">
        <f t="shared" si="524"/>
        <v>76855</v>
      </c>
      <c r="ER239" s="14">
        <f t="shared" si="525"/>
        <v>96265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INDEX(属性投放!$BQ$6:$BQ$85,(卡牌属性!$DW239-2)*20+卡牌属性!$DX239)</f>
        <v>825</v>
      </c>
      <c r="FI239" s="14">
        <f>INDEX(属性投放!$BQ$6:$BQ$85,(卡牌属性!$DW239-2)*20+卡牌属性!$DX239)</f>
        <v>825</v>
      </c>
      <c r="FJ239" s="14">
        <f>INDEX(属性投放!$BQ$6:$BQ$85,(卡牌属性!$DW239-2)*20+卡牌属性!$DX239)</f>
        <v>825</v>
      </c>
      <c r="FK239" s="14">
        <f>INDEX(属性投放!$BQ$6:$BQ$85,(卡牌属性!$DW239-2)*20+卡牌属性!$DX239)</f>
        <v>825</v>
      </c>
      <c r="FL239" s="14">
        <f>INDEX(属性投放!$BQ$6:$BQ$85,(卡牌属性!$DW239-2)*20+卡牌属性!$DX239)</f>
        <v>825</v>
      </c>
      <c r="FM239" s="14">
        <f>INDEX(属性投放!$BR$6:$BR$85,(卡牌属性!$DW239-2)*20+卡牌属性!$DX239)</f>
        <v>413</v>
      </c>
      <c r="FN239" s="14">
        <f>INDEX(属性投放!$BR$6:$BR$85,(卡牌属性!$DW239-2)*20+卡牌属性!$DX239)</f>
        <v>413</v>
      </c>
      <c r="FO239" s="14">
        <f>INDEX(属性投放!$BR$6:$BR$85,(卡牌属性!$DW239-2)*20+卡牌属性!$DX239)</f>
        <v>413</v>
      </c>
      <c r="FP239" s="14">
        <f>INDEX(属性投放!$BR$6:$BR$85,(卡牌属性!$DW239-2)*20+卡牌属性!$DX239)</f>
        <v>413</v>
      </c>
      <c r="FQ239" s="14">
        <f>INDEX(属性投放!$BR$6:$BR$85,(卡牌属性!$DW239-2)*20+卡牌属性!$DX239)</f>
        <v>413</v>
      </c>
      <c r="FR239" s="14">
        <f>INDEX(属性投放!$BS$6:$BS$85,(卡牌属性!$DW239-2)*20+卡牌属性!$DX239)</f>
        <v>8250</v>
      </c>
      <c r="FS239" s="14">
        <f>INDEX(属性投放!$BS$6:$BS$85,(卡牌属性!$DW239-2)*20+卡牌属性!$DX239)</f>
        <v>8250</v>
      </c>
      <c r="FT239" s="14">
        <f>INDEX(属性投放!$BS$6:$BS$85,(卡牌属性!$DW239-2)*20+卡牌属性!$DX239)</f>
        <v>8250</v>
      </c>
      <c r="FU239" s="14">
        <f>INDEX(属性投放!$BS$6:$BS$85,(卡牌属性!$DW239-2)*20+卡牌属性!$DX239)</f>
        <v>8250</v>
      </c>
      <c r="FV239" s="14">
        <f>INDEX(属性投放!$BS$6:$BS$85,(卡牌属性!$DW239-2)*20+卡牌属性!$DX239)</f>
        <v>8250</v>
      </c>
    </row>
    <row r="240" spans="31:178" ht="16.5" x14ac:dyDescent="0.2">
      <c r="AE240" s="13">
        <v>236</v>
      </c>
      <c r="AF240" s="13">
        <f t="shared" si="474"/>
        <v>12</v>
      </c>
      <c r="AG240" s="13">
        <f t="shared" si="461"/>
        <v>2</v>
      </c>
      <c r="AH240" s="13"/>
      <c r="AI240" s="13"/>
      <c r="AJ240" s="14">
        <f t="shared" si="462"/>
        <v>1101012</v>
      </c>
      <c r="AK240" s="14" t="str">
        <f t="shared" si="463"/>
        <v>南御夫16突</v>
      </c>
      <c r="AL240" s="25" t="s">
        <v>142</v>
      </c>
      <c r="AM240" s="14">
        <v>1</v>
      </c>
      <c r="AN240" s="14">
        <f t="shared" si="464"/>
        <v>16</v>
      </c>
      <c r="AO240" s="14">
        <f>INDEX(属性投放!$DF$6:$DF$85,(卡牌属性!AG240-2)*20+卡牌属性!AN240)</f>
        <v>9545</v>
      </c>
      <c r="AP240" s="14">
        <f t="shared" si="505"/>
        <v>9545</v>
      </c>
      <c r="AQ240" s="14">
        <f t="shared" si="505"/>
        <v>9545</v>
      </c>
      <c r="AR240" s="14">
        <f t="shared" si="505"/>
        <v>9545</v>
      </c>
      <c r="AS240" s="14">
        <f t="shared" si="505"/>
        <v>9545</v>
      </c>
      <c r="AT240" s="14">
        <f>INDEX(属性投放!$DG$6:$DG$85,(卡牌属性!AG240-2)*20+卡牌属性!AN240)</f>
        <v>4739</v>
      </c>
      <c r="AU240" s="14">
        <f t="shared" si="506"/>
        <v>4739</v>
      </c>
      <c r="AV240" s="14">
        <f t="shared" si="506"/>
        <v>4739</v>
      </c>
      <c r="AW240" s="14">
        <f t="shared" si="506"/>
        <v>4739</v>
      </c>
      <c r="AX240" s="14">
        <f t="shared" si="506"/>
        <v>4739</v>
      </c>
      <c r="AY240" s="14">
        <f>INDEX(属性投放!$DH$6:$DH$85,(卡牌属性!AG240-2)*20+卡牌属性!AN240)</f>
        <v>87226</v>
      </c>
      <c r="AZ240" s="14">
        <f t="shared" si="507"/>
        <v>87226</v>
      </c>
      <c r="BA240" s="14">
        <f t="shared" si="507"/>
        <v>87226</v>
      </c>
      <c r="BB240" s="14">
        <f t="shared" si="507"/>
        <v>87226</v>
      </c>
      <c r="BC240" s="14">
        <f t="shared" si="507"/>
        <v>87226</v>
      </c>
      <c r="BD240" s="14">
        <f>INDEX(属性投放!$DL$6:$DL$85,(卡牌属性!AG240-2)*20+卡牌属性!AN240)</f>
        <v>235</v>
      </c>
      <c r="BE240" s="14">
        <f t="shared" si="508"/>
        <v>235</v>
      </c>
      <c r="BF240" s="14">
        <f t="shared" si="508"/>
        <v>235</v>
      </c>
      <c r="BG240" s="14">
        <f t="shared" si="508"/>
        <v>235</v>
      </c>
      <c r="BH240" s="14">
        <f t="shared" si="508"/>
        <v>235</v>
      </c>
      <c r="BI240" s="14">
        <f>INDEX(属性投放!$DM$6:$DM$85,(卡牌属性!AG240-2)*20+卡牌属性!AN240)</f>
        <v>117</v>
      </c>
      <c r="BJ240" s="14">
        <f t="shared" si="509"/>
        <v>117</v>
      </c>
      <c r="BK240" s="14">
        <f t="shared" si="509"/>
        <v>117</v>
      </c>
      <c r="BL240" s="14">
        <f t="shared" si="509"/>
        <v>117</v>
      </c>
      <c r="BM240" s="14">
        <f t="shared" si="509"/>
        <v>117</v>
      </c>
      <c r="BN240" s="14">
        <f>INDEX(属性投放!$DN$6:$DN$85,(卡牌属性!AG240-2)*20+卡牌属性!AN240)</f>
        <v>2346</v>
      </c>
      <c r="BO240" s="14">
        <f t="shared" si="510"/>
        <v>2346</v>
      </c>
      <c r="BP240" s="14">
        <f t="shared" si="510"/>
        <v>2346</v>
      </c>
      <c r="BQ240" s="14">
        <f t="shared" si="510"/>
        <v>2346</v>
      </c>
      <c r="BR240" s="14">
        <f t="shared" si="510"/>
        <v>2346</v>
      </c>
      <c r="BW240" s="13">
        <v>236</v>
      </c>
      <c r="BX240" s="13">
        <f t="shared" si="465"/>
        <v>12</v>
      </c>
      <c r="BY240" s="14">
        <f t="shared" si="466"/>
        <v>5</v>
      </c>
      <c r="BZ240" s="14">
        <f t="shared" si="475"/>
        <v>1102012</v>
      </c>
      <c r="CA240" s="14" t="str">
        <f t="shared" si="476"/>
        <v>夏侯惇16突</v>
      </c>
      <c r="CB240" s="25" t="s">
        <v>142</v>
      </c>
      <c r="CC240" s="14">
        <v>2</v>
      </c>
      <c r="CD240" s="14">
        <f t="shared" si="467"/>
        <v>16</v>
      </c>
      <c r="CE240" s="14" t="s">
        <v>21</v>
      </c>
      <c r="CF240" s="14">
        <f>INDEX(属性投放!$AZ$6:$AZ$85,(BY240-2)*20+CD240)</f>
        <v>14704</v>
      </c>
      <c r="CG240" s="14" t="s">
        <v>22</v>
      </c>
      <c r="CH240" s="14">
        <f>INDEX(属性投放!$BA$6:$BA$85,(BY240-2)*20+CD240)</f>
        <v>7274</v>
      </c>
      <c r="CI240" s="14" t="s">
        <v>510</v>
      </c>
      <c r="CJ240" s="14">
        <f>INDEX(属性投放!$BB$6:$BB$85,(BY240-2)*20+CD240)</f>
        <v>130047</v>
      </c>
      <c r="CK240" s="14" t="s">
        <v>21</v>
      </c>
      <c r="CL240" s="14">
        <f>INDEX(属性投放!$BC$6:$BC$85,(BY240-2)*20+CD240)</f>
        <v>75</v>
      </c>
      <c r="CM240" s="14" t="s">
        <v>22</v>
      </c>
      <c r="CN240" s="14">
        <f>INDEX(属性投放!$BD$6:$BD$85,(BY240-2)*20+CD240)</f>
        <v>38</v>
      </c>
      <c r="CO240" s="14" t="s">
        <v>510</v>
      </c>
      <c r="CP240" s="14">
        <f>INDEX(属性投放!$BE$6:$BE$85,(BY240-2)*20+CD240)</f>
        <v>750</v>
      </c>
      <c r="CS240" s="13">
        <v>236</v>
      </c>
      <c r="CT240" s="13">
        <f t="shared" si="477"/>
        <v>5</v>
      </c>
      <c r="CU240" s="13">
        <f t="shared" si="478"/>
        <v>28</v>
      </c>
      <c r="CV240" s="14">
        <f t="shared" si="479"/>
        <v>3</v>
      </c>
      <c r="CW240" s="14">
        <f t="shared" si="480"/>
        <v>1102005</v>
      </c>
      <c r="CX240" s="14" t="str">
        <f>INDEX($O$6:$O$50,CT240)&amp;"-"&amp;INDEX(属性投放!$AB$7:$AB$50,CZ240)&amp;"-魂火-"&amp;DB240</f>
        <v>李轩辕-焦热-魂火-1</v>
      </c>
      <c r="CY240" s="25" t="s">
        <v>142</v>
      </c>
      <c r="CZ240" s="14">
        <f>INDEX(属性投放!$AM$7:$AM$58,CU240)</f>
        <v>13</v>
      </c>
      <c r="DA240" s="14" t="s">
        <v>537</v>
      </c>
      <c r="DB240" s="14">
        <f>INDEX(属性投放!$AN$7:$AN$58,CU240)</f>
        <v>1</v>
      </c>
      <c r="DC240" s="14">
        <f t="shared" si="468"/>
        <v>28</v>
      </c>
      <c r="DD240" s="14">
        <f>INDEX(属性投放!$AO$7:$AO$58,DC240)</f>
        <v>88</v>
      </c>
      <c r="DE240" s="14" t="s">
        <v>538</v>
      </c>
      <c r="DF240" s="14">
        <f>INDEX(属性投放!$BK$6:$BK$85,(CV240-2)*20+CZ240)</f>
        <v>250</v>
      </c>
      <c r="DG240" s="14">
        <f>SUMIFS(DF$5:DF240,$CT$5:$CT240,"="&amp;$CT240)</f>
        <v>2670</v>
      </c>
      <c r="DH240" s="14" t="s">
        <v>539</v>
      </c>
      <c r="DI240" s="14">
        <f>INDEX(属性投放!$BL$6:$BL$85,(CV240-2)*20+CZ240)</f>
        <v>125</v>
      </c>
      <c r="DJ240" s="14">
        <f>SUMIFS(DI$5:DI240,$CT$5:$CT240,"="&amp;$CT240)</f>
        <v>1338</v>
      </c>
      <c r="DK240" s="14" t="s">
        <v>540</v>
      </c>
      <c r="DL240" s="14">
        <f>INDEX(属性投放!$BM$6:$BM$85,(CV240-2)*20+CZ240)</f>
        <v>2500</v>
      </c>
      <c r="DM240" s="14">
        <f>SUMIFS(DL$5:DL240,$CT$5:$CT240,"="&amp;$CT240)</f>
        <v>22740</v>
      </c>
      <c r="DR240" s="14">
        <f t="shared" si="469"/>
        <v>1102012</v>
      </c>
      <c r="DS240" s="14" t="str">
        <f t="shared" si="470"/>
        <v>夏侯惇16突</v>
      </c>
      <c r="DT240" s="14">
        <f t="shared" si="481"/>
        <v>7</v>
      </c>
      <c r="DU240" s="14">
        <f t="shared" si="482"/>
        <v>7</v>
      </c>
      <c r="DV240" s="14">
        <f t="shared" si="483"/>
        <v>9</v>
      </c>
      <c r="DW240" s="14">
        <f t="shared" si="471"/>
        <v>5</v>
      </c>
      <c r="DX240" s="14">
        <f t="shared" si="472"/>
        <v>16</v>
      </c>
      <c r="DY240" s="14">
        <f t="shared" si="473"/>
        <v>76</v>
      </c>
      <c r="DZ240" s="14">
        <f>INDEX(属性投放!$AX$6:$AX$85,(卡牌属性!DW240-2)*20+卡牌属性!DX240)</f>
        <v>7</v>
      </c>
      <c r="EA240" s="14">
        <f>INDEX(属性投放!BQ$6:BQ$85,卡牌属性!$DY240)</f>
        <v>870</v>
      </c>
      <c r="EB240" s="14">
        <f>INDEX(属性投放!BR$6:BR$85,卡牌属性!$DY240)</f>
        <v>435</v>
      </c>
      <c r="EC240" s="14">
        <f>INDEX(属性投放!BS$6:BS$85,卡牌属性!$DY240)</f>
        <v>8700</v>
      </c>
      <c r="ED240" s="14">
        <f t="shared" si="511"/>
        <v>7003</v>
      </c>
      <c r="EE240" s="14">
        <f t="shared" si="512"/>
        <v>7420</v>
      </c>
      <c r="EF240" s="14">
        <f t="shared" si="513"/>
        <v>7865</v>
      </c>
      <c r="EG240" s="14">
        <f t="shared" si="514"/>
        <v>7865</v>
      </c>
      <c r="EH240" s="14">
        <f t="shared" si="515"/>
        <v>9120</v>
      </c>
      <c r="EI240" s="14">
        <f t="shared" si="516"/>
        <v>3474</v>
      </c>
      <c r="EJ240" s="14">
        <f t="shared" si="517"/>
        <v>3698</v>
      </c>
      <c r="EK240" s="14">
        <f t="shared" si="518"/>
        <v>3698</v>
      </c>
      <c r="EL240" s="14">
        <f t="shared" si="519"/>
        <v>3899</v>
      </c>
      <c r="EM240" s="14">
        <f t="shared" si="520"/>
        <v>4560</v>
      </c>
      <c r="EN240" s="14">
        <f t="shared" si="521"/>
        <v>67245</v>
      </c>
      <c r="EO240" s="14">
        <f t="shared" si="522"/>
        <v>78205</v>
      </c>
      <c r="EP240" s="14">
        <f t="shared" si="523"/>
        <v>78205</v>
      </c>
      <c r="EQ240" s="14">
        <f t="shared" si="524"/>
        <v>93105</v>
      </c>
      <c r="ER240" s="14">
        <f t="shared" si="525"/>
        <v>116515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INDEX(属性投放!$BQ$6:$BQ$85,(卡牌属性!$DW240-2)*20+卡牌属性!$DX240)</f>
        <v>870</v>
      </c>
      <c r="FI240" s="14">
        <f>INDEX(属性投放!$BQ$6:$BQ$85,(卡牌属性!$DW240-2)*20+卡牌属性!$DX240)</f>
        <v>870</v>
      </c>
      <c r="FJ240" s="14">
        <f>INDEX(属性投放!$BQ$6:$BQ$85,(卡牌属性!$DW240-2)*20+卡牌属性!$DX240)</f>
        <v>870</v>
      </c>
      <c r="FK240" s="14">
        <f>INDEX(属性投放!$BQ$6:$BQ$85,(卡牌属性!$DW240-2)*20+卡牌属性!$DX240)</f>
        <v>870</v>
      </c>
      <c r="FL240" s="14">
        <f>INDEX(属性投放!$BQ$6:$BQ$85,(卡牌属性!$DW240-2)*20+卡牌属性!$DX240)</f>
        <v>870</v>
      </c>
      <c r="FM240" s="14">
        <f>INDEX(属性投放!$BR$6:$BR$85,(卡牌属性!$DW240-2)*20+卡牌属性!$DX240)</f>
        <v>435</v>
      </c>
      <c r="FN240" s="14">
        <f>INDEX(属性投放!$BR$6:$BR$85,(卡牌属性!$DW240-2)*20+卡牌属性!$DX240)</f>
        <v>435</v>
      </c>
      <c r="FO240" s="14">
        <f>INDEX(属性投放!$BR$6:$BR$85,(卡牌属性!$DW240-2)*20+卡牌属性!$DX240)</f>
        <v>435</v>
      </c>
      <c r="FP240" s="14">
        <f>INDEX(属性投放!$BR$6:$BR$85,(卡牌属性!$DW240-2)*20+卡牌属性!$DX240)</f>
        <v>435</v>
      </c>
      <c r="FQ240" s="14">
        <f>INDEX(属性投放!$BR$6:$BR$85,(卡牌属性!$DW240-2)*20+卡牌属性!$DX240)</f>
        <v>435</v>
      </c>
      <c r="FR240" s="14">
        <f>INDEX(属性投放!$BS$6:$BS$85,(卡牌属性!$DW240-2)*20+卡牌属性!$DX240)</f>
        <v>8700</v>
      </c>
      <c r="FS240" s="14">
        <f>INDEX(属性投放!$BS$6:$BS$85,(卡牌属性!$DW240-2)*20+卡牌属性!$DX240)</f>
        <v>8700</v>
      </c>
      <c r="FT240" s="14">
        <f>INDEX(属性投放!$BS$6:$BS$85,(卡牌属性!$DW240-2)*20+卡牌属性!$DX240)</f>
        <v>8700</v>
      </c>
      <c r="FU240" s="14">
        <f>INDEX(属性投放!$BS$6:$BS$85,(卡牌属性!$DW240-2)*20+卡牌属性!$DX240)</f>
        <v>8700</v>
      </c>
      <c r="FV240" s="14">
        <f>INDEX(属性投放!$BS$6:$BS$85,(卡牌属性!$DW240-2)*20+卡牌属性!$DX240)</f>
        <v>8700</v>
      </c>
    </row>
    <row r="241" spans="31:178" ht="16.5" x14ac:dyDescent="0.2">
      <c r="AE241" s="13">
        <v>237</v>
      </c>
      <c r="AF241" s="13">
        <f t="shared" si="474"/>
        <v>12</v>
      </c>
      <c r="AG241" s="13">
        <f t="shared" si="461"/>
        <v>2</v>
      </c>
      <c r="AH241" s="13"/>
      <c r="AI241" s="13"/>
      <c r="AJ241" s="14">
        <f t="shared" si="462"/>
        <v>1101012</v>
      </c>
      <c r="AK241" s="14" t="str">
        <f t="shared" si="463"/>
        <v>南御夫17突</v>
      </c>
      <c r="AL241" s="25" t="s">
        <v>142</v>
      </c>
      <c r="AM241" s="14">
        <v>1</v>
      </c>
      <c r="AN241" s="14">
        <f t="shared" si="464"/>
        <v>17</v>
      </c>
      <c r="AO241" s="14">
        <f>INDEX(属性投放!$DF$6:$DF$85,(卡牌属性!AG241-2)*20+卡牌属性!AN241)</f>
        <v>10383</v>
      </c>
      <c r="AP241" s="14">
        <f t="shared" si="505"/>
        <v>10383</v>
      </c>
      <c r="AQ241" s="14">
        <f t="shared" si="505"/>
        <v>10383</v>
      </c>
      <c r="AR241" s="14">
        <f t="shared" si="505"/>
        <v>10383</v>
      </c>
      <c r="AS241" s="14">
        <f t="shared" si="505"/>
        <v>10383</v>
      </c>
      <c r="AT241" s="14">
        <f>INDEX(属性投放!$DG$6:$DG$85,(卡牌属性!AG241-2)*20+卡牌属性!AN241)</f>
        <v>5158</v>
      </c>
      <c r="AU241" s="14">
        <f t="shared" si="506"/>
        <v>5158</v>
      </c>
      <c r="AV241" s="14">
        <f t="shared" si="506"/>
        <v>5158</v>
      </c>
      <c r="AW241" s="14">
        <f t="shared" si="506"/>
        <v>5158</v>
      </c>
      <c r="AX241" s="14">
        <f t="shared" si="506"/>
        <v>5158</v>
      </c>
      <c r="AY241" s="14">
        <f>INDEX(属性投放!$DH$6:$DH$85,(卡牌属性!AG241-2)*20+卡牌属性!AN241)</f>
        <v>95606</v>
      </c>
      <c r="AZ241" s="14">
        <f t="shared" si="507"/>
        <v>95606</v>
      </c>
      <c r="BA241" s="14">
        <f t="shared" si="507"/>
        <v>95606</v>
      </c>
      <c r="BB241" s="14">
        <f t="shared" si="507"/>
        <v>95606</v>
      </c>
      <c r="BC241" s="14">
        <f t="shared" si="507"/>
        <v>95606</v>
      </c>
      <c r="BD241" s="14">
        <f>INDEX(属性投放!$DL$6:$DL$85,(卡牌属性!AG241-2)*20+卡牌属性!AN241)</f>
        <v>235</v>
      </c>
      <c r="BE241" s="14">
        <f t="shared" si="508"/>
        <v>235</v>
      </c>
      <c r="BF241" s="14">
        <f t="shared" si="508"/>
        <v>235</v>
      </c>
      <c r="BG241" s="14">
        <f t="shared" si="508"/>
        <v>235</v>
      </c>
      <c r="BH241" s="14">
        <f t="shared" si="508"/>
        <v>235</v>
      </c>
      <c r="BI241" s="14">
        <f>INDEX(属性投放!$DM$6:$DM$85,(卡牌属性!AG241-2)*20+卡牌属性!AN241)</f>
        <v>117</v>
      </c>
      <c r="BJ241" s="14">
        <f t="shared" si="509"/>
        <v>117</v>
      </c>
      <c r="BK241" s="14">
        <f t="shared" si="509"/>
        <v>117</v>
      </c>
      <c r="BL241" s="14">
        <f t="shared" si="509"/>
        <v>117</v>
      </c>
      <c r="BM241" s="14">
        <f t="shared" si="509"/>
        <v>117</v>
      </c>
      <c r="BN241" s="14">
        <f>INDEX(属性投放!$DN$6:$DN$85,(卡牌属性!AG241-2)*20+卡牌属性!AN241)</f>
        <v>2346</v>
      </c>
      <c r="BO241" s="14">
        <f t="shared" si="510"/>
        <v>2346</v>
      </c>
      <c r="BP241" s="14">
        <f t="shared" si="510"/>
        <v>2346</v>
      </c>
      <c r="BQ241" s="14">
        <f t="shared" si="510"/>
        <v>2346</v>
      </c>
      <c r="BR241" s="14">
        <f t="shared" si="510"/>
        <v>2346</v>
      </c>
      <c r="BW241" s="13">
        <v>237</v>
      </c>
      <c r="BX241" s="13">
        <f t="shared" si="465"/>
        <v>12</v>
      </c>
      <c r="BY241" s="14">
        <f t="shared" si="466"/>
        <v>5</v>
      </c>
      <c r="BZ241" s="14">
        <f t="shared" si="475"/>
        <v>1102012</v>
      </c>
      <c r="CA241" s="14" t="str">
        <f t="shared" si="476"/>
        <v>夏侯惇17突</v>
      </c>
      <c r="CB241" s="25" t="s">
        <v>142</v>
      </c>
      <c r="CC241" s="14">
        <v>2</v>
      </c>
      <c r="CD241" s="14">
        <f t="shared" si="467"/>
        <v>17</v>
      </c>
      <c r="CE241" s="14" t="s">
        <v>21</v>
      </c>
      <c r="CF241" s="14">
        <f>INDEX(属性投放!$AZ$6:$AZ$85,(BY241-2)*20+CD241)</f>
        <v>17839</v>
      </c>
      <c r="CG241" s="14" t="s">
        <v>22</v>
      </c>
      <c r="CH241" s="14">
        <f>INDEX(属性投放!$BA$6:$BA$85,(BY241-2)*20+CD241)</f>
        <v>8845</v>
      </c>
      <c r="CI241" s="14" t="s">
        <v>510</v>
      </c>
      <c r="CJ241" s="14">
        <f>INDEX(属性投放!$BB$6:$BB$85,(BY241-2)*20+CD241)</f>
        <v>161397</v>
      </c>
      <c r="CK241" s="14" t="s">
        <v>21</v>
      </c>
      <c r="CL241" s="14">
        <f>INDEX(属性投放!$BC$6:$BC$85,(BY241-2)*20+CD241)</f>
        <v>75</v>
      </c>
      <c r="CM241" s="14" t="s">
        <v>22</v>
      </c>
      <c r="CN241" s="14">
        <f>INDEX(属性投放!$BD$6:$BD$85,(BY241-2)*20+CD241)</f>
        <v>38</v>
      </c>
      <c r="CO241" s="14" t="s">
        <v>510</v>
      </c>
      <c r="CP241" s="14">
        <f>INDEX(属性投放!$BE$6:$BE$85,(BY241-2)*20+CD241)</f>
        <v>750</v>
      </c>
      <c r="CS241" s="13">
        <v>237</v>
      </c>
      <c r="CT241" s="13">
        <f t="shared" si="477"/>
        <v>5</v>
      </c>
      <c r="CU241" s="13">
        <f t="shared" si="478"/>
        <v>29</v>
      </c>
      <c r="CV241" s="14">
        <f t="shared" si="479"/>
        <v>3</v>
      </c>
      <c r="CW241" s="14">
        <f t="shared" si="480"/>
        <v>1102005</v>
      </c>
      <c r="CX241" s="14" t="str">
        <f>INDEX($O$6:$O$50,CT241)&amp;"-"&amp;INDEX(属性投放!$AB$7:$AB$50,CZ241)&amp;"-魂火-"&amp;DB241</f>
        <v>李轩辕-焦热-魂火-2</v>
      </c>
      <c r="CY241" s="25" t="s">
        <v>142</v>
      </c>
      <c r="CZ241" s="14">
        <f>INDEX(属性投放!$AM$7:$AM$58,CU241)</f>
        <v>13</v>
      </c>
      <c r="DA241" s="14" t="s">
        <v>537</v>
      </c>
      <c r="DB241" s="14">
        <f>INDEX(属性投放!$AN$7:$AN$58,CU241)</f>
        <v>2</v>
      </c>
      <c r="DC241" s="14">
        <f t="shared" si="468"/>
        <v>29</v>
      </c>
      <c r="DD241" s="14">
        <f>INDEX(属性投放!$AO$7:$AO$58,DC241)</f>
        <v>90</v>
      </c>
      <c r="DE241" s="14" t="s">
        <v>538</v>
      </c>
      <c r="DF241" s="14">
        <f>INDEX(属性投放!$BK$6:$BK$85,(CV241-2)*20+CZ241)</f>
        <v>250</v>
      </c>
      <c r="DG241" s="14">
        <f>SUMIFS(DF$5:DF241,$CT$5:$CT241,"="&amp;$CT241)</f>
        <v>2920</v>
      </c>
      <c r="DH241" s="14" t="s">
        <v>539</v>
      </c>
      <c r="DI241" s="14">
        <f>INDEX(属性投放!$BL$6:$BL$85,(CV241-2)*20+CZ241)</f>
        <v>125</v>
      </c>
      <c r="DJ241" s="14">
        <f>SUMIFS(DI$5:DI241,$CT$5:$CT241,"="&amp;$CT241)</f>
        <v>1463</v>
      </c>
      <c r="DK241" s="14" t="s">
        <v>540</v>
      </c>
      <c r="DL241" s="14">
        <f>INDEX(属性投放!$BM$6:$BM$85,(CV241-2)*20+CZ241)</f>
        <v>2500</v>
      </c>
      <c r="DM241" s="14">
        <f>SUMIFS(DL$5:DL241,$CT$5:$CT241,"="&amp;$CT241)</f>
        <v>25240</v>
      </c>
      <c r="DR241" s="14">
        <f t="shared" si="469"/>
        <v>1102012</v>
      </c>
      <c r="DS241" s="14" t="str">
        <f t="shared" si="470"/>
        <v>夏侯惇17突</v>
      </c>
      <c r="DT241" s="14">
        <f t="shared" si="481"/>
        <v>7</v>
      </c>
      <c r="DU241" s="14">
        <f t="shared" si="482"/>
        <v>7</v>
      </c>
      <c r="DV241" s="14">
        <f t="shared" si="483"/>
        <v>9</v>
      </c>
      <c r="DW241" s="14">
        <f t="shared" si="471"/>
        <v>5</v>
      </c>
      <c r="DX241" s="14">
        <f t="shared" si="472"/>
        <v>17</v>
      </c>
      <c r="DY241" s="14">
        <f t="shared" si="473"/>
        <v>77</v>
      </c>
      <c r="DZ241" s="14">
        <f>INDEX(属性投放!$AX$6:$AX$85,(卡牌属性!DW241-2)*20+卡牌属性!DX241)</f>
        <v>8</v>
      </c>
      <c r="EA241" s="14">
        <f>INDEX(属性投放!BQ$6:BQ$85,卡牌属性!$DY241)</f>
        <v>950</v>
      </c>
      <c r="EB241" s="14">
        <f>INDEX(属性投放!BR$6:BR$85,卡牌属性!$DY241)</f>
        <v>475</v>
      </c>
      <c r="EC241" s="14">
        <f>INDEX(属性投放!BS$6:BS$85,卡牌属性!$DY241)</f>
        <v>9500</v>
      </c>
      <c r="ED241" s="14">
        <f t="shared" si="511"/>
        <v>8223</v>
      </c>
      <c r="EE241" s="14">
        <f t="shared" si="512"/>
        <v>8710</v>
      </c>
      <c r="EF241" s="14">
        <f t="shared" si="513"/>
        <v>9260</v>
      </c>
      <c r="EG241" s="14">
        <f t="shared" si="514"/>
        <v>9260</v>
      </c>
      <c r="EH241" s="14">
        <f t="shared" si="515"/>
        <v>10690</v>
      </c>
      <c r="EI241" s="14">
        <f t="shared" si="516"/>
        <v>4084</v>
      </c>
      <c r="EJ241" s="14">
        <f t="shared" si="517"/>
        <v>4343</v>
      </c>
      <c r="EK241" s="14">
        <f t="shared" si="518"/>
        <v>4343</v>
      </c>
      <c r="EL241" s="14">
        <f t="shared" si="519"/>
        <v>4600</v>
      </c>
      <c r="EM241" s="14">
        <f t="shared" si="520"/>
        <v>5345</v>
      </c>
      <c r="EN241" s="14">
        <f t="shared" si="521"/>
        <v>81195</v>
      </c>
      <c r="EO241" s="14">
        <f t="shared" si="522"/>
        <v>93905</v>
      </c>
      <c r="EP241" s="14">
        <f t="shared" si="523"/>
        <v>93905</v>
      </c>
      <c r="EQ241" s="14">
        <f t="shared" si="524"/>
        <v>112305</v>
      </c>
      <c r="ER241" s="14">
        <f t="shared" si="525"/>
        <v>139215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INDEX(属性投放!$BQ$6:$BQ$85,(卡牌属性!$DW241-2)*20+卡牌属性!$DX241)</f>
        <v>950</v>
      </c>
      <c r="FI241" s="14">
        <f>INDEX(属性投放!$BQ$6:$BQ$85,(卡牌属性!$DW241-2)*20+卡牌属性!$DX241)</f>
        <v>950</v>
      </c>
      <c r="FJ241" s="14">
        <f>INDEX(属性投放!$BQ$6:$BQ$85,(卡牌属性!$DW241-2)*20+卡牌属性!$DX241)</f>
        <v>950</v>
      </c>
      <c r="FK241" s="14">
        <f>INDEX(属性投放!$BQ$6:$BQ$85,(卡牌属性!$DW241-2)*20+卡牌属性!$DX241)</f>
        <v>950</v>
      </c>
      <c r="FL241" s="14">
        <f>INDEX(属性投放!$BQ$6:$BQ$85,(卡牌属性!$DW241-2)*20+卡牌属性!$DX241)</f>
        <v>950</v>
      </c>
      <c r="FM241" s="14">
        <f>INDEX(属性投放!$BR$6:$BR$85,(卡牌属性!$DW241-2)*20+卡牌属性!$DX241)</f>
        <v>475</v>
      </c>
      <c r="FN241" s="14">
        <f>INDEX(属性投放!$BR$6:$BR$85,(卡牌属性!$DW241-2)*20+卡牌属性!$DX241)</f>
        <v>475</v>
      </c>
      <c r="FO241" s="14">
        <f>INDEX(属性投放!$BR$6:$BR$85,(卡牌属性!$DW241-2)*20+卡牌属性!$DX241)</f>
        <v>475</v>
      </c>
      <c r="FP241" s="14">
        <f>INDEX(属性投放!$BR$6:$BR$85,(卡牌属性!$DW241-2)*20+卡牌属性!$DX241)</f>
        <v>475</v>
      </c>
      <c r="FQ241" s="14">
        <f>INDEX(属性投放!$BR$6:$BR$85,(卡牌属性!$DW241-2)*20+卡牌属性!$DX241)</f>
        <v>475</v>
      </c>
      <c r="FR241" s="14">
        <f>INDEX(属性投放!$BS$6:$BS$85,(卡牌属性!$DW241-2)*20+卡牌属性!$DX241)</f>
        <v>9500</v>
      </c>
      <c r="FS241" s="14">
        <f>INDEX(属性投放!$BS$6:$BS$85,(卡牌属性!$DW241-2)*20+卡牌属性!$DX241)</f>
        <v>9500</v>
      </c>
      <c r="FT241" s="14">
        <f>INDEX(属性投放!$BS$6:$BS$85,(卡牌属性!$DW241-2)*20+卡牌属性!$DX241)</f>
        <v>9500</v>
      </c>
      <c r="FU241" s="14">
        <f>INDEX(属性投放!$BS$6:$BS$85,(卡牌属性!$DW241-2)*20+卡牌属性!$DX241)</f>
        <v>9500</v>
      </c>
      <c r="FV241" s="14">
        <f>INDEX(属性投放!$BS$6:$BS$85,(卡牌属性!$DW241-2)*20+卡牌属性!$DX241)</f>
        <v>9500</v>
      </c>
    </row>
    <row r="242" spans="31:178" ht="16.5" x14ac:dyDescent="0.2">
      <c r="AE242" s="13">
        <v>238</v>
      </c>
      <c r="AF242" s="13">
        <f t="shared" si="474"/>
        <v>12</v>
      </c>
      <c r="AG242" s="13">
        <f t="shared" si="461"/>
        <v>2</v>
      </c>
      <c r="AH242" s="13"/>
      <c r="AI242" s="13"/>
      <c r="AJ242" s="14">
        <f t="shared" si="462"/>
        <v>1101012</v>
      </c>
      <c r="AK242" s="14" t="str">
        <f t="shared" si="463"/>
        <v>南御夫18突</v>
      </c>
      <c r="AL242" s="25" t="s">
        <v>142</v>
      </c>
      <c r="AM242" s="14">
        <v>1</v>
      </c>
      <c r="AN242" s="14">
        <f t="shared" si="464"/>
        <v>18</v>
      </c>
      <c r="AO242" s="14">
        <f>INDEX(属性投放!$DF$6:$DF$85,(卡牌属性!AG242-2)*20+卡牌属性!AN242)</f>
        <v>11221</v>
      </c>
      <c r="AP242" s="14">
        <f t="shared" si="505"/>
        <v>11221</v>
      </c>
      <c r="AQ242" s="14">
        <f t="shared" si="505"/>
        <v>11221</v>
      </c>
      <c r="AR242" s="14">
        <f t="shared" si="505"/>
        <v>11221</v>
      </c>
      <c r="AS242" s="14">
        <f t="shared" si="505"/>
        <v>11221</v>
      </c>
      <c r="AT242" s="14">
        <f>INDEX(属性投放!$DG$6:$DG$85,(卡牌属性!AG242-2)*20+卡牌属性!AN242)</f>
        <v>5577</v>
      </c>
      <c r="AU242" s="14">
        <f t="shared" si="506"/>
        <v>5577</v>
      </c>
      <c r="AV242" s="14">
        <f t="shared" si="506"/>
        <v>5577</v>
      </c>
      <c r="AW242" s="14">
        <f t="shared" si="506"/>
        <v>5577</v>
      </c>
      <c r="AX242" s="14">
        <f t="shared" si="506"/>
        <v>5577</v>
      </c>
      <c r="AY242" s="14">
        <f>INDEX(属性投放!$DH$6:$DH$85,(卡牌属性!AG242-2)*20+卡牌属性!AN242)</f>
        <v>103986</v>
      </c>
      <c r="AZ242" s="14">
        <f t="shared" si="507"/>
        <v>103986</v>
      </c>
      <c r="BA242" s="14">
        <f t="shared" si="507"/>
        <v>103986</v>
      </c>
      <c r="BB242" s="14">
        <f t="shared" si="507"/>
        <v>103986</v>
      </c>
      <c r="BC242" s="14">
        <f t="shared" si="507"/>
        <v>103986</v>
      </c>
      <c r="BD242" s="14">
        <f>INDEX(属性投放!$DL$6:$DL$85,(卡牌属性!AG242-2)*20+卡牌属性!AN242)</f>
        <v>235</v>
      </c>
      <c r="BE242" s="14">
        <f t="shared" si="508"/>
        <v>235</v>
      </c>
      <c r="BF242" s="14">
        <f t="shared" si="508"/>
        <v>235</v>
      </c>
      <c r="BG242" s="14">
        <f t="shared" si="508"/>
        <v>235</v>
      </c>
      <c r="BH242" s="14">
        <f t="shared" si="508"/>
        <v>235</v>
      </c>
      <c r="BI242" s="14">
        <f>INDEX(属性投放!$DM$6:$DM$85,(卡牌属性!AG242-2)*20+卡牌属性!AN242)</f>
        <v>117</v>
      </c>
      <c r="BJ242" s="14">
        <f t="shared" si="509"/>
        <v>117</v>
      </c>
      <c r="BK242" s="14">
        <f t="shared" si="509"/>
        <v>117</v>
      </c>
      <c r="BL242" s="14">
        <f t="shared" si="509"/>
        <v>117</v>
      </c>
      <c r="BM242" s="14">
        <f t="shared" si="509"/>
        <v>117</v>
      </c>
      <c r="BN242" s="14">
        <f>INDEX(属性投放!$DN$6:$DN$85,(卡牌属性!AG242-2)*20+卡牌属性!AN242)</f>
        <v>2346</v>
      </c>
      <c r="BO242" s="14">
        <f t="shared" si="510"/>
        <v>2346</v>
      </c>
      <c r="BP242" s="14">
        <f t="shared" si="510"/>
        <v>2346</v>
      </c>
      <c r="BQ242" s="14">
        <f t="shared" si="510"/>
        <v>2346</v>
      </c>
      <c r="BR242" s="14">
        <f t="shared" si="510"/>
        <v>2346</v>
      </c>
      <c r="BW242" s="13">
        <v>238</v>
      </c>
      <c r="BX242" s="13">
        <f t="shared" si="465"/>
        <v>12</v>
      </c>
      <c r="BY242" s="14">
        <f t="shared" si="466"/>
        <v>5</v>
      </c>
      <c r="BZ242" s="14">
        <f t="shared" si="475"/>
        <v>1102012</v>
      </c>
      <c r="CA242" s="14" t="str">
        <f t="shared" si="476"/>
        <v>夏侯惇18突</v>
      </c>
      <c r="CB242" s="25" t="s">
        <v>142</v>
      </c>
      <c r="CC242" s="14">
        <v>2</v>
      </c>
      <c r="CD242" s="14">
        <f t="shared" si="467"/>
        <v>18</v>
      </c>
      <c r="CE242" s="14" t="s">
        <v>21</v>
      </c>
      <c r="CF242" s="14">
        <f>INDEX(属性投放!$AZ$6:$AZ$85,(BY242-2)*20+CD242)</f>
        <v>21549</v>
      </c>
      <c r="CG242" s="14" t="s">
        <v>22</v>
      </c>
      <c r="CH242" s="14">
        <f>INDEX(属性投放!$BA$6:$BA$85,(BY242-2)*20+CD242)</f>
        <v>10704</v>
      </c>
      <c r="CI242" s="14" t="s">
        <v>510</v>
      </c>
      <c r="CJ242" s="14">
        <f>INDEX(属性投放!$BB$6:$BB$85,(BY242-2)*20+CD242)</f>
        <v>198497</v>
      </c>
      <c r="CK242" s="14" t="s">
        <v>21</v>
      </c>
      <c r="CL242" s="14">
        <f>INDEX(属性投放!$BC$6:$BC$85,(BY242-2)*20+CD242)</f>
        <v>75</v>
      </c>
      <c r="CM242" s="14" t="s">
        <v>22</v>
      </c>
      <c r="CN242" s="14">
        <f>INDEX(属性投放!$BD$6:$BD$85,(BY242-2)*20+CD242)</f>
        <v>38</v>
      </c>
      <c r="CO242" s="14" t="s">
        <v>510</v>
      </c>
      <c r="CP242" s="14">
        <f>INDEX(属性投放!$BE$6:$BE$85,(BY242-2)*20+CD242)</f>
        <v>750</v>
      </c>
      <c r="CS242" s="13">
        <v>238</v>
      </c>
      <c r="CT242" s="13">
        <f t="shared" si="477"/>
        <v>5</v>
      </c>
      <c r="CU242" s="13">
        <f t="shared" si="478"/>
        <v>30</v>
      </c>
      <c r="CV242" s="14">
        <f t="shared" si="479"/>
        <v>3</v>
      </c>
      <c r="CW242" s="14">
        <f t="shared" si="480"/>
        <v>1102005</v>
      </c>
      <c r="CX242" s="14" t="str">
        <f>INDEX($O$6:$O$50,CT242)&amp;"-"&amp;INDEX(属性投放!$AB$7:$AB$50,CZ242)&amp;"-魂火-"&amp;DB242</f>
        <v>李轩辕-焦热-魂火-3</v>
      </c>
      <c r="CY242" s="25" t="s">
        <v>142</v>
      </c>
      <c r="CZ242" s="14">
        <f>INDEX(属性投放!$AM$7:$AM$58,CU242)</f>
        <v>13</v>
      </c>
      <c r="DA242" s="14" t="s">
        <v>537</v>
      </c>
      <c r="DB242" s="14">
        <f>INDEX(属性投放!$AN$7:$AN$58,CU242)</f>
        <v>3</v>
      </c>
      <c r="DC242" s="14">
        <f t="shared" si="468"/>
        <v>30</v>
      </c>
      <c r="DD242" s="14">
        <f>INDEX(属性投放!$AO$7:$AO$58,DC242)</f>
        <v>93</v>
      </c>
      <c r="DE242" s="14" t="s">
        <v>538</v>
      </c>
      <c r="DF242" s="14">
        <f>INDEX(属性投放!$BK$6:$BK$85,(CV242-2)*20+CZ242)</f>
        <v>250</v>
      </c>
      <c r="DG242" s="14">
        <f>SUMIFS(DF$5:DF242,$CT$5:$CT242,"="&amp;$CT242)</f>
        <v>3170</v>
      </c>
      <c r="DH242" s="14" t="s">
        <v>539</v>
      </c>
      <c r="DI242" s="14">
        <f>INDEX(属性投放!$BL$6:$BL$85,(CV242-2)*20+CZ242)</f>
        <v>125</v>
      </c>
      <c r="DJ242" s="14">
        <f>SUMIFS(DI$5:DI242,$CT$5:$CT242,"="&amp;$CT242)</f>
        <v>1588</v>
      </c>
      <c r="DK242" s="14" t="s">
        <v>540</v>
      </c>
      <c r="DL242" s="14">
        <f>INDEX(属性投放!$BM$6:$BM$85,(CV242-2)*20+CZ242)</f>
        <v>2500</v>
      </c>
      <c r="DM242" s="14">
        <f>SUMIFS(DL$5:DL242,$CT$5:$CT242,"="&amp;$CT242)</f>
        <v>27740</v>
      </c>
      <c r="DR242" s="14">
        <f t="shared" si="469"/>
        <v>1102012</v>
      </c>
      <c r="DS242" s="14" t="str">
        <f t="shared" si="470"/>
        <v>夏侯惇18突</v>
      </c>
      <c r="DT242" s="14">
        <f t="shared" si="481"/>
        <v>7</v>
      </c>
      <c r="DU242" s="14">
        <f t="shared" si="482"/>
        <v>7</v>
      </c>
      <c r="DV242" s="14">
        <f t="shared" si="483"/>
        <v>9</v>
      </c>
      <c r="DW242" s="14">
        <f t="shared" si="471"/>
        <v>5</v>
      </c>
      <c r="DX242" s="14">
        <f t="shared" si="472"/>
        <v>18</v>
      </c>
      <c r="DY242" s="14">
        <f t="shared" si="473"/>
        <v>78</v>
      </c>
      <c r="DZ242" s="14">
        <f>INDEX(属性投放!$AX$6:$AX$85,(卡牌属性!DW242-2)*20+卡牌属性!DX242)</f>
        <v>7</v>
      </c>
      <c r="EA242" s="14">
        <f>INDEX(属性投放!BQ$6:BQ$85,卡牌属性!$DY242)</f>
        <v>1500</v>
      </c>
      <c r="EB242" s="14">
        <f>INDEX(属性投放!BR$6:BR$85,卡牌属性!$DY242)</f>
        <v>750</v>
      </c>
      <c r="EC242" s="14">
        <f>INDEX(属性投放!BS$6:BS$85,卡牌属性!$DY242)</f>
        <v>15000</v>
      </c>
      <c r="ED242" s="14">
        <f t="shared" si="511"/>
        <v>9573</v>
      </c>
      <c r="EE242" s="14">
        <f t="shared" si="512"/>
        <v>10140</v>
      </c>
      <c r="EF242" s="14">
        <f t="shared" si="513"/>
        <v>10810</v>
      </c>
      <c r="EG242" s="14">
        <f t="shared" si="514"/>
        <v>10810</v>
      </c>
      <c r="EH242" s="14">
        <f t="shared" si="515"/>
        <v>12440</v>
      </c>
      <c r="EI242" s="14">
        <f t="shared" si="516"/>
        <v>4759</v>
      </c>
      <c r="EJ242" s="14">
        <f t="shared" si="517"/>
        <v>5058</v>
      </c>
      <c r="EK242" s="14">
        <f t="shared" si="518"/>
        <v>5058</v>
      </c>
      <c r="EL242" s="14">
        <f t="shared" si="519"/>
        <v>5379</v>
      </c>
      <c r="EM242" s="14">
        <f t="shared" si="520"/>
        <v>6220</v>
      </c>
      <c r="EN242" s="14">
        <f t="shared" si="521"/>
        <v>96695</v>
      </c>
      <c r="EO242" s="14">
        <f t="shared" si="522"/>
        <v>111405</v>
      </c>
      <c r="EP242" s="14">
        <f t="shared" si="523"/>
        <v>111405</v>
      </c>
      <c r="EQ242" s="14">
        <f t="shared" si="524"/>
        <v>133805</v>
      </c>
      <c r="ER242" s="14">
        <f t="shared" si="525"/>
        <v>164715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INDEX(属性投放!$BQ$6:$BQ$85,(卡牌属性!$DW242-2)*20+卡牌属性!$DX242)</f>
        <v>1500</v>
      </c>
      <c r="FI242" s="14">
        <f>INDEX(属性投放!$BQ$6:$BQ$85,(卡牌属性!$DW242-2)*20+卡牌属性!$DX242)</f>
        <v>1500</v>
      </c>
      <c r="FJ242" s="14">
        <f>INDEX(属性投放!$BQ$6:$BQ$85,(卡牌属性!$DW242-2)*20+卡牌属性!$DX242)</f>
        <v>1500</v>
      </c>
      <c r="FK242" s="14">
        <f>INDEX(属性投放!$BQ$6:$BQ$85,(卡牌属性!$DW242-2)*20+卡牌属性!$DX242)</f>
        <v>1500</v>
      </c>
      <c r="FL242" s="14">
        <f>INDEX(属性投放!$BQ$6:$BQ$85,(卡牌属性!$DW242-2)*20+卡牌属性!$DX242)</f>
        <v>1500</v>
      </c>
      <c r="FM242" s="14">
        <f>INDEX(属性投放!$BR$6:$BR$85,(卡牌属性!$DW242-2)*20+卡牌属性!$DX242)</f>
        <v>750</v>
      </c>
      <c r="FN242" s="14">
        <f>INDEX(属性投放!$BR$6:$BR$85,(卡牌属性!$DW242-2)*20+卡牌属性!$DX242)</f>
        <v>750</v>
      </c>
      <c r="FO242" s="14">
        <f>INDEX(属性投放!$BR$6:$BR$85,(卡牌属性!$DW242-2)*20+卡牌属性!$DX242)</f>
        <v>750</v>
      </c>
      <c r="FP242" s="14">
        <f>INDEX(属性投放!$BR$6:$BR$85,(卡牌属性!$DW242-2)*20+卡牌属性!$DX242)</f>
        <v>750</v>
      </c>
      <c r="FQ242" s="14">
        <f>INDEX(属性投放!$BR$6:$BR$85,(卡牌属性!$DW242-2)*20+卡牌属性!$DX242)</f>
        <v>750</v>
      </c>
      <c r="FR242" s="14">
        <f>INDEX(属性投放!$BS$6:$BS$85,(卡牌属性!$DW242-2)*20+卡牌属性!$DX242)</f>
        <v>15000</v>
      </c>
      <c r="FS242" s="14">
        <f>INDEX(属性投放!$BS$6:$BS$85,(卡牌属性!$DW242-2)*20+卡牌属性!$DX242)</f>
        <v>15000</v>
      </c>
      <c r="FT242" s="14">
        <f>INDEX(属性投放!$BS$6:$BS$85,(卡牌属性!$DW242-2)*20+卡牌属性!$DX242)</f>
        <v>15000</v>
      </c>
      <c r="FU242" s="14">
        <f>INDEX(属性投放!$BS$6:$BS$85,(卡牌属性!$DW242-2)*20+卡牌属性!$DX242)</f>
        <v>15000</v>
      </c>
      <c r="FV242" s="14">
        <f>INDEX(属性投放!$BS$6:$BS$85,(卡牌属性!$DW242-2)*20+卡牌属性!$DX242)</f>
        <v>15000</v>
      </c>
    </row>
    <row r="243" spans="31:178" ht="16.5" x14ac:dyDescent="0.2">
      <c r="AE243" s="13">
        <v>239</v>
      </c>
      <c r="AF243" s="13">
        <f t="shared" si="474"/>
        <v>12</v>
      </c>
      <c r="AG243" s="13">
        <f t="shared" si="461"/>
        <v>2</v>
      </c>
      <c r="AH243" s="13"/>
      <c r="AI243" s="13"/>
      <c r="AJ243" s="14">
        <f t="shared" si="462"/>
        <v>1101012</v>
      </c>
      <c r="AK243" s="14" t="str">
        <f t="shared" si="463"/>
        <v>南御夫19突</v>
      </c>
      <c r="AL243" s="25" t="s">
        <v>142</v>
      </c>
      <c r="AM243" s="14">
        <v>1</v>
      </c>
      <c r="AN243" s="14">
        <f t="shared" si="464"/>
        <v>19</v>
      </c>
      <c r="AO243" s="14">
        <f>INDEX(属性投放!$DF$6:$DF$85,(卡牌属性!AG243-2)*20+卡牌属性!AN243)</f>
        <v>17934</v>
      </c>
      <c r="AP243" s="14">
        <f t="shared" si="505"/>
        <v>17934</v>
      </c>
      <c r="AQ243" s="14">
        <f t="shared" si="505"/>
        <v>17934</v>
      </c>
      <c r="AR243" s="14">
        <f t="shared" si="505"/>
        <v>17934</v>
      </c>
      <c r="AS243" s="14">
        <f t="shared" si="505"/>
        <v>17934</v>
      </c>
      <c r="AT243" s="14">
        <f>INDEX(属性投放!$DG$6:$DG$85,(卡牌属性!AG243-2)*20+卡牌属性!AN243)</f>
        <v>8921</v>
      </c>
      <c r="AU243" s="14">
        <f t="shared" si="506"/>
        <v>8921</v>
      </c>
      <c r="AV243" s="14">
        <f t="shared" si="506"/>
        <v>8921</v>
      </c>
      <c r="AW243" s="14">
        <f t="shared" si="506"/>
        <v>8921</v>
      </c>
      <c r="AX243" s="14">
        <f t="shared" si="506"/>
        <v>8921</v>
      </c>
      <c r="AY243" s="14">
        <f>INDEX(属性投放!$DH$6:$DH$85,(卡牌属性!AG243-2)*20+卡牌属性!AN243)</f>
        <v>171016</v>
      </c>
      <c r="AZ243" s="14">
        <f t="shared" si="507"/>
        <v>171016</v>
      </c>
      <c r="BA243" s="14">
        <f t="shared" si="507"/>
        <v>171016</v>
      </c>
      <c r="BB243" s="14">
        <f t="shared" si="507"/>
        <v>171016</v>
      </c>
      <c r="BC243" s="14">
        <f t="shared" si="507"/>
        <v>171016</v>
      </c>
      <c r="BD243" s="14">
        <f>INDEX(属性投放!$DL$6:$DL$85,(卡牌属性!AG243-2)*20+卡牌属性!AN243)</f>
        <v>462</v>
      </c>
      <c r="BE243" s="14">
        <f t="shared" si="508"/>
        <v>462</v>
      </c>
      <c r="BF243" s="14">
        <f t="shared" si="508"/>
        <v>462</v>
      </c>
      <c r="BG243" s="14">
        <f t="shared" si="508"/>
        <v>462</v>
      </c>
      <c r="BH243" s="14">
        <f t="shared" si="508"/>
        <v>462</v>
      </c>
      <c r="BI243" s="14">
        <f>INDEX(属性投放!$DM$6:$DM$85,(卡牌属性!AG243-2)*20+卡牌属性!AN243)</f>
        <v>231</v>
      </c>
      <c r="BJ243" s="14">
        <f t="shared" si="509"/>
        <v>231</v>
      </c>
      <c r="BK243" s="14">
        <f t="shared" si="509"/>
        <v>231</v>
      </c>
      <c r="BL243" s="14">
        <f t="shared" si="509"/>
        <v>231</v>
      </c>
      <c r="BM243" s="14">
        <f t="shared" si="509"/>
        <v>231</v>
      </c>
      <c r="BN243" s="14">
        <f>INDEX(属性投放!$DN$6:$DN$85,(卡牌属性!AG243-2)*20+卡牌属性!AN243)</f>
        <v>4620</v>
      </c>
      <c r="BO243" s="14">
        <f t="shared" si="510"/>
        <v>4620</v>
      </c>
      <c r="BP243" s="14">
        <f t="shared" si="510"/>
        <v>4620</v>
      </c>
      <c r="BQ243" s="14">
        <f t="shared" si="510"/>
        <v>4620</v>
      </c>
      <c r="BR243" s="14">
        <f t="shared" si="510"/>
        <v>4620</v>
      </c>
      <c r="BW243" s="13">
        <v>239</v>
      </c>
      <c r="BX243" s="13">
        <f t="shared" si="465"/>
        <v>12</v>
      </c>
      <c r="BY243" s="14">
        <f t="shared" si="466"/>
        <v>5</v>
      </c>
      <c r="BZ243" s="14">
        <f t="shared" si="475"/>
        <v>1102012</v>
      </c>
      <c r="CA243" s="14" t="str">
        <f t="shared" si="476"/>
        <v>夏侯惇19突</v>
      </c>
      <c r="CB243" s="25" t="s">
        <v>142</v>
      </c>
      <c r="CC243" s="14">
        <v>2</v>
      </c>
      <c r="CD243" s="14">
        <f t="shared" si="467"/>
        <v>19</v>
      </c>
      <c r="CE243" s="14" t="s">
        <v>21</v>
      </c>
      <c r="CF243" s="14">
        <f>INDEX(属性投放!$AZ$6:$AZ$85,(BY243-2)*20+CD243)</f>
        <v>26064</v>
      </c>
      <c r="CG243" s="14" t="s">
        <v>22</v>
      </c>
      <c r="CH243" s="14">
        <f>INDEX(属性投放!$BA$6:$BA$85,(BY243-2)*20+CD243)</f>
        <v>12965</v>
      </c>
      <c r="CI243" s="14" t="s">
        <v>510</v>
      </c>
      <c r="CJ243" s="14">
        <f>INDEX(属性投放!$BB$6:$BB$85,(BY243-2)*20+CD243)</f>
        <v>243647</v>
      </c>
      <c r="CK243" s="14" t="s">
        <v>21</v>
      </c>
      <c r="CL243" s="14">
        <f>INDEX(属性投放!$BC$6:$BC$85,(BY243-2)*20+CD243)</f>
        <v>100</v>
      </c>
      <c r="CM243" s="14" t="s">
        <v>22</v>
      </c>
      <c r="CN243" s="14">
        <f>INDEX(属性投放!$BD$6:$BD$85,(BY243-2)*20+CD243)</f>
        <v>50</v>
      </c>
      <c r="CO243" s="14" t="s">
        <v>510</v>
      </c>
      <c r="CP243" s="14">
        <f>INDEX(属性投放!$BE$6:$BE$85,(BY243-2)*20+CD243)</f>
        <v>1000</v>
      </c>
      <c r="CS243" s="13">
        <v>239</v>
      </c>
      <c r="CT243" s="13">
        <f t="shared" si="477"/>
        <v>5</v>
      </c>
      <c r="CU243" s="13">
        <f t="shared" si="478"/>
        <v>31</v>
      </c>
      <c r="CV243" s="14">
        <f t="shared" si="479"/>
        <v>3</v>
      </c>
      <c r="CW243" s="14">
        <f t="shared" si="480"/>
        <v>1102005</v>
      </c>
      <c r="CX243" s="14" t="str">
        <f>INDEX($O$6:$O$50,CT243)&amp;"-"&amp;INDEX(属性投放!$AB$7:$AB$50,CZ243)&amp;"-魂火-"&amp;DB243</f>
        <v>李轩辕-焦热+1-魂火-1</v>
      </c>
      <c r="CY243" s="25" t="s">
        <v>142</v>
      </c>
      <c r="CZ243" s="14">
        <f>INDEX(属性投放!$AM$7:$AM$58,CU243)</f>
        <v>14</v>
      </c>
      <c r="DA243" s="14" t="s">
        <v>537</v>
      </c>
      <c r="DB243" s="14">
        <f>INDEX(属性投放!$AN$7:$AN$58,CU243)</f>
        <v>1</v>
      </c>
      <c r="DC243" s="14">
        <f t="shared" si="468"/>
        <v>31</v>
      </c>
      <c r="DD243" s="14">
        <f>INDEX(属性投放!$AO$7:$AO$58,DC243)</f>
        <v>95</v>
      </c>
      <c r="DE243" s="14" t="s">
        <v>538</v>
      </c>
      <c r="DF243" s="14">
        <f>INDEX(属性投放!$BK$6:$BK$85,(CV243-2)*20+CZ243)</f>
        <v>300</v>
      </c>
      <c r="DG243" s="14">
        <f>SUMIFS(DF$5:DF243,$CT$5:$CT243,"="&amp;$CT243)</f>
        <v>3470</v>
      </c>
      <c r="DH243" s="14" t="s">
        <v>539</v>
      </c>
      <c r="DI243" s="14">
        <f>INDEX(属性投放!$BL$6:$BL$85,(CV243-2)*20+CZ243)</f>
        <v>150</v>
      </c>
      <c r="DJ243" s="14">
        <f>SUMIFS(DI$5:DI243,$CT$5:$CT243,"="&amp;$CT243)</f>
        <v>1738</v>
      </c>
      <c r="DK243" s="14" t="s">
        <v>540</v>
      </c>
      <c r="DL243" s="14">
        <f>INDEX(属性投放!$BM$6:$BM$85,(CV243-2)*20+CZ243)</f>
        <v>3000</v>
      </c>
      <c r="DM243" s="14">
        <f>SUMIFS(DL$5:DL243,$CT$5:$CT243,"="&amp;$CT243)</f>
        <v>30740</v>
      </c>
      <c r="DR243" s="14">
        <f t="shared" si="469"/>
        <v>1102012</v>
      </c>
      <c r="DS243" s="14" t="str">
        <f t="shared" si="470"/>
        <v>夏侯惇19突</v>
      </c>
      <c r="DT243" s="14">
        <f t="shared" si="481"/>
        <v>7</v>
      </c>
      <c r="DU243" s="14">
        <f t="shared" si="482"/>
        <v>7</v>
      </c>
      <c r="DV243" s="14">
        <f t="shared" si="483"/>
        <v>9</v>
      </c>
      <c r="DW243" s="14">
        <f t="shared" si="471"/>
        <v>5</v>
      </c>
      <c r="DX243" s="14">
        <f t="shared" si="472"/>
        <v>19</v>
      </c>
      <c r="DY243" s="14">
        <f t="shared" si="473"/>
        <v>79</v>
      </c>
      <c r="DZ243" s="14">
        <f>INDEX(属性投放!$AX$6:$AX$85,(卡牌属性!DW243-2)*20+卡牌属性!DX243)</f>
        <v>8</v>
      </c>
      <c r="EA243" s="14">
        <f>INDEX(属性投放!BQ$6:BQ$85,卡牌属性!$DY243)</f>
        <v>1550</v>
      </c>
      <c r="EB243" s="14">
        <f>INDEX(属性投放!BR$6:BR$85,卡牌属性!$DY243)</f>
        <v>775</v>
      </c>
      <c r="EC243" s="14">
        <f>INDEX(属性投放!BS$6:BS$85,卡牌属性!$DY243)</f>
        <v>15500</v>
      </c>
      <c r="ED243" s="14">
        <f t="shared" si="511"/>
        <v>11423</v>
      </c>
      <c r="EE243" s="14">
        <f t="shared" si="512"/>
        <v>12060</v>
      </c>
      <c r="EF243" s="14">
        <f t="shared" si="513"/>
        <v>12835</v>
      </c>
      <c r="EG243" s="14">
        <f t="shared" si="514"/>
        <v>12835</v>
      </c>
      <c r="EH243" s="14">
        <f t="shared" si="515"/>
        <v>14640</v>
      </c>
      <c r="EI243" s="14">
        <f t="shared" si="516"/>
        <v>5684</v>
      </c>
      <c r="EJ243" s="14">
        <f t="shared" si="517"/>
        <v>6018</v>
      </c>
      <c r="EK243" s="14">
        <f t="shared" si="518"/>
        <v>6018</v>
      </c>
      <c r="EL243" s="14">
        <f t="shared" si="519"/>
        <v>6395</v>
      </c>
      <c r="EM243" s="14">
        <f t="shared" si="520"/>
        <v>7320</v>
      </c>
      <c r="EN243" s="14">
        <f t="shared" si="521"/>
        <v>116945</v>
      </c>
      <c r="EO243" s="14">
        <f t="shared" si="522"/>
        <v>133405</v>
      </c>
      <c r="EP243" s="14">
        <f t="shared" si="523"/>
        <v>133405</v>
      </c>
      <c r="EQ243" s="14">
        <f t="shared" si="524"/>
        <v>159305</v>
      </c>
      <c r="ER243" s="14">
        <f t="shared" si="525"/>
        <v>193715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INDEX(属性投放!$BQ$6:$BQ$85,(卡牌属性!$DW243-2)*20+卡牌属性!$DX243)</f>
        <v>1550</v>
      </c>
      <c r="FI243" s="14">
        <f>INDEX(属性投放!$BQ$6:$BQ$85,(卡牌属性!$DW243-2)*20+卡牌属性!$DX243)</f>
        <v>1550</v>
      </c>
      <c r="FJ243" s="14">
        <f>INDEX(属性投放!$BQ$6:$BQ$85,(卡牌属性!$DW243-2)*20+卡牌属性!$DX243)</f>
        <v>1550</v>
      </c>
      <c r="FK243" s="14">
        <f>INDEX(属性投放!$BQ$6:$BQ$85,(卡牌属性!$DW243-2)*20+卡牌属性!$DX243)</f>
        <v>1550</v>
      </c>
      <c r="FL243" s="14">
        <f>INDEX(属性投放!$BQ$6:$BQ$85,(卡牌属性!$DW243-2)*20+卡牌属性!$DX243)</f>
        <v>1550</v>
      </c>
      <c r="FM243" s="14">
        <f>INDEX(属性投放!$BR$6:$BR$85,(卡牌属性!$DW243-2)*20+卡牌属性!$DX243)</f>
        <v>775</v>
      </c>
      <c r="FN243" s="14">
        <f>INDEX(属性投放!$BR$6:$BR$85,(卡牌属性!$DW243-2)*20+卡牌属性!$DX243)</f>
        <v>775</v>
      </c>
      <c r="FO243" s="14">
        <f>INDEX(属性投放!$BR$6:$BR$85,(卡牌属性!$DW243-2)*20+卡牌属性!$DX243)</f>
        <v>775</v>
      </c>
      <c r="FP243" s="14">
        <f>INDEX(属性投放!$BR$6:$BR$85,(卡牌属性!$DW243-2)*20+卡牌属性!$DX243)</f>
        <v>775</v>
      </c>
      <c r="FQ243" s="14">
        <f>INDEX(属性投放!$BR$6:$BR$85,(卡牌属性!$DW243-2)*20+卡牌属性!$DX243)</f>
        <v>775</v>
      </c>
      <c r="FR243" s="14">
        <f>INDEX(属性投放!$BS$6:$BS$85,(卡牌属性!$DW243-2)*20+卡牌属性!$DX243)</f>
        <v>15500</v>
      </c>
      <c r="FS243" s="14">
        <f>INDEX(属性投放!$BS$6:$BS$85,(卡牌属性!$DW243-2)*20+卡牌属性!$DX243)</f>
        <v>15500</v>
      </c>
      <c r="FT243" s="14">
        <f>INDEX(属性投放!$BS$6:$BS$85,(卡牌属性!$DW243-2)*20+卡牌属性!$DX243)</f>
        <v>15500</v>
      </c>
      <c r="FU243" s="14">
        <f>INDEX(属性投放!$BS$6:$BS$85,(卡牌属性!$DW243-2)*20+卡牌属性!$DX243)</f>
        <v>15500</v>
      </c>
      <c r="FV243" s="14">
        <f>INDEX(属性投放!$BS$6:$BS$85,(卡牌属性!$DW243-2)*20+卡牌属性!$DX243)</f>
        <v>15500</v>
      </c>
    </row>
    <row r="244" spans="31:178" ht="16.5" x14ac:dyDescent="0.2">
      <c r="AE244" s="13">
        <v>240</v>
      </c>
      <c r="AF244" s="13">
        <f t="shared" si="474"/>
        <v>12</v>
      </c>
      <c r="AG244" s="13">
        <f t="shared" si="461"/>
        <v>2</v>
      </c>
      <c r="AH244" s="13"/>
      <c r="AI244" s="13"/>
      <c r="AJ244" s="14">
        <f t="shared" si="462"/>
        <v>1101012</v>
      </c>
      <c r="AK244" s="14" t="str">
        <f t="shared" si="463"/>
        <v>南御夫20突</v>
      </c>
      <c r="AL244" s="25" t="s">
        <v>142</v>
      </c>
      <c r="AM244" s="14">
        <v>1</v>
      </c>
      <c r="AN244" s="14">
        <f t="shared" si="464"/>
        <v>20</v>
      </c>
      <c r="AO244" s="14">
        <f>INDEX(属性投放!$DF$6:$DF$85,(卡牌属性!AG244-2)*20+卡牌属性!AN244)</f>
        <v>18924</v>
      </c>
      <c r="AP244" s="14">
        <f t="shared" si="505"/>
        <v>18924</v>
      </c>
      <c r="AQ244" s="14">
        <f t="shared" si="505"/>
        <v>18924</v>
      </c>
      <c r="AR244" s="14">
        <f t="shared" si="505"/>
        <v>18924</v>
      </c>
      <c r="AS244" s="14">
        <f t="shared" si="505"/>
        <v>18924</v>
      </c>
      <c r="AT244" s="14">
        <f>INDEX(属性投放!$DG$6:$DG$85,(卡牌属性!AG244-2)*20+卡牌属性!AN244)</f>
        <v>9417</v>
      </c>
      <c r="AU244" s="14">
        <f t="shared" si="506"/>
        <v>9417</v>
      </c>
      <c r="AV244" s="14">
        <f t="shared" si="506"/>
        <v>9417</v>
      </c>
      <c r="AW244" s="14">
        <f t="shared" si="506"/>
        <v>9417</v>
      </c>
      <c r="AX244" s="14">
        <f t="shared" si="506"/>
        <v>9417</v>
      </c>
      <c r="AY244" s="14">
        <f>INDEX(属性投放!$DH$6:$DH$85,(卡牌属性!AG244-2)*20+卡牌属性!AN244)</f>
        <v>180916</v>
      </c>
      <c r="AZ244" s="14">
        <f t="shared" si="507"/>
        <v>180916</v>
      </c>
      <c r="BA244" s="14">
        <f t="shared" si="507"/>
        <v>180916</v>
      </c>
      <c r="BB244" s="14">
        <f t="shared" si="507"/>
        <v>180916</v>
      </c>
      <c r="BC244" s="14">
        <f t="shared" si="507"/>
        <v>180916</v>
      </c>
      <c r="BD244" s="14">
        <f>INDEX(属性投放!$DL$6:$DL$85,(卡牌属性!AG244-2)*20+卡牌属性!AN244)</f>
        <v>462</v>
      </c>
      <c r="BE244" s="14">
        <f t="shared" si="508"/>
        <v>462</v>
      </c>
      <c r="BF244" s="14">
        <f t="shared" si="508"/>
        <v>462</v>
      </c>
      <c r="BG244" s="14">
        <f t="shared" si="508"/>
        <v>462</v>
      </c>
      <c r="BH244" s="14">
        <f t="shared" si="508"/>
        <v>462</v>
      </c>
      <c r="BI244" s="14">
        <f>INDEX(属性投放!$DM$6:$DM$85,(卡牌属性!AG244-2)*20+卡牌属性!AN244)</f>
        <v>231</v>
      </c>
      <c r="BJ244" s="14">
        <f t="shared" si="509"/>
        <v>231</v>
      </c>
      <c r="BK244" s="14">
        <f t="shared" si="509"/>
        <v>231</v>
      </c>
      <c r="BL244" s="14">
        <f t="shared" si="509"/>
        <v>231</v>
      </c>
      <c r="BM244" s="14">
        <f t="shared" si="509"/>
        <v>231</v>
      </c>
      <c r="BN244" s="14">
        <f>INDEX(属性投放!$DN$6:$DN$85,(卡牌属性!AG244-2)*20+卡牌属性!AN244)</f>
        <v>4620</v>
      </c>
      <c r="BO244" s="14">
        <f t="shared" si="510"/>
        <v>4620</v>
      </c>
      <c r="BP244" s="14">
        <f t="shared" si="510"/>
        <v>4620</v>
      </c>
      <c r="BQ244" s="14">
        <f t="shared" si="510"/>
        <v>4620</v>
      </c>
      <c r="BR244" s="14">
        <f t="shared" si="510"/>
        <v>4620</v>
      </c>
      <c r="BW244" s="13">
        <v>240</v>
      </c>
      <c r="BX244" s="13">
        <f t="shared" si="465"/>
        <v>12</v>
      </c>
      <c r="BY244" s="14">
        <f t="shared" si="466"/>
        <v>5</v>
      </c>
      <c r="BZ244" s="14">
        <f t="shared" si="475"/>
        <v>1102012</v>
      </c>
      <c r="CA244" s="14" t="str">
        <f t="shared" si="476"/>
        <v>夏侯惇20突</v>
      </c>
      <c r="CB244" s="25" t="s">
        <v>142</v>
      </c>
      <c r="CC244" s="14">
        <v>2</v>
      </c>
      <c r="CD244" s="14">
        <f t="shared" si="467"/>
        <v>20</v>
      </c>
      <c r="CE244" s="14" t="s">
        <v>21</v>
      </c>
      <c r="CF244" s="14">
        <f>INDEX(属性投放!$AZ$6:$AZ$85,(BY244-2)*20+CD244)</f>
        <v>31354</v>
      </c>
      <c r="CG244" s="14" t="s">
        <v>22</v>
      </c>
      <c r="CH244" s="14">
        <f>INDEX(属性投放!$BA$6:$BA$85,(BY244-2)*20+CD244)</f>
        <v>15610</v>
      </c>
      <c r="CI244" s="14" t="s">
        <v>510</v>
      </c>
      <c r="CJ244" s="14">
        <f>INDEX(属性投放!$BB$6:$BB$85,(BY244-2)*20+CD244)</f>
        <v>296547</v>
      </c>
      <c r="CK244" s="14" t="s">
        <v>21</v>
      </c>
      <c r="CL244" s="14">
        <f>INDEX(属性投放!$BC$6:$BC$85,(BY244-2)*20+CD244)</f>
        <v>100</v>
      </c>
      <c r="CM244" s="14" t="s">
        <v>22</v>
      </c>
      <c r="CN244" s="14">
        <f>INDEX(属性投放!$BD$6:$BD$85,(BY244-2)*20+CD244)</f>
        <v>50</v>
      </c>
      <c r="CO244" s="14" t="s">
        <v>510</v>
      </c>
      <c r="CP244" s="14">
        <f>INDEX(属性投放!$BE$6:$BE$85,(BY244-2)*20+CD244)</f>
        <v>1000</v>
      </c>
      <c r="CS244" s="13">
        <v>240</v>
      </c>
      <c r="CT244" s="13">
        <f t="shared" si="477"/>
        <v>5</v>
      </c>
      <c r="CU244" s="13">
        <f t="shared" si="478"/>
        <v>32</v>
      </c>
      <c r="CV244" s="14">
        <f t="shared" si="479"/>
        <v>3</v>
      </c>
      <c r="CW244" s="14">
        <f t="shared" si="480"/>
        <v>1102005</v>
      </c>
      <c r="CX244" s="14" t="str">
        <f>INDEX($O$6:$O$50,CT244)&amp;"-"&amp;INDEX(属性投放!$AB$7:$AB$50,CZ244)&amp;"-魂火-"&amp;DB244</f>
        <v>李轩辕-焦热+1-魂火-2</v>
      </c>
      <c r="CY244" s="25" t="s">
        <v>142</v>
      </c>
      <c r="CZ244" s="14">
        <f>INDEX(属性投放!$AM$7:$AM$58,CU244)</f>
        <v>14</v>
      </c>
      <c r="DA244" s="14" t="s">
        <v>537</v>
      </c>
      <c r="DB244" s="14">
        <f>INDEX(属性投放!$AN$7:$AN$58,CU244)</f>
        <v>2</v>
      </c>
      <c r="DC244" s="14">
        <f t="shared" si="468"/>
        <v>32</v>
      </c>
      <c r="DD244" s="14">
        <f>INDEX(属性投放!$AO$7:$AO$58,DC244)</f>
        <v>98</v>
      </c>
      <c r="DE244" s="14" t="s">
        <v>538</v>
      </c>
      <c r="DF244" s="14">
        <f>INDEX(属性投放!$BK$6:$BK$85,(CV244-2)*20+CZ244)</f>
        <v>300</v>
      </c>
      <c r="DG244" s="14">
        <f>SUMIFS(DF$5:DF244,$CT$5:$CT244,"="&amp;$CT244)</f>
        <v>3770</v>
      </c>
      <c r="DH244" s="14" t="s">
        <v>539</v>
      </c>
      <c r="DI244" s="14">
        <f>INDEX(属性投放!$BL$6:$BL$85,(CV244-2)*20+CZ244)</f>
        <v>150</v>
      </c>
      <c r="DJ244" s="14">
        <f>SUMIFS(DI$5:DI244,$CT$5:$CT244,"="&amp;$CT244)</f>
        <v>1888</v>
      </c>
      <c r="DK244" s="14" t="s">
        <v>540</v>
      </c>
      <c r="DL244" s="14">
        <f>INDEX(属性投放!$BM$6:$BM$85,(CV244-2)*20+CZ244)</f>
        <v>3000</v>
      </c>
      <c r="DM244" s="14">
        <f>SUMIFS(DL$5:DL244,$CT$5:$CT244,"="&amp;$CT244)</f>
        <v>33740</v>
      </c>
      <c r="DR244" s="14">
        <f t="shared" si="469"/>
        <v>1102012</v>
      </c>
      <c r="DS244" s="14" t="str">
        <f t="shared" si="470"/>
        <v>夏侯惇20突</v>
      </c>
      <c r="DT244" s="14">
        <f t="shared" si="481"/>
        <v>7</v>
      </c>
      <c r="DU244" s="14">
        <f t="shared" si="482"/>
        <v>7</v>
      </c>
      <c r="DV244" s="14">
        <f t="shared" si="483"/>
        <v>9</v>
      </c>
      <c r="DW244" s="14">
        <f t="shared" si="471"/>
        <v>5</v>
      </c>
      <c r="DX244" s="14">
        <f t="shared" si="472"/>
        <v>20</v>
      </c>
      <c r="DY244" s="14">
        <f t="shared" si="473"/>
        <v>80</v>
      </c>
      <c r="DZ244" s="14">
        <f>INDEX(属性投放!$AX$6:$AX$85,(卡牌属性!DW244-2)*20+卡牌属性!DX244)</f>
        <v>10</v>
      </c>
      <c r="EA244" s="14">
        <f>INDEX(属性投放!BQ$6:BQ$85,卡牌属性!$DY244)</f>
        <v>1600</v>
      </c>
      <c r="EB244" s="14">
        <f>INDEX(属性投放!BR$6:BR$85,卡牌属性!$DY244)</f>
        <v>800</v>
      </c>
      <c r="EC244" s="14">
        <f>INDEX(属性投放!BS$6:BS$85,卡牌属性!$DY244)</f>
        <v>16000</v>
      </c>
      <c r="ED244" s="14">
        <f t="shared" si="511"/>
        <v>13573</v>
      </c>
      <c r="EE244" s="14">
        <f t="shared" si="512"/>
        <v>14250</v>
      </c>
      <c r="EF244" s="14">
        <f t="shared" si="513"/>
        <v>15185</v>
      </c>
      <c r="EG244" s="14">
        <f t="shared" si="514"/>
        <v>15185</v>
      </c>
      <c r="EH244" s="14">
        <f t="shared" si="515"/>
        <v>17390</v>
      </c>
      <c r="EI244" s="14">
        <f t="shared" si="516"/>
        <v>6763</v>
      </c>
      <c r="EJ244" s="14">
        <f t="shared" si="517"/>
        <v>7113</v>
      </c>
      <c r="EK244" s="14">
        <f t="shared" si="518"/>
        <v>7113</v>
      </c>
      <c r="EL244" s="14">
        <f t="shared" si="519"/>
        <v>7570</v>
      </c>
      <c r="EM244" s="14">
        <f t="shared" si="520"/>
        <v>8695</v>
      </c>
      <c r="EN244" s="14">
        <f t="shared" si="521"/>
        <v>140445</v>
      </c>
      <c r="EO244" s="14">
        <f t="shared" si="522"/>
        <v>160905</v>
      </c>
      <c r="EP244" s="14">
        <f t="shared" si="523"/>
        <v>160905</v>
      </c>
      <c r="EQ244" s="14">
        <f t="shared" si="524"/>
        <v>190805</v>
      </c>
      <c r="ER244" s="14">
        <f t="shared" si="525"/>
        <v>233215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INDEX(属性投放!$BQ$6:$BQ$85,(卡牌属性!$DW244-2)*20+卡牌属性!$DX244)</f>
        <v>1600</v>
      </c>
      <c r="FI244" s="14">
        <f>INDEX(属性投放!$BQ$6:$BQ$85,(卡牌属性!$DW244-2)*20+卡牌属性!$DX244)</f>
        <v>1600</v>
      </c>
      <c r="FJ244" s="14">
        <f>INDEX(属性投放!$BQ$6:$BQ$85,(卡牌属性!$DW244-2)*20+卡牌属性!$DX244)</f>
        <v>1600</v>
      </c>
      <c r="FK244" s="14">
        <f>INDEX(属性投放!$BQ$6:$BQ$85,(卡牌属性!$DW244-2)*20+卡牌属性!$DX244)</f>
        <v>1600</v>
      </c>
      <c r="FL244" s="14">
        <f>INDEX(属性投放!$BQ$6:$BQ$85,(卡牌属性!$DW244-2)*20+卡牌属性!$DX244)</f>
        <v>1600</v>
      </c>
      <c r="FM244" s="14">
        <f>INDEX(属性投放!$BR$6:$BR$85,(卡牌属性!$DW244-2)*20+卡牌属性!$DX244)</f>
        <v>800</v>
      </c>
      <c r="FN244" s="14">
        <f>INDEX(属性投放!$BR$6:$BR$85,(卡牌属性!$DW244-2)*20+卡牌属性!$DX244)</f>
        <v>800</v>
      </c>
      <c r="FO244" s="14">
        <f>INDEX(属性投放!$BR$6:$BR$85,(卡牌属性!$DW244-2)*20+卡牌属性!$DX244)</f>
        <v>800</v>
      </c>
      <c r="FP244" s="14">
        <f>INDEX(属性投放!$BR$6:$BR$85,(卡牌属性!$DW244-2)*20+卡牌属性!$DX244)</f>
        <v>800</v>
      </c>
      <c r="FQ244" s="14">
        <f>INDEX(属性投放!$BR$6:$BR$85,(卡牌属性!$DW244-2)*20+卡牌属性!$DX244)</f>
        <v>800</v>
      </c>
      <c r="FR244" s="14">
        <f>INDEX(属性投放!$BS$6:$BS$85,(卡牌属性!$DW244-2)*20+卡牌属性!$DX244)</f>
        <v>16000</v>
      </c>
      <c r="FS244" s="14">
        <f>INDEX(属性投放!$BS$6:$BS$85,(卡牌属性!$DW244-2)*20+卡牌属性!$DX244)</f>
        <v>16000</v>
      </c>
      <c r="FT244" s="14">
        <f>INDEX(属性投放!$BS$6:$BS$85,(卡牌属性!$DW244-2)*20+卡牌属性!$DX244)</f>
        <v>16000</v>
      </c>
      <c r="FU244" s="14">
        <f>INDEX(属性投放!$BS$6:$BS$85,(卡牌属性!$DW244-2)*20+卡牌属性!$DX244)</f>
        <v>16000</v>
      </c>
      <c r="FV244" s="14">
        <f>INDEX(属性投放!$BS$6:$BS$85,(卡牌属性!$DW244-2)*20+卡牌属性!$DX244)</f>
        <v>16000</v>
      </c>
    </row>
    <row r="245" spans="31:178" ht="16.5" x14ac:dyDescent="0.2">
      <c r="AE245" s="13">
        <v>241</v>
      </c>
      <c r="AF245" s="13">
        <f t="shared" si="474"/>
        <v>13</v>
      </c>
      <c r="AG245" s="13">
        <f t="shared" si="461"/>
        <v>2</v>
      </c>
      <c r="AH245" s="13"/>
      <c r="AI245" s="13"/>
      <c r="AJ245" s="14">
        <f t="shared" si="462"/>
        <v>1101013</v>
      </c>
      <c r="AK245" s="14" t="str">
        <f t="shared" si="463"/>
        <v>吉拉1突</v>
      </c>
      <c r="AL245" s="25" t="s">
        <v>142</v>
      </c>
      <c r="AM245" s="14">
        <v>1</v>
      </c>
      <c r="AN245" s="14">
        <f t="shared" si="464"/>
        <v>1</v>
      </c>
      <c r="AO245" s="14">
        <f>INDEX(属性投放!$DF$6:$DF$85,(卡牌属性!AG245-2)*20+卡牌属性!AN245)</f>
        <v>100</v>
      </c>
      <c r="AP245" s="14">
        <f t="shared" ref="AP245:AS264" si="526">$AO245</f>
        <v>100</v>
      </c>
      <c r="AQ245" s="14">
        <f t="shared" si="526"/>
        <v>100</v>
      </c>
      <c r="AR245" s="14">
        <f t="shared" si="526"/>
        <v>100</v>
      </c>
      <c r="AS245" s="14">
        <f t="shared" si="526"/>
        <v>100</v>
      </c>
      <c r="AT245" s="14">
        <f>INDEX(属性投放!$DG$6:$DG$85,(卡牌属性!AG245-2)*20+卡牌属性!AN245)</f>
        <v>0</v>
      </c>
      <c r="AU245" s="14">
        <f t="shared" ref="AU245:AX264" si="527">$AT245</f>
        <v>0</v>
      </c>
      <c r="AV245" s="14">
        <f t="shared" si="527"/>
        <v>0</v>
      </c>
      <c r="AW245" s="14">
        <f t="shared" si="527"/>
        <v>0</v>
      </c>
      <c r="AX245" s="14">
        <f t="shared" si="527"/>
        <v>0</v>
      </c>
      <c r="AY245" s="14">
        <f>INDEX(属性投放!$DH$6:$DH$85,(卡牌属性!AG245-2)*20+卡牌属性!AN245)</f>
        <v>250.00000000000003</v>
      </c>
      <c r="AZ245" s="14">
        <f t="shared" ref="AZ245:BC264" si="528">$AY245</f>
        <v>250.00000000000003</v>
      </c>
      <c r="BA245" s="14">
        <f t="shared" si="528"/>
        <v>250.00000000000003</v>
      </c>
      <c r="BB245" s="14">
        <f t="shared" si="528"/>
        <v>250.00000000000003</v>
      </c>
      <c r="BC245" s="14">
        <f t="shared" si="528"/>
        <v>250.00000000000003</v>
      </c>
      <c r="BD245" s="14">
        <f>INDEX(属性投放!$DL$6:$DL$85,(卡牌属性!AG245-2)*20+卡牌属性!AN245)</f>
        <v>6</v>
      </c>
      <c r="BE245" s="14">
        <f t="shared" ref="BE245:BH264" si="529">$BD245</f>
        <v>6</v>
      </c>
      <c r="BF245" s="14">
        <f t="shared" si="529"/>
        <v>6</v>
      </c>
      <c r="BG245" s="14">
        <f t="shared" si="529"/>
        <v>6</v>
      </c>
      <c r="BH245" s="14">
        <f t="shared" si="529"/>
        <v>6</v>
      </c>
      <c r="BI245" s="14">
        <f>INDEX(属性投放!$DM$6:$DM$85,(卡牌属性!AG245-2)*20+卡牌属性!AN245)</f>
        <v>3</v>
      </c>
      <c r="BJ245" s="14">
        <f t="shared" ref="BJ245:BM264" si="530">$BI245</f>
        <v>3</v>
      </c>
      <c r="BK245" s="14">
        <f t="shared" si="530"/>
        <v>3</v>
      </c>
      <c r="BL245" s="14">
        <f t="shared" si="530"/>
        <v>3</v>
      </c>
      <c r="BM245" s="14">
        <f t="shared" si="530"/>
        <v>3</v>
      </c>
      <c r="BN245" s="14">
        <f>INDEX(属性投放!$DN$6:$DN$85,(卡牌属性!AG245-2)*20+卡牌属性!AN245)</f>
        <v>36</v>
      </c>
      <c r="BO245" s="14">
        <f t="shared" ref="BO245:BR264" si="531">$BN245</f>
        <v>36</v>
      </c>
      <c r="BP245" s="14">
        <f t="shared" si="531"/>
        <v>36</v>
      </c>
      <c r="BQ245" s="14">
        <f t="shared" si="531"/>
        <v>36</v>
      </c>
      <c r="BR245" s="14">
        <f t="shared" si="531"/>
        <v>36</v>
      </c>
      <c r="BW245" s="13">
        <v>241</v>
      </c>
      <c r="BX245" s="13">
        <f t="shared" si="465"/>
        <v>13</v>
      </c>
      <c r="BY245" s="14">
        <f t="shared" si="466"/>
        <v>2</v>
      </c>
      <c r="BZ245" s="14">
        <f t="shared" si="475"/>
        <v>1102013</v>
      </c>
      <c r="CA245" s="14" t="str">
        <f t="shared" si="476"/>
        <v>塞伯罗斯1突</v>
      </c>
      <c r="CB245" s="25" t="s">
        <v>142</v>
      </c>
      <c r="CC245" s="14">
        <v>2</v>
      </c>
      <c r="CD245" s="14">
        <f t="shared" si="467"/>
        <v>1</v>
      </c>
      <c r="CE245" s="14" t="s">
        <v>21</v>
      </c>
      <c r="CF245" s="14">
        <f>INDEX(属性投放!$AZ$6:$AZ$85,(BY245-2)*20+CD245)</f>
        <v>100</v>
      </c>
      <c r="CG245" s="14" t="s">
        <v>22</v>
      </c>
      <c r="CH245" s="14">
        <f>INDEX(属性投放!$BA$6:$BA$85,(BY245-2)*20+CD245)</f>
        <v>0</v>
      </c>
      <c r="CI245" s="14" t="s">
        <v>510</v>
      </c>
      <c r="CJ245" s="14">
        <f>INDEX(属性投放!$BB$6:$BB$85,(BY245-2)*20+CD245)</f>
        <v>300</v>
      </c>
      <c r="CK245" s="14" t="s">
        <v>21</v>
      </c>
      <c r="CL245" s="14">
        <f>INDEX(属性投放!$BC$6:$BC$85,(BY245-2)*20+CD245)</f>
        <v>5</v>
      </c>
      <c r="CM245" s="14" t="s">
        <v>22</v>
      </c>
      <c r="CN245" s="14">
        <f>INDEX(属性投放!$BD$6:$BD$85,(BY245-2)*20+CD245)</f>
        <v>3</v>
      </c>
      <c r="CO245" s="14" t="s">
        <v>510</v>
      </c>
      <c r="CP245" s="14">
        <f>INDEX(属性投放!$BE$6:$BE$85,(BY245-2)*20+CD245)</f>
        <v>30</v>
      </c>
      <c r="CS245" s="13">
        <v>241</v>
      </c>
      <c r="CT245" s="13">
        <f t="shared" si="477"/>
        <v>5</v>
      </c>
      <c r="CU245" s="13">
        <f t="shared" si="478"/>
        <v>33</v>
      </c>
      <c r="CV245" s="14">
        <f t="shared" si="479"/>
        <v>3</v>
      </c>
      <c r="CW245" s="14">
        <f t="shared" si="480"/>
        <v>1102005</v>
      </c>
      <c r="CX245" s="14" t="str">
        <f>INDEX($O$6:$O$50,CT245)&amp;"-"&amp;INDEX(属性投放!$AB$7:$AB$50,CZ245)&amp;"-魂火-"&amp;DB245</f>
        <v>李轩辕-焦热+1-魂火-3</v>
      </c>
      <c r="CY245" s="25" t="s">
        <v>142</v>
      </c>
      <c r="CZ245" s="14">
        <f>INDEX(属性投放!$AM$7:$AM$58,CU245)</f>
        <v>14</v>
      </c>
      <c r="DA245" s="14" t="s">
        <v>537</v>
      </c>
      <c r="DB245" s="14">
        <f>INDEX(属性投放!$AN$7:$AN$58,CU245)</f>
        <v>3</v>
      </c>
      <c r="DC245" s="14">
        <f t="shared" si="468"/>
        <v>33</v>
      </c>
      <c r="DD245" s="14">
        <f>INDEX(属性投放!$AO$7:$AO$58,DC245)</f>
        <v>100</v>
      </c>
      <c r="DE245" s="14" t="s">
        <v>538</v>
      </c>
      <c r="DF245" s="14">
        <f>INDEX(属性投放!$BK$6:$BK$85,(CV245-2)*20+CZ245)</f>
        <v>300</v>
      </c>
      <c r="DG245" s="14">
        <f>SUMIFS(DF$5:DF245,$CT$5:$CT245,"="&amp;$CT245)</f>
        <v>4070</v>
      </c>
      <c r="DH245" s="14" t="s">
        <v>539</v>
      </c>
      <c r="DI245" s="14">
        <f>INDEX(属性投放!$BL$6:$BL$85,(CV245-2)*20+CZ245)</f>
        <v>150</v>
      </c>
      <c r="DJ245" s="14">
        <f>SUMIFS(DI$5:DI245,$CT$5:$CT245,"="&amp;$CT245)</f>
        <v>2038</v>
      </c>
      <c r="DK245" s="14" t="s">
        <v>540</v>
      </c>
      <c r="DL245" s="14">
        <f>INDEX(属性投放!$BM$6:$BM$85,(CV245-2)*20+CZ245)</f>
        <v>3000</v>
      </c>
      <c r="DM245" s="14">
        <f>SUMIFS(DL$5:DL245,$CT$5:$CT245,"="&amp;$CT245)</f>
        <v>36740</v>
      </c>
      <c r="DR245" s="14">
        <f t="shared" si="469"/>
        <v>1102013</v>
      </c>
      <c r="DS245" s="14" t="str">
        <f t="shared" si="470"/>
        <v>塞伯罗斯1突</v>
      </c>
      <c r="DT245" s="14">
        <f t="shared" si="481"/>
        <v>2</v>
      </c>
      <c r="DU245" s="14">
        <f t="shared" si="482"/>
        <v>3</v>
      </c>
      <c r="DV245" s="14">
        <f t="shared" si="483"/>
        <v>5</v>
      </c>
      <c r="DW245" s="14">
        <f t="shared" si="471"/>
        <v>2</v>
      </c>
      <c r="DX245" s="14">
        <f t="shared" si="472"/>
        <v>1</v>
      </c>
      <c r="DY245" s="14">
        <f t="shared" si="473"/>
        <v>1</v>
      </c>
      <c r="DZ245" s="14">
        <f>INDEX(属性投放!$AX$6:$AX$85,(卡牌属性!DW245-2)*20+卡牌属性!DX245)</f>
        <v>4</v>
      </c>
      <c r="EA245" s="14">
        <f>INDEX(属性投放!BQ$6:BQ$85,卡牌属性!$DY245)</f>
        <v>25</v>
      </c>
      <c r="EB245" s="14">
        <f>INDEX(属性投放!BR$6:BR$85,卡牌属性!$DY245)</f>
        <v>13</v>
      </c>
      <c r="EC245" s="14">
        <f>INDEX(属性投放!BS$6:BS$85,卡牌属性!$DY245)</f>
        <v>150</v>
      </c>
      <c r="ED245" s="14">
        <f>INDEX(属性偏向!$I$4:$I$15,卡牌属性!$DT245+ED$3)</f>
        <v>75</v>
      </c>
      <c r="EE245" s="14">
        <f>INDEX(属性偏向!$I$4:$I$15,卡牌属性!$DT245+EE$3)</f>
        <v>100</v>
      </c>
      <c r="EF245" s="14">
        <f>INDEX(属性偏向!$I$4:$I$15,卡牌属性!$DT245+EF$3)</f>
        <v>125</v>
      </c>
      <c r="EG245" s="14">
        <f>INDEX(属性偏向!$I$4:$I$15,卡牌属性!$DT245+EG$3)</f>
        <v>125</v>
      </c>
      <c r="EH245" s="14">
        <f>INDEX(属性偏向!$I$4:$I$15,卡牌属性!$DT245+EH$3)</f>
        <v>150</v>
      </c>
      <c r="EI245" s="14">
        <f>INDEX(属性偏向!$J$4:$J$15,卡牌属性!$DU245+EI$3)</f>
        <v>10</v>
      </c>
      <c r="EJ245" s="14">
        <f>INDEX(属性偏向!$J$4:$J$15,卡牌属性!$DU245+EJ$3)</f>
        <v>20</v>
      </c>
      <c r="EK245" s="14">
        <f>INDEX(属性偏向!$J$4:$J$15,卡牌属性!$DU245+EK$3)</f>
        <v>20</v>
      </c>
      <c r="EL245" s="14">
        <f>INDEX(属性偏向!$J$4:$J$15,卡牌属性!$DU245+EL$3)</f>
        <v>30</v>
      </c>
      <c r="EM245" s="14">
        <f>INDEX(属性偏向!$J$4:$J$15,卡牌属性!$DU245+EM$3)</f>
        <v>40</v>
      </c>
      <c r="EN245" s="14">
        <f>INDEX(属性偏向!$K$4:$K$15,卡牌属性!$DV245+EN$3)</f>
        <v>500</v>
      </c>
      <c r="EO245" s="14">
        <f>INDEX(属性偏向!$K$4:$K$15,卡牌属性!$DV245+EO$3)</f>
        <v>650</v>
      </c>
      <c r="EP245" s="14">
        <f>INDEX(属性偏向!$K$4:$K$15,卡牌属性!$DV245+EP$3)</f>
        <v>650</v>
      </c>
      <c r="EQ245" s="14">
        <f>INDEX(属性偏向!$K$4:$K$15,卡牌属性!$DV245+EQ$3)</f>
        <v>800</v>
      </c>
      <c r="ER245" s="14">
        <f>INDEX(属性偏向!$K$4:$K$15,卡牌属性!$DV245+ER$3)</f>
        <v>1000</v>
      </c>
      <c r="ES245" s="14">
        <f>INDEX(属性偏向!$S$4:$S$243,(卡牌属性!$DT245-1+ES$3)*20+卡牌属性!$DX245)</f>
        <v>4</v>
      </c>
      <c r="ET245" s="14">
        <f>INDEX(属性偏向!$S$4:$S$243,(卡牌属性!$DT245-1+ET$3)*20+卡牌属性!$DX245)</f>
        <v>5</v>
      </c>
      <c r="EU245" s="14">
        <f>INDEX(属性偏向!$S$4:$S$243,(卡牌属性!$DT245-1+EU$3)*20+卡牌属性!$DX245)</f>
        <v>6</v>
      </c>
      <c r="EV245" s="14">
        <f>INDEX(属性偏向!$S$4:$S$243,(卡牌属性!$DT245-1+EV$3)*20+卡牌属性!$DX245)</f>
        <v>6</v>
      </c>
      <c r="EW245" s="14">
        <f>INDEX(属性偏向!$S$4:$S$243,(卡牌属性!$DT245-1+EW$3)*20+卡牌属性!$DX245)</f>
        <v>8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48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72</v>
      </c>
      <c r="FG245" s="14">
        <f>INDEX(属性偏向!$U$4:$U$243,(卡牌属性!$DV245-1+FG$3)*20+卡牌属性!$DX245)</f>
        <v>78</v>
      </c>
      <c r="FH245" s="14">
        <f>INDEX(属性投放!$BQ$6:$BQ$85,(卡牌属性!$DW245-2)*20+卡牌属性!$DX245)</f>
        <v>25</v>
      </c>
      <c r="FI245" s="14">
        <f>INDEX(属性投放!$BQ$6:$BQ$85,(卡牌属性!$DW245-2)*20+卡牌属性!$DX245)</f>
        <v>25</v>
      </c>
      <c r="FJ245" s="14">
        <f>INDEX(属性投放!$BQ$6:$BQ$85,(卡牌属性!$DW245-2)*20+卡牌属性!$DX245)</f>
        <v>25</v>
      </c>
      <c r="FK245" s="14">
        <f>INDEX(属性投放!$BQ$6:$BQ$85,(卡牌属性!$DW245-2)*20+卡牌属性!$DX245)</f>
        <v>25</v>
      </c>
      <c r="FL245" s="14">
        <f>INDEX(属性投放!$BQ$6:$BQ$85,(卡牌属性!$DW245-2)*20+卡牌属性!$DX245)</f>
        <v>25</v>
      </c>
      <c r="FM245" s="14">
        <f>INDEX(属性投放!$BR$6:$BR$85,(卡牌属性!$DW245-2)*20+卡牌属性!$DX245)</f>
        <v>13</v>
      </c>
      <c r="FN245" s="14">
        <f>INDEX(属性投放!$BR$6:$BR$85,(卡牌属性!$DW245-2)*20+卡牌属性!$DX245)</f>
        <v>13</v>
      </c>
      <c r="FO245" s="14">
        <f>INDEX(属性投放!$BR$6:$BR$85,(卡牌属性!$DW245-2)*20+卡牌属性!$DX245)</f>
        <v>13</v>
      </c>
      <c r="FP245" s="14">
        <f>INDEX(属性投放!$BR$6:$BR$85,(卡牌属性!$DW245-2)*20+卡牌属性!$DX245)</f>
        <v>13</v>
      </c>
      <c r="FQ245" s="14">
        <f>INDEX(属性投放!$BR$6:$BR$85,(卡牌属性!$DW245-2)*20+卡牌属性!$DX245)</f>
        <v>13</v>
      </c>
      <c r="FR245" s="14">
        <f>INDEX(属性投放!$BS$6:$BS$85,(卡牌属性!$DW245-2)*20+卡牌属性!$DX245)</f>
        <v>150</v>
      </c>
      <c r="FS245" s="14">
        <f>INDEX(属性投放!$BS$6:$BS$85,(卡牌属性!$DW245-2)*20+卡牌属性!$DX245)</f>
        <v>150</v>
      </c>
      <c r="FT245" s="14">
        <f>INDEX(属性投放!$BS$6:$BS$85,(卡牌属性!$DW245-2)*20+卡牌属性!$DX245)</f>
        <v>150</v>
      </c>
      <c r="FU245" s="14">
        <f>INDEX(属性投放!$BS$6:$BS$85,(卡牌属性!$DW245-2)*20+卡牌属性!$DX245)</f>
        <v>150</v>
      </c>
      <c r="FV245" s="14">
        <f>INDEX(属性投放!$BS$6:$BS$85,(卡牌属性!$DW245-2)*20+卡牌属性!$DX245)</f>
        <v>150</v>
      </c>
    </row>
    <row r="246" spans="31:178" ht="16.5" x14ac:dyDescent="0.2">
      <c r="AE246" s="13">
        <v>242</v>
      </c>
      <c r="AF246" s="13">
        <f t="shared" si="474"/>
        <v>13</v>
      </c>
      <c r="AG246" s="13">
        <f t="shared" si="461"/>
        <v>2</v>
      </c>
      <c r="AH246" s="13"/>
      <c r="AI246" s="13"/>
      <c r="AJ246" s="14">
        <f t="shared" si="462"/>
        <v>1101013</v>
      </c>
      <c r="AK246" s="14" t="str">
        <f t="shared" si="463"/>
        <v>吉拉2突</v>
      </c>
      <c r="AL246" s="25" t="s">
        <v>142</v>
      </c>
      <c r="AM246" s="14">
        <v>1</v>
      </c>
      <c r="AN246" s="14">
        <f t="shared" si="464"/>
        <v>2</v>
      </c>
      <c r="AO246" s="14">
        <f>INDEX(属性投放!$DF$6:$DF$85,(卡牌属性!AG246-2)*20+卡牌属性!AN246)</f>
        <v>160</v>
      </c>
      <c r="AP246" s="14">
        <f t="shared" si="526"/>
        <v>160</v>
      </c>
      <c r="AQ246" s="14">
        <f t="shared" si="526"/>
        <v>160</v>
      </c>
      <c r="AR246" s="14">
        <f t="shared" si="526"/>
        <v>160</v>
      </c>
      <c r="AS246" s="14">
        <f t="shared" si="526"/>
        <v>160</v>
      </c>
      <c r="AT246" s="14">
        <f>INDEX(属性投放!$DG$6:$DG$85,(卡牌属性!AG246-2)*20+卡牌属性!AN246)</f>
        <v>30</v>
      </c>
      <c r="AU246" s="14">
        <f t="shared" si="527"/>
        <v>30</v>
      </c>
      <c r="AV246" s="14">
        <f t="shared" si="527"/>
        <v>30</v>
      </c>
      <c r="AW246" s="14">
        <f t="shared" si="527"/>
        <v>30</v>
      </c>
      <c r="AX246" s="14">
        <f t="shared" si="527"/>
        <v>30</v>
      </c>
      <c r="AY246" s="14">
        <f>INDEX(属性投放!$DH$6:$DH$85,(卡牌属性!AG246-2)*20+卡牌属性!AN246)</f>
        <v>610</v>
      </c>
      <c r="AZ246" s="14">
        <f t="shared" si="528"/>
        <v>610</v>
      </c>
      <c r="BA246" s="14">
        <f t="shared" si="528"/>
        <v>610</v>
      </c>
      <c r="BB246" s="14">
        <f t="shared" si="528"/>
        <v>610</v>
      </c>
      <c r="BC246" s="14">
        <f t="shared" si="528"/>
        <v>610</v>
      </c>
      <c r="BD246" s="14">
        <f>INDEX(属性投放!$DL$6:$DL$85,(卡牌属性!AG246-2)*20+卡牌属性!AN246)</f>
        <v>12</v>
      </c>
      <c r="BE246" s="14">
        <f t="shared" si="529"/>
        <v>12</v>
      </c>
      <c r="BF246" s="14">
        <f t="shared" si="529"/>
        <v>12</v>
      </c>
      <c r="BG246" s="14">
        <f t="shared" si="529"/>
        <v>12</v>
      </c>
      <c r="BH246" s="14">
        <f t="shared" si="529"/>
        <v>12</v>
      </c>
      <c r="BI246" s="14">
        <f>INDEX(属性投放!$DM$6:$DM$85,(卡牌属性!AG246-2)*20+卡牌属性!AN246)</f>
        <v>6</v>
      </c>
      <c r="BJ246" s="14">
        <f t="shared" si="530"/>
        <v>6</v>
      </c>
      <c r="BK246" s="14">
        <f t="shared" si="530"/>
        <v>6</v>
      </c>
      <c r="BL246" s="14">
        <f t="shared" si="530"/>
        <v>6</v>
      </c>
      <c r="BM246" s="14">
        <f t="shared" si="530"/>
        <v>6</v>
      </c>
      <c r="BN246" s="14">
        <f>INDEX(属性投放!$DN$6:$DN$85,(卡牌属性!AG246-2)*20+卡牌属性!AN246)</f>
        <v>70</v>
      </c>
      <c r="BO246" s="14">
        <f t="shared" si="531"/>
        <v>70</v>
      </c>
      <c r="BP246" s="14">
        <f t="shared" si="531"/>
        <v>70</v>
      </c>
      <c r="BQ246" s="14">
        <f t="shared" si="531"/>
        <v>70</v>
      </c>
      <c r="BR246" s="14">
        <f t="shared" si="531"/>
        <v>70</v>
      </c>
      <c r="BW246" s="13">
        <v>242</v>
      </c>
      <c r="BX246" s="13">
        <f t="shared" si="465"/>
        <v>13</v>
      </c>
      <c r="BY246" s="14">
        <f t="shared" si="466"/>
        <v>2</v>
      </c>
      <c r="BZ246" s="14">
        <f t="shared" si="475"/>
        <v>1102013</v>
      </c>
      <c r="CA246" s="14" t="str">
        <f t="shared" si="476"/>
        <v>塞伯罗斯2突</v>
      </c>
      <c r="CB246" s="25" t="s">
        <v>142</v>
      </c>
      <c r="CC246" s="14">
        <v>2</v>
      </c>
      <c r="CD246" s="14">
        <f t="shared" si="467"/>
        <v>2</v>
      </c>
      <c r="CE246" s="14" t="s">
        <v>21</v>
      </c>
      <c r="CF246" s="14">
        <f>INDEX(属性投放!$AZ$6:$AZ$85,(BY246-2)*20+CD246)</f>
        <v>160</v>
      </c>
      <c r="CG246" s="14" t="s">
        <v>22</v>
      </c>
      <c r="CH246" s="14">
        <f>INDEX(属性投放!$BA$6:$BA$85,(BY246-2)*20+CD246)</f>
        <v>33</v>
      </c>
      <c r="CI246" s="14" t="s">
        <v>510</v>
      </c>
      <c r="CJ246" s="14">
        <f>INDEX(属性投放!$BB$6:$BB$85,(BY246-2)*20+CD246)</f>
        <v>660</v>
      </c>
      <c r="CK246" s="14" t="s">
        <v>21</v>
      </c>
      <c r="CL246" s="14">
        <f>INDEX(属性投放!$BC$6:$BC$85,(BY246-2)*20+CD246)</f>
        <v>6</v>
      </c>
      <c r="CM246" s="14" t="s">
        <v>22</v>
      </c>
      <c r="CN246" s="14">
        <f>INDEX(属性投放!$BD$6:$BD$85,(BY246-2)*20+CD246)</f>
        <v>3</v>
      </c>
      <c r="CO246" s="14" t="s">
        <v>510</v>
      </c>
      <c r="CP246" s="14">
        <f>INDEX(属性投放!$BE$6:$BE$85,(BY246-2)*20+CD246)</f>
        <v>36</v>
      </c>
      <c r="CS246" s="13">
        <v>242</v>
      </c>
      <c r="CT246" s="13">
        <f t="shared" si="477"/>
        <v>5</v>
      </c>
      <c r="CU246" s="13">
        <f t="shared" si="478"/>
        <v>34</v>
      </c>
      <c r="CV246" s="14">
        <f t="shared" si="479"/>
        <v>3</v>
      </c>
      <c r="CW246" s="14">
        <f t="shared" si="480"/>
        <v>1102005</v>
      </c>
      <c r="CX246" s="14" t="str">
        <f>INDEX($O$6:$O$50,CT246)&amp;"-"&amp;INDEX(属性投放!$AB$7:$AB$50,CZ246)&amp;"-魂火-"&amp;DB246</f>
        <v>李轩辕-焦热+2-魂火-1</v>
      </c>
      <c r="CY246" s="25" t="s">
        <v>142</v>
      </c>
      <c r="CZ246" s="14">
        <f>INDEX(属性投放!$AM$7:$AM$58,CU246)</f>
        <v>15</v>
      </c>
      <c r="DA246" s="14" t="s">
        <v>537</v>
      </c>
      <c r="DB246" s="14">
        <f>INDEX(属性投放!$AN$7:$AN$58,CU246)</f>
        <v>1</v>
      </c>
      <c r="DC246" s="14">
        <f t="shared" si="468"/>
        <v>34</v>
      </c>
      <c r="DD246" s="14">
        <f>INDEX(属性投放!$AO$7:$AO$58,DC246)</f>
        <v>103</v>
      </c>
      <c r="DE246" s="14" t="s">
        <v>538</v>
      </c>
      <c r="DF246" s="14">
        <f>INDEX(属性投放!$BK$6:$BK$85,(CV246-2)*20+CZ246)</f>
        <v>400</v>
      </c>
      <c r="DG246" s="14">
        <f>SUMIFS(DF$5:DF246,$CT$5:$CT246,"="&amp;$CT246)</f>
        <v>4470</v>
      </c>
      <c r="DH246" s="14" t="s">
        <v>539</v>
      </c>
      <c r="DI246" s="14">
        <f>INDEX(属性投放!$BL$6:$BL$85,(CV246-2)*20+CZ246)</f>
        <v>200</v>
      </c>
      <c r="DJ246" s="14">
        <f>SUMIFS(DI$5:DI246,$CT$5:$CT246,"="&amp;$CT246)</f>
        <v>2238</v>
      </c>
      <c r="DK246" s="14" t="s">
        <v>540</v>
      </c>
      <c r="DL246" s="14">
        <f>INDEX(属性投放!$BM$6:$BM$85,(CV246-2)*20+CZ246)</f>
        <v>4000</v>
      </c>
      <c r="DM246" s="14">
        <f>SUMIFS(DL$5:DL246,$CT$5:$CT246,"="&amp;$CT246)</f>
        <v>40740</v>
      </c>
      <c r="DR246" s="14">
        <f t="shared" si="469"/>
        <v>1102013</v>
      </c>
      <c r="DS246" s="14" t="str">
        <f t="shared" si="470"/>
        <v>塞伯罗斯2突</v>
      </c>
      <c r="DT246" s="14">
        <f t="shared" si="481"/>
        <v>2</v>
      </c>
      <c r="DU246" s="14">
        <f t="shared" si="482"/>
        <v>3</v>
      </c>
      <c r="DV246" s="14">
        <f t="shared" si="483"/>
        <v>5</v>
      </c>
      <c r="DW246" s="14">
        <f t="shared" si="471"/>
        <v>2</v>
      </c>
      <c r="DX246" s="14">
        <f t="shared" si="472"/>
        <v>2</v>
      </c>
      <c r="DY246" s="14">
        <f t="shared" si="473"/>
        <v>2</v>
      </c>
      <c r="DZ246" s="14">
        <f>INDEX(属性投放!$AX$6:$AX$85,(卡牌属性!DW246-2)*20+卡牌属性!DX246)</f>
        <v>10</v>
      </c>
      <c r="EA246" s="14">
        <f>INDEX(属性投放!BQ$6:BQ$85,卡牌属性!$DY246)</f>
        <v>30</v>
      </c>
      <c r="EB246" s="14">
        <f>INDEX(属性投放!BR$6:BR$85,卡牌属性!$DY246)</f>
        <v>15</v>
      </c>
      <c r="EC246" s="14">
        <f>INDEX(属性投放!BS$6:BS$85,卡牌属性!$DY246)</f>
        <v>180</v>
      </c>
      <c r="ED246" s="14">
        <f t="shared" ref="ED246:ED264" si="532">ED245+$EA245+ES245*$DZ245</f>
        <v>116</v>
      </c>
      <c r="EE246" s="14">
        <f t="shared" ref="EE246:EE264" si="533">EE245+$EA245+ET245*$DZ245</f>
        <v>145</v>
      </c>
      <c r="EF246" s="14">
        <f t="shared" ref="EF246:EF264" si="534">EF245+$EA245+EU245*$DZ245</f>
        <v>174</v>
      </c>
      <c r="EG246" s="14">
        <f t="shared" ref="EG246:EG264" si="535">EG245+$EA245+EV245*$DZ245</f>
        <v>174</v>
      </c>
      <c r="EH246" s="14">
        <f t="shared" ref="EH246:EH264" si="536">EH245+$EA245+EW245*$DZ245</f>
        <v>207</v>
      </c>
      <c r="EI246" s="14">
        <f t="shared" ref="EI246:EI264" si="537">EI245+$EB245+EX245*$DZ245</f>
        <v>35</v>
      </c>
      <c r="EJ246" s="14">
        <f t="shared" ref="EJ246:EJ264" si="538">EJ245+$EB245+EY245*$DZ245</f>
        <v>45</v>
      </c>
      <c r="EK246" s="14">
        <f t="shared" ref="EK246:EK264" si="539">EK245+$EB245+EZ245*$DZ245</f>
        <v>45</v>
      </c>
      <c r="EL246" s="14">
        <f t="shared" ref="EL246:EL264" si="540">EL245+$EB245+FA245*$DZ245</f>
        <v>59</v>
      </c>
      <c r="EM246" s="14">
        <f t="shared" ref="EM246:EM264" si="541">EM245+$EB245+FB245*$DZ245</f>
        <v>73</v>
      </c>
      <c r="EN246" s="14">
        <f t="shared" ref="EN246:EN264" si="542">EN245+$EC245+FC245*$DZ245</f>
        <v>842</v>
      </c>
      <c r="EO246" s="14">
        <f t="shared" ref="EO246:EO264" si="543">EO245+$EC245+FD245*$DZ245</f>
        <v>1040</v>
      </c>
      <c r="EP246" s="14">
        <f t="shared" ref="EP246:EP264" si="544">EP245+$EC245+FE245*$DZ245</f>
        <v>1040</v>
      </c>
      <c r="EQ246" s="14">
        <f t="shared" ref="EQ246:EQ264" si="545">EQ245+$EC245+FF245*$DZ245</f>
        <v>1238</v>
      </c>
      <c r="ER246" s="14">
        <f t="shared" ref="ER246:ER264" si="546">ER245+$EC245+FG245*$DZ245</f>
        <v>1462</v>
      </c>
      <c r="ES246" s="14">
        <f>INDEX(属性偏向!$S$4:$S$243,(卡牌属性!$DT246-1+ES$3)*20+卡牌属性!$DX246)</f>
        <v>5</v>
      </c>
      <c r="ET246" s="14">
        <f>INDEX(属性偏向!$S$4:$S$243,(卡牌属性!$DT246-1+ET$3)*20+卡牌属性!$DX246)</f>
        <v>6</v>
      </c>
      <c r="EU246" s="14">
        <f>INDEX(属性偏向!$S$4:$S$243,(卡牌属性!$DT246-1+EU$3)*20+卡牌属性!$DX246)</f>
        <v>8</v>
      </c>
      <c r="EV246" s="14">
        <f>INDEX(属性偏向!$S$4:$S$243,(卡牌属性!$DT246-1+EV$3)*20+卡牌属性!$DX246)</f>
        <v>8</v>
      </c>
      <c r="EW246" s="14">
        <f>INDEX(属性偏向!$S$4:$S$243,(卡牌属性!$DT246-1+EW$3)*20+卡牌属性!$DX246)</f>
        <v>10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72</v>
      </c>
      <c r="FE246" s="14">
        <f>INDEX(属性偏向!$U$4:$U$243,(卡牌属性!$DV246-1+FE$3)*20+卡牌属性!$DX246)</f>
        <v>72</v>
      </c>
      <c r="FF246" s="14">
        <f>INDEX(属性偏向!$U$4:$U$243,(卡牌属性!$DV246-1+FF$3)*20+卡牌属性!$DX246)</f>
        <v>90</v>
      </c>
      <c r="FG246" s="14">
        <f>INDEX(属性偏向!$U$4:$U$243,(卡牌属性!$DV246-1+FG$3)*20+卡牌属性!$DX246)</f>
        <v>102</v>
      </c>
      <c r="FH246" s="14">
        <f>INDEX(属性投放!$BQ$6:$BQ$85,(卡牌属性!$DW246-2)*20+卡牌属性!$DX246)</f>
        <v>30</v>
      </c>
      <c r="FI246" s="14">
        <f>INDEX(属性投放!$BQ$6:$BQ$85,(卡牌属性!$DW246-2)*20+卡牌属性!$DX246)</f>
        <v>30</v>
      </c>
      <c r="FJ246" s="14">
        <f>INDEX(属性投放!$BQ$6:$BQ$85,(卡牌属性!$DW246-2)*20+卡牌属性!$DX246)</f>
        <v>30</v>
      </c>
      <c r="FK246" s="14">
        <f>INDEX(属性投放!$BQ$6:$BQ$85,(卡牌属性!$DW246-2)*20+卡牌属性!$DX246)</f>
        <v>30</v>
      </c>
      <c r="FL246" s="14">
        <f>INDEX(属性投放!$BQ$6:$BQ$85,(卡牌属性!$DW246-2)*20+卡牌属性!$DX246)</f>
        <v>30</v>
      </c>
      <c r="FM246" s="14">
        <f>INDEX(属性投放!$BR$6:$BR$85,(卡牌属性!$DW246-2)*20+卡牌属性!$DX246)</f>
        <v>15</v>
      </c>
      <c r="FN246" s="14">
        <f>INDEX(属性投放!$BR$6:$BR$85,(卡牌属性!$DW246-2)*20+卡牌属性!$DX246)</f>
        <v>15</v>
      </c>
      <c r="FO246" s="14">
        <f>INDEX(属性投放!$BR$6:$BR$85,(卡牌属性!$DW246-2)*20+卡牌属性!$DX246)</f>
        <v>15</v>
      </c>
      <c r="FP246" s="14">
        <f>INDEX(属性投放!$BR$6:$BR$85,(卡牌属性!$DW246-2)*20+卡牌属性!$DX246)</f>
        <v>15</v>
      </c>
      <c r="FQ246" s="14">
        <f>INDEX(属性投放!$BR$6:$BR$85,(卡牌属性!$DW246-2)*20+卡牌属性!$DX246)</f>
        <v>15</v>
      </c>
      <c r="FR246" s="14">
        <f>INDEX(属性投放!$BS$6:$BS$85,(卡牌属性!$DW246-2)*20+卡牌属性!$DX246)</f>
        <v>180</v>
      </c>
      <c r="FS246" s="14">
        <f>INDEX(属性投放!$BS$6:$BS$85,(卡牌属性!$DW246-2)*20+卡牌属性!$DX246)</f>
        <v>180</v>
      </c>
      <c r="FT246" s="14">
        <f>INDEX(属性投放!$BS$6:$BS$85,(卡牌属性!$DW246-2)*20+卡牌属性!$DX246)</f>
        <v>180</v>
      </c>
      <c r="FU246" s="14">
        <f>INDEX(属性投放!$BS$6:$BS$85,(卡牌属性!$DW246-2)*20+卡牌属性!$DX246)</f>
        <v>180</v>
      </c>
      <c r="FV246" s="14">
        <f>INDEX(属性投放!$BS$6:$BS$85,(卡牌属性!$DW246-2)*20+卡牌属性!$DX246)</f>
        <v>180</v>
      </c>
    </row>
    <row r="247" spans="31:178" ht="16.5" x14ac:dyDescent="0.2">
      <c r="AE247" s="13">
        <v>243</v>
      </c>
      <c r="AF247" s="13">
        <f t="shared" si="474"/>
        <v>13</v>
      </c>
      <c r="AG247" s="13">
        <f t="shared" si="461"/>
        <v>2</v>
      </c>
      <c r="AH247" s="13"/>
      <c r="AI247" s="13"/>
      <c r="AJ247" s="14">
        <f t="shared" si="462"/>
        <v>1101013</v>
      </c>
      <c r="AK247" s="14" t="str">
        <f t="shared" si="463"/>
        <v>吉拉3突</v>
      </c>
      <c r="AL247" s="25" t="s">
        <v>142</v>
      </c>
      <c r="AM247" s="14">
        <v>1</v>
      </c>
      <c r="AN247" s="14">
        <f t="shared" si="464"/>
        <v>3</v>
      </c>
      <c r="AO247" s="14">
        <f>INDEX(属性投放!$DF$6:$DF$85,(卡牌属性!AG247-2)*20+卡牌属性!AN247)</f>
        <v>189</v>
      </c>
      <c r="AP247" s="14">
        <f t="shared" si="526"/>
        <v>189</v>
      </c>
      <c r="AQ247" s="14">
        <f t="shared" si="526"/>
        <v>189</v>
      </c>
      <c r="AR247" s="14">
        <f t="shared" si="526"/>
        <v>189</v>
      </c>
      <c r="AS247" s="14">
        <f t="shared" si="526"/>
        <v>189</v>
      </c>
      <c r="AT247" s="14">
        <f>INDEX(属性投放!$DG$6:$DG$85,(卡牌属性!AG247-2)*20+卡牌属性!AN247)</f>
        <v>45</v>
      </c>
      <c r="AU247" s="14">
        <f t="shared" si="527"/>
        <v>45</v>
      </c>
      <c r="AV247" s="14">
        <f t="shared" si="527"/>
        <v>45</v>
      </c>
      <c r="AW247" s="14">
        <f t="shared" si="527"/>
        <v>45</v>
      </c>
      <c r="AX247" s="14">
        <f t="shared" si="527"/>
        <v>45</v>
      </c>
      <c r="AY247" s="14">
        <f>INDEX(属性投放!$DH$6:$DH$85,(卡牌属性!AG247-2)*20+卡牌属性!AN247)</f>
        <v>784</v>
      </c>
      <c r="AZ247" s="14">
        <f t="shared" si="528"/>
        <v>784</v>
      </c>
      <c r="BA247" s="14">
        <f t="shared" si="528"/>
        <v>784</v>
      </c>
      <c r="BB247" s="14">
        <f t="shared" si="528"/>
        <v>784</v>
      </c>
      <c r="BC247" s="14">
        <f t="shared" si="528"/>
        <v>784</v>
      </c>
      <c r="BD247" s="14">
        <f>INDEX(属性投放!$DL$6:$DL$85,(卡牌属性!AG247-2)*20+卡牌属性!AN247)</f>
        <v>12</v>
      </c>
      <c r="BE247" s="14">
        <f t="shared" si="529"/>
        <v>12</v>
      </c>
      <c r="BF247" s="14">
        <f t="shared" si="529"/>
        <v>12</v>
      </c>
      <c r="BG247" s="14">
        <f t="shared" si="529"/>
        <v>12</v>
      </c>
      <c r="BH247" s="14">
        <f t="shared" si="529"/>
        <v>12</v>
      </c>
      <c r="BI247" s="14">
        <f>INDEX(属性投放!$DM$6:$DM$85,(卡牌属性!AG247-2)*20+卡牌属性!AN247)</f>
        <v>6</v>
      </c>
      <c r="BJ247" s="14">
        <f t="shared" si="530"/>
        <v>6</v>
      </c>
      <c r="BK247" s="14">
        <f t="shared" si="530"/>
        <v>6</v>
      </c>
      <c r="BL247" s="14">
        <f t="shared" si="530"/>
        <v>6</v>
      </c>
      <c r="BM247" s="14">
        <f t="shared" si="530"/>
        <v>6</v>
      </c>
      <c r="BN247" s="14">
        <f>INDEX(属性投放!$DN$6:$DN$85,(卡牌属性!AG247-2)*20+卡牌属性!AN247)</f>
        <v>70</v>
      </c>
      <c r="BO247" s="14">
        <f t="shared" si="531"/>
        <v>70</v>
      </c>
      <c r="BP247" s="14">
        <f t="shared" si="531"/>
        <v>70</v>
      </c>
      <c r="BQ247" s="14">
        <f t="shared" si="531"/>
        <v>70</v>
      </c>
      <c r="BR247" s="14">
        <f t="shared" si="531"/>
        <v>70</v>
      </c>
      <c r="BW247" s="13">
        <v>243</v>
      </c>
      <c r="BX247" s="13">
        <f t="shared" si="465"/>
        <v>13</v>
      </c>
      <c r="BY247" s="14">
        <f t="shared" si="466"/>
        <v>2</v>
      </c>
      <c r="BZ247" s="14">
        <f t="shared" si="475"/>
        <v>1102013</v>
      </c>
      <c r="CA247" s="14" t="str">
        <f t="shared" si="476"/>
        <v>塞伯罗斯3突</v>
      </c>
      <c r="CB247" s="25" t="s">
        <v>142</v>
      </c>
      <c r="CC247" s="14">
        <v>2</v>
      </c>
      <c r="CD247" s="14">
        <f t="shared" si="467"/>
        <v>3</v>
      </c>
      <c r="CE247" s="14" t="s">
        <v>21</v>
      </c>
      <c r="CF247" s="14">
        <f>INDEX(属性投放!$AZ$6:$AZ$85,(BY247-2)*20+CD247)</f>
        <v>290</v>
      </c>
      <c r="CG247" s="14" t="s">
        <v>22</v>
      </c>
      <c r="CH247" s="14">
        <f>INDEX(属性投放!$BA$6:$BA$85,(BY247-2)*20+CD247)</f>
        <v>98</v>
      </c>
      <c r="CI247" s="14" t="s">
        <v>510</v>
      </c>
      <c r="CJ247" s="14">
        <f>INDEX(属性投放!$BB$6:$BB$85,(BY247-2)*20+CD247)</f>
        <v>1440</v>
      </c>
      <c r="CK247" s="14" t="s">
        <v>21</v>
      </c>
      <c r="CL247" s="14">
        <f>INDEX(属性投放!$BC$6:$BC$85,(BY247-2)*20+CD247)</f>
        <v>6</v>
      </c>
      <c r="CM247" s="14" t="s">
        <v>22</v>
      </c>
      <c r="CN247" s="14">
        <f>INDEX(属性投放!$BD$6:$BD$85,(BY247-2)*20+CD247)</f>
        <v>3</v>
      </c>
      <c r="CO247" s="14" t="s">
        <v>510</v>
      </c>
      <c r="CP247" s="14">
        <f>INDEX(属性投放!$BE$6:$BE$85,(BY247-2)*20+CD247)</f>
        <v>36</v>
      </c>
      <c r="CS247" s="13">
        <v>243</v>
      </c>
      <c r="CT247" s="13">
        <f t="shared" si="477"/>
        <v>5</v>
      </c>
      <c r="CU247" s="13">
        <f t="shared" si="478"/>
        <v>35</v>
      </c>
      <c r="CV247" s="14">
        <f t="shared" si="479"/>
        <v>3</v>
      </c>
      <c r="CW247" s="14">
        <f t="shared" si="480"/>
        <v>1102005</v>
      </c>
      <c r="CX247" s="14" t="str">
        <f>INDEX($O$6:$O$50,CT247)&amp;"-"&amp;INDEX(属性投放!$AB$7:$AB$50,CZ247)&amp;"-魂火-"&amp;DB247</f>
        <v>李轩辕-焦热+2-魂火-2</v>
      </c>
      <c r="CY247" s="25" t="s">
        <v>142</v>
      </c>
      <c r="CZ247" s="14">
        <f>INDEX(属性投放!$AM$7:$AM$58,CU247)</f>
        <v>15</v>
      </c>
      <c r="DA247" s="14" t="s">
        <v>537</v>
      </c>
      <c r="DB247" s="14">
        <f>INDEX(属性投放!$AN$7:$AN$58,CU247)</f>
        <v>2</v>
      </c>
      <c r="DC247" s="14">
        <f t="shared" si="468"/>
        <v>35</v>
      </c>
      <c r="DD247" s="14">
        <f>INDEX(属性投放!$AO$7:$AO$58,DC247)</f>
        <v>105</v>
      </c>
      <c r="DE247" s="14" t="s">
        <v>538</v>
      </c>
      <c r="DF247" s="14">
        <f>INDEX(属性投放!$BK$6:$BK$85,(CV247-2)*20+CZ247)</f>
        <v>400</v>
      </c>
      <c r="DG247" s="14">
        <f>SUMIFS(DF$5:DF247,$CT$5:$CT247,"="&amp;$CT247)</f>
        <v>4870</v>
      </c>
      <c r="DH247" s="14" t="s">
        <v>539</v>
      </c>
      <c r="DI247" s="14">
        <f>INDEX(属性投放!$BL$6:$BL$85,(CV247-2)*20+CZ247)</f>
        <v>200</v>
      </c>
      <c r="DJ247" s="14">
        <f>SUMIFS(DI$5:DI247,$CT$5:$CT247,"="&amp;$CT247)</f>
        <v>2438</v>
      </c>
      <c r="DK247" s="14" t="s">
        <v>540</v>
      </c>
      <c r="DL247" s="14">
        <f>INDEX(属性投放!$BM$6:$BM$85,(CV247-2)*20+CZ247)</f>
        <v>4000</v>
      </c>
      <c r="DM247" s="14">
        <f>SUMIFS(DL$5:DL247,$CT$5:$CT247,"="&amp;$CT247)</f>
        <v>44740</v>
      </c>
      <c r="DR247" s="14">
        <f t="shared" si="469"/>
        <v>1102013</v>
      </c>
      <c r="DS247" s="14" t="str">
        <f t="shared" si="470"/>
        <v>塞伯罗斯3突</v>
      </c>
      <c r="DT247" s="14">
        <f t="shared" si="481"/>
        <v>2</v>
      </c>
      <c r="DU247" s="14">
        <f t="shared" si="482"/>
        <v>3</v>
      </c>
      <c r="DV247" s="14">
        <f t="shared" si="483"/>
        <v>5</v>
      </c>
      <c r="DW247" s="14">
        <f t="shared" si="471"/>
        <v>2</v>
      </c>
      <c r="DX247" s="14">
        <f t="shared" si="472"/>
        <v>3</v>
      </c>
      <c r="DY247" s="14">
        <f t="shared" si="473"/>
        <v>3</v>
      </c>
      <c r="DZ247" s="14">
        <f>INDEX(属性投放!$AX$6:$AX$85,(卡牌属性!DW247-2)*20+卡牌属性!DX247)</f>
        <v>10</v>
      </c>
      <c r="EA247" s="14">
        <f>INDEX(属性投放!BQ$6:BQ$85,卡牌属性!$DY247)</f>
        <v>50</v>
      </c>
      <c r="EB247" s="14">
        <f>INDEX(属性投放!BR$6:BR$85,卡牌属性!$DY247)</f>
        <v>25</v>
      </c>
      <c r="EC247" s="14">
        <f>INDEX(属性投放!BS$6:BS$85,卡牌属性!$DY247)</f>
        <v>300</v>
      </c>
      <c r="ED247" s="14">
        <f t="shared" si="532"/>
        <v>196</v>
      </c>
      <c r="EE247" s="14">
        <f t="shared" si="533"/>
        <v>235</v>
      </c>
      <c r="EF247" s="14">
        <f t="shared" si="534"/>
        <v>284</v>
      </c>
      <c r="EG247" s="14">
        <f t="shared" si="535"/>
        <v>284</v>
      </c>
      <c r="EH247" s="14">
        <f t="shared" si="536"/>
        <v>337</v>
      </c>
      <c r="EI247" s="14">
        <f t="shared" si="537"/>
        <v>80</v>
      </c>
      <c r="EJ247" s="14">
        <f t="shared" si="538"/>
        <v>100</v>
      </c>
      <c r="EK247" s="14">
        <f t="shared" si="539"/>
        <v>100</v>
      </c>
      <c r="EL247" s="14">
        <f t="shared" si="540"/>
        <v>124</v>
      </c>
      <c r="EM247" s="14">
        <f t="shared" si="541"/>
        <v>148</v>
      </c>
      <c r="EN247" s="14">
        <f t="shared" si="542"/>
        <v>1622</v>
      </c>
      <c r="EO247" s="14">
        <f t="shared" si="543"/>
        <v>1940</v>
      </c>
      <c r="EP247" s="14">
        <f t="shared" si="544"/>
        <v>1940</v>
      </c>
      <c r="EQ247" s="14">
        <f t="shared" si="545"/>
        <v>2318</v>
      </c>
      <c r="ER247" s="14">
        <f t="shared" si="546"/>
        <v>2662</v>
      </c>
      <c r="ES247" s="14">
        <f>INDEX(属性偏向!$S$4:$S$243,(卡牌属性!$DT247-1+ES$3)*20+卡牌属性!$DX247)</f>
        <v>5</v>
      </c>
      <c r="ET247" s="14">
        <f>INDEX(属性偏向!$S$4:$S$243,(卡牌属性!$DT247-1+ET$3)*20+卡牌属性!$DX247)</f>
        <v>6</v>
      </c>
      <c r="EU247" s="14">
        <f>INDEX(属性偏向!$S$4:$S$243,(卡牌属性!$DT247-1+EU$3)*20+卡牌属性!$DX247)</f>
        <v>8</v>
      </c>
      <c r="EV247" s="14">
        <f>INDEX(属性偏向!$S$4:$S$243,(卡牌属性!$DT247-1+EV$3)*20+卡牌属性!$DX247)</f>
        <v>8</v>
      </c>
      <c r="EW247" s="14">
        <f>INDEX(属性偏向!$S$4:$S$243,(卡牌属性!$DT247-1+EW$3)*20+卡牌属性!$DX247)</f>
        <v>10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72</v>
      </c>
      <c r="FE247" s="14">
        <f>INDEX(属性偏向!$U$4:$U$243,(卡牌属性!$DV247-1+FE$3)*20+卡牌属性!$DX247)</f>
        <v>72</v>
      </c>
      <c r="FF247" s="14">
        <f>INDEX(属性偏向!$U$4:$U$243,(卡牌属性!$DV247-1+FF$3)*20+卡牌属性!$DX247)</f>
        <v>90</v>
      </c>
      <c r="FG247" s="14">
        <f>INDEX(属性偏向!$U$4:$U$243,(卡牌属性!$DV247-1+FG$3)*20+卡牌属性!$DX247)</f>
        <v>102</v>
      </c>
      <c r="FH247" s="14">
        <f>INDEX(属性投放!$BQ$6:$BQ$85,(卡牌属性!$DW247-2)*20+卡牌属性!$DX247)</f>
        <v>50</v>
      </c>
      <c r="FI247" s="14">
        <f>INDEX(属性投放!$BQ$6:$BQ$85,(卡牌属性!$DW247-2)*20+卡牌属性!$DX247)</f>
        <v>50</v>
      </c>
      <c r="FJ247" s="14">
        <f>INDEX(属性投放!$BQ$6:$BQ$85,(卡牌属性!$DW247-2)*20+卡牌属性!$DX247)</f>
        <v>50</v>
      </c>
      <c r="FK247" s="14">
        <f>INDEX(属性投放!$BQ$6:$BQ$85,(卡牌属性!$DW247-2)*20+卡牌属性!$DX247)</f>
        <v>50</v>
      </c>
      <c r="FL247" s="14">
        <f>INDEX(属性投放!$BQ$6:$BQ$85,(卡牌属性!$DW247-2)*20+卡牌属性!$DX247)</f>
        <v>50</v>
      </c>
      <c r="FM247" s="14">
        <f>INDEX(属性投放!$BR$6:$BR$85,(卡牌属性!$DW247-2)*20+卡牌属性!$DX247)</f>
        <v>25</v>
      </c>
      <c r="FN247" s="14">
        <f>INDEX(属性投放!$BR$6:$BR$85,(卡牌属性!$DW247-2)*20+卡牌属性!$DX247)</f>
        <v>25</v>
      </c>
      <c r="FO247" s="14">
        <f>INDEX(属性投放!$BR$6:$BR$85,(卡牌属性!$DW247-2)*20+卡牌属性!$DX247)</f>
        <v>25</v>
      </c>
      <c r="FP247" s="14">
        <f>INDEX(属性投放!$BR$6:$BR$85,(卡牌属性!$DW247-2)*20+卡牌属性!$DX247)</f>
        <v>25</v>
      </c>
      <c r="FQ247" s="14">
        <f>INDEX(属性投放!$BR$6:$BR$85,(卡牌属性!$DW247-2)*20+卡牌属性!$DX247)</f>
        <v>25</v>
      </c>
      <c r="FR247" s="14">
        <f>INDEX(属性投放!$BS$6:$BS$85,(卡牌属性!$DW247-2)*20+卡牌属性!$DX247)</f>
        <v>300</v>
      </c>
      <c r="FS247" s="14">
        <f>INDEX(属性投放!$BS$6:$BS$85,(卡牌属性!$DW247-2)*20+卡牌属性!$DX247)</f>
        <v>300</v>
      </c>
      <c r="FT247" s="14">
        <f>INDEX(属性投放!$BS$6:$BS$85,(卡牌属性!$DW247-2)*20+卡牌属性!$DX247)</f>
        <v>300</v>
      </c>
      <c r="FU247" s="14">
        <f>INDEX(属性投放!$BS$6:$BS$85,(卡牌属性!$DW247-2)*20+卡牌属性!$DX247)</f>
        <v>300</v>
      </c>
      <c r="FV247" s="14">
        <f>INDEX(属性投放!$BS$6:$BS$85,(卡牌属性!$DW247-2)*20+卡牌属性!$DX247)</f>
        <v>300</v>
      </c>
    </row>
    <row r="248" spans="31:178" ht="16.5" x14ac:dyDescent="0.2">
      <c r="AE248" s="13">
        <v>244</v>
      </c>
      <c r="AF248" s="13">
        <f t="shared" si="474"/>
        <v>13</v>
      </c>
      <c r="AG248" s="13">
        <f t="shared" si="461"/>
        <v>2</v>
      </c>
      <c r="AH248" s="13"/>
      <c r="AI248" s="13"/>
      <c r="AJ248" s="14">
        <f t="shared" si="462"/>
        <v>1101013</v>
      </c>
      <c r="AK248" s="14" t="str">
        <f t="shared" si="463"/>
        <v>吉拉4突</v>
      </c>
      <c r="AL248" s="25" t="s">
        <v>142</v>
      </c>
      <c r="AM248" s="14">
        <v>1</v>
      </c>
      <c r="AN248" s="14">
        <f t="shared" si="464"/>
        <v>4</v>
      </c>
      <c r="AO248" s="14">
        <f>INDEX(属性投放!$DF$6:$DF$85,(卡牌属性!AG248-2)*20+卡牌属性!AN248)</f>
        <v>338</v>
      </c>
      <c r="AP248" s="14">
        <f t="shared" si="526"/>
        <v>338</v>
      </c>
      <c r="AQ248" s="14">
        <f t="shared" si="526"/>
        <v>338</v>
      </c>
      <c r="AR248" s="14">
        <f t="shared" si="526"/>
        <v>338</v>
      </c>
      <c r="AS248" s="14">
        <f t="shared" si="526"/>
        <v>338</v>
      </c>
      <c r="AT248" s="14">
        <f>INDEX(属性投放!$DG$6:$DG$85,(卡牌属性!AG248-2)*20+卡牌属性!AN248)</f>
        <v>120</v>
      </c>
      <c r="AU248" s="14">
        <f t="shared" si="527"/>
        <v>120</v>
      </c>
      <c r="AV248" s="14">
        <f t="shared" si="527"/>
        <v>120</v>
      </c>
      <c r="AW248" s="14">
        <f t="shared" si="527"/>
        <v>120</v>
      </c>
      <c r="AX248" s="14">
        <f t="shared" si="527"/>
        <v>120</v>
      </c>
      <c r="AY248" s="14">
        <f>INDEX(属性投放!$DH$6:$DH$85,(卡牌属性!AG248-2)*20+卡牌属性!AN248)</f>
        <v>1658</v>
      </c>
      <c r="AZ248" s="14">
        <f t="shared" si="528"/>
        <v>1658</v>
      </c>
      <c r="BA248" s="14">
        <f t="shared" si="528"/>
        <v>1658</v>
      </c>
      <c r="BB248" s="14">
        <f t="shared" si="528"/>
        <v>1658</v>
      </c>
      <c r="BC248" s="14">
        <f t="shared" si="528"/>
        <v>1658</v>
      </c>
      <c r="BD248" s="14">
        <f>INDEX(属性投放!$DL$6:$DL$85,(卡牌属性!AG248-2)*20+卡牌属性!AN248)</f>
        <v>22</v>
      </c>
      <c r="BE248" s="14">
        <f t="shared" si="529"/>
        <v>22</v>
      </c>
      <c r="BF248" s="14">
        <f t="shared" si="529"/>
        <v>22</v>
      </c>
      <c r="BG248" s="14">
        <f t="shared" si="529"/>
        <v>22</v>
      </c>
      <c r="BH248" s="14">
        <f t="shared" si="529"/>
        <v>22</v>
      </c>
      <c r="BI248" s="14">
        <f>INDEX(属性投放!$DM$6:$DM$85,(卡牌属性!AG248-2)*20+卡牌属性!AN248)</f>
        <v>11</v>
      </c>
      <c r="BJ248" s="14">
        <f t="shared" si="530"/>
        <v>11</v>
      </c>
      <c r="BK248" s="14">
        <f t="shared" si="530"/>
        <v>11</v>
      </c>
      <c r="BL248" s="14">
        <f t="shared" si="530"/>
        <v>11</v>
      </c>
      <c r="BM248" s="14">
        <f t="shared" si="530"/>
        <v>11</v>
      </c>
      <c r="BN248" s="14">
        <f>INDEX(属性投放!$DN$6:$DN$85,(卡牌属性!AG248-2)*20+卡牌属性!AN248)</f>
        <v>153</v>
      </c>
      <c r="BO248" s="14">
        <f t="shared" si="531"/>
        <v>153</v>
      </c>
      <c r="BP248" s="14">
        <f t="shared" si="531"/>
        <v>153</v>
      </c>
      <c r="BQ248" s="14">
        <f t="shared" si="531"/>
        <v>153</v>
      </c>
      <c r="BR248" s="14">
        <f t="shared" si="531"/>
        <v>153</v>
      </c>
      <c r="BW248" s="13">
        <v>244</v>
      </c>
      <c r="BX248" s="13">
        <f t="shared" si="465"/>
        <v>13</v>
      </c>
      <c r="BY248" s="14">
        <f t="shared" si="466"/>
        <v>2</v>
      </c>
      <c r="BZ248" s="14">
        <f t="shared" si="475"/>
        <v>1102013</v>
      </c>
      <c r="CA248" s="14" t="str">
        <f t="shared" si="476"/>
        <v>塞伯罗斯4突</v>
      </c>
      <c r="CB248" s="25" t="s">
        <v>142</v>
      </c>
      <c r="CC248" s="14">
        <v>2</v>
      </c>
      <c r="CD248" s="14">
        <f t="shared" si="467"/>
        <v>4</v>
      </c>
      <c r="CE248" s="14" t="s">
        <v>21</v>
      </c>
      <c r="CF248" s="14">
        <f>INDEX(属性投放!$AZ$6:$AZ$85,(BY248-2)*20+CD248)</f>
        <v>450</v>
      </c>
      <c r="CG248" s="14" t="s">
        <v>22</v>
      </c>
      <c r="CH248" s="14">
        <f>INDEX(属性投放!$BA$6:$BA$85,(BY248-2)*20+CD248)</f>
        <v>179</v>
      </c>
      <c r="CI248" s="14" t="s">
        <v>510</v>
      </c>
      <c r="CJ248" s="14">
        <f>INDEX(属性投放!$BB$6:$BB$85,(BY248-2)*20+CD248)</f>
        <v>2400</v>
      </c>
      <c r="CK248" s="14" t="s">
        <v>21</v>
      </c>
      <c r="CL248" s="14">
        <f>INDEX(属性投放!$BC$6:$BC$85,(BY248-2)*20+CD248)</f>
        <v>8</v>
      </c>
      <c r="CM248" s="14" t="s">
        <v>22</v>
      </c>
      <c r="CN248" s="14">
        <f>INDEX(属性投放!$BD$6:$BD$85,(BY248-2)*20+CD248)</f>
        <v>4</v>
      </c>
      <c r="CO248" s="14" t="s">
        <v>510</v>
      </c>
      <c r="CP248" s="14">
        <f>INDEX(属性投放!$BE$6:$BE$85,(BY248-2)*20+CD248)</f>
        <v>56</v>
      </c>
      <c r="CS248" s="13">
        <v>244</v>
      </c>
      <c r="CT248" s="13">
        <f t="shared" si="477"/>
        <v>5</v>
      </c>
      <c r="CU248" s="13">
        <f t="shared" si="478"/>
        <v>36</v>
      </c>
      <c r="CV248" s="14">
        <f t="shared" si="479"/>
        <v>3</v>
      </c>
      <c r="CW248" s="14">
        <f t="shared" si="480"/>
        <v>1102005</v>
      </c>
      <c r="CX248" s="14" t="str">
        <f>INDEX($O$6:$O$50,CT248)&amp;"-"&amp;INDEX(属性投放!$AB$7:$AB$50,CZ248)&amp;"-魂火-"&amp;DB248</f>
        <v>李轩辕-焦热+2-魂火-3</v>
      </c>
      <c r="CY248" s="25" t="s">
        <v>142</v>
      </c>
      <c r="CZ248" s="14">
        <f>INDEX(属性投放!$AM$7:$AM$58,CU248)</f>
        <v>15</v>
      </c>
      <c r="DA248" s="14" t="s">
        <v>537</v>
      </c>
      <c r="DB248" s="14">
        <f>INDEX(属性投放!$AN$7:$AN$58,CU248)</f>
        <v>3</v>
      </c>
      <c r="DC248" s="14">
        <f t="shared" si="468"/>
        <v>36</v>
      </c>
      <c r="DD248" s="14">
        <f>INDEX(属性投放!$AO$7:$AO$58,DC248)</f>
        <v>108</v>
      </c>
      <c r="DE248" s="14" t="s">
        <v>538</v>
      </c>
      <c r="DF248" s="14">
        <f>INDEX(属性投放!$BK$6:$BK$85,(CV248-2)*20+CZ248)</f>
        <v>400</v>
      </c>
      <c r="DG248" s="14">
        <f>SUMIFS(DF$5:DF248,$CT$5:$CT248,"="&amp;$CT248)</f>
        <v>5270</v>
      </c>
      <c r="DH248" s="14" t="s">
        <v>539</v>
      </c>
      <c r="DI248" s="14">
        <f>INDEX(属性投放!$BL$6:$BL$85,(CV248-2)*20+CZ248)</f>
        <v>200</v>
      </c>
      <c r="DJ248" s="14">
        <f>SUMIFS(DI$5:DI248,$CT$5:$CT248,"="&amp;$CT248)</f>
        <v>2638</v>
      </c>
      <c r="DK248" s="14" t="s">
        <v>540</v>
      </c>
      <c r="DL248" s="14">
        <f>INDEX(属性投放!$BM$6:$BM$85,(CV248-2)*20+CZ248)</f>
        <v>4000</v>
      </c>
      <c r="DM248" s="14">
        <f>SUMIFS(DL$5:DL248,$CT$5:$CT248,"="&amp;$CT248)</f>
        <v>48740</v>
      </c>
      <c r="DR248" s="14">
        <f t="shared" si="469"/>
        <v>1102013</v>
      </c>
      <c r="DS248" s="14" t="str">
        <f t="shared" si="470"/>
        <v>塞伯罗斯4突</v>
      </c>
      <c r="DT248" s="14">
        <f t="shared" si="481"/>
        <v>2</v>
      </c>
      <c r="DU248" s="14">
        <f t="shared" si="482"/>
        <v>3</v>
      </c>
      <c r="DV248" s="14">
        <f t="shared" si="483"/>
        <v>5</v>
      </c>
      <c r="DW248" s="14">
        <f t="shared" si="471"/>
        <v>2</v>
      </c>
      <c r="DX248" s="14">
        <f t="shared" si="472"/>
        <v>4</v>
      </c>
      <c r="DY248" s="14">
        <f t="shared" si="473"/>
        <v>4</v>
      </c>
      <c r="DZ248" s="14">
        <f>INDEX(属性投放!$AX$6:$AX$85,(卡牌属性!DW248-2)*20+卡牌属性!DX248)</f>
        <v>10</v>
      </c>
      <c r="EA248" s="14">
        <f>INDEX(属性投放!BQ$6:BQ$85,卡牌属性!$DY248)</f>
        <v>60</v>
      </c>
      <c r="EB248" s="14">
        <f>INDEX(属性投放!BR$6:BR$85,卡牌属性!$DY248)</f>
        <v>30</v>
      </c>
      <c r="EC248" s="14">
        <f>INDEX(属性投放!BS$6:BS$85,卡牌属性!$DY248)</f>
        <v>420</v>
      </c>
      <c r="ED248" s="14">
        <f t="shared" si="532"/>
        <v>296</v>
      </c>
      <c r="EE248" s="14">
        <f t="shared" si="533"/>
        <v>345</v>
      </c>
      <c r="EF248" s="14">
        <f t="shared" si="534"/>
        <v>414</v>
      </c>
      <c r="EG248" s="14">
        <f t="shared" si="535"/>
        <v>414</v>
      </c>
      <c r="EH248" s="14">
        <f t="shared" si="536"/>
        <v>487</v>
      </c>
      <c r="EI248" s="14">
        <f t="shared" si="537"/>
        <v>135</v>
      </c>
      <c r="EJ248" s="14">
        <f t="shared" si="538"/>
        <v>165</v>
      </c>
      <c r="EK248" s="14">
        <f t="shared" si="539"/>
        <v>165</v>
      </c>
      <c r="EL248" s="14">
        <f t="shared" si="540"/>
        <v>199</v>
      </c>
      <c r="EM248" s="14">
        <f t="shared" si="541"/>
        <v>233</v>
      </c>
      <c r="EN248" s="14">
        <f t="shared" si="542"/>
        <v>2522</v>
      </c>
      <c r="EO248" s="14">
        <f t="shared" si="543"/>
        <v>2960</v>
      </c>
      <c r="EP248" s="14">
        <f t="shared" si="544"/>
        <v>2960</v>
      </c>
      <c r="EQ248" s="14">
        <f t="shared" si="545"/>
        <v>3518</v>
      </c>
      <c r="ER248" s="14">
        <f t="shared" si="546"/>
        <v>3982</v>
      </c>
      <c r="ES248" s="14">
        <f>INDEX(属性偏向!$S$4:$S$243,(卡牌属性!$DT248-1+ES$3)*20+卡牌属性!$DX248)</f>
        <v>6</v>
      </c>
      <c r="ET248" s="14">
        <f>INDEX(属性偏向!$S$4:$S$243,(卡牌属性!$DT248-1+ET$3)*20+卡牌属性!$DX248)</f>
        <v>8</v>
      </c>
      <c r="EU248" s="14">
        <f>INDEX(属性偏向!$S$4:$S$243,(卡牌属性!$DT248-1+EU$3)*20+卡牌属性!$DX248)</f>
        <v>10</v>
      </c>
      <c r="EV248" s="14">
        <f>INDEX(属性偏向!$S$4:$S$243,(卡牌属性!$DT248-1+EV$3)*20+卡牌属性!$DX248)</f>
        <v>10</v>
      </c>
      <c r="EW248" s="14">
        <f>INDEX(属性偏向!$S$4:$S$243,(卡牌属性!$DT248-1+EW$3)*20+卡牌属性!$DX248)</f>
        <v>12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84</v>
      </c>
      <c r="FD248" s="14">
        <f>INDEX(属性偏向!$U$4:$U$243,(卡牌属性!$DV248-1+FD$3)*20+卡牌属性!$DX248)</f>
        <v>91</v>
      </c>
      <c r="FE248" s="14">
        <f>INDEX(属性偏向!$U$4:$U$243,(卡牌属性!$DV248-1+FE$3)*20+卡牌属性!$DX248)</f>
        <v>91</v>
      </c>
      <c r="FF248" s="14">
        <f>INDEX(属性偏向!$U$4:$U$243,(卡牌属性!$DV248-1+FF$3)*20+卡牌属性!$DX248)</f>
        <v>140</v>
      </c>
      <c r="FG248" s="14">
        <f>INDEX(属性偏向!$U$4:$U$243,(卡牌属性!$DV248-1+FG$3)*20+卡牌属性!$DX248)</f>
        <v>154</v>
      </c>
      <c r="FH248" s="14">
        <f>INDEX(属性投放!$BQ$6:$BQ$85,(卡牌属性!$DW248-2)*20+卡牌属性!$DX248)</f>
        <v>60</v>
      </c>
      <c r="FI248" s="14">
        <f>INDEX(属性投放!$BQ$6:$BQ$85,(卡牌属性!$DW248-2)*20+卡牌属性!$DX248)</f>
        <v>60</v>
      </c>
      <c r="FJ248" s="14">
        <f>INDEX(属性投放!$BQ$6:$BQ$85,(卡牌属性!$DW248-2)*20+卡牌属性!$DX248)</f>
        <v>60</v>
      </c>
      <c r="FK248" s="14">
        <f>INDEX(属性投放!$BQ$6:$BQ$85,(卡牌属性!$DW248-2)*20+卡牌属性!$DX248)</f>
        <v>60</v>
      </c>
      <c r="FL248" s="14">
        <f>INDEX(属性投放!$BQ$6:$BQ$85,(卡牌属性!$DW248-2)*20+卡牌属性!$DX248)</f>
        <v>60</v>
      </c>
      <c r="FM248" s="14">
        <f>INDEX(属性投放!$BR$6:$BR$85,(卡牌属性!$DW248-2)*20+卡牌属性!$DX248)</f>
        <v>30</v>
      </c>
      <c r="FN248" s="14">
        <f>INDEX(属性投放!$BR$6:$BR$85,(卡牌属性!$DW248-2)*20+卡牌属性!$DX248)</f>
        <v>30</v>
      </c>
      <c r="FO248" s="14">
        <f>INDEX(属性投放!$BR$6:$BR$85,(卡牌属性!$DW248-2)*20+卡牌属性!$DX248)</f>
        <v>30</v>
      </c>
      <c r="FP248" s="14">
        <f>INDEX(属性投放!$BR$6:$BR$85,(卡牌属性!$DW248-2)*20+卡牌属性!$DX248)</f>
        <v>30</v>
      </c>
      <c r="FQ248" s="14">
        <f>INDEX(属性投放!$BR$6:$BR$85,(卡牌属性!$DW248-2)*20+卡牌属性!$DX248)</f>
        <v>30</v>
      </c>
      <c r="FR248" s="14">
        <f>INDEX(属性投放!$BS$6:$BS$85,(卡牌属性!$DW248-2)*20+卡牌属性!$DX248)</f>
        <v>420</v>
      </c>
      <c r="FS248" s="14">
        <f>INDEX(属性投放!$BS$6:$BS$85,(卡牌属性!$DW248-2)*20+卡牌属性!$DX248)</f>
        <v>420</v>
      </c>
      <c r="FT248" s="14">
        <f>INDEX(属性投放!$BS$6:$BS$85,(卡牌属性!$DW248-2)*20+卡牌属性!$DX248)</f>
        <v>420</v>
      </c>
      <c r="FU248" s="14">
        <f>INDEX(属性投放!$BS$6:$BS$85,(卡牌属性!$DW248-2)*20+卡牌属性!$DX248)</f>
        <v>420</v>
      </c>
      <c r="FV248" s="14">
        <f>INDEX(属性投放!$BS$6:$BS$85,(卡牌属性!$DW248-2)*20+卡牌属性!$DX248)</f>
        <v>420</v>
      </c>
    </row>
    <row r="249" spans="31:178" ht="16.5" x14ac:dyDescent="0.2">
      <c r="AE249" s="13">
        <v>245</v>
      </c>
      <c r="AF249" s="13">
        <f t="shared" si="474"/>
        <v>13</v>
      </c>
      <c r="AG249" s="13">
        <f t="shared" si="461"/>
        <v>2</v>
      </c>
      <c r="AH249" s="13"/>
      <c r="AI249" s="13"/>
      <c r="AJ249" s="14">
        <f t="shared" si="462"/>
        <v>1101013</v>
      </c>
      <c r="AK249" s="14" t="str">
        <f t="shared" si="463"/>
        <v>吉拉5突</v>
      </c>
      <c r="AL249" s="25" t="s">
        <v>142</v>
      </c>
      <c r="AM249" s="14">
        <v>1</v>
      </c>
      <c r="AN249" s="14">
        <f t="shared" si="464"/>
        <v>5</v>
      </c>
      <c r="AO249" s="14">
        <f>INDEX(属性投放!$DF$6:$DF$85,(卡牌属性!AG249-2)*20+卡牌属性!AN249)</f>
        <v>401</v>
      </c>
      <c r="AP249" s="14">
        <f t="shared" si="526"/>
        <v>401</v>
      </c>
      <c r="AQ249" s="14">
        <f t="shared" si="526"/>
        <v>401</v>
      </c>
      <c r="AR249" s="14">
        <f t="shared" si="526"/>
        <v>401</v>
      </c>
      <c r="AS249" s="14">
        <f t="shared" si="526"/>
        <v>401</v>
      </c>
      <c r="AT249" s="14">
        <f>INDEX(属性投放!$DG$6:$DG$85,(卡牌属性!AG249-2)*20+卡牌属性!AN249)</f>
        <v>151</v>
      </c>
      <c r="AU249" s="14">
        <f t="shared" si="527"/>
        <v>151</v>
      </c>
      <c r="AV249" s="14">
        <f t="shared" si="527"/>
        <v>151</v>
      </c>
      <c r="AW249" s="14">
        <f t="shared" si="527"/>
        <v>151</v>
      </c>
      <c r="AX249" s="14">
        <f t="shared" si="527"/>
        <v>151</v>
      </c>
      <c r="AY249" s="14">
        <f>INDEX(属性投放!$DH$6:$DH$85,(卡牌属性!AG249-2)*20+卡牌属性!AN249)</f>
        <v>2096</v>
      </c>
      <c r="AZ249" s="14">
        <f t="shared" si="528"/>
        <v>2096</v>
      </c>
      <c r="BA249" s="14">
        <f t="shared" si="528"/>
        <v>2096</v>
      </c>
      <c r="BB249" s="14">
        <f t="shared" si="528"/>
        <v>2096</v>
      </c>
      <c r="BC249" s="14">
        <f t="shared" si="528"/>
        <v>2096</v>
      </c>
      <c r="BD249" s="14">
        <f>INDEX(属性投放!$DL$6:$DL$85,(卡牌属性!AG249-2)*20+卡牌属性!AN249)</f>
        <v>22</v>
      </c>
      <c r="BE249" s="14">
        <f t="shared" si="529"/>
        <v>22</v>
      </c>
      <c r="BF249" s="14">
        <f t="shared" si="529"/>
        <v>22</v>
      </c>
      <c r="BG249" s="14">
        <f t="shared" si="529"/>
        <v>22</v>
      </c>
      <c r="BH249" s="14">
        <f t="shared" si="529"/>
        <v>22</v>
      </c>
      <c r="BI249" s="14">
        <f>INDEX(属性投放!$DM$6:$DM$85,(卡牌属性!AG249-2)*20+卡牌属性!AN249)</f>
        <v>11</v>
      </c>
      <c r="BJ249" s="14">
        <f t="shared" si="530"/>
        <v>11</v>
      </c>
      <c r="BK249" s="14">
        <f t="shared" si="530"/>
        <v>11</v>
      </c>
      <c r="BL249" s="14">
        <f t="shared" si="530"/>
        <v>11</v>
      </c>
      <c r="BM249" s="14">
        <f t="shared" si="530"/>
        <v>11</v>
      </c>
      <c r="BN249" s="14">
        <f>INDEX(属性投放!$DN$6:$DN$85,(卡牌属性!AG249-2)*20+卡牌属性!AN249)</f>
        <v>153</v>
      </c>
      <c r="BO249" s="14">
        <f t="shared" si="531"/>
        <v>153</v>
      </c>
      <c r="BP249" s="14">
        <f t="shared" si="531"/>
        <v>153</v>
      </c>
      <c r="BQ249" s="14">
        <f t="shared" si="531"/>
        <v>153</v>
      </c>
      <c r="BR249" s="14">
        <f t="shared" si="531"/>
        <v>153</v>
      </c>
      <c r="BW249" s="13">
        <v>245</v>
      </c>
      <c r="BX249" s="13">
        <f t="shared" si="465"/>
        <v>13</v>
      </c>
      <c r="BY249" s="14">
        <f t="shared" si="466"/>
        <v>2</v>
      </c>
      <c r="BZ249" s="14">
        <f t="shared" si="475"/>
        <v>1102013</v>
      </c>
      <c r="CA249" s="14" t="str">
        <f t="shared" si="476"/>
        <v>塞伯罗斯5突</v>
      </c>
      <c r="CB249" s="25" t="s">
        <v>142</v>
      </c>
      <c r="CC249" s="14">
        <v>2</v>
      </c>
      <c r="CD249" s="14">
        <f t="shared" si="467"/>
        <v>5</v>
      </c>
      <c r="CE249" s="14" t="s">
        <v>21</v>
      </c>
      <c r="CF249" s="14">
        <f>INDEX(属性投放!$AZ$6:$AZ$85,(BY249-2)*20+CD249)</f>
        <v>650</v>
      </c>
      <c r="CG249" s="14" t="s">
        <v>22</v>
      </c>
      <c r="CH249" s="14">
        <f>INDEX(属性投放!$BA$6:$BA$85,(BY249-2)*20+CD249)</f>
        <v>279</v>
      </c>
      <c r="CI249" s="14" t="s">
        <v>510</v>
      </c>
      <c r="CJ249" s="14">
        <f>INDEX(属性投放!$BB$6:$BB$85,(BY249-2)*20+CD249)</f>
        <v>3800</v>
      </c>
      <c r="CK249" s="14" t="s">
        <v>21</v>
      </c>
      <c r="CL249" s="14">
        <f>INDEX(属性投放!$BC$6:$BC$85,(BY249-2)*20+CD249)</f>
        <v>8</v>
      </c>
      <c r="CM249" s="14" t="s">
        <v>22</v>
      </c>
      <c r="CN249" s="14">
        <f>INDEX(属性投放!$BD$6:$BD$85,(BY249-2)*20+CD249)</f>
        <v>4</v>
      </c>
      <c r="CO249" s="14" t="s">
        <v>510</v>
      </c>
      <c r="CP249" s="14">
        <f>INDEX(属性投放!$BE$6:$BE$85,(BY249-2)*20+CD249)</f>
        <v>56</v>
      </c>
      <c r="CS249" s="13">
        <v>245</v>
      </c>
      <c r="CT249" s="13">
        <f t="shared" si="477"/>
        <v>5</v>
      </c>
      <c r="CU249" s="13">
        <f t="shared" si="478"/>
        <v>37</v>
      </c>
      <c r="CV249" s="14">
        <f t="shared" si="479"/>
        <v>3</v>
      </c>
      <c r="CW249" s="14">
        <f t="shared" si="480"/>
        <v>1102005</v>
      </c>
      <c r="CX249" s="14" t="str">
        <f>INDEX($O$6:$O$50,CT249)&amp;"-"&amp;INDEX(属性投放!$AB$7:$AB$50,CZ249)&amp;"-魂火-"&amp;DB249</f>
        <v>李轩辕-大焦热-魂火-1</v>
      </c>
      <c r="CY249" s="25" t="s">
        <v>142</v>
      </c>
      <c r="CZ249" s="14">
        <f>INDEX(属性投放!$AM$7:$AM$58,CU249)</f>
        <v>16</v>
      </c>
      <c r="DA249" s="14" t="s">
        <v>537</v>
      </c>
      <c r="DB249" s="14">
        <f>INDEX(属性投放!$AN$7:$AN$58,CU249)</f>
        <v>1</v>
      </c>
      <c r="DC249" s="14">
        <f t="shared" si="468"/>
        <v>37</v>
      </c>
      <c r="DD249" s="14">
        <f>INDEX(属性投放!$AO$7:$AO$58,DC249)</f>
        <v>110</v>
      </c>
      <c r="DE249" s="14" t="s">
        <v>538</v>
      </c>
      <c r="DF249" s="14">
        <f>INDEX(属性投放!$BK$6:$BK$85,(CV249-2)*20+CZ249)</f>
        <v>500</v>
      </c>
      <c r="DG249" s="14">
        <f>SUMIFS(DF$5:DF249,$CT$5:$CT249,"="&amp;$CT249)</f>
        <v>5770</v>
      </c>
      <c r="DH249" s="14" t="s">
        <v>539</v>
      </c>
      <c r="DI249" s="14">
        <f>INDEX(属性投放!$BL$6:$BL$85,(CV249-2)*20+CZ249)</f>
        <v>250</v>
      </c>
      <c r="DJ249" s="14">
        <f>SUMIFS(DI$5:DI249,$CT$5:$CT249,"="&amp;$CT249)</f>
        <v>2888</v>
      </c>
      <c r="DK249" s="14" t="s">
        <v>540</v>
      </c>
      <c r="DL249" s="14">
        <f>INDEX(属性投放!$BM$6:$BM$85,(CV249-2)*20+CZ249)</f>
        <v>5000</v>
      </c>
      <c r="DM249" s="14">
        <f>SUMIFS(DL$5:DL249,$CT$5:$CT249,"="&amp;$CT249)</f>
        <v>53740</v>
      </c>
      <c r="DR249" s="14">
        <f t="shared" si="469"/>
        <v>1102013</v>
      </c>
      <c r="DS249" s="14" t="str">
        <f t="shared" si="470"/>
        <v>塞伯罗斯5突</v>
      </c>
      <c r="DT249" s="14">
        <f t="shared" si="481"/>
        <v>2</v>
      </c>
      <c r="DU249" s="14">
        <f t="shared" si="482"/>
        <v>3</v>
      </c>
      <c r="DV249" s="14">
        <f t="shared" si="483"/>
        <v>5</v>
      </c>
      <c r="DW249" s="14">
        <f t="shared" si="471"/>
        <v>2</v>
      </c>
      <c r="DX249" s="14">
        <f t="shared" si="472"/>
        <v>5</v>
      </c>
      <c r="DY249" s="14">
        <f t="shared" si="473"/>
        <v>5</v>
      </c>
      <c r="DZ249" s="14">
        <f>INDEX(属性投放!$AX$6:$AX$85,(卡牌属性!DW249-2)*20+卡牌属性!DX249)</f>
        <v>7</v>
      </c>
      <c r="EA249" s="14">
        <f>INDEX(属性投放!BQ$6:BQ$85,卡牌属性!$DY249)</f>
        <v>80</v>
      </c>
      <c r="EB249" s="14">
        <f>INDEX(属性投放!BR$6:BR$85,卡牌属性!$DY249)</f>
        <v>40</v>
      </c>
      <c r="EC249" s="14">
        <f>INDEX(属性投放!BS$6:BS$85,卡牌属性!$DY249)</f>
        <v>560</v>
      </c>
      <c r="ED249" s="14">
        <f t="shared" si="532"/>
        <v>416</v>
      </c>
      <c r="EE249" s="14">
        <f t="shared" si="533"/>
        <v>485</v>
      </c>
      <c r="EF249" s="14">
        <f t="shared" si="534"/>
        <v>574</v>
      </c>
      <c r="EG249" s="14">
        <f t="shared" si="535"/>
        <v>574</v>
      </c>
      <c r="EH249" s="14">
        <f t="shared" si="536"/>
        <v>667</v>
      </c>
      <c r="EI249" s="14">
        <f t="shared" si="537"/>
        <v>205</v>
      </c>
      <c r="EJ249" s="14">
        <f t="shared" si="538"/>
        <v>245</v>
      </c>
      <c r="EK249" s="14">
        <f t="shared" si="539"/>
        <v>245</v>
      </c>
      <c r="EL249" s="14">
        <f t="shared" si="540"/>
        <v>289</v>
      </c>
      <c r="EM249" s="14">
        <f t="shared" si="541"/>
        <v>333</v>
      </c>
      <c r="EN249" s="14">
        <f t="shared" si="542"/>
        <v>3782</v>
      </c>
      <c r="EO249" s="14">
        <f t="shared" si="543"/>
        <v>4290</v>
      </c>
      <c r="EP249" s="14">
        <f t="shared" si="544"/>
        <v>4290</v>
      </c>
      <c r="EQ249" s="14">
        <f t="shared" si="545"/>
        <v>5338</v>
      </c>
      <c r="ER249" s="14">
        <f t="shared" si="546"/>
        <v>5942</v>
      </c>
      <c r="ES249" s="14">
        <f>INDEX(属性偏向!$S$4:$S$243,(卡牌属性!$DT249-1+ES$3)*20+卡牌属性!$DX249)</f>
        <v>6</v>
      </c>
      <c r="ET249" s="14">
        <f>INDEX(属性偏向!$S$4:$S$243,(卡牌属性!$DT249-1+ET$3)*20+卡牌属性!$DX249)</f>
        <v>8</v>
      </c>
      <c r="EU249" s="14">
        <f>INDEX(属性偏向!$S$4:$S$243,(卡牌属性!$DT249-1+EU$3)*20+卡牌属性!$DX249)</f>
        <v>10</v>
      </c>
      <c r="EV249" s="14">
        <f>INDEX(属性偏向!$S$4:$S$243,(卡牌属性!$DT249-1+EV$3)*20+卡牌属性!$DX249)</f>
        <v>10</v>
      </c>
      <c r="EW249" s="14">
        <f>INDEX(属性偏向!$S$4:$S$243,(卡牌属性!$DT249-1+EW$3)*20+卡牌属性!$DX249)</f>
        <v>12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84</v>
      </c>
      <c r="FD249" s="14">
        <f>INDEX(属性偏向!$U$4:$U$243,(卡牌属性!$DV249-1+FD$3)*20+卡牌属性!$DX249)</f>
        <v>91</v>
      </c>
      <c r="FE249" s="14">
        <f>INDEX(属性偏向!$U$4:$U$243,(卡牌属性!$DV249-1+FE$3)*20+卡牌属性!$DX249)</f>
        <v>91</v>
      </c>
      <c r="FF249" s="14">
        <f>INDEX(属性偏向!$U$4:$U$243,(卡牌属性!$DV249-1+FF$3)*20+卡牌属性!$DX249)</f>
        <v>140</v>
      </c>
      <c r="FG249" s="14">
        <f>INDEX(属性偏向!$U$4:$U$243,(卡牌属性!$DV249-1+FG$3)*20+卡牌属性!$DX249)</f>
        <v>154</v>
      </c>
      <c r="FH249" s="14">
        <f>INDEX(属性投放!$BQ$6:$BQ$85,(卡牌属性!$DW249-2)*20+卡牌属性!$DX249)</f>
        <v>80</v>
      </c>
      <c r="FI249" s="14">
        <f>INDEX(属性投放!$BQ$6:$BQ$85,(卡牌属性!$DW249-2)*20+卡牌属性!$DX249)</f>
        <v>80</v>
      </c>
      <c r="FJ249" s="14">
        <f>INDEX(属性投放!$BQ$6:$BQ$85,(卡牌属性!$DW249-2)*20+卡牌属性!$DX249)</f>
        <v>80</v>
      </c>
      <c r="FK249" s="14">
        <f>INDEX(属性投放!$BQ$6:$BQ$85,(卡牌属性!$DW249-2)*20+卡牌属性!$DX249)</f>
        <v>80</v>
      </c>
      <c r="FL249" s="14">
        <f>INDEX(属性投放!$BQ$6:$BQ$85,(卡牌属性!$DW249-2)*20+卡牌属性!$DX249)</f>
        <v>80</v>
      </c>
      <c r="FM249" s="14">
        <f>INDEX(属性投放!$BR$6:$BR$85,(卡牌属性!$DW249-2)*20+卡牌属性!$DX249)</f>
        <v>40</v>
      </c>
      <c r="FN249" s="14">
        <f>INDEX(属性投放!$BR$6:$BR$85,(卡牌属性!$DW249-2)*20+卡牌属性!$DX249)</f>
        <v>40</v>
      </c>
      <c r="FO249" s="14">
        <f>INDEX(属性投放!$BR$6:$BR$85,(卡牌属性!$DW249-2)*20+卡牌属性!$DX249)</f>
        <v>40</v>
      </c>
      <c r="FP249" s="14">
        <f>INDEX(属性投放!$BR$6:$BR$85,(卡牌属性!$DW249-2)*20+卡牌属性!$DX249)</f>
        <v>40</v>
      </c>
      <c r="FQ249" s="14">
        <f>INDEX(属性投放!$BR$6:$BR$85,(卡牌属性!$DW249-2)*20+卡牌属性!$DX249)</f>
        <v>40</v>
      </c>
      <c r="FR249" s="14">
        <f>INDEX(属性投放!$BS$6:$BS$85,(卡牌属性!$DW249-2)*20+卡牌属性!$DX249)</f>
        <v>560</v>
      </c>
      <c r="FS249" s="14">
        <f>INDEX(属性投放!$BS$6:$BS$85,(卡牌属性!$DW249-2)*20+卡牌属性!$DX249)</f>
        <v>560</v>
      </c>
      <c r="FT249" s="14">
        <f>INDEX(属性投放!$BS$6:$BS$85,(卡牌属性!$DW249-2)*20+卡牌属性!$DX249)</f>
        <v>560</v>
      </c>
      <c r="FU249" s="14">
        <f>INDEX(属性投放!$BS$6:$BS$85,(卡牌属性!$DW249-2)*20+卡牌属性!$DX249)</f>
        <v>560</v>
      </c>
      <c r="FV249" s="14">
        <f>INDEX(属性投放!$BS$6:$BS$85,(卡牌属性!$DW249-2)*20+卡牌属性!$DX249)</f>
        <v>560</v>
      </c>
    </row>
    <row r="250" spans="31:178" ht="16.5" x14ac:dyDescent="0.2">
      <c r="AE250" s="13">
        <v>246</v>
      </c>
      <c r="AF250" s="13">
        <f t="shared" si="474"/>
        <v>13</v>
      </c>
      <c r="AG250" s="13">
        <f t="shared" si="461"/>
        <v>2</v>
      </c>
      <c r="AH250" s="13"/>
      <c r="AI250" s="13"/>
      <c r="AJ250" s="14">
        <f t="shared" si="462"/>
        <v>1101013</v>
      </c>
      <c r="AK250" s="14" t="str">
        <f t="shared" si="463"/>
        <v>吉拉6突</v>
      </c>
      <c r="AL250" s="25" t="s">
        <v>142</v>
      </c>
      <c r="AM250" s="14">
        <v>1</v>
      </c>
      <c r="AN250" s="14">
        <f t="shared" si="464"/>
        <v>6</v>
      </c>
      <c r="AO250" s="14">
        <f>INDEX(属性投放!$DF$6:$DF$85,(卡牌属性!AG250-2)*20+卡牌属性!AN250)</f>
        <v>464</v>
      </c>
      <c r="AP250" s="14">
        <f t="shared" si="526"/>
        <v>464</v>
      </c>
      <c r="AQ250" s="14">
        <f t="shared" si="526"/>
        <v>464</v>
      </c>
      <c r="AR250" s="14">
        <f t="shared" si="526"/>
        <v>464</v>
      </c>
      <c r="AS250" s="14">
        <f t="shared" si="526"/>
        <v>464</v>
      </c>
      <c r="AT250" s="14">
        <f>INDEX(属性投放!$DG$6:$DG$85,(卡牌属性!AG250-2)*20+卡牌属性!AN250)</f>
        <v>182</v>
      </c>
      <c r="AU250" s="14">
        <f t="shared" si="527"/>
        <v>182</v>
      </c>
      <c r="AV250" s="14">
        <f t="shared" si="527"/>
        <v>182</v>
      </c>
      <c r="AW250" s="14">
        <f t="shared" si="527"/>
        <v>182</v>
      </c>
      <c r="AX250" s="14">
        <f t="shared" si="527"/>
        <v>182</v>
      </c>
      <c r="AY250" s="14">
        <f>INDEX(属性投放!$DH$6:$DH$85,(卡牌属性!AG250-2)*20+卡牌属性!AN250)</f>
        <v>2534</v>
      </c>
      <c r="AZ250" s="14">
        <f t="shared" si="528"/>
        <v>2534</v>
      </c>
      <c r="BA250" s="14">
        <f t="shared" si="528"/>
        <v>2534</v>
      </c>
      <c r="BB250" s="14">
        <f t="shared" si="528"/>
        <v>2534</v>
      </c>
      <c r="BC250" s="14">
        <f t="shared" si="528"/>
        <v>2534</v>
      </c>
      <c r="BD250" s="14">
        <f>INDEX(属性投放!$DL$6:$DL$85,(卡牌属性!AG250-2)*20+卡牌属性!AN250)</f>
        <v>22</v>
      </c>
      <c r="BE250" s="14">
        <f t="shared" si="529"/>
        <v>22</v>
      </c>
      <c r="BF250" s="14">
        <f t="shared" si="529"/>
        <v>22</v>
      </c>
      <c r="BG250" s="14">
        <f t="shared" si="529"/>
        <v>22</v>
      </c>
      <c r="BH250" s="14">
        <f t="shared" si="529"/>
        <v>22</v>
      </c>
      <c r="BI250" s="14">
        <f>INDEX(属性投放!$DM$6:$DM$85,(卡牌属性!AG250-2)*20+卡牌属性!AN250)</f>
        <v>11</v>
      </c>
      <c r="BJ250" s="14">
        <f t="shared" si="530"/>
        <v>11</v>
      </c>
      <c r="BK250" s="14">
        <f t="shared" si="530"/>
        <v>11</v>
      </c>
      <c r="BL250" s="14">
        <f t="shared" si="530"/>
        <v>11</v>
      </c>
      <c r="BM250" s="14">
        <f t="shared" si="530"/>
        <v>11</v>
      </c>
      <c r="BN250" s="14">
        <f>INDEX(属性投放!$DN$6:$DN$85,(卡牌属性!AG250-2)*20+卡牌属性!AN250)</f>
        <v>153</v>
      </c>
      <c r="BO250" s="14">
        <f t="shared" si="531"/>
        <v>153</v>
      </c>
      <c r="BP250" s="14">
        <f t="shared" si="531"/>
        <v>153</v>
      </c>
      <c r="BQ250" s="14">
        <f t="shared" si="531"/>
        <v>153</v>
      </c>
      <c r="BR250" s="14">
        <f t="shared" si="531"/>
        <v>153</v>
      </c>
      <c r="BW250" s="13">
        <v>246</v>
      </c>
      <c r="BX250" s="13">
        <f t="shared" si="465"/>
        <v>13</v>
      </c>
      <c r="BY250" s="14">
        <f t="shared" si="466"/>
        <v>2</v>
      </c>
      <c r="BZ250" s="14">
        <f t="shared" si="475"/>
        <v>1102013</v>
      </c>
      <c r="CA250" s="14" t="str">
        <f t="shared" si="476"/>
        <v>塞伯罗斯6突</v>
      </c>
      <c r="CB250" s="25" t="s">
        <v>142</v>
      </c>
      <c r="CC250" s="14">
        <v>2</v>
      </c>
      <c r="CD250" s="14">
        <f t="shared" si="467"/>
        <v>6</v>
      </c>
      <c r="CE250" s="14" t="s">
        <v>21</v>
      </c>
      <c r="CF250" s="14">
        <f>INDEX(属性投放!$AZ$6:$AZ$85,(BY250-2)*20+CD250)</f>
        <v>856</v>
      </c>
      <c r="CG250" s="14" t="s">
        <v>22</v>
      </c>
      <c r="CH250" s="14">
        <f>INDEX(属性投放!$BA$6:$BA$85,(BY250-2)*20+CD250)</f>
        <v>383</v>
      </c>
      <c r="CI250" s="14" t="s">
        <v>510</v>
      </c>
      <c r="CJ250" s="14">
        <f>INDEX(属性投放!$BB$6:$BB$85,(BY250-2)*20+CD250)</f>
        <v>5242</v>
      </c>
      <c r="CK250" s="14" t="s">
        <v>21</v>
      </c>
      <c r="CL250" s="14">
        <f>INDEX(属性投放!$BC$6:$BC$85,(BY250-2)*20+CD250)</f>
        <v>8</v>
      </c>
      <c r="CM250" s="14" t="s">
        <v>22</v>
      </c>
      <c r="CN250" s="14">
        <f>INDEX(属性投放!$BD$6:$BD$85,(BY250-2)*20+CD250)</f>
        <v>4</v>
      </c>
      <c r="CO250" s="14" t="s">
        <v>510</v>
      </c>
      <c r="CP250" s="14">
        <f>INDEX(属性投放!$BE$6:$BE$85,(BY250-2)*20+CD250)</f>
        <v>56</v>
      </c>
      <c r="CS250" s="13">
        <v>246</v>
      </c>
      <c r="CT250" s="13">
        <f t="shared" si="477"/>
        <v>5</v>
      </c>
      <c r="CU250" s="13">
        <f t="shared" si="478"/>
        <v>38</v>
      </c>
      <c r="CV250" s="14">
        <f t="shared" si="479"/>
        <v>3</v>
      </c>
      <c r="CW250" s="14">
        <f t="shared" si="480"/>
        <v>1102005</v>
      </c>
      <c r="CX250" s="14" t="str">
        <f>INDEX($O$6:$O$50,CT250)&amp;"-"&amp;INDEX(属性投放!$AB$7:$AB$50,CZ250)&amp;"-魂火-"&amp;DB250</f>
        <v>李轩辕-大焦热-魂火-2</v>
      </c>
      <c r="CY250" s="25" t="s">
        <v>142</v>
      </c>
      <c r="CZ250" s="14">
        <f>INDEX(属性投放!$AM$7:$AM$58,CU250)</f>
        <v>16</v>
      </c>
      <c r="DA250" s="14" t="s">
        <v>537</v>
      </c>
      <c r="DB250" s="14">
        <f>INDEX(属性投放!$AN$7:$AN$58,CU250)</f>
        <v>2</v>
      </c>
      <c r="DC250" s="14">
        <f t="shared" si="468"/>
        <v>38</v>
      </c>
      <c r="DD250" s="14">
        <f>INDEX(属性投放!$AO$7:$AO$58,DC250)</f>
        <v>113</v>
      </c>
      <c r="DE250" s="14" t="s">
        <v>538</v>
      </c>
      <c r="DF250" s="14">
        <f>INDEX(属性投放!$BK$6:$BK$85,(CV250-2)*20+CZ250)</f>
        <v>500</v>
      </c>
      <c r="DG250" s="14">
        <f>SUMIFS(DF$5:DF250,$CT$5:$CT250,"="&amp;$CT250)</f>
        <v>6270</v>
      </c>
      <c r="DH250" s="14" t="s">
        <v>539</v>
      </c>
      <c r="DI250" s="14">
        <f>INDEX(属性投放!$BL$6:$BL$85,(CV250-2)*20+CZ250)</f>
        <v>250</v>
      </c>
      <c r="DJ250" s="14">
        <f>SUMIFS(DI$5:DI250,$CT$5:$CT250,"="&amp;$CT250)</f>
        <v>3138</v>
      </c>
      <c r="DK250" s="14" t="s">
        <v>540</v>
      </c>
      <c r="DL250" s="14">
        <f>INDEX(属性投放!$BM$6:$BM$85,(CV250-2)*20+CZ250)</f>
        <v>5000</v>
      </c>
      <c r="DM250" s="14">
        <f>SUMIFS(DL$5:DL250,$CT$5:$CT250,"="&amp;$CT250)</f>
        <v>58740</v>
      </c>
      <c r="DR250" s="14">
        <f t="shared" si="469"/>
        <v>1102013</v>
      </c>
      <c r="DS250" s="14" t="str">
        <f t="shared" si="470"/>
        <v>塞伯罗斯6突</v>
      </c>
      <c r="DT250" s="14">
        <f t="shared" si="481"/>
        <v>2</v>
      </c>
      <c r="DU250" s="14">
        <f t="shared" si="482"/>
        <v>3</v>
      </c>
      <c r="DV250" s="14">
        <f t="shared" si="483"/>
        <v>5</v>
      </c>
      <c r="DW250" s="14">
        <f t="shared" si="471"/>
        <v>2</v>
      </c>
      <c r="DX250" s="14">
        <f t="shared" si="472"/>
        <v>6</v>
      </c>
      <c r="DY250" s="14">
        <f t="shared" si="473"/>
        <v>6</v>
      </c>
      <c r="DZ250" s="14">
        <f>INDEX(属性投放!$AX$6:$AX$85,(卡牌属性!DW250-2)*20+卡牌属性!DX250)</f>
        <v>5</v>
      </c>
      <c r="EA250" s="14">
        <f>INDEX(属性投放!BQ$6:BQ$85,卡牌属性!$DY250)</f>
        <v>100</v>
      </c>
      <c r="EB250" s="14">
        <f>INDEX(属性投放!BR$6:BR$85,卡牌属性!$DY250)</f>
        <v>50</v>
      </c>
      <c r="EC250" s="14">
        <f>INDEX(属性投放!BS$6:BS$85,卡牌属性!$DY250)</f>
        <v>700</v>
      </c>
      <c r="ED250" s="14">
        <f t="shared" si="532"/>
        <v>538</v>
      </c>
      <c r="EE250" s="14">
        <f t="shared" si="533"/>
        <v>621</v>
      </c>
      <c r="EF250" s="14">
        <f t="shared" si="534"/>
        <v>724</v>
      </c>
      <c r="EG250" s="14">
        <f t="shared" si="535"/>
        <v>724</v>
      </c>
      <c r="EH250" s="14">
        <f t="shared" si="536"/>
        <v>831</v>
      </c>
      <c r="EI250" s="14">
        <f t="shared" si="537"/>
        <v>273</v>
      </c>
      <c r="EJ250" s="14">
        <f t="shared" si="538"/>
        <v>320</v>
      </c>
      <c r="EK250" s="14">
        <f t="shared" si="539"/>
        <v>320</v>
      </c>
      <c r="EL250" s="14">
        <f t="shared" si="540"/>
        <v>371</v>
      </c>
      <c r="EM250" s="14">
        <f t="shared" si="541"/>
        <v>422</v>
      </c>
      <c r="EN250" s="14">
        <f t="shared" si="542"/>
        <v>4930</v>
      </c>
      <c r="EO250" s="14">
        <f t="shared" si="543"/>
        <v>5487</v>
      </c>
      <c r="EP250" s="14">
        <f t="shared" si="544"/>
        <v>5487</v>
      </c>
      <c r="EQ250" s="14">
        <f t="shared" si="545"/>
        <v>6878</v>
      </c>
      <c r="ER250" s="14">
        <f t="shared" si="546"/>
        <v>7580</v>
      </c>
      <c r="ES250" s="14">
        <f>INDEX(属性偏向!$S$4:$S$243,(卡牌属性!$DT250-1+ES$3)*20+卡牌属性!$DX250)</f>
        <v>6</v>
      </c>
      <c r="ET250" s="14">
        <f>INDEX(属性偏向!$S$4:$S$243,(卡牌属性!$DT250-1+ET$3)*20+卡牌属性!$DX250)</f>
        <v>8</v>
      </c>
      <c r="EU250" s="14">
        <f>INDEX(属性偏向!$S$4:$S$243,(卡牌属性!$DT250-1+EU$3)*20+卡牌属性!$DX250)</f>
        <v>10</v>
      </c>
      <c r="EV250" s="14">
        <f>INDEX(属性偏向!$S$4:$S$243,(卡牌属性!$DT250-1+EV$3)*20+卡牌属性!$DX250)</f>
        <v>10</v>
      </c>
      <c r="EW250" s="14">
        <f>INDEX(属性偏向!$S$4:$S$243,(卡牌属性!$DT250-1+EW$3)*20+卡牌属性!$DX250)</f>
        <v>12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84</v>
      </c>
      <c r="FD250" s="14">
        <f>INDEX(属性偏向!$U$4:$U$243,(卡牌属性!$DV250-1+FD$3)*20+卡牌属性!$DX250)</f>
        <v>91</v>
      </c>
      <c r="FE250" s="14">
        <f>INDEX(属性偏向!$U$4:$U$243,(卡牌属性!$DV250-1+FE$3)*20+卡牌属性!$DX250)</f>
        <v>91</v>
      </c>
      <c r="FF250" s="14">
        <f>INDEX(属性偏向!$U$4:$U$243,(卡牌属性!$DV250-1+FF$3)*20+卡牌属性!$DX250)</f>
        <v>140</v>
      </c>
      <c r="FG250" s="14">
        <f>INDEX(属性偏向!$U$4:$U$243,(卡牌属性!$DV250-1+FG$3)*20+卡牌属性!$DX250)</f>
        <v>154</v>
      </c>
      <c r="FH250" s="14">
        <f>INDEX(属性投放!$BQ$6:$BQ$85,(卡牌属性!$DW250-2)*20+卡牌属性!$DX250)</f>
        <v>100</v>
      </c>
      <c r="FI250" s="14">
        <f>INDEX(属性投放!$BQ$6:$BQ$85,(卡牌属性!$DW250-2)*20+卡牌属性!$DX250)</f>
        <v>100</v>
      </c>
      <c r="FJ250" s="14">
        <f>INDEX(属性投放!$BQ$6:$BQ$85,(卡牌属性!$DW250-2)*20+卡牌属性!$DX250)</f>
        <v>100</v>
      </c>
      <c r="FK250" s="14">
        <f>INDEX(属性投放!$BQ$6:$BQ$85,(卡牌属性!$DW250-2)*20+卡牌属性!$DX250)</f>
        <v>100</v>
      </c>
      <c r="FL250" s="14">
        <f>INDEX(属性投放!$BQ$6:$BQ$85,(卡牌属性!$DW250-2)*20+卡牌属性!$DX250)</f>
        <v>100</v>
      </c>
      <c r="FM250" s="14">
        <f>INDEX(属性投放!$BR$6:$BR$85,(卡牌属性!$DW250-2)*20+卡牌属性!$DX250)</f>
        <v>50</v>
      </c>
      <c r="FN250" s="14">
        <f>INDEX(属性投放!$BR$6:$BR$85,(卡牌属性!$DW250-2)*20+卡牌属性!$DX250)</f>
        <v>50</v>
      </c>
      <c r="FO250" s="14">
        <f>INDEX(属性投放!$BR$6:$BR$85,(卡牌属性!$DW250-2)*20+卡牌属性!$DX250)</f>
        <v>50</v>
      </c>
      <c r="FP250" s="14">
        <f>INDEX(属性投放!$BR$6:$BR$85,(卡牌属性!$DW250-2)*20+卡牌属性!$DX250)</f>
        <v>50</v>
      </c>
      <c r="FQ250" s="14">
        <f>INDEX(属性投放!$BR$6:$BR$85,(卡牌属性!$DW250-2)*20+卡牌属性!$DX250)</f>
        <v>50</v>
      </c>
      <c r="FR250" s="14">
        <f>INDEX(属性投放!$BS$6:$BS$85,(卡牌属性!$DW250-2)*20+卡牌属性!$DX250)</f>
        <v>700</v>
      </c>
      <c r="FS250" s="14">
        <f>INDEX(属性投放!$BS$6:$BS$85,(卡牌属性!$DW250-2)*20+卡牌属性!$DX250)</f>
        <v>700</v>
      </c>
      <c r="FT250" s="14">
        <f>INDEX(属性投放!$BS$6:$BS$85,(卡牌属性!$DW250-2)*20+卡牌属性!$DX250)</f>
        <v>700</v>
      </c>
      <c r="FU250" s="14">
        <f>INDEX(属性投放!$BS$6:$BS$85,(卡牌属性!$DW250-2)*20+卡牌属性!$DX250)</f>
        <v>700</v>
      </c>
      <c r="FV250" s="14">
        <f>INDEX(属性投放!$BS$6:$BS$85,(卡牌属性!$DW250-2)*20+卡牌属性!$DX250)</f>
        <v>700</v>
      </c>
    </row>
    <row r="251" spans="31:178" ht="16.5" x14ac:dyDescent="0.2">
      <c r="AE251" s="13">
        <v>247</v>
      </c>
      <c r="AF251" s="13">
        <f t="shared" si="474"/>
        <v>13</v>
      </c>
      <c r="AG251" s="13">
        <f t="shared" si="461"/>
        <v>2</v>
      </c>
      <c r="AH251" s="13"/>
      <c r="AI251" s="13"/>
      <c r="AJ251" s="14">
        <f t="shared" si="462"/>
        <v>1101013</v>
      </c>
      <c r="AK251" s="14" t="str">
        <f t="shared" si="463"/>
        <v>吉拉7突</v>
      </c>
      <c r="AL251" s="25" t="s">
        <v>142</v>
      </c>
      <c r="AM251" s="14">
        <v>1</v>
      </c>
      <c r="AN251" s="14">
        <f t="shared" si="464"/>
        <v>7</v>
      </c>
      <c r="AO251" s="14">
        <f>INDEX(属性投放!$DF$6:$DF$85,(卡牌属性!AG251-2)*20+卡牌属性!AN251)</f>
        <v>1077</v>
      </c>
      <c r="AP251" s="14">
        <f t="shared" si="526"/>
        <v>1077</v>
      </c>
      <c r="AQ251" s="14">
        <f t="shared" si="526"/>
        <v>1077</v>
      </c>
      <c r="AR251" s="14">
        <f t="shared" si="526"/>
        <v>1077</v>
      </c>
      <c r="AS251" s="14">
        <f t="shared" si="526"/>
        <v>1077</v>
      </c>
      <c r="AT251" s="14">
        <f>INDEX(属性投放!$DG$6:$DG$85,(卡牌属性!AG251-2)*20+卡牌属性!AN251)</f>
        <v>488</v>
      </c>
      <c r="AU251" s="14">
        <f t="shared" si="527"/>
        <v>488</v>
      </c>
      <c r="AV251" s="14">
        <f t="shared" si="527"/>
        <v>488</v>
      </c>
      <c r="AW251" s="14">
        <f t="shared" si="527"/>
        <v>488</v>
      </c>
      <c r="AX251" s="14">
        <f t="shared" si="527"/>
        <v>488</v>
      </c>
      <c r="AY251" s="14">
        <f>INDEX(属性投放!$DH$6:$DH$85,(卡牌属性!AG251-2)*20+卡牌属性!AN251)</f>
        <v>6797</v>
      </c>
      <c r="AZ251" s="14">
        <f t="shared" si="528"/>
        <v>6797</v>
      </c>
      <c r="BA251" s="14">
        <f t="shared" si="528"/>
        <v>6797</v>
      </c>
      <c r="BB251" s="14">
        <f t="shared" si="528"/>
        <v>6797</v>
      </c>
      <c r="BC251" s="14">
        <f t="shared" si="528"/>
        <v>6797</v>
      </c>
      <c r="BD251" s="14">
        <f>INDEX(属性投放!$DL$6:$DL$85,(卡牌属性!AG251-2)*20+卡牌属性!AN251)</f>
        <v>36</v>
      </c>
      <c r="BE251" s="14">
        <f t="shared" si="529"/>
        <v>36</v>
      </c>
      <c r="BF251" s="14">
        <f t="shared" si="529"/>
        <v>36</v>
      </c>
      <c r="BG251" s="14">
        <f t="shared" si="529"/>
        <v>36</v>
      </c>
      <c r="BH251" s="14">
        <f t="shared" si="529"/>
        <v>36</v>
      </c>
      <c r="BI251" s="14">
        <f>INDEX(属性投放!$DM$6:$DM$85,(卡牌属性!AG251-2)*20+卡牌属性!AN251)</f>
        <v>18</v>
      </c>
      <c r="BJ251" s="14">
        <f t="shared" si="530"/>
        <v>18</v>
      </c>
      <c r="BK251" s="14">
        <f t="shared" si="530"/>
        <v>18</v>
      </c>
      <c r="BL251" s="14">
        <f t="shared" si="530"/>
        <v>18</v>
      </c>
      <c r="BM251" s="14">
        <f t="shared" si="530"/>
        <v>18</v>
      </c>
      <c r="BN251" s="14">
        <f>INDEX(属性投放!$DN$6:$DN$85,(卡牌属性!AG251-2)*20+卡牌属性!AN251)</f>
        <v>286</v>
      </c>
      <c r="BO251" s="14">
        <f t="shared" si="531"/>
        <v>286</v>
      </c>
      <c r="BP251" s="14">
        <f t="shared" si="531"/>
        <v>286</v>
      </c>
      <c r="BQ251" s="14">
        <f t="shared" si="531"/>
        <v>286</v>
      </c>
      <c r="BR251" s="14">
        <f t="shared" si="531"/>
        <v>286</v>
      </c>
      <c r="BW251" s="13">
        <v>247</v>
      </c>
      <c r="BX251" s="13">
        <f t="shared" si="465"/>
        <v>13</v>
      </c>
      <c r="BY251" s="14">
        <f t="shared" si="466"/>
        <v>2</v>
      </c>
      <c r="BZ251" s="14">
        <f t="shared" si="475"/>
        <v>1102013</v>
      </c>
      <c r="CA251" s="14" t="str">
        <f t="shared" si="476"/>
        <v>塞伯罗斯7突</v>
      </c>
      <c r="CB251" s="25" t="s">
        <v>142</v>
      </c>
      <c r="CC251" s="14">
        <v>2</v>
      </c>
      <c r="CD251" s="14">
        <f t="shared" si="467"/>
        <v>7</v>
      </c>
      <c r="CE251" s="14" t="s">
        <v>21</v>
      </c>
      <c r="CF251" s="14">
        <f>INDEX(属性投放!$AZ$6:$AZ$85,(BY251-2)*20+CD251)</f>
        <v>1076</v>
      </c>
      <c r="CG251" s="14" t="s">
        <v>22</v>
      </c>
      <c r="CH251" s="14">
        <f>INDEX(属性投放!$BA$6:$BA$85,(BY251-2)*20+CD251)</f>
        <v>493</v>
      </c>
      <c r="CI251" s="14" t="s">
        <v>510</v>
      </c>
      <c r="CJ251" s="14">
        <f>INDEX(属性投放!$BB$6:$BB$85,(BY251-2)*20+CD251)</f>
        <v>6782</v>
      </c>
      <c r="CK251" s="14" t="s">
        <v>21</v>
      </c>
      <c r="CL251" s="14">
        <f>INDEX(属性投放!$BC$6:$BC$85,(BY251-2)*20+CD251)</f>
        <v>10</v>
      </c>
      <c r="CM251" s="14" t="s">
        <v>22</v>
      </c>
      <c r="CN251" s="14">
        <f>INDEX(属性投放!$BD$6:$BD$85,(BY251-2)*20+CD251)</f>
        <v>5</v>
      </c>
      <c r="CO251" s="14" t="s">
        <v>510</v>
      </c>
      <c r="CP251" s="14">
        <f>INDEX(属性投放!$BE$6:$BE$85,(BY251-2)*20+CD251)</f>
        <v>80</v>
      </c>
      <c r="CS251" s="13">
        <v>247</v>
      </c>
      <c r="CT251" s="13">
        <f t="shared" si="477"/>
        <v>5</v>
      </c>
      <c r="CU251" s="13">
        <f t="shared" si="478"/>
        <v>39</v>
      </c>
      <c r="CV251" s="14">
        <f t="shared" si="479"/>
        <v>3</v>
      </c>
      <c r="CW251" s="14">
        <f t="shared" si="480"/>
        <v>1102005</v>
      </c>
      <c r="CX251" s="14" t="str">
        <f>INDEX($O$6:$O$50,CT251)&amp;"-"&amp;INDEX(属性投放!$AB$7:$AB$50,CZ251)&amp;"-魂火-"&amp;DB251</f>
        <v>李轩辕-大焦热-魂火-3</v>
      </c>
      <c r="CY251" s="25" t="s">
        <v>142</v>
      </c>
      <c r="CZ251" s="14">
        <f>INDEX(属性投放!$AM$7:$AM$58,CU251)</f>
        <v>16</v>
      </c>
      <c r="DA251" s="14" t="s">
        <v>537</v>
      </c>
      <c r="DB251" s="14">
        <f>INDEX(属性投放!$AN$7:$AN$58,CU251)</f>
        <v>3</v>
      </c>
      <c r="DC251" s="14">
        <f t="shared" si="468"/>
        <v>39</v>
      </c>
      <c r="DD251" s="14">
        <f>INDEX(属性投放!$AO$7:$AO$58,DC251)</f>
        <v>115</v>
      </c>
      <c r="DE251" s="14" t="s">
        <v>538</v>
      </c>
      <c r="DF251" s="14">
        <f>INDEX(属性投放!$BK$6:$BK$85,(CV251-2)*20+CZ251)</f>
        <v>500</v>
      </c>
      <c r="DG251" s="14">
        <f>SUMIFS(DF$5:DF251,$CT$5:$CT251,"="&amp;$CT251)</f>
        <v>6770</v>
      </c>
      <c r="DH251" s="14" t="s">
        <v>539</v>
      </c>
      <c r="DI251" s="14">
        <f>INDEX(属性投放!$BL$6:$BL$85,(CV251-2)*20+CZ251)</f>
        <v>250</v>
      </c>
      <c r="DJ251" s="14">
        <f>SUMIFS(DI$5:DI251,$CT$5:$CT251,"="&amp;$CT251)</f>
        <v>3388</v>
      </c>
      <c r="DK251" s="14" t="s">
        <v>540</v>
      </c>
      <c r="DL251" s="14">
        <f>INDEX(属性投放!$BM$6:$BM$85,(CV251-2)*20+CZ251)</f>
        <v>5000</v>
      </c>
      <c r="DM251" s="14">
        <f>SUMIFS(DL$5:DL251,$CT$5:$CT251,"="&amp;$CT251)</f>
        <v>63740</v>
      </c>
      <c r="DR251" s="14">
        <f t="shared" si="469"/>
        <v>1102013</v>
      </c>
      <c r="DS251" s="14" t="str">
        <f t="shared" si="470"/>
        <v>塞伯罗斯7突</v>
      </c>
      <c r="DT251" s="14">
        <f t="shared" si="481"/>
        <v>2</v>
      </c>
      <c r="DU251" s="14">
        <f t="shared" si="482"/>
        <v>3</v>
      </c>
      <c r="DV251" s="14">
        <f t="shared" si="483"/>
        <v>5</v>
      </c>
      <c r="DW251" s="14">
        <f t="shared" si="471"/>
        <v>2</v>
      </c>
      <c r="DX251" s="14">
        <f t="shared" si="472"/>
        <v>7</v>
      </c>
      <c r="DY251" s="14">
        <f t="shared" si="473"/>
        <v>7</v>
      </c>
      <c r="DZ251" s="14">
        <f>INDEX(属性投放!$AX$6:$AX$85,(卡牌属性!DW251-2)*20+卡牌属性!DX251)</f>
        <v>5</v>
      </c>
      <c r="EA251" s="14">
        <f>INDEX(属性投放!BQ$6:BQ$85,卡牌属性!$DY251)</f>
        <v>100</v>
      </c>
      <c r="EB251" s="14">
        <f>INDEX(属性投放!BR$6:BR$85,卡牌属性!$DY251)</f>
        <v>50</v>
      </c>
      <c r="EC251" s="14">
        <f>INDEX(属性投放!BS$6:BS$85,卡牌属性!$DY251)</f>
        <v>800</v>
      </c>
      <c r="ED251" s="14">
        <f t="shared" si="532"/>
        <v>668</v>
      </c>
      <c r="EE251" s="14">
        <f t="shared" si="533"/>
        <v>761</v>
      </c>
      <c r="EF251" s="14">
        <f t="shared" si="534"/>
        <v>874</v>
      </c>
      <c r="EG251" s="14">
        <f t="shared" si="535"/>
        <v>874</v>
      </c>
      <c r="EH251" s="14">
        <f t="shared" si="536"/>
        <v>991</v>
      </c>
      <c r="EI251" s="14">
        <f t="shared" si="537"/>
        <v>343</v>
      </c>
      <c r="EJ251" s="14">
        <f t="shared" si="538"/>
        <v>395</v>
      </c>
      <c r="EK251" s="14">
        <f t="shared" si="539"/>
        <v>395</v>
      </c>
      <c r="EL251" s="14">
        <f t="shared" si="540"/>
        <v>451</v>
      </c>
      <c r="EM251" s="14">
        <f t="shared" si="541"/>
        <v>507</v>
      </c>
      <c r="EN251" s="14">
        <f t="shared" si="542"/>
        <v>6050</v>
      </c>
      <c r="EO251" s="14">
        <f t="shared" si="543"/>
        <v>6642</v>
      </c>
      <c r="EP251" s="14">
        <f t="shared" si="544"/>
        <v>6642</v>
      </c>
      <c r="EQ251" s="14">
        <f t="shared" si="545"/>
        <v>8278</v>
      </c>
      <c r="ER251" s="14">
        <f t="shared" si="546"/>
        <v>9050</v>
      </c>
      <c r="ES251" s="14">
        <f>INDEX(属性偏向!$S$4:$S$243,(卡牌属性!$DT251-1+ES$3)*20+卡牌属性!$DX251)</f>
        <v>8</v>
      </c>
      <c r="ET251" s="14">
        <f>INDEX(属性偏向!$S$4:$S$243,(卡牌属性!$DT251-1+ET$3)*20+卡牌属性!$DX251)</f>
        <v>10</v>
      </c>
      <c r="EU251" s="14">
        <f>INDEX(属性偏向!$S$4:$S$243,(卡牌属性!$DT251-1+EU$3)*20+卡牌属性!$DX251)</f>
        <v>12</v>
      </c>
      <c r="EV251" s="14">
        <f>INDEX(属性偏向!$S$4:$S$243,(卡牌属性!$DT251-1+EV$3)*20+卡牌属性!$DX251)</f>
        <v>12</v>
      </c>
      <c r="EW251" s="14">
        <f>INDEX(属性偏向!$S$4:$S$243,(卡牌属性!$DT251-1+EW$3)*20+卡牌属性!$DX251)</f>
        <v>15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120</v>
      </c>
      <c r="FD251" s="14">
        <f>INDEX(属性偏向!$U$4:$U$243,(卡牌属性!$DV251-1+FD$3)*20+卡牌属性!$DX251)</f>
        <v>128</v>
      </c>
      <c r="FE251" s="14">
        <f>INDEX(属性偏向!$U$4:$U$243,(卡牌属性!$DV251-1+FE$3)*20+卡牌属性!$DX251)</f>
        <v>128</v>
      </c>
      <c r="FF251" s="14">
        <f>INDEX(属性偏向!$U$4:$U$243,(卡牌属性!$DV251-1+FF$3)*20+卡牌属性!$DX251)</f>
        <v>200</v>
      </c>
      <c r="FG251" s="14">
        <f>INDEX(属性偏向!$U$4:$U$243,(卡牌属性!$DV251-1+FG$3)*20+卡牌属性!$DX251)</f>
        <v>224</v>
      </c>
      <c r="FH251" s="14">
        <f>INDEX(属性投放!$BQ$6:$BQ$85,(卡牌属性!$DW251-2)*20+卡牌属性!$DX251)</f>
        <v>100</v>
      </c>
      <c r="FI251" s="14">
        <f>INDEX(属性投放!$BQ$6:$BQ$85,(卡牌属性!$DW251-2)*20+卡牌属性!$DX251)</f>
        <v>100</v>
      </c>
      <c r="FJ251" s="14">
        <f>INDEX(属性投放!$BQ$6:$BQ$85,(卡牌属性!$DW251-2)*20+卡牌属性!$DX251)</f>
        <v>100</v>
      </c>
      <c r="FK251" s="14">
        <f>INDEX(属性投放!$BQ$6:$BQ$85,(卡牌属性!$DW251-2)*20+卡牌属性!$DX251)</f>
        <v>100</v>
      </c>
      <c r="FL251" s="14">
        <f>INDEX(属性投放!$BQ$6:$BQ$85,(卡牌属性!$DW251-2)*20+卡牌属性!$DX251)</f>
        <v>100</v>
      </c>
      <c r="FM251" s="14">
        <f>INDEX(属性投放!$BR$6:$BR$85,(卡牌属性!$DW251-2)*20+卡牌属性!$DX251)</f>
        <v>50</v>
      </c>
      <c r="FN251" s="14">
        <f>INDEX(属性投放!$BR$6:$BR$85,(卡牌属性!$DW251-2)*20+卡牌属性!$DX251)</f>
        <v>50</v>
      </c>
      <c r="FO251" s="14">
        <f>INDEX(属性投放!$BR$6:$BR$85,(卡牌属性!$DW251-2)*20+卡牌属性!$DX251)</f>
        <v>50</v>
      </c>
      <c r="FP251" s="14">
        <f>INDEX(属性投放!$BR$6:$BR$85,(卡牌属性!$DW251-2)*20+卡牌属性!$DX251)</f>
        <v>50</v>
      </c>
      <c r="FQ251" s="14">
        <f>INDEX(属性投放!$BR$6:$BR$85,(卡牌属性!$DW251-2)*20+卡牌属性!$DX251)</f>
        <v>50</v>
      </c>
      <c r="FR251" s="14">
        <f>INDEX(属性投放!$BS$6:$BS$85,(卡牌属性!$DW251-2)*20+卡牌属性!$DX251)</f>
        <v>800</v>
      </c>
      <c r="FS251" s="14">
        <f>INDEX(属性投放!$BS$6:$BS$85,(卡牌属性!$DW251-2)*20+卡牌属性!$DX251)</f>
        <v>800</v>
      </c>
      <c r="FT251" s="14">
        <f>INDEX(属性投放!$BS$6:$BS$85,(卡牌属性!$DW251-2)*20+卡牌属性!$DX251)</f>
        <v>800</v>
      </c>
      <c r="FU251" s="14">
        <f>INDEX(属性投放!$BS$6:$BS$85,(卡牌属性!$DW251-2)*20+卡牌属性!$DX251)</f>
        <v>800</v>
      </c>
      <c r="FV251" s="14">
        <f>INDEX(属性投放!$BS$6:$BS$85,(卡牌属性!$DW251-2)*20+卡牌属性!$DX251)</f>
        <v>800</v>
      </c>
    </row>
    <row r="252" spans="31:178" ht="16.5" x14ac:dyDescent="0.2">
      <c r="AE252" s="13">
        <v>248</v>
      </c>
      <c r="AF252" s="13">
        <f t="shared" si="474"/>
        <v>13</v>
      </c>
      <c r="AG252" s="13">
        <f t="shared" si="461"/>
        <v>2</v>
      </c>
      <c r="AH252" s="13"/>
      <c r="AI252" s="13"/>
      <c r="AJ252" s="14">
        <f t="shared" si="462"/>
        <v>1101013</v>
      </c>
      <c r="AK252" s="14" t="str">
        <f t="shared" si="463"/>
        <v>吉拉8突</v>
      </c>
      <c r="AL252" s="25" t="s">
        <v>142</v>
      </c>
      <c r="AM252" s="14">
        <v>1</v>
      </c>
      <c r="AN252" s="14">
        <f t="shared" si="464"/>
        <v>8</v>
      </c>
      <c r="AO252" s="14">
        <f>INDEX(属性投放!$DF$6:$DF$85,(卡牌属性!AG252-2)*20+卡牌属性!AN252)</f>
        <v>1179</v>
      </c>
      <c r="AP252" s="14">
        <f t="shared" si="526"/>
        <v>1179</v>
      </c>
      <c r="AQ252" s="14">
        <f t="shared" si="526"/>
        <v>1179</v>
      </c>
      <c r="AR252" s="14">
        <f t="shared" si="526"/>
        <v>1179</v>
      </c>
      <c r="AS252" s="14">
        <f t="shared" si="526"/>
        <v>1179</v>
      </c>
      <c r="AT252" s="14">
        <f>INDEX(属性投放!$DG$6:$DG$85,(卡牌属性!AG252-2)*20+卡牌属性!AN252)</f>
        <v>539</v>
      </c>
      <c r="AU252" s="14">
        <f t="shared" si="527"/>
        <v>539</v>
      </c>
      <c r="AV252" s="14">
        <f t="shared" si="527"/>
        <v>539</v>
      </c>
      <c r="AW252" s="14">
        <f t="shared" si="527"/>
        <v>539</v>
      </c>
      <c r="AX252" s="14">
        <f t="shared" si="527"/>
        <v>539</v>
      </c>
      <c r="AY252" s="14">
        <f>INDEX(属性投放!$DH$6:$DH$85,(卡牌属性!AG252-2)*20+卡牌属性!AN252)</f>
        <v>7613</v>
      </c>
      <c r="AZ252" s="14">
        <f t="shared" si="528"/>
        <v>7613</v>
      </c>
      <c r="BA252" s="14">
        <f t="shared" si="528"/>
        <v>7613</v>
      </c>
      <c r="BB252" s="14">
        <f t="shared" si="528"/>
        <v>7613</v>
      </c>
      <c r="BC252" s="14">
        <f t="shared" si="528"/>
        <v>7613</v>
      </c>
      <c r="BD252" s="14">
        <f>INDEX(属性投放!$DL$6:$DL$85,(卡牌属性!AG252-2)*20+卡牌属性!AN252)</f>
        <v>36</v>
      </c>
      <c r="BE252" s="14">
        <f t="shared" si="529"/>
        <v>36</v>
      </c>
      <c r="BF252" s="14">
        <f t="shared" si="529"/>
        <v>36</v>
      </c>
      <c r="BG252" s="14">
        <f t="shared" si="529"/>
        <v>36</v>
      </c>
      <c r="BH252" s="14">
        <f t="shared" si="529"/>
        <v>36</v>
      </c>
      <c r="BI252" s="14">
        <f>INDEX(属性投放!$DM$6:$DM$85,(卡牌属性!AG252-2)*20+卡牌属性!AN252)</f>
        <v>18</v>
      </c>
      <c r="BJ252" s="14">
        <f t="shared" si="530"/>
        <v>18</v>
      </c>
      <c r="BK252" s="14">
        <f t="shared" si="530"/>
        <v>18</v>
      </c>
      <c r="BL252" s="14">
        <f t="shared" si="530"/>
        <v>18</v>
      </c>
      <c r="BM252" s="14">
        <f t="shared" si="530"/>
        <v>18</v>
      </c>
      <c r="BN252" s="14">
        <f>INDEX(属性投放!$DN$6:$DN$85,(卡牌属性!AG252-2)*20+卡牌属性!AN252)</f>
        <v>286</v>
      </c>
      <c r="BO252" s="14">
        <f t="shared" si="531"/>
        <v>286</v>
      </c>
      <c r="BP252" s="14">
        <f t="shared" si="531"/>
        <v>286</v>
      </c>
      <c r="BQ252" s="14">
        <f t="shared" si="531"/>
        <v>286</v>
      </c>
      <c r="BR252" s="14">
        <f t="shared" si="531"/>
        <v>286</v>
      </c>
      <c r="BW252" s="13">
        <v>248</v>
      </c>
      <c r="BX252" s="13">
        <f t="shared" si="465"/>
        <v>13</v>
      </c>
      <c r="BY252" s="14">
        <f t="shared" si="466"/>
        <v>2</v>
      </c>
      <c r="BZ252" s="14">
        <f t="shared" si="475"/>
        <v>1102013</v>
      </c>
      <c r="CA252" s="14" t="str">
        <f t="shared" si="476"/>
        <v>塞伯罗斯8突</v>
      </c>
      <c r="CB252" s="25" t="s">
        <v>142</v>
      </c>
      <c r="CC252" s="14">
        <v>2</v>
      </c>
      <c r="CD252" s="14">
        <f t="shared" si="467"/>
        <v>8</v>
      </c>
      <c r="CE252" s="14" t="s">
        <v>21</v>
      </c>
      <c r="CF252" s="14">
        <f>INDEX(属性投放!$AZ$6:$AZ$85,(BY252-2)*20+CD252)</f>
        <v>1336</v>
      </c>
      <c r="CG252" s="14" t="s">
        <v>22</v>
      </c>
      <c r="CH252" s="14">
        <f>INDEX(属性投放!$BA$6:$BA$85,(BY252-2)*20+CD252)</f>
        <v>624</v>
      </c>
      <c r="CI252" s="14" t="s">
        <v>510</v>
      </c>
      <c r="CJ252" s="14">
        <f>INDEX(属性投放!$BB$6:$BB$85,(BY252-2)*20+CD252)</f>
        <v>8862</v>
      </c>
      <c r="CK252" s="14" t="s">
        <v>21</v>
      </c>
      <c r="CL252" s="14">
        <f>INDEX(属性投放!$BC$6:$BC$85,(BY252-2)*20+CD252)</f>
        <v>10</v>
      </c>
      <c r="CM252" s="14" t="s">
        <v>22</v>
      </c>
      <c r="CN252" s="14">
        <f>INDEX(属性投放!$BD$6:$BD$85,(BY252-2)*20+CD252)</f>
        <v>5</v>
      </c>
      <c r="CO252" s="14" t="s">
        <v>510</v>
      </c>
      <c r="CP252" s="14">
        <f>INDEX(属性投放!$BE$6:$BE$85,(BY252-2)*20+CD252)</f>
        <v>80</v>
      </c>
      <c r="CS252" s="13">
        <v>248</v>
      </c>
      <c r="CT252" s="13">
        <f t="shared" si="477"/>
        <v>5</v>
      </c>
      <c r="CU252" s="13">
        <f t="shared" si="478"/>
        <v>40</v>
      </c>
      <c r="CV252" s="14">
        <f t="shared" si="479"/>
        <v>3</v>
      </c>
      <c r="CW252" s="14">
        <f t="shared" si="480"/>
        <v>1102005</v>
      </c>
      <c r="CX252" s="14" t="str">
        <f>INDEX($O$6:$O$50,CT252)&amp;"-"&amp;INDEX(属性投放!$AB$7:$AB$50,CZ252)&amp;"-魂火-"&amp;DB252</f>
        <v>李轩辕-大焦热+1-魂火-1</v>
      </c>
      <c r="CY252" s="25" t="s">
        <v>142</v>
      </c>
      <c r="CZ252" s="14">
        <f>INDEX(属性投放!$AM$7:$AM$58,CU252)</f>
        <v>17</v>
      </c>
      <c r="DA252" s="14" t="s">
        <v>537</v>
      </c>
      <c r="DB252" s="14">
        <f>INDEX(属性投放!$AN$7:$AN$58,CU252)</f>
        <v>1</v>
      </c>
      <c r="DC252" s="14">
        <f t="shared" si="468"/>
        <v>40</v>
      </c>
      <c r="DD252" s="14">
        <f>INDEX(属性投放!$AO$7:$AO$58,DC252)</f>
        <v>118</v>
      </c>
      <c r="DE252" s="14" t="s">
        <v>538</v>
      </c>
      <c r="DF252" s="14">
        <f>INDEX(属性投放!$BK$6:$BK$85,(CV252-2)*20+CZ252)</f>
        <v>600</v>
      </c>
      <c r="DG252" s="14">
        <f>SUMIFS(DF$5:DF252,$CT$5:$CT252,"="&amp;$CT252)</f>
        <v>7370</v>
      </c>
      <c r="DH252" s="14" t="s">
        <v>539</v>
      </c>
      <c r="DI252" s="14">
        <f>INDEX(属性投放!$BL$6:$BL$85,(CV252-2)*20+CZ252)</f>
        <v>300</v>
      </c>
      <c r="DJ252" s="14">
        <f>SUMIFS(DI$5:DI252,$CT$5:$CT252,"="&amp;$CT252)</f>
        <v>3688</v>
      </c>
      <c r="DK252" s="14" t="s">
        <v>540</v>
      </c>
      <c r="DL252" s="14">
        <f>INDEX(属性投放!$BM$6:$BM$85,(CV252-2)*20+CZ252)</f>
        <v>6000</v>
      </c>
      <c r="DM252" s="14">
        <f>SUMIFS(DL$5:DL252,$CT$5:$CT252,"="&amp;$CT252)</f>
        <v>69740</v>
      </c>
      <c r="DR252" s="14">
        <f t="shared" si="469"/>
        <v>1102013</v>
      </c>
      <c r="DS252" s="14" t="str">
        <f t="shared" si="470"/>
        <v>塞伯罗斯8突</v>
      </c>
      <c r="DT252" s="14">
        <f t="shared" si="481"/>
        <v>2</v>
      </c>
      <c r="DU252" s="14">
        <f t="shared" si="482"/>
        <v>3</v>
      </c>
      <c r="DV252" s="14">
        <f t="shared" si="483"/>
        <v>5</v>
      </c>
      <c r="DW252" s="14">
        <f t="shared" si="471"/>
        <v>2</v>
      </c>
      <c r="DX252" s="14">
        <f t="shared" si="472"/>
        <v>8</v>
      </c>
      <c r="DY252" s="14">
        <f t="shared" si="473"/>
        <v>8</v>
      </c>
      <c r="DZ252" s="14">
        <f>INDEX(属性投放!$AX$6:$AX$85,(卡牌属性!DW252-2)*20+卡牌属性!DX252)</f>
        <v>5</v>
      </c>
      <c r="EA252" s="14">
        <f>INDEX(属性投放!BQ$6:BQ$85,卡牌属性!$DY252)</f>
        <v>100</v>
      </c>
      <c r="EB252" s="14">
        <f>INDEX(属性投放!BR$6:BR$85,卡牌属性!$DY252)</f>
        <v>50</v>
      </c>
      <c r="EC252" s="14">
        <f>INDEX(属性投放!BS$6:BS$85,卡牌属性!$DY252)</f>
        <v>800</v>
      </c>
      <c r="ED252" s="14">
        <f t="shared" si="532"/>
        <v>808</v>
      </c>
      <c r="EE252" s="14">
        <f t="shared" si="533"/>
        <v>911</v>
      </c>
      <c r="EF252" s="14">
        <f t="shared" si="534"/>
        <v>1034</v>
      </c>
      <c r="EG252" s="14">
        <f t="shared" si="535"/>
        <v>1034</v>
      </c>
      <c r="EH252" s="14">
        <f t="shared" si="536"/>
        <v>1166</v>
      </c>
      <c r="EI252" s="14">
        <f t="shared" si="537"/>
        <v>418</v>
      </c>
      <c r="EJ252" s="14">
        <f t="shared" si="538"/>
        <v>475</v>
      </c>
      <c r="EK252" s="14">
        <f t="shared" si="539"/>
        <v>475</v>
      </c>
      <c r="EL252" s="14">
        <f t="shared" si="540"/>
        <v>541</v>
      </c>
      <c r="EM252" s="14">
        <f t="shared" si="541"/>
        <v>597</v>
      </c>
      <c r="EN252" s="14">
        <f t="shared" si="542"/>
        <v>7450</v>
      </c>
      <c r="EO252" s="14">
        <f t="shared" si="543"/>
        <v>8082</v>
      </c>
      <c r="EP252" s="14">
        <f t="shared" si="544"/>
        <v>8082</v>
      </c>
      <c r="EQ252" s="14">
        <f t="shared" si="545"/>
        <v>10078</v>
      </c>
      <c r="ER252" s="14">
        <f t="shared" si="546"/>
        <v>10970</v>
      </c>
      <c r="ES252" s="14">
        <f>INDEX(属性偏向!$S$4:$S$243,(卡牌属性!$DT252-1+ES$3)*20+卡牌属性!$DX252)</f>
        <v>8</v>
      </c>
      <c r="ET252" s="14">
        <f>INDEX(属性偏向!$S$4:$S$243,(卡牌属性!$DT252-1+ET$3)*20+卡牌属性!$DX252)</f>
        <v>10</v>
      </c>
      <c r="EU252" s="14">
        <f>INDEX(属性偏向!$S$4:$S$243,(卡牌属性!$DT252-1+EU$3)*20+卡牌属性!$DX252)</f>
        <v>12</v>
      </c>
      <c r="EV252" s="14">
        <f>INDEX(属性偏向!$S$4:$S$243,(卡牌属性!$DT252-1+EV$3)*20+卡牌属性!$DX252)</f>
        <v>12</v>
      </c>
      <c r="EW252" s="14">
        <f>INDEX(属性偏向!$S$4:$S$243,(卡牌属性!$DT252-1+EW$3)*20+卡牌属性!$DX252)</f>
        <v>15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120</v>
      </c>
      <c r="FD252" s="14">
        <f>INDEX(属性偏向!$U$4:$U$243,(卡牌属性!$DV252-1+FD$3)*20+卡牌属性!$DX252)</f>
        <v>128</v>
      </c>
      <c r="FE252" s="14">
        <f>INDEX(属性偏向!$U$4:$U$243,(卡牌属性!$DV252-1+FE$3)*20+卡牌属性!$DX252)</f>
        <v>128</v>
      </c>
      <c r="FF252" s="14">
        <f>INDEX(属性偏向!$U$4:$U$243,(卡牌属性!$DV252-1+FF$3)*20+卡牌属性!$DX252)</f>
        <v>200</v>
      </c>
      <c r="FG252" s="14">
        <f>INDEX(属性偏向!$U$4:$U$243,(卡牌属性!$DV252-1+FG$3)*20+卡牌属性!$DX252)</f>
        <v>224</v>
      </c>
      <c r="FH252" s="14">
        <f>INDEX(属性投放!$BQ$6:$BQ$85,(卡牌属性!$DW252-2)*20+卡牌属性!$DX252)</f>
        <v>100</v>
      </c>
      <c r="FI252" s="14">
        <f>INDEX(属性投放!$BQ$6:$BQ$85,(卡牌属性!$DW252-2)*20+卡牌属性!$DX252)</f>
        <v>100</v>
      </c>
      <c r="FJ252" s="14">
        <f>INDEX(属性投放!$BQ$6:$BQ$85,(卡牌属性!$DW252-2)*20+卡牌属性!$DX252)</f>
        <v>100</v>
      </c>
      <c r="FK252" s="14">
        <f>INDEX(属性投放!$BQ$6:$BQ$85,(卡牌属性!$DW252-2)*20+卡牌属性!$DX252)</f>
        <v>100</v>
      </c>
      <c r="FL252" s="14">
        <f>INDEX(属性投放!$BQ$6:$BQ$85,(卡牌属性!$DW252-2)*20+卡牌属性!$DX252)</f>
        <v>100</v>
      </c>
      <c r="FM252" s="14">
        <f>INDEX(属性投放!$BR$6:$BR$85,(卡牌属性!$DW252-2)*20+卡牌属性!$DX252)</f>
        <v>50</v>
      </c>
      <c r="FN252" s="14">
        <f>INDEX(属性投放!$BR$6:$BR$85,(卡牌属性!$DW252-2)*20+卡牌属性!$DX252)</f>
        <v>50</v>
      </c>
      <c r="FO252" s="14">
        <f>INDEX(属性投放!$BR$6:$BR$85,(卡牌属性!$DW252-2)*20+卡牌属性!$DX252)</f>
        <v>50</v>
      </c>
      <c r="FP252" s="14">
        <f>INDEX(属性投放!$BR$6:$BR$85,(卡牌属性!$DW252-2)*20+卡牌属性!$DX252)</f>
        <v>50</v>
      </c>
      <c r="FQ252" s="14">
        <f>INDEX(属性投放!$BR$6:$BR$85,(卡牌属性!$DW252-2)*20+卡牌属性!$DX252)</f>
        <v>50</v>
      </c>
      <c r="FR252" s="14">
        <f>INDEX(属性投放!$BS$6:$BS$85,(卡牌属性!$DW252-2)*20+卡牌属性!$DX252)</f>
        <v>800</v>
      </c>
      <c r="FS252" s="14">
        <f>INDEX(属性投放!$BS$6:$BS$85,(卡牌属性!$DW252-2)*20+卡牌属性!$DX252)</f>
        <v>800</v>
      </c>
      <c r="FT252" s="14">
        <f>INDEX(属性投放!$BS$6:$BS$85,(卡牌属性!$DW252-2)*20+卡牌属性!$DX252)</f>
        <v>800</v>
      </c>
      <c r="FU252" s="14">
        <f>INDEX(属性投放!$BS$6:$BS$85,(卡牌属性!$DW252-2)*20+卡牌属性!$DX252)</f>
        <v>800</v>
      </c>
      <c r="FV252" s="14">
        <f>INDEX(属性投放!$BS$6:$BS$85,(卡牌属性!$DW252-2)*20+卡牌属性!$DX252)</f>
        <v>800</v>
      </c>
    </row>
    <row r="253" spans="31:178" ht="16.5" x14ac:dyDescent="0.2">
      <c r="AE253" s="13">
        <v>249</v>
      </c>
      <c r="AF253" s="13">
        <f t="shared" si="474"/>
        <v>13</v>
      </c>
      <c r="AG253" s="13">
        <f t="shared" si="461"/>
        <v>2</v>
      </c>
      <c r="AH253" s="13"/>
      <c r="AI253" s="13"/>
      <c r="AJ253" s="14">
        <f t="shared" si="462"/>
        <v>1101013</v>
      </c>
      <c r="AK253" s="14" t="str">
        <f t="shared" si="463"/>
        <v>吉拉9突</v>
      </c>
      <c r="AL253" s="25" t="s">
        <v>142</v>
      </c>
      <c r="AM253" s="14">
        <v>1</v>
      </c>
      <c r="AN253" s="14">
        <f t="shared" si="464"/>
        <v>9</v>
      </c>
      <c r="AO253" s="14">
        <f>INDEX(属性投放!$DF$6:$DF$85,(卡牌属性!AG253-2)*20+卡牌属性!AN253)</f>
        <v>1281</v>
      </c>
      <c r="AP253" s="14">
        <f t="shared" si="526"/>
        <v>1281</v>
      </c>
      <c r="AQ253" s="14">
        <f t="shared" si="526"/>
        <v>1281</v>
      </c>
      <c r="AR253" s="14">
        <f t="shared" si="526"/>
        <v>1281</v>
      </c>
      <c r="AS253" s="14">
        <f t="shared" si="526"/>
        <v>1281</v>
      </c>
      <c r="AT253" s="14">
        <f>INDEX(属性投放!$DG$6:$DG$85,(卡牌属性!AG253-2)*20+卡牌属性!AN253)</f>
        <v>590</v>
      </c>
      <c r="AU253" s="14">
        <f t="shared" si="527"/>
        <v>590</v>
      </c>
      <c r="AV253" s="14">
        <f t="shared" si="527"/>
        <v>590</v>
      </c>
      <c r="AW253" s="14">
        <f t="shared" si="527"/>
        <v>590</v>
      </c>
      <c r="AX253" s="14">
        <f t="shared" si="527"/>
        <v>590</v>
      </c>
      <c r="AY253" s="14">
        <f>INDEX(属性投放!$DH$6:$DH$85,(卡牌属性!AG253-2)*20+卡牌属性!AN253)</f>
        <v>8429</v>
      </c>
      <c r="AZ253" s="14">
        <f t="shared" si="528"/>
        <v>8429</v>
      </c>
      <c r="BA253" s="14">
        <f t="shared" si="528"/>
        <v>8429</v>
      </c>
      <c r="BB253" s="14">
        <f t="shared" si="528"/>
        <v>8429</v>
      </c>
      <c r="BC253" s="14">
        <f t="shared" si="528"/>
        <v>8429</v>
      </c>
      <c r="BD253" s="14">
        <f>INDEX(属性投放!$DL$6:$DL$85,(卡牌属性!AG253-2)*20+卡牌属性!AN253)</f>
        <v>36</v>
      </c>
      <c r="BE253" s="14">
        <f t="shared" si="529"/>
        <v>36</v>
      </c>
      <c r="BF253" s="14">
        <f t="shared" si="529"/>
        <v>36</v>
      </c>
      <c r="BG253" s="14">
        <f t="shared" si="529"/>
        <v>36</v>
      </c>
      <c r="BH253" s="14">
        <f t="shared" si="529"/>
        <v>36</v>
      </c>
      <c r="BI253" s="14">
        <f>INDEX(属性投放!$DM$6:$DM$85,(卡牌属性!AG253-2)*20+卡牌属性!AN253)</f>
        <v>18</v>
      </c>
      <c r="BJ253" s="14">
        <f t="shared" si="530"/>
        <v>18</v>
      </c>
      <c r="BK253" s="14">
        <f t="shared" si="530"/>
        <v>18</v>
      </c>
      <c r="BL253" s="14">
        <f t="shared" si="530"/>
        <v>18</v>
      </c>
      <c r="BM253" s="14">
        <f t="shared" si="530"/>
        <v>18</v>
      </c>
      <c r="BN253" s="14">
        <f>INDEX(属性投放!$DN$6:$DN$85,(卡牌属性!AG253-2)*20+卡牌属性!AN253)</f>
        <v>286</v>
      </c>
      <c r="BO253" s="14">
        <f t="shared" si="531"/>
        <v>286</v>
      </c>
      <c r="BP253" s="14">
        <f t="shared" si="531"/>
        <v>286</v>
      </c>
      <c r="BQ253" s="14">
        <f t="shared" si="531"/>
        <v>286</v>
      </c>
      <c r="BR253" s="14">
        <f t="shared" si="531"/>
        <v>286</v>
      </c>
      <c r="BW253" s="13">
        <v>249</v>
      </c>
      <c r="BX253" s="13">
        <f t="shared" si="465"/>
        <v>13</v>
      </c>
      <c r="BY253" s="14">
        <f t="shared" si="466"/>
        <v>2</v>
      </c>
      <c r="BZ253" s="14">
        <f t="shared" si="475"/>
        <v>1102013</v>
      </c>
      <c r="CA253" s="14" t="str">
        <f t="shared" si="476"/>
        <v>塞伯罗斯9突</v>
      </c>
      <c r="CB253" s="25" t="s">
        <v>142</v>
      </c>
      <c r="CC253" s="14">
        <v>2</v>
      </c>
      <c r="CD253" s="14">
        <f t="shared" si="467"/>
        <v>9</v>
      </c>
      <c r="CE253" s="14" t="s">
        <v>21</v>
      </c>
      <c r="CF253" s="14">
        <f>INDEX(属性投放!$AZ$6:$AZ$85,(BY253-2)*20+CD253)</f>
        <v>1626</v>
      </c>
      <c r="CG253" s="14" t="s">
        <v>22</v>
      </c>
      <c r="CH253" s="14">
        <f>INDEX(属性投放!$BA$6:$BA$85,(BY253-2)*20+CD253)</f>
        <v>769</v>
      </c>
      <c r="CI253" s="14" t="s">
        <v>510</v>
      </c>
      <c r="CJ253" s="14">
        <f>INDEX(属性投放!$BB$6:$BB$85,(BY253-2)*20+CD253)</f>
        <v>11182</v>
      </c>
      <c r="CK253" s="14" t="s">
        <v>21</v>
      </c>
      <c r="CL253" s="14">
        <f>INDEX(属性投放!$BC$6:$BC$85,(BY253-2)*20+CD253)</f>
        <v>10</v>
      </c>
      <c r="CM253" s="14" t="s">
        <v>22</v>
      </c>
      <c r="CN253" s="14">
        <f>INDEX(属性投放!$BD$6:$BD$85,(BY253-2)*20+CD253)</f>
        <v>5</v>
      </c>
      <c r="CO253" s="14" t="s">
        <v>510</v>
      </c>
      <c r="CP253" s="14">
        <f>INDEX(属性投放!$BE$6:$BE$85,(BY253-2)*20+CD253)</f>
        <v>80</v>
      </c>
      <c r="CS253" s="13">
        <v>249</v>
      </c>
      <c r="CT253" s="13">
        <f t="shared" si="477"/>
        <v>5</v>
      </c>
      <c r="CU253" s="13">
        <f t="shared" si="478"/>
        <v>41</v>
      </c>
      <c r="CV253" s="14">
        <f t="shared" si="479"/>
        <v>3</v>
      </c>
      <c r="CW253" s="14">
        <f t="shared" si="480"/>
        <v>1102005</v>
      </c>
      <c r="CX253" s="14" t="str">
        <f>INDEX($O$6:$O$50,CT253)&amp;"-"&amp;INDEX(属性投放!$AB$7:$AB$50,CZ253)&amp;"-魂火-"&amp;DB253</f>
        <v>李轩辕-大焦热+1-魂火-2</v>
      </c>
      <c r="CY253" s="25" t="s">
        <v>142</v>
      </c>
      <c r="CZ253" s="14">
        <f>INDEX(属性投放!$AM$7:$AM$58,CU253)</f>
        <v>17</v>
      </c>
      <c r="DA253" s="14" t="s">
        <v>537</v>
      </c>
      <c r="DB253" s="14">
        <f>INDEX(属性投放!$AN$7:$AN$58,CU253)</f>
        <v>2</v>
      </c>
      <c r="DC253" s="14">
        <f t="shared" si="468"/>
        <v>41</v>
      </c>
      <c r="DD253" s="14">
        <f>INDEX(属性投放!$AO$7:$AO$58,DC253)</f>
        <v>120</v>
      </c>
      <c r="DE253" s="14" t="s">
        <v>538</v>
      </c>
      <c r="DF253" s="14">
        <f>INDEX(属性投放!$BK$6:$BK$85,(CV253-2)*20+CZ253)</f>
        <v>600</v>
      </c>
      <c r="DG253" s="14">
        <f>SUMIFS(DF$5:DF253,$CT$5:$CT253,"="&amp;$CT253)</f>
        <v>7970</v>
      </c>
      <c r="DH253" s="14" t="s">
        <v>539</v>
      </c>
      <c r="DI253" s="14">
        <f>INDEX(属性投放!$BL$6:$BL$85,(CV253-2)*20+CZ253)</f>
        <v>300</v>
      </c>
      <c r="DJ253" s="14">
        <f>SUMIFS(DI$5:DI253,$CT$5:$CT253,"="&amp;$CT253)</f>
        <v>3988</v>
      </c>
      <c r="DK253" s="14" t="s">
        <v>540</v>
      </c>
      <c r="DL253" s="14">
        <f>INDEX(属性投放!$BM$6:$BM$85,(CV253-2)*20+CZ253)</f>
        <v>6000</v>
      </c>
      <c r="DM253" s="14">
        <f>SUMIFS(DL$5:DL253,$CT$5:$CT253,"="&amp;$CT253)</f>
        <v>75740</v>
      </c>
      <c r="DR253" s="14">
        <f t="shared" si="469"/>
        <v>1102013</v>
      </c>
      <c r="DS253" s="14" t="str">
        <f t="shared" si="470"/>
        <v>塞伯罗斯9突</v>
      </c>
      <c r="DT253" s="14">
        <f t="shared" si="481"/>
        <v>2</v>
      </c>
      <c r="DU253" s="14">
        <f t="shared" si="482"/>
        <v>3</v>
      </c>
      <c r="DV253" s="14">
        <f t="shared" si="483"/>
        <v>5</v>
      </c>
      <c r="DW253" s="14">
        <f t="shared" si="471"/>
        <v>2</v>
      </c>
      <c r="DX253" s="14">
        <f t="shared" si="472"/>
        <v>9</v>
      </c>
      <c r="DY253" s="14">
        <f t="shared" si="473"/>
        <v>9</v>
      </c>
      <c r="DZ253" s="14">
        <f>INDEX(属性投放!$AX$6:$AX$85,(卡牌属性!DW253-2)*20+卡牌属性!DX253)</f>
        <v>8</v>
      </c>
      <c r="EA253" s="14">
        <f>INDEX(属性投放!BQ$6:BQ$85,卡牌属性!$DY253)</f>
        <v>150</v>
      </c>
      <c r="EB253" s="14">
        <f>INDEX(属性投放!BR$6:BR$85,卡牌属性!$DY253)</f>
        <v>75</v>
      </c>
      <c r="EC253" s="14">
        <f>INDEX(属性投放!BS$6:BS$85,卡牌属性!$DY253)</f>
        <v>1200</v>
      </c>
      <c r="ED253" s="14">
        <f t="shared" si="532"/>
        <v>948</v>
      </c>
      <c r="EE253" s="14">
        <f t="shared" si="533"/>
        <v>1061</v>
      </c>
      <c r="EF253" s="14">
        <f t="shared" si="534"/>
        <v>1194</v>
      </c>
      <c r="EG253" s="14">
        <f t="shared" si="535"/>
        <v>1194</v>
      </c>
      <c r="EH253" s="14">
        <f t="shared" si="536"/>
        <v>1341</v>
      </c>
      <c r="EI253" s="14">
        <f t="shared" si="537"/>
        <v>493</v>
      </c>
      <c r="EJ253" s="14">
        <f t="shared" si="538"/>
        <v>555</v>
      </c>
      <c r="EK253" s="14">
        <f t="shared" si="539"/>
        <v>555</v>
      </c>
      <c r="EL253" s="14">
        <f t="shared" si="540"/>
        <v>631</v>
      </c>
      <c r="EM253" s="14">
        <f t="shared" si="541"/>
        <v>687</v>
      </c>
      <c r="EN253" s="14">
        <f t="shared" si="542"/>
        <v>8850</v>
      </c>
      <c r="EO253" s="14">
        <f t="shared" si="543"/>
        <v>9522</v>
      </c>
      <c r="EP253" s="14">
        <f t="shared" si="544"/>
        <v>9522</v>
      </c>
      <c r="EQ253" s="14">
        <f t="shared" si="545"/>
        <v>11878</v>
      </c>
      <c r="ER253" s="14">
        <f t="shared" si="546"/>
        <v>12890</v>
      </c>
      <c r="ES253" s="14">
        <f>INDEX(属性偏向!$S$4:$S$243,(卡牌属性!$DT253-1+ES$3)*20+卡牌属性!$DX253)</f>
        <v>8</v>
      </c>
      <c r="ET253" s="14">
        <f>INDEX(属性偏向!$S$4:$S$243,(卡牌属性!$DT253-1+ET$3)*20+卡牌属性!$DX253)</f>
        <v>10</v>
      </c>
      <c r="EU253" s="14">
        <f>INDEX(属性偏向!$S$4:$S$243,(卡牌属性!$DT253-1+EU$3)*20+卡牌属性!$DX253)</f>
        <v>12</v>
      </c>
      <c r="EV253" s="14">
        <f>INDEX(属性偏向!$S$4:$S$243,(卡牌属性!$DT253-1+EV$3)*20+卡牌属性!$DX253)</f>
        <v>12</v>
      </c>
      <c r="EW253" s="14">
        <f>INDEX(属性偏向!$S$4:$S$243,(卡牌属性!$DT253-1+EW$3)*20+卡牌属性!$DX253)</f>
        <v>15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120</v>
      </c>
      <c r="FD253" s="14">
        <f>INDEX(属性偏向!$U$4:$U$243,(卡牌属性!$DV253-1+FD$3)*20+卡牌属性!$DX253)</f>
        <v>128</v>
      </c>
      <c r="FE253" s="14">
        <f>INDEX(属性偏向!$U$4:$U$243,(卡牌属性!$DV253-1+FE$3)*20+卡牌属性!$DX253)</f>
        <v>128</v>
      </c>
      <c r="FF253" s="14">
        <f>INDEX(属性偏向!$U$4:$U$243,(卡牌属性!$DV253-1+FF$3)*20+卡牌属性!$DX253)</f>
        <v>200</v>
      </c>
      <c r="FG253" s="14">
        <f>INDEX(属性偏向!$U$4:$U$243,(卡牌属性!$DV253-1+FG$3)*20+卡牌属性!$DX253)</f>
        <v>224</v>
      </c>
      <c r="FH253" s="14">
        <f>INDEX(属性投放!$BQ$6:$BQ$85,(卡牌属性!$DW253-2)*20+卡牌属性!$DX253)</f>
        <v>150</v>
      </c>
      <c r="FI253" s="14">
        <f>INDEX(属性投放!$BQ$6:$BQ$85,(卡牌属性!$DW253-2)*20+卡牌属性!$DX253)</f>
        <v>150</v>
      </c>
      <c r="FJ253" s="14">
        <f>INDEX(属性投放!$BQ$6:$BQ$85,(卡牌属性!$DW253-2)*20+卡牌属性!$DX253)</f>
        <v>150</v>
      </c>
      <c r="FK253" s="14">
        <f>INDEX(属性投放!$BQ$6:$BQ$85,(卡牌属性!$DW253-2)*20+卡牌属性!$DX253)</f>
        <v>150</v>
      </c>
      <c r="FL253" s="14">
        <f>INDEX(属性投放!$BQ$6:$BQ$85,(卡牌属性!$DW253-2)*20+卡牌属性!$DX253)</f>
        <v>150</v>
      </c>
      <c r="FM253" s="14">
        <f>INDEX(属性投放!$BR$6:$BR$85,(卡牌属性!$DW253-2)*20+卡牌属性!$DX253)</f>
        <v>75</v>
      </c>
      <c r="FN253" s="14">
        <f>INDEX(属性投放!$BR$6:$BR$85,(卡牌属性!$DW253-2)*20+卡牌属性!$DX253)</f>
        <v>75</v>
      </c>
      <c r="FO253" s="14">
        <f>INDEX(属性投放!$BR$6:$BR$85,(卡牌属性!$DW253-2)*20+卡牌属性!$DX253)</f>
        <v>75</v>
      </c>
      <c r="FP253" s="14">
        <f>INDEX(属性投放!$BR$6:$BR$85,(卡牌属性!$DW253-2)*20+卡牌属性!$DX253)</f>
        <v>75</v>
      </c>
      <c r="FQ253" s="14">
        <f>INDEX(属性投放!$BR$6:$BR$85,(卡牌属性!$DW253-2)*20+卡牌属性!$DX253)</f>
        <v>75</v>
      </c>
      <c r="FR253" s="14">
        <f>INDEX(属性投放!$BS$6:$BS$85,(卡牌属性!$DW253-2)*20+卡牌属性!$DX253)</f>
        <v>1200</v>
      </c>
      <c r="FS253" s="14">
        <f>INDEX(属性投放!$BS$6:$BS$85,(卡牌属性!$DW253-2)*20+卡牌属性!$DX253)</f>
        <v>1200</v>
      </c>
      <c r="FT253" s="14">
        <f>INDEX(属性投放!$BS$6:$BS$85,(卡牌属性!$DW253-2)*20+卡牌属性!$DX253)</f>
        <v>1200</v>
      </c>
      <c r="FU253" s="14">
        <f>INDEX(属性投放!$BS$6:$BS$85,(卡牌属性!$DW253-2)*20+卡牌属性!$DX253)</f>
        <v>1200</v>
      </c>
      <c r="FV253" s="14">
        <f>INDEX(属性投放!$BS$6:$BS$85,(卡牌属性!$DW253-2)*20+卡牌属性!$DX253)</f>
        <v>1200</v>
      </c>
    </row>
    <row r="254" spans="31:178" ht="16.5" x14ac:dyDescent="0.2">
      <c r="AE254" s="13">
        <v>250</v>
      </c>
      <c r="AF254" s="13">
        <f t="shared" si="474"/>
        <v>13</v>
      </c>
      <c r="AG254" s="13">
        <f t="shared" si="461"/>
        <v>2</v>
      </c>
      <c r="AH254" s="13"/>
      <c r="AI254" s="13"/>
      <c r="AJ254" s="14">
        <f t="shared" si="462"/>
        <v>1101013</v>
      </c>
      <c r="AK254" s="14" t="str">
        <f t="shared" si="463"/>
        <v>吉拉10突</v>
      </c>
      <c r="AL254" s="25" t="s">
        <v>142</v>
      </c>
      <c r="AM254" s="14">
        <v>1</v>
      </c>
      <c r="AN254" s="14">
        <f t="shared" si="464"/>
        <v>10</v>
      </c>
      <c r="AO254" s="14">
        <f>INDEX(属性投放!$DF$6:$DF$85,(卡牌属性!AG254-2)*20+卡牌属性!AN254)</f>
        <v>1923</v>
      </c>
      <c r="AP254" s="14">
        <f t="shared" si="526"/>
        <v>1923</v>
      </c>
      <c r="AQ254" s="14">
        <f t="shared" si="526"/>
        <v>1923</v>
      </c>
      <c r="AR254" s="14">
        <f t="shared" si="526"/>
        <v>1923</v>
      </c>
      <c r="AS254" s="14">
        <f t="shared" si="526"/>
        <v>1923</v>
      </c>
      <c r="AT254" s="14">
        <f>INDEX(属性投放!$DG$6:$DG$85,(卡牌属性!AG254-2)*20+卡牌属性!AN254)</f>
        <v>911</v>
      </c>
      <c r="AU254" s="14">
        <f t="shared" si="527"/>
        <v>911</v>
      </c>
      <c r="AV254" s="14">
        <f t="shared" si="527"/>
        <v>911</v>
      </c>
      <c r="AW254" s="14">
        <f t="shared" si="527"/>
        <v>911</v>
      </c>
      <c r="AX254" s="14">
        <f t="shared" si="527"/>
        <v>911</v>
      </c>
      <c r="AY254" s="14">
        <f>INDEX(属性投放!$DH$6:$DH$85,(卡牌属性!AG254-2)*20+卡牌属性!AN254)</f>
        <v>13535</v>
      </c>
      <c r="AZ254" s="14">
        <f t="shared" si="528"/>
        <v>13535</v>
      </c>
      <c r="BA254" s="14">
        <f t="shared" si="528"/>
        <v>13535</v>
      </c>
      <c r="BB254" s="14">
        <f t="shared" si="528"/>
        <v>13535</v>
      </c>
      <c r="BC254" s="14">
        <f t="shared" si="528"/>
        <v>13535</v>
      </c>
      <c r="BD254" s="14">
        <f>INDEX(属性投放!$DL$6:$DL$85,(卡牌属性!AG254-2)*20+卡牌属性!AN254)</f>
        <v>76</v>
      </c>
      <c r="BE254" s="14">
        <f t="shared" si="529"/>
        <v>76</v>
      </c>
      <c r="BF254" s="14">
        <f t="shared" si="529"/>
        <v>76</v>
      </c>
      <c r="BG254" s="14">
        <f t="shared" si="529"/>
        <v>76</v>
      </c>
      <c r="BH254" s="14">
        <f t="shared" si="529"/>
        <v>76</v>
      </c>
      <c r="BI254" s="14">
        <f>INDEX(属性投放!$DM$6:$DM$85,(卡牌属性!AG254-2)*20+卡牌属性!AN254)</f>
        <v>38</v>
      </c>
      <c r="BJ254" s="14">
        <f t="shared" si="530"/>
        <v>38</v>
      </c>
      <c r="BK254" s="14">
        <f t="shared" si="530"/>
        <v>38</v>
      </c>
      <c r="BL254" s="14">
        <f t="shared" si="530"/>
        <v>38</v>
      </c>
      <c r="BM254" s="14">
        <f t="shared" si="530"/>
        <v>38</v>
      </c>
      <c r="BN254" s="14">
        <f>INDEX(属性投放!$DN$6:$DN$85,(卡牌属性!AG254-2)*20+卡牌属性!AN254)</f>
        <v>685</v>
      </c>
      <c r="BO254" s="14">
        <f t="shared" si="531"/>
        <v>685</v>
      </c>
      <c r="BP254" s="14">
        <f t="shared" si="531"/>
        <v>685</v>
      </c>
      <c r="BQ254" s="14">
        <f t="shared" si="531"/>
        <v>685</v>
      </c>
      <c r="BR254" s="14">
        <f t="shared" si="531"/>
        <v>685</v>
      </c>
      <c r="BW254" s="13">
        <v>250</v>
      </c>
      <c r="BX254" s="13">
        <f t="shared" si="465"/>
        <v>13</v>
      </c>
      <c r="BY254" s="14">
        <f t="shared" si="466"/>
        <v>2</v>
      </c>
      <c r="BZ254" s="14">
        <f t="shared" si="475"/>
        <v>1102013</v>
      </c>
      <c r="CA254" s="14" t="str">
        <f t="shared" si="476"/>
        <v>塞伯罗斯10突</v>
      </c>
      <c r="CB254" s="25" t="s">
        <v>142</v>
      </c>
      <c r="CC254" s="14">
        <v>2</v>
      </c>
      <c r="CD254" s="14">
        <f t="shared" si="467"/>
        <v>10</v>
      </c>
      <c r="CE254" s="14" t="s">
        <v>21</v>
      </c>
      <c r="CF254" s="14">
        <f>INDEX(属性投放!$AZ$6:$AZ$85,(BY254-2)*20+CD254)</f>
        <v>2096</v>
      </c>
      <c r="CG254" s="14" t="s">
        <v>22</v>
      </c>
      <c r="CH254" s="14">
        <f>INDEX(属性投放!$BA$6:$BA$85,(BY254-2)*20+CD254)</f>
        <v>1004</v>
      </c>
      <c r="CI254" s="14" t="s">
        <v>510</v>
      </c>
      <c r="CJ254" s="14">
        <f>INDEX(属性投放!$BB$6:$BB$85,(BY254-2)*20+CD254)</f>
        <v>14942</v>
      </c>
      <c r="CK254" s="14" t="s">
        <v>21</v>
      </c>
      <c r="CL254" s="14">
        <f>INDEX(属性投放!$BC$6:$BC$85,(BY254-2)*20+CD254)</f>
        <v>12</v>
      </c>
      <c r="CM254" s="14" t="s">
        <v>22</v>
      </c>
      <c r="CN254" s="14">
        <f>INDEX(属性投放!$BD$6:$BD$85,(BY254-2)*20+CD254)</f>
        <v>6</v>
      </c>
      <c r="CO254" s="14" t="s">
        <v>510</v>
      </c>
      <c r="CP254" s="14">
        <f>INDEX(属性投放!$BE$6:$BE$85,(BY254-2)*20+CD254)</f>
        <v>108</v>
      </c>
      <c r="CS254" s="13">
        <v>250</v>
      </c>
      <c r="CT254" s="13">
        <f t="shared" si="477"/>
        <v>5</v>
      </c>
      <c r="CU254" s="13">
        <f t="shared" si="478"/>
        <v>42</v>
      </c>
      <c r="CV254" s="14">
        <f t="shared" si="479"/>
        <v>3</v>
      </c>
      <c r="CW254" s="14">
        <f t="shared" si="480"/>
        <v>1102005</v>
      </c>
      <c r="CX254" s="14" t="str">
        <f>INDEX($O$6:$O$50,CT254)&amp;"-"&amp;INDEX(属性投放!$AB$7:$AB$50,CZ254)&amp;"-魂火-"&amp;DB254</f>
        <v>李轩辕-大焦热+1-魂火-3</v>
      </c>
      <c r="CY254" s="25" t="s">
        <v>142</v>
      </c>
      <c r="CZ254" s="14">
        <f>INDEX(属性投放!$AM$7:$AM$58,CU254)</f>
        <v>17</v>
      </c>
      <c r="DA254" s="14" t="s">
        <v>537</v>
      </c>
      <c r="DB254" s="14">
        <f>INDEX(属性投放!$AN$7:$AN$58,CU254)</f>
        <v>3</v>
      </c>
      <c r="DC254" s="14">
        <f t="shared" si="468"/>
        <v>42</v>
      </c>
      <c r="DD254" s="14">
        <f>INDEX(属性投放!$AO$7:$AO$58,DC254)</f>
        <v>123</v>
      </c>
      <c r="DE254" s="14" t="s">
        <v>538</v>
      </c>
      <c r="DF254" s="14">
        <f>INDEX(属性投放!$BK$6:$BK$85,(CV254-2)*20+CZ254)</f>
        <v>600</v>
      </c>
      <c r="DG254" s="14">
        <f>SUMIFS(DF$5:DF254,$CT$5:$CT254,"="&amp;$CT254)</f>
        <v>8570</v>
      </c>
      <c r="DH254" s="14" t="s">
        <v>539</v>
      </c>
      <c r="DI254" s="14">
        <f>INDEX(属性投放!$BL$6:$BL$85,(CV254-2)*20+CZ254)</f>
        <v>300</v>
      </c>
      <c r="DJ254" s="14">
        <f>SUMIFS(DI$5:DI254,$CT$5:$CT254,"="&amp;$CT254)</f>
        <v>4288</v>
      </c>
      <c r="DK254" s="14" t="s">
        <v>540</v>
      </c>
      <c r="DL254" s="14">
        <f>INDEX(属性投放!$BM$6:$BM$85,(CV254-2)*20+CZ254)</f>
        <v>6000</v>
      </c>
      <c r="DM254" s="14">
        <f>SUMIFS(DL$5:DL254,$CT$5:$CT254,"="&amp;$CT254)</f>
        <v>81740</v>
      </c>
      <c r="DR254" s="14">
        <f t="shared" si="469"/>
        <v>1102013</v>
      </c>
      <c r="DS254" s="14" t="str">
        <f t="shared" si="470"/>
        <v>塞伯罗斯10突</v>
      </c>
      <c r="DT254" s="14">
        <f t="shared" si="481"/>
        <v>2</v>
      </c>
      <c r="DU254" s="14">
        <f t="shared" si="482"/>
        <v>3</v>
      </c>
      <c r="DV254" s="14">
        <f t="shared" si="483"/>
        <v>5</v>
      </c>
      <c r="DW254" s="14">
        <f t="shared" si="471"/>
        <v>2</v>
      </c>
      <c r="DX254" s="14">
        <f t="shared" si="472"/>
        <v>10</v>
      </c>
      <c r="DY254" s="14">
        <f t="shared" si="473"/>
        <v>10</v>
      </c>
      <c r="DZ254" s="14">
        <f>INDEX(属性投放!$AX$6:$AX$85,(卡牌属性!DW254-2)*20+卡牌属性!DX254)</f>
        <v>7</v>
      </c>
      <c r="EA254" s="14">
        <f>INDEX(属性投放!BQ$6:BQ$85,卡牌属性!$DY254)</f>
        <v>160</v>
      </c>
      <c r="EB254" s="14">
        <f>INDEX(属性投放!BR$6:BR$85,卡牌属性!$DY254)</f>
        <v>80</v>
      </c>
      <c r="EC254" s="14">
        <f>INDEX(属性投放!BS$6:BS$85,卡牌属性!$DY254)</f>
        <v>1440</v>
      </c>
      <c r="ED254" s="14">
        <f t="shared" si="532"/>
        <v>1162</v>
      </c>
      <c r="EE254" s="14">
        <f t="shared" si="533"/>
        <v>1291</v>
      </c>
      <c r="EF254" s="14">
        <f t="shared" si="534"/>
        <v>1440</v>
      </c>
      <c r="EG254" s="14">
        <f t="shared" si="535"/>
        <v>1440</v>
      </c>
      <c r="EH254" s="14">
        <f t="shared" si="536"/>
        <v>1611</v>
      </c>
      <c r="EI254" s="14">
        <f t="shared" si="537"/>
        <v>608</v>
      </c>
      <c r="EJ254" s="14">
        <f t="shared" si="538"/>
        <v>678</v>
      </c>
      <c r="EK254" s="14">
        <f t="shared" si="539"/>
        <v>678</v>
      </c>
      <c r="EL254" s="14">
        <f t="shared" si="540"/>
        <v>770</v>
      </c>
      <c r="EM254" s="14">
        <f t="shared" si="541"/>
        <v>826</v>
      </c>
      <c r="EN254" s="14">
        <f t="shared" si="542"/>
        <v>11010</v>
      </c>
      <c r="EO254" s="14">
        <f t="shared" si="543"/>
        <v>11746</v>
      </c>
      <c r="EP254" s="14">
        <f t="shared" si="544"/>
        <v>11746</v>
      </c>
      <c r="EQ254" s="14">
        <f t="shared" si="545"/>
        <v>14678</v>
      </c>
      <c r="ER254" s="14">
        <f t="shared" si="546"/>
        <v>15882</v>
      </c>
      <c r="ES254" s="14">
        <f>INDEX(属性偏向!$S$4:$S$243,(卡牌属性!$DT254-1+ES$3)*20+卡牌属性!$DX254)</f>
        <v>10</v>
      </c>
      <c r="ET254" s="14">
        <f>INDEX(属性偏向!$S$4:$S$243,(卡牌属性!$DT254-1+ET$3)*20+卡牌属性!$DX254)</f>
        <v>12</v>
      </c>
      <c r="EU254" s="14">
        <f>INDEX(属性偏向!$S$4:$S$243,(卡牌属性!$DT254-1+EU$3)*20+卡牌属性!$DX254)</f>
        <v>15</v>
      </c>
      <c r="EV254" s="14">
        <f>INDEX(属性偏向!$S$4:$S$243,(卡牌属性!$DT254-1+EV$3)*20+卡牌属性!$DX254)</f>
        <v>15</v>
      </c>
      <c r="EW254" s="14">
        <f>INDEX(属性偏向!$S$4:$S$243,(卡牌属性!$DT254-1+EW$3)*20+卡牌属性!$DX254)</f>
        <v>20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180</v>
      </c>
      <c r="FD254" s="14">
        <f>INDEX(属性偏向!$U$4:$U$243,(卡牌属性!$DV254-1+FD$3)*20+卡牌属性!$DX254)</f>
        <v>189</v>
      </c>
      <c r="FE254" s="14">
        <f>INDEX(属性偏向!$U$4:$U$243,(卡牌属性!$DV254-1+FE$3)*20+卡牌属性!$DX254)</f>
        <v>189</v>
      </c>
      <c r="FF254" s="14">
        <f>INDEX(属性偏向!$U$4:$U$243,(卡牌属性!$DV254-1+FF$3)*20+卡牌属性!$DX254)</f>
        <v>270</v>
      </c>
      <c r="FG254" s="14">
        <f>INDEX(属性偏向!$U$4:$U$243,(卡牌属性!$DV254-1+FG$3)*20+卡牌属性!$DX254)</f>
        <v>315</v>
      </c>
      <c r="FH254" s="14">
        <f>INDEX(属性投放!$BQ$6:$BQ$85,(卡牌属性!$DW254-2)*20+卡牌属性!$DX254)</f>
        <v>160</v>
      </c>
      <c r="FI254" s="14">
        <f>INDEX(属性投放!$BQ$6:$BQ$85,(卡牌属性!$DW254-2)*20+卡牌属性!$DX254)</f>
        <v>160</v>
      </c>
      <c r="FJ254" s="14">
        <f>INDEX(属性投放!$BQ$6:$BQ$85,(卡牌属性!$DW254-2)*20+卡牌属性!$DX254)</f>
        <v>160</v>
      </c>
      <c r="FK254" s="14">
        <f>INDEX(属性投放!$BQ$6:$BQ$85,(卡牌属性!$DW254-2)*20+卡牌属性!$DX254)</f>
        <v>160</v>
      </c>
      <c r="FL254" s="14">
        <f>INDEX(属性投放!$BQ$6:$BQ$85,(卡牌属性!$DW254-2)*20+卡牌属性!$DX254)</f>
        <v>160</v>
      </c>
      <c r="FM254" s="14">
        <f>INDEX(属性投放!$BR$6:$BR$85,(卡牌属性!$DW254-2)*20+卡牌属性!$DX254)</f>
        <v>80</v>
      </c>
      <c r="FN254" s="14">
        <f>INDEX(属性投放!$BR$6:$BR$85,(卡牌属性!$DW254-2)*20+卡牌属性!$DX254)</f>
        <v>80</v>
      </c>
      <c r="FO254" s="14">
        <f>INDEX(属性投放!$BR$6:$BR$85,(卡牌属性!$DW254-2)*20+卡牌属性!$DX254)</f>
        <v>80</v>
      </c>
      <c r="FP254" s="14">
        <f>INDEX(属性投放!$BR$6:$BR$85,(卡牌属性!$DW254-2)*20+卡牌属性!$DX254)</f>
        <v>80</v>
      </c>
      <c r="FQ254" s="14">
        <f>INDEX(属性投放!$BR$6:$BR$85,(卡牌属性!$DW254-2)*20+卡牌属性!$DX254)</f>
        <v>80</v>
      </c>
      <c r="FR254" s="14">
        <f>INDEX(属性投放!$BS$6:$BS$85,(卡牌属性!$DW254-2)*20+卡牌属性!$DX254)</f>
        <v>1440</v>
      </c>
      <c r="FS254" s="14">
        <f>INDEX(属性投放!$BS$6:$BS$85,(卡牌属性!$DW254-2)*20+卡牌属性!$DX254)</f>
        <v>1440</v>
      </c>
      <c r="FT254" s="14">
        <f>INDEX(属性投放!$BS$6:$BS$85,(卡牌属性!$DW254-2)*20+卡牌属性!$DX254)</f>
        <v>1440</v>
      </c>
      <c r="FU254" s="14">
        <f>INDEX(属性投放!$BS$6:$BS$85,(卡牌属性!$DW254-2)*20+卡牌属性!$DX254)</f>
        <v>1440</v>
      </c>
      <c r="FV254" s="14">
        <f>INDEX(属性投放!$BS$6:$BS$85,(卡牌属性!$DW254-2)*20+卡牌属性!$DX254)</f>
        <v>1440</v>
      </c>
    </row>
    <row r="255" spans="31:178" ht="16.5" x14ac:dyDescent="0.2">
      <c r="AE255" s="13">
        <v>251</v>
      </c>
      <c r="AF255" s="13">
        <f t="shared" si="474"/>
        <v>13</v>
      </c>
      <c r="AG255" s="13">
        <f t="shared" si="461"/>
        <v>2</v>
      </c>
      <c r="AH255" s="13"/>
      <c r="AI255" s="13"/>
      <c r="AJ255" s="14">
        <f t="shared" si="462"/>
        <v>1101013</v>
      </c>
      <c r="AK255" s="14" t="str">
        <f t="shared" si="463"/>
        <v>吉拉11突</v>
      </c>
      <c r="AL255" s="25" t="s">
        <v>142</v>
      </c>
      <c r="AM255" s="14">
        <v>1</v>
      </c>
      <c r="AN255" s="14">
        <f t="shared" si="464"/>
        <v>11</v>
      </c>
      <c r="AO255" s="14">
        <f>INDEX(属性投放!$DF$6:$DF$85,(卡牌属性!AG255-2)*20+卡牌属性!AN255)</f>
        <v>2140</v>
      </c>
      <c r="AP255" s="14">
        <f t="shared" si="526"/>
        <v>2140</v>
      </c>
      <c r="AQ255" s="14">
        <f t="shared" si="526"/>
        <v>2140</v>
      </c>
      <c r="AR255" s="14">
        <f t="shared" si="526"/>
        <v>2140</v>
      </c>
      <c r="AS255" s="14">
        <f t="shared" si="526"/>
        <v>2140</v>
      </c>
      <c r="AT255" s="14">
        <f>INDEX(属性投放!$DG$6:$DG$85,(卡牌属性!AG255-2)*20+卡牌属性!AN255)</f>
        <v>1020</v>
      </c>
      <c r="AU255" s="14">
        <f t="shared" si="527"/>
        <v>1020</v>
      </c>
      <c r="AV255" s="14">
        <f t="shared" si="527"/>
        <v>1020</v>
      </c>
      <c r="AW255" s="14">
        <f t="shared" si="527"/>
        <v>1020</v>
      </c>
      <c r="AX255" s="14">
        <f t="shared" si="527"/>
        <v>1020</v>
      </c>
      <c r="AY255" s="14">
        <f>INDEX(属性投放!$DH$6:$DH$85,(卡牌属性!AG255-2)*20+卡牌属性!AN255)</f>
        <v>15492</v>
      </c>
      <c r="AZ255" s="14">
        <f t="shared" si="528"/>
        <v>15492</v>
      </c>
      <c r="BA255" s="14">
        <f t="shared" si="528"/>
        <v>15492</v>
      </c>
      <c r="BB255" s="14">
        <f t="shared" si="528"/>
        <v>15492</v>
      </c>
      <c r="BC255" s="14">
        <f t="shared" si="528"/>
        <v>15492</v>
      </c>
      <c r="BD255" s="14">
        <f>INDEX(属性投放!$DL$6:$DL$85,(卡牌属性!AG255-2)*20+卡牌属性!AN255)</f>
        <v>76</v>
      </c>
      <c r="BE255" s="14">
        <f t="shared" si="529"/>
        <v>76</v>
      </c>
      <c r="BF255" s="14">
        <f t="shared" si="529"/>
        <v>76</v>
      </c>
      <c r="BG255" s="14">
        <f t="shared" si="529"/>
        <v>76</v>
      </c>
      <c r="BH255" s="14">
        <f t="shared" si="529"/>
        <v>76</v>
      </c>
      <c r="BI255" s="14">
        <f>INDEX(属性投放!$DM$6:$DM$85,(卡牌属性!AG255-2)*20+卡牌属性!AN255)</f>
        <v>38</v>
      </c>
      <c r="BJ255" s="14">
        <f t="shared" si="530"/>
        <v>38</v>
      </c>
      <c r="BK255" s="14">
        <f t="shared" si="530"/>
        <v>38</v>
      </c>
      <c r="BL255" s="14">
        <f t="shared" si="530"/>
        <v>38</v>
      </c>
      <c r="BM255" s="14">
        <f t="shared" si="530"/>
        <v>38</v>
      </c>
      <c r="BN255" s="14">
        <f>INDEX(属性投放!$DN$6:$DN$85,(卡牌属性!AG255-2)*20+卡牌属性!AN255)</f>
        <v>685</v>
      </c>
      <c r="BO255" s="14">
        <f t="shared" si="531"/>
        <v>685</v>
      </c>
      <c r="BP255" s="14">
        <f t="shared" si="531"/>
        <v>685</v>
      </c>
      <c r="BQ255" s="14">
        <f t="shared" si="531"/>
        <v>685</v>
      </c>
      <c r="BR255" s="14">
        <f t="shared" si="531"/>
        <v>685</v>
      </c>
      <c r="BW255" s="13">
        <v>251</v>
      </c>
      <c r="BX255" s="13">
        <f t="shared" si="465"/>
        <v>13</v>
      </c>
      <c r="BY255" s="14">
        <f t="shared" si="466"/>
        <v>2</v>
      </c>
      <c r="BZ255" s="14">
        <f t="shared" si="475"/>
        <v>1102013</v>
      </c>
      <c r="CA255" s="14" t="str">
        <f t="shared" si="476"/>
        <v>塞伯罗斯11突</v>
      </c>
      <c r="CB255" s="25" t="s">
        <v>142</v>
      </c>
      <c r="CC255" s="14">
        <v>2</v>
      </c>
      <c r="CD255" s="14">
        <f t="shared" si="467"/>
        <v>11</v>
      </c>
      <c r="CE255" s="14" t="s">
        <v>21</v>
      </c>
      <c r="CF255" s="14">
        <f>INDEX(属性投放!$AZ$6:$AZ$85,(BY255-2)*20+CD255)</f>
        <v>2640</v>
      </c>
      <c r="CG255" s="14" t="s">
        <v>22</v>
      </c>
      <c r="CH255" s="14">
        <f>INDEX(属性投放!$BA$6:$BA$85,(BY255-2)*20+CD255)</f>
        <v>1276</v>
      </c>
      <c r="CI255" s="14" t="s">
        <v>510</v>
      </c>
      <c r="CJ255" s="14">
        <f>INDEX(属性投放!$BB$6:$BB$85,(BY255-2)*20+CD255)</f>
        <v>19838</v>
      </c>
      <c r="CK255" s="14" t="s">
        <v>21</v>
      </c>
      <c r="CL255" s="14">
        <f>INDEX(属性投放!$BC$6:$BC$85,(BY255-2)*20+CD255)</f>
        <v>12</v>
      </c>
      <c r="CM255" s="14" t="s">
        <v>22</v>
      </c>
      <c r="CN255" s="14">
        <f>INDEX(属性投放!$BD$6:$BD$85,(BY255-2)*20+CD255)</f>
        <v>6</v>
      </c>
      <c r="CO255" s="14" t="s">
        <v>510</v>
      </c>
      <c r="CP255" s="14">
        <f>INDEX(属性投放!$BE$6:$BE$85,(BY255-2)*20+CD255)</f>
        <v>108</v>
      </c>
      <c r="CS255" s="13">
        <v>251</v>
      </c>
      <c r="CT255" s="13">
        <f t="shared" si="477"/>
        <v>5</v>
      </c>
      <c r="CU255" s="13">
        <f t="shared" si="478"/>
        <v>43</v>
      </c>
      <c r="CV255" s="14">
        <f t="shared" si="479"/>
        <v>3</v>
      </c>
      <c r="CW255" s="14">
        <f t="shared" si="480"/>
        <v>1102005</v>
      </c>
      <c r="CX255" s="14" t="str">
        <f>INDEX($O$6:$O$50,CT255)&amp;"-"&amp;INDEX(属性投放!$AB$7:$AB$50,CZ255)&amp;"-魂火-"&amp;DB255</f>
        <v>李轩辕-大焦热+2-魂火-1</v>
      </c>
      <c r="CY255" s="25" t="s">
        <v>142</v>
      </c>
      <c r="CZ255" s="14">
        <f>INDEX(属性投放!$AM$7:$AM$58,CU255)</f>
        <v>18</v>
      </c>
      <c r="DA255" s="14" t="s">
        <v>537</v>
      </c>
      <c r="DB255" s="14">
        <f>INDEX(属性投放!$AN$7:$AN$58,CU255)</f>
        <v>1</v>
      </c>
      <c r="DC255" s="14">
        <f t="shared" si="468"/>
        <v>43</v>
      </c>
      <c r="DD255" s="14">
        <f>INDEX(属性投放!$AO$7:$AO$58,DC255)</f>
        <v>125</v>
      </c>
      <c r="DE255" s="14" t="s">
        <v>538</v>
      </c>
      <c r="DF255" s="14">
        <f>INDEX(属性投放!$BK$6:$BK$85,(CV255-2)*20+CZ255)</f>
        <v>700</v>
      </c>
      <c r="DG255" s="14">
        <f>SUMIFS(DF$5:DF255,$CT$5:$CT255,"="&amp;$CT255)</f>
        <v>9270</v>
      </c>
      <c r="DH255" s="14" t="s">
        <v>539</v>
      </c>
      <c r="DI255" s="14">
        <f>INDEX(属性投放!$BL$6:$BL$85,(CV255-2)*20+CZ255)</f>
        <v>350</v>
      </c>
      <c r="DJ255" s="14">
        <f>SUMIFS(DI$5:DI255,$CT$5:$CT255,"="&amp;$CT255)</f>
        <v>4638</v>
      </c>
      <c r="DK255" s="14" t="s">
        <v>540</v>
      </c>
      <c r="DL255" s="14">
        <f>INDEX(属性投放!$BM$6:$BM$85,(CV255-2)*20+CZ255)</f>
        <v>7000</v>
      </c>
      <c r="DM255" s="14">
        <f>SUMIFS(DL$5:DL255,$CT$5:$CT255,"="&amp;$CT255)</f>
        <v>88740</v>
      </c>
      <c r="DR255" s="14">
        <f t="shared" si="469"/>
        <v>1102013</v>
      </c>
      <c r="DS255" s="14" t="str">
        <f t="shared" si="470"/>
        <v>塞伯罗斯11突</v>
      </c>
      <c r="DT255" s="14">
        <f t="shared" si="481"/>
        <v>2</v>
      </c>
      <c r="DU255" s="14">
        <f t="shared" si="482"/>
        <v>3</v>
      </c>
      <c r="DV255" s="14">
        <f t="shared" si="483"/>
        <v>5</v>
      </c>
      <c r="DW255" s="14">
        <f t="shared" si="471"/>
        <v>2</v>
      </c>
      <c r="DX255" s="14">
        <f t="shared" si="472"/>
        <v>11</v>
      </c>
      <c r="DY255" s="14">
        <f t="shared" si="473"/>
        <v>11</v>
      </c>
      <c r="DZ255" s="14">
        <f>INDEX(属性投放!$AX$6:$AX$85,(卡牌属性!DW255-2)*20+卡牌属性!DX255)</f>
        <v>8</v>
      </c>
      <c r="EA255" s="14">
        <f>INDEX(属性投放!BQ$6:BQ$85,卡牌属性!$DY255)</f>
        <v>200</v>
      </c>
      <c r="EB255" s="14">
        <f>INDEX(属性投放!BR$6:BR$85,卡牌属性!$DY255)</f>
        <v>100</v>
      </c>
      <c r="EC255" s="14">
        <f>INDEX(属性投放!BS$6:BS$85,卡牌属性!$DY255)</f>
        <v>1800</v>
      </c>
      <c r="ED255" s="14">
        <f t="shared" si="532"/>
        <v>1392</v>
      </c>
      <c r="EE255" s="14">
        <f t="shared" si="533"/>
        <v>1535</v>
      </c>
      <c r="EF255" s="14">
        <f t="shared" si="534"/>
        <v>1705</v>
      </c>
      <c r="EG255" s="14">
        <f t="shared" si="535"/>
        <v>1705</v>
      </c>
      <c r="EH255" s="14">
        <f t="shared" si="536"/>
        <v>1911</v>
      </c>
      <c r="EI255" s="14">
        <f t="shared" si="537"/>
        <v>730</v>
      </c>
      <c r="EJ255" s="14">
        <f t="shared" si="538"/>
        <v>814</v>
      </c>
      <c r="EK255" s="14">
        <f t="shared" si="539"/>
        <v>814</v>
      </c>
      <c r="EL255" s="14">
        <f t="shared" si="540"/>
        <v>920</v>
      </c>
      <c r="EM255" s="14">
        <f t="shared" si="541"/>
        <v>983</v>
      </c>
      <c r="EN255" s="14">
        <f t="shared" si="542"/>
        <v>13710</v>
      </c>
      <c r="EO255" s="14">
        <f t="shared" si="543"/>
        <v>14509</v>
      </c>
      <c r="EP255" s="14">
        <f t="shared" si="544"/>
        <v>14509</v>
      </c>
      <c r="EQ255" s="14">
        <f t="shared" si="545"/>
        <v>18008</v>
      </c>
      <c r="ER255" s="14">
        <f t="shared" si="546"/>
        <v>19527</v>
      </c>
      <c r="ES255" s="14">
        <f>INDEX(属性偏向!$S$4:$S$243,(卡牌属性!$DT255-1+ES$3)*20+卡牌属性!$DX255)</f>
        <v>10</v>
      </c>
      <c r="ET255" s="14">
        <f>INDEX(属性偏向!$S$4:$S$243,(卡牌属性!$DT255-1+ET$3)*20+卡牌属性!$DX255)</f>
        <v>12</v>
      </c>
      <c r="EU255" s="14">
        <f>INDEX(属性偏向!$S$4:$S$243,(卡牌属性!$DT255-1+EU$3)*20+卡牌属性!$DX255)</f>
        <v>15</v>
      </c>
      <c r="EV255" s="14">
        <f>INDEX(属性偏向!$S$4:$S$243,(卡牌属性!$DT255-1+EV$3)*20+卡牌属性!$DX255)</f>
        <v>15</v>
      </c>
      <c r="EW255" s="14">
        <f>INDEX(属性偏向!$S$4:$S$243,(卡牌属性!$DT255-1+EW$3)*20+卡牌属性!$DX255)</f>
        <v>20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180</v>
      </c>
      <c r="FD255" s="14">
        <f>INDEX(属性偏向!$U$4:$U$243,(卡牌属性!$DV255-1+FD$3)*20+卡牌属性!$DX255)</f>
        <v>189</v>
      </c>
      <c r="FE255" s="14">
        <f>INDEX(属性偏向!$U$4:$U$243,(卡牌属性!$DV255-1+FE$3)*20+卡牌属性!$DX255)</f>
        <v>189</v>
      </c>
      <c r="FF255" s="14">
        <f>INDEX(属性偏向!$U$4:$U$243,(卡牌属性!$DV255-1+FF$3)*20+卡牌属性!$DX255)</f>
        <v>270</v>
      </c>
      <c r="FG255" s="14">
        <f>INDEX(属性偏向!$U$4:$U$243,(卡牌属性!$DV255-1+FG$3)*20+卡牌属性!$DX255)</f>
        <v>315</v>
      </c>
      <c r="FH255" s="14">
        <f>INDEX(属性投放!$BQ$6:$BQ$85,(卡牌属性!$DW255-2)*20+卡牌属性!$DX255)</f>
        <v>200</v>
      </c>
      <c r="FI255" s="14">
        <f>INDEX(属性投放!$BQ$6:$BQ$85,(卡牌属性!$DW255-2)*20+卡牌属性!$DX255)</f>
        <v>200</v>
      </c>
      <c r="FJ255" s="14">
        <f>INDEX(属性投放!$BQ$6:$BQ$85,(卡牌属性!$DW255-2)*20+卡牌属性!$DX255)</f>
        <v>200</v>
      </c>
      <c r="FK255" s="14">
        <f>INDEX(属性投放!$BQ$6:$BQ$85,(卡牌属性!$DW255-2)*20+卡牌属性!$DX255)</f>
        <v>200</v>
      </c>
      <c r="FL255" s="14">
        <f>INDEX(属性投放!$BQ$6:$BQ$85,(卡牌属性!$DW255-2)*20+卡牌属性!$DX255)</f>
        <v>200</v>
      </c>
      <c r="FM255" s="14">
        <f>INDEX(属性投放!$BR$6:$BR$85,(卡牌属性!$DW255-2)*20+卡牌属性!$DX255)</f>
        <v>100</v>
      </c>
      <c r="FN255" s="14">
        <f>INDEX(属性投放!$BR$6:$BR$85,(卡牌属性!$DW255-2)*20+卡牌属性!$DX255)</f>
        <v>100</v>
      </c>
      <c r="FO255" s="14">
        <f>INDEX(属性投放!$BR$6:$BR$85,(卡牌属性!$DW255-2)*20+卡牌属性!$DX255)</f>
        <v>100</v>
      </c>
      <c r="FP255" s="14">
        <f>INDEX(属性投放!$BR$6:$BR$85,(卡牌属性!$DW255-2)*20+卡牌属性!$DX255)</f>
        <v>100</v>
      </c>
      <c r="FQ255" s="14">
        <f>INDEX(属性投放!$BR$6:$BR$85,(卡牌属性!$DW255-2)*20+卡牌属性!$DX255)</f>
        <v>100</v>
      </c>
      <c r="FR255" s="14">
        <f>INDEX(属性投放!$BS$6:$BS$85,(卡牌属性!$DW255-2)*20+卡牌属性!$DX255)</f>
        <v>1800</v>
      </c>
      <c r="FS255" s="14">
        <f>INDEX(属性投放!$BS$6:$BS$85,(卡牌属性!$DW255-2)*20+卡牌属性!$DX255)</f>
        <v>1800</v>
      </c>
      <c r="FT255" s="14">
        <f>INDEX(属性投放!$BS$6:$BS$85,(卡牌属性!$DW255-2)*20+卡牌属性!$DX255)</f>
        <v>1800</v>
      </c>
      <c r="FU255" s="14">
        <f>INDEX(属性投放!$BS$6:$BS$85,(卡牌属性!$DW255-2)*20+卡牌属性!$DX255)</f>
        <v>1800</v>
      </c>
      <c r="FV255" s="14">
        <f>INDEX(属性投放!$BS$6:$BS$85,(卡牌属性!$DW255-2)*20+卡牌属性!$DX255)</f>
        <v>1800</v>
      </c>
    </row>
    <row r="256" spans="31:178" ht="16.5" x14ac:dyDescent="0.2">
      <c r="AE256" s="13">
        <v>252</v>
      </c>
      <c r="AF256" s="13">
        <f t="shared" si="474"/>
        <v>13</v>
      </c>
      <c r="AG256" s="13">
        <f t="shared" si="461"/>
        <v>2</v>
      </c>
      <c r="AH256" s="13"/>
      <c r="AI256" s="13"/>
      <c r="AJ256" s="14">
        <f t="shared" si="462"/>
        <v>1101013</v>
      </c>
      <c r="AK256" s="14" t="str">
        <f t="shared" si="463"/>
        <v>吉拉12突</v>
      </c>
      <c r="AL256" s="25" t="s">
        <v>142</v>
      </c>
      <c r="AM256" s="14">
        <v>1</v>
      </c>
      <c r="AN256" s="14">
        <f t="shared" si="464"/>
        <v>12</v>
      </c>
      <c r="AO256" s="14">
        <f>INDEX(属性投放!$DF$6:$DF$85,(卡牌属性!AG256-2)*20+卡牌属性!AN256)</f>
        <v>2357</v>
      </c>
      <c r="AP256" s="14">
        <f t="shared" si="526"/>
        <v>2357</v>
      </c>
      <c r="AQ256" s="14">
        <f t="shared" si="526"/>
        <v>2357</v>
      </c>
      <c r="AR256" s="14">
        <f t="shared" si="526"/>
        <v>2357</v>
      </c>
      <c r="AS256" s="14">
        <f t="shared" si="526"/>
        <v>2357</v>
      </c>
      <c r="AT256" s="14">
        <f>INDEX(属性投放!$DG$6:$DG$85,(卡牌属性!AG256-2)*20+卡牌属性!AN256)</f>
        <v>1129</v>
      </c>
      <c r="AU256" s="14">
        <f t="shared" si="527"/>
        <v>1129</v>
      </c>
      <c r="AV256" s="14">
        <f t="shared" si="527"/>
        <v>1129</v>
      </c>
      <c r="AW256" s="14">
        <f t="shared" si="527"/>
        <v>1129</v>
      </c>
      <c r="AX256" s="14">
        <f t="shared" si="527"/>
        <v>1129</v>
      </c>
      <c r="AY256" s="14">
        <f>INDEX(属性投放!$DH$6:$DH$85,(卡牌属性!AG256-2)*20+卡牌属性!AN256)</f>
        <v>17449</v>
      </c>
      <c r="AZ256" s="14">
        <f t="shared" si="528"/>
        <v>17449</v>
      </c>
      <c r="BA256" s="14">
        <f t="shared" si="528"/>
        <v>17449</v>
      </c>
      <c r="BB256" s="14">
        <f t="shared" si="528"/>
        <v>17449</v>
      </c>
      <c r="BC256" s="14">
        <f t="shared" si="528"/>
        <v>17449</v>
      </c>
      <c r="BD256" s="14">
        <f>INDEX(属性投放!$DL$6:$DL$85,(卡牌属性!AG256-2)*20+卡牌属性!AN256)</f>
        <v>76</v>
      </c>
      <c r="BE256" s="14">
        <f t="shared" si="529"/>
        <v>76</v>
      </c>
      <c r="BF256" s="14">
        <f t="shared" si="529"/>
        <v>76</v>
      </c>
      <c r="BG256" s="14">
        <f t="shared" si="529"/>
        <v>76</v>
      </c>
      <c r="BH256" s="14">
        <f t="shared" si="529"/>
        <v>76</v>
      </c>
      <c r="BI256" s="14">
        <f>INDEX(属性投放!$DM$6:$DM$85,(卡牌属性!AG256-2)*20+卡牌属性!AN256)</f>
        <v>38</v>
      </c>
      <c r="BJ256" s="14">
        <f t="shared" si="530"/>
        <v>38</v>
      </c>
      <c r="BK256" s="14">
        <f t="shared" si="530"/>
        <v>38</v>
      </c>
      <c r="BL256" s="14">
        <f t="shared" si="530"/>
        <v>38</v>
      </c>
      <c r="BM256" s="14">
        <f t="shared" si="530"/>
        <v>38</v>
      </c>
      <c r="BN256" s="14">
        <f>INDEX(属性投放!$DN$6:$DN$85,(卡牌属性!AG256-2)*20+卡牌属性!AN256)</f>
        <v>685</v>
      </c>
      <c r="BO256" s="14">
        <f t="shared" si="531"/>
        <v>685</v>
      </c>
      <c r="BP256" s="14">
        <f t="shared" si="531"/>
        <v>685</v>
      </c>
      <c r="BQ256" s="14">
        <f t="shared" si="531"/>
        <v>685</v>
      </c>
      <c r="BR256" s="14">
        <f t="shared" si="531"/>
        <v>685</v>
      </c>
      <c r="BW256" s="13">
        <v>252</v>
      </c>
      <c r="BX256" s="13">
        <f t="shared" si="465"/>
        <v>13</v>
      </c>
      <c r="BY256" s="14">
        <f t="shared" si="466"/>
        <v>2</v>
      </c>
      <c r="BZ256" s="14">
        <f t="shared" si="475"/>
        <v>1102013</v>
      </c>
      <c r="CA256" s="14" t="str">
        <f t="shared" si="476"/>
        <v>塞伯罗斯12突</v>
      </c>
      <c r="CB256" s="25" t="s">
        <v>142</v>
      </c>
      <c r="CC256" s="14">
        <v>2</v>
      </c>
      <c r="CD256" s="14">
        <f t="shared" si="467"/>
        <v>12</v>
      </c>
      <c r="CE256" s="14" t="s">
        <v>21</v>
      </c>
      <c r="CF256" s="14">
        <f>INDEX(属性投放!$AZ$6:$AZ$85,(BY256-2)*20+CD256)</f>
        <v>3326</v>
      </c>
      <c r="CG256" s="14" t="s">
        <v>22</v>
      </c>
      <c r="CH256" s="14">
        <f>INDEX(属性投放!$BA$6:$BA$85,(BY256-2)*20+CD256)</f>
        <v>1619</v>
      </c>
      <c r="CI256" s="14" t="s">
        <v>510</v>
      </c>
      <c r="CJ256" s="14">
        <f>INDEX(属性投放!$BB$6:$BB$85,(BY256-2)*20+CD256)</f>
        <v>26012</v>
      </c>
      <c r="CK256" s="14" t="s">
        <v>21</v>
      </c>
      <c r="CL256" s="14">
        <f>INDEX(属性投放!$BC$6:$BC$85,(BY256-2)*20+CD256)</f>
        <v>12</v>
      </c>
      <c r="CM256" s="14" t="s">
        <v>22</v>
      </c>
      <c r="CN256" s="14">
        <f>INDEX(属性投放!$BD$6:$BD$85,(BY256-2)*20+CD256)</f>
        <v>6</v>
      </c>
      <c r="CO256" s="14" t="s">
        <v>510</v>
      </c>
      <c r="CP256" s="14">
        <f>INDEX(属性投放!$BE$6:$BE$85,(BY256-2)*20+CD256)</f>
        <v>108</v>
      </c>
      <c r="CS256" s="13">
        <v>252</v>
      </c>
      <c r="CT256" s="13">
        <f t="shared" si="477"/>
        <v>5</v>
      </c>
      <c r="CU256" s="13">
        <f t="shared" si="478"/>
        <v>44</v>
      </c>
      <c r="CV256" s="14">
        <f t="shared" si="479"/>
        <v>3</v>
      </c>
      <c r="CW256" s="14">
        <f t="shared" si="480"/>
        <v>1102005</v>
      </c>
      <c r="CX256" s="14" t="str">
        <f>INDEX($O$6:$O$50,CT256)&amp;"-"&amp;INDEX(属性投放!$AB$7:$AB$50,CZ256)&amp;"-魂火-"&amp;DB256</f>
        <v>李轩辕-大焦热+2-魂火-2</v>
      </c>
      <c r="CY256" s="25" t="s">
        <v>142</v>
      </c>
      <c r="CZ256" s="14">
        <f>INDEX(属性投放!$AM$7:$AM$58,CU256)</f>
        <v>18</v>
      </c>
      <c r="DA256" s="14" t="s">
        <v>537</v>
      </c>
      <c r="DB256" s="14">
        <f>INDEX(属性投放!$AN$7:$AN$58,CU256)</f>
        <v>2</v>
      </c>
      <c r="DC256" s="14">
        <f t="shared" si="468"/>
        <v>44</v>
      </c>
      <c r="DD256" s="14">
        <f>INDEX(属性投放!$AO$7:$AO$58,DC256)</f>
        <v>128</v>
      </c>
      <c r="DE256" s="14" t="s">
        <v>538</v>
      </c>
      <c r="DF256" s="14">
        <f>INDEX(属性投放!$BK$6:$BK$85,(CV256-2)*20+CZ256)</f>
        <v>700</v>
      </c>
      <c r="DG256" s="14">
        <f>SUMIFS(DF$5:DF256,$CT$5:$CT256,"="&amp;$CT256)</f>
        <v>9970</v>
      </c>
      <c r="DH256" s="14" t="s">
        <v>539</v>
      </c>
      <c r="DI256" s="14">
        <f>INDEX(属性投放!$BL$6:$BL$85,(CV256-2)*20+CZ256)</f>
        <v>350</v>
      </c>
      <c r="DJ256" s="14">
        <f>SUMIFS(DI$5:DI256,$CT$5:$CT256,"="&amp;$CT256)</f>
        <v>4988</v>
      </c>
      <c r="DK256" s="14" t="s">
        <v>540</v>
      </c>
      <c r="DL256" s="14">
        <f>INDEX(属性投放!$BM$6:$BM$85,(CV256-2)*20+CZ256)</f>
        <v>7000</v>
      </c>
      <c r="DM256" s="14">
        <f>SUMIFS(DL$5:DL256,$CT$5:$CT256,"="&amp;$CT256)</f>
        <v>95740</v>
      </c>
      <c r="DR256" s="14">
        <f t="shared" si="469"/>
        <v>1102013</v>
      </c>
      <c r="DS256" s="14" t="str">
        <f t="shared" si="470"/>
        <v>塞伯罗斯12突</v>
      </c>
      <c r="DT256" s="14">
        <f t="shared" si="481"/>
        <v>2</v>
      </c>
      <c r="DU256" s="14">
        <f t="shared" si="482"/>
        <v>3</v>
      </c>
      <c r="DV256" s="14">
        <f t="shared" si="483"/>
        <v>5</v>
      </c>
      <c r="DW256" s="14">
        <f t="shared" si="471"/>
        <v>2</v>
      </c>
      <c r="DX256" s="14">
        <f t="shared" si="472"/>
        <v>12</v>
      </c>
      <c r="DY256" s="14">
        <f t="shared" si="473"/>
        <v>12</v>
      </c>
      <c r="DZ256" s="14">
        <f>INDEX(属性投放!$AX$6:$AX$85,(卡牌属性!DW256-2)*20+卡牌属性!DX256)</f>
        <v>7</v>
      </c>
      <c r="EA256" s="14">
        <f>INDEX(属性投放!BQ$6:BQ$85,卡牌属性!$DY256)</f>
        <v>350</v>
      </c>
      <c r="EB256" s="14">
        <f>INDEX(属性投放!BR$6:BR$85,卡牌属性!$DY256)</f>
        <v>175</v>
      </c>
      <c r="EC256" s="14">
        <f>INDEX(属性投放!BS$6:BS$85,卡牌属性!$DY256)</f>
        <v>3150</v>
      </c>
      <c r="ED256" s="14">
        <f t="shared" si="532"/>
        <v>1672</v>
      </c>
      <c r="EE256" s="14">
        <f t="shared" si="533"/>
        <v>1831</v>
      </c>
      <c r="EF256" s="14">
        <f t="shared" si="534"/>
        <v>2025</v>
      </c>
      <c r="EG256" s="14">
        <f t="shared" si="535"/>
        <v>2025</v>
      </c>
      <c r="EH256" s="14">
        <f t="shared" si="536"/>
        <v>2271</v>
      </c>
      <c r="EI256" s="14">
        <f t="shared" si="537"/>
        <v>878</v>
      </c>
      <c r="EJ256" s="14">
        <f t="shared" si="538"/>
        <v>978</v>
      </c>
      <c r="EK256" s="14">
        <f t="shared" si="539"/>
        <v>978</v>
      </c>
      <c r="EL256" s="14">
        <f t="shared" si="540"/>
        <v>1100</v>
      </c>
      <c r="EM256" s="14">
        <f t="shared" si="541"/>
        <v>1171</v>
      </c>
      <c r="EN256" s="14">
        <f t="shared" si="542"/>
        <v>16950</v>
      </c>
      <c r="EO256" s="14">
        <f t="shared" si="543"/>
        <v>17821</v>
      </c>
      <c r="EP256" s="14">
        <f t="shared" si="544"/>
        <v>17821</v>
      </c>
      <c r="EQ256" s="14">
        <f t="shared" si="545"/>
        <v>21968</v>
      </c>
      <c r="ER256" s="14">
        <f t="shared" si="546"/>
        <v>23847</v>
      </c>
      <c r="ES256" s="14">
        <f>INDEX(属性偏向!$S$4:$S$243,(卡牌属性!$DT256-1+ES$3)*20+卡牌属性!$DX256)</f>
        <v>10</v>
      </c>
      <c r="ET256" s="14">
        <f>INDEX(属性偏向!$S$4:$S$243,(卡牌属性!$DT256-1+ET$3)*20+卡牌属性!$DX256)</f>
        <v>12</v>
      </c>
      <c r="EU256" s="14">
        <f>INDEX(属性偏向!$S$4:$S$243,(卡牌属性!$DT256-1+EU$3)*20+卡牌属性!$DX256)</f>
        <v>15</v>
      </c>
      <c r="EV256" s="14">
        <f>INDEX(属性偏向!$S$4:$S$243,(卡牌属性!$DT256-1+EV$3)*20+卡牌属性!$DX256)</f>
        <v>15</v>
      </c>
      <c r="EW256" s="14">
        <f>INDEX(属性偏向!$S$4:$S$243,(卡牌属性!$DT256-1+EW$3)*20+卡牌属性!$DX256)</f>
        <v>20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180</v>
      </c>
      <c r="FD256" s="14">
        <f>INDEX(属性偏向!$U$4:$U$243,(卡牌属性!$DV256-1+FD$3)*20+卡牌属性!$DX256)</f>
        <v>189</v>
      </c>
      <c r="FE256" s="14">
        <f>INDEX(属性偏向!$U$4:$U$243,(卡牌属性!$DV256-1+FE$3)*20+卡牌属性!$DX256)</f>
        <v>189</v>
      </c>
      <c r="FF256" s="14">
        <f>INDEX(属性偏向!$U$4:$U$243,(卡牌属性!$DV256-1+FF$3)*20+卡牌属性!$DX256)</f>
        <v>270</v>
      </c>
      <c r="FG256" s="14">
        <f>INDEX(属性偏向!$U$4:$U$243,(卡牌属性!$DV256-1+FG$3)*20+卡牌属性!$DX256)</f>
        <v>315</v>
      </c>
      <c r="FH256" s="14">
        <f>INDEX(属性投放!$BQ$6:$BQ$85,(卡牌属性!$DW256-2)*20+卡牌属性!$DX256)</f>
        <v>350</v>
      </c>
      <c r="FI256" s="14">
        <f>INDEX(属性投放!$BQ$6:$BQ$85,(卡牌属性!$DW256-2)*20+卡牌属性!$DX256)</f>
        <v>350</v>
      </c>
      <c r="FJ256" s="14">
        <f>INDEX(属性投放!$BQ$6:$BQ$85,(卡牌属性!$DW256-2)*20+卡牌属性!$DX256)</f>
        <v>350</v>
      </c>
      <c r="FK256" s="14">
        <f>INDEX(属性投放!$BQ$6:$BQ$85,(卡牌属性!$DW256-2)*20+卡牌属性!$DX256)</f>
        <v>350</v>
      </c>
      <c r="FL256" s="14">
        <f>INDEX(属性投放!$BQ$6:$BQ$85,(卡牌属性!$DW256-2)*20+卡牌属性!$DX256)</f>
        <v>350</v>
      </c>
      <c r="FM256" s="14">
        <f>INDEX(属性投放!$BR$6:$BR$85,(卡牌属性!$DW256-2)*20+卡牌属性!$DX256)</f>
        <v>175</v>
      </c>
      <c r="FN256" s="14">
        <f>INDEX(属性投放!$BR$6:$BR$85,(卡牌属性!$DW256-2)*20+卡牌属性!$DX256)</f>
        <v>175</v>
      </c>
      <c r="FO256" s="14">
        <f>INDEX(属性投放!$BR$6:$BR$85,(卡牌属性!$DW256-2)*20+卡牌属性!$DX256)</f>
        <v>175</v>
      </c>
      <c r="FP256" s="14">
        <f>INDEX(属性投放!$BR$6:$BR$85,(卡牌属性!$DW256-2)*20+卡牌属性!$DX256)</f>
        <v>175</v>
      </c>
      <c r="FQ256" s="14">
        <f>INDEX(属性投放!$BR$6:$BR$85,(卡牌属性!$DW256-2)*20+卡牌属性!$DX256)</f>
        <v>175</v>
      </c>
      <c r="FR256" s="14">
        <f>INDEX(属性投放!$BS$6:$BS$85,(卡牌属性!$DW256-2)*20+卡牌属性!$DX256)</f>
        <v>3150</v>
      </c>
      <c r="FS256" s="14">
        <f>INDEX(属性投放!$BS$6:$BS$85,(卡牌属性!$DW256-2)*20+卡牌属性!$DX256)</f>
        <v>3150</v>
      </c>
      <c r="FT256" s="14">
        <f>INDEX(属性投放!$BS$6:$BS$85,(卡牌属性!$DW256-2)*20+卡牌属性!$DX256)</f>
        <v>3150</v>
      </c>
      <c r="FU256" s="14">
        <f>INDEX(属性投放!$BS$6:$BS$85,(卡牌属性!$DW256-2)*20+卡牌属性!$DX256)</f>
        <v>3150</v>
      </c>
      <c r="FV256" s="14">
        <f>INDEX(属性投放!$BS$6:$BS$85,(卡牌属性!$DW256-2)*20+卡牌属性!$DX256)</f>
        <v>3150</v>
      </c>
    </row>
    <row r="257" spans="31:178" ht="16.5" x14ac:dyDescent="0.2">
      <c r="AE257" s="13">
        <v>253</v>
      </c>
      <c r="AF257" s="13">
        <f t="shared" si="474"/>
        <v>13</v>
      </c>
      <c r="AG257" s="13">
        <f t="shared" si="461"/>
        <v>2</v>
      </c>
      <c r="AH257" s="13"/>
      <c r="AI257" s="13"/>
      <c r="AJ257" s="14">
        <f t="shared" si="462"/>
        <v>1101013</v>
      </c>
      <c r="AK257" s="14" t="str">
        <f t="shared" si="463"/>
        <v>吉拉13突</v>
      </c>
      <c r="AL257" s="25" t="s">
        <v>142</v>
      </c>
      <c r="AM257" s="14">
        <v>1</v>
      </c>
      <c r="AN257" s="14">
        <f t="shared" si="464"/>
        <v>13</v>
      </c>
      <c r="AO257" s="14">
        <f>INDEX(属性投放!$DF$6:$DF$85,(卡牌属性!AG257-2)*20+卡牌属性!AN257)</f>
        <v>4474</v>
      </c>
      <c r="AP257" s="14">
        <f t="shared" si="526"/>
        <v>4474</v>
      </c>
      <c r="AQ257" s="14">
        <f t="shared" si="526"/>
        <v>4474</v>
      </c>
      <c r="AR257" s="14">
        <f t="shared" si="526"/>
        <v>4474</v>
      </c>
      <c r="AS257" s="14">
        <f t="shared" si="526"/>
        <v>4474</v>
      </c>
      <c r="AT257" s="14">
        <f>INDEX(属性投放!$DG$6:$DG$85,(卡牌属性!AG257-2)*20+卡牌属性!AN257)</f>
        <v>2188</v>
      </c>
      <c r="AU257" s="14">
        <f t="shared" si="527"/>
        <v>2188</v>
      </c>
      <c r="AV257" s="14">
        <f t="shared" si="527"/>
        <v>2188</v>
      </c>
      <c r="AW257" s="14">
        <f t="shared" si="527"/>
        <v>2188</v>
      </c>
      <c r="AX257" s="14">
        <f t="shared" si="527"/>
        <v>2188</v>
      </c>
      <c r="AY257" s="14">
        <f>INDEX(属性投放!$DH$6:$DH$85,(卡牌属性!AG257-2)*20+卡牌属性!AN257)</f>
        <v>36531</v>
      </c>
      <c r="AZ257" s="14">
        <f t="shared" si="528"/>
        <v>36531</v>
      </c>
      <c r="BA257" s="14">
        <f t="shared" si="528"/>
        <v>36531</v>
      </c>
      <c r="BB257" s="14">
        <f t="shared" si="528"/>
        <v>36531</v>
      </c>
      <c r="BC257" s="14">
        <f t="shared" si="528"/>
        <v>36531</v>
      </c>
      <c r="BD257" s="14">
        <f>INDEX(属性投放!$DL$6:$DL$85,(卡牌属性!AG257-2)*20+卡牌属性!AN257)</f>
        <v>151</v>
      </c>
      <c r="BE257" s="14">
        <f t="shared" si="529"/>
        <v>151</v>
      </c>
      <c r="BF257" s="14">
        <f t="shared" si="529"/>
        <v>151</v>
      </c>
      <c r="BG257" s="14">
        <f t="shared" si="529"/>
        <v>151</v>
      </c>
      <c r="BH257" s="14">
        <f t="shared" si="529"/>
        <v>151</v>
      </c>
      <c r="BI257" s="14">
        <f>INDEX(属性投放!$DM$6:$DM$85,(卡牌属性!AG257-2)*20+卡牌属性!AN257)</f>
        <v>76</v>
      </c>
      <c r="BJ257" s="14">
        <f t="shared" si="530"/>
        <v>76</v>
      </c>
      <c r="BK257" s="14">
        <f t="shared" si="530"/>
        <v>76</v>
      </c>
      <c r="BL257" s="14">
        <f t="shared" si="530"/>
        <v>76</v>
      </c>
      <c r="BM257" s="14">
        <f t="shared" si="530"/>
        <v>76</v>
      </c>
      <c r="BN257" s="14">
        <f>INDEX(属性投放!$DN$6:$DN$85,(卡牌属性!AG257-2)*20+卡牌属性!AN257)</f>
        <v>1510</v>
      </c>
      <c r="BO257" s="14">
        <f t="shared" si="531"/>
        <v>1510</v>
      </c>
      <c r="BP257" s="14">
        <f t="shared" si="531"/>
        <v>1510</v>
      </c>
      <c r="BQ257" s="14">
        <f t="shared" si="531"/>
        <v>1510</v>
      </c>
      <c r="BR257" s="14">
        <f t="shared" si="531"/>
        <v>1510</v>
      </c>
      <c r="BW257" s="13">
        <v>253</v>
      </c>
      <c r="BX257" s="13">
        <f t="shared" si="465"/>
        <v>13</v>
      </c>
      <c r="BY257" s="14">
        <f t="shared" si="466"/>
        <v>2</v>
      </c>
      <c r="BZ257" s="14">
        <f t="shared" si="475"/>
        <v>1102013</v>
      </c>
      <c r="CA257" s="14" t="str">
        <f t="shared" si="476"/>
        <v>塞伯罗斯13突</v>
      </c>
      <c r="CB257" s="25" t="s">
        <v>142</v>
      </c>
      <c r="CC257" s="14">
        <v>2</v>
      </c>
      <c r="CD257" s="14">
        <f t="shared" si="467"/>
        <v>13</v>
      </c>
      <c r="CE257" s="14" t="s">
        <v>21</v>
      </c>
      <c r="CF257" s="14">
        <f>INDEX(属性投放!$AZ$6:$AZ$85,(BY257-2)*20+CD257)</f>
        <v>4270</v>
      </c>
      <c r="CG257" s="14" t="s">
        <v>22</v>
      </c>
      <c r="CH257" s="14">
        <f>INDEX(属性投放!$BA$6:$BA$85,(BY257-2)*20+CD257)</f>
        <v>2091</v>
      </c>
      <c r="CI257" s="14" t="s">
        <v>510</v>
      </c>
      <c r="CJ257" s="14">
        <f>INDEX(属性投放!$BB$6:$BB$85,(BY257-2)*20+CD257)</f>
        <v>34508</v>
      </c>
      <c r="CK257" s="14" t="s">
        <v>21</v>
      </c>
      <c r="CL257" s="14">
        <f>INDEX(属性投放!$BC$6:$BC$85,(BY257-2)*20+CD257)</f>
        <v>15</v>
      </c>
      <c r="CM257" s="14" t="s">
        <v>22</v>
      </c>
      <c r="CN257" s="14">
        <f>INDEX(属性投放!$BD$6:$BD$85,(BY257-2)*20+CD257)</f>
        <v>8</v>
      </c>
      <c r="CO257" s="14" t="s">
        <v>510</v>
      </c>
      <c r="CP257" s="14">
        <f>INDEX(属性投放!$BE$6:$BE$85,(BY257-2)*20+CD257)</f>
        <v>150</v>
      </c>
      <c r="CS257" s="13">
        <v>253</v>
      </c>
      <c r="CT257" s="13">
        <f t="shared" si="477"/>
        <v>5</v>
      </c>
      <c r="CU257" s="13">
        <f t="shared" si="478"/>
        <v>45</v>
      </c>
      <c r="CV257" s="14">
        <f t="shared" si="479"/>
        <v>3</v>
      </c>
      <c r="CW257" s="14">
        <f t="shared" si="480"/>
        <v>1102005</v>
      </c>
      <c r="CX257" s="14" t="str">
        <f>INDEX($O$6:$O$50,CT257)&amp;"-"&amp;INDEX(属性投放!$AB$7:$AB$50,CZ257)&amp;"-魂火-"&amp;DB257</f>
        <v>李轩辕-大焦热+2-魂火-3</v>
      </c>
      <c r="CY257" s="25" t="s">
        <v>142</v>
      </c>
      <c r="CZ257" s="14">
        <f>INDEX(属性投放!$AM$7:$AM$58,CU257)</f>
        <v>18</v>
      </c>
      <c r="DA257" s="14" t="s">
        <v>537</v>
      </c>
      <c r="DB257" s="14">
        <f>INDEX(属性投放!$AN$7:$AN$58,CU257)</f>
        <v>3</v>
      </c>
      <c r="DC257" s="14">
        <f t="shared" si="468"/>
        <v>45</v>
      </c>
      <c r="DD257" s="14">
        <f>INDEX(属性投放!$AO$7:$AO$58,DC257)</f>
        <v>130</v>
      </c>
      <c r="DE257" s="14" t="s">
        <v>538</v>
      </c>
      <c r="DF257" s="14">
        <f>INDEX(属性投放!$BK$6:$BK$85,(CV257-2)*20+CZ257)</f>
        <v>700</v>
      </c>
      <c r="DG257" s="14">
        <f>SUMIFS(DF$5:DF257,$CT$5:$CT257,"="&amp;$CT257)</f>
        <v>10670</v>
      </c>
      <c r="DH257" s="14" t="s">
        <v>539</v>
      </c>
      <c r="DI257" s="14">
        <f>INDEX(属性投放!$BL$6:$BL$85,(CV257-2)*20+CZ257)</f>
        <v>350</v>
      </c>
      <c r="DJ257" s="14">
        <f>SUMIFS(DI$5:DI257,$CT$5:$CT257,"="&amp;$CT257)</f>
        <v>5338</v>
      </c>
      <c r="DK257" s="14" t="s">
        <v>540</v>
      </c>
      <c r="DL257" s="14">
        <f>INDEX(属性投放!$BM$6:$BM$85,(CV257-2)*20+CZ257)</f>
        <v>7000</v>
      </c>
      <c r="DM257" s="14">
        <f>SUMIFS(DL$5:DL257,$CT$5:$CT257,"="&amp;$CT257)</f>
        <v>102740</v>
      </c>
      <c r="DR257" s="14">
        <f t="shared" si="469"/>
        <v>1102013</v>
      </c>
      <c r="DS257" s="14" t="str">
        <f t="shared" si="470"/>
        <v>塞伯罗斯13突</v>
      </c>
      <c r="DT257" s="14">
        <f t="shared" si="481"/>
        <v>2</v>
      </c>
      <c r="DU257" s="14">
        <f t="shared" si="482"/>
        <v>3</v>
      </c>
      <c r="DV257" s="14">
        <f t="shared" si="483"/>
        <v>5</v>
      </c>
      <c r="DW257" s="14">
        <f t="shared" si="471"/>
        <v>2</v>
      </c>
      <c r="DX257" s="14">
        <f t="shared" si="472"/>
        <v>13</v>
      </c>
      <c r="DY257" s="14">
        <f t="shared" si="473"/>
        <v>13</v>
      </c>
      <c r="DZ257" s="14">
        <f>INDEX(属性投放!$AX$6:$AX$85,(卡牌属性!DW257-2)*20+卡牌属性!DX257)</f>
        <v>8</v>
      </c>
      <c r="EA257" s="14">
        <f>INDEX(属性投放!BQ$6:BQ$85,卡牌属性!$DY257)</f>
        <v>350</v>
      </c>
      <c r="EB257" s="14">
        <f>INDEX(属性投放!BR$6:BR$85,卡牌属性!$DY257)</f>
        <v>175</v>
      </c>
      <c r="EC257" s="14">
        <f>INDEX(属性投放!BS$6:BS$85,卡牌属性!$DY257)</f>
        <v>3500</v>
      </c>
      <c r="ED257" s="14">
        <f t="shared" si="532"/>
        <v>2092</v>
      </c>
      <c r="EE257" s="14">
        <f t="shared" si="533"/>
        <v>2265</v>
      </c>
      <c r="EF257" s="14">
        <f t="shared" si="534"/>
        <v>2480</v>
      </c>
      <c r="EG257" s="14">
        <f t="shared" si="535"/>
        <v>2480</v>
      </c>
      <c r="EH257" s="14">
        <f t="shared" si="536"/>
        <v>2761</v>
      </c>
      <c r="EI257" s="14">
        <f t="shared" si="537"/>
        <v>1095</v>
      </c>
      <c r="EJ257" s="14">
        <f t="shared" si="538"/>
        <v>1209</v>
      </c>
      <c r="EK257" s="14">
        <f t="shared" si="539"/>
        <v>1209</v>
      </c>
      <c r="EL257" s="14">
        <f t="shared" si="540"/>
        <v>1345</v>
      </c>
      <c r="EM257" s="14">
        <f t="shared" si="541"/>
        <v>1423</v>
      </c>
      <c r="EN257" s="14">
        <f t="shared" si="542"/>
        <v>21360</v>
      </c>
      <c r="EO257" s="14">
        <f t="shared" si="543"/>
        <v>22294</v>
      </c>
      <c r="EP257" s="14">
        <f t="shared" si="544"/>
        <v>22294</v>
      </c>
      <c r="EQ257" s="14">
        <f t="shared" si="545"/>
        <v>27008</v>
      </c>
      <c r="ER257" s="14">
        <f t="shared" si="546"/>
        <v>29202</v>
      </c>
      <c r="ES257" s="14">
        <f>INDEX(属性偏向!$S$4:$S$243,(卡牌属性!$DT257-1+ES$3)*20+卡牌属性!$DX257)</f>
        <v>12</v>
      </c>
      <c r="ET257" s="14">
        <f>INDEX(属性偏向!$S$4:$S$243,(卡牌属性!$DT257-1+ET$3)*20+卡牌属性!$DX257)</f>
        <v>15</v>
      </c>
      <c r="EU257" s="14">
        <f>INDEX(属性偏向!$S$4:$S$243,(卡牌属性!$DT257-1+EU$3)*20+卡牌属性!$DX257)</f>
        <v>20</v>
      </c>
      <c r="EV257" s="14">
        <f>INDEX(属性偏向!$S$4:$S$243,(卡牌属性!$DT257-1+EV$3)*20+卡牌属性!$DX257)</f>
        <v>20</v>
      </c>
      <c r="EW257" s="14">
        <f>INDEX(属性偏向!$S$4:$S$243,(卡牌属性!$DT257-1+EW$3)*20+卡牌属性!$DX257)</f>
        <v>25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250</v>
      </c>
      <c r="FD257" s="14">
        <f>INDEX(属性偏向!$U$4:$U$243,(卡牌属性!$DV257-1+FD$3)*20+卡牌属性!$DX257)</f>
        <v>260</v>
      </c>
      <c r="FE257" s="14">
        <f>INDEX(属性偏向!$U$4:$U$243,(卡牌属性!$DV257-1+FE$3)*20+卡牌属性!$DX257)</f>
        <v>260</v>
      </c>
      <c r="FF257" s="14">
        <f>INDEX(属性偏向!$U$4:$U$243,(卡牌属性!$DV257-1+FF$3)*20+卡牌属性!$DX257)</f>
        <v>400</v>
      </c>
      <c r="FG257" s="14">
        <f>INDEX(属性偏向!$U$4:$U$243,(卡牌属性!$DV257-1+FG$3)*20+卡牌属性!$DX257)</f>
        <v>450</v>
      </c>
      <c r="FH257" s="14">
        <f>INDEX(属性投放!$BQ$6:$BQ$85,(卡牌属性!$DW257-2)*20+卡牌属性!$DX257)</f>
        <v>350</v>
      </c>
      <c r="FI257" s="14">
        <f>INDEX(属性投放!$BQ$6:$BQ$85,(卡牌属性!$DW257-2)*20+卡牌属性!$DX257)</f>
        <v>350</v>
      </c>
      <c r="FJ257" s="14">
        <f>INDEX(属性投放!$BQ$6:$BQ$85,(卡牌属性!$DW257-2)*20+卡牌属性!$DX257)</f>
        <v>350</v>
      </c>
      <c r="FK257" s="14">
        <f>INDEX(属性投放!$BQ$6:$BQ$85,(卡牌属性!$DW257-2)*20+卡牌属性!$DX257)</f>
        <v>350</v>
      </c>
      <c r="FL257" s="14">
        <f>INDEX(属性投放!$BQ$6:$BQ$85,(卡牌属性!$DW257-2)*20+卡牌属性!$DX257)</f>
        <v>350</v>
      </c>
      <c r="FM257" s="14">
        <f>INDEX(属性投放!$BR$6:$BR$85,(卡牌属性!$DW257-2)*20+卡牌属性!$DX257)</f>
        <v>175</v>
      </c>
      <c r="FN257" s="14">
        <f>INDEX(属性投放!$BR$6:$BR$85,(卡牌属性!$DW257-2)*20+卡牌属性!$DX257)</f>
        <v>175</v>
      </c>
      <c r="FO257" s="14">
        <f>INDEX(属性投放!$BR$6:$BR$85,(卡牌属性!$DW257-2)*20+卡牌属性!$DX257)</f>
        <v>175</v>
      </c>
      <c r="FP257" s="14">
        <f>INDEX(属性投放!$BR$6:$BR$85,(卡牌属性!$DW257-2)*20+卡牌属性!$DX257)</f>
        <v>175</v>
      </c>
      <c r="FQ257" s="14">
        <f>INDEX(属性投放!$BR$6:$BR$85,(卡牌属性!$DW257-2)*20+卡牌属性!$DX257)</f>
        <v>175</v>
      </c>
      <c r="FR257" s="14">
        <f>INDEX(属性投放!$BS$6:$BS$85,(卡牌属性!$DW257-2)*20+卡牌属性!$DX257)</f>
        <v>3500</v>
      </c>
      <c r="FS257" s="14">
        <f>INDEX(属性投放!$BS$6:$BS$85,(卡牌属性!$DW257-2)*20+卡牌属性!$DX257)</f>
        <v>3500</v>
      </c>
      <c r="FT257" s="14">
        <f>INDEX(属性投放!$BS$6:$BS$85,(卡牌属性!$DW257-2)*20+卡牌属性!$DX257)</f>
        <v>3500</v>
      </c>
      <c r="FU257" s="14">
        <f>INDEX(属性投放!$BS$6:$BS$85,(卡牌属性!$DW257-2)*20+卡牌属性!$DX257)</f>
        <v>3500</v>
      </c>
      <c r="FV257" s="14">
        <f>INDEX(属性投放!$BS$6:$BS$85,(卡牌属性!$DW257-2)*20+卡牌属性!$DX257)</f>
        <v>3500</v>
      </c>
    </row>
    <row r="258" spans="31:178" ht="16.5" x14ac:dyDescent="0.2">
      <c r="AE258" s="13">
        <v>254</v>
      </c>
      <c r="AF258" s="13">
        <f t="shared" si="474"/>
        <v>13</v>
      </c>
      <c r="AG258" s="13">
        <f t="shared" si="461"/>
        <v>2</v>
      </c>
      <c r="AH258" s="13"/>
      <c r="AI258" s="13"/>
      <c r="AJ258" s="14">
        <f t="shared" si="462"/>
        <v>1101013</v>
      </c>
      <c r="AK258" s="14" t="str">
        <f t="shared" si="463"/>
        <v>吉拉14突</v>
      </c>
      <c r="AL258" s="25" t="s">
        <v>142</v>
      </c>
      <c r="AM258" s="14">
        <v>1</v>
      </c>
      <c r="AN258" s="14">
        <f t="shared" si="464"/>
        <v>14</v>
      </c>
      <c r="AO258" s="14">
        <f>INDEX(属性投放!$DF$6:$DF$85,(卡牌属性!AG258-2)*20+卡牌属性!AN258)</f>
        <v>4906</v>
      </c>
      <c r="AP258" s="14">
        <f t="shared" si="526"/>
        <v>4906</v>
      </c>
      <c r="AQ258" s="14">
        <f t="shared" si="526"/>
        <v>4906</v>
      </c>
      <c r="AR258" s="14">
        <f t="shared" si="526"/>
        <v>4906</v>
      </c>
      <c r="AS258" s="14">
        <f t="shared" si="526"/>
        <v>4906</v>
      </c>
      <c r="AT258" s="14">
        <f>INDEX(属性投放!$DG$6:$DG$85,(卡牌属性!AG258-2)*20+卡牌属性!AN258)</f>
        <v>2405</v>
      </c>
      <c r="AU258" s="14">
        <f t="shared" si="527"/>
        <v>2405</v>
      </c>
      <c r="AV258" s="14">
        <f t="shared" si="527"/>
        <v>2405</v>
      </c>
      <c r="AW258" s="14">
        <f t="shared" si="527"/>
        <v>2405</v>
      </c>
      <c r="AX258" s="14">
        <f t="shared" si="527"/>
        <v>2405</v>
      </c>
      <c r="AY258" s="14">
        <f>INDEX(属性投放!$DH$6:$DH$85,(卡牌属性!AG258-2)*20+卡牌属性!AN258)</f>
        <v>40846</v>
      </c>
      <c r="AZ258" s="14">
        <f t="shared" si="528"/>
        <v>40846</v>
      </c>
      <c r="BA258" s="14">
        <f t="shared" si="528"/>
        <v>40846</v>
      </c>
      <c r="BB258" s="14">
        <f t="shared" si="528"/>
        <v>40846</v>
      </c>
      <c r="BC258" s="14">
        <f t="shared" si="528"/>
        <v>40846</v>
      </c>
      <c r="BD258" s="14">
        <f>INDEX(属性投放!$DL$6:$DL$85,(卡牌属性!AG258-2)*20+卡牌属性!AN258)</f>
        <v>151</v>
      </c>
      <c r="BE258" s="14">
        <f t="shared" si="529"/>
        <v>151</v>
      </c>
      <c r="BF258" s="14">
        <f t="shared" si="529"/>
        <v>151</v>
      </c>
      <c r="BG258" s="14">
        <f t="shared" si="529"/>
        <v>151</v>
      </c>
      <c r="BH258" s="14">
        <f t="shared" si="529"/>
        <v>151</v>
      </c>
      <c r="BI258" s="14">
        <f>INDEX(属性投放!$DM$6:$DM$85,(卡牌属性!AG258-2)*20+卡牌属性!AN258)</f>
        <v>76</v>
      </c>
      <c r="BJ258" s="14">
        <f t="shared" si="530"/>
        <v>76</v>
      </c>
      <c r="BK258" s="14">
        <f t="shared" si="530"/>
        <v>76</v>
      </c>
      <c r="BL258" s="14">
        <f t="shared" si="530"/>
        <v>76</v>
      </c>
      <c r="BM258" s="14">
        <f t="shared" si="530"/>
        <v>76</v>
      </c>
      <c r="BN258" s="14">
        <f>INDEX(属性投放!$DN$6:$DN$85,(卡牌属性!AG258-2)*20+卡牌属性!AN258)</f>
        <v>1510</v>
      </c>
      <c r="BO258" s="14">
        <f t="shared" si="531"/>
        <v>1510</v>
      </c>
      <c r="BP258" s="14">
        <f t="shared" si="531"/>
        <v>1510</v>
      </c>
      <c r="BQ258" s="14">
        <f t="shared" si="531"/>
        <v>1510</v>
      </c>
      <c r="BR258" s="14">
        <f t="shared" si="531"/>
        <v>1510</v>
      </c>
      <c r="BW258" s="13">
        <v>254</v>
      </c>
      <c r="BX258" s="13">
        <f t="shared" si="465"/>
        <v>13</v>
      </c>
      <c r="BY258" s="14">
        <f t="shared" si="466"/>
        <v>2</v>
      </c>
      <c r="BZ258" s="14">
        <f t="shared" si="475"/>
        <v>1102013</v>
      </c>
      <c r="CA258" s="14" t="str">
        <f t="shared" si="476"/>
        <v>塞伯罗斯14突</v>
      </c>
      <c r="CB258" s="25" t="s">
        <v>142</v>
      </c>
      <c r="CC258" s="14">
        <v>2</v>
      </c>
      <c r="CD258" s="14">
        <f t="shared" si="467"/>
        <v>14</v>
      </c>
      <c r="CE258" s="14" t="s">
        <v>21</v>
      </c>
      <c r="CF258" s="14">
        <f>INDEX(属性投放!$AZ$6:$AZ$85,(BY258-2)*20+CD258)</f>
        <v>5400</v>
      </c>
      <c r="CG258" s="14" t="s">
        <v>22</v>
      </c>
      <c r="CH258" s="14">
        <f>INDEX(属性投放!$BA$6:$BA$85,(BY258-2)*20+CD258)</f>
        <v>2660</v>
      </c>
      <c r="CI258" s="14" t="s">
        <v>510</v>
      </c>
      <c r="CJ258" s="14">
        <f>INDEX(属性投放!$BB$6:$BB$85,(BY258-2)*20+CD258)</f>
        <v>45808</v>
      </c>
      <c r="CK258" s="14" t="s">
        <v>21</v>
      </c>
      <c r="CL258" s="14">
        <f>INDEX(属性投放!$BC$6:$BC$85,(BY258-2)*20+CD258)</f>
        <v>15</v>
      </c>
      <c r="CM258" s="14" t="s">
        <v>22</v>
      </c>
      <c r="CN258" s="14">
        <f>INDEX(属性投放!$BD$6:$BD$85,(BY258-2)*20+CD258)</f>
        <v>8</v>
      </c>
      <c r="CO258" s="14" t="s">
        <v>510</v>
      </c>
      <c r="CP258" s="14">
        <f>INDEX(属性投放!$BE$6:$BE$85,(BY258-2)*20+CD258)</f>
        <v>150</v>
      </c>
      <c r="CS258" s="13">
        <v>254</v>
      </c>
      <c r="CT258" s="13">
        <f t="shared" si="477"/>
        <v>5</v>
      </c>
      <c r="CU258" s="13">
        <f t="shared" si="478"/>
        <v>46</v>
      </c>
      <c r="CV258" s="14">
        <f t="shared" si="479"/>
        <v>3</v>
      </c>
      <c r="CW258" s="14">
        <f t="shared" si="480"/>
        <v>1102005</v>
      </c>
      <c r="CX258" s="14" t="str">
        <f>INDEX($O$6:$O$50,CT258)&amp;"-"&amp;INDEX(属性投放!$AB$7:$AB$50,CZ258)&amp;"-魂火-"&amp;DB258</f>
        <v>李轩辕-无间-魂火-1</v>
      </c>
      <c r="CY258" s="25" t="s">
        <v>142</v>
      </c>
      <c r="CZ258" s="14">
        <f>INDEX(属性投放!$AM$7:$AM$58,CU258)</f>
        <v>19</v>
      </c>
      <c r="DA258" s="14" t="s">
        <v>537</v>
      </c>
      <c r="DB258" s="14">
        <f>INDEX(属性投放!$AN$7:$AN$58,CU258)</f>
        <v>1</v>
      </c>
      <c r="DC258" s="14">
        <f t="shared" si="468"/>
        <v>46</v>
      </c>
      <c r="DD258" s="14">
        <f>INDEX(属性投放!$AO$7:$AO$58,DC258)</f>
        <v>133</v>
      </c>
      <c r="DE258" s="14" t="s">
        <v>538</v>
      </c>
      <c r="DF258" s="14">
        <f>INDEX(属性投放!$BK$6:$BK$85,(CV258-2)*20+CZ258)</f>
        <v>900</v>
      </c>
      <c r="DG258" s="14">
        <f>SUMIFS(DF$5:DF258,$CT$5:$CT258,"="&amp;$CT258)</f>
        <v>11570</v>
      </c>
      <c r="DH258" s="14" t="s">
        <v>539</v>
      </c>
      <c r="DI258" s="14">
        <f>INDEX(属性投放!$BL$6:$BL$85,(CV258-2)*20+CZ258)</f>
        <v>450</v>
      </c>
      <c r="DJ258" s="14">
        <f>SUMIFS(DI$5:DI258,$CT$5:$CT258,"="&amp;$CT258)</f>
        <v>5788</v>
      </c>
      <c r="DK258" s="14" t="s">
        <v>540</v>
      </c>
      <c r="DL258" s="14">
        <f>INDEX(属性投放!$BM$6:$BM$85,(CV258-2)*20+CZ258)</f>
        <v>9000</v>
      </c>
      <c r="DM258" s="14">
        <f>SUMIFS(DL$5:DL258,$CT$5:$CT258,"="&amp;$CT258)</f>
        <v>111740</v>
      </c>
      <c r="DR258" s="14">
        <f t="shared" si="469"/>
        <v>1102013</v>
      </c>
      <c r="DS258" s="14" t="str">
        <f t="shared" si="470"/>
        <v>塞伯罗斯14突</v>
      </c>
      <c r="DT258" s="14">
        <f t="shared" si="481"/>
        <v>2</v>
      </c>
      <c r="DU258" s="14">
        <f t="shared" si="482"/>
        <v>3</v>
      </c>
      <c r="DV258" s="14">
        <f t="shared" si="483"/>
        <v>5</v>
      </c>
      <c r="DW258" s="14">
        <f t="shared" si="471"/>
        <v>2</v>
      </c>
      <c r="DX258" s="14">
        <f t="shared" si="472"/>
        <v>14</v>
      </c>
      <c r="DY258" s="14">
        <f t="shared" si="473"/>
        <v>14</v>
      </c>
      <c r="DZ258" s="14">
        <f>INDEX(属性投放!$AX$6:$AX$85,(卡牌属性!DW258-2)*20+卡牌属性!DX258)</f>
        <v>7</v>
      </c>
      <c r="EA258" s="14">
        <f>INDEX(属性投放!BQ$6:BQ$85,卡牌属性!$DY258)</f>
        <v>400</v>
      </c>
      <c r="EB258" s="14">
        <f>INDEX(属性投放!BR$6:BR$85,卡牌属性!$DY258)</f>
        <v>200</v>
      </c>
      <c r="EC258" s="14">
        <f>INDEX(属性投放!BS$6:BS$85,卡牌属性!$DY258)</f>
        <v>4000</v>
      </c>
      <c r="ED258" s="14">
        <f t="shared" si="532"/>
        <v>2538</v>
      </c>
      <c r="EE258" s="14">
        <f t="shared" si="533"/>
        <v>2735</v>
      </c>
      <c r="EF258" s="14">
        <f t="shared" si="534"/>
        <v>2990</v>
      </c>
      <c r="EG258" s="14">
        <f t="shared" si="535"/>
        <v>2990</v>
      </c>
      <c r="EH258" s="14">
        <f t="shared" si="536"/>
        <v>3311</v>
      </c>
      <c r="EI258" s="14">
        <f t="shared" si="537"/>
        <v>1334</v>
      </c>
      <c r="EJ258" s="14">
        <f t="shared" si="538"/>
        <v>1464</v>
      </c>
      <c r="EK258" s="14">
        <f t="shared" si="539"/>
        <v>1464</v>
      </c>
      <c r="EL258" s="14">
        <f t="shared" si="540"/>
        <v>1624</v>
      </c>
      <c r="EM258" s="14">
        <f t="shared" si="541"/>
        <v>1702</v>
      </c>
      <c r="EN258" s="14">
        <f t="shared" si="542"/>
        <v>26860</v>
      </c>
      <c r="EO258" s="14">
        <f t="shared" si="543"/>
        <v>27874</v>
      </c>
      <c r="EP258" s="14">
        <f t="shared" si="544"/>
        <v>27874</v>
      </c>
      <c r="EQ258" s="14">
        <f t="shared" si="545"/>
        <v>33708</v>
      </c>
      <c r="ER258" s="14">
        <f t="shared" si="546"/>
        <v>36302</v>
      </c>
      <c r="ES258" s="14">
        <f>INDEX(属性偏向!$S$4:$S$243,(卡牌属性!$DT258-1+ES$3)*20+卡牌属性!$DX258)</f>
        <v>12</v>
      </c>
      <c r="ET258" s="14">
        <f>INDEX(属性偏向!$S$4:$S$243,(卡牌属性!$DT258-1+ET$3)*20+卡牌属性!$DX258)</f>
        <v>15</v>
      </c>
      <c r="EU258" s="14">
        <f>INDEX(属性偏向!$S$4:$S$243,(卡牌属性!$DT258-1+EU$3)*20+卡牌属性!$DX258)</f>
        <v>20</v>
      </c>
      <c r="EV258" s="14">
        <f>INDEX(属性偏向!$S$4:$S$243,(卡牌属性!$DT258-1+EV$3)*20+卡牌属性!$DX258)</f>
        <v>20</v>
      </c>
      <c r="EW258" s="14">
        <f>INDEX(属性偏向!$S$4:$S$243,(卡牌属性!$DT258-1+EW$3)*20+卡牌属性!$DX258)</f>
        <v>25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250</v>
      </c>
      <c r="FD258" s="14">
        <f>INDEX(属性偏向!$U$4:$U$243,(卡牌属性!$DV258-1+FD$3)*20+卡牌属性!$DX258)</f>
        <v>260</v>
      </c>
      <c r="FE258" s="14">
        <f>INDEX(属性偏向!$U$4:$U$243,(卡牌属性!$DV258-1+FE$3)*20+卡牌属性!$DX258)</f>
        <v>260</v>
      </c>
      <c r="FF258" s="14">
        <f>INDEX(属性偏向!$U$4:$U$243,(卡牌属性!$DV258-1+FF$3)*20+卡牌属性!$DX258)</f>
        <v>400</v>
      </c>
      <c r="FG258" s="14">
        <f>INDEX(属性偏向!$U$4:$U$243,(卡牌属性!$DV258-1+FG$3)*20+卡牌属性!$DX258)</f>
        <v>450</v>
      </c>
      <c r="FH258" s="14">
        <f>INDEX(属性投放!$BQ$6:$BQ$85,(卡牌属性!$DW258-2)*20+卡牌属性!$DX258)</f>
        <v>400</v>
      </c>
      <c r="FI258" s="14">
        <f>INDEX(属性投放!$BQ$6:$BQ$85,(卡牌属性!$DW258-2)*20+卡牌属性!$DX258)</f>
        <v>400</v>
      </c>
      <c r="FJ258" s="14">
        <f>INDEX(属性投放!$BQ$6:$BQ$85,(卡牌属性!$DW258-2)*20+卡牌属性!$DX258)</f>
        <v>400</v>
      </c>
      <c r="FK258" s="14">
        <f>INDEX(属性投放!$BQ$6:$BQ$85,(卡牌属性!$DW258-2)*20+卡牌属性!$DX258)</f>
        <v>400</v>
      </c>
      <c r="FL258" s="14">
        <f>INDEX(属性投放!$BQ$6:$BQ$85,(卡牌属性!$DW258-2)*20+卡牌属性!$DX258)</f>
        <v>400</v>
      </c>
      <c r="FM258" s="14">
        <f>INDEX(属性投放!$BR$6:$BR$85,(卡牌属性!$DW258-2)*20+卡牌属性!$DX258)</f>
        <v>200</v>
      </c>
      <c r="FN258" s="14">
        <f>INDEX(属性投放!$BR$6:$BR$85,(卡牌属性!$DW258-2)*20+卡牌属性!$DX258)</f>
        <v>200</v>
      </c>
      <c r="FO258" s="14">
        <f>INDEX(属性投放!$BR$6:$BR$85,(卡牌属性!$DW258-2)*20+卡牌属性!$DX258)</f>
        <v>200</v>
      </c>
      <c r="FP258" s="14">
        <f>INDEX(属性投放!$BR$6:$BR$85,(卡牌属性!$DW258-2)*20+卡牌属性!$DX258)</f>
        <v>200</v>
      </c>
      <c r="FQ258" s="14">
        <f>INDEX(属性投放!$BR$6:$BR$85,(卡牌属性!$DW258-2)*20+卡牌属性!$DX258)</f>
        <v>200</v>
      </c>
      <c r="FR258" s="14">
        <f>INDEX(属性投放!$BS$6:$BS$85,(卡牌属性!$DW258-2)*20+卡牌属性!$DX258)</f>
        <v>4000</v>
      </c>
      <c r="FS258" s="14">
        <f>INDEX(属性投放!$BS$6:$BS$85,(卡牌属性!$DW258-2)*20+卡牌属性!$DX258)</f>
        <v>4000</v>
      </c>
      <c r="FT258" s="14">
        <f>INDEX(属性投放!$BS$6:$BS$85,(卡牌属性!$DW258-2)*20+卡牌属性!$DX258)</f>
        <v>4000</v>
      </c>
      <c r="FU258" s="14">
        <f>INDEX(属性投放!$BS$6:$BS$85,(卡牌属性!$DW258-2)*20+卡牌属性!$DX258)</f>
        <v>4000</v>
      </c>
      <c r="FV258" s="14">
        <f>INDEX(属性投放!$BS$6:$BS$85,(卡牌属性!$DW258-2)*20+卡牌属性!$DX258)</f>
        <v>4000</v>
      </c>
    </row>
    <row r="259" spans="31:178" ht="16.5" x14ac:dyDescent="0.2">
      <c r="AE259" s="13">
        <v>255</v>
      </c>
      <c r="AF259" s="13">
        <f t="shared" si="474"/>
        <v>13</v>
      </c>
      <c r="AG259" s="13">
        <f t="shared" si="461"/>
        <v>2</v>
      </c>
      <c r="AH259" s="13"/>
      <c r="AI259" s="13"/>
      <c r="AJ259" s="14">
        <f t="shared" si="462"/>
        <v>1101013</v>
      </c>
      <c r="AK259" s="14" t="str">
        <f t="shared" si="463"/>
        <v>吉拉15突</v>
      </c>
      <c r="AL259" s="25" t="s">
        <v>142</v>
      </c>
      <c r="AM259" s="14">
        <v>1</v>
      </c>
      <c r="AN259" s="14">
        <f t="shared" si="464"/>
        <v>15</v>
      </c>
      <c r="AO259" s="14">
        <f>INDEX(属性投放!$DF$6:$DF$85,(卡牌属性!AG259-2)*20+卡牌属性!AN259)</f>
        <v>5338</v>
      </c>
      <c r="AP259" s="14">
        <f t="shared" si="526"/>
        <v>5338</v>
      </c>
      <c r="AQ259" s="14">
        <f t="shared" si="526"/>
        <v>5338</v>
      </c>
      <c r="AR259" s="14">
        <f t="shared" si="526"/>
        <v>5338</v>
      </c>
      <c r="AS259" s="14">
        <f t="shared" si="526"/>
        <v>5338</v>
      </c>
      <c r="AT259" s="14">
        <f>INDEX(属性投放!$DG$6:$DG$85,(卡牌属性!AG259-2)*20+卡牌属性!AN259)</f>
        <v>2622</v>
      </c>
      <c r="AU259" s="14">
        <f t="shared" si="527"/>
        <v>2622</v>
      </c>
      <c r="AV259" s="14">
        <f t="shared" si="527"/>
        <v>2622</v>
      </c>
      <c r="AW259" s="14">
        <f t="shared" si="527"/>
        <v>2622</v>
      </c>
      <c r="AX259" s="14">
        <f t="shared" si="527"/>
        <v>2622</v>
      </c>
      <c r="AY259" s="14">
        <f>INDEX(属性投放!$DH$6:$DH$85,(卡牌属性!AG259-2)*20+卡牌属性!AN259)</f>
        <v>45161</v>
      </c>
      <c r="AZ259" s="14">
        <f t="shared" si="528"/>
        <v>45161</v>
      </c>
      <c r="BA259" s="14">
        <f t="shared" si="528"/>
        <v>45161</v>
      </c>
      <c r="BB259" s="14">
        <f t="shared" si="528"/>
        <v>45161</v>
      </c>
      <c r="BC259" s="14">
        <f t="shared" si="528"/>
        <v>45161</v>
      </c>
      <c r="BD259" s="14">
        <f>INDEX(属性投放!$DL$6:$DL$85,(卡牌属性!AG259-2)*20+卡牌属性!AN259)</f>
        <v>151</v>
      </c>
      <c r="BE259" s="14">
        <f t="shared" si="529"/>
        <v>151</v>
      </c>
      <c r="BF259" s="14">
        <f t="shared" si="529"/>
        <v>151</v>
      </c>
      <c r="BG259" s="14">
        <f t="shared" si="529"/>
        <v>151</v>
      </c>
      <c r="BH259" s="14">
        <f t="shared" si="529"/>
        <v>151</v>
      </c>
      <c r="BI259" s="14">
        <f>INDEX(属性投放!$DM$6:$DM$85,(卡牌属性!AG259-2)*20+卡牌属性!AN259)</f>
        <v>76</v>
      </c>
      <c r="BJ259" s="14">
        <f t="shared" si="530"/>
        <v>76</v>
      </c>
      <c r="BK259" s="14">
        <f t="shared" si="530"/>
        <v>76</v>
      </c>
      <c r="BL259" s="14">
        <f t="shared" si="530"/>
        <v>76</v>
      </c>
      <c r="BM259" s="14">
        <f t="shared" si="530"/>
        <v>76</v>
      </c>
      <c r="BN259" s="14">
        <f>INDEX(属性投放!$DN$6:$DN$85,(卡牌属性!AG259-2)*20+卡牌属性!AN259)</f>
        <v>1510</v>
      </c>
      <c r="BO259" s="14">
        <f t="shared" si="531"/>
        <v>1510</v>
      </c>
      <c r="BP259" s="14">
        <f t="shared" si="531"/>
        <v>1510</v>
      </c>
      <c r="BQ259" s="14">
        <f t="shared" si="531"/>
        <v>1510</v>
      </c>
      <c r="BR259" s="14">
        <f t="shared" si="531"/>
        <v>1510</v>
      </c>
      <c r="BW259" s="13">
        <v>255</v>
      </c>
      <c r="BX259" s="13">
        <f t="shared" si="465"/>
        <v>13</v>
      </c>
      <c r="BY259" s="14">
        <f t="shared" si="466"/>
        <v>2</v>
      </c>
      <c r="BZ259" s="14">
        <f t="shared" si="475"/>
        <v>1102013</v>
      </c>
      <c r="CA259" s="14" t="str">
        <f t="shared" si="476"/>
        <v>塞伯罗斯15突</v>
      </c>
      <c r="CB259" s="25" t="s">
        <v>142</v>
      </c>
      <c r="CC259" s="14">
        <v>2</v>
      </c>
      <c r="CD259" s="14">
        <f t="shared" si="467"/>
        <v>15</v>
      </c>
      <c r="CE259" s="14" t="s">
        <v>21</v>
      </c>
      <c r="CF259" s="14">
        <f>INDEX(属性投放!$AZ$6:$AZ$85,(BY259-2)*20+CD259)</f>
        <v>6715</v>
      </c>
      <c r="CG259" s="14" t="s">
        <v>22</v>
      </c>
      <c r="CH259" s="14">
        <f>INDEX(属性投放!$BA$6:$BA$85,(BY259-2)*20+CD259)</f>
        <v>3321</v>
      </c>
      <c r="CI259" s="14" t="s">
        <v>510</v>
      </c>
      <c r="CJ259" s="14">
        <f>INDEX(属性投放!$BB$6:$BB$85,(BY259-2)*20+CD259)</f>
        <v>58958</v>
      </c>
      <c r="CK259" s="14" t="s">
        <v>21</v>
      </c>
      <c r="CL259" s="14">
        <f>INDEX(属性投放!$BC$6:$BC$85,(BY259-2)*20+CD259)</f>
        <v>15</v>
      </c>
      <c r="CM259" s="14" t="s">
        <v>22</v>
      </c>
      <c r="CN259" s="14">
        <f>INDEX(属性投放!$BD$6:$BD$85,(BY259-2)*20+CD259)</f>
        <v>8</v>
      </c>
      <c r="CO259" s="14" t="s">
        <v>510</v>
      </c>
      <c r="CP259" s="14">
        <f>INDEX(属性投放!$BE$6:$BE$85,(BY259-2)*20+CD259)</f>
        <v>150</v>
      </c>
      <c r="CS259" s="13">
        <v>255</v>
      </c>
      <c r="CT259" s="13">
        <f t="shared" si="477"/>
        <v>5</v>
      </c>
      <c r="CU259" s="13">
        <f t="shared" si="478"/>
        <v>47</v>
      </c>
      <c r="CV259" s="14">
        <f t="shared" si="479"/>
        <v>3</v>
      </c>
      <c r="CW259" s="14">
        <f t="shared" si="480"/>
        <v>1102005</v>
      </c>
      <c r="CX259" s="14" t="str">
        <f>INDEX($O$6:$O$50,CT259)&amp;"-"&amp;INDEX(属性投放!$AB$7:$AB$50,CZ259)&amp;"-魂火-"&amp;DB259</f>
        <v>李轩辕-无间-魂火-2</v>
      </c>
      <c r="CY259" s="25" t="s">
        <v>142</v>
      </c>
      <c r="CZ259" s="14">
        <f>INDEX(属性投放!$AM$7:$AM$58,CU259)</f>
        <v>19</v>
      </c>
      <c r="DA259" s="14" t="s">
        <v>537</v>
      </c>
      <c r="DB259" s="14">
        <f>INDEX(属性投放!$AN$7:$AN$58,CU259)</f>
        <v>2</v>
      </c>
      <c r="DC259" s="14">
        <f t="shared" si="468"/>
        <v>47</v>
      </c>
      <c r="DD259" s="14">
        <f>INDEX(属性投放!$AO$7:$AO$58,DC259)</f>
        <v>135</v>
      </c>
      <c r="DE259" s="14" t="s">
        <v>538</v>
      </c>
      <c r="DF259" s="14">
        <f>INDEX(属性投放!$BK$6:$BK$85,(CV259-2)*20+CZ259)</f>
        <v>900</v>
      </c>
      <c r="DG259" s="14">
        <f>SUMIFS(DF$5:DF259,$CT$5:$CT259,"="&amp;$CT259)</f>
        <v>12470</v>
      </c>
      <c r="DH259" s="14" t="s">
        <v>539</v>
      </c>
      <c r="DI259" s="14">
        <f>INDEX(属性投放!$BL$6:$BL$85,(CV259-2)*20+CZ259)</f>
        <v>450</v>
      </c>
      <c r="DJ259" s="14">
        <f>SUMIFS(DI$5:DI259,$CT$5:$CT259,"="&amp;$CT259)</f>
        <v>6238</v>
      </c>
      <c r="DK259" s="14" t="s">
        <v>540</v>
      </c>
      <c r="DL259" s="14">
        <f>INDEX(属性投放!$BM$6:$BM$85,(CV259-2)*20+CZ259)</f>
        <v>9000</v>
      </c>
      <c r="DM259" s="14">
        <f>SUMIFS(DL$5:DL259,$CT$5:$CT259,"="&amp;$CT259)</f>
        <v>120740</v>
      </c>
      <c r="DR259" s="14">
        <f t="shared" si="469"/>
        <v>1102013</v>
      </c>
      <c r="DS259" s="14" t="str">
        <f t="shared" si="470"/>
        <v>塞伯罗斯15突</v>
      </c>
      <c r="DT259" s="14">
        <f t="shared" si="481"/>
        <v>2</v>
      </c>
      <c r="DU259" s="14">
        <f t="shared" si="482"/>
        <v>3</v>
      </c>
      <c r="DV259" s="14">
        <f t="shared" si="483"/>
        <v>5</v>
      </c>
      <c r="DW259" s="14">
        <f t="shared" si="471"/>
        <v>2</v>
      </c>
      <c r="DX259" s="14">
        <f t="shared" si="472"/>
        <v>15</v>
      </c>
      <c r="DY259" s="14">
        <f t="shared" si="473"/>
        <v>15</v>
      </c>
      <c r="DZ259" s="14">
        <f>INDEX(属性投放!$AX$6:$AX$85,(卡牌属性!DW259-2)*20+卡牌属性!DX259)</f>
        <v>8</v>
      </c>
      <c r="EA259" s="14">
        <f>INDEX(属性投放!BQ$6:BQ$85,卡牌属性!$DY259)</f>
        <v>700</v>
      </c>
      <c r="EB259" s="14">
        <f>INDEX(属性投放!BR$6:BR$85,卡牌属性!$DY259)</f>
        <v>350</v>
      </c>
      <c r="EC259" s="14">
        <f>INDEX(属性投放!BS$6:BS$85,卡牌属性!$DY259)</f>
        <v>7000</v>
      </c>
      <c r="ED259" s="14">
        <f t="shared" si="532"/>
        <v>3022</v>
      </c>
      <c r="EE259" s="14">
        <f t="shared" si="533"/>
        <v>3240</v>
      </c>
      <c r="EF259" s="14">
        <f t="shared" si="534"/>
        <v>3530</v>
      </c>
      <c r="EG259" s="14">
        <f t="shared" si="535"/>
        <v>3530</v>
      </c>
      <c r="EH259" s="14">
        <f t="shared" si="536"/>
        <v>3886</v>
      </c>
      <c r="EI259" s="14">
        <f t="shared" si="537"/>
        <v>1590</v>
      </c>
      <c r="EJ259" s="14">
        <f t="shared" si="538"/>
        <v>1734</v>
      </c>
      <c r="EK259" s="14">
        <f t="shared" si="539"/>
        <v>1734</v>
      </c>
      <c r="EL259" s="14">
        <f t="shared" si="540"/>
        <v>1915</v>
      </c>
      <c r="EM259" s="14">
        <f t="shared" si="541"/>
        <v>1993</v>
      </c>
      <c r="EN259" s="14">
        <f t="shared" si="542"/>
        <v>32610</v>
      </c>
      <c r="EO259" s="14">
        <f t="shared" si="543"/>
        <v>33694</v>
      </c>
      <c r="EP259" s="14">
        <f t="shared" si="544"/>
        <v>33694</v>
      </c>
      <c r="EQ259" s="14">
        <f t="shared" si="545"/>
        <v>40508</v>
      </c>
      <c r="ER259" s="14">
        <f t="shared" si="546"/>
        <v>43452</v>
      </c>
      <c r="ES259" s="14">
        <f>INDEX(属性偏向!$S$4:$S$243,(卡牌属性!$DT259-1+ES$3)*20+卡牌属性!$DX259)</f>
        <v>12</v>
      </c>
      <c r="ET259" s="14">
        <f>INDEX(属性偏向!$S$4:$S$243,(卡牌属性!$DT259-1+ET$3)*20+卡牌属性!$DX259)</f>
        <v>15</v>
      </c>
      <c r="EU259" s="14">
        <f>INDEX(属性偏向!$S$4:$S$243,(卡牌属性!$DT259-1+EU$3)*20+卡牌属性!$DX259)</f>
        <v>20</v>
      </c>
      <c r="EV259" s="14">
        <f>INDEX(属性偏向!$S$4:$S$243,(卡牌属性!$DT259-1+EV$3)*20+卡牌属性!$DX259)</f>
        <v>20</v>
      </c>
      <c r="EW259" s="14">
        <f>INDEX(属性偏向!$S$4:$S$243,(卡牌属性!$DT259-1+EW$3)*20+卡牌属性!$DX259)</f>
        <v>25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250</v>
      </c>
      <c r="FD259" s="14">
        <f>INDEX(属性偏向!$U$4:$U$243,(卡牌属性!$DV259-1+FD$3)*20+卡牌属性!$DX259)</f>
        <v>260</v>
      </c>
      <c r="FE259" s="14">
        <f>INDEX(属性偏向!$U$4:$U$243,(卡牌属性!$DV259-1+FE$3)*20+卡牌属性!$DX259)</f>
        <v>260</v>
      </c>
      <c r="FF259" s="14">
        <f>INDEX(属性偏向!$U$4:$U$243,(卡牌属性!$DV259-1+FF$3)*20+卡牌属性!$DX259)</f>
        <v>400</v>
      </c>
      <c r="FG259" s="14">
        <f>INDEX(属性偏向!$U$4:$U$243,(卡牌属性!$DV259-1+FG$3)*20+卡牌属性!$DX259)</f>
        <v>450</v>
      </c>
      <c r="FH259" s="14">
        <f>INDEX(属性投放!$BQ$6:$BQ$85,(卡牌属性!$DW259-2)*20+卡牌属性!$DX259)</f>
        <v>700</v>
      </c>
      <c r="FI259" s="14">
        <f>INDEX(属性投放!$BQ$6:$BQ$85,(卡牌属性!$DW259-2)*20+卡牌属性!$DX259)</f>
        <v>700</v>
      </c>
      <c r="FJ259" s="14">
        <f>INDEX(属性投放!$BQ$6:$BQ$85,(卡牌属性!$DW259-2)*20+卡牌属性!$DX259)</f>
        <v>700</v>
      </c>
      <c r="FK259" s="14">
        <f>INDEX(属性投放!$BQ$6:$BQ$85,(卡牌属性!$DW259-2)*20+卡牌属性!$DX259)</f>
        <v>700</v>
      </c>
      <c r="FL259" s="14">
        <f>INDEX(属性投放!$BQ$6:$BQ$85,(卡牌属性!$DW259-2)*20+卡牌属性!$DX259)</f>
        <v>700</v>
      </c>
      <c r="FM259" s="14">
        <f>INDEX(属性投放!$BR$6:$BR$85,(卡牌属性!$DW259-2)*20+卡牌属性!$DX259)</f>
        <v>350</v>
      </c>
      <c r="FN259" s="14">
        <f>INDEX(属性投放!$BR$6:$BR$85,(卡牌属性!$DW259-2)*20+卡牌属性!$DX259)</f>
        <v>350</v>
      </c>
      <c r="FO259" s="14">
        <f>INDEX(属性投放!$BR$6:$BR$85,(卡牌属性!$DW259-2)*20+卡牌属性!$DX259)</f>
        <v>350</v>
      </c>
      <c r="FP259" s="14">
        <f>INDEX(属性投放!$BR$6:$BR$85,(卡牌属性!$DW259-2)*20+卡牌属性!$DX259)</f>
        <v>350</v>
      </c>
      <c r="FQ259" s="14">
        <f>INDEX(属性投放!$BR$6:$BR$85,(卡牌属性!$DW259-2)*20+卡牌属性!$DX259)</f>
        <v>350</v>
      </c>
      <c r="FR259" s="14">
        <f>INDEX(属性投放!$BS$6:$BS$85,(卡牌属性!$DW259-2)*20+卡牌属性!$DX259)</f>
        <v>7000</v>
      </c>
      <c r="FS259" s="14">
        <f>INDEX(属性投放!$BS$6:$BS$85,(卡牌属性!$DW259-2)*20+卡牌属性!$DX259)</f>
        <v>7000</v>
      </c>
      <c r="FT259" s="14">
        <f>INDEX(属性投放!$BS$6:$BS$85,(卡牌属性!$DW259-2)*20+卡牌属性!$DX259)</f>
        <v>7000</v>
      </c>
      <c r="FU259" s="14">
        <f>INDEX(属性投放!$BS$6:$BS$85,(卡牌属性!$DW259-2)*20+卡牌属性!$DX259)</f>
        <v>7000</v>
      </c>
      <c r="FV259" s="14">
        <f>INDEX(属性投放!$BS$6:$BS$85,(卡牌属性!$DW259-2)*20+卡牌属性!$DX259)</f>
        <v>7000</v>
      </c>
    </row>
    <row r="260" spans="31:178" ht="16.5" x14ac:dyDescent="0.2">
      <c r="AE260" s="13">
        <v>256</v>
      </c>
      <c r="AF260" s="13">
        <f t="shared" si="474"/>
        <v>13</v>
      </c>
      <c r="AG260" s="13">
        <f t="shared" si="461"/>
        <v>2</v>
      </c>
      <c r="AH260" s="13"/>
      <c r="AI260" s="13"/>
      <c r="AJ260" s="14">
        <f t="shared" si="462"/>
        <v>1101013</v>
      </c>
      <c r="AK260" s="14" t="str">
        <f t="shared" si="463"/>
        <v>吉拉16突</v>
      </c>
      <c r="AL260" s="25" t="s">
        <v>142</v>
      </c>
      <c r="AM260" s="14">
        <v>1</v>
      </c>
      <c r="AN260" s="14">
        <f t="shared" si="464"/>
        <v>16</v>
      </c>
      <c r="AO260" s="14">
        <f>INDEX(属性投放!$DF$6:$DF$85,(卡牌属性!AG260-2)*20+卡牌属性!AN260)</f>
        <v>9545</v>
      </c>
      <c r="AP260" s="14">
        <f t="shared" si="526"/>
        <v>9545</v>
      </c>
      <c r="AQ260" s="14">
        <f t="shared" si="526"/>
        <v>9545</v>
      </c>
      <c r="AR260" s="14">
        <f t="shared" si="526"/>
        <v>9545</v>
      </c>
      <c r="AS260" s="14">
        <f t="shared" si="526"/>
        <v>9545</v>
      </c>
      <c r="AT260" s="14">
        <f>INDEX(属性投放!$DG$6:$DG$85,(卡牌属性!AG260-2)*20+卡牌属性!AN260)</f>
        <v>4739</v>
      </c>
      <c r="AU260" s="14">
        <f t="shared" si="527"/>
        <v>4739</v>
      </c>
      <c r="AV260" s="14">
        <f t="shared" si="527"/>
        <v>4739</v>
      </c>
      <c r="AW260" s="14">
        <f t="shared" si="527"/>
        <v>4739</v>
      </c>
      <c r="AX260" s="14">
        <f t="shared" si="527"/>
        <v>4739</v>
      </c>
      <c r="AY260" s="14">
        <f>INDEX(属性投放!$DH$6:$DH$85,(卡牌属性!AG260-2)*20+卡牌属性!AN260)</f>
        <v>87226</v>
      </c>
      <c r="AZ260" s="14">
        <f t="shared" si="528"/>
        <v>87226</v>
      </c>
      <c r="BA260" s="14">
        <f t="shared" si="528"/>
        <v>87226</v>
      </c>
      <c r="BB260" s="14">
        <f t="shared" si="528"/>
        <v>87226</v>
      </c>
      <c r="BC260" s="14">
        <f t="shared" si="528"/>
        <v>87226</v>
      </c>
      <c r="BD260" s="14">
        <f>INDEX(属性投放!$DL$6:$DL$85,(卡牌属性!AG260-2)*20+卡牌属性!AN260)</f>
        <v>235</v>
      </c>
      <c r="BE260" s="14">
        <f t="shared" si="529"/>
        <v>235</v>
      </c>
      <c r="BF260" s="14">
        <f t="shared" si="529"/>
        <v>235</v>
      </c>
      <c r="BG260" s="14">
        <f t="shared" si="529"/>
        <v>235</v>
      </c>
      <c r="BH260" s="14">
        <f t="shared" si="529"/>
        <v>235</v>
      </c>
      <c r="BI260" s="14">
        <f>INDEX(属性投放!$DM$6:$DM$85,(卡牌属性!AG260-2)*20+卡牌属性!AN260)</f>
        <v>117</v>
      </c>
      <c r="BJ260" s="14">
        <f t="shared" si="530"/>
        <v>117</v>
      </c>
      <c r="BK260" s="14">
        <f t="shared" si="530"/>
        <v>117</v>
      </c>
      <c r="BL260" s="14">
        <f t="shared" si="530"/>
        <v>117</v>
      </c>
      <c r="BM260" s="14">
        <f t="shared" si="530"/>
        <v>117</v>
      </c>
      <c r="BN260" s="14">
        <f>INDEX(属性投放!$DN$6:$DN$85,(卡牌属性!AG260-2)*20+卡牌属性!AN260)</f>
        <v>2346</v>
      </c>
      <c r="BO260" s="14">
        <f t="shared" si="531"/>
        <v>2346</v>
      </c>
      <c r="BP260" s="14">
        <f t="shared" si="531"/>
        <v>2346</v>
      </c>
      <c r="BQ260" s="14">
        <f t="shared" si="531"/>
        <v>2346</v>
      </c>
      <c r="BR260" s="14">
        <f t="shared" si="531"/>
        <v>2346</v>
      </c>
      <c r="BW260" s="13">
        <v>256</v>
      </c>
      <c r="BX260" s="13">
        <f t="shared" si="465"/>
        <v>13</v>
      </c>
      <c r="BY260" s="14">
        <f t="shared" si="466"/>
        <v>2</v>
      </c>
      <c r="BZ260" s="14">
        <f t="shared" si="475"/>
        <v>1102013</v>
      </c>
      <c r="CA260" s="14" t="str">
        <f t="shared" si="476"/>
        <v>塞伯罗斯16突</v>
      </c>
      <c r="CB260" s="25" t="s">
        <v>142</v>
      </c>
      <c r="CC260" s="14">
        <v>2</v>
      </c>
      <c r="CD260" s="14">
        <f t="shared" si="467"/>
        <v>16</v>
      </c>
      <c r="CE260" s="14" t="s">
        <v>21</v>
      </c>
      <c r="CF260" s="14">
        <f>INDEX(属性投放!$AZ$6:$AZ$85,(BY260-2)*20+CD260)</f>
        <v>8585</v>
      </c>
      <c r="CG260" s="14" t="s">
        <v>22</v>
      </c>
      <c r="CH260" s="14">
        <f>INDEX(属性投放!$BA$6:$BA$85,(BY260-2)*20+CD260)</f>
        <v>4260</v>
      </c>
      <c r="CI260" s="14" t="s">
        <v>510</v>
      </c>
      <c r="CJ260" s="14">
        <f>INDEX(属性投放!$BB$6:$BB$85,(BY260-2)*20+CD260)</f>
        <v>77658</v>
      </c>
      <c r="CK260" s="14" t="s">
        <v>21</v>
      </c>
      <c r="CL260" s="14">
        <f>INDEX(属性投放!$BC$6:$BC$85,(BY260-2)*20+CD260)</f>
        <v>20</v>
      </c>
      <c r="CM260" s="14" t="s">
        <v>22</v>
      </c>
      <c r="CN260" s="14">
        <f>INDEX(属性投放!$BD$6:$BD$85,(BY260-2)*20+CD260)</f>
        <v>10</v>
      </c>
      <c r="CO260" s="14" t="s">
        <v>510</v>
      </c>
      <c r="CP260" s="14">
        <f>INDEX(属性投放!$BE$6:$BE$85,(BY260-2)*20+CD260)</f>
        <v>200</v>
      </c>
      <c r="CS260" s="13">
        <v>256</v>
      </c>
      <c r="CT260" s="13">
        <f t="shared" si="477"/>
        <v>5</v>
      </c>
      <c r="CU260" s="13">
        <f t="shared" si="478"/>
        <v>48</v>
      </c>
      <c r="CV260" s="14">
        <f t="shared" si="479"/>
        <v>3</v>
      </c>
      <c r="CW260" s="14">
        <f t="shared" si="480"/>
        <v>1102005</v>
      </c>
      <c r="CX260" s="14" t="str">
        <f>INDEX($O$6:$O$50,CT260)&amp;"-"&amp;INDEX(属性投放!$AB$7:$AB$50,CZ260)&amp;"-魂火-"&amp;DB260</f>
        <v>李轩辕-无间-魂火-3</v>
      </c>
      <c r="CY260" s="25" t="s">
        <v>142</v>
      </c>
      <c r="CZ260" s="14">
        <f>INDEX(属性投放!$AM$7:$AM$58,CU260)</f>
        <v>19</v>
      </c>
      <c r="DA260" s="14" t="s">
        <v>537</v>
      </c>
      <c r="DB260" s="14">
        <f>INDEX(属性投放!$AN$7:$AN$58,CU260)</f>
        <v>3</v>
      </c>
      <c r="DC260" s="14">
        <f t="shared" si="468"/>
        <v>48</v>
      </c>
      <c r="DD260" s="14">
        <f>INDEX(属性投放!$AO$7:$AO$58,DC260)</f>
        <v>138</v>
      </c>
      <c r="DE260" s="14" t="s">
        <v>538</v>
      </c>
      <c r="DF260" s="14">
        <f>INDEX(属性投放!$BK$6:$BK$85,(CV260-2)*20+CZ260)</f>
        <v>900</v>
      </c>
      <c r="DG260" s="14">
        <f>SUMIFS(DF$5:DF260,$CT$5:$CT260,"="&amp;$CT260)</f>
        <v>13370</v>
      </c>
      <c r="DH260" s="14" t="s">
        <v>539</v>
      </c>
      <c r="DI260" s="14">
        <f>INDEX(属性投放!$BL$6:$BL$85,(CV260-2)*20+CZ260)</f>
        <v>450</v>
      </c>
      <c r="DJ260" s="14">
        <f>SUMIFS(DI$5:DI260,$CT$5:$CT260,"="&amp;$CT260)</f>
        <v>6688</v>
      </c>
      <c r="DK260" s="14" t="s">
        <v>540</v>
      </c>
      <c r="DL260" s="14">
        <f>INDEX(属性投放!$BM$6:$BM$85,(CV260-2)*20+CZ260)</f>
        <v>9000</v>
      </c>
      <c r="DM260" s="14">
        <f>SUMIFS(DL$5:DL260,$CT$5:$CT260,"="&amp;$CT260)</f>
        <v>129740</v>
      </c>
      <c r="DR260" s="14">
        <f t="shared" si="469"/>
        <v>1102013</v>
      </c>
      <c r="DS260" s="14" t="str">
        <f t="shared" si="470"/>
        <v>塞伯罗斯16突</v>
      </c>
      <c r="DT260" s="14">
        <f t="shared" si="481"/>
        <v>2</v>
      </c>
      <c r="DU260" s="14">
        <f t="shared" si="482"/>
        <v>3</v>
      </c>
      <c r="DV260" s="14">
        <f t="shared" si="483"/>
        <v>5</v>
      </c>
      <c r="DW260" s="14">
        <f t="shared" si="471"/>
        <v>2</v>
      </c>
      <c r="DX260" s="14">
        <f t="shared" si="472"/>
        <v>16</v>
      </c>
      <c r="DY260" s="14">
        <f t="shared" si="473"/>
        <v>16</v>
      </c>
      <c r="DZ260" s="14">
        <f>INDEX(属性投放!$AX$6:$AX$85,(卡牌属性!DW260-2)*20+卡牌属性!DX260)</f>
        <v>7</v>
      </c>
      <c r="EA260" s="14">
        <f>INDEX(属性投放!BQ$6:BQ$85,卡牌属性!$DY260)</f>
        <v>700</v>
      </c>
      <c r="EB260" s="14">
        <f>INDEX(属性投放!BR$6:BR$85,卡牌属性!$DY260)</f>
        <v>350</v>
      </c>
      <c r="EC260" s="14">
        <f>INDEX(属性投放!BS$6:BS$85,卡牌属性!$DY260)</f>
        <v>7000</v>
      </c>
      <c r="ED260" s="14">
        <f t="shared" si="532"/>
        <v>3818</v>
      </c>
      <c r="EE260" s="14">
        <f t="shared" si="533"/>
        <v>4060</v>
      </c>
      <c r="EF260" s="14">
        <f t="shared" si="534"/>
        <v>4390</v>
      </c>
      <c r="EG260" s="14">
        <f t="shared" si="535"/>
        <v>4390</v>
      </c>
      <c r="EH260" s="14">
        <f t="shared" si="536"/>
        <v>4786</v>
      </c>
      <c r="EI260" s="14">
        <f t="shared" si="537"/>
        <v>2004</v>
      </c>
      <c r="EJ260" s="14">
        <f t="shared" si="538"/>
        <v>2164</v>
      </c>
      <c r="EK260" s="14">
        <f t="shared" si="539"/>
        <v>2164</v>
      </c>
      <c r="EL260" s="14">
        <f t="shared" si="540"/>
        <v>2369</v>
      </c>
      <c r="EM260" s="14">
        <f t="shared" si="541"/>
        <v>2447</v>
      </c>
      <c r="EN260" s="14">
        <f t="shared" si="542"/>
        <v>41610</v>
      </c>
      <c r="EO260" s="14">
        <f t="shared" si="543"/>
        <v>42774</v>
      </c>
      <c r="EP260" s="14">
        <f t="shared" si="544"/>
        <v>42774</v>
      </c>
      <c r="EQ260" s="14">
        <f t="shared" si="545"/>
        <v>50708</v>
      </c>
      <c r="ER260" s="14">
        <f t="shared" si="546"/>
        <v>54052</v>
      </c>
      <c r="ES260" s="14">
        <f>INDEX(属性偏向!$S$4:$S$243,(卡牌属性!$DT260-1+ES$3)*20+卡牌属性!$DX260)</f>
        <v>15</v>
      </c>
      <c r="ET260" s="14">
        <f>INDEX(属性偏向!$S$4:$S$243,(卡牌属性!$DT260-1+ET$3)*20+卡牌属性!$DX260)</f>
        <v>20</v>
      </c>
      <c r="EU260" s="14">
        <f>INDEX(属性偏向!$S$4:$S$243,(卡牌属性!$DT260-1+EU$3)*20+卡牌属性!$DX260)</f>
        <v>25</v>
      </c>
      <c r="EV260" s="14">
        <f>INDEX(属性偏向!$S$4:$S$243,(卡牌属性!$DT260-1+EV$3)*20+卡牌属性!$DX260)</f>
        <v>25</v>
      </c>
      <c r="EW260" s="14">
        <f>INDEX(属性偏向!$S$4:$S$243,(卡牌属性!$DT260-1+EW$3)*20+卡牌属性!$DX260)</f>
        <v>30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300</v>
      </c>
      <c r="FD260" s="14">
        <f>INDEX(属性偏向!$U$4:$U$243,(卡牌属性!$DV260-1+FD$3)*20+卡牌属性!$DX260)</f>
        <v>350</v>
      </c>
      <c r="FE260" s="14">
        <f>INDEX(属性偏向!$U$4:$U$243,(卡牌属性!$DV260-1+FE$3)*20+卡牌属性!$DX260)</f>
        <v>350</v>
      </c>
      <c r="FF260" s="14">
        <f>INDEX(属性偏向!$U$4:$U$243,(卡牌属性!$DV260-1+FF$3)*20+卡牌属性!$DX260)</f>
        <v>500</v>
      </c>
      <c r="FG260" s="14">
        <f>INDEX(属性偏向!$U$4:$U$243,(卡牌属性!$DV260-1+FG$3)*20+卡牌属性!$DX260)</f>
        <v>600</v>
      </c>
      <c r="FH260" s="14">
        <f>INDEX(属性投放!$BQ$6:$BQ$85,(卡牌属性!$DW260-2)*20+卡牌属性!$DX260)</f>
        <v>700</v>
      </c>
      <c r="FI260" s="14">
        <f>INDEX(属性投放!$BQ$6:$BQ$85,(卡牌属性!$DW260-2)*20+卡牌属性!$DX260)</f>
        <v>700</v>
      </c>
      <c r="FJ260" s="14">
        <f>INDEX(属性投放!$BQ$6:$BQ$85,(卡牌属性!$DW260-2)*20+卡牌属性!$DX260)</f>
        <v>700</v>
      </c>
      <c r="FK260" s="14">
        <f>INDEX(属性投放!$BQ$6:$BQ$85,(卡牌属性!$DW260-2)*20+卡牌属性!$DX260)</f>
        <v>700</v>
      </c>
      <c r="FL260" s="14">
        <f>INDEX(属性投放!$BQ$6:$BQ$85,(卡牌属性!$DW260-2)*20+卡牌属性!$DX260)</f>
        <v>700</v>
      </c>
      <c r="FM260" s="14">
        <f>INDEX(属性投放!$BR$6:$BR$85,(卡牌属性!$DW260-2)*20+卡牌属性!$DX260)</f>
        <v>350</v>
      </c>
      <c r="FN260" s="14">
        <f>INDEX(属性投放!$BR$6:$BR$85,(卡牌属性!$DW260-2)*20+卡牌属性!$DX260)</f>
        <v>350</v>
      </c>
      <c r="FO260" s="14">
        <f>INDEX(属性投放!$BR$6:$BR$85,(卡牌属性!$DW260-2)*20+卡牌属性!$DX260)</f>
        <v>350</v>
      </c>
      <c r="FP260" s="14">
        <f>INDEX(属性投放!$BR$6:$BR$85,(卡牌属性!$DW260-2)*20+卡牌属性!$DX260)</f>
        <v>350</v>
      </c>
      <c r="FQ260" s="14">
        <f>INDEX(属性投放!$BR$6:$BR$85,(卡牌属性!$DW260-2)*20+卡牌属性!$DX260)</f>
        <v>350</v>
      </c>
      <c r="FR260" s="14">
        <f>INDEX(属性投放!$BS$6:$BS$85,(卡牌属性!$DW260-2)*20+卡牌属性!$DX260)</f>
        <v>7000</v>
      </c>
      <c r="FS260" s="14">
        <f>INDEX(属性投放!$BS$6:$BS$85,(卡牌属性!$DW260-2)*20+卡牌属性!$DX260)</f>
        <v>7000</v>
      </c>
      <c r="FT260" s="14">
        <f>INDEX(属性投放!$BS$6:$BS$85,(卡牌属性!$DW260-2)*20+卡牌属性!$DX260)</f>
        <v>7000</v>
      </c>
      <c r="FU260" s="14">
        <f>INDEX(属性投放!$BS$6:$BS$85,(卡牌属性!$DW260-2)*20+卡牌属性!$DX260)</f>
        <v>7000</v>
      </c>
      <c r="FV260" s="14">
        <f>INDEX(属性投放!$BS$6:$BS$85,(卡牌属性!$DW260-2)*20+卡牌属性!$DX260)</f>
        <v>7000</v>
      </c>
    </row>
    <row r="261" spans="31:178" ht="16.5" x14ac:dyDescent="0.2">
      <c r="AE261" s="13">
        <v>257</v>
      </c>
      <c r="AF261" s="13">
        <f t="shared" si="474"/>
        <v>13</v>
      </c>
      <c r="AG261" s="13">
        <f t="shared" ref="AG261:AG324" si="547">INDEX($D$6:$D$43,AF261)</f>
        <v>2</v>
      </c>
      <c r="AH261" s="13"/>
      <c r="AI261" s="13"/>
      <c r="AJ261" s="14">
        <f t="shared" ref="AJ261:AJ324" si="548">INDEX($A$5:$A$43,AF261+1)</f>
        <v>1101013</v>
      </c>
      <c r="AK261" s="14" t="str">
        <f t="shared" ref="AK261:AK324" si="549">INDEX($B$5:$B$43,MATCH(AJ261,$A$5:$A$43,0))&amp;AN261&amp;"突"</f>
        <v>吉拉17突</v>
      </c>
      <c r="AL261" s="25" t="s">
        <v>142</v>
      </c>
      <c r="AM261" s="14">
        <v>1</v>
      </c>
      <c r="AN261" s="14">
        <f t="shared" ref="AN261:AN324" si="550">AE261-INDEX($F$5:$F$43,AF261)</f>
        <v>17</v>
      </c>
      <c r="AO261" s="14">
        <f>INDEX(属性投放!$DF$6:$DF$85,(卡牌属性!AG261-2)*20+卡牌属性!AN261)</f>
        <v>10383</v>
      </c>
      <c r="AP261" s="14">
        <f t="shared" si="526"/>
        <v>10383</v>
      </c>
      <c r="AQ261" s="14">
        <f t="shared" si="526"/>
        <v>10383</v>
      </c>
      <c r="AR261" s="14">
        <f t="shared" si="526"/>
        <v>10383</v>
      </c>
      <c r="AS261" s="14">
        <f t="shared" si="526"/>
        <v>10383</v>
      </c>
      <c r="AT261" s="14">
        <f>INDEX(属性投放!$DG$6:$DG$85,(卡牌属性!AG261-2)*20+卡牌属性!AN261)</f>
        <v>5158</v>
      </c>
      <c r="AU261" s="14">
        <f t="shared" si="527"/>
        <v>5158</v>
      </c>
      <c r="AV261" s="14">
        <f t="shared" si="527"/>
        <v>5158</v>
      </c>
      <c r="AW261" s="14">
        <f t="shared" si="527"/>
        <v>5158</v>
      </c>
      <c r="AX261" s="14">
        <f t="shared" si="527"/>
        <v>5158</v>
      </c>
      <c r="AY261" s="14">
        <f>INDEX(属性投放!$DH$6:$DH$85,(卡牌属性!AG261-2)*20+卡牌属性!AN261)</f>
        <v>95606</v>
      </c>
      <c r="AZ261" s="14">
        <f t="shared" si="528"/>
        <v>95606</v>
      </c>
      <c r="BA261" s="14">
        <f t="shared" si="528"/>
        <v>95606</v>
      </c>
      <c r="BB261" s="14">
        <f t="shared" si="528"/>
        <v>95606</v>
      </c>
      <c r="BC261" s="14">
        <f t="shared" si="528"/>
        <v>95606</v>
      </c>
      <c r="BD261" s="14">
        <f>INDEX(属性投放!$DL$6:$DL$85,(卡牌属性!AG261-2)*20+卡牌属性!AN261)</f>
        <v>235</v>
      </c>
      <c r="BE261" s="14">
        <f t="shared" si="529"/>
        <v>235</v>
      </c>
      <c r="BF261" s="14">
        <f t="shared" si="529"/>
        <v>235</v>
      </c>
      <c r="BG261" s="14">
        <f t="shared" si="529"/>
        <v>235</v>
      </c>
      <c r="BH261" s="14">
        <f t="shared" si="529"/>
        <v>235</v>
      </c>
      <c r="BI261" s="14">
        <f>INDEX(属性投放!$DM$6:$DM$85,(卡牌属性!AG261-2)*20+卡牌属性!AN261)</f>
        <v>117</v>
      </c>
      <c r="BJ261" s="14">
        <f t="shared" si="530"/>
        <v>117</v>
      </c>
      <c r="BK261" s="14">
        <f t="shared" si="530"/>
        <v>117</v>
      </c>
      <c r="BL261" s="14">
        <f t="shared" si="530"/>
        <v>117</v>
      </c>
      <c r="BM261" s="14">
        <f t="shared" si="530"/>
        <v>117</v>
      </c>
      <c r="BN261" s="14">
        <f>INDEX(属性投放!$DN$6:$DN$85,(卡牌属性!AG261-2)*20+卡牌属性!AN261)</f>
        <v>2346</v>
      </c>
      <c r="BO261" s="14">
        <f t="shared" si="531"/>
        <v>2346</v>
      </c>
      <c r="BP261" s="14">
        <f t="shared" si="531"/>
        <v>2346</v>
      </c>
      <c r="BQ261" s="14">
        <f t="shared" si="531"/>
        <v>2346</v>
      </c>
      <c r="BR261" s="14">
        <f t="shared" si="531"/>
        <v>2346</v>
      </c>
      <c r="BW261" s="13">
        <v>257</v>
      </c>
      <c r="BX261" s="13">
        <f t="shared" ref="BX261:BX324" si="551">MATCH(BW261-1,$S$5:$S$43,1)</f>
        <v>13</v>
      </c>
      <c r="BY261" s="14">
        <f t="shared" ref="BY261:BY324" si="552">INDEX($Q$6:$Q$43,BX261)</f>
        <v>2</v>
      </c>
      <c r="BZ261" s="14">
        <f t="shared" si="475"/>
        <v>1102013</v>
      </c>
      <c r="CA261" s="14" t="str">
        <f t="shared" si="476"/>
        <v>塞伯罗斯17突</v>
      </c>
      <c r="CB261" s="25" t="s">
        <v>142</v>
      </c>
      <c r="CC261" s="14">
        <v>2</v>
      </c>
      <c r="CD261" s="14">
        <f t="shared" ref="CD261:CD324" si="553">BW261-INDEX($S$5:$S$43,BX261)</f>
        <v>17</v>
      </c>
      <c r="CE261" s="14" t="s">
        <v>21</v>
      </c>
      <c r="CF261" s="14">
        <f>INDEX(属性投放!$AZ$6:$AZ$85,(BY261-2)*20+CD261)</f>
        <v>10775</v>
      </c>
      <c r="CG261" s="14" t="s">
        <v>22</v>
      </c>
      <c r="CH261" s="14">
        <f>INDEX(属性投放!$BA$6:$BA$85,(BY261-2)*20+CD261)</f>
        <v>5355</v>
      </c>
      <c r="CI261" s="14" t="s">
        <v>510</v>
      </c>
      <c r="CJ261" s="14">
        <f>INDEX(属性投放!$BB$6:$BB$85,(BY261-2)*20+CD261)</f>
        <v>99558</v>
      </c>
      <c r="CK261" s="14" t="s">
        <v>21</v>
      </c>
      <c r="CL261" s="14">
        <f>INDEX(属性投放!$BC$6:$BC$85,(BY261-2)*20+CD261)</f>
        <v>20</v>
      </c>
      <c r="CM261" s="14" t="s">
        <v>22</v>
      </c>
      <c r="CN261" s="14">
        <f>INDEX(属性投放!$BD$6:$BD$85,(BY261-2)*20+CD261)</f>
        <v>10</v>
      </c>
      <c r="CO261" s="14" t="s">
        <v>510</v>
      </c>
      <c r="CP261" s="14">
        <f>INDEX(属性投放!$BE$6:$BE$85,(BY261-2)*20+CD261)</f>
        <v>200</v>
      </c>
      <c r="CS261" s="13">
        <v>257</v>
      </c>
      <c r="CT261" s="13">
        <f t="shared" si="477"/>
        <v>5</v>
      </c>
      <c r="CU261" s="13">
        <f t="shared" si="478"/>
        <v>49</v>
      </c>
      <c r="CV261" s="14">
        <f t="shared" si="479"/>
        <v>3</v>
      </c>
      <c r="CW261" s="14">
        <f t="shared" si="480"/>
        <v>1102005</v>
      </c>
      <c r="CX261" s="14" t="str">
        <f>INDEX($O$6:$O$50,CT261)&amp;"-"&amp;INDEX(属性投放!$AB$7:$AB$50,CZ261)&amp;"-魂火-"&amp;DB261</f>
        <v>李轩辕-无间+1-魂火-1</v>
      </c>
      <c r="CY261" s="25" t="s">
        <v>142</v>
      </c>
      <c r="CZ261" s="14">
        <f>INDEX(属性投放!$AM$7:$AM$58,CU261)</f>
        <v>20</v>
      </c>
      <c r="DA261" s="14" t="s">
        <v>537</v>
      </c>
      <c r="DB261" s="14">
        <f>INDEX(属性投放!$AN$7:$AN$58,CU261)</f>
        <v>1</v>
      </c>
      <c r="DC261" s="14">
        <f t="shared" ref="DC261:DC324" si="554">CU261</f>
        <v>49</v>
      </c>
      <c r="DD261" s="14">
        <f>INDEX(属性投放!$AO$7:$AO$58,DC261)</f>
        <v>140</v>
      </c>
      <c r="DE261" s="14" t="s">
        <v>538</v>
      </c>
      <c r="DF261" s="14">
        <f>INDEX(属性投放!$BK$6:$BK$85,(CV261-2)*20+CZ261)</f>
        <v>1000</v>
      </c>
      <c r="DG261" s="14">
        <f>SUMIFS(DF$5:DF261,$CT$5:$CT261,"="&amp;$CT261)</f>
        <v>14370</v>
      </c>
      <c r="DH261" s="14" t="s">
        <v>539</v>
      </c>
      <c r="DI261" s="14">
        <f>INDEX(属性投放!$BL$6:$BL$85,(CV261-2)*20+CZ261)</f>
        <v>500</v>
      </c>
      <c r="DJ261" s="14">
        <f>SUMIFS(DI$5:DI261,$CT$5:$CT261,"="&amp;$CT261)</f>
        <v>7188</v>
      </c>
      <c r="DK261" s="14" t="s">
        <v>540</v>
      </c>
      <c r="DL261" s="14">
        <f>INDEX(属性投放!$BM$6:$BM$85,(CV261-2)*20+CZ261)</f>
        <v>10000</v>
      </c>
      <c r="DM261" s="14">
        <f>SUMIFS(DL$5:DL261,$CT$5:$CT261,"="&amp;$CT261)</f>
        <v>139740</v>
      </c>
      <c r="DR261" s="14">
        <f t="shared" ref="DR261:DR324" si="555">BZ261</f>
        <v>1102013</v>
      </c>
      <c r="DS261" s="14" t="str">
        <f t="shared" ref="DS261:DS324" si="556">CA261</f>
        <v>塞伯罗斯17突</v>
      </c>
      <c r="DT261" s="14">
        <f t="shared" si="481"/>
        <v>2</v>
      </c>
      <c r="DU261" s="14">
        <f t="shared" si="482"/>
        <v>3</v>
      </c>
      <c r="DV261" s="14">
        <f t="shared" si="483"/>
        <v>5</v>
      </c>
      <c r="DW261" s="14">
        <f t="shared" ref="DW261:DW324" si="557">BY261</f>
        <v>2</v>
      </c>
      <c r="DX261" s="14">
        <f t="shared" ref="DX261:DX324" si="558">CD261</f>
        <v>17</v>
      </c>
      <c r="DY261" s="14">
        <f t="shared" ref="DY261:DY324" si="559">(DW261-2)*20+DX261</f>
        <v>17</v>
      </c>
      <c r="DZ261" s="14">
        <f>INDEX(属性投放!$AX$6:$AX$85,(卡牌属性!DW261-2)*20+卡牌属性!DX261)</f>
        <v>8</v>
      </c>
      <c r="EA261" s="14">
        <f>INDEX(属性投放!BQ$6:BQ$85,卡牌属性!$DY261)</f>
        <v>800</v>
      </c>
      <c r="EB261" s="14">
        <f>INDEX(属性投放!BR$6:BR$85,卡牌属性!$DY261)</f>
        <v>400</v>
      </c>
      <c r="EC261" s="14">
        <f>INDEX(属性投放!BS$6:BS$85,卡牌属性!$DY261)</f>
        <v>8000</v>
      </c>
      <c r="ED261" s="14">
        <f t="shared" si="532"/>
        <v>4623</v>
      </c>
      <c r="EE261" s="14">
        <f t="shared" si="533"/>
        <v>4900</v>
      </c>
      <c r="EF261" s="14">
        <f t="shared" si="534"/>
        <v>5265</v>
      </c>
      <c r="EG261" s="14">
        <f t="shared" si="535"/>
        <v>5265</v>
      </c>
      <c r="EH261" s="14">
        <f t="shared" si="536"/>
        <v>5696</v>
      </c>
      <c r="EI261" s="14">
        <f t="shared" si="537"/>
        <v>2424</v>
      </c>
      <c r="EJ261" s="14">
        <f t="shared" si="538"/>
        <v>2605</v>
      </c>
      <c r="EK261" s="14">
        <f t="shared" si="539"/>
        <v>2605</v>
      </c>
      <c r="EL261" s="14">
        <f t="shared" si="540"/>
        <v>2824</v>
      </c>
      <c r="EM261" s="14">
        <f t="shared" si="541"/>
        <v>2923</v>
      </c>
      <c r="EN261" s="14">
        <f t="shared" si="542"/>
        <v>50710</v>
      </c>
      <c r="EO261" s="14">
        <f t="shared" si="543"/>
        <v>52224</v>
      </c>
      <c r="EP261" s="14">
        <f t="shared" si="544"/>
        <v>52224</v>
      </c>
      <c r="EQ261" s="14">
        <f t="shared" si="545"/>
        <v>61208</v>
      </c>
      <c r="ER261" s="14">
        <f t="shared" si="546"/>
        <v>65252</v>
      </c>
      <c r="ES261" s="14">
        <f>INDEX(属性偏向!$S$4:$S$243,(卡牌属性!$DT261-1+ES$3)*20+卡牌属性!$DX261)</f>
        <v>15</v>
      </c>
      <c r="ET261" s="14">
        <f>INDEX(属性偏向!$S$4:$S$243,(卡牌属性!$DT261-1+ET$3)*20+卡牌属性!$DX261)</f>
        <v>20</v>
      </c>
      <c r="EU261" s="14">
        <f>INDEX(属性偏向!$S$4:$S$243,(卡牌属性!$DT261-1+EU$3)*20+卡牌属性!$DX261)</f>
        <v>25</v>
      </c>
      <c r="EV261" s="14">
        <f>INDEX(属性偏向!$S$4:$S$243,(卡牌属性!$DT261-1+EV$3)*20+卡牌属性!$DX261)</f>
        <v>25</v>
      </c>
      <c r="EW261" s="14">
        <f>INDEX(属性偏向!$S$4:$S$243,(卡牌属性!$DT261-1+EW$3)*20+卡牌属性!$DX261)</f>
        <v>30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300</v>
      </c>
      <c r="FD261" s="14">
        <f>INDEX(属性偏向!$U$4:$U$243,(卡牌属性!$DV261-1+FD$3)*20+卡牌属性!$DX261)</f>
        <v>350</v>
      </c>
      <c r="FE261" s="14">
        <f>INDEX(属性偏向!$U$4:$U$243,(卡牌属性!$DV261-1+FE$3)*20+卡牌属性!$DX261)</f>
        <v>350</v>
      </c>
      <c r="FF261" s="14">
        <f>INDEX(属性偏向!$U$4:$U$243,(卡牌属性!$DV261-1+FF$3)*20+卡牌属性!$DX261)</f>
        <v>500</v>
      </c>
      <c r="FG261" s="14">
        <f>INDEX(属性偏向!$U$4:$U$243,(卡牌属性!$DV261-1+FG$3)*20+卡牌属性!$DX261)</f>
        <v>600</v>
      </c>
      <c r="FH261" s="14">
        <f>INDEX(属性投放!$BQ$6:$BQ$85,(卡牌属性!$DW261-2)*20+卡牌属性!$DX261)</f>
        <v>800</v>
      </c>
      <c r="FI261" s="14">
        <f>INDEX(属性投放!$BQ$6:$BQ$85,(卡牌属性!$DW261-2)*20+卡牌属性!$DX261)</f>
        <v>800</v>
      </c>
      <c r="FJ261" s="14">
        <f>INDEX(属性投放!$BQ$6:$BQ$85,(卡牌属性!$DW261-2)*20+卡牌属性!$DX261)</f>
        <v>800</v>
      </c>
      <c r="FK261" s="14">
        <f>INDEX(属性投放!$BQ$6:$BQ$85,(卡牌属性!$DW261-2)*20+卡牌属性!$DX261)</f>
        <v>800</v>
      </c>
      <c r="FL261" s="14">
        <f>INDEX(属性投放!$BQ$6:$BQ$85,(卡牌属性!$DW261-2)*20+卡牌属性!$DX261)</f>
        <v>800</v>
      </c>
      <c r="FM261" s="14">
        <f>INDEX(属性投放!$BR$6:$BR$85,(卡牌属性!$DW261-2)*20+卡牌属性!$DX261)</f>
        <v>400</v>
      </c>
      <c r="FN261" s="14">
        <f>INDEX(属性投放!$BR$6:$BR$85,(卡牌属性!$DW261-2)*20+卡牌属性!$DX261)</f>
        <v>400</v>
      </c>
      <c r="FO261" s="14">
        <f>INDEX(属性投放!$BR$6:$BR$85,(卡牌属性!$DW261-2)*20+卡牌属性!$DX261)</f>
        <v>400</v>
      </c>
      <c r="FP261" s="14">
        <f>INDEX(属性投放!$BR$6:$BR$85,(卡牌属性!$DW261-2)*20+卡牌属性!$DX261)</f>
        <v>400</v>
      </c>
      <c r="FQ261" s="14">
        <f>INDEX(属性投放!$BR$6:$BR$85,(卡牌属性!$DW261-2)*20+卡牌属性!$DX261)</f>
        <v>400</v>
      </c>
      <c r="FR261" s="14">
        <f>INDEX(属性投放!$BS$6:$BS$85,(卡牌属性!$DW261-2)*20+卡牌属性!$DX261)</f>
        <v>8000</v>
      </c>
      <c r="FS261" s="14">
        <f>INDEX(属性投放!$BS$6:$BS$85,(卡牌属性!$DW261-2)*20+卡牌属性!$DX261)</f>
        <v>8000</v>
      </c>
      <c r="FT261" s="14">
        <f>INDEX(属性投放!$BS$6:$BS$85,(卡牌属性!$DW261-2)*20+卡牌属性!$DX261)</f>
        <v>8000</v>
      </c>
      <c r="FU261" s="14">
        <f>INDEX(属性投放!$BS$6:$BS$85,(卡牌属性!$DW261-2)*20+卡牌属性!$DX261)</f>
        <v>8000</v>
      </c>
      <c r="FV261" s="14">
        <f>INDEX(属性投放!$BS$6:$BS$85,(卡牌属性!$DW261-2)*20+卡牌属性!$DX261)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60">MATCH(AE262-1,$F$5:$F$42,1)</f>
        <v>13</v>
      </c>
      <c r="AG262" s="13">
        <f t="shared" si="547"/>
        <v>2</v>
      </c>
      <c r="AH262" s="13"/>
      <c r="AI262" s="13"/>
      <c r="AJ262" s="14">
        <f t="shared" si="548"/>
        <v>1101013</v>
      </c>
      <c r="AK262" s="14" t="str">
        <f t="shared" si="549"/>
        <v>吉拉18突</v>
      </c>
      <c r="AL262" s="25" t="s">
        <v>142</v>
      </c>
      <c r="AM262" s="14">
        <v>1</v>
      </c>
      <c r="AN262" s="14">
        <f t="shared" si="550"/>
        <v>18</v>
      </c>
      <c r="AO262" s="14">
        <f>INDEX(属性投放!$DF$6:$DF$85,(卡牌属性!AG262-2)*20+卡牌属性!AN262)</f>
        <v>11221</v>
      </c>
      <c r="AP262" s="14">
        <f t="shared" si="526"/>
        <v>11221</v>
      </c>
      <c r="AQ262" s="14">
        <f t="shared" si="526"/>
        <v>11221</v>
      </c>
      <c r="AR262" s="14">
        <f t="shared" si="526"/>
        <v>11221</v>
      </c>
      <c r="AS262" s="14">
        <f t="shared" si="526"/>
        <v>11221</v>
      </c>
      <c r="AT262" s="14">
        <f>INDEX(属性投放!$DG$6:$DG$85,(卡牌属性!AG262-2)*20+卡牌属性!AN262)</f>
        <v>5577</v>
      </c>
      <c r="AU262" s="14">
        <f t="shared" si="527"/>
        <v>5577</v>
      </c>
      <c r="AV262" s="14">
        <f t="shared" si="527"/>
        <v>5577</v>
      </c>
      <c r="AW262" s="14">
        <f t="shared" si="527"/>
        <v>5577</v>
      </c>
      <c r="AX262" s="14">
        <f t="shared" si="527"/>
        <v>5577</v>
      </c>
      <c r="AY262" s="14">
        <f>INDEX(属性投放!$DH$6:$DH$85,(卡牌属性!AG262-2)*20+卡牌属性!AN262)</f>
        <v>103986</v>
      </c>
      <c r="AZ262" s="14">
        <f t="shared" si="528"/>
        <v>103986</v>
      </c>
      <c r="BA262" s="14">
        <f t="shared" si="528"/>
        <v>103986</v>
      </c>
      <c r="BB262" s="14">
        <f t="shared" si="528"/>
        <v>103986</v>
      </c>
      <c r="BC262" s="14">
        <f t="shared" si="528"/>
        <v>103986</v>
      </c>
      <c r="BD262" s="14">
        <f>INDEX(属性投放!$DL$6:$DL$85,(卡牌属性!AG262-2)*20+卡牌属性!AN262)</f>
        <v>235</v>
      </c>
      <c r="BE262" s="14">
        <f t="shared" si="529"/>
        <v>235</v>
      </c>
      <c r="BF262" s="14">
        <f t="shared" si="529"/>
        <v>235</v>
      </c>
      <c r="BG262" s="14">
        <f t="shared" si="529"/>
        <v>235</v>
      </c>
      <c r="BH262" s="14">
        <f t="shared" si="529"/>
        <v>235</v>
      </c>
      <c r="BI262" s="14">
        <f>INDEX(属性投放!$DM$6:$DM$85,(卡牌属性!AG262-2)*20+卡牌属性!AN262)</f>
        <v>117</v>
      </c>
      <c r="BJ262" s="14">
        <f t="shared" si="530"/>
        <v>117</v>
      </c>
      <c r="BK262" s="14">
        <f t="shared" si="530"/>
        <v>117</v>
      </c>
      <c r="BL262" s="14">
        <f t="shared" si="530"/>
        <v>117</v>
      </c>
      <c r="BM262" s="14">
        <f t="shared" si="530"/>
        <v>117</v>
      </c>
      <c r="BN262" s="14">
        <f>INDEX(属性投放!$DN$6:$DN$85,(卡牌属性!AG262-2)*20+卡牌属性!AN262)</f>
        <v>2346</v>
      </c>
      <c r="BO262" s="14">
        <f t="shared" si="531"/>
        <v>2346</v>
      </c>
      <c r="BP262" s="14">
        <f t="shared" si="531"/>
        <v>2346</v>
      </c>
      <c r="BQ262" s="14">
        <f t="shared" si="531"/>
        <v>2346</v>
      </c>
      <c r="BR262" s="14">
        <f t="shared" si="531"/>
        <v>2346</v>
      </c>
      <c r="BW262" s="13">
        <v>258</v>
      </c>
      <c r="BX262" s="13">
        <f t="shared" si="551"/>
        <v>13</v>
      </c>
      <c r="BY262" s="14">
        <f t="shared" si="552"/>
        <v>2</v>
      </c>
      <c r="BZ262" s="14">
        <f t="shared" ref="BZ262:BZ325" si="561">INDEX($N$6:$N$43,BX262)</f>
        <v>1102013</v>
      </c>
      <c r="CA262" s="14" t="str">
        <f t="shared" ref="CA262:CA325" si="562">INDEX($O$6:$O$43,BX262)&amp;CD262&amp;"突"</f>
        <v>塞伯罗斯18突</v>
      </c>
      <c r="CB262" s="25" t="s">
        <v>142</v>
      </c>
      <c r="CC262" s="14">
        <v>2</v>
      </c>
      <c r="CD262" s="14">
        <f t="shared" si="553"/>
        <v>18</v>
      </c>
      <c r="CE262" s="14" t="s">
        <v>21</v>
      </c>
      <c r="CF262" s="14">
        <f>INDEX(属性投放!$AZ$6:$AZ$85,(BY262-2)*20+CD262)</f>
        <v>13385</v>
      </c>
      <c r="CG262" s="14" t="s">
        <v>22</v>
      </c>
      <c r="CH262" s="14">
        <f>INDEX(属性投放!$BA$6:$BA$85,(BY262-2)*20+CD262)</f>
        <v>6660</v>
      </c>
      <c r="CI262" s="14" t="s">
        <v>510</v>
      </c>
      <c r="CJ262" s="14">
        <f>INDEX(属性投放!$BB$6:$BB$85,(BY262-2)*20+CD262)</f>
        <v>125658</v>
      </c>
      <c r="CK262" s="14" t="s">
        <v>21</v>
      </c>
      <c r="CL262" s="14">
        <f>INDEX(属性投放!$BC$6:$BC$85,(BY262-2)*20+CD262)</f>
        <v>20</v>
      </c>
      <c r="CM262" s="14" t="s">
        <v>22</v>
      </c>
      <c r="CN262" s="14">
        <f>INDEX(属性投放!$BD$6:$BD$85,(BY262-2)*20+CD262)</f>
        <v>10</v>
      </c>
      <c r="CO262" s="14" t="s">
        <v>510</v>
      </c>
      <c r="CP262" s="14">
        <f>INDEX(属性投放!$BE$6:$BE$85,(BY262-2)*20+CD262)</f>
        <v>200</v>
      </c>
      <c r="CS262" s="13">
        <v>258</v>
      </c>
      <c r="CT262" s="13">
        <f t="shared" ref="CT262:CT325" si="563">MATCH(CS262-1,$U$5:$U$36,1)</f>
        <v>5</v>
      </c>
      <c r="CU262" s="13">
        <f t="shared" ref="CU262:CU325" si="564">CS262-(CT262-1)*52</f>
        <v>50</v>
      </c>
      <c r="CV262" s="14">
        <f t="shared" ref="CV262:CV325" si="565">INDEX($Q$6:$Q$50,CT262)</f>
        <v>3</v>
      </c>
      <c r="CW262" s="14">
        <f t="shared" ref="CW262:CW325" si="566">INDEX($N$6:$N$50,CT262)</f>
        <v>1102005</v>
      </c>
      <c r="CX262" s="14" t="str">
        <f>INDEX($O$6:$O$50,CT262)&amp;"-"&amp;INDEX(属性投放!$AB$7:$AB$50,CZ262)&amp;"-魂火-"&amp;DB262</f>
        <v>李轩辕-无间+1-魂火-2</v>
      </c>
      <c r="CY262" s="25" t="s">
        <v>142</v>
      </c>
      <c r="CZ262" s="14">
        <f>INDEX(属性投放!$AM$7:$AM$58,CU262)</f>
        <v>20</v>
      </c>
      <c r="DA262" s="14" t="s">
        <v>537</v>
      </c>
      <c r="DB262" s="14">
        <f>INDEX(属性投放!$AN$7:$AN$58,CU262)</f>
        <v>2</v>
      </c>
      <c r="DC262" s="14">
        <f t="shared" si="554"/>
        <v>50</v>
      </c>
      <c r="DD262" s="14">
        <f>INDEX(属性投放!$AO$7:$AO$58,DC262)</f>
        <v>143</v>
      </c>
      <c r="DE262" s="14" t="s">
        <v>538</v>
      </c>
      <c r="DF262" s="14">
        <f>INDEX(属性投放!$BK$6:$BK$85,(CV262-2)*20+CZ262)</f>
        <v>1000</v>
      </c>
      <c r="DG262" s="14">
        <f>SUMIFS(DF$5:DF262,$CT$5:$CT262,"="&amp;$CT262)</f>
        <v>15370</v>
      </c>
      <c r="DH262" s="14" t="s">
        <v>539</v>
      </c>
      <c r="DI262" s="14">
        <f>INDEX(属性投放!$BL$6:$BL$85,(CV262-2)*20+CZ262)</f>
        <v>500</v>
      </c>
      <c r="DJ262" s="14">
        <f>SUMIFS(DI$5:DI262,$CT$5:$CT262,"="&amp;$CT262)</f>
        <v>7688</v>
      </c>
      <c r="DK262" s="14" t="s">
        <v>540</v>
      </c>
      <c r="DL262" s="14">
        <f>INDEX(属性投放!$BM$6:$BM$85,(CV262-2)*20+CZ262)</f>
        <v>10000</v>
      </c>
      <c r="DM262" s="14">
        <f>SUMIFS(DL$5:DL262,$CT$5:$CT262,"="&amp;$CT262)</f>
        <v>149740</v>
      </c>
      <c r="DR262" s="14">
        <f t="shared" si="555"/>
        <v>1102013</v>
      </c>
      <c r="DS262" s="14" t="str">
        <f t="shared" si="556"/>
        <v>塞伯罗斯18突</v>
      </c>
      <c r="DT262" s="14">
        <f t="shared" ref="DT262:DT325" si="567">INDEX(Y$6:Y$43,$BX262)</f>
        <v>2</v>
      </c>
      <c r="DU262" s="14">
        <f t="shared" ref="DU262:DU325" si="568">INDEX(Z$6:Z$43,$BX262)</f>
        <v>3</v>
      </c>
      <c r="DV262" s="14">
        <f t="shared" ref="DV262:DV325" si="569">INDEX(AA$6:AA$43,$BX262)</f>
        <v>5</v>
      </c>
      <c r="DW262" s="14">
        <f t="shared" si="557"/>
        <v>2</v>
      </c>
      <c r="DX262" s="14">
        <f t="shared" si="558"/>
        <v>18</v>
      </c>
      <c r="DY262" s="14">
        <f t="shared" si="559"/>
        <v>18</v>
      </c>
      <c r="DZ262" s="14">
        <f>INDEX(属性投放!$AX$6:$AX$85,(卡牌属性!DW262-2)*20+卡牌属性!DX262)</f>
        <v>7</v>
      </c>
      <c r="EA262" s="14">
        <f>INDEX(属性投放!BQ$6:BQ$85,卡牌属性!$DY262)</f>
        <v>1400</v>
      </c>
      <c r="EB262" s="14">
        <f>INDEX(属性投放!BR$6:BR$85,卡牌属性!$DY262)</f>
        <v>700</v>
      </c>
      <c r="EC262" s="14">
        <f>INDEX(属性投放!BS$6:BS$85,卡牌属性!$DY262)</f>
        <v>14000</v>
      </c>
      <c r="ED262" s="14">
        <f t="shared" si="532"/>
        <v>5543</v>
      </c>
      <c r="EE262" s="14">
        <f t="shared" si="533"/>
        <v>5860</v>
      </c>
      <c r="EF262" s="14">
        <f t="shared" si="534"/>
        <v>6265</v>
      </c>
      <c r="EG262" s="14">
        <f t="shared" si="535"/>
        <v>6265</v>
      </c>
      <c r="EH262" s="14">
        <f t="shared" si="536"/>
        <v>6736</v>
      </c>
      <c r="EI262" s="14">
        <f t="shared" si="537"/>
        <v>2904</v>
      </c>
      <c r="EJ262" s="14">
        <f t="shared" si="538"/>
        <v>3109</v>
      </c>
      <c r="EK262" s="14">
        <f t="shared" si="539"/>
        <v>3109</v>
      </c>
      <c r="EL262" s="14">
        <f t="shared" si="540"/>
        <v>3344</v>
      </c>
      <c r="EM262" s="14">
        <f t="shared" si="541"/>
        <v>3467</v>
      </c>
      <c r="EN262" s="14">
        <f t="shared" si="542"/>
        <v>61110</v>
      </c>
      <c r="EO262" s="14">
        <f t="shared" si="543"/>
        <v>63024</v>
      </c>
      <c r="EP262" s="14">
        <f t="shared" si="544"/>
        <v>63024</v>
      </c>
      <c r="EQ262" s="14">
        <f t="shared" si="545"/>
        <v>73208</v>
      </c>
      <c r="ER262" s="14">
        <f t="shared" si="546"/>
        <v>78052</v>
      </c>
      <c r="ES262" s="14">
        <f>INDEX(属性偏向!$S$4:$S$243,(卡牌属性!$DT262-1+ES$3)*20+卡牌属性!$DX262)</f>
        <v>15</v>
      </c>
      <c r="ET262" s="14">
        <f>INDEX(属性偏向!$S$4:$S$243,(卡牌属性!$DT262-1+ET$3)*20+卡牌属性!$DX262)</f>
        <v>20</v>
      </c>
      <c r="EU262" s="14">
        <f>INDEX(属性偏向!$S$4:$S$243,(卡牌属性!$DT262-1+EU$3)*20+卡牌属性!$DX262)</f>
        <v>25</v>
      </c>
      <c r="EV262" s="14">
        <f>INDEX(属性偏向!$S$4:$S$243,(卡牌属性!$DT262-1+EV$3)*20+卡牌属性!$DX262)</f>
        <v>25</v>
      </c>
      <c r="EW262" s="14">
        <f>INDEX(属性偏向!$S$4:$S$243,(卡牌属性!$DT262-1+EW$3)*20+卡牌属性!$DX262)</f>
        <v>30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300</v>
      </c>
      <c r="FD262" s="14">
        <f>INDEX(属性偏向!$U$4:$U$243,(卡牌属性!$DV262-1+FD$3)*20+卡牌属性!$DX262)</f>
        <v>350</v>
      </c>
      <c r="FE262" s="14">
        <f>INDEX(属性偏向!$U$4:$U$243,(卡牌属性!$DV262-1+FE$3)*20+卡牌属性!$DX262)</f>
        <v>350</v>
      </c>
      <c r="FF262" s="14">
        <f>INDEX(属性偏向!$U$4:$U$243,(卡牌属性!$DV262-1+FF$3)*20+卡牌属性!$DX262)</f>
        <v>500</v>
      </c>
      <c r="FG262" s="14">
        <f>INDEX(属性偏向!$U$4:$U$243,(卡牌属性!$DV262-1+FG$3)*20+卡牌属性!$DX262)</f>
        <v>600</v>
      </c>
      <c r="FH262" s="14">
        <f>INDEX(属性投放!$BQ$6:$BQ$85,(卡牌属性!$DW262-2)*20+卡牌属性!$DX262)</f>
        <v>1400</v>
      </c>
      <c r="FI262" s="14">
        <f>INDEX(属性投放!$BQ$6:$BQ$85,(卡牌属性!$DW262-2)*20+卡牌属性!$DX262)</f>
        <v>1400</v>
      </c>
      <c r="FJ262" s="14">
        <f>INDEX(属性投放!$BQ$6:$BQ$85,(卡牌属性!$DW262-2)*20+卡牌属性!$DX262)</f>
        <v>1400</v>
      </c>
      <c r="FK262" s="14">
        <f>INDEX(属性投放!$BQ$6:$BQ$85,(卡牌属性!$DW262-2)*20+卡牌属性!$DX262)</f>
        <v>1400</v>
      </c>
      <c r="FL262" s="14">
        <f>INDEX(属性投放!$BQ$6:$BQ$85,(卡牌属性!$DW262-2)*20+卡牌属性!$DX262)</f>
        <v>1400</v>
      </c>
      <c r="FM262" s="14">
        <f>INDEX(属性投放!$BR$6:$BR$85,(卡牌属性!$DW262-2)*20+卡牌属性!$DX262)</f>
        <v>700</v>
      </c>
      <c r="FN262" s="14">
        <f>INDEX(属性投放!$BR$6:$BR$85,(卡牌属性!$DW262-2)*20+卡牌属性!$DX262)</f>
        <v>700</v>
      </c>
      <c r="FO262" s="14">
        <f>INDEX(属性投放!$BR$6:$BR$85,(卡牌属性!$DW262-2)*20+卡牌属性!$DX262)</f>
        <v>700</v>
      </c>
      <c r="FP262" s="14">
        <f>INDEX(属性投放!$BR$6:$BR$85,(卡牌属性!$DW262-2)*20+卡牌属性!$DX262)</f>
        <v>700</v>
      </c>
      <c r="FQ262" s="14">
        <f>INDEX(属性投放!$BR$6:$BR$85,(卡牌属性!$DW262-2)*20+卡牌属性!$DX262)</f>
        <v>700</v>
      </c>
      <c r="FR262" s="14">
        <f>INDEX(属性投放!$BS$6:$BS$85,(卡牌属性!$DW262-2)*20+卡牌属性!$DX262)</f>
        <v>14000</v>
      </c>
      <c r="FS262" s="14">
        <f>INDEX(属性投放!$BS$6:$BS$85,(卡牌属性!$DW262-2)*20+卡牌属性!$DX262)</f>
        <v>14000</v>
      </c>
      <c r="FT262" s="14">
        <f>INDEX(属性投放!$BS$6:$BS$85,(卡牌属性!$DW262-2)*20+卡牌属性!$DX262)</f>
        <v>14000</v>
      </c>
      <c r="FU262" s="14">
        <f>INDEX(属性投放!$BS$6:$BS$85,(卡牌属性!$DW262-2)*20+卡牌属性!$DX262)</f>
        <v>14000</v>
      </c>
      <c r="FV262" s="14">
        <f>INDEX(属性投放!$BS$6:$BS$85,(卡牌属性!$DW262-2)*20+卡牌属性!$DX262)</f>
        <v>14000</v>
      </c>
    </row>
    <row r="263" spans="31:178" ht="16.5" x14ac:dyDescent="0.2">
      <c r="AE263" s="13">
        <v>259</v>
      </c>
      <c r="AF263" s="13">
        <f t="shared" si="560"/>
        <v>13</v>
      </c>
      <c r="AG263" s="13">
        <f t="shared" si="547"/>
        <v>2</v>
      </c>
      <c r="AH263" s="13"/>
      <c r="AI263" s="13"/>
      <c r="AJ263" s="14">
        <f t="shared" si="548"/>
        <v>1101013</v>
      </c>
      <c r="AK263" s="14" t="str">
        <f t="shared" si="549"/>
        <v>吉拉19突</v>
      </c>
      <c r="AL263" s="25" t="s">
        <v>142</v>
      </c>
      <c r="AM263" s="14">
        <v>1</v>
      </c>
      <c r="AN263" s="14">
        <f t="shared" si="550"/>
        <v>19</v>
      </c>
      <c r="AO263" s="14">
        <f>INDEX(属性投放!$DF$6:$DF$85,(卡牌属性!AG263-2)*20+卡牌属性!AN263)</f>
        <v>17934</v>
      </c>
      <c r="AP263" s="14">
        <f t="shared" si="526"/>
        <v>17934</v>
      </c>
      <c r="AQ263" s="14">
        <f t="shared" si="526"/>
        <v>17934</v>
      </c>
      <c r="AR263" s="14">
        <f t="shared" si="526"/>
        <v>17934</v>
      </c>
      <c r="AS263" s="14">
        <f t="shared" si="526"/>
        <v>17934</v>
      </c>
      <c r="AT263" s="14">
        <f>INDEX(属性投放!$DG$6:$DG$85,(卡牌属性!AG263-2)*20+卡牌属性!AN263)</f>
        <v>8921</v>
      </c>
      <c r="AU263" s="14">
        <f t="shared" si="527"/>
        <v>8921</v>
      </c>
      <c r="AV263" s="14">
        <f t="shared" si="527"/>
        <v>8921</v>
      </c>
      <c r="AW263" s="14">
        <f t="shared" si="527"/>
        <v>8921</v>
      </c>
      <c r="AX263" s="14">
        <f t="shared" si="527"/>
        <v>8921</v>
      </c>
      <c r="AY263" s="14">
        <f>INDEX(属性投放!$DH$6:$DH$85,(卡牌属性!AG263-2)*20+卡牌属性!AN263)</f>
        <v>171016</v>
      </c>
      <c r="AZ263" s="14">
        <f t="shared" si="528"/>
        <v>171016</v>
      </c>
      <c r="BA263" s="14">
        <f t="shared" si="528"/>
        <v>171016</v>
      </c>
      <c r="BB263" s="14">
        <f t="shared" si="528"/>
        <v>171016</v>
      </c>
      <c r="BC263" s="14">
        <f t="shared" si="528"/>
        <v>171016</v>
      </c>
      <c r="BD263" s="14">
        <f>INDEX(属性投放!$DL$6:$DL$85,(卡牌属性!AG263-2)*20+卡牌属性!AN263)</f>
        <v>462</v>
      </c>
      <c r="BE263" s="14">
        <f t="shared" si="529"/>
        <v>462</v>
      </c>
      <c r="BF263" s="14">
        <f t="shared" si="529"/>
        <v>462</v>
      </c>
      <c r="BG263" s="14">
        <f t="shared" si="529"/>
        <v>462</v>
      </c>
      <c r="BH263" s="14">
        <f t="shared" si="529"/>
        <v>462</v>
      </c>
      <c r="BI263" s="14">
        <f>INDEX(属性投放!$DM$6:$DM$85,(卡牌属性!AG263-2)*20+卡牌属性!AN263)</f>
        <v>231</v>
      </c>
      <c r="BJ263" s="14">
        <f t="shared" si="530"/>
        <v>231</v>
      </c>
      <c r="BK263" s="14">
        <f t="shared" si="530"/>
        <v>231</v>
      </c>
      <c r="BL263" s="14">
        <f t="shared" si="530"/>
        <v>231</v>
      </c>
      <c r="BM263" s="14">
        <f t="shared" si="530"/>
        <v>231</v>
      </c>
      <c r="BN263" s="14">
        <f>INDEX(属性投放!$DN$6:$DN$85,(卡牌属性!AG263-2)*20+卡牌属性!AN263)</f>
        <v>4620</v>
      </c>
      <c r="BO263" s="14">
        <f t="shared" si="531"/>
        <v>4620</v>
      </c>
      <c r="BP263" s="14">
        <f t="shared" si="531"/>
        <v>4620</v>
      </c>
      <c r="BQ263" s="14">
        <f t="shared" si="531"/>
        <v>4620</v>
      </c>
      <c r="BR263" s="14">
        <f t="shared" si="531"/>
        <v>4620</v>
      </c>
      <c r="BW263" s="13">
        <v>259</v>
      </c>
      <c r="BX263" s="13">
        <f t="shared" si="551"/>
        <v>13</v>
      </c>
      <c r="BY263" s="14">
        <f t="shared" si="552"/>
        <v>2</v>
      </c>
      <c r="BZ263" s="14">
        <f t="shared" si="561"/>
        <v>1102013</v>
      </c>
      <c r="CA263" s="14" t="str">
        <f t="shared" si="562"/>
        <v>塞伯罗斯19突</v>
      </c>
      <c r="CB263" s="25" t="s">
        <v>142</v>
      </c>
      <c r="CC263" s="14">
        <v>2</v>
      </c>
      <c r="CD263" s="14">
        <f t="shared" si="553"/>
        <v>19</v>
      </c>
      <c r="CE263" s="14" t="s">
        <v>21</v>
      </c>
      <c r="CF263" s="14">
        <f>INDEX(属性投放!$AZ$6:$AZ$85,(BY263-2)*20+CD263)</f>
        <v>16965</v>
      </c>
      <c r="CG263" s="14" t="s">
        <v>22</v>
      </c>
      <c r="CH263" s="14">
        <f>INDEX(属性投放!$BA$6:$BA$85,(BY263-2)*20+CD263)</f>
        <v>8450</v>
      </c>
      <c r="CI263" s="14" t="s">
        <v>510</v>
      </c>
      <c r="CJ263" s="14">
        <f>INDEX(属性投放!$BB$6:$BB$85,(BY263-2)*20+CD263)</f>
        <v>161458</v>
      </c>
      <c r="CK263" s="14" t="s">
        <v>21</v>
      </c>
      <c r="CL263" s="14">
        <f>INDEX(属性投放!$BC$6:$BC$85,(BY263-2)*20+CD263)</f>
        <v>25</v>
      </c>
      <c r="CM263" s="14" t="s">
        <v>22</v>
      </c>
      <c r="CN263" s="14">
        <f>INDEX(属性投放!$BD$6:$BD$85,(BY263-2)*20+CD263)</f>
        <v>13</v>
      </c>
      <c r="CO263" s="14" t="s">
        <v>510</v>
      </c>
      <c r="CP263" s="14">
        <f>INDEX(属性投放!$BE$6:$BE$85,(BY263-2)*20+CD263)</f>
        <v>250</v>
      </c>
      <c r="CS263" s="13">
        <v>259</v>
      </c>
      <c r="CT263" s="13">
        <f t="shared" si="563"/>
        <v>5</v>
      </c>
      <c r="CU263" s="13">
        <f t="shared" si="564"/>
        <v>51</v>
      </c>
      <c r="CV263" s="14">
        <f t="shared" si="565"/>
        <v>3</v>
      </c>
      <c r="CW263" s="14">
        <f t="shared" si="566"/>
        <v>1102005</v>
      </c>
      <c r="CX263" s="14" t="str">
        <f>INDEX($O$6:$O$50,CT263)&amp;"-"&amp;INDEX(属性投放!$AB$7:$AB$50,CZ263)&amp;"-魂火-"&amp;DB263</f>
        <v>李轩辕-无间+1-魂火-3</v>
      </c>
      <c r="CY263" s="25" t="s">
        <v>142</v>
      </c>
      <c r="CZ263" s="14">
        <f>INDEX(属性投放!$AM$7:$AM$58,CU263)</f>
        <v>20</v>
      </c>
      <c r="DA263" s="14" t="s">
        <v>537</v>
      </c>
      <c r="DB263" s="14">
        <f>INDEX(属性投放!$AN$7:$AN$58,CU263)</f>
        <v>3</v>
      </c>
      <c r="DC263" s="14">
        <f t="shared" si="554"/>
        <v>51</v>
      </c>
      <c r="DD263" s="14">
        <f>INDEX(属性投放!$AO$7:$AO$58,DC263)</f>
        <v>145</v>
      </c>
      <c r="DE263" s="14" t="s">
        <v>538</v>
      </c>
      <c r="DF263" s="14">
        <f>INDEX(属性投放!$BK$6:$BK$85,(CV263-2)*20+CZ263)</f>
        <v>1000</v>
      </c>
      <c r="DG263" s="14">
        <f>SUMIFS(DF$5:DF263,$CT$5:$CT263,"="&amp;$CT263)</f>
        <v>16370</v>
      </c>
      <c r="DH263" s="14" t="s">
        <v>539</v>
      </c>
      <c r="DI263" s="14">
        <f>INDEX(属性投放!$BL$6:$BL$85,(CV263-2)*20+CZ263)</f>
        <v>500</v>
      </c>
      <c r="DJ263" s="14">
        <f>SUMIFS(DI$5:DI263,$CT$5:$CT263,"="&amp;$CT263)</f>
        <v>8188</v>
      </c>
      <c r="DK263" s="14" t="s">
        <v>540</v>
      </c>
      <c r="DL263" s="14">
        <f>INDEX(属性投放!$BM$6:$BM$85,(CV263-2)*20+CZ263)</f>
        <v>10000</v>
      </c>
      <c r="DM263" s="14">
        <f>SUMIFS(DL$5:DL263,$CT$5:$CT263,"="&amp;$CT263)</f>
        <v>159740</v>
      </c>
      <c r="DR263" s="14">
        <f t="shared" si="555"/>
        <v>1102013</v>
      </c>
      <c r="DS263" s="14" t="str">
        <f t="shared" si="556"/>
        <v>塞伯罗斯19突</v>
      </c>
      <c r="DT263" s="14">
        <f t="shared" si="567"/>
        <v>2</v>
      </c>
      <c r="DU263" s="14">
        <f t="shared" si="568"/>
        <v>3</v>
      </c>
      <c r="DV263" s="14">
        <f t="shared" si="569"/>
        <v>5</v>
      </c>
      <c r="DW263" s="14">
        <f t="shared" si="557"/>
        <v>2</v>
      </c>
      <c r="DX263" s="14">
        <f t="shared" si="558"/>
        <v>19</v>
      </c>
      <c r="DY263" s="14">
        <f t="shared" si="559"/>
        <v>19</v>
      </c>
      <c r="DZ263" s="14">
        <f>INDEX(属性投放!$AX$6:$AX$85,(卡牌属性!DW263-2)*20+卡牌属性!DX263)</f>
        <v>8</v>
      </c>
      <c r="EA263" s="14">
        <f>INDEX(属性投放!BQ$6:BQ$85,卡牌属性!$DY263)</f>
        <v>1400</v>
      </c>
      <c r="EB263" s="14">
        <f>INDEX(属性投放!BR$6:BR$85,卡牌属性!$DY263)</f>
        <v>700</v>
      </c>
      <c r="EC263" s="14">
        <f>INDEX(属性投放!BS$6:BS$85,卡牌属性!$DY263)</f>
        <v>14000</v>
      </c>
      <c r="ED263" s="14">
        <f t="shared" si="532"/>
        <v>7048</v>
      </c>
      <c r="EE263" s="14">
        <f t="shared" si="533"/>
        <v>7400</v>
      </c>
      <c r="EF263" s="14">
        <f t="shared" si="534"/>
        <v>7840</v>
      </c>
      <c r="EG263" s="14">
        <f t="shared" si="535"/>
        <v>7840</v>
      </c>
      <c r="EH263" s="14">
        <f t="shared" si="536"/>
        <v>8346</v>
      </c>
      <c r="EI263" s="14">
        <f t="shared" si="537"/>
        <v>3674</v>
      </c>
      <c r="EJ263" s="14">
        <f t="shared" si="538"/>
        <v>3900</v>
      </c>
      <c r="EK263" s="14">
        <f t="shared" si="539"/>
        <v>3900</v>
      </c>
      <c r="EL263" s="14">
        <f t="shared" si="540"/>
        <v>4149</v>
      </c>
      <c r="EM263" s="14">
        <f t="shared" si="541"/>
        <v>4293</v>
      </c>
      <c r="EN263" s="14">
        <f t="shared" si="542"/>
        <v>77210</v>
      </c>
      <c r="EO263" s="14">
        <f t="shared" si="543"/>
        <v>79474</v>
      </c>
      <c r="EP263" s="14">
        <f t="shared" si="544"/>
        <v>79474</v>
      </c>
      <c r="EQ263" s="14">
        <f t="shared" si="545"/>
        <v>90708</v>
      </c>
      <c r="ER263" s="14">
        <f t="shared" si="546"/>
        <v>96252</v>
      </c>
      <c r="ES263" s="14">
        <f>INDEX(属性偏向!$S$4:$S$243,(卡牌属性!$DT263-1+ES$3)*20+卡牌属性!$DX263)</f>
        <v>20</v>
      </c>
      <c r="ET263" s="14">
        <f>INDEX(属性偏向!$S$4:$S$243,(卡牌属性!$DT263-1+ET$3)*20+卡牌属性!$DX263)</f>
        <v>25</v>
      </c>
      <c r="EU263" s="14">
        <f>INDEX(属性偏向!$S$4:$S$243,(卡牌属性!$DT263-1+EU$3)*20+卡牌属性!$DX263)</f>
        <v>30</v>
      </c>
      <c r="EV263" s="14">
        <f>INDEX(属性偏向!$S$4:$S$243,(卡牌属性!$DT263-1+EV$3)*20+卡牌属性!$DX263)</f>
        <v>30</v>
      </c>
      <c r="EW263" s="14">
        <f>INDEX(属性偏向!$S$4:$S$243,(卡牌属性!$DT263-1+EW$3)*20+卡牌属性!$DX263)</f>
        <v>40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400</v>
      </c>
      <c r="FD263" s="14">
        <f>INDEX(属性偏向!$U$4:$U$243,(卡牌属性!$DV263-1+FD$3)*20+卡牌属性!$DX263)</f>
        <v>450</v>
      </c>
      <c r="FE263" s="14">
        <f>INDEX(属性偏向!$U$4:$U$243,(卡牌属性!$DV263-1+FE$3)*20+卡牌属性!$DX263)</f>
        <v>450</v>
      </c>
      <c r="FF263" s="14">
        <f>INDEX(属性偏向!$U$4:$U$243,(卡牌属性!$DV263-1+FF$3)*20+卡牌属性!$DX263)</f>
        <v>750</v>
      </c>
      <c r="FG263" s="14">
        <f>INDEX(属性偏向!$U$4:$U$243,(卡牌属性!$DV263-1+FG$3)*20+卡牌属性!$DX263)</f>
        <v>800</v>
      </c>
      <c r="FH263" s="14">
        <f>INDEX(属性投放!$BQ$6:$BQ$85,(卡牌属性!$DW263-2)*20+卡牌属性!$DX263)</f>
        <v>1400</v>
      </c>
      <c r="FI263" s="14">
        <f>INDEX(属性投放!$BQ$6:$BQ$85,(卡牌属性!$DW263-2)*20+卡牌属性!$DX263)</f>
        <v>1400</v>
      </c>
      <c r="FJ263" s="14">
        <f>INDEX(属性投放!$BQ$6:$BQ$85,(卡牌属性!$DW263-2)*20+卡牌属性!$DX263)</f>
        <v>1400</v>
      </c>
      <c r="FK263" s="14">
        <f>INDEX(属性投放!$BQ$6:$BQ$85,(卡牌属性!$DW263-2)*20+卡牌属性!$DX263)</f>
        <v>1400</v>
      </c>
      <c r="FL263" s="14">
        <f>INDEX(属性投放!$BQ$6:$BQ$85,(卡牌属性!$DW263-2)*20+卡牌属性!$DX263)</f>
        <v>1400</v>
      </c>
      <c r="FM263" s="14">
        <f>INDEX(属性投放!$BR$6:$BR$85,(卡牌属性!$DW263-2)*20+卡牌属性!$DX263)</f>
        <v>700</v>
      </c>
      <c r="FN263" s="14">
        <f>INDEX(属性投放!$BR$6:$BR$85,(卡牌属性!$DW263-2)*20+卡牌属性!$DX263)</f>
        <v>700</v>
      </c>
      <c r="FO263" s="14">
        <f>INDEX(属性投放!$BR$6:$BR$85,(卡牌属性!$DW263-2)*20+卡牌属性!$DX263)</f>
        <v>700</v>
      </c>
      <c r="FP263" s="14">
        <f>INDEX(属性投放!$BR$6:$BR$85,(卡牌属性!$DW263-2)*20+卡牌属性!$DX263)</f>
        <v>700</v>
      </c>
      <c r="FQ263" s="14">
        <f>INDEX(属性投放!$BR$6:$BR$85,(卡牌属性!$DW263-2)*20+卡牌属性!$DX263)</f>
        <v>700</v>
      </c>
      <c r="FR263" s="14">
        <f>INDEX(属性投放!$BS$6:$BS$85,(卡牌属性!$DW263-2)*20+卡牌属性!$DX263)</f>
        <v>14000</v>
      </c>
      <c r="FS263" s="14">
        <f>INDEX(属性投放!$BS$6:$BS$85,(卡牌属性!$DW263-2)*20+卡牌属性!$DX263)</f>
        <v>14000</v>
      </c>
      <c r="FT263" s="14">
        <f>INDEX(属性投放!$BS$6:$BS$85,(卡牌属性!$DW263-2)*20+卡牌属性!$DX263)</f>
        <v>14000</v>
      </c>
      <c r="FU263" s="14">
        <f>INDEX(属性投放!$BS$6:$BS$85,(卡牌属性!$DW263-2)*20+卡牌属性!$DX263)</f>
        <v>14000</v>
      </c>
      <c r="FV263" s="14">
        <f>INDEX(属性投放!$BS$6:$BS$85,(卡牌属性!$DW263-2)*20+卡牌属性!$DX263)</f>
        <v>14000</v>
      </c>
    </row>
    <row r="264" spans="31:178" ht="16.5" x14ac:dyDescent="0.2">
      <c r="AE264" s="13">
        <v>260</v>
      </c>
      <c r="AF264" s="13">
        <f t="shared" si="560"/>
        <v>13</v>
      </c>
      <c r="AG264" s="13">
        <f t="shared" si="547"/>
        <v>2</v>
      </c>
      <c r="AH264" s="13"/>
      <c r="AI264" s="13"/>
      <c r="AJ264" s="14">
        <f t="shared" si="548"/>
        <v>1101013</v>
      </c>
      <c r="AK264" s="14" t="str">
        <f t="shared" si="549"/>
        <v>吉拉20突</v>
      </c>
      <c r="AL264" s="25" t="s">
        <v>142</v>
      </c>
      <c r="AM264" s="14">
        <v>1</v>
      </c>
      <c r="AN264" s="14">
        <f t="shared" si="550"/>
        <v>20</v>
      </c>
      <c r="AO264" s="14">
        <f>INDEX(属性投放!$DF$6:$DF$85,(卡牌属性!AG264-2)*20+卡牌属性!AN264)</f>
        <v>18924</v>
      </c>
      <c r="AP264" s="14">
        <f t="shared" si="526"/>
        <v>18924</v>
      </c>
      <c r="AQ264" s="14">
        <f t="shared" si="526"/>
        <v>18924</v>
      </c>
      <c r="AR264" s="14">
        <f t="shared" si="526"/>
        <v>18924</v>
      </c>
      <c r="AS264" s="14">
        <f t="shared" si="526"/>
        <v>18924</v>
      </c>
      <c r="AT264" s="14">
        <f>INDEX(属性投放!$DG$6:$DG$85,(卡牌属性!AG264-2)*20+卡牌属性!AN264)</f>
        <v>9417</v>
      </c>
      <c r="AU264" s="14">
        <f t="shared" si="527"/>
        <v>9417</v>
      </c>
      <c r="AV264" s="14">
        <f t="shared" si="527"/>
        <v>9417</v>
      </c>
      <c r="AW264" s="14">
        <f t="shared" si="527"/>
        <v>9417</v>
      </c>
      <c r="AX264" s="14">
        <f t="shared" si="527"/>
        <v>9417</v>
      </c>
      <c r="AY264" s="14">
        <f>INDEX(属性投放!$DH$6:$DH$85,(卡牌属性!AG264-2)*20+卡牌属性!AN264)</f>
        <v>180916</v>
      </c>
      <c r="AZ264" s="14">
        <f t="shared" si="528"/>
        <v>180916</v>
      </c>
      <c r="BA264" s="14">
        <f t="shared" si="528"/>
        <v>180916</v>
      </c>
      <c r="BB264" s="14">
        <f t="shared" si="528"/>
        <v>180916</v>
      </c>
      <c r="BC264" s="14">
        <f t="shared" si="528"/>
        <v>180916</v>
      </c>
      <c r="BD264" s="14">
        <f>INDEX(属性投放!$DL$6:$DL$85,(卡牌属性!AG264-2)*20+卡牌属性!AN264)</f>
        <v>462</v>
      </c>
      <c r="BE264" s="14">
        <f t="shared" si="529"/>
        <v>462</v>
      </c>
      <c r="BF264" s="14">
        <f t="shared" si="529"/>
        <v>462</v>
      </c>
      <c r="BG264" s="14">
        <f t="shared" si="529"/>
        <v>462</v>
      </c>
      <c r="BH264" s="14">
        <f t="shared" si="529"/>
        <v>462</v>
      </c>
      <c r="BI264" s="14">
        <f>INDEX(属性投放!$DM$6:$DM$85,(卡牌属性!AG264-2)*20+卡牌属性!AN264)</f>
        <v>231</v>
      </c>
      <c r="BJ264" s="14">
        <f t="shared" si="530"/>
        <v>231</v>
      </c>
      <c r="BK264" s="14">
        <f t="shared" si="530"/>
        <v>231</v>
      </c>
      <c r="BL264" s="14">
        <f t="shared" si="530"/>
        <v>231</v>
      </c>
      <c r="BM264" s="14">
        <f t="shared" si="530"/>
        <v>231</v>
      </c>
      <c r="BN264" s="14">
        <f>INDEX(属性投放!$DN$6:$DN$85,(卡牌属性!AG264-2)*20+卡牌属性!AN264)</f>
        <v>4620</v>
      </c>
      <c r="BO264" s="14">
        <f t="shared" si="531"/>
        <v>4620</v>
      </c>
      <c r="BP264" s="14">
        <f t="shared" si="531"/>
        <v>4620</v>
      </c>
      <c r="BQ264" s="14">
        <f t="shared" si="531"/>
        <v>4620</v>
      </c>
      <c r="BR264" s="14">
        <f t="shared" si="531"/>
        <v>4620</v>
      </c>
      <c r="BW264" s="13">
        <v>260</v>
      </c>
      <c r="BX264" s="13">
        <f t="shared" si="551"/>
        <v>13</v>
      </c>
      <c r="BY264" s="14">
        <f t="shared" si="552"/>
        <v>2</v>
      </c>
      <c r="BZ264" s="14">
        <f t="shared" si="561"/>
        <v>1102013</v>
      </c>
      <c r="CA264" s="14" t="str">
        <f t="shared" si="562"/>
        <v>塞伯罗斯20突</v>
      </c>
      <c r="CB264" s="25" t="s">
        <v>142</v>
      </c>
      <c r="CC264" s="14">
        <v>2</v>
      </c>
      <c r="CD264" s="14">
        <f t="shared" si="553"/>
        <v>20</v>
      </c>
      <c r="CE264" s="14" t="s">
        <v>21</v>
      </c>
      <c r="CF264" s="14">
        <f>INDEX(属性投放!$AZ$6:$AZ$85,(BY264-2)*20+CD264)</f>
        <v>21115</v>
      </c>
      <c r="CG264" s="14" t="s">
        <v>22</v>
      </c>
      <c r="CH264" s="14">
        <f>INDEX(属性投放!$BA$6:$BA$85,(BY264-2)*20+CD264)</f>
        <v>10529</v>
      </c>
      <c r="CI264" s="14" t="s">
        <v>510</v>
      </c>
      <c r="CJ264" s="14">
        <f>INDEX(属性投放!$BB$6:$BB$85,(BY264-2)*20+CD264)</f>
        <v>202958</v>
      </c>
      <c r="CK264" s="14" t="s">
        <v>21</v>
      </c>
      <c r="CL264" s="14">
        <f>INDEX(属性投放!$BC$6:$BC$85,(BY264-2)*20+CD264)</f>
        <v>25</v>
      </c>
      <c r="CM264" s="14" t="s">
        <v>22</v>
      </c>
      <c r="CN264" s="14">
        <f>INDEX(属性投放!$BD$6:$BD$85,(BY264-2)*20+CD264)</f>
        <v>13</v>
      </c>
      <c r="CO264" s="14" t="s">
        <v>510</v>
      </c>
      <c r="CP264" s="14">
        <f>INDEX(属性投放!$BE$6:$BE$85,(BY264-2)*20+CD264)</f>
        <v>250</v>
      </c>
      <c r="CS264" s="13">
        <v>260</v>
      </c>
      <c r="CT264" s="13">
        <f t="shared" si="563"/>
        <v>5</v>
      </c>
      <c r="CU264" s="13">
        <f t="shared" si="564"/>
        <v>52</v>
      </c>
      <c r="CV264" s="14">
        <f t="shared" si="565"/>
        <v>3</v>
      </c>
      <c r="CW264" s="14">
        <f t="shared" si="566"/>
        <v>1102005</v>
      </c>
      <c r="CX264" s="14" t="str">
        <f>INDEX($O$6:$O$50,CT264)&amp;"-"&amp;INDEX(属性投放!$AB$7:$AB$50,CZ264)&amp;"-魂火-"&amp;DB264</f>
        <v>李轩辕-无间+1-魂火-4</v>
      </c>
      <c r="CY264" s="25" t="s">
        <v>142</v>
      </c>
      <c r="CZ264" s="14">
        <f>INDEX(属性投放!$AM$7:$AM$58,CU264)</f>
        <v>20</v>
      </c>
      <c r="DA264" s="14" t="s">
        <v>537</v>
      </c>
      <c r="DB264" s="14">
        <f>INDEX(属性投放!$AN$7:$AN$58,CU264)</f>
        <v>4</v>
      </c>
      <c r="DC264" s="14">
        <f t="shared" si="554"/>
        <v>52</v>
      </c>
      <c r="DD264" s="14">
        <f>INDEX(属性投放!$AO$7:$AO$58,DC264)</f>
        <v>148</v>
      </c>
      <c r="DE264" s="14" t="s">
        <v>538</v>
      </c>
      <c r="DF264" s="14">
        <f>INDEX(属性投放!$BK$6:$BK$85,(CV264-2)*20+CZ264)</f>
        <v>1000</v>
      </c>
      <c r="DG264" s="14">
        <f>SUMIFS(DF$5:DF264,$CT$5:$CT264,"="&amp;$CT264)</f>
        <v>17370</v>
      </c>
      <c r="DH264" s="14" t="s">
        <v>539</v>
      </c>
      <c r="DI264" s="14">
        <f>INDEX(属性投放!$BL$6:$BL$85,(CV264-2)*20+CZ264)</f>
        <v>500</v>
      </c>
      <c r="DJ264" s="14">
        <f>SUMIFS(DI$5:DI264,$CT$5:$CT264,"="&amp;$CT264)</f>
        <v>8688</v>
      </c>
      <c r="DK264" s="14" t="s">
        <v>540</v>
      </c>
      <c r="DL264" s="14">
        <f>INDEX(属性投放!$BM$6:$BM$85,(CV264-2)*20+CZ264)</f>
        <v>10000</v>
      </c>
      <c r="DM264" s="14">
        <f>SUMIFS(DL$5:DL264,$CT$5:$CT264,"="&amp;$CT264)</f>
        <v>169740</v>
      </c>
      <c r="DR264" s="14">
        <f t="shared" si="555"/>
        <v>1102013</v>
      </c>
      <c r="DS264" s="14" t="str">
        <f t="shared" si="556"/>
        <v>塞伯罗斯20突</v>
      </c>
      <c r="DT264" s="14">
        <f t="shared" si="567"/>
        <v>2</v>
      </c>
      <c r="DU264" s="14">
        <f t="shared" si="568"/>
        <v>3</v>
      </c>
      <c r="DV264" s="14">
        <f t="shared" si="569"/>
        <v>5</v>
      </c>
      <c r="DW264" s="14">
        <f t="shared" si="557"/>
        <v>2</v>
      </c>
      <c r="DX264" s="14">
        <f t="shared" si="558"/>
        <v>20</v>
      </c>
      <c r="DY264" s="14">
        <f t="shared" si="559"/>
        <v>20</v>
      </c>
      <c r="DZ264" s="14">
        <f>INDEX(属性投放!$AX$6:$AX$85,(卡牌属性!DW264-2)*20+卡牌属性!DX264)</f>
        <v>10</v>
      </c>
      <c r="EA264" s="14">
        <f>INDEX(属性投放!BQ$6:BQ$85,卡牌属性!$DY264)</f>
        <v>1500</v>
      </c>
      <c r="EB264" s="14">
        <f>INDEX(属性投放!BR$6:BR$85,卡牌属性!$DY264)</f>
        <v>750</v>
      </c>
      <c r="EC264" s="14">
        <f>INDEX(属性投放!BS$6:BS$85,卡牌属性!$DY264)</f>
        <v>15000</v>
      </c>
      <c r="ED264" s="14">
        <f t="shared" si="532"/>
        <v>8608</v>
      </c>
      <c r="EE264" s="14">
        <f t="shared" si="533"/>
        <v>9000</v>
      </c>
      <c r="EF264" s="14">
        <f t="shared" si="534"/>
        <v>9480</v>
      </c>
      <c r="EG264" s="14">
        <f t="shared" si="535"/>
        <v>9480</v>
      </c>
      <c r="EH264" s="14">
        <f t="shared" si="536"/>
        <v>10066</v>
      </c>
      <c r="EI264" s="14">
        <f t="shared" si="537"/>
        <v>4478</v>
      </c>
      <c r="EJ264" s="14">
        <f t="shared" si="538"/>
        <v>4720</v>
      </c>
      <c r="EK264" s="14">
        <f t="shared" si="539"/>
        <v>4720</v>
      </c>
      <c r="EL264" s="14">
        <f t="shared" si="540"/>
        <v>5009</v>
      </c>
      <c r="EM264" s="14">
        <f t="shared" si="541"/>
        <v>5177</v>
      </c>
      <c r="EN264" s="14">
        <f t="shared" si="542"/>
        <v>94410</v>
      </c>
      <c r="EO264" s="14">
        <f t="shared" si="543"/>
        <v>97074</v>
      </c>
      <c r="EP264" s="14">
        <f t="shared" si="544"/>
        <v>97074</v>
      </c>
      <c r="EQ264" s="14">
        <f t="shared" si="545"/>
        <v>110708</v>
      </c>
      <c r="ER264" s="14">
        <f t="shared" si="546"/>
        <v>116652</v>
      </c>
      <c r="ES264" s="14">
        <f>INDEX(属性偏向!$S$4:$S$243,(卡牌属性!$DT264-1+ES$3)*20+卡牌属性!$DX264)</f>
        <v>20</v>
      </c>
      <c r="ET264" s="14">
        <f>INDEX(属性偏向!$S$4:$S$243,(卡牌属性!$DT264-1+ET$3)*20+卡牌属性!$DX264)</f>
        <v>25</v>
      </c>
      <c r="EU264" s="14">
        <f>INDEX(属性偏向!$S$4:$S$243,(卡牌属性!$DT264-1+EU$3)*20+卡牌属性!$DX264)</f>
        <v>30</v>
      </c>
      <c r="EV264" s="14">
        <f>INDEX(属性偏向!$S$4:$S$243,(卡牌属性!$DT264-1+EV$3)*20+卡牌属性!$DX264)</f>
        <v>30</v>
      </c>
      <c r="EW264" s="14">
        <f>INDEX(属性偏向!$S$4:$S$243,(卡牌属性!$DT264-1+EW$3)*20+卡牌属性!$DX264)</f>
        <v>40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400</v>
      </c>
      <c r="FD264" s="14">
        <f>INDEX(属性偏向!$U$4:$U$243,(卡牌属性!$DV264-1+FD$3)*20+卡牌属性!$DX264)</f>
        <v>450</v>
      </c>
      <c r="FE264" s="14">
        <f>INDEX(属性偏向!$U$4:$U$243,(卡牌属性!$DV264-1+FE$3)*20+卡牌属性!$DX264)</f>
        <v>450</v>
      </c>
      <c r="FF264" s="14">
        <f>INDEX(属性偏向!$U$4:$U$243,(卡牌属性!$DV264-1+FF$3)*20+卡牌属性!$DX264)</f>
        <v>750</v>
      </c>
      <c r="FG264" s="14">
        <f>INDEX(属性偏向!$U$4:$U$243,(卡牌属性!$DV264-1+FG$3)*20+卡牌属性!$DX264)</f>
        <v>800</v>
      </c>
      <c r="FH264" s="14">
        <f>INDEX(属性投放!$BQ$6:$BQ$85,(卡牌属性!$DW264-2)*20+卡牌属性!$DX264)</f>
        <v>1500</v>
      </c>
      <c r="FI264" s="14">
        <f>INDEX(属性投放!$BQ$6:$BQ$85,(卡牌属性!$DW264-2)*20+卡牌属性!$DX264)</f>
        <v>1500</v>
      </c>
      <c r="FJ264" s="14">
        <f>INDEX(属性投放!$BQ$6:$BQ$85,(卡牌属性!$DW264-2)*20+卡牌属性!$DX264)</f>
        <v>1500</v>
      </c>
      <c r="FK264" s="14">
        <f>INDEX(属性投放!$BQ$6:$BQ$85,(卡牌属性!$DW264-2)*20+卡牌属性!$DX264)</f>
        <v>1500</v>
      </c>
      <c r="FL264" s="14">
        <f>INDEX(属性投放!$BQ$6:$BQ$85,(卡牌属性!$DW264-2)*20+卡牌属性!$DX264)</f>
        <v>1500</v>
      </c>
      <c r="FM264" s="14">
        <f>INDEX(属性投放!$BR$6:$BR$85,(卡牌属性!$DW264-2)*20+卡牌属性!$DX264)</f>
        <v>750</v>
      </c>
      <c r="FN264" s="14">
        <f>INDEX(属性投放!$BR$6:$BR$85,(卡牌属性!$DW264-2)*20+卡牌属性!$DX264)</f>
        <v>750</v>
      </c>
      <c r="FO264" s="14">
        <f>INDEX(属性投放!$BR$6:$BR$85,(卡牌属性!$DW264-2)*20+卡牌属性!$DX264)</f>
        <v>750</v>
      </c>
      <c r="FP264" s="14">
        <f>INDEX(属性投放!$BR$6:$BR$85,(卡牌属性!$DW264-2)*20+卡牌属性!$DX264)</f>
        <v>750</v>
      </c>
      <c r="FQ264" s="14">
        <f>INDEX(属性投放!$BR$6:$BR$85,(卡牌属性!$DW264-2)*20+卡牌属性!$DX264)</f>
        <v>750</v>
      </c>
      <c r="FR264" s="14">
        <f>INDEX(属性投放!$BS$6:$BS$85,(卡牌属性!$DW264-2)*20+卡牌属性!$DX264)</f>
        <v>15000</v>
      </c>
      <c r="FS264" s="14">
        <f>INDEX(属性投放!$BS$6:$BS$85,(卡牌属性!$DW264-2)*20+卡牌属性!$DX264)</f>
        <v>15000</v>
      </c>
      <c r="FT264" s="14">
        <f>INDEX(属性投放!$BS$6:$BS$85,(卡牌属性!$DW264-2)*20+卡牌属性!$DX264)</f>
        <v>15000</v>
      </c>
      <c r="FU264" s="14">
        <f>INDEX(属性投放!$BS$6:$BS$85,(卡牌属性!$DW264-2)*20+卡牌属性!$DX264)</f>
        <v>15000</v>
      </c>
      <c r="FV264" s="14">
        <f>INDEX(属性投放!$BS$6:$BS$85,(卡牌属性!$DW264-2)*20+卡牌属性!$DX264)</f>
        <v>15000</v>
      </c>
    </row>
    <row r="265" spans="31:178" ht="16.5" x14ac:dyDescent="0.2">
      <c r="AE265" s="13">
        <v>261</v>
      </c>
      <c r="AF265" s="13">
        <f t="shared" si="560"/>
        <v>14</v>
      </c>
      <c r="AG265" s="13">
        <f t="shared" si="547"/>
        <v>3</v>
      </c>
      <c r="AH265" s="13"/>
      <c r="AI265" s="13"/>
      <c r="AJ265" s="14">
        <f t="shared" si="548"/>
        <v>1101014</v>
      </c>
      <c r="AK265" s="14" t="str">
        <f t="shared" si="549"/>
        <v>吕仙宫1突</v>
      </c>
      <c r="AL265" s="25" t="s">
        <v>142</v>
      </c>
      <c r="AM265" s="14">
        <v>1</v>
      </c>
      <c r="AN265" s="14">
        <f t="shared" si="550"/>
        <v>1</v>
      </c>
      <c r="AO265" s="14">
        <f>INDEX(属性投放!$DF$6:$DF$85,(卡牌属性!AG265-2)*20+卡牌属性!AN265)</f>
        <v>150</v>
      </c>
      <c r="AP265" s="14">
        <f t="shared" ref="AP265:AS284" si="570">$AO265</f>
        <v>150</v>
      </c>
      <c r="AQ265" s="14">
        <f t="shared" si="570"/>
        <v>150</v>
      </c>
      <c r="AR265" s="14">
        <f t="shared" si="570"/>
        <v>150</v>
      </c>
      <c r="AS265" s="14">
        <f t="shared" si="570"/>
        <v>150</v>
      </c>
      <c r="AT265" s="14">
        <f>INDEX(属性投放!$DG$6:$DG$85,(卡牌属性!AG265-2)*20+卡牌属性!AN265)</f>
        <v>0</v>
      </c>
      <c r="AU265" s="14">
        <f t="shared" ref="AU265:AX284" si="571">$AT265</f>
        <v>0</v>
      </c>
      <c r="AV265" s="14">
        <f t="shared" si="571"/>
        <v>0</v>
      </c>
      <c r="AW265" s="14">
        <f t="shared" si="571"/>
        <v>0</v>
      </c>
      <c r="AX265" s="14">
        <f t="shared" si="571"/>
        <v>0</v>
      </c>
      <c r="AY265" s="14">
        <f>INDEX(属性投放!$DH$6:$DH$85,(卡牌属性!AG265-2)*20+卡牌属性!AN265)</f>
        <v>375</v>
      </c>
      <c r="AZ265" s="14">
        <f t="shared" ref="AZ265:BC284" si="572">$AY265</f>
        <v>375</v>
      </c>
      <c r="BA265" s="14">
        <f t="shared" si="572"/>
        <v>375</v>
      </c>
      <c r="BB265" s="14">
        <f t="shared" si="572"/>
        <v>375</v>
      </c>
      <c r="BC265" s="14">
        <f t="shared" si="572"/>
        <v>375</v>
      </c>
      <c r="BD265" s="14">
        <f>INDEX(属性投放!$DL$6:$DL$85,(卡牌属性!AG265-2)*20+卡牌属性!AN265)</f>
        <v>8</v>
      </c>
      <c r="BE265" s="14">
        <f t="shared" ref="BE265:BH284" si="573">$BD265</f>
        <v>8</v>
      </c>
      <c r="BF265" s="14">
        <f t="shared" si="573"/>
        <v>8</v>
      </c>
      <c r="BG265" s="14">
        <f t="shared" si="573"/>
        <v>8</v>
      </c>
      <c r="BH265" s="14">
        <f t="shared" si="573"/>
        <v>8</v>
      </c>
      <c r="BI265" s="14">
        <f>INDEX(属性投放!$DM$6:$DM$85,(卡牌属性!AG265-2)*20+卡牌属性!AN265)</f>
        <v>4</v>
      </c>
      <c r="BJ265" s="14">
        <f t="shared" ref="BJ265:BM284" si="574">$BI265</f>
        <v>4</v>
      </c>
      <c r="BK265" s="14">
        <f t="shared" si="574"/>
        <v>4</v>
      </c>
      <c r="BL265" s="14">
        <f t="shared" si="574"/>
        <v>4</v>
      </c>
      <c r="BM265" s="14">
        <f t="shared" si="574"/>
        <v>4</v>
      </c>
      <c r="BN265" s="14">
        <f>INDEX(属性投放!$DN$6:$DN$85,(卡牌属性!AG265-2)*20+卡牌属性!AN265)</f>
        <v>49</v>
      </c>
      <c r="BO265" s="14">
        <f t="shared" ref="BO265:BR284" si="575">$BN265</f>
        <v>49</v>
      </c>
      <c r="BP265" s="14">
        <f t="shared" si="575"/>
        <v>49</v>
      </c>
      <c r="BQ265" s="14">
        <f t="shared" si="575"/>
        <v>49</v>
      </c>
      <c r="BR265" s="14">
        <f t="shared" si="575"/>
        <v>49</v>
      </c>
      <c r="BW265" s="13">
        <v>261</v>
      </c>
      <c r="BX265" s="13">
        <f t="shared" si="551"/>
        <v>14</v>
      </c>
      <c r="BY265" s="14">
        <f t="shared" si="552"/>
        <v>3</v>
      </c>
      <c r="BZ265" s="14">
        <f t="shared" si="561"/>
        <v>1102014</v>
      </c>
      <c r="CA265" s="14" t="str">
        <f t="shared" si="562"/>
        <v>石灵明1突</v>
      </c>
      <c r="CB265" s="25" t="s">
        <v>142</v>
      </c>
      <c r="CC265" s="14">
        <v>2</v>
      </c>
      <c r="CD265" s="14">
        <f t="shared" si="553"/>
        <v>1</v>
      </c>
      <c r="CE265" s="14" t="s">
        <v>21</v>
      </c>
      <c r="CF265" s="14">
        <f>INDEX(属性投放!$AZ$6:$AZ$85,(BY265-2)*20+CD265)</f>
        <v>150</v>
      </c>
      <c r="CG265" s="14" t="s">
        <v>22</v>
      </c>
      <c r="CH265" s="14">
        <f>INDEX(属性投放!$BA$6:$BA$85,(BY265-2)*20+CD265)</f>
        <v>10</v>
      </c>
      <c r="CI265" s="14" t="s">
        <v>510</v>
      </c>
      <c r="CJ265" s="14">
        <f>INDEX(属性投放!$BB$6:$BB$85,(BY265-2)*20+CD265)</f>
        <v>500</v>
      </c>
      <c r="CK265" s="14" t="s">
        <v>21</v>
      </c>
      <c r="CL265" s="14">
        <f>INDEX(属性投放!$BC$6:$BC$85,(BY265-2)*20+CD265)</f>
        <v>8</v>
      </c>
      <c r="CM265" s="14" t="s">
        <v>22</v>
      </c>
      <c r="CN265" s="14">
        <f>INDEX(属性投放!$BD$6:$BD$85,(BY265-2)*20+CD265)</f>
        <v>4</v>
      </c>
      <c r="CO265" s="14" t="s">
        <v>510</v>
      </c>
      <c r="CP265" s="14">
        <f>INDEX(属性投放!$BE$6:$BE$85,(BY265-2)*20+CD265)</f>
        <v>48</v>
      </c>
      <c r="CS265" s="13">
        <v>261</v>
      </c>
      <c r="CT265" s="13">
        <f t="shared" si="563"/>
        <v>6</v>
      </c>
      <c r="CU265" s="13">
        <f t="shared" si="564"/>
        <v>1</v>
      </c>
      <c r="CV265" s="14">
        <f t="shared" si="565"/>
        <v>5</v>
      </c>
      <c r="CW265" s="14">
        <f t="shared" si="566"/>
        <v>1102006</v>
      </c>
      <c r="CX265" s="14" t="str">
        <f>INDEX($O$6:$O$50,CT265)&amp;"-"&amp;INDEX(属性投放!$AB$7:$AB$50,CZ265)&amp;"-魂火-"&amp;DB265</f>
        <v>项羽-等活-魂火-1</v>
      </c>
      <c r="CY265" s="25" t="s">
        <v>142</v>
      </c>
      <c r="CZ265" s="14">
        <f>INDEX(属性投放!$AM$7:$AM$58,CU265)</f>
        <v>1</v>
      </c>
      <c r="DA265" s="14" t="s">
        <v>537</v>
      </c>
      <c r="DB265" s="14">
        <f>INDEX(属性投放!$AN$7:$AN$58,CU265)</f>
        <v>1</v>
      </c>
      <c r="DC265" s="14">
        <f t="shared" si="554"/>
        <v>1</v>
      </c>
      <c r="DD265" s="14">
        <f>INDEX(属性投放!$AO$7:$AO$58,DC265)</f>
        <v>3</v>
      </c>
      <c r="DE265" s="14" t="s">
        <v>538</v>
      </c>
      <c r="DF265" s="14">
        <f>INDEX(属性投放!$BK$6:$BK$85,(CV265-2)*20+CZ265)</f>
        <v>35</v>
      </c>
      <c r="DG265" s="14">
        <f>SUMIFS(DF$5:DF265,$CT$5:$CT265,"="&amp;$CT265)</f>
        <v>35</v>
      </c>
      <c r="DH265" s="14" t="s">
        <v>539</v>
      </c>
      <c r="DI265" s="14">
        <f>INDEX(属性投放!$BL$6:$BL$85,(CV265-2)*20+CZ265)</f>
        <v>18</v>
      </c>
      <c r="DJ265" s="14">
        <f>SUMIFS(DI$5:DI265,$CT$5:$CT265,"="&amp;$CT265)</f>
        <v>18</v>
      </c>
      <c r="DK265" s="14" t="s">
        <v>540</v>
      </c>
      <c r="DL265" s="14">
        <f>INDEX(属性投放!$BM$6:$BM$85,(CV265-2)*20+CZ265)</f>
        <v>210</v>
      </c>
      <c r="DM265" s="14">
        <f>SUMIFS(DL$5:DL265,$CT$5:$CT265,"="&amp;$CT265)</f>
        <v>210</v>
      </c>
      <c r="DR265" s="14">
        <f t="shared" si="555"/>
        <v>1102014</v>
      </c>
      <c r="DS265" s="14" t="str">
        <f t="shared" si="556"/>
        <v>石灵明1突</v>
      </c>
      <c r="DT265" s="14">
        <f t="shared" si="567"/>
        <v>5</v>
      </c>
      <c r="DU265" s="14">
        <f t="shared" si="568"/>
        <v>5</v>
      </c>
      <c r="DV265" s="14">
        <f t="shared" si="569"/>
        <v>5</v>
      </c>
      <c r="DW265" s="14">
        <f t="shared" si="557"/>
        <v>3</v>
      </c>
      <c r="DX265" s="14">
        <f t="shared" si="558"/>
        <v>1</v>
      </c>
      <c r="DY265" s="14">
        <f t="shared" si="559"/>
        <v>21</v>
      </c>
      <c r="DZ265" s="14">
        <f>INDEX(属性投放!$AX$6:$AX$85,(卡牌属性!DW265-2)*20+卡牌属性!DX265)</f>
        <v>4</v>
      </c>
      <c r="EA265" s="14">
        <f>INDEX(属性投放!BQ$6:BQ$85,卡牌属性!$DY265)</f>
        <v>30</v>
      </c>
      <c r="EB265" s="14">
        <f>INDEX(属性投放!BR$6:BR$85,卡牌属性!$DY265)</f>
        <v>15</v>
      </c>
      <c r="EC265" s="14">
        <f>INDEX(属性投放!BS$6:BS$85,卡牌属性!$DY265)</f>
        <v>180</v>
      </c>
      <c r="ED265" s="14">
        <f>INDEX(属性偏向!$I$4:$I$15,卡牌属性!$DT265+ED$3)</f>
        <v>150</v>
      </c>
      <c r="EE265" s="14">
        <f>INDEX(属性偏向!$I$4:$I$15,卡牌属性!$DT265+EE$3)</f>
        <v>175</v>
      </c>
      <c r="EF265" s="14">
        <f>INDEX(属性偏向!$I$4:$I$15,卡牌属性!$DT265+EF$3)</f>
        <v>200</v>
      </c>
      <c r="EG265" s="14">
        <f>INDEX(属性偏向!$I$4:$I$15,卡牌属性!$DT265+EG$3)</f>
        <v>200</v>
      </c>
      <c r="EH265" s="14">
        <f>INDEX(属性偏向!$I$4:$I$15,卡牌属性!$DT265+EH$3)</f>
        <v>250</v>
      </c>
      <c r="EI265" s="14">
        <f>INDEX(属性偏向!$J$4:$J$15,卡牌属性!$DU265+EI$3)</f>
        <v>30</v>
      </c>
      <c r="EJ265" s="14">
        <f>INDEX(属性偏向!$J$4:$J$15,卡牌属性!$DU265+EJ$3)</f>
        <v>40</v>
      </c>
      <c r="EK265" s="14">
        <f>INDEX(属性偏向!$J$4:$J$15,卡牌属性!$DU265+EK$3)</f>
        <v>40</v>
      </c>
      <c r="EL265" s="14">
        <f>INDEX(属性偏向!$J$4:$J$15,卡牌属性!$DU265+EL$3)</f>
        <v>50</v>
      </c>
      <c r="EM265" s="14">
        <f>INDEX(属性偏向!$J$4:$J$15,卡牌属性!$DU265+EM$3)</f>
        <v>75</v>
      </c>
      <c r="EN265" s="14">
        <f>INDEX(属性偏向!$K$4:$K$15,卡牌属性!$DV265+EN$3)</f>
        <v>500</v>
      </c>
      <c r="EO265" s="14">
        <f>INDEX(属性偏向!$K$4:$K$15,卡牌属性!$DV265+EO$3)</f>
        <v>650</v>
      </c>
      <c r="EP265" s="14">
        <f>INDEX(属性偏向!$K$4:$K$15,卡牌属性!$DV265+EP$3)</f>
        <v>650</v>
      </c>
      <c r="EQ265" s="14">
        <f>INDEX(属性偏向!$K$4:$K$15,卡牌属性!$DV265+EQ$3)</f>
        <v>800</v>
      </c>
      <c r="ER265" s="14">
        <f>INDEX(属性偏向!$K$4:$K$15,卡牌属性!$DV265+ER$3)</f>
        <v>1000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48</v>
      </c>
      <c r="FD265" s="14">
        <f>INDEX(属性偏向!$U$4:$U$243,(卡牌属性!$DV265-1+FD$3)*20+卡牌属性!$DX265)</f>
        <v>60</v>
      </c>
      <c r="FE265" s="14">
        <f>INDEX(属性偏向!$U$4:$U$243,(卡牌属性!$DV265-1+FE$3)*20+卡牌属性!$DX265)</f>
        <v>60</v>
      </c>
      <c r="FF265" s="14">
        <f>INDEX(属性偏向!$U$4:$U$243,(卡牌属性!$DV265-1+FF$3)*20+卡牌属性!$DX265)</f>
        <v>72</v>
      </c>
      <c r="FG265" s="14">
        <f>INDEX(属性偏向!$U$4:$U$243,(卡牌属性!$DV265-1+FG$3)*20+卡牌属性!$DX265)</f>
        <v>78</v>
      </c>
      <c r="FH265" s="14">
        <f>INDEX(属性投放!$BQ$6:$BQ$85,(卡牌属性!$DW265-2)*20+卡牌属性!$DX265)</f>
        <v>30</v>
      </c>
      <c r="FI265" s="14">
        <f>INDEX(属性投放!$BQ$6:$BQ$85,(卡牌属性!$DW265-2)*20+卡牌属性!$DX265)</f>
        <v>30</v>
      </c>
      <c r="FJ265" s="14">
        <f>INDEX(属性投放!$BQ$6:$BQ$85,(卡牌属性!$DW265-2)*20+卡牌属性!$DX265)</f>
        <v>30</v>
      </c>
      <c r="FK265" s="14">
        <f>INDEX(属性投放!$BQ$6:$BQ$85,(卡牌属性!$DW265-2)*20+卡牌属性!$DX265)</f>
        <v>30</v>
      </c>
      <c r="FL265" s="14">
        <f>INDEX(属性投放!$BQ$6:$BQ$85,(卡牌属性!$DW265-2)*20+卡牌属性!$DX265)</f>
        <v>30</v>
      </c>
      <c r="FM265" s="14">
        <f>INDEX(属性投放!$BR$6:$BR$85,(卡牌属性!$DW265-2)*20+卡牌属性!$DX265)</f>
        <v>15</v>
      </c>
      <c r="FN265" s="14">
        <f>INDEX(属性投放!$BR$6:$BR$85,(卡牌属性!$DW265-2)*20+卡牌属性!$DX265)</f>
        <v>15</v>
      </c>
      <c r="FO265" s="14">
        <f>INDEX(属性投放!$BR$6:$BR$85,(卡牌属性!$DW265-2)*20+卡牌属性!$DX265)</f>
        <v>15</v>
      </c>
      <c r="FP265" s="14">
        <f>INDEX(属性投放!$BR$6:$BR$85,(卡牌属性!$DW265-2)*20+卡牌属性!$DX265)</f>
        <v>15</v>
      </c>
      <c r="FQ265" s="14">
        <f>INDEX(属性投放!$BR$6:$BR$85,(卡牌属性!$DW265-2)*20+卡牌属性!$DX265)</f>
        <v>15</v>
      </c>
      <c r="FR265" s="14">
        <f>INDEX(属性投放!$BS$6:$BS$85,(卡牌属性!$DW265-2)*20+卡牌属性!$DX265)</f>
        <v>180</v>
      </c>
      <c r="FS265" s="14">
        <f>INDEX(属性投放!$BS$6:$BS$85,(卡牌属性!$DW265-2)*20+卡牌属性!$DX265)</f>
        <v>180</v>
      </c>
      <c r="FT265" s="14">
        <f>INDEX(属性投放!$BS$6:$BS$85,(卡牌属性!$DW265-2)*20+卡牌属性!$DX265)</f>
        <v>180</v>
      </c>
      <c r="FU265" s="14">
        <f>INDEX(属性投放!$BS$6:$BS$85,(卡牌属性!$DW265-2)*20+卡牌属性!$DX265)</f>
        <v>180</v>
      </c>
      <c r="FV265" s="14">
        <f>INDEX(属性投放!$BS$6:$BS$85,(卡牌属性!$DW265-2)*20+卡牌属性!$DX265)</f>
        <v>180</v>
      </c>
    </row>
    <row r="266" spans="31:178" ht="16.5" x14ac:dyDescent="0.2">
      <c r="AE266" s="13">
        <v>262</v>
      </c>
      <c r="AF266" s="13">
        <f t="shared" si="560"/>
        <v>14</v>
      </c>
      <c r="AG266" s="13">
        <f t="shared" si="547"/>
        <v>3</v>
      </c>
      <c r="AH266" s="13"/>
      <c r="AI266" s="13"/>
      <c r="AJ266" s="14">
        <f t="shared" si="548"/>
        <v>1101014</v>
      </c>
      <c r="AK266" s="14" t="str">
        <f t="shared" si="549"/>
        <v>吕仙宫2突</v>
      </c>
      <c r="AL266" s="25" t="s">
        <v>142</v>
      </c>
      <c r="AM266" s="14">
        <v>1</v>
      </c>
      <c r="AN266" s="14">
        <f t="shared" si="550"/>
        <v>2</v>
      </c>
      <c r="AO266" s="14">
        <f>INDEX(属性投放!$DF$6:$DF$85,(卡牌属性!AG266-2)*20+卡牌属性!AN266)</f>
        <v>230</v>
      </c>
      <c r="AP266" s="14">
        <f t="shared" si="570"/>
        <v>230</v>
      </c>
      <c r="AQ266" s="14">
        <f t="shared" si="570"/>
        <v>230</v>
      </c>
      <c r="AR266" s="14">
        <f t="shared" si="570"/>
        <v>230</v>
      </c>
      <c r="AS266" s="14">
        <f t="shared" si="570"/>
        <v>230</v>
      </c>
      <c r="AT266" s="14">
        <f>INDEX(属性投放!$DG$6:$DG$85,(卡牌属性!AG266-2)*20+卡牌属性!AN266)</f>
        <v>40</v>
      </c>
      <c r="AU266" s="14">
        <f t="shared" si="571"/>
        <v>40</v>
      </c>
      <c r="AV266" s="14">
        <f t="shared" si="571"/>
        <v>40</v>
      </c>
      <c r="AW266" s="14">
        <f t="shared" si="571"/>
        <v>40</v>
      </c>
      <c r="AX266" s="14">
        <f t="shared" si="571"/>
        <v>40</v>
      </c>
      <c r="AY266" s="14">
        <f>INDEX(属性投放!$DH$6:$DH$85,(卡牌属性!AG266-2)*20+卡牌属性!AN266)</f>
        <v>865</v>
      </c>
      <c r="AZ266" s="14">
        <f t="shared" si="572"/>
        <v>865</v>
      </c>
      <c r="BA266" s="14">
        <f t="shared" si="572"/>
        <v>865</v>
      </c>
      <c r="BB266" s="14">
        <f t="shared" si="572"/>
        <v>865</v>
      </c>
      <c r="BC266" s="14">
        <f t="shared" si="572"/>
        <v>865</v>
      </c>
      <c r="BD266" s="14">
        <f>INDEX(属性投放!$DL$6:$DL$85,(卡牌属性!AG266-2)*20+卡牌属性!AN266)</f>
        <v>17</v>
      </c>
      <c r="BE266" s="14">
        <f t="shared" si="573"/>
        <v>17</v>
      </c>
      <c r="BF266" s="14">
        <f t="shared" si="573"/>
        <v>17</v>
      </c>
      <c r="BG266" s="14">
        <f t="shared" si="573"/>
        <v>17</v>
      </c>
      <c r="BH266" s="14">
        <f t="shared" si="573"/>
        <v>17</v>
      </c>
      <c r="BI266" s="14">
        <f>INDEX(属性投放!$DM$6:$DM$85,(卡牌属性!AG266-2)*20+卡牌属性!AN266)</f>
        <v>8</v>
      </c>
      <c r="BJ266" s="14">
        <f t="shared" si="574"/>
        <v>8</v>
      </c>
      <c r="BK266" s="14">
        <f t="shared" si="574"/>
        <v>8</v>
      </c>
      <c r="BL266" s="14">
        <f t="shared" si="574"/>
        <v>8</v>
      </c>
      <c r="BM266" s="14">
        <f t="shared" si="574"/>
        <v>8</v>
      </c>
      <c r="BN266" s="14">
        <f>INDEX(属性投放!$DN$6:$DN$85,(卡牌属性!AG266-2)*20+卡牌属性!AN266)</f>
        <v>101</v>
      </c>
      <c r="BO266" s="14">
        <f t="shared" si="575"/>
        <v>101</v>
      </c>
      <c r="BP266" s="14">
        <f t="shared" si="575"/>
        <v>101</v>
      </c>
      <c r="BQ266" s="14">
        <f t="shared" si="575"/>
        <v>101</v>
      </c>
      <c r="BR266" s="14">
        <f t="shared" si="575"/>
        <v>101</v>
      </c>
      <c r="BW266" s="13">
        <v>262</v>
      </c>
      <c r="BX266" s="13">
        <f t="shared" si="551"/>
        <v>14</v>
      </c>
      <c r="BY266" s="14">
        <f t="shared" si="552"/>
        <v>3</v>
      </c>
      <c r="BZ266" s="14">
        <f t="shared" si="561"/>
        <v>1102014</v>
      </c>
      <c r="CA266" s="14" t="str">
        <f t="shared" si="562"/>
        <v>石灵明2突</v>
      </c>
      <c r="CB266" s="25" t="s">
        <v>142</v>
      </c>
      <c r="CC266" s="14">
        <v>2</v>
      </c>
      <c r="CD266" s="14">
        <f t="shared" si="553"/>
        <v>2</v>
      </c>
      <c r="CE266" s="14" t="s">
        <v>21</v>
      </c>
      <c r="CF266" s="14">
        <f>INDEX(属性投放!$AZ$6:$AZ$85,(BY266-2)*20+CD266)</f>
        <v>232</v>
      </c>
      <c r="CG266" s="14" t="s">
        <v>22</v>
      </c>
      <c r="CH266" s="14">
        <f>INDEX(属性投放!$BA$6:$BA$85,(BY266-2)*20+CD266)</f>
        <v>51</v>
      </c>
      <c r="CI266" s="14" t="s">
        <v>510</v>
      </c>
      <c r="CJ266" s="14">
        <f>INDEX(属性投放!$BB$6:$BB$85,(BY266-2)*20+CD266)</f>
        <v>992</v>
      </c>
      <c r="CK266" s="14" t="s">
        <v>21</v>
      </c>
      <c r="CL266" s="14">
        <f>INDEX(属性投放!$BC$6:$BC$85,(BY266-2)*20+CD266)</f>
        <v>10</v>
      </c>
      <c r="CM266" s="14" t="s">
        <v>22</v>
      </c>
      <c r="CN266" s="14">
        <f>INDEX(属性投放!$BD$6:$BD$85,(BY266-2)*20+CD266)</f>
        <v>5</v>
      </c>
      <c r="CO266" s="14" t="s">
        <v>510</v>
      </c>
      <c r="CP266" s="14">
        <f>INDEX(属性投放!$BE$6:$BE$85,(BY266-2)*20+CD266)</f>
        <v>60</v>
      </c>
      <c r="CS266" s="13">
        <v>262</v>
      </c>
      <c r="CT266" s="13">
        <f t="shared" si="563"/>
        <v>6</v>
      </c>
      <c r="CU266" s="13">
        <f t="shared" si="564"/>
        <v>2</v>
      </c>
      <c r="CV266" s="14">
        <f t="shared" si="565"/>
        <v>5</v>
      </c>
      <c r="CW266" s="14">
        <f t="shared" si="566"/>
        <v>1102006</v>
      </c>
      <c r="CX266" s="14" t="str">
        <f>INDEX($O$6:$O$50,CT266)&amp;"-"&amp;INDEX(属性投放!$AB$7:$AB$50,CZ266)&amp;"-魂火-"&amp;DB266</f>
        <v>项羽-黑绳-魂火-1</v>
      </c>
      <c r="CY266" s="25" t="s">
        <v>142</v>
      </c>
      <c r="CZ266" s="14">
        <f>INDEX(属性投放!$AM$7:$AM$58,CU266)</f>
        <v>2</v>
      </c>
      <c r="DA266" s="14" t="s">
        <v>537</v>
      </c>
      <c r="DB266" s="14">
        <f>INDEX(属性投放!$AN$7:$AN$58,CU266)</f>
        <v>1</v>
      </c>
      <c r="DC266" s="14">
        <f t="shared" si="554"/>
        <v>2</v>
      </c>
      <c r="DD266" s="14">
        <f>INDEX(属性投放!$AO$7:$AO$58,DC266)</f>
        <v>8</v>
      </c>
      <c r="DE266" s="14" t="s">
        <v>538</v>
      </c>
      <c r="DF266" s="14">
        <f>INDEX(属性投放!$BK$6:$BK$85,(CV266-2)*20+CZ266)</f>
        <v>40</v>
      </c>
      <c r="DG266" s="14">
        <f>SUMIFS(DF$5:DF266,$CT$5:$CT266,"="&amp;$CT266)</f>
        <v>75</v>
      </c>
      <c r="DH266" s="14" t="s">
        <v>539</v>
      </c>
      <c r="DI266" s="14">
        <f>INDEX(属性投放!$BL$6:$BL$85,(CV266-2)*20+CZ266)</f>
        <v>20</v>
      </c>
      <c r="DJ266" s="14">
        <f>SUMIFS(DI$5:DI266,$CT$5:$CT266,"="&amp;$CT266)</f>
        <v>38</v>
      </c>
      <c r="DK266" s="14" t="s">
        <v>540</v>
      </c>
      <c r="DL266" s="14">
        <f>INDEX(属性投放!$BM$6:$BM$85,(CV266-2)*20+CZ266)</f>
        <v>240</v>
      </c>
      <c r="DM266" s="14">
        <f>SUMIFS(DL$5:DL266,$CT$5:$CT266,"="&amp;$CT266)</f>
        <v>450</v>
      </c>
      <c r="DR266" s="14">
        <f t="shared" si="555"/>
        <v>1102014</v>
      </c>
      <c r="DS266" s="14" t="str">
        <f t="shared" si="556"/>
        <v>石灵明2突</v>
      </c>
      <c r="DT266" s="14">
        <f t="shared" si="567"/>
        <v>5</v>
      </c>
      <c r="DU266" s="14">
        <f t="shared" si="568"/>
        <v>5</v>
      </c>
      <c r="DV266" s="14">
        <f t="shared" si="569"/>
        <v>5</v>
      </c>
      <c r="DW266" s="14">
        <f t="shared" si="557"/>
        <v>3</v>
      </c>
      <c r="DX266" s="14">
        <f t="shared" si="558"/>
        <v>2</v>
      </c>
      <c r="DY266" s="14">
        <f t="shared" si="559"/>
        <v>22</v>
      </c>
      <c r="DZ266" s="14">
        <f>INDEX(属性投放!$AX$6:$AX$85,(卡牌属性!DW266-2)*20+卡牌属性!DX266)</f>
        <v>10</v>
      </c>
      <c r="EA266" s="14">
        <f>INDEX(属性投放!BQ$6:BQ$85,卡牌属性!$DY266)</f>
        <v>40</v>
      </c>
      <c r="EB266" s="14">
        <f>INDEX(属性投放!BR$6:BR$85,卡牌属性!$DY266)</f>
        <v>20</v>
      </c>
      <c r="EC266" s="14">
        <f>INDEX(属性投放!BS$6:BS$85,卡牌属性!$DY266)</f>
        <v>240</v>
      </c>
      <c r="ED266" s="14">
        <f t="shared" ref="ED266:ED284" si="576">ED265+$EA265+ES265*$DZ265</f>
        <v>212</v>
      </c>
      <c r="EE266" s="14">
        <f t="shared" ref="EE266:EE284" si="577">EE265+$EA265+ET265*$DZ265</f>
        <v>245</v>
      </c>
      <c r="EF266" s="14">
        <f t="shared" ref="EF266:EF284" si="578">EF265+$EA265+EU265*$DZ265</f>
        <v>278</v>
      </c>
      <c r="EG266" s="14">
        <f t="shared" ref="EG266:EG284" si="579">EG265+$EA265+EV265*$DZ265</f>
        <v>278</v>
      </c>
      <c r="EH266" s="14">
        <f t="shared" ref="EH266:EH284" si="580">EH265+$EA265+EW265*$DZ265</f>
        <v>332</v>
      </c>
      <c r="EI266" s="14">
        <f t="shared" ref="EI266:EI284" si="581">EI265+$EB265+EX265*$DZ265</f>
        <v>61</v>
      </c>
      <c r="EJ266" s="14">
        <f t="shared" ref="EJ266:EJ284" si="582">EJ265+$EB265+EY265*$DZ265</f>
        <v>75</v>
      </c>
      <c r="EK266" s="14">
        <f t="shared" ref="EK266:EK284" si="583">EK265+$EB265+EZ265*$DZ265</f>
        <v>75</v>
      </c>
      <c r="EL266" s="14">
        <f t="shared" ref="EL266:EL284" si="584">EL265+$EB265+FA265*$DZ265</f>
        <v>89</v>
      </c>
      <c r="EM266" s="14">
        <f t="shared" ref="EM266:EM284" si="585">EM265+$EB265+FB265*$DZ265</f>
        <v>118</v>
      </c>
      <c r="EN266" s="14">
        <f t="shared" ref="EN266:EN284" si="586">EN265+$EC265+FC265*$DZ265</f>
        <v>872</v>
      </c>
      <c r="EO266" s="14">
        <f t="shared" ref="EO266:EO284" si="587">EO265+$EC265+FD265*$DZ265</f>
        <v>1070</v>
      </c>
      <c r="EP266" s="14">
        <f t="shared" ref="EP266:EP284" si="588">EP265+$EC265+FE265*$DZ265</f>
        <v>1070</v>
      </c>
      <c r="EQ266" s="14">
        <f t="shared" ref="EQ266:EQ284" si="589">EQ265+$EC265+FF265*$DZ265</f>
        <v>1268</v>
      </c>
      <c r="ER266" s="14">
        <f t="shared" ref="ER266:ER284" si="590">ER265+$EC265+FG265*$DZ265</f>
        <v>1492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60</v>
      </c>
      <c r="FD266" s="14">
        <f>INDEX(属性偏向!$U$4:$U$243,(卡牌属性!$DV266-1+FD$3)*20+卡牌属性!$DX266)</f>
        <v>72</v>
      </c>
      <c r="FE266" s="14">
        <f>INDEX(属性偏向!$U$4:$U$243,(卡牌属性!$DV266-1+FE$3)*20+卡牌属性!$DX266)</f>
        <v>72</v>
      </c>
      <c r="FF266" s="14">
        <f>INDEX(属性偏向!$U$4:$U$243,(卡牌属性!$DV266-1+FF$3)*20+卡牌属性!$DX266)</f>
        <v>90</v>
      </c>
      <c r="FG266" s="14">
        <f>INDEX(属性偏向!$U$4:$U$243,(卡牌属性!$DV266-1+FG$3)*20+卡牌属性!$DX266)</f>
        <v>102</v>
      </c>
      <c r="FH266" s="14">
        <f>INDEX(属性投放!$BQ$6:$BQ$85,(卡牌属性!$DW266-2)*20+卡牌属性!$DX266)</f>
        <v>40</v>
      </c>
      <c r="FI266" s="14">
        <f>INDEX(属性投放!$BQ$6:$BQ$85,(卡牌属性!$DW266-2)*20+卡牌属性!$DX266)</f>
        <v>40</v>
      </c>
      <c r="FJ266" s="14">
        <f>INDEX(属性投放!$BQ$6:$BQ$85,(卡牌属性!$DW266-2)*20+卡牌属性!$DX266)</f>
        <v>40</v>
      </c>
      <c r="FK266" s="14">
        <f>INDEX(属性投放!$BQ$6:$BQ$85,(卡牌属性!$DW266-2)*20+卡牌属性!$DX266)</f>
        <v>40</v>
      </c>
      <c r="FL266" s="14">
        <f>INDEX(属性投放!$BQ$6:$BQ$85,(卡牌属性!$DW266-2)*20+卡牌属性!$DX266)</f>
        <v>40</v>
      </c>
      <c r="FM266" s="14">
        <f>INDEX(属性投放!$BR$6:$BR$85,(卡牌属性!$DW266-2)*20+卡牌属性!$DX266)</f>
        <v>20</v>
      </c>
      <c r="FN266" s="14">
        <f>INDEX(属性投放!$BR$6:$BR$85,(卡牌属性!$DW266-2)*20+卡牌属性!$DX266)</f>
        <v>20</v>
      </c>
      <c r="FO266" s="14">
        <f>INDEX(属性投放!$BR$6:$BR$85,(卡牌属性!$DW266-2)*20+卡牌属性!$DX266)</f>
        <v>20</v>
      </c>
      <c r="FP266" s="14">
        <f>INDEX(属性投放!$BR$6:$BR$85,(卡牌属性!$DW266-2)*20+卡牌属性!$DX266)</f>
        <v>20</v>
      </c>
      <c r="FQ266" s="14">
        <f>INDEX(属性投放!$BR$6:$BR$85,(卡牌属性!$DW266-2)*20+卡牌属性!$DX266)</f>
        <v>20</v>
      </c>
      <c r="FR266" s="14">
        <f>INDEX(属性投放!$BS$6:$BS$85,(卡牌属性!$DW266-2)*20+卡牌属性!$DX266)</f>
        <v>240</v>
      </c>
      <c r="FS266" s="14">
        <f>INDEX(属性投放!$BS$6:$BS$85,(卡牌属性!$DW266-2)*20+卡牌属性!$DX266)</f>
        <v>240</v>
      </c>
      <c r="FT266" s="14">
        <f>INDEX(属性投放!$BS$6:$BS$85,(卡牌属性!$DW266-2)*20+卡牌属性!$DX266)</f>
        <v>240</v>
      </c>
      <c r="FU266" s="14">
        <f>INDEX(属性投放!$BS$6:$BS$85,(卡牌属性!$DW266-2)*20+卡牌属性!$DX266)</f>
        <v>240</v>
      </c>
      <c r="FV266" s="14">
        <f>INDEX(属性投放!$BS$6:$BS$85,(卡牌属性!$DW266-2)*20+卡牌属性!$DX266)</f>
        <v>240</v>
      </c>
    </row>
    <row r="267" spans="31:178" ht="16.5" x14ac:dyDescent="0.2">
      <c r="AE267" s="13">
        <v>263</v>
      </c>
      <c r="AF267" s="13">
        <f t="shared" si="560"/>
        <v>14</v>
      </c>
      <c r="AG267" s="13">
        <f t="shared" si="547"/>
        <v>3</v>
      </c>
      <c r="AH267" s="13"/>
      <c r="AI267" s="13"/>
      <c r="AJ267" s="14">
        <f t="shared" si="548"/>
        <v>1101014</v>
      </c>
      <c r="AK267" s="14" t="str">
        <f t="shared" si="549"/>
        <v>吕仙宫3突</v>
      </c>
      <c r="AL267" s="25" t="s">
        <v>142</v>
      </c>
      <c r="AM267" s="14">
        <v>1</v>
      </c>
      <c r="AN267" s="14">
        <f t="shared" si="550"/>
        <v>3</v>
      </c>
      <c r="AO267" s="14">
        <f>INDEX(属性投放!$DF$6:$DF$85,(卡牌属性!AG267-2)*20+卡牌属性!AN267)</f>
        <v>272</v>
      </c>
      <c r="AP267" s="14">
        <f t="shared" si="570"/>
        <v>272</v>
      </c>
      <c r="AQ267" s="14">
        <f t="shared" si="570"/>
        <v>272</v>
      </c>
      <c r="AR267" s="14">
        <f t="shared" si="570"/>
        <v>272</v>
      </c>
      <c r="AS267" s="14">
        <f t="shared" si="570"/>
        <v>272</v>
      </c>
      <c r="AT267" s="14">
        <f>INDEX(属性投放!$DG$6:$DG$85,(卡牌属性!AG267-2)*20+卡牌属性!AN267)</f>
        <v>61</v>
      </c>
      <c r="AU267" s="14">
        <f t="shared" si="571"/>
        <v>61</v>
      </c>
      <c r="AV267" s="14">
        <f t="shared" si="571"/>
        <v>61</v>
      </c>
      <c r="AW267" s="14">
        <f t="shared" si="571"/>
        <v>61</v>
      </c>
      <c r="AX267" s="14">
        <f t="shared" si="571"/>
        <v>61</v>
      </c>
      <c r="AY267" s="14">
        <f>INDEX(属性投放!$DH$6:$DH$85,(卡牌属性!AG267-2)*20+卡牌属性!AN267)</f>
        <v>1117</v>
      </c>
      <c r="AZ267" s="14">
        <f t="shared" si="572"/>
        <v>1117</v>
      </c>
      <c r="BA267" s="14">
        <f t="shared" si="572"/>
        <v>1117</v>
      </c>
      <c r="BB267" s="14">
        <f t="shared" si="572"/>
        <v>1117</v>
      </c>
      <c r="BC267" s="14">
        <f t="shared" si="572"/>
        <v>1117</v>
      </c>
      <c r="BD267" s="14">
        <f>INDEX(属性投放!$DL$6:$DL$85,(卡牌属性!AG267-2)*20+卡牌属性!AN267)</f>
        <v>17</v>
      </c>
      <c r="BE267" s="14">
        <f t="shared" si="573"/>
        <v>17</v>
      </c>
      <c r="BF267" s="14">
        <f t="shared" si="573"/>
        <v>17</v>
      </c>
      <c r="BG267" s="14">
        <f t="shared" si="573"/>
        <v>17</v>
      </c>
      <c r="BH267" s="14">
        <f t="shared" si="573"/>
        <v>17</v>
      </c>
      <c r="BI267" s="14">
        <f>INDEX(属性投放!$DM$6:$DM$85,(卡牌属性!AG267-2)*20+卡牌属性!AN267)</f>
        <v>8</v>
      </c>
      <c r="BJ267" s="14">
        <f t="shared" si="574"/>
        <v>8</v>
      </c>
      <c r="BK267" s="14">
        <f t="shared" si="574"/>
        <v>8</v>
      </c>
      <c r="BL267" s="14">
        <f t="shared" si="574"/>
        <v>8</v>
      </c>
      <c r="BM267" s="14">
        <f t="shared" si="574"/>
        <v>8</v>
      </c>
      <c r="BN267" s="14">
        <f>INDEX(属性投放!$DN$6:$DN$85,(卡牌属性!AG267-2)*20+卡牌属性!AN267)</f>
        <v>101</v>
      </c>
      <c r="BO267" s="14">
        <f t="shared" si="575"/>
        <v>101</v>
      </c>
      <c r="BP267" s="14">
        <f t="shared" si="575"/>
        <v>101</v>
      </c>
      <c r="BQ267" s="14">
        <f t="shared" si="575"/>
        <v>101</v>
      </c>
      <c r="BR267" s="14">
        <f t="shared" si="575"/>
        <v>101</v>
      </c>
      <c r="BW267" s="13">
        <v>263</v>
      </c>
      <c r="BX267" s="13">
        <f t="shared" si="551"/>
        <v>14</v>
      </c>
      <c r="BY267" s="14">
        <f t="shared" si="552"/>
        <v>3</v>
      </c>
      <c r="BZ267" s="14">
        <f t="shared" si="561"/>
        <v>1102014</v>
      </c>
      <c r="CA267" s="14" t="str">
        <f t="shared" si="562"/>
        <v>石灵明3突</v>
      </c>
      <c r="CB267" s="25" t="s">
        <v>142</v>
      </c>
      <c r="CC267" s="14">
        <v>2</v>
      </c>
      <c r="CD267" s="14">
        <f t="shared" si="553"/>
        <v>3</v>
      </c>
      <c r="CE267" s="14" t="s">
        <v>21</v>
      </c>
      <c r="CF267" s="14">
        <f>INDEX(属性投放!$AZ$6:$AZ$85,(BY267-2)*20+CD267)</f>
        <v>422</v>
      </c>
      <c r="CG267" s="14" t="s">
        <v>22</v>
      </c>
      <c r="CH267" s="14">
        <f>INDEX(属性投放!$BA$6:$BA$85,(BY267-2)*20+CD267)</f>
        <v>147</v>
      </c>
      <c r="CI267" s="14" t="s">
        <v>510</v>
      </c>
      <c r="CJ267" s="14">
        <f>INDEX(属性投放!$BB$6:$BB$85,(BY267-2)*20+CD267)</f>
        <v>2132</v>
      </c>
      <c r="CK267" s="14" t="s">
        <v>21</v>
      </c>
      <c r="CL267" s="14">
        <f>INDEX(属性投放!$BC$6:$BC$85,(BY267-2)*20+CD267)</f>
        <v>10</v>
      </c>
      <c r="CM267" s="14" t="s">
        <v>22</v>
      </c>
      <c r="CN267" s="14">
        <f>INDEX(属性投放!$BD$6:$BD$85,(BY267-2)*20+CD267)</f>
        <v>5</v>
      </c>
      <c r="CO267" s="14" t="s">
        <v>510</v>
      </c>
      <c r="CP267" s="14">
        <f>INDEX(属性投放!$BE$6:$BE$85,(BY267-2)*20+CD267)</f>
        <v>60</v>
      </c>
      <c r="CS267" s="13">
        <v>263</v>
      </c>
      <c r="CT267" s="13">
        <f t="shared" si="563"/>
        <v>6</v>
      </c>
      <c r="CU267" s="13">
        <f t="shared" si="564"/>
        <v>3</v>
      </c>
      <c r="CV267" s="14">
        <f t="shared" si="565"/>
        <v>5</v>
      </c>
      <c r="CW267" s="14">
        <f t="shared" si="566"/>
        <v>1102006</v>
      </c>
      <c r="CX267" s="14" t="str">
        <f>INDEX($O$6:$O$50,CT267)&amp;"-"&amp;INDEX(属性投放!$AB$7:$AB$50,CZ267)&amp;"-魂火-"&amp;DB267</f>
        <v>项羽-黑绳-魂火-2</v>
      </c>
      <c r="CY267" s="25" t="s">
        <v>142</v>
      </c>
      <c r="CZ267" s="14">
        <f>INDEX(属性投放!$AM$7:$AM$58,CU267)</f>
        <v>2</v>
      </c>
      <c r="DA267" s="14" t="s">
        <v>537</v>
      </c>
      <c r="DB267" s="14">
        <f>INDEX(属性投放!$AN$7:$AN$58,CU267)</f>
        <v>2</v>
      </c>
      <c r="DC267" s="14">
        <f t="shared" si="554"/>
        <v>3</v>
      </c>
      <c r="DD267" s="14">
        <f>INDEX(属性投放!$AO$7:$AO$58,DC267)</f>
        <v>13</v>
      </c>
      <c r="DE267" s="14" t="s">
        <v>538</v>
      </c>
      <c r="DF267" s="14">
        <f>INDEX(属性投放!$BK$6:$BK$85,(CV267-2)*20+CZ267)</f>
        <v>40</v>
      </c>
      <c r="DG267" s="14">
        <f>SUMIFS(DF$5:DF267,$CT$5:$CT267,"="&amp;$CT267)</f>
        <v>115</v>
      </c>
      <c r="DH267" s="14" t="s">
        <v>539</v>
      </c>
      <c r="DI267" s="14">
        <f>INDEX(属性投放!$BL$6:$BL$85,(CV267-2)*20+CZ267)</f>
        <v>20</v>
      </c>
      <c r="DJ267" s="14">
        <f>SUMIFS(DI$5:DI267,$CT$5:$CT267,"="&amp;$CT267)</f>
        <v>58</v>
      </c>
      <c r="DK267" s="14" t="s">
        <v>540</v>
      </c>
      <c r="DL267" s="14">
        <f>INDEX(属性投放!$BM$6:$BM$85,(CV267-2)*20+CZ267)</f>
        <v>240</v>
      </c>
      <c r="DM267" s="14">
        <f>SUMIFS(DL$5:DL267,$CT$5:$CT267,"="&amp;$CT267)</f>
        <v>690</v>
      </c>
      <c r="DR267" s="14">
        <f t="shared" si="555"/>
        <v>1102014</v>
      </c>
      <c r="DS267" s="14" t="str">
        <f t="shared" si="556"/>
        <v>石灵明3突</v>
      </c>
      <c r="DT267" s="14">
        <f t="shared" si="567"/>
        <v>5</v>
      </c>
      <c r="DU267" s="14">
        <f t="shared" si="568"/>
        <v>5</v>
      </c>
      <c r="DV267" s="14">
        <f t="shared" si="569"/>
        <v>5</v>
      </c>
      <c r="DW267" s="14">
        <f t="shared" si="557"/>
        <v>3</v>
      </c>
      <c r="DX267" s="14">
        <f t="shared" si="558"/>
        <v>3</v>
      </c>
      <c r="DY267" s="14">
        <f t="shared" si="559"/>
        <v>23</v>
      </c>
      <c r="DZ267" s="14">
        <f>INDEX(属性投放!$AX$6:$AX$85,(卡牌属性!DW267-2)*20+卡牌属性!DX267)</f>
        <v>10</v>
      </c>
      <c r="EA267" s="14">
        <f>INDEX(属性投放!BQ$6:BQ$85,卡牌属性!$DY267)</f>
        <v>70</v>
      </c>
      <c r="EB267" s="14">
        <f>INDEX(属性投放!BR$6:BR$85,卡牌属性!$DY267)</f>
        <v>35</v>
      </c>
      <c r="EC267" s="14">
        <f>INDEX(属性投放!BS$6:BS$85,卡牌属性!$DY267)</f>
        <v>420</v>
      </c>
      <c r="ED267" s="14">
        <f t="shared" si="576"/>
        <v>352</v>
      </c>
      <c r="EE267" s="14">
        <f t="shared" si="577"/>
        <v>405</v>
      </c>
      <c r="EF267" s="14">
        <f t="shared" si="578"/>
        <v>468</v>
      </c>
      <c r="EG267" s="14">
        <f t="shared" si="579"/>
        <v>468</v>
      </c>
      <c r="EH267" s="14">
        <f t="shared" si="580"/>
        <v>542</v>
      </c>
      <c r="EI267" s="14">
        <f t="shared" si="581"/>
        <v>131</v>
      </c>
      <c r="EJ267" s="14">
        <f t="shared" si="582"/>
        <v>155</v>
      </c>
      <c r="EK267" s="14">
        <f t="shared" si="583"/>
        <v>155</v>
      </c>
      <c r="EL267" s="14">
        <f t="shared" si="584"/>
        <v>189</v>
      </c>
      <c r="EM267" s="14">
        <f t="shared" si="585"/>
        <v>228</v>
      </c>
      <c r="EN267" s="14">
        <f t="shared" si="586"/>
        <v>1712</v>
      </c>
      <c r="EO267" s="14">
        <f t="shared" si="587"/>
        <v>2030</v>
      </c>
      <c r="EP267" s="14">
        <f t="shared" si="588"/>
        <v>2030</v>
      </c>
      <c r="EQ267" s="14">
        <f t="shared" si="589"/>
        <v>2408</v>
      </c>
      <c r="ER267" s="14">
        <f t="shared" si="590"/>
        <v>2752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60</v>
      </c>
      <c r="FD267" s="14">
        <f>INDEX(属性偏向!$U$4:$U$243,(卡牌属性!$DV267-1+FD$3)*20+卡牌属性!$DX267)</f>
        <v>72</v>
      </c>
      <c r="FE267" s="14">
        <f>INDEX(属性偏向!$U$4:$U$243,(卡牌属性!$DV267-1+FE$3)*20+卡牌属性!$DX267)</f>
        <v>72</v>
      </c>
      <c r="FF267" s="14">
        <f>INDEX(属性偏向!$U$4:$U$243,(卡牌属性!$DV267-1+FF$3)*20+卡牌属性!$DX267)</f>
        <v>90</v>
      </c>
      <c r="FG267" s="14">
        <f>INDEX(属性偏向!$U$4:$U$243,(卡牌属性!$DV267-1+FG$3)*20+卡牌属性!$DX267)</f>
        <v>102</v>
      </c>
      <c r="FH267" s="14">
        <f>INDEX(属性投放!$BQ$6:$BQ$85,(卡牌属性!$DW267-2)*20+卡牌属性!$DX267)</f>
        <v>70</v>
      </c>
      <c r="FI267" s="14">
        <f>INDEX(属性投放!$BQ$6:$BQ$85,(卡牌属性!$DW267-2)*20+卡牌属性!$DX267)</f>
        <v>70</v>
      </c>
      <c r="FJ267" s="14">
        <f>INDEX(属性投放!$BQ$6:$BQ$85,(卡牌属性!$DW267-2)*20+卡牌属性!$DX267)</f>
        <v>70</v>
      </c>
      <c r="FK267" s="14">
        <f>INDEX(属性投放!$BQ$6:$BQ$85,(卡牌属性!$DW267-2)*20+卡牌属性!$DX267)</f>
        <v>70</v>
      </c>
      <c r="FL267" s="14">
        <f>INDEX(属性投放!$BQ$6:$BQ$85,(卡牌属性!$DW267-2)*20+卡牌属性!$DX267)</f>
        <v>70</v>
      </c>
      <c r="FM267" s="14">
        <f>INDEX(属性投放!$BR$6:$BR$85,(卡牌属性!$DW267-2)*20+卡牌属性!$DX267)</f>
        <v>35</v>
      </c>
      <c r="FN267" s="14">
        <f>INDEX(属性投放!$BR$6:$BR$85,(卡牌属性!$DW267-2)*20+卡牌属性!$DX267)</f>
        <v>35</v>
      </c>
      <c r="FO267" s="14">
        <f>INDEX(属性投放!$BR$6:$BR$85,(卡牌属性!$DW267-2)*20+卡牌属性!$DX267)</f>
        <v>35</v>
      </c>
      <c r="FP267" s="14">
        <f>INDEX(属性投放!$BR$6:$BR$85,(卡牌属性!$DW267-2)*20+卡牌属性!$DX267)</f>
        <v>35</v>
      </c>
      <c r="FQ267" s="14">
        <f>INDEX(属性投放!$BR$6:$BR$85,(卡牌属性!$DW267-2)*20+卡牌属性!$DX267)</f>
        <v>35</v>
      </c>
      <c r="FR267" s="14">
        <f>INDEX(属性投放!$BS$6:$BS$85,(卡牌属性!$DW267-2)*20+卡牌属性!$DX267)</f>
        <v>420</v>
      </c>
      <c r="FS267" s="14">
        <f>INDEX(属性投放!$BS$6:$BS$85,(卡牌属性!$DW267-2)*20+卡牌属性!$DX267)</f>
        <v>420</v>
      </c>
      <c r="FT267" s="14">
        <f>INDEX(属性投放!$BS$6:$BS$85,(卡牌属性!$DW267-2)*20+卡牌属性!$DX267)</f>
        <v>420</v>
      </c>
      <c r="FU267" s="14">
        <f>INDEX(属性投放!$BS$6:$BS$85,(卡牌属性!$DW267-2)*20+卡牌属性!$DX267)</f>
        <v>420</v>
      </c>
      <c r="FV267" s="14">
        <f>INDEX(属性投放!$BS$6:$BS$85,(卡牌属性!$DW267-2)*20+卡牌属性!$DX267)</f>
        <v>420</v>
      </c>
    </row>
    <row r="268" spans="31:178" ht="16.5" x14ac:dyDescent="0.2">
      <c r="AE268" s="13">
        <v>264</v>
      </c>
      <c r="AF268" s="13">
        <f t="shared" si="560"/>
        <v>14</v>
      </c>
      <c r="AG268" s="13">
        <f t="shared" si="547"/>
        <v>3</v>
      </c>
      <c r="AH268" s="13"/>
      <c r="AI268" s="13"/>
      <c r="AJ268" s="14">
        <f t="shared" si="548"/>
        <v>1101014</v>
      </c>
      <c r="AK268" s="14" t="str">
        <f t="shared" si="549"/>
        <v>吕仙宫4突</v>
      </c>
      <c r="AL268" s="25" t="s">
        <v>142</v>
      </c>
      <c r="AM268" s="14">
        <v>1</v>
      </c>
      <c r="AN268" s="14">
        <f t="shared" si="550"/>
        <v>4</v>
      </c>
      <c r="AO268" s="14">
        <f>INDEX(属性投放!$DF$6:$DF$85,(卡牌属性!AG268-2)*20+卡牌属性!AN268)</f>
        <v>484</v>
      </c>
      <c r="AP268" s="14">
        <f t="shared" si="570"/>
        <v>484</v>
      </c>
      <c r="AQ268" s="14">
        <f t="shared" si="570"/>
        <v>484</v>
      </c>
      <c r="AR268" s="14">
        <f t="shared" si="570"/>
        <v>484</v>
      </c>
      <c r="AS268" s="14">
        <f t="shared" si="570"/>
        <v>484</v>
      </c>
      <c r="AT268" s="14">
        <f>INDEX(属性投放!$DG$6:$DG$85,(卡牌属性!AG268-2)*20+卡牌属性!AN268)</f>
        <v>162</v>
      </c>
      <c r="AU268" s="14">
        <f t="shared" si="571"/>
        <v>162</v>
      </c>
      <c r="AV268" s="14">
        <f t="shared" si="571"/>
        <v>162</v>
      </c>
      <c r="AW268" s="14">
        <f t="shared" si="571"/>
        <v>162</v>
      </c>
      <c r="AX268" s="14">
        <f t="shared" si="571"/>
        <v>162</v>
      </c>
      <c r="AY268" s="14">
        <f>INDEX(属性投放!$DH$6:$DH$85,(卡牌属性!AG268-2)*20+卡牌属性!AN268)</f>
        <v>2379</v>
      </c>
      <c r="AZ268" s="14">
        <f t="shared" si="572"/>
        <v>2379</v>
      </c>
      <c r="BA268" s="14">
        <f t="shared" si="572"/>
        <v>2379</v>
      </c>
      <c r="BB268" s="14">
        <f t="shared" si="572"/>
        <v>2379</v>
      </c>
      <c r="BC268" s="14">
        <f t="shared" si="572"/>
        <v>2379</v>
      </c>
      <c r="BD268" s="14">
        <f>INDEX(属性投放!$DL$6:$DL$85,(卡牌属性!AG268-2)*20+卡牌属性!AN268)</f>
        <v>30</v>
      </c>
      <c r="BE268" s="14">
        <f t="shared" si="573"/>
        <v>30</v>
      </c>
      <c r="BF268" s="14">
        <f t="shared" si="573"/>
        <v>30</v>
      </c>
      <c r="BG268" s="14">
        <f t="shared" si="573"/>
        <v>30</v>
      </c>
      <c r="BH268" s="14">
        <f t="shared" si="573"/>
        <v>30</v>
      </c>
      <c r="BI268" s="14">
        <f>INDEX(属性投放!$DM$6:$DM$85,(卡牌属性!AG268-2)*20+卡牌属性!AN268)</f>
        <v>15</v>
      </c>
      <c r="BJ268" s="14">
        <f t="shared" si="574"/>
        <v>15</v>
      </c>
      <c r="BK268" s="14">
        <f t="shared" si="574"/>
        <v>15</v>
      </c>
      <c r="BL268" s="14">
        <f t="shared" si="574"/>
        <v>15</v>
      </c>
      <c r="BM268" s="14">
        <f t="shared" si="574"/>
        <v>15</v>
      </c>
      <c r="BN268" s="14">
        <f>INDEX(属性投放!$DN$6:$DN$85,(卡牌属性!AG268-2)*20+卡牌属性!AN268)</f>
        <v>208</v>
      </c>
      <c r="BO268" s="14">
        <f t="shared" si="575"/>
        <v>208</v>
      </c>
      <c r="BP268" s="14">
        <f t="shared" si="575"/>
        <v>208</v>
      </c>
      <c r="BQ268" s="14">
        <f t="shared" si="575"/>
        <v>208</v>
      </c>
      <c r="BR268" s="14">
        <f t="shared" si="575"/>
        <v>208</v>
      </c>
      <c r="BW268" s="13">
        <v>264</v>
      </c>
      <c r="BX268" s="13">
        <f t="shared" si="551"/>
        <v>14</v>
      </c>
      <c r="BY268" s="14">
        <f t="shared" si="552"/>
        <v>3</v>
      </c>
      <c r="BZ268" s="14">
        <f t="shared" si="561"/>
        <v>1102014</v>
      </c>
      <c r="CA268" s="14" t="str">
        <f t="shared" si="562"/>
        <v>石灵明4突</v>
      </c>
      <c r="CB268" s="25" t="s">
        <v>142</v>
      </c>
      <c r="CC268" s="14">
        <v>2</v>
      </c>
      <c r="CD268" s="14">
        <f t="shared" si="553"/>
        <v>4</v>
      </c>
      <c r="CE268" s="14" t="s">
        <v>21</v>
      </c>
      <c r="CF268" s="14">
        <f>INDEX(属性投放!$AZ$6:$AZ$85,(BY268-2)*20+CD268)</f>
        <v>652</v>
      </c>
      <c r="CG268" s="14" t="s">
        <v>22</v>
      </c>
      <c r="CH268" s="14">
        <f>INDEX(属性投放!$BA$6:$BA$85,(BY268-2)*20+CD268)</f>
        <v>262</v>
      </c>
      <c r="CI268" s="14" t="s">
        <v>510</v>
      </c>
      <c r="CJ268" s="14">
        <f>INDEX(属性投放!$BB$6:$BB$85,(BY268-2)*20+CD268)</f>
        <v>3512</v>
      </c>
      <c r="CK268" s="14" t="s">
        <v>21</v>
      </c>
      <c r="CL268" s="14">
        <f>INDEX(属性投放!$BC$6:$BC$85,(BY268-2)*20+CD268)</f>
        <v>12</v>
      </c>
      <c r="CM268" s="14" t="s">
        <v>22</v>
      </c>
      <c r="CN268" s="14">
        <f>INDEX(属性投放!$BD$6:$BD$85,(BY268-2)*20+CD268)</f>
        <v>6</v>
      </c>
      <c r="CO268" s="14" t="s">
        <v>510</v>
      </c>
      <c r="CP268" s="14">
        <f>INDEX(属性投放!$BE$6:$BE$85,(BY268-2)*20+CD268)</f>
        <v>84</v>
      </c>
      <c r="CS268" s="13">
        <v>264</v>
      </c>
      <c r="CT268" s="13">
        <f t="shared" si="563"/>
        <v>6</v>
      </c>
      <c r="CU268" s="13">
        <f t="shared" si="564"/>
        <v>4</v>
      </c>
      <c r="CV268" s="14">
        <f t="shared" si="565"/>
        <v>5</v>
      </c>
      <c r="CW268" s="14">
        <f t="shared" si="566"/>
        <v>1102006</v>
      </c>
      <c r="CX268" s="14" t="str">
        <f>INDEX($O$6:$O$50,CT268)&amp;"-"&amp;INDEX(属性投放!$AB$7:$AB$50,CZ268)&amp;"-魂火-"&amp;DB268</f>
        <v>项羽-黑绳+1-魂火-1</v>
      </c>
      <c r="CY268" s="25" t="s">
        <v>142</v>
      </c>
      <c r="CZ268" s="14">
        <f>INDEX(属性投放!$AM$7:$AM$58,CU268)</f>
        <v>3</v>
      </c>
      <c r="DA268" s="14" t="s">
        <v>537</v>
      </c>
      <c r="DB268" s="14">
        <f>INDEX(属性投放!$AN$7:$AN$58,CU268)</f>
        <v>1</v>
      </c>
      <c r="DC268" s="14">
        <f t="shared" si="554"/>
        <v>4</v>
      </c>
      <c r="DD268" s="14">
        <f>INDEX(属性投放!$AO$7:$AO$58,DC268)</f>
        <v>18</v>
      </c>
      <c r="DE268" s="14" t="s">
        <v>538</v>
      </c>
      <c r="DF268" s="14">
        <f>INDEX(属性投放!$BK$6:$BK$85,(CV268-2)*20+CZ268)</f>
        <v>45</v>
      </c>
      <c r="DG268" s="14">
        <f>SUMIFS(DF$5:DF268,$CT$5:$CT268,"="&amp;$CT268)</f>
        <v>160</v>
      </c>
      <c r="DH268" s="14" t="s">
        <v>539</v>
      </c>
      <c r="DI268" s="14">
        <f>INDEX(属性投放!$BL$6:$BL$85,(CV268-2)*20+CZ268)</f>
        <v>23</v>
      </c>
      <c r="DJ268" s="14">
        <f>SUMIFS(DI$5:DI268,$CT$5:$CT268,"="&amp;$CT268)</f>
        <v>81</v>
      </c>
      <c r="DK268" s="14" t="s">
        <v>540</v>
      </c>
      <c r="DL268" s="14">
        <f>INDEX(属性投放!$BM$6:$BM$85,(CV268-2)*20+CZ268)</f>
        <v>270</v>
      </c>
      <c r="DM268" s="14">
        <f>SUMIFS(DL$5:DL268,$CT$5:$CT268,"="&amp;$CT268)</f>
        <v>960</v>
      </c>
      <c r="DR268" s="14">
        <f t="shared" si="555"/>
        <v>1102014</v>
      </c>
      <c r="DS268" s="14" t="str">
        <f t="shared" si="556"/>
        <v>石灵明4突</v>
      </c>
      <c r="DT268" s="14">
        <f t="shared" si="567"/>
        <v>5</v>
      </c>
      <c r="DU268" s="14">
        <f t="shared" si="568"/>
        <v>5</v>
      </c>
      <c r="DV268" s="14">
        <f t="shared" si="569"/>
        <v>5</v>
      </c>
      <c r="DW268" s="14">
        <f t="shared" si="557"/>
        <v>3</v>
      </c>
      <c r="DX268" s="14">
        <f t="shared" si="558"/>
        <v>4</v>
      </c>
      <c r="DY268" s="14">
        <f t="shared" si="559"/>
        <v>24</v>
      </c>
      <c r="DZ268" s="14">
        <f>INDEX(属性投放!$AX$6:$AX$85,(卡牌属性!DW268-2)*20+卡牌属性!DX268)</f>
        <v>10</v>
      </c>
      <c r="EA268" s="14">
        <f>INDEX(属性投放!BQ$6:BQ$85,卡牌属性!$DY268)</f>
        <v>75</v>
      </c>
      <c r="EB268" s="14">
        <f>INDEX(属性投放!BR$6:BR$85,卡牌属性!$DY268)</f>
        <v>38</v>
      </c>
      <c r="EC268" s="14">
        <f>INDEX(属性投放!BS$6:BS$85,卡牌属性!$DY268)</f>
        <v>525</v>
      </c>
      <c r="ED268" s="14">
        <f t="shared" si="576"/>
        <v>522</v>
      </c>
      <c r="EE268" s="14">
        <f t="shared" si="577"/>
        <v>595</v>
      </c>
      <c r="EF268" s="14">
        <f t="shared" si="578"/>
        <v>688</v>
      </c>
      <c r="EG268" s="14">
        <f t="shared" si="579"/>
        <v>688</v>
      </c>
      <c r="EH268" s="14">
        <f t="shared" si="580"/>
        <v>782</v>
      </c>
      <c r="EI268" s="14">
        <f t="shared" si="581"/>
        <v>216</v>
      </c>
      <c r="EJ268" s="14">
        <f t="shared" si="582"/>
        <v>250</v>
      </c>
      <c r="EK268" s="14">
        <f t="shared" si="583"/>
        <v>250</v>
      </c>
      <c r="EL268" s="14">
        <f t="shared" si="584"/>
        <v>304</v>
      </c>
      <c r="EM268" s="14">
        <f t="shared" si="585"/>
        <v>353</v>
      </c>
      <c r="EN268" s="14">
        <f t="shared" si="586"/>
        <v>2732</v>
      </c>
      <c r="EO268" s="14">
        <f t="shared" si="587"/>
        <v>3170</v>
      </c>
      <c r="EP268" s="14">
        <f t="shared" si="588"/>
        <v>3170</v>
      </c>
      <c r="EQ268" s="14">
        <f t="shared" si="589"/>
        <v>3728</v>
      </c>
      <c r="ER268" s="14">
        <f t="shared" si="590"/>
        <v>4192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84</v>
      </c>
      <c r="FD268" s="14">
        <f>INDEX(属性偏向!$U$4:$U$243,(卡牌属性!$DV268-1+FD$3)*20+卡牌属性!$DX268)</f>
        <v>91</v>
      </c>
      <c r="FE268" s="14">
        <f>INDEX(属性偏向!$U$4:$U$243,(卡牌属性!$DV268-1+FE$3)*20+卡牌属性!$DX268)</f>
        <v>91</v>
      </c>
      <c r="FF268" s="14">
        <f>INDEX(属性偏向!$U$4:$U$243,(卡牌属性!$DV268-1+FF$3)*20+卡牌属性!$DX268)</f>
        <v>140</v>
      </c>
      <c r="FG268" s="14">
        <f>INDEX(属性偏向!$U$4:$U$243,(卡牌属性!$DV268-1+FG$3)*20+卡牌属性!$DX268)</f>
        <v>154</v>
      </c>
      <c r="FH268" s="14">
        <f>INDEX(属性投放!$BQ$6:$BQ$85,(卡牌属性!$DW268-2)*20+卡牌属性!$DX268)</f>
        <v>75</v>
      </c>
      <c r="FI268" s="14">
        <f>INDEX(属性投放!$BQ$6:$BQ$85,(卡牌属性!$DW268-2)*20+卡牌属性!$DX268)</f>
        <v>75</v>
      </c>
      <c r="FJ268" s="14">
        <f>INDEX(属性投放!$BQ$6:$BQ$85,(卡牌属性!$DW268-2)*20+卡牌属性!$DX268)</f>
        <v>75</v>
      </c>
      <c r="FK268" s="14">
        <f>INDEX(属性投放!$BQ$6:$BQ$85,(卡牌属性!$DW268-2)*20+卡牌属性!$DX268)</f>
        <v>75</v>
      </c>
      <c r="FL268" s="14">
        <f>INDEX(属性投放!$BQ$6:$BQ$85,(卡牌属性!$DW268-2)*20+卡牌属性!$DX268)</f>
        <v>75</v>
      </c>
      <c r="FM268" s="14">
        <f>INDEX(属性投放!$BR$6:$BR$85,(卡牌属性!$DW268-2)*20+卡牌属性!$DX268)</f>
        <v>38</v>
      </c>
      <c r="FN268" s="14">
        <f>INDEX(属性投放!$BR$6:$BR$85,(卡牌属性!$DW268-2)*20+卡牌属性!$DX268)</f>
        <v>38</v>
      </c>
      <c r="FO268" s="14">
        <f>INDEX(属性投放!$BR$6:$BR$85,(卡牌属性!$DW268-2)*20+卡牌属性!$DX268)</f>
        <v>38</v>
      </c>
      <c r="FP268" s="14">
        <f>INDEX(属性投放!$BR$6:$BR$85,(卡牌属性!$DW268-2)*20+卡牌属性!$DX268)</f>
        <v>38</v>
      </c>
      <c r="FQ268" s="14">
        <f>INDEX(属性投放!$BR$6:$BR$85,(卡牌属性!$DW268-2)*20+卡牌属性!$DX268)</f>
        <v>38</v>
      </c>
      <c r="FR268" s="14">
        <f>INDEX(属性投放!$BS$6:$BS$85,(卡牌属性!$DW268-2)*20+卡牌属性!$DX268)</f>
        <v>525</v>
      </c>
      <c r="FS268" s="14">
        <f>INDEX(属性投放!$BS$6:$BS$85,(卡牌属性!$DW268-2)*20+卡牌属性!$DX268)</f>
        <v>525</v>
      </c>
      <c r="FT268" s="14">
        <f>INDEX(属性投放!$BS$6:$BS$85,(卡牌属性!$DW268-2)*20+卡牌属性!$DX268)</f>
        <v>525</v>
      </c>
      <c r="FU268" s="14">
        <f>INDEX(属性投放!$BS$6:$BS$85,(卡牌属性!$DW268-2)*20+卡牌属性!$DX268)</f>
        <v>525</v>
      </c>
      <c r="FV268" s="14">
        <f>INDEX(属性投放!$BS$6:$BS$85,(卡牌属性!$DW268-2)*20+卡牌属性!$DX268)</f>
        <v>525</v>
      </c>
    </row>
    <row r="269" spans="31:178" ht="16.5" x14ac:dyDescent="0.2">
      <c r="AE269" s="13">
        <v>265</v>
      </c>
      <c r="AF269" s="13">
        <f t="shared" si="560"/>
        <v>14</v>
      </c>
      <c r="AG269" s="13">
        <f t="shared" si="547"/>
        <v>3</v>
      </c>
      <c r="AH269" s="13"/>
      <c r="AI269" s="13"/>
      <c r="AJ269" s="14">
        <f t="shared" si="548"/>
        <v>1101014</v>
      </c>
      <c r="AK269" s="14" t="str">
        <f t="shared" si="549"/>
        <v>吕仙宫5突</v>
      </c>
      <c r="AL269" s="25" t="s">
        <v>142</v>
      </c>
      <c r="AM269" s="14">
        <v>1</v>
      </c>
      <c r="AN269" s="14">
        <f t="shared" si="550"/>
        <v>5</v>
      </c>
      <c r="AO269" s="14">
        <f>INDEX(属性投放!$DF$6:$DF$85,(卡牌属性!AG269-2)*20+卡牌属性!AN269)</f>
        <v>569</v>
      </c>
      <c r="AP269" s="14">
        <f t="shared" si="570"/>
        <v>569</v>
      </c>
      <c r="AQ269" s="14">
        <f t="shared" si="570"/>
        <v>569</v>
      </c>
      <c r="AR269" s="14">
        <f t="shared" si="570"/>
        <v>569</v>
      </c>
      <c r="AS269" s="14">
        <f t="shared" si="570"/>
        <v>569</v>
      </c>
      <c r="AT269" s="14">
        <f>INDEX(属性投放!$DG$6:$DG$85,(卡牌属性!AG269-2)*20+卡牌属性!AN269)</f>
        <v>205</v>
      </c>
      <c r="AU269" s="14">
        <f t="shared" si="571"/>
        <v>205</v>
      </c>
      <c r="AV269" s="14">
        <f t="shared" si="571"/>
        <v>205</v>
      </c>
      <c r="AW269" s="14">
        <f t="shared" si="571"/>
        <v>205</v>
      </c>
      <c r="AX269" s="14">
        <f t="shared" si="571"/>
        <v>205</v>
      </c>
      <c r="AY269" s="14">
        <f>INDEX(属性投放!$DH$6:$DH$85,(卡牌属性!AG269-2)*20+卡牌属性!AN269)</f>
        <v>2973</v>
      </c>
      <c r="AZ269" s="14">
        <f t="shared" si="572"/>
        <v>2973</v>
      </c>
      <c r="BA269" s="14">
        <f t="shared" si="572"/>
        <v>2973</v>
      </c>
      <c r="BB269" s="14">
        <f t="shared" si="572"/>
        <v>2973</v>
      </c>
      <c r="BC269" s="14">
        <f t="shared" si="572"/>
        <v>2973</v>
      </c>
      <c r="BD269" s="14">
        <f>INDEX(属性投放!$DL$6:$DL$85,(卡牌属性!AG269-2)*20+卡牌属性!AN269)</f>
        <v>30</v>
      </c>
      <c r="BE269" s="14">
        <f t="shared" si="573"/>
        <v>30</v>
      </c>
      <c r="BF269" s="14">
        <f t="shared" si="573"/>
        <v>30</v>
      </c>
      <c r="BG269" s="14">
        <f t="shared" si="573"/>
        <v>30</v>
      </c>
      <c r="BH269" s="14">
        <f t="shared" si="573"/>
        <v>30</v>
      </c>
      <c r="BI269" s="14">
        <f>INDEX(属性投放!$DM$6:$DM$85,(卡牌属性!AG269-2)*20+卡牌属性!AN269)</f>
        <v>15</v>
      </c>
      <c r="BJ269" s="14">
        <f t="shared" si="574"/>
        <v>15</v>
      </c>
      <c r="BK269" s="14">
        <f t="shared" si="574"/>
        <v>15</v>
      </c>
      <c r="BL269" s="14">
        <f t="shared" si="574"/>
        <v>15</v>
      </c>
      <c r="BM269" s="14">
        <f t="shared" si="574"/>
        <v>15</v>
      </c>
      <c r="BN269" s="14">
        <f>INDEX(属性投放!$DN$6:$DN$85,(卡牌属性!AG269-2)*20+卡牌属性!AN269)</f>
        <v>208</v>
      </c>
      <c r="BO269" s="14">
        <f t="shared" si="575"/>
        <v>208</v>
      </c>
      <c r="BP269" s="14">
        <f t="shared" si="575"/>
        <v>208</v>
      </c>
      <c r="BQ269" s="14">
        <f t="shared" si="575"/>
        <v>208</v>
      </c>
      <c r="BR269" s="14">
        <f t="shared" si="575"/>
        <v>208</v>
      </c>
      <c r="BW269" s="13">
        <v>265</v>
      </c>
      <c r="BX269" s="13">
        <f t="shared" si="551"/>
        <v>14</v>
      </c>
      <c r="BY269" s="14">
        <f t="shared" si="552"/>
        <v>3</v>
      </c>
      <c r="BZ269" s="14">
        <f t="shared" si="561"/>
        <v>1102014</v>
      </c>
      <c r="CA269" s="14" t="str">
        <f t="shared" si="562"/>
        <v>石灵明5突</v>
      </c>
      <c r="CB269" s="25" t="s">
        <v>142</v>
      </c>
      <c r="CC269" s="14">
        <v>2</v>
      </c>
      <c r="CD269" s="14">
        <f t="shared" si="553"/>
        <v>5</v>
      </c>
      <c r="CE269" s="14" t="s">
        <v>21</v>
      </c>
      <c r="CF269" s="14">
        <f>INDEX(属性投放!$AZ$6:$AZ$85,(BY269-2)*20+CD269)</f>
        <v>927</v>
      </c>
      <c r="CG269" s="14" t="s">
        <v>22</v>
      </c>
      <c r="CH269" s="14">
        <f>INDEX(属性投放!$BA$6:$BA$85,(BY269-2)*20+CD269)</f>
        <v>400</v>
      </c>
      <c r="CI269" s="14" t="s">
        <v>510</v>
      </c>
      <c r="CJ269" s="14">
        <f>INDEX(属性投放!$BB$6:$BB$85,(BY269-2)*20+CD269)</f>
        <v>5437</v>
      </c>
      <c r="CK269" s="14" t="s">
        <v>21</v>
      </c>
      <c r="CL269" s="14">
        <f>INDEX(属性投放!$BC$6:$BC$85,(BY269-2)*20+CD269)</f>
        <v>12</v>
      </c>
      <c r="CM269" s="14" t="s">
        <v>22</v>
      </c>
      <c r="CN269" s="14">
        <f>INDEX(属性投放!$BD$6:$BD$85,(BY269-2)*20+CD269)</f>
        <v>6</v>
      </c>
      <c r="CO269" s="14" t="s">
        <v>510</v>
      </c>
      <c r="CP269" s="14">
        <f>INDEX(属性投放!$BE$6:$BE$85,(BY269-2)*20+CD269)</f>
        <v>84</v>
      </c>
      <c r="CS269" s="13">
        <v>265</v>
      </c>
      <c r="CT269" s="13">
        <f t="shared" si="563"/>
        <v>6</v>
      </c>
      <c r="CU269" s="13">
        <f t="shared" si="564"/>
        <v>5</v>
      </c>
      <c r="CV269" s="14">
        <f t="shared" si="565"/>
        <v>5</v>
      </c>
      <c r="CW269" s="14">
        <f t="shared" si="566"/>
        <v>1102006</v>
      </c>
      <c r="CX269" s="14" t="str">
        <f>INDEX($O$6:$O$50,CT269)&amp;"-"&amp;INDEX(属性投放!$AB$7:$AB$50,CZ269)&amp;"-魂火-"&amp;DB269</f>
        <v>项羽-黑绳+1-魂火-2</v>
      </c>
      <c r="CY269" s="25" t="s">
        <v>142</v>
      </c>
      <c r="CZ269" s="14">
        <f>INDEX(属性投放!$AM$7:$AM$58,CU269)</f>
        <v>3</v>
      </c>
      <c r="DA269" s="14" t="s">
        <v>537</v>
      </c>
      <c r="DB269" s="14">
        <f>INDEX(属性投放!$AN$7:$AN$58,CU269)</f>
        <v>2</v>
      </c>
      <c r="DC269" s="14">
        <f t="shared" si="554"/>
        <v>5</v>
      </c>
      <c r="DD269" s="14">
        <f>INDEX(属性投放!$AO$7:$AO$58,DC269)</f>
        <v>23</v>
      </c>
      <c r="DE269" s="14" t="s">
        <v>538</v>
      </c>
      <c r="DF269" s="14">
        <f>INDEX(属性投放!$BK$6:$BK$85,(CV269-2)*20+CZ269)</f>
        <v>45</v>
      </c>
      <c r="DG269" s="14">
        <f>SUMIFS(DF$5:DF269,$CT$5:$CT269,"="&amp;$CT269)</f>
        <v>205</v>
      </c>
      <c r="DH269" s="14" t="s">
        <v>539</v>
      </c>
      <c r="DI269" s="14">
        <f>INDEX(属性投放!$BL$6:$BL$85,(CV269-2)*20+CZ269)</f>
        <v>23</v>
      </c>
      <c r="DJ269" s="14">
        <f>SUMIFS(DI$5:DI269,$CT$5:$CT269,"="&amp;$CT269)</f>
        <v>104</v>
      </c>
      <c r="DK269" s="14" t="s">
        <v>540</v>
      </c>
      <c r="DL269" s="14">
        <f>INDEX(属性投放!$BM$6:$BM$85,(CV269-2)*20+CZ269)</f>
        <v>270</v>
      </c>
      <c r="DM269" s="14">
        <f>SUMIFS(DL$5:DL269,$CT$5:$CT269,"="&amp;$CT269)</f>
        <v>1230</v>
      </c>
      <c r="DR269" s="14">
        <f t="shared" si="555"/>
        <v>1102014</v>
      </c>
      <c r="DS269" s="14" t="str">
        <f t="shared" si="556"/>
        <v>石灵明5突</v>
      </c>
      <c r="DT269" s="14">
        <f t="shared" si="567"/>
        <v>5</v>
      </c>
      <c r="DU269" s="14">
        <f t="shared" si="568"/>
        <v>5</v>
      </c>
      <c r="DV269" s="14">
        <f t="shared" si="569"/>
        <v>5</v>
      </c>
      <c r="DW269" s="14">
        <f t="shared" si="557"/>
        <v>3</v>
      </c>
      <c r="DX269" s="14">
        <f t="shared" si="558"/>
        <v>5</v>
      </c>
      <c r="DY269" s="14">
        <f t="shared" si="559"/>
        <v>25</v>
      </c>
      <c r="DZ269" s="14">
        <f>INDEX(属性投放!$AX$6:$AX$85,(卡牌属性!DW269-2)*20+卡牌属性!DX269)</f>
        <v>7</v>
      </c>
      <c r="EA269" s="14">
        <f>INDEX(属性投放!BQ$6:BQ$85,卡牌属性!$DY269)</f>
        <v>100</v>
      </c>
      <c r="EB269" s="14">
        <f>INDEX(属性投放!BR$6:BR$85,卡牌属性!$DY269)</f>
        <v>50</v>
      </c>
      <c r="EC269" s="14">
        <f>INDEX(属性投放!BS$6:BS$85,卡牌属性!$DY269)</f>
        <v>700</v>
      </c>
      <c r="ED269" s="14">
        <f t="shared" si="576"/>
        <v>717</v>
      </c>
      <c r="EE269" s="14">
        <f t="shared" si="577"/>
        <v>800</v>
      </c>
      <c r="EF269" s="14">
        <f t="shared" si="578"/>
        <v>963</v>
      </c>
      <c r="EG269" s="14">
        <f t="shared" si="579"/>
        <v>963</v>
      </c>
      <c r="EH269" s="14">
        <f t="shared" si="580"/>
        <v>1077</v>
      </c>
      <c r="EI269" s="14">
        <f t="shared" si="581"/>
        <v>314</v>
      </c>
      <c r="EJ269" s="14">
        <f t="shared" si="582"/>
        <v>358</v>
      </c>
      <c r="EK269" s="14">
        <f t="shared" si="583"/>
        <v>358</v>
      </c>
      <c r="EL269" s="14">
        <f t="shared" si="584"/>
        <v>442</v>
      </c>
      <c r="EM269" s="14">
        <f t="shared" si="585"/>
        <v>501</v>
      </c>
      <c r="EN269" s="14">
        <f t="shared" si="586"/>
        <v>4097</v>
      </c>
      <c r="EO269" s="14">
        <f t="shared" si="587"/>
        <v>4605</v>
      </c>
      <c r="EP269" s="14">
        <f t="shared" si="588"/>
        <v>4605</v>
      </c>
      <c r="EQ269" s="14">
        <f t="shared" si="589"/>
        <v>5653</v>
      </c>
      <c r="ER269" s="14">
        <f t="shared" si="590"/>
        <v>6257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84</v>
      </c>
      <c r="FD269" s="14">
        <f>INDEX(属性偏向!$U$4:$U$243,(卡牌属性!$DV269-1+FD$3)*20+卡牌属性!$DX269)</f>
        <v>91</v>
      </c>
      <c r="FE269" s="14">
        <f>INDEX(属性偏向!$U$4:$U$243,(卡牌属性!$DV269-1+FE$3)*20+卡牌属性!$DX269)</f>
        <v>91</v>
      </c>
      <c r="FF269" s="14">
        <f>INDEX(属性偏向!$U$4:$U$243,(卡牌属性!$DV269-1+FF$3)*20+卡牌属性!$DX269)</f>
        <v>140</v>
      </c>
      <c r="FG269" s="14">
        <f>INDEX(属性偏向!$U$4:$U$243,(卡牌属性!$DV269-1+FG$3)*20+卡牌属性!$DX269)</f>
        <v>154</v>
      </c>
      <c r="FH269" s="14">
        <f>INDEX(属性投放!$BQ$6:$BQ$85,(卡牌属性!$DW269-2)*20+卡牌属性!$DX269)</f>
        <v>100</v>
      </c>
      <c r="FI269" s="14">
        <f>INDEX(属性投放!$BQ$6:$BQ$85,(卡牌属性!$DW269-2)*20+卡牌属性!$DX269)</f>
        <v>100</v>
      </c>
      <c r="FJ269" s="14">
        <f>INDEX(属性投放!$BQ$6:$BQ$85,(卡牌属性!$DW269-2)*20+卡牌属性!$DX269)</f>
        <v>100</v>
      </c>
      <c r="FK269" s="14">
        <f>INDEX(属性投放!$BQ$6:$BQ$85,(卡牌属性!$DW269-2)*20+卡牌属性!$DX269)</f>
        <v>100</v>
      </c>
      <c r="FL269" s="14">
        <f>INDEX(属性投放!$BQ$6:$BQ$85,(卡牌属性!$DW269-2)*20+卡牌属性!$DX269)</f>
        <v>100</v>
      </c>
      <c r="FM269" s="14">
        <f>INDEX(属性投放!$BR$6:$BR$85,(卡牌属性!$DW269-2)*20+卡牌属性!$DX269)</f>
        <v>50</v>
      </c>
      <c r="FN269" s="14">
        <f>INDEX(属性投放!$BR$6:$BR$85,(卡牌属性!$DW269-2)*20+卡牌属性!$DX269)</f>
        <v>50</v>
      </c>
      <c r="FO269" s="14">
        <f>INDEX(属性投放!$BR$6:$BR$85,(卡牌属性!$DW269-2)*20+卡牌属性!$DX269)</f>
        <v>50</v>
      </c>
      <c r="FP269" s="14">
        <f>INDEX(属性投放!$BR$6:$BR$85,(卡牌属性!$DW269-2)*20+卡牌属性!$DX269)</f>
        <v>50</v>
      </c>
      <c r="FQ269" s="14">
        <f>INDEX(属性投放!$BR$6:$BR$85,(卡牌属性!$DW269-2)*20+卡牌属性!$DX269)</f>
        <v>50</v>
      </c>
      <c r="FR269" s="14">
        <f>INDEX(属性投放!$BS$6:$BS$85,(卡牌属性!$DW269-2)*20+卡牌属性!$DX269)</f>
        <v>700</v>
      </c>
      <c r="FS269" s="14">
        <f>INDEX(属性投放!$BS$6:$BS$85,(卡牌属性!$DW269-2)*20+卡牌属性!$DX269)</f>
        <v>700</v>
      </c>
      <c r="FT269" s="14">
        <f>INDEX(属性投放!$BS$6:$BS$85,(卡牌属性!$DW269-2)*20+卡牌属性!$DX269)</f>
        <v>700</v>
      </c>
      <c r="FU269" s="14">
        <f>INDEX(属性投放!$BS$6:$BS$85,(卡牌属性!$DW269-2)*20+卡牌属性!$DX269)</f>
        <v>700</v>
      </c>
      <c r="FV269" s="14">
        <f>INDEX(属性投放!$BS$6:$BS$85,(卡牌属性!$DW269-2)*20+卡牌属性!$DX269)</f>
        <v>700</v>
      </c>
    </row>
    <row r="270" spans="31:178" ht="16.5" x14ac:dyDescent="0.2">
      <c r="AE270" s="13">
        <v>266</v>
      </c>
      <c r="AF270" s="13">
        <f t="shared" si="560"/>
        <v>14</v>
      </c>
      <c r="AG270" s="13">
        <f t="shared" si="547"/>
        <v>3</v>
      </c>
      <c r="AH270" s="13"/>
      <c r="AI270" s="13"/>
      <c r="AJ270" s="14">
        <f t="shared" si="548"/>
        <v>1101014</v>
      </c>
      <c r="AK270" s="14" t="str">
        <f t="shared" si="549"/>
        <v>吕仙宫6突</v>
      </c>
      <c r="AL270" s="25" t="s">
        <v>142</v>
      </c>
      <c r="AM270" s="14">
        <v>1</v>
      </c>
      <c r="AN270" s="14">
        <f t="shared" si="550"/>
        <v>6</v>
      </c>
      <c r="AO270" s="14">
        <f>INDEX(属性投放!$DF$6:$DF$85,(卡牌属性!AG270-2)*20+卡牌属性!AN270)</f>
        <v>654</v>
      </c>
      <c r="AP270" s="14">
        <f t="shared" si="570"/>
        <v>654</v>
      </c>
      <c r="AQ270" s="14">
        <f t="shared" si="570"/>
        <v>654</v>
      </c>
      <c r="AR270" s="14">
        <f t="shared" si="570"/>
        <v>654</v>
      </c>
      <c r="AS270" s="14">
        <f t="shared" si="570"/>
        <v>654</v>
      </c>
      <c r="AT270" s="14">
        <f>INDEX(属性投放!$DG$6:$DG$85,(卡牌属性!AG270-2)*20+卡牌属性!AN270)</f>
        <v>248</v>
      </c>
      <c r="AU270" s="14">
        <f t="shared" si="571"/>
        <v>248</v>
      </c>
      <c r="AV270" s="14">
        <f t="shared" si="571"/>
        <v>248</v>
      </c>
      <c r="AW270" s="14">
        <f t="shared" si="571"/>
        <v>248</v>
      </c>
      <c r="AX270" s="14">
        <f t="shared" si="571"/>
        <v>248</v>
      </c>
      <c r="AY270" s="14">
        <f>INDEX(属性投放!$DH$6:$DH$85,(卡牌属性!AG270-2)*20+卡牌属性!AN270)</f>
        <v>3567</v>
      </c>
      <c r="AZ270" s="14">
        <f t="shared" si="572"/>
        <v>3567</v>
      </c>
      <c r="BA270" s="14">
        <f t="shared" si="572"/>
        <v>3567</v>
      </c>
      <c r="BB270" s="14">
        <f t="shared" si="572"/>
        <v>3567</v>
      </c>
      <c r="BC270" s="14">
        <f t="shared" si="572"/>
        <v>3567</v>
      </c>
      <c r="BD270" s="14">
        <f>INDEX(属性投放!$DL$6:$DL$85,(卡牌属性!AG270-2)*20+卡牌属性!AN270)</f>
        <v>30</v>
      </c>
      <c r="BE270" s="14">
        <f t="shared" si="573"/>
        <v>30</v>
      </c>
      <c r="BF270" s="14">
        <f t="shared" si="573"/>
        <v>30</v>
      </c>
      <c r="BG270" s="14">
        <f t="shared" si="573"/>
        <v>30</v>
      </c>
      <c r="BH270" s="14">
        <f t="shared" si="573"/>
        <v>30</v>
      </c>
      <c r="BI270" s="14">
        <f>INDEX(属性投放!$DM$6:$DM$85,(卡牌属性!AG270-2)*20+卡牌属性!AN270)</f>
        <v>15</v>
      </c>
      <c r="BJ270" s="14">
        <f t="shared" si="574"/>
        <v>15</v>
      </c>
      <c r="BK270" s="14">
        <f t="shared" si="574"/>
        <v>15</v>
      </c>
      <c r="BL270" s="14">
        <f t="shared" si="574"/>
        <v>15</v>
      </c>
      <c r="BM270" s="14">
        <f t="shared" si="574"/>
        <v>15</v>
      </c>
      <c r="BN270" s="14">
        <f>INDEX(属性投放!$DN$6:$DN$85,(卡牌属性!AG270-2)*20+卡牌属性!AN270)</f>
        <v>208</v>
      </c>
      <c r="BO270" s="14">
        <f t="shared" si="575"/>
        <v>208</v>
      </c>
      <c r="BP270" s="14">
        <f t="shared" si="575"/>
        <v>208</v>
      </c>
      <c r="BQ270" s="14">
        <f t="shared" si="575"/>
        <v>208</v>
      </c>
      <c r="BR270" s="14">
        <f t="shared" si="575"/>
        <v>208</v>
      </c>
      <c r="BW270" s="13">
        <v>266</v>
      </c>
      <c r="BX270" s="13">
        <f t="shared" si="551"/>
        <v>14</v>
      </c>
      <c r="BY270" s="14">
        <f t="shared" si="552"/>
        <v>3</v>
      </c>
      <c r="BZ270" s="14">
        <f t="shared" si="561"/>
        <v>1102014</v>
      </c>
      <c r="CA270" s="14" t="str">
        <f t="shared" si="562"/>
        <v>石灵明6突</v>
      </c>
      <c r="CB270" s="25" t="s">
        <v>142</v>
      </c>
      <c r="CC270" s="14">
        <v>2</v>
      </c>
      <c r="CD270" s="14">
        <f t="shared" si="553"/>
        <v>6</v>
      </c>
      <c r="CE270" s="14" t="s">
        <v>21</v>
      </c>
      <c r="CF270" s="14">
        <f>INDEX(属性投放!$AZ$6:$AZ$85,(BY270-2)*20+CD270)</f>
        <v>1201</v>
      </c>
      <c r="CG270" s="14" t="s">
        <v>22</v>
      </c>
      <c r="CH270" s="14">
        <f>INDEX(属性投放!$BA$6:$BA$85,(BY270-2)*20+CD270)</f>
        <v>538</v>
      </c>
      <c r="CI270" s="14" t="s">
        <v>510</v>
      </c>
      <c r="CJ270" s="14">
        <f>INDEX(属性投放!$BB$6:$BB$85,(BY270-2)*20+CD270)</f>
        <v>7355</v>
      </c>
      <c r="CK270" s="14" t="s">
        <v>21</v>
      </c>
      <c r="CL270" s="14">
        <f>INDEX(属性投放!$BC$6:$BC$85,(BY270-2)*20+CD270)</f>
        <v>12</v>
      </c>
      <c r="CM270" s="14" t="s">
        <v>22</v>
      </c>
      <c r="CN270" s="14">
        <f>INDEX(属性投放!$BD$6:$BD$85,(BY270-2)*20+CD270)</f>
        <v>6</v>
      </c>
      <c r="CO270" s="14" t="s">
        <v>510</v>
      </c>
      <c r="CP270" s="14">
        <f>INDEX(属性投放!$BE$6:$BE$85,(BY270-2)*20+CD270)</f>
        <v>84</v>
      </c>
      <c r="CS270" s="13">
        <v>266</v>
      </c>
      <c r="CT270" s="13">
        <f t="shared" si="563"/>
        <v>6</v>
      </c>
      <c r="CU270" s="13">
        <f t="shared" si="564"/>
        <v>6</v>
      </c>
      <c r="CV270" s="14">
        <f t="shared" si="565"/>
        <v>5</v>
      </c>
      <c r="CW270" s="14">
        <f t="shared" si="566"/>
        <v>1102006</v>
      </c>
      <c r="CX270" s="14" t="str">
        <f>INDEX($O$6:$O$50,CT270)&amp;"-"&amp;INDEX(属性投放!$AB$7:$AB$50,CZ270)&amp;"-魂火-"&amp;DB270</f>
        <v>项羽-众合-魂火-1</v>
      </c>
      <c r="CY270" s="25" t="s">
        <v>142</v>
      </c>
      <c r="CZ270" s="14">
        <f>INDEX(属性投放!$AM$7:$AM$58,CU270)</f>
        <v>4</v>
      </c>
      <c r="DA270" s="14" t="s">
        <v>537</v>
      </c>
      <c r="DB270" s="14">
        <f>INDEX(属性投放!$AN$7:$AN$58,CU270)</f>
        <v>1</v>
      </c>
      <c r="DC270" s="14">
        <f t="shared" si="554"/>
        <v>6</v>
      </c>
      <c r="DD270" s="14">
        <f>INDEX(属性投放!$AO$7:$AO$58,DC270)</f>
        <v>28</v>
      </c>
      <c r="DE270" s="14" t="s">
        <v>538</v>
      </c>
      <c r="DF270" s="14">
        <f>INDEX(属性投放!$BK$6:$BK$85,(CV270-2)*20+CZ270)</f>
        <v>60</v>
      </c>
      <c r="DG270" s="14">
        <f>SUMIFS(DF$5:DF270,$CT$5:$CT270,"="&amp;$CT270)</f>
        <v>265</v>
      </c>
      <c r="DH270" s="14" t="s">
        <v>539</v>
      </c>
      <c r="DI270" s="14">
        <f>INDEX(属性投放!$BL$6:$BL$85,(CV270-2)*20+CZ270)</f>
        <v>30</v>
      </c>
      <c r="DJ270" s="14">
        <f>SUMIFS(DI$5:DI270,$CT$5:$CT270,"="&amp;$CT270)</f>
        <v>134</v>
      </c>
      <c r="DK270" s="14" t="s">
        <v>540</v>
      </c>
      <c r="DL270" s="14">
        <f>INDEX(属性投放!$BM$6:$BM$85,(CV270-2)*20+CZ270)</f>
        <v>420</v>
      </c>
      <c r="DM270" s="14">
        <f>SUMIFS(DL$5:DL270,$CT$5:$CT270,"="&amp;$CT270)</f>
        <v>1650</v>
      </c>
      <c r="DR270" s="14">
        <f t="shared" si="555"/>
        <v>1102014</v>
      </c>
      <c r="DS270" s="14" t="str">
        <f t="shared" si="556"/>
        <v>石灵明6突</v>
      </c>
      <c r="DT270" s="14">
        <f t="shared" si="567"/>
        <v>5</v>
      </c>
      <c r="DU270" s="14">
        <f t="shared" si="568"/>
        <v>5</v>
      </c>
      <c r="DV270" s="14">
        <f t="shared" si="569"/>
        <v>5</v>
      </c>
      <c r="DW270" s="14">
        <f t="shared" si="557"/>
        <v>3</v>
      </c>
      <c r="DX270" s="14">
        <f t="shared" si="558"/>
        <v>6</v>
      </c>
      <c r="DY270" s="14">
        <f t="shared" si="559"/>
        <v>26</v>
      </c>
      <c r="DZ270" s="14">
        <f>INDEX(属性投放!$AX$6:$AX$85,(卡牌属性!DW270-2)*20+卡牌属性!DX270)</f>
        <v>5</v>
      </c>
      <c r="EA270" s="14">
        <f>INDEX(属性投放!BQ$6:BQ$85,卡牌属性!$DY270)</f>
        <v>140</v>
      </c>
      <c r="EB270" s="14">
        <f>INDEX(属性投放!BR$6:BR$85,卡牌属性!$DY270)</f>
        <v>70</v>
      </c>
      <c r="EC270" s="14">
        <f>INDEX(属性投放!BS$6:BS$85,卡牌属性!$DY270)</f>
        <v>980</v>
      </c>
      <c r="ED270" s="14">
        <f t="shared" si="576"/>
        <v>901</v>
      </c>
      <c r="EE270" s="14">
        <f t="shared" si="577"/>
        <v>991</v>
      </c>
      <c r="EF270" s="14">
        <f t="shared" si="578"/>
        <v>1203</v>
      </c>
      <c r="EG270" s="14">
        <f t="shared" si="579"/>
        <v>1203</v>
      </c>
      <c r="EH270" s="14">
        <f t="shared" si="580"/>
        <v>1331</v>
      </c>
      <c r="EI270" s="14">
        <f t="shared" si="581"/>
        <v>406</v>
      </c>
      <c r="EJ270" s="14">
        <f t="shared" si="582"/>
        <v>457</v>
      </c>
      <c r="EK270" s="14">
        <f t="shared" si="583"/>
        <v>457</v>
      </c>
      <c r="EL270" s="14">
        <f t="shared" si="584"/>
        <v>562</v>
      </c>
      <c r="EM270" s="14">
        <f t="shared" si="585"/>
        <v>628</v>
      </c>
      <c r="EN270" s="14">
        <f t="shared" si="586"/>
        <v>5385</v>
      </c>
      <c r="EO270" s="14">
        <f t="shared" si="587"/>
        <v>5942</v>
      </c>
      <c r="EP270" s="14">
        <f t="shared" si="588"/>
        <v>5942</v>
      </c>
      <c r="EQ270" s="14">
        <f t="shared" si="589"/>
        <v>7333</v>
      </c>
      <c r="ER270" s="14">
        <f t="shared" si="590"/>
        <v>8035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84</v>
      </c>
      <c r="FD270" s="14">
        <f>INDEX(属性偏向!$U$4:$U$243,(卡牌属性!$DV270-1+FD$3)*20+卡牌属性!$DX270)</f>
        <v>91</v>
      </c>
      <c r="FE270" s="14">
        <f>INDEX(属性偏向!$U$4:$U$243,(卡牌属性!$DV270-1+FE$3)*20+卡牌属性!$DX270)</f>
        <v>91</v>
      </c>
      <c r="FF270" s="14">
        <f>INDEX(属性偏向!$U$4:$U$243,(卡牌属性!$DV270-1+FF$3)*20+卡牌属性!$DX270)</f>
        <v>140</v>
      </c>
      <c r="FG270" s="14">
        <f>INDEX(属性偏向!$U$4:$U$243,(卡牌属性!$DV270-1+FG$3)*20+卡牌属性!$DX270)</f>
        <v>154</v>
      </c>
      <c r="FH270" s="14">
        <f>INDEX(属性投放!$BQ$6:$BQ$85,(卡牌属性!$DW270-2)*20+卡牌属性!$DX270)</f>
        <v>140</v>
      </c>
      <c r="FI270" s="14">
        <f>INDEX(属性投放!$BQ$6:$BQ$85,(卡牌属性!$DW270-2)*20+卡牌属性!$DX270)</f>
        <v>140</v>
      </c>
      <c r="FJ270" s="14">
        <f>INDEX(属性投放!$BQ$6:$BQ$85,(卡牌属性!$DW270-2)*20+卡牌属性!$DX270)</f>
        <v>140</v>
      </c>
      <c r="FK270" s="14">
        <f>INDEX(属性投放!$BQ$6:$BQ$85,(卡牌属性!$DW270-2)*20+卡牌属性!$DX270)</f>
        <v>140</v>
      </c>
      <c r="FL270" s="14">
        <f>INDEX(属性投放!$BQ$6:$BQ$85,(卡牌属性!$DW270-2)*20+卡牌属性!$DX270)</f>
        <v>140</v>
      </c>
      <c r="FM270" s="14">
        <f>INDEX(属性投放!$BR$6:$BR$85,(卡牌属性!$DW270-2)*20+卡牌属性!$DX270)</f>
        <v>70</v>
      </c>
      <c r="FN270" s="14">
        <f>INDEX(属性投放!$BR$6:$BR$85,(卡牌属性!$DW270-2)*20+卡牌属性!$DX270)</f>
        <v>70</v>
      </c>
      <c r="FO270" s="14">
        <f>INDEX(属性投放!$BR$6:$BR$85,(卡牌属性!$DW270-2)*20+卡牌属性!$DX270)</f>
        <v>70</v>
      </c>
      <c r="FP270" s="14">
        <f>INDEX(属性投放!$BR$6:$BR$85,(卡牌属性!$DW270-2)*20+卡牌属性!$DX270)</f>
        <v>70</v>
      </c>
      <c r="FQ270" s="14">
        <f>INDEX(属性投放!$BR$6:$BR$85,(卡牌属性!$DW270-2)*20+卡牌属性!$DX270)</f>
        <v>70</v>
      </c>
      <c r="FR270" s="14">
        <f>INDEX(属性投放!$BS$6:$BS$85,(卡牌属性!$DW270-2)*20+卡牌属性!$DX270)</f>
        <v>980</v>
      </c>
      <c r="FS270" s="14">
        <f>INDEX(属性投放!$BS$6:$BS$85,(卡牌属性!$DW270-2)*20+卡牌属性!$DX270)</f>
        <v>980</v>
      </c>
      <c r="FT270" s="14">
        <f>INDEX(属性投放!$BS$6:$BS$85,(卡牌属性!$DW270-2)*20+卡牌属性!$DX270)</f>
        <v>980</v>
      </c>
      <c r="FU270" s="14">
        <f>INDEX(属性投放!$BS$6:$BS$85,(卡牌属性!$DW270-2)*20+卡牌属性!$DX270)</f>
        <v>980</v>
      </c>
      <c r="FV270" s="14">
        <f>INDEX(属性投放!$BS$6:$BS$85,(卡牌属性!$DW270-2)*20+卡牌属性!$DX270)</f>
        <v>980</v>
      </c>
    </row>
    <row r="271" spans="31:178" ht="16.5" x14ac:dyDescent="0.2">
      <c r="AE271" s="13">
        <v>267</v>
      </c>
      <c r="AF271" s="13">
        <f t="shared" si="560"/>
        <v>14</v>
      </c>
      <c r="AG271" s="13">
        <f t="shared" si="547"/>
        <v>3</v>
      </c>
      <c r="AH271" s="13"/>
      <c r="AI271" s="13"/>
      <c r="AJ271" s="14">
        <f t="shared" si="548"/>
        <v>1101014</v>
      </c>
      <c r="AK271" s="14" t="str">
        <f t="shared" si="549"/>
        <v>吕仙宫7突</v>
      </c>
      <c r="AL271" s="25" t="s">
        <v>142</v>
      </c>
      <c r="AM271" s="14">
        <v>1</v>
      </c>
      <c r="AN271" s="14">
        <f t="shared" si="550"/>
        <v>7</v>
      </c>
      <c r="AO271" s="14">
        <f>INDEX(属性投放!$DF$6:$DF$85,(卡牌属性!AG271-2)*20+卡牌属性!AN271)</f>
        <v>1489</v>
      </c>
      <c r="AP271" s="14">
        <f t="shared" si="570"/>
        <v>1489</v>
      </c>
      <c r="AQ271" s="14">
        <f t="shared" si="570"/>
        <v>1489</v>
      </c>
      <c r="AR271" s="14">
        <f t="shared" si="570"/>
        <v>1489</v>
      </c>
      <c r="AS271" s="14">
        <f t="shared" si="570"/>
        <v>1489</v>
      </c>
      <c r="AT271" s="14">
        <f>INDEX(属性投放!$DG$6:$DG$85,(卡牌属性!AG271-2)*20+卡牌属性!AN271)</f>
        <v>666</v>
      </c>
      <c r="AU271" s="14">
        <f t="shared" si="571"/>
        <v>666</v>
      </c>
      <c r="AV271" s="14">
        <f t="shared" si="571"/>
        <v>666</v>
      </c>
      <c r="AW271" s="14">
        <f t="shared" si="571"/>
        <v>666</v>
      </c>
      <c r="AX271" s="14">
        <f t="shared" si="571"/>
        <v>666</v>
      </c>
      <c r="AY271" s="14">
        <f>INDEX(属性投放!$DH$6:$DH$85,(卡牌属性!AG271-2)*20+卡牌属性!AN271)</f>
        <v>9361</v>
      </c>
      <c r="AZ271" s="14">
        <f t="shared" si="572"/>
        <v>9361</v>
      </c>
      <c r="BA271" s="14">
        <f t="shared" si="572"/>
        <v>9361</v>
      </c>
      <c r="BB271" s="14">
        <f t="shared" si="572"/>
        <v>9361</v>
      </c>
      <c r="BC271" s="14">
        <f t="shared" si="572"/>
        <v>9361</v>
      </c>
      <c r="BD271" s="14">
        <f>INDEX(属性投放!$DL$6:$DL$85,(卡牌属性!AG271-2)*20+卡牌属性!AN271)</f>
        <v>46</v>
      </c>
      <c r="BE271" s="14">
        <f t="shared" si="573"/>
        <v>46</v>
      </c>
      <c r="BF271" s="14">
        <f t="shared" si="573"/>
        <v>46</v>
      </c>
      <c r="BG271" s="14">
        <f t="shared" si="573"/>
        <v>46</v>
      </c>
      <c r="BH271" s="14">
        <f t="shared" si="573"/>
        <v>46</v>
      </c>
      <c r="BI271" s="14">
        <f>INDEX(属性投放!$DM$6:$DM$85,(卡牌属性!AG271-2)*20+卡牌属性!AN271)</f>
        <v>24</v>
      </c>
      <c r="BJ271" s="14">
        <f t="shared" si="574"/>
        <v>24</v>
      </c>
      <c r="BK271" s="14">
        <f t="shared" si="574"/>
        <v>24</v>
      </c>
      <c r="BL271" s="14">
        <f t="shared" si="574"/>
        <v>24</v>
      </c>
      <c r="BM271" s="14">
        <f t="shared" si="574"/>
        <v>24</v>
      </c>
      <c r="BN271" s="14">
        <f>INDEX(属性投放!$DN$6:$DN$85,(卡牌属性!AG271-2)*20+卡牌属性!AN271)</f>
        <v>371</v>
      </c>
      <c r="BO271" s="14">
        <f t="shared" si="575"/>
        <v>371</v>
      </c>
      <c r="BP271" s="14">
        <f t="shared" si="575"/>
        <v>371</v>
      </c>
      <c r="BQ271" s="14">
        <f t="shared" si="575"/>
        <v>371</v>
      </c>
      <c r="BR271" s="14">
        <f t="shared" si="575"/>
        <v>371</v>
      </c>
      <c r="BW271" s="13">
        <v>267</v>
      </c>
      <c r="BX271" s="13">
        <f t="shared" si="551"/>
        <v>14</v>
      </c>
      <c r="BY271" s="14">
        <f t="shared" si="552"/>
        <v>3</v>
      </c>
      <c r="BZ271" s="14">
        <f t="shared" si="561"/>
        <v>1102014</v>
      </c>
      <c r="CA271" s="14" t="str">
        <f t="shared" si="562"/>
        <v>石灵明7突</v>
      </c>
      <c r="CB271" s="25" t="s">
        <v>142</v>
      </c>
      <c r="CC271" s="14">
        <v>2</v>
      </c>
      <c r="CD271" s="14">
        <f t="shared" si="553"/>
        <v>7</v>
      </c>
      <c r="CE271" s="14" t="s">
        <v>21</v>
      </c>
      <c r="CF271" s="14">
        <f>INDEX(属性投放!$AZ$6:$AZ$85,(BY271-2)*20+CD271)</f>
        <v>1501</v>
      </c>
      <c r="CG271" s="14" t="s">
        <v>22</v>
      </c>
      <c r="CH271" s="14">
        <f>INDEX(属性投放!$BA$6:$BA$85,(BY271-2)*20+CD271)</f>
        <v>688</v>
      </c>
      <c r="CI271" s="14" t="s">
        <v>510</v>
      </c>
      <c r="CJ271" s="14">
        <f>INDEX(属性投放!$BB$6:$BB$85,(BY271-2)*20+CD271)</f>
        <v>9455</v>
      </c>
      <c r="CK271" s="14" t="s">
        <v>21</v>
      </c>
      <c r="CL271" s="14">
        <f>INDEX(属性投放!$BC$6:$BC$85,(BY271-2)*20+CD271)</f>
        <v>15</v>
      </c>
      <c r="CM271" s="14" t="s">
        <v>22</v>
      </c>
      <c r="CN271" s="14">
        <f>INDEX(属性投放!$BD$6:$BD$85,(BY271-2)*20+CD271)</f>
        <v>8</v>
      </c>
      <c r="CO271" s="14" t="s">
        <v>510</v>
      </c>
      <c r="CP271" s="14">
        <f>INDEX(属性投放!$BE$6:$BE$85,(BY271-2)*20+CD271)</f>
        <v>120</v>
      </c>
      <c r="CS271" s="13">
        <v>267</v>
      </c>
      <c r="CT271" s="13">
        <f t="shared" si="563"/>
        <v>6</v>
      </c>
      <c r="CU271" s="13">
        <f t="shared" si="564"/>
        <v>7</v>
      </c>
      <c r="CV271" s="14">
        <f t="shared" si="565"/>
        <v>5</v>
      </c>
      <c r="CW271" s="14">
        <f t="shared" si="566"/>
        <v>1102006</v>
      </c>
      <c r="CX271" s="14" t="str">
        <f>INDEX($O$6:$O$50,CT271)&amp;"-"&amp;INDEX(属性投放!$AB$7:$AB$50,CZ271)&amp;"-魂火-"&amp;DB271</f>
        <v>项羽-众合-魂火-2</v>
      </c>
      <c r="CY271" s="25" t="s">
        <v>142</v>
      </c>
      <c r="CZ271" s="14">
        <f>INDEX(属性投放!$AM$7:$AM$58,CU271)</f>
        <v>4</v>
      </c>
      <c r="DA271" s="14" t="s">
        <v>537</v>
      </c>
      <c r="DB271" s="14">
        <f>INDEX(属性投放!$AN$7:$AN$58,CU271)</f>
        <v>2</v>
      </c>
      <c r="DC271" s="14">
        <f t="shared" si="554"/>
        <v>7</v>
      </c>
      <c r="DD271" s="14">
        <f>INDEX(属性投放!$AO$7:$AO$58,DC271)</f>
        <v>33</v>
      </c>
      <c r="DE271" s="14" t="s">
        <v>538</v>
      </c>
      <c r="DF271" s="14">
        <f>INDEX(属性投放!$BK$6:$BK$85,(CV271-2)*20+CZ271)</f>
        <v>60</v>
      </c>
      <c r="DG271" s="14">
        <f>SUMIFS(DF$5:DF271,$CT$5:$CT271,"="&amp;$CT271)</f>
        <v>325</v>
      </c>
      <c r="DH271" s="14" t="s">
        <v>539</v>
      </c>
      <c r="DI271" s="14">
        <f>INDEX(属性投放!$BL$6:$BL$85,(CV271-2)*20+CZ271)</f>
        <v>30</v>
      </c>
      <c r="DJ271" s="14">
        <f>SUMIFS(DI$5:DI271,$CT$5:$CT271,"="&amp;$CT271)</f>
        <v>164</v>
      </c>
      <c r="DK271" s="14" t="s">
        <v>540</v>
      </c>
      <c r="DL271" s="14">
        <f>INDEX(属性投放!$BM$6:$BM$85,(CV271-2)*20+CZ271)</f>
        <v>420</v>
      </c>
      <c r="DM271" s="14">
        <f>SUMIFS(DL$5:DL271,$CT$5:$CT271,"="&amp;$CT271)</f>
        <v>2070</v>
      </c>
      <c r="DR271" s="14">
        <f t="shared" si="555"/>
        <v>1102014</v>
      </c>
      <c r="DS271" s="14" t="str">
        <f t="shared" si="556"/>
        <v>石灵明7突</v>
      </c>
      <c r="DT271" s="14">
        <f t="shared" si="567"/>
        <v>5</v>
      </c>
      <c r="DU271" s="14">
        <f t="shared" si="568"/>
        <v>5</v>
      </c>
      <c r="DV271" s="14">
        <f t="shared" si="569"/>
        <v>5</v>
      </c>
      <c r="DW271" s="14">
        <f t="shared" si="557"/>
        <v>3</v>
      </c>
      <c r="DX271" s="14">
        <f t="shared" si="558"/>
        <v>7</v>
      </c>
      <c r="DY271" s="14">
        <f t="shared" si="559"/>
        <v>27</v>
      </c>
      <c r="DZ271" s="14">
        <f>INDEX(属性投放!$AX$6:$AX$85,(卡牌属性!DW271-2)*20+卡牌属性!DX271)</f>
        <v>5</v>
      </c>
      <c r="EA271" s="14">
        <f>INDEX(属性投放!BQ$6:BQ$85,卡牌属性!$DY271)</f>
        <v>135</v>
      </c>
      <c r="EB271" s="14">
        <f>INDEX(属性投放!BR$6:BR$85,卡牌属性!$DY271)</f>
        <v>68</v>
      </c>
      <c r="EC271" s="14">
        <f>INDEX(属性投放!BS$6:BS$85,卡牌属性!$DY271)</f>
        <v>1080</v>
      </c>
      <c r="ED271" s="14">
        <f t="shared" si="576"/>
        <v>1101</v>
      </c>
      <c r="EE271" s="14">
        <f t="shared" si="577"/>
        <v>1196</v>
      </c>
      <c r="EF271" s="14">
        <f t="shared" si="578"/>
        <v>1443</v>
      </c>
      <c r="EG271" s="14">
        <f t="shared" si="579"/>
        <v>1443</v>
      </c>
      <c r="EH271" s="14">
        <f t="shared" si="580"/>
        <v>1581</v>
      </c>
      <c r="EI271" s="14">
        <f t="shared" si="581"/>
        <v>506</v>
      </c>
      <c r="EJ271" s="14">
        <f t="shared" si="582"/>
        <v>562</v>
      </c>
      <c r="EK271" s="14">
        <f t="shared" si="583"/>
        <v>562</v>
      </c>
      <c r="EL271" s="14">
        <f t="shared" si="584"/>
        <v>682</v>
      </c>
      <c r="EM271" s="14">
        <f t="shared" si="585"/>
        <v>753</v>
      </c>
      <c r="EN271" s="14">
        <f t="shared" si="586"/>
        <v>6785</v>
      </c>
      <c r="EO271" s="14">
        <f t="shared" si="587"/>
        <v>7377</v>
      </c>
      <c r="EP271" s="14">
        <f t="shared" si="588"/>
        <v>7377</v>
      </c>
      <c r="EQ271" s="14">
        <f t="shared" si="589"/>
        <v>9013</v>
      </c>
      <c r="ER271" s="14">
        <f t="shared" si="590"/>
        <v>9785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120</v>
      </c>
      <c r="FD271" s="14">
        <f>INDEX(属性偏向!$U$4:$U$243,(卡牌属性!$DV271-1+FD$3)*20+卡牌属性!$DX271)</f>
        <v>128</v>
      </c>
      <c r="FE271" s="14">
        <f>INDEX(属性偏向!$U$4:$U$243,(卡牌属性!$DV271-1+FE$3)*20+卡牌属性!$DX271)</f>
        <v>128</v>
      </c>
      <c r="FF271" s="14">
        <f>INDEX(属性偏向!$U$4:$U$243,(卡牌属性!$DV271-1+FF$3)*20+卡牌属性!$DX271)</f>
        <v>200</v>
      </c>
      <c r="FG271" s="14">
        <f>INDEX(属性偏向!$U$4:$U$243,(卡牌属性!$DV271-1+FG$3)*20+卡牌属性!$DX271)</f>
        <v>224</v>
      </c>
      <c r="FH271" s="14">
        <f>INDEX(属性投放!$BQ$6:$BQ$85,(卡牌属性!$DW271-2)*20+卡牌属性!$DX271)</f>
        <v>135</v>
      </c>
      <c r="FI271" s="14">
        <f>INDEX(属性投放!$BQ$6:$BQ$85,(卡牌属性!$DW271-2)*20+卡牌属性!$DX271)</f>
        <v>135</v>
      </c>
      <c r="FJ271" s="14">
        <f>INDEX(属性投放!$BQ$6:$BQ$85,(卡牌属性!$DW271-2)*20+卡牌属性!$DX271)</f>
        <v>135</v>
      </c>
      <c r="FK271" s="14">
        <f>INDEX(属性投放!$BQ$6:$BQ$85,(卡牌属性!$DW271-2)*20+卡牌属性!$DX271)</f>
        <v>135</v>
      </c>
      <c r="FL271" s="14">
        <f>INDEX(属性投放!$BQ$6:$BQ$85,(卡牌属性!$DW271-2)*20+卡牌属性!$DX271)</f>
        <v>135</v>
      </c>
      <c r="FM271" s="14">
        <f>INDEX(属性投放!$BR$6:$BR$85,(卡牌属性!$DW271-2)*20+卡牌属性!$DX271)</f>
        <v>68</v>
      </c>
      <c r="FN271" s="14">
        <f>INDEX(属性投放!$BR$6:$BR$85,(卡牌属性!$DW271-2)*20+卡牌属性!$DX271)</f>
        <v>68</v>
      </c>
      <c r="FO271" s="14">
        <f>INDEX(属性投放!$BR$6:$BR$85,(卡牌属性!$DW271-2)*20+卡牌属性!$DX271)</f>
        <v>68</v>
      </c>
      <c r="FP271" s="14">
        <f>INDEX(属性投放!$BR$6:$BR$85,(卡牌属性!$DW271-2)*20+卡牌属性!$DX271)</f>
        <v>68</v>
      </c>
      <c r="FQ271" s="14">
        <f>INDEX(属性投放!$BR$6:$BR$85,(卡牌属性!$DW271-2)*20+卡牌属性!$DX271)</f>
        <v>68</v>
      </c>
      <c r="FR271" s="14">
        <f>INDEX(属性投放!$BS$6:$BS$85,(卡牌属性!$DW271-2)*20+卡牌属性!$DX271)</f>
        <v>1080</v>
      </c>
      <c r="FS271" s="14">
        <f>INDEX(属性投放!$BS$6:$BS$85,(卡牌属性!$DW271-2)*20+卡牌属性!$DX271)</f>
        <v>1080</v>
      </c>
      <c r="FT271" s="14">
        <f>INDEX(属性投放!$BS$6:$BS$85,(卡牌属性!$DW271-2)*20+卡牌属性!$DX271)</f>
        <v>1080</v>
      </c>
      <c r="FU271" s="14">
        <f>INDEX(属性投放!$BS$6:$BS$85,(卡牌属性!$DW271-2)*20+卡牌属性!$DX271)</f>
        <v>1080</v>
      </c>
      <c r="FV271" s="14">
        <f>INDEX(属性投放!$BS$6:$BS$85,(卡牌属性!$DW271-2)*20+卡牌属性!$DX271)</f>
        <v>1080</v>
      </c>
    </row>
    <row r="272" spans="31:178" ht="16.5" x14ac:dyDescent="0.2">
      <c r="AE272" s="13">
        <v>268</v>
      </c>
      <c r="AF272" s="13">
        <f t="shared" si="560"/>
        <v>14</v>
      </c>
      <c r="AG272" s="13">
        <f t="shared" si="547"/>
        <v>3</v>
      </c>
      <c r="AH272" s="13"/>
      <c r="AI272" s="13"/>
      <c r="AJ272" s="14">
        <f t="shared" si="548"/>
        <v>1101014</v>
      </c>
      <c r="AK272" s="14" t="str">
        <f t="shared" si="549"/>
        <v>吕仙宫8突</v>
      </c>
      <c r="AL272" s="25" t="s">
        <v>142</v>
      </c>
      <c r="AM272" s="14">
        <v>1</v>
      </c>
      <c r="AN272" s="14">
        <f t="shared" si="550"/>
        <v>8</v>
      </c>
      <c r="AO272" s="14">
        <f>INDEX(属性投放!$DF$6:$DF$85,(卡牌属性!AG272-2)*20+卡牌属性!AN272)</f>
        <v>1622</v>
      </c>
      <c r="AP272" s="14">
        <f t="shared" si="570"/>
        <v>1622</v>
      </c>
      <c r="AQ272" s="14">
        <f t="shared" si="570"/>
        <v>1622</v>
      </c>
      <c r="AR272" s="14">
        <f t="shared" si="570"/>
        <v>1622</v>
      </c>
      <c r="AS272" s="14">
        <f t="shared" si="570"/>
        <v>1622</v>
      </c>
      <c r="AT272" s="14">
        <f>INDEX(属性投放!$DG$6:$DG$85,(卡牌属性!AG272-2)*20+卡牌属性!AN272)</f>
        <v>733</v>
      </c>
      <c r="AU272" s="14">
        <f t="shared" si="571"/>
        <v>733</v>
      </c>
      <c r="AV272" s="14">
        <f t="shared" si="571"/>
        <v>733</v>
      </c>
      <c r="AW272" s="14">
        <f t="shared" si="571"/>
        <v>733</v>
      </c>
      <c r="AX272" s="14">
        <f t="shared" si="571"/>
        <v>733</v>
      </c>
      <c r="AY272" s="14">
        <f>INDEX(属性投放!$DH$6:$DH$85,(卡牌属性!AG272-2)*20+卡牌属性!AN272)</f>
        <v>10421</v>
      </c>
      <c r="AZ272" s="14">
        <f t="shared" si="572"/>
        <v>10421</v>
      </c>
      <c r="BA272" s="14">
        <f t="shared" si="572"/>
        <v>10421</v>
      </c>
      <c r="BB272" s="14">
        <f t="shared" si="572"/>
        <v>10421</v>
      </c>
      <c r="BC272" s="14">
        <f t="shared" si="572"/>
        <v>10421</v>
      </c>
      <c r="BD272" s="14">
        <f>INDEX(属性投放!$DL$6:$DL$85,(卡牌属性!AG272-2)*20+卡牌属性!AN272)</f>
        <v>46</v>
      </c>
      <c r="BE272" s="14">
        <f t="shared" si="573"/>
        <v>46</v>
      </c>
      <c r="BF272" s="14">
        <f t="shared" si="573"/>
        <v>46</v>
      </c>
      <c r="BG272" s="14">
        <f t="shared" si="573"/>
        <v>46</v>
      </c>
      <c r="BH272" s="14">
        <f t="shared" si="573"/>
        <v>46</v>
      </c>
      <c r="BI272" s="14">
        <f>INDEX(属性投放!$DM$6:$DM$85,(卡牌属性!AG272-2)*20+卡牌属性!AN272)</f>
        <v>24</v>
      </c>
      <c r="BJ272" s="14">
        <f t="shared" si="574"/>
        <v>24</v>
      </c>
      <c r="BK272" s="14">
        <f t="shared" si="574"/>
        <v>24</v>
      </c>
      <c r="BL272" s="14">
        <f t="shared" si="574"/>
        <v>24</v>
      </c>
      <c r="BM272" s="14">
        <f t="shared" si="574"/>
        <v>24</v>
      </c>
      <c r="BN272" s="14">
        <f>INDEX(属性投放!$DN$6:$DN$85,(卡牌属性!AG272-2)*20+卡牌属性!AN272)</f>
        <v>371</v>
      </c>
      <c r="BO272" s="14">
        <f t="shared" si="575"/>
        <v>371</v>
      </c>
      <c r="BP272" s="14">
        <f t="shared" si="575"/>
        <v>371</v>
      </c>
      <c r="BQ272" s="14">
        <f t="shared" si="575"/>
        <v>371</v>
      </c>
      <c r="BR272" s="14">
        <f t="shared" si="575"/>
        <v>371</v>
      </c>
      <c r="BW272" s="13">
        <v>268</v>
      </c>
      <c r="BX272" s="13">
        <f t="shared" si="551"/>
        <v>14</v>
      </c>
      <c r="BY272" s="14">
        <f t="shared" si="552"/>
        <v>3</v>
      </c>
      <c r="BZ272" s="14">
        <f t="shared" si="561"/>
        <v>1102014</v>
      </c>
      <c r="CA272" s="14" t="str">
        <f t="shared" si="562"/>
        <v>石灵明8突</v>
      </c>
      <c r="CB272" s="25" t="s">
        <v>142</v>
      </c>
      <c r="CC272" s="14">
        <v>2</v>
      </c>
      <c r="CD272" s="14">
        <f t="shared" si="553"/>
        <v>8</v>
      </c>
      <c r="CE272" s="14" t="s">
        <v>21</v>
      </c>
      <c r="CF272" s="14">
        <f>INDEX(属性投放!$AZ$6:$AZ$85,(BY272-2)*20+CD272)</f>
        <v>1851</v>
      </c>
      <c r="CG272" s="14" t="s">
        <v>22</v>
      </c>
      <c r="CH272" s="14">
        <f>INDEX(属性投放!$BA$6:$BA$85,(BY272-2)*20+CD272)</f>
        <v>866</v>
      </c>
      <c r="CI272" s="14" t="s">
        <v>510</v>
      </c>
      <c r="CJ272" s="14">
        <f>INDEX(属性投放!$BB$6:$BB$85,(BY272-2)*20+CD272)</f>
        <v>12255</v>
      </c>
      <c r="CK272" s="14" t="s">
        <v>21</v>
      </c>
      <c r="CL272" s="14">
        <f>INDEX(属性投放!$BC$6:$BC$85,(BY272-2)*20+CD272)</f>
        <v>15</v>
      </c>
      <c r="CM272" s="14" t="s">
        <v>22</v>
      </c>
      <c r="CN272" s="14">
        <f>INDEX(属性投放!$BD$6:$BD$85,(BY272-2)*20+CD272)</f>
        <v>8</v>
      </c>
      <c r="CO272" s="14" t="s">
        <v>510</v>
      </c>
      <c r="CP272" s="14">
        <f>INDEX(属性投放!$BE$6:$BE$85,(BY272-2)*20+CD272)</f>
        <v>120</v>
      </c>
      <c r="CS272" s="13">
        <v>268</v>
      </c>
      <c r="CT272" s="13">
        <f t="shared" si="563"/>
        <v>6</v>
      </c>
      <c r="CU272" s="13">
        <f t="shared" si="564"/>
        <v>8</v>
      </c>
      <c r="CV272" s="14">
        <f t="shared" si="565"/>
        <v>5</v>
      </c>
      <c r="CW272" s="14">
        <f t="shared" si="566"/>
        <v>1102006</v>
      </c>
      <c r="CX272" s="14" t="str">
        <f>INDEX($O$6:$O$50,CT272)&amp;"-"&amp;INDEX(属性投放!$AB$7:$AB$50,CZ272)&amp;"-魂火-"&amp;DB272</f>
        <v>项羽-众合+1-魂火-1</v>
      </c>
      <c r="CY272" s="25" t="s">
        <v>142</v>
      </c>
      <c r="CZ272" s="14">
        <f>INDEX(属性投放!$AM$7:$AM$58,CU272)</f>
        <v>5</v>
      </c>
      <c r="DA272" s="14" t="s">
        <v>537</v>
      </c>
      <c r="DB272" s="14">
        <f>INDEX(属性投放!$AN$7:$AN$58,CU272)</f>
        <v>1</v>
      </c>
      <c r="DC272" s="14">
        <f t="shared" si="554"/>
        <v>8</v>
      </c>
      <c r="DD272" s="14">
        <f>INDEX(属性投放!$AO$7:$AO$58,DC272)</f>
        <v>38</v>
      </c>
      <c r="DE272" s="14" t="s">
        <v>538</v>
      </c>
      <c r="DF272" s="14">
        <f>INDEX(属性投放!$BK$6:$BK$85,(CV272-2)*20+CZ272)</f>
        <v>70</v>
      </c>
      <c r="DG272" s="14">
        <f>SUMIFS(DF$5:DF272,$CT$5:$CT272,"="&amp;$CT272)</f>
        <v>395</v>
      </c>
      <c r="DH272" s="14" t="s">
        <v>539</v>
      </c>
      <c r="DI272" s="14">
        <f>INDEX(属性投放!$BL$6:$BL$85,(CV272-2)*20+CZ272)</f>
        <v>35</v>
      </c>
      <c r="DJ272" s="14">
        <f>SUMIFS(DI$5:DI272,$CT$5:$CT272,"="&amp;$CT272)</f>
        <v>199</v>
      </c>
      <c r="DK272" s="14" t="s">
        <v>540</v>
      </c>
      <c r="DL272" s="14">
        <f>INDEX(属性投放!$BM$6:$BM$85,(CV272-2)*20+CZ272)</f>
        <v>490</v>
      </c>
      <c r="DM272" s="14">
        <f>SUMIFS(DL$5:DL272,$CT$5:$CT272,"="&amp;$CT272)</f>
        <v>2560</v>
      </c>
      <c r="DR272" s="14">
        <f t="shared" si="555"/>
        <v>1102014</v>
      </c>
      <c r="DS272" s="14" t="str">
        <f t="shared" si="556"/>
        <v>石灵明8突</v>
      </c>
      <c r="DT272" s="14">
        <f t="shared" si="567"/>
        <v>5</v>
      </c>
      <c r="DU272" s="14">
        <f t="shared" si="568"/>
        <v>5</v>
      </c>
      <c r="DV272" s="14">
        <f t="shared" si="569"/>
        <v>5</v>
      </c>
      <c r="DW272" s="14">
        <f t="shared" si="557"/>
        <v>3</v>
      </c>
      <c r="DX272" s="14">
        <f t="shared" si="558"/>
        <v>8</v>
      </c>
      <c r="DY272" s="14">
        <f t="shared" si="559"/>
        <v>28</v>
      </c>
      <c r="DZ272" s="14">
        <f>INDEX(属性投放!$AX$6:$AX$85,(卡牌属性!DW272-2)*20+卡牌属性!DX272)</f>
        <v>5</v>
      </c>
      <c r="EA272" s="14">
        <f>INDEX(属性投放!BQ$6:BQ$85,卡牌属性!$DY272)</f>
        <v>125</v>
      </c>
      <c r="EB272" s="14">
        <f>INDEX(属性投放!BR$6:BR$85,卡牌属性!$DY272)</f>
        <v>63</v>
      </c>
      <c r="EC272" s="14">
        <f>INDEX(属性投放!BS$6:BS$85,卡牌属性!$DY272)</f>
        <v>1000</v>
      </c>
      <c r="ED272" s="14">
        <f t="shared" si="576"/>
        <v>1311</v>
      </c>
      <c r="EE272" s="14">
        <f t="shared" si="577"/>
        <v>1411</v>
      </c>
      <c r="EF272" s="14">
        <f t="shared" si="578"/>
        <v>1703</v>
      </c>
      <c r="EG272" s="14">
        <f t="shared" si="579"/>
        <v>1703</v>
      </c>
      <c r="EH272" s="14">
        <f t="shared" si="580"/>
        <v>1856</v>
      </c>
      <c r="EI272" s="14">
        <f t="shared" si="581"/>
        <v>614</v>
      </c>
      <c r="EJ272" s="14">
        <f t="shared" si="582"/>
        <v>670</v>
      </c>
      <c r="EK272" s="14">
        <f t="shared" si="583"/>
        <v>670</v>
      </c>
      <c r="EL272" s="14">
        <f t="shared" si="584"/>
        <v>815</v>
      </c>
      <c r="EM272" s="14">
        <f t="shared" si="585"/>
        <v>891</v>
      </c>
      <c r="EN272" s="14">
        <f t="shared" si="586"/>
        <v>8465</v>
      </c>
      <c r="EO272" s="14">
        <f t="shared" si="587"/>
        <v>9097</v>
      </c>
      <c r="EP272" s="14">
        <f t="shared" si="588"/>
        <v>9097</v>
      </c>
      <c r="EQ272" s="14">
        <f t="shared" si="589"/>
        <v>11093</v>
      </c>
      <c r="ER272" s="14">
        <f t="shared" si="590"/>
        <v>11985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120</v>
      </c>
      <c r="FD272" s="14">
        <f>INDEX(属性偏向!$U$4:$U$243,(卡牌属性!$DV272-1+FD$3)*20+卡牌属性!$DX272)</f>
        <v>128</v>
      </c>
      <c r="FE272" s="14">
        <f>INDEX(属性偏向!$U$4:$U$243,(卡牌属性!$DV272-1+FE$3)*20+卡牌属性!$DX272)</f>
        <v>128</v>
      </c>
      <c r="FF272" s="14">
        <f>INDEX(属性偏向!$U$4:$U$243,(卡牌属性!$DV272-1+FF$3)*20+卡牌属性!$DX272)</f>
        <v>200</v>
      </c>
      <c r="FG272" s="14">
        <f>INDEX(属性偏向!$U$4:$U$243,(卡牌属性!$DV272-1+FG$3)*20+卡牌属性!$DX272)</f>
        <v>224</v>
      </c>
      <c r="FH272" s="14">
        <f>INDEX(属性投放!$BQ$6:$BQ$85,(卡牌属性!$DW272-2)*20+卡牌属性!$DX272)</f>
        <v>125</v>
      </c>
      <c r="FI272" s="14">
        <f>INDEX(属性投放!$BQ$6:$BQ$85,(卡牌属性!$DW272-2)*20+卡牌属性!$DX272)</f>
        <v>125</v>
      </c>
      <c r="FJ272" s="14">
        <f>INDEX(属性投放!$BQ$6:$BQ$85,(卡牌属性!$DW272-2)*20+卡牌属性!$DX272)</f>
        <v>125</v>
      </c>
      <c r="FK272" s="14">
        <f>INDEX(属性投放!$BQ$6:$BQ$85,(卡牌属性!$DW272-2)*20+卡牌属性!$DX272)</f>
        <v>125</v>
      </c>
      <c r="FL272" s="14">
        <f>INDEX(属性投放!$BQ$6:$BQ$85,(卡牌属性!$DW272-2)*20+卡牌属性!$DX272)</f>
        <v>125</v>
      </c>
      <c r="FM272" s="14">
        <f>INDEX(属性投放!$BR$6:$BR$85,(卡牌属性!$DW272-2)*20+卡牌属性!$DX272)</f>
        <v>63</v>
      </c>
      <c r="FN272" s="14">
        <f>INDEX(属性投放!$BR$6:$BR$85,(卡牌属性!$DW272-2)*20+卡牌属性!$DX272)</f>
        <v>63</v>
      </c>
      <c r="FO272" s="14">
        <f>INDEX(属性投放!$BR$6:$BR$85,(卡牌属性!$DW272-2)*20+卡牌属性!$DX272)</f>
        <v>63</v>
      </c>
      <c r="FP272" s="14">
        <f>INDEX(属性投放!$BR$6:$BR$85,(卡牌属性!$DW272-2)*20+卡牌属性!$DX272)</f>
        <v>63</v>
      </c>
      <c r="FQ272" s="14">
        <f>INDEX(属性投放!$BR$6:$BR$85,(卡牌属性!$DW272-2)*20+卡牌属性!$DX272)</f>
        <v>63</v>
      </c>
      <c r="FR272" s="14">
        <f>INDEX(属性投放!$BS$6:$BS$85,(卡牌属性!$DW272-2)*20+卡牌属性!$DX272)</f>
        <v>1000</v>
      </c>
      <c r="FS272" s="14">
        <f>INDEX(属性投放!$BS$6:$BS$85,(卡牌属性!$DW272-2)*20+卡牌属性!$DX272)</f>
        <v>1000</v>
      </c>
      <c r="FT272" s="14">
        <f>INDEX(属性投放!$BS$6:$BS$85,(卡牌属性!$DW272-2)*20+卡牌属性!$DX272)</f>
        <v>1000</v>
      </c>
      <c r="FU272" s="14">
        <f>INDEX(属性投放!$BS$6:$BS$85,(卡牌属性!$DW272-2)*20+卡牌属性!$DX272)</f>
        <v>1000</v>
      </c>
      <c r="FV272" s="14">
        <f>INDEX(属性投放!$BS$6:$BS$85,(卡牌属性!$DW272-2)*20+卡牌属性!$DX272)</f>
        <v>1000</v>
      </c>
    </row>
    <row r="273" spans="31:178" ht="16.5" x14ac:dyDescent="0.2">
      <c r="AE273" s="13">
        <v>269</v>
      </c>
      <c r="AF273" s="13">
        <f t="shared" si="560"/>
        <v>14</v>
      </c>
      <c r="AG273" s="13">
        <f t="shared" si="547"/>
        <v>3</v>
      </c>
      <c r="AH273" s="13"/>
      <c r="AI273" s="13"/>
      <c r="AJ273" s="14">
        <f t="shared" si="548"/>
        <v>1101014</v>
      </c>
      <c r="AK273" s="14" t="str">
        <f t="shared" si="549"/>
        <v>吕仙宫9突</v>
      </c>
      <c r="AL273" s="25" t="s">
        <v>142</v>
      </c>
      <c r="AM273" s="14">
        <v>1</v>
      </c>
      <c r="AN273" s="14">
        <f t="shared" si="550"/>
        <v>9</v>
      </c>
      <c r="AO273" s="14">
        <f>INDEX(属性投放!$DF$6:$DF$85,(卡牌属性!AG273-2)*20+卡牌属性!AN273)</f>
        <v>1755</v>
      </c>
      <c r="AP273" s="14">
        <f t="shared" si="570"/>
        <v>1755</v>
      </c>
      <c r="AQ273" s="14">
        <f t="shared" si="570"/>
        <v>1755</v>
      </c>
      <c r="AR273" s="14">
        <f t="shared" si="570"/>
        <v>1755</v>
      </c>
      <c r="AS273" s="14">
        <f t="shared" si="570"/>
        <v>1755</v>
      </c>
      <c r="AT273" s="14">
        <f>INDEX(属性投放!$DG$6:$DG$85,(卡牌属性!AG273-2)*20+卡牌属性!AN273)</f>
        <v>800</v>
      </c>
      <c r="AU273" s="14">
        <f t="shared" si="571"/>
        <v>800</v>
      </c>
      <c r="AV273" s="14">
        <f t="shared" si="571"/>
        <v>800</v>
      </c>
      <c r="AW273" s="14">
        <f t="shared" si="571"/>
        <v>800</v>
      </c>
      <c r="AX273" s="14">
        <f t="shared" si="571"/>
        <v>800</v>
      </c>
      <c r="AY273" s="14">
        <f>INDEX(属性投放!$DH$6:$DH$85,(卡牌属性!AG273-2)*20+卡牌属性!AN273)</f>
        <v>11481</v>
      </c>
      <c r="AZ273" s="14">
        <f t="shared" si="572"/>
        <v>11481</v>
      </c>
      <c r="BA273" s="14">
        <f t="shared" si="572"/>
        <v>11481</v>
      </c>
      <c r="BB273" s="14">
        <f t="shared" si="572"/>
        <v>11481</v>
      </c>
      <c r="BC273" s="14">
        <f t="shared" si="572"/>
        <v>11481</v>
      </c>
      <c r="BD273" s="14">
        <f>INDEX(属性投放!$DL$6:$DL$85,(卡牌属性!AG273-2)*20+卡牌属性!AN273)</f>
        <v>46</v>
      </c>
      <c r="BE273" s="14">
        <f t="shared" si="573"/>
        <v>46</v>
      </c>
      <c r="BF273" s="14">
        <f t="shared" si="573"/>
        <v>46</v>
      </c>
      <c r="BG273" s="14">
        <f t="shared" si="573"/>
        <v>46</v>
      </c>
      <c r="BH273" s="14">
        <f t="shared" si="573"/>
        <v>46</v>
      </c>
      <c r="BI273" s="14">
        <f>INDEX(属性投放!$DM$6:$DM$85,(卡牌属性!AG273-2)*20+卡牌属性!AN273)</f>
        <v>24</v>
      </c>
      <c r="BJ273" s="14">
        <f t="shared" si="574"/>
        <v>24</v>
      </c>
      <c r="BK273" s="14">
        <f t="shared" si="574"/>
        <v>24</v>
      </c>
      <c r="BL273" s="14">
        <f t="shared" si="574"/>
        <v>24</v>
      </c>
      <c r="BM273" s="14">
        <f t="shared" si="574"/>
        <v>24</v>
      </c>
      <c r="BN273" s="14">
        <f>INDEX(属性投放!$DN$6:$DN$85,(卡牌属性!AG273-2)*20+卡牌属性!AN273)</f>
        <v>371</v>
      </c>
      <c r="BO273" s="14">
        <f t="shared" si="575"/>
        <v>371</v>
      </c>
      <c r="BP273" s="14">
        <f t="shared" si="575"/>
        <v>371</v>
      </c>
      <c r="BQ273" s="14">
        <f t="shared" si="575"/>
        <v>371</v>
      </c>
      <c r="BR273" s="14">
        <f t="shared" si="575"/>
        <v>371</v>
      </c>
      <c r="BW273" s="13">
        <v>269</v>
      </c>
      <c r="BX273" s="13">
        <f t="shared" si="551"/>
        <v>14</v>
      </c>
      <c r="BY273" s="14">
        <f t="shared" si="552"/>
        <v>3</v>
      </c>
      <c r="BZ273" s="14">
        <f t="shared" si="561"/>
        <v>1102014</v>
      </c>
      <c r="CA273" s="14" t="str">
        <f t="shared" si="562"/>
        <v>石灵明9突</v>
      </c>
      <c r="CB273" s="25" t="s">
        <v>142</v>
      </c>
      <c r="CC273" s="14">
        <v>2</v>
      </c>
      <c r="CD273" s="14">
        <f t="shared" si="553"/>
        <v>9</v>
      </c>
      <c r="CE273" s="14" t="s">
        <v>21</v>
      </c>
      <c r="CF273" s="14">
        <f>INDEX(属性投放!$AZ$6:$AZ$85,(BY273-2)*20+CD273)</f>
        <v>2221</v>
      </c>
      <c r="CG273" s="14" t="s">
        <v>22</v>
      </c>
      <c r="CH273" s="14">
        <f>INDEX(属性投放!$BA$6:$BA$85,(BY273-2)*20+CD273)</f>
        <v>1055</v>
      </c>
      <c r="CI273" s="14" t="s">
        <v>510</v>
      </c>
      <c r="CJ273" s="14">
        <f>INDEX(属性投放!$BB$6:$BB$85,(BY273-2)*20+CD273)</f>
        <v>15215</v>
      </c>
      <c r="CK273" s="14" t="s">
        <v>21</v>
      </c>
      <c r="CL273" s="14">
        <f>INDEX(属性投放!$BC$6:$BC$85,(BY273-2)*20+CD273)</f>
        <v>15</v>
      </c>
      <c r="CM273" s="14" t="s">
        <v>22</v>
      </c>
      <c r="CN273" s="14">
        <f>INDEX(属性投放!$BD$6:$BD$85,(BY273-2)*20+CD273)</f>
        <v>8</v>
      </c>
      <c r="CO273" s="14" t="s">
        <v>510</v>
      </c>
      <c r="CP273" s="14">
        <f>INDEX(属性投放!$BE$6:$BE$85,(BY273-2)*20+CD273)</f>
        <v>120</v>
      </c>
      <c r="CS273" s="13">
        <v>269</v>
      </c>
      <c r="CT273" s="13">
        <f t="shared" si="563"/>
        <v>6</v>
      </c>
      <c r="CU273" s="13">
        <f t="shared" si="564"/>
        <v>9</v>
      </c>
      <c r="CV273" s="14">
        <f t="shared" si="565"/>
        <v>5</v>
      </c>
      <c r="CW273" s="14">
        <f t="shared" si="566"/>
        <v>1102006</v>
      </c>
      <c r="CX273" s="14" t="str">
        <f>INDEX($O$6:$O$50,CT273)&amp;"-"&amp;INDEX(属性投放!$AB$7:$AB$50,CZ273)&amp;"-魂火-"&amp;DB273</f>
        <v>项羽-众合+1-魂火-2</v>
      </c>
      <c r="CY273" s="25" t="s">
        <v>142</v>
      </c>
      <c r="CZ273" s="14">
        <f>INDEX(属性投放!$AM$7:$AM$58,CU273)</f>
        <v>5</v>
      </c>
      <c r="DA273" s="14" t="s">
        <v>537</v>
      </c>
      <c r="DB273" s="14">
        <f>INDEX(属性投放!$AN$7:$AN$58,CU273)</f>
        <v>2</v>
      </c>
      <c r="DC273" s="14">
        <f t="shared" si="554"/>
        <v>9</v>
      </c>
      <c r="DD273" s="14">
        <f>INDEX(属性投放!$AO$7:$AO$58,DC273)</f>
        <v>40</v>
      </c>
      <c r="DE273" s="14" t="s">
        <v>538</v>
      </c>
      <c r="DF273" s="14">
        <f>INDEX(属性投放!$BK$6:$BK$85,(CV273-2)*20+CZ273)</f>
        <v>70</v>
      </c>
      <c r="DG273" s="14">
        <f>SUMIFS(DF$5:DF273,$CT$5:$CT273,"="&amp;$CT273)</f>
        <v>465</v>
      </c>
      <c r="DH273" s="14" t="s">
        <v>539</v>
      </c>
      <c r="DI273" s="14">
        <f>INDEX(属性投放!$BL$6:$BL$85,(CV273-2)*20+CZ273)</f>
        <v>35</v>
      </c>
      <c r="DJ273" s="14">
        <f>SUMIFS(DI$5:DI273,$CT$5:$CT273,"="&amp;$CT273)</f>
        <v>234</v>
      </c>
      <c r="DK273" s="14" t="s">
        <v>540</v>
      </c>
      <c r="DL273" s="14">
        <f>INDEX(属性投放!$BM$6:$BM$85,(CV273-2)*20+CZ273)</f>
        <v>490</v>
      </c>
      <c r="DM273" s="14">
        <f>SUMIFS(DL$5:DL273,$CT$5:$CT273,"="&amp;$CT273)</f>
        <v>3050</v>
      </c>
      <c r="DR273" s="14">
        <f t="shared" si="555"/>
        <v>1102014</v>
      </c>
      <c r="DS273" s="14" t="str">
        <f t="shared" si="556"/>
        <v>石灵明9突</v>
      </c>
      <c r="DT273" s="14">
        <f t="shared" si="567"/>
        <v>5</v>
      </c>
      <c r="DU273" s="14">
        <f t="shared" si="568"/>
        <v>5</v>
      </c>
      <c r="DV273" s="14">
        <f t="shared" si="569"/>
        <v>5</v>
      </c>
      <c r="DW273" s="14">
        <f t="shared" si="557"/>
        <v>3</v>
      </c>
      <c r="DX273" s="14">
        <f t="shared" si="558"/>
        <v>9</v>
      </c>
      <c r="DY273" s="14">
        <f t="shared" si="559"/>
        <v>29</v>
      </c>
      <c r="DZ273" s="14">
        <f>INDEX(属性投放!$AX$6:$AX$85,(卡牌属性!DW273-2)*20+卡牌属性!DX273)</f>
        <v>8</v>
      </c>
      <c r="EA273" s="14">
        <f>INDEX(属性投放!BQ$6:BQ$85,卡牌属性!$DY273)</f>
        <v>185</v>
      </c>
      <c r="EB273" s="14">
        <f>INDEX(属性投放!BR$6:BR$85,卡牌属性!$DY273)</f>
        <v>93</v>
      </c>
      <c r="EC273" s="14">
        <f>INDEX(属性投放!BS$6:BS$85,卡牌属性!$DY273)</f>
        <v>1480</v>
      </c>
      <c r="ED273" s="14">
        <f t="shared" si="576"/>
        <v>1511</v>
      </c>
      <c r="EE273" s="14">
        <f t="shared" si="577"/>
        <v>1616</v>
      </c>
      <c r="EF273" s="14">
        <f t="shared" si="578"/>
        <v>1953</v>
      </c>
      <c r="EG273" s="14">
        <f t="shared" si="579"/>
        <v>1953</v>
      </c>
      <c r="EH273" s="14">
        <f t="shared" si="580"/>
        <v>2121</v>
      </c>
      <c r="EI273" s="14">
        <f t="shared" si="581"/>
        <v>717</v>
      </c>
      <c r="EJ273" s="14">
        <f t="shared" si="582"/>
        <v>773</v>
      </c>
      <c r="EK273" s="14">
        <f t="shared" si="583"/>
        <v>773</v>
      </c>
      <c r="EL273" s="14">
        <f t="shared" si="584"/>
        <v>943</v>
      </c>
      <c r="EM273" s="14">
        <f t="shared" si="585"/>
        <v>1024</v>
      </c>
      <c r="EN273" s="14">
        <f t="shared" si="586"/>
        <v>10065</v>
      </c>
      <c r="EO273" s="14">
        <f t="shared" si="587"/>
        <v>10737</v>
      </c>
      <c r="EP273" s="14">
        <f t="shared" si="588"/>
        <v>10737</v>
      </c>
      <c r="EQ273" s="14">
        <f t="shared" si="589"/>
        <v>13093</v>
      </c>
      <c r="ER273" s="14">
        <f t="shared" si="590"/>
        <v>14105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120</v>
      </c>
      <c r="FD273" s="14">
        <f>INDEX(属性偏向!$U$4:$U$243,(卡牌属性!$DV273-1+FD$3)*20+卡牌属性!$DX273)</f>
        <v>128</v>
      </c>
      <c r="FE273" s="14">
        <f>INDEX(属性偏向!$U$4:$U$243,(卡牌属性!$DV273-1+FE$3)*20+卡牌属性!$DX273)</f>
        <v>128</v>
      </c>
      <c r="FF273" s="14">
        <f>INDEX(属性偏向!$U$4:$U$243,(卡牌属性!$DV273-1+FF$3)*20+卡牌属性!$DX273)</f>
        <v>200</v>
      </c>
      <c r="FG273" s="14">
        <f>INDEX(属性偏向!$U$4:$U$243,(卡牌属性!$DV273-1+FG$3)*20+卡牌属性!$DX273)</f>
        <v>224</v>
      </c>
      <c r="FH273" s="14">
        <f>INDEX(属性投放!$BQ$6:$BQ$85,(卡牌属性!$DW273-2)*20+卡牌属性!$DX273)</f>
        <v>185</v>
      </c>
      <c r="FI273" s="14">
        <f>INDEX(属性投放!$BQ$6:$BQ$85,(卡牌属性!$DW273-2)*20+卡牌属性!$DX273)</f>
        <v>185</v>
      </c>
      <c r="FJ273" s="14">
        <f>INDEX(属性投放!$BQ$6:$BQ$85,(卡牌属性!$DW273-2)*20+卡牌属性!$DX273)</f>
        <v>185</v>
      </c>
      <c r="FK273" s="14">
        <f>INDEX(属性投放!$BQ$6:$BQ$85,(卡牌属性!$DW273-2)*20+卡牌属性!$DX273)</f>
        <v>185</v>
      </c>
      <c r="FL273" s="14">
        <f>INDEX(属性投放!$BQ$6:$BQ$85,(卡牌属性!$DW273-2)*20+卡牌属性!$DX273)</f>
        <v>185</v>
      </c>
      <c r="FM273" s="14">
        <f>INDEX(属性投放!$BR$6:$BR$85,(卡牌属性!$DW273-2)*20+卡牌属性!$DX273)</f>
        <v>93</v>
      </c>
      <c r="FN273" s="14">
        <f>INDEX(属性投放!$BR$6:$BR$85,(卡牌属性!$DW273-2)*20+卡牌属性!$DX273)</f>
        <v>93</v>
      </c>
      <c r="FO273" s="14">
        <f>INDEX(属性投放!$BR$6:$BR$85,(卡牌属性!$DW273-2)*20+卡牌属性!$DX273)</f>
        <v>93</v>
      </c>
      <c r="FP273" s="14">
        <f>INDEX(属性投放!$BR$6:$BR$85,(卡牌属性!$DW273-2)*20+卡牌属性!$DX273)</f>
        <v>93</v>
      </c>
      <c r="FQ273" s="14">
        <f>INDEX(属性投放!$BR$6:$BR$85,(卡牌属性!$DW273-2)*20+卡牌属性!$DX273)</f>
        <v>93</v>
      </c>
      <c r="FR273" s="14">
        <f>INDEX(属性投放!$BS$6:$BS$85,(卡牌属性!$DW273-2)*20+卡牌属性!$DX273)</f>
        <v>1480</v>
      </c>
      <c r="FS273" s="14">
        <f>INDEX(属性投放!$BS$6:$BS$85,(卡牌属性!$DW273-2)*20+卡牌属性!$DX273)</f>
        <v>1480</v>
      </c>
      <c r="FT273" s="14">
        <f>INDEX(属性投放!$BS$6:$BS$85,(卡牌属性!$DW273-2)*20+卡牌属性!$DX273)</f>
        <v>1480</v>
      </c>
      <c r="FU273" s="14">
        <f>INDEX(属性投放!$BS$6:$BS$85,(卡牌属性!$DW273-2)*20+卡牌属性!$DX273)</f>
        <v>1480</v>
      </c>
      <c r="FV273" s="14">
        <f>INDEX(属性投放!$BS$6:$BS$85,(卡牌属性!$DW273-2)*20+卡牌属性!$DX273)</f>
        <v>1480</v>
      </c>
    </row>
    <row r="274" spans="31:178" ht="16.5" x14ac:dyDescent="0.2">
      <c r="AE274" s="13">
        <v>270</v>
      </c>
      <c r="AF274" s="13">
        <f t="shared" si="560"/>
        <v>14</v>
      </c>
      <c r="AG274" s="13">
        <f t="shared" si="547"/>
        <v>3</v>
      </c>
      <c r="AH274" s="13"/>
      <c r="AI274" s="13"/>
      <c r="AJ274" s="14">
        <f t="shared" si="548"/>
        <v>1101014</v>
      </c>
      <c r="AK274" s="14" t="str">
        <f t="shared" si="549"/>
        <v>吕仙宫10突</v>
      </c>
      <c r="AL274" s="25" t="s">
        <v>142</v>
      </c>
      <c r="AM274" s="14">
        <v>1</v>
      </c>
      <c r="AN274" s="14">
        <f t="shared" si="550"/>
        <v>10</v>
      </c>
      <c r="AO274" s="14">
        <f>INDEX(属性投放!$DF$6:$DF$85,(卡牌属性!AG274-2)*20+卡牌属性!AN274)</f>
        <v>2578</v>
      </c>
      <c r="AP274" s="14">
        <f t="shared" si="570"/>
        <v>2578</v>
      </c>
      <c r="AQ274" s="14">
        <f t="shared" si="570"/>
        <v>2578</v>
      </c>
      <c r="AR274" s="14">
        <f t="shared" si="570"/>
        <v>2578</v>
      </c>
      <c r="AS274" s="14">
        <f t="shared" si="570"/>
        <v>2578</v>
      </c>
      <c r="AT274" s="14">
        <f>INDEX(属性投放!$DG$6:$DG$85,(卡牌属性!AG274-2)*20+卡牌属性!AN274)</f>
        <v>1227</v>
      </c>
      <c r="AU274" s="14">
        <f t="shared" si="571"/>
        <v>1227</v>
      </c>
      <c r="AV274" s="14">
        <f t="shared" si="571"/>
        <v>1227</v>
      </c>
      <c r="AW274" s="14">
        <f t="shared" si="571"/>
        <v>1227</v>
      </c>
      <c r="AX274" s="14">
        <f t="shared" si="571"/>
        <v>1227</v>
      </c>
      <c r="AY274" s="14">
        <f>INDEX(属性投放!$DH$6:$DH$85,(卡牌属性!AG274-2)*20+卡牌属性!AN274)</f>
        <v>18106</v>
      </c>
      <c r="AZ274" s="14">
        <f t="shared" si="572"/>
        <v>18106</v>
      </c>
      <c r="BA274" s="14">
        <f t="shared" si="572"/>
        <v>18106</v>
      </c>
      <c r="BB274" s="14">
        <f t="shared" si="572"/>
        <v>18106</v>
      </c>
      <c r="BC274" s="14">
        <f t="shared" si="572"/>
        <v>18106</v>
      </c>
      <c r="BD274" s="14">
        <f>INDEX(属性投放!$DL$6:$DL$85,(卡牌属性!AG274-2)*20+卡牌属性!AN274)</f>
        <v>92</v>
      </c>
      <c r="BE274" s="14">
        <f t="shared" si="573"/>
        <v>92</v>
      </c>
      <c r="BF274" s="14">
        <f t="shared" si="573"/>
        <v>92</v>
      </c>
      <c r="BG274" s="14">
        <f t="shared" si="573"/>
        <v>92</v>
      </c>
      <c r="BH274" s="14">
        <f t="shared" si="573"/>
        <v>92</v>
      </c>
      <c r="BI274" s="14">
        <f>INDEX(属性投放!$DM$6:$DM$85,(卡牌属性!AG274-2)*20+卡牌属性!AN274)</f>
        <v>46</v>
      </c>
      <c r="BJ274" s="14">
        <f t="shared" si="574"/>
        <v>46</v>
      </c>
      <c r="BK274" s="14">
        <f t="shared" si="574"/>
        <v>46</v>
      </c>
      <c r="BL274" s="14">
        <f t="shared" si="574"/>
        <v>46</v>
      </c>
      <c r="BM274" s="14">
        <f t="shared" si="574"/>
        <v>46</v>
      </c>
      <c r="BN274" s="14">
        <f>INDEX(属性投放!$DN$6:$DN$85,(卡牌属性!AG274-2)*20+卡牌属性!AN274)</f>
        <v>824</v>
      </c>
      <c r="BO274" s="14">
        <f t="shared" si="575"/>
        <v>824</v>
      </c>
      <c r="BP274" s="14">
        <f t="shared" si="575"/>
        <v>824</v>
      </c>
      <c r="BQ274" s="14">
        <f t="shared" si="575"/>
        <v>824</v>
      </c>
      <c r="BR274" s="14">
        <f t="shared" si="575"/>
        <v>824</v>
      </c>
      <c r="BW274" s="13">
        <v>270</v>
      </c>
      <c r="BX274" s="13">
        <f t="shared" si="551"/>
        <v>14</v>
      </c>
      <c r="BY274" s="14">
        <f t="shared" si="552"/>
        <v>3</v>
      </c>
      <c r="BZ274" s="14">
        <f t="shared" si="561"/>
        <v>1102014</v>
      </c>
      <c r="CA274" s="14" t="str">
        <f t="shared" si="562"/>
        <v>石灵明10突</v>
      </c>
      <c r="CB274" s="25" t="s">
        <v>142</v>
      </c>
      <c r="CC274" s="14">
        <v>2</v>
      </c>
      <c r="CD274" s="14">
        <f t="shared" si="553"/>
        <v>10</v>
      </c>
      <c r="CE274" s="14" t="s">
        <v>21</v>
      </c>
      <c r="CF274" s="14">
        <f>INDEX(属性投放!$AZ$6:$AZ$85,(BY274-2)*20+CD274)</f>
        <v>2826</v>
      </c>
      <c r="CG274" s="14" t="s">
        <v>22</v>
      </c>
      <c r="CH274" s="14">
        <f>INDEX(属性投放!$BA$6:$BA$85,(BY274-2)*20+CD274)</f>
        <v>1362</v>
      </c>
      <c r="CI274" s="14" t="s">
        <v>510</v>
      </c>
      <c r="CJ274" s="14">
        <f>INDEX(属性投放!$BB$6:$BB$85,(BY274-2)*20+CD274)</f>
        <v>20055</v>
      </c>
      <c r="CK274" s="14" t="s">
        <v>21</v>
      </c>
      <c r="CL274" s="14">
        <f>INDEX(属性投放!$BC$6:$BC$85,(BY274-2)*20+CD274)</f>
        <v>20</v>
      </c>
      <c r="CM274" s="14" t="s">
        <v>22</v>
      </c>
      <c r="CN274" s="14">
        <f>INDEX(属性投放!$BD$6:$BD$85,(BY274-2)*20+CD274)</f>
        <v>10</v>
      </c>
      <c r="CO274" s="14" t="s">
        <v>510</v>
      </c>
      <c r="CP274" s="14">
        <f>INDEX(属性投放!$BE$6:$BE$85,(BY274-2)*20+CD274)</f>
        <v>180</v>
      </c>
      <c r="CS274" s="13">
        <v>270</v>
      </c>
      <c r="CT274" s="13">
        <f t="shared" si="563"/>
        <v>6</v>
      </c>
      <c r="CU274" s="13">
        <f t="shared" si="564"/>
        <v>10</v>
      </c>
      <c r="CV274" s="14">
        <f t="shared" si="565"/>
        <v>5</v>
      </c>
      <c r="CW274" s="14">
        <f t="shared" si="566"/>
        <v>1102006</v>
      </c>
      <c r="CX274" s="14" t="str">
        <f>INDEX($O$6:$O$50,CT274)&amp;"-"&amp;INDEX(属性投放!$AB$7:$AB$50,CZ274)&amp;"-魂火-"&amp;DB274</f>
        <v>项羽-众合+2-魂火-1</v>
      </c>
      <c r="CY274" s="25" t="s">
        <v>142</v>
      </c>
      <c r="CZ274" s="14">
        <f>INDEX(属性投放!$AM$7:$AM$58,CU274)</f>
        <v>6</v>
      </c>
      <c r="DA274" s="14" t="s">
        <v>537</v>
      </c>
      <c r="DB274" s="14">
        <f>INDEX(属性投放!$AN$7:$AN$58,CU274)</f>
        <v>1</v>
      </c>
      <c r="DC274" s="14">
        <f t="shared" si="554"/>
        <v>10</v>
      </c>
      <c r="DD274" s="14">
        <f>INDEX(属性投放!$AO$7:$AO$58,DC274)</f>
        <v>43</v>
      </c>
      <c r="DE274" s="14" t="s">
        <v>538</v>
      </c>
      <c r="DF274" s="14">
        <f>INDEX(属性投放!$BK$6:$BK$85,(CV274-2)*20+CZ274)</f>
        <v>75</v>
      </c>
      <c r="DG274" s="14">
        <f>SUMIFS(DF$5:DF274,$CT$5:$CT274,"="&amp;$CT274)</f>
        <v>540</v>
      </c>
      <c r="DH274" s="14" t="s">
        <v>539</v>
      </c>
      <c r="DI274" s="14">
        <f>INDEX(属性投放!$BL$6:$BL$85,(CV274-2)*20+CZ274)</f>
        <v>38</v>
      </c>
      <c r="DJ274" s="14">
        <f>SUMIFS(DI$5:DI274,$CT$5:$CT274,"="&amp;$CT274)</f>
        <v>272</v>
      </c>
      <c r="DK274" s="14" t="s">
        <v>540</v>
      </c>
      <c r="DL274" s="14">
        <f>INDEX(属性投放!$BM$6:$BM$85,(CV274-2)*20+CZ274)</f>
        <v>525</v>
      </c>
      <c r="DM274" s="14">
        <f>SUMIFS(DL$5:DL274,$CT$5:$CT274,"="&amp;$CT274)</f>
        <v>3575</v>
      </c>
      <c r="DR274" s="14">
        <f t="shared" si="555"/>
        <v>1102014</v>
      </c>
      <c r="DS274" s="14" t="str">
        <f t="shared" si="556"/>
        <v>石灵明10突</v>
      </c>
      <c r="DT274" s="14">
        <f t="shared" si="567"/>
        <v>5</v>
      </c>
      <c r="DU274" s="14">
        <f t="shared" si="568"/>
        <v>5</v>
      </c>
      <c r="DV274" s="14">
        <f t="shared" si="569"/>
        <v>5</v>
      </c>
      <c r="DW274" s="14">
        <f t="shared" si="557"/>
        <v>3</v>
      </c>
      <c r="DX274" s="14">
        <f t="shared" si="558"/>
        <v>10</v>
      </c>
      <c r="DY274" s="14">
        <f t="shared" si="559"/>
        <v>30</v>
      </c>
      <c r="DZ274" s="14">
        <f>INDEX(属性投放!$AX$6:$AX$85,(卡牌属性!DW274-2)*20+卡牌属性!DX274)</f>
        <v>7</v>
      </c>
      <c r="EA274" s="14">
        <f>INDEX(属性投放!BQ$6:BQ$85,卡牌属性!$DY274)</f>
        <v>175</v>
      </c>
      <c r="EB274" s="14">
        <f>INDEX(属性投放!BR$6:BR$85,卡牌属性!$DY274)</f>
        <v>88</v>
      </c>
      <c r="EC274" s="14">
        <f>INDEX(属性投放!BS$6:BS$85,卡牌属性!$DY274)</f>
        <v>1575</v>
      </c>
      <c r="ED274" s="14">
        <f t="shared" si="576"/>
        <v>1816</v>
      </c>
      <c r="EE274" s="14">
        <f t="shared" si="577"/>
        <v>1929</v>
      </c>
      <c r="EF274" s="14">
        <f t="shared" si="578"/>
        <v>2338</v>
      </c>
      <c r="EG274" s="14">
        <f t="shared" si="579"/>
        <v>2338</v>
      </c>
      <c r="EH274" s="14">
        <f t="shared" si="580"/>
        <v>2530</v>
      </c>
      <c r="EI274" s="14">
        <f t="shared" si="581"/>
        <v>874</v>
      </c>
      <c r="EJ274" s="14">
        <f t="shared" si="582"/>
        <v>930</v>
      </c>
      <c r="EK274" s="14">
        <f t="shared" si="583"/>
        <v>930</v>
      </c>
      <c r="EL274" s="14">
        <f t="shared" si="584"/>
        <v>1140</v>
      </c>
      <c r="EM274" s="14">
        <f t="shared" si="585"/>
        <v>1229</v>
      </c>
      <c r="EN274" s="14">
        <f t="shared" si="586"/>
        <v>12505</v>
      </c>
      <c r="EO274" s="14">
        <f t="shared" si="587"/>
        <v>13241</v>
      </c>
      <c r="EP274" s="14">
        <f t="shared" si="588"/>
        <v>13241</v>
      </c>
      <c r="EQ274" s="14">
        <f t="shared" si="589"/>
        <v>16173</v>
      </c>
      <c r="ER274" s="14">
        <f t="shared" si="590"/>
        <v>17377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180</v>
      </c>
      <c r="FD274" s="14">
        <f>INDEX(属性偏向!$U$4:$U$243,(卡牌属性!$DV274-1+FD$3)*20+卡牌属性!$DX274)</f>
        <v>189</v>
      </c>
      <c r="FE274" s="14">
        <f>INDEX(属性偏向!$U$4:$U$243,(卡牌属性!$DV274-1+FE$3)*20+卡牌属性!$DX274)</f>
        <v>189</v>
      </c>
      <c r="FF274" s="14">
        <f>INDEX(属性偏向!$U$4:$U$243,(卡牌属性!$DV274-1+FF$3)*20+卡牌属性!$DX274)</f>
        <v>270</v>
      </c>
      <c r="FG274" s="14">
        <f>INDEX(属性偏向!$U$4:$U$243,(卡牌属性!$DV274-1+FG$3)*20+卡牌属性!$DX274)</f>
        <v>315</v>
      </c>
      <c r="FH274" s="14">
        <f>INDEX(属性投放!$BQ$6:$BQ$85,(卡牌属性!$DW274-2)*20+卡牌属性!$DX274)</f>
        <v>175</v>
      </c>
      <c r="FI274" s="14">
        <f>INDEX(属性投放!$BQ$6:$BQ$85,(卡牌属性!$DW274-2)*20+卡牌属性!$DX274)</f>
        <v>175</v>
      </c>
      <c r="FJ274" s="14">
        <f>INDEX(属性投放!$BQ$6:$BQ$85,(卡牌属性!$DW274-2)*20+卡牌属性!$DX274)</f>
        <v>175</v>
      </c>
      <c r="FK274" s="14">
        <f>INDEX(属性投放!$BQ$6:$BQ$85,(卡牌属性!$DW274-2)*20+卡牌属性!$DX274)</f>
        <v>175</v>
      </c>
      <c r="FL274" s="14">
        <f>INDEX(属性投放!$BQ$6:$BQ$85,(卡牌属性!$DW274-2)*20+卡牌属性!$DX274)</f>
        <v>175</v>
      </c>
      <c r="FM274" s="14">
        <f>INDEX(属性投放!$BR$6:$BR$85,(卡牌属性!$DW274-2)*20+卡牌属性!$DX274)</f>
        <v>88</v>
      </c>
      <c r="FN274" s="14">
        <f>INDEX(属性投放!$BR$6:$BR$85,(卡牌属性!$DW274-2)*20+卡牌属性!$DX274)</f>
        <v>88</v>
      </c>
      <c r="FO274" s="14">
        <f>INDEX(属性投放!$BR$6:$BR$85,(卡牌属性!$DW274-2)*20+卡牌属性!$DX274)</f>
        <v>88</v>
      </c>
      <c r="FP274" s="14">
        <f>INDEX(属性投放!$BR$6:$BR$85,(卡牌属性!$DW274-2)*20+卡牌属性!$DX274)</f>
        <v>88</v>
      </c>
      <c r="FQ274" s="14">
        <f>INDEX(属性投放!$BR$6:$BR$85,(卡牌属性!$DW274-2)*20+卡牌属性!$DX274)</f>
        <v>88</v>
      </c>
      <c r="FR274" s="14">
        <f>INDEX(属性投放!$BS$6:$BS$85,(卡牌属性!$DW274-2)*20+卡牌属性!$DX274)</f>
        <v>1575</v>
      </c>
      <c r="FS274" s="14">
        <f>INDEX(属性投放!$BS$6:$BS$85,(卡牌属性!$DW274-2)*20+卡牌属性!$DX274)</f>
        <v>1575</v>
      </c>
      <c r="FT274" s="14">
        <f>INDEX(属性投放!$BS$6:$BS$85,(卡牌属性!$DW274-2)*20+卡牌属性!$DX274)</f>
        <v>1575</v>
      </c>
      <c r="FU274" s="14">
        <f>INDEX(属性投放!$BS$6:$BS$85,(卡牌属性!$DW274-2)*20+卡牌属性!$DX274)</f>
        <v>1575</v>
      </c>
      <c r="FV274" s="14">
        <f>INDEX(属性投放!$BS$6:$BS$85,(卡牌属性!$DW274-2)*20+卡牌属性!$DX274)</f>
        <v>1575</v>
      </c>
    </row>
    <row r="275" spans="31:178" ht="16.5" x14ac:dyDescent="0.2">
      <c r="AE275" s="13">
        <v>271</v>
      </c>
      <c r="AF275" s="13">
        <f t="shared" si="560"/>
        <v>14</v>
      </c>
      <c r="AG275" s="13">
        <f t="shared" si="547"/>
        <v>3</v>
      </c>
      <c r="AH275" s="13"/>
      <c r="AI275" s="13"/>
      <c r="AJ275" s="14">
        <f t="shared" si="548"/>
        <v>1101014</v>
      </c>
      <c r="AK275" s="14" t="str">
        <f t="shared" si="549"/>
        <v>吕仙宫11突</v>
      </c>
      <c r="AL275" s="25" t="s">
        <v>142</v>
      </c>
      <c r="AM275" s="14">
        <v>1</v>
      </c>
      <c r="AN275" s="14">
        <f t="shared" si="550"/>
        <v>11</v>
      </c>
      <c r="AO275" s="14">
        <f>INDEX(属性投放!$DF$6:$DF$85,(卡牌属性!AG275-2)*20+卡牌属性!AN275)</f>
        <v>2840</v>
      </c>
      <c r="AP275" s="14">
        <f t="shared" si="570"/>
        <v>2840</v>
      </c>
      <c r="AQ275" s="14">
        <f t="shared" si="570"/>
        <v>2840</v>
      </c>
      <c r="AR275" s="14">
        <f t="shared" si="570"/>
        <v>2840</v>
      </c>
      <c r="AS275" s="14">
        <f t="shared" si="570"/>
        <v>2840</v>
      </c>
      <c r="AT275" s="14">
        <f>INDEX(属性投放!$DG$6:$DG$85,(卡牌属性!AG275-2)*20+卡牌属性!AN275)</f>
        <v>1358</v>
      </c>
      <c r="AU275" s="14">
        <f t="shared" si="571"/>
        <v>1358</v>
      </c>
      <c r="AV275" s="14">
        <f t="shared" si="571"/>
        <v>1358</v>
      </c>
      <c r="AW275" s="14">
        <f t="shared" si="571"/>
        <v>1358</v>
      </c>
      <c r="AX275" s="14">
        <f t="shared" si="571"/>
        <v>1358</v>
      </c>
      <c r="AY275" s="14">
        <f>INDEX(属性投放!$DH$6:$DH$85,(卡牌属性!AG275-2)*20+卡牌属性!AN275)</f>
        <v>20460</v>
      </c>
      <c r="AZ275" s="14">
        <f t="shared" si="572"/>
        <v>20460</v>
      </c>
      <c r="BA275" s="14">
        <f t="shared" si="572"/>
        <v>20460</v>
      </c>
      <c r="BB275" s="14">
        <f t="shared" si="572"/>
        <v>20460</v>
      </c>
      <c r="BC275" s="14">
        <f t="shared" si="572"/>
        <v>20460</v>
      </c>
      <c r="BD275" s="14">
        <f>INDEX(属性投放!$DL$6:$DL$85,(卡牌属性!AG275-2)*20+卡牌属性!AN275)</f>
        <v>92</v>
      </c>
      <c r="BE275" s="14">
        <f t="shared" si="573"/>
        <v>92</v>
      </c>
      <c r="BF275" s="14">
        <f t="shared" si="573"/>
        <v>92</v>
      </c>
      <c r="BG275" s="14">
        <f t="shared" si="573"/>
        <v>92</v>
      </c>
      <c r="BH275" s="14">
        <f t="shared" si="573"/>
        <v>92</v>
      </c>
      <c r="BI275" s="14">
        <f>INDEX(属性投放!$DM$6:$DM$85,(卡牌属性!AG275-2)*20+卡牌属性!AN275)</f>
        <v>46</v>
      </c>
      <c r="BJ275" s="14">
        <f t="shared" si="574"/>
        <v>46</v>
      </c>
      <c r="BK275" s="14">
        <f t="shared" si="574"/>
        <v>46</v>
      </c>
      <c r="BL275" s="14">
        <f t="shared" si="574"/>
        <v>46</v>
      </c>
      <c r="BM275" s="14">
        <f t="shared" si="574"/>
        <v>46</v>
      </c>
      <c r="BN275" s="14">
        <f>INDEX(属性投放!$DN$6:$DN$85,(卡牌属性!AG275-2)*20+卡牌属性!AN275)</f>
        <v>824</v>
      </c>
      <c r="BO275" s="14">
        <f t="shared" si="575"/>
        <v>824</v>
      </c>
      <c r="BP275" s="14">
        <f t="shared" si="575"/>
        <v>824</v>
      </c>
      <c r="BQ275" s="14">
        <f t="shared" si="575"/>
        <v>824</v>
      </c>
      <c r="BR275" s="14">
        <f t="shared" si="575"/>
        <v>824</v>
      </c>
      <c r="BW275" s="13">
        <v>271</v>
      </c>
      <c r="BX275" s="13">
        <f t="shared" si="551"/>
        <v>14</v>
      </c>
      <c r="BY275" s="14">
        <f t="shared" si="552"/>
        <v>3</v>
      </c>
      <c r="BZ275" s="14">
        <f t="shared" si="561"/>
        <v>1102014</v>
      </c>
      <c r="CA275" s="14" t="str">
        <f t="shared" si="562"/>
        <v>石灵明11突</v>
      </c>
      <c r="CB275" s="25" t="s">
        <v>142</v>
      </c>
      <c r="CC275" s="14">
        <v>2</v>
      </c>
      <c r="CD275" s="14">
        <f t="shared" si="553"/>
        <v>11</v>
      </c>
      <c r="CE275" s="14" t="s">
        <v>21</v>
      </c>
      <c r="CF275" s="14">
        <f>INDEX(属性投放!$AZ$6:$AZ$85,(BY275-2)*20+CD275)</f>
        <v>3501</v>
      </c>
      <c r="CG275" s="14" t="s">
        <v>22</v>
      </c>
      <c r="CH275" s="14">
        <f>INDEX(属性投放!$BA$6:$BA$85,(BY275-2)*20+CD275)</f>
        <v>1700</v>
      </c>
      <c r="CI275" s="14" t="s">
        <v>510</v>
      </c>
      <c r="CJ275" s="14">
        <f>INDEX(属性投放!$BB$6:$BB$85,(BY275-2)*20+CD275)</f>
        <v>26130</v>
      </c>
      <c r="CK275" s="14" t="s">
        <v>21</v>
      </c>
      <c r="CL275" s="14">
        <f>INDEX(属性投放!$BC$6:$BC$85,(BY275-2)*20+CD275)</f>
        <v>20</v>
      </c>
      <c r="CM275" s="14" t="s">
        <v>22</v>
      </c>
      <c r="CN275" s="14">
        <f>INDEX(属性投放!$BD$6:$BD$85,(BY275-2)*20+CD275)</f>
        <v>10</v>
      </c>
      <c r="CO275" s="14" t="s">
        <v>510</v>
      </c>
      <c r="CP275" s="14">
        <f>INDEX(属性投放!$BE$6:$BE$85,(BY275-2)*20+CD275)</f>
        <v>180</v>
      </c>
      <c r="CS275" s="13">
        <v>271</v>
      </c>
      <c r="CT275" s="13">
        <f t="shared" si="563"/>
        <v>6</v>
      </c>
      <c r="CU275" s="13">
        <f t="shared" si="564"/>
        <v>11</v>
      </c>
      <c r="CV275" s="14">
        <f t="shared" si="565"/>
        <v>5</v>
      </c>
      <c r="CW275" s="14">
        <f t="shared" si="566"/>
        <v>1102006</v>
      </c>
      <c r="CX275" s="14" t="str">
        <f>INDEX($O$6:$O$50,CT275)&amp;"-"&amp;INDEX(属性投放!$AB$7:$AB$50,CZ275)&amp;"-魂火-"&amp;DB275</f>
        <v>项羽-众合+2-魂火-2</v>
      </c>
      <c r="CY275" s="25" t="s">
        <v>142</v>
      </c>
      <c r="CZ275" s="14">
        <f>INDEX(属性投放!$AM$7:$AM$58,CU275)</f>
        <v>6</v>
      </c>
      <c r="DA275" s="14" t="s">
        <v>537</v>
      </c>
      <c r="DB275" s="14">
        <f>INDEX(属性投放!$AN$7:$AN$58,CU275)</f>
        <v>2</v>
      </c>
      <c r="DC275" s="14">
        <f t="shared" si="554"/>
        <v>11</v>
      </c>
      <c r="DD275" s="14">
        <f>INDEX(属性投放!$AO$7:$AO$58,DC275)</f>
        <v>45</v>
      </c>
      <c r="DE275" s="14" t="s">
        <v>538</v>
      </c>
      <c r="DF275" s="14">
        <f>INDEX(属性投放!$BK$6:$BK$85,(CV275-2)*20+CZ275)</f>
        <v>75</v>
      </c>
      <c r="DG275" s="14">
        <f>SUMIFS(DF$5:DF275,$CT$5:$CT275,"="&amp;$CT275)</f>
        <v>615</v>
      </c>
      <c r="DH275" s="14" t="s">
        <v>539</v>
      </c>
      <c r="DI275" s="14">
        <f>INDEX(属性投放!$BL$6:$BL$85,(CV275-2)*20+CZ275)</f>
        <v>38</v>
      </c>
      <c r="DJ275" s="14">
        <f>SUMIFS(DI$5:DI275,$CT$5:$CT275,"="&amp;$CT275)</f>
        <v>310</v>
      </c>
      <c r="DK275" s="14" t="s">
        <v>540</v>
      </c>
      <c r="DL275" s="14">
        <f>INDEX(属性投放!$BM$6:$BM$85,(CV275-2)*20+CZ275)</f>
        <v>525</v>
      </c>
      <c r="DM275" s="14">
        <f>SUMIFS(DL$5:DL275,$CT$5:$CT275,"="&amp;$CT275)</f>
        <v>4100</v>
      </c>
      <c r="DR275" s="14">
        <f t="shared" si="555"/>
        <v>1102014</v>
      </c>
      <c r="DS275" s="14" t="str">
        <f t="shared" si="556"/>
        <v>石灵明11突</v>
      </c>
      <c r="DT275" s="14">
        <f t="shared" si="567"/>
        <v>5</v>
      </c>
      <c r="DU275" s="14">
        <f t="shared" si="568"/>
        <v>5</v>
      </c>
      <c r="DV275" s="14">
        <f t="shared" si="569"/>
        <v>5</v>
      </c>
      <c r="DW275" s="14">
        <f t="shared" si="557"/>
        <v>3</v>
      </c>
      <c r="DX275" s="14">
        <f t="shared" si="558"/>
        <v>11</v>
      </c>
      <c r="DY275" s="14">
        <f t="shared" si="559"/>
        <v>31</v>
      </c>
      <c r="DZ275" s="14">
        <f>INDEX(属性投放!$AX$6:$AX$85,(卡牌属性!DW275-2)*20+卡牌属性!DX275)</f>
        <v>8</v>
      </c>
      <c r="EA275" s="14">
        <f>INDEX(属性投放!BQ$6:BQ$85,卡牌属性!$DY275)</f>
        <v>240</v>
      </c>
      <c r="EB275" s="14">
        <f>INDEX(属性投放!BR$6:BR$85,卡牌属性!$DY275)</f>
        <v>120</v>
      </c>
      <c r="EC275" s="14">
        <f>INDEX(属性投放!BS$6:BS$85,卡牌属性!$DY275)</f>
        <v>2160</v>
      </c>
      <c r="ED275" s="14">
        <f t="shared" si="576"/>
        <v>2131</v>
      </c>
      <c r="EE275" s="14">
        <f t="shared" si="577"/>
        <v>2251</v>
      </c>
      <c r="EF275" s="14">
        <f t="shared" si="578"/>
        <v>2723</v>
      </c>
      <c r="EG275" s="14">
        <f t="shared" si="579"/>
        <v>2723</v>
      </c>
      <c r="EH275" s="14">
        <f t="shared" si="580"/>
        <v>2950</v>
      </c>
      <c r="EI275" s="14">
        <f t="shared" si="581"/>
        <v>1032</v>
      </c>
      <c r="EJ275" s="14">
        <f t="shared" si="582"/>
        <v>1095</v>
      </c>
      <c r="EK275" s="14">
        <f t="shared" si="583"/>
        <v>1095</v>
      </c>
      <c r="EL275" s="14">
        <f t="shared" si="584"/>
        <v>1333</v>
      </c>
      <c r="EM275" s="14">
        <f t="shared" si="585"/>
        <v>1443</v>
      </c>
      <c r="EN275" s="14">
        <f t="shared" si="586"/>
        <v>15340</v>
      </c>
      <c r="EO275" s="14">
        <f t="shared" si="587"/>
        <v>16139</v>
      </c>
      <c r="EP275" s="14">
        <f t="shared" si="588"/>
        <v>16139</v>
      </c>
      <c r="EQ275" s="14">
        <f t="shared" si="589"/>
        <v>19638</v>
      </c>
      <c r="ER275" s="14">
        <f t="shared" si="590"/>
        <v>21157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180</v>
      </c>
      <c r="FD275" s="14">
        <f>INDEX(属性偏向!$U$4:$U$243,(卡牌属性!$DV275-1+FD$3)*20+卡牌属性!$DX275)</f>
        <v>189</v>
      </c>
      <c r="FE275" s="14">
        <f>INDEX(属性偏向!$U$4:$U$243,(卡牌属性!$DV275-1+FE$3)*20+卡牌属性!$DX275)</f>
        <v>189</v>
      </c>
      <c r="FF275" s="14">
        <f>INDEX(属性偏向!$U$4:$U$243,(卡牌属性!$DV275-1+FF$3)*20+卡牌属性!$DX275)</f>
        <v>270</v>
      </c>
      <c r="FG275" s="14">
        <f>INDEX(属性偏向!$U$4:$U$243,(卡牌属性!$DV275-1+FG$3)*20+卡牌属性!$DX275)</f>
        <v>315</v>
      </c>
      <c r="FH275" s="14">
        <f>INDEX(属性投放!$BQ$6:$BQ$85,(卡牌属性!$DW275-2)*20+卡牌属性!$DX275)</f>
        <v>240</v>
      </c>
      <c r="FI275" s="14">
        <f>INDEX(属性投放!$BQ$6:$BQ$85,(卡牌属性!$DW275-2)*20+卡牌属性!$DX275)</f>
        <v>240</v>
      </c>
      <c r="FJ275" s="14">
        <f>INDEX(属性投放!$BQ$6:$BQ$85,(卡牌属性!$DW275-2)*20+卡牌属性!$DX275)</f>
        <v>240</v>
      </c>
      <c r="FK275" s="14">
        <f>INDEX(属性投放!$BQ$6:$BQ$85,(卡牌属性!$DW275-2)*20+卡牌属性!$DX275)</f>
        <v>240</v>
      </c>
      <c r="FL275" s="14">
        <f>INDEX(属性投放!$BQ$6:$BQ$85,(卡牌属性!$DW275-2)*20+卡牌属性!$DX275)</f>
        <v>240</v>
      </c>
      <c r="FM275" s="14">
        <f>INDEX(属性投放!$BR$6:$BR$85,(卡牌属性!$DW275-2)*20+卡牌属性!$DX275)</f>
        <v>120</v>
      </c>
      <c r="FN275" s="14">
        <f>INDEX(属性投放!$BR$6:$BR$85,(卡牌属性!$DW275-2)*20+卡牌属性!$DX275)</f>
        <v>120</v>
      </c>
      <c r="FO275" s="14">
        <f>INDEX(属性投放!$BR$6:$BR$85,(卡牌属性!$DW275-2)*20+卡牌属性!$DX275)</f>
        <v>120</v>
      </c>
      <c r="FP275" s="14">
        <f>INDEX(属性投放!$BR$6:$BR$85,(卡牌属性!$DW275-2)*20+卡牌属性!$DX275)</f>
        <v>120</v>
      </c>
      <c r="FQ275" s="14">
        <f>INDEX(属性投放!$BR$6:$BR$85,(卡牌属性!$DW275-2)*20+卡牌属性!$DX275)</f>
        <v>120</v>
      </c>
      <c r="FR275" s="14">
        <f>INDEX(属性投放!$BS$6:$BS$85,(卡牌属性!$DW275-2)*20+卡牌属性!$DX275)</f>
        <v>2160</v>
      </c>
      <c r="FS275" s="14">
        <f>INDEX(属性投放!$BS$6:$BS$85,(卡牌属性!$DW275-2)*20+卡牌属性!$DX275)</f>
        <v>2160</v>
      </c>
      <c r="FT275" s="14">
        <f>INDEX(属性投放!$BS$6:$BS$85,(卡牌属性!$DW275-2)*20+卡牌属性!$DX275)</f>
        <v>2160</v>
      </c>
      <c r="FU275" s="14">
        <f>INDEX(属性投放!$BS$6:$BS$85,(卡牌属性!$DW275-2)*20+卡牌属性!$DX275)</f>
        <v>2160</v>
      </c>
      <c r="FV275" s="14">
        <f>INDEX(属性投放!$BS$6:$BS$85,(卡牌属性!$DW275-2)*20+卡牌属性!$DX275)</f>
        <v>2160</v>
      </c>
    </row>
    <row r="276" spans="31:178" ht="16.5" x14ac:dyDescent="0.2">
      <c r="AE276" s="13">
        <v>272</v>
      </c>
      <c r="AF276" s="13">
        <f t="shared" si="560"/>
        <v>14</v>
      </c>
      <c r="AG276" s="13">
        <f t="shared" si="547"/>
        <v>3</v>
      </c>
      <c r="AH276" s="13"/>
      <c r="AI276" s="13"/>
      <c r="AJ276" s="14">
        <f t="shared" si="548"/>
        <v>1101014</v>
      </c>
      <c r="AK276" s="14" t="str">
        <f t="shared" si="549"/>
        <v>吕仙宫12突</v>
      </c>
      <c r="AL276" s="25" t="s">
        <v>142</v>
      </c>
      <c r="AM276" s="14">
        <v>1</v>
      </c>
      <c r="AN276" s="14">
        <f t="shared" si="550"/>
        <v>12</v>
      </c>
      <c r="AO276" s="14">
        <f>INDEX(属性投放!$DF$6:$DF$85,(卡牌属性!AG276-2)*20+卡牌属性!AN276)</f>
        <v>3102</v>
      </c>
      <c r="AP276" s="14">
        <f t="shared" si="570"/>
        <v>3102</v>
      </c>
      <c r="AQ276" s="14">
        <f t="shared" si="570"/>
        <v>3102</v>
      </c>
      <c r="AR276" s="14">
        <f t="shared" si="570"/>
        <v>3102</v>
      </c>
      <c r="AS276" s="14">
        <f t="shared" si="570"/>
        <v>3102</v>
      </c>
      <c r="AT276" s="14">
        <f>INDEX(属性投放!$DG$6:$DG$85,(卡牌属性!AG276-2)*20+卡牌属性!AN276)</f>
        <v>1489</v>
      </c>
      <c r="AU276" s="14">
        <f t="shared" si="571"/>
        <v>1489</v>
      </c>
      <c r="AV276" s="14">
        <f t="shared" si="571"/>
        <v>1489</v>
      </c>
      <c r="AW276" s="14">
        <f t="shared" si="571"/>
        <v>1489</v>
      </c>
      <c r="AX276" s="14">
        <f t="shared" si="571"/>
        <v>1489</v>
      </c>
      <c r="AY276" s="14">
        <f>INDEX(属性投放!$DH$6:$DH$85,(卡牌属性!AG276-2)*20+卡牌属性!AN276)</f>
        <v>22814</v>
      </c>
      <c r="AZ276" s="14">
        <f t="shared" si="572"/>
        <v>22814</v>
      </c>
      <c r="BA276" s="14">
        <f t="shared" si="572"/>
        <v>22814</v>
      </c>
      <c r="BB276" s="14">
        <f t="shared" si="572"/>
        <v>22814</v>
      </c>
      <c r="BC276" s="14">
        <f t="shared" si="572"/>
        <v>22814</v>
      </c>
      <c r="BD276" s="14">
        <f>INDEX(属性投放!$DL$6:$DL$85,(卡牌属性!AG276-2)*20+卡牌属性!AN276)</f>
        <v>92</v>
      </c>
      <c r="BE276" s="14">
        <f t="shared" si="573"/>
        <v>92</v>
      </c>
      <c r="BF276" s="14">
        <f t="shared" si="573"/>
        <v>92</v>
      </c>
      <c r="BG276" s="14">
        <f t="shared" si="573"/>
        <v>92</v>
      </c>
      <c r="BH276" s="14">
        <f t="shared" si="573"/>
        <v>92</v>
      </c>
      <c r="BI276" s="14">
        <f>INDEX(属性投放!$DM$6:$DM$85,(卡牌属性!AG276-2)*20+卡牌属性!AN276)</f>
        <v>46</v>
      </c>
      <c r="BJ276" s="14">
        <f t="shared" si="574"/>
        <v>46</v>
      </c>
      <c r="BK276" s="14">
        <f t="shared" si="574"/>
        <v>46</v>
      </c>
      <c r="BL276" s="14">
        <f t="shared" si="574"/>
        <v>46</v>
      </c>
      <c r="BM276" s="14">
        <f t="shared" si="574"/>
        <v>46</v>
      </c>
      <c r="BN276" s="14">
        <f>INDEX(属性投放!$DN$6:$DN$85,(卡牌属性!AG276-2)*20+卡牌属性!AN276)</f>
        <v>824</v>
      </c>
      <c r="BO276" s="14">
        <f t="shared" si="575"/>
        <v>824</v>
      </c>
      <c r="BP276" s="14">
        <f t="shared" si="575"/>
        <v>824</v>
      </c>
      <c r="BQ276" s="14">
        <f t="shared" si="575"/>
        <v>824</v>
      </c>
      <c r="BR276" s="14">
        <f t="shared" si="575"/>
        <v>824</v>
      </c>
      <c r="BW276" s="13">
        <v>272</v>
      </c>
      <c r="BX276" s="13">
        <f t="shared" si="551"/>
        <v>14</v>
      </c>
      <c r="BY276" s="14">
        <f t="shared" si="552"/>
        <v>3</v>
      </c>
      <c r="BZ276" s="14">
        <f t="shared" si="561"/>
        <v>1102014</v>
      </c>
      <c r="CA276" s="14" t="str">
        <f t="shared" si="562"/>
        <v>石灵明12突</v>
      </c>
      <c r="CB276" s="25" t="s">
        <v>142</v>
      </c>
      <c r="CC276" s="14">
        <v>2</v>
      </c>
      <c r="CD276" s="14">
        <f t="shared" si="553"/>
        <v>12</v>
      </c>
      <c r="CE276" s="14" t="s">
        <v>21</v>
      </c>
      <c r="CF276" s="14">
        <f>INDEX(属性投放!$AZ$6:$AZ$85,(BY276-2)*20+CD276)</f>
        <v>4351</v>
      </c>
      <c r="CG276" s="14" t="s">
        <v>22</v>
      </c>
      <c r="CH276" s="14">
        <f>INDEX(属性投放!$BA$6:$BA$85,(BY276-2)*20+CD276)</f>
        <v>2125</v>
      </c>
      <c r="CI276" s="14" t="s">
        <v>510</v>
      </c>
      <c r="CJ276" s="14">
        <f>INDEX(属性投放!$BB$6:$BB$85,(BY276-2)*20+CD276)</f>
        <v>33780</v>
      </c>
      <c r="CK276" s="14" t="s">
        <v>21</v>
      </c>
      <c r="CL276" s="14">
        <f>INDEX(属性投放!$BC$6:$BC$85,(BY276-2)*20+CD276)</f>
        <v>20</v>
      </c>
      <c r="CM276" s="14" t="s">
        <v>22</v>
      </c>
      <c r="CN276" s="14">
        <f>INDEX(属性投放!$BD$6:$BD$85,(BY276-2)*20+CD276)</f>
        <v>10</v>
      </c>
      <c r="CO276" s="14" t="s">
        <v>510</v>
      </c>
      <c r="CP276" s="14">
        <f>INDEX(属性投放!$BE$6:$BE$85,(BY276-2)*20+CD276)</f>
        <v>180</v>
      </c>
      <c r="CS276" s="13">
        <v>272</v>
      </c>
      <c r="CT276" s="13">
        <f t="shared" si="563"/>
        <v>6</v>
      </c>
      <c r="CU276" s="13">
        <f t="shared" si="564"/>
        <v>12</v>
      </c>
      <c r="CV276" s="14">
        <f t="shared" si="565"/>
        <v>5</v>
      </c>
      <c r="CW276" s="14">
        <f t="shared" si="566"/>
        <v>1102006</v>
      </c>
      <c r="CX276" s="14" t="str">
        <f>INDEX($O$6:$O$50,CT276)&amp;"-"&amp;INDEX(属性投放!$AB$7:$AB$50,CZ276)&amp;"-魂火-"&amp;DB276</f>
        <v>项羽-叫唤-魂火-1</v>
      </c>
      <c r="CY276" s="25" t="s">
        <v>142</v>
      </c>
      <c r="CZ276" s="14">
        <f>INDEX(属性投放!$AM$7:$AM$58,CU276)</f>
        <v>7</v>
      </c>
      <c r="DA276" s="14" t="s">
        <v>537</v>
      </c>
      <c r="DB276" s="14">
        <f>INDEX(属性投放!$AN$7:$AN$58,CU276)</f>
        <v>1</v>
      </c>
      <c r="DC276" s="14">
        <f t="shared" si="554"/>
        <v>12</v>
      </c>
      <c r="DD276" s="14">
        <f>INDEX(属性投放!$AO$7:$AO$58,DC276)</f>
        <v>48</v>
      </c>
      <c r="DE276" s="14" t="s">
        <v>538</v>
      </c>
      <c r="DF276" s="14">
        <f>INDEX(属性投放!$BK$6:$BK$85,(CV276-2)*20+CZ276)</f>
        <v>100</v>
      </c>
      <c r="DG276" s="14">
        <f>SUMIFS(DF$5:DF276,$CT$5:$CT276,"="&amp;$CT276)</f>
        <v>715</v>
      </c>
      <c r="DH276" s="14" t="s">
        <v>539</v>
      </c>
      <c r="DI276" s="14">
        <f>INDEX(属性投放!$BL$6:$BL$85,(CV276-2)*20+CZ276)</f>
        <v>50</v>
      </c>
      <c r="DJ276" s="14">
        <f>SUMIFS(DI$5:DI276,$CT$5:$CT276,"="&amp;$CT276)</f>
        <v>360</v>
      </c>
      <c r="DK276" s="14" t="s">
        <v>540</v>
      </c>
      <c r="DL276" s="14">
        <f>INDEX(属性投放!$BM$6:$BM$85,(CV276-2)*20+CZ276)</f>
        <v>800</v>
      </c>
      <c r="DM276" s="14">
        <f>SUMIFS(DL$5:DL276,$CT$5:$CT276,"="&amp;$CT276)</f>
        <v>4900</v>
      </c>
      <c r="DR276" s="14">
        <f t="shared" si="555"/>
        <v>1102014</v>
      </c>
      <c r="DS276" s="14" t="str">
        <f t="shared" si="556"/>
        <v>石灵明12突</v>
      </c>
      <c r="DT276" s="14">
        <f t="shared" si="567"/>
        <v>5</v>
      </c>
      <c r="DU276" s="14">
        <f t="shared" si="568"/>
        <v>5</v>
      </c>
      <c r="DV276" s="14">
        <f t="shared" si="569"/>
        <v>5</v>
      </c>
      <c r="DW276" s="14">
        <f t="shared" si="557"/>
        <v>3</v>
      </c>
      <c r="DX276" s="14">
        <f t="shared" si="558"/>
        <v>12</v>
      </c>
      <c r="DY276" s="14">
        <f t="shared" si="559"/>
        <v>32</v>
      </c>
      <c r="DZ276" s="14">
        <f>INDEX(属性投放!$AX$6:$AX$85,(卡牌属性!DW276-2)*20+卡牌属性!DX276)</f>
        <v>7</v>
      </c>
      <c r="EA276" s="14">
        <f>INDEX(属性投放!BQ$6:BQ$85,卡牌属性!$DY276)</f>
        <v>350</v>
      </c>
      <c r="EB276" s="14">
        <f>INDEX(属性投放!BR$6:BR$85,卡牌属性!$DY276)</f>
        <v>175</v>
      </c>
      <c r="EC276" s="14">
        <f>INDEX(属性投放!BS$6:BS$85,卡牌属性!$DY276)</f>
        <v>3150</v>
      </c>
      <c r="ED276" s="14">
        <f t="shared" si="576"/>
        <v>2531</v>
      </c>
      <c r="EE276" s="14">
        <f t="shared" si="577"/>
        <v>2659</v>
      </c>
      <c r="EF276" s="14">
        <f t="shared" si="578"/>
        <v>3203</v>
      </c>
      <c r="EG276" s="14">
        <f t="shared" si="579"/>
        <v>3203</v>
      </c>
      <c r="EH276" s="14">
        <f t="shared" si="580"/>
        <v>3470</v>
      </c>
      <c r="EI276" s="14">
        <f t="shared" si="581"/>
        <v>1232</v>
      </c>
      <c r="EJ276" s="14">
        <f t="shared" si="582"/>
        <v>1303</v>
      </c>
      <c r="EK276" s="14">
        <f t="shared" si="583"/>
        <v>1303</v>
      </c>
      <c r="EL276" s="14">
        <f t="shared" si="584"/>
        <v>1573</v>
      </c>
      <c r="EM276" s="14">
        <f t="shared" si="585"/>
        <v>1707</v>
      </c>
      <c r="EN276" s="14">
        <f t="shared" si="586"/>
        <v>18940</v>
      </c>
      <c r="EO276" s="14">
        <f t="shared" si="587"/>
        <v>19811</v>
      </c>
      <c r="EP276" s="14">
        <f t="shared" si="588"/>
        <v>19811</v>
      </c>
      <c r="EQ276" s="14">
        <f t="shared" si="589"/>
        <v>23958</v>
      </c>
      <c r="ER276" s="14">
        <f t="shared" si="590"/>
        <v>25837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180</v>
      </c>
      <c r="FD276" s="14">
        <f>INDEX(属性偏向!$U$4:$U$243,(卡牌属性!$DV276-1+FD$3)*20+卡牌属性!$DX276)</f>
        <v>189</v>
      </c>
      <c r="FE276" s="14">
        <f>INDEX(属性偏向!$U$4:$U$243,(卡牌属性!$DV276-1+FE$3)*20+卡牌属性!$DX276)</f>
        <v>189</v>
      </c>
      <c r="FF276" s="14">
        <f>INDEX(属性偏向!$U$4:$U$243,(卡牌属性!$DV276-1+FF$3)*20+卡牌属性!$DX276)</f>
        <v>270</v>
      </c>
      <c r="FG276" s="14">
        <f>INDEX(属性偏向!$U$4:$U$243,(卡牌属性!$DV276-1+FG$3)*20+卡牌属性!$DX276)</f>
        <v>315</v>
      </c>
      <c r="FH276" s="14">
        <f>INDEX(属性投放!$BQ$6:$BQ$85,(卡牌属性!$DW276-2)*20+卡牌属性!$DX276)</f>
        <v>350</v>
      </c>
      <c r="FI276" s="14">
        <f>INDEX(属性投放!$BQ$6:$BQ$85,(卡牌属性!$DW276-2)*20+卡牌属性!$DX276)</f>
        <v>350</v>
      </c>
      <c r="FJ276" s="14">
        <f>INDEX(属性投放!$BQ$6:$BQ$85,(卡牌属性!$DW276-2)*20+卡牌属性!$DX276)</f>
        <v>350</v>
      </c>
      <c r="FK276" s="14">
        <f>INDEX(属性投放!$BQ$6:$BQ$85,(卡牌属性!$DW276-2)*20+卡牌属性!$DX276)</f>
        <v>350</v>
      </c>
      <c r="FL276" s="14">
        <f>INDEX(属性投放!$BQ$6:$BQ$85,(卡牌属性!$DW276-2)*20+卡牌属性!$DX276)</f>
        <v>350</v>
      </c>
      <c r="FM276" s="14">
        <f>INDEX(属性投放!$BR$6:$BR$85,(卡牌属性!$DW276-2)*20+卡牌属性!$DX276)</f>
        <v>175</v>
      </c>
      <c r="FN276" s="14">
        <f>INDEX(属性投放!$BR$6:$BR$85,(卡牌属性!$DW276-2)*20+卡牌属性!$DX276)</f>
        <v>175</v>
      </c>
      <c r="FO276" s="14">
        <f>INDEX(属性投放!$BR$6:$BR$85,(卡牌属性!$DW276-2)*20+卡牌属性!$DX276)</f>
        <v>175</v>
      </c>
      <c r="FP276" s="14">
        <f>INDEX(属性投放!$BR$6:$BR$85,(卡牌属性!$DW276-2)*20+卡牌属性!$DX276)</f>
        <v>175</v>
      </c>
      <c r="FQ276" s="14">
        <f>INDEX(属性投放!$BR$6:$BR$85,(卡牌属性!$DW276-2)*20+卡牌属性!$DX276)</f>
        <v>175</v>
      </c>
      <c r="FR276" s="14">
        <f>INDEX(属性投放!$BS$6:$BS$85,(卡牌属性!$DW276-2)*20+卡牌属性!$DX276)</f>
        <v>3150</v>
      </c>
      <c r="FS276" s="14">
        <f>INDEX(属性投放!$BS$6:$BS$85,(卡牌属性!$DW276-2)*20+卡牌属性!$DX276)</f>
        <v>3150</v>
      </c>
      <c r="FT276" s="14">
        <f>INDEX(属性投放!$BS$6:$BS$85,(卡牌属性!$DW276-2)*20+卡牌属性!$DX276)</f>
        <v>3150</v>
      </c>
      <c r="FU276" s="14">
        <f>INDEX(属性投放!$BS$6:$BS$85,(卡牌属性!$DW276-2)*20+卡牌属性!$DX276)</f>
        <v>3150</v>
      </c>
      <c r="FV276" s="14">
        <f>INDEX(属性投放!$BS$6:$BS$85,(卡牌属性!$DW276-2)*20+卡牌属性!$DX276)</f>
        <v>3150</v>
      </c>
    </row>
    <row r="277" spans="31:178" ht="16.5" x14ac:dyDescent="0.2">
      <c r="AE277" s="13">
        <v>273</v>
      </c>
      <c r="AF277" s="13">
        <f t="shared" si="560"/>
        <v>14</v>
      </c>
      <c r="AG277" s="13">
        <f t="shared" si="547"/>
        <v>3</v>
      </c>
      <c r="AH277" s="13"/>
      <c r="AI277" s="13"/>
      <c r="AJ277" s="14">
        <f t="shared" si="548"/>
        <v>1101014</v>
      </c>
      <c r="AK277" s="14" t="str">
        <f t="shared" si="549"/>
        <v>吕仙宫13突</v>
      </c>
      <c r="AL277" s="25" t="s">
        <v>142</v>
      </c>
      <c r="AM277" s="14">
        <v>1</v>
      </c>
      <c r="AN277" s="14">
        <f t="shared" si="550"/>
        <v>13</v>
      </c>
      <c r="AO277" s="14">
        <f>INDEX(属性投放!$DF$6:$DF$85,(卡牌属性!AG277-2)*20+卡牌属性!AN277)</f>
        <v>5664</v>
      </c>
      <c r="AP277" s="14">
        <f t="shared" si="570"/>
        <v>5664</v>
      </c>
      <c r="AQ277" s="14">
        <f t="shared" si="570"/>
        <v>5664</v>
      </c>
      <c r="AR277" s="14">
        <f t="shared" si="570"/>
        <v>5664</v>
      </c>
      <c r="AS277" s="14">
        <f t="shared" si="570"/>
        <v>5664</v>
      </c>
      <c r="AT277" s="14">
        <f>INDEX(属性投放!$DG$6:$DG$85,(卡牌属性!AG277-2)*20+卡牌属性!AN277)</f>
        <v>2770</v>
      </c>
      <c r="AU277" s="14">
        <f t="shared" si="571"/>
        <v>2770</v>
      </c>
      <c r="AV277" s="14">
        <f t="shared" si="571"/>
        <v>2770</v>
      </c>
      <c r="AW277" s="14">
        <f t="shared" si="571"/>
        <v>2770</v>
      </c>
      <c r="AX277" s="14">
        <f t="shared" si="571"/>
        <v>2770</v>
      </c>
      <c r="AY277" s="14">
        <f>INDEX(属性投放!$DH$6:$DH$85,(卡牌属性!AG277-2)*20+卡牌属性!AN277)</f>
        <v>45768</v>
      </c>
      <c r="AZ277" s="14">
        <f t="shared" si="572"/>
        <v>45768</v>
      </c>
      <c r="BA277" s="14">
        <f t="shared" si="572"/>
        <v>45768</v>
      </c>
      <c r="BB277" s="14">
        <f t="shared" si="572"/>
        <v>45768</v>
      </c>
      <c r="BC277" s="14">
        <f t="shared" si="572"/>
        <v>45768</v>
      </c>
      <c r="BD277" s="14">
        <f>INDEX(属性投放!$DL$6:$DL$85,(卡牌属性!AG277-2)*20+卡牌属性!AN277)</f>
        <v>176</v>
      </c>
      <c r="BE277" s="14">
        <f t="shared" si="573"/>
        <v>176</v>
      </c>
      <c r="BF277" s="14">
        <f t="shared" si="573"/>
        <v>176</v>
      </c>
      <c r="BG277" s="14">
        <f t="shared" si="573"/>
        <v>176</v>
      </c>
      <c r="BH277" s="14">
        <f t="shared" si="573"/>
        <v>176</v>
      </c>
      <c r="BI277" s="14">
        <f>INDEX(属性投放!$DM$6:$DM$85,(卡牌属性!AG277-2)*20+卡牌属性!AN277)</f>
        <v>88</v>
      </c>
      <c r="BJ277" s="14">
        <f t="shared" si="574"/>
        <v>88</v>
      </c>
      <c r="BK277" s="14">
        <f t="shared" si="574"/>
        <v>88</v>
      </c>
      <c r="BL277" s="14">
        <f t="shared" si="574"/>
        <v>88</v>
      </c>
      <c r="BM277" s="14">
        <f t="shared" si="574"/>
        <v>88</v>
      </c>
      <c r="BN277" s="14">
        <f>INDEX(属性投放!$DN$6:$DN$85,(卡牌属性!AG277-2)*20+卡牌属性!AN277)</f>
        <v>1759</v>
      </c>
      <c r="BO277" s="14">
        <f t="shared" si="575"/>
        <v>1759</v>
      </c>
      <c r="BP277" s="14">
        <f t="shared" si="575"/>
        <v>1759</v>
      </c>
      <c r="BQ277" s="14">
        <f t="shared" si="575"/>
        <v>1759</v>
      </c>
      <c r="BR277" s="14">
        <f t="shared" si="575"/>
        <v>1759</v>
      </c>
      <c r="BW277" s="13">
        <v>273</v>
      </c>
      <c r="BX277" s="13">
        <f t="shared" si="551"/>
        <v>14</v>
      </c>
      <c r="BY277" s="14">
        <f t="shared" si="552"/>
        <v>3</v>
      </c>
      <c r="BZ277" s="14">
        <f t="shared" si="561"/>
        <v>1102014</v>
      </c>
      <c r="CA277" s="14" t="str">
        <f t="shared" si="562"/>
        <v>石灵明13突</v>
      </c>
      <c r="CB277" s="25" t="s">
        <v>142</v>
      </c>
      <c r="CC277" s="14">
        <v>2</v>
      </c>
      <c r="CD277" s="14">
        <f t="shared" si="553"/>
        <v>13</v>
      </c>
      <c r="CE277" s="14" t="s">
        <v>21</v>
      </c>
      <c r="CF277" s="14">
        <f>INDEX(属性投放!$AZ$6:$AZ$85,(BY277-2)*20+CD277)</f>
        <v>5441</v>
      </c>
      <c r="CG277" s="14" t="s">
        <v>22</v>
      </c>
      <c r="CH277" s="14">
        <f>INDEX(属性投放!$BA$6:$BA$85,(BY277-2)*20+CD277)</f>
        <v>2670</v>
      </c>
      <c r="CI277" s="14" t="s">
        <v>510</v>
      </c>
      <c r="CJ277" s="14">
        <f>INDEX(属性投放!$BB$6:$BB$85,(BY277-2)*20+CD277)</f>
        <v>43590</v>
      </c>
      <c r="CK277" s="14" t="s">
        <v>21</v>
      </c>
      <c r="CL277" s="14">
        <f>INDEX(属性投放!$BC$6:$BC$85,(BY277-2)*20+CD277)</f>
        <v>25</v>
      </c>
      <c r="CM277" s="14" t="s">
        <v>22</v>
      </c>
      <c r="CN277" s="14">
        <f>INDEX(属性投放!$BD$6:$BD$85,(BY277-2)*20+CD277)</f>
        <v>13</v>
      </c>
      <c r="CO277" s="14" t="s">
        <v>510</v>
      </c>
      <c r="CP277" s="14">
        <f>INDEX(属性投放!$BE$6:$BE$85,(BY277-2)*20+CD277)</f>
        <v>250</v>
      </c>
      <c r="CS277" s="13">
        <v>273</v>
      </c>
      <c r="CT277" s="13">
        <f t="shared" si="563"/>
        <v>6</v>
      </c>
      <c r="CU277" s="13">
        <f t="shared" si="564"/>
        <v>13</v>
      </c>
      <c r="CV277" s="14">
        <f t="shared" si="565"/>
        <v>5</v>
      </c>
      <c r="CW277" s="14">
        <f t="shared" si="566"/>
        <v>1102006</v>
      </c>
      <c r="CX277" s="14" t="str">
        <f>INDEX($O$6:$O$50,CT277)&amp;"-"&amp;INDEX(属性投放!$AB$7:$AB$50,CZ277)&amp;"-魂火-"&amp;DB277</f>
        <v>项羽-叫唤-魂火-2</v>
      </c>
      <c r="CY277" s="25" t="s">
        <v>142</v>
      </c>
      <c r="CZ277" s="14">
        <f>INDEX(属性投放!$AM$7:$AM$58,CU277)</f>
        <v>7</v>
      </c>
      <c r="DA277" s="14" t="s">
        <v>537</v>
      </c>
      <c r="DB277" s="14">
        <f>INDEX(属性投放!$AN$7:$AN$58,CU277)</f>
        <v>2</v>
      </c>
      <c r="DC277" s="14">
        <f t="shared" si="554"/>
        <v>13</v>
      </c>
      <c r="DD277" s="14">
        <f>INDEX(属性投放!$AO$7:$AO$58,DC277)</f>
        <v>50</v>
      </c>
      <c r="DE277" s="14" t="s">
        <v>538</v>
      </c>
      <c r="DF277" s="14">
        <f>INDEX(属性投放!$BK$6:$BK$85,(CV277-2)*20+CZ277)</f>
        <v>100</v>
      </c>
      <c r="DG277" s="14">
        <f>SUMIFS(DF$5:DF277,$CT$5:$CT277,"="&amp;$CT277)</f>
        <v>815</v>
      </c>
      <c r="DH277" s="14" t="s">
        <v>539</v>
      </c>
      <c r="DI277" s="14">
        <f>INDEX(属性投放!$BL$6:$BL$85,(CV277-2)*20+CZ277)</f>
        <v>50</v>
      </c>
      <c r="DJ277" s="14">
        <f>SUMIFS(DI$5:DI277,$CT$5:$CT277,"="&amp;$CT277)</f>
        <v>410</v>
      </c>
      <c r="DK277" s="14" t="s">
        <v>540</v>
      </c>
      <c r="DL277" s="14">
        <f>INDEX(属性投放!$BM$6:$BM$85,(CV277-2)*20+CZ277)</f>
        <v>800</v>
      </c>
      <c r="DM277" s="14">
        <f>SUMIFS(DL$5:DL277,$CT$5:$CT277,"="&amp;$CT277)</f>
        <v>5700</v>
      </c>
      <c r="DR277" s="14">
        <f t="shared" si="555"/>
        <v>1102014</v>
      </c>
      <c r="DS277" s="14" t="str">
        <f t="shared" si="556"/>
        <v>石灵明13突</v>
      </c>
      <c r="DT277" s="14">
        <f t="shared" si="567"/>
        <v>5</v>
      </c>
      <c r="DU277" s="14">
        <f t="shared" si="568"/>
        <v>5</v>
      </c>
      <c r="DV277" s="14">
        <f t="shared" si="569"/>
        <v>5</v>
      </c>
      <c r="DW277" s="14">
        <f t="shared" si="557"/>
        <v>3</v>
      </c>
      <c r="DX277" s="14">
        <f t="shared" si="558"/>
        <v>13</v>
      </c>
      <c r="DY277" s="14">
        <f t="shared" si="559"/>
        <v>33</v>
      </c>
      <c r="DZ277" s="14">
        <f>INDEX(属性投放!$AX$6:$AX$85,(卡牌属性!DW277-2)*20+卡牌属性!DX277)</f>
        <v>8</v>
      </c>
      <c r="EA277" s="14">
        <f>INDEX(属性投放!BQ$6:BQ$85,卡牌属性!$DY277)</f>
        <v>400</v>
      </c>
      <c r="EB277" s="14">
        <f>INDEX(属性投放!BR$6:BR$85,卡牌属性!$DY277)</f>
        <v>200</v>
      </c>
      <c r="EC277" s="14">
        <f>INDEX(属性投放!BS$6:BS$85,卡牌属性!$DY277)</f>
        <v>4000</v>
      </c>
      <c r="ED277" s="14">
        <f t="shared" si="576"/>
        <v>3021</v>
      </c>
      <c r="EE277" s="14">
        <f t="shared" si="577"/>
        <v>3156</v>
      </c>
      <c r="EF277" s="14">
        <f t="shared" si="578"/>
        <v>3763</v>
      </c>
      <c r="EG277" s="14">
        <f t="shared" si="579"/>
        <v>3763</v>
      </c>
      <c r="EH277" s="14">
        <f t="shared" si="580"/>
        <v>4065</v>
      </c>
      <c r="EI277" s="14">
        <f t="shared" si="581"/>
        <v>1477</v>
      </c>
      <c r="EJ277" s="14">
        <f t="shared" si="582"/>
        <v>1555</v>
      </c>
      <c r="EK277" s="14">
        <f t="shared" si="583"/>
        <v>1555</v>
      </c>
      <c r="EL277" s="14">
        <f t="shared" si="584"/>
        <v>1853</v>
      </c>
      <c r="EM277" s="14">
        <f t="shared" si="585"/>
        <v>2008</v>
      </c>
      <c r="EN277" s="14">
        <f t="shared" si="586"/>
        <v>23350</v>
      </c>
      <c r="EO277" s="14">
        <f t="shared" si="587"/>
        <v>24284</v>
      </c>
      <c r="EP277" s="14">
        <f t="shared" si="588"/>
        <v>24284</v>
      </c>
      <c r="EQ277" s="14">
        <f t="shared" si="589"/>
        <v>28998</v>
      </c>
      <c r="ER277" s="14">
        <f t="shared" si="590"/>
        <v>31192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INDEX(属性投放!$BQ$6:$BQ$85,(卡牌属性!$DW277-2)*20+卡牌属性!$DX277)</f>
        <v>400</v>
      </c>
      <c r="FI277" s="14">
        <f>INDEX(属性投放!$BQ$6:$BQ$85,(卡牌属性!$DW277-2)*20+卡牌属性!$DX277)</f>
        <v>400</v>
      </c>
      <c r="FJ277" s="14">
        <f>INDEX(属性投放!$BQ$6:$BQ$85,(卡牌属性!$DW277-2)*20+卡牌属性!$DX277)</f>
        <v>400</v>
      </c>
      <c r="FK277" s="14">
        <f>INDEX(属性投放!$BQ$6:$BQ$85,(卡牌属性!$DW277-2)*20+卡牌属性!$DX277)</f>
        <v>400</v>
      </c>
      <c r="FL277" s="14">
        <f>INDEX(属性投放!$BQ$6:$BQ$85,(卡牌属性!$DW277-2)*20+卡牌属性!$DX277)</f>
        <v>400</v>
      </c>
      <c r="FM277" s="14">
        <f>INDEX(属性投放!$BR$6:$BR$85,(卡牌属性!$DW277-2)*20+卡牌属性!$DX277)</f>
        <v>200</v>
      </c>
      <c r="FN277" s="14">
        <f>INDEX(属性投放!$BR$6:$BR$85,(卡牌属性!$DW277-2)*20+卡牌属性!$DX277)</f>
        <v>200</v>
      </c>
      <c r="FO277" s="14">
        <f>INDEX(属性投放!$BR$6:$BR$85,(卡牌属性!$DW277-2)*20+卡牌属性!$DX277)</f>
        <v>200</v>
      </c>
      <c r="FP277" s="14">
        <f>INDEX(属性投放!$BR$6:$BR$85,(卡牌属性!$DW277-2)*20+卡牌属性!$DX277)</f>
        <v>200</v>
      </c>
      <c r="FQ277" s="14">
        <f>INDEX(属性投放!$BR$6:$BR$85,(卡牌属性!$DW277-2)*20+卡牌属性!$DX277)</f>
        <v>200</v>
      </c>
      <c r="FR277" s="14">
        <f>INDEX(属性投放!$BS$6:$BS$85,(卡牌属性!$DW277-2)*20+卡牌属性!$DX277)</f>
        <v>4000</v>
      </c>
      <c r="FS277" s="14">
        <f>INDEX(属性投放!$BS$6:$BS$85,(卡牌属性!$DW277-2)*20+卡牌属性!$DX277)</f>
        <v>4000</v>
      </c>
      <c r="FT277" s="14">
        <f>INDEX(属性投放!$BS$6:$BS$85,(卡牌属性!$DW277-2)*20+卡牌属性!$DX277)</f>
        <v>4000</v>
      </c>
      <c r="FU277" s="14">
        <f>INDEX(属性投放!$BS$6:$BS$85,(卡牌属性!$DW277-2)*20+卡牌属性!$DX277)</f>
        <v>4000</v>
      </c>
      <c r="FV277" s="14">
        <f>INDEX(属性投放!$BS$6:$BS$85,(卡牌属性!$DW277-2)*20+卡牌属性!$DX277)</f>
        <v>4000</v>
      </c>
    </row>
    <row r="278" spans="31:178" ht="16.5" x14ac:dyDescent="0.2">
      <c r="AE278" s="13">
        <v>274</v>
      </c>
      <c r="AF278" s="13">
        <f t="shared" si="560"/>
        <v>14</v>
      </c>
      <c r="AG278" s="13">
        <f t="shared" si="547"/>
        <v>3</v>
      </c>
      <c r="AH278" s="13"/>
      <c r="AI278" s="13"/>
      <c r="AJ278" s="14">
        <f t="shared" si="548"/>
        <v>1101014</v>
      </c>
      <c r="AK278" s="14" t="str">
        <f t="shared" si="549"/>
        <v>吕仙宫14突</v>
      </c>
      <c r="AL278" s="25" t="s">
        <v>142</v>
      </c>
      <c r="AM278" s="14">
        <v>1</v>
      </c>
      <c r="AN278" s="14">
        <f t="shared" si="550"/>
        <v>14</v>
      </c>
      <c r="AO278" s="14">
        <f>INDEX(属性投放!$DF$6:$DF$85,(卡牌属性!AG278-2)*20+卡牌属性!AN278)</f>
        <v>6167</v>
      </c>
      <c r="AP278" s="14">
        <f t="shared" si="570"/>
        <v>6167</v>
      </c>
      <c r="AQ278" s="14">
        <f t="shared" si="570"/>
        <v>6167</v>
      </c>
      <c r="AR278" s="14">
        <f t="shared" si="570"/>
        <v>6167</v>
      </c>
      <c r="AS278" s="14">
        <f t="shared" si="570"/>
        <v>6167</v>
      </c>
      <c r="AT278" s="14">
        <f>INDEX(属性投放!$DG$6:$DG$85,(卡牌属性!AG278-2)*20+卡牌属性!AN278)</f>
        <v>3022</v>
      </c>
      <c r="AU278" s="14">
        <f t="shared" si="571"/>
        <v>3022</v>
      </c>
      <c r="AV278" s="14">
        <f t="shared" si="571"/>
        <v>3022</v>
      </c>
      <c r="AW278" s="14">
        <f t="shared" si="571"/>
        <v>3022</v>
      </c>
      <c r="AX278" s="14">
        <f t="shared" si="571"/>
        <v>3022</v>
      </c>
      <c r="AY278" s="14">
        <f>INDEX(属性投放!$DH$6:$DH$85,(卡牌属性!AG278-2)*20+卡牌属性!AN278)</f>
        <v>50793</v>
      </c>
      <c r="AZ278" s="14">
        <f t="shared" si="572"/>
        <v>50793</v>
      </c>
      <c r="BA278" s="14">
        <f t="shared" si="572"/>
        <v>50793</v>
      </c>
      <c r="BB278" s="14">
        <f t="shared" si="572"/>
        <v>50793</v>
      </c>
      <c r="BC278" s="14">
        <f t="shared" si="572"/>
        <v>50793</v>
      </c>
      <c r="BD278" s="14">
        <f>INDEX(属性投放!$DL$6:$DL$85,(卡牌属性!AG278-2)*20+卡牌属性!AN278)</f>
        <v>176</v>
      </c>
      <c r="BE278" s="14">
        <f t="shared" si="573"/>
        <v>176</v>
      </c>
      <c r="BF278" s="14">
        <f t="shared" si="573"/>
        <v>176</v>
      </c>
      <c r="BG278" s="14">
        <f t="shared" si="573"/>
        <v>176</v>
      </c>
      <c r="BH278" s="14">
        <f t="shared" si="573"/>
        <v>176</v>
      </c>
      <c r="BI278" s="14">
        <f>INDEX(属性投放!$DM$6:$DM$85,(卡牌属性!AG278-2)*20+卡牌属性!AN278)</f>
        <v>88</v>
      </c>
      <c r="BJ278" s="14">
        <f t="shared" si="574"/>
        <v>88</v>
      </c>
      <c r="BK278" s="14">
        <f t="shared" si="574"/>
        <v>88</v>
      </c>
      <c r="BL278" s="14">
        <f t="shared" si="574"/>
        <v>88</v>
      </c>
      <c r="BM278" s="14">
        <f t="shared" si="574"/>
        <v>88</v>
      </c>
      <c r="BN278" s="14">
        <f>INDEX(属性投放!$DN$6:$DN$85,(卡牌属性!AG278-2)*20+卡牌属性!AN278)</f>
        <v>1759</v>
      </c>
      <c r="BO278" s="14">
        <f t="shared" si="575"/>
        <v>1759</v>
      </c>
      <c r="BP278" s="14">
        <f t="shared" si="575"/>
        <v>1759</v>
      </c>
      <c r="BQ278" s="14">
        <f t="shared" si="575"/>
        <v>1759</v>
      </c>
      <c r="BR278" s="14">
        <f t="shared" si="575"/>
        <v>1759</v>
      </c>
      <c r="BW278" s="13">
        <v>274</v>
      </c>
      <c r="BX278" s="13">
        <f t="shared" si="551"/>
        <v>14</v>
      </c>
      <c r="BY278" s="14">
        <f t="shared" si="552"/>
        <v>3</v>
      </c>
      <c r="BZ278" s="14">
        <f t="shared" si="561"/>
        <v>1102014</v>
      </c>
      <c r="CA278" s="14" t="str">
        <f t="shared" si="562"/>
        <v>石灵明14突</v>
      </c>
      <c r="CB278" s="25" t="s">
        <v>142</v>
      </c>
      <c r="CC278" s="14">
        <v>2</v>
      </c>
      <c r="CD278" s="14">
        <f t="shared" si="553"/>
        <v>14</v>
      </c>
      <c r="CE278" s="14" t="s">
        <v>21</v>
      </c>
      <c r="CF278" s="14">
        <f>INDEX(属性投放!$AZ$6:$AZ$85,(BY278-2)*20+CD278)</f>
        <v>6791</v>
      </c>
      <c r="CG278" s="14" t="s">
        <v>22</v>
      </c>
      <c r="CH278" s="14">
        <f>INDEX(属性投放!$BA$6:$BA$85,(BY278-2)*20+CD278)</f>
        <v>3349</v>
      </c>
      <c r="CI278" s="14" t="s">
        <v>510</v>
      </c>
      <c r="CJ278" s="14">
        <f>INDEX(属性投放!$BB$6:$BB$85,(BY278-2)*20+CD278)</f>
        <v>57090</v>
      </c>
      <c r="CK278" s="14" t="s">
        <v>21</v>
      </c>
      <c r="CL278" s="14">
        <f>INDEX(属性投放!$BC$6:$BC$85,(BY278-2)*20+CD278)</f>
        <v>25</v>
      </c>
      <c r="CM278" s="14" t="s">
        <v>22</v>
      </c>
      <c r="CN278" s="14">
        <f>INDEX(属性投放!$BD$6:$BD$85,(BY278-2)*20+CD278)</f>
        <v>13</v>
      </c>
      <c r="CO278" s="14" t="s">
        <v>510</v>
      </c>
      <c r="CP278" s="14">
        <f>INDEX(属性投放!$BE$6:$BE$85,(BY278-2)*20+CD278)</f>
        <v>250</v>
      </c>
      <c r="CS278" s="13">
        <v>274</v>
      </c>
      <c r="CT278" s="13">
        <f t="shared" si="563"/>
        <v>6</v>
      </c>
      <c r="CU278" s="13">
        <f t="shared" si="564"/>
        <v>14</v>
      </c>
      <c r="CV278" s="14">
        <f t="shared" si="565"/>
        <v>5</v>
      </c>
      <c r="CW278" s="14">
        <f t="shared" si="566"/>
        <v>1102006</v>
      </c>
      <c r="CX278" s="14" t="str">
        <f>INDEX($O$6:$O$50,CT278)&amp;"-"&amp;INDEX(属性投放!$AB$7:$AB$50,CZ278)&amp;"-魂火-"&amp;DB278</f>
        <v>项羽-叫唤+1-魂火-1</v>
      </c>
      <c r="CY278" s="25" t="s">
        <v>142</v>
      </c>
      <c r="CZ278" s="14">
        <f>INDEX(属性投放!$AM$7:$AM$58,CU278)</f>
        <v>8</v>
      </c>
      <c r="DA278" s="14" t="s">
        <v>537</v>
      </c>
      <c r="DB278" s="14">
        <f>INDEX(属性投放!$AN$7:$AN$58,CU278)</f>
        <v>1</v>
      </c>
      <c r="DC278" s="14">
        <f t="shared" si="554"/>
        <v>14</v>
      </c>
      <c r="DD278" s="14">
        <f>INDEX(属性投放!$AO$7:$AO$58,DC278)</f>
        <v>53</v>
      </c>
      <c r="DE278" s="14" t="s">
        <v>538</v>
      </c>
      <c r="DF278" s="14">
        <f>INDEX(属性投放!$BK$6:$BK$85,(CV278-2)*20+CZ278)</f>
        <v>120</v>
      </c>
      <c r="DG278" s="14">
        <f>SUMIFS(DF$5:DF278,$CT$5:$CT278,"="&amp;$CT278)</f>
        <v>935</v>
      </c>
      <c r="DH278" s="14" t="s">
        <v>539</v>
      </c>
      <c r="DI278" s="14">
        <f>INDEX(属性投放!$BL$6:$BL$85,(CV278-2)*20+CZ278)</f>
        <v>60</v>
      </c>
      <c r="DJ278" s="14">
        <f>SUMIFS(DI$5:DI278,$CT$5:$CT278,"="&amp;$CT278)</f>
        <v>470</v>
      </c>
      <c r="DK278" s="14" t="s">
        <v>540</v>
      </c>
      <c r="DL278" s="14">
        <f>INDEX(属性投放!$BM$6:$BM$85,(CV278-2)*20+CZ278)</f>
        <v>960</v>
      </c>
      <c r="DM278" s="14">
        <f>SUMIFS(DL$5:DL278,$CT$5:$CT278,"="&amp;$CT278)</f>
        <v>6660</v>
      </c>
      <c r="DR278" s="14">
        <f t="shared" si="555"/>
        <v>1102014</v>
      </c>
      <c r="DS278" s="14" t="str">
        <f t="shared" si="556"/>
        <v>石灵明14突</v>
      </c>
      <c r="DT278" s="14">
        <f t="shared" si="567"/>
        <v>5</v>
      </c>
      <c r="DU278" s="14">
        <f t="shared" si="568"/>
        <v>5</v>
      </c>
      <c r="DV278" s="14">
        <f t="shared" si="569"/>
        <v>5</v>
      </c>
      <c r="DW278" s="14">
        <f t="shared" si="557"/>
        <v>3</v>
      </c>
      <c r="DX278" s="14">
        <f t="shared" si="558"/>
        <v>14</v>
      </c>
      <c r="DY278" s="14">
        <f t="shared" si="559"/>
        <v>34</v>
      </c>
      <c r="DZ278" s="14">
        <f>INDEX(属性投放!$AX$6:$AX$85,(卡牌属性!DW278-2)*20+卡牌属性!DX278)</f>
        <v>7</v>
      </c>
      <c r="EA278" s="14">
        <f>INDEX(属性投放!BQ$6:BQ$85,卡牌属性!$DY278)</f>
        <v>450</v>
      </c>
      <c r="EB278" s="14">
        <f>INDEX(属性投放!BR$6:BR$85,卡牌属性!$DY278)</f>
        <v>225</v>
      </c>
      <c r="EC278" s="14">
        <f>INDEX(属性投放!BS$6:BS$85,卡牌属性!$DY278)</f>
        <v>4500</v>
      </c>
      <c r="ED278" s="14">
        <f t="shared" si="576"/>
        <v>3621</v>
      </c>
      <c r="EE278" s="14">
        <f t="shared" si="577"/>
        <v>3764</v>
      </c>
      <c r="EF278" s="14">
        <f t="shared" si="578"/>
        <v>4483</v>
      </c>
      <c r="EG278" s="14">
        <f t="shared" si="579"/>
        <v>4483</v>
      </c>
      <c r="EH278" s="14">
        <f t="shared" si="580"/>
        <v>4825</v>
      </c>
      <c r="EI278" s="14">
        <f t="shared" si="581"/>
        <v>1781</v>
      </c>
      <c r="EJ278" s="14">
        <f t="shared" si="582"/>
        <v>1859</v>
      </c>
      <c r="EK278" s="14">
        <f t="shared" si="583"/>
        <v>1859</v>
      </c>
      <c r="EL278" s="14">
        <f t="shared" si="584"/>
        <v>2213</v>
      </c>
      <c r="EM278" s="14">
        <f t="shared" si="585"/>
        <v>2392</v>
      </c>
      <c r="EN278" s="14">
        <f t="shared" si="586"/>
        <v>29350</v>
      </c>
      <c r="EO278" s="14">
        <f t="shared" si="587"/>
        <v>30364</v>
      </c>
      <c r="EP278" s="14">
        <f t="shared" si="588"/>
        <v>30364</v>
      </c>
      <c r="EQ278" s="14">
        <f t="shared" si="589"/>
        <v>36198</v>
      </c>
      <c r="ER278" s="14">
        <f t="shared" si="590"/>
        <v>38792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INDEX(属性投放!$BQ$6:$BQ$85,(卡牌属性!$DW278-2)*20+卡牌属性!$DX278)</f>
        <v>450</v>
      </c>
      <c r="FI278" s="14">
        <f>INDEX(属性投放!$BQ$6:$BQ$85,(卡牌属性!$DW278-2)*20+卡牌属性!$DX278)</f>
        <v>450</v>
      </c>
      <c r="FJ278" s="14">
        <f>INDEX(属性投放!$BQ$6:$BQ$85,(卡牌属性!$DW278-2)*20+卡牌属性!$DX278)</f>
        <v>450</v>
      </c>
      <c r="FK278" s="14">
        <f>INDEX(属性投放!$BQ$6:$BQ$85,(卡牌属性!$DW278-2)*20+卡牌属性!$DX278)</f>
        <v>450</v>
      </c>
      <c r="FL278" s="14">
        <f>INDEX(属性投放!$BQ$6:$BQ$85,(卡牌属性!$DW278-2)*20+卡牌属性!$DX278)</f>
        <v>450</v>
      </c>
      <c r="FM278" s="14">
        <f>INDEX(属性投放!$BR$6:$BR$85,(卡牌属性!$DW278-2)*20+卡牌属性!$DX278)</f>
        <v>225</v>
      </c>
      <c r="FN278" s="14">
        <f>INDEX(属性投放!$BR$6:$BR$85,(卡牌属性!$DW278-2)*20+卡牌属性!$DX278)</f>
        <v>225</v>
      </c>
      <c r="FO278" s="14">
        <f>INDEX(属性投放!$BR$6:$BR$85,(卡牌属性!$DW278-2)*20+卡牌属性!$DX278)</f>
        <v>225</v>
      </c>
      <c r="FP278" s="14">
        <f>INDEX(属性投放!$BR$6:$BR$85,(卡牌属性!$DW278-2)*20+卡牌属性!$DX278)</f>
        <v>225</v>
      </c>
      <c r="FQ278" s="14">
        <f>INDEX(属性投放!$BR$6:$BR$85,(卡牌属性!$DW278-2)*20+卡牌属性!$DX278)</f>
        <v>225</v>
      </c>
      <c r="FR278" s="14">
        <f>INDEX(属性投放!$BS$6:$BS$85,(卡牌属性!$DW278-2)*20+卡牌属性!$DX278)</f>
        <v>4500</v>
      </c>
      <c r="FS278" s="14">
        <f>INDEX(属性投放!$BS$6:$BS$85,(卡牌属性!$DW278-2)*20+卡牌属性!$DX278)</f>
        <v>4500</v>
      </c>
      <c r="FT278" s="14">
        <f>INDEX(属性投放!$BS$6:$BS$85,(卡牌属性!$DW278-2)*20+卡牌属性!$DX278)</f>
        <v>4500</v>
      </c>
      <c r="FU278" s="14">
        <f>INDEX(属性投放!$BS$6:$BS$85,(卡牌属性!$DW278-2)*20+卡牌属性!$DX278)</f>
        <v>4500</v>
      </c>
      <c r="FV278" s="14">
        <f>INDEX(属性投放!$BS$6:$BS$85,(卡牌属性!$DW278-2)*20+卡牌属性!$DX278)</f>
        <v>4500</v>
      </c>
    </row>
    <row r="279" spans="31:178" ht="16.5" x14ac:dyDescent="0.2">
      <c r="AE279" s="13">
        <v>275</v>
      </c>
      <c r="AF279" s="13">
        <f t="shared" si="560"/>
        <v>14</v>
      </c>
      <c r="AG279" s="13">
        <f t="shared" si="547"/>
        <v>3</v>
      </c>
      <c r="AH279" s="13"/>
      <c r="AI279" s="13"/>
      <c r="AJ279" s="14">
        <f t="shared" si="548"/>
        <v>1101014</v>
      </c>
      <c r="AK279" s="14" t="str">
        <f t="shared" si="549"/>
        <v>吕仙宫15突</v>
      </c>
      <c r="AL279" s="25" t="s">
        <v>142</v>
      </c>
      <c r="AM279" s="14">
        <v>1</v>
      </c>
      <c r="AN279" s="14">
        <f t="shared" si="550"/>
        <v>15</v>
      </c>
      <c r="AO279" s="14">
        <f>INDEX(属性投放!$DF$6:$DF$85,(卡牌属性!AG279-2)*20+卡牌属性!AN279)</f>
        <v>6670</v>
      </c>
      <c r="AP279" s="14">
        <f t="shared" si="570"/>
        <v>6670</v>
      </c>
      <c r="AQ279" s="14">
        <f t="shared" si="570"/>
        <v>6670</v>
      </c>
      <c r="AR279" s="14">
        <f t="shared" si="570"/>
        <v>6670</v>
      </c>
      <c r="AS279" s="14">
        <f t="shared" si="570"/>
        <v>6670</v>
      </c>
      <c r="AT279" s="14">
        <f>INDEX(属性投放!$DG$6:$DG$85,(卡牌属性!AG279-2)*20+卡牌属性!AN279)</f>
        <v>3274</v>
      </c>
      <c r="AU279" s="14">
        <f t="shared" si="571"/>
        <v>3274</v>
      </c>
      <c r="AV279" s="14">
        <f t="shared" si="571"/>
        <v>3274</v>
      </c>
      <c r="AW279" s="14">
        <f t="shared" si="571"/>
        <v>3274</v>
      </c>
      <c r="AX279" s="14">
        <f t="shared" si="571"/>
        <v>3274</v>
      </c>
      <c r="AY279" s="14">
        <f>INDEX(属性投放!$DH$6:$DH$85,(卡牌属性!AG279-2)*20+卡牌属性!AN279)</f>
        <v>55818</v>
      </c>
      <c r="AZ279" s="14">
        <f t="shared" si="572"/>
        <v>55818</v>
      </c>
      <c r="BA279" s="14">
        <f t="shared" si="572"/>
        <v>55818</v>
      </c>
      <c r="BB279" s="14">
        <f t="shared" si="572"/>
        <v>55818</v>
      </c>
      <c r="BC279" s="14">
        <f t="shared" si="572"/>
        <v>55818</v>
      </c>
      <c r="BD279" s="14">
        <f>INDEX(属性投放!$DL$6:$DL$85,(卡牌属性!AG279-2)*20+卡牌属性!AN279)</f>
        <v>176</v>
      </c>
      <c r="BE279" s="14">
        <f t="shared" si="573"/>
        <v>176</v>
      </c>
      <c r="BF279" s="14">
        <f t="shared" si="573"/>
        <v>176</v>
      </c>
      <c r="BG279" s="14">
        <f t="shared" si="573"/>
        <v>176</v>
      </c>
      <c r="BH279" s="14">
        <f t="shared" si="573"/>
        <v>176</v>
      </c>
      <c r="BI279" s="14">
        <f>INDEX(属性投放!$DM$6:$DM$85,(卡牌属性!AG279-2)*20+卡牌属性!AN279)</f>
        <v>88</v>
      </c>
      <c r="BJ279" s="14">
        <f t="shared" si="574"/>
        <v>88</v>
      </c>
      <c r="BK279" s="14">
        <f t="shared" si="574"/>
        <v>88</v>
      </c>
      <c r="BL279" s="14">
        <f t="shared" si="574"/>
        <v>88</v>
      </c>
      <c r="BM279" s="14">
        <f t="shared" si="574"/>
        <v>88</v>
      </c>
      <c r="BN279" s="14">
        <f>INDEX(属性投放!$DN$6:$DN$85,(卡牌属性!AG279-2)*20+卡牌属性!AN279)</f>
        <v>1759</v>
      </c>
      <c r="BO279" s="14">
        <f t="shared" si="575"/>
        <v>1759</v>
      </c>
      <c r="BP279" s="14">
        <f t="shared" si="575"/>
        <v>1759</v>
      </c>
      <c r="BQ279" s="14">
        <f t="shared" si="575"/>
        <v>1759</v>
      </c>
      <c r="BR279" s="14">
        <f t="shared" si="575"/>
        <v>1759</v>
      </c>
      <c r="BW279" s="13">
        <v>275</v>
      </c>
      <c r="BX279" s="13">
        <f t="shared" si="551"/>
        <v>14</v>
      </c>
      <c r="BY279" s="14">
        <f t="shared" si="552"/>
        <v>3</v>
      </c>
      <c r="BZ279" s="14">
        <f t="shared" si="561"/>
        <v>1102014</v>
      </c>
      <c r="CA279" s="14" t="str">
        <f t="shared" si="562"/>
        <v>石灵明15突</v>
      </c>
      <c r="CB279" s="25" t="s">
        <v>142</v>
      </c>
      <c r="CC279" s="14">
        <v>2</v>
      </c>
      <c r="CD279" s="14">
        <f t="shared" si="553"/>
        <v>15</v>
      </c>
      <c r="CE279" s="14" t="s">
        <v>21</v>
      </c>
      <c r="CF279" s="14">
        <f>INDEX(属性投放!$AZ$6:$AZ$85,(BY279-2)*20+CD279)</f>
        <v>8316</v>
      </c>
      <c r="CG279" s="14" t="s">
        <v>22</v>
      </c>
      <c r="CH279" s="14">
        <f>INDEX(属性投放!$BA$6:$BA$85,(BY279-2)*20+CD279)</f>
        <v>4115</v>
      </c>
      <c r="CI279" s="14" t="s">
        <v>510</v>
      </c>
      <c r="CJ279" s="14">
        <f>INDEX(属性投放!$BB$6:$BB$85,(BY279-2)*20+CD279)</f>
        <v>72340</v>
      </c>
      <c r="CK279" s="14" t="s">
        <v>21</v>
      </c>
      <c r="CL279" s="14">
        <f>INDEX(属性投放!$BC$6:$BC$85,(BY279-2)*20+CD279)</f>
        <v>25</v>
      </c>
      <c r="CM279" s="14" t="s">
        <v>22</v>
      </c>
      <c r="CN279" s="14">
        <f>INDEX(属性投放!$BD$6:$BD$85,(BY279-2)*20+CD279)</f>
        <v>13</v>
      </c>
      <c r="CO279" s="14" t="s">
        <v>510</v>
      </c>
      <c r="CP279" s="14">
        <f>INDEX(属性投放!$BE$6:$BE$85,(BY279-2)*20+CD279)</f>
        <v>250</v>
      </c>
      <c r="CS279" s="13">
        <v>275</v>
      </c>
      <c r="CT279" s="13">
        <f t="shared" si="563"/>
        <v>6</v>
      </c>
      <c r="CU279" s="13">
        <f t="shared" si="564"/>
        <v>15</v>
      </c>
      <c r="CV279" s="14">
        <f t="shared" si="565"/>
        <v>5</v>
      </c>
      <c r="CW279" s="14">
        <f t="shared" si="566"/>
        <v>1102006</v>
      </c>
      <c r="CX279" s="14" t="str">
        <f>INDEX($O$6:$O$50,CT279)&amp;"-"&amp;INDEX(属性投放!$AB$7:$AB$50,CZ279)&amp;"-魂火-"&amp;DB279</f>
        <v>项羽-叫唤+1-魂火-2</v>
      </c>
      <c r="CY279" s="25" t="s">
        <v>142</v>
      </c>
      <c r="CZ279" s="14">
        <f>INDEX(属性投放!$AM$7:$AM$58,CU279)</f>
        <v>8</v>
      </c>
      <c r="DA279" s="14" t="s">
        <v>537</v>
      </c>
      <c r="DB279" s="14">
        <f>INDEX(属性投放!$AN$7:$AN$58,CU279)</f>
        <v>2</v>
      </c>
      <c r="DC279" s="14">
        <f t="shared" si="554"/>
        <v>15</v>
      </c>
      <c r="DD279" s="14">
        <f>INDEX(属性投放!$AO$7:$AO$58,DC279)</f>
        <v>55</v>
      </c>
      <c r="DE279" s="14" t="s">
        <v>538</v>
      </c>
      <c r="DF279" s="14">
        <f>INDEX(属性投放!$BK$6:$BK$85,(CV279-2)*20+CZ279)</f>
        <v>120</v>
      </c>
      <c r="DG279" s="14">
        <f>SUMIFS(DF$5:DF279,$CT$5:$CT279,"="&amp;$CT279)</f>
        <v>1055</v>
      </c>
      <c r="DH279" s="14" t="s">
        <v>539</v>
      </c>
      <c r="DI279" s="14">
        <f>INDEX(属性投放!$BL$6:$BL$85,(CV279-2)*20+CZ279)</f>
        <v>60</v>
      </c>
      <c r="DJ279" s="14">
        <f>SUMIFS(DI$5:DI279,$CT$5:$CT279,"="&amp;$CT279)</f>
        <v>530</v>
      </c>
      <c r="DK279" s="14" t="s">
        <v>540</v>
      </c>
      <c r="DL279" s="14">
        <f>INDEX(属性投放!$BM$6:$BM$85,(CV279-2)*20+CZ279)</f>
        <v>960</v>
      </c>
      <c r="DM279" s="14">
        <f>SUMIFS(DL$5:DL279,$CT$5:$CT279,"="&amp;$CT279)</f>
        <v>7620</v>
      </c>
      <c r="DR279" s="14">
        <f t="shared" si="555"/>
        <v>1102014</v>
      </c>
      <c r="DS279" s="14" t="str">
        <f t="shared" si="556"/>
        <v>石灵明15突</v>
      </c>
      <c r="DT279" s="14">
        <f t="shared" si="567"/>
        <v>5</v>
      </c>
      <c r="DU279" s="14">
        <f t="shared" si="568"/>
        <v>5</v>
      </c>
      <c r="DV279" s="14">
        <f t="shared" si="569"/>
        <v>5</v>
      </c>
      <c r="DW279" s="14">
        <f t="shared" si="557"/>
        <v>3</v>
      </c>
      <c r="DX279" s="14">
        <f t="shared" si="558"/>
        <v>15</v>
      </c>
      <c r="DY279" s="14">
        <f t="shared" si="559"/>
        <v>35</v>
      </c>
      <c r="DZ279" s="14">
        <f>INDEX(属性投放!$AX$6:$AX$85,(卡牌属性!DW279-2)*20+卡牌属性!DX279)</f>
        <v>8</v>
      </c>
      <c r="EA279" s="14">
        <f>INDEX(属性投放!BQ$6:BQ$85,卡牌属性!$DY279)</f>
        <v>750</v>
      </c>
      <c r="EB279" s="14">
        <f>INDEX(属性投放!BR$6:BR$85,卡牌属性!$DY279)</f>
        <v>375</v>
      </c>
      <c r="EC279" s="14">
        <f>INDEX(属性投放!BS$6:BS$85,卡牌属性!$DY279)</f>
        <v>7500</v>
      </c>
      <c r="ED279" s="14">
        <f t="shared" si="576"/>
        <v>4246</v>
      </c>
      <c r="EE279" s="14">
        <f t="shared" si="577"/>
        <v>4396</v>
      </c>
      <c r="EF279" s="14">
        <f t="shared" si="578"/>
        <v>5213</v>
      </c>
      <c r="EG279" s="14">
        <f t="shared" si="579"/>
        <v>5213</v>
      </c>
      <c r="EH279" s="14">
        <f t="shared" si="580"/>
        <v>5590</v>
      </c>
      <c r="EI279" s="14">
        <f t="shared" si="581"/>
        <v>2097</v>
      </c>
      <c r="EJ279" s="14">
        <f t="shared" si="582"/>
        <v>2175</v>
      </c>
      <c r="EK279" s="14">
        <f t="shared" si="583"/>
        <v>2175</v>
      </c>
      <c r="EL279" s="14">
        <f t="shared" si="584"/>
        <v>2578</v>
      </c>
      <c r="EM279" s="14">
        <f t="shared" si="585"/>
        <v>2778</v>
      </c>
      <c r="EN279" s="14">
        <f t="shared" si="586"/>
        <v>35600</v>
      </c>
      <c r="EO279" s="14">
        <f t="shared" si="587"/>
        <v>36684</v>
      </c>
      <c r="EP279" s="14">
        <f t="shared" si="588"/>
        <v>36684</v>
      </c>
      <c r="EQ279" s="14">
        <f t="shared" si="589"/>
        <v>43498</v>
      </c>
      <c r="ER279" s="14">
        <f t="shared" si="590"/>
        <v>46442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INDEX(属性投放!$BQ$6:$BQ$85,(卡牌属性!$DW279-2)*20+卡牌属性!$DX279)</f>
        <v>750</v>
      </c>
      <c r="FI279" s="14">
        <f>INDEX(属性投放!$BQ$6:$BQ$85,(卡牌属性!$DW279-2)*20+卡牌属性!$DX279)</f>
        <v>750</v>
      </c>
      <c r="FJ279" s="14">
        <f>INDEX(属性投放!$BQ$6:$BQ$85,(卡牌属性!$DW279-2)*20+卡牌属性!$DX279)</f>
        <v>750</v>
      </c>
      <c r="FK279" s="14">
        <f>INDEX(属性投放!$BQ$6:$BQ$85,(卡牌属性!$DW279-2)*20+卡牌属性!$DX279)</f>
        <v>750</v>
      </c>
      <c r="FL279" s="14">
        <f>INDEX(属性投放!$BQ$6:$BQ$85,(卡牌属性!$DW279-2)*20+卡牌属性!$DX279)</f>
        <v>750</v>
      </c>
      <c r="FM279" s="14">
        <f>INDEX(属性投放!$BR$6:$BR$85,(卡牌属性!$DW279-2)*20+卡牌属性!$DX279)</f>
        <v>375</v>
      </c>
      <c r="FN279" s="14">
        <f>INDEX(属性投放!$BR$6:$BR$85,(卡牌属性!$DW279-2)*20+卡牌属性!$DX279)</f>
        <v>375</v>
      </c>
      <c r="FO279" s="14">
        <f>INDEX(属性投放!$BR$6:$BR$85,(卡牌属性!$DW279-2)*20+卡牌属性!$DX279)</f>
        <v>375</v>
      </c>
      <c r="FP279" s="14">
        <f>INDEX(属性投放!$BR$6:$BR$85,(卡牌属性!$DW279-2)*20+卡牌属性!$DX279)</f>
        <v>375</v>
      </c>
      <c r="FQ279" s="14">
        <f>INDEX(属性投放!$BR$6:$BR$85,(卡牌属性!$DW279-2)*20+卡牌属性!$DX279)</f>
        <v>375</v>
      </c>
      <c r="FR279" s="14">
        <f>INDEX(属性投放!$BS$6:$BS$85,(卡牌属性!$DW279-2)*20+卡牌属性!$DX279)</f>
        <v>7500</v>
      </c>
      <c r="FS279" s="14">
        <f>INDEX(属性投放!$BS$6:$BS$85,(卡牌属性!$DW279-2)*20+卡牌属性!$DX279)</f>
        <v>7500</v>
      </c>
      <c r="FT279" s="14">
        <f>INDEX(属性投放!$BS$6:$BS$85,(卡牌属性!$DW279-2)*20+卡牌属性!$DX279)</f>
        <v>7500</v>
      </c>
      <c r="FU279" s="14">
        <f>INDEX(属性投放!$BS$6:$BS$85,(卡牌属性!$DW279-2)*20+卡牌属性!$DX279)</f>
        <v>7500</v>
      </c>
      <c r="FV279" s="14">
        <f>INDEX(属性投放!$BS$6:$BS$85,(卡牌属性!$DW279-2)*20+卡牌属性!$DX279)</f>
        <v>7500</v>
      </c>
    </row>
    <row r="280" spans="31:178" ht="16.5" x14ac:dyDescent="0.2">
      <c r="AE280" s="13">
        <v>276</v>
      </c>
      <c r="AF280" s="13">
        <f t="shared" si="560"/>
        <v>14</v>
      </c>
      <c r="AG280" s="13">
        <f t="shared" si="547"/>
        <v>3</v>
      </c>
      <c r="AH280" s="13"/>
      <c r="AI280" s="13"/>
      <c r="AJ280" s="14">
        <f t="shared" si="548"/>
        <v>1101014</v>
      </c>
      <c r="AK280" s="14" t="str">
        <f t="shared" si="549"/>
        <v>吕仙宫16突</v>
      </c>
      <c r="AL280" s="25" t="s">
        <v>142</v>
      </c>
      <c r="AM280" s="14">
        <v>1</v>
      </c>
      <c r="AN280" s="14">
        <f t="shared" si="550"/>
        <v>16</v>
      </c>
      <c r="AO280" s="14">
        <f>INDEX(属性投放!$DF$6:$DF$85,(卡牌属性!AG280-2)*20+卡牌属性!AN280)</f>
        <v>11573</v>
      </c>
      <c r="AP280" s="14">
        <f t="shared" si="570"/>
        <v>11573</v>
      </c>
      <c r="AQ280" s="14">
        <f t="shared" si="570"/>
        <v>11573</v>
      </c>
      <c r="AR280" s="14">
        <f t="shared" si="570"/>
        <v>11573</v>
      </c>
      <c r="AS280" s="14">
        <f t="shared" si="570"/>
        <v>11573</v>
      </c>
      <c r="AT280" s="14">
        <f>INDEX(属性投放!$DG$6:$DG$85,(卡牌属性!AG280-2)*20+卡牌属性!AN280)</f>
        <v>5726</v>
      </c>
      <c r="AU280" s="14">
        <f t="shared" si="571"/>
        <v>5726</v>
      </c>
      <c r="AV280" s="14">
        <f t="shared" si="571"/>
        <v>5726</v>
      </c>
      <c r="AW280" s="14">
        <f t="shared" si="571"/>
        <v>5726</v>
      </c>
      <c r="AX280" s="14">
        <f t="shared" si="571"/>
        <v>5726</v>
      </c>
      <c r="AY280" s="14">
        <f>INDEX(属性投放!$DH$6:$DH$85,(卡牌属性!AG280-2)*20+卡牌属性!AN280)</f>
        <v>104818</v>
      </c>
      <c r="AZ280" s="14">
        <f t="shared" si="572"/>
        <v>104818</v>
      </c>
      <c r="BA280" s="14">
        <f t="shared" si="572"/>
        <v>104818</v>
      </c>
      <c r="BB280" s="14">
        <f t="shared" si="572"/>
        <v>104818</v>
      </c>
      <c r="BC280" s="14">
        <f t="shared" si="572"/>
        <v>104818</v>
      </c>
      <c r="BD280" s="14">
        <f>INDEX(属性投放!$DL$6:$DL$85,(卡牌属性!AG280-2)*20+卡牌属性!AN280)</f>
        <v>259</v>
      </c>
      <c r="BE280" s="14">
        <f t="shared" si="573"/>
        <v>259</v>
      </c>
      <c r="BF280" s="14">
        <f t="shared" si="573"/>
        <v>259</v>
      </c>
      <c r="BG280" s="14">
        <f t="shared" si="573"/>
        <v>259</v>
      </c>
      <c r="BH280" s="14">
        <f t="shared" si="573"/>
        <v>259</v>
      </c>
      <c r="BI280" s="14">
        <f>INDEX(属性投放!$DM$6:$DM$85,(卡牌属性!AG280-2)*20+卡牌属性!AN280)</f>
        <v>130</v>
      </c>
      <c r="BJ280" s="14">
        <f t="shared" si="574"/>
        <v>130</v>
      </c>
      <c r="BK280" s="14">
        <f t="shared" si="574"/>
        <v>130</v>
      </c>
      <c r="BL280" s="14">
        <f t="shared" si="574"/>
        <v>130</v>
      </c>
      <c r="BM280" s="14">
        <f t="shared" si="574"/>
        <v>130</v>
      </c>
      <c r="BN280" s="14">
        <f>INDEX(属性投放!$DN$6:$DN$85,(卡牌属性!AG280-2)*20+卡牌属性!AN280)</f>
        <v>2593</v>
      </c>
      <c r="BO280" s="14">
        <f t="shared" si="575"/>
        <v>2593</v>
      </c>
      <c r="BP280" s="14">
        <f t="shared" si="575"/>
        <v>2593</v>
      </c>
      <c r="BQ280" s="14">
        <f t="shared" si="575"/>
        <v>2593</v>
      </c>
      <c r="BR280" s="14">
        <f t="shared" si="575"/>
        <v>2593</v>
      </c>
      <c r="BW280" s="13">
        <v>276</v>
      </c>
      <c r="BX280" s="13">
        <f t="shared" si="551"/>
        <v>14</v>
      </c>
      <c r="BY280" s="14">
        <f t="shared" si="552"/>
        <v>3</v>
      </c>
      <c r="BZ280" s="14">
        <f t="shared" si="561"/>
        <v>1102014</v>
      </c>
      <c r="CA280" s="14" t="str">
        <f t="shared" si="562"/>
        <v>石灵明16突</v>
      </c>
      <c r="CB280" s="25" t="s">
        <v>142</v>
      </c>
      <c r="CC280" s="14">
        <v>2</v>
      </c>
      <c r="CD280" s="14">
        <f t="shared" si="553"/>
        <v>16</v>
      </c>
      <c r="CE280" s="14" t="s">
        <v>21</v>
      </c>
      <c r="CF280" s="14">
        <f>INDEX(属性投放!$AZ$6:$AZ$85,(BY280-2)*20+CD280)</f>
        <v>10466</v>
      </c>
      <c r="CG280" s="14" t="s">
        <v>22</v>
      </c>
      <c r="CH280" s="14">
        <f>INDEX(属性投放!$BA$6:$BA$85,(BY280-2)*20+CD280)</f>
        <v>5194</v>
      </c>
      <c r="CI280" s="14" t="s">
        <v>510</v>
      </c>
      <c r="CJ280" s="14">
        <f>INDEX(属性投放!$BB$6:$BB$85,(BY280-2)*20+CD280)</f>
        <v>93840</v>
      </c>
      <c r="CK280" s="14" t="s">
        <v>21</v>
      </c>
      <c r="CL280" s="14">
        <f>INDEX(属性投放!$BC$6:$BC$85,(BY280-2)*20+CD280)</f>
        <v>30</v>
      </c>
      <c r="CM280" s="14" t="s">
        <v>22</v>
      </c>
      <c r="CN280" s="14">
        <f>INDEX(属性投放!$BD$6:$BD$85,(BY280-2)*20+CD280)</f>
        <v>15</v>
      </c>
      <c r="CO280" s="14" t="s">
        <v>510</v>
      </c>
      <c r="CP280" s="14">
        <f>INDEX(属性投放!$BE$6:$BE$85,(BY280-2)*20+CD280)</f>
        <v>300</v>
      </c>
      <c r="CS280" s="13">
        <v>276</v>
      </c>
      <c r="CT280" s="13">
        <f t="shared" si="563"/>
        <v>6</v>
      </c>
      <c r="CU280" s="13">
        <f t="shared" si="564"/>
        <v>16</v>
      </c>
      <c r="CV280" s="14">
        <f t="shared" si="565"/>
        <v>5</v>
      </c>
      <c r="CW280" s="14">
        <f t="shared" si="566"/>
        <v>1102006</v>
      </c>
      <c r="CX280" s="14" t="str">
        <f>INDEX($O$6:$O$50,CT280)&amp;"-"&amp;INDEX(属性投放!$AB$7:$AB$50,CZ280)&amp;"-魂火-"&amp;DB280</f>
        <v>项羽-叫唤+2-魂火-1</v>
      </c>
      <c r="CY280" s="25" t="s">
        <v>142</v>
      </c>
      <c r="CZ280" s="14">
        <f>INDEX(属性投放!$AM$7:$AM$58,CU280)</f>
        <v>9</v>
      </c>
      <c r="DA280" s="14" t="s">
        <v>537</v>
      </c>
      <c r="DB280" s="14">
        <f>INDEX(属性投放!$AN$7:$AN$58,CU280)</f>
        <v>1</v>
      </c>
      <c r="DC280" s="14">
        <f t="shared" si="554"/>
        <v>16</v>
      </c>
      <c r="DD280" s="14">
        <f>INDEX(属性投放!$AO$7:$AO$58,DC280)</f>
        <v>58</v>
      </c>
      <c r="DE280" s="14" t="s">
        <v>538</v>
      </c>
      <c r="DF280" s="14">
        <f>INDEX(属性投放!$BK$6:$BK$85,(CV280-2)*20+CZ280)</f>
        <v>138</v>
      </c>
      <c r="DG280" s="14">
        <f>SUMIFS(DF$5:DF280,$CT$5:$CT280,"="&amp;$CT280)</f>
        <v>1193</v>
      </c>
      <c r="DH280" s="14" t="s">
        <v>539</v>
      </c>
      <c r="DI280" s="14">
        <f>INDEX(属性投放!$BL$6:$BL$85,(CV280-2)*20+CZ280)</f>
        <v>69</v>
      </c>
      <c r="DJ280" s="14">
        <f>SUMIFS(DI$5:DI280,$CT$5:$CT280,"="&amp;$CT280)</f>
        <v>599</v>
      </c>
      <c r="DK280" s="14" t="s">
        <v>540</v>
      </c>
      <c r="DL280" s="14">
        <f>INDEX(属性投放!$BM$6:$BM$85,(CV280-2)*20+CZ280)</f>
        <v>1104</v>
      </c>
      <c r="DM280" s="14">
        <f>SUMIFS(DL$5:DL280,$CT$5:$CT280,"="&amp;$CT280)</f>
        <v>8724</v>
      </c>
      <c r="DR280" s="14">
        <f t="shared" si="555"/>
        <v>1102014</v>
      </c>
      <c r="DS280" s="14" t="str">
        <f t="shared" si="556"/>
        <v>石灵明16突</v>
      </c>
      <c r="DT280" s="14">
        <f t="shared" si="567"/>
        <v>5</v>
      </c>
      <c r="DU280" s="14">
        <f t="shared" si="568"/>
        <v>5</v>
      </c>
      <c r="DV280" s="14">
        <f t="shared" si="569"/>
        <v>5</v>
      </c>
      <c r="DW280" s="14">
        <f t="shared" si="557"/>
        <v>3</v>
      </c>
      <c r="DX280" s="14">
        <f t="shared" si="558"/>
        <v>16</v>
      </c>
      <c r="DY280" s="14">
        <f t="shared" si="559"/>
        <v>36</v>
      </c>
      <c r="DZ280" s="14">
        <f>INDEX(属性投放!$AX$6:$AX$85,(卡牌属性!DW280-2)*20+卡牌属性!DX280)</f>
        <v>7</v>
      </c>
      <c r="EA280" s="14">
        <f>INDEX(属性投放!BQ$6:BQ$85,卡牌属性!$DY280)</f>
        <v>800</v>
      </c>
      <c r="EB280" s="14">
        <f>INDEX(属性投放!BR$6:BR$85,卡牌属性!$DY280)</f>
        <v>400</v>
      </c>
      <c r="EC280" s="14">
        <f>INDEX(属性投放!BS$6:BS$85,卡牌属性!$DY280)</f>
        <v>8000</v>
      </c>
      <c r="ED280" s="14">
        <f t="shared" si="576"/>
        <v>5196</v>
      </c>
      <c r="EE280" s="14">
        <f t="shared" si="577"/>
        <v>5354</v>
      </c>
      <c r="EF280" s="14">
        <f t="shared" si="578"/>
        <v>6283</v>
      </c>
      <c r="EG280" s="14">
        <f t="shared" si="579"/>
        <v>6283</v>
      </c>
      <c r="EH280" s="14">
        <f t="shared" si="580"/>
        <v>6700</v>
      </c>
      <c r="EI280" s="14">
        <f t="shared" si="581"/>
        <v>2576</v>
      </c>
      <c r="EJ280" s="14">
        <f t="shared" si="582"/>
        <v>2654</v>
      </c>
      <c r="EK280" s="14">
        <f t="shared" si="583"/>
        <v>2654</v>
      </c>
      <c r="EL280" s="14">
        <f t="shared" si="584"/>
        <v>3113</v>
      </c>
      <c r="EM280" s="14">
        <f t="shared" si="585"/>
        <v>3337</v>
      </c>
      <c r="EN280" s="14">
        <f t="shared" si="586"/>
        <v>45100</v>
      </c>
      <c r="EO280" s="14">
        <f t="shared" si="587"/>
        <v>46264</v>
      </c>
      <c r="EP280" s="14">
        <f t="shared" si="588"/>
        <v>46264</v>
      </c>
      <c r="EQ280" s="14">
        <f t="shared" si="589"/>
        <v>54198</v>
      </c>
      <c r="ER280" s="14">
        <f t="shared" si="590"/>
        <v>57542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INDEX(属性投放!$BQ$6:$BQ$85,(卡牌属性!$DW280-2)*20+卡牌属性!$DX280)</f>
        <v>800</v>
      </c>
      <c r="FI280" s="14">
        <f>INDEX(属性投放!$BQ$6:$BQ$85,(卡牌属性!$DW280-2)*20+卡牌属性!$DX280)</f>
        <v>800</v>
      </c>
      <c r="FJ280" s="14">
        <f>INDEX(属性投放!$BQ$6:$BQ$85,(卡牌属性!$DW280-2)*20+卡牌属性!$DX280)</f>
        <v>800</v>
      </c>
      <c r="FK280" s="14">
        <f>INDEX(属性投放!$BQ$6:$BQ$85,(卡牌属性!$DW280-2)*20+卡牌属性!$DX280)</f>
        <v>800</v>
      </c>
      <c r="FL280" s="14">
        <f>INDEX(属性投放!$BQ$6:$BQ$85,(卡牌属性!$DW280-2)*20+卡牌属性!$DX280)</f>
        <v>800</v>
      </c>
      <c r="FM280" s="14">
        <f>INDEX(属性投放!$BR$6:$BR$85,(卡牌属性!$DW280-2)*20+卡牌属性!$DX280)</f>
        <v>400</v>
      </c>
      <c r="FN280" s="14">
        <f>INDEX(属性投放!$BR$6:$BR$85,(卡牌属性!$DW280-2)*20+卡牌属性!$DX280)</f>
        <v>400</v>
      </c>
      <c r="FO280" s="14">
        <f>INDEX(属性投放!$BR$6:$BR$85,(卡牌属性!$DW280-2)*20+卡牌属性!$DX280)</f>
        <v>400</v>
      </c>
      <c r="FP280" s="14">
        <f>INDEX(属性投放!$BR$6:$BR$85,(卡牌属性!$DW280-2)*20+卡牌属性!$DX280)</f>
        <v>400</v>
      </c>
      <c r="FQ280" s="14">
        <f>INDEX(属性投放!$BR$6:$BR$85,(卡牌属性!$DW280-2)*20+卡牌属性!$DX280)</f>
        <v>400</v>
      </c>
      <c r="FR280" s="14">
        <f>INDEX(属性投放!$BS$6:$BS$85,(卡牌属性!$DW280-2)*20+卡牌属性!$DX280)</f>
        <v>8000</v>
      </c>
      <c r="FS280" s="14">
        <f>INDEX(属性投放!$BS$6:$BS$85,(卡牌属性!$DW280-2)*20+卡牌属性!$DX280)</f>
        <v>8000</v>
      </c>
      <c r="FT280" s="14">
        <f>INDEX(属性投放!$BS$6:$BS$85,(卡牌属性!$DW280-2)*20+卡牌属性!$DX280)</f>
        <v>8000</v>
      </c>
      <c r="FU280" s="14">
        <f>INDEX(属性投放!$BS$6:$BS$85,(卡牌属性!$DW280-2)*20+卡牌属性!$DX280)</f>
        <v>8000</v>
      </c>
      <c r="FV280" s="14">
        <f>INDEX(属性投放!$BS$6:$BS$85,(卡牌属性!$DW280-2)*20+卡牌属性!$DX280)</f>
        <v>8000</v>
      </c>
    </row>
    <row r="281" spans="31:178" ht="16.5" x14ac:dyDescent="0.2">
      <c r="AE281" s="13">
        <v>277</v>
      </c>
      <c r="AF281" s="13">
        <f t="shared" si="560"/>
        <v>14</v>
      </c>
      <c r="AG281" s="13">
        <f t="shared" si="547"/>
        <v>3</v>
      </c>
      <c r="AH281" s="13"/>
      <c r="AI281" s="13"/>
      <c r="AJ281" s="14">
        <f t="shared" si="548"/>
        <v>1101014</v>
      </c>
      <c r="AK281" s="14" t="str">
        <f t="shared" si="549"/>
        <v>吕仙宫17突</v>
      </c>
      <c r="AL281" s="25" t="s">
        <v>142</v>
      </c>
      <c r="AM281" s="14">
        <v>1</v>
      </c>
      <c r="AN281" s="14">
        <f t="shared" si="550"/>
        <v>17</v>
      </c>
      <c r="AO281" s="14">
        <f>INDEX(属性投放!$DF$6:$DF$85,(卡牌属性!AG281-2)*20+卡牌属性!AN281)</f>
        <v>12499</v>
      </c>
      <c r="AP281" s="14">
        <f t="shared" si="570"/>
        <v>12499</v>
      </c>
      <c r="AQ281" s="14">
        <f t="shared" si="570"/>
        <v>12499</v>
      </c>
      <c r="AR281" s="14">
        <f t="shared" si="570"/>
        <v>12499</v>
      </c>
      <c r="AS281" s="14">
        <f t="shared" si="570"/>
        <v>12499</v>
      </c>
      <c r="AT281" s="14">
        <f>INDEX(属性投放!$DG$6:$DG$85,(卡牌属性!AG281-2)*20+卡牌属性!AN281)</f>
        <v>6189</v>
      </c>
      <c r="AU281" s="14">
        <f t="shared" si="571"/>
        <v>6189</v>
      </c>
      <c r="AV281" s="14">
        <f t="shared" si="571"/>
        <v>6189</v>
      </c>
      <c r="AW281" s="14">
        <f t="shared" si="571"/>
        <v>6189</v>
      </c>
      <c r="AX281" s="14">
        <f t="shared" si="571"/>
        <v>6189</v>
      </c>
      <c r="AY281" s="14">
        <f>INDEX(属性投放!$DH$6:$DH$85,(卡牌属性!AG281-2)*20+卡牌属性!AN281)</f>
        <v>114078</v>
      </c>
      <c r="AZ281" s="14">
        <f t="shared" si="572"/>
        <v>114078</v>
      </c>
      <c r="BA281" s="14">
        <f t="shared" si="572"/>
        <v>114078</v>
      </c>
      <c r="BB281" s="14">
        <f t="shared" si="572"/>
        <v>114078</v>
      </c>
      <c r="BC281" s="14">
        <f t="shared" si="572"/>
        <v>114078</v>
      </c>
      <c r="BD281" s="14">
        <f>INDEX(属性投放!$DL$6:$DL$85,(卡牌属性!AG281-2)*20+卡牌属性!AN281)</f>
        <v>259</v>
      </c>
      <c r="BE281" s="14">
        <f t="shared" si="573"/>
        <v>259</v>
      </c>
      <c r="BF281" s="14">
        <f t="shared" si="573"/>
        <v>259</v>
      </c>
      <c r="BG281" s="14">
        <f t="shared" si="573"/>
        <v>259</v>
      </c>
      <c r="BH281" s="14">
        <f t="shared" si="573"/>
        <v>259</v>
      </c>
      <c r="BI281" s="14">
        <f>INDEX(属性投放!$DM$6:$DM$85,(卡牌属性!AG281-2)*20+卡牌属性!AN281)</f>
        <v>130</v>
      </c>
      <c r="BJ281" s="14">
        <f t="shared" si="574"/>
        <v>130</v>
      </c>
      <c r="BK281" s="14">
        <f t="shared" si="574"/>
        <v>130</v>
      </c>
      <c r="BL281" s="14">
        <f t="shared" si="574"/>
        <v>130</v>
      </c>
      <c r="BM281" s="14">
        <f t="shared" si="574"/>
        <v>130</v>
      </c>
      <c r="BN281" s="14">
        <f>INDEX(属性投放!$DN$6:$DN$85,(卡牌属性!AG281-2)*20+卡牌属性!AN281)</f>
        <v>2593</v>
      </c>
      <c r="BO281" s="14">
        <f t="shared" si="575"/>
        <v>2593</v>
      </c>
      <c r="BP281" s="14">
        <f t="shared" si="575"/>
        <v>2593</v>
      </c>
      <c r="BQ281" s="14">
        <f t="shared" si="575"/>
        <v>2593</v>
      </c>
      <c r="BR281" s="14">
        <f t="shared" si="575"/>
        <v>2593</v>
      </c>
      <c r="BW281" s="13">
        <v>277</v>
      </c>
      <c r="BX281" s="13">
        <f t="shared" si="551"/>
        <v>14</v>
      </c>
      <c r="BY281" s="14">
        <f t="shared" si="552"/>
        <v>3</v>
      </c>
      <c r="BZ281" s="14">
        <f t="shared" si="561"/>
        <v>1102014</v>
      </c>
      <c r="CA281" s="14" t="str">
        <f t="shared" si="562"/>
        <v>石灵明17突</v>
      </c>
      <c r="CB281" s="25" t="s">
        <v>142</v>
      </c>
      <c r="CC281" s="14">
        <v>2</v>
      </c>
      <c r="CD281" s="14">
        <f t="shared" si="553"/>
        <v>17</v>
      </c>
      <c r="CE281" s="14" t="s">
        <v>21</v>
      </c>
      <c r="CF281" s="14">
        <f>INDEX(属性投放!$AZ$6:$AZ$85,(BY281-2)*20+CD281)</f>
        <v>12976</v>
      </c>
      <c r="CG281" s="14" t="s">
        <v>22</v>
      </c>
      <c r="CH281" s="14">
        <f>INDEX(属性投放!$BA$6:$BA$85,(BY281-2)*20+CD281)</f>
        <v>6449</v>
      </c>
      <c r="CI281" s="14" t="s">
        <v>510</v>
      </c>
      <c r="CJ281" s="14">
        <f>INDEX(属性投放!$BB$6:$BB$85,(BY281-2)*20+CD281)</f>
        <v>118940</v>
      </c>
      <c r="CK281" s="14" t="s">
        <v>21</v>
      </c>
      <c r="CL281" s="14">
        <f>INDEX(属性投放!$BC$6:$BC$85,(BY281-2)*20+CD281)</f>
        <v>30</v>
      </c>
      <c r="CM281" s="14" t="s">
        <v>22</v>
      </c>
      <c r="CN281" s="14">
        <f>INDEX(属性投放!$BD$6:$BD$85,(BY281-2)*20+CD281)</f>
        <v>15</v>
      </c>
      <c r="CO281" s="14" t="s">
        <v>510</v>
      </c>
      <c r="CP281" s="14">
        <f>INDEX(属性投放!$BE$6:$BE$85,(BY281-2)*20+CD281)</f>
        <v>300</v>
      </c>
      <c r="CS281" s="13">
        <v>277</v>
      </c>
      <c r="CT281" s="13">
        <f t="shared" si="563"/>
        <v>6</v>
      </c>
      <c r="CU281" s="13">
        <f t="shared" si="564"/>
        <v>17</v>
      </c>
      <c r="CV281" s="14">
        <f t="shared" si="565"/>
        <v>5</v>
      </c>
      <c r="CW281" s="14">
        <f t="shared" si="566"/>
        <v>1102006</v>
      </c>
      <c r="CX281" s="14" t="str">
        <f>INDEX($O$6:$O$50,CT281)&amp;"-"&amp;INDEX(属性投放!$AB$7:$AB$50,CZ281)&amp;"-魂火-"&amp;DB281</f>
        <v>项羽-叫唤+2-魂火-2</v>
      </c>
      <c r="CY281" s="25" t="s">
        <v>142</v>
      </c>
      <c r="CZ281" s="14">
        <f>INDEX(属性投放!$AM$7:$AM$58,CU281)</f>
        <v>9</v>
      </c>
      <c r="DA281" s="14" t="s">
        <v>537</v>
      </c>
      <c r="DB281" s="14">
        <f>INDEX(属性投放!$AN$7:$AN$58,CU281)</f>
        <v>2</v>
      </c>
      <c r="DC281" s="14">
        <f t="shared" si="554"/>
        <v>17</v>
      </c>
      <c r="DD281" s="14">
        <f>INDEX(属性投放!$AO$7:$AO$58,DC281)</f>
        <v>60</v>
      </c>
      <c r="DE281" s="14" t="s">
        <v>538</v>
      </c>
      <c r="DF281" s="14">
        <f>INDEX(属性投放!$BK$6:$BK$85,(CV281-2)*20+CZ281)</f>
        <v>138</v>
      </c>
      <c r="DG281" s="14">
        <f>SUMIFS(DF$5:DF281,$CT$5:$CT281,"="&amp;$CT281)</f>
        <v>1331</v>
      </c>
      <c r="DH281" s="14" t="s">
        <v>539</v>
      </c>
      <c r="DI281" s="14">
        <f>INDEX(属性投放!$BL$6:$BL$85,(CV281-2)*20+CZ281)</f>
        <v>69</v>
      </c>
      <c r="DJ281" s="14">
        <f>SUMIFS(DI$5:DI281,$CT$5:$CT281,"="&amp;$CT281)</f>
        <v>668</v>
      </c>
      <c r="DK281" s="14" t="s">
        <v>540</v>
      </c>
      <c r="DL281" s="14">
        <f>INDEX(属性投放!$BM$6:$BM$85,(CV281-2)*20+CZ281)</f>
        <v>1104</v>
      </c>
      <c r="DM281" s="14">
        <f>SUMIFS(DL$5:DL281,$CT$5:$CT281,"="&amp;$CT281)</f>
        <v>9828</v>
      </c>
      <c r="DR281" s="14">
        <f t="shared" si="555"/>
        <v>1102014</v>
      </c>
      <c r="DS281" s="14" t="str">
        <f t="shared" si="556"/>
        <v>石灵明17突</v>
      </c>
      <c r="DT281" s="14">
        <f t="shared" si="567"/>
        <v>5</v>
      </c>
      <c r="DU281" s="14">
        <f t="shared" si="568"/>
        <v>5</v>
      </c>
      <c r="DV281" s="14">
        <f t="shared" si="569"/>
        <v>5</v>
      </c>
      <c r="DW281" s="14">
        <f t="shared" si="557"/>
        <v>3</v>
      </c>
      <c r="DX281" s="14">
        <f t="shared" si="558"/>
        <v>17</v>
      </c>
      <c r="DY281" s="14">
        <f t="shared" si="559"/>
        <v>37</v>
      </c>
      <c r="DZ281" s="14">
        <f>INDEX(属性投放!$AX$6:$AX$85,(卡牌属性!DW281-2)*20+卡牌属性!DX281)</f>
        <v>8</v>
      </c>
      <c r="EA281" s="14">
        <f>INDEX(属性投放!BQ$6:BQ$85,卡牌属性!$DY281)</f>
        <v>900</v>
      </c>
      <c r="EB281" s="14">
        <f>INDEX(属性投放!BR$6:BR$85,卡牌属性!$DY281)</f>
        <v>450</v>
      </c>
      <c r="EC281" s="14">
        <f>INDEX(属性投放!BS$6:BS$85,卡牌属性!$DY281)</f>
        <v>9000</v>
      </c>
      <c r="ED281" s="14">
        <f t="shared" si="576"/>
        <v>6206</v>
      </c>
      <c r="EE281" s="14">
        <f t="shared" si="577"/>
        <v>6399</v>
      </c>
      <c r="EF281" s="14">
        <f t="shared" si="578"/>
        <v>7433</v>
      </c>
      <c r="EG281" s="14">
        <f t="shared" si="579"/>
        <v>7433</v>
      </c>
      <c r="EH281" s="14">
        <f t="shared" si="580"/>
        <v>7920</v>
      </c>
      <c r="EI281" s="14">
        <f t="shared" si="581"/>
        <v>3081</v>
      </c>
      <c r="EJ281" s="14">
        <f t="shared" si="582"/>
        <v>3180</v>
      </c>
      <c r="EK281" s="14">
        <f t="shared" si="583"/>
        <v>3180</v>
      </c>
      <c r="EL281" s="14">
        <f t="shared" si="584"/>
        <v>3688</v>
      </c>
      <c r="EM281" s="14">
        <f t="shared" si="585"/>
        <v>3947</v>
      </c>
      <c r="EN281" s="14">
        <f t="shared" si="586"/>
        <v>55200</v>
      </c>
      <c r="EO281" s="14">
        <f t="shared" si="587"/>
        <v>56714</v>
      </c>
      <c r="EP281" s="14">
        <f t="shared" si="588"/>
        <v>56714</v>
      </c>
      <c r="EQ281" s="14">
        <f t="shared" si="589"/>
        <v>65698</v>
      </c>
      <c r="ER281" s="14">
        <f t="shared" si="590"/>
        <v>69742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INDEX(属性投放!$BQ$6:$BQ$85,(卡牌属性!$DW281-2)*20+卡牌属性!$DX281)</f>
        <v>900</v>
      </c>
      <c r="FI281" s="14">
        <f>INDEX(属性投放!$BQ$6:$BQ$85,(卡牌属性!$DW281-2)*20+卡牌属性!$DX281)</f>
        <v>900</v>
      </c>
      <c r="FJ281" s="14">
        <f>INDEX(属性投放!$BQ$6:$BQ$85,(卡牌属性!$DW281-2)*20+卡牌属性!$DX281)</f>
        <v>900</v>
      </c>
      <c r="FK281" s="14">
        <f>INDEX(属性投放!$BQ$6:$BQ$85,(卡牌属性!$DW281-2)*20+卡牌属性!$DX281)</f>
        <v>900</v>
      </c>
      <c r="FL281" s="14">
        <f>INDEX(属性投放!$BQ$6:$BQ$85,(卡牌属性!$DW281-2)*20+卡牌属性!$DX281)</f>
        <v>900</v>
      </c>
      <c r="FM281" s="14">
        <f>INDEX(属性投放!$BR$6:$BR$85,(卡牌属性!$DW281-2)*20+卡牌属性!$DX281)</f>
        <v>450</v>
      </c>
      <c r="FN281" s="14">
        <f>INDEX(属性投放!$BR$6:$BR$85,(卡牌属性!$DW281-2)*20+卡牌属性!$DX281)</f>
        <v>450</v>
      </c>
      <c r="FO281" s="14">
        <f>INDEX(属性投放!$BR$6:$BR$85,(卡牌属性!$DW281-2)*20+卡牌属性!$DX281)</f>
        <v>450</v>
      </c>
      <c r="FP281" s="14">
        <f>INDEX(属性投放!$BR$6:$BR$85,(卡牌属性!$DW281-2)*20+卡牌属性!$DX281)</f>
        <v>450</v>
      </c>
      <c r="FQ281" s="14">
        <f>INDEX(属性投放!$BR$6:$BR$85,(卡牌属性!$DW281-2)*20+卡牌属性!$DX281)</f>
        <v>450</v>
      </c>
      <c r="FR281" s="14">
        <f>INDEX(属性投放!$BS$6:$BS$85,(卡牌属性!$DW281-2)*20+卡牌属性!$DX281)</f>
        <v>9000</v>
      </c>
      <c r="FS281" s="14">
        <f>INDEX(属性投放!$BS$6:$BS$85,(卡牌属性!$DW281-2)*20+卡牌属性!$DX281)</f>
        <v>9000</v>
      </c>
      <c r="FT281" s="14">
        <f>INDEX(属性投放!$BS$6:$BS$85,(卡牌属性!$DW281-2)*20+卡牌属性!$DX281)</f>
        <v>9000</v>
      </c>
      <c r="FU281" s="14">
        <f>INDEX(属性投放!$BS$6:$BS$85,(卡牌属性!$DW281-2)*20+卡牌属性!$DX281)</f>
        <v>9000</v>
      </c>
      <c r="FV281" s="14">
        <f>INDEX(属性投放!$BS$6:$BS$85,(卡牌属性!$DW281-2)*20+卡牌属性!$DX281)</f>
        <v>9000</v>
      </c>
    </row>
    <row r="282" spans="31:178" ht="16.5" x14ac:dyDescent="0.2">
      <c r="AE282" s="13">
        <v>278</v>
      </c>
      <c r="AF282" s="13">
        <f t="shared" si="560"/>
        <v>14</v>
      </c>
      <c r="AG282" s="13">
        <f t="shared" si="547"/>
        <v>3</v>
      </c>
      <c r="AH282" s="13"/>
      <c r="AI282" s="13"/>
      <c r="AJ282" s="14">
        <f t="shared" si="548"/>
        <v>1101014</v>
      </c>
      <c r="AK282" s="14" t="str">
        <f t="shared" si="549"/>
        <v>吕仙宫18突</v>
      </c>
      <c r="AL282" s="25" t="s">
        <v>142</v>
      </c>
      <c r="AM282" s="14">
        <v>1</v>
      </c>
      <c r="AN282" s="14">
        <f t="shared" si="550"/>
        <v>18</v>
      </c>
      <c r="AO282" s="14">
        <f>INDEX(属性投放!$DF$6:$DF$85,(卡牌属性!AG282-2)*20+卡牌属性!AN282)</f>
        <v>13425</v>
      </c>
      <c r="AP282" s="14">
        <f t="shared" si="570"/>
        <v>13425</v>
      </c>
      <c r="AQ282" s="14">
        <f t="shared" si="570"/>
        <v>13425</v>
      </c>
      <c r="AR282" s="14">
        <f t="shared" si="570"/>
        <v>13425</v>
      </c>
      <c r="AS282" s="14">
        <f t="shared" si="570"/>
        <v>13425</v>
      </c>
      <c r="AT282" s="14">
        <f>INDEX(属性投放!$DG$6:$DG$85,(卡牌属性!AG282-2)*20+卡牌属性!AN282)</f>
        <v>6652</v>
      </c>
      <c r="AU282" s="14">
        <f t="shared" si="571"/>
        <v>6652</v>
      </c>
      <c r="AV282" s="14">
        <f t="shared" si="571"/>
        <v>6652</v>
      </c>
      <c r="AW282" s="14">
        <f t="shared" si="571"/>
        <v>6652</v>
      </c>
      <c r="AX282" s="14">
        <f t="shared" si="571"/>
        <v>6652</v>
      </c>
      <c r="AY282" s="14">
        <f>INDEX(属性投放!$DH$6:$DH$85,(卡牌属性!AG282-2)*20+卡牌属性!AN282)</f>
        <v>123338</v>
      </c>
      <c r="AZ282" s="14">
        <f t="shared" si="572"/>
        <v>123338</v>
      </c>
      <c r="BA282" s="14">
        <f t="shared" si="572"/>
        <v>123338</v>
      </c>
      <c r="BB282" s="14">
        <f t="shared" si="572"/>
        <v>123338</v>
      </c>
      <c r="BC282" s="14">
        <f t="shared" si="572"/>
        <v>123338</v>
      </c>
      <c r="BD282" s="14">
        <f>INDEX(属性投放!$DL$6:$DL$85,(卡牌属性!AG282-2)*20+卡牌属性!AN282)</f>
        <v>259</v>
      </c>
      <c r="BE282" s="14">
        <f t="shared" si="573"/>
        <v>259</v>
      </c>
      <c r="BF282" s="14">
        <f t="shared" si="573"/>
        <v>259</v>
      </c>
      <c r="BG282" s="14">
        <f t="shared" si="573"/>
        <v>259</v>
      </c>
      <c r="BH282" s="14">
        <f t="shared" si="573"/>
        <v>259</v>
      </c>
      <c r="BI282" s="14">
        <f>INDEX(属性投放!$DM$6:$DM$85,(卡牌属性!AG282-2)*20+卡牌属性!AN282)</f>
        <v>130</v>
      </c>
      <c r="BJ282" s="14">
        <f t="shared" si="574"/>
        <v>130</v>
      </c>
      <c r="BK282" s="14">
        <f t="shared" si="574"/>
        <v>130</v>
      </c>
      <c r="BL282" s="14">
        <f t="shared" si="574"/>
        <v>130</v>
      </c>
      <c r="BM282" s="14">
        <f t="shared" si="574"/>
        <v>130</v>
      </c>
      <c r="BN282" s="14">
        <f>INDEX(属性投放!$DN$6:$DN$85,(卡牌属性!AG282-2)*20+卡牌属性!AN282)</f>
        <v>2593</v>
      </c>
      <c r="BO282" s="14">
        <f t="shared" si="575"/>
        <v>2593</v>
      </c>
      <c r="BP282" s="14">
        <f t="shared" si="575"/>
        <v>2593</v>
      </c>
      <c r="BQ282" s="14">
        <f t="shared" si="575"/>
        <v>2593</v>
      </c>
      <c r="BR282" s="14">
        <f t="shared" si="575"/>
        <v>2593</v>
      </c>
      <c r="BW282" s="13">
        <v>278</v>
      </c>
      <c r="BX282" s="13">
        <f t="shared" si="551"/>
        <v>14</v>
      </c>
      <c r="BY282" s="14">
        <f t="shared" si="552"/>
        <v>3</v>
      </c>
      <c r="BZ282" s="14">
        <f t="shared" si="561"/>
        <v>1102014</v>
      </c>
      <c r="CA282" s="14" t="str">
        <f t="shared" si="562"/>
        <v>石灵明18突</v>
      </c>
      <c r="CB282" s="25" t="s">
        <v>142</v>
      </c>
      <c r="CC282" s="14">
        <v>2</v>
      </c>
      <c r="CD282" s="14">
        <f t="shared" si="553"/>
        <v>18</v>
      </c>
      <c r="CE282" s="14" t="s">
        <v>21</v>
      </c>
      <c r="CF282" s="14">
        <f>INDEX(属性投放!$AZ$6:$AZ$85,(BY282-2)*20+CD282)</f>
        <v>15916</v>
      </c>
      <c r="CG282" s="14" t="s">
        <v>22</v>
      </c>
      <c r="CH282" s="14">
        <f>INDEX(属性投放!$BA$6:$BA$85,(BY282-2)*20+CD282)</f>
        <v>7919</v>
      </c>
      <c r="CI282" s="14" t="s">
        <v>510</v>
      </c>
      <c r="CJ282" s="14">
        <f>INDEX(属性投放!$BB$6:$BB$85,(BY282-2)*20+CD282)</f>
        <v>148340</v>
      </c>
      <c r="CK282" s="14" t="s">
        <v>21</v>
      </c>
      <c r="CL282" s="14">
        <f>INDEX(属性投放!$BC$6:$BC$85,(BY282-2)*20+CD282)</f>
        <v>30</v>
      </c>
      <c r="CM282" s="14" t="s">
        <v>22</v>
      </c>
      <c r="CN282" s="14">
        <f>INDEX(属性投放!$BD$6:$BD$85,(BY282-2)*20+CD282)</f>
        <v>15</v>
      </c>
      <c r="CO282" s="14" t="s">
        <v>510</v>
      </c>
      <c r="CP282" s="14">
        <f>INDEX(属性投放!$BE$6:$BE$85,(BY282-2)*20+CD282)</f>
        <v>300</v>
      </c>
      <c r="CS282" s="13">
        <v>278</v>
      </c>
      <c r="CT282" s="13">
        <f t="shared" si="563"/>
        <v>6</v>
      </c>
      <c r="CU282" s="13">
        <f t="shared" si="564"/>
        <v>18</v>
      </c>
      <c r="CV282" s="14">
        <f t="shared" si="565"/>
        <v>5</v>
      </c>
      <c r="CW282" s="14">
        <f t="shared" si="566"/>
        <v>1102006</v>
      </c>
      <c r="CX282" s="14" t="str">
        <f>INDEX($O$6:$O$50,CT282)&amp;"-"&amp;INDEX(属性投放!$AB$7:$AB$50,CZ282)&amp;"-魂火-"&amp;DB282</f>
        <v>项羽-叫唤+2-魂火-3</v>
      </c>
      <c r="CY282" s="25" t="s">
        <v>142</v>
      </c>
      <c r="CZ282" s="14">
        <f>INDEX(属性投放!$AM$7:$AM$58,CU282)</f>
        <v>9</v>
      </c>
      <c r="DA282" s="14" t="s">
        <v>537</v>
      </c>
      <c r="DB282" s="14">
        <f>INDEX(属性投放!$AN$7:$AN$58,CU282)</f>
        <v>3</v>
      </c>
      <c r="DC282" s="14">
        <f t="shared" si="554"/>
        <v>18</v>
      </c>
      <c r="DD282" s="14">
        <f>INDEX(属性投放!$AO$7:$AO$58,DC282)</f>
        <v>63</v>
      </c>
      <c r="DE282" s="14" t="s">
        <v>538</v>
      </c>
      <c r="DF282" s="14">
        <f>INDEX(属性投放!$BK$6:$BK$85,(CV282-2)*20+CZ282)</f>
        <v>138</v>
      </c>
      <c r="DG282" s="14">
        <f>SUMIFS(DF$5:DF282,$CT$5:$CT282,"="&amp;$CT282)</f>
        <v>1469</v>
      </c>
      <c r="DH282" s="14" t="s">
        <v>539</v>
      </c>
      <c r="DI282" s="14">
        <f>INDEX(属性投放!$BL$6:$BL$85,(CV282-2)*20+CZ282)</f>
        <v>69</v>
      </c>
      <c r="DJ282" s="14">
        <f>SUMIFS(DI$5:DI282,$CT$5:$CT282,"="&amp;$CT282)</f>
        <v>737</v>
      </c>
      <c r="DK282" s="14" t="s">
        <v>540</v>
      </c>
      <c r="DL282" s="14">
        <f>INDEX(属性投放!$BM$6:$BM$85,(CV282-2)*20+CZ282)</f>
        <v>1104</v>
      </c>
      <c r="DM282" s="14">
        <f>SUMIFS(DL$5:DL282,$CT$5:$CT282,"="&amp;$CT282)</f>
        <v>10932</v>
      </c>
      <c r="DR282" s="14">
        <f t="shared" si="555"/>
        <v>1102014</v>
      </c>
      <c r="DS282" s="14" t="str">
        <f t="shared" si="556"/>
        <v>石灵明18突</v>
      </c>
      <c r="DT282" s="14">
        <f t="shared" si="567"/>
        <v>5</v>
      </c>
      <c r="DU282" s="14">
        <f t="shared" si="568"/>
        <v>5</v>
      </c>
      <c r="DV282" s="14">
        <f t="shared" si="569"/>
        <v>5</v>
      </c>
      <c r="DW282" s="14">
        <f t="shared" si="557"/>
        <v>3</v>
      </c>
      <c r="DX282" s="14">
        <f t="shared" si="558"/>
        <v>18</v>
      </c>
      <c r="DY282" s="14">
        <f t="shared" si="559"/>
        <v>38</v>
      </c>
      <c r="DZ282" s="14">
        <f>INDEX(属性投放!$AX$6:$AX$85,(卡牌属性!DW282-2)*20+卡牌属性!DX282)</f>
        <v>7</v>
      </c>
      <c r="EA282" s="14">
        <f>INDEX(属性投放!BQ$6:BQ$85,卡牌属性!$DY282)</f>
        <v>1500</v>
      </c>
      <c r="EB282" s="14">
        <f>INDEX(属性投放!BR$6:BR$85,卡牌属性!$DY282)</f>
        <v>750</v>
      </c>
      <c r="EC282" s="14">
        <f>INDEX(属性投放!BS$6:BS$85,卡牌属性!$DY282)</f>
        <v>15000</v>
      </c>
      <c r="ED282" s="14">
        <f t="shared" si="576"/>
        <v>7346</v>
      </c>
      <c r="EE282" s="14">
        <f t="shared" si="577"/>
        <v>7579</v>
      </c>
      <c r="EF282" s="14">
        <f t="shared" si="578"/>
        <v>8733</v>
      </c>
      <c r="EG282" s="14">
        <f t="shared" si="579"/>
        <v>8733</v>
      </c>
      <c r="EH282" s="14">
        <f t="shared" si="580"/>
        <v>9300</v>
      </c>
      <c r="EI282" s="14">
        <f t="shared" si="581"/>
        <v>3651</v>
      </c>
      <c r="EJ282" s="14">
        <f t="shared" si="582"/>
        <v>3774</v>
      </c>
      <c r="EK282" s="14">
        <f t="shared" si="583"/>
        <v>3774</v>
      </c>
      <c r="EL282" s="14">
        <f t="shared" si="584"/>
        <v>4338</v>
      </c>
      <c r="EM282" s="14">
        <f t="shared" si="585"/>
        <v>4637</v>
      </c>
      <c r="EN282" s="14">
        <f t="shared" si="586"/>
        <v>66600</v>
      </c>
      <c r="EO282" s="14">
        <f t="shared" si="587"/>
        <v>68514</v>
      </c>
      <c r="EP282" s="14">
        <f t="shared" si="588"/>
        <v>68514</v>
      </c>
      <c r="EQ282" s="14">
        <f t="shared" si="589"/>
        <v>78698</v>
      </c>
      <c r="ER282" s="14">
        <f t="shared" si="590"/>
        <v>83542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INDEX(属性投放!$BQ$6:$BQ$85,(卡牌属性!$DW282-2)*20+卡牌属性!$DX282)</f>
        <v>1500</v>
      </c>
      <c r="FI282" s="14">
        <f>INDEX(属性投放!$BQ$6:$BQ$85,(卡牌属性!$DW282-2)*20+卡牌属性!$DX282)</f>
        <v>1500</v>
      </c>
      <c r="FJ282" s="14">
        <f>INDEX(属性投放!$BQ$6:$BQ$85,(卡牌属性!$DW282-2)*20+卡牌属性!$DX282)</f>
        <v>1500</v>
      </c>
      <c r="FK282" s="14">
        <f>INDEX(属性投放!$BQ$6:$BQ$85,(卡牌属性!$DW282-2)*20+卡牌属性!$DX282)</f>
        <v>1500</v>
      </c>
      <c r="FL282" s="14">
        <f>INDEX(属性投放!$BQ$6:$BQ$85,(卡牌属性!$DW282-2)*20+卡牌属性!$DX282)</f>
        <v>1500</v>
      </c>
      <c r="FM282" s="14">
        <f>INDEX(属性投放!$BR$6:$BR$85,(卡牌属性!$DW282-2)*20+卡牌属性!$DX282)</f>
        <v>750</v>
      </c>
      <c r="FN282" s="14">
        <f>INDEX(属性投放!$BR$6:$BR$85,(卡牌属性!$DW282-2)*20+卡牌属性!$DX282)</f>
        <v>750</v>
      </c>
      <c r="FO282" s="14">
        <f>INDEX(属性投放!$BR$6:$BR$85,(卡牌属性!$DW282-2)*20+卡牌属性!$DX282)</f>
        <v>750</v>
      </c>
      <c r="FP282" s="14">
        <f>INDEX(属性投放!$BR$6:$BR$85,(卡牌属性!$DW282-2)*20+卡牌属性!$DX282)</f>
        <v>750</v>
      </c>
      <c r="FQ282" s="14">
        <f>INDEX(属性投放!$BR$6:$BR$85,(卡牌属性!$DW282-2)*20+卡牌属性!$DX282)</f>
        <v>750</v>
      </c>
      <c r="FR282" s="14">
        <f>INDEX(属性投放!$BS$6:$BS$85,(卡牌属性!$DW282-2)*20+卡牌属性!$DX282)</f>
        <v>15000</v>
      </c>
      <c r="FS282" s="14">
        <f>INDEX(属性投放!$BS$6:$BS$85,(卡牌属性!$DW282-2)*20+卡牌属性!$DX282)</f>
        <v>15000</v>
      </c>
      <c r="FT282" s="14">
        <f>INDEX(属性投放!$BS$6:$BS$85,(卡牌属性!$DW282-2)*20+卡牌属性!$DX282)</f>
        <v>15000</v>
      </c>
      <c r="FU282" s="14">
        <f>INDEX(属性投放!$BS$6:$BS$85,(卡牌属性!$DW282-2)*20+卡牌属性!$DX282)</f>
        <v>15000</v>
      </c>
      <c r="FV282" s="14">
        <f>INDEX(属性投放!$BS$6:$BS$85,(卡牌属性!$DW282-2)*20+卡牌属性!$DX282)</f>
        <v>15000</v>
      </c>
    </row>
    <row r="283" spans="31:178" ht="16.5" x14ac:dyDescent="0.2">
      <c r="AE283" s="13">
        <v>279</v>
      </c>
      <c r="AF283" s="13">
        <f t="shared" si="560"/>
        <v>14</v>
      </c>
      <c r="AG283" s="13">
        <f t="shared" si="547"/>
        <v>3</v>
      </c>
      <c r="AH283" s="13"/>
      <c r="AI283" s="13"/>
      <c r="AJ283" s="14">
        <f t="shared" si="548"/>
        <v>1101014</v>
      </c>
      <c r="AK283" s="14" t="str">
        <f t="shared" si="549"/>
        <v>吕仙宫19突</v>
      </c>
      <c r="AL283" s="25" t="s">
        <v>142</v>
      </c>
      <c r="AM283" s="14">
        <v>1</v>
      </c>
      <c r="AN283" s="14">
        <f t="shared" si="550"/>
        <v>19</v>
      </c>
      <c r="AO283" s="14">
        <f>INDEX(属性投放!$DF$6:$DF$85,(卡牌属性!AG283-2)*20+卡牌属性!AN283)</f>
        <v>20826</v>
      </c>
      <c r="AP283" s="14">
        <f t="shared" si="570"/>
        <v>20826</v>
      </c>
      <c r="AQ283" s="14">
        <f t="shared" si="570"/>
        <v>20826</v>
      </c>
      <c r="AR283" s="14">
        <f t="shared" si="570"/>
        <v>20826</v>
      </c>
      <c r="AS283" s="14">
        <f t="shared" si="570"/>
        <v>20826</v>
      </c>
      <c r="AT283" s="14">
        <f>INDEX(属性投放!$DG$6:$DG$85,(卡牌属性!AG283-2)*20+卡牌属性!AN283)</f>
        <v>10365</v>
      </c>
      <c r="AU283" s="14">
        <f t="shared" si="571"/>
        <v>10365</v>
      </c>
      <c r="AV283" s="14">
        <f t="shared" si="571"/>
        <v>10365</v>
      </c>
      <c r="AW283" s="14">
        <f t="shared" si="571"/>
        <v>10365</v>
      </c>
      <c r="AX283" s="14">
        <f t="shared" si="571"/>
        <v>10365</v>
      </c>
      <c r="AY283" s="14">
        <f>INDEX(属性投放!$DH$6:$DH$85,(卡牌属性!AG283-2)*20+卡牌属性!AN283)</f>
        <v>197423</v>
      </c>
      <c r="AZ283" s="14">
        <f t="shared" si="572"/>
        <v>197423</v>
      </c>
      <c r="BA283" s="14">
        <f t="shared" si="572"/>
        <v>197423</v>
      </c>
      <c r="BB283" s="14">
        <f t="shared" si="572"/>
        <v>197423</v>
      </c>
      <c r="BC283" s="14">
        <f t="shared" si="572"/>
        <v>197423</v>
      </c>
      <c r="BD283" s="14">
        <f>INDEX(属性投放!$DL$6:$DL$85,(卡牌属性!AG283-2)*20+卡牌属性!AN283)</f>
        <v>486</v>
      </c>
      <c r="BE283" s="14">
        <f t="shared" si="573"/>
        <v>486</v>
      </c>
      <c r="BF283" s="14">
        <f t="shared" si="573"/>
        <v>486</v>
      </c>
      <c r="BG283" s="14">
        <f t="shared" si="573"/>
        <v>486</v>
      </c>
      <c r="BH283" s="14">
        <f t="shared" si="573"/>
        <v>486</v>
      </c>
      <c r="BI283" s="14">
        <f>INDEX(属性投放!$DM$6:$DM$85,(卡牌属性!AG283-2)*20+卡牌属性!AN283)</f>
        <v>243</v>
      </c>
      <c r="BJ283" s="14">
        <f t="shared" si="574"/>
        <v>243</v>
      </c>
      <c r="BK283" s="14">
        <f t="shared" si="574"/>
        <v>243</v>
      </c>
      <c r="BL283" s="14">
        <f t="shared" si="574"/>
        <v>243</v>
      </c>
      <c r="BM283" s="14">
        <f t="shared" si="574"/>
        <v>243</v>
      </c>
      <c r="BN283" s="14">
        <f>INDEX(属性投放!$DN$6:$DN$85,(卡牌属性!AG283-2)*20+卡牌属性!AN283)</f>
        <v>4863</v>
      </c>
      <c r="BO283" s="14">
        <f t="shared" si="575"/>
        <v>4863</v>
      </c>
      <c r="BP283" s="14">
        <f t="shared" si="575"/>
        <v>4863</v>
      </c>
      <c r="BQ283" s="14">
        <f t="shared" si="575"/>
        <v>4863</v>
      </c>
      <c r="BR283" s="14">
        <f t="shared" si="575"/>
        <v>4863</v>
      </c>
      <c r="BW283" s="13">
        <v>279</v>
      </c>
      <c r="BX283" s="13">
        <f t="shared" si="551"/>
        <v>14</v>
      </c>
      <c r="BY283" s="14">
        <f t="shared" si="552"/>
        <v>3</v>
      </c>
      <c r="BZ283" s="14">
        <f t="shared" si="561"/>
        <v>1102014</v>
      </c>
      <c r="CA283" s="14" t="str">
        <f t="shared" si="562"/>
        <v>石灵明19突</v>
      </c>
      <c r="CB283" s="25" t="s">
        <v>142</v>
      </c>
      <c r="CC283" s="14">
        <v>2</v>
      </c>
      <c r="CD283" s="14">
        <f t="shared" si="553"/>
        <v>19</v>
      </c>
      <c r="CE283" s="14" t="s">
        <v>21</v>
      </c>
      <c r="CF283" s="14">
        <f>INDEX(属性投放!$AZ$6:$AZ$85,(BY283-2)*20+CD283)</f>
        <v>19726</v>
      </c>
      <c r="CG283" s="14" t="s">
        <v>22</v>
      </c>
      <c r="CH283" s="14">
        <f>INDEX(属性投放!$BA$6:$BA$85,(BY283-2)*20+CD283)</f>
        <v>9824</v>
      </c>
      <c r="CI283" s="14" t="s">
        <v>510</v>
      </c>
      <c r="CJ283" s="14">
        <f>INDEX(属性投放!$BB$6:$BB$85,(BY283-2)*20+CD283)</f>
        <v>186440</v>
      </c>
      <c r="CK283" s="14" t="s">
        <v>21</v>
      </c>
      <c r="CL283" s="14">
        <f>INDEX(属性投放!$BC$6:$BC$85,(BY283-2)*20+CD283)</f>
        <v>40</v>
      </c>
      <c r="CM283" s="14" t="s">
        <v>22</v>
      </c>
      <c r="CN283" s="14">
        <f>INDEX(属性投放!$BD$6:$BD$85,(BY283-2)*20+CD283)</f>
        <v>20</v>
      </c>
      <c r="CO283" s="14" t="s">
        <v>510</v>
      </c>
      <c r="CP283" s="14">
        <f>INDEX(属性投放!$BE$6:$BE$85,(BY283-2)*20+CD283)</f>
        <v>400</v>
      </c>
      <c r="CS283" s="13">
        <v>279</v>
      </c>
      <c r="CT283" s="13">
        <f t="shared" si="563"/>
        <v>6</v>
      </c>
      <c r="CU283" s="13">
        <f t="shared" si="564"/>
        <v>19</v>
      </c>
      <c r="CV283" s="14">
        <f t="shared" si="565"/>
        <v>5</v>
      </c>
      <c r="CW283" s="14">
        <f t="shared" si="566"/>
        <v>1102006</v>
      </c>
      <c r="CX283" s="14" t="str">
        <f>INDEX($O$6:$O$50,CT283)&amp;"-"&amp;INDEX(属性投放!$AB$7:$AB$50,CZ283)&amp;"-魂火-"&amp;DB283</f>
        <v>项羽-大叫唤-魂火-1</v>
      </c>
      <c r="CY283" s="25" t="s">
        <v>142</v>
      </c>
      <c r="CZ283" s="14">
        <f>INDEX(属性投放!$AM$7:$AM$58,CU283)</f>
        <v>10</v>
      </c>
      <c r="DA283" s="14" t="s">
        <v>537</v>
      </c>
      <c r="DB283" s="14">
        <f>INDEX(属性投放!$AN$7:$AN$58,CU283)</f>
        <v>1</v>
      </c>
      <c r="DC283" s="14">
        <f t="shared" si="554"/>
        <v>19</v>
      </c>
      <c r="DD283" s="14">
        <f>INDEX(属性投放!$AO$7:$AO$58,DC283)</f>
        <v>65</v>
      </c>
      <c r="DE283" s="14" t="s">
        <v>538</v>
      </c>
      <c r="DF283" s="14">
        <f>INDEX(属性投放!$BK$6:$BK$85,(CV283-2)*20+CZ283)</f>
        <v>150</v>
      </c>
      <c r="DG283" s="14">
        <f>SUMIFS(DF$5:DF283,$CT$5:$CT283,"="&amp;$CT283)</f>
        <v>1619</v>
      </c>
      <c r="DH283" s="14" t="s">
        <v>539</v>
      </c>
      <c r="DI283" s="14">
        <f>INDEX(属性投放!$BL$6:$BL$85,(CV283-2)*20+CZ283)</f>
        <v>75</v>
      </c>
      <c r="DJ283" s="14">
        <f>SUMIFS(DI$5:DI283,$CT$5:$CT283,"="&amp;$CT283)</f>
        <v>812</v>
      </c>
      <c r="DK283" s="14" t="s">
        <v>540</v>
      </c>
      <c r="DL283" s="14">
        <f>INDEX(属性投放!$BM$6:$BM$85,(CV283-2)*20+CZ283)</f>
        <v>1350</v>
      </c>
      <c r="DM283" s="14">
        <f>SUMIFS(DL$5:DL283,$CT$5:$CT283,"="&amp;$CT283)</f>
        <v>12282</v>
      </c>
      <c r="DR283" s="14">
        <f t="shared" si="555"/>
        <v>1102014</v>
      </c>
      <c r="DS283" s="14" t="str">
        <f t="shared" si="556"/>
        <v>石灵明19突</v>
      </c>
      <c r="DT283" s="14">
        <f t="shared" si="567"/>
        <v>5</v>
      </c>
      <c r="DU283" s="14">
        <f t="shared" si="568"/>
        <v>5</v>
      </c>
      <c r="DV283" s="14">
        <f t="shared" si="569"/>
        <v>5</v>
      </c>
      <c r="DW283" s="14">
        <f t="shared" si="557"/>
        <v>3</v>
      </c>
      <c r="DX283" s="14">
        <f t="shared" si="558"/>
        <v>19</v>
      </c>
      <c r="DY283" s="14">
        <f t="shared" si="559"/>
        <v>39</v>
      </c>
      <c r="DZ283" s="14">
        <f>INDEX(属性投放!$AX$6:$AX$85,(卡牌属性!DW283-2)*20+卡牌属性!DX283)</f>
        <v>8</v>
      </c>
      <c r="EA283" s="14">
        <f>INDEX(属性投放!BQ$6:BQ$85,卡牌属性!$DY283)</f>
        <v>1500</v>
      </c>
      <c r="EB283" s="14">
        <f>INDEX(属性投放!BR$6:BR$85,卡牌属性!$DY283)</f>
        <v>750</v>
      </c>
      <c r="EC283" s="14">
        <f>INDEX(属性投放!BS$6:BS$85,卡牌属性!$DY283)</f>
        <v>15000</v>
      </c>
      <c r="ED283" s="14">
        <f t="shared" si="576"/>
        <v>9056</v>
      </c>
      <c r="EE283" s="14">
        <f t="shared" si="577"/>
        <v>9324</v>
      </c>
      <c r="EF283" s="14">
        <f t="shared" si="578"/>
        <v>10583</v>
      </c>
      <c r="EG283" s="14">
        <f t="shared" si="579"/>
        <v>10583</v>
      </c>
      <c r="EH283" s="14">
        <f t="shared" si="580"/>
        <v>11220</v>
      </c>
      <c r="EI283" s="14">
        <f t="shared" si="581"/>
        <v>4506</v>
      </c>
      <c r="EJ283" s="14">
        <f t="shared" si="582"/>
        <v>4650</v>
      </c>
      <c r="EK283" s="14">
        <f t="shared" si="583"/>
        <v>4650</v>
      </c>
      <c r="EL283" s="14">
        <f t="shared" si="584"/>
        <v>5263</v>
      </c>
      <c r="EM283" s="14">
        <f t="shared" si="585"/>
        <v>5597</v>
      </c>
      <c r="EN283" s="14">
        <f t="shared" si="586"/>
        <v>83700</v>
      </c>
      <c r="EO283" s="14">
        <f t="shared" si="587"/>
        <v>85964</v>
      </c>
      <c r="EP283" s="14">
        <f t="shared" si="588"/>
        <v>85964</v>
      </c>
      <c r="EQ283" s="14">
        <f t="shared" si="589"/>
        <v>97198</v>
      </c>
      <c r="ER283" s="14">
        <f t="shared" si="590"/>
        <v>102742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INDEX(属性投放!$BQ$6:$BQ$85,(卡牌属性!$DW283-2)*20+卡牌属性!$DX283)</f>
        <v>1500</v>
      </c>
      <c r="FI283" s="14">
        <f>INDEX(属性投放!$BQ$6:$BQ$85,(卡牌属性!$DW283-2)*20+卡牌属性!$DX283)</f>
        <v>1500</v>
      </c>
      <c r="FJ283" s="14">
        <f>INDEX(属性投放!$BQ$6:$BQ$85,(卡牌属性!$DW283-2)*20+卡牌属性!$DX283)</f>
        <v>1500</v>
      </c>
      <c r="FK283" s="14">
        <f>INDEX(属性投放!$BQ$6:$BQ$85,(卡牌属性!$DW283-2)*20+卡牌属性!$DX283)</f>
        <v>1500</v>
      </c>
      <c r="FL283" s="14">
        <f>INDEX(属性投放!$BQ$6:$BQ$85,(卡牌属性!$DW283-2)*20+卡牌属性!$DX283)</f>
        <v>1500</v>
      </c>
      <c r="FM283" s="14">
        <f>INDEX(属性投放!$BR$6:$BR$85,(卡牌属性!$DW283-2)*20+卡牌属性!$DX283)</f>
        <v>750</v>
      </c>
      <c r="FN283" s="14">
        <f>INDEX(属性投放!$BR$6:$BR$85,(卡牌属性!$DW283-2)*20+卡牌属性!$DX283)</f>
        <v>750</v>
      </c>
      <c r="FO283" s="14">
        <f>INDEX(属性投放!$BR$6:$BR$85,(卡牌属性!$DW283-2)*20+卡牌属性!$DX283)</f>
        <v>750</v>
      </c>
      <c r="FP283" s="14">
        <f>INDEX(属性投放!$BR$6:$BR$85,(卡牌属性!$DW283-2)*20+卡牌属性!$DX283)</f>
        <v>750</v>
      </c>
      <c r="FQ283" s="14">
        <f>INDEX(属性投放!$BR$6:$BR$85,(卡牌属性!$DW283-2)*20+卡牌属性!$DX283)</f>
        <v>750</v>
      </c>
      <c r="FR283" s="14">
        <f>INDEX(属性投放!$BS$6:$BS$85,(卡牌属性!$DW283-2)*20+卡牌属性!$DX283)</f>
        <v>15000</v>
      </c>
      <c r="FS283" s="14">
        <f>INDEX(属性投放!$BS$6:$BS$85,(卡牌属性!$DW283-2)*20+卡牌属性!$DX283)</f>
        <v>15000</v>
      </c>
      <c r="FT283" s="14">
        <f>INDEX(属性投放!$BS$6:$BS$85,(卡牌属性!$DW283-2)*20+卡牌属性!$DX283)</f>
        <v>15000</v>
      </c>
      <c r="FU283" s="14">
        <f>INDEX(属性投放!$BS$6:$BS$85,(卡牌属性!$DW283-2)*20+卡牌属性!$DX283)</f>
        <v>15000</v>
      </c>
      <c r="FV283" s="14">
        <f>INDEX(属性投放!$BS$6:$BS$85,(卡牌属性!$DW283-2)*20+卡牌属性!$DX283)</f>
        <v>15000</v>
      </c>
    </row>
    <row r="284" spans="31:178" ht="16.5" x14ac:dyDescent="0.2">
      <c r="AE284" s="13">
        <v>280</v>
      </c>
      <c r="AF284" s="13">
        <f t="shared" si="560"/>
        <v>14</v>
      </c>
      <c r="AG284" s="13">
        <f t="shared" si="547"/>
        <v>3</v>
      </c>
      <c r="AH284" s="13"/>
      <c r="AI284" s="13"/>
      <c r="AJ284" s="14">
        <f t="shared" si="548"/>
        <v>1101014</v>
      </c>
      <c r="AK284" s="14" t="str">
        <f t="shared" si="549"/>
        <v>吕仙宫20突</v>
      </c>
      <c r="AL284" s="25" t="s">
        <v>142</v>
      </c>
      <c r="AM284" s="14">
        <v>1</v>
      </c>
      <c r="AN284" s="14">
        <f t="shared" si="550"/>
        <v>20</v>
      </c>
      <c r="AO284" s="14">
        <f>INDEX(属性投放!$DF$6:$DF$85,(卡牌属性!AG284-2)*20+卡牌属性!AN284)</f>
        <v>21868</v>
      </c>
      <c r="AP284" s="14">
        <f t="shared" si="570"/>
        <v>21868</v>
      </c>
      <c r="AQ284" s="14">
        <f t="shared" si="570"/>
        <v>21868</v>
      </c>
      <c r="AR284" s="14">
        <f t="shared" si="570"/>
        <v>21868</v>
      </c>
      <c r="AS284" s="14">
        <f t="shared" si="570"/>
        <v>21868</v>
      </c>
      <c r="AT284" s="14">
        <f>INDEX(属性投放!$DG$6:$DG$85,(卡牌属性!AG284-2)*20+卡牌属性!AN284)</f>
        <v>10886</v>
      </c>
      <c r="AU284" s="14">
        <f t="shared" si="571"/>
        <v>10886</v>
      </c>
      <c r="AV284" s="14">
        <f t="shared" si="571"/>
        <v>10886</v>
      </c>
      <c r="AW284" s="14">
        <f t="shared" si="571"/>
        <v>10886</v>
      </c>
      <c r="AX284" s="14">
        <f t="shared" si="571"/>
        <v>10886</v>
      </c>
      <c r="AY284" s="14">
        <f>INDEX(属性投放!$DH$6:$DH$85,(卡牌属性!AG284-2)*20+卡牌属性!AN284)</f>
        <v>207843</v>
      </c>
      <c r="AZ284" s="14">
        <f t="shared" si="572"/>
        <v>207843</v>
      </c>
      <c r="BA284" s="14">
        <f t="shared" si="572"/>
        <v>207843</v>
      </c>
      <c r="BB284" s="14">
        <f t="shared" si="572"/>
        <v>207843</v>
      </c>
      <c r="BC284" s="14">
        <f t="shared" si="572"/>
        <v>207843</v>
      </c>
      <c r="BD284" s="14">
        <f>INDEX(属性投放!$DL$6:$DL$85,(卡牌属性!AG284-2)*20+卡牌属性!AN284)</f>
        <v>486</v>
      </c>
      <c r="BE284" s="14">
        <f t="shared" si="573"/>
        <v>486</v>
      </c>
      <c r="BF284" s="14">
        <f t="shared" si="573"/>
        <v>486</v>
      </c>
      <c r="BG284" s="14">
        <f t="shared" si="573"/>
        <v>486</v>
      </c>
      <c r="BH284" s="14">
        <f t="shared" si="573"/>
        <v>486</v>
      </c>
      <c r="BI284" s="14">
        <f>INDEX(属性投放!$DM$6:$DM$85,(卡牌属性!AG284-2)*20+卡牌属性!AN284)</f>
        <v>243</v>
      </c>
      <c r="BJ284" s="14">
        <f t="shared" si="574"/>
        <v>243</v>
      </c>
      <c r="BK284" s="14">
        <f t="shared" si="574"/>
        <v>243</v>
      </c>
      <c r="BL284" s="14">
        <f t="shared" si="574"/>
        <v>243</v>
      </c>
      <c r="BM284" s="14">
        <f t="shared" si="574"/>
        <v>243</v>
      </c>
      <c r="BN284" s="14">
        <f>INDEX(属性投放!$DN$6:$DN$85,(卡牌属性!AG284-2)*20+卡牌属性!AN284)</f>
        <v>4863</v>
      </c>
      <c r="BO284" s="14">
        <f t="shared" si="575"/>
        <v>4863</v>
      </c>
      <c r="BP284" s="14">
        <f t="shared" si="575"/>
        <v>4863</v>
      </c>
      <c r="BQ284" s="14">
        <f t="shared" si="575"/>
        <v>4863</v>
      </c>
      <c r="BR284" s="14">
        <f t="shared" si="575"/>
        <v>4863</v>
      </c>
      <c r="BW284" s="13">
        <v>280</v>
      </c>
      <c r="BX284" s="13">
        <f t="shared" si="551"/>
        <v>14</v>
      </c>
      <c r="BY284" s="14">
        <f t="shared" si="552"/>
        <v>3</v>
      </c>
      <c r="BZ284" s="14">
        <f t="shared" si="561"/>
        <v>1102014</v>
      </c>
      <c r="CA284" s="14" t="str">
        <f t="shared" si="562"/>
        <v>石灵明20突</v>
      </c>
      <c r="CB284" s="25" t="s">
        <v>142</v>
      </c>
      <c r="CC284" s="14">
        <v>2</v>
      </c>
      <c r="CD284" s="14">
        <f t="shared" si="553"/>
        <v>20</v>
      </c>
      <c r="CE284" s="14" t="s">
        <v>21</v>
      </c>
      <c r="CF284" s="14">
        <f>INDEX(属性投放!$AZ$6:$AZ$85,(BY284-2)*20+CD284)</f>
        <v>24246</v>
      </c>
      <c r="CG284" s="14" t="s">
        <v>22</v>
      </c>
      <c r="CH284" s="14">
        <f>INDEX(属性投放!$BA$6:$BA$85,(BY284-2)*20+CD284)</f>
        <v>12084</v>
      </c>
      <c r="CI284" s="14" t="s">
        <v>510</v>
      </c>
      <c r="CJ284" s="14">
        <f>INDEX(属性投放!$BB$6:$BB$85,(BY284-2)*20+CD284)</f>
        <v>231640</v>
      </c>
      <c r="CK284" s="14" t="s">
        <v>21</v>
      </c>
      <c r="CL284" s="14">
        <f>INDEX(属性投放!$BC$6:$BC$85,(BY284-2)*20+CD284)</f>
        <v>40</v>
      </c>
      <c r="CM284" s="14" t="s">
        <v>22</v>
      </c>
      <c r="CN284" s="14">
        <f>INDEX(属性投放!$BD$6:$BD$85,(BY284-2)*20+CD284)</f>
        <v>20</v>
      </c>
      <c r="CO284" s="14" t="s">
        <v>510</v>
      </c>
      <c r="CP284" s="14">
        <f>INDEX(属性投放!$BE$6:$BE$85,(BY284-2)*20+CD284)</f>
        <v>400</v>
      </c>
      <c r="CS284" s="13">
        <v>280</v>
      </c>
      <c r="CT284" s="13">
        <f t="shared" si="563"/>
        <v>6</v>
      </c>
      <c r="CU284" s="13">
        <f t="shared" si="564"/>
        <v>20</v>
      </c>
      <c r="CV284" s="14">
        <f t="shared" si="565"/>
        <v>5</v>
      </c>
      <c r="CW284" s="14">
        <f t="shared" si="566"/>
        <v>1102006</v>
      </c>
      <c r="CX284" s="14" t="str">
        <f>INDEX($O$6:$O$50,CT284)&amp;"-"&amp;INDEX(属性投放!$AB$7:$AB$50,CZ284)&amp;"-魂火-"&amp;DB284</f>
        <v>项羽-大叫唤-魂火-2</v>
      </c>
      <c r="CY284" s="25" t="s">
        <v>142</v>
      </c>
      <c r="CZ284" s="14">
        <f>INDEX(属性投放!$AM$7:$AM$58,CU284)</f>
        <v>10</v>
      </c>
      <c r="DA284" s="14" t="s">
        <v>537</v>
      </c>
      <c r="DB284" s="14">
        <f>INDEX(属性投放!$AN$7:$AN$58,CU284)</f>
        <v>2</v>
      </c>
      <c r="DC284" s="14">
        <f t="shared" si="554"/>
        <v>20</v>
      </c>
      <c r="DD284" s="14">
        <f>INDEX(属性投放!$AO$7:$AO$58,DC284)</f>
        <v>68</v>
      </c>
      <c r="DE284" s="14" t="s">
        <v>538</v>
      </c>
      <c r="DF284" s="14">
        <f>INDEX(属性投放!$BK$6:$BK$85,(CV284-2)*20+CZ284)</f>
        <v>150</v>
      </c>
      <c r="DG284" s="14">
        <f>SUMIFS(DF$5:DF284,$CT$5:$CT284,"="&amp;$CT284)</f>
        <v>1769</v>
      </c>
      <c r="DH284" s="14" t="s">
        <v>539</v>
      </c>
      <c r="DI284" s="14">
        <f>INDEX(属性投放!$BL$6:$BL$85,(CV284-2)*20+CZ284)</f>
        <v>75</v>
      </c>
      <c r="DJ284" s="14">
        <f>SUMIFS(DI$5:DI284,$CT$5:$CT284,"="&amp;$CT284)</f>
        <v>887</v>
      </c>
      <c r="DK284" s="14" t="s">
        <v>540</v>
      </c>
      <c r="DL284" s="14">
        <f>INDEX(属性投放!$BM$6:$BM$85,(CV284-2)*20+CZ284)</f>
        <v>1350</v>
      </c>
      <c r="DM284" s="14">
        <f>SUMIFS(DL$5:DL284,$CT$5:$CT284,"="&amp;$CT284)</f>
        <v>13632</v>
      </c>
      <c r="DR284" s="14">
        <f t="shared" si="555"/>
        <v>1102014</v>
      </c>
      <c r="DS284" s="14" t="str">
        <f t="shared" si="556"/>
        <v>石灵明20突</v>
      </c>
      <c r="DT284" s="14">
        <f t="shared" si="567"/>
        <v>5</v>
      </c>
      <c r="DU284" s="14">
        <f t="shared" si="568"/>
        <v>5</v>
      </c>
      <c r="DV284" s="14">
        <f t="shared" si="569"/>
        <v>5</v>
      </c>
      <c r="DW284" s="14">
        <f t="shared" si="557"/>
        <v>3</v>
      </c>
      <c r="DX284" s="14">
        <f t="shared" si="558"/>
        <v>20</v>
      </c>
      <c r="DY284" s="14">
        <f t="shared" si="559"/>
        <v>40</v>
      </c>
      <c r="DZ284" s="14">
        <f>INDEX(属性投放!$AX$6:$AX$85,(卡牌属性!DW284-2)*20+卡牌属性!DX284)</f>
        <v>10</v>
      </c>
      <c r="EA284" s="14">
        <f>INDEX(属性投放!BQ$6:BQ$85,卡牌属性!$DY284)</f>
        <v>1500</v>
      </c>
      <c r="EB284" s="14">
        <f>INDEX(属性投放!BR$6:BR$85,卡牌属性!$DY284)</f>
        <v>750</v>
      </c>
      <c r="EC284" s="14">
        <f>INDEX(属性投放!BS$6:BS$85,卡牌属性!$DY284)</f>
        <v>15000</v>
      </c>
      <c r="ED284" s="14">
        <f t="shared" si="576"/>
        <v>10876</v>
      </c>
      <c r="EE284" s="14">
        <f t="shared" si="577"/>
        <v>11184</v>
      </c>
      <c r="EF284" s="14">
        <f t="shared" si="578"/>
        <v>12683</v>
      </c>
      <c r="EG284" s="14">
        <f t="shared" si="579"/>
        <v>12683</v>
      </c>
      <c r="EH284" s="14">
        <f t="shared" si="580"/>
        <v>13360</v>
      </c>
      <c r="EI284" s="14">
        <f t="shared" si="581"/>
        <v>5416</v>
      </c>
      <c r="EJ284" s="14">
        <f t="shared" si="582"/>
        <v>5584</v>
      </c>
      <c r="EK284" s="14">
        <f t="shared" si="583"/>
        <v>5584</v>
      </c>
      <c r="EL284" s="14">
        <f t="shared" si="584"/>
        <v>6317</v>
      </c>
      <c r="EM284" s="14">
        <f t="shared" si="585"/>
        <v>6667</v>
      </c>
      <c r="EN284" s="14">
        <f t="shared" si="586"/>
        <v>101900</v>
      </c>
      <c r="EO284" s="14">
        <f t="shared" si="587"/>
        <v>104564</v>
      </c>
      <c r="EP284" s="14">
        <f t="shared" si="588"/>
        <v>104564</v>
      </c>
      <c r="EQ284" s="14">
        <f t="shared" si="589"/>
        <v>118198</v>
      </c>
      <c r="ER284" s="14">
        <f t="shared" si="590"/>
        <v>124142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INDEX(属性投放!$BQ$6:$BQ$85,(卡牌属性!$DW284-2)*20+卡牌属性!$DX284)</f>
        <v>1500</v>
      </c>
      <c r="FI284" s="14">
        <f>INDEX(属性投放!$BQ$6:$BQ$85,(卡牌属性!$DW284-2)*20+卡牌属性!$DX284)</f>
        <v>1500</v>
      </c>
      <c r="FJ284" s="14">
        <f>INDEX(属性投放!$BQ$6:$BQ$85,(卡牌属性!$DW284-2)*20+卡牌属性!$DX284)</f>
        <v>1500</v>
      </c>
      <c r="FK284" s="14">
        <f>INDEX(属性投放!$BQ$6:$BQ$85,(卡牌属性!$DW284-2)*20+卡牌属性!$DX284)</f>
        <v>1500</v>
      </c>
      <c r="FL284" s="14">
        <f>INDEX(属性投放!$BQ$6:$BQ$85,(卡牌属性!$DW284-2)*20+卡牌属性!$DX284)</f>
        <v>1500</v>
      </c>
      <c r="FM284" s="14">
        <f>INDEX(属性投放!$BR$6:$BR$85,(卡牌属性!$DW284-2)*20+卡牌属性!$DX284)</f>
        <v>750</v>
      </c>
      <c r="FN284" s="14">
        <f>INDEX(属性投放!$BR$6:$BR$85,(卡牌属性!$DW284-2)*20+卡牌属性!$DX284)</f>
        <v>750</v>
      </c>
      <c r="FO284" s="14">
        <f>INDEX(属性投放!$BR$6:$BR$85,(卡牌属性!$DW284-2)*20+卡牌属性!$DX284)</f>
        <v>750</v>
      </c>
      <c r="FP284" s="14">
        <f>INDEX(属性投放!$BR$6:$BR$85,(卡牌属性!$DW284-2)*20+卡牌属性!$DX284)</f>
        <v>750</v>
      </c>
      <c r="FQ284" s="14">
        <f>INDEX(属性投放!$BR$6:$BR$85,(卡牌属性!$DW284-2)*20+卡牌属性!$DX284)</f>
        <v>750</v>
      </c>
      <c r="FR284" s="14">
        <f>INDEX(属性投放!$BS$6:$BS$85,(卡牌属性!$DW284-2)*20+卡牌属性!$DX284)</f>
        <v>15000</v>
      </c>
      <c r="FS284" s="14">
        <f>INDEX(属性投放!$BS$6:$BS$85,(卡牌属性!$DW284-2)*20+卡牌属性!$DX284)</f>
        <v>15000</v>
      </c>
      <c r="FT284" s="14">
        <f>INDEX(属性投放!$BS$6:$BS$85,(卡牌属性!$DW284-2)*20+卡牌属性!$DX284)</f>
        <v>15000</v>
      </c>
      <c r="FU284" s="14">
        <f>INDEX(属性投放!$BS$6:$BS$85,(卡牌属性!$DW284-2)*20+卡牌属性!$DX284)</f>
        <v>15000</v>
      </c>
      <c r="FV284" s="14">
        <f>INDEX(属性投放!$BS$6:$BS$85,(卡牌属性!$DW284-2)*20+卡牌属性!$DX284)</f>
        <v>15000</v>
      </c>
    </row>
    <row r="285" spans="31:178" ht="16.5" x14ac:dyDescent="0.2">
      <c r="AE285" s="13">
        <v>281</v>
      </c>
      <c r="AF285" s="13">
        <f t="shared" si="560"/>
        <v>15</v>
      </c>
      <c r="AG285" s="13">
        <f t="shared" si="547"/>
        <v>3</v>
      </c>
      <c r="AH285" s="13"/>
      <c r="AI285" s="13"/>
      <c r="AJ285" s="14">
        <f t="shared" si="548"/>
        <v>1101015</v>
      </c>
      <c r="AK285" s="14" t="str">
        <f t="shared" si="549"/>
        <v>阎巧巧1突</v>
      </c>
      <c r="AL285" s="25" t="s">
        <v>142</v>
      </c>
      <c r="AM285" s="14">
        <v>1</v>
      </c>
      <c r="AN285" s="14">
        <f t="shared" si="550"/>
        <v>1</v>
      </c>
      <c r="AO285" s="14">
        <f>INDEX(属性投放!$DF$6:$DF$85,(卡牌属性!AG285-2)*20+卡牌属性!AN285)</f>
        <v>150</v>
      </c>
      <c r="AP285" s="14">
        <f t="shared" ref="AP285:AS304" si="591">$AO285</f>
        <v>150</v>
      </c>
      <c r="AQ285" s="14">
        <f t="shared" si="591"/>
        <v>150</v>
      </c>
      <c r="AR285" s="14">
        <f t="shared" si="591"/>
        <v>150</v>
      </c>
      <c r="AS285" s="14">
        <f t="shared" si="591"/>
        <v>150</v>
      </c>
      <c r="AT285" s="14">
        <f>INDEX(属性投放!$DG$6:$DG$85,(卡牌属性!AG285-2)*20+卡牌属性!AN285)</f>
        <v>0</v>
      </c>
      <c r="AU285" s="14">
        <f t="shared" ref="AU285:AX304" si="592">$AT285</f>
        <v>0</v>
      </c>
      <c r="AV285" s="14">
        <f t="shared" si="592"/>
        <v>0</v>
      </c>
      <c r="AW285" s="14">
        <f t="shared" si="592"/>
        <v>0</v>
      </c>
      <c r="AX285" s="14">
        <f t="shared" si="592"/>
        <v>0</v>
      </c>
      <c r="AY285" s="14">
        <f>INDEX(属性投放!$DH$6:$DH$85,(卡牌属性!AG285-2)*20+卡牌属性!AN285)</f>
        <v>375</v>
      </c>
      <c r="AZ285" s="14">
        <f t="shared" ref="AZ285:BC304" si="593">$AY285</f>
        <v>375</v>
      </c>
      <c r="BA285" s="14">
        <f t="shared" si="593"/>
        <v>375</v>
      </c>
      <c r="BB285" s="14">
        <f t="shared" si="593"/>
        <v>375</v>
      </c>
      <c r="BC285" s="14">
        <f t="shared" si="593"/>
        <v>375</v>
      </c>
      <c r="BD285" s="14">
        <f>INDEX(属性投放!$DL$6:$DL$85,(卡牌属性!AG285-2)*20+卡牌属性!AN285)</f>
        <v>8</v>
      </c>
      <c r="BE285" s="14">
        <f t="shared" ref="BE285:BH304" si="594">$BD285</f>
        <v>8</v>
      </c>
      <c r="BF285" s="14">
        <f t="shared" si="594"/>
        <v>8</v>
      </c>
      <c r="BG285" s="14">
        <f t="shared" si="594"/>
        <v>8</v>
      </c>
      <c r="BH285" s="14">
        <f t="shared" si="594"/>
        <v>8</v>
      </c>
      <c r="BI285" s="14">
        <f>INDEX(属性投放!$DM$6:$DM$85,(卡牌属性!AG285-2)*20+卡牌属性!AN285)</f>
        <v>4</v>
      </c>
      <c r="BJ285" s="14">
        <f t="shared" ref="BJ285:BM304" si="595">$BI285</f>
        <v>4</v>
      </c>
      <c r="BK285" s="14">
        <f t="shared" si="595"/>
        <v>4</v>
      </c>
      <c r="BL285" s="14">
        <f t="shared" si="595"/>
        <v>4</v>
      </c>
      <c r="BM285" s="14">
        <f t="shared" si="595"/>
        <v>4</v>
      </c>
      <c r="BN285" s="14">
        <f>INDEX(属性投放!$DN$6:$DN$85,(卡牌属性!AG285-2)*20+卡牌属性!AN285)</f>
        <v>49</v>
      </c>
      <c r="BO285" s="14">
        <f t="shared" ref="BO285:BR304" si="596">$BN285</f>
        <v>49</v>
      </c>
      <c r="BP285" s="14">
        <f t="shared" si="596"/>
        <v>49</v>
      </c>
      <c r="BQ285" s="14">
        <f t="shared" si="596"/>
        <v>49</v>
      </c>
      <c r="BR285" s="14">
        <f t="shared" si="596"/>
        <v>49</v>
      </c>
      <c r="BW285" s="13">
        <v>281</v>
      </c>
      <c r="BX285" s="13">
        <f t="shared" si="551"/>
        <v>15</v>
      </c>
      <c r="BY285" s="14">
        <f t="shared" si="552"/>
        <v>2</v>
      </c>
      <c r="BZ285" s="14">
        <f t="shared" si="561"/>
        <v>1102015</v>
      </c>
      <c r="CA285" s="14" t="str">
        <f t="shared" si="562"/>
        <v>于禁1突</v>
      </c>
      <c r="CB285" s="25" t="s">
        <v>142</v>
      </c>
      <c r="CC285" s="14">
        <v>2</v>
      </c>
      <c r="CD285" s="14">
        <f t="shared" si="553"/>
        <v>1</v>
      </c>
      <c r="CE285" s="14" t="s">
        <v>21</v>
      </c>
      <c r="CF285" s="14">
        <f>INDEX(属性投放!$AZ$6:$AZ$85,(BY285-2)*20+CD285)</f>
        <v>100</v>
      </c>
      <c r="CG285" s="14" t="s">
        <v>22</v>
      </c>
      <c r="CH285" s="14">
        <f>INDEX(属性投放!$BA$6:$BA$85,(BY285-2)*20+CD285)</f>
        <v>0</v>
      </c>
      <c r="CI285" s="14" t="s">
        <v>510</v>
      </c>
      <c r="CJ285" s="14">
        <f>INDEX(属性投放!$BB$6:$BB$85,(BY285-2)*20+CD285)</f>
        <v>300</v>
      </c>
      <c r="CK285" s="14" t="s">
        <v>21</v>
      </c>
      <c r="CL285" s="14">
        <f>INDEX(属性投放!$BC$6:$BC$85,(BY285-2)*20+CD285)</f>
        <v>5</v>
      </c>
      <c r="CM285" s="14" t="s">
        <v>22</v>
      </c>
      <c r="CN285" s="14">
        <f>INDEX(属性投放!$BD$6:$BD$85,(BY285-2)*20+CD285)</f>
        <v>3</v>
      </c>
      <c r="CO285" s="14" t="s">
        <v>510</v>
      </c>
      <c r="CP285" s="14">
        <f>INDEX(属性投放!$BE$6:$BE$85,(BY285-2)*20+CD285)</f>
        <v>30</v>
      </c>
      <c r="CS285" s="13">
        <v>281</v>
      </c>
      <c r="CT285" s="13">
        <f t="shared" si="563"/>
        <v>6</v>
      </c>
      <c r="CU285" s="13">
        <f t="shared" si="564"/>
        <v>21</v>
      </c>
      <c r="CV285" s="14">
        <f t="shared" si="565"/>
        <v>5</v>
      </c>
      <c r="CW285" s="14">
        <f t="shared" si="566"/>
        <v>1102006</v>
      </c>
      <c r="CX285" s="14" t="str">
        <f>INDEX($O$6:$O$50,CT285)&amp;"-"&amp;INDEX(属性投放!$AB$7:$AB$50,CZ285)&amp;"-魂火-"&amp;DB285</f>
        <v>项羽-大叫唤-魂火-3</v>
      </c>
      <c r="CY285" s="25" t="s">
        <v>142</v>
      </c>
      <c r="CZ285" s="14">
        <f>INDEX(属性投放!$AM$7:$AM$58,CU285)</f>
        <v>10</v>
      </c>
      <c r="DA285" s="14" t="s">
        <v>537</v>
      </c>
      <c r="DB285" s="14">
        <f>INDEX(属性投放!$AN$7:$AN$58,CU285)</f>
        <v>3</v>
      </c>
      <c r="DC285" s="14">
        <f t="shared" si="554"/>
        <v>21</v>
      </c>
      <c r="DD285" s="14">
        <f>INDEX(属性投放!$AO$7:$AO$58,DC285)</f>
        <v>70</v>
      </c>
      <c r="DE285" s="14" t="s">
        <v>538</v>
      </c>
      <c r="DF285" s="14">
        <f>INDEX(属性投放!$BK$6:$BK$85,(CV285-2)*20+CZ285)</f>
        <v>150</v>
      </c>
      <c r="DG285" s="14">
        <f>SUMIFS(DF$5:DF285,$CT$5:$CT285,"="&amp;$CT285)</f>
        <v>1919</v>
      </c>
      <c r="DH285" s="14" t="s">
        <v>539</v>
      </c>
      <c r="DI285" s="14">
        <f>INDEX(属性投放!$BL$6:$BL$85,(CV285-2)*20+CZ285)</f>
        <v>75</v>
      </c>
      <c r="DJ285" s="14">
        <f>SUMIFS(DI$5:DI285,$CT$5:$CT285,"="&amp;$CT285)</f>
        <v>962</v>
      </c>
      <c r="DK285" s="14" t="s">
        <v>540</v>
      </c>
      <c r="DL285" s="14">
        <f>INDEX(属性投放!$BM$6:$BM$85,(CV285-2)*20+CZ285)</f>
        <v>1350</v>
      </c>
      <c r="DM285" s="14">
        <f>SUMIFS(DL$5:DL285,$CT$5:$CT285,"="&amp;$CT285)</f>
        <v>14982</v>
      </c>
      <c r="DR285" s="14">
        <f t="shared" si="555"/>
        <v>1102015</v>
      </c>
      <c r="DS285" s="14" t="str">
        <f t="shared" si="556"/>
        <v>于禁1突</v>
      </c>
      <c r="DT285" s="14">
        <f t="shared" si="567"/>
        <v>3</v>
      </c>
      <c r="DU285" s="14">
        <f t="shared" si="568"/>
        <v>3</v>
      </c>
      <c r="DV285" s="14">
        <f t="shared" si="569"/>
        <v>3</v>
      </c>
      <c r="DW285" s="14">
        <f t="shared" si="557"/>
        <v>2</v>
      </c>
      <c r="DX285" s="14">
        <f t="shared" si="558"/>
        <v>1</v>
      </c>
      <c r="DY285" s="14">
        <f t="shared" si="559"/>
        <v>1</v>
      </c>
      <c r="DZ285" s="14">
        <f>INDEX(属性投放!$AX$6:$AX$85,(卡牌属性!DW285-2)*20+卡牌属性!DX285)</f>
        <v>4</v>
      </c>
      <c r="EA285" s="14">
        <f>INDEX(属性投放!BQ$6:BQ$85,卡牌属性!$DY285)</f>
        <v>25</v>
      </c>
      <c r="EB285" s="14">
        <f>INDEX(属性投放!BR$6:BR$85,卡牌属性!$DY285)</f>
        <v>13</v>
      </c>
      <c r="EC285" s="14">
        <f>INDEX(属性投放!BS$6:BS$85,卡牌属性!$DY285)</f>
        <v>150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175</v>
      </c>
      <c r="EI285" s="14">
        <f>INDEX(属性偏向!$J$4:$J$15,卡牌属性!$DU285+EI$3)</f>
        <v>10</v>
      </c>
      <c r="EJ285" s="14">
        <f>INDEX(属性偏向!$J$4:$J$15,卡牌属性!$DU285+EJ$3)</f>
        <v>20</v>
      </c>
      <c r="EK285" s="14">
        <f>INDEX(属性偏向!$J$4:$J$15,卡牌属性!$DU285+EK$3)</f>
        <v>20</v>
      </c>
      <c r="EL285" s="14">
        <f>INDEX(属性偏向!$J$4:$J$15,卡牌属性!$DU285+EL$3)</f>
        <v>30</v>
      </c>
      <c r="EM285" s="14">
        <f>INDEX(属性偏向!$J$4:$J$15,卡牌属性!$DU285+EM$3)</f>
        <v>40</v>
      </c>
      <c r="EN285" s="14">
        <f>INDEX(属性偏向!$K$4:$K$15,卡牌属性!$DV285+EN$3)</f>
        <v>300</v>
      </c>
      <c r="EO285" s="14">
        <f>INDEX(属性偏向!$K$4:$K$15,卡牌属性!$DV285+EO$3)</f>
        <v>400</v>
      </c>
      <c r="EP285" s="14">
        <f>INDEX(属性偏向!$K$4:$K$15,卡牌属性!$DV285+EP$3)</f>
        <v>400</v>
      </c>
      <c r="EQ285" s="14">
        <f>INDEX(属性偏向!$K$4:$K$15,卡牌属性!$DV285+EQ$3)</f>
        <v>500</v>
      </c>
      <c r="ER285" s="14">
        <f>INDEX(属性偏向!$K$4:$K$15,卡牌属性!$DV285+ER$3)</f>
        <v>650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30</v>
      </c>
      <c r="FD285" s="14">
        <f>INDEX(属性偏向!$U$4:$U$243,(卡牌属性!$DV285-1+FD$3)*20+卡牌属性!$DX285)</f>
        <v>36</v>
      </c>
      <c r="FE285" s="14">
        <f>INDEX(属性偏向!$U$4:$U$243,(卡牌属性!$DV285-1+FE$3)*20+卡牌属性!$DX285)</f>
        <v>36</v>
      </c>
      <c r="FF285" s="14">
        <f>INDEX(属性偏向!$U$4:$U$243,(卡牌属性!$DV285-1+FF$3)*20+卡牌属性!$DX285)</f>
        <v>48</v>
      </c>
      <c r="FG285" s="14">
        <f>INDEX(属性偏向!$U$4:$U$243,(卡牌属性!$DV285-1+FG$3)*20+卡牌属性!$DX285)</f>
        <v>60</v>
      </c>
      <c r="FH285" s="14">
        <f>INDEX(属性投放!$BQ$6:$BQ$85,(卡牌属性!$DW285-2)*20+卡牌属性!$DX285)</f>
        <v>25</v>
      </c>
      <c r="FI285" s="14">
        <f>INDEX(属性投放!$BQ$6:$BQ$85,(卡牌属性!$DW285-2)*20+卡牌属性!$DX285)</f>
        <v>25</v>
      </c>
      <c r="FJ285" s="14">
        <f>INDEX(属性投放!$BQ$6:$BQ$85,(卡牌属性!$DW285-2)*20+卡牌属性!$DX285)</f>
        <v>25</v>
      </c>
      <c r="FK285" s="14">
        <f>INDEX(属性投放!$BQ$6:$BQ$85,(卡牌属性!$DW285-2)*20+卡牌属性!$DX285)</f>
        <v>25</v>
      </c>
      <c r="FL285" s="14">
        <f>INDEX(属性投放!$BQ$6:$BQ$85,(卡牌属性!$DW285-2)*20+卡牌属性!$DX285)</f>
        <v>25</v>
      </c>
      <c r="FM285" s="14">
        <f>INDEX(属性投放!$BR$6:$BR$85,(卡牌属性!$DW285-2)*20+卡牌属性!$DX285)</f>
        <v>13</v>
      </c>
      <c r="FN285" s="14">
        <f>INDEX(属性投放!$BR$6:$BR$85,(卡牌属性!$DW285-2)*20+卡牌属性!$DX285)</f>
        <v>13</v>
      </c>
      <c r="FO285" s="14">
        <f>INDEX(属性投放!$BR$6:$BR$85,(卡牌属性!$DW285-2)*20+卡牌属性!$DX285)</f>
        <v>13</v>
      </c>
      <c r="FP285" s="14">
        <f>INDEX(属性投放!$BR$6:$BR$85,(卡牌属性!$DW285-2)*20+卡牌属性!$DX285)</f>
        <v>13</v>
      </c>
      <c r="FQ285" s="14">
        <f>INDEX(属性投放!$BR$6:$BR$85,(卡牌属性!$DW285-2)*20+卡牌属性!$DX285)</f>
        <v>13</v>
      </c>
      <c r="FR285" s="14">
        <f>INDEX(属性投放!$BS$6:$BS$85,(卡牌属性!$DW285-2)*20+卡牌属性!$DX285)</f>
        <v>150</v>
      </c>
      <c r="FS285" s="14">
        <f>INDEX(属性投放!$BS$6:$BS$85,(卡牌属性!$DW285-2)*20+卡牌属性!$DX285)</f>
        <v>150</v>
      </c>
      <c r="FT285" s="14">
        <f>INDEX(属性投放!$BS$6:$BS$85,(卡牌属性!$DW285-2)*20+卡牌属性!$DX285)</f>
        <v>150</v>
      </c>
      <c r="FU285" s="14">
        <f>INDEX(属性投放!$BS$6:$BS$85,(卡牌属性!$DW285-2)*20+卡牌属性!$DX285)</f>
        <v>150</v>
      </c>
      <c r="FV285" s="14">
        <f>INDEX(属性投放!$BS$6:$BS$85,(卡牌属性!$DW285-2)*20+卡牌属性!$DX285)</f>
        <v>150</v>
      </c>
    </row>
    <row r="286" spans="31:178" ht="16.5" x14ac:dyDescent="0.2">
      <c r="AE286" s="13">
        <v>282</v>
      </c>
      <c r="AF286" s="13">
        <f t="shared" si="560"/>
        <v>15</v>
      </c>
      <c r="AG286" s="13">
        <f t="shared" si="547"/>
        <v>3</v>
      </c>
      <c r="AH286" s="13"/>
      <c r="AI286" s="13"/>
      <c r="AJ286" s="14">
        <f t="shared" si="548"/>
        <v>1101015</v>
      </c>
      <c r="AK286" s="14" t="str">
        <f t="shared" si="549"/>
        <v>阎巧巧2突</v>
      </c>
      <c r="AL286" s="25" t="s">
        <v>142</v>
      </c>
      <c r="AM286" s="14">
        <v>1</v>
      </c>
      <c r="AN286" s="14">
        <f t="shared" si="550"/>
        <v>2</v>
      </c>
      <c r="AO286" s="14">
        <f>INDEX(属性投放!$DF$6:$DF$85,(卡牌属性!AG286-2)*20+卡牌属性!AN286)</f>
        <v>230</v>
      </c>
      <c r="AP286" s="14">
        <f t="shared" si="591"/>
        <v>230</v>
      </c>
      <c r="AQ286" s="14">
        <f t="shared" si="591"/>
        <v>230</v>
      </c>
      <c r="AR286" s="14">
        <f t="shared" si="591"/>
        <v>230</v>
      </c>
      <c r="AS286" s="14">
        <f t="shared" si="591"/>
        <v>230</v>
      </c>
      <c r="AT286" s="14">
        <f>INDEX(属性投放!$DG$6:$DG$85,(卡牌属性!AG286-2)*20+卡牌属性!AN286)</f>
        <v>40</v>
      </c>
      <c r="AU286" s="14">
        <f t="shared" si="592"/>
        <v>40</v>
      </c>
      <c r="AV286" s="14">
        <f t="shared" si="592"/>
        <v>40</v>
      </c>
      <c r="AW286" s="14">
        <f t="shared" si="592"/>
        <v>40</v>
      </c>
      <c r="AX286" s="14">
        <f t="shared" si="592"/>
        <v>40</v>
      </c>
      <c r="AY286" s="14">
        <f>INDEX(属性投放!$DH$6:$DH$85,(卡牌属性!AG286-2)*20+卡牌属性!AN286)</f>
        <v>865</v>
      </c>
      <c r="AZ286" s="14">
        <f t="shared" si="593"/>
        <v>865</v>
      </c>
      <c r="BA286" s="14">
        <f t="shared" si="593"/>
        <v>865</v>
      </c>
      <c r="BB286" s="14">
        <f t="shared" si="593"/>
        <v>865</v>
      </c>
      <c r="BC286" s="14">
        <f t="shared" si="593"/>
        <v>865</v>
      </c>
      <c r="BD286" s="14">
        <f>INDEX(属性投放!$DL$6:$DL$85,(卡牌属性!AG286-2)*20+卡牌属性!AN286)</f>
        <v>17</v>
      </c>
      <c r="BE286" s="14">
        <f t="shared" si="594"/>
        <v>17</v>
      </c>
      <c r="BF286" s="14">
        <f t="shared" si="594"/>
        <v>17</v>
      </c>
      <c r="BG286" s="14">
        <f t="shared" si="594"/>
        <v>17</v>
      </c>
      <c r="BH286" s="14">
        <f t="shared" si="594"/>
        <v>17</v>
      </c>
      <c r="BI286" s="14">
        <f>INDEX(属性投放!$DM$6:$DM$85,(卡牌属性!AG286-2)*20+卡牌属性!AN286)</f>
        <v>8</v>
      </c>
      <c r="BJ286" s="14">
        <f t="shared" si="595"/>
        <v>8</v>
      </c>
      <c r="BK286" s="14">
        <f t="shared" si="595"/>
        <v>8</v>
      </c>
      <c r="BL286" s="14">
        <f t="shared" si="595"/>
        <v>8</v>
      </c>
      <c r="BM286" s="14">
        <f t="shared" si="595"/>
        <v>8</v>
      </c>
      <c r="BN286" s="14">
        <f>INDEX(属性投放!$DN$6:$DN$85,(卡牌属性!AG286-2)*20+卡牌属性!AN286)</f>
        <v>101</v>
      </c>
      <c r="BO286" s="14">
        <f t="shared" si="596"/>
        <v>101</v>
      </c>
      <c r="BP286" s="14">
        <f t="shared" si="596"/>
        <v>101</v>
      </c>
      <c r="BQ286" s="14">
        <f t="shared" si="596"/>
        <v>101</v>
      </c>
      <c r="BR286" s="14">
        <f t="shared" si="596"/>
        <v>101</v>
      </c>
      <c r="BW286" s="13">
        <v>282</v>
      </c>
      <c r="BX286" s="13">
        <f t="shared" si="551"/>
        <v>15</v>
      </c>
      <c r="BY286" s="14">
        <f t="shared" si="552"/>
        <v>2</v>
      </c>
      <c r="BZ286" s="14">
        <f t="shared" si="561"/>
        <v>1102015</v>
      </c>
      <c r="CA286" s="14" t="str">
        <f t="shared" si="562"/>
        <v>于禁2突</v>
      </c>
      <c r="CB286" s="25" t="s">
        <v>142</v>
      </c>
      <c r="CC286" s="14">
        <v>2</v>
      </c>
      <c r="CD286" s="14">
        <f t="shared" si="553"/>
        <v>2</v>
      </c>
      <c r="CE286" s="14" t="s">
        <v>21</v>
      </c>
      <c r="CF286" s="14">
        <f>INDEX(属性投放!$AZ$6:$AZ$85,(BY286-2)*20+CD286)</f>
        <v>160</v>
      </c>
      <c r="CG286" s="14" t="s">
        <v>22</v>
      </c>
      <c r="CH286" s="14">
        <f>INDEX(属性投放!$BA$6:$BA$85,(BY286-2)*20+CD286)</f>
        <v>33</v>
      </c>
      <c r="CI286" s="14" t="s">
        <v>510</v>
      </c>
      <c r="CJ286" s="14">
        <f>INDEX(属性投放!$BB$6:$BB$85,(BY286-2)*20+CD286)</f>
        <v>660</v>
      </c>
      <c r="CK286" s="14" t="s">
        <v>21</v>
      </c>
      <c r="CL286" s="14">
        <f>INDEX(属性投放!$BC$6:$BC$85,(BY286-2)*20+CD286)</f>
        <v>6</v>
      </c>
      <c r="CM286" s="14" t="s">
        <v>22</v>
      </c>
      <c r="CN286" s="14">
        <f>INDEX(属性投放!$BD$6:$BD$85,(BY286-2)*20+CD286)</f>
        <v>3</v>
      </c>
      <c r="CO286" s="14" t="s">
        <v>510</v>
      </c>
      <c r="CP286" s="14">
        <f>INDEX(属性投放!$BE$6:$BE$85,(BY286-2)*20+CD286)</f>
        <v>36</v>
      </c>
      <c r="CS286" s="13">
        <v>282</v>
      </c>
      <c r="CT286" s="13">
        <f t="shared" si="563"/>
        <v>6</v>
      </c>
      <c r="CU286" s="13">
        <f t="shared" si="564"/>
        <v>22</v>
      </c>
      <c r="CV286" s="14">
        <f t="shared" si="565"/>
        <v>5</v>
      </c>
      <c r="CW286" s="14">
        <f t="shared" si="566"/>
        <v>1102006</v>
      </c>
      <c r="CX286" s="14" t="str">
        <f>INDEX($O$6:$O$50,CT286)&amp;"-"&amp;INDEX(属性投放!$AB$7:$AB$50,CZ286)&amp;"-魂火-"&amp;DB286</f>
        <v>项羽-大叫唤+1-魂火-1</v>
      </c>
      <c r="CY286" s="25" t="s">
        <v>142</v>
      </c>
      <c r="CZ286" s="14">
        <f>INDEX(属性投放!$AM$7:$AM$58,CU286)</f>
        <v>11</v>
      </c>
      <c r="DA286" s="14" t="s">
        <v>537</v>
      </c>
      <c r="DB286" s="14">
        <f>INDEX(属性投放!$AN$7:$AN$58,CU286)</f>
        <v>1</v>
      </c>
      <c r="DC286" s="14">
        <f t="shared" si="554"/>
        <v>22</v>
      </c>
      <c r="DD286" s="14">
        <f>INDEX(属性投放!$AO$7:$AO$58,DC286)</f>
        <v>73</v>
      </c>
      <c r="DE286" s="14" t="s">
        <v>538</v>
      </c>
      <c r="DF286" s="14">
        <f>INDEX(属性投放!$BK$6:$BK$85,(CV286-2)*20+CZ286)</f>
        <v>200</v>
      </c>
      <c r="DG286" s="14">
        <f>SUMIFS(DF$5:DF286,$CT$5:$CT286,"="&amp;$CT286)</f>
        <v>2119</v>
      </c>
      <c r="DH286" s="14" t="s">
        <v>539</v>
      </c>
      <c r="DI286" s="14">
        <f>INDEX(属性投放!$BL$6:$BL$85,(CV286-2)*20+CZ286)</f>
        <v>100</v>
      </c>
      <c r="DJ286" s="14">
        <f>SUMIFS(DI$5:DI286,$CT$5:$CT286,"="&amp;$CT286)</f>
        <v>1062</v>
      </c>
      <c r="DK286" s="14" t="s">
        <v>540</v>
      </c>
      <c r="DL286" s="14">
        <f>INDEX(属性投放!$BM$6:$BM$85,(CV286-2)*20+CZ286)</f>
        <v>1800</v>
      </c>
      <c r="DM286" s="14">
        <f>SUMIFS(DL$5:DL286,$CT$5:$CT286,"="&amp;$CT286)</f>
        <v>16782</v>
      </c>
      <c r="DR286" s="14">
        <f t="shared" si="555"/>
        <v>1102015</v>
      </c>
      <c r="DS286" s="14" t="str">
        <f t="shared" si="556"/>
        <v>于禁2突</v>
      </c>
      <c r="DT286" s="14">
        <f t="shared" si="567"/>
        <v>3</v>
      </c>
      <c r="DU286" s="14">
        <f t="shared" si="568"/>
        <v>3</v>
      </c>
      <c r="DV286" s="14">
        <f t="shared" si="569"/>
        <v>3</v>
      </c>
      <c r="DW286" s="14">
        <f t="shared" si="557"/>
        <v>2</v>
      </c>
      <c r="DX286" s="14">
        <f t="shared" si="558"/>
        <v>2</v>
      </c>
      <c r="DY286" s="14">
        <f t="shared" si="559"/>
        <v>2</v>
      </c>
      <c r="DZ286" s="14">
        <f>INDEX(属性投放!$AX$6:$AX$85,(卡牌属性!DW286-2)*20+卡牌属性!DX286)</f>
        <v>10</v>
      </c>
      <c r="EA286" s="14">
        <f>INDEX(属性投放!BQ$6:BQ$85,卡牌属性!$DY286)</f>
        <v>30</v>
      </c>
      <c r="EB286" s="14">
        <f>INDEX(属性投放!BR$6:BR$85,卡牌属性!$DY286)</f>
        <v>15</v>
      </c>
      <c r="EC286" s="14">
        <f>INDEX(属性投放!BS$6:BS$85,卡牌属性!$DY286)</f>
        <v>180</v>
      </c>
      <c r="ED286" s="14">
        <f t="shared" ref="ED286:ED304" si="597">ED285+$EA285+ES285*$DZ285</f>
        <v>145</v>
      </c>
      <c r="EE286" s="14">
        <f t="shared" ref="EE286:EE304" si="598">EE285+$EA285+ET285*$DZ285</f>
        <v>174</v>
      </c>
      <c r="EF286" s="14">
        <f t="shared" ref="EF286:EF304" si="599">EF285+$EA285+EU285*$DZ285</f>
        <v>207</v>
      </c>
      <c r="EG286" s="14">
        <f t="shared" ref="EG286:EG304" si="600">EG285+$EA285+EV285*$DZ285</f>
        <v>207</v>
      </c>
      <c r="EH286" s="14">
        <f t="shared" ref="EH286:EH304" si="601">EH285+$EA285+EW285*$DZ285</f>
        <v>240</v>
      </c>
      <c r="EI286" s="14">
        <f t="shared" ref="EI286:EI304" si="602">EI285+$EB285+EX285*$DZ285</f>
        <v>35</v>
      </c>
      <c r="EJ286" s="14">
        <f t="shared" ref="EJ286:EJ304" si="603">EJ285+$EB285+EY285*$DZ285</f>
        <v>45</v>
      </c>
      <c r="EK286" s="14">
        <f t="shared" ref="EK286:EK304" si="604">EK285+$EB285+EZ285*$DZ285</f>
        <v>45</v>
      </c>
      <c r="EL286" s="14">
        <f t="shared" ref="EL286:EL304" si="605">EL285+$EB285+FA285*$DZ285</f>
        <v>59</v>
      </c>
      <c r="EM286" s="14">
        <f t="shared" ref="EM286:EM304" si="606">EM285+$EB285+FB285*$DZ285</f>
        <v>73</v>
      </c>
      <c r="EN286" s="14">
        <f t="shared" ref="EN286:EN304" si="607">EN285+$EC285+FC285*$DZ285</f>
        <v>570</v>
      </c>
      <c r="EO286" s="14">
        <f t="shared" ref="EO286:EO304" si="608">EO285+$EC285+FD285*$DZ285</f>
        <v>694</v>
      </c>
      <c r="EP286" s="14">
        <f t="shared" ref="EP286:EP304" si="609">EP285+$EC285+FE285*$DZ285</f>
        <v>694</v>
      </c>
      <c r="EQ286" s="14">
        <f t="shared" ref="EQ286:EQ304" si="610">EQ285+$EC285+FF285*$DZ285</f>
        <v>842</v>
      </c>
      <c r="ER286" s="14">
        <f t="shared" ref="ER286:ER304" si="611">ER285+$EC285+FG285*$DZ285</f>
        <v>1040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36</v>
      </c>
      <c r="FD286" s="14">
        <f>INDEX(属性偏向!$U$4:$U$243,(卡牌属性!$DV286-1+FD$3)*20+卡牌属性!$DX286)</f>
        <v>48</v>
      </c>
      <c r="FE286" s="14">
        <f>INDEX(属性偏向!$U$4:$U$243,(卡牌属性!$DV286-1+FE$3)*20+卡牌属性!$DX286)</f>
        <v>48</v>
      </c>
      <c r="FF286" s="14">
        <f>INDEX(属性偏向!$U$4:$U$243,(卡牌属性!$DV286-1+FF$3)*20+卡牌属性!$DX286)</f>
        <v>60</v>
      </c>
      <c r="FG286" s="14">
        <f>INDEX(属性偏向!$U$4:$U$243,(卡牌属性!$DV286-1+FG$3)*20+卡牌属性!$DX286)</f>
        <v>72</v>
      </c>
      <c r="FH286" s="14">
        <f>INDEX(属性投放!$BQ$6:$BQ$85,(卡牌属性!$DW286-2)*20+卡牌属性!$DX286)</f>
        <v>30</v>
      </c>
      <c r="FI286" s="14">
        <f>INDEX(属性投放!$BQ$6:$BQ$85,(卡牌属性!$DW286-2)*20+卡牌属性!$DX286)</f>
        <v>30</v>
      </c>
      <c r="FJ286" s="14">
        <f>INDEX(属性投放!$BQ$6:$BQ$85,(卡牌属性!$DW286-2)*20+卡牌属性!$DX286)</f>
        <v>30</v>
      </c>
      <c r="FK286" s="14">
        <f>INDEX(属性投放!$BQ$6:$BQ$85,(卡牌属性!$DW286-2)*20+卡牌属性!$DX286)</f>
        <v>30</v>
      </c>
      <c r="FL286" s="14">
        <f>INDEX(属性投放!$BQ$6:$BQ$85,(卡牌属性!$DW286-2)*20+卡牌属性!$DX286)</f>
        <v>30</v>
      </c>
      <c r="FM286" s="14">
        <f>INDEX(属性投放!$BR$6:$BR$85,(卡牌属性!$DW286-2)*20+卡牌属性!$DX286)</f>
        <v>15</v>
      </c>
      <c r="FN286" s="14">
        <f>INDEX(属性投放!$BR$6:$BR$85,(卡牌属性!$DW286-2)*20+卡牌属性!$DX286)</f>
        <v>15</v>
      </c>
      <c r="FO286" s="14">
        <f>INDEX(属性投放!$BR$6:$BR$85,(卡牌属性!$DW286-2)*20+卡牌属性!$DX286)</f>
        <v>15</v>
      </c>
      <c r="FP286" s="14">
        <f>INDEX(属性投放!$BR$6:$BR$85,(卡牌属性!$DW286-2)*20+卡牌属性!$DX286)</f>
        <v>15</v>
      </c>
      <c r="FQ286" s="14">
        <f>INDEX(属性投放!$BR$6:$BR$85,(卡牌属性!$DW286-2)*20+卡牌属性!$DX286)</f>
        <v>15</v>
      </c>
      <c r="FR286" s="14">
        <f>INDEX(属性投放!$BS$6:$BS$85,(卡牌属性!$DW286-2)*20+卡牌属性!$DX286)</f>
        <v>180</v>
      </c>
      <c r="FS286" s="14">
        <f>INDEX(属性投放!$BS$6:$BS$85,(卡牌属性!$DW286-2)*20+卡牌属性!$DX286)</f>
        <v>180</v>
      </c>
      <c r="FT286" s="14">
        <f>INDEX(属性投放!$BS$6:$BS$85,(卡牌属性!$DW286-2)*20+卡牌属性!$DX286)</f>
        <v>180</v>
      </c>
      <c r="FU286" s="14">
        <f>INDEX(属性投放!$BS$6:$BS$85,(卡牌属性!$DW286-2)*20+卡牌属性!$DX286)</f>
        <v>180</v>
      </c>
      <c r="FV286" s="14">
        <f>INDEX(属性投放!$BS$6:$BS$85,(卡牌属性!$DW286-2)*20+卡牌属性!$DX286)</f>
        <v>180</v>
      </c>
    </row>
    <row r="287" spans="31:178" ht="16.5" x14ac:dyDescent="0.2">
      <c r="AE287" s="13">
        <v>283</v>
      </c>
      <c r="AF287" s="13">
        <f t="shared" si="560"/>
        <v>15</v>
      </c>
      <c r="AG287" s="13">
        <f t="shared" si="547"/>
        <v>3</v>
      </c>
      <c r="AH287" s="13"/>
      <c r="AI287" s="13"/>
      <c r="AJ287" s="14">
        <f t="shared" si="548"/>
        <v>1101015</v>
      </c>
      <c r="AK287" s="14" t="str">
        <f t="shared" si="549"/>
        <v>阎巧巧3突</v>
      </c>
      <c r="AL287" s="25" t="s">
        <v>142</v>
      </c>
      <c r="AM287" s="14">
        <v>1</v>
      </c>
      <c r="AN287" s="14">
        <f t="shared" si="550"/>
        <v>3</v>
      </c>
      <c r="AO287" s="14">
        <f>INDEX(属性投放!$DF$6:$DF$85,(卡牌属性!AG287-2)*20+卡牌属性!AN287)</f>
        <v>272</v>
      </c>
      <c r="AP287" s="14">
        <f t="shared" si="591"/>
        <v>272</v>
      </c>
      <c r="AQ287" s="14">
        <f t="shared" si="591"/>
        <v>272</v>
      </c>
      <c r="AR287" s="14">
        <f t="shared" si="591"/>
        <v>272</v>
      </c>
      <c r="AS287" s="14">
        <f t="shared" si="591"/>
        <v>272</v>
      </c>
      <c r="AT287" s="14">
        <f>INDEX(属性投放!$DG$6:$DG$85,(卡牌属性!AG287-2)*20+卡牌属性!AN287)</f>
        <v>61</v>
      </c>
      <c r="AU287" s="14">
        <f t="shared" si="592"/>
        <v>61</v>
      </c>
      <c r="AV287" s="14">
        <f t="shared" si="592"/>
        <v>61</v>
      </c>
      <c r="AW287" s="14">
        <f t="shared" si="592"/>
        <v>61</v>
      </c>
      <c r="AX287" s="14">
        <f t="shared" si="592"/>
        <v>61</v>
      </c>
      <c r="AY287" s="14">
        <f>INDEX(属性投放!$DH$6:$DH$85,(卡牌属性!AG287-2)*20+卡牌属性!AN287)</f>
        <v>1117</v>
      </c>
      <c r="AZ287" s="14">
        <f t="shared" si="593"/>
        <v>1117</v>
      </c>
      <c r="BA287" s="14">
        <f t="shared" si="593"/>
        <v>1117</v>
      </c>
      <c r="BB287" s="14">
        <f t="shared" si="593"/>
        <v>1117</v>
      </c>
      <c r="BC287" s="14">
        <f t="shared" si="593"/>
        <v>1117</v>
      </c>
      <c r="BD287" s="14">
        <f>INDEX(属性投放!$DL$6:$DL$85,(卡牌属性!AG287-2)*20+卡牌属性!AN287)</f>
        <v>17</v>
      </c>
      <c r="BE287" s="14">
        <f t="shared" si="594"/>
        <v>17</v>
      </c>
      <c r="BF287" s="14">
        <f t="shared" si="594"/>
        <v>17</v>
      </c>
      <c r="BG287" s="14">
        <f t="shared" si="594"/>
        <v>17</v>
      </c>
      <c r="BH287" s="14">
        <f t="shared" si="594"/>
        <v>17</v>
      </c>
      <c r="BI287" s="14">
        <f>INDEX(属性投放!$DM$6:$DM$85,(卡牌属性!AG287-2)*20+卡牌属性!AN287)</f>
        <v>8</v>
      </c>
      <c r="BJ287" s="14">
        <f t="shared" si="595"/>
        <v>8</v>
      </c>
      <c r="BK287" s="14">
        <f t="shared" si="595"/>
        <v>8</v>
      </c>
      <c r="BL287" s="14">
        <f t="shared" si="595"/>
        <v>8</v>
      </c>
      <c r="BM287" s="14">
        <f t="shared" si="595"/>
        <v>8</v>
      </c>
      <c r="BN287" s="14">
        <f>INDEX(属性投放!$DN$6:$DN$85,(卡牌属性!AG287-2)*20+卡牌属性!AN287)</f>
        <v>101</v>
      </c>
      <c r="BO287" s="14">
        <f t="shared" si="596"/>
        <v>101</v>
      </c>
      <c r="BP287" s="14">
        <f t="shared" si="596"/>
        <v>101</v>
      </c>
      <c r="BQ287" s="14">
        <f t="shared" si="596"/>
        <v>101</v>
      </c>
      <c r="BR287" s="14">
        <f t="shared" si="596"/>
        <v>101</v>
      </c>
      <c r="BW287" s="13">
        <v>283</v>
      </c>
      <c r="BX287" s="13">
        <f t="shared" si="551"/>
        <v>15</v>
      </c>
      <c r="BY287" s="14">
        <f t="shared" si="552"/>
        <v>2</v>
      </c>
      <c r="BZ287" s="14">
        <f t="shared" si="561"/>
        <v>1102015</v>
      </c>
      <c r="CA287" s="14" t="str">
        <f t="shared" si="562"/>
        <v>于禁3突</v>
      </c>
      <c r="CB287" s="25" t="s">
        <v>142</v>
      </c>
      <c r="CC287" s="14">
        <v>2</v>
      </c>
      <c r="CD287" s="14">
        <f t="shared" si="553"/>
        <v>3</v>
      </c>
      <c r="CE287" s="14" t="s">
        <v>21</v>
      </c>
      <c r="CF287" s="14">
        <f>INDEX(属性投放!$AZ$6:$AZ$85,(BY287-2)*20+CD287)</f>
        <v>290</v>
      </c>
      <c r="CG287" s="14" t="s">
        <v>22</v>
      </c>
      <c r="CH287" s="14">
        <f>INDEX(属性投放!$BA$6:$BA$85,(BY287-2)*20+CD287)</f>
        <v>98</v>
      </c>
      <c r="CI287" s="14" t="s">
        <v>510</v>
      </c>
      <c r="CJ287" s="14">
        <f>INDEX(属性投放!$BB$6:$BB$85,(BY287-2)*20+CD287)</f>
        <v>1440</v>
      </c>
      <c r="CK287" s="14" t="s">
        <v>21</v>
      </c>
      <c r="CL287" s="14">
        <f>INDEX(属性投放!$BC$6:$BC$85,(BY287-2)*20+CD287)</f>
        <v>6</v>
      </c>
      <c r="CM287" s="14" t="s">
        <v>22</v>
      </c>
      <c r="CN287" s="14">
        <f>INDEX(属性投放!$BD$6:$BD$85,(BY287-2)*20+CD287)</f>
        <v>3</v>
      </c>
      <c r="CO287" s="14" t="s">
        <v>510</v>
      </c>
      <c r="CP287" s="14">
        <f>INDEX(属性投放!$BE$6:$BE$85,(BY287-2)*20+CD287)</f>
        <v>36</v>
      </c>
      <c r="CS287" s="13">
        <v>283</v>
      </c>
      <c r="CT287" s="13">
        <f t="shared" si="563"/>
        <v>6</v>
      </c>
      <c r="CU287" s="13">
        <f t="shared" si="564"/>
        <v>23</v>
      </c>
      <c r="CV287" s="14">
        <f t="shared" si="565"/>
        <v>5</v>
      </c>
      <c r="CW287" s="14">
        <f t="shared" si="566"/>
        <v>1102006</v>
      </c>
      <c r="CX287" s="14" t="str">
        <f>INDEX($O$6:$O$50,CT287)&amp;"-"&amp;INDEX(属性投放!$AB$7:$AB$50,CZ287)&amp;"-魂火-"&amp;DB287</f>
        <v>项羽-大叫唤+1-魂火-2</v>
      </c>
      <c r="CY287" s="25" t="s">
        <v>142</v>
      </c>
      <c r="CZ287" s="14">
        <f>INDEX(属性投放!$AM$7:$AM$58,CU287)</f>
        <v>11</v>
      </c>
      <c r="DA287" s="14" t="s">
        <v>537</v>
      </c>
      <c r="DB287" s="14">
        <f>INDEX(属性投放!$AN$7:$AN$58,CU287)</f>
        <v>2</v>
      </c>
      <c r="DC287" s="14">
        <f t="shared" si="554"/>
        <v>23</v>
      </c>
      <c r="DD287" s="14">
        <f>INDEX(属性投放!$AO$7:$AO$58,DC287)</f>
        <v>75</v>
      </c>
      <c r="DE287" s="14" t="s">
        <v>538</v>
      </c>
      <c r="DF287" s="14">
        <f>INDEX(属性投放!$BK$6:$BK$85,(CV287-2)*20+CZ287)</f>
        <v>200</v>
      </c>
      <c r="DG287" s="14">
        <f>SUMIFS(DF$5:DF287,$CT$5:$CT287,"="&amp;$CT287)</f>
        <v>2319</v>
      </c>
      <c r="DH287" s="14" t="s">
        <v>539</v>
      </c>
      <c r="DI287" s="14">
        <f>INDEX(属性投放!$BL$6:$BL$85,(CV287-2)*20+CZ287)</f>
        <v>100</v>
      </c>
      <c r="DJ287" s="14">
        <f>SUMIFS(DI$5:DI287,$CT$5:$CT287,"="&amp;$CT287)</f>
        <v>1162</v>
      </c>
      <c r="DK287" s="14" t="s">
        <v>540</v>
      </c>
      <c r="DL287" s="14">
        <f>INDEX(属性投放!$BM$6:$BM$85,(CV287-2)*20+CZ287)</f>
        <v>1800</v>
      </c>
      <c r="DM287" s="14">
        <f>SUMIFS(DL$5:DL287,$CT$5:$CT287,"="&amp;$CT287)</f>
        <v>18582</v>
      </c>
      <c r="DR287" s="14">
        <f t="shared" si="555"/>
        <v>1102015</v>
      </c>
      <c r="DS287" s="14" t="str">
        <f t="shared" si="556"/>
        <v>于禁3突</v>
      </c>
      <c r="DT287" s="14">
        <f t="shared" si="567"/>
        <v>3</v>
      </c>
      <c r="DU287" s="14">
        <f t="shared" si="568"/>
        <v>3</v>
      </c>
      <c r="DV287" s="14">
        <f t="shared" si="569"/>
        <v>3</v>
      </c>
      <c r="DW287" s="14">
        <f t="shared" si="557"/>
        <v>2</v>
      </c>
      <c r="DX287" s="14">
        <f t="shared" si="558"/>
        <v>3</v>
      </c>
      <c r="DY287" s="14">
        <f t="shared" si="559"/>
        <v>3</v>
      </c>
      <c r="DZ287" s="14">
        <f>INDEX(属性投放!$AX$6:$AX$85,(卡牌属性!DW287-2)*20+卡牌属性!DX287)</f>
        <v>10</v>
      </c>
      <c r="EA287" s="14">
        <f>INDEX(属性投放!BQ$6:BQ$85,卡牌属性!$DY287)</f>
        <v>50</v>
      </c>
      <c r="EB287" s="14">
        <f>INDEX(属性投放!BR$6:BR$85,卡牌属性!$DY287)</f>
        <v>25</v>
      </c>
      <c r="EC287" s="14">
        <f>INDEX(属性投放!BS$6:BS$85,卡牌属性!$DY287)</f>
        <v>300</v>
      </c>
      <c r="ED287" s="14">
        <f t="shared" si="597"/>
        <v>235</v>
      </c>
      <c r="EE287" s="14">
        <f t="shared" si="598"/>
        <v>284</v>
      </c>
      <c r="EF287" s="14">
        <f t="shared" si="599"/>
        <v>337</v>
      </c>
      <c r="EG287" s="14">
        <f t="shared" si="600"/>
        <v>337</v>
      </c>
      <c r="EH287" s="14">
        <f t="shared" si="601"/>
        <v>390</v>
      </c>
      <c r="EI287" s="14">
        <f t="shared" si="602"/>
        <v>80</v>
      </c>
      <c r="EJ287" s="14">
        <f t="shared" si="603"/>
        <v>100</v>
      </c>
      <c r="EK287" s="14">
        <f t="shared" si="604"/>
        <v>100</v>
      </c>
      <c r="EL287" s="14">
        <f t="shared" si="605"/>
        <v>124</v>
      </c>
      <c r="EM287" s="14">
        <f t="shared" si="606"/>
        <v>148</v>
      </c>
      <c r="EN287" s="14">
        <f t="shared" si="607"/>
        <v>1110</v>
      </c>
      <c r="EO287" s="14">
        <f t="shared" si="608"/>
        <v>1354</v>
      </c>
      <c r="EP287" s="14">
        <f t="shared" si="609"/>
        <v>1354</v>
      </c>
      <c r="EQ287" s="14">
        <f t="shared" si="610"/>
        <v>1622</v>
      </c>
      <c r="ER287" s="14">
        <f t="shared" si="611"/>
        <v>1940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36</v>
      </c>
      <c r="FD287" s="14">
        <f>INDEX(属性偏向!$U$4:$U$243,(卡牌属性!$DV287-1+FD$3)*20+卡牌属性!$DX287)</f>
        <v>48</v>
      </c>
      <c r="FE287" s="14">
        <f>INDEX(属性偏向!$U$4:$U$243,(卡牌属性!$DV287-1+FE$3)*20+卡牌属性!$DX287)</f>
        <v>48</v>
      </c>
      <c r="FF287" s="14">
        <f>INDEX(属性偏向!$U$4:$U$243,(卡牌属性!$DV287-1+FF$3)*20+卡牌属性!$DX287)</f>
        <v>60</v>
      </c>
      <c r="FG287" s="14">
        <f>INDEX(属性偏向!$U$4:$U$243,(卡牌属性!$DV287-1+FG$3)*20+卡牌属性!$DX287)</f>
        <v>72</v>
      </c>
      <c r="FH287" s="14">
        <f>INDEX(属性投放!$BQ$6:$BQ$85,(卡牌属性!$DW287-2)*20+卡牌属性!$DX287)</f>
        <v>50</v>
      </c>
      <c r="FI287" s="14">
        <f>INDEX(属性投放!$BQ$6:$BQ$85,(卡牌属性!$DW287-2)*20+卡牌属性!$DX287)</f>
        <v>50</v>
      </c>
      <c r="FJ287" s="14">
        <f>INDEX(属性投放!$BQ$6:$BQ$85,(卡牌属性!$DW287-2)*20+卡牌属性!$DX287)</f>
        <v>50</v>
      </c>
      <c r="FK287" s="14">
        <f>INDEX(属性投放!$BQ$6:$BQ$85,(卡牌属性!$DW287-2)*20+卡牌属性!$DX287)</f>
        <v>50</v>
      </c>
      <c r="FL287" s="14">
        <f>INDEX(属性投放!$BQ$6:$BQ$85,(卡牌属性!$DW287-2)*20+卡牌属性!$DX287)</f>
        <v>50</v>
      </c>
      <c r="FM287" s="14">
        <f>INDEX(属性投放!$BR$6:$BR$85,(卡牌属性!$DW287-2)*20+卡牌属性!$DX287)</f>
        <v>25</v>
      </c>
      <c r="FN287" s="14">
        <f>INDEX(属性投放!$BR$6:$BR$85,(卡牌属性!$DW287-2)*20+卡牌属性!$DX287)</f>
        <v>25</v>
      </c>
      <c r="FO287" s="14">
        <f>INDEX(属性投放!$BR$6:$BR$85,(卡牌属性!$DW287-2)*20+卡牌属性!$DX287)</f>
        <v>25</v>
      </c>
      <c r="FP287" s="14">
        <f>INDEX(属性投放!$BR$6:$BR$85,(卡牌属性!$DW287-2)*20+卡牌属性!$DX287)</f>
        <v>25</v>
      </c>
      <c r="FQ287" s="14">
        <f>INDEX(属性投放!$BR$6:$BR$85,(卡牌属性!$DW287-2)*20+卡牌属性!$DX287)</f>
        <v>25</v>
      </c>
      <c r="FR287" s="14">
        <f>INDEX(属性投放!$BS$6:$BS$85,(卡牌属性!$DW287-2)*20+卡牌属性!$DX287)</f>
        <v>300</v>
      </c>
      <c r="FS287" s="14">
        <f>INDEX(属性投放!$BS$6:$BS$85,(卡牌属性!$DW287-2)*20+卡牌属性!$DX287)</f>
        <v>300</v>
      </c>
      <c r="FT287" s="14">
        <f>INDEX(属性投放!$BS$6:$BS$85,(卡牌属性!$DW287-2)*20+卡牌属性!$DX287)</f>
        <v>300</v>
      </c>
      <c r="FU287" s="14">
        <f>INDEX(属性投放!$BS$6:$BS$85,(卡牌属性!$DW287-2)*20+卡牌属性!$DX287)</f>
        <v>300</v>
      </c>
      <c r="FV287" s="14">
        <f>INDEX(属性投放!$BS$6:$BS$85,(卡牌属性!$DW287-2)*20+卡牌属性!$DX287)</f>
        <v>300</v>
      </c>
    </row>
    <row r="288" spans="31:178" ht="16.5" x14ac:dyDescent="0.2">
      <c r="AE288" s="13">
        <v>284</v>
      </c>
      <c r="AF288" s="13">
        <f t="shared" si="560"/>
        <v>15</v>
      </c>
      <c r="AG288" s="13">
        <f t="shared" si="547"/>
        <v>3</v>
      </c>
      <c r="AH288" s="13"/>
      <c r="AI288" s="13"/>
      <c r="AJ288" s="14">
        <f t="shared" si="548"/>
        <v>1101015</v>
      </c>
      <c r="AK288" s="14" t="str">
        <f t="shared" si="549"/>
        <v>阎巧巧4突</v>
      </c>
      <c r="AL288" s="25" t="s">
        <v>142</v>
      </c>
      <c r="AM288" s="14">
        <v>1</v>
      </c>
      <c r="AN288" s="14">
        <f t="shared" si="550"/>
        <v>4</v>
      </c>
      <c r="AO288" s="14">
        <f>INDEX(属性投放!$DF$6:$DF$85,(卡牌属性!AG288-2)*20+卡牌属性!AN288)</f>
        <v>484</v>
      </c>
      <c r="AP288" s="14">
        <f t="shared" si="591"/>
        <v>484</v>
      </c>
      <c r="AQ288" s="14">
        <f t="shared" si="591"/>
        <v>484</v>
      </c>
      <c r="AR288" s="14">
        <f t="shared" si="591"/>
        <v>484</v>
      </c>
      <c r="AS288" s="14">
        <f t="shared" si="591"/>
        <v>484</v>
      </c>
      <c r="AT288" s="14">
        <f>INDEX(属性投放!$DG$6:$DG$85,(卡牌属性!AG288-2)*20+卡牌属性!AN288)</f>
        <v>162</v>
      </c>
      <c r="AU288" s="14">
        <f t="shared" si="592"/>
        <v>162</v>
      </c>
      <c r="AV288" s="14">
        <f t="shared" si="592"/>
        <v>162</v>
      </c>
      <c r="AW288" s="14">
        <f t="shared" si="592"/>
        <v>162</v>
      </c>
      <c r="AX288" s="14">
        <f t="shared" si="592"/>
        <v>162</v>
      </c>
      <c r="AY288" s="14">
        <f>INDEX(属性投放!$DH$6:$DH$85,(卡牌属性!AG288-2)*20+卡牌属性!AN288)</f>
        <v>2379</v>
      </c>
      <c r="AZ288" s="14">
        <f t="shared" si="593"/>
        <v>2379</v>
      </c>
      <c r="BA288" s="14">
        <f t="shared" si="593"/>
        <v>2379</v>
      </c>
      <c r="BB288" s="14">
        <f t="shared" si="593"/>
        <v>2379</v>
      </c>
      <c r="BC288" s="14">
        <f t="shared" si="593"/>
        <v>2379</v>
      </c>
      <c r="BD288" s="14">
        <f>INDEX(属性投放!$DL$6:$DL$85,(卡牌属性!AG288-2)*20+卡牌属性!AN288)</f>
        <v>30</v>
      </c>
      <c r="BE288" s="14">
        <f t="shared" si="594"/>
        <v>30</v>
      </c>
      <c r="BF288" s="14">
        <f t="shared" si="594"/>
        <v>30</v>
      </c>
      <c r="BG288" s="14">
        <f t="shared" si="594"/>
        <v>30</v>
      </c>
      <c r="BH288" s="14">
        <f t="shared" si="594"/>
        <v>30</v>
      </c>
      <c r="BI288" s="14">
        <f>INDEX(属性投放!$DM$6:$DM$85,(卡牌属性!AG288-2)*20+卡牌属性!AN288)</f>
        <v>15</v>
      </c>
      <c r="BJ288" s="14">
        <f t="shared" si="595"/>
        <v>15</v>
      </c>
      <c r="BK288" s="14">
        <f t="shared" si="595"/>
        <v>15</v>
      </c>
      <c r="BL288" s="14">
        <f t="shared" si="595"/>
        <v>15</v>
      </c>
      <c r="BM288" s="14">
        <f t="shared" si="595"/>
        <v>15</v>
      </c>
      <c r="BN288" s="14">
        <f>INDEX(属性投放!$DN$6:$DN$85,(卡牌属性!AG288-2)*20+卡牌属性!AN288)</f>
        <v>208</v>
      </c>
      <c r="BO288" s="14">
        <f t="shared" si="596"/>
        <v>208</v>
      </c>
      <c r="BP288" s="14">
        <f t="shared" si="596"/>
        <v>208</v>
      </c>
      <c r="BQ288" s="14">
        <f t="shared" si="596"/>
        <v>208</v>
      </c>
      <c r="BR288" s="14">
        <f t="shared" si="596"/>
        <v>208</v>
      </c>
      <c r="BW288" s="13">
        <v>284</v>
      </c>
      <c r="BX288" s="13">
        <f t="shared" si="551"/>
        <v>15</v>
      </c>
      <c r="BY288" s="14">
        <f t="shared" si="552"/>
        <v>2</v>
      </c>
      <c r="BZ288" s="14">
        <f t="shared" si="561"/>
        <v>1102015</v>
      </c>
      <c r="CA288" s="14" t="str">
        <f t="shared" si="562"/>
        <v>于禁4突</v>
      </c>
      <c r="CB288" s="25" t="s">
        <v>142</v>
      </c>
      <c r="CC288" s="14">
        <v>2</v>
      </c>
      <c r="CD288" s="14">
        <f t="shared" si="553"/>
        <v>4</v>
      </c>
      <c r="CE288" s="14" t="s">
        <v>21</v>
      </c>
      <c r="CF288" s="14">
        <f>INDEX(属性投放!$AZ$6:$AZ$85,(BY288-2)*20+CD288)</f>
        <v>450</v>
      </c>
      <c r="CG288" s="14" t="s">
        <v>22</v>
      </c>
      <c r="CH288" s="14">
        <f>INDEX(属性投放!$BA$6:$BA$85,(BY288-2)*20+CD288)</f>
        <v>179</v>
      </c>
      <c r="CI288" s="14" t="s">
        <v>510</v>
      </c>
      <c r="CJ288" s="14">
        <f>INDEX(属性投放!$BB$6:$BB$85,(BY288-2)*20+CD288)</f>
        <v>2400</v>
      </c>
      <c r="CK288" s="14" t="s">
        <v>21</v>
      </c>
      <c r="CL288" s="14">
        <f>INDEX(属性投放!$BC$6:$BC$85,(BY288-2)*20+CD288)</f>
        <v>8</v>
      </c>
      <c r="CM288" s="14" t="s">
        <v>22</v>
      </c>
      <c r="CN288" s="14">
        <f>INDEX(属性投放!$BD$6:$BD$85,(BY288-2)*20+CD288)</f>
        <v>4</v>
      </c>
      <c r="CO288" s="14" t="s">
        <v>510</v>
      </c>
      <c r="CP288" s="14">
        <f>INDEX(属性投放!$BE$6:$BE$85,(BY288-2)*20+CD288)</f>
        <v>56</v>
      </c>
      <c r="CS288" s="13">
        <v>284</v>
      </c>
      <c r="CT288" s="13">
        <f t="shared" si="563"/>
        <v>6</v>
      </c>
      <c r="CU288" s="13">
        <f t="shared" si="564"/>
        <v>24</v>
      </c>
      <c r="CV288" s="14">
        <f t="shared" si="565"/>
        <v>5</v>
      </c>
      <c r="CW288" s="14">
        <f t="shared" si="566"/>
        <v>1102006</v>
      </c>
      <c r="CX288" s="14" t="str">
        <f>INDEX($O$6:$O$50,CT288)&amp;"-"&amp;INDEX(属性投放!$AB$7:$AB$50,CZ288)&amp;"-魂火-"&amp;DB288</f>
        <v>项羽-大叫唤+1-魂火-3</v>
      </c>
      <c r="CY288" s="25" t="s">
        <v>142</v>
      </c>
      <c r="CZ288" s="14">
        <f>INDEX(属性投放!$AM$7:$AM$58,CU288)</f>
        <v>11</v>
      </c>
      <c r="DA288" s="14" t="s">
        <v>537</v>
      </c>
      <c r="DB288" s="14">
        <f>INDEX(属性投放!$AN$7:$AN$58,CU288)</f>
        <v>3</v>
      </c>
      <c r="DC288" s="14">
        <f t="shared" si="554"/>
        <v>24</v>
      </c>
      <c r="DD288" s="14">
        <f>INDEX(属性投放!$AO$7:$AO$58,DC288)</f>
        <v>78</v>
      </c>
      <c r="DE288" s="14" t="s">
        <v>538</v>
      </c>
      <c r="DF288" s="14">
        <f>INDEX(属性投放!$BK$6:$BK$85,(CV288-2)*20+CZ288)</f>
        <v>200</v>
      </c>
      <c r="DG288" s="14">
        <f>SUMIFS(DF$5:DF288,$CT$5:$CT288,"="&amp;$CT288)</f>
        <v>2519</v>
      </c>
      <c r="DH288" s="14" t="s">
        <v>539</v>
      </c>
      <c r="DI288" s="14">
        <f>INDEX(属性投放!$BL$6:$BL$85,(CV288-2)*20+CZ288)</f>
        <v>100</v>
      </c>
      <c r="DJ288" s="14">
        <f>SUMIFS(DI$5:DI288,$CT$5:$CT288,"="&amp;$CT288)</f>
        <v>1262</v>
      </c>
      <c r="DK288" s="14" t="s">
        <v>540</v>
      </c>
      <c r="DL288" s="14">
        <f>INDEX(属性投放!$BM$6:$BM$85,(CV288-2)*20+CZ288)</f>
        <v>1800</v>
      </c>
      <c r="DM288" s="14">
        <f>SUMIFS(DL$5:DL288,$CT$5:$CT288,"="&amp;$CT288)</f>
        <v>20382</v>
      </c>
      <c r="DR288" s="14">
        <f t="shared" si="555"/>
        <v>1102015</v>
      </c>
      <c r="DS288" s="14" t="str">
        <f t="shared" si="556"/>
        <v>于禁4突</v>
      </c>
      <c r="DT288" s="14">
        <f t="shared" si="567"/>
        <v>3</v>
      </c>
      <c r="DU288" s="14">
        <f t="shared" si="568"/>
        <v>3</v>
      </c>
      <c r="DV288" s="14">
        <f t="shared" si="569"/>
        <v>3</v>
      </c>
      <c r="DW288" s="14">
        <f t="shared" si="557"/>
        <v>2</v>
      </c>
      <c r="DX288" s="14">
        <f t="shared" si="558"/>
        <v>4</v>
      </c>
      <c r="DY288" s="14">
        <f t="shared" si="559"/>
        <v>4</v>
      </c>
      <c r="DZ288" s="14">
        <f>INDEX(属性投放!$AX$6:$AX$85,(卡牌属性!DW288-2)*20+卡牌属性!DX288)</f>
        <v>10</v>
      </c>
      <c r="EA288" s="14">
        <f>INDEX(属性投放!BQ$6:BQ$85,卡牌属性!$DY288)</f>
        <v>60</v>
      </c>
      <c r="EB288" s="14">
        <f>INDEX(属性投放!BR$6:BR$85,卡牌属性!$DY288)</f>
        <v>30</v>
      </c>
      <c r="EC288" s="14">
        <f>INDEX(属性投放!BS$6:BS$85,卡牌属性!$DY288)</f>
        <v>420</v>
      </c>
      <c r="ED288" s="14">
        <f t="shared" si="597"/>
        <v>345</v>
      </c>
      <c r="EE288" s="14">
        <f t="shared" si="598"/>
        <v>414</v>
      </c>
      <c r="EF288" s="14">
        <f t="shared" si="599"/>
        <v>487</v>
      </c>
      <c r="EG288" s="14">
        <f t="shared" si="600"/>
        <v>487</v>
      </c>
      <c r="EH288" s="14">
        <f t="shared" si="601"/>
        <v>560</v>
      </c>
      <c r="EI288" s="14">
        <f t="shared" si="602"/>
        <v>135</v>
      </c>
      <c r="EJ288" s="14">
        <f t="shared" si="603"/>
        <v>165</v>
      </c>
      <c r="EK288" s="14">
        <f t="shared" si="604"/>
        <v>165</v>
      </c>
      <c r="EL288" s="14">
        <f t="shared" si="605"/>
        <v>199</v>
      </c>
      <c r="EM288" s="14">
        <f t="shared" si="606"/>
        <v>233</v>
      </c>
      <c r="EN288" s="14">
        <f t="shared" si="607"/>
        <v>1770</v>
      </c>
      <c r="EO288" s="14">
        <f t="shared" si="608"/>
        <v>2134</v>
      </c>
      <c r="EP288" s="14">
        <f t="shared" si="609"/>
        <v>2134</v>
      </c>
      <c r="EQ288" s="14">
        <f t="shared" si="610"/>
        <v>2522</v>
      </c>
      <c r="ER288" s="14">
        <f t="shared" si="611"/>
        <v>2960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56</v>
      </c>
      <c r="FD288" s="14">
        <f>INDEX(属性偏向!$U$4:$U$243,(卡牌属性!$DV288-1+FD$3)*20+卡牌属性!$DX288)</f>
        <v>70</v>
      </c>
      <c r="FE288" s="14">
        <f>INDEX(属性偏向!$U$4:$U$243,(卡牌属性!$DV288-1+FE$3)*20+卡牌属性!$DX288)</f>
        <v>70</v>
      </c>
      <c r="FF288" s="14">
        <f>INDEX(属性偏向!$U$4:$U$243,(卡牌属性!$DV288-1+FF$3)*20+卡牌属性!$DX288)</f>
        <v>84</v>
      </c>
      <c r="FG288" s="14">
        <f>INDEX(属性偏向!$U$4:$U$243,(卡牌属性!$DV288-1+FG$3)*20+卡牌属性!$DX288)</f>
        <v>91</v>
      </c>
      <c r="FH288" s="14">
        <f>INDEX(属性投放!$BQ$6:$BQ$85,(卡牌属性!$DW288-2)*20+卡牌属性!$DX288)</f>
        <v>60</v>
      </c>
      <c r="FI288" s="14">
        <f>INDEX(属性投放!$BQ$6:$BQ$85,(卡牌属性!$DW288-2)*20+卡牌属性!$DX288)</f>
        <v>60</v>
      </c>
      <c r="FJ288" s="14">
        <f>INDEX(属性投放!$BQ$6:$BQ$85,(卡牌属性!$DW288-2)*20+卡牌属性!$DX288)</f>
        <v>60</v>
      </c>
      <c r="FK288" s="14">
        <f>INDEX(属性投放!$BQ$6:$BQ$85,(卡牌属性!$DW288-2)*20+卡牌属性!$DX288)</f>
        <v>60</v>
      </c>
      <c r="FL288" s="14">
        <f>INDEX(属性投放!$BQ$6:$BQ$85,(卡牌属性!$DW288-2)*20+卡牌属性!$DX288)</f>
        <v>60</v>
      </c>
      <c r="FM288" s="14">
        <f>INDEX(属性投放!$BR$6:$BR$85,(卡牌属性!$DW288-2)*20+卡牌属性!$DX288)</f>
        <v>30</v>
      </c>
      <c r="FN288" s="14">
        <f>INDEX(属性投放!$BR$6:$BR$85,(卡牌属性!$DW288-2)*20+卡牌属性!$DX288)</f>
        <v>30</v>
      </c>
      <c r="FO288" s="14">
        <f>INDEX(属性投放!$BR$6:$BR$85,(卡牌属性!$DW288-2)*20+卡牌属性!$DX288)</f>
        <v>30</v>
      </c>
      <c r="FP288" s="14">
        <f>INDEX(属性投放!$BR$6:$BR$85,(卡牌属性!$DW288-2)*20+卡牌属性!$DX288)</f>
        <v>30</v>
      </c>
      <c r="FQ288" s="14">
        <f>INDEX(属性投放!$BR$6:$BR$85,(卡牌属性!$DW288-2)*20+卡牌属性!$DX288)</f>
        <v>30</v>
      </c>
      <c r="FR288" s="14">
        <f>INDEX(属性投放!$BS$6:$BS$85,(卡牌属性!$DW288-2)*20+卡牌属性!$DX288)</f>
        <v>420</v>
      </c>
      <c r="FS288" s="14">
        <f>INDEX(属性投放!$BS$6:$BS$85,(卡牌属性!$DW288-2)*20+卡牌属性!$DX288)</f>
        <v>420</v>
      </c>
      <c r="FT288" s="14">
        <f>INDEX(属性投放!$BS$6:$BS$85,(卡牌属性!$DW288-2)*20+卡牌属性!$DX288)</f>
        <v>420</v>
      </c>
      <c r="FU288" s="14">
        <f>INDEX(属性投放!$BS$6:$BS$85,(卡牌属性!$DW288-2)*20+卡牌属性!$DX288)</f>
        <v>420</v>
      </c>
      <c r="FV288" s="14">
        <f>INDEX(属性投放!$BS$6:$BS$85,(卡牌属性!$DW288-2)*20+卡牌属性!$DX288)</f>
        <v>420</v>
      </c>
    </row>
    <row r="289" spans="31:178" ht="16.5" x14ac:dyDescent="0.2">
      <c r="AE289" s="13">
        <v>285</v>
      </c>
      <c r="AF289" s="13">
        <f t="shared" si="560"/>
        <v>15</v>
      </c>
      <c r="AG289" s="13">
        <f t="shared" si="547"/>
        <v>3</v>
      </c>
      <c r="AH289" s="13"/>
      <c r="AI289" s="13"/>
      <c r="AJ289" s="14">
        <f t="shared" si="548"/>
        <v>1101015</v>
      </c>
      <c r="AK289" s="14" t="str">
        <f t="shared" si="549"/>
        <v>阎巧巧5突</v>
      </c>
      <c r="AL289" s="25" t="s">
        <v>142</v>
      </c>
      <c r="AM289" s="14">
        <v>1</v>
      </c>
      <c r="AN289" s="14">
        <f t="shared" si="550"/>
        <v>5</v>
      </c>
      <c r="AO289" s="14">
        <f>INDEX(属性投放!$DF$6:$DF$85,(卡牌属性!AG289-2)*20+卡牌属性!AN289)</f>
        <v>569</v>
      </c>
      <c r="AP289" s="14">
        <f t="shared" si="591"/>
        <v>569</v>
      </c>
      <c r="AQ289" s="14">
        <f t="shared" si="591"/>
        <v>569</v>
      </c>
      <c r="AR289" s="14">
        <f t="shared" si="591"/>
        <v>569</v>
      </c>
      <c r="AS289" s="14">
        <f t="shared" si="591"/>
        <v>569</v>
      </c>
      <c r="AT289" s="14">
        <f>INDEX(属性投放!$DG$6:$DG$85,(卡牌属性!AG289-2)*20+卡牌属性!AN289)</f>
        <v>205</v>
      </c>
      <c r="AU289" s="14">
        <f t="shared" si="592"/>
        <v>205</v>
      </c>
      <c r="AV289" s="14">
        <f t="shared" si="592"/>
        <v>205</v>
      </c>
      <c r="AW289" s="14">
        <f t="shared" si="592"/>
        <v>205</v>
      </c>
      <c r="AX289" s="14">
        <f t="shared" si="592"/>
        <v>205</v>
      </c>
      <c r="AY289" s="14">
        <f>INDEX(属性投放!$DH$6:$DH$85,(卡牌属性!AG289-2)*20+卡牌属性!AN289)</f>
        <v>2973</v>
      </c>
      <c r="AZ289" s="14">
        <f t="shared" si="593"/>
        <v>2973</v>
      </c>
      <c r="BA289" s="14">
        <f t="shared" si="593"/>
        <v>2973</v>
      </c>
      <c r="BB289" s="14">
        <f t="shared" si="593"/>
        <v>2973</v>
      </c>
      <c r="BC289" s="14">
        <f t="shared" si="593"/>
        <v>2973</v>
      </c>
      <c r="BD289" s="14">
        <f>INDEX(属性投放!$DL$6:$DL$85,(卡牌属性!AG289-2)*20+卡牌属性!AN289)</f>
        <v>30</v>
      </c>
      <c r="BE289" s="14">
        <f t="shared" si="594"/>
        <v>30</v>
      </c>
      <c r="BF289" s="14">
        <f t="shared" si="594"/>
        <v>30</v>
      </c>
      <c r="BG289" s="14">
        <f t="shared" si="594"/>
        <v>30</v>
      </c>
      <c r="BH289" s="14">
        <f t="shared" si="594"/>
        <v>30</v>
      </c>
      <c r="BI289" s="14">
        <f>INDEX(属性投放!$DM$6:$DM$85,(卡牌属性!AG289-2)*20+卡牌属性!AN289)</f>
        <v>15</v>
      </c>
      <c r="BJ289" s="14">
        <f t="shared" si="595"/>
        <v>15</v>
      </c>
      <c r="BK289" s="14">
        <f t="shared" si="595"/>
        <v>15</v>
      </c>
      <c r="BL289" s="14">
        <f t="shared" si="595"/>
        <v>15</v>
      </c>
      <c r="BM289" s="14">
        <f t="shared" si="595"/>
        <v>15</v>
      </c>
      <c r="BN289" s="14">
        <f>INDEX(属性投放!$DN$6:$DN$85,(卡牌属性!AG289-2)*20+卡牌属性!AN289)</f>
        <v>208</v>
      </c>
      <c r="BO289" s="14">
        <f t="shared" si="596"/>
        <v>208</v>
      </c>
      <c r="BP289" s="14">
        <f t="shared" si="596"/>
        <v>208</v>
      </c>
      <c r="BQ289" s="14">
        <f t="shared" si="596"/>
        <v>208</v>
      </c>
      <c r="BR289" s="14">
        <f t="shared" si="596"/>
        <v>208</v>
      </c>
      <c r="BW289" s="13">
        <v>285</v>
      </c>
      <c r="BX289" s="13">
        <f t="shared" si="551"/>
        <v>15</v>
      </c>
      <c r="BY289" s="14">
        <f t="shared" si="552"/>
        <v>2</v>
      </c>
      <c r="BZ289" s="14">
        <f t="shared" si="561"/>
        <v>1102015</v>
      </c>
      <c r="CA289" s="14" t="str">
        <f t="shared" si="562"/>
        <v>于禁5突</v>
      </c>
      <c r="CB289" s="25" t="s">
        <v>142</v>
      </c>
      <c r="CC289" s="14">
        <v>2</v>
      </c>
      <c r="CD289" s="14">
        <f t="shared" si="553"/>
        <v>5</v>
      </c>
      <c r="CE289" s="14" t="s">
        <v>21</v>
      </c>
      <c r="CF289" s="14">
        <f>INDEX(属性投放!$AZ$6:$AZ$85,(BY289-2)*20+CD289)</f>
        <v>650</v>
      </c>
      <c r="CG289" s="14" t="s">
        <v>22</v>
      </c>
      <c r="CH289" s="14">
        <f>INDEX(属性投放!$BA$6:$BA$85,(BY289-2)*20+CD289)</f>
        <v>279</v>
      </c>
      <c r="CI289" s="14" t="s">
        <v>510</v>
      </c>
      <c r="CJ289" s="14">
        <f>INDEX(属性投放!$BB$6:$BB$85,(BY289-2)*20+CD289)</f>
        <v>3800</v>
      </c>
      <c r="CK289" s="14" t="s">
        <v>21</v>
      </c>
      <c r="CL289" s="14">
        <f>INDEX(属性投放!$BC$6:$BC$85,(BY289-2)*20+CD289)</f>
        <v>8</v>
      </c>
      <c r="CM289" s="14" t="s">
        <v>22</v>
      </c>
      <c r="CN289" s="14">
        <f>INDEX(属性投放!$BD$6:$BD$85,(BY289-2)*20+CD289)</f>
        <v>4</v>
      </c>
      <c r="CO289" s="14" t="s">
        <v>510</v>
      </c>
      <c r="CP289" s="14">
        <f>INDEX(属性投放!$BE$6:$BE$85,(BY289-2)*20+CD289)</f>
        <v>56</v>
      </c>
      <c r="CS289" s="13">
        <v>285</v>
      </c>
      <c r="CT289" s="13">
        <f t="shared" si="563"/>
        <v>6</v>
      </c>
      <c r="CU289" s="13">
        <f t="shared" si="564"/>
        <v>25</v>
      </c>
      <c r="CV289" s="14">
        <f t="shared" si="565"/>
        <v>5</v>
      </c>
      <c r="CW289" s="14">
        <f t="shared" si="566"/>
        <v>1102006</v>
      </c>
      <c r="CX289" s="14" t="str">
        <f>INDEX($O$6:$O$50,CT289)&amp;"-"&amp;INDEX(属性投放!$AB$7:$AB$50,CZ289)&amp;"-魂火-"&amp;DB289</f>
        <v>项羽-大叫唤+2-魂火-1</v>
      </c>
      <c r="CY289" s="25" t="s">
        <v>142</v>
      </c>
      <c r="CZ289" s="14">
        <f>INDEX(属性投放!$AM$7:$AM$58,CU289)</f>
        <v>12</v>
      </c>
      <c r="DA289" s="14" t="s">
        <v>537</v>
      </c>
      <c r="DB289" s="14">
        <f>INDEX(属性投放!$AN$7:$AN$58,CU289)</f>
        <v>1</v>
      </c>
      <c r="DC289" s="14">
        <f t="shared" si="554"/>
        <v>25</v>
      </c>
      <c r="DD289" s="14">
        <f>INDEX(属性投放!$AO$7:$AO$58,DC289)</f>
        <v>80</v>
      </c>
      <c r="DE289" s="14" t="s">
        <v>538</v>
      </c>
      <c r="DF289" s="14">
        <f>INDEX(属性投放!$BK$6:$BK$85,(CV289-2)*20+CZ289)</f>
        <v>260</v>
      </c>
      <c r="DG289" s="14">
        <f>SUMIFS(DF$5:DF289,$CT$5:$CT289,"="&amp;$CT289)</f>
        <v>2779</v>
      </c>
      <c r="DH289" s="14" t="s">
        <v>539</v>
      </c>
      <c r="DI289" s="14">
        <f>INDEX(属性投放!$BL$6:$BL$85,(CV289-2)*20+CZ289)</f>
        <v>130</v>
      </c>
      <c r="DJ289" s="14">
        <f>SUMIFS(DI$5:DI289,$CT$5:$CT289,"="&amp;$CT289)</f>
        <v>1392</v>
      </c>
      <c r="DK289" s="14" t="s">
        <v>540</v>
      </c>
      <c r="DL289" s="14">
        <f>INDEX(属性投放!$BM$6:$BM$85,(CV289-2)*20+CZ289)</f>
        <v>2340</v>
      </c>
      <c r="DM289" s="14">
        <f>SUMIFS(DL$5:DL289,$CT$5:$CT289,"="&amp;$CT289)</f>
        <v>22722</v>
      </c>
      <c r="DR289" s="14">
        <f t="shared" si="555"/>
        <v>1102015</v>
      </c>
      <c r="DS289" s="14" t="str">
        <f t="shared" si="556"/>
        <v>于禁5突</v>
      </c>
      <c r="DT289" s="14">
        <f t="shared" si="567"/>
        <v>3</v>
      </c>
      <c r="DU289" s="14">
        <f t="shared" si="568"/>
        <v>3</v>
      </c>
      <c r="DV289" s="14">
        <f t="shared" si="569"/>
        <v>3</v>
      </c>
      <c r="DW289" s="14">
        <f t="shared" si="557"/>
        <v>2</v>
      </c>
      <c r="DX289" s="14">
        <f t="shared" si="558"/>
        <v>5</v>
      </c>
      <c r="DY289" s="14">
        <f t="shared" si="559"/>
        <v>5</v>
      </c>
      <c r="DZ289" s="14">
        <f>INDEX(属性投放!$AX$6:$AX$85,(卡牌属性!DW289-2)*20+卡牌属性!DX289)</f>
        <v>7</v>
      </c>
      <c r="EA289" s="14">
        <f>INDEX(属性投放!BQ$6:BQ$85,卡牌属性!$DY289)</f>
        <v>80</v>
      </c>
      <c r="EB289" s="14">
        <f>INDEX(属性投放!BR$6:BR$85,卡牌属性!$DY289)</f>
        <v>40</v>
      </c>
      <c r="EC289" s="14">
        <f>INDEX(属性投放!BS$6:BS$85,卡牌属性!$DY289)</f>
        <v>560</v>
      </c>
      <c r="ED289" s="14">
        <f t="shared" si="597"/>
        <v>485</v>
      </c>
      <c r="EE289" s="14">
        <f t="shared" si="598"/>
        <v>574</v>
      </c>
      <c r="EF289" s="14">
        <f t="shared" si="599"/>
        <v>667</v>
      </c>
      <c r="EG289" s="14">
        <f t="shared" si="600"/>
        <v>667</v>
      </c>
      <c r="EH289" s="14">
        <f t="shared" si="601"/>
        <v>750</v>
      </c>
      <c r="EI289" s="14">
        <f t="shared" si="602"/>
        <v>205</v>
      </c>
      <c r="EJ289" s="14">
        <f t="shared" si="603"/>
        <v>245</v>
      </c>
      <c r="EK289" s="14">
        <f t="shared" si="604"/>
        <v>245</v>
      </c>
      <c r="EL289" s="14">
        <f t="shared" si="605"/>
        <v>289</v>
      </c>
      <c r="EM289" s="14">
        <f t="shared" si="606"/>
        <v>333</v>
      </c>
      <c r="EN289" s="14">
        <f t="shared" si="607"/>
        <v>2750</v>
      </c>
      <c r="EO289" s="14">
        <f t="shared" si="608"/>
        <v>3254</v>
      </c>
      <c r="EP289" s="14">
        <f t="shared" si="609"/>
        <v>3254</v>
      </c>
      <c r="EQ289" s="14">
        <f t="shared" si="610"/>
        <v>3782</v>
      </c>
      <c r="ER289" s="14">
        <f t="shared" si="611"/>
        <v>4290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56</v>
      </c>
      <c r="FD289" s="14">
        <f>INDEX(属性偏向!$U$4:$U$243,(卡牌属性!$DV289-1+FD$3)*20+卡牌属性!$DX289)</f>
        <v>70</v>
      </c>
      <c r="FE289" s="14">
        <f>INDEX(属性偏向!$U$4:$U$243,(卡牌属性!$DV289-1+FE$3)*20+卡牌属性!$DX289)</f>
        <v>70</v>
      </c>
      <c r="FF289" s="14">
        <f>INDEX(属性偏向!$U$4:$U$243,(卡牌属性!$DV289-1+FF$3)*20+卡牌属性!$DX289)</f>
        <v>84</v>
      </c>
      <c r="FG289" s="14">
        <f>INDEX(属性偏向!$U$4:$U$243,(卡牌属性!$DV289-1+FG$3)*20+卡牌属性!$DX289)</f>
        <v>91</v>
      </c>
      <c r="FH289" s="14">
        <f>INDEX(属性投放!$BQ$6:$BQ$85,(卡牌属性!$DW289-2)*20+卡牌属性!$DX289)</f>
        <v>80</v>
      </c>
      <c r="FI289" s="14">
        <f>INDEX(属性投放!$BQ$6:$BQ$85,(卡牌属性!$DW289-2)*20+卡牌属性!$DX289)</f>
        <v>80</v>
      </c>
      <c r="FJ289" s="14">
        <f>INDEX(属性投放!$BQ$6:$BQ$85,(卡牌属性!$DW289-2)*20+卡牌属性!$DX289)</f>
        <v>80</v>
      </c>
      <c r="FK289" s="14">
        <f>INDEX(属性投放!$BQ$6:$BQ$85,(卡牌属性!$DW289-2)*20+卡牌属性!$DX289)</f>
        <v>80</v>
      </c>
      <c r="FL289" s="14">
        <f>INDEX(属性投放!$BQ$6:$BQ$85,(卡牌属性!$DW289-2)*20+卡牌属性!$DX289)</f>
        <v>80</v>
      </c>
      <c r="FM289" s="14">
        <f>INDEX(属性投放!$BR$6:$BR$85,(卡牌属性!$DW289-2)*20+卡牌属性!$DX289)</f>
        <v>40</v>
      </c>
      <c r="FN289" s="14">
        <f>INDEX(属性投放!$BR$6:$BR$85,(卡牌属性!$DW289-2)*20+卡牌属性!$DX289)</f>
        <v>40</v>
      </c>
      <c r="FO289" s="14">
        <f>INDEX(属性投放!$BR$6:$BR$85,(卡牌属性!$DW289-2)*20+卡牌属性!$DX289)</f>
        <v>40</v>
      </c>
      <c r="FP289" s="14">
        <f>INDEX(属性投放!$BR$6:$BR$85,(卡牌属性!$DW289-2)*20+卡牌属性!$DX289)</f>
        <v>40</v>
      </c>
      <c r="FQ289" s="14">
        <f>INDEX(属性投放!$BR$6:$BR$85,(卡牌属性!$DW289-2)*20+卡牌属性!$DX289)</f>
        <v>40</v>
      </c>
      <c r="FR289" s="14">
        <f>INDEX(属性投放!$BS$6:$BS$85,(卡牌属性!$DW289-2)*20+卡牌属性!$DX289)</f>
        <v>560</v>
      </c>
      <c r="FS289" s="14">
        <f>INDEX(属性投放!$BS$6:$BS$85,(卡牌属性!$DW289-2)*20+卡牌属性!$DX289)</f>
        <v>560</v>
      </c>
      <c r="FT289" s="14">
        <f>INDEX(属性投放!$BS$6:$BS$85,(卡牌属性!$DW289-2)*20+卡牌属性!$DX289)</f>
        <v>560</v>
      </c>
      <c r="FU289" s="14">
        <f>INDEX(属性投放!$BS$6:$BS$85,(卡牌属性!$DW289-2)*20+卡牌属性!$DX289)</f>
        <v>560</v>
      </c>
      <c r="FV289" s="14">
        <f>INDEX(属性投放!$BS$6:$BS$85,(卡牌属性!$DW289-2)*20+卡牌属性!$DX289)</f>
        <v>560</v>
      </c>
    </row>
    <row r="290" spans="31:178" ht="16.5" x14ac:dyDescent="0.2">
      <c r="AE290" s="13">
        <v>286</v>
      </c>
      <c r="AF290" s="13">
        <f t="shared" si="560"/>
        <v>15</v>
      </c>
      <c r="AG290" s="13">
        <f t="shared" si="547"/>
        <v>3</v>
      </c>
      <c r="AH290" s="13"/>
      <c r="AI290" s="13"/>
      <c r="AJ290" s="14">
        <f t="shared" si="548"/>
        <v>1101015</v>
      </c>
      <c r="AK290" s="14" t="str">
        <f t="shared" si="549"/>
        <v>阎巧巧6突</v>
      </c>
      <c r="AL290" s="25" t="s">
        <v>142</v>
      </c>
      <c r="AM290" s="14">
        <v>1</v>
      </c>
      <c r="AN290" s="14">
        <f t="shared" si="550"/>
        <v>6</v>
      </c>
      <c r="AO290" s="14">
        <f>INDEX(属性投放!$DF$6:$DF$85,(卡牌属性!AG290-2)*20+卡牌属性!AN290)</f>
        <v>654</v>
      </c>
      <c r="AP290" s="14">
        <f t="shared" si="591"/>
        <v>654</v>
      </c>
      <c r="AQ290" s="14">
        <f t="shared" si="591"/>
        <v>654</v>
      </c>
      <c r="AR290" s="14">
        <f t="shared" si="591"/>
        <v>654</v>
      </c>
      <c r="AS290" s="14">
        <f t="shared" si="591"/>
        <v>654</v>
      </c>
      <c r="AT290" s="14">
        <f>INDEX(属性投放!$DG$6:$DG$85,(卡牌属性!AG290-2)*20+卡牌属性!AN290)</f>
        <v>248</v>
      </c>
      <c r="AU290" s="14">
        <f t="shared" si="592"/>
        <v>248</v>
      </c>
      <c r="AV290" s="14">
        <f t="shared" si="592"/>
        <v>248</v>
      </c>
      <c r="AW290" s="14">
        <f t="shared" si="592"/>
        <v>248</v>
      </c>
      <c r="AX290" s="14">
        <f t="shared" si="592"/>
        <v>248</v>
      </c>
      <c r="AY290" s="14">
        <f>INDEX(属性投放!$DH$6:$DH$85,(卡牌属性!AG290-2)*20+卡牌属性!AN290)</f>
        <v>3567</v>
      </c>
      <c r="AZ290" s="14">
        <f t="shared" si="593"/>
        <v>3567</v>
      </c>
      <c r="BA290" s="14">
        <f t="shared" si="593"/>
        <v>3567</v>
      </c>
      <c r="BB290" s="14">
        <f t="shared" si="593"/>
        <v>3567</v>
      </c>
      <c r="BC290" s="14">
        <f t="shared" si="593"/>
        <v>3567</v>
      </c>
      <c r="BD290" s="14">
        <f>INDEX(属性投放!$DL$6:$DL$85,(卡牌属性!AG290-2)*20+卡牌属性!AN290)</f>
        <v>30</v>
      </c>
      <c r="BE290" s="14">
        <f t="shared" si="594"/>
        <v>30</v>
      </c>
      <c r="BF290" s="14">
        <f t="shared" si="594"/>
        <v>30</v>
      </c>
      <c r="BG290" s="14">
        <f t="shared" si="594"/>
        <v>30</v>
      </c>
      <c r="BH290" s="14">
        <f t="shared" si="594"/>
        <v>30</v>
      </c>
      <c r="BI290" s="14">
        <f>INDEX(属性投放!$DM$6:$DM$85,(卡牌属性!AG290-2)*20+卡牌属性!AN290)</f>
        <v>15</v>
      </c>
      <c r="BJ290" s="14">
        <f t="shared" si="595"/>
        <v>15</v>
      </c>
      <c r="BK290" s="14">
        <f t="shared" si="595"/>
        <v>15</v>
      </c>
      <c r="BL290" s="14">
        <f t="shared" si="595"/>
        <v>15</v>
      </c>
      <c r="BM290" s="14">
        <f t="shared" si="595"/>
        <v>15</v>
      </c>
      <c r="BN290" s="14">
        <f>INDEX(属性投放!$DN$6:$DN$85,(卡牌属性!AG290-2)*20+卡牌属性!AN290)</f>
        <v>208</v>
      </c>
      <c r="BO290" s="14">
        <f t="shared" si="596"/>
        <v>208</v>
      </c>
      <c r="BP290" s="14">
        <f t="shared" si="596"/>
        <v>208</v>
      </c>
      <c r="BQ290" s="14">
        <f t="shared" si="596"/>
        <v>208</v>
      </c>
      <c r="BR290" s="14">
        <f t="shared" si="596"/>
        <v>208</v>
      </c>
      <c r="BW290" s="13">
        <v>286</v>
      </c>
      <c r="BX290" s="13">
        <f t="shared" si="551"/>
        <v>15</v>
      </c>
      <c r="BY290" s="14">
        <f t="shared" si="552"/>
        <v>2</v>
      </c>
      <c r="BZ290" s="14">
        <f t="shared" si="561"/>
        <v>1102015</v>
      </c>
      <c r="CA290" s="14" t="str">
        <f t="shared" si="562"/>
        <v>于禁6突</v>
      </c>
      <c r="CB290" s="25" t="s">
        <v>142</v>
      </c>
      <c r="CC290" s="14">
        <v>2</v>
      </c>
      <c r="CD290" s="14">
        <f t="shared" si="553"/>
        <v>6</v>
      </c>
      <c r="CE290" s="14" t="s">
        <v>21</v>
      </c>
      <c r="CF290" s="14">
        <f>INDEX(属性投放!$AZ$6:$AZ$85,(BY290-2)*20+CD290)</f>
        <v>856</v>
      </c>
      <c r="CG290" s="14" t="s">
        <v>22</v>
      </c>
      <c r="CH290" s="14">
        <f>INDEX(属性投放!$BA$6:$BA$85,(BY290-2)*20+CD290)</f>
        <v>383</v>
      </c>
      <c r="CI290" s="14" t="s">
        <v>510</v>
      </c>
      <c r="CJ290" s="14">
        <f>INDEX(属性投放!$BB$6:$BB$85,(BY290-2)*20+CD290)</f>
        <v>5242</v>
      </c>
      <c r="CK290" s="14" t="s">
        <v>21</v>
      </c>
      <c r="CL290" s="14">
        <f>INDEX(属性投放!$BC$6:$BC$85,(BY290-2)*20+CD290)</f>
        <v>8</v>
      </c>
      <c r="CM290" s="14" t="s">
        <v>22</v>
      </c>
      <c r="CN290" s="14">
        <f>INDEX(属性投放!$BD$6:$BD$85,(BY290-2)*20+CD290)</f>
        <v>4</v>
      </c>
      <c r="CO290" s="14" t="s">
        <v>510</v>
      </c>
      <c r="CP290" s="14">
        <f>INDEX(属性投放!$BE$6:$BE$85,(BY290-2)*20+CD290)</f>
        <v>56</v>
      </c>
      <c r="CS290" s="13">
        <v>286</v>
      </c>
      <c r="CT290" s="13">
        <f t="shared" si="563"/>
        <v>6</v>
      </c>
      <c r="CU290" s="13">
        <f t="shared" si="564"/>
        <v>26</v>
      </c>
      <c r="CV290" s="14">
        <f t="shared" si="565"/>
        <v>5</v>
      </c>
      <c r="CW290" s="14">
        <f t="shared" si="566"/>
        <v>1102006</v>
      </c>
      <c r="CX290" s="14" t="str">
        <f>INDEX($O$6:$O$50,CT290)&amp;"-"&amp;INDEX(属性投放!$AB$7:$AB$50,CZ290)&amp;"-魂火-"&amp;DB290</f>
        <v>项羽-大叫唤+2-魂火-2</v>
      </c>
      <c r="CY290" s="25" t="s">
        <v>142</v>
      </c>
      <c r="CZ290" s="14">
        <f>INDEX(属性投放!$AM$7:$AM$58,CU290)</f>
        <v>12</v>
      </c>
      <c r="DA290" s="14" t="s">
        <v>537</v>
      </c>
      <c r="DB290" s="14">
        <f>INDEX(属性投放!$AN$7:$AN$58,CU290)</f>
        <v>2</v>
      </c>
      <c r="DC290" s="14">
        <f t="shared" si="554"/>
        <v>26</v>
      </c>
      <c r="DD290" s="14">
        <f>INDEX(属性投放!$AO$7:$AO$58,DC290)</f>
        <v>83</v>
      </c>
      <c r="DE290" s="14" t="s">
        <v>538</v>
      </c>
      <c r="DF290" s="14">
        <f>INDEX(属性投放!$BK$6:$BK$85,(CV290-2)*20+CZ290)</f>
        <v>260</v>
      </c>
      <c r="DG290" s="14">
        <f>SUMIFS(DF$5:DF290,$CT$5:$CT290,"="&amp;$CT290)</f>
        <v>3039</v>
      </c>
      <c r="DH290" s="14" t="s">
        <v>539</v>
      </c>
      <c r="DI290" s="14">
        <f>INDEX(属性投放!$BL$6:$BL$85,(CV290-2)*20+CZ290)</f>
        <v>130</v>
      </c>
      <c r="DJ290" s="14">
        <f>SUMIFS(DI$5:DI290,$CT$5:$CT290,"="&amp;$CT290)</f>
        <v>1522</v>
      </c>
      <c r="DK290" s="14" t="s">
        <v>540</v>
      </c>
      <c r="DL290" s="14">
        <f>INDEX(属性投放!$BM$6:$BM$85,(CV290-2)*20+CZ290)</f>
        <v>2340</v>
      </c>
      <c r="DM290" s="14">
        <f>SUMIFS(DL$5:DL290,$CT$5:$CT290,"="&amp;$CT290)</f>
        <v>25062</v>
      </c>
      <c r="DR290" s="14">
        <f t="shared" si="555"/>
        <v>1102015</v>
      </c>
      <c r="DS290" s="14" t="str">
        <f t="shared" si="556"/>
        <v>于禁6突</v>
      </c>
      <c r="DT290" s="14">
        <f t="shared" si="567"/>
        <v>3</v>
      </c>
      <c r="DU290" s="14">
        <f t="shared" si="568"/>
        <v>3</v>
      </c>
      <c r="DV290" s="14">
        <f t="shared" si="569"/>
        <v>3</v>
      </c>
      <c r="DW290" s="14">
        <f t="shared" si="557"/>
        <v>2</v>
      </c>
      <c r="DX290" s="14">
        <f t="shared" si="558"/>
        <v>6</v>
      </c>
      <c r="DY290" s="14">
        <f t="shared" si="559"/>
        <v>6</v>
      </c>
      <c r="DZ290" s="14">
        <f>INDEX(属性投放!$AX$6:$AX$85,(卡牌属性!DW290-2)*20+卡牌属性!DX290)</f>
        <v>5</v>
      </c>
      <c r="EA290" s="14">
        <f>INDEX(属性投放!BQ$6:BQ$85,卡牌属性!$DY290)</f>
        <v>100</v>
      </c>
      <c r="EB290" s="14">
        <f>INDEX(属性投放!BR$6:BR$85,卡牌属性!$DY290)</f>
        <v>50</v>
      </c>
      <c r="EC290" s="14">
        <f>INDEX(属性投放!BS$6:BS$85,卡牌属性!$DY290)</f>
        <v>700</v>
      </c>
      <c r="ED290" s="14">
        <f t="shared" si="597"/>
        <v>621</v>
      </c>
      <c r="EE290" s="14">
        <f t="shared" si="598"/>
        <v>724</v>
      </c>
      <c r="EF290" s="14">
        <f t="shared" si="599"/>
        <v>831</v>
      </c>
      <c r="EG290" s="14">
        <f t="shared" si="600"/>
        <v>831</v>
      </c>
      <c r="EH290" s="14">
        <f t="shared" si="601"/>
        <v>921</v>
      </c>
      <c r="EI290" s="14">
        <f t="shared" si="602"/>
        <v>273</v>
      </c>
      <c r="EJ290" s="14">
        <f t="shared" si="603"/>
        <v>320</v>
      </c>
      <c r="EK290" s="14">
        <f t="shared" si="604"/>
        <v>320</v>
      </c>
      <c r="EL290" s="14">
        <f t="shared" si="605"/>
        <v>371</v>
      </c>
      <c r="EM290" s="14">
        <f t="shared" si="606"/>
        <v>422</v>
      </c>
      <c r="EN290" s="14">
        <f t="shared" si="607"/>
        <v>3702</v>
      </c>
      <c r="EO290" s="14">
        <f t="shared" si="608"/>
        <v>4304</v>
      </c>
      <c r="EP290" s="14">
        <f t="shared" si="609"/>
        <v>4304</v>
      </c>
      <c r="EQ290" s="14">
        <f t="shared" si="610"/>
        <v>4930</v>
      </c>
      <c r="ER290" s="14">
        <f t="shared" si="611"/>
        <v>5487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56</v>
      </c>
      <c r="FD290" s="14">
        <f>INDEX(属性偏向!$U$4:$U$243,(卡牌属性!$DV290-1+FD$3)*20+卡牌属性!$DX290)</f>
        <v>70</v>
      </c>
      <c r="FE290" s="14">
        <f>INDEX(属性偏向!$U$4:$U$243,(卡牌属性!$DV290-1+FE$3)*20+卡牌属性!$DX290)</f>
        <v>70</v>
      </c>
      <c r="FF290" s="14">
        <f>INDEX(属性偏向!$U$4:$U$243,(卡牌属性!$DV290-1+FF$3)*20+卡牌属性!$DX290)</f>
        <v>84</v>
      </c>
      <c r="FG290" s="14">
        <f>INDEX(属性偏向!$U$4:$U$243,(卡牌属性!$DV290-1+FG$3)*20+卡牌属性!$DX290)</f>
        <v>91</v>
      </c>
      <c r="FH290" s="14">
        <f>INDEX(属性投放!$BQ$6:$BQ$85,(卡牌属性!$DW290-2)*20+卡牌属性!$DX290)</f>
        <v>100</v>
      </c>
      <c r="FI290" s="14">
        <f>INDEX(属性投放!$BQ$6:$BQ$85,(卡牌属性!$DW290-2)*20+卡牌属性!$DX290)</f>
        <v>100</v>
      </c>
      <c r="FJ290" s="14">
        <f>INDEX(属性投放!$BQ$6:$BQ$85,(卡牌属性!$DW290-2)*20+卡牌属性!$DX290)</f>
        <v>100</v>
      </c>
      <c r="FK290" s="14">
        <f>INDEX(属性投放!$BQ$6:$BQ$85,(卡牌属性!$DW290-2)*20+卡牌属性!$DX290)</f>
        <v>100</v>
      </c>
      <c r="FL290" s="14">
        <f>INDEX(属性投放!$BQ$6:$BQ$85,(卡牌属性!$DW290-2)*20+卡牌属性!$DX290)</f>
        <v>100</v>
      </c>
      <c r="FM290" s="14">
        <f>INDEX(属性投放!$BR$6:$BR$85,(卡牌属性!$DW290-2)*20+卡牌属性!$DX290)</f>
        <v>50</v>
      </c>
      <c r="FN290" s="14">
        <f>INDEX(属性投放!$BR$6:$BR$85,(卡牌属性!$DW290-2)*20+卡牌属性!$DX290)</f>
        <v>50</v>
      </c>
      <c r="FO290" s="14">
        <f>INDEX(属性投放!$BR$6:$BR$85,(卡牌属性!$DW290-2)*20+卡牌属性!$DX290)</f>
        <v>50</v>
      </c>
      <c r="FP290" s="14">
        <f>INDEX(属性投放!$BR$6:$BR$85,(卡牌属性!$DW290-2)*20+卡牌属性!$DX290)</f>
        <v>50</v>
      </c>
      <c r="FQ290" s="14">
        <f>INDEX(属性投放!$BR$6:$BR$85,(卡牌属性!$DW290-2)*20+卡牌属性!$DX290)</f>
        <v>50</v>
      </c>
      <c r="FR290" s="14">
        <f>INDEX(属性投放!$BS$6:$BS$85,(卡牌属性!$DW290-2)*20+卡牌属性!$DX290)</f>
        <v>700</v>
      </c>
      <c r="FS290" s="14">
        <f>INDEX(属性投放!$BS$6:$BS$85,(卡牌属性!$DW290-2)*20+卡牌属性!$DX290)</f>
        <v>700</v>
      </c>
      <c r="FT290" s="14">
        <f>INDEX(属性投放!$BS$6:$BS$85,(卡牌属性!$DW290-2)*20+卡牌属性!$DX290)</f>
        <v>700</v>
      </c>
      <c r="FU290" s="14">
        <f>INDEX(属性投放!$BS$6:$BS$85,(卡牌属性!$DW290-2)*20+卡牌属性!$DX290)</f>
        <v>700</v>
      </c>
      <c r="FV290" s="14">
        <f>INDEX(属性投放!$BS$6:$BS$85,(卡牌属性!$DW290-2)*20+卡牌属性!$DX290)</f>
        <v>700</v>
      </c>
    </row>
    <row r="291" spans="31:178" ht="16.5" x14ac:dyDescent="0.2">
      <c r="AE291" s="13">
        <v>287</v>
      </c>
      <c r="AF291" s="13">
        <f t="shared" si="560"/>
        <v>15</v>
      </c>
      <c r="AG291" s="13">
        <f t="shared" si="547"/>
        <v>3</v>
      </c>
      <c r="AH291" s="13"/>
      <c r="AI291" s="13"/>
      <c r="AJ291" s="14">
        <f t="shared" si="548"/>
        <v>1101015</v>
      </c>
      <c r="AK291" s="14" t="str">
        <f t="shared" si="549"/>
        <v>阎巧巧7突</v>
      </c>
      <c r="AL291" s="25" t="s">
        <v>142</v>
      </c>
      <c r="AM291" s="14">
        <v>1</v>
      </c>
      <c r="AN291" s="14">
        <f t="shared" si="550"/>
        <v>7</v>
      </c>
      <c r="AO291" s="14">
        <f>INDEX(属性投放!$DF$6:$DF$85,(卡牌属性!AG291-2)*20+卡牌属性!AN291)</f>
        <v>1489</v>
      </c>
      <c r="AP291" s="14">
        <f t="shared" si="591"/>
        <v>1489</v>
      </c>
      <c r="AQ291" s="14">
        <f t="shared" si="591"/>
        <v>1489</v>
      </c>
      <c r="AR291" s="14">
        <f t="shared" si="591"/>
        <v>1489</v>
      </c>
      <c r="AS291" s="14">
        <f t="shared" si="591"/>
        <v>1489</v>
      </c>
      <c r="AT291" s="14">
        <f>INDEX(属性投放!$DG$6:$DG$85,(卡牌属性!AG291-2)*20+卡牌属性!AN291)</f>
        <v>666</v>
      </c>
      <c r="AU291" s="14">
        <f t="shared" si="592"/>
        <v>666</v>
      </c>
      <c r="AV291" s="14">
        <f t="shared" si="592"/>
        <v>666</v>
      </c>
      <c r="AW291" s="14">
        <f t="shared" si="592"/>
        <v>666</v>
      </c>
      <c r="AX291" s="14">
        <f t="shared" si="592"/>
        <v>666</v>
      </c>
      <c r="AY291" s="14">
        <f>INDEX(属性投放!$DH$6:$DH$85,(卡牌属性!AG291-2)*20+卡牌属性!AN291)</f>
        <v>9361</v>
      </c>
      <c r="AZ291" s="14">
        <f t="shared" si="593"/>
        <v>9361</v>
      </c>
      <c r="BA291" s="14">
        <f t="shared" si="593"/>
        <v>9361</v>
      </c>
      <c r="BB291" s="14">
        <f t="shared" si="593"/>
        <v>9361</v>
      </c>
      <c r="BC291" s="14">
        <f t="shared" si="593"/>
        <v>9361</v>
      </c>
      <c r="BD291" s="14">
        <f>INDEX(属性投放!$DL$6:$DL$85,(卡牌属性!AG291-2)*20+卡牌属性!AN291)</f>
        <v>46</v>
      </c>
      <c r="BE291" s="14">
        <f t="shared" si="594"/>
        <v>46</v>
      </c>
      <c r="BF291" s="14">
        <f t="shared" si="594"/>
        <v>46</v>
      </c>
      <c r="BG291" s="14">
        <f t="shared" si="594"/>
        <v>46</v>
      </c>
      <c r="BH291" s="14">
        <f t="shared" si="594"/>
        <v>46</v>
      </c>
      <c r="BI291" s="14">
        <f>INDEX(属性投放!$DM$6:$DM$85,(卡牌属性!AG291-2)*20+卡牌属性!AN291)</f>
        <v>24</v>
      </c>
      <c r="BJ291" s="14">
        <f t="shared" si="595"/>
        <v>24</v>
      </c>
      <c r="BK291" s="14">
        <f t="shared" si="595"/>
        <v>24</v>
      </c>
      <c r="BL291" s="14">
        <f t="shared" si="595"/>
        <v>24</v>
      </c>
      <c r="BM291" s="14">
        <f t="shared" si="595"/>
        <v>24</v>
      </c>
      <c r="BN291" s="14">
        <f>INDEX(属性投放!$DN$6:$DN$85,(卡牌属性!AG291-2)*20+卡牌属性!AN291)</f>
        <v>371</v>
      </c>
      <c r="BO291" s="14">
        <f t="shared" si="596"/>
        <v>371</v>
      </c>
      <c r="BP291" s="14">
        <f t="shared" si="596"/>
        <v>371</v>
      </c>
      <c r="BQ291" s="14">
        <f t="shared" si="596"/>
        <v>371</v>
      </c>
      <c r="BR291" s="14">
        <f t="shared" si="596"/>
        <v>371</v>
      </c>
      <c r="BW291" s="13">
        <v>287</v>
      </c>
      <c r="BX291" s="13">
        <f t="shared" si="551"/>
        <v>15</v>
      </c>
      <c r="BY291" s="14">
        <f t="shared" si="552"/>
        <v>2</v>
      </c>
      <c r="BZ291" s="14">
        <f t="shared" si="561"/>
        <v>1102015</v>
      </c>
      <c r="CA291" s="14" t="str">
        <f t="shared" si="562"/>
        <v>于禁7突</v>
      </c>
      <c r="CB291" s="25" t="s">
        <v>142</v>
      </c>
      <c r="CC291" s="14">
        <v>2</v>
      </c>
      <c r="CD291" s="14">
        <f t="shared" si="553"/>
        <v>7</v>
      </c>
      <c r="CE291" s="14" t="s">
        <v>21</v>
      </c>
      <c r="CF291" s="14">
        <f>INDEX(属性投放!$AZ$6:$AZ$85,(BY291-2)*20+CD291)</f>
        <v>1076</v>
      </c>
      <c r="CG291" s="14" t="s">
        <v>22</v>
      </c>
      <c r="CH291" s="14">
        <f>INDEX(属性投放!$BA$6:$BA$85,(BY291-2)*20+CD291)</f>
        <v>493</v>
      </c>
      <c r="CI291" s="14" t="s">
        <v>510</v>
      </c>
      <c r="CJ291" s="14">
        <f>INDEX(属性投放!$BB$6:$BB$85,(BY291-2)*20+CD291)</f>
        <v>6782</v>
      </c>
      <c r="CK291" s="14" t="s">
        <v>21</v>
      </c>
      <c r="CL291" s="14">
        <f>INDEX(属性投放!$BC$6:$BC$85,(BY291-2)*20+CD291)</f>
        <v>10</v>
      </c>
      <c r="CM291" s="14" t="s">
        <v>22</v>
      </c>
      <c r="CN291" s="14">
        <f>INDEX(属性投放!$BD$6:$BD$85,(BY291-2)*20+CD291)</f>
        <v>5</v>
      </c>
      <c r="CO291" s="14" t="s">
        <v>510</v>
      </c>
      <c r="CP291" s="14">
        <f>INDEX(属性投放!$BE$6:$BE$85,(BY291-2)*20+CD291)</f>
        <v>80</v>
      </c>
      <c r="CS291" s="13">
        <v>287</v>
      </c>
      <c r="CT291" s="13">
        <f t="shared" si="563"/>
        <v>6</v>
      </c>
      <c r="CU291" s="13">
        <f t="shared" si="564"/>
        <v>27</v>
      </c>
      <c r="CV291" s="14">
        <f t="shared" si="565"/>
        <v>5</v>
      </c>
      <c r="CW291" s="14">
        <f t="shared" si="566"/>
        <v>1102006</v>
      </c>
      <c r="CX291" s="14" t="str">
        <f>INDEX($O$6:$O$50,CT291)&amp;"-"&amp;INDEX(属性投放!$AB$7:$AB$50,CZ291)&amp;"-魂火-"&amp;DB291</f>
        <v>项羽-大叫唤+2-魂火-3</v>
      </c>
      <c r="CY291" s="25" t="s">
        <v>142</v>
      </c>
      <c r="CZ291" s="14">
        <f>INDEX(属性投放!$AM$7:$AM$58,CU291)</f>
        <v>12</v>
      </c>
      <c r="DA291" s="14" t="s">
        <v>537</v>
      </c>
      <c r="DB291" s="14">
        <f>INDEX(属性投放!$AN$7:$AN$58,CU291)</f>
        <v>3</v>
      </c>
      <c r="DC291" s="14">
        <f t="shared" si="554"/>
        <v>27</v>
      </c>
      <c r="DD291" s="14">
        <f>INDEX(属性投放!$AO$7:$AO$58,DC291)</f>
        <v>85</v>
      </c>
      <c r="DE291" s="14" t="s">
        <v>538</v>
      </c>
      <c r="DF291" s="14">
        <f>INDEX(属性投放!$BK$6:$BK$85,(CV291-2)*20+CZ291)</f>
        <v>260</v>
      </c>
      <c r="DG291" s="14">
        <f>SUMIFS(DF$5:DF291,$CT$5:$CT291,"="&amp;$CT291)</f>
        <v>3299</v>
      </c>
      <c r="DH291" s="14" t="s">
        <v>539</v>
      </c>
      <c r="DI291" s="14">
        <f>INDEX(属性投放!$BL$6:$BL$85,(CV291-2)*20+CZ291)</f>
        <v>130</v>
      </c>
      <c r="DJ291" s="14">
        <f>SUMIFS(DI$5:DI291,$CT$5:$CT291,"="&amp;$CT291)</f>
        <v>1652</v>
      </c>
      <c r="DK291" s="14" t="s">
        <v>540</v>
      </c>
      <c r="DL291" s="14">
        <f>INDEX(属性投放!$BM$6:$BM$85,(CV291-2)*20+CZ291)</f>
        <v>2340</v>
      </c>
      <c r="DM291" s="14">
        <f>SUMIFS(DL$5:DL291,$CT$5:$CT291,"="&amp;$CT291)</f>
        <v>27402</v>
      </c>
      <c r="DR291" s="14">
        <f t="shared" si="555"/>
        <v>1102015</v>
      </c>
      <c r="DS291" s="14" t="str">
        <f t="shared" si="556"/>
        <v>于禁7突</v>
      </c>
      <c r="DT291" s="14">
        <f t="shared" si="567"/>
        <v>3</v>
      </c>
      <c r="DU291" s="14">
        <f t="shared" si="568"/>
        <v>3</v>
      </c>
      <c r="DV291" s="14">
        <f t="shared" si="569"/>
        <v>3</v>
      </c>
      <c r="DW291" s="14">
        <f t="shared" si="557"/>
        <v>2</v>
      </c>
      <c r="DX291" s="14">
        <f t="shared" si="558"/>
        <v>7</v>
      </c>
      <c r="DY291" s="14">
        <f t="shared" si="559"/>
        <v>7</v>
      </c>
      <c r="DZ291" s="14">
        <f>INDEX(属性投放!$AX$6:$AX$85,(卡牌属性!DW291-2)*20+卡牌属性!DX291)</f>
        <v>5</v>
      </c>
      <c r="EA291" s="14">
        <f>INDEX(属性投放!BQ$6:BQ$85,卡牌属性!$DY291)</f>
        <v>100</v>
      </c>
      <c r="EB291" s="14">
        <f>INDEX(属性投放!BR$6:BR$85,卡牌属性!$DY291)</f>
        <v>50</v>
      </c>
      <c r="EC291" s="14">
        <f>INDEX(属性投放!BS$6:BS$85,卡牌属性!$DY291)</f>
        <v>800</v>
      </c>
      <c r="ED291" s="14">
        <f t="shared" si="597"/>
        <v>761</v>
      </c>
      <c r="EE291" s="14">
        <f t="shared" si="598"/>
        <v>874</v>
      </c>
      <c r="EF291" s="14">
        <f t="shared" si="599"/>
        <v>991</v>
      </c>
      <c r="EG291" s="14">
        <f t="shared" si="600"/>
        <v>991</v>
      </c>
      <c r="EH291" s="14">
        <f t="shared" si="601"/>
        <v>1086</v>
      </c>
      <c r="EI291" s="14">
        <f t="shared" si="602"/>
        <v>343</v>
      </c>
      <c r="EJ291" s="14">
        <f t="shared" si="603"/>
        <v>395</v>
      </c>
      <c r="EK291" s="14">
        <f t="shared" si="604"/>
        <v>395</v>
      </c>
      <c r="EL291" s="14">
        <f t="shared" si="605"/>
        <v>451</v>
      </c>
      <c r="EM291" s="14">
        <f t="shared" si="606"/>
        <v>507</v>
      </c>
      <c r="EN291" s="14">
        <f t="shared" si="607"/>
        <v>4682</v>
      </c>
      <c r="EO291" s="14">
        <f t="shared" si="608"/>
        <v>5354</v>
      </c>
      <c r="EP291" s="14">
        <f t="shared" si="609"/>
        <v>5354</v>
      </c>
      <c r="EQ291" s="14">
        <f t="shared" si="610"/>
        <v>6050</v>
      </c>
      <c r="ER291" s="14">
        <f t="shared" si="611"/>
        <v>6642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80</v>
      </c>
      <c r="FD291" s="14">
        <f>INDEX(属性偏向!$U$4:$U$243,(卡牌属性!$DV291-1+FD$3)*20+卡牌属性!$DX291)</f>
        <v>96</v>
      </c>
      <c r="FE291" s="14">
        <f>INDEX(属性偏向!$U$4:$U$243,(卡牌属性!$DV291-1+FE$3)*20+卡牌属性!$DX291)</f>
        <v>96</v>
      </c>
      <c r="FF291" s="14">
        <f>INDEX(属性偏向!$U$4:$U$243,(卡牌属性!$DV291-1+FF$3)*20+卡牌属性!$DX291)</f>
        <v>120</v>
      </c>
      <c r="FG291" s="14">
        <f>INDEX(属性偏向!$U$4:$U$243,(卡牌属性!$DV291-1+FG$3)*20+卡牌属性!$DX291)</f>
        <v>128</v>
      </c>
      <c r="FH291" s="14">
        <f>INDEX(属性投放!$BQ$6:$BQ$85,(卡牌属性!$DW291-2)*20+卡牌属性!$DX291)</f>
        <v>100</v>
      </c>
      <c r="FI291" s="14">
        <f>INDEX(属性投放!$BQ$6:$BQ$85,(卡牌属性!$DW291-2)*20+卡牌属性!$DX291)</f>
        <v>100</v>
      </c>
      <c r="FJ291" s="14">
        <f>INDEX(属性投放!$BQ$6:$BQ$85,(卡牌属性!$DW291-2)*20+卡牌属性!$DX291)</f>
        <v>100</v>
      </c>
      <c r="FK291" s="14">
        <f>INDEX(属性投放!$BQ$6:$BQ$85,(卡牌属性!$DW291-2)*20+卡牌属性!$DX291)</f>
        <v>100</v>
      </c>
      <c r="FL291" s="14">
        <f>INDEX(属性投放!$BQ$6:$BQ$85,(卡牌属性!$DW291-2)*20+卡牌属性!$DX291)</f>
        <v>100</v>
      </c>
      <c r="FM291" s="14">
        <f>INDEX(属性投放!$BR$6:$BR$85,(卡牌属性!$DW291-2)*20+卡牌属性!$DX291)</f>
        <v>50</v>
      </c>
      <c r="FN291" s="14">
        <f>INDEX(属性投放!$BR$6:$BR$85,(卡牌属性!$DW291-2)*20+卡牌属性!$DX291)</f>
        <v>50</v>
      </c>
      <c r="FO291" s="14">
        <f>INDEX(属性投放!$BR$6:$BR$85,(卡牌属性!$DW291-2)*20+卡牌属性!$DX291)</f>
        <v>50</v>
      </c>
      <c r="FP291" s="14">
        <f>INDEX(属性投放!$BR$6:$BR$85,(卡牌属性!$DW291-2)*20+卡牌属性!$DX291)</f>
        <v>50</v>
      </c>
      <c r="FQ291" s="14">
        <f>INDEX(属性投放!$BR$6:$BR$85,(卡牌属性!$DW291-2)*20+卡牌属性!$DX291)</f>
        <v>50</v>
      </c>
      <c r="FR291" s="14">
        <f>INDEX(属性投放!$BS$6:$BS$85,(卡牌属性!$DW291-2)*20+卡牌属性!$DX291)</f>
        <v>800</v>
      </c>
      <c r="FS291" s="14">
        <f>INDEX(属性投放!$BS$6:$BS$85,(卡牌属性!$DW291-2)*20+卡牌属性!$DX291)</f>
        <v>800</v>
      </c>
      <c r="FT291" s="14">
        <f>INDEX(属性投放!$BS$6:$BS$85,(卡牌属性!$DW291-2)*20+卡牌属性!$DX291)</f>
        <v>800</v>
      </c>
      <c r="FU291" s="14">
        <f>INDEX(属性投放!$BS$6:$BS$85,(卡牌属性!$DW291-2)*20+卡牌属性!$DX291)</f>
        <v>800</v>
      </c>
      <c r="FV291" s="14">
        <f>INDEX(属性投放!$BS$6:$BS$85,(卡牌属性!$DW291-2)*20+卡牌属性!$DX291)</f>
        <v>800</v>
      </c>
    </row>
    <row r="292" spans="31:178" ht="16.5" x14ac:dyDescent="0.2">
      <c r="AE292" s="13">
        <v>288</v>
      </c>
      <c r="AF292" s="13">
        <f t="shared" si="560"/>
        <v>15</v>
      </c>
      <c r="AG292" s="13">
        <f t="shared" si="547"/>
        <v>3</v>
      </c>
      <c r="AH292" s="13"/>
      <c r="AI292" s="13"/>
      <c r="AJ292" s="14">
        <f t="shared" si="548"/>
        <v>1101015</v>
      </c>
      <c r="AK292" s="14" t="str">
        <f t="shared" si="549"/>
        <v>阎巧巧8突</v>
      </c>
      <c r="AL292" s="25" t="s">
        <v>142</v>
      </c>
      <c r="AM292" s="14">
        <v>1</v>
      </c>
      <c r="AN292" s="14">
        <f t="shared" si="550"/>
        <v>8</v>
      </c>
      <c r="AO292" s="14">
        <f>INDEX(属性投放!$DF$6:$DF$85,(卡牌属性!AG292-2)*20+卡牌属性!AN292)</f>
        <v>1622</v>
      </c>
      <c r="AP292" s="14">
        <f t="shared" si="591"/>
        <v>1622</v>
      </c>
      <c r="AQ292" s="14">
        <f t="shared" si="591"/>
        <v>1622</v>
      </c>
      <c r="AR292" s="14">
        <f t="shared" si="591"/>
        <v>1622</v>
      </c>
      <c r="AS292" s="14">
        <f t="shared" si="591"/>
        <v>1622</v>
      </c>
      <c r="AT292" s="14">
        <f>INDEX(属性投放!$DG$6:$DG$85,(卡牌属性!AG292-2)*20+卡牌属性!AN292)</f>
        <v>733</v>
      </c>
      <c r="AU292" s="14">
        <f t="shared" si="592"/>
        <v>733</v>
      </c>
      <c r="AV292" s="14">
        <f t="shared" si="592"/>
        <v>733</v>
      </c>
      <c r="AW292" s="14">
        <f t="shared" si="592"/>
        <v>733</v>
      </c>
      <c r="AX292" s="14">
        <f t="shared" si="592"/>
        <v>733</v>
      </c>
      <c r="AY292" s="14">
        <f>INDEX(属性投放!$DH$6:$DH$85,(卡牌属性!AG292-2)*20+卡牌属性!AN292)</f>
        <v>10421</v>
      </c>
      <c r="AZ292" s="14">
        <f t="shared" si="593"/>
        <v>10421</v>
      </c>
      <c r="BA292" s="14">
        <f t="shared" si="593"/>
        <v>10421</v>
      </c>
      <c r="BB292" s="14">
        <f t="shared" si="593"/>
        <v>10421</v>
      </c>
      <c r="BC292" s="14">
        <f t="shared" si="593"/>
        <v>10421</v>
      </c>
      <c r="BD292" s="14">
        <f>INDEX(属性投放!$DL$6:$DL$85,(卡牌属性!AG292-2)*20+卡牌属性!AN292)</f>
        <v>46</v>
      </c>
      <c r="BE292" s="14">
        <f t="shared" si="594"/>
        <v>46</v>
      </c>
      <c r="BF292" s="14">
        <f t="shared" si="594"/>
        <v>46</v>
      </c>
      <c r="BG292" s="14">
        <f t="shared" si="594"/>
        <v>46</v>
      </c>
      <c r="BH292" s="14">
        <f t="shared" si="594"/>
        <v>46</v>
      </c>
      <c r="BI292" s="14">
        <f>INDEX(属性投放!$DM$6:$DM$85,(卡牌属性!AG292-2)*20+卡牌属性!AN292)</f>
        <v>24</v>
      </c>
      <c r="BJ292" s="14">
        <f t="shared" si="595"/>
        <v>24</v>
      </c>
      <c r="BK292" s="14">
        <f t="shared" si="595"/>
        <v>24</v>
      </c>
      <c r="BL292" s="14">
        <f t="shared" si="595"/>
        <v>24</v>
      </c>
      <c r="BM292" s="14">
        <f t="shared" si="595"/>
        <v>24</v>
      </c>
      <c r="BN292" s="14">
        <f>INDEX(属性投放!$DN$6:$DN$85,(卡牌属性!AG292-2)*20+卡牌属性!AN292)</f>
        <v>371</v>
      </c>
      <c r="BO292" s="14">
        <f t="shared" si="596"/>
        <v>371</v>
      </c>
      <c r="BP292" s="14">
        <f t="shared" si="596"/>
        <v>371</v>
      </c>
      <c r="BQ292" s="14">
        <f t="shared" si="596"/>
        <v>371</v>
      </c>
      <c r="BR292" s="14">
        <f t="shared" si="596"/>
        <v>371</v>
      </c>
      <c r="BW292" s="13">
        <v>288</v>
      </c>
      <c r="BX292" s="13">
        <f t="shared" si="551"/>
        <v>15</v>
      </c>
      <c r="BY292" s="14">
        <f t="shared" si="552"/>
        <v>2</v>
      </c>
      <c r="BZ292" s="14">
        <f t="shared" si="561"/>
        <v>1102015</v>
      </c>
      <c r="CA292" s="14" t="str">
        <f t="shared" si="562"/>
        <v>于禁8突</v>
      </c>
      <c r="CB292" s="25" t="s">
        <v>142</v>
      </c>
      <c r="CC292" s="14">
        <v>2</v>
      </c>
      <c r="CD292" s="14">
        <f t="shared" si="553"/>
        <v>8</v>
      </c>
      <c r="CE292" s="14" t="s">
        <v>21</v>
      </c>
      <c r="CF292" s="14">
        <f>INDEX(属性投放!$AZ$6:$AZ$85,(BY292-2)*20+CD292)</f>
        <v>1336</v>
      </c>
      <c r="CG292" s="14" t="s">
        <v>22</v>
      </c>
      <c r="CH292" s="14">
        <f>INDEX(属性投放!$BA$6:$BA$85,(BY292-2)*20+CD292)</f>
        <v>624</v>
      </c>
      <c r="CI292" s="14" t="s">
        <v>510</v>
      </c>
      <c r="CJ292" s="14">
        <f>INDEX(属性投放!$BB$6:$BB$85,(BY292-2)*20+CD292)</f>
        <v>8862</v>
      </c>
      <c r="CK292" s="14" t="s">
        <v>21</v>
      </c>
      <c r="CL292" s="14">
        <f>INDEX(属性投放!$BC$6:$BC$85,(BY292-2)*20+CD292)</f>
        <v>10</v>
      </c>
      <c r="CM292" s="14" t="s">
        <v>22</v>
      </c>
      <c r="CN292" s="14">
        <f>INDEX(属性投放!$BD$6:$BD$85,(BY292-2)*20+CD292)</f>
        <v>5</v>
      </c>
      <c r="CO292" s="14" t="s">
        <v>510</v>
      </c>
      <c r="CP292" s="14">
        <f>INDEX(属性投放!$BE$6:$BE$85,(BY292-2)*20+CD292)</f>
        <v>80</v>
      </c>
      <c r="CS292" s="13">
        <v>288</v>
      </c>
      <c r="CT292" s="13">
        <f t="shared" si="563"/>
        <v>6</v>
      </c>
      <c r="CU292" s="13">
        <f t="shared" si="564"/>
        <v>28</v>
      </c>
      <c r="CV292" s="14">
        <f t="shared" si="565"/>
        <v>5</v>
      </c>
      <c r="CW292" s="14">
        <f t="shared" si="566"/>
        <v>1102006</v>
      </c>
      <c r="CX292" s="14" t="str">
        <f>INDEX($O$6:$O$50,CT292)&amp;"-"&amp;INDEX(属性投放!$AB$7:$AB$50,CZ292)&amp;"-魂火-"&amp;DB292</f>
        <v>项羽-焦热-魂火-1</v>
      </c>
      <c r="CY292" s="25" t="s">
        <v>142</v>
      </c>
      <c r="CZ292" s="14">
        <f>INDEX(属性投放!$AM$7:$AM$58,CU292)</f>
        <v>13</v>
      </c>
      <c r="DA292" s="14" t="s">
        <v>537</v>
      </c>
      <c r="DB292" s="14">
        <f>INDEX(属性投放!$AN$7:$AN$58,CU292)</f>
        <v>1</v>
      </c>
      <c r="DC292" s="14">
        <f t="shared" si="554"/>
        <v>28</v>
      </c>
      <c r="DD292" s="14">
        <f>INDEX(属性投放!$AO$7:$AO$58,DC292)</f>
        <v>88</v>
      </c>
      <c r="DE292" s="14" t="s">
        <v>538</v>
      </c>
      <c r="DF292" s="14">
        <f>INDEX(属性投放!$BK$6:$BK$85,(CV292-2)*20+CZ292)</f>
        <v>315</v>
      </c>
      <c r="DG292" s="14">
        <f>SUMIFS(DF$5:DF292,$CT$5:$CT292,"="&amp;$CT292)</f>
        <v>3614</v>
      </c>
      <c r="DH292" s="14" t="s">
        <v>539</v>
      </c>
      <c r="DI292" s="14">
        <f>INDEX(属性投放!$BL$6:$BL$85,(CV292-2)*20+CZ292)</f>
        <v>158</v>
      </c>
      <c r="DJ292" s="14">
        <f>SUMIFS(DI$5:DI292,$CT$5:$CT292,"="&amp;$CT292)</f>
        <v>1810</v>
      </c>
      <c r="DK292" s="14" t="s">
        <v>540</v>
      </c>
      <c r="DL292" s="14">
        <f>INDEX(属性投放!$BM$6:$BM$85,(CV292-2)*20+CZ292)</f>
        <v>3150</v>
      </c>
      <c r="DM292" s="14">
        <f>SUMIFS(DL$5:DL292,$CT$5:$CT292,"="&amp;$CT292)</f>
        <v>30552</v>
      </c>
      <c r="DR292" s="14">
        <f t="shared" si="555"/>
        <v>1102015</v>
      </c>
      <c r="DS292" s="14" t="str">
        <f t="shared" si="556"/>
        <v>于禁8突</v>
      </c>
      <c r="DT292" s="14">
        <f t="shared" si="567"/>
        <v>3</v>
      </c>
      <c r="DU292" s="14">
        <f t="shared" si="568"/>
        <v>3</v>
      </c>
      <c r="DV292" s="14">
        <f t="shared" si="569"/>
        <v>3</v>
      </c>
      <c r="DW292" s="14">
        <f t="shared" si="557"/>
        <v>2</v>
      </c>
      <c r="DX292" s="14">
        <f t="shared" si="558"/>
        <v>8</v>
      </c>
      <c r="DY292" s="14">
        <f t="shared" si="559"/>
        <v>8</v>
      </c>
      <c r="DZ292" s="14">
        <f>INDEX(属性投放!$AX$6:$AX$85,(卡牌属性!DW292-2)*20+卡牌属性!DX292)</f>
        <v>5</v>
      </c>
      <c r="EA292" s="14">
        <f>INDEX(属性投放!BQ$6:BQ$85,卡牌属性!$DY292)</f>
        <v>100</v>
      </c>
      <c r="EB292" s="14">
        <f>INDEX(属性投放!BR$6:BR$85,卡牌属性!$DY292)</f>
        <v>50</v>
      </c>
      <c r="EC292" s="14">
        <f>INDEX(属性投放!BS$6:BS$85,卡牌属性!$DY292)</f>
        <v>800</v>
      </c>
      <c r="ED292" s="14">
        <f t="shared" si="597"/>
        <v>911</v>
      </c>
      <c r="EE292" s="14">
        <f t="shared" si="598"/>
        <v>1034</v>
      </c>
      <c r="EF292" s="14">
        <f t="shared" si="599"/>
        <v>1166</v>
      </c>
      <c r="EG292" s="14">
        <f t="shared" si="600"/>
        <v>1166</v>
      </c>
      <c r="EH292" s="14">
        <f t="shared" si="601"/>
        <v>1266</v>
      </c>
      <c r="EI292" s="14">
        <f t="shared" si="602"/>
        <v>418</v>
      </c>
      <c r="EJ292" s="14">
        <f t="shared" si="603"/>
        <v>475</v>
      </c>
      <c r="EK292" s="14">
        <f t="shared" si="604"/>
        <v>475</v>
      </c>
      <c r="EL292" s="14">
        <f t="shared" si="605"/>
        <v>541</v>
      </c>
      <c r="EM292" s="14">
        <f t="shared" si="606"/>
        <v>597</v>
      </c>
      <c r="EN292" s="14">
        <f t="shared" si="607"/>
        <v>5882</v>
      </c>
      <c r="EO292" s="14">
        <f t="shared" si="608"/>
        <v>6634</v>
      </c>
      <c r="EP292" s="14">
        <f t="shared" si="609"/>
        <v>6634</v>
      </c>
      <c r="EQ292" s="14">
        <f t="shared" si="610"/>
        <v>7450</v>
      </c>
      <c r="ER292" s="14">
        <f t="shared" si="611"/>
        <v>8082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80</v>
      </c>
      <c r="FD292" s="14">
        <f>INDEX(属性偏向!$U$4:$U$243,(卡牌属性!$DV292-1+FD$3)*20+卡牌属性!$DX292)</f>
        <v>96</v>
      </c>
      <c r="FE292" s="14">
        <f>INDEX(属性偏向!$U$4:$U$243,(卡牌属性!$DV292-1+FE$3)*20+卡牌属性!$DX292)</f>
        <v>96</v>
      </c>
      <c r="FF292" s="14">
        <f>INDEX(属性偏向!$U$4:$U$243,(卡牌属性!$DV292-1+FF$3)*20+卡牌属性!$DX292)</f>
        <v>120</v>
      </c>
      <c r="FG292" s="14">
        <f>INDEX(属性偏向!$U$4:$U$243,(卡牌属性!$DV292-1+FG$3)*20+卡牌属性!$DX292)</f>
        <v>128</v>
      </c>
      <c r="FH292" s="14">
        <f>INDEX(属性投放!$BQ$6:$BQ$85,(卡牌属性!$DW292-2)*20+卡牌属性!$DX292)</f>
        <v>100</v>
      </c>
      <c r="FI292" s="14">
        <f>INDEX(属性投放!$BQ$6:$BQ$85,(卡牌属性!$DW292-2)*20+卡牌属性!$DX292)</f>
        <v>100</v>
      </c>
      <c r="FJ292" s="14">
        <f>INDEX(属性投放!$BQ$6:$BQ$85,(卡牌属性!$DW292-2)*20+卡牌属性!$DX292)</f>
        <v>100</v>
      </c>
      <c r="FK292" s="14">
        <f>INDEX(属性投放!$BQ$6:$BQ$85,(卡牌属性!$DW292-2)*20+卡牌属性!$DX292)</f>
        <v>100</v>
      </c>
      <c r="FL292" s="14">
        <f>INDEX(属性投放!$BQ$6:$BQ$85,(卡牌属性!$DW292-2)*20+卡牌属性!$DX292)</f>
        <v>100</v>
      </c>
      <c r="FM292" s="14">
        <f>INDEX(属性投放!$BR$6:$BR$85,(卡牌属性!$DW292-2)*20+卡牌属性!$DX292)</f>
        <v>50</v>
      </c>
      <c r="FN292" s="14">
        <f>INDEX(属性投放!$BR$6:$BR$85,(卡牌属性!$DW292-2)*20+卡牌属性!$DX292)</f>
        <v>50</v>
      </c>
      <c r="FO292" s="14">
        <f>INDEX(属性投放!$BR$6:$BR$85,(卡牌属性!$DW292-2)*20+卡牌属性!$DX292)</f>
        <v>50</v>
      </c>
      <c r="FP292" s="14">
        <f>INDEX(属性投放!$BR$6:$BR$85,(卡牌属性!$DW292-2)*20+卡牌属性!$DX292)</f>
        <v>50</v>
      </c>
      <c r="FQ292" s="14">
        <f>INDEX(属性投放!$BR$6:$BR$85,(卡牌属性!$DW292-2)*20+卡牌属性!$DX292)</f>
        <v>50</v>
      </c>
      <c r="FR292" s="14">
        <f>INDEX(属性投放!$BS$6:$BS$85,(卡牌属性!$DW292-2)*20+卡牌属性!$DX292)</f>
        <v>800</v>
      </c>
      <c r="FS292" s="14">
        <f>INDEX(属性投放!$BS$6:$BS$85,(卡牌属性!$DW292-2)*20+卡牌属性!$DX292)</f>
        <v>800</v>
      </c>
      <c r="FT292" s="14">
        <f>INDEX(属性投放!$BS$6:$BS$85,(卡牌属性!$DW292-2)*20+卡牌属性!$DX292)</f>
        <v>800</v>
      </c>
      <c r="FU292" s="14">
        <f>INDEX(属性投放!$BS$6:$BS$85,(卡牌属性!$DW292-2)*20+卡牌属性!$DX292)</f>
        <v>800</v>
      </c>
      <c r="FV292" s="14">
        <f>INDEX(属性投放!$BS$6:$BS$85,(卡牌属性!$DW292-2)*20+卡牌属性!$DX292)</f>
        <v>800</v>
      </c>
    </row>
    <row r="293" spans="31:178" ht="16.5" x14ac:dyDescent="0.2">
      <c r="AE293" s="13">
        <v>289</v>
      </c>
      <c r="AF293" s="13">
        <f t="shared" si="560"/>
        <v>15</v>
      </c>
      <c r="AG293" s="13">
        <f t="shared" si="547"/>
        <v>3</v>
      </c>
      <c r="AH293" s="13"/>
      <c r="AI293" s="13"/>
      <c r="AJ293" s="14">
        <f t="shared" si="548"/>
        <v>1101015</v>
      </c>
      <c r="AK293" s="14" t="str">
        <f t="shared" si="549"/>
        <v>阎巧巧9突</v>
      </c>
      <c r="AL293" s="25" t="s">
        <v>142</v>
      </c>
      <c r="AM293" s="14">
        <v>1</v>
      </c>
      <c r="AN293" s="14">
        <f t="shared" si="550"/>
        <v>9</v>
      </c>
      <c r="AO293" s="14">
        <f>INDEX(属性投放!$DF$6:$DF$85,(卡牌属性!AG293-2)*20+卡牌属性!AN293)</f>
        <v>1755</v>
      </c>
      <c r="AP293" s="14">
        <f t="shared" si="591"/>
        <v>1755</v>
      </c>
      <c r="AQ293" s="14">
        <f t="shared" si="591"/>
        <v>1755</v>
      </c>
      <c r="AR293" s="14">
        <f t="shared" si="591"/>
        <v>1755</v>
      </c>
      <c r="AS293" s="14">
        <f t="shared" si="591"/>
        <v>1755</v>
      </c>
      <c r="AT293" s="14">
        <f>INDEX(属性投放!$DG$6:$DG$85,(卡牌属性!AG293-2)*20+卡牌属性!AN293)</f>
        <v>800</v>
      </c>
      <c r="AU293" s="14">
        <f t="shared" si="592"/>
        <v>800</v>
      </c>
      <c r="AV293" s="14">
        <f t="shared" si="592"/>
        <v>800</v>
      </c>
      <c r="AW293" s="14">
        <f t="shared" si="592"/>
        <v>800</v>
      </c>
      <c r="AX293" s="14">
        <f t="shared" si="592"/>
        <v>800</v>
      </c>
      <c r="AY293" s="14">
        <f>INDEX(属性投放!$DH$6:$DH$85,(卡牌属性!AG293-2)*20+卡牌属性!AN293)</f>
        <v>11481</v>
      </c>
      <c r="AZ293" s="14">
        <f t="shared" si="593"/>
        <v>11481</v>
      </c>
      <c r="BA293" s="14">
        <f t="shared" si="593"/>
        <v>11481</v>
      </c>
      <c r="BB293" s="14">
        <f t="shared" si="593"/>
        <v>11481</v>
      </c>
      <c r="BC293" s="14">
        <f t="shared" si="593"/>
        <v>11481</v>
      </c>
      <c r="BD293" s="14">
        <f>INDEX(属性投放!$DL$6:$DL$85,(卡牌属性!AG293-2)*20+卡牌属性!AN293)</f>
        <v>46</v>
      </c>
      <c r="BE293" s="14">
        <f t="shared" si="594"/>
        <v>46</v>
      </c>
      <c r="BF293" s="14">
        <f t="shared" si="594"/>
        <v>46</v>
      </c>
      <c r="BG293" s="14">
        <f t="shared" si="594"/>
        <v>46</v>
      </c>
      <c r="BH293" s="14">
        <f t="shared" si="594"/>
        <v>46</v>
      </c>
      <c r="BI293" s="14">
        <f>INDEX(属性投放!$DM$6:$DM$85,(卡牌属性!AG293-2)*20+卡牌属性!AN293)</f>
        <v>24</v>
      </c>
      <c r="BJ293" s="14">
        <f t="shared" si="595"/>
        <v>24</v>
      </c>
      <c r="BK293" s="14">
        <f t="shared" si="595"/>
        <v>24</v>
      </c>
      <c r="BL293" s="14">
        <f t="shared" si="595"/>
        <v>24</v>
      </c>
      <c r="BM293" s="14">
        <f t="shared" si="595"/>
        <v>24</v>
      </c>
      <c r="BN293" s="14">
        <f>INDEX(属性投放!$DN$6:$DN$85,(卡牌属性!AG293-2)*20+卡牌属性!AN293)</f>
        <v>371</v>
      </c>
      <c r="BO293" s="14">
        <f t="shared" si="596"/>
        <v>371</v>
      </c>
      <c r="BP293" s="14">
        <f t="shared" si="596"/>
        <v>371</v>
      </c>
      <c r="BQ293" s="14">
        <f t="shared" si="596"/>
        <v>371</v>
      </c>
      <c r="BR293" s="14">
        <f t="shared" si="596"/>
        <v>371</v>
      </c>
      <c r="BW293" s="13">
        <v>289</v>
      </c>
      <c r="BX293" s="13">
        <f t="shared" si="551"/>
        <v>15</v>
      </c>
      <c r="BY293" s="14">
        <f t="shared" si="552"/>
        <v>2</v>
      </c>
      <c r="BZ293" s="14">
        <f t="shared" si="561"/>
        <v>1102015</v>
      </c>
      <c r="CA293" s="14" t="str">
        <f t="shared" si="562"/>
        <v>于禁9突</v>
      </c>
      <c r="CB293" s="25" t="s">
        <v>142</v>
      </c>
      <c r="CC293" s="14">
        <v>2</v>
      </c>
      <c r="CD293" s="14">
        <f t="shared" si="553"/>
        <v>9</v>
      </c>
      <c r="CE293" s="14" t="s">
        <v>21</v>
      </c>
      <c r="CF293" s="14">
        <f>INDEX(属性投放!$AZ$6:$AZ$85,(BY293-2)*20+CD293)</f>
        <v>1626</v>
      </c>
      <c r="CG293" s="14" t="s">
        <v>22</v>
      </c>
      <c r="CH293" s="14">
        <f>INDEX(属性投放!$BA$6:$BA$85,(BY293-2)*20+CD293)</f>
        <v>769</v>
      </c>
      <c r="CI293" s="14" t="s">
        <v>510</v>
      </c>
      <c r="CJ293" s="14">
        <f>INDEX(属性投放!$BB$6:$BB$85,(BY293-2)*20+CD293)</f>
        <v>11182</v>
      </c>
      <c r="CK293" s="14" t="s">
        <v>21</v>
      </c>
      <c r="CL293" s="14">
        <f>INDEX(属性投放!$BC$6:$BC$85,(BY293-2)*20+CD293)</f>
        <v>10</v>
      </c>
      <c r="CM293" s="14" t="s">
        <v>22</v>
      </c>
      <c r="CN293" s="14">
        <f>INDEX(属性投放!$BD$6:$BD$85,(BY293-2)*20+CD293)</f>
        <v>5</v>
      </c>
      <c r="CO293" s="14" t="s">
        <v>510</v>
      </c>
      <c r="CP293" s="14">
        <f>INDEX(属性投放!$BE$6:$BE$85,(BY293-2)*20+CD293)</f>
        <v>80</v>
      </c>
      <c r="CS293" s="13">
        <v>289</v>
      </c>
      <c r="CT293" s="13">
        <f t="shared" si="563"/>
        <v>6</v>
      </c>
      <c r="CU293" s="13">
        <f t="shared" si="564"/>
        <v>29</v>
      </c>
      <c r="CV293" s="14">
        <f t="shared" si="565"/>
        <v>5</v>
      </c>
      <c r="CW293" s="14">
        <f t="shared" si="566"/>
        <v>1102006</v>
      </c>
      <c r="CX293" s="14" t="str">
        <f>INDEX($O$6:$O$50,CT293)&amp;"-"&amp;INDEX(属性投放!$AB$7:$AB$50,CZ293)&amp;"-魂火-"&amp;DB293</f>
        <v>项羽-焦热-魂火-2</v>
      </c>
      <c r="CY293" s="25" t="s">
        <v>142</v>
      </c>
      <c r="CZ293" s="14">
        <f>INDEX(属性投放!$AM$7:$AM$58,CU293)</f>
        <v>13</v>
      </c>
      <c r="DA293" s="14" t="s">
        <v>537</v>
      </c>
      <c r="DB293" s="14">
        <f>INDEX(属性投放!$AN$7:$AN$58,CU293)</f>
        <v>2</v>
      </c>
      <c r="DC293" s="14">
        <f t="shared" si="554"/>
        <v>29</v>
      </c>
      <c r="DD293" s="14">
        <f>INDEX(属性投放!$AO$7:$AO$58,DC293)</f>
        <v>90</v>
      </c>
      <c r="DE293" s="14" t="s">
        <v>538</v>
      </c>
      <c r="DF293" s="14">
        <f>INDEX(属性投放!$BK$6:$BK$85,(CV293-2)*20+CZ293)</f>
        <v>315</v>
      </c>
      <c r="DG293" s="14">
        <f>SUMIFS(DF$5:DF293,$CT$5:$CT293,"="&amp;$CT293)</f>
        <v>3929</v>
      </c>
      <c r="DH293" s="14" t="s">
        <v>539</v>
      </c>
      <c r="DI293" s="14">
        <f>INDEX(属性投放!$BL$6:$BL$85,(CV293-2)*20+CZ293)</f>
        <v>158</v>
      </c>
      <c r="DJ293" s="14">
        <f>SUMIFS(DI$5:DI293,$CT$5:$CT293,"="&amp;$CT293)</f>
        <v>1968</v>
      </c>
      <c r="DK293" s="14" t="s">
        <v>540</v>
      </c>
      <c r="DL293" s="14">
        <f>INDEX(属性投放!$BM$6:$BM$85,(CV293-2)*20+CZ293)</f>
        <v>3150</v>
      </c>
      <c r="DM293" s="14">
        <f>SUMIFS(DL$5:DL293,$CT$5:$CT293,"="&amp;$CT293)</f>
        <v>33702</v>
      </c>
      <c r="DR293" s="14">
        <f t="shared" si="555"/>
        <v>1102015</v>
      </c>
      <c r="DS293" s="14" t="str">
        <f t="shared" si="556"/>
        <v>于禁9突</v>
      </c>
      <c r="DT293" s="14">
        <f t="shared" si="567"/>
        <v>3</v>
      </c>
      <c r="DU293" s="14">
        <f t="shared" si="568"/>
        <v>3</v>
      </c>
      <c r="DV293" s="14">
        <f t="shared" si="569"/>
        <v>3</v>
      </c>
      <c r="DW293" s="14">
        <f t="shared" si="557"/>
        <v>2</v>
      </c>
      <c r="DX293" s="14">
        <f t="shared" si="558"/>
        <v>9</v>
      </c>
      <c r="DY293" s="14">
        <f t="shared" si="559"/>
        <v>9</v>
      </c>
      <c r="DZ293" s="14">
        <f>INDEX(属性投放!$AX$6:$AX$85,(卡牌属性!DW293-2)*20+卡牌属性!DX293)</f>
        <v>8</v>
      </c>
      <c r="EA293" s="14">
        <f>INDEX(属性投放!BQ$6:BQ$85,卡牌属性!$DY293)</f>
        <v>150</v>
      </c>
      <c r="EB293" s="14">
        <f>INDEX(属性投放!BR$6:BR$85,卡牌属性!$DY293)</f>
        <v>75</v>
      </c>
      <c r="EC293" s="14">
        <f>INDEX(属性投放!BS$6:BS$85,卡牌属性!$DY293)</f>
        <v>1200</v>
      </c>
      <c r="ED293" s="14">
        <f t="shared" si="597"/>
        <v>1061</v>
      </c>
      <c r="EE293" s="14">
        <f t="shared" si="598"/>
        <v>1194</v>
      </c>
      <c r="EF293" s="14">
        <f t="shared" si="599"/>
        <v>1341</v>
      </c>
      <c r="EG293" s="14">
        <f t="shared" si="600"/>
        <v>1341</v>
      </c>
      <c r="EH293" s="14">
        <f t="shared" si="601"/>
        <v>1446</v>
      </c>
      <c r="EI293" s="14">
        <f t="shared" si="602"/>
        <v>493</v>
      </c>
      <c r="EJ293" s="14">
        <f t="shared" si="603"/>
        <v>555</v>
      </c>
      <c r="EK293" s="14">
        <f t="shared" si="604"/>
        <v>555</v>
      </c>
      <c r="EL293" s="14">
        <f t="shared" si="605"/>
        <v>631</v>
      </c>
      <c r="EM293" s="14">
        <f t="shared" si="606"/>
        <v>687</v>
      </c>
      <c r="EN293" s="14">
        <f t="shared" si="607"/>
        <v>7082</v>
      </c>
      <c r="EO293" s="14">
        <f t="shared" si="608"/>
        <v>7914</v>
      </c>
      <c r="EP293" s="14">
        <f t="shared" si="609"/>
        <v>7914</v>
      </c>
      <c r="EQ293" s="14">
        <f t="shared" si="610"/>
        <v>8850</v>
      </c>
      <c r="ER293" s="14">
        <f t="shared" si="611"/>
        <v>9522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80</v>
      </c>
      <c r="FD293" s="14">
        <f>INDEX(属性偏向!$U$4:$U$243,(卡牌属性!$DV293-1+FD$3)*20+卡牌属性!$DX293)</f>
        <v>96</v>
      </c>
      <c r="FE293" s="14">
        <f>INDEX(属性偏向!$U$4:$U$243,(卡牌属性!$DV293-1+FE$3)*20+卡牌属性!$DX293)</f>
        <v>96</v>
      </c>
      <c r="FF293" s="14">
        <f>INDEX(属性偏向!$U$4:$U$243,(卡牌属性!$DV293-1+FF$3)*20+卡牌属性!$DX293)</f>
        <v>120</v>
      </c>
      <c r="FG293" s="14">
        <f>INDEX(属性偏向!$U$4:$U$243,(卡牌属性!$DV293-1+FG$3)*20+卡牌属性!$DX293)</f>
        <v>128</v>
      </c>
      <c r="FH293" s="14">
        <f>INDEX(属性投放!$BQ$6:$BQ$85,(卡牌属性!$DW293-2)*20+卡牌属性!$DX293)</f>
        <v>150</v>
      </c>
      <c r="FI293" s="14">
        <f>INDEX(属性投放!$BQ$6:$BQ$85,(卡牌属性!$DW293-2)*20+卡牌属性!$DX293)</f>
        <v>150</v>
      </c>
      <c r="FJ293" s="14">
        <f>INDEX(属性投放!$BQ$6:$BQ$85,(卡牌属性!$DW293-2)*20+卡牌属性!$DX293)</f>
        <v>150</v>
      </c>
      <c r="FK293" s="14">
        <f>INDEX(属性投放!$BQ$6:$BQ$85,(卡牌属性!$DW293-2)*20+卡牌属性!$DX293)</f>
        <v>150</v>
      </c>
      <c r="FL293" s="14">
        <f>INDEX(属性投放!$BQ$6:$BQ$85,(卡牌属性!$DW293-2)*20+卡牌属性!$DX293)</f>
        <v>150</v>
      </c>
      <c r="FM293" s="14">
        <f>INDEX(属性投放!$BR$6:$BR$85,(卡牌属性!$DW293-2)*20+卡牌属性!$DX293)</f>
        <v>75</v>
      </c>
      <c r="FN293" s="14">
        <f>INDEX(属性投放!$BR$6:$BR$85,(卡牌属性!$DW293-2)*20+卡牌属性!$DX293)</f>
        <v>75</v>
      </c>
      <c r="FO293" s="14">
        <f>INDEX(属性投放!$BR$6:$BR$85,(卡牌属性!$DW293-2)*20+卡牌属性!$DX293)</f>
        <v>75</v>
      </c>
      <c r="FP293" s="14">
        <f>INDEX(属性投放!$BR$6:$BR$85,(卡牌属性!$DW293-2)*20+卡牌属性!$DX293)</f>
        <v>75</v>
      </c>
      <c r="FQ293" s="14">
        <f>INDEX(属性投放!$BR$6:$BR$85,(卡牌属性!$DW293-2)*20+卡牌属性!$DX293)</f>
        <v>75</v>
      </c>
      <c r="FR293" s="14">
        <f>INDEX(属性投放!$BS$6:$BS$85,(卡牌属性!$DW293-2)*20+卡牌属性!$DX293)</f>
        <v>1200</v>
      </c>
      <c r="FS293" s="14">
        <f>INDEX(属性投放!$BS$6:$BS$85,(卡牌属性!$DW293-2)*20+卡牌属性!$DX293)</f>
        <v>1200</v>
      </c>
      <c r="FT293" s="14">
        <f>INDEX(属性投放!$BS$6:$BS$85,(卡牌属性!$DW293-2)*20+卡牌属性!$DX293)</f>
        <v>1200</v>
      </c>
      <c r="FU293" s="14">
        <f>INDEX(属性投放!$BS$6:$BS$85,(卡牌属性!$DW293-2)*20+卡牌属性!$DX293)</f>
        <v>1200</v>
      </c>
      <c r="FV293" s="14">
        <f>INDEX(属性投放!$BS$6:$BS$85,(卡牌属性!$DW293-2)*20+卡牌属性!$DX293)</f>
        <v>1200</v>
      </c>
    </row>
    <row r="294" spans="31:178" ht="16.5" x14ac:dyDescent="0.2">
      <c r="AE294" s="13">
        <v>290</v>
      </c>
      <c r="AF294" s="13">
        <f t="shared" si="560"/>
        <v>15</v>
      </c>
      <c r="AG294" s="13">
        <f t="shared" si="547"/>
        <v>3</v>
      </c>
      <c r="AH294" s="13"/>
      <c r="AI294" s="13"/>
      <c r="AJ294" s="14">
        <f t="shared" si="548"/>
        <v>1101015</v>
      </c>
      <c r="AK294" s="14" t="str">
        <f t="shared" si="549"/>
        <v>阎巧巧10突</v>
      </c>
      <c r="AL294" s="25" t="s">
        <v>142</v>
      </c>
      <c r="AM294" s="14">
        <v>1</v>
      </c>
      <c r="AN294" s="14">
        <f t="shared" si="550"/>
        <v>10</v>
      </c>
      <c r="AO294" s="14">
        <f>INDEX(属性投放!$DF$6:$DF$85,(卡牌属性!AG294-2)*20+卡牌属性!AN294)</f>
        <v>2578</v>
      </c>
      <c r="AP294" s="14">
        <f t="shared" si="591"/>
        <v>2578</v>
      </c>
      <c r="AQ294" s="14">
        <f t="shared" si="591"/>
        <v>2578</v>
      </c>
      <c r="AR294" s="14">
        <f t="shared" si="591"/>
        <v>2578</v>
      </c>
      <c r="AS294" s="14">
        <f t="shared" si="591"/>
        <v>2578</v>
      </c>
      <c r="AT294" s="14">
        <f>INDEX(属性投放!$DG$6:$DG$85,(卡牌属性!AG294-2)*20+卡牌属性!AN294)</f>
        <v>1227</v>
      </c>
      <c r="AU294" s="14">
        <f t="shared" si="592"/>
        <v>1227</v>
      </c>
      <c r="AV294" s="14">
        <f t="shared" si="592"/>
        <v>1227</v>
      </c>
      <c r="AW294" s="14">
        <f t="shared" si="592"/>
        <v>1227</v>
      </c>
      <c r="AX294" s="14">
        <f t="shared" si="592"/>
        <v>1227</v>
      </c>
      <c r="AY294" s="14">
        <f>INDEX(属性投放!$DH$6:$DH$85,(卡牌属性!AG294-2)*20+卡牌属性!AN294)</f>
        <v>18106</v>
      </c>
      <c r="AZ294" s="14">
        <f t="shared" si="593"/>
        <v>18106</v>
      </c>
      <c r="BA294" s="14">
        <f t="shared" si="593"/>
        <v>18106</v>
      </c>
      <c r="BB294" s="14">
        <f t="shared" si="593"/>
        <v>18106</v>
      </c>
      <c r="BC294" s="14">
        <f t="shared" si="593"/>
        <v>18106</v>
      </c>
      <c r="BD294" s="14">
        <f>INDEX(属性投放!$DL$6:$DL$85,(卡牌属性!AG294-2)*20+卡牌属性!AN294)</f>
        <v>92</v>
      </c>
      <c r="BE294" s="14">
        <f t="shared" si="594"/>
        <v>92</v>
      </c>
      <c r="BF294" s="14">
        <f t="shared" si="594"/>
        <v>92</v>
      </c>
      <c r="BG294" s="14">
        <f t="shared" si="594"/>
        <v>92</v>
      </c>
      <c r="BH294" s="14">
        <f t="shared" si="594"/>
        <v>92</v>
      </c>
      <c r="BI294" s="14">
        <f>INDEX(属性投放!$DM$6:$DM$85,(卡牌属性!AG294-2)*20+卡牌属性!AN294)</f>
        <v>46</v>
      </c>
      <c r="BJ294" s="14">
        <f t="shared" si="595"/>
        <v>46</v>
      </c>
      <c r="BK294" s="14">
        <f t="shared" si="595"/>
        <v>46</v>
      </c>
      <c r="BL294" s="14">
        <f t="shared" si="595"/>
        <v>46</v>
      </c>
      <c r="BM294" s="14">
        <f t="shared" si="595"/>
        <v>46</v>
      </c>
      <c r="BN294" s="14">
        <f>INDEX(属性投放!$DN$6:$DN$85,(卡牌属性!AG294-2)*20+卡牌属性!AN294)</f>
        <v>824</v>
      </c>
      <c r="BO294" s="14">
        <f t="shared" si="596"/>
        <v>824</v>
      </c>
      <c r="BP294" s="14">
        <f t="shared" si="596"/>
        <v>824</v>
      </c>
      <c r="BQ294" s="14">
        <f t="shared" si="596"/>
        <v>824</v>
      </c>
      <c r="BR294" s="14">
        <f t="shared" si="596"/>
        <v>824</v>
      </c>
      <c r="BW294" s="13">
        <v>290</v>
      </c>
      <c r="BX294" s="13">
        <f t="shared" si="551"/>
        <v>15</v>
      </c>
      <c r="BY294" s="14">
        <f t="shared" si="552"/>
        <v>2</v>
      </c>
      <c r="BZ294" s="14">
        <f t="shared" si="561"/>
        <v>1102015</v>
      </c>
      <c r="CA294" s="14" t="str">
        <f t="shared" si="562"/>
        <v>于禁10突</v>
      </c>
      <c r="CB294" s="25" t="s">
        <v>142</v>
      </c>
      <c r="CC294" s="14">
        <v>2</v>
      </c>
      <c r="CD294" s="14">
        <f t="shared" si="553"/>
        <v>10</v>
      </c>
      <c r="CE294" s="14" t="s">
        <v>21</v>
      </c>
      <c r="CF294" s="14">
        <f>INDEX(属性投放!$AZ$6:$AZ$85,(BY294-2)*20+CD294)</f>
        <v>2096</v>
      </c>
      <c r="CG294" s="14" t="s">
        <v>22</v>
      </c>
      <c r="CH294" s="14">
        <f>INDEX(属性投放!$BA$6:$BA$85,(BY294-2)*20+CD294)</f>
        <v>1004</v>
      </c>
      <c r="CI294" s="14" t="s">
        <v>510</v>
      </c>
      <c r="CJ294" s="14">
        <f>INDEX(属性投放!$BB$6:$BB$85,(BY294-2)*20+CD294)</f>
        <v>14942</v>
      </c>
      <c r="CK294" s="14" t="s">
        <v>21</v>
      </c>
      <c r="CL294" s="14">
        <f>INDEX(属性投放!$BC$6:$BC$85,(BY294-2)*20+CD294)</f>
        <v>12</v>
      </c>
      <c r="CM294" s="14" t="s">
        <v>22</v>
      </c>
      <c r="CN294" s="14">
        <f>INDEX(属性投放!$BD$6:$BD$85,(BY294-2)*20+CD294)</f>
        <v>6</v>
      </c>
      <c r="CO294" s="14" t="s">
        <v>510</v>
      </c>
      <c r="CP294" s="14">
        <f>INDEX(属性投放!$BE$6:$BE$85,(BY294-2)*20+CD294)</f>
        <v>108</v>
      </c>
      <c r="CS294" s="13">
        <v>290</v>
      </c>
      <c r="CT294" s="13">
        <f t="shared" si="563"/>
        <v>6</v>
      </c>
      <c r="CU294" s="13">
        <f t="shared" si="564"/>
        <v>30</v>
      </c>
      <c r="CV294" s="14">
        <f t="shared" si="565"/>
        <v>5</v>
      </c>
      <c r="CW294" s="14">
        <f t="shared" si="566"/>
        <v>1102006</v>
      </c>
      <c r="CX294" s="14" t="str">
        <f>INDEX($O$6:$O$50,CT294)&amp;"-"&amp;INDEX(属性投放!$AB$7:$AB$50,CZ294)&amp;"-魂火-"&amp;DB294</f>
        <v>项羽-焦热-魂火-3</v>
      </c>
      <c r="CY294" s="25" t="s">
        <v>142</v>
      </c>
      <c r="CZ294" s="14">
        <f>INDEX(属性投放!$AM$7:$AM$58,CU294)</f>
        <v>13</v>
      </c>
      <c r="DA294" s="14" t="s">
        <v>537</v>
      </c>
      <c r="DB294" s="14">
        <f>INDEX(属性投放!$AN$7:$AN$58,CU294)</f>
        <v>3</v>
      </c>
      <c r="DC294" s="14">
        <f t="shared" si="554"/>
        <v>30</v>
      </c>
      <c r="DD294" s="14">
        <f>INDEX(属性投放!$AO$7:$AO$58,DC294)</f>
        <v>93</v>
      </c>
      <c r="DE294" s="14" t="s">
        <v>538</v>
      </c>
      <c r="DF294" s="14">
        <f>INDEX(属性投放!$BK$6:$BK$85,(CV294-2)*20+CZ294)</f>
        <v>315</v>
      </c>
      <c r="DG294" s="14">
        <f>SUMIFS(DF$5:DF294,$CT$5:$CT294,"="&amp;$CT294)</f>
        <v>4244</v>
      </c>
      <c r="DH294" s="14" t="s">
        <v>539</v>
      </c>
      <c r="DI294" s="14">
        <f>INDEX(属性投放!$BL$6:$BL$85,(CV294-2)*20+CZ294)</f>
        <v>158</v>
      </c>
      <c r="DJ294" s="14">
        <f>SUMIFS(DI$5:DI294,$CT$5:$CT294,"="&amp;$CT294)</f>
        <v>2126</v>
      </c>
      <c r="DK294" s="14" t="s">
        <v>540</v>
      </c>
      <c r="DL294" s="14">
        <f>INDEX(属性投放!$BM$6:$BM$85,(CV294-2)*20+CZ294)</f>
        <v>3150</v>
      </c>
      <c r="DM294" s="14">
        <f>SUMIFS(DL$5:DL294,$CT$5:$CT294,"="&amp;$CT294)</f>
        <v>36852</v>
      </c>
      <c r="DR294" s="14">
        <f t="shared" si="555"/>
        <v>1102015</v>
      </c>
      <c r="DS294" s="14" t="str">
        <f t="shared" si="556"/>
        <v>于禁10突</v>
      </c>
      <c r="DT294" s="14">
        <f t="shared" si="567"/>
        <v>3</v>
      </c>
      <c r="DU294" s="14">
        <f t="shared" si="568"/>
        <v>3</v>
      </c>
      <c r="DV294" s="14">
        <f t="shared" si="569"/>
        <v>3</v>
      </c>
      <c r="DW294" s="14">
        <f t="shared" si="557"/>
        <v>2</v>
      </c>
      <c r="DX294" s="14">
        <f t="shared" si="558"/>
        <v>10</v>
      </c>
      <c r="DY294" s="14">
        <f t="shared" si="559"/>
        <v>10</v>
      </c>
      <c r="DZ294" s="14">
        <f>INDEX(属性投放!$AX$6:$AX$85,(卡牌属性!DW294-2)*20+卡牌属性!DX294)</f>
        <v>7</v>
      </c>
      <c r="EA294" s="14">
        <f>INDEX(属性投放!BQ$6:BQ$85,卡牌属性!$DY294)</f>
        <v>160</v>
      </c>
      <c r="EB294" s="14">
        <f>INDEX(属性投放!BR$6:BR$85,卡牌属性!$DY294)</f>
        <v>80</v>
      </c>
      <c r="EC294" s="14">
        <f>INDEX(属性投放!BS$6:BS$85,卡牌属性!$DY294)</f>
        <v>1440</v>
      </c>
      <c r="ED294" s="14">
        <f t="shared" si="597"/>
        <v>1291</v>
      </c>
      <c r="EE294" s="14">
        <f t="shared" si="598"/>
        <v>1440</v>
      </c>
      <c r="EF294" s="14">
        <f t="shared" si="599"/>
        <v>1611</v>
      </c>
      <c r="EG294" s="14">
        <f t="shared" si="600"/>
        <v>1611</v>
      </c>
      <c r="EH294" s="14">
        <f t="shared" si="601"/>
        <v>1724</v>
      </c>
      <c r="EI294" s="14">
        <f t="shared" si="602"/>
        <v>608</v>
      </c>
      <c r="EJ294" s="14">
        <f t="shared" si="603"/>
        <v>678</v>
      </c>
      <c r="EK294" s="14">
        <f t="shared" si="604"/>
        <v>678</v>
      </c>
      <c r="EL294" s="14">
        <f t="shared" si="605"/>
        <v>770</v>
      </c>
      <c r="EM294" s="14">
        <f t="shared" si="606"/>
        <v>826</v>
      </c>
      <c r="EN294" s="14">
        <f t="shared" si="607"/>
        <v>8922</v>
      </c>
      <c r="EO294" s="14">
        <f t="shared" si="608"/>
        <v>9882</v>
      </c>
      <c r="EP294" s="14">
        <f t="shared" si="609"/>
        <v>9882</v>
      </c>
      <c r="EQ294" s="14">
        <f t="shared" si="610"/>
        <v>11010</v>
      </c>
      <c r="ER294" s="14">
        <f t="shared" si="611"/>
        <v>11746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108</v>
      </c>
      <c r="FD294" s="14">
        <f>INDEX(属性偏向!$U$4:$U$243,(卡牌属性!$DV294-1+FD$3)*20+卡牌属性!$DX294)</f>
        <v>135</v>
      </c>
      <c r="FE294" s="14">
        <f>INDEX(属性偏向!$U$4:$U$243,(卡牌属性!$DV294-1+FE$3)*20+卡牌属性!$DX294)</f>
        <v>135</v>
      </c>
      <c r="FF294" s="14">
        <f>INDEX(属性偏向!$U$4:$U$243,(卡牌属性!$DV294-1+FF$3)*20+卡牌属性!$DX294)</f>
        <v>180</v>
      </c>
      <c r="FG294" s="14">
        <f>INDEX(属性偏向!$U$4:$U$243,(卡牌属性!$DV294-1+FG$3)*20+卡牌属性!$DX294)</f>
        <v>189</v>
      </c>
      <c r="FH294" s="14">
        <f>INDEX(属性投放!$BQ$6:$BQ$85,(卡牌属性!$DW294-2)*20+卡牌属性!$DX294)</f>
        <v>160</v>
      </c>
      <c r="FI294" s="14">
        <f>INDEX(属性投放!$BQ$6:$BQ$85,(卡牌属性!$DW294-2)*20+卡牌属性!$DX294)</f>
        <v>160</v>
      </c>
      <c r="FJ294" s="14">
        <f>INDEX(属性投放!$BQ$6:$BQ$85,(卡牌属性!$DW294-2)*20+卡牌属性!$DX294)</f>
        <v>160</v>
      </c>
      <c r="FK294" s="14">
        <f>INDEX(属性投放!$BQ$6:$BQ$85,(卡牌属性!$DW294-2)*20+卡牌属性!$DX294)</f>
        <v>160</v>
      </c>
      <c r="FL294" s="14">
        <f>INDEX(属性投放!$BQ$6:$BQ$85,(卡牌属性!$DW294-2)*20+卡牌属性!$DX294)</f>
        <v>160</v>
      </c>
      <c r="FM294" s="14">
        <f>INDEX(属性投放!$BR$6:$BR$85,(卡牌属性!$DW294-2)*20+卡牌属性!$DX294)</f>
        <v>80</v>
      </c>
      <c r="FN294" s="14">
        <f>INDEX(属性投放!$BR$6:$BR$85,(卡牌属性!$DW294-2)*20+卡牌属性!$DX294)</f>
        <v>80</v>
      </c>
      <c r="FO294" s="14">
        <f>INDEX(属性投放!$BR$6:$BR$85,(卡牌属性!$DW294-2)*20+卡牌属性!$DX294)</f>
        <v>80</v>
      </c>
      <c r="FP294" s="14">
        <f>INDEX(属性投放!$BR$6:$BR$85,(卡牌属性!$DW294-2)*20+卡牌属性!$DX294)</f>
        <v>80</v>
      </c>
      <c r="FQ294" s="14">
        <f>INDEX(属性投放!$BR$6:$BR$85,(卡牌属性!$DW294-2)*20+卡牌属性!$DX294)</f>
        <v>80</v>
      </c>
      <c r="FR294" s="14">
        <f>INDEX(属性投放!$BS$6:$BS$85,(卡牌属性!$DW294-2)*20+卡牌属性!$DX294)</f>
        <v>1440</v>
      </c>
      <c r="FS294" s="14">
        <f>INDEX(属性投放!$BS$6:$BS$85,(卡牌属性!$DW294-2)*20+卡牌属性!$DX294)</f>
        <v>1440</v>
      </c>
      <c r="FT294" s="14">
        <f>INDEX(属性投放!$BS$6:$BS$85,(卡牌属性!$DW294-2)*20+卡牌属性!$DX294)</f>
        <v>1440</v>
      </c>
      <c r="FU294" s="14">
        <f>INDEX(属性投放!$BS$6:$BS$85,(卡牌属性!$DW294-2)*20+卡牌属性!$DX294)</f>
        <v>1440</v>
      </c>
      <c r="FV294" s="14">
        <f>INDEX(属性投放!$BS$6:$BS$85,(卡牌属性!$DW294-2)*20+卡牌属性!$DX294)</f>
        <v>1440</v>
      </c>
    </row>
    <row r="295" spans="31:178" ht="16.5" x14ac:dyDescent="0.2">
      <c r="AE295" s="13">
        <v>291</v>
      </c>
      <c r="AF295" s="13">
        <f t="shared" si="560"/>
        <v>15</v>
      </c>
      <c r="AG295" s="13">
        <f t="shared" si="547"/>
        <v>3</v>
      </c>
      <c r="AH295" s="13"/>
      <c r="AI295" s="13"/>
      <c r="AJ295" s="14">
        <f t="shared" si="548"/>
        <v>1101015</v>
      </c>
      <c r="AK295" s="14" t="str">
        <f t="shared" si="549"/>
        <v>阎巧巧11突</v>
      </c>
      <c r="AL295" s="25" t="s">
        <v>142</v>
      </c>
      <c r="AM295" s="14">
        <v>1</v>
      </c>
      <c r="AN295" s="14">
        <f t="shared" si="550"/>
        <v>11</v>
      </c>
      <c r="AO295" s="14">
        <f>INDEX(属性投放!$DF$6:$DF$85,(卡牌属性!AG295-2)*20+卡牌属性!AN295)</f>
        <v>2840</v>
      </c>
      <c r="AP295" s="14">
        <f t="shared" si="591"/>
        <v>2840</v>
      </c>
      <c r="AQ295" s="14">
        <f t="shared" si="591"/>
        <v>2840</v>
      </c>
      <c r="AR295" s="14">
        <f t="shared" si="591"/>
        <v>2840</v>
      </c>
      <c r="AS295" s="14">
        <f t="shared" si="591"/>
        <v>2840</v>
      </c>
      <c r="AT295" s="14">
        <f>INDEX(属性投放!$DG$6:$DG$85,(卡牌属性!AG295-2)*20+卡牌属性!AN295)</f>
        <v>1358</v>
      </c>
      <c r="AU295" s="14">
        <f t="shared" si="592"/>
        <v>1358</v>
      </c>
      <c r="AV295" s="14">
        <f t="shared" si="592"/>
        <v>1358</v>
      </c>
      <c r="AW295" s="14">
        <f t="shared" si="592"/>
        <v>1358</v>
      </c>
      <c r="AX295" s="14">
        <f t="shared" si="592"/>
        <v>1358</v>
      </c>
      <c r="AY295" s="14">
        <f>INDEX(属性投放!$DH$6:$DH$85,(卡牌属性!AG295-2)*20+卡牌属性!AN295)</f>
        <v>20460</v>
      </c>
      <c r="AZ295" s="14">
        <f t="shared" si="593"/>
        <v>20460</v>
      </c>
      <c r="BA295" s="14">
        <f t="shared" si="593"/>
        <v>20460</v>
      </c>
      <c r="BB295" s="14">
        <f t="shared" si="593"/>
        <v>20460</v>
      </c>
      <c r="BC295" s="14">
        <f t="shared" si="593"/>
        <v>20460</v>
      </c>
      <c r="BD295" s="14">
        <f>INDEX(属性投放!$DL$6:$DL$85,(卡牌属性!AG295-2)*20+卡牌属性!AN295)</f>
        <v>92</v>
      </c>
      <c r="BE295" s="14">
        <f t="shared" si="594"/>
        <v>92</v>
      </c>
      <c r="BF295" s="14">
        <f t="shared" si="594"/>
        <v>92</v>
      </c>
      <c r="BG295" s="14">
        <f t="shared" si="594"/>
        <v>92</v>
      </c>
      <c r="BH295" s="14">
        <f t="shared" si="594"/>
        <v>92</v>
      </c>
      <c r="BI295" s="14">
        <f>INDEX(属性投放!$DM$6:$DM$85,(卡牌属性!AG295-2)*20+卡牌属性!AN295)</f>
        <v>46</v>
      </c>
      <c r="BJ295" s="14">
        <f t="shared" si="595"/>
        <v>46</v>
      </c>
      <c r="BK295" s="14">
        <f t="shared" si="595"/>
        <v>46</v>
      </c>
      <c r="BL295" s="14">
        <f t="shared" si="595"/>
        <v>46</v>
      </c>
      <c r="BM295" s="14">
        <f t="shared" si="595"/>
        <v>46</v>
      </c>
      <c r="BN295" s="14">
        <f>INDEX(属性投放!$DN$6:$DN$85,(卡牌属性!AG295-2)*20+卡牌属性!AN295)</f>
        <v>824</v>
      </c>
      <c r="BO295" s="14">
        <f t="shared" si="596"/>
        <v>824</v>
      </c>
      <c r="BP295" s="14">
        <f t="shared" si="596"/>
        <v>824</v>
      </c>
      <c r="BQ295" s="14">
        <f t="shared" si="596"/>
        <v>824</v>
      </c>
      <c r="BR295" s="14">
        <f t="shared" si="596"/>
        <v>824</v>
      </c>
      <c r="BW295" s="13">
        <v>291</v>
      </c>
      <c r="BX295" s="13">
        <f t="shared" si="551"/>
        <v>15</v>
      </c>
      <c r="BY295" s="14">
        <f t="shared" si="552"/>
        <v>2</v>
      </c>
      <c r="BZ295" s="14">
        <f t="shared" si="561"/>
        <v>1102015</v>
      </c>
      <c r="CA295" s="14" t="str">
        <f t="shared" si="562"/>
        <v>于禁11突</v>
      </c>
      <c r="CB295" s="25" t="s">
        <v>142</v>
      </c>
      <c r="CC295" s="14">
        <v>2</v>
      </c>
      <c r="CD295" s="14">
        <f t="shared" si="553"/>
        <v>11</v>
      </c>
      <c r="CE295" s="14" t="s">
        <v>21</v>
      </c>
      <c r="CF295" s="14">
        <f>INDEX(属性投放!$AZ$6:$AZ$85,(BY295-2)*20+CD295)</f>
        <v>2640</v>
      </c>
      <c r="CG295" s="14" t="s">
        <v>22</v>
      </c>
      <c r="CH295" s="14">
        <f>INDEX(属性投放!$BA$6:$BA$85,(BY295-2)*20+CD295)</f>
        <v>1276</v>
      </c>
      <c r="CI295" s="14" t="s">
        <v>510</v>
      </c>
      <c r="CJ295" s="14">
        <f>INDEX(属性投放!$BB$6:$BB$85,(BY295-2)*20+CD295)</f>
        <v>19838</v>
      </c>
      <c r="CK295" s="14" t="s">
        <v>21</v>
      </c>
      <c r="CL295" s="14">
        <f>INDEX(属性投放!$BC$6:$BC$85,(BY295-2)*20+CD295)</f>
        <v>12</v>
      </c>
      <c r="CM295" s="14" t="s">
        <v>22</v>
      </c>
      <c r="CN295" s="14">
        <f>INDEX(属性投放!$BD$6:$BD$85,(BY295-2)*20+CD295)</f>
        <v>6</v>
      </c>
      <c r="CO295" s="14" t="s">
        <v>510</v>
      </c>
      <c r="CP295" s="14">
        <f>INDEX(属性投放!$BE$6:$BE$85,(BY295-2)*20+CD295)</f>
        <v>108</v>
      </c>
      <c r="CS295" s="13">
        <v>291</v>
      </c>
      <c r="CT295" s="13">
        <f t="shared" si="563"/>
        <v>6</v>
      </c>
      <c r="CU295" s="13">
        <f t="shared" si="564"/>
        <v>31</v>
      </c>
      <c r="CV295" s="14">
        <f t="shared" si="565"/>
        <v>5</v>
      </c>
      <c r="CW295" s="14">
        <f t="shared" si="566"/>
        <v>1102006</v>
      </c>
      <c r="CX295" s="14" t="str">
        <f>INDEX($O$6:$O$50,CT295)&amp;"-"&amp;INDEX(属性投放!$AB$7:$AB$50,CZ295)&amp;"-魂火-"&amp;DB295</f>
        <v>项羽-焦热+1-魂火-1</v>
      </c>
      <c r="CY295" s="25" t="s">
        <v>142</v>
      </c>
      <c r="CZ295" s="14">
        <f>INDEX(属性投放!$AM$7:$AM$58,CU295)</f>
        <v>14</v>
      </c>
      <c r="DA295" s="14" t="s">
        <v>537</v>
      </c>
      <c r="DB295" s="14">
        <f>INDEX(属性投放!$AN$7:$AN$58,CU295)</f>
        <v>1</v>
      </c>
      <c r="DC295" s="14">
        <f t="shared" si="554"/>
        <v>31</v>
      </c>
      <c r="DD295" s="14">
        <f>INDEX(属性投放!$AO$7:$AO$58,DC295)</f>
        <v>95</v>
      </c>
      <c r="DE295" s="14" t="s">
        <v>538</v>
      </c>
      <c r="DF295" s="14">
        <f>INDEX(属性投放!$BK$6:$BK$85,(CV295-2)*20+CZ295)</f>
        <v>365</v>
      </c>
      <c r="DG295" s="14">
        <f>SUMIFS(DF$5:DF295,$CT$5:$CT295,"="&amp;$CT295)</f>
        <v>4609</v>
      </c>
      <c r="DH295" s="14" t="s">
        <v>539</v>
      </c>
      <c r="DI295" s="14">
        <f>INDEX(属性投放!$BL$6:$BL$85,(CV295-2)*20+CZ295)</f>
        <v>183</v>
      </c>
      <c r="DJ295" s="14">
        <f>SUMIFS(DI$5:DI295,$CT$5:$CT295,"="&amp;$CT295)</f>
        <v>2309</v>
      </c>
      <c r="DK295" s="14" t="s">
        <v>540</v>
      </c>
      <c r="DL295" s="14">
        <f>INDEX(属性投放!$BM$6:$BM$85,(CV295-2)*20+CZ295)</f>
        <v>3650</v>
      </c>
      <c r="DM295" s="14">
        <f>SUMIFS(DL$5:DL295,$CT$5:$CT295,"="&amp;$CT295)</f>
        <v>40502</v>
      </c>
      <c r="DR295" s="14">
        <f t="shared" si="555"/>
        <v>1102015</v>
      </c>
      <c r="DS295" s="14" t="str">
        <f t="shared" si="556"/>
        <v>于禁11突</v>
      </c>
      <c r="DT295" s="14">
        <f t="shared" si="567"/>
        <v>3</v>
      </c>
      <c r="DU295" s="14">
        <f t="shared" si="568"/>
        <v>3</v>
      </c>
      <c r="DV295" s="14">
        <f t="shared" si="569"/>
        <v>3</v>
      </c>
      <c r="DW295" s="14">
        <f t="shared" si="557"/>
        <v>2</v>
      </c>
      <c r="DX295" s="14">
        <f t="shared" si="558"/>
        <v>11</v>
      </c>
      <c r="DY295" s="14">
        <f t="shared" si="559"/>
        <v>11</v>
      </c>
      <c r="DZ295" s="14">
        <f>INDEX(属性投放!$AX$6:$AX$85,(卡牌属性!DW295-2)*20+卡牌属性!DX295)</f>
        <v>8</v>
      </c>
      <c r="EA295" s="14">
        <f>INDEX(属性投放!BQ$6:BQ$85,卡牌属性!$DY295)</f>
        <v>200</v>
      </c>
      <c r="EB295" s="14">
        <f>INDEX(属性投放!BR$6:BR$85,卡牌属性!$DY295)</f>
        <v>100</v>
      </c>
      <c r="EC295" s="14">
        <f>INDEX(属性投放!BS$6:BS$85,卡牌属性!$DY295)</f>
        <v>1800</v>
      </c>
      <c r="ED295" s="14">
        <f t="shared" si="597"/>
        <v>1535</v>
      </c>
      <c r="EE295" s="14">
        <f t="shared" si="598"/>
        <v>1705</v>
      </c>
      <c r="EF295" s="14">
        <f t="shared" si="599"/>
        <v>1911</v>
      </c>
      <c r="EG295" s="14">
        <f t="shared" si="600"/>
        <v>1911</v>
      </c>
      <c r="EH295" s="14">
        <f t="shared" si="601"/>
        <v>2031</v>
      </c>
      <c r="EI295" s="14">
        <f t="shared" si="602"/>
        <v>730</v>
      </c>
      <c r="EJ295" s="14">
        <f t="shared" si="603"/>
        <v>814</v>
      </c>
      <c r="EK295" s="14">
        <f t="shared" si="604"/>
        <v>814</v>
      </c>
      <c r="EL295" s="14">
        <f t="shared" si="605"/>
        <v>920</v>
      </c>
      <c r="EM295" s="14">
        <f t="shared" si="606"/>
        <v>983</v>
      </c>
      <c r="EN295" s="14">
        <f t="shared" si="607"/>
        <v>11118</v>
      </c>
      <c r="EO295" s="14">
        <f t="shared" si="608"/>
        <v>12267</v>
      </c>
      <c r="EP295" s="14">
        <f t="shared" si="609"/>
        <v>12267</v>
      </c>
      <c r="EQ295" s="14">
        <f t="shared" si="610"/>
        <v>13710</v>
      </c>
      <c r="ER295" s="14">
        <f t="shared" si="611"/>
        <v>14509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108</v>
      </c>
      <c r="FD295" s="14">
        <f>INDEX(属性偏向!$U$4:$U$243,(卡牌属性!$DV295-1+FD$3)*20+卡牌属性!$DX295)</f>
        <v>135</v>
      </c>
      <c r="FE295" s="14">
        <f>INDEX(属性偏向!$U$4:$U$243,(卡牌属性!$DV295-1+FE$3)*20+卡牌属性!$DX295)</f>
        <v>135</v>
      </c>
      <c r="FF295" s="14">
        <f>INDEX(属性偏向!$U$4:$U$243,(卡牌属性!$DV295-1+FF$3)*20+卡牌属性!$DX295)</f>
        <v>180</v>
      </c>
      <c r="FG295" s="14">
        <f>INDEX(属性偏向!$U$4:$U$243,(卡牌属性!$DV295-1+FG$3)*20+卡牌属性!$DX295)</f>
        <v>189</v>
      </c>
      <c r="FH295" s="14">
        <f>INDEX(属性投放!$BQ$6:$BQ$85,(卡牌属性!$DW295-2)*20+卡牌属性!$DX295)</f>
        <v>200</v>
      </c>
      <c r="FI295" s="14">
        <f>INDEX(属性投放!$BQ$6:$BQ$85,(卡牌属性!$DW295-2)*20+卡牌属性!$DX295)</f>
        <v>200</v>
      </c>
      <c r="FJ295" s="14">
        <f>INDEX(属性投放!$BQ$6:$BQ$85,(卡牌属性!$DW295-2)*20+卡牌属性!$DX295)</f>
        <v>200</v>
      </c>
      <c r="FK295" s="14">
        <f>INDEX(属性投放!$BQ$6:$BQ$85,(卡牌属性!$DW295-2)*20+卡牌属性!$DX295)</f>
        <v>200</v>
      </c>
      <c r="FL295" s="14">
        <f>INDEX(属性投放!$BQ$6:$BQ$85,(卡牌属性!$DW295-2)*20+卡牌属性!$DX295)</f>
        <v>200</v>
      </c>
      <c r="FM295" s="14">
        <f>INDEX(属性投放!$BR$6:$BR$85,(卡牌属性!$DW295-2)*20+卡牌属性!$DX295)</f>
        <v>100</v>
      </c>
      <c r="FN295" s="14">
        <f>INDEX(属性投放!$BR$6:$BR$85,(卡牌属性!$DW295-2)*20+卡牌属性!$DX295)</f>
        <v>100</v>
      </c>
      <c r="FO295" s="14">
        <f>INDEX(属性投放!$BR$6:$BR$85,(卡牌属性!$DW295-2)*20+卡牌属性!$DX295)</f>
        <v>100</v>
      </c>
      <c r="FP295" s="14">
        <f>INDEX(属性投放!$BR$6:$BR$85,(卡牌属性!$DW295-2)*20+卡牌属性!$DX295)</f>
        <v>100</v>
      </c>
      <c r="FQ295" s="14">
        <f>INDEX(属性投放!$BR$6:$BR$85,(卡牌属性!$DW295-2)*20+卡牌属性!$DX295)</f>
        <v>100</v>
      </c>
      <c r="FR295" s="14">
        <f>INDEX(属性投放!$BS$6:$BS$85,(卡牌属性!$DW295-2)*20+卡牌属性!$DX295)</f>
        <v>1800</v>
      </c>
      <c r="FS295" s="14">
        <f>INDEX(属性投放!$BS$6:$BS$85,(卡牌属性!$DW295-2)*20+卡牌属性!$DX295)</f>
        <v>1800</v>
      </c>
      <c r="FT295" s="14">
        <f>INDEX(属性投放!$BS$6:$BS$85,(卡牌属性!$DW295-2)*20+卡牌属性!$DX295)</f>
        <v>1800</v>
      </c>
      <c r="FU295" s="14">
        <f>INDEX(属性投放!$BS$6:$BS$85,(卡牌属性!$DW295-2)*20+卡牌属性!$DX295)</f>
        <v>1800</v>
      </c>
      <c r="FV295" s="14">
        <f>INDEX(属性投放!$BS$6:$BS$85,(卡牌属性!$DW295-2)*20+卡牌属性!$DX295)</f>
        <v>1800</v>
      </c>
    </row>
    <row r="296" spans="31:178" ht="16.5" x14ac:dyDescent="0.2">
      <c r="AE296" s="13">
        <v>292</v>
      </c>
      <c r="AF296" s="13">
        <f t="shared" si="560"/>
        <v>15</v>
      </c>
      <c r="AG296" s="13">
        <f t="shared" si="547"/>
        <v>3</v>
      </c>
      <c r="AH296" s="13"/>
      <c r="AI296" s="13"/>
      <c r="AJ296" s="14">
        <f t="shared" si="548"/>
        <v>1101015</v>
      </c>
      <c r="AK296" s="14" t="str">
        <f t="shared" si="549"/>
        <v>阎巧巧12突</v>
      </c>
      <c r="AL296" s="25" t="s">
        <v>142</v>
      </c>
      <c r="AM296" s="14">
        <v>1</v>
      </c>
      <c r="AN296" s="14">
        <f t="shared" si="550"/>
        <v>12</v>
      </c>
      <c r="AO296" s="14">
        <f>INDEX(属性投放!$DF$6:$DF$85,(卡牌属性!AG296-2)*20+卡牌属性!AN296)</f>
        <v>3102</v>
      </c>
      <c r="AP296" s="14">
        <f t="shared" si="591"/>
        <v>3102</v>
      </c>
      <c r="AQ296" s="14">
        <f t="shared" si="591"/>
        <v>3102</v>
      </c>
      <c r="AR296" s="14">
        <f t="shared" si="591"/>
        <v>3102</v>
      </c>
      <c r="AS296" s="14">
        <f t="shared" si="591"/>
        <v>3102</v>
      </c>
      <c r="AT296" s="14">
        <f>INDEX(属性投放!$DG$6:$DG$85,(卡牌属性!AG296-2)*20+卡牌属性!AN296)</f>
        <v>1489</v>
      </c>
      <c r="AU296" s="14">
        <f t="shared" si="592"/>
        <v>1489</v>
      </c>
      <c r="AV296" s="14">
        <f t="shared" si="592"/>
        <v>1489</v>
      </c>
      <c r="AW296" s="14">
        <f t="shared" si="592"/>
        <v>1489</v>
      </c>
      <c r="AX296" s="14">
        <f t="shared" si="592"/>
        <v>1489</v>
      </c>
      <c r="AY296" s="14">
        <f>INDEX(属性投放!$DH$6:$DH$85,(卡牌属性!AG296-2)*20+卡牌属性!AN296)</f>
        <v>22814</v>
      </c>
      <c r="AZ296" s="14">
        <f t="shared" si="593"/>
        <v>22814</v>
      </c>
      <c r="BA296" s="14">
        <f t="shared" si="593"/>
        <v>22814</v>
      </c>
      <c r="BB296" s="14">
        <f t="shared" si="593"/>
        <v>22814</v>
      </c>
      <c r="BC296" s="14">
        <f t="shared" si="593"/>
        <v>22814</v>
      </c>
      <c r="BD296" s="14">
        <f>INDEX(属性投放!$DL$6:$DL$85,(卡牌属性!AG296-2)*20+卡牌属性!AN296)</f>
        <v>92</v>
      </c>
      <c r="BE296" s="14">
        <f t="shared" si="594"/>
        <v>92</v>
      </c>
      <c r="BF296" s="14">
        <f t="shared" si="594"/>
        <v>92</v>
      </c>
      <c r="BG296" s="14">
        <f t="shared" si="594"/>
        <v>92</v>
      </c>
      <c r="BH296" s="14">
        <f t="shared" si="594"/>
        <v>92</v>
      </c>
      <c r="BI296" s="14">
        <f>INDEX(属性投放!$DM$6:$DM$85,(卡牌属性!AG296-2)*20+卡牌属性!AN296)</f>
        <v>46</v>
      </c>
      <c r="BJ296" s="14">
        <f t="shared" si="595"/>
        <v>46</v>
      </c>
      <c r="BK296" s="14">
        <f t="shared" si="595"/>
        <v>46</v>
      </c>
      <c r="BL296" s="14">
        <f t="shared" si="595"/>
        <v>46</v>
      </c>
      <c r="BM296" s="14">
        <f t="shared" si="595"/>
        <v>46</v>
      </c>
      <c r="BN296" s="14">
        <f>INDEX(属性投放!$DN$6:$DN$85,(卡牌属性!AG296-2)*20+卡牌属性!AN296)</f>
        <v>824</v>
      </c>
      <c r="BO296" s="14">
        <f t="shared" si="596"/>
        <v>824</v>
      </c>
      <c r="BP296" s="14">
        <f t="shared" si="596"/>
        <v>824</v>
      </c>
      <c r="BQ296" s="14">
        <f t="shared" si="596"/>
        <v>824</v>
      </c>
      <c r="BR296" s="14">
        <f t="shared" si="596"/>
        <v>824</v>
      </c>
      <c r="BW296" s="13">
        <v>292</v>
      </c>
      <c r="BX296" s="13">
        <f t="shared" si="551"/>
        <v>15</v>
      </c>
      <c r="BY296" s="14">
        <f t="shared" si="552"/>
        <v>2</v>
      </c>
      <c r="BZ296" s="14">
        <f t="shared" si="561"/>
        <v>1102015</v>
      </c>
      <c r="CA296" s="14" t="str">
        <f t="shared" si="562"/>
        <v>于禁12突</v>
      </c>
      <c r="CB296" s="25" t="s">
        <v>142</v>
      </c>
      <c r="CC296" s="14">
        <v>2</v>
      </c>
      <c r="CD296" s="14">
        <f t="shared" si="553"/>
        <v>12</v>
      </c>
      <c r="CE296" s="14" t="s">
        <v>21</v>
      </c>
      <c r="CF296" s="14">
        <f>INDEX(属性投放!$AZ$6:$AZ$85,(BY296-2)*20+CD296)</f>
        <v>3326</v>
      </c>
      <c r="CG296" s="14" t="s">
        <v>22</v>
      </c>
      <c r="CH296" s="14">
        <f>INDEX(属性投放!$BA$6:$BA$85,(BY296-2)*20+CD296)</f>
        <v>1619</v>
      </c>
      <c r="CI296" s="14" t="s">
        <v>510</v>
      </c>
      <c r="CJ296" s="14">
        <f>INDEX(属性投放!$BB$6:$BB$85,(BY296-2)*20+CD296)</f>
        <v>26012</v>
      </c>
      <c r="CK296" s="14" t="s">
        <v>21</v>
      </c>
      <c r="CL296" s="14">
        <f>INDEX(属性投放!$BC$6:$BC$85,(BY296-2)*20+CD296)</f>
        <v>12</v>
      </c>
      <c r="CM296" s="14" t="s">
        <v>22</v>
      </c>
      <c r="CN296" s="14">
        <f>INDEX(属性投放!$BD$6:$BD$85,(BY296-2)*20+CD296)</f>
        <v>6</v>
      </c>
      <c r="CO296" s="14" t="s">
        <v>510</v>
      </c>
      <c r="CP296" s="14">
        <f>INDEX(属性投放!$BE$6:$BE$85,(BY296-2)*20+CD296)</f>
        <v>108</v>
      </c>
      <c r="CS296" s="13">
        <v>292</v>
      </c>
      <c r="CT296" s="13">
        <f t="shared" si="563"/>
        <v>6</v>
      </c>
      <c r="CU296" s="13">
        <f t="shared" si="564"/>
        <v>32</v>
      </c>
      <c r="CV296" s="14">
        <f t="shared" si="565"/>
        <v>5</v>
      </c>
      <c r="CW296" s="14">
        <f t="shared" si="566"/>
        <v>1102006</v>
      </c>
      <c r="CX296" s="14" t="str">
        <f>INDEX($O$6:$O$50,CT296)&amp;"-"&amp;INDEX(属性投放!$AB$7:$AB$50,CZ296)&amp;"-魂火-"&amp;DB296</f>
        <v>项羽-焦热+1-魂火-2</v>
      </c>
      <c r="CY296" s="25" t="s">
        <v>142</v>
      </c>
      <c r="CZ296" s="14">
        <f>INDEX(属性投放!$AM$7:$AM$58,CU296)</f>
        <v>14</v>
      </c>
      <c r="DA296" s="14" t="s">
        <v>537</v>
      </c>
      <c r="DB296" s="14">
        <f>INDEX(属性投放!$AN$7:$AN$58,CU296)</f>
        <v>2</v>
      </c>
      <c r="DC296" s="14">
        <f t="shared" si="554"/>
        <v>32</v>
      </c>
      <c r="DD296" s="14">
        <f>INDEX(属性投放!$AO$7:$AO$58,DC296)</f>
        <v>98</v>
      </c>
      <c r="DE296" s="14" t="s">
        <v>538</v>
      </c>
      <c r="DF296" s="14">
        <f>INDEX(属性投放!$BK$6:$BK$85,(CV296-2)*20+CZ296)</f>
        <v>365</v>
      </c>
      <c r="DG296" s="14">
        <f>SUMIFS(DF$5:DF296,$CT$5:$CT296,"="&amp;$CT296)</f>
        <v>4974</v>
      </c>
      <c r="DH296" s="14" t="s">
        <v>539</v>
      </c>
      <c r="DI296" s="14">
        <f>INDEX(属性投放!$BL$6:$BL$85,(CV296-2)*20+CZ296)</f>
        <v>183</v>
      </c>
      <c r="DJ296" s="14">
        <f>SUMIFS(DI$5:DI296,$CT$5:$CT296,"="&amp;$CT296)</f>
        <v>2492</v>
      </c>
      <c r="DK296" s="14" t="s">
        <v>540</v>
      </c>
      <c r="DL296" s="14">
        <f>INDEX(属性投放!$BM$6:$BM$85,(CV296-2)*20+CZ296)</f>
        <v>3650</v>
      </c>
      <c r="DM296" s="14">
        <f>SUMIFS(DL$5:DL296,$CT$5:$CT296,"="&amp;$CT296)</f>
        <v>44152</v>
      </c>
      <c r="DR296" s="14">
        <f t="shared" si="555"/>
        <v>1102015</v>
      </c>
      <c r="DS296" s="14" t="str">
        <f t="shared" si="556"/>
        <v>于禁12突</v>
      </c>
      <c r="DT296" s="14">
        <f t="shared" si="567"/>
        <v>3</v>
      </c>
      <c r="DU296" s="14">
        <f t="shared" si="568"/>
        <v>3</v>
      </c>
      <c r="DV296" s="14">
        <f t="shared" si="569"/>
        <v>3</v>
      </c>
      <c r="DW296" s="14">
        <f t="shared" si="557"/>
        <v>2</v>
      </c>
      <c r="DX296" s="14">
        <f t="shared" si="558"/>
        <v>12</v>
      </c>
      <c r="DY296" s="14">
        <f t="shared" si="559"/>
        <v>12</v>
      </c>
      <c r="DZ296" s="14">
        <f>INDEX(属性投放!$AX$6:$AX$85,(卡牌属性!DW296-2)*20+卡牌属性!DX296)</f>
        <v>7</v>
      </c>
      <c r="EA296" s="14">
        <f>INDEX(属性投放!BQ$6:BQ$85,卡牌属性!$DY296)</f>
        <v>350</v>
      </c>
      <c r="EB296" s="14">
        <f>INDEX(属性投放!BR$6:BR$85,卡牌属性!$DY296)</f>
        <v>175</v>
      </c>
      <c r="EC296" s="14">
        <f>INDEX(属性投放!BS$6:BS$85,卡牌属性!$DY296)</f>
        <v>3150</v>
      </c>
      <c r="ED296" s="14">
        <f t="shared" si="597"/>
        <v>1831</v>
      </c>
      <c r="EE296" s="14">
        <f t="shared" si="598"/>
        <v>2025</v>
      </c>
      <c r="EF296" s="14">
        <f t="shared" si="599"/>
        <v>2271</v>
      </c>
      <c r="EG296" s="14">
        <f t="shared" si="600"/>
        <v>2271</v>
      </c>
      <c r="EH296" s="14">
        <f t="shared" si="601"/>
        <v>2399</v>
      </c>
      <c r="EI296" s="14">
        <f t="shared" si="602"/>
        <v>878</v>
      </c>
      <c r="EJ296" s="14">
        <f t="shared" si="603"/>
        <v>978</v>
      </c>
      <c r="EK296" s="14">
        <f t="shared" si="604"/>
        <v>978</v>
      </c>
      <c r="EL296" s="14">
        <f t="shared" si="605"/>
        <v>1100</v>
      </c>
      <c r="EM296" s="14">
        <f t="shared" si="606"/>
        <v>1171</v>
      </c>
      <c r="EN296" s="14">
        <f t="shared" si="607"/>
        <v>13782</v>
      </c>
      <c r="EO296" s="14">
        <f t="shared" si="608"/>
        <v>15147</v>
      </c>
      <c r="EP296" s="14">
        <f t="shared" si="609"/>
        <v>15147</v>
      </c>
      <c r="EQ296" s="14">
        <f t="shared" si="610"/>
        <v>16950</v>
      </c>
      <c r="ER296" s="14">
        <f t="shared" si="611"/>
        <v>17821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108</v>
      </c>
      <c r="FD296" s="14">
        <f>INDEX(属性偏向!$U$4:$U$243,(卡牌属性!$DV296-1+FD$3)*20+卡牌属性!$DX296)</f>
        <v>135</v>
      </c>
      <c r="FE296" s="14">
        <f>INDEX(属性偏向!$U$4:$U$243,(卡牌属性!$DV296-1+FE$3)*20+卡牌属性!$DX296)</f>
        <v>135</v>
      </c>
      <c r="FF296" s="14">
        <f>INDEX(属性偏向!$U$4:$U$243,(卡牌属性!$DV296-1+FF$3)*20+卡牌属性!$DX296)</f>
        <v>180</v>
      </c>
      <c r="FG296" s="14">
        <f>INDEX(属性偏向!$U$4:$U$243,(卡牌属性!$DV296-1+FG$3)*20+卡牌属性!$DX296)</f>
        <v>189</v>
      </c>
      <c r="FH296" s="14">
        <f>INDEX(属性投放!$BQ$6:$BQ$85,(卡牌属性!$DW296-2)*20+卡牌属性!$DX296)</f>
        <v>350</v>
      </c>
      <c r="FI296" s="14">
        <f>INDEX(属性投放!$BQ$6:$BQ$85,(卡牌属性!$DW296-2)*20+卡牌属性!$DX296)</f>
        <v>350</v>
      </c>
      <c r="FJ296" s="14">
        <f>INDEX(属性投放!$BQ$6:$BQ$85,(卡牌属性!$DW296-2)*20+卡牌属性!$DX296)</f>
        <v>350</v>
      </c>
      <c r="FK296" s="14">
        <f>INDEX(属性投放!$BQ$6:$BQ$85,(卡牌属性!$DW296-2)*20+卡牌属性!$DX296)</f>
        <v>350</v>
      </c>
      <c r="FL296" s="14">
        <f>INDEX(属性投放!$BQ$6:$BQ$85,(卡牌属性!$DW296-2)*20+卡牌属性!$DX296)</f>
        <v>350</v>
      </c>
      <c r="FM296" s="14">
        <f>INDEX(属性投放!$BR$6:$BR$85,(卡牌属性!$DW296-2)*20+卡牌属性!$DX296)</f>
        <v>175</v>
      </c>
      <c r="FN296" s="14">
        <f>INDEX(属性投放!$BR$6:$BR$85,(卡牌属性!$DW296-2)*20+卡牌属性!$DX296)</f>
        <v>175</v>
      </c>
      <c r="FO296" s="14">
        <f>INDEX(属性投放!$BR$6:$BR$85,(卡牌属性!$DW296-2)*20+卡牌属性!$DX296)</f>
        <v>175</v>
      </c>
      <c r="FP296" s="14">
        <f>INDEX(属性投放!$BR$6:$BR$85,(卡牌属性!$DW296-2)*20+卡牌属性!$DX296)</f>
        <v>175</v>
      </c>
      <c r="FQ296" s="14">
        <f>INDEX(属性投放!$BR$6:$BR$85,(卡牌属性!$DW296-2)*20+卡牌属性!$DX296)</f>
        <v>175</v>
      </c>
      <c r="FR296" s="14">
        <f>INDEX(属性投放!$BS$6:$BS$85,(卡牌属性!$DW296-2)*20+卡牌属性!$DX296)</f>
        <v>3150</v>
      </c>
      <c r="FS296" s="14">
        <f>INDEX(属性投放!$BS$6:$BS$85,(卡牌属性!$DW296-2)*20+卡牌属性!$DX296)</f>
        <v>3150</v>
      </c>
      <c r="FT296" s="14">
        <f>INDEX(属性投放!$BS$6:$BS$85,(卡牌属性!$DW296-2)*20+卡牌属性!$DX296)</f>
        <v>3150</v>
      </c>
      <c r="FU296" s="14">
        <f>INDEX(属性投放!$BS$6:$BS$85,(卡牌属性!$DW296-2)*20+卡牌属性!$DX296)</f>
        <v>3150</v>
      </c>
      <c r="FV296" s="14">
        <f>INDEX(属性投放!$BS$6:$BS$85,(卡牌属性!$DW296-2)*20+卡牌属性!$DX296)</f>
        <v>3150</v>
      </c>
    </row>
    <row r="297" spans="31:178" ht="16.5" x14ac:dyDescent="0.2">
      <c r="AE297" s="13">
        <v>293</v>
      </c>
      <c r="AF297" s="13">
        <f t="shared" si="560"/>
        <v>15</v>
      </c>
      <c r="AG297" s="13">
        <f t="shared" si="547"/>
        <v>3</v>
      </c>
      <c r="AH297" s="13"/>
      <c r="AI297" s="13"/>
      <c r="AJ297" s="14">
        <f t="shared" si="548"/>
        <v>1101015</v>
      </c>
      <c r="AK297" s="14" t="str">
        <f t="shared" si="549"/>
        <v>阎巧巧13突</v>
      </c>
      <c r="AL297" s="25" t="s">
        <v>142</v>
      </c>
      <c r="AM297" s="14">
        <v>1</v>
      </c>
      <c r="AN297" s="14">
        <f t="shared" si="550"/>
        <v>13</v>
      </c>
      <c r="AO297" s="14">
        <f>INDEX(属性投放!$DF$6:$DF$85,(卡牌属性!AG297-2)*20+卡牌属性!AN297)</f>
        <v>5664</v>
      </c>
      <c r="AP297" s="14">
        <f t="shared" si="591"/>
        <v>5664</v>
      </c>
      <c r="AQ297" s="14">
        <f t="shared" si="591"/>
        <v>5664</v>
      </c>
      <c r="AR297" s="14">
        <f t="shared" si="591"/>
        <v>5664</v>
      </c>
      <c r="AS297" s="14">
        <f t="shared" si="591"/>
        <v>5664</v>
      </c>
      <c r="AT297" s="14">
        <f>INDEX(属性投放!$DG$6:$DG$85,(卡牌属性!AG297-2)*20+卡牌属性!AN297)</f>
        <v>2770</v>
      </c>
      <c r="AU297" s="14">
        <f t="shared" si="592"/>
        <v>2770</v>
      </c>
      <c r="AV297" s="14">
        <f t="shared" si="592"/>
        <v>2770</v>
      </c>
      <c r="AW297" s="14">
        <f t="shared" si="592"/>
        <v>2770</v>
      </c>
      <c r="AX297" s="14">
        <f t="shared" si="592"/>
        <v>2770</v>
      </c>
      <c r="AY297" s="14">
        <f>INDEX(属性投放!$DH$6:$DH$85,(卡牌属性!AG297-2)*20+卡牌属性!AN297)</f>
        <v>45768</v>
      </c>
      <c r="AZ297" s="14">
        <f t="shared" si="593"/>
        <v>45768</v>
      </c>
      <c r="BA297" s="14">
        <f t="shared" si="593"/>
        <v>45768</v>
      </c>
      <c r="BB297" s="14">
        <f t="shared" si="593"/>
        <v>45768</v>
      </c>
      <c r="BC297" s="14">
        <f t="shared" si="593"/>
        <v>45768</v>
      </c>
      <c r="BD297" s="14">
        <f>INDEX(属性投放!$DL$6:$DL$85,(卡牌属性!AG297-2)*20+卡牌属性!AN297)</f>
        <v>176</v>
      </c>
      <c r="BE297" s="14">
        <f t="shared" si="594"/>
        <v>176</v>
      </c>
      <c r="BF297" s="14">
        <f t="shared" si="594"/>
        <v>176</v>
      </c>
      <c r="BG297" s="14">
        <f t="shared" si="594"/>
        <v>176</v>
      </c>
      <c r="BH297" s="14">
        <f t="shared" si="594"/>
        <v>176</v>
      </c>
      <c r="BI297" s="14">
        <f>INDEX(属性投放!$DM$6:$DM$85,(卡牌属性!AG297-2)*20+卡牌属性!AN297)</f>
        <v>88</v>
      </c>
      <c r="BJ297" s="14">
        <f t="shared" si="595"/>
        <v>88</v>
      </c>
      <c r="BK297" s="14">
        <f t="shared" si="595"/>
        <v>88</v>
      </c>
      <c r="BL297" s="14">
        <f t="shared" si="595"/>
        <v>88</v>
      </c>
      <c r="BM297" s="14">
        <f t="shared" si="595"/>
        <v>88</v>
      </c>
      <c r="BN297" s="14">
        <f>INDEX(属性投放!$DN$6:$DN$85,(卡牌属性!AG297-2)*20+卡牌属性!AN297)</f>
        <v>1759</v>
      </c>
      <c r="BO297" s="14">
        <f t="shared" si="596"/>
        <v>1759</v>
      </c>
      <c r="BP297" s="14">
        <f t="shared" si="596"/>
        <v>1759</v>
      </c>
      <c r="BQ297" s="14">
        <f t="shared" si="596"/>
        <v>1759</v>
      </c>
      <c r="BR297" s="14">
        <f t="shared" si="596"/>
        <v>1759</v>
      </c>
      <c r="BW297" s="13">
        <v>293</v>
      </c>
      <c r="BX297" s="13">
        <f t="shared" si="551"/>
        <v>15</v>
      </c>
      <c r="BY297" s="14">
        <f t="shared" si="552"/>
        <v>2</v>
      </c>
      <c r="BZ297" s="14">
        <f t="shared" si="561"/>
        <v>1102015</v>
      </c>
      <c r="CA297" s="14" t="str">
        <f t="shared" si="562"/>
        <v>于禁13突</v>
      </c>
      <c r="CB297" s="25" t="s">
        <v>142</v>
      </c>
      <c r="CC297" s="14">
        <v>2</v>
      </c>
      <c r="CD297" s="14">
        <f t="shared" si="553"/>
        <v>13</v>
      </c>
      <c r="CE297" s="14" t="s">
        <v>21</v>
      </c>
      <c r="CF297" s="14">
        <f>INDEX(属性投放!$AZ$6:$AZ$85,(BY297-2)*20+CD297)</f>
        <v>4270</v>
      </c>
      <c r="CG297" s="14" t="s">
        <v>22</v>
      </c>
      <c r="CH297" s="14">
        <f>INDEX(属性投放!$BA$6:$BA$85,(BY297-2)*20+CD297)</f>
        <v>2091</v>
      </c>
      <c r="CI297" s="14" t="s">
        <v>510</v>
      </c>
      <c r="CJ297" s="14">
        <f>INDEX(属性投放!$BB$6:$BB$85,(BY297-2)*20+CD297)</f>
        <v>34508</v>
      </c>
      <c r="CK297" s="14" t="s">
        <v>21</v>
      </c>
      <c r="CL297" s="14">
        <f>INDEX(属性投放!$BC$6:$BC$85,(BY297-2)*20+CD297)</f>
        <v>15</v>
      </c>
      <c r="CM297" s="14" t="s">
        <v>22</v>
      </c>
      <c r="CN297" s="14">
        <f>INDEX(属性投放!$BD$6:$BD$85,(BY297-2)*20+CD297)</f>
        <v>8</v>
      </c>
      <c r="CO297" s="14" t="s">
        <v>510</v>
      </c>
      <c r="CP297" s="14">
        <f>INDEX(属性投放!$BE$6:$BE$85,(BY297-2)*20+CD297)</f>
        <v>150</v>
      </c>
      <c r="CS297" s="13">
        <v>293</v>
      </c>
      <c r="CT297" s="13">
        <f t="shared" si="563"/>
        <v>6</v>
      </c>
      <c r="CU297" s="13">
        <f t="shared" si="564"/>
        <v>33</v>
      </c>
      <c r="CV297" s="14">
        <f t="shared" si="565"/>
        <v>5</v>
      </c>
      <c r="CW297" s="14">
        <f t="shared" si="566"/>
        <v>1102006</v>
      </c>
      <c r="CX297" s="14" t="str">
        <f>INDEX($O$6:$O$50,CT297)&amp;"-"&amp;INDEX(属性投放!$AB$7:$AB$50,CZ297)&amp;"-魂火-"&amp;DB297</f>
        <v>项羽-焦热+1-魂火-3</v>
      </c>
      <c r="CY297" s="25" t="s">
        <v>142</v>
      </c>
      <c r="CZ297" s="14">
        <f>INDEX(属性投放!$AM$7:$AM$58,CU297)</f>
        <v>14</v>
      </c>
      <c r="DA297" s="14" t="s">
        <v>537</v>
      </c>
      <c r="DB297" s="14">
        <f>INDEX(属性投放!$AN$7:$AN$58,CU297)</f>
        <v>3</v>
      </c>
      <c r="DC297" s="14">
        <f t="shared" si="554"/>
        <v>33</v>
      </c>
      <c r="DD297" s="14">
        <f>INDEX(属性投放!$AO$7:$AO$58,DC297)</f>
        <v>100</v>
      </c>
      <c r="DE297" s="14" t="s">
        <v>538</v>
      </c>
      <c r="DF297" s="14">
        <f>INDEX(属性投放!$BK$6:$BK$85,(CV297-2)*20+CZ297)</f>
        <v>365</v>
      </c>
      <c r="DG297" s="14">
        <f>SUMIFS(DF$5:DF297,$CT$5:$CT297,"="&amp;$CT297)</f>
        <v>5339</v>
      </c>
      <c r="DH297" s="14" t="s">
        <v>539</v>
      </c>
      <c r="DI297" s="14">
        <f>INDEX(属性投放!$BL$6:$BL$85,(CV297-2)*20+CZ297)</f>
        <v>183</v>
      </c>
      <c r="DJ297" s="14">
        <f>SUMIFS(DI$5:DI297,$CT$5:$CT297,"="&amp;$CT297)</f>
        <v>2675</v>
      </c>
      <c r="DK297" s="14" t="s">
        <v>540</v>
      </c>
      <c r="DL297" s="14">
        <f>INDEX(属性投放!$BM$6:$BM$85,(CV297-2)*20+CZ297)</f>
        <v>3650</v>
      </c>
      <c r="DM297" s="14">
        <f>SUMIFS(DL$5:DL297,$CT$5:$CT297,"="&amp;$CT297)</f>
        <v>47802</v>
      </c>
      <c r="DR297" s="14">
        <f t="shared" si="555"/>
        <v>1102015</v>
      </c>
      <c r="DS297" s="14" t="str">
        <f t="shared" si="556"/>
        <v>于禁13突</v>
      </c>
      <c r="DT297" s="14">
        <f t="shared" si="567"/>
        <v>3</v>
      </c>
      <c r="DU297" s="14">
        <f t="shared" si="568"/>
        <v>3</v>
      </c>
      <c r="DV297" s="14">
        <f t="shared" si="569"/>
        <v>3</v>
      </c>
      <c r="DW297" s="14">
        <f t="shared" si="557"/>
        <v>2</v>
      </c>
      <c r="DX297" s="14">
        <f t="shared" si="558"/>
        <v>13</v>
      </c>
      <c r="DY297" s="14">
        <f t="shared" si="559"/>
        <v>13</v>
      </c>
      <c r="DZ297" s="14">
        <f>INDEX(属性投放!$AX$6:$AX$85,(卡牌属性!DW297-2)*20+卡牌属性!DX297)</f>
        <v>8</v>
      </c>
      <c r="EA297" s="14">
        <f>INDEX(属性投放!BQ$6:BQ$85,卡牌属性!$DY297)</f>
        <v>350</v>
      </c>
      <c r="EB297" s="14">
        <f>INDEX(属性投放!BR$6:BR$85,卡牌属性!$DY297)</f>
        <v>175</v>
      </c>
      <c r="EC297" s="14">
        <f>INDEX(属性投放!BS$6:BS$85,卡牌属性!$DY297)</f>
        <v>3500</v>
      </c>
      <c r="ED297" s="14">
        <f t="shared" si="597"/>
        <v>2265</v>
      </c>
      <c r="EE297" s="14">
        <f t="shared" si="598"/>
        <v>2480</v>
      </c>
      <c r="EF297" s="14">
        <f t="shared" si="599"/>
        <v>2761</v>
      </c>
      <c r="EG297" s="14">
        <f t="shared" si="600"/>
        <v>2761</v>
      </c>
      <c r="EH297" s="14">
        <f t="shared" si="601"/>
        <v>2896</v>
      </c>
      <c r="EI297" s="14">
        <f t="shared" si="602"/>
        <v>1095</v>
      </c>
      <c r="EJ297" s="14">
        <f t="shared" si="603"/>
        <v>1209</v>
      </c>
      <c r="EK297" s="14">
        <f t="shared" si="604"/>
        <v>1209</v>
      </c>
      <c r="EL297" s="14">
        <f t="shared" si="605"/>
        <v>1345</v>
      </c>
      <c r="EM297" s="14">
        <f t="shared" si="606"/>
        <v>1423</v>
      </c>
      <c r="EN297" s="14">
        <f t="shared" si="607"/>
        <v>17688</v>
      </c>
      <c r="EO297" s="14">
        <f t="shared" si="608"/>
        <v>19242</v>
      </c>
      <c r="EP297" s="14">
        <f t="shared" si="609"/>
        <v>19242</v>
      </c>
      <c r="EQ297" s="14">
        <f t="shared" si="610"/>
        <v>21360</v>
      </c>
      <c r="ER297" s="14">
        <f t="shared" si="611"/>
        <v>22294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INDEX(属性投放!$BQ$6:$BQ$85,(卡牌属性!$DW297-2)*20+卡牌属性!$DX297)</f>
        <v>350</v>
      </c>
      <c r="FI297" s="14">
        <f>INDEX(属性投放!$BQ$6:$BQ$85,(卡牌属性!$DW297-2)*20+卡牌属性!$DX297)</f>
        <v>350</v>
      </c>
      <c r="FJ297" s="14">
        <f>INDEX(属性投放!$BQ$6:$BQ$85,(卡牌属性!$DW297-2)*20+卡牌属性!$DX297)</f>
        <v>350</v>
      </c>
      <c r="FK297" s="14">
        <f>INDEX(属性投放!$BQ$6:$BQ$85,(卡牌属性!$DW297-2)*20+卡牌属性!$DX297)</f>
        <v>350</v>
      </c>
      <c r="FL297" s="14">
        <f>INDEX(属性投放!$BQ$6:$BQ$85,(卡牌属性!$DW297-2)*20+卡牌属性!$DX297)</f>
        <v>350</v>
      </c>
      <c r="FM297" s="14">
        <f>INDEX(属性投放!$BR$6:$BR$85,(卡牌属性!$DW297-2)*20+卡牌属性!$DX297)</f>
        <v>175</v>
      </c>
      <c r="FN297" s="14">
        <f>INDEX(属性投放!$BR$6:$BR$85,(卡牌属性!$DW297-2)*20+卡牌属性!$DX297)</f>
        <v>175</v>
      </c>
      <c r="FO297" s="14">
        <f>INDEX(属性投放!$BR$6:$BR$85,(卡牌属性!$DW297-2)*20+卡牌属性!$DX297)</f>
        <v>175</v>
      </c>
      <c r="FP297" s="14">
        <f>INDEX(属性投放!$BR$6:$BR$85,(卡牌属性!$DW297-2)*20+卡牌属性!$DX297)</f>
        <v>175</v>
      </c>
      <c r="FQ297" s="14">
        <f>INDEX(属性投放!$BR$6:$BR$85,(卡牌属性!$DW297-2)*20+卡牌属性!$DX297)</f>
        <v>175</v>
      </c>
      <c r="FR297" s="14">
        <f>INDEX(属性投放!$BS$6:$BS$85,(卡牌属性!$DW297-2)*20+卡牌属性!$DX297)</f>
        <v>3500</v>
      </c>
      <c r="FS297" s="14">
        <f>INDEX(属性投放!$BS$6:$BS$85,(卡牌属性!$DW297-2)*20+卡牌属性!$DX297)</f>
        <v>3500</v>
      </c>
      <c r="FT297" s="14">
        <f>INDEX(属性投放!$BS$6:$BS$85,(卡牌属性!$DW297-2)*20+卡牌属性!$DX297)</f>
        <v>3500</v>
      </c>
      <c r="FU297" s="14">
        <f>INDEX(属性投放!$BS$6:$BS$85,(卡牌属性!$DW297-2)*20+卡牌属性!$DX297)</f>
        <v>3500</v>
      </c>
      <c r="FV297" s="14">
        <f>INDEX(属性投放!$BS$6:$BS$85,(卡牌属性!$DW297-2)*20+卡牌属性!$DX297)</f>
        <v>3500</v>
      </c>
    </row>
    <row r="298" spans="31:178" ht="16.5" x14ac:dyDescent="0.2">
      <c r="AE298" s="13">
        <v>294</v>
      </c>
      <c r="AF298" s="13">
        <f t="shared" si="560"/>
        <v>15</v>
      </c>
      <c r="AG298" s="13">
        <f t="shared" si="547"/>
        <v>3</v>
      </c>
      <c r="AH298" s="13"/>
      <c r="AI298" s="13"/>
      <c r="AJ298" s="14">
        <f t="shared" si="548"/>
        <v>1101015</v>
      </c>
      <c r="AK298" s="14" t="str">
        <f t="shared" si="549"/>
        <v>阎巧巧14突</v>
      </c>
      <c r="AL298" s="25" t="s">
        <v>142</v>
      </c>
      <c r="AM298" s="14">
        <v>1</v>
      </c>
      <c r="AN298" s="14">
        <f t="shared" si="550"/>
        <v>14</v>
      </c>
      <c r="AO298" s="14">
        <f>INDEX(属性投放!$DF$6:$DF$85,(卡牌属性!AG298-2)*20+卡牌属性!AN298)</f>
        <v>6167</v>
      </c>
      <c r="AP298" s="14">
        <f t="shared" si="591"/>
        <v>6167</v>
      </c>
      <c r="AQ298" s="14">
        <f t="shared" si="591"/>
        <v>6167</v>
      </c>
      <c r="AR298" s="14">
        <f t="shared" si="591"/>
        <v>6167</v>
      </c>
      <c r="AS298" s="14">
        <f t="shared" si="591"/>
        <v>6167</v>
      </c>
      <c r="AT298" s="14">
        <f>INDEX(属性投放!$DG$6:$DG$85,(卡牌属性!AG298-2)*20+卡牌属性!AN298)</f>
        <v>3022</v>
      </c>
      <c r="AU298" s="14">
        <f t="shared" si="592"/>
        <v>3022</v>
      </c>
      <c r="AV298" s="14">
        <f t="shared" si="592"/>
        <v>3022</v>
      </c>
      <c r="AW298" s="14">
        <f t="shared" si="592"/>
        <v>3022</v>
      </c>
      <c r="AX298" s="14">
        <f t="shared" si="592"/>
        <v>3022</v>
      </c>
      <c r="AY298" s="14">
        <f>INDEX(属性投放!$DH$6:$DH$85,(卡牌属性!AG298-2)*20+卡牌属性!AN298)</f>
        <v>50793</v>
      </c>
      <c r="AZ298" s="14">
        <f t="shared" si="593"/>
        <v>50793</v>
      </c>
      <c r="BA298" s="14">
        <f t="shared" si="593"/>
        <v>50793</v>
      </c>
      <c r="BB298" s="14">
        <f t="shared" si="593"/>
        <v>50793</v>
      </c>
      <c r="BC298" s="14">
        <f t="shared" si="593"/>
        <v>50793</v>
      </c>
      <c r="BD298" s="14">
        <f>INDEX(属性投放!$DL$6:$DL$85,(卡牌属性!AG298-2)*20+卡牌属性!AN298)</f>
        <v>176</v>
      </c>
      <c r="BE298" s="14">
        <f t="shared" si="594"/>
        <v>176</v>
      </c>
      <c r="BF298" s="14">
        <f t="shared" si="594"/>
        <v>176</v>
      </c>
      <c r="BG298" s="14">
        <f t="shared" si="594"/>
        <v>176</v>
      </c>
      <c r="BH298" s="14">
        <f t="shared" si="594"/>
        <v>176</v>
      </c>
      <c r="BI298" s="14">
        <f>INDEX(属性投放!$DM$6:$DM$85,(卡牌属性!AG298-2)*20+卡牌属性!AN298)</f>
        <v>88</v>
      </c>
      <c r="BJ298" s="14">
        <f t="shared" si="595"/>
        <v>88</v>
      </c>
      <c r="BK298" s="14">
        <f t="shared" si="595"/>
        <v>88</v>
      </c>
      <c r="BL298" s="14">
        <f t="shared" si="595"/>
        <v>88</v>
      </c>
      <c r="BM298" s="14">
        <f t="shared" si="595"/>
        <v>88</v>
      </c>
      <c r="BN298" s="14">
        <f>INDEX(属性投放!$DN$6:$DN$85,(卡牌属性!AG298-2)*20+卡牌属性!AN298)</f>
        <v>1759</v>
      </c>
      <c r="BO298" s="14">
        <f t="shared" si="596"/>
        <v>1759</v>
      </c>
      <c r="BP298" s="14">
        <f t="shared" si="596"/>
        <v>1759</v>
      </c>
      <c r="BQ298" s="14">
        <f t="shared" si="596"/>
        <v>1759</v>
      </c>
      <c r="BR298" s="14">
        <f t="shared" si="596"/>
        <v>1759</v>
      </c>
      <c r="BW298" s="13">
        <v>294</v>
      </c>
      <c r="BX298" s="13">
        <f t="shared" si="551"/>
        <v>15</v>
      </c>
      <c r="BY298" s="14">
        <f t="shared" si="552"/>
        <v>2</v>
      </c>
      <c r="BZ298" s="14">
        <f t="shared" si="561"/>
        <v>1102015</v>
      </c>
      <c r="CA298" s="14" t="str">
        <f t="shared" si="562"/>
        <v>于禁14突</v>
      </c>
      <c r="CB298" s="25" t="s">
        <v>142</v>
      </c>
      <c r="CC298" s="14">
        <v>2</v>
      </c>
      <c r="CD298" s="14">
        <f t="shared" si="553"/>
        <v>14</v>
      </c>
      <c r="CE298" s="14" t="s">
        <v>21</v>
      </c>
      <c r="CF298" s="14">
        <f>INDEX(属性投放!$AZ$6:$AZ$85,(BY298-2)*20+CD298)</f>
        <v>5400</v>
      </c>
      <c r="CG298" s="14" t="s">
        <v>22</v>
      </c>
      <c r="CH298" s="14">
        <f>INDEX(属性投放!$BA$6:$BA$85,(BY298-2)*20+CD298)</f>
        <v>2660</v>
      </c>
      <c r="CI298" s="14" t="s">
        <v>510</v>
      </c>
      <c r="CJ298" s="14">
        <f>INDEX(属性投放!$BB$6:$BB$85,(BY298-2)*20+CD298)</f>
        <v>45808</v>
      </c>
      <c r="CK298" s="14" t="s">
        <v>21</v>
      </c>
      <c r="CL298" s="14">
        <f>INDEX(属性投放!$BC$6:$BC$85,(BY298-2)*20+CD298)</f>
        <v>15</v>
      </c>
      <c r="CM298" s="14" t="s">
        <v>22</v>
      </c>
      <c r="CN298" s="14">
        <f>INDEX(属性投放!$BD$6:$BD$85,(BY298-2)*20+CD298)</f>
        <v>8</v>
      </c>
      <c r="CO298" s="14" t="s">
        <v>510</v>
      </c>
      <c r="CP298" s="14">
        <f>INDEX(属性投放!$BE$6:$BE$85,(BY298-2)*20+CD298)</f>
        <v>150</v>
      </c>
      <c r="CS298" s="13">
        <v>294</v>
      </c>
      <c r="CT298" s="13">
        <f t="shared" si="563"/>
        <v>6</v>
      </c>
      <c r="CU298" s="13">
        <f t="shared" si="564"/>
        <v>34</v>
      </c>
      <c r="CV298" s="14">
        <f t="shared" si="565"/>
        <v>5</v>
      </c>
      <c r="CW298" s="14">
        <f t="shared" si="566"/>
        <v>1102006</v>
      </c>
      <c r="CX298" s="14" t="str">
        <f>INDEX($O$6:$O$50,CT298)&amp;"-"&amp;INDEX(属性投放!$AB$7:$AB$50,CZ298)&amp;"-魂火-"&amp;DB298</f>
        <v>项羽-焦热+2-魂火-1</v>
      </c>
      <c r="CY298" s="25" t="s">
        <v>142</v>
      </c>
      <c r="CZ298" s="14">
        <f>INDEX(属性投放!$AM$7:$AM$58,CU298)</f>
        <v>15</v>
      </c>
      <c r="DA298" s="14" t="s">
        <v>537</v>
      </c>
      <c r="DB298" s="14">
        <f>INDEX(属性投放!$AN$7:$AN$58,CU298)</f>
        <v>1</v>
      </c>
      <c r="DC298" s="14">
        <f t="shared" si="554"/>
        <v>34</v>
      </c>
      <c r="DD298" s="14">
        <f>INDEX(属性投放!$AO$7:$AO$58,DC298)</f>
        <v>103</v>
      </c>
      <c r="DE298" s="14" t="s">
        <v>538</v>
      </c>
      <c r="DF298" s="14">
        <f>INDEX(属性投放!$BK$6:$BK$85,(CV298-2)*20+CZ298)</f>
        <v>500</v>
      </c>
      <c r="DG298" s="14">
        <f>SUMIFS(DF$5:DF298,$CT$5:$CT298,"="&amp;$CT298)</f>
        <v>5839</v>
      </c>
      <c r="DH298" s="14" t="s">
        <v>539</v>
      </c>
      <c r="DI298" s="14">
        <f>INDEX(属性投放!$BL$6:$BL$85,(CV298-2)*20+CZ298)</f>
        <v>250</v>
      </c>
      <c r="DJ298" s="14">
        <f>SUMIFS(DI$5:DI298,$CT$5:$CT298,"="&amp;$CT298)</f>
        <v>2925</v>
      </c>
      <c r="DK298" s="14" t="s">
        <v>540</v>
      </c>
      <c r="DL298" s="14">
        <f>INDEX(属性投放!$BM$6:$BM$85,(CV298-2)*20+CZ298)</f>
        <v>5000</v>
      </c>
      <c r="DM298" s="14">
        <f>SUMIFS(DL$5:DL298,$CT$5:$CT298,"="&amp;$CT298)</f>
        <v>52802</v>
      </c>
      <c r="DR298" s="14">
        <f t="shared" si="555"/>
        <v>1102015</v>
      </c>
      <c r="DS298" s="14" t="str">
        <f t="shared" si="556"/>
        <v>于禁14突</v>
      </c>
      <c r="DT298" s="14">
        <f t="shared" si="567"/>
        <v>3</v>
      </c>
      <c r="DU298" s="14">
        <f t="shared" si="568"/>
        <v>3</v>
      </c>
      <c r="DV298" s="14">
        <f t="shared" si="569"/>
        <v>3</v>
      </c>
      <c r="DW298" s="14">
        <f t="shared" si="557"/>
        <v>2</v>
      </c>
      <c r="DX298" s="14">
        <f t="shared" si="558"/>
        <v>14</v>
      </c>
      <c r="DY298" s="14">
        <f t="shared" si="559"/>
        <v>14</v>
      </c>
      <c r="DZ298" s="14">
        <f>INDEX(属性投放!$AX$6:$AX$85,(卡牌属性!DW298-2)*20+卡牌属性!DX298)</f>
        <v>7</v>
      </c>
      <c r="EA298" s="14">
        <f>INDEX(属性投放!BQ$6:BQ$85,卡牌属性!$DY298)</f>
        <v>400</v>
      </c>
      <c r="EB298" s="14">
        <f>INDEX(属性投放!BR$6:BR$85,卡牌属性!$DY298)</f>
        <v>200</v>
      </c>
      <c r="EC298" s="14">
        <f>INDEX(属性投放!BS$6:BS$85,卡牌属性!$DY298)</f>
        <v>4000</v>
      </c>
      <c r="ED298" s="14">
        <f t="shared" si="597"/>
        <v>2735</v>
      </c>
      <c r="EE298" s="14">
        <f t="shared" si="598"/>
        <v>2990</v>
      </c>
      <c r="EF298" s="14">
        <f t="shared" si="599"/>
        <v>3311</v>
      </c>
      <c r="EG298" s="14">
        <f t="shared" si="600"/>
        <v>3311</v>
      </c>
      <c r="EH298" s="14">
        <f t="shared" si="601"/>
        <v>3454</v>
      </c>
      <c r="EI298" s="14">
        <f t="shared" si="602"/>
        <v>1334</v>
      </c>
      <c r="EJ298" s="14">
        <f t="shared" si="603"/>
        <v>1464</v>
      </c>
      <c r="EK298" s="14">
        <f t="shared" si="604"/>
        <v>1464</v>
      </c>
      <c r="EL298" s="14">
        <f t="shared" si="605"/>
        <v>1624</v>
      </c>
      <c r="EM298" s="14">
        <f t="shared" si="606"/>
        <v>1702</v>
      </c>
      <c r="EN298" s="14">
        <f t="shared" si="607"/>
        <v>22388</v>
      </c>
      <c r="EO298" s="14">
        <f t="shared" si="608"/>
        <v>24342</v>
      </c>
      <c r="EP298" s="14">
        <f t="shared" si="609"/>
        <v>24342</v>
      </c>
      <c r="EQ298" s="14">
        <f t="shared" si="610"/>
        <v>26860</v>
      </c>
      <c r="ER298" s="14">
        <f t="shared" si="611"/>
        <v>27874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INDEX(属性投放!$BQ$6:$BQ$85,(卡牌属性!$DW298-2)*20+卡牌属性!$DX298)</f>
        <v>400</v>
      </c>
      <c r="FI298" s="14">
        <f>INDEX(属性投放!$BQ$6:$BQ$85,(卡牌属性!$DW298-2)*20+卡牌属性!$DX298)</f>
        <v>400</v>
      </c>
      <c r="FJ298" s="14">
        <f>INDEX(属性投放!$BQ$6:$BQ$85,(卡牌属性!$DW298-2)*20+卡牌属性!$DX298)</f>
        <v>400</v>
      </c>
      <c r="FK298" s="14">
        <f>INDEX(属性投放!$BQ$6:$BQ$85,(卡牌属性!$DW298-2)*20+卡牌属性!$DX298)</f>
        <v>400</v>
      </c>
      <c r="FL298" s="14">
        <f>INDEX(属性投放!$BQ$6:$BQ$85,(卡牌属性!$DW298-2)*20+卡牌属性!$DX298)</f>
        <v>400</v>
      </c>
      <c r="FM298" s="14">
        <f>INDEX(属性投放!$BR$6:$BR$85,(卡牌属性!$DW298-2)*20+卡牌属性!$DX298)</f>
        <v>200</v>
      </c>
      <c r="FN298" s="14">
        <f>INDEX(属性投放!$BR$6:$BR$85,(卡牌属性!$DW298-2)*20+卡牌属性!$DX298)</f>
        <v>200</v>
      </c>
      <c r="FO298" s="14">
        <f>INDEX(属性投放!$BR$6:$BR$85,(卡牌属性!$DW298-2)*20+卡牌属性!$DX298)</f>
        <v>200</v>
      </c>
      <c r="FP298" s="14">
        <f>INDEX(属性投放!$BR$6:$BR$85,(卡牌属性!$DW298-2)*20+卡牌属性!$DX298)</f>
        <v>200</v>
      </c>
      <c r="FQ298" s="14">
        <f>INDEX(属性投放!$BR$6:$BR$85,(卡牌属性!$DW298-2)*20+卡牌属性!$DX298)</f>
        <v>200</v>
      </c>
      <c r="FR298" s="14">
        <f>INDEX(属性投放!$BS$6:$BS$85,(卡牌属性!$DW298-2)*20+卡牌属性!$DX298)</f>
        <v>4000</v>
      </c>
      <c r="FS298" s="14">
        <f>INDEX(属性投放!$BS$6:$BS$85,(卡牌属性!$DW298-2)*20+卡牌属性!$DX298)</f>
        <v>4000</v>
      </c>
      <c r="FT298" s="14">
        <f>INDEX(属性投放!$BS$6:$BS$85,(卡牌属性!$DW298-2)*20+卡牌属性!$DX298)</f>
        <v>4000</v>
      </c>
      <c r="FU298" s="14">
        <f>INDEX(属性投放!$BS$6:$BS$85,(卡牌属性!$DW298-2)*20+卡牌属性!$DX298)</f>
        <v>4000</v>
      </c>
      <c r="FV298" s="14">
        <f>INDEX(属性投放!$BS$6:$BS$85,(卡牌属性!$DW298-2)*20+卡牌属性!$DX298)</f>
        <v>4000</v>
      </c>
    </row>
    <row r="299" spans="31:178" ht="16.5" x14ac:dyDescent="0.2">
      <c r="AE299" s="13">
        <v>295</v>
      </c>
      <c r="AF299" s="13">
        <f t="shared" si="560"/>
        <v>15</v>
      </c>
      <c r="AG299" s="13">
        <f t="shared" si="547"/>
        <v>3</v>
      </c>
      <c r="AH299" s="13"/>
      <c r="AI299" s="13"/>
      <c r="AJ299" s="14">
        <f t="shared" si="548"/>
        <v>1101015</v>
      </c>
      <c r="AK299" s="14" t="str">
        <f t="shared" si="549"/>
        <v>阎巧巧15突</v>
      </c>
      <c r="AL299" s="25" t="s">
        <v>142</v>
      </c>
      <c r="AM299" s="14">
        <v>1</v>
      </c>
      <c r="AN299" s="14">
        <f t="shared" si="550"/>
        <v>15</v>
      </c>
      <c r="AO299" s="14">
        <f>INDEX(属性投放!$DF$6:$DF$85,(卡牌属性!AG299-2)*20+卡牌属性!AN299)</f>
        <v>6670</v>
      </c>
      <c r="AP299" s="14">
        <f t="shared" si="591"/>
        <v>6670</v>
      </c>
      <c r="AQ299" s="14">
        <f t="shared" si="591"/>
        <v>6670</v>
      </c>
      <c r="AR299" s="14">
        <f t="shared" si="591"/>
        <v>6670</v>
      </c>
      <c r="AS299" s="14">
        <f t="shared" si="591"/>
        <v>6670</v>
      </c>
      <c r="AT299" s="14">
        <f>INDEX(属性投放!$DG$6:$DG$85,(卡牌属性!AG299-2)*20+卡牌属性!AN299)</f>
        <v>3274</v>
      </c>
      <c r="AU299" s="14">
        <f t="shared" si="592"/>
        <v>3274</v>
      </c>
      <c r="AV299" s="14">
        <f t="shared" si="592"/>
        <v>3274</v>
      </c>
      <c r="AW299" s="14">
        <f t="shared" si="592"/>
        <v>3274</v>
      </c>
      <c r="AX299" s="14">
        <f t="shared" si="592"/>
        <v>3274</v>
      </c>
      <c r="AY299" s="14">
        <f>INDEX(属性投放!$DH$6:$DH$85,(卡牌属性!AG299-2)*20+卡牌属性!AN299)</f>
        <v>55818</v>
      </c>
      <c r="AZ299" s="14">
        <f t="shared" si="593"/>
        <v>55818</v>
      </c>
      <c r="BA299" s="14">
        <f t="shared" si="593"/>
        <v>55818</v>
      </c>
      <c r="BB299" s="14">
        <f t="shared" si="593"/>
        <v>55818</v>
      </c>
      <c r="BC299" s="14">
        <f t="shared" si="593"/>
        <v>55818</v>
      </c>
      <c r="BD299" s="14">
        <f>INDEX(属性投放!$DL$6:$DL$85,(卡牌属性!AG299-2)*20+卡牌属性!AN299)</f>
        <v>176</v>
      </c>
      <c r="BE299" s="14">
        <f t="shared" si="594"/>
        <v>176</v>
      </c>
      <c r="BF299" s="14">
        <f t="shared" si="594"/>
        <v>176</v>
      </c>
      <c r="BG299" s="14">
        <f t="shared" si="594"/>
        <v>176</v>
      </c>
      <c r="BH299" s="14">
        <f t="shared" si="594"/>
        <v>176</v>
      </c>
      <c r="BI299" s="14">
        <f>INDEX(属性投放!$DM$6:$DM$85,(卡牌属性!AG299-2)*20+卡牌属性!AN299)</f>
        <v>88</v>
      </c>
      <c r="BJ299" s="14">
        <f t="shared" si="595"/>
        <v>88</v>
      </c>
      <c r="BK299" s="14">
        <f t="shared" si="595"/>
        <v>88</v>
      </c>
      <c r="BL299" s="14">
        <f t="shared" si="595"/>
        <v>88</v>
      </c>
      <c r="BM299" s="14">
        <f t="shared" si="595"/>
        <v>88</v>
      </c>
      <c r="BN299" s="14">
        <f>INDEX(属性投放!$DN$6:$DN$85,(卡牌属性!AG299-2)*20+卡牌属性!AN299)</f>
        <v>1759</v>
      </c>
      <c r="BO299" s="14">
        <f t="shared" si="596"/>
        <v>1759</v>
      </c>
      <c r="BP299" s="14">
        <f t="shared" si="596"/>
        <v>1759</v>
      </c>
      <c r="BQ299" s="14">
        <f t="shared" si="596"/>
        <v>1759</v>
      </c>
      <c r="BR299" s="14">
        <f t="shared" si="596"/>
        <v>1759</v>
      </c>
      <c r="BW299" s="13">
        <v>295</v>
      </c>
      <c r="BX299" s="13">
        <f t="shared" si="551"/>
        <v>15</v>
      </c>
      <c r="BY299" s="14">
        <f t="shared" si="552"/>
        <v>2</v>
      </c>
      <c r="BZ299" s="14">
        <f t="shared" si="561"/>
        <v>1102015</v>
      </c>
      <c r="CA299" s="14" t="str">
        <f t="shared" si="562"/>
        <v>于禁15突</v>
      </c>
      <c r="CB299" s="25" t="s">
        <v>142</v>
      </c>
      <c r="CC299" s="14">
        <v>2</v>
      </c>
      <c r="CD299" s="14">
        <f t="shared" si="553"/>
        <v>15</v>
      </c>
      <c r="CE299" s="14" t="s">
        <v>21</v>
      </c>
      <c r="CF299" s="14">
        <f>INDEX(属性投放!$AZ$6:$AZ$85,(BY299-2)*20+CD299)</f>
        <v>6715</v>
      </c>
      <c r="CG299" s="14" t="s">
        <v>22</v>
      </c>
      <c r="CH299" s="14">
        <f>INDEX(属性投放!$BA$6:$BA$85,(BY299-2)*20+CD299)</f>
        <v>3321</v>
      </c>
      <c r="CI299" s="14" t="s">
        <v>510</v>
      </c>
      <c r="CJ299" s="14">
        <f>INDEX(属性投放!$BB$6:$BB$85,(BY299-2)*20+CD299)</f>
        <v>58958</v>
      </c>
      <c r="CK299" s="14" t="s">
        <v>21</v>
      </c>
      <c r="CL299" s="14">
        <f>INDEX(属性投放!$BC$6:$BC$85,(BY299-2)*20+CD299)</f>
        <v>15</v>
      </c>
      <c r="CM299" s="14" t="s">
        <v>22</v>
      </c>
      <c r="CN299" s="14">
        <f>INDEX(属性投放!$BD$6:$BD$85,(BY299-2)*20+CD299)</f>
        <v>8</v>
      </c>
      <c r="CO299" s="14" t="s">
        <v>510</v>
      </c>
      <c r="CP299" s="14">
        <f>INDEX(属性投放!$BE$6:$BE$85,(BY299-2)*20+CD299)</f>
        <v>150</v>
      </c>
      <c r="CS299" s="13">
        <v>295</v>
      </c>
      <c r="CT299" s="13">
        <f t="shared" si="563"/>
        <v>6</v>
      </c>
      <c r="CU299" s="13">
        <f t="shared" si="564"/>
        <v>35</v>
      </c>
      <c r="CV299" s="14">
        <f t="shared" si="565"/>
        <v>5</v>
      </c>
      <c r="CW299" s="14">
        <f t="shared" si="566"/>
        <v>1102006</v>
      </c>
      <c r="CX299" s="14" t="str">
        <f>INDEX($O$6:$O$50,CT299)&amp;"-"&amp;INDEX(属性投放!$AB$7:$AB$50,CZ299)&amp;"-魂火-"&amp;DB299</f>
        <v>项羽-焦热+2-魂火-2</v>
      </c>
      <c r="CY299" s="25" t="s">
        <v>142</v>
      </c>
      <c r="CZ299" s="14">
        <f>INDEX(属性投放!$AM$7:$AM$58,CU299)</f>
        <v>15</v>
      </c>
      <c r="DA299" s="14" t="s">
        <v>537</v>
      </c>
      <c r="DB299" s="14">
        <f>INDEX(属性投放!$AN$7:$AN$58,CU299)</f>
        <v>2</v>
      </c>
      <c r="DC299" s="14">
        <f t="shared" si="554"/>
        <v>35</v>
      </c>
      <c r="DD299" s="14">
        <f>INDEX(属性投放!$AO$7:$AO$58,DC299)</f>
        <v>105</v>
      </c>
      <c r="DE299" s="14" t="s">
        <v>538</v>
      </c>
      <c r="DF299" s="14">
        <f>INDEX(属性投放!$BK$6:$BK$85,(CV299-2)*20+CZ299)</f>
        <v>500</v>
      </c>
      <c r="DG299" s="14">
        <f>SUMIFS(DF$5:DF299,$CT$5:$CT299,"="&amp;$CT299)</f>
        <v>6339</v>
      </c>
      <c r="DH299" s="14" t="s">
        <v>539</v>
      </c>
      <c r="DI299" s="14">
        <f>INDEX(属性投放!$BL$6:$BL$85,(CV299-2)*20+CZ299)</f>
        <v>250</v>
      </c>
      <c r="DJ299" s="14">
        <f>SUMIFS(DI$5:DI299,$CT$5:$CT299,"="&amp;$CT299)</f>
        <v>3175</v>
      </c>
      <c r="DK299" s="14" t="s">
        <v>540</v>
      </c>
      <c r="DL299" s="14">
        <f>INDEX(属性投放!$BM$6:$BM$85,(CV299-2)*20+CZ299)</f>
        <v>5000</v>
      </c>
      <c r="DM299" s="14">
        <f>SUMIFS(DL$5:DL299,$CT$5:$CT299,"="&amp;$CT299)</f>
        <v>57802</v>
      </c>
      <c r="DR299" s="14">
        <f t="shared" si="555"/>
        <v>1102015</v>
      </c>
      <c r="DS299" s="14" t="str">
        <f t="shared" si="556"/>
        <v>于禁15突</v>
      </c>
      <c r="DT299" s="14">
        <f t="shared" si="567"/>
        <v>3</v>
      </c>
      <c r="DU299" s="14">
        <f t="shared" si="568"/>
        <v>3</v>
      </c>
      <c r="DV299" s="14">
        <f t="shared" si="569"/>
        <v>3</v>
      </c>
      <c r="DW299" s="14">
        <f t="shared" si="557"/>
        <v>2</v>
      </c>
      <c r="DX299" s="14">
        <f t="shared" si="558"/>
        <v>15</v>
      </c>
      <c r="DY299" s="14">
        <f t="shared" si="559"/>
        <v>15</v>
      </c>
      <c r="DZ299" s="14">
        <f>INDEX(属性投放!$AX$6:$AX$85,(卡牌属性!DW299-2)*20+卡牌属性!DX299)</f>
        <v>8</v>
      </c>
      <c r="EA299" s="14">
        <f>INDEX(属性投放!BQ$6:BQ$85,卡牌属性!$DY299)</f>
        <v>700</v>
      </c>
      <c r="EB299" s="14">
        <f>INDEX(属性投放!BR$6:BR$85,卡牌属性!$DY299)</f>
        <v>350</v>
      </c>
      <c r="EC299" s="14">
        <f>INDEX(属性投放!BS$6:BS$85,卡牌属性!$DY299)</f>
        <v>7000</v>
      </c>
      <c r="ED299" s="14">
        <f t="shared" si="597"/>
        <v>3240</v>
      </c>
      <c r="EE299" s="14">
        <f t="shared" si="598"/>
        <v>3530</v>
      </c>
      <c r="EF299" s="14">
        <f t="shared" si="599"/>
        <v>3886</v>
      </c>
      <c r="EG299" s="14">
        <f t="shared" si="600"/>
        <v>3886</v>
      </c>
      <c r="EH299" s="14">
        <f t="shared" si="601"/>
        <v>4036</v>
      </c>
      <c r="EI299" s="14">
        <f t="shared" si="602"/>
        <v>1590</v>
      </c>
      <c r="EJ299" s="14">
        <f t="shared" si="603"/>
        <v>1734</v>
      </c>
      <c r="EK299" s="14">
        <f t="shared" si="604"/>
        <v>1734</v>
      </c>
      <c r="EL299" s="14">
        <f t="shared" si="605"/>
        <v>1915</v>
      </c>
      <c r="EM299" s="14">
        <f t="shared" si="606"/>
        <v>1993</v>
      </c>
      <c r="EN299" s="14">
        <f t="shared" si="607"/>
        <v>27438</v>
      </c>
      <c r="EO299" s="14">
        <f t="shared" si="608"/>
        <v>29742</v>
      </c>
      <c r="EP299" s="14">
        <f t="shared" si="609"/>
        <v>29742</v>
      </c>
      <c r="EQ299" s="14">
        <f t="shared" si="610"/>
        <v>32610</v>
      </c>
      <c r="ER299" s="14">
        <f t="shared" si="611"/>
        <v>33694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INDEX(属性投放!$BQ$6:$BQ$85,(卡牌属性!$DW299-2)*20+卡牌属性!$DX299)</f>
        <v>700</v>
      </c>
      <c r="FI299" s="14">
        <f>INDEX(属性投放!$BQ$6:$BQ$85,(卡牌属性!$DW299-2)*20+卡牌属性!$DX299)</f>
        <v>700</v>
      </c>
      <c r="FJ299" s="14">
        <f>INDEX(属性投放!$BQ$6:$BQ$85,(卡牌属性!$DW299-2)*20+卡牌属性!$DX299)</f>
        <v>700</v>
      </c>
      <c r="FK299" s="14">
        <f>INDEX(属性投放!$BQ$6:$BQ$85,(卡牌属性!$DW299-2)*20+卡牌属性!$DX299)</f>
        <v>700</v>
      </c>
      <c r="FL299" s="14">
        <f>INDEX(属性投放!$BQ$6:$BQ$85,(卡牌属性!$DW299-2)*20+卡牌属性!$DX299)</f>
        <v>700</v>
      </c>
      <c r="FM299" s="14">
        <f>INDEX(属性投放!$BR$6:$BR$85,(卡牌属性!$DW299-2)*20+卡牌属性!$DX299)</f>
        <v>350</v>
      </c>
      <c r="FN299" s="14">
        <f>INDEX(属性投放!$BR$6:$BR$85,(卡牌属性!$DW299-2)*20+卡牌属性!$DX299)</f>
        <v>350</v>
      </c>
      <c r="FO299" s="14">
        <f>INDEX(属性投放!$BR$6:$BR$85,(卡牌属性!$DW299-2)*20+卡牌属性!$DX299)</f>
        <v>350</v>
      </c>
      <c r="FP299" s="14">
        <f>INDEX(属性投放!$BR$6:$BR$85,(卡牌属性!$DW299-2)*20+卡牌属性!$DX299)</f>
        <v>350</v>
      </c>
      <c r="FQ299" s="14">
        <f>INDEX(属性投放!$BR$6:$BR$85,(卡牌属性!$DW299-2)*20+卡牌属性!$DX299)</f>
        <v>350</v>
      </c>
      <c r="FR299" s="14">
        <f>INDEX(属性投放!$BS$6:$BS$85,(卡牌属性!$DW299-2)*20+卡牌属性!$DX299)</f>
        <v>7000</v>
      </c>
      <c r="FS299" s="14">
        <f>INDEX(属性投放!$BS$6:$BS$85,(卡牌属性!$DW299-2)*20+卡牌属性!$DX299)</f>
        <v>7000</v>
      </c>
      <c r="FT299" s="14">
        <f>INDEX(属性投放!$BS$6:$BS$85,(卡牌属性!$DW299-2)*20+卡牌属性!$DX299)</f>
        <v>7000</v>
      </c>
      <c r="FU299" s="14">
        <f>INDEX(属性投放!$BS$6:$BS$85,(卡牌属性!$DW299-2)*20+卡牌属性!$DX299)</f>
        <v>7000</v>
      </c>
      <c r="FV299" s="14">
        <f>INDEX(属性投放!$BS$6:$BS$85,(卡牌属性!$DW299-2)*20+卡牌属性!$DX299)</f>
        <v>7000</v>
      </c>
    </row>
    <row r="300" spans="31:178" ht="16.5" x14ac:dyDescent="0.2">
      <c r="AE300" s="13">
        <v>296</v>
      </c>
      <c r="AF300" s="13">
        <f t="shared" si="560"/>
        <v>15</v>
      </c>
      <c r="AG300" s="13">
        <f t="shared" si="547"/>
        <v>3</v>
      </c>
      <c r="AH300" s="13"/>
      <c r="AI300" s="13"/>
      <c r="AJ300" s="14">
        <f t="shared" si="548"/>
        <v>1101015</v>
      </c>
      <c r="AK300" s="14" t="str">
        <f t="shared" si="549"/>
        <v>阎巧巧16突</v>
      </c>
      <c r="AL300" s="25" t="s">
        <v>142</v>
      </c>
      <c r="AM300" s="14">
        <v>1</v>
      </c>
      <c r="AN300" s="14">
        <f t="shared" si="550"/>
        <v>16</v>
      </c>
      <c r="AO300" s="14">
        <f>INDEX(属性投放!$DF$6:$DF$85,(卡牌属性!AG300-2)*20+卡牌属性!AN300)</f>
        <v>11573</v>
      </c>
      <c r="AP300" s="14">
        <f t="shared" si="591"/>
        <v>11573</v>
      </c>
      <c r="AQ300" s="14">
        <f t="shared" si="591"/>
        <v>11573</v>
      </c>
      <c r="AR300" s="14">
        <f t="shared" si="591"/>
        <v>11573</v>
      </c>
      <c r="AS300" s="14">
        <f t="shared" si="591"/>
        <v>11573</v>
      </c>
      <c r="AT300" s="14">
        <f>INDEX(属性投放!$DG$6:$DG$85,(卡牌属性!AG300-2)*20+卡牌属性!AN300)</f>
        <v>5726</v>
      </c>
      <c r="AU300" s="14">
        <f t="shared" si="592"/>
        <v>5726</v>
      </c>
      <c r="AV300" s="14">
        <f t="shared" si="592"/>
        <v>5726</v>
      </c>
      <c r="AW300" s="14">
        <f t="shared" si="592"/>
        <v>5726</v>
      </c>
      <c r="AX300" s="14">
        <f t="shared" si="592"/>
        <v>5726</v>
      </c>
      <c r="AY300" s="14">
        <f>INDEX(属性投放!$DH$6:$DH$85,(卡牌属性!AG300-2)*20+卡牌属性!AN300)</f>
        <v>104818</v>
      </c>
      <c r="AZ300" s="14">
        <f t="shared" si="593"/>
        <v>104818</v>
      </c>
      <c r="BA300" s="14">
        <f t="shared" si="593"/>
        <v>104818</v>
      </c>
      <c r="BB300" s="14">
        <f t="shared" si="593"/>
        <v>104818</v>
      </c>
      <c r="BC300" s="14">
        <f t="shared" si="593"/>
        <v>104818</v>
      </c>
      <c r="BD300" s="14">
        <f>INDEX(属性投放!$DL$6:$DL$85,(卡牌属性!AG300-2)*20+卡牌属性!AN300)</f>
        <v>259</v>
      </c>
      <c r="BE300" s="14">
        <f t="shared" si="594"/>
        <v>259</v>
      </c>
      <c r="BF300" s="14">
        <f t="shared" si="594"/>
        <v>259</v>
      </c>
      <c r="BG300" s="14">
        <f t="shared" si="594"/>
        <v>259</v>
      </c>
      <c r="BH300" s="14">
        <f t="shared" si="594"/>
        <v>259</v>
      </c>
      <c r="BI300" s="14">
        <f>INDEX(属性投放!$DM$6:$DM$85,(卡牌属性!AG300-2)*20+卡牌属性!AN300)</f>
        <v>130</v>
      </c>
      <c r="BJ300" s="14">
        <f t="shared" si="595"/>
        <v>130</v>
      </c>
      <c r="BK300" s="14">
        <f t="shared" si="595"/>
        <v>130</v>
      </c>
      <c r="BL300" s="14">
        <f t="shared" si="595"/>
        <v>130</v>
      </c>
      <c r="BM300" s="14">
        <f t="shared" si="595"/>
        <v>130</v>
      </c>
      <c r="BN300" s="14">
        <f>INDEX(属性投放!$DN$6:$DN$85,(卡牌属性!AG300-2)*20+卡牌属性!AN300)</f>
        <v>2593</v>
      </c>
      <c r="BO300" s="14">
        <f t="shared" si="596"/>
        <v>2593</v>
      </c>
      <c r="BP300" s="14">
        <f t="shared" si="596"/>
        <v>2593</v>
      </c>
      <c r="BQ300" s="14">
        <f t="shared" si="596"/>
        <v>2593</v>
      </c>
      <c r="BR300" s="14">
        <f t="shared" si="596"/>
        <v>2593</v>
      </c>
      <c r="BW300" s="13">
        <v>296</v>
      </c>
      <c r="BX300" s="13">
        <f t="shared" si="551"/>
        <v>15</v>
      </c>
      <c r="BY300" s="14">
        <f t="shared" si="552"/>
        <v>2</v>
      </c>
      <c r="BZ300" s="14">
        <f t="shared" si="561"/>
        <v>1102015</v>
      </c>
      <c r="CA300" s="14" t="str">
        <f t="shared" si="562"/>
        <v>于禁16突</v>
      </c>
      <c r="CB300" s="25" t="s">
        <v>142</v>
      </c>
      <c r="CC300" s="14">
        <v>2</v>
      </c>
      <c r="CD300" s="14">
        <f t="shared" si="553"/>
        <v>16</v>
      </c>
      <c r="CE300" s="14" t="s">
        <v>21</v>
      </c>
      <c r="CF300" s="14">
        <f>INDEX(属性投放!$AZ$6:$AZ$85,(BY300-2)*20+CD300)</f>
        <v>8585</v>
      </c>
      <c r="CG300" s="14" t="s">
        <v>22</v>
      </c>
      <c r="CH300" s="14">
        <f>INDEX(属性投放!$BA$6:$BA$85,(BY300-2)*20+CD300)</f>
        <v>4260</v>
      </c>
      <c r="CI300" s="14" t="s">
        <v>510</v>
      </c>
      <c r="CJ300" s="14">
        <f>INDEX(属性投放!$BB$6:$BB$85,(BY300-2)*20+CD300)</f>
        <v>77658</v>
      </c>
      <c r="CK300" s="14" t="s">
        <v>21</v>
      </c>
      <c r="CL300" s="14">
        <f>INDEX(属性投放!$BC$6:$BC$85,(BY300-2)*20+CD300)</f>
        <v>20</v>
      </c>
      <c r="CM300" s="14" t="s">
        <v>22</v>
      </c>
      <c r="CN300" s="14">
        <f>INDEX(属性投放!$BD$6:$BD$85,(BY300-2)*20+CD300)</f>
        <v>10</v>
      </c>
      <c r="CO300" s="14" t="s">
        <v>510</v>
      </c>
      <c r="CP300" s="14">
        <f>INDEX(属性投放!$BE$6:$BE$85,(BY300-2)*20+CD300)</f>
        <v>200</v>
      </c>
      <c r="CS300" s="13">
        <v>296</v>
      </c>
      <c r="CT300" s="13">
        <f t="shared" si="563"/>
        <v>6</v>
      </c>
      <c r="CU300" s="13">
        <f t="shared" si="564"/>
        <v>36</v>
      </c>
      <c r="CV300" s="14">
        <f t="shared" si="565"/>
        <v>5</v>
      </c>
      <c r="CW300" s="14">
        <f t="shared" si="566"/>
        <v>1102006</v>
      </c>
      <c r="CX300" s="14" t="str">
        <f>INDEX($O$6:$O$50,CT300)&amp;"-"&amp;INDEX(属性投放!$AB$7:$AB$50,CZ300)&amp;"-魂火-"&amp;DB300</f>
        <v>项羽-焦热+2-魂火-3</v>
      </c>
      <c r="CY300" s="25" t="s">
        <v>142</v>
      </c>
      <c r="CZ300" s="14">
        <f>INDEX(属性投放!$AM$7:$AM$58,CU300)</f>
        <v>15</v>
      </c>
      <c r="DA300" s="14" t="s">
        <v>537</v>
      </c>
      <c r="DB300" s="14">
        <f>INDEX(属性投放!$AN$7:$AN$58,CU300)</f>
        <v>3</v>
      </c>
      <c r="DC300" s="14">
        <f t="shared" si="554"/>
        <v>36</v>
      </c>
      <c r="DD300" s="14">
        <f>INDEX(属性投放!$AO$7:$AO$58,DC300)</f>
        <v>108</v>
      </c>
      <c r="DE300" s="14" t="s">
        <v>538</v>
      </c>
      <c r="DF300" s="14">
        <f>INDEX(属性投放!$BK$6:$BK$85,(CV300-2)*20+CZ300)</f>
        <v>500</v>
      </c>
      <c r="DG300" s="14">
        <f>SUMIFS(DF$5:DF300,$CT$5:$CT300,"="&amp;$CT300)</f>
        <v>6839</v>
      </c>
      <c r="DH300" s="14" t="s">
        <v>539</v>
      </c>
      <c r="DI300" s="14">
        <f>INDEX(属性投放!$BL$6:$BL$85,(CV300-2)*20+CZ300)</f>
        <v>250</v>
      </c>
      <c r="DJ300" s="14">
        <f>SUMIFS(DI$5:DI300,$CT$5:$CT300,"="&amp;$CT300)</f>
        <v>3425</v>
      </c>
      <c r="DK300" s="14" t="s">
        <v>540</v>
      </c>
      <c r="DL300" s="14">
        <f>INDEX(属性投放!$BM$6:$BM$85,(CV300-2)*20+CZ300)</f>
        <v>5000</v>
      </c>
      <c r="DM300" s="14">
        <f>SUMIFS(DL$5:DL300,$CT$5:$CT300,"="&amp;$CT300)</f>
        <v>62802</v>
      </c>
      <c r="DR300" s="14">
        <f t="shared" si="555"/>
        <v>1102015</v>
      </c>
      <c r="DS300" s="14" t="str">
        <f t="shared" si="556"/>
        <v>于禁16突</v>
      </c>
      <c r="DT300" s="14">
        <f t="shared" si="567"/>
        <v>3</v>
      </c>
      <c r="DU300" s="14">
        <f t="shared" si="568"/>
        <v>3</v>
      </c>
      <c r="DV300" s="14">
        <f t="shared" si="569"/>
        <v>3</v>
      </c>
      <c r="DW300" s="14">
        <f t="shared" si="557"/>
        <v>2</v>
      </c>
      <c r="DX300" s="14">
        <f t="shared" si="558"/>
        <v>16</v>
      </c>
      <c r="DY300" s="14">
        <f t="shared" si="559"/>
        <v>16</v>
      </c>
      <c r="DZ300" s="14">
        <f>INDEX(属性投放!$AX$6:$AX$85,(卡牌属性!DW300-2)*20+卡牌属性!DX300)</f>
        <v>7</v>
      </c>
      <c r="EA300" s="14">
        <f>INDEX(属性投放!BQ$6:BQ$85,卡牌属性!$DY300)</f>
        <v>700</v>
      </c>
      <c r="EB300" s="14">
        <f>INDEX(属性投放!BR$6:BR$85,卡牌属性!$DY300)</f>
        <v>350</v>
      </c>
      <c r="EC300" s="14">
        <f>INDEX(属性投放!BS$6:BS$85,卡牌属性!$DY300)</f>
        <v>7000</v>
      </c>
      <c r="ED300" s="14">
        <f t="shared" si="597"/>
        <v>4060</v>
      </c>
      <c r="EE300" s="14">
        <f t="shared" si="598"/>
        <v>4390</v>
      </c>
      <c r="EF300" s="14">
        <f t="shared" si="599"/>
        <v>4786</v>
      </c>
      <c r="EG300" s="14">
        <f t="shared" si="600"/>
        <v>4786</v>
      </c>
      <c r="EH300" s="14">
        <f t="shared" si="601"/>
        <v>4944</v>
      </c>
      <c r="EI300" s="14">
        <f t="shared" si="602"/>
        <v>2004</v>
      </c>
      <c r="EJ300" s="14">
        <f t="shared" si="603"/>
        <v>2164</v>
      </c>
      <c r="EK300" s="14">
        <f t="shared" si="604"/>
        <v>2164</v>
      </c>
      <c r="EL300" s="14">
        <f t="shared" si="605"/>
        <v>2369</v>
      </c>
      <c r="EM300" s="14">
        <f t="shared" si="606"/>
        <v>2447</v>
      </c>
      <c r="EN300" s="14">
        <f t="shared" si="607"/>
        <v>35638</v>
      </c>
      <c r="EO300" s="14">
        <f t="shared" si="608"/>
        <v>38342</v>
      </c>
      <c r="EP300" s="14">
        <f t="shared" si="609"/>
        <v>38342</v>
      </c>
      <c r="EQ300" s="14">
        <f t="shared" si="610"/>
        <v>41610</v>
      </c>
      <c r="ER300" s="14">
        <f t="shared" si="611"/>
        <v>42774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INDEX(属性投放!$BQ$6:$BQ$85,(卡牌属性!$DW300-2)*20+卡牌属性!$DX300)</f>
        <v>700</v>
      </c>
      <c r="FI300" s="14">
        <f>INDEX(属性投放!$BQ$6:$BQ$85,(卡牌属性!$DW300-2)*20+卡牌属性!$DX300)</f>
        <v>700</v>
      </c>
      <c r="FJ300" s="14">
        <f>INDEX(属性投放!$BQ$6:$BQ$85,(卡牌属性!$DW300-2)*20+卡牌属性!$DX300)</f>
        <v>700</v>
      </c>
      <c r="FK300" s="14">
        <f>INDEX(属性投放!$BQ$6:$BQ$85,(卡牌属性!$DW300-2)*20+卡牌属性!$DX300)</f>
        <v>700</v>
      </c>
      <c r="FL300" s="14">
        <f>INDEX(属性投放!$BQ$6:$BQ$85,(卡牌属性!$DW300-2)*20+卡牌属性!$DX300)</f>
        <v>700</v>
      </c>
      <c r="FM300" s="14">
        <f>INDEX(属性投放!$BR$6:$BR$85,(卡牌属性!$DW300-2)*20+卡牌属性!$DX300)</f>
        <v>350</v>
      </c>
      <c r="FN300" s="14">
        <f>INDEX(属性投放!$BR$6:$BR$85,(卡牌属性!$DW300-2)*20+卡牌属性!$DX300)</f>
        <v>350</v>
      </c>
      <c r="FO300" s="14">
        <f>INDEX(属性投放!$BR$6:$BR$85,(卡牌属性!$DW300-2)*20+卡牌属性!$DX300)</f>
        <v>350</v>
      </c>
      <c r="FP300" s="14">
        <f>INDEX(属性投放!$BR$6:$BR$85,(卡牌属性!$DW300-2)*20+卡牌属性!$DX300)</f>
        <v>350</v>
      </c>
      <c r="FQ300" s="14">
        <f>INDEX(属性投放!$BR$6:$BR$85,(卡牌属性!$DW300-2)*20+卡牌属性!$DX300)</f>
        <v>350</v>
      </c>
      <c r="FR300" s="14">
        <f>INDEX(属性投放!$BS$6:$BS$85,(卡牌属性!$DW300-2)*20+卡牌属性!$DX300)</f>
        <v>7000</v>
      </c>
      <c r="FS300" s="14">
        <f>INDEX(属性投放!$BS$6:$BS$85,(卡牌属性!$DW300-2)*20+卡牌属性!$DX300)</f>
        <v>7000</v>
      </c>
      <c r="FT300" s="14">
        <f>INDEX(属性投放!$BS$6:$BS$85,(卡牌属性!$DW300-2)*20+卡牌属性!$DX300)</f>
        <v>7000</v>
      </c>
      <c r="FU300" s="14">
        <f>INDEX(属性投放!$BS$6:$BS$85,(卡牌属性!$DW300-2)*20+卡牌属性!$DX300)</f>
        <v>7000</v>
      </c>
      <c r="FV300" s="14">
        <f>INDEX(属性投放!$BS$6:$BS$85,(卡牌属性!$DW300-2)*20+卡牌属性!$DX300)</f>
        <v>7000</v>
      </c>
    </row>
    <row r="301" spans="31:178" ht="16.5" x14ac:dyDescent="0.2">
      <c r="AE301" s="13">
        <v>297</v>
      </c>
      <c r="AF301" s="13">
        <f t="shared" si="560"/>
        <v>15</v>
      </c>
      <c r="AG301" s="13">
        <f t="shared" si="547"/>
        <v>3</v>
      </c>
      <c r="AH301" s="13"/>
      <c r="AI301" s="13"/>
      <c r="AJ301" s="14">
        <f t="shared" si="548"/>
        <v>1101015</v>
      </c>
      <c r="AK301" s="14" t="str">
        <f t="shared" si="549"/>
        <v>阎巧巧17突</v>
      </c>
      <c r="AL301" s="25" t="s">
        <v>142</v>
      </c>
      <c r="AM301" s="14">
        <v>1</v>
      </c>
      <c r="AN301" s="14">
        <f t="shared" si="550"/>
        <v>17</v>
      </c>
      <c r="AO301" s="14">
        <f>INDEX(属性投放!$DF$6:$DF$85,(卡牌属性!AG301-2)*20+卡牌属性!AN301)</f>
        <v>12499</v>
      </c>
      <c r="AP301" s="14">
        <f t="shared" si="591"/>
        <v>12499</v>
      </c>
      <c r="AQ301" s="14">
        <f t="shared" si="591"/>
        <v>12499</v>
      </c>
      <c r="AR301" s="14">
        <f t="shared" si="591"/>
        <v>12499</v>
      </c>
      <c r="AS301" s="14">
        <f t="shared" si="591"/>
        <v>12499</v>
      </c>
      <c r="AT301" s="14">
        <f>INDEX(属性投放!$DG$6:$DG$85,(卡牌属性!AG301-2)*20+卡牌属性!AN301)</f>
        <v>6189</v>
      </c>
      <c r="AU301" s="14">
        <f t="shared" si="592"/>
        <v>6189</v>
      </c>
      <c r="AV301" s="14">
        <f t="shared" si="592"/>
        <v>6189</v>
      </c>
      <c r="AW301" s="14">
        <f t="shared" si="592"/>
        <v>6189</v>
      </c>
      <c r="AX301" s="14">
        <f t="shared" si="592"/>
        <v>6189</v>
      </c>
      <c r="AY301" s="14">
        <f>INDEX(属性投放!$DH$6:$DH$85,(卡牌属性!AG301-2)*20+卡牌属性!AN301)</f>
        <v>114078</v>
      </c>
      <c r="AZ301" s="14">
        <f t="shared" si="593"/>
        <v>114078</v>
      </c>
      <c r="BA301" s="14">
        <f t="shared" si="593"/>
        <v>114078</v>
      </c>
      <c r="BB301" s="14">
        <f t="shared" si="593"/>
        <v>114078</v>
      </c>
      <c r="BC301" s="14">
        <f t="shared" si="593"/>
        <v>114078</v>
      </c>
      <c r="BD301" s="14">
        <f>INDEX(属性投放!$DL$6:$DL$85,(卡牌属性!AG301-2)*20+卡牌属性!AN301)</f>
        <v>259</v>
      </c>
      <c r="BE301" s="14">
        <f t="shared" si="594"/>
        <v>259</v>
      </c>
      <c r="BF301" s="14">
        <f t="shared" si="594"/>
        <v>259</v>
      </c>
      <c r="BG301" s="14">
        <f t="shared" si="594"/>
        <v>259</v>
      </c>
      <c r="BH301" s="14">
        <f t="shared" si="594"/>
        <v>259</v>
      </c>
      <c r="BI301" s="14">
        <f>INDEX(属性投放!$DM$6:$DM$85,(卡牌属性!AG301-2)*20+卡牌属性!AN301)</f>
        <v>130</v>
      </c>
      <c r="BJ301" s="14">
        <f t="shared" si="595"/>
        <v>130</v>
      </c>
      <c r="BK301" s="14">
        <f t="shared" si="595"/>
        <v>130</v>
      </c>
      <c r="BL301" s="14">
        <f t="shared" si="595"/>
        <v>130</v>
      </c>
      <c r="BM301" s="14">
        <f t="shared" si="595"/>
        <v>130</v>
      </c>
      <c r="BN301" s="14">
        <f>INDEX(属性投放!$DN$6:$DN$85,(卡牌属性!AG301-2)*20+卡牌属性!AN301)</f>
        <v>2593</v>
      </c>
      <c r="BO301" s="14">
        <f t="shared" si="596"/>
        <v>2593</v>
      </c>
      <c r="BP301" s="14">
        <f t="shared" si="596"/>
        <v>2593</v>
      </c>
      <c r="BQ301" s="14">
        <f t="shared" si="596"/>
        <v>2593</v>
      </c>
      <c r="BR301" s="14">
        <f t="shared" si="596"/>
        <v>2593</v>
      </c>
      <c r="BW301" s="13">
        <v>297</v>
      </c>
      <c r="BX301" s="13">
        <f t="shared" si="551"/>
        <v>15</v>
      </c>
      <c r="BY301" s="14">
        <f t="shared" si="552"/>
        <v>2</v>
      </c>
      <c r="BZ301" s="14">
        <f t="shared" si="561"/>
        <v>1102015</v>
      </c>
      <c r="CA301" s="14" t="str">
        <f t="shared" si="562"/>
        <v>于禁17突</v>
      </c>
      <c r="CB301" s="25" t="s">
        <v>142</v>
      </c>
      <c r="CC301" s="14">
        <v>2</v>
      </c>
      <c r="CD301" s="14">
        <f t="shared" si="553"/>
        <v>17</v>
      </c>
      <c r="CE301" s="14" t="s">
        <v>21</v>
      </c>
      <c r="CF301" s="14">
        <f>INDEX(属性投放!$AZ$6:$AZ$85,(BY301-2)*20+CD301)</f>
        <v>10775</v>
      </c>
      <c r="CG301" s="14" t="s">
        <v>22</v>
      </c>
      <c r="CH301" s="14">
        <f>INDEX(属性投放!$BA$6:$BA$85,(BY301-2)*20+CD301)</f>
        <v>5355</v>
      </c>
      <c r="CI301" s="14" t="s">
        <v>510</v>
      </c>
      <c r="CJ301" s="14">
        <f>INDEX(属性投放!$BB$6:$BB$85,(BY301-2)*20+CD301)</f>
        <v>99558</v>
      </c>
      <c r="CK301" s="14" t="s">
        <v>21</v>
      </c>
      <c r="CL301" s="14">
        <f>INDEX(属性投放!$BC$6:$BC$85,(BY301-2)*20+CD301)</f>
        <v>20</v>
      </c>
      <c r="CM301" s="14" t="s">
        <v>22</v>
      </c>
      <c r="CN301" s="14">
        <f>INDEX(属性投放!$BD$6:$BD$85,(BY301-2)*20+CD301)</f>
        <v>10</v>
      </c>
      <c r="CO301" s="14" t="s">
        <v>510</v>
      </c>
      <c r="CP301" s="14">
        <f>INDEX(属性投放!$BE$6:$BE$85,(BY301-2)*20+CD301)</f>
        <v>200</v>
      </c>
      <c r="CS301" s="13">
        <v>297</v>
      </c>
      <c r="CT301" s="13">
        <f t="shared" si="563"/>
        <v>6</v>
      </c>
      <c r="CU301" s="13">
        <f t="shared" si="564"/>
        <v>37</v>
      </c>
      <c r="CV301" s="14">
        <f t="shared" si="565"/>
        <v>5</v>
      </c>
      <c r="CW301" s="14">
        <f t="shared" si="566"/>
        <v>1102006</v>
      </c>
      <c r="CX301" s="14" t="str">
        <f>INDEX($O$6:$O$50,CT301)&amp;"-"&amp;INDEX(属性投放!$AB$7:$AB$50,CZ301)&amp;"-魂火-"&amp;DB301</f>
        <v>项羽-大焦热-魂火-1</v>
      </c>
      <c r="CY301" s="25" t="s">
        <v>142</v>
      </c>
      <c r="CZ301" s="14">
        <f>INDEX(属性投放!$AM$7:$AM$58,CU301)</f>
        <v>16</v>
      </c>
      <c r="DA301" s="14" t="s">
        <v>537</v>
      </c>
      <c r="DB301" s="14">
        <f>INDEX(属性投放!$AN$7:$AN$58,CU301)</f>
        <v>1</v>
      </c>
      <c r="DC301" s="14">
        <f t="shared" si="554"/>
        <v>37</v>
      </c>
      <c r="DD301" s="14">
        <f>INDEX(属性投放!$AO$7:$AO$58,DC301)</f>
        <v>110</v>
      </c>
      <c r="DE301" s="14" t="s">
        <v>538</v>
      </c>
      <c r="DF301" s="14">
        <f>INDEX(属性投放!$BK$6:$BK$85,(CV301-2)*20+CZ301)</f>
        <v>580</v>
      </c>
      <c r="DG301" s="14">
        <f>SUMIFS(DF$5:DF301,$CT$5:$CT301,"="&amp;$CT301)</f>
        <v>7419</v>
      </c>
      <c r="DH301" s="14" t="s">
        <v>539</v>
      </c>
      <c r="DI301" s="14">
        <f>INDEX(属性投放!$BL$6:$BL$85,(CV301-2)*20+CZ301)</f>
        <v>290</v>
      </c>
      <c r="DJ301" s="14">
        <f>SUMIFS(DI$5:DI301,$CT$5:$CT301,"="&amp;$CT301)</f>
        <v>3715</v>
      </c>
      <c r="DK301" s="14" t="s">
        <v>540</v>
      </c>
      <c r="DL301" s="14">
        <f>INDEX(属性投放!$BM$6:$BM$85,(CV301-2)*20+CZ301)</f>
        <v>5800</v>
      </c>
      <c r="DM301" s="14">
        <f>SUMIFS(DL$5:DL301,$CT$5:$CT301,"="&amp;$CT301)</f>
        <v>68602</v>
      </c>
      <c r="DR301" s="14">
        <f t="shared" si="555"/>
        <v>1102015</v>
      </c>
      <c r="DS301" s="14" t="str">
        <f t="shared" si="556"/>
        <v>于禁17突</v>
      </c>
      <c r="DT301" s="14">
        <f t="shared" si="567"/>
        <v>3</v>
      </c>
      <c r="DU301" s="14">
        <f t="shared" si="568"/>
        <v>3</v>
      </c>
      <c r="DV301" s="14">
        <f t="shared" si="569"/>
        <v>3</v>
      </c>
      <c r="DW301" s="14">
        <f t="shared" si="557"/>
        <v>2</v>
      </c>
      <c r="DX301" s="14">
        <f t="shared" si="558"/>
        <v>17</v>
      </c>
      <c r="DY301" s="14">
        <f t="shared" si="559"/>
        <v>17</v>
      </c>
      <c r="DZ301" s="14">
        <f>INDEX(属性投放!$AX$6:$AX$85,(卡牌属性!DW301-2)*20+卡牌属性!DX301)</f>
        <v>8</v>
      </c>
      <c r="EA301" s="14">
        <f>INDEX(属性投放!BQ$6:BQ$85,卡牌属性!$DY301)</f>
        <v>800</v>
      </c>
      <c r="EB301" s="14">
        <f>INDEX(属性投放!BR$6:BR$85,卡牌属性!$DY301)</f>
        <v>400</v>
      </c>
      <c r="EC301" s="14">
        <f>INDEX(属性投放!BS$6:BS$85,卡牌属性!$DY301)</f>
        <v>8000</v>
      </c>
      <c r="ED301" s="14">
        <f t="shared" si="597"/>
        <v>4900</v>
      </c>
      <c r="EE301" s="14">
        <f t="shared" si="598"/>
        <v>5265</v>
      </c>
      <c r="EF301" s="14">
        <f t="shared" si="599"/>
        <v>5696</v>
      </c>
      <c r="EG301" s="14">
        <f t="shared" si="600"/>
        <v>5696</v>
      </c>
      <c r="EH301" s="14">
        <f t="shared" si="601"/>
        <v>5889</v>
      </c>
      <c r="EI301" s="14">
        <f t="shared" si="602"/>
        <v>2424</v>
      </c>
      <c r="EJ301" s="14">
        <f t="shared" si="603"/>
        <v>2605</v>
      </c>
      <c r="EK301" s="14">
        <f t="shared" si="604"/>
        <v>2605</v>
      </c>
      <c r="EL301" s="14">
        <f t="shared" si="605"/>
        <v>2824</v>
      </c>
      <c r="EM301" s="14">
        <f t="shared" si="606"/>
        <v>2923</v>
      </c>
      <c r="EN301" s="14">
        <f t="shared" si="607"/>
        <v>44038</v>
      </c>
      <c r="EO301" s="14">
        <f t="shared" si="608"/>
        <v>47092</v>
      </c>
      <c r="EP301" s="14">
        <f t="shared" si="609"/>
        <v>47092</v>
      </c>
      <c r="EQ301" s="14">
        <f t="shared" si="610"/>
        <v>50710</v>
      </c>
      <c r="ER301" s="14">
        <f t="shared" si="611"/>
        <v>52224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INDEX(属性投放!$BQ$6:$BQ$85,(卡牌属性!$DW301-2)*20+卡牌属性!$DX301)</f>
        <v>800</v>
      </c>
      <c r="FI301" s="14">
        <f>INDEX(属性投放!$BQ$6:$BQ$85,(卡牌属性!$DW301-2)*20+卡牌属性!$DX301)</f>
        <v>800</v>
      </c>
      <c r="FJ301" s="14">
        <f>INDEX(属性投放!$BQ$6:$BQ$85,(卡牌属性!$DW301-2)*20+卡牌属性!$DX301)</f>
        <v>800</v>
      </c>
      <c r="FK301" s="14">
        <f>INDEX(属性投放!$BQ$6:$BQ$85,(卡牌属性!$DW301-2)*20+卡牌属性!$DX301)</f>
        <v>800</v>
      </c>
      <c r="FL301" s="14">
        <f>INDEX(属性投放!$BQ$6:$BQ$85,(卡牌属性!$DW301-2)*20+卡牌属性!$DX301)</f>
        <v>800</v>
      </c>
      <c r="FM301" s="14">
        <f>INDEX(属性投放!$BR$6:$BR$85,(卡牌属性!$DW301-2)*20+卡牌属性!$DX301)</f>
        <v>400</v>
      </c>
      <c r="FN301" s="14">
        <f>INDEX(属性投放!$BR$6:$BR$85,(卡牌属性!$DW301-2)*20+卡牌属性!$DX301)</f>
        <v>400</v>
      </c>
      <c r="FO301" s="14">
        <f>INDEX(属性投放!$BR$6:$BR$85,(卡牌属性!$DW301-2)*20+卡牌属性!$DX301)</f>
        <v>400</v>
      </c>
      <c r="FP301" s="14">
        <f>INDEX(属性投放!$BR$6:$BR$85,(卡牌属性!$DW301-2)*20+卡牌属性!$DX301)</f>
        <v>400</v>
      </c>
      <c r="FQ301" s="14">
        <f>INDEX(属性投放!$BR$6:$BR$85,(卡牌属性!$DW301-2)*20+卡牌属性!$DX301)</f>
        <v>400</v>
      </c>
      <c r="FR301" s="14">
        <f>INDEX(属性投放!$BS$6:$BS$85,(卡牌属性!$DW301-2)*20+卡牌属性!$DX301)</f>
        <v>8000</v>
      </c>
      <c r="FS301" s="14">
        <f>INDEX(属性投放!$BS$6:$BS$85,(卡牌属性!$DW301-2)*20+卡牌属性!$DX301)</f>
        <v>8000</v>
      </c>
      <c r="FT301" s="14">
        <f>INDEX(属性投放!$BS$6:$BS$85,(卡牌属性!$DW301-2)*20+卡牌属性!$DX301)</f>
        <v>8000</v>
      </c>
      <c r="FU301" s="14">
        <f>INDEX(属性投放!$BS$6:$BS$85,(卡牌属性!$DW301-2)*20+卡牌属性!$DX301)</f>
        <v>8000</v>
      </c>
      <c r="FV301" s="14">
        <f>INDEX(属性投放!$BS$6:$BS$85,(卡牌属性!$DW301-2)*20+卡牌属性!$DX301)</f>
        <v>8000</v>
      </c>
    </row>
    <row r="302" spans="31:178" ht="16.5" x14ac:dyDescent="0.2">
      <c r="AE302" s="13">
        <v>298</v>
      </c>
      <c r="AF302" s="13">
        <f t="shared" si="560"/>
        <v>15</v>
      </c>
      <c r="AG302" s="13">
        <f t="shared" si="547"/>
        <v>3</v>
      </c>
      <c r="AH302" s="13"/>
      <c r="AI302" s="13"/>
      <c r="AJ302" s="14">
        <f t="shared" si="548"/>
        <v>1101015</v>
      </c>
      <c r="AK302" s="14" t="str">
        <f t="shared" si="549"/>
        <v>阎巧巧18突</v>
      </c>
      <c r="AL302" s="25" t="s">
        <v>142</v>
      </c>
      <c r="AM302" s="14">
        <v>1</v>
      </c>
      <c r="AN302" s="14">
        <f t="shared" si="550"/>
        <v>18</v>
      </c>
      <c r="AO302" s="14">
        <f>INDEX(属性投放!$DF$6:$DF$85,(卡牌属性!AG302-2)*20+卡牌属性!AN302)</f>
        <v>13425</v>
      </c>
      <c r="AP302" s="14">
        <f t="shared" si="591"/>
        <v>13425</v>
      </c>
      <c r="AQ302" s="14">
        <f t="shared" si="591"/>
        <v>13425</v>
      </c>
      <c r="AR302" s="14">
        <f t="shared" si="591"/>
        <v>13425</v>
      </c>
      <c r="AS302" s="14">
        <f t="shared" si="591"/>
        <v>13425</v>
      </c>
      <c r="AT302" s="14">
        <f>INDEX(属性投放!$DG$6:$DG$85,(卡牌属性!AG302-2)*20+卡牌属性!AN302)</f>
        <v>6652</v>
      </c>
      <c r="AU302" s="14">
        <f t="shared" si="592"/>
        <v>6652</v>
      </c>
      <c r="AV302" s="14">
        <f t="shared" si="592"/>
        <v>6652</v>
      </c>
      <c r="AW302" s="14">
        <f t="shared" si="592"/>
        <v>6652</v>
      </c>
      <c r="AX302" s="14">
        <f t="shared" si="592"/>
        <v>6652</v>
      </c>
      <c r="AY302" s="14">
        <f>INDEX(属性投放!$DH$6:$DH$85,(卡牌属性!AG302-2)*20+卡牌属性!AN302)</f>
        <v>123338</v>
      </c>
      <c r="AZ302" s="14">
        <f t="shared" si="593"/>
        <v>123338</v>
      </c>
      <c r="BA302" s="14">
        <f t="shared" si="593"/>
        <v>123338</v>
      </c>
      <c r="BB302" s="14">
        <f t="shared" si="593"/>
        <v>123338</v>
      </c>
      <c r="BC302" s="14">
        <f t="shared" si="593"/>
        <v>123338</v>
      </c>
      <c r="BD302" s="14">
        <f>INDEX(属性投放!$DL$6:$DL$85,(卡牌属性!AG302-2)*20+卡牌属性!AN302)</f>
        <v>259</v>
      </c>
      <c r="BE302" s="14">
        <f t="shared" si="594"/>
        <v>259</v>
      </c>
      <c r="BF302" s="14">
        <f t="shared" si="594"/>
        <v>259</v>
      </c>
      <c r="BG302" s="14">
        <f t="shared" si="594"/>
        <v>259</v>
      </c>
      <c r="BH302" s="14">
        <f t="shared" si="594"/>
        <v>259</v>
      </c>
      <c r="BI302" s="14">
        <f>INDEX(属性投放!$DM$6:$DM$85,(卡牌属性!AG302-2)*20+卡牌属性!AN302)</f>
        <v>130</v>
      </c>
      <c r="BJ302" s="14">
        <f t="shared" si="595"/>
        <v>130</v>
      </c>
      <c r="BK302" s="14">
        <f t="shared" si="595"/>
        <v>130</v>
      </c>
      <c r="BL302" s="14">
        <f t="shared" si="595"/>
        <v>130</v>
      </c>
      <c r="BM302" s="14">
        <f t="shared" si="595"/>
        <v>130</v>
      </c>
      <c r="BN302" s="14">
        <f>INDEX(属性投放!$DN$6:$DN$85,(卡牌属性!AG302-2)*20+卡牌属性!AN302)</f>
        <v>2593</v>
      </c>
      <c r="BO302" s="14">
        <f t="shared" si="596"/>
        <v>2593</v>
      </c>
      <c r="BP302" s="14">
        <f t="shared" si="596"/>
        <v>2593</v>
      </c>
      <c r="BQ302" s="14">
        <f t="shared" si="596"/>
        <v>2593</v>
      </c>
      <c r="BR302" s="14">
        <f t="shared" si="596"/>
        <v>2593</v>
      </c>
      <c r="BW302" s="13">
        <v>298</v>
      </c>
      <c r="BX302" s="13">
        <f t="shared" si="551"/>
        <v>15</v>
      </c>
      <c r="BY302" s="14">
        <f t="shared" si="552"/>
        <v>2</v>
      </c>
      <c r="BZ302" s="14">
        <f t="shared" si="561"/>
        <v>1102015</v>
      </c>
      <c r="CA302" s="14" t="str">
        <f t="shared" si="562"/>
        <v>于禁18突</v>
      </c>
      <c r="CB302" s="25" t="s">
        <v>142</v>
      </c>
      <c r="CC302" s="14">
        <v>2</v>
      </c>
      <c r="CD302" s="14">
        <f t="shared" si="553"/>
        <v>18</v>
      </c>
      <c r="CE302" s="14" t="s">
        <v>21</v>
      </c>
      <c r="CF302" s="14">
        <f>INDEX(属性投放!$AZ$6:$AZ$85,(BY302-2)*20+CD302)</f>
        <v>13385</v>
      </c>
      <c r="CG302" s="14" t="s">
        <v>22</v>
      </c>
      <c r="CH302" s="14">
        <f>INDEX(属性投放!$BA$6:$BA$85,(BY302-2)*20+CD302)</f>
        <v>6660</v>
      </c>
      <c r="CI302" s="14" t="s">
        <v>510</v>
      </c>
      <c r="CJ302" s="14">
        <f>INDEX(属性投放!$BB$6:$BB$85,(BY302-2)*20+CD302)</f>
        <v>125658</v>
      </c>
      <c r="CK302" s="14" t="s">
        <v>21</v>
      </c>
      <c r="CL302" s="14">
        <f>INDEX(属性投放!$BC$6:$BC$85,(BY302-2)*20+CD302)</f>
        <v>20</v>
      </c>
      <c r="CM302" s="14" t="s">
        <v>22</v>
      </c>
      <c r="CN302" s="14">
        <f>INDEX(属性投放!$BD$6:$BD$85,(BY302-2)*20+CD302)</f>
        <v>10</v>
      </c>
      <c r="CO302" s="14" t="s">
        <v>510</v>
      </c>
      <c r="CP302" s="14">
        <f>INDEX(属性投放!$BE$6:$BE$85,(BY302-2)*20+CD302)</f>
        <v>200</v>
      </c>
      <c r="CS302" s="13">
        <v>298</v>
      </c>
      <c r="CT302" s="13">
        <f t="shared" si="563"/>
        <v>6</v>
      </c>
      <c r="CU302" s="13">
        <f t="shared" si="564"/>
        <v>38</v>
      </c>
      <c r="CV302" s="14">
        <f t="shared" si="565"/>
        <v>5</v>
      </c>
      <c r="CW302" s="14">
        <f t="shared" si="566"/>
        <v>1102006</v>
      </c>
      <c r="CX302" s="14" t="str">
        <f>INDEX($O$6:$O$50,CT302)&amp;"-"&amp;INDEX(属性投放!$AB$7:$AB$50,CZ302)&amp;"-魂火-"&amp;DB302</f>
        <v>项羽-大焦热-魂火-2</v>
      </c>
      <c r="CY302" s="25" t="s">
        <v>142</v>
      </c>
      <c r="CZ302" s="14">
        <f>INDEX(属性投放!$AM$7:$AM$58,CU302)</f>
        <v>16</v>
      </c>
      <c r="DA302" s="14" t="s">
        <v>537</v>
      </c>
      <c r="DB302" s="14">
        <f>INDEX(属性投放!$AN$7:$AN$58,CU302)</f>
        <v>2</v>
      </c>
      <c r="DC302" s="14">
        <f t="shared" si="554"/>
        <v>38</v>
      </c>
      <c r="DD302" s="14">
        <f>INDEX(属性投放!$AO$7:$AO$58,DC302)</f>
        <v>113</v>
      </c>
      <c r="DE302" s="14" t="s">
        <v>538</v>
      </c>
      <c r="DF302" s="14">
        <f>INDEX(属性投放!$BK$6:$BK$85,(CV302-2)*20+CZ302)</f>
        <v>580</v>
      </c>
      <c r="DG302" s="14">
        <f>SUMIFS(DF$5:DF302,$CT$5:$CT302,"="&amp;$CT302)</f>
        <v>7999</v>
      </c>
      <c r="DH302" s="14" t="s">
        <v>539</v>
      </c>
      <c r="DI302" s="14">
        <f>INDEX(属性投放!$BL$6:$BL$85,(CV302-2)*20+CZ302)</f>
        <v>290</v>
      </c>
      <c r="DJ302" s="14">
        <f>SUMIFS(DI$5:DI302,$CT$5:$CT302,"="&amp;$CT302)</f>
        <v>4005</v>
      </c>
      <c r="DK302" s="14" t="s">
        <v>540</v>
      </c>
      <c r="DL302" s="14">
        <f>INDEX(属性投放!$BM$6:$BM$85,(CV302-2)*20+CZ302)</f>
        <v>5800</v>
      </c>
      <c r="DM302" s="14">
        <f>SUMIFS(DL$5:DL302,$CT$5:$CT302,"="&amp;$CT302)</f>
        <v>74402</v>
      </c>
      <c r="DR302" s="14">
        <f t="shared" si="555"/>
        <v>1102015</v>
      </c>
      <c r="DS302" s="14" t="str">
        <f t="shared" si="556"/>
        <v>于禁18突</v>
      </c>
      <c r="DT302" s="14">
        <f t="shared" si="567"/>
        <v>3</v>
      </c>
      <c r="DU302" s="14">
        <f t="shared" si="568"/>
        <v>3</v>
      </c>
      <c r="DV302" s="14">
        <f t="shared" si="569"/>
        <v>3</v>
      </c>
      <c r="DW302" s="14">
        <f t="shared" si="557"/>
        <v>2</v>
      </c>
      <c r="DX302" s="14">
        <f t="shared" si="558"/>
        <v>18</v>
      </c>
      <c r="DY302" s="14">
        <f t="shared" si="559"/>
        <v>18</v>
      </c>
      <c r="DZ302" s="14">
        <f>INDEX(属性投放!$AX$6:$AX$85,(卡牌属性!DW302-2)*20+卡牌属性!DX302)</f>
        <v>7</v>
      </c>
      <c r="EA302" s="14">
        <f>INDEX(属性投放!BQ$6:BQ$85,卡牌属性!$DY302)</f>
        <v>1400</v>
      </c>
      <c r="EB302" s="14">
        <f>INDEX(属性投放!BR$6:BR$85,卡牌属性!$DY302)</f>
        <v>700</v>
      </c>
      <c r="EC302" s="14">
        <f>INDEX(属性投放!BS$6:BS$85,卡牌属性!$DY302)</f>
        <v>14000</v>
      </c>
      <c r="ED302" s="14">
        <f t="shared" si="597"/>
        <v>5860</v>
      </c>
      <c r="EE302" s="14">
        <f t="shared" si="598"/>
        <v>6265</v>
      </c>
      <c r="EF302" s="14">
        <f t="shared" si="599"/>
        <v>6736</v>
      </c>
      <c r="EG302" s="14">
        <f t="shared" si="600"/>
        <v>6736</v>
      </c>
      <c r="EH302" s="14">
        <f t="shared" si="601"/>
        <v>6969</v>
      </c>
      <c r="EI302" s="14">
        <f t="shared" si="602"/>
        <v>2904</v>
      </c>
      <c r="EJ302" s="14">
        <f t="shared" si="603"/>
        <v>3109</v>
      </c>
      <c r="EK302" s="14">
        <f t="shared" si="604"/>
        <v>3109</v>
      </c>
      <c r="EL302" s="14">
        <f t="shared" si="605"/>
        <v>3344</v>
      </c>
      <c r="EM302" s="14">
        <f t="shared" si="606"/>
        <v>3467</v>
      </c>
      <c r="EN302" s="14">
        <f t="shared" si="607"/>
        <v>53638</v>
      </c>
      <c r="EO302" s="14">
        <f t="shared" si="608"/>
        <v>57092</v>
      </c>
      <c r="EP302" s="14">
        <f t="shared" si="609"/>
        <v>57092</v>
      </c>
      <c r="EQ302" s="14">
        <f t="shared" si="610"/>
        <v>61110</v>
      </c>
      <c r="ER302" s="14">
        <f t="shared" si="611"/>
        <v>63024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INDEX(属性投放!$BQ$6:$BQ$85,(卡牌属性!$DW302-2)*20+卡牌属性!$DX302)</f>
        <v>1400</v>
      </c>
      <c r="FI302" s="14">
        <f>INDEX(属性投放!$BQ$6:$BQ$85,(卡牌属性!$DW302-2)*20+卡牌属性!$DX302)</f>
        <v>1400</v>
      </c>
      <c r="FJ302" s="14">
        <f>INDEX(属性投放!$BQ$6:$BQ$85,(卡牌属性!$DW302-2)*20+卡牌属性!$DX302)</f>
        <v>1400</v>
      </c>
      <c r="FK302" s="14">
        <f>INDEX(属性投放!$BQ$6:$BQ$85,(卡牌属性!$DW302-2)*20+卡牌属性!$DX302)</f>
        <v>1400</v>
      </c>
      <c r="FL302" s="14">
        <f>INDEX(属性投放!$BQ$6:$BQ$85,(卡牌属性!$DW302-2)*20+卡牌属性!$DX302)</f>
        <v>1400</v>
      </c>
      <c r="FM302" s="14">
        <f>INDEX(属性投放!$BR$6:$BR$85,(卡牌属性!$DW302-2)*20+卡牌属性!$DX302)</f>
        <v>700</v>
      </c>
      <c r="FN302" s="14">
        <f>INDEX(属性投放!$BR$6:$BR$85,(卡牌属性!$DW302-2)*20+卡牌属性!$DX302)</f>
        <v>700</v>
      </c>
      <c r="FO302" s="14">
        <f>INDEX(属性投放!$BR$6:$BR$85,(卡牌属性!$DW302-2)*20+卡牌属性!$DX302)</f>
        <v>700</v>
      </c>
      <c r="FP302" s="14">
        <f>INDEX(属性投放!$BR$6:$BR$85,(卡牌属性!$DW302-2)*20+卡牌属性!$DX302)</f>
        <v>700</v>
      </c>
      <c r="FQ302" s="14">
        <f>INDEX(属性投放!$BR$6:$BR$85,(卡牌属性!$DW302-2)*20+卡牌属性!$DX302)</f>
        <v>700</v>
      </c>
      <c r="FR302" s="14">
        <f>INDEX(属性投放!$BS$6:$BS$85,(卡牌属性!$DW302-2)*20+卡牌属性!$DX302)</f>
        <v>14000</v>
      </c>
      <c r="FS302" s="14">
        <f>INDEX(属性投放!$BS$6:$BS$85,(卡牌属性!$DW302-2)*20+卡牌属性!$DX302)</f>
        <v>14000</v>
      </c>
      <c r="FT302" s="14">
        <f>INDEX(属性投放!$BS$6:$BS$85,(卡牌属性!$DW302-2)*20+卡牌属性!$DX302)</f>
        <v>14000</v>
      </c>
      <c r="FU302" s="14">
        <f>INDEX(属性投放!$BS$6:$BS$85,(卡牌属性!$DW302-2)*20+卡牌属性!$DX302)</f>
        <v>14000</v>
      </c>
      <c r="FV302" s="14">
        <f>INDEX(属性投放!$BS$6:$BS$85,(卡牌属性!$DW302-2)*20+卡牌属性!$DX302)</f>
        <v>14000</v>
      </c>
    </row>
    <row r="303" spans="31:178" ht="16.5" x14ac:dyDescent="0.2">
      <c r="AE303" s="13">
        <v>299</v>
      </c>
      <c r="AF303" s="13">
        <f t="shared" si="560"/>
        <v>15</v>
      </c>
      <c r="AG303" s="13">
        <f t="shared" si="547"/>
        <v>3</v>
      </c>
      <c r="AH303" s="13"/>
      <c r="AI303" s="13"/>
      <c r="AJ303" s="14">
        <f t="shared" si="548"/>
        <v>1101015</v>
      </c>
      <c r="AK303" s="14" t="str">
        <f t="shared" si="549"/>
        <v>阎巧巧19突</v>
      </c>
      <c r="AL303" s="25" t="s">
        <v>142</v>
      </c>
      <c r="AM303" s="14">
        <v>1</v>
      </c>
      <c r="AN303" s="14">
        <f t="shared" si="550"/>
        <v>19</v>
      </c>
      <c r="AO303" s="14">
        <f>INDEX(属性投放!$DF$6:$DF$85,(卡牌属性!AG303-2)*20+卡牌属性!AN303)</f>
        <v>20826</v>
      </c>
      <c r="AP303" s="14">
        <f t="shared" si="591"/>
        <v>20826</v>
      </c>
      <c r="AQ303" s="14">
        <f t="shared" si="591"/>
        <v>20826</v>
      </c>
      <c r="AR303" s="14">
        <f t="shared" si="591"/>
        <v>20826</v>
      </c>
      <c r="AS303" s="14">
        <f t="shared" si="591"/>
        <v>20826</v>
      </c>
      <c r="AT303" s="14">
        <f>INDEX(属性投放!$DG$6:$DG$85,(卡牌属性!AG303-2)*20+卡牌属性!AN303)</f>
        <v>10365</v>
      </c>
      <c r="AU303" s="14">
        <f t="shared" si="592"/>
        <v>10365</v>
      </c>
      <c r="AV303" s="14">
        <f t="shared" si="592"/>
        <v>10365</v>
      </c>
      <c r="AW303" s="14">
        <f t="shared" si="592"/>
        <v>10365</v>
      </c>
      <c r="AX303" s="14">
        <f t="shared" si="592"/>
        <v>10365</v>
      </c>
      <c r="AY303" s="14">
        <f>INDEX(属性投放!$DH$6:$DH$85,(卡牌属性!AG303-2)*20+卡牌属性!AN303)</f>
        <v>197423</v>
      </c>
      <c r="AZ303" s="14">
        <f t="shared" si="593"/>
        <v>197423</v>
      </c>
      <c r="BA303" s="14">
        <f t="shared" si="593"/>
        <v>197423</v>
      </c>
      <c r="BB303" s="14">
        <f t="shared" si="593"/>
        <v>197423</v>
      </c>
      <c r="BC303" s="14">
        <f t="shared" si="593"/>
        <v>197423</v>
      </c>
      <c r="BD303" s="14">
        <f>INDEX(属性投放!$DL$6:$DL$85,(卡牌属性!AG303-2)*20+卡牌属性!AN303)</f>
        <v>486</v>
      </c>
      <c r="BE303" s="14">
        <f t="shared" si="594"/>
        <v>486</v>
      </c>
      <c r="BF303" s="14">
        <f t="shared" si="594"/>
        <v>486</v>
      </c>
      <c r="BG303" s="14">
        <f t="shared" si="594"/>
        <v>486</v>
      </c>
      <c r="BH303" s="14">
        <f t="shared" si="594"/>
        <v>486</v>
      </c>
      <c r="BI303" s="14">
        <f>INDEX(属性投放!$DM$6:$DM$85,(卡牌属性!AG303-2)*20+卡牌属性!AN303)</f>
        <v>243</v>
      </c>
      <c r="BJ303" s="14">
        <f t="shared" si="595"/>
        <v>243</v>
      </c>
      <c r="BK303" s="14">
        <f t="shared" si="595"/>
        <v>243</v>
      </c>
      <c r="BL303" s="14">
        <f t="shared" si="595"/>
        <v>243</v>
      </c>
      <c r="BM303" s="14">
        <f t="shared" si="595"/>
        <v>243</v>
      </c>
      <c r="BN303" s="14">
        <f>INDEX(属性投放!$DN$6:$DN$85,(卡牌属性!AG303-2)*20+卡牌属性!AN303)</f>
        <v>4863</v>
      </c>
      <c r="BO303" s="14">
        <f t="shared" si="596"/>
        <v>4863</v>
      </c>
      <c r="BP303" s="14">
        <f t="shared" si="596"/>
        <v>4863</v>
      </c>
      <c r="BQ303" s="14">
        <f t="shared" si="596"/>
        <v>4863</v>
      </c>
      <c r="BR303" s="14">
        <f t="shared" si="596"/>
        <v>4863</v>
      </c>
      <c r="BW303" s="13">
        <v>299</v>
      </c>
      <c r="BX303" s="13">
        <f t="shared" si="551"/>
        <v>15</v>
      </c>
      <c r="BY303" s="14">
        <f t="shared" si="552"/>
        <v>2</v>
      </c>
      <c r="BZ303" s="14">
        <f t="shared" si="561"/>
        <v>1102015</v>
      </c>
      <c r="CA303" s="14" t="str">
        <f t="shared" si="562"/>
        <v>于禁19突</v>
      </c>
      <c r="CB303" s="25" t="s">
        <v>142</v>
      </c>
      <c r="CC303" s="14">
        <v>2</v>
      </c>
      <c r="CD303" s="14">
        <f t="shared" si="553"/>
        <v>19</v>
      </c>
      <c r="CE303" s="14" t="s">
        <v>21</v>
      </c>
      <c r="CF303" s="14">
        <f>INDEX(属性投放!$AZ$6:$AZ$85,(BY303-2)*20+CD303)</f>
        <v>16965</v>
      </c>
      <c r="CG303" s="14" t="s">
        <v>22</v>
      </c>
      <c r="CH303" s="14">
        <f>INDEX(属性投放!$BA$6:$BA$85,(BY303-2)*20+CD303)</f>
        <v>8450</v>
      </c>
      <c r="CI303" s="14" t="s">
        <v>510</v>
      </c>
      <c r="CJ303" s="14">
        <f>INDEX(属性投放!$BB$6:$BB$85,(BY303-2)*20+CD303)</f>
        <v>161458</v>
      </c>
      <c r="CK303" s="14" t="s">
        <v>21</v>
      </c>
      <c r="CL303" s="14">
        <f>INDEX(属性投放!$BC$6:$BC$85,(BY303-2)*20+CD303)</f>
        <v>25</v>
      </c>
      <c r="CM303" s="14" t="s">
        <v>22</v>
      </c>
      <c r="CN303" s="14">
        <f>INDEX(属性投放!$BD$6:$BD$85,(BY303-2)*20+CD303)</f>
        <v>13</v>
      </c>
      <c r="CO303" s="14" t="s">
        <v>510</v>
      </c>
      <c r="CP303" s="14">
        <f>INDEX(属性投放!$BE$6:$BE$85,(BY303-2)*20+CD303)</f>
        <v>250</v>
      </c>
      <c r="CS303" s="13">
        <v>299</v>
      </c>
      <c r="CT303" s="13">
        <f t="shared" si="563"/>
        <v>6</v>
      </c>
      <c r="CU303" s="13">
        <f t="shared" si="564"/>
        <v>39</v>
      </c>
      <c r="CV303" s="14">
        <f t="shared" si="565"/>
        <v>5</v>
      </c>
      <c r="CW303" s="14">
        <f t="shared" si="566"/>
        <v>1102006</v>
      </c>
      <c r="CX303" s="14" t="str">
        <f>INDEX($O$6:$O$50,CT303)&amp;"-"&amp;INDEX(属性投放!$AB$7:$AB$50,CZ303)&amp;"-魂火-"&amp;DB303</f>
        <v>项羽-大焦热-魂火-3</v>
      </c>
      <c r="CY303" s="25" t="s">
        <v>142</v>
      </c>
      <c r="CZ303" s="14">
        <f>INDEX(属性投放!$AM$7:$AM$58,CU303)</f>
        <v>16</v>
      </c>
      <c r="DA303" s="14" t="s">
        <v>537</v>
      </c>
      <c r="DB303" s="14">
        <f>INDEX(属性投放!$AN$7:$AN$58,CU303)</f>
        <v>3</v>
      </c>
      <c r="DC303" s="14">
        <f t="shared" si="554"/>
        <v>39</v>
      </c>
      <c r="DD303" s="14">
        <f>INDEX(属性投放!$AO$7:$AO$58,DC303)</f>
        <v>115</v>
      </c>
      <c r="DE303" s="14" t="s">
        <v>538</v>
      </c>
      <c r="DF303" s="14">
        <f>INDEX(属性投放!$BK$6:$BK$85,(CV303-2)*20+CZ303)</f>
        <v>580</v>
      </c>
      <c r="DG303" s="14">
        <f>SUMIFS(DF$5:DF303,$CT$5:$CT303,"="&amp;$CT303)</f>
        <v>8579</v>
      </c>
      <c r="DH303" s="14" t="s">
        <v>539</v>
      </c>
      <c r="DI303" s="14">
        <f>INDEX(属性投放!$BL$6:$BL$85,(CV303-2)*20+CZ303)</f>
        <v>290</v>
      </c>
      <c r="DJ303" s="14">
        <f>SUMIFS(DI$5:DI303,$CT$5:$CT303,"="&amp;$CT303)</f>
        <v>4295</v>
      </c>
      <c r="DK303" s="14" t="s">
        <v>540</v>
      </c>
      <c r="DL303" s="14">
        <f>INDEX(属性投放!$BM$6:$BM$85,(CV303-2)*20+CZ303)</f>
        <v>5800</v>
      </c>
      <c r="DM303" s="14">
        <f>SUMIFS(DL$5:DL303,$CT$5:$CT303,"="&amp;$CT303)</f>
        <v>80202</v>
      </c>
      <c r="DR303" s="14">
        <f t="shared" si="555"/>
        <v>1102015</v>
      </c>
      <c r="DS303" s="14" t="str">
        <f t="shared" si="556"/>
        <v>于禁19突</v>
      </c>
      <c r="DT303" s="14">
        <f t="shared" si="567"/>
        <v>3</v>
      </c>
      <c r="DU303" s="14">
        <f t="shared" si="568"/>
        <v>3</v>
      </c>
      <c r="DV303" s="14">
        <f t="shared" si="569"/>
        <v>3</v>
      </c>
      <c r="DW303" s="14">
        <f t="shared" si="557"/>
        <v>2</v>
      </c>
      <c r="DX303" s="14">
        <f t="shared" si="558"/>
        <v>19</v>
      </c>
      <c r="DY303" s="14">
        <f t="shared" si="559"/>
        <v>19</v>
      </c>
      <c r="DZ303" s="14">
        <f>INDEX(属性投放!$AX$6:$AX$85,(卡牌属性!DW303-2)*20+卡牌属性!DX303)</f>
        <v>8</v>
      </c>
      <c r="EA303" s="14">
        <f>INDEX(属性投放!BQ$6:BQ$85,卡牌属性!$DY303)</f>
        <v>1400</v>
      </c>
      <c r="EB303" s="14">
        <f>INDEX(属性投放!BR$6:BR$85,卡牌属性!$DY303)</f>
        <v>700</v>
      </c>
      <c r="EC303" s="14">
        <f>INDEX(属性投放!BS$6:BS$85,卡牌属性!$DY303)</f>
        <v>14000</v>
      </c>
      <c r="ED303" s="14">
        <f t="shared" si="597"/>
        <v>7400</v>
      </c>
      <c r="EE303" s="14">
        <f t="shared" si="598"/>
        <v>7840</v>
      </c>
      <c r="EF303" s="14">
        <f t="shared" si="599"/>
        <v>8346</v>
      </c>
      <c r="EG303" s="14">
        <f t="shared" si="600"/>
        <v>8346</v>
      </c>
      <c r="EH303" s="14">
        <f t="shared" si="601"/>
        <v>8614</v>
      </c>
      <c r="EI303" s="14">
        <f t="shared" si="602"/>
        <v>3674</v>
      </c>
      <c r="EJ303" s="14">
        <f t="shared" si="603"/>
        <v>3900</v>
      </c>
      <c r="EK303" s="14">
        <f t="shared" si="604"/>
        <v>3900</v>
      </c>
      <c r="EL303" s="14">
        <f t="shared" si="605"/>
        <v>4149</v>
      </c>
      <c r="EM303" s="14">
        <f t="shared" si="606"/>
        <v>4293</v>
      </c>
      <c r="EN303" s="14">
        <f t="shared" si="607"/>
        <v>69038</v>
      </c>
      <c r="EO303" s="14">
        <f t="shared" si="608"/>
        <v>72842</v>
      </c>
      <c r="EP303" s="14">
        <f t="shared" si="609"/>
        <v>72842</v>
      </c>
      <c r="EQ303" s="14">
        <f t="shared" si="610"/>
        <v>77210</v>
      </c>
      <c r="ER303" s="14">
        <f t="shared" si="611"/>
        <v>79474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INDEX(属性投放!$BQ$6:$BQ$85,(卡牌属性!$DW303-2)*20+卡牌属性!$DX303)</f>
        <v>1400</v>
      </c>
      <c r="FI303" s="14">
        <f>INDEX(属性投放!$BQ$6:$BQ$85,(卡牌属性!$DW303-2)*20+卡牌属性!$DX303)</f>
        <v>1400</v>
      </c>
      <c r="FJ303" s="14">
        <f>INDEX(属性投放!$BQ$6:$BQ$85,(卡牌属性!$DW303-2)*20+卡牌属性!$DX303)</f>
        <v>1400</v>
      </c>
      <c r="FK303" s="14">
        <f>INDEX(属性投放!$BQ$6:$BQ$85,(卡牌属性!$DW303-2)*20+卡牌属性!$DX303)</f>
        <v>1400</v>
      </c>
      <c r="FL303" s="14">
        <f>INDEX(属性投放!$BQ$6:$BQ$85,(卡牌属性!$DW303-2)*20+卡牌属性!$DX303)</f>
        <v>1400</v>
      </c>
      <c r="FM303" s="14">
        <f>INDEX(属性投放!$BR$6:$BR$85,(卡牌属性!$DW303-2)*20+卡牌属性!$DX303)</f>
        <v>700</v>
      </c>
      <c r="FN303" s="14">
        <f>INDEX(属性投放!$BR$6:$BR$85,(卡牌属性!$DW303-2)*20+卡牌属性!$DX303)</f>
        <v>700</v>
      </c>
      <c r="FO303" s="14">
        <f>INDEX(属性投放!$BR$6:$BR$85,(卡牌属性!$DW303-2)*20+卡牌属性!$DX303)</f>
        <v>700</v>
      </c>
      <c r="FP303" s="14">
        <f>INDEX(属性投放!$BR$6:$BR$85,(卡牌属性!$DW303-2)*20+卡牌属性!$DX303)</f>
        <v>700</v>
      </c>
      <c r="FQ303" s="14">
        <f>INDEX(属性投放!$BR$6:$BR$85,(卡牌属性!$DW303-2)*20+卡牌属性!$DX303)</f>
        <v>700</v>
      </c>
      <c r="FR303" s="14">
        <f>INDEX(属性投放!$BS$6:$BS$85,(卡牌属性!$DW303-2)*20+卡牌属性!$DX303)</f>
        <v>14000</v>
      </c>
      <c r="FS303" s="14">
        <f>INDEX(属性投放!$BS$6:$BS$85,(卡牌属性!$DW303-2)*20+卡牌属性!$DX303)</f>
        <v>14000</v>
      </c>
      <c r="FT303" s="14">
        <f>INDEX(属性投放!$BS$6:$BS$85,(卡牌属性!$DW303-2)*20+卡牌属性!$DX303)</f>
        <v>14000</v>
      </c>
      <c r="FU303" s="14">
        <f>INDEX(属性投放!$BS$6:$BS$85,(卡牌属性!$DW303-2)*20+卡牌属性!$DX303)</f>
        <v>14000</v>
      </c>
      <c r="FV303" s="14">
        <f>INDEX(属性投放!$BS$6:$BS$85,(卡牌属性!$DW303-2)*20+卡牌属性!$DX303)</f>
        <v>14000</v>
      </c>
    </row>
    <row r="304" spans="31:178" ht="16.5" x14ac:dyDescent="0.2">
      <c r="AE304" s="13">
        <v>300</v>
      </c>
      <c r="AF304" s="13">
        <f t="shared" si="560"/>
        <v>15</v>
      </c>
      <c r="AG304" s="13">
        <f t="shared" si="547"/>
        <v>3</v>
      </c>
      <c r="AH304" s="13"/>
      <c r="AI304" s="13"/>
      <c r="AJ304" s="14">
        <f t="shared" si="548"/>
        <v>1101015</v>
      </c>
      <c r="AK304" s="14" t="str">
        <f t="shared" si="549"/>
        <v>阎巧巧20突</v>
      </c>
      <c r="AL304" s="25" t="s">
        <v>142</v>
      </c>
      <c r="AM304" s="14">
        <v>1</v>
      </c>
      <c r="AN304" s="14">
        <f t="shared" si="550"/>
        <v>20</v>
      </c>
      <c r="AO304" s="14">
        <f>INDEX(属性投放!$DF$6:$DF$85,(卡牌属性!AG304-2)*20+卡牌属性!AN304)</f>
        <v>21868</v>
      </c>
      <c r="AP304" s="14">
        <f t="shared" si="591"/>
        <v>21868</v>
      </c>
      <c r="AQ304" s="14">
        <f t="shared" si="591"/>
        <v>21868</v>
      </c>
      <c r="AR304" s="14">
        <f t="shared" si="591"/>
        <v>21868</v>
      </c>
      <c r="AS304" s="14">
        <f t="shared" si="591"/>
        <v>21868</v>
      </c>
      <c r="AT304" s="14">
        <f>INDEX(属性投放!$DG$6:$DG$85,(卡牌属性!AG304-2)*20+卡牌属性!AN304)</f>
        <v>10886</v>
      </c>
      <c r="AU304" s="14">
        <f t="shared" si="592"/>
        <v>10886</v>
      </c>
      <c r="AV304" s="14">
        <f t="shared" si="592"/>
        <v>10886</v>
      </c>
      <c r="AW304" s="14">
        <f t="shared" si="592"/>
        <v>10886</v>
      </c>
      <c r="AX304" s="14">
        <f t="shared" si="592"/>
        <v>10886</v>
      </c>
      <c r="AY304" s="14">
        <f>INDEX(属性投放!$DH$6:$DH$85,(卡牌属性!AG304-2)*20+卡牌属性!AN304)</f>
        <v>207843</v>
      </c>
      <c r="AZ304" s="14">
        <f t="shared" si="593"/>
        <v>207843</v>
      </c>
      <c r="BA304" s="14">
        <f t="shared" si="593"/>
        <v>207843</v>
      </c>
      <c r="BB304" s="14">
        <f t="shared" si="593"/>
        <v>207843</v>
      </c>
      <c r="BC304" s="14">
        <f t="shared" si="593"/>
        <v>207843</v>
      </c>
      <c r="BD304" s="14">
        <f>INDEX(属性投放!$DL$6:$DL$85,(卡牌属性!AG304-2)*20+卡牌属性!AN304)</f>
        <v>486</v>
      </c>
      <c r="BE304" s="14">
        <f t="shared" si="594"/>
        <v>486</v>
      </c>
      <c r="BF304" s="14">
        <f t="shared" si="594"/>
        <v>486</v>
      </c>
      <c r="BG304" s="14">
        <f t="shared" si="594"/>
        <v>486</v>
      </c>
      <c r="BH304" s="14">
        <f t="shared" si="594"/>
        <v>486</v>
      </c>
      <c r="BI304" s="14">
        <f>INDEX(属性投放!$DM$6:$DM$85,(卡牌属性!AG304-2)*20+卡牌属性!AN304)</f>
        <v>243</v>
      </c>
      <c r="BJ304" s="14">
        <f t="shared" si="595"/>
        <v>243</v>
      </c>
      <c r="BK304" s="14">
        <f t="shared" si="595"/>
        <v>243</v>
      </c>
      <c r="BL304" s="14">
        <f t="shared" si="595"/>
        <v>243</v>
      </c>
      <c r="BM304" s="14">
        <f t="shared" si="595"/>
        <v>243</v>
      </c>
      <c r="BN304" s="14">
        <f>INDEX(属性投放!$DN$6:$DN$85,(卡牌属性!AG304-2)*20+卡牌属性!AN304)</f>
        <v>4863</v>
      </c>
      <c r="BO304" s="14">
        <f t="shared" si="596"/>
        <v>4863</v>
      </c>
      <c r="BP304" s="14">
        <f t="shared" si="596"/>
        <v>4863</v>
      </c>
      <c r="BQ304" s="14">
        <f t="shared" si="596"/>
        <v>4863</v>
      </c>
      <c r="BR304" s="14">
        <f t="shared" si="596"/>
        <v>4863</v>
      </c>
      <c r="BW304" s="13">
        <v>300</v>
      </c>
      <c r="BX304" s="13">
        <f t="shared" si="551"/>
        <v>15</v>
      </c>
      <c r="BY304" s="14">
        <f t="shared" si="552"/>
        <v>2</v>
      </c>
      <c r="BZ304" s="14">
        <f t="shared" si="561"/>
        <v>1102015</v>
      </c>
      <c r="CA304" s="14" t="str">
        <f t="shared" si="562"/>
        <v>于禁20突</v>
      </c>
      <c r="CB304" s="25" t="s">
        <v>142</v>
      </c>
      <c r="CC304" s="14">
        <v>2</v>
      </c>
      <c r="CD304" s="14">
        <f t="shared" si="553"/>
        <v>20</v>
      </c>
      <c r="CE304" s="14" t="s">
        <v>21</v>
      </c>
      <c r="CF304" s="14">
        <f>INDEX(属性投放!$AZ$6:$AZ$85,(BY304-2)*20+CD304)</f>
        <v>21115</v>
      </c>
      <c r="CG304" s="14" t="s">
        <v>22</v>
      </c>
      <c r="CH304" s="14">
        <f>INDEX(属性投放!$BA$6:$BA$85,(BY304-2)*20+CD304)</f>
        <v>10529</v>
      </c>
      <c r="CI304" s="14" t="s">
        <v>510</v>
      </c>
      <c r="CJ304" s="14">
        <f>INDEX(属性投放!$BB$6:$BB$85,(BY304-2)*20+CD304)</f>
        <v>202958</v>
      </c>
      <c r="CK304" s="14" t="s">
        <v>21</v>
      </c>
      <c r="CL304" s="14">
        <f>INDEX(属性投放!$BC$6:$BC$85,(BY304-2)*20+CD304)</f>
        <v>25</v>
      </c>
      <c r="CM304" s="14" t="s">
        <v>22</v>
      </c>
      <c r="CN304" s="14">
        <f>INDEX(属性投放!$BD$6:$BD$85,(BY304-2)*20+CD304)</f>
        <v>13</v>
      </c>
      <c r="CO304" s="14" t="s">
        <v>510</v>
      </c>
      <c r="CP304" s="14">
        <f>INDEX(属性投放!$BE$6:$BE$85,(BY304-2)*20+CD304)</f>
        <v>250</v>
      </c>
      <c r="CS304" s="13">
        <v>300</v>
      </c>
      <c r="CT304" s="13">
        <f t="shared" si="563"/>
        <v>6</v>
      </c>
      <c r="CU304" s="13">
        <f t="shared" si="564"/>
        <v>40</v>
      </c>
      <c r="CV304" s="14">
        <f t="shared" si="565"/>
        <v>5</v>
      </c>
      <c r="CW304" s="14">
        <f t="shared" si="566"/>
        <v>1102006</v>
      </c>
      <c r="CX304" s="14" t="str">
        <f>INDEX($O$6:$O$50,CT304)&amp;"-"&amp;INDEX(属性投放!$AB$7:$AB$50,CZ304)&amp;"-魂火-"&amp;DB304</f>
        <v>项羽-大焦热+1-魂火-1</v>
      </c>
      <c r="CY304" s="25" t="s">
        <v>142</v>
      </c>
      <c r="CZ304" s="14">
        <f>INDEX(属性投放!$AM$7:$AM$58,CU304)</f>
        <v>17</v>
      </c>
      <c r="DA304" s="14" t="s">
        <v>537</v>
      </c>
      <c r="DB304" s="14">
        <f>INDEX(属性投放!$AN$7:$AN$58,CU304)</f>
        <v>1</v>
      </c>
      <c r="DC304" s="14">
        <f t="shared" si="554"/>
        <v>40</v>
      </c>
      <c r="DD304" s="14">
        <f>INDEX(属性投放!$AO$7:$AO$58,DC304)</f>
        <v>118</v>
      </c>
      <c r="DE304" s="14" t="s">
        <v>538</v>
      </c>
      <c r="DF304" s="14">
        <f>INDEX(属性投放!$BK$6:$BK$85,(CV304-2)*20+CZ304)</f>
        <v>720</v>
      </c>
      <c r="DG304" s="14">
        <f>SUMIFS(DF$5:DF304,$CT$5:$CT304,"="&amp;$CT304)</f>
        <v>9299</v>
      </c>
      <c r="DH304" s="14" t="s">
        <v>539</v>
      </c>
      <c r="DI304" s="14">
        <f>INDEX(属性投放!$BL$6:$BL$85,(CV304-2)*20+CZ304)</f>
        <v>360</v>
      </c>
      <c r="DJ304" s="14">
        <f>SUMIFS(DI$5:DI304,$CT$5:$CT304,"="&amp;$CT304)</f>
        <v>4655</v>
      </c>
      <c r="DK304" s="14" t="s">
        <v>540</v>
      </c>
      <c r="DL304" s="14">
        <f>INDEX(属性投放!$BM$6:$BM$85,(CV304-2)*20+CZ304)</f>
        <v>7200</v>
      </c>
      <c r="DM304" s="14">
        <f>SUMIFS(DL$5:DL304,$CT$5:$CT304,"="&amp;$CT304)</f>
        <v>87402</v>
      </c>
      <c r="DR304" s="14">
        <f t="shared" si="555"/>
        <v>1102015</v>
      </c>
      <c r="DS304" s="14" t="str">
        <f t="shared" si="556"/>
        <v>于禁20突</v>
      </c>
      <c r="DT304" s="14">
        <f t="shared" si="567"/>
        <v>3</v>
      </c>
      <c r="DU304" s="14">
        <f t="shared" si="568"/>
        <v>3</v>
      </c>
      <c r="DV304" s="14">
        <f t="shared" si="569"/>
        <v>3</v>
      </c>
      <c r="DW304" s="14">
        <f t="shared" si="557"/>
        <v>2</v>
      </c>
      <c r="DX304" s="14">
        <f t="shared" si="558"/>
        <v>20</v>
      </c>
      <c r="DY304" s="14">
        <f t="shared" si="559"/>
        <v>20</v>
      </c>
      <c r="DZ304" s="14">
        <f>INDEX(属性投放!$AX$6:$AX$85,(卡牌属性!DW304-2)*20+卡牌属性!DX304)</f>
        <v>10</v>
      </c>
      <c r="EA304" s="14">
        <f>INDEX(属性投放!BQ$6:BQ$85,卡牌属性!$DY304)</f>
        <v>1500</v>
      </c>
      <c r="EB304" s="14">
        <f>INDEX(属性投放!BR$6:BR$85,卡牌属性!$DY304)</f>
        <v>750</v>
      </c>
      <c r="EC304" s="14">
        <f>INDEX(属性投放!BS$6:BS$85,卡牌属性!$DY304)</f>
        <v>15000</v>
      </c>
      <c r="ED304" s="14">
        <f t="shared" si="597"/>
        <v>9000</v>
      </c>
      <c r="EE304" s="14">
        <f t="shared" si="598"/>
        <v>9480</v>
      </c>
      <c r="EF304" s="14">
        <f t="shared" si="599"/>
        <v>10066</v>
      </c>
      <c r="EG304" s="14">
        <f t="shared" si="600"/>
        <v>10066</v>
      </c>
      <c r="EH304" s="14">
        <f t="shared" si="601"/>
        <v>10374</v>
      </c>
      <c r="EI304" s="14">
        <f t="shared" si="602"/>
        <v>4478</v>
      </c>
      <c r="EJ304" s="14">
        <f t="shared" si="603"/>
        <v>4720</v>
      </c>
      <c r="EK304" s="14">
        <f t="shared" si="604"/>
        <v>4720</v>
      </c>
      <c r="EL304" s="14">
        <f t="shared" si="605"/>
        <v>5009</v>
      </c>
      <c r="EM304" s="14">
        <f t="shared" si="606"/>
        <v>5177</v>
      </c>
      <c r="EN304" s="14">
        <f t="shared" si="607"/>
        <v>85038</v>
      </c>
      <c r="EO304" s="14">
        <f t="shared" si="608"/>
        <v>89242</v>
      </c>
      <c r="EP304" s="14">
        <f t="shared" si="609"/>
        <v>89242</v>
      </c>
      <c r="EQ304" s="14">
        <f t="shared" si="610"/>
        <v>94410</v>
      </c>
      <c r="ER304" s="14">
        <f t="shared" si="611"/>
        <v>97074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INDEX(属性投放!$BQ$6:$BQ$85,(卡牌属性!$DW304-2)*20+卡牌属性!$DX304)</f>
        <v>1500</v>
      </c>
      <c r="FI304" s="14">
        <f>INDEX(属性投放!$BQ$6:$BQ$85,(卡牌属性!$DW304-2)*20+卡牌属性!$DX304)</f>
        <v>1500</v>
      </c>
      <c r="FJ304" s="14">
        <f>INDEX(属性投放!$BQ$6:$BQ$85,(卡牌属性!$DW304-2)*20+卡牌属性!$DX304)</f>
        <v>1500</v>
      </c>
      <c r="FK304" s="14">
        <f>INDEX(属性投放!$BQ$6:$BQ$85,(卡牌属性!$DW304-2)*20+卡牌属性!$DX304)</f>
        <v>1500</v>
      </c>
      <c r="FL304" s="14">
        <f>INDEX(属性投放!$BQ$6:$BQ$85,(卡牌属性!$DW304-2)*20+卡牌属性!$DX304)</f>
        <v>1500</v>
      </c>
      <c r="FM304" s="14">
        <f>INDEX(属性投放!$BR$6:$BR$85,(卡牌属性!$DW304-2)*20+卡牌属性!$DX304)</f>
        <v>750</v>
      </c>
      <c r="FN304" s="14">
        <f>INDEX(属性投放!$BR$6:$BR$85,(卡牌属性!$DW304-2)*20+卡牌属性!$DX304)</f>
        <v>750</v>
      </c>
      <c r="FO304" s="14">
        <f>INDEX(属性投放!$BR$6:$BR$85,(卡牌属性!$DW304-2)*20+卡牌属性!$DX304)</f>
        <v>750</v>
      </c>
      <c r="FP304" s="14">
        <f>INDEX(属性投放!$BR$6:$BR$85,(卡牌属性!$DW304-2)*20+卡牌属性!$DX304)</f>
        <v>750</v>
      </c>
      <c r="FQ304" s="14">
        <f>INDEX(属性投放!$BR$6:$BR$85,(卡牌属性!$DW304-2)*20+卡牌属性!$DX304)</f>
        <v>750</v>
      </c>
      <c r="FR304" s="14">
        <f>INDEX(属性投放!$BS$6:$BS$85,(卡牌属性!$DW304-2)*20+卡牌属性!$DX304)</f>
        <v>15000</v>
      </c>
      <c r="FS304" s="14">
        <f>INDEX(属性投放!$BS$6:$BS$85,(卡牌属性!$DW304-2)*20+卡牌属性!$DX304)</f>
        <v>15000</v>
      </c>
      <c r="FT304" s="14">
        <f>INDEX(属性投放!$BS$6:$BS$85,(卡牌属性!$DW304-2)*20+卡牌属性!$DX304)</f>
        <v>15000</v>
      </c>
      <c r="FU304" s="14">
        <f>INDEX(属性投放!$BS$6:$BS$85,(卡牌属性!$DW304-2)*20+卡牌属性!$DX304)</f>
        <v>15000</v>
      </c>
      <c r="FV304" s="14">
        <f>INDEX(属性投放!$BS$6:$BS$85,(卡牌属性!$DW304-2)*20+卡牌属性!$DX304)</f>
        <v>15000</v>
      </c>
    </row>
    <row r="305" spans="31:178" ht="16.5" x14ac:dyDescent="0.2">
      <c r="AE305" s="13">
        <v>301</v>
      </c>
      <c r="AF305" s="13">
        <f t="shared" si="560"/>
        <v>16</v>
      </c>
      <c r="AG305" s="13">
        <f t="shared" si="547"/>
        <v>2</v>
      </c>
      <c r="AH305" s="13"/>
      <c r="AI305" s="13"/>
      <c r="AJ305" s="14">
        <f t="shared" si="548"/>
        <v>1101041</v>
      </c>
      <c r="AK305" s="14" t="str">
        <f t="shared" si="549"/>
        <v>常服夏玲1突</v>
      </c>
      <c r="AL305" s="25" t="s">
        <v>142</v>
      </c>
      <c r="AM305" s="14">
        <v>1</v>
      </c>
      <c r="AN305" s="14">
        <f t="shared" si="550"/>
        <v>1</v>
      </c>
      <c r="AO305" s="14">
        <f>INDEX(属性投放!$DF$6:$DF$85,(卡牌属性!AG305-2)*20+卡牌属性!AN305)</f>
        <v>100</v>
      </c>
      <c r="AP305" s="14">
        <f t="shared" ref="AP305:AS324" si="612">$AO305</f>
        <v>100</v>
      </c>
      <c r="AQ305" s="14">
        <f t="shared" si="612"/>
        <v>100</v>
      </c>
      <c r="AR305" s="14">
        <f t="shared" si="612"/>
        <v>100</v>
      </c>
      <c r="AS305" s="14">
        <f t="shared" si="612"/>
        <v>100</v>
      </c>
      <c r="AT305" s="14">
        <f>INDEX(属性投放!$DG$6:$DG$85,(卡牌属性!AG305-2)*20+卡牌属性!AN305)</f>
        <v>0</v>
      </c>
      <c r="AU305" s="14">
        <f t="shared" ref="AU305:AX324" si="613">$AT305</f>
        <v>0</v>
      </c>
      <c r="AV305" s="14">
        <f t="shared" si="613"/>
        <v>0</v>
      </c>
      <c r="AW305" s="14">
        <f t="shared" si="613"/>
        <v>0</v>
      </c>
      <c r="AX305" s="14">
        <f t="shared" si="613"/>
        <v>0</v>
      </c>
      <c r="AY305" s="14">
        <f>INDEX(属性投放!$DH$6:$DH$85,(卡牌属性!AG305-2)*20+卡牌属性!AN305)</f>
        <v>250.00000000000003</v>
      </c>
      <c r="AZ305" s="14">
        <f t="shared" ref="AZ305:BC324" si="614">$AY305</f>
        <v>250.00000000000003</v>
      </c>
      <c r="BA305" s="14">
        <f t="shared" si="614"/>
        <v>250.00000000000003</v>
      </c>
      <c r="BB305" s="14">
        <f t="shared" si="614"/>
        <v>250.00000000000003</v>
      </c>
      <c r="BC305" s="14">
        <f t="shared" si="614"/>
        <v>250.00000000000003</v>
      </c>
      <c r="BD305" s="14">
        <f>INDEX(属性投放!$DL$6:$DL$85,(卡牌属性!AG305-2)*20+卡牌属性!AN305)</f>
        <v>6</v>
      </c>
      <c r="BE305" s="14">
        <f t="shared" ref="BE305:BH324" si="615">$BD305</f>
        <v>6</v>
      </c>
      <c r="BF305" s="14">
        <f t="shared" si="615"/>
        <v>6</v>
      </c>
      <c r="BG305" s="14">
        <f t="shared" si="615"/>
        <v>6</v>
      </c>
      <c r="BH305" s="14">
        <f t="shared" si="615"/>
        <v>6</v>
      </c>
      <c r="BI305" s="14">
        <f>INDEX(属性投放!$DM$6:$DM$85,(卡牌属性!AG305-2)*20+卡牌属性!AN305)</f>
        <v>3</v>
      </c>
      <c r="BJ305" s="14">
        <f t="shared" ref="BJ305:BM324" si="616">$BI305</f>
        <v>3</v>
      </c>
      <c r="BK305" s="14">
        <f t="shared" si="616"/>
        <v>3</v>
      </c>
      <c r="BL305" s="14">
        <f t="shared" si="616"/>
        <v>3</v>
      </c>
      <c r="BM305" s="14">
        <f t="shared" si="616"/>
        <v>3</v>
      </c>
      <c r="BN305" s="14">
        <f>INDEX(属性投放!$DN$6:$DN$85,(卡牌属性!AG305-2)*20+卡牌属性!AN305)</f>
        <v>36</v>
      </c>
      <c r="BO305" s="14">
        <f t="shared" ref="BO305:BR324" si="617">$BN305</f>
        <v>36</v>
      </c>
      <c r="BP305" s="14">
        <f t="shared" si="617"/>
        <v>36</v>
      </c>
      <c r="BQ305" s="14">
        <f t="shared" si="617"/>
        <v>36</v>
      </c>
      <c r="BR305" s="14">
        <f t="shared" si="617"/>
        <v>36</v>
      </c>
      <c r="BW305" s="13">
        <v>301</v>
      </c>
      <c r="BX305" s="13">
        <f t="shared" si="551"/>
        <v>16</v>
      </c>
      <c r="BY305" s="14">
        <f t="shared" si="552"/>
        <v>4</v>
      </c>
      <c r="BZ305" s="14">
        <f t="shared" si="561"/>
        <v>1102016</v>
      </c>
      <c r="CA305" s="14" t="str">
        <f t="shared" si="562"/>
        <v>西方龙1突</v>
      </c>
      <c r="CB305" s="25" t="s">
        <v>142</v>
      </c>
      <c r="CC305" s="14">
        <v>2</v>
      </c>
      <c r="CD305" s="14">
        <f t="shared" si="553"/>
        <v>1</v>
      </c>
      <c r="CE305" s="14" t="s">
        <v>21</v>
      </c>
      <c r="CF305" s="14">
        <f>INDEX(属性投放!$AZ$6:$AZ$85,(BY305-2)*20+CD305)</f>
        <v>200</v>
      </c>
      <c r="CG305" s="14" t="s">
        <v>22</v>
      </c>
      <c r="CH305" s="14">
        <f>INDEX(属性投放!$BA$6:$BA$85,(BY305-2)*20+CD305)</f>
        <v>25</v>
      </c>
      <c r="CI305" s="14" t="s">
        <v>510</v>
      </c>
      <c r="CJ305" s="14">
        <f>INDEX(属性投放!$BB$6:$BB$85,(BY305-2)*20+CD305)</f>
        <v>800</v>
      </c>
      <c r="CK305" s="14" t="s">
        <v>21</v>
      </c>
      <c r="CL305" s="14">
        <f>INDEX(属性投放!$BC$6:$BC$85,(BY305-2)*20+CD305)</f>
        <v>12</v>
      </c>
      <c r="CM305" s="14" t="s">
        <v>22</v>
      </c>
      <c r="CN305" s="14">
        <f>INDEX(属性投放!$BD$6:$BD$85,(BY305-2)*20+CD305)</f>
        <v>6</v>
      </c>
      <c r="CO305" s="14" t="s">
        <v>510</v>
      </c>
      <c r="CP305" s="14">
        <f>INDEX(属性投放!$BE$6:$BE$85,(BY305-2)*20+CD305)</f>
        <v>72</v>
      </c>
      <c r="CS305" s="13">
        <v>301</v>
      </c>
      <c r="CT305" s="13">
        <f t="shared" si="563"/>
        <v>6</v>
      </c>
      <c r="CU305" s="13">
        <f t="shared" si="564"/>
        <v>41</v>
      </c>
      <c r="CV305" s="14">
        <f t="shared" si="565"/>
        <v>5</v>
      </c>
      <c r="CW305" s="14">
        <f t="shared" si="566"/>
        <v>1102006</v>
      </c>
      <c r="CX305" s="14" t="str">
        <f>INDEX($O$6:$O$50,CT305)&amp;"-"&amp;INDEX(属性投放!$AB$7:$AB$50,CZ305)&amp;"-魂火-"&amp;DB305</f>
        <v>项羽-大焦热+1-魂火-2</v>
      </c>
      <c r="CY305" s="25" t="s">
        <v>142</v>
      </c>
      <c r="CZ305" s="14">
        <f>INDEX(属性投放!$AM$7:$AM$58,CU305)</f>
        <v>17</v>
      </c>
      <c r="DA305" s="14" t="s">
        <v>537</v>
      </c>
      <c r="DB305" s="14">
        <f>INDEX(属性投放!$AN$7:$AN$58,CU305)</f>
        <v>2</v>
      </c>
      <c r="DC305" s="14">
        <f t="shared" si="554"/>
        <v>41</v>
      </c>
      <c r="DD305" s="14">
        <f>INDEX(属性投放!$AO$7:$AO$58,DC305)</f>
        <v>120</v>
      </c>
      <c r="DE305" s="14" t="s">
        <v>538</v>
      </c>
      <c r="DF305" s="14">
        <f>INDEX(属性投放!$BK$6:$BK$85,(CV305-2)*20+CZ305)</f>
        <v>720</v>
      </c>
      <c r="DG305" s="14">
        <f>SUMIFS(DF$5:DF305,$CT$5:$CT305,"="&amp;$CT305)</f>
        <v>10019</v>
      </c>
      <c r="DH305" s="14" t="s">
        <v>539</v>
      </c>
      <c r="DI305" s="14">
        <f>INDEX(属性投放!$BL$6:$BL$85,(CV305-2)*20+CZ305)</f>
        <v>360</v>
      </c>
      <c r="DJ305" s="14">
        <f>SUMIFS(DI$5:DI305,$CT$5:$CT305,"="&amp;$CT305)</f>
        <v>5015</v>
      </c>
      <c r="DK305" s="14" t="s">
        <v>540</v>
      </c>
      <c r="DL305" s="14">
        <f>INDEX(属性投放!$BM$6:$BM$85,(CV305-2)*20+CZ305)</f>
        <v>7200</v>
      </c>
      <c r="DM305" s="14">
        <f>SUMIFS(DL$5:DL305,$CT$5:$CT305,"="&amp;$CT305)</f>
        <v>94602</v>
      </c>
      <c r="DR305" s="14">
        <f t="shared" si="555"/>
        <v>1102016</v>
      </c>
      <c r="DS305" s="14" t="str">
        <f t="shared" si="556"/>
        <v>西方龙1突</v>
      </c>
      <c r="DT305" s="14">
        <f t="shared" si="567"/>
        <v>6</v>
      </c>
      <c r="DU305" s="14">
        <f t="shared" si="568"/>
        <v>7</v>
      </c>
      <c r="DV305" s="14">
        <f t="shared" si="569"/>
        <v>8</v>
      </c>
      <c r="DW305" s="14">
        <f t="shared" si="557"/>
        <v>4</v>
      </c>
      <c r="DX305" s="14">
        <f t="shared" si="558"/>
        <v>1</v>
      </c>
      <c r="DY305" s="14">
        <f t="shared" si="559"/>
        <v>41</v>
      </c>
      <c r="DZ305" s="14">
        <f>INDEX(属性投放!$AX$6:$AX$85,(卡牌属性!DW305-2)*20+卡牌属性!DX305)</f>
        <v>4</v>
      </c>
      <c r="EA305" s="14">
        <f>INDEX(属性投放!BQ$6:BQ$85,卡牌属性!$DY305)</f>
        <v>35</v>
      </c>
      <c r="EB305" s="14">
        <f>INDEX(属性投放!BR$6:BR$85,卡牌属性!$DY305)</f>
        <v>18</v>
      </c>
      <c r="EC305" s="14">
        <f>INDEX(属性投放!BS$6:BS$85,卡牌属性!$DY305)</f>
        <v>210</v>
      </c>
      <c r="ED305" s="14">
        <f>INDEX(属性偏向!$I$4:$I$15,卡牌属性!$DT305+ED$3)</f>
        <v>175</v>
      </c>
      <c r="EE305" s="14">
        <f>INDEX(属性偏向!$I$4:$I$15,卡牌属性!$DT305+EE$3)</f>
        <v>200</v>
      </c>
      <c r="EF305" s="14">
        <f>INDEX(属性偏向!$I$4:$I$15,卡牌属性!$DT305+EF$3)</f>
        <v>250</v>
      </c>
      <c r="EG305" s="14">
        <f>INDEX(属性偏向!$I$4:$I$15,卡牌属性!$DT305+EG$3)</f>
        <v>250</v>
      </c>
      <c r="EH305" s="14">
        <f>INDEX(属性偏向!$I$4:$I$15,卡牌属性!$DT305+EH$3)</f>
        <v>300</v>
      </c>
      <c r="EI305" s="14">
        <f>INDEX(属性偏向!$J$4:$J$15,卡牌属性!$DU305+EI$3)</f>
        <v>50</v>
      </c>
      <c r="EJ305" s="14">
        <f>INDEX(属性偏向!$J$4:$J$15,卡牌属性!$DU305+EJ$3)</f>
        <v>75</v>
      </c>
      <c r="EK305" s="14">
        <f>INDEX(属性偏向!$J$4:$J$15,卡牌属性!$DU305+EK$3)</f>
        <v>75</v>
      </c>
      <c r="EL305" s="14">
        <f>INDEX(属性偏向!$J$4:$J$15,卡牌属性!$DU305+EL$3)</f>
        <v>100</v>
      </c>
      <c r="EM305" s="14">
        <f>INDEX(属性偏向!$J$4:$J$15,卡牌属性!$DU305+EM$3)</f>
        <v>150</v>
      </c>
      <c r="EN305" s="14">
        <f>INDEX(属性偏向!$K$4:$K$15,卡牌属性!$DV305+EN$3)</f>
        <v>1000</v>
      </c>
      <c r="EO305" s="14">
        <f>INDEX(属性偏向!$K$4:$K$15,卡牌属性!$DV305+EO$3)</f>
        <v>1200</v>
      </c>
      <c r="EP305" s="14">
        <f>INDEX(属性偏向!$K$4:$K$15,卡牌属性!$DV305+EP$3)</f>
        <v>1200</v>
      </c>
      <c r="EQ305" s="14">
        <f>INDEX(属性偏向!$K$4:$K$15,卡牌属性!$DV305+EQ$3)</f>
        <v>1500</v>
      </c>
      <c r="ER305" s="14">
        <f>INDEX(属性偏向!$K$4:$K$15,卡牌属性!$DV305+ER$3)</f>
        <v>2000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78</v>
      </c>
      <c r="FD305" s="14">
        <f>INDEX(属性偏向!$U$4:$U$243,(卡牌属性!$DV305-1+FD$3)*20+卡牌属性!$DX305)</f>
        <v>90</v>
      </c>
      <c r="FE305" s="14">
        <f>INDEX(属性偏向!$U$4:$U$243,(卡牌属性!$DV305-1+FE$3)*20+卡牌属性!$DX305)</f>
        <v>90</v>
      </c>
      <c r="FF305" s="14">
        <f>INDEX(属性偏向!$U$4:$U$243,(卡牌属性!$DV305-1+FF$3)*20+卡牌属性!$DX305)</f>
        <v>120</v>
      </c>
      <c r="FG305" s="14">
        <f>INDEX(属性偏向!$U$4:$U$243,(卡牌属性!$DV305-1+FG$3)*20+卡牌属性!$DX305)</f>
        <v>150</v>
      </c>
      <c r="FH305" s="14">
        <f>INDEX(属性投放!$BQ$6:$BQ$85,(卡牌属性!$DW305-2)*20+卡牌属性!$DX305)</f>
        <v>35</v>
      </c>
      <c r="FI305" s="14">
        <f>INDEX(属性投放!$BQ$6:$BQ$85,(卡牌属性!$DW305-2)*20+卡牌属性!$DX305)</f>
        <v>35</v>
      </c>
      <c r="FJ305" s="14">
        <f>INDEX(属性投放!$BQ$6:$BQ$85,(卡牌属性!$DW305-2)*20+卡牌属性!$DX305)</f>
        <v>35</v>
      </c>
      <c r="FK305" s="14">
        <f>INDEX(属性投放!$BQ$6:$BQ$85,(卡牌属性!$DW305-2)*20+卡牌属性!$DX305)</f>
        <v>35</v>
      </c>
      <c r="FL305" s="14">
        <f>INDEX(属性投放!$BQ$6:$BQ$85,(卡牌属性!$DW305-2)*20+卡牌属性!$DX305)</f>
        <v>35</v>
      </c>
      <c r="FM305" s="14">
        <f>INDEX(属性投放!$BR$6:$BR$85,(卡牌属性!$DW305-2)*20+卡牌属性!$DX305)</f>
        <v>18</v>
      </c>
      <c r="FN305" s="14">
        <f>INDEX(属性投放!$BR$6:$BR$85,(卡牌属性!$DW305-2)*20+卡牌属性!$DX305)</f>
        <v>18</v>
      </c>
      <c r="FO305" s="14">
        <f>INDEX(属性投放!$BR$6:$BR$85,(卡牌属性!$DW305-2)*20+卡牌属性!$DX305)</f>
        <v>18</v>
      </c>
      <c r="FP305" s="14">
        <f>INDEX(属性投放!$BR$6:$BR$85,(卡牌属性!$DW305-2)*20+卡牌属性!$DX305)</f>
        <v>18</v>
      </c>
      <c r="FQ305" s="14">
        <f>INDEX(属性投放!$BR$6:$BR$85,(卡牌属性!$DW305-2)*20+卡牌属性!$DX305)</f>
        <v>18</v>
      </c>
      <c r="FR305" s="14">
        <f>INDEX(属性投放!$BS$6:$BS$85,(卡牌属性!$DW305-2)*20+卡牌属性!$DX305)</f>
        <v>210</v>
      </c>
      <c r="FS305" s="14">
        <f>INDEX(属性投放!$BS$6:$BS$85,(卡牌属性!$DW305-2)*20+卡牌属性!$DX305)</f>
        <v>210</v>
      </c>
      <c r="FT305" s="14">
        <f>INDEX(属性投放!$BS$6:$BS$85,(卡牌属性!$DW305-2)*20+卡牌属性!$DX305)</f>
        <v>210</v>
      </c>
      <c r="FU305" s="14">
        <f>INDEX(属性投放!$BS$6:$BS$85,(卡牌属性!$DW305-2)*20+卡牌属性!$DX305)</f>
        <v>210</v>
      </c>
      <c r="FV305" s="14">
        <f>INDEX(属性投放!$BS$6:$BS$85,(卡牌属性!$DW305-2)*20+卡牌属性!$DX305)</f>
        <v>210</v>
      </c>
    </row>
    <row r="306" spans="31:178" ht="16.5" x14ac:dyDescent="0.2">
      <c r="AE306" s="13">
        <v>302</v>
      </c>
      <c r="AF306" s="13">
        <f t="shared" si="560"/>
        <v>16</v>
      </c>
      <c r="AG306" s="13">
        <f t="shared" si="547"/>
        <v>2</v>
      </c>
      <c r="AH306" s="13"/>
      <c r="AI306" s="13"/>
      <c r="AJ306" s="14">
        <f t="shared" si="548"/>
        <v>1101041</v>
      </c>
      <c r="AK306" s="14" t="str">
        <f t="shared" si="549"/>
        <v>常服夏玲2突</v>
      </c>
      <c r="AL306" s="25" t="s">
        <v>142</v>
      </c>
      <c r="AM306" s="14">
        <v>1</v>
      </c>
      <c r="AN306" s="14">
        <f t="shared" si="550"/>
        <v>2</v>
      </c>
      <c r="AO306" s="14">
        <f>INDEX(属性投放!$DF$6:$DF$85,(卡牌属性!AG306-2)*20+卡牌属性!AN306)</f>
        <v>160</v>
      </c>
      <c r="AP306" s="14">
        <f t="shared" si="612"/>
        <v>160</v>
      </c>
      <c r="AQ306" s="14">
        <f t="shared" si="612"/>
        <v>160</v>
      </c>
      <c r="AR306" s="14">
        <f t="shared" si="612"/>
        <v>160</v>
      </c>
      <c r="AS306" s="14">
        <f t="shared" si="612"/>
        <v>160</v>
      </c>
      <c r="AT306" s="14">
        <f>INDEX(属性投放!$DG$6:$DG$85,(卡牌属性!AG306-2)*20+卡牌属性!AN306)</f>
        <v>30</v>
      </c>
      <c r="AU306" s="14">
        <f t="shared" si="613"/>
        <v>30</v>
      </c>
      <c r="AV306" s="14">
        <f t="shared" si="613"/>
        <v>30</v>
      </c>
      <c r="AW306" s="14">
        <f t="shared" si="613"/>
        <v>30</v>
      </c>
      <c r="AX306" s="14">
        <f t="shared" si="613"/>
        <v>30</v>
      </c>
      <c r="AY306" s="14">
        <f>INDEX(属性投放!$DH$6:$DH$85,(卡牌属性!AG306-2)*20+卡牌属性!AN306)</f>
        <v>610</v>
      </c>
      <c r="AZ306" s="14">
        <f t="shared" si="614"/>
        <v>610</v>
      </c>
      <c r="BA306" s="14">
        <f t="shared" si="614"/>
        <v>610</v>
      </c>
      <c r="BB306" s="14">
        <f t="shared" si="614"/>
        <v>610</v>
      </c>
      <c r="BC306" s="14">
        <f t="shared" si="614"/>
        <v>610</v>
      </c>
      <c r="BD306" s="14">
        <f>INDEX(属性投放!$DL$6:$DL$85,(卡牌属性!AG306-2)*20+卡牌属性!AN306)</f>
        <v>12</v>
      </c>
      <c r="BE306" s="14">
        <f t="shared" si="615"/>
        <v>12</v>
      </c>
      <c r="BF306" s="14">
        <f t="shared" si="615"/>
        <v>12</v>
      </c>
      <c r="BG306" s="14">
        <f t="shared" si="615"/>
        <v>12</v>
      </c>
      <c r="BH306" s="14">
        <f t="shared" si="615"/>
        <v>12</v>
      </c>
      <c r="BI306" s="14">
        <f>INDEX(属性投放!$DM$6:$DM$85,(卡牌属性!AG306-2)*20+卡牌属性!AN306)</f>
        <v>6</v>
      </c>
      <c r="BJ306" s="14">
        <f t="shared" si="616"/>
        <v>6</v>
      </c>
      <c r="BK306" s="14">
        <f t="shared" si="616"/>
        <v>6</v>
      </c>
      <c r="BL306" s="14">
        <f t="shared" si="616"/>
        <v>6</v>
      </c>
      <c r="BM306" s="14">
        <f t="shared" si="616"/>
        <v>6</v>
      </c>
      <c r="BN306" s="14">
        <f>INDEX(属性投放!$DN$6:$DN$85,(卡牌属性!AG306-2)*20+卡牌属性!AN306)</f>
        <v>70</v>
      </c>
      <c r="BO306" s="14">
        <f t="shared" si="617"/>
        <v>70</v>
      </c>
      <c r="BP306" s="14">
        <f t="shared" si="617"/>
        <v>70</v>
      </c>
      <c r="BQ306" s="14">
        <f t="shared" si="617"/>
        <v>70</v>
      </c>
      <c r="BR306" s="14">
        <f t="shared" si="617"/>
        <v>70</v>
      </c>
      <c r="BW306" s="13">
        <v>302</v>
      </c>
      <c r="BX306" s="13">
        <f t="shared" si="551"/>
        <v>16</v>
      </c>
      <c r="BY306" s="14">
        <f t="shared" si="552"/>
        <v>4</v>
      </c>
      <c r="BZ306" s="14">
        <f t="shared" si="561"/>
        <v>1102016</v>
      </c>
      <c r="CA306" s="14" t="str">
        <f t="shared" si="562"/>
        <v>西方龙2突</v>
      </c>
      <c r="CB306" s="25" t="s">
        <v>142</v>
      </c>
      <c r="CC306" s="14">
        <v>2</v>
      </c>
      <c r="CD306" s="14">
        <f t="shared" si="553"/>
        <v>2</v>
      </c>
      <c r="CE306" s="14" t="s">
        <v>21</v>
      </c>
      <c r="CF306" s="14">
        <f>INDEX(属性投放!$AZ$6:$AZ$85,(BY306-2)*20+CD306)</f>
        <v>308</v>
      </c>
      <c r="CG306" s="14" t="s">
        <v>22</v>
      </c>
      <c r="CH306" s="14">
        <f>INDEX(属性投放!$BA$6:$BA$85,(BY306-2)*20+CD306)</f>
        <v>80</v>
      </c>
      <c r="CI306" s="14" t="s">
        <v>510</v>
      </c>
      <c r="CJ306" s="14">
        <f>INDEX(属性投放!$BB$6:$BB$85,(BY306-2)*20+CD306)</f>
        <v>1448</v>
      </c>
      <c r="CK306" s="14" t="s">
        <v>21</v>
      </c>
      <c r="CL306" s="14">
        <f>INDEX(属性投放!$BC$6:$BC$85,(BY306-2)*20+CD306)</f>
        <v>15</v>
      </c>
      <c r="CM306" s="14" t="s">
        <v>22</v>
      </c>
      <c r="CN306" s="14">
        <f>INDEX(属性投放!$BD$6:$BD$85,(BY306-2)*20+CD306)</f>
        <v>8</v>
      </c>
      <c r="CO306" s="14" t="s">
        <v>510</v>
      </c>
      <c r="CP306" s="14">
        <f>INDEX(属性投放!$BE$6:$BE$85,(BY306-2)*20+CD306)</f>
        <v>90</v>
      </c>
      <c r="CS306" s="13">
        <v>302</v>
      </c>
      <c r="CT306" s="13">
        <f t="shared" si="563"/>
        <v>6</v>
      </c>
      <c r="CU306" s="13">
        <f t="shared" si="564"/>
        <v>42</v>
      </c>
      <c r="CV306" s="14">
        <f t="shared" si="565"/>
        <v>5</v>
      </c>
      <c r="CW306" s="14">
        <f t="shared" si="566"/>
        <v>1102006</v>
      </c>
      <c r="CX306" s="14" t="str">
        <f>INDEX($O$6:$O$50,CT306)&amp;"-"&amp;INDEX(属性投放!$AB$7:$AB$50,CZ306)&amp;"-魂火-"&amp;DB306</f>
        <v>项羽-大焦热+1-魂火-3</v>
      </c>
      <c r="CY306" s="25" t="s">
        <v>142</v>
      </c>
      <c r="CZ306" s="14">
        <f>INDEX(属性投放!$AM$7:$AM$58,CU306)</f>
        <v>17</v>
      </c>
      <c r="DA306" s="14" t="s">
        <v>537</v>
      </c>
      <c r="DB306" s="14">
        <f>INDEX(属性投放!$AN$7:$AN$58,CU306)</f>
        <v>3</v>
      </c>
      <c r="DC306" s="14">
        <f t="shared" si="554"/>
        <v>42</v>
      </c>
      <c r="DD306" s="14">
        <f>INDEX(属性投放!$AO$7:$AO$58,DC306)</f>
        <v>123</v>
      </c>
      <c r="DE306" s="14" t="s">
        <v>538</v>
      </c>
      <c r="DF306" s="14">
        <f>INDEX(属性投放!$BK$6:$BK$85,(CV306-2)*20+CZ306)</f>
        <v>720</v>
      </c>
      <c r="DG306" s="14">
        <f>SUMIFS(DF$5:DF306,$CT$5:$CT306,"="&amp;$CT306)</f>
        <v>10739</v>
      </c>
      <c r="DH306" s="14" t="s">
        <v>539</v>
      </c>
      <c r="DI306" s="14">
        <f>INDEX(属性投放!$BL$6:$BL$85,(CV306-2)*20+CZ306)</f>
        <v>360</v>
      </c>
      <c r="DJ306" s="14">
        <f>SUMIFS(DI$5:DI306,$CT$5:$CT306,"="&amp;$CT306)</f>
        <v>5375</v>
      </c>
      <c r="DK306" s="14" t="s">
        <v>540</v>
      </c>
      <c r="DL306" s="14">
        <f>INDEX(属性投放!$BM$6:$BM$85,(CV306-2)*20+CZ306)</f>
        <v>7200</v>
      </c>
      <c r="DM306" s="14">
        <f>SUMIFS(DL$5:DL306,$CT$5:$CT306,"="&amp;$CT306)</f>
        <v>101802</v>
      </c>
      <c r="DR306" s="14">
        <f t="shared" si="555"/>
        <v>1102016</v>
      </c>
      <c r="DS306" s="14" t="str">
        <f t="shared" si="556"/>
        <v>西方龙2突</v>
      </c>
      <c r="DT306" s="14">
        <f t="shared" si="567"/>
        <v>6</v>
      </c>
      <c r="DU306" s="14">
        <f t="shared" si="568"/>
        <v>7</v>
      </c>
      <c r="DV306" s="14">
        <f t="shared" si="569"/>
        <v>8</v>
      </c>
      <c r="DW306" s="14">
        <f t="shared" si="557"/>
        <v>4</v>
      </c>
      <c r="DX306" s="14">
        <f t="shared" si="558"/>
        <v>2</v>
      </c>
      <c r="DY306" s="14">
        <f t="shared" si="559"/>
        <v>42</v>
      </c>
      <c r="DZ306" s="14">
        <f>INDEX(属性投放!$AX$6:$AX$85,(卡牌属性!DW306-2)*20+卡牌属性!DX306)</f>
        <v>10</v>
      </c>
      <c r="EA306" s="14">
        <f>INDEX(属性投放!BQ$6:BQ$85,卡牌属性!$DY306)</f>
        <v>40</v>
      </c>
      <c r="EB306" s="14">
        <f>INDEX(属性投放!BR$6:BR$85,卡牌属性!$DY306)</f>
        <v>20</v>
      </c>
      <c r="EC306" s="14">
        <f>INDEX(属性投放!BS$6:BS$85,卡牌属性!$DY306)</f>
        <v>240</v>
      </c>
      <c r="ED306" s="14">
        <f t="shared" ref="ED306:ED324" si="618">ED305+$EA305+ES305*$DZ305</f>
        <v>250</v>
      </c>
      <c r="EE306" s="14">
        <f t="shared" ref="EE306:EE324" si="619">EE305+$EA305+ET305*$DZ305</f>
        <v>283</v>
      </c>
      <c r="EF306" s="14">
        <f t="shared" ref="EF306:EF324" si="620">EF305+$EA305+EU305*$DZ305</f>
        <v>337</v>
      </c>
      <c r="EG306" s="14">
        <f t="shared" ref="EG306:EG324" si="621">EG305+$EA305+EV305*$DZ305</f>
        <v>337</v>
      </c>
      <c r="EH306" s="14">
        <f t="shared" ref="EH306:EH324" si="622">EH305+$EA305+EW305*$DZ305</f>
        <v>395</v>
      </c>
      <c r="EI306" s="14">
        <f t="shared" ref="EI306:EI324" si="623">EI305+$EB305+EX305*$DZ305</f>
        <v>92</v>
      </c>
      <c r="EJ306" s="14">
        <f t="shared" ref="EJ306:EJ324" si="624">EJ305+$EB305+EY305*$DZ305</f>
        <v>121</v>
      </c>
      <c r="EK306" s="14">
        <f t="shared" ref="EK306:EK324" si="625">EK305+$EB305+EZ305*$DZ305</f>
        <v>121</v>
      </c>
      <c r="EL306" s="14">
        <f t="shared" ref="EL306:EL324" si="626">EL305+$EB305+FA305*$DZ305</f>
        <v>150</v>
      </c>
      <c r="EM306" s="14">
        <f t="shared" ref="EM306:EM324" si="627">EM305+$EB305+FB305*$DZ305</f>
        <v>208</v>
      </c>
      <c r="EN306" s="14">
        <f t="shared" ref="EN306:EN324" si="628">EN305+$EC305+FC305*$DZ305</f>
        <v>1522</v>
      </c>
      <c r="EO306" s="14">
        <f t="shared" ref="EO306:EO324" si="629">EO305+$EC305+FD305*$DZ305</f>
        <v>1770</v>
      </c>
      <c r="EP306" s="14">
        <f t="shared" ref="EP306:EP324" si="630">EP305+$EC305+FE305*$DZ305</f>
        <v>1770</v>
      </c>
      <c r="EQ306" s="14">
        <f t="shared" ref="EQ306:EQ324" si="631">EQ305+$EC305+FF305*$DZ305</f>
        <v>2190</v>
      </c>
      <c r="ER306" s="14">
        <f t="shared" ref="ER306:ER324" si="632">ER305+$EC305+FG305*$DZ305</f>
        <v>2810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102</v>
      </c>
      <c r="FD306" s="14">
        <f>INDEX(属性偏向!$U$4:$U$243,(卡牌属性!$DV306-1+FD$3)*20+卡牌属性!$DX306)</f>
        <v>120</v>
      </c>
      <c r="FE306" s="14">
        <f>INDEX(属性偏向!$U$4:$U$243,(卡牌属性!$DV306-1+FE$3)*20+卡牌属性!$DX306)</f>
        <v>120</v>
      </c>
      <c r="FF306" s="14">
        <f>INDEX(属性偏向!$U$4:$U$243,(卡牌属性!$DV306-1+FF$3)*20+卡牌属性!$DX306)</f>
        <v>150</v>
      </c>
      <c r="FG306" s="14">
        <f>INDEX(属性偏向!$U$4:$U$243,(卡牌属性!$DV306-1+FG$3)*20+卡牌属性!$DX306)</f>
        <v>180</v>
      </c>
      <c r="FH306" s="14">
        <f>INDEX(属性投放!$BQ$6:$BQ$85,(卡牌属性!$DW306-2)*20+卡牌属性!$DX306)</f>
        <v>40</v>
      </c>
      <c r="FI306" s="14">
        <f>INDEX(属性投放!$BQ$6:$BQ$85,(卡牌属性!$DW306-2)*20+卡牌属性!$DX306)</f>
        <v>40</v>
      </c>
      <c r="FJ306" s="14">
        <f>INDEX(属性投放!$BQ$6:$BQ$85,(卡牌属性!$DW306-2)*20+卡牌属性!$DX306)</f>
        <v>40</v>
      </c>
      <c r="FK306" s="14">
        <f>INDEX(属性投放!$BQ$6:$BQ$85,(卡牌属性!$DW306-2)*20+卡牌属性!$DX306)</f>
        <v>40</v>
      </c>
      <c r="FL306" s="14">
        <f>INDEX(属性投放!$BQ$6:$BQ$85,(卡牌属性!$DW306-2)*20+卡牌属性!$DX306)</f>
        <v>40</v>
      </c>
      <c r="FM306" s="14">
        <f>INDEX(属性投放!$BR$6:$BR$85,(卡牌属性!$DW306-2)*20+卡牌属性!$DX306)</f>
        <v>20</v>
      </c>
      <c r="FN306" s="14">
        <f>INDEX(属性投放!$BR$6:$BR$85,(卡牌属性!$DW306-2)*20+卡牌属性!$DX306)</f>
        <v>20</v>
      </c>
      <c r="FO306" s="14">
        <f>INDEX(属性投放!$BR$6:$BR$85,(卡牌属性!$DW306-2)*20+卡牌属性!$DX306)</f>
        <v>20</v>
      </c>
      <c r="FP306" s="14">
        <f>INDEX(属性投放!$BR$6:$BR$85,(卡牌属性!$DW306-2)*20+卡牌属性!$DX306)</f>
        <v>20</v>
      </c>
      <c r="FQ306" s="14">
        <f>INDEX(属性投放!$BR$6:$BR$85,(卡牌属性!$DW306-2)*20+卡牌属性!$DX306)</f>
        <v>20</v>
      </c>
      <c r="FR306" s="14">
        <f>INDEX(属性投放!$BS$6:$BS$85,(卡牌属性!$DW306-2)*20+卡牌属性!$DX306)</f>
        <v>240</v>
      </c>
      <c r="FS306" s="14">
        <f>INDEX(属性投放!$BS$6:$BS$85,(卡牌属性!$DW306-2)*20+卡牌属性!$DX306)</f>
        <v>240</v>
      </c>
      <c r="FT306" s="14">
        <f>INDEX(属性投放!$BS$6:$BS$85,(卡牌属性!$DW306-2)*20+卡牌属性!$DX306)</f>
        <v>240</v>
      </c>
      <c r="FU306" s="14">
        <f>INDEX(属性投放!$BS$6:$BS$85,(卡牌属性!$DW306-2)*20+卡牌属性!$DX306)</f>
        <v>240</v>
      </c>
      <c r="FV306" s="14">
        <f>INDEX(属性投放!$BS$6:$BS$85,(卡牌属性!$DW306-2)*20+卡牌属性!$DX306)</f>
        <v>240</v>
      </c>
    </row>
    <row r="307" spans="31:178" ht="16.5" x14ac:dyDescent="0.2">
      <c r="AE307" s="13">
        <v>303</v>
      </c>
      <c r="AF307" s="13">
        <f t="shared" si="560"/>
        <v>16</v>
      </c>
      <c r="AG307" s="13">
        <f t="shared" si="547"/>
        <v>2</v>
      </c>
      <c r="AH307" s="13"/>
      <c r="AI307" s="13"/>
      <c r="AJ307" s="14">
        <f t="shared" si="548"/>
        <v>1101041</v>
      </c>
      <c r="AK307" s="14" t="str">
        <f t="shared" si="549"/>
        <v>常服夏玲3突</v>
      </c>
      <c r="AL307" s="25" t="s">
        <v>142</v>
      </c>
      <c r="AM307" s="14">
        <v>1</v>
      </c>
      <c r="AN307" s="14">
        <f t="shared" si="550"/>
        <v>3</v>
      </c>
      <c r="AO307" s="14">
        <f>INDEX(属性投放!$DF$6:$DF$85,(卡牌属性!AG307-2)*20+卡牌属性!AN307)</f>
        <v>189</v>
      </c>
      <c r="AP307" s="14">
        <f t="shared" si="612"/>
        <v>189</v>
      </c>
      <c r="AQ307" s="14">
        <f t="shared" si="612"/>
        <v>189</v>
      </c>
      <c r="AR307" s="14">
        <f t="shared" si="612"/>
        <v>189</v>
      </c>
      <c r="AS307" s="14">
        <f t="shared" si="612"/>
        <v>189</v>
      </c>
      <c r="AT307" s="14">
        <f>INDEX(属性投放!$DG$6:$DG$85,(卡牌属性!AG307-2)*20+卡牌属性!AN307)</f>
        <v>45</v>
      </c>
      <c r="AU307" s="14">
        <f t="shared" si="613"/>
        <v>45</v>
      </c>
      <c r="AV307" s="14">
        <f t="shared" si="613"/>
        <v>45</v>
      </c>
      <c r="AW307" s="14">
        <f t="shared" si="613"/>
        <v>45</v>
      </c>
      <c r="AX307" s="14">
        <f t="shared" si="613"/>
        <v>45</v>
      </c>
      <c r="AY307" s="14">
        <f>INDEX(属性投放!$DH$6:$DH$85,(卡牌属性!AG307-2)*20+卡牌属性!AN307)</f>
        <v>784</v>
      </c>
      <c r="AZ307" s="14">
        <f t="shared" si="614"/>
        <v>784</v>
      </c>
      <c r="BA307" s="14">
        <f t="shared" si="614"/>
        <v>784</v>
      </c>
      <c r="BB307" s="14">
        <f t="shared" si="614"/>
        <v>784</v>
      </c>
      <c r="BC307" s="14">
        <f t="shared" si="614"/>
        <v>784</v>
      </c>
      <c r="BD307" s="14">
        <f>INDEX(属性投放!$DL$6:$DL$85,(卡牌属性!AG307-2)*20+卡牌属性!AN307)</f>
        <v>12</v>
      </c>
      <c r="BE307" s="14">
        <f t="shared" si="615"/>
        <v>12</v>
      </c>
      <c r="BF307" s="14">
        <f t="shared" si="615"/>
        <v>12</v>
      </c>
      <c r="BG307" s="14">
        <f t="shared" si="615"/>
        <v>12</v>
      </c>
      <c r="BH307" s="14">
        <f t="shared" si="615"/>
        <v>12</v>
      </c>
      <c r="BI307" s="14">
        <f>INDEX(属性投放!$DM$6:$DM$85,(卡牌属性!AG307-2)*20+卡牌属性!AN307)</f>
        <v>6</v>
      </c>
      <c r="BJ307" s="14">
        <f t="shared" si="616"/>
        <v>6</v>
      </c>
      <c r="BK307" s="14">
        <f t="shared" si="616"/>
        <v>6</v>
      </c>
      <c r="BL307" s="14">
        <f t="shared" si="616"/>
        <v>6</v>
      </c>
      <c r="BM307" s="14">
        <f t="shared" si="616"/>
        <v>6</v>
      </c>
      <c r="BN307" s="14">
        <f>INDEX(属性投放!$DN$6:$DN$85,(卡牌属性!AG307-2)*20+卡牌属性!AN307)</f>
        <v>70</v>
      </c>
      <c r="BO307" s="14">
        <f t="shared" si="617"/>
        <v>70</v>
      </c>
      <c r="BP307" s="14">
        <f t="shared" si="617"/>
        <v>70</v>
      </c>
      <c r="BQ307" s="14">
        <f t="shared" si="617"/>
        <v>70</v>
      </c>
      <c r="BR307" s="14">
        <f t="shared" si="617"/>
        <v>70</v>
      </c>
      <c r="BW307" s="13">
        <v>303</v>
      </c>
      <c r="BX307" s="13">
        <f t="shared" si="551"/>
        <v>16</v>
      </c>
      <c r="BY307" s="14">
        <f t="shared" si="552"/>
        <v>4</v>
      </c>
      <c r="BZ307" s="14">
        <f t="shared" si="561"/>
        <v>1102016</v>
      </c>
      <c r="CA307" s="14" t="str">
        <f t="shared" si="562"/>
        <v>西方龙3突</v>
      </c>
      <c r="CB307" s="25" t="s">
        <v>142</v>
      </c>
      <c r="CC307" s="14">
        <v>2</v>
      </c>
      <c r="CD307" s="14">
        <f t="shared" si="553"/>
        <v>3</v>
      </c>
      <c r="CE307" s="14" t="s">
        <v>21</v>
      </c>
      <c r="CF307" s="14">
        <f>INDEX(属性投放!$AZ$6:$AZ$85,(BY307-2)*20+CD307)</f>
        <v>558</v>
      </c>
      <c r="CG307" s="14" t="s">
        <v>22</v>
      </c>
      <c r="CH307" s="14">
        <f>INDEX(属性投放!$BA$6:$BA$85,(BY307-2)*20+CD307)</f>
        <v>210</v>
      </c>
      <c r="CI307" s="14" t="s">
        <v>510</v>
      </c>
      <c r="CJ307" s="14">
        <f>INDEX(属性投放!$BB$6:$BB$85,(BY307-2)*20+CD307)</f>
        <v>2948</v>
      </c>
      <c r="CK307" s="14" t="s">
        <v>21</v>
      </c>
      <c r="CL307" s="14">
        <f>INDEX(属性投放!$BC$6:$BC$85,(BY307-2)*20+CD307)</f>
        <v>15</v>
      </c>
      <c r="CM307" s="14" t="s">
        <v>22</v>
      </c>
      <c r="CN307" s="14">
        <f>INDEX(属性投放!$BD$6:$BD$85,(BY307-2)*20+CD307)</f>
        <v>8</v>
      </c>
      <c r="CO307" s="14" t="s">
        <v>510</v>
      </c>
      <c r="CP307" s="14">
        <f>INDEX(属性投放!$BE$6:$BE$85,(BY307-2)*20+CD307)</f>
        <v>90</v>
      </c>
      <c r="CS307" s="13">
        <v>303</v>
      </c>
      <c r="CT307" s="13">
        <f t="shared" si="563"/>
        <v>6</v>
      </c>
      <c r="CU307" s="13">
        <f t="shared" si="564"/>
        <v>43</v>
      </c>
      <c r="CV307" s="14">
        <f t="shared" si="565"/>
        <v>5</v>
      </c>
      <c r="CW307" s="14">
        <f t="shared" si="566"/>
        <v>1102006</v>
      </c>
      <c r="CX307" s="14" t="str">
        <f>INDEX($O$6:$O$50,CT307)&amp;"-"&amp;INDEX(属性投放!$AB$7:$AB$50,CZ307)&amp;"-魂火-"&amp;DB307</f>
        <v>项羽-大焦热+2-魂火-1</v>
      </c>
      <c r="CY307" s="25" t="s">
        <v>142</v>
      </c>
      <c r="CZ307" s="14">
        <f>INDEX(属性投放!$AM$7:$AM$58,CU307)</f>
        <v>18</v>
      </c>
      <c r="DA307" s="14" t="s">
        <v>537</v>
      </c>
      <c r="DB307" s="14">
        <f>INDEX(属性投放!$AN$7:$AN$58,CU307)</f>
        <v>1</v>
      </c>
      <c r="DC307" s="14">
        <f t="shared" si="554"/>
        <v>43</v>
      </c>
      <c r="DD307" s="14">
        <f>INDEX(属性投放!$AO$7:$AO$58,DC307)</f>
        <v>125</v>
      </c>
      <c r="DE307" s="14" t="s">
        <v>538</v>
      </c>
      <c r="DF307" s="14">
        <f>INDEX(属性投放!$BK$6:$BK$85,(CV307-2)*20+CZ307)</f>
        <v>830</v>
      </c>
      <c r="DG307" s="14">
        <f>SUMIFS(DF$5:DF307,$CT$5:$CT307,"="&amp;$CT307)</f>
        <v>11569</v>
      </c>
      <c r="DH307" s="14" t="s">
        <v>539</v>
      </c>
      <c r="DI307" s="14">
        <f>INDEX(属性投放!$BL$6:$BL$85,(CV307-2)*20+CZ307)</f>
        <v>415</v>
      </c>
      <c r="DJ307" s="14">
        <f>SUMIFS(DI$5:DI307,$CT$5:$CT307,"="&amp;$CT307)</f>
        <v>5790</v>
      </c>
      <c r="DK307" s="14" t="s">
        <v>540</v>
      </c>
      <c r="DL307" s="14">
        <f>INDEX(属性投放!$BM$6:$BM$85,(CV307-2)*20+CZ307)</f>
        <v>8300</v>
      </c>
      <c r="DM307" s="14">
        <f>SUMIFS(DL$5:DL307,$CT$5:$CT307,"="&amp;$CT307)</f>
        <v>110102</v>
      </c>
      <c r="DR307" s="14">
        <f t="shared" si="555"/>
        <v>1102016</v>
      </c>
      <c r="DS307" s="14" t="str">
        <f t="shared" si="556"/>
        <v>西方龙3突</v>
      </c>
      <c r="DT307" s="14">
        <f t="shared" si="567"/>
        <v>6</v>
      </c>
      <c r="DU307" s="14">
        <f t="shared" si="568"/>
        <v>7</v>
      </c>
      <c r="DV307" s="14">
        <f t="shared" si="569"/>
        <v>8</v>
      </c>
      <c r="DW307" s="14">
        <f t="shared" si="557"/>
        <v>4</v>
      </c>
      <c r="DX307" s="14">
        <f t="shared" si="558"/>
        <v>3</v>
      </c>
      <c r="DY307" s="14">
        <f t="shared" si="559"/>
        <v>43</v>
      </c>
      <c r="DZ307" s="14">
        <f>INDEX(属性投放!$AX$6:$AX$85,(卡牌属性!DW307-2)*20+卡牌属性!DX307)</f>
        <v>10</v>
      </c>
      <c r="EA307" s="14">
        <f>INDEX(属性投放!BQ$6:BQ$85,卡牌属性!$DY307)</f>
        <v>80</v>
      </c>
      <c r="EB307" s="14">
        <f>INDEX(属性投放!BR$6:BR$85,卡牌属性!$DY307)</f>
        <v>40</v>
      </c>
      <c r="EC307" s="14">
        <f>INDEX(属性投放!BS$6:BS$85,卡牌属性!$DY307)</f>
        <v>480</v>
      </c>
      <c r="ED307" s="14">
        <f t="shared" si="618"/>
        <v>410</v>
      </c>
      <c r="EE307" s="14">
        <f t="shared" si="619"/>
        <v>473</v>
      </c>
      <c r="EF307" s="14">
        <f t="shared" si="620"/>
        <v>547</v>
      </c>
      <c r="EG307" s="14">
        <f t="shared" si="621"/>
        <v>547</v>
      </c>
      <c r="EH307" s="14">
        <f t="shared" si="622"/>
        <v>635</v>
      </c>
      <c r="EI307" s="14">
        <f t="shared" si="623"/>
        <v>192</v>
      </c>
      <c r="EJ307" s="14">
        <f t="shared" si="624"/>
        <v>231</v>
      </c>
      <c r="EK307" s="14">
        <f t="shared" si="625"/>
        <v>231</v>
      </c>
      <c r="EL307" s="14">
        <f t="shared" si="626"/>
        <v>270</v>
      </c>
      <c r="EM307" s="14">
        <f t="shared" si="627"/>
        <v>358</v>
      </c>
      <c r="EN307" s="14">
        <f t="shared" si="628"/>
        <v>2782</v>
      </c>
      <c r="EO307" s="14">
        <f t="shared" si="629"/>
        <v>3210</v>
      </c>
      <c r="EP307" s="14">
        <f t="shared" si="630"/>
        <v>3210</v>
      </c>
      <c r="EQ307" s="14">
        <f t="shared" si="631"/>
        <v>3930</v>
      </c>
      <c r="ER307" s="14">
        <f t="shared" si="632"/>
        <v>4850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102</v>
      </c>
      <c r="FD307" s="14">
        <f>INDEX(属性偏向!$U$4:$U$243,(卡牌属性!$DV307-1+FD$3)*20+卡牌属性!$DX307)</f>
        <v>120</v>
      </c>
      <c r="FE307" s="14">
        <f>INDEX(属性偏向!$U$4:$U$243,(卡牌属性!$DV307-1+FE$3)*20+卡牌属性!$DX307)</f>
        <v>120</v>
      </c>
      <c r="FF307" s="14">
        <f>INDEX(属性偏向!$U$4:$U$243,(卡牌属性!$DV307-1+FF$3)*20+卡牌属性!$DX307)</f>
        <v>150</v>
      </c>
      <c r="FG307" s="14">
        <f>INDEX(属性偏向!$U$4:$U$243,(卡牌属性!$DV307-1+FG$3)*20+卡牌属性!$DX307)</f>
        <v>180</v>
      </c>
      <c r="FH307" s="14">
        <f>INDEX(属性投放!$BQ$6:$BQ$85,(卡牌属性!$DW307-2)*20+卡牌属性!$DX307)</f>
        <v>80</v>
      </c>
      <c r="FI307" s="14">
        <f>INDEX(属性投放!$BQ$6:$BQ$85,(卡牌属性!$DW307-2)*20+卡牌属性!$DX307)</f>
        <v>80</v>
      </c>
      <c r="FJ307" s="14">
        <f>INDEX(属性投放!$BQ$6:$BQ$85,(卡牌属性!$DW307-2)*20+卡牌属性!$DX307)</f>
        <v>80</v>
      </c>
      <c r="FK307" s="14">
        <f>INDEX(属性投放!$BQ$6:$BQ$85,(卡牌属性!$DW307-2)*20+卡牌属性!$DX307)</f>
        <v>80</v>
      </c>
      <c r="FL307" s="14">
        <f>INDEX(属性投放!$BQ$6:$BQ$85,(卡牌属性!$DW307-2)*20+卡牌属性!$DX307)</f>
        <v>80</v>
      </c>
      <c r="FM307" s="14">
        <f>INDEX(属性投放!$BR$6:$BR$85,(卡牌属性!$DW307-2)*20+卡牌属性!$DX307)</f>
        <v>40</v>
      </c>
      <c r="FN307" s="14">
        <f>INDEX(属性投放!$BR$6:$BR$85,(卡牌属性!$DW307-2)*20+卡牌属性!$DX307)</f>
        <v>40</v>
      </c>
      <c r="FO307" s="14">
        <f>INDEX(属性投放!$BR$6:$BR$85,(卡牌属性!$DW307-2)*20+卡牌属性!$DX307)</f>
        <v>40</v>
      </c>
      <c r="FP307" s="14">
        <f>INDEX(属性投放!$BR$6:$BR$85,(卡牌属性!$DW307-2)*20+卡牌属性!$DX307)</f>
        <v>40</v>
      </c>
      <c r="FQ307" s="14">
        <f>INDEX(属性投放!$BR$6:$BR$85,(卡牌属性!$DW307-2)*20+卡牌属性!$DX307)</f>
        <v>40</v>
      </c>
      <c r="FR307" s="14">
        <f>INDEX(属性投放!$BS$6:$BS$85,(卡牌属性!$DW307-2)*20+卡牌属性!$DX307)</f>
        <v>480</v>
      </c>
      <c r="FS307" s="14">
        <f>INDEX(属性投放!$BS$6:$BS$85,(卡牌属性!$DW307-2)*20+卡牌属性!$DX307)</f>
        <v>480</v>
      </c>
      <c r="FT307" s="14">
        <f>INDEX(属性投放!$BS$6:$BS$85,(卡牌属性!$DW307-2)*20+卡牌属性!$DX307)</f>
        <v>480</v>
      </c>
      <c r="FU307" s="14">
        <f>INDEX(属性投放!$BS$6:$BS$85,(卡牌属性!$DW307-2)*20+卡牌属性!$DX307)</f>
        <v>480</v>
      </c>
      <c r="FV307" s="14">
        <f>INDEX(属性投放!$BS$6:$BS$85,(卡牌属性!$DW307-2)*20+卡牌属性!$DX307)</f>
        <v>480</v>
      </c>
    </row>
    <row r="308" spans="31:178" ht="16.5" x14ac:dyDescent="0.2">
      <c r="AE308" s="13">
        <v>304</v>
      </c>
      <c r="AF308" s="13">
        <f t="shared" si="560"/>
        <v>16</v>
      </c>
      <c r="AG308" s="13">
        <f t="shared" si="547"/>
        <v>2</v>
      </c>
      <c r="AH308" s="13"/>
      <c r="AI308" s="13"/>
      <c r="AJ308" s="14">
        <f t="shared" si="548"/>
        <v>1101041</v>
      </c>
      <c r="AK308" s="14" t="str">
        <f t="shared" si="549"/>
        <v>常服夏玲4突</v>
      </c>
      <c r="AL308" s="25" t="s">
        <v>142</v>
      </c>
      <c r="AM308" s="14">
        <v>1</v>
      </c>
      <c r="AN308" s="14">
        <f t="shared" si="550"/>
        <v>4</v>
      </c>
      <c r="AO308" s="14">
        <f>INDEX(属性投放!$DF$6:$DF$85,(卡牌属性!AG308-2)*20+卡牌属性!AN308)</f>
        <v>338</v>
      </c>
      <c r="AP308" s="14">
        <f t="shared" si="612"/>
        <v>338</v>
      </c>
      <c r="AQ308" s="14">
        <f t="shared" si="612"/>
        <v>338</v>
      </c>
      <c r="AR308" s="14">
        <f t="shared" si="612"/>
        <v>338</v>
      </c>
      <c r="AS308" s="14">
        <f t="shared" si="612"/>
        <v>338</v>
      </c>
      <c r="AT308" s="14">
        <f>INDEX(属性投放!$DG$6:$DG$85,(卡牌属性!AG308-2)*20+卡牌属性!AN308)</f>
        <v>120</v>
      </c>
      <c r="AU308" s="14">
        <f t="shared" si="613"/>
        <v>120</v>
      </c>
      <c r="AV308" s="14">
        <f t="shared" si="613"/>
        <v>120</v>
      </c>
      <c r="AW308" s="14">
        <f t="shared" si="613"/>
        <v>120</v>
      </c>
      <c r="AX308" s="14">
        <f t="shared" si="613"/>
        <v>120</v>
      </c>
      <c r="AY308" s="14">
        <f>INDEX(属性投放!$DH$6:$DH$85,(卡牌属性!AG308-2)*20+卡牌属性!AN308)</f>
        <v>1658</v>
      </c>
      <c r="AZ308" s="14">
        <f t="shared" si="614"/>
        <v>1658</v>
      </c>
      <c r="BA308" s="14">
        <f t="shared" si="614"/>
        <v>1658</v>
      </c>
      <c r="BB308" s="14">
        <f t="shared" si="614"/>
        <v>1658</v>
      </c>
      <c r="BC308" s="14">
        <f t="shared" si="614"/>
        <v>1658</v>
      </c>
      <c r="BD308" s="14">
        <f>INDEX(属性投放!$DL$6:$DL$85,(卡牌属性!AG308-2)*20+卡牌属性!AN308)</f>
        <v>22</v>
      </c>
      <c r="BE308" s="14">
        <f t="shared" si="615"/>
        <v>22</v>
      </c>
      <c r="BF308" s="14">
        <f t="shared" si="615"/>
        <v>22</v>
      </c>
      <c r="BG308" s="14">
        <f t="shared" si="615"/>
        <v>22</v>
      </c>
      <c r="BH308" s="14">
        <f t="shared" si="615"/>
        <v>22</v>
      </c>
      <c r="BI308" s="14">
        <f>INDEX(属性投放!$DM$6:$DM$85,(卡牌属性!AG308-2)*20+卡牌属性!AN308)</f>
        <v>11</v>
      </c>
      <c r="BJ308" s="14">
        <f t="shared" si="616"/>
        <v>11</v>
      </c>
      <c r="BK308" s="14">
        <f t="shared" si="616"/>
        <v>11</v>
      </c>
      <c r="BL308" s="14">
        <f t="shared" si="616"/>
        <v>11</v>
      </c>
      <c r="BM308" s="14">
        <f t="shared" si="616"/>
        <v>11</v>
      </c>
      <c r="BN308" s="14">
        <f>INDEX(属性投放!$DN$6:$DN$85,(卡牌属性!AG308-2)*20+卡牌属性!AN308)</f>
        <v>153</v>
      </c>
      <c r="BO308" s="14">
        <f t="shared" si="617"/>
        <v>153</v>
      </c>
      <c r="BP308" s="14">
        <f t="shared" si="617"/>
        <v>153</v>
      </c>
      <c r="BQ308" s="14">
        <f t="shared" si="617"/>
        <v>153</v>
      </c>
      <c r="BR308" s="14">
        <f t="shared" si="617"/>
        <v>153</v>
      </c>
      <c r="BW308" s="13">
        <v>304</v>
      </c>
      <c r="BX308" s="13">
        <f t="shared" si="551"/>
        <v>16</v>
      </c>
      <c r="BY308" s="14">
        <f t="shared" si="552"/>
        <v>4</v>
      </c>
      <c r="BZ308" s="14">
        <f t="shared" si="561"/>
        <v>1102016</v>
      </c>
      <c r="CA308" s="14" t="str">
        <f t="shared" si="562"/>
        <v>西方龙4突</v>
      </c>
      <c r="CB308" s="25" t="s">
        <v>142</v>
      </c>
      <c r="CC308" s="14">
        <v>2</v>
      </c>
      <c r="CD308" s="14">
        <f t="shared" si="553"/>
        <v>4</v>
      </c>
      <c r="CE308" s="14" t="s">
        <v>21</v>
      </c>
      <c r="CF308" s="14">
        <f>INDEX(属性投放!$AZ$6:$AZ$85,(BY308-2)*20+CD308)</f>
        <v>858</v>
      </c>
      <c r="CG308" s="14" t="s">
        <v>22</v>
      </c>
      <c r="CH308" s="14">
        <f>INDEX(属性投放!$BA$6:$BA$85,(BY308-2)*20+CD308)</f>
        <v>366</v>
      </c>
      <c r="CI308" s="14" t="s">
        <v>510</v>
      </c>
      <c r="CJ308" s="14">
        <f>INDEX(属性投放!$BB$6:$BB$85,(BY308-2)*20+CD308)</f>
        <v>4748</v>
      </c>
      <c r="CK308" s="14" t="s">
        <v>21</v>
      </c>
      <c r="CL308" s="14">
        <f>INDEX(属性投放!$BC$6:$BC$85,(BY308-2)*20+CD308)</f>
        <v>20</v>
      </c>
      <c r="CM308" s="14" t="s">
        <v>22</v>
      </c>
      <c r="CN308" s="14">
        <f>INDEX(属性投放!$BD$6:$BD$85,(BY308-2)*20+CD308)</f>
        <v>10</v>
      </c>
      <c r="CO308" s="14" t="s">
        <v>510</v>
      </c>
      <c r="CP308" s="14">
        <f>INDEX(属性投放!$BE$6:$BE$85,(BY308-2)*20+CD308)</f>
        <v>140</v>
      </c>
      <c r="CS308" s="13">
        <v>304</v>
      </c>
      <c r="CT308" s="13">
        <f t="shared" si="563"/>
        <v>6</v>
      </c>
      <c r="CU308" s="13">
        <f t="shared" si="564"/>
        <v>44</v>
      </c>
      <c r="CV308" s="14">
        <f t="shared" si="565"/>
        <v>5</v>
      </c>
      <c r="CW308" s="14">
        <f t="shared" si="566"/>
        <v>1102006</v>
      </c>
      <c r="CX308" s="14" t="str">
        <f>INDEX($O$6:$O$50,CT308)&amp;"-"&amp;INDEX(属性投放!$AB$7:$AB$50,CZ308)&amp;"-魂火-"&amp;DB308</f>
        <v>项羽-大焦热+2-魂火-2</v>
      </c>
      <c r="CY308" s="25" t="s">
        <v>142</v>
      </c>
      <c r="CZ308" s="14">
        <f>INDEX(属性投放!$AM$7:$AM$58,CU308)</f>
        <v>18</v>
      </c>
      <c r="DA308" s="14" t="s">
        <v>537</v>
      </c>
      <c r="DB308" s="14">
        <f>INDEX(属性投放!$AN$7:$AN$58,CU308)</f>
        <v>2</v>
      </c>
      <c r="DC308" s="14">
        <f t="shared" si="554"/>
        <v>44</v>
      </c>
      <c r="DD308" s="14">
        <f>INDEX(属性投放!$AO$7:$AO$58,DC308)</f>
        <v>128</v>
      </c>
      <c r="DE308" s="14" t="s">
        <v>538</v>
      </c>
      <c r="DF308" s="14">
        <f>INDEX(属性投放!$BK$6:$BK$85,(CV308-2)*20+CZ308)</f>
        <v>830</v>
      </c>
      <c r="DG308" s="14">
        <f>SUMIFS(DF$5:DF308,$CT$5:$CT308,"="&amp;$CT308)</f>
        <v>12399</v>
      </c>
      <c r="DH308" s="14" t="s">
        <v>539</v>
      </c>
      <c r="DI308" s="14">
        <f>INDEX(属性投放!$BL$6:$BL$85,(CV308-2)*20+CZ308)</f>
        <v>415</v>
      </c>
      <c r="DJ308" s="14">
        <f>SUMIFS(DI$5:DI308,$CT$5:$CT308,"="&amp;$CT308)</f>
        <v>6205</v>
      </c>
      <c r="DK308" s="14" t="s">
        <v>540</v>
      </c>
      <c r="DL308" s="14">
        <f>INDEX(属性投放!$BM$6:$BM$85,(CV308-2)*20+CZ308)</f>
        <v>8300</v>
      </c>
      <c r="DM308" s="14">
        <f>SUMIFS(DL$5:DL308,$CT$5:$CT308,"="&amp;$CT308)</f>
        <v>118402</v>
      </c>
      <c r="DR308" s="14">
        <f t="shared" si="555"/>
        <v>1102016</v>
      </c>
      <c r="DS308" s="14" t="str">
        <f t="shared" si="556"/>
        <v>西方龙4突</v>
      </c>
      <c r="DT308" s="14">
        <f t="shared" si="567"/>
        <v>6</v>
      </c>
      <c r="DU308" s="14">
        <f t="shared" si="568"/>
        <v>7</v>
      </c>
      <c r="DV308" s="14">
        <f t="shared" si="569"/>
        <v>8</v>
      </c>
      <c r="DW308" s="14">
        <f t="shared" si="557"/>
        <v>4</v>
      </c>
      <c r="DX308" s="14">
        <f t="shared" si="558"/>
        <v>4</v>
      </c>
      <c r="DY308" s="14">
        <f t="shared" si="559"/>
        <v>44</v>
      </c>
      <c r="DZ308" s="14">
        <f>INDEX(属性投放!$AX$6:$AX$85,(卡牌属性!DW308-2)*20+卡牌属性!DX308)</f>
        <v>10</v>
      </c>
      <c r="EA308" s="14">
        <f>INDEX(属性投放!BQ$6:BQ$85,卡牌属性!$DY308)</f>
        <v>100</v>
      </c>
      <c r="EB308" s="14">
        <f>INDEX(属性投放!BR$6:BR$85,卡牌属性!$DY308)</f>
        <v>50</v>
      </c>
      <c r="EC308" s="14">
        <f>INDEX(属性投放!BS$6:BS$85,卡牌属性!$DY308)</f>
        <v>700</v>
      </c>
      <c r="ED308" s="14">
        <f t="shared" si="618"/>
        <v>610</v>
      </c>
      <c r="EE308" s="14">
        <f t="shared" si="619"/>
        <v>703</v>
      </c>
      <c r="EF308" s="14">
        <f t="shared" si="620"/>
        <v>797</v>
      </c>
      <c r="EG308" s="14">
        <f t="shared" si="621"/>
        <v>797</v>
      </c>
      <c r="EH308" s="14">
        <f t="shared" si="622"/>
        <v>915</v>
      </c>
      <c r="EI308" s="14">
        <f t="shared" si="623"/>
        <v>312</v>
      </c>
      <c r="EJ308" s="14">
        <f t="shared" si="624"/>
        <v>361</v>
      </c>
      <c r="EK308" s="14">
        <f t="shared" si="625"/>
        <v>361</v>
      </c>
      <c r="EL308" s="14">
        <f t="shared" si="626"/>
        <v>410</v>
      </c>
      <c r="EM308" s="14">
        <f t="shared" si="627"/>
        <v>528</v>
      </c>
      <c r="EN308" s="14">
        <f t="shared" si="628"/>
        <v>4282</v>
      </c>
      <c r="EO308" s="14">
        <f t="shared" si="629"/>
        <v>4890</v>
      </c>
      <c r="EP308" s="14">
        <f t="shared" si="630"/>
        <v>4890</v>
      </c>
      <c r="EQ308" s="14">
        <f t="shared" si="631"/>
        <v>5910</v>
      </c>
      <c r="ER308" s="14">
        <f t="shared" si="632"/>
        <v>7130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154</v>
      </c>
      <c r="FD308" s="14">
        <f>INDEX(属性偏向!$U$4:$U$243,(卡牌属性!$DV308-1+FD$3)*20+卡牌属性!$DX308)</f>
        <v>175</v>
      </c>
      <c r="FE308" s="14">
        <f>INDEX(属性偏向!$U$4:$U$243,(卡牌属性!$DV308-1+FE$3)*20+卡牌属性!$DX308)</f>
        <v>175</v>
      </c>
      <c r="FF308" s="14">
        <f>INDEX(属性偏向!$U$4:$U$243,(卡牌属性!$DV308-1+FF$3)*20+卡牌属性!$DX308)</f>
        <v>210</v>
      </c>
      <c r="FG308" s="14">
        <f>INDEX(属性偏向!$U$4:$U$243,(卡牌属性!$DV308-1+FG$3)*20+卡牌属性!$DX308)</f>
        <v>280</v>
      </c>
      <c r="FH308" s="14">
        <f>INDEX(属性投放!$BQ$6:$BQ$85,(卡牌属性!$DW308-2)*20+卡牌属性!$DX308)</f>
        <v>100</v>
      </c>
      <c r="FI308" s="14">
        <f>INDEX(属性投放!$BQ$6:$BQ$85,(卡牌属性!$DW308-2)*20+卡牌属性!$DX308)</f>
        <v>100</v>
      </c>
      <c r="FJ308" s="14">
        <f>INDEX(属性投放!$BQ$6:$BQ$85,(卡牌属性!$DW308-2)*20+卡牌属性!$DX308)</f>
        <v>100</v>
      </c>
      <c r="FK308" s="14">
        <f>INDEX(属性投放!$BQ$6:$BQ$85,(卡牌属性!$DW308-2)*20+卡牌属性!$DX308)</f>
        <v>100</v>
      </c>
      <c r="FL308" s="14">
        <f>INDEX(属性投放!$BQ$6:$BQ$85,(卡牌属性!$DW308-2)*20+卡牌属性!$DX308)</f>
        <v>100</v>
      </c>
      <c r="FM308" s="14">
        <f>INDEX(属性投放!$BR$6:$BR$85,(卡牌属性!$DW308-2)*20+卡牌属性!$DX308)</f>
        <v>50</v>
      </c>
      <c r="FN308" s="14">
        <f>INDEX(属性投放!$BR$6:$BR$85,(卡牌属性!$DW308-2)*20+卡牌属性!$DX308)</f>
        <v>50</v>
      </c>
      <c r="FO308" s="14">
        <f>INDEX(属性投放!$BR$6:$BR$85,(卡牌属性!$DW308-2)*20+卡牌属性!$DX308)</f>
        <v>50</v>
      </c>
      <c r="FP308" s="14">
        <f>INDEX(属性投放!$BR$6:$BR$85,(卡牌属性!$DW308-2)*20+卡牌属性!$DX308)</f>
        <v>50</v>
      </c>
      <c r="FQ308" s="14">
        <f>INDEX(属性投放!$BR$6:$BR$85,(卡牌属性!$DW308-2)*20+卡牌属性!$DX308)</f>
        <v>50</v>
      </c>
      <c r="FR308" s="14">
        <f>INDEX(属性投放!$BS$6:$BS$85,(卡牌属性!$DW308-2)*20+卡牌属性!$DX308)</f>
        <v>700</v>
      </c>
      <c r="FS308" s="14">
        <f>INDEX(属性投放!$BS$6:$BS$85,(卡牌属性!$DW308-2)*20+卡牌属性!$DX308)</f>
        <v>700</v>
      </c>
      <c r="FT308" s="14">
        <f>INDEX(属性投放!$BS$6:$BS$85,(卡牌属性!$DW308-2)*20+卡牌属性!$DX308)</f>
        <v>700</v>
      </c>
      <c r="FU308" s="14">
        <f>INDEX(属性投放!$BS$6:$BS$85,(卡牌属性!$DW308-2)*20+卡牌属性!$DX308)</f>
        <v>700</v>
      </c>
      <c r="FV308" s="14">
        <f>INDEX(属性投放!$BS$6:$BS$85,(卡牌属性!$DW308-2)*20+卡牌属性!$DX308)</f>
        <v>700</v>
      </c>
    </row>
    <row r="309" spans="31:178" ht="16.5" x14ac:dyDescent="0.2">
      <c r="AE309" s="13">
        <v>305</v>
      </c>
      <c r="AF309" s="13">
        <f t="shared" si="560"/>
        <v>16</v>
      </c>
      <c r="AG309" s="13">
        <f t="shared" si="547"/>
        <v>2</v>
      </c>
      <c r="AH309" s="13"/>
      <c r="AI309" s="13"/>
      <c r="AJ309" s="14">
        <f t="shared" si="548"/>
        <v>1101041</v>
      </c>
      <c r="AK309" s="14" t="str">
        <f t="shared" si="549"/>
        <v>常服夏玲5突</v>
      </c>
      <c r="AL309" s="25" t="s">
        <v>142</v>
      </c>
      <c r="AM309" s="14">
        <v>1</v>
      </c>
      <c r="AN309" s="14">
        <f t="shared" si="550"/>
        <v>5</v>
      </c>
      <c r="AO309" s="14">
        <f>INDEX(属性投放!$DF$6:$DF$85,(卡牌属性!AG309-2)*20+卡牌属性!AN309)</f>
        <v>401</v>
      </c>
      <c r="AP309" s="14">
        <f t="shared" si="612"/>
        <v>401</v>
      </c>
      <c r="AQ309" s="14">
        <f t="shared" si="612"/>
        <v>401</v>
      </c>
      <c r="AR309" s="14">
        <f t="shared" si="612"/>
        <v>401</v>
      </c>
      <c r="AS309" s="14">
        <f t="shared" si="612"/>
        <v>401</v>
      </c>
      <c r="AT309" s="14">
        <f>INDEX(属性投放!$DG$6:$DG$85,(卡牌属性!AG309-2)*20+卡牌属性!AN309)</f>
        <v>151</v>
      </c>
      <c r="AU309" s="14">
        <f t="shared" si="613"/>
        <v>151</v>
      </c>
      <c r="AV309" s="14">
        <f t="shared" si="613"/>
        <v>151</v>
      </c>
      <c r="AW309" s="14">
        <f t="shared" si="613"/>
        <v>151</v>
      </c>
      <c r="AX309" s="14">
        <f t="shared" si="613"/>
        <v>151</v>
      </c>
      <c r="AY309" s="14">
        <f>INDEX(属性投放!$DH$6:$DH$85,(卡牌属性!AG309-2)*20+卡牌属性!AN309)</f>
        <v>2096</v>
      </c>
      <c r="AZ309" s="14">
        <f t="shared" si="614"/>
        <v>2096</v>
      </c>
      <c r="BA309" s="14">
        <f t="shared" si="614"/>
        <v>2096</v>
      </c>
      <c r="BB309" s="14">
        <f t="shared" si="614"/>
        <v>2096</v>
      </c>
      <c r="BC309" s="14">
        <f t="shared" si="614"/>
        <v>2096</v>
      </c>
      <c r="BD309" s="14">
        <f>INDEX(属性投放!$DL$6:$DL$85,(卡牌属性!AG309-2)*20+卡牌属性!AN309)</f>
        <v>22</v>
      </c>
      <c r="BE309" s="14">
        <f t="shared" si="615"/>
        <v>22</v>
      </c>
      <c r="BF309" s="14">
        <f t="shared" si="615"/>
        <v>22</v>
      </c>
      <c r="BG309" s="14">
        <f t="shared" si="615"/>
        <v>22</v>
      </c>
      <c r="BH309" s="14">
        <f t="shared" si="615"/>
        <v>22</v>
      </c>
      <c r="BI309" s="14">
        <f>INDEX(属性投放!$DM$6:$DM$85,(卡牌属性!AG309-2)*20+卡牌属性!AN309)</f>
        <v>11</v>
      </c>
      <c r="BJ309" s="14">
        <f t="shared" si="616"/>
        <v>11</v>
      </c>
      <c r="BK309" s="14">
        <f t="shared" si="616"/>
        <v>11</v>
      </c>
      <c r="BL309" s="14">
        <f t="shared" si="616"/>
        <v>11</v>
      </c>
      <c r="BM309" s="14">
        <f t="shared" si="616"/>
        <v>11</v>
      </c>
      <c r="BN309" s="14">
        <f>INDEX(属性投放!$DN$6:$DN$85,(卡牌属性!AG309-2)*20+卡牌属性!AN309)</f>
        <v>153</v>
      </c>
      <c r="BO309" s="14">
        <f t="shared" si="617"/>
        <v>153</v>
      </c>
      <c r="BP309" s="14">
        <f t="shared" si="617"/>
        <v>153</v>
      </c>
      <c r="BQ309" s="14">
        <f t="shared" si="617"/>
        <v>153</v>
      </c>
      <c r="BR309" s="14">
        <f t="shared" si="617"/>
        <v>153</v>
      </c>
      <c r="BW309" s="13">
        <v>305</v>
      </c>
      <c r="BX309" s="13">
        <f t="shared" si="551"/>
        <v>16</v>
      </c>
      <c r="BY309" s="14">
        <f t="shared" si="552"/>
        <v>4</v>
      </c>
      <c r="BZ309" s="14">
        <f t="shared" si="561"/>
        <v>1102016</v>
      </c>
      <c r="CA309" s="14" t="str">
        <f t="shared" si="562"/>
        <v>西方龙5突</v>
      </c>
      <c r="CB309" s="25" t="s">
        <v>142</v>
      </c>
      <c r="CC309" s="14">
        <v>2</v>
      </c>
      <c r="CD309" s="14">
        <f t="shared" si="553"/>
        <v>5</v>
      </c>
      <c r="CE309" s="14" t="s">
        <v>21</v>
      </c>
      <c r="CF309" s="14">
        <f>INDEX(属性投放!$AZ$6:$AZ$85,(BY309-2)*20+CD309)</f>
        <v>1248</v>
      </c>
      <c r="CG309" s="14" t="s">
        <v>22</v>
      </c>
      <c r="CH309" s="14">
        <f>INDEX(属性投放!$BA$6:$BA$85,(BY309-2)*20+CD309)</f>
        <v>562</v>
      </c>
      <c r="CI309" s="14" t="s">
        <v>510</v>
      </c>
      <c r="CJ309" s="14">
        <f>INDEX(属性投放!$BB$6:$BB$85,(BY309-2)*20+CD309)</f>
        <v>7478</v>
      </c>
      <c r="CK309" s="14" t="s">
        <v>21</v>
      </c>
      <c r="CL309" s="14">
        <f>INDEX(属性投放!$BC$6:$BC$85,(BY309-2)*20+CD309)</f>
        <v>20</v>
      </c>
      <c r="CM309" s="14" t="s">
        <v>22</v>
      </c>
      <c r="CN309" s="14">
        <f>INDEX(属性投放!$BD$6:$BD$85,(BY309-2)*20+CD309)</f>
        <v>10</v>
      </c>
      <c r="CO309" s="14" t="s">
        <v>510</v>
      </c>
      <c r="CP309" s="14">
        <f>INDEX(属性投放!$BE$6:$BE$85,(BY309-2)*20+CD309)</f>
        <v>140</v>
      </c>
      <c r="CS309" s="13">
        <v>305</v>
      </c>
      <c r="CT309" s="13">
        <f t="shared" si="563"/>
        <v>6</v>
      </c>
      <c r="CU309" s="13">
        <f t="shared" si="564"/>
        <v>45</v>
      </c>
      <c r="CV309" s="14">
        <f t="shared" si="565"/>
        <v>5</v>
      </c>
      <c r="CW309" s="14">
        <f t="shared" si="566"/>
        <v>1102006</v>
      </c>
      <c r="CX309" s="14" t="str">
        <f>INDEX($O$6:$O$50,CT309)&amp;"-"&amp;INDEX(属性投放!$AB$7:$AB$50,CZ309)&amp;"-魂火-"&amp;DB309</f>
        <v>项羽-大焦热+2-魂火-3</v>
      </c>
      <c r="CY309" s="25" t="s">
        <v>142</v>
      </c>
      <c r="CZ309" s="14">
        <f>INDEX(属性投放!$AM$7:$AM$58,CU309)</f>
        <v>18</v>
      </c>
      <c r="DA309" s="14" t="s">
        <v>537</v>
      </c>
      <c r="DB309" s="14">
        <f>INDEX(属性投放!$AN$7:$AN$58,CU309)</f>
        <v>3</v>
      </c>
      <c r="DC309" s="14">
        <f t="shared" si="554"/>
        <v>45</v>
      </c>
      <c r="DD309" s="14">
        <f>INDEX(属性投放!$AO$7:$AO$58,DC309)</f>
        <v>130</v>
      </c>
      <c r="DE309" s="14" t="s">
        <v>538</v>
      </c>
      <c r="DF309" s="14">
        <f>INDEX(属性投放!$BK$6:$BK$85,(CV309-2)*20+CZ309)</f>
        <v>830</v>
      </c>
      <c r="DG309" s="14">
        <f>SUMIFS(DF$5:DF309,$CT$5:$CT309,"="&amp;$CT309)</f>
        <v>13229</v>
      </c>
      <c r="DH309" s="14" t="s">
        <v>539</v>
      </c>
      <c r="DI309" s="14">
        <f>INDEX(属性投放!$BL$6:$BL$85,(CV309-2)*20+CZ309)</f>
        <v>415</v>
      </c>
      <c r="DJ309" s="14">
        <f>SUMIFS(DI$5:DI309,$CT$5:$CT309,"="&amp;$CT309)</f>
        <v>6620</v>
      </c>
      <c r="DK309" s="14" t="s">
        <v>540</v>
      </c>
      <c r="DL309" s="14">
        <f>INDEX(属性投放!$BM$6:$BM$85,(CV309-2)*20+CZ309)</f>
        <v>8300</v>
      </c>
      <c r="DM309" s="14">
        <f>SUMIFS(DL$5:DL309,$CT$5:$CT309,"="&amp;$CT309)</f>
        <v>126702</v>
      </c>
      <c r="DR309" s="14">
        <f t="shared" si="555"/>
        <v>1102016</v>
      </c>
      <c r="DS309" s="14" t="str">
        <f t="shared" si="556"/>
        <v>西方龙5突</v>
      </c>
      <c r="DT309" s="14">
        <f t="shared" si="567"/>
        <v>6</v>
      </c>
      <c r="DU309" s="14">
        <f t="shared" si="568"/>
        <v>7</v>
      </c>
      <c r="DV309" s="14">
        <f t="shared" si="569"/>
        <v>8</v>
      </c>
      <c r="DW309" s="14">
        <f t="shared" si="557"/>
        <v>4</v>
      </c>
      <c r="DX309" s="14">
        <f t="shared" si="558"/>
        <v>5</v>
      </c>
      <c r="DY309" s="14">
        <f t="shared" si="559"/>
        <v>45</v>
      </c>
      <c r="DZ309" s="14">
        <f>INDEX(属性投放!$AX$6:$AX$85,(卡牌属性!DW309-2)*20+卡牌属性!DX309)</f>
        <v>7</v>
      </c>
      <c r="EA309" s="14">
        <f>INDEX(属性投放!BQ$6:BQ$85,卡牌属性!$DY309)</f>
        <v>120</v>
      </c>
      <c r="EB309" s="14">
        <f>INDEX(属性投放!BR$6:BR$85,卡牌属性!$DY309)</f>
        <v>60</v>
      </c>
      <c r="EC309" s="14">
        <f>INDEX(属性投放!BS$6:BS$85,卡牌属性!$DY309)</f>
        <v>840</v>
      </c>
      <c r="ED309" s="14">
        <f t="shared" si="618"/>
        <v>840</v>
      </c>
      <c r="EE309" s="14">
        <f t="shared" si="619"/>
        <v>1003</v>
      </c>
      <c r="EF309" s="14">
        <f t="shared" si="620"/>
        <v>1117</v>
      </c>
      <c r="EG309" s="14">
        <f t="shared" si="621"/>
        <v>1117</v>
      </c>
      <c r="EH309" s="14">
        <f t="shared" si="622"/>
        <v>1265</v>
      </c>
      <c r="EI309" s="14">
        <f t="shared" si="623"/>
        <v>462</v>
      </c>
      <c r="EJ309" s="14">
        <f t="shared" si="624"/>
        <v>521</v>
      </c>
      <c r="EK309" s="14">
        <f t="shared" si="625"/>
        <v>521</v>
      </c>
      <c r="EL309" s="14">
        <f t="shared" si="626"/>
        <v>590</v>
      </c>
      <c r="EM309" s="14">
        <f t="shared" si="627"/>
        <v>728</v>
      </c>
      <c r="EN309" s="14">
        <f t="shared" si="628"/>
        <v>6522</v>
      </c>
      <c r="EO309" s="14">
        <f t="shared" si="629"/>
        <v>7340</v>
      </c>
      <c r="EP309" s="14">
        <f t="shared" si="630"/>
        <v>7340</v>
      </c>
      <c r="EQ309" s="14">
        <f t="shared" si="631"/>
        <v>8710</v>
      </c>
      <c r="ER309" s="14">
        <f t="shared" si="632"/>
        <v>10630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154</v>
      </c>
      <c r="FD309" s="14">
        <f>INDEX(属性偏向!$U$4:$U$243,(卡牌属性!$DV309-1+FD$3)*20+卡牌属性!$DX309)</f>
        <v>175</v>
      </c>
      <c r="FE309" s="14">
        <f>INDEX(属性偏向!$U$4:$U$243,(卡牌属性!$DV309-1+FE$3)*20+卡牌属性!$DX309)</f>
        <v>175</v>
      </c>
      <c r="FF309" s="14">
        <f>INDEX(属性偏向!$U$4:$U$243,(卡牌属性!$DV309-1+FF$3)*20+卡牌属性!$DX309)</f>
        <v>210</v>
      </c>
      <c r="FG309" s="14">
        <f>INDEX(属性偏向!$U$4:$U$243,(卡牌属性!$DV309-1+FG$3)*20+卡牌属性!$DX309)</f>
        <v>280</v>
      </c>
      <c r="FH309" s="14">
        <f>INDEX(属性投放!$BQ$6:$BQ$85,(卡牌属性!$DW309-2)*20+卡牌属性!$DX309)</f>
        <v>120</v>
      </c>
      <c r="FI309" s="14">
        <f>INDEX(属性投放!$BQ$6:$BQ$85,(卡牌属性!$DW309-2)*20+卡牌属性!$DX309)</f>
        <v>120</v>
      </c>
      <c r="FJ309" s="14">
        <f>INDEX(属性投放!$BQ$6:$BQ$85,(卡牌属性!$DW309-2)*20+卡牌属性!$DX309)</f>
        <v>120</v>
      </c>
      <c r="FK309" s="14">
        <f>INDEX(属性投放!$BQ$6:$BQ$85,(卡牌属性!$DW309-2)*20+卡牌属性!$DX309)</f>
        <v>120</v>
      </c>
      <c r="FL309" s="14">
        <f>INDEX(属性投放!$BQ$6:$BQ$85,(卡牌属性!$DW309-2)*20+卡牌属性!$DX309)</f>
        <v>120</v>
      </c>
      <c r="FM309" s="14">
        <f>INDEX(属性投放!$BR$6:$BR$85,(卡牌属性!$DW309-2)*20+卡牌属性!$DX309)</f>
        <v>60</v>
      </c>
      <c r="FN309" s="14">
        <f>INDEX(属性投放!$BR$6:$BR$85,(卡牌属性!$DW309-2)*20+卡牌属性!$DX309)</f>
        <v>60</v>
      </c>
      <c r="FO309" s="14">
        <f>INDEX(属性投放!$BR$6:$BR$85,(卡牌属性!$DW309-2)*20+卡牌属性!$DX309)</f>
        <v>60</v>
      </c>
      <c r="FP309" s="14">
        <f>INDEX(属性投放!$BR$6:$BR$85,(卡牌属性!$DW309-2)*20+卡牌属性!$DX309)</f>
        <v>60</v>
      </c>
      <c r="FQ309" s="14">
        <f>INDEX(属性投放!$BR$6:$BR$85,(卡牌属性!$DW309-2)*20+卡牌属性!$DX309)</f>
        <v>60</v>
      </c>
      <c r="FR309" s="14">
        <f>INDEX(属性投放!$BS$6:$BS$85,(卡牌属性!$DW309-2)*20+卡牌属性!$DX309)</f>
        <v>840</v>
      </c>
      <c r="FS309" s="14">
        <f>INDEX(属性投放!$BS$6:$BS$85,(卡牌属性!$DW309-2)*20+卡牌属性!$DX309)</f>
        <v>840</v>
      </c>
      <c r="FT309" s="14">
        <f>INDEX(属性投放!$BS$6:$BS$85,(卡牌属性!$DW309-2)*20+卡牌属性!$DX309)</f>
        <v>840</v>
      </c>
      <c r="FU309" s="14">
        <f>INDEX(属性投放!$BS$6:$BS$85,(卡牌属性!$DW309-2)*20+卡牌属性!$DX309)</f>
        <v>840</v>
      </c>
      <c r="FV309" s="14">
        <f>INDEX(属性投放!$BS$6:$BS$85,(卡牌属性!$DW309-2)*20+卡牌属性!$DX309)</f>
        <v>840</v>
      </c>
    </row>
    <row r="310" spans="31:178" ht="16.5" x14ac:dyDescent="0.2">
      <c r="AE310" s="13">
        <v>306</v>
      </c>
      <c r="AF310" s="13">
        <f t="shared" si="560"/>
        <v>16</v>
      </c>
      <c r="AG310" s="13">
        <f t="shared" si="547"/>
        <v>2</v>
      </c>
      <c r="AH310" s="13"/>
      <c r="AI310" s="13"/>
      <c r="AJ310" s="14">
        <f t="shared" si="548"/>
        <v>1101041</v>
      </c>
      <c r="AK310" s="14" t="str">
        <f t="shared" si="549"/>
        <v>常服夏玲6突</v>
      </c>
      <c r="AL310" s="25" t="s">
        <v>142</v>
      </c>
      <c r="AM310" s="14">
        <v>1</v>
      </c>
      <c r="AN310" s="14">
        <f t="shared" si="550"/>
        <v>6</v>
      </c>
      <c r="AO310" s="14">
        <f>INDEX(属性投放!$DF$6:$DF$85,(卡牌属性!AG310-2)*20+卡牌属性!AN310)</f>
        <v>464</v>
      </c>
      <c r="AP310" s="14">
        <f t="shared" si="612"/>
        <v>464</v>
      </c>
      <c r="AQ310" s="14">
        <f t="shared" si="612"/>
        <v>464</v>
      </c>
      <c r="AR310" s="14">
        <f t="shared" si="612"/>
        <v>464</v>
      </c>
      <c r="AS310" s="14">
        <f t="shared" si="612"/>
        <v>464</v>
      </c>
      <c r="AT310" s="14">
        <f>INDEX(属性投放!$DG$6:$DG$85,(卡牌属性!AG310-2)*20+卡牌属性!AN310)</f>
        <v>182</v>
      </c>
      <c r="AU310" s="14">
        <f t="shared" si="613"/>
        <v>182</v>
      </c>
      <c r="AV310" s="14">
        <f t="shared" si="613"/>
        <v>182</v>
      </c>
      <c r="AW310" s="14">
        <f t="shared" si="613"/>
        <v>182</v>
      </c>
      <c r="AX310" s="14">
        <f t="shared" si="613"/>
        <v>182</v>
      </c>
      <c r="AY310" s="14">
        <f>INDEX(属性投放!$DH$6:$DH$85,(卡牌属性!AG310-2)*20+卡牌属性!AN310)</f>
        <v>2534</v>
      </c>
      <c r="AZ310" s="14">
        <f t="shared" si="614"/>
        <v>2534</v>
      </c>
      <c r="BA310" s="14">
        <f t="shared" si="614"/>
        <v>2534</v>
      </c>
      <c r="BB310" s="14">
        <f t="shared" si="614"/>
        <v>2534</v>
      </c>
      <c r="BC310" s="14">
        <f t="shared" si="614"/>
        <v>2534</v>
      </c>
      <c r="BD310" s="14">
        <f>INDEX(属性投放!$DL$6:$DL$85,(卡牌属性!AG310-2)*20+卡牌属性!AN310)</f>
        <v>22</v>
      </c>
      <c r="BE310" s="14">
        <f t="shared" si="615"/>
        <v>22</v>
      </c>
      <c r="BF310" s="14">
        <f t="shared" si="615"/>
        <v>22</v>
      </c>
      <c r="BG310" s="14">
        <f t="shared" si="615"/>
        <v>22</v>
      </c>
      <c r="BH310" s="14">
        <f t="shared" si="615"/>
        <v>22</v>
      </c>
      <c r="BI310" s="14">
        <f>INDEX(属性投放!$DM$6:$DM$85,(卡牌属性!AG310-2)*20+卡牌属性!AN310)</f>
        <v>11</v>
      </c>
      <c r="BJ310" s="14">
        <f t="shared" si="616"/>
        <v>11</v>
      </c>
      <c r="BK310" s="14">
        <f t="shared" si="616"/>
        <v>11</v>
      </c>
      <c r="BL310" s="14">
        <f t="shared" si="616"/>
        <v>11</v>
      </c>
      <c r="BM310" s="14">
        <f t="shared" si="616"/>
        <v>11</v>
      </c>
      <c r="BN310" s="14">
        <f>INDEX(属性投放!$DN$6:$DN$85,(卡牌属性!AG310-2)*20+卡牌属性!AN310)</f>
        <v>153</v>
      </c>
      <c r="BO310" s="14">
        <f t="shared" si="617"/>
        <v>153</v>
      </c>
      <c r="BP310" s="14">
        <f t="shared" si="617"/>
        <v>153</v>
      </c>
      <c r="BQ310" s="14">
        <f t="shared" si="617"/>
        <v>153</v>
      </c>
      <c r="BR310" s="14">
        <f t="shared" si="617"/>
        <v>153</v>
      </c>
      <c r="BW310" s="13">
        <v>306</v>
      </c>
      <c r="BX310" s="13">
        <f t="shared" si="551"/>
        <v>16</v>
      </c>
      <c r="BY310" s="14">
        <f t="shared" si="552"/>
        <v>4</v>
      </c>
      <c r="BZ310" s="14">
        <f t="shared" si="561"/>
        <v>1102016</v>
      </c>
      <c r="CA310" s="14" t="str">
        <f t="shared" si="562"/>
        <v>西方龙6突</v>
      </c>
      <c r="CB310" s="25" t="s">
        <v>142</v>
      </c>
      <c r="CC310" s="14">
        <v>2</v>
      </c>
      <c r="CD310" s="14">
        <f t="shared" si="553"/>
        <v>6</v>
      </c>
      <c r="CE310" s="14" t="s">
        <v>21</v>
      </c>
      <c r="CF310" s="14">
        <f>INDEX(属性投放!$AZ$6:$AZ$85,(BY310-2)*20+CD310)</f>
        <v>1618</v>
      </c>
      <c r="CG310" s="14" t="s">
        <v>22</v>
      </c>
      <c r="CH310" s="14">
        <f>INDEX(属性投放!$BA$6:$BA$85,(BY310-2)*20+CD310)</f>
        <v>748</v>
      </c>
      <c r="CI310" s="14" t="s">
        <v>510</v>
      </c>
      <c r="CJ310" s="14">
        <f>INDEX(属性投放!$BB$6:$BB$85,(BY310-2)*20+CD310)</f>
        <v>10068</v>
      </c>
      <c r="CK310" s="14" t="s">
        <v>21</v>
      </c>
      <c r="CL310" s="14">
        <f>INDEX(属性投放!$BC$6:$BC$85,(BY310-2)*20+CD310)</f>
        <v>20</v>
      </c>
      <c r="CM310" s="14" t="s">
        <v>22</v>
      </c>
      <c r="CN310" s="14">
        <f>INDEX(属性投放!$BD$6:$BD$85,(BY310-2)*20+CD310)</f>
        <v>10</v>
      </c>
      <c r="CO310" s="14" t="s">
        <v>510</v>
      </c>
      <c r="CP310" s="14">
        <f>INDEX(属性投放!$BE$6:$BE$85,(BY310-2)*20+CD310)</f>
        <v>140</v>
      </c>
      <c r="CS310" s="13">
        <v>306</v>
      </c>
      <c r="CT310" s="13">
        <f t="shared" si="563"/>
        <v>6</v>
      </c>
      <c r="CU310" s="13">
        <f t="shared" si="564"/>
        <v>46</v>
      </c>
      <c r="CV310" s="14">
        <f t="shared" si="565"/>
        <v>5</v>
      </c>
      <c r="CW310" s="14">
        <f t="shared" si="566"/>
        <v>1102006</v>
      </c>
      <c r="CX310" s="14" t="str">
        <f>INDEX($O$6:$O$50,CT310)&amp;"-"&amp;INDEX(属性投放!$AB$7:$AB$50,CZ310)&amp;"-魂火-"&amp;DB310</f>
        <v>项羽-无间-魂火-1</v>
      </c>
      <c r="CY310" s="25" t="s">
        <v>142</v>
      </c>
      <c r="CZ310" s="14">
        <f>INDEX(属性投放!$AM$7:$AM$58,CU310)</f>
        <v>19</v>
      </c>
      <c r="DA310" s="14" t="s">
        <v>537</v>
      </c>
      <c r="DB310" s="14">
        <f>INDEX(属性投放!$AN$7:$AN$58,CU310)</f>
        <v>1</v>
      </c>
      <c r="DC310" s="14">
        <f t="shared" si="554"/>
        <v>46</v>
      </c>
      <c r="DD310" s="14">
        <f>INDEX(属性投放!$AO$7:$AO$58,DC310)</f>
        <v>133</v>
      </c>
      <c r="DE310" s="14" t="s">
        <v>538</v>
      </c>
      <c r="DF310" s="14">
        <f>INDEX(属性投放!$BK$6:$BK$85,(CV310-2)*20+CZ310)</f>
        <v>980</v>
      </c>
      <c r="DG310" s="14">
        <f>SUMIFS(DF$5:DF310,$CT$5:$CT310,"="&amp;$CT310)</f>
        <v>14209</v>
      </c>
      <c r="DH310" s="14" t="s">
        <v>539</v>
      </c>
      <c r="DI310" s="14">
        <f>INDEX(属性投放!$BL$6:$BL$85,(CV310-2)*20+CZ310)</f>
        <v>490</v>
      </c>
      <c r="DJ310" s="14">
        <f>SUMIFS(DI$5:DI310,$CT$5:$CT310,"="&amp;$CT310)</f>
        <v>7110</v>
      </c>
      <c r="DK310" s="14" t="s">
        <v>540</v>
      </c>
      <c r="DL310" s="14">
        <f>INDEX(属性投放!$BM$6:$BM$85,(CV310-2)*20+CZ310)</f>
        <v>9800</v>
      </c>
      <c r="DM310" s="14">
        <f>SUMIFS(DL$5:DL310,$CT$5:$CT310,"="&amp;$CT310)</f>
        <v>136502</v>
      </c>
      <c r="DR310" s="14">
        <f t="shared" si="555"/>
        <v>1102016</v>
      </c>
      <c r="DS310" s="14" t="str">
        <f t="shared" si="556"/>
        <v>西方龙6突</v>
      </c>
      <c r="DT310" s="14">
        <f t="shared" si="567"/>
        <v>6</v>
      </c>
      <c r="DU310" s="14">
        <f t="shared" si="568"/>
        <v>7</v>
      </c>
      <c r="DV310" s="14">
        <f t="shared" si="569"/>
        <v>8</v>
      </c>
      <c r="DW310" s="14">
        <f t="shared" si="557"/>
        <v>4</v>
      </c>
      <c r="DX310" s="14">
        <f t="shared" si="558"/>
        <v>6</v>
      </c>
      <c r="DY310" s="14">
        <f t="shared" si="559"/>
        <v>46</v>
      </c>
      <c r="DZ310" s="14">
        <f>INDEX(属性投放!$AX$6:$AX$85,(卡牌属性!DW310-2)*20+卡牌属性!DX310)</f>
        <v>5</v>
      </c>
      <c r="EA310" s="14">
        <f>INDEX(属性投放!BQ$6:BQ$85,卡牌属性!$DY310)</f>
        <v>160</v>
      </c>
      <c r="EB310" s="14">
        <f>INDEX(属性投放!BR$6:BR$85,卡牌属性!$DY310)</f>
        <v>80</v>
      </c>
      <c r="EC310" s="14">
        <f>INDEX(属性投放!BS$6:BS$85,卡牌属性!$DY310)</f>
        <v>1120</v>
      </c>
      <c r="ED310" s="14">
        <f t="shared" si="618"/>
        <v>1051</v>
      </c>
      <c r="EE310" s="14">
        <f t="shared" si="619"/>
        <v>1263</v>
      </c>
      <c r="EF310" s="14">
        <f t="shared" si="620"/>
        <v>1391</v>
      </c>
      <c r="EG310" s="14">
        <f t="shared" si="621"/>
        <v>1391</v>
      </c>
      <c r="EH310" s="14">
        <f t="shared" si="622"/>
        <v>1560</v>
      </c>
      <c r="EI310" s="14">
        <f t="shared" si="623"/>
        <v>592</v>
      </c>
      <c r="EJ310" s="14">
        <f t="shared" si="624"/>
        <v>658</v>
      </c>
      <c r="EK310" s="14">
        <f t="shared" si="625"/>
        <v>658</v>
      </c>
      <c r="EL310" s="14">
        <f t="shared" si="626"/>
        <v>741</v>
      </c>
      <c r="EM310" s="14">
        <f t="shared" si="627"/>
        <v>893</v>
      </c>
      <c r="EN310" s="14">
        <f t="shared" si="628"/>
        <v>8440</v>
      </c>
      <c r="EO310" s="14">
        <f t="shared" si="629"/>
        <v>9405</v>
      </c>
      <c r="EP310" s="14">
        <f t="shared" si="630"/>
        <v>9405</v>
      </c>
      <c r="EQ310" s="14">
        <f t="shared" si="631"/>
        <v>11020</v>
      </c>
      <c r="ER310" s="14">
        <f t="shared" si="632"/>
        <v>13430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154</v>
      </c>
      <c r="FD310" s="14">
        <f>INDEX(属性偏向!$U$4:$U$243,(卡牌属性!$DV310-1+FD$3)*20+卡牌属性!$DX310)</f>
        <v>175</v>
      </c>
      <c r="FE310" s="14">
        <f>INDEX(属性偏向!$U$4:$U$243,(卡牌属性!$DV310-1+FE$3)*20+卡牌属性!$DX310)</f>
        <v>175</v>
      </c>
      <c r="FF310" s="14">
        <f>INDEX(属性偏向!$U$4:$U$243,(卡牌属性!$DV310-1+FF$3)*20+卡牌属性!$DX310)</f>
        <v>210</v>
      </c>
      <c r="FG310" s="14">
        <f>INDEX(属性偏向!$U$4:$U$243,(卡牌属性!$DV310-1+FG$3)*20+卡牌属性!$DX310)</f>
        <v>280</v>
      </c>
      <c r="FH310" s="14">
        <f>INDEX(属性投放!$BQ$6:$BQ$85,(卡牌属性!$DW310-2)*20+卡牌属性!$DX310)</f>
        <v>160</v>
      </c>
      <c r="FI310" s="14">
        <f>INDEX(属性投放!$BQ$6:$BQ$85,(卡牌属性!$DW310-2)*20+卡牌属性!$DX310)</f>
        <v>160</v>
      </c>
      <c r="FJ310" s="14">
        <f>INDEX(属性投放!$BQ$6:$BQ$85,(卡牌属性!$DW310-2)*20+卡牌属性!$DX310)</f>
        <v>160</v>
      </c>
      <c r="FK310" s="14">
        <f>INDEX(属性投放!$BQ$6:$BQ$85,(卡牌属性!$DW310-2)*20+卡牌属性!$DX310)</f>
        <v>160</v>
      </c>
      <c r="FL310" s="14">
        <f>INDEX(属性投放!$BQ$6:$BQ$85,(卡牌属性!$DW310-2)*20+卡牌属性!$DX310)</f>
        <v>160</v>
      </c>
      <c r="FM310" s="14">
        <f>INDEX(属性投放!$BR$6:$BR$85,(卡牌属性!$DW310-2)*20+卡牌属性!$DX310)</f>
        <v>80</v>
      </c>
      <c r="FN310" s="14">
        <f>INDEX(属性投放!$BR$6:$BR$85,(卡牌属性!$DW310-2)*20+卡牌属性!$DX310)</f>
        <v>80</v>
      </c>
      <c r="FO310" s="14">
        <f>INDEX(属性投放!$BR$6:$BR$85,(卡牌属性!$DW310-2)*20+卡牌属性!$DX310)</f>
        <v>80</v>
      </c>
      <c r="FP310" s="14">
        <f>INDEX(属性投放!$BR$6:$BR$85,(卡牌属性!$DW310-2)*20+卡牌属性!$DX310)</f>
        <v>80</v>
      </c>
      <c r="FQ310" s="14">
        <f>INDEX(属性投放!$BR$6:$BR$85,(卡牌属性!$DW310-2)*20+卡牌属性!$DX310)</f>
        <v>80</v>
      </c>
      <c r="FR310" s="14">
        <f>INDEX(属性投放!$BS$6:$BS$85,(卡牌属性!$DW310-2)*20+卡牌属性!$DX310)</f>
        <v>1120</v>
      </c>
      <c r="FS310" s="14">
        <f>INDEX(属性投放!$BS$6:$BS$85,(卡牌属性!$DW310-2)*20+卡牌属性!$DX310)</f>
        <v>1120</v>
      </c>
      <c r="FT310" s="14">
        <f>INDEX(属性投放!$BS$6:$BS$85,(卡牌属性!$DW310-2)*20+卡牌属性!$DX310)</f>
        <v>1120</v>
      </c>
      <c r="FU310" s="14">
        <f>INDEX(属性投放!$BS$6:$BS$85,(卡牌属性!$DW310-2)*20+卡牌属性!$DX310)</f>
        <v>1120</v>
      </c>
      <c r="FV310" s="14">
        <f>INDEX(属性投放!$BS$6:$BS$85,(卡牌属性!$DW310-2)*20+卡牌属性!$DX310)</f>
        <v>1120</v>
      </c>
    </row>
    <row r="311" spans="31:178" ht="16.5" x14ac:dyDescent="0.2">
      <c r="AE311" s="13">
        <v>307</v>
      </c>
      <c r="AF311" s="13">
        <f t="shared" si="560"/>
        <v>16</v>
      </c>
      <c r="AG311" s="13">
        <f t="shared" si="547"/>
        <v>2</v>
      </c>
      <c r="AH311" s="13"/>
      <c r="AI311" s="13"/>
      <c r="AJ311" s="14">
        <f t="shared" si="548"/>
        <v>1101041</v>
      </c>
      <c r="AK311" s="14" t="str">
        <f t="shared" si="549"/>
        <v>常服夏玲7突</v>
      </c>
      <c r="AL311" s="25" t="s">
        <v>142</v>
      </c>
      <c r="AM311" s="14">
        <v>1</v>
      </c>
      <c r="AN311" s="14">
        <f t="shared" si="550"/>
        <v>7</v>
      </c>
      <c r="AO311" s="14">
        <f>INDEX(属性投放!$DF$6:$DF$85,(卡牌属性!AG311-2)*20+卡牌属性!AN311)</f>
        <v>1077</v>
      </c>
      <c r="AP311" s="14">
        <f t="shared" si="612"/>
        <v>1077</v>
      </c>
      <c r="AQ311" s="14">
        <f t="shared" si="612"/>
        <v>1077</v>
      </c>
      <c r="AR311" s="14">
        <f t="shared" si="612"/>
        <v>1077</v>
      </c>
      <c r="AS311" s="14">
        <f t="shared" si="612"/>
        <v>1077</v>
      </c>
      <c r="AT311" s="14">
        <f>INDEX(属性投放!$DG$6:$DG$85,(卡牌属性!AG311-2)*20+卡牌属性!AN311)</f>
        <v>488</v>
      </c>
      <c r="AU311" s="14">
        <f t="shared" si="613"/>
        <v>488</v>
      </c>
      <c r="AV311" s="14">
        <f t="shared" si="613"/>
        <v>488</v>
      </c>
      <c r="AW311" s="14">
        <f t="shared" si="613"/>
        <v>488</v>
      </c>
      <c r="AX311" s="14">
        <f t="shared" si="613"/>
        <v>488</v>
      </c>
      <c r="AY311" s="14">
        <f>INDEX(属性投放!$DH$6:$DH$85,(卡牌属性!AG311-2)*20+卡牌属性!AN311)</f>
        <v>6797</v>
      </c>
      <c r="AZ311" s="14">
        <f t="shared" si="614"/>
        <v>6797</v>
      </c>
      <c r="BA311" s="14">
        <f t="shared" si="614"/>
        <v>6797</v>
      </c>
      <c r="BB311" s="14">
        <f t="shared" si="614"/>
        <v>6797</v>
      </c>
      <c r="BC311" s="14">
        <f t="shared" si="614"/>
        <v>6797</v>
      </c>
      <c r="BD311" s="14">
        <f>INDEX(属性投放!$DL$6:$DL$85,(卡牌属性!AG311-2)*20+卡牌属性!AN311)</f>
        <v>36</v>
      </c>
      <c r="BE311" s="14">
        <f t="shared" si="615"/>
        <v>36</v>
      </c>
      <c r="BF311" s="14">
        <f t="shared" si="615"/>
        <v>36</v>
      </c>
      <c r="BG311" s="14">
        <f t="shared" si="615"/>
        <v>36</v>
      </c>
      <c r="BH311" s="14">
        <f t="shared" si="615"/>
        <v>36</v>
      </c>
      <c r="BI311" s="14">
        <f>INDEX(属性投放!$DM$6:$DM$85,(卡牌属性!AG311-2)*20+卡牌属性!AN311)</f>
        <v>18</v>
      </c>
      <c r="BJ311" s="14">
        <f t="shared" si="616"/>
        <v>18</v>
      </c>
      <c r="BK311" s="14">
        <f t="shared" si="616"/>
        <v>18</v>
      </c>
      <c r="BL311" s="14">
        <f t="shared" si="616"/>
        <v>18</v>
      </c>
      <c r="BM311" s="14">
        <f t="shared" si="616"/>
        <v>18</v>
      </c>
      <c r="BN311" s="14">
        <f>INDEX(属性投放!$DN$6:$DN$85,(卡牌属性!AG311-2)*20+卡牌属性!AN311)</f>
        <v>286</v>
      </c>
      <c r="BO311" s="14">
        <f t="shared" si="617"/>
        <v>286</v>
      </c>
      <c r="BP311" s="14">
        <f t="shared" si="617"/>
        <v>286</v>
      </c>
      <c r="BQ311" s="14">
        <f t="shared" si="617"/>
        <v>286</v>
      </c>
      <c r="BR311" s="14">
        <f t="shared" si="617"/>
        <v>286</v>
      </c>
      <c r="BW311" s="13">
        <v>307</v>
      </c>
      <c r="BX311" s="13">
        <f t="shared" si="551"/>
        <v>16</v>
      </c>
      <c r="BY311" s="14">
        <f t="shared" si="552"/>
        <v>4</v>
      </c>
      <c r="BZ311" s="14">
        <f t="shared" si="561"/>
        <v>1102016</v>
      </c>
      <c r="CA311" s="14" t="str">
        <f t="shared" si="562"/>
        <v>西方龙7突</v>
      </c>
      <c r="CB311" s="25" t="s">
        <v>142</v>
      </c>
      <c r="CC311" s="14">
        <v>2</v>
      </c>
      <c r="CD311" s="14">
        <f t="shared" si="553"/>
        <v>7</v>
      </c>
      <c r="CE311" s="14" t="s">
        <v>21</v>
      </c>
      <c r="CF311" s="14">
        <f>INDEX(属性投放!$AZ$6:$AZ$85,(BY311-2)*20+CD311)</f>
        <v>1998</v>
      </c>
      <c r="CG311" s="14" t="s">
        <v>22</v>
      </c>
      <c r="CH311" s="14">
        <f>INDEX(属性投放!$BA$6:$BA$85,(BY311-2)*20+CD311)</f>
        <v>938</v>
      </c>
      <c r="CI311" s="14" t="s">
        <v>510</v>
      </c>
      <c r="CJ311" s="14">
        <f>INDEX(属性投放!$BB$6:$BB$85,(BY311-2)*20+CD311)</f>
        <v>12728</v>
      </c>
      <c r="CK311" s="14" t="s">
        <v>21</v>
      </c>
      <c r="CL311" s="14">
        <f>INDEX(属性投放!$BC$6:$BC$85,(BY311-2)*20+CD311)</f>
        <v>25</v>
      </c>
      <c r="CM311" s="14" t="s">
        <v>22</v>
      </c>
      <c r="CN311" s="14">
        <f>INDEX(属性投放!$BD$6:$BD$85,(BY311-2)*20+CD311)</f>
        <v>13</v>
      </c>
      <c r="CO311" s="14" t="s">
        <v>510</v>
      </c>
      <c r="CP311" s="14">
        <f>INDEX(属性投放!$BE$6:$BE$85,(BY311-2)*20+CD311)</f>
        <v>200</v>
      </c>
      <c r="CS311" s="13">
        <v>307</v>
      </c>
      <c r="CT311" s="13">
        <f t="shared" si="563"/>
        <v>6</v>
      </c>
      <c r="CU311" s="13">
        <f t="shared" si="564"/>
        <v>47</v>
      </c>
      <c r="CV311" s="14">
        <f t="shared" si="565"/>
        <v>5</v>
      </c>
      <c r="CW311" s="14">
        <f t="shared" si="566"/>
        <v>1102006</v>
      </c>
      <c r="CX311" s="14" t="str">
        <f>INDEX($O$6:$O$50,CT311)&amp;"-"&amp;INDEX(属性投放!$AB$7:$AB$50,CZ311)&amp;"-魂火-"&amp;DB311</f>
        <v>项羽-无间-魂火-2</v>
      </c>
      <c r="CY311" s="25" t="s">
        <v>142</v>
      </c>
      <c r="CZ311" s="14">
        <f>INDEX(属性投放!$AM$7:$AM$58,CU311)</f>
        <v>19</v>
      </c>
      <c r="DA311" s="14" t="s">
        <v>537</v>
      </c>
      <c r="DB311" s="14">
        <f>INDEX(属性投放!$AN$7:$AN$58,CU311)</f>
        <v>2</v>
      </c>
      <c r="DC311" s="14">
        <f t="shared" si="554"/>
        <v>47</v>
      </c>
      <c r="DD311" s="14">
        <f>INDEX(属性投放!$AO$7:$AO$58,DC311)</f>
        <v>135</v>
      </c>
      <c r="DE311" s="14" t="s">
        <v>538</v>
      </c>
      <c r="DF311" s="14">
        <f>INDEX(属性投放!$BK$6:$BK$85,(CV311-2)*20+CZ311)</f>
        <v>980</v>
      </c>
      <c r="DG311" s="14">
        <f>SUMIFS(DF$5:DF311,$CT$5:$CT311,"="&amp;$CT311)</f>
        <v>15189</v>
      </c>
      <c r="DH311" s="14" t="s">
        <v>539</v>
      </c>
      <c r="DI311" s="14">
        <f>INDEX(属性投放!$BL$6:$BL$85,(CV311-2)*20+CZ311)</f>
        <v>490</v>
      </c>
      <c r="DJ311" s="14">
        <f>SUMIFS(DI$5:DI311,$CT$5:$CT311,"="&amp;$CT311)</f>
        <v>7600</v>
      </c>
      <c r="DK311" s="14" t="s">
        <v>540</v>
      </c>
      <c r="DL311" s="14">
        <f>INDEX(属性投放!$BM$6:$BM$85,(CV311-2)*20+CZ311)</f>
        <v>9800</v>
      </c>
      <c r="DM311" s="14">
        <f>SUMIFS(DL$5:DL311,$CT$5:$CT311,"="&amp;$CT311)</f>
        <v>146302</v>
      </c>
      <c r="DR311" s="14">
        <f t="shared" si="555"/>
        <v>1102016</v>
      </c>
      <c r="DS311" s="14" t="str">
        <f t="shared" si="556"/>
        <v>西方龙7突</v>
      </c>
      <c r="DT311" s="14">
        <f t="shared" si="567"/>
        <v>6</v>
      </c>
      <c r="DU311" s="14">
        <f t="shared" si="568"/>
        <v>7</v>
      </c>
      <c r="DV311" s="14">
        <f t="shared" si="569"/>
        <v>8</v>
      </c>
      <c r="DW311" s="14">
        <f t="shared" si="557"/>
        <v>4</v>
      </c>
      <c r="DX311" s="14">
        <f t="shared" si="558"/>
        <v>7</v>
      </c>
      <c r="DY311" s="14">
        <f t="shared" si="559"/>
        <v>47</v>
      </c>
      <c r="DZ311" s="14">
        <f>INDEX(属性投放!$AX$6:$AX$85,(卡牌属性!DW311-2)*20+卡牌属性!DX311)</f>
        <v>5</v>
      </c>
      <c r="EA311" s="14">
        <f>INDEX(属性投放!BQ$6:BQ$85,卡牌属性!$DY311)</f>
        <v>165</v>
      </c>
      <c r="EB311" s="14">
        <f>INDEX(属性投放!BR$6:BR$85,卡牌属性!$DY311)</f>
        <v>83</v>
      </c>
      <c r="EC311" s="14">
        <f>INDEX(属性投放!BS$6:BS$85,卡牌属性!$DY311)</f>
        <v>1320</v>
      </c>
      <c r="ED311" s="14">
        <f t="shared" si="618"/>
        <v>1276</v>
      </c>
      <c r="EE311" s="14">
        <f t="shared" si="619"/>
        <v>1523</v>
      </c>
      <c r="EF311" s="14">
        <f t="shared" si="620"/>
        <v>1661</v>
      </c>
      <c r="EG311" s="14">
        <f t="shared" si="621"/>
        <v>1661</v>
      </c>
      <c r="EH311" s="14">
        <f t="shared" si="622"/>
        <v>1845</v>
      </c>
      <c r="EI311" s="14">
        <f t="shared" si="623"/>
        <v>722</v>
      </c>
      <c r="EJ311" s="14">
        <f t="shared" si="624"/>
        <v>793</v>
      </c>
      <c r="EK311" s="14">
        <f t="shared" si="625"/>
        <v>793</v>
      </c>
      <c r="EL311" s="14">
        <f t="shared" si="626"/>
        <v>886</v>
      </c>
      <c r="EM311" s="14">
        <f t="shared" si="627"/>
        <v>1048</v>
      </c>
      <c r="EN311" s="14">
        <f t="shared" si="628"/>
        <v>10330</v>
      </c>
      <c r="EO311" s="14">
        <f t="shared" si="629"/>
        <v>11400</v>
      </c>
      <c r="EP311" s="14">
        <f t="shared" si="630"/>
        <v>11400</v>
      </c>
      <c r="EQ311" s="14">
        <f t="shared" si="631"/>
        <v>13190</v>
      </c>
      <c r="ER311" s="14">
        <f t="shared" si="632"/>
        <v>15950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224</v>
      </c>
      <c r="FD311" s="14">
        <f>INDEX(属性偏向!$U$4:$U$243,(卡牌属性!$DV311-1+FD$3)*20+卡牌属性!$DX311)</f>
        <v>240</v>
      </c>
      <c r="FE311" s="14">
        <f>INDEX(属性偏向!$U$4:$U$243,(卡牌属性!$DV311-1+FE$3)*20+卡牌属性!$DX311)</f>
        <v>240</v>
      </c>
      <c r="FF311" s="14">
        <f>INDEX(属性偏向!$U$4:$U$243,(卡牌属性!$DV311-1+FF$3)*20+卡牌属性!$DX311)</f>
        <v>320</v>
      </c>
      <c r="FG311" s="14">
        <f>INDEX(属性偏向!$U$4:$U$243,(卡牌属性!$DV311-1+FG$3)*20+卡牌属性!$DX311)</f>
        <v>400</v>
      </c>
      <c r="FH311" s="14">
        <f>INDEX(属性投放!$BQ$6:$BQ$85,(卡牌属性!$DW311-2)*20+卡牌属性!$DX311)</f>
        <v>165</v>
      </c>
      <c r="FI311" s="14">
        <f>INDEX(属性投放!$BQ$6:$BQ$85,(卡牌属性!$DW311-2)*20+卡牌属性!$DX311)</f>
        <v>165</v>
      </c>
      <c r="FJ311" s="14">
        <f>INDEX(属性投放!$BQ$6:$BQ$85,(卡牌属性!$DW311-2)*20+卡牌属性!$DX311)</f>
        <v>165</v>
      </c>
      <c r="FK311" s="14">
        <f>INDEX(属性投放!$BQ$6:$BQ$85,(卡牌属性!$DW311-2)*20+卡牌属性!$DX311)</f>
        <v>165</v>
      </c>
      <c r="FL311" s="14">
        <f>INDEX(属性投放!$BQ$6:$BQ$85,(卡牌属性!$DW311-2)*20+卡牌属性!$DX311)</f>
        <v>165</v>
      </c>
      <c r="FM311" s="14">
        <f>INDEX(属性投放!$BR$6:$BR$85,(卡牌属性!$DW311-2)*20+卡牌属性!$DX311)</f>
        <v>83</v>
      </c>
      <c r="FN311" s="14">
        <f>INDEX(属性投放!$BR$6:$BR$85,(卡牌属性!$DW311-2)*20+卡牌属性!$DX311)</f>
        <v>83</v>
      </c>
      <c r="FO311" s="14">
        <f>INDEX(属性投放!$BR$6:$BR$85,(卡牌属性!$DW311-2)*20+卡牌属性!$DX311)</f>
        <v>83</v>
      </c>
      <c r="FP311" s="14">
        <f>INDEX(属性投放!$BR$6:$BR$85,(卡牌属性!$DW311-2)*20+卡牌属性!$DX311)</f>
        <v>83</v>
      </c>
      <c r="FQ311" s="14">
        <f>INDEX(属性投放!$BR$6:$BR$85,(卡牌属性!$DW311-2)*20+卡牌属性!$DX311)</f>
        <v>83</v>
      </c>
      <c r="FR311" s="14">
        <f>INDEX(属性投放!$BS$6:$BS$85,(卡牌属性!$DW311-2)*20+卡牌属性!$DX311)</f>
        <v>1320</v>
      </c>
      <c r="FS311" s="14">
        <f>INDEX(属性投放!$BS$6:$BS$85,(卡牌属性!$DW311-2)*20+卡牌属性!$DX311)</f>
        <v>1320</v>
      </c>
      <c r="FT311" s="14">
        <f>INDEX(属性投放!$BS$6:$BS$85,(卡牌属性!$DW311-2)*20+卡牌属性!$DX311)</f>
        <v>1320</v>
      </c>
      <c r="FU311" s="14">
        <f>INDEX(属性投放!$BS$6:$BS$85,(卡牌属性!$DW311-2)*20+卡牌属性!$DX311)</f>
        <v>1320</v>
      </c>
      <c r="FV311" s="14">
        <f>INDEX(属性投放!$BS$6:$BS$85,(卡牌属性!$DW311-2)*20+卡牌属性!$DX311)</f>
        <v>1320</v>
      </c>
    </row>
    <row r="312" spans="31:178" ht="16.5" x14ac:dyDescent="0.2">
      <c r="AE312" s="13">
        <v>308</v>
      </c>
      <c r="AF312" s="13">
        <f t="shared" si="560"/>
        <v>16</v>
      </c>
      <c r="AG312" s="13">
        <f t="shared" si="547"/>
        <v>2</v>
      </c>
      <c r="AH312" s="13"/>
      <c r="AI312" s="13"/>
      <c r="AJ312" s="14">
        <f t="shared" si="548"/>
        <v>1101041</v>
      </c>
      <c r="AK312" s="14" t="str">
        <f t="shared" si="549"/>
        <v>常服夏玲8突</v>
      </c>
      <c r="AL312" s="25" t="s">
        <v>142</v>
      </c>
      <c r="AM312" s="14">
        <v>1</v>
      </c>
      <c r="AN312" s="14">
        <f t="shared" si="550"/>
        <v>8</v>
      </c>
      <c r="AO312" s="14">
        <f>INDEX(属性投放!$DF$6:$DF$85,(卡牌属性!AG312-2)*20+卡牌属性!AN312)</f>
        <v>1179</v>
      </c>
      <c r="AP312" s="14">
        <f t="shared" si="612"/>
        <v>1179</v>
      </c>
      <c r="AQ312" s="14">
        <f t="shared" si="612"/>
        <v>1179</v>
      </c>
      <c r="AR312" s="14">
        <f t="shared" si="612"/>
        <v>1179</v>
      </c>
      <c r="AS312" s="14">
        <f t="shared" si="612"/>
        <v>1179</v>
      </c>
      <c r="AT312" s="14">
        <f>INDEX(属性投放!$DG$6:$DG$85,(卡牌属性!AG312-2)*20+卡牌属性!AN312)</f>
        <v>539</v>
      </c>
      <c r="AU312" s="14">
        <f t="shared" si="613"/>
        <v>539</v>
      </c>
      <c r="AV312" s="14">
        <f t="shared" si="613"/>
        <v>539</v>
      </c>
      <c r="AW312" s="14">
        <f t="shared" si="613"/>
        <v>539</v>
      </c>
      <c r="AX312" s="14">
        <f t="shared" si="613"/>
        <v>539</v>
      </c>
      <c r="AY312" s="14">
        <f>INDEX(属性投放!$DH$6:$DH$85,(卡牌属性!AG312-2)*20+卡牌属性!AN312)</f>
        <v>7613</v>
      </c>
      <c r="AZ312" s="14">
        <f t="shared" si="614"/>
        <v>7613</v>
      </c>
      <c r="BA312" s="14">
        <f t="shared" si="614"/>
        <v>7613</v>
      </c>
      <c r="BB312" s="14">
        <f t="shared" si="614"/>
        <v>7613</v>
      </c>
      <c r="BC312" s="14">
        <f t="shared" si="614"/>
        <v>7613</v>
      </c>
      <c r="BD312" s="14">
        <f>INDEX(属性投放!$DL$6:$DL$85,(卡牌属性!AG312-2)*20+卡牌属性!AN312)</f>
        <v>36</v>
      </c>
      <c r="BE312" s="14">
        <f t="shared" si="615"/>
        <v>36</v>
      </c>
      <c r="BF312" s="14">
        <f t="shared" si="615"/>
        <v>36</v>
      </c>
      <c r="BG312" s="14">
        <f t="shared" si="615"/>
        <v>36</v>
      </c>
      <c r="BH312" s="14">
        <f t="shared" si="615"/>
        <v>36</v>
      </c>
      <c r="BI312" s="14">
        <f>INDEX(属性投放!$DM$6:$DM$85,(卡牌属性!AG312-2)*20+卡牌属性!AN312)</f>
        <v>18</v>
      </c>
      <c r="BJ312" s="14">
        <f t="shared" si="616"/>
        <v>18</v>
      </c>
      <c r="BK312" s="14">
        <f t="shared" si="616"/>
        <v>18</v>
      </c>
      <c r="BL312" s="14">
        <f t="shared" si="616"/>
        <v>18</v>
      </c>
      <c r="BM312" s="14">
        <f t="shared" si="616"/>
        <v>18</v>
      </c>
      <c r="BN312" s="14">
        <f>INDEX(属性投放!$DN$6:$DN$85,(卡牌属性!AG312-2)*20+卡牌属性!AN312)</f>
        <v>286</v>
      </c>
      <c r="BO312" s="14">
        <f t="shared" si="617"/>
        <v>286</v>
      </c>
      <c r="BP312" s="14">
        <f t="shared" si="617"/>
        <v>286</v>
      </c>
      <c r="BQ312" s="14">
        <f t="shared" si="617"/>
        <v>286</v>
      </c>
      <c r="BR312" s="14">
        <f t="shared" si="617"/>
        <v>286</v>
      </c>
      <c r="BW312" s="13">
        <v>308</v>
      </c>
      <c r="BX312" s="13">
        <f t="shared" si="551"/>
        <v>16</v>
      </c>
      <c r="BY312" s="14">
        <f t="shared" si="552"/>
        <v>4</v>
      </c>
      <c r="BZ312" s="14">
        <f t="shared" si="561"/>
        <v>1102016</v>
      </c>
      <c r="CA312" s="14" t="str">
        <f t="shared" si="562"/>
        <v>西方龙8突</v>
      </c>
      <c r="CB312" s="25" t="s">
        <v>142</v>
      </c>
      <c r="CC312" s="14">
        <v>2</v>
      </c>
      <c r="CD312" s="14">
        <f t="shared" si="553"/>
        <v>8</v>
      </c>
      <c r="CE312" s="14" t="s">
        <v>21</v>
      </c>
      <c r="CF312" s="14">
        <f>INDEX(属性投放!$AZ$6:$AZ$85,(BY312-2)*20+CD312)</f>
        <v>2448</v>
      </c>
      <c r="CG312" s="14" t="s">
        <v>22</v>
      </c>
      <c r="CH312" s="14">
        <f>INDEX(属性投放!$BA$6:$BA$85,(BY312-2)*20+CD312)</f>
        <v>1166</v>
      </c>
      <c r="CI312" s="14" t="s">
        <v>510</v>
      </c>
      <c r="CJ312" s="14">
        <f>INDEX(属性投放!$BB$6:$BB$85,(BY312-2)*20+CD312)</f>
        <v>16328</v>
      </c>
      <c r="CK312" s="14" t="s">
        <v>21</v>
      </c>
      <c r="CL312" s="14">
        <f>INDEX(属性投放!$BC$6:$BC$85,(BY312-2)*20+CD312)</f>
        <v>25</v>
      </c>
      <c r="CM312" s="14" t="s">
        <v>22</v>
      </c>
      <c r="CN312" s="14">
        <f>INDEX(属性投放!$BD$6:$BD$85,(BY312-2)*20+CD312)</f>
        <v>13</v>
      </c>
      <c r="CO312" s="14" t="s">
        <v>510</v>
      </c>
      <c r="CP312" s="14">
        <f>INDEX(属性投放!$BE$6:$BE$85,(BY312-2)*20+CD312)</f>
        <v>200</v>
      </c>
      <c r="CS312" s="13">
        <v>308</v>
      </c>
      <c r="CT312" s="13">
        <f t="shared" si="563"/>
        <v>6</v>
      </c>
      <c r="CU312" s="13">
        <f t="shared" si="564"/>
        <v>48</v>
      </c>
      <c r="CV312" s="14">
        <f t="shared" si="565"/>
        <v>5</v>
      </c>
      <c r="CW312" s="14">
        <f t="shared" si="566"/>
        <v>1102006</v>
      </c>
      <c r="CX312" s="14" t="str">
        <f>INDEX($O$6:$O$50,CT312)&amp;"-"&amp;INDEX(属性投放!$AB$7:$AB$50,CZ312)&amp;"-魂火-"&amp;DB312</f>
        <v>项羽-无间-魂火-3</v>
      </c>
      <c r="CY312" s="25" t="s">
        <v>142</v>
      </c>
      <c r="CZ312" s="14">
        <f>INDEX(属性投放!$AM$7:$AM$58,CU312)</f>
        <v>19</v>
      </c>
      <c r="DA312" s="14" t="s">
        <v>537</v>
      </c>
      <c r="DB312" s="14">
        <f>INDEX(属性投放!$AN$7:$AN$58,CU312)</f>
        <v>3</v>
      </c>
      <c r="DC312" s="14">
        <f t="shared" si="554"/>
        <v>48</v>
      </c>
      <c r="DD312" s="14">
        <f>INDEX(属性投放!$AO$7:$AO$58,DC312)</f>
        <v>138</v>
      </c>
      <c r="DE312" s="14" t="s">
        <v>538</v>
      </c>
      <c r="DF312" s="14">
        <f>INDEX(属性投放!$BK$6:$BK$85,(CV312-2)*20+CZ312)</f>
        <v>980</v>
      </c>
      <c r="DG312" s="14">
        <f>SUMIFS(DF$5:DF312,$CT$5:$CT312,"="&amp;$CT312)</f>
        <v>16169</v>
      </c>
      <c r="DH312" s="14" t="s">
        <v>539</v>
      </c>
      <c r="DI312" s="14">
        <f>INDEX(属性投放!$BL$6:$BL$85,(CV312-2)*20+CZ312)</f>
        <v>490</v>
      </c>
      <c r="DJ312" s="14">
        <f>SUMIFS(DI$5:DI312,$CT$5:$CT312,"="&amp;$CT312)</f>
        <v>8090</v>
      </c>
      <c r="DK312" s="14" t="s">
        <v>540</v>
      </c>
      <c r="DL312" s="14">
        <f>INDEX(属性投放!$BM$6:$BM$85,(CV312-2)*20+CZ312)</f>
        <v>9800</v>
      </c>
      <c r="DM312" s="14">
        <f>SUMIFS(DL$5:DL312,$CT$5:$CT312,"="&amp;$CT312)</f>
        <v>156102</v>
      </c>
      <c r="DR312" s="14">
        <f t="shared" si="555"/>
        <v>1102016</v>
      </c>
      <c r="DS312" s="14" t="str">
        <f t="shared" si="556"/>
        <v>西方龙8突</v>
      </c>
      <c r="DT312" s="14">
        <f t="shared" si="567"/>
        <v>6</v>
      </c>
      <c r="DU312" s="14">
        <f t="shared" si="568"/>
        <v>7</v>
      </c>
      <c r="DV312" s="14">
        <f t="shared" si="569"/>
        <v>8</v>
      </c>
      <c r="DW312" s="14">
        <f t="shared" si="557"/>
        <v>4</v>
      </c>
      <c r="DX312" s="14">
        <f t="shared" si="558"/>
        <v>8</v>
      </c>
      <c r="DY312" s="14">
        <f t="shared" si="559"/>
        <v>48</v>
      </c>
      <c r="DZ312" s="14">
        <f>INDEX(属性投放!$AX$6:$AX$85,(卡牌属性!DW312-2)*20+卡牌属性!DX312)</f>
        <v>5</v>
      </c>
      <c r="EA312" s="14">
        <f>INDEX(属性投放!BQ$6:BQ$85,卡牌属性!$DY312)</f>
        <v>125</v>
      </c>
      <c r="EB312" s="14">
        <f>INDEX(属性投放!BR$6:BR$85,卡牌属性!$DY312)</f>
        <v>63</v>
      </c>
      <c r="EC312" s="14">
        <f>INDEX(属性投放!BS$6:BS$85,卡牌属性!$DY312)</f>
        <v>1000</v>
      </c>
      <c r="ED312" s="14">
        <f t="shared" si="618"/>
        <v>1521</v>
      </c>
      <c r="EE312" s="14">
        <f t="shared" si="619"/>
        <v>1813</v>
      </c>
      <c r="EF312" s="14">
        <f t="shared" si="620"/>
        <v>1966</v>
      </c>
      <c r="EG312" s="14">
        <f t="shared" si="621"/>
        <v>1966</v>
      </c>
      <c r="EH312" s="14">
        <f t="shared" si="622"/>
        <v>2160</v>
      </c>
      <c r="EI312" s="14">
        <f t="shared" si="623"/>
        <v>870</v>
      </c>
      <c r="EJ312" s="14">
        <f t="shared" si="624"/>
        <v>946</v>
      </c>
      <c r="EK312" s="14">
        <f t="shared" si="625"/>
        <v>946</v>
      </c>
      <c r="EL312" s="14">
        <f t="shared" si="626"/>
        <v>1044</v>
      </c>
      <c r="EM312" s="14">
        <f t="shared" si="627"/>
        <v>1231</v>
      </c>
      <c r="EN312" s="14">
        <f t="shared" si="628"/>
        <v>12770</v>
      </c>
      <c r="EO312" s="14">
        <f t="shared" si="629"/>
        <v>13920</v>
      </c>
      <c r="EP312" s="14">
        <f t="shared" si="630"/>
        <v>13920</v>
      </c>
      <c r="EQ312" s="14">
        <f t="shared" si="631"/>
        <v>16110</v>
      </c>
      <c r="ER312" s="14">
        <f t="shared" si="632"/>
        <v>19270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224</v>
      </c>
      <c r="FD312" s="14">
        <f>INDEX(属性偏向!$U$4:$U$243,(卡牌属性!$DV312-1+FD$3)*20+卡牌属性!$DX312)</f>
        <v>240</v>
      </c>
      <c r="FE312" s="14">
        <f>INDEX(属性偏向!$U$4:$U$243,(卡牌属性!$DV312-1+FE$3)*20+卡牌属性!$DX312)</f>
        <v>240</v>
      </c>
      <c r="FF312" s="14">
        <f>INDEX(属性偏向!$U$4:$U$243,(卡牌属性!$DV312-1+FF$3)*20+卡牌属性!$DX312)</f>
        <v>320</v>
      </c>
      <c r="FG312" s="14">
        <f>INDEX(属性偏向!$U$4:$U$243,(卡牌属性!$DV312-1+FG$3)*20+卡牌属性!$DX312)</f>
        <v>400</v>
      </c>
      <c r="FH312" s="14">
        <f>INDEX(属性投放!$BQ$6:$BQ$85,(卡牌属性!$DW312-2)*20+卡牌属性!$DX312)</f>
        <v>125</v>
      </c>
      <c r="FI312" s="14">
        <f>INDEX(属性投放!$BQ$6:$BQ$85,(卡牌属性!$DW312-2)*20+卡牌属性!$DX312)</f>
        <v>125</v>
      </c>
      <c r="FJ312" s="14">
        <f>INDEX(属性投放!$BQ$6:$BQ$85,(卡牌属性!$DW312-2)*20+卡牌属性!$DX312)</f>
        <v>125</v>
      </c>
      <c r="FK312" s="14">
        <f>INDEX(属性投放!$BQ$6:$BQ$85,(卡牌属性!$DW312-2)*20+卡牌属性!$DX312)</f>
        <v>125</v>
      </c>
      <c r="FL312" s="14">
        <f>INDEX(属性投放!$BQ$6:$BQ$85,(卡牌属性!$DW312-2)*20+卡牌属性!$DX312)</f>
        <v>125</v>
      </c>
      <c r="FM312" s="14">
        <f>INDEX(属性投放!$BR$6:$BR$85,(卡牌属性!$DW312-2)*20+卡牌属性!$DX312)</f>
        <v>63</v>
      </c>
      <c r="FN312" s="14">
        <f>INDEX(属性投放!$BR$6:$BR$85,(卡牌属性!$DW312-2)*20+卡牌属性!$DX312)</f>
        <v>63</v>
      </c>
      <c r="FO312" s="14">
        <f>INDEX(属性投放!$BR$6:$BR$85,(卡牌属性!$DW312-2)*20+卡牌属性!$DX312)</f>
        <v>63</v>
      </c>
      <c r="FP312" s="14">
        <f>INDEX(属性投放!$BR$6:$BR$85,(卡牌属性!$DW312-2)*20+卡牌属性!$DX312)</f>
        <v>63</v>
      </c>
      <c r="FQ312" s="14">
        <f>INDEX(属性投放!$BR$6:$BR$85,(卡牌属性!$DW312-2)*20+卡牌属性!$DX312)</f>
        <v>63</v>
      </c>
      <c r="FR312" s="14">
        <f>INDEX(属性投放!$BS$6:$BS$85,(卡牌属性!$DW312-2)*20+卡牌属性!$DX312)</f>
        <v>1000</v>
      </c>
      <c r="FS312" s="14">
        <f>INDEX(属性投放!$BS$6:$BS$85,(卡牌属性!$DW312-2)*20+卡牌属性!$DX312)</f>
        <v>1000</v>
      </c>
      <c r="FT312" s="14">
        <f>INDEX(属性投放!$BS$6:$BS$85,(卡牌属性!$DW312-2)*20+卡牌属性!$DX312)</f>
        <v>1000</v>
      </c>
      <c r="FU312" s="14">
        <f>INDEX(属性投放!$BS$6:$BS$85,(卡牌属性!$DW312-2)*20+卡牌属性!$DX312)</f>
        <v>1000</v>
      </c>
      <c r="FV312" s="14">
        <f>INDEX(属性投放!$BS$6:$BS$85,(卡牌属性!$DW312-2)*20+卡牌属性!$DX312)</f>
        <v>1000</v>
      </c>
    </row>
    <row r="313" spans="31:178" ht="16.5" x14ac:dyDescent="0.2">
      <c r="AE313" s="13">
        <v>309</v>
      </c>
      <c r="AF313" s="13">
        <f t="shared" si="560"/>
        <v>16</v>
      </c>
      <c r="AG313" s="13">
        <f t="shared" si="547"/>
        <v>2</v>
      </c>
      <c r="AH313" s="13"/>
      <c r="AI313" s="13"/>
      <c r="AJ313" s="14">
        <f t="shared" si="548"/>
        <v>1101041</v>
      </c>
      <c r="AK313" s="14" t="str">
        <f t="shared" si="549"/>
        <v>常服夏玲9突</v>
      </c>
      <c r="AL313" s="25" t="s">
        <v>142</v>
      </c>
      <c r="AM313" s="14">
        <v>1</v>
      </c>
      <c r="AN313" s="14">
        <f t="shared" si="550"/>
        <v>9</v>
      </c>
      <c r="AO313" s="14">
        <f>INDEX(属性投放!$DF$6:$DF$85,(卡牌属性!AG313-2)*20+卡牌属性!AN313)</f>
        <v>1281</v>
      </c>
      <c r="AP313" s="14">
        <f t="shared" si="612"/>
        <v>1281</v>
      </c>
      <c r="AQ313" s="14">
        <f t="shared" si="612"/>
        <v>1281</v>
      </c>
      <c r="AR313" s="14">
        <f t="shared" si="612"/>
        <v>1281</v>
      </c>
      <c r="AS313" s="14">
        <f t="shared" si="612"/>
        <v>1281</v>
      </c>
      <c r="AT313" s="14">
        <f>INDEX(属性投放!$DG$6:$DG$85,(卡牌属性!AG313-2)*20+卡牌属性!AN313)</f>
        <v>590</v>
      </c>
      <c r="AU313" s="14">
        <f t="shared" si="613"/>
        <v>590</v>
      </c>
      <c r="AV313" s="14">
        <f t="shared" si="613"/>
        <v>590</v>
      </c>
      <c r="AW313" s="14">
        <f t="shared" si="613"/>
        <v>590</v>
      </c>
      <c r="AX313" s="14">
        <f t="shared" si="613"/>
        <v>590</v>
      </c>
      <c r="AY313" s="14">
        <f>INDEX(属性投放!$DH$6:$DH$85,(卡牌属性!AG313-2)*20+卡牌属性!AN313)</f>
        <v>8429</v>
      </c>
      <c r="AZ313" s="14">
        <f t="shared" si="614"/>
        <v>8429</v>
      </c>
      <c r="BA313" s="14">
        <f t="shared" si="614"/>
        <v>8429</v>
      </c>
      <c r="BB313" s="14">
        <f t="shared" si="614"/>
        <v>8429</v>
      </c>
      <c r="BC313" s="14">
        <f t="shared" si="614"/>
        <v>8429</v>
      </c>
      <c r="BD313" s="14">
        <f>INDEX(属性投放!$DL$6:$DL$85,(卡牌属性!AG313-2)*20+卡牌属性!AN313)</f>
        <v>36</v>
      </c>
      <c r="BE313" s="14">
        <f t="shared" si="615"/>
        <v>36</v>
      </c>
      <c r="BF313" s="14">
        <f t="shared" si="615"/>
        <v>36</v>
      </c>
      <c r="BG313" s="14">
        <f t="shared" si="615"/>
        <v>36</v>
      </c>
      <c r="BH313" s="14">
        <f t="shared" si="615"/>
        <v>36</v>
      </c>
      <c r="BI313" s="14">
        <f>INDEX(属性投放!$DM$6:$DM$85,(卡牌属性!AG313-2)*20+卡牌属性!AN313)</f>
        <v>18</v>
      </c>
      <c r="BJ313" s="14">
        <f t="shared" si="616"/>
        <v>18</v>
      </c>
      <c r="BK313" s="14">
        <f t="shared" si="616"/>
        <v>18</v>
      </c>
      <c r="BL313" s="14">
        <f t="shared" si="616"/>
        <v>18</v>
      </c>
      <c r="BM313" s="14">
        <f t="shared" si="616"/>
        <v>18</v>
      </c>
      <c r="BN313" s="14">
        <f>INDEX(属性投放!$DN$6:$DN$85,(卡牌属性!AG313-2)*20+卡牌属性!AN313)</f>
        <v>286</v>
      </c>
      <c r="BO313" s="14">
        <f t="shared" si="617"/>
        <v>286</v>
      </c>
      <c r="BP313" s="14">
        <f t="shared" si="617"/>
        <v>286</v>
      </c>
      <c r="BQ313" s="14">
        <f t="shared" si="617"/>
        <v>286</v>
      </c>
      <c r="BR313" s="14">
        <f t="shared" si="617"/>
        <v>286</v>
      </c>
      <c r="BW313" s="13">
        <v>309</v>
      </c>
      <c r="BX313" s="13">
        <f t="shared" si="551"/>
        <v>16</v>
      </c>
      <c r="BY313" s="14">
        <f t="shared" si="552"/>
        <v>4</v>
      </c>
      <c r="BZ313" s="14">
        <f t="shared" si="561"/>
        <v>1102016</v>
      </c>
      <c r="CA313" s="14" t="str">
        <f t="shared" si="562"/>
        <v>西方龙9突</v>
      </c>
      <c r="CB313" s="25" t="s">
        <v>142</v>
      </c>
      <c r="CC313" s="14">
        <v>2</v>
      </c>
      <c r="CD313" s="14">
        <f t="shared" si="553"/>
        <v>9</v>
      </c>
      <c r="CE313" s="14" t="s">
        <v>21</v>
      </c>
      <c r="CF313" s="14">
        <f>INDEX(属性投放!$AZ$6:$AZ$85,(BY313-2)*20+CD313)</f>
        <v>2898</v>
      </c>
      <c r="CG313" s="14" t="s">
        <v>22</v>
      </c>
      <c r="CH313" s="14">
        <f>INDEX(属性投放!$BA$6:$BA$85,(BY313-2)*20+CD313)</f>
        <v>1394</v>
      </c>
      <c r="CI313" s="14" t="s">
        <v>510</v>
      </c>
      <c r="CJ313" s="14">
        <f>INDEX(属性投放!$BB$6:$BB$85,(BY313-2)*20+CD313)</f>
        <v>19928</v>
      </c>
      <c r="CK313" s="14" t="s">
        <v>21</v>
      </c>
      <c r="CL313" s="14">
        <f>INDEX(属性投放!$BC$6:$BC$85,(BY313-2)*20+CD313)</f>
        <v>25</v>
      </c>
      <c r="CM313" s="14" t="s">
        <v>22</v>
      </c>
      <c r="CN313" s="14">
        <f>INDEX(属性投放!$BD$6:$BD$85,(BY313-2)*20+CD313)</f>
        <v>13</v>
      </c>
      <c r="CO313" s="14" t="s">
        <v>510</v>
      </c>
      <c r="CP313" s="14">
        <f>INDEX(属性投放!$BE$6:$BE$85,(BY313-2)*20+CD313)</f>
        <v>200</v>
      </c>
      <c r="CS313" s="13">
        <v>309</v>
      </c>
      <c r="CT313" s="13">
        <f t="shared" si="563"/>
        <v>6</v>
      </c>
      <c r="CU313" s="13">
        <f t="shared" si="564"/>
        <v>49</v>
      </c>
      <c r="CV313" s="14">
        <f t="shared" si="565"/>
        <v>5</v>
      </c>
      <c r="CW313" s="14">
        <f t="shared" si="566"/>
        <v>1102006</v>
      </c>
      <c r="CX313" s="14" t="str">
        <f>INDEX($O$6:$O$50,CT313)&amp;"-"&amp;INDEX(属性投放!$AB$7:$AB$50,CZ313)&amp;"-魂火-"&amp;DB313</f>
        <v>项羽-无间+1-魂火-1</v>
      </c>
      <c r="CY313" s="25" t="s">
        <v>142</v>
      </c>
      <c r="CZ313" s="14">
        <f>INDEX(属性投放!$AM$7:$AM$58,CU313)</f>
        <v>20</v>
      </c>
      <c r="DA313" s="14" t="s">
        <v>537</v>
      </c>
      <c r="DB313" s="14">
        <f>INDEX(属性投放!$AN$7:$AN$58,CU313)</f>
        <v>1</v>
      </c>
      <c r="DC313" s="14">
        <f t="shared" si="554"/>
        <v>49</v>
      </c>
      <c r="DD313" s="14">
        <f>INDEX(属性投放!$AO$7:$AO$58,DC313)</f>
        <v>140</v>
      </c>
      <c r="DE313" s="14" t="s">
        <v>538</v>
      </c>
      <c r="DF313" s="14">
        <f>INDEX(属性投放!$BK$6:$BK$85,(CV313-2)*20+CZ313)</f>
        <v>1050</v>
      </c>
      <c r="DG313" s="14">
        <f>SUMIFS(DF$5:DF313,$CT$5:$CT313,"="&amp;$CT313)</f>
        <v>17219</v>
      </c>
      <c r="DH313" s="14" t="s">
        <v>539</v>
      </c>
      <c r="DI313" s="14">
        <f>INDEX(属性投放!$BL$6:$BL$85,(CV313-2)*20+CZ313)</f>
        <v>525</v>
      </c>
      <c r="DJ313" s="14">
        <f>SUMIFS(DI$5:DI313,$CT$5:$CT313,"="&amp;$CT313)</f>
        <v>8615</v>
      </c>
      <c r="DK313" s="14" t="s">
        <v>540</v>
      </c>
      <c r="DL313" s="14">
        <f>INDEX(属性投放!$BM$6:$BM$85,(CV313-2)*20+CZ313)</f>
        <v>10500</v>
      </c>
      <c r="DM313" s="14">
        <f>SUMIFS(DL$5:DL313,$CT$5:$CT313,"="&amp;$CT313)</f>
        <v>166602</v>
      </c>
      <c r="DR313" s="14">
        <f t="shared" si="555"/>
        <v>1102016</v>
      </c>
      <c r="DS313" s="14" t="str">
        <f t="shared" si="556"/>
        <v>西方龙9突</v>
      </c>
      <c r="DT313" s="14">
        <f t="shared" si="567"/>
        <v>6</v>
      </c>
      <c r="DU313" s="14">
        <f t="shared" si="568"/>
        <v>7</v>
      </c>
      <c r="DV313" s="14">
        <f t="shared" si="569"/>
        <v>8</v>
      </c>
      <c r="DW313" s="14">
        <f t="shared" si="557"/>
        <v>4</v>
      </c>
      <c r="DX313" s="14">
        <f t="shared" si="558"/>
        <v>9</v>
      </c>
      <c r="DY313" s="14">
        <f t="shared" si="559"/>
        <v>49</v>
      </c>
      <c r="DZ313" s="14">
        <f>INDEX(属性投放!$AX$6:$AX$85,(卡牌属性!DW313-2)*20+卡牌属性!DX313)</f>
        <v>8</v>
      </c>
      <c r="EA313" s="14">
        <f>INDEX(属性投放!BQ$6:BQ$85,卡牌属性!$DY313)</f>
        <v>200</v>
      </c>
      <c r="EB313" s="14">
        <f>INDEX(属性投放!BR$6:BR$85,卡牌属性!$DY313)</f>
        <v>100</v>
      </c>
      <c r="EC313" s="14">
        <f>INDEX(属性投放!BS$6:BS$85,卡牌属性!$DY313)</f>
        <v>1600</v>
      </c>
      <c r="ED313" s="14">
        <f t="shared" si="618"/>
        <v>1726</v>
      </c>
      <c r="EE313" s="14">
        <f t="shared" si="619"/>
        <v>2063</v>
      </c>
      <c r="EF313" s="14">
        <f t="shared" si="620"/>
        <v>2231</v>
      </c>
      <c r="EG313" s="14">
        <f t="shared" si="621"/>
        <v>2231</v>
      </c>
      <c r="EH313" s="14">
        <f t="shared" si="622"/>
        <v>2435</v>
      </c>
      <c r="EI313" s="14">
        <f t="shared" si="623"/>
        <v>998</v>
      </c>
      <c r="EJ313" s="14">
        <f t="shared" si="624"/>
        <v>1079</v>
      </c>
      <c r="EK313" s="14">
        <f t="shared" si="625"/>
        <v>1079</v>
      </c>
      <c r="EL313" s="14">
        <f t="shared" si="626"/>
        <v>1182</v>
      </c>
      <c r="EM313" s="14">
        <f t="shared" si="627"/>
        <v>1394</v>
      </c>
      <c r="EN313" s="14">
        <f t="shared" si="628"/>
        <v>14890</v>
      </c>
      <c r="EO313" s="14">
        <f t="shared" si="629"/>
        <v>16120</v>
      </c>
      <c r="EP313" s="14">
        <f t="shared" si="630"/>
        <v>16120</v>
      </c>
      <c r="EQ313" s="14">
        <f t="shared" si="631"/>
        <v>18710</v>
      </c>
      <c r="ER313" s="14">
        <f t="shared" si="632"/>
        <v>22270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224</v>
      </c>
      <c r="FD313" s="14">
        <f>INDEX(属性偏向!$U$4:$U$243,(卡牌属性!$DV313-1+FD$3)*20+卡牌属性!$DX313)</f>
        <v>240</v>
      </c>
      <c r="FE313" s="14">
        <f>INDEX(属性偏向!$U$4:$U$243,(卡牌属性!$DV313-1+FE$3)*20+卡牌属性!$DX313)</f>
        <v>240</v>
      </c>
      <c r="FF313" s="14">
        <f>INDEX(属性偏向!$U$4:$U$243,(卡牌属性!$DV313-1+FF$3)*20+卡牌属性!$DX313)</f>
        <v>320</v>
      </c>
      <c r="FG313" s="14">
        <f>INDEX(属性偏向!$U$4:$U$243,(卡牌属性!$DV313-1+FG$3)*20+卡牌属性!$DX313)</f>
        <v>400</v>
      </c>
      <c r="FH313" s="14">
        <f>INDEX(属性投放!$BQ$6:$BQ$85,(卡牌属性!$DW313-2)*20+卡牌属性!$DX313)</f>
        <v>200</v>
      </c>
      <c r="FI313" s="14">
        <f>INDEX(属性投放!$BQ$6:$BQ$85,(卡牌属性!$DW313-2)*20+卡牌属性!$DX313)</f>
        <v>200</v>
      </c>
      <c r="FJ313" s="14">
        <f>INDEX(属性投放!$BQ$6:$BQ$85,(卡牌属性!$DW313-2)*20+卡牌属性!$DX313)</f>
        <v>200</v>
      </c>
      <c r="FK313" s="14">
        <f>INDEX(属性投放!$BQ$6:$BQ$85,(卡牌属性!$DW313-2)*20+卡牌属性!$DX313)</f>
        <v>200</v>
      </c>
      <c r="FL313" s="14">
        <f>INDEX(属性投放!$BQ$6:$BQ$85,(卡牌属性!$DW313-2)*20+卡牌属性!$DX313)</f>
        <v>200</v>
      </c>
      <c r="FM313" s="14">
        <f>INDEX(属性投放!$BR$6:$BR$85,(卡牌属性!$DW313-2)*20+卡牌属性!$DX313)</f>
        <v>100</v>
      </c>
      <c r="FN313" s="14">
        <f>INDEX(属性投放!$BR$6:$BR$85,(卡牌属性!$DW313-2)*20+卡牌属性!$DX313)</f>
        <v>100</v>
      </c>
      <c r="FO313" s="14">
        <f>INDEX(属性投放!$BR$6:$BR$85,(卡牌属性!$DW313-2)*20+卡牌属性!$DX313)</f>
        <v>100</v>
      </c>
      <c r="FP313" s="14">
        <f>INDEX(属性投放!$BR$6:$BR$85,(卡牌属性!$DW313-2)*20+卡牌属性!$DX313)</f>
        <v>100</v>
      </c>
      <c r="FQ313" s="14">
        <f>INDEX(属性投放!$BR$6:$BR$85,(卡牌属性!$DW313-2)*20+卡牌属性!$DX313)</f>
        <v>100</v>
      </c>
      <c r="FR313" s="14">
        <f>INDEX(属性投放!$BS$6:$BS$85,(卡牌属性!$DW313-2)*20+卡牌属性!$DX313)</f>
        <v>1600</v>
      </c>
      <c r="FS313" s="14">
        <f>INDEX(属性投放!$BS$6:$BS$85,(卡牌属性!$DW313-2)*20+卡牌属性!$DX313)</f>
        <v>1600</v>
      </c>
      <c r="FT313" s="14">
        <f>INDEX(属性投放!$BS$6:$BS$85,(卡牌属性!$DW313-2)*20+卡牌属性!$DX313)</f>
        <v>1600</v>
      </c>
      <c r="FU313" s="14">
        <f>INDEX(属性投放!$BS$6:$BS$85,(卡牌属性!$DW313-2)*20+卡牌属性!$DX313)</f>
        <v>1600</v>
      </c>
      <c r="FV313" s="14">
        <f>INDEX(属性投放!$BS$6:$BS$85,(卡牌属性!$DW313-2)*20+卡牌属性!$DX313)</f>
        <v>1600</v>
      </c>
    </row>
    <row r="314" spans="31:178" ht="16.5" x14ac:dyDescent="0.2">
      <c r="AE314" s="13">
        <v>310</v>
      </c>
      <c r="AF314" s="13">
        <f t="shared" si="560"/>
        <v>16</v>
      </c>
      <c r="AG314" s="13">
        <f t="shared" si="547"/>
        <v>2</v>
      </c>
      <c r="AH314" s="13"/>
      <c r="AI314" s="13"/>
      <c r="AJ314" s="14">
        <f t="shared" si="548"/>
        <v>1101041</v>
      </c>
      <c r="AK314" s="14" t="str">
        <f t="shared" si="549"/>
        <v>常服夏玲10突</v>
      </c>
      <c r="AL314" s="25" t="s">
        <v>142</v>
      </c>
      <c r="AM314" s="14">
        <v>1</v>
      </c>
      <c r="AN314" s="14">
        <f t="shared" si="550"/>
        <v>10</v>
      </c>
      <c r="AO314" s="14">
        <f>INDEX(属性投放!$DF$6:$DF$85,(卡牌属性!AG314-2)*20+卡牌属性!AN314)</f>
        <v>1923</v>
      </c>
      <c r="AP314" s="14">
        <f t="shared" si="612"/>
        <v>1923</v>
      </c>
      <c r="AQ314" s="14">
        <f t="shared" si="612"/>
        <v>1923</v>
      </c>
      <c r="AR314" s="14">
        <f t="shared" si="612"/>
        <v>1923</v>
      </c>
      <c r="AS314" s="14">
        <f t="shared" si="612"/>
        <v>1923</v>
      </c>
      <c r="AT314" s="14">
        <f>INDEX(属性投放!$DG$6:$DG$85,(卡牌属性!AG314-2)*20+卡牌属性!AN314)</f>
        <v>911</v>
      </c>
      <c r="AU314" s="14">
        <f t="shared" si="613"/>
        <v>911</v>
      </c>
      <c r="AV314" s="14">
        <f t="shared" si="613"/>
        <v>911</v>
      </c>
      <c r="AW314" s="14">
        <f t="shared" si="613"/>
        <v>911</v>
      </c>
      <c r="AX314" s="14">
        <f t="shared" si="613"/>
        <v>911</v>
      </c>
      <c r="AY314" s="14">
        <f>INDEX(属性投放!$DH$6:$DH$85,(卡牌属性!AG314-2)*20+卡牌属性!AN314)</f>
        <v>13535</v>
      </c>
      <c r="AZ314" s="14">
        <f t="shared" si="614"/>
        <v>13535</v>
      </c>
      <c r="BA314" s="14">
        <f t="shared" si="614"/>
        <v>13535</v>
      </c>
      <c r="BB314" s="14">
        <f t="shared" si="614"/>
        <v>13535</v>
      </c>
      <c r="BC314" s="14">
        <f t="shared" si="614"/>
        <v>13535</v>
      </c>
      <c r="BD314" s="14">
        <f>INDEX(属性投放!$DL$6:$DL$85,(卡牌属性!AG314-2)*20+卡牌属性!AN314)</f>
        <v>76</v>
      </c>
      <c r="BE314" s="14">
        <f t="shared" si="615"/>
        <v>76</v>
      </c>
      <c r="BF314" s="14">
        <f t="shared" si="615"/>
        <v>76</v>
      </c>
      <c r="BG314" s="14">
        <f t="shared" si="615"/>
        <v>76</v>
      </c>
      <c r="BH314" s="14">
        <f t="shared" si="615"/>
        <v>76</v>
      </c>
      <c r="BI314" s="14">
        <f>INDEX(属性投放!$DM$6:$DM$85,(卡牌属性!AG314-2)*20+卡牌属性!AN314)</f>
        <v>38</v>
      </c>
      <c r="BJ314" s="14">
        <f t="shared" si="616"/>
        <v>38</v>
      </c>
      <c r="BK314" s="14">
        <f t="shared" si="616"/>
        <v>38</v>
      </c>
      <c r="BL314" s="14">
        <f t="shared" si="616"/>
        <v>38</v>
      </c>
      <c r="BM314" s="14">
        <f t="shared" si="616"/>
        <v>38</v>
      </c>
      <c r="BN314" s="14">
        <f>INDEX(属性投放!$DN$6:$DN$85,(卡牌属性!AG314-2)*20+卡牌属性!AN314)</f>
        <v>685</v>
      </c>
      <c r="BO314" s="14">
        <f t="shared" si="617"/>
        <v>685</v>
      </c>
      <c r="BP314" s="14">
        <f t="shared" si="617"/>
        <v>685</v>
      </c>
      <c r="BQ314" s="14">
        <f t="shared" si="617"/>
        <v>685</v>
      </c>
      <c r="BR314" s="14">
        <f t="shared" si="617"/>
        <v>685</v>
      </c>
      <c r="BW314" s="13">
        <v>310</v>
      </c>
      <c r="BX314" s="13">
        <f t="shared" si="551"/>
        <v>16</v>
      </c>
      <c r="BY314" s="14">
        <f t="shared" si="552"/>
        <v>4</v>
      </c>
      <c r="BZ314" s="14">
        <f t="shared" si="561"/>
        <v>1102016</v>
      </c>
      <c r="CA314" s="14" t="str">
        <f t="shared" si="562"/>
        <v>西方龙10突</v>
      </c>
      <c r="CB314" s="25" t="s">
        <v>142</v>
      </c>
      <c r="CC314" s="14">
        <v>2</v>
      </c>
      <c r="CD314" s="14">
        <f t="shared" si="553"/>
        <v>10</v>
      </c>
      <c r="CE314" s="14" t="s">
        <v>21</v>
      </c>
      <c r="CF314" s="14">
        <f>INDEX(属性投放!$AZ$6:$AZ$85,(BY314-2)*20+CD314)</f>
        <v>3643</v>
      </c>
      <c r="CG314" s="14" t="s">
        <v>22</v>
      </c>
      <c r="CH314" s="14">
        <f>INDEX(属性投放!$BA$6:$BA$85,(BY314-2)*20+CD314)</f>
        <v>1772</v>
      </c>
      <c r="CI314" s="14" t="s">
        <v>510</v>
      </c>
      <c r="CJ314" s="14">
        <f>INDEX(属性投放!$BB$6:$BB$85,(BY314-2)*20+CD314)</f>
        <v>25888</v>
      </c>
      <c r="CK314" s="14" t="s">
        <v>21</v>
      </c>
      <c r="CL314" s="14">
        <f>INDEX(属性投放!$BC$6:$BC$85,(BY314-2)*20+CD314)</f>
        <v>30</v>
      </c>
      <c r="CM314" s="14" t="s">
        <v>22</v>
      </c>
      <c r="CN314" s="14">
        <f>INDEX(属性投放!$BD$6:$BD$85,(BY314-2)*20+CD314)</f>
        <v>15</v>
      </c>
      <c r="CO314" s="14" t="s">
        <v>510</v>
      </c>
      <c r="CP314" s="14">
        <f>INDEX(属性投放!$BE$6:$BE$85,(BY314-2)*20+CD314)</f>
        <v>270</v>
      </c>
      <c r="CS314" s="13">
        <v>310</v>
      </c>
      <c r="CT314" s="13">
        <f t="shared" si="563"/>
        <v>6</v>
      </c>
      <c r="CU314" s="13">
        <f t="shared" si="564"/>
        <v>50</v>
      </c>
      <c r="CV314" s="14">
        <f t="shared" si="565"/>
        <v>5</v>
      </c>
      <c r="CW314" s="14">
        <f t="shared" si="566"/>
        <v>1102006</v>
      </c>
      <c r="CX314" s="14" t="str">
        <f>INDEX($O$6:$O$50,CT314)&amp;"-"&amp;INDEX(属性投放!$AB$7:$AB$50,CZ314)&amp;"-魂火-"&amp;DB314</f>
        <v>项羽-无间+1-魂火-2</v>
      </c>
      <c r="CY314" s="25" t="s">
        <v>142</v>
      </c>
      <c r="CZ314" s="14">
        <f>INDEX(属性投放!$AM$7:$AM$58,CU314)</f>
        <v>20</v>
      </c>
      <c r="DA314" s="14" t="s">
        <v>537</v>
      </c>
      <c r="DB314" s="14">
        <f>INDEX(属性投放!$AN$7:$AN$58,CU314)</f>
        <v>2</v>
      </c>
      <c r="DC314" s="14">
        <f t="shared" si="554"/>
        <v>50</v>
      </c>
      <c r="DD314" s="14">
        <f>INDEX(属性投放!$AO$7:$AO$58,DC314)</f>
        <v>143</v>
      </c>
      <c r="DE314" s="14" t="s">
        <v>538</v>
      </c>
      <c r="DF314" s="14">
        <f>INDEX(属性投放!$BK$6:$BK$85,(CV314-2)*20+CZ314)</f>
        <v>1050</v>
      </c>
      <c r="DG314" s="14">
        <f>SUMIFS(DF$5:DF314,$CT$5:$CT314,"="&amp;$CT314)</f>
        <v>18269</v>
      </c>
      <c r="DH314" s="14" t="s">
        <v>539</v>
      </c>
      <c r="DI314" s="14">
        <f>INDEX(属性投放!$BL$6:$BL$85,(CV314-2)*20+CZ314)</f>
        <v>525</v>
      </c>
      <c r="DJ314" s="14">
        <f>SUMIFS(DI$5:DI314,$CT$5:$CT314,"="&amp;$CT314)</f>
        <v>9140</v>
      </c>
      <c r="DK314" s="14" t="s">
        <v>540</v>
      </c>
      <c r="DL314" s="14">
        <f>INDEX(属性投放!$BM$6:$BM$85,(CV314-2)*20+CZ314)</f>
        <v>10500</v>
      </c>
      <c r="DM314" s="14">
        <f>SUMIFS(DL$5:DL314,$CT$5:$CT314,"="&amp;$CT314)</f>
        <v>177102</v>
      </c>
      <c r="DR314" s="14">
        <f t="shared" si="555"/>
        <v>1102016</v>
      </c>
      <c r="DS314" s="14" t="str">
        <f t="shared" si="556"/>
        <v>西方龙10突</v>
      </c>
      <c r="DT314" s="14">
        <f t="shared" si="567"/>
        <v>6</v>
      </c>
      <c r="DU314" s="14">
        <f t="shared" si="568"/>
        <v>7</v>
      </c>
      <c r="DV314" s="14">
        <f t="shared" si="569"/>
        <v>8</v>
      </c>
      <c r="DW314" s="14">
        <f t="shared" si="557"/>
        <v>4</v>
      </c>
      <c r="DX314" s="14">
        <f t="shared" si="558"/>
        <v>10</v>
      </c>
      <c r="DY314" s="14">
        <f t="shared" si="559"/>
        <v>50</v>
      </c>
      <c r="DZ314" s="14">
        <f>INDEX(属性投放!$AX$6:$AX$85,(卡牌属性!DW314-2)*20+卡牌属性!DX314)</f>
        <v>7</v>
      </c>
      <c r="EA314" s="14">
        <f>INDEX(属性投放!BQ$6:BQ$85,卡牌属性!$DY314)</f>
        <v>200</v>
      </c>
      <c r="EB314" s="14">
        <f>INDEX(属性投放!BR$6:BR$85,卡牌属性!$DY314)</f>
        <v>100</v>
      </c>
      <c r="EC314" s="14">
        <f>INDEX(属性投放!BS$6:BS$85,卡牌属性!$DY314)</f>
        <v>1800</v>
      </c>
      <c r="ED314" s="14">
        <f t="shared" si="618"/>
        <v>2054</v>
      </c>
      <c r="EE314" s="14">
        <f t="shared" si="619"/>
        <v>2463</v>
      </c>
      <c r="EF314" s="14">
        <f t="shared" si="620"/>
        <v>2655</v>
      </c>
      <c r="EG314" s="14">
        <f t="shared" si="621"/>
        <v>2655</v>
      </c>
      <c r="EH314" s="14">
        <f t="shared" si="622"/>
        <v>2875</v>
      </c>
      <c r="EI314" s="14">
        <f t="shared" si="623"/>
        <v>1202</v>
      </c>
      <c r="EJ314" s="14">
        <f t="shared" si="624"/>
        <v>1291</v>
      </c>
      <c r="EK314" s="14">
        <f t="shared" si="625"/>
        <v>1291</v>
      </c>
      <c r="EL314" s="14">
        <f t="shared" si="626"/>
        <v>1402</v>
      </c>
      <c r="EM314" s="14">
        <f t="shared" si="627"/>
        <v>1654</v>
      </c>
      <c r="EN314" s="14">
        <f t="shared" si="628"/>
        <v>18282</v>
      </c>
      <c r="EO314" s="14">
        <f t="shared" si="629"/>
        <v>19640</v>
      </c>
      <c r="EP314" s="14">
        <f t="shared" si="630"/>
        <v>19640</v>
      </c>
      <c r="EQ314" s="14">
        <f t="shared" si="631"/>
        <v>22870</v>
      </c>
      <c r="ER314" s="14">
        <f t="shared" si="632"/>
        <v>27070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315</v>
      </c>
      <c r="FD314" s="14">
        <f>INDEX(属性偏向!$U$4:$U$243,(卡牌属性!$DV314-1+FD$3)*20+卡牌属性!$DX314)</f>
        <v>360</v>
      </c>
      <c r="FE314" s="14">
        <f>INDEX(属性偏向!$U$4:$U$243,(卡牌属性!$DV314-1+FE$3)*20+卡牌属性!$DX314)</f>
        <v>360</v>
      </c>
      <c r="FF314" s="14">
        <f>INDEX(属性偏向!$U$4:$U$243,(卡牌属性!$DV314-1+FF$3)*20+卡牌属性!$DX314)</f>
        <v>450</v>
      </c>
      <c r="FG314" s="14">
        <f>INDEX(属性偏向!$U$4:$U$243,(卡牌属性!$DV314-1+FG$3)*20+卡牌属性!$DX314)</f>
        <v>675</v>
      </c>
      <c r="FH314" s="14">
        <f>INDEX(属性投放!$BQ$6:$BQ$85,(卡牌属性!$DW314-2)*20+卡牌属性!$DX314)</f>
        <v>200</v>
      </c>
      <c r="FI314" s="14">
        <f>INDEX(属性投放!$BQ$6:$BQ$85,(卡牌属性!$DW314-2)*20+卡牌属性!$DX314)</f>
        <v>200</v>
      </c>
      <c r="FJ314" s="14">
        <f>INDEX(属性投放!$BQ$6:$BQ$85,(卡牌属性!$DW314-2)*20+卡牌属性!$DX314)</f>
        <v>200</v>
      </c>
      <c r="FK314" s="14">
        <f>INDEX(属性投放!$BQ$6:$BQ$85,(卡牌属性!$DW314-2)*20+卡牌属性!$DX314)</f>
        <v>200</v>
      </c>
      <c r="FL314" s="14">
        <f>INDEX(属性投放!$BQ$6:$BQ$85,(卡牌属性!$DW314-2)*20+卡牌属性!$DX314)</f>
        <v>200</v>
      </c>
      <c r="FM314" s="14">
        <f>INDEX(属性投放!$BR$6:$BR$85,(卡牌属性!$DW314-2)*20+卡牌属性!$DX314)</f>
        <v>100</v>
      </c>
      <c r="FN314" s="14">
        <f>INDEX(属性投放!$BR$6:$BR$85,(卡牌属性!$DW314-2)*20+卡牌属性!$DX314)</f>
        <v>100</v>
      </c>
      <c r="FO314" s="14">
        <f>INDEX(属性投放!$BR$6:$BR$85,(卡牌属性!$DW314-2)*20+卡牌属性!$DX314)</f>
        <v>100</v>
      </c>
      <c r="FP314" s="14">
        <f>INDEX(属性投放!$BR$6:$BR$85,(卡牌属性!$DW314-2)*20+卡牌属性!$DX314)</f>
        <v>100</v>
      </c>
      <c r="FQ314" s="14">
        <f>INDEX(属性投放!$BR$6:$BR$85,(卡牌属性!$DW314-2)*20+卡牌属性!$DX314)</f>
        <v>100</v>
      </c>
      <c r="FR314" s="14">
        <f>INDEX(属性投放!$BS$6:$BS$85,(卡牌属性!$DW314-2)*20+卡牌属性!$DX314)</f>
        <v>1800</v>
      </c>
      <c r="FS314" s="14">
        <f>INDEX(属性投放!$BS$6:$BS$85,(卡牌属性!$DW314-2)*20+卡牌属性!$DX314)</f>
        <v>1800</v>
      </c>
      <c r="FT314" s="14">
        <f>INDEX(属性投放!$BS$6:$BS$85,(卡牌属性!$DW314-2)*20+卡牌属性!$DX314)</f>
        <v>1800</v>
      </c>
      <c r="FU314" s="14">
        <f>INDEX(属性投放!$BS$6:$BS$85,(卡牌属性!$DW314-2)*20+卡牌属性!$DX314)</f>
        <v>1800</v>
      </c>
      <c r="FV314" s="14">
        <f>INDEX(属性投放!$BS$6:$BS$85,(卡牌属性!$DW314-2)*20+卡牌属性!$DX314)</f>
        <v>1800</v>
      </c>
    </row>
    <row r="315" spans="31:178" ht="16.5" x14ac:dyDescent="0.2">
      <c r="AE315" s="13">
        <v>311</v>
      </c>
      <c r="AF315" s="13">
        <f t="shared" si="560"/>
        <v>16</v>
      </c>
      <c r="AG315" s="13">
        <f t="shared" si="547"/>
        <v>2</v>
      </c>
      <c r="AH315" s="13"/>
      <c r="AI315" s="13"/>
      <c r="AJ315" s="14">
        <f t="shared" si="548"/>
        <v>1101041</v>
      </c>
      <c r="AK315" s="14" t="str">
        <f t="shared" si="549"/>
        <v>常服夏玲11突</v>
      </c>
      <c r="AL315" s="25" t="s">
        <v>142</v>
      </c>
      <c r="AM315" s="14">
        <v>1</v>
      </c>
      <c r="AN315" s="14">
        <f t="shared" si="550"/>
        <v>11</v>
      </c>
      <c r="AO315" s="14">
        <f>INDEX(属性投放!$DF$6:$DF$85,(卡牌属性!AG315-2)*20+卡牌属性!AN315)</f>
        <v>2140</v>
      </c>
      <c r="AP315" s="14">
        <f t="shared" si="612"/>
        <v>2140</v>
      </c>
      <c r="AQ315" s="14">
        <f t="shared" si="612"/>
        <v>2140</v>
      </c>
      <c r="AR315" s="14">
        <f t="shared" si="612"/>
        <v>2140</v>
      </c>
      <c r="AS315" s="14">
        <f t="shared" si="612"/>
        <v>2140</v>
      </c>
      <c r="AT315" s="14">
        <f>INDEX(属性投放!$DG$6:$DG$85,(卡牌属性!AG315-2)*20+卡牌属性!AN315)</f>
        <v>1020</v>
      </c>
      <c r="AU315" s="14">
        <f t="shared" si="613"/>
        <v>1020</v>
      </c>
      <c r="AV315" s="14">
        <f t="shared" si="613"/>
        <v>1020</v>
      </c>
      <c r="AW315" s="14">
        <f t="shared" si="613"/>
        <v>1020</v>
      </c>
      <c r="AX315" s="14">
        <f t="shared" si="613"/>
        <v>1020</v>
      </c>
      <c r="AY315" s="14">
        <f>INDEX(属性投放!$DH$6:$DH$85,(卡牌属性!AG315-2)*20+卡牌属性!AN315)</f>
        <v>15492</v>
      </c>
      <c r="AZ315" s="14">
        <f t="shared" si="614"/>
        <v>15492</v>
      </c>
      <c r="BA315" s="14">
        <f t="shared" si="614"/>
        <v>15492</v>
      </c>
      <c r="BB315" s="14">
        <f t="shared" si="614"/>
        <v>15492</v>
      </c>
      <c r="BC315" s="14">
        <f t="shared" si="614"/>
        <v>15492</v>
      </c>
      <c r="BD315" s="14">
        <f>INDEX(属性投放!$DL$6:$DL$85,(卡牌属性!AG315-2)*20+卡牌属性!AN315)</f>
        <v>76</v>
      </c>
      <c r="BE315" s="14">
        <f t="shared" si="615"/>
        <v>76</v>
      </c>
      <c r="BF315" s="14">
        <f t="shared" si="615"/>
        <v>76</v>
      </c>
      <c r="BG315" s="14">
        <f t="shared" si="615"/>
        <v>76</v>
      </c>
      <c r="BH315" s="14">
        <f t="shared" si="615"/>
        <v>76</v>
      </c>
      <c r="BI315" s="14">
        <f>INDEX(属性投放!$DM$6:$DM$85,(卡牌属性!AG315-2)*20+卡牌属性!AN315)</f>
        <v>38</v>
      </c>
      <c r="BJ315" s="14">
        <f t="shared" si="616"/>
        <v>38</v>
      </c>
      <c r="BK315" s="14">
        <f t="shared" si="616"/>
        <v>38</v>
      </c>
      <c r="BL315" s="14">
        <f t="shared" si="616"/>
        <v>38</v>
      </c>
      <c r="BM315" s="14">
        <f t="shared" si="616"/>
        <v>38</v>
      </c>
      <c r="BN315" s="14">
        <f>INDEX(属性投放!$DN$6:$DN$85,(卡牌属性!AG315-2)*20+卡牌属性!AN315)</f>
        <v>685</v>
      </c>
      <c r="BO315" s="14">
        <f t="shared" si="617"/>
        <v>685</v>
      </c>
      <c r="BP315" s="14">
        <f t="shared" si="617"/>
        <v>685</v>
      </c>
      <c r="BQ315" s="14">
        <f t="shared" si="617"/>
        <v>685</v>
      </c>
      <c r="BR315" s="14">
        <f t="shared" si="617"/>
        <v>685</v>
      </c>
      <c r="BW315" s="13">
        <v>311</v>
      </c>
      <c r="BX315" s="13">
        <f t="shared" si="551"/>
        <v>16</v>
      </c>
      <c r="BY315" s="14">
        <f t="shared" si="552"/>
        <v>4</v>
      </c>
      <c r="BZ315" s="14">
        <f t="shared" si="561"/>
        <v>1102016</v>
      </c>
      <c r="CA315" s="14" t="str">
        <f t="shared" si="562"/>
        <v>西方龙11突</v>
      </c>
      <c r="CB315" s="25" t="s">
        <v>142</v>
      </c>
      <c r="CC315" s="14">
        <v>2</v>
      </c>
      <c r="CD315" s="14">
        <f t="shared" si="553"/>
        <v>11</v>
      </c>
      <c r="CE315" s="14" t="s">
        <v>21</v>
      </c>
      <c r="CF315" s="14">
        <f>INDEX(属性投放!$AZ$6:$AZ$85,(BY315-2)*20+CD315)</f>
        <v>4443</v>
      </c>
      <c r="CG315" s="14" t="s">
        <v>22</v>
      </c>
      <c r="CH315" s="14">
        <f>INDEX(属性投放!$BA$6:$BA$85,(BY315-2)*20+CD315)</f>
        <v>2172</v>
      </c>
      <c r="CI315" s="14" t="s">
        <v>510</v>
      </c>
      <c r="CJ315" s="14">
        <f>INDEX(属性投放!$BB$6:$BB$85,(BY315-2)*20+CD315)</f>
        <v>33088</v>
      </c>
      <c r="CK315" s="14" t="s">
        <v>21</v>
      </c>
      <c r="CL315" s="14">
        <f>INDEX(属性投放!$BC$6:$BC$85,(BY315-2)*20+CD315)</f>
        <v>30</v>
      </c>
      <c r="CM315" s="14" t="s">
        <v>22</v>
      </c>
      <c r="CN315" s="14">
        <f>INDEX(属性投放!$BD$6:$BD$85,(BY315-2)*20+CD315)</f>
        <v>15</v>
      </c>
      <c r="CO315" s="14" t="s">
        <v>510</v>
      </c>
      <c r="CP315" s="14">
        <f>INDEX(属性投放!$BE$6:$BE$85,(BY315-2)*20+CD315)</f>
        <v>270</v>
      </c>
      <c r="CS315" s="13">
        <v>311</v>
      </c>
      <c r="CT315" s="13">
        <f t="shared" si="563"/>
        <v>6</v>
      </c>
      <c r="CU315" s="13">
        <f t="shared" si="564"/>
        <v>51</v>
      </c>
      <c r="CV315" s="14">
        <f t="shared" si="565"/>
        <v>5</v>
      </c>
      <c r="CW315" s="14">
        <f t="shared" si="566"/>
        <v>1102006</v>
      </c>
      <c r="CX315" s="14" t="str">
        <f>INDEX($O$6:$O$50,CT315)&amp;"-"&amp;INDEX(属性投放!$AB$7:$AB$50,CZ315)&amp;"-魂火-"&amp;DB315</f>
        <v>项羽-无间+1-魂火-3</v>
      </c>
      <c r="CY315" s="25" t="s">
        <v>142</v>
      </c>
      <c r="CZ315" s="14">
        <f>INDEX(属性投放!$AM$7:$AM$58,CU315)</f>
        <v>20</v>
      </c>
      <c r="DA315" s="14" t="s">
        <v>537</v>
      </c>
      <c r="DB315" s="14">
        <f>INDEX(属性投放!$AN$7:$AN$58,CU315)</f>
        <v>3</v>
      </c>
      <c r="DC315" s="14">
        <f t="shared" si="554"/>
        <v>51</v>
      </c>
      <c r="DD315" s="14">
        <f>INDEX(属性投放!$AO$7:$AO$58,DC315)</f>
        <v>145</v>
      </c>
      <c r="DE315" s="14" t="s">
        <v>538</v>
      </c>
      <c r="DF315" s="14">
        <f>INDEX(属性投放!$BK$6:$BK$85,(CV315-2)*20+CZ315)</f>
        <v>1050</v>
      </c>
      <c r="DG315" s="14">
        <f>SUMIFS(DF$5:DF315,$CT$5:$CT315,"="&amp;$CT315)</f>
        <v>19319</v>
      </c>
      <c r="DH315" s="14" t="s">
        <v>539</v>
      </c>
      <c r="DI315" s="14">
        <f>INDEX(属性投放!$BL$6:$BL$85,(CV315-2)*20+CZ315)</f>
        <v>525</v>
      </c>
      <c r="DJ315" s="14">
        <f>SUMIFS(DI$5:DI315,$CT$5:$CT315,"="&amp;$CT315)</f>
        <v>9665</v>
      </c>
      <c r="DK315" s="14" t="s">
        <v>540</v>
      </c>
      <c r="DL315" s="14">
        <f>INDEX(属性投放!$BM$6:$BM$85,(CV315-2)*20+CZ315)</f>
        <v>10500</v>
      </c>
      <c r="DM315" s="14">
        <f>SUMIFS(DL$5:DL315,$CT$5:$CT315,"="&amp;$CT315)</f>
        <v>187602</v>
      </c>
      <c r="DR315" s="14">
        <f t="shared" si="555"/>
        <v>1102016</v>
      </c>
      <c r="DS315" s="14" t="str">
        <f t="shared" si="556"/>
        <v>西方龙11突</v>
      </c>
      <c r="DT315" s="14">
        <f t="shared" si="567"/>
        <v>6</v>
      </c>
      <c r="DU315" s="14">
        <f t="shared" si="568"/>
        <v>7</v>
      </c>
      <c r="DV315" s="14">
        <f t="shared" si="569"/>
        <v>8</v>
      </c>
      <c r="DW315" s="14">
        <f t="shared" si="557"/>
        <v>4</v>
      </c>
      <c r="DX315" s="14">
        <f t="shared" si="558"/>
        <v>11</v>
      </c>
      <c r="DY315" s="14">
        <f t="shared" si="559"/>
        <v>51</v>
      </c>
      <c r="DZ315" s="14">
        <f>INDEX(属性投放!$AX$6:$AX$85,(卡牌属性!DW315-2)*20+卡牌属性!DX315)</f>
        <v>8</v>
      </c>
      <c r="EA315" s="14">
        <f>INDEX(属性投放!BQ$6:BQ$85,卡牌属性!$DY315)</f>
        <v>300</v>
      </c>
      <c r="EB315" s="14">
        <f>INDEX(属性投放!BR$6:BR$85,卡牌属性!$DY315)</f>
        <v>150</v>
      </c>
      <c r="EC315" s="14">
        <f>INDEX(属性投放!BS$6:BS$85,卡牌属性!$DY315)</f>
        <v>2700</v>
      </c>
      <c r="ED315" s="14">
        <f t="shared" si="618"/>
        <v>2401</v>
      </c>
      <c r="EE315" s="14">
        <f t="shared" si="619"/>
        <v>2873</v>
      </c>
      <c r="EF315" s="14">
        <f t="shared" si="620"/>
        <v>3100</v>
      </c>
      <c r="EG315" s="14">
        <f t="shared" si="621"/>
        <v>3100</v>
      </c>
      <c r="EH315" s="14">
        <f t="shared" si="622"/>
        <v>3355</v>
      </c>
      <c r="EI315" s="14">
        <f t="shared" si="623"/>
        <v>1407</v>
      </c>
      <c r="EJ315" s="14">
        <f t="shared" si="624"/>
        <v>1517</v>
      </c>
      <c r="EK315" s="14">
        <f t="shared" si="625"/>
        <v>1517</v>
      </c>
      <c r="EL315" s="14">
        <f t="shared" si="626"/>
        <v>1642</v>
      </c>
      <c r="EM315" s="14">
        <f t="shared" si="627"/>
        <v>1929</v>
      </c>
      <c r="EN315" s="14">
        <f t="shared" si="628"/>
        <v>22287</v>
      </c>
      <c r="EO315" s="14">
        <f t="shared" si="629"/>
        <v>23960</v>
      </c>
      <c r="EP315" s="14">
        <f t="shared" si="630"/>
        <v>23960</v>
      </c>
      <c r="EQ315" s="14">
        <f t="shared" si="631"/>
        <v>27820</v>
      </c>
      <c r="ER315" s="14">
        <f t="shared" si="632"/>
        <v>33595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315</v>
      </c>
      <c r="FD315" s="14">
        <f>INDEX(属性偏向!$U$4:$U$243,(卡牌属性!$DV315-1+FD$3)*20+卡牌属性!$DX315)</f>
        <v>360</v>
      </c>
      <c r="FE315" s="14">
        <f>INDEX(属性偏向!$U$4:$U$243,(卡牌属性!$DV315-1+FE$3)*20+卡牌属性!$DX315)</f>
        <v>360</v>
      </c>
      <c r="FF315" s="14">
        <f>INDEX(属性偏向!$U$4:$U$243,(卡牌属性!$DV315-1+FF$3)*20+卡牌属性!$DX315)</f>
        <v>450</v>
      </c>
      <c r="FG315" s="14">
        <f>INDEX(属性偏向!$U$4:$U$243,(卡牌属性!$DV315-1+FG$3)*20+卡牌属性!$DX315)</f>
        <v>675</v>
      </c>
      <c r="FH315" s="14">
        <f>INDEX(属性投放!$BQ$6:$BQ$85,(卡牌属性!$DW315-2)*20+卡牌属性!$DX315)</f>
        <v>300</v>
      </c>
      <c r="FI315" s="14">
        <f>INDEX(属性投放!$BQ$6:$BQ$85,(卡牌属性!$DW315-2)*20+卡牌属性!$DX315)</f>
        <v>300</v>
      </c>
      <c r="FJ315" s="14">
        <f>INDEX(属性投放!$BQ$6:$BQ$85,(卡牌属性!$DW315-2)*20+卡牌属性!$DX315)</f>
        <v>300</v>
      </c>
      <c r="FK315" s="14">
        <f>INDEX(属性投放!$BQ$6:$BQ$85,(卡牌属性!$DW315-2)*20+卡牌属性!$DX315)</f>
        <v>300</v>
      </c>
      <c r="FL315" s="14">
        <f>INDEX(属性投放!$BQ$6:$BQ$85,(卡牌属性!$DW315-2)*20+卡牌属性!$DX315)</f>
        <v>300</v>
      </c>
      <c r="FM315" s="14">
        <f>INDEX(属性投放!$BR$6:$BR$85,(卡牌属性!$DW315-2)*20+卡牌属性!$DX315)</f>
        <v>150</v>
      </c>
      <c r="FN315" s="14">
        <f>INDEX(属性投放!$BR$6:$BR$85,(卡牌属性!$DW315-2)*20+卡牌属性!$DX315)</f>
        <v>150</v>
      </c>
      <c r="FO315" s="14">
        <f>INDEX(属性投放!$BR$6:$BR$85,(卡牌属性!$DW315-2)*20+卡牌属性!$DX315)</f>
        <v>150</v>
      </c>
      <c r="FP315" s="14">
        <f>INDEX(属性投放!$BR$6:$BR$85,(卡牌属性!$DW315-2)*20+卡牌属性!$DX315)</f>
        <v>150</v>
      </c>
      <c r="FQ315" s="14">
        <f>INDEX(属性投放!$BR$6:$BR$85,(卡牌属性!$DW315-2)*20+卡牌属性!$DX315)</f>
        <v>150</v>
      </c>
      <c r="FR315" s="14">
        <f>INDEX(属性投放!$BS$6:$BS$85,(卡牌属性!$DW315-2)*20+卡牌属性!$DX315)</f>
        <v>2700</v>
      </c>
      <c r="FS315" s="14">
        <f>INDEX(属性投放!$BS$6:$BS$85,(卡牌属性!$DW315-2)*20+卡牌属性!$DX315)</f>
        <v>2700</v>
      </c>
      <c r="FT315" s="14">
        <f>INDEX(属性投放!$BS$6:$BS$85,(卡牌属性!$DW315-2)*20+卡牌属性!$DX315)</f>
        <v>2700</v>
      </c>
      <c r="FU315" s="14">
        <f>INDEX(属性投放!$BS$6:$BS$85,(卡牌属性!$DW315-2)*20+卡牌属性!$DX315)</f>
        <v>2700</v>
      </c>
      <c r="FV315" s="14">
        <f>INDEX(属性投放!$BS$6:$BS$85,(卡牌属性!$DW315-2)*20+卡牌属性!$DX315)</f>
        <v>2700</v>
      </c>
    </row>
    <row r="316" spans="31:178" ht="16.5" x14ac:dyDescent="0.2">
      <c r="AE316" s="13">
        <v>312</v>
      </c>
      <c r="AF316" s="13">
        <f t="shared" si="560"/>
        <v>16</v>
      </c>
      <c r="AG316" s="13">
        <f t="shared" si="547"/>
        <v>2</v>
      </c>
      <c r="AH316" s="13"/>
      <c r="AI316" s="13"/>
      <c r="AJ316" s="14">
        <f t="shared" si="548"/>
        <v>1101041</v>
      </c>
      <c r="AK316" s="14" t="str">
        <f t="shared" si="549"/>
        <v>常服夏玲12突</v>
      </c>
      <c r="AL316" s="25" t="s">
        <v>142</v>
      </c>
      <c r="AM316" s="14">
        <v>1</v>
      </c>
      <c r="AN316" s="14">
        <f t="shared" si="550"/>
        <v>12</v>
      </c>
      <c r="AO316" s="14">
        <f>INDEX(属性投放!$DF$6:$DF$85,(卡牌属性!AG316-2)*20+卡牌属性!AN316)</f>
        <v>2357</v>
      </c>
      <c r="AP316" s="14">
        <f t="shared" si="612"/>
        <v>2357</v>
      </c>
      <c r="AQ316" s="14">
        <f t="shared" si="612"/>
        <v>2357</v>
      </c>
      <c r="AR316" s="14">
        <f t="shared" si="612"/>
        <v>2357</v>
      </c>
      <c r="AS316" s="14">
        <f t="shared" si="612"/>
        <v>2357</v>
      </c>
      <c r="AT316" s="14">
        <f>INDEX(属性投放!$DG$6:$DG$85,(卡牌属性!AG316-2)*20+卡牌属性!AN316)</f>
        <v>1129</v>
      </c>
      <c r="AU316" s="14">
        <f t="shared" si="613"/>
        <v>1129</v>
      </c>
      <c r="AV316" s="14">
        <f t="shared" si="613"/>
        <v>1129</v>
      </c>
      <c r="AW316" s="14">
        <f t="shared" si="613"/>
        <v>1129</v>
      </c>
      <c r="AX316" s="14">
        <f t="shared" si="613"/>
        <v>1129</v>
      </c>
      <c r="AY316" s="14">
        <f>INDEX(属性投放!$DH$6:$DH$85,(卡牌属性!AG316-2)*20+卡牌属性!AN316)</f>
        <v>17449</v>
      </c>
      <c r="AZ316" s="14">
        <f t="shared" si="614"/>
        <v>17449</v>
      </c>
      <c r="BA316" s="14">
        <f t="shared" si="614"/>
        <v>17449</v>
      </c>
      <c r="BB316" s="14">
        <f t="shared" si="614"/>
        <v>17449</v>
      </c>
      <c r="BC316" s="14">
        <f t="shared" si="614"/>
        <v>17449</v>
      </c>
      <c r="BD316" s="14">
        <f>INDEX(属性投放!$DL$6:$DL$85,(卡牌属性!AG316-2)*20+卡牌属性!AN316)</f>
        <v>76</v>
      </c>
      <c r="BE316" s="14">
        <f t="shared" si="615"/>
        <v>76</v>
      </c>
      <c r="BF316" s="14">
        <f t="shared" si="615"/>
        <v>76</v>
      </c>
      <c r="BG316" s="14">
        <f t="shared" si="615"/>
        <v>76</v>
      </c>
      <c r="BH316" s="14">
        <f t="shared" si="615"/>
        <v>76</v>
      </c>
      <c r="BI316" s="14">
        <f>INDEX(属性投放!$DM$6:$DM$85,(卡牌属性!AG316-2)*20+卡牌属性!AN316)</f>
        <v>38</v>
      </c>
      <c r="BJ316" s="14">
        <f t="shared" si="616"/>
        <v>38</v>
      </c>
      <c r="BK316" s="14">
        <f t="shared" si="616"/>
        <v>38</v>
      </c>
      <c r="BL316" s="14">
        <f t="shared" si="616"/>
        <v>38</v>
      </c>
      <c r="BM316" s="14">
        <f t="shared" si="616"/>
        <v>38</v>
      </c>
      <c r="BN316" s="14">
        <f>INDEX(属性投放!$DN$6:$DN$85,(卡牌属性!AG316-2)*20+卡牌属性!AN316)</f>
        <v>685</v>
      </c>
      <c r="BO316" s="14">
        <f t="shared" si="617"/>
        <v>685</v>
      </c>
      <c r="BP316" s="14">
        <f t="shared" si="617"/>
        <v>685</v>
      </c>
      <c r="BQ316" s="14">
        <f t="shared" si="617"/>
        <v>685</v>
      </c>
      <c r="BR316" s="14">
        <f t="shared" si="617"/>
        <v>685</v>
      </c>
      <c r="BW316" s="13">
        <v>312</v>
      </c>
      <c r="BX316" s="13">
        <f t="shared" si="551"/>
        <v>16</v>
      </c>
      <c r="BY316" s="14">
        <f t="shared" si="552"/>
        <v>4</v>
      </c>
      <c r="BZ316" s="14">
        <f t="shared" si="561"/>
        <v>1102016</v>
      </c>
      <c r="CA316" s="14" t="str">
        <f t="shared" si="562"/>
        <v>西方龙12突</v>
      </c>
      <c r="CB316" s="25" t="s">
        <v>142</v>
      </c>
      <c r="CC316" s="14">
        <v>2</v>
      </c>
      <c r="CD316" s="14">
        <f t="shared" si="553"/>
        <v>12</v>
      </c>
      <c r="CE316" s="14" t="s">
        <v>21</v>
      </c>
      <c r="CF316" s="14">
        <f>INDEX(属性投放!$AZ$6:$AZ$85,(BY316-2)*20+CD316)</f>
        <v>5493</v>
      </c>
      <c r="CG316" s="14" t="s">
        <v>22</v>
      </c>
      <c r="CH316" s="14">
        <f>INDEX(属性投放!$BA$6:$BA$85,(BY316-2)*20+CD316)</f>
        <v>2697</v>
      </c>
      <c r="CI316" s="14" t="s">
        <v>510</v>
      </c>
      <c r="CJ316" s="14">
        <f>INDEX(属性投放!$BB$6:$BB$85,(BY316-2)*20+CD316)</f>
        <v>42538</v>
      </c>
      <c r="CK316" s="14" t="s">
        <v>21</v>
      </c>
      <c r="CL316" s="14">
        <f>INDEX(属性投放!$BC$6:$BC$85,(BY316-2)*20+CD316)</f>
        <v>30</v>
      </c>
      <c r="CM316" s="14" t="s">
        <v>22</v>
      </c>
      <c r="CN316" s="14">
        <f>INDEX(属性投放!$BD$6:$BD$85,(BY316-2)*20+CD316)</f>
        <v>15</v>
      </c>
      <c r="CO316" s="14" t="s">
        <v>510</v>
      </c>
      <c r="CP316" s="14">
        <f>INDEX(属性投放!$BE$6:$BE$85,(BY316-2)*20+CD316)</f>
        <v>270</v>
      </c>
      <c r="CS316" s="13">
        <v>312</v>
      </c>
      <c r="CT316" s="13">
        <f t="shared" si="563"/>
        <v>6</v>
      </c>
      <c r="CU316" s="13">
        <f t="shared" si="564"/>
        <v>52</v>
      </c>
      <c r="CV316" s="14">
        <f t="shared" si="565"/>
        <v>5</v>
      </c>
      <c r="CW316" s="14">
        <f t="shared" si="566"/>
        <v>1102006</v>
      </c>
      <c r="CX316" s="14" t="str">
        <f>INDEX($O$6:$O$50,CT316)&amp;"-"&amp;INDEX(属性投放!$AB$7:$AB$50,CZ316)&amp;"-魂火-"&amp;DB316</f>
        <v>项羽-无间+1-魂火-4</v>
      </c>
      <c r="CY316" s="25" t="s">
        <v>142</v>
      </c>
      <c r="CZ316" s="14">
        <f>INDEX(属性投放!$AM$7:$AM$58,CU316)</f>
        <v>20</v>
      </c>
      <c r="DA316" s="14" t="s">
        <v>537</v>
      </c>
      <c r="DB316" s="14">
        <f>INDEX(属性投放!$AN$7:$AN$58,CU316)</f>
        <v>4</v>
      </c>
      <c r="DC316" s="14">
        <f t="shared" si="554"/>
        <v>52</v>
      </c>
      <c r="DD316" s="14">
        <f>INDEX(属性投放!$AO$7:$AO$58,DC316)</f>
        <v>148</v>
      </c>
      <c r="DE316" s="14" t="s">
        <v>538</v>
      </c>
      <c r="DF316" s="14">
        <f>INDEX(属性投放!$BK$6:$BK$85,(CV316-2)*20+CZ316)</f>
        <v>1050</v>
      </c>
      <c r="DG316" s="14">
        <f>SUMIFS(DF$5:DF316,$CT$5:$CT316,"="&amp;$CT316)</f>
        <v>20369</v>
      </c>
      <c r="DH316" s="14" t="s">
        <v>539</v>
      </c>
      <c r="DI316" s="14">
        <f>INDEX(属性投放!$BL$6:$BL$85,(CV316-2)*20+CZ316)</f>
        <v>525</v>
      </c>
      <c r="DJ316" s="14">
        <f>SUMIFS(DI$5:DI316,$CT$5:$CT316,"="&amp;$CT316)</f>
        <v>10190</v>
      </c>
      <c r="DK316" s="14" t="s">
        <v>540</v>
      </c>
      <c r="DL316" s="14">
        <f>INDEX(属性投放!$BM$6:$BM$85,(CV316-2)*20+CZ316)</f>
        <v>10500</v>
      </c>
      <c r="DM316" s="14">
        <f>SUMIFS(DL$5:DL316,$CT$5:$CT316,"="&amp;$CT316)</f>
        <v>198102</v>
      </c>
      <c r="DR316" s="14">
        <f t="shared" si="555"/>
        <v>1102016</v>
      </c>
      <c r="DS316" s="14" t="str">
        <f t="shared" si="556"/>
        <v>西方龙12突</v>
      </c>
      <c r="DT316" s="14">
        <f t="shared" si="567"/>
        <v>6</v>
      </c>
      <c r="DU316" s="14">
        <f t="shared" si="568"/>
        <v>7</v>
      </c>
      <c r="DV316" s="14">
        <f t="shared" si="569"/>
        <v>8</v>
      </c>
      <c r="DW316" s="14">
        <f t="shared" si="557"/>
        <v>4</v>
      </c>
      <c r="DX316" s="14">
        <f t="shared" si="558"/>
        <v>12</v>
      </c>
      <c r="DY316" s="14">
        <f t="shared" si="559"/>
        <v>52</v>
      </c>
      <c r="DZ316" s="14">
        <f>INDEX(属性投放!$AX$6:$AX$85,(卡牌属性!DW316-2)*20+卡牌属性!DX316)</f>
        <v>7</v>
      </c>
      <c r="EA316" s="14">
        <f>INDEX(属性投放!BQ$6:BQ$85,卡牌属性!$DY316)</f>
        <v>400</v>
      </c>
      <c r="EB316" s="14">
        <f>INDEX(属性投放!BR$6:BR$85,卡牌属性!$DY316)</f>
        <v>200</v>
      </c>
      <c r="EC316" s="14">
        <f>INDEX(属性投放!BS$6:BS$85,卡牌属性!$DY316)</f>
        <v>3600</v>
      </c>
      <c r="ED316" s="14">
        <f t="shared" si="618"/>
        <v>2869</v>
      </c>
      <c r="EE316" s="14">
        <f t="shared" si="619"/>
        <v>3413</v>
      </c>
      <c r="EF316" s="14">
        <f t="shared" si="620"/>
        <v>3680</v>
      </c>
      <c r="EG316" s="14">
        <f t="shared" si="621"/>
        <v>3680</v>
      </c>
      <c r="EH316" s="14">
        <f t="shared" si="622"/>
        <v>3975</v>
      </c>
      <c r="EI316" s="14">
        <f t="shared" si="623"/>
        <v>1677</v>
      </c>
      <c r="EJ316" s="14">
        <f t="shared" si="624"/>
        <v>1811</v>
      </c>
      <c r="EK316" s="14">
        <f t="shared" si="625"/>
        <v>1811</v>
      </c>
      <c r="EL316" s="14">
        <f t="shared" si="626"/>
        <v>1952</v>
      </c>
      <c r="EM316" s="14">
        <f t="shared" si="627"/>
        <v>2279</v>
      </c>
      <c r="EN316" s="14">
        <f t="shared" si="628"/>
        <v>27507</v>
      </c>
      <c r="EO316" s="14">
        <f t="shared" si="629"/>
        <v>29540</v>
      </c>
      <c r="EP316" s="14">
        <f t="shared" si="630"/>
        <v>29540</v>
      </c>
      <c r="EQ316" s="14">
        <f t="shared" si="631"/>
        <v>34120</v>
      </c>
      <c r="ER316" s="14">
        <f t="shared" si="632"/>
        <v>41695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315</v>
      </c>
      <c r="FD316" s="14">
        <f>INDEX(属性偏向!$U$4:$U$243,(卡牌属性!$DV316-1+FD$3)*20+卡牌属性!$DX316)</f>
        <v>360</v>
      </c>
      <c r="FE316" s="14">
        <f>INDEX(属性偏向!$U$4:$U$243,(卡牌属性!$DV316-1+FE$3)*20+卡牌属性!$DX316)</f>
        <v>360</v>
      </c>
      <c r="FF316" s="14">
        <f>INDEX(属性偏向!$U$4:$U$243,(卡牌属性!$DV316-1+FF$3)*20+卡牌属性!$DX316)</f>
        <v>450</v>
      </c>
      <c r="FG316" s="14">
        <f>INDEX(属性偏向!$U$4:$U$243,(卡牌属性!$DV316-1+FG$3)*20+卡牌属性!$DX316)</f>
        <v>675</v>
      </c>
      <c r="FH316" s="14">
        <f>INDEX(属性投放!$BQ$6:$BQ$85,(卡牌属性!$DW316-2)*20+卡牌属性!$DX316)</f>
        <v>400</v>
      </c>
      <c r="FI316" s="14">
        <f>INDEX(属性投放!$BQ$6:$BQ$85,(卡牌属性!$DW316-2)*20+卡牌属性!$DX316)</f>
        <v>400</v>
      </c>
      <c r="FJ316" s="14">
        <f>INDEX(属性投放!$BQ$6:$BQ$85,(卡牌属性!$DW316-2)*20+卡牌属性!$DX316)</f>
        <v>400</v>
      </c>
      <c r="FK316" s="14">
        <f>INDEX(属性投放!$BQ$6:$BQ$85,(卡牌属性!$DW316-2)*20+卡牌属性!$DX316)</f>
        <v>400</v>
      </c>
      <c r="FL316" s="14">
        <f>INDEX(属性投放!$BQ$6:$BQ$85,(卡牌属性!$DW316-2)*20+卡牌属性!$DX316)</f>
        <v>400</v>
      </c>
      <c r="FM316" s="14">
        <f>INDEX(属性投放!$BR$6:$BR$85,(卡牌属性!$DW316-2)*20+卡牌属性!$DX316)</f>
        <v>200</v>
      </c>
      <c r="FN316" s="14">
        <f>INDEX(属性投放!$BR$6:$BR$85,(卡牌属性!$DW316-2)*20+卡牌属性!$DX316)</f>
        <v>200</v>
      </c>
      <c r="FO316" s="14">
        <f>INDEX(属性投放!$BR$6:$BR$85,(卡牌属性!$DW316-2)*20+卡牌属性!$DX316)</f>
        <v>200</v>
      </c>
      <c r="FP316" s="14">
        <f>INDEX(属性投放!$BR$6:$BR$85,(卡牌属性!$DW316-2)*20+卡牌属性!$DX316)</f>
        <v>200</v>
      </c>
      <c r="FQ316" s="14">
        <f>INDEX(属性投放!$BR$6:$BR$85,(卡牌属性!$DW316-2)*20+卡牌属性!$DX316)</f>
        <v>200</v>
      </c>
      <c r="FR316" s="14">
        <f>INDEX(属性投放!$BS$6:$BS$85,(卡牌属性!$DW316-2)*20+卡牌属性!$DX316)</f>
        <v>3600</v>
      </c>
      <c r="FS316" s="14">
        <f>INDEX(属性投放!$BS$6:$BS$85,(卡牌属性!$DW316-2)*20+卡牌属性!$DX316)</f>
        <v>3600</v>
      </c>
      <c r="FT316" s="14">
        <f>INDEX(属性投放!$BS$6:$BS$85,(卡牌属性!$DW316-2)*20+卡牌属性!$DX316)</f>
        <v>3600</v>
      </c>
      <c r="FU316" s="14">
        <f>INDEX(属性投放!$BS$6:$BS$85,(卡牌属性!$DW316-2)*20+卡牌属性!$DX316)</f>
        <v>3600</v>
      </c>
      <c r="FV316" s="14">
        <f>INDEX(属性投放!$BS$6:$BS$85,(卡牌属性!$DW316-2)*20+卡牌属性!$DX316)</f>
        <v>3600</v>
      </c>
    </row>
    <row r="317" spans="31:178" ht="16.5" x14ac:dyDescent="0.2">
      <c r="AE317" s="13">
        <v>313</v>
      </c>
      <c r="AF317" s="13">
        <f t="shared" si="560"/>
        <v>16</v>
      </c>
      <c r="AG317" s="13">
        <f t="shared" si="547"/>
        <v>2</v>
      </c>
      <c r="AH317" s="13"/>
      <c r="AI317" s="13"/>
      <c r="AJ317" s="14">
        <f t="shared" si="548"/>
        <v>1101041</v>
      </c>
      <c r="AK317" s="14" t="str">
        <f t="shared" si="549"/>
        <v>常服夏玲13突</v>
      </c>
      <c r="AL317" s="25" t="s">
        <v>142</v>
      </c>
      <c r="AM317" s="14">
        <v>1</v>
      </c>
      <c r="AN317" s="14">
        <f t="shared" si="550"/>
        <v>13</v>
      </c>
      <c r="AO317" s="14">
        <f>INDEX(属性投放!$DF$6:$DF$85,(卡牌属性!AG317-2)*20+卡牌属性!AN317)</f>
        <v>4474</v>
      </c>
      <c r="AP317" s="14">
        <f t="shared" si="612"/>
        <v>4474</v>
      </c>
      <c r="AQ317" s="14">
        <f t="shared" si="612"/>
        <v>4474</v>
      </c>
      <c r="AR317" s="14">
        <f t="shared" si="612"/>
        <v>4474</v>
      </c>
      <c r="AS317" s="14">
        <f t="shared" si="612"/>
        <v>4474</v>
      </c>
      <c r="AT317" s="14">
        <f>INDEX(属性投放!$DG$6:$DG$85,(卡牌属性!AG317-2)*20+卡牌属性!AN317)</f>
        <v>2188</v>
      </c>
      <c r="AU317" s="14">
        <f t="shared" si="613"/>
        <v>2188</v>
      </c>
      <c r="AV317" s="14">
        <f t="shared" si="613"/>
        <v>2188</v>
      </c>
      <c r="AW317" s="14">
        <f t="shared" si="613"/>
        <v>2188</v>
      </c>
      <c r="AX317" s="14">
        <f t="shared" si="613"/>
        <v>2188</v>
      </c>
      <c r="AY317" s="14">
        <f>INDEX(属性投放!$DH$6:$DH$85,(卡牌属性!AG317-2)*20+卡牌属性!AN317)</f>
        <v>36531</v>
      </c>
      <c r="AZ317" s="14">
        <f t="shared" si="614"/>
        <v>36531</v>
      </c>
      <c r="BA317" s="14">
        <f t="shared" si="614"/>
        <v>36531</v>
      </c>
      <c r="BB317" s="14">
        <f t="shared" si="614"/>
        <v>36531</v>
      </c>
      <c r="BC317" s="14">
        <f t="shared" si="614"/>
        <v>36531</v>
      </c>
      <c r="BD317" s="14">
        <f>INDEX(属性投放!$DL$6:$DL$85,(卡牌属性!AG317-2)*20+卡牌属性!AN317)</f>
        <v>151</v>
      </c>
      <c r="BE317" s="14">
        <f t="shared" si="615"/>
        <v>151</v>
      </c>
      <c r="BF317" s="14">
        <f t="shared" si="615"/>
        <v>151</v>
      </c>
      <c r="BG317" s="14">
        <f t="shared" si="615"/>
        <v>151</v>
      </c>
      <c r="BH317" s="14">
        <f t="shared" si="615"/>
        <v>151</v>
      </c>
      <c r="BI317" s="14">
        <f>INDEX(属性投放!$DM$6:$DM$85,(卡牌属性!AG317-2)*20+卡牌属性!AN317)</f>
        <v>76</v>
      </c>
      <c r="BJ317" s="14">
        <f t="shared" si="616"/>
        <v>76</v>
      </c>
      <c r="BK317" s="14">
        <f t="shared" si="616"/>
        <v>76</v>
      </c>
      <c r="BL317" s="14">
        <f t="shared" si="616"/>
        <v>76</v>
      </c>
      <c r="BM317" s="14">
        <f t="shared" si="616"/>
        <v>76</v>
      </c>
      <c r="BN317" s="14">
        <f>INDEX(属性投放!$DN$6:$DN$85,(卡牌属性!AG317-2)*20+卡牌属性!AN317)</f>
        <v>1510</v>
      </c>
      <c r="BO317" s="14">
        <f t="shared" si="617"/>
        <v>1510</v>
      </c>
      <c r="BP317" s="14">
        <f t="shared" si="617"/>
        <v>1510</v>
      </c>
      <c r="BQ317" s="14">
        <f t="shared" si="617"/>
        <v>1510</v>
      </c>
      <c r="BR317" s="14">
        <f t="shared" si="617"/>
        <v>1510</v>
      </c>
      <c r="BW317" s="13">
        <v>313</v>
      </c>
      <c r="BX317" s="13">
        <f t="shared" si="551"/>
        <v>16</v>
      </c>
      <c r="BY317" s="14">
        <f t="shared" si="552"/>
        <v>4</v>
      </c>
      <c r="BZ317" s="14">
        <f t="shared" si="561"/>
        <v>1102016</v>
      </c>
      <c r="CA317" s="14" t="str">
        <f t="shared" si="562"/>
        <v>西方龙13突</v>
      </c>
      <c r="CB317" s="25" t="s">
        <v>142</v>
      </c>
      <c r="CC317" s="14">
        <v>2</v>
      </c>
      <c r="CD317" s="14">
        <f t="shared" si="553"/>
        <v>13</v>
      </c>
      <c r="CE317" s="14" t="s">
        <v>21</v>
      </c>
      <c r="CF317" s="14">
        <f>INDEX(属性投放!$AZ$6:$AZ$85,(BY317-2)*20+CD317)</f>
        <v>6778</v>
      </c>
      <c r="CG317" s="14" t="s">
        <v>22</v>
      </c>
      <c r="CH317" s="14">
        <f>INDEX(属性投放!$BA$6:$BA$85,(BY317-2)*20+CD317)</f>
        <v>3341</v>
      </c>
      <c r="CI317" s="14" t="s">
        <v>510</v>
      </c>
      <c r="CJ317" s="14">
        <f>INDEX(属性投放!$BB$6:$BB$85,(BY317-2)*20+CD317)</f>
        <v>54103</v>
      </c>
      <c r="CK317" s="14" t="s">
        <v>21</v>
      </c>
      <c r="CL317" s="14">
        <f>INDEX(属性投放!$BC$6:$BC$85,(BY317-2)*20+CD317)</f>
        <v>40</v>
      </c>
      <c r="CM317" s="14" t="s">
        <v>22</v>
      </c>
      <c r="CN317" s="14">
        <f>INDEX(属性投放!$BD$6:$BD$85,(BY317-2)*20+CD317)</f>
        <v>20</v>
      </c>
      <c r="CO317" s="14" t="s">
        <v>510</v>
      </c>
      <c r="CP317" s="14">
        <f>INDEX(属性投放!$BE$6:$BE$85,(BY317-2)*20+CD317)</f>
        <v>400</v>
      </c>
      <c r="CS317" s="13">
        <v>313</v>
      </c>
      <c r="CT317" s="13">
        <f t="shared" si="563"/>
        <v>7</v>
      </c>
      <c r="CU317" s="13">
        <f t="shared" si="564"/>
        <v>1</v>
      </c>
      <c r="CV317" s="14">
        <f t="shared" si="565"/>
        <v>4</v>
      </c>
      <c r="CW317" s="14">
        <f t="shared" si="566"/>
        <v>1102007</v>
      </c>
      <c r="CX317" s="14" t="str">
        <f>INDEX($O$6:$O$50,CT317)&amp;"-"&amp;INDEX(属性投放!$AB$7:$AB$50,CZ317)&amp;"-魂火-"&amp;DB317</f>
        <v>天使缇娜-等活-魂火-1</v>
      </c>
      <c r="CY317" s="25" t="s">
        <v>142</v>
      </c>
      <c r="CZ317" s="14">
        <f>INDEX(属性投放!$AM$7:$AM$58,CU317)</f>
        <v>1</v>
      </c>
      <c r="DA317" s="14" t="s">
        <v>537</v>
      </c>
      <c r="DB317" s="14">
        <f>INDEX(属性投放!$AN$7:$AN$58,CU317)</f>
        <v>1</v>
      </c>
      <c r="DC317" s="14">
        <f t="shared" si="554"/>
        <v>1</v>
      </c>
      <c r="DD317" s="14">
        <f>INDEX(属性投放!$AO$7:$AO$58,DC317)</f>
        <v>3</v>
      </c>
      <c r="DE317" s="14" t="s">
        <v>538</v>
      </c>
      <c r="DF317" s="14">
        <f>INDEX(属性投放!$BK$6:$BK$85,(CV317-2)*20+CZ317)</f>
        <v>25</v>
      </c>
      <c r="DG317" s="14">
        <f>SUMIFS(DF$5:DF317,$CT$5:$CT317,"="&amp;$CT317)</f>
        <v>25</v>
      </c>
      <c r="DH317" s="14" t="s">
        <v>539</v>
      </c>
      <c r="DI317" s="14">
        <f>INDEX(属性投放!$BL$6:$BL$85,(CV317-2)*20+CZ317)</f>
        <v>13</v>
      </c>
      <c r="DJ317" s="14">
        <f>SUMIFS(DI$5:DI317,$CT$5:$CT317,"="&amp;$CT317)</f>
        <v>13</v>
      </c>
      <c r="DK317" s="14" t="s">
        <v>540</v>
      </c>
      <c r="DL317" s="14">
        <f>INDEX(属性投放!$BM$6:$BM$85,(CV317-2)*20+CZ317)</f>
        <v>150</v>
      </c>
      <c r="DM317" s="14">
        <f>SUMIFS(DL$5:DL317,$CT$5:$CT317,"="&amp;$CT317)</f>
        <v>150</v>
      </c>
      <c r="DR317" s="14">
        <f t="shared" si="555"/>
        <v>1102016</v>
      </c>
      <c r="DS317" s="14" t="str">
        <f t="shared" si="556"/>
        <v>西方龙13突</v>
      </c>
      <c r="DT317" s="14">
        <f t="shared" si="567"/>
        <v>6</v>
      </c>
      <c r="DU317" s="14">
        <f t="shared" si="568"/>
        <v>7</v>
      </c>
      <c r="DV317" s="14">
        <f t="shared" si="569"/>
        <v>8</v>
      </c>
      <c r="DW317" s="14">
        <f t="shared" si="557"/>
        <v>4</v>
      </c>
      <c r="DX317" s="14">
        <f t="shared" si="558"/>
        <v>13</v>
      </c>
      <c r="DY317" s="14">
        <f t="shared" si="559"/>
        <v>53</v>
      </c>
      <c r="DZ317" s="14">
        <f>INDEX(属性投放!$AX$6:$AX$85,(卡牌属性!DW317-2)*20+卡牌属性!DX317)</f>
        <v>8</v>
      </c>
      <c r="EA317" s="14">
        <f>INDEX(属性投放!BQ$6:BQ$85,卡牌属性!$DY317)</f>
        <v>450</v>
      </c>
      <c r="EB317" s="14">
        <f>INDEX(属性投放!BR$6:BR$85,卡牌属性!$DY317)</f>
        <v>225</v>
      </c>
      <c r="EC317" s="14">
        <f>INDEX(属性投放!BS$6:BS$85,卡牌属性!$DY317)</f>
        <v>4500</v>
      </c>
      <c r="ED317" s="14">
        <f t="shared" si="618"/>
        <v>3416</v>
      </c>
      <c r="EE317" s="14">
        <f t="shared" si="619"/>
        <v>4023</v>
      </c>
      <c r="EF317" s="14">
        <f t="shared" si="620"/>
        <v>4325</v>
      </c>
      <c r="EG317" s="14">
        <f t="shared" si="621"/>
        <v>4325</v>
      </c>
      <c r="EH317" s="14">
        <f t="shared" si="622"/>
        <v>4655</v>
      </c>
      <c r="EI317" s="14">
        <f t="shared" si="623"/>
        <v>1982</v>
      </c>
      <c r="EJ317" s="14">
        <f t="shared" si="624"/>
        <v>2137</v>
      </c>
      <c r="EK317" s="14">
        <f t="shared" si="625"/>
        <v>2137</v>
      </c>
      <c r="EL317" s="14">
        <f t="shared" si="626"/>
        <v>2292</v>
      </c>
      <c r="EM317" s="14">
        <f t="shared" si="627"/>
        <v>2654</v>
      </c>
      <c r="EN317" s="14">
        <f t="shared" si="628"/>
        <v>33312</v>
      </c>
      <c r="EO317" s="14">
        <f t="shared" si="629"/>
        <v>35660</v>
      </c>
      <c r="EP317" s="14">
        <f t="shared" si="630"/>
        <v>35660</v>
      </c>
      <c r="EQ317" s="14">
        <f t="shared" si="631"/>
        <v>40870</v>
      </c>
      <c r="ER317" s="14">
        <f t="shared" si="632"/>
        <v>50020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INDEX(属性投放!$BQ$6:$BQ$85,(卡牌属性!$DW317-2)*20+卡牌属性!$DX317)</f>
        <v>450</v>
      </c>
      <c r="FI317" s="14">
        <f>INDEX(属性投放!$BQ$6:$BQ$85,(卡牌属性!$DW317-2)*20+卡牌属性!$DX317)</f>
        <v>450</v>
      </c>
      <c r="FJ317" s="14">
        <f>INDEX(属性投放!$BQ$6:$BQ$85,(卡牌属性!$DW317-2)*20+卡牌属性!$DX317)</f>
        <v>450</v>
      </c>
      <c r="FK317" s="14">
        <f>INDEX(属性投放!$BQ$6:$BQ$85,(卡牌属性!$DW317-2)*20+卡牌属性!$DX317)</f>
        <v>450</v>
      </c>
      <c r="FL317" s="14">
        <f>INDEX(属性投放!$BQ$6:$BQ$85,(卡牌属性!$DW317-2)*20+卡牌属性!$DX317)</f>
        <v>450</v>
      </c>
      <c r="FM317" s="14">
        <f>INDEX(属性投放!$BR$6:$BR$85,(卡牌属性!$DW317-2)*20+卡牌属性!$DX317)</f>
        <v>225</v>
      </c>
      <c r="FN317" s="14">
        <f>INDEX(属性投放!$BR$6:$BR$85,(卡牌属性!$DW317-2)*20+卡牌属性!$DX317)</f>
        <v>225</v>
      </c>
      <c r="FO317" s="14">
        <f>INDEX(属性投放!$BR$6:$BR$85,(卡牌属性!$DW317-2)*20+卡牌属性!$DX317)</f>
        <v>225</v>
      </c>
      <c r="FP317" s="14">
        <f>INDEX(属性投放!$BR$6:$BR$85,(卡牌属性!$DW317-2)*20+卡牌属性!$DX317)</f>
        <v>225</v>
      </c>
      <c r="FQ317" s="14">
        <f>INDEX(属性投放!$BR$6:$BR$85,(卡牌属性!$DW317-2)*20+卡牌属性!$DX317)</f>
        <v>225</v>
      </c>
      <c r="FR317" s="14">
        <f>INDEX(属性投放!$BS$6:$BS$85,(卡牌属性!$DW317-2)*20+卡牌属性!$DX317)</f>
        <v>4500</v>
      </c>
      <c r="FS317" s="14">
        <f>INDEX(属性投放!$BS$6:$BS$85,(卡牌属性!$DW317-2)*20+卡牌属性!$DX317)</f>
        <v>4500</v>
      </c>
      <c r="FT317" s="14">
        <f>INDEX(属性投放!$BS$6:$BS$85,(卡牌属性!$DW317-2)*20+卡牌属性!$DX317)</f>
        <v>4500</v>
      </c>
      <c r="FU317" s="14">
        <f>INDEX(属性投放!$BS$6:$BS$85,(卡牌属性!$DW317-2)*20+卡牌属性!$DX317)</f>
        <v>4500</v>
      </c>
      <c r="FV317" s="14">
        <f>INDEX(属性投放!$BS$6:$BS$85,(卡牌属性!$DW317-2)*20+卡牌属性!$DX317)</f>
        <v>4500</v>
      </c>
    </row>
    <row r="318" spans="31:178" ht="16.5" x14ac:dyDescent="0.2">
      <c r="AE318" s="13">
        <v>314</v>
      </c>
      <c r="AF318" s="13">
        <f t="shared" si="560"/>
        <v>16</v>
      </c>
      <c r="AG318" s="13">
        <f t="shared" si="547"/>
        <v>2</v>
      </c>
      <c r="AH318" s="13"/>
      <c r="AI318" s="13"/>
      <c r="AJ318" s="14">
        <f t="shared" si="548"/>
        <v>1101041</v>
      </c>
      <c r="AK318" s="14" t="str">
        <f t="shared" si="549"/>
        <v>常服夏玲14突</v>
      </c>
      <c r="AL318" s="25" t="s">
        <v>142</v>
      </c>
      <c r="AM318" s="14">
        <v>1</v>
      </c>
      <c r="AN318" s="14">
        <f t="shared" si="550"/>
        <v>14</v>
      </c>
      <c r="AO318" s="14">
        <f>INDEX(属性投放!$DF$6:$DF$85,(卡牌属性!AG318-2)*20+卡牌属性!AN318)</f>
        <v>4906</v>
      </c>
      <c r="AP318" s="14">
        <f t="shared" si="612"/>
        <v>4906</v>
      </c>
      <c r="AQ318" s="14">
        <f t="shared" si="612"/>
        <v>4906</v>
      </c>
      <c r="AR318" s="14">
        <f t="shared" si="612"/>
        <v>4906</v>
      </c>
      <c r="AS318" s="14">
        <f t="shared" si="612"/>
        <v>4906</v>
      </c>
      <c r="AT318" s="14">
        <f>INDEX(属性投放!$DG$6:$DG$85,(卡牌属性!AG318-2)*20+卡牌属性!AN318)</f>
        <v>2405</v>
      </c>
      <c r="AU318" s="14">
        <f t="shared" si="613"/>
        <v>2405</v>
      </c>
      <c r="AV318" s="14">
        <f t="shared" si="613"/>
        <v>2405</v>
      </c>
      <c r="AW318" s="14">
        <f t="shared" si="613"/>
        <v>2405</v>
      </c>
      <c r="AX318" s="14">
        <f t="shared" si="613"/>
        <v>2405</v>
      </c>
      <c r="AY318" s="14">
        <f>INDEX(属性投放!$DH$6:$DH$85,(卡牌属性!AG318-2)*20+卡牌属性!AN318)</f>
        <v>40846</v>
      </c>
      <c r="AZ318" s="14">
        <f t="shared" si="614"/>
        <v>40846</v>
      </c>
      <c r="BA318" s="14">
        <f t="shared" si="614"/>
        <v>40846</v>
      </c>
      <c r="BB318" s="14">
        <f t="shared" si="614"/>
        <v>40846</v>
      </c>
      <c r="BC318" s="14">
        <f t="shared" si="614"/>
        <v>40846</v>
      </c>
      <c r="BD318" s="14">
        <f>INDEX(属性投放!$DL$6:$DL$85,(卡牌属性!AG318-2)*20+卡牌属性!AN318)</f>
        <v>151</v>
      </c>
      <c r="BE318" s="14">
        <f t="shared" si="615"/>
        <v>151</v>
      </c>
      <c r="BF318" s="14">
        <f t="shared" si="615"/>
        <v>151</v>
      </c>
      <c r="BG318" s="14">
        <f t="shared" si="615"/>
        <v>151</v>
      </c>
      <c r="BH318" s="14">
        <f t="shared" si="615"/>
        <v>151</v>
      </c>
      <c r="BI318" s="14">
        <f>INDEX(属性投放!$DM$6:$DM$85,(卡牌属性!AG318-2)*20+卡牌属性!AN318)</f>
        <v>76</v>
      </c>
      <c r="BJ318" s="14">
        <f t="shared" si="616"/>
        <v>76</v>
      </c>
      <c r="BK318" s="14">
        <f t="shared" si="616"/>
        <v>76</v>
      </c>
      <c r="BL318" s="14">
        <f t="shared" si="616"/>
        <v>76</v>
      </c>
      <c r="BM318" s="14">
        <f t="shared" si="616"/>
        <v>76</v>
      </c>
      <c r="BN318" s="14">
        <f>INDEX(属性投放!$DN$6:$DN$85,(卡牌属性!AG318-2)*20+卡牌属性!AN318)</f>
        <v>1510</v>
      </c>
      <c r="BO318" s="14">
        <f t="shared" si="617"/>
        <v>1510</v>
      </c>
      <c r="BP318" s="14">
        <f t="shared" si="617"/>
        <v>1510</v>
      </c>
      <c r="BQ318" s="14">
        <f t="shared" si="617"/>
        <v>1510</v>
      </c>
      <c r="BR318" s="14">
        <f t="shared" si="617"/>
        <v>1510</v>
      </c>
      <c r="BW318" s="13">
        <v>314</v>
      </c>
      <c r="BX318" s="13">
        <f t="shared" si="551"/>
        <v>16</v>
      </c>
      <c r="BY318" s="14">
        <f t="shared" si="552"/>
        <v>4</v>
      </c>
      <c r="BZ318" s="14">
        <f t="shared" si="561"/>
        <v>1102016</v>
      </c>
      <c r="CA318" s="14" t="str">
        <f t="shared" si="562"/>
        <v>西方龙14突</v>
      </c>
      <c r="CB318" s="25" t="s">
        <v>142</v>
      </c>
      <c r="CC318" s="14">
        <v>2</v>
      </c>
      <c r="CD318" s="14">
        <f t="shared" si="553"/>
        <v>14</v>
      </c>
      <c r="CE318" s="14" t="s">
        <v>21</v>
      </c>
      <c r="CF318" s="14">
        <f>INDEX(属性投放!$AZ$6:$AZ$85,(BY318-2)*20+CD318)</f>
        <v>8373</v>
      </c>
      <c r="CG318" s="14" t="s">
        <v>22</v>
      </c>
      <c r="CH318" s="14">
        <f>INDEX(属性投放!$BA$6:$BA$85,(BY318-2)*20+CD318)</f>
        <v>4140</v>
      </c>
      <c r="CI318" s="14" t="s">
        <v>510</v>
      </c>
      <c r="CJ318" s="14">
        <f>INDEX(属性投放!$BB$6:$BB$85,(BY318-2)*20+CD318)</f>
        <v>70053</v>
      </c>
      <c r="CK318" s="14" t="s">
        <v>21</v>
      </c>
      <c r="CL318" s="14">
        <f>INDEX(属性投放!$BC$6:$BC$85,(BY318-2)*20+CD318)</f>
        <v>40</v>
      </c>
      <c r="CM318" s="14" t="s">
        <v>22</v>
      </c>
      <c r="CN318" s="14">
        <f>INDEX(属性投放!$BD$6:$BD$85,(BY318-2)*20+CD318)</f>
        <v>20</v>
      </c>
      <c r="CO318" s="14" t="s">
        <v>510</v>
      </c>
      <c r="CP318" s="14">
        <f>INDEX(属性投放!$BE$6:$BE$85,(BY318-2)*20+CD318)</f>
        <v>400</v>
      </c>
      <c r="CS318" s="13">
        <v>314</v>
      </c>
      <c r="CT318" s="13">
        <f t="shared" si="563"/>
        <v>7</v>
      </c>
      <c r="CU318" s="13">
        <f t="shared" si="564"/>
        <v>2</v>
      </c>
      <c r="CV318" s="14">
        <f t="shared" si="565"/>
        <v>4</v>
      </c>
      <c r="CW318" s="14">
        <f t="shared" si="566"/>
        <v>1102007</v>
      </c>
      <c r="CX318" s="14" t="str">
        <f>INDEX($O$6:$O$50,CT318)&amp;"-"&amp;INDEX(属性投放!$AB$7:$AB$50,CZ318)&amp;"-魂火-"&amp;DB318</f>
        <v>天使缇娜-黑绳-魂火-1</v>
      </c>
      <c r="CY318" s="25" t="s">
        <v>142</v>
      </c>
      <c r="CZ318" s="14">
        <f>INDEX(属性投放!$AM$7:$AM$58,CU318)</f>
        <v>2</v>
      </c>
      <c r="DA318" s="14" t="s">
        <v>537</v>
      </c>
      <c r="DB318" s="14">
        <f>INDEX(属性投放!$AN$7:$AN$58,CU318)</f>
        <v>1</v>
      </c>
      <c r="DC318" s="14">
        <f t="shared" si="554"/>
        <v>2</v>
      </c>
      <c r="DD318" s="14">
        <f>INDEX(属性投放!$AO$7:$AO$58,DC318)</f>
        <v>8</v>
      </c>
      <c r="DE318" s="14" t="s">
        <v>538</v>
      </c>
      <c r="DF318" s="14">
        <f>INDEX(属性投放!$BK$6:$BK$85,(CV318-2)*20+CZ318)</f>
        <v>30</v>
      </c>
      <c r="DG318" s="14">
        <f>SUMIFS(DF$5:DF318,$CT$5:$CT318,"="&amp;$CT318)</f>
        <v>55</v>
      </c>
      <c r="DH318" s="14" t="s">
        <v>539</v>
      </c>
      <c r="DI318" s="14">
        <f>INDEX(属性投放!$BL$6:$BL$85,(CV318-2)*20+CZ318)</f>
        <v>15</v>
      </c>
      <c r="DJ318" s="14">
        <f>SUMIFS(DI$5:DI318,$CT$5:$CT318,"="&amp;$CT318)</f>
        <v>28</v>
      </c>
      <c r="DK318" s="14" t="s">
        <v>540</v>
      </c>
      <c r="DL318" s="14">
        <f>INDEX(属性投放!$BM$6:$BM$85,(CV318-2)*20+CZ318)</f>
        <v>180</v>
      </c>
      <c r="DM318" s="14">
        <f>SUMIFS(DL$5:DL318,$CT$5:$CT318,"="&amp;$CT318)</f>
        <v>330</v>
      </c>
      <c r="DR318" s="14">
        <f t="shared" si="555"/>
        <v>1102016</v>
      </c>
      <c r="DS318" s="14" t="str">
        <f t="shared" si="556"/>
        <v>西方龙14突</v>
      </c>
      <c r="DT318" s="14">
        <f t="shared" si="567"/>
        <v>6</v>
      </c>
      <c r="DU318" s="14">
        <f t="shared" si="568"/>
        <v>7</v>
      </c>
      <c r="DV318" s="14">
        <f t="shared" si="569"/>
        <v>8</v>
      </c>
      <c r="DW318" s="14">
        <f t="shared" si="557"/>
        <v>4</v>
      </c>
      <c r="DX318" s="14">
        <f t="shared" si="558"/>
        <v>14</v>
      </c>
      <c r="DY318" s="14">
        <f t="shared" si="559"/>
        <v>54</v>
      </c>
      <c r="DZ318" s="14">
        <f>INDEX(属性投放!$AX$6:$AX$85,(卡牌属性!DW318-2)*20+卡牌属性!DX318)</f>
        <v>7</v>
      </c>
      <c r="EA318" s="14">
        <f>INDEX(属性投放!BQ$6:BQ$85,卡牌属性!$DY318)</f>
        <v>500</v>
      </c>
      <c r="EB318" s="14">
        <f>INDEX(属性投放!BR$6:BR$85,卡牌属性!$DY318)</f>
        <v>250</v>
      </c>
      <c r="EC318" s="14">
        <f>INDEX(属性投放!BS$6:BS$85,卡牌属性!$DY318)</f>
        <v>5000</v>
      </c>
      <c r="ED318" s="14">
        <f t="shared" si="618"/>
        <v>4074</v>
      </c>
      <c r="EE318" s="14">
        <f t="shared" si="619"/>
        <v>4793</v>
      </c>
      <c r="EF318" s="14">
        <f t="shared" si="620"/>
        <v>5135</v>
      </c>
      <c r="EG318" s="14">
        <f t="shared" si="621"/>
        <v>5135</v>
      </c>
      <c r="EH318" s="14">
        <f t="shared" si="622"/>
        <v>5505</v>
      </c>
      <c r="EI318" s="14">
        <f t="shared" si="623"/>
        <v>2367</v>
      </c>
      <c r="EJ318" s="14">
        <f t="shared" si="624"/>
        <v>2546</v>
      </c>
      <c r="EK318" s="14">
        <f t="shared" si="625"/>
        <v>2546</v>
      </c>
      <c r="EL318" s="14">
        <f t="shared" si="626"/>
        <v>2717</v>
      </c>
      <c r="EM318" s="14">
        <f t="shared" si="627"/>
        <v>3183</v>
      </c>
      <c r="EN318" s="14">
        <f t="shared" si="628"/>
        <v>41412</v>
      </c>
      <c r="EO318" s="14">
        <f t="shared" si="629"/>
        <v>44160</v>
      </c>
      <c r="EP318" s="14">
        <f t="shared" si="630"/>
        <v>44160</v>
      </c>
      <c r="EQ318" s="14">
        <f t="shared" si="631"/>
        <v>51370</v>
      </c>
      <c r="ER318" s="14">
        <f t="shared" si="632"/>
        <v>62520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INDEX(属性投放!$BQ$6:$BQ$85,(卡牌属性!$DW318-2)*20+卡牌属性!$DX318)</f>
        <v>500</v>
      </c>
      <c r="FI318" s="14">
        <f>INDEX(属性投放!$BQ$6:$BQ$85,(卡牌属性!$DW318-2)*20+卡牌属性!$DX318)</f>
        <v>500</v>
      </c>
      <c r="FJ318" s="14">
        <f>INDEX(属性投放!$BQ$6:$BQ$85,(卡牌属性!$DW318-2)*20+卡牌属性!$DX318)</f>
        <v>500</v>
      </c>
      <c r="FK318" s="14">
        <f>INDEX(属性投放!$BQ$6:$BQ$85,(卡牌属性!$DW318-2)*20+卡牌属性!$DX318)</f>
        <v>500</v>
      </c>
      <c r="FL318" s="14">
        <f>INDEX(属性投放!$BQ$6:$BQ$85,(卡牌属性!$DW318-2)*20+卡牌属性!$DX318)</f>
        <v>500</v>
      </c>
      <c r="FM318" s="14">
        <f>INDEX(属性投放!$BR$6:$BR$85,(卡牌属性!$DW318-2)*20+卡牌属性!$DX318)</f>
        <v>250</v>
      </c>
      <c r="FN318" s="14">
        <f>INDEX(属性投放!$BR$6:$BR$85,(卡牌属性!$DW318-2)*20+卡牌属性!$DX318)</f>
        <v>250</v>
      </c>
      <c r="FO318" s="14">
        <f>INDEX(属性投放!$BR$6:$BR$85,(卡牌属性!$DW318-2)*20+卡牌属性!$DX318)</f>
        <v>250</v>
      </c>
      <c r="FP318" s="14">
        <f>INDEX(属性投放!$BR$6:$BR$85,(卡牌属性!$DW318-2)*20+卡牌属性!$DX318)</f>
        <v>250</v>
      </c>
      <c r="FQ318" s="14">
        <f>INDEX(属性投放!$BR$6:$BR$85,(卡牌属性!$DW318-2)*20+卡牌属性!$DX318)</f>
        <v>250</v>
      </c>
      <c r="FR318" s="14">
        <f>INDEX(属性投放!$BS$6:$BS$85,(卡牌属性!$DW318-2)*20+卡牌属性!$DX318)</f>
        <v>5000</v>
      </c>
      <c r="FS318" s="14">
        <f>INDEX(属性投放!$BS$6:$BS$85,(卡牌属性!$DW318-2)*20+卡牌属性!$DX318)</f>
        <v>5000</v>
      </c>
      <c r="FT318" s="14">
        <f>INDEX(属性投放!$BS$6:$BS$85,(卡牌属性!$DW318-2)*20+卡牌属性!$DX318)</f>
        <v>5000</v>
      </c>
      <c r="FU318" s="14">
        <f>INDEX(属性投放!$BS$6:$BS$85,(卡牌属性!$DW318-2)*20+卡牌属性!$DX318)</f>
        <v>5000</v>
      </c>
      <c r="FV318" s="14">
        <f>INDEX(属性投放!$BS$6:$BS$85,(卡牌属性!$DW318-2)*20+卡牌属性!$DX318)</f>
        <v>5000</v>
      </c>
    </row>
    <row r="319" spans="31:178" ht="16.5" x14ac:dyDescent="0.2">
      <c r="AE319" s="13">
        <v>315</v>
      </c>
      <c r="AF319" s="13">
        <f t="shared" si="560"/>
        <v>16</v>
      </c>
      <c r="AG319" s="13">
        <f t="shared" si="547"/>
        <v>2</v>
      </c>
      <c r="AH319" s="13"/>
      <c r="AI319" s="13"/>
      <c r="AJ319" s="14">
        <f t="shared" si="548"/>
        <v>1101041</v>
      </c>
      <c r="AK319" s="14" t="str">
        <f t="shared" si="549"/>
        <v>常服夏玲15突</v>
      </c>
      <c r="AL319" s="25" t="s">
        <v>142</v>
      </c>
      <c r="AM319" s="14">
        <v>1</v>
      </c>
      <c r="AN319" s="14">
        <f t="shared" si="550"/>
        <v>15</v>
      </c>
      <c r="AO319" s="14">
        <f>INDEX(属性投放!$DF$6:$DF$85,(卡牌属性!AG319-2)*20+卡牌属性!AN319)</f>
        <v>5338</v>
      </c>
      <c r="AP319" s="14">
        <f t="shared" si="612"/>
        <v>5338</v>
      </c>
      <c r="AQ319" s="14">
        <f t="shared" si="612"/>
        <v>5338</v>
      </c>
      <c r="AR319" s="14">
        <f t="shared" si="612"/>
        <v>5338</v>
      </c>
      <c r="AS319" s="14">
        <f t="shared" si="612"/>
        <v>5338</v>
      </c>
      <c r="AT319" s="14">
        <f>INDEX(属性投放!$DG$6:$DG$85,(卡牌属性!AG319-2)*20+卡牌属性!AN319)</f>
        <v>2622</v>
      </c>
      <c r="AU319" s="14">
        <f t="shared" si="613"/>
        <v>2622</v>
      </c>
      <c r="AV319" s="14">
        <f t="shared" si="613"/>
        <v>2622</v>
      </c>
      <c r="AW319" s="14">
        <f t="shared" si="613"/>
        <v>2622</v>
      </c>
      <c r="AX319" s="14">
        <f t="shared" si="613"/>
        <v>2622</v>
      </c>
      <c r="AY319" s="14">
        <f>INDEX(属性投放!$DH$6:$DH$85,(卡牌属性!AG319-2)*20+卡牌属性!AN319)</f>
        <v>45161</v>
      </c>
      <c r="AZ319" s="14">
        <f t="shared" si="614"/>
        <v>45161</v>
      </c>
      <c r="BA319" s="14">
        <f t="shared" si="614"/>
        <v>45161</v>
      </c>
      <c r="BB319" s="14">
        <f t="shared" si="614"/>
        <v>45161</v>
      </c>
      <c r="BC319" s="14">
        <f t="shared" si="614"/>
        <v>45161</v>
      </c>
      <c r="BD319" s="14">
        <f>INDEX(属性投放!$DL$6:$DL$85,(卡牌属性!AG319-2)*20+卡牌属性!AN319)</f>
        <v>151</v>
      </c>
      <c r="BE319" s="14">
        <f t="shared" si="615"/>
        <v>151</v>
      </c>
      <c r="BF319" s="14">
        <f t="shared" si="615"/>
        <v>151</v>
      </c>
      <c r="BG319" s="14">
        <f t="shared" si="615"/>
        <v>151</v>
      </c>
      <c r="BH319" s="14">
        <f t="shared" si="615"/>
        <v>151</v>
      </c>
      <c r="BI319" s="14">
        <f>INDEX(属性投放!$DM$6:$DM$85,(卡牌属性!AG319-2)*20+卡牌属性!AN319)</f>
        <v>76</v>
      </c>
      <c r="BJ319" s="14">
        <f t="shared" si="616"/>
        <v>76</v>
      </c>
      <c r="BK319" s="14">
        <f t="shared" si="616"/>
        <v>76</v>
      </c>
      <c r="BL319" s="14">
        <f t="shared" si="616"/>
        <v>76</v>
      </c>
      <c r="BM319" s="14">
        <f t="shared" si="616"/>
        <v>76</v>
      </c>
      <c r="BN319" s="14">
        <f>INDEX(属性投放!$DN$6:$DN$85,(卡牌属性!AG319-2)*20+卡牌属性!AN319)</f>
        <v>1510</v>
      </c>
      <c r="BO319" s="14">
        <f t="shared" si="617"/>
        <v>1510</v>
      </c>
      <c r="BP319" s="14">
        <f t="shared" si="617"/>
        <v>1510</v>
      </c>
      <c r="BQ319" s="14">
        <f t="shared" si="617"/>
        <v>1510</v>
      </c>
      <c r="BR319" s="14">
        <f t="shared" si="617"/>
        <v>1510</v>
      </c>
      <c r="BW319" s="13">
        <v>315</v>
      </c>
      <c r="BX319" s="13">
        <f t="shared" si="551"/>
        <v>16</v>
      </c>
      <c r="BY319" s="14">
        <f t="shared" si="552"/>
        <v>4</v>
      </c>
      <c r="BZ319" s="14">
        <f t="shared" si="561"/>
        <v>1102016</v>
      </c>
      <c r="CA319" s="14" t="str">
        <f t="shared" si="562"/>
        <v>西方龙15突</v>
      </c>
      <c r="CB319" s="25" t="s">
        <v>142</v>
      </c>
      <c r="CC319" s="14">
        <v>2</v>
      </c>
      <c r="CD319" s="14">
        <f t="shared" si="553"/>
        <v>15</v>
      </c>
      <c r="CE319" s="14" t="s">
        <v>21</v>
      </c>
      <c r="CF319" s="14">
        <f>INDEX(属性投放!$AZ$6:$AZ$85,(BY319-2)*20+CD319)</f>
        <v>10113</v>
      </c>
      <c r="CG319" s="14" t="s">
        <v>22</v>
      </c>
      <c r="CH319" s="14">
        <f>INDEX(属性投放!$BA$6:$BA$85,(BY319-2)*20+CD319)</f>
        <v>5010</v>
      </c>
      <c r="CI319" s="14" t="s">
        <v>510</v>
      </c>
      <c r="CJ319" s="14">
        <f>INDEX(属性投放!$BB$6:$BB$85,(BY319-2)*20+CD319)</f>
        <v>87453</v>
      </c>
      <c r="CK319" s="14" t="s">
        <v>21</v>
      </c>
      <c r="CL319" s="14">
        <f>INDEX(属性投放!$BC$6:$BC$85,(BY319-2)*20+CD319)</f>
        <v>40</v>
      </c>
      <c r="CM319" s="14" t="s">
        <v>22</v>
      </c>
      <c r="CN319" s="14">
        <f>INDEX(属性投放!$BD$6:$BD$85,(BY319-2)*20+CD319)</f>
        <v>20</v>
      </c>
      <c r="CO319" s="14" t="s">
        <v>510</v>
      </c>
      <c r="CP319" s="14">
        <f>INDEX(属性投放!$BE$6:$BE$85,(BY319-2)*20+CD319)</f>
        <v>400</v>
      </c>
      <c r="CS319" s="13">
        <v>315</v>
      </c>
      <c r="CT319" s="13">
        <f t="shared" si="563"/>
        <v>7</v>
      </c>
      <c r="CU319" s="13">
        <f t="shared" si="564"/>
        <v>3</v>
      </c>
      <c r="CV319" s="14">
        <f t="shared" si="565"/>
        <v>4</v>
      </c>
      <c r="CW319" s="14">
        <f t="shared" si="566"/>
        <v>1102007</v>
      </c>
      <c r="CX319" s="14" t="str">
        <f>INDEX($O$6:$O$50,CT319)&amp;"-"&amp;INDEX(属性投放!$AB$7:$AB$50,CZ319)&amp;"-魂火-"&amp;DB319</f>
        <v>天使缇娜-黑绳-魂火-2</v>
      </c>
      <c r="CY319" s="25" t="s">
        <v>142</v>
      </c>
      <c r="CZ319" s="14">
        <f>INDEX(属性投放!$AM$7:$AM$58,CU319)</f>
        <v>2</v>
      </c>
      <c r="DA319" s="14" t="s">
        <v>537</v>
      </c>
      <c r="DB319" s="14">
        <f>INDEX(属性投放!$AN$7:$AN$58,CU319)</f>
        <v>2</v>
      </c>
      <c r="DC319" s="14">
        <f t="shared" si="554"/>
        <v>3</v>
      </c>
      <c r="DD319" s="14">
        <f>INDEX(属性投放!$AO$7:$AO$58,DC319)</f>
        <v>13</v>
      </c>
      <c r="DE319" s="14" t="s">
        <v>538</v>
      </c>
      <c r="DF319" s="14">
        <f>INDEX(属性投放!$BK$6:$BK$85,(CV319-2)*20+CZ319)</f>
        <v>30</v>
      </c>
      <c r="DG319" s="14">
        <f>SUMIFS(DF$5:DF319,$CT$5:$CT319,"="&amp;$CT319)</f>
        <v>85</v>
      </c>
      <c r="DH319" s="14" t="s">
        <v>539</v>
      </c>
      <c r="DI319" s="14">
        <f>INDEX(属性投放!$BL$6:$BL$85,(CV319-2)*20+CZ319)</f>
        <v>15</v>
      </c>
      <c r="DJ319" s="14">
        <f>SUMIFS(DI$5:DI319,$CT$5:$CT319,"="&amp;$CT319)</f>
        <v>43</v>
      </c>
      <c r="DK319" s="14" t="s">
        <v>540</v>
      </c>
      <c r="DL319" s="14">
        <f>INDEX(属性投放!$BM$6:$BM$85,(CV319-2)*20+CZ319)</f>
        <v>180</v>
      </c>
      <c r="DM319" s="14">
        <f>SUMIFS(DL$5:DL319,$CT$5:$CT319,"="&amp;$CT319)</f>
        <v>510</v>
      </c>
      <c r="DR319" s="14">
        <f t="shared" si="555"/>
        <v>1102016</v>
      </c>
      <c r="DS319" s="14" t="str">
        <f t="shared" si="556"/>
        <v>西方龙15突</v>
      </c>
      <c r="DT319" s="14">
        <f t="shared" si="567"/>
        <v>6</v>
      </c>
      <c r="DU319" s="14">
        <f t="shared" si="568"/>
        <v>7</v>
      </c>
      <c r="DV319" s="14">
        <f t="shared" si="569"/>
        <v>8</v>
      </c>
      <c r="DW319" s="14">
        <f t="shared" si="557"/>
        <v>4</v>
      </c>
      <c r="DX319" s="14">
        <f t="shared" si="558"/>
        <v>15</v>
      </c>
      <c r="DY319" s="14">
        <f t="shared" si="559"/>
        <v>55</v>
      </c>
      <c r="DZ319" s="14">
        <f>INDEX(属性投放!$AX$6:$AX$85,(卡牌属性!DW319-2)*20+卡牌属性!DX319)</f>
        <v>8</v>
      </c>
      <c r="EA319" s="14">
        <f>INDEX(属性投放!BQ$6:BQ$85,卡牌属性!$DY319)</f>
        <v>800</v>
      </c>
      <c r="EB319" s="14">
        <f>INDEX(属性投放!BR$6:BR$85,卡牌属性!$DY319)</f>
        <v>400</v>
      </c>
      <c r="EC319" s="14">
        <f>INDEX(属性投放!BS$6:BS$85,卡牌属性!$DY319)</f>
        <v>8000</v>
      </c>
      <c r="ED319" s="14">
        <f t="shared" si="618"/>
        <v>4756</v>
      </c>
      <c r="EE319" s="14">
        <f t="shared" si="619"/>
        <v>5573</v>
      </c>
      <c r="EF319" s="14">
        <f t="shared" si="620"/>
        <v>5950</v>
      </c>
      <c r="EG319" s="14">
        <f t="shared" si="621"/>
        <v>5950</v>
      </c>
      <c r="EH319" s="14">
        <f t="shared" si="622"/>
        <v>6355</v>
      </c>
      <c r="EI319" s="14">
        <f t="shared" si="623"/>
        <v>2757</v>
      </c>
      <c r="EJ319" s="14">
        <f t="shared" si="624"/>
        <v>2957</v>
      </c>
      <c r="EK319" s="14">
        <f t="shared" si="625"/>
        <v>2957</v>
      </c>
      <c r="EL319" s="14">
        <f t="shared" si="626"/>
        <v>3142</v>
      </c>
      <c r="EM319" s="14">
        <f t="shared" si="627"/>
        <v>3699</v>
      </c>
      <c r="EN319" s="14">
        <f t="shared" si="628"/>
        <v>49562</v>
      </c>
      <c r="EO319" s="14">
        <f t="shared" si="629"/>
        <v>52660</v>
      </c>
      <c r="EP319" s="14">
        <f t="shared" si="630"/>
        <v>52660</v>
      </c>
      <c r="EQ319" s="14">
        <f t="shared" si="631"/>
        <v>61620</v>
      </c>
      <c r="ER319" s="14">
        <f t="shared" si="632"/>
        <v>74520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INDEX(属性投放!$BQ$6:$BQ$85,(卡牌属性!$DW319-2)*20+卡牌属性!$DX319)</f>
        <v>800</v>
      </c>
      <c r="FI319" s="14">
        <f>INDEX(属性投放!$BQ$6:$BQ$85,(卡牌属性!$DW319-2)*20+卡牌属性!$DX319)</f>
        <v>800</v>
      </c>
      <c r="FJ319" s="14">
        <f>INDEX(属性投放!$BQ$6:$BQ$85,(卡牌属性!$DW319-2)*20+卡牌属性!$DX319)</f>
        <v>800</v>
      </c>
      <c r="FK319" s="14">
        <f>INDEX(属性投放!$BQ$6:$BQ$85,(卡牌属性!$DW319-2)*20+卡牌属性!$DX319)</f>
        <v>800</v>
      </c>
      <c r="FL319" s="14">
        <f>INDEX(属性投放!$BQ$6:$BQ$85,(卡牌属性!$DW319-2)*20+卡牌属性!$DX319)</f>
        <v>800</v>
      </c>
      <c r="FM319" s="14">
        <f>INDEX(属性投放!$BR$6:$BR$85,(卡牌属性!$DW319-2)*20+卡牌属性!$DX319)</f>
        <v>400</v>
      </c>
      <c r="FN319" s="14">
        <f>INDEX(属性投放!$BR$6:$BR$85,(卡牌属性!$DW319-2)*20+卡牌属性!$DX319)</f>
        <v>400</v>
      </c>
      <c r="FO319" s="14">
        <f>INDEX(属性投放!$BR$6:$BR$85,(卡牌属性!$DW319-2)*20+卡牌属性!$DX319)</f>
        <v>400</v>
      </c>
      <c r="FP319" s="14">
        <f>INDEX(属性投放!$BR$6:$BR$85,(卡牌属性!$DW319-2)*20+卡牌属性!$DX319)</f>
        <v>400</v>
      </c>
      <c r="FQ319" s="14">
        <f>INDEX(属性投放!$BR$6:$BR$85,(卡牌属性!$DW319-2)*20+卡牌属性!$DX319)</f>
        <v>400</v>
      </c>
      <c r="FR319" s="14">
        <f>INDEX(属性投放!$BS$6:$BS$85,(卡牌属性!$DW319-2)*20+卡牌属性!$DX319)</f>
        <v>8000</v>
      </c>
      <c r="FS319" s="14">
        <f>INDEX(属性投放!$BS$6:$BS$85,(卡牌属性!$DW319-2)*20+卡牌属性!$DX319)</f>
        <v>8000</v>
      </c>
      <c r="FT319" s="14">
        <f>INDEX(属性投放!$BS$6:$BS$85,(卡牌属性!$DW319-2)*20+卡牌属性!$DX319)</f>
        <v>8000</v>
      </c>
      <c r="FU319" s="14">
        <f>INDEX(属性投放!$BS$6:$BS$85,(卡牌属性!$DW319-2)*20+卡牌属性!$DX319)</f>
        <v>8000</v>
      </c>
      <c r="FV319" s="14">
        <f>INDEX(属性投放!$BS$6:$BS$85,(卡牌属性!$DW319-2)*20+卡牌属性!$DX319)</f>
        <v>8000</v>
      </c>
    </row>
    <row r="320" spans="31:178" ht="16.5" x14ac:dyDescent="0.2">
      <c r="AE320" s="13">
        <v>316</v>
      </c>
      <c r="AF320" s="13">
        <f t="shared" si="560"/>
        <v>16</v>
      </c>
      <c r="AG320" s="13">
        <f t="shared" si="547"/>
        <v>2</v>
      </c>
      <c r="AH320" s="13"/>
      <c r="AI320" s="13"/>
      <c r="AJ320" s="14">
        <f t="shared" si="548"/>
        <v>1101041</v>
      </c>
      <c r="AK320" s="14" t="str">
        <f t="shared" si="549"/>
        <v>常服夏玲16突</v>
      </c>
      <c r="AL320" s="25" t="s">
        <v>142</v>
      </c>
      <c r="AM320" s="14">
        <v>1</v>
      </c>
      <c r="AN320" s="14">
        <f t="shared" si="550"/>
        <v>16</v>
      </c>
      <c r="AO320" s="14">
        <f>INDEX(属性投放!$DF$6:$DF$85,(卡牌属性!AG320-2)*20+卡牌属性!AN320)</f>
        <v>9545</v>
      </c>
      <c r="AP320" s="14">
        <f t="shared" si="612"/>
        <v>9545</v>
      </c>
      <c r="AQ320" s="14">
        <f t="shared" si="612"/>
        <v>9545</v>
      </c>
      <c r="AR320" s="14">
        <f t="shared" si="612"/>
        <v>9545</v>
      </c>
      <c r="AS320" s="14">
        <f t="shared" si="612"/>
        <v>9545</v>
      </c>
      <c r="AT320" s="14">
        <f>INDEX(属性投放!$DG$6:$DG$85,(卡牌属性!AG320-2)*20+卡牌属性!AN320)</f>
        <v>4739</v>
      </c>
      <c r="AU320" s="14">
        <f t="shared" si="613"/>
        <v>4739</v>
      </c>
      <c r="AV320" s="14">
        <f t="shared" si="613"/>
        <v>4739</v>
      </c>
      <c r="AW320" s="14">
        <f t="shared" si="613"/>
        <v>4739</v>
      </c>
      <c r="AX320" s="14">
        <f t="shared" si="613"/>
        <v>4739</v>
      </c>
      <c r="AY320" s="14">
        <f>INDEX(属性投放!$DH$6:$DH$85,(卡牌属性!AG320-2)*20+卡牌属性!AN320)</f>
        <v>87226</v>
      </c>
      <c r="AZ320" s="14">
        <f t="shared" si="614"/>
        <v>87226</v>
      </c>
      <c r="BA320" s="14">
        <f t="shared" si="614"/>
        <v>87226</v>
      </c>
      <c r="BB320" s="14">
        <f t="shared" si="614"/>
        <v>87226</v>
      </c>
      <c r="BC320" s="14">
        <f t="shared" si="614"/>
        <v>87226</v>
      </c>
      <c r="BD320" s="14">
        <f>INDEX(属性投放!$DL$6:$DL$85,(卡牌属性!AG320-2)*20+卡牌属性!AN320)</f>
        <v>235</v>
      </c>
      <c r="BE320" s="14">
        <f t="shared" si="615"/>
        <v>235</v>
      </c>
      <c r="BF320" s="14">
        <f t="shared" si="615"/>
        <v>235</v>
      </c>
      <c r="BG320" s="14">
        <f t="shared" si="615"/>
        <v>235</v>
      </c>
      <c r="BH320" s="14">
        <f t="shared" si="615"/>
        <v>235</v>
      </c>
      <c r="BI320" s="14">
        <f>INDEX(属性投放!$DM$6:$DM$85,(卡牌属性!AG320-2)*20+卡牌属性!AN320)</f>
        <v>117</v>
      </c>
      <c r="BJ320" s="14">
        <f t="shared" si="616"/>
        <v>117</v>
      </c>
      <c r="BK320" s="14">
        <f t="shared" si="616"/>
        <v>117</v>
      </c>
      <c r="BL320" s="14">
        <f t="shared" si="616"/>
        <v>117</v>
      </c>
      <c r="BM320" s="14">
        <f t="shared" si="616"/>
        <v>117</v>
      </c>
      <c r="BN320" s="14">
        <f>INDEX(属性投放!$DN$6:$DN$85,(卡牌属性!AG320-2)*20+卡牌属性!AN320)</f>
        <v>2346</v>
      </c>
      <c r="BO320" s="14">
        <f t="shared" si="617"/>
        <v>2346</v>
      </c>
      <c r="BP320" s="14">
        <f t="shared" si="617"/>
        <v>2346</v>
      </c>
      <c r="BQ320" s="14">
        <f t="shared" si="617"/>
        <v>2346</v>
      </c>
      <c r="BR320" s="14">
        <f t="shared" si="617"/>
        <v>2346</v>
      </c>
      <c r="BW320" s="13">
        <v>316</v>
      </c>
      <c r="BX320" s="13">
        <f t="shared" si="551"/>
        <v>16</v>
      </c>
      <c r="BY320" s="14">
        <f t="shared" si="552"/>
        <v>4</v>
      </c>
      <c r="BZ320" s="14">
        <f t="shared" si="561"/>
        <v>1102016</v>
      </c>
      <c r="CA320" s="14" t="str">
        <f t="shared" si="562"/>
        <v>西方龙16突</v>
      </c>
      <c r="CB320" s="25" t="s">
        <v>142</v>
      </c>
      <c r="CC320" s="14">
        <v>2</v>
      </c>
      <c r="CD320" s="14">
        <f t="shared" si="553"/>
        <v>16</v>
      </c>
      <c r="CE320" s="14" t="s">
        <v>21</v>
      </c>
      <c r="CF320" s="14">
        <f>INDEX(属性投放!$AZ$6:$AZ$85,(BY320-2)*20+CD320)</f>
        <v>12568</v>
      </c>
      <c r="CG320" s="14" t="s">
        <v>22</v>
      </c>
      <c r="CH320" s="14">
        <f>INDEX(属性投放!$BA$6:$BA$85,(BY320-2)*20+CD320)</f>
        <v>6239</v>
      </c>
      <c r="CI320" s="14" t="s">
        <v>510</v>
      </c>
      <c r="CJ320" s="14">
        <f>INDEX(属性投放!$BB$6:$BB$85,(BY320-2)*20+CD320)</f>
        <v>112003</v>
      </c>
      <c r="CK320" s="14" t="s">
        <v>21</v>
      </c>
      <c r="CL320" s="14">
        <f>INDEX(属性投放!$BC$6:$BC$85,(BY320-2)*20+CD320)</f>
        <v>50</v>
      </c>
      <c r="CM320" s="14" t="s">
        <v>22</v>
      </c>
      <c r="CN320" s="14">
        <f>INDEX(属性投放!$BD$6:$BD$85,(BY320-2)*20+CD320)</f>
        <v>25</v>
      </c>
      <c r="CO320" s="14" t="s">
        <v>510</v>
      </c>
      <c r="CP320" s="14">
        <f>INDEX(属性投放!$BE$6:$BE$85,(BY320-2)*20+CD320)</f>
        <v>500</v>
      </c>
      <c r="CS320" s="13">
        <v>316</v>
      </c>
      <c r="CT320" s="13">
        <f t="shared" si="563"/>
        <v>7</v>
      </c>
      <c r="CU320" s="13">
        <f t="shared" si="564"/>
        <v>4</v>
      </c>
      <c r="CV320" s="14">
        <f t="shared" si="565"/>
        <v>4</v>
      </c>
      <c r="CW320" s="14">
        <f t="shared" si="566"/>
        <v>1102007</v>
      </c>
      <c r="CX320" s="14" t="str">
        <f>INDEX($O$6:$O$50,CT320)&amp;"-"&amp;INDEX(属性投放!$AB$7:$AB$50,CZ320)&amp;"-魂火-"&amp;DB320</f>
        <v>天使缇娜-黑绳+1-魂火-1</v>
      </c>
      <c r="CY320" s="25" t="s">
        <v>142</v>
      </c>
      <c r="CZ320" s="14">
        <f>INDEX(属性投放!$AM$7:$AM$58,CU320)</f>
        <v>3</v>
      </c>
      <c r="DA320" s="14" t="s">
        <v>537</v>
      </c>
      <c r="DB320" s="14">
        <f>INDEX(属性投放!$AN$7:$AN$58,CU320)</f>
        <v>1</v>
      </c>
      <c r="DC320" s="14">
        <f t="shared" si="554"/>
        <v>4</v>
      </c>
      <c r="DD320" s="14">
        <f>INDEX(属性投放!$AO$7:$AO$58,DC320)</f>
        <v>18</v>
      </c>
      <c r="DE320" s="14" t="s">
        <v>538</v>
      </c>
      <c r="DF320" s="14">
        <f>INDEX(属性投放!$BK$6:$BK$85,(CV320-2)*20+CZ320)</f>
        <v>35</v>
      </c>
      <c r="DG320" s="14">
        <f>SUMIFS(DF$5:DF320,$CT$5:$CT320,"="&amp;$CT320)</f>
        <v>120</v>
      </c>
      <c r="DH320" s="14" t="s">
        <v>539</v>
      </c>
      <c r="DI320" s="14">
        <f>INDEX(属性投放!$BL$6:$BL$85,(CV320-2)*20+CZ320)</f>
        <v>18</v>
      </c>
      <c r="DJ320" s="14">
        <f>SUMIFS(DI$5:DI320,$CT$5:$CT320,"="&amp;$CT320)</f>
        <v>61</v>
      </c>
      <c r="DK320" s="14" t="s">
        <v>540</v>
      </c>
      <c r="DL320" s="14">
        <f>INDEX(属性投放!$BM$6:$BM$85,(CV320-2)*20+CZ320)</f>
        <v>210</v>
      </c>
      <c r="DM320" s="14">
        <f>SUMIFS(DL$5:DL320,$CT$5:$CT320,"="&amp;$CT320)</f>
        <v>720</v>
      </c>
      <c r="DR320" s="14">
        <f t="shared" si="555"/>
        <v>1102016</v>
      </c>
      <c r="DS320" s="14" t="str">
        <f t="shared" si="556"/>
        <v>西方龙16突</v>
      </c>
      <c r="DT320" s="14">
        <f t="shared" si="567"/>
        <v>6</v>
      </c>
      <c r="DU320" s="14">
        <f t="shared" si="568"/>
        <v>7</v>
      </c>
      <c r="DV320" s="14">
        <f t="shared" si="569"/>
        <v>8</v>
      </c>
      <c r="DW320" s="14">
        <f t="shared" si="557"/>
        <v>4</v>
      </c>
      <c r="DX320" s="14">
        <f t="shared" si="558"/>
        <v>16</v>
      </c>
      <c r="DY320" s="14">
        <f t="shared" si="559"/>
        <v>56</v>
      </c>
      <c r="DZ320" s="14">
        <f>INDEX(属性投放!$AX$6:$AX$85,(卡牌属性!DW320-2)*20+卡牌属性!DX320)</f>
        <v>7</v>
      </c>
      <c r="EA320" s="14">
        <f>INDEX(属性投放!BQ$6:BQ$85,卡牌属性!$DY320)</f>
        <v>850</v>
      </c>
      <c r="EB320" s="14">
        <f>INDEX(属性投放!BR$6:BR$85,卡牌属性!$DY320)</f>
        <v>425</v>
      </c>
      <c r="EC320" s="14">
        <f>INDEX(属性投放!BS$6:BS$85,卡牌属性!$DY320)</f>
        <v>8500</v>
      </c>
      <c r="ED320" s="14">
        <f t="shared" si="618"/>
        <v>5764</v>
      </c>
      <c r="EE320" s="14">
        <f t="shared" si="619"/>
        <v>6693</v>
      </c>
      <c r="EF320" s="14">
        <f t="shared" si="620"/>
        <v>7110</v>
      </c>
      <c r="EG320" s="14">
        <f t="shared" si="621"/>
        <v>7110</v>
      </c>
      <c r="EH320" s="14">
        <f t="shared" si="622"/>
        <v>7555</v>
      </c>
      <c r="EI320" s="14">
        <f t="shared" si="623"/>
        <v>3317</v>
      </c>
      <c r="EJ320" s="14">
        <f t="shared" si="624"/>
        <v>3541</v>
      </c>
      <c r="EK320" s="14">
        <f t="shared" si="625"/>
        <v>3541</v>
      </c>
      <c r="EL320" s="14">
        <f t="shared" si="626"/>
        <v>3742</v>
      </c>
      <c r="EM320" s="14">
        <f t="shared" si="627"/>
        <v>4403</v>
      </c>
      <c r="EN320" s="14">
        <f t="shared" si="628"/>
        <v>61162</v>
      </c>
      <c r="EO320" s="14">
        <f t="shared" si="629"/>
        <v>64660</v>
      </c>
      <c r="EP320" s="14">
        <f t="shared" si="630"/>
        <v>64660</v>
      </c>
      <c r="EQ320" s="14">
        <f t="shared" si="631"/>
        <v>75620</v>
      </c>
      <c r="ER320" s="14">
        <f t="shared" si="632"/>
        <v>90520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INDEX(属性投放!$BQ$6:$BQ$85,(卡牌属性!$DW320-2)*20+卡牌属性!$DX320)</f>
        <v>850</v>
      </c>
      <c r="FI320" s="14">
        <f>INDEX(属性投放!$BQ$6:$BQ$85,(卡牌属性!$DW320-2)*20+卡牌属性!$DX320)</f>
        <v>850</v>
      </c>
      <c r="FJ320" s="14">
        <f>INDEX(属性投放!$BQ$6:$BQ$85,(卡牌属性!$DW320-2)*20+卡牌属性!$DX320)</f>
        <v>850</v>
      </c>
      <c r="FK320" s="14">
        <f>INDEX(属性投放!$BQ$6:$BQ$85,(卡牌属性!$DW320-2)*20+卡牌属性!$DX320)</f>
        <v>850</v>
      </c>
      <c r="FL320" s="14">
        <f>INDEX(属性投放!$BQ$6:$BQ$85,(卡牌属性!$DW320-2)*20+卡牌属性!$DX320)</f>
        <v>850</v>
      </c>
      <c r="FM320" s="14">
        <f>INDEX(属性投放!$BR$6:$BR$85,(卡牌属性!$DW320-2)*20+卡牌属性!$DX320)</f>
        <v>425</v>
      </c>
      <c r="FN320" s="14">
        <f>INDEX(属性投放!$BR$6:$BR$85,(卡牌属性!$DW320-2)*20+卡牌属性!$DX320)</f>
        <v>425</v>
      </c>
      <c r="FO320" s="14">
        <f>INDEX(属性投放!$BR$6:$BR$85,(卡牌属性!$DW320-2)*20+卡牌属性!$DX320)</f>
        <v>425</v>
      </c>
      <c r="FP320" s="14">
        <f>INDEX(属性投放!$BR$6:$BR$85,(卡牌属性!$DW320-2)*20+卡牌属性!$DX320)</f>
        <v>425</v>
      </c>
      <c r="FQ320" s="14">
        <f>INDEX(属性投放!$BR$6:$BR$85,(卡牌属性!$DW320-2)*20+卡牌属性!$DX320)</f>
        <v>425</v>
      </c>
      <c r="FR320" s="14">
        <f>INDEX(属性投放!$BS$6:$BS$85,(卡牌属性!$DW320-2)*20+卡牌属性!$DX320)</f>
        <v>8500</v>
      </c>
      <c r="FS320" s="14">
        <f>INDEX(属性投放!$BS$6:$BS$85,(卡牌属性!$DW320-2)*20+卡牌属性!$DX320)</f>
        <v>8500</v>
      </c>
      <c r="FT320" s="14">
        <f>INDEX(属性投放!$BS$6:$BS$85,(卡牌属性!$DW320-2)*20+卡牌属性!$DX320)</f>
        <v>8500</v>
      </c>
      <c r="FU320" s="14">
        <f>INDEX(属性投放!$BS$6:$BS$85,(卡牌属性!$DW320-2)*20+卡牌属性!$DX320)</f>
        <v>8500</v>
      </c>
      <c r="FV320" s="14">
        <f>INDEX(属性投放!$BS$6:$BS$85,(卡牌属性!$DW320-2)*20+卡牌属性!$DX320)</f>
        <v>8500</v>
      </c>
    </row>
    <row r="321" spans="31:178" ht="16.5" x14ac:dyDescent="0.2">
      <c r="AE321" s="13">
        <v>317</v>
      </c>
      <c r="AF321" s="13">
        <f t="shared" si="560"/>
        <v>16</v>
      </c>
      <c r="AG321" s="13">
        <f t="shared" si="547"/>
        <v>2</v>
      </c>
      <c r="AH321" s="13"/>
      <c r="AI321" s="13"/>
      <c r="AJ321" s="14">
        <f t="shared" si="548"/>
        <v>1101041</v>
      </c>
      <c r="AK321" s="14" t="str">
        <f t="shared" si="549"/>
        <v>常服夏玲17突</v>
      </c>
      <c r="AL321" s="25" t="s">
        <v>142</v>
      </c>
      <c r="AM321" s="14">
        <v>1</v>
      </c>
      <c r="AN321" s="14">
        <f t="shared" si="550"/>
        <v>17</v>
      </c>
      <c r="AO321" s="14">
        <f>INDEX(属性投放!$DF$6:$DF$85,(卡牌属性!AG321-2)*20+卡牌属性!AN321)</f>
        <v>10383</v>
      </c>
      <c r="AP321" s="14">
        <f t="shared" si="612"/>
        <v>10383</v>
      </c>
      <c r="AQ321" s="14">
        <f t="shared" si="612"/>
        <v>10383</v>
      </c>
      <c r="AR321" s="14">
        <f t="shared" si="612"/>
        <v>10383</v>
      </c>
      <c r="AS321" s="14">
        <f t="shared" si="612"/>
        <v>10383</v>
      </c>
      <c r="AT321" s="14">
        <f>INDEX(属性投放!$DG$6:$DG$85,(卡牌属性!AG321-2)*20+卡牌属性!AN321)</f>
        <v>5158</v>
      </c>
      <c r="AU321" s="14">
        <f t="shared" si="613"/>
        <v>5158</v>
      </c>
      <c r="AV321" s="14">
        <f t="shared" si="613"/>
        <v>5158</v>
      </c>
      <c r="AW321" s="14">
        <f t="shared" si="613"/>
        <v>5158</v>
      </c>
      <c r="AX321" s="14">
        <f t="shared" si="613"/>
        <v>5158</v>
      </c>
      <c r="AY321" s="14">
        <f>INDEX(属性投放!$DH$6:$DH$85,(卡牌属性!AG321-2)*20+卡牌属性!AN321)</f>
        <v>95606</v>
      </c>
      <c r="AZ321" s="14">
        <f t="shared" si="614"/>
        <v>95606</v>
      </c>
      <c r="BA321" s="14">
        <f t="shared" si="614"/>
        <v>95606</v>
      </c>
      <c r="BB321" s="14">
        <f t="shared" si="614"/>
        <v>95606</v>
      </c>
      <c r="BC321" s="14">
        <f t="shared" si="614"/>
        <v>95606</v>
      </c>
      <c r="BD321" s="14">
        <f>INDEX(属性投放!$DL$6:$DL$85,(卡牌属性!AG321-2)*20+卡牌属性!AN321)</f>
        <v>235</v>
      </c>
      <c r="BE321" s="14">
        <f t="shared" si="615"/>
        <v>235</v>
      </c>
      <c r="BF321" s="14">
        <f t="shared" si="615"/>
        <v>235</v>
      </c>
      <c r="BG321" s="14">
        <f t="shared" si="615"/>
        <v>235</v>
      </c>
      <c r="BH321" s="14">
        <f t="shared" si="615"/>
        <v>235</v>
      </c>
      <c r="BI321" s="14">
        <f>INDEX(属性投放!$DM$6:$DM$85,(卡牌属性!AG321-2)*20+卡牌属性!AN321)</f>
        <v>117</v>
      </c>
      <c r="BJ321" s="14">
        <f t="shared" si="616"/>
        <v>117</v>
      </c>
      <c r="BK321" s="14">
        <f t="shared" si="616"/>
        <v>117</v>
      </c>
      <c r="BL321" s="14">
        <f t="shared" si="616"/>
        <v>117</v>
      </c>
      <c r="BM321" s="14">
        <f t="shared" si="616"/>
        <v>117</v>
      </c>
      <c r="BN321" s="14">
        <f>INDEX(属性投放!$DN$6:$DN$85,(卡牌属性!AG321-2)*20+卡牌属性!AN321)</f>
        <v>2346</v>
      </c>
      <c r="BO321" s="14">
        <f t="shared" si="617"/>
        <v>2346</v>
      </c>
      <c r="BP321" s="14">
        <f t="shared" si="617"/>
        <v>2346</v>
      </c>
      <c r="BQ321" s="14">
        <f t="shared" si="617"/>
        <v>2346</v>
      </c>
      <c r="BR321" s="14">
        <f t="shared" si="617"/>
        <v>2346</v>
      </c>
      <c r="BW321" s="13">
        <v>317</v>
      </c>
      <c r="BX321" s="13">
        <f t="shared" si="551"/>
        <v>16</v>
      </c>
      <c r="BY321" s="14">
        <f t="shared" si="552"/>
        <v>4</v>
      </c>
      <c r="BZ321" s="14">
        <f t="shared" si="561"/>
        <v>1102016</v>
      </c>
      <c r="CA321" s="14" t="str">
        <f t="shared" si="562"/>
        <v>西方龙17突</v>
      </c>
      <c r="CB321" s="25" t="s">
        <v>142</v>
      </c>
      <c r="CC321" s="14">
        <v>2</v>
      </c>
      <c r="CD321" s="14">
        <f t="shared" si="553"/>
        <v>17</v>
      </c>
      <c r="CE321" s="14" t="s">
        <v>21</v>
      </c>
      <c r="CF321" s="14">
        <f>INDEX(属性投放!$AZ$6:$AZ$85,(BY321-2)*20+CD321)</f>
        <v>15328</v>
      </c>
      <c r="CG321" s="14" t="s">
        <v>22</v>
      </c>
      <c r="CH321" s="14">
        <f>INDEX(属性投放!$BA$6:$BA$85,(BY321-2)*20+CD321)</f>
        <v>7619</v>
      </c>
      <c r="CI321" s="14" t="s">
        <v>510</v>
      </c>
      <c r="CJ321" s="14">
        <f>INDEX(属性投放!$BB$6:$BB$85,(BY321-2)*20+CD321)</f>
        <v>139603</v>
      </c>
      <c r="CK321" s="14" t="s">
        <v>21</v>
      </c>
      <c r="CL321" s="14">
        <f>INDEX(属性投放!$BC$6:$BC$85,(BY321-2)*20+CD321)</f>
        <v>50</v>
      </c>
      <c r="CM321" s="14" t="s">
        <v>22</v>
      </c>
      <c r="CN321" s="14">
        <f>INDEX(属性投放!$BD$6:$BD$85,(BY321-2)*20+CD321)</f>
        <v>25</v>
      </c>
      <c r="CO321" s="14" t="s">
        <v>510</v>
      </c>
      <c r="CP321" s="14">
        <f>INDEX(属性投放!$BE$6:$BE$85,(BY321-2)*20+CD321)</f>
        <v>500</v>
      </c>
      <c r="CS321" s="13">
        <v>317</v>
      </c>
      <c r="CT321" s="13">
        <f t="shared" si="563"/>
        <v>7</v>
      </c>
      <c r="CU321" s="13">
        <f t="shared" si="564"/>
        <v>5</v>
      </c>
      <c r="CV321" s="14">
        <f t="shared" si="565"/>
        <v>4</v>
      </c>
      <c r="CW321" s="14">
        <f t="shared" si="566"/>
        <v>1102007</v>
      </c>
      <c r="CX321" s="14" t="str">
        <f>INDEX($O$6:$O$50,CT321)&amp;"-"&amp;INDEX(属性投放!$AB$7:$AB$50,CZ321)&amp;"-魂火-"&amp;DB321</f>
        <v>天使缇娜-黑绳+1-魂火-2</v>
      </c>
      <c r="CY321" s="25" t="s">
        <v>142</v>
      </c>
      <c r="CZ321" s="14">
        <f>INDEX(属性投放!$AM$7:$AM$58,CU321)</f>
        <v>3</v>
      </c>
      <c r="DA321" s="14" t="s">
        <v>537</v>
      </c>
      <c r="DB321" s="14">
        <f>INDEX(属性投放!$AN$7:$AN$58,CU321)</f>
        <v>2</v>
      </c>
      <c r="DC321" s="14">
        <f t="shared" si="554"/>
        <v>5</v>
      </c>
      <c r="DD321" s="14">
        <f>INDEX(属性投放!$AO$7:$AO$58,DC321)</f>
        <v>23</v>
      </c>
      <c r="DE321" s="14" t="s">
        <v>538</v>
      </c>
      <c r="DF321" s="14">
        <f>INDEX(属性投放!$BK$6:$BK$85,(CV321-2)*20+CZ321)</f>
        <v>35</v>
      </c>
      <c r="DG321" s="14">
        <f>SUMIFS(DF$5:DF321,$CT$5:$CT321,"="&amp;$CT321)</f>
        <v>155</v>
      </c>
      <c r="DH321" s="14" t="s">
        <v>539</v>
      </c>
      <c r="DI321" s="14">
        <f>INDEX(属性投放!$BL$6:$BL$85,(CV321-2)*20+CZ321)</f>
        <v>18</v>
      </c>
      <c r="DJ321" s="14">
        <f>SUMIFS(DI$5:DI321,$CT$5:$CT321,"="&amp;$CT321)</f>
        <v>79</v>
      </c>
      <c r="DK321" s="14" t="s">
        <v>540</v>
      </c>
      <c r="DL321" s="14">
        <f>INDEX(属性投放!$BM$6:$BM$85,(CV321-2)*20+CZ321)</f>
        <v>210</v>
      </c>
      <c r="DM321" s="14">
        <f>SUMIFS(DL$5:DL321,$CT$5:$CT321,"="&amp;$CT321)</f>
        <v>930</v>
      </c>
      <c r="DR321" s="14">
        <f t="shared" si="555"/>
        <v>1102016</v>
      </c>
      <c r="DS321" s="14" t="str">
        <f t="shared" si="556"/>
        <v>西方龙17突</v>
      </c>
      <c r="DT321" s="14">
        <f t="shared" si="567"/>
        <v>6</v>
      </c>
      <c r="DU321" s="14">
        <f t="shared" si="568"/>
        <v>7</v>
      </c>
      <c r="DV321" s="14">
        <f t="shared" si="569"/>
        <v>8</v>
      </c>
      <c r="DW321" s="14">
        <f t="shared" si="557"/>
        <v>4</v>
      </c>
      <c r="DX321" s="14">
        <f t="shared" si="558"/>
        <v>17</v>
      </c>
      <c r="DY321" s="14">
        <f t="shared" si="559"/>
        <v>57</v>
      </c>
      <c r="DZ321" s="14">
        <f>INDEX(属性投放!$AX$6:$AX$85,(卡牌属性!DW321-2)*20+卡牌属性!DX321)</f>
        <v>8</v>
      </c>
      <c r="EA321" s="14">
        <f>INDEX(属性投放!BQ$6:BQ$85,卡牌属性!$DY321)</f>
        <v>950</v>
      </c>
      <c r="EB321" s="14">
        <f>INDEX(属性投放!BR$6:BR$85,卡牌属性!$DY321)</f>
        <v>475</v>
      </c>
      <c r="EC321" s="14">
        <f>INDEX(属性投放!BS$6:BS$85,卡牌属性!$DY321)</f>
        <v>9500</v>
      </c>
      <c r="ED321" s="14">
        <f t="shared" si="618"/>
        <v>6859</v>
      </c>
      <c r="EE321" s="14">
        <f t="shared" si="619"/>
        <v>7893</v>
      </c>
      <c r="EF321" s="14">
        <f t="shared" si="620"/>
        <v>8380</v>
      </c>
      <c r="EG321" s="14">
        <f t="shared" si="621"/>
        <v>8380</v>
      </c>
      <c r="EH321" s="14">
        <f t="shared" si="622"/>
        <v>8930</v>
      </c>
      <c r="EI321" s="14">
        <f t="shared" si="623"/>
        <v>3917</v>
      </c>
      <c r="EJ321" s="14">
        <f t="shared" si="624"/>
        <v>4176</v>
      </c>
      <c r="EK321" s="14">
        <f t="shared" si="625"/>
        <v>4176</v>
      </c>
      <c r="EL321" s="14">
        <f t="shared" si="626"/>
        <v>4433</v>
      </c>
      <c r="EM321" s="14">
        <f t="shared" si="627"/>
        <v>5178</v>
      </c>
      <c r="EN321" s="14">
        <f t="shared" si="628"/>
        <v>73862</v>
      </c>
      <c r="EO321" s="14">
        <f t="shared" si="629"/>
        <v>78410</v>
      </c>
      <c r="EP321" s="14">
        <f t="shared" si="630"/>
        <v>78410</v>
      </c>
      <c r="EQ321" s="14">
        <f t="shared" si="631"/>
        <v>91120</v>
      </c>
      <c r="ER321" s="14">
        <f t="shared" si="632"/>
        <v>109520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INDEX(属性投放!$BQ$6:$BQ$85,(卡牌属性!$DW321-2)*20+卡牌属性!$DX321)</f>
        <v>950</v>
      </c>
      <c r="FI321" s="14">
        <f>INDEX(属性投放!$BQ$6:$BQ$85,(卡牌属性!$DW321-2)*20+卡牌属性!$DX321)</f>
        <v>950</v>
      </c>
      <c r="FJ321" s="14">
        <f>INDEX(属性投放!$BQ$6:$BQ$85,(卡牌属性!$DW321-2)*20+卡牌属性!$DX321)</f>
        <v>950</v>
      </c>
      <c r="FK321" s="14">
        <f>INDEX(属性投放!$BQ$6:$BQ$85,(卡牌属性!$DW321-2)*20+卡牌属性!$DX321)</f>
        <v>950</v>
      </c>
      <c r="FL321" s="14">
        <f>INDEX(属性投放!$BQ$6:$BQ$85,(卡牌属性!$DW321-2)*20+卡牌属性!$DX321)</f>
        <v>950</v>
      </c>
      <c r="FM321" s="14">
        <f>INDEX(属性投放!$BR$6:$BR$85,(卡牌属性!$DW321-2)*20+卡牌属性!$DX321)</f>
        <v>475</v>
      </c>
      <c r="FN321" s="14">
        <f>INDEX(属性投放!$BR$6:$BR$85,(卡牌属性!$DW321-2)*20+卡牌属性!$DX321)</f>
        <v>475</v>
      </c>
      <c r="FO321" s="14">
        <f>INDEX(属性投放!$BR$6:$BR$85,(卡牌属性!$DW321-2)*20+卡牌属性!$DX321)</f>
        <v>475</v>
      </c>
      <c r="FP321" s="14">
        <f>INDEX(属性投放!$BR$6:$BR$85,(卡牌属性!$DW321-2)*20+卡牌属性!$DX321)</f>
        <v>475</v>
      </c>
      <c r="FQ321" s="14">
        <f>INDEX(属性投放!$BR$6:$BR$85,(卡牌属性!$DW321-2)*20+卡牌属性!$DX321)</f>
        <v>475</v>
      </c>
      <c r="FR321" s="14">
        <f>INDEX(属性投放!$BS$6:$BS$85,(卡牌属性!$DW321-2)*20+卡牌属性!$DX321)</f>
        <v>9500</v>
      </c>
      <c r="FS321" s="14">
        <f>INDEX(属性投放!$BS$6:$BS$85,(卡牌属性!$DW321-2)*20+卡牌属性!$DX321)</f>
        <v>9500</v>
      </c>
      <c r="FT321" s="14">
        <f>INDEX(属性投放!$BS$6:$BS$85,(卡牌属性!$DW321-2)*20+卡牌属性!$DX321)</f>
        <v>9500</v>
      </c>
      <c r="FU321" s="14">
        <f>INDEX(属性投放!$BS$6:$BS$85,(卡牌属性!$DW321-2)*20+卡牌属性!$DX321)</f>
        <v>9500</v>
      </c>
      <c r="FV321" s="14">
        <f>INDEX(属性投放!$BS$6:$BS$85,(卡牌属性!$DW321-2)*20+卡牌属性!$DX321)</f>
        <v>9500</v>
      </c>
    </row>
    <row r="322" spans="31:178" ht="16.5" x14ac:dyDescent="0.2">
      <c r="AE322" s="13">
        <v>318</v>
      </c>
      <c r="AF322" s="13">
        <f t="shared" si="560"/>
        <v>16</v>
      </c>
      <c r="AG322" s="13">
        <f t="shared" si="547"/>
        <v>2</v>
      </c>
      <c r="AH322" s="13"/>
      <c r="AI322" s="13"/>
      <c r="AJ322" s="14">
        <f t="shared" si="548"/>
        <v>1101041</v>
      </c>
      <c r="AK322" s="14" t="str">
        <f t="shared" si="549"/>
        <v>常服夏玲18突</v>
      </c>
      <c r="AL322" s="25" t="s">
        <v>142</v>
      </c>
      <c r="AM322" s="14">
        <v>1</v>
      </c>
      <c r="AN322" s="14">
        <f t="shared" si="550"/>
        <v>18</v>
      </c>
      <c r="AO322" s="14">
        <f>INDEX(属性投放!$DF$6:$DF$85,(卡牌属性!AG322-2)*20+卡牌属性!AN322)</f>
        <v>11221</v>
      </c>
      <c r="AP322" s="14">
        <f t="shared" si="612"/>
        <v>11221</v>
      </c>
      <c r="AQ322" s="14">
        <f t="shared" si="612"/>
        <v>11221</v>
      </c>
      <c r="AR322" s="14">
        <f t="shared" si="612"/>
        <v>11221</v>
      </c>
      <c r="AS322" s="14">
        <f t="shared" si="612"/>
        <v>11221</v>
      </c>
      <c r="AT322" s="14">
        <f>INDEX(属性投放!$DG$6:$DG$85,(卡牌属性!AG322-2)*20+卡牌属性!AN322)</f>
        <v>5577</v>
      </c>
      <c r="AU322" s="14">
        <f t="shared" si="613"/>
        <v>5577</v>
      </c>
      <c r="AV322" s="14">
        <f t="shared" si="613"/>
        <v>5577</v>
      </c>
      <c r="AW322" s="14">
        <f t="shared" si="613"/>
        <v>5577</v>
      </c>
      <c r="AX322" s="14">
        <f t="shared" si="613"/>
        <v>5577</v>
      </c>
      <c r="AY322" s="14">
        <f>INDEX(属性投放!$DH$6:$DH$85,(卡牌属性!AG322-2)*20+卡牌属性!AN322)</f>
        <v>103986</v>
      </c>
      <c r="AZ322" s="14">
        <f t="shared" si="614"/>
        <v>103986</v>
      </c>
      <c r="BA322" s="14">
        <f t="shared" si="614"/>
        <v>103986</v>
      </c>
      <c r="BB322" s="14">
        <f t="shared" si="614"/>
        <v>103986</v>
      </c>
      <c r="BC322" s="14">
        <f t="shared" si="614"/>
        <v>103986</v>
      </c>
      <c r="BD322" s="14">
        <f>INDEX(属性投放!$DL$6:$DL$85,(卡牌属性!AG322-2)*20+卡牌属性!AN322)</f>
        <v>235</v>
      </c>
      <c r="BE322" s="14">
        <f t="shared" si="615"/>
        <v>235</v>
      </c>
      <c r="BF322" s="14">
        <f t="shared" si="615"/>
        <v>235</v>
      </c>
      <c r="BG322" s="14">
        <f t="shared" si="615"/>
        <v>235</v>
      </c>
      <c r="BH322" s="14">
        <f t="shared" si="615"/>
        <v>235</v>
      </c>
      <c r="BI322" s="14">
        <f>INDEX(属性投放!$DM$6:$DM$85,(卡牌属性!AG322-2)*20+卡牌属性!AN322)</f>
        <v>117</v>
      </c>
      <c r="BJ322" s="14">
        <f t="shared" si="616"/>
        <v>117</v>
      </c>
      <c r="BK322" s="14">
        <f t="shared" si="616"/>
        <v>117</v>
      </c>
      <c r="BL322" s="14">
        <f t="shared" si="616"/>
        <v>117</v>
      </c>
      <c r="BM322" s="14">
        <f t="shared" si="616"/>
        <v>117</v>
      </c>
      <c r="BN322" s="14">
        <f>INDEX(属性投放!$DN$6:$DN$85,(卡牌属性!AG322-2)*20+卡牌属性!AN322)</f>
        <v>2346</v>
      </c>
      <c r="BO322" s="14">
        <f t="shared" si="617"/>
        <v>2346</v>
      </c>
      <c r="BP322" s="14">
        <f t="shared" si="617"/>
        <v>2346</v>
      </c>
      <c r="BQ322" s="14">
        <f t="shared" si="617"/>
        <v>2346</v>
      </c>
      <c r="BR322" s="14">
        <f t="shared" si="617"/>
        <v>2346</v>
      </c>
      <c r="BW322" s="13">
        <v>318</v>
      </c>
      <c r="BX322" s="13">
        <f t="shared" si="551"/>
        <v>16</v>
      </c>
      <c r="BY322" s="14">
        <f t="shared" si="552"/>
        <v>4</v>
      </c>
      <c r="BZ322" s="14">
        <f t="shared" si="561"/>
        <v>1102016</v>
      </c>
      <c r="CA322" s="14" t="str">
        <f t="shared" si="562"/>
        <v>西方龙18突</v>
      </c>
      <c r="CB322" s="25" t="s">
        <v>142</v>
      </c>
      <c r="CC322" s="14">
        <v>2</v>
      </c>
      <c r="CD322" s="14">
        <f t="shared" si="553"/>
        <v>18</v>
      </c>
      <c r="CE322" s="14" t="s">
        <v>21</v>
      </c>
      <c r="CF322" s="14">
        <f>INDEX(属性投放!$AZ$6:$AZ$85,(BY322-2)*20+CD322)</f>
        <v>18628</v>
      </c>
      <c r="CG322" s="14" t="s">
        <v>22</v>
      </c>
      <c r="CH322" s="14">
        <f>INDEX(属性投放!$BA$6:$BA$85,(BY322-2)*20+CD322)</f>
        <v>9269</v>
      </c>
      <c r="CI322" s="14" t="s">
        <v>510</v>
      </c>
      <c r="CJ322" s="14">
        <f>INDEX(属性投放!$BB$6:$BB$85,(BY322-2)*20+CD322)</f>
        <v>172603</v>
      </c>
      <c r="CK322" s="14" t="s">
        <v>21</v>
      </c>
      <c r="CL322" s="14">
        <f>INDEX(属性投放!$BC$6:$BC$85,(BY322-2)*20+CD322)</f>
        <v>50</v>
      </c>
      <c r="CM322" s="14" t="s">
        <v>22</v>
      </c>
      <c r="CN322" s="14">
        <f>INDEX(属性投放!$BD$6:$BD$85,(BY322-2)*20+CD322)</f>
        <v>25</v>
      </c>
      <c r="CO322" s="14" t="s">
        <v>510</v>
      </c>
      <c r="CP322" s="14">
        <f>INDEX(属性投放!$BE$6:$BE$85,(BY322-2)*20+CD322)</f>
        <v>500</v>
      </c>
      <c r="CS322" s="13">
        <v>318</v>
      </c>
      <c r="CT322" s="13">
        <f t="shared" si="563"/>
        <v>7</v>
      </c>
      <c r="CU322" s="13">
        <f t="shared" si="564"/>
        <v>6</v>
      </c>
      <c r="CV322" s="14">
        <f t="shared" si="565"/>
        <v>4</v>
      </c>
      <c r="CW322" s="14">
        <f t="shared" si="566"/>
        <v>1102007</v>
      </c>
      <c r="CX322" s="14" t="str">
        <f>INDEX($O$6:$O$50,CT322)&amp;"-"&amp;INDEX(属性投放!$AB$7:$AB$50,CZ322)&amp;"-魂火-"&amp;DB322</f>
        <v>天使缇娜-众合-魂火-1</v>
      </c>
      <c r="CY322" s="25" t="s">
        <v>142</v>
      </c>
      <c r="CZ322" s="14">
        <f>INDEX(属性投放!$AM$7:$AM$58,CU322)</f>
        <v>4</v>
      </c>
      <c r="DA322" s="14" t="s">
        <v>537</v>
      </c>
      <c r="DB322" s="14">
        <f>INDEX(属性投放!$AN$7:$AN$58,CU322)</f>
        <v>1</v>
      </c>
      <c r="DC322" s="14">
        <f t="shared" si="554"/>
        <v>6</v>
      </c>
      <c r="DD322" s="14">
        <f>INDEX(属性投放!$AO$7:$AO$58,DC322)</f>
        <v>28</v>
      </c>
      <c r="DE322" s="14" t="s">
        <v>538</v>
      </c>
      <c r="DF322" s="14">
        <f>INDEX(属性投放!$BK$6:$BK$85,(CV322-2)*20+CZ322)</f>
        <v>45</v>
      </c>
      <c r="DG322" s="14">
        <f>SUMIFS(DF$5:DF322,$CT$5:$CT322,"="&amp;$CT322)</f>
        <v>200</v>
      </c>
      <c r="DH322" s="14" t="s">
        <v>539</v>
      </c>
      <c r="DI322" s="14">
        <f>INDEX(属性投放!$BL$6:$BL$85,(CV322-2)*20+CZ322)</f>
        <v>23</v>
      </c>
      <c r="DJ322" s="14">
        <f>SUMIFS(DI$5:DI322,$CT$5:$CT322,"="&amp;$CT322)</f>
        <v>102</v>
      </c>
      <c r="DK322" s="14" t="s">
        <v>540</v>
      </c>
      <c r="DL322" s="14">
        <f>INDEX(属性投放!$BM$6:$BM$85,(CV322-2)*20+CZ322)</f>
        <v>315</v>
      </c>
      <c r="DM322" s="14">
        <f>SUMIFS(DL$5:DL322,$CT$5:$CT322,"="&amp;$CT322)</f>
        <v>1245</v>
      </c>
      <c r="DR322" s="14">
        <f t="shared" si="555"/>
        <v>1102016</v>
      </c>
      <c r="DS322" s="14" t="str">
        <f t="shared" si="556"/>
        <v>西方龙18突</v>
      </c>
      <c r="DT322" s="14">
        <f t="shared" si="567"/>
        <v>6</v>
      </c>
      <c r="DU322" s="14">
        <f t="shared" si="568"/>
        <v>7</v>
      </c>
      <c r="DV322" s="14">
        <f t="shared" si="569"/>
        <v>8</v>
      </c>
      <c r="DW322" s="14">
        <f t="shared" si="557"/>
        <v>4</v>
      </c>
      <c r="DX322" s="14">
        <f t="shared" si="558"/>
        <v>18</v>
      </c>
      <c r="DY322" s="14">
        <f t="shared" si="559"/>
        <v>58</v>
      </c>
      <c r="DZ322" s="14">
        <f>INDEX(属性投放!$AX$6:$AX$85,(卡牌属性!DW322-2)*20+卡牌属性!DX322)</f>
        <v>7</v>
      </c>
      <c r="EA322" s="14">
        <f>INDEX(属性投放!BQ$6:BQ$85,卡牌属性!$DY322)</f>
        <v>1500</v>
      </c>
      <c r="EB322" s="14">
        <f>INDEX(属性投放!BR$6:BR$85,卡牌属性!$DY322)</f>
        <v>750</v>
      </c>
      <c r="EC322" s="14">
        <f>INDEX(属性投放!BS$6:BS$85,卡牌属性!$DY322)</f>
        <v>15000</v>
      </c>
      <c r="ED322" s="14">
        <f t="shared" si="618"/>
        <v>8089</v>
      </c>
      <c r="EE322" s="14">
        <f t="shared" si="619"/>
        <v>9243</v>
      </c>
      <c r="EF322" s="14">
        <f t="shared" si="620"/>
        <v>9810</v>
      </c>
      <c r="EG322" s="14">
        <f t="shared" si="621"/>
        <v>9810</v>
      </c>
      <c r="EH322" s="14">
        <f t="shared" si="622"/>
        <v>10480</v>
      </c>
      <c r="EI322" s="14">
        <f t="shared" si="623"/>
        <v>4592</v>
      </c>
      <c r="EJ322" s="14">
        <f t="shared" si="624"/>
        <v>4891</v>
      </c>
      <c r="EK322" s="14">
        <f t="shared" si="625"/>
        <v>4891</v>
      </c>
      <c r="EL322" s="14">
        <f t="shared" si="626"/>
        <v>5212</v>
      </c>
      <c r="EM322" s="14">
        <f t="shared" si="627"/>
        <v>6053</v>
      </c>
      <c r="EN322" s="14">
        <f t="shared" si="628"/>
        <v>88162</v>
      </c>
      <c r="EO322" s="14">
        <f t="shared" si="629"/>
        <v>93910</v>
      </c>
      <c r="EP322" s="14">
        <f t="shared" si="630"/>
        <v>93910</v>
      </c>
      <c r="EQ322" s="14">
        <f t="shared" si="631"/>
        <v>108620</v>
      </c>
      <c r="ER322" s="14">
        <f t="shared" si="632"/>
        <v>131020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INDEX(属性投放!$BQ$6:$BQ$85,(卡牌属性!$DW322-2)*20+卡牌属性!$DX322)</f>
        <v>1500</v>
      </c>
      <c r="FI322" s="14">
        <f>INDEX(属性投放!$BQ$6:$BQ$85,(卡牌属性!$DW322-2)*20+卡牌属性!$DX322)</f>
        <v>1500</v>
      </c>
      <c r="FJ322" s="14">
        <f>INDEX(属性投放!$BQ$6:$BQ$85,(卡牌属性!$DW322-2)*20+卡牌属性!$DX322)</f>
        <v>1500</v>
      </c>
      <c r="FK322" s="14">
        <f>INDEX(属性投放!$BQ$6:$BQ$85,(卡牌属性!$DW322-2)*20+卡牌属性!$DX322)</f>
        <v>1500</v>
      </c>
      <c r="FL322" s="14">
        <f>INDEX(属性投放!$BQ$6:$BQ$85,(卡牌属性!$DW322-2)*20+卡牌属性!$DX322)</f>
        <v>1500</v>
      </c>
      <c r="FM322" s="14">
        <f>INDEX(属性投放!$BR$6:$BR$85,(卡牌属性!$DW322-2)*20+卡牌属性!$DX322)</f>
        <v>750</v>
      </c>
      <c r="FN322" s="14">
        <f>INDEX(属性投放!$BR$6:$BR$85,(卡牌属性!$DW322-2)*20+卡牌属性!$DX322)</f>
        <v>750</v>
      </c>
      <c r="FO322" s="14">
        <f>INDEX(属性投放!$BR$6:$BR$85,(卡牌属性!$DW322-2)*20+卡牌属性!$DX322)</f>
        <v>750</v>
      </c>
      <c r="FP322" s="14">
        <f>INDEX(属性投放!$BR$6:$BR$85,(卡牌属性!$DW322-2)*20+卡牌属性!$DX322)</f>
        <v>750</v>
      </c>
      <c r="FQ322" s="14">
        <f>INDEX(属性投放!$BR$6:$BR$85,(卡牌属性!$DW322-2)*20+卡牌属性!$DX322)</f>
        <v>750</v>
      </c>
      <c r="FR322" s="14">
        <f>INDEX(属性投放!$BS$6:$BS$85,(卡牌属性!$DW322-2)*20+卡牌属性!$DX322)</f>
        <v>15000</v>
      </c>
      <c r="FS322" s="14">
        <f>INDEX(属性投放!$BS$6:$BS$85,(卡牌属性!$DW322-2)*20+卡牌属性!$DX322)</f>
        <v>15000</v>
      </c>
      <c r="FT322" s="14">
        <f>INDEX(属性投放!$BS$6:$BS$85,(卡牌属性!$DW322-2)*20+卡牌属性!$DX322)</f>
        <v>15000</v>
      </c>
      <c r="FU322" s="14">
        <f>INDEX(属性投放!$BS$6:$BS$85,(卡牌属性!$DW322-2)*20+卡牌属性!$DX322)</f>
        <v>15000</v>
      </c>
      <c r="FV322" s="14">
        <f>INDEX(属性投放!$BS$6:$BS$85,(卡牌属性!$DW322-2)*20+卡牌属性!$DX322)</f>
        <v>15000</v>
      </c>
    </row>
    <row r="323" spans="31:178" ht="16.5" x14ac:dyDescent="0.2">
      <c r="AE323" s="13">
        <v>319</v>
      </c>
      <c r="AF323" s="13">
        <f t="shared" si="560"/>
        <v>16</v>
      </c>
      <c r="AG323" s="13">
        <f t="shared" si="547"/>
        <v>2</v>
      </c>
      <c r="AH323" s="13"/>
      <c r="AI323" s="13"/>
      <c r="AJ323" s="14">
        <f t="shared" si="548"/>
        <v>1101041</v>
      </c>
      <c r="AK323" s="14" t="str">
        <f t="shared" si="549"/>
        <v>常服夏玲19突</v>
      </c>
      <c r="AL323" s="25" t="s">
        <v>142</v>
      </c>
      <c r="AM323" s="14">
        <v>1</v>
      </c>
      <c r="AN323" s="14">
        <f t="shared" si="550"/>
        <v>19</v>
      </c>
      <c r="AO323" s="14">
        <f>INDEX(属性投放!$DF$6:$DF$85,(卡牌属性!AG323-2)*20+卡牌属性!AN323)</f>
        <v>17934</v>
      </c>
      <c r="AP323" s="14">
        <f t="shared" si="612"/>
        <v>17934</v>
      </c>
      <c r="AQ323" s="14">
        <f t="shared" si="612"/>
        <v>17934</v>
      </c>
      <c r="AR323" s="14">
        <f t="shared" si="612"/>
        <v>17934</v>
      </c>
      <c r="AS323" s="14">
        <f t="shared" si="612"/>
        <v>17934</v>
      </c>
      <c r="AT323" s="14">
        <f>INDEX(属性投放!$DG$6:$DG$85,(卡牌属性!AG323-2)*20+卡牌属性!AN323)</f>
        <v>8921</v>
      </c>
      <c r="AU323" s="14">
        <f t="shared" si="613"/>
        <v>8921</v>
      </c>
      <c r="AV323" s="14">
        <f t="shared" si="613"/>
        <v>8921</v>
      </c>
      <c r="AW323" s="14">
        <f t="shared" si="613"/>
        <v>8921</v>
      </c>
      <c r="AX323" s="14">
        <f t="shared" si="613"/>
        <v>8921</v>
      </c>
      <c r="AY323" s="14">
        <f>INDEX(属性投放!$DH$6:$DH$85,(卡牌属性!AG323-2)*20+卡牌属性!AN323)</f>
        <v>171016</v>
      </c>
      <c r="AZ323" s="14">
        <f t="shared" si="614"/>
        <v>171016</v>
      </c>
      <c r="BA323" s="14">
        <f t="shared" si="614"/>
        <v>171016</v>
      </c>
      <c r="BB323" s="14">
        <f t="shared" si="614"/>
        <v>171016</v>
      </c>
      <c r="BC323" s="14">
        <f t="shared" si="614"/>
        <v>171016</v>
      </c>
      <c r="BD323" s="14">
        <f>INDEX(属性投放!$DL$6:$DL$85,(卡牌属性!AG323-2)*20+卡牌属性!AN323)</f>
        <v>462</v>
      </c>
      <c r="BE323" s="14">
        <f t="shared" si="615"/>
        <v>462</v>
      </c>
      <c r="BF323" s="14">
        <f t="shared" si="615"/>
        <v>462</v>
      </c>
      <c r="BG323" s="14">
        <f t="shared" si="615"/>
        <v>462</v>
      </c>
      <c r="BH323" s="14">
        <f t="shared" si="615"/>
        <v>462</v>
      </c>
      <c r="BI323" s="14">
        <f>INDEX(属性投放!$DM$6:$DM$85,(卡牌属性!AG323-2)*20+卡牌属性!AN323)</f>
        <v>231</v>
      </c>
      <c r="BJ323" s="14">
        <f t="shared" si="616"/>
        <v>231</v>
      </c>
      <c r="BK323" s="14">
        <f t="shared" si="616"/>
        <v>231</v>
      </c>
      <c r="BL323" s="14">
        <f t="shared" si="616"/>
        <v>231</v>
      </c>
      <c r="BM323" s="14">
        <f t="shared" si="616"/>
        <v>231</v>
      </c>
      <c r="BN323" s="14">
        <f>INDEX(属性投放!$DN$6:$DN$85,(卡牌属性!AG323-2)*20+卡牌属性!AN323)</f>
        <v>4620</v>
      </c>
      <c r="BO323" s="14">
        <f t="shared" si="617"/>
        <v>4620</v>
      </c>
      <c r="BP323" s="14">
        <f t="shared" si="617"/>
        <v>4620</v>
      </c>
      <c r="BQ323" s="14">
        <f t="shared" si="617"/>
        <v>4620</v>
      </c>
      <c r="BR323" s="14">
        <f t="shared" si="617"/>
        <v>4620</v>
      </c>
      <c r="BW323" s="13">
        <v>319</v>
      </c>
      <c r="BX323" s="13">
        <f t="shared" si="551"/>
        <v>16</v>
      </c>
      <c r="BY323" s="14">
        <f t="shared" si="552"/>
        <v>4</v>
      </c>
      <c r="BZ323" s="14">
        <f t="shared" si="561"/>
        <v>1102016</v>
      </c>
      <c r="CA323" s="14" t="str">
        <f t="shared" si="562"/>
        <v>西方龙19突</v>
      </c>
      <c r="CB323" s="25" t="s">
        <v>142</v>
      </c>
      <c r="CC323" s="14">
        <v>2</v>
      </c>
      <c r="CD323" s="14">
        <f t="shared" si="553"/>
        <v>19</v>
      </c>
      <c r="CE323" s="14" t="s">
        <v>21</v>
      </c>
      <c r="CF323" s="14">
        <f>INDEX(属性投放!$AZ$6:$AZ$85,(BY323-2)*20+CD323)</f>
        <v>22728</v>
      </c>
      <c r="CG323" s="14" t="s">
        <v>22</v>
      </c>
      <c r="CH323" s="14">
        <f>INDEX(属性投放!$BA$6:$BA$85,(BY323-2)*20+CD323)</f>
        <v>11319</v>
      </c>
      <c r="CI323" s="14" t="s">
        <v>510</v>
      </c>
      <c r="CJ323" s="14">
        <f>INDEX(属性投放!$BB$6:$BB$85,(BY323-2)*20+CD323)</f>
        <v>213603</v>
      </c>
      <c r="CK323" s="14" t="s">
        <v>21</v>
      </c>
      <c r="CL323" s="14">
        <f>INDEX(属性投放!$BC$6:$BC$85,(BY323-2)*20+CD323)</f>
        <v>75</v>
      </c>
      <c r="CM323" s="14" t="s">
        <v>22</v>
      </c>
      <c r="CN323" s="14">
        <f>INDEX(属性投放!$BD$6:$BD$85,(BY323-2)*20+CD323)</f>
        <v>38</v>
      </c>
      <c r="CO323" s="14" t="s">
        <v>510</v>
      </c>
      <c r="CP323" s="14">
        <f>INDEX(属性投放!$BE$6:$BE$85,(BY323-2)*20+CD323)</f>
        <v>750</v>
      </c>
      <c r="CS323" s="13">
        <v>319</v>
      </c>
      <c r="CT323" s="13">
        <f t="shared" si="563"/>
        <v>7</v>
      </c>
      <c r="CU323" s="13">
        <f t="shared" si="564"/>
        <v>7</v>
      </c>
      <c r="CV323" s="14">
        <f t="shared" si="565"/>
        <v>4</v>
      </c>
      <c r="CW323" s="14">
        <f t="shared" si="566"/>
        <v>1102007</v>
      </c>
      <c r="CX323" s="14" t="str">
        <f>INDEX($O$6:$O$50,CT323)&amp;"-"&amp;INDEX(属性投放!$AB$7:$AB$50,CZ323)&amp;"-魂火-"&amp;DB323</f>
        <v>天使缇娜-众合-魂火-2</v>
      </c>
      <c r="CY323" s="25" t="s">
        <v>142</v>
      </c>
      <c r="CZ323" s="14">
        <f>INDEX(属性投放!$AM$7:$AM$58,CU323)</f>
        <v>4</v>
      </c>
      <c r="DA323" s="14" t="s">
        <v>537</v>
      </c>
      <c r="DB323" s="14">
        <f>INDEX(属性投放!$AN$7:$AN$58,CU323)</f>
        <v>2</v>
      </c>
      <c r="DC323" s="14">
        <f t="shared" si="554"/>
        <v>7</v>
      </c>
      <c r="DD323" s="14">
        <f>INDEX(属性投放!$AO$7:$AO$58,DC323)</f>
        <v>33</v>
      </c>
      <c r="DE323" s="14" t="s">
        <v>538</v>
      </c>
      <c r="DF323" s="14">
        <f>INDEX(属性投放!$BK$6:$BK$85,(CV323-2)*20+CZ323)</f>
        <v>45</v>
      </c>
      <c r="DG323" s="14">
        <f>SUMIFS(DF$5:DF323,$CT$5:$CT323,"="&amp;$CT323)</f>
        <v>245</v>
      </c>
      <c r="DH323" s="14" t="s">
        <v>539</v>
      </c>
      <c r="DI323" s="14">
        <f>INDEX(属性投放!$BL$6:$BL$85,(CV323-2)*20+CZ323)</f>
        <v>23</v>
      </c>
      <c r="DJ323" s="14">
        <f>SUMIFS(DI$5:DI323,$CT$5:$CT323,"="&amp;$CT323)</f>
        <v>125</v>
      </c>
      <c r="DK323" s="14" t="s">
        <v>540</v>
      </c>
      <c r="DL323" s="14">
        <f>INDEX(属性投放!$BM$6:$BM$85,(CV323-2)*20+CZ323)</f>
        <v>315</v>
      </c>
      <c r="DM323" s="14">
        <f>SUMIFS(DL$5:DL323,$CT$5:$CT323,"="&amp;$CT323)</f>
        <v>1560</v>
      </c>
      <c r="DR323" s="14">
        <f t="shared" si="555"/>
        <v>1102016</v>
      </c>
      <c r="DS323" s="14" t="str">
        <f t="shared" si="556"/>
        <v>西方龙19突</v>
      </c>
      <c r="DT323" s="14">
        <f t="shared" si="567"/>
        <v>6</v>
      </c>
      <c r="DU323" s="14">
        <f t="shared" si="568"/>
        <v>7</v>
      </c>
      <c r="DV323" s="14">
        <f t="shared" si="569"/>
        <v>8</v>
      </c>
      <c r="DW323" s="14">
        <f t="shared" si="557"/>
        <v>4</v>
      </c>
      <c r="DX323" s="14">
        <f t="shared" si="558"/>
        <v>19</v>
      </c>
      <c r="DY323" s="14">
        <f t="shared" si="559"/>
        <v>59</v>
      </c>
      <c r="DZ323" s="14">
        <f>INDEX(属性投放!$AX$6:$AX$85,(卡牌属性!DW323-2)*20+卡牌属性!DX323)</f>
        <v>8</v>
      </c>
      <c r="EA323" s="14">
        <f>INDEX(属性投放!BQ$6:BQ$85,卡牌属性!$DY323)</f>
        <v>1500</v>
      </c>
      <c r="EB323" s="14">
        <f>INDEX(属性投放!BR$6:BR$85,卡牌属性!$DY323)</f>
        <v>750</v>
      </c>
      <c r="EC323" s="14">
        <f>INDEX(属性投放!BS$6:BS$85,卡牌属性!$DY323)</f>
        <v>15000</v>
      </c>
      <c r="ED323" s="14">
        <f t="shared" si="618"/>
        <v>9834</v>
      </c>
      <c r="EE323" s="14">
        <f t="shared" si="619"/>
        <v>11093</v>
      </c>
      <c r="EF323" s="14">
        <f t="shared" si="620"/>
        <v>11730</v>
      </c>
      <c r="EG323" s="14">
        <f t="shared" si="621"/>
        <v>11730</v>
      </c>
      <c r="EH323" s="14">
        <f t="shared" si="622"/>
        <v>12505</v>
      </c>
      <c r="EI323" s="14">
        <f t="shared" si="623"/>
        <v>5517</v>
      </c>
      <c r="EJ323" s="14">
        <f t="shared" si="624"/>
        <v>5851</v>
      </c>
      <c r="EK323" s="14">
        <f t="shared" si="625"/>
        <v>5851</v>
      </c>
      <c r="EL323" s="14">
        <f t="shared" si="626"/>
        <v>6228</v>
      </c>
      <c r="EM323" s="14">
        <f t="shared" si="627"/>
        <v>7153</v>
      </c>
      <c r="EN323" s="14">
        <f t="shared" si="628"/>
        <v>107362</v>
      </c>
      <c r="EO323" s="14">
        <f t="shared" si="629"/>
        <v>114160</v>
      </c>
      <c r="EP323" s="14">
        <f t="shared" si="630"/>
        <v>114160</v>
      </c>
      <c r="EQ323" s="14">
        <f t="shared" si="631"/>
        <v>130620</v>
      </c>
      <c r="ER323" s="14">
        <f t="shared" si="632"/>
        <v>156520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INDEX(属性投放!$BQ$6:$BQ$85,(卡牌属性!$DW323-2)*20+卡牌属性!$DX323)</f>
        <v>1500</v>
      </c>
      <c r="FI323" s="14">
        <f>INDEX(属性投放!$BQ$6:$BQ$85,(卡牌属性!$DW323-2)*20+卡牌属性!$DX323)</f>
        <v>1500</v>
      </c>
      <c r="FJ323" s="14">
        <f>INDEX(属性投放!$BQ$6:$BQ$85,(卡牌属性!$DW323-2)*20+卡牌属性!$DX323)</f>
        <v>1500</v>
      </c>
      <c r="FK323" s="14">
        <f>INDEX(属性投放!$BQ$6:$BQ$85,(卡牌属性!$DW323-2)*20+卡牌属性!$DX323)</f>
        <v>1500</v>
      </c>
      <c r="FL323" s="14">
        <f>INDEX(属性投放!$BQ$6:$BQ$85,(卡牌属性!$DW323-2)*20+卡牌属性!$DX323)</f>
        <v>1500</v>
      </c>
      <c r="FM323" s="14">
        <f>INDEX(属性投放!$BR$6:$BR$85,(卡牌属性!$DW323-2)*20+卡牌属性!$DX323)</f>
        <v>750</v>
      </c>
      <c r="FN323" s="14">
        <f>INDEX(属性投放!$BR$6:$BR$85,(卡牌属性!$DW323-2)*20+卡牌属性!$DX323)</f>
        <v>750</v>
      </c>
      <c r="FO323" s="14">
        <f>INDEX(属性投放!$BR$6:$BR$85,(卡牌属性!$DW323-2)*20+卡牌属性!$DX323)</f>
        <v>750</v>
      </c>
      <c r="FP323" s="14">
        <f>INDEX(属性投放!$BR$6:$BR$85,(卡牌属性!$DW323-2)*20+卡牌属性!$DX323)</f>
        <v>750</v>
      </c>
      <c r="FQ323" s="14">
        <f>INDEX(属性投放!$BR$6:$BR$85,(卡牌属性!$DW323-2)*20+卡牌属性!$DX323)</f>
        <v>750</v>
      </c>
      <c r="FR323" s="14">
        <f>INDEX(属性投放!$BS$6:$BS$85,(卡牌属性!$DW323-2)*20+卡牌属性!$DX323)</f>
        <v>15000</v>
      </c>
      <c r="FS323" s="14">
        <f>INDEX(属性投放!$BS$6:$BS$85,(卡牌属性!$DW323-2)*20+卡牌属性!$DX323)</f>
        <v>15000</v>
      </c>
      <c r="FT323" s="14">
        <f>INDEX(属性投放!$BS$6:$BS$85,(卡牌属性!$DW323-2)*20+卡牌属性!$DX323)</f>
        <v>15000</v>
      </c>
      <c r="FU323" s="14">
        <f>INDEX(属性投放!$BS$6:$BS$85,(卡牌属性!$DW323-2)*20+卡牌属性!$DX323)</f>
        <v>15000</v>
      </c>
      <c r="FV323" s="14">
        <f>INDEX(属性投放!$BS$6:$BS$85,(卡牌属性!$DW323-2)*20+卡牌属性!$DX323)</f>
        <v>15000</v>
      </c>
    </row>
    <row r="324" spans="31:178" ht="16.5" x14ac:dyDescent="0.2">
      <c r="AE324" s="13">
        <v>320</v>
      </c>
      <c r="AF324" s="13">
        <f t="shared" si="560"/>
        <v>16</v>
      </c>
      <c r="AG324" s="13">
        <f t="shared" si="547"/>
        <v>2</v>
      </c>
      <c r="AH324" s="13"/>
      <c r="AI324" s="13"/>
      <c r="AJ324" s="14">
        <f t="shared" si="548"/>
        <v>1101041</v>
      </c>
      <c r="AK324" s="14" t="str">
        <f t="shared" si="549"/>
        <v>常服夏玲20突</v>
      </c>
      <c r="AL324" s="25" t="s">
        <v>142</v>
      </c>
      <c r="AM324" s="14">
        <v>1</v>
      </c>
      <c r="AN324" s="14">
        <f t="shared" si="550"/>
        <v>20</v>
      </c>
      <c r="AO324" s="14">
        <f>INDEX(属性投放!$DF$6:$DF$85,(卡牌属性!AG324-2)*20+卡牌属性!AN324)</f>
        <v>18924</v>
      </c>
      <c r="AP324" s="14">
        <f t="shared" si="612"/>
        <v>18924</v>
      </c>
      <c r="AQ324" s="14">
        <f t="shared" si="612"/>
        <v>18924</v>
      </c>
      <c r="AR324" s="14">
        <f t="shared" si="612"/>
        <v>18924</v>
      </c>
      <c r="AS324" s="14">
        <f t="shared" si="612"/>
        <v>18924</v>
      </c>
      <c r="AT324" s="14">
        <f>INDEX(属性投放!$DG$6:$DG$85,(卡牌属性!AG324-2)*20+卡牌属性!AN324)</f>
        <v>9417</v>
      </c>
      <c r="AU324" s="14">
        <f t="shared" si="613"/>
        <v>9417</v>
      </c>
      <c r="AV324" s="14">
        <f t="shared" si="613"/>
        <v>9417</v>
      </c>
      <c r="AW324" s="14">
        <f t="shared" si="613"/>
        <v>9417</v>
      </c>
      <c r="AX324" s="14">
        <f t="shared" si="613"/>
        <v>9417</v>
      </c>
      <c r="AY324" s="14">
        <f>INDEX(属性投放!$DH$6:$DH$85,(卡牌属性!AG324-2)*20+卡牌属性!AN324)</f>
        <v>180916</v>
      </c>
      <c r="AZ324" s="14">
        <f t="shared" si="614"/>
        <v>180916</v>
      </c>
      <c r="BA324" s="14">
        <f t="shared" si="614"/>
        <v>180916</v>
      </c>
      <c r="BB324" s="14">
        <f t="shared" si="614"/>
        <v>180916</v>
      </c>
      <c r="BC324" s="14">
        <f t="shared" si="614"/>
        <v>180916</v>
      </c>
      <c r="BD324" s="14">
        <f>INDEX(属性投放!$DL$6:$DL$85,(卡牌属性!AG324-2)*20+卡牌属性!AN324)</f>
        <v>462</v>
      </c>
      <c r="BE324" s="14">
        <f t="shared" si="615"/>
        <v>462</v>
      </c>
      <c r="BF324" s="14">
        <f t="shared" si="615"/>
        <v>462</v>
      </c>
      <c r="BG324" s="14">
        <f t="shared" si="615"/>
        <v>462</v>
      </c>
      <c r="BH324" s="14">
        <f t="shared" si="615"/>
        <v>462</v>
      </c>
      <c r="BI324" s="14">
        <f>INDEX(属性投放!$DM$6:$DM$85,(卡牌属性!AG324-2)*20+卡牌属性!AN324)</f>
        <v>231</v>
      </c>
      <c r="BJ324" s="14">
        <f t="shared" si="616"/>
        <v>231</v>
      </c>
      <c r="BK324" s="14">
        <f t="shared" si="616"/>
        <v>231</v>
      </c>
      <c r="BL324" s="14">
        <f t="shared" si="616"/>
        <v>231</v>
      </c>
      <c r="BM324" s="14">
        <f t="shared" si="616"/>
        <v>231</v>
      </c>
      <c r="BN324" s="14">
        <f>INDEX(属性投放!$DN$6:$DN$85,(卡牌属性!AG324-2)*20+卡牌属性!AN324)</f>
        <v>4620</v>
      </c>
      <c r="BO324" s="14">
        <f t="shared" si="617"/>
        <v>4620</v>
      </c>
      <c r="BP324" s="14">
        <f t="shared" si="617"/>
        <v>4620</v>
      </c>
      <c r="BQ324" s="14">
        <f t="shared" si="617"/>
        <v>4620</v>
      </c>
      <c r="BR324" s="14">
        <f t="shared" si="617"/>
        <v>4620</v>
      </c>
      <c r="BW324" s="13">
        <v>320</v>
      </c>
      <c r="BX324" s="13">
        <f t="shared" si="551"/>
        <v>16</v>
      </c>
      <c r="BY324" s="14">
        <f t="shared" si="552"/>
        <v>4</v>
      </c>
      <c r="BZ324" s="14">
        <f t="shared" si="561"/>
        <v>1102016</v>
      </c>
      <c r="CA324" s="14" t="str">
        <f t="shared" si="562"/>
        <v>西方龙20突</v>
      </c>
      <c r="CB324" s="25" t="s">
        <v>142</v>
      </c>
      <c r="CC324" s="14">
        <v>2</v>
      </c>
      <c r="CD324" s="14">
        <f t="shared" si="553"/>
        <v>20</v>
      </c>
      <c r="CE324" s="14" t="s">
        <v>21</v>
      </c>
      <c r="CF324" s="14">
        <f>INDEX(属性投放!$AZ$6:$AZ$85,(BY324-2)*20+CD324)</f>
        <v>27528</v>
      </c>
      <c r="CG324" s="14" t="s">
        <v>22</v>
      </c>
      <c r="CH324" s="14">
        <f>INDEX(属性投放!$BA$6:$BA$85,(BY324-2)*20+CD324)</f>
        <v>13723</v>
      </c>
      <c r="CI324" s="14" t="s">
        <v>510</v>
      </c>
      <c r="CJ324" s="14">
        <f>INDEX(属性投放!$BB$6:$BB$85,(BY324-2)*20+CD324)</f>
        <v>261603</v>
      </c>
      <c r="CK324" s="14" t="s">
        <v>21</v>
      </c>
      <c r="CL324" s="14">
        <f>INDEX(属性投放!$BC$6:$BC$85,(BY324-2)*20+CD324)</f>
        <v>75</v>
      </c>
      <c r="CM324" s="14" t="s">
        <v>22</v>
      </c>
      <c r="CN324" s="14">
        <f>INDEX(属性投放!$BD$6:$BD$85,(BY324-2)*20+CD324)</f>
        <v>38</v>
      </c>
      <c r="CO324" s="14" t="s">
        <v>510</v>
      </c>
      <c r="CP324" s="14">
        <f>INDEX(属性投放!$BE$6:$BE$85,(BY324-2)*20+CD324)</f>
        <v>750</v>
      </c>
      <c r="CS324" s="13">
        <v>320</v>
      </c>
      <c r="CT324" s="13">
        <f t="shared" si="563"/>
        <v>7</v>
      </c>
      <c r="CU324" s="13">
        <f t="shared" si="564"/>
        <v>8</v>
      </c>
      <c r="CV324" s="14">
        <f t="shared" si="565"/>
        <v>4</v>
      </c>
      <c r="CW324" s="14">
        <f t="shared" si="566"/>
        <v>1102007</v>
      </c>
      <c r="CX324" s="14" t="str">
        <f>INDEX($O$6:$O$50,CT324)&amp;"-"&amp;INDEX(属性投放!$AB$7:$AB$50,CZ324)&amp;"-魂火-"&amp;DB324</f>
        <v>天使缇娜-众合+1-魂火-1</v>
      </c>
      <c r="CY324" s="25" t="s">
        <v>142</v>
      </c>
      <c r="CZ324" s="14">
        <f>INDEX(属性投放!$AM$7:$AM$58,CU324)</f>
        <v>5</v>
      </c>
      <c r="DA324" s="14" t="s">
        <v>537</v>
      </c>
      <c r="DB324" s="14">
        <f>INDEX(属性投放!$AN$7:$AN$58,CU324)</f>
        <v>1</v>
      </c>
      <c r="DC324" s="14">
        <f t="shared" si="554"/>
        <v>8</v>
      </c>
      <c r="DD324" s="14">
        <f>INDEX(属性投放!$AO$7:$AO$58,DC324)</f>
        <v>38</v>
      </c>
      <c r="DE324" s="14" t="s">
        <v>538</v>
      </c>
      <c r="DF324" s="14">
        <f>INDEX(属性投放!$BK$6:$BK$85,(CV324-2)*20+CZ324)</f>
        <v>55</v>
      </c>
      <c r="DG324" s="14">
        <f>SUMIFS(DF$5:DF324,$CT$5:$CT324,"="&amp;$CT324)</f>
        <v>300</v>
      </c>
      <c r="DH324" s="14" t="s">
        <v>539</v>
      </c>
      <c r="DI324" s="14">
        <f>INDEX(属性投放!$BL$6:$BL$85,(CV324-2)*20+CZ324)</f>
        <v>28</v>
      </c>
      <c r="DJ324" s="14">
        <f>SUMIFS(DI$5:DI324,$CT$5:$CT324,"="&amp;$CT324)</f>
        <v>153</v>
      </c>
      <c r="DK324" s="14" t="s">
        <v>540</v>
      </c>
      <c r="DL324" s="14">
        <f>INDEX(属性投放!$BM$6:$BM$85,(CV324-2)*20+CZ324)</f>
        <v>385</v>
      </c>
      <c r="DM324" s="14">
        <f>SUMIFS(DL$5:DL324,$CT$5:$CT324,"="&amp;$CT324)</f>
        <v>1945</v>
      </c>
      <c r="DR324" s="14">
        <f t="shared" si="555"/>
        <v>1102016</v>
      </c>
      <c r="DS324" s="14" t="str">
        <f t="shared" si="556"/>
        <v>西方龙20突</v>
      </c>
      <c r="DT324" s="14">
        <f t="shared" si="567"/>
        <v>6</v>
      </c>
      <c r="DU324" s="14">
        <f t="shared" si="568"/>
        <v>7</v>
      </c>
      <c r="DV324" s="14">
        <f t="shared" si="569"/>
        <v>8</v>
      </c>
      <c r="DW324" s="14">
        <f t="shared" si="557"/>
        <v>4</v>
      </c>
      <c r="DX324" s="14">
        <f t="shared" si="558"/>
        <v>20</v>
      </c>
      <c r="DY324" s="14">
        <f t="shared" si="559"/>
        <v>60</v>
      </c>
      <c r="DZ324" s="14">
        <f>INDEX(属性投放!$AX$6:$AX$85,(卡牌属性!DW324-2)*20+卡牌属性!DX324)</f>
        <v>10</v>
      </c>
      <c r="EA324" s="14">
        <f>INDEX(属性投放!BQ$6:BQ$85,卡牌属性!$DY324)</f>
        <v>1500</v>
      </c>
      <c r="EB324" s="14">
        <f>INDEX(属性投放!BR$6:BR$85,卡牌属性!$DY324)</f>
        <v>750</v>
      </c>
      <c r="EC324" s="14">
        <f>INDEX(属性投放!BS$6:BS$85,卡牌属性!$DY324)</f>
        <v>15000</v>
      </c>
      <c r="ED324" s="14">
        <f t="shared" si="618"/>
        <v>11694</v>
      </c>
      <c r="EE324" s="14">
        <f t="shared" si="619"/>
        <v>13193</v>
      </c>
      <c r="EF324" s="14">
        <f t="shared" si="620"/>
        <v>13870</v>
      </c>
      <c r="EG324" s="14">
        <f t="shared" si="621"/>
        <v>13870</v>
      </c>
      <c r="EH324" s="14">
        <f t="shared" si="622"/>
        <v>14805</v>
      </c>
      <c r="EI324" s="14">
        <f t="shared" si="623"/>
        <v>6571</v>
      </c>
      <c r="EJ324" s="14">
        <f t="shared" si="624"/>
        <v>6921</v>
      </c>
      <c r="EK324" s="14">
        <f t="shared" si="625"/>
        <v>6921</v>
      </c>
      <c r="EL324" s="14">
        <f t="shared" si="626"/>
        <v>7378</v>
      </c>
      <c r="EM324" s="14">
        <f t="shared" si="627"/>
        <v>8503</v>
      </c>
      <c r="EN324" s="14">
        <f t="shared" si="628"/>
        <v>128762</v>
      </c>
      <c r="EO324" s="14">
        <f t="shared" si="629"/>
        <v>137160</v>
      </c>
      <c r="EP324" s="14">
        <f t="shared" si="630"/>
        <v>137160</v>
      </c>
      <c r="EQ324" s="14">
        <f t="shared" si="631"/>
        <v>157620</v>
      </c>
      <c r="ER324" s="14">
        <f t="shared" si="632"/>
        <v>187520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INDEX(属性投放!$BQ$6:$BQ$85,(卡牌属性!$DW324-2)*20+卡牌属性!$DX324)</f>
        <v>1500</v>
      </c>
      <c r="FI324" s="14">
        <f>INDEX(属性投放!$BQ$6:$BQ$85,(卡牌属性!$DW324-2)*20+卡牌属性!$DX324)</f>
        <v>1500</v>
      </c>
      <c r="FJ324" s="14">
        <f>INDEX(属性投放!$BQ$6:$BQ$85,(卡牌属性!$DW324-2)*20+卡牌属性!$DX324)</f>
        <v>1500</v>
      </c>
      <c r="FK324" s="14">
        <f>INDEX(属性投放!$BQ$6:$BQ$85,(卡牌属性!$DW324-2)*20+卡牌属性!$DX324)</f>
        <v>1500</v>
      </c>
      <c r="FL324" s="14">
        <f>INDEX(属性投放!$BQ$6:$BQ$85,(卡牌属性!$DW324-2)*20+卡牌属性!$DX324)</f>
        <v>1500</v>
      </c>
      <c r="FM324" s="14">
        <f>INDEX(属性投放!$BR$6:$BR$85,(卡牌属性!$DW324-2)*20+卡牌属性!$DX324)</f>
        <v>750</v>
      </c>
      <c r="FN324" s="14">
        <f>INDEX(属性投放!$BR$6:$BR$85,(卡牌属性!$DW324-2)*20+卡牌属性!$DX324)</f>
        <v>750</v>
      </c>
      <c r="FO324" s="14">
        <f>INDEX(属性投放!$BR$6:$BR$85,(卡牌属性!$DW324-2)*20+卡牌属性!$DX324)</f>
        <v>750</v>
      </c>
      <c r="FP324" s="14">
        <f>INDEX(属性投放!$BR$6:$BR$85,(卡牌属性!$DW324-2)*20+卡牌属性!$DX324)</f>
        <v>750</v>
      </c>
      <c r="FQ324" s="14">
        <f>INDEX(属性投放!$BR$6:$BR$85,(卡牌属性!$DW324-2)*20+卡牌属性!$DX324)</f>
        <v>750</v>
      </c>
      <c r="FR324" s="14">
        <f>INDEX(属性投放!$BS$6:$BS$85,(卡牌属性!$DW324-2)*20+卡牌属性!$DX324)</f>
        <v>15000</v>
      </c>
      <c r="FS324" s="14">
        <f>INDEX(属性投放!$BS$6:$BS$85,(卡牌属性!$DW324-2)*20+卡牌属性!$DX324)</f>
        <v>15000</v>
      </c>
      <c r="FT324" s="14">
        <f>INDEX(属性投放!$BS$6:$BS$85,(卡牌属性!$DW324-2)*20+卡牌属性!$DX324)</f>
        <v>15000</v>
      </c>
      <c r="FU324" s="14">
        <f>INDEX(属性投放!$BS$6:$BS$85,(卡牌属性!$DW324-2)*20+卡牌属性!$DX324)</f>
        <v>15000</v>
      </c>
      <c r="FV324" s="14">
        <f>INDEX(属性投放!$BS$6:$BS$85,(卡牌属性!$DW324-2)*20+卡牌属性!$DX324)</f>
        <v>15000</v>
      </c>
    </row>
    <row r="325" spans="31:178" ht="16.5" x14ac:dyDescent="0.2">
      <c r="AE325" s="13">
        <v>321</v>
      </c>
      <c r="AF325" s="13">
        <f t="shared" si="560"/>
        <v>17</v>
      </c>
      <c r="AG325" s="13">
        <f t="shared" ref="AG325:AG388" si="633">INDEX($D$6:$D$43,AF325)</f>
        <v>4</v>
      </c>
      <c r="AH325" s="13"/>
      <c r="AI325" s="13"/>
      <c r="AJ325" s="14">
        <f t="shared" ref="AJ325:AJ388" si="634">INDEX($A$5:$A$43,AF325+1)</f>
        <v>1101016</v>
      </c>
      <c r="AK325" s="14" t="str">
        <f t="shared" ref="AK325:AK388" si="635">INDEX($B$5:$B$43,MATCH(AJ325,$A$5:$A$43,0))&amp;AN325&amp;"突"</f>
        <v>秦王攻1突</v>
      </c>
      <c r="AL325" s="25" t="s">
        <v>142</v>
      </c>
      <c r="AM325" s="14">
        <v>1</v>
      </c>
      <c r="AN325" s="14">
        <f t="shared" ref="AN325:AN388" si="636">AE325-INDEX($F$5:$F$43,AF325)</f>
        <v>1</v>
      </c>
      <c r="AO325" s="14">
        <f>INDEX(属性投放!$DF$6:$DF$85,(卡牌属性!AG325-2)*20+卡牌属性!AN325)</f>
        <v>200</v>
      </c>
      <c r="AP325" s="14">
        <f t="shared" ref="AP325:AS344" si="637">$AO325</f>
        <v>200</v>
      </c>
      <c r="AQ325" s="14">
        <f t="shared" si="637"/>
        <v>200</v>
      </c>
      <c r="AR325" s="14">
        <f t="shared" si="637"/>
        <v>200</v>
      </c>
      <c r="AS325" s="14">
        <f t="shared" si="637"/>
        <v>200</v>
      </c>
      <c r="AT325" s="14">
        <f>INDEX(属性投放!$DG$6:$DG$85,(卡牌属性!AG325-2)*20+卡牌属性!AN325)</f>
        <v>20</v>
      </c>
      <c r="AU325" s="14">
        <f t="shared" ref="AU325:AX344" si="638">$AT325</f>
        <v>20</v>
      </c>
      <c r="AV325" s="14">
        <f t="shared" si="638"/>
        <v>20</v>
      </c>
      <c r="AW325" s="14">
        <f t="shared" si="638"/>
        <v>20</v>
      </c>
      <c r="AX325" s="14">
        <f t="shared" si="638"/>
        <v>20</v>
      </c>
      <c r="AY325" s="14">
        <f>INDEX(属性投放!$DH$6:$DH$85,(卡牌属性!AG325-2)*20+卡牌属性!AN325)</f>
        <v>625</v>
      </c>
      <c r="AZ325" s="14">
        <f t="shared" ref="AZ325:BC344" si="639">$AY325</f>
        <v>625</v>
      </c>
      <c r="BA325" s="14">
        <f t="shared" si="639"/>
        <v>625</v>
      </c>
      <c r="BB325" s="14">
        <f t="shared" si="639"/>
        <v>625</v>
      </c>
      <c r="BC325" s="14">
        <f t="shared" si="639"/>
        <v>625</v>
      </c>
      <c r="BD325" s="14">
        <f>INDEX(属性投放!$DL$6:$DL$85,(卡牌属性!AG325-2)*20+卡牌属性!AN325)</f>
        <v>11</v>
      </c>
      <c r="BE325" s="14">
        <f t="shared" ref="BE325:BH344" si="640">$BD325</f>
        <v>11</v>
      </c>
      <c r="BF325" s="14">
        <f t="shared" si="640"/>
        <v>11</v>
      </c>
      <c r="BG325" s="14">
        <f t="shared" si="640"/>
        <v>11</v>
      </c>
      <c r="BH325" s="14">
        <f t="shared" si="640"/>
        <v>11</v>
      </c>
      <c r="BI325" s="14">
        <f>INDEX(属性投放!$DM$6:$DM$85,(卡牌属性!AG325-2)*20+卡牌属性!AN325)</f>
        <v>6</v>
      </c>
      <c r="BJ325" s="14">
        <f t="shared" ref="BJ325:BM344" si="641">$BI325</f>
        <v>6</v>
      </c>
      <c r="BK325" s="14">
        <f t="shared" si="641"/>
        <v>6</v>
      </c>
      <c r="BL325" s="14">
        <f t="shared" si="641"/>
        <v>6</v>
      </c>
      <c r="BM325" s="14">
        <f t="shared" si="641"/>
        <v>6</v>
      </c>
      <c r="BN325" s="14">
        <f>INDEX(属性投放!$DN$6:$DN$85,(卡牌属性!AG325-2)*20+卡牌属性!AN325)</f>
        <v>65</v>
      </c>
      <c r="BO325" s="14">
        <f t="shared" ref="BO325:BR344" si="642">$BN325</f>
        <v>65</v>
      </c>
      <c r="BP325" s="14">
        <f t="shared" si="642"/>
        <v>65</v>
      </c>
      <c r="BQ325" s="14">
        <f t="shared" si="642"/>
        <v>65</v>
      </c>
      <c r="BR325" s="14">
        <f t="shared" si="642"/>
        <v>65</v>
      </c>
      <c r="BW325" s="13">
        <v>321</v>
      </c>
      <c r="BX325" s="13">
        <f t="shared" ref="BX325:BX388" si="643">MATCH(BW325-1,$S$5:$S$43,1)</f>
        <v>17</v>
      </c>
      <c r="BY325" s="14">
        <f t="shared" ref="BY325:BY388" si="644">INDEX($Q$6:$Q$43,BX325)</f>
        <v>3</v>
      </c>
      <c r="BZ325" s="14">
        <f t="shared" si="561"/>
        <v>1102017</v>
      </c>
      <c r="CA325" s="14" t="str">
        <f t="shared" si="562"/>
        <v>飞廉1突</v>
      </c>
      <c r="CB325" s="25" t="s">
        <v>142</v>
      </c>
      <c r="CC325" s="14">
        <v>2</v>
      </c>
      <c r="CD325" s="14">
        <f t="shared" ref="CD325:CD388" si="645">BW325-INDEX($S$5:$S$43,BX325)</f>
        <v>1</v>
      </c>
      <c r="CE325" s="14" t="s">
        <v>21</v>
      </c>
      <c r="CF325" s="14">
        <f>INDEX(属性投放!$AZ$6:$AZ$85,(BY325-2)*20+CD325)</f>
        <v>150</v>
      </c>
      <c r="CG325" s="14" t="s">
        <v>22</v>
      </c>
      <c r="CH325" s="14">
        <f>INDEX(属性投放!$BA$6:$BA$85,(BY325-2)*20+CD325)</f>
        <v>10</v>
      </c>
      <c r="CI325" s="14" t="s">
        <v>510</v>
      </c>
      <c r="CJ325" s="14">
        <f>INDEX(属性投放!$BB$6:$BB$85,(BY325-2)*20+CD325)</f>
        <v>500</v>
      </c>
      <c r="CK325" s="14" t="s">
        <v>21</v>
      </c>
      <c r="CL325" s="14">
        <f>INDEX(属性投放!$BC$6:$BC$85,(BY325-2)*20+CD325)</f>
        <v>8</v>
      </c>
      <c r="CM325" s="14" t="s">
        <v>22</v>
      </c>
      <c r="CN325" s="14">
        <f>INDEX(属性投放!$BD$6:$BD$85,(BY325-2)*20+CD325)</f>
        <v>4</v>
      </c>
      <c r="CO325" s="14" t="s">
        <v>510</v>
      </c>
      <c r="CP325" s="14">
        <f>INDEX(属性投放!$BE$6:$BE$85,(BY325-2)*20+CD325)</f>
        <v>48</v>
      </c>
      <c r="CS325" s="13">
        <v>321</v>
      </c>
      <c r="CT325" s="13">
        <f t="shared" si="563"/>
        <v>7</v>
      </c>
      <c r="CU325" s="13">
        <f t="shared" si="564"/>
        <v>9</v>
      </c>
      <c r="CV325" s="14">
        <f t="shared" si="565"/>
        <v>4</v>
      </c>
      <c r="CW325" s="14">
        <f t="shared" si="566"/>
        <v>1102007</v>
      </c>
      <c r="CX325" s="14" t="str">
        <f>INDEX($O$6:$O$50,CT325)&amp;"-"&amp;INDEX(属性投放!$AB$7:$AB$50,CZ325)&amp;"-魂火-"&amp;DB325</f>
        <v>天使缇娜-众合+1-魂火-2</v>
      </c>
      <c r="CY325" s="25" t="s">
        <v>142</v>
      </c>
      <c r="CZ325" s="14">
        <f>INDEX(属性投放!$AM$7:$AM$58,CU325)</f>
        <v>5</v>
      </c>
      <c r="DA325" s="14" t="s">
        <v>537</v>
      </c>
      <c r="DB325" s="14">
        <f>INDEX(属性投放!$AN$7:$AN$58,CU325)</f>
        <v>2</v>
      </c>
      <c r="DC325" s="14">
        <f t="shared" ref="DC325:DC388" si="646">CU325</f>
        <v>9</v>
      </c>
      <c r="DD325" s="14">
        <f>INDEX(属性投放!$AO$7:$AO$58,DC325)</f>
        <v>40</v>
      </c>
      <c r="DE325" s="14" t="s">
        <v>538</v>
      </c>
      <c r="DF325" s="14">
        <f>INDEX(属性投放!$BK$6:$BK$85,(CV325-2)*20+CZ325)</f>
        <v>55</v>
      </c>
      <c r="DG325" s="14">
        <f>SUMIFS(DF$5:DF325,$CT$5:$CT325,"="&amp;$CT325)</f>
        <v>355</v>
      </c>
      <c r="DH325" s="14" t="s">
        <v>539</v>
      </c>
      <c r="DI325" s="14">
        <f>INDEX(属性投放!$BL$6:$BL$85,(CV325-2)*20+CZ325)</f>
        <v>28</v>
      </c>
      <c r="DJ325" s="14">
        <f>SUMIFS(DI$5:DI325,$CT$5:$CT325,"="&amp;$CT325)</f>
        <v>181</v>
      </c>
      <c r="DK325" s="14" t="s">
        <v>540</v>
      </c>
      <c r="DL325" s="14">
        <f>INDEX(属性投放!$BM$6:$BM$85,(CV325-2)*20+CZ325)</f>
        <v>385</v>
      </c>
      <c r="DM325" s="14">
        <f>SUMIFS(DL$5:DL325,$CT$5:$CT325,"="&amp;$CT325)</f>
        <v>2330</v>
      </c>
      <c r="DR325" s="14">
        <f t="shared" ref="DR325:DR388" si="647">BZ325</f>
        <v>1102017</v>
      </c>
      <c r="DS325" s="14" t="str">
        <f t="shared" ref="DS325:DS388" si="648">CA325</f>
        <v>飞廉1突</v>
      </c>
      <c r="DT325" s="14">
        <f t="shared" si="567"/>
        <v>6</v>
      </c>
      <c r="DU325" s="14">
        <f t="shared" si="568"/>
        <v>6</v>
      </c>
      <c r="DV325" s="14">
        <f t="shared" si="569"/>
        <v>4</v>
      </c>
      <c r="DW325" s="14">
        <f t="shared" ref="DW325:DW388" si="649">BY325</f>
        <v>3</v>
      </c>
      <c r="DX325" s="14">
        <f t="shared" ref="DX325:DX388" si="650">CD325</f>
        <v>1</v>
      </c>
      <c r="DY325" s="14">
        <f t="shared" ref="DY325:DY388" si="651">(DW325-2)*20+DX325</f>
        <v>21</v>
      </c>
      <c r="DZ325" s="14">
        <f>INDEX(属性投放!$AX$6:$AX$85,(卡牌属性!DW325-2)*20+卡牌属性!DX325)</f>
        <v>4</v>
      </c>
      <c r="EA325" s="14">
        <f>INDEX(属性投放!BQ$6:BQ$85,卡牌属性!$DY325)</f>
        <v>30</v>
      </c>
      <c r="EB325" s="14">
        <f>INDEX(属性投放!BR$6:BR$85,卡牌属性!$DY325)</f>
        <v>15</v>
      </c>
      <c r="EC325" s="14">
        <f>INDEX(属性投放!BS$6:BS$85,卡牌属性!$DY325)</f>
        <v>180</v>
      </c>
      <c r="ED325" s="14">
        <f>INDEX(属性偏向!$I$4:$I$15,卡牌属性!$DT325+ED$3)</f>
        <v>175</v>
      </c>
      <c r="EE325" s="14">
        <f>INDEX(属性偏向!$I$4:$I$15,卡牌属性!$DT325+EE$3)</f>
        <v>200</v>
      </c>
      <c r="EF325" s="14">
        <f>INDEX(属性偏向!$I$4:$I$15,卡牌属性!$DT325+EF$3)</f>
        <v>250</v>
      </c>
      <c r="EG325" s="14">
        <f>INDEX(属性偏向!$I$4:$I$15,卡牌属性!$DT325+EG$3)</f>
        <v>250</v>
      </c>
      <c r="EH325" s="14">
        <f>INDEX(属性偏向!$I$4:$I$15,卡牌属性!$DT325+EH$3)</f>
        <v>300</v>
      </c>
      <c r="EI325" s="14">
        <f>INDEX(属性偏向!$J$4:$J$15,卡牌属性!$DU325+EI$3)</f>
        <v>40</v>
      </c>
      <c r="EJ325" s="14">
        <f>INDEX(属性偏向!$J$4:$J$15,卡牌属性!$DU325+EJ$3)</f>
        <v>50</v>
      </c>
      <c r="EK325" s="14">
        <f>INDEX(属性偏向!$J$4:$J$15,卡牌属性!$DU325+EK$3)</f>
        <v>50</v>
      </c>
      <c r="EL325" s="14">
        <f>INDEX(属性偏向!$J$4:$J$15,卡牌属性!$DU325+EL$3)</f>
        <v>75</v>
      </c>
      <c r="EM325" s="14">
        <f>INDEX(属性偏向!$J$4:$J$15,卡牌属性!$DU325+EM$3)</f>
        <v>100</v>
      </c>
      <c r="EN325" s="14">
        <f>INDEX(属性偏向!$K$4:$K$15,卡牌属性!$DV325+EN$3)</f>
        <v>400</v>
      </c>
      <c r="EO325" s="14">
        <f>INDEX(属性偏向!$K$4:$K$15,卡牌属性!$DV325+EO$3)</f>
        <v>500</v>
      </c>
      <c r="EP325" s="14">
        <f>INDEX(属性偏向!$K$4:$K$15,卡牌属性!$DV325+EP$3)</f>
        <v>500</v>
      </c>
      <c r="EQ325" s="14">
        <f>INDEX(属性偏向!$K$4:$K$15,卡牌属性!$DV325+EQ$3)</f>
        <v>650</v>
      </c>
      <c r="ER325" s="14">
        <f>INDEX(属性偏向!$K$4:$K$15,卡牌属性!$DV325+ER$3)</f>
        <v>800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36</v>
      </c>
      <c r="FD325" s="14">
        <f>INDEX(属性偏向!$U$4:$U$243,(卡牌属性!$DV325-1+FD$3)*20+卡牌属性!$DX325)</f>
        <v>48</v>
      </c>
      <c r="FE325" s="14">
        <f>INDEX(属性偏向!$U$4:$U$243,(卡牌属性!$DV325-1+FE$3)*20+卡牌属性!$DX325)</f>
        <v>48</v>
      </c>
      <c r="FF325" s="14">
        <f>INDEX(属性偏向!$U$4:$U$243,(卡牌属性!$DV325-1+FF$3)*20+卡牌属性!$DX325)</f>
        <v>60</v>
      </c>
      <c r="FG325" s="14">
        <f>INDEX(属性偏向!$U$4:$U$243,(卡牌属性!$DV325-1+FG$3)*20+卡牌属性!$DX325)</f>
        <v>72</v>
      </c>
      <c r="FH325" s="14">
        <f>INDEX(属性投放!$BQ$6:$BQ$85,(卡牌属性!$DW325-2)*20+卡牌属性!$DX325)</f>
        <v>30</v>
      </c>
      <c r="FI325" s="14">
        <f>INDEX(属性投放!$BQ$6:$BQ$85,(卡牌属性!$DW325-2)*20+卡牌属性!$DX325)</f>
        <v>30</v>
      </c>
      <c r="FJ325" s="14">
        <f>INDEX(属性投放!$BQ$6:$BQ$85,(卡牌属性!$DW325-2)*20+卡牌属性!$DX325)</f>
        <v>30</v>
      </c>
      <c r="FK325" s="14">
        <f>INDEX(属性投放!$BQ$6:$BQ$85,(卡牌属性!$DW325-2)*20+卡牌属性!$DX325)</f>
        <v>30</v>
      </c>
      <c r="FL325" s="14">
        <f>INDEX(属性投放!$BQ$6:$BQ$85,(卡牌属性!$DW325-2)*20+卡牌属性!$DX325)</f>
        <v>30</v>
      </c>
      <c r="FM325" s="14">
        <f>INDEX(属性投放!$BR$6:$BR$85,(卡牌属性!$DW325-2)*20+卡牌属性!$DX325)</f>
        <v>15</v>
      </c>
      <c r="FN325" s="14">
        <f>INDEX(属性投放!$BR$6:$BR$85,(卡牌属性!$DW325-2)*20+卡牌属性!$DX325)</f>
        <v>15</v>
      </c>
      <c r="FO325" s="14">
        <f>INDEX(属性投放!$BR$6:$BR$85,(卡牌属性!$DW325-2)*20+卡牌属性!$DX325)</f>
        <v>15</v>
      </c>
      <c r="FP325" s="14">
        <f>INDEX(属性投放!$BR$6:$BR$85,(卡牌属性!$DW325-2)*20+卡牌属性!$DX325)</f>
        <v>15</v>
      </c>
      <c r="FQ325" s="14">
        <f>INDEX(属性投放!$BR$6:$BR$85,(卡牌属性!$DW325-2)*20+卡牌属性!$DX325)</f>
        <v>15</v>
      </c>
      <c r="FR325" s="14">
        <f>INDEX(属性投放!$BS$6:$BS$85,(卡牌属性!$DW325-2)*20+卡牌属性!$DX325)</f>
        <v>180</v>
      </c>
      <c r="FS325" s="14">
        <f>INDEX(属性投放!$BS$6:$BS$85,(卡牌属性!$DW325-2)*20+卡牌属性!$DX325)</f>
        <v>180</v>
      </c>
      <c r="FT325" s="14">
        <f>INDEX(属性投放!$BS$6:$BS$85,(卡牌属性!$DW325-2)*20+卡牌属性!$DX325)</f>
        <v>180</v>
      </c>
      <c r="FU325" s="14">
        <f>INDEX(属性投放!$BS$6:$BS$85,(卡牌属性!$DW325-2)*20+卡牌属性!$DX325)</f>
        <v>180</v>
      </c>
      <c r="FV325" s="14">
        <f>INDEX(属性投放!$BS$6:$BS$85,(卡牌属性!$DW325-2)*20+卡牌属性!$DX325)</f>
        <v>180</v>
      </c>
    </row>
    <row r="326" spans="31:178" ht="16.5" x14ac:dyDescent="0.2">
      <c r="AE326" s="13">
        <v>322</v>
      </c>
      <c r="AF326" s="13">
        <f t="shared" ref="AF326:AF389" si="652">MATCH(AE326-1,$F$5:$F$42,1)</f>
        <v>17</v>
      </c>
      <c r="AG326" s="13">
        <f t="shared" si="633"/>
        <v>4</v>
      </c>
      <c r="AH326" s="13"/>
      <c r="AI326" s="13"/>
      <c r="AJ326" s="14">
        <f t="shared" si="634"/>
        <v>1101016</v>
      </c>
      <c r="AK326" s="14" t="str">
        <f t="shared" si="635"/>
        <v>秦王攻2突</v>
      </c>
      <c r="AL326" s="25" t="s">
        <v>142</v>
      </c>
      <c r="AM326" s="14">
        <v>1</v>
      </c>
      <c r="AN326" s="14">
        <f t="shared" si="636"/>
        <v>2</v>
      </c>
      <c r="AO326" s="14">
        <f>INDEX(属性投放!$DF$6:$DF$85,(卡牌属性!AG326-2)*20+卡牌属性!AN326)</f>
        <v>310</v>
      </c>
      <c r="AP326" s="14">
        <f t="shared" si="637"/>
        <v>310</v>
      </c>
      <c r="AQ326" s="14">
        <f t="shared" si="637"/>
        <v>310</v>
      </c>
      <c r="AR326" s="14">
        <f t="shared" si="637"/>
        <v>310</v>
      </c>
      <c r="AS326" s="14">
        <f t="shared" si="637"/>
        <v>310</v>
      </c>
      <c r="AT326" s="14">
        <f>INDEX(属性投放!$DG$6:$DG$85,(卡牌属性!AG326-2)*20+卡牌属性!AN326)</f>
        <v>80</v>
      </c>
      <c r="AU326" s="14">
        <f t="shared" si="638"/>
        <v>80</v>
      </c>
      <c r="AV326" s="14">
        <f t="shared" si="638"/>
        <v>80</v>
      </c>
      <c r="AW326" s="14">
        <f t="shared" si="638"/>
        <v>80</v>
      </c>
      <c r="AX326" s="14">
        <f t="shared" si="638"/>
        <v>80</v>
      </c>
      <c r="AY326" s="14">
        <f>INDEX(属性投放!$DH$6:$DH$85,(卡牌属性!AG326-2)*20+卡牌属性!AN326)</f>
        <v>1275</v>
      </c>
      <c r="AZ326" s="14">
        <f t="shared" si="639"/>
        <v>1275</v>
      </c>
      <c r="BA326" s="14">
        <f t="shared" si="639"/>
        <v>1275</v>
      </c>
      <c r="BB326" s="14">
        <f t="shared" si="639"/>
        <v>1275</v>
      </c>
      <c r="BC326" s="14">
        <f t="shared" si="639"/>
        <v>1275</v>
      </c>
      <c r="BD326" s="14">
        <f>INDEX(属性投放!$DL$6:$DL$85,(卡牌属性!AG326-2)*20+卡牌属性!AN326)</f>
        <v>22</v>
      </c>
      <c r="BE326" s="14">
        <f t="shared" si="640"/>
        <v>22</v>
      </c>
      <c r="BF326" s="14">
        <f t="shared" si="640"/>
        <v>22</v>
      </c>
      <c r="BG326" s="14">
        <f t="shared" si="640"/>
        <v>22</v>
      </c>
      <c r="BH326" s="14">
        <f t="shared" si="640"/>
        <v>22</v>
      </c>
      <c r="BI326" s="14">
        <f>INDEX(属性投放!$DM$6:$DM$85,(卡牌属性!AG326-2)*20+卡牌属性!AN326)</f>
        <v>11</v>
      </c>
      <c r="BJ326" s="14">
        <f t="shared" si="641"/>
        <v>11</v>
      </c>
      <c r="BK326" s="14">
        <f t="shared" si="641"/>
        <v>11</v>
      </c>
      <c r="BL326" s="14">
        <f t="shared" si="641"/>
        <v>11</v>
      </c>
      <c r="BM326" s="14">
        <f t="shared" si="641"/>
        <v>11</v>
      </c>
      <c r="BN326" s="14">
        <f>INDEX(属性投放!$DN$6:$DN$85,(卡牌属性!AG326-2)*20+卡牌属性!AN326)</f>
        <v>132</v>
      </c>
      <c r="BO326" s="14">
        <f t="shared" si="642"/>
        <v>132</v>
      </c>
      <c r="BP326" s="14">
        <f t="shared" si="642"/>
        <v>132</v>
      </c>
      <c r="BQ326" s="14">
        <f t="shared" si="642"/>
        <v>132</v>
      </c>
      <c r="BR326" s="14">
        <f t="shared" si="642"/>
        <v>132</v>
      </c>
      <c r="BW326" s="13">
        <v>322</v>
      </c>
      <c r="BX326" s="13">
        <f t="shared" si="643"/>
        <v>17</v>
      </c>
      <c r="BY326" s="14">
        <f t="shared" si="644"/>
        <v>3</v>
      </c>
      <c r="BZ326" s="14">
        <f t="shared" ref="BZ326:BZ389" si="653">INDEX($N$6:$N$43,BX326)</f>
        <v>1102017</v>
      </c>
      <c r="CA326" s="14" t="str">
        <f t="shared" ref="CA326:CA389" si="654">INDEX($O$6:$O$43,BX326)&amp;CD326&amp;"突"</f>
        <v>飞廉2突</v>
      </c>
      <c r="CB326" s="25" t="s">
        <v>142</v>
      </c>
      <c r="CC326" s="14">
        <v>2</v>
      </c>
      <c r="CD326" s="14">
        <f t="shared" si="645"/>
        <v>2</v>
      </c>
      <c r="CE326" s="14" t="s">
        <v>21</v>
      </c>
      <c r="CF326" s="14">
        <f>INDEX(属性投放!$AZ$6:$AZ$85,(BY326-2)*20+CD326)</f>
        <v>232</v>
      </c>
      <c r="CG326" s="14" t="s">
        <v>22</v>
      </c>
      <c r="CH326" s="14">
        <f>INDEX(属性投放!$BA$6:$BA$85,(BY326-2)*20+CD326)</f>
        <v>51</v>
      </c>
      <c r="CI326" s="14" t="s">
        <v>510</v>
      </c>
      <c r="CJ326" s="14">
        <f>INDEX(属性投放!$BB$6:$BB$85,(BY326-2)*20+CD326)</f>
        <v>992</v>
      </c>
      <c r="CK326" s="14" t="s">
        <v>21</v>
      </c>
      <c r="CL326" s="14">
        <f>INDEX(属性投放!$BC$6:$BC$85,(BY326-2)*20+CD326)</f>
        <v>10</v>
      </c>
      <c r="CM326" s="14" t="s">
        <v>22</v>
      </c>
      <c r="CN326" s="14">
        <f>INDEX(属性投放!$BD$6:$BD$85,(BY326-2)*20+CD326)</f>
        <v>5</v>
      </c>
      <c r="CO326" s="14" t="s">
        <v>510</v>
      </c>
      <c r="CP326" s="14">
        <f>INDEX(属性投放!$BE$6:$BE$85,(BY326-2)*20+CD326)</f>
        <v>60</v>
      </c>
      <c r="CS326" s="13">
        <v>322</v>
      </c>
      <c r="CT326" s="13">
        <f t="shared" ref="CT326:CT389" si="655">MATCH(CS326-1,$U$5:$U$36,1)</f>
        <v>7</v>
      </c>
      <c r="CU326" s="13">
        <f t="shared" ref="CU326:CU389" si="656">CS326-(CT326-1)*52</f>
        <v>10</v>
      </c>
      <c r="CV326" s="14">
        <f t="shared" ref="CV326:CV389" si="657">INDEX($Q$6:$Q$50,CT326)</f>
        <v>4</v>
      </c>
      <c r="CW326" s="14">
        <f t="shared" ref="CW326:CW389" si="658">INDEX($N$6:$N$50,CT326)</f>
        <v>1102007</v>
      </c>
      <c r="CX326" s="14" t="str">
        <f>INDEX($O$6:$O$50,CT326)&amp;"-"&amp;INDEX(属性投放!$AB$7:$AB$50,CZ326)&amp;"-魂火-"&amp;DB326</f>
        <v>天使缇娜-众合+2-魂火-1</v>
      </c>
      <c r="CY326" s="25" t="s">
        <v>142</v>
      </c>
      <c r="CZ326" s="14">
        <f>INDEX(属性投放!$AM$7:$AM$58,CU326)</f>
        <v>6</v>
      </c>
      <c r="DA326" s="14" t="s">
        <v>537</v>
      </c>
      <c r="DB326" s="14">
        <f>INDEX(属性投放!$AN$7:$AN$58,CU326)</f>
        <v>1</v>
      </c>
      <c r="DC326" s="14">
        <f t="shared" si="646"/>
        <v>10</v>
      </c>
      <c r="DD326" s="14">
        <f>INDEX(属性投放!$AO$7:$AO$58,DC326)</f>
        <v>43</v>
      </c>
      <c r="DE326" s="14" t="s">
        <v>538</v>
      </c>
      <c r="DF326" s="14">
        <f>INDEX(属性投放!$BK$6:$BK$85,(CV326-2)*20+CZ326)</f>
        <v>60</v>
      </c>
      <c r="DG326" s="14">
        <f>SUMIFS(DF$5:DF326,$CT$5:$CT326,"="&amp;$CT326)</f>
        <v>415</v>
      </c>
      <c r="DH326" s="14" t="s">
        <v>539</v>
      </c>
      <c r="DI326" s="14">
        <f>INDEX(属性投放!$BL$6:$BL$85,(CV326-2)*20+CZ326)</f>
        <v>30</v>
      </c>
      <c r="DJ326" s="14">
        <f>SUMIFS(DI$5:DI326,$CT$5:$CT326,"="&amp;$CT326)</f>
        <v>211</v>
      </c>
      <c r="DK326" s="14" t="s">
        <v>540</v>
      </c>
      <c r="DL326" s="14">
        <f>INDEX(属性投放!$BM$6:$BM$85,(CV326-2)*20+CZ326)</f>
        <v>420</v>
      </c>
      <c r="DM326" s="14">
        <f>SUMIFS(DL$5:DL326,$CT$5:$CT326,"="&amp;$CT326)</f>
        <v>2750</v>
      </c>
      <c r="DR326" s="14">
        <f t="shared" si="647"/>
        <v>1102017</v>
      </c>
      <c r="DS326" s="14" t="str">
        <f t="shared" si="648"/>
        <v>飞廉2突</v>
      </c>
      <c r="DT326" s="14">
        <f t="shared" ref="DT326:DT389" si="659">INDEX(Y$6:Y$43,$BX326)</f>
        <v>6</v>
      </c>
      <c r="DU326" s="14">
        <f t="shared" ref="DU326:DU389" si="660">INDEX(Z$6:Z$43,$BX326)</f>
        <v>6</v>
      </c>
      <c r="DV326" s="14">
        <f t="shared" ref="DV326:DV389" si="661">INDEX(AA$6:AA$43,$BX326)</f>
        <v>4</v>
      </c>
      <c r="DW326" s="14">
        <f t="shared" si="649"/>
        <v>3</v>
      </c>
      <c r="DX326" s="14">
        <f t="shared" si="650"/>
        <v>2</v>
      </c>
      <c r="DY326" s="14">
        <f t="shared" si="651"/>
        <v>22</v>
      </c>
      <c r="DZ326" s="14">
        <f>INDEX(属性投放!$AX$6:$AX$85,(卡牌属性!DW326-2)*20+卡牌属性!DX326)</f>
        <v>10</v>
      </c>
      <c r="EA326" s="14">
        <f>INDEX(属性投放!BQ$6:BQ$85,卡牌属性!$DY326)</f>
        <v>40</v>
      </c>
      <c r="EB326" s="14">
        <f>INDEX(属性投放!BR$6:BR$85,卡牌属性!$DY326)</f>
        <v>20</v>
      </c>
      <c r="EC326" s="14">
        <f>INDEX(属性投放!BS$6:BS$85,卡牌属性!$DY326)</f>
        <v>240</v>
      </c>
      <c r="ED326" s="14">
        <f t="shared" ref="ED326:ED344" si="662">ED325+$EA325+ES325*$DZ325</f>
        <v>245</v>
      </c>
      <c r="EE326" s="14">
        <f t="shared" ref="EE326:EE344" si="663">EE325+$EA325+ET325*$DZ325</f>
        <v>278</v>
      </c>
      <c r="EF326" s="14">
        <f t="shared" ref="EF326:EF344" si="664">EF325+$EA325+EU325*$DZ325</f>
        <v>332</v>
      </c>
      <c r="EG326" s="14">
        <f t="shared" ref="EG326:EG344" si="665">EG325+$EA325+EV325*$DZ325</f>
        <v>332</v>
      </c>
      <c r="EH326" s="14">
        <f t="shared" ref="EH326:EH344" si="666">EH325+$EA325+EW325*$DZ325</f>
        <v>390</v>
      </c>
      <c r="EI326" s="14">
        <f t="shared" ref="EI326:EI344" si="667">EI325+$EB325+EX325*$DZ325</f>
        <v>75</v>
      </c>
      <c r="EJ326" s="14">
        <f t="shared" ref="EJ326:EJ344" si="668">EJ325+$EB325+EY325*$DZ325</f>
        <v>89</v>
      </c>
      <c r="EK326" s="14">
        <f t="shared" ref="EK326:EK344" si="669">EK325+$EB325+EZ325*$DZ325</f>
        <v>89</v>
      </c>
      <c r="EL326" s="14">
        <f t="shared" ref="EL326:EL344" si="670">EL325+$EB325+FA325*$DZ325</f>
        <v>118</v>
      </c>
      <c r="EM326" s="14">
        <f t="shared" ref="EM326:EM344" si="671">EM325+$EB325+FB325*$DZ325</f>
        <v>147</v>
      </c>
      <c r="EN326" s="14">
        <f t="shared" ref="EN326:EN344" si="672">EN325+$EC325+FC325*$DZ325</f>
        <v>724</v>
      </c>
      <c r="EO326" s="14">
        <f t="shared" ref="EO326:EO344" si="673">EO325+$EC325+FD325*$DZ325</f>
        <v>872</v>
      </c>
      <c r="EP326" s="14">
        <f t="shared" ref="EP326:EP344" si="674">EP325+$EC325+FE325*$DZ325</f>
        <v>872</v>
      </c>
      <c r="EQ326" s="14">
        <f t="shared" ref="EQ326:EQ344" si="675">EQ325+$EC325+FF325*$DZ325</f>
        <v>1070</v>
      </c>
      <c r="ER326" s="14">
        <f t="shared" ref="ER326:ER344" si="676">ER325+$EC325+FG325*$DZ325</f>
        <v>1268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48</v>
      </c>
      <c r="FD326" s="14">
        <f>INDEX(属性偏向!$U$4:$U$243,(卡牌属性!$DV326-1+FD$3)*20+卡牌属性!$DX326)</f>
        <v>60</v>
      </c>
      <c r="FE326" s="14">
        <f>INDEX(属性偏向!$U$4:$U$243,(卡牌属性!$DV326-1+FE$3)*20+卡牌属性!$DX326)</f>
        <v>60</v>
      </c>
      <c r="FF326" s="14">
        <f>INDEX(属性偏向!$U$4:$U$243,(卡牌属性!$DV326-1+FF$3)*20+卡牌属性!$DX326)</f>
        <v>72</v>
      </c>
      <c r="FG326" s="14">
        <f>INDEX(属性偏向!$U$4:$U$243,(卡牌属性!$DV326-1+FG$3)*20+卡牌属性!$DX326)</f>
        <v>90</v>
      </c>
      <c r="FH326" s="14">
        <f>INDEX(属性投放!$BQ$6:$BQ$85,(卡牌属性!$DW326-2)*20+卡牌属性!$DX326)</f>
        <v>40</v>
      </c>
      <c r="FI326" s="14">
        <f>INDEX(属性投放!$BQ$6:$BQ$85,(卡牌属性!$DW326-2)*20+卡牌属性!$DX326)</f>
        <v>40</v>
      </c>
      <c r="FJ326" s="14">
        <f>INDEX(属性投放!$BQ$6:$BQ$85,(卡牌属性!$DW326-2)*20+卡牌属性!$DX326)</f>
        <v>40</v>
      </c>
      <c r="FK326" s="14">
        <f>INDEX(属性投放!$BQ$6:$BQ$85,(卡牌属性!$DW326-2)*20+卡牌属性!$DX326)</f>
        <v>40</v>
      </c>
      <c r="FL326" s="14">
        <f>INDEX(属性投放!$BQ$6:$BQ$85,(卡牌属性!$DW326-2)*20+卡牌属性!$DX326)</f>
        <v>40</v>
      </c>
      <c r="FM326" s="14">
        <f>INDEX(属性投放!$BR$6:$BR$85,(卡牌属性!$DW326-2)*20+卡牌属性!$DX326)</f>
        <v>20</v>
      </c>
      <c r="FN326" s="14">
        <f>INDEX(属性投放!$BR$6:$BR$85,(卡牌属性!$DW326-2)*20+卡牌属性!$DX326)</f>
        <v>20</v>
      </c>
      <c r="FO326" s="14">
        <f>INDEX(属性投放!$BR$6:$BR$85,(卡牌属性!$DW326-2)*20+卡牌属性!$DX326)</f>
        <v>20</v>
      </c>
      <c r="FP326" s="14">
        <f>INDEX(属性投放!$BR$6:$BR$85,(卡牌属性!$DW326-2)*20+卡牌属性!$DX326)</f>
        <v>20</v>
      </c>
      <c r="FQ326" s="14">
        <f>INDEX(属性投放!$BR$6:$BR$85,(卡牌属性!$DW326-2)*20+卡牌属性!$DX326)</f>
        <v>20</v>
      </c>
      <c r="FR326" s="14">
        <f>INDEX(属性投放!$BS$6:$BS$85,(卡牌属性!$DW326-2)*20+卡牌属性!$DX326)</f>
        <v>240</v>
      </c>
      <c r="FS326" s="14">
        <f>INDEX(属性投放!$BS$6:$BS$85,(卡牌属性!$DW326-2)*20+卡牌属性!$DX326)</f>
        <v>240</v>
      </c>
      <c r="FT326" s="14">
        <f>INDEX(属性投放!$BS$6:$BS$85,(卡牌属性!$DW326-2)*20+卡牌属性!$DX326)</f>
        <v>240</v>
      </c>
      <c r="FU326" s="14">
        <f>INDEX(属性投放!$BS$6:$BS$85,(卡牌属性!$DW326-2)*20+卡牌属性!$DX326)</f>
        <v>240</v>
      </c>
      <c r="FV326" s="14">
        <f>INDEX(属性投放!$BS$6:$BS$85,(卡牌属性!$DW326-2)*20+卡牌属性!$DX326)</f>
        <v>240</v>
      </c>
    </row>
    <row r="327" spans="31:178" ht="16.5" x14ac:dyDescent="0.2">
      <c r="AE327" s="13">
        <v>323</v>
      </c>
      <c r="AF327" s="13">
        <f t="shared" si="652"/>
        <v>17</v>
      </c>
      <c r="AG327" s="13">
        <f t="shared" si="633"/>
        <v>4</v>
      </c>
      <c r="AH327" s="13"/>
      <c r="AI327" s="13"/>
      <c r="AJ327" s="14">
        <f t="shared" si="634"/>
        <v>1101016</v>
      </c>
      <c r="AK327" s="14" t="str">
        <f t="shared" si="635"/>
        <v>秦王攻3突</v>
      </c>
      <c r="AL327" s="25" t="s">
        <v>142</v>
      </c>
      <c r="AM327" s="14">
        <v>1</v>
      </c>
      <c r="AN327" s="14">
        <f t="shared" si="636"/>
        <v>3</v>
      </c>
      <c r="AO327" s="14">
        <f>INDEX(属性投放!$DF$6:$DF$85,(卡牌属性!AG327-2)*20+卡牌属性!AN327)</f>
        <v>365</v>
      </c>
      <c r="AP327" s="14">
        <f t="shared" si="637"/>
        <v>365</v>
      </c>
      <c r="AQ327" s="14">
        <f t="shared" si="637"/>
        <v>365</v>
      </c>
      <c r="AR327" s="14">
        <f t="shared" si="637"/>
        <v>365</v>
      </c>
      <c r="AS327" s="14">
        <f t="shared" si="637"/>
        <v>365</v>
      </c>
      <c r="AT327" s="14">
        <f>INDEX(属性投放!$DG$6:$DG$85,(卡牌属性!AG327-2)*20+卡牌属性!AN327)</f>
        <v>109</v>
      </c>
      <c r="AU327" s="14">
        <f t="shared" si="638"/>
        <v>109</v>
      </c>
      <c r="AV327" s="14">
        <f t="shared" si="638"/>
        <v>109</v>
      </c>
      <c r="AW327" s="14">
        <f t="shared" si="638"/>
        <v>109</v>
      </c>
      <c r="AX327" s="14">
        <f t="shared" si="638"/>
        <v>109</v>
      </c>
      <c r="AY327" s="14">
        <f>INDEX(属性投放!$DH$6:$DH$85,(卡牌属性!AG327-2)*20+卡牌属性!AN327)</f>
        <v>1605</v>
      </c>
      <c r="AZ327" s="14">
        <f t="shared" si="639"/>
        <v>1605</v>
      </c>
      <c r="BA327" s="14">
        <f t="shared" si="639"/>
        <v>1605</v>
      </c>
      <c r="BB327" s="14">
        <f t="shared" si="639"/>
        <v>1605</v>
      </c>
      <c r="BC327" s="14">
        <f t="shared" si="639"/>
        <v>1605</v>
      </c>
      <c r="BD327" s="14">
        <f>INDEX(属性投放!$DL$6:$DL$85,(卡牌属性!AG327-2)*20+卡牌属性!AN327)</f>
        <v>22</v>
      </c>
      <c r="BE327" s="14">
        <f t="shared" si="640"/>
        <v>22</v>
      </c>
      <c r="BF327" s="14">
        <f t="shared" si="640"/>
        <v>22</v>
      </c>
      <c r="BG327" s="14">
        <f t="shared" si="640"/>
        <v>22</v>
      </c>
      <c r="BH327" s="14">
        <f t="shared" si="640"/>
        <v>22</v>
      </c>
      <c r="BI327" s="14">
        <f>INDEX(属性投放!$DM$6:$DM$85,(卡牌属性!AG327-2)*20+卡牌属性!AN327)</f>
        <v>11</v>
      </c>
      <c r="BJ327" s="14">
        <f t="shared" si="641"/>
        <v>11</v>
      </c>
      <c r="BK327" s="14">
        <f t="shared" si="641"/>
        <v>11</v>
      </c>
      <c r="BL327" s="14">
        <f t="shared" si="641"/>
        <v>11</v>
      </c>
      <c r="BM327" s="14">
        <f t="shared" si="641"/>
        <v>11</v>
      </c>
      <c r="BN327" s="14">
        <f>INDEX(属性投放!$DN$6:$DN$85,(卡牌属性!AG327-2)*20+卡牌属性!AN327)</f>
        <v>132</v>
      </c>
      <c r="BO327" s="14">
        <f t="shared" si="642"/>
        <v>132</v>
      </c>
      <c r="BP327" s="14">
        <f t="shared" si="642"/>
        <v>132</v>
      </c>
      <c r="BQ327" s="14">
        <f t="shared" si="642"/>
        <v>132</v>
      </c>
      <c r="BR327" s="14">
        <f t="shared" si="642"/>
        <v>132</v>
      </c>
      <c r="BW327" s="13">
        <v>323</v>
      </c>
      <c r="BX327" s="13">
        <f t="shared" si="643"/>
        <v>17</v>
      </c>
      <c r="BY327" s="14">
        <f t="shared" si="644"/>
        <v>3</v>
      </c>
      <c r="BZ327" s="14">
        <f t="shared" si="653"/>
        <v>1102017</v>
      </c>
      <c r="CA327" s="14" t="str">
        <f t="shared" si="654"/>
        <v>飞廉3突</v>
      </c>
      <c r="CB327" s="25" t="s">
        <v>142</v>
      </c>
      <c r="CC327" s="14">
        <v>2</v>
      </c>
      <c r="CD327" s="14">
        <f t="shared" si="645"/>
        <v>3</v>
      </c>
      <c r="CE327" s="14" t="s">
        <v>21</v>
      </c>
      <c r="CF327" s="14">
        <f>INDEX(属性投放!$AZ$6:$AZ$85,(BY327-2)*20+CD327)</f>
        <v>422</v>
      </c>
      <c r="CG327" s="14" t="s">
        <v>22</v>
      </c>
      <c r="CH327" s="14">
        <f>INDEX(属性投放!$BA$6:$BA$85,(BY327-2)*20+CD327)</f>
        <v>147</v>
      </c>
      <c r="CI327" s="14" t="s">
        <v>510</v>
      </c>
      <c r="CJ327" s="14">
        <f>INDEX(属性投放!$BB$6:$BB$85,(BY327-2)*20+CD327)</f>
        <v>2132</v>
      </c>
      <c r="CK327" s="14" t="s">
        <v>21</v>
      </c>
      <c r="CL327" s="14">
        <f>INDEX(属性投放!$BC$6:$BC$85,(BY327-2)*20+CD327)</f>
        <v>10</v>
      </c>
      <c r="CM327" s="14" t="s">
        <v>22</v>
      </c>
      <c r="CN327" s="14">
        <f>INDEX(属性投放!$BD$6:$BD$85,(BY327-2)*20+CD327)</f>
        <v>5</v>
      </c>
      <c r="CO327" s="14" t="s">
        <v>510</v>
      </c>
      <c r="CP327" s="14">
        <f>INDEX(属性投放!$BE$6:$BE$85,(BY327-2)*20+CD327)</f>
        <v>60</v>
      </c>
      <c r="CS327" s="13">
        <v>323</v>
      </c>
      <c r="CT327" s="13">
        <f t="shared" si="655"/>
        <v>7</v>
      </c>
      <c r="CU327" s="13">
        <f t="shared" si="656"/>
        <v>11</v>
      </c>
      <c r="CV327" s="14">
        <f t="shared" si="657"/>
        <v>4</v>
      </c>
      <c r="CW327" s="14">
        <f t="shared" si="658"/>
        <v>1102007</v>
      </c>
      <c r="CX327" s="14" t="str">
        <f>INDEX($O$6:$O$50,CT327)&amp;"-"&amp;INDEX(属性投放!$AB$7:$AB$50,CZ327)&amp;"-魂火-"&amp;DB327</f>
        <v>天使缇娜-众合+2-魂火-2</v>
      </c>
      <c r="CY327" s="25" t="s">
        <v>142</v>
      </c>
      <c r="CZ327" s="14">
        <f>INDEX(属性投放!$AM$7:$AM$58,CU327)</f>
        <v>6</v>
      </c>
      <c r="DA327" s="14" t="s">
        <v>537</v>
      </c>
      <c r="DB327" s="14">
        <f>INDEX(属性投放!$AN$7:$AN$58,CU327)</f>
        <v>2</v>
      </c>
      <c r="DC327" s="14">
        <f t="shared" si="646"/>
        <v>11</v>
      </c>
      <c r="DD327" s="14">
        <f>INDEX(属性投放!$AO$7:$AO$58,DC327)</f>
        <v>45</v>
      </c>
      <c r="DE327" s="14" t="s">
        <v>538</v>
      </c>
      <c r="DF327" s="14">
        <f>INDEX(属性投放!$BK$6:$BK$85,(CV327-2)*20+CZ327)</f>
        <v>60</v>
      </c>
      <c r="DG327" s="14">
        <f>SUMIFS(DF$5:DF327,$CT$5:$CT327,"="&amp;$CT327)</f>
        <v>475</v>
      </c>
      <c r="DH327" s="14" t="s">
        <v>539</v>
      </c>
      <c r="DI327" s="14">
        <f>INDEX(属性投放!$BL$6:$BL$85,(CV327-2)*20+CZ327)</f>
        <v>30</v>
      </c>
      <c r="DJ327" s="14">
        <f>SUMIFS(DI$5:DI327,$CT$5:$CT327,"="&amp;$CT327)</f>
        <v>241</v>
      </c>
      <c r="DK327" s="14" t="s">
        <v>540</v>
      </c>
      <c r="DL327" s="14">
        <f>INDEX(属性投放!$BM$6:$BM$85,(CV327-2)*20+CZ327)</f>
        <v>420</v>
      </c>
      <c r="DM327" s="14">
        <f>SUMIFS(DL$5:DL327,$CT$5:$CT327,"="&amp;$CT327)</f>
        <v>3170</v>
      </c>
      <c r="DR327" s="14">
        <f t="shared" si="647"/>
        <v>1102017</v>
      </c>
      <c r="DS327" s="14" t="str">
        <f t="shared" si="648"/>
        <v>飞廉3突</v>
      </c>
      <c r="DT327" s="14">
        <f t="shared" si="659"/>
        <v>6</v>
      </c>
      <c r="DU327" s="14">
        <f t="shared" si="660"/>
        <v>6</v>
      </c>
      <c r="DV327" s="14">
        <f t="shared" si="661"/>
        <v>4</v>
      </c>
      <c r="DW327" s="14">
        <f t="shared" si="649"/>
        <v>3</v>
      </c>
      <c r="DX327" s="14">
        <f t="shared" si="650"/>
        <v>3</v>
      </c>
      <c r="DY327" s="14">
        <f t="shared" si="651"/>
        <v>23</v>
      </c>
      <c r="DZ327" s="14">
        <f>INDEX(属性投放!$AX$6:$AX$85,(卡牌属性!DW327-2)*20+卡牌属性!DX327)</f>
        <v>10</v>
      </c>
      <c r="EA327" s="14">
        <f>INDEX(属性投放!BQ$6:BQ$85,卡牌属性!$DY327)</f>
        <v>70</v>
      </c>
      <c r="EB327" s="14">
        <f>INDEX(属性投放!BR$6:BR$85,卡牌属性!$DY327)</f>
        <v>35</v>
      </c>
      <c r="EC327" s="14">
        <f>INDEX(属性投放!BS$6:BS$85,卡牌属性!$DY327)</f>
        <v>420</v>
      </c>
      <c r="ED327" s="14">
        <f t="shared" si="662"/>
        <v>405</v>
      </c>
      <c r="EE327" s="14">
        <f t="shared" si="663"/>
        <v>468</v>
      </c>
      <c r="EF327" s="14">
        <f t="shared" si="664"/>
        <v>542</v>
      </c>
      <c r="EG327" s="14">
        <f t="shared" si="665"/>
        <v>542</v>
      </c>
      <c r="EH327" s="14">
        <f t="shared" si="666"/>
        <v>630</v>
      </c>
      <c r="EI327" s="14">
        <f t="shared" si="667"/>
        <v>155</v>
      </c>
      <c r="EJ327" s="14">
        <f t="shared" si="668"/>
        <v>189</v>
      </c>
      <c r="EK327" s="14">
        <f t="shared" si="669"/>
        <v>189</v>
      </c>
      <c r="EL327" s="14">
        <f t="shared" si="670"/>
        <v>228</v>
      </c>
      <c r="EM327" s="14">
        <f t="shared" si="671"/>
        <v>267</v>
      </c>
      <c r="EN327" s="14">
        <f t="shared" si="672"/>
        <v>1444</v>
      </c>
      <c r="EO327" s="14">
        <f t="shared" si="673"/>
        <v>1712</v>
      </c>
      <c r="EP327" s="14">
        <f t="shared" si="674"/>
        <v>1712</v>
      </c>
      <c r="EQ327" s="14">
        <f t="shared" si="675"/>
        <v>2030</v>
      </c>
      <c r="ER327" s="14">
        <f t="shared" si="676"/>
        <v>2408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48</v>
      </c>
      <c r="FD327" s="14">
        <f>INDEX(属性偏向!$U$4:$U$243,(卡牌属性!$DV327-1+FD$3)*20+卡牌属性!$DX327)</f>
        <v>60</v>
      </c>
      <c r="FE327" s="14">
        <f>INDEX(属性偏向!$U$4:$U$243,(卡牌属性!$DV327-1+FE$3)*20+卡牌属性!$DX327)</f>
        <v>60</v>
      </c>
      <c r="FF327" s="14">
        <f>INDEX(属性偏向!$U$4:$U$243,(卡牌属性!$DV327-1+FF$3)*20+卡牌属性!$DX327)</f>
        <v>72</v>
      </c>
      <c r="FG327" s="14">
        <f>INDEX(属性偏向!$U$4:$U$243,(卡牌属性!$DV327-1+FG$3)*20+卡牌属性!$DX327)</f>
        <v>90</v>
      </c>
      <c r="FH327" s="14">
        <f>INDEX(属性投放!$BQ$6:$BQ$85,(卡牌属性!$DW327-2)*20+卡牌属性!$DX327)</f>
        <v>70</v>
      </c>
      <c r="FI327" s="14">
        <f>INDEX(属性投放!$BQ$6:$BQ$85,(卡牌属性!$DW327-2)*20+卡牌属性!$DX327)</f>
        <v>70</v>
      </c>
      <c r="FJ327" s="14">
        <f>INDEX(属性投放!$BQ$6:$BQ$85,(卡牌属性!$DW327-2)*20+卡牌属性!$DX327)</f>
        <v>70</v>
      </c>
      <c r="FK327" s="14">
        <f>INDEX(属性投放!$BQ$6:$BQ$85,(卡牌属性!$DW327-2)*20+卡牌属性!$DX327)</f>
        <v>70</v>
      </c>
      <c r="FL327" s="14">
        <f>INDEX(属性投放!$BQ$6:$BQ$85,(卡牌属性!$DW327-2)*20+卡牌属性!$DX327)</f>
        <v>70</v>
      </c>
      <c r="FM327" s="14">
        <f>INDEX(属性投放!$BR$6:$BR$85,(卡牌属性!$DW327-2)*20+卡牌属性!$DX327)</f>
        <v>35</v>
      </c>
      <c r="FN327" s="14">
        <f>INDEX(属性投放!$BR$6:$BR$85,(卡牌属性!$DW327-2)*20+卡牌属性!$DX327)</f>
        <v>35</v>
      </c>
      <c r="FO327" s="14">
        <f>INDEX(属性投放!$BR$6:$BR$85,(卡牌属性!$DW327-2)*20+卡牌属性!$DX327)</f>
        <v>35</v>
      </c>
      <c r="FP327" s="14">
        <f>INDEX(属性投放!$BR$6:$BR$85,(卡牌属性!$DW327-2)*20+卡牌属性!$DX327)</f>
        <v>35</v>
      </c>
      <c r="FQ327" s="14">
        <f>INDEX(属性投放!$BR$6:$BR$85,(卡牌属性!$DW327-2)*20+卡牌属性!$DX327)</f>
        <v>35</v>
      </c>
      <c r="FR327" s="14">
        <f>INDEX(属性投放!$BS$6:$BS$85,(卡牌属性!$DW327-2)*20+卡牌属性!$DX327)</f>
        <v>420</v>
      </c>
      <c r="FS327" s="14">
        <f>INDEX(属性投放!$BS$6:$BS$85,(卡牌属性!$DW327-2)*20+卡牌属性!$DX327)</f>
        <v>420</v>
      </c>
      <c r="FT327" s="14">
        <f>INDEX(属性投放!$BS$6:$BS$85,(卡牌属性!$DW327-2)*20+卡牌属性!$DX327)</f>
        <v>420</v>
      </c>
      <c r="FU327" s="14">
        <f>INDEX(属性投放!$BS$6:$BS$85,(卡牌属性!$DW327-2)*20+卡牌属性!$DX327)</f>
        <v>420</v>
      </c>
      <c r="FV327" s="14">
        <f>INDEX(属性投放!$BS$6:$BS$85,(卡牌属性!$DW327-2)*20+卡牌属性!$DX327)</f>
        <v>420</v>
      </c>
    </row>
    <row r="328" spans="31:178" ht="16.5" x14ac:dyDescent="0.2">
      <c r="AE328" s="13">
        <v>324</v>
      </c>
      <c r="AF328" s="13">
        <f t="shared" si="652"/>
        <v>17</v>
      </c>
      <c r="AG328" s="13">
        <f t="shared" si="633"/>
        <v>4</v>
      </c>
      <c r="AH328" s="13"/>
      <c r="AI328" s="13"/>
      <c r="AJ328" s="14">
        <f t="shared" si="634"/>
        <v>1101016</v>
      </c>
      <c r="AK328" s="14" t="str">
        <f t="shared" si="635"/>
        <v>秦王攻4突</v>
      </c>
      <c r="AL328" s="25" t="s">
        <v>142</v>
      </c>
      <c r="AM328" s="14">
        <v>1</v>
      </c>
      <c r="AN328" s="14">
        <f t="shared" si="636"/>
        <v>4</v>
      </c>
      <c r="AO328" s="14">
        <f>INDEX(属性投放!$DF$6:$DF$85,(卡牌属性!AG328-2)*20+卡牌属性!AN328)</f>
        <v>640</v>
      </c>
      <c r="AP328" s="14">
        <f t="shared" si="637"/>
        <v>640</v>
      </c>
      <c r="AQ328" s="14">
        <f t="shared" si="637"/>
        <v>640</v>
      </c>
      <c r="AR328" s="14">
        <f t="shared" si="637"/>
        <v>640</v>
      </c>
      <c r="AS328" s="14">
        <f t="shared" si="637"/>
        <v>640</v>
      </c>
      <c r="AT328" s="14">
        <f>INDEX(属性投放!$DG$6:$DG$85,(卡牌属性!AG328-2)*20+卡牌属性!AN328)</f>
        <v>248</v>
      </c>
      <c r="AU328" s="14">
        <f t="shared" si="638"/>
        <v>248</v>
      </c>
      <c r="AV328" s="14">
        <f t="shared" si="638"/>
        <v>248</v>
      </c>
      <c r="AW328" s="14">
        <f t="shared" si="638"/>
        <v>248</v>
      </c>
      <c r="AX328" s="14">
        <f t="shared" si="638"/>
        <v>248</v>
      </c>
      <c r="AY328" s="14">
        <f>INDEX(属性投放!$DH$6:$DH$85,(卡牌属性!AG328-2)*20+卡牌属性!AN328)</f>
        <v>3255</v>
      </c>
      <c r="AZ328" s="14">
        <f t="shared" si="639"/>
        <v>3255</v>
      </c>
      <c r="BA328" s="14">
        <f t="shared" si="639"/>
        <v>3255</v>
      </c>
      <c r="BB328" s="14">
        <f t="shared" si="639"/>
        <v>3255</v>
      </c>
      <c r="BC328" s="14">
        <f t="shared" si="639"/>
        <v>3255</v>
      </c>
      <c r="BD328" s="14">
        <f>INDEX(属性投放!$DL$6:$DL$85,(卡牌属性!AG328-2)*20+卡牌属性!AN328)</f>
        <v>40</v>
      </c>
      <c r="BE328" s="14">
        <f t="shared" si="640"/>
        <v>40</v>
      </c>
      <c r="BF328" s="14">
        <f t="shared" si="640"/>
        <v>40</v>
      </c>
      <c r="BG328" s="14">
        <f t="shared" si="640"/>
        <v>40</v>
      </c>
      <c r="BH328" s="14">
        <f t="shared" si="640"/>
        <v>40</v>
      </c>
      <c r="BI328" s="14">
        <f>INDEX(属性投放!$DM$6:$DM$85,(卡牌属性!AG328-2)*20+卡牌属性!AN328)</f>
        <v>20</v>
      </c>
      <c r="BJ328" s="14">
        <f t="shared" si="641"/>
        <v>20</v>
      </c>
      <c r="BK328" s="14">
        <f t="shared" si="641"/>
        <v>20</v>
      </c>
      <c r="BL328" s="14">
        <f t="shared" si="641"/>
        <v>20</v>
      </c>
      <c r="BM328" s="14">
        <f t="shared" si="641"/>
        <v>20</v>
      </c>
      <c r="BN328" s="14">
        <f>INDEX(属性投放!$DN$6:$DN$85,(卡牌属性!AG328-2)*20+卡牌属性!AN328)</f>
        <v>279</v>
      </c>
      <c r="BO328" s="14">
        <f t="shared" si="642"/>
        <v>279</v>
      </c>
      <c r="BP328" s="14">
        <f t="shared" si="642"/>
        <v>279</v>
      </c>
      <c r="BQ328" s="14">
        <f t="shared" si="642"/>
        <v>279</v>
      </c>
      <c r="BR328" s="14">
        <f t="shared" si="642"/>
        <v>279</v>
      </c>
      <c r="BW328" s="13">
        <v>324</v>
      </c>
      <c r="BX328" s="13">
        <f t="shared" si="643"/>
        <v>17</v>
      </c>
      <c r="BY328" s="14">
        <f t="shared" si="644"/>
        <v>3</v>
      </c>
      <c r="BZ328" s="14">
        <f t="shared" si="653"/>
        <v>1102017</v>
      </c>
      <c r="CA328" s="14" t="str">
        <f t="shared" si="654"/>
        <v>飞廉4突</v>
      </c>
      <c r="CB328" s="25" t="s">
        <v>142</v>
      </c>
      <c r="CC328" s="14">
        <v>2</v>
      </c>
      <c r="CD328" s="14">
        <f t="shared" si="645"/>
        <v>4</v>
      </c>
      <c r="CE328" s="14" t="s">
        <v>21</v>
      </c>
      <c r="CF328" s="14">
        <f>INDEX(属性投放!$AZ$6:$AZ$85,(BY328-2)*20+CD328)</f>
        <v>652</v>
      </c>
      <c r="CG328" s="14" t="s">
        <v>22</v>
      </c>
      <c r="CH328" s="14">
        <f>INDEX(属性投放!$BA$6:$BA$85,(BY328-2)*20+CD328)</f>
        <v>262</v>
      </c>
      <c r="CI328" s="14" t="s">
        <v>510</v>
      </c>
      <c r="CJ328" s="14">
        <f>INDEX(属性投放!$BB$6:$BB$85,(BY328-2)*20+CD328)</f>
        <v>3512</v>
      </c>
      <c r="CK328" s="14" t="s">
        <v>21</v>
      </c>
      <c r="CL328" s="14">
        <f>INDEX(属性投放!$BC$6:$BC$85,(BY328-2)*20+CD328)</f>
        <v>12</v>
      </c>
      <c r="CM328" s="14" t="s">
        <v>22</v>
      </c>
      <c r="CN328" s="14">
        <f>INDEX(属性投放!$BD$6:$BD$85,(BY328-2)*20+CD328)</f>
        <v>6</v>
      </c>
      <c r="CO328" s="14" t="s">
        <v>510</v>
      </c>
      <c r="CP328" s="14">
        <f>INDEX(属性投放!$BE$6:$BE$85,(BY328-2)*20+CD328)</f>
        <v>84</v>
      </c>
      <c r="CS328" s="13">
        <v>324</v>
      </c>
      <c r="CT328" s="13">
        <f t="shared" si="655"/>
        <v>7</v>
      </c>
      <c r="CU328" s="13">
        <f t="shared" si="656"/>
        <v>12</v>
      </c>
      <c r="CV328" s="14">
        <f t="shared" si="657"/>
        <v>4</v>
      </c>
      <c r="CW328" s="14">
        <f t="shared" si="658"/>
        <v>1102007</v>
      </c>
      <c r="CX328" s="14" t="str">
        <f>INDEX($O$6:$O$50,CT328)&amp;"-"&amp;INDEX(属性投放!$AB$7:$AB$50,CZ328)&amp;"-魂火-"&amp;DB328</f>
        <v>天使缇娜-叫唤-魂火-1</v>
      </c>
      <c r="CY328" s="25" t="s">
        <v>142</v>
      </c>
      <c r="CZ328" s="14">
        <f>INDEX(属性投放!$AM$7:$AM$58,CU328)</f>
        <v>7</v>
      </c>
      <c r="DA328" s="14" t="s">
        <v>537</v>
      </c>
      <c r="DB328" s="14">
        <f>INDEX(属性投放!$AN$7:$AN$58,CU328)</f>
        <v>1</v>
      </c>
      <c r="DC328" s="14">
        <f t="shared" si="646"/>
        <v>12</v>
      </c>
      <c r="DD328" s="14">
        <f>INDEX(属性投放!$AO$7:$AO$58,DC328)</f>
        <v>48</v>
      </c>
      <c r="DE328" s="14" t="s">
        <v>538</v>
      </c>
      <c r="DF328" s="14">
        <f>INDEX(属性投放!$BK$6:$BK$85,(CV328-2)*20+CZ328)</f>
        <v>80</v>
      </c>
      <c r="DG328" s="14">
        <f>SUMIFS(DF$5:DF328,$CT$5:$CT328,"="&amp;$CT328)</f>
        <v>555</v>
      </c>
      <c r="DH328" s="14" t="s">
        <v>539</v>
      </c>
      <c r="DI328" s="14">
        <f>INDEX(属性投放!$BL$6:$BL$85,(CV328-2)*20+CZ328)</f>
        <v>40</v>
      </c>
      <c r="DJ328" s="14">
        <f>SUMIFS(DI$5:DI328,$CT$5:$CT328,"="&amp;$CT328)</f>
        <v>281</v>
      </c>
      <c r="DK328" s="14" t="s">
        <v>540</v>
      </c>
      <c r="DL328" s="14">
        <f>INDEX(属性投放!$BM$6:$BM$85,(CV328-2)*20+CZ328)</f>
        <v>640</v>
      </c>
      <c r="DM328" s="14">
        <f>SUMIFS(DL$5:DL328,$CT$5:$CT328,"="&amp;$CT328)</f>
        <v>3810</v>
      </c>
      <c r="DR328" s="14">
        <f t="shared" si="647"/>
        <v>1102017</v>
      </c>
      <c r="DS328" s="14" t="str">
        <f t="shared" si="648"/>
        <v>飞廉4突</v>
      </c>
      <c r="DT328" s="14">
        <f t="shared" si="659"/>
        <v>6</v>
      </c>
      <c r="DU328" s="14">
        <f t="shared" si="660"/>
        <v>6</v>
      </c>
      <c r="DV328" s="14">
        <f t="shared" si="661"/>
        <v>4</v>
      </c>
      <c r="DW328" s="14">
        <f t="shared" si="649"/>
        <v>3</v>
      </c>
      <c r="DX328" s="14">
        <f t="shared" si="650"/>
        <v>4</v>
      </c>
      <c r="DY328" s="14">
        <f t="shared" si="651"/>
        <v>24</v>
      </c>
      <c r="DZ328" s="14">
        <f>INDEX(属性投放!$AX$6:$AX$85,(卡牌属性!DW328-2)*20+卡牌属性!DX328)</f>
        <v>10</v>
      </c>
      <c r="EA328" s="14">
        <f>INDEX(属性投放!BQ$6:BQ$85,卡牌属性!$DY328)</f>
        <v>75</v>
      </c>
      <c r="EB328" s="14">
        <f>INDEX(属性投放!BR$6:BR$85,卡牌属性!$DY328)</f>
        <v>38</v>
      </c>
      <c r="EC328" s="14">
        <f>INDEX(属性投放!BS$6:BS$85,卡牌属性!$DY328)</f>
        <v>525</v>
      </c>
      <c r="ED328" s="14">
        <f t="shared" si="662"/>
        <v>595</v>
      </c>
      <c r="EE328" s="14">
        <f t="shared" si="663"/>
        <v>688</v>
      </c>
      <c r="EF328" s="14">
        <f t="shared" si="664"/>
        <v>782</v>
      </c>
      <c r="EG328" s="14">
        <f t="shared" si="665"/>
        <v>782</v>
      </c>
      <c r="EH328" s="14">
        <f t="shared" si="666"/>
        <v>900</v>
      </c>
      <c r="EI328" s="14">
        <f t="shared" si="667"/>
        <v>250</v>
      </c>
      <c r="EJ328" s="14">
        <f t="shared" si="668"/>
        <v>304</v>
      </c>
      <c r="EK328" s="14">
        <f t="shared" si="669"/>
        <v>304</v>
      </c>
      <c r="EL328" s="14">
        <f t="shared" si="670"/>
        <v>353</v>
      </c>
      <c r="EM328" s="14">
        <f t="shared" si="671"/>
        <v>402</v>
      </c>
      <c r="EN328" s="14">
        <f t="shared" si="672"/>
        <v>2344</v>
      </c>
      <c r="EO328" s="14">
        <f t="shared" si="673"/>
        <v>2732</v>
      </c>
      <c r="EP328" s="14">
        <f t="shared" si="674"/>
        <v>2732</v>
      </c>
      <c r="EQ328" s="14">
        <f t="shared" si="675"/>
        <v>3170</v>
      </c>
      <c r="ER328" s="14">
        <f t="shared" si="676"/>
        <v>3728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70</v>
      </c>
      <c r="FD328" s="14">
        <f>INDEX(属性偏向!$U$4:$U$243,(卡牌属性!$DV328-1+FD$3)*20+卡牌属性!$DX328)</f>
        <v>84</v>
      </c>
      <c r="FE328" s="14">
        <f>INDEX(属性偏向!$U$4:$U$243,(卡牌属性!$DV328-1+FE$3)*20+卡牌属性!$DX328)</f>
        <v>84</v>
      </c>
      <c r="FF328" s="14">
        <f>INDEX(属性偏向!$U$4:$U$243,(卡牌属性!$DV328-1+FF$3)*20+卡牌属性!$DX328)</f>
        <v>91</v>
      </c>
      <c r="FG328" s="14">
        <f>INDEX(属性偏向!$U$4:$U$243,(卡牌属性!$DV328-1+FG$3)*20+卡牌属性!$DX328)</f>
        <v>140</v>
      </c>
      <c r="FH328" s="14">
        <f>INDEX(属性投放!$BQ$6:$BQ$85,(卡牌属性!$DW328-2)*20+卡牌属性!$DX328)</f>
        <v>75</v>
      </c>
      <c r="FI328" s="14">
        <f>INDEX(属性投放!$BQ$6:$BQ$85,(卡牌属性!$DW328-2)*20+卡牌属性!$DX328)</f>
        <v>75</v>
      </c>
      <c r="FJ328" s="14">
        <f>INDEX(属性投放!$BQ$6:$BQ$85,(卡牌属性!$DW328-2)*20+卡牌属性!$DX328)</f>
        <v>75</v>
      </c>
      <c r="FK328" s="14">
        <f>INDEX(属性投放!$BQ$6:$BQ$85,(卡牌属性!$DW328-2)*20+卡牌属性!$DX328)</f>
        <v>75</v>
      </c>
      <c r="FL328" s="14">
        <f>INDEX(属性投放!$BQ$6:$BQ$85,(卡牌属性!$DW328-2)*20+卡牌属性!$DX328)</f>
        <v>75</v>
      </c>
      <c r="FM328" s="14">
        <f>INDEX(属性投放!$BR$6:$BR$85,(卡牌属性!$DW328-2)*20+卡牌属性!$DX328)</f>
        <v>38</v>
      </c>
      <c r="FN328" s="14">
        <f>INDEX(属性投放!$BR$6:$BR$85,(卡牌属性!$DW328-2)*20+卡牌属性!$DX328)</f>
        <v>38</v>
      </c>
      <c r="FO328" s="14">
        <f>INDEX(属性投放!$BR$6:$BR$85,(卡牌属性!$DW328-2)*20+卡牌属性!$DX328)</f>
        <v>38</v>
      </c>
      <c r="FP328" s="14">
        <f>INDEX(属性投放!$BR$6:$BR$85,(卡牌属性!$DW328-2)*20+卡牌属性!$DX328)</f>
        <v>38</v>
      </c>
      <c r="FQ328" s="14">
        <f>INDEX(属性投放!$BR$6:$BR$85,(卡牌属性!$DW328-2)*20+卡牌属性!$DX328)</f>
        <v>38</v>
      </c>
      <c r="FR328" s="14">
        <f>INDEX(属性投放!$BS$6:$BS$85,(卡牌属性!$DW328-2)*20+卡牌属性!$DX328)</f>
        <v>525</v>
      </c>
      <c r="FS328" s="14">
        <f>INDEX(属性投放!$BS$6:$BS$85,(卡牌属性!$DW328-2)*20+卡牌属性!$DX328)</f>
        <v>525</v>
      </c>
      <c r="FT328" s="14">
        <f>INDEX(属性投放!$BS$6:$BS$85,(卡牌属性!$DW328-2)*20+卡牌属性!$DX328)</f>
        <v>525</v>
      </c>
      <c r="FU328" s="14">
        <f>INDEX(属性投放!$BS$6:$BS$85,(卡牌属性!$DW328-2)*20+卡牌属性!$DX328)</f>
        <v>525</v>
      </c>
      <c r="FV328" s="14">
        <f>INDEX(属性投放!$BS$6:$BS$85,(卡牌属性!$DW328-2)*20+卡牌属性!$DX328)</f>
        <v>525</v>
      </c>
    </row>
    <row r="329" spans="31:178" ht="16.5" x14ac:dyDescent="0.2">
      <c r="AE329" s="13">
        <v>325</v>
      </c>
      <c r="AF329" s="13">
        <f t="shared" si="652"/>
        <v>17</v>
      </c>
      <c r="AG329" s="13">
        <f t="shared" si="633"/>
        <v>4</v>
      </c>
      <c r="AH329" s="13"/>
      <c r="AI329" s="13"/>
      <c r="AJ329" s="14">
        <f t="shared" si="634"/>
        <v>1101016</v>
      </c>
      <c r="AK329" s="14" t="str">
        <f t="shared" si="635"/>
        <v>秦王攻5突</v>
      </c>
      <c r="AL329" s="25" t="s">
        <v>142</v>
      </c>
      <c r="AM329" s="14">
        <v>1</v>
      </c>
      <c r="AN329" s="14">
        <f t="shared" si="636"/>
        <v>5</v>
      </c>
      <c r="AO329" s="14">
        <f>INDEX(属性投放!$DF$6:$DF$85,(卡牌属性!AG329-2)*20+卡牌属性!AN329)</f>
        <v>754</v>
      </c>
      <c r="AP329" s="14">
        <f t="shared" si="637"/>
        <v>754</v>
      </c>
      <c r="AQ329" s="14">
        <f t="shared" si="637"/>
        <v>754</v>
      </c>
      <c r="AR329" s="14">
        <f t="shared" si="637"/>
        <v>754</v>
      </c>
      <c r="AS329" s="14">
        <f t="shared" si="637"/>
        <v>754</v>
      </c>
      <c r="AT329" s="14">
        <f>INDEX(属性投放!$DG$6:$DG$85,(卡牌属性!AG329-2)*20+卡牌属性!AN329)</f>
        <v>305</v>
      </c>
      <c r="AU329" s="14">
        <f t="shared" si="638"/>
        <v>305</v>
      </c>
      <c r="AV329" s="14">
        <f t="shared" si="638"/>
        <v>305</v>
      </c>
      <c r="AW329" s="14">
        <f t="shared" si="638"/>
        <v>305</v>
      </c>
      <c r="AX329" s="14">
        <f t="shared" si="638"/>
        <v>305</v>
      </c>
      <c r="AY329" s="14">
        <f>INDEX(属性投放!$DH$6:$DH$85,(卡牌属性!AG329-2)*20+卡牌属性!AN329)</f>
        <v>4053</v>
      </c>
      <c r="AZ329" s="14">
        <f t="shared" si="639"/>
        <v>4053</v>
      </c>
      <c r="BA329" s="14">
        <f t="shared" si="639"/>
        <v>4053</v>
      </c>
      <c r="BB329" s="14">
        <f t="shared" si="639"/>
        <v>4053</v>
      </c>
      <c r="BC329" s="14">
        <f t="shared" si="639"/>
        <v>4053</v>
      </c>
      <c r="BD329" s="14">
        <f>INDEX(属性投放!$DL$6:$DL$85,(卡牌属性!AG329-2)*20+卡牌属性!AN329)</f>
        <v>40</v>
      </c>
      <c r="BE329" s="14">
        <f t="shared" si="640"/>
        <v>40</v>
      </c>
      <c r="BF329" s="14">
        <f t="shared" si="640"/>
        <v>40</v>
      </c>
      <c r="BG329" s="14">
        <f t="shared" si="640"/>
        <v>40</v>
      </c>
      <c r="BH329" s="14">
        <f t="shared" si="640"/>
        <v>40</v>
      </c>
      <c r="BI329" s="14">
        <f>INDEX(属性投放!$DM$6:$DM$85,(卡牌属性!AG329-2)*20+卡牌属性!AN329)</f>
        <v>20</v>
      </c>
      <c r="BJ329" s="14">
        <f t="shared" si="641"/>
        <v>20</v>
      </c>
      <c r="BK329" s="14">
        <f t="shared" si="641"/>
        <v>20</v>
      </c>
      <c r="BL329" s="14">
        <f t="shared" si="641"/>
        <v>20</v>
      </c>
      <c r="BM329" s="14">
        <f t="shared" si="641"/>
        <v>20</v>
      </c>
      <c r="BN329" s="14">
        <f>INDEX(属性投放!$DN$6:$DN$85,(卡牌属性!AG329-2)*20+卡牌属性!AN329)</f>
        <v>279</v>
      </c>
      <c r="BO329" s="14">
        <f t="shared" si="642"/>
        <v>279</v>
      </c>
      <c r="BP329" s="14">
        <f t="shared" si="642"/>
        <v>279</v>
      </c>
      <c r="BQ329" s="14">
        <f t="shared" si="642"/>
        <v>279</v>
      </c>
      <c r="BR329" s="14">
        <f t="shared" si="642"/>
        <v>279</v>
      </c>
      <c r="BW329" s="13">
        <v>325</v>
      </c>
      <c r="BX329" s="13">
        <f t="shared" si="643"/>
        <v>17</v>
      </c>
      <c r="BY329" s="14">
        <f t="shared" si="644"/>
        <v>3</v>
      </c>
      <c r="BZ329" s="14">
        <f t="shared" si="653"/>
        <v>1102017</v>
      </c>
      <c r="CA329" s="14" t="str">
        <f t="shared" si="654"/>
        <v>飞廉5突</v>
      </c>
      <c r="CB329" s="25" t="s">
        <v>142</v>
      </c>
      <c r="CC329" s="14">
        <v>2</v>
      </c>
      <c r="CD329" s="14">
        <f t="shared" si="645"/>
        <v>5</v>
      </c>
      <c r="CE329" s="14" t="s">
        <v>21</v>
      </c>
      <c r="CF329" s="14">
        <f>INDEX(属性投放!$AZ$6:$AZ$85,(BY329-2)*20+CD329)</f>
        <v>927</v>
      </c>
      <c r="CG329" s="14" t="s">
        <v>22</v>
      </c>
      <c r="CH329" s="14">
        <f>INDEX(属性投放!$BA$6:$BA$85,(BY329-2)*20+CD329)</f>
        <v>400</v>
      </c>
      <c r="CI329" s="14" t="s">
        <v>510</v>
      </c>
      <c r="CJ329" s="14">
        <f>INDEX(属性投放!$BB$6:$BB$85,(BY329-2)*20+CD329)</f>
        <v>5437</v>
      </c>
      <c r="CK329" s="14" t="s">
        <v>21</v>
      </c>
      <c r="CL329" s="14">
        <f>INDEX(属性投放!$BC$6:$BC$85,(BY329-2)*20+CD329)</f>
        <v>12</v>
      </c>
      <c r="CM329" s="14" t="s">
        <v>22</v>
      </c>
      <c r="CN329" s="14">
        <f>INDEX(属性投放!$BD$6:$BD$85,(BY329-2)*20+CD329)</f>
        <v>6</v>
      </c>
      <c r="CO329" s="14" t="s">
        <v>510</v>
      </c>
      <c r="CP329" s="14">
        <f>INDEX(属性投放!$BE$6:$BE$85,(BY329-2)*20+CD329)</f>
        <v>84</v>
      </c>
      <c r="CS329" s="13">
        <v>325</v>
      </c>
      <c r="CT329" s="13">
        <f t="shared" si="655"/>
        <v>7</v>
      </c>
      <c r="CU329" s="13">
        <f t="shared" si="656"/>
        <v>13</v>
      </c>
      <c r="CV329" s="14">
        <f t="shared" si="657"/>
        <v>4</v>
      </c>
      <c r="CW329" s="14">
        <f t="shared" si="658"/>
        <v>1102007</v>
      </c>
      <c r="CX329" s="14" t="str">
        <f>INDEX($O$6:$O$50,CT329)&amp;"-"&amp;INDEX(属性投放!$AB$7:$AB$50,CZ329)&amp;"-魂火-"&amp;DB329</f>
        <v>天使缇娜-叫唤-魂火-2</v>
      </c>
      <c r="CY329" s="25" t="s">
        <v>142</v>
      </c>
      <c r="CZ329" s="14">
        <f>INDEX(属性投放!$AM$7:$AM$58,CU329)</f>
        <v>7</v>
      </c>
      <c r="DA329" s="14" t="s">
        <v>537</v>
      </c>
      <c r="DB329" s="14">
        <f>INDEX(属性投放!$AN$7:$AN$58,CU329)</f>
        <v>2</v>
      </c>
      <c r="DC329" s="14">
        <f t="shared" si="646"/>
        <v>13</v>
      </c>
      <c r="DD329" s="14">
        <f>INDEX(属性投放!$AO$7:$AO$58,DC329)</f>
        <v>50</v>
      </c>
      <c r="DE329" s="14" t="s">
        <v>538</v>
      </c>
      <c r="DF329" s="14">
        <f>INDEX(属性投放!$BK$6:$BK$85,(CV329-2)*20+CZ329)</f>
        <v>80</v>
      </c>
      <c r="DG329" s="14">
        <f>SUMIFS(DF$5:DF329,$CT$5:$CT329,"="&amp;$CT329)</f>
        <v>635</v>
      </c>
      <c r="DH329" s="14" t="s">
        <v>539</v>
      </c>
      <c r="DI329" s="14">
        <f>INDEX(属性投放!$BL$6:$BL$85,(CV329-2)*20+CZ329)</f>
        <v>40</v>
      </c>
      <c r="DJ329" s="14">
        <f>SUMIFS(DI$5:DI329,$CT$5:$CT329,"="&amp;$CT329)</f>
        <v>321</v>
      </c>
      <c r="DK329" s="14" t="s">
        <v>540</v>
      </c>
      <c r="DL329" s="14">
        <f>INDEX(属性投放!$BM$6:$BM$85,(CV329-2)*20+CZ329)</f>
        <v>640</v>
      </c>
      <c r="DM329" s="14">
        <f>SUMIFS(DL$5:DL329,$CT$5:$CT329,"="&amp;$CT329)</f>
        <v>4450</v>
      </c>
      <c r="DR329" s="14">
        <f t="shared" si="647"/>
        <v>1102017</v>
      </c>
      <c r="DS329" s="14" t="str">
        <f t="shared" si="648"/>
        <v>飞廉5突</v>
      </c>
      <c r="DT329" s="14">
        <f t="shared" si="659"/>
        <v>6</v>
      </c>
      <c r="DU329" s="14">
        <f t="shared" si="660"/>
        <v>6</v>
      </c>
      <c r="DV329" s="14">
        <f t="shared" si="661"/>
        <v>4</v>
      </c>
      <c r="DW329" s="14">
        <f t="shared" si="649"/>
        <v>3</v>
      </c>
      <c r="DX329" s="14">
        <f t="shared" si="650"/>
        <v>5</v>
      </c>
      <c r="DY329" s="14">
        <f t="shared" si="651"/>
        <v>25</v>
      </c>
      <c r="DZ329" s="14">
        <f>INDEX(属性投放!$AX$6:$AX$85,(卡牌属性!DW329-2)*20+卡牌属性!DX329)</f>
        <v>7</v>
      </c>
      <c r="EA329" s="14">
        <f>INDEX(属性投放!BQ$6:BQ$85,卡牌属性!$DY329)</f>
        <v>100</v>
      </c>
      <c r="EB329" s="14">
        <f>INDEX(属性投放!BR$6:BR$85,卡牌属性!$DY329)</f>
        <v>50</v>
      </c>
      <c r="EC329" s="14">
        <f>INDEX(属性投放!BS$6:BS$85,卡牌属性!$DY329)</f>
        <v>700</v>
      </c>
      <c r="ED329" s="14">
        <f t="shared" si="662"/>
        <v>800</v>
      </c>
      <c r="EE329" s="14">
        <f t="shared" si="663"/>
        <v>963</v>
      </c>
      <c r="EF329" s="14">
        <f t="shared" si="664"/>
        <v>1077</v>
      </c>
      <c r="EG329" s="14">
        <f t="shared" si="665"/>
        <v>1077</v>
      </c>
      <c r="EH329" s="14">
        <f t="shared" si="666"/>
        <v>1225</v>
      </c>
      <c r="EI329" s="14">
        <f t="shared" si="667"/>
        <v>358</v>
      </c>
      <c r="EJ329" s="14">
        <f t="shared" si="668"/>
        <v>442</v>
      </c>
      <c r="EK329" s="14">
        <f t="shared" si="669"/>
        <v>442</v>
      </c>
      <c r="EL329" s="14">
        <f t="shared" si="670"/>
        <v>501</v>
      </c>
      <c r="EM329" s="14">
        <f t="shared" si="671"/>
        <v>570</v>
      </c>
      <c r="EN329" s="14">
        <f t="shared" si="672"/>
        <v>3569</v>
      </c>
      <c r="EO329" s="14">
        <f t="shared" si="673"/>
        <v>4097</v>
      </c>
      <c r="EP329" s="14">
        <f t="shared" si="674"/>
        <v>4097</v>
      </c>
      <c r="EQ329" s="14">
        <f t="shared" si="675"/>
        <v>4605</v>
      </c>
      <c r="ER329" s="14">
        <f t="shared" si="676"/>
        <v>5653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70</v>
      </c>
      <c r="FD329" s="14">
        <f>INDEX(属性偏向!$U$4:$U$243,(卡牌属性!$DV329-1+FD$3)*20+卡牌属性!$DX329)</f>
        <v>84</v>
      </c>
      <c r="FE329" s="14">
        <f>INDEX(属性偏向!$U$4:$U$243,(卡牌属性!$DV329-1+FE$3)*20+卡牌属性!$DX329)</f>
        <v>84</v>
      </c>
      <c r="FF329" s="14">
        <f>INDEX(属性偏向!$U$4:$U$243,(卡牌属性!$DV329-1+FF$3)*20+卡牌属性!$DX329)</f>
        <v>91</v>
      </c>
      <c r="FG329" s="14">
        <f>INDEX(属性偏向!$U$4:$U$243,(卡牌属性!$DV329-1+FG$3)*20+卡牌属性!$DX329)</f>
        <v>140</v>
      </c>
      <c r="FH329" s="14">
        <f>INDEX(属性投放!$BQ$6:$BQ$85,(卡牌属性!$DW329-2)*20+卡牌属性!$DX329)</f>
        <v>100</v>
      </c>
      <c r="FI329" s="14">
        <f>INDEX(属性投放!$BQ$6:$BQ$85,(卡牌属性!$DW329-2)*20+卡牌属性!$DX329)</f>
        <v>100</v>
      </c>
      <c r="FJ329" s="14">
        <f>INDEX(属性投放!$BQ$6:$BQ$85,(卡牌属性!$DW329-2)*20+卡牌属性!$DX329)</f>
        <v>100</v>
      </c>
      <c r="FK329" s="14">
        <f>INDEX(属性投放!$BQ$6:$BQ$85,(卡牌属性!$DW329-2)*20+卡牌属性!$DX329)</f>
        <v>100</v>
      </c>
      <c r="FL329" s="14">
        <f>INDEX(属性投放!$BQ$6:$BQ$85,(卡牌属性!$DW329-2)*20+卡牌属性!$DX329)</f>
        <v>100</v>
      </c>
      <c r="FM329" s="14">
        <f>INDEX(属性投放!$BR$6:$BR$85,(卡牌属性!$DW329-2)*20+卡牌属性!$DX329)</f>
        <v>50</v>
      </c>
      <c r="FN329" s="14">
        <f>INDEX(属性投放!$BR$6:$BR$85,(卡牌属性!$DW329-2)*20+卡牌属性!$DX329)</f>
        <v>50</v>
      </c>
      <c r="FO329" s="14">
        <f>INDEX(属性投放!$BR$6:$BR$85,(卡牌属性!$DW329-2)*20+卡牌属性!$DX329)</f>
        <v>50</v>
      </c>
      <c r="FP329" s="14">
        <f>INDEX(属性投放!$BR$6:$BR$85,(卡牌属性!$DW329-2)*20+卡牌属性!$DX329)</f>
        <v>50</v>
      </c>
      <c r="FQ329" s="14">
        <f>INDEX(属性投放!$BR$6:$BR$85,(卡牌属性!$DW329-2)*20+卡牌属性!$DX329)</f>
        <v>50</v>
      </c>
      <c r="FR329" s="14">
        <f>INDEX(属性投放!$BS$6:$BS$85,(卡牌属性!$DW329-2)*20+卡牌属性!$DX329)</f>
        <v>700</v>
      </c>
      <c r="FS329" s="14">
        <f>INDEX(属性投放!$BS$6:$BS$85,(卡牌属性!$DW329-2)*20+卡牌属性!$DX329)</f>
        <v>700</v>
      </c>
      <c r="FT329" s="14">
        <f>INDEX(属性投放!$BS$6:$BS$85,(卡牌属性!$DW329-2)*20+卡牌属性!$DX329)</f>
        <v>700</v>
      </c>
      <c r="FU329" s="14">
        <f>INDEX(属性投放!$BS$6:$BS$85,(卡牌属性!$DW329-2)*20+卡牌属性!$DX329)</f>
        <v>700</v>
      </c>
      <c r="FV329" s="14">
        <f>INDEX(属性投放!$BS$6:$BS$85,(卡牌属性!$DW329-2)*20+卡牌属性!$DX329)</f>
        <v>700</v>
      </c>
    </row>
    <row r="330" spans="31:178" ht="16.5" x14ac:dyDescent="0.2">
      <c r="AE330" s="13">
        <v>326</v>
      </c>
      <c r="AF330" s="13">
        <f t="shared" si="652"/>
        <v>17</v>
      </c>
      <c r="AG330" s="13">
        <f t="shared" si="633"/>
        <v>4</v>
      </c>
      <c r="AH330" s="13"/>
      <c r="AI330" s="13"/>
      <c r="AJ330" s="14">
        <f t="shared" si="634"/>
        <v>1101016</v>
      </c>
      <c r="AK330" s="14" t="str">
        <f t="shared" si="635"/>
        <v>秦王攻6突</v>
      </c>
      <c r="AL330" s="25" t="s">
        <v>142</v>
      </c>
      <c r="AM330" s="14">
        <v>1</v>
      </c>
      <c r="AN330" s="14">
        <f t="shared" si="636"/>
        <v>6</v>
      </c>
      <c r="AO330" s="14">
        <f>INDEX(属性投放!$DF$6:$DF$85,(卡牌属性!AG330-2)*20+卡牌属性!AN330)</f>
        <v>868</v>
      </c>
      <c r="AP330" s="14">
        <f t="shared" si="637"/>
        <v>868</v>
      </c>
      <c r="AQ330" s="14">
        <f t="shared" si="637"/>
        <v>868</v>
      </c>
      <c r="AR330" s="14">
        <f t="shared" si="637"/>
        <v>868</v>
      </c>
      <c r="AS330" s="14">
        <f t="shared" si="637"/>
        <v>868</v>
      </c>
      <c r="AT330" s="14">
        <f>INDEX(属性投放!$DG$6:$DG$85,(卡牌属性!AG330-2)*20+卡牌属性!AN330)</f>
        <v>362</v>
      </c>
      <c r="AU330" s="14">
        <f t="shared" si="638"/>
        <v>362</v>
      </c>
      <c r="AV330" s="14">
        <f t="shared" si="638"/>
        <v>362</v>
      </c>
      <c r="AW330" s="14">
        <f t="shared" si="638"/>
        <v>362</v>
      </c>
      <c r="AX330" s="14">
        <f t="shared" si="638"/>
        <v>362</v>
      </c>
      <c r="AY330" s="14">
        <f>INDEX(属性投放!$DH$6:$DH$85,(卡牌属性!AG330-2)*20+卡牌属性!AN330)</f>
        <v>4851</v>
      </c>
      <c r="AZ330" s="14">
        <f t="shared" si="639"/>
        <v>4851</v>
      </c>
      <c r="BA330" s="14">
        <f t="shared" si="639"/>
        <v>4851</v>
      </c>
      <c r="BB330" s="14">
        <f t="shared" si="639"/>
        <v>4851</v>
      </c>
      <c r="BC330" s="14">
        <f t="shared" si="639"/>
        <v>4851</v>
      </c>
      <c r="BD330" s="14">
        <f>INDEX(属性投放!$DL$6:$DL$85,(卡牌属性!AG330-2)*20+卡牌属性!AN330)</f>
        <v>40</v>
      </c>
      <c r="BE330" s="14">
        <f t="shared" si="640"/>
        <v>40</v>
      </c>
      <c r="BF330" s="14">
        <f t="shared" si="640"/>
        <v>40</v>
      </c>
      <c r="BG330" s="14">
        <f t="shared" si="640"/>
        <v>40</v>
      </c>
      <c r="BH330" s="14">
        <f t="shared" si="640"/>
        <v>40</v>
      </c>
      <c r="BI330" s="14">
        <f>INDEX(属性投放!$DM$6:$DM$85,(卡牌属性!AG330-2)*20+卡牌属性!AN330)</f>
        <v>20</v>
      </c>
      <c r="BJ330" s="14">
        <f t="shared" si="641"/>
        <v>20</v>
      </c>
      <c r="BK330" s="14">
        <f t="shared" si="641"/>
        <v>20</v>
      </c>
      <c r="BL330" s="14">
        <f t="shared" si="641"/>
        <v>20</v>
      </c>
      <c r="BM330" s="14">
        <f t="shared" si="641"/>
        <v>20</v>
      </c>
      <c r="BN330" s="14">
        <f>INDEX(属性投放!$DN$6:$DN$85,(卡牌属性!AG330-2)*20+卡牌属性!AN330)</f>
        <v>279</v>
      </c>
      <c r="BO330" s="14">
        <f t="shared" si="642"/>
        <v>279</v>
      </c>
      <c r="BP330" s="14">
        <f t="shared" si="642"/>
        <v>279</v>
      </c>
      <c r="BQ330" s="14">
        <f t="shared" si="642"/>
        <v>279</v>
      </c>
      <c r="BR330" s="14">
        <f t="shared" si="642"/>
        <v>279</v>
      </c>
      <c r="BW330" s="13">
        <v>326</v>
      </c>
      <c r="BX330" s="13">
        <f t="shared" si="643"/>
        <v>17</v>
      </c>
      <c r="BY330" s="14">
        <f t="shared" si="644"/>
        <v>3</v>
      </c>
      <c r="BZ330" s="14">
        <f t="shared" si="653"/>
        <v>1102017</v>
      </c>
      <c r="CA330" s="14" t="str">
        <f t="shared" si="654"/>
        <v>飞廉6突</v>
      </c>
      <c r="CB330" s="25" t="s">
        <v>142</v>
      </c>
      <c r="CC330" s="14">
        <v>2</v>
      </c>
      <c r="CD330" s="14">
        <f t="shared" si="645"/>
        <v>6</v>
      </c>
      <c r="CE330" s="14" t="s">
        <v>21</v>
      </c>
      <c r="CF330" s="14">
        <f>INDEX(属性投放!$AZ$6:$AZ$85,(BY330-2)*20+CD330)</f>
        <v>1201</v>
      </c>
      <c r="CG330" s="14" t="s">
        <v>22</v>
      </c>
      <c r="CH330" s="14">
        <f>INDEX(属性投放!$BA$6:$BA$85,(BY330-2)*20+CD330)</f>
        <v>538</v>
      </c>
      <c r="CI330" s="14" t="s">
        <v>510</v>
      </c>
      <c r="CJ330" s="14">
        <f>INDEX(属性投放!$BB$6:$BB$85,(BY330-2)*20+CD330)</f>
        <v>7355</v>
      </c>
      <c r="CK330" s="14" t="s">
        <v>21</v>
      </c>
      <c r="CL330" s="14">
        <f>INDEX(属性投放!$BC$6:$BC$85,(BY330-2)*20+CD330)</f>
        <v>12</v>
      </c>
      <c r="CM330" s="14" t="s">
        <v>22</v>
      </c>
      <c r="CN330" s="14">
        <f>INDEX(属性投放!$BD$6:$BD$85,(BY330-2)*20+CD330)</f>
        <v>6</v>
      </c>
      <c r="CO330" s="14" t="s">
        <v>510</v>
      </c>
      <c r="CP330" s="14">
        <f>INDEX(属性投放!$BE$6:$BE$85,(BY330-2)*20+CD330)</f>
        <v>84</v>
      </c>
      <c r="CS330" s="13">
        <v>326</v>
      </c>
      <c r="CT330" s="13">
        <f t="shared" si="655"/>
        <v>7</v>
      </c>
      <c r="CU330" s="13">
        <f t="shared" si="656"/>
        <v>14</v>
      </c>
      <c r="CV330" s="14">
        <f t="shared" si="657"/>
        <v>4</v>
      </c>
      <c r="CW330" s="14">
        <f t="shared" si="658"/>
        <v>1102007</v>
      </c>
      <c r="CX330" s="14" t="str">
        <f>INDEX($O$6:$O$50,CT330)&amp;"-"&amp;INDEX(属性投放!$AB$7:$AB$50,CZ330)&amp;"-魂火-"&amp;DB330</f>
        <v>天使缇娜-叫唤+1-魂火-1</v>
      </c>
      <c r="CY330" s="25" t="s">
        <v>142</v>
      </c>
      <c r="CZ330" s="14">
        <f>INDEX(属性投放!$AM$7:$AM$58,CU330)</f>
        <v>8</v>
      </c>
      <c r="DA330" s="14" t="s">
        <v>537</v>
      </c>
      <c r="DB330" s="14">
        <f>INDEX(属性投放!$AN$7:$AN$58,CU330)</f>
        <v>1</v>
      </c>
      <c r="DC330" s="14">
        <f t="shared" si="646"/>
        <v>14</v>
      </c>
      <c r="DD330" s="14">
        <f>INDEX(属性投放!$AO$7:$AO$58,DC330)</f>
        <v>53</v>
      </c>
      <c r="DE330" s="14" t="s">
        <v>538</v>
      </c>
      <c r="DF330" s="14">
        <f>INDEX(属性投放!$BK$6:$BK$85,(CV330-2)*20+CZ330)</f>
        <v>100</v>
      </c>
      <c r="DG330" s="14">
        <f>SUMIFS(DF$5:DF330,$CT$5:$CT330,"="&amp;$CT330)</f>
        <v>735</v>
      </c>
      <c r="DH330" s="14" t="s">
        <v>539</v>
      </c>
      <c r="DI330" s="14">
        <f>INDEX(属性投放!$BL$6:$BL$85,(CV330-2)*20+CZ330)</f>
        <v>50</v>
      </c>
      <c r="DJ330" s="14">
        <f>SUMIFS(DI$5:DI330,$CT$5:$CT330,"="&amp;$CT330)</f>
        <v>371</v>
      </c>
      <c r="DK330" s="14" t="s">
        <v>540</v>
      </c>
      <c r="DL330" s="14">
        <f>INDEX(属性投放!$BM$6:$BM$85,(CV330-2)*20+CZ330)</f>
        <v>800</v>
      </c>
      <c r="DM330" s="14">
        <f>SUMIFS(DL$5:DL330,$CT$5:$CT330,"="&amp;$CT330)</f>
        <v>5250</v>
      </c>
      <c r="DR330" s="14">
        <f t="shared" si="647"/>
        <v>1102017</v>
      </c>
      <c r="DS330" s="14" t="str">
        <f t="shared" si="648"/>
        <v>飞廉6突</v>
      </c>
      <c r="DT330" s="14">
        <f t="shared" si="659"/>
        <v>6</v>
      </c>
      <c r="DU330" s="14">
        <f t="shared" si="660"/>
        <v>6</v>
      </c>
      <c r="DV330" s="14">
        <f t="shared" si="661"/>
        <v>4</v>
      </c>
      <c r="DW330" s="14">
        <f t="shared" si="649"/>
        <v>3</v>
      </c>
      <c r="DX330" s="14">
        <f t="shared" si="650"/>
        <v>6</v>
      </c>
      <c r="DY330" s="14">
        <f t="shared" si="651"/>
        <v>26</v>
      </c>
      <c r="DZ330" s="14">
        <f>INDEX(属性投放!$AX$6:$AX$85,(卡牌属性!DW330-2)*20+卡牌属性!DX330)</f>
        <v>5</v>
      </c>
      <c r="EA330" s="14">
        <f>INDEX(属性投放!BQ$6:BQ$85,卡牌属性!$DY330)</f>
        <v>140</v>
      </c>
      <c r="EB330" s="14">
        <f>INDEX(属性投放!BR$6:BR$85,卡牌属性!$DY330)</f>
        <v>70</v>
      </c>
      <c r="EC330" s="14">
        <f>INDEX(属性投放!BS$6:BS$85,卡牌属性!$DY330)</f>
        <v>980</v>
      </c>
      <c r="ED330" s="14">
        <f t="shared" si="662"/>
        <v>991</v>
      </c>
      <c r="EE330" s="14">
        <f t="shared" si="663"/>
        <v>1203</v>
      </c>
      <c r="EF330" s="14">
        <f t="shared" si="664"/>
        <v>1331</v>
      </c>
      <c r="EG330" s="14">
        <f t="shared" si="665"/>
        <v>1331</v>
      </c>
      <c r="EH330" s="14">
        <f t="shared" si="666"/>
        <v>1500</v>
      </c>
      <c r="EI330" s="14">
        <f t="shared" si="667"/>
        <v>457</v>
      </c>
      <c r="EJ330" s="14">
        <f t="shared" si="668"/>
        <v>562</v>
      </c>
      <c r="EK330" s="14">
        <f t="shared" si="669"/>
        <v>562</v>
      </c>
      <c r="EL330" s="14">
        <f t="shared" si="670"/>
        <v>628</v>
      </c>
      <c r="EM330" s="14">
        <f t="shared" si="671"/>
        <v>711</v>
      </c>
      <c r="EN330" s="14">
        <f t="shared" si="672"/>
        <v>4759</v>
      </c>
      <c r="EO330" s="14">
        <f t="shared" si="673"/>
        <v>5385</v>
      </c>
      <c r="EP330" s="14">
        <f t="shared" si="674"/>
        <v>5385</v>
      </c>
      <c r="EQ330" s="14">
        <f t="shared" si="675"/>
        <v>5942</v>
      </c>
      <c r="ER330" s="14">
        <f t="shared" si="676"/>
        <v>7333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70</v>
      </c>
      <c r="FD330" s="14">
        <f>INDEX(属性偏向!$U$4:$U$243,(卡牌属性!$DV330-1+FD$3)*20+卡牌属性!$DX330)</f>
        <v>84</v>
      </c>
      <c r="FE330" s="14">
        <f>INDEX(属性偏向!$U$4:$U$243,(卡牌属性!$DV330-1+FE$3)*20+卡牌属性!$DX330)</f>
        <v>84</v>
      </c>
      <c r="FF330" s="14">
        <f>INDEX(属性偏向!$U$4:$U$243,(卡牌属性!$DV330-1+FF$3)*20+卡牌属性!$DX330)</f>
        <v>91</v>
      </c>
      <c r="FG330" s="14">
        <f>INDEX(属性偏向!$U$4:$U$243,(卡牌属性!$DV330-1+FG$3)*20+卡牌属性!$DX330)</f>
        <v>140</v>
      </c>
      <c r="FH330" s="14">
        <f>INDEX(属性投放!$BQ$6:$BQ$85,(卡牌属性!$DW330-2)*20+卡牌属性!$DX330)</f>
        <v>140</v>
      </c>
      <c r="FI330" s="14">
        <f>INDEX(属性投放!$BQ$6:$BQ$85,(卡牌属性!$DW330-2)*20+卡牌属性!$DX330)</f>
        <v>140</v>
      </c>
      <c r="FJ330" s="14">
        <f>INDEX(属性投放!$BQ$6:$BQ$85,(卡牌属性!$DW330-2)*20+卡牌属性!$DX330)</f>
        <v>140</v>
      </c>
      <c r="FK330" s="14">
        <f>INDEX(属性投放!$BQ$6:$BQ$85,(卡牌属性!$DW330-2)*20+卡牌属性!$DX330)</f>
        <v>140</v>
      </c>
      <c r="FL330" s="14">
        <f>INDEX(属性投放!$BQ$6:$BQ$85,(卡牌属性!$DW330-2)*20+卡牌属性!$DX330)</f>
        <v>140</v>
      </c>
      <c r="FM330" s="14">
        <f>INDEX(属性投放!$BR$6:$BR$85,(卡牌属性!$DW330-2)*20+卡牌属性!$DX330)</f>
        <v>70</v>
      </c>
      <c r="FN330" s="14">
        <f>INDEX(属性投放!$BR$6:$BR$85,(卡牌属性!$DW330-2)*20+卡牌属性!$DX330)</f>
        <v>70</v>
      </c>
      <c r="FO330" s="14">
        <f>INDEX(属性投放!$BR$6:$BR$85,(卡牌属性!$DW330-2)*20+卡牌属性!$DX330)</f>
        <v>70</v>
      </c>
      <c r="FP330" s="14">
        <f>INDEX(属性投放!$BR$6:$BR$85,(卡牌属性!$DW330-2)*20+卡牌属性!$DX330)</f>
        <v>70</v>
      </c>
      <c r="FQ330" s="14">
        <f>INDEX(属性投放!$BR$6:$BR$85,(卡牌属性!$DW330-2)*20+卡牌属性!$DX330)</f>
        <v>70</v>
      </c>
      <c r="FR330" s="14">
        <f>INDEX(属性投放!$BS$6:$BS$85,(卡牌属性!$DW330-2)*20+卡牌属性!$DX330)</f>
        <v>980</v>
      </c>
      <c r="FS330" s="14">
        <f>INDEX(属性投放!$BS$6:$BS$85,(卡牌属性!$DW330-2)*20+卡牌属性!$DX330)</f>
        <v>980</v>
      </c>
      <c r="FT330" s="14">
        <f>INDEX(属性投放!$BS$6:$BS$85,(卡牌属性!$DW330-2)*20+卡牌属性!$DX330)</f>
        <v>980</v>
      </c>
      <c r="FU330" s="14">
        <f>INDEX(属性投放!$BS$6:$BS$85,(卡牌属性!$DW330-2)*20+卡牌属性!$DX330)</f>
        <v>980</v>
      </c>
      <c r="FV330" s="14">
        <f>INDEX(属性投放!$BS$6:$BS$85,(卡牌属性!$DW330-2)*20+卡牌属性!$DX330)</f>
        <v>980</v>
      </c>
    </row>
    <row r="331" spans="31:178" ht="16.5" x14ac:dyDescent="0.2">
      <c r="AE331" s="13">
        <v>327</v>
      </c>
      <c r="AF331" s="13">
        <f t="shared" si="652"/>
        <v>17</v>
      </c>
      <c r="AG331" s="13">
        <f t="shared" si="633"/>
        <v>4</v>
      </c>
      <c r="AH331" s="13"/>
      <c r="AI331" s="13"/>
      <c r="AJ331" s="14">
        <f t="shared" si="634"/>
        <v>1101016</v>
      </c>
      <c r="AK331" s="14" t="str">
        <f t="shared" si="635"/>
        <v>秦王攻7突</v>
      </c>
      <c r="AL331" s="25" t="s">
        <v>142</v>
      </c>
      <c r="AM331" s="14">
        <v>1</v>
      </c>
      <c r="AN331" s="14">
        <f t="shared" si="636"/>
        <v>7</v>
      </c>
      <c r="AO331" s="14">
        <f>INDEX(属性投放!$DF$6:$DF$85,(卡牌属性!AG331-2)*20+卡牌属性!AN331)</f>
        <v>1982</v>
      </c>
      <c r="AP331" s="14">
        <f t="shared" si="637"/>
        <v>1982</v>
      </c>
      <c r="AQ331" s="14">
        <f t="shared" si="637"/>
        <v>1982</v>
      </c>
      <c r="AR331" s="14">
        <f t="shared" si="637"/>
        <v>1982</v>
      </c>
      <c r="AS331" s="14">
        <f t="shared" si="637"/>
        <v>1982</v>
      </c>
      <c r="AT331" s="14">
        <f>INDEX(属性投放!$DG$6:$DG$85,(卡牌属性!AG331-2)*20+卡牌属性!AN331)</f>
        <v>919</v>
      </c>
      <c r="AU331" s="14">
        <f t="shared" si="638"/>
        <v>919</v>
      </c>
      <c r="AV331" s="14">
        <f t="shared" si="638"/>
        <v>919</v>
      </c>
      <c r="AW331" s="14">
        <f t="shared" si="638"/>
        <v>919</v>
      </c>
      <c r="AX331" s="14">
        <f t="shared" si="638"/>
        <v>919</v>
      </c>
      <c r="AY331" s="14">
        <f>INDEX(属性投放!$DH$6:$DH$85,(卡牌属性!AG331-2)*20+卡牌属性!AN331)</f>
        <v>12624</v>
      </c>
      <c r="AZ331" s="14">
        <f t="shared" si="639"/>
        <v>12624</v>
      </c>
      <c r="BA331" s="14">
        <f t="shared" si="639"/>
        <v>12624</v>
      </c>
      <c r="BB331" s="14">
        <f t="shared" si="639"/>
        <v>12624</v>
      </c>
      <c r="BC331" s="14">
        <f t="shared" si="639"/>
        <v>12624</v>
      </c>
      <c r="BD331" s="14">
        <f>INDEX(属性投放!$DL$6:$DL$85,(卡牌属性!AG331-2)*20+卡牌属性!AN331)</f>
        <v>58</v>
      </c>
      <c r="BE331" s="14">
        <f t="shared" si="640"/>
        <v>58</v>
      </c>
      <c r="BF331" s="14">
        <f t="shared" si="640"/>
        <v>58</v>
      </c>
      <c r="BG331" s="14">
        <f t="shared" si="640"/>
        <v>58</v>
      </c>
      <c r="BH331" s="14">
        <f t="shared" si="640"/>
        <v>58</v>
      </c>
      <c r="BI331" s="14">
        <f>INDEX(属性投放!$DM$6:$DM$85,(卡牌属性!AG331-2)*20+卡牌属性!AN331)</f>
        <v>29</v>
      </c>
      <c r="BJ331" s="14">
        <f t="shared" si="641"/>
        <v>29</v>
      </c>
      <c r="BK331" s="14">
        <f t="shared" si="641"/>
        <v>29</v>
      </c>
      <c r="BL331" s="14">
        <f t="shared" si="641"/>
        <v>29</v>
      </c>
      <c r="BM331" s="14">
        <f t="shared" si="641"/>
        <v>29</v>
      </c>
      <c r="BN331" s="14">
        <f>INDEX(属性投放!$DN$6:$DN$85,(卡牌属性!AG331-2)*20+卡牌属性!AN331)</f>
        <v>461</v>
      </c>
      <c r="BO331" s="14">
        <f t="shared" si="642"/>
        <v>461</v>
      </c>
      <c r="BP331" s="14">
        <f t="shared" si="642"/>
        <v>461</v>
      </c>
      <c r="BQ331" s="14">
        <f t="shared" si="642"/>
        <v>461</v>
      </c>
      <c r="BR331" s="14">
        <f t="shared" si="642"/>
        <v>461</v>
      </c>
      <c r="BW331" s="13">
        <v>327</v>
      </c>
      <c r="BX331" s="13">
        <f t="shared" si="643"/>
        <v>17</v>
      </c>
      <c r="BY331" s="14">
        <f t="shared" si="644"/>
        <v>3</v>
      </c>
      <c r="BZ331" s="14">
        <f t="shared" si="653"/>
        <v>1102017</v>
      </c>
      <c r="CA331" s="14" t="str">
        <f t="shared" si="654"/>
        <v>飞廉7突</v>
      </c>
      <c r="CB331" s="25" t="s">
        <v>142</v>
      </c>
      <c r="CC331" s="14">
        <v>2</v>
      </c>
      <c r="CD331" s="14">
        <f t="shared" si="645"/>
        <v>7</v>
      </c>
      <c r="CE331" s="14" t="s">
        <v>21</v>
      </c>
      <c r="CF331" s="14">
        <f>INDEX(属性投放!$AZ$6:$AZ$85,(BY331-2)*20+CD331)</f>
        <v>1501</v>
      </c>
      <c r="CG331" s="14" t="s">
        <v>22</v>
      </c>
      <c r="CH331" s="14">
        <f>INDEX(属性投放!$BA$6:$BA$85,(BY331-2)*20+CD331)</f>
        <v>688</v>
      </c>
      <c r="CI331" s="14" t="s">
        <v>510</v>
      </c>
      <c r="CJ331" s="14">
        <f>INDEX(属性投放!$BB$6:$BB$85,(BY331-2)*20+CD331)</f>
        <v>9455</v>
      </c>
      <c r="CK331" s="14" t="s">
        <v>21</v>
      </c>
      <c r="CL331" s="14">
        <f>INDEX(属性投放!$BC$6:$BC$85,(BY331-2)*20+CD331)</f>
        <v>15</v>
      </c>
      <c r="CM331" s="14" t="s">
        <v>22</v>
      </c>
      <c r="CN331" s="14">
        <f>INDEX(属性投放!$BD$6:$BD$85,(BY331-2)*20+CD331)</f>
        <v>8</v>
      </c>
      <c r="CO331" s="14" t="s">
        <v>510</v>
      </c>
      <c r="CP331" s="14">
        <f>INDEX(属性投放!$BE$6:$BE$85,(BY331-2)*20+CD331)</f>
        <v>120</v>
      </c>
      <c r="CS331" s="13">
        <v>327</v>
      </c>
      <c r="CT331" s="13">
        <f t="shared" si="655"/>
        <v>7</v>
      </c>
      <c r="CU331" s="13">
        <f t="shared" si="656"/>
        <v>15</v>
      </c>
      <c r="CV331" s="14">
        <f t="shared" si="657"/>
        <v>4</v>
      </c>
      <c r="CW331" s="14">
        <f t="shared" si="658"/>
        <v>1102007</v>
      </c>
      <c r="CX331" s="14" t="str">
        <f>INDEX($O$6:$O$50,CT331)&amp;"-"&amp;INDEX(属性投放!$AB$7:$AB$50,CZ331)&amp;"-魂火-"&amp;DB331</f>
        <v>天使缇娜-叫唤+1-魂火-2</v>
      </c>
      <c r="CY331" s="25" t="s">
        <v>142</v>
      </c>
      <c r="CZ331" s="14">
        <f>INDEX(属性投放!$AM$7:$AM$58,CU331)</f>
        <v>8</v>
      </c>
      <c r="DA331" s="14" t="s">
        <v>537</v>
      </c>
      <c r="DB331" s="14">
        <f>INDEX(属性投放!$AN$7:$AN$58,CU331)</f>
        <v>2</v>
      </c>
      <c r="DC331" s="14">
        <f t="shared" si="646"/>
        <v>15</v>
      </c>
      <c r="DD331" s="14">
        <f>INDEX(属性投放!$AO$7:$AO$58,DC331)</f>
        <v>55</v>
      </c>
      <c r="DE331" s="14" t="s">
        <v>538</v>
      </c>
      <c r="DF331" s="14">
        <f>INDEX(属性投放!$BK$6:$BK$85,(CV331-2)*20+CZ331)</f>
        <v>100</v>
      </c>
      <c r="DG331" s="14">
        <f>SUMIFS(DF$5:DF331,$CT$5:$CT331,"="&amp;$CT331)</f>
        <v>835</v>
      </c>
      <c r="DH331" s="14" t="s">
        <v>539</v>
      </c>
      <c r="DI331" s="14">
        <f>INDEX(属性投放!$BL$6:$BL$85,(CV331-2)*20+CZ331)</f>
        <v>50</v>
      </c>
      <c r="DJ331" s="14">
        <f>SUMIFS(DI$5:DI331,$CT$5:$CT331,"="&amp;$CT331)</f>
        <v>421</v>
      </c>
      <c r="DK331" s="14" t="s">
        <v>540</v>
      </c>
      <c r="DL331" s="14">
        <f>INDEX(属性投放!$BM$6:$BM$85,(CV331-2)*20+CZ331)</f>
        <v>800</v>
      </c>
      <c r="DM331" s="14">
        <f>SUMIFS(DL$5:DL331,$CT$5:$CT331,"="&amp;$CT331)</f>
        <v>6050</v>
      </c>
      <c r="DR331" s="14">
        <f t="shared" si="647"/>
        <v>1102017</v>
      </c>
      <c r="DS331" s="14" t="str">
        <f t="shared" si="648"/>
        <v>飞廉7突</v>
      </c>
      <c r="DT331" s="14">
        <f t="shared" si="659"/>
        <v>6</v>
      </c>
      <c r="DU331" s="14">
        <f t="shared" si="660"/>
        <v>6</v>
      </c>
      <c r="DV331" s="14">
        <f t="shared" si="661"/>
        <v>4</v>
      </c>
      <c r="DW331" s="14">
        <f t="shared" si="649"/>
        <v>3</v>
      </c>
      <c r="DX331" s="14">
        <f t="shared" si="650"/>
        <v>7</v>
      </c>
      <c r="DY331" s="14">
        <f t="shared" si="651"/>
        <v>27</v>
      </c>
      <c r="DZ331" s="14">
        <f>INDEX(属性投放!$AX$6:$AX$85,(卡牌属性!DW331-2)*20+卡牌属性!DX331)</f>
        <v>5</v>
      </c>
      <c r="EA331" s="14">
        <f>INDEX(属性投放!BQ$6:BQ$85,卡牌属性!$DY331)</f>
        <v>135</v>
      </c>
      <c r="EB331" s="14">
        <f>INDEX(属性投放!BR$6:BR$85,卡牌属性!$DY331)</f>
        <v>68</v>
      </c>
      <c r="EC331" s="14">
        <f>INDEX(属性投放!BS$6:BS$85,卡牌属性!$DY331)</f>
        <v>1080</v>
      </c>
      <c r="ED331" s="14">
        <f t="shared" si="662"/>
        <v>1196</v>
      </c>
      <c r="EE331" s="14">
        <f t="shared" si="663"/>
        <v>1443</v>
      </c>
      <c r="EF331" s="14">
        <f t="shared" si="664"/>
        <v>1581</v>
      </c>
      <c r="EG331" s="14">
        <f t="shared" si="665"/>
        <v>1581</v>
      </c>
      <c r="EH331" s="14">
        <f t="shared" si="666"/>
        <v>1765</v>
      </c>
      <c r="EI331" s="14">
        <f t="shared" si="667"/>
        <v>562</v>
      </c>
      <c r="EJ331" s="14">
        <f t="shared" si="668"/>
        <v>682</v>
      </c>
      <c r="EK331" s="14">
        <f t="shared" si="669"/>
        <v>682</v>
      </c>
      <c r="EL331" s="14">
        <f t="shared" si="670"/>
        <v>753</v>
      </c>
      <c r="EM331" s="14">
        <f t="shared" si="671"/>
        <v>846</v>
      </c>
      <c r="EN331" s="14">
        <f t="shared" si="672"/>
        <v>6089</v>
      </c>
      <c r="EO331" s="14">
        <f t="shared" si="673"/>
        <v>6785</v>
      </c>
      <c r="EP331" s="14">
        <f t="shared" si="674"/>
        <v>6785</v>
      </c>
      <c r="EQ331" s="14">
        <f t="shared" si="675"/>
        <v>7377</v>
      </c>
      <c r="ER331" s="14">
        <f t="shared" si="676"/>
        <v>9013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96</v>
      </c>
      <c r="FD331" s="14">
        <f>INDEX(属性偏向!$U$4:$U$243,(卡牌属性!$DV331-1+FD$3)*20+卡牌属性!$DX331)</f>
        <v>120</v>
      </c>
      <c r="FE331" s="14">
        <f>INDEX(属性偏向!$U$4:$U$243,(卡牌属性!$DV331-1+FE$3)*20+卡牌属性!$DX331)</f>
        <v>120</v>
      </c>
      <c r="FF331" s="14">
        <f>INDEX(属性偏向!$U$4:$U$243,(卡牌属性!$DV331-1+FF$3)*20+卡牌属性!$DX331)</f>
        <v>128</v>
      </c>
      <c r="FG331" s="14">
        <f>INDEX(属性偏向!$U$4:$U$243,(卡牌属性!$DV331-1+FG$3)*20+卡牌属性!$DX331)</f>
        <v>200</v>
      </c>
      <c r="FH331" s="14">
        <f>INDEX(属性投放!$BQ$6:$BQ$85,(卡牌属性!$DW331-2)*20+卡牌属性!$DX331)</f>
        <v>135</v>
      </c>
      <c r="FI331" s="14">
        <f>INDEX(属性投放!$BQ$6:$BQ$85,(卡牌属性!$DW331-2)*20+卡牌属性!$DX331)</f>
        <v>135</v>
      </c>
      <c r="FJ331" s="14">
        <f>INDEX(属性投放!$BQ$6:$BQ$85,(卡牌属性!$DW331-2)*20+卡牌属性!$DX331)</f>
        <v>135</v>
      </c>
      <c r="FK331" s="14">
        <f>INDEX(属性投放!$BQ$6:$BQ$85,(卡牌属性!$DW331-2)*20+卡牌属性!$DX331)</f>
        <v>135</v>
      </c>
      <c r="FL331" s="14">
        <f>INDEX(属性投放!$BQ$6:$BQ$85,(卡牌属性!$DW331-2)*20+卡牌属性!$DX331)</f>
        <v>135</v>
      </c>
      <c r="FM331" s="14">
        <f>INDEX(属性投放!$BR$6:$BR$85,(卡牌属性!$DW331-2)*20+卡牌属性!$DX331)</f>
        <v>68</v>
      </c>
      <c r="FN331" s="14">
        <f>INDEX(属性投放!$BR$6:$BR$85,(卡牌属性!$DW331-2)*20+卡牌属性!$DX331)</f>
        <v>68</v>
      </c>
      <c r="FO331" s="14">
        <f>INDEX(属性投放!$BR$6:$BR$85,(卡牌属性!$DW331-2)*20+卡牌属性!$DX331)</f>
        <v>68</v>
      </c>
      <c r="FP331" s="14">
        <f>INDEX(属性投放!$BR$6:$BR$85,(卡牌属性!$DW331-2)*20+卡牌属性!$DX331)</f>
        <v>68</v>
      </c>
      <c r="FQ331" s="14">
        <f>INDEX(属性投放!$BR$6:$BR$85,(卡牌属性!$DW331-2)*20+卡牌属性!$DX331)</f>
        <v>68</v>
      </c>
      <c r="FR331" s="14">
        <f>INDEX(属性投放!$BS$6:$BS$85,(卡牌属性!$DW331-2)*20+卡牌属性!$DX331)</f>
        <v>1080</v>
      </c>
      <c r="FS331" s="14">
        <f>INDEX(属性投放!$BS$6:$BS$85,(卡牌属性!$DW331-2)*20+卡牌属性!$DX331)</f>
        <v>1080</v>
      </c>
      <c r="FT331" s="14">
        <f>INDEX(属性投放!$BS$6:$BS$85,(卡牌属性!$DW331-2)*20+卡牌属性!$DX331)</f>
        <v>1080</v>
      </c>
      <c r="FU331" s="14">
        <f>INDEX(属性投放!$BS$6:$BS$85,(卡牌属性!$DW331-2)*20+卡牌属性!$DX331)</f>
        <v>1080</v>
      </c>
      <c r="FV331" s="14">
        <f>INDEX(属性投放!$BS$6:$BS$85,(卡牌属性!$DW331-2)*20+卡牌属性!$DX331)</f>
        <v>1080</v>
      </c>
    </row>
    <row r="332" spans="31:178" ht="16.5" x14ac:dyDescent="0.2">
      <c r="AE332" s="13">
        <v>328</v>
      </c>
      <c r="AF332" s="13">
        <f t="shared" si="652"/>
        <v>17</v>
      </c>
      <c r="AG332" s="13">
        <f t="shared" si="633"/>
        <v>4</v>
      </c>
      <c r="AH332" s="13"/>
      <c r="AI332" s="13"/>
      <c r="AJ332" s="14">
        <f t="shared" si="634"/>
        <v>1101016</v>
      </c>
      <c r="AK332" s="14" t="str">
        <f t="shared" si="635"/>
        <v>秦王攻8突</v>
      </c>
      <c r="AL332" s="25" t="s">
        <v>142</v>
      </c>
      <c r="AM332" s="14">
        <v>1</v>
      </c>
      <c r="AN332" s="14">
        <f t="shared" si="636"/>
        <v>8</v>
      </c>
      <c r="AO332" s="14">
        <f>INDEX(属性投放!$DF$6:$DF$85,(卡牌属性!AG332-2)*20+卡牌属性!AN332)</f>
        <v>2147</v>
      </c>
      <c r="AP332" s="14">
        <f t="shared" si="637"/>
        <v>2147</v>
      </c>
      <c r="AQ332" s="14">
        <f t="shared" si="637"/>
        <v>2147</v>
      </c>
      <c r="AR332" s="14">
        <f t="shared" si="637"/>
        <v>2147</v>
      </c>
      <c r="AS332" s="14">
        <f t="shared" si="637"/>
        <v>2147</v>
      </c>
      <c r="AT332" s="14">
        <f>INDEX(属性投放!$DG$6:$DG$85,(卡牌属性!AG332-2)*20+卡牌属性!AN332)</f>
        <v>1002</v>
      </c>
      <c r="AU332" s="14">
        <f t="shared" si="638"/>
        <v>1002</v>
      </c>
      <c r="AV332" s="14">
        <f t="shared" si="638"/>
        <v>1002</v>
      </c>
      <c r="AW332" s="14">
        <f t="shared" si="638"/>
        <v>1002</v>
      </c>
      <c r="AX332" s="14">
        <f t="shared" si="638"/>
        <v>1002</v>
      </c>
      <c r="AY332" s="14">
        <f>INDEX(属性投放!$DH$6:$DH$85,(卡牌属性!AG332-2)*20+卡牌属性!AN332)</f>
        <v>13940</v>
      </c>
      <c r="AZ332" s="14">
        <f t="shared" si="639"/>
        <v>13940</v>
      </c>
      <c r="BA332" s="14">
        <f t="shared" si="639"/>
        <v>13940</v>
      </c>
      <c r="BB332" s="14">
        <f t="shared" si="639"/>
        <v>13940</v>
      </c>
      <c r="BC332" s="14">
        <f t="shared" si="639"/>
        <v>13940</v>
      </c>
      <c r="BD332" s="14">
        <f>INDEX(属性投放!$DL$6:$DL$85,(卡牌属性!AG332-2)*20+卡牌属性!AN332)</f>
        <v>58</v>
      </c>
      <c r="BE332" s="14">
        <f t="shared" si="640"/>
        <v>58</v>
      </c>
      <c r="BF332" s="14">
        <f t="shared" si="640"/>
        <v>58</v>
      </c>
      <c r="BG332" s="14">
        <f t="shared" si="640"/>
        <v>58</v>
      </c>
      <c r="BH332" s="14">
        <f t="shared" si="640"/>
        <v>58</v>
      </c>
      <c r="BI332" s="14">
        <f>INDEX(属性投放!$DM$6:$DM$85,(卡牌属性!AG332-2)*20+卡牌属性!AN332)</f>
        <v>29</v>
      </c>
      <c r="BJ332" s="14">
        <f t="shared" si="641"/>
        <v>29</v>
      </c>
      <c r="BK332" s="14">
        <f t="shared" si="641"/>
        <v>29</v>
      </c>
      <c r="BL332" s="14">
        <f t="shared" si="641"/>
        <v>29</v>
      </c>
      <c r="BM332" s="14">
        <f t="shared" si="641"/>
        <v>29</v>
      </c>
      <c r="BN332" s="14">
        <f>INDEX(属性投放!$DN$6:$DN$85,(卡牌属性!AG332-2)*20+卡牌属性!AN332)</f>
        <v>461</v>
      </c>
      <c r="BO332" s="14">
        <f t="shared" si="642"/>
        <v>461</v>
      </c>
      <c r="BP332" s="14">
        <f t="shared" si="642"/>
        <v>461</v>
      </c>
      <c r="BQ332" s="14">
        <f t="shared" si="642"/>
        <v>461</v>
      </c>
      <c r="BR332" s="14">
        <f t="shared" si="642"/>
        <v>461</v>
      </c>
      <c r="BW332" s="13">
        <v>328</v>
      </c>
      <c r="BX332" s="13">
        <f t="shared" si="643"/>
        <v>17</v>
      </c>
      <c r="BY332" s="14">
        <f t="shared" si="644"/>
        <v>3</v>
      </c>
      <c r="BZ332" s="14">
        <f t="shared" si="653"/>
        <v>1102017</v>
      </c>
      <c r="CA332" s="14" t="str">
        <f t="shared" si="654"/>
        <v>飞廉8突</v>
      </c>
      <c r="CB332" s="25" t="s">
        <v>142</v>
      </c>
      <c r="CC332" s="14">
        <v>2</v>
      </c>
      <c r="CD332" s="14">
        <f t="shared" si="645"/>
        <v>8</v>
      </c>
      <c r="CE332" s="14" t="s">
        <v>21</v>
      </c>
      <c r="CF332" s="14">
        <f>INDEX(属性投放!$AZ$6:$AZ$85,(BY332-2)*20+CD332)</f>
        <v>1851</v>
      </c>
      <c r="CG332" s="14" t="s">
        <v>22</v>
      </c>
      <c r="CH332" s="14">
        <f>INDEX(属性投放!$BA$6:$BA$85,(BY332-2)*20+CD332)</f>
        <v>866</v>
      </c>
      <c r="CI332" s="14" t="s">
        <v>510</v>
      </c>
      <c r="CJ332" s="14">
        <f>INDEX(属性投放!$BB$6:$BB$85,(BY332-2)*20+CD332)</f>
        <v>12255</v>
      </c>
      <c r="CK332" s="14" t="s">
        <v>21</v>
      </c>
      <c r="CL332" s="14">
        <f>INDEX(属性投放!$BC$6:$BC$85,(BY332-2)*20+CD332)</f>
        <v>15</v>
      </c>
      <c r="CM332" s="14" t="s">
        <v>22</v>
      </c>
      <c r="CN332" s="14">
        <f>INDEX(属性投放!$BD$6:$BD$85,(BY332-2)*20+CD332)</f>
        <v>8</v>
      </c>
      <c r="CO332" s="14" t="s">
        <v>510</v>
      </c>
      <c r="CP332" s="14">
        <f>INDEX(属性投放!$BE$6:$BE$85,(BY332-2)*20+CD332)</f>
        <v>120</v>
      </c>
      <c r="CS332" s="13">
        <v>328</v>
      </c>
      <c r="CT332" s="13">
        <f t="shared" si="655"/>
        <v>7</v>
      </c>
      <c r="CU332" s="13">
        <f t="shared" si="656"/>
        <v>16</v>
      </c>
      <c r="CV332" s="14">
        <f t="shared" si="657"/>
        <v>4</v>
      </c>
      <c r="CW332" s="14">
        <f t="shared" si="658"/>
        <v>1102007</v>
      </c>
      <c r="CX332" s="14" t="str">
        <f>INDEX($O$6:$O$50,CT332)&amp;"-"&amp;INDEX(属性投放!$AB$7:$AB$50,CZ332)&amp;"-魂火-"&amp;DB332</f>
        <v>天使缇娜-叫唤+2-魂火-1</v>
      </c>
      <c r="CY332" s="25" t="s">
        <v>142</v>
      </c>
      <c r="CZ332" s="14">
        <f>INDEX(属性投放!$AM$7:$AM$58,CU332)</f>
        <v>9</v>
      </c>
      <c r="DA332" s="14" t="s">
        <v>537</v>
      </c>
      <c r="DB332" s="14">
        <f>INDEX(属性投放!$AN$7:$AN$58,CU332)</f>
        <v>1</v>
      </c>
      <c r="DC332" s="14">
        <f t="shared" si="646"/>
        <v>16</v>
      </c>
      <c r="DD332" s="14">
        <f>INDEX(属性投放!$AO$7:$AO$58,DC332)</f>
        <v>58</v>
      </c>
      <c r="DE332" s="14" t="s">
        <v>538</v>
      </c>
      <c r="DF332" s="14">
        <f>INDEX(属性投放!$BK$6:$BK$85,(CV332-2)*20+CZ332)</f>
        <v>115</v>
      </c>
      <c r="DG332" s="14">
        <f>SUMIFS(DF$5:DF332,$CT$5:$CT332,"="&amp;$CT332)</f>
        <v>950</v>
      </c>
      <c r="DH332" s="14" t="s">
        <v>539</v>
      </c>
      <c r="DI332" s="14">
        <f>INDEX(属性投放!$BL$6:$BL$85,(CV332-2)*20+CZ332)</f>
        <v>58</v>
      </c>
      <c r="DJ332" s="14">
        <f>SUMIFS(DI$5:DI332,$CT$5:$CT332,"="&amp;$CT332)</f>
        <v>479</v>
      </c>
      <c r="DK332" s="14" t="s">
        <v>540</v>
      </c>
      <c r="DL332" s="14">
        <f>INDEX(属性投放!$BM$6:$BM$85,(CV332-2)*20+CZ332)</f>
        <v>920</v>
      </c>
      <c r="DM332" s="14">
        <f>SUMIFS(DL$5:DL332,$CT$5:$CT332,"="&amp;$CT332)</f>
        <v>6970</v>
      </c>
      <c r="DR332" s="14">
        <f t="shared" si="647"/>
        <v>1102017</v>
      </c>
      <c r="DS332" s="14" t="str">
        <f t="shared" si="648"/>
        <v>飞廉8突</v>
      </c>
      <c r="DT332" s="14">
        <f t="shared" si="659"/>
        <v>6</v>
      </c>
      <c r="DU332" s="14">
        <f t="shared" si="660"/>
        <v>6</v>
      </c>
      <c r="DV332" s="14">
        <f t="shared" si="661"/>
        <v>4</v>
      </c>
      <c r="DW332" s="14">
        <f t="shared" si="649"/>
        <v>3</v>
      </c>
      <c r="DX332" s="14">
        <f t="shared" si="650"/>
        <v>8</v>
      </c>
      <c r="DY332" s="14">
        <f t="shared" si="651"/>
        <v>28</v>
      </c>
      <c r="DZ332" s="14">
        <f>INDEX(属性投放!$AX$6:$AX$85,(卡牌属性!DW332-2)*20+卡牌属性!DX332)</f>
        <v>5</v>
      </c>
      <c r="EA332" s="14">
        <f>INDEX(属性投放!BQ$6:BQ$85,卡牌属性!$DY332)</f>
        <v>125</v>
      </c>
      <c r="EB332" s="14">
        <f>INDEX(属性投放!BR$6:BR$85,卡牌属性!$DY332)</f>
        <v>63</v>
      </c>
      <c r="EC332" s="14">
        <f>INDEX(属性投放!BS$6:BS$85,卡牌属性!$DY332)</f>
        <v>1000</v>
      </c>
      <c r="ED332" s="14">
        <f t="shared" si="662"/>
        <v>1411</v>
      </c>
      <c r="EE332" s="14">
        <f t="shared" si="663"/>
        <v>1703</v>
      </c>
      <c r="EF332" s="14">
        <f t="shared" si="664"/>
        <v>1856</v>
      </c>
      <c r="EG332" s="14">
        <f t="shared" si="665"/>
        <v>1856</v>
      </c>
      <c r="EH332" s="14">
        <f t="shared" si="666"/>
        <v>2050</v>
      </c>
      <c r="EI332" s="14">
        <f t="shared" si="667"/>
        <v>670</v>
      </c>
      <c r="EJ332" s="14">
        <f t="shared" si="668"/>
        <v>815</v>
      </c>
      <c r="EK332" s="14">
        <f t="shared" si="669"/>
        <v>815</v>
      </c>
      <c r="EL332" s="14">
        <f t="shared" si="670"/>
        <v>891</v>
      </c>
      <c r="EM332" s="14">
        <f t="shared" si="671"/>
        <v>989</v>
      </c>
      <c r="EN332" s="14">
        <f t="shared" si="672"/>
        <v>7649</v>
      </c>
      <c r="EO332" s="14">
        <f t="shared" si="673"/>
        <v>8465</v>
      </c>
      <c r="EP332" s="14">
        <f t="shared" si="674"/>
        <v>8465</v>
      </c>
      <c r="EQ332" s="14">
        <f t="shared" si="675"/>
        <v>9097</v>
      </c>
      <c r="ER332" s="14">
        <f t="shared" si="676"/>
        <v>11093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96</v>
      </c>
      <c r="FD332" s="14">
        <f>INDEX(属性偏向!$U$4:$U$243,(卡牌属性!$DV332-1+FD$3)*20+卡牌属性!$DX332)</f>
        <v>120</v>
      </c>
      <c r="FE332" s="14">
        <f>INDEX(属性偏向!$U$4:$U$243,(卡牌属性!$DV332-1+FE$3)*20+卡牌属性!$DX332)</f>
        <v>120</v>
      </c>
      <c r="FF332" s="14">
        <f>INDEX(属性偏向!$U$4:$U$243,(卡牌属性!$DV332-1+FF$3)*20+卡牌属性!$DX332)</f>
        <v>128</v>
      </c>
      <c r="FG332" s="14">
        <f>INDEX(属性偏向!$U$4:$U$243,(卡牌属性!$DV332-1+FG$3)*20+卡牌属性!$DX332)</f>
        <v>200</v>
      </c>
      <c r="FH332" s="14">
        <f>INDEX(属性投放!$BQ$6:$BQ$85,(卡牌属性!$DW332-2)*20+卡牌属性!$DX332)</f>
        <v>125</v>
      </c>
      <c r="FI332" s="14">
        <f>INDEX(属性投放!$BQ$6:$BQ$85,(卡牌属性!$DW332-2)*20+卡牌属性!$DX332)</f>
        <v>125</v>
      </c>
      <c r="FJ332" s="14">
        <f>INDEX(属性投放!$BQ$6:$BQ$85,(卡牌属性!$DW332-2)*20+卡牌属性!$DX332)</f>
        <v>125</v>
      </c>
      <c r="FK332" s="14">
        <f>INDEX(属性投放!$BQ$6:$BQ$85,(卡牌属性!$DW332-2)*20+卡牌属性!$DX332)</f>
        <v>125</v>
      </c>
      <c r="FL332" s="14">
        <f>INDEX(属性投放!$BQ$6:$BQ$85,(卡牌属性!$DW332-2)*20+卡牌属性!$DX332)</f>
        <v>125</v>
      </c>
      <c r="FM332" s="14">
        <f>INDEX(属性投放!$BR$6:$BR$85,(卡牌属性!$DW332-2)*20+卡牌属性!$DX332)</f>
        <v>63</v>
      </c>
      <c r="FN332" s="14">
        <f>INDEX(属性投放!$BR$6:$BR$85,(卡牌属性!$DW332-2)*20+卡牌属性!$DX332)</f>
        <v>63</v>
      </c>
      <c r="FO332" s="14">
        <f>INDEX(属性投放!$BR$6:$BR$85,(卡牌属性!$DW332-2)*20+卡牌属性!$DX332)</f>
        <v>63</v>
      </c>
      <c r="FP332" s="14">
        <f>INDEX(属性投放!$BR$6:$BR$85,(卡牌属性!$DW332-2)*20+卡牌属性!$DX332)</f>
        <v>63</v>
      </c>
      <c r="FQ332" s="14">
        <f>INDEX(属性投放!$BR$6:$BR$85,(卡牌属性!$DW332-2)*20+卡牌属性!$DX332)</f>
        <v>63</v>
      </c>
      <c r="FR332" s="14">
        <f>INDEX(属性投放!$BS$6:$BS$85,(卡牌属性!$DW332-2)*20+卡牌属性!$DX332)</f>
        <v>1000</v>
      </c>
      <c r="FS332" s="14">
        <f>INDEX(属性投放!$BS$6:$BS$85,(卡牌属性!$DW332-2)*20+卡牌属性!$DX332)</f>
        <v>1000</v>
      </c>
      <c r="FT332" s="14">
        <f>INDEX(属性投放!$BS$6:$BS$85,(卡牌属性!$DW332-2)*20+卡牌属性!$DX332)</f>
        <v>1000</v>
      </c>
      <c r="FU332" s="14">
        <f>INDEX(属性投放!$BS$6:$BS$85,(卡牌属性!$DW332-2)*20+卡牌属性!$DX332)</f>
        <v>1000</v>
      </c>
      <c r="FV332" s="14">
        <f>INDEX(属性投放!$BS$6:$BS$85,(卡牌属性!$DW332-2)*20+卡牌属性!$DX332)</f>
        <v>1000</v>
      </c>
    </row>
    <row r="333" spans="31:178" ht="16.5" x14ac:dyDescent="0.2">
      <c r="AE333" s="13">
        <v>329</v>
      </c>
      <c r="AF333" s="13">
        <f t="shared" si="652"/>
        <v>17</v>
      </c>
      <c r="AG333" s="13">
        <f t="shared" si="633"/>
        <v>4</v>
      </c>
      <c r="AH333" s="13"/>
      <c r="AI333" s="13"/>
      <c r="AJ333" s="14">
        <f t="shared" si="634"/>
        <v>1101016</v>
      </c>
      <c r="AK333" s="14" t="str">
        <f t="shared" si="635"/>
        <v>秦王攻9突</v>
      </c>
      <c r="AL333" s="25" t="s">
        <v>142</v>
      </c>
      <c r="AM333" s="14">
        <v>1</v>
      </c>
      <c r="AN333" s="14">
        <f t="shared" si="636"/>
        <v>9</v>
      </c>
      <c r="AO333" s="14">
        <f>INDEX(属性投放!$DF$6:$DF$85,(卡牌属性!AG333-2)*20+卡牌属性!AN333)</f>
        <v>2312</v>
      </c>
      <c r="AP333" s="14">
        <f t="shared" si="637"/>
        <v>2312</v>
      </c>
      <c r="AQ333" s="14">
        <f t="shared" si="637"/>
        <v>2312</v>
      </c>
      <c r="AR333" s="14">
        <f t="shared" si="637"/>
        <v>2312</v>
      </c>
      <c r="AS333" s="14">
        <f t="shared" si="637"/>
        <v>2312</v>
      </c>
      <c r="AT333" s="14">
        <f>INDEX(属性投放!$DG$6:$DG$85,(卡牌属性!AG333-2)*20+卡牌属性!AN333)</f>
        <v>1085</v>
      </c>
      <c r="AU333" s="14">
        <f t="shared" si="638"/>
        <v>1085</v>
      </c>
      <c r="AV333" s="14">
        <f t="shared" si="638"/>
        <v>1085</v>
      </c>
      <c r="AW333" s="14">
        <f t="shared" si="638"/>
        <v>1085</v>
      </c>
      <c r="AX333" s="14">
        <f t="shared" si="638"/>
        <v>1085</v>
      </c>
      <c r="AY333" s="14">
        <f>INDEX(属性投放!$DH$6:$DH$85,(卡牌属性!AG333-2)*20+卡牌属性!AN333)</f>
        <v>15256</v>
      </c>
      <c r="AZ333" s="14">
        <f t="shared" si="639"/>
        <v>15256</v>
      </c>
      <c r="BA333" s="14">
        <f t="shared" si="639"/>
        <v>15256</v>
      </c>
      <c r="BB333" s="14">
        <f t="shared" si="639"/>
        <v>15256</v>
      </c>
      <c r="BC333" s="14">
        <f t="shared" si="639"/>
        <v>15256</v>
      </c>
      <c r="BD333" s="14">
        <f>INDEX(属性投放!$DL$6:$DL$85,(卡牌属性!AG333-2)*20+卡牌属性!AN333)</f>
        <v>58</v>
      </c>
      <c r="BE333" s="14">
        <f t="shared" si="640"/>
        <v>58</v>
      </c>
      <c r="BF333" s="14">
        <f t="shared" si="640"/>
        <v>58</v>
      </c>
      <c r="BG333" s="14">
        <f t="shared" si="640"/>
        <v>58</v>
      </c>
      <c r="BH333" s="14">
        <f t="shared" si="640"/>
        <v>58</v>
      </c>
      <c r="BI333" s="14">
        <f>INDEX(属性投放!$DM$6:$DM$85,(卡牌属性!AG333-2)*20+卡牌属性!AN333)</f>
        <v>29</v>
      </c>
      <c r="BJ333" s="14">
        <f t="shared" si="641"/>
        <v>29</v>
      </c>
      <c r="BK333" s="14">
        <f t="shared" si="641"/>
        <v>29</v>
      </c>
      <c r="BL333" s="14">
        <f t="shared" si="641"/>
        <v>29</v>
      </c>
      <c r="BM333" s="14">
        <f t="shared" si="641"/>
        <v>29</v>
      </c>
      <c r="BN333" s="14">
        <f>INDEX(属性投放!$DN$6:$DN$85,(卡牌属性!AG333-2)*20+卡牌属性!AN333)</f>
        <v>461</v>
      </c>
      <c r="BO333" s="14">
        <f t="shared" si="642"/>
        <v>461</v>
      </c>
      <c r="BP333" s="14">
        <f t="shared" si="642"/>
        <v>461</v>
      </c>
      <c r="BQ333" s="14">
        <f t="shared" si="642"/>
        <v>461</v>
      </c>
      <c r="BR333" s="14">
        <f t="shared" si="642"/>
        <v>461</v>
      </c>
      <c r="BW333" s="13">
        <v>329</v>
      </c>
      <c r="BX333" s="13">
        <f t="shared" si="643"/>
        <v>17</v>
      </c>
      <c r="BY333" s="14">
        <f t="shared" si="644"/>
        <v>3</v>
      </c>
      <c r="BZ333" s="14">
        <f t="shared" si="653"/>
        <v>1102017</v>
      </c>
      <c r="CA333" s="14" t="str">
        <f t="shared" si="654"/>
        <v>飞廉9突</v>
      </c>
      <c r="CB333" s="25" t="s">
        <v>142</v>
      </c>
      <c r="CC333" s="14">
        <v>2</v>
      </c>
      <c r="CD333" s="14">
        <f t="shared" si="645"/>
        <v>9</v>
      </c>
      <c r="CE333" s="14" t="s">
        <v>21</v>
      </c>
      <c r="CF333" s="14">
        <f>INDEX(属性投放!$AZ$6:$AZ$85,(BY333-2)*20+CD333)</f>
        <v>2221</v>
      </c>
      <c r="CG333" s="14" t="s">
        <v>22</v>
      </c>
      <c r="CH333" s="14">
        <f>INDEX(属性投放!$BA$6:$BA$85,(BY333-2)*20+CD333)</f>
        <v>1055</v>
      </c>
      <c r="CI333" s="14" t="s">
        <v>510</v>
      </c>
      <c r="CJ333" s="14">
        <f>INDEX(属性投放!$BB$6:$BB$85,(BY333-2)*20+CD333)</f>
        <v>15215</v>
      </c>
      <c r="CK333" s="14" t="s">
        <v>21</v>
      </c>
      <c r="CL333" s="14">
        <f>INDEX(属性投放!$BC$6:$BC$85,(BY333-2)*20+CD333)</f>
        <v>15</v>
      </c>
      <c r="CM333" s="14" t="s">
        <v>22</v>
      </c>
      <c r="CN333" s="14">
        <f>INDEX(属性投放!$BD$6:$BD$85,(BY333-2)*20+CD333)</f>
        <v>8</v>
      </c>
      <c r="CO333" s="14" t="s">
        <v>510</v>
      </c>
      <c r="CP333" s="14">
        <f>INDEX(属性投放!$BE$6:$BE$85,(BY333-2)*20+CD333)</f>
        <v>120</v>
      </c>
      <c r="CS333" s="13">
        <v>329</v>
      </c>
      <c r="CT333" s="13">
        <f t="shared" si="655"/>
        <v>7</v>
      </c>
      <c r="CU333" s="13">
        <f t="shared" si="656"/>
        <v>17</v>
      </c>
      <c r="CV333" s="14">
        <f t="shared" si="657"/>
        <v>4</v>
      </c>
      <c r="CW333" s="14">
        <f t="shared" si="658"/>
        <v>1102007</v>
      </c>
      <c r="CX333" s="14" t="str">
        <f>INDEX($O$6:$O$50,CT333)&amp;"-"&amp;INDEX(属性投放!$AB$7:$AB$50,CZ333)&amp;"-魂火-"&amp;DB333</f>
        <v>天使缇娜-叫唤+2-魂火-2</v>
      </c>
      <c r="CY333" s="25" t="s">
        <v>142</v>
      </c>
      <c r="CZ333" s="14">
        <f>INDEX(属性投放!$AM$7:$AM$58,CU333)</f>
        <v>9</v>
      </c>
      <c r="DA333" s="14" t="s">
        <v>537</v>
      </c>
      <c r="DB333" s="14">
        <f>INDEX(属性投放!$AN$7:$AN$58,CU333)</f>
        <v>2</v>
      </c>
      <c r="DC333" s="14">
        <f t="shared" si="646"/>
        <v>17</v>
      </c>
      <c r="DD333" s="14">
        <f>INDEX(属性投放!$AO$7:$AO$58,DC333)</f>
        <v>60</v>
      </c>
      <c r="DE333" s="14" t="s">
        <v>538</v>
      </c>
      <c r="DF333" s="14">
        <f>INDEX(属性投放!$BK$6:$BK$85,(CV333-2)*20+CZ333)</f>
        <v>115</v>
      </c>
      <c r="DG333" s="14">
        <f>SUMIFS(DF$5:DF333,$CT$5:$CT333,"="&amp;$CT333)</f>
        <v>1065</v>
      </c>
      <c r="DH333" s="14" t="s">
        <v>539</v>
      </c>
      <c r="DI333" s="14">
        <f>INDEX(属性投放!$BL$6:$BL$85,(CV333-2)*20+CZ333)</f>
        <v>58</v>
      </c>
      <c r="DJ333" s="14">
        <f>SUMIFS(DI$5:DI333,$CT$5:$CT333,"="&amp;$CT333)</f>
        <v>537</v>
      </c>
      <c r="DK333" s="14" t="s">
        <v>540</v>
      </c>
      <c r="DL333" s="14">
        <f>INDEX(属性投放!$BM$6:$BM$85,(CV333-2)*20+CZ333)</f>
        <v>920</v>
      </c>
      <c r="DM333" s="14">
        <f>SUMIFS(DL$5:DL333,$CT$5:$CT333,"="&amp;$CT333)</f>
        <v>7890</v>
      </c>
      <c r="DR333" s="14">
        <f t="shared" si="647"/>
        <v>1102017</v>
      </c>
      <c r="DS333" s="14" t="str">
        <f t="shared" si="648"/>
        <v>飞廉9突</v>
      </c>
      <c r="DT333" s="14">
        <f t="shared" si="659"/>
        <v>6</v>
      </c>
      <c r="DU333" s="14">
        <f t="shared" si="660"/>
        <v>6</v>
      </c>
      <c r="DV333" s="14">
        <f t="shared" si="661"/>
        <v>4</v>
      </c>
      <c r="DW333" s="14">
        <f t="shared" si="649"/>
        <v>3</v>
      </c>
      <c r="DX333" s="14">
        <f t="shared" si="650"/>
        <v>9</v>
      </c>
      <c r="DY333" s="14">
        <f t="shared" si="651"/>
        <v>29</v>
      </c>
      <c r="DZ333" s="14">
        <f>INDEX(属性投放!$AX$6:$AX$85,(卡牌属性!DW333-2)*20+卡牌属性!DX333)</f>
        <v>8</v>
      </c>
      <c r="EA333" s="14">
        <f>INDEX(属性投放!BQ$6:BQ$85,卡牌属性!$DY333)</f>
        <v>185</v>
      </c>
      <c r="EB333" s="14">
        <f>INDEX(属性投放!BR$6:BR$85,卡牌属性!$DY333)</f>
        <v>93</v>
      </c>
      <c r="EC333" s="14">
        <f>INDEX(属性投放!BS$6:BS$85,卡牌属性!$DY333)</f>
        <v>1480</v>
      </c>
      <c r="ED333" s="14">
        <f t="shared" si="662"/>
        <v>1616</v>
      </c>
      <c r="EE333" s="14">
        <f t="shared" si="663"/>
        <v>1953</v>
      </c>
      <c r="EF333" s="14">
        <f t="shared" si="664"/>
        <v>2121</v>
      </c>
      <c r="EG333" s="14">
        <f t="shared" si="665"/>
        <v>2121</v>
      </c>
      <c r="EH333" s="14">
        <f t="shared" si="666"/>
        <v>2325</v>
      </c>
      <c r="EI333" s="14">
        <f t="shared" si="667"/>
        <v>773</v>
      </c>
      <c r="EJ333" s="14">
        <f t="shared" si="668"/>
        <v>943</v>
      </c>
      <c r="EK333" s="14">
        <f t="shared" si="669"/>
        <v>943</v>
      </c>
      <c r="EL333" s="14">
        <f t="shared" si="670"/>
        <v>1024</v>
      </c>
      <c r="EM333" s="14">
        <f t="shared" si="671"/>
        <v>1127</v>
      </c>
      <c r="EN333" s="14">
        <f t="shared" si="672"/>
        <v>9129</v>
      </c>
      <c r="EO333" s="14">
        <f t="shared" si="673"/>
        <v>10065</v>
      </c>
      <c r="EP333" s="14">
        <f t="shared" si="674"/>
        <v>10065</v>
      </c>
      <c r="EQ333" s="14">
        <f t="shared" si="675"/>
        <v>10737</v>
      </c>
      <c r="ER333" s="14">
        <f t="shared" si="676"/>
        <v>13093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96</v>
      </c>
      <c r="FD333" s="14">
        <f>INDEX(属性偏向!$U$4:$U$243,(卡牌属性!$DV333-1+FD$3)*20+卡牌属性!$DX333)</f>
        <v>120</v>
      </c>
      <c r="FE333" s="14">
        <f>INDEX(属性偏向!$U$4:$U$243,(卡牌属性!$DV333-1+FE$3)*20+卡牌属性!$DX333)</f>
        <v>120</v>
      </c>
      <c r="FF333" s="14">
        <f>INDEX(属性偏向!$U$4:$U$243,(卡牌属性!$DV333-1+FF$3)*20+卡牌属性!$DX333)</f>
        <v>128</v>
      </c>
      <c r="FG333" s="14">
        <f>INDEX(属性偏向!$U$4:$U$243,(卡牌属性!$DV333-1+FG$3)*20+卡牌属性!$DX333)</f>
        <v>200</v>
      </c>
      <c r="FH333" s="14">
        <f>INDEX(属性投放!$BQ$6:$BQ$85,(卡牌属性!$DW333-2)*20+卡牌属性!$DX333)</f>
        <v>185</v>
      </c>
      <c r="FI333" s="14">
        <f>INDEX(属性投放!$BQ$6:$BQ$85,(卡牌属性!$DW333-2)*20+卡牌属性!$DX333)</f>
        <v>185</v>
      </c>
      <c r="FJ333" s="14">
        <f>INDEX(属性投放!$BQ$6:$BQ$85,(卡牌属性!$DW333-2)*20+卡牌属性!$DX333)</f>
        <v>185</v>
      </c>
      <c r="FK333" s="14">
        <f>INDEX(属性投放!$BQ$6:$BQ$85,(卡牌属性!$DW333-2)*20+卡牌属性!$DX333)</f>
        <v>185</v>
      </c>
      <c r="FL333" s="14">
        <f>INDEX(属性投放!$BQ$6:$BQ$85,(卡牌属性!$DW333-2)*20+卡牌属性!$DX333)</f>
        <v>185</v>
      </c>
      <c r="FM333" s="14">
        <f>INDEX(属性投放!$BR$6:$BR$85,(卡牌属性!$DW333-2)*20+卡牌属性!$DX333)</f>
        <v>93</v>
      </c>
      <c r="FN333" s="14">
        <f>INDEX(属性投放!$BR$6:$BR$85,(卡牌属性!$DW333-2)*20+卡牌属性!$DX333)</f>
        <v>93</v>
      </c>
      <c r="FO333" s="14">
        <f>INDEX(属性投放!$BR$6:$BR$85,(卡牌属性!$DW333-2)*20+卡牌属性!$DX333)</f>
        <v>93</v>
      </c>
      <c r="FP333" s="14">
        <f>INDEX(属性投放!$BR$6:$BR$85,(卡牌属性!$DW333-2)*20+卡牌属性!$DX333)</f>
        <v>93</v>
      </c>
      <c r="FQ333" s="14">
        <f>INDEX(属性投放!$BR$6:$BR$85,(卡牌属性!$DW333-2)*20+卡牌属性!$DX333)</f>
        <v>93</v>
      </c>
      <c r="FR333" s="14">
        <f>INDEX(属性投放!$BS$6:$BS$85,(卡牌属性!$DW333-2)*20+卡牌属性!$DX333)</f>
        <v>1480</v>
      </c>
      <c r="FS333" s="14">
        <f>INDEX(属性投放!$BS$6:$BS$85,(卡牌属性!$DW333-2)*20+卡牌属性!$DX333)</f>
        <v>1480</v>
      </c>
      <c r="FT333" s="14">
        <f>INDEX(属性投放!$BS$6:$BS$85,(卡牌属性!$DW333-2)*20+卡牌属性!$DX333)</f>
        <v>1480</v>
      </c>
      <c r="FU333" s="14">
        <f>INDEX(属性投放!$BS$6:$BS$85,(卡牌属性!$DW333-2)*20+卡牌属性!$DX333)</f>
        <v>1480</v>
      </c>
      <c r="FV333" s="14">
        <f>INDEX(属性投放!$BS$6:$BS$85,(卡牌属性!$DW333-2)*20+卡牌属性!$DX333)</f>
        <v>1480</v>
      </c>
    </row>
    <row r="334" spans="31:178" ht="16.5" x14ac:dyDescent="0.2">
      <c r="AE334" s="13">
        <v>330</v>
      </c>
      <c r="AF334" s="13">
        <f t="shared" si="652"/>
        <v>17</v>
      </c>
      <c r="AG334" s="13">
        <f t="shared" si="633"/>
        <v>4</v>
      </c>
      <c r="AH334" s="13"/>
      <c r="AI334" s="13"/>
      <c r="AJ334" s="14">
        <f t="shared" si="634"/>
        <v>1101016</v>
      </c>
      <c r="AK334" s="14" t="str">
        <f t="shared" si="635"/>
        <v>秦王攻10突</v>
      </c>
      <c r="AL334" s="25" t="s">
        <v>142</v>
      </c>
      <c r="AM334" s="14">
        <v>1</v>
      </c>
      <c r="AN334" s="14">
        <f t="shared" si="636"/>
        <v>10</v>
      </c>
      <c r="AO334" s="14">
        <f>INDEX(属性投放!$DF$6:$DF$85,(卡牌属性!AG334-2)*20+卡牌属性!AN334)</f>
        <v>3347</v>
      </c>
      <c r="AP334" s="14">
        <f t="shared" si="637"/>
        <v>3347</v>
      </c>
      <c r="AQ334" s="14">
        <f t="shared" si="637"/>
        <v>3347</v>
      </c>
      <c r="AR334" s="14">
        <f t="shared" si="637"/>
        <v>3347</v>
      </c>
      <c r="AS334" s="14">
        <f t="shared" si="637"/>
        <v>3347</v>
      </c>
      <c r="AT334" s="14">
        <f>INDEX(属性投放!$DG$6:$DG$85,(卡牌属性!AG334-2)*20+卡牌属性!AN334)</f>
        <v>1603</v>
      </c>
      <c r="AU334" s="14">
        <f t="shared" si="638"/>
        <v>1603</v>
      </c>
      <c r="AV334" s="14">
        <f t="shared" si="638"/>
        <v>1603</v>
      </c>
      <c r="AW334" s="14">
        <f t="shared" si="638"/>
        <v>1603</v>
      </c>
      <c r="AX334" s="14">
        <f t="shared" si="638"/>
        <v>1603</v>
      </c>
      <c r="AY334" s="14">
        <f>INDEX(属性投放!$DH$6:$DH$85,(卡牌属性!AG334-2)*20+卡牌属性!AN334)</f>
        <v>23487</v>
      </c>
      <c r="AZ334" s="14">
        <f t="shared" si="639"/>
        <v>23487</v>
      </c>
      <c r="BA334" s="14">
        <f t="shared" si="639"/>
        <v>23487</v>
      </c>
      <c r="BB334" s="14">
        <f t="shared" si="639"/>
        <v>23487</v>
      </c>
      <c r="BC334" s="14">
        <f t="shared" si="639"/>
        <v>23487</v>
      </c>
      <c r="BD334" s="14">
        <f>INDEX(属性投放!$DL$6:$DL$85,(卡牌属性!AG334-2)*20+卡牌属性!AN334)</f>
        <v>110</v>
      </c>
      <c r="BE334" s="14">
        <f t="shared" si="640"/>
        <v>110</v>
      </c>
      <c r="BF334" s="14">
        <f t="shared" si="640"/>
        <v>110</v>
      </c>
      <c r="BG334" s="14">
        <f t="shared" si="640"/>
        <v>110</v>
      </c>
      <c r="BH334" s="14">
        <f t="shared" si="640"/>
        <v>110</v>
      </c>
      <c r="BI334" s="14">
        <f>INDEX(属性投放!$DM$6:$DM$85,(卡牌属性!AG334-2)*20+卡牌属性!AN334)</f>
        <v>55</v>
      </c>
      <c r="BJ334" s="14">
        <f t="shared" si="641"/>
        <v>55</v>
      </c>
      <c r="BK334" s="14">
        <f t="shared" si="641"/>
        <v>55</v>
      </c>
      <c r="BL334" s="14">
        <f t="shared" si="641"/>
        <v>55</v>
      </c>
      <c r="BM334" s="14">
        <f t="shared" si="641"/>
        <v>55</v>
      </c>
      <c r="BN334" s="14">
        <f>INDEX(属性投放!$DN$6:$DN$85,(卡牌属性!AG334-2)*20+卡牌属性!AN334)</f>
        <v>988</v>
      </c>
      <c r="BO334" s="14">
        <f t="shared" si="642"/>
        <v>988</v>
      </c>
      <c r="BP334" s="14">
        <f t="shared" si="642"/>
        <v>988</v>
      </c>
      <c r="BQ334" s="14">
        <f t="shared" si="642"/>
        <v>988</v>
      </c>
      <c r="BR334" s="14">
        <f t="shared" si="642"/>
        <v>988</v>
      </c>
      <c r="BW334" s="13">
        <v>330</v>
      </c>
      <c r="BX334" s="13">
        <f t="shared" si="643"/>
        <v>17</v>
      </c>
      <c r="BY334" s="14">
        <f t="shared" si="644"/>
        <v>3</v>
      </c>
      <c r="BZ334" s="14">
        <f t="shared" si="653"/>
        <v>1102017</v>
      </c>
      <c r="CA334" s="14" t="str">
        <f t="shared" si="654"/>
        <v>飞廉10突</v>
      </c>
      <c r="CB334" s="25" t="s">
        <v>142</v>
      </c>
      <c r="CC334" s="14">
        <v>2</v>
      </c>
      <c r="CD334" s="14">
        <f t="shared" si="645"/>
        <v>10</v>
      </c>
      <c r="CE334" s="14" t="s">
        <v>21</v>
      </c>
      <c r="CF334" s="14">
        <f>INDEX(属性投放!$AZ$6:$AZ$85,(BY334-2)*20+CD334)</f>
        <v>2826</v>
      </c>
      <c r="CG334" s="14" t="s">
        <v>22</v>
      </c>
      <c r="CH334" s="14">
        <f>INDEX(属性投放!$BA$6:$BA$85,(BY334-2)*20+CD334)</f>
        <v>1362</v>
      </c>
      <c r="CI334" s="14" t="s">
        <v>510</v>
      </c>
      <c r="CJ334" s="14">
        <f>INDEX(属性投放!$BB$6:$BB$85,(BY334-2)*20+CD334)</f>
        <v>20055</v>
      </c>
      <c r="CK334" s="14" t="s">
        <v>21</v>
      </c>
      <c r="CL334" s="14">
        <f>INDEX(属性投放!$BC$6:$BC$85,(BY334-2)*20+CD334)</f>
        <v>20</v>
      </c>
      <c r="CM334" s="14" t="s">
        <v>22</v>
      </c>
      <c r="CN334" s="14">
        <f>INDEX(属性投放!$BD$6:$BD$85,(BY334-2)*20+CD334)</f>
        <v>10</v>
      </c>
      <c r="CO334" s="14" t="s">
        <v>510</v>
      </c>
      <c r="CP334" s="14">
        <f>INDEX(属性投放!$BE$6:$BE$85,(BY334-2)*20+CD334)</f>
        <v>180</v>
      </c>
      <c r="CS334" s="13">
        <v>330</v>
      </c>
      <c r="CT334" s="13">
        <f t="shared" si="655"/>
        <v>7</v>
      </c>
      <c r="CU334" s="13">
        <f t="shared" si="656"/>
        <v>18</v>
      </c>
      <c r="CV334" s="14">
        <f t="shared" si="657"/>
        <v>4</v>
      </c>
      <c r="CW334" s="14">
        <f t="shared" si="658"/>
        <v>1102007</v>
      </c>
      <c r="CX334" s="14" t="str">
        <f>INDEX($O$6:$O$50,CT334)&amp;"-"&amp;INDEX(属性投放!$AB$7:$AB$50,CZ334)&amp;"-魂火-"&amp;DB334</f>
        <v>天使缇娜-叫唤+2-魂火-3</v>
      </c>
      <c r="CY334" s="25" t="s">
        <v>142</v>
      </c>
      <c r="CZ334" s="14">
        <f>INDEX(属性投放!$AM$7:$AM$58,CU334)</f>
        <v>9</v>
      </c>
      <c r="DA334" s="14" t="s">
        <v>537</v>
      </c>
      <c r="DB334" s="14">
        <f>INDEX(属性投放!$AN$7:$AN$58,CU334)</f>
        <v>3</v>
      </c>
      <c r="DC334" s="14">
        <f t="shared" si="646"/>
        <v>18</v>
      </c>
      <c r="DD334" s="14">
        <f>INDEX(属性投放!$AO$7:$AO$58,DC334)</f>
        <v>63</v>
      </c>
      <c r="DE334" s="14" t="s">
        <v>538</v>
      </c>
      <c r="DF334" s="14">
        <f>INDEX(属性投放!$BK$6:$BK$85,(CV334-2)*20+CZ334)</f>
        <v>115</v>
      </c>
      <c r="DG334" s="14">
        <f>SUMIFS(DF$5:DF334,$CT$5:$CT334,"="&amp;$CT334)</f>
        <v>1180</v>
      </c>
      <c r="DH334" s="14" t="s">
        <v>539</v>
      </c>
      <c r="DI334" s="14">
        <f>INDEX(属性投放!$BL$6:$BL$85,(CV334-2)*20+CZ334)</f>
        <v>58</v>
      </c>
      <c r="DJ334" s="14">
        <f>SUMIFS(DI$5:DI334,$CT$5:$CT334,"="&amp;$CT334)</f>
        <v>595</v>
      </c>
      <c r="DK334" s="14" t="s">
        <v>540</v>
      </c>
      <c r="DL334" s="14">
        <f>INDEX(属性投放!$BM$6:$BM$85,(CV334-2)*20+CZ334)</f>
        <v>920</v>
      </c>
      <c r="DM334" s="14">
        <f>SUMIFS(DL$5:DL334,$CT$5:$CT334,"="&amp;$CT334)</f>
        <v>8810</v>
      </c>
      <c r="DR334" s="14">
        <f t="shared" si="647"/>
        <v>1102017</v>
      </c>
      <c r="DS334" s="14" t="str">
        <f t="shared" si="648"/>
        <v>飞廉10突</v>
      </c>
      <c r="DT334" s="14">
        <f t="shared" si="659"/>
        <v>6</v>
      </c>
      <c r="DU334" s="14">
        <f t="shared" si="660"/>
        <v>6</v>
      </c>
      <c r="DV334" s="14">
        <f t="shared" si="661"/>
        <v>4</v>
      </c>
      <c r="DW334" s="14">
        <f t="shared" si="649"/>
        <v>3</v>
      </c>
      <c r="DX334" s="14">
        <f t="shared" si="650"/>
        <v>10</v>
      </c>
      <c r="DY334" s="14">
        <f t="shared" si="651"/>
        <v>30</v>
      </c>
      <c r="DZ334" s="14">
        <f>INDEX(属性投放!$AX$6:$AX$85,(卡牌属性!DW334-2)*20+卡牌属性!DX334)</f>
        <v>7</v>
      </c>
      <c r="EA334" s="14">
        <f>INDEX(属性投放!BQ$6:BQ$85,卡牌属性!$DY334)</f>
        <v>175</v>
      </c>
      <c r="EB334" s="14">
        <f>INDEX(属性投放!BR$6:BR$85,卡牌属性!$DY334)</f>
        <v>88</v>
      </c>
      <c r="EC334" s="14">
        <f>INDEX(属性投放!BS$6:BS$85,卡牌属性!$DY334)</f>
        <v>1575</v>
      </c>
      <c r="ED334" s="14">
        <f t="shared" si="662"/>
        <v>1929</v>
      </c>
      <c r="EE334" s="14">
        <f t="shared" si="663"/>
        <v>2338</v>
      </c>
      <c r="EF334" s="14">
        <f t="shared" si="664"/>
        <v>2530</v>
      </c>
      <c r="EG334" s="14">
        <f t="shared" si="665"/>
        <v>2530</v>
      </c>
      <c r="EH334" s="14">
        <f t="shared" si="666"/>
        <v>2750</v>
      </c>
      <c r="EI334" s="14">
        <f t="shared" si="667"/>
        <v>930</v>
      </c>
      <c r="EJ334" s="14">
        <f t="shared" si="668"/>
        <v>1140</v>
      </c>
      <c r="EK334" s="14">
        <f t="shared" si="669"/>
        <v>1140</v>
      </c>
      <c r="EL334" s="14">
        <f t="shared" si="670"/>
        <v>1229</v>
      </c>
      <c r="EM334" s="14">
        <f t="shared" si="671"/>
        <v>1340</v>
      </c>
      <c r="EN334" s="14">
        <f t="shared" si="672"/>
        <v>11377</v>
      </c>
      <c r="EO334" s="14">
        <f t="shared" si="673"/>
        <v>12505</v>
      </c>
      <c r="EP334" s="14">
        <f t="shared" si="674"/>
        <v>12505</v>
      </c>
      <c r="EQ334" s="14">
        <f t="shared" si="675"/>
        <v>13241</v>
      </c>
      <c r="ER334" s="14">
        <f t="shared" si="676"/>
        <v>16173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135</v>
      </c>
      <c r="FD334" s="14">
        <f>INDEX(属性偏向!$U$4:$U$243,(卡牌属性!$DV334-1+FD$3)*20+卡牌属性!$DX334)</f>
        <v>180</v>
      </c>
      <c r="FE334" s="14">
        <f>INDEX(属性偏向!$U$4:$U$243,(卡牌属性!$DV334-1+FE$3)*20+卡牌属性!$DX334)</f>
        <v>180</v>
      </c>
      <c r="FF334" s="14">
        <f>INDEX(属性偏向!$U$4:$U$243,(卡牌属性!$DV334-1+FF$3)*20+卡牌属性!$DX334)</f>
        <v>189</v>
      </c>
      <c r="FG334" s="14">
        <f>INDEX(属性偏向!$U$4:$U$243,(卡牌属性!$DV334-1+FG$3)*20+卡牌属性!$DX334)</f>
        <v>270</v>
      </c>
      <c r="FH334" s="14">
        <f>INDEX(属性投放!$BQ$6:$BQ$85,(卡牌属性!$DW334-2)*20+卡牌属性!$DX334)</f>
        <v>175</v>
      </c>
      <c r="FI334" s="14">
        <f>INDEX(属性投放!$BQ$6:$BQ$85,(卡牌属性!$DW334-2)*20+卡牌属性!$DX334)</f>
        <v>175</v>
      </c>
      <c r="FJ334" s="14">
        <f>INDEX(属性投放!$BQ$6:$BQ$85,(卡牌属性!$DW334-2)*20+卡牌属性!$DX334)</f>
        <v>175</v>
      </c>
      <c r="FK334" s="14">
        <f>INDEX(属性投放!$BQ$6:$BQ$85,(卡牌属性!$DW334-2)*20+卡牌属性!$DX334)</f>
        <v>175</v>
      </c>
      <c r="FL334" s="14">
        <f>INDEX(属性投放!$BQ$6:$BQ$85,(卡牌属性!$DW334-2)*20+卡牌属性!$DX334)</f>
        <v>175</v>
      </c>
      <c r="FM334" s="14">
        <f>INDEX(属性投放!$BR$6:$BR$85,(卡牌属性!$DW334-2)*20+卡牌属性!$DX334)</f>
        <v>88</v>
      </c>
      <c r="FN334" s="14">
        <f>INDEX(属性投放!$BR$6:$BR$85,(卡牌属性!$DW334-2)*20+卡牌属性!$DX334)</f>
        <v>88</v>
      </c>
      <c r="FO334" s="14">
        <f>INDEX(属性投放!$BR$6:$BR$85,(卡牌属性!$DW334-2)*20+卡牌属性!$DX334)</f>
        <v>88</v>
      </c>
      <c r="FP334" s="14">
        <f>INDEX(属性投放!$BR$6:$BR$85,(卡牌属性!$DW334-2)*20+卡牌属性!$DX334)</f>
        <v>88</v>
      </c>
      <c r="FQ334" s="14">
        <f>INDEX(属性投放!$BR$6:$BR$85,(卡牌属性!$DW334-2)*20+卡牌属性!$DX334)</f>
        <v>88</v>
      </c>
      <c r="FR334" s="14">
        <f>INDEX(属性投放!$BS$6:$BS$85,(卡牌属性!$DW334-2)*20+卡牌属性!$DX334)</f>
        <v>1575</v>
      </c>
      <c r="FS334" s="14">
        <f>INDEX(属性投放!$BS$6:$BS$85,(卡牌属性!$DW334-2)*20+卡牌属性!$DX334)</f>
        <v>1575</v>
      </c>
      <c r="FT334" s="14">
        <f>INDEX(属性投放!$BS$6:$BS$85,(卡牌属性!$DW334-2)*20+卡牌属性!$DX334)</f>
        <v>1575</v>
      </c>
      <c r="FU334" s="14">
        <f>INDEX(属性投放!$BS$6:$BS$85,(卡牌属性!$DW334-2)*20+卡牌属性!$DX334)</f>
        <v>1575</v>
      </c>
      <c r="FV334" s="14">
        <f>INDEX(属性投放!$BS$6:$BS$85,(卡牌属性!$DW334-2)*20+卡牌属性!$DX334)</f>
        <v>1575</v>
      </c>
    </row>
    <row r="335" spans="31:178" ht="16.5" x14ac:dyDescent="0.2">
      <c r="AE335" s="13">
        <v>331</v>
      </c>
      <c r="AF335" s="13">
        <f t="shared" si="652"/>
        <v>17</v>
      </c>
      <c r="AG335" s="13">
        <f t="shared" si="633"/>
        <v>4</v>
      </c>
      <c r="AH335" s="13"/>
      <c r="AI335" s="13"/>
      <c r="AJ335" s="14">
        <f t="shared" si="634"/>
        <v>1101016</v>
      </c>
      <c r="AK335" s="14" t="str">
        <f t="shared" si="635"/>
        <v>秦王攻11突</v>
      </c>
      <c r="AL335" s="25" t="s">
        <v>142</v>
      </c>
      <c r="AM335" s="14">
        <v>1</v>
      </c>
      <c r="AN335" s="14">
        <f t="shared" si="636"/>
        <v>11</v>
      </c>
      <c r="AO335" s="14">
        <f>INDEX(属性投放!$DF$6:$DF$85,(卡牌属性!AG335-2)*20+卡牌属性!AN335)</f>
        <v>3661</v>
      </c>
      <c r="AP335" s="14">
        <f t="shared" si="637"/>
        <v>3661</v>
      </c>
      <c r="AQ335" s="14">
        <f t="shared" si="637"/>
        <v>3661</v>
      </c>
      <c r="AR335" s="14">
        <f t="shared" si="637"/>
        <v>3661</v>
      </c>
      <c r="AS335" s="14">
        <f t="shared" si="637"/>
        <v>3661</v>
      </c>
      <c r="AT335" s="14">
        <f>INDEX(属性投放!$DG$6:$DG$85,(卡牌属性!AG335-2)*20+卡牌属性!AN335)</f>
        <v>1760</v>
      </c>
      <c r="AU335" s="14">
        <f t="shared" si="638"/>
        <v>1760</v>
      </c>
      <c r="AV335" s="14">
        <f t="shared" si="638"/>
        <v>1760</v>
      </c>
      <c r="AW335" s="14">
        <f t="shared" si="638"/>
        <v>1760</v>
      </c>
      <c r="AX335" s="14">
        <f t="shared" si="638"/>
        <v>1760</v>
      </c>
      <c r="AY335" s="14">
        <f>INDEX(属性投放!$DH$6:$DH$85,(卡牌属性!AG335-2)*20+卡牌属性!AN335)</f>
        <v>26309</v>
      </c>
      <c r="AZ335" s="14">
        <f t="shared" si="639"/>
        <v>26309</v>
      </c>
      <c r="BA335" s="14">
        <f t="shared" si="639"/>
        <v>26309</v>
      </c>
      <c r="BB335" s="14">
        <f t="shared" si="639"/>
        <v>26309</v>
      </c>
      <c r="BC335" s="14">
        <f t="shared" si="639"/>
        <v>26309</v>
      </c>
      <c r="BD335" s="14">
        <f>INDEX(属性投放!$DL$6:$DL$85,(卡牌属性!AG335-2)*20+卡牌属性!AN335)</f>
        <v>110</v>
      </c>
      <c r="BE335" s="14">
        <f t="shared" si="640"/>
        <v>110</v>
      </c>
      <c r="BF335" s="14">
        <f t="shared" si="640"/>
        <v>110</v>
      </c>
      <c r="BG335" s="14">
        <f t="shared" si="640"/>
        <v>110</v>
      </c>
      <c r="BH335" s="14">
        <f t="shared" si="640"/>
        <v>110</v>
      </c>
      <c r="BI335" s="14">
        <f>INDEX(属性投放!$DM$6:$DM$85,(卡牌属性!AG335-2)*20+卡牌属性!AN335)</f>
        <v>55</v>
      </c>
      <c r="BJ335" s="14">
        <f t="shared" si="641"/>
        <v>55</v>
      </c>
      <c r="BK335" s="14">
        <f t="shared" si="641"/>
        <v>55</v>
      </c>
      <c r="BL335" s="14">
        <f t="shared" si="641"/>
        <v>55</v>
      </c>
      <c r="BM335" s="14">
        <f t="shared" si="641"/>
        <v>55</v>
      </c>
      <c r="BN335" s="14">
        <f>INDEX(属性投放!$DN$6:$DN$85,(卡牌属性!AG335-2)*20+卡牌属性!AN335)</f>
        <v>988</v>
      </c>
      <c r="BO335" s="14">
        <f t="shared" si="642"/>
        <v>988</v>
      </c>
      <c r="BP335" s="14">
        <f t="shared" si="642"/>
        <v>988</v>
      </c>
      <c r="BQ335" s="14">
        <f t="shared" si="642"/>
        <v>988</v>
      </c>
      <c r="BR335" s="14">
        <f t="shared" si="642"/>
        <v>988</v>
      </c>
      <c r="BW335" s="13">
        <v>331</v>
      </c>
      <c r="BX335" s="13">
        <f t="shared" si="643"/>
        <v>17</v>
      </c>
      <c r="BY335" s="14">
        <f t="shared" si="644"/>
        <v>3</v>
      </c>
      <c r="BZ335" s="14">
        <f t="shared" si="653"/>
        <v>1102017</v>
      </c>
      <c r="CA335" s="14" t="str">
        <f t="shared" si="654"/>
        <v>飞廉11突</v>
      </c>
      <c r="CB335" s="25" t="s">
        <v>142</v>
      </c>
      <c r="CC335" s="14">
        <v>2</v>
      </c>
      <c r="CD335" s="14">
        <f t="shared" si="645"/>
        <v>11</v>
      </c>
      <c r="CE335" s="14" t="s">
        <v>21</v>
      </c>
      <c r="CF335" s="14">
        <f>INDEX(属性投放!$AZ$6:$AZ$85,(BY335-2)*20+CD335)</f>
        <v>3501</v>
      </c>
      <c r="CG335" s="14" t="s">
        <v>22</v>
      </c>
      <c r="CH335" s="14">
        <f>INDEX(属性投放!$BA$6:$BA$85,(BY335-2)*20+CD335)</f>
        <v>1700</v>
      </c>
      <c r="CI335" s="14" t="s">
        <v>510</v>
      </c>
      <c r="CJ335" s="14">
        <f>INDEX(属性投放!$BB$6:$BB$85,(BY335-2)*20+CD335)</f>
        <v>26130</v>
      </c>
      <c r="CK335" s="14" t="s">
        <v>21</v>
      </c>
      <c r="CL335" s="14">
        <f>INDEX(属性投放!$BC$6:$BC$85,(BY335-2)*20+CD335)</f>
        <v>20</v>
      </c>
      <c r="CM335" s="14" t="s">
        <v>22</v>
      </c>
      <c r="CN335" s="14">
        <f>INDEX(属性投放!$BD$6:$BD$85,(BY335-2)*20+CD335)</f>
        <v>10</v>
      </c>
      <c r="CO335" s="14" t="s">
        <v>510</v>
      </c>
      <c r="CP335" s="14">
        <f>INDEX(属性投放!$BE$6:$BE$85,(BY335-2)*20+CD335)</f>
        <v>180</v>
      </c>
      <c r="CS335" s="13">
        <v>331</v>
      </c>
      <c r="CT335" s="13">
        <f t="shared" si="655"/>
        <v>7</v>
      </c>
      <c r="CU335" s="13">
        <f t="shared" si="656"/>
        <v>19</v>
      </c>
      <c r="CV335" s="14">
        <f t="shared" si="657"/>
        <v>4</v>
      </c>
      <c r="CW335" s="14">
        <f t="shared" si="658"/>
        <v>1102007</v>
      </c>
      <c r="CX335" s="14" t="str">
        <f>INDEX($O$6:$O$50,CT335)&amp;"-"&amp;INDEX(属性投放!$AB$7:$AB$50,CZ335)&amp;"-魂火-"&amp;DB335</f>
        <v>天使缇娜-大叫唤-魂火-1</v>
      </c>
      <c r="CY335" s="25" t="s">
        <v>142</v>
      </c>
      <c r="CZ335" s="14">
        <f>INDEX(属性投放!$AM$7:$AM$58,CU335)</f>
        <v>10</v>
      </c>
      <c r="DA335" s="14" t="s">
        <v>537</v>
      </c>
      <c r="DB335" s="14">
        <f>INDEX(属性投放!$AN$7:$AN$58,CU335)</f>
        <v>1</v>
      </c>
      <c r="DC335" s="14">
        <f t="shared" si="646"/>
        <v>19</v>
      </c>
      <c r="DD335" s="14">
        <f>INDEX(属性投放!$AO$7:$AO$58,DC335)</f>
        <v>65</v>
      </c>
      <c r="DE335" s="14" t="s">
        <v>538</v>
      </c>
      <c r="DF335" s="14">
        <f>INDEX(属性投放!$BK$6:$BK$85,(CV335-2)*20+CZ335)</f>
        <v>130</v>
      </c>
      <c r="DG335" s="14">
        <f>SUMIFS(DF$5:DF335,$CT$5:$CT335,"="&amp;$CT335)</f>
        <v>1310</v>
      </c>
      <c r="DH335" s="14" t="s">
        <v>539</v>
      </c>
      <c r="DI335" s="14">
        <f>INDEX(属性投放!$BL$6:$BL$85,(CV335-2)*20+CZ335)</f>
        <v>65</v>
      </c>
      <c r="DJ335" s="14">
        <f>SUMIFS(DI$5:DI335,$CT$5:$CT335,"="&amp;$CT335)</f>
        <v>660</v>
      </c>
      <c r="DK335" s="14" t="s">
        <v>540</v>
      </c>
      <c r="DL335" s="14">
        <f>INDEX(属性投放!$BM$6:$BM$85,(CV335-2)*20+CZ335)</f>
        <v>1170</v>
      </c>
      <c r="DM335" s="14">
        <f>SUMIFS(DL$5:DL335,$CT$5:$CT335,"="&amp;$CT335)</f>
        <v>9980</v>
      </c>
      <c r="DR335" s="14">
        <f t="shared" si="647"/>
        <v>1102017</v>
      </c>
      <c r="DS335" s="14" t="str">
        <f t="shared" si="648"/>
        <v>飞廉11突</v>
      </c>
      <c r="DT335" s="14">
        <f t="shared" si="659"/>
        <v>6</v>
      </c>
      <c r="DU335" s="14">
        <f t="shared" si="660"/>
        <v>6</v>
      </c>
      <c r="DV335" s="14">
        <f t="shared" si="661"/>
        <v>4</v>
      </c>
      <c r="DW335" s="14">
        <f t="shared" si="649"/>
        <v>3</v>
      </c>
      <c r="DX335" s="14">
        <f t="shared" si="650"/>
        <v>11</v>
      </c>
      <c r="DY335" s="14">
        <f t="shared" si="651"/>
        <v>31</v>
      </c>
      <c r="DZ335" s="14">
        <f>INDEX(属性投放!$AX$6:$AX$85,(卡牌属性!DW335-2)*20+卡牌属性!DX335)</f>
        <v>8</v>
      </c>
      <c r="EA335" s="14">
        <f>INDEX(属性投放!BQ$6:BQ$85,卡牌属性!$DY335)</f>
        <v>240</v>
      </c>
      <c r="EB335" s="14">
        <f>INDEX(属性投放!BR$6:BR$85,卡牌属性!$DY335)</f>
        <v>120</v>
      </c>
      <c r="EC335" s="14">
        <f>INDEX(属性投放!BS$6:BS$85,卡牌属性!$DY335)</f>
        <v>2160</v>
      </c>
      <c r="ED335" s="14">
        <f t="shared" si="662"/>
        <v>2251</v>
      </c>
      <c r="EE335" s="14">
        <f t="shared" si="663"/>
        <v>2723</v>
      </c>
      <c r="EF335" s="14">
        <f t="shared" si="664"/>
        <v>2950</v>
      </c>
      <c r="EG335" s="14">
        <f t="shared" si="665"/>
        <v>2950</v>
      </c>
      <c r="EH335" s="14">
        <f t="shared" si="666"/>
        <v>3205</v>
      </c>
      <c r="EI335" s="14">
        <f t="shared" si="667"/>
        <v>1095</v>
      </c>
      <c r="EJ335" s="14">
        <f t="shared" si="668"/>
        <v>1333</v>
      </c>
      <c r="EK335" s="14">
        <f t="shared" si="669"/>
        <v>1333</v>
      </c>
      <c r="EL335" s="14">
        <f t="shared" si="670"/>
        <v>1443</v>
      </c>
      <c r="EM335" s="14">
        <f t="shared" si="671"/>
        <v>1568</v>
      </c>
      <c r="EN335" s="14">
        <f t="shared" si="672"/>
        <v>13897</v>
      </c>
      <c r="EO335" s="14">
        <f t="shared" si="673"/>
        <v>15340</v>
      </c>
      <c r="EP335" s="14">
        <f t="shared" si="674"/>
        <v>15340</v>
      </c>
      <c r="EQ335" s="14">
        <f t="shared" si="675"/>
        <v>16139</v>
      </c>
      <c r="ER335" s="14">
        <f t="shared" si="676"/>
        <v>19638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135</v>
      </c>
      <c r="FD335" s="14">
        <f>INDEX(属性偏向!$U$4:$U$243,(卡牌属性!$DV335-1+FD$3)*20+卡牌属性!$DX335)</f>
        <v>180</v>
      </c>
      <c r="FE335" s="14">
        <f>INDEX(属性偏向!$U$4:$U$243,(卡牌属性!$DV335-1+FE$3)*20+卡牌属性!$DX335)</f>
        <v>180</v>
      </c>
      <c r="FF335" s="14">
        <f>INDEX(属性偏向!$U$4:$U$243,(卡牌属性!$DV335-1+FF$3)*20+卡牌属性!$DX335)</f>
        <v>189</v>
      </c>
      <c r="FG335" s="14">
        <f>INDEX(属性偏向!$U$4:$U$243,(卡牌属性!$DV335-1+FG$3)*20+卡牌属性!$DX335)</f>
        <v>270</v>
      </c>
      <c r="FH335" s="14">
        <f>INDEX(属性投放!$BQ$6:$BQ$85,(卡牌属性!$DW335-2)*20+卡牌属性!$DX335)</f>
        <v>240</v>
      </c>
      <c r="FI335" s="14">
        <f>INDEX(属性投放!$BQ$6:$BQ$85,(卡牌属性!$DW335-2)*20+卡牌属性!$DX335)</f>
        <v>240</v>
      </c>
      <c r="FJ335" s="14">
        <f>INDEX(属性投放!$BQ$6:$BQ$85,(卡牌属性!$DW335-2)*20+卡牌属性!$DX335)</f>
        <v>240</v>
      </c>
      <c r="FK335" s="14">
        <f>INDEX(属性投放!$BQ$6:$BQ$85,(卡牌属性!$DW335-2)*20+卡牌属性!$DX335)</f>
        <v>240</v>
      </c>
      <c r="FL335" s="14">
        <f>INDEX(属性投放!$BQ$6:$BQ$85,(卡牌属性!$DW335-2)*20+卡牌属性!$DX335)</f>
        <v>240</v>
      </c>
      <c r="FM335" s="14">
        <f>INDEX(属性投放!$BR$6:$BR$85,(卡牌属性!$DW335-2)*20+卡牌属性!$DX335)</f>
        <v>120</v>
      </c>
      <c r="FN335" s="14">
        <f>INDEX(属性投放!$BR$6:$BR$85,(卡牌属性!$DW335-2)*20+卡牌属性!$DX335)</f>
        <v>120</v>
      </c>
      <c r="FO335" s="14">
        <f>INDEX(属性投放!$BR$6:$BR$85,(卡牌属性!$DW335-2)*20+卡牌属性!$DX335)</f>
        <v>120</v>
      </c>
      <c r="FP335" s="14">
        <f>INDEX(属性投放!$BR$6:$BR$85,(卡牌属性!$DW335-2)*20+卡牌属性!$DX335)</f>
        <v>120</v>
      </c>
      <c r="FQ335" s="14">
        <f>INDEX(属性投放!$BR$6:$BR$85,(卡牌属性!$DW335-2)*20+卡牌属性!$DX335)</f>
        <v>120</v>
      </c>
      <c r="FR335" s="14">
        <f>INDEX(属性投放!$BS$6:$BS$85,(卡牌属性!$DW335-2)*20+卡牌属性!$DX335)</f>
        <v>2160</v>
      </c>
      <c r="FS335" s="14">
        <f>INDEX(属性投放!$BS$6:$BS$85,(卡牌属性!$DW335-2)*20+卡牌属性!$DX335)</f>
        <v>2160</v>
      </c>
      <c r="FT335" s="14">
        <f>INDEX(属性投放!$BS$6:$BS$85,(卡牌属性!$DW335-2)*20+卡牌属性!$DX335)</f>
        <v>2160</v>
      </c>
      <c r="FU335" s="14">
        <f>INDEX(属性投放!$BS$6:$BS$85,(卡牌属性!$DW335-2)*20+卡牌属性!$DX335)</f>
        <v>2160</v>
      </c>
      <c r="FV335" s="14">
        <f>INDEX(属性投放!$BS$6:$BS$85,(卡牌属性!$DW335-2)*20+卡牌属性!$DX335)</f>
        <v>2160</v>
      </c>
    </row>
    <row r="336" spans="31:178" ht="16.5" x14ac:dyDescent="0.2">
      <c r="AE336" s="13">
        <v>332</v>
      </c>
      <c r="AF336" s="13">
        <f t="shared" si="652"/>
        <v>17</v>
      </c>
      <c r="AG336" s="13">
        <f t="shared" si="633"/>
        <v>4</v>
      </c>
      <c r="AH336" s="13"/>
      <c r="AI336" s="13"/>
      <c r="AJ336" s="14">
        <f t="shared" si="634"/>
        <v>1101016</v>
      </c>
      <c r="AK336" s="14" t="str">
        <f t="shared" si="635"/>
        <v>秦王攻12突</v>
      </c>
      <c r="AL336" s="25" t="s">
        <v>142</v>
      </c>
      <c r="AM336" s="14">
        <v>1</v>
      </c>
      <c r="AN336" s="14">
        <f t="shared" si="636"/>
        <v>12</v>
      </c>
      <c r="AO336" s="14">
        <f>INDEX(属性投放!$DF$6:$DF$85,(卡牌属性!AG336-2)*20+卡牌属性!AN336)</f>
        <v>3975</v>
      </c>
      <c r="AP336" s="14">
        <f t="shared" si="637"/>
        <v>3975</v>
      </c>
      <c r="AQ336" s="14">
        <f t="shared" si="637"/>
        <v>3975</v>
      </c>
      <c r="AR336" s="14">
        <f t="shared" si="637"/>
        <v>3975</v>
      </c>
      <c r="AS336" s="14">
        <f t="shared" si="637"/>
        <v>3975</v>
      </c>
      <c r="AT336" s="14">
        <f>INDEX(属性投放!$DG$6:$DG$85,(卡牌属性!AG336-2)*20+卡牌属性!AN336)</f>
        <v>1917</v>
      </c>
      <c r="AU336" s="14">
        <f t="shared" si="638"/>
        <v>1917</v>
      </c>
      <c r="AV336" s="14">
        <f t="shared" si="638"/>
        <v>1917</v>
      </c>
      <c r="AW336" s="14">
        <f t="shared" si="638"/>
        <v>1917</v>
      </c>
      <c r="AX336" s="14">
        <f t="shared" si="638"/>
        <v>1917</v>
      </c>
      <c r="AY336" s="14">
        <f>INDEX(属性投放!$DH$6:$DH$85,(卡牌属性!AG336-2)*20+卡牌属性!AN336)</f>
        <v>29131</v>
      </c>
      <c r="AZ336" s="14">
        <f t="shared" si="639"/>
        <v>29131</v>
      </c>
      <c r="BA336" s="14">
        <f t="shared" si="639"/>
        <v>29131</v>
      </c>
      <c r="BB336" s="14">
        <f t="shared" si="639"/>
        <v>29131</v>
      </c>
      <c r="BC336" s="14">
        <f t="shared" si="639"/>
        <v>29131</v>
      </c>
      <c r="BD336" s="14">
        <f>INDEX(属性投放!$DL$6:$DL$85,(卡牌属性!AG336-2)*20+卡牌属性!AN336)</f>
        <v>110</v>
      </c>
      <c r="BE336" s="14">
        <f t="shared" si="640"/>
        <v>110</v>
      </c>
      <c r="BF336" s="14">
        <f t="shared" si="640"/>
        <v>110</v>
      </c>
      <c r="BG336" s="14">
        <f t="shared" si="640"/>
        <v>110</v>
      </c>
      <c r="BH336" s="14">
        <f t="shared" si="640"/>
        <v>110</v>
      </c>
      <c r="BI336" s="14">
        <f>INDEX(属性投放!$DM$6:$DM$85,(卡牌属性!AG336-2)*20+卡牌属性!AN336)</f>
        <v>55</v>
      </c>
      <c r="BJ336" s="14">
        <f t="shared" si="641"/>
        <v>55</v>
      </c>
      <c r="BK336" s="14">
        <f t="shared" si="641"/>
        <v>55</v>
      </c>
      <c r="BL336" s="14">
        <f t="shared" si="641"/>
        <v>55</v>
      </c>
      <c r="BM336" s="14">
        <f t="shared" si="641"/>
        <v>55</v>
      </c>
      <c r="BN336" s="14">
        <f>INDEX(属性投放!$DN$6:$DN$85,(卡牌属性!AG336-2)*20+卡牌属性!AN336)</f>
        <v>988</v>
      </c>
      <c r="BO336" s="14">
        <f t="shared" si="642"/>
        <v>988</v>
      </c>
      <c r="BP336" s="14">
        <f t="shared" si="642"/>
        <v>988</v>
      </c>
      <c r="BQ336" s="14">
        <f t="shared" si="642"/>
        <v>988</v>
      </c>
      <c r="BR336" s="14">
        <f t="shared" si="642"/>
        <v>988</v>
      </c>
      <c r="BW336" s="13">
        <v>332</v>
      </c>
      <c r="BX336" s="13">
        <f t="shared" si="643"/>
        <v>17</v>
      </c>
      <c r="BY336" s="14">
        <f t="shared" si="644"/>
        <v>3</v>
      </c>
      <c r="BZ336" s="14">
        <f t="shared" si="653"/>
        <v>1102017</v>
      </c>
      <c r="CA336" s="14" t="str">
        <f t="shared" si="654"/>
        <v>飞廉12突</v>
      </c>
      <c r="CB336" s="25" t="s">
        <v>142</v>
      </c>
      <c r="CC336" s="14">
        <v>2</v>
      </c>
      <c r="CD336" s="14">
        <f t="shared" si="645"/>
        <v>12</v>
      </c>
      <c r="CE336" s="14" t="s">
        <v>21</v>
      </c>
      <c r="CF336" s="14">
        <f>INDEX(属性投放!$AZ$6:$AZ$85,(BY336-2)*20+CD336)</f>
        <v>4351</v>
      </c>
      <c r="CG336" s="14" t="s">
        <v>22</v>
      </c>
      <c r="CH336" s="14">
        <f>INDEX(属性投放!$BA$6:$BA$85,(BY336-2)*20+CD336)</f>
        <v>2125</v>
      </c>
      <c r="CI336" s="14" t="s">
        <v>510</v>
      </c>
      <c r="CJ336" s="14">
        <f>INDEX(属性投放!$BB$6:$BB$85,(BY336-2)*20+CD336)</f>
        <v>33780</v>
      </c>
      <c r="CK336" s="14" t="s">
        <v>21</v>
      </c>
      <c r="CL336" s="14">
        <f>INDEX(属性投放!$BC$6:$BC$85,(BY336-2)*20+CD336)</f>
        <v>20</v>
      </c>
      <c r="CM336" s="14" t="s">
        <v>22</v>
      </c>
      <c r="CN336" s="14">
        <f>INDEX(属性投放!$BD$6:$BD$85,(BY336-2)*20+CD336)</f>
        <v>10</v>
      </c>
      <c r="CO336" s="14" t="s">
        <v>510</v>
      </c>
      <c r="CP336" s="14">
        <f>INDEX(属性投放!$BE$6:$BE$85,(BY336-2)*20+CD336)</f>
        <v>180</v>
      </c>
      <c r="CS336" s="13">
        <v>332</v>
      </c>
      <c r="CT336" s="13">
        <f t="shared" si="655"/>
        <v>7</v>
      </c>
      <c r="CU336" s="13">
        <f t="shared" si="656"/>
        <v>20</v>
      </c>
      <c r="CV336" s="14">
        <f t="shared" si="657"/>
        <v>4</v>
      </c>
      <c r="CW336" s="14">
        <f t="shared" si="658"/>
        <v>1102007</v>
      </c>
      <c r="CX336" s="14" t="str">
        <f>INDEX($O$6:$O$50,CT336)&amp;"-"&amp;INDEX(属性投放!$AB$7:$AB$50,CZ336)&amp;"-魂火-"&amp;DB336</f>
        <v>天使缇娜-大叫唤-魂火-2</v>
      </c>
      <c r="CY336" s="25" t="s">
        <v>142</v>
      </c>
      <c r="CZ336" s="14">
        <f>INDEX(属性投放!$AM$7:$AM$58,CU336)</f>
        <v>10</v>
      </c>
      <c r="DA336" s="14" t="s">
        <v>537</v>
      </c>
      <c r="DB336" s="14">
        <f>INDEX(属性投放!$AN$7:$AN$58,CU336)</f>
        <v>2</v>
      </c>
      <c r="DC336" s="14">
        <f t="shared" si="646"/>
        <v>20</v>
      </c>
      <c r="DD336" s="14">
        <f>INDEX(属性投放!$AO$7:$AO$58,DC336)</f>
        <v>68</v>
      </c>
      <c r="DE336" s="14" t="s">
        <v>538</v>
      </c>
      <c r="DF336" s="14">
        <f>INDEX(属性投放!$BK$6:$BK$85,(CV336-2)*20+CZ336)</f>
        <v>130</v>
      </c>
      <c r="DG336" s="14">
        <f>SUMIFS(DF$5:DF336,$CT$5:$CT336,"="&amp;$CT336)</f>
        <v>1440</v>
      </c>
      <c r="DH336" s="14" t="s">
        <v>539</v>
      </c>
      <c r="DI336" s="14">
        <f>INDEX(属性投放!$BL$6:$BL$85,(CV336-2)*20+CZ336)</f>
        <v>65</v>
      </c>
      <c r="DJ336" s="14">
        <f>SUMIFS(DI$5:DI336,$CT$5:$CT336,"="&amp;$CT336)</f>
        <v>725</v>
      </c>
      <c r="DK336" s="14" t="s">
        <v>540</v>
      </c>
      <c r="DL336" s="14">
        <f>INDEX(属性投放!$BM$6:$BM$85,(CV336-2)*20+CZ336)</f>
        <v>1170</v>
      </c>
      <c r="DM336" s="14">
        <f>SUMIFS(DL$5:DL336,$CT$5:$CT336,"="&amp;$CT336)</f>
        <v>11150</v>
      </c>
      <c r="DR336" s="14">
        <f t="shared" si="647"/>
        <v>1102017</v>
      </c>
      <c r="DS336" s="14" t="str">
        <f t="shared" si="648"/>
        <v>飞廉12突</v>
      </c>
      <c r="DT336" s="14">
        <f t="shared" si="659"/>
        <v>6</v>
      </c>
      <c r="DU336" s="14">
        <f t="shared" si="660"/>
        <v>6</v>
      </c>
      <c r="DV336" s="14">
        <f t="shared" si="661"/>
        <v>4</v>
      </c>
      <c r="DW336" s="14">
        <f t="shared" si="649"/>
        <v>3</v>
      </c>
      <c r="DX336" s="14">
        <f t="shared" si="650"/>
        <v>12</v>
      </c>
      <c r="DY336" s="14">
        <f t="shared" si="651"/>
        <v>32</v>
      </c>
      <c r="DZ336" s="14">
        <f>INDEX(属性投放!$AX$6:$AX$85,(卡牌属性!DW336-2)*20+卡牌属性!DX336)</f>
        <v>7</v>
      </c>
      <c r="EA336" s="14">
        <f>INDEX(属性投放!BQ$6:BQ$85,卡牌属性!$DY336)</f>
        <v>350</v>
      </c>
      <c r="EB336" s="14">
        <f>INDEX(属性投放!BR$6:BR$85,卡牌属性!$DY336)</f>
        <v>175</v>
      </c>
      <c r="EC336" s="14">
        <f>INDEX(属性投放!BS$6:BS$85,卡牌属性!$DY336)</f>
        <v>3150</v>
      </c>
      <c r="ED336" s="14">
        <f t="shared" si="662"/>
        <v>2659</v>
      </c>
      <c r="EE336" s="14">
        <f t="shared" si="663"/>
        <v>3203</v>
      </c>
      <c r="EF336" s="14">
        <f t="shared" si="664"/>
        <v>3470</v>
      </c>
      <c r="EG336" s="14">
        <f t="shared" si="665"/>
        <v>3470</v>
      </c>
      <c r="EH336" s="14">
        <f t="shared" si="666"/>
        <v>3765</v>
      </c>
      <c r="EI336" s="14">
        <f t="shared" si="667"/>
        <v>1303</v>
      </c>
      <c r="EJ336" s="14">
        <f t="shared" si="668"/>
        <v>1573</v>
      </c>
      <c r="EK336" s="14">
        <f t="shared" si="669"/>
        <v>1573</v>
      </c>
      <c r="EL336" s="14">
        <f t="shared" si="670"/>
        <v>1707</v>
      </c>
      <c r="EM336" s="14">
        <f t="shared" si="671"/>
        <v>1848</v>
      </c>
      <c r="EN336" s="14">
        <f t="shared" si="672"/>
        <v>17137</v>
      </c>
      <c r="EO336" s="14">
        <f t="shared" si="673"/>
        <v>18940</v>
      </c>
      <c r="EP336" s="14">
        <f t="shared" si="674"/>
        <v>18940</v>
      </c>
      <c r="EQ336" s="14">
        <f t="shared" si="675"/>
        <v>19811</v>
      </c>
      <c r="ER336" s="14">
        <f t="shared" si="676"/>
        <v>23958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135</v>
      </c>
      <c r="FD336" s="14">
        <f>INDEX(属性偏向!$U$4:$U$243,(卡牌属性!$DV336-1+FD$3)*20+卡牌属性!$DX336)</f>
        <v>180</v>
      </c>
      <c r="FE336" s="14">
        <f>INDEX(属性偏向!$U$4:$U$243,(卡牌属性!$DV336-1+FE$3)*20+卡牌属性!$DX336)</f>
        <v>180</v>
      </c>
      <c r="FF336" s="14">
        <f>INDEX(属性偏向!$U$4:$U$243,(卡牌属性!$DV336-1+FF$3)*20+卡牌属性!$DX336)</f>
        <v>189</v>
      </c>
      <c r="FG336" s="14">
        <f>INDEX(属性偏向!$U$4:$U$243,(卡牌属性!$DV336-1+FG$3)*20+卡牌属性!$DX336)</f>
        <v>270</v>
      </c>
      <c r="FH336" s="14">
        <f>INDEX(属性投放!$BQ$6:$BQ$85,(卡牌属性!$DW336-2)*20+卡牌属性!$DX336)</f>
        <v>350</v>
      </c>
      <c r="FI336" s="14">
        <f>INDEX(属性投放!$BQ$6:$BQ$85,(卡牌属性!$DW336-2)*20+卡牌属性!$DX336)</f>
        <v>350</v>
      </c>
      <c r="FJ336" s="14">
        <f>INDEX(属性投放!$BQ$6:$BQ$85,(卡牌属性!$DW336-2)*20+卡牌属性!$DX336)</f>
        <v>350</v>
      </c>
      <c r="FK336" s="14">
        <f>INDEX(属性投放!$BQ$6:$BQ$85,(卡牌属性!$DW336-2)*20+卡牌属性!$DX336)</f>
        <v>350</v>
      </c>
      <c r="FL336" s="14">
        <f>INDEX(属性投放!$BQ$6:$BQ$85,(卡牌属性!$DW336-2)*20+卡牌属性!$DX336)</f>
        <v>350</v>
      </c>
      <c r="FM336" s="14">
        <f>INDEX(属性投放!$BR$6:$BR$85,(卡牌属性!$DW336-2)*20+卡牌属性!$DX336)</f>
        <v>175</v>
      </c>
      <c r="FN336" s="14">
        <f>INDEX(属性投放!$BR$6:$BR$85,(卡牌属性!$DW336-2)*20+卡牌属性!$DX336)</f>
        <v>175</v>
      </c>
      <c r="FO336" s="14">
        <f>INDEX(属性投放!$BR$6:$BR$85,(卡牌属性!$DW336-2)*20+卡牌属性!$DX336)</f>
        <v>175</v>
      </c>
      <c r="FP336" s="14">
        <f>INDEX(属性投放!$BR$6:$BR$85,(卡牌属性!$DW336-2)*20+卡牌属性!$DX336)</f>
        <v>175</v>
      </c>
      <c r="FQ336" s="14">
        <f>INDEX(属性投放!$BR$6:$BR$85,(卡牌属性!$DW336-2)*20+卡牌属性!$DX336)</f>
        <v>175</v>
      </c>
      <c r="FR336" s="14">
        <f>INDEX(属性投放!$BS$6:$BS$85,(卡牌属性!$DW336-2)*20+卡牌属性!$DX336)</f>
        <v>3150</v>
      </c>
      <c r="FS336" s="14">
        <f>INDEX(属性投放!$BS$6:$BS$85,(卡牌属性!$DW336-2)*20+卡牌属性!$DX336)</f>
        <v>3150</v>
      </c>
      <c r="FT336" s="14">
        <f>INDEX(属性投放!$BS$6:$BS$85,(卡牌属性!$DW336-2)*20+卡牌属性!$DX336)</f>
        <v>3150</v>
      </c>
      <c r="FU336" s="14">
        <f>INDEX(属性投放!$BS$6:$BS$85,(卡牌属性!$DW336-2)*20+卡牌属性!$DX336)</f>
        <v>3150</v>
      </c>
      <c r="FV336" s="14">
        <f>INDEX(属性投放!$BS$6:$BS$85,(卡牌属性!$DW336-2)*20+卡牌属性!$DX336)</f>
        <v>3150</v>
      </c>
    </row>
    <row r="337" spans="31:178" ht="16.5" x14ac:dyDescent="0.2">
      <c r="AE337" s="13">
        <v>333</v>
      </c>
      <c r="AF337" s="13">
        <f t="shared" si="652"/>
        <v>17</v>
      </c>
      <c r="AG337" s="13">
        <f t="shared" si="633"/>
        <v>4</v>
      </c>
      <c r="AH337" s="13"/>
      <c r="AI337" s="13"/>
      <c r="AJ337" s="14">
        <f t="shared" si="634"/>
        <v>1101016</v>
      </c>
      <c r="AK337" s="14" t="str">
        <f t="shared" si="635"/>
        <v>秦王攻13突</v>
      </c>
      <c r="AL337" s="25" t="s">
        <v>142</v>
      </c>
      <c r="AM337" s="14">
        <v>1</v>
      </c>
      <c r="AN337" s="14">
        <f t="shared" si="636"/>
        <v>13</v>
      </c>
      <c r="AO337" s="14">
        <f>INDEX(属性投放!$DF$6:$DF$85,(卡牌属性!AG337-2)*20+卡牌属性!AN337)</f>
        <v>7039</v>
      </c>
      <c r="AP337" s="14">
        <f t="shared" si="637"/>
        <v>7039</v>
      </c>
      <c r="AQ337" s="14">
        <f t="shared" si="637"/>
        <v>7039</v>
      </c>
      <c r="AR337" s="14">
        <f t="shared" si="637"/>
        <v>7039</v>
      </c>
      <c r="AS337" s="14">
        <f t="shared" si="637"/>
        <v>7039</v>
      </c>
      <c r="AT337" s="14">
        <f>INDEX(属性投放!$DG$6:$DG$85,(卡牌属性!AG337-2)*20+卡牌属性!AN337)</f>
        <v>3449</v>
      </c>
      <c r="AU337" s="14">
        <f t="shared" si="638"/>
        <v>3449</v>
      </c>
      <c r="AV337" s="14">
        <f t="shared" si="638"/>
        <v>3449</v>
      </c>
      <c r="AW337" s="14">
        <f t="shared" si="638"/>
        <v>3449</v>
      </c>
      <c r="AX337" s="14">
        <f t="shared" si="638"/>
        <v>3449</v>
      </c>
      <c r="AY337" s="14">
        <f>INDEX(属性投放!$DH$6:$DH$85,(卡牌属性!AG337-2)*20+卡牌属性!AN337)</f>
        <v>56653</v>
      </c>
      <c r="AZ337" s="14">
        <f t="shared" si="639"/>
        <v>56653</v>
      </c>
      <c r="BA337" s="14">
        <f t="shared" si="639"/>
        <v>56653</v>
      </c>
      <c r="BB337" s="14">
        <f t="shared" si="639"/>
        <v>56653</v>
      </c>
      <c r="BC337" s="14">
        <f t="shared" si="639"/>
        <v>56653</v>
      </c>
      <c r="BD337" s="14">
        <f>INDEX(属性投放!$DL$6:$DL$85,(卡牌属性!AG337-2)*20+卡牌属性!AN337)</f>
        <v>203</v>
      </c>
      <c r="BE337" s="14">
        <f t="shared" si="640"/>
        <v>203</v>
      </c>
      <c r="BF337" s="14">
        <f t="shared" si="640"/>
        <v>203</v>
      </c>
      <c r="BG337" s="14">
        <f t="shared" si="640"/>
        <v>203</v>
      </c>
      <c r="BH337" s="14">
        <f t="shared" si="640"/>
        <v>203</v>
      </c>
      <c r="BI337" s="14">
        <f>INDEX(属性投放!$DM$6:$DM$85,(卡牌属性!AG337-2)*20+卡牌属性!AN337)</f>
        <v>101</v>
      </c>
      <c r="BJ337" s="14">
        <f t="shared" si="641"/>
        <v>101</v>
      </c>
      <c r="BK337" s="14">
        <f t="shared" si="641"/>
        <v>101</v>
      </c>
      <c r="BL337" s="14">
        <f t="shared" si="641"/>
        <v>101</v>
      </c>
      <c r="BM337" s="14">
        <f t="shared" si="641"/>
        <v>101</v>
      </c>
      <c r="BN337" s="14">
        <f>INDEX(属性投放!$DN$6:$DN$85,(卡牌属性!AG337-2)*20+卡牌属性!AN337)</f>
        <v>2027</v>
      </c>
      <c r="BO337" s="14">
        <f t="shared" si="642"/>
        <v>2027</v>
      </c>
      <c r="BP337" s="14">
        <f t="shared" si="642"/>
        <v>2027</v>
      </c>
      <c r="BQ337" s="14">
        <f t="shared" si="642"/>
        <v>2027</v>
      </c>
      <c r="BR337" s="14">
        <f t="shared" si="642"/>
        <v>2027</v>
      </c>
      <c r="BW337" s="13">
        <v>333</v>
      </c>
      <c r="BX337" s="13">
        <f t="shared" si="643"/>
        <v>17</v>
      </c>
      <c r="BY337" s="14">
        <f t="shared" si="644"/>
        <v>3</v>
      </c>
      <c r="BZ337" s="14">
        <f t="shared" si="653"/>
        <v>1102017</v>
      </c>
      <c r="CA337" s="14" t="str">
        <f t="shared" si="654"/>
        <v>飞廉13突</v>
      </c>
      <c r="CB337" s="25" t="s">
        <v>142</v>
      </c>
      <c r="CC337" s="14">
        <v>2</v>
      </c>
      <c r="CD337" s="14">
        <f t="shared" si="645"/>
        <v>13</v>
      </c>
      <c r="CE337" s="14" t="s">
        <v>21</v>
      </c>
      <c r="CF337" s="14">
        <f>INDEX(属性投放!$AZ$6:$AZ$85,(BY337-2)*20+CD337)</f>
        <v>5441</v>
      </c>
      <c r="CG337" s="14" t="s">
        <v>22</v>
      </c>
      <c r="CH337" s="14">
        <f>INDEX(属性投放!$BA$6:$BA$85,(BY337-2)*20+CD337)</f>
        <v>2670</v>
      </c>
      <c r="CI337" s="14" t="s">
        <v>510</v>
      </c>
      <c r="CJ337" s="14">
        <f>INDEX(属性投放!$BB$6:$BB$85,(BY337-2)*20+CD337)</f>
        <v>43590</v>
      </c>
      <c r="CK337" s="14" t="s">
        <v>21</v>
      </c>
      <c r="CL337" s="14">
        <f>INDEX(属性投放!$BC$6:$BC$85,(BY337-2)*20+CD337)</f>
        <v>25</v>
      </c>
      <c r="CM337" s="14" t="s">
        <v>22</v>
      </c>
      <c r="CN337" s="14">
        <f>INDEX(属性投放!$BD$6:$BD$85,(BY337-2)*20+CD337)</f>
        <v>13</v>
      </c>
      <c r="CO337" s="14" t="s">
        <v>510</v>
      </c>
      <c r="CP337" s="14">
        <f>INDEX(属性投放!$BE$6:$BE$85,(BY337-2)*20+CD337)</f>
        <v>250</v>
      </c>
      <c r="CS337" s="13">
        <v>333</v>
      </c>
      <c r="CT337" s="13">
        <f t="shared" si="655"/>
        <v>7</v>
      </c>
      <c r="CU337" s="13">
        <f t="shared" si="656"/>
        <v>21</v>
      </c>
      <c r="CV337" s="14">
        <f t="shared" si="657"/>
        <v>4</v>
      </c>
      <c r="CW337" s="14">
        <f t="shared" si="658"/>
        <v>1102007</v>
      </c>
      <c r="CX337" s="14" t="str">
        <f>INDEX($O$6:$O$50,CT337)&amp;"-"&amp;INDEX(属性投放!$AB$7:$AB$50,CZ337)&amp;"-魂火-"&amp;DB337</f>
        <v>天使缇娜-大叫唤-魂火-3</v>
      </c>
      <c r="CY337" s="25" t="s">
        <v>142</v>
      </c>
      <c r="CZ337" s="14">
        <f>INDEX(属性投放!$AM$7:$AM$58,CU337)</f>
        <v>10</v>
      </c>
      <c r="DA337" s="14" t="s">
        <v>537</v>
      </c>
      <c r="DB337" s="14">
        <f>INDEX(属性投放!$AN$7:$AN$58,CU337)</f>
        <v>3</v>
      </c>
      <c r="DC337" s="14">
        <f t="shared" si="646"/>
        <v>21</v>
      </c>
      <c r="DD337" s="14">
        <f>INDEX(属性投放!$AO$7:$AO$58,DC337)</f>
        <v>70</v>
      </c>
      <c r="DE337" s="14" t="s">
        <v>538</v>
      </c>
      <c r="DF337" s="14">
        <f>INDEX(属性投放!$BK$6:$BK$85,(CV337-2)*20+CZ337)</f>
        <v>130</v>
      </c>
      <c r="DG337" s="14">
        <f>SUMIFS(DF$5:DF337,$CT$5:$CT337,"="&amp;$CT337)</f>
        <v>1570</v>
      </c>
      <c r="DH337" s="14" t="s">
        <v>539</v>
      </c>
      <c r="DI337" s="14">
        <f>INDEX(属性投放!$BL$6:$BL$85,(CV337-2)*20+CZ337)</f>
        <v>65</v>
      </c>
      <c r="DJ337" s="14">
        <f>SUMIFS(DI$5:DI337,$CT$5:$CT337,"="&amp;$CT337)</f>
        <v>790</v>
      </c>
      <c r="DK337" s="14" t="s">
        <v>540</v>
      </c>
      <c r="DL337" s="14">
        <f>INDEX(属性投放!$BM$6:$BM$85,(CV337-2)*20+CZ337)</f>
        <v>1170</v>
      </c>
      <c r="DM337" s="14">
        <f>SUMIFS(DL$5:DL337,$CT$5:$CT337,"="&amp;$CT337)</f>
        <v>12320</v>
      </c>
      <c r="DR337" s="14">
        <f t="shared" si="647"/>
        <v>1102017</v>
      </c>
      <c r="DS337" s="14" t="str">
        <f t="shared" si="648"/>
        <v>飞廉13突</v>
      </c>
      <c r="DT337" s="14">
        <f t="shared" si="659"/>
        <v>6</v>
      </c>
      <c r="DU337" s="14">
        <f t="shared" si="660"/>
        <v>6</v>
      </c>
      <c r="DV337" s="14">
        <f t="shared" si="661"/>
        <v>4</v>
      </c>
      <c r="DW337" s="14">
        <f t="shared" si="649"/>
        <v>3</v>
      </c>
      <c r="DX337" s="14">
        <f t="shared" si="650"/>
        <v>13</v>
      </c>
      <c r="DY337" s="14">
        <f t="shared" si="651"/>
        <v>33</v>
      </c>
      <c r="DZ337" s="14">
        <f>INDEX(属性投放!$AX$6:$AX$85,(卡牌属性!DW337-2)*20+卡牌属性!DX337)</f>
        <v>8</v>
      </c>
      <c r="EA337" s="14">
        <f>INDEX(属性投放!BQ$6:BQ$85,卡牌属性!$DY337)</f>
        <v>400</v>
      </c>
      <c r="EB337" s="14">
        <f>INDEX(属性投放!BR$6:BR$85,卡牌属性!$DY337)</f>
        <v>200</v>
      </c>
      <c r="EC337" s="14">
        <f>INDEX(属性投放!BS$6:BS$85,卡牌属性!$DY337)</f>
        <v>4000</v>
      </c>
      <c r="ED337" s="14">
        <f t="shared" si="662"/>
        <v>3156</v>
      </c>
      <c r="EE337" s="14">
        <f t="shared" si="663"/>
        <v>3763</v>
      </c>
      <c r="EF337" s="14">
        <f t="shared" si="664"/>
        <v>4065</v>
      </c>
      <c r="EG337" s="14">
        <f t="shared" si="665"/>
        <v>4065</v>
      </c>
      <c r="EH337" s="14">
        <f t="shared" si="666"/>
        <v>4395</v>
      </c>
      <c r="EI337" s="14">
        <f t="shared" si="667"/>
        <v>1555</v>
      </c>
      <c r="EJ337" s="14">
        <f t="shared" si="668"/>
        <v>1853</v>
      </c>
      <c r="EK337" s="14">
        <f t="shared" si="669"/>
        <v>1853</v>
      </c>
      <c r="EL337" s="14">
        <f t="shared" si="670"/>
        <v>2008</v>
      </c>
      <c r="EM337" s="14">
        <f t="shared" si="671"/>
        <v>2163</v>
      </c>
      <c r="EN337" s="14">
        <f t="shared" si="672"/>
        <v>21232</v>
      </c>
      <c r="EO337" s="14">
        <f t="shared" si="673"/>
        <v>23350</v>
      </c>
      <c r="EP337" s="14">
        <f t="shared" si="674"/>
        <v>23350</v>
      </c>
      <c r="EQ337" s="14">
        <f t="shared" si="675"/>
        <v>24284</v>
      </c>
      <c r="ER337" s="14">
        <f t="shared" si="676"/>
        <v>28998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INDEX(属性投放!$BQ$6:$BQ$85,(卡牌属性!$DW337-2)*20+卡牌属性!$DX337)</f>
        <v>400</v>
      </c>
      <c r="FI337" s="14">
        <f>INDEX(属性投放!$BQ$6:$BQ$85,(卡牌属性!$DW337-2)*20+卡牌属性!$DX337)</f>
        <v>400</v>
      </c>
      <c r="FJ337" s="14">
        <f>INDEX(属性投放!$BQ$6:$BQ$85,(卡牌属性!$DW337-2)*20+卡牌属性!$DX337)</f>
        <v>400</v>
      </c>
      <c r="FK337" s="14">
        <f>INDEX(属性投放!$BQ$6:$BQ$85,(卡牌属性!$DW337-2)*20+卡牌属性!$DX337)</f>
        <v>400</v>
      </c>
      <c r="FL337" s="14">
        <f>INDEX(属性投放!$BQ$6:$BQ$85,(卡牌属性!$DW337-2)*20+卡牌属性!$DX337)</f>
        <v>400</v>
      </c>
      <c r="FM337" s="14">
        <f>INDEX(属性投放!$BR$6:$BR$85,(卡牌属性!$DW337-2)*20+卡牌属性!$DX337)</f>
        <v>200</v>
      </c>
      <c r="FN337" s="14">
        <f>INDEX(属性投放!$BR$6:$BR$85,(卡牌属性!$DW337-2)*20+卡牌属性!$DX337)</f>
        <v>200</v>
      </c>
      <c r="FO337" s="14">
        <f>INDEX(属性投放!$BR$6:$BR$85,(卡牌属性!$DW337-2)*20+卡牌属性!$DX337)</f>
        <v>200</v>
      </c>
      <c r="FP337" s="14">
        <f>INDEX(属性投放!$BR$6:$BR$85,(卡牌属性!$DW337-2)*20+卡牌属性!$DX337)</f>
        <v>200</v>
      </c>
      <c r="FQ337" s="14">
        <f>INDEX(属性投放!$BR$6:$BR$85,(卡牌属性!$DW337-2)*20+卡牌属性!$DX337)</f>
        <v>200</v>
      </c>
      <c r="FR337" s="14">
        <f>INDEX(属性投放!$BS$6:$BS$85,(卡牌属性!$DW337-2)*20+卡牌属性!$DX337)</f>
        <v>4000</v>
      </c>
      <c r="FS337" s="14">
        <f>INDEX(属性投放!$BS$6:$BS$85,(卡牌属性!$DW337-2)*20+卡牌属性!$DX337)</f>
        <v>4000</v>
      </c>
      <c r="FT337" s="14">
        <f>INDEX(属性投放!$BS$6:$BS$85,(卡牌属性!$DW337-2)*20+卡牌属性!$DX337)</f>
        <v>4000</v>
      </c>
      <c r="FU337" s="14">
        <f>INDEX(属性投放!$BS$6:$BS$85,(卡牌属性!$DW337-2)*20+卡牌属性!$DX337)</f>
        <v>4000</v>
      </c>
      <c r="FV337" s="14">
        <f>INDEX(属性投放!$BS$6:$BS$85,(卡牌属性!$DW337-2)*20+卡牌属性!$DX337)</f>
        <v>4000</v>
      </c>
    </row>
    <row r="338" spans="31:178" ht="16.5" x14ac:dyDescent="0.2">
      <c r="AE338" s="13">
        <v>334</v>
      </c>
      <c r="AF338" s="13">
        <f t="shared" si="652"/>
        <v>17</v>
      </c>
      <c r="AG338" s="13">
        <f t="shared" si="633"/>
        <v>4</v>
      </c>
      <c r="AH338" s="13"/>
      <c r="AI338" s="13"/>
      <c r="AJ338" s="14">
        <f t="shared" si="634"/>
        <v>1101016</v>
      </c>
      <c r="AK338" s="14" t="str">
        <f t="shared" si="635"/>
        <v>秦王攻14突</v>
      </c>
      <c r="AL338" s="25" t="s">
        <v>142</v>
      </c>
      <c r="AM338" s="14">
        <v>1</v>
      </c>
      <c r="AN338" s="14">
        <f t="shared" si="636"/>
        <v>14</v>
      </c>
      <c r="AO338" s="14">
        <f>INDEX(属性投放!$DF$6:$DF$85,(卡牌属性!AG338-2)*20+卡牌属性!AN338)</f>
        <v>7618</v>
      </c>
      <c r="AP338" s="14">
        <f t="shared" si="637"/>
        <v>7618</v>
      </c>
      <c r="AQ338" s="14">
        <f t="shared" si="637"/>
        <v>7618</v>
      </c>
      <c r="AR338" s="14">
        <f t="shared" si="637"/>
        <v>7618</v>
      </c>
      <c r="AS338" s="14">
        <f t="shared" si="637"/>
        <v>7618</v>
      </c>
      <c r="AT338" s="14">
        <f>INDEX(属性投放!$DG$6:$DG$85,(卡牌属性!AG338-2)*20+卡牌属性!AN338)</f>
        <v>3739</v>
      </c>
      <c r="AU338" s="14">
        <f t="shared" si="638"/>
        <v>3739</v>
      </c>
      <c r="AV338" s="14">
        <f t="shared" si="638"/>
        <v>3739</v>
      </c>
      <c r="AW338" s="14">
        <f t="shared" si="638"/>
        <v>3739</v>
      </c>
      <c r="AX338" s="14">
        <f t="shared" si="638"/>
        <v>3739</v>
      </c>
      <c r="AY338" s="14">
        <f>INDEX(属性投放!$DH$6:$DH$85,(卡牌属性!AG338-2)*20+卡牌属性!AN338)</f>
        <v>62443</v>
      </c>
      <c r="AZ338" s="14">
        <f t="shared" si="639"/>
        <v>62443</v>
      </c>
      <c r="BA338" s="14">
        <f t="shared" si="639"/>
        <v>62443</v>
      </c>
      <c r="BB338" s="14">
        <f t="shared" si="639"/>
        <v>62443</v>
      </c>
      <c r="BC338" s="14">
        <f t="shared" si="639"/>
        <v>62443</v>
      </c>
      <c r="BD338" s="14">
        <f>INDEX(属性投放!$DL$6:$DL$85,(卡牌属性!AG338-2)*20+卡牌属性!AN338)</f>
        <v>203</v>
      </c>
      <c r="BE338" s="14">
        <f t="shared" si="640"/>
        <v>203</v>
      </c>
      <c r="BF338" s="14">
        <f t="shared" si="640"/>
        <v>203</v>
      </c>
      <c r="BG338" s="14">
        <f t="shared" si="640"/>
        <v>203</v>
      </c>
      <c r="BH338" s="14">
        <f t="shared" si="640"/>
        <v>203</v>
      </c>
      <c r="BI338" s="14">
        <f>INDEX(属性投放!$DM$6:$DM$85,(卡牌属性!AG338-2)*20+卡牌属性!AN338)</f>
        <v>101</v>
      </c>
      <c r="BJ338" s="14">
        <f t="shared" si="641"/>
        <v>101</v>
      </c>
      <c r="BK338" s="14">
        <f t="shared" si="641"/>
        <v>101</v>
      </c>
      <c r="BL338" s="14">
        <f t="shared" si="641"/>
        <v>101</v>
      </c>
      <c r="BM338" s="14">
        <f t="shared" si="641"/>
        <v>101</v>
      </c>
      <c r="BN338" s="14">
        <f>INDEX(属性投放!$DN$6:$DN$85,(卡牌属性!AG338-2)*20+卡牌属性!AN338)</f>
        <v>2027</v>
      </c>
      <c r="BO338" s="14">
        <f t="shared" si="642"/>
        <v>2027</v>
      </c>
      <c r="BP338" s="14">
        <f t="shared" si="642"/>
        <v>2027</v>
      </c>
      <c r="BQ338" s="14">
        <f t="shared" si="642"/>
        <v>2027</v>
      </c>
      <c r="BR338" s="14">
        <f t="shared" si="642"/>
        <v>2027</v>
      </c>
      <c r="BW338" s="13">
        <v>334</v>
      </c>
      <c r="BX338" s="13">
        <f t="shared" si="643"/>
        <v>17</v>
      </c>
      <c r="BY338" s="14">
        <f t="shared" si="644"/>
        <v>3</v>
      </c>
      <c r="BZ338" s="14">
        <f t="shared" si="653"/>
        <v>1102017</v>
      </c>
      <c r="CA338" s="14" t="str">
        <f t="shared" si="654"/>
        <v>飞廉14突</v>
      </c>
      <c r="CB338" s="25" t="s">
        <v>142</v>
      </c>
      <c r="CC338" s="14">
        <v>2</v>
      </c>
      <c r="CD338" s="14">
        <f t="shared" si="645"/>
        <v>14</v>
      </c>
      <c r="CE338" s="14" t="s">
        <v>21</v>
      </c>
      <c r="CF338" s="14">
        <f>INDEX(属性投放!$AZ$6:$AZ$85,(BY338-2)*20+CD338)</f>
        <v>6791</v>
      </c>
      <c r="CG338" s="14" t="s">
        <v>22</v>
      </c>
      <c r="CH338" s="14">
        <f>INDEX(属性投放!$BA$6:$BA$85,(BY338-2)*20+CD338)</f>
        <v>3349</v>
      </c>
      <c r="CI338" s="14" t="s">
        <v>510</v>
      </c>
      <c r="CJ338" s="14">
        <f>INDEX(属性投放!$BB$6:$BB$85,(BY338-2)*20+CD338)</f>
        <v>57090</v>
      </c>
      <c r="CK338" s="14" t="s">
        <v>21</v>
      </c>
      <c r="CL338" s="14">
        <f>INDEX(属性投放!$BC$6:$BC$85,(BY338-2)*20+CD338)</f>
        <v>25</v>
      </c>
      <c r="CM338" s="14" t="s">
        <v>22</v>
      </c>
      <c r="CN338" s="14">
        <f>INDEX(属性投放!$BD$6:$BD$85,(BY338-2)*20+CD338)</f>
        <v>13</v>
      </c>
      <c r="CO338" s="14" t="s">
        <v>510</v>
      </c>
      <c r="CP338" s="14">
        <f>INDEX(属性投放!$BE$6:$BE$85,(BY338-2)*20+CD338)</f>
        <v>250</v>
      </c>
      <c r="CS338" s="13">
        <v>334</v>
      </c>
      <c r="CT338" s="13">
        <f t="shared" si="655"/>
        <v>7</v>
      </c>
      <c r="CU338" s="13">
        <f t="shared" si="656"/>
        <v>22</v>
      </c>
      <c r="CV338" s="14">
        <f t="shared" si="657"/>
        <v>4</v>
      </c>
      <c r="CW338" s="14">
        <f t="shared" si="658"/>
        <v>1102007</v>
      </c>
      <c r="CX338" s="14" t="str">
        <f>INDEX($O$6:$O$50,CT338)&amp;"-"&amp;INDEX(属性投放!$AB$7:$AB$50,CZ338)&amp;"-魂火-"&amp;DB338</f>
        <v>天使缇娜-大叫唤+1-魂火-1</v>
      </c>
      <c r="CY338" s="25" t="s">
        <v>142</v>
      </c>
      <c r="CZ338" s="14">
        <f>INDEX(属性投放!$AM$7:$AM$58,CU338)</f>
        <v>11</v>
      </c>
      <c r="DA338" s="14" t="s">
        <v>537</v>
      </c>
      <c r="DB338" s="14">
        <f>INDEX(属性投放!$AN$7:$AN$58,CU338)</f>
        <v>1</v>
      </c>
      <c r="DC338" s="14">
        <f t="shared" si="646"/>
        <v>22</v>
      </c>
      <c r="DD338" s="14">
        <f>INDEX(属性投放!$AO$7:$AO$58,DC338)</f>
        <v>73</v>
      </c>
      <c r="DE338" s="14" t="s">
        <v>538</v>
      </c>
      <c r="DF338" s="14">
        <f>INDEX(属性投放!$BK$6:$BK$85,(CV338-2)*20+CZ338)</f>
        <v>170</v>
      </c>
      <c r="DG338" s="14">
        <f>SUMIFS(DF$5:DF338,$CT$5:$CT338,"="&amp;$CT338)</f>
        <v>1740</v>
      </c>
      <c r="DH338" s="14" t="s">
        <v>539</v>
      </c>
      <c r="DI338" s="14">
        <f>INDEX(属性投放!$BL$6:$BL$85,(CV338-2)*20+CZ338)</f>
        <v>85</v>
      </c>
      <c r="DJ338" s="14">
        <f>SUMIFS(DI$5:DI338,$CT$5:$CT338,"="&amp;$CT338)</f>
        <v>875</v>
      </c>
      <c r="DK338" s="14" t="s">
        <v>540</v>
      </c>
      <c r="DL338" s="14">
        <f>INDEX(属性投放!$BM$6:$BM$85,(CV338-2)*20+CZ338)</f>
        <v>1530</v>
      </c>
      <c r="DM338" s="14">
        <f>SUMIFS(DL$5:DL338,$CT$5:$CT338,"="&amp;$CT338)</f>
        <v>13850</v>
      </c>
      <c r="DR338" s="14">
        <f t="shared" si="647"/>
        <v>1102017</v>
      </c>
      <c r="DS338" s="14" t="str">
        <f t="shared" si="648"/>
        <v>飞廉14突</v>
      </c>
      <c r="DT338" s="14">
        <f t="shared" si="659"/>
        <v>6</v>
      </c>
      <c r="DU338" s="14">
        <f t="shared" si="660"/>
        <v>6</v>
      </c>
      <c r="DV338" s="14">
        <f t="shared" si="661"/>
        <v>4</v>
      </c>
      <c r="DW338" s="14">
        <f t="shared" si="649"/>
        <v>3</v>
      </c>
      <c r="DX338" s="14">
        <f t="shared" si="650"/>
        <v>14</v>
      </c>
      <c r="DY338" s="14">
        <f t="shared" si="651"/>
        <v>34</v>
      </c>
      <c r="DZ338" s="14">
        <f>INDEX(属性投放!$AX$6:$AX$85,(卡牌属性!DW338-2)*20+卡牌属性!DX338)</f>
        <v>7</v>
      </c>
      <c r="EA338" s="14">
        <f>INDEX(属性投放!BQ$6:BQ$85,卡牌属性!$DY338)</f>
        <v>450</v>
      </c>
      <c r="EB338" s="14">
        <f>INDEX(属性投放!BR$6:BR$85,卡牌属性!$DY338)</f>
        <v>225</v>
      </c>
      <c r="EC338" s="14">
        <f>INDEX(属性投放!BS$6:BS$85,卡牌属性!$DY338)</f>
        <v>4500</v>
      </c>
      <c r="ED338" s="14">
        <f t="shared" si="662"/>
        <v>3764</v>
      </c>
      <c r="EE338" s="14">
        <f t="shared" si="663"/>
        <v>4483</v>
      </c>
      <c r="EF338" s="14">
        <f t="shared" si="664"/>
        <v>4825</v>
      </c>
      <c r="EG338" s="14">
        <f t="shared" si="665"/>
        <v>4825</v>
      </c>
      <c r="EH338" s="14">
        <f t="shared" si="666"/>
        <v>5195</v>
      </c>
      <c r="EI338" s="14">
        <f t="shared" si="667"/>
        <v>1859</v>
      </c>
      <c r="EJ338" s="14">
        <f t="shared" si="668"/>
        <v>2213</v>
      </c>
      <c r="EK338" s="14">
        <f t="shared" si="669"/>
        <v>2213</v>
      </c>
      <c r="EL338" s="14">
        <f t="shared" si="670"/>
        <v>2392</v>
      </c>
      <c r="EM338" s="14">
        <f t="shared" si="671"/>
        <v>2563</v>
      </c>
      <c r="EN338" s="14">
        <f t="shared" si="672"/>
        <v>26832</v>
      </c>
      <c r="EO338" s="14">
        <f t="shared" si="673"/>
        <v>29350</v>
      </c>
      <c r="EP338" s="14">
        <f t="shared" si="674"/>
        <v>29350</v>
      </c>
      <c r="EQ338" s="14">
        <f t="shared" si="675"/>
        <v>30364</v>
      </c>
      <c r="ER338" s="14">
        <f t="shared" si="676"/>
        <v>36198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INDEX(属性投放!$BQ$6:$BQ$85,(卡牌属性!$DW338-2)*20+卡牌属性!$DX338)</f>
        <v>450</v>
      </c>
      <c r="FI338" s="14">
        <f>INDEX(属性投放!$BQ$6:$BQ$85,(卡牌属性!$DW338-2)*20+卡牌属性!$DX338)</f>
        <v>450</v>
      </c>
      <c r="FJ338" s="14">
        <f>INDEX(属性投放!$BQ$6:$BQ$85,(卡牌属性!$DW338-2)*20+卡牌属性!$DX338)</f>
        <v>450</v>
      </c>
      <c r="FK338" s="14">
        <f>INDEX(属性投放!$BQ$6:$BQ$85,(卡牌属性!$DW338-2)*20+卡牌属性!$DX338)</f>
        <v>450</v>
      </c>
      <c r="FL338" s="14">
        <f>INDEX(属性投放!$BQ$6:$BQ$85,(卡牌属性!$DW338-2)*20+卡牌属性!$DX338)</f>
        <v>450</v>
      </c>
      <c r="FM338" s="14">
        <f>INDEX(属性投放!$BR$6:$BR$85,(卡牌属性!$DW338-2)*20+卡牌属性!$DX338)</f>
        <v>225</v>
      </c>
      <c r="FN338" s="14">
        <f>INDEX(属性投放!$BR$6:$BR$85,(卡牌属性!$DW338-2)*20+卡牌属性!$DX338)</f>
        <v>225</v>
      </c>
      <c r="FO338" s="14">
        <f>INDEX(属性投放!$BR$6:$BR$85,(卡牌属性!$DW338-2)*20+卡牌属性!$DX338)</f>
        <v>225</v>
      </c>
      <c r="FP338" s="14">
        <f>INDEX(属性投放!$BR$6:$BR$85,(卡牌属性!$DW338-2)*20+卡牌属性!$DX338)</f>
        <v>225</v>
      </c>
      <c r="FQ338" s="14">
        <f>INDEX(属性投放!$BR$6:$BR$85,(卡牌属性!$DW338-2)*20+卡牌属性!$DX338)</f>
        <v>225</v>
      </c>
      <c r="FR338" s="14">
        <f>INDEX(属性投放!$BS$6:$BS$85,(卡牌属性!$DW338-2)*20+卡牌属性!$DX338)</f>
        <v>4500</v>
      </c>
      <c r="FS338" s="14">
        <f>INDEX(属性投放!$BS$6:$BS$85,(卡牌属性!$DW338-2)*20+卡牌属性!$DX338)</f>
        <v>4500</v>
      </c>
      <c r="FT338" s="14">
        <f>INDEX(属性投放!$BS$6:$BS$85,(卡牌属性!$DW338-2)*20+卡牌属性!$DX338)</f>
        <v>4500</v>
      </c>
      <c r="FU338" s="14">
        <f>INDEX(属性投放!$BS$6:$BS$85,(卡牌属性!$DW338-2)*20+卡牌属性!$DX338)</f>
        <v>4500</v>
      </c>
      <c r="FV338" s="14">
        <f>INDEX(属性投放!$BS$6:$BS$85,(卡牌属性!$DW338-2)*20+卡牌属性!$DX338)</f>
        <v>4500</v>
      </c>
    </row>
    <row r="339" spans="31:178" ht="16.5" x14ac:dyDescent="0.2">
      <c r="AE339" s="13">
        <v>335</v>
      </c>
      <c r="AF339" s="13">
        <f t="shared" si="652"/>
        <v>17</v>
      </c>
      <c r="AG339" s="13">
        <f t="shared" si="633"/>
        <v>4</v>
      </c>
      <c r="AH339" s="13"/>
      <c r="AI339" s="13"/>
      <c r="AJ339" s="14">
        <f t="shared" si="634"/>
        <v>1101016</v>
      </c>
      <c r="AK339" s="14" t="str">
        <f t="shared" si="635"/>
        <v>秦王攻15突</v>
      </c>
      <c r="AL339" s="25" t="s">
        <v>142</v>
      </c>
      <c r="AM339" s="14">
        <v>1</v>
      </c>
      <c r="AN339" s="14">
        <f t="shared" si="636"/>
        <v>15</v>
      </c>
      <c r="AO339" s="14">
        <f>INDEX(属性投放!$DF$6:$DF$85,(卡牌属性!AG339-2)*20+卡牌属性!AN339)</f>
        <v>8197</v>
      </c>
      <c r="AP339" s="14">
        <f t="shared" si="637"/>
        <v>8197</v>
      </c>
      <c r="AQ339" s="14">
        <f t="shared" si="637"/>
        <v>8197</v>
      </c>
      <c r="AR339" s="14">
        <f t="shared" si="637"/>
        <v>8197</v>
      </c>
      <c r="AS339" s="14">
        <f t="shared" si="637"/>
        <v>8197</v>
      </c>
      <c r="AT339" s="14">
        <f>INDEX(属性投放!$DG$6:$DG$85,(卡牌属性!AG339-2)*20+卡牌属性!AN339)</f>
        <v>4029</v>
      </c>
      <c r="AU339" s="14">
        <f t="shared" si="638"/>
        <v>4029</v>
      </c>
      <c r="AV339" s="14">
        <f t="shared" si="638"/>
        <v>4029</v>
      </c>
      <c r="AW339" s="14">
        <f t="shared" si="638"/>
        <v>4029</v>
      </c>
      <c r="AX339" s="14">
        <f t="shared" si="638"/>
        <v>4029</v>
      </c>
      <c r="AY339" s="14">
        <f>INDEX(属性投放!$DH$6:$DH$85,(卡牌属性!AG339-2)*20+卡牌属性!AN339)</f>
        <v>68233</v>
      </c>
      <c r="AZ339" s="14">
        <f t="shared" si="639"/>
        <v>68233</v>
      </c>
      <c r="BA339" s="14">
        <f t="shared" si="639"/>
        <v>68233</v>
      </c>
      <c r="BB339" s="14">
        <f t="shared" si="639"/>
        <v>68233</v>
      </c>
      <c r="BC339" s="14">
        <f t="shared" si="639"/>
        <v>68233</v>
      </c>
      <c r="BD339" s="14">
        <f>INDEX(属性投放!$DL$6:$DL$85,(卡牌属性!AG339-2)*20+卡牌属性!AN339)</f>
        <v>203</v>
      </c>
      <c r="BE339" s="14">
        <f t="shared" si="640"/>
        <v>203</v>
      </c>
      <c r="BF339" s="14">
        <f t="shared" si="640"/>
        <v>203</v>
      </c>
      <c r="BG339" s="14">
        <f t="shared" si="640"/>
        <v>203</v>
      </c>
      <c r="BH339" s="14">
        <f t="shared" si="640"/>
        <v>203</v>
      </c>
      <c r="BI339" s="14">
        <f>INDEX(属性投放!$DM$6:$DM$85,(卡牌属性!AG339-2)*20+卡牌属性!AN339)</f>
        <v>101</v>
      </c>
      <c r="BJ339" s="14">
        <f t="shared" si="641"/>
        <v>101</v>
      </c>
      <c r="BK339" s="14">
        <f t="shared" si="641"/>
        <v>101</v>
      </c>
      <c r="BL339" s="14">
        <f t="shared" si="641"/>
        <v>101</v>
      </c>
      <c r="BM339" s="14">
        <f t="shared" si="641"/>
        <v>101</v>
      </c>
      <c r="BN339" s="14">
        <f>INDEX(属性投放!$DN$6:$DN$85,(卡牌属性!AG339-2)*20+卡牌属性!AN339)</f>
        <v>2027</v>
      </c>
      <c r="BO339" s="14">
        <f t="shared" si="642"/>
        <v>2027</v>
      </c>
      <c r="BP339" s="14">
        <f t="shared" si="642"/>
        <v>2027</v>
      </c>
      <c r="BQ339" s="14">
        <f t="shared" si="642"/>
        <v>2027</v>
      </c>
      <c r="BR339" s="14">
        <f t="shared" si="642"/>
        <v>2027</v>
      </c>
      <c r="BW339" s="13">
        <v>335</v>
      </c>
      <c r="BX339" s="13">
        <f t="shared" si="643"/>
        <v>17</v>
      </c>
      <c r="BY339" s="14">
        <f t="shared" si="644"/>
        <v>3</v>
      </c>
      <c r="BZ339" s="14">
        <f t="shared" si="653"/>
        <v>1102017</v>
      </c>
      <c r="CA339" s="14" t="str">
        <f t="shared" si="654"/>
        <v>飞廉15突</v>
      </c>
      <c r="CB339" s="25" t="s">
        <v>142</v>
      </c>
      <c r="CC339" s="14">
        <v>2</v>
      </c>
      <c r="CD339" s="14">
        <f t="shared" si="645"/>
        <v>15</v>
      </c>
      <c r="CE339" s="14" t="s">
        <v>21</v>
      </c>
      <c r="CF339" s="14">
        <f>INDEX(属性投放!$AZ$6:$AZ$85,(BY339-2)*20+CD339)</f>
        <v>8316</v>
      </c>
      <c r="CG339" s="14" t="s">
        <v>22</v>
      </c>
      <c r="CH339" s="14">
        <f>INDEX(属性投放!$BA$6:$BA$85,(BY339-2)*20+CD339)</f>
        <v>4115</v>
      </c>
      <c r="CI339" s="14" t="s">
        <v>510</v>
      </c>
      <c r="CJ339" s="14">
        <f>INDEX(属性投放!$BB$6:$BB$85,(BY339-2)*20+CD339)</f>
        <v>72340</v>
      </c>
      <c r="CK339" s="14" t="s">
        <v>21</v>
      </c>
      <c r="CL339" s="14">
        <f>INDEX(属性投放!$BC$6:$BC$85,(BY339-2)*20+CD339)</f>
        <v>25</v>
      </c>
      <c r="CM339" s="14" t="s">
        <v>22</v>
      </c>
      <c r="CN339" s="14">
        <f>INDEX(属性投放!$BD$6:$BD$85,(BY339-2)*20+CD339)</f>
        <v>13</v>
      </c>
      <c r="CO339" s="14" t="s">
        <v>510</v>
      </c>
      <c r="CP339" s="14">
        <f>INDEX(属性投放!$BE$6:$BE$85,(BY339-2)*20+CD339)</f>
        <v>250</v>
      </c>
      <c r="CS339" s="13">
        <v>335</v>
      </c>
      <c r="CT339" s="13">
        <f t="shared" si="655"/>
        <v>7</v>
      </c>
      <c r="CU339" s="13">
        <f t="shared" si="656"/>
        <v>23</v>
      </c>
      <c r="CV339" s="14">
        <f t="shared" si="657"/>
        <v>4</v>
      </c>
      <c r="CW339" s="14">
        <f t="shared" si="658"/>
        <v>1102007</v>
      </c>
      <c r="CX339" s="14" t="str">
        <f>INDEX($O$6:$O$50,CT339)&amp;"-"&amp;INDEX(属性投放!$AB$7:$AB$50,CZ339)&amp;"-魂火-"&amp;DB339</f>
        <v>天使缇娜-大叫唤+1-魂火-2</v>
      </c>
      <c r="CY339" s="25" t="s">
        <v>142</v>
      </c>
      <c r="CZ339" s="14">
        <f>INDEX(属性投放!$AM$7:$AM$58,CU339)</f>
        <v>11</v>
      </c>
      <c r="DA339" s="14" t="s">
        <v>537</v>
      </c>
      <c r="DB339" s="14">
        <f>INDEX(属性投放!$AN$7:$AN$58,CU339)</f>
        <v>2</v>
      </c>
      <c r="DC339" s="14">
        <f t="shared" si="646"/>
        <v>23</v>
      </c>
      <c r="DD339" s="14">
        <f>INDEX(属性投放!$AO$7:$AO$58,DC339)</f>
        <v>75</v>
      </c>
      <c r="DE339" s="14" t="s">
        <v>538</v>
      </c>
      <c r="DF339" s="14">
        <f>INDEX(属性投放!$BK$6:$BK$85,(CV339-2)*20+CZ339)</f>
        <v>170</v>
      </c>
      <c r="DG339" s="14">
        <f>SUMIFS(DF$5:DF339,$CT$5:$CT339,"="&amp;$CT339)</f>
        <v>1910</v>
      </c>
      <c r="DH339" s="14" t="s">
        <v>539</v>
      </c>
      <c r="DI339" s="14">
        <f>INDEX(属性投放!$BL$6:$BL$85,(CV339-2)*20+CZ339)</f>
        <v>85</v>
      </c>
      <c r="DJ339" s="14">
        <f>SUMIFS(DI$5:DI339,$CT$5:$CT339,"="&amp;$CT339)</f>
        <v>960</v>
      </c>
      <c r="DK339" s="14" t="s">
        <v>540</v>
      </c>
      <c r="DL339" s="14">
        <f>INDEX(属性投放!$BM$6:$BM$85,(CV339-2)*20+CZ339)</f>
        <v>1530</v>
      </c>
      <c r="DM339" s="14">
        <f>SUMIFS(DL$5:DL339,$CT$5:$CT339,"="&amp;$CT339)</f>
        <v>15380</v>
      </c>
      <c r="DR339" s="14">
        <f t="shared" si="647"/>
        <v>1102017</v>
      </c>
      <c r="DS339" s="14" t="str">
        <f t="shared" si="648"/>
        <v>飞廉15突</v>
      </c>
      <c r="DT339" s="14">
        <f t="shared" si="659"/>
        <v>6</v>
      </c>
      <c r="DU339" s="14">
        <f t="shared" si="660"/>
        <v>6</v>
      </c>
      <c r="DV339" s="14">
        <f t="shared" si="661"/>
        <v>4</v>
      </c>
      <c r="DW339" s="14">
        <f t="shared" si="649"/>
        <v>3</v>
      </c>
      <c r="DX339" s="14">
        <f t="shared" si="650"/>
        <v>15</v>
      </c>
      <c r="DY339" s="14">
        <f t="shared" si="651"/>
        <v>35</v>
      </c>
      <c r="DZ339" s="14">
        <f>INDEX(属性投放!$AX$6:$AX$85,(卡牌属性!DW339-2)*20+卡牌属性!DX339)</f>
        <v>8</v>
      </c>
      <c r="EA339" s="14">
        <f>INDEX(属性投放!BQ$6:BQ$85,卡牌属性!$DY339)</f>
        <v>750</v>
      </c>
      <c r="EB339" s="14">
        <f>INDEX(属性投放!BR$6:BR$85,卡牌属性!$DY339)</f>
        <v>375</v>
      </c>
      <c r="EC339" s="14">
        <f>INDEX(属性投放!BS$6:BS$85,卡牌属性!$DY339)</f>
        <v>7500</v>
      </c>
      <c r="ED339" s="14">
        <f t="shared" si="662"/>
        <v>4396</v>
      </c>
      <c r="EE339" s="14">
        <f t="shared" si="663"/>
        <v>5213</v>
      </c>
      <c r="EF339" s="14">
        <f t="shared" si="664"/>
        <v>5590</v>
      </c>
      <c r="EG339" s="14">
        <f t="shared" si="665"/>
        <v>5590</v>
      </c>
      <c r="EH339" s="14">
        <f t="shared" si="666"/>
        <v>5995</v>
      </c>
      <c r="EI339" s="14">
        <f t="shared" si="667"/>
        <v>2175</v>
      </c>
      <c r="EJ339" s="14">
        <f t="shared" si="668"/>
        <v>2578</v>
      </c>
      <c r="EK339" s="14">
        <f t="shared" si="669"/>
        <v>2578</v>
      </c>
      <c r="EL339" s="14">
        <f t="shared" si="670"/>
        <v>2778</v>
      </c>
      <c r="EM339" s="14">
        <f t="shared" si="671"/>
        <v>2963</v>
      </c>
      <c r="EN339" s="14">
        <f t="shared" si="672"/>
        <v>32732</v>
      </c>
      <c r="EO339" s="14">
        <f t="shared" si="673"/>
        <v>35600</v>
      </c>
      <c r="EP339" s="14">
        <f t="shared" si="674"/>
        <v>35600</v>
      </c>
      <c r="EQ339" s="14">
        <f t="shared" si="675"/>
        <v>36684</v>
      </c>
      <c r="ER339" s="14">
        <f t="shared" si="676"/>
        <v>43498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INDEX(属性投放!$BQ$6:$BQ$85,(卡牌属性!$DW339-2)*20+卡牌属性!$DX339)</f>
        <v>750</v>
      </c>
      <c r="FI339" s="14">
        <f>INDEX(属性投放!$BQ$6:$BQ$85,(卡牌属性!$DW339-2)*20+卡牌属性!$DX339)</f>
        <v>750</v>
      </c>
      <c r="FJ339" s="14">
        <f>INDEX(属性投放!$BQ$6:$BQ$85,(卡牌属性!$DW339-2)*20+卡牌属性!$DX339)</f>
        <v>750</v>
      </c>
      <c r="FK339" s="14">
        <f>INDEX(属性投放!$BQ$6:$BQ$85,(卡牌属性!$DW339-2)*20+卡牌属性!$DX339)</f>
        <v>750</v>
      </c>
      <c r="FL339" s="14">
        <f>INDEX(属性投放!$BQ$6:$BQ$85,(卡牌属性!$DW339-2)*20+卡牌属性!$DX339)</f>
        <v>750</v>
      </c>
      <c r="FM339" s="14">
        <f>INDEX(属性投放!$BR$6:$BR$85,(卡牌属性!$DW339-2)*20+卡牌属性!$DX339)</f>
        <v>375</v>
      </c>
      <c r="FN339" s="14">
        <f>INDEX(属性投放!$BR$6:$BR$85,(卡牌属性!$DW339-2)*20+卡牌属性!$DX339)</f>
        <v>375</v>
      </c>
      <c r="FO339" s="14">
        <f>INDEX(属性投放!$BR$6:$BR$85,(卡牌属性!$DW339-2)*20+卡牌属性!$DX339)</f>
        <v>375</v>
      </c>
      <c r="FP339" s="14">
        <f>INDEX(属性投放!$BR$6:$BR$85,(卡牌属性!$DW339-2)*20+卡牌属性!$DX339)</f>
        <v>375</v>
      </c>
      <c r="FQ339" s="14">
        <f>INDEX(属性投放!$BR$6:$BR$85,(卡牌属性!$DW339-2)*20+卡牌属性!$DX339)</f>
        <v>375</v>
      </c>
      <c r="FR339" s="14">
        <f>INDEX(属性投放!$BS$6:$BS$85,(卡牌属性!$DW339-2)*20+卡牌属性!$DX339)</f>
        <v>7500</v>
      </c>
      <c r="FS339" s="14">
        <f>INDEX(属性投放!$BS$6:$BS$85,(卡牌属性!$DW339-2)*20+卡牌属性!$DX339)</f>
        <v>7500</v>
      </c>
      <c r="FT339" s="14">
        <f>INDEX(属性投放!$BS$6:$BS$85,(卡牌属性!$DW339-2)*20+卡牌属性!$DX339)</f>
        <v>7500</v>
      </c>
      <c r="FU339" s="14">
        <f>INDEX(属性投放!$BS$6:$BS$85,(卡牌属性!$DW339-2)*20+卡牌属性!$DX339)</f>
        <v>7500</v>
      </c>
      <c r="FV339" s="14">
        <f>INDEX(属性投放!$BS$6:$BS$85,(卡牌属性!$DW339-2)*20+卡牌属性!$DX339)</f>
        <v>7500</v>
      </c>
    </row>
    <row r="340" spans="31:178" ht="16.5" x14ac:dyDescent="0.2">
      <c r="AE340" s="13">
        <v>336</v>
      </c>
      <c r="AF340" s="13">
        <f t="shared" si="652"/>
        <v>17</v>
      </c>
      <c r="AG340" s="13">
        <f t="shared" si="633"/>
        <v>4</v>
      </c>
      <c r="AH340" s="13"/>
      <c r="AI340" s="13"/>
      <c r="AJ340" s="14">
        <f t="shared" si="634"/>
        <v>1101016</v>
      </c>
      <c r="AK340" s="14" t="str">
        <f t="shared" si="635"/>
        <v>秦王攻16突</v>
      </c>
      <c r="AL340" s="25" t="s">
        <v>142</v>
      </c>
      <c r="AM340" s="14">
        <v>1</v>
      </c>
      <c r="AN340" s="14">
        <f t="shared" si="636"/>
        <v>16</v>
      </c>
      <c r="AO340" s="14">
        <f>INDEX(属性投放!$DF$6:$DF$85,(卡牌属性!AG340-2)*20+卡牌属性!AN340)</f>
        <v>13851</v>
      </c>
      <c r="AP340" s="14">
        <f t="shared" si="637"/>
        <v>13851</v>
      </c>
      <c r="AQ340" s="14">
        <f t="shared" si="637"/>
        <v>13851</v>
      </c>
      <c r="AR340" s="14">
        <f t="shared" si="637"/>
        <v>13851</v>
      </c>
      <c r="AS340" s="14">
        <f t="shared" si="637"/>
        <v>13851</v>
      </c>
      <c r="AT340" s="14">
        <f>INDEX(属性投放!$DG$6:$DG$85,(卡牌属性!AG340-2)*20+卡牌属性!AN340)</f>
        <v>6844</v>
      </c>
      <c r="AU340" s="14">
        <f t="shared" si="638"/>
        <v>6844</v>
      </c>
      <c r="AV340" s="14">
        <f t="shared" si="638"/>
        <v>6844</v>
      </c>
      <c r="AW340" s="14">
        <f t="shared" si="638"/>
        <v>6844</v>
      </c>
      <c r="AX340" s="14">
        <f t="shared" si="638"/>
        <v>6844</v>
      </c>
      <c r="AY340" s="14">
        <f>INDEX(属性投放!$DH$6:$DH$85,(卡牌属性!AG340-2)*20+卡牌属性!AN340)</f>
        <v>124698</v>
      </c>
      <c r="AZ340" s="14">
        <f t="shared" si="639"/>
        <v>124698</v>
      </c>
      <c r="BA340" s="14">
        <f t="shared" si="639"/>
        <v>124698</v>
      </c>
      <c r="BB340" s="14">
        <f t="shared" si="639"/>
        <v>124698</v>
      </c>
      <c r="BC340" s="14">
        <f t="shared" si="639"/>
        <v>124698</v>
      </c>
      <c r="BD340" s="14">
        <f>INDEX(属性投放!$DL$6:$DL$85,(卡牌属性!AG340-2)*20+卡牌属性!AN340)</f>
        <v>284</v>
      </c>
      <c r="BE340" s="14">
        <f t="shared" si="640"/>
        <v>284</v>
      </c>
      <c r="BF340" s="14">
        <f t="shared" si="640"/>
        <v>284</v>
      </c>
      <c r="BG340" s="14">
        <f t="shared" si="640"/>
        <v>284</v>
      </c>
      <c r="BH340" s="14">
        <f t="shared" si="640"/>
        <v>284</v>
      </c>
      <c r="BI340" s="14">
        <f>INDEX(属性投放!$DM$6:$DM$85,(卡牌属性!AG340-2)*20+卡牌属性!AN340)</f>
        <v>142</v>
      </c>
      <c r="BJ340" s="14">
        <f t="shared" si="641"/>
        <v>142</v>
      </c>
      <c r="BK340" s="14">
        <f t="shared" si="641"/>
        <v>142</v>
      </c>
      <c r="BL340" s="14">
        <f t="shared" si="641"/>
        <v>142</v>
      </c>
      <c r="BM340" s="14">
        <f t="shared" si="641"/>
        <v>142</v>
      </c>
      <c r="BN340" s="14">
        <f>INDEX(属性投放!$DN$6:$DN$85,(卡牌属性!AG340-2)*20+卡牌属性!AN340)</f>
        <v>2845</v>
      </c>
      <c r="BO340" s="14">
        <f t="shared" si="642"/>
        <v>2845</v>
      </c>
      <c r="BP340" s="14">
        <f t="shared" si="642"/>
        <v>2845</v>
      </c>
      <c r="BQ340" s="14">
        <f t="shared" si="642"/>
        <v>2845</v>
      </c>
      <c r="BR340" s="14">
        <f t="shared" si="642"/>
        <v>2845</v>
      </c>
      <c r="BW340" s="13">
        <v>336</v>
      </c>
      <c r="BX340" s="13">
        <f t="shared" si="643"/>
        <v>17</v>
      </c>
      <c r="BY340" s="14">
        <f t="shared" si="644"/>
        <v>3</v>
      </c>
      <c r="BZ340" s="14">
        <f t="shared" si="653"/>
        <v>1102017</v>
      </c>
      <c r="CA340" s="14" t="str">
        <f t="shared" si="654"/>
        <v>飞廉16突</v>
      </c>
      <c r="CB340" s="25" t="s">
        <v>142</v>
      </c>
      <c r="CC340" s="14">
        <v>2</v>
      </c>
      <c r="CD340" s="14">
        <f t="shared" si="645"/>
        <v>16</v>
      </c>
      <c r="CE340" s="14" t="s">
        <v>21</v>
      </c>
      <c r="CF340" s="14">
        <f>INDEX(属性投放!$AZ$6:$AZ$85,(BY340-2)*20+CD340)</f>
        <v>10466</v>
      </c>
      <c r="CG340" s="14" t="s">
        <v>22</v>
      </c>
      <c r="CH340" s="14">
        <f>INDEX(属性投放!$BA$6:$BA$85,(BY340-2)*20+CD340)</f>
        <v>5194</v>
      </c>
      <c r="CI340" s="14" t="s">
        <v>510</v>
      </c>
      <c r="CJ340" s="14">
        <f>INDEX(属性投放!$BB$6:$BB$85,(BY340-2)*20+CD340)</f>
        <v>93840</v>
      </c>
      <c r="CK340" s="14" t="s">
        <v>21</v>
      </c>
      <c r="CL340" s="14">
        <f>INDEX(属性投放!$BC$6:$BC$85,(BY340-2)*20+CD340)</f>
        <v>30</v>
      </c>
      <c r="CM340" s="14" t="s">
        <v>22</v>
      </c>
      <c r="CN340" s="14">
        <f>INDEX(属性投放!$BD$6:$BD$85,(BY340-2)*20+CD340)</f>
        <v>15</v>
      </c>
      <c r="CO340" s="14" t="s">
        <v>510</v>
      </c>
      <c r="CP340" s="14">
        <f>INDEX(属性投放!$BE$6:$BE$85,(BY340-2)*20+CD340)</f>
        <v>300</v>
      </c>
      <c r="CS340" s="13">
        <v>336</v>
      </c>
      <c r="CT340" s="13">
        <f t="shared" si="655"/>
        <v>7</v>
      </c>
      <c r="CU340" s="13">
        <f t="shared" si="656"/>
        <v>24</v>
      </c>
      <c r="CV340" s="14">
        <f t="shared" si="657"/>
        <v>4</v>
      </c>
      <c r="CW340" s="14">
        <f t="shared" si="658"/>
        <v>1102007</v>
      </c>
      <c r="CX340" s="14" t="str">
        <f>INDEX($O$6:$O$50,CT340)&amp;"-"&amp;INDEX(属性投放!$AB$7:$AB$50,CZ340)&amp;"-魂火-"&amp;DB340</f>
        <v>天使缇娜-大叫唤+1-魂火-3</v>
      </c>
      <c r="CY340" s="25" t="s">
        <v>142</v>
      </c>
      <c r="CZ340" s="14">
        <f>INDEX(属性投放!$AM$7:$AM$58,CU340)</f>
        <v>11</v>
      </c>
      <c r="DA340" s="14" t="s">
        <v>537</v>
      </c>
      <c r="DB340" s="14">
        <f>INDEX(属性投放!$AN$7:$AN$58,CU340)</f>
        <v>3</v>
      </c>
      <c r="DC340" s="14">
        <f t="shared" si="646"/>
        <v>24</v>
      </c>
      <c r="DD340" s="14">
        <f>INDEX(属性投放!$AO$7:$AO$58,DC340)</f>
        <v>78</v>
      </c>
      <c r="DE340" s="14" t="s">
        <v>538</v>
      </c>
      <c r="DF340" s="14">
        <f>INDEX(属性投放!$BK$6:$BK$85,(CV340-2)*20+CZ340)</f>
        <v>170</v>
      </c>
      <c r="DG340" s="14">
        <f>SUMIFS(DF$5:DF340,$CT$5:$CT340,"="&amp;$CT340)</f>
        <v>2080</v>
      </c>
      <c r="DH340" s="14" t="s">
        <v>539</v>
      </c>
      <c r="DI340" s="14">
        <f>INDEX(属性投放!$BL$6:$BL$85,(CV340-2)*20+CZ340)</f>
        <v>85</v>
      </c>
      <c r="DJ340" s="14">
        <f>SUMIFS(DI$5:DI340,$CT$5:$CT340,"="&amp;$CT340)</f>
        <v>1045</v>
      </c>
      <c r="DK340" s="14" t="s">
        <v>540</v>
      </c>
      <c r="DL340" s="14">
        <f>INDEX(属性投放!$BM$6:$BM$85,(CV340-2)*20+CZ340)</f>
        <v>1530</v>
      </c>
      <c r="DM340" s="14">
        <f>SUMIFS(DL$5:DL340,$CT$5:$CT340,"="&amp;$CT340)</f>
        <v>16910</v>
      </c>
      <c r="DR340" s="14">
        <f t="shared" si="647"/>
        <v>1102017</v>
      </c>
      <c r="DS340" s="14" t="str">
        <f t="shared" si="648"/>
        <v>飞廉16突</v>
      </c>
      <c r="DT340" s="14">
        <f t="shared" si="659"/>
        <v>6</v>
      </c>
      <c r="DU340" s="14">
        <f t="shared" si="660"/>
        <v>6</v>
      </c>
      <c r="DV340" s="14">
        <f t="shared" si="661"/>
        <v>4</v>
      </c>
      <c r="DW340" s="14">
        <f t="shared" si="649"/>
        <v>3</v>
      </c>
      <c r="DX340" s="14">
        <f t="shared" si="650"/>
        <v>16</v>
      </c>
      <c r="DY340" s="14">
        <f t="shared" si="651"/>
        <v>36</v>
      </c>
      <c r="DZ340" s="14">
        <f>INDEX(属性投放!$AX$6:$AX$85,(卡牌属性!DW340-2)*20+卡牌属性!DX340)</f>
        <v>7</v>
      </c>
      <c r="EA340" s="14">
        <f>INDEX(属性投放!BQ$6:BQ$85,卡牌属性!$DY340)</f>
        <v>800</v>
      </c>
      <c r="EB340" s="14">
        <f>INDEX(属性投放!BR$6:BR$85,卡牌属性!$DY340)</f>
        <v>400</v>
      </c>
      <c r="EC340" s="14">
        <f>INDEX(属性投放!BS$6:BS$85,卡牌属性!$DY340)</f>
        <v>8000</v>
      </c>
      <c r="ED340" s="14">
        <f t="shared" si="662"/>
        <v>5354</v>
      </c>
      <c r="EE340" s="14">
        <f t="shared" si="663"/>
        <v>6283</v>
      </c>
      <c r="EF340" s="14">
        <f t="shared" si="664"/>
        <v>6700</v>
      </c>
      <c r="EG340" s="14">
        <f t="shared" si="665"/>
        <v>6700</v>
      </c>
      <c r="EH340" s="14">
        <f t="shared" si="666"/>
        <v>7145</v>
      </c>
      <c r="EI340" s="14">
        <f t="shared" si="667"/>
        <v>2654</v>
      </c>
      <c r="EJ340" s="14">
        <f t="shared" si="668"/>
        <v>3113</v>
      </c>
      <c r="EK340" s="14">
        <f t="shared" si="669"/>
        <v>3113</v>
      </c>
      <c r="EL340" s="14">
        <f t="shared" si="670"/>
        <v>3337</v>
      </c>
      <c r="EM340" s="14">
        <f t="shared" si="671"/>
        <v>3538</v>
      </c>
      <c r="EN340" s="14">
        <f t="shared" si="672"/>
        <v>41832</v>
      </c>
      <c r="EO340" s="14">
        <f t="shared" si="673"/>
        <v>45100</v>
      </c>
      <c r="EP340" s="14">
        <f t="shared" si="674"/>
        <v>45100</v>
      </c>
      <c r="EQ340" s="14">
        <f t="shared" si="675"/>
        <v>46264</v>
      </c>
      <c r="ER340" s="14">
        <f t="shared" si="676"/>
        <v>54198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INDEX(属性投放!$BQ$6:$BQ$85,(卡牌属性!$DW340-2)*20+卡牌属性!$DX340)</f>
        <v>800</v>
      </c>
      <c r="FI340" s="14">
        <f>INDEX(属性投放!$BQ$6:$BQ$85,(卡牌属性!$DW340-2)*20+卡牌属性!$DX340)</f>
        <v>800</v>
      </c>
      <c r="FJ340" s="14">
        <f>INDEX(属性投放!$BQ$6:$BQ$85,(卡牌属性!$DW340-2)*20+卡牌属性!$DX340)</f>
        <v>800</v>
      </c>
      <c r="FK340" s="14">
        <f>INDEX(属性投放!$BQ$6:$BQ$85,(卡牌属性!$DW340-2)*20+卡牌属性!$DX340)</f>
        <v>800</v>
      </c>
      <c r="FL340" s="14">
        <f>INDEX(属性投放!$BQ$6:$BQ$85,(卡牌属性!$DW340-2)*20+卡牌属性!$DX340)</f>
        <v>800</v>
      </c>
      <c r="FM340" s="14">
        <f>INDEX(属性投放!$BR$6:$BR$85,(卡牌属性!$DW340-2)*20+卡牌属性!$DX340)</f>
        <v>400</v>
      </c>
      <c r="FN340" s="14">
        <f>INDEX(属性投放!$BR$6:$BR$85,(卡牌属性!$DW340-2)*20+卡牌属性!$DX340)</f>
        <v>400</v>
      </c>
      <c r="FO340" s="14">
        <f>INDEX(属性投放!$BR$6:$BR$85,(卡牌属性!$DW340-2)*20+卡牌属性!$DX340)</f>
        <v>400</v>
      </c>
      <c r="FP340" s="14">
        <f>INDEX(属性投放!$BR$6:$BR$85,(卡牌属性!$DW340-2)*20+卡牌属性!$DX340)</f>
        <v>400</v>
      </c>
      <c r="FQ340" s="14">
        <f>INDEX(属性投放!$BR$6:$BR$85,(卡牌属性!$DW340-2)*20+卡牌属性!$DX340)</f>
        <v>400</v>
      </c>
      <c r="FR340" s="14">
        <f>INDEX(属性投放!$BS$6:$BS$85,(卡牌属性!$DW340-2)*20+卡牌属性!$DX340)</f>
        <v>8000</v>
      </c>
      <c r="FS340" s="14">
        <f>INDEX(属性投放!$BS$6:$BS$85,(卡牌属性!$DW340-2)*20+卡牌属性!$DX340)</f>
        <v>8000</v>
      </c>
      <c r="FT340" s="14">
        <f>INDEX(属性投放!$BS$6:$BS$85,(卡牌属性!$DW340-2)*20+卡牌属性!$DX340)</f>
        <v>8000</v>
      </c>
      <c r="FU340" s="14">
        <f>INDEX(属性投放!$BS$6:$BS$85,(卡牌属性!$DW340-2)*20+卡牌属性!$DX340)</f>
        <v>8000</v>
      </c>
      <c r="FV340" s="14">
        <f>INDEX(属性投放!$BS$6:$BS$85,(卡牌属性!$DW340-2)*20+卡牌属性!$DX340)</f>
        <v>8000</v>
      </c>
    </row>
    <row r="341" spans="31:178" ht="16.5" x14ac:dyDescent="0.2">
      <c r="AE341" s="13">
        <v>337</v>
      </c>
      <c r="AF341" s="13">
        <f t="shared" si="652"/>
        <v>17</v>
      </c>
      <c r="AG341" s="13">
        <f t="shared" si="633"/>
        <v>4</v>
      </c>
      <c r="AH341" s="13"/>
      <c r="AI341" s="13"/>
      <c r="AJ341" s="14">
        <f t="shared" si="634"/>
        <v>1101016</v>
      </c>
      <c r="AK341" s="14" t="str">
        <f t="shared" si="635"/>
        <v>秦王攻17突</v>
      </c>
      <c r="AL341" s="25" t="s">
        <v>142</v>
      </c>
      <c r="AM341" s="14">
        <v>1</v>
      </c>
      <c r="AN341" s="14">
        <f t="shared" si="636"/>
        <v>17</v>
      </c>
      <c r="AO341" s="14">
        <f>INDEX(属性投放!$DF$6:$DF$85,(卡牌属性!AG341-2)*20+卡牌属性!AN341)</f>
        <v>14867</v>
      </c>
      <c r="AP341" s="14">
        <f t="shared" si="637"/>
        <v>14867</v>
      </c>
      <c r="AQ341" s="14">
        <f t="shared" si="637"/>
        <v>14867</v>
      </c>
      <c r="AR341" s="14">
        <f t="shared" si="637"/>
        <v>14867</v>
      </c>
      <c r="AS341" s="14">
        <f t="shared" si="637"/>
        <v>14867</v>
      </c>
      <c r="AT341" s="14">
        <f>INDEX(属性投放!$DG$6:$DG$85,(卡牌属性!AG341-2)*20+卡牌属性!AN341)</f>
        <v>7352</v>
      </c>
      <c r="AU341" s="14">
        <f t="shared" si="638"/>
        <v>7352</v>
      </c>
      <c r="AV341" s="14">
        <f t="shared" si="638"/>
        <v>7352</v>
      </c>
      <c r="AW341" s="14">
        <f t="shared" si="638"/>
        <v>7352</v>
      </c>
      <c r="AX341" s="14">
        <f t="shared" si="638"/>
        <v>7352</v>
      </c>
      <c r="AY341" s="14">
        <f>INDEX(属性投放!$DH$6:$DH$85,(卡牌属性!AG341-2)*20+卡牌属性!AN341)</f>
        <v>134858</v>
      </c>
      <c r="AZ341" s="14">
        <f t="shared" si="639"/>
        <v>134858</v>
      </c>
      <c r="BA341" s="14">
        <f t="shared" si="639"/>
        <v>134858</v>
      </c>
      <c r="BB341" s="14">
        <f t="shared" si="639"/>
        <v>134858</v>
      </c>
      <c r="BC341" s="14">
        <f t="shared" si="639"/>
        <v>134858</v>
      </c>
      <c r="BD341" s="14">
        <f>INDEX(属性投放!$DL$6:$DL$85,(卡牌属性!AG341-2)*20+卡牌属性!AN341)</f>
        <v>284</v>
      </c>
      <c r="BE341" s="14">
        <f t="shared" si="640"/>
        <v>284</v>
      </c>
      <c r="BF341" s="14">
        <f t="shared" si="640"/>
        <v>284</v>
      </c>
      <c r="BG341" s="14">
        <f t="shared" si="640"/>
        <v>284</v>
      </c>
      <c r="BH341" s="14">
        <f t="shared" si="640"/>
        <v>284</v>
      </c>
      <c r="BI341" s="14">
        <f>INDEX(属性投放!$DM$6:$DM$85,(卡牌属性!AG341-2)*20+卡牌属性!AN341)</f>
        <v>142</v>
      </c>
      <c r="BJ341" s="14">
        <f t="shared" si="641"/>
        <v>142</v>
      </c>
      <c r="BK341" s="14">
        <f t="shared" si="641"/>
        <v>142</v>
      </c>
      <c r="BL341" s="14">
        <f t="shared" si="641"/>
        <v>142</v>
      </c>
      <c r="BM341" s="14">
        <f t="shared" si="641"/>
        <v>142</v>
      </c>
      <c r="BN341" s="14">
        <f>INDEX(属性投放!$DN$6:$DN$85,(卡牌属性!AG341-2)*20+卡牌属性!AN341)</f>
        <v>2845</v>
      </c>
      <c r="BO341" s="14">
        <f t="shared" si="642"/>
        <v>2845</v>
      </c>
      <c r="BP341" s="14">
        <f t="shared" si="642"/>
        <v>2845</v>
      </c>
      <c r="BQ341" s="14">
        <f t="shared" si="642"/>
        <v>2845</v>
      </c>
      <c r="BR341" s="14">
        <f t="shared" si="642"/>
        <v>2845</v>
      </c>
      <c r="BW341" s="13">
        <v>337</v>
      </c>
      <c r="BX341" s="13">
        <f t="shared" si="643"/>
        <v>17</v>
      </c>
      <c r="BY341" s="14">
        <f t="shared" si="644"/>
        <v>3</v>
      </c>
      <c r="BZ341" s="14">
        <f t="shared" si="653"/>
        <v>1102017</v>
      </c>
      <c r="CA341" s="14" t="str">
        <f t="shared" si="654"/>
        <v>飞廉17突</v>
      </c>
      <c r="CB341" s="25" t="s">
        <v>142</v>
      </c>
      <c r="CC341" s="14">
        <v>2</v>
      </c>
      <c r="CD341" s="14">
        <f t="shared" si="645"/>
        <v>17</v>
      </c>
      <c r="CE341" s="14" t="s">
        <v>21</v>
      </c>
      <c r="CF341" s="14">
        <f>INDEX(属性投放!$AZ$6:$AZ$85,(BY341-2)*20+CD341)</f>
        <v>12976</v>
      </c>
      <c r="CG341" s="14" t="s">
        <v>22</v>
      </c>
      <c r="CH341" s="14">
        <f>INDEX(属性投放!$BA$6:$BA$85,(BY341-2)*20+CD341)</f>
        <v>6449</v>
      </c>
      <c r="CI341" s="14" t="s">
        <v>510</v>
      </c>
      <c r="CJ341" s="14">
        <f>INDEX(属性投放!$BB$6:$BB$85,(BY341-2)*20+CD341)</f>
        <v>118940</v>
      </c>
      <c r="CK341" s="14" t="s">
        <v>21</v>
      </c>
      <c r="CL341" s="14">
        <f>INDEX(属性投放!$BC$6:$BC$85,(BY341-2)*20+CD341)</f>
        <v>30</v>
      </c>
      <c r="CM341" s="14" t="s">
        <v>22</v>
      </c>
      <c r="CN341" s="14">
        <f>INDEX(属性投放!$BD$6:$BD$85,(BY341-2)*20+CD341)</f>
        <v>15</v>
      </c>
      <c r="CO341" s="14" t="s">
        <v>510</v>
      </c>
      <c r="CP341" s="14">
        <f>INDEX(属性投放!$BE$6:$BE$85,(BY341-2)*20+CD341)</f>
        <v>300</v>
      </c>
      <c r="CS341" s="13">
        <v>337</v>
      </c>
      <c r="CT341" s="13">
        <f t="shared" si="655"/>
        <v>7</v>
      </c>
      <c r="CU341" s="13">
        <f t="shared" si="656"/>
        <v>25</v>
      </c>
      <c r="CV341" s="14">
        <f t="shared" si="657"/>
        <v>4</v>
      </c>
      <c r="CW341" s="14">
        <f t="shared" si="658"/>
        <v>1102007</v>
      </c>
      <c r="CX341" s="14" t="str">
        <f>INDEX($O$6:$O$50,CT341)&amp;"-"&amp;INDEX(属性投放!$AB$7:$AB$50,CZ341)&amp;"-魂火-"&amp;DB341</f>
        <v>天使缇娜-大叫唤+2-魂火-1</v>
      </c>
      <c r="CY341" s="25" t="s">
        <v>142</v>
      </c>
      <c r="CZ341" s="14">
        <f>INDEX(属性投放!$AM$7:$AM$58,CU341)</f>
        <v>12</v>
      </c>
      <c r="DA341" s="14" t="s">
        <v>537</v>
      </c>
      <c r="DB341" s="14">
        <f>INDEX(属性投放!$AN$7:$AN$58,CU341)</f>
        <v>1</v>
      </c>
      <c r="DC341" s="14">
        <f t="shared" si="646"/>
        <v>25</v>
      </c>
      <c r="DD341" s="14">
        <f>INDEX(属性投放!$AO$7:$AO$58,DC341)</f>
        <v>80</v>
      </c>
      <c r="DE341" s="14" t="s">
        <v>538</v>
      </c>
      <c r="DF341" s="14">
        <f>INDEX(属性投放!$BK$6:$BK$85,(CV341-2)*20+CZ341)</f>
        <v>225</v>
      </c>
      <c r="DG341" s="14">
        <f>SUMIFS(DF$5:DF341,$CT$5:$CT341,"="&amp;$CT341)</f>
        <v>2305</v>
      </c>
      <c r="DH341" s="14" t="s">
        <v>539</v>
      </c>
      <c r="DI341" s="14">
        <f>INDEX(属性投放!$BL$6:$BL$85,(CV341-2)*20+CZ341)</f>
        <v>113</v>
      </c>
      <c r="DJ341" s="14">
        <f>SUMIFS(DI$5:DI341,$CT$5:$CT341,"="&amp;$CT341)</f>
        <v>1158</v>
      </c>
      <c r="DK341" s="14" t="s">
        <v>540</v>
      </c>
      <c r="DL341" s="14">
        <f>INDEX(属性投放!$BM$6:$BM$85,(CV341-2)*20+CZ341)</f>
        <v>2025</v>
      </c>
      <c r="DM341" s="14">
        <f>SUMIFS(DL$5:DL341,$CT$5:$CT341,"="&amp;$CT341)</f>
        <v>18935</v>
      </c>
      <c r="DR341" s="14">
        <f t="shared" si="647"/>
        <v>1102017</v>
      </c>
      <c r="DS341" s="14" t="str">
        <f t="shared" si="648"/>
        <v>飞廉17突</v>
      </c>
      <c r="DT341" s="14">
        <f t="shared" si="659"/>
        <v>6</v>
      </c>
      <c r="DU341" s="14">
        <f t="shared" si="660"/>
        <v>6</v>
      </c>
      <c r="DV341" s="14">
        <f t="shared" si="661"/>
        <v>4</v>
      </c>
      <c r="DW341" s="14">
        <f t="shared" si="649"/>
        <v>3</v>
      </c>
      <c r="DX341" s="14">
        <f t="shared" si="650"/>
        <v>17</v>
      </c>
      <c r="DY341" s="14">
        <f t="shared" si="651"/>
        <v>37</v>
      </c>
      <c r="DZ341" s="14">
        <f>INDEX(属性投放!$AX$6:$AX$85,(卡牌属性!DW341-2)*20+卡牌属性!DX341)</f>
        <v>8</v>
      </c>
      <c r="EA341" s="14">
        <f>INDEX(属性投放!BQ$6:BQ$85,卡牌属性!$DY341)</f>
        <v>900</v>
      </c>
      <c r="EB341" s="14">
        <f>INDEX(属性投放!BR$6:BR$85,卡牌属性!$DY341)</f>
        <v>450</v>
      </c>
      <c r="EC341" s="14">
        <f>INDEX(属性投放!BS$6:BS$85,卡牌属性!$DY341)</f>
        <v>9000</v>
      </c>
      <c r="ED341" s="14">
        <f t="shared" si="662"/>
        <v>6399</v>
      </c>
      <c r="EE341" s="14">
        <f t="shared" si="663"/>
        <v>7433</v>
      </c>
      <c r="EF341" s="14">
        <f t="shared" si="664"/>
        <v>7920</v>
      </c>
      <c r="EG341" s="14">
        <f t="shared" si="665"/>
        <v>7920</v>
      </c>
      <c r="EH341" s="14">
        <f t="shared" si="666"/>
        <v>8470</v>
      </c>
      <c r="EI341" s="14">
        <f t="shared" si="667"/>
        <v>3180</v>
      </c>
      <c r="EJ341" s="14">
        <f t="shared" si="668"/>
        <v>3688</v>
      </c>
      <c r="EK341" s="14">
        <f t="shared" si="669"/>
        <v>3688</v>
      </c>
      <c r="EL341" s="14">
        <f t="shared" si="670"/>
        <v>3947</v>
      </c>
      <c r="EM341" s="14">
        <f t="shared" si="671"/>
        <v>4204</v>
      </c>
      <c r="EN341" s="14">
        <f t="shared" si="672"/>
        <v>51582</v>
      </c>
      <c r="EO341" s="14">
        <f t="shared" si="673"/>
        <v>55200</v>
      </c>
      <c r="EP341" s="14">
        <f t="shared" si="674"/>
        <v>55200</v>
      </c>
      <c r="EQ341" s="14">
        <f t="shared" si="675"/>
        <v>56714</v>
      </c>
      <c r="ER341" s="14">
        <f t="shared" si="676"/>
        <v>65698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INDEX(属性投放!$BQ$6:$BQ$85,(卡牌属性!$DW341-2)*20+卡牌属性!$DX341)</f>
        <v>900</v>
      </c>
      <c r="FI341" s="14">
        <f>INDEX(属性投放!$BQ$6:$BQ$85,(卡牌属性!$DW341-2)*20+卡牌属性!$DX341)</f>
        <v>900</v>
      </c>
      <c r="FJ341" s="14">
        <f>INDEX(属性投放!$BQ$6:$BQ$85,(卡牌属性!$DW341-2)*20+卡牌属性!$DX341)</f>
        <v>900</v>
      </c>
      <c r="FK341" s="14">
        <f>INDEX(属性投放!$BQ$6:$BQ$85,(卡牌属性!$DW341-2)*20+卡牌属性!$DX341)</f>
        <v>900</v>
      </c>
      <c r="FL341" s="14">
        <f>INDEX(属性投放!$BQ$6:$BQ$85,(卡牌属性!$DW341-2)*20+卡牌属性!$DX341)</f>
        <v>900</v>
      </c>
      <c r="FM341" s="14">
        <f>INDEX(属性投放!$BR$6:$BR$85,(卡牌属性!$DW341-2)*20+卡牌属性!$DX341)</f>
        <v>450</v>
      </c>
      <c r="FN341" s="14">
        <f>INDEX(属性投放!$BR$6:$BR$85,(卡牌属性!$DW341-2)*20+卡牌属性!$DX341)</f>
        <v>450</v>
      </c>
      <c r="FO341" s="14">
        <f>INDEX(属性投放!$BR$6:$BR$85,(卡牌属性!$DW341-2)*20+卡牌属性!$DX341)</f>
        <v>450</v>
      </c>
      <c r="FP341" s="14">
        <f>INDEX(属性投放!$BR$6:$BR$85,(卡牌属性!$DW341-2)*20+卡牌属性!$DX341)</f>
        <v>450</v>
      </c>
      <c r="FQ341" s="14">
        <f>INDEX(属性投放!$BR$6:$BR$85,(卡牌属性!$DW341-2)*20+卡牌属性!$DX341)</f>
        <v>450</v>
      </c>
      <c r="FR341" s="14">
        <f>INDEX(属性投放!$BS$6:$BS$85,(卡牌属性!$DW341-2)*20+卡牌属性!$DX341)</f>
        <v>9000</v>
      </c>
      <c r="FS341" s="14">
        <f>INDEX(属性投放!$BS$6:$BS$85,(卡牌属性!$DW341-2)*20+卡牌属性!$DX341)</f>
        <v>9000</v>
      </c>
      <c r="FT341" s="14">
        <f>INDEX(属性投放!$BS$6:$BS$85,(卡牌属性!$DW341-2)*20+卡牌属性!$DX341)</f>
        <v>9000</v>
      </c>
      <c r="FU341" s="14">
        <f>INDEX(属性投放!$BS$6:$BS$85,(卡牌属性!$DW341-2)*20+卡牌属性!$DX341)</f>
        <v>9000</v>
      </c>
      <c r="FV341" s="14">
        <f>INDEX(属性投放!$BS$6:$BS$85,(卡牌属性!$DW341-2)*20+卡牌属性!$DX341)</f>
        <v>9000</v>
      </c>
    </row>
    <row r="342" spans="31:178" ht="16.5" x14ac:dyDescent="0.2">
      <c r="AE342" s="13">
        <v>338</v>
      </c>
      <c r="AF342" s="13">
        <f t="shared" si="652"/>
        <v>17</v>
      </c>
      <c r="AG342" s="13">
        <f t="shared" si="633"/>
        <v>4</v>
      </c>
      <c r="AH342" s="13"/>
      <c r="AI342" s="13"/>
      <c r="AJ342" s="14">
        <f t="shared" si="634"/>
        <v>1101016</v>
      </c>
      <c r="AK342" s="14" t="str">
        <f t="shared" si="635"/>
        <v>秦王攻18突</v>
      </c>
      <c r="AL342" s="25" t="s">
        <v>142</v>
      </c>
      <c r="AM342" s="14">
        <v>1</v>
      </c>
      <c r="AN342" s="14">
        <f t="shared" si="636"/>
        <v>18</v>
      </c>
      <c r="AO342" s="14">
        <f>INDEX(属性投放!$DF$6:$DF$85,(卡牌属性!AG342-2)*20+卡牌属性!AN342)</f>
        <v>15883</v>
      </c>
      <c r="AP342" s="14">
        <f t="shared" si="637"/>
        <v>15883</v>
      </c>
      <c r="AQ342" s="14">
        <f t="shared" si="637"/>
        <v>15883</v>
      </c>
      <c r="AR342" s="14">
        <f t="shared" si="637"/>
        <v>15883</v>
      </c>
      <c r="AS342" s="14">
        <f t="shared" si="637"/>
        <v>15883</v>
      </c>
      <c r="AT342" s="14">
        <f>INDEX(属性投放!$DG$6:$DG$85,(卡牌属性!AG342-2)*20+卡牌属性!AN342)</f>
        <v>7860</v>
      </c>
      <c r="AU342" s="14">
        <f t="shared" si="638"/>
        <v>7860</v>
      </c>
      <c r="AV342" s="14">
        <f t="shared" si="638"/>
        <v>7860</v>
      </c>
      <c r="AW342" s="14">
        <f t="shared" si="638"/>
        <v>7860</v>
      </c>
      <c r="AX342" s="14">
        <f t="shared" si="638"/>
        <v>7860</v>
      </c>
      <c r="AY342" s="14">
        <f>INDEX(属性投放!$DH$6:$DH$85,(卡牌属性!AG342-2)*20+卡牌属性!AN342)</f>
        <v>145018</v>
      </c>
      <c r="AZ342" s="14">
        <f t="shared" si="639"/>
        <v>145018</v>
      </c>
      <c r="BA342" s="14">
        <f t="shared" si="639"/>
        <v>145018</v>
      </c>
      <c r="BB342" s="14">
        <f t="shared" si="639"/>
        <v>145018</v>
      </c>
      <c r="BC342" s="14">
        <f t="shared" si="639"/>
        <v>145018</v>
      </c>
      <c r="BD342" s="14">
        <f>INDEX(属性投放!$DL$6:$DL$85,(卡牌属性!AG342-2)*20+卡牌属性!AN342)</f>
        <v>284</v>
      </c>
      <c r="BE342" s="14">
        <f t="shared" si="640"/>
        <v>284</v>
      </c>
      <c r="BF342" s="14">
        <f t="shared" si="640"/>
        <v>284</v>
      </c>
      <c r="BG342" s="14">
        <f t="shared" si="640"/>
        <v>284</v>
      </c>
      <c r="BH342" s="14">
        <f t="shared" si="640"/>
        <v>284</v>
      </c>
      <c r="BI342" s="14">
        <f>INDEX(属性投放!$DM$6:$DM$85,(卡牌属性!AG342-2)*20+卡牌属性!AN342)</f>
        <v>142</v>
      </c>
      <c r="BJ342" s="14">
        <f t="shared" si="641"/>
        <v>142</v>
      </c>
      <c r="BK342" s="14">
        <f t="shared" si="641"/>
        <v>142</v>
      </c>
      <c r="BL342" s="14">
        <f t="shared" si="641"/>
        <v>142</v>
      </c>
      <c r="BM342" s="14">
        <f t="shared" si="641"/>
        <v>142</v>
      </c>
      <c r="BN342" s="14">
        <f>INDEX(属性投放!$DN$6:$DN$85,(卡牌属性!AG342-2)*20+卡牌属性!AN342)</f>
        <v>2845</v>
      </c>
      <c r="BO342" s="14">
        <f t="shared" si="642"/>
        <v>2845</v>
      </c>
      <c r="BP342" s="14">
        <f t="shared" si="642"/>
        <v>2845</v>
      </c>
      <c r="BQ342" s="14">
        <f t="shared" si="642"/>
        <v>2845</v>
      </c>
      <c r="BR342" s="14">
        <f t="shared" si="642"/>
        <v>2845</v>
      </c>
      <c r="BW342" s="13">
        <v>338</v>
      </c>
      <c r="BX342" s="13">
        <f t="shared" si="643"/>
        <v>17</v>
      </c>
      <c r="BY342" s="14">
        <f t="shared" si="644"/>
        <v>3</v>
      </c>
      <c r="BZ342" s="14">
        <f t="shared" si="653"/>
        <v>1102017</v>
      </c>
      <c r="CA342" s="14" t="str">
        <f t="shared" si="654"/>
        <v>飞廉18突</v>
      </c>
      <c r="CB342" s="25" t="s">
        <v>142</v>
      </c>
      <c r="CC342" s="14">
        <v>2</v>
      </c>
      <c r="CD342" s="14">
        <f t="shared" si="645"/>
        <v>18</v>
      </c>
      <c r="CE342" s="14" t="s">
        <v>21</v>
      </c>
      <c r="CF342" s="14">
        <f>INDEX(属性投放!$AZ$6:$AZ$85,(BY342-2)*20+CD342)</f>
        <v>15916</v>
      </c>
      <c r="CG342" s="14" t="s">
        <v>22</v>
      </c>
      <c r="CH342" s="14">
        <f>INDEX(属性投放!$BA$6:$BA$85,(BY342-2)*20+CD342)</f>
        <v>7919</v>
      </c>
      <c r="CI342" s="14" t="s">
        <v>510</v>
      </c>
      <c r="CJ342" s="14">
        <f>INDEX(属性投放!$BB$6:$BB$85,(BY342-2)*20+CD342)</f>
        <v>148340</v>
      </c>
      <c r="CK342" s="14" t="s">
        <v>21</v>
      </c>
      <c r="CL342" s="14">
        <f>INDEX(属性投放!$BC$6:$BC$85,(BY342-2)*20+CD342)</f>
        <v>30</v>
      </c>
      <c r="CM342" s="14" t="s">
        <v>22</v>
      </c>
      <c r="CN342" s="14">
        <f>INDEX(属性投放!$BD$6:$BD$85,(BY342-2)*20+CD342)</f>
        <v>15</v>
      </c>
      <c r="CO342" s="14" t="s">
        <v>510</v>
      </c>
      <c r="CP342" s="14">
        <f>INDEX(属性投放!$BE$6:$BE$85,(BY342-2)*20+CD342)</f>
        <v>300</v>
      </c>
      <c r="CS342" s="13">
        <v>338</v>
      </c>
      <c r="CT342" s="13">
        <f t="shared" si="655"/>
        <v>7</v>
      </c>
      <c r="CU342" s="13">
        <f t="shared" si="656"/>
        <v>26</v>
      </c>
      <c r="CV342" s="14">
        <f t="shared" si="657"/>
        <v>4</v>
      </c>
      <c r="CW342" s="14">
        <f t="shared" si="658"/>
        <v>1102007</v>
      </c>
      <c r="CX342" s="14" t="str">
        <f>INDEX($O$6:$O$50,CT342)&amp;"-"&amp;INDEX(属性投放!$AB$7:$AB$50,CZ342)&amp;"-魂火-"&amp;DB342</f>
        <v>天使缇娜-大叫唤+2-魂火-2</v>
      </c>
      <c r="CY342" s="25" t="s">
        <v>142</v>
      </c>
      <c r="CZ342" s="14">
        <f>INDEX(属性投放!$AM$7:$AM$58,CU342)</f>
        <v>12</v>
      </c>
      <c r="DA342" s="14" t="s">
        <v>537</v>
      </c>
      <c r="DB342" s="14">
        <f>INDEX(属性投放!$AN$7:$AN$58,CU342)</f>
        <v>2</v>
      </c>
      <c r="DC342" s="14">
        <f t="shared" si="646"/>
        <v>26</v>
      </c>
      <c r="DD342" s="14">
        <f>INDEX(属性投放!$AO$7:$AO$58,DC342)</f>
        <v>83</v>
      </c>
      <c r="DE342" s="14" t="s">
        <v>538</v>
      </c>
      <c r="DF342" s="14">
        <f>INDEX(属性投放!$BK$6:$BK$85,(CV342-2)*20+CZ342)</f>
        <v>225</v>
      </c>
      <c r="DG342" s="14">
        <f>SUMIFS(DF$5:DF342,$CT$5:$CT342,"="&amp;$CT342)</f>
        <v>2530</v>
      </c>
      <c r="DH342" s="14" t="s">
        <v>539</v>
      </c>
      <c r="DI342" s="14">
        <f>INDEX(属性投放!$BL$6:$BL$85,(CV342-2)*20+CZ342)</f>
        <v>113</v>
      </c>
      <c r="DJ342" s="14">
        <f>SUMIFS(DI$5:DI342,$CT$5:$CT342,"="&amp;$CT342)</f>
        <v>1271</v>
      </c>
      <c r="DK342" s="14" t="s">
        <v>540</v>
      </c>
      <c r="DL342" s="14">
        <f>INDEX(属性投放!$BM$6:$BM$85,(CV342-2)*20+CZ342)</f>
        <v>2025</v>
      </c>
      <c r="DM342" s="14">
        <f>SUMIFS(DL$5:DL342,$CT$5:$CT342,"="&amp;$CT342)</f>
        <v>20960</v>
      </c>
      <c r="DR342" s="14">
        <f t="shared" si="647"/>
        <v>1102017</v>
      </c>
      <c r="DS342" s="14" t="str">
        <f t="shared" si="648"/>
        <v>飞廉18突</v>
      </c>
      <c r="DT342" s="14">
        <f t="shared" si="659"/>
        <v>6</v>
      </c>
      <c r="DU342" s="14">
        <f t="shared" si="660"/>
        <v>6</v>
      </c>
      <c r="DV342" s="14">
        <f t="shared" si="661"/>
        <v>4</v>
      </c>
      <c r="DW342" s="14">
        <f t="shared" si="649"/>
        <v>3</v>
      </c>
      <c r="DX342" s="14">
        <f t="shared" si="650"/>
        <v>18</v>
      </c>
      <c r="DY342" s="14">
        <f t="shared" si="651"/>
        <v>38</v>
      </c>
      <c r="DZ342" s="14">
        <f>INDEX(属性投放!$AX$6:$AX$85,(卡牌属性!DW342-2)*20+卡牌属性!DX342)</f>
        <v>7</v>
      </c>
      <c r="EA342" s="14">
        <f>INDEX(属性投放!BQ$6:BQ$85,卡牌属性!$DY342)</f>
        <v>1500</v>
      </c>
      <c r="EB342" s="14">
        <f>INDEX(属性投放!BR$6:BR$85,卡牌属性!$DY342)</f>
        <v>750</v>
      </c>
      <c r="EC342" s="14">
        <f>INDEX(属性投放!BS$6:BS$85,卡牌属性!$DY342)</f>
        <v>15000</v>
      </c>
      <c r="ED342" s="14">
        <f t="shared" si="662"/>
        <v>7579</v>
      </c>
      <c r="EE342" s="14">
        <f t="shared" si="663"/>
        <v>8733</v>
      </c>
      <c r="EF342" s="14">
        <f t="shared" si="664"/>
        <v>9300</v>
      </c>
      <c r="EG342" s="14">
        <f t="shared" si="665"/>
        <v>9300</v>
      </c>
      <c r="EH342" s="14">
        <f t="shared" si="666"/>
        <v>9970</v>
      </c>
      <c r="EI342" s="14">
        <f t="shared" si="667"/>
        <v>3774</v>
      </c>
      <c r="EJ342" s="14">
        <f t="shared" si="668"/>
        <v>4338</v>
      </c>
      <c r="EK342" s="14">
        <f t="shared" si="669"/>
        <v>4338</v>
      </c>
      <c r="EL342" s="14">
        <f t="shared" si="670"/>
        <v>4637</v>
      </c>
      <c r="EM342" s="14">
        <f t="shared" si="671"/>
        <v>4958</v>
      </c>
      <c r="EN342" s="14">
        <f t="shared" si="672"/>
        <v>62582</v>
      </c>
      <c r="EO342" s="14">
        <f t="shared" si="673"/>
        <v>66600</v>
      </c>
      <c r="EP342" s="14">
        <f t="shared" si="674"/>
        <v>66600</v>
      </c>
      <c r="EQ342" s="14">
        <f t="shared" si="675"/>
        <v>68514</v>
      </c>
      <c r="ER342" s="14">
        <f t="shared" si="676"/>
        <v>78698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INDEX(属性投放!$BQ$6:$BQ$85,(卡牌属性!$DW342-2)*20+卡牌属性!$DX342)</f>
        <v>1500</v>
      </c>
      <c r="FI342" s="14">
        <f>INDEX(属性投放!$BQ$6:$BQ$85,(卡牌属性!$DW342-2)*20+卡牌属性!$DX342)</f>
        <v>1500</v>
      </c>
      <c r="FJ342" s="14">
        <f>INDEX(属性投放!$BQ$6:$BQ$85,(卡牌属性!$DW342-2)*20+卡牌属性!$DX342)</f>
        <v>1500</v>
      </c>
      <c r="FK342" s="14">
        <f>INDEX(属性投放!$BQ$6:$BQ$85,(卡牌属性!$DW342-2)*20+卡牌属性!$DX342)</f>
        <v>1500</v>
      </c>
      <c r="FL342" s="14">
        <f>INDEX(属性投放!$BQ$6:$BQ$85,(卡牌属性!$DW342-2)*20+卡牌属性!$DX342)</f>
        <v>1500</v>
      </c>
      <c r="FM342" s="14">
        <f>INDEX(属性投放!$BR$6:$BR$85,(卡牌属性!$DW342-2)*20+卡牌属性!$DX342)</f>
        <v>750</v>
      </c>
      <c r="FN342" s="14">
        <f>INDEX(属性投放!$BR$6:$BR$85,(卡牌属性!$DW342-2)*20+卡牌属性!$DX342)</f>
        <v>750</v>
      </c>
      <c r="FO342" s="14">
        <f>INDEX(属性投放!$BR$6:$BR$85,(卡牌属性!$DW342-2)*20+卡牌属性!$DX342)</f>
        <v>750</v>
      </c>
      <c r="FP342" s="14">
        <f>INDEX(属性投放!$BR$6:$BR$85,(卡牌属性!$DW342-2)*20+卡牌属性!$DX342)</f>
        <v>750</v>
      </c>
      <c r="FQ342" s="14">
        <f>INDEX(属性投放!$BR$6:$BR$85,(卡牌属性!$DW342-2)*20+卡牌属性!$DX342)</f>
        <v>750</v>
      </c>
      <c r="FR342" s="14">
        <f>INDEX(属性投放!$BS$6:$BS$85,(卡牌属性!$DW342-2)*20+卡牌属性!$DX342)</f>
        <v>15000</v>
      </c>
      <c r="FS342" s="14">
        <f>INDEX(属性投放!$BS$6:$BS$85,(卡牌属性!$DW342-2)*20+卡牌属性!$DX342)</f>
        <v>15000</v>
      </c>
      <c r="FT342" s="14">
        <f>INDEX(属性投放!$BS$6:$BS$85,(卡牌属性!$DW342-2)*20+卡牌属性!$DX342)</f>
        <v>15000</v>
      </c>
      <c r="FU342" s="14">
        <f>INDEX(属性投放!$BS$6:$BS$85,(卡牌属性!$DW342-2)*20+卡牌属性!$DX342)</f>
        <v>15000</v>
      </c>
      <c r="FV342" s="14">
        <f>INDEX(属性投放!$BS$6:$BS$85,(卡牌属性!$DW342-2)*20+卡牌属性!$DX342)</f>
        <v>15000</v>
      </c>
    </row>
    <row r="343" spans="31:178" ht="16.5" x14ac:dyDescent="0.2">
      <c r="AE343" s="13">
        <v>339</v>
      </c>
      <c r="AF343" s="13">
        <f t="shared" si="652"/>
        <v>17</v>
      </c>
      <c r="AG343" s="13">
        <f t="shared" si="633"/>
        <v>4</v>
      </c>
      <c r="AH343" s="13"/>
      <c r="AI343" s="13"/>
      <c r="AJ343" s="14">
        <f t="shared" si="634"/>
        <v>1101016</v>
      </c>
      <c r="AK343" s="14" t="str">
        <f t="shared" si="635"/>
        <v>秦王攻19突</v>
      </c>
      <c r="AL343" s="25" t="s">
        <v>142</v>
      </c>
      <c r="AM343" s="14">
        <v>1</v>
      </c>
      <c r="AN343" s="14">
        <f t="shared" si="636"/>
        <v>19</v>
      </c>
      <c r="AO343" s="14">
        <f>INDEX(属性投放!$DF$6:$DF$85,(卡牌属性!AG343-2)*20+卡牌属性!AN343)</f>
        <v>23999</v>
      </c>
      <c r="AP343" s="14">
        <f t="shared" si="637"/>
        <v>23999</v>
      </c>
      <c r="AQ343" s="14">
        <f t="shared" si="637"/>
        <v>23999</v>
      </c>
      <c r="AR343" s="14">
        <f t="shared" si="637"/>
        <v>23999</v>
      </c>
      <c r="AS343" s="14">
        <f t="shared" si="637"/>
        <v>23999</v>
      </c>
      <c r="AT343" s="14">
        <f>INDEX(属性投放!$DG$6:$DG$85,(卡牌属性!AG343-2)*20+卡牌属性!AN343)</f>
        <v>11918</v>
      </c>
      <c r="AU343" s="14">
        <f t="shared" si="638"/>
        <v>11918</v>
      </c>
      <c r="AV343" s="14">
        <f t="shared" si="638"/>
        <v>11918</v>
      </c>
      <c r="AW343" s="14">
        <f t="shared" si="638"/>
        <v>11918</v>
      </c>
      <c r="AX343" s="14">
        <f t="shared" si="638"/>
        <v>11918</v>
      </c>
      <c r="AY343" s="14">
        <f>INDEX(属性投放!$DH$6:$DH$85,(卡牌属性!AG343-2)*20+卡牌属性!AN343)</f>
        <v>226303</v>
      </c>
      <c r="AZ343" s="14">
        <f t="shared" si="639"/>
        <v>226303</v>
      </c>
      <c r="BA343" s="14">
        <f t="shared" si="639"/>
        <v>226303</v>
      </c>
      <c r="BB343" s="14">
        <f t="shared" si="639"/>
        <v>226303</v>
      </c>
      <c r="BC343" s="14">
        <f t="shared" si="639"/>
        <v>226303</v>
      </c>
      <c r="BD343" s="14">
        <f>INDEX(属性投放!$DL$6:$DL$85,(卡牌属性!AG343-2)*20+卡牌属性!AN343)</f>
        <v>516</v>
      </c>
      <c r="BE343" s="14">
        <f t="shared" si="640"/>
        <v>516</v>
      </c>
      <c r="BF343" s="14">
        <f t="shared" si="640"/>
        <v>516</v>
      </c>
      <c r="BG343" s="14">
        <f t="shared" si="640"/>
        <v>516</v>
      </c>
      <c r="BH343" s="14">
        <f t="shared" si="640"/>
        <v>516</v>
      </c>
      <c r="BI343" s="14">
        <f>INDEX(属性投放!$DM$6:$DM$85,(卡牌属性!AG343-2)*20+卡牌属性!AN343)</f>
        <v>258</v>
      </c>
      <c r="BJ343" s="14">
        <f t="shared" si="641"/>
        <v>258</v>
      </c>
      <c r="BK343" s="14">
        <f t="shared" si="641"/>
        <v>258</v>
      </c>
      <c r="BL343" s="14">
        <f t="shared" si="641"/>
        <v>258</v>
      </c>
      <c r="BM343" s="14">
        <f t="shared" si="641"/>
        <v>258</v>
      </c>
      <c r="BN343" s="14">
        <f>INDEX(属性投放!$DN$6:$DN$85,(卡牌属性!AG343-2)*20+卡牌属性!AN343)</f>
        <v>5157</v>
      </c>
      <c r="BO343" s="14">
        <f t="shared" si="642"/>
        <v>5157</v>
      </c>
      <c r="BP343" s="14">
        <f t="shared" si="642"/>
        <v>5157</v>
      </c>
      <c r="BQ343" s="14">
        <f t="shared" si="642"/>
        <v>5157</v>
      </c>
      <c r="BR343" s="14">
        <f t="shared" si="642"/>
        <v>5157</v>
      </c>
      <c r="BW343" s="13">
        <v>339</v>
      </c>
      <c r="BX343" s="13">
        <f t="shared" si="643"/>
        <v>17</v>
      </c>
      <c r="BY343" s="14">
        <f t="shared" si="644"/>
        <v>3</v>
      </c>
      <c r="BZ343" s="14">
        <f t="shared" si="653"/>
        <v>1102017</v>
      </c>
      <c r="CA343" s="14" t="str">
        <f t="shared" si="654"/>
        <v>飞廉19突</v>
      </c>
      <c r="CB343" s="25" t="s">
        <v>142</v>
      </c>
      <c r="CC343" s="14">
        <v>2</v>
      </c>
      <c r="CD343" s="14">
        <f t="shared" si="645"/>
        <v>19</v>
      </c>
      <c r="CE343" s="14" t="s">
        <v>21</v>
      </c>
      <c r="CF343" s="14">
        <f>INDEX(属性投放!$AZ$6:$AZ$85,(BY343-2)*20+CD343)</f>
        <v>19726</v>
      </c>
      <c r="CG343" s="14" t="s">
        <v>22</v>
      </c>
      <c r="CH343" s="14">
        <f>INDEX(属性投放!$BA$6:$BA$85,(BY343-2)*20+CD343)</f>
        <v>9824</v>
      </c>
      <c r="CI343" s="14" t="s">
        <v>510</v>
      </c>
      <c r="CJ343" s="14">
        <f>INDEX(属性投放!$BB$6:$BB$85,(BY343-2)*20+CD343)</f>
        <v>186440</v>
      </c>
      <c r="CK343" s="14" t="s">
        <v>21</v>
      </c>
      <c r="CL343" s="14">
        <f>INDEX(属性投放!$BC$6:$BC$85,(BY343-2)*20+CD343)</f>
        <v>40</v>
      </c>
      <c r="CM343" s="14" t="s">
        <v>22</v>
      </c>
      <c r="CN343" s="14">
        <f>INDEX(属性投放!$BD$6:$BD$85,(BY343-2)*20+CD343)</f>
        <v>20</v>
      </c>
      <c r="CO343" s="14" t="s">
        <v>510</v>
      </c>
      <c r="CP343" s="14">
        <f>INDEX(属性投放!$BE$6:$BE$85,(BY343-2)*20+CD343)</f>
        <v>400</v>
      </c>
      <c r="CS343" s="13">
        <v>339</v>
      </c>
      <c r="CT343" s="13">
        <f t="shared" si="655"/>
        <v>7</v>
      </c>
      <c r="CU343" s="13">
        <f t="shared" si="656"/>
        <v>27</v>
      </c>
      <c r="CV343" s="14">
        <f t="shared" si="657"/>
        <v>4</v>
      </c>
      <c r="CW343" s="14">
        <f t="shared" si="658"/>
        <v>1102007</v>
      </c>
      <c r="CX343" s="14" t="str">
        <f>INDEX($O$6:$O$50,CT343)&amp;"-"&amp;INDEX(属性投放!$AB$7:$AB$50,CZ343)&amp;"-魂火-"&amp;DB343</f>
        <v>天使缇娜-大叫唤+2-魂火-3</v>
      </c>
      <c r="CY343" s="25" t="s">
        <v>142</v>
      </c>
      <c r="CZ343" s="14">
        <f>INDEX(属性投放!$AM$7:$AM$58,CU343)</f>
        <v>12</v>
      </c>
      <c r="DA343" s="14" t="s">
        <v>537</v>
      </c>
      <c r="DB343" s="14">
        <f>INDEX(属性投放!$AN$7:$AN$58,CU343)</f>
        <v>3</v>
      </c>
      <c r="DC343" s="14">
        <f t="shared" si="646"/>
        <v>27</v>
      </c>
      <c r="DD343" s="14">
        <f>INDEX(属性投放!$AO$7:$AO$58,DC343)</f>
        <v>85</v>
      </c>
      <c r="DE343" s="14" t="s">
        <v>538</v>
      </c>
      <c r="DF343" s="14">
        <f>INDEX(属性投放!$BK$6:$BK$85,(CV343-2)*20+CZ343)</f>
        <v>225</v>
      </c>
      <c r="DG343" s="14">
        <f>SUMIFS(DF$5:DF343,$CT$5:$CT343,"="&amp;$CT343)</f>
        <v>2755</v>
      </c>
      <c r="DH343" s="14" t="s">
        <v>539</v>
      </c>
      <c r="DI343" s="14">
        <f>INDEX(属性投放!$BL$6:$BL$85,(CV343-2)*20+CZ343)</f>
        <v>113</v>
      </c>
      <c r="DJ343" s="14">
        <f>SUMIFS(DI$5:DI343,$CT$5:$CT343,"="&amp;$CT343)</f>
        <v>1384</v>
      </c>
      <c r="DK343" s="14" t="s">
        <v>540</v>
      </c>
      <c r="DL343" s="14">
        <f>INDEX(属性投放!$BM$6:$BM$85,(CV343-2)*20+CZ343)</f>
        <v>2025</v>
      </c>
      <c r="DM343" s="14">
        <f>SUMIFS(DL$5:DL343,$CT$5:$CT343,"="&amp;$CT343)</f>
        <v>22985</v>
      </c>
      <c r="DR343" s="14">
        <f t="shared" si="647"/>
        <v>1102017</v>
      </c>
      <c r="DS343" s="14" t="str">
        <f t="shared" si="648"/>
        <v>飞廉19突</v>
      </c>
      <c r="DT343" s="14">
        <f t="shared" si="659"/>
        <v>6</v>
      </c>
      <c r="DU343" s="14">
        <f t="shared" si="660"/>
        <v>6</v>
      </c>
      <c r="DV343" s="14">
        <f t="shared" si="661"/>
        <v>4</v>
      </c>
      <c r="DW343" s="14">
        <f t="shared" si="649"/>
        <v>3</v>
      </c>
      <c r="DX343" s="14">
        <f t="shared" si="650"/>
        <v>19</v>
      </c>
      <c r="DY343" s="14">
        <f t="shared" si="651"/>
        <v>39</v>
      </c>
      <c r="DZ343" s="14">
        <f>INDEX(属性投放!$AX$6:$AX$85,(卡牌属性!DW343-2)*20+卡牌属性!DX343)</f>
        <v>8</v>
      </c>
      <c r="EA343" s="14">
        <f>INDEX(属性投放!BQ$6:BQ$85,卡牌属性!$DY343)</f>
        <v>1500</v>
      </c>
      <c r="EB343" s="14">
        <f>INDEX(属性投放!BR$6:BR$85,卡牌属性!$DY343)</f>
        <v>750</v>
      </c>
      <c r="EC343" s="14">
        <f>INDEX(属性投放!BS$6:BS$85,卡牌属性!$DY343)</f>
        <v>15000</v>
      </c>
      <c r="ED343" s="14">
        <f t="shared" si="662"/>
        <v>9324</v>
      </c>
      <c r="EE343" s="14">
        <f t="shared" si="663"/>
        <v>10583</v>
      </c>
      <c r="EF343" s="14">
        <f t="shared" si="664"/>
        <v>11220</v>
      </c>
      <c r="EG343" s="14">
        <f t="shared" si="665"/>
        <v>11220</v>
      </c>
      <c r="EH343" s="14">
        <f t="shared" si="666"/>
        <v>11995</v>
      </c>
      <c r="EI343" s="14">
        <f t="shared" si="667"/>
        <v>4650</v>
      </c>
      <c r="EJ343" s="14">
        <f t="shared" si="668"/>
        <v>5263</v>
      </c>
      <c r="EK343" s="14">
        <f t="shared" si="669"/>
        <v>5263</v>
      </c>
      <c r="EL343" s="14">
        <f t="shared" si="670"/>
        <v>5597</v>
      </c>
      <c r="EM343" s="14">
        <f t="shared" si="671"/>
        <v>5974</v>
      </c>
      <c r="EN343" s="14">
        <f t="shared" si="672"/>
        <v>79332</v>
      </c>
      <c r="EO343" s="14">
        <f t="shared" si="673"/>
        <v>83700</v>
      </c>
      <c r="EP343" s="14">
        <f t="shared" si="674"/>
        <v>83700</v>
      </c>
      <c r="EQ343" s="14">
        <f t="shared" si="675"/>
        <v>85964</v>
      </c>
      <c r="ER343" s="14">
        <f t="shared" si="676"/>
        <v>97198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INDEX(属性投放!$BQ$6:$BQ$85,(卡牌属性!$DW343-2)*20+卡牌属性!$DX343)</f>
        <v>1500</v>
      </c>
      <c r="FI343" s="14">
        <f>INDEX(属性投放!$BQ$6:$BQ$85,(卡牌属性!$DW343-2)*20+卡牌属性!$DX343)</f>
        <v>1500</v>
      </c>
      <c r="FJ343" s="14">
        <f>INDEX(属性投放!$BQ$6:$BQ$85,(卡牌属性!$DW343-2)*20+卡牌属性!$DX343)</f>
        <v>1500</v>
      </c>
      <c r="FK343" s="14">
        <f>INDEX(属性投放!$BQ$6:$BQ$85,(卡牌属性!$DW343-2)*20+卡牌属性!$DX343)</f>
        <v>1500</v>
      </c>
      <c r="FL343" s="14">
        <f>INDEX(属性投放!$BQ$6:$BQ$85,(卡牌属性!$DW343-2)*20+卡牌属性!$DX343)</f>
        <v>1500</v>
      </c>
      <c r="FM343" s="14">
        <f>INDEX(属性投放!$BR$6:$BR$85,(卡牌属性!$DW343-2)*20+卡牌属性!$DX343)</f>
        <v>750</v>
      </c>
      <c r="FN343" s="14">
        <f>INDEX(属性投放!$BR$6:$BR$85,(卡牌属性!$DW343-2)*20+卡牌属性!$DX343)</f>
        <v>750</v>
      </c>
      <c r="FO343" s="14">
        <f>INDEX(属性投放!$BR$6:$BR$85,(卡牌属性!$DW343-2)*20+卡牌属性!$DX343)</f>
        <v>750</v>
      </c>
      <c r="FP343" s="14">
        <f>INDEX(属性投放!$BR$6:$BR$85,(卡牌属性!$DW343-2)*20+卡牌属性!$DX343)</f>
        <v>750</v>
      </c>
      <c r="FQ343" s="14">
        <f>INDEX(属性投放!$BR$6:$BR$85,(卡牌属性!$DW343-2)*20+卡牌属性!$DX343)</f>
        <v>750</v>
      </c>
      <c r="FR343" s="14">
        <f>INDEX(属性投放!$BS$6:$BS$85,(卡牌属性!$DW343-2)*20+卡牌属性!$DX343)</f>
        <v>15000</v>
      </c>
      <c r="FS343" s="14">
        <f>INDEX(属性投放!$BS$6:$BS$85,(卡牌属性!$DW343-2)*20+卡牌属性!$DX343)</f>
        <v>15000</v>
      </c>
      <c r="FT343" s="14">
        <f>INDEX(属性投放!$BS$6:$BS$85,(卡牌属性!$DW343-2)*20+卡牌属性!$DX343)</f>
        <v>15000</v>
      </c>
      <c r="FU343" s="14">
        <f>INDEX(属性投放!$BS$6:$BS$85,(卡牌属性!$DW343-2)*20+卡牌属性!$DX343)</f>
        <v>15000</v>
      </c>
      <c r="FV343" s="14">
        <f>INDEX(属性投放!$BS$6:$BS$85,(卡牌属性!$DW343-2)*20+卡牌属性!$DX343)</f>
        <v>15000</v>
      </c>
    </row>
    <row r="344" spans="31:178" ht="16.5" x14ac:dyDescent="0.2">
      <c r="AE344" s="13">
        <v>340</v>
      </c>
      <c r="AF344" s="13">
        <f t="shared" si="652"/>
        <v>17</v>
      </c>
      <c r="AG344" s="13">
        <f t="shared" si="633"/>
        <v>4</v>
      </c>
      <c r="AH344" s="13"/>
      <c r="AI344" s="13"/>
      <c r="AJ344" s="14">
        <f t="shared" si="634"/>
        <v>1101016</v>
      </c>
      <c r="AK344" s="14" t="str">
        <f t="shared" si="635"/>
        <v>秦王攻20突</v>
      </c>
      <c r="AL344" s="25" t="s">
        <v>142</v>
      </c>
      <c r="AM344" s="14">
        <v>1</v>
      </c>
      <c r="AN344" s="14">
        <f t="shared" si="636"/>
        <v>20</v>
      </c>
      <c r="AO344" s="14">
        <f>INDEX(属性投放!$DF$6:$DF$85,(卡牌属性!AG344-2)*20+卡牌属性!AN344)</f>
        <v>25104</v>
      </c>
      <c r="AP344" s="14">
        <f t="shared" si="637"/>
        <v>25104</v>
      </c>
      <c r="AQ344" s="14">
        <f t="shared" si="637"/>
        <v>25104</v>
      </c>
      <c r="AR344" s="14">
        <f t="shared" si="637"/>
        <v>25104</v>
      </c>
      <c r="AS344" s="14">
        <f t="shared" si="637"/>
        <v>25104</v>
      </c>
      <c r="AT344" s="14">
        <f>INDEX(属性投放!$DG$6:$DG$85,(卡牌属性!AG344-2)*20+卡牌属性!AN344)</f>
        <v>12471</v>
      </c>
      <c r="AU344" s="14">
        <f t="shared" si="638"/>
        <v>12471</v>
      </c>
      <c r="AV344" s="14">
        <f t="shared" si="638"/>
        <v>12471</v>
      </c>
      <c r="AW344" s="14">
        <f t="shared" si="638"/>
        <v>12471</v>
      </c>
      <c r="AX344" s="14">
        <f t="shared" si="638"/>
        <v>12471</v>
      </c>
      <c r="AY344" s="14">
        <f>INDEX(属性投放!$DH$6:$DH$85,(卡牌属性!AG344-2)*20+卡牌属性!AN344)</f>
        <v>237353</v>
      </c>
      <c r="AZ344" s="14">
        <f t="shared" si="639"/>
        <v>237353</v>
      </c>
      <c r="BA344" s="14">
        <f t="shared" si="639"/>
        <v>237353</v>
      </c>
      <c r="BB344" s="14">
        <f t="shared" si="639"/>
        <v>237353</v>
      </c>
      <c r="BC344" s="14">
        <f t="shared" si="639"/>
        <v>237353</v>
      </c>
      <c r="BD344" s="14">
        <f>INDEX(属性投放!$DL$6:$DL$85,(卡牌属性!AG344-2)*20+卡牌属性!AN344)</f>
        <v>516</v>
      </c>
      <c r="BE344" s="14">
        <f t="shared" si="640"/>
        <v>516</v>
      </c>
      <c r="BF344" s="14">
        <f t="shared" si="640"/>
        <v>516</v>
      </c>
      <c r="BG344" s="14">
        <f t="shared" si="640"/>
        <v>516</v>
      </c>
      <c r="BH344" s="14">
        <f t="shared" si="640"/>
        <v>516</v>
      </c>
      <c r="BI344" s="14">
        <f>INDEX(属性投放!$DM$6:$DM$85,(卡牌属性!AG344-2)*20+卡牌属性!AN344)</f>
        <v>258</v>
      </c>
      <c r="BJ344" s="14">
        <f t="shared" si="641"/>
        <v>258</v>
      </c>
      <c r="BK344" s="14">
        <f t="shared" si="641"/>
        <v>258</v>
      </c>
      <c r="BL344" s="14">
        <f t="shared" si="641"/>
        <v>258</v>
      </c>
      <c r="BM344" s="14">
        <f t="shared" si="641"/>
        <v>258</v>
      </c>
      <c r="BN344" s="14">
        <f>INDEX(属性投放!$DN$6:$DN$85,(卡牌属性!AG344-2)*20+卡牌属性!AN344)</f>
        <v>5157</v>
      </c>
      <c r="BO344" s="14">
        <f t="shared" si="642"/>
        <v>5157</v>
      </c>
      <c r="BP344" s="14">
        <f t="shared" si="642"/>
        <v>5157</v>
      </c>
      <c r="BQ344" s="14">
        <f t="shared" si="642"/>
        <v>5157</v>
      </c>
      <c r="BR344" s="14">
        <f t="shared" si="642"/>
        <v>5157</v>
      </c>
      <c r="BW344" s="13">
        <v>340</v>
      </c>
      <c r="BX344" s="13">
        <f t="shared" si="643"/>
        <v>17</v>
      </c>
      <c r="BY344" s="14">
        <f t="shared" si="644"/>
        <v>3</v>
      </c>
      <c r="BZ344" s="14">
        <f t="shared" si="653"/>
        <v>1102017</v>
      </c>
      <c r="CA344" s="14" t="str">
        <f t="shared" si="654"/>
        <v>飞廉20突</v>
      </c>
      <c r="CB344" s="25" t="s">
        <v>142</v>
      </c>
      <c r="CC344" s="14">
        <v>2</v>
      </c>
      <c r="CD344" s="14">
        <f t="shared" si="645"/>
        <v>20</v>
      </c>
      <c r="CE344" s="14" t="s">
        <v>21</v>
      </c>
      <c r="CF344" s="14">
        <f>INDEX(属性投放!$AZ$6:$AZ$85,(BY344-2)*20+CD344)</f>
        <v>24246</v>
      </c>
      <c r="CG344" s="14" t="s">
        <v>22</v>
      </c>
      <c r="CH344" s="14">
        <f>INDEX(属性投放!$BA$6:$BA$85,(BY344-2)*20+CD344)</f>
        <v>12084</v>
      </c>
      <c r="CI344" s="14" t="s">
        <v>510</v>
      </c>
      <c r="CJ344" s="14">
        <f>INDEX(属性投放!$BB$6:$BB$85,(BY344-2)*20+CD344)</f>
        <v>231640</v>
      </c>
      <c r="CK344" s="14" t="s">
        <v>21</v>
      </c>
      <c r="CL344" s="14">
        <f>INDEX(属性投放!$BC$6:$BC$85,(BY344-2)*20+CD344)</f>
        <v>40</v>
      </c>
      <c r="CM344" s="14" t="s">
        <v>22</v>
      </c>
      <c r="CN344" s="14">
        <f>INDEX(属性投放!$BD$6:$BD$85,(BY344-2)*20+CD344)</f>
        <v>20</v>
      </c>
      <c r="CO344" s="14" t="s">
        <v>510</v>
      </c>
      <c r="CP344" s="14">
        <f>INDEX(属性投放!$BE$6:$BE$85,(BY344-2)*20+CD344)</f>
        <v>400</v>
      </c>
      <c r="CS344" s="13">
        <v>340</v>
      </c>
      <c r="CT344" s="13">
        <f t="shared" si="655"/>
        <v>7</v>
      </c>
      <c r="CU344" s="13">
        <f t="shared" si="656"/>
        <v>28</v>
      </c>
      <c r="CV344" s="14">
        <f t="shared" si="657"/>
        <v>4</v>
      </c>
      <c r="CW344" s="14">
        <f t="shared" si="658"/>
        <v>1102007</v>
      </c>
      <c r="CX344" s="14" t="str">
        <f>INDEX($O$6:$O$50,CT344)&amp;"-"&amp;INDEX(属性投放!$AB$7:$AB$50,CZ344)&amp;"-魂火-"&amp;DB344</f>
        <v>天使缇娜-焦热-魂火-1</v>
      </c>
      <c r="CY344" s="25" t="s">
        <v>142</v>
      </c>
      <c r="CZ344" s="14">
        <f>INDEX(属性投放!$AM$7:$AM$58,CU344)</f>
        <v>13</v>
      </c>
      <c r="DA344" s="14" t="s">
        <v>537</v>
      </c>
      <c r="DB344" s="14">
        <f>INDEX(属性投放!$AN$7:$AN$58,CU344)</f>
        <v>1</v>
      </c>
      <c r="DC344" s="14">
        <f t="shared" si="646"/>
        <v>28</v>
      </c>
      <c r="DD344" s="14">
        <f>INDEX(属性投放!$AO$7:$AO$58,DC344)</f>
        <v>88</v>
      </c>
      <c r="DE344" s="14" t="s">
        <v>538</v>
      </c>
      <c r="DF344" s="14">
        <f>INDEX(属性投放!$BK$6:$BK$85,(CV344-2)*20+CZ344)</f>
        <v>275</v>
      </c>
      <c r="DG344" s="14">
        <f>SUMIFS(DF$5:DF344,$CT$5:$CT344,"="&amp;$CT344)</f>
        <v>3030</v>
      </c>
      <c r="DH344" s="14" t="s">
        <v>539</v>
      </c>
      <c r="DI344" s="14">
        <f>INDEX(属性投放!$BL$6:$BL$85,(CV344-2)*20+CZ344)</f>
        <v>138</v>
      </c>
      <c r="DJ344" s="14">
        <f>SUMIFS(DI$5:DI344,$CT$5:$CT344,"="&amp;$CT344)</f>
        <v>1522</v>
      </c>
      <c r="DK344" s="14" t="s">
        <v>540</v>
      </c>
      <c r="DL344" s="14">
        <f>INDEX(属性投放!$BM$6:$BM$85,(CV344-2)*20+CZ344)</f>
        <v>2750</v>
      </c>
      <c r="DM344" s="14">
        <f>SUMIFS(DL$5:DL344,$CT$5:$CT344,"="&amp;$CT344)</f>
        <v>25735</v>
      </c>
      <c r="DR344" s="14">
        <f t="shared" si="647"/>
        <v>1102017</v>
      </c>
      <c r="DS344" s="14" t="str">
        <f t="shared" si="648"/>
        <v>飞廉20突</v>
      </c>
      <c r="DT344" s="14">
        <f t="shared" si="659"/>
        <v>6</v>
      </c>
      <c r="DU344" s="14">
        <f t="shared" si="660"/>
        <v>6</v>
      </c>
      <c r="DV344" s="14">
        <f t="shared" si="661"/>
        <v>4</v>
      </c>
      <c r="DW344" s="14">
        <f t="shared" si="649"/>
        <v>3</v>
      </c>
      <c r="DX344" s="14">
        <f t="shared" si="650"/>
        <v>20</v>
      </c>
      <c r="DY344" s="14">
        <f t="shared" si="651"/>
        <v>40</v>
      </c>
      <c r="DZ344" s="14">
        <f>INDEX(属性投放!$AX$6:$AX$85,(卡牌属性!DW344-2)*20+卡牌属性!DX344)</f>
        <v>10</v>
      </c>
      <c r="EA344" s="14">
        <f>INDEX(属性投放!BQ$6:BQ$85,卡牌属性!$DY344)</f>
        <v>1500</v>
      </c>
      <c r="EB344" s="14">
        <f>INDEX(属性投放!BR$6:BR$85,卡牌属性!$DY344)</f>
        <v>750</v>
      </c>
      <c r="EC344" s="14">
        <f>INDEX(属性投放!BS$6:BS$85,卡牌属性!$DY344)</f>
        <v>15000</v>
      </c>
      <c r="ED344" s="14">
        <f t="shared" si="662"/>
        <v>11184</v>
      </c>
      <c r="EE344" s="14">
        <f t="shared" si="663"/>
        <v>12683</v>
      </c>
      <c r="EF344" s="14">
        <f t="shared" si="664"/>
        <v>13360</v>
      </c>
      <c r="EG344" s="14">
        <f t="shared" si="665"/>
        <v>13360</v>
      </c>
      <c r="EH344" s="14">
        <f t="shared" si="666"/>
        <v>14295</v>
      </c>
      <c r="EI344" s="14">
        <f t="shared" si="667"/>
        <v>5584</v>
      </c>
      <c r="EJ344" s="14">
        <f t="shared" si="668"/>
        <v>6317</v>
      </c>
      <c r="EK344" s="14">
        <f t="shared" si="669"/>
        <v>6317</v>
      </c>
      <c r="EL344" s="14">
        <f t="shared" si="670"/>
        <v>6667</v>
      </c>
      <c r="EM344" s="14">
        <f t="shared" si="671"/>
        <v>7124</v>
      </c>
      <c r="EN344" s="14">
        <f t="shared" si="672"/>
        <v>96732</v>
      </c>
      <c r="EO344" s="14">
        <f t="shared" si="673"/>
        <v>101900</v>
      </c>
      <c r="EP344" s="14">
        <f t="shared" si="674"/>
        <v>101900</v>
      </c>
      <c r="EQ344" s="14">
        <f t="shared" si="675"/>
        <v>104564</v>
      </c>
      <c r="ER344" s="14">
        <f t="shared" si="676"/>
        <v>118198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INDEX(属性投放!$BQ$6:$BQ$85,(卡牌属性!$DW344-2)*20+卡牌属性!$DX344)</f>
        <v>1500</v>
      </c>
      <c r="FI344" s="14">
        <f>INDEX(属性投放!$BQ$6:$BQ$85,(卡牌属性!$DW344-2)*20+卡牌属性!$DX344)</f>
        <v>1500</v>
      </c>
      <c r="FJ344" s="14">
        <f>INDEX(属性投放!$BQ$6:$BQ$85,(卡牌属性!$DW344-2)*20+卡牌属性!$DX344)</f>
        <v>1500</v>
      </c>
      <c r="FK344" s="14">
        <f>INDEX(属性投放!$BQ$6:$BQ$85,(卡牌属性!$DW344-2)*20+卡牌属性!$DX344)</f>
        <v>1500</v>
      </c>
      <c r="FL344" s="14">
        <f>INDEX(属性投放!$BQ$6:$BQ$85,(卡牌属性!$DW344-2)*20+卡牌属性!$DX344)</f>
        <v>1500</v>
      </c>
      <c r="FM344" s="14">
        <f>INDEX(属性投放!$BR$6:$BR$85,(卡牌属性!$DW344-2)*20+卡牌属性!$DX344)</f>
        <v>750</v>
      </c>
      <c r="FN344" s="14">
        <f>INDEX(属性投放!$BR$6:$BR$85,(卡牌属性!$DW344-2)*20+卡牌属性!$DX344)</f>
        <v>750</v>
      </c>
      <c r="FO344" s="14">
        <f>INDEX(属性投放!$BR$6:$BR$85,(卡牌属性!$DW344-2)*20+卡牌属性!$DX344)</f>
        <v>750</v>
      </c>
      <c r="FP344" s="14">
        <f>INDEX(属性投放!$BR$6:$BR$85,(卡牌属性!$DW344-2)*20+卡牌属性!$DX344)</f>
        <v>750</v>
      </c>
      <c r="FQ344" s="14">
        <f>INDEX(属性投放!$BR$6:$BR$85,(卡牌属性!$DW344-2)*20+卡牌属性!$DX344)</f>
        <v>750</v>
      </c>
      <c r="FR344" s="14">
        <f>INDEX(属性投放!$BS$6:$BS$85,(卡牌属性!$DW344-2)*20+卡牌属性!$DX344)</f>
        <v>15000</v>
      </c>
      <c r="FS344" s="14">
        <f>INDEX(属性投放!$BS$6:$BS$85,(卡牌属性!$DW344-2)*20+卡牌属性!$DX344)</f>
        <v>15000</v>
      </c>
      <c r="FT344" s="14">
        <f>INDEX(属性投放!$BS$6:$BS$85,(卡牌属性!$DW344-2)*20+卡牌属性!$DX344)</f>
        <v>15000</v>
      </c>
      <c r="FU344" s="14">
        <f>INDEX(属性投放!$BS$6:$BS$85,(卡牌属性!$DW344-2)*20+卡牌属性!$DX344)</f>
        <v>15000</v>
      </c>
      <c r="FV344" s="14">
        <f>INDEX(属性投放!$BS$6:$BS$85,(卡牌属性!$DW344-2)*20+卡牌属性!$DX344)</f>
        <v>15000</v>
      </c>
    </row>
    <row r="345" spans="31:178" ht="16.5" x14ac:dyDescent="0.2">
      <c r="AE345" s="13">
        <v>341</v>
      </c>
      <c r="AF345" s="13">
        <f t="shared" si="652"/>
        <v>18</v>
      </c>
      <c r="AG345" s="13">
        <f t="shared" si="633"/>
        <v>3</v>
      </c>
      <c r="AH345" s="13"/>
      <c r="AI345" s="13"/>
      <c r="AJ345" s="14">
        <f t="shared" si="634"/>
        <v>1101020</v>
      </c>
      <c r="AK345" s="14" t="str">
        <f t="shared" si="635"/>
        <v>姬烟华1突</v>
      </c>
      <c r="AL345" s="25" t="s">
        <v>142</v>
      </c>
      <c r="AM345" s="14">
        <v>1</v>
      </c>
      <c r="AN345" s="14">
        <f t="shared" si="636"/>
        <v>1</v>
      </c>
      <c r="AO345" s="14">
        <f>INDEX(属性投放!$DF$6:$DF$85,(卡牌属性!AG345-2)*20+卡牌属性!AN345)</f>
        <v>150</v>
      </c>
      <c r="AP345" s="14">
        <f t="shared" ref="AP345:AS364" si="677">$AO345</f>
        <v>150</v>
      </c>
      <c r="AQ345" s="14">
        <f t="shared" si="677"/>
        <v>150</v>
      </c>
      <c r="AR345" s="14">
        <f t="shared" si="677"/>
        <v>150</v>
      </c>
      <c r="AS345" s="14">
        <f t="shared" si="677"/>
        <v>150</v>
      </c>
      <c r="AT345" s="14">
        <f>INDEX(属性投放!$DG$6:$DG$85,(卡牌属性!AG345-2)*20+卡牌属性!AN345)</f>
        <v>0</v>
      </c>
      <c r="AU345" s="14">
        <f t="shared" ref="AU345:AX364" si="678">$AT345</f>
        <v>0</v>
      </c>
      <c r="AV345" s="14">
        <f t="shared" si="678"/>
        <v>0</v>
      </c>
      <c r="AW345" s="14">
        <f t="shared" si="678"/>
        <v>0</v>
      </c>
      <c r="AX345" s="14">
        <f t="shared" si="678"/>
        <v>0</v>
      </c>
      <c r="AY345" s="14">
        <f>INDEX(属性投放!$DH$6:$DH$85,(卡牌属性!AG345-2)*20+卡牌属性!AN345)</f>
        <v>375</v>
      </c>
      <c r="AZ345" s="14">
        <f t="shared" ref="AZ345:BC364" si="679">$AY345</f>
        <v>375</v>
      </c>
      <c r="BA345" s="14">
        <f t="shared" si="679"/>
        <v>375</v>
      </c>
      <c r="BB345" s="14">
        <f t="shared" si="679"/>
        <v>375</v>
      </c>
      <c r="BC345" s="14">
        <f t="shared" si="679"/>
        <v>375</v>
      </c>
      <c r="BD345" s="14">
        <f>INDEX(属性投放!$DL$6:$DL$85,(卡牌属性!AG345-2)*20+卡牌属性!AN345)</f>
        <v>8</v>
      </c>
      <c r="BE345" s="14">
        <f t="shared" ref="BE345:BH364" si="680">$BD345</f>
        <v>8</v>
      </c>
      <c r="BF345" s="14">
        <f t="shared" si="680"/>
        <v>8</v>
      </c>
      <c r="BG345" s="14">
        <f t="shared" si="680"/>
        <v>8</v>
      </c>
      <c r="BH345" s="14">
        <f t="shared" si="680"/>
        <v>8</v>
      </c>
      <c r="BI345" s="14">
        <f>INDEX(属性投放!$DM$6:$DM$85,(卡牌属性!AG345-2)*20+卡牌属性!AN345)</f>
        <v>4</v>
      </c>
      <c r="BJ345" s="14">
        <f t="shared" ref="BJ345:BM364" si="681">$BI345</f>
        <v>4</v>
      </c>
      <c r="BK345" s="14">
        <f t="shared" si="681"/>
        <v>4</v>
      </c>
      <c r="BL345" s="14">
        <f t="shared" si="681"/>
        <v>4</v>
      </c>
      <c r="BM345" s="14">
        <f t="shared" si="681"/>
        <v>4</v>
      </c>
      <c r="BN345" s="14">
        <f>INDEX(属性投放!$DN$6:$DN$85,(卡牌属性!AG345-2)*20+卡牌属性!AN345)</f>
        <v>49</v>
      </c>
      <c r="BO345" s="14">
        <f t="shared" ref="BO345:BR364" si="682">$BN345</f>
        <v>49</v>
      </c>
      <c r="BP345" s="14">
        <f t="shared" si="682"/>
        <v>49</v>
      </c>
      <c r="BQ345" s="14">
        <f t="shared" si="682"/>
        <v>49</v>
      </c>
      <c r="BR345" s="14">
        <f t="shared" si="682"/>
        <v>49</v>
      </c>
      <c r="BW345" s="13">
        <v>341</v>
      </c>
      <c r="BX345" s="13">
        <f t="shared" si="643"/>
        <v>18</v>
      </c>
      <c r="BY345" s="14">
        <f t="shared" si="644"/>
        <v>2</v>
      </c>
      <c r="BZ345" s="14">
        <f t="shared" si="653"/>
        <v>1102018</v>
      </c>
      <c r="CA345" s="14" t="str">
        <f t="shared" si="654"/>
        <v>噬日1突</v>
      </c>
      <c r="CB345" s="25" t="s">
        <v>142</v>
      </c>
      <c r="CC345" s="14">
        <v>2</v>
      </c>
      <c r="CD345" s="14">
        <f t="shared" si="645"/>
        <v>1</v>
      </c>
      <c r="CE345" s="14" t="s">
        <v>21</v>
      </c>
      <c r="CF345" s="14">
        <f>INDEX(属性投放!$AZ$6:$AZ$85,(BY345-2)*20+CD345)</f>
        <v>100</v>
      </c>
      <c r="CG345" s="14" t="s">
        <v>22</v>
      </c>
      <c r="CH345" s="14">
        <f>INDEX(属性投放!$BA$6:$BA$85,(BY345-2)*20+CD345)</f>
        <v>0</v>
      </c>
      <c r="CI345" s="14" t="s">
        <v>510</v>
      </c>
      <c r="CJ345" s="14">
        <f>INDEX(属性投放!$BB$6:$BB$85,(BY345-2)*20+CD345)</f>
        <v>300</v>
      </c>
      <c r="CK345" s="14" t="s">
        <v>21</v>
      </c>
      <c r="CL345" s="14">
        <f>INDEX(属性投放!$BC$6:$BC$85,(BY345-2)*20+CD345)</f>
        <v>5</v>
      </c>
      <c r="CM345" s="14" t="s">
        <v>22</v>
      </c>
      <c r="CN345" s="14">
        <f>INDEX(属性投放!$BD$6:$BD$85,(BY345-2)*20+CD345)</f>
        <v>3</v>
      </c>
      <c r="CO345" s="14" t="s">
        <v>510</v>
      </c>
      <c r="CP345" s="14">
        <f>INDEX(属性投放!$BE$6:$BE$85,(BY345-2)*20+CD345)</f>
        <v>30</v>
      </c>
      <c r="CS345" s="13">
        <v>341</v>
      </c>
      <c r="CT345" s="13">
        <f t="shared" si="655"/>
        <v>7</v>
      </c>
      <c r="CU345" s="13">
        <f t="shared" si="656"/>
        <v>29</v>
      </c>
      <c r="CV345" s="14">
        <f t="shared" si="657"/>
        <v>4</v>
      </c>
      <c r="CW345" s="14">
        <f t="shared" si="658"/>
        <v>1102007</v>
      </c>
      <c r="CX345" s="14" t="str">
        <f>INDEX($O$6:$O$50,CT345)&amp;"-"&amp;INDEX(属性投放!$AB$7:$AB$50,CZ345)&amp;"-魂火-"&amp;DB345</f>
        <v>天使缇娜-焦热-魂火-2</v>
      </c>
      <c r="CY345" s="25" t="s">
        <v>142</v>
      </c>
      <c r="CZ345" s="14">
        <f>INDEX(属性投放!$AM$7:$AM$58,CU345)</f>
        <v>13</v>
      </c>
      <c r="DA345" s="14" t="s">
        <v>537</v>
      </c>
      <c r="DB345" s="14">
        <f>INDEX(属性投放!$AN$7:$AN$58,CU345)</f>
        <v>2</v>
      </c>
      <c r="DC345" s="14">
        <f t="shared" si="646"/>
        <v>29</v>
      </c>
      <c r="DD345" s="14">
        <f>INDEX(属性投放!$AO$7:$AO$58,DC345)</f>
        <v>90</v>
      </c>
      <c r="DE345" s="14" t="s">
        <v>538</v>
      </c>
      <c r="DF345" s="14">
        <f>INDEX(属性投放!$BK$6:$BK$85,(CV345-2)*20+CZ345)</f>
        <v>275</v>
      </c>
      <c r="DG345" s="14">
        <f>SUMIFS(DF$5:DF345,$CT$5:$CT345,"="&amp;$CT345)</f>
        <v>3305</v>
      </c>
      <c r="DH345" s="14" t="s">
        <v>539</v>
      </c>
      <c r="DI345" s="14">
        <f>INDEX(属性投放!$BL$6:$BL$85,(CV345-2)*20+CZ345)</f>
        <v>138</v>
      </c>
      <c r="DJ345" s="14">
        <f>SUMIFS(DI$5:DI345,$CT$5:$CT345,"="&amp;$CT345)</f>
        <v>1660</v>
      </c>
      <c r="DK345" s="14" t="s">
        <v>540</v>
      </c>
      <c r="DL345" s="14">
        <f>INDEX(属性投放!$BM$6:$BM$85,(CV345-2)*20+CZ345)</f>
        <v>2750</v>
      </c>
      <c r="DM345" s="14">
        <f>SUMIFS(DL$5:DL345,$CT$5:$CT345,"="&amp;$CT345)</f>
        <v>28485</v>
      </c>
      <c r="DR345" s="14">
        <f t="shared" si="647"/>
        <v>1102018</v>
      </c>
      <c r="DS345" s="14" t="str">
        <f t="shared" si="648"/>
        <v>噬日1突</v>
      </c>
      <c r="DT345" s="14">
        <f t="shared" si="659"/>
        <v>3</v>
      </c>
      <c r="DU345" s="14">
        <f t="shared" si="660"/>
        <v>3</v>
      </c>
      <c r="DV345" s="14">
        <f t="shared" si="661"/>
        <v>3</v>
      </c>
      <c r="DW345" s="14">
        <f t="shared" si="649"/>
        <v>2</v>
      </c>
      <c r="DX345" s="14">
        <f t="shared" si="650"/>
        <v>1</v>
      </c>
      <c r="DY345" s="14">
        <f t="shared" si="651"/>
        <v>1</v>
      </c>
      <c r="DZ345" s="14">
        <f>INDEX(属性投放!$AX$6:$AX$85,(卡牌属性!DW345-2)*20+卡牌属性!DX345)</f>
        <v>4</v>
      </c>
      <c r="EA345" s="14">
        <f>INDEX(属性投放!BQ$6:BQ$85,卡牌属性!$DY345)</f>
        <v>25</v>
      </c>
      <c r="EB345" s="14">
        <f>INDEX(属性投放!BR$6:BR$85,卡牌属性!$DY345)</f>
        <v>13</v>
      </c>
      <c r="EC345" s="14">
        <f>INDEX(属性投放!BS$6:BS$85,卡牌属性!$DY345)</f>
        <v>150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175</v>
      </c>
      <c r="EI345" s="14">
        <f>INDEX(属性偏向!$J$4:$J$15,卡牌属性!$DU345+EI$3)</f>
        <v>10</v>
      </c>
      <c r="EJ345" s="14">
        <f>INDEX(属性偏向!$J$4:$J$15,卡牌属性!$DU345+EJ$3)</f>
        <v>20</v>
      </c>
      <c r="EK345" s="14">
        <f>INDEX(属性偏向!$J$4:$J$15,卡牌属性!$DU345+EK$3)</f>
        <v>20</v>
      </c>
      <c r="EL345" s="14">
        <f>INDEX(属性偏向!$J$4:$J$15,卡牌属性!$DU345+EL$3)</f>
        <v>30</v>
      </c>
      <c r="EM345" s="14">
        <f>INDEX(属性偏向!$J$4:$J$15,卡牌属性!$DU345+EM$3)</f>
        <v>40</v>
      </c>
      <c r="EN345" s="14">
        <f>INDEX(属性偏向!$K$4:$K$15,卡牌属性!$DV345+EN$3)</f>
        <v>300</v>
      </c>
      <c r="EO345" s="14">
        <f>INDEX(属性偏向!$K$4:$K$15,卡牌属性!$DV345+EO$3)</f>
        <v>400</v>
      </c>
      <c r="EP345" s="14">
        <f>INDEX(属性偏向!$K$4:$K$15,卡牌属性!$DV345+EP$3)</f>
        <v>400</v>
      </c>
      <c r="EQ345" s="14">
        <f>INDEX(属性偏向!$K$4:$K$15,卡牌属性!$DV345+EQ$3)</f>
        <v>500</v>
      </c>
      <c r="ER345" s="14">
        <f>INDEX(属性偏向!$K$4:$K$15,卡牌属性!$DV345+ER$3)</f>
        <v>650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30</v>
      </c>
      <c r="FD345" s="14">
        <f>INDEX(属性偏向!$U$4:$U$243,(卡牌属性!$DV345-1+FD$3)*20+卡牌属性!$DX345)</f>
        <v>36</v>
      </c>
      <c r="FE345" s="14">
        <f>INDEX(属性偏向!$U$4:$U$243,(卡牌属性!$DV345-1+FE$3)*20+卡牌属性!$DX345)</f>
        <v>36</v>
      </c>
      <c r="FF345" s="14">
        <f>INDEX(属性偏向!$U$4:$U$243,(卡牌属性!$DV345-1+FF$3)*20+卡牌属性!$DX345)</f>
        <v>48</v>
      </c>
      <c r="FG345" s="14">
        <f>INDEX(属性偏向!$U$4:$U$243,(卡牌属性!$DV345-1+FG$3)*20+卡牌属性!$DX345)</f>
        <v>60</v>
      </c>
      <c r="FH345" s="14">
        <f>INDEX(属性投放!$BQ$6:$BQ$85,(卡牌属性!$DW345-2)*20+卡牌属性!$DX345)</f>
        <v>25</v>
      </c>
      <c r="FI345" s="14">
        <f>INDEX(属性投放!$BQ$6:$BQ$85,(卡牌属性!$DW345-2)*20+卡牌属性!$DX345)</f>
        <v>25</v>
      </c>
      <c r="FJ345" s="14">
        <f>INDEX(属性投放!$BQ$6:$BQ$85,(卡牌属性!$DW345-2)*20+卡牌属性!$DX345)</f>
        <v>25</v>
      </c>
      <c r="FK345" s="14">
        <f>INDEX(属性投放!$BQ$6:$BQ$85,(卡牌属性!$DW345-2)*20+卡牌属性!$DX345)</f>
        <v>25</v>
      </c>
      <c r="FL345" s="14">
        <f>INDEX(属性投放!$BQ$6:$BQ$85,(卡牌属性!$DW345-2)*20+卡牌属性!$DX345)</f>
        <v>25</v>
      </c>
      <c r="FM345" s="14">
        <f>INDEX(属性投放!$BR$6:$BR$85,(卡牌属性!$DW345-2)*20+卡牌属性!$DX345)</f>
        <v>13</v>
      </c>
      <c r="FN345" s="14">
        <f>INDEX(属性投放!$BR$6:$BR$85,(卡牌属性!$DW345-2)*20+卡牌属性!$DX345)</f>
        <v>13</v>
      </c>
      <c r="FO345" s="14">
        <f>INDEX(属性投放!$BR$6:$BR$85,(卡牌属性!$DW345-2)*20+卡牌属性!$DX345)</f>
        <v>13</v>
      </c>
      <c r="FP345" s="14">
        <f>INDEX(属性投放!$BR$6:$BR$85,(卡牌属性!$DW345-2)*20+卡牌属性!$DX345)</f>
        <v>13</v>
      </c>
      <c r="FQ345" s="14">
        <f>INDEX(属性投放!$BR$6:$BR$85,(卡牌属性!$DW345-2)*20+卡牌属性!$DX345)</f>
        <v>13</v>
      </c>
      <c r="FR345" s="14">
        <f>INDEX(属性投放!$BS$6:$BS$85,(卡牌属性!$DW345-2)*20+卡牌属性!$DX345)</f>
        <v>150</v>
      </c>
      <c r="FS345" s="14">
        <f>INDEX(属性投放!$BS$6:$BS$85,(卡牌属性!$DW345-2)*20+卡牌属性!$DX345)</f>
        <v>150</v>
      </c>
      <c r="FT345" s="14">
        <f>INDEX(属性投放!$BS$6:$BS$85,(卡牌属性!$DW345-2)*20+卡牌属性!$DX345)</f>
        <v>150</v>
      </c>
      <c r="FU345" s="14">
        <f>INDEX(属性投放!$BS$6:$BS$85,(卡牌属性!$DW345-2)*20+卡牌属性!$DX345)</f>
        <v>150</v>
      </c>
      <c r="FV345" s="14">
        <f>INDEX(属性投放!$BS$6:$BS$85,(卡牌属性!$DW345-2)*20+卡牌属性!$DX345)</f>
        <v>150</v>
      </c>
    </row>
    <row r="346" spans="31:178" ht="16.5" x14ac:dyDescent="0.2">
      <c r="AE346" s="13">
        <v>342</v>
      </c>
      <c r="AF346" s="13">
        <f t="shared" si="652"/>
        <v>18</v>
      </c>
      <c r="AG346" s="13">
        <f t="shared" si="633"/>
        <v>3</v>
      </c>
      <c r="AH346" s="13"/>
      <c r="AI346" s="13"/>
      <c r="AJ346" s="14">
        <f t="shared" si="634"/>
        <v>1101020</v>
      </c>
      <c r="AK346" s="14" t="str">
        <f t="shared" si="635"/>
        <v>姬烟华2突</v>
      </c>
      <c r="AL346" s="25" t="s">
        <v>142</v>
      </c>
      <c r="AM346" s="14">
        <v>1</v>
      </c>
      <c r="AN346" s="14">
        <f t="shared" si="636"/>
        <v>2</v>
      </c>
      <c r="AO346" s="14">
        <f>INDEX(属性投放!$DF$6:$DF$85,(卡牌属性!AG346-2)*20+卡牌属性!AN346)</f>
        <v>230</v>
      </c>
      <c r="AP346" s="14">
        <f t="shared" si="677"/>
        <v>230</v>
      </c>
      <c r="AQ346" s="14">
        <f t="shared" si="677"/>
        <v>230</v>
      </c>
      <c r="AR346" s="14">
        <f t="shared" si="677"/>
        <v>230</v>
      </c>
      <c r="AS346" s="14">
        <f t="shared" si="677"/>
        <v>230</v>
      </c>
      <c r="AT346" s="14">
        <f>INDEX(属性投放!$DG$6:$DG$85,(卡牌属性!AG346-2)*20+卡牌属性!AN346)</f>
        <v>40</v>
      </c>
      <c r="AU346" s="14">
        <f t="shared" si="678"/>
        <v>40</v>
      </c>
      <c r="AV346" s="14">
        <f t="shared" si="678"/>
        <v>40</v>
      </c>
      <c r="AW346" s="14">
        <f t="shared" si="678"/>
        <v>40</v>
      </c>
      <c r="AX346" s="14">
        <f t="shared" si="678"/>
        <v>40</v>
      </c>
      <c r="AY346" s="14">
        <f>INDEX(属性投放!$DH$6:$DH$85,(卡牌属性!AG346-2)*20+卡牌属性!AN346)</f>
        <v>865</v>
      </c>
      <c r="AZ346" s="14">
        <f t="shared" si="679"/>
        <v>865</v>
      </c>
      <c r="BA346" s="14">
        <f t="shared" si="679"/>
        <v>865</v>
      </c>
      <c r="BB346" s="14">
        <f t="shared" si="679"/>
        <v>865</v>
      </c>
      <c r="BC346" s="14">
        <f t="shared" si="679"/>
        <v>865</v>
      </c>
      <c r="BD346" s="14">
        <f>INDEX(属性投放!$DL$6:$DL$85,(卡牌属性!AG346-2)*20+卡牌属性!AN346)</f>
        <v>17</v>
      </c>
      <c r="BE346" s="14">
        <f t="shared" si="680"/>
        <v>17</v>
      </c>
      <c r="BF346" s="14">
        <f t="shared" si="680"/>
        <v>17</v>
      </c>
      <c r="BG346" s="14">
        <f t="shared" si="680"/>
        <v>17</v>
      </c>
      <c r="BH346" s="14">
        <f t="shared" si="680"/>
        <v>17</v>
      </c>
      <c r="BI346" s="14">
        <f>INDEX(属性投放!$DM$6:$DM$85,(卡牌属性!AG346-2)*20+卡牌属性!AN346)</f>
        <v>8</v>
      </c>
      <c r="BJ346" s="14">
        <f t="shared" si="681"/>
        <v>8</v>
      </c>
      <c r="BK346" s="14">
        <f t="shared" si="681"/>
        <v>8</v>
      </c>
      <c r="BL346" s="14">
        <f t="shared" si="681"/>
        <v>8</v>
      </c>
      <c r="BM346" s="14">
        <f t="shared" si="681"/>
        <v>8</v>
      </c>
      <c r="BN346" s="14">
        <f>INDEX(属性投放!$DN$6:$DN$85,(卡牌属性!AG346-2)*20+卡牌属性!AN346)</f>
        <v>101</v>
      </c>
      <c r="BO346" s="14">
        <f t="shared" si="682"/>
        <v>101</v>
      </c>
      <c r="BP346" s="14">
        <f t="shared" si="682"/>
        <v>101</v>
      </c>
      <c r="BQ346" s="14">
        <f t="shared" si="682"/>
        <v>101</v>
      </c>
      <c r="BR346" s="14">
        <f t="shared" si="682"/>
        <v>101</v>
      </c>
      <c r="BW346" s="13">
        <v>342</v>
      </c>
      <c r="BX346" s="13">
        <f t="shared" si="643"/>
        <v>18</v>
      </c>
      <c r="BY346" s="14">
        <f t="shared" si="644"/>
        <v>2</v>
      </c>
      <c r="BZ346" s="14">
        <f t="shared" si="653"/>
        <v>1102018</v>
      </c>
      <c r="CA346" s="14" t="str">
        <f t="shared" si="654"/>
        <v>噬日2突</v>
      </c>
      <c r="CB346" s="25" t="s">
        <v>142</v>
      </c>
      <c r="CC346" s="14">
        <v>2</v>
      </c>
      <c r="CD346" s="14">
        <f t="shared" si="645"/>
        <v>2</v>
      </c>
      <c r="CE346" s="14" t="s">
        <v>21</v>
      </c>
      <c r="CF346" s="14">
        <f>INDEX(属性投放!$AZ$6:$AZ$85,(BY346-2)*20+CD346)</f>
        <v>160</v>
      </c>
      <c r="CG346" s="14" t="s">
        <v>22</v>
      </c>
      <c r="CH346" s="14">
        <f>INDEX(属性投放!$BA$6:$BA$85,(BY346-2)*20+CD346)</f>
        <v>33</v>
      </c>
      <c r="CI346" s="14" t="s">
        <v>510</v>
      </c>
      <c r="CJ346" s="14">
        <f>INDEX(属性投放!$BB$6:$BB$85,(BY346-2)*20+CD346)</f>
        <v>660</v>
      </c>
      <c r="CK346" s="14" t="s">
        <v>21</v>
      </c>
      <c r="CL346" s="14">
        <f>INDEX(属性投放!$BC$6:$BC$85,(BY346-2)*20+CD346)</f>
        <v>6</v>
      </c>
      <c r="CM346" s="14" t="s">
        <v>22</v>
      </c>
      <c r="CN346" s="14">
        <f>INDEX(属性投放!$BD$6:$BD$85,(BY346-2)*20+CD346)</f>
        <v>3</v>
      </c>
      <c r="CO346" s="14" t="s">
        <v>510</v>
      </c>
      <c r="CP346" s="14">
        <f>INDEX(属性投放!$BE$6:$BE$85,(BY346-2)*20+CD346)</f>
        <v>36</v>
      </c>
      <c r="CS346" s="13">
        <v>342</v>
      </c>
      <c r="CT346" s="13">
        <f t="shared" si="655"/>
        <v>7</v>
      </c>
      <c r="CU346" s="13">
        <f t="shared" si="656"/>
        <v>30</v>
      </c>
      <c r="CV346" s="14">
        <f t="shared" si="657"/>
        <v>4</v>
      </c>
      <c r="CW346" s="14">
        <f t="shared" si="658"/>
        <v>1102007</v>
      </c>
      <c r="CX346" s="14" t="str">
        <f>INDEX($O$6:$O$50,CT346)&amp;"-"&amp;INDEX(属性投放!$AB$7:$AB$50,CZ346)&amp;"-魂火-"&amp;DB346</f>
        <v>天使缇娜-焦热-魂火-3</v>
      </c>
      <c r="CY346" s="25" t="s">
        <v>142</v>
      </c>
      <c r="CZ346" s="14">
        <f>INDEX(属性投放!$AM$7:$AM$58,CU346)</f>
        <v>13</v>
      </c>
      <c r="DA346" s="14" t="s">
        <v>537</v>
      </c>
      <c r="DB346" s="14">
        <f>INDEX(属性投放!$AN$7:$AN$58,CU346)</f>
        <v>3</v>
      </c>
      <c r="DC346" s="14">
        <f t="shared" si="646"/>
        <v>30</v>
      </c>
      <c r="DD346" s="14">
        <f>INDEX(属性投放!$AO$7:$AO$58,DC346)</f>
        <v>93</v>
      </c>
      <c r="DE346" s="14" t="s">
        <v>538</v>
      </c>
      <c r="DF346" s="14">
        <f>INDEX(属性投放!$BK$6:$BK$85,(CV346-2)*20+CZ346)</f>
        <v>275</v>
      </c>
      <c r="DG346" s="14">
        <f>SUMIFS(DF$5:DF346,$CT$5:$CT346,"="&amp;$CT346)</f>
        <v>3580</v>
      </c>
      <c r="DH346" s="14" t="s">
        <v>539</v>
      </c>
      <c r="DI346" s="14">
        <f>INDEX(属性投放!$BL$6:$BL$85,(CV346-2)*20+CZ346)</f>
        <v>138</v>
      </c>
      <c r="DJ346" s="14">
        <f>SUMIFS(DI$5:DI346,$CT$5:$CT346,"="&amp;$CT346)</f>
        <v>1798</v>
      </c>
      <c r="DK346" s="14" t="s">
        <v>540</v>
      </c>
      <c r="DL346" s="14">
        <f>INDEX(属性投放!$BM$6:$BM$85,(CV346-2)*20+CZ346)</f>
        <v>2750</v>
      </c>
      <c r="DM346" s="14">
        <f>SUMIFS(DL$5:DL346,$CT$5:$CT346,"="&amp;$CT346)</f>
        <v>31235</v>
      </c>
      <c r="DR346" s="14">
        <f t="shared" si="647"/>
        <v>1102018</v>
      </c>
      <c r="DS346" s="14" t="str">
        <f t="shared" si="648"/>
        <v>噬日2突</v>
      </c>
      <c r="DT346" s="14">
        <f t="shared" si="659"/>
        <v>3</v>
      </c>
      <c r="DU346" s="14">
        <f t="shared" si="660"/>
        <v>3</v>
      </c>
      <c r="DV346" s="14">
        <f t="shared" si="661"/>
        <v>3</v>
      </c>
      <c r="DW346" s="14">
        <f t="shared" si="649"/>
        <v>2</v>
      </c>
      <c r="DX346" s="14">
        <f t="shared" si="650"/>
        <v>2</v>
      </c>
      <c r="DY346" s="14">
        <f t="shared" si="651"/>
        <v>2</v>
      </c>
      <c r="DZ346" s="14">
        <f>INDEX(属性投放!$AX$6:$AX$85,(卡牌属性!DW346-2)*20+卡牌属性!DX346)</f>
        <v>10</v>
      </c>
      <c r="EA346" s="14">
        <f>INDEX(属性投放!BQ$6:BQ$85,卡牌属性!$DY346)</f>
        <v>30</v>
      </c>
      <c r="EB346" s="14">
        <f>INDEX(属性投放!BR$6:BR$85,卡牌属性!$DY346)</f>
        <v>15</v>
      </c>
      <c r="EC346" s="14">
        <f>INDEX(属性投放!BS$6:BS$85,卡牌属性!$DY346)</f>
        <v>180</v>
      </c>
      <c r="ED346" s="14">
        <f t="shared" ref="ED346:ED364" si="683">ED345+$EA345+ES345*$DZ345</f>
        <v>145</v>
      </c>
      <c r="EE346" s="14">
        <f t="shared" ref="EE346:EE364" si="684">EE345+$EA345+ET345*$DZ345</f>
        <v>174</v>
      </c>
      <c r="EF346" s="14">
        <f t="shared" ref="EF346:EF364" si="685">EF345+$EA345+EU345*$DZ345</f>
        <v>207</v>
      </c>
      <c r="EG346" s="14">
        <f t="shared" ref="EG346:EG364" si="686">EG345+$EA345+EV345*$DZ345</f>
        <v>207</v>
      </c>
      <c r="EH346" s="14">
        <f t="shared" ref="EH346:EH364" si="687">EH345+$EA345+EW345*$DZ345</f>
        <v>240</v>
      </c>
      <c r="EI346" s="14">
        <f t="shared" ref="EI346:EI364" si="688">EI345+$EB345+EX345*$DZ345</f>
        <v>35</v>
      </c>
      <c r="EJ346" s="14">
        <f t="shared" ref="EJ346:EJ364" si="689">EJ345+$EB345+EY345*$DZ345</f>
        <v>45</v>
      </c>
      <c r="EK346" s="14">
        <f t="shared" ref="EK346:EK364" si="690">EK345+$EB345+EZ345*$DZ345</f>
        <v>45</v>
      </c>
      <c r="EL346" s="14">
        <f t="shared" ref="EL346:EL364" si="691">EL345+$EB345+FA345*$DZ345</f>
        <v>59</v>
      </c>
      <c r="EM346" s="14">
        <f t="shared" ref="EM346:EM364" si="692">EM345+$EB345+FB345*$DZ345</f>
        <v>73</v>
      </c>
      <c r="EN346" s="14">
        <f t="shared" ref="EN346:EN364" si="693">EN345+$EC345+FC345*$DZ345</f>
        <v>570</v>
      </c>
      <c r="EO346" s="14">
        <f t="shared" ref="EO346:EO364" si="694">EO345+$EC345+FD345*$DZ345</f>
        <v>694</v>
      </c>
      <c r="EP346" s="14">
        <f t="shared" ref="EP346:EP364" si="695">EP345+$EC345+FE345*$DZ345</f>
        <v>694</v>
      </c>
      <c r="EQ346" s="14">
        <f t="shared" ref="EQ346:EQ364" si="696">EQ345+$EC345+FF345*$DZ345</f>
        <v>842</v>
      </c>
      <c r="ER346" s="14">
        <f t="shared" ref="ER346:ER364" si="697">ER345+$EC345+FG345*$DZ345</f>
        <v>1040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36</v>
      </c>
      <c r="FD346" s="14">
        <f>INDEX(属性偏向!$U$4:$U$243,(卡牌属性!$DV346-1+FD$3)*20+卡牌属性!$DX346)</f>
        <v>48</v>
      </c>
      <c r="FE346" s="14">
        <f>INDEX(属性偏向!$U$4:$U$243,(卡牌属性!$DV346-1+FE$3)*20+卡牌属性!$DX346)</f>
        <v>48</v>
      </c>
      <c r="FF346" s="14">
        <f>INDEX(属性偏向!$U$4:$U$243,(卡牌属性!$DV346-1+FF$3)*20+卡牌属性!$DX346)</f>
        <v>60</v>
      </c>
      <c r="FG346" s="14">
        <f>INDEX(属性偏向!$U$4:$U$243,(卡牌属性!$DV346-1+FG$3)*20+卡牌属性!$DX346)</f>
        <v>72</v>
      </c>
      <c r="FH346" s="14">
        <f>INDEX(属性投放!$BQ$6:$BQ$85,(卡牌属性!$DW346-2)*20+卡牌属性!$DX346)</f>
        <v>30</v>
      </c>
      <c r="FI346" s="14">
        <f>INDEX(属性投放!$BQ$6:$BQ$85,(卡牌属性!$DW346-2)*20+卡牌属性!$DX346)</f>
        <v>30</v>
      </c>
      <c r="FJ346" s="14">
        <f>INDEX(属性投放!$BQ$6:$BQ$85,(卡牌属性!$DW346-2)*20+卡牌属性!$DX346)</f>
        <v>30</v>
      </c>
      <c r="FK346" s="14">
        <f>INDEX(属性投放!$BQ$6:$BQ$85,(卡牌属性!$DW346-2)*20+卡牌属性!$DX346)</f>
        <v>30</v>
      </c>
      <c r="FL346" s="14">
        <f>INDEX(属性投放!$BQ$6:$BQ$85,(卡牌属性!$DW346-2)*20+卡牌属性!$DX346)</f>
        <v>30</v>
      </c>
      <c r="FM346" s="14">
        <f>INDEX(属性投放!$BR$6:$BR$85,(卡牌属性!$DW346-2)*20+卡牌属性!$DX346)</f>
        <v>15</v>
      </c>
      <c r="FN346" s="14">
        <f>INDEX(属性投放!$BR$6:$BR$85,(卡牌属性!$DW346-2)*20+卡牌属性!$DX346)</f>
        <v>15</v>
      </c>
      <c r="FO346" s="14">
        <f>INDEX(属性投放!$BR$6:$BR$85,(卡牌属性!$DW346-2)*20+卡牌属性!$DX346)</f>
        <v>15</v>
      </c>
      <c r="FP346" s="14">
        <f>INDEX(属性投放!$BR$6:$BR$85,(卡牌属性!$DW346-2)*20+卡牌属性!$DX346)</f>
        <v>15</v>
      </c>
      <c r="FQ346" s="14">
        <f>INDEX(属性投放!$BR$6:$BR$85,(卡牌属性!$DW346-2)*20+卡牌属性!$DX346)</f>
        <v>15</v>
      </c>
      <c r="FR346" s="14">
        <f>INDEX(属性投放!$BS$6:$BS$85,(卡牌属性!$DW346-2)*20+卡牌属性!$DX346)</f>
        <v>180</v>
      </c>
      <c r="FS346" s="14">
        <f>INDEX(属性投放!$BS$6:$BS$85,(卡牌属性!$DW346-2)*20+卡牌属性!$DX346)</f>
        <v>180</v>
      </c>
      <c r="FT346" s="14">
        <f>INDEX(属性投放!$BS$6:$BS$85,(卡牌属性!$DW346-2)*20+卡牌属性!$DX346)</f>
        <v>180</v>
      </c>
      <c r="FU346" s="14">
        <f>INDEX(属性投放!$BS$6:$BS$85,(卡牌属性!$DW346-2)*20+卡牌属性!$DX346)</f>
        <v>180</v>
      </c>
      <c r="FV346" s="14">
        <f>INDEX(属性投放!$BS$6:$BS$85,(卡牌属性!$DW346-2)*20+卡牌属性!$DX346)</f>
        <v>180</v>
      </c>
    </row>
    <row r="347" spans="31:178" ht="16.5" x14ac:dyDescent="0.2">
      <c r="AE347" s="13">
        <v>343</v>
      </c>
      <c r="AF347" s="13">
        <f t="shared" si="652"/>
        <v>18</v>
      </c>
      <c r="AG347" s="13">
        <f t="shared" si="633"/>
        <v>3</v>
      </c>
      <c r="AH347" s="13"/>
      <c r="AI347" s="13"/>
      <c r="AJ347" s="14">
        <f t="shared" si="634"/>
        <v>1101020</v>
      </c>
      <c r="AK347" s="14" t="str">
        <f t="shared" si="635"/>
        <v>姬烟华3突</v>
      </c>
      <c r="AL347" s="25" t="s">
        <v>142</v>
      </c>
      <c r="AM347" s="14">
        <v>1</v>
      </c>
      <c r="AN347" s="14">
        <f t="shared" si="636"/>
        <v>3</v>
      </c>
      <c r="AO347" s="14">
        <f>INDEX(属性投放!$DF$6:$DF$85,(卡牌属性!AG347-2)*20+卡牌属性!AN347)</f>
        <v>272</v>
      </c>
      <c r="AP347" s="14">
        <f t="shared" si="677"/>
        <v>272</v>
      </c>
      <c r="AQ347" s="14">
        <f t="shared" si="677"/>
        <v>272</v>
      </c>
      <c r="AR347" s="14">
        <f t="shared" si="677"/>
        <v>272</v>
      </c>
      <c r="AS347" s="14">
        <f t="shared" si="677"/>
        <v>272</v>
      </c>
      <c r="AT347" s="14">
        <f>INDEX(属性投放!$DG$6:$DG$85,(卡牌属性!AG347-2)*20+卡牌属性!AN347)</f>
        <v>61</v>
      </c>
      <c r="AU347" s="14">
        <f t="shared" si="678"/>
        <v>61</v>
      </c>
      <c r="AV347" s="14">
        <f t="shared" si="678"/>
        <v>61</v>
      </c>
      <c r="AW347" s="14">
        <f t="shared" si="678"/>
        <v>61</v>
      </c>
      <c r="AX347" s="14">
        <f t="shared" si="678"/>
        <v>61</v>
      </c>
      <c r="AY347" s="14">
        <f>INDEX(属性投放!$DH$6:$DH$85,(卡牌属性!AG347-2)*20+卡牌属性!AN347)</f>
        <v>1117</v>
      </c>
      <c r="AZ347" s="14">
        <f t="shared" si="679"/>
        <v>1117</v>
      </c>
      <c r="BA347" s="14">
        <f t="shared" si="679"/>
        <v>1117</v>
      </c>
      <c r="BB347" s="14">
        <f t="shared" si="679"/>
        <v>1117</v>
      </c>
      <c r="BC347" s="14">
        <f t="shared" si="679"/>
        <v>1117</v>
      </c>
      <c r="BD347" s="14">
        <f>INDEX(属性投放!$DL$6:$DL$85,(卡牌属性!AG347-2)*20+卡牌属性!AN347)</f>
        <v>17</v>
      </c>
      <c r="BE347" s="14">
        <f t="shared" si="680"/>
        <v>17</v>
      </c>
      <c r="BF347" s="14">
        <f t="shared" si="680"/>
        <v>17</v>
      </c>
      <c r="BG347" s="14">
        <f t="shared" si="680"/>
        <v>17</v>
      </c>
      <c r="BH347" s="14">
        <f t="shared" si="680"/>
        <v>17</v>
      </c>
      <c r="BI347" s="14">
        <f>INDEX(属性投放!$DM$6:$DM$85,(卡牌属性!AG347-2)*20+卡牌属性!AN347)</f>
        <v>8</v>
      </c>
      <c r="BJ347" s="14">
        <f t="shared" si="681"/>
        <v>8</v>
      </c>
      <c r="BK347" s="14">
        <f t="shared" si="681"/>
        <v>8</v>
      </c>
      <c r="BL347" s="14">
        <f t="shared" si="681"/>
        <v>8</v>
      </c>
      <c r="BM347" s="14">
        <f t="shared" si="681"/>
        <v>8</v>
      </c>
      <c r="BN347" s="14">
        <f>INDEX(属性投放!$DN$6:$DN$85,(卡牌属性!AG347-2)*20+卡牌属性!AN347)</f>
        <v>101</v>
      </c>
      <c r="BO347" s="14">
        <f t="shared" si="682"/>
        <v>101</v>
      </c>
      <c r="BP347" s="14">
        <f t="shared" si="682"/>
        <v>101</v>
      </c>
      <c r="BQ347" s="14">
        <f t="shared" si="682"/>
        <v>101</v>
      </c>
      <c r="BR347" s="14">
        <f t="shared" si="682"/>
        <v>101</v>
      </c>
      <c r="BW347" s="13">
        <v>343</v>
      </c>
      <c r="BX347" s="13">
        <f t="shared" si="643"/>
        <v>18</v>
      </c>
      <c r="BY347" s="14">
        <f t="shared" si="644"/>
        <v>2</v>
      </c>
      <c r="BZ347" s="14">
        <f t="shared" si="653"/>
        <v>1102018</v>
      </c>
      <c r="CA347" s="14" t="str">
        <f t="shared" si="654"/>
        <v>噬日3突</v>
      </c>
      <c r="CB347" s="25" t="s">
        <v>142</v>
      </c>
      <c r="CC347" s="14">
        <v>2</v>
      </c>
      <c r="CD347" s="14">
        <f t="shared" si="645"/>
        <v>3</v>
      </c>
      <c r="CE347" s="14" t="s">
        <v>21</v>
      </c>
      <c r="CF347" s="14">
        <f>INDEX(属性投放!$AZ$6:$AZ$85,(BY347-2)*20+CD347)</f>
        <v>290</v>
      </c>
      <c r="CG347" s="14" t="s">
        <v>22</v>
      </c>
      <c r="CH347" s="14">
        <f>INDEX(属性投放!$BA$6:$BA$85,(BY347-2)*20+CD347)</f>
        <v>98</v>
      </c>
      <c r="CI347" s="14" t="s">
        <v>510</v>
      </c>
      <c r="CJ347" s="14">
        <f>INDEX(属性投放!$BB$6:$BB$85,(BY347-2)*20+CD347)</f>
        <v>1440</v>
      </c>
      <c r="CK347" s="14" t="s">
        <v>21</v>
      </c>
      <c r="CL347" s="14">
        <f>INDEX(属性投放!$BC$6:$BC$85,(BY347-2)*20+CD347)</f>
        <v>6</v>
      </c>
      <c r="CM347" s="14" t="s">
        <v>22</v>
      </c>
      <c r="CN347" s="14">
        <f>INDEX(属性投放!$BD$6:$BD$85,(BY347-2)*20+CD347)</f>
        <v>3</v>
      </c>
      <c r="CO347" s="14" t="s">
        <v>510</v>
      </c>
      <c r="CP347" s="14">
        <f>INDEX(属性投放!$BE$6:$BE$85,(BY347-2)*20+CD347)</f>
        <v>36</v>
      </c>
      <c r="CS347" s="13">
        <v>343</v>
      </c>
      <c r="CT347" s="13">
        <f t="shared" si="655"/>
        <v>7</v>
      </c>
      <c r="CU347" s="13">
        <f t="shared" si="656"/>
        <v>31</v>
      </c>
      <c r="CV347" s="14">
        <f t="shared" si="657"/>
        <v>4</v>
      </c>
      <c r="CW347" s="14">
        <f t="shared" si="658"/>
        <v>1102007</v>
      </c>
      <c r="CX347" s="14" t="str">
        <f>INDEX($O$6:$O$50,CT347)&amp;"-"&amp;INDEX(属性投放!$AB$7:$AB$50,CZ347)&amp;"-魂火-"&amp;DB347</f>
        <v>天使缇娜-焦热+1-魂火-1</v>
      </c>
      <c r="CY347" s="25" t="s">
        <v>142</v>
      </c>
      <c r="CZ347" s="14">
        <f>INDEX(属性投放!$AM$7:$AM$58,CU347)</f>
        <v>14</v>
      </c>
      <c r="DA347" s="14" t="s">
        <v>537</v>
      </c>
      <c r="DB347" s="14">
        <f>INDEX(属性投放!$AN$7:$AN$58,CU347)</f>
        <v>1</v>
      </c>
      <c r="DC347" s="14">
        <f t="shared" si="646"/>
        <v>31</v>
      </c>
      <c r="DD347" s="14">
        <f>INDEX(属性投放!$AO$7:$AO$58,DC347)</f>
        <v>95</v>
      </c>
      <c r="DE347" s="14" t="s">
        <v>538</v>
      </c>
      <c r="DF347" s="14">
        <f>INDEX(属性投放!$BK$6:$BK$85,(CV347-2)*20+CZ347)</f>
        <v>320</v>
      </c>
      <c r="DG347" s="14">
        <f>SUMIFS(DF$5:DF347,$CT$5:$CT347,"="&amp;$CT347)</f>
        <v>3900</v>
      </c>
      <c r="DH347" s="14" t="s">
        <v>539</v>
      </c>
      <c r="DI347" s="14">
        <f>INDEX(属性投放!$BL$6:$BL$85,(CV347-2)*20+CZ347)</f>
        <v>160</v>
      </c>
      <c r="DJ347" s="14">
        <f>SUMIFS(DI$5:DI347,$CT$5:$CT347,"="&amp;$CT347)</f>
        <v>1958</v>
      </c>
      <c r="DK347" s="14" t="s">
        <v>540</v>
      </c>
      <c r="DL347" s="14">
        <f>INDEX(属性投放!$BM$6:$BM$85,(CV347-2)*20+CZ347)</f>
        <v>3200</v>
      </c>
      <c r="DM347" s="14">
        <f>SUMIFS(DL$5:DL347,$CT$5:$CT347,"="&amp;$CT347)</f>
        <v>34435</v>
      </c>
      <c r="DR347" s="14">
        <f t="shared" si="647"/>
        <v>1102018</v>
      </c>
      <c r="DS347" s="14" t="str">
        <f t="shared" si="648"/>
        <v>噬日3突</v>
      </c>
      <c r="DT347" s="14">
        <f t="shared" si="659"/>
        <v>3</v>
      </c>
      <c r="DU347" s="14">
        <f t="shared" si="660"/>
        <v>3</v>
      </c>
      <c r="DV347" s="14">
        <f t="shared" si="661"/>
        <v>3</v>
      </c>
      <c r="DW347" s="14">
        <f t="shared" si="649"/>
        <v>2</v>
      </c>
      <c r="DX347" s="14">
        <f t="shared" si="650"/>
        <v>3</v>
      </c>
      <c r="DY347" s="14">
        <f t="shared" si="651"/>
        <v>3</v>
      </c>
      <c r="DZ347" s="14">
        <f>INDEX(属性投放!$AX$6:$AX$85,(卡牌属性!DW347-2)*20+卡牌属性!DX347)</f>
        <v>10</v>
      </c>
      <c r="EA347" s="14">
        <f>INDEX(属性投放!BQ$6:BQ$85,卡牌属性!$DY347)</f>
        <v>50</v>
      </c>
      <c r="EB347" s="14">
        <f>INDEX(属性投放!BR$6:BR$85,卡牌属性!$DY347)</f>
        <v>25</v>
      </c>
      <c r="EC347" s="14">
        <f>INDEX(属性投放!BS$6:BS$85,卡牌属性!$DY347)</f>
        <v>300</v>
      </c>
      <c r="ED347" s="14">
        <f t="shared" si="683"/>
        <v>235</v>
      </c>
      <c r="EE347" s="14">
        <f t="shared" si="684"/>
        <v>284</v>
      </c>
      <c r="EF347" s="14">
        <f t="shared" si="685"/>
        <v>337</v>
      </c>
      <c r="EG347" s="14">
        <f t="shared" si="686"/>
        <v>337</v>
      </c>
      <c r="EH347" s="14">
        <f t="shared" si="687"/>
        <v>390</v>
      </c>
      <c r="EI347" s="14">
        <f t="shared" si="688"/>
        <v>80</v>
      </c>
      <c r="EJ347" s="14">
        <f t="shared" si="689"/>
        <v>100</v>
      </c>
      <c r="EK347" s="14">
        <f t="shared" si="690"/>
        <v>100</v>
      </c>
      <c r="EL347" s="14">
        <f t="shared" si="691"/>
        <v>124</v>
      </c>
      <c r="EM347" s="14">
        <f t="shared" si="692"/>
        <v>148</v>
      </c>
      <c r="EN347" s="14">
        <f t="shared" si="693"/>
        <v>1110</v>
      </c>
      <c r="EO347" s="14">
        <f t="shared" si="694"/>
        <v>1354</v>
      </c>
      <c r="EP347" s="14">
        <f t="shared" si="695"/>
        <v>1354</v>
      </c>
      <c r="EQ347" s="14">
        <f t="shared" si="696"/>
        <v>1622</v>
      </c>
      <c r="ER347" s="14">
        <f t="shared" si="697"/>
        <v>1940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36</v>
      </c>
      <c r="FD347" s="14">
        <f>INDEX(属性偏向!$U$4:$U$243,(卡牌属性!$DV347-1+FD$3)*20+卡牌属性!$DX347)</f>
        <v>48</v>
      </c>
      <c r="FE347" s="14">
        <f>INDEX(属性偏向!$U$4:$U$243,(卡牌属性!$DV347-1+FE$3)*20+卡牌属性!$DX347)</f>
        <v>48</v>
      </c>
      <c r="FF347" s="14">
        <f>INDEX(属性偏向!$U$4:$U$243,(卡牌属性!$DV347-1+FF$3)*20+卡牌属性!$DX347)</f>
        <v>60</v>
      </c>
      <c r="FG347" s="14">
        <f>INDEX(属性偏向!$U$4:$U$243,(卡牌属性!$DV347-1+FG$3)*20+卡牌属性!$DX347)</f>
        <v>72</v>
      </c>
      <c r="FH347" s="14">
        <f>INDEX(属性投放!$BQ$6:$BQ$85,(卡牌属性!$DW347-2)*20+卡牌属性!$DX347)</f>
        <v>50</v>
      </c>
      <c r="FI347" s="14">
        <f>INDEX(属性投放!$BQ$6:$BQ$85,(卡牌属性!$DW347-2)*20+卡牌属性!$DX347)</f>
        <v>50</v>
      </c>
      <c r="FJ347" s="14">
        <f>INDEX(属性投放!$BQ$6:$BQ$85,(卡牌属性!$DW347-2)*20+卡牌属性!$DX347)</f>
        <v>50</v>
      </c>
      <c r="FK347" s="14">
        <f>INDEX(属性投放!$BQ$6:$BQ$85,(卡牌属性!$DW347-2)*20+卡牌属性!$DX347)</f>
        <v>50</v>
      </c>
      <c r="FL347" s="14">
        <f>INDEX(属性投放!$BQ$6:$BQ$85,(卡牌属性!$DW347-2)*20+卡牌属性!$DX347)</f>
        <v>50</v>
      </c>
      <c r="FM347" s="14">
        <f>INDEX(属性投放!$BR$6:$BR$85,(卡牌属性!$DW347-2)*20+卡牌属性!$DX347)</f>
        <v>25</v>
      </c>
      <c r="FN347" s="14">
        <f>INDEX(属性投放!$BR$6:$BR$85,(卡牌属性!$DW347-2)*20+卡牌属性!$DX347)</f>
        <v>25</v>
      </c>
      <c r="FO347" s="14">
        <f>INDEX(属性投放!$BR$6:$BR$85,(卡牌属性!$DW347-2)*20+卡牌属性!$DX347)</f>
        <v>25</v>
      </c>
      <c r="FP347" s="14">
        <f>INDEX(属性投放!$BR$6:$BR$85,(卡牌属性!$DW347-2)*20+卡牌属性!$DX347)</f>
        <v>25</v>
      </c>
      <c r="FQ347" s="14">
        <f>INDEX(属性投放!$BR$6:$BR$85,(卡牌属性!$DW347-2)*20+卡牌属性!$DX347)</f>
        <v>25</v>
      </c>
      <c r="FR347" s="14">
        <f>INDEX(属性投放!$BS$6:$BS$85,(卡牌属性!$DW347-2)*20+卡牌属性!$DX347)</f>
        <v>300</v>
      </c>
      <c r="FS347" s="14">
        <f>INDEX(属性投放!$BS$6:$BS$85,(卡牌属性!$DW347-2)*20+卡牌属性!$DX347)</f>
        <v>300</v>
      </c>
      <c r="FT347" s="14">
        <f>INDEX(属性投放!$BS$6:$BS$85,(卡牌属性!$DW347-2)*20+卡牌属性!$DX347)</f>
        <v>300</v>
      </c>
      <c r="FU347" s="14">
        <f>INDEX(属性投放!$BS$6:$BS$85,(卡牌属性!$DW347-2)*20+卡牌属性!$DX347)</f>
        <v>300</v>
      </c>
      <c r="FV347" s="14">
        <f>INDEX(属性投放!$BS$6:$BS$85,(卡牌属性!$DW347-2)*20+卡牌属性!$DX347)</f>
        <v>300</v>
      </c>
    </row>
    <row r="348" spans="31:178" ht="16.5" x14ac:dyDescent="0.2">
      <c r="AE348" s="13">
        <v>344</v>
      </c>
      <c r="AF348" s="13">
        <f t="shared" si="652"/>
        <v>18</v>
      </c>
      <c r="AG348" s="13">
        <f t="shared" si="633"/>
        <v>3</v>
      </c>
      <c r="AH348" s="13"/>
      <c r="AI348" s="13"/>
      <c r="AJ348" s="14">
        <f t="shared" si="634"/>
        <v>1101020</v>
      </c>
      <c r="AK348" s="14" t="str">
        <f t="shared" si="635"/>
        <v>姬烟华4突</v>
      </c>
      <c r="AL348" s="25" t="s">
        <v>142</v>
      </c>
      <c r="AM348" s="14">
        <v>1</v>
      </c>
      <c r="AN348" s="14">
        <f t="shared" si="636"/>
        <v>4</v>
      </c>
      <c r="AO348" s="14">
        <f>INDEX(属性投放!$DF$6:$DF$85,(卡牌属性!AG348-2)*20+卡牌属性!AN348)</f>
        <v>484</v>
      </c>
      <c r="AP348" s="14">
        <f t="shared" si="677"/>
        <v>484</v>
      </c>
      <c r="AQ348" s="14">
        <f t="shared" si="677"/>
        <v>484</v>
      </c>
      <c r="AR348" s="14">
        <f t="shared" si="677"/>
        <v>484</v>
      </c>
      <c r="AS348" s="14">
        <f t="shared" si="677"/>
        <v>484</v>
      </c>
      <c r="AT348" s="14">
        <f>INDEX(属性投放!$DG$6:$DG$85,(卡牌属性!AG348-2)*20+卡牌属性!AN348)</f>
        <v>162</v>
      </c>
      <c r="AU348" s="14">
        <f t="shared" si="678"/>
        <v>162</v>
      </c>
      <c r="AV348" s="14">
        <f t="shared" si="678"/>
        <v>162</v>
      </c>
      <c r="AW348" s="14">
        <f t="shared" si="678"/>
        <v>162</v>
      </c>
      <c r="AX348" s="14">
        <f t="shared" si="678"/>
        <v>162</v>
      </c>
      <c r="AY348" s="14">
        <f>INDEX(属性投放!$DH$6:$DH$85,(卡牌属性!AG348-2)*20+卡牌属性!AN348)</f>
        <v>2379</v>
      </c>
      <c r="AZ348" s="14">
        <f t="shared" si="679"/>
        <v>2379</v>
      </c>
      <c r="BA348" s="14">
        <f t="shared" si="679"/>
        <v>2379</v>
      </c>
      <c r="BB348" s="14">
        <f t="shared" si="679"/>
        <v>2379</v>
      </c>
      <c r="BC348" s="14">
        <f t="shared" si="679"/>
        <v>2379</v>
      </c>
      <c r="BD348" s="14">
        <f>INDEX(属性投放!$DL$6:$DL$85,(卡牌属性!AG348-2)*20+卡牌属性!AN348)</f>
        <v>30</v>
      </c>
      <c r="BE348" s="14">
        <f t="shared" si="680"/>
        <v>30</v>
      </c>
      <c r="BF348" s="14">
        <f t="shared" si="680"/>
        <v>30</v>
      </c>
      <c r="BG348" s="14">
        <f t="shared" si="680"/>
        <v>30</v>
      </c>
      <c r="BH348" s="14">
        <f t="shared" si="680"/>
        <v>30</v>
      </c>
      <c r="BI348" s="14">
        <f>INDEX(属性投放!$DM$6:$DM$85,(卡牌属性!AG348-2)*20+卡牌属性!AN348)</f>
        <v>15</v>
      </c>
      <c r="BJ348" s="14">
        <f t="shared" si="681"/>
        <v>15</v>
      </c>
      <c r="BK348" s="14">
        <f t="shared" si="681"/>
        <v>15</v>
      </c>
      <c r="BL348" s="14">
        <f t="shared" si="681"/>
        <v>15</v>
      </c>
      <c r="BM348" s="14">
        <f t="shared" si="681"/>
        <v>15</v>
      </c>
      <c r="BN348" s="14">
        <f>INDEX(属性投放!$DN$6:$DN$85,(卡牌属性!AG348-2)*20+卡牌属性!AN348)</f>
        <v>208</v>
      </c>
      <c r="BO348" s="14">
        <f t="shared" si="682"/>
        <v>208</v>
      </c>
      <c r="BP348" s="14">
        <f t="shared" si="682"/>
        <v>208</v>
      </c>
      <c r="BQ348" s="14">
        <f t="shared" si="682"/>
        <v>208</v>
      </c>
      <c r="BR348" s="14">
        <f t="shared" si="682"/>
        <v>208</v>
      </c>
      <c r="BW348" s="13">
        <v>344</v>
      </c>
      <c r="BX348" s="13">
        <f t="shared" si="643"/>
        <v>18</v>
      </c>
      <c r="BY348" s="14">
        <f t="shared" si="644"/>
        <v>2</v>
      </c>
      <c r="BZ348" s="14">
        <f t="shared" si="653"/>
        <v>1102018</v>
      </c>
      <c r="CA348" s="14" t="str">
        <f t="shared" si="654"/>
        <v>噬日4突</v>
      </c>
      <c r="CB348" s="25" t="s">
        <v>142</v>
      </c>
      <c r="CC348" s="14">
        <v>2</v>
      </c>
      <c r="CD348" s="14">
        <f t="shared" si="645"/>
        <v>4</v>
      </c>
      <c r="CE348" s="14" t="s">
        <v>21</v>
      </c>
      <c r="CF348" s="14">
        <f>INDEX(属性投放!$AZ$6:$AZ$85,(BY348-2)*20+CD348)</f>
        <v>450</v>
      </c>
      <c r="CG348" s="14" t="s">
        <v>22</v>
      </c>
      <c r="CH348" s="14">
        <f>INDEX(属性投放!$BA$6:$BA$85,(BY348-2)*20+CD348)</f>
        <v>179</v>
      </c>
      <c r="CI348" s="14" t="s">
        <v>510</v>
      </c>
      <c r="CJ348" s="14">
        <f>INDEX(属性投放!$BB$6:$BB$85,(BY348-2)*20+CD348)</f>
        <v>2400</v>
      </c>
      <c r="CK348" s="14" t="s">
        <v>21</v>
      </c>
      <c r="CL348" s="14">
        <f>INDEX(属性投放!$BC$6:$BC$85,(BY348-2)*20+CD348)</f>
        <v>8</v>
      </c>
      <c r="CM348" s="14" t="s">
        <v>22</v>
      </c>
      <c r="CN348" s="14">
        <f>INDEX(属性投放!$BD$6:$BD$85,(BY348-2)*20+CD348)</f>
        <v>4</v>
      </c>
      <c r="CO348" s="14" t="s">
        <v>510</v>
      </c>
      <c r="CP348" s="14">
        <f>INDEX(属性投放!$BE$6:$BE$85,(BY348-2)*20+CD348)</f>
        <v>56</v>
      </c>
      <c r="CS348" s="13">
        <v>344</v>
      </c>
      <c r="CT348" s="13">
        <f t="shared" si="655"/>
        <v>7</v>
      </c>
      <c r="CU348" s="13">
        <f t="shared" si="656"/>
        <v>32</v>
      </c>
      <c r="CV348" s="14">
        <f t="shared" si="657"/>
        <v>4</v>
      </c>
      <c r="CW348" s="14">
        <f t="shared" si="658"/>
        <v>1102007</v>
      </c>
      <c r="CX348" s="14" t="str">
        <f>INDEX($O$6:$O$50,CT348)&amp;"-"&amp;INDEX(属性投放!$AB$7:$AB$50,CZ348)&amp;"-魂火-"&amp;DB348</f>
        <v>天使缇娜-焦热+1-魂火-2</v>
      </c>
      <c r="CY348" s="25" t="s">
        <v>142</v>
      </c>
      <c r="CZ348" s="14">
        <f>INDEX(属性投放!$AM$7:$AM$58,CU348)</f>
        <v>14</v>
      </c>
      <c r="DA348" s="14" t="s">
        <v>537</v>
      </c>
      <c r="DB348" s="14">
        <f>INDEX(属性投放!$AN$7:$AN$58,CU348)</f>
        <v>2</v>
      </c>
      <c r="DC348" s="14">
        <f t="shared" si="646"/>
        <v>32</v>
      </c>
      <c r="DD348" s="14">
        <f>INDEX(属性投放!$AO$7:$AO$58,DC348)</f>
        <v>98</v>
      </c>
      <c r="DE348" s="14" t="s">
        <v>538</v>
      </c>
      <c r="DF348" s="14">
        <f>INDEX(属性投放!$BK$6:$BK$85,(CV348-2)*20+CZ348)</f>
        <v>320</v>
      </c>
      <c r="DG348" s="14">
        <f>SUMIFS(DF$5:DF348,$CT$5:$CT348,"="&amp;$CT348)</f>
        <v>4220</v>
      </c>
      <c r="DH348" s="14" t="s">
        <v>539</v>
      </c>
      <c r="DI348" s="14">
        <f>INDEX(属性投放!$BL$6:$BL$85,(CV348-2)*20+CZ348)</f>
        <v>160</v>
      </c>
      <c r="DJ348" s="14">
        <f>SUMIFS(DI$5:DI348,$CT$5:$CT348,"="&amp;$CT348)</f>
        <v>2118</v>
      </c>
      <c r="DK348" s="14" t="s">
        <v>540</v>
      </c>
      <c r="DL348" s="14">
        <f>INDEX(属性投放!$BM$6:$BM$85,(CV348-2)*20+CZ348)</f>
        <v>3200</v>
      </c>
      <c r="DM348" s="14">
        <f>SUMIFS(DL$5:DL348,$CT$5:$CT348,"="&amp;$CT348)</f>
        <v>37635</v>
      </c>
      <c r="DR348" s="14">
        <f t="shared" si="647"/>
        <v>1102018</v>
      </c>
      <c r="DS348" s="14" t="str">
        <f t="shared" si="648"/>
        <v>噬日4突</v>
      </c>
      <c r="DT348" s="14">
        <f t="shared" si="659"/>
        <v>3</v>
      </c>
      <c r="DU348" s="14">
        <f t="shared" si="660"/>
        <v>3</v>
      </c>
      <c r="DV348" s="14">
        <f t="shared" si="661"/>
        <v>3</v>
      </c>
      <c r="DW348" s="14">
        <f t="shared" si="649"/>
        <v>2</v>
      </c>
      <c r="DX348" s="14">
        <f t="shared" si="650"/>
        <v>4</v>
      </c>
      <c r="DY348" s="14">
        <f t="shared" si="651"/>
        <v>4</v>
      </c>
      <c r="DZ348" s="14">
        <f>INDEX(属性投放!$AX$6:$AX$85,(卡牌属性!DW348-2)*20+卡牌属性!DX348)</f>
        <v>10</v>
      </c>
      <c r="EA348" s="14">
        <f>INDEX(属性投放!BQ$6:BQ$85,卡牌属性!$DY348)</f>
        <v>60</v>
      </c>
      <c r="EB348" s="14">
        <f>INDEX(属性投放!BR$6:BR$85,卡牌属性!$DY348)</f>
        <v>30</v>
      </c>
      <c r="EC348" s="14">
        <f>INDEX(属性投放!BS$6:BS$85,卡牌属性!$DY348)</f>
        <v>420</v>
      </c>
      <c r="ED348" s="14">
        <f t="shared" si="683"/>
        <v>345</v>
      </c>
      <c r="EE348" s="14">
        <f t="shared" si="684"/>
        <v>414</v>
      </c>
      <c r="EF348" s="14">
        <f t="shared" si="685"/>
        <v>487</v>
      </c>
      <c r="EG348" s="14">
        <f t="shared" si="686"/>
        <v>487</v>
      </c>
      <c r="EH348" s="14">
        <f t="shared" si="687"/>
        <v>560</v>
      </c>
      <c r="EI348" s="14">
        <f t="shared" si="688"/>
        <v>135</v>
      </c>
      <c r="EJ348" s="14">
        <f t="shared" si="689"/>
        <v>165</v>
      </c>
      <c r="EK348" s="14">
        <f t="shared" si="690"/>
        <v>165</v>
      </c>
      <c r="EL348" s="14">
        <f t="shared" si="691"/>
        <v>199</v>
      </c>
      <c r="EM348" s="14">
        <f t="shared" si="692"/>
        <v>233</v>
      </c>
      <c r="EN348" s="14">
        <f t="shared" si="693"/>
        <v>1770</v>
      </c>
      <c r="EO348" s="14">
        <f t="shared" si="694"/>
        <v>2134</v>
      </c>
      <c r="EP348" s="14">
        <f t="shared" si="695"/>
        <v>2134</v>
      </c>
      <c r="EQ348" s="14">
        <f t="shared" si="696"/>
        <v>2522</v>
      </c>
      <c r="ER348" s="14">
        <f t="shared" si="697"/>
        <v>2960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56</v>
      </c>
      <c r="FD348" s="14">
        <f>INDEX(属性偏向!$U$4:$U$243,(卡牌属性!$DV348-1+FD$3)*20+卡牌属性!$DX348)</f>
        <v>70</v>
      </c>
      <c r="FE348" s="14">
        <f>INDEX(属性偏向!$U$4:$U$243,(卡牌属性!$DV348-1+FE$3)*20+卡牌属性!$DX348)</f>
        <v>70</v>
      </c>
      <c r="FF348" s="14">
        <f>INDEX(属性偏向!$U$4:$U$243,(卡牌属性!$DV348-1+FF$3)*20+卡牌属性!$DX348)</f>
        <v>84</v>
      </c>
      <c r="FG348" s="14">
        <f>INDEX(属性偏向!$U$4:$U$243,(卡牌属性!$DV348-1+FG$3)*20+卡牌属性!$DX348)</f>
        <v>91</v>
      </c>
      <c r="FH348" s="14">
        <f>INDEX(属性投放!$BQ$6:$BQ$85,(卡牌属性!$DW348-2)*20+卡牌属性!$DX348)</f>
        <v>60</v>
      </c>
      <c r="FI348" s="14">
        <f>INDEX(属性投放!$BQ$6:$BQ$85,(卡牌属性!$DW348-2)*20+卡牌属性!$DX348)</f>
        <v>60</v>
      </c>
      <c r="FJ348" s="14">
        <f>INDEX(属性投放!$BQ$6:$BQ$85,(卡牌属性!$DW348-2)*20+卡牌属性!$DX348)</f>
        <v>60</v>
      </c>
      <c r="FK348" s="14">
        <f>INDEX(属性投放!$BQ$6:$BQ$85,(卡牌属性!$DW348-2)*20+卡牌属性!$DX348)</f>
        <v>60</v>
      </c>
      <c r="FL348" s="14">
        <f>INDEX(属性投放!$BQ$6:$BQ$85,(卡牌属性!$DW348-2)*20+卡牌属性!$DX348)</f>
        <v>60</v>
      </c>
      <c r="FM348" s="14">
        <f>INDEX(属性投放!$BR$6:$BR$85,(卡牌属性!$DW348-2)*20+卡牌属性!$DX348)</f>
        <v>30</v>
      </c>
      <c r="FN348" s="14">
        <f>INDEX(属性投放!$BR$6:$BR$85,(卡牌属性!$DW348-2)*20+卡牌属性!$DX348)</f>
        <v>30</v>
      </c>
      <c r="FO348" s="14">
        <f>INDEX(属性投放!$BR$6:$BR$85,(卡牌属性!$DW348-2)*20+卡牌属性!$DX348)</f>
        <v>30</v>
      </c>
      <c r="FP348" s="14">
        <f>INDEX(属性投放!$BR$6:$BR$85,(卡牌属性!$DW348-2)*20+卡牌属性!$DX348)</f>
        <v>30</v>
      </c>
      <c r="FQ348" s="14">
        <f>INDEX(属性投放!$BR$6:$BR$85,(卡牌属性!$DW348-2)*20+卡牌属性!$DX348)</f>
        <v>30</v>
      </c>
      <c r="FR348" s="14">
        <f>INDEX(属性投放!$BS$6:$BS$85,(卡牌属性!$DW348-2)*20+卡牌属性!$DX348)</f>
        <v>420</v>
      </c>
      <c r="FS348" s="14">
        <f>INDEX(属性投放!$BS$6:$BS$85,(卡牌属性!$DW348-2)*20+卡牌属性!$DX348)</f>
        <v>420</v>
      </c>
      <c r="FT348" s="14">
        <f>INDEX(属性投放!$BS$6:$BS$85,(卡牌属性!$DW348-2)*20+卡牌属性!$DX348)</f>
        <v>420</v>
      </c>
      <c r="FU348" s="14">
        <f>INDEX(属性投放!$BS$6:$BS$85,(卡牌属性!$DW348-2)*20+卡牌属性!$DX348)</f>
        <v>420</v>
      </c>
      <c r="FV348" s="14">
        <f>INDEX(属性投放!$BS$6:$BS$85,(卡牌属性!$DW348-2)*20+卡牌属性!$DX348)</f>
        <v>420</v>
      </c>
    </row>
    <row r="349" spans="31:178" ht="16.5" x14ac:dyDescent="0.2">
      <c r="AE349" s="13">
        <v>345</v>
      </c>
      <c r="AF349" s="13">
        <f t="shared" si="652"/>
        <v>18</v>
      </c>
      <c r="AG349" s="13">
        <f t="shared" si="633"/>
        <v>3</v>
      </c>
      <c r="AH349" s="13"/>
      <c r="AI349" s="13"/>
      <c r="AJ349" s="14">
        <f t="shared" si="634"/>
        <v>1101020</v>
      </c>
      <c r="AK349" s="14" t="str">
        <f t="shared" si="635"/>
        <v>姬烟华5突</v>
      </c>
      <c r="AL349" s="25" t="s">
        <v>142</v>
      </c>
      <c r="AM349" s="14">
        <v>1</v>
      </c>
      <c r="AN349" s="14">
        <f t="shared" si="636"/>
        <v>5</v>
      </c>
      <c r="AO349" s="14">
        <f>INDEX(属性投放!$DF$6:$DF$85,(卡牌属性!AG349-2)*20+卡牌属性!AN349)</f>
        <v>569</v>
      </c>
      <c r="AP349" s="14">
        <f t="shared" si="677"/>
        <v>569</v>
      </c>
      <c r="AQ349" s="14">
        <f t="shared" si="677"/>
        <v>569</v>
      </c>
      <c r="AR349" s="14">
        <f t="shared" si="677"/>
        <v>569</v>
      </c>
      <c r="AS349" s="14">
        <f t="shared" si="677"/>
        <v>569</v>
      </c>
      <c r="AT349" s="14">
        <f>INDEX(属性投放!$DG$6:$DG$85,(卡牌属性!AG349-2)*20+卡牌属性!AN349)</f>
        <v>205</v>
      </c>
      <c r="AU349" s="14">
        <f t="shared" si="678"/>
        <v>205</v>
      </c>
      <c r="AV349" s="14">
        <f t="shared" si="678"/>
        <v>205</v>
      </c>
      <c r="AW349" s="14">
        <f t="shared" si="678"/>
        <v>205</v>
      </c>
      <c r="AX349" s="14">
        <f t="shared" si="678"/>
        <v>205</v>
      </c>
      <c r="AY349" s="14">
        <f>INDEX(属性投放!$DH$6:$DH$85,(卡牌属性!AG349-2)*20+卡牌属性!AN349)</f>
        <v>2973</v>
      </c>
      <c r="AZ349" s="14">
        <f t="shared" si="679"/>
        <v>2973</v>
      </c>
      <c r="BA349" s="14">
        <f t="shared" si="679"/>
        <v>2973</v>
      </c>
      <c r="BB349" s="14">
        <f t="shared" si="679"/>
        <v>2973</v>
      </c>
      <c r="BC349" s="14">
        <f t="shared" si="679"/>
        <v>2973</v>
      </c>
      <c r="BD349" s="14">
        <f>INDEX(属性投放!$DL$6:$DL$85,(卡牌属性!AG349-2)*20+卡牌属性!AN349)</f>
        <v>30</v>
      </c>
      <c r="BE349" s="14">
        <f t="shared" si="680"/>
        <v>30</v>
      </c>
      <c r="BF349" s="14">
        <f t="shared" si="680"/>
        <v>30</v>
      </c>
      <c r="BG349" s="14">
        <f t="shared" si="680"/>
        <v>30</v>
      </c>
      <c r="BH349" s="14">
        <f t="shared" si="680"/>
        <v>30</v>
      </c>
      <c r="BI349" s="14">
        <f>INDEX(属性投放!$DM$6:$DM$85,(卡牌属性!AG349-2)*20+卡牌属性!AN349)</f>
        <v>15</v>
      </c>
      <c r="BJ349" s="14">
        <f t="shared" si="681"/>
        <v>15</v>
      </c>
      <c r="BK349" s="14">
        <f t="shared" si="681"/>
        <v>15</v>
      </c>
      <c r="BL349" s="14">
        <f t="shared" si="681"/>
        <v>15</v>
      </c>
      <c r="BM349" s="14">
        <f t="shared" si="681"/>
        <v>15</v>
      </c>
      <c r="BN349" s="14">
        <f>INDEX(属性投放!$DN$6:$DN$85,(卡牌属性!AG349-2)*20+卡牌属性!AN349)</f>
        <v>208</v>
      </c>
      <c r="BO349" s="14">
        <f t="shared" si="682"/>
        <v>208</v>
      </c>
      <c r="BP349" s="14">
        <f t="shared" si="682"/>
        <v>208</v>
      </c>
      <c r="BQ349" s="14">
        <f t="shared" si="682"/>
        <v>208</v>
      </c>
      <c r="BR349" s="14">
        <f t="shared" si="682"/>
        <v>208</v>
      </c>
      <c r="BW349" s="13">
        <v>345</v>
      </c>
      <c r="BX349" s="13">
        <f t="shared" si="643"/>
        <v>18</v>
      </c>
      <c r="BY349" s="14">
        <f t="shared" si="644"/>
        <v>2</v>
      </c>
      <c r="BZ349" s="14">
        <f t="shared" si="653"/>
        <v>1102018</v>
      </c>
      <c r="CA349" s="14" t="str">
        <f t="shared" si="654"/>
        <v>噬日5突</v>
      </c>
      <c r="CB349" s="25" t="s">
        <v>142</v>
      </c>
      <c r="CC349" s="14">
        <v>2</v>
      </c>
      <c r="CD349" s="14">
        <f t="shared" si="645"/>
        <v>5</v>
      </c>
      <c r="CE349" s="14" t="s">
        <v>21</v>
      </c>
      <c r="CF349" s="14">
        <f>INDEX(属性投放!$AZ$6:$AZ$85,(BY349-2)*20+CD349)</f>
        <v>650</v>
      </c>
      <c r="CG349" s="14" t="s">
        <v>22</v>
      </c>
      <c r="CH349" s="14">
        <f>INDEX(属性投放!$BA$6:$BA$85,(BY349-2)*20+CD349)</f>
        <v>279</v>
      </c>
      <c r="CI349" s="14" t="s">
        <v>510</v>
      </c>
      <c r="CJ349" s="14">
        <f>INDEX(属性投放!$BB$6:$BB$85,(BY349-2)*20+CD349)</f>
        <v>3800</v>
      </c>
      <c r="CK349" s="14" t="s">
        <v>21</v>
      </c>
      <c r="CL349" s="14">
        <f>INDEX(属性投放!$BC$6:$BC$85,(BY349-2)*20+CD349)</f>
        <v>8</v>
      </c>
      <c r="CM349" s="14" t="s">
        <v>22</v>
      </c>
      <c r="CN349" s="14">
        <f>INDEX(属性投放!$BD$6:$BD$85,(BY349-2)*20+CD349)</f>
        <v>4</v>
      </c>
      <c r="CO349" s="14" t="s">
        <v>510</v>
      </c>
      <c r="CP349" s="14">
        <f>INDEX(属性投放!$BE$6:$BE$85,(BY349-2)*20+CD349)</f>
        <v>56</v>
      </c>
      <c r="CS349" s="13">
        <v>345</v>
      </c>
      <c r="CT349" s="13">
        <f t="shared" si="655"/>
        <v>7</v>
      </c>
      <c r="CU349" s="13">
        <f t="shared" si="656"/>
        <v>33</v>
      </c>
      <c r="CV349" s="14">
        <f t="shared" si="657"/>
        <v>4</v>
      </c>
      <c r="CW349" s="14">
        <f t="shared" si="658"/>
        <v>1102007</v>
      </c>
      <c r="CX349" s="14" t="str">
        <f>INDEX($O$6:$O$50,CT349)&amp;"-"&amp;INDEX(属性投放!$AB$7:$AB$50,CZ349)&amp;"-魂火-"&amp;DB349</f>
        <v>天使缇娜-焦热+1-魂火-3</v>
      </c>
      <c r="CY349" s="25" t="s">
        <v>142</v>
      </c>
      <c r="CZ349" s="14">
        <f>INDEX(属性投放!$AM$7:$AM$58,CU349)</f>
        <v>14</v>
      </c>
      <c r="DA349" s="14" t="s">
        <v>537</v>
      </c>
      <c r="DB349" s="14">
        <f>INDEX(属性投放!$AN$7:$AN$58,CU349)</f>
        <v>3</v>
      </c>
      <c r="DC349" s="14">
        <f t="shared" si="646"/>
        <v>33</v>
      </c>
      <c r="DD349" s="14">
        <f>INDEX(属性投放!$AO$7:$AO$58,DC349)</f>
        <v>100</v>
      </c>
      <c r="DE349" s="14" t="s">
        <v>538</v>
      </c>
      <c r="DF349" s="14">
        <f>INDEX(属性投放!$BK$6:$BK$85,(CV349-2)*20+CZ349)</f>
        <v>320</v>
      </c>
      <c r="DG349" s="14">
        <f>SUMIFS(DF$5:DF349,$CT$5:$CT349,"="&amp;$CT349)</f>
        <v>4540</v>
      </c>
      <c r="DH349" s="14" t="s">
        <v>539</v>
      </c>
      <c r="DI349" s="14">
        <f>INDEX(属性投放!$BL$6:$BL$85,(CV349-2)*20+CZ349)</f>
        <v>160</v>
      </c>
      <c r="DJ349" s="14">
        <f>SUMIFS(DI$5:DI349,$CT$5:$CT349,"="&amp;$CT349)</f>
        <v>2278</v>
      </c>
      <c r="DK349" s="14" t="s">
        <v>540</v>
      </c>
      <c r="DL349" s="14">
        <f>INDEX(属性投放!$BM$6:$BM$85,(CV349-2)*20+CZ349)</f>
        <v>3200</v>
      </c>
      <c r="DM349" s="14">
        <f>SUMIFS(DL$5:DL349,$CT$5:$CT349,"="&amp;$CT349)</f>
        <v>40835</v>
      </c>
      <c r="DR349" s="14">
        <f t="shared" si="647"/>
        <v>1102018</v>
      </c>
      <c r="DS349" s="14" t="str">
        <f t="shared" si="648"/>
        <v>噬日5突</v>
      </c>
      <c r="DT349" s="14">
        <f t="shared" si="659"/>
        <v>3</v>
      </c>
      <c r="DU349" s="14">
        <f t="shared" si="660"/>
        <v>3</v>
      </c>
      <c r="DV349" s="14">
        <f t="shared" si="661"/>
        <v>3</v>
      </c>
      <c r="DW349" s="14">
        <f t="shared" si="649"/>
        <v>2</v>
      </c>
      <c r="DX349" s="14">
        <f t="shared" si="650"/>
        <v>5</v>
      </c>
      <c r="DY349" s="14">
        <f t="shared" si="651"/>
        <v>5</v>
      </c>
      <c r="DZ349" s="14">
        <f>INDEX(属性投放!$AX$6:$AX$85,(卡牌属性!DW349-2)*20+卡牌属性!DX349)</f>
        <v>7</v>
      </c>
      <c r="EA349" s="14">
        <f>INDEX(属性投放!BQ$6:BQ$85,卡牌属性!$DY349)</f>
        <v>80</v>
      </c>
      <c r="EB349" s="14">
        <f>INDEX(属性投放!BR$6:BR$85,卡牌属性!$DY349)</f>
        <v>40</v>
      </c>
      <c r="EC349" s="14">
        <f>INDEX(属性投放!BS$6:BS$85,卡牌属性!$DY349)</f>
        <v>560</v>
      </c>
      <c r="ED349" s="14">
        <f t="shared" si="683"/>
        <v>485</v>
      </c>
      <c r="EE349" s="14">
        <f t="shared" si="684"/>
        <v>574</v>
      </c>
      <c r="EF349" s="14">
        <f t="shared" si="685"/>
        <v>667</v>
      </c>
      <c r="EG349" s="14">
        <f t="shared" si="686"/>
        <v>667</v>
      </c>
      <c r="EH349" s="14">
        <f t="shared" si="687"/>
        <v>750</v>
      </c>
      <c r="EI349" s="14">
        <f t="shared" si="688"/>
        <v>205</v>
      </c>
      <c r="EJ349" s="14">
        <f t="shared" si="689"/>
        <v>245</v>
      </c>
      <c r="EK349" s="14">
        <f t="shared" si="690"/>
        <v>245</v>
      </c>
      <c r="EL349" s="14">
        <f t="shared" si="691"/>
        <v>289</v>
      </c>
      <c r="EM349" s="14">
        <f t="shared" si="692"/>
        <v>333</v>
      </c>
      <c r="EN349" s="14">
        <f t="shared" si="693"/>
        <v>2750</v>
      </c>
      <c r="EO349" s="14">
        <f t="shared" si="694"/>
        <v>3254</v>
      </c>
      <c r="EP349" s="14">
        <f t="shared" si="695"/>
        <v>3254</v>
      </c>
      <c r="EQ349" s="14">
        <f t="shared" si="696"/>
        <v>3782</v>
      </c>
      <c r="ER349" s="14">
        <f t="shared" si="697"/>
        <v>4290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56</v>
      </c>
      <c r="FD349" s="14">
        <f>INDEX(属性偏向!$U$4:$U$243,(卡牌属性!$DV349-1+FD$3)*20+卡牌属性!$DX349)</f>
        <v>70</v>
      </c>
      <c r="FE349" s="14">
        <f>INDEX(属性偏向!$U$4:$U$243,(卡牌属性!$DV349-1+FE$3)*20+卡牌属性!$DX349)</f>
        <v>70</v>
      </c>
      <c r="FF349" s="14">
        <f>INDEX(属性偏向!$U$4:$U$243,(卡牌属性!$DV349-1+FF$3)*20+卡牌属性!$DX349)</f>
        <v>84</v>
      </c>
      <c r="FG349" s="14">
        <f>INDEX(属性偏向!$U$4:$U$243,(卡牌属性!$DV349-1+FG$3)*20+卡牌属性!$DX349)</f>
        <v>91</v>
      </c>
      <c r="FH349" s="14">
        <f>INDEX(属性投放!$BQ$6:$BQ$85,(卡牌属性!$DW349-2)*20+卡牌属性!$DX349)</f>
        <v>80</v>
      </c>
      <c r="FI349" s="14">
        <f>INDEX(属性投放!$BQ$6:$BQ$85,(卡牌属性!$DW349-2)*20+卡牌属性!$DX349)</f>
        <v>80</v>
      </c>
      <c r="FJ349" s="14">
        <f>INDEX(属性投放!$BQ$6:$BQ$85,(卡牌属性!$DW349-2)*20+卡牌属性!$DX349)</f>
        <v>80</v>
      </c>
      <c r="FK349" s="14">
        <f>INDEX(属性投放!$BQ$6:$BQ$85,(卡牌属性!$DW349-2)*20+卡牌属性!$DX349)</f>
        <v>80</v>
      </c>
      <c r="FL349" s="14">
        <f>INDEX(属性投放!$BQ$6:$BQ$85,(卡牌属性!$DW349-2)*20+卡牌属性!$DX349)</f>
        <v>80</v>
      </c>
      <c r="FM349" s="14">
        <f>INDEX(属性投放!$BR$6:$BR$85,(卡牌属性!$DW349-2)*20+卡牌属性!$DX349)</f>
        <v>40</v>
      </c>
      <c r="FN349" s="14">
        <f>INDEX(属性投放!$BR$6:$BR$85,(卡牌属性!$DW349-2)*20+卡牌属性!$DX349)</f>
        <v>40</v>
      </c>
      <c r="FO349" s="14">
        <f>INDEX(属性投放!$BR$6:$BR$85,(卡牌属性!$DW349-2)*20+卡牌属性!$DX349)</f>
        <v>40</v>
      </c>
      <c r="FP349" s="14">
        <f>INDEX(属性投放!$BR$6:$BR$85,(卡牌属性!$DW349-2)*20+卡牌属性!$DX349)</f>
        <v>40</v>
      </c>
      <c r="FQ349" s="14">
        <f>INDEX(属性投放!$BR$6:$BR$85,(卡牌属性!$DW349-2)*20+卡牌属性!$DX349)</f>
        <v>40</v>
      </c>
      <c r="FR349" s="14">
        <f>INDEX(属性投放!$BS$6:$BS$85,(卡牌属性!$DW349-2)*20+卡牌属性!$DX349)</f>
        <v>560</v>
      </c>
      <c r="FS349" s="14">
        <f>INDEX(属性投放!$BS$6:$BS$85,(卡牌属性!$DW349-2)*20+卡牌属性!$DX349)</f>
        <v>560</v>
      </c>
      <c r="FT349" s="14">
        <f>INDEX(属性投放!$BS$6:$BS$85,(卡牌属性!$DW349-2)*20+卡牌属性!$DX349)</f>
        <v>560</v>
      </c>
      <c r="FU349" s="14">
        <f>INDEX(属性投放!$BS$6:$BS$85,(卡牌属性!$DW349-2)*20+卡牌属性!$DX349)</f>
        <v>560</v>
      </c>
      <c r="FV349" s="14">
        <f>INDEX(属性投放!$BS$6:$BS$85,(卡牌属性!$DW349-2)*20+卡牌属性!$DX349)</f>
        <v>560</v>
      </c>
    </row>
    <row r="350" spans="31:178" ht="16.5" x14ac:dyDescent="0.2">
      <c r="AE350" s="13">
        <v>346</v>
      </c>
      <c r="AF350" s="13">
        <f t="shared" si="652"/>
        <v>18</v>
      </c>
      <c r="AG350" s="13">
        <f t="shared" si="633"/>
        <v>3</v>
      </c>
      <c r="AH350" s="13"/>
      <c r="AI350" s="13"/>
      <c r="AJ350" s="14">
        <f t="shared" si="634"/>
        <v>1101020</v>
      </c>
      <c r="AK350" s="14" t="str">
        <f t="shared" si="635"/>
        <v>姬烟华6突</v>
      </c>
      <c r="AL350" s="25" t="s">
        <v>142</v>
      </c>
      <c r="AM350" s="14">
        <v>1</v>
      </c>
      <c r="AN350" s="14">
        <f t="shared" si="636"/>
        <v>6</v>
      </c>
      <c r="AO350" s="14">
        <f>INDEX(属性投放!$DF$6:$DF$85,(卡牌属性!AG350-2)*20+卡牌属性!AN350)</f>
        <v>654</v>
      </c>
      <c r="AP350" s="14">
        <f t="shared" si="677"/>
        <v>654</v>
      </c>
      <c r="AQ350" s="14">
        <f t="shared" si="677"/>
        <v>654</v>
      </c>
      <c r="AR350" s="14">
        <f t="shared" si="677"/>
        <v>654</v>
      </c>
      <c r="AS350" s="14">
        <f t="shared" si="677"/>
        <v>654</v>
      </c>
      <c r="AT350" s="14">
        <f>INDEX(属性投放!$DG$6:$DG$85,(卡牌属性!AG350-2)*20+卡牌属性!AN350)</f>
        <v>248</v>
      </c>
      <c r="AU350" s="14">
        <f t="shared" si="678"/>
        <v>248</v>
      </c>
      <c r="AV350" s="14">
        <f t="shared" si="678"/>
        <v>248</v>
      </c>
      <c r="AW350" s="14">
        <f t="shared" si="678"/>
        <v>248</v>
      </c>
      <c r="AX350" s="14">
        <f t="shared" si="678"/>
        <v>248</v>
      </c>
      <c r="AY350" s="14">
        <f>INDEX(属性投放!$DH$6:$DH$85,(卡牌属性!AG350-2)*20+卡牌属性!AN350)</f>
        <v>3567</v>
      </c>
      <c r="AZ350" s="14">
        <f t="shared" si="679"/>
        <v>3567</v>
      </c>
      <c r="BA350" s="14">
        <f t="shared" si="679"/>
        <v>3567</v>
      </c>
      <c r="BB350" s="14">
        <f t="shared" si="679"/>
        <v>3567</v>
      </c>
      <c r="BC350" s="14">
        <f t="shared" si="679"/>
        <v>3567</v>
      </c>
      <c r="BD350" s="14">
        <f>INDEX(属性投放!$DL$6:$DL$85,(卡牌属性!AG350-2)*20+卡牌属性!AN350)</f>
        <v>30</v>
      </c>
      <c r="BE350" s="14">
        <f t="shared" si="680"/>
        <v>30</v>
      </c>
      <c r="BF350" s="14">
        <f t="shared" si="680"/>
        <v>30</v>
      </c>
      <c r="BG350" s="14">
        <f t="shared" si="680"/>
        <v>30</v>
      </c>
      <c r="BH350" s="14">
        <f t="shared" si="680"/>
        <v>30</v>
      </c>
      <c r="BI350" s="14">
        <f>INDEX(属性投放!$DM$6:$DM$85,(卡牌属性!AG350-2)*20+卡牌属性!AN350)</f>
        <v>15</v>
      </c>
      <c r="BJ350" s="14">
        <f t="shared" si="681"/>
        <v>15</v>
      </c>
      <c r="BK350" s="14">
        <f t="shared" si="681"/>
        <v>15</v>
      </c>
      <c r="BL350" s="14">
        <f t="shared" si="681"/>
        <v>15</v>
      </c>
      <c r="BM350" s="14">
        <f t="shared" si="681"/>
        <v>15</v>
      </c>
      <c r="BN350" s="14">
        <f>INDEX(属性投放!$DN$6:$DN$85,(卡牌属性!AG350-2)*20+卡牌属性!AN350)</f>
        <v>208</v>
      </c>
      <c r="BO350" s="14">
        <f t="shared" si="682"/>
        <v>208</v>
      </c>
      <c r="BP350" s="14">
        <f t="shared" si="682"/>
        <v>208</v>
      </c>
      <c r="BQ350" s="14">
        <f t="shared" si="682"/>
        <v>208</v>
      </c>
      <c r="BR350" s="14">
        <f t="shared" si="682"/>
        <v>208</v>
      </c>
      <c r="BW350" s="13">
        <v>346</v>
      </c>
      <c r="BX350" s="13">
        <f t="shared" si="643"/>
        <v>18</v>
      </c>
      <c r="BY350" s="14">
        <f t="shared" si="644"/>
        <v>2</v>
      </c>
      <c r="BZ350" s="14">
        <f t="shared" si="653"/>
        <v>1102018</v>
      </c>
      <c r="CA350" s="14" t="str">
        <f t="shared" si="654"/>
        <v>噬日6突</v>
      </c>
      <c r="CB350" s="25" t="s">
        <v>142</v>
      </c>
      <c r="CC350" s="14">
        <v>2</v>
      </c>
      <c r="CD350" s="14">
        <f t="shared" si="645"/>
        <v>6</v>
      </c>
      <c r="CE350" s="14" t="s">
        <v>21</v>
      </c>
      <c r="CF350" s="14">
        <f>INDEX(属性投放!$AZ$6:$AZ$85,(BY350-2)*20+CD350)</f>
        <v>856</v>
      </c>
      <c r="CG350" s="14" t="s">
        <v>22</v>
      </c>
      <c r="CH350" s="14">
        <f>INDEX(属性投放!$BA$6:$BA$85,(BY350-2)*20+CD350)</f>
        <v>383</v>
      </c>
      <c r="CI350" s="14" t="s">
        <v>510</v>
      </c>
      <c r="CJ350" s="14">
        <f>INDEX(属性投放!$BB$6:$BB$85,(BY350-2)*20+CD350)</f>
        <v>5242</v>
      </c>
      <c r="CK350" s="14" t="s">
        <v>21</v>
      </c>
      <c r="CL350" s="14">
        <f>INDEX(属性投放!$BC$6:$BC$85,(BY350-2)*20+CD350)</f>
        <v>8</v>
      </c>
      <c r="CM350" s="14" t="s">
        <v>22</v>
      </c>
      <c r="CN350" s="14">
        <f>INDEX(属性投放!$BD$6:$BD$85,(BY350-2)*20+CD350)</f>
        <v>4</v>
      </c>
      <c r="CO350" s="14" t="s">
        <v>510</v>
      </c>
      <c r="CP350" s="14">
        <f>INDEX(属性投放!$BE$6:$BE$85,(BY350-2)*20+CD350)</f>
        <v>56</v>
      </c>
      <c r="CS350" s="13">
        <v>346</v>
      </c>
      <c r="CT350" s="13">
        <f t="shared" si="655"/>
        <v>7</v>
      </c>
      <c r="CU350" s="13">
        <f t="shared" si="656"/>
        <v>34</v>
      </c>
      <c r="CV350" s="14">
        <f t="shared" si="657"/>
        <v>4</v>
      </c>
      <c r="CW350" s="14">
        <f t="shared" si="658"/>
        <v>1102007</v>
      </c>
      <c r="CX350" s="14" t="str">
        <f>INDEX($O$6:$O$50,CT350)&amp;"-"&amp;INDEX(属性投放!$AB$7:$AB$50,CZ350)&amp;"-魂火-"&amp;DB350</f>
        <v>天使缇娜-焦热+2-魂火-1</v>
      </c>
      <c r="CY350" s="25" t="s">
        <v>142</v>
      </c>
      <c r="CZ350" s="14">
        <f>INDEX(属性投放!$AM$7:$AM$58,CU350)</f>
        <v>15</v>
      </c>
      <c r="DA350" s="14" t="s">
        <v>537</v>
      </c>
      <c r="DB350" s="14">
        <f>INDEX(属性投放!$AN$7:$AN$58,CU350)</f>
        <v>1</v>
      </c>
      <c r="DC350" s="14">
        <f t="shared" si="646"/>
        <v>34</v>
      </c>
      <c r="DD350" s="14">
        <f>INDEX(属性投放!$AO$7:$AO$58,DC350)</f>
        <v>103</v>
      </c>
      <c r="DE350" s="14" t="s">
        <v>538</v>
      </c>
      <c r="DF350" s="14">
        <f>INDEX(属性投放!$BK$6:$BK$85,(CV350-2)*20+CZ350)</f>
        <v>445</v>
      </c>
      <c r="DG350" s="14">
        <f>SUMIFS(DF$5:DF350,$CT$5:$CT350,"="&amp;$CT350)</f>
        <v>4985</v>
      </c>
      <c r="DH350" s="14" t="s">
        <v>539</v>
      </c>
      <c r="DI350" s="14">
        <f>INDEX(属性投放!$BL$6:$BL$85,(CV350-2)*20+CZ350)</f>
        <v>223</v>
      </c>
      <c r="DJ350" s="14">
        <f>SUMIFS(DI$5:DI350,$CT$5:$CT350,"="&amp;$CT350)</f>
        <v>2501</v>
      </c>
      <c r="DK350" s="14" t="s">
        <v>540</v>
      </c>
      <c r="DL350" s="14">
        <f>INDEX(属性投放!$BM$6:$BM$85,(CV350-2)*20+CZ350)</f>
        <v>4450</v>
      </c>
      <c r="DM350" s="14">
        <f>SUMIFS(DL$5:DL350,$CT$5:$CT350,"="&amp;$CT350)</f>
        <v>45285</v>
      </c>
      <c r="DR350" s="14">
        <f t="shared" si="647"/>
        <v>1102018</v>
      </c>
      <c r="DS350" s="14" t="str">
        <f t="shared" si="648"/>
        <v>噬日6突</v>
      </c>
      <c r="DT350" s="14">
        <f t="shared" si="659"/>
        <v>3</v>
      </c>
      <c r="DU350" s="14">
        <f t="shared" si="660"/>
        <v>3</v>
      </c>
      <c r="DV350" s="14">
        <f t="shared" si="661"/>
        <v>3</v>
      </c>
      <c r="DW350" s="14">
        <f t="shared" si="649"/>
        <v>2</v>
      </c>
      <c r="DX350" s="14">
        <f t="shared" si="650"/>
        <v>6</v>
      </c>
      <c r="DY350" s="14">
        <f t="shared" si="651"/>
        <v>6</v>
      </c>
      <c r="DZ350" s="14">
        <f>INDEX(属性投放!$AX$6:$AX$85,(卡牌属性!DW350-2)*20+卡牌属性!DX350)</f>
        <v>5</v>
      </c>
      <c r="EA350" s="14">
        <f>INDEX(属性投放!BQ$6:BQ$85,卡牌属性!$DY350)</f>
        <v>100</v>
      </c>
      <c r="EB350" s="14">
        <f>INDEX(属性投放!BR$6:BR$85,卡牌属性!$DY350)</f>
        <v>50</v>
      </c>
      <c r="EC350" s="14">
        <f>INDEX(属性投放!BS$6:BS$85,卡牌属性!$DY350)</f>
        <v>700</v>
      </c>
      <c r="ED350" s="14">
        <f t="shared" si="683"/>
        <v>621</v>
      </c>
      <c r="EE350" s="14">
        <f t="shared" si="684"/>
        <v>724</v>
      </c>
      <c r="EF350" s="14">
        <f t="shared" si="685"/>
        <v>831</v>
      </c>
      <c r="EG350" s="14">
        <f t="shared" si="686"/>
        <v>831</v>
      </c>
      <c r="EH350" s="14">
        <f t="shared" si="687"/>
        <v>921</v>
      </c>
      <c r="EI350" s="14">
        <f t="shared" si="688"/>
        <v>273</v>
      </c>
      <c r="EJ350" s="14">
        <f t="shared" si="689"/>
        <v>320</v>
      </c>
      <c r="EK350" s="14">
        <f t="shared" si="690"/>
        <v>320</v>
      </c>
      <c r="EL350" s="14">
        <f t="shared" si="691"/>
        <v>371</v>
      </c>
      <c r="EM350" s="14">
        <f t="shared" si="692"/>
        <v>422</v>
      </c>
      <c r="EN350" s="14">
        <f t="shared" si="693"/>
        <v>3702</v>
      </c>
      <c r="EO350" s="14">
        <f t="shared" si="694"/>
        <v>4304</v>
      </c>
      <c r="EP350" s="14">
        <f t="shared" si="695"/>
        <v>4304</v>
      </c>
      <c r="EQ350" s="14">
        <f t="shared" si="696"/>
        <v>4930</v>
      </c>
      <c r="ER350" s="14">
        <f t="shared" si="697"/>
        <v>5487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56</v>
      </c>
      <c r="FD350" s="14">
        <f>INDEX(属性偏向!$U$4:$U$243,(卡牌属性!$DV350-1+FD$3)*20+卡牌属性!$DX350)</f>
        <v>70</v>
      </c>
      <c r="FE350" s="14">
        <f>INDEX(属性偏向!$U$4:$U$243,(卡牌属性!$DV350-1+FE$3)*20+卡牌属性!$DX350)</f>
        <v>70</v>
      </c>
      <c r="FF350" s="14">
        <f>INDEX(属性偏向!$U$4:$U$243,(卡牌属性!$DV350-1+FF$3)*20+卡牌属性!$DX350)</f>
        <v>84</v>
      </c>
      <c r="FG350" s="14">
        <f>INDEX(属性偏向!$U$4:$U$243,(卡牌属性!$DV350-1+FG$3)*20+卡牌属性!$DX350)</f>
        <v>91</v>
      </c>
      <c r="FH350" s="14">
        <f>INDEX(属性投放!$BQ$6:$BQ$85,(卡牌属性!$DW350-2)*20+卡牌属性!$DX350)</f>
        <v>100</v>
      </c>
      <c r="FI350" s="14">
        <f>INDEX(属性投放!$BQ$6:$BQ$85,(卡牌属性!$DW350-2)*20+卡牌属性!$DX350)</f>
        <v>100</v>
      </c>
      <c r="FJ350" s="14">
        <f>INDEX(属性投放!$BQ$6:$BQ$85,(卡牌属性!$DW350-2)*20+卡牌属性!$DX350)</f>
        <v>100</v>
      </c>
      <c r="FK350" s="14">
        <f>INDEX(属性投放!$BQ$6:$BQ$85,(卡牌属性!$DW350-2)*20+卡牌属性!$DX350)</f>
        <v>100</v>
      </c>
      <c r="FL350" s="14">
        <f>INDEX(属性投放!$BQ$6:$BQ$85,(卡牌属性!$DW350-2)*20+卡牌属性!$DX350)</f>
        <v>100</v>
      </c>
      <c r="FM350" s="14">
        <f>INDEX(属性投放!$BR$6:$BR$85,(卡牌属性!$DW350-2)*20+卡牌属性!$DX350)</f>
        <v>50</v>
      </c>
      <c r="FN350" s="14">
        <f>INDEX(属性投放!$BR$6:$BR$85,(卡牌属性!$DW350-2)*20+卡牌属性!$DX350)</f>
        <v>50</v>
      </c>
      <c r="FO350" s="14">
        <f>INDEX(属性投放!$BR$6:$BR$85,(卡牌属性!$DW350-2)*20+卡牌属性!$DX350)</f>
        <v>50</v>
      </c>
      <c r="FP350" s="14">
        <f>INDEX(属性投放!$BR$6:$BR$85,(卡牌属性!$DW350-2)*20+卡牌属性!$DX350)</f>
        <v>50</v>
      </c>
      <c r="FQ350" s="14">
        <f>INDEX(属性投放!$BR$6:$BR$85,(卡牌属性!$DW350-2)*20+卡牌属性!$DX350)</f>
        <v>50</v>
      </c>
      <c r="FR350" s="14">
        <f>INDEX(属性投放!$BS$6:$BS$85,(卡牌属性!$DW350-2)*20+卡牌属性!$DX350)</f>
        <v>700</v>
      </c>
      <c r="FS350" s="14">
        <f>INDEX(属性投放!$BS$6:$BS$85,(卡牌属性!$DW350-2)*20+卡牌属性!$DX350)</f>
        <v>700</v>
      </c>
      <c r="FT350" s="14">
        <f>INDEX(属性投放!$BS$6:$BS$85,(卡牌属性!$DW350-2)*20+卡牌属性!$DX350)</f>
        <v>700</v>
      </c>
      <c r="FU350" s="14">
        <f>INDEX(属性投放!$BS$6:$BS$85,(卡牌属性!$DW350-2)*20+卡牌属性!$DX350)</f>
        <v>700</v>
      </c>
      <c r="FV350" s="14">
        <f>INDEX(属性投放!$BS$6:$BS$85,(卡牌属性!$DW350-2)*20+卡牌属性!$DX350)</f>
        <v>700</v>
      </c>
    </row>
    <row r="351" spans="31:178" ht="16.5" x14ac:dyDescent="0.2">
      <c r="AE351" s="13">
        <v>347</v>
      </c>
      <c r="AF351" s="13">
        <f t="shared" si="652"/>
        <v>18</v>
      </c>
      <c r="AG351" s="13">
        <f t="shared" si="633"/>
        <v>3</v>
      </c>
      <c r="AH351" s="13"/>
      <c r="AI351" s="13"/>
      <c r="AJ351" s="14">
        <f t="shared" si="634"/>
        <v>1101020</v>
      </c>
      <c r="AK351" s="14" t="str">
        <f t="shared" si="635"/>
        <v>姬烟华7突</v>
      </c>
      <c r="AL351" s="25" t="s">
        <v>142</v>
      </c>
      <c r="AM351" s="14">
        <v>1</v>
      </c>
      <c r="AN351" s="14">
        <f t="shared" si="636"/>
        <v>7</v>
      </c>
      <c r="AO351" s="14">
        <f>INDEX(属性投放!$DF$6:$DF$85,(卡牌属性!AG351-2)*20+卡牌属性!AN351)</f>
        <v>1489</v>
      </c>
      <c r="AP351" s="14">
        <f t="shared" si="677"/>
        <v>1489</v>
      </c>
      <c r="AQ351" s="14">
        <f t="shared" si="677"/>
        <v>1489</v>
      </c>
      <c r="AR351" s="14">
        <f t="shared" si="677"/>
        <v>1489</v>
      </c>
      <c r="AS351" s="14">
        <f t="shared" si="677"/>
        <v>1489</v>
      </c>
      <c r="AT351" s="14">
        <f>INDEX(属性投放!$DG$6:$DG$85,(卡牌属性!AG351-2)*20+卡牌属性!AN351)</f>
        <v>666</v>
      </c>
      <c r="AU351" s="14">
        <f t="shared" si="678"/>
        <v>666</v>
      </c>
      <c r="AV351" s="14">
        <f t="shared" si="678"/>
        <v>666</v>
      </c>
      <c r="AW351" s="14">
        <f t="shared" si="678"/>
        <v>666</v>
      </c>
      <c r="AX351" s="14">
        <f t="shared" si="678"/>
        <v>666</v>
      </c>
      <c r="AY351" s="14">
        <f>INDEX(属性投放!$DH$6:$DH$85,(卡牌属性!AG351-2)*20+卡牌属性!AN351)</f>
        <v>9361</v>
      </c>
      <c r="AZ351" s="14">
        <f t="shared" si="679"/>
        <v>9361</v>
      </c>
      <c r="BA351" s="14">
        <f t="shared" si="679"/>
        <v>9361</v>
      </c>
      <c r="BB351" s="14">
        <f t="shared" si="679"/>
        <v>9361</v>
      </c>
      <c r="BC351" s="14">
        <f t="shared" si="679"/>
        <v>9361</v>
      </c>
      <c r="BD351" s="14">
        <f>INDEX(属性投放!$DL$6:$DL$85,(卡牌属性!AG351-2)*20+卡牌属性!AN351)</f>
        <v>46</v>
      </c>
      <c r="BE351" s="14">
        <f t="shared" si="680"/>
        <v>46</v>
      </c>
      <c r="BF351" s="14">
        <f t="shared" si="680"/>
        <v>46</v>
      </c>
      <c r="BG351" s="14">
        <f t="shared" si="680"/>
        <v>46</v>
      </c>
      <c r="BH351" s="14">
        <f t="shared" si="680"/>
        <v>46</v>
      </c>
      <c r="BI351" s="14">
        <f>INDEX(属性投放!$DM$6:$DM$85,(卡牌属性!AG351-2)*20+卡牌属性!AN351)</f>
        <v>24</v>
      </c>
      <c r="BJ351" s="14">
        <f t="shared" si="681"/>
        <v>24</v>
      </c>
      <c r="BK351" s="14">
        <f t="shared" si="681"/>
        <v>24</v>
      </c>
      <c r="BL351" s="14">
        <f t="shared" si="681"/>
        <v>24</v>
      </c>
      <c r="BM351" s="14">
        <f t="shared" si="681"/>
        <v>24</v>
      </c>
      <c r="BN351" s="14">
        <f>INDEX(属性投放!$DN$6:$DN$85,(卡牌属性!AG351-2)*20+卡牌属性!AN351)</f>
        <v>371</v>
      </c>
      <c r="BO351" s="14">
        <f t="shared" si="682"/>
        <v>371</v>
      </c>
      <c r="BP351" s="14">
        <f t="shared" si="682"/>
        <v>371</v>
      </c>
      <c r="BQ351" s="14">
        <f t="shared" si="682"/>
        <v>371</v>
      </c>
      <c r="BR351" s="14">
        <f t="shared" si="682"/>
        <v>371</v>
      </c>
      <c r="BW351" s="13">
        <v>347</v>
      </c>
      <c r="BX351" s="13">
        <f t="shared" si="643"/>
        <v>18</v>
      </c>
      <c r="BY351" s="14">
        <f t="shared" si="644"/>
        <v>2</v>
      </c>
      <c r="BZ351" s="14">
        <f t="shared" si="653"/>
        <v>1102018</v>
      </c>
      <c r="CA351" s="14" t="str">
        <f t="shared" si="654"/>
        <v>噬日7突</v>
      </c>
      <c r="CB351" s="25" t="s">
        <v>142</v>
      </c>
      <c r="CC351" s="14">
        <v>2</v>
      </c>
      <c r="CD351" s="14">
        <f t="shared" si="645"/>
        <v>7</v>
      </c>
      <c r="CE351" s="14" t="s">
        <v>21</v>
      </c>
      <c r="CF351" s="14">
        <f>INDEX(属性投放!$AZ$6:$AZ$85,(BY351-2)*20+CD351)</f>
        <v>1076</v>
      </c>
      <c r="CG351" s="14" t="s">
        <v>22</v>
      </c>
      <c r="CH351" s="14">
        <f>INDEX(属性投放!$BA$6:$BA$85,(BY351-2)*20+CD351)</f>
        <v>493</v>
      </c>
      <c r="CI351" s="14" t="s">
        <v>510</v>
      </c>
      <c r="CJ351" s="14">
        <f>INDEX(属性投放!$BB$6:$BB$85,(BY351-2)*20+CD351)</f>
        <v>6782</v>
      </c>
      <c r="CK351" s="14" t="s">
        <v>21</v>
      </c>
      <c r="CL351" s="14">
        <f>INDEX(属性投放!$BC$6:$BC$85,(BY351-2)*20+CD351)</f>
        <v>10</v>
      </c>
      <c r="CM351" s="14" t="s">
        <v>22</v>
      </c>
      <c r="CN351" s="14">
        <f>INDEX(属性投放!$BD$6:$BD$85,(BY351-2)*20+CD351)</f>
        <v>5</v>
      </c>
      <c r="CO351" s="14" t="s">
        <v>510</v>
      </c>
      <c r="CP351" s="14">
        <f>INDEX(属性投放!$BE$6:$BE$85,(BY351-2)*20+CD351)</f>
        <v>80</v>
      </c>
      <c r="CS351" s="13">
        <v>347</v>
      </c>
      <c r="CT351" s="13">
        <f t="shared" si="655"/>
        <v>7</v>
      </c>
      <c r="CU351" s="13">
        <f t="shared" si="656"/>
        <v>35</v>
      </c>
      <c r="CV351" s="14">
        <f t="shared" si="657"/>
        <v>4</v>
      </c>
      <c r="CW351" s="14">
        <f t="shared" si="658"/>
        <v>1102007</v>
      </c>
      <c r="CX351" s="14" t="str">
        <f>INDEX($O$6:$O$50,CT351)&amp;"-"&amp;INDEX(属性投放!$AB$7:$AB$50,CZ351)&amp;"-魂火-"&amp;DB351</f>
        <v>天使缇娜-焦热+2-魂火-2</v>
      </c>
      <c r="CY351" s="25" t="s">
        <v>142</v>
      </c>
      <c r="CZ351" s="14">
        <f>INDEX(属性投放!$AM$7:$AM$58,CU351)</f>
        <v>15</v>
      </c>
      <c r="DA351" s="14" t="s">
        <v>537</v>
      </c>
      <c r="DB351" s="14">
        <f>INDEX(属性投放!$AN$7:$AN$58,CU351)</f>
        <v>2</v>
      </c>
      <c r="DC351" s="14">
        <f t="shared" si="646"/>
        <v>35</v>
      </c>
      <c r="DD351" s="14">
        <f>INDEX(属性投放!$AO$7:$AO$58,DC351)</f>
        <v>105</v>
      </c>
      <c r="DE351" s="14" t="s">
        <v>538</v>
      </c>
      <c r="DF351" s="14">
        <f>INDEX(属性投放!$BK$6:$BK$85,(CV351-2)*20+CZ351)</f>
        <v>445</v>
      </c>
      <c r="DG351" s="14">
        <f>SUMIFS(DF$5:DF351,$CT$5:$CT351,"="&amp;$CT351)</f>
        <v>5430</v>
      </c>
      <c r="DH351" s="14" t="s">
        <v>539</v>
      </c>
      <c r="DI351" s="14">
        <f>INDEX(属性投放!$BL$6:$BL$85,(CV351-2)*20+CZ351)</f>
        <v>223</v>
      </c>
      <c r="DJ351" s="14">
        <f>SUMIFS(DI$5:DI351,$CT$5:$CT351,"="&amp;$CT351)</f>
        <v>2724</v>
      </c>
      <c r="DK351" s="14" t="s">
        <v>540</v>
      </c>
      <c r="DL351" s="14">
        <f>INDEX(属性投放!$BM$6:$BM$85,(CV351-2)*20+CZ351)</f>
        <v>4450</v>
      </c>
      <c r="DM351" s="14">
        <f>SUMIFS(DL$5:DL351,$CT$5:$CT351,"="&amp;$CT351)</f>
        <v>49735</v>
      </c>
      <c r="DR351" s="14">
        <f t="shared" si="647"/>
        <v>1102018</v>
      </c>
      <c r="DS351" s="14" t="str">
        <f t="shared" si="648"/>
        <v>噬日7突</v>
      </c>
      <c r="DT351" s="14">
        <f t="shared" si="659"/>
        <v>3</v>
      </c>
      <c r="DU351" s="14">
        <f t="shared" si="660"/>
        <v>3</v>
      </c>
      <c r="DV351" s="14">
        <f t="shared" si="661"/>
        <v>3</v>
      </c>
      <c r="DW351" s="14">
        <f t="shared" si="649"/>
        <v>2</v>
      </c>
      <c r="DX351" s="14">
        <f t="shared" si="650"/>
        <v>7</v>
      </c>
      <c r="DY351" s="14">
        <f t="shared" si="651"/>
        <v>7</v>
      </c>
      <c r="DZ351" s="14">
        <f>INDEX(属性投放!$AX$6:$AX$85,(卡牌属性!DW351-2)*20+卡牌属性!DX351)</f>
        <v>5</v>
      </c>
      <c r="EA351" s="14">
        <f>INDEX(属性投放!BQ$6:BQ$85,卡牌属性!$DY351)</f>
        <v>100</v>
      </c>
      <c r="EB351" s="14">
        <f>INDEX(属性投放!BR$6:BR$85,卡牌属性!$DY351)</f>
        <v>50</v>
      </c>
      <c r="EC351" s="14">
        <f>INDEX(属性投放!BS$6:BS$85,卡牌属性!$DY351)</f>
        <v>800</v>
      </c>
      <c r="ED351" s="14">
        <f t="shared" si="683"/>
        <v>761</v>
      </c>
      <c r="EE351" s="14">
        <f t="shared" si="684"/>
        <v>874</v>
      </c>
      <c r="EF351" s="14">
        <f t="shared" si="685"/>
        <v>991</v>
      </c>
      <c r="EG351" s="14">
        <f t="shared" si="686"/>
        <v>991</v>
      </c>
      <c r="EH351" s="14">
        <f t="shared" si="687"/>
        <v>1086</v>
      </c>
      <c r="EI351" s="14">
        <f t="shared" si="688"/>
        <v>343</v>
      </c>
      <c r="EJ351" s="14">
        <f t="shared" si="689"/>
        <v>395</v>
      </c>
      <c r="EK351" s="14">
        <f t="shared" si="690"/>
        <v>395</v>
      </c>
      <c r="EL351" s="14">
        <f t="shared" si="691"/>
        <v>451</v>
      </c>
      <c r="EM351" s="14">
        <f t="shared" si="692"/>
        <v>507</v>
      </c>
      <c r="EN351" s="14">
        <f t="shared" si="693"/>
        <v>4682</v>
      </c>
      <c r="EO351" s="14">
        <f t="shared" si="694"/>
        <v>5354</v>
      </c>
      <c r="EP351" s="14">
        <f t="shared" si="695"/>
        <v>5354</v>
      </c>
      <c r="EQ351" s="14">
        <f t="shared" si="696"/>
        <v>6050</v>
      </c>
      <c r="ER351" s="14">
        <f t="shared" si="697"/>
        <v>6642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80</v>
      </c>
      <c r="FD351" s="14">
        <f>INDEX(属性偏向!$U$4:$U$243,(卡牌属性!$DV351-1+FD$3)*20+卡牌属性!$DX351)</f>
        <v>96</v>
      </c>
      <c r="FE351" s="14">
        <f>INDEX(属性偏向!$U$4:$U$243,(卡牌属性!$DV351-1+FE$3)*20+卡牌属性!$DX351)</f>
        <v>96</v>
      </c>
      <c r="FF351" s="14">
        <f>INDEX(属性偏向!$U$4:$U$243,(卡牌属性!$DV351-1+FF$3)*20+卡牌属性!$DX351)</f>
        <v>120</v>
      </c>
      <c r="FG351" s="14">
        <f>INDEX(属性偏向!$U$4:$U$243,(卡牌属性!$DV351-1+FG$3)*20+卡牌属性!$DX351)</f>
        <v>128</v>
      </c>
      <c r="FH351" s="14">
        <f>INDEX(属性投放!$BQ$6:$BQ$85,(卡牌属性!$DW351-2)*20+卡牌属性!$DX351)</f>
        <v>100</v>
      </c>
      <c r="FI351" s="14">
        <f>INDEX(属性投放!$BQ$6:$BQ$85,(卡牌属性!$DW351-2)*20+卡牌属性!$DX351)</f>
        <v>100</v>
      </c>
      <c r="FJ351" s="14">
        <f>INDEX(属性投放!$BQ$6:$BQ$85,(卡牌属性!$DW351-2)*20+卡牌属性!$DX351)</f>
        <v>100</v>
      </c>
      <c r="FK351" s="14">
        <f>INDEX(属性投放!$BQ$6:$BQ$85,(卡牌属性!$DW351-2)*20+卡牌属性!$DX351)</f>
        <v>100</v>
      </c>
      <c r="FL351" s="14">
        <f>INDEX(属性投放!$BQ$6:$BQ$85,(卡牌属性!$DW351-2)*20+卡牌属性!$DX351)</f>
        <v>100</v>
      </c>
      <c r="FM351" s="14">
        <f>INDEX(属性投放!$BR$6:$BR$85,(卡牌属性!$DW351-2)*20+卡牌属性!$DX351)</f>
        <v>50</v>
      </c>
      <c r="FN351" s="14">
        <f>INDEX(属性投放!$BR$6:$BR$85,(卡牌属性!$DW351-2)*20+卡牌属性!$DX351)</f>
        <v>50</v>
      </c>
      <c r="FO351" s="14">
        <f>INDEX(属性投放!$BR$6:$BR$85,(卡牌属性!$DW351-2)*20+卡牌属性!$DX351)</f>
        <v>50</v>
      </c>
      <c r="FP351" s="14">
        <f>INDEX(属性投放!$BR$6:$BR$85,(卡牌属性!$DW351-2)*20+卡牌属性!$DX351)</f>
        <v>50</v>
      </c>
      <c r="FQ351" s="14">
        <f>INDEX(属性投放!$BR$6:$BR$85,(卡牌属性!$DW351-2)*20+卡牌属性!$DX351)</f>
        <v>50</v>
      </c>
      <c r="FR351" s="14">
        <f>INDEX(属性投放!$BS$6:$BS$85,(卡牌属性!$DW351-2)*20+卡牌属性!$DX351)</f>
        <v>800</v>
      </c>
      <c r="FS351" s="14">
        <f>INDEX(属性投放!$BS$6:$BS$85,(卡牌属性!$DW351-2)*20+卡牌属性!$DX351)</f>
        <v>800</v>
      </c>
      <c r="FT351" s="14">
        <f>INDEX(属性投放!$BS$6:$BS$85,(卡牌属性!$DW351-2)*20+卡牌属性!$DX351)</f>
        <v>800</v>
      </c>
      <c r="FU351" s="14">
        <f>INDEX(属性投放!$BS$6:$BS$85,(卡牌属性!$DW351-2)*20+卡牌属性!$DX351)</f>
        <v>800</v>
      </c>
      <c r="FV351" s="14">
        <f>INDEX(属性投放!$BS$6:$BS$85,(卡牌属性!$DW351-2)*20+卡牌属性!$DX351)</f>
        <v>800</v>
      </c>
    </row>
    <row r="352" spans="31:178" ht="16.5" x14ac:dyDescent="0.2">
      <c r="AE352" s="13">
        <v>348</v>
      </c>
      <c r="AF352" s="13">
        <f t="shared" si="652"/>
        <v>18</v>
      </c>
      <c r="AG352" s="13">
        <f t="shared" si="633"/>
        <v>3</v>
      </c>
      <c r="AH352" s="13"/>
      <c r="AI352" s="13"/>
      <c r="AJ352" s="14">
        <f t="shared" si="634"/>
        <v>1101020</v>
      </c>
      <c r="AK352" s="14" t="str">
        <f t="shared" si="635"/>
        <v>姬烟华8突</v>
      </c>
      <c r="AL352" s="25" t="s">
        <v>142</v>
      </c>
      <c r="AM352" s="14">
        <v>1</v>
      </c>
      <c r="AN352" s="14">
        <f t="shared" si="636"/>
        <v>8</v>
      </c>
      <c r="AO352" s="14">
        <f>INDEX(属性投放!$DF$6:$DF$85,(卡牌属性!AG352-2)*20+卡牌属性!AN352)</f>
        <v>1622</v>
      </c>
      <c r="AP352" s="14">
        <f t="shared" si="677"/>
        <v>1622</v>
      </c>
      <c r="AQ352" s="14">
        <f t="shared" si="677"/>
        <v>1622</v>
      </c>
      <c r="AR352" s="14">
        <f t="shared" si="677"/>
        <v>1622</v>
      </c>
      <c r="AS352" s="14">
        <f t="shared" si="677"/>
        <v>1622</v>
      </c>
      <c r="AT352" s="14">
        <f>INDEX(属性投放!$DG$6:$DG$85,(卡牌属性!AG352-2)*20+卡牌属性!AN352)</f>
        <v>733</v>
      </c>
      <c r="AU352" s="14">
        <f t="shared" si="678"/>
        <v>733</v>
      </c>
      <c r="AV352" s="14">
        <f t="shared" si="678"/>
        <v>733</v>
      </c>
      <c r="AW352" s="14">
        <f t="shared" si="678"/>
        <v>733</v>
      </c>
      <c r="AX352" s="14">
        <f t="shared" si="678"/>
        <v>733</v>
      </c>
      <c r="AY352" s="14">
        <f>INDEX(属性投放!$DH$6:$DH$85,(卡牌属性!AG352-2)*20+卡牌属性!AN352)</f>
        <v>10421</v>
      </c>
      <c r="AZ352" s="14">
        <f t="shared" si="679"/>
        <v>10421</v>
      </c>
      <c r="BA352" s="14">
        <f t="shared" si="679"/>
        <v>10421</v>
      </c>
      <c r="BB352" s="14">
        <f t="shared" si="679"/>
        <v>10421</v>
      </c>
      <c r="BC352" s="14">
        <f t="shared" si="679"/>
        <v>10421</v>
      </c>
      <c r="BD352" s="14">
        <f>INDEX(属性投放!$DL$6:$DL$85,(卡牌属性!AG352-2)*20+卡牌属性!AN352)</f>
        <v>46</v>
      </c>
      <c r="BE352" s="14">
        <f t="shared" si="680"/>
        <v>46</v>
      </c>
      <c r="BF352" s="14">
        <f t="shared" si="680"/>
        <v>46</v>
      </c>
      <c r="BG352" s="14">
        <f t="shared" si="680"/>
        <v>46</v>
      </c>
      <c r="BH352" s="14">
        <f t="shared" si="680"/>
        <v>46</v>
      </c>
      <c r="BI352" s="14">
        <f>INDEX(属性投放!$DM$6:$DM$85,(卡牌属性!AG352-2)*20+卡牌属性!AN352)</f>
        <v>24</v>
      </c>
      <c r="BJ352" s="14">
        <f t="shared" si="681"/>
        <v>24</v>
      </c>
      <c r="BK352" s="14">
        <f t="shared" si="681"/>
        <v>24</v>
      </c>
      <c r="BL352" s="14">
        <f t="shared" si="681"/>
        <v>24</v>
      </c>
      <c r="BM352" s="14">
        <f t="shared" si="681"/>
        <v>24</v>
      </c>
      <c r="BN352" s="14">
        <f>INDEX(属性投放!$DN$6:$DN$85,(卡牌属性!AG352-2)*20+卡牌属性!AN352)</f>
        <v>371</v>
      </c>
      <c r="BO352" s="14">
        <f t="shared" si="682"/>
        <v>371</v>
      </c>
      <c r="BP352" s="14">
        <f t="shared" si="682"/>
        <v>371</v>
      </c>
      <c r="BQ352" s="14">
        <f t="shared" si="682"/>
        <v>371</v>
      </c>
      <c r="BR352" s="14">
        <f t="shared" si="682"/>
        <v>371</v>
      </c>
      <c r="BW352" s="13">
        <v>348</v>
      </c>
      <c r="BX352" s="13">
        <f t="shared" si="643"/>
        <v>18</v>
      </c>
      <c r="BY352" s="14">
        <f t="shared" si="644"/>
        <v>2</v>
      </c>
      <c r="BZ352" s="14">
        <f t="shared" si="653"/>
        <v>1102018</v>
      </c>
      <c r="CA352" s="14" t="str">
        <f t="shared" si="654"/>
        <v>噬日8突</v>
      </c>
      <c r="CB352" s="25" t="s">
        <v>142</v>
      </c>
      <c r="CC352" s="14">
        <v>2</v>
      </c>
      <c r="CD352" s="14">
        <f t="shared" si="645"/>
        <v>8</v>
      </c>
      <c r="CE352" s="14" t="s">
        <v>21</v>
      </c>
      <c r="CF352" s="14">
        <f>INDEX(属性投放!$AZ$6:$AZ$85,(BY352-2)*20+CD352)</f>
        <v>1336</v>
      </c>
      <c r="CG352" s="14" t="s">
        <v>22</v>
      </c>
      <c r="CH352" s="14">
        <f>INDEX(属性投放!$BA$6:$BA$85,(BY352-2)*20+CD352)</f>
        <v>624</v>
      </c>
      <c r="CI352" s="14" t="s">
        <v>510</v>
      </c>
      <c r="CJ352" s="14">
        <f>INDEX(属性投放!$BB$6:$BB$85,(BY352-2)*20+CD352)</f>
        <v>8862</v>
      </c>
      <c r="CK352" s="14" t="s">
        <v>21</v>
      </c>
      <c r="CL352" s="14">
        <f>INDEX(属性投放!$BC$6:$BC$85,(BY352-2)*20+CD352)</f>
        <v>10</v>
      </c>
      <c r="CM352" s="14" t="s">
        <v>22</v>
      </c>
      <c r="CN352" s="14">
        <f>INDEX(属性投放!$BD$6:$BD$85,(BY352-2)*20+CD352)</f>
        <v>5</v>
      </c>
      <c r="CO352" s="14" t="s">
        <v>510</v>
      </c>
      <c r="CP352" s="14">
        <f>INDEX(属性投放!$BE$6:$BE$85,(BY352-2)*20+CD352)</f>
        <v>80</v>
      </c>
      <c r="CS352" s="13">
        <v>348</v>
      </c>
      <c r="CT352" s="13">
        <f t="shared" si="655"/>
        <v>7</v>
      </c>
      <c r="CU352" s="13">
        <f t="shared" si="656"/>
        <v>36</v>
      </c>
      <c r="CV352" s="14">
        <f t="shared" si="657"/>
        <v>4</v>
      </c>
      <c r="CW352" s="14">
        <f t="shared" si="658"/>
        <v>1102007</v>
      </c>
      <c r="CX352" s="14" t="str">
        <f>INDEX($O$6:$O$50,CT352)&amp;"-"&amp;INDEX(属性投放!$AB$7:$AB$50,CZ352)&amp;"-魂火-"&amp;DB352</f>
        <v>天使缇娜-焦热+2-魂火-3</v>
      </c>
      <c r="CY352" s="25" t="s">
        <v>142</v>
      </c>
      <c r="CZ352" s="14">
        <f>INDEX(属性投放!$AM$7:$AM$58,CU352)</f>
        <v>15</v>
      </c>
      <c r="DA352" s="14" t="s">
        <v>537</v>
      </c>
      <c r="DB352" s="14">
        <f>INDEX(属性投放!$AN$7:$AN$58,CU352)</f>
        <v>3</v>
      </c>
      <c r="DC352" s="14">
        <f t="shared" si="646"/>
        <v>36</v>
      </c>
      <c r="DD352" s="14">
        <f>INDEX(属性投放!$AO$7:$AO$58,DC352)</f>
        <v>108</v>
      </c>
      <c r="DE352" s="14" t="s">
        <v>538</v>
      </c>
      <c r="DF352" s="14">
        <f>INDEX(属性投放!$BK$6:$BK$85,(CV352-2)*20+CZ352)</f>
        <v>445</v>
      </c>
      <c r="DG352" s="14">
        <f>SUMIFS(DF$5:DF352,$CT$5:$CT352,"="&amp;$CT352)</f>
        <v>5875</v>
      </c>
      <c r="DH352" s="14" t="s">
        <v>539</v>
      </c>
      <c r="DI352" s="14">
        <f>INDEX(属性投放!$BL$6:$BL$85,(CV352-2)*20+CZ352)</f>
        <v>223</v>
      </c>
      <c r="DJ352" s="14">
        <f>SUMIFS(DI$5:DI352,$CT$5:$CT352,"="&amp;$CT352)</f>
        <v>2947</v>
      </c>
      <c r="DK352" s="14" t="s">
        <v>540</v>
      </c>
      <c r="DL352" s="14">
        <f>INDEX(属性投放!$BM$6:$BM$85,(CV352-2)*20+CZ352)</f>
        <v>4450</v>
      </c>
      <c r="DM352" s="14">
        <f>SUMIFS(DL$5:DL352,$CT$5:$CT352,"="&amp;$CT352)</f>
        <v>54185</v>
      </c>
      <c r="DR352" s="14">
        <f t="shared" si="647"/>
        <v>1102018</v>
      </c>
      <c r="DS352" s="14" t="str">
        <f t="shared" si="648"/>
        <v>噬日8突</v>
      </c>
      <c r="DT352" s="14">
        <f t="shared" si="659"/>
        <v>3</v>
      </c>
      <c r="DU352" s="14">
        <f t="shared" si="660"/>
        <v>3</v>
      </c>
      <c r="DV352" s="14">
        <f t="shared" si="661"/>
        <v>3</v>
      </c>
      <c r="DW352" s="14">
        <f t="shared" si="649"/>
        <v>2</v>
      </c>
      <c r="DX352" s="14">
        <f t="shared" si="650"/>
        <v>8</v>
      </c>
      <c r="DY352" s="14">
        <f t="shared" si="651"/>
        <v>8</v>
      </c>
      <c r="DZ352" s="14">
        <f>INDEX(属性投放!$AX$6:$AX$85,(卡牌属性!DW352-2)*20+卡牌属性!DX352)</f>
        <v>5</v>
      </c>
      <c r="EA352" s="14">
        <f>INDEX(属性投放!BQ$6:BQ$85,卡牌属性!$DY352)</f>
        <v>100</v>
      </c>
      <c r="EB352" s="14">
        <f>INDEX(属性投放!BR$6:BR$85,卡牌属性!$DY352)</f>
        <v>50</v>
      </c>
      <c r="EC352" s="14">
        <f>INDEX(属性投放!BS$6:BS$85,卡牌属性!$DY352)</f>
        <v>800</v>
      </c>
      <c r="ED352" s="14">
        <f t="shared" si="683"/>
        <v>911</v>
      </c>
      <c r="EE352" s="14">
        <f t="shared" si="684"/>
        <v>1034</v>
      </c>
      <c r="EF352" s="14">
        <f t="shared" si="685"/>
        <v>1166</v>
      </c>
      <c r="EG352" s="14">
        <f t="shared" si="686"/>
        <v>1166</v>
      </c>
      <c r="EH352" s="14">
        <f t="shared" si="687"/>
        <v>1266</v>
      </c>
      <c r="EI352" s="14">
        <f t="shared" si="688"/>
        <v>418</v>
      </c>
      <c r="EJ352" s="14">
        <f t="shared" si="689"/>
        <v>475</v>
      </c>
      <c r="EK352" s="14">
        <f t="shared" si="690"/>
        <v>475</v>
      </c>
      <c r="EL352" s="14">
        <f t="shared" si="691"/>
        <v>541</v>
      </c>
      <c r="EM352" s="14">
        <f t="shared" si="692"/>
        <v>597</v>
      </c>
      <c r="EN352" s="14">
        <f t="shared" si="693"/>
        <v>5882</v>
      </c>
      <c r="EO352" s="14">
        <f t="shared" si="694"/>
        <v>6634</v>
      </c>
      <c r="EP352" s="14">
        <f t="shared" si="695"/>
        <v>6634</v>
      </c>
      <c r="EQ352" s="14">
        <f t="shared" si="696"/>
        <v>7450</v>
      </c>
      <c r="ER352" s="14">
        <f t="shared" si="697"/>
        <v>8082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80</v>
      </c>
      <c r="FD352" s="14">
        <f>INDEX(属性偏向!$U$4:$U$243,(卡牌属性!$DV352-1+FD$3)*20+卡牌属性!$DX352)</f>
        <v>96</v>
      </c>
      <c r="FE352" s="14">
        <f>INDEX(属性偏向!$U$4:$U$243,(卡牌属性!$DV352-1+FE$3)*20+卡牌属性!$DX352)</f>
        <v>96</v>
      </c>
      <c r="FF352" s="14">
        <f>INDEX(属性偏向!$U$4:$U$243,(卡牌属性!$DV352-1+FF$3)*20+卡牌属性!$DX352)</f>
        <v>120</v>
      </c>
      <c r="FG352" s="14">
        <f>INDEX(属性偏向!$U$4:$U$243,(卡牌属性!$DV352-1+FG$3)*20+卡牌属性!$DX352)</f>
        <v>128</v>
      </c>
      <c r="FH352" s="14">
        <f>INDEX(属性投放!$BQ$6:$BQ$85,(卡牌属性!$DW352-2)*20+卡牌属性!$DX352)</f>
        <v>100</v>
      </c>
      <c r="FI352" s="14">
        <f>INDEX(属性投放!$BQ$6:$BQ$85,(卡牌属性!$DW352-2)*20+卡牌属性!$DX352)</f>
        <v>100</v>
      </c>
      <c r="FJ352" s="14">
        <f>INDEX(属性投放!$BQ$6:$BQ$85,(卡牌属性!$DW352-2)*20+卡牌属性!$DX352)</f>
        <v>100</v>
      </c>
      <c r="FK352" s="14">
        <f>INDEX(属性投放!$BQ$6:$BQ$85,(卡牌属性!$DW352-2)*20+卡牌属性!$DX352)</f>
        <v>100</v>
      </c>
      <c r="FL352" s="14">
        <f>INDEX(属性投放!$BQ$6:$BQ$85,(卡牌属性!$DW352-2)*20+卡牌属性!$DX352)</f>
        <v>100</v>
      </c>
      <c r="FM352" s="14">
        <f>INDEX(属性投放!$BR$6:$BR$85,(卡牌属性!$DW352-2)*20+卡牌属性!$DX352)</f>
        <v>50</v>
      </c>
      <c r="FN352" s="14">
        <f>INDEX(属性投放!$BR$6:$BR$85,(卡牌属性!$DW352-2)*20+卡牌属性!$DX352)</f>
        <v>50</v>
      </c>
      <c r="FO352" s="14">
        <f>INDEX(属性投放!$BR$6:$BR$85,(卡牌属性!$DW352-2)*20+卡牌属性!$DX352)</f>
        <v>50</v>
      </c>
      <c r="FP352" s="14">
        <f>INDEX(属性投放!$BR$6:$BR$85,(卡牌属性!$DW352-2)*20+卡牌属性!$DX352)</f>
        <v>50</v>
      </c>
      <c r="FQ352" s="14">
        <f>INDEX(属性投放!$BR$6:$BR$85,(卡牌属性!$DW352-2)*20+卡牌属性!$DX352)</f>
        <v>50</v>
      </c>
      <c r="FR352" s="14">
        <f>INDEX(属性投放!$BS$6:$BS$85,(卡牌属性!$DW352-2)*20+卡牌属性!$DX352)</f>
        <v>800</v>
      </c>
      <c r="FS352" s="14">
        <f>INDEX(属性投放!$BS$6:$BS$85,(卡牌属性!$DW352-2)*20+卡牌属性!$DX352)</f>
        <v>800</v>
      </c>
      <c r="FT352" s="14">
        <f>INDEX(属性投放!$BS$6:$BS$85,(卡牌属性!$DW352-2)*20+卡牌属性!$DX352)</f>
        <v>800</v>
      </c>
      <c r="FU352" s="14">
        <f>INDEX(属性投放!$BS$6:$BS$85,(卡牌属性!$DW352-2)*20+卡牌属性!$DX352)</f>
        <v>800</v>
      </c>
      <c r="FV352" s="14">
        <f>INDEX(属性投放!$BS$6:$BS$85,(卡牌属性!$DW352-2)*20+卡牌属性!$DX352)</f>
        <v>800</v>
      </c>
    </row>
    <row r="353" spans="31:178" ht="16.5" x14ac:dyDescent="0.2">
      <c r="AE353" s="13">
        <v>349</v>
      </c>
      <c r="AF353" s="13">
        <f t="shared" si="652"/>
        <v>18</v>
      </c>
      <c r="AG353" s="13">
        <f t="shared" si="633"/>
        <v>3</v>
      </c>
      <c r="AH353" s="13"/>
      <c r="AI353" s="13"/>
      <c r="AJ353" s="14">
        <f t="shared" si="634"/>
        <v>1101020</v>
      </c>
      <c r="AK353" s="14" t="str">
        <f t="shared" si="635"/>
        <v>姬烟华9突</v>
      </c>
      <c r="AL353" s="25" t="s">
        <v>142</v>
      </c>
      <c r="AM353" s="14">
        <v>1</v>
      </c>
      <c r="AN353" s="14">
        <f t="shared" si="636"/>
        <v>9</v>
      </c>
      <c r="AO353" s="14">
        <f>INDEX(属性投放!$DF$6:$DF$85,(卡牌属性!AG353-2)*20+卡牌属性!AN353)</f>
        <v>1755</v>
      </c>
      <c r="AP353" s="14">
        <f t="shared" si="677"/>
        <v>1755</v>
      </c>
      <c r="AQ353" s="14">
        <f t="shared" si="677"/>
        <v>1755</v>
      </c>
      <c r="AR353" s="14">
        <f t="shared" si="677"/>
        <v>1755</v>
      </c>
      <c r="AS353" s="14">
        <f t="shared" si="677"/>
        <v>1755</v>
      </c>
      <c r="AT353" s="14">
        <f>INDEX(属性投放!$DG$6:$DG$85,(卡牌属性!AG353-2)*20+卡牌属性!AN353)</f>
        <v>800</v>
      </c>
      <c r="AU353" s="14">
        <f t="shared" si="678"/>
        <v>800</v>
      </c>
      <c r="AV353" s="14">
        <f t="shared" si="678"/>
        <v>800</v>
      </c>
      <c r="AW353" s="14">
        <f t="shared" si="678"/>
        <v>800</v>
      </c>
      <c r="AX353" s="14">
        <f t="shared" si="678"/>
        <v>800</v>
      </c>
      <c r="AY353" s="14">
        <f>INDEX(属性投放!$DH$6:$DH$85,(卡牌属性!AG353-2)*20+卡牌属性!AN353)</f>
        <v>11481</v>
      </c>
      <c r="AZ353" s="14">
        <f t="shared" si="679"/>
        <v>11481</v>
      </c>
      <c r="BA353" s="14">
        <f t="shared" si="679"/>
        <v>11481</v>
      </c>
      <c r="BB353" s="14">
        <f t="shared" si="679"/>
        <v>11481</v>
      </c>
      <c r="BC353" s="14">
        <f t="shared" si="679"/>
        <v>11481</v>
      </c>
      <c r="BD353" s="14">
        <f>INDEX(属性投放!$DL$6:$DL$85,(卡牌属性!AG353-2)*20+卡牌属性!AN353)</f>
        <v>46</v>
      </c>
      <c r="BE353" s="14">
        <f t="shared" si="680"/>
        <v>46</v>
      </c>
      <c r="BF353" s="14">
        <f t="shared" si="680"/>
        <v>46</v>
      </c>
      <c r="BG353" s="14">
        <f t="shared" si="680"/>
        <v>46</v>
      </c>
      <c r="BH353" s="14">
        <f t="shared" si="680"/>
        <v>46</v>
      </c>
      <c r="BI353" s="14">
        <f>INDEX(属性投放!$DM$6:$DM$85,(卡牌属性!AG353-2)*20+卡牌属性!AN353)</f>
        <v>24</v>
      </c>
      <c r="BJ353" s="14">
        <f t="shared" si="681"/>
        <v>24</v>
      </c>
      <c r="BK353" s="14">
        <f t="shared" si="681"/>
        <v>24</v>
      </c>
      <c r="BL353" s="14">
        <f t="shared" si="681"/>
        <v>24</v>
      </c>
      <c r="BM353" s="14">
        <f t="shared" si="681"/>
        <v>24</v>
      </c>
      <c r="BN353" s="14">
        <f>INDEX(属性投放!$DN$6:$DN$85,(卡牌属性!AG353-2)*20+卡牌属性!AN353)</f>
        <v>371</v>
      </c>
      <c r="BO353" s="14">
        <f t="shared" si="682"/>
        <v>371</v>
      </c>
      <c r="BP353" s="14">
        <f t="shared" si="682"/>
        <v>371</v>
      </c>
      <c r="BQ353" s="14">
        <f t="shared" si="682"/>
        <v>371</v>
      </c>
      <c r="BR353" s="14">
        <f t="shared" si="682"/>
        <v>371</v>
      </c>
      <c r="BW353" s="13">
        <v>349</v>
      </c>
      <c r="BX353" s="13">
        <f t="shared" si="643"/>
        <v>18</v>
      </c>
      <c r="BY353" s="14">
        <f t="shared" si="644"/>
        <v>2</v>
      </c>
      <c r="BZ353" s="14">
        <f t="shared" si="653"/>
        <v>1102018</v>
      </c>
      <c r="CA353" s="14" t="str">
        <f t="shared" si="654"/>
        <v>噬日9突</v>
      </c>
      <c r="CB353" s="25" t="s">
        <v>142</v>
      </c>
      <c r="CC353" s="14">
        <v>2</v>
      </c>
      <c r="CD353" s="14">
        <f t="shared" si="645"/>
        <v>9</v>
      </c>
      <c r="CE353" s="14" t="s">
        <v>21</v>
      </c>
      <c r="CF353" s="14">
        <f>INDEX(属性投放!$AZ$6:$AZ$85,(BY353-2)*20+CD353)</f>
        <v>1626</v>
      </c>
      <c r="CG353" s="14" t="s">
        <v>22</v>
      </c>
      <c r="CH353" s="14">
        <f>INDEX(属性投放!$BA$6:$BA$85,(BY353-2)*20+CD353)</f>
        <v>769</v>
      </c>
      <c r="CI353" s="14" t="s">
        <v>510</v>
      </c>
      <c r="CJ353" s="14">
        <f>INDEX(属性投放!$BB$6:$BB$85,(BY353-2)*20+CD353)</f>
        <v>11182</v>
      </c>
      <c r="CK353" s="14" t="s">
        <v>21</v>
      </c>
      <c r="CL353" s="14">
        <f>INDEX(属性投放!$BC$6:$BC$85,(BY353-2)*20+CD353)</f>
        <v>10</v>
      </c>
      <c r="CM353" s="14" t="s">
        <v>22</v>
      </c>
      <c r="CN353" s="14">
        <f>INDEX(属性投放!$BD$6:$BD$85,(BY353-2)*20+CD353)</f>
        <v>5</v>
      </c>
      <c r="CO353" s="14" t="s">
        <v>510</v>
      </c>
      <c r="CP353" s="14">
        <f>INDEX(属性投放!$BE$6:$BE$85,(BY353-2)*20+CD353)</f>
        <v>80</v>
      </c>
      <c r="CS353" s="13">
        <v>349</v>
      </c>
      <c r="CT353" s="13">
        <f t="shared" si="655"/>
        <v>7</v>
      </c>
      <c r="CU353" s="13">
        <f t="shared" si="656"/>
        <v>37</v>
      </c>
      <c r="CV353" s="14">
        <f t="shared" si="657"/>
        <v>4</v>
      </c>
      <c r="CW353" s="14">
        <f t="shared" si="658"/>
        <v>1102007</v>
      </c>
      <c r="CX353" s="14" t="str">
        <f>INDEX($O$6:$O$50,CT353)&amp;"-"&amp;INDEX(属性投放!$AB$7:$AB$50,CZ353)&amp;"-魂火-"&amp;DB353</f>
        <v>天使缇娜-大焦热-魂火-1</v>
      </c>
      <c r="CY353" s="25" t="s">
        <v>142</v>
      </c>
      <c r="CZ353" s="14">
        <f>INDEX(属性投放!$AM$7:$AM$58,CU353)</f>
        <v>16</v>
      </c>
      <c r="DA353" s="14" t="s">
        <v>537</v>
      </c>
      <c r="DB353" s="14">
        <f>INDEX(属性投放!$AN$7:$AN$58,CU353)</f>
        <v>1</v>
      </c>
      <c r="DC353" s="14">
        <f t="shared" si="646"/>
        <v>37</v>
      </c>
      <c r="DD353" s="14">
        <f>INDEX(属性投放!$AO$7:$AO$58,DC353)</f>
        <v>110</v>
      </c>
      <c r="DE353" s="14" t="s">
        <v>538</v>
      </c>
      <c r="DF353" s="14">
        <f>INDEX(属性投放!$BK$6:$BK$85,(CV353-2)*20+CZ353)</f>
        <v>520</v>
      </c>
      <c r="DG353" s="14">
        <f>SUMIFS(DF$5:DF353,$CT$5:$CT353,"="&amp;$CT353)</f>
        <v>6395</v>
      </c>
      <c r="DH353" s="14" t="s">
        <v>539</v>
      </c>
      <c r="DI353" s="14">
        <f>INDEX(属性投放!$BL$6:$BL$85,(CV353-2)*20+CZ353)</f>
        <v>260</v>
      </c>
      <c r="DJ353" s="14">
        <f>SUMIFS(DI$5:DI353,$CT$5:$CT353,"="&amp;$CT353)</f>
        <v>3207</v>
      </c>
      <c r="DK353" s="14" t="s">
        <v>540</v>
      </c>
      <c r="DL353" s="14">
        <f>INDEX(属性投放!$BM$6:$BM$85,(CV353-2)*20+CZ353)</f>
        <v>5200</v>
      </c>
      <c r="DM353" s="14">
        <f>SUMIFS(DL$5:DL353,$CT$5:$CT353,"="&amp;$CT353)</f>
        <v>59385</v>
      </c>
      <c r="DR353" s="14">
        <f t="shared" si="647"/>
        <v>1102018</v>
      </c>
      <c r="DS353" s="14" t="str">
        <f t="shared" si="648"/>
        <v>噬日9突</v>
      </c>
      <c r="DT353" s="14">
        <f t="shared" si="659"/>
        <v>3</v>
      </c>
      <c r="DU353" s="14">
        <f t="shared" si="660"/>
        <v>3</v>
      </c>
      <c r="DV353" s="14">
        <f t="shared" si="661"/>
        <v>3</v>
      </c>
      <c r="DW353" s="14">
        <f t="shared" si="649"/>
        <v>2</v>
      </c>
      <c r="DX353" s="14">
        <f t="shared" si="650"/>
        <v>9</v>
      </c>
      <c r="DY353" s="14">
        <f t="shared" si="651"/>
        <v>9</v>
      </c>
      <c r="DZ353" s="14">
        <f>INDEX(属性投放!$AX$6:$AX$85,(卡牌属性!DW353-2)*20+卡牌属性!DX353)</f>
        <v>8</v>
      </c>
      <c r="EA353" s="14">
        <f>INDEX(属性投放!BQ$6:BQ$85,卡牌属性!$DY353)</f>
        <v>150</v>
      </c>
      <c r="EB353" s="14">
        <f>INDEX(属性投放!BR$6:BR$85,卡牌属性!$DY353)</f>
        <v>75</v>
      </c>
      <c r="EC353" s="14">
        <f>INDEX(属性投放!BS$6:BS$85,卡牌属性!$DY353)</f>
        <v>1200</v>
      </c>
      <c r="ED353" s="14">
        <f t="shared" si="683"/>
        <v>1061</v>
      </c>
      <c r="EE353" s="14">
        <f t="shared" si="684"/>
        <v>1194</v>
      </c>
      <c r="EF353" s="14">
        <f t="shared" si="685"/>
        <v>1341</v>
      </c>
      <c r="EG353" s="14">
        <f t="shared" si="686"/>
        <v>1341</v>
      </c>
      <c r="EH353" s="14">
        <f t="shared" si="687"/>
        <v>1446</v>
      </c>
      <c r="EI353" s="14">
        <f t="shared" si="688"/>
        <v>493</v>
      </c>
      <c r="EJ353" s="14">
        <f t="shared" si="689"/>
        <v>555</v>
      </c>
      <c r="EK353" s="14">
        <f t="shared" si="690"/>
        <v>555</v>
      </c>
      <c r="EL353" s="14">
        <f t="shared" si="691"/>
        <v>631</v>
      </c>
      <c r="EM353" s="14">
        <f t="shared" si="692"/>
        <v>687</v>
      </c>
      <c r="EN353" s="14">
        <f t="shared" si="693"/>
        <v>7082</v>
      </c>
      <c r="EO353" s="14">
        <f t="shared" si="694"/>
        <v>7914</v>
      </c>
      <c r="EP353" s="14">
        <f t="shared" si="695"/>
        <v>7914</v>
      </c>
      <c r="EQ353" s="14">
        <f t="shared" si="696"/>
        <v>8850</v>
      </c>
      <c r="ER353" s="14">
        <f t="shared" si="697"/>
        <v>9522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80</v>
      </c>
      <c r="FD353" s="14">
        <f>INDEX(属性偏向!$U$4:$U$243,(卡牌属性!$DV353-1+FD$3)*20+卡牌属性!$DX353)</f>
        <v>96</v>
      </c>
      <c r="FE353" s="14">
        <f>INDEX(属性偏向!$U$4:$U$243,(卡牌属性!$DV353-1+FE$3)*20+卡牌属性!$DX353)</f>
        <v>96</v>
      </c>
      <c r="FF353" s="14">
        <f>INDEX(属性偏向!$U$4:$U$243,(卡牌属性!$DV353-1+FF$3)*20+卡牌属性!$DX353)</f>
        <v>120</v>
      </c>
      <c r="FG353" s="14">
        <f>INDEX(属性偏向!$U$4:$U$243,(卡牌属性!$DV353-1+FG$3)*20+卡牌属性!$DX353)</f>
        <v>128</v>
      </c>
      <c r="FH353" s="14">
        <f>INDEX(属性投放!$BQ$6:$BQ$85,(卡牌属性!$DW353-2)*20+卡牌属性!$DX353)</f>
        <v>150</v>
      </c>
      <c r="FI353" s="14">
        <f>INDEX(属性投放!$BQ$6:$BQ$85,(卡牌属性!$DW353-2)*20+卡牌属性!$DX353)</f>
        <v>150</v>
      </c>
      <c r="FJ353" s="14">
        <f>INDEX(属性投放!$BQ$6:$BQ$85,(卡牌属性!$DW353-2)*20+卡牌属性!$DX353)</f>
        <v>150</v>
      </c>
      <c r="FK353" s="14">
        <f>INDEX(属性投放!$BQ$6:$BQ$85,(卡牌属性!$DW353-2)*20+卡牌属性!$DX353)</f>
        <v>150</v>
      </c>
      <c r="FL353" s="14">
        <f>INDEX(属性投放!$BQ$6:$BQ$85,(卡牌属性!$DW353-2)*20+卡牌属性!$DX353)</f>
        <v>150</v>
      </c>
      <c r="FM353" s="14">
        <f>INDEX(属性投放!$BR$6:$BR$85,(卡牌属性!$DW353-2)*20+卡牌属性!$DX353)</f>
        <v>75</v>
      </c>
      <c r="FN353" s="14">
        <f>INDEX(属性投放!$BR$6:$BR$85,(卡牌属性!$DW353-2)*20+卡牌属性!$DX353)</f>
        <v>75</v>
      </c>
      <c r="FO353" s="14">
        <f>INDEX(属性投放!$BR$6:$BR$85,(卡牌属性!$DW353-2)*20+卡牌属性!$DX353)</f>
        <v>75</v>
      </c>
      <c r="FP353" s="14">
        <f>INDEX(属性投放!$BR$6:$BR$85,(卡牌属性!$DW353-2)*20+卡牌属性!$DX353)</f>
        <v>75</v>
      </c>
      <c r="FQ353" s="14">
        <f>INDEX(属性投放!$BR$6:$BR$85,(卡牌属性!$DW353-2)*20+卡牌属性!$DX353)</f>
        <v>75</v>
      </c>
      <c r="FR353" s="14">
        <f>INDEX(属性投放!$BS$6:$BS$85,(卡牌属性!$DW353-2)*20+卡牌属性!$DX353)</f>
        <v>1200</v>
      </c>
      <c r="FS353" s="14">
        <f>INDEX(属性投放!$BS$6:$BS$85,(卡牌属性!$DW353-2)*20+卡牌属性!$DX353)</f>
        <v>1200</v>
      </c>
      <c r="FT353" s="14">
        <f>INDEX(属性投放!$BS$6:$BS$85,(卡牌属性!$DW353-2)*20+卡牌属性!$DX353)</f>
        <v>1200</v>
      </c>
      <c r="FU353" s="14">
        <f>INDEX(属性投放!$BS$6:$BS$85,(卡牌属性!$DW353-2)*20+卡牌属性!$DX353)</f>
        <v>1200</v>
      </c>
      <c r="FV353" s="14">
        <f>INDEX(属性投放!$BS$6:$BS$85,(卡牌属性!$DW353-2)*20+卡牌属性!$DX353)</f>
        <v>1200</v>
      </c>
    </row>
    <row r="354" spans="31:178" ht="16.5" x14ac:dyDescent="0.2">
      <c r="AE354" s="13">
        <v>350</v>
      </c>
      <c r="AF354" s="13">
        <f t="shared" si="652"/>
        <v>18</v>
      </c>
      <c r="AG354" s="13">
        <f t="shared" si="633"/>
        <v>3</v>
      </c>
      <c r="AH354" s="13"/>
      <c r="AI354" s="13"/>
      <c r="AJ354" s="14">
        <f t="shared" si="634"/>
        <v>1101020</v>
      </c>
      <c r="AK354" s="14" t="str">
        <f t="shared" si="635"/>
        <v>姬烟华10突</v>
      </c>
      <c r="AL354" s="25" t="s">
        <v>142</v>
      </c>
      <c r="AM354" s="14">
        <v>1</v>
      </c>
      <c r="AN354" s="14">
        <f t="shared" si="636"/>
        <v>10</v>
      </c>
      <c r="AO354" s="14">
        <f>INDEX(属性投放!$DF$6:$DF$85,(卡牌属性!AG354-2)*20+卡牌属性!AN354)</f>
        <v>2578</v>
      </c>
      <c r="AP354" s="14">
        <f t="shared" si="677"/>
        <v>2578</v>
      </c>
      <c r="AQ354" s="14">
        <f t="shared" si="677"/>
        <v>2578</v>
      </c>
      <c r="AR354" s="14">
        <f t="shared" si="677"/>
        <v>2578</v>
      </c>
      <c r="AS354" s="14">
        <f t="shared" si="677"/>
        <v>2578</v>
      </c>
      <c r="AT354" s="14">
        <f>INDEX(属性投放!$DG$6:$DG$85,(卡牌属性!AG354-2)*20+卡牌属性!AN354)</f>
        <v>1227</v>
      </c>
      <c r="AU354" s="14">
        <f t="shared" si="678"/>
        <v>1227</v>
      </c>
      <c r="AV354" s="14">
        <f t="shared" si="678"/>
        <v>1227</v>
      </c>
      <c r="AW354" s="14">
        <f t="shared" si="678"/>
        <v>1227</v>
      </c>
      <c r="AX354" s="14">
        <f t="shared" si="678"/>
        <v>1227</v>
      </c>
      <c r="AY354" s="14">
        <f>INDEX(属性投放!$DH$6:$DH$85,(卡牌属性!AG354-2)*20+卡牌属性!AN354)</f>
        <v>18106</v>
      </c>
      <c r="AZ354" s="14">
        <f t="shared" si="679"/>
        <v>18106</v>
      </c>
      <c r="BA354" s="14">
        <f t="shared" si="679"/>
        <v>18106</v>
      </c>
      <c r="BB354" s="14">
        <f t="shared" si="679"/>
        <v>18106</v>
      </c>
      <c r="BC354" s="14">
        <f t="shared" si="679"/>
        <v>18106</v>
      </c>
      <c r="BD354" s="14">
        <f>INDEX(属性投放!$DL$6:$DL$85,(卡牌属性!AG354-2)*20+卡牌属性!AN354)</f>
        <v>92</v>
      </c>
      <c r="BE354" s="14">
        <f t="shared" si="680"/>
        <v>92</v>
      </c>
      <c r="BF354" s="14">
        <f t="shared" si="680"/>
        <v>92</v>
      </c>
      <c r="BG354" s="14">
        <f t="shared" si="680"/>
        <v>92</v>
      </c>
      <c r="BH354" s="14">
        <f t="shared" si="680"/>
        <v>92</v>
      </c>
      <c r="BI354" s="14">
        <f>INDEX(属性投放!$DM$6:$DM$85,(卡牌属性!AG354-2)*20+卡牌属性!AN354)</f>
        <v>46</v>
      </c>
      <c r="BJ354" s="14">
        <f t="shared" si="681"/>
        <v>46</v>
      </c>
      <c r="BK354" s="14">
        <f t="shared" si="681"/>
        <v>46</v>
      </c>
      <c r="BL354" s="14">
        <f t="shared" si="681"/>
        <v>46</v>
      </c>
      <c r="BM354" s="14">
        <f t="shared" si="681"/>
        <v>46</v>
      </c>
      <c r="BN354" s="14">
        <f>INDEX(属性投放!$DN$6:$DN$85,(卡牌属性!AG354-2)*20+卡牌属性!AN354)</f>
        <v>824</v>
      </c>
      <c r="BO354" s="14">
        <f t="shared" si="682"/>
        <v>824</v>
      </c>
      <c r="BP354" s="14">
        <f t="shared" si="682"/>
        <v>824</v>
      </c>
      <c r="BQ354" s="14">
        <f t="shared" si="682"/>
        <v>824</v>
      </c>
      <c r="BR354" s="14">
        <f t="shared" si="682"/>
        <v>824</v>
      </c>
      <c r="BW354" s="13">
        <v>350</v>
      </c>
      <c r="BX354" s="13">
        <f t="shared" si="643"/>
        <v>18</v>
      </c>
      <c r="BY354" s="14">
        <f t="shared" si="644"/>
        <v>2</v>
      </c>
      <c r="BZ354" s="14">
        <f t="shared" si="653"/>
        <v>1102018</v>
      </c>
      <c r="CA354" s="14" t="str">
        <f t="shared" si="654"/>
        <v>噬日10突</v>
      </c>
      <c r="CB354" s="25" t="s">
        <v>142</v>
      </c>
      <c r="CC354" s="14">
        <v>2</v>
      </c>
      <c r="CD354" s="14">
        <f t="shared" si="645"/>
        <v>10</v>
      </c>
      <c r="CE354" s="14" t="s">
        <v>21</v>
      </c>
      <c r="CF354" s="14">
        <f>INDEX(属性投放!$AZ$6:$AZ$85,(BY354-2)*20+CD354)</f>
        <v>2096</v>
      </c>
      <c r="CG354" s="14" t="s">
        <v>22</v>
      </c>
      <c r="CH354" s="14">
        <f>INDEX(属性投放!$BA$6:$BA$85,(BY354-2)*20+CD354)</f>
        <v>1004</v>
      </c>
      <c r="CI354" s="14" t="s">
        <v>510</v>
      </c>
      <c r="CJ354" s="14">
        <f>INDEX(属性投放!$BB$6:$BB$85,(BY354-2)*20+CD354)</f>
        <v>14942</v>
      </c>
      <c r="CK354" s="14" t="s">
        <v>21</v>
      </c>
      <c r="CL354" s="14">
        <f>INDEX(属性投放!$BC$6:$BC$85,(BY354-2)*20+CD354)</f>
        <v>12</v>
      </c>
      <c r="CM354" s="14" t="s">
        <v>22</v>
      </c>
      <c r="CN354" s="14">
        <f>INDEX(属性投放!$BD$6:$BD$85,(BY354-2)*20+CD354)</f>
        <v>6</v>
      </c>
      <c r="CO354" s="14" t="s">
        <v>510</v>
      </c>
      <c r="CP354" s="14">
        <f>INDEX(属性投放!$BE$6:$BE$85,(BY354-2)*20+CD354)</f>
        <v>108</v>
      </c>
      <c r="CS354" s="13">
        <v>350</v>
      </c>
      <c r="CT354" s="13">
        <f t="shared" si="655"/>
        <v>7</v>
      </c>
      <c r="CU354" s="13">
        <f t="shared" si="656"/>
        <v>38</v>
      </c>
      <c r="CV354" s="14">
        <f t="shared" si="657"/>
        <v>4</v>
      </c>
      <c r="CW354" s="14">
        <f t="shared" si="658"/>
        <v>1102007</v>
      </c>
      <c r="CX354" s="14" t="str">
        <f>INDEX($O$6:$O$50,CT354)&amp;"-"&amp;INDEX(属性投放!$AB$7:$AB$50,CZ354)&amp;"-魂火-"&amp;DB354</f>
        <v>天使缇娜-大焦热-魂火-2</v>
      </c>
      <c r="CY354" s="25" t="s">
        <v>142</v>
      </c>
      <c r="CZ354" s="14">
        <f>INDEX(属性投放!$AM$7:$AM$58,CU354)</f>
        <v>16</v>
      </c>
      <c r="DA354" s="14" t="s">
        <v>537</v>
      </c>
      <c r="DB354" s="14">
        <f>INDEX(属性投放!$AN$7:$AN$58,CU354)</f>
        <v>2</v>
      </c>
      <c r="DC354" s="14">
        <f t="shared" si="646"/>
        <v>38</v>
      </c>
      <c r="DD354" s="14">
        <f>INDEX(属性投放!$AO$7:$AO$58,DC354)</f>
        <v>113</v>
      </c>
      <c r="DE354" s="14" t="s">
        <v>538</v>
      </c>
      <c r="DF354" s="14">
        <f>INDEX(属性投放!$BK$6:$BK$85,(CV354-2)*20+CZ354)</f>
        <v>520</v>
      </c>
      <c r="DG354" s="14">
        <f>SUMIFS(DF$5:DF354,$CT$5:$CT354,"="&amp;$CT354)</f>
        <v>6915</v>
      </c>
      <c r="DH354" s="14" t="s">
        <v>539</v>
      </c>
      <c r="DI354" s="14">
        <f>INDEX(属性投放!$BL$6:$BL$85,(CV354-2)*20+CZ354)</f>
        <v>260</v>
      </c>
      <c r="DJ354" s="14">
        <f>SUMIFS(DI$5:DI354,$CT$5:$CT354,"="&amp;$CT354)</f>
        <v>3467</v>
      </c>
      <c r="DK354" s="14" t="s">
        <v>540</v>
      </c>
      <c r="DL354" s="14">
        <f>INDEX(属性投放!$BM$6:$BM$85,(CV354-2)*20+CZ354)</f>
        <v>5200</v>
      </c>
      <c r="DM354" s="14">
        <f>SUMIFS(DL$5:DL354,$CT$5:$CT354,"="&amp;$CT354)</f>
        <v>64585</v>
      </c>
      <c r="DR354" s="14">
        <f t="shared" si="647"/>
        <v>1102018</v>
      </c>
      <c r="DS354" s="14" t="str">
        <f t="shared" si="648"/>
        <v>噬日10突</v>
      </c>
      <c r="DT354" s="14">
        <f t="shared" si="659"/>
        <v>3</v>
      </c>
      <c r="DU354" s="14">
        <f t="shared" si="660"/>
        <v>3</v>
      </c>
      <c r="DV354" s="14">
        <f t="shared" si="661"/>
        <v>3</v>
      </c>
      <c r="DW354" s="14">
        <f t="shared" si="649"/>
        <v>2</v>
      </c>
      <c r="DX354" s="14">
        <f t="shared" si="650"/>
        <v>10</v>
      </c>
      <c r="DY354" s="14">
        <f t="shared" si="651"/>
        <v>10</v>
      </c>
      <c r="DZ354" s="14">
        <f>INDEX(属性投放!$AX$6:$AX$85,(卡牌属性!DW354-2)*20+卡牌属性!DX354)</f>
        <v>7</v>
      </c>
      <c r="EA354" s="14">
        <f>INDEX(属性投放!BQ$6:BQ$85,卡牌属性!$DY354)</f>
        <v>160</v>
      </c>
      <c r="EB354" s="14">
        <f>INDEX(属性投放!BR$6:BR$85,卡牌属性!$DY354)</f>
        <v>80</v>
      </c>
      <c r="EC354" s="14">
        <f>INDEX(属性投放!BS$6:BS$85,卡牌属性!$DY354)</f>
        <v>1440</v>
      </c>
      <c r="ED354" s="14">
        <f t="shared" si="683"/>
        <v>1291</v>
      </c>
      <c r="EE354" s="14">
        <f t="shared" si="684"/>
        <v>1440</v>
      </c>
      <c r="EF354" s="14">
        <f t="shared" si="685"/>
        <v>1611</v>
      </c>
      <c r="EG354" s="14">
        <f t="shared" si="686"/>
        <v>1611</v>
      </c>
      <c r="EH354" s="14">
        <f t="shared" si="687"/>
        <v>1724</v>
      </c>
      <c r="EI354" s="14">
        <f t="shared" si="688"/>
        <v>608</v>
      </c>
      <c r="EJ354" s="14">
        <f t="shared" si="689"/>
        <v>678</v>
      </c>
      <c r="EK354" s="14">
        <f t="shared" si="690"/>
        <v>678</v>
      </c>
      <c r="EL354" s="14">
        <f t="shared" si="691"/>
        <v>770</v>
      </c>
      <c r="EM354" s="14">
        <f t="shared" si="692"/>
        <v>826</v>
      </c>
      <c r="EN354" s="14">
        <f t="shared" si="693"/>
        <v>8922</v>
      </c>
      <c r="EO354" s="14">
        <f t="shared" si="694"/>
        <v>9882</v>
      </c>
      <c r="EP354" s="14">
        <f t="shared" si="695"/>
        <v>9882</v>
      </c>
      <c r="EQ354" s="14">
        <f t="shared" si="696"/>
        <v>11010</v>
      </c>
      <c r="ER354" s="14">
        <f t="shared" si="697"/>
        <v>11746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108</v>
      </c>
      <c r="FD354" s="14">
        <f>INDEX(属性偏向!$U$4:$U$243,(卡牌属性!$DV354-1+FD$3)*20+卡牌属性!$DX354)</f>
        <v>135</v>
      </c>
      <c r="FE354" s="14">
        <f>INDEX(属性偏向!$U$4:$U$243,(卡牌属性!$DV354-1+FE$3)*20+卡牌属性!$DX354)</f>
        <v>135</v>
      </c>
      <c r="FF354" s="14">
        <f>INDEX(属性偏向!$U$4:$U$243,(卡牌属性!$DV354-1+FF$3)*20+卡牌属性!$DX354)</f>
        <v>180</v>
      </c>
      <c r="FG354" s="14">
        <f>INDEX(属性偏向!$U$4:$U$243,(卡牌属性!$DV354-1+FG$3)*20+卡牌属性!$DX354)</f>
        <v>189</v>
      </c>
      <c r="FH354" s="14">
        <f>INDEX(属性投放!$BQ$6:$BQ$85,(卡牌属性!$DW354-2)*20+卡牌属性!$DX354)</f>
        <v>160</v>
      </c>
      <c r="FI354" s="14">
        <f>INDEX(属性投放!$BQ$6:$BQ$85,(卡牌属性!$DW354-2)*20+卡牌属性!$DX354)</f>
        <v>160</v>
      </c>
      <c r="FJ354" s="14">
        <f>INDEX(属性投放!$BQ$6:$BQ$85,(卡牌属性!$DW354-2)*20+卡牌属性!$DX354)</f>
        <v>160</v>
      </c>
      <c r="FK354" s="14">
        <f>INDEX(属性投放!$BQ$6:$BQ$85,(卡牌属性!$DW354-2)*20+卡牌属性!$DX354)</f>
        <v>160</v>
      </c>
      <c r="FL354" s="14">
        <f>INDEX(属性投放!$BQ$6:$BQ$85,(卡牌属性!$DW354-2)*20+卡牌属性!$DX354)</f>
        <v>160</v>
      </c>
      <c r="FM354" s="14">
        <f>INDEX(属性投放!$BR$6:$BR$85,(卡牌属性!$DW354-2)*20+卡牌属性!$DX354)</f>
        <v>80</v>
      </c>
      <c r="FN354" s="14">
        <f>INDEX(属性投放!$BR$6:$BR$85,(卡牌属性!$DW354-2)*20+卡牌属性!$DX354)</f>
        <v>80</v>
      </c>
      <c r="FO354" s="14">
        <f>INDEX(属性投放!$BR$6:$BR$85,(卡牌属性!$DW354-2)*20+卡牌属性!$DX354)</f>
        <v>80</v>
      </c>
      <c r="FP354" s="14">
        <f>INDEX(属性投放!$BR$6:$BR$85,(卡牌属性!$DW354-2)*20+卡牌属性!$DX354)</f>
        <v>80</v>
      </c>
      <c r="FQ354" s="14">
        <f>INDEX(属性投放!$BR$6:$BR$85,(卡牌属性!$DW354-2)*20+卡牌属性!$DX354)</f>
        <v>80</v>
      </c>
      <c r="FR354" s="14">
        <f>INDEX(属性投放!$BS$6:$BS$85,(卡牌属性!$DW354-2)*20+卡牌属性!$DX354)</f>
        <v>1440</v>
      </c>
      <c r="FS354" s="14">
        <f>INDEX(属性投放!$BS$6:$BS$85,(卡牌属性!$DW354-2)*20+卡牌属性!$DX354)</f>
        <v>1440</v>
      </c>
      <c r="FT354" s="14">
        <f>INDEX(属性投放!$BS$6:$BS$85,(卡牌属性!$DW354-2)*20+卡牌属性!$DX354)</f>
        <v>1440</v>
      </c>
      <c r="FU354" s="14">
        <f>INDEX(属性投放!$BS$6:$BS$85,(卡牌属性!$DW354-2)*20+卡牌属性!$DX354)</f>
        <v>1440</v>
      </c>
      <c r="FV354" s="14">
        <f>INDEX(属性投放!$BS$6:$BS$85,(卡牌属性!$DW354-2)*20+卡牌属性!$DX354)</f>
        <v>1440</v>
      </c>
    </row>
    <row r="355" spans="31:178" ht="16.5" x14ac:dyDescent="0.2">
      <c r="AE355" s="13">
        <v>351</v>
      </c>
      <c r="AF355" s="13">
        <f t="shared" si="652"/>
        <v>18</v>
      </c>
      <c r="AG355" s="13">
        <f t="shared" si="633"/>
        <v>3</v>
      </c>
      <c r="AH355" s="13"/>
      <c r="AI355" s="13"/>
      <c r="AJ355" s="14">
        <f t="shared" si="634"/>
        <v>1101020</v>
      </c>
      <c r="AK355" s="14" t="str">
        <f t="shared" si="635"/>
        <v>姬烟华11突</v>
      </c>
      <c r="AL355" s="25" t="s">
        <v>142</v>
      </c>
      <c r="AM355" s="14">
        <v>1</v>
      </c>
      <c r="AN355" s="14">
        <f t="shared" si="636"/>
        <v>11</v>
      </c>
      <c r="AO355" s="14">
        <f>INDEX(属性投放!$DF$6:$DF$85,(卡牌属性!AG355-2)*20+卡牌属性!AN355)</f>
        <v>2840</v>
      </c>
      <c r="AP355" s="14">
        <f t="shared" si="677"/>
        <v>2840</v>
      </c>
      <c r="AQ355" s="14">
        <f t="shared" si="677"/>
        <v>2840</v>
      </c>
      <c r="AR355" s="14">
        <f t="shared" si="677"/>
        <v>2840</v>
      </c>
      <c r="AS355" s="14">
        <f t="shared" si="677"/>
        <v>2840</v>
      </c>
      <c r="AT355" s="14">
        <f>INDEX(属性投放!$DG$6:$DG$85,(卡牌属性!AG355-2)*20+卡牌属性!AN355)</f>
        <v>1358</v>
      </c>
      <c r="AU355" s="14">
        <f t="shared" si="678"/>
        <v>1358</v>
      </c>
      <c r="AV355" s="14">
        <f t="shared" si="678"/>
        <v>1358</v>
      </c>
      <c r="AW355" s="14">
        <f t="shared" si="678"/>
        <v>1358</v>
      </c>
      <c r="AX355" s="14">
        <f t="shared" si="678"/>
        <v>1358</v>
      </c>
      <c r="AY355" s="14">
        <f>INDEX(属性投放!$DH$6:$DH$85,(卡牌属性!AG355-2)*20+卡牌属性!AN355)</f>
        <v>20460</v>
      </c>
      <c r="AZ355" s="14">
        <f t="shared" si="679"/>
        <v>20460</v>
      </c>
      <c r="BA355" s="14">
        <f t="shared" si="679"/>
        <v>20460</v>
      </c>
      <c r="BB355" s="14">
        <f t="shared" si="679"/>
        <v>20460</v>
      </c>
      <c r="BC355" s="14">
        <f t="shared" si="679"/>
        <v>20460</v>
      </c>
      <c r="BD355" s="14">
        <f>INDEX(属性投放!$DL$6:$DL$85,(卡牌属性!AG355-2)*20+卡牌属性!AN355)</f>
        <v>92</v>
      </c>
      <c r="BE355" s="14">
        <f t="shared" si="680"/>
        <v>92</v>
      </c>
      <c r="BF355" s="14">
        <f t="shared" si="680"/>
        <v>92</v>
      </c>
      <c r="BG355" s="14">
        <f t="shared" si="680"/>
        <v>92</v>
      </c>
      <c r="BH355" s="14">
        <f t="shared" si="680"/>
        <v>92</v>
      </c>
      <c r="BI355" s="14">
        <f>INDEX(属性投放!$DM$6:$DM$85,(卡牌属性!AG355-2)*20+卡牌属性!AN355)</f>
        <v>46</v>
      </c>
      <c r="BJ355" s="14">
        <f t="shared" si="681"/>
        <v>46</v>
      </c>
      <c r="BK355" s="14">
        <f t="shared" si="681"/>
        <v>46</v>
      </c>
      <c r="BL355" s="14">
        <f t="shared" si="681"/>
        <v>46</v>
      </c>
      <c r="BM355" s="14">
        <f t="shared" si="681"/>
        <v>46</v>
      </c>
      <c r="BN355" s="14">
        <f>INDEX(属性投放!$DN$6:$DN$85,(卡牌属性!AG355-2)*20+卡牌属性!AN355)</f>
        <v>824</v>
      </c>
      <c r="BO355" s="14">
        <f t="shared" si="682"/>
        <v>824</v>
      </c>
      <c r="BP355" s="14">
        <f t="shared" si="682"/>
        <v>824</v>
      </c>
      <c r="BQ355" s="14">
        <f t="shared" si="682"/>
        <v>824</v>
      </c>
      <c r="BR355" s="14">
        <f t="shared" si="682"/>
        <v>824</v>
      </c>
      <c r="BW355" s="13">
        <v>351</v>
      </c>
      <c r="BX355" s="13">
        <f t="shared" si="643"/>
        <v>18</v>
      </c>
      <c r="BY355" s="14">
        <f t="shared" si="644"/>
        <v>2</v>
      </c>
      <c r="BZ355" s="14">
        <f t="shared" si="653"/>
        <v>1102018</v>
      </c>
      <c r="CA355" s="14" t="str">
        <f t="shared" si="654"/>
        <v>噬日11突</v>
      </c>
      <c r="CB355" s="25" t="s">
        <v>142</v>
      </c>
      <c r="CC355" s="14">
        <v>2</v>
      </c>
      <c r="CD355" s="14">
        <f t="shared" si="645"/>
        <v>11</v>
      </c>
      <c r="CE355" s="14" t="s">
        <v>21</v>
      </c>
      <c r="CF355" s="14">
        <f>INDEX(属性投放!$AZ$6:$AZ$85,(BY355-2)*20+CD355)</f>
        <v>2640</v>
      </c>
      <c r="CG355" s="14" t="s">
        <v>22</v>
      </c>
      <c r="CH355" s="14">
        <f>INDEX(属性投放!$BA$6:$BA$85,(BY355-2)*20+CD355)</f>
        <v>1276</v>
      </c>
      <c r="CI355" s="14" t="s">
        <v>510</v>
      </c>
      <c r="CJ355" s="14">
        <f>INDEX(属性投放!$BB$6:$BB$85,(BY355-2)*20+CD355)</f>
        <v>19838</v>
      </c>
      <c r="CK355" s="14" t="s">
        <v>21</v>
      </c>
      <c r="CL355" s="14">
        <f>INDEX(属性投放!$BC$6:$BC$85,(BY355-2)*20+CD355)</f>
        <v>12</v>
      </c>
      <c r="CM355" s="14" t="s">
        <v>22</v>
      </c>
      <c r="CN355" s="14">
        <f>INDEX(属性投放!$BD$6:$BD$85,(BY355-2)*20+CD355)</f>
        <v>6</v>
      </c>
      <c r="CO355" s="14" t="s">
        <v>510</v>
      </c>
      <c r="CP355" s="14">
        <f>INDEX(属性投放!$BE$6:$BE$85,(BY355-2)*20+CD355)</f>
        <v>108</v>
      </c>
      <c r="CS355" s="13">
        <v>351</v>
      </c>
      <c r="CT355" s="13">
        <f t="shared" si="655"/>
        <v>7</v>
      </c>
      <c r="CU355" s="13">
        <f t="shared" si="656"/>
        <v>39</v>
      </c>
      <c r="CV355" s="14">
        <f t="shared" si="657"/>
        <v>4</v>
      </c>
      <c r="CW355" s="14">
        <f t="shared" si="658"/>
        <v>1102007</v>
      </c>
      <c r="CX355" s="14" t="str">
        <f>INDEX($O$6:$O$50,CT355)&amp;"-"&amp;INDEX(属性投放!$AB$7:$AB$50,CZ355)&amp;"-魂火-"&amp;DB355</f>
        <v>天使缇娜-大焦热-魂火-3</v>
      </c>
      <c r="CY355" s="25" t="s">
        <v>142</v>
      </c>
      <c r="CZ355" s="14">
        <f>INDEX(属性投放!$AM$7:$AM$58,CU355)</f>
        <v>16</v>
      </c>
      <c r="DA355" s="14" t="s">
        <v>537</v>
      </c>
      <c r="DB355" s="14">
        <f>INDEX(属性投放!$AN$7:$AN$58,CU355)</f>
        <v>3</v>
      </c>
      <c r="DC355" s="14">
        <f t="shared" si="646"/>
        <v>39</v>
      </c>
      <c r="DD355" s="14">
        <f>INDEX(属性投放!$AO$7:$AO$58,DC355)</f>
        <v>115</v>
      </c>
      <c r="DE355" s="14" t="s">
        <v>538</v>
      </c>
      <c r="DF355" s="14">
        <f>INDEX(属性投放!$BK$6:$BK$85,(CV355-2)*20+CZ355)</f>
        <v>520</v>
      </c>
      <c r="DG355" s="14">
        <f>SUMIFS(DF$5:DF355,$CT$5:$CT355,"="&amp;$CT355)</f>
        <v>7435</v>
      </c>
      <c r="DH355" s="14" t="s">
        <v>539</v>
      </c>
      <c r="DI355" s="14">
        <f>INDEX(属性投放!$BL$6:$BL$85,(CV355-2)*20+CZ355)</f>
        <v>260</v>
      </c>
      <c r="DJ355" s="14">
        <f>SUMIFS(DI$5:DI355,$CT$5:$CT355,"="&amp;$CT355)</f>
        <v>3727</v>
      </c>
      <c r="DK355" s="14" t="s">
        <v>540</v>
      </c>
      <c r="DL355" s="14">
        <f>INDEX(属性投放!$BM$6:$BM$85,(CV355-2)*20+CZ355)</f>
        <v>5200</v>
      </c>
      <c r="DM355" s="14">
        <f>SUMIFS(DL$5:DL355,$CT$5:$CT355,"="&amp;$CT355)</f>
        <v>69785</v>
      </c>
      <c r="DR355" s="14">
        <f t="shared" si="647"/>
        <v>1102018</v>
      </c>
      <c r="DS355" s="14" t="str">
        <f t="shared" si="648"/>
        <v>噬日11突</v>
      </c>
      <c r="DT355" s="14">
        <f t="shared" si="659"/>
        <v>3</v>
      </c>
      <c r="DU355" s="14">
        <f t="shared" si="660"/>
        <v>3</v>
      </c>
      <c r="DV355" s="14">
        <f t="shared" si="661"/>
        <v>3</v>
      </c>
      <c r="DW355" s="14">
        <f t="shared" si="649"/>
        <v>2</v>
      </c>
      <c r="DX355" s="14">
        <f t="shared" si="650"/>
        <v>11</v>
      </c>
      <c r="DY355" s="14">
        <f t="shared" si="651"/>
        <v>11</v>
      </c>
      <c r="DZ355" s="14">
        <f>INDEX(属性投放!$AX$6:$AX$85,(卡牌属性!DW355-2)*20+卡牌属性!DX355)</f>
        <v>8</v>
      </c>
      <c r="EA355" s="14">
        <f>INDEX(属性投放!BQ$6:BQ$85,卡牌属性!$DY355)</f>
        <v>200</v>
      </c>
      <c r="EB355" s="14">
        <f>INDEX(属性投放!BR$6:BR$85,卡牌属性!$DY355)</f>
        <v>100</v>
      </c>
      <c r="EC355" s="14">
        <f>INDEX(属性投放!BS$6:BS$85,卡牌属性!$DY355)</f>
        <v>1800</v>
      </c>
      <c r="ED355" s="14">
        <f t="shared" si="683"/>
        <v>1535</v>
      </c>
      <c r="EE355" s="14">
        <f t="shared" si="684"/>
        <v>1705</v>
      </c>
      <c r="EF355" s="14">
        <f t="shared" si="685"/>
        <v>1911</v>
      </c>
      <c r="EG355" s="14">
        <f t="shared" si="686"/>
        <v>1911</v>
      </c>
      <c r="EH355" s="14">
        <f t="shared" si="687"/>
        <v>2031</v>
      </c>
      <c r="EI355" s="14">
        <f t="shared" si="688"/>
        <v>730</v>
      </c>
      <c r="EJ355" s="14">
        <f t="shared" si="689"/>
        <v>814</v>
      </c>
      <c r="EK355" s="14">
        <f t="shared" si="690"/>
        <v>814</v>
      </c>
      <c r="EL355" s="14">
        <f t="shared" si="691"/>
        <v>920</v>
      </c>
      <c r="EM355" s="14">
        <f t="shared" si="692"/>
        <v>983</v>
      </c>
      <c r="EN355" s="14">
        <f t="shared" si="693"/>
        <v>11118</v>
      </c>
      <c r="EO355" s="14">
        <f t="shared" si="694"/>
        <v>12267</v>
      </c>
      <c r="EP355" s="14">
        <f t="shared" si="695"/>
        <v>12267</v>
      </c>
      <c r="EQ355" s="14">
        <f t="shared" si="696"/>
        <v>13710</v>
      </c>
      <c r="ER355" s="14">
        <f t="shared" si="697"/>
        <v>14509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108</v>
      </c>
      <c r="FD355" s="14">
        <f>INDEX(属性偏向!$U$4:$U$243,(卡牌属性!$DV355-1+FD$3)*20+卡牌属性!$DX355)</f>
        <v>135</v>
      </c>
      <c r="FE355" s="14">
        <f>INDEX(属性偏向!$U$4:$U$243,(卡牌属性!$DV355-1+FE$3)*20+卡牌属性!$DX355)</f>
        <v>135</v>
      </c>
      <c r="FF355" s="14">
        <f>INDEX(属性偏向!$U$4:$U$243,(卡牌属性!$DV355-1+FF$3)*20+卡牌属性!$DX355)</f>
        <v>180</v>
      </c>
      <c r="FG355" s="14">
        <f>INDEX(属性偏向!$U$4:$U$243,(卡牌属性!$DV355-1+FG$3)*20+卡牌属性!$DX355)</f>
        <v>189</v>
      </c>
      <c r="FH355" s="14">
        <f>INDEX(属性投放!$BQ$6:$BQ$85,(卡牌属性!$DW355-2)*20+卡牌属性!$DX355)</f>
        <v>200</v>
      </c>
      <c r="FI355" s="14">
        <f>INDEX(属性投放!$BQ$6:$BQ$85,(卡牌属性!$DW355-2)*20+卡牌属性!$DX355)</f>
        <v>200</v>
      </c>
      <c r="FJ355" s="14">
        <f>INDEX(属性投放!$BQ$6:$BQ$85,(卡牌属性!$DW355-2)*20+卡牌属性!$DX355)</f>
        <v>200</v>
      </c>
      <c r="FK355" s="14">
        <f>INDEX(属性投放!$BQ$6:$BQ$85,(卡牌属性!$DW355-2)*20+卡牌属性!$DX355)</f>
        <v>200</v>
      </c>
      <c r="FL355" s="14">
        <f>INDEX(属性投放!$BQ$6:$BQ$85,(卡牌属性!$DW355-2)*20+卡牌属性!$DX355)</f>
        <v>200</v>
      </c>
      <c r="FM355" s="14">
        <f>INDEX(属性投放!$BR$6:$BR$85,(卡牌属性!$DW355-2)*20+卡牌属性!$DX355)</f>
        <v>100</v>
      </c>
      <c r="FN355" s="14">
        <f>INDEX(属性投放!$BR$6:$BR$85,(卡牌属性!$DW355-2)*20+卡牌属性!$DX355)</f>
        <v>100</v>
      </c>
      <c r="FO355" s="14">
        <f>INDEX(属性投放!$BR$6:$BR$85,(卡牌属性!$DW355-2)*20+卡牌属性!$DX355)</f>
        <v>100</v>
      </c>
      <c r="FP355" s="14">
        <f>INDEX(属性投放!$BR$6:$BR$85,(卡牌属性!$DW355-2)*20+卡牌属性!$DX355)</f>
        <v>100</v>
      </c>
      <c r="FQ355" s="14">
        <f>INDEX(属性投放!$BR$6:$BR$85,(卡牌属性!$DW355-2)*20+卡牌属性!$DX355)</f>
        <v>100</v>
      </c>
      <c r="FR355" s="14">
        <f>INDEX(属性投放!$BS$6:$BS$85,(卡牌属性!$DW355-2)*20+卡牌属性!$DX355)</f>
        <v>1800</v>
      </c>
      <c r="FS355" s="14">
        <f>INDEX(属性投放!$BS$6:$BS$85,(卡牌属性!$DW355-2)*20+卡牌属性!$DX355)</f>
        <v>1800</v>
      </c>
      <c r="FT355" s="14">
        <f>INDEX(属性投放!$BS$6:$BS$85,(卡牌属性!$DW355-2)*20+卡牌属性!$DX355)</f>
        <v>1800</v>
      </c>
      <c r="FU355" s="14">
        <f>INDEX(属性投放!$BS$6:$BS$85,(卡牌属性!$DW355-2)*20+卡牌属性!$DX355)</f>
        <v>1800</v>
      </c>
      <c r="FV355" s="14">
        <f>INDEX(属性投放!$BS$6:$BS$85,(卡牌属性!$DW355-2)*20+卡牌属性!$DX355)</f>
        <v>1800</v>
      </c>
    </row>
    <row r="356" spans="31:178" ht="16.5" x14ac:dyDescent="0.2">
      <c r="AE356" s="13">
        <v>352</v>
      </c>
      <c r="AF356" s="13">
        <f t="shared" si="652"/>
        <v>18</v>
      </c>
      <c r="AG356" s="13">
        <f t="shared" si="633"/>
        <v>3</v>
      </c>
      <c r="AH356" s="13"/>
      <c r="AI356" s="13"/>
      <c r="AJ356" s="14">
        <f t="shared" si="634"/>
        <v>1101020</v>
      </c>
      <c r="AK356" s="14" t="str">
        <f t="shared" si="635"/>
        <v>姬烟华12突</v>
      </c>
      <c r="AL356" s="25" t="s">
        <v>142</v>
      </c>
      <c r="AM356" s="14">
        <v>1</v>
      </c>
      <c r="AN356" s="14">
        <f t="shared" si="636"/>
        <v>12</v>
      </c>
      <c r="AO356" s="14">
        <f>INDEX(属性投放!$DF$6:$DF$85,(卡牌属性!AG356-2)*20+卡牌属性!AN356)</f>
        <v>3102</v>
      </c>
      <c r="AP356" s="14">
        <f t="shared" si="677"/>
        <v>3102</v>
      </c>
      <c r="AQ356" s="14">
        <f t="shared" si="677"/>
        <v>3102</v>
      </c>
      <c r="AR356" s="14">
        <f t="shared" si="677"/>
        <v>3102</v>
      </c>
      <c r="AS356" s="14">
        <f t="shared" si="677"/>
        <v>3102</v>
      </c>
      <c r="AT356" s="14">
        <f>INDEX(属性投放!$DG$6:$DG$85,(卡牌属性!AG356-2)*20+卡牌属性!AN356)</f>
        <v>1489</v>
      </c>
      <c r="AU356" s="14">
        <f t="shared" si="678"/>
        <v>1489</v>
      </c>
      <c r="AV356" s="14">
        <f t="shared" si="678"/>
        <v>1489</v>
      </c>
      <c r="AW356" s="14">
        <f t="shared" si="678"/>
        <v>1489</v>
      </c>
      <c r="AX356" s="14">
        <f t="shared" si="678"/>
        <v>1489</v>
      </c>
      <c r="AY356" s="14">
        <f>INDEX(属性投放!$DH$6:$DH$85,(卡牌属性!AG356-2)*20+卡牌属性!AN356)</f>
        <v>22814</v>
      </c>
      <c r="AZ356" s="14">
        <f t="shared" si="679"/>
        <v>22814</v>
      </c>
      <c r="BA356" s="14">
        <f t="shared" si="679"/>
        <v>22814</v>
      </c>
      <c r="BB356" s="14">
        <f t="shared" si="679"/>
        <v>22814</v>
      </c>
      <c r="BC356" s="14">
        <f t="shared" si="679"/>
        <v>22814</v>
      </c>
      <c r="BD356" s="14">
        <f>INDEX(属性投放!$DL$6:$DL$85,(卡牌属性!AG356-2)*20+卡牌属性!AN356)</f>
        <v>92</v>
      </c>
      <c r="BE356" s="14">
        <f t="shared" si="680"/>
        <v>92</v>
      </c>
      <c r="BF356" s="14">
        <f t="shared" si="680"/>
        <v>92</v>
      </c>
      <c r="BG356" s="14">
        <f t="shared" si="680"/>
        <v>92</v>
      </c>
      <c r="BH356" s="14">
        <f t="shared" si="680"/>
        <v>92</v>
      </c>
      <c r="BI356" s="14">
        <f>INDEX(属性投放!$DM$6:$DM$85,(卡牌属性!AG356-2)*20+卡牌属性!AN356)</f>
        <v>46</v>
      </c>
      <c r="BJ356" s="14">
        <f t="shared" si="681"/>
        <v>46</v>
      </c>
      <c r="BK356" s="14">
        <f t="shared" si="681"/>
        <v>46</v>
      </c>
      <c r="BL356" s="14">
        <f t="shared" si="681"/>
        <v>46</v>
      </c>
      <c r="BM356" s="14">
        <f t="shared" si="681"/>
        <v>46</v>
      </c>
      <c r="BN356" s="14">
        <f>INDEX(属性投放!$DN$6:$DN$85,(卡牌属性!AG356-2)*20+卡牌属性!AN356)</f>
        <v>824</v>
      </c>
      <c r="BO356" s="14">
        <f t="shared" si="682"/>
        <v>824</v>
      </c>
      <c r="BP356" s="14">
        <f t="shared" si="682"/>
        <v>824</v>
      </c>
      <c r="BQ356" s="14">
        <f t="shared" si="682"/>
        <v>824</v>
      </c>
      <c r="BR356" s="14">
        <f t="shared" si="682"/>
        <v>824</v>
      </c>
      <c r="BW356" s="13">
        <v>352</v>
      </c>
      <c r="BX356" s="13">
        <f t="shared" si="643"/>
        <v>18</v>
      </c>
      <c r="BY356" s="14">
        <f t="shared" si="644"/>
        <v>2</v>
      </c>
      <c r="BZ356" s="14">
        <f t="shared" si="653"/>
        <v>1102018</v>
      </c>
      <c r="CA356" s="14" t="str">
        <f t="shared" si="654"/>
        <v>噬日12突</v>
      </c>
      <c r="CB356" s="25" t="s">
        <v>142</v>
      </c>
      <c r="CC356" s="14">
        <v>2</v>
      </c>
      <c r="CD356" s="14">
        <f t="shared" si="645"/>
        <v>12</v>
      </c>
      <c r="CE356" s="14" t="s">
        <v>21</v>
      </c>
      <c r="CF356" s="14">
        <f>INDEX(属性投放!$AZ$6:$AZ$85,(BY356-2)*20+CD356)</f>
        <v>3326</v>
      </c>
      <c r="CG356" s="14" t="s">
        <v>22</v>
      </c>
      <c r="CH356" s="14">
        <f>INDEX(属性投放!$BA$6:$BA$85,(BY356-2)*20+CD356)</f>
        <v>1619</v>
      </c>
      <c r="CI356" s="14" t="s">
        <v>510</v>
      </c>
      <c r="CJ356" s="14">
        <f>INDEX(属性投放!$BB$6:$BB$85,(BY356-2)*20+CD356)</f>
        <v>26012</v>
      </c>
      <c r="CK356" s="14" t="s">
        <v>21</v>
      </c>
      <c r="CL356" s="14">
        <f>INDEX(属性投放!$BC$6:$BC$85,(BY356-2)*20+CD356)</f>
        <v>12</v>
      </c>
      <c r="CM356" s="14" t="s">
        <v>22</v>
      </c>
      <c r="CN356" s="14">
        <f>INDEX(属性投放!$BD$6:$BD$85,(BY356-2)*20+CD356)</f>
        <v>6</v>
      </c>
      <c r="CO356" s="14" t="s">
        <v>510</v>
      </c>
      <c r="CP356" s="14">
        <f>INDEX(属性投放!$BE$6:$BE$85,(BY356-2)*20+CD356)</f>
        <v>108</v>
      </c>
      <c r="CS356" s="13">
        <v>352</v>
      </c>
      <c r="CT356" s="13">
        <f t="shared" si="655"/>
        <v>7</v>
      </c>
      <c r="CU356" s="13">
        <f t="shared" si="656"/>
        <v>40</v>
      </c>
      <c r="CV356" s="14">
        <f t="shared" si="657"/>
        <v>4</v>
      </c>
      <c r="CW356" s="14">
        <f t="shared" si="658"/>
        <v>1102007</v>
      </c>
      <c r="CX356" s="14" t="str">
        <f>INDEX($O$6:$O$50,CT356)&amp;"-"&amp;INDEX(属性投放!$AB$7:$AB$50,CZ356)&amp;"-魂火-"&amp;DB356</f>
        <v>天使缇娜-大焦热+1-魂火-1</v>
      </c>
      <c r="CY356" s="25" t="s">
        <v>142</v>
      </c>
      <c r="CZ356" s="14">
        <f>INDEX(属性投放!$AM$7:$AM$58,CU356)</f>
        <v>17</v>
      </c>
      <c r="DA356" s="14" t="s">
        <v>537</v>
      </c>
      <c r="DB356" s="14">
        <f>INDEX(属性投放!$AN$7:$AN$58,CU356)</f>
        <v>1</v>
      </c>
      <c r="DC356" s="14">
        <f t="shared" si="646"/>
        <v>40</v>
      </c>
      <c r="DD356" s="14">
        <f>INDEX(属性投放!$AO$7:$AO$58,DC356)</f>
        <v>118</v>
      </c>
      <c r="DE356" s="14" t="s">
        <v>538</v>
      </c>
      <c r="DF356" s="14">
        <f>INDEX(属性投放!$BK$6:$BK$85,(CV356-2)*20+CZ356)</f>
        <v>650</v>
      </c>
      <c r="DG356" s="14">
        <f>SUMIFS(DF$5:DF356,$CT$5:$CT356,"="&amp;$CT356)</f>
        <v>8085</v>
      </c>
      <c r="DH356" s="14" t="s">
        <v>539</v>
      </c>
      <c r="DI356" s="14">
        <f>INDEX(属性投放!$BL$6:$BL$85,(CV356-2)*20+CZ356)</f>
        <v>325</v>
      </c>
      <c r="DJ356" s="14">
        <f>SUMIFS(DI$5:DI356,$CT$5:$CT356,"="&amp;$CT356)</f>
        <v>4052</v>
      </c>
      <c r="DK356" s="14" t="s">
        <v>540</v>
      </c>
      <c r="DL356" s="14">
        <f>INDEX(属性投放!$BM$6:$BM$85,(CV356-2)*20+CZ356)</f>
        <v>6500</v>
      </c>
      <c r="DM356" s="14">
        <f>SUMIFS(DL$5:DL356,$CT$5:$CT356,"="&amp;$CT356)</f>
        <v>76285</v>
      </c>
      <c r="DR356" s="14">
        <f t="shared" si="647"/>
        <v>1102018</v>
      </c>
      <c r="DS356" s="14" t="str">
        <f t="shared" si="648"/>
        <v>噬日12突</v>
      </c>
      <c r="DT356" s="14">
        <f t="shared" si="659"/>
        <v>3</v>
      </c>
      <c r="DU356" s="14">
        <f t="shared" si="660"/>
        <v>3</v>
      </c>
      <c r="DV356" s="14">
        <f t="shared" si="661"/>
        <v>3</v>
      </c>
      <c r="DW356" s="14">
        <f t="shared" si="649"/>
        <v>2</v>
      </c>
      <c r="DX356" s="14">
        <f t="shared" si="650"/>
        <v>12</v>
      </c>
      <c r="DY356" s="14">
        <f t="shared" si="651"/>
        <v>12</v>
      </c>
      <c r="DZ356" s="14">
        <f>INDEX(属性投放!$AX$6:$AX$85,(卡牌属性!DW356-2)*20+卡牌属性!DX356)</f>
        <v>7</v>
      </c>
      <c r="EA356" s="14">
        <f>INDEX(属性投放!BQ$6:BQ$85,卡牌属性!$DY356)</f>
        <v>350</v>
      </c>
      <c r="EB356" s="14">
        <f>INDEX(属性投放!BR$6:BR$85,卡牌属性!$DY356)</f>
        <v>175</v>
      </c>
      <c r="EC356" s="14">
        <f>INDEX(属性投放!BS$6:BS$85,卡牌属性!$DY356)</f>
        <v>3150</v>
      </c>
      <c r="ED356" s="14">
        <f t="shared" si="683"/>
        <v>1831</v>
      </c>
      <c r="EE356" s="14">
        <f t="shared" si="684"/>
        <v>2025</v>
      </c>
      <c r="EF356" s="14">
        <f t="shared" si="685"/>
        <v>2271</v>
      </c>
      <c r="EG356" s="14">
        <f t="shared" si="686"/>
        <v>2271</v>
      </c>
      <c r="EH356" s="14">
        <f t="shared" si="687"/>
        <v>2399</v>
      </c>
      <c r="EI356" s="14">
        <f t="shared" si="688"/>
        <v>878</v>
      </c>
      <c r="EJ356" s="14">
        <f t="shared" si="689"/>
        <v>978</v>
      </c>
      <c r="EK356" s="14">
        <f t="shared" si="690"/>
        <v>978</v>
      </c>
      <c r="EL356" s="14">
        <f t="shared" si="691"/>
        <v>1100</v>
      </c>
      <c r="EM356" s="14">
        <f t="shared" si="692"/>
        <v>1171</v>
      </c>
      <c r="EN356" s="14">
        <f t="shared" si="693"/>
        <v>13782</v>
      </c>
      <c r="EO356" s="14">
        <f t="shared" si="694"/>
        <v>15147</v>
      </c>
      <c r="EP356" s="14">
        <f t="shared" si="695"/>
        <v>15147</v>
      </c>
      <c r="EQ356" s="14">
        <f t="shared" si="696"/>
        <v>16950</v>
      </c>
      <c r="ER356" s="14">
        <f t="shared" si="697"/>
        <v>17821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108</v>
      </c>
      <c r="FD356" s="14">
        <f>INDEX(属性偏向!$U$4:$U$243,(卡牌属性!$DV356-1+FD$3)*20+卡牌属性!$DX356)</f>
        <v>135</v>
      </c>
      <c r="FE356" s="14">
        <f>INDEX(属性偏向!$U$4:$U$243,(卡牌属性!$DV356-1+FE$3)*20+卡牌属性!$DX356)</f>
        <v>135</v>
      </c>
      <c r="FF356" s="14">
        <f>INDEX(属性偏向!$U$4:$U$243,(卡牌属性!$DV356-1+FF$3)*20+卡牌属性!$DX356)</f>
        <v>180</v>
      </c>
      <c r="FG356" s="14">
        <f>INDEX(属性偏向!$U$4:$U$243,(卡牌属性!$DV356-1+FG$3)*20+卡牌属性!$DX356)</f>
        <v>189</v>
      </c>
      <c r="FH356" s="14">
        <f>INDEX(属性投放!$BQ$6:$BQ$85,(卡牌属性!$DW356-2)*20+卡牌属性!$DX356)</f>
        <v>350</v>
      </c>
      <c r="FI356" s="14">
        <f>INDEX(属性投放!$BQ$6:$BQ$85,(卡牌属性!$DW356-2)*20+卡牌属性!$DX356)</f>
        <v>350</v>
      </c>
      <c r="FJ356" s="14">
        <f>INDEX(属性投放!$BQ$6:$BQ$85,(卡牌属性!$DW356-2)*20+卡牌属性!$DX356)</f>
        <v>350</v>
      </c>
      <c r="FK356" s="14">
        <f>INDEX(属性投放!$BQ$6:$BQ$85,(卡牌属性!$DW356-2)*20+卡牌属性!$DX356)</f>
        <v>350</v>
      </c>
      <c r="FL356" s="14">
        <f>INDEX(属性投放!$BQ$6:$BQ$85,(卡牌属性!$DW356-2)*20+卡牌属性!$DX356)</f>
        <v>350</v>
      </c>
      <c r="FM356" s="14">
        <f>INDEX(属性投放!$BR$6:$BR$85,(卡牌属性!$DW356-2)*20+卡牌属性!$DX356)</f>
        <v>175</v>
      </c>
      <c r="FN356" s="14">
        <f>INDEX(属性投放!$BR$6:$BR$85,(卡牌属性!$DW356-2)*20+卡牌属性!$DX356)</f>
        <v>175</v>
      </c>
      <c r="FO356" s="14">
        <f>INDEX(属性投放!$BR$6:$BR$85,(卡牌属性!$DW356-2)*20+卡牌属性!$DX356)</f>
        <v>175</v>
      </c>
      <c r="FP356" s="14">
        <f>INDEX(属性投放!$BR$6:$BR$85,(卡牌属性!$DW356-2)*20+卡牌属性!$DX356)</f>
        <v>175</v>
      </c>
      <c r="FQ356" s="14">
        <f>INDEX(属性投放!$BR$6:$BR$85,(卡牌属性!$DW356-2)*20+卡牌属性!$DX356)</f>
        <v>175</v>
      </c>
      <c r="FR356" s="14">
        <f>INDEX(属性投放!$BS$6:$BS$85,(卡牌属性!$DW356-2)*20+卡牌属性!$DX356)</f>
        <v>3150</v>
      </c>
      <c r="FS356" s="14">
        <f>INDEX(属性投放!$BS$6:$BS$85,(卡牌属性!$DW356-2)*20+卡牌属性!$DX356)</f>
        <v>3150</v>
      </c>
      <c r="FT356" s="14">
        <f>INDEX(属性投放!$BS$6:$BS$85,(卡牌属性!$DW356-2)*20+卡牌属性!$DX356)</f>
        <v>3150</v>
      </c>
      <c r="FU356" s="14">
        <f>INDEX(属性投放!$BS$6:$BS$85,(卡牌属性!$DW356-2)*20+卡牌属性!$DX356)</f>
        <v>3150</v>
      </c>
      <c r="FV356" s="14">
        <f>INDEX(属性投放!$BS$6:$BS$85,(卡牌属性!$DW356-2)*20+卡牌属性!$DX356)</f>
        <v>3150</v>
      </c>
    </row>
    <row r="357" spans="31:178" ht="16.5" x14ac:dyDescent="0.2">
      <c r="AE357" s="13">
        <v>353</v>
      </c>
      <c r="AF357" s="13">
        <f t="shared" si="652"/>
        <v>18</v>
      </c>
      <c r="AG357" s="13">
        <f t="shared" si="633"/>
        <v>3</v>
      </c>
      <c r="AH357" s="13"/>
      <c r="AI357" s="13"/>
      <c r="AJ357" s="14">
        <f t="shared" si="634"/>
        <v>1101020</v>
      </c>
      <c r="AK357" s="14" t="str">
        <f t="shared" si="635"/>
        <v>姬烟华13突</v>
      </c>
      <c r="AL357" s="25" t="s">
        <v>142</v>
      </c>
      <c r="AM357" s="14">
        <v>1</v>
      </c>
      <c r="AN357" s="14">
        <f t="shared" si="636"/>
        <v>13</v>
      </c>
      <c r="AO357" s="14">
        <f>INDEX(属性投放!$DF$6:$DF$85,(卡牌属性!AG357-2)*20+卡牌属性!AN357)</f>
        <v>5664</v>
      </c>
      <c r="AP357" s="14">
        <f t="shared" si="677"/>
        <v>5664</v>
      </c>
      <c r="AQ357" s="14">
        <f t="shared" si="677"/>
        <v>5664</v>
      </c>
      <c r="AR357" s="14">
        <f t="shared" si="677"/>
        <v>5664</v>
      </c>
      <c r="AS357" s="14">
        <f t="shared" si="677"/>
        <v>5664</v>
      </c>
      <c r="AT357" s="14">
        <f>INDEX(属性投放!$DG$6:$DG$85,(卡牌属性!AG357-2)*20+卡牌属性!AN357)</f>
        <v>2770</v>
      </c>
      <c r="AU357" s="14">
        <f t="shared" si="678"/>
        <v>2770</v>
      </c>
      <c r="AV357" s="14">
        <f t="shared" si="678"/>
        <v>2770</v>
      </c>
      <c r="AW357" s="14">
        <f t="shared" si="678"/>
        <v>2770</v>
      </c>
      <c r="AX357" s="14">
        <f t="shared" si="678"/>
        <v>2770</v>
      </c>
      <c r="AY357" s="14">
        <f>INDEX(属性投放!$DH$6:$DH$85,(卡牌属性!AG357-2)*20+卡牌属性!AN357)</f>
        <v>45768</v>
      </c>
      <c r="AZ357" s="14">
        <f t="shared" si="679"/>
        <v>45768</v>
      </c>
      <c r="BA357" s="14">
        <f t="shared" si="679"/>
        <v>45768</v>
      </c>
      <c r="BB357" s="14">
        <f t="shared" si="679"/>
        <v>45768</v>
      </c>
      <c r="BC357" s="14">
        <f t="shared" si="679"/>
        <v>45768</v>
      </c>
      <c r="BD357" s="14">
        <f>INDEX(属性投放!$DL$6:$DL$85,(卡牌属性!AG357-2)*20+卡牌属性!AN357)</f>
        <v>176</v>
      </c>
      <c r="BE357" s="14">
        <f t="shared" si="680"/>
        <v>176</v>
      </c>
      <c r="BF357" s="14">
        <f t="shared" si="680"/>
        <v>176</v>
      </c>
      <c r="BG357" s="14">
        <f t="shared" si="680"/>
        <v>176</v>
      </c>
      <c r="BH357" s="14">
        <f t="shared" si="680"/>
        <v>176</v>
      </c>
      <c r="BI357" s="14">
        <f>INDEX(属性投放!$DM$6:$DM$85,(卡牌属性!AG357-2)*20+卡牌属性!AN357)</f>
        <v>88</v>
      </c>
      <c r="BJ357" s="14">
        <f t="shared" si="681"/>
        <v>88</v>
      </c>
      <c r="BK357" s="14">
        <f t="shared" si="681"/>
        <v>88</v>
      </c>
      <c r="BL357" s="14">
        <f t="shared" si="681"/>
        <v>88</v>
      </c>
      <c r="BM357" s="14">
        <f t="shared" si="681"/>
        <v>88</v>
      </c>
      <c r="BN357" s="14">
        <f>INDEX(属性投放!$DN$6:$DN$85,(卡牌属性!AG357-2)*20+卡牌属性!AN357)</f>
        <v>1759</v>
      </c>
      <c r="BO357" s="14">
        <f t="shared" si="682"/>
        <v>1759</v>
      </c>
      <c r="BP357" s="14">
        <f t="shared" si="682"/>
        <v>1759</v>
      </c>
      <c r="BQ357" s="14">
        <f t="shared" si="682"/>
        <v>1759</v>
      </c>
      <c r="BR357" s="14">
        <f t="shared" si="682"/>
        <v>1759</v>
      </c>
      <c r="BW357" s="13">
        <v>353</v>
      </c>
      <c r="BX357" s="13">
        <f t="shared" si="643"/>
        <v>18</v>
      </c>
      <c r="BY357" s="14">
        <f t="shared" si="644"/>
        <v>2</v>
      </c>
      <c r="BZ357" s="14">
        <f t="shared" si="653"/>
        <v>1102018</v>
      </c>
      <c r="CA357" s="14" t="str">
        <f t="shared" si="654"/>
        <v>噬日13突</v>
      </c>
      <c r="CB357" s="25" t="s">
        <v>142</v>
      </c>
      <c r="CC357" s="14">
        <v>2</v>
      </c>
      <c r="CD357" s="14">
        <f t="shared" si="645"/>
        <v>13</v>
      </c>
      <c r="CE357" s="14" t="s">
        <v>21</v>
      </c>
      <c r="CF357" s="14">
        <f>INDEX(属性投放!$AZ$6:$AZ$85,(BY357-2)*20+CD357)</f>
        <v>4270</v>
      </c>
      <c r="CG357" s="14" t="s">
        <v>22</v>
      </c>
      <c r="CH357" s="14">
        <f>INDEX(属性投放!$BA$6:$BA$85,(BY357-2)*20+CD357)</f>
        <v>2091</v>
      </c>
      <c r="CI357" s="14" t="s">
        <v>510</v>
      </c>
      <c r="CJ357" s="14">
        <f>INDEX(属性投放!$BB$6:$BB$85,(BY357-2)*20+CD357)</f>
        <v>34508</v>
      </c>
      <c r="CK357" s="14" t="s">
        <v>21</v>
      </c>
      <c r="CL357" s="14">
        <f>INDEX(属性投放!$BC$6:$BC$85,(BY357-2)*20+CD357)</f>
        <v>15</v>
      </c>
      <c r="CM357" s="14" t="s">
        <v>22</v>
      </c>
      <c r="CN357" s="14">
        <f>INDEX(属性投放!$BD$6:$BD$85,(BY357-2)*20+CD357)</f>
        <v>8</v>
      </c>
      <c r="CO357" s="14" t="s">
        <v>510</v>
      </c>
      <c r="CP357" s="14">
        <f>INDEX(属性投放!$BE$6:$BE$85,(BY357-2)*20+CD357)</f>
        <v>150</v>
      </c>
      <c r="CS357" s="13">
        <v>353</v>
      </c>
      <c r="CT357" s="13">
        <f t="shared" si="655"/>
        <v>7</v>
      </c>
      <c r="CU357" s="13">
        <f t="shared" si="656"/>
        <v>41</v>
      </c>
      <c r="CV357" s="14">
        <f t="shared" si="657"/>
        <v>4</v>
      </c>
      <c r="CW357" s="14">
        <f t="shared" si="658"/>
        <v>1102007</v>
      </c>
      <c r="CX357" s="14" t="str">
        <f>INDEX($O$6:$O$50,CT357)&amp;"-"&amp;INDEX(属性投放!$AB$7:$AB$50,CZ357)&amp;"-魂火-"&amp;DB357</f>
        <v>天使缇娜-大焦热+1-魂火-2</v>
      </c>
      <c r="CY357" s="25" t="s">
        <v>142</v>
      </c>
      <c r="CZ357" s="14">
        <f>INDEX(属性投放!$AM$7:$AM$58,CU357)</f>
        <v>17</v>
      </c>
      <c r="DA357" s="14" t="s">
        <v>537</v>
      </c>
      <c r="DB357" s="14">
        <f>INDEX(属性投放!$AN$7:$AN$58,CU357)</f>
        <v>2</v>
      </c>
      <c r="DC357" s="14">
        <f t="shared" si="646"/>
        <v>41</v>
      </c>
      <c r="DD357" s="14">
        <f>INDEX(属性投放!$AO$7:$AO$58,DC357)</f>
        <v>120</v>
      </c>
      <c r="DE357" s="14" t="s">
        <v>538</v>
      </c>
      <c r="DF357" s="14">
        <f>INDEX(属性投放!$BK$6:$BK$85,(CV357-2)*20+CZ357)</f>
        <v>650</v>
      </c>
      <c r="DG357" s="14">
        <f>SUMIFS(DF$5:DF357,$CT$5:$CT357,"="&amp;$CT357)</f>
        <v>8735</v>
      </c>
      <c r="DH357" s="14" t="s">
        <v>539</v>
      </c>
      <c r="DI357" s="14">
        <f>INDEX(属性投放!$BL$6:$BL$85,(CV357-2)*20+CZ357)</f>
        <v>325</v>
      </c>
      <c r="DJ357" s="14">
        <f>SUMIFS(DI$5:DI357,$CT$5:$CT357,"="&amp;$CT357)</f>
        <v>4377</v>
      </c>
      <c r="DK357" s="14" t="s">
        <v>540</v>
      </c>
      <c r="DL357" s="14">
        <f>INDEX(属性投放!$BM$6:$BM$85,(CV357-2)*20+CZ357)</f>
        <v>6500</v>
      </c>
      <c r="DM357" s="14">
        <f>SUMIFS(DL$5:DL357,$CT$5:$CT357,"="&amp;$CT357)</f>
        <v>82785</v>
      </c>
      <c r="DR357" s="14">
        <f t="shared" si="647"/>
        <v>1102018</v>
      </c>
      <c r="DS357" s="14" t="str">
        <f t="shared" si="648"/>
        <v>噬日13突</v>
      </c>
      <c r="DT357" s="14">
        <f t="shared" si="659"/>
        <v>3</v>
      </c>
      <c r="DU357" s="14">
        <f t="shared" si="660"/>
        <v>3</v>
      </c>
      <c r="DV357" s="14">
        <f t="shared" si="661"/>
        <v>3</v>
      </c>
      <c r="DW357" s="14">
        <f t="shared" si="649"/>
        <v>2</v>
      </c>
      <c r="DX357" s="14">
        <f t="shared" si="650"/>
        <v>13</v>
      </c>
      <c r="DY357" s="14">
        <f t="shared" si="651"/>
        <v>13</v>
      </c>
      <c r="DZ357" s="14">
        <f>INDEX(属性投放!$AX$6:$AX$85,(卡牌属性!DW357-2)*20+卡牌属性!DX357)</f>
        <v>8</v>
      </c>
      <c r="EA357" s="14">
        <f>INDEX(属性投放!BQ$6:BQ$85,卡牌属性!$DY357)</f>
        <v>350</v>
      </c>
      <c r="EB357" s="14">
        <f>INDEX(属性投放!BR$6:BR$85,卡牌属性!$DY357)</f>
        <v>175</v>
      </c>
      <c r="EC357" s="14">
        <f>INDEX(属性投放!BS$6:BS$85,卡牌属性!$DY357)</f>
        <v>3500</v>
      </c>
      <c r="ED357" s="14">
        <f t="shared" si="683"/>
        <v>2265</v>
      </c>
      <c r="EE357" s="14">
        <f t="shared" si="684"/>
        <v>2480</v>
      </c>
      <c r="EF357" s="14">
        <f t="shared" si="685"/>
        <v>2761</v>
      </c>
      <c r="EG357" s="14">
        <f t="shared" si="686"/>
        <v>2761</v>
      </c>
      <c r="EH357" s="14">
        <f t="shared" si="687"/>
        <v>2896</v>
      </c>
      <c r="EI357" s="14">
        <f t="shared" si="688"/>
        <v>1095</v>
      </c>
      <c r="EJ357" s="14">
        <f t="shared" si="689"/>
        <v>1209</v>
      </c>
      <c r="EK357" s="14">
        <f t="shared" si="690"/>
        <v>1209</v>
      </c>
      <c r="EL357" s="14">
        <f t="shared" si="691"/>
        <v>1345</v>
      </c>
      <c r="EM357" s="14">
        <f t="shared" si="692"/>
        <v>1423</v>
      </c>
      <c r="EN357" s="14">
        <f t="shared" si="693"/>
        <v>17688</v>
      </c>
      <c r="EO357" s="14">
        <f t="shared" si="694"/>
        <v>19242</v>
      </c>
      <c r="EP357" s="14">
        <f t="shared" si="695"/>
        <v>19242</v>
      </c>
      <c r="EQ357" s="14">
        <f t="shared" si="696"/>
        <v>21360</v>
      </c>
      <c r="ER357" s="14">
        <f t="shared" si="697"/>
        <v>22294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INDEX(属性投放!$BQ$6:$BQ$85,(卡牌属性!$DW357-2)*20+卡牌属性!$DX357)</f>
        <v>350</v>
      </c>
      <c r="FI357" s="14">
        <f>INDEX(属性投放!$BQ$6:$BQ$85,(卡牌属性!$DW357-2)*20+卡牌属性!$DX357)</f>
        <v>350</v>
      </c>
      <c r="FJ357" s="14">
        <f>INDEX(属性投放!$BQ$6:$BQ$85,(卡牌属性!$DW357-2)*20+卡牌属性!$DX357)</f>
        <v>350</v>
      </c>
      <c r="FK357" s="14">
        <f>INDEX(属性投放!$BQ$6:$BQ$85,(卡牌属性!$DW357-2)*20+卡牌属性!$DX357)</f>
        <v>350</v>
      </c>
      <c r="FL357" s="14">
        <f>INDEX(属性投放!$BQ$6:$BQ$85,(卡牌属性!$DW357-2)*20+卡牌属性!$DX357)</f>
        <v>350</v>
      </c>
      <c r="FM357" s="14">
        <f>INDEX(属性投放!$BR$6:$BR$85,(卡牌属性!$DW357-2)*20+卡牌属性!$DX357)</f>
        <v>175</v>
      </c>
      <c r="FN357" s="14">
        <f>INDEX(属性投放!$BR$6:$BR$85,(卡牌属性!$DW357-2)*20+卡牌属性!$DX357)</f>
        <v>175</v>
      </c>
      <c r="FO357" s="14">
        <f>INDEX(属性投放!$BR$6:$BR$85,(卡牌属性!$DW357-2)*20+卡牌属性!$DX357)</f>
        <v>175</v>
      </c>
      <c r="FP357" s="14">
        <f>INDEX(属性投放!$BR$6:$BR$85,(卡牌属性!$DW357-2)*20+卡牌属性!$DX357)</f>
        <v>175</v>
      </c>
      <c r="FQ357" s="14">
        <f>INDEX(属性投放!$BR$6:$BR$85,(卡牌属性!$DW357-2)*20+卡牌属性!$DX357)</f>
        <v>175</v>
      </c>
      <c r="FR357" s="14">
        <f>INDEX(属性投放!$BS$6:$BS$85,(卡牌属性!$DW357-2)*20+卡牌属性!$DX357)</f>
        <v>3500</v>
      </c>
      <c r="FS357" s="14">
        <f>INDEX(属性投放!$BS$6:$BS$85,(卡牌属性!$DW357-2)*20+卡牌属性!$DX357)</f>
        <v>3500</v>
      </c>
      <c r="FT357" s="14">
        <f>INDEX(属性投放!$BS$6:$BS$85,(卡牌属性!$DW357-2)*20+卡牌属性!$DX357)</f>
        <v>3500</v>
      </c>
      <c r="FU357" s="14">
        <f>INDEX(属性投放!$BS$6:$BS$85,(卡牌属性!$DW357-2)*20+卡牌属性!$DX357)</f>
        <v>3500</v>
      </c>
      <c r="FV357" s="14">
        <f>INDEX(属性投放!$BS$6:$BS$85,(卡牌属性!$DW357-2)*20+卡牌属性!$DX357)</f>
        <v>3500</v>
      </c>
    </row>
    <row r="358" spans="31:178" ht="16.5" x14ac:dyDescent="0.2">
      <c r="AE358" s="13">
        <v>354</v>
      </c>
      <c r="AF358" s="13">
        <f t="shared" si="652"/>
        <v>18</v>
      </c>
      <c r="AG358" s="13">
        <f t="shared" si="633"/>
        <v>3</v>
      </c>
      <c r="AH358" s="13"/>
      <c r="AI358" s="13"/>
      <c r="AJ358" s="14">
        <f t="shared" si="634"/>
        <v>1101020</v>
      </c>
      <c r="AK358" s="14" t="str">
        <f t="shared" si="635"/>
        <v>姬烟华14突</v>
      </c>
      <c r="AL358" s="25" t="s">
        <v>142</v>
      </c>
      <c r="AM358" s="14">
        <v>1</v>
      </c>
      <c r="AN358" s="14">
        <f t="shared" si="636"/>
        <v>14</v>
      </c>
      <c r="AO358" s="14">
        <f>INDEX(属性投放!$DF$6:$DF$85,(卡牌属性!AG358-2)*20+卡牌属性!AN358)</f>
        <v>6167</v>
      </c>
      <c r="AP358" s="14">
        <f t="shared" si="677"/>
        <v>6167</v>
      </c>
      <c r="AQ358" s="14">
        <f t="shared" si="677"/>
        <v>6167</v>
      </c>
      <c r="AR358" s="14">
        <f t="shared" si="677"/>
        <v>6167</v>
      </c>
      <c r="AS358" s="14">
        <f t="shared" si="677"/>
        <v>6167</v>
      </c>
      <c r="AT358" s="14">
        <f>INDEX(属性投放!$DG$6:$DG$85,(卡牌属性!AG358-2)*20+卡牌属性!AN358)</f>
        <v>3022</v>
      </c>
      <c r="AU358" s="14">
        <f t="shared" si="678"/>
        <v>3022</v>
      </c>
      <c r="AV358" s="14">
        <f t="shared" si="678"/>
        <v>3022</v>
      </c>
      <c r="AW358" s="14">
        <f t="shared" si="678"/>
        <v>3022</v>
      </c>
      <c r="AX358" s="14">
        <f t="shared" si="678"/>
        <v>3022</v>
      </c>
      <c r="AY358" s="14">
        <f>INDEX(属性投放!$DH$6:$DH$85,(卡牌属性!AG358-2)*20+卡牌属性!AN358)</f>
        <v>50793</v>
      </c>
      <c r="AZ358" s="14">
        <f t="shared" si="679"/>
        <v>50793</v>
      </c>
      <c r="BA358" s="14">
        <f t="shared" si="679"/>
        <v>50793</v>
      </c>
      <c r="BB358" s="14">
        <f t="shared" si="679"/>
        <v>50793</v>
      </c>
      <c r="BC358" s="14">
        <f t="shared" si="679"/>
        <v>50793</v>
      </c>
      <c r="BD358" s="14">
        <f>INDEX(属性投放!$DL$6:$DL$85,(卡牌属性!AG358-2)*20+卡牌属性!AN358)</f>
        <v>176</v>
      </c>
      <c r="BE358" s="14">
        <f t="shared" si="680"/>
        <v>176</v>
      </c>
      <c r="BF358" s="14">
        <f t="shared" si="680"/>
        <v>176</v>
      </c>
      <c r="BG358" s="14">
        <f t="shared" si="680"/>
        <v>176</v>
      </c>
      <c r="BH358" s="14">
        <f t="shared" si="680"/>
        <v>176</v>
      </c>
      <c r="BI358" s="14">
        <f>INDEX(属性投放!$DM$6:$DM$85,(卡牌属性!AG358-2)*20+卡牌属性!AN358)</f>
        <v>88</v>
      </c>
      <c r="BJ358" s="14">
        <f t="shared" si="681"/>
        <v>88</v>
      </c>
      <c r="BK358" s="14">
        <f t="shared" si="681"/>
        <v>88</v>
      </c>
      <c r="BL358" s="14">
        <f t="shared" si="681"/>
        <v>88</v>
      </c>
      <c r="BM358" s="14">
        <f t="shared" si="681"/>
        <v>88</v>
      </c>
      <c r="BN358" s="14">
        <f>INDEX(属性投放!$DN$6:$DN$85,(卡牌属性!AG358-2)*20+卡牌属性!AN358)</f>
        <v>1759</v>
      </c>
      <c r="BO358" s="14">
        <f t="shared" si="682"/>
        <v>1759</v>
      </c>
      <c r="BP358" s="14">
        <f t="shared" si="682"/>
        <v>1759</v>
      </c>
      <c r="BQ358" s="14">
        <f t="shared" si="682"/>
        <v>1759</v>
      </c>
      <c r="BR358" s="14">
        <f t="shared" si="682"/>
        <v>1759</v>
      </c>
      <c r="BW358" s="13">
        <v>354</v>
      </c>
      <c r="BX358" s="13">
        <f t="shared" si="643"/>
        <v>18</v>
      </c>
      <c r="BY358" s="14">
        <f t="shared" si="644"/>
        <v>2</v>
      </c>
      <c r="BZ358" s="14">
        <f t="shared" si="653"/>
        <v>1102018</v>
      </c>
      <c r="CA358" s="14" t="str">
        <f t="shared" si="654"/>
        <v>噬日14突</v>
      </c>
      <c r="CB358" s="25" t="s">
        <v>142</v>
      </c>
      <c r="CC358" s="14">
        <v>2</v>
      </c>
      <c r="CD358" s="14">
        <f t="shared" si="645"/>
        <v>14</v>
      </c>
      <c r="CE358" s="14" t="s">
        <v>21</v>
      </c>
      <c r="CF358" s="14">
        <f>INDEX(属性投放!$AZ$6:$AZ$85,(BY358-2)*20+CD358)</f>
        <v>5400</v>
      </c>
      <c r="CG358" s="14" t="s">
        <v>22</v>
      </c>
      <c r="CH358" s="14">
        <f>INDEX(属性投放!$BA$6:$BA$85,(BY358-2)*20+CD358)</f>
        <v>2660</v>
      </c>
      <c r="CI358" s="14" t="s">
        <v>510</v>
      </c>
      <c r="CJ358" s="14">
        <f>INDEX(属性投放!$BB$6:$BB$85,(BY358-2)*20+CD358)</f>
        <v>45808</v>
      </c>
      <c r="CK358" s="14" t="s">
        <v>21</v>
      </c>
      <c r="CL358" s="14">
        <f>INDEX(属性投放!$BC$6:$BC$85,(BY358-2)*20+CD358)</f>
        <v>15</v>
      </c>
      <c r="CM358" s="14" t="s">
        <v>22</v>
      </c>
      <c r="CN358" s="14">
        <f>INDEX(属性投放!$BD$6:$BD$85,(BY358-2)*20+CD358)</f>
        <v>8</v>
      </c>
      <c r="CO358" s="14" t="s">
        <v>510</v>
      </c>
      <c r="CP358" s="14">
        <f>INDEX(属性投放!$BE$6:$BE$85,(BY358-2)*20+CD358)</f>
        <v>150</v>
      </c>
      <c r="CS358" s="13">
        <v>354</v>
      </c>
      <c r="CT358" s="13">
        <f t="shared" si="655"/>
        <v>7</v>
      </c>
      <c r="CU358" s="13">
        <f t="shared" si="656"/>
        <v>42</v>
      </c>
      <c r="CV358" s="14">
        <f t="shared" si="657"/>
        <v>4</v>
      </c>
      <c r="CW358" s="14">
        <f t="shared" si="658"/>
        <v>1102007</v>
      </c>
      <c r="CX358" s="14" t="str">
        <f>INDEX($O$6:$O$50,CT358)&amp;"-"&amp;INDEX(属性投放!$AB$7:$AB$50,CZ358)&amp;"-魂火-"&amp;DB358</f>
        <v>天使缇娜-大焦热+1-魂火-3</v>
      </c>
      <c r="CY358" s="25" t="s">
        <v>142</v>
      </c>
      <c r="CZ358" s="14">
        <f>INDEX(属性投放!$AM$7:$AM$58,CU358)</f>
        <v>17</v>
      </c>
      <c r="DA358" s="14" t="s">
        <v>537</v>
      </c>
      <c r="DB358" s="14">
        <f>INDEX(属性投放!$AN$7:$AN$58,CU358)</f>
        <v>3</v>
      </c>
      <c r="DC358" s="14">
        <f t="shared" si="646"/>
        <v>42</v>
      </c>
      <c r="DD358" s="14">
        <f>INDEX(属性投放!$AO$7:$AO$58,DC358)</f>
        <v>123</v>
      </c>
      <c r="DE358" s="14" t="s">
        <v>538</v>
      </c>
      <c r="DF358" s="14">
        <f>INDEX(属性投放!$BK$6:$BK$85,(CV358-2)*20+CZ358)</f>
        <v>650</v>
      </c>
      <c r="DG358" s="14">
        <f>SUMIFS(DF$5:DF358,$CT$5:$CT358,"="&amp;$CT358)</f>
        <v>9385</v>
      </c>
      <c r="DH358" s="14" t="s">
        <v>539</v>
      </c>
      <c r="DI358" s="14">
        <f>INDEX(属性投放!$BL$6:$BL$85,(CV358-2)*20+CZ358)</f>
        <v>325</v>
      </c>
      <c r="DJ358" s="14">
        <f>SUMIFS(DI$5:DI358,$CT$5:$CT358,"="&amp;$CT358)</f>
        <v>4702</v>
      </c>
      <c r="DK358" s="14" t="s">
        <v>540</v>
      </c>
      <c r="DL358" s="14">
        <f>INDEX(属性投放!$BM$6:$BM$85,(CV358-2)*20+CZ358)</f>
        <v>6500</v>
      </c>
      <c r="DM358" s="14">
        <f>SUMIFS(DL$5:DL358,$CT$5:$CT358,"="&amp;$CT358)</f>
        <v>89285</v>
      </c>
      <c r="DR358" s="14">
        <f t="shared" si="647"/>
        <v>1102018</v>
      </c>
      <c r="DS358" s="14" t="str">
        <f t="shared" si="648"/>
        <v>噬日14突</v>
      </c>
      <c r="DT358" s="14">
        <f t="shared" si="659"/>
        <v>3</v>
      </c>
      <c r="DU358" s="14">
        <f t="shared" si="660"/>
        <v>3</v>
      </c>
      <c r="DV358" s="14">
        <f t="shared" si="661"/>
        <v>3</v>
      </c>
      <c r="DW358" s="14">
        <f t="shared" si="649"/>
        <v>2</v>
      </c>
      <c r="DX358" s="14">
        <f t="shared" si="650"/>
        <v>14</v>
      </c>
      <c r="DY358" s="14">
        <f t="shared" si="651"/>
        <v>14</v>
      </c>
      <c r="DZ358" s="14">
        <f>INDEX(属性投放!$AX$6:$AX$85,(卡牌属性!DW358-2)*20+卡牌属性!DX358)</f>
        <v>7</v>
      </c>
      <c r="EA358" s="14">
        <f>INDEX(属性投放!BQ$6:BQ$85,卡牌属性!$DY358)</f>
        <v>400</v>
      </c>
      <c r="EB358" s="14">
        <f>INDEX(属性投放!BR$6:BR$85,卡牌属性!$DY358)</f>
        <v>200</v>
      </c>
      <c r="EC358" s="14">
        <f>INDEX(属性投放!BS$6:BS$85,卡牌属性!$DY358)</f>
        <v>4000</v>
      </c>
      <c r="ED358" s="14">
        <f t="shared" si="683"/>
        <v>2735</v>
      </c>
      <c r="EE358" s="14">
        <f t="shared" si="684"/>
        <v>2990</v>
      </c>
      <c r="EF358" s="14">
        <f t="shared" si="685"/>
        <v>3311</v>
      </c>
      <c r="EG358" s="14">
        <f t="shared" si="686"/>
        <v>3311</v>
      </c>
      <c r="EH358" s="14">
        <f t="shared" si="687"/>
        <v>3454</v>
      </c>
      <c r="EI358" s="14">
        <f t="shared" si="688"/>
        <v>1334</v>
      </c>
      <c r="EJ358" s="14">
        <f t="shared" si="689"/>
        <v>1464</v>
      </c>
      <c r="EK358" s="14">
        <f t="shared" si="690"/>
        <v>1464</v>
      </c>
      <c r="EL358" s="14">
        <f t="shared" si="691"/>
        <v>1624</v>
      </c>
      <c r="EM358" s="14">
        <f t="shared" si="692"/>
        <v>1702</v>
      </c>
      <c r="EN358" s="14">
        <f t="shared" si="693"/>
        <v>22388</v>
      </c>
      <c r="EO358" s="14">
        <f t="shared" si="694"/>
        <v>24342</v>
      </c>
      <c r="EP358" s="14">
        <f t="shared" si="695"/>
        <v>24342</v>
      </c>
      <c r="EQ358" s="14">
        <f t="shared" si="696"/>
        <v>26860</v>
      </c>
      <c r="ER358" s="14">
        <f t="shared" si="697"/>
        <v>27874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INDEX(属性投放!$BQ$6:$BQ$85,(卡牌属性!$DW358-2)*20+卡牌属性!$DX358)</f>
        <v>400</v>
      </c>
      <c r="FI358" s="14">
        <f>INDEX(属性投放!$BQ$6:$BQ$85,(卡牌属性!$DW358-2)*20+卡牌属性!$DX358)</f>
        <v>400</v>
      </c>
      <c r="FJ358" s="14">
        <f>INDEX(属性投放!$BQ$6:$BQ$85,(卡牌属性!$DW358-2)*20+卡牌属性!$DX358)</f>
        <v>400</v>
      </c>
      <c r="FK358" s="14">
        <f>INDEX(属性投放!$BQ$6:$BQ$85,(卡牌属性!$DW358-2)*20+卡牌属性!$DX358)</f>
        <v>400</v>
      </c>
      <c r="FL358" s="14">
        <f>INDEX(属性投放!$BQ$6:$BQ$85,(卡牌属性!$DW358-2)*20+卡牌属性!$DX358)</f>
        <v>400</v>
      </c>
      <c r="FM358" s="14">
        <f>INDEX(属性投放!$BR$6:$BR$85,(卡牌属性!$DW358-2)*20+卡牌属性!$DX358)</f>
        <v>200</v>
      </c>
      <c r="FN358" s="14">
        <f>INDEX(属性投放!$BR$6:$BR$85,(卡牌属性!$DW358-2)*20+卡牌属性!$DX358)</f>
        <v>200</v>
      </c>
      <c r="FO358" s="14">
        <f>INDEX(属性投放!$BR$6:$BR$85,(卡牌属性!$DW358-2)*20+卡牌属性!$DX358)</f>
        <v>200</v>
      </c>
      <c r="FP358" s="14">
        <f>INDEX(属性投放!$BR$6:$BR$85,(卡牌属性!$DW358-2)*20+卡牌属性!$DX358)</f>
        <v>200</v>
      </c>
      <c r="FQ358" s="14">
        <f>INDEX(属性投放!$BR$6:$BR$85,(卡牌属性!$DW358-2)*20+卡牌属性!$DX358)</f>
        <v>200</v>
      </c>
      <c r="FR358" s="14">
        <f>INDEX(属性投放!$BS$6:$BS$85,(卡牌属性!$DW358-2)*20+卡牌属性!$DX358)</f>
        <v>4000</v>
      </c>
      <c r="FS358" s="14">
        <f>INDEX(属性投放!$BS$6:$BS$85,(卡牌属性!$DW358-2)*20+卡牌属性!$DX358)</f>
        <v>4000</v>
      </c>
      <c r="FT358" s="14">
        <f>INDEX(属性投放!$BS$6:$BS$85,(卡牌属性!$DW358-2)*20+卡牌属性!$DX358)</f>
        <v>4000</v>
      </c>
      <c r="FU358" s="14">
        <f>INDEX(属性投放!$BS$6:$BS$85,(卡牌属性!$DW358-2)*20+卡牌属性!$DX358)</f>
        <v>4000</v>
      </c>
      <c r="FV358" s="14">
        <f>INDEX(属性投放!$BS$6:$BS$85,(卡牌属性!$DW358-2)*20+卡牌属性!$DX358)</f>
        <v>4000</v>
      </c>
    </row>
    <row r="359" spans="31:178" ht="16.5" x14ac:dyDescent="0.2">
      <c r="AE359" s="13">
        <v>355</v>
      </c>
      <c r="AF359" s="13">
        <f t="shared" si="652"/>
        <v>18</v>
      </c>
      <c r="AG359" s="13">
        <f t="shared" si="633"/>
        <v>3</v>
      </c>
      <c r="AH359" s="13"/>
      <c r="AI359" s="13"/>
      <c r="AJ359" s="14">
        <f t="shared" si="634"/>
        <v>1101020</v>
      </c>
      <c r="AK359" s="14" t="str">
        <f t="shared" si="635"/>
        <v>姬烟华15突</v>
      </c>
      <c r="AL359" s="25" t="s">
        <v>142</v>
      </c>
      <c r="AM359" s="14">
        <v>1</v>
      </c>
      <c r="AN359" s="14">
        <f t="shared" si="636"/>
        <v>15</v>
      </c>
      <c r="AO359" s="14">
        <f>INDEX(属性投放!$DF$6:$DF$85,(卡牌属性!AG359-2)*20+卡牌属性!AN359)</f>
        <v>6670</v>
      </c>
      <c r="AP359" s="14">
        <f t="shared" si="677"/>
        <v>6670</v>
      </c>
      <c r="AQ359" s="14">
        <f t="shared" si="677"/>
        <v>6670</v>
      </c>
      <c r="AR359" s="14">
        <f t="shared" si="677"/>
        <v>6670</v>
      </c>
      <c r="AS359" s="14">
        <f t="shared" si="677"/>
        <v>6670</v>
      </c>
      <c r="AT359" s="14">
        <f>INDEX(属性投放!$DG$6:$DG$85,(卡牌属性!AG359-2)*20+卡牌属性!AN359)</f>
        <v>3274</v>
      </c>
      <c r="AU359" s="14">
        <f t="shared" si="678"/>
        <v>3274</v>
      </c>
      <c r="AV359" s="14">
        <f t="shared" si="678"/>
        <v>3274</v>
      </c>
      <c r="AW359" s="14">
        <f t="shared" si="678"/>
        <v>3274</v>
      </c>
      <c r="AX359" s="14">
        <f t="shared" si="678"/>
        <v>3274</v>
      </c>
      <c r="AY359" s="14">
        <f>INDEX(属性投放!$DH$6:$DH$85,(卡牌属性!AG359-2)*20+卡牌属性!AN359)</f>
        <v>55818</v>
      </c>
      <c r="AZ359" s="14">
        <f t="shared" si="679"/>
        <v>55818</v>
      </c>
      <c r="BA359" s="14">
        <f t="shared" si="679"/>
        <v>55818</v>
      </c>
      <c r="BB359" s="14">
        <f t="shared" si="679"/>
        <v>55818</v>
      </c>
      <c r="BC359" s="14">
        <f t="shared" si="679"/>
        <v>55818</v>
      </c>
      <c r="BD359" s="14">
        <f>INDEX(属性投放!$DL$6:$DL$85,(卡牌属性!AG359-2)*20+卡牌属性!AN359)</f>
        <v>176</v>
      </c>
      <c r="BE359" s="14">
        <f t="shared" si="680"/>
        <v>176</v>
      </c>
      <c r="BF359" s="14">
        <f t="shared" si="680"/>
        <v>176</v>
      </c>
      <c r="BG359" s="14">
        <f t="shared" si="680"/>
        <v>176</v>
      </c>
      <c r="BH359" s="14">
        <f t="shared" si="680"/>
        <v>176</v>
      </c>
      <c r="BI359" s="14">
        <f>INDEX(属性投放!$DM$6:$DM$85,(卡牌属性!AG359-2)*20+卡牌属性!AN359)</f>
        <v>88</v>
      </c>
      <c r="BJ359" s="14">
        <f t="shared" si="681"/>
        <v>88</v>
      </c>
      <c r="BK359" s="14">
        <f t="shared" si="681"/>
        <v>88</v>
      </c>
      <c r="BL359" s="14">
        <f t="shared" si="681"/>
        <v>88</v>
      </c>
      <c r="BM359" s="14">
        <f t="shared" si="681"/>
        <v>88</v>
      </c>
      <c r="BN359" s="14">
        <f>INDEX(属性投放!$DN$6:$DN$85,(卡牌属性!AG359-2)*20+卡牌属性!AN359)</f>
        <v>1759</v>
      </c>
      <c r="BO359" s="14">
        <f t="shared" si="682"/>
        <v>1759</v>
      </c>
      <c r="BP359" s="14">
        <f t="shared" si="682"/>
        <v>1759</v>
      </c>
      <c r="BQ359" s="14">
        <f t="shared" si="682"/>
        <v>1759</v>
      </c>
      <c r="BR359" s="14">
        <f t="shared" si="682"/>
        <v>1759</v>
      </c>
      <c r="BW359" s="13">
        <v>355</v>
      </c>
      <c r="BX359" s="13">
        <f t="shared" si="643"/>
        <v>18</v>
      </c>
      <c r="BY359" s="14">
        <f t="shared" si="644"/>
        <v>2</v>
      </c>
      <c r="BZ359" s="14">
        <f t="shared" si="653"/>
        <v>1102018</v>
      </c>
      <c r="CA359" s="14" t="str">
        <f t="shared" si="654"/>
        <v>噬日15突</v>
      </c>
      <c r="CB359" s="25" t="s">
        <v>142</v>
      </c>
      <c r="CC359" s="14">
        <v>2</v>
      </c>
      <c r="CD359" s="14">
        <f t="shared" si="645"/>
        <v>15</v>
      </c>
      <c r="CE359" s="14" t="s">
        <v>21</v>
      </c>
      <c r="CF359" s="14">
        <f>INDEX(属性投放!$AZ$6:$AZ$85,(BY359-2)*20+CD359)</f>
        <v>6715</v>
      </c>
      <c r="CG359" s="14" t="s">
        <v>22</v>
      </c>
      <c r="CH359" s="14">
        <f>INDEX(属性投放!$BA$6:$BA$85,(BY359-2)*20+CD359)</f>
        <v>3321</v>
      </c>
      <c r="CI359" s="14" t="s">
        <v>510</v>
      </c>
      <c r="CJ359" s="14">
        <f>INDEX(属性投放!$BB$6:$BB$85,(BY359-2)*20+CD359)</f>
        <v>58958</v>
      </c>
      <c r="CK359" s="14" t="s">
        <v>21</v>
      </c>
      <c r="CL359" s="14">
        <f>INDEX(属性投放!$BC$6:$BC$85,(BY359-2)*20+CD359)</f>
        <v>15</v>
      </c>
      <c r="CM359" s="14" t="s">
        <v>22</v>
      </c>
      <c r="CN359" s="14">
        <f>INDEX(属性投放!$BD$6:$BD$85,(BY359-2)*20+CD359)</f>
        <v>8</v>
      </c>
      <c r="CO359" s="14" t="s">
        <v>510</v>
      </c>
      <c r="CP359" s="14">
        <f>INDEX(属性投放!$BE$6:$BE$85,(BY359-2)*20+CD359)</f>
        <v>150</v>
      </c>
      <c r="CS359" s="13">
        <v>355</v>
      </c>
      <c r="CT359" s="13">
        <f t="shared" si="655"/>
        <v>7</v>
      </c>
      <c r="CU359" s="13">
        <f t="shared" si="656"/>
        <v>43</v>
      </c>
      <c r="CV359" s="14">
        <f t="shared" si="657"/>
        <v>4</v>
      </c>
      <c r="CW359" s="14">
        <f t="shared" si="658"/>
        <v>1102007</v>
      </c>
      <c r="CX359" s="14" t="str">
        <f>INDEX($O$6:$O$50,CT359)&amp;"-"&amp;INDEX(属性投放!$AB$7:$AB$50,CZ359)&amp;"-魂火-"&amp;DB359</f>
        <v>天使缇娜-大焦热+2-魂火-1</v>
      </c>
      <c r="CY359" s="25" t="s">
        <v>142</v>
      </c>
      <c r="CZ359" s="14">
        <f>INDEX(属性投放!$AM$7:$AM$58,CU359)</f>
        <v>18</v>
      </c>
      <c r="DA359" s="14" t="s">
        <v>537</v>
      </c>
      <c r="DB359" s="14">
        <f>INDEX(属性投放!$AN$7:$AN$58,CU359)</f>
        <v>1</v>
      </c>
      <c r="DC359" s="14">
        <f t="shared" si="646"/>
        <v>43</v>
      </c>
      <c r="DD359" s="14">
        <f>INDEX(属性投放!$AO$7:$AO$58,DC359)</f>
        <v>125</v>
      </c>
      <c r="DE359" s="14" t="s">
        <v>538</v>
      </c>
      <c r="DF359" s="14">
        <f>INDEX(属性投放!$BK$6:$BK$85,(CV359-2)*20+CZ359)</f>
        <v>750</v>
      </c>
      <c r="DG359" s="14">
        <f>SUMIFS(DF$5:DF359,$CT$5:$CT359,"="&amp;$CT359)</f>
        <v>10135</v>
      </c>
      <c r="DH359" s="14" t="s">
        <v>539</v>
      </c>
      <c r="DI359" s="14">
        <f>INDEX(属性投放!$BL$6:$BL$85,(CV359-2)*20+CZ359)</f>
        <v>375</v>
      </c>
      <c r="DJ359" s="14">
        <f>SUMIFS(DI$5:DI359,$CT$5:$CT359,"="&amp;$CT359)</f>
        <v>5077</v>
      </c>
      <c r="DK359" s="14" t="s">
        <v>540</v>
      </c>
      <c r="DL359" s="14">
        <f>INDEX(属性投放!$BM$6:$BM$85,(CV359-2)*20+CZ359)</f>
        <v>7500</v>
      </c>
      <c r="DM359" s="14">
        <f>SUMIFS(DL$5:DL359,$CT$5:$CT359,"="&amp;$CT359)</f>
        <v>96785</v>
      </c>
      <c r="DR359" s="14">
        <f t="shared" si="647"/>
        <v>1102018</v>
      </c>
      <c r="DS359" s="14" t="str">
        <f t="shared" si="648"/>
        <v>噬日15突</v>
      </c>
      <c r="DT359" s="14">
        <f t="shared" si="659"/>
        <v>3</v>
      </c>
      <c r="DU359" s="14">
        <f t="shared" si="660"/>
        <v>3</v>
      </c>
      <c r="DV359" s="14">
        <f t="shared" si="661"/>
        <v>3</v>
      </c>
      <c r="DW359" s="14">
        <f t="shared" si="649"/>
        <v>2</v>
      </c>
      <c r="DX359" s="14">
        <f t="shared" si="650"/>
        <v>15</v>
      </c>
      <c r="DY359" s="14">
        <f t="shared" si="651"/>
        <v>15</v>
      </c>
      <c r="DZ359" s="14">
        <f>INDEX(属性投放!$AX$6:$AX$85,(卡牌属性!DW359-2)*20+卡牌属性!DX359)</f>
        <v>8</v>
      </c>
      <c r="EA359" s="14">
        <f>INDEX(属性投放!BQ$6:BQ$85,卡牌属性!$DY359)</f>
        <v>700</v>
      </c>
      <c r="EB359" s="14">
        <f>INDEX(属性投放!BR$6:BR$85,卡牌属性!$DY359)</f>
        <v>350</v>
      </c>
      <c r="EC359" s="14">
        <f>INDEX(属性投放!BS$6:BS$85,卡牌属性!$DY359)</f>
        <v>7000</v>
      </c>
      <c r="ED359" s="14">
        <f t="shared" si="683"/>
        <v>3240</v>
      </c>
      <c r="EE359" s="14">
        <f t="shared" si="684"/>
        <v>3530</v>
      </c>
      <c r="EF359" s="14">
        <f t="shared" si="685"/>
        <v>3886</v>
      </c>
      <c r="EG359" s="14">
        <f t="shared" si="686"/>
        <v>3886</v>
      </c>
      <c r="EH359" s="14">
        <f t="shared" si="687"/>
        <v>4036</v>
      </c>
      <c r="EI359" s="14">
        <f t="shared" si="688"/>
        <v>1590</v>
      </c>
      <c r="EJ359" s="14">
        <f t="shared" si="689"/>
        <v>1734</v>
      </c>
      <c r="EK359" s="14">
        <f t="shared" si="690"/>
        <v>1734</v>
      </c>
      <c r="EL359" s="14">
        <f t="shared" si="691"/>
        <v>1915</v>
      </c>
      <c r="EM359" s="14">
        <f t="shared" si="692"/>
        <v>1993</v>
      </c>
      <c r="EN359" s="14">
        <f t="shared" si="693"/>
        <v>27438</v>
      </c>
      <c r="EO359" s="14">
        <f t="shared" si="694"/>
        <v>29742</v>
      </c>
      <c r="EP359" s="14">
        <f t="shared" si="695"/>
        <v>29742</v>
      </c>
      <c r="EQ359" s="14">
        <f t="shared" si="696"/>
        <v>32610</v>
      </c>
      <c r="ER359" s="14">
        <f t="shared" si="697"/>
        <v>33694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INDEX(属性投放!$BQ$6:$BQ$85,(卡牌属性!$DW359-2)*20+卡牌属性!$DX359)</f>
        <v>700</v>
      </c>
      <c r="FI359" s="14">
        <f>INDEX(属性投放!$BQ$6:$BQ$85,(卡牌属性!$DW359-2)*20+卡牌属性!$DX359)</f>
        <v>700</v>
      </c>
      <c r="FJ359" s="14">
        <f>INDEX(属性投放!$BQ$6:$BQ$85,(卡牌属性!$DW359-2)*20+卡牌属性!$DX359)</f>
        <v>700</v>
      </c>
      <c r="FK359" s="14">
        <f>INDEX(属性投放!$BQ$6:$BQ$85,(卡牌属性!$DW359-2)*20+卡牌属性!$DX359)</f>
        <v>700</v>
      </c>
      <c r="FL359" s="14">
        <f>INDEX(属性投放!$BQ$6:$BQ$85,(卡牌属性!$DW359-2)*20+卡牌属性!$DX359)</f>
        <v>700</v>
      </c>
      <c r="FM359" s="14">
        <f>INDEX(属性投放!$BR$6:$BR$85,(卡牌属性!$DW359-2)*20+卡牌属性!$DX359)</f>
        <v>350</v>
      </c>
      <c r="FN359" s="14">
        <f>INDEX(属性投放!$BR$6:$BR$85,(卡牌属性!$DW359-2)*20+卡牌属性!$DX359)</f>
        <v>350</v>
      </c>
      <c r="FO359" s="14">
        <f>INDEX(属性投放!$BR$6:$BR$85,(卡牌属性!$DW359-2)*20+卡牌属性!$DX359)</f>
        <v>350</v>
      </c>
      <c r="FP359" s="14">
        <f>INDEX(属性投放!$BR$6:$BR$85,(卡牌属性!$DW359-2)*20+卡牌属性!$DX359)</f>
        <v>350</v>
      </c>
      <c r="FQ359" s="14">
        <f>INDEX(属性投放!$BR$6:$BR$85,(卡牌属性!$DW359-2)*20+卡牌属性!$DX359)</f>
        <v>350</v>
      </c>
      <c r="FR359" s="14">
        <f>INDEX(属性投放!$BS$6:$BS$85,(卡牌属性!$DW359-2)*20+卡牌属性!$DX359)</f>
        <v>7000</v>
      </c>
      <c r="FS359" s="14">
        <f>INDEX(属性投放!$BS$6:$BS$85,(卡牌属性!$DW359-2)*20+卡牌属性!$DX359)</f>
        <v>7000</v>
      </c>
      <c r="FT359" s="14">
        <f>INDEX(属性投放!$BS$6:$BS$85,(卡牌属性!$DW359-2)*20+卡牌属性!$DX359)</f>
        <v>7000</v>
      </c>
      <c r="FU359" s="14">
        <f>INDEX(属性投放!$BS$6:$BS$85,(卡牌属性!$DW359-2)*20+卡牌属性!$DX359)</f>
        <v>7000</v>
      </c>
      <c r="FV359" s="14">
        <f>INDEX(属性投放!$BS$6:$BS$85,(卡牌属性!$DW359-2)*20+卡牌属性!$DX359)</f>
        <v>7000</v>
      </c>
    </row>
    <row r="360" spans="31:178" ht="16.5" x14ac:dyDescent="0.2">
      <c r="AE360" s="13">
        <v>356</v>
      </c>
      <c r="AF360" s="13">
        <f t="shared" si="652"/>
        <v>18</v>
      </c>
      <c r="AG360" s="13">
        <f t="shared" si="633"/>
        <v>3</v>
      </c>
      <c r="AH360" s="13"/>
      <c r="AI360" s="13"/>
      <c r="AJ360" s="14">
        <f t="shared" si="634"/>
        <v>1101020</v>
      </c>
      <c r="AK360" s="14" t="str">
        <f t="shared" si="635"/>
        <v>姬烟华16突</v>
      </c>
      <c r="AL360" s="25" t="s">
        <v>142</v>
      </c>
      <c r="AM360" s="14">
        <v>1</v>
      </c>
      <c r="AN360" s="14">
        <f t="shared" si="636"/>
        <v>16</v>
      </c>
      <c r="AO360" s="14">
        <f>INDEX(属性投放!$DF$6:$DF$85,(卡牌属性!AG360-2)*20+卡牌属性!AN360)</f>
        <v>11573</v>
      </c>
      <c r="AP360" s="14">
        <f t="shared" si="677"/>
        <v>11573</v>
      </c>
      <c r="AQ360" s="14">
        <f t="shared" si="677"/>
        <v>11573</v>
      </c>
      <c r="AR360" s="14">
        <f t="shared" si="677"/>
        <v>11573</v>
      </c>
      <c r="AS360" s="14">
        <f t="shared" si="677"/>
        <v>11573</v>
      </c>
      <c r="AT360" s="14">
        <f>INDEX(属性投放!$DG$6:$DG$85,(卡牌属性!AG360-2)*20+卡牌属性!AN360)</f>
        <v>5726</v>
      </c>
      <c r="AU360" s="14">
        <f t="shared" si="678"/>
        <v>5726</v>
      </c>
      <c r="AV360" s="14">
        <f t="shared" si="678"/>
        <v>5726</v>
      </c>
      <c r="AW360" s="14">
        <f t="shared" si="678"/>
        <v>5726</v>
      </c>
      <c r="AX360" s="14">
        <f t="shared" si="678"/>
        <v>5726</v>
      </c>
      <c r="AY360" s="14">
        <f>INDEX(属性投放!$DH$6:$DH$85,(卡牌属性!AG360-2)*20+卡牌属性!AN360)</f>
        <v>104818</v>
      </c>
      <c r="AZ360" s="14">
        <f t="shared" si="679"/>
        <v>104818</v>
      </c>
      <c r="BA360" s="14">
        <f t="shared" si="679"/>
        <v>104818</v>
      </c>
      <c r="BB360" s="14">
        <f t="shared" si="679"/>
        <v>104818</v>
      </c>
      <c r="BC360" s="14">
        <f t="shared" si="679"/>
        <v>104818</v>
      </c>
      <c r="BD360" s="14">
        <f>INDEX(属性投放!$DL$6:$DL$85,(卡牌属性!AG360-2)*20+卡牌属性!AN360)</f>
        <v>259</v>
      </c>
      <c r="BE360" s="14">
        <f t="shared" si="680"/>
        <v>259</v>
      </c>
      <c r="BF360" s="14">
        <f t="shared" si="680"/>
        <v>259</v>
      </c>
      <c r="BG360" s="14">
        <f t="shared" si="680"/>
        <v>259</v>
      </c>
      <c r="BH360" s="14">
        <f t="shared" si="680"/>
        <v>259</v>
      </c>
      <c r="BI360" s="14">
        <f>INDEX(属性投放!$DM$6:$DM$85,(卡牌属性!AG360-2)*20+卡牌属性!AN360)</f>
        <v>130</v>
      </c>
      <c r="BJ360" s="14">
        <f t="shared" si="681"/>
        <v>130</v>
      </c>
      <c r="BK360" s="14">
        <f t="shared" si="681"/>
        <v>130</v>
      </c>
      <c r="BL360" s="14">
        <f t="shared" si="681"/>
        <v>130</v>
      </c>
      <c r="BM360" s="14">
        <f t="shared" si="681"/>
        <v>130</v>
      </c>
      <c r="BN360" s="14">
        <f>INDEX(属性投放!$DN$6:$DN$85,(卡牌属性!AG360-2)*20+卡牌属性!AN360)</f>
        <v>2593</v>
      </c>
      <c r="BO360" s="14">
        <f t="shared" si="682"/>
        <v>2593</v>
      </c>
      <c r="BP360" s="14">
        <f t="shared" si="682"/>
        <v>2593</v>
      </c>
      <c r="BQ360" s="14">
        <f t="shared" si="682"/>
        <v>2593</v>
      </c>
      <c r="BR360" s="14">
        <f t="shared" si="682"/>
        <v>2593</v>
      </c>
      <c r="BW360" s="13">
        <v>356</v>
      </c>
      <c r="BX360" s="13">
        <f t="shared" si="643"/>
        <v>18</v>
      </c>
      <c r="BY360" s="14">
        <f t="shared" si="644"/>
        <v>2</v>
      </c>
      <c r="BZ360" s="14">
        <f t="shared" si="653"/>
        <v>1102018</v>
      </c>
      <c r="CA360" s="14" t="str">
        <f t="shared" si="654"/>
        <v>噬日16突</v>
      </c>
      <c r="CB360" s="25" t="s">
        <v>142</v>
      </c>
      <c r="CC360" s="14">
        <v>2</v>
      </c>
      <c r="CD360" s="14">
        <f t="shared" si="645"/>
        <v>16</v>
      </c>
      <c r="CE360" s="14" t="s">
        <v>21</v>
      </c>
      <c r="CF360" s="14">
        <f>INDEX(属性投放!$AZ$6:$AZ$85,(BY360-2)*20+CD360)</f>
        <v>8585</v>
      </c>
      <c r="CG360" s="14" t="s">
        <v>22</v>
      </c>
      <c r="CH360" s="14">
        <f>INDEX(属性投放!$BA$6:$BA$85,(BY360-2)*20+CD360)</f>
        <v>4260</v>
      </c>
      <c r="CI360" s="14" t="s">
        <v>510</v>
      </c>
      <c r="CJ360" s="14">
        <f>INDEX(属性投放!$BB$6:$BB$85,(BY360-2)*20+CD360)</f>
        <v>77658</v>
      </c>
      <c r="CK360" s="14" t="s">
        <v>21</v>
      </c>
      <c r="CL360" s="14">
        <f>INDEX(属性投放!$BC$6:$BC$85,(BY360-2)*20+CD360)</f>
        <v>20</v>
      </c>
      <c r="CM360" s="14" t="s">
        <v>22</v>
      </c>
      <c r="CN360" s="14">
        <f>INDEX(属性投放!$BD$6:$BD$85,(BY360-2)*20+CD360)</f>
        <v>10</v>
      </c>
      <c r="CO360" s="14" t="s">
        <v>510</v>
      </c>
      <c r="CP360" s="14">
        <f>INDEX(属性投放!$BE$6:$BE$85,(BY360-2)*20+CD360)</f>
        <v>200</v>
      </c>
      <c r="CS360" s="13">
        <v>356</v>
      </c>
      <c r="CT360" s="13">
        <f t="shared" si="655"/>
        <v>7</v>
      </c>
      <c r="CU360" s="13">
        <f t="shared" si="656"/>
        <v>44</v>
      </c>
      <c r="CV360" s="14">
        <f t="shared" si="657"/>
        <v>4</v>
      </c>
      <c r="CW360" s="14">
        <f t="shared" si="658"/>
        <v>1102007</v>
      </c>
      <c r="CX360" s="14" t="str">
        <f>INDEX($O$6:$O$50,CT360)&amp;"-"&amp;INDEX(属性投放!$AB$7:$AB$50,CZ360)&amp;"-魂火-"&amp;DB360</f>
        <v>天使缇娜-大焦热+2-魂火-2</v>
      </c>
      <c r="CY360" s="25" t="s">
        <v>142</v>
      </c>
      <c r="CZ360" s="14">
        <f>INDEX(属性投放!$AM$7:$AM$58,CU360)</f>
        <v>18</v>
      </c>
      <c r="DA360" s="14" t="s">
        <v>537</v>
      </c>
      <c r="DB360" s="14">
        <f>INDEX(属性投放!$AN$7:$AN$58,CU360)</f>
        <v>2</v>
      </c>
      <c r="DC360" s="14">
        <f t="shared" si="646"/>
        <v>44</v>
      </c>
      <c r="DD360" s="14">
        <f>INDEX(属性投放!$AO$7:$AO$58,DC360)</f>
        <v>128</v>
      </c>
      <c r="DE360" s="14" t="s">
        <v>538</v>
      </c>
      <c r="DF360" s="14">
        <f>INDEX(属性投放!$BK$6:$BK$85,(CV360-2)*20+CZ360)</f>
        <v>750</v>
      </c>
      <c r="DG360" s="14">
        <f>SUMIFS(DF$5:DF360,$CT$5:$CT360,"="&amp;$CT360)</f>
        <v>10885</v>
      </c>
      <c r="DH360" s="14" t="s">
        <v>539</v>
      </c>
      <c r="DI360" s="14">
        <f>INDEX(属性投放!$BL$6:$BL$85,(CV360-2)*20+CZ360)</f>
        <v>375</v>
      </c>
      <c r="DJ360" s="14">
        <f>SUMIFS(DI$5:DI360,$CT$5:$CT360,"="&amp;$CT360)</f>
        <v>5452</v>
      </c>
      <c r="DK360" s="14" t="s">
        <v>540</v>
      </c>
      <c r="DL360" s="14">
        <f>INDEX(属性投放!$BM$6:$BM$85,(CV360-2)*20+CZ360)</f>
        <v>7500</v>
      </c>
      <c r="DM360" s="14">
        <f>SUMIFS(DL$5:DL360,$CT$5:$CT360,"="&amp;$CT360)</f>
        <v>104285</v>
      </c>
      <c r="DR360" s="14">
        <f t="shared" si="647"/>
        <v>1102018</v>
      </c>
      <c r="DS360" s="14" t="str">
        <f t="shared" si="648"/>
        <v>噬日16突</v>
      </c>
      <c r="DT360" s="14">
        <f t="shared" si="659"/>
        <v>3</v>
      </c>
      <c r="DU360" s="14">
        <f t="shared" si="660"/>
        <v>3</v>
      </c>
      <c r="DV360" s="14">
        <f t="shared" si="661"/>
        <v>3</v>
      </c>
      <c r="DW360" s="14">
        <f t="shared" si="649"/>
        <v>2</v>
      </c>
      <c r="DX360" s="14">
        <f t="shared" si="650"/>
        <v>16</v>
      </c>
      <c r="DY360" s="14">
        <f t="shared" si="651"/>
        <v>16</v>
      </c>
      <c r="DZ360" s="14">
        <f>INDEX(属性投放!$AX$6:$AX$85,(卡牌属性!DW360-2)*20+卡牌属性!DX360)</f>
        <v>7</v>
      </c>
      <c r="EA360" s="14">
        <f>INDEX(属性投放!BQ$6:BQ$85,卡牌属性!$DY360)</f>
        <v>700</v>
      </c>
      <c r="EB360" s="14">
        <f>INDEX(属性投放!BR$6:BR$85,卡牌属性!$DY360)</f>
        <v>350</v>
      </c>
      <c r="EC360" s="14">
        <f>INDEX(属性投放!BS$6:BS$85,卡牌属性!$DY360)</f>
        <v>7000</v>
      </c>
      <c r="ED360" s="14">
        <f t="shared" si="683"/>
        <v>4060</v>
      </c>
      <c r="EE360" s="14">
        <f t="shared" si="684"/>
        <v>4390</v>
      </c>
      <c r="EF360" s="14">
        <f t="shared" si="685"/>
        <v>4786</v>
      </c>
      <c r="EG360" s="14">
        <f t="shared" si="686"/>
        <v>4786</v>
      </c>
      <c r="EH360" s="14">
        <f t="shared" si="687"/>
        <v>4944</v>
      </c>
      <c r="EI360" s="14">
        <f t="shared" si="688"/>
        <v>2004</v>
      </c>
      <c r="EJ360" s="14">
        <f t="shared" si="689"/>
        <v>2164</v>
      </c>
      <c r="EK360" s="14">
        <f t="shared" si="690"/>
        <v>2164</v>
      </c>
      <c r="EL360" s="14">
        <f t="shared" si="691"/>
        <v>2369</v>
      </c>
      <c r="EM360" s="14">
        <f t="shared" si="692"/>
        <v>2447</v>
      </c>
      <c r="EN360" s="14">
        <f t="shared" si="693"/>
        <v>35638</v>
      </c>
      <c r="EO360" s="14">
        <f t="shared" si="694"/>
        <v>38342</v>
      </c>
      <c r="EP360" s="14">
        <f t="shared" si="695"/>
        <v>38342</v>
      </c>
      <c r="EQ360" s="14">
        <f t="shared" si="696"/>
        <v>41610</v>
      </c>
      <c r="ER360" s="14">
        <f t="shared" si="697"/>
        <v>42774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INDEX(属性投放!$BQ$6:$BQ$85,(卡牌属性!$DW360-2)*20+卡牌属性!$DX360)</f>
        <v>700</v>
      </c>
      <c r="FI360" s="14">
        <f>INDEX(属性投放!$BQ$6:$BQ$85,(卡牌属性!$DW360-2)*20+卡牌属性!$DX360)</f>
        <v>700</v>
      </c>
      <c r="FJ360" s="14">
        <f>INDEX(属性投放!$BQ$6:$BQ$85,(卡牌属性!$DW360-2)*20+卡牌属性!$DX360)</f>
        <v>700</v>
      </c>
      <c r="FK360" s="14">
        <f>INDEX(属性投放!$BQ$6:$BQ$85,(卡牌属性!$DW360-2)*20+卡牌属性!$DX360)</f>
        <v>700</v>
      </c>
      <c r="FL360" s="14">
        <f>INDEX(属性投放!$BQ$6:$BQ$85,(卡牌属性!$DW360-2)*20+卡牌属性!$DX360)</f>
        <v>700</v>
      </c>
      <c r="FM360" s="14">
        <f>INDEX(属性投放!$BR$6:$BR$85,(卡牌属性!$DW360-2)*20+卡牌属性!$DX360)</f>
        <v>350</v>
      </c>
      <c r="FN360" s="14">
        <f>INDEX(属性投放!$BR$6:$BR$85,(卡牌属性!$DW360-2)*20+卡牌属性!$DX360)</f>
        <v>350</v>
      </c>
      <c r="FO360" s="14">
        <f>INDEX(属性投放!$BR$6:$BR$85,(卡牌属性!$DW360-2)*20+卡牌属性!$DX360)</f>
        <v>350</v>
      </c>
      <c r="FP360" s="14">
        <f>INDEX(属性投放!$BR$6:$BR$85,(卡牌属性!$DW360-2)*20+卡牌属性!$DX360)</f>
        <v>350</v>
      </c>
      <c r="FQ360" s="14">
        <f>INDEX(属性投放!$BR$6:$BR$85,(卡牌属性!$DW360-2)*20+卡牌属性!$DX360)</f>
        <v>350</v>
      </c>
      <c r="FR360" s="14">
        <f>INDEX(属性投放!$BS$6:$BS$85,(卡牌属性!$DW360-2)*20+卡牌属性!$DX360)</f>
        <v>7000</v>
      </c>
      <c r="FS360" s="14">
        <f>INDEX(属性投放!$BS$6:$BS$85,(卡牌属性!$DW360-2)*20+卡牌属性!$DX360)</f>
        <v>7000</v>
      </c>
      <c r="FT360" s="14">
        <f>INDEX(属性投放!$BS$6:$BS$85,(卡牌属性!$DW360-2)*20+卡牌属性!$DX360)</f>
        <v>7000</v>
      </c>
      <c r="FU360" s="14">
        <f>INDEX(属性投放!$BS$6:$BS$85,(卡牌属性!$DW360-2)*20+卡牌属性!$DX360)</f>
        <v>7000</v>
      </c>
      <c r="FV360" s="14">
        <f>INDEX(属性投放!$BS$6:$BS$85,(卡牌属性!$DW360-2)*20+卡牌属性!$DX360)</f>
        <v>7000</v>
      </c>
    </row>
    <row r="361" spans="31:178" ht="16.5" x14ac:dyDescent="0.2">
      <c r="AE361" s="13">
        <v>357</v>
      </c>
      <c r="AF361" s="13">
        <f t="shared" si="652"/>
        <v>18</v>
      </c>
      <c r="AG361" s="13">
        <f t="shared" si="633"/>
        <v>3</v>
      </c>
      <c r="AH361" s="13"/>
      <c r="AI361" s="13"/>
      <c r="AJ361" s="14">
        <f t="shared" si="634"/>
        <v>1101020</v>
      </c>
      <c r="AK361" s="14" t="str">
        <f t="shared" si="635"/>
        <v>姬烟华17突</v>
      </c>
      <c r="AL361" s="25" t="s">
        <v>142</v>
      </c>
      <c r="AM361" s="14">
        <v>1</v>
      </c>
      <c r="AN361" s="14">
        <f t="shared" si="636"/>
        <v>17</v>
      </c>
      <c r="AO361" s="14">
        <f>INDEX(属性投放!$DF$6:$DF$85,(卡牌属性!AG361-2)*20+卡牌属性!AN361)</f>
        <v>12499</v>
      </c>
      <c r="AP361" s="14">
        <f t="shared" si="677"/>
        <v>12499</v>
      </c>
      <c r="AQ361" s="14">
        <f t="shared" si="677"/>
        <v>12499</v>
      </c>
      <c r="AR361" s="14">
        <f t="shared" si="677"/>
        <v>12499</v>
      </c>
      <c r="AS361" s="14">
        <f t="shared" si="677"/>
        <v>12499</v>
      </c>
      <c r="AT361" s="14">
        <f>INDEX(属性投放!$DG$6:$DG$85,(卡牌属性!AG361-2)*20+卡牌属性!AN361)</f>
        <v>6189</v>
      </c>
      <c r="AU361" s="14">
        <f t="shared" si="678"/>
        <v>6189</v>
      </c>
      <c r="AV361" s="14">
        <f t="shared" si="678"/>
        <v>6189</v>
      </c>
      <c r="AW361" s="14">
        <f t="shared" si="678"/>
        <v>6189</v>
      </c>
      <c r="AX361" s="14">
        <f t="shared" si="678"/>
        <v>6189</v>
      </c>
      <c r="AY361" s="14">
        <f>INDEX(属性投放!$DH$6:$DH$85,(卡牌属性!AG361-2)*20+卡牌属性!AN361)</f>
        <v>114078</v>
      </c>
      <c r="AZ361" s="14">
        <f t="shared" si="679"/>
        <v>114078</v>
      </c>
      <c r="BA361" s="14">
        <f t="shared" si="679"/>
        <v>114078</v>
      </c>
      <c r="BB361" s="14">
        <f t="shared" si="679"/>
        <v>114078</v>
      </c>
      <c r="BC361" s="14">
        <f t="shared" si="679"/>
        <v>114078</v>
      </c>
      <c r="BD361" s="14">
        <f>INDEX(属性投放!$DL$6:$DL$85,(卡牌属性!AG361-2)*20+卡牌属性!AN361)</f>
        <v>259</v>
      </c>
      <c r="BE361" s="14">
        <f t="shared" si="680"/>
        <v>259</v>
      </c>
      <c r="BF361" s="14">
        <f t="shared" si="680"/>
        <v>259</v>
      </c>
      <c r="BG361" s="14">
        <f t="shared" si="680"/>
        <v>259</v>
      </c>
      <c r="BH361" s="14">
        <f t="shared" si="680"/>
        <v>259</v>
      </c>
      <c r="BI361" s="14">
        <f>INDEX(属性投放!$DM$6:$DM$85,(卡牌属性!AG361-2)*20+卡牌属性!AN361)</f>
        <v>130</v>
      </c>
      <c r="BJ361" s="14">
        <f t="shared" si="681"/>
        <v>130</v>
      </c>
      <c r="BK361" s="14">
        <f t="shared" si="681"/>
        <v>130</v>
      </c>
      <c r="BL361" s="14">
        <f t="shared" si="681"/>
        <v>130</v>
      </c>
      <c r="BM361" s="14">
        <f t="shared" si="681"/>
        <v>130</v>
      </c>
      <c r="BN361" s="14">
        <f>INDEX(属性投放!$DN$6:$DN$85,(卡牌属性!AG361-2)*20+卡牌属性!AN361)</f>
        <v>2593</v>
      </c>
      <c r="BO361" s="14">
        <f t="shared" si="682"/>
        <v>2593</v>
      </c>
      <c r="BP361" s="14">
        <f t="shared" si="682"/>
        <v>2593</v>
      </c>
      <c r="BQ361" s="14">
        <f t="shared" si="682"/>
        <v>2593</v>
      </c>
      <c r="BR361" s="14">
        <f t="shared" si="682"/>
        <v>2593</v>
      </c>
      <c r="BW361" s="13">
        <v>357</v>
      </c>
      <c r="BX361" s="13">
        <f t="shared" si="643"/>
        <v>18</v>
      </c>
      <c r="BY361" s="14">
        <f t="shared" si="644"/>
        <v>2</v>
      </c>
      <c r="BZ361" s="14">
        <f t="shared" si="653"/>
        <v>1102018</v>
      </c>
      <c r="CA361" s="14" t="str">
        <f t="shared" si="654"/>
        <v>噬日17突</v>
      </c>
      <c r="CB361" s="25" t="s">
        <v>142</v>
      </c>
      <c r="CC361" s="14">
        <v>2</v>
      </c>
      <c r="CD361" s="14">
        <f t="shared" si="645"/>
        <v>17</v>
      </c>
      <c r="CE361" s="14" t="s">
        <v>21</v>
      </c>
      <c r="CF361" s="14">
        <f>INDEX(属性投放!$AZ$6:$AZ$85,(BY361-2)*20+CD361)</f>
        <v>10775</v>
      </c>
      <c r="CG361" s="14" t="s">
        <v>22</v>
      </c>
      <c r="CH361" s="14">
        <f>INDEX(属性投放!$BA$6:$BA$85,(BY361-2)*20+CD361)</f>
        <v>5355</v>
      </c>
      <c r="CI361" s="14" t="s">
        <v>510</v>
      </c>
      <c r="CJ361" s="14">
        <f>INDEX(属性投放!$BB$6:$BB$85,(BY361-2)*20+CD361)</f>
        <v>99558</v>
      </c>
      <c r="CK361" s="14" t="s">
        <v>21</v>
      </c>
      <c r="CL361" s="14">
        <f>INDEX(属性投放!$BC$6:$BC$85,(BY361-2)*20+CD361)</f>
        <v>20</v>
      </c>
      <c r="CM361" s="14" t="s">
        <v>22</v>
      </c>
      <c r="CN361" s="14">
        <f>INDEX(属性投放!$BD$6:$BD$85,(BY361-2)*20+CD361)</f>
        <v>10</v>
      </c>
      <c r="CO361" s="14" t="s">
        <v>510</v>
      </c>
      <c r="CP361" s="14">
        <f>INDEX(属性投放!$BE$6:$BE$85,(BY361-2)*20+CD361)</f>
        <v>200</v>
      </c>
      <c r="CS361" s="13">
        <v>357</v>
      </c>
      <c r="CT361" s="13">
        <f t="shared" si="655"/>
        <v>7</v>
      </c>
      <c r="CU361" s="13">
        <f t="shared" si="656"/>
        <v>45</v>
      </c>
      <c r="CV361" s="14">
        <f t="shared" si="657"/>
        <v>4</v>
      </c>
      <c r="CW361" s="14">
        <f t="shared" si="658"/>
        <v>1102007</v>
      </c>
      <c r="CX361" s="14" t="str">
        <f>INDEX($O$6:$O$50,CT361)&amp;"-"&amp;INDEX(属性投放!$AB$7:$AB$50,CZ361)&amp;"-魂火-"&amp;DB361</f>
        <v>天使缇娜-大焦热+2-魂火-3</v>
      </c>
      <c r="CY361" s="25" t="s">
        <v>142</v>
      </c>
      <c r="CZ361" s="14">
        <f>INDEX(属性投放!$AM$7:$AM$58,CU361)</f>
        <v>18</v>
      </c>
      <c r="DA361" s="14" t="s">
        <v>537</v>
      </c>
      <c r="DB361" s="14">
        <f>INDEX(属性投放!$AN$7:$AN$58,CU361)</f>
        <v>3</v>
      </c>
      <c r="DC361" s="14">
        <f t="shared" si="646"/>
        <v>45</v>
      </c>
      <c r="DD361" s="14">
        <f>INDEX(属性投放!$AO$7:$AO$58,DC361)</f>
        <v>130</v>
      </c>
      <c r="DE361" s="14" t="s">
        <v>538</v>
      </c>
      <c r="DF361" s="14">
        <f>INDEX(属性投放!$BK$6:$BK$85,(CV361-2)*20+CZ361)</f>
        <v>750</v>
      </c>
      <c r="DG361" s="14">
        <f>SUMIFS(DF$5:DF361,$CT$5:$CT361,"="&amp;$CT361)</f>
        <v>11635</v>
      </c>
      <c r="DH361" s="14" t="s">
        <v>539</v>
      </c>
      <c r="DI361" s="14">
        <f>INDEX(属性投放!$BL$6:$BL$85,(CV361-2)*20+CZ361)</f>
        <v>375</v>
      </c>
      <c r="DJ361" s="14">
        <f>SUMIFS(DI$5:DI361,$CT$5:$CT361,"="&amp;$CT361)</f>
        <v>5827</v>
      </c>
      <c r="DK361" s="14" t="s">
        <v>540</v>
      </c>
      <c r="DL361" s="14">
        <f>INDEX(属性投放!$BM$6:$BM$85,(CV361-2)*20+CZ361)</f>
        <v>7500</v>
      </c>
      <c r="DM361" s="14">
        <f>SUMIFS(DL$5:DL361,$CT$5:$CT361,"="&amp;$CT361)</f>
        <v>111785</v>
      </c>
      <c r="DR361" s="14">
        <f t="shared" si="647"/>
        <v>1102018</v>
      </c>
      <c r="DS361" s="14" t="str">
        <f t="shared" si="648"/>
        <v>噬日17突</v>
      </c>
      <c r="DT361" s="14">
        <f t="shared" si="659"/>
        <v>3</v>
      </c>
      <c r="DU361" s="14">
        <f t="shared" si="660"/>
        <v>3</v>
      </c>
      <c r="DV361" s="14">
        <f t="shared" si="661"/>
        <v>3</v>
      </c>
      <c r="DW361" s="14">
        <f t="shared" si="649"/>
        <v>2</v>
      </c>
      <c r="DX361" s="14">
        <f t="shared" si="650"/>
        <v>17</v>
      </c>
      <c r="DY361" s="14">
        <f t="shared" si="651"/>
        <v>17</v>
      </c>
      <c r="DZ361" s="14">
        <f>INDEX(属性投放!$AX$6:$AX$85,(卡牌属性!DW361-2)*20+卡牌属性!DX361)</f>
        <v>8</v>
      </c>
      <c r="EA361" s="14">
        <f>INDEX(属性投放!BQ$6:BQ$85,卡牌属性!$DY361)</f>
        <v>800</v>
      </c>
      <c r="EB361" s="14">
        <f>INDEX(属性投放!BR$6:BR$85,卡牌属性!$DY361)</f>
        <v>400</v>
      </c>
      <c r="EC361" s="14">
        <f>INDEX(属性投放!BS$6:BS$85,卡牌属性!$DY361)</f>
        <v>8000</v>
      </c>
      <c r="ED361" s="14">
        <f t="shared" si="683"/>
        <v>4900</v>
      </c>
      <c r="EE361" s="14">
        <f t="shared" si="684"/>
        <v>5265</v>
      </c>
      <c r="EF361" s="14">
        <f t="shared" si="685"/>
        <v>5696</v>
      </c>
      <c r="EG361" s="14">
        <f t="shared" si="686"/>
        <v>5696</v>
      </c>
      <c r="EH361" s="14">
        <f t="shared" si="687"/>
        <v>5889</v>
      </c>
      <c r="EI361" s="14">
        <f t="shared" si="688"/>
        <v>2424</v>
      </c>
      <c r="EJ361" s="14">
        <f t="shared" si="689"/>
        <v>2605</v>
      </c>
      <c r="EK361" s="14">
        <f t="shared" si="690"/>
        <v>2605</v>
      </c>
      <c r="EL361" s="14">
        <f t="shared" si="691"/>
        <v>2824</v>
      </c>
      <c r="EM361" s="14">
        <f t="shared" si="692"/>
        <v>2923</v>
      </c>
      <c r="EN361" s="14">
        <f t="shared" si="693"/>
        <v>44038</v>
      </c>
      <c r="EO361" s="14">
        <f t="shared" si="694"/>
        <v>47092</v>
      </c>
      <c r="EP361" s="14">
        <f t="shared" si="695"/>
        <v>47092</v>
      </c>
      <c r="EQ361" s="14">
        <f t="shared" si="696"/>
        <v>50710</v>
      </c>
      <c r="ER361" s="14">
        <f t="shared" si="697"/>
        <v>52224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INDEX(属性投放!$BQ$6:$BQ$85,(卡牌属性!$DW361-2)*20+卡牌属性!$DX361)</f>
        <v>800</v>
      </c>
      <c r="FI361" s="14">
        <f>INDEX(属性投放!$BQ$6:$BQ$85,(卡牌属性!$DW361-2)*20+卡牌属性!$DX361)</f>
        <v>800</v>
      </c>
      <c r="FJ361" s="14">
        <f>INDEX(属性投放!$BQ$6:$BQ$85,(卡牌属性!$DW361-2)*20+卡牌属性!$DX361)</f>
        <v>800</v>
      </c>
      <c r="FK361" s="14">
        <f>INDEX(属性投放!$BQ$6:$BQ$85,(卡牌属性!$DW361-2)*20+卡牌属性!$DX361)</f>
        <v>800</v>
      </c>
      <c r="FL361" s="14">
        <f>INDEX(属性投放!$BQ$6:$BQ$85,(卡牌属性!$DW361-2)*20+卡牌属性!$DX361)</f>
        <v>800</v>
      </c>
      <c r="FM361" s="14">
        <f>INDEX(属性投放!$BR$6:$BR$85,(卡牌属性!$DW361-2)*20+卡牌属性!$DX361)</f>
        <v>400</v>
      </c>
      <c r="FN361" s="14">
        <f>INDEX(属性投放!$BR$6:$BR$85,(卡牌属性!$DW361-2)*20+卡牌属性!$DX361)</f>
        <v>400</v>
      </c>
      <c r="FO361" s="14">
        <f>INDEX(属性投放!$BR$6:$BR$85,(卡牌属性!$DW361-2)*20+卡牌属性!$DX361)</f>
        <v>400</v>
      </c>
      <c r="FP361" s="14">
        <f>INDEX(属性投放!$BR$6:$BR$85,(卡牌属性!$DW361-2)*20+卡牌属性!$DX361)</f>
        <v>400</v>
      </c>
      <c r="FQ361" s="14">
        <f>INDEX(属性投放!$BR$6:$BR$85,(卡牌属性!$DW361-2)*20+卡牌属性!$DX361)</f>
        <v>400</v>
      </c>
      <c r="FR361" s="14">
        <f>INDEX(属性投放!$BS$6:$BS$85,(卡牌属性!$DW361-2)*20+卡牌属性!$DX361)</f>
        <v>8000</v>
      </c>
      <c r="FS361" s="14">
        <f>INDEX(属性投放!$BS$6:$BS$85,(卡牌属性!$DW361-2)*20+卡牌属性!$DX361)</f>
        <v>8000</v>
      </c>
      <c r="FT361" s="14">
        <f>INDEX(属性投放!$BS$6:$BS$85,(卡牌属性!$DW361-2)*20+卡牌属性!$DX361)</f>
        <v>8000</v>
      </c>
      <c r="FU361" s="14">
        <f>INDEX(属性投放!$BS$6:$BS$85,(卡牌属性!$DW361-2)*20+卡牌属性!$DX361)</f>
        <v>8000</v>
      </c>
      <c r="FV361" s="14">
        <f>INDEX(属性投放!$BS$6:$BS$85,(卡牌属性!$DW361-2)*20+卡牌属性!$DX361)</f>
        <v>8000</v>
      </c>
    </row>
    <row r="362" spans="31:178" ht="16.5" x14ac:dyDescent="0.2">
      <c r="AE362" s="13">
        <v>358</v>
      </c>
      <c r="AF362" s="13">
        <f t="shared" si="652"/>
        <v>18</v>
      </c>
      <c r="AG362" s="13">
        <f t="shared" si="633"/>
        <v>3</v>
      </c>
      <c r="AH362" s="13"/>
      <c r="AI362" s="13"/>
      <c r="AJ362" s="14">
        <f t="shared" si="634"/>
        <v>1101020</v>
      </c>
      <c r="AK362" s="14" t="str">
        <f t="shared" si="635"/>
        <v>姬烟华18突</v>
      </c>
      <c r="AL362" s="25" t="s">
        <v>142</v>
      </c>
      <c r="AM362" s="14">
        <v>1</v>
      </c>
      <c r="AN362" s="14">
        <f t="shared" si="636"/>
        <v>18</v>
      </c>
      <c r="AO362" s="14">
        <f>INDEX(属性投放!$DF$6:$DF$85,(卡牌属性!AG362-2)*20+卡牌属性!AN362)</f>
        <v>13425</v>
      </c>
      <c r="AP362" s="14">
        <f t="shared" si="677"/>
        <v>13425</v>
      </c>
      <c r="AQ362" s="14">
        <f t="shared" si="677"/>
        <v>13425</v>
      </c>
      <c r="AR362" s="14">
        <f t="shared" si="677"/>
        <v>13425</v>
      </c>
      <c r="AS362" s="14">
        <f t="shared" si="677"/>
        <v>13425</v>
      </c>
      <c r="AT362" s="14">
        <f>INDEX(属性投放!$DG$6:$DG$85,(卡牌属性!AG362-2)*20+卡牌属性!AN362)</f>
        <v>6652</v>
      </c>
      <c r="AU362" s="14">
        <f t="shared" si="678"/>
        <v>6652</v>
      </c>
      <c r="AV362" s="14">
        <f t="shared" si="678"/>
        <v>6652</v>
      </c>
      <c r="AW362" s="14">
        <f t="shared" si="678"/>
        <v>6652</v>
      </c>
      <c r="AX362" s="14">
        <f t="shared" si="678"/>
        <v>6652</v>
      </c>
      <c r="AY362" s="14">
        <f>INDEX(属性投放!$DH$6:$DH$85,(卡牌属性!AG362-2)*20+卡牌属性!AN362)</f>
        <v>123338</v>
      </c>
      <c r="AZ362" s="14">
        <f t="shared" si="679"/>
        <v>123338</v>
      </c>
      <c r="BA362" s="14">
        <f t="shared" si="679"/>
        <v>123338</v>
      </c>
      <c r="BB362" s="14">
        <f t="shared" si="679"/>
        <v>123338</v>
      </c>
      <c r="BC362" s="14">
        <f t="shared" si="679"/>
        <v>123338</v>
      </c>
      <c r="BD362" s="14">
        <f>INDEX(属性投放!$DL$6:$DL$85,(卡牌属性!AG362-2)*20+卡牌属性!AN362)</f>
        <v>259</v>
      </c>
      <c r="BE362" s="14">
        <f t="shared" si="680"/>
        <v>259</v>
      </c>
      <c r="BF362" s="14">
        <f t="shared" si="680"/>
        <v>259</v>
      </c>
      <c r="BG362" s="14">
        <f t="shared" si="680"/>
        <v>259</v>
      </c>
      <c r="BH362" s="14">
        <f t="shared" si="680"/>
        <v>259</v>
      </c>
      <c r="BI362" s="14">
        <f>INDEX(属性投放!$DM$6:$DM$85,(卡牌属性!AG362-2)*20+卡牌属性!AN362)</f>
        <v>130</v>
      </c>
      <c r="BJ362" s="14">
        <f t="shared" si="681"/>
        <v>130</v>
      </c>
      <c r="BK362" s="14">
        <f t="shared" si="681"/>
        <v>130</v>
      </c>
      <c r="BL362" s="14">
        <f t="shared" si="681"/>
        <v>130</v>
      </c>
      <c r="BM362" s="14">
        <f t="shared" si="681"/>
        <v>130</v>
      </c>
      <c r="BN362" s="14">
        <f>INDEX(属性投放!$DN$6:$DN$85,(卡牌属性!AG362-2)*20+卡牌属性!AN362)</f>
        <v>2593</v>
      </c>
      <c r="BO362" s="14">
        <f t="shared" si="682"/>
        <v>2593</v>
      </c>
      <c r="BP362" s="14">
        <f t="shared" si="682"/>
        <v>2593</v>
      </c>
      <c r="BQ362" s="14">
        <f t="shared" si="682"/>
        <v>2593</v>
      </c>
      <c r="BR362" s="14">
        <f t="shared" si="682"/>
        <v>2593</v>
      </c>
      <c r="BW362" s="13">
        <v>358</v>
      </c>
      <c r="BX362" s="13">
        <f t="shared" si="643"/>
        <v>18</v>
      </c>
      <c r="BY362" s="14">
        <f t="shared" si="644"/>
        <v>2</v>
      </c>
      <c r="BZ362" s="14">
        <f t="shared" si="653"/>
        <v>1102018</v>
      </c>
      <c r="CA362" s="14" t="str">
        <f t="shared" si="654"/>
        <v>噬日18突</v>
      </c>
      <c r="CB362" s="25" t="s">
        <v>142</v>
      </c>
      <c r="CC362" s="14">
        <v>2</v>
      </c>
      <c r="CD362" s="14">
        <f t="shared" si="645"/>
        <v>18</v>
      </c>
      <c r="CE362" s="14" t="s">
        <v>21</v>
      </c>
      <c r="CF362" s="14">
        <f>INDEX(属性投放!$AZ$6:$AZ$85,(BY362-2)*20+CD362)</f>
        <v>13385</v>
      </c>
      <c r="CG362" s="14" t="s">
        <v>22</v>
      </c>
      <c r="CH362" s="14">
        <f>INDEX(属性投放!$BA$6:$BA$85,(BY362-2)*20+CD362)</f>
        <v>6660</v>
      </c>
      <c r="CI362" s="14" t="s">
        <v>510</v>
      </c>
      <c r="CJ362" s="14">
        <f>INDEX(属性投放!$BB$6:$BB$85,(BY362-2)*20+CD362)</f>
        <v>125658</v>
      </c>
      <c r="CK362" s="14" t="s">
        <v>21</v>
      </c>
      <c r="CL362" s="14">
        <f>INDEX(属性投放!$BC$6:$BC$85,(BY362-2)*20+CD362)</f>
        <v>20</v>
      </c>
      <c r="CM362" s="14" t="s">
        <v>22</v>
      </c>
      <c r="CN362" s="14">
        <f>INDEX(属性投放!$BD$6:$BD$85,(BY362-2)*20+CD362)</f>
        <v>10</v>
      </c>
      <c r="CO362" s="14" t="s">
        <v>510</v>
      </c>
      <c r="CP362" s="14">
        <f>INDEX(属性投放!$BE$6:$BE$85,(BY362-2)*20+CD362)</f>
        <v>200</v>
      </c>
      <c r="CS362" s="13">
        <v>358</v>
      </c>
      <c r="CT362" s="13">
        <f t="shared" si="655"/>
        <v>7</v>
      </c>
      <c r="CU362" s="13">
        <f t="shared" si="656"/>
        <v>46</v>
      </c>
      <c r="CV362" s="14">
        <f t="shared" si="657"/>
        <v>4</v>
      </c>
      <c r="CW362" s="14">
        <f t="shared" si="658"/>
        <v>1102007</v>
      </c>
      <c r="CX362" s="14" t="str">
        <f>INDEX($O$6:$O$50,CT362)&amp;"-"&amp;INDEX(属性投放!$AB$7:$AB$50,CZ362)&amp;"-魂火-"&amp;DB362</f>
        <v>天使缇娜-无间-魂火-1</v>
      </c>
      <c r="CY362" s="25" t="s">
        <v>142</v>
      </c>
      <c r="CZ362" s="14">
        <f>INDEX(属性投放!$AM$7:$AM$58,CU362)</f>
        <v>19</v>
      </c>
      <c r="DA362" s="14" t="s">
        <v>537</v>
      </c>
      <c r="DB362" s="14">
        <f>INDEX(属性投放!$AN$7:$AN$58,CU362)</f>
        <v>1</v>
      </c>
      <c r="DC362" s="14">
        <f t="shared" si="646"/>
        <v>46</v>
      </c>
      <c r="DD362" s="14">
        <f>INDEX(属性投放!$AO$7:$AO$58,DC362)</f>
        <v>133</v>
      </c>
      <c r="DE362" s="14" t="s">
        <v>538</v>
      </c>
      <c r="DF362" s="14">
        <f>INDEX(属性投放!$BK$6:$BK$85,(CV362-2)*20+CZ362)</f>
        <v>900</v>
      </c>
      <c r="DG362" s="14">
        <f>SUMIFS(DF$5:DF362,$CT$5:$CT362,"="&amp;$CT362)</f>
        <v>12535</v>
      </c>
      <c r="DH362" s="14" t="s">
        <v>539</v>
      </c>
      <c r="DI362" s="14">
        <f>INDEX(属性投放!$BL$6:$BL$85,(CV362-2)*20+CZ362)</f>
        <v>450</v>
      </c>
      <c r="DJ362" s="14">
        <f>SUMIFS(DI$5:DI362,$CT$5:$CT362,"="&amp;$CT362)</f>
        <v>6277</v>
      </c>
      <c r="DK362" s="14" t="s">
        <v>540</v>
      </c>
      <c r="DL362" s="14">
        <f>INDEX(属性投放!$BM$6:$BM$85,(CV362-2)*20+CZ362)</f>
        <v>9000</v>
      </c>
      <c r="DM362" s="14">
        <f>SUMIFS(DL$5:DL362,$CT$5:$CT362,"="&amp;$CT362)</f>
        <v>120785</v>
      </c>
      <c r="DR362" s="14">
        <f t="shared" si="647"/>
        <v>1102018</v>
      </c>
      <c r="DS362" s="14" t="str">
        <f t="shared" si="648"/>
        <v>噬日18突</v>
      </c>
      <c r="DT362" s="14">
        <f t="shared" si="659"/>
        <v>3</v>
      </c>
      <c r="DU362" s="14">
        <f t="shared" si="660"/>
        <v>3</v>
      </c>
      <c r="DV362" s="14">
        <f t="shared" si="661"/>
        <v>3</v>
      </c>
      <c r="DW362" s="14">
        <f t="shared" si="649"/>
        <v>2</v>
      </c>
      <c r="DX362" s="14">
        <f t="shared" si="650"/>
        <v>18</v>
      </c>
      <c r="DY362" s="14">
        <f t="shared" si="651"/>
        <v>18</v>
      </c>
      <c r="DZ362" s="14">
        <f>INDEX(属性投放!$AX$6:$AX$85,(卡牌属性!DW362-2)*20+卡牌属性!DX362)</f>
        <v>7</v>
      </c>
      <c r="EA362" s="14">
        <f>INDEX(属性投放!BQ$6:BQ$85,卡牌属性!$DY362)</f>
        <v>1400</v>
      </c>
      <c r="EB362" s="14">
        <f>INDEX(属性投放!BR$6:BR$85,卡牌属性!$DY362)</f>
        <v>700</v>
      </c>
      <c r="EC362" s="14">
        <f>INDEX(属性投放!BS$6:BS$85,卡牌属性!$DY362)</f>
        <v>14000</v>
      </c>
      <c r="ED362" s="14">
        <f t="shared" si="683"/>
        <v>5860</v>
      </c>
      <c r="EE362" s="14">
        <f t="shared" si="684"/>
        <v>6265</v>
      </c>
      <c r="EF362" s="14">
        <f t="shared" si="685"/>
        <v>6736</v>
      </c>
      <c r="EG362" s="14">
        <f t="shared" si="686"/>
        <v>6736</v>
      </c>
      <c r="EH362" s="14">
        <f t="shared" si="687"/>
        <v>6969</v>
      </c>
      <c r="EI362" s="14">
        <f t="shared" si="688"/>
        <v>2904</v>
      </c>
      <c r="EJ362" s="14">
        <f t="shared" si="689"/>
        <v>3109</v>
      </c>
      <c r="EK362" s="14">
        <f t="shared" si="690"/>
        <v>3109</v>
      </c>
      <c r="EL362" s="14">
        <f t="shared" si="691"/>
        <v>3344</v>
      </c>
      <c r="EM362" s="14">
        <f t="shared" si="692"/>
        <v>3467</v>
      </c>
      <c r="EN362" s="14">
        <f t="shared" si="693"/>
        <v>53638</v>
      </c>
      <c r="EO362" s="14">
        <f t="shared" si="694"/>
        <v>57092</v>
      </c>
      <c r="EP362" s="14">
        <f t="shared" si="695"/>
        <v>57092</v>
      </c>
      <c r="EQ362" s="14">
        <f t="shared" si="696"/>
        <v>61110</v>
      </c>
      <c r="ER362" s="14">
        <f t="shared" si="697"/>
        <v>63024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INDEX(属性投放!$BQ$6:$BQ$85,(卡牌属性!$DW362-2)*20+卡牌属性!$DX362)</f>
        <v>1400</v>
      </c>
      <c r="FI362" s="14">
        <f>INDEX(属性投放!$BQ$6:$BQ$85,(卡牌属性!$DW362-2)*20+卡牌属性!$DX362)</f>
        <v>1400</v>
      </c>
      <c r="FJ362" s="14">
        <f>INDEX(属性投放!$BQ$6:$BQ$85,(卡牌属性!$DW362-2)*20+卡牌属性!$DX362)</f>
        <v>1400</v>
      </c>
      <c r="FK362" s="14">
        <f>INDEX(属性投放!$BQ$6:$BQ$85,(卡牌属性!$DW362-2)*20+卡牌属性!$DX362)</f>
        <v>1400</v>
      </c>
      <c r="FL362" s="14">
        <f>INDEX(属性投放!$BQ$6:$BQ$85,(卡牌属性!$DW362-2)*20+卡牌属性!$DX362)</f>
        <v>1400</v>
      </c>
      <c r="FM362" s="14">
        <f>INDEX(属性投放!$BR$6:$BR$85,(卡牌属性!$DW362-2)*20+卡牌属性!$DX362)</f>
        <v>700</v>
      </c>
      <c r="FN362" s="14">
        <f>INDEX(属性投放!$BR$6:$BR$85,(卡牌属性!$DW362-2)*20+卡牌属性!$DX362)</f>
        <v>700</v>
      </c>
      <c r="FO362" s="14">
        <f>INDEX(属性投放!$BR$6:$BR$85,(卡牌属性!$DW362-2)*20+卡牌属性!$DX362)</f>
        <v>700</v>
      </c>
      <c r="FP362" s="14">
        <f>INDEX(属性投放!$BR$6:$BR$85,(卡牌属性!$DW362-2)*20+卡牌属性!$DX362)</f>
        <v>700</v>
      </c>
      <c r="FQ362" s="14">
        <f>INDEX(属性投放!$BR$6:$BR$85,(卡牌属性!$DW362-2)*20+卡牌属性!$DX362)</f>
        <v>700</v>
      </c>
      <c r="FR362" s="14">
        <f>INDEX(属性投放!$BS$6:$BS$85,(卡牌属性!$DW362-2)*20+卡牌属性!$DX362)</f>
        <v>14000</v>
      </c>
      <c r="FS362" s="14">
        <f>INDEX(属性投放!$BS$6:$BS$85,(卡牌属性!$DW362-2)*20+卡牌属性!$DX362)</f>
        <v>14000</v>
      </c>
      <c r="FT362" s="14">
        <f>INDEX(属性投放!$BS$6:$BS$85,(卡牌属性!$DW362-2)*20+卡牌属性!$DX362)</f>
        <v>14000</v>
      </c>
      <c r="FU362" s="14">
        <f>INDEX(属性投放!$BS$6:$BS$85,(卡牌属性!$DW362-2)*20+卡牌属性!$DX362)</f>
        <v>14000</v>
      </c>
      <c r="FV362" s="14">
        <f>INDEX(属性投放!$BS$6:$BS$85,(卡牌属性!$DW362-2)*20+卡牌属性!$DX362)</f>
        <v>14000</v>
      </c>
    </row>
    <row r="363" spans="31:178" ht="16.5" x14ac:dyDescent="0.2">
      <c r="AE363" s="13">
        <v>359</v>
      </c>
      <c r="AF363" s="13">
        <f t="shared" si="652"/>
        <v>18</v>
      </c>
      <c r="AG363" s="13">
        <f t="shared" si="633"/>
        <v>3</v>
      </c>
      <c r="AH363" s="13"/>
      <c r="AI363" s="13"/>
      <c r="AJ363" s="14">
        <f t="shared" si="634"/>
        <v>1101020</v>
      </c>
      <c r="AK363" s="14" t="str">
        <f t="shared" si="635"/>
        <v>姬烟华19突</v>
      </c>
      <c r="AL363" s="25" t="s">
        <v>142</v>
      </c>
      <c r="AM363" s="14">
        <v>1</v>
      </c>
      <c r="AN363" s="14">
        <f t="shared" si="636"/>
        <v>19</v>
      </c>
      <c r="AO363" s="14">
        <f>INDEX(属性投放!$DF$6:$DF$85,(卡牌属性!AG363-2)*20+卡牌属性!AN363)</f>
        <v>20826</v>
      </c>
      <c r="AP363" s="14">
        <f t="shared" si="677"/>
        <v>20826</v>
      </c>
      <c r="AQ363" s="14">
        <f t="shared" si="677"/>
        <v>20826</v>
      </c>
      <c r="AR363" s="14">
        <f t="shared" si="677"/>
        <v>20826</v>
      </c>
      <c r="AS363" s="14">
        <f t="shared" si="677"/>
        <v>20826</v>
      </c>
      <c r="AT363" s="14">
        <f>INDEX(属性投放!$DG$6:$DG$85,(卡牌属性!AG363-2)*20+卡牌属性!AN363)</f>
        <v>10365</v>
      </c>
      <c r="AU363" s="14">
        <f t="shared" si="678"/>
        <v>10365</v>
      </c>
      <c r="AV363" s="14">
        <f t="shared" si="678"/>
        <v>10365</v>
      </c>
      <c r="AW363" s="14">
        <f t="shared" si="678"/>
        <v>10365</v>
      </c>
      <c r="AX363" s="14">
        <f t="shared" si="678"/>
        <v>10365</v>
      </c>
      <c r="AY363" s="14">
        <f>INDEX(属性投放!$DH$6:$DH$85,(卡牌属性!AG363-2)*20+卡牌属性!AN363)</f>
        <v>197423</v>
      </c>
      <c r="AZ363" s="14">
        <f t="shared" si="679"/>
        <v>197423</v>
      </c>
      <c r="BA363" s="14">
        <f t="shared" si="679"/>
        <v>197423</v>
      </c>
      <c r="BB363" s="14">
        <f t="shared" si="679"/>
        <v>197423</v>
      </c>
      <c r="BC363" s="14">
        <f t="shared" si="679"/>
        <v>197423</v>
      </c>
      <c r="BD363" s="14">
        <f>INDEX(属性投放!$DL$6:$DL$85,(卡牌属性!AG363-2)*20+卡牌属性!AN363)</f>
        <v>486</v>
      </c>
      <c r="BE363" s="14">
        <f t="shared" si="680"/>
        <v>486</v>
      </c>
      <c r="BF363" s="14">
        <f t="shared" si="680"/>
        <v>486</v>
      </c>
      <c r="BG363" s="14">
        <f t="shared" si="680"/>
        <v>486</v>
      </c>
      <c r="BH363" s="14">
        <f t="shared" si="680"/>
        <v>486</v>
      </c>
      <c r="BI363" s="14">
        <f>INDEX(属性投放!$DM$6:$DM$85,(卡牌属性!AG363-2)*20+卡牌属性!AN363)</f>
        <v>243</v>
      </c>
      <c r="BJ363" s="14">
        <f t="shared" si="681"/>
        <v>243</v>
      </c>
      <c r="BK363" s="14">
        <f t="shared" si="681"/>
        <v>243</v>
      </c>
      <c r="BL363" s="14">
        <f t="shared" si="681"/>
        <v>243</v>
      </c>
      <c r="BM363" s="14">
        <f t="shared" si="681"/>
        <v>243</v>
      </c>
      <c r="BN363" s="14">
        <f>INDEX(属性投放!$DN$6:$DN$85,(卡牌属性!AG363-2)*20+卡牌属性!AN363)</f>
        <v>4863</v>
      </c>
      <c r="BO363" s="14">
        <f t="shared" si="682"/>
        <v>4863</v>
      </c>
      <c r="BP363" s="14">
        <f t="shared" si="682"/>
        <v>4863</v>
      </c>
      <c r="BQ363" s="14">
        <f t="shared" si="682"/>
        <v>4863</v>
      </c>
      <c r="BR363" s="14">
        <f t="shared" si="682"/>
        <v>4863</v>
      </c>
      <c r="BW363" s="13">
        <v>359</v>
      </c>
      <c r="BX363" s="13">
        <f t="shared" si="643"/>
        <v>18</v>
      </c>
      <c r="BY363" s="14">
        <f t="shared" si="644"/>
        <v>2</v>
      </c>
      <c r="BZ363" s="14">
        <f t="shared" si="653"/>
        <v>1102018</v>
      </c>
      <c r="CA363" s="14" t="str">
        <f t="shared" si="654"/>
        <v>噬日19突</v>
      </c>
      <c r="CB363" s="25" t="s">
        <v>142</v>
      </c>
      <c r="CC363" s="14">
        <v>2</v>
      </c>
      <c r="CD363" s="14">
        <f t="shared" si="645"/>
        <v>19</v>
      </c>
      <c r="CE363" s="14" t="s">
        <v>21</v>
      </c>
      <c r="CF363" s="14">
        <f>INDEX(属性投放!$AZ$6:$AZ$85,(BY363-2)*20+CD363)</f>
        <v>16965</v>
      </c>
      <c r="CG363" s="14" t="s">
        <v>22</v>
      </c>
      <c r="CH363" s="14">
        <f>INDEX(属性投放!$BA$6:$BA$85,(BY363-2)*20+CD363)</f>
        <v>8450</v>
      </c>
      <c r="CI363" s="14" t="s">
        <v>510</v>
      </c>
      <c r="CJ363" s="14">
        <f>INDEX(属性投放!$BB$6:$BB$85,(BY363-2)*20+CD363)</f>
        <v>161458</v>
      </c>
      <c r="CK363" s="14" t="s">
        <v>21</v>
      </c>
      <c r="CL363" s="14">
        <f>INDEX(属性投放!$BC$6:$BC$85,(BY363-2)*20+CD363)</f>
        <v>25</v>
      </c>
      <c r="CM363" s="14" t="s">
        <v>22</v>
      </c>
      <c r="CN363" s="14">
        <f>INDEX(属性投放!$BD$6:$BD$85,(BY363-2)*20+CD363)</f>
        <v>13</v>
      </c>
      <c r="CO363" s="14" t="s">
        <v>510</v>
      </c>
      <c r="CP363" s="14">
        <f>INDEX(属性投放!$BE$6:$BE$85,(BY363-2)*20+CD363)</f>
        <v>250</v>
      </c>
      <c r="CS363" s="13">
        <v>359</v>
      </c>
      <c r="CT363" s="13">
        <f t="shared" si="655"/>
        <v>7</v>
      </c>
      <c r="CU363" s="13">
        <f t="shared" si="656"/>
        <v>47</v>
      </c>
      <c r="CV363" s="14">
        <f t="shared" si="657"/>
        <v>4</v>
      </c>
      <c r="CW363" s="14">
        <f t="shared" si="658"/>
        <v>1102007</v>
      </c>
      <c r="CX363" s="14" t="str">
        <f>INDEX($O$6:$O$50,CT363)&amp;"-"&amp;INDEX(属性投放!$AB$7:$AB$50,CZ363)&amp;"-魂火-"&amp;DB363</f>
        <v>天使缇娜-无间-魂火-2</v>
      </c>
      <c r="CY363" s="25" t="s">
        <v>142</v>
      </c>
      <c r="CZ363" s="14">
        <f>INDEX(属性投放!$AM$7:$AM$58,CU363)</f>
        <v>19</v>
      </c>
      <c r="DA363" s="14" t="s">
        <v>537</v>
      </c>
      <c r="DB363" s="14">
        <f>INDEX(属性投放!$AN$7:$AN$58,CU363)</f>
        <v>2</v>
      </c>
      <c r="DC363" s="14">
        <f t="shared" si="646"/>
        <v>47</v>
      </c>
      <c r="DD363" s="14">
        <f>INDEX(属性投放!$AO$7:$AO$58,DC363)</f>
        <v>135</v>
      </c>
      <c r="DE363" s="14" t="s">
        <v>538</v>
      </c>
      <c r="DF363" s="14">
        <f>INDEX(属性投放!$BK$6:$BK$85,(CV363-2)*20+CZ363)</f>
        <v>900</v>
      </c>
      <c r="DG363" s="14">
        <f>SUMIFS(DF$5:DF363,$CT$5:$CT363,"="&amp;$CT363)</f>
        <v>13435</v>
      </c>
      <c r="DH363" s="14" t="s">
        <v>539</v>
      </c>
      <c r="DI363" s="14">
        <f>INDEX(属性投放!$BL$6:$BL$85,(CV363-2)*20+CZ363)</f>
        <v>450</v>
      </c>
      <c r="DJ363" s="14">
        <f>SUMIFS(DI$5:DI363,$CT$5:$CT363,"="&amp;$CT363)</f>
        <v>6727</v>
      </c>
      <c r="DK363" s="14" t="s">
        <v>540</v>
      </c>
      <c r="DL363" s="14">
        <f>INDEX(属性投放!$BM$6:$BM$85,(CV363-2)*20+CZ363)</f>
        <v>9000</v>
      </c>
      <c r="DM363" s="14">
        <f>SUMIFS(DL$5:DL363,$CT$5:$CT363,"="&amp;$CT363)</f>
        <v>129785</v>
      </c>
      <c r="DR363" s="14">
        <f t="shared" si="647"/>
        <v>1102018</v>
      </c>
      <c r="DS363" s="14" t="str">
        <f t="shared" si="648"/>
        <v>噬日19突</v>
      </c>
      <c r="DT363" s="14">
        <f t="shared" si="659"/>
        <v>3</v>
      </c>
      <c r="DU363" s="14">
        <f t="shared" si="660"/>
        <v>3</v>
      </c>
      <c r="DV363" s="14">
        <f t="shared" si="661"/>
        <v>3</v>
      </c>
      <c r="DW363" s="14">
        <f t="shared" si="649"/>
        <v>2</v>
      </c>
      <c r="DX363" s="14">
        <f t="shared" si="650"/>
        <v>19</v>
      </c>
      <c r="DY363" s="14">
        <f t="shared" si="651"/>
        <v>19</v>
      </c>
      <c r="DZ363" s="14">
        <f>INDEX(属性投放!$AX$6:$AX$85,(卡牌属性!DW363-2)*20+卡牌属性!DX363)</f>
        <v>8</v>
      </c>
      <c r="EA363" s="14">
        <f>INDEX(属性投放!BQ$6:BQ$85,卡牌属性!$DY363)</f>
        <v>1400</v>
      </c>
      <c r="EB363" s="14">
        <f>INDEX(属性投放!BR$6:BR$85,卡牌属性!$DY363)</f>
        <v>700</v>
      </c>
      <c r="EC363" s="14">
        <f>INDEX(属性投放!BS$6:BS$85,卡牌属性!$DY363)</f>
        <v>14000</v>
      </c>
      <c r="ED363" s="14">
        <f t="shared" si="683"/>
        <v>7400</v>
      </c>
      <c r="EE363" s="14">
        <f t="shared" si="684"/>
        <v>7840</v>
      </c>
      <c r="EF363" s="14">
        <f t="shared" si="685"/>
        <v>8346</v>
      </c>
      <c r="EG363" s="14">
        <f t="shared" si="686"/>
        <v>8346</v>
      </c>
      <c r="EH363" s="14">
        <f t="shared" si="687"/>
        <v>8614</v>
      </c>
      <c r="EI363" s="14">
        <f t="shared" si="688"/>
        <v>3674</v>
      </c>
      <c r="EJ363" s="14">
        <f t="shared" si="689"/>
        <v>3900</v>
      </c>
      <c r="EK363" s="14">
        <f t="shared" si="690"/>
        <v>3900</v>
      </c>
      <c r="EL363" s="14">
        <f t="shared" si="691"/>
        <v>4149</v>
      </c>
      <c r="EM363" s="14">
        <f t="shared" si="692"/>
        <v>4293</v>
      </c>
      <c r="EN363" s="14">
        <f t="shared" si="693"/>
        <v>69038</v>
      </c>
      <c r="EO363" s="14">
        <f t="shared" si="694"/>
        <v>72842</v>
      </c>
      <c r="EP363" s="14">
        <f t="shared" si="695"/>
        <v>72842</v>
      </c>
      <c r="EQ363" s="14">
        <f t="shared" si="696"/>
        <v>77210</v>
      </c>
      <c r="ER363" s="14">
        <f t="shared" si="697"/>
        <v>79474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INDEX(属性投放!$BQ$6:$BQ$85,(卡牌属性!$DW363-2)*20+卡牌属性!$DX363)</f>
        <v>1400</v>
      </c>
      <c r="FI363" s="14">
        <f>INDEX(属性投放!$BQ$6:$BQ$85,(卡牌属性!$DW363-2)*20+卡牌属性!$DX363)</f>
        <v>1400</v>
      </c>
      <c r="FJ363" s="14">
        <f>INDEX(属性投放!$BQ$6:$BQ$85,(卡牌属性!$DW363-2)*20+卡牌属性!$DX363)</f>
        <v>1400</v>
      </c>
      <c r="FK363" s="14">
        <f>INDEX(属性投放!$BQ$6:$BQ$85,(卡牌属性!$DW363-2)*20+卡牌属性!$DX363)</f>
        <v>1400</v>
      </c>
      <c r="FL363" s="14">
        <f>INDEX(属性投放!$BQ$6:$BQ$85,(卡牌属性!$DW363-2)*20+卡牌属性!$DX363)</f>
        <v>1400</v>
      </c>
      <c r="FM363" s="14">
        <f>INDEX(属性投放!$BR$6:$BR$85,(卡牌属性!$DW363-2)*20+卡牌属性!$DX363)</f>
        <v>700</v>
      </c>
      <c r="FN363" s="14">
        <f>INDEX(属性投放!$BR$6:$BR$85,(卡牌属性!$DW363-2)*20+卡牌属性!$DX363)</f>
        <v>700</v>
      </c>
      <c r="FO363" s="14">
        <f>INDEX(属性投放!$BR$6:$BR$85,(卡牌属性!$DW363-2)*20+卡牌属性!$DX363)</f>
        <v>700</v>
      </c>
      <c r="FP363" s="14">
        <f>INDEX(属性投放!$BR$6:$BR$85,(卡牌属性!$DW363-2)*20+卡牌属性!$DX363)</f>
        <v>700</v>
      </c>
      <c r="FQ363" s="14">
        <f>INDEX(属性投放!$BR$6:$BR$85,(卡牌属性!$DW363-2)*20+卡牌属性!$DX363)</f>
        <v>700</v>
      </c>
      <c r="FR363" s="14">
        <f>INDEX(属性投放!$BS$6:$BS$85,(卡牌属性!$DW363-2)*20+卡牌属性!$DX363)</f>
        <v>14000</v>
      </c>
      <c r="FS363" s="14">
        <f>INDEX(属性投放!$BS$6:$BS$85,(卡牌属性!$DW363-2)*20+卡牌属性!$DX363)</f>
        <v>14000</v>
      </c>
      <c r="FT363" s="14">
        <f>INDEX(属性投放!$BS$6:$BS$85,(卡牌属性!$DW363-2)*20+卡牌属性!$DX363)</f>
        <v>14000</v>
      </c>
      <c r="FU363" s="14">
        <f>INDEX(属性投放!$BS$6:$BS$85,(卡牌属性!$DW363-2)*20+卡牌属性!$DX363)</f>
        <v>14000</v>
      </c>
      <c r="FV363" s="14">
        <f>INDEX(属性投放!$BS$6:$BS$85,(卡牌属性!$DW363-2)*20+卡牌属性!$DX363)</f>
        <v>14000</v>
      </c>
    </row>
    <row r="364" spans="31:178" ht="16.5" x14ac:dyDescent="0.2">
      <c r="AE364" s="13">
        <v>360</v>
      </c>
      <c r="AF364" s="13">
        <f t="shared" si="652"/>
        <v>18</v>
      </c>
      <c r="AG364" s="13">
        <f t="shared" si="633"/>
        <v>3</v>
      </c>
      <c r="AH364" s="13"/>
      <c r="AI364" s="13"/>
      <c r="AJ364" s="14">
        <f t="shared" si="634"/>
        <v>1101020</v>
      </c>
      <c r="AK364" s="14" t="str">
        <f t="shared" si="635"/>
        <v>姬烟华20突</v>
      </c>
      <c r="AL364" s="25" t="s">
        <v>142</v>
      </c>
      <c r="AM364" s="14">
        <v>1</v>
      </c>
      <c r="AN364" s="14">
        <f t="shared" si="636"/>
        <v>20</v>
      </c>
      <c r="AO364" s="14">
        <f>INDEX(属性投放!$DF$6:$DF$85,(卡牌属性!AG364-2)*20+卡牌属性!AN364)</f>
        <v>21868</v>
      </c>
      <c r="AP364" s="14">
        <f t="shared" si="677"/>
        <v>21868</v>
      </c>
      <c r="AQ364" s="14">
        <f t="shared" si="677"/>
        <v>21868</v>
      </c>
      <c r="AR364" s="14">
        <f t="shared" si="677"/>
        <v>21868</v>
      </c>
      <c r="AS364" s="14">
        <f t="shared" si="677"/>
        <v>21868</v>
      </c>
      <c r="AT364" s="14">
        <f>INDEX(属性投放!$DG$6:$DG$85,(卡牌属性!AG364-2)*20+卡牌属性!AN364)</f>
        <v>10886</v>
      </c>
      <c r="AU364" s="14">
        <f t="shared" si="678"/>
        <v>10886</v>
      </c>
      <c r="AV364" s="14">
        <f t="shared" si="678"/>
        <v>10886</v>
      </c>
      <c r="AW364" s="14">
        <f t="shared" si="678"/>
        <v>10886</v>
      </c>
      <c r="AX364" s="14">
        <f t="shared" si="678"/>
        <v>10886</v>
      </c>
      <c r="AY364" s="14">
        <f>INDEX(属性投放!$DH$6:$DH$85,(卡牌属性!AG364-2)*20+卡牌属性!AN364)</f>
        <v>207843</v>
      </c>
      <c r="AZ364" s="14">
        <f t="shared" si="679"/>
        <v>207843</v>
      </c>
      <c r="BA364" s="14">
        <f t="shared" si="679"/>
        <v>207843</v>
      </c>
      <c r="BB364" s="14">
        <f t="shared" si="679"/>
        <v>207843</v>
      </c>
      <c r="BC364" s="14">
        <f t="shared" si="679"/>
        <v>207843</v>
      </c>
      <c r="BD364" s="14">
        <f>INDEX(属性投放!$DL$6:$DL$85,(卡牌属性!AG364-2)*20+卡牌属性!AN364)</f>
        <v>486</v>
      </c>
      <c r="BE364" s="14">
        <f t="shared" si="680"/>
        <v>486</v>
      </c>
      <c r="BF364" s="14">
        <f t="shared" si="680"/>
        <v>486</v>
      </c>
      <c r="BG364" s="14">
        <f t="shared" si="680"/>
        <v>486</v>
      </c>
      <c r="BH364" s="14">
        <f t="shared" si="680"/>
        <v>486</v>
      </c>
      <c r="BI364" s="14">
        <f>INDEX(属性投放!$DM$6:$DM$85,(卡牌属性!AG364-2)*20+卡牌属性!AN364)</f>
        <v>243</v>
      </c>
      <c r="BJ364" s="14">
        <f t="shared" si="681"/>
        <v>243</v>
      </c>
      <c r="BK364" s="14">
        <f t="shared" si="681"/>
        <v>243</v>
      </c>
      <c r="BL364" s="14">
        <f t="shared" si="681"/>
        <v>243</v>
      </c>
      <c r="BM364" s="14">
        <f t="shared" si="681"/>
        <v>243</v>
      </c>
      <c r="BN364" s="14">
        <f>INDEX(属性投放!$DN$6:$DN$85,(卡牌属性!AG364-2)*20+卡牌属性!AN364)</f>
        <v>4863</v>
      </c>
      <c r="BO364" s="14">
        <f t="shared" si="682"/>
        <v>4863</v>
      </c>
      <c r="BP364" s="14">
        <f t="shared" si="682"/>
        <v>4863</v>
      </c>
      <c r="BQ364" s="14">
        <f t="shared" si="682"/>
        <v>4863</v>
      </c>
      <c r="BR364" s="14">
        <f t="shared" si="682"/>
        <v>4863</v>
      </c>
      <c r="BW364" s="13">
        <v>360</v>
      </c>
      <c r="BX364" s="13">
        <f t="shared" si="643"/>
        <v>18</v>
      </c>
      <c r="BY364" s="14">
        <f t="shared" si="644"/>
        <v>2</v>
      </c>
      <c r="BZ364" s="14">
        <f t="shared" si="653"/>
        <v>1102018</v>
      </c>
      <c r="CA364" s="14" t="str">
        <f t="shared" si="654"/>
        <v>噬日20突</v>
      </c>
      <c r="CB364" s="25" t="s">
        <v>142</v>
      </c>
      <c r="CC364" s="14">
        <v>2</v>
      </c>
      <c r="CD364" s="14">
        <f t="shared" si="645"/>
        <v>20</v>
      </c>
      <c r="CE364" s="14" t="s">
        <v>21</v>
      </c>
      <c r="CF364" s="14">
        <f>INDEX(属性投放!$AZ$6:$AZ$85,(BY364-2)*20+CD364)</f>
        <v>21115</v>
      </c>
      <c r="CG364" s="14" t="s">
        <v>22</v>
      </c>
      <c r="CH364" s="14">
        <f>INDEX(属性投放!$BA$6:$BA$85,(BY364-2)*20+CD364)</f>
        <v>10529</v>
      </c>
      <c r="CI364" s="14" t="s">
        <v>510</v>
      </c>
      <c r="CJ364" s="14">
        <f>INDEX(属性投放!$BB$6:$BB$85,(BY364-2)*20+CD364)</f>
        <v>202958</v>
      </c>
      <c r="CK364" s="14" t="s">
        <v>21</v>
      </c>
      <c r="CL364" s="14">
        <f>INDEX(属性投放!$BC$6:$BC$85,(BY364-2)*20+CD364)</f>
        <v>25</v>
      </c>
      <c r="CM364" s="14" t="s">
        <v>22</v>
      </c>
      <c r="CN364" s="14">
        <f>INDEX(属性投放!$BD$6:$BD$85,(BY364-2)*20+CD364)</f>
        <v>13</v>
      </c>
      <c r="CO364" s="14" t="s">
        <v>510</v>
      </c>
      <c r="CP364" s="14">
        <f>INDEX(属性投放!$BE$6:$BE$85,(BY364-2)*20+CD364)</f>
        <v>250</v>
      </c>
      <c r="CS364" s="13">
        <v>360</v>
      </c>
      <c r="CT364" s="13">
        <f t="shared" si="655"/>
        <v>7</v>
      </c>
      <c r="CU364" s="13">
        <f t="shared" si="656"/>
        <v>48</v>
      </c>
      <c r="CV364" s="14">
        <f t="shared" si="657"/>
        <v>4</v>
      </c>
      <c r="CW364" s="14">
        <f t="shared" si="658"/>
        <v>1102007</v>
      </c>
      <c r="CX364" s="14" t="str">
        <f>INDEX($O$6:$O$50,CT364)&amp;"-"&amp;INDEX(属性投放!$AB$7:$AB$50,CZ364)&amp;"-魂火-"&amp;DB364</f>
        <v>天使缇娜-无间-魂火-3</v>
      </c>
      <c r="CY364" s="25" t="s">
        <v>142</v>
      </c>
      <c r="CZ364" s="14">
        <f>INDEX(属性投放!$AM$7:$AM$58,CU364)</f>
        <v>19</v>
      </c>
      <c r="DA364" s="14" t="s">
        <v>537</v>
      </c>
      <c r="DB364" s="14">
        <f>INDEX(属性投放!$AN$7:$AN$58,CU364)</f>
        <v>3</v>
      </c>
      <c r="DC364" s="14">
        <f t="shared" si="646"/>
        <v>48</v>
      </c>
      <c r="DD364" s="14">
        <f>INDEX(属性投放!$AO$7:$AO$58,DC364)</f>
        <v>138</v>
      </c>
      <c r="DE364" s="14" t="s">
        <v>538</v>
      </c>
      <c r="DF364" s="14">
        <f>INDEX(属性投放!$BK$6:$BK$85,(CV364-2)*20+CZ364)</f>
        <v>900</v>
      </c>
      <c r="DG364" s="14">
        <f>SUMIFS(DF$5:DF364,$CT$5:$CT364,"="&amp;$CT364)</f>
        <v>14335</v>
      </c>
      <c r="DH364" s="14" t="s">
        <v>539</v>
      </c>
      <c r="DI364" s="14">
        <f>INDEX(属性投放!$BL$6:$BL$85,(CV364-2)*20+CZ364)</f>
        <v>450</v>
      </c>
      <c r="DJ364" s="14">
        <f>SUMIFS(DI$5:DI364,$CT$5:$CT364,"="&amp;$CT364)</f>
        <v>7177</v>
      </c>
      <c r="DK364" s="14" t="s">
        <v>540</v>
      </c>
      <c r="DL364" s="14">
        <f>INDEX(属性投放!$BM$6:$BM$85,(CV364-2)*20+CZ364)</f>
        <v>9000</v>
      </c>
      <c r="DM364" s="14">
        <f>SUMIFS(DL$5:DL364,$CT$5:$CT364,"="&amp;$CT364)</f>
        <v>138785</v>
      </c>
      <c r="DR364" s="14">
        <f t="shared" si="647"/>
        <v>1102018</v>
      </c>
      <c r="DS364" s="14" t="str">
        <f t="shared" si="648"/>
        <v>噬日20突</v>
      </c>
      <c r="DT364" s="14">
        <f t="shared" si="659"/>
        <v>3</v>
      </c>
      <c r="DU364" s="14">
        <f t="shared" si="660"/>
        <v>3</v>
      </c>
      <c r="DV364" s="14">
        <f t="shared" si="661"/>
        <v>3</v>
      </c>
      <c r="DW364" s="14">
        <f t="shared" si="649"/>
        <v>2</v>
      </c>
      <c r="DX364" s="14">
        <f t="shared" si="650"/>
        <v>20</v>
      </c>
      <c r="DY364" s="14">
        <f t="shared" si="651"/>
        <v>20</v>
      </c>
      <c r="DZ364" s="14">
        <f>INDEX(属性投放!$AX$6:$AX$85,(卡牌属性!DW364-2)*20+卡牌属性!DX364)</f>
        <v>10</v>
      </c>
      <c r="EA364" s="14">
        <f>INDEX(属性投放!BQ$6:BQ$85,卡牌属性!$DY364)</f>
        <v>1500</v>
      </c>
      <c r="EB364" s="14">
        <f>INDEX(属性投放!BR$6:BR$85,卡牌属性!$DY364)</f>
        <v>750</v>
      </c>
      <c r="EC364" s="14">
        <f>INDEX(属性投放!BS$6:BS$85,卡牌属性!$DY364)</f>
        <v>15000</v>
      </c>
      <c r="ED364" s="14">
        <f t="shared" si="683"/>
        <v>9000</v>
      </c>
      <c r="EE364" s="14">
        <f t="shared" si="684"/>
        <v>9480</v>
      </c>
      <c r="EF364" s="14">
        <f t="shared" si="685"/>
        <v>10066</v>
      </c>
      <c r="EG364" s="14">
        <f t="shared" si="686"/>
        <v>10066</v>
      </c>
      <c r="EH364" s="14">
        <f t="shared" si="687"/>
        <v>10374</v>
      </c>
      <c r="EI364" s="14">
        <f t="shared" si="688"/>
        <v>4478</v>
      </c>
      <c r="EJ364" s="14">
        <f t="shared" si="689"/>
        <v>4720</v>
      </c>
      <c r="EK364" s="14">
        <f t="shared" si="690"/>
        <v>4720</v>
      </c>
      <c r="EL364" s="14">
        <f t="shared" si="691"/>
        <v>5009</v>
      </c>
      <c r="EM364" s="14">
        <f t="shared" si="692"/>
        <v>5177</v>
      </c>
      <c r="EN364" s="14">
        <f t="shared" si="693"/>
        <v>85038</v>
      </c>
      <c r="EO364" s="14">
        <f t="shared" si="694"/>
        <v>89242</v>
      </c>
      <c r="EP364" s="14">
        <f t="shared" si="695"/>
        <v>89242</v>
      </c>
      <c r="EQ364" s="14">
        <f t="shared" si="696"/>
        <v>94410</v>
      </c>
      <c r="ER364" s="14">
        <f t="shared" si="697"/>
        <v>97074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INDEX(属性投放!$BQ$6:$BQ$85,(卡牌属性!$DW364-2)*20+卡牌属性!$DX364)</f>
        <v>1500</v>
      </c>
      <c r="FI364" s="14">
        <f>INDEX(属性投放!$BQ$6:$BQ$85,(卡牌属性!$DW364-2)*20+卡牌属性!$DX364)</f>
        <v>1500</v>
      </c>
      <c r="FJ364" s="14">
        <f>INDEX(属性投放!$BQ$6:$BQ$85,(卡牌属性!$DW364-2)*20+卡牌属性!$DX364)</f>
        <v>1500</v>
      </c>
      <c r="FK364" s="14">
        <f>INDEX(属性投放!$BQ$6:$BQ$85,(卡牌属性!$DW364-2)*20+卡牌属性!$DX364)</f>
        <v>1500</v>
      </c>
      <c r="FL364" s="14">
        <f>INDEX(属性投放!$BQ$6:$BQ$85,(卡牌属性!$DW364-2)*20+卡牌属性!$DX364)</f>
        <v>1500</v>
      </c>
      <c r="FM364" s="14">
        <f>INDEX(属性投放!$BR$6:$BR$85,(卡牌属性!$DW364-2)*20+卡牌属性!$DX364)</f>
        <v>750</v>
      </c>
      <c r="FN364" s="14">
        <f>INDEX(属性投放!$BR$6:$BR$85,(卡牌属性!$DW364-2)*20+卡牌属性!$DX364)</f>
        <v>750</v>
      </c>
      <c r="FO364" s="14">
        <f>INDEX(属性投放!$BR$6:$BR$85,(卡牌属性!$DW364-2)*20+卡牌属性!$DX364)</f>
        <v>750</v>
      </c>
      <c r="FP364" s="14">
        <f>INDEX(属性投放!$BR$6:$BR$85,(卡牌属性!$DW364-2)*20+卡牌属性!$DX364)</f>
        <v>750</v>
      </c>
      <c r="FQ364" s="14">
        <f>INDEX(属性投放!$BR$6:$BR$85,(卡牌属性!$DW364-2)*20+卡牌属性!$DX364)</f>
        <v>750</v>
      </c>
      <c r="FR364" s="14">
        <f>INDEX(属性投放!$BS$6:$BS$85,(卡牌属性!$DW364-2)*20+卡牌属性!$DX364)</f>
        <v>15000</v>
      </c>
      <c r="FS364" s="14">
        <f>INDEX(属性投放!$BS$6:$BS$85,(卡牌属性!$DW364-2)*20+卡牌属性!$DX364)</f>
        <v>15000</v>
      </c>
      <c r="FT364" s="14">
        <f>INDEX(属性投放!$BS$6:$BS$85,(卡牌属性!$DW364-2)*20+卡牌属性!$DX364)</f>
        <v>15000</v>
      </c>
      <c r="FU364" s="14">
        <f>INDEX(属性投放!$BS$6:$BS$85,(卡牌属性!$DW364-2)*20+卡牌属性!$DX364)</f>
        <v>15000</v>
      </c>
      <c r="FV364" s="14">
        <f>INDEX(属性投放!$BS$6:$BS$85,(卡牌属性!$DW364-2)*20+卡牌属性!$DX364)</f>
        <v>15000</v>
      </c>
    </row>
    <row r="365" spans="31:178" ht="16.5" x14ac:dyDescent="0.2">
      <c r="AE365" s="13">
        <v>361</v>
      </c>
      <c r="AF365" s="13">
        <f t="shared" si="652"/>
        <v>19</v>
      </c>
      <c r="AG365" s="13">
        <f t="shared" si="633"/>
        <v>2</v>
      </c>
      <c r="AH365" s="13"/>
      <c r="AI365" s="13"/>
      <c r="AJ365" s="14">
        <f t="shared" si="634"/>
        <v>1101022</v>
      </c>
      <c r="AK365" s="14" t="str">
        <f t="shared" si="635"/>
        <v>幻1突</v>
      </c>
      <c r="AL365" s="25" t="s">
        <v>142</v>
      </c>
      <c r="AM365" s="14">
        <v>1</v>
      </c>
      <c r="AN365" s="14">
        <f t="shared" si="636"/>
        <v>1</v>
      </c>
      <c r="AO365" s="14">
        <f>INDEX(属性投放!$DF$6:$DF$85,(卡牌属性!AG365-2)*20+卡牌属性!AN365)</f>
        <v>100</v>
      </c>
      <c r="AP365" s="14">
        <f t="shared" ref="AP365:AS384" si="698">$AO365</f>
        <v>100</v>
      </c>
      <c r="AQ365" s="14">
        <f t="shared" si="698"/>
        <v>100</v>
      </c>
      <c r="AR365" s="14">
        <f t="shared" si="698"/>
        <v>100</v>
      </c>
      <c r="AS365" s="14">
        <f t="shared" si="698"/>
        <v>100</v>
      </c>
      <c r="AT365" s="14">
        <f>INDEX(属性投放!$DG$6:$DG$85,(卡牌属性!AG365-2)*20+卡牌属性!AN365)</f>
        <v>0</v>
      </c>
      <c r="AU365" s="14">
        <f t="shared" ref="AU365:AX384" si="699">$AT365</f>
        <v>0</v>
      </c>
      <c r="AV365" s="14">
        <f t="shared" si="699"/>
        <v>0</v>
      </c>
      <c r="AW365" s="14">
        <f t="shared" si="699"/>
        <v>0</v>
      </c>
      <c r="AX365" s="14">
        <f t="shared" si="699"/>
        <v>0</v>
      </c>
      <c r="AY365" s="14">
        <f>INDEX(属性投放!$DH$6:$DH$85,(卡牌属性!AG365-2)*20+卡牌属性!AN365)</f>
        <v>250.00000000000003</v>
      </c>
      <c r="AZ365" s="14">
        <f t="shared" ref="AZ365:BC384" si="700">$AY365</f>
        <v>250.00000000000003</v>
      </c>
      <c r="BA365" s="14">
        <f t="shared" si="700"/>
        <v>250.00000000000003</v>
      </c>
      <c r="BB365" s="14">
        <f t="shared" si="700"/>
        <v>250.00000000000003</v>
      </c>
      <c r="BC365" s="14">
        <f t="shared" si="700"/>
        <v>250.00000000000003</v>
      </c>
      <c r="BD365" s="14">
        <f>INDEX(属性投放!$DL$6:$DL$85,(卡牌属性!AG365-2)*20+卡牌属性!AN365)</f>
        <v>6</v>
      </c>
      <c r="BE365" s="14">
        <f t="shared" ref="BE365:BH384" si="701">$BD365</f>
        <v>6</v>
      </c>
      <c r="BF365" s="14">
        <f t="shared" si="701"/>
        <v>6</v>
      </c>
      <c r="BG365" s="14">
        <f t="shared" si="701"/>
        <v>6</v>
      </c>
      <c r="BH365" s="14">
        <f t="shared" si="701"/>
        <v>6</v>
      </c>
      <c r="BI365" s="14">
        <f>INDEX(属性投放!$DM$6:$DM$85,(卡牌属性!AG365-2)*20+卡牌属性!AN365)</f>
        <v>3</v>
      </c>
      <c r="BJ365" s="14">
        <f t="shared" ref="BJ365:BM384" si="702">$BI365</f>
        <v>3</v>
      </c>
      <c r="BK365" s="14">
        <f t="shared" si="702"/>
        <v>3</v>
      </c>
      <c r="BL365" s="14">
        <f t="shared" si="702"/>
        <v>3</v>
      </c>
      <c r="BM365" s="14">
        <f t="shared" si="702"/>
        <v>3</v>
      </c>
      <c r="BN365" s="14">
        <f>INDEX(属性投放!$DN$6:$DN$85,(卡牌属性!AG365-2)*20+卡牌属性!AN365)</f>
        <v>36</v>
      </c>
      <c r="BO365" s="14">
        <f t="shared" ref="BO365:BR384" si="703">$BN365</f>
        <v>36</v>
      </c>
      <c r="BP365" s="14">
        <f t="shared" si="703"/>
        <v>36</v>
      </c>
      <c r="BQ365" s="14">
        <f t="shared" si="703"/>
        <v>36</v>
      </c>
      <c r="BR365" s="14">
        <f t="shared" si="703"/>
        <v>36</v>
      </c>
      <c r="BW365" s="13">
        <v>361</v>
      </c>
      <c r="BX365" s="13">
        <f t="shared" si="643"/>
        <v>19</v>
      </c>
      <c r="BY365" s="14">
        <f t="shared" si="644"/>
        <v>2</v>
      </c>
      <c r="BZ365" s="14">
        <f t="shared" si="653"/>
        <v>1102019</v>
      </c>
      <c r="CA365" s="14" t="str">
        <f t="shared" si="654"/>
        <v>食火蜥1突</v>
      </c>
      <c r="CB365" s="25" t="s">
        <v>142</v>
      </c>
      <c r="CC365" s="14">
        <v>2</v>
      </c>
      <c r="CD365" s="14">
        <f t="shared" si="645"/>
        <v>1</v>
      </c>
      <c r="CE365" s="14" t="s">
        <v>21</v>
      </c>
      <c r="CF365" s="14">
        <f>INDEX(属性投放!$AZ$6:$AZ$85,(BY365-2)*20+CD365)</f>
        <v>100</v>
      </c>
      <c r="CG365" s="14" t="s">
        <v>22</v>
      </c>
      <c r="CH365" s="14">
        <f>INDEX(属性投放!$BA$6:$BA$85,(BY365-2)*20+CD365)</f>
        <v>0</v>
      </c>
      <c r="CI365" s="14" t="s">
        <v>510</v>
      </c>
      <c r="CJ365" s="14">
        <f>INDEX(属性投放!$BB$6:$BB$85,(BY365-2)*20+CD365)</f>
        <v>300</v>
      </c>
      <c r="CK365" s="14" t="s">
        <v>21</v>
      </c>
      <c r="CL365" s="14">
        <f>INDEX(属性投放!$BC$6:$BC$85,(BY365-2)*20+CD365)</f>
        <v>5</v>
      </c>
      <c r="CM365" s="14" t="s">
        <v>22</v>
      </c>
      <c r="CN365" s="14">
        <f>INDEX(属性投放!$BD$6:$BD$85,(BY365-2)*20+CD365)</f>
        <v>3</v>
      </c>
      <c r="CO365" s="14" t="s">
        <v>510</v>
      </c>
      <c r="CP365" s="14">
        <f>INDEX(属性投放!$BE$6:$BE$85,(BY365-2)*20+CD365)</f>
        <v>30</v>
      </c>
      <c r="CS365" s="13">
        <v>361</v>
      </c>
      <c r="CT365" s="13">
        <f t="shared" si="655"/>
        <v>7</v>
      </c>
      <c r="CU365" s="13">
        <f t="shared" si="656"/>
        <v>49</v>
      </c>
      <c r="CV365" s="14">
        <f t="shared" si="657"/>
        <v>4</v>
      </c>
      <c r="CW365" s="14">
        <f t="shared" si="658"/>
        <v>1102007</v>
      </c>
      <c r="CX365" s="14" t="str">
        <f>INDEX($O$6:$O$50,CT365)&amp;"-"&amp;INDEX(属性投放!$AB$7:$AB$50,CZ365)&amp;"-魂火-"&amp;DB365</f>
        <v>天使缇娜-无间+1-魂火-1</v>
      </c>
      <c r="CY365" s="25" t="s">
        <v>142</v>
      </c>
      <c r="CZ365" s="14">
        <f>INDEX(属性投放!$AM$7:$AM$58,CU365)</f>
        <v>20</v>
      </c>
      <c r="DA365" s="14" t="s">
        <v>537</v>
      </c>
      <c r="DB365" s="14">
        <f>INDEX(属性投放!$AN$7:$AN$58,CU365)</f>
        <v>1</v>
      </c>
      <c r="DC365" s="14">
        <f t="shared" si="646"/>
        <v>49</v>
      </c>
      <c r="DD365" s="14">
        <f>INDEX(属性投放!$AO$7:$AO$58,DC365)</f>
        <v>140</v>
      </c>
      <c r="DE365" s="14" t="s">
        <v>538</v>
      </c>
      <c r="DF365" s="14">
        <f>INDEX(属性投放!$BK$6:$BK$85,(CV365-2)*20+CZ365)</f>
        <v>1000</v>
      </c>
      <c r="DG365" s="14">
        <f>SUMIFS(DF$5:DF365,$CT$5:$CT365,"="&amp;$CT365)</f>
        <v>15335</v>
      </c>
      <c r="DH365" s="14" t="s">
        <v>539</v>
      </c>
      <c r="DI365" s="14">
        <f>INDEX(属性投放!$BL$6:$BL$85,(CV365-2)*20+CZ365)</f>
        <v>500</v>
      </c>
      <c r="DJ365" s="14">
        <f>SUMIFS(DI$5:DI365,$CT$5:$CT365,"="&amp;$CT365)</f>
        <v>7677</v>
      </c>
      <c r="DK365" s="14" t="s">
        <v>540</v>
      </c>
      <c r="DL365" s="14">
        <f>INDEX(属性投放!$BM$6:$BM$85,(CV365-2)*20+CZ365)</f>
        <v>10000</v>
      </c>
      <c r="DM365" s="14">
        <f>SUMIFS(DL$5:DL365,$CT$5:$CT365,"="&amp;$CT365)</f>
        <v>148785</v>
      </c>
      <c r="DR365" s="14">
        <f t="shared" si="647"/>
        <v>1102019</v>
      </c>
      <c r="DS365" s="14" t="str">
        <f t="shared" si="648"/>
        <v>食火蜥1突</v>
      </c>
      <c r="DT365" s="14">
        <f t="shared" si="659"/>
        <v>1</v>
      </c>
      <c r="DU365" s="14">
        <f t="shared" si="660"/>
        <v>6</v>
      </c>
      <c r="DV365" s="14">
        <f t="shared" si="661"/>
        <v>4</v>
      </c>
      <c r="DW365" s="14">
        <f t="shared" si="649"/>
        <v>2</v>
      </c>
      <c r="DX365" s="14">
        <f t="shared" si="650"/>
        <v>1</v>
      </c>
      <c r="DY365" s="14">
        <f t="shared" si="651"/>
        <v>1</v>
      </c>
      <c r="DZ365" s="14">
        <f>INDEX(属性投放!$AX$6:$AX$85,(卡牌属性!DW365-2)*20+卡牌属性!DX365)</f>
        <v>4</v>
      </c>
      <c r="EA365" s="14">
        <f>INDEX(属性投放!BQ$6:BQ$85,卡牌属性!$DY365)</f>
        <v>25</v>
      </c>
      <c r="EB365" s="14">
        <f>INDEX(属性投放!BR$6:BR$85,卡牌属性!$DY365)</f>
        <v>13</v>
      </c>
      <c r="EC365" s="14">
        <f>INDEX(属性投放!BS$6:BS$85,卡牌属性!$DY365)</f>
        <v>150</v>
      </c>
      <c r="ED365" s="14">
        <f>INDEX(属性偏向!$I$4:$I$15,卡牌属性!$DT365+ED$3)</f>
        <v>70</v>
      </c>
      <c r="EE365" s="14">
        <f>INDEX(属性偏向!$I$4:$I$15,卡牌属性!$DT365+EE$3)</f>
        <v>75</v>
      </c>
      <c r="EF365" s="14">
        <f>INDEX(属性偏向!$I$4:$I$15,卡牌属性!$DT365+EF$3)</f>
        <v>100</v>
      </c>
      <c r="EG365" s="14">
        <f>INDEX(属性偏向!$I$4:$I$15,卡牌属性!$DT365+EG$3)</f>
        <v>100</v>
      </c>
      <c r="EH365" s="14">
        <f>INDEX(属性偏向!$I$4:$I$15,卡牌属性!$DT365+EH$3)</f>
        <v>125</v>
      </c>
      <c r="EI365" s="14">
        <f>INDEX(属性偏向!$J$4:$J$15,卡牌属性!$DU365+EI$3)</f>
        <v>40</v>
      </c>
      <c r="EJ365" s="14">
        <f>INDEX(属性偏向!$J$4:$J$15,卡牌属性!$DU365+EJ$3)</f>
        <v>50</v>
      </c>
      <c r="EK365" s="14">
        <f>INDEX(属性偏向!$J$4:$J$15,卡牌属性!$DU365+EK$3)</f>
        <v>50</v>
      </c>
      <c r="EL365" s="14">
        <f>INDEX(属性偏向!$J$4:$J$15,卡牌属性!$DU365+EL$3)</f>
        <v>75</v>
      </c>
      <c r="EM365" s="14">
        <f>INDEX(属性偏向!$J$4:$J$15,卡牌属性!$DU365+EM$3)</f>
        <v>100</v>
      </c>
      <c r="EN365" s="14">
        <f>INDEX(属性偏向!$K$4:$K$15,卡牌属性!$DV365+EN$3)</f>
        <v>400</v>
      </c>
      <c r="EO365" s="14">
        <f>INDEX(属性偏向!$K$4:$K$15,卡牌属性!$DV365+EO$3)</f>
        <v>500</v>
      </c>
      <c r="EP365" s="14">
        <f>INDEX(属性偏向!$K$4:$K$15,卡牌属性!$DV365+EP$3)</f>
        <v>500</v>
      </c>
      <c r="EQ365" s="14">
        <f>INDEX(属性偏向!$K$4:$K$15,卡牌属性!$DV365+EQ$3)</f>
        <v>650</v>
      </c>
      <c r="ER365" s="14">
        <f>INDEX(属性偏向!$K$4:$K$15,卡牌属性!$DV365+ER$3)</f>
        <v>800</v>
      </c>
      <c r="ES365" s="14">
        <f>INDEX(属性偏向!$S$4:$S$243,(卡牌属性!$DT365-1+ES$3)*20+卡牌属性!$DX365)</f>
        <v>3</v>
      </c>
      <c r="ET365" s="14">
        <f>INDEX(属性偏向!$S$4:$S$243,(卡牌属性!$DT365-1+ET$3)*20+卡牌属性!$DX365)</f>
        <v>4</v>
      </c>
      <c r="EU365" s="14">
        <f>INDEX(属性偏向!$S$4:$S$243,(卡牌属性!$DT365-1+EU$3)*20+卡牌属性!$DX365)</f>
        <v>5</v>
      </c>
      <c r="EV365" s="14">
        <f>INDEX(属性偏向!$S$4:$S$243,(卡牌属性!$DT365-1+EV$3)*20+卡牌属性!$DX365)</f>
        <v>5</v>
      </c>
      <c r="EW365" s="14">
        <f>INDEX(属性偏向!$S$4:$S$243,(卡牌属性!$DT365-1+EW$3)*20+卡牌属性!$DX365)</f>
        <v>6</v>
      </c>
      <c r="EX365" s="14">
        <f>INDEX(属性偏向!$T$4:$T$243,(卡牌属性!$DU365-1+EX$3)*20+卡牌属性!$DX365)</f>
        <v>5</v>
      </c>
      <c r="EY365" s="14">
        <f>INDEX(属性偏向!$T$4:$T$243,(卡牌属性!$DU365-1+EY$3)*20+卡牌属性!$DX365)</f>
        <v>6</v>
      </c>
      <c r="EZ365" s="14">
        <f>INDEX(属性偏向!$T$4:$T$243,(卡牌属性!$DU365-1+EZ$3)*20+卡牌属性!$DX365)</f>
        <v>6</v>
      </c>
      <c r="FA365" s="14">
        <f>INDEX(属性偏向!$T$4:$T$243,(卡牌属性!$DU365-1+FA$3)*20+卡牌属性!$DX365)</f>
        <v>7</v>
      </c>
      <c r="FB365" s="14">
        <f>INDEX(属性偏向!$T$4:$T$243,(卡牌属性!$DU365-1+FB$3)*20+卡牌属性!$DX365)</f>
        <v>8</v>
      </c>
      <c r="FC365" s="14">
        <f>INDEX(属性偏向!$U$4:$U$243,(卡牌属性!$DV365-1+FC$3)*20+卡牌属性!$DX365)</f>
        <v>36</v>
      </c>
      <c r="FD365" s="14">
        <f>INDEX(属性偏向!$U$4:$U$243,(卡牌属性!$DV365-1+FD$3)*20+卡牌属性!$DX365)</f>
        <v>48</v>
      </c>
      <c r="FE365" s="14">
        <f>INDEX(属性偏向!$U$4:$U$243,(卡牌属性!$DV365-1+FE$3)*20+卡牌属性!$DX365)</f>
        <v>48</v>
      </c>
      <c r="FF365" s="14">
        <f>INDEX(属性偏向!$U$4:$U$243,(卡牌属性!$DV365-1+FF$3)*20+卡牌属性!$DX365)</f>
        <v>60</v>
      </c>
      <c r="FG365" s="14">
        <f>INDEX(属性偏向!$U$4:$U$243,(卡牌属性!$DV365-1+FG$3)*20+卡牌属性!$DX365)</f>
        <v>72</v>
      </c>
      <c r="FH365" s="14">
        <f>INDEX(属性投放!$BQ$6:$BQ$85,(卡牌属性!$DW365-2)*20+卡牌属性!$DX365)</f>
        <v>25</v>
      </c>
      <c r="FI365" s="14">
        <f>INDEX(属性投放!$BQ$6:$BQ$85,(卡牌属性!$DW365-2)*20+卡牌属性!$DX365)</f>
        <v>25</v>
      </c>
      <c r="FJ365" s="14">
        <f>INDEX(属性投放!$BQ$6:$BQ$85,(卡牌属性!$DW365-2)*20+卡牌属性!$DX365)</f>
        <v>25</v>
      </c>
      <c r="FK365" s="14">
        <f>INDEX(属性投放!$BQ$6:$BQ$85,(卡牌属性!$DW365-2)*20+卡牌属性!$DX365)</f>
        <v>25</v>
      </c>
      <c r="FL365" s="14">
        <f>INDEX(属性投放!$BQ$6:$BQ$85,(卡牌属性!$DW365-2)*20+卡牌属性!$DX365)</f>
        <v>25</v>
      </c>
      <c r="FM365" s="14">
        <f>INDEX(属性投放!$BR$6:$BR$85,(卡牌属性!$DW365-2)*20+卡牌属性!$DX365)</f>
        <v>13</v>
      </c>
      <c r="FN365" s="14">
        <f>INDEX(属性投放!$BR$6:$BR$85,(卡牌属性!$DW365-2)*20+卡牌属性!$DX365)</f>
        <v>13</v>
      </c>
      <c r="FO365" s="14">
        <f>INDEX(属性投放!$BR$6:$BR$85,(卡牌属性!$DW365-2)*20+卡牌属性!$DX365)</f>
        <v>13</v>
      </c>
      <c r="FP365" s="14">
        <f>INDEX(属性投放!$BR$6:$BR$85,(卡牌属性!$DW365-2)*20+卡牌属性!$DX365)</f>
        <v>13</v>
      </c>
      <c r="FQ365" s="14">
        <f>INDEX(属性投放!$BR$6:$BR$85,(卡牌属性!$DW365-2)*20+卡牌属性!$DX365)</f>
        <v>13</v>
      </c>
      <c r="FR365" s="14">
        <f>INDEX(属性投放!$BS$6:$BS$85,(卡牌属性!$DW365-2)*20+卡牌属性!$DX365)</f>
        <v>150</v>
      </c>
      <c r="FS365" s="14">
        <f>INDEX(属性投放!$BS$6:$BS$85,(卡牌属性!$DW365-2)*20+卡牌属性!$DX365)</f>
        <v>150</v>
      </c>
      <c r="FT365" s="14">
        <f>INDEX(属性投放!$BS$6:$BS$85,(卡牌属性!$DW365-2)*20+卡牌属性!$DX365)</f>
        <v>150</v>
      </c>
      <c r="FU365" s="14">
        <f>INDEX(属性投放!$BS$6:$BS$85,(卡牌属性!$DW365-2)*20+卡牌属性!$DX365)</f>
        <v>150</v>
      </c>
      <c r="FV365" s="14">
        <f>INDEX(属性投放!$BS$6:$BS$85,(卡牌属性!$DW365-2)*20+卡牌属性!$DX365)</f>
        <v>150</v>
      </c>
    </row>
    <row r="366" spans="31:178" ht="16.5" x14ac:dyDescent="0.2">
      <c r="AE366" s="13">
        <v>362</v>
      </c>
      <c r="AF366" s="13">
        <f t="shared" si="652"/>
        <v>19</v>
      </c>
      <c r="AG366" s="13">
        <f t="shared" si="633"/>
        <v>2</v>
      </c>
      <c r="AH366" s="13"/>
      <c r="AI366" s="13"/>
      <c r="AJ366" s="14">
        <f t="shared" si="634"/>
        <v>1101022</v>
      </c>
      <c r="AK366" s="14" t="str">
        <f t="shared" si="635"/>
        <v>幻2突</v>
      </c>
      <c r="AL366" s="25" t="s">
        <v>142</v>
      </c>
      <c r="AM366" s="14">
        <v>1</v>
      </c>
      <c r="AN366" s="14">
        <f t="shared" si="636"/>
        <v>2</v>
      </c>
      <c r="AO366" s="14">
        <f>INDEX(属性投放!$DF$6:$DF$85,(卡牌属性!AG366-2)*20+卡牌属性!AN366)</f>
        <v>160</v>
      </c>
      <c r="AP366" s="14">
        <f t="shared" si="698"/>
        <v>160</v>
      </c>
      <c r="AQ366" s="14">
        <f t="shared" si="698"/>
        <v>160</v>
      </c>
      <c r="AR366" s="14">
        <f t="shared" si="698"/>
        <v>160</v>
      </c>
      <c r="AS366" s="14">
        <f t="shared" si="698"/>
        <v>160</v>
      </c>
      <c r="AT366" s="14">
        <f>INDEX(属性投放!$DG$6:$DG$85,(卡牌属性!AG366-2)*20+卡牌属性!AN366)</f>
        <v>30</v>
      </c>
      <c r="AU366" s="14">
        <f t="shared" si="699"/>
        <v>30</v>
      </c>
      <c r="AV366" s="14">
        <f t="shared" si="699"/>
        <v>30</v>
      </c>
      <c r="AW366" s="14">
        <f t="shared" si="699"/>
        <v>30</v>
      </c>
      <c r="AX366" s="14">
        <f t="shared" si="699"/>
        <v>30</v>
      </c>
      <c r="AY366" s="14">
        <f>INDEX(属性投放!$DH$6:$DH$85,(卡牌属性!AG366-2)*20+卡牌属性!AN366)</f>
        <v>610</v>
      </c>
      <c r="AZ366" s="14">
        <f t="shared" si="700"/>
        <v>610</v>
      </c>
      <c r="BA366" s="14">
        <f t="shared" si="700"/>
        <v>610</v>
      </c>
      <c r="BB366" s="14">
        <f t="shared" si="700"/>
        <v>610</v>
      </c>
      <c r="BC366" s="14">
        <f t="shared" si="700"/>
        <v>610</v>
      </c>
      <c r="BD366" s="14">
        <f>INDEX(属性投放!$DL$6:$DL$85,(卡牌属性!AG366-2)*20+卡牌属性!AN366)</f>
        <v>12</v>
      </c>
      <c r="BE366" s="14">
        <f t="shared" si="701"/>
        <v>12</v>
      </c>
      <c r="BF366" s="14">
        <f t="shared" si="701"/>
        <v>12</v>
      </c>
      <c r="BG366" s="14">
        <f t="shared" si="701"/>
        <v>12</v>
      </c>
      <c r="BH366" s="14">
        <f t="shared" si="701"/>
        <v>12</v>
      </c>
      <c r="BI366" s="14">
        <f>INDEX(属性投放!$DM$6:$DM$85,(卡牌属性!AG366-2)*20+卡牌属性!AN366)</f>
        <v>6</v>
      </c>
      <c r="BJ366" s="14">
        <f t="shared" si="702"/>
        <v>6</v>
      </c>
      <c r="BK366" s="14">
        <f t="shared" si="702"/>
        <v>6</v>
      </c>
      <c r="BL366" s="14">
        <f t="shared" si="702"/>
        <v>6</v>
      </c>
      <c r="BM366" s="14">
        <f t="shared" si="702"/>
        <v>6</v>
      </c>
      <c r="BN366" s="14">
        <f>INDEX(属性投放!$DN$6:$DN$85,(卡牌属性!AG366-2)*20+卡牌属性!AN366)</f>
        <v>70</v>
      </c>
      <c r="BO366" s="14">
        <f t="shared" si="703"/>
        <v>70</v>
      </c>
      <c r="BP366" s="14">
        <f t="shared" si="703"/>
        <v>70</v>
      </c>
      <c r="BQ366" s="14">
        <f t="shared" si="703"/>
        <v>70</v>
      </c>
      <c r="BR366" s="14">
        <f t="shared" si="703"/>
        <v>70</v>
      </c>
      <c r="BW366" s="13">
        <v>362</v>
      </c>
      <c r="BX366" s="13">
        <f t="shared" si="643"/>
        <v>19</v>
      </c>
      <c r="BY366" s="14">
        <f t="shared" si="644"/>
        <v>2</v>
      </c>
      <c r="BZ366" s="14">
        <f t="shared" si="653"/>
        <v>1102019</v>
      </c>
      <c r="CA366" s="14" t="str">
        <f t="shared" si="654"/>
        <v>食火蜥2突</v>
      </c>
      <c r="CB366" s="25" t="s">
        <v>142</v>
      </c>
      <c r="CC366" s="14">
        <v>2</v>
      </c>
      <c r="CD366" s="14">
        <f t="shared" si="645"/>
        <v>2</v>
      </c>
      <c r="CE366" s="14" t="s">
        <v>21</v>
      </c>
      <c r="CF366" s="14">
        <f>INDEX(属性投放!$AZ$6:$AZ$85,(BY366-2)*20+CD366)</f>
        <v>160</v>
      </c>
      <c r="CG366" s="14" t="s">
        <v>22</v>
      </c>
      <c r="CH366" s="14">
        <f>INDEX(属性投放!$BA$6:$BA$85,(BY366-2)*20+CD366)</f>
        <v>33</v>
      </c>
      <c r="CI366" s="14" t="s">
        <v>510</v>
      </c>
      <c r="CJ366" s="14">
        <f>INDEX(属性投放!$BB$6:$BB$85,(BY366-2)*20+CD366)</f>
        <v>660</v>
      </c>
      <c r="CK366" s="14" t="s">
        <v>21</v>
      </c>
      <c r="CL366" s="14">
        <f>INDEX(属性投放!$BC$6:$BC$85,(BY366-2)*20+CD366)</f>
        <v>6</v>
      </c>
      <c r="CM366" s="14" t="s">
        <v>22</v>
      </c>
      <c r="CN366" s="14">
        <f>INDEX(属性投放!$BD$6:$BD$85,(BY366-2)*20+CD366)</f>
        <v>3</v>
      </c>
      <c r="CO366" s="14" t="s">
        <v>510</v>
      </c>
      <c r="CP366" s="14">
        <f>INDEX(属性投放!$BE$6:$BE$85,(BY366-2)*20+CD366)</f>
        <v>36</v>
      </c>
      <c r="CS366" s="13">
        <v>362</v>
      </c>
      <c r="CT366" s="13">
        <f t="shared" si="655"/>
        <v>7</v>
      </c>
      <c r="CU366" s="13">
        <f t="shared" si="656"/>
        <v>50</v>
      </c>
      <c r="CV366" s="14">
        <f t="shared" si="657"/>
        <v>4</v>
      </c>
      <c r="CW366" s="14">
        <f t="shared" si="658"/>
        <v>1102007</v>
      </c>
      <c r="CX366" s="14" t="str">
        <f>INDEX($O$6:$O$50,CT366)&amp;"-"&amp;INDEX(属性投放!$AB$7:$AB$50,CZ366)&amp;"-魂火-"&amp;DB366</f>
        <v>天使缇娜-无间+1-魂火-2</v>
      </c>
      <c r="CY366" s="25" t="s">
        <v>142</v>
      </c>
      <c r="CZ366" s="14">
        <f>INDEX(属性投放!$AM$7:$AM$58,CU366)</f>
        <v>20</v>
      </c>
      <c r="DA366" s="14" t="s">
        <v>537</v>
      </c>
      <c r="DB366" s="14">
        <f>INDEX(属性投放!$AN$7:$AN$58,CU366)</f>
        <v>2</v>
      </c>
      <c r="DC366" s="14">
        <f t="shared" si="646"/>
        <v>50</v>
      </c>
      <c r="DD366" s="14">
        <f>INDEX(属性投放!$AO$7:$AO$58,DC366)</f>
        <v>143</v>
      </c>
      <c r="DE366" s="14" t="s">
        <v>538</v>
      </c>
      <c r="DF366" s="14">
        <f>INDEX(属性投放!$BK$6:$BK$85,(CV366-2)*20+CZ366)</f>
        <v>1000</v>
      </c>
      <c r="DG366" s="14">
        <f>SUMIFS(DF$5:DF366,$CT$5:$CT366,"="&amp;$CT366)</f>
        <v>16335</v>
      </c>
      <c r="DH366" s="14" t="s">
        <v>539</v>
      </c>
      <c r="DI366" s="14">
        <f>INDEX(属性投放!$BL$6:$BL$85,(CV366-2)*20+CZ366)</f>
        <v>500</v>
      </c>
      <c r="DJ366" s="14">
        <f>SUMIFS(DI$5:DI366,$CT$5:$CT366,"="&amp;$CT366)</f>
        <v>8177</v>
      </c>
      <c r="DK366" s="14" t="s">
        <v>540</v>
      </c>
      <c r="DL366" s="14">
        <f>INDEX(属性投放!$BM$6:$BM$85,(CV366-2)*20+CZ366)</f>
        <v>10000</v>
      </c>
      <c r="DM366" s="14">
        <f>SUMIFS(DL$5:DL366,$CT$5:$CT366,"="&amp;$CT366)</f>
        <v>158785</v>
      </c>
      <c r="DR366" s="14">
        <f t="shared" si="647"/>
        <v>1102019</v>
      </c>
      <c r="DS366" s="14" t="str">
        <f t="shared" si="648"/>
        <v>食火蜥2突</v>
      </c>
      <c r="DT366" s="14">
        <f t="shared" si="659"/>
        <v>1</v>
      </c>
      <c r="DU366" s="14">
        <f t="shared" si="660"/>
        <v>6</v>
      </c>
      <c r="DV366" s="14">
        <f t="shared" si="661"/>
        <v>4</v>
      </c>
      <c r="DW366" s="14">
        <f t="shared" si="649"/>
        <v>2</v>
      </c>
      <c r="DX366" s="14">
        <f t="shared" si="650"/>
        <v>2</v>
      </c>
      <c r="DY366" s="14">
        <f t="shared" si="651"/>
        <v>2</v>
      </c>
      <c r="DZ366" s="14">
        <f>INDEX(属性投放!$AX$6:$AX$85,(卡牌属性!DW366-2)*20+卡牌属性!DX366)</f>
        <v>10</v>
      </c>
      <c r="EA366" s="14">
        <f>INDEX(属性投放!BQ$6:BQ$85,卡牌属性!$DY366)</f>
        <v>30</v>
      </c>
      <c r="EB366" s="14">
        <f>INDEX(属性投放!BR$6:BR$85,卡牌属性!$DY366)</f>
        <v>15</v>
      </c>
      <c r="EC366" s="14">
        <f>INDEX(属性投放!BS$6:BS$85,卡牌属性!$DY366)</f>
        <v>180</v>
      </c>
      <c r="ED366" s="14">
        <f t="shared" ref="ED366:ED384" si="704">ED365+$EA365+ES365*$DZ365</f>
        <v>107</v>
      </c>
      <c r="EE366" s="14">
        <f t="shared" ref="EE366:EE384" si="705">EE365+$EA365+ET365*$DZ365</f>
        <v>116</v>
      </c>
      <c r="EF366" s="14">
        <f t="shared" ref="EF366:EF384" si="706">EF365+$EA365+EU365*$DZ365</f>
        <v>145</v>
      </c>
      <c r="EG366" s="14">
        <f t="shared" ref="EG366:EG384" si="707">EG365+$EA365+EV365*$DZ365</f>
        <v>145</v>
      </c>
      <c r="EH366" s="14">
        <f t="shared" ref="EH366:EH384" si="708">EH365+$EA365+EW365*$DZ365</f>
        <v>174</v>
      </c>
      <c r="EI366" s="14">
        <f t="shared" ref="EI366:EI384" si="709">EI365+$EB365+EX365*$DZ365</f>
        <v>73</v>
      </c>
      <c r="EJ366" s="14">
        <f t="shared" ref="EJ366:EJ384" si="710">EJ365+$EB365+EY365*$DZ365</f>
        <v>87</v>
      </c>
      <c r="EK366" s="14">
        <f t="shared" ref="EK366:EK384" si="711">EK365+$EB365+EZ365*$DZ365</f>
        <v>87</v>
      </c>
      <c r="EL366" s="14">
        <f t="shared" ref="EL366:EL384" si="712">EL365+$EB365+FA365*$DZ365</f>
        <v>116</v>
      </c>
      <c r="EM366" s="14">
        <f t="shared" ref="EM366:EM384" si="713">EM365+$EB365+FB365*$DZ365</f>
        <v>145</v>
      </c>
      <c r="EN366" s="14">
        <f t="shared" ref="EN366:EN384" si="714">EN365+$EC365+FC365*$DZ365</f>
        <v>694</v>
      </c>
      <c r="EO366" s="14">
        <f t="shared" ref="EO366:EO384" si="715">EO365+$EC365+FD365*$DZ365</f>
        <v>842</v>
      </c>
      <c r="EP366" s="14">
        <f t="shared" ref="EP366:EP384" si="716">EP365+$EC365+FE365*$DZ365</f>
        <v>842</v>
      </c>
      <c r="EQ366" s="14">
        <f t="shared" ref="EQ366:EQ384" si="717">EQ365+$EC365+FF365*$DZ365</f>
        <v>1040</v>
      </c>
      <c r="ER366" s="14">
        <f t="shared" ref="ER366:ER384" si="718">ER365+$EC365+FG365*$DZ365</f>
        <v>1238</v>
      </c>
      <c r="ES366" s="14">
        <f>INDEX(属性偏向!$S$4:$S$243,(卡牌属性!$DT366-1+ES$3)*20+卡牌属性!$DX366)</f>
        <v>4</v>
      </c>
      <c r="ET366" s="14">
        <f>INDEX(属性偏向!$S$4:$S$243,(卡牌属性!$DT366-1+ET$3)*20+卡牌属性!$DX366)</f>
        <v>5</v>
      </c>
      <c r="EU366" s="14">
        <f>INDEX(属性偏向!$S$4:$S$243,(卡牌属性!$DT366-1+EU$3)*20+卡牌属性!$DX366)</f>
        <v>6</v>
      </c>
      <c r="EV366" s="14">
        <f>INDEX(属性偏向!$S$4:$S$243,(卡牌属性!$DT366-1+EV$3)*20+卡牌属性!$DX366)</f>
        <v>6</v>
      </c>
      <c r="EW366" s="14">
        <f>INDEX(属性偏向!$S$4:$S$243,(卡牌属性!$DT366-1+EW$3)*20+卡牌属性!$DX366)</f>
        <v>8</v>
      </c>
      <c r="EX366" s="14">
        <f>INDEX(属性偏向!$T$4:$T$243,(卡牌属性!$DU366-1+EX$3)*20+卡牌属性!$DX366)</f>
        <v>6</v>
      </c>
      <c r="EY366" s="14">
        <f>INDEX(属性偏向!$T$4:$T$243,(卡牌属性!$DU366-1+EY$3)*20+卡牌属性!$DX366)</f>
        <v>8</v>
      </c>
      <c r="EZ366" s="14">
        <f>INDEX(属性偏向!$T$4:$T$243,(卡牌属性!$DU366-1+EZ$3)*20+卡牌属性!$DX366)</f>
        <v>8</v>
      </c>
      <c r="FA366" s="14">
        <f>INDEX(属性偏向!$T$4:$T$243,(卡牌属性!$DU366-1+FA$3)*20+卡牌属性!$DX366)</f>
        <v>9</v>
      </c>
      <c r="FB366" s="14">
        <f>INDEX(属性偏向!$T$4:$T$243,(卡牌属性!$DU366-1+FB$3)*20+卡牌属性!$DX366)</f>
        <v>10</v>
      </c>
      <c r="FC366" s="14">
        <f>INDEX(属性偏向!$U$4:$U$243,(卡牌属性!$DV366-1+FC$3)*20+卡牌属性!$DX366)</f>
        <v>48</v>
      </c>
      <c r="FD366" s="14">
        <f>INDEX(属性偏向!$U$4:$U$243,(卡牌属性!$DV366-1+FD$3)*20+卡牌属性!$DX366)</f>
        <v>60</v>
      </c>
      <c r="FE366" s="14">
        <f>INDEX(属性偏向!$U$4:$U$243,(卡牌属性!$DV366-1+FE$3)*20+卡牌属性!$DX366)</f>
        <v>60</v>
      </c>
      <c r="FF366" s="14">
        <f>INDEX(属性偏向!$U$4:$U$243,(卡牌属性!$DV366-1+FF$3)*20+卡牌属性!$DX366)</f>
        <v>72</v>
      </c>
      <c r="FG366" s="14">
        <f>INDEX(属性偏向!$U$4:$U$243,(卡牌属性!$DV366-1+FG$3)*20+卡牌属性!$DX366)</f>
        <v>90</v>
      </c>
      <c r="FH366" s="14">
        <f>INDEX(属性投放!$BQ$6:$BQ$85,(卡牌属性!$DW366-2)*20+卡牌属性!$DX366)</f>
        <v>30</v>
      </c>
      <c r="FI366" s="14">
        <f>INDEX(属性投放!$BQ$6:$BQ$85,(卡牌属性!$DW366-2)*20+卡牌属性!$DX366)</f>
        <v>30</v>
      </c>
      <c r="FJ366" s="14">
        <f>INDEX(属性投放!$BQ$6:$BQ$85,(卡牌属性!$DW366-2)*20+卡牌属性!$DX366)</f>
        <v>30</v>
      </c>
      <c r="FK366" s="14">
        <f>INDEX(属性投放!$BQ$6:$BQ$85,(卡牌属性!$DW366-2)*20+卡牌属性!$DX366)</f>
        <v>30</v>
      </c>
      <c r="FL366" s="14">
        <f>INDEX(属性投放!$BQ$6:$BQ$85,(卡牌属性!$DW366-2)*20+卡牌属性!$DX366)</f>
        <v>30</v>
      </c>
      <c r="FM366" s="14">
        <f>INDEX(属性投放!$BR$6:$BR$85,(卡牌属性!$DW366-2)*20+卡牌属性!$DX366)</f>
        <v>15</v>
      </c>
      <c r="FN366" s="14">
        <f>INDEX(属性投放!$BR$6:$BR$85,(卡牌属性!$DW366-2)*20+卡牌属性!$DX366)</f>
        <v>15</v>
      </c>
      <c r="FO366" s="14">
        <f>INDEX(属性投放!$BR$6:$BR$85,(卡牌属性!$DW366-2)*20+卡牌属性!$DX366)</f>
        <v>15</v>
      </c>
      <c r="FP366" s="14">
        <f>INDEX(属性投放!$BR$6:$BR$85,(卡牌属性!$DW366-2)*20+卡牌属性!$DX366)</f>
        <v>15</v>
      </c>
      <c r="FQ366" s="14">
        <f>INDEX(属性投放!$BR$6:$BR$85,(卡牌属性!$DW366-2)*20+卡牌属性!$DX366)</f>
        <v>15</v>
      </c>
      <c r="FR366" s="14">
        <f>INDEX(属性投放!$BS$6:$BS$85,(卡牌属性!$DW366-2)*20+卡牌属性!$DX366)</f>
        <v>180</v>
      </c>
      <c r="FS366" s="14">
        <f>INDEX(属性投放!$BS$6:$BS$85,(卡牌属性!$DW366-2)*20+卡牌属性!$DX366)</f>
        <v>180</v>
      </c>
      <c r="FT366" s="14">
        <f>INDEX(属性投放!$BS$6:$BS$85,(卡牌属性!$DW366-2)*20+卡牌属性!$DX366)</f>
        <v>180</v>
      </c>
      <c r="FU366" s="14">
        <f>INDEX(属性投放!$BS$6:$BS$85,(卡牌属性!$DW366-2)*20+卡牌属性!$DX366)</f>
        <v>180</v>
      </c>
      <c r="FV366" s="14">
        <f>INDEX(属性投放!$BS$6:$BS$85,(卡牌属性!$DW366-2)*20+卡牌属性!$DX366)</f>
        <v>180</v>
      </c>
    </row>
    <row r="367" spans="31:178" ht="16.5" x14ac:dyDescent="0.2">
      <c r="AE367" s="13">
        <v>363</v>
      </c>
      <c r="AF367" s="13">
        <f t="shared" si="652"/>
        <v>19</v>
      </c>
      <c r="AG367" s="13">
        <f t="shared" si="633"/>
        <v>2</v>
      </c>
      <c r="AH367" s="13"/>
      <c r="AI367" s="13"/>
      <c r="AJ367" s="14">
        <f t="shared" si="634"/>
        <v>1101022</v>
      </c>
      <c r="AK367" s="14" t="str">
        <f t="shared" si="635"/>
        <v>幻3突</v>
      </c>
      <c r="AL367" s="25" t="s">
        <v>142</v>
      </c>
      <c r="AM367" s="14">
        <v>1</v>
      </c>
      <c r="AN367" s="14">
        <f t="shared" si="636"/>
        <v>3</v>
      </c>
      <c r="AO367" s="14">
        <f>INDEX(属性投放!$DF$6:$DF$85,(卡牌属性!AG367-2)*20+卡牌属性!AN367)</f>
        <v>189</v>
      </c>
      <c r="AP367" s="14">
        <f t="shared" si="698"/>
        <v>189</v>
      </c>
      <c r="AQ367" s="14">
        <f t="shared" si="698"/>
        <v>189</v>
      </c>
      <c r="AR367" s="14">
        <f t="shared" si="698"/>
        <v>189</v>
      </c>
      <c r="AS367" s="14">
        <f t="shared" si="698"/>
        <v>189</v>
      </c>
      <c r="AT367" s="14">
        <f>INDEX(属性投放!$DG$6:$DG$85,(卡牌属性!AG367-2)*20+卡牌属性!AN367)</f>
        <v>45</v>
      </c>
      <c r="AU367" s="14">
        <f t="shared" si="699"/>
        <v>45</v>
      </c>
      <c r="AV367" s="14">
        <f t="shared" si="699"/>
        <v>45</v>
      </c>
      <c r="AW367" s="14">
        <f t="shared" si="699"/>
        <v>45</v>
      </c>
      <c r="AX367" s="14">
        <f t="shared" si="699"/>
        <v>45</v>
      </c>
      <c r="AY367" s="14">
        <f>INDEX(属性投放!$DH$6:$DH$85,(卡牌属性!AG367-2)*20+卡牌属性!AN367)</f>
        <v>784</v>
      </c>
      <c r="AZ367" s="14">
        <f t="shared" si="700"/>
        <v>784</v>
      </c>
      <c r="BA367" s="14">
        <f t="shared" si="700"/>
        <v>784</v>
      </c>
      <c r="BB367" s="14">
        <f t="shared" si="700"/>
        <v>784</v>
      </c>
      <c r="BC367" s="14">
        <f t="shared" si="700"/>
        <v>784</v>
      </c>
      <c r="BD367" s="14">
        <f>INDEX(属性投放!$DL$6:$DL$85,(卡牌属性!AG367-2)*20+卡牌属性!AN367)</f>
        <v>12</v>
      </c>
      <c r="BE367" s="14">
        <f t="shared" si="701"/>
        <v>12</v>
      </c>
      <c r="BF367" s="14">
        <f t="shared" si="701"/>
        <v>12</v>
      </c>
      <c r="BG367" s="14">
        <f t="shared" si="701"/>
        <v>12</v>
      </c>
      <c r="BH367" s="14">
        <f t="shared" si="701"/>
        <v>12</v>
      </c>
      <c r="BI367" s="14">
        <f>INDEX(属性投放!$DM$6:$DM$85,(卡牌属性!AG367-2)*20+卡牌属性!AN367)</f>
        <v>6</v>
      </c>
      <c r="BJ367" s="14">
        <f t="shared" si="702"/>
        <v>6</v>
      </c>
      <c r="BK367" s="14">
        <f t="shared" si="702"/>
        <v>6</v>
      </c>
      <c r="BL367" s="14">
        <f t="shared" si="702"/>
        <v>6</v>
      </c>
      <c r="BM367" s="14">
        <f t="shared" si="702"/>
        <v>6</v>
      </c>
      <c r="BN367" s="14">
        <f>INDEX(属性投放!$DN$6:$DN$85,(卡牌属性!AG367-2)*20+卡牌属性!AN367)</f>
        <v>70</v>
      </c>
      <c r="BO367" s="14">
        <f t="shared" si="703"/>
        <v>70</v>
      </c>
      <c r="BP367" s="14">
        <f t="shared" si="703"/>
        <v>70</v>
      </c>
      <c r="BQ367" s="14">
        <f t="shared" si="703"/>
        <v>70</v>
      </c>
      <c r="BR367" s="14">
        <f t="shared" si="703"/>
        <v>70</v>
      </c>
      <c r="BW367" s="13">
        <v>363</v>
      </c>
      <c r="BX367" s="13">
        <f t="shared" si="643"/>
        <v>19</v>
      </c>
      <c r="BY367" s="14">
        <f t="shared" si="644"/>
        <v>2</v>
      </c>
      <c r="BZ367" s="14">
        <f t="shared" si="653"/>
        <v>1102019</v>
      </c>
      <c r="CA367" s="14" t="str">
        <f t="shared" si="654"/>
        <v>食火蜥3突</v>
      </c>
      <c r="CB367" s="25" t="s">
        <v>142</v>
      </c>
      <c r="CC367" s="14">
        <v>2</v>
      </c>
      <c r="CD367" s="14">
        <f t="shared" si="645"/>
        <v>3</v>
      </c>
      <c r="CE367" s="14" t="s">
        <v>21</v>
      </c>
      <c r="CF367" s="14">
        <f>INDEX(属性投放!$AZ$6:$AZ$85,(BY367-2)*20+CD367)</f>
        <v>290</v>
      </c>
      <c r="CG367" s="14" t="s">
        <v>22</v>
      </c>
      <c r="CH367" s="14">
        <f>INDEX(属性投放!$BA$6:$BA$85,(BY367-2)*20+CD367)</f>
        <v>98</v>
      </c>
      <c r="CI367" s="14" t="s">
        <v>510</v>
      </c>
      <c r="CJ367" s="14">
        <f>INDEX(属性投放!$BB$6:$BB$85,(BY367-2)*20+CD367)</f>
        <v>1440</v>
      </c>
      <c r="CK367" s="14" t="s">
        <v>21</v>
      </c>
      <c r="CL367" s="14">
        <f>INDEX(属性投放!$BC$6:$BC$85,(BY367-2)*20+CD367)</f>
        <v>6</v>
      </c>
      <c r="CM367" s="14" t="s">
        <v>22</v>
      </c>
      <c r="CN367" s="14">
        <f>INDEX(属性投放!$BD$6:$BD$85,(BY367-2)*20+CD367)</f>
        <v>3</v>
      </c>
      <c r="CO367" s="14" t="s">
        <v>510</v>
      </c>
      <c r="CP367" s="14">
        <f>INDEX(属性投放!$BE$6:$BE$85,(BY367-2)*20+CD367)</f>
        <v>36</v>
      </c>
      <c r="CS367" s="13">
        <v>363</v>
      </c>
      <c r="CT367" s="13">
        <f t="shared" si="655"/>
        <v>7</v>
      </c>
      <c r="CU367" s="13">
        <f t="shared" si="656"/>
        <v>51</v>
      </c>
      <c r="CV367" s="14">
        <f t="shared" si="657"/>
        <v>4</v>
      </c>
      <c r="CW367" s="14">
        <f t="shared" si="658"/>
        <v>1102007</v>
      </c>
      <c r="CX367" s="14" t="str">
        <f>INDEX($O$6:$O$50,CT367)&amp;"-"&amp;INDEX(属性投放!$AB$7:$AB$50,CZ367)&amp;"-魂火-"&amp;DB367</f>
        <v>天使缇娜-无间+1-魂火-3</v>
      </c>
      <c r="CY367" s="25" t="s">
        <v>142</v>
      </c>
      <c r="CZ367" s="14">
        <f>INDEX(属性投放!$AM$7:$AM$58,CU367)</f>
        <v>20</v>
      </c>
      <c r="DA367" s="14" t="s">
        <v>537</v>
      </c>
      <c r="DB367" s="14">
        <f>INDEX(属性投放!$AN$7:$AN$58,CU367)</f>
        <v>3</v>
      </c>
      <c r="DC367" s="14">
        <f t="shared" si="646"/>
        <v>51</v>
      </c>
      <c r="DD367" s="14">
        <f>INDEX(属性投放!$AO$7:$AO$58,DC367)</f>
        <v>145</v>
      </c>
      <c r="DE367" s="14" t="s">
        <v>538</v>
      </c>
      <c r="DF367" s="14">
        <f>INDEX(属性投放!$BK$6:$BK$85,(CV367-2)*20+CZ367)</f>
        <v>1000</v>
      </c>
      <c r="DG367" s="14">
        <f>SUMIFS(DF$5:DF367,$CT$5:$CT367,"="&amp;$CT367)</f>
        <v>17335</v>
      </c>
      <c r="DH367" s="14" t="s">
        <v>539</v>
      </c>
      <c r="DI367" s="14">
        <f>INDEX(属性投放!$BL$6:$BL$85,(CV367-2)*20+CZ367)</f>
        <v>500</v>
      </c>
      <c r="DJ367" s="14">
        <f>SUMIFS(DI$5:DI367,$CT$5:$CT367,"="&amp;$CT367)</f>
        <v>8677</v>
      </c>
      <c r="DK367" s="14" t="s">
        <v>540</v>
      </c>
      <c r="DL367" s="14">
        <f>INDEX(属性投放!$BM$6:$BM$85,(CV367-2)*20+CZ367)</f>
        <v>10000</v>
      </c>
      <c r="DM367" s="14">
        <f>SUMIFS(DL$5:DL367,$CT$5:$CT367,"="&amp;$CT367)</f>
        <v>168785</v>
      </c>
      <c r="DR367" s="14">
        <f t="shared" si="647"/>
        <v>1102019</v>
      </c>
      <c r="DS367" s="14" t="str">
        <f t="shared" si="648"/>
        <v>食火蜥3突</v>
      </c>
      <c r="DT367" s="14">
        <f t="shared" si="659"/>
        <v>1</v>
      </c>
      <c r="DU367" s="14">
        <f t="shared" si="660"/>
        <v>6</v>
      </c>
      <c r="DV367" s="14">
        <f t="shared" si="661"/>
        <v>4</v>
      </c>
      <c r="DW367" s="14">
        <f t="shared" si="649"/>
        <v>2</v>
      </c>
      <c r="DX367" s="14">
        <f t="shared" si="650"/>
        <v>3</v>
      </c>
      <c r="DY367" s="14">
        <f t="shared" si="651"/>
        <v>3</v>
      </c>
      <c r="DZ367" s="14">
        <f>INDEX(属性投放!$AX$6:$AX$85,(卡牌属性!DW367-2)*20+卡牌属性!DX367)</f>
        <v>10</v>
      </c>
      <c r="EA367" s="14">
        <f>INDEX(属性投放!BQ$6:BQ$85,卡牌属性!$DY367)</f>
        <v>50</v>
      </c>
      <c r="EB367" s="14">
        <f>INDEX(属性投放!BR$6:BR$85,卡牌属性!$DY367)</f>
        <v>25</v>
      </c>
      <c r="EC367" s="14">
        <f>INDEX(属性投放!BS$6:BS$85,卡牌属性!$DY367)</f>
        <v>300</v>
      </c>
      <c r="ED367" s="14">
        <f t="shared" si="704"/>
        <v>177</v>
      </c>
      <c r="EE367" s="14">
        <f t="shared" si="705"/>
        <v>196</v>
      </c>
      <c r="EF367" s="14">
        <f t="shared" si="706"/>
        <v>235</v>
      </c>
      <c r="EG367" s="14">
        <f t="shared" si="707"/>
        <v>235</v>
      </c>
      <c r="EH367" s="14">
        <f t="shared" si="708"/>
        <v>284</v>
      </c>
      <c r="EI367" s="14">
        <f t="shared" si="709"/>
        <v>148</v>
      </c>
      <c r="EJ367" s="14">
        <f t="shared" si="710"/>
        <v>182</v>
      </c>
      <c r="EK367" s="14">
        <f t="shared" si="711"/>
        <v>182</v>
      </c>
      <c r="EL367" s="14">
        <f t="shared" si="712"/>
        <v>221</v>
      </c>
      <c r="EM367" s="14">
        <f t="shared" si="713"/>
        <v>260</v>
      </c>
      <c r="EN367" s="14">
        <f t="shared" si="714"/>
        <v>1354</v>
      </c>
      <c r="EO367" s="14">
        <f t="shared" si="715"/>
        <v>1622</v>
      </c>
      <c r="EP367" s="14">
        <f t="shared" si="716"/>
        <v>1622</v>
      </c>
      <c r="EQ367" s="14">
        <f t="shared" si="717"/>
        <v>1940</v>
      </c>
      <c r="ER367" s="14">
        <f t="shared" si="718"/>
        <v>2318</v>
      </c>
      <c r="ES367" s="14">
        <f>INDEX(属性偏向!$S$4:$S$243,(卡牌属性!$DT367-1+ES$3)*20+卡牌属性!$DX367)</f>
        <v>4</v>
      </c>
      <c r="ET367" s="14">
        <f>INDEX(属性偏向!$S$4:$S$243,(卡牌属性!$DT367-1+ET$3)*20+卡牌属性!$DX367)</f>
        <v>5</v>
      </c>
      <c r="EU367" s="14">
        <f>INDEX(属性偏向!$S$4:$S$243,(卡牌属性!$DT367-1+EU$3)*20+卡牌属性!$DX367)</f>
        <v>6</v>
      </c>
      <c r="EV367" s="14">
        <f>INDEX(属性偏向!$S$4:$S$243,(卡牌属性!$DT367-1+EV$3)*20+卡牌属性!$DX367)</f>
        <v>6</v>
      </c>
      <c r="EW367" s="14">
        <f>INDEX(属性偏向!$S$4:$S$243,(卡牌属性!$DT367-1+EW$3)*20+卡牌属性!$DX367)</f>
        <v>8</v>
      </c>
      <c r="EX367" s="14">
        <f>INDEX(属性偏向!$T$4:$T$243,(卡牌属性!$DU367-1+EX$3)*20+卡牌属性!$DX367)</f>
        <v>6</v>
      </c>
      <c r="EY367" s="14">
        <f>INDEX(属性偏向!$T$4:$T$243,(卡牌属性!$DU367-1+EY$3)*20+卡牌属性!$DX367)</f>
        <v>8</v>
      </c>
      <c r="EZ367" s="14">
        <f>INDEX(属性偏向!$T$4:$T$243,(卡牌属性!$DU367-1+EZ$3)*20+卡牌属性!$DX367)</f>
        <v>8</v>
      </c>
      <c r="FA367" s="14">
        <f>INDEX(属性偏向!$T$4:$T$243,(卡牌属性!$DU367-1+FA$3)*20+卡牌属性!$DX367)</f>
        <v>9</v>
      </c>
      <c r="FB367" s="14">
        <f>INDEX(属性偏向!$T$4:$T$243,(卡牌属性!$DU367-1+FB$3)*20+卡牌属性!$DX367)</f>
        <v>10</v>
      </c>
      <c r="FC367" s="14">
        <f>INDEX(属性偏向!$U$4:$U$243,(卡牌属性!$DV367-1+FC$3)*20+卡牌属性!$DX367)</f>
        <v>48</v>
      </c>
      <c r="FD367" s="14">
        <f>INDEX(属性偏向!$U$4:$U$243,(卡牌属性!$DV367-1+FD$3)*20+卡牌属性!$DX367)</f>
        <v>60</v>
      </c>
      <c r="FE367" s="14">
        <f>INDEX(属性偏向!$U$4:$U$243,(卡牌属性!$DV367-1+FE$3)*20+卡牌属性!$DX367)</f>
        <v>60</v>
      </c>
      <c r="FF367" s="14">
        <f>INDEX(属性偏向!$U$4:$U$243,(卡牌属性!$DV367-1+FF$3)*20+卡牌属性!$DX367)</f>
        <v>72</v>
      </c>
      <c r="FG367" s="14">
        <f>INDEX(属性偏向!$U$4:$U$243,(卡牌属性!$DV367-1+FG$3)*20+卡牌属性!$DX367)</f>
        <v>90</v>
      </c>
      <c r="FH367" s="14">
        <f>INDEX(属性投放!$BQ$6:$BQ$85,(卡牌属性!$DW367-2)*20+卡牌属性!$DX367)</f>
        <v>50</v>
      </c>
      <c r="FI367" s="14">
        <f>INDEX(属性投放!$BQ$6:$BQ$85,(卡牌属性!$DW367-2)*20+卡牌属性!$DX367)</f>
        <v>50</v>
      </c>
      <c r="FJ367" s="14">
        <f>INDEX(属性投放!$BQ$6:$BQ$85,(卡牌属性!$DW367-2)*20+卡牌属性!$DX367)</f>
        <v>50</v>
      </c>
      <c r="FK367" s="14">
        <f>INDEX(属性投放!$BQ$6:$BQ$85,(卡牌属性!$DW367-2)*20+卡牌属性!$DX367)</f>
        <v>50</v>
      </c>
      <c r="FL367" s="14">
        <f>INDEX(属性投放!$BQ$6:$BQ$85,(卡牌属性!$DW367-2)*20+卡牌属性!$DX367)</f>
        <v>50</v>
      </c>
      <c r="FM367" s="14">
        <f>INDEX(属性投放!$BR$6:$BR$85,(卡牌属性!$DW367-2)*20+卡牌属性!$DX367)</f>
        <v>25</v>
      </c>
      <c r="FN367" s="14">
        <f>INDEX(属性投放!$BR$6:$BR$85,(卡牌属性!$DW367-2)*20+卡牌属性!$DX367)</f>
        <v>25</v>
      </c>
      <c r="FO367" s="14">
        <f>INDEX(属性投放!$BR$6:$BR$85,(卡牌属性!$DW367-2)*20+卡牌属性!$DX367)</f>
        <v>25</v>
      </c>
      <c r="FP367" s="14">
        <f>INDEX(属性投放!$BR$6:$BR$85,(卡牌属性!$DW367-2)*20+卡牌属性!$DX367)</f>
        <v>25</v>
      </c>
      <c r="FQ367" s="14">
        <f>INDEX(属性投放!$BR$6:$BR$85,(卡牌属性!$DW367-2)*20+卡牌属性!$DX367)</f>
        <v>25</v>
      </c>
      <c r="FR367" s="14">
        <f>INDEX(属性投放!$BS$6:$BS$85,(卡牌属性!$DW367-2)*20+卡牌属性!$DX367)</f>
        <v>300</v>
      </c>
      <c r="FS367" s="14">
        <f>INDEX(属性投放!$BS$6:$BS$85,(卡牌属性!$DW367-2)*20+卡牌属性!$DX367)</f>
        <v>300</v>
      </c>
      <c r="FT367" s="14">
        <f>INDEX(属性投放!$BS$6:$BS$85,(卡牌属性!$DW367-2)*20+卡牌属性!$DX367)</f>
        <v>300</v>
      </c>
      <c r="FU367" s="14">
        <f>INDEX(属性投放!$BS$6:$BS$85,(卡牌属性!$DW367-2)*20+卡牌属性!$DX367)</f>
        <v>300</v>
      </c>
      <c r="FV367" s="14">
        <f>INDEX(属性投放!$BS$6:$BS$85,(卡牌属性!$DW367-2)*20+卡牌属性!$DX367)</f>
        <v>300</v>
      </c>
    </row>
    <row r="368" spans="31:178" ht="16.5" x14ac:dyDescent="0.2">
      <c r="AE368" s="13">
        <v>364</v>
      </c>
      <c r="AF368" s="13">
        <f t="shared" si="652"/>
        <v>19</v>
      </c>
      <c r="AG368" s="13">
        <f t="shared" si="633"/>
        <v>2</v>
      </c>
      <c r="AH368" s="13"/>
      <c r="AI368" s="13"/>
      <c r="AJ368" s="14">
        <f t="shared" si="634"/>
        <v>1101022</v>
      </c>
      <c r="AK368" s="14" t="str">
        <f t="shared" si="635"/>
        <v>幻4突</v>
      </c>
      <c r="AL368" s="25" t="s">
        <v>142</v>
      </c>
      <c r="AM368" s="14">
        <v>1</v>
      </c>
      <c r="AN368" s="14">
        <f t="shared" si="636"/>
        <v>4</v>
      </c>
      <c r="AO368" s="14">
        <f>INDEX(属性投放!$DF$6:$DF$85,(卡牌属性!AG368-2)*20+卡牌属性!AN368)</f>
        <v>338</v>
      </c>
      <c r="AP368" s="14">
        <f t="shared" si="698"/>
        <v>338</v>
      </c>
      <c r="AQ368" s="14">
        <f t="shared" si="698"/>
        <v>338</v>
      </c>
      <c r="AR368" s="14">
        <f t="shared" si="698"/>
        <v>338</v>
      </c>
      <c r="AS368" s="14">
        <f t="shared" si="698"/>
        <v>338</v>
      </c>
      <c r="AT368" s="14">
        <f>INDEX(属性投放!$DG$6:$DG$85,(卡牌属性!AG368-2)*20+卡牌属性!AN368)</f>
        <v>120</v>
      </c>
      <c r="AU368" s="14">
        <f t="shared" si="699"/>
        <v>120</v>
      </c>
      <c r="AV368" s="14">
        <f t="shared" si="699"/>
        <v>120</v>
      </c>
      <c r="AW368" s="14">
        <f t="shared" si="699"/>
        <v>120</v>
      </c>
      <c r="AX368" s="14">
        <f t="shared" si="699"/>
        <v>120</v>
      </c>
      <c r="AY368" s="14">
        <f>INDEX(属性投放!$DH$6:$DH$85,(卡牌属性!AG368-2)*20+卡牌属性!AN368)</f>
        <v>1658</v>
      </c>
      <c r="AZ368" s="14">
        <f t="shared" si="700"/>
        <v>1658</v>
      </c>
      <c r="BA368" s="14">
        <f t="shared" si="700"/>
        <v>1658</v>
      </c>
      <c r="BB368" s="14">
        <f t="shared" si="700"/>
        <v>1658</v>
      </c>
      <c r="BC368" s="14">
        <f t="shared" si="700"/>
        <v>1658</v>
      </c>
      <c r="BD368" s="14">
        <f>INDEX(属性投放!$DL$6:$DL$85,(卡牌属性!AG368-2)*20+卡牌属性!AN368)</f>
        <v>22</v>
      </c>
      <c r="BE368" s="14">
        <f t="shared" si="701"/>
        <v>22</v>
      </c>
      <c r="BF368" s="14">
        <f t="shared" si="701"/>
        <v>22</v>
      </c>
      <c r="BG368" s="14">
        <f t="shared" si="701"/>
        <v>22</v>
      </c>
      <c r="BH368" s="14">
        <f t="shared" si="701"/>
        <v>22</v>
      </c>
      <c r="BI368" s="14">
        <f>INDEX(属性投放!$DM$6:$DM$85,(卡牌属性!AG368-2)*20+卡牌属性!AN368)</f>
        <v>11</v>
      </c>
      <c r="BJ368" s="14">
        <f t="shared" si="702"/>
        <v>11</v>
      </c>
      <c r="BK368" s="14">
        <f t="shared" si="702"/>
        <v>11</v>
      </c>
      <c r="BL368" s="14">
        <f t="shared" si="702"/>
        <v>11</v>
      </c>
      <c r="BM368" s="14">
        <f t="shared" si="702"/>
        <v>11</v>
      </c>
      <c r="BN368" s="14">
        <f>INDEX(属性投放!$DN$6:$DN$85,(卡牌属性!AG368-2)*20+卡牌属性!AN368)</f>
        <v>153</v>
      </c>
      <c r="BO368" s="14">
        <f t="shared" si="703"/>
        <v>153</v>
      </c>
      <c r="BP368" s="14">
        <f t="shared" si="703"/>
        <v>153</v>
      </c>
      <c r="BQ368" s="14">
        <f t="shared" si="703"/>
        <v>153</v>
      </c>
      <c r="BR368" s="14">
        <f t="shared" si="703"/>
        <v>153</v>
      </c>
      <c r="BW368" s="13">
        <v>364</v>
      </c>
      <c r="BX368" s="13">
        <f t="shared" si="643"/>
        <v>19</v>
      </c>
      <c r="BY368" s="14">
        <f t="shared" si="644"/>
        <v>2</v>
      </c>
      <c r="BZ368" s="14">
        <f t="shared" si="653"/>
        <v>1102019</v>
      </c>
      <c r="CA368" s="14" t="str">
        <f t="shared" si="654"/>
        <v>食火蜥4突</v>
      </c>
      <c r="CB368" s="25" t="s">
        <v>142</v>
      </c>
      <c r="CC368" s="14">
        <v>2</v>
      </c>
      <c r="CD368" s="14">
        <f t="shared" si="645"/>
        <v>4</v>
      </c>
      <c r="CE368" s="14" t="s">
        <v>21</v>
      </c>
      <c r="CF368" s="14">
        <f>INDEX(属性投放!$AZ$6:$AZ$85,(BY368-2)*20+CD368)</f>
        <v>450</v>
      </c>
      <c r="CG368" s="14" t="s">
        <v>22</v>
      </c>
      <c r="CH368" s="14">
        <f>INDEX(属性投放!$BA$6:$BA$85,(BY368-2)*20+CD368)</f>
        <v>179</v>
      </c>
      <c r="CI368" s="14" t="s">
        <v>510</v>
      </c>
      <c r="CJ368" s="14">
        <f>INDEX(属性投放!$BB$6:$BB$85,(BY368-2)*20+CD368)</f>
        <v>2400</v>
      </c>
      <c r="CK368" s="14" t="s">
        <v>21</v>
      </c>
      <c r="CL368" s="14">
        <f>INDEX(属性投放!$BC$6:$BC$85,(BY368-2)*20+CD368)</f>
        <v>8</v>
      </c>
      <c r="CM368" s="14" t="s">
        <v>22</v>
      </c>
      <c r="CN368" s="14">
        <f>INDEX(属性投放!$BD$6:$BD$85,(BY368-2)*20+CD368)</f>
        <v>4</v>
      </c>
      <c r="CO368" s="14" t="s">
        <v>510</v>
      </c>
      <c r="CP368" s="14">
        <f>INDEX(属性投放!$BE$6:$BE$85,(BY368-2)*20+CD368)</f>
        <v>56</v>
      </c>
      <c r="CS368" s="13">
        <v>364</v>
      </c>
      <c r="CT368" s="13">
        <f t="shared" si="655"/>
        <v>7</v>
      </c>
      <c r="CU368" s="13">
        <f t="shared" si="656"/>
        <v>52</v>
      </c>
      <c r="CV368" s="14">
        <f t="shared" si="657"/>
        <v>4</v>
      </c>
      <c r="CW368" s="14">
        <f t="shared" si="658"/>
        <v>1102007</v>
      </c>
      <c r="CX368" s="14" t="str">
        <f>INDEX($O$6:$O$50,CT368)&amp;"-"&amp;INDEX(属性投放!$AB$7:$AB$50,CZ368)&amp;"-魂火-"&amp;DB368</f>
        <v>天使缇娜-无间+1-魂火-4</v>
      </c>
      <c r="CY368" s="25" t="s">
        <v>142</v>
      </c>
      <c r="CZ368" s="14">
        <f>INDEX(属性投放!$AM$7:$AM$58,CU368)</f>
        <v>20</v>
      </c>
      <c r="DA368" s="14" t="s">
        <v>537</v>
      </c>
      <c r="DB368" s="14">
        <f>INDEX(属性投放!$AN$7:$AN$58,CU368)</f>
        <v>4</v>
      </c>
      <c r="DC368" s="14">
        <f t="shared" si="646"/>
        <v>52</v>
      </c>
      <c r="DD368" s="14">
        <f>INDEX(属性投放!$AO$7:$AO$58,DC368)</f>
        <v>148</v>
      </c>
      <c r="DE368" s="14" t="s">
        <v>538</v>
      </c>
      <c r="DF368" s="14">
        <f>INDEX(属性投放!$BK$6:$BK$85,(CV368-2)*20+CZ368)</f>
        <v>1000</v>
      </c>
      <c r="DG368" s="14">
        <f>SUMIFS(DF$5:DF368,$CT$5:$CT368,"="&amp;$CT368)</f>
        <v>18335</v>
      </c>
      <c r="DH368" s="14" t="s">
        <v>539</v>
      </c>
      <c r="DI368" s="14">
        <f>INDEX(属性投放!$BL$6:$BL$85,(CV368-2)*20+CZ368)</f>
        <v>500</v>
      </c>
      <c r="DJ368" s="14">
        <f>SUMIFS(DI$5:DI368,$CT$5:$CT368,"="&amp;$CT368)</f>
        <v>9177</v>
      </c>
      <c r="DK368" s="14" t="s">
        <v>540</v>
      </c>
      <c r="DL368" s="14">
        <f>INDEX(属性投放!$BM$6:$BM$85,(CV368-2)*20+CZ368)</f>
        <v>10000</v>
      </c>
      <c r="DM368" s="14">
        <f>SUMIFS(DL$5:DL368,$CT$5:$CT368,"="&amp;$CT368)</f>
        <v>178785</v>
      </c>
      <c r="DR368" s="14">
        <f t="shared" si="647"/>
        <v>1102019</v>
      </c>
      <c r="DS368" s="14" t="str">
        <f t="shared" si="648"/>
        <v>食火蜥4突</v>
      </c>
      <c r="DT368" s="14">
        <f t="shared" si="659"/>
        <v>1</v>
      </c>
      <c r="DU368" s="14">
        <f t="shared" si="660"/>
        <v>6</v>
      </c>
      <c r="DV368" s="14">
        <f t="shared" si="661"/>
        <v>4</v>
      </c>
      <c r="DW368" s="14">
        <f t="shared" si="649"/>
        <v>2</v>
      </c>
      <c r="DX368" s="14">
        <f t="shared" si="650"/>
        <v>4</v>
      </c>
      <c r="DY368" s="14">
        <f t="shared" si="651"/>
        <v>4</v>
      </c>
      <c r="DZ368" s="14">
        <f>INDEX(属性投放!$AX$6:$AX$85,(卡牌属性!DW368-2)*20+卡牌属性!DX368)</f>
        <v>10</v>
      </c>
      <c r="EA368" s="14">
        <f>INDEX(属性投放!BQ$6:BQ$85,卡牌属性!$DY368)</f>
        <v>60</v>
      </c>
      <c r="EB368" s="14">
        <f>INDEX(属性投放!BR$6:BR$85,卡牌属性!$DY368)</f>
        <v>30</v>
      </c>
      <c r="EC368" s="14">
        <f>INDEX(属性投放!BS$6:BS$85,卡牌属性!$DY368)</f>
        <v>420</v>
      </c>
      <c r="ED368" s="14">
        <f t="shared" si="704"/>
        <v>267</v>
      </c>
      <c r="EE368" s="14">
        <f t="shared" si="705"/>
        <v>296</v>
      </c>
      <c r="EF368" s="14">
        <f t="shared" si="706"/>
        <v>345</v>
      </c>
      <c r="EG368" s="14">
        <f t="shared" si="707"/>
        <v>345</v>
      </c>
      <c r="EH368" s="14">
        <f t="shared" si="708"/>
        <v>414</v>
      </c>
      <c r="EI368" s="14">
        <f t="shared" si="709"/>
        <v>233</v>
      </c>
      <c r="EJ368" s="14">
        <f t="shared" si="710"/>
        <v>287</v>
      </c>
      <c r="EK368" s="14">
        <f t="shared" si="711"/>
        <v>287</v>
      </c>
      <c r="EL368" s="14">
        <f t="shared" si="712"/>
        <v>336</v>
      </c>
      <c r="EM368" s="14">
        <f t="shared" si="713"/>
        <v>385</v>
      </c>
      <c r="EN368" s="14">
        <f t="shared" si="714"/>
        <v>2134</v>
      </c>
      <c r="EO368" s="14">
        <f t="shared" si="715"/>
        <v>2522</v>
      </c>
      <c r="EP368" s="14">
        <f t="shared" si="716"/>
        <v>2522</v>
      </c>
      <c r="EQ368" s="14">
        <f t="shared" si="717"/>
        <v>2960</v>
      </c>
      <c r="ER368" s="14">
        <f t="shared" si="718"/>
        <v>3518</v>
      </c>
      <c r="ES368" s="14">
        <f>INDEX(属性偏向!$S$4:$S$243,(卡牌属性!$DT368-1+ES$3)*20+卡牌属性!$DX368)</f>
        <v>5</v>
      </c>
      <c r="ET368" s="14">
        <f>INDEX(属性偏向!$S$4:$S$243,(卡牌属性!$DT368-1+ET$3)*20+卡牌属性!$DX368)</f>
        <v>6</v>
      </c>
      <c r="EU368" s="14">
        <f>INDEX(属性偏向!$S$4:$S$243,(卡牌属性!$DT368-1+EU$3)*20+卡牌属性!$DX368)</f>
        <v>8</v>
      </c>
      <c r="EV368" s="14">
        <f>INDEX(属性偏向!$S$4:$S$243,(卡牌属性!$DT368-1+EV$3)*20+卡牌属性!$DX368)</f>
        <v>8</v>
      </c>
      <c r="EW368" s="14">
        <f>INDEX(属性偏向!$S$4:$S$243,(卡牌属性!$DT368-1+EW$3)*20+卡牌属性!$DX368)</f>
        <v>10</v>
      </c>
      <c r="EX368" s="14">
        <f>INDEX(属性偏向!$T$4:$T$243,(卡牌属性!$DU368-1+EX$3)*20+卡牌属性!$DX368)</f>
        <v>7</v>
      </c>
      <c r="EY368" s="14">
        <f>INDEX(属性偏向!$T$4:$T$243,(卡牌属性!$DU368-1+EY$3)*20+卡牌属性!$DX368)</f>
        <v>10</v>
      </c>
      <c r="EZ368" s="14">
        <f>INDEX(属性偏向!$T$4:$T$243,(卡牌属性!$DU368-1+EZ$3)*20+卡牌属性!$DX368)</f>
        <v>10</v>
      </c>
      <c r="FA368" s="14">
        <f>INDEX(属性偏向!$T$4:$T$243,(卡牌属性!$DU368-1+FA$3)*20+卡牌属性!$DX368)</f>
        <v>11</v>
      </c>
      <c r="FB368" s="14">
        <f>INDEX(属性偏向!$T$4:$T$243,(卡牌属性!$DU368-1+FB$3)*20+卡牌属性!$DX368)</f>
        <v>13</v>
      </c>
      <c r="FC368" s="14">
        <f>INDEX(属性偏向!$U$4:$U$243,(卡牌属性!$DV368-1+FC$3)*20+卡牌属性!$DX368)</f>
        <v>70</v>
      </c>
      <c r="FD368" s="14">
        <f>INDEX(属性偏向!$U$4:$U$243,(卡牌属性!$DV368-1+FD$3)*20+卡牌属性!$DX368)</f>
        <v>84</v>
      </c>
      <c r="FE368" s="14">
        <f>INDEX(属性偏向!$U$4:$U$243,(卡牌属性!$DV368-1+FE$3)*20+卡牌属性!$DX368)</f>
        <v>84</v>
      </c>
      <c r="FF368" s="14">
        <f>INDEX(属性偏向!$U$4:$U$243,(卡牌属性!$DV368-1+FF$3)*20+卡牌属性!$DX368)</f>
        <v>91</v>
      </c>
      <c r="FG368" s="14">
        <f>INDEX(属性偏向!$U$4:$U$243,(卡牌属性!$DV368-1+FG$3)*20+卡牌属性!$DX368)</f>
        <v>140</v>
      </c>
      <c r="FH368" s="14">
        <f>INDEX(属性投放!$BQ$6:$BQ$85,(卡牌属性!$DW368-2)*20+卡牌属性!$DX368)</f>
        <v>60</v>
      </c>
      <c r="FI368" s="14">
        <f>INDEX(属性投放!$BQ$6:$BQ$85,(卡牌属性!$DW368-2)*20+卡牌属性!$DX368)</f>
        <v>60</v>
      </c>
      <c r="FJ368" s="14">
        <f>INDEX(属性投放!$BQ$6:$BQ$85,(卡牌属性!$DW368-2)*20+卡牌属性!$DX368)</f>
        <v>60</v>
      </c>
      <c r="FK368" s="14">
        <f>INDEX(属性投放!$BQ$6:$BQ$85,(卡牌属性!$DW368-2)*20+卡牌属性!$DX368)</f>
        <v>60</v>
      </c>
      <c r="FL368" s="14">
        <f>INDEX(属性投放!$BQ$6:$BQ$85,(卡牌属性!$DW368-2)*20+卡牌属性!$DX368)</f>
        <v>60</v>
      </c>
      <c r="FM368" s="14">
        <f>INDEX(属性投放!$BR$6:$BR$85,(卡牌属性!$DW368-2)*20+卡牌属性!$DX368)</f>
        <v>30</v>
      </c>
      <c r="FN368" s="14">
        <f>INDEX(属性投放!$BR$6:$BR$85,(卡牌属性!$DW368-2)*20+卡牌属性!$DX368)</f>
        <v>30</v>
      </c>
      <c r="FO368" s="14">
        <f>INDEX(属性投放!$BR$6:$BR$85,(卡牌属性!$DW368-2)*20+卡牌属性!$DX368)</f>
        <v>30</v>
      </c>
      <c r="FP368" s="14">
        <f>INDEX(属性投放!$BR$6:$BR$85,(卡牌属性!$DW368-2)*20+卡牌属性!$DX368)</f>
        <v>30</v>
      </c>
      <c r="FQ368" s="14">
        <f>INDEX(属性投放!$BR$6:$BR$85,(卡牌属性!$DW368-2)*20+卡牌属性!$DX368)</f>
        <v>30</v>
      </c>
      <c r="FR368" s="14">
        <f>INDEX(属性投放!$BS$6:$BS$85,(卡牌属性!$DW368-2)*20+卡牌属性!$DX368)</f>
        <v>420</v>
      </c>
      <c r="FS368" s="14">
        <f>INDEX(属性投放!$BS$6:$BS$85,(卡牌属性!$DW368-2)*20+卡牌属性!$DX368)</f>
        <v>420</v>
      </c>
      <c r="FT368" s="14">
        <f>INDEX(属性投放!$BS$6:$BS$85,(卡牌属性!$DW368-2)*20+卡牌属性!$DX368)</f>
        <v>420</v>
      </c>
      <c r="FU368" s="14">
        <f>INDEX(属性投放!$BS$6:$BS$85,(卡牌属性!$DW368-2)*20+卡牌属性!$DX368)</f>
        <v>420</v>
      </c>
      <c r="FV368" s="14">
        <f>INDEX(属性投放!$BS$6:$BS$85,(卡牌属性!$DW368-2)*20+卡牌属性!$DX368)</f>
        <v>420</v>
      </c>
    </row>
    <row r="369" spans="31:178" ht="16.5" x14ac:dyDescent="0.2">
      <c r="AE369" s="13">
        <v>365</v>
      </c>
      <c r="AF369" s="13">
        <f t="shared" si="652"/>
        <v>19</v>
      </c>
      <c r="AG369" s="13">
        <f t="shared" si="633"/>
        <v>2</v>
      </c>
      <c r="AH369" s="13"/>
      <c r="AI369" s="13"/>
      <c r="AJ369" s="14">
        <f t="shared" si="634"/>
        <v>1101022</v>
      </c>
      <c r="AK369" s="14" t="str">
        <f t="shared" si="635"/>
        <v>幻5突</v>
      </c>
      <c r="AL369" s="25" t="s">
        <v>142</v>
      </c>
      <c r="AM369" s="14">
        <v>1</v>
      </c>
      <c r="AN369" s="14">
        <f t="shared" si="636"/>
        <v>5</v>
      </c>
      <c r="AO369" s="14">
        <f>INDEX(属性投放!$DF$6:$DF$85,(卡牌属性!AG369-2)*20+卡牌属性!AN369)</f>
        <v>401</v>
      </c>
      <c r="AP369" s="14">
        <f t="shared" si="698"/>
        <v>401</v>
      </c>
      <c r="AQ369" s="14">
        <f t="shared" si="698"/>
        <v>401</v>
      </c>
      <c r="AR369" s="14">
        <f t="shared" si="698"/>
        <v>401</v>
      </c>
      <c r="AS369" s="14">
        <f t="shared" si="698"/>
        <v>401</v>
      </c>
      <c r="AT369" s="14">
        <f>INDEX(属性投放!$DG$6:$DG$85,(卡牌属性!AG369-2)*20+卡牌属性!AN369)</f>
        <v>151</v>
      </c>
      <c r="AU369" s="14">
        <f t="shared" si="699"/>
        <v>151</v>
      </c>
      <c r="AV369" s="14">
        <f t="shared" si="699"/>
        <v>151</v>
      </c>
      <c r="AW369" s="14">
        <f t="shared" si="699"/>
        <v>151</v>
      </c>
      <c r="AX369" s="14">
        <f t="shared" si="699"/>
        <v>151</v>
      </c>
      <c r="AY369" s="14">
        <f>INDEX(属性投放!$DH$6:$DH$85,(卡牌属性!AG369-2)*20+卡牌属性!AN369)</f>
        <v>2096</v>
      </c>
      <c r="AZ369" s="14">
        <f t="shared" si="700"/>
        <v>2096</v>
      </c>
      <c r="BA369" s="14">
        <f t="shared" si="700"/>
        <v>2096</v>
      </c>
      <c r="BB369" s="14">
        <f t="shared" si="700"/>
        <v>2096</v>
      </c>
      <c r="BC369" s="14">
        <f t="shared" si="700"/>
        <v>2096</v>
      </c>
      <c r="BD369" s="14">
        <f>INDEX(属性投放!$DL$6:$DL$85,(卡牌属性!AG369-2)*20+卡牌属性!AN369)</f>
        <v>22</v>
      </c>
      <c r="BE369" s="14">
        <f t="shared" si="701"/>
        <v>22</v>
      </c>
      <c r="BF369" s="14">
        <f t="shared" si="701"/>
        <v>22</v>
      </c>
      <c r="BG369" s="14">
        <f t="shared" si="701"/>
        <v>22</v>
      </c>
      <c r="BH369" s="14">
        <f t="shared" si="701"/>
        <v>22</v>
      </c>
      <c r="BI369" s="14">
        <f>INDEX(属性投放!$DM$6:$DM$85,(卡牌属性!AG369-2)*20+卡牌属性!AN369)</f>
        <v>11</v>
      </c>
      <c r="BJ369" s="14">
        <f t="shared" si="702"/>
        <v>11</v>
      </c>
      <c r="BK369" s="14">
        <f t="shared" si="702"/>
        <v>11</v>
      </c>
      <c r="BL369" s="14">
        <f t="shared" si="702"/>
        <v>11</v>
      </c>
      <c r="BM369" s="14">
        <f t="shared" si="702"/>
        <v>11</v>
      </c>
      <c r="BN369" s="14">
        <f>INDEX(属性投放!$DN$6:$DN$85,(卡牌属性!AG369-2)*20+卡牌属性!AN369)</f>
        <v>153</v>
      </c>
      <c r="BO369" s="14">
        <f t="shared" si="703"/>
        <v>153</v>
      </c>
      <c r="BP369" s="14">
        <f t="shared" si="703"/>
        <v>153</v>
      </c>
      <c r="BQ369" s="14">
        <f t="shared" si="703"/>
        <v>153</v>
      </c>
      <c r="BR369" s="14">
        <f t="shared" si="703"/>
        <v>153</v>
      </c>
      <c r="BW369" s="13">
        <v>365</v>
      </c>
      <c r="BX369" s="13">
        <f t="shared" si="643"/>
        <v>19</v>
      </c>
      <c r="BY369" s="14">
        <f t="shared" si="644"/>
        <v>2</v>
      </c>
      <c r="BZ369" s="14">
        <f t="shared" si="653"/>
        <v>1102019</v>
      </c>
      <c r="CA369" s="14" t="str">
        <f t="shared" si="654"/>
        <v>食火蜥5突</v>
      </c>
      <c r="CB369" s="25" t="s">
        <v>142</v>
      </c>
      <c r="CC369" s="14">
        <v>2</v>
      </c>
      <c r="CD369" s="14">
        <f t="shared" si="645"/>
        <v>5</v>
      </c>
      <c r="CE369" s="14" t="s">
        <v>21</v>
      </c>
      <c r="CF369" s="14">
        <f>INDEX(属性投放!$AZ$6:$AZ$85,(BY369-2)*20+CD369)</f>
        <v>650</v>
      </c>
      <c r="CG369" s="14" t="s">
        <v>22</v>
      </c>
      <c r="CH369" s="14">
        <f>INDEX(属性投放!$BA$6:$BA$85,(BY369-2)*20+CD369)</f>
        <v>279</v>
      </c>
      <c r="CI369" s="14" t="s">
        <v>510</v>
      </c>
      <c r="CJ369" s="14">
        <f>INDEX(属性投放!$BB$6:$BB$85,(BY369-2)*20+CD369)</f>
        <v>3800</v>
      </c>
      <c r="CK369" s="14" t="s">
        <v>21</v>
      </c>
      <c r="CL369" s="14">
        <f>INDEX(属性投放!$BC$6:$BC$85,(BY369-2)*20+CD369)</f>
        <v>8</v>
      </c>
      <c r="CM369" s="14" t="s">
        <v>22</v>
      </c>
      <c r="CN369" s="14">
        <f>INDEX(属性投放!$BD$6:$BD$85,(BY369-2)*20+CD369)</f>
        <v>4</v>
      </c>
      <c r="CO369" s="14" t="s">
        <v>510</v>
      </c>
      <c r="CP369" s="14">
        <f>INDEX(属性投放!$BE$6:$BE$85,(BY369-2)*20+CD369)</f>
        <v>56</v>
      </c>
      <c r="CS369" s="13">
        <v>365</v>
      </c>
      <c r="CT369" s="13">
        <f t="shared" si="655"/>
        <v>8</v>
      </c>
      <c r="CU369" s="13">
        <f t="shared" si="656"/>
        <v>1</v>
      </c>
      <c r="CV369" s="14">
        <f t="shared" si="657"/>
        <v>4</v>
      </c>
      <c r="CW369" s="14">
        <f t="shared" si="658"/>
        <v>1102008</v>
      </c>
      <c r="CX369" s="14" t="str">
        <f>INDEX($O$6:$O$50,CT369)&amp;"-"&amp;INDEX(属性投放!$AB$7:$AB$50,CZ369)&amp;"-魂火-"&amp;DB369</f>
        <v>夏侯渊-等活-魂火-1</v>
      </c>
      <c r="CY369" s="25" t="s">
        <v>142</v>
      </c>
      <c r="CZ369" s="14">
        <f>INDEX(属性投放!$AM$7:$AM$58,CU369)</f>
        <v>1</v>
      </c>
      <c r="DA369" s="14" t="s">
        <v>537</v>
      </c>
      <c r="DB369" s="14">
        <f>INDEX(属性投放!$AN$7:$AN$58,CU369)</f>
        <v>1</v>
      </c>
      <c r="DC369" s="14">
        <f t="shared" si="646"/>
        <v>1</v>
      </c>
      <c r="DD369" s="14">
        <f>INDEX(属性投放!$AO$7:$AO$58,DC369)</f>
        <v>3</v>
      </c>
      <c r="DE369" s="14" t="s">
        <v>538</v>
      </c>
      <c r="DF369" s="14">
        <f>INDEX(属性投放!$BK$6:$BK$85,(CV369-2)*20+CZ369)</f>
        <v>25</v>
      </c>
      <c r="DG369" s="14">
        <f>SUMIFS(DF$5:DF369,$CT$5:$CT369,"="&amp;$CT369)</f>
        <v>25</v>
      </c>
      <c r="DH369" s="14" t="s">
        <v>539</v>
      </c>
      <c r="DI369" s="14">
        <f>INDEX(属性投放!$BL$6:$BL$85,(CV369-2)*20+CZ369)</f>
        <v>13</v>
      </c>
      <c r="DJ369" s="14">
        <f>SUMIFS(DI$5:DI369,$CT$5:$CT369,"="&amp;$CT369)</f>
        <v>13</v>
      </c>
      <c r="DK369" s="14" t="s">
        <v>540</v>
      </c>
      <c r="DL369" s="14">
        <f>INDEX(属性投放!$BM$6:$BM$85,(CV369-2)*20+CZ369)</f>
        <v>150</v>
      </c>
      <c r="DM369" s="14">
        <f>SUMIFS(DL$5:DL369,$CT$5:$CT369,"="&amp;$CT369)</f>
        <v>150</v>
      </c>
      <c r="DR369" s="14">
        <f t="shared" si="647"/>
        <v>1102019</v>
      </c>
      <c r="DS369" s="14" t="str">
        <f t="shared" si="648"/>
        <v>食火蜥5突</v>
      </c>
      <c r="DT369" s="14">
        <f t="shared" si="659"/>
        <v>1</v>
      </c>
      <c r="DU369" s="14">
        <f t="shared" si="660"/>
        <v>6</v>
      </c>
      <c r="DV369" s="14">
        <f t="shared" si="661"/>
        <v>4</v>
      </c>
      <c r="DW369" s="14">
        <f t="shared" si="649"/>
        <v>2</v>
      </c>
      <c r="DX369" s="14">
        <f t="shared" si="650"/>
        <v>5</v>
      </c>
      <c r="DY369" s="14">
        <f t="shared" si="651"/>
        <v>5</v>
      </c>
      <c r="DZ369" s="14">
        <f>INDEX(属性投放!$AX$6:$AX$85,(卡牌属性!DW369-2)*20+卡牌属性!DX369)</f>
        <v>7</v>
      </c>
      <c r="EA369" s="14">
        <f>INDEX(属性投放!BQ$6:BQ$85,卡牌属性!$DY369)</f>
        <v>80</v>
      </c>
      <c r="EB369" s="14">
        <f>INDEX(属性投放!BR$6:BR$85,卡牌属性!$DY369)</f>
        <v>40</v>
      </c>
      <c r="EC369" s="14">
        <f>INDEX(属性投放!BS$6:BS$85,卡牌属性!$DY369)</f>
        <v>560</v>
      </c>
      <c r="ED369" s="14">
        <f t="shared" si="704"/>
        <v>377</v>
      </c>
      <c r="EE369" s="14">
        <f t="shared" si="705"/>
        <v>416</v>
      </c>
      <c r="EF369" s="14">
        <f t="shared" si="706"/>
        <v>485</v>
      </c>
      <c r="EG369" s="14">
        <f t="shared" si="707"/>
        <v>485</v>
      </c>
      <c r="EH369" s="14">
        <f t="shared" si="708"/>
        <v>574</v>
      </c>
      <c r="EI369" s="14">
        <f t="shared" si="709"/>
        <v>333</v>
      </c>
      <c r="EJ369" s="14">
        <f t="shared" si="710"/>
        <v>417</v>
      </c>
      <c r="EK369" s="14">
        <f t="shared" si="711"/>
        <v>417</v>
      </c>
      <c r="EL369" s="14">
        <f t="shared" si="712"/>
        <v>476</v>
      </c>
      <c r="EM369" s="14">
        <f t="shared" si="713"/>
        <v>545</v>
      </c>
      <c r="EN369" s="14">
        <f t="shared" si="714"/>
        <v>3254</v>
      </c>
      <c r="EO369" s="14">
        <f t="shared" si="715"/>
        <v>3782</v>
      </c>
      <c r="EP369" s="14">
        <f t="shared" si="716"/>
        <v>3782</v>
      </c>
      <c r="EQ369" s="14">
        <f t="shared" si="717"/>
        <v>4290</v>
      </c>
      <c r="ER369" s="14">
        <f t="shared" si="718"/>
        <v>5338</v>
      </c>
      <c r="ES369" s="14">
        <f>INDEX(属性偏向!$S$4:$S$243,(卡牌属性!$DT369-1+ES$3)*20+卡牌属性!$DX369)</f>
        <v>5</v>
      </c>
      <c r="ET369" s="14">
        <f>INDEX(属性偏向!$S$4:$S$243,(卡牌属性!$DT369-1+ET$3)*20+卡牌属性!$DX369)</f>
        <v>6</v>
      </c>
      <c r="EU369" s="14">
        <f>INDEX(属性偏向!$S$4:$S$243,(卡牌属性!$DT369-1+EU$3)*20+卡牌属性!$DX369)</f>
        <v>8</v>
      </c>
      <c r="EV369" s="14">
        <f>INDEX(属性偏向!$S$4:$S$243,(卡牌属性!$DT369-1+EV$3)*20+卡牌属性!$DX369)</f>
        <v>8</v>
      </c>
      <c r="EW369" s="14">
        <f>INDEX(属性偏向!$S$4:$S$243,(卡牌属性!$DT369-1+EW$3)*20+卡牌属性!$DX369)</f>
        <v>10</v>
      </c>
      <c r="EX369" s="14">
        <f>INDEX(属性偏向!$T$4:$T$243,(卡牌属性!$DU369-1+EX$3)*20+卡牌属性!$DX369)</f>
        <v>7</v>
      </c>
      <c r="EY369" s="14">
        <f>INDEX(属性偏向!$T$4:$T$243,(卡牌属性!$DU369-1+EY$3)*20+卡牌属性!$DX369)</f>
        <v>10</v>
      </c>
      <c r="EZ369" s="14">
        <f>INDEX(属性偏向!$T$4:$T$243,(卡牌属性!$DU369-1+EZ$3)*20+卡牌属性!$DX369)</f>
        <v>10</v>
      </c>
      <c r="FA369" s="14">
        <f>INDEX(属性偏向!$T$4:$T$243,(卡牌属性!$DU369-1+FA$3)*20+卡牌属性!$DX369)</f>
        <v>11</v>
      </c>
      <c r="FB369" s="14">
        <f>INDEX(属性偏向!$T$4:$T$243,(卡牌属性!$DU369-1+FB$3)*20+卡牌属性!$DX369)</f>
        <v>13</v>
      </c>
      <c r="FC369" s="14">
        <f>INDEX(属性偏向!$U$4:$U$243,(卡牌属性!$DV369-1+FC$3)*20+卡牌属性!$DX369)</f>
        <v>70</v>
      </c>
      <c r="FD369" s="14">
        <f>INDEX(属性偏向!$U$4:$U$243,(卡牌属性!$DV369-1+FD$3)*20+卡牌属性!$DX369)</f>
        <v>84</v>
      </c>
      <c r="FE369" s="14">
        <f>INDEX(属性偏向!$U$4:$U$243,(卡牌属性!$DV369-1+FE$3)*20+卡牌属性!$DX369)</f>
        <v>84</v>
      </c>
      <c r="FF369" s="14">
        <f>INDEX(属性偏向!$U$4:$U$243,(卡牌属性!$DV369-1+FF$3)*20+卡牌属性!$DX369)</f>
        <v>91</v>
      </c>
      <c r="FG369" s="14">
        <f>INDEX(属性偏向!$U$4:$U$243,(卡牌属性!$DV369-1+FG$3)*20+卡牌属性!$DX369)</f>
        <v>140</v>
      </c>
      <c r="FH369" s="14">
        <f>INDEX(属性投放!$BQ$6:$BQ$85,(卡牌属性!$DW369-2)*20+卡牌属性!$DX369)</f>
        <v>80</v>
      </c>
      <c r="FI369" s="14">
        <f>INDEX(属性投放!$BQ$6:$BQ$85,(卡牌属性!$DW369-2)*20+卡牌属性!$DX369)</f>
        <v>80</v>
      </c>
      <c r="FJ369" s="14">
        <f>INDEX(属性投放!$BQ$6:$BQ$85,(卡牌属性!$DW369-2)*20+卡牌属性!$DX369)</f>
        <v>80</v>
      </c>
      <c r="FK369" s="14">
        <f>INDEX(属性投放!$BQ$6:$BQ$85,(卡牌属性!$DW369-2)*20+卡牌属性!$DX369)</f>
        <v>80</v>
      </c>
      <c r="FL369" s="14">
        <f>INDEX(属性投放!$BQ$6:$BQ$85,(卡牌属性!$DW369-2)*20+卡牌属性!$DX369)</f>
        <v>80</v>
      </c>
      <c r="FM369" s="14">
        <f>INDEX(属性投放!$BR$6:$BR$85,(卡牌属性!$DW369-2)*20+卡牌属性!$DX369)</f>
        <v>40</v>
      </c>
      <c r="FN369" s="14">
        <f>INDEX(属性投放!$BR$6:$BR$85,(卡牌属性!$DW369-2)*20+卡牌属性!$DX369)</f>
        <v>40</v>
      </c>
      <c r="FO369" s="14">
        <f>INDEX(属性投放!$BR$6:$BR$85,(卡牌属性!$DW369-2)*20+卡牌属性!$DX369)</f>
        <v>40</v>
      </c>
      <c r="FP369" s="14">
        <f>INDEX(属性投放!$BR$6:$BR$85,(卡牌属性!$DW369-2)*20+卡牌属性!$DX369)</f>
        <v>40</v>
      </c>
      <c r="FQ369" s="14">
        <f>INDEX(属性投放!$BR$6:$BR$85,(卡牌属性!$DW369-2)*20+卡牌属性!$DX369)</f>
        <v>40</v>
      </c>
      <c r="FR369" s="14">
        <f>INDEX(属性投放!$BS$6:$BS$85,(卡牌属性!$DW369-2)*20+卡牌属性!$DX369)</f>
        <v>560</v>
      </c>
      <c r="FS369" s="14">
        <f>INDEX(属性投放!$BS$6:$BS$85,(卡牌属性!$DW369-2)*20+卡牌属性!$DX369)</f>
        <v>560</v>
      </c>
      <c r="FT369" s="14">
        <f>INDEX(属性投放!$BS$6:$BS$85,(卡牌属性!$DW369-2)*20+卡牌属性!$DX369)</f>
        <v>560</v>
      </c>
      <c r="FU369" s="14">
        <f>INDEX(属性投放!$BS$6:$BS$85,(卡牌属性!$DW369-2)*20+卡牌属性!$DX369)</f>
        <v>560</v>
      </c>
      <c r="FV369" s="14">
        <f>INDEX(属性投放!$BS$6:$BS$85,(卡牌属性!$DW369-2)*20+卡牌属性!$DX369)</f>
        <v>560</v>
      </c>
    </row>
    <row r="370" spans="31:178" ht="16.5" x14ac:dyDescent="0.2">
      <c r="AE370" s="13">
        <v>366</v>
      </c>
      <c r="AF370" s="13">
        <f t="shared" si="652"/>
        <v>19</v>
      </c>
      <c r="AG370" s="13">
        <f t="shared" si="633"/>
        <v>2</v>
      </c>
      <c r="AH370" s="13"/>
      <c r="AI370" s="13"/>
      <c r="AJ370" s="14">
        <f t="shared" si="634"/>
        <v>1101022</v>
      </c>
      <c r="AK370" s="14" t="str">
        <f t="shared" si="635"/>
        <v>幻6突</v>
      </c>
      <c r="AL370" s="25" t="s">
        <v>142</v>
      </c>
      <c r="AM370" s="14">
        <v>1</v>
      </c>
      <c r="AN370" s="14">
        <f t="shared" si="636"/>
        <v>6</v>
      </c>
      <c r="AO370" s="14">
        <f>INDEX(属性投放!$DF$6:$DF$85,(卡牌属性!AG370-2)*20+卡牌属性!AN370)</f>
        <v>464</v>
      </c>
      <c r="AP370" s="14">
        <f t="shared" si="698"/>
        <v>464</v>
      </c>
      <c r="AQ370" s="14">
        <f t="shared" si="698"/>
        <v>464</v>
      </c>
      <c r="AR370" s="14">
        <f t="shared" si="698"/>
        <v>464</v>
      </c>
      <c r="AS370" s="14">
        <f t="shared" si="698"/>
        <v>464</v>
      </c>
      <c r="AT370" s="14">
        <f>INDEX(属性投放!$DG$6:$DG$85,(卡牌属性!AG370-2)*20+卡牌属性!AN370)</f>
        <v>182</v>
      </c>
      <c r="AU370" s="14">
        <f t="shared" si="699"/>
        <v>182</v>
      </c>
      <c r="AV370" s="14">
        <f t="shared" si="699"/>
        <v>182</v>
      </c>
      <c r="AW370" s="14">
        <f t="shared" si="699"/>
        <v>182</v>
      </c>
      <c r="AX370" s="14">
        <f t="shared" si="699"/>
        <v>182</v>
      </c>
      <c r="AY370" s="14">
        <f>INDEX(属性投放!$DH$6:$DH$85,(卡牌属性!AG370-2)*20+卡牌属性!AN370)</f>
        <v>2534</v>
      </c>
      <c r="AZ370" s="14">
        <f t="shared" si="700"/>
        <v>2534</v>
      </c>
      <c r="BA370" s="14">
        <f t="shared" si="700"/>
        <v>2534</v>
      </c>
      <c r="BB370" s="14">
        <f t="shared" si="700"/>
        <v>2534</v>
      </c>
      <c r="BC370" s="14">
        <f t="shared" si="700"/>
        <v>2534</v>
      </c>
      <c r="BD370" s="14">
        <f>INDEX(属性投放!$DL$6:$DL$85,(卡牌属性!AG370-2)*20+卡牌属性!AN370)</f>
        <v>22</v>
      </c>
      <c r="BE370" s="14">
        <f t="shared" si="701"/>
        <v>22</v>
      </c>
      <c r="BF370" s="14">
        <f t="shared" si="701"/>
        <v>22</v>
      </c>
      <c r="BG370" s="14">
        <f t="shared" si="701"/>
        <v>22</v>
      </c>
      <c r="BH370" s="14">
        <f t="shared" si="701"/>
        <v>22</v>
      </c>
      <c r="BI370" s="14">
        <f>INDEX(属性投放!$DM$6:$DM$85,(卡牌属性!AG370-2)*20+卡牌属性!AN370)</f>
        <v>11</v>
      </c>
      <c r="BJ370" s="14">
        <f t="shared" si="702"/>
        <v>11</v>
      </c>
      <c r="BK370" s="14">
        <f t="shared" si="702"/>
        <v>11</v>
      </c>
      <c r="BL370" s="14">
        <f t="shared" si="702"/>
        <v>11</v>
      </c>
      <c r="BM370" s="14">
        <f t="shared" si="702"/>
        <v>11</v>
      </c>
      <c r="BN370" s="14">
        <f>INDEX(属性投放!$DN$6:$DN$85,(卡牌属性!AG370-2)*20+卡牌属性!AN370)</f>
        <v>153</v>
      </c>
      <c r="BO370" s="14">
        <f t="shared" si="703"/>
        <v>153</v>
      </c>
      <c r="BP370" s="14">
        <f t="shared" si="703"/>
        <v>153</v>
      </c>
      <c r="BQ370" s="14">
        <f t="shared" si="703"/>
        <v>153</v>
      </c>
      <c r="BR370" s="14">
        <f t="shared" si="703"/>
        <v>153</v>
      </c>
      <c r="BW370" s="13">
        <v>366</v>
      </c>
      <c r="BX370" s="13">
        <f t="shared" si="643"/>
        <v>19</v>
      </c>
      <c r="BY370" s="14">
        <f t="shared" si="644"/>
        <v>2</v>
      </c>
      <c r="BZ370" s="14">
        <f t="shared" si="653"/>
        <v>1102019</v>
      </c>
      <c r="CA370" s="14" t="str">
        <f t="shared" si="654"/>
        <v>食火蜥6突</v>
      </c>
      <c r="CB370" s="25" t="s">
        <v>142</v>
      </c>
      <c r="CC370" s="14">
        <v>2</v>
      </c>
      <c r="CD370" s="14">
        <f t="shared" si="645"/>
        <v>6</v>
      </c>
      <c r="CE370" s="14" t="s">
        <v>21</v>
      </c>
      <c r="CF370" s="14">
        <f>INDEX(属性投放!$AZ$6:$AZ$85,(BY370-2)*20+CD370)</f>
        <v>856</v>
      </c>
      <c r="CG370" s="14" t="s">
        <v>22</v>
      </c>
      <c r="CH370" s="14">
        <f>INDEX(属性投放!$BA$6:$BA$85,(BY370-2)*20+CD370)</f>
        <v>383</v>
      </c>
      <c r="CI370" s="14" t="s">
        <v>510</v>
      </c>
      <c r="CJ370" s="14">
        <f>INDEX(属性投放!$BB$6:$BB$85,(BY370-2)*20+CD370)</f>
        <v>5242</v>
      </c>
      <c r="CK370" s="14" t="s">
        <v>21</v>
      </c>
      <c r="CL370" s="14">
        <f>INDEX(属性投放!$BC$6:$BC$85,(BY370-2)*20+CD370)</f>
        <v>8</v>
      </c>
      <c r="CM370" s="14" t="s">
        <v>22</v>
      </c>
      <c r="CN370" s="14">
        <f>INDEX(属性投放!$BD$6:$BD$85,(BY370-2)*20+CD370)</f>
        <v>4</v>
      </c>
      <c r="CO370" s="14" t="s">
        <v>510</v>
      </c>
      <c r="CP370" s="14">
        <f>INDEX(属性投放!$BE$6:$BE$85,(BY370-2)*20+CD370)</f>
        <v>56</v>
      </c>
      <c r="CS370" s="13">
        <v>366</v>
      </c>
      <c r="CT370" s="13">
        <f t="shared" si="655"/>
        <v>8</v>
      </c>
      <c r="CU370" s="13">
        <f t="shared" si="656"/>
        <v>2</v>
      </c>
      <c r="CV370" s="14">
        <f t="shared" si="657"/>
        <v>4</v>
      </c>
      <c r="CW370" s="14">
        <f t="shared" si="658"/>
        <v>1102008</v>
      </c>
      <c r="CX370" s="14" t="str">
        <f>INDEX($O$6:$O$50,CT370)&amp;"-"&amp;INDEX(属性投放!$AB$7:$AB$50,CZ370)&amp;"-魂火-"&amp;DB370</f>
        <v>夏侯渊-黑绳-魂火-1</v>
      </c>
      <c r="CY370" s="25" t="s">
        <v>142</v>
      </c>
      <c r="CZ370" s="14">
        <f>INDEX(属性投放!$AM$7:$AM$58,CU370)</f>
        <v>2</v>
      </c>
      <c r="DA370" s="14" t="s">
        <v>537</v>
      </c>
      <c r="DB370" s="14">
        <f>INDEX(属性投放!$AN$7:$AN$58,CU370)</f>
        <v>1</v>
      </c>
      <c r="DC370" s="14">
        <f t="shared" si="646"/>
        <v>2</v>
      </c>
      <c r="DD370" s="14">
        <f>INDEX(属性投放!$AO$7:$AO$58,DC370)</f>
        <v>8</v>
      </c>
      <c r="DE370" s="14" t="s">
        <v>538</v>
      </c>
      <c r="DF370" s="14">
        <f>INDEX(属性投放!$BK$6:$BK$85,(CV370-2)*20+CZ370)</f>
        <v>30</v>
      </c>
      <c r="DG370" s="14">
        <f>SUMIFS(DF$5:DF370,$CT$5:$CT370,"="&amp;$CT370)</f>
        <v>55</v>
      </c>
      <c r="DH370" s="14" t="s">
        <v>539</v>
      </c>
      <c r="DI370" s="14">
        <f>INDEX(属性投放!$BL$6:$BL$85,(CV370-2)*20+CZ370)</f>
        <v>15</v>
      </c>
      <c r="DJ370" s="14">
        <f>SUMIFS(DI$5:DI370,$CT$5:$CT370,"="&amp;$CT370)</f>
        <v>28</v>
      </c>
      <c r="DK370" s="14" t="s">
        <v>540</v>
      </c>
      <c r="DL370" s="14">
        <f>INDEX(属性投放!$BM$6:$BM$85,(CV370-2)*20+CZ370)</f>
        <v>180</v>
      </c>
      <c r="DM370" s="14">
        <f>SUMIFS(DL$5:DL370,$CT$5:$CT370,"="&amp;$CT370)</f>
        <v>330</v>
      </c>
      <c r="DR370" s="14">
        <f t="shared" si="647"/>
        <v>1102019</v>
      </c>
      <c r="DS370" s="14" t="str">
        <f t="shared" si="648"/>
        <v>食火蜥6突</v>
      </c>
      <c r="DT370" s="14">
        <f t="shared" si="659"/>
        <v>1</v>
      </c>
      <c r="DU370" s="14">
        <f t="shared" si="660"/>
        <v>6</v>
      </c>
      <c r="DV370" s="14">
        <f t="shared" si="661"/>
        <v>4</v>
      </c>
      <c r="DW370" s="14">
        <f t="shared" si="649"/>
        <v>2</v>
      </c>
      <c r="DX370" s="14">
        <f t="shared" si="650"/>
        <v>6</v>
      </c>
      <c r="DY370" s="14">
        <f t="shared" si="651"/>
        <v>6</v>
      </c>
      <c r="DZ370" s="14">
        <f>INDEX(属性投放!$AX$6:$AX$85,(卡牌属性!DW370-2)*20+卡牌属性!DX370)</f>
        <v>5</v>
      </c>
      <c r="EA370" s="14">
        <f>INDEX(属性投放!BQ$6:BQ$85,卡牌属性!$DY370)</f>
        <v>100</v>
      </c>
      <c r="EB370" s="14">
        <f>INDEX(属性投放!BR$6:BR$85,卡牌属性!$DY370)</f>
        <v>50</v>
      </c>
      <c r="EC370" s="14">
        <f>INDEX(属性投放!BS$6:BS$85,卡牌属性!$DY370)</f>
        <v>700</v>
      </c>
      <c r="ED370" s="14">
        <f t="shared" si="704"/>
        <v>492</v>
      </c>
      <c r="EE370" s="14">
        <f t="shared" si="705"/>
        <v>538</v>
      </c>
      <c r="EF370" s="14">
        <f t="shared" si="706"/>
        <v>621</v>
      </c>
      <c r="EG370" s="14">
        <f t="shared" si="707"/>
        <v>621</v>
      </c>
      <c r="EH370" s="14">
        <f t="shared" si="708"/>
        <v>724</v>
      </c>
      <c r="EI370" s="14">
        <f t="shared" si="709"/>
        <v>422</v>
      </c>
      <c r="EJ370" s="14">
        <f t="shared" si="710"/>
        <v>527</v>
      </c>
      <c r="EK370" s="14">
        <f t="shared" si="711"/>
        <v>527</v>
      </c>
      <c r="EL370" s="14">
        <f t="shared" si="712"/>
        <v>593</v>
      </c>
      <c r="EM370" s="14">
        <f t="shared" si="713"/>
        <v>676</v>
      </c>
      <c r="EN370" s="14">
        <f t="shared" si="714"/>
        <v>4304</v>
      </c>
      <c r="EO370" s="14">
        <f t="shared" si="715"/>
        <v>4930</v>
      </c>
      <c r="EP370" s="14">
        <f t="shared" si="716"/>
        <v>4930</v>
      </c>
      <c r="EQ370" s="14">
        <f t="shared" si="717"/>
        <v>5487</v>
      </c>
      <c r="ER370" s="14">
        <f t="shared" si="718"/>
        <v>6878</v>
      </c>
      <c r="ES370" s="14">
        <f>INDEX(属性偏向!$S$4:$S$243,(卡牌属性!$DT370-1+ES$3)*20+卡牌属性!$DX370)</f>
        <v>5</v>
      </c>
      <c r="ET370" s="14">
        <f>INDEX(属性偏向!$S$4:$S$243,(卡牌属性!$DT370-1+ET$3)*20+卡牌属性!$DX370)</f>
        <v>6</v>
      </c>
      <c r="EU370" s="14">
        <f>INDEX(属性偏向!$S$4:$S$243,(卡牌属性!$DT370-1+EU$3)*20+卡牌属性!$DX370)</f>
        <v>8</v>
      </c>
      <c r="EV370" s="14">
        <f>INDEX(属性偏向!$S$4:$S$243,(卡牌属性!$DT370-1+EV$3)*20+卡牌属性!$DX370)</f>
        <v>8</v>
      </c>
      <c r="EW370" s="14">
        <f>INDEX(属性偏向!$S$4:$S$243,(卡牌属性!$DT370-1+EW$3)*20+卡牌属性!$DX370)</f>
        <v>10</v>
      </c>
      <c r="EX370" s="14">
        <f>INDEX(属性偏向!$T$4:$T$243,(卡牌属性!$DU370-1+EX$3)*20+卡牌属性!$DX370)</f>
        <v>7</v>
      </c>
      <c r="EY370" s="14">
        <f>INDEX(属性偏向!$T$4:$T$243,(卡牌属性!$DU370-1+EY$3)*20+卡牌属性!$DX370)</f>
        <v>10</v>
      </c>
      <c r="EZ370" s="14">
        <f>INDEX(属性偏向!$T$4:$T$243,(卡牌属性!$DU370-1+EZ$3)*20+卡牌属性!$DX370)</f>
        <v>10</v>
      </c>
      <c r="FA370" s="14">
        <f>INDEX(属性偏向!$T$4:$T$243,(卡牌属性!$DU370-1+FA$3)*20+卡牌属性!$DX370)</f>
        <v>11</v>
      </c>
      <c r="FB370" s="14">
        <f>INDEX(属性偏向!$T$4:$T$243,(卡牌属性!$DU370-1+FB$3)*20+卡牌属性!$DX370)</f>
        <v>13</v>
      </c>
      <c r="FC370" s="14">
        <f>INDEX(属性偏向!$U$4:$U$243,(卡牌属性!$DV370-1+FC$3)*20+卡牌属性!$DX370)</f>
        <v>70</v>
      </c>
      <c r="FD370" s="14">
        <f>INDEX(属性偏向!$U$4:$U$243,(卡牌属性!$DV370-1+FD$3)*20+卡牌属性!$DX370)</f>
        <v>84</v>
      </c>
      <c r="FE370" s="14">
        <f>INDEX(属性偏向!$U$4:$U$243,(卡牌属性!$DV370-1+FE$3)*20+卡牌属性!$DX370)</f>
        <v>84</v>
      </c>
      <c r="FF370" s="14">
        <f>INDEX(属性偏向!$U$4:$U$243,(卡牌属性!$DV370-1+FF$3)*20+卡牌属性!$DX370)</f>
        <v>91</v>
      </c>
      <c r="FG370" s="14">
        <f>INDEX(属性偏向!$U$4:$U$243,(卡牌属性!$DV370-1+FG$3)*20+卡牌属性!$DX370)</f>
        <v>140</v>
      </c>
      <c r="FH370" s="14">
        <f>INDEX(属性投放!$BQ$6:$BQ$85,(卡牌属性!$DW370-2)*20+卡牌属性!$DX370)</f>
        <v>100</v>
      </c>
      <c r="FI370" s="14">
        <f>INDEX(属性投放!$BQ$6:$BQ$85,(卡牌属性!$DW370-2)*20+卡牌属性!$DX370)</f>
        <v>100</v>
      </c>
      <c r="FJ370" s="14">
        <f>INDEX(属性投放!$BQ$6:$BQ$85,(卡牌属性!$DW370-2)*20+卡牌属性!$DX370)</f>
        <v>100</v>
      </c>
      <c r="FK370" s="14">
        <f>INDEX(属性投放!$BQ$6:$BQ$85,(卡牌属性!$DW370-2)*20+卡牌属性!$DX370)</f>
        <v>100</v>
      </c>
      <c r="FL370" s="14">
        <f>INDEX(属性投放!$BQ$6:$BQ$85,(卡牌属性!$DW370-2)*20+卡牌属性!$DX370)</f>
        <v>100</v>
      </c>
      <c r="FM370" s="14">
        <f>INDEX(属性投放!$BR$6:$BR$85,(卡牌属性!$DW370-2)*20+卡牌属性!$DX370)</f>
        <v>50</v>
      </c>
      <c r="FN370" s="14">
        <f>INDEX(属性投放!$BR$6:$BR$85,(卡牌属性!$DW370-2)*20+卡牌属性!$DX370)</f>
        <v>50</v>
      </c>
      <c r="FO370" s="14">
        <f>INDEX(属性投放!$BR$6:$BR$85,(卡牌属性!$DW370-2)*20+卡牌属性!$DX370)</f>
        <v>50</v>
      </c>
      <c r="FP370" s="14">
        <f>INDEX(属性投放!$BR$6:$BR$85,(卡牌属性!$DW370-2)*20+卡牌属性!$DX370)</f>
        <v>50</v>
      </c>
      <c r="FQ370" s="14">
        <f>INDEX(属性投放!$BR$6:$BR$85,(卡牌属性!$DW370-2)*20+卡牌属性!$DX370)</f>
        <v>50</v>
      </c>
      <c r="FR370" s="14">
        <f>INDEX(属性投放!$BS$6:$BS$85,(卡牌属性!$DW370-2)*20+卡牌属性!$DX370)</f>
        <v>700</v>
      </c>
      <c r="FS370" s="14">
        <f>INDEX(属性投放!$BS$6:$BS$85,(卡牌属性!$DW370-2)*20+卡牌属性!$DX370)</f>
        <v>700</v>
      </c>
      <c r="FT370" s="14">
        <f>INDEX(属性投放!$BS$6:$BS$85,(卡牌属性!$DW370-2)*20+卡牌属性!$DX370)</f>
        <v>700</v>
      </c>
      <c r="FU370" s="14">
        <f>INDEX(属性投放!$BS$6:$BS$85,(卡牌属性!$DW370-2)*20+卡牌属性!$DX370)</f>
        <v>700</v>
      </c>
      <c r="FV370" s="14">
        <f>INDEX(属性投放!$BS$6:$BS$85,(卡牌属性!$DW370-2)*20+卡牌属性!$DX370)</f>
        <v>700</v>
      </c>
    </row>
    <row r="371" spans="31:178" ht="16.5" x14ac:dyDescent="0.2">
      <c r="AE371" s="13">
        <v>367</v>
      </c>
      <c r="AF371" s="13">
        <f t="shared" si="652"/>
        <v>19</v>
      </c>
      <c r="AG371" s="13">
        <f t="shared" si="633"/>
        <v>2</v>
      </c>
      <c r="AH371" s="13"/>
      <c r="AI371" s="13"/>
      <c r="AJ371" s="14">
        <f t="shared" si="634"/>
        <v>1101022</v>
      </c>
      <c r="AK371" s="14" t="str">
        <f t="shared" si="635"/>
        <v>幻7突</v>
      </c>
      <c r="AL371" s="25" t="s">
        <v>142</v>
      </c>
      <c r="AM371" s="14">
        <v>1</v>
      </c>
      <c r="AN371" s="14">
        <f t="shared" si="636"/>
        <v>7</v>
      </c>
      <c r="AO371" s="14">
        <f>INDEX(属性投放!$DF$6:$DF$85,(卡牌属性!AG371-2)*20+卡牌属性!AN371)</f>
        <v>1077</v>
      </c>
      <c r="AP371" s="14">
        <f t="shared" si="698"/>
        <v>1077</v>
      </c>
      <c r="AQ371" s="14">
        <f t="shared" si="698"/>
        <v>1077</v>
      </c>
      <c r="AR371" s="14">
        <f t="shared" si="698"/>
        <v>1077</v>
      </c>
      <c r="AS371" s="14">
        <f t="shared" si="698"/>
        <v>1077</v>
      </c>
      <c r="AT371" s="14">
        <f>INDEX(属性投放!$DG$6:$DG$85,(卡牌属性!AG371-2)*20+卡牌属性!AN371)</f>
        <v>488</v>
      </c>
      <c r="AU371" s="14">
        <f t="shared" si="699"/>
        <v>488</v>
      </c>
      <c r="AV371" s="14">
        <f t="shared" si="699"/>
        <v>488</v>
      </c>
      <c r="AW371" s="14">
        <f t="shared" si="699"/>
        <v>488</v>
      </c>
      <c r="AX371" s="14">
        <f t="shared" si="699"/>
        <v>488</v>
      </c>
      <c r="AY371" s="14">
        <f>INDEX(属性投放!$DH$6:$DH$85,(卡牌属性!AG371-2)*20+卡牌属性!AN371)</f>
        <v>6797</v>
      </c>
      <c r="AZ371" s="14">
        <f t="shared" si="700"/>
        <v>6797</v>
      </c>
      <c r="BA371" s="14">
        <f t="shared" si="700"/>
        <v>6797</v>
      </c>
      <c r="BB371" s="14">
        <f t="shared" si="700"/>
        <v>6797</v>
      </c>
      <c r="BC371" s="14">
        <f t="shared" si="700"/>
        <v>6797</v>
      </c>
      <c r="BD371" s="14">
        <f>INDEX(属性投放!$DL$6:$DL$85,(卡牌属性!AG371-2)*20+卡牌属性!AN371)</f>
        <v>36</v>
      </c>
      <c r="BE371" s="14">
        <f t="shared" si="701"/>
        <v>36</v>
      </c>
      <c r="BF371" s="14">
        <f t="shared" si="701"/>
        <v>36</v>
      </c>
      <c r="BG371" s="14">
        <f t="shared" si="701"/>
        <v>36</v>
      </c>
      <c r="BH371" s="14">
        <f t="shared" si="701"/>
        <v>36</v>
      </c>
      <c r="BI371" s="14">
        <f>INDEX(属性投放!$DM$6:$DM$85,(卡牌属性!AG371-2)*20+卡牌属性!AN371)</f>
        <v>18</v>
      </c>
      <c r="BJ371" s="14">
        <f t="shared" si="702"/>
        <v>18</v>
      </c>
      <c r="BK371" s="14">
        <f t="shared" si="702"/>
        <v>18</v>
      </c>
      <c r="BL371" s="14">
        <f t="shared" si="702"/>
        <v>18</v>
      </c>
      <c r="BM371" s="14">
        <f t="shared" si="702"/>
        <v>18</v>
      </c>
      <c r="BN371" s="14">
        <f>INDEX(属性投放!$DN$6:$DN$85,(卡牌属性!AG371-2)*20+卡牌属性!AN371)</f>
        <v>286</v>
      </c>
      <c r="BO371" s="14">
        <f t="shared" si="703"/>
        <v>286</v>
      </c>
      <c r="BP371" s="14">
        <f t="shared" si="703"/>
        <v>286</v>
      </c>
      <c r="BQ371" s="14">
        <f t="shared" si="703"/>
        <v>286</v>
      </c>
      <c r="BR371" s="14">
        <f t="shared" si="703"/>
        <v>286</v>
      </c>
      <c r="BW371" s="13">
        <v>367</v>
      </c>
      <c r="BX371" s="13">
        <f t="shared" si="643"/>
        <v>19</v>
      </c>
      <c r="BY371" s="14">
        <f t="shared" si="644"/>
        <v>2</v>
      </c>
      <c r="BZ371" s="14">
        <f t="shared" si="653"/>
        <v>1102019</v>
      </c>
      <c r="CA371" s="14" t="str">
        <f t="shared" si="654"/>
        <v>食火蜥7突</v>
      </c>
      <c r="CB371" s="25" t="s">
        <v>142</v>
      </c>
      <c r="CC371" s="14">
        <v>2</v>
      </c>
      <c r="CD371" s="14">
        <f t="shared" si="645"/>
        <v>7</v>
      </c>
      <c r="CE371" s="14" t="s">
        <v>21</v>
      </c>
      <c r="CF371" s="14">
        <f>INDEX(属性投放!$AZ$6:$AZ$85,(BY371-2)*20+CD371)</f>
        <v>1076</v>
      </c>
      <c r="CG371" s="14" t="s">
        <v>22</v>
      </c>
      <c r="CH371" s="14">
        <f>INDEX(属性投放!$BA$6:$BA$85,(BY371-2)*20+CD371)</f>
        <v>493</v>
      </c>
      <c r="CI371" s="14" t="s">
        <v>510</v>
      </c>
      <c r="CJ371" s="14">
        <f>INDEX(属性投放!$BB$6:$BB$85,(BY371-2)*20+CD371)</f>
        <v>6782</v>
      </c>
      <c r="CK371" s="14" t="s">
        <v>21</v>
      </c>
      <c r="CL371" s="14">
        <f>INDEX(属性投放!$BC$6:$BC$85,(BY371-2)*20+CD371)</f>
        <v>10</v>
      </c>
      <c r="CM371" s="14" t="s">
        <v>22</v>
      </c>
      <c r="CN371" s="14">
        <f>INDEX(属性投放!$BD$6:$BD$85,(BY371-2)*20+CD371)</f>
        <v>5</v>
      </c>
      <c r="CO371" s="14" t="s">
        <v>510</v>
      </c>
      <c r="CP371" s="14">
        <f>INDEX(属性投放!$BE$6:$BE$85,(BY371-2)*20+CD371)</f>
        <v>80</v>
      </c>
      <c r="CS371" s="13">
        <v>367</v>
      </c>
      <c r="CT371" s="13">
        <f t="shared" si="655"/>
        <v>8</v>
      </c>
      <c r="CU371" s="13">
        <f t="shared" si="656"/>
        <v>3</v>
      </c>
      <c r="CV371" s="14">
        <f t="shared" si="657"/>
        <v>4</v>
      </c>
      <c r="CW371" s="14">
        <f t="shared" si="658"/>
        <v>1102008</v>
      </c>
      <c r="CX371" s="14" t="str">
        <f>INDEX($O$6:$O$50,CT371)&amp;"-"&amp;INDEX(属性投放!$AB$7:$AB$50,CZ371)&amp;"-魂火-"&amp;DB371</f>
        <v>夏侯渊-黑绳-魂火-2</v>
      </c>
      <c r="CY371" s="25" t="s">
        <v>142</v>
      </c>
      <c r="CZ371" s="14">
        <f>INDEX(属性投放!$AM$7:$AM$58,CU371)</f>
        <v>2</v>
      </c>
      <c r="DA371" s="14" t="s">
        <v>537</v>
      </c>
      <c r="DB371" s="14">
        <f>INDEX(属性投放!$AN$7:$AN$58,CU371)</f>
        <v>2</v>
      </c>
      <c r="DC371" s="14">
        <f t="shared" si="646"/>
        <v>3</v>
      </c>
      <c r="DD371" s="14">
        <f>INDEX(属性投放!$AO$7:$AO$58,DC371)</f>
        <v>13</v>
      </c>
      <c r="DE371" s="14" t="s">
        <v>538</v>
      </c>
      <c r="DF371" s="14">
        <f>INDEX(属性投放!$BK$6:$BK$85,(CV371-2)*20+CZ371)</f>
        <v>30</v>
      </c>
      <c r="DG371" s="14">
        <f>SUMIFS(DF$5:DF371,$CT$5:$CT371,"="&amp;$CT371)</f>
        <v>85</v>
      </c>
      <c r="DH371" s="14" t="s">
        <v>539</v>
      </c>
      <c r="DI371" s="14">
        <f>INDEX(属性投放!$BL$6:$BL$85,(CV371-2)*20+CZ371)</f>
        <v>15</v>
      </c>
      <c r="DJ371" s="14">
        <f>SUMIFS(DI$5:DI371,$CT$5:$CT371,"="&amp;$CT371)</f>
        <v>43</v>
      </c>
      <c r="DK371" s="14" t="s">
        <v>540</v>
      </c>
      <c r="DL371" s="14">
        <f>INDEX(属性投放!$BM$6:$BM$85,(CV371-2)*20+CZ371)</f>
        <v>180</v>
      </c>
      <c r="DM371" s="14">
        <f>SUMIFS(DL$5:DL371,$CT$5:$CT371,"="&amp;$CT371)</f>
        <v>510</v>
      </c>
      <c r="DR371" s="14">
        <f t="shared" si="647"/>
        <v>1102019</v>
      </c>
      <c r="DS371" s="14" t="str">
        <f t="shared" si="648"/>
        <v>食火蜥7突</v>
      </c>
      <c r="DT371" s="14">
        <f t="shared" si="659"/>
        <v>1</v>
      </c>
      <c r="DU371" s="14">
        <f t="shared" si="660"/>
        <v>6</v>
      </c>
      <c r="DV371" s="14">
        <f t="shared" si="661"/>
        <v>4</v>
      </c>
      <c r="DW371" s="14">
        <f t="shared" si="649"/>
        <v>2</v>
      </c>
      <c r="DX371" s="14">
        <f t="shared" si="650"/>
        <v>7</v>
      </c>
      <c r="DY371" s="14">
        <f t="shared" si="651"/>
        <v>7</v>
      </c>
      <c r="DZ371" s="14">
        <f>INDEX(属性投放!$AX$6:$AX$85,(卡牌属性!DW371-2)*20+卡牌属性!DX371)</f>
        <v>5</v>
      </c>
      <c r="EA371" s="14">
        <f>INDEX(属性投放!BQ$6:BQ$85,卡牌属性!$DY371)</f>
        <v>100</v>
      </c>
      <c r="EB371" s="14">
        <f>INDEX(属性投放!BR$6:BR$85,卡牌属性!$DY371)</f>
        <v>50</v>
      </c>
      <c r="EC371" s="14">
        <f>INDEX(属性投放!BS$6:BS$85,卡牌属性!$DY371)</f>
        <v>800</v>
      </c>
      <c r="ED371" s="14">
        <f t="shared" si="704"/>
        <v>617</v>
      </c>
      <c r="EE371" s="14">
        <f t="shared" si="705"/>
        <v>668</v>
      </c>
      <c r="EF371" s="14">
        <f t="shared" si="706"/>
        <v>761</v>
      </c>
      <c r="EG371" s="14">
        <f t="shared" si="707"/>
        <v>761</v>
      </c>
      <c r="EH371" s="14">
        <f t="shared" si="708"/>
        <v>874</v>
      </c>
      <c r="EI371" s="14">
        <f t="shared" si="709"/>
        <v>507</v>
      </c>
      <c r="EJ371" s="14">
        <f t="shared" si="710"/>
        <v>627</v>
      </c>
      <c r="EK371" s="14">
        <f t="shared" si="711"/>
        <v>627</v>
      </c>
      <c r="EL371" s="14">
        <f t="shared" si="712"/>
        <v>698</v>
      </c>
      <c r="EM371" s="14">
        <f t="shared" si="713"/>
        <v>791</v>
      </c>
      <c r="EN371" s="14">
        <f t="shared" si="714"/>
        <v>5354</v>
      </c>
      <c r="EO371" s="14">
        <f t="shared" si="715"/>
        <v>6050</v>
      </c>
      <c r="EP371" s="14">
        <f t="shared" si="716"/>
        <v>6050</v>
      </c>
      <c r="EQ371" s="14">
        <f t="shared" si="717"/>
        <v>6642</v>
      </c>
      <c r="ER371" s="14">
        <f t="shared" si="718"/>
        <v>8278</v>
      </c>
      <c r="ES371" s="14">
        <f>INDEX(属性偏向!$S$4:$S$243,(卡牌属性!$DT371-1+ES$3)*20+卡牌属性!$DX371)</f>
        <v>6</v>
      </c>
      <c r="ET371" s="14">
        <f>INDEX(属性偏向!$S$4:$S$243,(卡牌属性!$DT371-1+ET$3)*20+卡牌属性!$DX371)</f>
        <v>8</v>
      </c>
      <c r="EU371" s="14">
        <f>INDEX(属性偏向!$S$4:$S$243,(卡牌属性!$DT371-1+EU$3)*20+卡牌属性!$DX371)</f>
        <v>10</v>
      </c>
      <c r="EV371" s="14">
        <f>INDEX(属性偏向!$S$4:$S$243,(卡牌属性!$DT371-1+EV$3)*20+卡牌属性!$DX371)</f>
        <v>10</v>
      </c>
      <c r="EW371" s="14">
        <f>INDEX(属性偏向!$S$4:$S$243,(卡牌属性!$DT371-1+EW$3)*20+卡牌属性!$DX371)</f>
        <v>12</v>
      </c>
      <c r="EX371" s="14">
        <f>INDEX(属性偏向!$T$4:$T$243,(卡牌属性!$DU371-1+EX$3)*20+卡牌属性!$DX371)</f>
        <v>8</v>
      </c>
      <c r="EY371" s="14">
        <f>INDEX(属性偏向!$T$4:$T$243,(卡牌属性!$DU371-1+EY$3)*20+卡牌属性!$DX371)</f>
        <v>13</v>
      </c>
      <c r="EZ371" s="14">
        <f>INDEX(属性偏向!$T$4:$T$243,(卡牌属性!$DU371-1+EZ$3)*20+卡牌属性!$DX371)</f>
        <v>13</v>
      </c>
      <c r="FA371" s="14">
        <f>INDEX(属性偏向!$T$4:$T$243,(卡牌属性!$DU371-1+FA$3)*20+卡牌属性!$DX371)</f>
        <v>14</v>
      </c>
      <c r="FB371" s="14">
        <f>INDEX(属性偏向!$T$4:$T$243,(卡牌属性!$DU371-1+FB$3)*20+卡牌属性!$DX371)</f>
        <v>15</v>
      </c>
      <c r="FC371" s="14">
        <f>INDEX(属性偏向!$U$4:$U$243,(卡牌属性!$DV371-1+FC$3)*20+卡牌属性!$DX371)</f>
        <v>96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128</v>
      </c>
      <c r="FG371" s="14">
        <f>INDEX(属性偏向!$U$4:$U$243,(卡牌属性!$DV371-1+FG$3)*20+卡牌属性!$DX371)</f>
        <v>200</v>
      </c>
      <c r="FH371" s="14">
        <f>INDEX(属性投放!$BQ$6:$BQ$85,(卡牌属性!$DW371-2)*20+卡牌属性!$DX371)</f>
        <v>100</v>
      </c>
      <c r="FI371" s="14">
        <f>INDEX(属性投放!$BQ$6:$BQ$85,(卡牌属性!$DW371-2)*20+卡牌属性!$DX371)</f>
        <v>100</v>
      </c>
      <c r="FJ371" s="14">
        <f>INDEX(属性投放!$BQ$6:$BQ$85,(卡牌属性!$DW371-2)*20+卡牌属性!$DX371)</f>
        <v>100</v>
      </c>
      <c r="FK371" s="14">
        <f>INDEX(属性投放!$BQ$6:$BQ$85,(卡牌属性!$DW371-2)*20+卡牌属性!$DX371)</f>
        <v>100</v>
      </c>
      <c r="FL371" s="14">
        <f>INDEX(属性投放!$BQ$6:$BQ$85,(卡牌属性!$DW371-2)*20+卡牌属性!$DX371)</f>
        <v>100</v>
      </c>
      <c r="FM371" s="14">
        <f>INDEX(属性投放!$BR$6:$BR$85,(卡牌属性!$DW371-2)*20+卡牌属性!$DX371)</f>
        <v>50</v>
      </c>
      <c r="FN371" s="14">
        <f>INDEX(属性投放!$BR$6:$BR$85,(卡牌属性!$DW371-2)*20+卡牌属性!$DX371)</f>
        <v>50</v>
      </c>
      <c r="FO371" s="14">
        <f>INDEX(属性投放!$BR$6:$BR$85,(卡牌属性!$DW371-2)*20+卡牌属性!$DX371)</f>
        <v>50</v>
      </c>
      <c r="FP371" s="14">
        <f>INDEX(属性投放!$BR$6:$BR$85,(卡牌属性!$DW371-2)*20+卡牌属性!$DX371)</f>
        <v>50</v>
      </c>
      <c r="FQ371" s="14">
        <f>INDEX(属性投放!$BR$6:$BR$85,(卡牌属性!$DW371-2)*20+卡牌属性!$DX371)</f>
        <v>50</v>
      </c>
      <c r="FR371" s="14">
        <f>INDEX(属性投放!$BS$6:$BS$85,(卡牌属性!$DW371-2)*20+卡牌属性!$DX371)</f>
        <v>800</v>
      </c>
      <c r="FS371" s="14">
        <f>INDEX(属性投放!$BS$6:$BS$85,(卡牌属性!$DW371-2)*20+卡牌属性!$DX371)</f>
        <v>800</v>
      </c>
      <c r="FT371" s="14">
        <f>INDEX(属性投放!$BS$6:$BS$85,(卡牌属性!$DW371-2)*20+卡牌属性!$DX371)</f>
        <v>800</v>
      </c>
      <c r="FU371" s="14">
        <f>INDEX(属性投放!$BS$6:$BS$85,(卡牌属性!$DW371-2)*20+卡牌属性!$DX371)</f>
        <v>800</v>
      </c>
      <c r="FV371" s="14">
        <f>INDEX(属性投放!$BS$6:$BS$85,(卡牌属性!$DW371-2)*20+卡牌属性!$DX371)</f>
        <v>800</v>
      </c>
    </row>
    <row r="372" spans="31:178" ht="16.5" x14ac:dyDescent="0.2">
      <c r="AE372" s="13">
        <v>368</v>
      </c>
      <c r="AF372" s="13">
        <f t="shared" si="652"/>
        <v>19</v>
      </c>
      <c r="AG372" s="13">
        <f t="shared" si="633"/>
        <v>2</v>
      </c>
      <c r="AH372" s="13"/>
      <c r="AI372" s="13"/>
      <c r="AJ372" s="14">
        <f t="shared" si="634"/>
        <v>1101022</v>
      </c>
      <c r="AK372" s="14" t="str">
        <f t="shared" si="635"/>
        <v>幻8突</v>
      </c>
      <c r="AL372" s="25" t="s">
        <v>142</v>
      </c>
      <c r="AM372" s="14">
        <v>1</v>
      </c>
      <c r="AN372" s="14">
        <f t="shared" si="636"/>
        <v>8</v>
      </c>
      <c r="AO372" s="14">
        <f>INDEX(属性投放!$DF$6:$DF$85,(卡牌属性!AG372-2)*20+卡牌属性!AN372)</f>
        <v>1179</v>
      </c>
      <c r="AP372" s="14">
        <f t="shared" si="698"/>
        <v>1179</v>
      </c>
      <c r="AQ372" s="14">
        <f t="shared" si="698"/>
        <v>1179</v>
      </c>
      <c r="AR372" s="14">
        <f t="shared" si="698"/>
        <v>1179</v>
      </c>
      <c r="AS372" s="14">
        <f t="shared" si="698"/>
        <v>1179</v>
      </c>
      <c r="AT372" s="14">
        <f>INDEX(属性投放!$DG$6:$DG$85,(卡牌属性!AG372-2)*20+卡牌属性!AN372)</f>
        <v>539</v>
      </c>
      <c r="AU372" s="14">
        <f t="shared" si="699"/>
        <v>539</v>
      </c>
      <c r="AV372" s="14">
        <f t="shared" si="699"/>
        <v>539</v>
      </c>
      <c r="AW372" s="14">
        <f t="shared" si="699"/>
        <v>539</v>
      </c>
      <c r="AX372" s="14">
        <f t="shared" si="699"/>
        <v>539</v>
      </c>
      <c r="AY372" s="14">
        <f>INDEX(属性投放!$DH$6:$DH$85,(卡牌属性!AG372-2)*20+卡牌属性!AN372)</f>
        <v>7613</v>
      </c>
      <c r="AZ372" s="14">
        <f t="shared" si="700"/>
        <v>7613</v>
      </c>
      <c r="BA372" s="14">
        <f t="shared" si="700"/>
        <v>7613</v>
      </c>
      <c r="BB372" s="14">
        <f t="shared" si="700"/>
        <v>7613</v>
      </c>
      <c r="BC372" s="14">
        <f t="shared" si="700"/>
        <v>7613</v>
      </c>
      <c r="BD372" s="14">
        <f>INDEX(属性投放!$DL$6:$DL$85,(卡牌属性!AG372-2)*20+卡牌属性!AN372)</f>
        <v>36</v>
      </c>
      <c r="BE372" s="14">
        <f t="shared" si="701"/>
        <v>36</v>
      </c>
      <c r="BF372" s="14">
        <f t="shared" si="701"/>
        <v>36</v>
      </c>
      <c r="BG372" s="14">
        <f t="shared" si="701"/>
        <v>36</v>
      </c>
      <c r="BH372" s="14">
        <f t="shared" si="701"/>
        <v>36</v>
      </c>
      <c r="BI372" s="14">
        <f>INDEX(属性投放!$DM$6:$DM$85,(卡牌属性!AG372-2)*20+卡牌属性!AN372)</f>
        <v>18</v>
      </c>
      <c r="BJ372" s="14">
        <f t="shared" si="702"/>
        <v>18</v>
      </c>
      <c r="BK372" s="14">
        <f t="shared" si="702"/>
        <v>18</v>
      </c>
      <c r="BL372" s="14">
        <f t="shared" si="702"/>
        <v>18</v>
      </c>
      <c r="BM372" s="14">
        <f t="shared" si="702"/>
        <v>18</v>
      </c>
      <c r="BN372" s="14">
        <f>INDEX(属性投放!$DN$6:$DN$85,(卡牌属性!AG372-2)*20+卡牌属性!AN372)</f>
        <v>286</v>
      </c>
      <c r="BO372" s="14">
        <f t="shared" si="703"/>
        <v>286</v>
      </c>
      <c r="BP372" s="14">
        <f t="shared" si="703"/>
        <v>286</v>
      </c>
      <c r="BQ372" s="14">
        <f t="shared" si="703"/>
        <v>286</v>
      </c>
      <c r="BR372" s="14">
        <f t="shared" si="703"/>
        <v>286</v>
      </c>
      <c r="BW372" s="13">
        <v>368</v>
      </c>
      <c r="BX372" s="13">
        <f t="shared" si="643"/>
        <v>19</v>
      </c>
      <c r="BY372" s="14">
        <f t="shared" si="644"/>
        <v>2</v>
      </c>
      <c r="BZ372" s="14">
        <f t="shared" si="653"/>
        <v>1102019</v>
      </c>
      <c r="CA372" s="14" t="str">
        <f t="shared" si="654"/>
        <v>食火蜥8突</v>
      </c>
      <c r="CB372" s="25" t="s">
        <v>142</v>
      </c>
      <c r="CC372" s="14">
        <v>2</v>
      </c>
      <c r="CD372" s="14">
        <f t="shared" si="645"/>
        <v>8</v>
      </c>
      <c r="CE372" s="14" t="s">
        <v>21</v>
      </c>
      <c r="CF372" s="14">
        <f>INDEX(属性投放!$AZ$6:$AZ$85,(BY372-2)*20+CD372)</f>
        <v>1336</v>
      </c>
      <c r="CG372" s="14" t="s">
        <v>22</v>
      </c>
      <c r="CH372" s="14">
        <f>INDEX(属性投放!$BA$6:$BA$85,(BY372-2)*20+CD372)</f>
        <v>624</v>
      </c>
      <c r="CI372" s="14" t="s">
        <v>510</v>
      </c>
      <c r="CJ372" s="14">
        <f>INDEX(属性投放!$BB$6:$BB$85,(BY372-2)*20+CD372)</f>
        <v>8862</v>
      </c>
      <c r="CK372" s="14" t="s">
        <v>21</v>
      </c>
      <c r="CL372" s="14">
        <f>INDEX(属性投放!$BC$6:$BC$85,(BY372-2)*20+CD372)</f>
        <v>10</v>
      </c>
      <c r="CM372" s="14" t="s">
        <v>22</v>
      </c>
      <c r="CN372" s="14">
        <f>INDEX(属性投放!$BD$6:$BD$85,(BY372-2)*20+CD372)</f>
        <v>5</v>
      </c>
      <c r="CO372" s="14" t="s">
        <v>510</v>
      </c>
      <c r="CP372" s="14">
        <f>INDEX(属性投放!$BE$6:$BE$85,(BY372-2)*20+CD372)</f>
        <v>80</v>
      </c>
      <c r="CS372" s="13">
        <v>368</v>
      </c>
      <c r="CT372" s="13">
        <f t="shared" si="655"/>
        <v>8</v>
      </c>
      <c r="CU372" s="13">
        <f t="shared" si="656"/>
        <v>4</v>
      </c>
      <c r="CV372" s="14">
        <f t="shared" si="657"/>
        <v>4</v>
      </c>
      <c r="CW372" s="14">
        <f t="shared" si="658"/>
        <v>1102008</v>
      </c>
      <c r="CX372" s="14" t="str">
        <f>INDEX($O$6:$O$50,CT372)&amp;"-"&amp;INDEX(属性投放!$AB$7:$AB$50,CZ372)&amp;"-魂火-"&amp;DB372</f>
        <v>夏侯渊-黑绳+1-魂火-1</v>
      </c>
      <c r="CY372" s="25" t="s">
        <v>142</v>
      </c>
      <c r="CZ372" s="14">
        <f>INDEX(属性投放!$AM$7:$AM$58,CU372)</f>
        <v>3</v>
      </c>
      <c r="DA372" s="14" t="s">
        <v>537</v>
      </c>
      <c r="DB372" s="14">
        <f>INDEX(属性投放!$AN$7:$AN$58,CU372)</f>
        <v>1</v>
      </c>
      <c r="DC372" s="14">
        <f t="shared" si="646"/>
        <v>4</v>
      </c>
      <c r="DD372" s="14">
        <f>INDEX(属性投放!$AO$7:$AO$58,DC372)</f>
        <v>18</v>
      </c>
      <c r="DE372" s="14" t="s">
        <v>538</v>
      </c>
      <c r="DF372" s="14">
        <f>INDEX(属性投放!$BK$6:$BK$85,(CV372-2)*20+CZ372)</f>
        <v>35</v>
      </c>
      <c r="DG372" s="14">
        <f>SUMIFS(DF$5:DF372,$CT$5:$CT372,"="&amp;$CT372)</f>
        <v>120</v>
      </c>
      <c r="DH372" s="14" t="s">
        <v>539</v>
      </c>
      <c r="DI372" s="14">
        <f>INDEX(属性投放!$BL$6:$BL$85,(CV372-2)*20+CZ372)</f>
        <v>18</v>
      </c>
      <c r="DJ372" s="14">
        <f>SUMIFS(DI$5:DI372,$CT$5:$CT372,"="&amp;$CT372)</f>
        <v>61</v>
      </c>
      <c r="DK372" s="14" t="s">
        <v>540</v>
      </c>
      <c r="DL372" s="14">
        <f>INDEX(属性投放!$BM$6:$BM$85,(CV372-2)*20+CZ372)</f>
        <v>210</v>
      </c>
      <c r="DM372" s="14">
        <f>SUMIFS(DL$5:DL372,$CT$5:$CT372,"="&amp;$CT372)</f>
        <v>720</v>
      </c>
      <c r="DR372" s="14">
        <f t="shared" si="647"/>
        <v>1102019</v>
      </c>
      <c r="DS372" s="14" t="str">
        <f t="shared" si="648"/>
        <v>食火蜥8突</v>
      </c>
      <c r="DT372" s="14">
        <f t="shared" si="659"/>
        <v>1</v>
      </c>
      <c r="DU372" s="14">
        <f t="shared" si="660"/>
        <v>6</v>
      </c>
      <c r="DV372" s="14">
        <f t="shared" si="661"/>
        <v>4</v>
      </c>
      <c r="DW372" s="14">
        <f t="shared" si="649"/>
        <v>2</v>
      </c>
      <c r="DX372" s="14">
        <f t="shared" si="650"/>
        <v>8</v>
      </c>
      <c r="DY372" s="14">
        <f t="shared" si="651"/>
        <v>8</v>
      </c>
      <c r="DZ372" s="14">
        <f>INDEX(属性投放!$AX$6:$AX$85,(卡牌属性!DW372-2)*20+卡牌属性!DX372)</f>
        <v>5</v>
      </c>
      <c r="EA372" s="14">
        <f>INDEX(属性投放!BQ$6:BQ$85,卡牌属性!$DY372)</f>
        <v>100</v>
      </c>
      <c r="EB372" s="14">
        <f>INDEX(属性投放!BR$6:BR$85,卡牌属性!$DY372)</f>
        <v>50</v>
      </c>
      <c r="EC372" s="14">
        <f>INDEX(属性投放!BS$6:BS$85,卡牌属性!$DY372)</f>
        <v>800</v>
      </c>
      <c r="ED372" s="14">
        <f t="shared" si="704"/>
        <v>747</v>
      </c>
      <c r="EE372" s="14">
        <f t="shared" si="705"/>
        <v>808</v>
      </c>
      <c r="EF372" s="14">
        <f t="shared" si="706"/>
        <v>911</v>
      </c>
      <c r="EG372" s="14">
        <f t="shared" si="707"/>
        <v>911</v>
      </c>
      <c r="EH372" s="14">
        <f t="shared" si="708"/>
        <v>1034</v>
      </c>
      <c r="EI372" s="14">
        <f t="shared" si="709"/>
        <v>597</v>
      </c>
      <c r="EJ372" s="14">
        <f t="shared" si="710"/>
        <v>742</v>
      </c>
      <c r="EK372" s="14">
        <f t="shared" si="711"/>
        <v>742</v>
      </c>
      <c r="EL372" s="14">
        <f t="shared" si="712"/>
        <v>818</v>
      </c>
      <c r="EM372" s="14">
        <f t="shared" si="713"/>
        <v>916</v>
      </c>
      <c r="EN372" s="14">
        <f t="shared" si="714"/>
        <v>6634</v>
      </c>
      <c r="EO372" s="14">
        <f t="shared" si="715"/>
        <v>7450</v>
      </c>
      <c r="EP372" s="14">
        <f t="shared" si="716"/>
        <v>7450</v>
      </c>
      <c r="EQ372" s="14">
        <f t="shared" si="717"/>
        <v>8082</v>
      </c>
      <c r="ER372" s="14">
        <f t="shared" si="718"/>
        <v>10078</v>
      </c>
      <c r="ES372" s="14">
        <f>INDEX(属性偏向!$S$4:$S$243,(卡牌属性!$DT372-1+ES$3)*20+卡牌属性!$DX372)</f>
        <v>6</v>
      </c>
      <c r="ET372" s="14">
        <f>INDEX(属性偏向!$S$4:$S$243,(卡牌属性!$DT372-1+ET$3)*20+卡牌属性!$DX372)</f>
        <v>8</v>
      </c>
      <c r="EU372" s="14">
        <f>INDEX(属性偏向!$S$4:$S$243,(卡牌属性!$DT372-1+EU$3)*20+卡牌属性!$DX372)</f>
        <v>10</v>
      </c>
      <c r="EV372" s="14">
        <f>INDEX(属性偏向!$S$4:$S$243,(卡牌属性!$DT372-1+EV$3)*20+卡牌属性!$DX372)</f>
        <v>10</v>
      </c>
      <c r="EW372" s="14">
        <f>INDEX(属性偏向!$S$4:$S$243,(卡牌属性!$DT372-1+EW$3)*20+卡牌属性!$DX372)</f>
        <v>12</v>
      </c>
      <c r="EX372" s="14">
        <f>INDEX(属性偏向!$T$4:$T$243,(卡牌属性!$DU372-1+EX$3)*20+卡牌属性!$DX372)</f>
        <v>8</v>
      </c>
      <c r="EY372" s="14">
        <f>INDEX(属性偏向!$T$4:$T$243,(卡牌属性!$DU372-1+EY$3)*20+卡牌属性!$DX372)</f>
        <v>13</v>
      </c>
      <c r="EZ372" s="14">
        <f>INDEX(属性偏向!$T$4:$T$243,(卡牌属性!$DU372-1+EZ$3)*20+卡牌属性!$DX372)</f>
        <v>13</v>
      </c>
      <c r="FA372" s="14">
        <f>INDEX(属性偏向!$T$4:$T$243,(卡牌属性!$DU372-1+FA$3)*20+卡牌属性!$DX372)</f>
        <v>14</v>
      </c>
      <c r="FB372" s="14">
        <f>INDEX(属性偏向!$T$4:$T$243,(卡牌属性!$DU372-1+FB$3)*20+卡牌属性!$DX372)</f>
        <v>15</v>
      </c>
      <c r="FC372" s="14">
        <f>INDEX(属性偏向!$U$4:$U$243,(卡牌属性!$DV372-1+FC$3)*20+卡牌属性!$DX372)</f>
        <v>96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128</v>
      </c>
      <c r="FG372" s="14">
        <f>INDEX(属性偏向!$U$4:$U$243,(卡牌属性!$DV372-1+FG$3)*20+卡牌属性!$DX372)</f>
        <v>200</v>
      </c>
      <c r="FH372" s="14">
        <f>INDEX(属性投放!$BQ$6:$BQ$85,(卡牌属性!$DW372-2)*20+卡牌属性!$DX372)</f>
        <v>100</v>
      </c>
      <c r="FI372" s="14">
        <f>INDEX(属性投放!$BQ$6:$BQ$85,(卡牌属性!$DW372-2)*20+卡牌属性!$DX372)</f>
        <v>100</v>
      </c>
      <c r="FJ372" s="14">
        <f>INDEX(属性投放!$BQ$6:$BQ$85,(卡牌属性!$DW372-2)*20+卡牌属性!$DX372)</f>
        <v>100</v>
      </c>
      <c r="FK372" s="14">
        <f>INDEX(属性投放!$BQ$6:$BQ$85,(卡牌属性!$DW372-2)*20+卡牌属性!$DX372)</f>
        <v>100</v>
      </c>
      <c r="FL372" s="14">
        <f>INDEX(属性投放!$BQ$6:$BQ$85,(卡牌属性!$DW372-2)*20+卡牌属性!$DX372)</f>
        <v>100</v>
      </c>
      <c r="FM372" s="14">
        <f>INDEX(属性投放!$BR$6:$BR$85,(卡牌属性!$DW372-2)*20+卡牌属性!$DX372)</f>
        <v>50</v>
      </c>
      <c r="FN372" s="14">
        <f>INDEX(属性投放!$BR$6:$BR$85,(卡牌属性!$DW372-2)*20+卡牌属性!$DX372)</f>
        <v>50</v>
      </c>
      <c r="FO372" s="14">
        <f>INDEX(属性投放!$BR$6:$BR$85,(卡牌属性!$DW372-2)*20+卡牌属性!$DX372)</f>
        <v>50</v>
      </c>
      <c r="FP372" s="14">
        <f>INDEX(属性投放!$BR$6:$BR$85,(卡牌属性!$DW372-2)*20+卡牌属性!$DX372)</f>
        <v>50</v>
      </c>
      <c r="FQ372" s="14">
        <f>INDEX(属性投放!$BR$6:$BR$85,(卡牌属性!$DW372-2)*20+卡牌属性!$DX372)</f>
        <v>50</v>
      </c>
      <c r="FR372" s="14">
        <f>INDEX(属性投放!$BS$6:$BS$85,(卡牌属性!$DW372-2)*20+卡牌属性!$DX372)</f>
        <v>800</v>
      </c>
      <c r="FS372" s="14">
        <f>INDEX(属性投放!$BS$6:$BS$85,(卡牌属性!$DW372-2)*20+卡牌属性!$DX372)</f>
        <v>800</v>
      </c>
      <c r="FT372" s="14">
        <f>INDEX(属性投放!$BS$6:$BS$85,(卡牌属性!$DW372-2)*20+卡牌属性!$DX372)</f>
        <v>800</v>
      </c>
      <c r="FU372" s="14">
        <f>INDEX(属性投放!$BS$6:$BS$85,(卡牌属性!$DW372-2)*20+卡牌属性!$DX372)</f>
        <v>800</v>
      </c>
      <c r="FV372" s="14">
        <f>INDEX(属性投放!$BS$6:$BS$85,(卡牌属性!$DW372-2)*20+卡牌属性!$DX372)</f>
        <v>800</v>
      </c>
    </row>
    <row r="373" spans="31:178" ht="16.5" x14ac:dyDescent="0.2">
      <c r="AE373" s="13">
        <v>369</v>
      </c>
      <c r="AF373" s="13">
        <f t="shared" si="652"/>
        <v>19</v>
      </c>
      <c r="AG373" s="13">
        <f t="shared" si="633"/>
        <v>2</v>
      </c>
      <c r="AH373" s="13"/>
      <c r="AI373" s="13"/>
      <c r="AJ373" s="14">
        <f t="shared" si="634"/>
        <v>1101022</v>
      </c>
      <c r="AK373" s="14" t="str">
        <f t="shared" si="635"/>
        <v>幻9突</v>
      </c>
      <c r="AL373" s="25" t="s">
        <v>142</v>
      </c>
      <c r="AM373" s="14">
        <v>1</v>
      </c>
      <c r="AN373" s="14">
        <f t="shared" si="636"/>
        <v>9</v>
      </c>
      <c r="AO373" s="14">
        <f>INDEX(属性投放!$DF$6:$DF$85,(卡牌属性!AG373-2)*20+卡牌属性!AN373)</f>
        <v>1281</v>
      </c>
      <c r="AP373" s="14">
        <f t="shared" si="698"/>
        <v>1281</v>
      </c>
      <c r="AQ373" s="14">
        <f t="shared" si="698"/>
        <v>1281</v>
      </c>
      <c r="AR373" s="14">
        <f t="shared" si="698"/>
        <v>1281</v>
      </c>
      <c r="AS373" s="14">
        <f t="shared" si="698"/>
        <v>1281</v>
      </c>
      <c r="AT373" s="14">
        <f>INDEX(属性投放!$DG$6:$DG$85,(卡牌属性!AG373-2)*20+卡牌属性!AN373)</f>
        <v>590</v>
      </c>
      <c r="AU373" s="14">
        <f t="shared" si="699"/>
        <v>590</v>
      </c>
      <c r="AV373" s="14">
        <f t="shared" si="699"/>
        <v>590</v>
      </c>
      <c r="AW373" s="14">
        <f t="shared" si="699"/>
        <v>590</v>
      </c>
      <c r="AX373" s="14">
        <f t="shared" si="699"/>
        <v>590</v>
      </c>
      <c r="AY373" s="14">
        <f>INDEX(属性投放!$DH$6:$DH$85,(卡牌属性!AG373-2)*20+卡牌属性!AN373)</f>
        <v>8429</v>
      </c>
      <c r="AZ373" s="14">
        <f t="shared" si="700"/>
        <v>8429</v>
      </c>
      <c r="BA373" s="14">
        <f t="shared" si="700"/>
        <v>8429</v>
      </c>
      <c r="BB373" s="14">
        <f t="shared" si="700"/>
        <v>8429</v>
      </c>
      <c r="BC373" s="14">
        <f t="shared" si="700"/>
        <v>8429</v>
      </c>
      <c r="BD373" s="14">
        <f>INDEX(属性投放!$DL$6:$DL$85,(卡牌属性!AG373-2)*20+卡牌属性!AN373)</f>
        <v>36</v>
      </c>
      <c r="BE373" s="14">
        <f t="shared" si="701"/>
        <v>36</v>
      </c>
      <c r="BF373" s="14">
        <f t="shared" si="701"/>
        <v>36</v>
      </c>
      <c r="BG373" s="14">
        <f t="shared" si="701"/>
        <v>36</v>
      </c>
      <c r="BH373" s="14">
        <f t="shared" si="701"/>
        <v>36</v>
      </c>
      <c r="BI373" s="14">
        <f>INDEX(属性投放!$DM$6:$DM$85,(卡牌属性!AG373-2)*20+卡牌属性!AN373)</f>
        <v>18</v>
      </c>
      <c r="BJ373" s="14">
        <f t="shared" si="702"/>
        <v>18</v>
      </c>
      <c r="BK373" s="14">
        <f t="shared" si="702"/>
        <v>18</v>
      </c>
      <c r="BL373" s="14">
        <f t="shared" si="702"/>
        <v>18</v>
      </c>
      <c r="BM373" s="14">
        <f t="shared" si="702"/>
        <v>18</v>
      </c>
      <c r="BN373" s="14">
        <f>INDEX(属性投放!$DN$6:$DN$85,(卡牌属性!AG373-2)*20+卡牌属性!AN373)</f>
        <v>286</v>
      </c>
      <c r="BO373" s="14">
        <f t="shared" si="703"/>
        <v>286</v>
      </c>
      <c r="BP373" s="14">
        <f t="shared" si="703"/>
        <v>286</v>
      </c>
      <c r="BQ373" s="14">
        <f t="shared" si="703"/>
        <v>286</v>
      </c>
      <c r="BR373" s="14">
        <f t="shared" si="703"/>
        <v>286</v>
      </c>
      <c r="BW373" s="13">
        <v>369</v>
      </c>
      <c r="BX373" s="13">
        <f t="shared" si="643"/>
        <v>19</v>
      </c>
      <c r="BY373" s="14">
        <f t="shared" si="644"/>
        <v>2</v>
      </c>
      <c r="BZ373" s="14">
        <f t="shared" si="653"/>
        <v>1102019</v>
      </c>
      <c r="CA373" s="14" t="str">
        <f t="shared" si="654"/>
        <v>食火蜥9突</v>
      </c>
      <c r="CB373" s="25" t="s">
        <v>142</v>
      </c>
      <c r="CC373" s="14">
        <v>2</v>
      </c>
      <c r="CD373" s="14">
        <f t="shared" si="645"/>
        <v>9</v>
      </c>
      <c r="CE373" s="14" t="s">
        <v>21</v>
      </c>
      <c r="CF373" s="14">
        <f>INDEX(属性投放!$AZ$6:$AZ$85,(BY373-2)*20+CD373)</f>
        <v>1626</v>
      </c>
      <c r="CG373" s="14" t="s">
        <v>22</v>
      </c>
      <c r="CH373" s="14">
        <f>INDEX(属性投放!$BA$6:$BA$85,(BY373-2)*20+CD373)</f>
        <v>769</v>
      </c>
      <c r="CI373" s="14" t="s">
        <v>510</v>
      </c>
      <c r="CJ373" s="14">
        <f>INDEX(属性投放!$BB$6:$BB$85,(BY373-2)*20+CD373)</f>
        <v>11182</v>
      </c>
      <c r="CK373" s="14" t="s">
        <v>21</v>
      </c>
      <c r="CL373" s="14">
        <f>INDEX(属性投放!$BC$6:$BC$85,(BY373-2)*20+CD373)</f>
        <v>10</v>
      </c>
      <c r="CM373" s="14" t="s">
        <v>22</v>
      </c>
      <c r="CN373" s="14">
        <f>INDEX(属性投放!$BD$6:$BD$85,(BY373-2)*20+CD373)</f>
        <v>5</v>
      </c>
      <c r="CO373" s="14" t="s">
        <v>510</v>
      </c>
      <c r="CP373" s="14">
        <f>INDEX(属性投放!$BE$6:$BE$85,(BY373-2)*20+CD373)</f>
        <v>80</v>
      </c>
      <c r="CS373" s="13">
        <v>369</v>
      </c>
      <c r="CT373" s="13">
        <f t="shared" si="655"/>
        <v>8</v>
      </c>
      <c r="CU373" s="13">
        <f t="shared" si="656"/>
        <v>5</v>
      </c>
      <c r="CV373" s="14">
        <f t="shared" si="657"/>
        <v>4</v>
      </c>
      <c r="CW373" s="14">
        <f t="shared" si="658"/>
        <v>1102008</v>
      </c>
      <c r="CX373" s="14" t="str">
        <f>INDEX($O$6:$O$50,CT373)&amp;"-"&amp;INDEX(属性投放!$AB$7:$AB$50,CZ373)&amp;"-魂火-"&amp;DB373</f>
        <v>夏侯渊-黑绳+1-魂火-2</v>
      </c>
      <c r="CY373" s="25" t="s">
        <v>142</v>
      </c>
      <c r="CZ373" s="14">
        <f>INDEX(属性投放!$AM$7:$AM$58,CU373)</f>
        <v>3</v>
      </c>
      <c r="DA373" s="14" t="s">
        <v>537</v>
      </c>
      <c r="DB373" s="14">
        <f>INDEX(属性投放!$AN$7:$AN$58,CU373)</f>
        <v>2</v>
      </c>
      <c r="DC373" s="14">
        <f t="shared" si="646"/>
        <v>5</v>
      </c>
      <c r="DD373" s="14">
        <f>INDEX(属性投放!$AO$7:$AO$58,DC373)</f>
        <v>23</v>
      </c>
      <c r="DE373" s="14" t="s">
        <v>538</v>
      </c>
      <c r="DF373" s="14">
        <f>INDEX(属性投放!$BK$6:$BK$85,(CV373-2)*20+CZ373)</f>
        <v>35</v>
      </c>
      <c r="DG373" s="14">
        <f>SUMIFS(DF$5:DF373,$CT$5:$CT373,"="&amp;$CT373)</f>
        <v>155</v>
      </c>
      <c r="DH373" s="14" t="s">
        <v>539</v>
      </c>
      <c r="DI373" s="14">
        <f>INDEX(属性投放!$BL$6:$BL$85,(CV373-2)*20+CZ373)</f>
        <v>18</v>
      </c>
      <c r="DJ373" s="14">
        <f>SUMIFS(DI$5:DI373,$CT$5:$CT373,"="&amp;$CT373)</f>
        <v>79</v>
      </c>
      <c r="DK373" s="14" t="s">
        <v>540</v>
      </c>
      <c r="DL373" s="14">
        <f>INDEX(属性投放!$BM$6:$BM$85,(CV373-2)*20+CZ373)</f>
        <v>210</v>
      </c>
      <c r="DM373" s="14">
        <f>SUMIFS(DL$5:DL373,$CT$5:$CT373,"="&amp;$CT373)</f>
        <v>930</v>
      </c>
      <c r="DR373" s="14">
        <f t="shared" si="647"/>
        <v>1102019</v>
      </c>
      <c r="DS373" s="14" t="str">
        <f t="shared" si="648"/>
        <v>食火蜥9突</v>
      </c>
      <c r="DT373" s="14">
        <f t="shared" si="659"/>
        <v>1</v>
      </c>
      <c r="DU373" s="14">
        <f t="shared" si="660"/>
        <v>6</v>
      </c>
      <c r="DV373" s="14">
        <f t="shared" si="661"/>
        <v>4</v>
      </c>
      <c r="DW373" s="14">
        <f t="shared" si="649"/>
        <v>2</v>
      </c>
      <c r="DX373" s="14">
        <f t="shared" si="650"/>
        <v>9</v>
      </c>
      <c r="DY373" s="14">
        <f t="shared" si="651"/>
        <v>9</v>
      </c>
      <c r="DZ373" s="14">
        <f>INDEX(属性投放!$AX$6:$AX$85,(卡牌属性!DW373-2)*20+卡牌属性!DX373)</f>
        <v>8</v>
      </c>
      <c r="EA373" s="14">
        <f>INDEX(属性投放!BQ$6:BQ$85,卡牌属性!$DY373)</f>
        <v>150</v>
      </c>
      <c r="EB373" s="14">
        <f>INDEX(属性投放!BR$6:BR$85,卡牌属性!$DY373)</f>
        <v>75</v>
      </c>
      <c r="EC373" s="14">
        <f>INDEX(属性投放!BS$6:BS$85,卡牌属性!$DY373)</f>
        <v>1200</v>
      </c>
      <c r="ED373" s="14">
        <f t="shared" si="704"/>
        <v>877</v>
      </c>
      <c r="EE373" s="14">
        <f t="shared" si="705"/>
        <v>948</v>
      </c>
      <c r="EF373" s="14">
        <f t="shared" si="706"/>
        <v>1061</v>
      </c>
      <c r="EG373" s="14">
        <f t="shared" si="707"/>
        <v>1061</v>
      </c>
      <c r="EH373" s="14">
        <f t="shared" si="708"/>
        <v>1194</v>
      </c>
      <c r="EI373" s="14">
        <f t="shared" si="709"/>
        <v>687</v>
      </c>
      <c r="EJ373" s="14">
        <f t="shared" si="710"/>
        <v>857</v>
      </c>
      <c r="EK373" s="14">
        <f t="shared" si="711"/>
        <v>857</v>
      </c>
      <c r="EL373" s="14">
        <f t="shared" si="712"/>
        <v>938</v>
      </c>
      <c r="EM373" s="14">
        <f t="shared" si="713"/>
        <v>1041</v>
      </c>
      <c r="EN373" s="14">
        <f t="shared" si="714"/>
        <v>7914</v>
      </c>
      <c r="EO373" s="14">
        <f t="shared" si="715"/>
        <v>8850</v>
      </c>
      <c r="EP373" s="14">
        <f t="shared" si="716"/>
        <v>8850</v>
      </c>
      <c r="EQ373" s="14">
        <f t="shared" si="717"/>
        <v>9522</v>
      </c>
      <c r="ER373" s="14">
        <f t="shared" si="718"/>
        <v>11878</v>
      </c>
      <c r="ES373" s="14">
        <f>INDEX(属性偏向!$S$4:$S$243,(卡牌属性!$DT373-1+ES$3)*20+卡牌属性!$DX373)</f>
        <v>6</v>
      </c>
      <c r="ET373" s="14">
        <f>INDEX(属性偏向!$S$4:$S$243,(卡牌属性!$DT373-1+ET$3)*20+卡牌属性!$DX373)</f>
        <v>8</v>
      </c>
      <c r="EU373" s="14">
        <f>INDEX(属性偏向!$S$4:$S$243,(卡牌属性!$DT373-1+EU$3)*20+卡牌属性!$DX373)</f>
        <v>10</v>
      </c>
      <c r="EV373" s="14">
        <f>INDEX(属性偏向!$S$4:$S$243,(卡牌属性!$DT373-1+EV$3)*20+卡牌属性!$DX373)</f>
        <v>10</v>
      </c>
      <c r="EW373" s="14">
        <f>INDEX(属性偏向!$S$4:$S$243,(卡牌属性!$DT373-1+EW$3)*20+卡牌属性!$DX373)</f>
        <v>12</v>
      </c>
      <c r="EX373" s="14">
        <f>INDEX(属性偏向!$T$4:$T$243,(卡牌属性!$DU373-1+EX$3)*20+卡牌属性!$DX373)</f>
        <v>8</v>
      </c>
      <c r="EY373" s="14">
        <f>INDEX(属性偏向!$T$4:$T$243,(卡牌属性!$DU373-1+EY$3)*20+卡牌属性!$DX373)</f>
        <v>13</v>
      </c>
      <c r="EZ373" s="14">
        <f>INDEX(属性偏向!$T$4:$T$243,(卡牌属性!$DU373-1+EZ$3)*20+卡牌属性!$DX373)</f>
        <v>13</v>
      </c>
      <c r="FA373" s="14">
        <f>INDEX(属性偏向!$T$4:$T$243,(卡牌属性!$DU373-1+FA$3)*20+卡牌属性!$DX373)</f>
        <v>14</v>
      </c>
      <c r="FB373" s="14">
        <f>INDEX(属性偏向!$T$4:$T$243,(卡牌属性!$DU373-1+FB$3)*20+卡牌属性!$DX373)</f>
        <v>15</v>
      </c>
      <c r="FC373" s="14">
        <f>INDEX(属性偏向!$U$4:$U$243,(卡牌属性!$DV373-1+FC$3)*20+卡牌属性!$DX373)</f>
        <v>96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128</v>
      </c>
      <c r="FG373" s="14">
        <f>INDEX(属性偏向!$U$4:$U$243,(卡牌属性!$DV373-1+FG$3)*20+卡牌属性!$DX373)</f>
        <v>200</v>
      </c>
      <c r="FH373" s="14">
        <f>INDEX(属性投放!$BQ$6:$BQ$85,(卡牌属性!$DW373-2)*20+卡牌属性!$DX373)</f>
        <v>150</v>
      </c>
      <c r="FI373" s="14">
        <f>INDEX(属性投放!$BQ$6:$BQ$85,(卡牌属性!$DW373-2)*20+卡牌属性!$DX373)</f>
        <v>150</v>
      </c>
      <c r="FJ373" s="14">
        <f>INDEX(属性投放!$BQ$6:$BQ$85,(卡牌属性!$DW373-2)*20+卡牌属性!$DX373)</f>
        <v>150</v>
      </c>
      <c r="FK373" s="14">
        <f>INDEX(属性投放!$BQ$6:$BQ$85,(卡牌属性!$DW373-2)*20+卡牌属性!$DX373)</f>
        <v>150</v>
      </c>
      <c r="FL373" s="14">
        <f>INDEX(属性投放!$BQ$6:$BQ$85,(卡牌属性!$DW373-2)*20+卡牌属性!$DX373)</f>
        <v>150</v>
      </c>
      <c r="FM373" s="14">
        <f>INDEX(属性投放!$BR$6:$BR$85,(卡牌属性!$DW373-2)*20+卡牌属性!$DX373)</f>
        <v>75</v>
      </c>
      <c r="FN373" s="14">
        <f>INDEX(属性投放!$BR$6:$BR$85,(卡牌属性!$DW373-2)*20+卡牌属性!$DX373)</f>
        <v>75</v>
      </c>
      <c r="FO373" s="14">
        <f>INDEX(属性投放!$BR$6:$BR$85,(卡牌属性!$DW373-2)*20+卡牌属性!$DX373)</f>
        <v>75</v>
      </c>
      <c r="FP373" s="14">
        <f>INDEX(属性投放!$BR$6:$BR$85,(卡牌属性!$DW373-2)*20+卡牌属性!$DX373)</f>
        <v>75</v>
      </c>
      <c r="FQ373" s="14">
        <f>INDEX(属性投放!$BR$6:$BR$85,(卡牌属性!$DW373-2)*20+卡牌属性!$DX373)</f>
        <v>75</v>
      </c>
      <c r="FR373" s="14">
        <f>INDEX(属性投放!$BS$6:$BS$85,(卡牌属性!$DW373-2)*20+卡牌属性!$DX373)</f>
        <v>1200</v>
      </c>
      <c r="FS373" s="14">
        <f>INDEX(属性投放!$BS$6:$BS$85,(卡牌属性!$DW373-2)*20+卡牌属性!$DX373)</f>
        <v>1200</v>
      </c>
      <c r="FT373" s="14">
        <f>INDEX(属性投放!$BS$6:$BS$85,(卡牌属性!$DW373-2)*20+卡牌属性!$DX373)</f>
        <v>1200</v>
      </c>
      <c r="FU373" s="14">
        <f>INDEX(属性投放!$BS$6:$BS$85,(卡牌属性!$DW373-2)*20+卡牌属性!$DX373)</f>
        <v>1200</v>
      </c>
      <c r="FV373" s="14">
        <f>INDEX(属性投放!$BS$6:$BS$85,(卡牌属性!$DW373-2)*20+卡牌属性!$DX373)</f>
        <v>1200</v>
      </c>
    </row>
    <row r="374" spans="31:178" ht="16.5" x14ac:dyDescent="0.2">
      <c r="AE374" s="13">
        <v>370</v>
      </c>
      <c r="AF374" s="13">
        <f t="shared" si="652"/>
        <v>19</v>
      </c>
      <c r="AG374" s="13">
        <f t="shared" si="633"/>
        <v>2</v>
      </c>
      <c r="AH374" s="13"/>
      <c r="AI374" s="13"/>
      <c r="AJ374" s="14">
        <f t="shared" si="634"/>
        <v>1101022</v>
      </c>
      <c r="AK374" s="14" t="str">
        <f t="shared" si="635"/>
        <v>幻10突</v>
      </c>
      <c r="AL374" s="25" t="s">
        <v>142</v>
      </c>
      <c r="AM374" s="14">
        <v>1</v>
      </c>
      <c r="AN374" s="14">
        <f t="shared" si="636"/>
        <v>10</v>
      </c>
      <c r="AO374" s="14">
        <f>INDEX(属性投放!$DF$6:$DF$85,(卡牌属性!AG374-2)*20+卡牌属性!AN374)</f>
        <v>1923</v>
      </c>
      <c r="AP374" s="14">
        <f t="shared" si="698"/>
        <v>1923</v>
      </c>
      <c r="AQ374" s="14">
        <f t="shared" si="698"/>
        <v>1923</v>
      </c>
      <c r="AR374" s="14">
        <f t="shared" si="698"/>
        <v>1923</v>
      </c>
      <c r="AS374" s="14">
        <f t="shared" si="698"/>
        <v>1923</v>
      </c>
      <c r="AT374" s="14">
        <f>INDEX(属性投放!$DG$6:$DG$85,(卡牌属性!AG374-2)*20+卡牌属性!AN374)</f>
        <v>911</v>
      </c>
      <c r="AU374" s="14">
        <f t="shared" si="699"/>
        <v>911</v>
      </c>
      <c r="AV374" s="14">
        <f t="shared" si="699"/>
        <v>911</v>
      </c>
      <c r="AW374" s="14">
        <f t="shared" si="699"/>
        <v>911</v>
      </c>
      <c r="AX374" s="14">
        <f t="shared" si="699"/>
        <v>911</v>
      </c>
      <c r="AY374" s="14">
        <f>INDEX(属性投放!$DH$6:$DH$85,(卡牌属性!AG374-2)*20+卡牌属性!AN374)</f>
        <v>13535</v>
      </c>
      <c r="AZ374" s="14">
        <f t="shared" si="700"/>
        <v>13535</v>
      </c>
      <c r="BA374" s="14">
        <f t="shared" si="700"/>
        <v>13535</v>
      </c>
      <c r="BB374" s="14">
        <f t="shared" si="700"/>
        <v>13535</v>
      </c>
      <c r="BC374" s="14">
        <f t="shared" si="700"/>
        <v>13535</v>
      </c>
      <c r="BD374" s="14">
        <f>INDEX(属性投放!$DL$6:$DL$85,(卡牌属性!AG374-2)*20+卡牌属性!AN374)</f>
        <v>76</v>
      </c>
      <c r="BE374" s="14">
        <f t="shared" si="701"/>
        <v>76</v>
      </c>
      <c r="BF374" s="14">
        <f t="shared" si="701"/>
        <v>76</v>
      </c>
      <c r="BG374" s="14">
        <f t="shared" si="701"/>
        <v>76</v>
      </c>
      <c r="BH374" s="14">
        <f t="shared" si="701"/>
        <v>76</v>
      </c>
      <c r="BI374" s="14">
        <f>INDEX(属性投放!$DM$6:$DM$85,(卡牌属性!AG374-2)*20+卡牌属性!AN374)</f>
        <v>38</v>
      </c>
      <c r="BJ374" s="14">
        <f t="shared" si="702"/>
        <v>38</v>
      </c>
      <c r="BK374" s="14">
        <f t="shared" si="702"/>
        <v>38</v>
      </c>
      <c r="BL374" s="14">
        <f t="shared" si="702"/>
        <v>38</v>
      </c>
      <c r="BM374" s="14">
        <f t="shared" si="702"/>
        <v>38</v>
      </c>
      <c r="BN374" s="14">
        <f>INDEX(属性投放!$DN$6:$DN$85,(卡牌属性!AG374-2)*20+卡牌属性!AN374)</f>
        <v>685</v>
      </c>
      <c r="BO374" s="14">
        <f t="shared" si="703"/>
        <v>685</v>
      </c>
      <c r="BP374" s="14">
        <f t="shared" si="703"/>
        <v>685</v>
      </c>
      <c r="BQ374" s="14">
        <f t="shared" si="703"/>
        <v>685</v>
      </c>
      <c r="BR374" s="14">
        <f t="shared" si="703"/>
        <v>685</v>
      </c>
      <c r="BW374" s="13">
        <v>370</v>
      </c>
      <c r="BX374" s="13">
        <f t="shared" si="643"/>
        <v>19</v>
      </c>
      <c r="BY374" s="14">
        <f t="shared" si="644"/>
        <v>2</v>
      </c>
      <c r="BZ374" s="14">
        <f t="shared" si="653"/>
        <v>1102019</v>
      </c>
      <c r="CA374" s="14" t="str">
        <f t="shared" si="654"/>
        <v>食火蜥10突</v>
      </c>
      <c r="CB374" s="25" t="s">
        <v>142</v>
      </c>
      <c r="CC374" s="14">
        <v>2</v>
      </c>
      <c r="CD374" s="14">
        <f t="shared" si="645"/>
        <v>10</v>
      </c>
      <c r="CE374" s="14" t="s">
        <v>21</v>
      </c>
      <c r="CF374" s="14">
        <f>INDEX(属性投放!$AZ$6:$AZ$85,(BY374-2)*20+CD374)</f>
        <v>2096</v>
      </c>
      <c r="CG374" s="14" t="s">
        <v>22</v>
      </c>
      <c r="CH374" s="14">
        <f>INDEX(属性投放!$BA$6:$BA$85,(BY374-2)*20+CD374)</f>
        <v>1004</v>
      </c>
      <c r="CI374" s="14" t="s">
        <v>510</v>
      </c>
      <c r="CJ374" s="14">
        <f>INDEX(属性投放!$BB$6:$BB$85,(BY374-2)*20+CD374)</f>
        <v>14942</v>
      </c>
      <c r="CK374" s="14" t="s">
        <v>21</v>
      </c>
      <c r="CL374" s="14">
        <f>INDEX(属性投放!$BC$6:$BC$85,(BY374-2)*20+CD374)</f>
        <v>12</v>
      </c>
      <c r="CM374" s="14" t="s">
        <v>22</v>
      </c>
      <c r="CN374" s="14">
        <f>INDEX(属性投放!$BD$6:$BD$85,(BY374-2)*20+CD374)</f>
        <v>6</v>
      </c>
      <c r="CO374" s="14" t="s">
        <v>510</v>
      </c>
      <c r="CP374" s="14">
        <f>INDEX(属性投放!$BE$6:$BE$85,(BY374-2)*20+CD374)</f>
        <v>108</v>
      </c>
      <c r="CS374" s="13">
        <v>370</v>
      </c>
      <c r="CT374" s="13">
        <f t="shared" si="655"/>
        <v>8</v>
      </c>
      <c r="CU374" s="13">
        <f t="shared" si="656"/>
        <v>6</v>
      </c>
      <c r="CV374" s="14">
        <f t="shared" si="657"/>
        <v>4</v>
      </c>
      <c r="CW374" s="14">
        <f t="shared" si="658"/>
        <v>1102008</v>
      </c>
      <c r="CX374" s="14" t="str">
        <f>INDEX($O$6:$O$50,CT374)&amp;"-"&amp;INDEX(属性投放!$AB$7:$AB$50,CZ374)&amp;"-魂火-"&amp;DB374</f>
        <v>夏侯渊-众合-魂火-1</v>
      </c>
      <c r="CY374" s="25" t="s">
        <v>142</v>
      </c>
      <c r="CZ374" s="14">
        <f>INDEX(属性投放!$AM$7:$AM$58,CU374)</f>
        <v>4</v>
      </c>
      <c r="DA374" s="14" t="s">
        <v>537</v>
      </c>
      <c r="DB374" s="14">
        <f>INDEX(属性投放!$AN$7:$AN$58,CU374)</f>
        <v>1</v>
      </c>
      <c r="DC374" s="14">
        <f t="shared" si="646"/>
        <v>6</v>
      </c>
      <c r="DD374" s="14">
        <f>INDEX(属性投放!$AO$7:$AO$58,DC374)</f>
        <v>28</v>
      </c>
      <c r="DE374" s="14" t="s">
        <v>538</v>
      </c>
      <c r="DF374" s="14">
        <f>INDEX(属性投放!$BK$6:$BK$85,(CV374-2)*20+CZ374)</f>
        <v>45</v>
      </c>
      <c r="DG374" s="14">
        <f>SUMIFS(DF$5:DF374,$CT$5:$CT374,"="&amp;$CT374)</f>
        <v>200</v>
      </c>
      <c r="DH374" s="14" t="s">
        <v>539</v>
      </c>
      <c r="DI374" s="14">
        <f>INDEX(属性投放!$BL$6:$BL$85,(CV374-2)*20+CZ374)</f>
        <v>23</v>
      </c>
      <c r="DJ374" s="14">
        <f>SUMIFS(DI$5:DI374,$CT$5:$CT374,"="&amp;$CT374)</f>
        <v>102</v>
      </c>
      <c r="DK374" s="14" t="s">
        <v>540</v>
      </c>
      <c r="DL374" s="14">
        <f>INDEX(属性投放!$BM$6:$BM$85,(CV374-2)*20+CZ374)</f>
        <v>315</v>
      </c>
      <c r="DM374" s="14">
        <f>SUMIFS(DL$5:DL374,$CT$5:$CT374,"="&amp;$CT374)</f>
        <v>1245</v>
      </c>
      <c r="DR374" s="14">
        <f t="shared" si="647"/>
        <v>1102019</v>
      </c>
      <c r="DS374" s="14" t="str">
        <f t="shared" si="648"/>
        <v>食火蜥10突</v>
      </c>
      <c r="DT374" s="14">
        <f t="shared" si="659"/>
        <v>1</v>
      </c>
      <c r="DU374" s="14">
        <f t="shared" si="660"/>
        <v>6</v>
      </c>
      <c r="DV374" s="14">
        <f t="shared" si="661"/>
        <v>4</v>
      </c>
      <c r="DW374" s="14">
        <f t="shared" si="649"/>
        <v>2</v>
      </c>
      <c r="DX374" s="14">
        <f t="shared" si="650"/>
        <v>10</v>
      </c>
      <c r="DY374" s="14">
        <f t="shared" si="651"/>
        <v>10</v>
      </c>
      <c r="DZ374" s="14">
        <f>INDEX(属性投放!$AX$6:$AX$85,(卡牌属性!DW374-2)*20+卡牌属性!DX374)</f>
        <v>7</v>
      </c>
      <c r="EA374" s="14">
        <f>INDEX(属性投放!BQ$6:BQ$85,卡牌属性!$DY374)</f>
        <v>160</v>
      </c>
      <c r="EB374" s="14">
        <f>INDEX(属性投放!BR$6:BR$85,卡牌属性!$DY374)</f>
        <v>80</v>
      </c>
      <c r="EC374" s="14">
        <f>INDEX(属性投放!BS$6:BS$85,卡牌属性!$DY374)</f>
        <v>1440</v>
      </c>
      <c r="ED374" s="14">
        <f t="shared" si="704"/>
        <v>1075</v>
      </c>
      <c r="EE374" s="14">
        <f t="shared" si="705"/>
        <v>1162</v>
      </c>
      <c r="EF374" s="14">
        <f t="shared" si="706"/>
        <v>1291</v>
      </c>
      <c r="EG374" s="14">
        <f t="shared" si="707"/>
        <v>1291</v>
      </c>
      <c r="EH374" s="14">
        <f t="shared" si="708"/>
        <v>1440</v>
      </c>
      <c r="EI374" s="14">
        <f t="shared" si="709"/>
        <v>826</v>
      </c>
      <c r="EJ374" s="14">
        <f t="shared" si="710"/>
        <v>1036</v>
      </c>
      <c r="EK374" s="14">
        <f t="shared" si="711"/>
        <v>1036</v>
      </c>
      <c r="EL374" s="14">
        <f t="shared" si="712"/>
        <v>1125</v>
      </c>
      <c r="EM374" s="14">
        <f t="shared" si="713"/>
        <v>1236</v>
      </c>
      <c r="EN374" s="14">
        <f t="shared" si="714"/>
        <v>9882</v>
      </c>
      <c r="EO374" s="14">
        <f t="shared" si="715"/>
        <v>11010</v>
      </c>
      <c r="EP374" s="14">
        <f t="shared" si="716"/>
        <v>11010</v>
      </c>
      <c r="EQ374" s="14">
        <f t="shared" si="717"/>
        <v>11746</v>
      </c>
      <c r="ER374" s="14">
        <f t="shared" si="718"/>
        <v>14678</v>
      </c>
      <c r="ES374" s="14">
        <f>INDEX(属性偏向!$S$4:$S$243,(卡牌属性!$DT374-1+ES$3)*20+卡牌属性!$DX374)</f>
        <v>8</v>
      </c>
      <c r="ET374" s="14">
        <f>INDEX(属性偏向!$S$4:$S$243,(卡牌属性!$DT374-1+ET$3)*20+卡牌属性!$DX374)</f>
        <v>10</v>
      </c>
      <c r="EU374" s="14">
        <f>INDEX(属性偏向!$S$4:$S$243,(卡牌属性!$DT374-1+EU$3)*20+卡牌属性!$DX374)</f>
        <v>12</v>
      </c>
      <c r="EV374" s="14">
        <f>INDEX(属性偏向!$S$4:$S$243,(卡牌属性!$DT374-1+EV$3)*20+卡牌属性!$DX374)</f>
        <v>12</v>
      </c>
      <c r="EW374" s="14">
        <f>INDEX(属性偏向!$S$4:$S$243,(卡牌属性!$DT374-1+EW$3)*20+卡牌属性!$DX374)</f>
        <v>15</v>
      </c>
      <c r="EX374" s="14">
        <f>INDEX(属性偏向!$T$4:$T$243,(卡牌属性!$DU374-1+EX$3)*20+卡牌属性!$DX374)</f>
        <v>11</v>
      </c>
      <c r="EY374" s="14">
        <f>INDEX(属性偏向!$T$4:$T$243,(卡牌属性!$DU374-1+EY$3)*20+卡牌属性!$DX374)</f>
        <v>15</v>
      </c>
      <c r="EZ374" s="14">
        <f>INDEX(属性偏向!$T$4:$T$243,(卡牌属性!$DU374-1+EZ$3)*20+卡牌属性!$DX374)</f>
        <v>15</v>
      </c>
      <c r="FA374" s="14">
        <f>INDEX(属性偏向!$T$4:$T$243,(卡牌属性!$DU374-1+FA$3)*20+卡牌属性!$DX374)</f>
        <v>18</v>
      </c>
      <c r="FB374" s="14">
        <f>INDEX(属性偏向!$T$4:$T$243,(卡牌属性!$DU374-1+FB$3)*20+卡牌属性!$DX374)</f>
        <v>20</v>
      </c>
      <c r="FC374" s="14">
        <f>INDEX(属性偏向!$U$4:$U$243,(卡牌属性!$DV374-1+FC$3)*20+卡牌属性!$DX374)</f>
        <v>135</v>
      </c>
      <c r="FD374" s="14">
        <f>INDEX(属性偏向!$U$4:$U$243,(卡牌属性!$DV374-1+FD$3)*20+卡牌属性!$DX374)</f>
        <v>180</v>
      </c>
      <c r="FE374" s="14">
        <f>INDEX(属性偏向!$U$4:$U$243,(卡牌属性!$DV374-1+FE$3)*20+卡牌属性!$DX374)</f>
        <v>180</v>
      </c>
      <c r="FF374" s="14">
        <f>INDEX(属性偏向!$U$4:$U$243,(卡牌属性!$DV374-1+FF$3)*20+卡牌属性!$DX374)</f>
        <v>189</v>
      </c>
      <c r="FG374" s="14">
        <f>INDEX(属性偏向!$U$4:$U$243,(卡牌属性!$DV374-1+FG$3)*20+卡牌属性!$DX374)</f>
        <v>270</v>
      </c>
      <c r="FH374" s="14">
        <f>INDEX(属性投放!$BQ$6:$BQ$85,(卡牌属性!$DW374-2)*20+卡牌属性!$DX374)</f>
        <v>160</v>
      </c>
      <c r="FI374" s="14">
        <f>INDEX(属性投放!$BQ$6:$BQ$85,(卡牌属性!$DW374-2)*20+卡牌属性!$DX374)</f>
        <v>160</v>
      </c>
      <c r="FJ374" s="14">
        <f>INDEX(属性投放!$BQ$6:$BQ$85,(卡牌属性!$DW374-2)*20+卡牌属性!$DX374)</f>
        <v>160</v>
      </c>
      <c r="FK374" s="14">
        <f>INDEX(属性投放!$BQ$6:$BQ$85,(卡牌属性!$DW374-2)*20+卡牌属性!$DX374)</f>
        <v>160</v>
      </c>
      <c r="FL374" s="14">
        <f>INDEX(属性投放!$BQ$6:$BQ$85,(卡牌属性!$DW374-2)*20+卡牌属性!$DX374)</f>
        <v>160</v>
      </c>
      <c r="FM374" s="14">
        <f>INDEX(属性投放!$BR$6:$BR$85,(卡牌属性!$DW374-2)*20+卡牌属性!$DX374)</f>
        <v>80</v>
      </c>
      <c r="FN374" s="14">
        <f>INDEX(属性投放!$BR$6:$BR$85,(卡牌属性!$DW374-2)*20+卡牌属性!$DX374)</f>
        <v>80</v>
      </c>
      <c r="FO374" s="14">
        <f>INDEX(属性投放!$BR$6:$BR$85,(卡牌属性!$DW374-2)*20+卡牌属性!$DX374)</f>
        <v>80</v>
      </c>
      <c r="FP374" s="14">
        <f>INDEX(属性投放!$BR$6:$BR$85,(卡牌属性!$DW374-2)*20+卡牌属性!$DX374)</f>
        <v>80</v>
      </c>
      <c r="FQ374" s="14">
        <f>INDEX(属性投放!$BR$6:$BR$85,(卡牌属性!$DW374-2)*20+卡牌属性!$DX374)</f>
        <v>80</v>
      </c>
      <c r="FR374" s="14">
        <f>INDEX(属性投放!$BS$6:$BS$85,(卡牌属性!$DW374-2)*20+卡牌属性!$DX374)</f>
        <v>1440</v>
      </c>
      <c r="FS374" s="14">
        <f>INDEX(属性投放!$BS$6:$BS$85,(卡牌属性!$DW374-2)*20+卡牌属性!$DX374)</f>
        <v>1440</v>
      </c>
      <c r="FT374" s="14">
        <f>INDEX(属性投放!$BS$6:$BS$85,(卡牌属性!$DW374-2)*20+卡牌属性!$DX374)</f>
        <v>1440</v>
      </c>
      <c r="FU374" s="14">
        <f>INDEX(属性投放!$BS$6:$BS$85,(卡牌属性!$DW374-2)*20+卡牌属性!$DX374)</f>
        <v>1440</v>
      </c>
      <c r="FV374" s="14">
        <f>INDEX(属性投放!$BS$6:$BS$85,(卡牌属性!$DW374-2)*20+卡牌属性!$DX374)</f>
        <v>1440</v>
      </c>
    </row>
    <row r="375" spans="31:178" ht="16.5" x14ac:dyDescent="0.2">
      <c r="AE375" s="13">
        <v>371</v>
      </c>
      <c r="AF375" s="13">
        <f t="shared" si="652"/>
        <v>19</v>
      </c>
      <c r="AG375" s="13">
        <f t="shared" si="633"/>
        <v>2</v>
      </c>
      <c r="AH375" s="13"/>
      <c r="AI375" s="13"/>
      <c r="AJ375" s="14">
        <f t="shared" si="634"/>
        <v>1101022</v>
      </c>
      <c r="AK375" s="14" t="str">
        <f t="shared" si="635"/>
        <v>幻11突</v>
      </c>
      <c r="AL375" s="25" t="s">
        <v>142</v>
      </c>
      <c r="AM375" s="14">
        <v>1</v>
      </c>
      <c r="AN375" s="14">
        <f t="shared" si="636"/>
        <v>11</v>
      </c>
      <c r="AO375" s="14">
        <f>INDEX(属性投放!$DF$6:$DF$85,(卡牌属性!AG375-2)*20+卡牌属性!AN375)</f>
        <v>2140</v>
      </c>
      <c r="AP375" s="14">
        <f t="shared" si="698"/>
        <v>2140</v>
      </c>
      <c r="AQ375" s="14">
        <f t="shared" si="698"/>
        <v>2140</v>
      </c>
      <c r="AR375" s="14">
        <f t="shared" si="698"/>
        <v>2140</v>
      </c>
      <c r="AS375" s="14">
        <f t="shared" si="698"/>
        <v>2140</v>
      </c>
      <c r="AT375" s="14">
        <f>INDEX(属性投放!$DG$6:$DG$85,(卡牌属性!AG375-2)*20+卡牌属性!AN375)</f>
        <v>1020</v>
      </c>
      <c r="AU375" s="14">
        <f t="shared" si="699"/>
        <v>1020</v>
      </c>
      <c r="AV375" s="14">
        <f t="shared" si="699"/>
        <v>1020</v>
      </c>
      <c r="AW375" s="14">
        <f t="shared" si="699"/>
        <v>1020</v>
      </c>
      <c r="AX375" s="14">
        <f t="shared" si="699"/>
        <v>1020</v>
      </c>
      <c r="AY375" s="14">
        <f>INDEX(属性投放!$DH$6:$DH$85,(卡牌属性!AG375-2)*20+卡牌属性!AN375)</f>
        <v>15492</v>
      </c>
      <c r="AZ375" s="14">
        <f t="shared" si="700"/>
        <v>15492</v>
      </c>
      <c r="BA375" s="14">
        <f t="shared" si="700"/>
        <v>15492</v>
      </c>
      <c r="BB375" s="14">
        <f t="shared" si="700"/>
        <v>15492</v>
      </c>
      <c r="BC375" s="14">
        <f t="shared" si="700"/>
        <v>15492</v>
      </c>
      <c r="BD375" s="14">
        <f>INDEX(属性投放!$DL$6:$DL$85,(卡牌属性!AG375-2)*20+卡牌属性!AN375)</f>
        <v>76</v>
      </c>
      <c r="BE375" s="14">
        <f t="shared" si="701"/>
        <v>76</v>
      </c>
      <c r="BF375" s="14">
        <f t="shared" si="701"/>
        <v>76</v>
      </c>
      <c r="BG375" s="14">
        <f t="shared" si="701"/>
        <v>76</v>
      </c>
      <c r="BH375" s="14">
        <f t="shared" si="701"/>
        <v>76</v>
      </c>
      <c r="BI375" s="14">
        <f>INDEX(属性投放!$DM$6:$DM$85,(卡牌属性!AG375-2)*20+卡牌属性!AN375)</f>
        <v>38</v>
      </c>
      <c r="BJ375" s="14">
        <f t="shared" si="702"/>
        <v>38</v>
      </c>
      <c r="BK375" s="14">
        <f t="shared" si="702"/>
        <v>38</v>
      </c>
      <c r="BL375" s="14">
        <f t="shared" si="702"/>
        <v>38</v>
      </c>
      <c r="BM375" s="14">
        <f t="shared" si="702"/>
        <v>38</v>
      </c>
      <c r="BN375" s="14">
        <f>INDEX(属性投放!$DN$6:$DN$85,(卡牌属性!AG375-2)*20+卡牌属性!AN375)</f>
        <v>685</v>
      </c>
      <c r="BO375" s="14">
        <f t="shared" si="703"/>
        <v>685</v>
      </c>
      <c r="BP375" s="14">
        <f t="shared" si="703"/>
        <v>685</v>
      </c>
      <c r="BQ375" s="14">
        <f t="shared" si="703"/>
        <v>685</v>
      </c>
      <c r="BR375" s="14">
        <f t="shared" si="703"/>
        <v>685</v>
      </c>
      <c r="BW375" s="13">
        <v>371</v>
      </c>
      <c r="BX375" s="13">
        <f t="shared" si="643"/>
        <v>19</v>
      </c>
      <c r="BY375" s="14">
        <f t="shared" si="644"/>
        <v>2</v>
      </c>
      <c r="BZ375" s="14">
        <f t="shared" si="653"/>
        <v>1102019</v>
      </c>
      <c r="CA375" s="14" t="str">
        <f t="shared" si="654"/>
        <v>食火蜥11突</v>
      </c>
      <c r="CB375" s="25" t="s">
        <v>142</v>
      </c>
      <c r="CC375" s="14">
        <v>2</v>
      </c>
      <c r="CD375" s="14">
        <f t="shared" si="645"/>
        <v>11</v>
      </c>
      <c r="CE375" s="14" t="s">
        <v>21</v>
      </c>
      <c r="CF375" s="14">
        <f>INDEX(属性投放!$AZ$6:$AZ$85,(BY375-2)*20+CD375)</f>
        <v>2640</v>
      </c>
      <c r="CG375" s="14" t="s">
        <v>22</v>
      </c>
      <c r="CH375" s="14">
        <f>INDEX(属性投放!$BA$6:$BA$85,(BY375-2)*20+CD375)</f>
        <v>1276</v>
      </c>
      <c r="CI375" s="14" t="s">
        <v>510</v>
      </c>
      <c r="CJ375" s="14">
        <f>INDEX(属性投放!$BB$6:$BB$85,(BY375-2)*20+CD375)</f>
        <v>19838</v>
      </c>
      <c r="CK375" s="14" t="s">
        <v>21</v>
      </c>
      <c r="CL375" s="14">
        <f>INDEX(属性投放!$BC$6:$BC$85,(BY375-2)*20+CD375)</f>
        <v>12</v>
      </c>
      <c r="CM375" s="14" t="s">
        <v>22</v>
      </c>
      <c r="CN375" s="14">
        <f>INDEX(属性投放!$BD$6:$BD$85,(BY375-2)*20+CD375)</f>
        <v>6</v>
      </c>
      <c r="CO375" s="14" t="s">
        <v>510</v>
      </c>
      <c r="CP375" s="14">
        <f>INDEX(属性投放!$BE$6:$BE$85,(BY375-2)*20+CD375)</f>
        <v>108</v>
      </c>
      <c r="CS375" s="13">
        <v>371</v>
      </c>
      <c r="CT375" s="13">
        <f t="shared" si="655"/>
        <v>8</v>
      </c>
      <c r="CU375" s="13">
        <f t="shared" si="656"/>
        <v>7</v>
      </c>
      <c r="CV375" s="14">
        <f t="shared" si="657"/>
        <v>4</v>
      </c>
      <c r="CW375" s="14">
        <f t="shared" si="658"/>
        <v>1102008</v>
      </c>
      <c r="CX375" s="14" t="str">
        <f>INDEX($O$6:$O$50,CT375)&amp;"-"&amp;INDEX(属性投放!$AB$7:$AB$50,CZ375)&amp;"-魂火-"&amp;DB375</f>
        <v>夏侯渊-众合-魂火-2</v>
      </c>
      <c r="CY375" s="25" t="s">
        <v>142</v>
      </c>
      <c r="CZ375" s="14">
        <f>INDEX(属性投放!$AM$7:$AM$58,CU375)</f>
        <v>4</v>
      </c>
      <c r="DA375" s="14" t="s">
        <v>537</v>
      </c>
      <c r="DB375" s="14">
        <f>INDEX(属性投放!$AN$7:$AN$58,CU375)</f>
        <v>2</v>
      </c>
      <c r="DC375" s="14">
        <f t="shared" si="646"/>
        <v>7</v>
      </c>
      <c r="DD375" s="14">
        <f>INDEX(属性投放!$AO$7:$AO$58,DC375)</f>
        <v>33</v>
      </c>
      <c r="DE375" s="14" t="s">
        <v>538</v>
      </c>
      <c r="DF375" s="14">
        <f>INDEX(属性投放!$BK$6:$BK$85,(CV375-2)*20+CZ375)</f>
        <v>45</v>
      </c>
      <c r="DG375" s="14">
        <f>SUMIFS(DF$5:DF375,$CT$5:$CT375,"="&amp;$CT375)</f>
        <v>245</v>
      </c>
      <c r="DH375" s="14" t="s">
        <v>539</v>
      </c>
      <c r="DI375" s="14">
        <f>INDEX(属性投放!$BL$6:$BL$85,(CV375-2)*20+CZ375)</f>
        <v>23</v>
      </c>
      <c r="DJ375" s="14">
        <f>SUMIFS(DI$5:DI375,$CT$5:$CT375,"="&amp;$CT375)</f>
        <v>125</v>
      </c>
      <c r="DK375" s="14" t="s">
        <v>540</v>
      </c>
      <c r="DL375" s="14">
        <f>INDEX(属性投放!$BM$6:$BM$85,(CV375-2)*20+CZ375)</f>
        <v>315</v>
      </c>
      <c r="DM375" s="14">
        <f>SUMIFS(DL$5:DL375,$CT$5:$CT375,"="&amp;$CT375)</f>
        <v>1560</v>
      </c>
      <c r="DR375" s="14">
        <f t="shared" si="647"/>
        <v>1102019</v>
      </c>
      <c r="DS375" s="14" t="str">
        <f t="shared" si="648"/>
        <v>食火蜥11突</v>
      </c>
      <c r="DT375" s="14">
        <f t="shared" si="659"/>
        <v>1</v>
      </c>
      <c r="DU375" s="14">
        <f t="shared" si="660"/>
        <v>6</v>
      </c>
      <c r="DV375" s="14">
        <f t="shared" si="661"/>
        <v>4</v>
      </c>
      <c r="DW375" s="14">
        <f t="shared" si="649"/>
        <v>2</v>
      </c>
      <c r="DX375" s="14">
        <f t="shared" si="650"/>
        <v>11</v>
      </c>
      <c r="DY375" s="14">
        <f t="shared" si="651"/>
        <v>11</v>
      </c>
      <c r="DZ375" s="14">
        <f>INDEX(属性投放!$AX$6:$AX$85,(卡牌属性!DW375-2)*20+卡牌属性!DX375)</f>
        <v>8</v>
      </c>
      <c r="EA375" s="14">
        <f>INDEX(属性投放!BQ$6:BQ$85,卡牌属性!$DY375)</f>
        <v>200</v>
      </c>
      <c r="EB375" s="14">
        <f>INDEX(属性投放!BR$6:BR$85,卡牌属性!$DY375)</f>
        <v>100</v>
      </c>
      <c r="EC375" s="14">
        <f>INDEX(属性投放!BS$6:BS$85,卡牌属性!$DY375)</f>
        <v>1800</v>
      </c>
      <c r="ED375" s="14">
        <f t="shared" si="704"/>
        <v>1291</v>
      </c>
      <c r="EE375" s="14">
        <f t="shared" si="705"/>
        <v>1392</v>
      </c>
      <c r="EF375" s="14">
        <f t="shared" si="706"/>
        <v>1535</v>
      </c>
      <c r="EG375" s="14">
        <f t="shared" si="707"/>
        <v>1535</v>
      </c>
      <c r="EH375" s="14">
        <f t="shared" si="708"/>
        <v>1705</v>
      </c>
      <c r="EI375" s="14">
        <f t="shared" si="709"/>
        <v>983</v>
      </c>
      <c r="EJ375" s="14">
        <f t="shared" si="710"/>
        <v>1221</v>
      </c>
      <c r="EK375" s="14">
        <f t="shared" si="711"/>
        <v>1221</v>
      </c>
      <c r="EL375" s="14">
        <f t="shared" si="712"/>
        <v>1331</v>
      </c>
      <c r="EM375" s="14">
        <f t="shared" si="713"/>
        <v>1456</v>
      </c>
      <c r="EN375" s="14">
        <f t="shared" si="714"/>
        <v>12267</v>
      </c>
      <c r="EO375" s="14">
        <f t="shared" si="715"/>
        <v>13710</v>
      </c>
      <c r="EP375" s="14">
        <f t="shared" si="716"/>
        <v>13710</v>
      </c>
      <c r="EQ375" s="14">
        <f t="shared" si="717"/>
        <v>14509</v>
      </c>
      <c r="ER375" s="14">
        <f t="shared" si="718"/>
        <v>18008</v>
      </c>
      <c r="ES375" s="14">
        <f>INDEX(属性偏向!$S$4:$S$243,(卡牌属性!$DT375-1+ES$3)*20+卡牌属性!$DX375)</f>
        <v>8</v>
      </c>
      <c r="ET375" s="14">
        <f>INDEX(属性偏向!$S$4:$S$243,(卡牌属性!$DT375-1+ET$3)*20+卡牌属性!$DX375)</f>
        <v>10</v>
      </c>
      <c r="EU375" s="14">
        <f>INDEX(属性偏向!$S$4:$S$243,(卡牌属性!$DT375-1+EU$3)*20+卡牌属性!$DX375)</f>
        <v>12</v>
      </c>
      <c r="EV375" s="14">
        <f>INDEX(属性偏向!$S$4:$S$243,(卡牌属性!$DT375-1+EV$3)*20+卡牌属性!$DX375)</f>
        <v>12</v>
      </c>
      <c r="EW375" s="14">
        <f>INDEX(属性偏向!$S$4:$S$243,(卡牌属性!$DT375-1+EW$3)*20+卡牌属性!$DX375)</f>
        <v>15</v>
      </c>
      <c r="EX375" s="14">
        <f>INDEX(属性偏向!$T$4:$T$243,(卡牌属性!$DU375-1+EX$3)*20+卡牌属性!$DX375)</f>
        <v>11</v>
      </c>
      <c r="EY375" s="14">
        <f>INDEX(属性偏向!$T$4:$T$243,(卡牌属性!$DU375-1+EY$3)*20+卡牌属性!$DX375)</f>
        <v>15</v>
      </c>
      <c r="EZ375" s="14">
        <f>INDEX(属性偏向!$T$4:$T$243,(卡牌属性!$DU375-1+EZ$3)*20+卡牌属性!$DX375)</f>
        <v>15</v>
      </c>
      <c r="FA375" s="14">
        <f>INDEX(属性偏向!$T$4:$T$243,(卡牌属性!$DU375-1+FA$3)*20+卡牌属性!$DX375)</f>
        <v>18</v>
      </c>
      <c r="FB375" s="14">
        <f>INDEX(属性偏向!$T$4:$T$243,(卡牌属性!$DU375-1+FB$3)*20+卡牌属性!$DX375)</f>
        <v>20</v>
      </c>
      <c r="FC375" s="14">
        <f>INDEX(属性偏向!$U$4:$U$243,(卡牌属性!$DV375-1+FC$3)*20+卡牌属性!$DX375)</f>
        <v>135</v>
      </c>
      <c r="FD375" s="14">
        <f>INDEX(属性偏向!$U$4:$U$243,(卡牌属性!$DV375-1+FD$3)*20+卡牌属性!$DX375)</f>
        <v>180</v>
      </c>
      <c r="FE375" s="14">
        <f>INDEX(属性偏向!$U$4:$U$243,(卡牌属性!$DV375-1+FE$3)*20+卡牌属性!$DX375)</f>
        <v>180</v>
      </c>
      <c r="FF375" s="14">
        <f>INDEX(属性偏向!$U$4:$U$243,(卡牌属性!$DV375-1+FF$3)*20+卡牌属性!$DX375)</f>
        <v>189</v>
      </c>
      <c r="FG375" s="14">
        <f>INDEX(属性偏向!$U$4:$U$243,(卡牌属性!$DV375-1+FG$3)*20+卡牌属性!$DX375)</f>
        <v>270</v>
      </c>
      <c r="FH375" s="14">
        <f>INDEX(属性投放!$BQ$6:$BQ$85,(卡牌属性!$DW375-2)*20+卡牌属性!$DX375)</f>
        <v>200</v>
      </c>
      <c r="FI375" s="14">
        <f>INDEX(属性投放!$BQ$6:$BQ$85,(卡牌属性!$DW375-2)*20+卡牌属性!$DX375)</f>
        <v>200</v>
      </c>
      <c r="FJ375" s="14">
        <f>INDEX(属性投放!$BQ$6:$BQ$85,(卡牌属性!$DW375-2)*20+卡牌属性!$DX375)</f>
        <v>200</v>
      </c>
      <c r="FK375" s="14">
        <f>INDEX(属性投放!$BQ$6:$BQ$85,(卡牌属性!$DW375-2)*20+卡牌属性!$DX375)</f>
        <v>200</v>
      </c>
      <c r="FL375" s="14">
        <f>INDEX(属性投放!$BQ$6:$BQ$85,(卡牌属性!$DW375-2)*20+卡牌属性!$DX375)</f>
        <v>200</v>
      </c>
      <c r="FM375" s="14">
        <f>INDEX(属性投放!$BR$6:$BR$85,(卡牌属性!$DW375-2)*20+卡牌属性!$DX375)</f>
        <v>100</v>
      </c>
      <c r="FN375" s="14">
        <f>INDEX(属性投放!$BR$6:$BR$85,(卡牌属性!$DW375-2)*20+卡牌属性!$DX375)</f>
        <v>100</v>
      </c>
      <c r="FO375" s="14">
        <f>INDEX(属性投放!$BR$6:$BR$85,(卡牌属性!$DW375-2)*20+卡牌属性!$DX375)</f>
        <v>100</v>
      </c>
      <c r="FP375" s="14">
        <f>INDEX(属性投放!$BR$6:$BR$85,(卡牌属性!$DW375-2)*20+卡牌属性!$DX375)</f>
        <v>100</v>
      </c>
      <c r="FQ375" s="14">
        <f>INDEX(属性投放!$BR$6:$BR$85,(卡牌属性!$DW375-2)*20+卡牌属性!$DX375)</f>
        <v>100</v>
      </c>
      <c r="FR375" s="14">
        <f>INDEX(属性投放!$BS$6:$BS$85,(卡牌属性!$DW375-2)*20+卡牌属性!$DX375)</f>
        <v>1800</v>
      </c>
      <c r="FS375" s="14">
        <f>INDEX(属性投放!$BS$6:$BS$85,(卡牌属性!$DW375-2)*20+卡牌属性!$DX375)</f>
        <v>1800</v>
      </c>
      <c r="FT375" s="14">
        <f>INDEX(属性投放!$BS$6:$BS$85,(卡牌属性!$DW375-2)*20+卡牌属性!$DX375)</f>
        <v>1800</v>
      </c>
      <c r="FU375" s="14">
        <f>INDEX(属性投放!$BS$6:$BS$85,(卡牌属性!$DW375-2)*20+卡牌属性!$DX375)</f>
        <v>1800</v>
      </c>
      <c r="FV375" s="14">
        <f>INDEX(属性投放!$BS$6:$BS$85,(卡牌属性!$DW375-2)*20+卡牌属性!$DX375)</f>
        <v>1800</v>
      </c>
    </row>
    <row r="376" spans="31:178" ht="16.5" x14ac:dyDescent="0.2">
      <c r="AE376" s="13">
        <v>372</v>
      </c>
      <c r="AF376" s="13">
        <f t="shared" si="652"/>
        <v>19</v>
      </c>
      <c r="AG376" s="13">
        <f t="shared" si="633"/>
        <v>2</v>
      </c>
      <c r="AH376" s="13"/>
      <c r="AI376" s="13"/>
      <c r="AJ376" s="14">
        <f t="shared" si="634"/>
        <v>1101022</v>
      </c>
      <c r="AK376" s="14" t="str">
        <f t="shared" si="635"/>
        <v>幻12突</v>
      </c>
      <c r="AL376" s="25" t="s">
        <v>142</v>
      </c>
      <c r="AM376" s="14">
        <v>1</v>
      </c>
      <c r="AN376" s="14">
        <f t="shared" si="636"/>
        <v>12</v>
      </c>
      <c r="AO376" s="14">
        <f>INDEX(属性投放!$DF$6:$DF$85,(卡牌属性!AG376-2)*20+卡牌属性!AN376)</f>
        <v>2357</v>
      </c>
      <c r="AP376" s="14">
        <f t="shared" si="698"/>
        <v>2357</v>
      </c>
      <c r="AQ376" s="14">
        <f t="shared" si="698"/>
        <v>2357</v>
      </c>
      <c r="AR376" s="14">
        <f t="shared" si="698"/>
        <v>2357</v>
      </c>
      <c r="AS376" s="14">
        <f t="shared" si="698"/>
        <v>2357</v>
      </c>
      <c r="AT376" s="14">
        <f>INDEX(属性投放!$DG$6:$DG$85,(卡牌属性!AG376-2)*20+卡牌属性!AN376)</f>
        <v>1129</v>
      </c>
      <c r="AU376" s="14">
        <f t="shared" si="699"/>
        <v>1129</v>
      </c>
      <c r="AV376" s="14">
        <f t="shared" si="699"/>
        <v>1129</v>
      </c>
      <c r="AW376" s="14">
        <f t="shared" si="699"/>
        <v>1129</v>
      </c>
      <c r="AX376" s="14">
        <f t="shared" si="699"/>
        <v>1129</v>
      </c>
      <c r="AY376" s="14">
        <f>INDEX(属性投放!$DH$6:$DH$85,(卡牌属性!AG376-2)*20+卡牌属性!AN376)</f>
        <v>17449</v>
      </c>
      <c r="AZ376" s="14">
        <f t="shared" si="700"/>
        <v>17449</v>
      </c>
      <c r="BA376" s="14">
        <f t="shared" si="700"/>
        <v>17449</v>
      </c>
      <c r="BB376" s="14">
        <f t="shared" si="700"/>
        <v>17449</v>
      </c>
      <c r="BC376" s="14">
        <f t="shared" si="700"/>
        <v>17449</v>
      </c>
      <c r="BD376" s="14">
        <f>INDEX(属性投放!$DL$6:$DL$85,(卡牌属性!AG376-2)*20+卡牌属性!AN376)</f>
        <v>76</v>
      </c>
      <c r="BE376" s="14">
        <f t="shared" si="701"/>
        <v>76</v>
      </c>
      <c r="BF376" s="14">
        <f t="shared" si="701"/>
        <v>76</v>
      </c>
      <c r="BG376" s="14">
        <f t="shared" si="701"/>
        <v>76</v>
      </c>
      <c r="BH376" s="14">
        <f t="shared" si="701"/>
        <v>76</v>
      </c>
      <c r="BI376" s="14">
        <f>INDEX(属性投放!$DM$6:$DM$85,(卡牌属性!AG376-2)*20+卡牌属性!AN376)</f>
        <v>38</v>
      </c>
      <c r="BJ376" s="14">
        <f t="shared" si="702"/>
        <v>38</v>
      </c>
      <c r="BK376" s="14">
        <f t="shared" si="702"/>
        <v>38</v>
      </c>
      <c r="BL376" s="14">
        <f t="shared" si="702"/>
        <v>38</v>
      </c>
      <c r="BM376" s="14">
        <f t="shared" si="702"/>
        <v>38</v>
      </c>
      <c r="BN376" s="14">
        <f>INDEX(属性投放!$DN$6:$DN$85,(卡牌属性!AG376-2)*20+卡牌属性!AN376)</f>
        <v>685</v>
      </c>
      <c r="BO376" s="14">
        <f t="shared" si="703"/>
        <v>685</v>
      </c>
      <c r="BP376" s="14">
        <f t="shared" si="703"/>
        <v>685</v>
      </c>
      <c r="BQ376" s="14">
        <f t="shared" si="703"/>
        <v>685</v>
      </c>
      <c r="BR376" s="14">
        <f t="shared" si="703"/>
        <v>685</v>
      </c>
      <c r="BW376" s="13">
        <v>372</v>
      </c>
      <c r="BX376" s="13">
        <f t="shared" si="643"/>
        <v>19</v>
      </c>
      <c r="BY376" s="14">
        <f t="shared" si="644"/>
        <v>2</v>
      </c>
      <c r="BZ376" s="14">
        <f t="shared" si="653"/>
        <v>1102019</v>
      </c>
      <c r="CA376" s="14" t="str">
        <f t="shared" si="654"/>
        <v>食火蜥12突</v>
      </c>
      <c r="CB376" s="25" t="s">
        <v>142</v>
      </c>
      <c r="CC376" s="14">
        <v>2</v>
      </c>
      <c r="CD376" s="14">
        <f t="shared" si="645"/>
        <v>12</v>
      </c>
      <c r="CE376" s="14" t="s">
        <v>21</v>
      </c>
      <c r="CF376" s="14">
        <f>INDEX(属性投放!$AZ$6:$AZ$85,(BY376-2)*20+CD376)</f>
        <v>3326</v>
      </c>
      <c r="CG376" s="14" t="s">
        <v>22</v>
      </c>
      <c r="CH376" s="14">
        <f>INDEX(属性投放!$BA$6:$BA$85,(BY376-2)*20+CD376)</f>
        <v>1619</v>
      </c>
      <c r="CI376" s="14" t="s">
        <v>510</v>
      </c>
      <c r="CJ376" s="14">
        <f>INDEX(属性投放!$BB$6:$BB$85,(BY376-2)*20+CD376)</f>
        <v>26012</v>
      </c>
      <c r="CK376" s="14" t="s">
        <v>21</v>
      </c>
      <c r="CL376" s="14">
        <f>INDEX(属性投放!$BC$6:$BC$85,(BY376-2)*20+CD376)</f>
        <v>12</v>
      </c>
      <c r="CM376" s="14" t="s">
        <v>22</v>
      </c>
      <c r="CN376" s="14">
        <f>INDEX(属性投放!$BD$6:$BD$85,(BY376-2)*20+CD376)</f>
        <v>6</v>
      </c>
      <c r="CO376" s="14" t="s">
        <v>510</v>
      </c>
      <c r="CP376" s="14">
        <f>INDEX(属性投放!$BE$6:$BE$85,(BY376-2)*20+CD376)</f>
        <v>108</v>
      </c>
      <c r="CS376" s="13">
        <v>372</v>
      </c>
      <c r="CT376" s="13">
        <f t="shared" si="655"/>
        <v>8</v>
      </c>
      <c r="CU376" s="13">
        <f t="shared" si="656"/>
        <v>8</v>
      </c>
      <c r="CV376" s="14">
        <f t="shared" si="657"/>
        <v>4</v>
      </c>
      <c r="CW376" s="14">
        <f t="shared" si="658"/>
        <v>1102008</v>
      </c>
      <c r="CX376" s="14" t="str">
        <f>INDEX($O$6:$O$50,CT376)&amp;"-"&amp;INDEX(属性投放!$AB$7:$AB$50,CZ376)&amp;"-魂火-"&amp;DB376</f>
        <v>夏侯渊-众合+1-魂火-1</v>
      </c>
      <c r="CY376" s="25" t="s">
        <v>142</v>
      </c>
      <c r="CZ376" s="14">
        <f>INDEX(属性投放!$AM$7:$AM$58,CU376)</f>
        <v>5</v>
      </c>
      <c r="DA376" s="14" t="s">
        <v>537</v>
      </c>
      <c r="DB376" s="14">
        <f>INDEX(属性投放!$AN$7:$AN$58,CU376)</f>
        <v>1</v>
      </c>
      <c r="DC376" s="14">
        <f t="shared" si="646"/>
        <v>8</v>
      </c>
      <c r="DD376" s="14">
        <f>INDEX(属性投放!$AO$7:$AO$58,DC376)</f>
        <v>38</v>
      </c>
      <c r="DE376" s="14" t="s">
        <v>538</v>
      </c>
      <c r="DF376" s="14">
        <f>INDEX(属性投放!$BK$6:$BK$85,(CV376-2)*20+CZ376)</f>
        <v>55</v>
      </c>
      <c r="DG376" s="14">
        <f>SUMIFS(DF$5:DF376,$CT$5:$CT376,"="&amp;$CT376)</f>
        <v>300</v>
      </c>
      <c r="DH376" s="14" t="s">
        <v>539</v>
      </c>
      <c r="DI376" s="14">
        <f>INDEX(属性投放!$BL$6:$BL$85,(CV376-2)*20+CZ376)</f>
        <v>28</v>
      </c>
      <c r="DJ376" s="14">
        <f>SUMIFS(DI$5:DI376,$CT$5:$CT376,"="&amp;$CT376)</f>
        <v>153</v>
      </c>
      <c r="DK376" s="14" t="s">
        <v>540</v>
      </c>
      <c r="DL376" s="14">
        <f>INDEX(属性投放!$BM$6:$BM$85,(CV376-2)*20+CZ376)</f>
        <v>385</v>
      </c>
      <c r="DM376" s="14">
        <f>SUMIFS(DL$5:DL376,$CT$5:$CT376,"="&amp;$CT376)</f>
        <v>1945</v>
      </c>
      <c r="DR376" s="14">
        <f t="shared" si="647"/>
        <v>1102019</v>
      </c>
      <c r="DS376" s="14" t="str">
        <f t="shared" si="648"/>
        <v>食火蜥12突</v>
      </c>
      <c r="DT376" s="14">
        <f t="shared" si="659"/>
        <v>1</v>
      </c>
      <c r="DU376" s="14">
        <f t="shared" si="660"/>
        <v>6</v>
      </c>
      <c r="DV376" s="14">
        <f t="shared" si="661"/>
        <v>4</v>
      </c>
      <c r="DW376" s="14">
        <f t="shared" si="649"/>
        <v>2</v>
      </c>
      <c r="DX376" s="14">
        <f t="shared" si="650"/>
        <v>12</v>
      </c>
      <c r="DY376" s="14">
        <f t="shared" si="651"/>
        <v>12</v>
      </c>
      <c r="DZ376" s="14">
        <f>INDEX(属性投放!$AX$6:$AX$85,(卡牌属性!DW376-2)*20+卡牌属性!DX376)</f>
        <v>7</v>
      </c>
      <c r="EA376" s="14">
        <f>INDEX(属性投放!BQ$6:BQ$85,卡牌属性!$DY376)</f>
        <v>350</v>
      </c>
      <c r="EB376" s="14">
        <f>INDEX(属性投放!BR$6:BR$85,卡牌属性!$DY376)</f>
        <v>175</v>
      </c>
      <c r="EC376" s="14">
        <f>INDEX(属性投放!BS$6:BS$85,卡牌属性!$DY376)</f>
        <v>3150</v>
      </c>
      <c r="ED376" s="14">
        <f t="shared" si="704"/>
        <v>1555</v>
      </c>
      <c r="EE376" s="14">
        <f t="shared" si="705"/>
        <v>1672</v>
      </c>
      <c r="EF376" s="14">
        <f t="shared" si="706"/>
        <v>1831</v>
      </c>
      <c r="EG376" s="14">
        <f t="shared" si="707"/>
        <v>1831</v>
      </c>
      <c r="EH376" s="14">
        <f t="shared" si="708"/>
        <v>2025</v>
      </c>
      <c r="EI376" s="14">
        <f t="shared" si="709"/>
        <v>1171</v>
      </c>
      <c r="EJ376" s="14">
        <f t="shared" si="710"/>
        <v>1441</v>
      </c>
      <c r="EK376" s="14">
        <f t="shared" si="711"/>
        <v>1441</v>
      </c>
      <c r="EL376" s="14">
        <f t="shared" si="712"/>
        <v>1575</v>
      </c>
      <c r="EM376" s="14">
        <f t="shared" si="713"/>
        <v>1716</v>
      </c>
      <c r="EN376" s="14">
        <f t="shared" si="714"/>
        <v>15147</v>
      </c>
      <c r="EO376" s="14">
        <f t="shared" si="715"/>
        <v>16950</v>
      </c>
      <c r="EP376" s="14">
        <f t="shared" si="716"/>
        <v>16950</v>
      </c>
      <c r="EQ376" s="14">
        <f t="shared" si="717"/>
        <v>17821</v>
      </c>
      <c r="ER376" s="14">
        <f t="shared" si="718"/>
        <v>21968</v>
      </c>
      <c r="ES376" s="14">
        <f>INDEX(属性偏向!$S$4:$S$243,(卡牌属性!$DT376-1+ES$3)*20+卡牌属性!$DX376)</f>
        <v>8</v>
      </c>
      <c r="ET376" s="14">
        <f>INDEX(属性偏向!$S$4:$S$243,(卡牌属性!$DT376-1+ET$3)*20+卡牌属性!$DX376)</f>
        <v>10</v>
      </c>
      <c r="EU376" s="14">
        <f>INDEX(属性偏向!$S$4:$S$243,(卡牌属性!$DT376-1+EU$3)*20+卡牌属性!$DX376)</f>
        <v>12</v>
      </c>
      <c r="EV376" s="14">
        <f>INDEX(属性偏向!$S$4:$S$243,(卡牌属性!$DT376-1+EV$3)*20+卡牌属性!$DX376)</f>
        <v>12</v>
      </c>
      <c r="EW376" s="14">
        <f>INDEX(属性偏向!$S$4:$S$243,(卡牌属性!$DT376-1+EW$3)*20+卡牌属性!$DX376)</f>
        <v>15</v>
      </c>
      <c r="EX376" s="14">
        <f>INDEX(属性偏向!$T$4:$T$243,(卡牌属性!$DU376-1+EX$3)*20+卡牌属性!$DX376)</f>
        <v>11</v>
      </c>
      <c r="EY376" s="14">
        <f>INDEX(属性偏向!$T$4:$T$243,(卡牌属性!$DU376-1+EY$3)*20+卡牌属性!$DX376)</f>
        <v>15</v>
      </c>
      <c r="EZ376" s="14">
        <f>INDEX(属性偏向!$T$4:$T$243,(卡牌属性!$DU376-1+EZ$3)*20+卡牌属性!$DX376)</f>
        <v>15</v>
      </c>
      <c r="FA376" s="14">
        <f>INDEX(属性偏向!$T$4:$T$243,(卡牌属性!$DU376-1+FA$3)*20+卡牌属性!$DX376)</f>
        <v>18</v>
      </c>
      <c r="FB376" s="14">
        <f>INDEX(属性偏向!$T$4:$T$243,(卡牌属性!$DU376-1+FB$3)*20+卡牌属性!$DX376)</f>
        <v>20</v>
      </c>
      <c r="FC376" s="14">
        <f>INDEX(属性偏向!$U$4:$U$243,(卡牌属性!$DV376-1+FC$3)*20+卡牌属性!$DX376)</f>
        <v>135</v>
      </c>
      <c r="FD376" s="14">
        <f>INDEX(属性偏向!$U$4:$U$243,(卡牌属性!$DV376-1+FD$3)*20+卡牌属性!$DX376)</f>
        <v>180</v>
      </c>
      <c r="FE376" s="14">
        <f>INDEX(属性偏向!$U$4:$U$243,(卡牌属性!$DV376-1+FE$3)*20+卡牌属性!$DX376)</f>
        <v>180</v>
      </c>
      <c r="FF376" s="14">
        <f>INDEX(属性偏向!$U$4:$U$243,(卡牌属性!$DV376-1+FF$3)*20+卡牌属性!$DX376)</f>
        <v>189</v>
      </c>
      <c r="FG376" s="14">
        <f>INDEX(属性偏向!$U$4:$U$243,(卡牌属性!$DV376-1+FG$3)*20+卡牌属性!$DX376)</f>
        <v>270</v>
      </c>
      <c r="FH376" s="14">
        <f>INDEX(属性投放!$BQ$6:$BQ$85,(卡牌属性!$DW376-2)*20+卡牌属性!$DX376)</f>
        <v>350</v>
      </c>
      <c r="FI376" s="14">
        <f>INDEX(属性投放!$BQ$6:$BQ$85,(卡牌属性!$DW376-2)*20+卡牌属性!$DX376)</f>
        <v>350</v>
      </c>
      <c r="FJ376" s="14">
        <f>INDEX(属性投放!$BQ$6:$BQ$85,(卡牌属性!$DW376-2)*20+卡牌属性!$DX376)</f>
        <v>350</v>
      </c>
      <c r="FK376" s="14">
        <f>INDEX(属性投放!$BQ$6:$BQ$85,(卡牌属性!$DW376-2)*20+卡牌属性!$DX376)</f>
        <v>350</v>
      </c>
      <c r="FL376" s="14">
        <f>INDEX(属性投放!$BQ$6:$BQ$85,(卡牌属性!$DW376-2)*20+卡牌属性!$DX376)</f>
        <v>350</v>
      </c>
      <c r="FM376" s="14">
        <f>INDEX(属性投放!$BR$6:$BR$85,(卡牌属性!$DW376-2)*20+卡牌属性!$DX376)</f>
        <v>175</v>
      </c>
      <c r="FN376" s="14">
        <f>INDEX(属性投放!$BR$6:$BR$85,(卡牌属性!$DW376-2)*20+卡牌属性!$DX376)</f>
        <v>175</v>
      </c>
      <c r="FO376" s="14">
        <f>INDEX(属性投放!$BR$6:$BR$85,(卡牌属性!$DW376-2)*20+卡牌属性!$DX376)</f>
        <v>175</v>
      </c>
      <c r="FP376" s="14">
        <f>INDEX(属性投放!$BR$6:$BR$85,(卡牌属性!$DW376-2)*20+卡牌属性!$DX376)</f>
        <v>175</v>
      </c>
      <c r="FQ376" s="14">
        <f>INDEX(属性投放!$BR$6:$BR$85,(卡牌属性!$DW376-2)*20+卡牌属性!$DX376)</f>
        <v>175</v>
      </c>
      <c r="FR376" s="14">
        <f>INDEX(属性投放!$BS$6:$BS$85,(卡牌属性!$DW376-2)*20+卡牌属性!$DX376)</f>
        <v>3150</v>
      </c>
      <c r="FS376" s="14">
        <f>INDEX(属性投放!$BS$6:$BS$85,(卡牌属性!$DW376-2)*20+卡牌属性!$DX376)</f>
        <v>3150</v>
      </c>
      <c r="FT376" s="14">
        <f>INDEX(属性投放!$BS$6:$BS$85,(卡牌属性!$DW376-2)*20+卡牌属性!$DX376)</f>
        <v>3150</v>
      </c>
      <c r="FU376" s="14">
        <f>INDEX(属性投放!$BS$6:$BS$85,(卡牌属性!$DW376-2)*20+卡牌属性!$DX376)</f>
        <v>3150</v>
      </c>
      <c r="FV376" s="14">
        <f>INDEX(属性投放!$BS$6:$BS$85,(卡牌属性!$DW376-2)*20+卡牌属性!$DX376)</f>
        <v>3150</v>
      </c>
    </row>
    <row r="377" spans="31:178" ht="16.5" x14ac:dyDescent="0.2">
      <c r="AE377" s="13">
        <v>373</v>
      </c>
      <c r="AF377" s="13">
        <f t="shared" si="652"/>
        <v>19</v>
      </c>
      <c r="AG377" s="13">
        <f t="shared" si="633"/>
        <v>2</v>
      </c>
      <c r="AH377" s="13"/>
      <c r="AI377" s="13"/>
      <c r="AJ377" s="14">
        <f t="shared" si="634"/>
        <v>1101022</v>
      </c>
      <c r="AK377" s="14" t="str">
        <f t="shared" si="635"/>
        <v>幻13突</v>
      </c>
      <c r="AL377" s="25" t="s">
        <v>142</v>
      </c>
      <c r="AM377" s="14">
        <v>1</v>
      </c>
      <c r="AN377" s="14">
        <f t="shared" si="636"/>
        <v>13</v>
      </c>
      <c r="AO377" s="14">
        <f>INDEX(属性投放!$DF$6:$DF$85,(卡牌属性!AG377-2)*20+卡牌属性!AN377)</f>
        <v>4474</v>
      </c>
      <c r="AP377" s="14">
        <f t="shared" si="698"/>
        <v>4474</v>
      </c>
      <c r="AQ377" s="14">
        <f t="shared" si="698"/>
        <v>4474</v>
      </c>
      <c r="AR377" s="14">
        <f t="shared" si="698"/>
        <v>4474</v>
      </c>
      <c r="AS377" s="14">
        <f t="shared" si="698"/>
        <v>4474</v>
      </c>
      <c r="AT377" s="14">
        <f>INDEX(属性投放!$DG$6:$DG$85,(卡牌属性!AG377-2)*20+卡牌属性!AN377)</f>
        <v>2188</v>
      </c>
      <c r="AU377" s="14">
        <f t="shared" si="699"/>
        <v>2188</v>
      </c>
      <c r="AV377" s="14">
        <f t="shared" si="699"/>
        <v>2188</v>
      </c>
      <c r="AW377" s="14">
        <f t="shared" si="699"/>
        <v>2188</v>
      </c>
      <c r="AX377" s="14">
        <f t="shared" si="699"/>
        <v>2188</v>
      </c>
      <c r="AY377" s="14">
        <f>INDEX(属性投放!$DH$6:$DH$85,(卡牌属性!AG377-2)*20+卡牌属性!AN377)</f>
        <v>36531</v>
      </c>
      <c r="AZ377" s="14">
        <f t="shared" si="700"/>
        <v>36531</v>
      </c>
      <c r="BA377" s="14">
        <f t="shared" si="700"/>
        <v>36531</v>
      </c>
      <c r="BB377" s="14">
        <f t="shared" si="700"/>
        <v>36531</v>
      </c>
      <c r="BC377" s="14">
        <f t="shared" si="700"/>
        <v>36531</v>
      </c>
      <c r="BD377" s="14">
        <f>INDEX(属性投放!$DL$6:$DL$85,(卡牌属性!AG377-2)*20+卡牌属性!AN377)</f>
        <v>151</v>
      </c>
      <c r="BE377" s="14">
        <f t="shared" si="701"/>
        <v>151</v>
      </c>
      <c r="BF377" s="14">
        <f t="shared" si="701"/>
        <v>151</v>
      </c>
      <c r="BG377" s="14">
        <f t="shared" si="701"/>
        <v>151</v>
      </c>
      <c r="BH377" s="14">
        <f t="shared" si="701"/>
        <v>151</v>
      </c>
      <c r="BI377" s="14">
        <f>INDEX(属性投放!$DM$6:$DM$85,(卡牌属性!AG377-2)*20+卡牌属性!AN377)</f>
        <v>76</v>
      </c>
      <c r="BJ377" s="14">
        <f t="shared" si="702"/>
        <v>76</v>
      </c>
      <c r="BK377" s="14">
        <f t="shared" si="702"/>
        <v>76</v>
      </c>
      <c r="BL377" s="14">
        <f t="shared" si="702"/>
        <v>76</v>
      </c>
      <c r="BM377" s="14">
        <f t="shared" si="702"/>
        <v>76</v>
      </c>
      <c r="BN377" s="14">
        <f>INDEX(属性投放!$DN$6:$DN$85,(卡牌属性!AG377-2)*20+卡牌属性!AN377)</f>
        <v>1510</v>
      </c>
      <c r="BO377" s="14">
        <f t="shared" si="703"/>
        <v>1510</v>
      </c>
      <c r="BP377" s="14">
        <f t="shared" si="703"/>
        <v>1510</v>
      </c>
      <c r="BQ377" s="14">
        <f t="shared" si="703"/>
        <v>1510</v>
      </c>
      <c r="BR377" s="14">
        <f t="shared" si="703"/>
        <v>1510</v>
      </c>
      <c r="BW377" s="13">
        <v>373</v>
      </c>
      <c r="BX377" s="13">
        <f t="shared" si="643"/>
        <v>19</v>
      </c>
      <c r="BY377" s="14">
        <f t="shared" si="644"/>
        <v>2</v>
      </c>
      <c r="BZ377" s="14">
        <f t="shared" si="653"/>
        <v>1102019</v>
      </c>
      <c r="CA377" s="14" t="str">
        <f t="shared" si="654"/>
        <v>食火蜥13突</v>
      </c>
      <c r="CB377" s="25" t="s">
        <v>142</v>
      </c>
      <c r="CC377" s="14">
        <v>2</v>
      </c>
      <c r="CD377" s="14">
        <f t="shared" si="645"/>
        <v>13</v>
      </c>
      <c r="CE377" s="14" t="s">
        <v>21</v>
      </c>
      <c r="CF377" s="14">
        <f>INDEX(属性投放!$AZ$6:$AZ$85,(BY377-2)*20+CD377)</f>
        <v>4270</v>
      </c>
      <c r="CG377" s="14" t="s">
        <v>22</v>
      </c>
      <c r="CH377" s="14">
        <f>INDEX(属性投放!$BA$6:$BA$85,(BY377-2)*20+CD377)</f>
        <v>2091</v>
      </c>
      <c r="CI377" s="14" t="s">
        <v>510</v>
      </c>
      <c r="CJ377" s="14">
        <f>INDEX(属性投放!$BB$6:$BB$85,(BY377-2)*20+CD377)</f>
        <v>34508</v>
      </c>
      <c r="CK377" s="14" t="s">
        <v>21</v>
      </c>
      <c r="CL377" s="14">
        <f>INDEX(属性投放!$BC$6:$BC$85,(BY377-2)*20+CD377)</f>
        <v>15</v>
      </c>
      <c r="CM377" s="14" t="s">
        <v>22</v>
      </c>
      <c r="CN377" s="14">
        <f>INDEX(属性投放!$BD$6:$BD$85,(BY377-2)*20+CD377)</f>
        <v>8</v>
      </c>
      <c r="CO377" s="14" t="s">
        <v>510</v>
      </c>
      <c r="CP377" s="14">
        <f>INDEX(属性投放!$BE$6:$BE$85,(BY377-2)*20+CD377)</f>
        <v>150</v>
      </c>
      <c r="CS377" s="13">
        <v>373</v>
      </c>
      <c r="CT377" s="13">
        <f t="shared" si="655"/>
        <v>8</v>
      </c>
      <c r="CU377" s="13">
        <f t="shared" si="656"/>
        <v>9</v>
      </c>
      <c r="CV377" s="14">
        <f t="shared" si="657"/>
        <v>4</v>
      </c>
      <c r="CW377" s="14">
        <f t="shared" si="658"/>
        <v>1102008</v>
      </c>
      <c r="CX377" s="14" t="str">
        <f>INDEX($O$6:$O$50,CT377)&amp;"-"&amp;INDEX(属性投放!$AB$7:$AB$50,CZ377)&amp;"-魂火-"&amp;DB377</f>
        <v>夏侯渊-众合+1-魂火-2</v>
      </c>
      <c r="CY377" s="25" t="s">
        <v>142</v>
      </c>
      <c r="CZ377" s="14">
        <f>INDEX(属性投放!$AM$7:$AM$58,CU377)</f>
        <v>5</v>
      </c>
      <c r="DA377" s="14" t="s">
        <v>537</v>
      </c>
      <c r="DB377" s="14">
        <f>INDEX(属性投放!$AN$7:$AN$58,CU377)</f>
        <v>2</v>
      </c>
      <c r="DC377" s="14">
        <f t="shared" si="646"/>
        <v>9</v>
      </c>
      <c r="DD377" s="14">
        <f>INDEX(属性投放!$AO$7:$AO$58,DC377)</f>
        <v>40</v>
      </c>
      <c r="DE377" s="14" t="s">
        <v>538</v>
      </c>
      <c r="DF377" s="14">
        <f>INDEX(属性投放!$BK$6:$BK$85,(CV377-2)*20+CZ377)</f>
        <v>55</v>
      </c>
      <c r="DG377" s="14">
        <f>SUMIFS(DF$5:DF377,$CT$5:$CT377,"="&amp;$CT377)</f>
        <v>355</v>
      </c>
      <c r="DH377" s="14" t="s">
        <v>539</v>
      </c>
      <c r="DI377" s="14">
        <f>INDEX(属性投放!$BL$6:$BL$85,(CV377-2)*20+CZ377)</f>
        <v>28</v>
      </c>
      <c r="DJ377" s="14">
        <f>SUMIFS(DI$5:DI377,$CT$5:$CT377,"="&amp;$CT377)</f>
        <v>181</v>
      </c>
      <c r="DK377" s="14" t="s">
        <v>540</v>
      </c>
      <c r="DL377" s="14">
        <f>INDEX(属性投放!$BM$6:$BM$85,(CV377-2)*20+CZ377)</f>
        <v>385</v>
      </c>
      <c r="DM377" s="14">
        <f>SUMIFS(DL$5:DL377,$CT$5:$CT377,"="&amp;$CT377)</f>
        <v>2330</v>
      </c>
      <c r="DR377" s="14">
        <f t="shared" si="647"/>
        <v>1102019</v>
      </c>
      <c r="DS377" s="14" t="str">
        <f t="shared" si="648"/>
        <v>食火蜥13突</v>
      </c>
      <c r="DT377" s="14">
        <f t="shared" si="659"/>
        <v>1</v>
      </c>
      <c r="DU377" s="14">
        <f t="shared" si="660"/>
        <v>6</v>
      </c>
      <c r="DV377" s="14">
        <f t="shared" si="661"/>
        <v>4</v>
      </c>
      <c r="DW377" s="14">
        <f t="shared" si="649"/>
        <v>2</v>
      </c>
      <c r="DX377" s="14">
        <f t="shared" si="650"/>
        <v>13</v>
      </c>
      <c r="DY377" s="14">
        <f t="shared" si="651"/>
        <v>13</v>
      </c>
      <c r="DZ377" s="14">
        <f>INDEX(属性投放!$AX$6:$AX$85,(卡牌属性!DW377-2)*20+卡牌属性!DX377)</f>
        <v>8</v>
      </c>
      <c r="EA377" s="14">
        <f>INDEX(属性投放!BQ$6:BQ$85,卡牌属性!$DY377)</f>
        <v>350</v>
      </c>
      <c r="EB377" s="14">
        <f>INDEX(属性投放!BR$6:BR$85,卡牌属性!$DY377)</f>
        <v>175</v>
      </c>
      <c r="EC377" s="14">
        <f>INDEX(属性投放!BS$6:BS$85,卡牌属性!$DY377)</f>
        <v>3500</v>
      </c>
      <c r="ED377" s="14">
        <f t="shared" si="704"/>
        <v>1961</v>
      </c>
      <c r="EE377" s="14">
        <f t="shared" si="705"/>
        <v>2092</v>
      </c>
      <c r="EF377" s="14">
        <f t="shared" si="706"/>
        <v>2265</v>
      </c>
      <c r="EG377" s="14">
        <f t="shared" si="707"/>
        <v>2265</v>
      </c>
      <c r="EH377" s="14">
        <f t="shared" si="708"/>
        <v>2480</v>
      </c>
      <c r="EI377" s="14">
        <f t="shared" si="709"/>
        <v>1423</v>
      </c>
      <c r="EJ377" s="14">
        <f t="shared" si="710"/>
        <v>1721</v>
      </c>
      <c r="EK377" s="14">
        <f t="shared" si="711"/>
        <v>1721</v>
      </c>
      <c r="EL377" s="14">
        <f t="shared" si="712"/>
        <v>1876</v>
      </c>
      <c r="EM377" s="14">
        <f t="shared" si="713"/>
        <v>2031</v>
      </c>
      <c r="EN377" s="14">
        <f t="shared" si="714"/>
        <v>19242</v>
      </c>
      <c r="EO377" s="14">
        <f t="shared" si="715"/>
        <v>21360</v>
      </c>
      <c r="EP377" s="14">
        <f t="shared" si="716"/>
        <v>21360</v>
      </c>
      <c r="EQ377" s="14">
        <f t="shared" si="717"/>
        <v>22294</v>
      </c>
      <c r="ER377" s="14">
        <f t="shared" si="718"/>
        <v>27008</v>
      </c>
      <c r="ES377" s="14">
        <f>INDEX(属性偏向!$S$4:$S$243,(卡牌属性!$DT377-1+ES$3)*20+卡牌属性!$DX377)</f>
        <v>10</v>
      </c>
      <c r="ET377" s="14">
        <f>INDEX(属性偏向!$S$4:$S$243,(卡牌属性!$DT377-1+ET$3)*20+卡牌属性!$DX377)</f>
        <v>12</v>
      </c>
      <c r="EU377" s="14">
        <f>INDEX(属性偏向!$S$4:$S$243,(卡牌属性!$DT377-1+EU$3)*20+卡牌属性!$DX377)</f>
        <v>15</v>
      </c>
      <c r="EV377" s="14">
        <f>INDEX(属性偏向!$S$4:$S$243,(卡牌属性!$DT377-1+EV$3)*20+卡牌属性!$DX377)</f>
        <v>15</v>
      </c>
      <c r="EW377" s="14">
        <f>INDEX(属性偏向!$S$4:$S$243,(卡牌属性!$DT377-1+EW$3)*20+卡牌属性!$DX377)</f>
        <v>20</v>
      </c>
      <c r="EX377" s="14">
        <f>INDEX(属性偏向!$T$4:$T$243,(卡牌属性!$DU377-1+EX$3)*20+卡牌属性!$DX377)</f>
        <v>13</v>
      </c>
      <c r="EY377" s="14">
        <f>INDEX(属性偏向!$T$4:$T$243,(卡牌属性!$DU377-1+EY$3)*20+卡牌属性!$DX377)</f>
        <v>20</v>
      </c>
      <c r="EZ377" s="14">
        <f>INDEX(属性偏向!$T$4:$T$243,(卡牌属性!$DU377-1+EZ$3)*20+卡牌属性!$DX377)</f>
        <v>20</v>
      </c>
      <c r="FA377" s="14">
        <f>INDEX(属性偏向!$T$4:$T$243,(卡牌属性!$DU377-1+FA$3)*20+卡牌属性!$DX377)</f>
        <v>23</v>
      </c>
      <c r="FB377" s="14">
        <f>INDEX(属性偏向!$T$4:$T$243,(卡牌属性!$DU377-1+FB$3)*20+卡牌属性!$DX377)</f>
        <v>25</v>
      </c>
      <c r="FC377" s="14">
        <f>INDEX(属性偏向!$U$4:$U$243,(卡牌属性!$DV377-1+FC$3)*20+卡牌属性!$DX377)</f>
        <v>200</v>
      </c>
      <c r="FD377" s="14">
        <f>INDEX(属性偏向!$U$4:$U$243,(卡牌属性!$DV377-1+FD$3)*20+卡牌属性!$DX377)</f>
        <v>250</v>
      </c>
      <c r="FE377" s="14">
        <f>INDEX(属性偏向!$U$4:$U$243,(卡牌属性!$DV377-1+FE$3)*20+卡牌属性!$DX377)</f>
        <v>250</v>
      </c>
      <c r="FF377" s="14">
        <f>INDEX(属性偏向!$U$4:$U$243,(卡牌属性!$DV377-1+FF$3)*20+卡牌属性!$DX377)</f>
        <v>260</v>
      </c>
      <c r="FG377" s="14">
        <f>INDEX(属性偏向!$U$4:$U$243,(卡牌属性!$DV377-1+FG$3)*20+卡牌属性!$DX377)</f>
        <v>400</v>
      </c>
      <c r="FH377" s="14">
        <f>INDEX(属性投放!$BQ$6:$BQ$85,(卡牌属性!$DW377-2)*20+卡牌属性!$DX377)</f>
        <v>350</v>
      </c>
      <c r="FI377" s="14">
        <f>INDEX(属性投放!$BQ$6:$BQ$85,(卡牌属性!$DW377-2)*20+卡牌属性!$DX377)</f>
        <v>350</v>
      </c>
      <c r="FJ377" s="14">
        <f>INDEX(属性投放!$BQ$6:$BQ$85,(卡牌属性!$DW377-2)*20+卡牌属性!$DX377)</f>
        <v>350</v>
      </c>
      <c r="FK377" s="14">
        <f>INDEX(属性投放!$BQ$6:$BQ$85,(卡牌属性!$DW377-2)*20+卡牌属性!$DX377)</f>
        <v>350</v>
      </c>
      <c r="FL377" s="14">
        <f>INDEX(属性投放!$BQ$6:$BQ$85,(卡牌属性!$DW377-2)*20+卡牌属性!$DX377)</f>
        <v>350</v>
      </c>
      <c r="FM377" s="14">
        <f>INDEX(属性投放!$BR$6:$BR$85,(卡牌属性!$DW377-2)*20+卡牌属性!$DX377)</f>
        <v>175</v>
      </c>
      <c r="FN377" s="14">
        <f>INDEX(属性投放!$BR$6:$BR$85,(卡牌属性!$DW377-2)*20+卡牌属性!$DX377)</f>
        <v>175</v>
      </c>
      <c r="FO377" s="14">
        <f>INDEX(属性投放!$BR$6:$BR$85,(卡牌属性!$DW377-2)*20+卡牌属性!$DX377)</f>
        <v>175</v>
      </c>
      <c r="FP377" s="14">
        <f>INDEX(属性投放!$BR$6:$BR$85,(卡牌属性!$DW377-2)*20+卡牌属性!$DX377)</f>
        <v>175</v>
      </c>
      <c r="FQ377" s="14">
        <f>INDEX(属性投放!$BR$6:$BR$85,(卡牌属性!$DW377-2)*20+卡牌属性!$DX377)</f>
        <v>175</v>
      </c>
      <c r="FR377" s="14">
        <f>INDEX(属性投放!$BS$6:$BS$85,(卡牌属性!$DW377-2)*20+卡牌属性!$DX377)</f>
        <v>3500</v>
      </c>
      <c r="FS377" s="14">
        <f>INDEX(属性投放!$BS$6:$BS$85,(卡牌属性!$DW377-2)*20+卡牌属性!$DX377)</f>
        <v>3500</v>
      </c>
      <c r="FT377" s="14">
        <f>INDEX(属性投放!$BS$6:$BS$85,(卡牌属性!$DW377-2)*20+卡牌属性!$DX377)</f>
        <v>3500</v>
      </c>
      <c r="FU377" s="14">
        <f>INDEX(属性投放!$BS$6:$BS$85,(卡牌属性!$DW377-2)*20+卡牌属性!$DX377)</f>
        <v>3500</v>
      </c>
      <c r="FV377" s="14">
        <f>INDEX(属性投放!$BS$6:$BS$85,(卡牌属性!$DW377-2)*20+卡牌属性!$DX377)</f>
        <v>3500</v>
      </c>
    </row>
    <row r="378" spans="31:178" ht="16.5" x14ac:dyDescent="0.2">
      <c r="AE378" s="13">
        <v>374</v>
      </c>
      <c r="AF378" s="13">
        <f t="shared" si="652"/>
        <v>19</v>
      </c>
      <c r="AG378" s="13">
        <f t="shared" si="633"/>
        <v>2</v>
      </c>
      <c r="AH378" s="13"/>
      <c r="AI378" s="13"/>
      <c r="AJ378" s="14">
        <f t="shared" si="634"/>
        <v>1101022</v>
      </c>
      <c r="AK378" s="14" t="str">
        <f t="shared" si="635"/>
        <v>幻14突</v>
      </c>
      <c r="AL378" s="25" t="s">
        <v>142</v>
      </c>
      <c r="AM378" s="14">
        <v>1</v>
      </c>
      <c r="AN378" s="14">
        <f t="shared" si="636"/>
        <v>14</v>
      </c>
      <c r="AO378" s="14">
        <f>INDEX(属性投放!$DF$6:$DF$85,(卡牌属性!AG378-2)*20+卡牌属性!AN378)</f>
        <v>4906</v>
      </c>
      <c r="AP378" s="14">
        <f t="shared" si="698"/>
        <v>4906</v>
      </c>
      <c r="AQ378" s="14">
        <f t="shared" si="698"/>
        <v>4906</v>
      </c>
      <c r="AR378" s="14">
        <f t="shared" si="698"/>
        <v>4906</v>
      </c>
      <c r="AS378" s="14">
        <f t="shared" si="698"/>
        <v>4906</v>
      </c>
      <c r="AT378" s="14">
        <f>INDEX(属性投放!$DG$6:$DG$85,(卡牌属性!AG378-2)*20+卡牌属性!AN378)</f>
        <v>2405</v>
      </c>
      <c r="AU378" s="14">
        <f t="shared" si="699"/>
        <v>2405</v>
      </c>
      <c r="AV378" s="14">
        <f t="shared" si="699"/>
        <v>2405</v>
      </c>
      <c r="AW378" s="14">
        <f t="shared" si="699"/>
        <v>2405</v>
      </c>
      <c r="AX378" s="14">
        <f t="shared" si="699"/>
        <v>2405</v>
      </c>
      <c r="AY378" s="14">
        <f>INDEX(属性投放!$DH$6:$DH$85,(卡牌属性!AG378-2)*20+卡牌属性!AN378)</f>
        <v>40846</v>
      </c>
      <c r="AZ378" s="14">
        <f t="shared" si="700"/>
        <v>40846</v>
      </c>
      <c r="BA378" s="14">
        <f t="shared" si="700"/>
        <v>40846</v>
      </c>
      <c r="BB378" s="14">
        <f t="shared" si="700"/>
        <v>40846</v>
      </c>
      <c r="BC378" s="14">
        <f t="shared" si="700"/>
        <v>40846</v>
      </c>
      <c r="BD378" s="14">
        <f>INDEX(属性投放!$DL$6:$DL$85,(卡牌属性!AG378-2)*20+卡牌属性!AN378)</f>
        <v>151</v>
      </c>
      <c r="BE378" s="14">
        <f t="shared" si="701"/>
        <v>151</v>
      </c>
      <c r="BF378" s="14">
        <f t="shared" si="701"/>
        <v>151</v>
      </c>
      <c r="BG378" s="14">
        <f t="shared" si="701"/>
        <v>151</v>
      </c>
      <c r="BH378" s="14">
        <f t="shared" si="701"/>
        <v>151</v>
      </c>
      <c r="BI378" s="14">
        <f>INDEX(属性投放!$DM$6:$DM$85,(卡牌属性!AG378-2)*20+卡牌属性!AN378)</f>
        <v>76</v>
      </c>
      <c r="BJ378" s="14">
        <f t="shared" si="702"/>
        <v>76</v>
      </c>
      <c r="BK378" s="14">
        <f t="shared" si="702"/>
        <v>76</v>
      </c>
      <c r="BL378" s="14">
        <f t="shared" si="702"/>
        <v>76</v>
      </c>
      <c r="BM378" s="14">
        <f t="shared" si="702"/>
        <v>76</v>
      </c>
      <c r="BN378" s="14">
        <f>INDEX(属性投放!$DN$6:$DN$85,(卡牌属性!AG378-2)*20+卡牌属性!AN378)</f>
        <v>1510</v>
      </c>
      <c r="BO378" s="14">
        <f t="shared" si="703"/>
        <v>1510</v>
      </c>
      <c r="BP378" s="14">
        <f t="shared" si="703"/>
        <v>1510</v>
      </c>
      <c r="BQ378" s="14">
        <f t="shared" si="703"/>
        <v>1510</v>
      </c>
      <c r="BR378" s="14">
        <f t="shared" si="703"/>
        <v>1510</v>
      </c>
      <c r="BW378" s="13">
        <v>374</v>
      </c>
      <c r="BX378" s="13">
        <f t="shared" si="643"/>
        <v>19</v>
      </c>
      <c r="BY378" s="14">
        <f t="shared" si="644"/>
        <v>2</v>
      </c>
      <c r="BZ378" s="14">
        <f t="shared" si="653"/>
        <v>1102019</v>
      </c>
      <c r="CA378" s="14" t="str">
        <f t="shared" si="654"/>
        <v>食火蜥14突</v>
      </c>
      <c r="CB378" s="25" t="s">
        <v>142</v>
      </c>
      <c r="CC378" s="14">
        <v>2</v>
      </c>
      <c r="CD378" s="14">
        <f t="shared" si="645"/>
        <v>14</v>
      </c>
      <c r="CE378" s="14" t="s">
        <v>21</v>
      </c>
      <c r="CF378" s="14">
        <f>INDEX(属性投放!$AZ$6:$AZ$85,(BY378-2)*20+CD378)</f>
        <v>5400</v>
      </c>
      <c r="CG378" s="14" t="s">
        <v>22</v>
      </c>
      <c r="CH378" s="14">
        <f>INDEX(属性投放!$BA$6:$BA$85,(BY378-2)*20+CD378)</f>
        <v>2660</v>
      </c>
      <c r="CI378" s="14" t="s">
        <v>510</v>
      </c>
      <c r="CJ378" s="14">
        <f>INDEX(属性投放!$BB$6:$BB$85,(BY378-2)*20+CD378)</f>
        <v>45808</v>
      </c>
      <c r="CK378" s="14" t="s">
        <v>21</v>
      </c>
      <c r="CL378" s="14">
        <f>INDEX(属性投放!$BC$6:$BC$85,(BY378-2)*20+CD378)</f>
        <v>15</v>
      </c>
      <c r="CM378" s="14" t="s">
        <v>22</v>
      </c>
      <c r="CN378" s="14">
        <f>INDEX(属性投放!$BD$6:$BD$85,(BY378-2)*20+CD378)</f>
        <v>8</v>
      </c>
      <c r="CO378" s="14" t="s">
        <v>510</v>
      </c>
      <c r="CP378" s="14">
        <f>INDEX(属性投放!$BE$6:$BE$85,(BY378-2)*20+CD378)</f>
        <v>150</v>
      </c>
      <c r="CS378" s="13">
        <v>374</v>
      </c>
      <c r="CT378" s="13">
        <f t="shared" si="655"/>
        <v>8</v>
      </c>
      <c r="CU378" s="13">
        <f t="shared" si="656"/>
        <v>10</v>
      </c>
      <c r="CV378" s="14">
        <f t="shared" si="657"/>
        <v>4</v>
      </c>
      <c r="CW378" s="14">
        <f t="shared" si="658"/>
        <v>1102008</v>
      </c>
      <c r="CX378" s="14" t="str">
        <f>INDEX($O$6:$O$50,CT378)&amp;"-"&amp;INDEX(属性投放!$AB$7:$AB$50,CZ378)&amp;"-魂火-"&amp;DB378</f>
        <v>夏侯渊-众合+2-魂火-1</v>
      </c>
      <c r="CY378" s="25" t="s">
        <v>142</v>
      </c>
      <c r="CZ378" s="14">
        <f>INDEX(属性投放!$AM$7:$AM$58,CU378)</f>
        <v>6</v>
      </c>
      <c r="DA378" s="14" t="s">
        <v>537</v>
      </c>
      <c r="DB378" s="14">
        <f>INDEX(属性投放!$AN$7:$AN$58,CU378)</f>
        <v>1</v>
      </c>
      <c r="DC378" s="14">
        <f t="shared" si="646"/>
        <v>10</v>
      </c>
      <c r="DD378" s="14">
        <f>INDEX(属性投放!$AO$7:$AO$58,DC378)</f>
        <v>43</v>
      </c>
      <c r="DE378" s="14" t="s">
        <v>538</v>
      </c>
      <c r="DF378" s="14">
        <f>INDEX(属性投放!$BK$6:$BK$85,(CV378-2)*20+CZ378)</f>
        <v>60</v>
      </c>
      <c r="DG378" s="14">
        <f>SUMIFS(DF$5:DF378,$CT$5:$CT378,"="&amp;$CT378)</f>
        <v>415</v>
      </c>
      <c r="DH378" s="14" t="s">
        <v>539</v>
      </c>
      <c r="DI378" s="14">
        <f>INDEX(属性投放!$BL$6:$BL$85,(CV378-2)*20+CZ378)</f>
        <v>30</v>
      </c>
      <c r="DJ378" s="14">
        <f>SUMIFS(DI$5:DI378,$CT$5:$CT378,"="&amp;$CT378)</f>
        <v>211</v>
      </c>
      <c r="DK378" s="14" t="s">
        <v>540</v>
      </c>
      <c r="DL378" s="14">
        <f>INDEX(属性投放!$BM$6:$BM$85,(CV378-2)*20+CZ378)</f>
        <v>420</v>
      </c>
      <c r="DM378" s="14">
        <f>SUMIFS(DL$5:DL378,$CT$5:$CT378,"="&amp;$CT378)</f>
        <v>2750</v>
      </c>
      <c r="DR378" s="14">
        <f t="shared" si="647"/>
        <v>1102019</v>
      </c>
      <c r="DS378" s="14" t="str">
        <f t="shared" si="648"/>
        <v>食火蜥14突</v>
      </c>
      <c r="DT378" s="14">
        <f t="shared" si="659"/>
        <v>1</v>
      </c>
      <c r="DU378" s="14">
        <f t="shared" si="660"/>
        <v>6</v>
      </c>
      <c r="DV378" s="14">
        <f t="shared" si="661"/>
        <v>4</v>
      </c>
      <c r="DW378" s="14">
        <f t="shared" si="649"/>
        <v>2</v>
      </c>
      <c r="DX378" s="14">
        <f t="shared" si="650"/>
        <v>14</v>
      </c>
      <c r="DY378" s="14">
        <f t="shared" si="651"/>
        <v>14</v>
      </c>
      <c r="DZ378" s="14">
        <f>INDEX(属性投放!$AX$6:$AX$85,(卡牌属性!DW378-2)*20+卡牌属性!DX378)</f>
        <v>7</v>
      </c>
      <c r="EA378" s="14">
        <f>INDEX(属性投放!BQ$6:BQ$85,卡牌属性!$DY378)</f>
        <v>400</v>
      </c>
      <c r="EB378" s="14">
        <f>INDEX(属性投放!BR$6:BR$85,卡牌属性!$DY378)</f>
        <v>200</v>
      </c>
      <c r="EC378" s="14">
        <f>INDEX(属性投放!BS$6:BS$85,卡牌属性!$DY378)</f>
        <v>4000</v>
      </c>
      <c r="ED378" s="14">
        <f t="shared" si="704"/>
        <v>2391</v>
      </c>
      <c r="EE378" s="14">
        <f t="shared" si="705"/>
        <v>2538</v>
      </c>
      <c r="EF378" s="14">
        <f t="shared" si="706"/>
        <v>2735</v>
      </c>
      <c r="EG378" s="14">
        <f t="shared" si="707"/>
        <v>2735</v>
      </c>
      <c r="EH378" s="14">
        <f t="shared" si="708"/>
        <v>2990</v>
      </c>
      <c r="EI378" s="14">
        <f t="shared" si="709"/>
        <v>1702</v>
      </c>
      <c r="EJ378" s="14">
        <f t="shared" si="710"/>
        <v>2056</v>
      </c>
      <c r="EK378" s="14">
        <f t="shared" si="711"/>
        <v>2056</v>
      </c>
      <c r="EL378" s="14">
        <f t="shared" si="712"/>
        <v>2235</v>
      </c>
      <c r="EM378" s="14">
        <f t="shared" si="713"/>
        <v>2406</v>
      </c>
      <c r="EN378" s="14">
        <f t="shared" si="714"/>
        <v>24342</v>
      </c>
      <c r="EO378" s="14">
        <f t="shared" si="715"/>
        <v>26860</v>
      </c>
      <c r="EP378" s="14">
        <f t="shared" si="716"/>
        <v>26860</v>
      </c>
      <c r="EQ378" s="14">
        <f t="shared" si="717"/>
        <v>27874</v>
      </c>
      <c r="ER378" s="14">
        <f t="shared" si="718"/>
        <v>33708</v>
      </c>
      <c r="ES378" s="14">
        <f>INDEX(属性偏向!$S$4:$S$243,(卡牌属性!$DT378-1+ES$3)*20+卡牌属性!$DX378)</f>
        <v>10</v>
      </c>
      <c r="ET378" s="14">
        <f>INDEX(属性偏向!$S$4:$S$243,(卡牌属性!$DT378-1+ET$3)*20+卡牌属性!$DX378)</f>
        <v>12</v>
      </c>
      <c r="EU378" s="14">
        <f>INDEX(属性偏向!$S$4:$S$243,(卡牌属性!$DT378-1+EU$3)*20+卡牌属性!$DX378)</f>
        <v>15</v>
      </c>
      <c r="EV378" s="14">
        <f>INDEX(属性偏向!$S$4:$S$243,(卡牌属性!$DT378-1+EV$3)*20+卡牌属性!$DX378)</f>
        <v>15</v>
      </c>
      <c r="EW378" s="14">
        <f>INDEX(属性偏向!$S$4:$S$243,(卡牌属性!$DT378-1+EW$3)*20+卡牌属性!$DX378)</f>
        <v>20</v>
      </c>
      <c r="EX378" s="14">
        <f>INDEX(属性偏向!$T$4:$T$243,(卡牌属性!$DU378-1+EX$3)*20+卡牌属性!$DX378)</f>
        <v>13</v>
      </c>
      <c r="EY378" s="14">
        <f>INDEX(属性偏向!$T$4:$T$243,(卡牌属性!$DU378-1+EY$3)*20+卡牌属性!$DX378)</f>
        <v>20</v>
      </c>
      <c r="EZ378" s="14">
        <f>INDEX(属性偏向!$T$4:$T$243,(卡牌属性!$DU378-1+EZ$3)*20+卡牌属性!$DX378)</f>
        <v>20</v>
      </c>
      <c r="FA378" s="14">
        <f>INDEX(属性偏向!$T$4:$T$243,(卡牌属性!$DU378-1+FA$3)*20+卡牌属性!$DX378)</f>
        <v>23</v>
      </c>
      <c r="FB378" s="14">
        <f>INDEX(属性偏向!$T$4:$T$243,(卡牌属性!$DU378-1+FB$3)*20+卡牌属性!$DX378)</f>
        <v>25</v>
      </c>
      <c r="FC378" s="14">
        <f>INDEX(属性偏向!$U$4:$U$243,(卡牌属性!$DV378-1+FC$3)*20+卡牌属性!$DX378)</f>
        <v>200</v>
      </c>
      <c r="FD378" s="14">
        <f>INDEX(属性偏向!$U$4:$U$243,(卡牌属性!$DV378-1+FD$3)*20+卡牌属性!$DX378)</f>
        <v>250</v>
      </c>
      <c r="FE378" s="14">
        <f>INDEX(属性偏向!$U$4:$U$243,(卡牌属性!$DV378-1+FE$3)*20+卡牌属性!$DX378)</f>
        <v>250</v>
      </c>
      <c r="FF378" s="14">
        <f>INDEX(属性偏向!$U$4:$U$243,(卡牌属性!$DV378-1+FF$3)*20+卡牌属性!$DX378)</f>
        <v>260</v>
      </c>
      <c r="FG378" s="14">
        <f>INDEX(属性偏向!$U$4:$U$243,(卡牌属性!$DV378-1+FG$3)*20+卡牌属性!$DX378)</f>
        <v>400</v>
      </c>
      <c r="FH378" s="14">
        <f>INDEX(属性投放!$BQ$6:$BQ$85,(卡牌属性!$DW378-2)*20+卡牌属性!$DX378)</f>
        <v>400</v>
      </c>
      <c r="FI378" s="14">
        <f>INDEX(属性投放!$BQ$6:$BQ$85,(卡牌属性!$DW378-2)*20+卡牌属性!$DX378)</f>
        <v>400</v>
      </c>
      <c r="FJ378" s="14">
        <f>INDEX(属性投放!$BQ$6:$BQ$85,(卡牌属性!$DW378-2)*20+卡牌属性!$DX378)</f>
        <v>400</v>
      </c>
      <c r="FK378" s="14">
        <f>INDEX(属性投放!$BQ$6:$BQ$85,(卡牌属性!$DW378-2)*20+卡牌属性!$DX378)</f>
        <v>400</v>
      </c>
      <c r="FL378" s="14">
        <f>INDEX(属性投放!$BQ$6:$BQ$85,(卡牌属性!$DW378-2)*20+卡牌属性!$DX378)</f>
        <v>400</v>
      </c>
      <c r="FM378" s="14">
        <f>INDEX(属性投放!$BR$6:$BR$85,(卡牌属性!$DW378-2)*20+卡牌属性!$DX378)</f>
        <v>200</v>
      </c>
      <c r="FN378" s="14">
        <f>INDEX(属性投放!$BR$6:$BR$85,(卡牌属性!$DW378-2)*20+卡牌属性!$DX378)</f>
        <v>200</v>
      </c>
      <c r="FO378" s="14">
        <f>INDEX(属性投放!$BR$6:$BR$85,(卡牌属性!$DW378-2)*20+卡牌属性!$DX378)</f>
        <v>200</v>
      </c>
      <c r="FP378" s="14">
        <f>INDEX(属性投放!$BR$6:$BR$85,(卡牌属性!$DW378-2)*20+卡牌属性!$DX378)</f>
        <v>200</v>
      </c>
      <c r="FQ378" s="14">
        <f>INDEX(属性投放!$BR$6:$BR$85,(卡牌属性!$DW378-2)*20+卡牌属性!$DX378)</f>
        <v>200</v>
      </c>
      <c r="FR378" s="14">
        <f>INDEX(属性投放!$BS$6:$BS$85,(卡牌属性!$DW378-2)*20+卡牌属性!$DX378)</f>
        <v>4000</v>
      </c>
      <c r="FS378" s="14">
        <f>INDEX(属性投放!$BS$6:$BS$85,(卡牌属性!$DW378-2)*20+卡牌属性!$DX378)</f>
        <v>4000</v>
      </c>
      <c r="FT378" s="14">
        <f>INDEX(属性投放!$BS$6:$BS$85,(卡牌属性!$DW378-2)*20+卡牌属性!$DX378)</f>
        <v>4000</v>
      </c>
      <c r="FU378" s="14">
        <f>INDEX(属性投放!$BS$6:$BS$85,(卡牌属性!$DW378-2)*20+卡牌属性!$DX378)</f>
        <v>4000</v>
      </c>
      <c r="FV378" s="14">
        <f>INDEX(属性投放!$BS$6:$BS$85,(卡牌属性!$DW378-2)*20+卡牌属性!$DX378)</f>
        <v>4000</v>
      </c>
    </row>
    <row r="379" spans="31:178" ht="16.5" x14ac:dyDescent="0.2">
      <c r="AE379" s="13">
        <v>375</v>
      </c>
      <c r="AF379" s="13">
        <f t="shared" si="652"/>
        <v>19</v>
      </c>
      <c r="AG379" s="13">
        <f t="shared" si="633"/>
        <v>2</v>
      </c>
      <c r="AH379" s="13"/>
      <c r="AI379" s="13"/>
      <c r="AJ379" s="14">
        <f t="shared" si="634"/>
        <v>1101022</v>
      </c>
      <c r="AK379" s="14" t="str">
        <f t="shared" si="635"/>
        <v>幻15突</v>
      </c>
      <c r="AL379" s="25" t="s">
        <v>142</v>
      </c>
      <c r="AM379" s="14">
        <v>1</v>
      </c>
      <c r="AN379" s="14">
        <f t="shared" si="636"/>
        <v>15</v>
      </c>
      <c r="AO379" s="14">
        <f>INDEX(属性投放!$DF$6:$DF$85,(卡牌属性!AG379-2)*20+卡牌属性!AN379)</f>
        <v>5338</v>
      </c>
      <c r="AP379" s="14">
        <f t="shared" si="698"/>
        <v>5338</v>
      </c>
      <c r="AQ379" s="14">
        <f t="shared" si="698"/>
        <v>5338</v>
      </c>
      <c r="AR379" s="14">
        <f t="shared" si="698"/>
        <v>5338</v>
      </c>
      <c r="AS379" s="14">
        <f t="shared" si="698"/>
        <v>5338</v>
      </c>
      <c r="AT379" s="14">
        <f>INDEX(属性投放!$DG$6:$DG$85,(卡牌属性!AG379-2)*20+卡牌属性!AN379)</f>
        <v>2622</v>
      </c>
      <c r="AU379" s="14">
        <f t="shared" si="699"/>
        <v>2622</v>
      </c>
      <c r="AV379" s="14">
        <f t="shared" si="699"/>
        <v>2622</v>
      </c>
      <c r="AW379" s="14">
        <f t="shared" si="699"/>
        <v>2622</v>
      </c>
      <c r="AX379" s="14">
        <f t="shared" si="699"/>
        <v>2622</v>
      </c>
      <c r="AY379" s="14">
        <f>INDEX(属性投放!$DH$6:$DH$85,(卡牌属性!AG379-2)*20+卡牌属性!AN379)</f>
        <v>45161</v>
      </c>
      <c r="AZ379" s="14">
        <f t="shared" si="700"/>
        <v>45161</v>
      </c>
      <c r="BA379" s="14">
        <f t="shared" si="700"/>
        <v>45161</v>
      </c>
      <c r="BB379" s="14">
        <f t="shared" si="700"/>
        <v>45161</v>
      </c>
      <c r="BC379" s="14">
        <f t="shared" si="700"/>
        <v>45161</v>
      </c>
      <c r="BD379" s="14">
        <f>INDEX(属性投放!$DL$6:$DL$85,(卡牌属性!AG379-2)*20+卡牌属性!AN379)</f>
        <v>151</v>
      </c>
      <c r="BE379" s="14">
        <f t="shared" si="701"/>
        <v>151</v>
      </c>
      <c r="BF379" s="14">
        <f t="shared" si="701"/>
        <v>151</v>
      </c>
      <c r="BG379" s="14">
        <f t="shared" si="701"/>
        <v>151</v>
      </c>
      <c r="BH379" s="14">
        <f t="shared" si="701"/>
        <v>151</v>
      </c>
      <c r="BI379" s="14">
        <f>INDEX(属性投放!$DM$6:$DM$85,(卡牌属性!AG379-2)*20+卡牌属性!AN379)</f>
        <v>76</v>
      </c>
      <c r="BJ379" s="14">
        <f t="shared" si="702"/>
        <v>76</v>
      </c>
      <c r="BK379" s="14">
        <f t="shared" si="702"/>
        <v>76</v>
      </c>
      <c r="BL379" s="14">
        <f t="shared" si="702"/>
        <v>76</v>
      </c>
      <c r="BM379" s="14">
        <f t="shared" si="702"/>
        <v>76</v>
      </c>
      <c r="BN379" s="14">
        <f>INDEX(属性投放!$DN$6:$DN$85,(卡牌属性!AG379-2)*20+卡牌属性!AN379)</f>
        <v>1510</v>
      </c>
      <c r="BO379" s="14">
        <f t="shared" si="703"/>
        <v>1510</v>
      </c>
      <c r="BP379" s="14">
        <f t="shared" si="703"/>
        <v>1510</v>
      </c>
      <c r="BQ379" s="14">
        <f t="shared" si="703"/>
        <v>1510</v>
      </c>
      <c r="BR379" s="14">
        <f t="shared" si="703"/>
        <v>1510</v>
      </c>
      <c r="BW379" s="13">
        <v>375</v>
      </c>
      <c r="BX379" s="13">
        <f t="shared" si="643"/>
        <v>19</v>
      </c>
      <c r="BY379" s="14">
        <f t="shared" si="644"/>
        <v>2</v>
      </c>
      <c r="BZ379" s="14">
        <f t="shared" si="653"/>
        <v>1102019</v>
      </c>
      <c r="CA379" s="14" t="str">
        <f t="shared" si="654"/>
        <v>食火蜥15突</v>
      </c>
      <c r="CB379" s="25" t="s">
        <v>142</v>
      </c>
      <c r="CC379" s="14">
        <v>2</v>
      </c>
      <c r="CD379" s="14">
        <f t="shared" si="645"/>
        <v>15</v>
      </c>
      <c r="CE379" s="14" t="s">
        <v>21</v>
      </c>
      <c r="CF379" s="14">
        <f>INDEX(属性投放!$AZ$6:$AZ$85,(BY379-2)*20+CD379)</f>
        <v>6715</v>
      </c>
      <c r="CG379" s="14" t="s">
        <v>22</v>
      </c>
      <c r="CH379" s="14">
        <f>INDEX(属性投放!$BA$6:$BA$85,(BY379-2)*20+CD379)</f>
        <v>3321</v>
      </c>
      <c r="CI379" s="14" t="s">
        <v>510</v>
      </c>
      <c r="CJ379" s="14">
        <f>INDEX(属性投放!$BB$6:$BB$85,(BY379-2)*20+CD379)</f>
        <v>58958</v>
      </c>
      <c r="CK379" s="14" t="s">
        <v>21</v>
      </c>
      <c r="CL379" s="14">
        <f>INDEX(属性投放!$BC$6:$BC$85,(BY379-2)*20+CD379)</f>
        <v>15</v>
      </c>
      <c r="CM379" s="14" t="s">
        <v>22</v>
      </c>
      <c r="CN379" s="14">
        <f>INDEX(属性投放!$BD$6:$BD$85,(BY379-2)*20+CD379)</f>
        <v>8</v>
      </c>
      <c r="CO379" s="14" t="s">
        <v>510</v>
      </c>
      <c r="CP379" s="14">
        <f>INDEX(属性投放!$BE$6:$BE$85,(BY379-2)*20+CD379)</f>
        <v>150</v>
      </c>
      <c r="CS379" s="13">
        <v>375</v>
      </c>
      <c r="CT379" s="13">
        <f t="shared" si="655"/>
        <v>8</v>
      </c>
      <c r="CU379" s="13">
        <f t="shared" si="656"/>
        <v>11</v>
      </c>
      <c r="CV379" s="14">
        <f t="shared" si="657"/>
        <v>4</v>
      </c>
      <c r="CW379" s="14">
        <f t="shared" si="658"/>
        <v>1102008</v>
      </c>
      <c r="CX379" s="14" t="str">
        <f>INDEX($O$6:$O$50,CT379)&amp;"-"&amp;INDEX(属性投放!$AB$7:$AB$50,CZ379)&amp;"-魂火-"&amp;DB379</f>
        <v>夏侯渊-众合+2-魂火-2</v>
      </c>
      <c r="CY379" s="25" t="s">
        <v>142</v>
      </c>
      <c r="CZ379" s="14">
        <f>INDEX(属性投放!$AM$7:$AM$58,CU379)</f>
        <v>6</v>
      </c>
      <c r="DA379" s="14" t="s">
        <v>537</v>
      </c>
      <c r="DB379" s="14">
        <f>INDEX(属性投放!$AN$7:$AN$58,CU379)</f>
        <v>2</v>
      </c>
      <c r="DC379" s="14">
        <f t="shared" si="646"/>
        <v>11</v>
      </c>
      <c r="DD379" s="14">
        <f>INDEX(属性投放!$AO$7:$AO$58,DC379)</f>
        <v>45</v>
      </c>
      <c r="DE379" s="14" t="s">
        <v>538</v>
      </c>
      <c r="DF379" s="14">
        <f>INDEX(属性投放!$BK$6:$BK$85,(CV379-2)*20+CZ379)</f>
        <v>60</v>
      </c>
      <c r="DG379" s="14">
        <f>SUMIFS(DF$5:DF379,$CT$5:$CT379,"="&amp;$CT379)</f>
        <v>475</v>
      </c>
      <c r="DH379" s="14" t="s">
        <v>539</v>
      </c>
      <c r="DI379" s="14">
        <f>INDEX(属性投放!$BL$6:$BL$85,(CV379-2)*20+CZ379)</f>
        <v>30</v>
      </c>
      <c r="DJ379" s="14">
        <f>SUMIFS(DI$5:DI379,$CT$5:$CT379,"="&amp;$CT379)</f>
        <v>241</v>
      </c>
      <c r="DK379" s="14" t="s">
        <v>540</v>
      </c>
      <c r="DL379" s="14">
        <f>INDEX(属性投放!$BM$6:$BM$85,(CV379-2)*20+CZ379)</f>
        <v>420</v>
      </c>
      <c r="DM379" s="14">
        <f>SUMIFS(DL$5:DL379,$CT$5:$CT379,"="&amp;$CT379)</f>
        <v>3170</v>
      </c>
      <c r="DR379" s="14">
        <f t="shared" si="647"/>
        <v>1102019</v>
      </c>
      <c r="DS379" s="14" t="str">
        <f t="shared" si="648"/>
        <v>食火蜥15突</v>
      </c>
      <c r="DT379" s="14">
        <f t="shared" si="659"/>
        <v>1</v>
      </c>
      <c r="DU379" s="14">
        <f t="shared" si="660"/>
        <v>6</v>
      </c>
      <c r="DV379" s="14">
        <f t="shared" si="661"/>
        <v>4</v>
      </c>
      <c r="DW379" s="14">
        <f t="shared" si="649"/>
        <v>2</v>
      </c>
      <c r="DX379" s="14">
        <f t="shared" si="650"/>
        <v>15</v>
      </c>
      <c r="DY379" s="14">
        <f t="shared" si="651"/>
        <v>15</v>
      </c>
      <c r="DZ379" s="14">
        <f>INDEX(属性投放!$AX$6:$AX$85,(卡牌属性!DW379-2)*20+卡牌属性!DX379)</f>
        <v>8</v>
      </c>
      <c r="EA379" s="14">
        <f>INDEX(属性投放!BQ$6:BQ$85,卡牌属性!$DY379)</f>
        <v>700</v>
      </c>
      <c r="EB379" s="14">
        <f>INDEX(属性投放!BR$6:BR$85,卡牌属性!$DY379)</f>
        <v>350</v>
      </c>
      <c r="EC379" s="14">
        <f>INDEX(属性投放!BS$6:BS$85,卡牌属性!$DY379)</f>
        <v>7000</v>
      </c>
      <c r="ED379" s="14">
        <f t="shared" si="704"/>
        <v>2861</v>
      </c>
      <c r="EE379" s="14">
        <f t="shared" si="705"/>
        <v>3022</v>
      </c>
      <c r="EF379" s="14">
        <f t="shared" si="706"/>
        <v>3240</v>
      </c>
      <c r="EG379" s="14">
        <f t="shared" si="707"/>
        <v>3240</v>
      </c>
      <c r="EH379" s="14">
        <f t="shared" si="708"/>
        <v>3530</v>
      </c>
      <c r="EI379" s="14">
        <f t="shared" si="709"/>
        <v>1993</v>
      </c>
      <c r="EJ379" s="14">
        <f t="shared" si="710"/>
        <v>2396</v>
      </c>
      <c r="EK379" s="14">
        <f t="shared" si="711"/>
        <v>2396</v>
      </c>
      <c r="EL379" s="14">
        <f t="shared" si="712"/>
        <v>2596</v>
      </c>
      <c r="EM379" s="14">
        <f t="shared" si="713"/>
        <v>2781</v>
      </c>
      <c r="EN379" s="14">
        <f t="shared" si="714"/>
        <v>29742</v>
      </c>
      <c r="EO379" s="14">
        <f t="shared" si="715"/>
        <v>32610</v>
      </c>
      <c r="EP379" s="14">
        <f t="shared" si="716"/>
        <v>32610</v>
      </c>
      <c r="EQ379" s="14">
        <f t="shared" si="717"/>
        <v>33694</v>
      </c>
      <c r="ER379" s="14">
        <f t="shared" si="718"/>
        <v>40508</v>
      </c>
      <c r="ES379" s="14">
        <f>INDEX(属性偏向!$S$4:$S$243,(卡牌属性!$DT379-1+ES$3)*20+卡牌属性!$DX379)</f>
        <v>10</v>
      </c>
      <c r="ET379" s="14">
        <f>INDEX(属性偏向!$S$4:$S$243,(卡牌属性!$DT379-1+ET$3)*20+卡牌属性!$DX379)</f>
        <v>12</v>
      </c>
      <c r="EU379" s="14">
        <f>INDEX(属性偏向!$S$4:$S$243,(卡牌属性!$DT379-1+EU$3)*20+卡牌属性!$DX379)</f>
        <v>15</v>
      </c>
      <c r="EV379" s="14">
        <f>INDEX(属性偏向!$S$4:$S$243,(卡牌属性!$DT379-1+EV$3)*20+卡牌属性!$DX379)</f>
        <v>15</v>
      </c>
      <c r="EW379" s="14">
        <f>INDEX(属性偏向!$S$4:$S$243,(卡牌属性!$DT379-1+EW$3)*20+卡牌属性!$DX379)</f>
        <v>20</v>
      </c>
      <c r="EX379" s="14">
        <f>INDEX(属性偏向!$T$4:$T$243,(卡牌属性!$DU379-1+EX$3)*20+卡牌属性!$DX379)</f>
        <v>13</v>
      </c>
      <c r="EY379" s="14">
        <f>INDEX(属性偏向!$T$4:$T$243,(卡牌属性!$DU379-1+EY$3)*20+卡牌属性!$DX379)</f>
        <v>20</v>
      </c>
      <c r="EZ379" s="14">
        <f>INDEX(属性偏向!$T$4:$T$243,(卡牌属性!$DU379-1+EZ$3)*20+卡牌属性!$DX379)</f>
        <v>20</v>
      </c>
      <c r="FA379" s="14">
        <f>INDEX(属性偏向!$T$4:$T$243,(卡牌属性!$DU379-1+FA$3)*20+卡牌属性!$DX379)</f>
        <v>23</v>
      </c>
      <c r="FB379" s="14">
        <f>INDEX(属性偏向!$T$4:$T$243,(卡牌属性!$DU379-1+FB$3)*20+卡牌属性!$DX379)</f>
        <v>25</v>
      </c>
      <c r="FC379" s="14">
        <f>INDEX(属性偏向!$U$4:$U$243,(卡牌属性!$DV379-1+FC$3)*20+卡牌属性!$DX379)</f>
        <v>200</v>
      </c>
      <c r="FD379" s="14">
        <f>INDEX(属性偏向!$U$4:$U$243,(卡牌属性!$DV379-1+FD$3)*20+卡牌属性!$DX379)</f>
        <v>250</v>
      </c>
      <c r="FE379" s="14">
        <f>INDEX(属性偏向!$U$4:$U$243,(卡牌属性!$DV379-1+FE$3)*20+卡牌属性!$DX379)</f>
        <v>250</v>
      </c>
      <c r="FF379" s="14">
        <f>INDEX(属性偏向!$U$4:$U$243,(卡牌属性!$DV379-1+FF$3)*20+卡牌属性!$DX379)</f>
        <v>260</v>
      </c>
      <c r="FG379" s="14">
        <f>INDEX(属性偏向!$U$4:$U$243,(卡牌属性!$DV379-1+FG$3)*20+卡牌属性!$DX379)</f>
        <v>400</v>
      </c>
      <c r="FH379" s="14">
        <f>INDEX(属性投放!$BQ$6:$BQ$85,(卡牌属性!$DW379-2)*20+卡牌属性!$DX379)</f>
        <v>700</v>
      </c>
      <c r="FI379" s="14">
        <f>INDEX(属性投放!$BQ$6:$BQ$85,(卡牌属性!$DW379-2)*20+卡牌属性!$DX379)</f>
        <v>700</v>
      </c>
      <c r="FJ379" s="14">
        <f>INDEX(属性投放!$BQ$6:$BQ$85,(卡牌属性!$DW379-2)*20+卡牌属性!$DX379)</f>
        <v>700</v>
      </c>
      <c r="FK379" s="14">
        <f>INDEX(属性投放!$BQ$6:$BQ$85,(卡牌属性!$DW379-2)*20+卡牌属性!$DX379)</f>
        <v>700</v>
      </c>
      <c r="FL379" s="14">
        <f>INDEX(属性投放!$BQ$6:$BQ$85,(卡牌属性!$DW379-2)*20+卡牌属性!$DX379)</f>
        <v>700</v>
      </c>
      <c r="FM379" s="14">
        <f>INDEX(属性投放!$BR$6:$BR$85,(卡牌属性!$DW379-2)*20+卡牌属性!$DX379)</f>
        <v>350</v>
      </c>
      <c r="FN379" s="14">
        <f>INDEX(属性投放!$BR$6:$BR$85,(卡牌属性!$DW379-2)*20+卡牌属性!$DX379)</f>
        <v>350</v>
      </c>
      <c r="FO379" s="14">
        <f>INDEX(属性投放!$BR$6:$BR$85,(卡牌属性!$DW379-2)*20+卡牌属性!$DX379)</f>
        <v>350</v>
      </c>
      <c r="FP379" s="14">
        <f>INDEX(属性投放!$BR$6:$BR$85,(卡牌属性!$DW379-2)*20+卡牌属性!$DX379)</f>
        <v>350</v>
      </c>
      <c r="FQ379" s="14">
        <f>INDEX(属性投放!$BR$6:$BR$85,(卡牌属性!$DW379-2)*20+卡牌属性!$DX379)</f>
        <v>350</v>
      </c>
      <c r="FR379" s="14">
        <f>INDEX(属性投放!$BS$6:$BS$85,(卡牌属性!$DW379-2)*20+卡牌属性!$DX379)</f>
        <v>7000</v>
      </c>
      <c r="FS379" s="14">
        <f>INDEX(属性投放!$BS$6:$BS$85,(卡牌属性!$DW379-2)*20+卡牌属性!$DX379)</f>
        <v>7000</v>
      </c>
      <c r="FT379" s="14">
        <f>INDEX(属性投放!$BS$6:$BS$85,(卡牌属性!$DW379-2)*20+卡牌属性!$DX379)</f>
        <v>7000</v>
      </c>
      <c r="FU379" s="14">
        <f>INDEX(属性投放!$BS$6:$BS$85,(卡牌属性!$DW379-2)*20+卡牌属性!$DX379)</f>
        <v>7000</v>
      </c>
      <c r="FV379" s="14">
        <f>INDEX(属性投放!$BS$6:$BS$85,(卡牌属性!$DW379-2)*20+卡牌属性!$DX379)</f>
        <v>7000</v>
      </c>
    </row>
    <row r="380" spans="31:178" ht="16.5" x14ac:dyDescent="0.2">
      <c r="AE380" s="13">
        <v>376</v>
      </c>
      <c r="AF380" s="13">
        <f t="shared" si="652"/>
        <v>19</v>
      </c>
      <c r="AG380" s="13">
        <f t="shared" si="633"/>
        <v>2</v>
      </c>
      <c r="AH380" s="13"/>
      <c r="AI380" s="13"/>
      <c r="AJ380" s="14">
        <f t="shared" si="634"/>
        <v>1101022</v>
      </c>
      <c r="AK380" s="14" t="str">
        <f t="shared" si="635"/>
        <v>幻16突</v>
      </c>
      <c r="AL380" s="25" t="s">
        <v>142</v>
      </c>
      <c r="AM380" s="14">
        <v>1</v>
      </c>
      <c r="AN380" s="14">
        <f t="shared" si="636"/>
        <v>16</v>
      </c>
      <c r="AO380" s="14">
        <f>INDEX(属性投放!$DF$6:$DF$85,(卡牌属性!AG380-2)*20+卡牌属性!AN380)</f>
        <v>9545</v>
      </c>
      <c r="AP380" s="14">
        <f t="shared" si="698"/>
        <v>9545</v>
      </c>
      <c r="AQ380" s="14">
        <f t="shared" si="698"/>
        <v>9545</v>
      </c>
      <c r="AR380" s="14">
        <f t="shared" si="698"/>
        <v>9545</v>
      </c>
      <c r="AS380" s="14">
        <f t="shared" si="698"/>
        <v>9545</v>
      </c>
      <c r="AT380" s="14">
        <f>INDEX(属性投放!$DG$6:$DG$85,(卡牌属性!AG380-2)*20+卡牌属性!AN380)</f>
        <v>4739</v>
      </c>
      <c r="AU380" s="14">
        <f t="shared" si="699"/>
        <v>4739</v>
      </c>
      <c r="AV380" s="14">
        <f t="shared" si="699"/>
        <v>4739</v>
      </c>
      <c r="AW380" s="14">
        <f t="shared" si="699"/>
        <v>4739</v>
      </c>
      <c r="AX380" s="14">
        <f t="shared" si="699"/>
        <v>4739</v>
      </c>
      <c r="AY380" s="14">
        <f>INDEX(属性投放!$DH$6:$DH$85,(卡牌属性!AG380-2)*20+卡牌属性!AN380)</f>
        <v>87226</v>
      </c>
      <c r="AZ380" s="14">
        <f t="shared" si="700"/>
        <v>87226</v>
      </c>
      <c r="BA380" s="14">
        <f t="shared" si="700"/>
        <v>87226</v>
      </c>
      <c r="BB380" s="14">
        <f t="shared" si="700"/>
        <v>87226</v>
      </c>
      <c r="BC380" s="14">
        <f t="shared" si="700"/>
        <v>87226</v>
      </c>
      <c r="BD380" s="14">
        <f>INDEX(属性投放!$DL$6:$DL$85,(卡牌属性!AG380-2)*20+卡牌属性!AN380)</f>
        <v>235</v>
      </c>
      <c r="BE380" s="14">
        <f t="shared" si="701"/>
        <v>235</v>
      </c>
      <c r="BF380" s="14">
        <f t="shared" si="701"/>
        <v>235</v>
      </c>
      <c r="BG380" s="14">
        <f t="shared" si="701"/>
        <v>235</v>
      </c>
      <c r="BH380" s="14">
        <f t="shared" si="701"/>
        <v>235</v>
      </c>
      <c r="BI380" s="14">
        <f>INDEX(属性投放!$DM$6:$DM$85,(卡牌属性!AG380-2)*20+卡牌属性!AN380)</f>
        <v>117</v>
      </c>
      <c r="BJ380" s="14">
        <f t="shared" si="702"/>
        <v>117</v>
      </c>
      <c r="BK380" s="14">
        <f t="shared" si="702"/>
        <v>117</v>
      </c>
      <c r="BL380" s="14">
        <f t="shared" si="702"/>
        <v>117</v>
      </c>
      <c r="BM380" s="14">
        <f t="shared" si="702"/>
        <v>117</v>
      </c>
      <c r="BN380" s="14">
        <f>INDEX(属性投放!$DN$6:$DN$85,(卡牌属性!AG380-2)*20+卡牌属性!AN380)</f>
        <v>2346</v>
      </c>
      <c r="BO380" s="14">
        <f t="shared" si="703"/>
        <v>2346</v>
      </c>
      <c r="BP380" s="14">
        <f t="shared" si="703"/>
        <v>2346</v>
      </c>
      <c r="BQ380" s="14">
        <f t="shared" si="703"/>
        <v>2346</v>
      </c>
      <c r="BR380" s="14">
        <f t="shared" si="703"/>
        <v>2346</v>
      </c>
      <c r="BW380" s="13">
        <v>376</v>
      </c>
      <c r="BX380" s="13">
        <f t="shared" si="643"/>
        <v>19</v>
      </c>
      <c r="BY380" s="14">
        <f t="shared" si="644"/>
        <v>2</v>
      </c>
      <c r="BZ380" s="14">
        <f t="shared" si="653"/>
        <v>1102019</v>
      </c>
      <c r="CA380" s="14" t="str">
        <f t="shared" si="654"/>
        <v>食火蜥16突</v>
      </c>
      <c r="CB380" s="25" t="s">
        <v>142</v>
      </c>
      <c r="CC380" s="14">
        <v>2</v>
      </c>
      <c r="CD380" s="14">
        <f t="shared" si="645"/>
        <v>16</v>
      </c>
      <c r="CE380" s="14" t="s">
        <v>21</v>
      </c>
      <c r="CF380" s="14">
        <f>INDEX(属性投放!$AZ$6:$AZ$85,(BY380-2)*20+CD380)</f>
        <v>8585</v>
      </c>
      <c r="CG380" s="14" t="s">
        <v>22</v>
      </c>
      <c r="CH380" s="14">
        <f>INDEX(属性投放!$BA$6:$BA$85,(BY380-2)*20+CD380)</f>
        <v>4260</v>
      </c>
      <c r="CI380" s="14" t="s">
        <v>510</v>
      </c>
      <c r="CJ380" s="14">
        <f>INDEX(属性投放!$BB$6:$BB$85,(BY380-2)*20+CD380)</f>
        <v>77658</v>
      </c>
      <c r="CK380" s="14" t="s">
        <v>21</v>
      </c>
      <c r="CL380" s="14">
        <f>INDEX(属性投放!$BC$6:$BC$85,(BY380-2)*20+CD380)</f>
        <v>20</v>
      </c>
      <c r="CM380" s="14" t="s">
        <v>22</v>
      </c>
      <c r="CN380" s="14">
        <f>INDEX(属性投放!$BD$6:$BD$85,(BY380-2)*20+CD380)</f>
        <v>10</v>
      </c>
      <c r="CO380" s="14" t="s">
        <v>510</v>
      </c>
      <c r="CP380" s="14">
        <f>INDEX(属性投放!$BE$6:$BE$85,(BY380-2)*20+CD380)</f>
        <v>200</v>
      </c>
      <c r="CS380" s="13">
        <v>376</v>
      </c>
      <c r="CT380" s="13">
        <f t="shared" si="655"/>
        <v>8</v>
      </c>
      <c r="CU380" s="13">
        <f t="shared" si="656"/>
        <v>12</v>
      </c>
      <c r="CV380" s="14">
        <f t="shared" si="657"/>
        <v>4</v>
      </c>
      <c r="CW380" s="14">
        <f t="shared" si="658"/>
        <v>1102008</v>
      </c>
      <c r="CX380" s="14" t="str">
        <f>INDEX($O$6:$O$50,CT380)&amp;"-"&amp;INDEX(属性投放!$AB$7:$AB$50,CZ380)&amp;"-魂火-"&amp;DB380</f>
        <v>夏侯渊-叫唤-魂火-1</v>
      </c>
      <c r="CY380" s="25" t="s">
        <v>142</v>
      </c>
      <c r="CZ380" s="14">
        <f>INDEX(属性投放!$AM$7:$AM$58,CU380)</f>
        <v>7</v>
      </c>
      <c r="DA380" s="14" t="s">
        <v>537</v>
      </c>
      <c r="DB380" s="14">
        <f>INDEX(属性投放!$AN$7:$AN$58,CU380)</f>
        <v>1</v>
      </c>
      <c r="DC380" s="14">
        <f t="shared" si="646"/>
        <v>12</v>
      </c>
      <c r="DD380" s="14">
        <f>INDEX(属性投放!$AO$7:$AO$58,DC380)</f>
        <v>48</v>
      </c>
      <c r="DE380" s="14" t="s">
        <v>538</v>
      </c>
      <c r="DF380" s="14">
        <f>INDEX(属性投放!$BK$6:$BK$85,(CV380-2)*20+CZ380)</f>
        <v>80</v>
      </c>
      <c r="DG380" s="14">
        <f>SUMIFS(DF$5:DF380,$CT$5:$CT380,"="&amp;$CT380)</f>
        <v>555</v>
      </c>
      <c r="DH380" s="14" t="s">
        <v>539</v>
      </c>
      <c r="DI380" s="14">
        <f>INDEX(属性投放!$BL$6:$BL$85,(CV380-2)*20+CZ380)</f>
        <v>40</v>
      </c>
      <c r="DJ380" s="14">
        <f>SUMIFS(DI$5:DI380,$CT$5:$CT380,"="&amp;$CT380)</f>
        <v>281</v>
      </c>
      <c r="DK380" s="14" t="s">
        <v>540</v>
      </c>
      <c r="DL380" s="14">
        <f>INDEX(属性投放!$BM$6:$BM$85,(CV380-2)*20+CZ380)</f>
        <v>640</v>
      </c>
      <c r="DM380" s="14">
        <f>SUMIFS(DL$5:DL380,$CT$5:$CT380,"="&amp;$CT380)</f>
        <v>3810</v>
      </c>
      <c r="DR380" s="14">
        <f t="shared" si="647"/>
        <v>1102019</v>
      </c>
      <c r="DS380" s="14" t="str">
        <f t="shared" si="648"/>
        <v>食火蜥16突</v>
      </c>
      <c r="DT380" s="14">
        <f t="shared" si="659"/>
        <v>1</v>
      </c>
      <c r="DU380" s="14">
        <f t="shared" si="660"/>
        <v>6</v>
      </c>
      <c r="DV380" s="14">
        <f t="shared" si="661"/>
        <v>4</v>
      </c>
      <c r="DW380" s="14">
        <f t="shared" si="649"/>
        <v>2</v>
      </c>
      <c r="DX380" s="14">
        <f t="shared" si="650"/>
        <v>16</v>
      </c>
      <c r="DY380" s="14">
        <f t="shared" si="651"/>
        <v>16</v>
      </c>
      <c r="DZ380" s="14">
        <f>INDEX(属性投放!$AX$6:$AX$85,(卡牌属性!DW380-2)*20+卡牌属性!DX380)</f>
        <v>7</v>
      </c>
      <c r="EA380" s="14">
        <f>INDEX(属性投放!BQ$6:BQ$85,卡牌属性!$DY380)</f>
        <v>700</v>
      </c>
      <c r="EB380" s="14">
        <f>INDEX(属性投放!BR$6:BR$85,卡牌属性!$DY380)</f>
        <v>350</v>
      </c>
      <c r="EC380" s="14">
        <f>INDEX(属性投放!BS$6:BS$85,卡牌属性!$DY380)</f>
        <v>7000</v>
      </c>
      <c r="ED380" s="14">
        <f t="shared" si="704"/>
        <v>3641</v>
      </c>
      <c r="EE380" s="14">
        <f t="shared" si="705"/>
        <v>3818</v>
      </c>
      <c r="EF380" s="14">
        <f t="shared" si="706"/>
        <v>4060</v>
      </c>
      <c r="EG380" s="14">
        <f t="shared" si="707"/>
        <v>4060</v>
      </c>
      <c r="EH380" s="14">
        <f t="shared" si="708"/>
        <v>4390</v>
      </c>
      <c r="EI380" s="14">
        <f t="shared" si="709"/>
        <v>2447</v>
      </c>
      <c r="EJ380" s="14">
        <f t="shared" si="710"/>
        <v>2906</v>
      </c>
      <c r="EK380" s="14">
        <f t="shared" si="711"/>
        <v>2906</v>
      </c>
      <c r="EL380" s="14">
        <f t="shared" si="712"/>
        <v>3130</v>
      </c>
      <c r="EM380" s="14">
        <f t="shared" si="713"/>
        <v>3331</v>
      </c>
      <c r="EN380" s="14">
        <f t="shared" si="714"/>
        <v>38342</v>
      </c>
      <c r="EO380" s="14">
        <f t="shared" si="715"/>
        <v>41610</v>
      </c>
      <c r="EP380" s="14">
        <f t="shared" si="716"/>
        <v>41610</v>
      </c>
      <c r="EQ380" s="14">
        <f t="shared" si="717"/>
        <v>42774</v>
      </c>
      <c r="ER380" s="14">
        <f t="shared" si="718"/>
        <v>50708</v>
      </c>
      <c r="ES380" s="14">
        <f>INDEX(属性偏向!$S$4:$S$243,(卡牌属性!$DT380-1+ES$3)*20+卡牌属性!$DX380)</f>
        <v>12</v>
      </c>
      <c r="ET380" s="14">
        <f>INDEX(属性偏向!$S$4:$S$243,(卡牌属性!$DT380-1+ET$3)*20+卡牌属性!$DX380)</f>
        <v>15</v>
      </c>
      <c r="EU380" s="14">
        <f>INDEX(属性偏向!$S$4:$S$243,(卡牌属性!$DT380-1+EU$3)*20+卡牌属性!$DX380)</f>
        <v>20</v>
      </c>
      <c r="EV380" s="14">
        <f>INDEX(属性偏向!$S$4:$S$243,(卡牌属性!$DT380-1+EV$3)*20+卡牌属性!$DX380)</f>
        <v>20</v>
      </c>
      <c r="EW380" s="14">
        <f>INDEX(属性偏向!$S$4:$S$243,(卡牌属性!$DT380-1+EW$3)*20+卡牌属性!$DX380)</f>
        <v>25</v>
      </c>
      <c r="EX380" s="14">
        <f>INDEX(属性偏向!$T$4:$T$243,(卡牌属性!$DU380-1+EX$3)*20+卡牌属性!$DX380)</f>
        <v>18</v>
      </c>
      <c r="EY380" s="14">
        <f>INDEX(属性偏向!$T$4:$T$243,(卡牌属性!$DU380-1+EY$3)*20+卡牌属性!$DX380)</f>
        <v>25</v>
      </c>
      <c r="EZ380" s="14">
        <f>INDEX(属性偏向!$T$4:$T$243,(卡牌属性!$DU380-1+EZ$3)*20+卡牌属性!$DX380)</f>
        <v>25</v>
      </c>
      <c r="FA380" s="14">
        <f>INDEX(属性偏向!$T$4:$T$243,(卡牌属性!$DU380-1+FA$3)*20+卡牌属性!$DX380)</f>
        <v>30</v>
      </c>
      <c r="FB380" s="14">
        <f>INDEX(属性偏向!$T$4:$T$243,(卡牌属性!$DU380-1+FB$3)*20+卡牌属性!$DX380)</f>
        <v>38</v>
      </c>
      <c r="FC380" s="14">
        <f>INDEX(属性偏向!$U$4:$U$243,(卡牌属性!$DV380-1+FC$3)*20+卡牌属性!$DX380)</f>
        <v>250</v>
      </c>
      <c r="FD380" s="14">
        <f>INDEX(属性偏向!$U$4:$U$243,(卡牌属性!$DV380-1+FD$3)*20+卡牌属性!$DX380)</f>
        <v>300</v>
      </c>
      <c r="FE380" s="14">
        <f>INDEX(属性偏向!$U$4:$U$243,(卡牌属性!$DV380-1+FE$3)*20+卡牌属性!$DX380)</f>
        <v>300</v>
      </c>
      <c r="FF380" s="14">
        <f>INDEX(属性偏向!$U$4:$U$243,(卡牌属性!$DV380-1+FF$3)*20+卡牌属性!$DX380)</f>
        <v>350</v>
      </c>
      <c r="FG380" s="14">
        <f>INDEX(属性偏向!$U$4:$U$243,(卡牌属性!$DV380-1+FG$3)*20+卡牌属性!$DX380)</f>
        <v>500</v>
      </c>
      <c r="FH380" s="14">
        <f>INDEX(属性投放!$BQ$6:$BQ$85,(卡牌属性!$DW380-2)*20+卡牌属性!$DX380)</f>
        <v>700</v>
      </c>
      <c r="FI380" s="14">
        <f>INDEX(属性投放!$BQ$6:$BQ$85,(卡牌属性!$DW380-2)*20+卡牌属性!$DX380)</f>
        <v>700</v>
      </c>
      <c r="FJ380" s="14">
        <f>INDEX(属性投放!$BQ$6:$BQ$85,(卡牌属性!$DW380-2)*20+卡牌属性!$DX380)</f>
        <v>700</v>
      </c>
      <c r="FK380" s="14">
        <f>INDEX(属性投放!$BQ$6:$BQ$85,(卡牌属性!$DW380-2)*20+卡牌属性!$DX380)</f>
        <v>700</v>
      </c>
      <c r="FL380" s="14">
        <f>INDEX(属性投放!$BQ$6:$BQ$85,(卡牌属性!$DW380-2)*20+卡牌属性!$DX380)</f>
        <v>700</v>
      </c>
      <c r="FM380" s="14">
        <f>INDEX(属性投放!$BR$6:$BR$85,(卡牌属性!$DW380-2)*20+卡牌属性!$DX380)</f>
        <v>350</v>
      </c>
      <c r="FN380" s="14">
        <f>INDEX(属性投放!$BR$6:$BR$85,(卡牌属性!$DW380-2)*20+卡牌属性!$DX380)</f>
        <v>350</v>
      </c>
      <c r="FO380" s="14">
        <f>INDEX(属性投放!$BR$6:$BR$85,(卡牌属性!$DW380-2)*20+卡牌属性!$DX380)</f>
        <v>350</v>
      </c>
      <c r="FP380" s="14">
        <f>INDEX(属性投放!$BR$6:$BR$85,(卡牌属性!$DW380-2)*20+卡牌属性!$DX380)</f>
        <v>350</v>
      </c>
      <c r="FQ380" s="14">
        <f>INDEX(属性投放!$BR$6:$BR$85,(卡牌属性!$DW380-2)*20+卡牌属性!$DX380)</f>
        <v>350</v>
      </c>
      <c r="FR380" s="14">
        <f>INDEX(属性投放!$BS$6:$BS$85,(卡牌属性!$DW380-2)*20+卡牌属性!$DX380)</f>
        <v>7000</v>
      </c>
      <c r="FS380" s="14">
        <f>INDEX(属性投放!$BS$6:$BS$85,(卡牌属性!$DW380-2)*20+卡牌属性!$DX380)</f>
        <v>7000</v>
      </c>
      <c r="FT380" s="14">
        <f>INDEX(属性投放!$BS$6:$BS$85,(卡牌属性!$DW380-2)*20+卡牌属性!$DX380)</f>
        <v>7000</v>
      </c>
      <c r="FU380" s="14">
        <f>INDEX(属性投放!$BS$6:$BS$85,(卡牌属性!$DW380-2)*20+卡牌属性!$DX380)</f>
        <v>7000</v>
      </c>
      <c r="FV380" s="14">
        <f>INDEX(属性投放!$BS$6:$BS$85,(卡牌属性!$DW380-2)*20+卡牌属性!$DX380)</f>
        <v>7000</v>
      </c>
    </row>
    <row r="381" spans="31:178" ht="16.5" x14ac:dyDescent="0.2">
      <c r="AE381" s="13">
        <v>377</v>
      </c>
      <c r="AF381" s="13">
        <f t="shared" si="652"/>
        <v>19</v>
      </c>
      <c r="AG381" s="13">
        <f t="shared" si="633"/>
        <v>2</v>
      </c>
      <c r="AH381" s="13"/>
      <c r="AI381" s="13"/>
      <c r="AJ381" s="14">
        <f t="shared" si="634"/>
        <v>1101022</v>
      </c>
      <c r="AK381" s="14" t="str">
        <f t="shared" si="635"/>
        <v>幻17突</v>
      </c>
      <c r="AL381" s="25" t="s">
        <v>142</v>
      </c>
      <c r="AM381" s="14">
        <v>1</v>
      </c>
      <c r="AN381" s="14">
        <f t="shared" si="636"/>
        <v>17</v>
      </c>
      <c r="AO381" s="14">
        <f>INDEX(属性投放!$DF$6:$DF$85,(卡牌属性!AG381-2)*20+卡牌属性!AN381)</f>
        <v>10383</v>
      </c>
      <c r="AP381" s="14">
        <f t="shared" si="698"/>
        <v>10383</v>
      </c>
      <c r="AQ381" s="14">
        <f t="shared" si="698"/>
        <v>10383</v>
      </c>
      <c r="AR381" s="14">
        <f t="shared" si="698"/>
        <v>10383</v>
      </c>
      <c r="AS381" s="14">
        <f t="shared" si="698"/>
        <v>10383</v>
      </c>
      <c r="AT381" s="14">
        <f>INDEX(属性投放!$DG$6:$DG$85,(卡牌属性!AG381-2)*20+卡牌属性!AN381)</f>
        <v>5158</v>
      </c>
      <c r="AU381" s="14">
        <f t="shared" si="699"/>
        <v>5158</v>
      </c>
      <c r="AV381" s="14">
        <f t="shared" si="699"/>
        <v>5158</v>
      </c>
      <c r="AW381" s="14">
        <f t="shared" si="699"/>
        <v>5158</v>
      </c>
      <c r="AX381" s="14">
        <f t="shared" si="699"/>
        <v>5158</v>
      </c>
      <c r="AY381" s="14">
        <f>INDEX(属性投放!$DH$6:$DH$85,(卡牌属性!AG381-2)*20+卡牌属性!AN381)</f>
        <v>95606</v>
      </c>
      <c r="AZ381" s="14">
        <f t="shared" si="700"/>
        <v>95606</v>
      </c>
      <c r="BA381" s="14">
        <f t="shared" si="700"/>
        <v>95606</v>
      </c>
      <c r="BB381" s="14">
        <f t="shared" si="700"/>
        <v>95606</v>
      </c>
      <c r="BC381" s="14">
        <f t="shared" si="700"/>
        <v>95606</v>
      </c>
      <c r="BD381" s="14">
        <f>INDEX(属性投放!$DL$6:$DL$85,(卡牌属性!AG381-2)*20+卡牌属性!AN381)</f>
        <v>235</v>
      </c>
      <c r="BE381" s="14">
        <f t="shared" si="701"/>
        <v>235</v>
      </c>
      <c r="BF381" s="14">
        <f t="shared" si="701"/>
        <v>235</v>
      </c>
      <c r="BG381" s="14">
        <f t="shared" si="701"/>
        <v>235</v>
      </c>
      <c r="BH381" s="14">
        <f t="shared" si="701"/>
        <v>235</v>
      </c>
      <c r="BI381" s="14">
        <f>INDEX(属性投放!$DM$6:$DM$85,(卡牌属性!AG381-2)*20+卡牌属性!AN381)</f>
        <v>117</v>
      </c>
      <c r="BJ381" s="14">
        <f t="shared" si="702"/>
        <v>117</v>
      </c>
      <c r="BK381" s="14">
        <f t="shared" si="702"/>
        <v>117</v>
      </c>
      <c r="BL381" s="14">
        <f t="shared" si="702"/>
        <v>117</v>
      </c>
      <c r="BM381" s="14">
        <f t="shared" si="702"/>
        <v>117</v>
      </c>
      <c r="BN381" s="14">
        <f>INDEX(属性投放!$DN$6:$DN$85,(卡牌属性!AG381-2)*20+卡牌属性!AN381)</f>
        <v>2346</v>
      </c>
      <c r="BO381" s="14">
        <f t="shared" si="703"/>
        <v>2346</v>
      </c>
      <c r="BP381" s="14">
        <f t="shared" si="703"/>
        <v>2346</v>
      </c>
      <c r="BQ381" s="14">
        <f t="shared" si="703"/>
        <v>2346</v>
      </c>
      <c r="BR381" s="14">
        <f t="shared" si="703"/>
        <v>2346</v>
      </c>
      <c r="BW381" s="13">
        <v>377</v>
      </c>
      <c r="BX381" s="13">
        <f t="shared" si="643"/>
        <v>19</v>
      </c>
      <c r="BY381" s="14">
        <f t="shared" si="644"/>
        <v>2</v>
      </c>
      <c r="BZ381" s="14">
        <f t="shared" si="653"/>
        <v>1102019</v>
      </c>
      <c r="CA381" s="14" t="str">
        <f t="shared" si="654"/>
        <v>食火蜥17突</v>
      </c>
      <c r="CB381" s="25" t="s">
        <v>142</v>
      </c>
      <c r="CC381" s="14">
        <v>2</v>
      </c>
      <c r="CD381" s="14">
        <f t="shared" si="645"/>
        <v>17</v>
      </c>
      <c r="CE381" s="14" t="s">
        <v>21</v>
      </c>
      <c r="CF381" s="14">
        <f>INDEX(属性投放!$AZ$6:$AZ$85,(BY381-2)*20+CD381)</f>
        <v>10775</v>
      </c>
      <c r="CG381" s="14" t="s">
        <v>22</v>
      </c>
      <c r="CH381" s="14">
        <f>INDEX(属性投放!$BA$6:$BA$85,(BY381-2)*20+CD381)</f>
        <v>5355</v>
      </c>
      <c r="CI381" s="14" t="s">
        <v>510</v>
      </c>
      <c r="CJ381" s="14">
        <f>INDEX(属性投放!$BB$6:$BB$85,(BY381-2)*20+CD381)</f>
        <v>99558</v>
      </c>
      <c r="CK381" s="14" t="s">
        <v>21</v>
      </c>
      <c r="CL381" s="14">
        <f>INDEX(属性投放!$BC$6:$BC$85,(BY381-2)*20+CD381)</f>
        <v>20</v>
      </c>
      <c r="CM381" s="14" t="s">
        <v>22</v>
      </c>
      <c r="CN381" s="14">
        <f>INDEX(属性投放!$BD$6:$BD$85,(BY381-2)*20+CD381)</f>
        <v>10</v>
      </c>
      <c r="CO381" s="14" t="s">
        <v>510</v>
      </c>
      <c r="CP381" s="14">
        <f>INDEX(属性投放!$BE$6:$BE$85,(BY381-2)*20+CD381)</f>
        <v>200</v>
      </c>
      <c r="CS381" s="13">
        <v>377</v>
      </c>
      <c r="CT381" s="13">
        <f t="shared" si="655"/>
        <v>8</v>
      </c>
      <c r="CU381" s="13">
        <f t="shared" si="656"/>
        <v>13</v>
      </c>
      <c r="CV381" s="14">
        <f t="shared" si="657"/>
        <v>4</v>
      </c>
      <c r="CW381" s="14">
        <f t="shared" si="658"/>
        <v>1102008</v>
      </c>
      <c r="CX381" s="14" t="str">
        <f>INDEX($O$6:$O$50,CT381)&amp;"-"&amp;INDEX(属性投放!$AB$7:$AB$50,CZ381)&amp;"-魂火-"&amp;DB381</f>
        <v>夏侯渊-叫唤-魂火-2</v>
      </c>
      <c r="CY381" s="25" t="s">
        <v>142</v>
      </c>
      <c r="CZ381" s="14">
        <f>INDEX(属性投放!$AM$7:$AM$58,CU381)</f>
        <v>7</v>
      </c>
      <c r="DA381" s="14" t="s">
        <v>537</v>
      </c>
      <c r="DB381" s="14">
        <f>INDEX(属性投放!$AN$7:$AN$58,CU381)</f>
        <v>2</v>
      </c>
      <c r="DC381" s="14">
        <f t="shared" si="646"/>
        <v>13</v>
      </c>
      <c r="DD381" s="14">
        <f>INDEX(属性投放!$AO$7:$AO$58,DC381)</f>
        <v>50</v>
      </c>
      <c r="DE381" s="14" t="s">
        <v>538</v>
      </c>
      <c r="DF381" s="14">
        <f>INDEX(属性投放!$BK$6:$BK$85,(CV381-2)*20+CZ381)</f>
        <v>80</v>
      </c>
      <c r="DG381" s="14">
        <f>SUMIFS(DF$5:DF381,$CT$5:$CT381,"="&amp;$CT381)</f>
        <v>635</v>
      </c>
      <c r="DH381" s="14" t="s">
        <v>539</v>
      </c>
      <c r="DI381" s="14">
        <f>INDEX(属性投放!$BL$6:$BL$85,(CV381-2)*20+CZ381)</f>
        <v>40</v>
      </c>
      <c r="DJ381" s="14">
        <f>SUMIFS(DI$5:DI381,$CT$5:$CT381,"="&amp;$CT381)</f>
        <v>321</v>
      </c>
      <c r="DK381" s="14" t="s">
        <v>540</v>
      </c>
      <c r="DL381" s="14">
        <f>INDEX(属性投放!$BM$6:$BM$85,(CV381-2)*20+CZ381)</f>
        <v>640</v>
      </c>
      <c r="DM381" s="14">
        <f>SUMIFS(DL$5:DL381,$CT$5:$CT381,"="&amp;$CT381)</f>
        <v>4450</v>
      </c>
      <c r="DR381" s="14">
        <f t="shared" si="647"/>
        <v>1102019</v>
      </c>
      <c r="DS381" s="14" t="str">
        <f t="shared" si="648"/>
        <v>食火蜥17突</v>
      </c>
      <c r="DT381" s="14">
        <f t="shared" si="659"/>
        <v>1</v>
      </c>
      <c r="DU381" s="14">
        <f t="shared" si="660"/>
        <v>6</v>
      </c>
      <c r="DV381" s="14">
        <f t="shared" si="661"/>
        <v>4</v>
      </c>
      <c r="DW381" s="14">
        <f t="shared" si="649"/>
        <v>2</v>
      </c>
      <c r="DX381" s="14">
        <f t="shared" si="650"/>
        <v>17</v>
      </c>
      <c r="DY381" s="14">
        <f t="shared" si="651"/>
        <v>17</v>
      </c>
      <c r="DZ381" s="14">
        <f>INDEX(属性投放!$AX$6:$AX$85,(卡牌属性!DW381-2)*20+卡牌属性!DX381)</f>
        <v>8</v>
      </c>
      <c r="EA381" s="14">
        <f>INDEX(属性投放!BQ$6:BQ$85,卡牌属性!$DY381)</f>
        <v>800</v>
      </c>
      <c r="EB381" s="14">
        <f>INDEX(属性投放!BR$6:BR$85,卡牌属性!$DY381)</f>
        <v>400</v>
      </c>
      <c r="EC381" s="14">
        <f>INDEX(属性投放!BS$6:BS$85,卡牌属性!$DY381)</f>
        <v>8000</v>
      </c>
      <c r="ED381" s="14">
        <f t="shared" si="704"/>
        <v>4425</v>
      </c>
      <c r="EE381" s="14">
        <f t="shared" si="705"/>
        <v>4623</v>
      </c>
      <c r="EF381" s="14">
        <f t="shared" si="706"/>
        <v>4900</v>
      </c>
      <c r="EG381" s="14">
        <f t="shared" si="707"/>
        <v>4900</v>
      </c>
      <c r="EH381" s="14">
        <f t="shared" si="708"/>
        <v>5265</v>
      </c>
      <c r="EI381" s="14">
        <f t="shared" si="709"/>
        <v>2923</v>
      </c>
      <c r="EJ381" s="14">
        <f t="shared" si="710"/>
        <v>3431</v>
      </c>
      <c r="EK381" s="14">
        <f t="shared" si="711"/>
        <v>3431</v>
      </c>
      <c r="EL381" s="14">
        <f t="shared" si="712"/>
        <v>3690</v>
      </c>
      <c r="EM381" s="14">
        <f t="shared" si="713"/>
        <v>3947</v>
      </c>
      <c r="EN381" s="14">
        <f t="shared" si="714"/>
        <v>47092</v>
      </c>
      <c r="EO381" s="14">
        <f t="shared" si="715"/>
        <v>50710</v>
      </c>
      <c r="EP381" s="14">
        <f t="shared" si="716"/>
        <v>50710</v>
      </c>
      <c r="EQ381" s="14">
        <f t="shared" si="717"/>
        <v>52224</v>
      </c>
      <c r="ER381" s="14">
        <f t="shared" si="718"/>
        <v>61208</v>
      </c>
      <c r="ES381" s="14">
        <f>INDEX(属性偏向!$S$4:$S$243,(卡牌属性!$DT381-1+ES$3)*20+卡牌属性!$DX381)</f>
        <v>12</v>
      </c>
      <c r="ET381" s="14">
        <f>INDEX(属性偏向!$S$4:$S$243,(卡牌属性!$DT381-1+ET$3)*20+卡牌属性!$DX381)</f>
        <v>15</v>
      </c>
      <c r="EU381" s="14">
        <f>INDEX(属性偏向!$S$4:$S$243,(卡牌属性!$DT381-1+EU$3)*20+卡牌属性!$DX381)</f>
        <v>20</v>
      </c>
      <c r="EV381" s="14">
        <f>INDEX(属性偏向!$S$4:$S$243,(卡牌属性!$DT381-1+EV$3)*20+卡牌属性!$DX381)</f>
        <v>20</v>
      </c>
      <c r="EW381" s="14">
        <f>INDEX(属性偏向!$S$4:$S$243,(卡牌属性!$DT381-1+EW$3)*20+卡牌属性!$DX381)</f>
        <v>25</v>
      </c>
      <c r="EX381" s="14">
        <f>INDEX(属性偏向!$T$4:$T$243,(卡牌属性!$DU381-1+EX$3)*20+卡牌属性!$DX381)</f>
        <v>18</v>
      </c>
      <c r="EY381" s="14">
        <f>INDEX(属性偏向!$T$4:$T$243,(卡牌属性!$DU381-1+EY$3)*20+卡牌属性!$DX381)</f>
        <v>25</v>
      </c>
      <c r="EZ381" s="14">
        <f>INDEX(属性偏向!$T$4:$T$243,(卡牌属性!$DU381-1+EZ$3)*20+卡牌属性!$DX381)</f>
        <v>25</v>
      </c>
      <c r="FA381" s="14">
        <f>INDEX(属性偏向!$T$4:$T$243,(卡牌属性!$DU381-1+FA$3)*20+卡牌属性!$DX381)</f>
        <v>30</v>
      </c>
      <c r="FB381" s="14">
        <f>INDEX(属性偏向!$T$4:$T$243,(卡牌属性!$DU381-1+FB$3)*20+卡牌属性!$DX381)</f>
        <v>38</v>
      </c>
      <c r="FC381" s="14">
        <f>INDEX(属性偏向!$U$4:$U$243,(卡牌属性!$DV381-1+FC$3)*20+卡牌属性!$DX381)</f>
        <v>250</v>
      </c>
      <c r="FD381" s="14">
        <f>INDEX(属性偏向!$U$4:$U$243,(卡牌属性!$DV381-1+FD$3)*20+卡牌属性!$DX381)</f>
        <v>300</v>
      </c>
      <c r="FE381" s="14">
        <f>INDEX(属性偏向!$U$4:$U$243,(卡牌属性!$DV381-1+FE$3)*20+卡牌属性!$DX381)</f>
        <v>300</v>
      </c>
      <c r="FF381" s="14">
        <f>INDEX(属性偏向!$U$4:$U$243,(卡牌属性!$DV381-1+FF$3)*20+卡牌属性!$DX381)</f>
        <v>350</v>
      </c>
      <c r="FG381" s="14">
        <f>INDEX(属性偏向!$U$4:$U$243,(卡牌属性!$DV381-1+FG$3)*20+卡牌属性!$DX381)</f>
        <v>500</v>
      </c>
      <c r="FH381" s="14">
        <f>INDEX(属性投放!$BQ$6:$BQ$85,(卡牌属性!$DW381-2)*20+卡牌属性!$DX381)</f>
        <v>800</v>
      </c>
      <c r="FI381" s="14">
        <f>INDEX(属性投放!$BQ$6:$BQ$85,(卡牌属性!$DW381-2)*20+卡牌属性!$DX381)</f>
        <v>800</v>
      </c>
      <c r="FJ381" s="14">
        <f>INDEX(属性投放!$BQ$6:$BQ$85,(卡牌属性!$DW381-2)*20+卡牌属性!$DX381)</f>
        <v>800</v>
      </c>
      <c r="FK381" s="14">
        <f>INDEX(属性投放!$BQ$6:$BQ$85,(卡牌属性!$DW381-2)*20+卡牌属性!$DX381)</f>
        <v>800</v>
      </c>
      <c r="FL381" s="14">
        <f>INDEX(属性投放!$BQ$6:$BQ$85,(卡牌属性!$DW381-2)*20+卡牌属性!$DX381)</f>
        <v>800</v>
      </c>
      <c r="FM381" s="14">
        <f>INDEX(属性投放!$BR$6:$BR$85,(卡牌属性!$DW381-2)*20+卡牌属性!$DX381)</f>
        <v>400</v>
      </c>
      <c r="FN381" s="14">
        <f>INDEX(属性投放!$BR$6:$BR$85,(卡牌属性!$DW381-2)*20+卡牌属性!$DX381)</f>
        <v>400</v>
      </c>
      <c r="FO381" s="14">
        <f>INDEX(属性投放!$BR$6:$BR$85,(卡牌属性!$DW381-2)*20+卡牌属性!$DX381)</f>
        <v>400</v>
      </c>
      <c r="FP381" s="14">
        <f>INDEX(属性投放!$BR$6:$BR$85,(卡牌属性!$DW381-2)*20+卡牌属性!$DX381)</f>
        <v>400</v>
      </c>
      <c r="FQ381" s="14">
        <f>INDEX(属性投放!$BR$6:$BR$85,(卡牌属性!$DW381-2)*20+卡牌属性!$DX381)</f>
        <v>400</v>
      </c>
      <c r="FR381" s="14">
        <f>INDEX(属性投放!$BS$6:$BS$85,(卡牌属性!$DW381-2)*20+卡牌属性!$DX381)</f>
        <v>8000</v>
      </c>
      <c r="FS381" s="14">
        <f>INDEX(属性投放!$BS$6:$BS$85,(卡牌属性!$DW381-2)*20+卡牌属性!$DX381)</f>
        <v>8000</v>
      </c>
      <c r="FT381" s="14">
        <f>INDEX(属性投放!$BS$6:$BS$85,(卡牌属性!$DW381-2)*20+卡牌属性!$DX381)</f>
        <v>8000</v>
      </c>
      <c r="FU381" s="14">
        <f>INDEX(属性投放!$BS$6:$BS$85,(卡牌属性!$DW381-2)*20+卡牌属性!$DX381)</f>
        <v>8000</v>
      </c>
      <c r="FV381" s="14">
        <f>INDEX(属性投放!$BS$6:$BS$85,(卡牌属性!$DW381-2)*20+卡牌属性!$DX381)</f>
        <v>8000</v>
      </c>
    </row>
    <row r="382" spans="31:178" ht="16.5" x14ac:dyDescent="0.2">
      <c r="AE382" s="13">
        <v>378</v>
      </c>
      <c r="AF382" s="13">
        <f t="shared" si="652"/>
        <v>19</v>
      </c>
      <c r="AG382" s="13">
        <f t="shared" si="633"/>
        <v>2</v>
      </c>
      <c r="AH382" s="13"/>
      <c r="AI382" s="13"/>
      <c r="AJ382" s="14">
        <f t="shared" si="634"/>
        <v>1101022</v>
      </c>
      <c r="AK382" s="14" t="str">
        <f t="shared" si="635"/>
        <v>幻18突</v>
      </c>
      <c r="AL382" s="25" t="s">
        <v>142</v>
      </c>
      <c r="AM382" s="14">
        <v>1</v>
      </c>
      <c r="AN382" s="14">
        <f t="shared" si="636"/>
        <v>18</v>
      </c>
      <c r="AO382" s="14">
        <f>INDEX(属性投放!$DF$6:$DF$85,(卡牌属性!AG382-2)*20+卡牌属性!AN382)</f>
        <v>11221</v>
      </c>
      <c r="AP382" s="14">
        <f t="shared" si="698"/>
        <v>11221</v>
      </c>
      <c r="AQ382" s="14">
        <f t="shared" si="698"/>
        <v>11221</v>
      </c>
      <c r="AR382" s="14">
        <f t="shared" si="698"/>
        <v>11221</v>
      </c>
      <c r="AS382" s="14">
        <f t="shared" si="698"/>
        <v>11221</v>
      </c>
      <c r="AT382" s="14">
        <f>INDEX(属性投放!$DG$6:$DG$85,(卡牌属性!AG382-2)*20+卡牌属性!AN382)</f>
        <v>5577</v>
      </c>
      <c r="AU382" s="14">
        <f t="shared" si="699"/>
        <v>5577</v>
      </c>
      <c r="AV382" s="14">
        <f t="shared" si="699"/>
        <v>5577</v>
      </c>
      <c r="AW382" s="14">
        <f t="shared" si="699"/>
        <v>5577</v>
      </c>
      <c r="AX382" s="14">
        <f t="shared" si="699"/>
        <v>5577</v>
      </c>
      <c r="AY382" s="14">
        <f>INDEX(属性投放!$DH$6:$DH$85,(卡牌属性!AG382-2)*20+卡牌属性!AN382)</f>
        <v>103986</v>
      </c>
      <c r="AZ382" s="14">
        <f t="shared" si="700"/>
        <v>103986</v>
      </c>
      <c r="BA382" s="14">
        <f t="shared" si="700"/>
        <v>103986</v>
      </c>
      <c r="BB382" s="14">
        <f t="shared" si="700"/>
        <v>103986</v>
      </c>
      <c r="BC382" s="14">
        <f t="shared" si="700"/>
        <v>103986</v>
      </c>
      <c r="BD382" s="14">
        <f>INDEX(属性投放!$DL$6:$DL$85,(卡牌属性!AG382-2)*20+卡牌属性!AN382)</f>
        <v>235</v>
      </c>
      <c r="BE382" s="14">
        <f t="shared" si="701"/>
        <v>235</v>
      </c>
      <c r="BF382" s="14">
        <f t="shared" si="701"/>
        <v>235</v>
      </c>
      <c r="BG382" s="14">
        <f t="shared" si="701"/>
        <v>235</v>
      </c>
      <c r="BH382" s="14">
        <f t="shared" si="701"/>
        <v>235</v>
      </c>
      <c r="BI382" s="14">
        <f>INDEX(属性投放!$DM$6:$DM$85,(卡牌属性!AG382-2)*20+卡牌属性!AN382)</f>
        <v>117</v>
      </c>
      <c r="BJ382" s="14">
        <f t="shared" si="702"/>
        <v>117</v>
      </c>
      <c r="BK382" s="14">
        <f t="shared" si="702"/>
        <v>117</v>
      </c>
      <c r="BL382" s="14">
        <f t="shared" si="702"/>
        <v>117</v>
      </c>
      <c r="BM382" s="14">
        <f t="shared" si="702"/>
        <v>117</v>
      </c>
      <c r="BN382" s="14">
        <f>INDEX(属性投放!$DN$6:$DN$85,(卡牌属性!AG382-2)*20+卡牌属性!AN382)</f>
        <v>2346</v>
      </c>
      <c r="BO382" s="14">
        <f t="shared" si="703"/>
        <v>2346</v>
      </c>
      <c r="BP382" s="14">
        <f t="shared" si="703"/>
        <v>2346</v>
      </c>
      <c r="BQ382" s="14">
        <f t="shared" si="703"/>
        <v>2346</v>
      </c>
      <c r="BR382" s="14">
        <f t="shared" si="703"/>
        <v>2346</v>
      </c>
      <c r="BW382" s="13">
        <v>378</v>
      </c>
      <c r="BX382" s="13">
        <f t="shared" si="643"/>
        <v>19</v>
      </c>
      <c r="BY382" s="14">
        <f t="shared" si="644"/>
        <v>2</v>
      </c>
      <c r="BZ382" s="14">
        <f t="shared" si="653"/>
        <v>1102019</v>
      </c>
      <c r="CA382" s="14" t="str">
        <f t="shared" si="654"/>
        <v>食火蜥18突</v>
      </c>
      <c r="CB382" s="25" t="s">
        <v>142</v>
      </c>
      <c r="CC382" s="14">
        <v>2</v>
      </c>
      <c r="CD382" s="14">
        <f t="shared" si="645"/>
        <v>18</v>
      </c>
      <c r="CE382" s="14" t="s">
        <v>21</v>
      </c>
      <c r="CF382" s="14">
        <f>INDEX(属性投放!$AZ$6:$AZ$85,(BY382-2)*20+CD382)</f>
        <v>13385</v>
      </c>
      <c r="CG382" s="14" t="s">
        <v>22</v>
      </c>
      <c r="CH382" s="14">
        <f>INDEX(属性投放!$BA$6:$BA$85,(BY382-2)*20+CD382)</f>
        <v>6660</v>
      </c>
      <c r="CI382" s="14" t="s">
        <v>510</v>
      </c>
      <c r="CJ382" s="14">
        <f>INDEX(属性投放!$BB$6:$BB$85,(BY382-2)*20+CD382)</f>
        <v>125658</v>
      </c>
      <c r="CK382" s="14" t="s">
        <v>21</v>
      </c>
      <c r="CL382" s="14">
        <f>INDEX(属性投放!$BC$6:$BC$85,(BY382-2)*20+CD382)</f>
        <v>20</v>
      </c>
      <c r="CM382" s="14" t="s">
        <v>22</v>
      </c>
      <c r="CN382" s="14">
        <f>INDEX(属性投放!$BD$6:$BD$85,(BY382-2)*20+CD382)</f>
        <v>10</v>
      </c>
      <c r="CO382" s="14" t="s">
        <v>510</v>
      </c>
      <c r="CP382" s="14">
        <f>INDEX(属性投放!$BE$6:$BE$85,(BY382-2)*20+CD382)</f>
        <v>200</v>
      </c>
      <c r="CS382" s="13">
        <v>378</v>
      </c>
      <c r="CT382" s="13">
        <f t="shared" si="655"/>
        <v>8</v>
      </c>
      <c r="CU382" s="13">
        <f t="shared" si="656"/>
        <v>14</v>
      </c>
      <c r="CV382" s="14">
        <f t="shared" si="657"/>
        <v>4</v>
      </c>
      <c r="CW382" s="14">
        <f t="shared" si="658"/>
        <v>1102008</v>
      </c>
      <c r="CX382" s="14" t="str">
        <f>INDEX($O$6:$O$50,CT382)&amp;"-"&amp;INDEX(属性投放!$AB$7:$AB$50,CZ382)&amp;"-魂火-"&amp;DB382</f>
        <v>夏侯渊-叫唤+1-魂火-1</v>
      </c>
      <c r="CY382" s="25" t="s">
        <v>142</v>
      </c>
      <c r="CZ382" s="14">
        <f>INDEX(属性投放!$AM$7:$AM$58,CU382)</f>
        <v>8</v>
      </c>
      <c r="DA382" s="14" t="s">
        <v>537</v>
      </c>
      <c r="DB382" s="14">
        <f>INDEX(属性投放!$AN$7:$AN$58,CU382)</f>
        <v>1</v>
      </c>
      <c r="DC382" s="14">
        <f t="shared" si="646"/>
        <v>14</v>
      </c>
      <c r="DD382" s="14">
        <f>INDEX(属性投放!$AO$7:$AO$58,DC382)</f>
        <v>53</v>
      </c>
      <c r="DE382" s="14" t="s">
        <v>538</v>
      </c>
      <c r="DF382" s="14">
        <f>INDEX(属性投放!$BK$6:$BK$85,(CV382-2)*20+CZ382)</f>
        <v>100</v>
      </c>
      <c r="DG382" s="14">
        <f>SUMIFS(DF$5:DF382,$CT$5:$CT382,"="&amp;$CT382)</f>
        <v>735</v>
      </c>
      <c r="DH382" s="14" t="s">
        <v>539</v>
      </c>
      <c r="DI382" s="14">
        <f>INDEX(属性投放!$BL$6:$BL$85,(CV382-2)*20+CZ382)</f>
        <v>50</v>
      </c>
      <c r="DJ382" s="14">
        <f>SUMIFS(DI$5:DI382,$CT$5:$CT382,"="&amp;$CT382)</f>
        <v>371</v>
      </c>
      <c r="DK382" s="14" t="s">
        <v>540</v>
      </c>
      <c r="DL382" s="14">
        <f>INDEX(属性投放!$BM$6:$BM$85,(CV382-2)*20+CZ382)</f>
        <v>800</v>
      </c>
      <c r="DM382" s="14">
        <f>SUMIFS(DL$5:DL382,$CT$5:$CT382,"="&amp;$CT382)</f>
        <v>5250</v>
      </c>
      <c r="DR382" s="14">
        <f t="shared" si="647"/>
        <v>1102019</v>
      </c>
      <c r="DS382" s="14" t="str">
        <f t="shared" si="648"/>
        <v>食火蜥18突</v>
      </c>
      <c r="DT382" s="14">
        <f t="shared" si="659"/>
        <v>1</v>
      </c>
      <c r="DU382" s="14">
        <f t="shared" si="660"/>
        <v>6</v>
      </c>
      <c r="DV382" s="14">
        <f t="shared" si="661"/>
        <v>4</v>
      </c>
      <c r="DW382" s="14">
        <f t="shared" si="649"/>
        <v>2</v>
      </c>
      <c r="DX382" s="14">
        <f t="shared" si="650"/>
        <v>18</v>
      </c>
      <c r="DY382" s="14">
        <f t="shared" si="651"/>
        <v>18</v>
      </c>
      <c r="DZ382" s="14">
        <f>INDEX(属性投放!$AX$6:$AX$85,(卡牌属性!DW382-2)*20+卡牌属性!DX382)</f>
        <v>7</v>
      </c>
      <c r="EA382" s="14">
        <f>INDEX(属性投放!BQ$6:BQ$85,卡牌属性!$DY382)</f>
        <v>1400</v>
      </c>
      <c r="EB382" s="14">
        <f>INDEX(属性投放!BR$6:BR$85,卡牌属性!$DY382)</f>
        <v>700</v>
      </c>
      <c r="EC382" s="14">
        <f>INDEX(属性投放!BS$6:BS$85,卡牌属性!$DY382)</f>
        <v>14000</v>
      </c>
      <c r="ED382" s="14">
        <f t="shared" si="704"/>
        <v>5321</v>
      </c>
      <c r="EE382" s="14">
        <f t="shared" si="705"/>
        <v>5543</v>
      </c>
      <c r="EF382" s="14">
        <f t="shared" si="706"/>
        <v>5860</v>
      </c>
      <c r="EG382" s="14">
        <f t="shared" si="707"/>
        <v>5860</v>
      </c>
      <c r="EH382" s="14">
        <f t="shared" si="708"/>
        <v>6265</v>
      </c>
      <c r="EI382" s="14">
        <f t="shared" si="709"/>
        <v>3467</v>
      </c>
      <c r="EJ382" s="14">
        <f t="shared" si="710"/>
        <v>4031</v>
      </c>
      <c r="EK382" s="14">
        <f t="shared" si="711"/>
        <v>4031</v>
      </c>
      <c r="EL382" s="14">
        <f t="shared" si="712"/>
        <v>4330</v>
      </c>
      <c r="EM382" s="14">
        <f t="shared" si="713"/>
        <v>4651</v>
      </c>
      <c r="EN382" s="14">
        <f t="shared" si="714"/>
        <v>57092</v>
      </c>
      <c r="EO382" s="14">
        <f t="shared" si="715"/>
        <v>61110</v>
      </c>
      <c r="EP382" s="14">
        <f t="shared" si="716"/>
        <v>61110</v>
      </c>
      <c r="EQ382" s="14">
        <f t="shared" si="717"/>
        <v>63024</v>
      </c>
      <c r="ER382" s="14">
        <f t="shared" si="718"/>
        <v>73208</v>
      </c>
      <c r="ES382" s="14">
        <f>INDEX(属性偏向!$S$4:$S$243,(卡牌属性!$DT382-1+ES$3)*20+卡牌属性!$DX382)</f>
        <v>12</v>
      </c>
      <c r="ET382" s="14">
        <f>INDEX(属性偏向!$S$4:$S$243,(卡牌属性!$DT382-1+ET$3)*20+卡牌属性!$DX382)</f>
        <v>15</v>
      </c>
      <c r="EU382" s="14">
        <f>INDEX(属性偏向!$S$4:$S$243,(卡牌属性!$DT382-1+EU$3)*20+卡牌属性!$DX382)</f>
        <v>20</v>
      </c>
      <c r="EV382" s="14">
        <f>INDEX(属性偏向!$S$4:$S$243,(卡牌属性!$DT382-1+EV$3)*20+卡牌属性!$DX382)</f>
        <v>20</v>
      </c>
      <c r="EW382" s="14">
        <f>INDEX(属性偏向!$S$4:$S$243,(卡牌属性!$DT382-1+EW$3)*20+卡牌属性!$DX382)</f>
        <v>25</v>
      </c>
      <c r="EX382" s="14">
        <f>INDEX(属性偏向!$T$4:$T$243,(卡牌属性!$DU382-1+EX$3)*20+卡牌属性!$DX382)</f>
        <v>18</v>
      </c>
      <c r="EY382" s="14">
        <f>INDEX(属性偏向!$T$4:$T$243,(卡牌属性!$DU382-1+EY$3)*20+卡牌属性!$DX382)</f>
        <v>25</v>
      </c>
      <c r="EZ382" s="14">
        <f>INDEX(属性偏向!$T$4:$T$243,(卡牌属性!$DU382-1+EZ$3)*20+卡牌属性!$DX382)</f>
        <v>25</v>
      </c>
      <c r="FA382" s="14">
        <f>INDEX(属性偏向!$T$4:$T$243,(卡牌属性!$DU382-1+FA$3)*20+卡牌属性!$DX382)</f>
        <v>30</v>
      </c>
      <c r="FB382" s="14">
        <f>INDEX(属性偏向!$T$4:$T$243,(卡牌属性!$DU382-1+FB$3)*20+卡牌属性!$DX382)</f>
        <v>38</v>
      </c>
      <c r="FC382" s="14">
        <f>INDEX(属性偏向!$U$4:$U$243,(卡牌属性!$DV382-1+FC$3)*20+卡牌属性!$DX382)</f>
        <v>250</v>
      </c>
      <c r="FD382" s="14">
        <f>INDEX(属性偏向!$U$4:$U$243,(卡牌属性!$DV382-1+FD$3)*20+卡牌属性!$DX382)</f>
        <v>300</v>
      </c>
      <c r="FE382" s="14">
        <f>INDEX(属性偏向!$U$4:$U$243,(卡牌属性!$DV382-1+FE$3)*20+卡牌属性!$DX382)</f>
        <v>300</v>
      </c>
      <c r="FF382" s="14">
        <f>INDEX(属性偏向!$U$4:$U$243,(卡牌属性!$DV382-1+FF$3)*20+卡牌属性!$DX382)</f>
        <v>350</v>
      </c>
      <c r="FG382" s="14">
        <f>INDEX(属性偏向!$U$4:$U$243,(卡牌属性!$DV382-1+FG$3)*20+卡牌属性!$DX382)</f>
        <v>500</v>
      </c>
      <c r="FH382" s="14">
        <f>INDEX(属性投放!$BQ$6:$BQ$85,(卡牌属性!$DW382-2)*20+卡牌属性!$DX382)</f>
        <v>1400</v>
      </c>
      <c r="FI382" s="14">
        <f>INDEX(属性投放!$BQ$6:$BQ$85,(卡牌属性!$DW382-2)*20+卡牌属性!$DX382)</f>
        <v>1400</v>
      </c>
      <c r="FJ382" s="14">
        <f>INDEX(属性投放!$BQ$6:$BQ$85,(卡牌属性!$DW382-2)*20+卡牌属性!$DX382)</f>
        <v>1400</v>
      </c>
      <c r="FK382" s="14">
        <f>INDEX(属性投放!$BQ$6:$BQ$85,(卡牌属性!$DW382-2)*20+卡牌属性!$DX382)</f>
        <v>1400</v>
      </c>
      <c r="FL382" s="14">
        <f>INDEX(属性投放!$BQ$6:$BQ$85,(卡牌属性!$DW382-2)*20+卡牌属性!$DX382)</f>
        <v>1400</v>
      </c>
      <c r="FM382" s="14">
        <f>INDEX(属性投放!$BR$6:$BR$85,(卡牌属性!$DW382-2)*20+卡牌属性!$DX382)</f>
        <v>700</v>
      </c>
      <c r="FN382" s="14">
        <f>INDEX(属性投放!$BR$6:$BR$85,(卡牌属性!$DW382-2)*20+卡牌属性!$DX382)</f>
        <v>700</v>
      </c>
      <c r="FO382" s="14">
        <f>INDEX(属性投放!$BR$6:$BR$85,(卡牌属性!$DW382-2)*20+卡牌属性!$DX382)</f>
        <v>700</v>
      </c>
      <c r="FP382" s="14">
        <f>INDEX(属性投放!$BR$6:$BR$85,(卡牌属性!$DW382-2)*20+卡牌属性!$DX382)</f>
        <v>700</v>
      </c>
      <c r="FQ382" s="14">
        <f>INDEX(属性投放!$BR$6:$BR$85,(卡牌属性!$DW382-2)*20+卡牌属性!$DX382)</f>
        <v>700</v>
      </c>
      <c r="FR382" s="14">
        <f>INDEX(属性投放!$BS$6:$BS$85,(卡牌属性!$DW382-2)*20+卡牌属性!$DX382)</f>
        <v>14000</v>
      </c>
      <c r="FS382" s="14">
        <f>INDEX(属性投放!$BS$6:$BS$85,(卡牌属性!$DW382-2)*20+卡牌属性!$DX382)</f>
        <v>14000</v>
      </c>
      <c r="FT382" s="14">
        <f>INDEX(属性投放!$BS$6:$BS$85,(卡牌属性!$DW382-2)*20+卡牌属性!$DX382)</f>
        <v>14000</v>
      </c>
      <c r="FU382" s="14">
        <f>INDEX(属性投放!$BS$6:$BS$85,(卡牌属性!$DW382-2)*20+卡牌属性!$DX382)</f>
        <v>14000</v>
      </c>
      <c r="FV382" s="14">
        <f>INDEX(属性投放!$BS$6:$BS$85,(卡牌属性!$DW382-2)*20+卡牌属性!$DX382)</f>
        <v>14000</v>
      </c>
    </row>
    <row r="383" spans="31:178" ht="16.5" x14ac:dyDescent="0.2">
      <c r="AE383" s="13">
        <v>379</v>
      </c>
      <c r="AF383" s="13">
        <f t="shared" si="652"/>
        <v>19</v>
      </c>
      <c r="AG383" s="13">
        <f t="shared" si="633"/>
        <v>2</v>
      </c>
      <c r="AH383" s="13"/>
      <c r="AI383" s="13"/>
      <c r="AJ383" s="14">
        <f t="shared" si="634"/>
        <v>1101022</v>
      </c>
      <c r="AK383" s="14" t="str">
        <f t="shared" si="635"/>
        <v>幻19突</v>
      </c>
      <c r="AL383" s="25" t="s">
        <v>142</v>
      </c>
      <c r="AM383" s="14">
        <v>1</v>
      </c>
      <c r="AN383" s="14">
        <f t="shared" si="636"/>
        <v>19</v>
      </c>
      <c r="AO383" s="14">
        <f>INDEX(属性投放!$DF$6:$DF$85,(卡牌属性!AG383-2)*20+卡牌属性!AN383)</f>
        <v>17934</v>
      </c>
      <c r="AP383" s="14">
        <f t="shared" si="698"/>
        <v>17934</v>
      </c>
      <c r="AQ383" s="14">
        <f t="shared" si="698"/>
        <v>17934</v>
      </c>
      <c r="AR383" s="14">
        <f t="shared" si="698"/>
        <v>17934</v>
      </c>
      <c r="AS383" s="14">
        <f t="shared" si="698"/>
        <v>17934</v>
      </c>
      <c r="AT383" s="14">
        <f>INDEX(属性投放!$DG$6:$DG$85,(卡牌属性!AG383-2)*20+卡牌属性!AN383)</f>
        <v>8921</v>
      </c>
      <c r="AU383" s="14">
        <f t="shared" si="699"/>
        <v>8921</v>
      </c>
      <c r="AV383" s="14">
        <f t="shared" si="699"/>
        <v>8921</v>
      </c>
      <c r="AW383" s="14">
        <f t="shared" si="699"/>
        <v>8921</v>
      </c>
      <c r="AX383" s="14">
        <f t="shared" si="699"/>
        <v>8921</v>
      </c>
      <c r="AY383" s="14">
        <f>INDEX(属性投放!$DH$6:$DH$85,(卡牌属性!AG383-2)*20+卡牌属性!AN383)</f>
        <v>171016</v>
      </c>
      <c r="AZ383" s="14">
        <f t="shared" si="700"/>
        <v>171016</v>
      </c>
      <c r="BA383" s="14">
        <f t="shared" si="700"/>
        <v>171016</v>
      </c>
      <c r="BB383" s="14">
        <f t="shared" si="700"/>
        <v>171016</v>
      </c>
      <c r="BC383" s="14">
        <f t="shared" si="700"/>
        <v>171016</v>
      </c>
      <c r="BD383" s="14">
        <f>INDEX(属性投放!$DL$6:$DL$85,(卡牌属性!AG383-2)*20+卡牌属性!AN383)</f>
        <v>462</v>
      </c>
      <c r="BE383" s="14">
        <f t="shared" si="701"/>
        <v>462</v>
      </c>
      <c r="BF383" s="14">
        <f t="shared" si="701"/>
        <v>462</v>
      </c>
      <c r="BG383" s="14">
        <f t="shared" si="701"/>
        <v>462</v>
      </c>
      <c r="BH383" s="14">
        <f t="shared" si="701"/>
        <v>462</v>
      </c>
      <c r="BI383" s="14">
        <f>INDEX(属性投放!$DM$6:$DM$85,(卡牌属性!AG383-2)*20+卡牌属性!AN383)</f>
        <v>231</v>
      </c>
      <c r="BJ383" s="14">
        <f t="shared" si="702"/>
        <v>231</v>
      </c>
      <c r="BK383" s="14">
        <f t="shared" si="702"/>
        <v>231</v>
      </c>
      <c r="BL383" s="14">
        <f t="shared" si="702"/>
        <v>231</v>
      </c>
      <c r="BM383" s="14">
        <f t="shared" si="702"/>
        <v>231</v>
      </c>
      <c r="BN383" s="14">
        <f>INDEX(属性投放!$DN$6:$DN$85,(卡牌属性!AG383-2)*20+卡牌属性!AN383)</f>
        <v>4620</v>
      </c>
      <c r="BO383" s="14">
        <f t="shared" si="703"/>
        <v>4620</v>
      </c>
      <c r="BP383" s="14">
        <f t="shared" si="703"/>
        <v>4620</v>
      </c>
      <c r="BQ383" s="14">
        <f t="shared" si="703"/>
        <v>4620</v>
      </c>
      <c r="BR383" s="14">
        <f t="shared" si="703"/>
        <v>4620</v>
      </c>
      <c r="BW383" s="13">
        <v>379</v>
      </c>
      <c r="BX383" s="13">
        <f t="shared" si="643"/>
        <v>19</v>
      </c>
      <c r="BY383" s="14">
        <f t="shared" si="644"/>
        <v>2</v>
      </c>
      <c r="BZ383" s="14">
        <f t="shared" si="653"/>
        <v>1102019</v>
      </c>
      <c r="CA383" s="14" t="str">
        <f t="shared" si="654"/>
        <v>食火蜥19突</v>
      </c>
      <c r="CB383" s="25" t="s">
        <v>142</v>
      </c>
      <c r="CC383" s="14">
        <v>2</v>
      </c>
      <c r="CD383" s="14">
        <f t="shared" si="645"/>
        <v>19</v>
      </c>
      <c r="CE383" s="14" t="s">
        <v>21</v>
      </c>
      <c r="CF383" s="14">
        <f>INDEX(属性投放!$AZ$6:$AZ$85,(BY383-2)*20+CD383)</f>
        <v>16965</v>
      </c>
      <c r="CG383" s="14" t="s">
        <v>22</v>
      </c>
      <c r="CH383" s="14">
        <f>INDEX(属性投放!$BA$6:$BA$85,(BY383-2)*20+CD383)</f>
        <v>8450</v>
      </c>
      <c r="CI383" s="14" t="s">
        <v>510</v>
      </c>
      <c r="CJ383" s="14">
        <f>INDEX(属性投放!$BB$6:$BB$85,(BY383-2)*20+CD383)</f>
        <v>161458</v>
      </c>
      <c r="CK383" s="14" t="s">
        <v>21</v>
      </c>
      <c r="CL383" s="14">
        <f>INDEX(属性投放!$BC$6:$BC$85,(BY383-2)*20+CD383)</f>
        <v>25</v>
      </c>
      <c r="CM383" s="14" t="s">
        <v>22</v>
      </c>
      <c r="CN383" s="14">
        <f>INDEX(属性投放!$BD$6:$BD$85,(BY383-2)*20+CD383)</f>
        <v>13</v>
      </c>
      <c r="CO383" s="14" t="s">
        <v>510</v>
      </c>
      <c r="CP383" s="14">
        <f>INDEX(属性投放!$BE$6:$BE$85,(BY383-2)*20+CD383)</f>
        <v>250</v>
      </c>
      <c r="CS383" s="13">
        <v>379</v>
      </c>
      <c r="CT383" s="13">
        <f t="shared" si="655"/>
        <v>8</v>
      </c>
      <c r="CU383" s="13">
        <f t="shared" si="656"/>
        <v>15</v>
      </c>
      <c r="CV383" s="14">
        <f t="shared" si="657"/>
        <v>4</v>
      </c>
      <c r="CW383" s="14">
        <f t="shared" si="658"/>
        <v>1102008</v>
      </c>
      <c r="CX383" s="14" t="str">
        <f>INDEX($O$6:$O$50,CT383)&amp;"-"&amp;INDEX(属性投放!$AB$7:$AB$50,CZ383)&amp;"-魂火-"&amp;DB383</f>
        <v>夏侯渊-叫唤+1-魂火-2</v>
      </c>
      <c r="CY383" s="25" t="s">
        <v>142</v>
      </c>
      <c r="CZ383" s="14">
        <f>INDEX(属性投放!$AM$7:$AM$58,CU383)</f>
        <v>8</v>
      </c>
      <c r="DA383" s="14" t="s">
        <v>537</v>
      </c>
      <c r="DB383" s="14">
        <f>INDEX(属性投放!$AN$7:$AN$58,CU383)</f>
        <v>2</v>
      </c>
      <c r="DC383" s="14">
        <f t="shared" si="646"/>
        <v>15</v>
      </c>
      <c r="DD383" s="14">
        <f>INDEX(属性投放!$AO$7:$AO$58,DC383)</f>
        <v>55</v>
      </c>
      <c r="DE383" s="14" t="s">
        <v>538</v>
      </c>
      <c r="DF383" s="14">
        <f>INDEX(属性投放!$BK$6:$BK$85,(CV383-2)*20+CZ383)</f>
        <v>100</v>
      </c>
      <c r="DG383" s="14">
        <f>SUMIFS(DF$5:DF383,$CT$5:$CT383,"="&amp;$CT383)</f>
        <v>835</v>
      </c>
      <c r="DH383" s="14" t="s">
        <v>539</v>
      </c>
      <c r="DI383" s="14">
        <f>INDEX(属性投放!$BL$6:$BL$85,(CV383-2)*20+CZ383)</f>
        <v>50</v>
      </c>
      <c r="DJ383" s="14">
        <f>SUMIFS(DI$5:DI383,$CT$5:$CT383,"="&amp;$CT383)</f>
        <v>421</v>
      </c>
      <c r="DK383" s="14" t="s">
        <v>540</v>
      </c>
      <c r="DL383" s="14">
        <f>INDEX(属性投放!$BM$6:$BM$85,(CV383-2)*20+CZ383)</f>
        <v>800</v>
      </c>
      <c r="DM383" s="14">
        <f>SUMIFS(DL$5:DL383,$CT$5:$CT383,"="&amp;$CT383)</f>
        <v>6050</v>
      </c>
      <c r="DR383" s="14">
        <f t="shared" si="647"/>
        <v>1102019</v>
      </c>
      <c r="DS383" s="14" t="str">
        <f t="shared" si="648"/>
        <v>食火蜥19突</v>
      </c>
      <c r="DT383" s="14">
        <f t="shared" si="659"/>
        <v>1</v>
      </c>
      <c r="DU383" s="14">
        <f t="shared" si="660"/>
        <v>6</v>
      </c>
      <c r="DV383" s="14">
        <f t="shared" si="661"/>
        <v>4</v>
      </c>
      <c r="DW383" s="14">
        <f t="shared" si="649"/>
        <v>2</v>
      </c>
      <c r="DX383" s="14">
        <f t="shared" si="650"/>
        <v>19</v>
      </c>
      <c r="DY383" s="14">
        <f t="shared" si="651"/>
        <v>19</v>
      </c>
      <c r="DZ383" s="14">
        <f>INDEX(属性投放!$AX$6:$AX$85,(卡牌属性!DW383-2)*20+卡牌属性!DX383)</f>
        <v>8</v>
      </c>
      <c r="EA383" s="14">
        <f>INDEX(属性投放!BQ$6:BQ$85,卡牌属性!$DY383)</f>
        <v>1400</v>
      </c>
      <c r="EB383" s="14">
        <f>INDEX(属性投放!BR$6:BR$85,卡牌属性!$DY383)</f>
        <v>700</v>
      </c>
      <c r="EC383" s="14">
        <f>INDEX(属性投放!BS$6:BS$85,卡牌属性!$DY383)</f>
        <v>14000</v>
      </c>
      <c r="ED383" s="14">
        <f t="shared" si="704"/>
        <v>6805</v>
      </c>
      <c r="EE383" s="14">
        <f t="shared" si="705"/>
        <v>7048</v>
      </c>
      <c r="EF383" s="14">
        <f t="shared" si="706"/>
        <v>7400</v>
      </c>
      <c r="EG383" s="14">
        <f t="shared" si="707"/>
        <v>7400</v>
      </c>
      <c r="EH383" s="14">
        <f t="shared" si="708"/>
        <v>7840</v>
      </c>
      <c r="EI383" s="14">
        <f t="shared" si="709"/>
        <v>4293</v>
      </c>
      <c r="EJ383" s="14">
        <f t="shared" si="710"/>
        <v>4906</v>
      </c>
      <c r="EK383" s="14">
        <f t="shared" si="711"/>
        <v>4906</v>
      </c>
      <c r="EL383" s="14">
        <f t="shared" si="712"/>
        <v>5240</v>
      </c>
      <c r="EM383" s="14">
        <f t="shared" si="713"/>
        <v>5617</v>
      </c>
      <c r="EN383" s="14">
        <f t="shared" si="714"/>
        <v>72842</v>
      </c>
      <c r="EO383" s="14">
        <f t="shared" si="715"/>
        <v>77210</v>
      </c>
      <c r="EP383" s="14">
        <f t="shared" si="716"/>
        <v>77210</v>
      </c>
      <c r="EQ383" s="14">
        <f t="shared" si="717"/>
        <v>79474</v>
      </c>
      <c r="ER383" s="14">
        <f t="shared" si="718"/>
        <v>90708</v>
      </c>
      <c r="ES383" s="14">
        <f>INDEX(属性偏向!$S$4:$S$243,(卡牌属性!$DT383-1+ES$3)*20+卡牌属性!$DX383)</f>
        <v>15</v>
      </c>
      <c r="ET383" s="14">
        <f>INDEX(属性偏向!$S$4:$S$243,(卡牌属性!$DT383-1+ET$3)*20+卡牌属性!$DX383)</f>
        <v>20</v>
      </c>
      <c r="EU383" s="14">
        <f>INDEX(属性偏向!$S$4:$S$243,(卡牌属性!$DT383-1+EU$3)*20+卡牌属性!$DX383)</f>
        <v>25</v>
      </c>
      <c r="EV383" s="14">
        <f>INDEX(属性偏向!$S$4:$S$243,(卡牌属性!$DT383-1+EV$3)*20+卡牌属性!$DX383)</f>
        <v>25</v>
      </c>
      <c r="EW383" s="14">
        <f>INDEX(属性偏向!$S$4:$S$243,(卡牌属性!$DT383-1+EW$3)*20+卡牌属性!$DX383)</f>
        <v>30</v>
      </c>
      <c r="EX383" s="14">
        <f>INDEX(属性偏向!$T$4:$T$243,(卡牌属性!$DU383-1+EX$3)*20+卡牌属性!$DX383)</f>
        <v>23</v>
      </c>
      <c r="EY383" s="14">
        <f>INDEX(属性偏向!$T$4:$T$243,(卡牌属性!$DU383-1+EY$3)*20+卡牌属性!$DX383)</f>
        <v>38</v>
      </c>
      <c r="EZ383" s="14">
        <f>INDEX(属性偏向!$T$4:$T$243,(卡牌属性!$DU383-1+EZ$3)*20+卡牌属性!$DX383)</f>
        <v>38</v>
      </c>
      <c r="FA383" s="14">
        <f>INDEX(属性偏向!$T$4:$T$243,(卡牌属性!$DU383-1+FA$3)*20+卡牌属性!$DX383)</f>
        <v>40</v>
      </c>
      <c r="FB383" s="14">
        <f>INDEX(属性偏向!$T$4:$T$243,(卡牌属性!$DU383-1+FB$3)*20+卡牌属性!$DX383)</f>
        <v>50</v>
      </c>
      <c r="FC383" s="14">
        <f>INDEX(属性偏向!$U$4:$U$243,(卡牌属性!$DV383-1+FC$3)*20+卡牌属性!$DX383)</f>
        <v>300</v>
      </c>
      <c r="FD383" s="14">
        <f>INDEX(属性偏向!$U$4:$U$243,(卡牌属性!$DV383-1+FD$3)*20+卡牌属性!$DX383)</f>
        <v>400</v>
      </c>
      <c r="FE383" s="14">
        <f>INDEX(属性偏向!$U$4:$U$243,(卡牌属性!$DV383-1+FE$3)*20+卡牌属性!$DX383)</f>
        <v>400</v>
      </c>
      <c r="FF383" s="14">
        <f>INDEX(属性偏向!$U$4:$U$243,(卡牌属性!$DV383-1+FF$3)*20+卡牌属性!$DX383)</f>
        <v>450</v>
      </c>
      <c r="FG383" s="14">
        <f>INDEX(属性偏向!$U$4:$U$243,(卡牌属性!$DV383-1+FG$3)*20+卡牌属性!$DX383)</f>
        <v>750</v>
      </c>
      <c r="FH383" s="14">
        <f>INDEX(属性投放!$BQ$6:$BQ$85,(卡牌属性!$DW383-2)*20+卡牌属性!$DX383)</f>
        <v>1400</v>
      </c>
      <c r="FI383" s="14">
        <f>INDEX(属性投放!$BQ$6:$BQ$85,(卡牌属性!$DW383-2)*20+卡牌属性!$DX383)</f>
        <v>1400</v>
      </c>
      <c r="FJ383" s="14">
        <f>INDEX(属性投放!$BQ$6:$BQ$85,(卡牌属性!$DW383-2)*20+卡牌属性!$DX383)</f>
        <v>1400</v>
      </c>
      <c r="FK383" s="14">
        <f>INDEX(属性投放!$BQ$6:$BQ$85,(卡牌属性!$DW383-2)*20+卡牌属性!$DX383)</f>
        <v>1400</v>
      </c>
      <c r="FL383" s="14">
        <f>INDEX(属性投放!$BQ$6:$BQ$85,(卡牌属性!$DW383-2)*20+卡牌属性!$DX383)</f>
        <v>1400</v>
      </c>
      <c r="FM383" s="14">
        <f>INDEX(属性投放!$BR$6:$BR$85,(卡牌属性!$DW383-2)*20+卡牌属性!$DX383)</f>
        <v>700</v>
      </c>
      <c r="FN383" s="14">
        <f>INDEX(属性投放!$BR$6:$BR$85,(卡牌属性!$DW383-2)*20+卡牌属性!$DX383)</f>
        <v>700</v>
      </c>
      <c r="FO383" s="14">
        <f>INDEX(属性投放!$BR$6:$BR$85,(卡牌属性!$DW383-2)*20+卡牌属性!$DX383)</f>
        <v>700</v>
      </c>
      <c r="FP383" s="14">
        <f>INDEX(属性投放!$BR$6:$BR$85,(卡牌属性!$DW383-2)*20+卡牌属性!$DX383)</f>
        <v>700</v>
      </c>
      <c r="FQ383" s="14">
        <f>INDEX(属性投放!$BR$6:$BR$85,(卡牌属性!$DW383-2)*20+卡牌属性!$DX383)</f>
        <v>700</v>
      </c>
      <c r="FR383" s="14">
        <f>INDEX(属性投放!$BS$6:$BS$85,(卡牌属性!$DW383-2)*20+卡牌属性!$DX383)</f>
        <v>14000</v>
      </c>
      <c r="FS383" s="14">
        <f>INDEX(属性投放!$BS$6:$BS$85,(卡牌属性!$DW383-2)*20+卡牌属性!$DX383)</f>
        <v>14000</v>
      </c>
      <c r="FT383" s="14">
        <f>INDEX(属性投放!$BS$6:$BS$85,(卡牌属性!$DW383-2)*20+卡牌属性!$DX383)</f>
        <v>14000</v>
      </c>
      <c r="FU383" s="14">
        <f>INDEX(属性投放!$BS$6:$BS$85,(卡牌属性!$DW383-2)*20+卡牌属性!$DX383)</f>
        <v>14000</v>
      </c>
      <c r="FV383" s="14">
        <f>INDEX(属性投放!$BS$6:$BS$85,(卡牌属性!$DW383-2)*20+卡牌属性!$DX383)</f>
        <v>14000</v>
      </c>
    </row>
    <row r="384" spans="31:178" ht="16.5" x14ac:dyDescent="0.2">
      <c r="AE384" s="13">
        <v>380</v>
      </c>
      <c r="AF384" s="13">
        <f t="shared" si="652"/>
        <v>19</v>
      </c>
      <c r="AG384" s="13">
        <f t="shared" si="633"/>
        <v>2</v>
      </c>
      <c r="AH384" s="13"/>
      <c r="AI384" s="13"/>
      <c r="AJ384" s="14">
        <f t="shared" si="634"/>
        <v>1101022</v>
      </c>
      <c r="AK384" s="14" t="str">
        <f t="shared" si="635"/>
        <v>幻20突</v>
      </c>
      <c r="AL384" s="25" t="s">
        <v>142</v>
      </c>
      <c r="AM384" s="14">
        <v>1</v>
      </c>
      <c r="AN384" s="14">
        <f t="shared" si="636"/>
        <v>20</v>
      </c>
      <c r="AO384" s="14">
        <f>INDEX(属性投放!$DF$6:$DF$85,(卡牌属性!AG384-2)*20+卡牌属性!AN384)</f>
        <v>18924</v>
      </c>
      <c r="AP384" s="14">
        <f t="shared" si="698"/>
        <v>18924</v>
      </c>
      <c r="AQ384" s="14">
        <f t="shared" si="698"/>
        <v>18924</v>
      </c>
      <c r="AR384" s="14">
        <f t="shared" si="698"/>
        <v>18924</v>
      </c>
      <c r="AS384" s="14">
        <f t="shared" si="698"/>
        <v>18924</v>
      </c>
      <c r="AT384" s="14">
        <f>INDEX(属性投放!$DG$6:$DG$85,(卡牌属性!AG384-2)*20+卡牌属性!AN384)</f>
        <v>9417</v>
      </c>
      <c r="AU384" s="14">
        <f t="shared" si="699"/>
        <v>9417</v>
      </c>
      <c r="AV384" s="14">
        <f t="shared" si="699"/>
        <v>9417</v>
      </c>
      <c r="AW384" s="14">
        <f t="shared" si="699"/>
        <v>9417</v>
      </c>
      <c r="AX384" s="14">
        <f t="shared" si="699"/>
        <v>9417</v>
      </c>
      <c r="AY384" s="14">
        <f>INDEX(属性投放!$DH$6:$DH$85,(卡牌属性!AG384-2)*20+卡牌属性!AN384)</f>
        <v>180916</v>
      </c>
      <c r="AZ384" s="14">
        <f t="shared" si="700"/>
        <v>180916</v>
      </c>
      <c r="BA384" s="14">
        <f t="shared" si="700"/>
        <v>180916</v>
      </c>
      <c r="BB384" s="14">
        <f t="shared" si="700"/>
        <v>180916</v>
      </c>
      <c r="BC384" s="14">
        <f t="shared" si="700"/>
        <v>180916</v>
      </c>
      <c r="BD384" s="14">
        <f>INDEX(属性投放!$DL$6:$DL$85,(卡牌属性!AG384-2)*20+卡牌属性!AN384)</f>
        <v>462</v>
      </c>
      <c r="BE384" s="14">
        <f t="shared" si="701"/>
        <v>462</v>
      </c>
      <c r="BF384" s="14">
        <f t="shared" si="701"/>
        <v>462</v>
      </c>
      <c r="BG384" s="14">
        <f t="shared" si="701"/>
        <v>462</v>
      </c>
      <c r="BH384" s="14">
        <f t="shared" si="701"/>
        <v>462</v>
      </c>
      <c r="BI384" s="14">
        <f>INDEX(属性投放!$DM$6:$DM$85,(卡牌属性!AG384-2)*20+卡牌属性!AN384)</f>
        <v>231</v>
      </c>
      <c r="BJ384" s="14">
        <f t="shared" si="702"/>
        <v>231</v>
      </c>
      <c r="BK384" s="14">
        <f t="shared" si="702"/>
        <v>231</v>
      </c>
      <c r="BL384" s="14">
        <f t="shared" si="702"/>
        <v>231</v>
      </c>
      <c r="BM384" s="14">
        <f t="shared" si="702"/>
        <v>231</v>
      </c>
      <c r="BN384" s="14">
        <f>INDEX(属性投放!$DN$6:$DN$85,(卡牌属性!AG384-2)*20+卡牌属性!AN384)</f>
        <v>4620</v>
      </c>
      <c r="BO384" s="14">
        <f t="shared" si="703"/>
        <v>4620</v>
      </c>
      <c r="BP384" s="14">
        <f t="shared" si="703"/>
        <v>4620</v>
      </c>
      <c r="BQ384" s="14">
        <f t="shared" si="703"/>
        <v>4620</v>
      </c>
      <c r="BR384" s="14">
        <f t="shared" si="703"/>
        <v>4620</v>
      </c>
      <c r="BW384" s="13">
        <v>380</v>
      </c>
      <c r="BX384" s="13">
        <f t="shared" si="643"/>
        <v>19</v>
      </c>
      <c r="BY384" s="14">
        <f t="shared" si="644"/>
        <v>2</v>
      </c>
      <c r="BZ384" s="14">
        <f t="shared" si="653"/>
        <v>1102019</v>
      </c>
      <c r="CA384" s="14" t="str">
        <f t="shared" si="654"/>
        <v>食火蜥20突</v>
      </c>
      <c r="CB384" s="25" t="s">
        <v>142</v>
      </c>
      <c r="CC384" s="14">
        <v>2</v>
      </c>
      <c r="CD384" s="14">
        <f t="shared" si="645"/>
        <v>20</v>
      </c>
      <c r="CE384" s="14" t="s">
        <v>21</v>
      </c>
      <c r="CF384" s="14">
        <f>INDEX(属性投放!$AZ$6:$AZ$85,(BY384-2)*20+CD384)</f>
        <v>21115</v>
      </c>
      <c r="CG384" s="14" t="s">
        <v>22</v>
      </c>
      <c r="CH384" s="14">
        <f>INDEX(属性投放!$BA$6:$BA$85,(BY384-2)*20+CD384)</f>
        <v>10529</v>
      </c>
      <c r="CI384" s="14" t="s">
        <v>510</v>
      </c>
      <c r="CJ384" s="14">
        <f>INDEX(属性投放!$BB$6:$BB$85,(BY384-2)*20+CD384)</f>
        <v>202958</v>
      </c>
      <c r="CK384" s="14" t="s">
        <v>21</v>
      </c>
      <c r="CL384" s="14">
        <f>INDEX(属性投放!$BC$6:$BC$85,(BY384-2)*20+CD384)</f>
        <v>25</v>
      </c>
      <c r="CM384" s="14" t="s">
        <v>22</v>
      </c>
      <c r="CN384" s="14">
        <f>INDEX(属性投放!$BD$6:$BD$85,(BY384-2)*20+CD384)</f>
        <v>13</v>
      </c>
      <c r="CO384" s="14" t="s">
        <v>510</v>
      </c>
      <c r="CP384" s="14">
        <f>INDEX(属性投放!$BE$6:$BE$85,(BY384-2)*20+CD384)</f>
        <v>250</v>
      </c>
      <c r="CS384" s="13">
        <v>380</v>
      </c>
      <c r="CT384" s="13">
        <f t="shared" si="655"/>
        <v>8</v>
      </c>
      <c r="CU384" s="13">
        <f t="shared" si="656"/>
        <v>16</v>
      </c>
      <c r="CV384" s="14">
        <f t="shared" si="657"/>
        <v>4</v>
      </c>
      <c r="CW384" s="14">
        <f t="shared" si="658"/>
        <v>1102008</v>
      </c>
      <c r="CX384" s="14" t="str">
        <f>INDEX($O$6:$O$50,CT384)&amp;"-"&amp;INDEX(属性投放!$AB$7:$AB$50,CZ384)&amp;"-魂火-"&amp;DB384</f>
        <v>夏侯渊-叫唤+2-魂火-1</v>
      </c>
      <c r="CY384" s="25" t="s">
        <v>142</v>
      </c>
      <c r="CZ384" s="14">
        <f>INDEX(属性投放!$AM$7:$AM$58,CU384)</f>
        <v>9</v>
      </c>
      <c r="DA384" s="14" t="s">
        <v>537</v>
      </c>
      <c r="DB384" s="14">
        <f>INDEX(属性投放!$AN$7:$AN$58,CU384)</f>
        <v>1</v>
      </c>
      <c r="DC384" s="14">
        <f t="shared" si="646"/>
        <v>16</v>
      </c>
      <c r="DD384" s="14">
        <f>INDEX(属性投放!$AO$7:$AO$58,DC384)</f>
        <v>58</v>
      </c>
      <c r="DE384" s="14" t="s">
        <v>538</v>
      </c>
      <c r="DF384" s="14">
        <f>INDEX(属性投放!$BK$6:$BK$85,(CV384-2)*20+CZ384)</f>
        <v>115</v>
      </c>
      <c r="DG384" s="14">
        <f>SUMIFS(DF$5:DF384,$CT$5:$CT384,"="&amp;$CT384)</f>
        <v>950</v>
      </c>
      <c r="DH384" s="14" t="s">
        <v>539</v>
      </c>
      <c r="DI384" s="14">
        <f>INDEX(属性投放!$BL$6:$BL$85,(CV384-2)*20+CZ384)</f>
        <v>58</v>
      </c>
      <c r="DJ384" s="14">
        <f>SUMIFS(DI$5:DI384,$CT$5:$CT384,"="&amp;$CT384)</f>
        <v>479</v>
      </c>
      <c r="DK384" s="14" t="s">
        <v>540</v>
      </c>
      <c r="DL384" s="14">
        <f>INDEX(属性投放!$BM$6:$BM$85,(CV384-2)*20+CZ384)</f>
        <v>920</v>
      </c>
      <c r="DM384" s="14">
        <f>SUMIFS(DL$5:DL384,$CT$5:$CT384,"="&amp;$CT384)</f>
        <v>6970</v>
      </c>
      <c r="DR384" s="14">
        <f t="shared" si="647"/>
        <v>1102019</v>
      </c>
      <c r="DS384" s="14" t="str">
        <f t="shared" si="648"/>
        <v>食火蜥20突</v>
      </c>
      <c r="DT384" s="14">
        <f t="shared" si="659"/>
        <v>1</v>
      </c>
      <c r="DU384" s="14">
        <f t="shared" si="660"/>
        <v>6</v>
      </c>
      <c r="DV384" s="14">
        <f t="shared" si="661"/>
        <v>4</v>
      </c>
      <c r="DW384" s="14">
        <f t="shared" si="649"/>
        <v>2</v>
      </c>
      <c r="DX384" s="14">
        <f t="shared" si="650"/>
        <v>20</v>
      </c>
      <c r="DY384" s="14">
        <f t="shared" si="651"/>
        <v>20</v>
      </c>
      <c r="DZ384" s="14">
        <f>INDEX(属性投放!$AX$6:$AX$85,(卡牌属性!DW384-2)*20+卡牌属性!DX384)</f>
        <v>10</v>
      </c>
      <c r="EA384" s="14">
        <f>INDEX(属性投放!BQ$6:BQ$85,卡牌属性!$DY384)</f>
        <v>1500</v>
      </c>
      <c r="EB384" s="14">
        <f>INDEX(属性投放!BR$6:BR$85,卡牌属性!$DY384)</f>
        <v>750</v>
      </c>
      <c r="EC384" s="14">
        <f>INDEX(属性投放!BS$6:BS$85,卡牌属性!$DY384)</f>
        <v>15000</v>
      </c>
      <c r="ED384" s="14">
        <f t="shared" si="704"/>
        <v>8325</v>
      </c>
      <c r="EE384" s="14">
        <f t="shared" si="705"/>
        <v>8608</v>
      </c>
      <c r="EF384" s="14">
        <f t="shared" si="706"/>
        <v>9000</v>
      </c>
      <c r="EG384" s="14">
        <f t="shared" si="707"/>
        <v>9000</v>
      </c>
      <c r="EH384" s="14">
        <f t="shared" si="708"/>
        <v>9480</v>
      </c>
      <c r="EI384" s="14">
        <f t="shared" si="709"/>
        <v>5177</v>
      </c>
      <c r="EJ384" s="14">
        <f t="shared" si="710"/>
        <v>5910</v>
      </c>
      <c r="EK384" s="14">
        <f t="shared" si="711"/>
        <v>5910</v>
      </c>
      <c r="EL384" s="14">
        <f t="shared" si="712"/>
        <v>6260</v>
      </c>
      <c r="EM384" s="14">
        <f t="shared" si="713"/>
        <v>6717</v>
      </c>
      <c r="EN384" s="14">
        <f t="shared" si="714"/>
        <v>89242</v>
      </c>
      <c r="EO384" s="14">
        <f t="shared" si="715"/>
        <v>94410</v>
      </c>
      <c r="EP384" s="14">
        <f t="shared" si="716"/>
        <v>94410</v>
      </c>
      <c r="EQ384" s="14">
        <f t="shared" si="717"/>
        <v>97074</v>
      </c>
      <c r="ER384" s="14">
        <f t="shared" si="718"/>
        <v>110708</v>
      </c>
      <c r="ES384" s="14">
        <f>INDEX(属性偏向!$S$4:$S$243,(卡牌属性!$DT384-1+ES$3)*20+卡牌属性!$DX384)</f>
        <v>15</v>
      </c>
      <c r="ET384" s="14">
        <f>INDEX(属性偏向!$S$4:$S$243,(卡牌属性!$DT384-1+ET$3)*20+卡牌属性!$DX384)</f>
        <v>20</v>
      </c>
      <c r="EU384" s="14">
        <f>INDEX(属性偏向!$S$4:$S$243,(卡牌属性!$DT384-1+EU$3)*20+卡牌属性!$DX384)</f>
        <v>25</v>
      </c>
      <c r="EV384" s="14">
        <f>INDEX(属性偏向!$S$4:$S$243,(卡牌属性!$DT384-1+EV$3)*20+卡牌属性!$DX384)</f>
        <v>25</v>
      </c>
      <c r="EW384" s="14">
        <f>INDEX(属性偏向!$S$4:$S$243,(卡牌属性!$DT384-1+EW$3)*20+卡牌属性!$DX384)</f>
        <v>30</v>
      </c>
      <c r="EX384" s="14">
        <f>INDEX(属性偏向!$T$4:$T$243,(卡牌属性!$DU384-1+EX$3)*20+卡牌属性!$DX384)</f>
        <v>23</v>
      </c>
      <c r="EY384" s="14">
        <f>INDEX(属性偏向!$T$4:$T$243,(卡牌属性!$DU384-1+EY$3)*20+卡牌属性!$DX384)</f>
        <v>38</v>
      </c>
      <c r="EZ384" s="14">
        <f>INDEX(属性偏向!$T$4:$T$243,(卡牌属性!$DU384-1+EZ$3)*20+卡牌属性!$DX384)</f>
        <v>38</v>
      </c>
      <c r="FA384" s="14">
        <f>INDEX(属性偏向!$T$4:$T$243,(卡牌属性!$DU384-1+FA$3)*20+卡牌属性!$DX384)</f>
        <v>40</v>
      </c>
      <c r="FB384" s="14">
        <f>INDEX(属性偏向!$T$4:$T$243,(卡牌属性!$DU384-1+FB$3)*20+卡牌属性!$DX384)</f>
        <v>50</v>
      </c>
      <c r="FC384" s="14">
        <f>INDEX(属性偏向!$U$4:$U$243,(卡牌属性!$DV384-1+FC$3)*20+卡牌属性!$DX384)</f>
        <v>300</v>
      </c>
      <c r="FD384" s="14">
        <f>INDEX(属性偏向!$U$4:$U$243,(卡牌属性!$DV384-1+FD$3)*20+卡牌属性!$DX384)</f>
        <v>400</v>
      </c>
      <c r="FE384" s="14">
        <f>INDEX(属性偏向!$U$4:$U$243,(卡牌属性!$DV384-1+FE$3)*20+卡牌属性!$DX384)</f>
        <v>400</v>
      </c>
      <c r="FF384" s="14">
        <f>INDEX(属性偏向!$U$4:$U$243,(卡牌属性!$DV384-1+FF$3)*20+卡牌属性!$DX384)</f>
        <v>450</v>
      </c>
      <c r="FG384" s="14">
        <f>INDEX(属性偏向!$U$4:$U$243,(卡牌属性!$DV384-1+FG$3)*20+卡牌属性!$DX384)</f>
        <v>750</v>
      </c>
      <c r="FH384" s="14">
        <f>INDEX(属性投放!$BQ$6:$BQ$85,(卡牌属性!$DW384-2)*20+卡牌属性!$DX384)</f>
        <v>1500</v>
      </c>
      <c r="FI384" s="14">
        <f>INDEX(属性投放!$BQ$6:$BQ$85,(卡牌属性!$DW384-2)*20+卡牌属性!$DX384)</f>
        <v>1500</v>
      </c>
      <c r="FJ384" s="14">
        <f>INDEX(属性投放!$BQ$6:$BQ$85,(卡牌属性!$DW384-2)*20+卡牌属性!$DX384)</f>
        <v>1500</v>
      </c>
      <c r="FK384" s="14">
        <f>INDEX(属性投放!$BQ$6:$BQ$85,(卡牌属性!$DW384-2)*20+卡牌属性!$DX384)</f>
        <v>1500</v>
      </c>
      <c r="FL384" s="14">
        <f>INDEX(属性投放!$BQ$6:$BQ$85,(卡牌属性!$DW384-2)*20+卡牌属性!$DX384)</f>
        <v>1500</v>
      </c>
      <c r="FM384" s="14">
        <f>INDEX(属性投放!$BR$6:$BR$85,(卡牌属性!$DW384-2)*20+卡牌属性!$DX384)</f>
        <v>750</v>
      </c>
      <c r="FN384" s="14">
        <f>INDEX(属性投放!$BR$6:$BR$85,(卡牌属性!$DW384-2)*20+卡牌属性!$DX384)</f>
        <v>750</v>
      </c>
      <c r="FO384" s="14">
        <f>INDEX(属性投放!$BR$6:$BR$85,(卡牌属性!$DW384-2)*20+卡牌属性!$DX384)</f>
        <v>750</v>
      </c>
      <c r="FP384" s="14">
        <f>INDEX(属性投放!$BR$6:$BR$85,(卡牌属性!$DW384-2)*20+卡牌属性!$DX384)</f>
        <v>750</v>
      </c>
      <c r="FQ384" s="14">
        <f>INDEX(属性投放!$BR$6:$BR$85,(卡牌属性!$DW384-2)*20+卡牌属性!$DX384)</f>
        <v>750</v>
      </c>
      <c r="FR384" s="14">
        <f>INDEX(属性投放!$BS$6:$BS$85,(卡牌属性!$DW384-2)*20+卡牌属性!$DX384)</f>
        <v>15000</v>
      </c>
      <c r="FS384" s="14">
        <f>INDEX(属性投放!$BS$6:$BS$85,(卡牌属性!$DW384-2)*20+卡牌属性!$DX384)</f>
        <v>15000</v>
      </c>
      <c r="FT384" s="14">
        <f>INDEX(属性投放!$BS$6:$BS$85,(卡牌属性!$DW384-2)*20+卡牌属性!$DX384)</f>
        <v>15000</v>
      </c>
      <c r="FU384" s="14">
        <f>INDEX(属性投放!$BS$6:$BS$85,(卡牌属性!$DW384-2)*20+卡牌属性!$DX384)</f>
        <v>15000</v>
      </c>
      <c r="FV384" s="14">
        <f>INDEX(属性投放!$BS$6:$BS$85,(卡牌属性!$DW384-2)*20+卡牌属性!$DX384)</f>
        <v>15000</v>
      </c>
    </row>
    <row r="385" spans="31:178" ht="16.5" x14ac:dyDescent="0.2">
      <c r="AE385" s="13">
        <v>381</v>
      </c>
      <c r="AF385" s="13">
        <f t="shared" si="652"/>
        <v>20</v>
      </c>
      <c r="AG385" s="13">
        <f t="shared" si="633"/>
        <v>3</v>
      </c>
      <c r="AH385" s="13"/>
      <c r="AI385" s="13"/>
      <c r="AJ385" s="14">
        <f t="shared" si="634"/>
        <v>1101023</v>
      </c>
      <c r="AK385" s="14" t="str">
        <f t="shared" si="635"/>
        <v>朱童1突</v>
      </c>
      <c r="AL385" s="25" t="s">
        <v>142</v>
      </c>
      <c r="AM385" s="14">
        <v>1</v>
      </c>
      <c r="AN385" s="14">
        <f t="shared" si="636"/>
        <v>1</v>
      </c>
      <c r="AO385" s="14">
        <f>INDEX(属性投放!$DF$6:$DF$85,(卡牌属性!AG385-2)*20+卡牌属性!AN385)</f>
        <v>150</v>
      </c>
      <c r="AP385" s="14">
        <f t="shared" ref="AP385:AS404" si="719">$AO385</f>
        <v>150</v>
      </c>
      <c r="AQ385" s="14">
        <f t="shared" si="719"/>
        <v>150</v>
      </c>
      <c r="AR385" s="14">
        <f t="shared" si="719"/>
        <v>150</v>
      </c>
      <c r="AS385" s="14">
        <f t="shared" si="719"/>
        <v>150</v>
      </c>
      <c r="AT385" s="14">
        <f>INDEX(属性投放!$DG$6:$DG$85,(卡牌属性!AG385-2)*20+卡牌属性!AN385)</f>
        <v>0</v>
      </c>
      <c r="AU385" s="14">
        <f t="shared" ref="AU385:AX404" si="720">$AT385</f>
        <v>0</v>
      </c>
      <c r="AV385" s="14">
        <f t="shared" si="720"/>
        <v>0</v>
      </c>
      <c r="AW385" s="14">
        <f t="shared" si="720"/>
        <v>0</v>
      </c>
      <c r="AX385" s="14">
        <f t="shared" si="720"/>
        <v>0</v>
      </c>
      <c r="AY385" s="14">
        <f>INDEX(属性投放!$DH$6:$DH$85,(卡牌属性!AG385-2)*20+卡牌属性!AN385)</f>
        <v>375</v>
      </c>
      <c r="AZ385" s="14">
        <f t="shared" ref="AZ385:BC404" si="721">$AY385</f>
        <v>375</v>
      </c>
      <c r="BA385" s="14">
        <f t="shared" si="721"/>
        <v>375</v>
      </c>
      <c r="BB385" s="14">
        <f t="shared" si="721"/>
        <v>375</v>
      </c>
      <c r="BC385" s="14">
        <f t="shared" si="721"/>
        <v>375</v>
      </c>
      <c r="BD385" s="14">
        <f>INDEX(属性投放!$DL$6:$DL$85,(卡牌属性!AG385-2)*20+卡牌属性!AN385)</f>
        <v>8</v>
      </c>
      <c r="BE385" s="14">
        <f t="shared" ref="BE385:BH404" si="722">$BD385</f>
        <v>8</v>
      </c>
      <c r="BF385" s="14">
        <f t="shared" si="722"/>
        <v>8</v>
      </c>
      <c r="BG385" s="14">
        <f t="shared" si="722"/>
        <v>8</v>
      </c>
      <c r="BH385" s="14">
        <f t="shared" si="722"/>
        <v>8</v>
      </c>
      <c r="BI385" s="14">
        <f>INDEX(属性投放!$DM$6:$DM$85,(卡牌属性!AG385-2)*20+卡牌属性!AN385)</f>
        <v>4</v>
      </c>
      <c r="BJ385" s="14">
        <f t="shared" ref="BJ385:BM404" si="723">$BI385</f>
        <v>4</v>
      </c>
      <c r="BK385" s="14">
        <f t="shared" si="723"/>
        <v>4</v>
      </c>
      <c r="BL385" s="14">
        <f t="shared" si="723"/>
        <v>4</v>
      </c>
      <c r="BM385" s="14">
        <f t="shared" si="723"/>
        <v>4</v>
      </c>
      <c r="BN385" s="14">
        <f>INDEX(属性投放!$DN$6:$DN$85,(卡牌属性!AG385-2)*20+卡牌属性!AN385)</f>
        <v>49</v>
      </c>
      <c r="BO385" s="14">
        <f t="shared" ref="BO385:BR404" si="724">$BN385</f>
        <v>49</v>
      </c>
      <c r="BP385" s="14">
        <f t="shared" si="724"/>
        <v>49</v>
      </c>
      <c r="BQ385" s="14">
        <f t="shared" si="724"/>
        <v>49</v>
      </c>
      <c r="BR385" s="14">
        <f t="shared" si="724"/>
        <v>49</v>
      </c>
      <c r="BW385" s="13">
        <v>381</v>
      </c>
      <c r="BX385" s="13">
        <f t="shared" si="643"/>
        <v>20</v>
      </c>
      <c r="BY385" s="14">
        <f t="shared" si="644"/>
        <v>3</v>
      </c>
      <c r="BZ385" s="14">
        <f t="shared" si="653"/>
        <v>1102020</v>
      </c>
      <c r="CA385" s="14" t="str">
        <f t="shared" si="654"/>
        <v>高顺1突</v>
      </c>
      <c r="CB385" s="25" t="s">
        <v>142</v>
      </c>
      <c r="CC385" s="14">
        <v>2</v>
      </c>
      <c r="CD385" s="14">
        <f t="shared" si="645"/>
        <v>1</v>
      </c>
      <c r="CE385" s="14" t="s">
        <v>21</v>
      </c>
      <c r="CF385" s="14">
        <f>INDEX(属性投放!$AZ$6:$AZ$85,(BY385-2)*20+CD385)</f>
        <v>150</v>
      </c>
      <c r="CG385" s="14" t="s">
        <v>22</v>
      </c>
      <c r="CH385" s="14">
        <f>INDEX(属性投放!$BA$6:$BA$85,(BY385-2)*20+CD385)</f>
        <v>10</v>
      </c>
      <c r="CI385" s="14" t="s">
        <v>510</v>
      </c>
      <c r="CJ385" s="14">
        <f>INDEX(属性投放!$BB$6:$BB$85,(BY385-2)*20+CD385)</f>
        <v>500</v>
      </c>
      <c r="CK385" s="14" t="s">
        <v>21</v>
      </c>
      <c r="CL385" s="14">
        <f>INDEX(属性投放!$BC$6:$BC$85,(BY385-2)*20+CD385)</f>
        <v>8</v>
      </c>
      <c r="CM385" s="14" t="s">
        <v>22</v>
      </c>
      <c r="CN385" s="14">
        <f>INDEX(属性投放!$BD$6:$BD$85,(BY385-2)*20+CD385)</f>
        <v>4</v>
      </c>
      <c r="CO385" s="14" t="s">
        <v>510</v>
      </c>
      <c r="CP385" s="14">
        <f>INDEX(属性投放!$BE$6:$BE$85,(BY385-2)*20+CD385)</f>
        <v>48</v>
      </c>
      <c r="CS385" s="13">
        <v>381</v>
      </c>
      <c r="CT385" s="13">
        <f t="shared" si="655"/>
        <v>8</v>
      </c>
      <c r="CU385" s="13">
        <f t="shared" si="656"/>
        <v>17</v>
      </c>
      <c r="CV385" s="14">
        <f t="shared" si="657"/>
        <v>4</v>
      </c>
      <c r="CW385" s="14">
        <f t="shared" si="658"/>
        <v>1102008</v>
      </c>
      <c r="CX385" s="14" t="str">
        <f>INDEX($O$6:$O$50,CT385)&amp;"-"&amp;INDEX(属性投放!$AB$7:$AB$50,CZ385)&amp;"-魂火-"&amp;DB385</f>
        <v>夏侯渊-叫唤+2-魂火-2</v>
      </c>
      <c r="CY385" s="25" t="s">
        <v>142</v>
      </c>
      <c r="CZ385" s="14">
        <f>INDEX(属性投放!$AM$7:$AM$58,CU385)</f>
        <v>9</v>
      </c>
      <c r="DA385" s="14" t="s">
        <v>537</v>
      </c>
      <c r="DB385" s="14">
        <f>INDEX(属性投放!$AN$7:$AN$58,CU385)</f>
        <v>2</v>
      </c>
      <c r="DC385" s="14">
        <f t="shared" si="646"/>
        <v>17</v>
      </c>
      <c r="DD385" s="14">
        <f>INDEX(属性投放!$AO$7:$AO$58,DC385)</f>
        <v>60</v>
      </c>
      <c r="DE385" s="14" t="s">
        <v>538</v>
      </c>
      <c r="DF385" s="14">
        <f>INDEX(属性投放!$BK$6:$BK$85,(CV385-2)*20+CZ385)</f>
        <v>115</v>
      </c>
      <c r="DG385" s="14">
        <f>SUMIFS(DF$5:DF385,$CT$5:$CT385,"="&amp;$CT385)</f>
        <v>1065</v>
      </c>
      <c r="DH385" s="14" t="s">
        <v>539</v>
      </c>
      <c r="DI385" s="14">
        <f>INDEX(属性投放!$BL$6:$BL$85,(CV385-2)*20+CZ385)</f>
        <v>58</v>
      </c>
      <c r="DJ385" s="14">
        <f>SUMIFS(DI$5:DI385,$CT$5:$CT385,"="&amp;$CT385)</f>
        <v>537</v>
      </c>
      <c r="DK385" s="14" t="s">
        <v>540</v>
      </c>
      <c r="DL385" s="14">
        <f>INDEX(属性投放!$BM$6:$BM$85,(CV385-2)*20+CZ385)</f>
        <v>920</v>
      </c>
      <c r="DM385" s="14">
        <f>SUMIFS(DL$5:DL385,$CT$5:$CT385,"="&amp;$CT385)</f>
        <v>7890</v>
      </c>
      <c r="DR385" s="14">
        <f t="shared" si="647"/>
        <v>1102020</v>
      </c>
      <c r="DS385" s="14" t="str">
        <f t="shared" si="648"/>
        <v>高顺1突</v>
      </c>
      <c r="DT385" s="14">
        <f t="shared" si="659"/>
        <v>6</v>
      </c>
      <c r="DU385" s="14">
        <f t="shared" si="660"/>
        <v>5</v>
      </c>
      <c r="DV385" s="14">
        <f t="shared" si="661"/>
        <v>5</v>
      </c>
      <c r="DW385" s="14">
        <f t="shared" si="649"/>
        <v>3</v>
      </c>
      <c r="DX385" s="14">
        <f t="shared" si="650"/>
        <v>1</v>
      </c>
      <c r="DY385" s="14">
        <f t="shared" si="651"/>
        <v>21</v>
      </c>
      <c r="DZ385" s="14">
        <f>INDEX(属性投放!$AX$6:$AX$85,(卡牌属性!DW385-2)*20+卡牌属性!DX385)</f>
        <v>4</v>
      </c>
      <c r="EA385" s="14">
        <f>INDEX(属性投放!BQ$6:BQ$85,卡牌属性!$DY385)</f>
        <v>30</v>
      </c>
      <c r="EB385" s="14">
        <f>INDEX(属性投放!BR$6:BR$85,卡牌属性!$DY385)</f>
        <v>15</v>
      </c>
      <c r="EC385" s="14">
        <f>INDEX(属性投放!BS$6:BS$85,卡牌属性!$DY385)</f>
        <v>180</v>
      </c>
      <c r="ED385" s="14">
        <f>INDEX(属性偏向!$I$4:$I$15,卡牌属性!$DT385+ED$3)</f>
        <v>175</v>
      </c>
      <c r="EE385" s="14">
        <f>INDEX(属性偏向!$I$4:$I$15,卡牌属性!$DT385+EE$3)</f>
        <v>200</v>
      </c>
      <c r="EF385" s="14">
        <f>INDEX(属性偏向!$I$4:$I$15,卡牌属性!$DT385+EF$3)</f>
        <v>250</v>
      </c>
      <c r="EG385" s="14">
        <f>INDEX(属性偏向!$I$4:$I$15,卡牌属性!$DT385+EG$3)</f>
        <v>250</v>
      </c>
      <c r="EH385" s="14">
        <f>INDEX(属性偏向!$I$4:$I$15,卡牌属性!$DT385+EH$3)</f>
        <v>300</v>
      </c>
      <c r="EI385" s="14">
        <f>INDEX(属性偏向!$J$4:$J$15,卡牌属性!$DU385+EI$3)</f>
        <v>30</v>
      </c>
      <c r="EJ385" s="14">
        <f>INDEX(属性偏向!$J$4:$J$15,卡牌属性!$DU385+EJ$3)</f>
        <v>40</v>
      </c>
      <c r="EK385" s="14">
        <f>INDEX(属性偏向!$J$4:$J$15,卡牌属性!$DU385+EK$3)</f>
        <v>40</v>
      </c>
      <c r="EL385" s="14">
        <f>INDEX(属性偏向!$J$4:$J$15,卡牌属性!$DU385+EL$3)</f>
        <v>50</v>
      </c>
      <c r="EM385" s="14">
        <f>INDEX(属性偏向!$J$4:$J$15,卡牌属性!$DU385+EM$3)</f>
        <v>75</v>
      </c>
      <c r="EN385" s="14">
        <f>INDEX(属性偏向!$K$4:$K$15,卡牌属性!$DV385+EN$3)</f>
        <v>500</v>
      </c>
      <c r="EO385" s="14">
        <f>INDEX(属性偏向!$K$4:$K$15,卡牌属性!$DV385+EO$3)</f>
        <v>650</v>
      </c>
      <c r="EP385" s="14">
        <f>INDEX(属性偏向!$K$4:$K$15,卡牌属性!$DV385+EP$3)</f>
        <v>650</v>
      </c>
      <c r="EQ385" s="14">
        <f>INDEX(属性偏向!$K$4:$K$15,卡牌属性!$DV385+EQ$3)</f>
        <v>800</v>
      </c>
      <c r="ER385" s="14">
        <f>INDEX(属性偏向!$K$4:$K$15,卡牌属性!$DV385+ER$3)</f>
        <v>1000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48</v>
      </c>
      <c r="FD385" s="14">
        <f>INDEX(属性偏向!$U$4:$U$243,(卡牌属性!$DV385-1+FD$3)*20+卡牌属性!$DX385)</f>
        <v>60</v>
      </c>
      <c r="FE385" s="14">
        <f>INDEX(属性偏向!$U$4:$U$243,(卡牌属性!$DV385-1+FE$3)*20+卡牌属性!$DX385)</f>
        <v>60</v>
      </c>
      <c r="FF385" s="14">
        <f>INDEX(属性偏向!$U$4:$U$243,(卡牌属性!$DV385-1+FF$3)*20+卡牌属性!$DX385)</f>
        <v>72</v>
      </c>
      <c r="FG385" s="14">
        <f>INDEX(属性偏向!$U$4:$U$243,(卡牌属性!$DV385-1+FG$3)*20+卡牌属性!$DX385)</f>
        <v>78</v>
      </c>
      <c r="FH385" s="14">
        <f>INDEX(属性投放!$BQ$6:$BQ$85,(卡牌属性!$DW385-2)*20+卡牌属性!$DX385)</f>
        <v>30</v>
      </c>
      <c r="FI385" s="14">
        <f>INDEX(属性投放!$BQ$6:$BQ$85,(卡牌属性!$DW385-2)*20+卡牌属性!$DX385)</f>
        <v>30</v>
      </c>
      <c r="FJ385" s="14">
        <f>INDEX(属性投放!$BQ$6:$BQ$85,(卡牌属性!$DW385-2)*20+卡牌属性!$DX385)</f>
        <v>30</v>
      </c>
      <c r="FK385" s="14">
        <f>INDEX(属性投放!$BQ$6:$BQ$85,(卡牌属性!$DW385-2)*20+卡牌属性!$DX385)</f>
        <v>30</v>
      </c>
      <c r="FL385" s="14">
        <f>INDEX(属性投放!$BQ$6:$BQ$85,(卡牌属性!$DW385-2)*20+卡牌属性!$DX385)</f>
        <v>30</v>
      </c>
      <c r="FM385" s="14">
        <f>INDEX(属性投放!$BR$6:$BR$85,(卡牌属性!$DW385-2)*20+卡牌属性!$DX385)</f>
        <v>15</v>
      </c>
      <c r="FN385" s="14">
        <f>INDEX(属性投放!$BR$6:$BR$85,(卡牌属性!$DW385-2)*20+卡牌属性!$DX385)</f>
        <v>15</v>
      </c>
      <c r="FO385" s="14">
        <f>INDEX(属性投放!$BR$6:$BR$85,(卡牌属性!$DW385-2)*20+卡牌属性!$DX385)</f>
        <v>15</v>
      </c>
      <c r="FP385" s="14">
        <f>INDEX(属性投放!$BR$6:$BR$85,(卡牌属性!$DW385-2)*20+卡牌属性!$DX385)</f>
        <v>15</v>
      </c>
      <c r="FQ385" s="14">
        <f>INDEX(属性投放!$BR$6:$BR$85,(卡牌属性!$DW385-2)*20+卡牌属性!$DX385)</f>
        <v>15</v>
      </c>
      <c r="FR385" s="14">
        <f>INDEX(属性投放!$BS$6:$BS$85,(卡牌属性!$DW385-2)*20+卡牌属性!$DX385)</f>
        <v>180</v>
      </c>
      <c r="FS385" s="14">
        <f>INDEX(属性投放!$BS$6:$BS$85,(卡牌属性!$DW385-2)*20+卡牌属性!$DX385)</f>
        <v>180</v>
      </c>
      <c r="FT385" s="14">
        <f>INDEX(属性投放!$BS$6:$BS$85,(卡牌属性!$DW385-2)*20+卡牌属性!$DX385)</f>
        <v>180</v>
      </c>
      <c r="FU385" s="14">
        <f>INDEX(属性投放!$BS$6:$BS$85,(卡牌属性!$DW385-2)*20+卡牌属性!$DX385)</f>
        <v>180</v>
      </c>
      <c r="FV385" s="14">
        <f>INDEX(属性投放!$BS$6:$BS$85,(卡牌属性!$DW385-2)*20+卡牌属性!$DX385)</f>
        <v>180</v>
      </c>
    </row>
    <row r="386" spans="31:178" ht="16.5" x14ac:dyDescent="0.2">
      <c r="AE386" s="13">
        <v>382</v>
      </c>
      <c r="AF386" s="13">
        <f t="shared" si="652"/>
        <v>20</v>
      </c>
      <c r="AG386" s="13">
        <f t="shared" si="633"/>
        <v>3</v>
      </c>
      <c r="AH386" s="13"/>
      <c r="AI386" s="13"/>
      <c r="AJ386" s="14">
        <f t="shared" si="634"/>
        <v>1101023</v>
      </c>
      <c r="AK386" s="14" t="str">
        <f t="shared" si="635"/>
        <v>朱童2突</v>
      </c>
      <c r="AL386" s="25" t="s">
        <v>142</v>
      </c>
      <c r="AM386" s="14">
        <v>1</v>
      </c>
      <c r="AN386" s="14">
        <f t="shared" si="636"/>
        <v>2</v>
      </c>
      <c r="AO386" s="14">
        <f>INDEX(属性投放!$DF$6:$DF$85,(卡牌属性!AG386-2)*20+卡牌属性!AN386)</f>
        <v>230</v>
      </c>
      <c r="AP386" s="14">
        <f t="shared" si="719"/>
        <v>230</v>
      </c>
      <c r="AQ386" s="14">
        <f t="shared" si="719"/>
        <v>230</v>
      </c>
      <c r="AR386" s="14">
        <f t="shared" si="719"/>
        <v>230</v>
      </c>
      <c r="AS386" s="14">
        <f t="shared" si="719"/>
        <v>230</v>
      </c>
      <c r="AT386" s="14">
        <f>INDEX(属性投放!$DG$6:$DG$85,(卡牌属性!AG386-2)*20+卡牌属性!AN386)</f>
        <v>40</v>
      </c>
      <c r="AU386" s="14">
        <f t="shared" si="720"/>
        <v>40</v>
      </c>
      <c r="AV386" s="14">
        <f t="shared" si="720"/>
        <v>40</v>
      </c>
      <c r="AW386" s="14">
        <f t="shared" si="720"/>
        <v>40</v>
      </c>
      <c r="AX386" s="14">
        <f t="shared" si="720"/>
        <v>40</v>
      </c>
      <c r="AY386" s="14">
        <f>INDEX(属性投放!$DH$6:$DH$85,(卡牌属性!AG386-2)*20+卡牌属性!AN386)</f>
        <v>865</v>
      </c>
      <c r="AZ386" s="14">
        <f t="shared" si="721"/>
        <v>865</v>
      </c>
      <c r="BA386" s="14">
        <f t="shared" si="721"/>
        <v>865</v>
      </c>
      <c r="BB386" s="14">
        <f t="shared" si="721"/>
        <v>865</v>
      </c>
      <c r="BC386" s="14">
        <f t="shared" si="721"/>
        <v>865</v>
      </c>
      <c r="BD386" s="14">
        <f>INDEX(属性投放!$DL$6:$DL$85,(卡牌属性!AG386-2)*20+卡牌属性!AN386)</f>
        <v>17</v>
      </c>
      <c r="BE386" s="14">
        <f t="shared" si="722"/>
        <v>17</v>
      </c>
      <c r="BF386" s="14">
        <f t="shared" si="722"/>
        <v>17</v>
      </c>
      <c r="BG386" s="14">
        <f t="shared" si="722"/>
        <v>17</v>
      </c>
      <c r="BH386" s="14">
        <f t="shared" si="722"/>
        <v>17</v>
      </c>
      <c r="BI386" s="14">
        <f>INDEX(属性投放!$DM$6:$DM$85,(卡牌属性!AG386-2)*20+卡牌属性!AN386)</f>
        <v>8</v>
      </c>
      <c r="BJ386" s="14">
        <f t="shared" si="723"/>
        <v>8</v>
      </c>
      <c r="BK386" s="14">
        <f t="shared" si="723"/>
        <v>8</v>
      </c>
      <c r="BL386" s="14">
        <f t="shared" si="723"/>
        <v>8</v>
      </c>
      <c r="BM386" s="14">
        <f t="shared" si="723"/>
        <v>8</v>
      </c>
      <c r="BN386" s="14">
        <f>INDEX(属性投放!$DN$6:$DN$85,(卡牌属性!AG386-2)*20+卡牌属性!AN386)</f>
        <v>101</v>
      </c>
      <c r="BO386" s="14">
        <f t="shared" si="724"/>
        <v>101</v>
      </c>
      <c r="BP386" s="14">
        <f t="shared" si="724"/>
        <v>101</v>
      </c>
      <c r="BQ386" s="14">
        <f t="shared" si="724"/>
        <v>101</v>
      </c>
      <c r="BR386" s="14">
        <f t="shared" si="724"/>
        <v>101</v>
      </c>
      <c r="BW386" s="13">
        <v>382</v>
      </c>
      <c r="BX386" s="13">
        <f t="shared" si="643"/>
        <v>20</v>
      </c>
      <c r="BY386" s="14">
        <f t="shared" si="644"/>
        <v>3</v>
      </c>
      <c r="BZ386" s="14">
        <f t="shared" si="653"/>
        <v>1102020</v>
      </c>
      <c r="CA386" s="14" t="str">
        <f t="shared" si="654"/>
        <v>高顺2突</v>
      </c>
      <c r="CB386" s="25" t="s">
        <v>142</v>
      </c>
      <c r="CC386" s="14">
        <v>2</v>
      </c>
      <c r="CD386" s="14">
        <f t="shared" si="645"/>
        <v>2</v>
      </c>
      <c r="CE386" s="14" t="s">
        <v>21</v>
      </c>
      <c r="CF386" s="14">
        <f>INDEX(属性投放!$AZ$6:$AZ$85,(BY386-2)*20+CD386)</f>
        <v>232</v>
      </c>
      <c r="CG386" s="14" t="s">
        <v>22</v>
      </c>
      <c r="CH386" s="14">
        <f>INDEX(属性投放!$BA$6:$BA$85,(BY386-2)*20+CD386)</f>
        <v>51</v>
      </c>
      <c r="CI386" s="14" t="s">
        <v>510</v>
      </c>
      <c r="CJ386" s="14">
        <f>INDEX(属性投放!$BB$6:$BB$85,(BY386-2)*20+CD386)</f>
        <v>992</v>
      </c>
      <c r="CK386" s="14" t="s">
        <v>21</v>
      </c>
      <c r="CL386" s="14">
        <f>INDEX(属性投放!$BC$6:$BC$85,(BY386-2)*20+CD386)</f>
        <v>10</v>
      </c>
      <c r="CM386" s="14" t="s">
        <v>22</v>
      </c>
      <c r="CN386" s="14">
        <f>INDEX(属性投放!$BD$6:$BD$85,(BY386-2)*20+CD386)</f>
        <v>5</v>
      </c>
      <c r="CO386" s="14" t="s">
        <v>510</v>
      </c>
      <c r="CP386" s="14">
        <f>INDEX(属性投放!$BE$6:$BE$85,(BY386-2)*20+CD386)</f>
        <v>60</v>
      </c>
      <c r="CS386" s="13">
        <v>382</v>
      </c>
      <c r="CT386" s="13">
        <f t="shared" si="655"/>
        <v>8</v>
      </c>
      <c r="CU386" s="13">
        <f t="shared" si="656"/>
        <v>18</v>
      </c>
      <c r="CV386" s="14">
        <f t="shared" si="657"/>
        <v>4</v>
      </c>
      <c r="CW386" s="14">
        <f t="shared" si="658"/>
        <v>1102008</v>
      </c>
      <c r="CX386" s="14" t="str">
        <f>INDEX($O$6:$O$50,CT386)&amp;"-"&amp;INDEX(属性投放!$AB$7:$AB$50,CZ386)&amp;"-魂火-"&amp;DB386</f>
        <v>夏侯渊-叫唤+2-魂火-3</v>
      </c>
      <c r="CY386" s="25" t="s">
        <v>142</v>
      </c>
      <c r="CZ386" s="14">
        <f>INDEX(属性投放!$AM$7:$AM$58,CU386)</f>
        <v>9</v>
      </c>
      <c r="DA386" s="14" t="s">
        <v>537</v>
      </c>
      <c r="DB386" s="14">
        <f>INDEX(属性投放!$AN$7:$AN$58,CU386)</f>
        <v>3</v>
      </c>
      <c r="DC386" s="14">
        <f t="shared" si="646"/>
        <v>18</v>
      </c>
      <c r="DD386" s="14">
        <f>INDEX(属性投放!$AO$7:$AO$58,DC386)</f>
        <v>63</v>
      </c>
      <c r="DE386" s="14" t="s">
        <v>538</v>
      </c>
      <c r="DF386" s="14">
        <f>INDEX(属性投放!$BK$6:$BK$85,(CV386-2)*20+CZ386)</f>
        <v>115</v>
      </c>
      <c r="DG386" s="14">
        <f>SUMIFS(DF$5:DF386,$CT$5:$CT386,"="&amp;$CT386)</f>
        <v>1180</v>
      </c>
      <c r="DH386" s="14" t="s">
        <v>539</v>
      </c>
      <c r="DI386" s="14">
        <f>INDEX(属性投放!$BL$6:$BL$85,(CV386-2)*20+CZ386)</f>
        <v>58</v>
      </c>
      <c r="DJ386" s="14">
        <f>SUMIFS(DI$5:DI386,$CT$5:$CT386,"="&amp;$CT386)</f>
        <v>595</v>
      </c>
      <c r="DK386" s="14" t="s">
        <v>540</v>
      </c>
      <c r="DL386" s="14">
        <f>INDEX(属性投放!$BM$6:$BM$85,(CV386-2)*20+CZ386)</f>
        <v>920</v>
      </c>
      <c r="DM386" s="14">
        <f>SUMIFS(DL$5:DL386,$CT$5:$CT386,"="&amp;$CT386)</f>
        <v>8810</v>
      </c>
      <c r="DR386" s="14">
        <f t="shared" si="647"/>
        <v>1102020</v>
      </c>
      <c r="DS386" s="14" t="str">
        <f t="shared" si="648"/>
        <v>高顺2突</v>
      </c>
      <c r="DT386" s="14">
        <f t="shared" si="659"/>
        <v>6</v>
      </c>
      <c r="DU386" s="14">
        <f t="shared" si="660"/>
        <v>5</v>
      </c>
      <c r="DV386" s="14">
        <f t="shared" si="661"/>
        <v>5</v>
      </c>
      <c r="DW386" s="14">
        <f t="shared" si="649"/>
        <v>3</v>
      </c>
      <c r="DX386" s="14">
        <f t="shared" si="650"/>
        <v>2</v>
      </c>
      <c r="DY386" s="14">
        <f t="shared" si="651"/>
        <v>22</v>
      </c>
      <c r="DZ386" s="14">
        <f>INDEX(属性投放!$AX$6:$AX$85,(卡牌属性!DW386-2)*20+卡牌属性!DX386)</f>
        <v>10</v>
      </c>
      <c r="EA386" s="14">
        <f>INDEX(属性投放!BQ$6:BQ$85,卡牌属性!$DY386)</f>
        <v>40</v>
      </c>
      <c r="EB386" s="14">
        <f>INDEX(属性投放!BR$6:BR$85,卡牌属性!$DY386)</f>
        <v>20</v>
      </c>
      <c r="EC386" s="14">
        <f>INDEX(属性投放!BS$6:BS$85,卡牌属性!$DY386)</f>
        <v>240</v>
      </c>
      <c r="ED386" s="14">
        <f t="shared" ref="ED386:ED404" si="725">ED385+$EA385+ES385*$DZ385</f>
        <v>245</v>
      </c>
      <c r="EE386" s="14">
        <f t="shared" ref="EE386:EE404" si="726">EE385+$EA385+ET385*$DZ385</f>
        <v>278</v>
      </c>
      <c r="EF386" s="14">
        <f t="shared" ref="EF386:EF404" si="727">EF385+$EA385+EU385*$DZ385</f>
        <v>332</v>
      </c>
      <c r="EG386" s="14">
        <f t="shared" ref="EG386:EG404" si="728">EG385+$EA385+EV385*$DZ385</f>
        <v>332</v>
      </c>
      <c r="EH386" s="14">
        <f t="shared" ref="EH386:EH404" si="729">EH385+$EA385+EW385*$DZ385</f>
        <v>390</v>
      </c>
      <c r="EI386" s="14">
        <f t="shared" ref="EI386:EI404" si="730">EI385+$EB385+EX385*$DZ385</f>
        <v>61</v>
      </c>
      <c r="EJ386" s="14">
        <f t="shared" ref="EJ386:EJ404" si="731">EJ385+$EB385+EY385*$DZ385</f>
        <v>75</v>
      </c>
      <c r="EK386" s="14">
        <f t="shared" ref="EK386:EK404" si="732">EK385+$EB385+EZ385*$DZ385</f>
        <v>75</v>
      </c>
      <c r="EL386" s="14">
        <f t="shared" ref="EL386:EL404" si="733">EL385+$EB385+FA385*$DZ385</f>
        <v>89</v>
      </c>
      <c r="EM386" s="14">
        <f t="shared" ref="EM386:EM404" si="734">EM385+$EB385+FB385*$DZ385</f>
        <v>118</v>
      </c>
      <c r="EN386" s="14">
        <f t="shared" ref="EN386:EN404" si="735">EN385+$EC385+FC385*$DZ385</f>
        <v>872</v>
      </c>
      <c r="EO386" s="14">
        <f t="shared" ref="EO386:EO404" si="736">EO385+$EC385+FD385*$DZ385</f>
        <v>1070</v>
      </c>
      <c r="EP386" s="14">
        <f t="shared" ref="EP386:EP404" si="737">EP385+$EC385+FE385*$DZ385</f>
        <v>1070</v>
      </c>
      <c r="EQ386" s="14">
        <f t="shared" ref="EQ386:EQ404" si="738">EQ385+$EC385+FF385*$DZ385</f>
        <v>1268</v>
      </c>
      <c r="ER386" s="14">
        <f t="shared" ref="ER386:ER404" si="739">ER385+$EC385+FG385*$DZ385</f>
        <v>1492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60</v>
      </c>
      <c r="FD386" s="14">
        <f>INDEX(属性偏向!$U$4:$U$243,(卡牌属性!$DV386-1+FD$3)*20+卡牌属性!$DX386)</f>
        <v>72</v>
      </c>
      <c r="FE386" s="14">
        <f>INDEX(属性偏向!$U$4:$U$243,(卡牌属性!$DV386-1+FE$3)*20+卡牌属性!$DX386)</f>
        <v>72</v>
      </c>
      <c r="FF386" s="14">
        <f>INDEX(属性偏向!$U$4:$U$243,(卡牌属性!$DV386-1+FF$3)*20+卡牌属性!$DX386)</f>
        <v>90</v>
      </c>
      <c r="FG386" s="14">
        <f>INDEX(属性偏向!$U$4:$U$243,(卡牌属性!$DV386-1+FG$3)*20+卡牌属性!$DX386)</f>
        <v>102</v>
      </c>
      <c r="FH386" s="14">
        <f>INDEX(属性投放!$BQ$6:$BQ$85,(卡牌属性!$DW386-2)*20+卡牌属性!$DX386)</f>
        <v>40</v>
      </c>
      <c r="FI386" s="14">
        <f>INDEX(属性投放!$BQ$6:$BQ$85,(卡牌属性!$DW386-2)*20+卡牌属性!$DX386)</f>
        <v>40</v>
      </c>
      <c r="FJ386" s="14">
        <f>INDEX(属性投放!$BQ$6:$BQ$85,(卡牌属性!$DW386-2)*20+卡牌属性!$DX386)</f>
        <v>40</v>
      </c>
      <c r="FK386" s="14">
        <f>INDEX(属性投放!$BQ$6:$BQ$85,(卡牌属性!$DW386-2)*20+卡牌属性!$DX386)</f>
        <v>40</v>
      </c>
      <c r="FL386" s="14">
        <f>INDEX(属性投放!$BQ$6:$BQ$85,(卡牌属性!$DW386-2)*20+卡牌属性!$DX386)</f>
        <v>40</v>
      </c>
      <c r="FM386" s="14">
        <f>INDEX(属性投放!$BR$6:$BR$85,(卡牌属性!$DW386-2)*20+卡牌属性!$DX386)</f>
        <v>20</v>
      </c>
      <c r="FN386" s="14">
        <f>INDEX(属性投放!$BR$6:$BR$85,(卡牌属性!$DW386-2)*20+卡牌属性!$DX386)</f>
        <v>20</v>
      </c>
      <c r="FO386" s="14">
        <f>INDEX(属性投放!$BR$6:$BR$85,(卡牌属性!$DW386-2)*20+卡牌属性!$DX386)</f>
        <v>20</v>
      </c>
      <c r="FP386" s="14">
        <f>INDEX(属性投放!$BR$6:$BR$85,(卡牌属性!$DW386-2)*20+卡牌属性!$DX386)</f>
        <v>20</v>
      </c>
      <c r="FQ386" s="14">
        <f>INDEX(属性投放!$BR$6:$BR$85,(卡牌属性!$DW386-2)*20+卡牌属性!$DX386)</f>
        <v>20</v>
      </c>
      <c r="FR386" s="14">
        <f>INDEX(属性投放!$BS$6:$BS$85,(卡牌属性!$DW386-2)*20+卡牌属性!$DX386)</f>
        <v>240</v>
      </c>
      <c r="FS386" s="14">
        <f>INDEX(属性投放!$BS$6:$BS$85,(卡牌属性!$DW386-2)*20+卡牌属性!$DX386)</f>
        <v>240</v>
      </c>
      <c r="FT386" s="14">
        <f>INDEX(属性投放!$BS$6:$BS$85,(卡牌属性!$DW386-2)*20+卡牌属性!$DX386)</f>
        <v>240</v>
      </c>
      <c r="FU386" s="14">
        <f>INDEX(属性投放!$BS$6:$BS$85,(卡牌属性!$DW386-2)*20+卡牌属性!$DX386)</f>
        <v>240</v>
      </c>
      <c r="FV386" s="14">
        <f>INDEX(属性投放!$BS$6:$BS$85,(卡牌属性!$DW386-2)*20+卡牌属性!$DX386)</f>
        <v>240</v>
      </c>
    </row>
    <row r="387" spans="31:178" ht="16.5" x14ac:dyDescent="0.2">
      <c r="AE387" s="13">
        <v>383</v>
      </c>
      <c r="AF387" s="13">
        <f t="shared" si="652"/>
        <v>20</v>
      </c>
      <c r="AG387" s="13">
        <f t="shared" si="633"/>
        <v>3</v>
      </c>
      <c r="AH387" s="13"/>
      <c r="AI387" s="13"/>
      <c r="AJ387" s="14">
        <f t="shared" si="634"/>
        <v>1101023</v>
      </c>
      <c r="AK387" s="14" t="str">
        <f t="shared" si="635"/>
        <v>朱童3突</v>
      </c>
      <c r="AL387" s="25" t="s">
        <v>142</v>
      </c>
      <c r="AM387" s="14">
        <v>1</v>
      </c>
      <c r="AN387" s="14">
        <f t="shared" si="636"/>
        <v>3</v>
      </c>
      <c r="AO387" s="14">
        <f>INDEX(属性投放!$DF$6:$DF$85,(卡牌属性!AG387-2)*20+卡牌属性!AN387)</f>
        <v>272</v>
      </c>
      <c r="AP387" s="14">
        <f t="shared" si="719"/>
        <v>272</v>
      </c>
      <c r="AQ387" s="14">
        <f t="shared" si="719"/>
        <v>272</v>
      </c>
      <c r="AR387" s="14">
        <f t="shared" si="719"/>
        <v>272</v>
      </c>
      <c r="AS387" s="14">
        <f t="shared" si="719"/>
        <v>272</v>
      </c>
      <c r="AT387" s="14">
        <f>INDEX(属性投放!$DG$6:$DG$85,(卡牌属性!AG387-2)*20+卡牌属性!AN387)</f>
        <v>61</v>
      </c>
      <c r="AU387" s="14">
        <f t="shared" si="720"/>
        <v>61</v>
      </c>
      <c r="AV387" s="14">
        <f t="shared" si="720"/>
        <v>61</v>
      </c>
      <c r="AW387" s="14">
        <f t="shared" si="720"/>
        <v>61</v>
      </c>
      <c r="AX387" s="14">
        <f t="shared" si="720"/>
        <v>61</v>
      </c>
      <c r="AY387" s="14">
        <f>INDEX(属性投放!$DH$6:$DH$85,(卡牌属性!AG387-2)*20+卡牌属性!AN387)</f>
        <v>1117</v>
      </c>
      <c r="AZ387" s="14">
        <f t="shared" si="721"/>
        <v>1117</v>
      </c>
      <c r="BA387" s="14">
        <f t="shared" si="721"/>
        <v>1117</v>
      </c>
      <c r="BB387" s="14">
        <f t="shared" si="721"/>
        <v>1117</v>
      </c>
      <c r="BC387" s="14">
        <f t="shared" si="721"/>
        <v>1117</v>
      </c>
      <c r="BD387" s="14">
        <f>INDEX(属性投放!$DL$6:$DL$85,(卡牌属性!AG387-2)*20+卡牌属性!AN387)</f>
        <v>17</v>
      </c>
      <c r="BE387" s="14">
        <f t="shared" si="722"/>
        <v>17</v>
      </c>
      <c r="BF387" s="14">
        <f t="shared" si="722"/>
        <v>17</v>
      </c>
      <c r="BG387" s="14">
        <f t="shared" si="722"/>
        <v>17</v>
      </c>
      <c r="BH387" s="14">
        <f t="shared" si="722"/>
        <v>17</v>
      </c>
      <c r="BI387" s="14">
        <f>INDEX(属性投放!$DM$6:$DM$85,(卡牌属性!AG387-2)*20+卡牌属性!AN387)</f>
        <v>8</v>
      </c>
      <c r="BJ387" s="14">
        <f t="shared" si="723"/>
        <v>8</v>
      </c>
      <c r="BK387" s="14">
        <f t="shared" si="723"/>
        <v>8</v>
      </c>
      <c r="BL387" s="14">
        <f t="shared" si="723"/>
        <v>8</v>
      </c>
      <c r="BM387" s="14">
        <f t="shared" si="723"/>
        <v>8</v>
      </c>
      <c r="BN387" s="14">
        <f>INDEX(属性投放!$DN$6:$DN$85,(卡牌属性!AG387-2)*20+卡牌属性!AN387)</f>
        <v>101</v>
      </c>
      <c r="BO387" s="14">
        <f t="shared" si="724"/>
        <v>101</v>
      </c>
      <c r="BP387" s="14">
        <f t="shared" si="724"/>
        <v>101</v>
      </c>
      <c r="BQ387" s="14">
        <f t="shared" si="724"/>
        <v>101</v>
      </c>
      <c r="BR387" s="14">
        <f t="shared" si="724"/>
        <v>101</v>
      </c>
      <c r="BW387" s="13">
        <v>383</v>
      </c>
      <c r="BX387" s="13">
        <f t="shared" si="643"/>
        <v>20</v>
      </c>
      <c r="BY387" s="14">
        <f t="shared" si="644"/>
        <v>3</v>
      </c>
      <c r="BZ387" s="14">
        <f t="shared" si="653"/>
        <v>1102020</v>
      </c>
      <c r="CA387" s="14" t="str">
        <f t="shared" si="654"/>
        <v>高顺3突</v>
      </c>
      <c r="CB387" s="25" t="s">
        <v>142</v>
      </c>
      <c r="CC387" s="14">
        <v>2</v>
      </c>
      <c r="CD387" s="14">
        <f t="shared" si="645"/>
        <v>3</v>
      </c>
      <c r="CE387" s="14" t="s">
        <v>21</v>
      </c>
      <c r="CF387" s="14">
        <f>INDEX(属性投放!$AZ$6:$AZ$85,(BY387-2)*20+CD387)</f>
        <v>422</v>
      </c>
      <c r="CG387" s="14" t="s">
        <v>22</v>
      </c>
      <c r="CH387" s="14">
        <f>INDEX(属性投放!$BA$6:$BA$85,(BY387-2)*20+CD387)</f>
        <v>147</v>
      </c>
      <c r="CI387" s="14" t="s">
        <v>510</v>
      </c>
      <c r="CJ387" s="14">
        <f>INDEX(属性投放!$BB$6:$BB$85,(BY387-2)*20+CD387)</f>
        <v>2132</v>
      </c>
      <c r="CK387" s="14" t="s">
        <v>21</v>
      </c>
      <c r="CL387" s="14">
        <f>INDEX(属性投放!$BC$6:$BC$85,(BY387-2)*20+CD387)</f>
        <v>10</v>
      </c>
      <c r="CM387" s="14" t="s">
        <v>22</v>
      </c>
      <c r="CN387" s="14">
        <f>INDEX(属性投放!$BD$6:$BD$85,(BY387-2)*20+CD387)</f>
        <v>5</v>
      </c>
      <c r="CO387" s="14" t="s">
        <v>510</v>
      </c>
      <c r="CP387" s="14">
        <f>INDEX(属性投放!$BE$6:$BE$85,(BY387-2)*20+CD387)</f>
        <v>60</v>
      </c>
      <c r="CS387" s="13">
        <v>383</v>
      </c>
      <c r="CT387" s="13">
        <f t="shared" si="655"/>
        <v>8</v>
      </c>
      <c r="CU387" s="13">
        <f t="shared" si="656"/>
        <v>19</v>
      </c>
      <c r="CV387" s="14">
        <f t="shared" si="657"/>
        <v>4</v>
      </c>
      <c r="CW387" s="14">
        <f t="shared" si="658"/>
        <v>1102008</v>
      </c>
      <c r="CX387" s="14" t="str">
        <f>INDEX($O$6:$O$50,CT387)&amp;"-"&amp;INDEX(属性投放!$AB$7:$AB$50,CZ387)&amp;"-魂火-"&amp;DB387</f>
        <v>夏侯渊-大叫唤-魂火-1</v>
      </c>
      <c r="CY387" s="25" t="s">
        <v>142</v>
      </c>
      <c r="CZ387" s="14">
        <f>INDEX(属性投放!$AM$7:$AM$58,CU387)</f>
        <v>10</v>
      </c>
      <c r="DA387" s="14" t="s">
        <v>537</v>
      </c>
      <c r="DB387" s="14">
        <f>INDEX(属性投放!$AN$7:$AN$58,CU387)</f>
        <v>1</v>
      </c>
      <c r="DC387" s="14">
        <f t="shared" si="646"/>
        <v>19</v>
      </c>
      <c r="DD387" s="14">
        <f>INDEX(属性投放!$AO$7:$AO$58,DC387)</f>
        <v>65</v>
      </c>
      <c r="DE387" s="14" t="s">
        <v>538</v>
      </c>
      <c r="DF387" s="14">
        <f>INDEX(属性投放!$BK$6:$BK$85,(CV387-2)*20+CZ387)</f>
        <v>130</v>
      </c>
      <c r="DG387" s="14">
        <f>SUMIFS(DF$5:DF387,$CT$5:$CT387,"="&amp;$CT387)</f>
        <v>1310</v>
      </c>
      <c r="DH387" s="14" t="s">
        <v>539</v>
      </c>
      <c r="DI387" s="14">
        <f>INDEX(属性投放!$BL$6:$BL$85,(CV387-2)*20+CZ387)</f>
        <v>65</v>
      </c>
      <c r="DJ387" s="14">
        <f>SUMIFS(DI$5:DI387,$CT$5:$CT387,"="&amp;$CT387)</f>
        <v>660</v>
      </c>
      <c r="DK387" s="14" t="s">
        <v>540</v>
      </c>
      <c r="DL387" s="14">
        <f>INDEX(属性投放!$BM$6:$BM$85,(CV387-2)*20+CZ387)</f>
        <v>1170</v>
      </c>
      <c r="DM387" s="14">
        <f>SUMIFS(DL$5:DL387,$CT$5:$CT387,"="&amp;$CT387)</f>
        <v>9980</v>
      </c>
      <c r="DR387" s="14">
        <f t="shared" si="647"/>
        <v>1102020</v>
      </c>
      <c r="DS387" s="14" t="str">
        <f t="shared" si="648"/>
        <v>高顺3突</v>
      </c>
      <c r="DT387" s="14">
        <f t="shared" si="659"/>
        <v>6</v>
      </c>
      <c r="DU387" s="14">
        <f t="shared" si="660"/>
        <v>5</v>
      </c>
      <c r="DV387" s="14">
        <f t="shared" si="661"/>
        <v>5</v>
      </c>
      <c r="DW387" s="14">
        <f t="shared" si="649"/>
        <v>3</v>
      </c>
      <c r="DX387" s="14">
        <f t="shared" si="650"/>
        <v>3</v>
      </c>
      <c r="DY387" s="14">
        <f t="shared" si="651"/>
        <v>23</v>
      </c>
      <c r="DZ387" s="14">
        <f>INDEX(属性投放!$AX$6:$AX$85,(卡牌属性!DW387-2)*20+卡牌属性!DX387)</f>
        <v>10</v>
      </c>
      <c r="EA387" s="14">
        <f>INDEX(属性投放!BQ$6:BQ$85,卡牌属性!$DY387)</f>
        <v>70</v>
      </c>
      <c r="EB387" s="14">
        <f>INDEX(属性投放!BR$6:BR$85,卡牌属性!$DY387)</f>
        <v>35</v>
      </c>
      <c r="EC387" s="14">
        <f>INDEX(属性投放!BS$6:BS$85,卡牌属性!$DY387)</f>
        <v>420</v>
      </c>
      <c r="ED387" s="14">
        <f t="shared" si="725"/>
        <v>405</v>
      </c>
      <c r="EE387" s="14">
        <f t="shared" si="726"/>
        <v>468</v>
      </c>
      <c r="EF387" s="14">
        <f t="shared" si="727"/>
        <v>542</v>
      </c>
      <c r="EG387" s="14">
        <f t="shared" si="728"/>
        <v>542</v>
      </c>
      <c r="EH387" s="14">
        <f t="shared" si="729"/>
        <v>630</v>
      </c>
      <c r="EI387" s="14">
        <f t="shared" si="730"/>
        <v>131</v>
      </c>
      <c r="EJ387" s="14">
        <f t="shared" si="731"/>
        <v>155</v>
      </c>
      <c r="EK387" s="14">
        <f t="shared" si="732"/>
        <v>155</v>
      </c>
      <c r="EL387" s="14">
        <f t="shared" si="733"/>
        <v>189</v>
      </c>
      <c r="EM387" s="14">
        <f t="shared" si="734"/>
        <v>228</v>
      </c>
      <c r="EN387" s="14">
        <f t="shared" si="735"/>
        <v>1712</v>
      </c>
      <c r="EO387" s="14">
        <f t="shared" si="736"/>
        <v>2030</v>
      </c>
      <c r="EP387" s="14">
        <f t="shared" si="737"/>
        <v>2030</v>
      </c>
      <c r="EQ387" s="14">
        <f t="shared" si="738"/>
        <v>2408</v>
      </c>
      <c r="ER387" s="14">
        <f t="shared" si="739"/>
        <v>2752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60</v>
      </c>
      <c r="FD387" s="14">
        <f>INDEX(属性偏向!$U$4:$U$243,(卡牌属性!$DV387-1+FD$3)*20+卡牌属性!$DX387)</f>
        <v>72</v>
      </c>
      <c r="FE387" s="14">
        <f>INDEX(属性偏向!$U$4:$U$243,(卡牌属性!$DV387-1+FE$3)*20+卡牌属性!$DX387)</f>
        <v>72</v>
      </c>
      <c r="FF387" s="14">
        <f>INDEX(属性偏向!$U$4:$U$243,(卡牌属性!$DV387-1+FF$3)*20+卡牌属性!$DX387)</f>
        <v>90</v>
      </c>
      <c r="FG387" s="14">
        <f>INDEX(属性偏向!$U$4:$U$243,(卡牌属性!$DV387-1+FG$3)*20+卡牌属性!$DX387)</f>
        <v>102</v>
      </c>
      <c r="FH387" s="14">
        <f>INDEX(属性投放!$BQ$6:$BQ$85,(卡牌属性!$DW387-2)*20+卡牌属性!$DX387)</f>
        <v>70</v>
      </c>
      <c r="FI387" s="14">
        <f>INDEX(属性投放!$BQ$6:$BQ$85,(卡牌属性!$DW387-2)*20+卡牌属性!$DX387)</f>
        <v>70</v>
      </c>
      <c r="FJ387" s="14">
        <f>INDEX(属性投放!$BQ$6:$BQ$85,(卡牌属性!$DW387-2)*20+卡牌属性!$DX387)</f>
        <v>70</v>
      </c>
      <c r="FK387" s="14">
        <f>INDEX(属性投放!$BQ$6:$BQ$85,(卡牌属性!$DW387-2)*20+卡牌属性!$DX387)</f>
        <v>70</v>
      </c>
      <c r="FL387" s="14">
        <f>INDEX(属性投放!$BQ$6:$BQ$85,(卡牌属性!$DW387-2)*20+卡牌属性!$DX387)</f>
        <v>70</v>
      </c>
      <c r="FM387" s="14">
        <f>INDEX(属性投放!$BR$6:$BR$85,(卡牌属性!$DW387-2)*20+卡牌属性!$DX387)</f>
        <v>35</v>
      </c>
      <c r="FN387" s="14">
        <f>INDEX(属性投放!$BR$6:$BR$85,(卡牌属性!$DW387-2)*20+卡牌属性!$DX387)</f>
        <v>35</v>
      </c>
      <c r="FO387" s="14">
        <f>INDEX(属性投放!$BR$6:$BR$85,(卡牌属性!$DW387-2)*20+卡牌属性!$DX387)</f>
        <v>35</v>
      </c>
      <c r="FP387" s="14">
        <f>INDEX(属性投放!$BR$6:$BR$85,(卡牌属性!$DW387-2)*20+卡牌属性!$DX387)</f>
        <v>35</v>
      </c>
      <c r="FQ387" s="14">
        <f>INDEX(属性投放!$BR$6:$BR$85,(卡牌属性!$DW387-2)*20+卡牌属性!$DX387)</f>
        <v>35</v>
      </c>
      <c r="FR387" s="14">
        <f>INDEX(属性投放!$BS$6:$BS$85,(卡牌属性!$DW387-2)*20+卡牌属性!$DX387)</f>
        <v>420</v>
      </c>
      <c r="FS387" s="14">
        <f>INDEX(属性投放!$BS$6:$BS$85,(卡牌属性!$DW387-2)*20+卡牌属性!$DX387)</f>
        <v>420</v>
      </c>
      <c r="FT387" s="14">
        <f>INDEX(属性投放!$BS$6:$BS$85,(卡牌属性!$DW387-2)*20+卡牌属性!$DX387)</f>
        <v>420</v>
      </c>
      <c r="FU387" s="14">
        <f>INDEX(属性投放!$BS$6:$BS$85,(卡牌属性!$DW387-2)*20+卡牌属性!$DX387)</f>
        <v>420</v>
      </c>
      <c r="FV387" s="14">
        <f>INDEX(属性投放!$BS$6:$BS$85,(卡牌属性!$DW387-2)*20+卡牌属性!$DX387)</f>
        <v>420</v>
      </c>
    </row>
    <row r="388" spans="31:178" ht="16.5" x14ac:dyDescent="0.2">
      <c r="AE388" s="13">
        <v>384</v>
      </c>
      <c r="AF388" s="13">
        <f t="shared" si="652"/>
        <v>20</v>
      </c>
      <c r="AG388" s="13">
        <f t="shared" si="633"/>
        <v>3</v>
      </c>
      <c r="AH388" s="13"/>
      <c r="AI388" s="13"/>
      <c r="AJ388" s="14">
        <f t="shared" si="634"/>
        <v>1101023</v>
      </c>
      <c r="AK388" s="14" t="str">
        <f t="shared" si="635"/>
        <v>朱童4突</v>
      </c>
      <c r="AL388" s="25" t="s">
        <v>142</v>
      </c>
      <c r="AM388" s="14">
        <v>1</v>
      </c>
      <c r="AN388" s="14">
        <f t="shared" si="636"/>
        <v>4</v>
      </c>
      <c r="AO388" s="14">
        <f>INDEX(属性投放!$DF$6:$DF$85,(卡牌属性!AG388-2)*20+卡牌属性!AN388)</f>
        <v>484</v>
      </c>
      <c r="AP388" s="14">
        <f t="shared" si="719"/>
        <v>484</v>
      </c>
      <c r="AQ388" s="14">
        <f t="shared" si="719"/>
        <v>484</v>
      </c>
      <c r="AR388" s="14">
        <f t="shared" si="719"/>
        <v>484</v>
      </c>
      <c r="AS388" s="14">
        <f t="shared" si="719"/>
        <v>484</v>
      </c>
      <c r="AT388" s="14">
        <f>INDEX(属性投放!$DG$6:$DG$85,(卡牌属性!AG388-2)*20+卡牌属性!AN388)</f>
        <v>162</v>
      </c>
      <c r="AU388" s="14">
        <f t="shared" si="720"/>
        <v>162</v>
      </c>
      <c r="AV388" s="14">
        <f t="shared" si="720"/>
        <v>162</v>
      </c>
      <c r="AW388" s="14">
        <f t="shared" si="720"/>
        <v>162</v>
      </c>
      <c r="AX388" s="14">
        <f t="shared" si="720"/>
        <v>162</v>
      </c>
      <c r="AY388" s="14">
        <f>INDEX(属性投放!$DH$6:$DH$85,(卡牌属性!AG388-2)*20+卡牌属性!AN388)</f>
        <v>2379</v>
      </c>
      <c r="AZ388" s="14">
        <f t="shared" si="721"/>
        <v>2379</v>
      </c>
      <c r="BA388" s="14">
        <f t="shared" si="721"/>
        <v>2379</v>
      </c>
      <c r="BB388" s="14">
        <f t="shared" si="721"/>
        <v>2379</v>
      </c>
      <c r="BC388" s="14">
        <f t="shared" si="721"/>
        <v>2379</v>
      </c>
      <c r="BD388" s="14">
        <f>INDEX(属性投放!$DL$6:$DL$85,(卡牌属性!AG388-2)*20+卡牌属性!AN388)</f>
        <v>30</v>
      </c>
      <c r="BE388" s="14">
        <f t="shared" si="722"/>
        <v>30</v>
      </c>
      <c r="BF388" s="14">
        <f t="shared" si="722"/>
        <v>30</v>
      </c>
      <c r="BG388" s="14">
        <f t="shared" si="722"/>
        <v>30</v>
      </c>
      <c r="BH388" s="14">
        <f t="shared" si="722"/>
        <v>30</v>
      </c>
      <c r="BI388" s="14">
        <f>INDEX(属性投放!$DM$6:$DM$85,(卡牌属性!AG388-2)*20+卡牌属性!AN388)</f>
        <v>15</v>
      </c>
      <c r="BJ388" s="14">
        <f t="shared" si="723"/>
        <v>15</v>
      </c>
      <c r="BK388" s="14">
        <f t="shared" si="723"/>
        <v>15</v>
      </c>
      <c r="BL388" s="14">
        <f t="shared" si="723"/>
        <v>15</v>
      </c>
      <c r="BM388" s="14">
        <f t="shared" si="723"/>
        <v>15</v>
      </c>
      <c r="BN388" s="14">
        <f>INDEX(属性投放!$DN$6:$DN$85,(卡牌属性!AG388-2)*20+卡牌属性!AN388)</f>
        <v>208</v>
      </c>
      <c r="BO388" s="14">
        <f t="shared" si="724"/>
        <v>208</v>
      </c>
      <c r="BP388" s="14">
        <f t="shared" si="724"/>
        <v>208</v>
      </c>
      <c r="BQ388" s="14">
        <f t="shared" si="724"/>
        <v>208</v>
      </c>
      <c r="BR388" s="14">
        <f t="shared" si="724"/>
        <v>208</v>
      </c>
      <c r="BW388" s="13">
        <v>384</v>
      </c>
      <c r="BX388" s="13">
        <f t="shared" si="643"/>
        <v>20</v>
      </c>
      <c r="BY388" s="14">
        <f t="shared" si="644"/>
        <v>3</v>
      </c>
      <c r="BZ388" s="14">
        <f t="shared" si="653"/>
        <v>1102020</v>
      </c>
      <c r="CA388" s="14" t="str">
        <f t="shared" si="654"/>
        <v>高顺4突</v>
      </c>
      <c r="CB388" s="25" t="s">
        <v>142</v>
      </c>
      <c r="CC388" s="14">
        <v>2</v>
      </c>
      <c r="CD388" s="14">
        <f t="shared" si="645"/>
        <v>4</v>
      </c>
      <c r="CE388" s="14" t="s">
        <v>21</v>
      </c>
      <c r="CF388" s="14">
        <f>INDEX(属性投放!$AZ$6:$AZ$85,(BY388-2)*20+CD388)</f>
        <v>652</v>
      </c>
      <c r="CG388" s="14" t="s">
        <v>22</v>
      </c>
      <c r="CH388" s="14">
        <f>INDEX(属性投放!$BA$6:$BA$85,(BY388-2)*20+CD388)</f>
        <v>262</v>
      </c>
      <c r="CI388" s="14" t="s">
        <v>510</v>
      </c>
      <c r="CJ388" s="14">
        <f>INDEX(属性投放!$BB$6:$BB$85,(BY388-2)*20+CD388)</f>
        <v>3512</v>
      </c>
      <c r="CK388" s="14" t="s">
        <v>21</v>
      </c>
      <c r="CL388" s="14">
        <f>INDEX(属性投放!$BC$6:$BC$85,(BY388-2)*20+CD388)</f>
        <v>12</v>
      </c>
      <c r="CM388" s="14" t="s">
        <v>22</v>
      </c>
      <c r="CN388" s="14">
        <f>INDEX(属性投放!$BD$6:$BD$85,(BY388-2)*20+CD388)</f>
        <v>6</v>
      </c>
      <c r="CO388" s="14" t="s">
        <v>510</v>
      </c>
      <c r="CP388" s="14">
        <f>INDEX(属性投放!$BE$6:$BE$85,(BY388-2)*20+CD388)</f>
        <v>84</v>
      </c>
      <c r="CS388" s="13">
        <v>384</v>
      </c>
      <c r="CT388" s="13">
        <f t="shared" si="655"/>
        <v>8</v>
      </c>
      <c r="CU388" s="13">
        <f t="shared" si="656"/>
        <v>20</v>
      </c>
      <c r="CV388" s="14">
        <f t="shared" si="657"/>
        <v>4</v>
      </c>
      <c r="CW388" s="14">
        <f t="shared" si="658"/>
        <v>1102008</v>
      </c>
      <c r="CX388" s="14" t="str">
        <f>INDEX($O$6:$O$50,CT388)&amp;"-"&amp;INDEX(属性投放!$AB$7:$AB$50,CZ388)&amp;"-魂火-"&amp;DB388</f>
        <v>夏侯渊-大叫唤-魂火-2</v>
      </c>
      <c r="CY388" s="25" t="s">
        <v>142</v>
      </c>
      <c r="CZ388" s="14">
        <f>INDEX(属性投放!$AM$7:$AM$58,CU388)</f>
        <v>10</v>
      </c>
      <c r="DA388" s="14" t="s">
        <v>537</v>
      </c>
      <c r="DB388" s="14">
        <f>INDEX(属性投放!$AN$7:$AN$58,CU388)</f>
        <v>2</v>
      </c>
      <c r="DC388" s="14">
        <f t="shared" si="646"/>
        <v>20</v>
      </c>
      <c r="DD388" s="14">
        <f>INDEX(属性投放!$AO$7:$AO$58,DC388)</f>
        <v>68</v>
      </c>
      <c r="DE388" s="14" t="s">
        <v>538</v>
      </c>
      <c r="DF388" s="14">
        <f>INDEX(属性投放!$BK$6:$BK$85,(CV388-2)*20+CZ388)</f>
        <v>130</v>
      </c>
      <c r="DG388" s="14">
        <f>SUMIFS(DF$5:DF388,$CT$5:$CT388,"="&amp;$CT388)</f>
        <v>1440</v>
      </c>
      <c r="DH388" s="14" t="s">
        <v>539</v>
      </c>
      <c r="DI388" s="14">
        <f>INDEX(属性投放!$BL$6:$BL$85,(CV388-2)*20+CZ388)</f>
        <v>65</v>
      </c>
      <c r="DJ388" s="14">
        <f>SUMIFS(DI$5:DI388,$CT$5:$CT388,"="&amp;$CT388)</f>
        <v>725</v>
      </c>
      <c r="DK388" s="14" t="s">
        <v>540</v>
      </c>
      <c r="DL388" s="14">
        <f>INDEX(属性投放!$BM$6:$BM$85,(CV388-2)*20+CZ388)</f>
        <v>1170</v>
      </c>
      <c r="DM388" s="14">
        <f>SUMIFS(DL$5:DL388,$CT$5:$CT388,"="&amp;$CT388)</f>
        <v>11150</v>
      </c>
      <c r="DR388" s="14">
        <f t="shared" si="647"/>
        <v>1102020</v>
      </c>
      <c r="DS388" s="14" t="str">
        <f t="shared" si="648"/>
        <v>高顺4突</v>
      </c>
      <c r="DT388" s="14">
        <f t="shared" si="659"/>
        <v>6</v>
      </c>
      <c r="DU388" s="14">
        <f t="shared" si="660"/>
        <v>5</v>
      </c>
      <c r="DV388" s="14">
        <f t="shared" si="661"/>
        <v>5</v>
      </c>
      <c r="DW388" s="14">
        <f t="shared" si="649"/>
        <v>3</v>
      </c>
      <c r="DX388" s="14">
        <f t="shared" si="650"/>
        <v>4</v>
      </c>
      <c r="DY388" s="14">
        <f t="shared" si="651"/>
        <v>24</v>
      </c>
      <c r="DZ388" s="14">
        <f>INDEX(属性投放!$AX$6:$AX$85,(卡牌属性!DW388-2)*20+卡牌属性!DX388)</f>
        <v>10</v>
      </c>
      <c r="EA388" s="14">
        <f>INDEX(属性投放!BQ$6:BQ$85,卡牌属性!$DY388)</f>
        <v>75</v>
      </c>
      <c r="EB388" s="14">
        <f>INDEX(属性投放!BR$6:BR$85,卡牌属性!$DY388)</f>
        <v>38</v>
      </c>
      <c r="EC388" s="14">
        <f>INDEX(属性投放!BS$6:BS$85,卡牌属性!$DY388)</f>
        <v>525</v>
      </c>
      <c r="ED388" s="14">
        <f t="shared" si="725"/>
        <v>595</v>
      </c>
      <c r="EE388" s="14">
        <f t="shared" si="726"/>
        <v>688</v>
      </c>
      <c r="EF388" s="14">
        <f t="shared" si="727"/>
        <v>782</v>
      </c>
      <c r="EG388" s="14">
        <f t="shared" si="728"/>
        <v>782</v>
      </c>
      <c r="EH388" s="14">
        <f t="shared" si="729"/>
        <v>900</v>
      </c>
      <c r="EI388" s="14">
        <f t="shared" si="730"/>
        <v>216</v>
      </c>
      <c r="EJ388" s="14">
        <f t="shared" si="731"/>
        <v>250</v>
      </c>
      <c r="EK388" s="14">
        <f t="shared" si="732"/>
        <v>250</v>
      </c>
      <c r="EL388" s="14">
        <f t="shared" si="733"/>
        <v>304</v>
      </c>
      <c r="EM388" s="14">
        <f t="shared" si="734"/>
        <v>353</v>
      </c>
      <c r="EN388" s="14">
        <f t="shared" si="735"/>
        <v>2732</v>
      </c>
      <c r="EO388" s="14">
        <f t="shared" si="736"/>
        <v>3170</v>
      </c>
      <c r="EP388" s="14">
        <f t="shared" si="737"/>
        <v>3170</v>
      </c>
      <c r="EQ388" s="14">
        <f t="shared" si="738"/>
        <v>3728</v>
      </c>
      <c r="ER388" s="14">
        <f t="shared" si="739"/>
        <v>4192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84</v>
      </c>
      <c r="FD388" s="14">
        <f>INDEX(属性偏向!$U$4:$U$243,(卡牌属性!$DV388-1+FD$3)*20+卡牌属性!$DX388)</f>
        <v>91</v>
      </c>
      <c r="FE388" s="14">
        <f>INDEX(属性偏向!$U$4:$U$243,(卡牌属性!$DV388-1+FE$3)*20+卡牌属性!$DX388)</f>
        <v>91</v>
      </c>
      <c r="FF388" s="14">
        <f>INDEX(属性偏向!$U$4:$U$243,(卡牌属性!$DV388-1+FF$3)*20+卡牌属性!$DX388)</f>
        <v>140</v>
      </c>
      <c r="FG388" s="14">
        <f>INDEX(属性偏向!$U$4:$U$243,(卡牌属性!$DV388-1+FG$3)*20+卡牌属性!$DX388)</f>
        <v>154</v>
      </c>
      <c r="FH388" s="14">
        <f>INDEX(属性投放!$BQ$6:$BQ$85,(卡牌属性!$DW388-2)*20+卡牌属性!$DX388)</f>
        <v>75</v>
      </c>
      <c r="FI388" s="14">
        <f>INDEX(属性投放!$BQ$6:$BQ$85,(卡牌属性!$DW388-2)*20+卡牌属性!$DX388)</f>
        <v>75</v>
      </c>
      <c r="FJ388" s="14">
        <f>INDEX(属性投放!$BQ$6:$BQ$85,(卡牌属性!$DW388-2)*20+卡牌属性!$DX388)</f>
        <v>75</v>
      </c>
      <c r="FK388" s="14">
        <f>INDEX(属性投放!$BQ$6:$BQ$85,(卡牌属性!$DW388-2)*20+卡牌属性!$DX388)</f>
        <v>75</v>
      </c>
      <c r="FL388" s="14">
        <f>INDEX(属性投放!$BQ$6:$BQ$85,(卡牌属性!$DW388-2)*20+卡牌属性!$DX388)</f>
        <v>75</v>
      </c>
      <c r="FM388" s="14">
        <f>INDEX(属性投放!$BR$6:$BR$85,(卡牌属性!$DW388-2)*20+卡牌属性!$DX388)</f>
        <v>38</v>
      </c>
      <c r="FN388" s="14">
        <f>INDEX(属性投放!$BR$6:$BR$85,(卡牌属性!$DW388-2)*20+卡牌属性!$DX388)</f>
        <v>38</v>
      </c>
      <c r="FO388" s="14">
        <f>INDEX(属性投放!$BR$6:$BR$85,(卡牌属性!$DW388-2)*20+卡牌属性!$DX388)</f>
        <v>38</v>
      </c>
      <c r="FP388" s="14">
        <f>INDEX(属性投放!$BR$6:$BR$85,(卡牌属性!$DW388-2)*20+卡牌属性!$DX388)</f>
        <v>38</v>
      </c>
      <c r="FQ388" s="14">
        <f>INDEX(属性投放!$BR$6:$BR$85,(卡牌属性!$DW388-2)*20+卡牌属性!$DX388)</f>
        <v>38</v>
      </c>
      <c r="FR388" s="14">
        <f>INDEX(属性投放!$BS$6:$BS$85,(卡牌属性!$DW388-2)*20+卡牌属性!$DX388)</f>
        <v>525</v>
      </c>
      <c r="FS388" s="14">
        <f>INDEX(属性投放!$BS$6:$BS$85,(卡牌属性!$DW388-2)*20+卡牌属性!$DX388)</f>
        <v>525</v>
      </c>
      <c r="FT388" s="14">
        <f>INDEX(属性投放!$BS$6:$BS$85,(卡牌属性!$DW388-2)*20+卡牌属性!$DX388)</f>
        <v>525</v>
      </c>
      <c r="FU388" s="14">
        <f>INDEX(属性投放!$BS$6:$BS$85,(卡牌属性!$DW388-2)*20+卡牌属性!$DX388)</f>
        <v>525</v>
      </c>
      <c r="FV388" s="14">
        <f>INDEX(属性投放!$BS$6:$BS$85,(卡牌属性!$DW388-2)*20+卡牌属性!$DX388)</f>
        <v>525</v>
      </c>
    </row>
    <row r="389" spans="31:178" ht="16.5" x14ac:dyDescent="0.2">
      <c r="AE389" s="13">
        <v>385</v>
      </c>
      <c r="AF389" s="13">
        <f t="shared" si="652"/>
        <v>20</v>
      </c>
      <c r="AG389" s="13">
        <f t="shared" ref="AG389:AG452" si="740">INDEX($D$6:$D$43,AF389)</f>
        <v>3</v>
      </c>
      <c r="AH389" s="13"/>
      <c r="AI389" s="13"/>
      <c r="AJ389" s="14">
        <f t="shared" ref="AJ389:AJ444" si="741">INDEX($A$5:$A$43,AF389+1)</f>
        <v>1101023</v>
      </c>
      <c r="AK389" s="14" t="str">
        <f t="shared" ref="AK389:AK444" si="742">INDEX($B$5:$B$43,MATCH(AJ389,$A$5:$A$43,0))&amp;AN389&amp;"突"</f>
        <v>朱童5突</v>
      </c>
      <c r="AL389" s="25" t="s">
        <v>142</v>
      </c>
      <c r="AM389" s="14">
        <v>1</v>
      </c>
      <c r="AN389" s="14">
        <f t="shared" ref="AN389:AN444" si="743">AE389-INDEX($F$5:$F$43,AF389)</f>
        <v>5</v>
      </c>
      <c r="AO389" s="14">
        <f>INDEX(属性投放!$DF$6:$DF$85,(卡牌属性!AG389-2)*20+卡牌属性!AN389)</f>
        <v>569</v>
      </c>
      <c r="AP389" s="14">
        <f t="shared" si="719"/>
        <v>569</v>
      </c>
      <c r="AQ389" s="14">
        <f t="shared" si="719"/>
        <v>569</v>
      </c>
      <c r="AR389" s="14">
        <f t="shared" si="719"/>
        <v>569</v>
      </c>
      <c r="AS389" s="14">
        <f t="shared" si="719"/>
        <v>569</v>
      </c>
      <c r="AT389" s="14">
        <f>INDEX(属性投放!$DG$6:$DG$85,(卡牌属性!AG389-2)*20+卡牌属性!AN389)</f>
        <v>205</v>
      </c>
      <c r="AU389" s="14">
        <f t="shared" si="720"/>
        <v>205</v>
      </c>
      <c r="AV389" s="14">
        <f t="shared" si="720"/>
        <v>205</v>
      </c>
      <c r="AW389" s="14">
        <f t="shared" si="720"/>
        <v>205</v>
      </c>
      <c r="AX389" s="14">
        <f t="shared" si="720"/>
        <v>205</v>
      </c>
      <c r="AY389" s="14">
        <f>INDEX(属性投放!$DH$6:$DH$85,(卡牌属性!AG389-2)*20+卡牌属性!AN389)</f>
        <v>2973</v>
      </c>
      <c r="AZ389" s="14">
        <f t="shared" si="721"/>
        <v>2973</v>
      </c>
      <c r="BA389" s="14">
        <f t="shared" si="721"/>
        <v>2973</v>
      </c>
      <c r="BB389" s="14">
        <f t="shared" si="721"/>
        <v>2973</v>
      </c>
      <c r="BC389" s="14">
        <f t="shared" si="721"/>
        <v>2973</v>
      </c>
      <c r="BD389" s="14">
        <f>INDEX(属性投放!$DL$6:$DL$85,(卡牌属性!AG389-2)*20+卡牌属性!AN389)</f>
        <v>30</v>
      </c>
      <c r="BE389" s="14">
        <f t="shared" si="722"/>
        <v>30</v>
      </c>
      <c r="BF389" s="14">
        <f t="shared" si="722"/>
        <v>30</v>
      </c>
      <c r="BG389" s="14">
        <f t="shared" si="722"/>
        <v>30</v>
      </c>
      <c r="BH389" s="14">
        <f t="shared" si="722"/>
        <v>30</v>
      </c>
      <c r="BI389" s="14">
        <f>INDEX(属性投放!$DM$6:$DM$85,(卡牌属性!AG389-2)*20+卡牌属性!AN389)</f>
        <v>15</v>
      </c>
      <c r="BJ389" s="14">
        <f t="shared" si="723"/>
        <v>15</v>
      </c>
      <c r="BK389" s="14">
        <f t="shared" si="723"/>
        <v>15</v>
      </c>
      <c r="BL389" s="14">
        <f t="shared" si="723"/>
        <v>15</v>
      </c>
      <c r="BM389" s="14">
        <f t="shared" si="723"/>
        <v>15</v>
      </c>
      <c r="BN389" s="14">
        <f>INDEX(属性投放!$DN$6:$DN$85,(卡牌属性!AG389-2)*20+卡牌属性!AN389)</f>
        <v>208</v>
      </c>
      <c r="BO389" s="14">
        <f t="shared" si="724"/>
        <v>208</v>
      </c>
      <c r="BP389" s="14">
        <f t="shared" si="724"/>
        <v>208</v>
      </c>
      <c r="BQ389" s="14">
        <f t="shared" si="724"/>
        <v>208</v>
      </c>
      <c r="BR389" s="14">
        <f t="shared" si="724"/>
        <v>208</v>
      </c>
      <c r="BW389" s="13">
        <v>385</v>
      </c>
      <c r="BX389" s="13">
        <f t="shared" ref="BX389:BX452" si="744">MATCH(BW389-1,$S$5:$S$43,1)</f>
        <v>20</v>
      </c>
      <c r="BY389" s="14">
        <f t="shared" ref="BY389:BY452" si="745">INDEX($Q$6:$Q$43,BX389)</f>
        <v>3</v>
      </c>
      <c r="BZ389" s="14">
        <f t="shared" si="653"/>
        <v>1102020</v>
      </c>
      <c r="CA389" s="14" t="str">
        <f t="shared" si="654"/>
        <v>高顺5突</v>
      </c>
      <c r="CB389" s="25" t="s">
        <v>142</v>
      </c>
      <c r="CC389" s="14">
        <v>2</v>
      </c>
      <c r="CD389" s="14">
        <f t="shared" ref="CD389:CD452" si="746">BW389-INDEX($S$5:$S$43,BX389)</f>
        <v>5</v>
      </c>
      <c r="CE389" s="14" t="s">
        <v>21</v>
      </c>
      <c r="CF389" s="14">
        <f>INDEX(属性投放!$AZ$6:$AZ$85,(BY389-2)*20+CD389)</f>
        <v>927</v>
      </c>
      <c r="CG389" s="14" t="s">
        <v>22</v>
      </c>
      <c r="CH389" s="14">
        <f>INDEX(属性投放!$BA$6:$BA$85,(BY389-2)*20+CD389)</f>
        <v>400</v>
      </c>
      <c r="CI389" s="14" t="s">
        <v>510</v>
      </c>
      <c r="CJ389" s="14">
        <f>INDEX(属性投放!$BB$6:$BB$85,(BY389-2)*20+CD389)</f>
        <v>5437</v>
      </c>
      <c r="CK389" s="14" t="s">
        <v>21</v>
      </c>
      <c r="CL389" s="14">
        <f>INDEX(属性投放!$BC$6:$BC$85,(BY389-2)*20+CD389)</f>
        <v>12</v>
      </c>
      <c r="CM389" s="14" t="s">
        <v>22</v>
      </c>
      <c r="CN389" s="14">
        <f>INDEX(属性投放!$BD$6:$BD$85,(BY389-2)*20+CD389)</f>
        <v>6</v>
      </c>
      <c r="CO389" s="14" t="s">
        <v>510</v>
      </c>
      <c r="CP389" s="14">
        <f>INDEX(属性投放!$BE$6:$BE$85,(BY389-2)*20+CD389)</f>
        <v>84</v>
      </c>
      <c r="CS389" s="13">
        <v>385</v>
      </c>
      <c r="CT389" s="13">
        <f t="shared" si="655"/>
        <v>8</v>
      </c>
      <c r="CU389" s="13">
        <f t="shared" si="656"/>
        <v>21</v>
      </c>
      <c r="CV389" s="14">
        <f t="shared" si="657"/>
        <v>4</v>
      </c>
      <c r="CW389" s="14">
        <f t="shared" si="658"/>
        <v>1102008</v>
      </c>
      <c r="CX389" s="14" t="str">
        <f>INDEX($O$6:$O$50,CT389)&amp;"-"&amp;INDEX(属性投放!$AB$7:$AB$50,CZ389)&amp;"-魂火-"&amp;DB389</f>
        <v>夏侯渊-大叫唤-魂火-3</v>
      </c>
      <c r="CY389" s="25" t="s">
        <v>142</v>
      </c>
      <c r="CZ389" s="14">
        <f>INDEX(属性投放!$AM$7:$AM$58,CU389)</f>
        <v>10</v>
      </c>
      <c r="DA389" s="14" t="s">
        <v>537</v>
      </c>
      <c r="DB389" s="14">
        <f>INDEX(属性投放!$AN$7:$AN$58,CU389)</f>
        <v>3</v>
      </c>
      <c r="DC389" s="14">
        <f t="shared" ref="DC389:DC452" si="747">CU389</f>
        <v>21</v>
      </c>
      <c r="DD389" s="14">
        <f>INDEX(属性投放!$AO$7:$AO$58,DC389)</f>
        <v>70</v>
      </c>
      <c r="DE389" s="14" t="s">
        <v>538</v>
      </c>
      <c r="DF389" s="14">
        <f>INDEX(属性投放!$BK$6:$BK$85,(CV389-2)*20+CZ389)</f>
        <v>130</v>
      </c>
      <c r="DG389" s="14">
        <f>SUMIFS(DF$5:DF389,$CT$5:$CT389,"="&amp;$CT389)</f>
        <v>1570</v>
      </c>
      <c r="DH389" s="14" t="s">
        <v>539</v>
      </c>
      <c r="DI389" s="14">
        <f>INDEX(属性投放!$BL$6:$BL$85,(CV389-2)*20+CZ389)</f>
        <v>65</v>
      </c>
      <c r="DJ389" s="14">
        <f>SUMIFS(DI$5:DI389,$CT$5:$CT389,"="&amp;$CT389)</f>
        <v>790</v>
      </c>
      <c r="DK389" s="14" t="s">
        <v>540</v>
      </c>
      <c r="DL389" s="14">
        <f>INDEX(属性投放!$BM$6:$BM$85,(CV389-2)*20+CZ389)</f>
        <v>1170</v>
      </c>
      <c r="DM389" s="14">
        <f>SUMIFS(DL$5:DL389,$CT$5:$CT389,"="&amp;$CT389)</f>
        <v>12320</v>
      </c>
      <c r="DR389" s="14">
        <f t="shared" ref="DR389:DR444" si="748">BZ389</f>
        <v>1102020</v>
      </c>
      <c r="DS389" s="14" t="str">
        <f t="shared" ref="DS389:DS444" si="749">CA389</f>
        <v>高顺5突</v>
      </c>
      <c r="DT389" s="14">
        <f t="shared" si="659"/>
        <v>6</v>
      </c>
      <c r="DU389" s="14">
        <f t="shared" si="660"/>
        <v>5</v>
      </c>
      <c r="DV389" s="14">
        <f t="shared" si="661"/>
        <v>5</v>
      </c>
      <c r="DW389" s="14">
        <f t="shared" ref="DW389:DW444" si="750">BY389</f>
        <v>3</v>
      </c>
      <c r="DX389" s="14">
        <f t="shared" ref="DX389:DX444" si="751">CD389</f>
        <v>5</v>
      </c>
      <c r="DY389" s="14">
        <f t="shared" ref="DY389:DY444" si="752">(DW389-2)*20+DX389</f>
        <v>25</v>
      </c>
      <c r="DZ389" s="14">
        <f>INDEX(属性投放!$AX$6:$AX$85,(卡牌属性!DW389-2)*20+卡牌属性!DX389)</f>
        <v>7</v>
      </c>
      <c r="EA389" s="14">
        <f>INDEX(属性投放!BQ$6:BQ$85,卡牌属性!$DY389)</f>
        <v>100</v>
      </c>
      <c r="EB389" s="14">
        <f>INDEX(属性投放!BR$6:BR$85,卡牌属性!$DY389)</f>
        <v>50</v>
      </c>
      <c r="EC389" s="14">
        <f>INDEX(属性投放!BS$6:BS$85,卡牌属性!$DY389)</f>
        <v>700</v>
      </c>
      <c r="ED389" s="14">
        <f t="shared" si="725"/>
        <v>800</v>
      </c>
      <c r="EE389" s="14">
        <f t="shared" si="726"/>
        <v>963</v>
      </c>
      <c r="EF389" s="14">
        <f t="shared" si="727"/>
        <v>1077</v>
      </c>
      <c r="EG389" s="14">
        <f t="shared" si="728"/>
        <v>1077</v>
      </c>
      <c r="EH389" s="14">
        <f t="shared" si="729"/>
        <v>1225</v>
      </c>
      <c r="EI389" s="14">
        <f t="shared" si="730"/>
        <v>314</v>
      </c>
      <c r="EJ389" s="14">
        <f t="shared" si="731"/>
        <v>358</v>
      </c>
      <c r="EK389" s="14">
        <f t="shared" si="732"/>
        <v>358</v>
      </c>
      <c r="EL389" s="14">
        <f t="shared" si="733"/>
        <v>442</v>
      </c>
      <c r="EM389" s="14">
        <f t="shared" si="734"/>
        <v>501</v>
      </c>
      <c r="EN389" s="14">
        <f t="shared" si="735"/>
        <v>4097</v>
      </c>
      <c r="EO389" s="14">
        <f t="shared" si="736"/>
        <v>4605</v>
      </c>
      <c r="EP389" s="14">
        <f t="shared" si="737"/>
        <v>4605</v>
      </c>
      <c r="EQ389" s="14">
        <f t="shared" si="738"/>
        <v>5653</v>
      </c>
      <c r="ER389" s="14">
        <f t="shared" si="739"/>
        <v>6257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84</v>
      </c>
      <c r="FD389" s="14">
        <f>INDEX(属性偏向!$U$4:$U$243,(卡牌属性!$DV389-1+FD$3)*20+卡牌属性!$DX389)</f>
        <v>91</v>
      </c>
      <c r="FE389" s="14">
        <f>INDEX(属性偏向!$U$4:$U$243,(卡牌属性!$DV389-1+FE$3)*20+卡牌属性!$DX389)</f>
        <v>91</v>
      </c>
      <c r="FF389" s="14">
        <f>INDEX(属性偏向!$U$4:$U$243,(卡牌属性!$DV389-1+FF$3)*20+卡牌属性!$DX389)</f>
        <v>140</v>
      </c>
      <c r="FG389" s="14">
        <f>INDEX(属性偏向!$U$4:$U$243,(卡牌属性!$DV389-1+FG$3)*20+卡牌属性!$DX389)</f>
        <v>154</v>
      </c>
      <c r="FH389" s="14">
        <f>INDEX(属性投放!$BQ$6:$BQ$85,(卡牌属性!$DW389-2)*20+卡牌属性!$DX389)</f>
        <v>100</v>
      </c>
      <c r="FI389" s="14">
        <f>INDEX(属性投放!$BQ$6:$BQ$85,(卡牌属性!$DW389-2)*20+卡牌属性!$DX389)</f>
        <v>100</v>
      </c>
      <c r="FJ389" s="14">
        <f>INDEX(属性投放!$BQ$6:$BQ$85,(卡牌属性!$DW389-2)*20+卡牌属性!$DX389)</f>
        <v>100</v>
      </c>
      <c r="FK389" s="14">
        <f>INDEX(属性投放!$BQ$6:$BQ$85,(卡牌属性!$DW389-2)*20+卡牌属性!$DX389)</f>
        <v>100</v>
      </c>
      <c r="FL389" s="14">
        <f>INDEX(属性投放!$BQ$6:$BQ$85,(卡牌属性!$DW389-2)*20+卡牌属性!$DX389)</f>
        <v>100</v>
      </c>
      <c r="FM389" s="14">
        <f>INDEX(属性投放!$BR$6:$BR$85,(卡牌属性!$DW389-2)*20+卡牌属性!$DX389)</f>
        <v>50</v>
      </c>
      <c r="FN389" s="14">
        <f>INDEX(属性投放!$BR$6:$BR$85,(卡牌属性!$DW389-2)*20+卡牌属性!$DX389)</f>
        <v>50</v>
      </c>
      <c r="FO389" s="14">
        <f>INDEX(属性投放!$BR$6:$BR$85,(卡牌属性!$DW389-2)*20+卡牌属性!$DX389)</f>
        <v>50</v>
      </c>
      <c r="FP389" s="14">
        <f>INDEX(属性投放!$BR$6:$BR$85,(卡牌属性!$DW389-2)*20+卡牌属性!$DX389)</f>
        <v>50</v>
      </c>
      <c r="FQ389" s="14">
        <f>INDEX(属性投放!$BR$6:$BR$85,(卡牌属性!$DW389-2)*20+卡牌属性!$DX389)</f>
        <v>50</v>
      </c>
      <c r="FR389" s="14">
        <f>INDEX(属性投放!$BS$6:$BS$85,(卡牌属性!$DW389-2)*20+卡牌属性!$DX389)</f>
        <v>700</v>
      </c>
      <c r="FS389" s="14">
        <f>INDEX(属性投放!$BS$6:$BS$85,(卡牌属性!$DW389-2)*20+卡牌属性!$DX389)</f>
        <v>700</v>
      </c>
      <c r="FT389" s="14">
        <f>INDEX(属性投放!$BS$6:$BS$85,(卡牌属性!$DW389-2)*20+卡牌属性!$DX389)</f>
        <v>700</v>
      </c>
      <c r="FU389" s="14">
        <f>INDEX(属性投放!$BS$6:$BS$85,(卡牌属性!$DW389-2)*20+卡牌属性!$DX389)</f>
        <v>700</v>
      </c>
      <c r="FV389" s="14">
        <f>INDEX(属性投放!$BS$6:$BS$85,(卡牌属性!$DW389-2)*20+卡牌属性!$DX389)</f>
        <v>700</v>
      </c>
    </row>
    <row r="390" spans="31:178" ht="16.5" x14ac:dyDescent="0.2">
      <c r="AE390" s="13">
        <v>386</v>
      </c>
      <c r="AF390" s="13">
        <f t="shared" ref="AF390:AF453" si="753">MATCH(AE390-1,$F$5:$F$42,1)</f>
        <v>20</v>
      </c>
      <c r="AG390" s="13">
        <f t="shared" si="740"/>
        <v>3</v>
      </c>
      <c r="AH390" s="13"/>
      <c r="AI390" s="13"/>
      <c r="AJ390" s="14">
        <f t="shared" si="741"/>
        <v>1101023</v>
      </c>
      <c r="AK390" s="14" t="str">
        <f t="shared" si="742"/>
        <v>朱童6突</v>
      </c>
      <c r="AL390" s="25" t="s">
        <v>142</v>
      </c>
      <c r="AM390" s="14">
        <v>1</v>
      </c>
      <c r="AN390" s="14">
        <f t="shared" si="743"/>
        <v>6</v>
      </c>
      <c r="AO390" s="14">
        <f>INDEX(属性投放!$DF$6:$DF$85,(卡牌属性!AG390-2)*20+卡牌属性!AN390)</f>
        <v>654</v>
      </c>
      <c r="AP390" s="14">
        <f t="shared" si="719"/>
        <v>654</v>
      </c>
      <c r="AQ390" s="14">
        <f t="shared" si="719"/>
        <v>654</v>
      </c>
      <c r="AR390" s="14">
        <f t="shared" si="719"/>
        <v>654</v>
      </c>
      <c r="AS390" s="14">
        <f t="shared" si="719"/>
        <v>654</v>
      </c>
      <c r="AT390" s="14">
        <f>INDEX(属性投放!$DG$6:$DG$85,(卡牌属性!AG390-2)*20+卡牌属性!AN390)</f>
        <v>248</v>
      </c>
      <c r="AU390" s="14">
        <f t="shared" si="720"/>
        <v>248</v>
      </c>
      <c r="AV390" s="14">
        <f t="shared" si="720"/>
        <v>248</v>
      </c>
      <c r="AW390" s="14">
        <f t="shared" si="720"/>
        <v>248</v>
      </c>
      <c r="AX390" s="14">
        <f t="shared" si="720"/>
        <v>248</v>
      </c>
      <c r="AY390" s="14">
        <f>INDEX(属性投放!$DH$6:$DH$85,(卡牌属性!AG390-2)*20+卡牌属性!AN390)</f>
        <v>3567</v>
      </c>
      <c r="AZ390" s="14">
        <f t="shared" si="721"/>
        <v>3567</v>
      </c>
      <c r="BA390" s="14">
        <f t="shared" si="721"/>
        <v>3567</v>
      </c>
      <c r="BB390" s="14">
        <f t="shared" si="721"/>
        <v>3567</v>
      </c>
      <c r="BC390" s="14">
        <f t="shared" si="721"/>
        <v>3567</v>
      </c>
      <c r="BD390" s="14">
        <f>INDEX(属性投放!$DL$6:$DL$85,(卡牌属性!AG390-2)*20+卡牌属性!AN390)</f>
        <v>30</v>
      </c>
      <c r="BE390" s="14">
        <f t="shared" si="722"/>
        <v>30</v>
      </c>
      <c r="BF390" s="14">
        <f t="shared" si="722"/>
        <v>30</v>
      </c>
      <c r="BG390" s="14">
        <f t="shared" si="722"/>
        <v>30</v>
      </c>
      <c r="BH390" s="14">
        <f t="shared" si="722"/>
        <v>30</v>
      </c>
      <c r="BI390" s="14">
        <f>INDEX(属性投放!$DM$6:$DM$85,(卡牌属性!AG390-2)*20+卡牌属性!AN390)</f>
        <v>15</v>
      </c>
      <c r="BJ390" s="14">
        <f t="shared" si="723"/>
        <v>15</v>
      </c>
      <c r="BK390" s="14">
        <f t="shared" si="723"/>
        <v>15</v>
      </c>
      <c r="BL390" s="14">
        <f t="shared" si="723"/>
        <v>15</v>
      </c>
      <c r="BM390" s="14">
        <f t="shared" si="723"/>
        <v>15</v>
      </c>
      <c r="BN390" s="14">
        <f>INDEX(属性投放!$DN$6:$DN$85,(卡牌属性!AG390-2)*20+卡牌属性!AN390)</f>
        <v>208</v>
      </c>
      <c r="BO390" s="14">
        <f t="shared" si="724"/>
        <v>208</v>
      </c>
      <c r="BP390" s="14">
        <f t="shared" si="724"/>
        <v>208</v>
      </c>
      <c r="BQ390" s="14">
        <f t="shared" si="724"/>
        <v>208</v>
      </c>
      <c r="BR390" s="14">
        <f t="shared" si="724"/>
        <v>208</v>
      </c>
      <c r="BW390" s="13">
        <v>386</v>
      </c>
      <c r="BX390" s="13">
        <f t="shared" si="744"/>
        <v>20</v>
      </c>
      <c r="BY390" s="14">
        <f t="shared" si="745"/>
        <v>3</v>
      </c>
      <c r="BZ390" s="14">
        <f t="shared" ref="BZ390:BZ453" si="754">INDEX($N$6:$N$43,BX390)</f>
        <v>1102020</v>
      </c>
      <c r="CA390" s="14" t="str">
        <f t="shared" ref="CA390:CA453" si="755">INDEX($O$6:$O$43,BX390)&amp;CD390&amp;"突"</f>
        <v>高顺6突</v>
      </c>
      <c r="CB390" s="25" t="s">
        <v>142</v>
      </c>
      <c r="CC390" s="14">
        <v>2</v>
      </c>
      <c r="CD390" s="14">
        <f t="shared" si="746"/>
        <v>6</v>
      </c>
      <c r="CE390" s="14" t="s">
        <v>21</v>
      </c>
      <c r="CF390" s="14">
        <f>INDEX(属性投放!$AZ$6:$AZ$85,(BY390-2)*20+CD390)</f>
        <v>1201</v>
      </c>
      <c r="CG390" s="14" t="s">
        <v>22</v>
      </c>
      <c r="CH390" s="14">
        <f>INDEX(属性投放!$BA$6:$BA$85,(BY390-2)*20+CD390)</f>
        <v>538</v>
      </c>
      <c r="CI390" s="14" t="s">
        <v>510</v>
      </c>
      <c r="CJ390" s="14">
        <f>INDEX(属性投放!$BB$6:$BB$85,(BY390-2)*20+CD390)</f>
        <v>7355</v>
      </c>
      <c r="CK390" s="14" t="s">
        <v>21</v>
      </c>
      <c r="CL390" s="14">
        <f>INDEX(属性投放!$BC$6:$BC$85,(BY390-2)*20+CD390)</f>
        <v>12</v>
      </c>
      <c r="CM390" s="14" t="s">
        <v>22</v>
      </c>
      <c r="CN390" s="14">
        <f>INDEX(属性投放!$BD$6:$BD$85,(BY390-2)*20+CD390)</f>
        <v>6</v>
      </c>
      <c r="CO390" s="14" t="s">
        <v>510</v>
      </c>
      <c r="CP390" s="14">
        <f>INDEX(属性投放!$BE$6:$BE$85,(BY390-2)*20+CD390)</f>
        <v>84</v>
      </c>
      <c r="CS390" s="13">
        <v>386</v>
      </c>
      <c r="CT390" s="13">
        <f t="shared" ref="CT390:CT453" si="756">MATCH(CS390-1,$U$5:$U$36,1)</f>
        <v>8</v>
      </c>
      <c r="CU390" s="13">
        <f t="shared" ref="CU390:CU453" si="757">CS390-(CT390-1)*52</f>
        <v>22</v>
      </c>
      <c r="CV390" s="14">
        <f t="shared" ref="CV390:CV453" si="758">INDEX($Q$6:$Q$50,CT390)</f>
        <v>4</v>
      </c>
      <c r="CW390" s="14">
        <f t="shared" ref="CW390:CW453" si="759">INDEX($N$6:$N$50,CT390)</f>
        <v>1102008</v>
      </c>
      <c r="CX390" s="14" t="str">
        <f>INDEX($O$6:$O$50,CT390)&amp;"-"&amp;INDEX(属性投放!$AB$7:$AB$50,CZ390)&amp;"-魂火-"&amp;DB390</f>
        <v>夏侯渊-大叫唤+1-魂火-1</v>
      </c>
      <c r="CY390" s="25" t="s">
        <v>142</v>
      </c>
      <c r="CZ390" s="14">
        <f>INDEX(属性投放!$AM$7:$AM$58,CU390)</f>
        <v>11</v>
      </c>
      <c r="DA390" s="14" t="s">
        <v>537</v>
      </c>
      <c r="DB390" s="14">
        <f>INDEX(属性投放!$AN$7:$AN$58,CU390)</f>
        <v>1</v>
      </c>
      <c r="DC390" s="14">
        <f t="shared" si="747"/>
        <v>22</v>
      </c>
      <c r="DD390" s="14">
        <f>INDEX(属性投放!$AO$7:$AO$58,DC390)</f>
        <v>73</v>
      </c>
      <c r="DE390" s="14" t="s">
        <v>538</v>
      </c>
      <c r="DF390" s="14">
        <f>INDEX(属性投放!$BK$6:$BK$85,(CV390-2)*20+CZ390)</f>
        <v>170</v>
      </c>
      <c r="DG390" s="14">
        <f>SUMIFS(DF$5:DF390,$CT$5:$CT390,"="&amp;$CT390)</f>
        <v>1740</v>
      </c>
      <c r="DH390" s="14" t="s">
        <v>539</v>
      </c>
      <c r="DI390" s="14">
        <f>INDEX(属性投放!$BL$6:$BL$85,(CV390-2)*20+CZ390)</f>
        <v>85</v>
      </c>
      <c r="DJ390" s="14">
        <f>SUMIFS(DI$5:DI390,$CT$5:$CT390,"="&amp;$CT390)</f>
        <v>875</v>
      </c>
      <c r="DK390" s="14" t="s">
        <v>540</v>
      </c>
      <c r="DL390" s="14">
        <f>INDEX(属性投放!$BM$6:$BM$85,(CV390-2)*20+CZ390)</f>
        <v>1530</v>
      </c>
      <c r="DM390" s="14">
        <f>SUMIFS(DL$5:DL390,$CT$5:$CT390,"="&amp;$CT390)</f>
        <v>13850</v>
      </c>
      <c r="DR390" s="14">
        <f t="shared" si="748"/>
        <v>1102020</v>
      </c>
      <c r="DS390" s="14" t="str">
        <f t="shared" si="749"/>
        <v>高顺6突</v>
      </c>
      <c r="DT390" s="14">
        <f t="shared" ref="DT390:DT453" si="760">INDEX(Y$6:Y$43,$BX390)</f>
        <v>6</v>
      </c>
      <c r="DU390" s="14">
        <f t="shared" ref="DU390:DU453" si="761">INDEX(Z$6:Z$43,$BX390)</f>
        <v>5</v>
      </c>
      <c r="DV390" s="14">
        <f t="shared" ref="DV390:DV453" si="762">INDEX(AA$6:AA$43,$BX390)</f>
        <v>5</v>
      </c>
      <c r="DW390" s="14">
        <f t="shared" si="750"/>
        <v>3</v>
      </c>
      <c r="DX390" s="14">
        <f t="shared" si="751"/>
        <v>6</v>
      </c>
      <c r="DY390" s="14">
        <f t="shared" si="752"/>
        <v>26</v>
      </c>
      <c r="DZ390" s="14">
        <f>INDEX(属性投放!$AX$6:$AX$85,(卡牌属性!DW390-2)*20+卡牌属性!DX390)</f>
        <v>5</v>
      </c>
      <c r="EA390" s="14">
        <f>INDEX(属性投放!BQ$6:BQ$85,卡牌属性!$DY390)</f>
        <v>140</v>
      </c>
      <c r="EB390" s="14">
        <f>INDEX(属性投放!BR$6:BR$85,卡牌属性!$DY390)</f>
        <v>70</v>
      </c>
      <c r="EC390" s="14">
        <f>INDEX(属性投放!BS$6:BS$85,卡牌属性!$DY390)</f>
        <v>980</v>
      </c>
      <c r="ED390" s="14">
        <f t="shared" si="725"/>
        <v>991</v>
      </c>
      <c r="EE390" s="14">
        <f t="shared" si="726"/>
        <v>1203</v>
      </c>
      <c r="EF390" s="14">
        <f t="shared" si="727"/>
        <v>1331</v>
      </c>
      <c r="EG390" s="14">
        <f t="shared" si="728"/>
        <v>1331</v>
      </c>
      <c r="EH390" s="14">
        <f t="shared" si="729"/>
        <v>1500</v>
      </c>
      <c r="EI390" s="14">
        <f t="shared" si="730"/>
        <v>406</v>
      </c>
      <c r="EJ390" s="14">
        <f t="shared" si="731"/>
        <v>457</v>
      </c>
      <c r="EK390" s="14">
        <f t="shared" si="732"/>
        <v>457</v>
      </c>
      <c r="EL390" s="14">
        <f t="shared" si="733"/>
        <v>562</v>
      </c>
      <c r="EM390" s="14">
        <f t="shared" si="734"/>
        <v>628</v>
      </c>
      <c r="EN390" s="14">
        <f t="shared" si="735"/>
        <v>5385</v>
      </c>
      <c r="EO390" s="14">
        <f t="shared" si="736"/>
        <v>5942</v>
      </c>
      <c r="EP390" s="14">
        <f t="shared" si="737"/>
        <v>5942</v>
      </c>
      <c r="EQ390" s="14">
        <f t="shared" si="738"/>
        <v>7333</v>
      </c>
      <c r="ER390" s="14">
        <f t="shared" si="739"/>
        <v>8035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84</v>
      </c>
      <c r="FD390" s="14">
        <f>INDEX(属性偏向!$U$4:$U$243,(卡牌属性!$DV390-1+FD$3)*20+卡牌属性!$DX390)</f>
        <v>91</v>
      </c>
      <c r="FE390" s="14">
        <f>INDEX(属性偏向!$U$4:$U$243,(卡牌属性!$DV390-1+FE$3)*20+卡牌属性!$DX390)</f>
        <v>91</v>
      </c>
      <c r="FF390" s="14">
        <f>INDEX(属性偏向!$U$4:$U$243,(卡牌属性!$DV390-1+FF$3)*20+卡牌属性!$DX390)</f>
        <v>140</v>
      </c>
      <c r="FG390" s="14">
        <f>INDEX(属性偏向!$U$4:$U$243,(卡牌属性!$DV390-1+FG$3)*20+卡牌属性!$DX390)</f>
        <v>154</v>
      </c>
      <c r="FH390" s="14">
        <f>INDEX(属性投放!$BQ$6:$BQ$85,(卡牌属性!$DW390-2)*20+卡牌属性!$DX390)</f>
        <v>140</v>
      </c>
      <c r="FI390" s="14">
        <f>INDEX(属性投放!$BQ$6:$BQ$85,(卡牌属性!$DW390-2)*20+卡牌属性!$DX390)</f>
        <v>140</v>
      </c>
      <c r="FJ390" s="14">
        <f>INDEX(属性投放!$BQ$6:$BQ$85,(卡牌属性!$DW390-2)*20+卡牌属性!$DX390)</f>
        <v>140</v>
      </c>
      <c r="FK390" s="14">
        <f>INDEX(属性投放!$BQ$6:$BQ$85,(卡牌属性!$DW390-2)*20+卡牌属性!$DX390)</f>
        <v>140</v>
      </c>
      <c r="FL390" s="14">
        <f>INDEX(属性投放!$BQ$6:$BQ$85,(卡牌属性!$DW390-2)*20+卡牌属性!$DX390)</f>
        <v>140</v>
      </c>
      <c r="FM390" s="14">
        <f>INDEX(属性投放!$BR$6:$BR$85,(卡牌属性!$DW390-2)*20+卡牌属性!$DX390)</f>
        <v>70</v>
      </c>
      <c r="FN390" s="14">
        <f>INDEX(属性投放!$BR$6:$BR$85,(卡牌属性!$DW390-2)*20+卡牌属性!$DX390)</f>
        <v>70</v>
      </c>
      <c r="FO390" s="14">
        <f>INDEX(属性投放!$BR$6:$BR$85,(卡牌属性!$DW390-2)*20+卡牌属性!$DX390)</f>
        <v>70</v>
      </c>
      <c r="FP390" s="14">
        <f>INDEX(属性投放!$BR$6:$BR$85,(卡牌属性!$DW390-2)*20+卡牌属性!$DX390)</f>
        <v>70</v>
      </c>
      <c r="FQ390" s="14">
        <f>INDEX(属性投放!$BR$6:$BR$85,(卡牌属性!$DW390-2)*20+卡牌属性!$DX390)</f>
        <v>70</v>
      </c>
      <c r="FR390" s="14">
        <f>INDEX(属性投放!$BS$6:$BS$85,(卡牌属性!$DW390-2)*20+卡牌属性!$DX390)</f>
        <v>980</v>
      </c>
      <c r="FS390" s="14">
        <f>INDEX(属性投放!$BS$6:$BS$85,(卡牌属性!$DW390-2)*20+卡牌属性!$DX390)</f>
        <v>980</v>
      </c>
      <c r="FT390" s="14">
        <f>INDEX(属性投放!$BS$6:$BS$85,(卡牌属性!$DW390-2)*20+卡牌属性!$DX390)</f>
        <v>980</v>
      </c>
      <c r="FU390" s="14">
        <f>INDEX(属性投放!$BS$6:$BS$85,(卡牌属性!$DW390-2)*20+卡牌属性!$DX390)</f>
        <v>980</v>
      </c>
      <c r="FV390" s="14">
        <f>INDEX(属性投放!$BS$6:$BS$85,(卡牌属性!$DW390-2)*20+卡牌属性!$DX390)</f>
        <v>980</v>
      </c>
    </row>
    <row r="391" spans="31:178" ht="16.5" x14ac:dyDescent="0.2">
      <c r="AE391" s="13">
        <v>387</v>
      </c>
      <c r="AF391" s="13">
        <f t="shared" si="753"/>
        <v>20</v>
      </c>
      <c r="AG391" s="13">
        <f t="shared" si="740"/>
        <v>3</v>
      </c>
      <c r="AH391" s="13"/>
      <c r="AI391" s="13"/>
      <c r="AJ391" s="14">
        <f t="shared" si="741"/>
        <v>1101023</v>
      </c>
      <c r="AK391" s="14" t="str">
        <f t="shared" si="742"/>
        <v>朱童7突</v>
      </c>
      <c r="AL391" s="25" t="s">
        <v>142</v>
      </c>
      <c r="AM391" s="14">
        <v>1</v>
      </c>
      <c r="AN391" s="14">
        <f t="shared" si="743"/>
        <v>7</v>
      </c>
      <c r="AO391" s="14">
        <f>INDEX(属性投放!$DF$6:$DF$85,(卡牌属性!AG391-2)*20+卡牌属性!AN391)</f>
        <v>1489</v>
      </c>
      <c r="AP391" s="14">
        <f t="shared" si="719"/>
        <v>1489</v>
      </c>
      <c r="AQ391" s="14">
        <f t="shared" si="719"/>
        <v>1489</v>
      </c>
      <c r="AR391" s="14">
        <f t="shared" si="719"/>
        <v>1489</v>
      </c>
      <c r="AS391" s="14">
        <f t="shared" si="719"/>
        <v>1489</v>
      </c>
      <c r="AT391" s="14">
        <f>INDEX(属性投放!$DG$6:$DG$85,(卡牌属性!AG391-2)*20+卡牌属性!AN391)</f>
        <v>666</v>
      </c>
      <c r="AU391" s="14">
        <f t="shared" si="720"/>
        <v>666</v>
      </c>
      <c r="AV391" s="14">
        <f t="shared" si="720"/>
        <v>666</v>
      </c>
      <c r="AW391" s="14">
        <f t="shared" si="720"/>
        <v>666</v>
      </c>
      <c r="AX391" s="14">
        <f t="shared" si="720"/>
        <v>666</v>
      </c>
      <c r="AY391" s="14">
        <f>INDEX(属性投放!$DH$6:$DH$85,(卡牌属性!AG391-2)*20+卡牌属性!AN391)</f>
        <v>9361</v>
      </c>
      <c r="AZ391" s="14">
        <f t="shared" si="721"/>
        <v>9361</v>
      </c>
      <c r="BA391" s="14">
        <f t="shared" si="721"/>
        <v>9361</v>
      </c>
      <c r="BB391" s="14">
        <f t="shared" si="721"/>
        <v>9361</v>
      </c>
      <c r="BC391" s="14">
        <f t="shared" si="721"/>
        <v>9361</v>
      </c>
      <c r="BD391" s="14">
        <f>INDEX(属性投放!$DL$6:$DL$85,(卡牌属性!AG391-2)*20+卡牌属性!AN391)</f>
        <v>46</v>
      </c>
      <c r="BE391" s="14">
        <f t="shared" si="722"/>
        <v>46</v>
      </c>
      <c r="BF391" s="14">
        <f t="shared" si="722"/>
        <v>46</v>
      </c>
      <c r="BG391" s="14">
        <f t="shared" si="722"/>
        <v>46</v>
      </c>
      <c r="BH391" s="14">
        <f t="shared" si="722"/>
        <v>46</v>
      </c>
      <c r="BI391" s="14">
        <f>INDEX(属性投放!$DM$6:$DM$85,(卡牌属性!AG391-2)*20+卡牌属性!AN391)</f>
        <v>24</v>
      </c>
      <c r="BJ391" s="14">
        <f t="shared" si="723"/>
        <v>24</v>
      </c>
      <c r="BK391" s="14">
        <f t="shared" si="723"/>
        <v>24</v>
      </c>
      <c r="BL391" s="14">
        <f t="shared" si="723"/>
        <v>24</v>
      </c>
      <c r="BM391" s="14">
        <f t="shared" si="723"/>
        <v>24</v>
      </c>
      <c r="BN391" s="14">
        <f>INDEX(属性投放!$DN$6:$DN$85,(卡牌属性!AG391-2)*20+卡牌属性!AN391)</f>
        <v>371</v>
      </c>
      <c r="BO391" s="14">
        <f t="shared" si="724"/>
        <v>371</v>
      </c>
      <c r="BP391" s="14">
        <f t="shared" si="724"/>
        <v>371</v>
      </c>
      <c r="BQ391" s="14">
        <f t="shared" si="724"/>
        <v>371</v>
      </c>
      <c r="BR391" s="14">
        <f t="shared" si="724"/>
        <v>371</v>
      </c>
      <c r="BW391" s="13">
        <v>387</v>
      </c>
      <c r="BX391" s="13">
        <f t="shared" si="744"/>
        <v>20</v>
      </c>
      <c r="BY391" s="14">
        <f t="shared" si="745"/>
        <v>3</v>
      </c>
      <c r="BZ391" s="14">
        <f t="shared" si="754"/>
        <v>1102020</v>
      </c>
      <c r="CA391" s="14" t="str">
        <f t="shared" si="755"/>
        <v>高顺7突</v>
      </c>
      <c r="CB391" s="25" t="s">
        <v>142</v>
      </c>
      <c r="CC391" s="14">
        <v>2</v>
      </c>
      <c r="CD391" s="14">
        <f t="shared" si="746"/>
        <v>7</v>
      </c>
      <c r="CE391" s="14" t="s">
        <v>21</v>
      </c>
      <c r="CF391" s="14">
        <f>INDEX(属性投放!$AZ$6:$AZ$85,(BY391-2)*20+CD391)</f>
        <v>1501</v>
      </c>
      <c r="CG391" s="14" t="s">
        <v>22</v>
      </c>
      <c r="CH391" s="14">
        <f>INDEX(属性投放!$BA$6:$BA$85,(BY391-2)*20+CD391)</f>
        <v>688</v>
      </c>
      <c r="CI391" s="14" t="s">
        <v>510</v>
      </c>
      <c r="CJ391" s="14">
        <f>INDEX(属性投放!$BB$6:$BB$85,(BY391-2)*20+CD391)</f>
        <v>9455</v>
      </c>
      <c r="CK391" s="14" t="s">
        <v>21</v>
      </c>
      <c r="CL391" s="14">
        <f>INDEX(属性投放!$BC$6:$BC$85,(BY391-2)*20+CD391)</f>
        <v>15</v>
      </c>
      <c r="CM391" s="14" t="s">
        <v>22</v>
      </c>
      <c r="CN391" s="14">
        <f>INDEX(属性投放!$BD$6:$BD$85,(BY391-2)*20+CD391)</f>
        <v>8</v>
      </c>
      <c r="CO391" s="14" t="s">
        <v>510</v>
      </c>
      <c r="CP391" s="14">
        <f>INDEX(属性投放!$BE$6:$BE$85,(BY391-2)*20+CD391)</f>
        <v>120</v>
      </c>
      <c r="CS391" s="13">
        <v>387</v>
      </c>
      <c r="CT391" s="13">
        <f t="shared" si="756"/>
        <v>8</v>
      </c>
      <c r="CU391" s="13">
        <f t="shared" si="757"/>
        <v>23</v>
      </c>
      <c r="CV391" s="14">
        <f t="shared" si="758"/>
        <v>4</v>
      </c>
      <c r="CW391" s="14">
        <f t="shared" si="759"/>
        <v>1102008</v>
      </c>
      <c r="CX391" s="14" t="str">
        <f>INDEX($O$6:$O$50,CT391)&amp;"-"&amp;INDEX(属性投放!$AB$7:$AB$50,CZ391)&amp;"-魂火-"&amp;DB391</f>
        <v>夏侯渊-大叫唤+1-魂火-2</v>
      </c>
      <c r="CY391" s="25" t="s">
        <v>142</v>
      </c>
      <c r="CZ391" s="14">
        <f>INDEX(属性投放!$AM$7:$AM$58,CU391)</f>
        <v>11</v>
      </c>
      <c r="DA391" s="14" t="s">
        <v>537</v>
      </c>
      <c r="DB391" s="14">
        <f>INDEX(属性投放!$AN$7:$AN$58,CU391)</f>
        <v>2</v>
      </c>
      <c r="DC391" s="14">
        <f t="shared" si="747"/>
        <v>23</v>
      </c>
      <c r="DD391" s="14">
        <f>INDEX(属性投放!$AO$7:$AO$58,DC391)</f>
        <v>75</v>
      </c>
      <c r="DE391" s="14" t="s">
        <v>538</v>
      </c>
      <c r="DF391" s="14">
        <f>INDEX(属性投放!$BK$6:$BK$85,(CV391-2)*20+CZ391)</f>
        <v>170</v>
      </c>
      <c r="DG391" s="14">
        <f>SUMIFS(DF$5:DF391,$CT$5:$CT391,"="&amp;$CT391)</f>
        <v>1910</v>
      </c>
      <c r="DH391" s="14" t="s">
        <v>539</v>
      </c>
      <c r="DI391" s="14">
        <f>INDEX(属性投放!$BL$6:$BL$85,(CV391-2)*20+CZ391)</f>
        <v>85</v>
      </c>
      <c r="DJ391" s="14">
        <f>SUMIFS(DI$5:DI391,$CT$5:$CT391,"="&amp;$CT391)</f>
        <v>960</v>
      </c>
      <c r="DK391" s="14" t="s">
        <v>540</v>
      </c>
      <c r="DL391" s="14">
        <f>INDEX(属性投放!$BM$6:$BM$85,(CV391-2)*20+CZ391)</f>
        <v>1530</v>
      </c>
      <c r="DM391" s="14">
        <f>SUMIFS(DL$5:DL391,$CT$5:$CT391,"="&amp;$CT391)</f>
        <v>15380</v>
      </c>
      <c r="DR391" s="14">
        <f t="shared" si="748"/>
        <v>1102020</v>
      </c>
      <c r="DS391" s="14" t="str">
        <f t="shared" si="749"/>
        <v>高顺7突</v>
      </c>
      <c r="DT391" s="14">
        <f t="shared" si="760"/>
        <v>6</v>
      </c>
      <c r="DU391" s="14">
        <f t="shared" si="761"/>
        <v>5</v>
      </c>
      <c r="DV391" s="14">
        <f t="shared" si="762"/>
        <v>5</v>
      </c>
      <c r="DW391" s="14">
        <f t="shared" si="750"/>
        <v>3</v>
      </c>
      <c r="DX391" s="14">
        <f t="shared" si="751"/>
        <v>7</v>
      </c>
      <c r="DY391" s="14">
        <f t="shared" si="752"/>
        <v>27</v>
      </c>
      <c r="DZ391" s="14">
        <f>INDEX(属性投放!$AX$6:$AX$85,(卡牌属性!DW391-2)*20+卡牌属性!DX391)</f>
        <v>5</v>
      </c>
      <c r="EA391" s="14">
        <f>INDEX(属性投放!BQ$6:BQ$85,卡牌属性!$DY391)</f>
        <v>135</v>
      </c>
      <c r="EB391" s="14">
        <f>INDEX(属性投放!BR$6:BR$85,卡牌属性!$DY391)</f>
        <v>68</v>
      </c>
      <c r="EC391" s="14">
        <f>INDEX(属性投放!BS$6:BS$85,卡牌属性!$DY391)</f>
        <v>1080</v>
      </c>
      <c r="ED391" s="14">
        <f t="shared" si="725"/>
        <v>1196</v>
      </c>
      <c r="EE391" s="14">
        <f t="shared" si="726"/>
        <v>1443</v>
      </c>
      <c r="EF391" s="14">
        <f t="shared" si="727"/>
        <v>1581</v>
      </c>
      <c r="EG391" s="14">
        <f t="shared" si="728"/>
        <v>1581</v>
      </c>
      <c r="EH391" s="14">
        <f t="shared" si="729"/>
        <v>1765</v>
      </c>
      <c r="EI391" s="14">
        <f t="shared" si="730"/>
        <v>506</v>
      </c>
      <c r="EJ391" s="14">
        <f t="shared" si="731"/>
        <v>562</v>
      </c>
      <c r="EK391" s="14">
        <f t="shared" si="732"/>
        <v>562</v>
      </c>
      <c r="EL391" s="14">
        <f t="shared" si="733"/>
        <v>682</v>
      </c>
      <c r="EM391" s="14">
        <f t="shared" si="734"/>
        <v>753</v>
      </c>
      <c r="EN391" s="14">
        <f t="shared" si="735"/>
        <v>6785</v>
      </c>
      <c r="EO391" s="14">
        <f t="shared" si="736"/>
        <v>7377</v>
      </c>
      <c r="EP391" s="14">
        <f t="shared" si="737"/>
        <v>7377</v>
      </c>
      <c r="EQ391" s="14">
        <f t="shared" si="738"/>
        <v>9013</v>
      </c>
      <c r="ER391" s="14">
        <f t="shared" si="739"/>
        <v>9785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120</v>
      </c>
      <c r="FD391" s="14">
        <f>INDEX(属性偏向!$U$4:$U$243,(卡牌属性!$DV391-1+FD$3)*20+卡牌属性!$DX391)</f>
        <v>128</v>
      </c>
      <c r="FE391" s="14">
        <f>INDEX(属性偏向!$U$4:$U$243,(卡牌属性!$DV391-1+FE$3)*20+卡牌属性!$DX391)</f>
        <v>128</v>
      </c>
      <c r="FF391" s="14">
        <f>INDEX(属性偏向!$U$4:$U$243,(卡牌属性!$DV391-1+FF$3)*20+卡牌属性!$DX391)</f>
        <v>200</v>
      </c>
      <c r="FG391" s="14">
        <f>INDEX(属性偏向!$U$4:$U$243,(卡牌属性!$DV391-1+FG$3)*20+卡牌属性!$DX391)</f>
        <v>224</v>
      </c>
      <c r="FH391" s="14">
        <f>INDEX(属性投放!$BQ$6:$BQ$85,(卡牌属性!$DW391-2)*20+卡牌属性!$DX391)</f>
        <v>135</v>
      </c>
      <c r="FI391" s="14">
        <f>INDEX(属性投放!$BQ$6:$BQ$85,(卡牌属性!$DW391-2)*20+卡牌属性!$DX391)</f>
        <v>135</v>
      </c>
      <c r="FJ391" s="14">
        <f>INDEX(属性投放!$BQ$6:$BQ$85,(卡牌属性!$DW391-2)*20+卡牌属性!$DX391)</f>
        <v>135</v>
      </c>
      <c r="FK391" s="14">
        <f>INDEX(属性投放!$BQ$6:$BQ$85,(卡牌属性!$DW391-2)*20+卡牌属性!$DX391)</f>
        <v>135</v>
      </c>
      <c r="FL391" s="14">
        <f>INDEX(属性投放!$BQ$6:$BQ$85,(卡牌属性!$DW391-2)*20+卡牌属性!$DX391)</f>
        <v>135</v>
      </c>
      <c r="FM391" s="14">
        <f>INDEX(属性投放!$BR$6:$BR$85,(卡牌属性!$DW391-2)*20+卡牌属性!$DX391)</f>
        <v>68</v>
      </c>
      <c r="FN391" s="14">
        <f>INDEX(属性投放!$BR$6:$BR$85,(卡牌属性!$DW391-2)*20+卡牌属性!$DX391)</f>
        <v>68</v>
      </c>
      <c r="FO391" s="14">
        <f>INDEX(属性投放!$BR$6:$BR$85,(卡牌属性!$DW391-2)*20+卡牌属性!$DX391)</f>
        <v>68</v>
      </c>
      <c r="FP391" s="14">
        <f>INDEX(属性投放!$BR$6:$BR$85,(卡牌属性!$DW391-2)*20+卡牌属性!$DX391)</f>
        <v>68</v>
      </c>
      <c r="FQ391" s="14">
        <f>INDEX(属性投放!$BR$6:$BR$85,(卡牌属性!$DW391-2)*20+卡牌属性!$DX391)</f>
        <v>68</v>
      </c>
      <c r="FR391" s="14">
        <f>INDEX(属性投放!$BS$6:$BS$85,(卡牌属性!$DW391-2)*20+卡牌属性!$DX391)</f>
        <v>1080</v>
      </c>
      <c r="FS391" s="14">
        <f>INDEX(属性投放!$BS$6:$BS$85,(卡牌属性!$DW391-2)*20+卡牌属性!$DX391)</f>
        <v>1080</v>
      </c>
      <c r="FT391" s="14">
        <f>INDEX(属性投放!$BS$6:$BS$85,(卡牌属性!$DW391-2)*20+卡牌属性!$DX391)</f>
        <v>1080</v>
      </c>
      <c r="FU391" s="14">
        <f>INDEX(属性投放!$BS$6:$BS$85,(卡牌属性!$DW391-2)*20+卡牌属性!$DX391)</f>
        <v>1080</v>
      </c>
      <c r="FV391" s="14">
        <f>INDEX(属性投放!$BS$6:$BS$85,(卡牌属性!$DW391-2)*20+卡牌属性!$DX391)</f>
        <v>1080</v>
      </c>
    </row>
    <row r="392" spans="31:178" ht="16.5" x14ac:dyDescent="0.2">
      <c r="AE392" s="13">
        <v>388</v>
      </c>
      <c r="AF392" s="13">
        <f t="shared" si="753"/>
        <v>20</v>
      </c>
      <c r="AG392" s="13">
        <f t="shared" si="740"/>
        <v>3</v>
      </c>
      <c r="AH392" s="13"/>
      <c r="AI392" s="13"/>
      <c r="AJ392" s="14">
        <f t="shared" si="741"/>
        <v>1101023</v>
      </c>
      <c r="AK392" s="14" t="str">
        <f t="shared" si="742"/>
        <v>朱童8突</v>
      </c>
      <c r="AL392" s="25" t="s">
        <v>142</v>
      </c>
      <c r="AM392" s="14">
        <v>1</v>
      </c>
      <c r="AN392" s="14">
        <f t="shared" si="743"/>
        <v>8</v>
      </c>
      <c r="AO392" s="14">
        <f>INDEX(属性投放!$DF$6:$DF$85,(卡牌属性!AG392-2)*20+卡牌属性!AN392)</f>
        <v>1622</v>
      </c>
      <c r="AP392" s="14">
        <f t="shared" si="719"/>
        <v>1622</v>
      </c>
      <c r="AQ392" s="14">
        <f t="shared" si="719"/>
        <v>1622</v>
      </c>
      <c r="AR392" s="14">
        <f t="shared" si="719"/>
        <v>1622</v>
      </c>
      <c r="AS392" s="14">
        <f t="shared" si="719"/>
        <v>1622</v>
      </c>
      <c r="AT392" s="14">
        <f>INDEX(属性投放!$DG$6:$DG$85,(卡牌属性!AG392-2)*20+卡牌属性!AN392)</f>
        <v>733</v>
      </c>
      <c r="AU392" s="14">
        <f t="shared" si="720"/>
        <v>733</v>
      </c>
      <c r="AV392" s="14">
        <f t="shared" si="720"/>
        <v>733</v>
      </c>
      <c r="AW392" s="14">
        <f t="shared" si="720"/>
        <v>733</v>
      </c>
      <c r="AX392" s="14">
        <f t="shared" si="720"/>
        <v>733</v>
      </c>
      <c r="AY392" s="14">
        <f>INDEX(属性投放!$DH$6:$DH$85,(卡牌属性!AG392-2)*20+卡牌属性!AN392)</f>
        <v>10421</v>
      </c>
      <c r="AZ392" s="14">
        <f t="shared" si="721"/>
        <v>10421</v>
      </c>
      <c r="BA392" s="14">
        <f t="shared" si="721"/>
        <v>10421</v>
      </c>
      <c r="BB392" s="14">
        <f t="shared" si="721"/>
        <v>10421</v>
      </c>
      <c r="BC392" s="14">
        <f t="shared" si="721"/>
        <v>10421</v>
      </c>
      <c r="BD392" s="14">
        <f>INDEX(属性投放!$DL$6:$DL$85,(卡牌属性!AG392-2)*20+卡牌属性!AN392)</f>
        <v>46</v>
      </c>
      <c r="BE392" s="14">
        <f t="shared" si="722"/>
        <v>46</v>
      </c>
      <c r="BF392" s="14">
        <f t="shared" si="722"/>
        <v>46</v>
      </c>
      <c r="BG392" s="14">
        <f t="shared" si="722"/>
        <v>46</v>
      </c>
      <c r="BH392" s="14">
        <f t="shared" si="722"/>
        <v>46</v>
      </c>
      <c r="BI392" s="14">
        <f>INDEX(属性投放!$DM$6:$DM$85,(卡牌属性!AG392-2)*20+卡牌属性!AN392)</f>
        <v>24</v>
      </c>
      <c r="BJ392" s="14">
        <f t="shared" si="723"/>
        <v>24</v>
      </c>
      <c r="BK392" s="14">
        <f t="shared" si="723"/>
        <v>24</v>
      </c>
      <c r="BL392" s="14">
        <f t="shared" si="723"/>
        <v>24</v>
      </c>
      <c r="BM392" s="14">
        <f t="shared" si="723"/>
        <v>24</v>
      </c>
      <c r="BN392" s="14">
        <f>INDEX(属性投放!$DN$6:$DN$85,(卡牌属性!AG392-2)*20+卡牌属性!AN392)</f>
        <v>371</v>
      </c>
      <c r="BO392" s="14">
        <f t="shared" si="724"/>
        <v>371</v>
      </c>
      <c r="BP392" s="14">
        <f t="shared" si="724"/>
        <v>371</v>
      </c>
      <c r="BQ392" s="14">
        <f t="shared" si="724"/>
        <v>371</v>
      </c>
      <c r="BR392" s="14">
        <f t="shared" si="724"/>
        <v>371</v>
      </c>
      <c r="BW392" s="13">
        <v>388</v>
      </c>
      <c r="BX392" s="13">
        <f t="shared" si="744"/>
        <v>20</v>
      </c>
      <c r="BY392" s="14">
        <f t="shared" si="745"/>
        <v>3</v>
      </c>
      <c r="BZ392" s="14">
        <f t="shared" si="754"/>
        <v>1102020</v>
      </c>
      <c r="CA392" s="14" t="str">
        <f t="shared" si="755"/>
        <v>高顺8突</v>
      </c>
      <c r="CB392" s="25" t="s">
        <v>142</v>
      </c>
      <c r="CC392" s="14">
        <v>2</v>
      </c>
      <c r="CD392" s="14">
        <f t="shared" si="746"/>
        <v>8</v>
      </c>
      <c r="CE392" s="14" t="s">
        <v>21</v>
      </c>
      <c r="CF392" s="14">
        <f>INDEX(属性投放!$AZ$6:$AZ$85,(BY392-2)*20+CD392)</f>
        <v>1851</v>
      </c>
      <c r="CG392" s="14" t="s">
        <v>22</v>
      </c>
      <c r="CH392" s="14">
        <f>INDEX(属性投放!$BA$6:$BA$85,(BY392-2)*20+CD392)</f>
        <v>866</v>
      </c>
      <c r="CI392" s="14" t="s">
        <v>510</v>
      </c>
      <c r="CJ392" s="14">
        <f>INDEX(属性投放!$BB$6:$BB$85,(BY392-2)*20+CD392)</f>
        <v>12255</v>
      </c>
      <c r="CK392" s="14" t="s">
        <v>21</v>
      </c>
      <c r="CL392" s="14">
        <f>INDEX(属性投放!$BC$6:$BC$85,(BY392-2)*20+CD392)</f>
        <v>15</v>
      </c>
      <c r="CM392" s="14" t="s">
        <v>22</v>
      </c>
      <c r="CN392" s="14">
        <f>INDEX(属性投放!$BD$6:$BD$85,(BY392-2)*20+CD392)</f>
        <v>8</v>
      </c>
      <c r="CO392" s="14" t="s">
        <v>510</v>
      </c>
      <c r="CP392" s="14">
        <f>INDEX(属性投放!$BE$6:$BE$85,(BY392-2)*20+CD392)</f>
        <v>120</v>
      </c>
      <c r="CS392" s="13">
        <v>388</v>
      </c>
      <c r="CT392" s="13">
        <f t="shared" si="756"/>
        <v>8</v>
      </c>
      <c r="CU392" s="13">
        <f t="shared" si="757"/>
        <v>24</v>
      </c>
      <c r="CV392" s="14">
        <f t="shared" si="758"/>
        <v>4</v>
      </c>
      <c r="CW392" s="14">
        <f t="shared" si="759"/>
        <v>1102008</v>
      </c>
      <c r="CX392" s="14" t="str">
        <f>INDEX($O$6:$O$50,CT392)&amp;"-"&amp;INDEX(属性投放!$AB$7:$AB$50,CZ392)&amp;"-魂火-"&amp;DB392</f>
        <v>夏侯渊-大叫唤+1-魂火-3</v>
      </c>
      <c r="CY392" s="25" t="s">
        <v>142</v>
      </c>
      <c r="CZ392" s="14">
        <f>INDEX(属性投放!$AM$7:$AM$58,CU392)</f>
        <v>11</v>
      </c>
      <c r="DA392" s="14" t="s">
        <v>537</v>
      </c>
      <c r="DB392" s="14">
        <f>INDEX(属性投放!$AN$7:$AN$58,CU392)</f>
        <v>3</v>
      </c>
      <c r="DC392" s="14">
        <f t="shared" si="747"/>
        <v>24</v>
      </c>
      <c r="DD392" s="14">
        <f>INDEX(属性投放!$AO$7:$AO$58,DC392)</f>
        <v>78</v>
      </c>
      <c r="DE392" s="14" t="s">
        <v>538</v>
      </c>
      <c r="DF392" s="14">
        <f>INDEX(属性投放!$BK$6:$BK$85,(CV392-2)*20+CZ392)</f>
        <v>170</v>
      </c>
      <c r="DG392" s="14">
        <f>SUMIFS(DF$5:DF392,$CT$5:$CT392,"="&amp;$CT392)</f>
        <v>2080</v>
      </c>
      <c r="DH392" s="14" t="s">
        <v>539</v>
      </c>
      <c r="DI392" s="14">
        <f>INDEX(属性投放!$BL$6:$BL$85,(CV392-2)*20+CZ392)</f>
        <v>85</v>
      </c>
      <c r="DJ392" s="14">
        <f>SUMIFS(DI$5:DI392,$CT$5:$CT392,"="&amp;$CT392)</f>
        <v>1045</v>
      </c>
      <c r="DK392" s="14" t="s">
        <v>540</v>
      </c>
      <c r="DL392" s="14">
        <f>INDEX(属性投放!$BM$6:$BM$85,(CV392-2)*20+CZ392)</f>
        <v>1530</v>
      </c>
      <c r="DM392" s="14">
        <f>SUMIFS(DL$5:DL392,$CT$5:$CT392,"="&amp;$CT392)</f>
        <v>16910</v>
      </c>
      <c r="DR392" s="14">
        <f t="shared" si="748"/>
        <v>1102020</v>
      </c>
      <c r="DS392" s="14" t="str">
        <f t="shared" si="749"/>
        <v>高顺8突</v>
      </c>
      <c r="DT392" s="14">
        <f t="shared" si="760"/>
        <v>6</v>
      </c>
      <c r="DU392" s="14">
        <f t="shared" si="761"/>
        <v>5</v>
      </c>
      <c r="DV392" s="14">
        <f t="shared" si="762"/>
        <v>5</v>
      </c>
      <c r="DW392" s="14">
        <f t="shared" si="750"/>
        <v>3</v>
      </c>
      <c r="DX392" s="14">
        <f t="shared" si="751"/>
        <v>8</v>
      </c>
      <c r="DY392" s="14">
        <f t="shared" si="752"/>
        <v>28</v>
      </c>
      <c r="DZ392" s="14">
        <f>INDEX(属性投放!$AX$6:$AX$85,(卡牌属性!DW392-2)*20+卡牌属性!DX392)</f>
        <v>5</v>
      </c>
      <c r="EA392" s="14">
        <f>INDEX(属性投放!BQ$6:BQ$85,卡牌属性!$DY392)</f>
        <v>125</v>
      </c>
      <c r="EB392" s="14">
        <f>INDEX(属性投放!BR$6:BR$85,卡牌属性!$DY392)</f>
        <v>63</v>
      </c>
      <c r="EC392" s="14">
        <f>INDEX(属性投放!BS$6:BS$85,卡牌属性!$DY392)</f>
        <v>1000</v>
      </c>
      <c r="ED392" s="14">
        <f t="shared" si="725"/>
        <v>1411</v>
      </c>
      <c r="EE392" s="14">
        <f t="shared" si="726"/>
        <v>1703</v>
      </c>
      <c r="EF392" s="14">
        <f t="shared" si="727"/>
        <v>1856</v>
      </c>
      <c r="EG392" s="14">
        <f t="shared" si="728"/>
        <v>1856</v>
      </c>
      <c r="EH392" s="14">
        <f t="shared" si="729"/>
        <v>2050</v>
      </c>
      <c r="EI392" s="14">
        <f t="shared" si="730"/>
        <v>614</v>
      </c>
      <c r="EJ392" s="14">
        <f t="shared" si="731"/>
        <v>670</v>
      </c>
      <c r="EK392" s="14">
        <f t="shared" si="732"/>
        <v>670</v>
      </c>
      <c r="EL392" s="14">
        <f t="shared" si="733"/>
        <v>815</v>
      </c>
      <c r="EM392" s="14">
        <f t="shared" si="734"/>
        <v>891</v>
      </c>
      <c r="EN392" s="14">
        <f t="shared" si="735"/>
        <v>8465</v>
      </c>
      <c r="EO392" s="14">
        <f t="shared" si="736"/>
        <v>9097</v>
      </c>
      <c r="EP392" s="14">
        <f t="shared" si="737"/>
        <v>9097</v>
      </c>
      <c r="EQ392" s="14">
        <f t="shared" si="738"/>
        <v>11093</v>
      </c>
      <c r="ER392" s="14">
        <f t="shared" si="739"/>
        <v>11985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120</v>
      </c>
      <c r="FD392" s="14">
        <f>INDEX(属性偏向!$U$4:$U$243,(卡牌属性!$DV392-1+FD$3)*20+卡牌属性!$DX392)</f>
        <v>128</v>
      </c>
      <c r="FE392" s="14">
        <f>INDEX(属性偏向!$U$4:$U$243,(卡牌属性!$DV392-1+FE$3)*20+卡牌属性!$DX392)</f>
        <v>128</v>
      </c>
      <c r="FF392" s="14">
        <f>INDEX(属性偏向!$U$4:$U$243,(卡牌属性!$DV392-1+FF$3)*20+卡牌属性!$DX392)</f>
        <v>200</v>
      </c>
      <c r="FG392" s="14">
        <f>INDEX(属性偏向!$U$4:$U$243,(卡牌属性!$DV392-1+FG$3)*20+卡牌属性!$DX392)</f>
        <v>224</v>
      </c>
      <c r="FH392" s="14">
        <f>INDEX(属性投放!$BQ$6:$BQ$85,(卡牌属性!$DW392-2)*20+卡牌属性!$DX392)</f>
        <v>125</v>
      </c>
      <c r="FI392" s="14">
        <f>INDEX(属性投放!$BQ$6:$BQ$85,(卡牌属性!$DW392-2)*20+卡牌属性!$DX392)</f>
        <v>125</v>
      </c>
      <c r="FJ392" s="14">
        <f>INDEX(属性投放!$BQ$6:$BQ$85,(卡牌属性!$DW392-2)*20+卡牌属性!$DX392)</f>
        <v>125</v>
      </c>
      <c r="FK392" s="14">
        <f>INDEX(属性投放!$BQ$6:$BQ$85,(卡牌属性!$DW392-2)*20+卡牌属性!$DX392)</f>
        <v>125</v>
      </c>
      <c r="FL392" s="14">
        <f>INDEX(属性投放!$BQ$6:$BQ$85,(卡牌属性!$DW392-2)*20+卡牌属性!$DX392)</f>
        <v>125</v>
      </c>
      <c r="FM392" s="14">
        <f>INDEX(属性投放!$BR$6:$BR$85,(卡牌属性!$DW392-2)*20+卡牌属性!$DX392)</f>
        <v>63</v>
      </c>
      <c r="FN392" s="14">
        <f>INDEX(属性投放!$BR$6:$BR$85,(卡牌属性!$DW392-2)*20+卡牌属性!$DX392)</f>
        <v>63</v>
      </c>
      <c r="FO392" s="14">
        <f>INDEX(属性投放!$BR$6:$BR$85,(卡牌属性!$DW392-2)*20+卡牌属性!$DX392)</f>
        <v>63</v>
      </c>
      <c r="FP392" s="14">
        <f>INDEX(属性投放!$BR$6:$BR$85,(卡牌属性!$DW392-2)*20+卡牌属性!$DX392)</f>
        <v>63</v>
      </c>
      <c r="FQ392" s="14">
        <f>INDEX(属性投放!$BR$6:$BR$85,(卡牌属性!$DW392-2)*20+卡牌属性!$DX392)</f>
        <v>63</v>
      </c>
      <c r="FR392" s="14">
        <f>INDEX(属性投放!$BS$6:$BS$85,(卡牌属性!$DW392-2)*20+卡牌属性!$DX392)</f>
        <v>1000</v>
      </c>
      <c r="FS392" s="14">
        <f>INDEX(属性投放!$BS$6:$BS$85,(卡牌属性!$DW392-2)*20+卡牌属性!$DX392)</f>
        <v>1000</v>
      </c>
      <c r="FT392" s="14">
        <f>INDEX(属性投放!$BS$6:$BS$85,(卡牌属性!$DW392-2)*20+卡牌属性!$DX392)</f>
        <v>1000</v>
      </c>
      <c r="FU392" s="14">
        <f>INDEX(属性投放!$BS$6:$BS$85,(卡牌属性!$DW392-2)*20+卡牌属性!$DX392)</f>
        <v>1000</v>
      </c>
      <c r="FV392" s="14">
        <f>INDEX(属性投放!$BS$6:$BS$85,(卡牌属性!$DW392-2)*20+卡牌属性!$DX392)</f>
        <v>1000</v>
      </c>
    </row>
    <row r="393" spans="31:178" ht="16.5" x14ac:dyDescent="0.2">
      <c r="AE393" s="13">
        <v>389</v>
      </c>
      <c r="AF393" s="13">
        <f t="shared" si="753"/>
        <v>20</v>
      </c>
      <c r="AG393" s="13">
        <f t="shared" si="740"/>
        <v>3</v>
      </c>
      <c r="AH393" s="13"/>
      <c r="AI393" s="13"/>
      <c r="AJ393" s="14">
        <f t="shared" si="741"/>
        <v>1101023</v>
      </c>
      <c r="AK393" s="14" t="str">
        <f t="shared" si="742"/>
        <v>朱童9突</v>
      </c>
      <c r="AL393" s="25" t="s">
        <v>142</v>
      </c>
      <c r="AM393" s="14">
        <v>1</v>
      </c>
      <c r="AN393" s="14">
        <f t="shared" si="743"/>
        <v>9</v>
      </c>
      <c r="AO393" s="14">
        <f>INDEX(属性投放!$DF$6:$DF$85,(卡牌属性!AG393-2)*20+卡牌属性!AN393)</f>
        <v>1755</v>
      </c>
      <c r="AP393" s="14">
        <f t="shared" si="719"/>
        <v>1755</v>
      </c>
      <c r="AQ393" s="14">
        <f t="shared" si="719"/>
        <v>1755</v>
      </c>
      <c r="AR393" s="14">
        <f t="shared" si="719"/>
        <v>1755</v>
      </c>
      <c r="AS393" s="14">
        <f t="shared" si="719"/>
        <v>1755</v>
      </c>
      <c r="AT393" s="14">
        <f>INDEX(属性投放!$DG$6:$DG$85,(卡牌属性!AG393-2)*20+卡牌属性!AN393)</f>
        <v>800</v>
      </c>
      <c r="AU393" s="14">
        <f t="shared" si="720"/>
        <v>800</v>
      </c>
      <c r="AV393" s="14">
        <f t="shared" si="720"/>
        <v>800</v>
      </c>
      <c r="AW393" s="14">
        <f t="shared" si="720"/>
        <v>800</v>
      </c>
      <c r="AX393" s="14">
        <f t="shared" si="720"/>
        <v>800</v>
      </c>
      <c r="AY393" s="14">
        <f>INDEX(属性投放!$DH$6:$DH$85,(卡牌属性!AG393-2)*20+卡牌属性!AN393)</f>
        <v>11481</v>
      </c>
      <c r="AZ393" s="14">
        <f t="shared" si="721"/>
        <v>11481</v>
      </c>
      <c r="BA393" s="14">
        <f t="shared" si="721"/>
        <v>11481</v>
      </c>
      <c r="BB393" s="14">
        <f t="shared" si="721"/>
        <v>11481</v>
      </c>
      <c r="BC393" s="14">
        <f t="shared" si="721"/>
        <v>11481</v>
      </c>
      <c r="BD393" s="14">
        <f>INDEX(属性投放!$DL$6:$DL$85,(卡牌属性!AG393-2)*20+卡牌属性!AN393)</f>
        <v>46</v>
      </c>
      <c r="BE393" s="14">
        <f t="shared" si="722"/>
        <v>46</v>
      </c>
      <c r="BF393" s="14">
        <f t="shared" si="722"/>
        <v>46</v>
      </c>
      <c r="BG393" s="14">
        <f t="shared" si="722"/>
        <v>46</v>
      </c>
      <c r="BH393" s="14">
        <f t="shared" si="722"/>
        <v>46</v>
      </c>
      <c r="BI393" s="14">
        <f>INDEX(属性投放!$DM$6:$DM$85,(卡牌属性!AG393-2)*20+卡牌属性!AN393)</f>
        <v>24</v>
      </c>
      <c r="BJ393" s="14">
        <f t="shared" si="723"/>
        <v>24</v>
      </c>
      <c r="BK393" s="14">
        <f t="shared" si="723"/>
        <v>24</v>
      </c>
      <c r="BL393" s="14">
        <f t="shared" si="723"/>
        <v>24</v>
      </c>
      <c r="BM393" s="14">
        <f t="shared" si="723"/>
        <v>24</v>
      </c>
      <c r="BN393" s="14">
        <f>INDEX(属性投放!$DN$6:$DN$85,(卡牌属性!AG393-2)*20+卡牌属性!AN393)</f>
        <v>371</v>
      </c>
      <c r="BO393" s="14">
        <f t="shared" si="724"/>
        <v>371</v>
      </c>
      <c r="BP393" s="14">
        <f t="shared" si="724"/>
        <v>371</v>
      </c>
      <c r="BQ393" s="14">
        <f t="shared" si="724"/>
        <v>371</v>
      </c>
      <c r="BR393" s="14">
        <f t="shared" si="724"/>
        <v>371</v>
      </c>
      <c r="BW393" s="13">
        <v>389</v>
      </c>
      <c r="BX393" s="13">
        <f t="shared" si="744"/>
        <v>20</v>
      </c>
      <c r="BY393" s="14">
        <f t="shared" si="745"/>
        <v>3</v>
      </c>
      <c r="BZ393" s="14">
        <f t="shared" si="754"/>
        <v>1102020</v>
      </c>
      <c r="CA393" s="14" t="str">
        <f t="shared" si="755"/>
        <v>高顺9突</v>
      </c>
      <c r="CB393" s="25" t="s">
        <v>142</v>
      </c>
      <c r="CC393" s="14">
        <v>2</v>
      </c>
      <c r="CD393" s="14">
        <f t="shared" si="746"/>
        <v>9</v>
      </c>
      <c r="CE393" s="14" t="s">
        <v>21</v>
      </c>
      <c r="CF393" s="14">
        <f>INDEX(属性投放!$AZ$6:$AZ$85,(BY393-2)*20+CD393)</f>
        <v>2221</v>
      </c>
      <c r="CG393" s="14" t="s">
        <v>22</v>
      </c>
      <c r="CH393" s="14">
        <f>INDEX(属性投放!$BA$6:$BA$85,(BY393-2)*20+CD393)</f>
        <v>1055</v>
      </c>
      <c r="CI393" s="14" t="s">
        <v>510</v>
      </c>
      <c r="CJ393" s="14">
        <f>INDEX(属性投放!$BB$6:$BB$85,(BY393-2)*20+CD393)</f>
        <v>15215</v>
      </c>
      <c r="CK393" s="14" t="s">
        <v>21</v>
      </c>
      <c r="CL393" s="14">
        <f>INDEX(属性投放!$BC$6:$BC$85,(BY393-2)*20+CD393)</f>
        <v>15</v>
      </c>
      <c r="CM393" s="14" t="s">
        <v>22</v>
      </c>
      <c r="CN393" s="14">
        <f>INDEX(属性投放!$BD$6:$BD$85,(BY393-2)*20+CD393)</f>
        <v>8</v>
      </c>
      <c r="CO393" s="14" t="s">
        <v>510</v>
      </c>
      <c r="CP393" s="14">
        <f>INDEX(属性投放!$BE$6:$BE$85,(BY393-2)*20+CD393)</f>
        <v>120</v>
      </c>
      <c r="CS393" s="13">
        <v>389</v>
      </c>
      <c r="CT393" s="13">
        <f t="shared" si="756"/>
        <v>8</v>
      </c>
      <c r="CU393" s="13">
        <f t="shared" si="757"/>
        <v>25</v>
      </c>
      <c r="CV393" s="14">
        <f t="shared" si="758"/>
        <v>4</v>
      </c>
      <c r="CW393" s="14">
        <f t="shared" si="759"/>
        <v>1102008</v>
      </c>
      <c r="CX393" s="14" t="str">
        <f>INDEX($O$6:$O$50,CT393)&amp;"-"&amp;INDEX(属性投放!$AB$7:$AB$50,CZ393)&amp;"-魂火-"&amp;DB393</f>
        <v>夏侯渊-大叫唤+2-魂火-1</v>
      </c>
      <c r="CY393" s="25" t="s">
        <v>142</v>
      </c>
      <c r="CZ393" s="14">
        <f>INDEX(属性投放!$AM$7:$AM$58,CU393)</f>
        <v>12</v>
      </c>
      <c r="DA393" s="14" t="s">
        <v>537</v>
      </c>
      <c r="DB393" s="14">
        <f>INDEX(属性投放!$AN$7:$AN$58,CU393)</f>
        <v>1</v>
      </c>
      <c r="DC393" s="14">
        <f t="shared" si="747"/>
        <v>25</v>
      </c>
      <c r="DD393" s="14">
        <f>INDEX(属性投放!$AO$7:$AO$58,DC393)</f>
        <v>80</v>
      </c>
      <c r="DE393" s="14" t="s">
        <v>538</v>
      </c>
      <c r="DF393" s="14">
        <f>INDEX(属性投放!$BK$6:$BK$85,(CV393-2)*20+CZ393)</f>
        <v>225</v>
      </c>
      <c r="DG393" s="14">
        <f>SUMIFS(DF$5:DF393,$CT$5:$CT393,"="&amp;$CT393)</f>
        <v>2305</v>
      </c>
      <c r="DH393" s="14" t="s">
        <v>539</v>
      </c>
      <c r="DI393" s="14">
        <f>INDEX(属性投放!$BL$6:$BL$85,(CV393-2)*20+CZ393)</f>
        <v>113</v>
      </c>
      <c r="DJ393" s="14">
        <f>SUMIFS(DI$5:DI393,$CT$5:$CT393,"="&amp;$CT393)</f>
        <v>1158</v>
      </c>
      <c r="DK393" s="14" t="s">
        <v>540</v>
      </c>
      <c r="DL393" s="14">
        <f>INDEX(属性投放!$BM$6:$BM$85,(CV393-2)*20+CZ393)</f>
        <v>2025</v>
      </c>
      <c r="DM393" s="14">
        <f>SUMIFS(DL$5:DL393,$CT$5:$CT393,"="&amp;$CT393)</f>
        <v>18935</v>
      </c>
      <c r="DR393" s="14">
        <f t="shared" si="748"/>
        <v>1102020</v>
      </c>
      <c r="DS393" s="14" t="str">
        <f t="shared" si="749"/>
        <v>高顺9突</v>
      </c>
      <c r="DT393" s="14">
        <f t="shared" si="760"/>
        <v>6</v>
      </c>
      <c r="DU393" s="14">
        <f t="shared" si="761"/>
        <v>5</v>
      </c>
      <c r="DV393" s="14">
        <f t="shared" si="762"/>
        <v>5</v>
      </c>
      <c r="DW393" s="14">
        <f t="shared" si="750"/>
        <v>3</v>
      </c>
      <c r="DX393" s="14">
        <f t="shared" si="751"/>
        <v>9</v>
      </c>
      <c r="DY393" s="14">
        <f t="shared" si="752"/>
        <v>29</v>
      </c>
      <c r="DZ393" s="14">
        <f>INDEX(属性投放!$AX$6:$AX$85,(卡牌属性!DW393-2)*20+卡牌属性!DX393)</f>
        <v>8</v>
      </c>
      <c r="EA393" s="14">
        <f>INDEX(属性投放!BQ$6:BQ$85,卡牌属性!$DY393)</f>
        <v>185</v>
      </c>
      <c r="EB393" s="14">
        <f>INDEX(属性投放!BR$6:BR$85,卡牌属性!$DY393)</f>
        <v>93</v>
      </c>
      <c r="EC393" s="14">
        <f>INDEX(属性投放!BS$6:BS$85,卡牌属性!$DY393)</f>
        <v>1480</v>
      </c>
      <c r="ED393" s="14">
        <f t="shared" si="725"/>
        <v>1616</v>
      </c>
      <c r="EE393" s="14">
        <f t="shared" si="726"/>
        <v>1953</v>
      </c>
      <c r="EF393" s="14">
        <f t="shared" si="727"/>
        <v>2121</v>
      </c>
      <c r="EG393" s="14">
        <f t="shared" si="728"/>
        <v>2121</v>
      </c>
      <c r="EH393" s="14">
        <f t="shared" si="729"/>
        <v>2325</v>
      </c>
      <c r="EI393" s="14">
        <f t="shared" si="730"/>
        <v>717</v>
      </c>
      <c r="EJ393" s="14">
        <f t="shared" si="731"/>
        <v>773</v>
      </c>
      <c r="EK393" s="14">
        <f t="shared" si="732"/>
        <v>773</v>
      </c>
      <c r="EL393" s="14">
        <f t="shared" si="733"/>
        <v>943</v>
      </c>
      <c r="EM393" s="14">
        <f t="shared" si="734"/>
        <v>1024</v>
      </c>
      <c r="EN393" s="14">
        <f t="shared" si="735"/>
        <v>10065</v>
      </c>
      <c r="EO393" s="14">
        <f t="shared" si="736"/>
        <v>10737</v>
      </c>
      <c r="EP393" s="14">
        <f t="shared" si="737"/>
        <v>10737</v>
      </c>
      <c r="EQ393" s="14">
        <f t="shared" si="738"/>
        <v>13093</v>
      </c>
      <c r="ER393" s="14">
        <f t="shared" si="739"/>
        <v>14105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120</v>
      </c>
      <c r="FD393" s="14">
        <f>INDEX(属性偏向!$U$4:$U$243,(卡牌属性!$DV393-1+FD$3)*20+卡牌属性!$DX393)</f>
        <v>128</v>
      </c>
      <c r="FE393" s="14">
        <f>INDEX(属性偏向!$U$4:$U$243,(卡牌属性!$DV393-1+FE$3)*20+卡牌属性!$DX393)</f>
        <v>128</v>
      </c>
      <c r="FF393" s="14">
        <f>INDEX(属性偏向!$U$4:$U$243,(卡牌属性!$DV393-1+FF$3)*20+卡牌属性!$DX393)</f>
        <v>200</v>
      </c>
      <c r="FG393" s="14">
        <f>INDEX(属性偏向!$U$4:$U$243,(卡牌属性!$DV393-1+FG$3)*20+卡牌属性!$DX393)</f>
        <v>224</v>
      </c>
      <c r="FH393" s="14">
        <f>INDEX(属性投放!$BQ$6:$BQ$85,(卡牌属性!$DW393-2)*20+卡牌属性!$DX393)</f>
        <v>185</v>
      </c>
      <c r="FI393" s="14">
        <f>INDEX(属性投放!$BQ$6:$BQ$85,(卡牌属性!$DW393-2)*20+卡牌属性!$DX393)</f>
        <v>185</v>
      </c>
      <c r="FJ393" s="14">
        <f>INDEX(属性投放!$BQ$6:$BQ$85,(卡牌属性!$DW393-2)*20+卡牌属性!$DX393)</f>
        <v>185</v>
      </c>
      <c r="FK393" s="14">
        <f>INDEX(属性投放!$BQ$6:$BQ$85,(卡牌属性!$DW393-2)*20+卡牌属性!$DX393)</f>
        <v>185</v>
      </c>
      <c r="FL393" s="14">
        <f>INDEX(属性投放!$BQ$6:$BQ$85,(卡牌属性!$DW393-2)*20+卡牌属性!$DX393)</f>
        <v>185</v>
      </c>
      <c r="FM393" s="14">
        <f>INDEX(属性投放!$BR$6:$BR$85,(卡牌属性!$DW393-2)*20+卡牌属性!$DX393)</f>
        <v>93</v>
      </c>
      <c r="FN393" s="14">
        <f>INDEX(属性投放!$BR$6:$BR$85,(卡牌属性!$DW393-2)*20+卡牌属性!$DX393)</f>
        <v>93</v>
      </c>
      <c r="FO393" s="14">
        <f>INDEX(属性投放!$BR$6:$BR$85,(卡牌属性!$DW393-2)*20+卡牌属性!$DX393)</f>
        <v>93</v>
      </c>
      <c r="FP393" s="14">
        <f>INDEX(属性投放!$BR$6:$BR$85,(卡牌属性!$DW393-2)*20+卡牌属性!$DX393)</f>
        <v>93</v>
      </c>
      <c r="FQ393" s="14">
        <f>INDEX(属性投放!$BR$6:$BR$85,(卡牌属性!$DW393-2)*20+卡牌属性!$DX393)</f>
        <v>93</v>
      </c>
      <c r="FR393" s="14">
        <f>INDEX(属性投放!$BS$6:$BS$85,(卡牌属性!$DW393-2)*20+卡牌属性!$DX393)</f>
        <v>1480</v>
      </c>
      <c r="FS393" s="14">
        <f>INDEX(属性投放!$BS$6:$BS$85,(卡牌属性!$DW393-2)*20+卡牌属性!$DX393)</f>
        <v>1480</v>
      </c>
      <c r="FT393" s="14">
        <f>INDEX(属性投放!$BS$6:$BS$85,(卡牌属性!$DW393-2)*20+卡牌属性!$DX393)</f>
        <v>1480</v>
      </c>
      <c r="FU393" s="14">
        <f>INDEX(属性投放!$BS$6:$BS$85,(卡牌属性!$DW393-2)*20+卡牌属性!$DX393)</f>
        <v>1480</v>
      </c>
      <c r="FV393" s="14">
        <f>INDEX(属性投放!$BS$6:$BS$85,(卡牌属性!$DW393-2)*20+卡牌属性!$DX393)</f>
        <v>1480</v>
      </c>
    </row>
    <row r="394" spans="31:178" ht="16.5" x14ac:dyDescent="0.2">
      <c r="AE394" s="13">
        <v>390</v>
      </c>
      <c r="AF394" s="13">
        <f t="shared" si="753"/>
        <v>20</v>
      </c>
      <c r="AG394" s="13">
        <f t="shared" si="740"/>
        <v>3</v>
      </c>
      <c r="AH394" s="13"/>
      <c r="AI394" s="13"/>
      <c r="AJ394" s="14">
        <f t="shared" si="741"/>
        <v>1101023</v>
      </c>
      <c r="AK394" s="14" t="str">
        <f t="shared" si="742"/>
        <v>朱童10突</v>
      </c>
      <c r="AL394" s="25" t="s">
        <v>142</v>
      </c>
      <c r="AM394" s="14">
        <v>1</v>
      </c>
      <c r="AN394" s="14">
        <f t="shared" si="743"/>
        <v>10</v>
      </c>
      <c r="AO394" s="14">
        <f>INDEX(属性投放!$DF$6:$DF$85,(卡牌属性!AG394-2)*20+卡牌属性!AN394)</f>
        <v>2578</v>
      </c>
      <c r="AP394" s="14">
        <f t="shared" si="719"/>
        <v>2578</v>
      </c>
      <c r="AQ394" s="14">
        <f t="shared" si="719"/>
        <v>2578</v>
      </c>
      <c r="AR394" s="14">
        <f t="shared" si="719"/>
        <v>2578</v>
      </c>
      <c r="AS394" s="14">
        <f t="shared" si="719"/>
        <v>2578</v>
      </c>
      <c r="AT394" s="14">
        <f>INDEX(属性投放!$DG$6:$DG$85,(卡牌属性!AG394-2)*20+卡牌属性!AN394)</f>
        <v>1227</v>
      </c>
      <c r="AU394" s="14">
        <f t="shared" si="720"/>
        <v>1227</v>
      </c>
      <c r="AV394" s="14">
        <f t="shared" si="720"/>
        <v>1227</v>
      </c>
      <c r="AW394" s="14">
        <f t="shared" si="720"/>
        <v>1227</v>
      </c>
      <c r="AX394" s="14">
        <f t="shared" si="720"/>
        <v>1227</v>
      </c>
      <c r="AY394" s="14">
        <f>INDEX(属性投放!$DH$6:$DH$85,(卡牌属性!AG394-2)*20+卡牌属性!AN394)</f>
        <v>18106</v>
      </c>
      <c r="AZ394" s="14">
        <f t="shared" si="721"/>
        <v>18106</v>
      </c>
      <c r="BA394" s="14">
        <f t="shared" si="721"/>
        <v>18106</v>
      </c>
      <c r="BB394" s="14">
        <f t="shared" si="721"/>
        <v>18106</v>
      </c>
      <c r="BC394" s="14">
        <f t="shared" si="721"/>
        <v>18106</v>
      </c>
      <c r="BD394" s="14">
        <f>INDEX(属性投放!$DL$6:$DL$85,(卡牌属性!AG394-2)*20+卡牌属性!AN394)</f>
        <v>92</v>
      </c>
      <c r="BE394" s="14">
        <f t="shared" si="722"/>
        <v>92</v>
      </c>
      <c r="BF394" s="14">
        <f t="shared" si="722"/>
        <v>92</v>
      </c>
      <c r="BG394" s="14">
        <f t="shared" si="722"/>
        <v>92</v>
      </c>
      <c r="BH394" s="14">
        <f t="shared" si="722"/>
        <v>92</v>
      </c>
      <c r="BI394" s="14">
        <f>INDEX(属性投放!$DM$6:$DM$85,(卡牌属性!AG394-2)*20+卡牌属性!AN394)</f>
        <v>46</v>
      </c>
      <c r="BJ394" s="14">
        <f t="shared" si="723"/>
        <v>46</v>
      </c>
      <c r="BK394" s="14">
        <f t="shared" si="723"/>
        <v>46</v>
      </c>
      <c r="BL394" s="14">
        <f t="shared" si="723"/>
        <v>46</v>
      </c>
      <c r="BM394" s="14">
        <f t="shared" si="723"/>
        <v>46</v>
      </c>
      <c r="BN394" s="14">
        <f>INDEX(属性投放!$DN$6:$DN$85,(卡牌属性!AG394-2)*20+卡牌属性!AN394)</f>
        <v>824</v>
      </c>
      <c r="BO394" s="14">
        <f t="shared" si="724"/>
        <v>824</v>
      </c>
      <c r="BP394" s="14">
        <f t="shared" si="724"/>
        <v>824</v>
      </c>
      <c r="BQ394" s="14">
        <f t="shared" si="724"/>
        <v>824</v>
      </c>
      <c r="BR394" s="14">
        <f t="shared" si="724"/>
        <v>824</v>
      </c>
      <c r="BW394" s="13">
        <v>390</v>
      </c>
      <c r="BX394" s="13">
        <f t="shared" si="744"/>
        <v>20</v>
      </c>
      <c r="BY394" s="14">
        <f t="shared" si="745"/>
        <v>3</v>
      </c>
      <c r="BZ394" s="14">
        <f t="shared" si="754"/>
        <v>1102020</v>
      </c>
      <c r="CA394" s="14" t="str">
        <f t="shared" si="755"/>
        <v>高顺10突</v>
      </c>
      <c r="CB394" s="25" t="s">
        <v>142</v>
      </c>
      <c r="CC394" s="14">
        <v>2</v>
      </c>
      <c r="CD394" s="14">
        <f t="shared" si="746"/>
        <v>10</v>
      </c>
      <c r="CE394" s="14" t="s">
        <v>21</v>
      </c>
      <c r="CF394" s="14">
        <f>INDEX(属性投放!$AZ$6:$AZ$85,(BY394-2)*20+CD394)</f>
        <v>2826</v>
      </c>
      <c r="CG394" s="14" t="s">
        <v>22</v>
      </c>
      <c r="CH394" s="14">
        <f>INDEX(属性投放!$BA$6:$BA$85,(BY394-2)*20+CD394)</f>
        <v>1362</v>
      </c>
      <c r="CI394" s="14" t="s">
        <v>510</v>
      </c>
      <c r="CJ394" s="14">
        <f>INDEX(属性投放!$BB$6:$BB$85,(BY394-2)*20+CD394)</f>
        <v>20055</v>
      </c>
      <c r="CK394" s="14" t="s">
        <v>21</v>
      </c>
      <c r="CL394" s="14">
        <f>INDEX(属性投放!$BC$6:$BC$85,(BY394-2)*20+CD394)</f>
        <v>20</v>
      </c>
      <c r="CM394" s="14" t="s">
        <v>22</v>
      </c>
      <c r="CN394" s="14">
        <f>INDEX(属性投放!$BD$6:$BD$85,(BY394-2)*20+CD394)</f>
        <v>10</v>
      </c>
      <c r="CO394" s="14" t="s">
        <v>510</v>
      </c>
      <c r="CP394" s="14">
        <f>INDEX(属性投放!$BE$6:$BE$85,(BY394-2)*20+CD394)</f>
        <v>180</v>
      </c>
      <c r="CS394" s="13">
        <v>390</v>
      </c>
      <c r="CT394" s="13">
        <f t="shared" si="756"/>
        <v>8</v>
      </c>
      <c r="CU394" s="13">
        <f t="shared" si="757"/>
        <v>26</v>
      </c>
      <c r="CV394" s="14">
        <f t="shared" si="758"/>
        <v>4</v>
      </c>
      <c r="CW394" s="14">
        <f t="shared" si="759"/>
        <v>1102008</v>
      </c>
      <c r="CX394" s="14" t="str">
        <f>INDEX($O$6:$O$50,CT394)&amp;"-"&amp;INDEX(属性投放!$AB$7:$AB$50,CZ394)&amp;"-魂火-"&amp;DB394</f>
        <v>夏侯渊-大叫唤+2-魂火-2</v>
      </c>
      <c r="CY394" s="25" t="s">
        <v>142</v>
      </c>
      <c r="CZ394" s="14">
        <f>INDEX(属性投放!$AM$7:$AM$58,CU394)</f>
        <v>12</v>
      </c>
      <c r="DA394" s="14" t="s">
        <v>537</v>
      </c>
      <c r="DB394" s="14">
        <f>INDEX(属性投放!$AN$7:$AN$58,CU394)</f>
        <v>2</v>
      </c>
      <c r="DC394" s="14">
        <f t="shared" si="747"/>
        <v>26</v>
      </c>
      <c r="DD394" s="14">
        <f>INDEX(属性投放!$AO$7:$AO$58,DC394)</f>
        <v>83</v>
      </c>
      <c r="DE394" s="14" t="s">
        <v>538</v>
      </c>
      <c r="DF394" s="14">
        <f>INDEX(属性投放!$BK$6:$BK$85,(CV394-2)*20+CZ394)</f>
        <v>225</v>
      </c>
      <c r="DG394" s="14">
        <f>SUMIFS(DF$5:DF394,$CT$5:$CT394,"="&amp;$CT394)</f>
        <v>2530</v>
      </c>
      <c r="DH394" s="14" t="s">
        <v>539</v>
      </c>
      <c r="DI394" s="14">
        <f>INDEX(属性投放!$BL$6:$BL$85,(CV394-2)*20+CZ394)</f>
        <v>113</v>
      </c>
      <c r="DJ394" s="14">
        <f>SUMIFS(DI$5:DI394,$CT$5:$CT394,"="&amp;$CT394)</f>
        <v>1271</v>
      </c>
      <c r="DK394" s="14" t="s">
        <v>540</v>
      </c>
      <c r="DL394" s="14">
        <f>INDEX(属性投放!$BM$6:$BM$85,(CV394-2)*20+CZ394)</f>
        <v>2025</v>
      </c>
      <c r="DM394" s="14">
        <f>SUMIFS(DL$5:DL394,$CT$5:$CT394,"="&amp;$CT394)</f>
        <v>20960</v>
      </c>
      <c r="DR394" s="14">
        <f t="shared" si="748"/>
        <v>1102020</v>
      </c>
      <c r="DS394" s="14" t="str">
        <f t="shared" si="749"/>
        <v>高顺10突</v>
      </c>
      <c r="DT394" s="14">
        <f t="shared" si="760"/>
        <v>6</v>
      </c>
      <c r="DU394" s="14">
        <f t="shared" si="761"/>
        <v>5</v>
      </c>
      <c r="DV394" s="14">
        <f t="shared" si="762"/>
        <v>5</v>
      </c>
      <c r="DW394" s="14">
        <f t="shared" si="750"/>
        <v>3</v>
      </c>
      <c r="DX394" s="14">
        <f t="shared" si="751"/>
        <v>10</v>
      </c>
      <c r="DY394" s="14">
        <f t="shared" si="752"/>
        <v>30</v>
      </c>
      <c r="DZ394" s="14">
        <f>INDEX(属性投放!$AX$6:$AX$85,(卡牌属性!DW394-2)*20+卡牌属性!DX394)</f>
        <v>7</v>
      </c>
      <c r="EA394" s="14">
        <f>INDEX(属性投放!BQ$6:BQ$85,卡牌属性!$DY394)</f>
        <v>175</v>
      </c>
      <c r="EB394" s="14">
        <f>INDEX(属性投放!BR$6:BR$85,卡牌属性!$DY394)</f>
        <v>88</v>
      </c>
      <c r="EC394" s="14">
        <f>INDEX(属性投放!BS$6:BS$85,卡牌属性!$DY394)</f>
        <v>1575</v>
      </c>
      <c r="ED394" s="14">
        <f t="shared" si="725"/>
        <v>1929</v>
      </c>
      <c r="EE394" s="14">
        <f t="shared" si="726"/>
        <v>2338</v>
      </c>
      <c r="EF394" s="14">
        <f t="shared" si="727"/>
        <v>2530</v>
      </c>
      <c r="EG394" s="14">
        <f t="shared" si="728"/>
        <v>2530</v>
      </c>
      <c r="EH394" s="14">
        <f t="shared" si="729"/>
        <v>2750</v>
      </c>
      <c r="EI394" s="14">
        <f t="shared" si="730"/>
        <v>874</v>
      </c>
      <c r="EJ394" s="14">
        <f t="shared" si="731"/>
        <v>930</v>
      </c>
      <c r="EK394" s="14">
        <f t="shared" si="732"/>
        <v>930</v>
      </c>
      <c r="EL394" s="14">
        <f t="shared" si="733"/>
        <v>1140</v>
      </c>
      <c r="EM394" s="14">
        <f t="shared" si="734"/>
        <v>1229</v>
      </c>
      <c r="EN394" s="14">
        <f t="shared" si="735"/>
        <v>12505</v>
      </c>
      <c r="EO394" s="14">
        <f t="shared" si="736"/>
        <v>13241</v>
      </c>
      <c r="EP394" s="14">
        <f t="shared" si="737"/>
        <v>13241</v>
      </c>
      <c r="EQ394" s="14">
        <f t="shared" si="738"/>
        <v>16173</v>
      </c>
      <c r="ER394" s="14">
        <f t="shared" si="739"/>
        <v>17377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180</v>
      </c>
      <c r="FD394" s="14">
        <f>INDEX(属性偏向!$U$4:$U$243,(卡牌属性!$DV394-1+FD$3)*20+卡牌属性!$DX394)</f>
        <v>189</v>
      </c>
      <c r="FE394" s="14">
        <f>INDEX(属性偏向!$U$4:$U$243,(卡牌属性!$DV394-1+FE$3)*20+卡牌属性!$DX394)</f>
        <v>189</v>
      </c>
      <c r="FF394" s="14">
        <f>INDEX(属性偏向!$U$4:$U$243,(卡牌属性!$DV394-1+FF$3)*20+卡牌属性!$DX394)</f>
        <v>270</v>
      </c>
      <c r="FG394" s="14">
        <f>INDEX(属性偏向!$U$4:$U$243,(卡牌属性!$DV394-1+FG$3)*20+卡牌属性!$DX394)</f>
        <v>315</v>
      </c>
      <c r="FH394" s="14">
        <f>INDEX(属性投放!$BQ$6:$BQ$85,(卡牌属性!$DW394-2)*20+卡牌属性!$DX394)</f>
        <v>175</v>
      </c>
      <c r="FI394" s="14">
        <f>INDEX(属性投放!$BQ$6:$BQ$85,(卡牌属性!$DW394-2)*20+卡牌属性!$DX394)</f>
        <v>175</v>
      </c>
      <c r="FJ394" s="14">
        <f>INDEX(属性投放!$BQ$6:$BQ$85,(卡牌属性!$DW394-2)*20+卡牌属性!$DX394)</f>
        <v>175</v>
      </c>
      <c r="FK394" s="14">
        <f>INDEX(属性投放!$BQ$6:$BQ$85,(卡牌属性!$DW394-2)*20+卡牌属性!$DX394)</f>
        <v>175</v>
      </c>
      <c r="FL394" s="14">
        <f>INDEX(属性投放!$BQ$6:$BQ$85,(卡牌属性!$DW394-2)*20+卡牌属性!$DX394)</f>
        <v>175</v>
      </c>
      <c r="FM394" s="14">
        <f>INDEX(属性投放!$BR$6:$BR$85,(卡牌属性!$DW394-2)*20+卡牌属性!$DX394)</f>
        <v>88</v>
      </c>
      <c r="FN394" s="14">
        <f>INDEX(属性投放!$BR$6:$BR$85,(卡牌属性!$DW394-2)*20+卡牌属性!$DX394)</f>
        <v>88</v>
      </c>
      <c r="FO394" s="14">
        <f>INDEX(属性投放!$BR$6:$BR$85,(卡牌属性!$DW394-2)*20+卡牌属性!$DX394)</f>
        <v>88</v>
      </c>
      <c r="FP394" s="14">
        <f>INDEX(属性投放!$BR$6:$BR$85,(卡牌属性!$DW394-2)*20+卡牌属性!$DX394)</f>
        <v>88</v>
      </c>
      <c r="FQ394" s="14">
        <f>INDEX(属性投放!$BR$6:$BR$85,(卡牌属性!$DW394-2)*20+卡牌属性!$DX394)</f>
        <v>88</v>
      </c>
      <c r="FR394" s="14">
        <f>INDEX(属性投放!$BS$6:$BS$85,(卡牌属性!$DW394-2)*20+卡牌属性!$DX394)</f>
        <v>1575</v>
      </c>
      <c r="FS394" s="14">
        <f>INDEX(属性投放!$BS$6:$BS$85,(卡牌属性!$DW394-2)*20+卡牌属性!$DX394)</f>
        <v>1575</v>
      </c>
      <c r="FT394" s="14">
        <f>INDEX(属性投放!$BS$6:$BS$85,(卡牌属性!$DW394-2)*20+卡牌属性!$DX394)</f>
        <v>1575</v>
      </c>
      <c r="FU394" s="14">
        <f>INDEX(属性投放!$BS$6:$BS$85,(卡牌属性!$DW394-2)*20+卡牌属性!$DX394)</f>
        <v>1575</v>
      </c>
      <c r="FV394" s="14">
        <f>INDEX(属性投放!$BS$6:$BS$85,(卡牌属性!$DW394-2)*20+卡牌属性!$DX394)</f>
        <v>1575</v>
      </c>
    </row>
    <row r="395" spans="31:178" ht="16.5" x14ac:dyDescent="0.2">
      <c r="AE395" s="13">
        <v>391</v>
      </c>
      <c r="AF395" s="13">
        <f t="shared" si="753"/>
        <v>20</v>
      </c>
      <c r="AG395" s="13">
        <f t="shared" si="740"/>
        <v>3</v>
      </c>
      <c r="AH395" s="13"/>
      <c r="AI395" s="13"/>
      <c r="AJ395" s="14">
        <f t="shared" si="741"/>
        <v>1101023</v>
      </c>
      <c r="AK395" s="14" t="str">
        <f t="shared" si="742"/>
        <v>朱童11突</v>
      </c>
      <c r="AL395" s="25" t="s">
        <v>142</v>
      </c>
      <c r="AM395" s="14">
        <v>1</v>
      </c>
      <c r="AN395" s="14">
        <f t="shared" si="743"/>
        <v>11</v>
      </c>
      <c r="AO395" s="14">
        <f>INDEX(属性投放!$DF$6:$DF$85,(卡牌属性!AG395-2)*20+卡牌属性!AN395)</f>
        <v>2840</v>
      </c>
      <c r="AP395" s="14">
        <f t="shared" si="719"/>
        <v>2840</v>
      </c>
      <c r="AQ395" s="14">
        <f t="shared" si="719"/>
        <v>2840</v>
      </c>
      <c r="AR395" s="14">
        <f t="shared" si="719"/>
        <v>2840</v>
      </c>
      <c r="AS395" s="14">
        <f t="shared" si="719"/>
        <v>2840</v>
      </c>
      <c r="AT395" s="14">
        <f>INDEX(属性投放!$DG$6:$DG$85,(卡牌属性!AG395-2)*20+卡牌属性!AN395)</f>
        <v>1358</v>
      </c>
      <c r="AU395" s="14">
        <f t="shared" si="720"/>
        <v>1358</v>
      </c>
      <c r="AV395" s="14">
        <f t="shared" si="720"/>
        <v>1358</v>
      </c>
      <c r="AW395" s="14">
        <f t="shared" si="720"/>
        <v>1358</v>
      </c>
      <c r="AX395" s="14">
        <f t="shared" si="720"/>
        <v>1358</v>
      </c>
      <c r="AY395" s="14">
        <f>INDEX(属性投放!$DH$6:$DH$85,(卡牌属性!AG395-2)*20+卡牌属性!AN395)</f>
        <v>20460</v>
      </c>
      <c r="AZ395" s="14">
        <f t="shared" si="721"/>
        <v>20460</v>
      </c>
      <c r="BA395" s="14">
        <f t="shared" si="721"/>
        <v>20460</v>
      </c>
      <c r="BB395" s="14">
        <f t="shared" si="721"/>
        <v>20460</v>
      </c>
      <c r="BC395" s="14">
        <f t="shared" si="721"/>
        <v>20460</v>
      </c>
      <c r="BD395" s="14">
        <f>INDEX(属性投放!$DL$6:$DL$85,(卡牌属性!AG395-2)*20+卡牌属性!AN395)</f>
        <v>92</v>
      </c>
      <c r="BE395" s="14">
        <f t="shared" si="722"/>
        <v>92</v>
      </c>
      <c r="BF395" s="14">
        <f t="shared" si="722"/>
        <v>92</v>
      </c>
      <c r="BG395" s="14">
        <f t="shared" si="722"/>
        <v>92</v>
      </c>
      <c r="BH395" s="14">
        <f t="shared" si="722"/>
        <v>92</v>
      </c>
      <c r="BI395" s="14">
        <f>INDEX(属性投放!$DM$6:$DM$85,(卡牌属性!AG395-2)*20+卡牌属性!AN395)</f>
        <v>46</v>
      </c>
      <c r="BJ395" s="14">
        <f t="shared" si="723"/>
        <v>46</v>
      </c>
      <c r="BK395" s="14">
        <f t="shared" si="723"/>
        <v>46</v>
      </c>
      <c r="BL395" s="14">
        <f t="shared" si="723"/>
        <v>46</v>
      </c>
      <c r="BM395" s="14">
        <f t="shared" si="723"/>
        <v>46</v>
      </c>
      <c r="BN395" s="14">
        <f>INDEX(属性投放!$DN$6:$DN$85,(卡牌属性!AG395-2)*20+卡牌属性!AN395)</f>
        <v>824</v>
      </c>
      <c r="BO395" s="14">
        <f t="shared" si="724"/>
        <v>824</v>
      </c>
      <c r="BP395" s="14">
        <f t="shared" si="724"/>
        <v>824</v>
      </c>
      <c r="BQ395" s="14">
        <f t="shared" si="724"/>
        <v>824</v>
      </c>
      <c r="BR395" s="14">
        <f t="shared" si="724"/>
        <v>824</v>
      </c>
      <c r="BW395" s="13">
        <v>391</v>
      </c>
      <c r="BX395" s="13">
        <f t="shared" si="744"/>
        <v>20</v>
      </c>
      <c r="BY395" s="14">
        <f t="shared" si="745"/>
        <v>3</v>
      </c>
      <c r="BZ395" s="14">
        <f t="shared" si="754"/>
        <v>1102020</v>
      </c>
      <c r="CA395" s="14" t="str">
        <f t="shared" si="755"/>
        <v>高顺11突</v>
      </c>
      <c r="CB395" s="25" t="s">
        <v>142</v>
      </c>
      <c r="CC395" s="14">
        <v>2</v>
      </c>
      <c r="CD395" s="14">
        <f t="shared" si="746"/>
        <v>11</v>
      </c>
      <c r="CE395" s="14" t="s">
        <v>21</v>
      </c>
      <c r="CF395" s="14">
        <f>INDEX(属性投放!$AZ$6:$AZ$85,(BY395-2)*20+CD395)</f>
        <v>3501</v>
      </c>
      <c r="CG395" s="14" t="s">
        <v>22</v>
      </c>
      <c r="CH395" s="14">
        <f>INDEX(属性投放!$BA$6:$BA$85,(BY395-2)*20+CD395)</f>
        <v>1700</v>
      </c>
      <c r="CI395" s="14" t="s">
        <v>510</v>
      </c>
      <c r="CJ395" s="14">
        <f>INDEX(属性投放!$BB$6:$BB$85,(BY395-2)*20+CD395)</f>
        <v>26130</v>
      </c>
      <c r="CK395" s="14" t="s">
        <v>21</v>
      </c>
      <c r="CL395" s="14">
        <f>INDEX(属性投放!$BC$6:$BC$85,(BY395-2)*20+CD395)</f>
        <v>20</v>
      </c>
      <c r="CM395" s="14" t="s">
        <v>22</v>
      </c>
      <c r="CN395" s="14">
        <f>INDEX(属性投放!$BD$6:$BD$85,(BY395-2)*20+CD395)</f>
        <v>10</v>
      </c>
      <c r="CO395" s="14" t="s">
        <v>510</v>
      </c>
      <c r="CP395" s="14">
        <f>INDEX(属性投放!$BE$6:$BE$85,(BY395-2)*20+CD395)</f>
        <v>180</v>
      </c>
      <c r="CS395" s="13">
        <v>391</v>
      </c>
      <c r="CT395" s="13">
        <f t="shared" si="756"/>
        <v>8</v>
      </c>
      <c r="CU395" s="13">
        <f t="shared" si="757"/>
        <v>27</v>
      </c>
      <c r="CV395" s="14">
        <f t="shared" si="758"/>
        <v>4</v>
      </c>
      <c r="CW395" s="14">
        <f t="shared" si="759"/>
        <v>1102008</v>
      </c>
      <c r="CX395" s="14" t="str">
        <f>INDEX($O$6:$O$50,CT395)&amp;"-"&amp;INDEX(属性投放!$AB$7:$AB$50,CZ395)&amp;"-魂火-"&amp;DB395</f>
        <v>夏侯渊-大叫唤+2-魂火-3</v>
      </c>
      <c r="CY395" s="25" t="s">
        <v>142</v>
      </c>
      <c r="CZ395" s="14">
        <f>INDEX(属性投放!$AM$7:$AM$58,CU395)</f>
        <v>12</v>
      </c>
      <c r="DA395" s="14" t="s">
        <v>537</v>
      </c>
      <c r="DB395" s="14">
        <f>INDEX(属性投放!$AN$7:$AN$58,CU395)</f>
        <v>3</v>
      </c>
      <c r="DC395" s="14">
        <f t="shared" si="747"/>
        <v>27</v>
      </c>
      <c r="DD395" s="14">
        <f>INDEX(属性投放!$AO$7:$AO$58,DC395)</f>
        <v>85</v>
      </c>
      <c r="DE395" s="14" t="s">
        <v>538</v>
      </c>
      <c r="DF395" s="14">
        <f>INDEX(属性投放!$BK$6:$BK$85,(CV395-2)*20+CZ395)</f>
        <v>225</v>
      </c>
      <c r="DG395" s="14">
        <f>SUMIFS(DF$5:DF395,$CT$5:$CT395,"="&amp;$CT395)</f>
        <v>2755</v>
      </c>
      <c r="DH395" s="14" t="s">
        <v>539</v>
      </c>
      <c r="DI395" s="14">
        <f>INDEX(属性投放!$BL$6:$BL$85,(CV395-2)*20+CZ395)</f>
        <v>113</v>
      </c>
      <c r="DJ395" s="14">
        <f>SUMIFS(DI$5:DI395,$CT$5:$CT395,"="&amp;$CT395)</f>
        <v>1384</v>
      </c>
      <c r="DK395" s="14" t="s">
        <v>540</v>
      </c>
      <c r="DL395" s="14">
        <f>INDEX(属性投放!$BM$6:$BM$85,(CV395-2)*20+CZ395)</f>
        <v>2025</v>
      </c>
      <c r="DM395" s="14">
        <f>SUMIFS(DL$5:DL395,$CT$5:$CT395,"="&amp;$CT395)</f>
        <v>22985</v>
      </c>
      <c r="DR395" s="14">
        <f t="shared" si="748"/>
        <v>1102020</v>
      </c>
      <c r="DS395" s="14" t="str">
        <f t="shared" si="749"/>
        <v>高顺11突</v>
      </c>
      <c r="DT395" s="14">
        <f t="shared" si="760"/>
        <v>6</v>
      </c>
      <c r="DU395" s="14">
        <f t="shared" si="761"/>
        <v>5</v>
      </c>
      <c r="DV395" s="14">
        <f t="shared" si="762"/>
        <v>5</v>
      </c>
      <c r="DW395" s="14">
        <f t="shared" si="750"/>
        <v>3</v>
      </c>
      <c r="DX395" s="14">
        <f t="shared" si="751"/>
        <v>11</v>
      </c>
      <c r="DY395" s="14">
        <f t="shared" si="752"/>
        <v>31</v>
      </c>
      <c r="DZ395" s="14">
        <f>INDEX(属性投放!$AX$6:$AX$85,(卡牌属性!DW395-2)*20+卡牌属性!DX395)</f>
        <v>8</v>
      </c>
      <c r="EA395" s="14">
        <f>INDEX(属性投放!BQ$6:BQ$85,卡牌属性!$DY395)</f>
        <v>240</v>
      </c>
      <c r="EB395" s="14">
        <f>INDEX(属性投放!BR$6:BR$85,卡牌属性!$DY395)</f>
        <v>120</v>
      </c>
      <c r="EC395" s="14">
        <f>INDEX(属性投放!BS$6:BS$85,卡牌属性!$DY395)</f>
        <v>2160</v>
      </c>
      <c r="ED395" s="14">
        <f t="shared" si="725"/>
        <v>2251</v>
      </c>
      <c r="EE395" s="14">
        <f t="shared" si="726"/>
        <v>2723</v>
      </c>
      <c r="EF395" s="14">
        <f t="shared" si="727"/>
        <v>2950</v>
      </c>
      <c r="EG395" s="14">
        <f t="shared" si="728"/>
        <v>2950</v>
      </c>
      <c r="EH395" s="14">
        <f t="shared" si="729"/>
        <v>3205</v>
      </c>
      <c r="EI395" s="14">
        <f t="shared" si="730"/>
        <v>1032</v>
      </c>
      <c r="EJ395" s="14">
        <f t="shared" si="731"/>
        <v>1095</v>
      </c>
      <c r="EK395" s="14">
        <f t="shared" si="732"/>
        <v>1095</v>
      </c>
      <c r="EL395" s="14">
        <f t="shared" si="733"/>
        <v>1333</v>
      </c>
      <c r="EM395" s="14">
        <f t="shared" si="734"/>
        <v>1443</v>
      </c>
      <c r="EN395" s="14">
        <f t="shared" si="735"/>
        <v>15340</v>
      </c>
      <c r="EO395" s="14">
        <f t="shared" si="736"/>
        <v>16139</v>
      </c>
      <c r="EP395" s="14">
        <f t="shared" si="737"/>
        <v>16139</v>
      </c>
      <c r="EQ395" s="14">
        <f t="shared" si="738"/>
        <v>19638</v>
      </c>
      <c r="ER395" s="14">
        <f t="shared" si="739"/>
        <v>21157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180</v>
      </c>
      <c r="FD395" s="14">
        <f>INDEX(属性偏向!$U$4:$U$243,(卡牌属性!$DV395-1+FD$3)*20+卡牌属性!$DX395)</f>
        <v>189</v>
      </c>
      <c r="FE395" s="14">
        <f>INDEX(属性偏向!$U$4:$U$243,(卡牌属性!$DV395-1+FE$3)*20+卡牌属性!$DX395)</f>
        <v>189</v>
      </c>
      <c r="FF395" s="14">
        <f>INDEX(属性偏向!$U$4:$U$243,(卡牌属性!$DV395-1+FF$3)*20+卡牌属性!$DX395)</f>
        <v>270</v>
      </c>
      <c r="FG395" s="14">
        <f>INDEX(属性偏向!$U$4:$U$243,(卡牌属性!$DV395-1+FG$3)*20+卡牌属性!$DX395)</f>
        <v>315</v>
      </c>
      <c r="FH395" s="14">
        <f>INDEX(属性投放!$BQ$6:$BQ$85,(卡牌属性!$DW395-2)*20+卡牌属性!$DX395)</f>
        <v>240</v>
      </c>
      <c r="FI395" s="14">
        <f>INDEX(属性投放!$BQ$6:$BQ$85,(卡牌属性!$DW395-2)*20+卡牌属性!$DX395)</f>
        <v>240</v>
      </c>
      <c r="FJ395" s="14">
        <f>INDEX(属性投放!$BQ$6:$BQ$85,(卡牌属性!$DW395-2)*20+卡牌属性!$DX395)</f>
        <v>240</v>
      </c>
      <c r="FK395" s="14">
        <f>INDEX(属性投放!$BQ$6:$BQ$85,(卡牌属性!$DW395-2)*20+卡牌属性!$DX395)</f>
        <v>240</v>
      </c>
      <c r="FL395" s="14">
        <f>INDEX(属性投放!$BQ$6:$BQ$85,(卡牌属性!$DW395-2)*20+卡牌属性!$DX395)</f>
        <v>240</v>
      </c>
      <c r="FM395" s="14">
        <f>INDEX(属性投放!$BR$6:$BR$85,(卡牌属性!$DW395-2)*20+卡牌属性!$DX395)</f>
        <v>120</v>
      </c>
      <c r="FN395" s="14">
        <f>INDEX(属性投放!$BR$6:$BR$85,(卡牌属性!$DW395-2)*20+卡牌属性!$DX395)</f>
        <v>120</v>
      </c>
      <c r="FO395" s="14">
        <f>INDEX(属性投放!$BR$6:$BR$85,(卡牌属性!$DW395-2)*20+卡牌属性!$DX395)</f>
        <v>120</v>
      </c>
      <c r="FP395" s="14">
        <f>INDEX(属性投放!$BR$6:$BR$85,(卡牌属性!$DW395-2)*20+卡牌属性!$DX395)</f>
        <v>120</v>
      </c>
      <c r="FQ395" s="14">
        <f>INDEX(属性投放!$BR$6:$BR$85,(卡牌属性!$DW395-2)*20+卡牌属性!$DX395)</f>
        <v>120</v>
      </c>
      <c r="FR395" s="14">
        <f>INDEX(属性投放!$BS$6:$BS$85,(卡牌属性!$DW395-2)*20+卡牌属性!$DX395)</f>
        <v>2160</v>
      </c>
      <c r="FS395" s="14">
        <f>INDEX(属性投放!$BS$6:$BS$85,(卡牌属性!$DW395-2)*20+卡牌属性!$DX395)</f>
        <v>2160</v>
      </c>
      <c r="FT395" s="14">
        <f>INDEX(属性投放!$BS$6:$BS$85,(卡牌属性!$DW395-2)*20+卡牌属性!$DX395)</f>
        <v>2160</v>
      </c>
      <c r="FU395" s="14">
        <f>INDEX(属性投放!$BS$6:$BS$85,(卡牌属性!$DW395-2)*20+卡牌属性!$DX395)</f>
        <v>2160</v>
      </c>
      <c r="FV395" s="14">
        <f>INDEX(属性投放!$BS$6:$BS$85,(卡牌属性!$DW395-2)*20+卡牌属性!$DX395)</f>
        <v>2160</v>
      </c>
    </row>
    <row r="396" spans="31:178" ht="16.5" x14ac:dyDescent="0.2">
      <c r="AE396" s="13">
        <v>392</v>
      </c>
      <c r="AF396" s="13">
        <f t="shared" si="753"/>
        <v>20</v>
      </c>
      <c r="AG396" s="13">
        <f t="shared" si="740"/>
        <v>3</v>
      </c>
      <c r="AH396" s="13"/>
      <c r="AI396" s="13"/>
      <c r="AJ396" s="14">
        <f t="shared" si="741"/>
        <v>1101023</v>
      </c>
      <c r="AK396" s="14" t="str">
        <f t="shared" si="742"/>
        <v>朱童12突</v>
      </c>
      <c r="AL396" s="25" t="s">
        <v>142</v>
      </c>
      <c r="AM396" s="14">
        <v>1</v>
      </c>
      <c r="AN396" s="14">
        <f t="shared" si="743"/>
        <v>12</v>
      </c>
      <c r="AO396" s="14">
        <f>INDEX(属性投放!$DF$6:$DF$85,(卡牌属性!AG396-2)*20+卡牌属性!AN396)</f>
        <v>3102</v>
      </c>
      <c r="AP396" s="14">
        <f t="shared" si="719"/>
        <v>3102</v>
      </c>
      <c r="AQ396" s="14">
        <f t="shared" si="719"/>
        <v>3102</v>
      </c>
      <c r="AR396" s="14">
        <f t="shared" si="719"/>
        <v>3102</v>
      </c>
      <c r="AS396" s="14">
        <f t="shared" si="719"/>
        <v>3102</v>
      </c>
      <c r="AT396" s="14">
        <f>INDEX(属性投放!$DG$6:$DG$85,(卡牌属性!AG396-2)*20+卡牌属性!AN396)</f>
        <v>1489</v>
      </c>
      <c r="AU396" s="14">
        <f t="shared" si="720"/>
        <v>1489</v>
      </c>
      <c r="AV396" s="14">
        <f t="shared" si="720"/>
        <v>1489</v>
      </c>
      <c r="AW396" s="14">
        <f t="shared" si="720"/>
        <v>1489</v>
      </c>
      <c r="AX396" s="14">
        <f t="shared" si="720"/>
        <v>1489</v>
      </c>
      <c r="AY396" s="14">
        <f>INDEX(属性投放!$DH$6:$DH$85,(卡牌属性!AG396-2)*20+卡牌属性!AN396)</f>
        <v>22814</v>
      </c>
      <c r="AZ396" s="14">
        <f t="shared" si="721"/>
        <v>22814</v>
      </c>
      <c r="BA396" s="14">
        <f t="shared" si="721"/>
        <v>22814</v>
      </c>
      <c r="BB396" s="14">
        <f t="shared" si="721"/>
        <v>22814</v>
      </c>
      <c r="BC396" s="14">
        <f t="shared" si="721"/>
        <v>22814</v>
      </c>
      <c r="BD396" s="14">
        <f>INDEX(属性投放!$DL$6:$DL$85,(卡牌属性!AG396-2)*20+卡牌属性!AN396)</f>
        <v>92</v>
      </c>
      <c r="BE396" s="14">
        <f t="shared" si="722"/>
        <v>92</v>
      </c>
      <c r="BF396" s="14">
        <f t="shared" si="722"/>
        <v>92</v>
      </c>
      <c r="BG396" s="14">
        <f t="shared" si="722"/>
        <v>92</v>
      </c>
      <c r="BH396" s="14">
        <f t="shared" si="722"/>
        <v>92</v>
      </c>
      <c r="BI396" s="14">
        <f>INDEX(属性投放!$DM$6:$DM$85,(卡牌属性!AG396-2)*20+卡牌属性!AN396)</f>
        <v>46</v>
      </c>
      <c r="BJ396" s="14">
        <f t="shared" si="723"/>
        <v>46</v>
      </c>
      <c r="BK396" s="14">
        <f t="shared" si="723"/>
        <v>46</v>
      </c>
      <c r="BL396" s="14">
        <f t="shared" si="723"/>
        <v>46</v>
      </c>
      <c r="BM396" s="14">
        <f t="shared" si="723"/>
        <v>46</v>
      </c>
      <c r="BN396" s="14">
        <f>INDEX(属性投放!$DN$6:$DN$85,(卡牌属性!AG396-2)*20+卡牌属性!AN396)</f>
        <v>824</v>
      </c>
      <c r="BO396" s="14">
        <f t="shared" si="724"/>
        <v>824</v>
      </c>
      <c r="BP396" s="14">
        <f t="shared" si="724"/>
        <v>824</v>
      </c>
      <c r="BQ396" s="14">
        <f t="shared" si="724"/>
        <v>824</v>
      </c>
      <c r="BR396" s="14">
        <f t="shared" si="724"/>
        <v>824</v>
      </c>
      <c r="BW396" s="13">
        <v>392</v>
      </c>
      <c r="BX396" s="13">
        <f t="shared" si="744"/>
        <v>20</v>
      </c>
      <c r="BY396" s="14">
        <f t="shared" si="745"/>
        <v>3</v>
      </c>
      <c r="BZ396" s="14">
        <f t="shared" si="754"/>
        <v>1102020</v>
      </c>
      <c r="CA396" s="14" t="str">
        <f t="shared" si="755"/>
        <v>高顺12突</v>
      </c>
      <c r="CB396" s="25" t="s">
        <v>142</v>
      </c>
      <c r="CC396" s="14">
        <v>2</v>
      </c>
      <c r="CD396" s="14">
        <f t="shared" si="746"/>
        <v>12</v>
      </c>
      <c r="CE396" s="14" t="s">
        <v>21</v>
      </c>
      <c r="CF396" s="14">
        <f>INDEX(属性投放!$AZ$6:$AZ$85,(BY396-2)*20+CD396)</f>
        <v>4351</v>
      </c>
      <c r="CG396" s="14" t="s">
        <v>22</v>
      </c>
      <c r="CH396" s="14">
        <f>INDEX(属性投放!$BA$6:$BA$85,(BY396-2)*20+CD396)</f>
        <v>2125</v>
      </c>
      <c r="CI396" s="14" t="s">
        <v>510</v>
      </c>
      <c r="CJ396" s="14">
        <f>INDEX(属性投放!$BB$6:$BB$85,(BY396-2)*20+CD396)</f>
        <v>33780</v>
      </c>
      <c r="CK396" s="14" t="s">
        <v>21</v>
      </c>
      <c r="CL396" s="14">
        <f>INDEX(属性投放!$BC$6:$BC$85,(BY396-2)*20+CD396)</f>
        <v>20</v>
      </c>
      <c r="CM396" s="14" t="s">
        <v>22</v>
      </c>
      <c r="CN396" s="14">
        <f>INDEX(属性投放!$BD$6:$BD$85,(BY396-2)*20+CD396)</f>
        <v>10</v>
      </c>
      <c r="CO396" s="14" t="s">
        <v>510</v>
      </c>
      <c r="CP396" s="14">
        <f>INDEX(属性投放!$BE$6:$BE$85,(BY396-2)*20+CD396)</f>
        <v>180</v>
      </c>
      <c r="CS396" s="13">
        <v>392</v>
      </c>
      <c r="CT396" s="13">
        <f t="shared" si="756"/>
        <v>8</v>
      </c>
      <c r="CU396" s="13">
        <f t="shared" si="757"/>
        <v>28</v>
      </c>
      <c r="CV396" s="14">
        <f t="shared" si="758"/>
        <v>4</v>
      </c>
      <c r="CW396" s="14">
        <f t="shared" si="759"/>
        <v>1102008</v>
      </c>
      <c r="CX396" s="14" t="str">
        <f>INDEX($O$6:$O$50,CT396)&amp;"-"&amp;INDEX(属性投放!$AB$7:$AB$50,CZ396)&amp;"-魂火-"&amp;DB396</f>
        <v>夏侯渊-焦热-魂火-1</v>
      </c>
      <c r="CY396" s="25" t="s">
        <v>142</v>
      </c>
      <c r="CZ396" s="14">
        <f>INDEX(属性投放!$AM$7:$AM$58,CU396)</f>
        <v>13</v>
      </c>
      <c r="DA396" s="14" t="s">
        <v>537</v>
      </c>
      <c r="DB396" s="14">
        <f>INDEX(属性投放!$AN$7:$AN$58,CU396)</f>
        <v>1</v>
      </c>
      <c r="DC396" s="14">
        <f t="shared" si="747"/>
        <v>28</v>
      </c>
      <c r="DD396" s="14">
        <f>INDEX(属性投放!$AO$7:$AO$58,DC396)</f>
        <v>88</v>
      </c>
      <c r="DE396" s="14" t="s">
        <v>538</v>
      </c>
      <c r="DF396" s="14">
        <f>INDEX(属性投放!$BK$6:$BK$85,(CV396-2)*20+CZ396)</f>
        <v>275</v>
      </c>
      <c r="DG396" s="14">
        <f>SUMIFS(DF$5:DF396,$CT$5:$CT396,"="&amp;$CT396)</f>
        <v>3030</v>
      </c>
      <c r="DH396" s="14" t="s">
        <v>539</v>
      </c>
      <c r="DI396" s="14">
        <f>INDEX(属性投放!$BL$6:$BL$85,(CV396-2)*20+CZ396)</f>
        <v>138</v>
      </c>
      <c r="DJ396" s="14">
        <f>SUMIFS(DI$5:DI396,$CT$5:$CT396,"="&amp;$CT396)</f>
        <v>1522</v>
      </c>
      <c r="DK396" s="14" t="s">
        <v>540</v>
      </c>
      <c r="DL396" s="14">
        <f>INDEX(属性投放!$BM$6:$BM$85,(CV396-2)*20+CZ396)</f>
        <v>2750</v>
      </c>
      <c r="DM396" s="14">
        <f>SUMIFS(DL$5:DL396,$CT$5:$CT396,"="&amp;$CT396)</f>
        <v>25735</v>
      </c>
      <c r="DR396" s="14">
        <f t="shared" si="748"/>
        <v>1102020</v>
      </c>
      <c r="DS396" s="14" t="str">
        <f t="shared" si="749"/>
        <v>高顺12突</v>
      </c>
      <c r="DT396" s="14">
        <f t="shared" si="760"/>
        <v>6</v>
      </c>
      <c r="DU396" s="14">
        <f t="shared" si="761"/>
        <v>5</v>
      </c>
      <c r="DV396" s="14">
        <f t="shared" si="762"/>
        <v>5</v>
      </c>
      <c r="DW396" s="14">
        <f t="shared" si="750"/>
        <v>3</v>
      </c>
      <c r="DX396" s="14">
        <f t="shared" si="751"/>
        <v>12</v>
      </c>
      <c r="DY396" s="14">
        <f t="shared" si="752"/>
        <v>32</v>
      </c>
      <c r="DZ396" s="14">
        <f>INDEX(属性投放!$AX$6:$AX$85,(卡牌属性!DW396-2)*20+卡牌属性!DX396)</f>
        <v>7</v>
      </c>
      <c r="EA396" s="14">
        <f>INDEX(属性投放!BQ$6:BQ$85,卡牌属性!$DY396)</f>
        <v>350</v>
      </c>
      <c r="EB396" s="14">
        <f>INDEX(属性投放!BR$6:BR$85,卡牌属性!$DY396)</f>
        <v>175</v>
      </c>
      <c r="EC396" s="14">
        <f>INDEX(属性投放!BS$6:BS$85,卡牌属性!$DY396)</f>
        <v>3150</v>
      </c>
      <c r="ED396" s="14">
        <f t="shared" si="725"/>
        <v>2659</v>
      </c>
      <c r="EE396" s="14">
        <f t="shared" si="726"/>
        <v>3203</v>
      </c>
      <c r="EF396" s="14">
        <f t="shared" si="727"/>
        <v>3470</v>
      </c>
      <c r="EG396" s="14">
        <f t="shared" si="728"/>
        <v>3470</v>
      </c>
      <c r="EH396" s="14">
        <f t="shared" si="729"/>
        <v>3765</v>
      </c>
      <c r="EI396" s="14">
        <f t="shared" si="730"/>
        <v>1232</v>
      </c>
      <c r="EJ396" s="14">
        <f t="shared" si="731"/>
        <v>1303</v>
      </c>
      <c r="EK396" s="14">
        <f t="shared" si="732"/>
        <v>1303</v>
      </c>
      <c r="EL396" s="14">
        <f t="shared" si="733"/>
        <v>1573</v>
      </c>
      <c r="EM396" s="14">
        <f t="shared" si="734"/>
        <v>1707</v>
      </c>
      <c r="EN396" s="14">
        <f t="shared" si="735"/>
        <v>18940</v>
      </c>
      <c r="EO396" s="14">
        <f t="shared" si="736"/>
        <v>19811</v>
      </c>
      <c r="EP396" s="14">
        <f t="shared" si="737"/>
        <v>19811</v>
      </c>
      <c r="EQ396" s="14">
        <f t="shared" si="738"/>
        <v>23958</v>
      </c>
      <c r="ER396" s="14">
        <f t="shared" si="739"/>
        <v>25837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180</v>
      </c>
      <c r="FD396" s="14">
        <f>INDEX(属性偏向!$U$4:$U$243,(卡牌属性!$DV396-1+FD$3)*20+卡牌属性!$DX396)</f>
        <v>189</v>
      </c>
      <c r="FE396" s="14">
        <f>INDEX(属性偏向!$U$4:$U$243,(卡牌属性!$DV396-1+FE$3)*20+卡牌属性!$DX396)</f>
        <v>189</v>
      </c>
      <c r="FF396" s="14">
        <f>INDEX(属性偏向!$U$4:$U$243,(卡牌属性!$DV396-1+FF$3)*20+卡牌属性!$DX396)</f>
        <v>270</v>
      </c>
      <c r="FG396" s="14">
        <f>INDEX(属性偏向!$U$4:$U$243,(卡牌属性!$DV396-1+FG$3)*20+卡牌属性!$DX396)</f>
        <v>315</v>
      </c>
      <c r="FH396" s="14">
        <f>INDEX(属性投放!$BQ$6:$BQ$85,(卡牌属性!$DW396-2)*20+卡牌属性!$DX396)</f>
        <v>350</v>
      </c>
      <c r="FI396" s="14">
        <f>INDEX(属性投放!$BQ$6:$BQ$85,(卡牌属性!$DW396-2)*20+卡牌属性!$DX396)</f>
        <v>350</v>
      </c>
      <c r="FJ396" s="14">
        <f>INDEX(属性投放!$BQ$6:$BQ$85,(卡牌属性!$DW396-2)*20+卡牌属性!$DX396)</f>
        <v>350</v>
      </c>
      <c r="FK396" s="14">
        <f>INDEX(属性投放!$BQ$6:$BQ$85,(卡牌属性!$DW396-2)*20+卡牌属性!$DX396)</f>
        <v>350</v>
      </c>
      <c r="FL396" s="14">
        <f>INDEX(属性投放!$BQ$6:$BQ$85,(卡牌属性!$DW396-2)*20+卡牌属性!$DX396)</f>
        <v>350</v>
      </c>
      <c r="FM396" s="14">
        <f>INDEX(属性投放!$BR$6:$BR$85,(卡牌属性!$DW396-2)*20+卡牌属性!$DX396)</f>
        <v>175</v>
      </c>
      <c r="FN396" s="14">
        <f>INDEX(属性投放!$BR$6:$BR$85,(卡牌属性!$DW396-2)*20+卡牌属性!$DX396)</f>
        <v>175</v>
      </c>
      <c r="FO396" s="14">
        <f>INDEX(属性投放!$BR$6:$BR$85,(卡牌属性!$DW396-2)*20+卡牌属性!$DX396)</f>
        <v>175</v>
      </c>
      <c r="FP396" s="14">
        <f>INDEX(属性投放!$BR$6:$BR$85,(卡牌属性!$DW396-2)*20+卡牌属性!$DX396)</f>
        <v>175</v>
      </c>
      <c r="FQ396" s="14">
        <f>INDEX(属性投放!$BR$6:$BR$85,(卡牌属性!$DW396-2)*20+卡牌属性!$DX396)</f>
        <v>175</v>
      </c>
      <c r="FR396" s="14">
        <f>INDEX(属性投放!$BS$6:$BS$85,(卡牌属性!$DW396-2)*20+卡牌属性!$DX396)</f>
        <v>3150</v>
      </c>
      <c r="FS396" s="14">
        <f>INDEX(属性投放!$BS$6:$BS$85,(卡牌属性!$DW396-2)*20+卡牌属性!$DX396)</f>
        <v>3150</v>
      </c>
      <c r="FT396" s="14">
        <f>INDEX(属性投放!$BS$6:$BS$85,(卡牌属性!$DW396-2)*20+卡牌属性!$DX396)</f>
        <v>3150</v>
      </c>
      <c r="FU396" s="14">
        <f>INDEX(属性投放!$BS$6:$BS$85,(卡牌属性!$DW396-2)*20+卡牌属性!$DX396)</f>
        <v>3150</v>
      </c>
      <c r="FV396" s="14">
        <f>INDEX(属性投放!$BS$6:$BS$85,(卡牌属性!$DW396-2)*20+卡牌属性!$DX396)</f>
        <v>3150</v>
      </c>
    </row>
    <row r="397" spans="31:178" ht="16.5" x14ac:dyDescent="0.2">
      <c r="AE397" s="13">
        <v>393</v>
      </c>
      <c r="AF397" s="13">
        <f t="shared" si="753"/>
        <v>20</v>
      </c>
      <c r="AG397" s="13">
        <f t="shared" si="740"/>
        <v>3</v>
      </c>
      <c r="AH397" s="13"/>
      <c r="AI397" s="13"/>
      <c r="AJ397" s="14">
        <f t="shared" si="741"/>
        <v>1101023</v>
      </c>
      <c r="AK397" s="14" t="str">
        <f t="shared" si="742"/>
        <v>朱童13突</v>
      </c>
      <c r="AL397" s="25" t="s">
        <v>142</v>
      </c>
      <c r="AM397" s="14">
        <v>1</v>
      </c>
      <c r="AN397" s="14">
        <f t="shared" si="743"/>
        <v>13</v>
      </c>
      <c r="AO397" s="14">
        <f>INDEX(属性投放!$DF$6:$DF$85,(卡牌属性!AG397-2)*20+卡牌属性!AN397)</f>
        <v>5664</v>
      </c>
      <c r="AP397" s="14">
        <f t="shared" si="719"/>
        <v>5664</v>
      </c>
      <c r="AQ397" s="14">
        <f t="shared" si="719"/>
        <v>5664</v>
      </c>
      <c r="AR397" s="14">
        <f t="shared" si="719"/>
        <v>5664</v>
      </c>
      <c r="AS397" s="14">
        <f t="shared" si="719"/>
        <v>5664</v>
      </c>
      <c r="AT397" s="14">
        <f>INDEX(属性投放!$DG$6:$DG$85,(卡牌属性!AG397-2)*20+卡牌属性!AN397)</f>
        <v>2770</v>
      </c>
      <c r="AU397" s="14">
        <f t="shared" si="720"/>
        <v>2770</v>
      </c>
      <c r="AV397" s="14">
        <f t="shared" si="720"/>
        <v>2770</v>
      </c>
      <c r="AW397" s="14">
        <f t="shared" si="720"/>
        <v>2770</v>
      </c>
      <c r="AX397" s="14">
        <f t="shared" si="720"/>
        <v>2770</v>
      </c>
      <c r="AY397" s="14">
        <f>INDEX(属性投放!$DH$6:$DH$85,(卡牌属性!AG397-2)*20+卡牌属性!AN397)</f>
        <v>45768</v>
      </c>
      <c r="AZ397" s="14">
        <f t="shared" si="721"/>
        <v>45768</v>
      </c>
      <c r="BA397" s="14">
        <f t="shared" si="721"/>
        <v>45768</v>
      </c>
      <c r="BB397" s="14">
        <f t="shared" si="721"/>
        <v>45768</v>
      </c>
      <c r="BC397" s="14">
        <f t="shared" si="721"/>
        <v>45768</v>
      </c>
      <c r="BD397" s="14">
        <f>INDEX(属性投放!$DL$6:$DL$85,(卡牌属性!AG397-2)*20+卡牌属性!AN397)</f>
        <v>176</v>
      </c>
      <c r="BE397" s="14">
        <f t="shared" si="722"/>
        <v>176</v>
      </c>
      <c r="BF397" s="14">
        <f t="shared" si="722"/>
        <v>176</v>
      </c>
      <c r="BG397" s="14">
        <f t="shared" si="722"/>
        <v>176</v>
      </c>
      <c r="BH397" s="14">
        <f t="shared" si="722"/>
        <v>176</v>
      </c>
      <c r="BI397" s="14">
        <f>INDEX(属性投放!$DM$6:$DM$85,(卡牌属性!AG397-2)*20+卡牌属性!AN397)</f>
        <v>88</v>
      </c>
      <c r="BJ397" s="14">
        <f t="shared" si="723"/>
        <v>88</v>
      </c>
      <c r="BK397" s="14">
        <f t="shared" si="723"/>
        <v>88</v>
      </c>
      <c r="BL397" s="14">
        <f t="shared" si="723"/>
        <v>88</v>
      </c>
      <c r="BM397" s="14">
        <f t="shared" si="723"/>
        <v>88</v>
      </c>
      <c r="BN397" s="14">
        <f>INDEX(属性投放!$DN$6:$DN$85,(卡牌属性!AG397-2)*20+卡牌属性!AN397)</f>
        <v>1759</v>
      </c>
      <c r="BO397" s="14">
        <f t="shared" si="724"/>
        <v>1759</v>
      </c>
      <c r="BP397" s="14">
        <f t="shared" si="724"/>
        <v>1759</v>
      </c>
      <c r="BQ397" s="14">
        <f t="shared" si="724"/>
        <v>1759</v>
      </c>
      <c r="BR397" s="14">
        <f t="shared" si="724"/>
        <v>1759</v>
      </c>
      <c r="BW397" s="13">
        <v>393</v>
      </c>
      <c r="BX397" s="13">
        <f t="shared" si="744"/>
        <v>20</v>
      </c>
      <c r="BY397" s="14">
        <f t="shared" si="745"/>
        <v>3</v>
      </c>
      <c r="BZ397" s="14">
        <f t="shared" si="754"/>
        <v>1102020</v>
      </c>
      <c r="CA397" s="14" t="str">
        <f t="shared" si="755"/>
        <v>高顺13突</v>
      </c>
      <c r="CB397" s="25" t="s">
        <v>142</v>
      </c>
      <c r="CC397" s="14">
        <v>2</v>
      </c>
      <c r="CD397" s="14">
        <f t="shared" si="746"/>
        <v>13</v>
      </c>
      <c r="CE397" s="14" t="s">
        <v>21</v>
      </c>
      <c r="CF397" s="14">
        <f>INDEX(属性投放!$AZ$6:$AZ$85,(BY397-2)*20+CD397)</f>
        <v>5441</v>
      </c>
      <c r="CG397" s="14" t="s">
        <v>22</v>
      </c>
      <c r="CH397" s="14">
        <f>INDEX(属性投放!$BA$6:$BA$85,(BY397-2)*20+CD397)</f>
        <v>2670</v>
      </c>
      <c r="CI397" s="14" t="s">
        <v>510</v>
      </c>
      <c r="CJ397" s="14">
        <f>INDEX(属性投放!$BB$6:$BB$85,(BY397-2)*20+CD397)</f>
        <v>43590</v>
      </c>
      <c r="CK397" s="14" t="s">
        <v>21</v>
      </c>
      <c r="CL397" s="14">
        <f>INDEX(属性投放!$BC$6:$BC$85,(BY397-2)*20+CD397)</f>
        <v>25</v>
      </c>
      <c r="CM397" s="14" t="s">
        <v>22</v>
      </c>
      <c r="CN397" s="14">
        <f>INDEX(属性投放!$BD$6:$BD$85,(BY397-2)*20+CD397)</f>
        <v>13</v>
      </c>
      <c r="CO397" s="14" t="s">
        <v>510</v>
      </c>
      <c r="CP397" s="14">
        <f>INDEX(属性投放!$BE$6:$BE$85,(BY397-2)*20+CD397)</f>
        <v>250</v>
      </c>
      <c r="CS397" s="13">
        <v>393</v>
      </c>
      <c r="CT397" s="13">
        <f t="shared" si="756"/>
        <v>8</v>
      </c>
      <c r="CU397" s="13">
        <f t="shared" si="757"/>
        <v>29</v>
      </c>
      <c r="CV397" s="14">
        <f t="shared" si="758"/>
        <v>4</v>
      </c>
      <c r="CW397" s="14">
        <f t="shared" si="759"/>
        <v>1102008</v>
      </c>
      <c r="CX397" s="14" t="str">
        <f>INDEX($O$6:$O$50,CT397)&amp;"-"&amp;INDEX(属性投放!$AB$7:$AB$50,CZ397)&amp;"-魂火-"&amp;DB397</f>
        <v>夏侯渊-焦热-魂火-2</v>
      </c>
      <c r="CY397" s="25" t="s">
        <v>142</v>
      </c>
      <c r="CZ397" s="14">
        <f>INDEX(属性投放!$AM$7:$AM$58,CU397)</f>
        <v>13</v>
      </c>
      <c r="DA397" s="14" t="s">
        <v>537</v>
      </c>
      <c r="DB397" s="14">
        <f>INDEX(属性投放!$AN$7:$AN$58,CU397)</f>
        <v>2</v>
      </c>
      <c r="DC397" s="14">
        <f t="shared" si="747"/>
        <v>29</v>
      </c>
      <c r="DD397" s="14">
        <f>INDEX(属性投放!$AO$7:$AO$58,DC397)</f>
        <v>90</v>
      </c>
      <c r="DE397" s="14" t="s">
        <v>538</v>
      </c>
      <c r="DF397" s="14">
        <f>INDEX(属性投放!$BK$6:$BK$85,(CV397-2)*20+CZ397)</f>
        <v>275</v>
      </c>
      <c r="DG397" s="14">
        <f>SUMIFS(DF$5:DF397,$CT$5:$CT397,"="&amp;$CT397)</f>
        <v>3305</v>
      </c>
      <c r="DH397" s="14" t="s">
        <v>539</v>
      </c>
      <c r="DI397" s="14">
        <f>INDEX(属性投放!$BL$6:$BL$85,(CV397-2)*20+CZ397)</f>
        <v>138</v>
      </c>
      <c r="DJ397" s="14">
        <f>SUMIFS(DI$5:DI397,$CT$5:$CT397,"="&amp;$CT397)</f>
        <v>1660</v>
      </c>
      <c r="DK397" s="14" t="s">
        <v>540</v>
      </c>
      <c r="DL397" s="14">
        <f>INDEX(属性投放!$BM$6:$BM$85,(CV397-2)*20+CZ397)</f>
        <v>2750</v>
      </c>
      <c r="DM397" s="14">
        <f>SUMIFS(DL$5:DL397,$CT$5:$CT397,"="&amp;$CT397)</f>
        <v>28485</v>
      </c>
      <c r="DR397" s="14">
        <f t="shared" si="748"/>
        <v>1102020</v>
      </c>
      <c r="DS397" s="14" t="str">
        <f t="shared" si="749"/>
        <v>高顺13突</v>
      </c>
      <c r="DT397" s="14">
        <f t="shared" si="760"/>
        <v>6</v>
      </c>
      <c r="DU397" s="14">
        <f t="shared" si="761"/>
        <v>5</v>
      </c>
      <c r="DV397" s="14">
        <f t="shared" si="762"/>
        <v>5</v>
      </c>
      <c r="DW397" s="14">
        <f t="shared" si="750"/>
        <v>3</v>
      </c>
      <c r="DX397" s="14">
        <f t="shared" si="751"/>
        <v>13</v>
      </c>
      <c r="DY397" s="14">
        <f t="shared" si="752"/>
        <v>33</v>
      </c>
      <c r="DZ397" s="14">
        <f>INDEX(属性投放!$AX$6:$AX$85,(卡牌属性!DW397-2)*20+卡牌属性!DX397)</f>
        <v>8</v>
      </c>
      <c r="EA397" s="14">
        <f>INDEX(属性投放!BQ$6:BQ$85,卡牌属性!$DY397)</f>
        <v>400</v>
      </c>
      <c r="EB397" s="14">
        <f>INDEX(属性投放!BR$6:BR$85,卡牌属性!$DY397)</f>
        <v>200</v>
      </c>
      <c r="EC397" s="14">
        <f>INDEX(属性投放!BS$6:BS$85,卡牌属性!$DY397)</f>
        <v>4000</v>
      </c>
      <c r="ED397" s="14">
        <f t="shared" si="725"/>
        <v>3156</v>
      </c>
      <c r="EE397" s="14">
        <f t="shared" si="726"/>
        <v>3763</v>
      </c>
      <c r="EF397" s="14">
        <f t="shared" si="727"/>
        <v>4065</v>
      </c>
      <c r="EG397" s="14">
        <f t="shared" si="728"/>
        <v>4065</v>
      </c>
      <c r="EH397" s="14">
        <f t="shared" si="729"/>
        <v>4395</v>
      </c>
      <c r="EI397" s="14">
        <f t="shared" si="730"/>
        <v>1477</v>
      </c>
      <c r="EJ397" s="14">
        <f t="shared" si="731"/>
        <v>1555</v>
      </c>
      <c r="EK397" s="14">
        <f t="shared" si="732"/>
        <v>1555</v>
      </c>
      <c r="EL397" s="14">
        <f t="shared" si="733"/>
        <v>1853</v>
      </c>
      <c r="EM397" s="14">
        <f t="shared" si="734"/>
        <v>2008</v>
      </c>
      <c r="EN397" s="14">
        <f t="shared" si="735"/>
        <v>23350</v>
      </c>
      <c r="EO397" s="14">
        <f t="shared" si="736"/>
        <v>24284</v>
      </c>
      <c r="EP397" s="14">
        <f t="shared" si="737"/>
        <v>24284</v>
      </c>
      <c r="EQ397" s="14">
        <f t="shared" si="738"/>
        <v>28998</v>
      </c>
      <c r="ER397" s="14">
        <f t="shared" si="739"/>
        <v>31192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INDEX(属性投放!$BQ$6:$BQ$85,(卡牌属性!$DW397-2)*20+卡牌属性!$DX397)</f>
        <v>400</v>
      </c>
      <c r="FI397" s="14">
        <f>INDEX(属性投放!$BQ$6:$BQ$85,(卡牌属性!$DW397-2)*20+卡牌属性!$DX397)</f>
        <v>400</v>
      </c>
      <c r="FJ397" s="14">
        <f>INDEX(属性投放!$BQ$6:$BQ$85,(卡牌属性!$DW397-2)*20+卡牌属性!$DX397)</f>
        <v>400</v>
      </c>
      <c r="FK397" s="14">
        <f>INDEX(属性投放!$BQ$6:$BQ$85,(卡牌属性!$DW397-2)*20+卡牌属性!$DX397)</f>
        <v>400</v>
      </c>
      <c r="FL397" s="14">
        <f>INDEX(属性投放!$BQ$6:$BQ$85,(卡牌属性!$DW397-2)*20+卡牌属性!$DX397)</f>
        <v>400</v>
      </c>
      <c r="FM397" s="14">
        <f>INDEX(属性投放!$BR$6:$BR$85,(卡牌属性!$DW397-2)*20+卡牌属性!$DX397)</f>
        <v>200</v>
      </c>
      <c r="FN397" s="14">
        <f>INDEX(属性投放!$BR$6:$BR$85,(卡牌属性!$DW397-2)*20+卡牌属性!$DX397)</f>
        <v>200</v>
      </c>
      <c r="FO397" s="14">
        <f>INDEX(属性投放!$BR$6:$BR$85,(卡牌属性!$DW397-2)*20+卡牌属性!$DX397)</f>
        <v>200</v>
      </c>
      <c r="FP397" s="14">
        <f>INDEX(属性投放!$BR$6:$BR$85,(卡牌属性!$DW397-2)*20+卡牌属性!$DX397)</f>
        <v>200</v>
      </c>
      <c r="FQ397" s="14">
        <f>INDEX(属性投放!$BR$6:$BR$85,(卡牌属性!$DW397-2)*20+卡牌属性!$DX397)</f>
        <v>200</v>
      </c>
      <c r="FR397" s="14">
        <f>INDEX(属性投放!$BS$6:$BS$85,(卡牌属性!$DW397-2)*20+卡牌属性!$DX397)</f>
        <v>4000</v>
      </c>
      <c r="FS397" s="14">
        <f>INDEX(属性投放!$BS$6:$BS$85,(卡牌属性!$DW397-2)*20+卡牌属性!$DX397)</f>
        <v>4000</v>
      </c>
      <c r="FT397" s="14">
        <f>INDEX(属性投放!$BS$6:$BS$85,(卡牌属性!$DW397-2)*20+卡牌属性!$DX397)</f>
        <v>4000</v>
      </c>
      <c r="FU397" s="14">
        <f>INDEX(属性投放!$BS$6:$BS$85,(卡牌属性!$DW397-2)*20+卡牌属性!$DX397)</f>
        <v>4000</v>
      </c>
      <c r="FV397" s="14">
        <f>INDEX(属性投放!$BS$6:$BS$85,(卡牌属性!$DW397-2)*20+卡牌属性!$DX397)</f>
        <v>4000</v>
      </c>
    </row>
    <row r="398" spans="31:178" ht="16.5" x14ac:dyDescent="0.2">
      <c r="AE398" s="13">
        <v>394</v>
      </c>
      <c r="AF398" s="13">
        <f t="shared" si="753"/>
        <v>20</v>
      </c>
      <c r="AG398" s="13">
        <f t="shared" si="740"/>
        <v>3</v>
      </c>
      <c r="AH398" s="13"/>
      <c r="AI398" s="13"/>
      <c r="AJ398" s="14">
        <f t="shared" si="741"/>
        <v>1101023</v>
      </c>
      <c r="AK398" s="14" t="str">
        <f t="shared" si="742"/>
        <v>朱童14突</v>
      </c>
      <c r="AL398" s="25" t="s">
        <v>142</v>
      </c>
      <c r="AM398" s="14">
        <v>1</v>
      </c>
      <c r="AN398" s="14">
        <f t="shared" si="743"/>
        <v>14</v>
      </c>
      <c r="AO398" s="14">
        <f>INDEX(属性投放!$DF$6:$DF$85,(卡牌属性!AG398-2)*20+卡牌属性!AN398)</f>
        <v>6167</v>
      </c>
      <c r="AP398" s="14">
        <f t="shared" si="719"/>
        <v>6167</v>
      </c>
      <c r="AQ398" s="14">
        <f t="shared" si="719"/>
        <v>6167</v>
      </c>
      <c r="AR398" s="14">
        <f t="shared" si="719"/>
        <v>6167</v>
      </c>
      <c r="AS398" s="14">
        <f t="shared" si="719"/>
        <v>6167</v>
      </c>
      <c r="AT398" s="14">
        <f>INDEX(属性投放!$DG$6:$DG$85,(卡牌属性!AG398-2)*20+卡牌属性!AN398)</f>
        <v>3022</v>
      </c>
      <c r="AU398" s="14">
        <f t="shared" si="720"/>
        <v>3022</v>
      </c>
      <c r="AV398" s="14">
        <f t="shared" si="720"/>
        <v>3022</v>
      </c>
      <c r="AW398" s="14">
        <f t="shared" si="720"/>
        <v>3022</v>
      </c>
      <c r="AX398" s="14">
        <f t="shared" si="720"/>
        <v>3022</v>
      </c>
      <c r="AY398" s="14">
        <f>INDEX(属性投放!$DH$6:$DH$85,(卡牌属性!AG398-2)*20+卡牌属性!AN398)</f>
        <v>50793</v>
      </c>
      <c r="AZ398" s="14">
        <f t="shared" si="721"/>
        <v>50793</v>
      </c>
      <c r="BA398" s="14">
        <f t="shared" si="721"/>
        <v>50793</v>
      </c>
      <c r="BB398" s="14">
        <f t="shared" si="721"/>
        <v>50793</v>
      </c>
      <c r="BC398" s="14">
        <f t="shared" si="721"/>
        <v>50793</v>
      </c>
      <c r="BD398" s="14">
        <f>INDEX(属性投放!$DL$6:$DL$85,(卡牌属性!AG398-2)*20+卡牌属性!AN398)</f>
        <v>176</v>
      </c>
      <c r="BE398" s="14">
        <f t="shared" si="722"/>
        <v>176</v>
      </c>
      <c r="BF398" s="14">
        <f t="shared" si="722"/>
        <v>176</v>
      </c>
      <c r="BG398" s="14">
        <f t="shared" si="722"/>
        <v>176</v>
      </c>
      <c r="BH398" s="14">
        <f t="shared" si="722"/>
        <v>176</v>
      </c>
      <c r="BI398" s="14">
        <f>INDEX(属性投放!$DM$6:$DM$85,(卡牌属性!AG398-2)*20+卡牌属性!AN398)</f>
        <v>88</v>
      </c>
      <c r="BJ398" s="14">
        <f t="shared" si="723"/>
        <v>88</v>
      </c>
      <c r="BK398" s="14">
        <f t="shared" si="723"/>
        <v>88</v>
      </c>
      <c r="BL398" s="14">
        <f t="shared" si="723"/>
        <v>88</v>
      </c>
      <c r="BM398" s="14">
        <f t="shared" si="723"/>
        <v>88</v>
      </c>
      <c r="BN398" s="14">
        <f>INDEX(属性投放!$DN$6:$DN$85,(卡牌属性!AG398-2)*20+卡牌属性!AN398)</f>
        <v>1759</v>
      </c>
      <c r="BO398" s="14">
        <f t="shared" si="724"/>
        <v>1759</v>
      </c>
      <c r="BP398" s="14">
        <f t="shared" si="724"/>
        <v>1759</v>
      </c>
      <c r="BQ398" s="14">
        <f t="shared" si="724"/>
        <v>1759</v>
      </c>
      <c r="BR398" s="14">
        <f t="shared" si="724"/>
        <v>1759</v>
      </c>
      <c r="BW398" s="13">
        <v>394</v>
      </c>
      <c r="BX398" s="13">
        <f t="shared" si="744"/>
        <v>20</v>
      </c>
      <c r="BY398" s="14">
        <f t="shared" si="745"/>
        <v>3</v>
      </c>
      <c r="BZ398" s="14">
        <f t="shared" si="754"/>
        <v>1102020</v>
      </c>
      <c r="CA398" s="14" t="str">
        <f t="shared" si="755"/>
        <v>高顺14突</v>
      </c>
      <c r="CB398" s="25" t="s">
        <v>142</v>
      </c>
      <c r="CC398" s="14">
        <v>2</v>
      </c>
      <c r="CD398" s="14">
        <f t="shared" si="746"/>
        <v>14</v>
      </c>
      <c r="CE398" s="14" t="s">
        <v>21</v>
      </c>
      <c r="CF398" s="14">
        <f>INDEX(属性投放!$AZ$6:$AZ$85,(BY398-2)*20+CD398)</f>
        <v>6791</v>
      </c>
      <c r="CG398" s="14" t="s">
        <v>22</v>
      </c>
      <c r="CH398" s="14">
        <f>INDEX(属性投放!$BA$6:$BA$85,(BY398-2)*20+CD398)</f>
        <v>3349</v>
      </c>
      <c r="CI398" s="14" t="s">
        <v>510</v>
      </c>
      <c r="CJ398" s="14">
        <f>INDEX(属性投放!$BB$6:$BB$85,(BY398-2)*20+CD398)</f>
        <v>57090</v>
      </c>
      <c r="CK398" s="14" t="s">
        <v>21</v>
      </c>
      <c r="CL398" s="14">
        <f>INDEX(属性投放!$BC$6:$BC$85,(BY398-2)*20+CD398)</f>
        <v>25</v>
      </c>
      <c r="CM398" s="14" t="s">
        <v>22</v>
      </c>
      <c r="CN398" s="14">
        <f>INDEX(属性投放!$BD$6:$BD$85,(BY398-2)*20+CD398)</f>
        <v>13</v>
      </c>
      <c r="CO398" s="14" t="s">
        <v>510</v>
      </c>
      <c r="CP398" s="14">
        <f>INDEX(属性投放!$BE$6:$BE$85,(BY398-2)*20+CD398)</f>
        <v>250</v>
      </c>
      <c r="CS398" s="13">
        <v>394</v>
      </c>
      <c r="CT398" s="13">
        <f t="shared" si="756"/>
        <v>8</v>
      </c>
      <c r="CU398" s="13">
        <f t="shared" si="757"/>
        <v>30</v>
      </c>
      <c r="CV398" s="14">
        <f t="shared" si="758"/>
        <v>4</v>
      </c>
      <c r="CW398" s="14">
        <f t="shared" si="759"/>
        <v>1102008</v>
      </c>
      <c r="CX398" s="14" t="str">
        <f>INDEX($O$6:$O$50,CT398)&amp;"-"&amp;INDEX(属性投放!$AB$7:$AB$50,CZ398)&amp;"-魂火-"&amp;DB398</f>
        <v>夏侯渊-焦热-魂火-3</v>
      </c>
      <c r="CY398" s="25" t="s">
        <v>142</v>
      </c>
      <c r="CZ398" s="14">
        <f>INDEX(属性投放!$AM$7:$AM$58,CU398)</f>
        <v>13</v>
      </c>
      <c r="DA398" s="14" t="s">
        <v>537</v>
      </c>
      <c r="DB398" s="14">
        <f>INDEX(属性投放!$AN$7:$AN$58,CU398)</f>
        <v>3</v>
      </c>
      <c r="DC398" s="14">
        <f t="shared" si="747"/>
        <v>30</v>
      </c>
      <c r="DD398" s="14">
        <f>INDEX(属性投放!$AO$7:$AO$58,DC398)</f>
        <v>93</v>
      </c>
      <c r="DE398" s="14" t="s">
        <v>538</v>
      </c>
      <c r="DF398" s="14">
        <f>INDEX(属性投放!$BK$6:$BK$85,(CV398-2)*20+CZ398)</f>
        <v>275</v>
      </c>
      <c r="DG398" s="14">
        <f>SUMIFS(DF$5:DF398,$CT$5:$CT398,"="&amp;$CT398)</f>
        <v>3580</v>
      </c>
      <c r="DH398" s="14" t="s">
        <v>539</v>
      </c>
      <c r="DI398" s="14">
        <f>INDEX(属性投放!$BL$6:$BL$85,(CV398-2)*20+CZ398)</f>
        <v>138</v>
      </c>
      <c r="DJ398" s="14">
        <f>SUMIFS(DI$5:DI398,$CT$5:$CT398,"="&amp;$CT398)</f>
        <v>1798</v>
      </c>
      <c r="DK398" s="14" t="s">
        <v>540</v>
      </c>
      <c r="DL398" s="14">
        <f>INDEX(属性投放!$BM$6:$BM$85,(CV398-2)*20+CZ398)</f>
        <v>2750</v>
      </c>
      <c r="DM398" s="14">
        <f>SUMIFS(DL$5:DL398,$CT$5:$CT398,"="&amp;$CT398)</f>
        <v>31235</v>
      </c>
      <c r="DR398" s="14">
        <f t="shared" si="748"/>
        <v>1102020</v>
      </c>
      <c r="DS398" s="14" t="str">
        <f t="shared" si="749"/>
        <v>高顺14突</v>
      </c>
      <c r="DT398" s="14">
        <f t="shared" si="760"/>
        <v>6</v>
      </c>
      <c r="DU398" s="14">
        <f t="shared" si="761"/>
        <v>5</v>
      </c>
      <c r="DV398" s="14">
        <f t="shared" si="762"/>
        <v>5</v>
      </c>
      <c r="DW398" s="14">
        <f t="shared" si="750"/>
        <v>3</v>
      </c>
      <c r="DX398" s="14">
        <f t="shared" si="751"/>
        <v>14</v>
      </c>
      <c r="DY398" s="14">
        <f t="shared" si="752"/>
        <v>34</v>
      </c>
      <c r="DZ398" s="14">
        <f>INDEX(属性投放!$AX$6:$AX$85,(卡牌属性!DW398-2)*20+卡牌属性!DX398)</f>
        <v>7</v>
      </c>
      <c r="EA398" s="14">
        <f>INDEX(属性投放!BQ$6:BQ$85,卡牌属性!$DY398)</f>
        <v>450</v>
      </c>
      <c r="EB398" s="14">
        <f>INDEX(属性投放!BR$6:BR$85,卡牌属性!$DY398)</f>
        <v>225</v>
      </c>
      <c r="EC398" s="14">
        <f>INDEX(属性投放!BS$6:BS$85,卡牌属性!$DY398)</f>
        <v>4500</v>
      </c>
      <c r="ED398" s="14">
        <f t="shared" si="725"/>
        <v>3764</v>
      </c>
      <c r="EE398" s="14">
        <f t="shared" si="726"/>
        <v>4483</v>
      </c>
      <c r="EF398" s="14">
        <f t="shared" si="727"/>
        <v>4825</v>
      </c>
      <c r="EG398" s="14">
        <f t="shared" si="728"/>
        <v>4825</v>
      </c>
      <c r="EH398" s="14">
        <f t="shared" si="729"/>
        <v>5195</v>
      </c>
      <c r="EI398" s="14">
        <f t="shared" si="730"/>
        <v>1781</v>
      </c>
      <c r="EJ398" s="14">
        <f t="shared" si="731"/>
        <v>1859</v>
      </c>
      <c r="EK398" s="14">
        <f t="shared" si="732"/>
        <v>1859</v>
      </c>
      <c r="EL398" s="14">
        <f t="shared" si="733"/>
        <v>2213</v>
      </c>
      <c r="EM398" s="14">
        <f t="shared" si="734"/>
        <v>2392</v>
      </c>
      <c r="EN398" s="14">
        <f t="shared" si="735"/>
        <v>29350</v>
      </c>
      <c r="EO398" s="14">
        <f t="shared" si="736"/>
        <v>30364</v>
      </c>
      <c r="EP398" s="14">
        <f t="shared" si="737"/>
        <v>30364</v>
      </c>
      <c r="EQ398" s="14">
        <f t="shared" si="738"/>
        <v>36198</v>
      </c>
      <c r="ER398" s="14">
        <f t="shared" si="739"/>
        <v>38792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INDEX(属性投放!$BQ$6:$BQ$85,(卡牌属性!$DW398-2)*20+卡牌属性!$DX398)</f>
        <v>450</v>
      </c>
      <c r="FI398" s="14">
        <f>INDEX(属性投放!$BQ$6:$BQ$85,(卡牌属性!$DW398-2)*20+卡牌属性!$DX398)</f>
        <v>450</v>
      </c>
      <c r="FJ398" s="14">
        <f>INDEX(属性投放!$BQ$6:$BQ$85,(卡牌属性!$DW398-2)*20+卡牌属性!$DX398)</f>
        <v>450</v>
      </c>
      <c r="FK398" s="14">
        <f>INDEX(属性投放!$BQ$6:$BQ$85,(卡牌属性!$DW398-2)*20+卡牌属性!$DX398)</f>
        <v>450</v>
      </c>
      <c r="FL398" s="14">
        <f>INDEX(属性投放!$BQ$6:$BQ$85,(卡牌属性!$DW398-2)*20+卡牌属性!$DX398)</f>
        <v>450</v>
      </c>
      <c r="FM398" s="14">
        <f>INDEX(属性投放!$BR$6:$BR$85,(卡牌属性!$DW398-2)*20+卡牌属性!$DX398)</f>
        <v>225</v>
      </c>
      <c r="FN398" s="14">
        <f>INDEX(属性投放!$BR$6:$BR$85,(卡牌属性!$DW398-2)*20+卡牌属性!$DX398)</f>
        <v>225</v>
      </c>
      <c r="FO398" s="14">
        <f>INDEX(属性投放!$BR$6:$BR$85,(卡牌属性!$DW398-2)*20+卡牌属性!$DX398)</f>
        <v>225</v>
      </c>
      <c r="FP398" s="14">
        <f>INDEX(属性投放!$BR$6:$BR$85,(卡牌属性!$DW398-2)*20+卡牌属性!$DX398)</f>
        <v>225</v>
      </c>
      <c r="FQ398" s="14">
        <f>INDEX(属性投放!$BR$6:$BR$85,(卡牌属性!$DW398-2)*20+卡牌属性!$DX398)</f>
        <v>225</v>
      </c>
      <c r="FR398" s="14">
        <f>INDEX(属性投放!$BS$6:$BS$85,(卡牌属性!$DW398-2)*20+卡牌属性!$DX398)</f>
        <v>4500</v>
      </c>
      <c r="FS398" s="14">
        <f>INDEX(属性投放!$BS$6:$BS$85,(卡牌属性!$DW398-2)*20+卡牌属性!$DX398)</f>
        <v>4500</v>
      </c>
      <c r="FT398" s="14">
        <f>INDEX(属性投放!$BS$6:$BS$85,(卡牌属性!$DW398-2)*20+卡牌属性!$DX398)</f>
        <v>4500</v>
      </c>
      <c r="FU398" s="14">
        <f>INDEX(属性投放!$BS$6:$BS$85,(卡牌属性!$DW398-2)*20+卡牌属性!$DX398)</f>
        <v>4500</v>
      </c>
      <c r="FV398" s="14">
        <f>INDEX(属性投放!$BS$6:$BS$85,(卡牌属性!$DW398-2)*20+卡牌属性!$DX398)</f>
        <v>4500</v>
      </c>
    </row>
    <row r="399" spans="31:178" ht="16.5" x14ac:dyDescent="0.2">
      <c r="AE399" s="13">
        <v>395</v>
      </c>
      <c r="AF399" s="13">
        <f t="shared" si="753"/>
        <v>20</v>
      </c>
      <c r="AG399" s="13">
        <f t="shared" si="740"/>
        <v>3</v>
      </c>
      <c r="AH399" s="13"/>
      <c r="AI399" s="13"/>
      <c r="AJ399" s="14">
        <f t="shared" si="741"/>
        <v>1101023</v>
      </c>
      <c r="AK399" s="14" t="str">
        <f t="shared" si="742"/>
        <v>朱童15突</v>
      </c>
      <c r="AL399" s="25" t="s">
        <v>142</v>
      </c>
      <c r="AM399" s="14">
        <v>1</v>
      </c>
      <c r="AN399" s="14">
        <f t="shared" si="743"/>
        <v>15</v>
      </c>
      <c r="AO399" s="14">
        <f>INDEX(属性投放!$DF$6:$DF$85,(卡牌属性!AG399-2)*20+卡牌属性!AN399)</f>
        <v>6670</v>
      </c>
      <c r="AP399" s="14">
        <f t="shared" si="719"/>
        <v>6670</v>
      </c>
      <c r="AQ399" s="14">
        <f t="shared" si="719"/>
        <v>6670</v>
      </c>
      <c r="AR399" s="14">
        <f t="shared" si="719"/>
        <v>6670</v>
      </c>
      <c r="AS399" s="14">
        <f t="shared" si="719"/>
        <v>6670</v>
      </c>
      <c r="AT399" s="14">
        <f>INDEX(属性投放!$DG$6:$DG$85,(卡牌属性!AG399-2)*20+卡牌属性!AN399)</f>
        <v>3274</v>
      </c>
      <c r="AU399" s="14">
        <f t="shared" si="720"/>
        <v>3274</v>
      </c>
      <c r="AV399" s="14">
        <f t="shared" si="720"/>
        <v>3274</v>
      </c>
      <c r="AW399" s="14">
        <f t="shared" si="720"/>
        <v>3274</v>
      </c>
      <c r="AX399" s="14">
        <f t="shared" si="720"/>
        <v>3274</v>
      </c>
      <c r="AY399" s="14">
        <f>INDEX(属性投放!$DH$6:$DH$85,(卡牌属性!AG399-2)*20+卡牌属性!AN399)</f>
        <v>55818</v>
      </c>
      <c r="AZ399" s="14">
        <f t="shared" si="721"/>
        <v>55818</v>
      </c>
      <c r="BA399" s="14">
        <f t="shared" si="721"/>
        <v>55818</v>
      </c>
      <c r="BB399" s="14">
        <f t="shared" si="721"/>
        <v>55818</v>
      </c>
      <c r="BC399" s="14">
        <f t="shared" si="721"/>
        <v>55818</v>
      </c>
      <c r="BD399" s="14">
        <f>INDEX(属性投放!$DL$6:$DL$85,(卡牌属性!AG399-2)*20+卡牌属性!AN399)</f>
        <v>176</v>
      </c>
      <c r="BE399" s="14">
        <f t="shared" si="722"/>
        <v>176</v>
      </c>
      <c r="BF399" s="14">
        <f t="shared" si="722"/>
        <v>176</v>
      </c>
      <c r="BG399" s="14">
        <f t="shared" si="722"/>
        <v>176</v>
      </c>
      <c r="BH399" s="14">
        <f t="shared" si="722"/>
        <v>176</v>
      </c>
      <c r="BI399" s="14">
        <f>INDEX(属性投放!$DM$6:$DM$85,(卡牌属性!AG399-2)*20+卡牌属性!AN399)</f>
        <v>88</v>
      </c>
      <c r="BJ399" s="14">
        <f t="shared" si="723"/>
        <v>88</v>
      </c>
      <c r="BK399" s="14">
        <f t="shared" si="723"/>
        <v>88</v>
      </c>
      <c r="BL399" s="14">
        <f t="shared" si="723"/>
        <v>88</v>
      </c>
      <c r="BM399" s="14">
        <f t="shared" si="723"/>
        <v>88</v>
      </c>
      <c r="BN399" s="14">
        <f>INDEX(属性投放!$DN$6:$DN$85,(卡牌属性!AG399-2)*20+卡牌属性!AN399)</f>
        <v>1759</v>
      </c>
      <c r="BO399" s="14">
        <f t="shared" si="724"/>
        <v>1759</v>
      </c>
      <c r="BP399" s="14">
        <f t="shared" si="724"/>
        <v>1759</v>
      </c>
      <c r="BQ399" s="14">
        <f t="shared" si="724"/>
        <v>1759</v>
      </c>
      <c r="BR399" s="14">
        <f t="shared" si="724"/>
        <v>1759</v>
      </c>
      <c r="BW399" s="13">
        <v>395</v>
      </c>
      <c r="BX399" s="13">
        <f t="shared" si="744"/>
        <v>20</v>
      </c>
      <c r="BY399" s="14">
        <f t="shared" si="745"/>
        <v>3</v>
      </c>
      <c r="BZ399" s="14">
        <f t="shared" si="754"/>
        <v>1102020</v>
      </c>
      <c r="CA399" s="14" t="str">
        <f t="shared" si="755"/>
        <v>高顺15突</v>
      </c>
      <c r="CB399" s="25" t="s">
        <v>142</v>
      </c>
      <c r="CC399" s="14">
        <v>2</v>
      </c>
      <c r="CD399" s="14">
        <f t="shared" si="746"/>
        <v>15</v>
      </c>
      <c r="CE399" s="14" t="s">
        <v>21</v>
      </c>
      <c r="CF399" s="14">
        <f>INDEX(属性投放!$AZ$6:$AZ$85,(BY399-2)*20+CD399)</f>
        <v>8316</v>
      </c>
      <c r="CG399" s="14" t="s">
        <v>22</v>
      </c>
      <c r="CH399" s="14">
        <f>INDEX(属性投放!$BA$6:$BA$85,(BY399-2)*20+CD399)</f>
        <v>4115</v>
      </c>
      <c r="CI399" s="14" t="s">
        <v>510</v>
      </c>
      <c r="CJ399" s="14">
        <f>INDEX(属性投放!$BB$6:$BB$85,(BY399-2)*20+CD399)</f>
        <v>72340</v>
      </c>
      <c r="CK399" s="14" t="s">
        <v>21</v>
      </c>
      <c r="CL399" s="14">
        <f>INDEX(属性投放!$BC$6:$BC$85,(BY399-2)*20+CD399)</f>
        <v>25</v>
      </c>
      <c r="CM399" s="14" t="s">
        <v>22</v>
      </c>
      <c r="CN399" s="14">
        <f>INDEX(属性投放!$BD$6:$BD$85,(BY399-2)*20+CD399)</f>
        <v>13</v>
      </c>
      <c r="CO399" s="14" t="s">
        <v>510</v>
      </c>
      <c r="CP399" s="14">
        <f>INDEX(属性投放!$BE$6:$BE$85,(BY399-2)*20+CD399)</f>
        <v>250</v>
      </c>
      <c r="CS399" s="13">
        <v>395</v>
      </c>
      <c r="CT399" s="13">
        <f t="shared" si="756"/>
        <v>8</v>
      </c>
      <c r="CU399" s="13">
        <f t="shared" si="757"/>
        <v>31</v>
      </c>
      <c r="CV399" s="14">
        <f t="shared" si="758"/>
        <v>4</v>
      </c>
      <c r="CW399" s="14">
        <f t="shared" si="759"/>
        <v>1102008</v>
      </c>
      <c r="CX399" s="14" t="str">
        <f>INDEX($O$6:$O$50,CT399)&amp;"-"&amp;INDEX(属性投放!$AB$7:$AB$50,CZ399)&amp;"-魂火-"&amp;DB399</f>
        <v>夏侯渊-焦热+1-魂火-1</v>
      </c>
      <c r="CY399" s="25" t="s">
        <v>142</v>
      </c>
      <c r="CZ399" s="14">
        <f>INDEX(属性投放!$AM$7:$AM$58,CU399)</f>
        <v>14</v>
      </c>
      <c r="DA399" s="14" t="s">
        <v>537</v>
      </c>
      <c r="DB399" s="14">
        <f>INDEX(属性投放!$AN$7:$AN$58,CU399)</f>
        <v>1</v>
      </c>
      <c r="DC399" s="14">
        <f t="shared" si="747"/>
        <v>31</v>
      </c>
      <c r="DD399" s="14">
        <f>INDEX(属性投放!$AO$7:$AO$58,DC399)</f>
        <v>95</v>
      </c>
      <c r="DE399" s="14" t="s">
        <v>538</v>
      </c>
      <c r="DF399" s="14">
        <f>INDEX(属性投放!$BK$6:$BK$85,(CV399-2)*20+CZ399)</f>
        <v>320</v>
      </c>
      <c r="DG399" s="14">
        <f>SUMIFS(DF$5:DF399,$CT$5:$CT399,"="&amp;$CT399)</f>
        <v>3900</v>
      </c>
      <c r="DH399" s="14" t="s">
        <v>539</v>
      </c>
      <c r="DI399" s="14">
        <f>INDEX(属性投放!$BL$6:$BL$85,(CV399-2)*20+CZ399)</f>
        <v>160</v>
      </c>
      <c r="DJ399" s="14">
        <f>SUMIFS(DI$5:DI399,$CT$5:$CT399,"="&amp;$CT399)</f>
        <v>1958</v>
      </c>
      <c r="DK399" s="14" t="s">
        <v>540</v>
      </c>
      <c r="DL399" s="14">
        <f>INDEX(属性投放!$BM$6:$BM$85,(CV399-2)*20+CZ399)</f>
        <v>3200</v>
      </c>
      <c r="DM399" s="14">
        <f>SUMIFS(DL$5:DL399,$CT$5:$CT399,"="&amp;$CT399)</f>
        <v>34435</v>
      </c>
      <c r="DR399" s="14">
        <f t="shared" si="748"/>
        <v>1102020</v>
      </c>
      <c r="DS399" s="14" t="str">
        <f t="shared" si="749"/>
        <v>高顺15突</v>
      </c>
      <c r="DT399" s="14">
        <f t="shared" si="760"/>
        <v>6</v>
      </c>
      <c r="DU399" s="14">
        <f t="shared" si="761"/>
        <v>5</v>
      </c>
      <c r="DV399" s="14">
        <f t="shared" si="762"/>
        <v>5</v>
      </c>
      <c r="DW399" s="14">
        <f t="shared" si="750"/>
        <v>3</v>
      </c>
      <c r="DX399" s="14">
        <f t="shared" si="751"/>
        <v>15</v>
      </c>
      <c r="DY399" s="14">
        <f t="shared" si="752"/>
        <v>35</v>
      </c>
      <c r="DZ399" s="14">
        <f>INDEX(属性投放!$AX$6:$AX$85,(卡牌属性!DW399-2)*20+卡牌属性!DX399)</f>
        <v>8</v>
      </c>
      <c r="EA399" s="14">
        <f>INDEX(属性投放!BQ$6:BQ$85,卡牌属性!$DY399)</f>
        <v>750</v>
      </c>
      <c r="EB399" s="14">
        <f>INDEX(属性投放!BR$6:BR$85,卡牌属性!$DY399)</f>
        <v>375</v>
      </c>
      <c r="EC399" s="14">
        <f>INDEX(属性投放!BS$6:BS$85,卡牌属性!$DY399)</f>
        <v>7500</v>
      </c>
      <c r="ED399" s="14">
        <f t="shared" si="725"/>
        <v>4396</v>
      </c>
      <c r="EE399" s="14">
        <f t="shared" si="726"/>
        <v>5213</v>
      </c>
      <c r="EF399" s="14">
        <f t="shared" si="727"/>
        <v>5590</v>
      </c>
      <c r="EG399" s="14">
        <f t="shared" si="728"/>
        <v>5590</v>
      </c>
      <c r="EH399" s="14">
        <f t="shared" si="729"/>
        <v>5995</v>
      </c>
      <c r="EI399" s="14">
        <f t="shared" si="730"/>
        <v>2097</v>
      </c>
      <c r="EJ399" s="14">
        <f t="shared" si="731"/>
        <v>2175</v>
      </c>
      <c r="EK399" s="14">
        <f t="shared" si="732"/>
        <v>2175</v>
      </c>
      <c r="EL399" s="14">
        <f t="shared" si="733"/>
        <v>2578</v>
      </c>
      <c r="EM399" s="14">
        <f t="shared" si="734"/>
        <v>2778</v>
      </c>
      <c r="EN399" s="14">
        <f t="shared" si="735"/>
        <v>35600</v>
      </c>
      <c r="EO399" s="14">
        <f t="shared" si="736"/>
        <v>36684</v>
      </c>
      <c r="EP399" s="14">
        <f t="shared" si="737"/>
        <v>36684</v>
      </c>
      <c r="EQ399" s="14">
        <f t="shared" si="738"/>
        <v>43498</v>
      </c>
      <c r="ER399" s="14">
        <f t="shared" si="739"/>
        <v>46442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INDEX(属性投放!$BQ$6:$BQ$85,(卡牌属性!$DW399-2)*20+卡牌属性!$DX399)</f>
        <v>750</v>
      </c>
      <c r="FI399" s="14">
        <f>INDEX(属性投放!$BQ$6:$BQ$85,(卡牌属性!$DW399-2)*20+卡牌属性!$DX399)</f>
        <v>750</v>
      </c>
      <c r="FJ399" s="14">
        <f>INDEX(属性投放!$BQ$6:$BQ$85,(卡牌属性!$DW399-2)*20+卡牌属性!$DX399)</f>
        <v>750</v>
      </c>
      <c r="FK399" s="14">
        <f>INDEX(属性投放!$BQ$6:$BQ$85,(卡牌属性!$DW399-2)*20+卡牌属性!$DX399)</f>
        <v>750</v>
      </c>
      <c r="FL399" s="14">
        <f>INDEX(属性投放!$BQ$6:$BQ$85,(卡牌属性!$DW399-2)*20+卡牌属性!$DX399)</f>
        <v>750</v>
      </c>
      <c r="FM399" s="14">
        <f>INDEX(属性投放!$BR$6:$BR$85,(卡牌属性!$DW399-2)*20+卡牌属性!$DX399)</f>
        <v>375</v>
      </c>
      <c r="FN399" s="14">
        <f>INDEX(属性投放!$BR$6:$BR$85,(卡牌属性!$DW399-2)*20+卡牌属性!$DX399)</f>
        <v>375</v>
      </c>
      <c r="FO399" s="14">
        <f>INDEX(属性投放!$BR$6:$BR$85,(卡牌属性!$DW399-2)*20+卡牌属性!$DX399)</f>
        <v>375</v>
      </c>
      <c r="FP399" s="14">
        <f>INDEX(属性投放!$BR$6:$BR$85,(卡牌属性!$DW399-2)*20+卡牌属性!$DX399)</f>
        <v>375</v>
      </c>
      <c r="FQ399" s="14">
        <f>INDEX(属性投放!$BR$6:$BR$85,(卡牌属性!$DW399-2)*20+卡牌属性!$DX399)</f>
        <v>375</v>
      </c>
      <c r="FR399" s="14">
        <f>INDEX(属性投放!$BS$6:$BS$85,(卡牌属性!$DW399-2)*20+卡牌属性!$DX399)</f>
        <v>7500</v>
      </c>
      <c r="FS399" s="14">
        <f>INDEX(属性投放!$BS$6:$BS$85,(卡牌属性!$DW399-2)*20+卡牌属性!$DX399)</f>
        <v>7500</v>
      </c>
      <c r="FT399" s="14">
        <f>INDEX(属性投放!$BS$6:$BS$85,(卡牌属性!$DW399-2)*20+卡牌属性!$DX399)</f>
        <v>7500</v>
      </c>
      <c r="FU399" s="14">
        <f>INDEX(属性投放!$BS$6:$BS$85,(卡牌属性!$DW399-2)*20+卡牌属性!$DX399)</f>
        <v>7500</v>
      </c>
      <c r="FV399" s="14">
        <f>INDEX(属性投放!$BS$6:$BS$85,(卡牌属性!$DW399-2)*20+卡牌属性!$DX399)</f>
        <v>7500</v>
      </c>
    </row>
    <row r="400" spans="31:178" ht="16.5" x14ac:dyDescent="0.2">
      <c r="AE400" s="13">
        <v>396</v>
      </c>
      <c r="AF400" s="13">
        <f t="shared" si="753"/>
        <v>20</v>
      </c>
      <c r="AG400" s="13">
        <f t="shared" si="740"/>
        <v>3</v>
      </c>
      <c r="AH400" s="13"/>
      <c r="AI400" s="13"/>
      <c r="AJ400" s="14">
        <f t="shared" si="741"/>
        <v>1101023</v>
      </c>
      <c r="AK400" s="14" t="str">
        <f t="shared" si="742"/>
        <v>朱童16突</v>
      </c>
      <c r="AL400" s="25" t="s">
        <v>142</v>
      </c>
      <c r="AM400" s="14">
        <v>1</v>
      </c>
      <c r="AN400" s="14">
        <f t="shared" si="743"/>
        <v>16</v>
      </c>
      <c r="AO400" s="14">
        <f>INDEX(属性投放!$DF$6:$DF$85,(卡牌属性!AG400-2)*20+卡牌属性!AN400)</f>
        <v>11573</v>
      </c>
      <c r="AP400" s="14">
        <f t="shared" si="719"/>
        <v>11573</v>
      </c>
      <c r="AQ400" s="14">
        <f t="shared" si="719"/>
        <v>11573</v>
      </c>
      <c r="AR400" s="14">
        <f t="shared" si="719"/>
        <v>11573</v>
      </c>
      <c r="AS400" s="14">
        <f t="shared" si="719"/>
        <v>11573</v>
      </c>
      <c r="AT400" s="14">
        <f>INDEX(属性投放!$DG$6:$DG$85,(卡牌属性!AG400-2)*20+卡牌属性!AN400)</f>
        <v>5726</v>
      </c>
      <c r="AU400" s="14">
        <f t="shared" si="720"/>
        <v>5726</v>
      </c>
      <c r="AV400" s="14">
        <f t="shared" si="720"/>
        <v>5726</v>
      </c>
      <c r="AW400" s="14">
        <f t="shared" si="720"/>
        <v>5726</v>
      </c>
      <c r="AX400" s="14">
        <f t="shared" si="720"/>
        <v>5726</v>
      </c>
      <c r="AY400" s="14">
        <f>INDEX(属性投放!$DH$6:$DH$85,(卡牌属性!AG400-2)*20+卡牌属性!AN400)</f>
        <v>104818</v>
      </c>
      <c r="AZ400" s="14">
        <f t="shared" si="721"/>
        <v>104818</v>
      </c>
      <c r="BA400" s="14">
        <f t="shared" si="721"/>
        <v>104818</v>
      </c>
      <c r="BB400" s="14">
        <f t="shared" si="721"/>
        <v>104818</v>
      </c>
      <c r="BC400" s="14">
        <f t="shared" si="721"/>
        <v>104818</v>
      </c>
      <c r="BD400" s="14">
        <f>INDEX(属性投放!$DL$6:$DL$85,(卡牌属性!AG400-2)*20+卡牌属性!AN400)</f>
        <v>259</v>
      </c>
      <c r="BE400" s="14">
        <f t="shared" si="722"/>
        <v>259</v>
      </c>
      <c r="BF400" s="14">
        <f t="shared" si="722"/>
        <v>259</v>
      </c>
      <c r="BG400" s="14">
        <f t="shared" si="722"/>
        <v>259</v>
      </c>
      <c r="BH400" s="14">
        <f t="shared" si="722"/>
        <v>259</v>
      </c>
      <c r="BI400" s="14">
        <f>INDEX(属性投放!$DM$6:$DM$85,(卡牌属性!AG400-2)*20+卡牌属性!AN400)</f>
        <v>130</v>
      </c>
      <c r="BJ400" s="14">
        <f t="shared" si="723"/>
        <v>130</v>
      </c>
      <c r="BK400" s="14">
        <f t="shared" si="723"/>
        <v>130</v>
      </c>
      <c r="BL400" s="14">
        <f t="shared" si="723"/>
        <v>130</v>
      </c>
      <c r="BM400" s="14">
        <f t="shared" si="723"/>
        <v>130</v>
      </c>
      <c r="BN400" s="14">
        <f>INDEX(属性投放!$DN$6:$DN$85,(卡牌属性!AG400-2)*20+卡牌属性!AN400)</f>
        <v>2593</v>
      </c>
      <c r="BO400" s="14">
        <f t="shared" si="724"/>
        <v>2593</v>
      </c>
      <c r="BP400" s="14">
        <f t="shared" si="724"/>
        <v>2593</v>
      </c>
      <c r="BQ400" s="14">
        <f t="shared" si="724"/>
        <v>2593</v>
      </c>
      <c r="BR400" s="14">
        <f t="shared" si="724"/>
        <v>2593</v>
      </c>
      <c r="BW400" s="13">
        <v>396</v>
      </c>
      <c r="BX400" s="13">
        <f t="shared" si="744"/>
        <v>20</v>
      </c>
      <c r="BY400" s="14">
        <f t="shared" si="745"/>
        <v>3</v>
      </c>
      <c r="BZ400" s="14">
        <f t="shared" si="754"/>
        <v>1102020</v>
      </c>
      <c r="CA400" s="14" t="str">
        <f t="shared" si="755"/>
        <v>高顺16突</v>
      </c>
      <c r="CB400" s="25" t="s">
        <v>142</v>
      </c>
      <c r="CC400" s="14">
        <v>2</v>
      </c>
      <c r="CD400" s="14">
        <f t="shared" si="746"/>
        <v>16</v>
      </c>
      <c r="CE400" s="14" t="s">
        <v>21</v>
      </c>
      <c r="CF400" s="14">
        <f>INDEX(属性投放!$AZ$6:$AZ$85,(BY400-2)*20+CD400)</f>
        <v>10466</v>
      </c>
      <c r="CG400" s="14" t="s">
        <v>22</v>
      </c>
      <c r="CH400" s="14">
        <f>INDEX(属性投放!$BA$6:$BA$85,(BY400-2)*20+CD400)</f>
        <v>5194</v>
      </c>
      <c r="CI400" s="14" t="s">
        <v>510</v>
      </c>
      <c r="CJ400" s="14">
        <f>INDEX(属性投放!$BB$6:$BB$85,(BY400-2)*20+CD400)</f>
        <v>93840</v>
      </c>
      <c r="CK400" s="14" t="s">
        <v>21</v>
      </c>
      <c r="CL400" s="14">
        <f>INDEX(属性投放!$BC$6:$BC$85,(BY400-2)*20+CD400)</f>
        <v>30</v>
      </c>
      <c r="CM400" s="14" t="s">
        <v>22</v>
      </c>
      <c r="CN400" s="14">
        <f>INDEX(属性投放!$BD$6:$BD$85,(BY400-2)*20+CD400)</f>
        <v>15</v>
      </c>
      <c r="CO400" s="14" t="s">
        <v>510</v>
      </c>
      <c r="CP400" s="14">
        <f>INDEX(属性投放!$BE$6:$BE$85,(BY400-2)*20+CD400)</f>
        <v>300</v>
      </c>
      <c r="CS400" s="13">
        <v>396</v>
      </c>
      <c r="CT400" s="13">
        <f t="shared" si="756"/>
        <v>8</v>
      </c>
      <c r="CU400" s="13">
        <f t="shared" si="757"/>
        <v>32</v>
      </c>
      <c r="CV400" s="14">
        <f t="shared" si="758"/>
        <v>4</v>
      </c>
      <c r="CW400" s="14">
        <f t="shared" si="759"/>
        <v>1102008</v>
      </c>
      <c r="CX400" s="14" t="str">
        <f>INDEX($O$6:$O$50,CT400)&amp;"-"&amp;INDEX(属性投放!$AB$7:$AB$50,CZ400)&amp;"-魂火-"&amp;DB400</f>
        <v>夏侯渊-焦热+1-魂火-2</v>
      </c>
      <c r="CY400" s="25" t="s">
        <v>142</v>
      </c>
      <c r="CZ400" s="14">
        <f>INDEX(属性投放!$AM$7:$AM$58,CU400)</f>
        <v>14</v>
      </c>
      <c r="DA400" s="14" t="s">
        <v>537</v>
      </c>
      <c r="DB400" s="14">
        <f>INDEX(属性投放!$AN$7:$AN$58,CU400)</f>
        <v>2</v>
      </c>
      <c r="DC400" s="14">
        <f t="shared" si="747"/>
        <v>32</v>
      </c>
      <c r="DD400" s="14">
        <f>INDEX(属性投放!$AO$7:$AO$58,DC400)</f>
        <v>98</v>
      </c>
      <c r="DE400" s="14" t="s">
        <v>538</v>
      </c>
      <c r="DF400" s="14">
        <f>INDEX(属性投放!$BK$6:$BK$85,(CV400-2)*20+CZ400)</f>
        <v>320</v>
      </c>
      <c r="DG400" s="14">
        <f>SUMIFS(DF$5:DF400,$CT$5:$CT400,"="&amp;$CT400)</f>
        <v>4220</v>
      </c>
      <c r="DH400" s="14" t="s">
        <v>539</v>
      </c>
      <c r="DI400" s="14">
        <f>INDEX(属性投放!$BL$6:$BL$85,(CV400-2)*20+CZ400)</f>
        <v>160</v>
      </c>
      <c r="DJ400" s="14">
        <f>SUMIFS(DI$5:DI400,$CT$5:$CT400,"="&amp;$CT400)</f>
        <v>2118</v>
      </c>
      <c r="DK400" s="14" t="s">
        <v>540</v>
      </c>
      <c r="DL400" s="14">
        <f>INDEX(属性投放!$BM$6:$BM$85,(CV400-2)*20+CZ400)</f>
        <v>3200</v>
      </c>
      <c r="DM400" s="14">
        <f>SUMIFS(DL$5:DL400,$CT$5:$CT400,"="&amp;$CT400)</f>
        <v>37635</v>
      </c>
      <c r="DR400" s="14">
        <f t="shared" si="748"/>
        <v>1102020</v>
      </c>
      <c r="DS400" s="14" t="str">
        <f t="shared" si="749"/>
        <v>高顺16突</v>
      </c>
      <c r="DT400" s="14">
        <f t="shared" si="760"/>
        <v>6</v>
      </c>
      <c r="DU400" s="14">
        <f t="shared" si="761"/>
        <v>5</v>
      </c>
      <c r="DV400" s="14">
        <f t="shared" si="762"/>
        <v>5</v>
      </c>
      <c r="DW400" s="14">
        <f t="shared" si="750"/>
        <v>3</v>
      </c>
      <c r="DX400" s="14">
        <f t="shared" si="751"/>
        <v>16</v>
      </c>
      <c r="DY400" s="14">
        <f t="shared" si="752"/>
        <v>36</v>
      </c>
      <c r="DZ400" s="14">
        <f>INDEX(属性投放!$AX$6:$AX$85,(卡牌属性!DW400-2)*20+卡牌属性!DX400)</f>
        <v>7</v>
      </c>
      <c r="EA400" s="14">
        <f>INDEX(属性投放!BQ$6:BQ$85,卡牌属性!$DY400)</f>
        <v>800</v>
      </c>
      <c r="EB400" s="14">
        <f>INDEX(属性投放!BR$6:BR$85,卡牌属性!$DY400)</f>
        <v>400</v>
      </c>
      <c r="EC400" s="14">
        <f>INDEX(属性投放!BS$6:BS$85,卡牌属性!$DY400)</f>
        <v>8000</v>
      </c>
      <c r="ED400" s="14">
        <f t="shared" si="725"/>
        <v>5354</v>
      </c>
      <c r="EE400" s="14">
        <f t="shared" si="726"/>
        <v>6283</v>
      </c>
      <c r="EF400" s="14">
        <f t="shared" si="727"/>
        <v>6700</v>
      </c>
      <c r="EG400" s="14">
        <f t="shared" si="728"/>
        <v>6700</v>
      </c>
      <c r="EH400" s="14">
        <f t="shared" si="729"/>
        <v>7145</v>
      </c>
      <c r="EI400" s="14">
        <f t="shared" si="730"/>
        <v>2576</v>
      </c>
      <c r="EJ400" s="14">
        <f t="shared" si="731"/>
        <v>2654</v>
      </c>
      <c r="EK400" s="14">
        <f t="shared" si="732"/>
        <v>2654</v>
      </c>
      <c r="EL400" s="14">
        <f t="shared" si="733"/>
        <v>3113</v>
      </c>
      <c r="EM400" s="14">
        <f t="shared" si="734"/>
        <v>3337</v>
      </c>
      <c r="EN400" s="14">
        <f t="shared" si="735"/>
        <v>45100</v>
      </c>
      <c r="EO400" s="14">
        <f t="shared" si="736"/>
        <v>46264</v>
      </c>
      <c r="EP400" s="14">
        <f t="shared" si="737"/>
        <v>46264</v>
      </c>
      <c r="EQ400" s="14">
        <f t="shared" si="738"/>
        <v>54198</v>
      </c>
      <c r="ER400" s="14">
        <f t="shared" si="739"/>
        <v>57542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INDEX(属性投放!$BQ$6:$BQ$85,(卡牌属性!$DW400-2)*20+卡牌属性!$DX400)</f>
        <v>800</v>
      </c>
      <c r="FI400" s="14">
        <f>INDEX(属性投放!$BQ$6:$BQ$85,(卡牌属性!$DW400-2)*20+卡牌属性!$DX400)</f>
        <v>800</v>
      </c>
      <c r="FJ400" s="14">
        <f>INDEX(属性投放!$BQ$6:$BQ$85,(卡牌属性!$DW400-2)*20+卡牌属性!$DX400)</f>
        <v>800</v>
      </c>
      <c r="FK400" s="14">
        <f>INDEX(属性投放!$BQ$6:$BQ$85,(卡牌属性!$DW400-2)*20+卡牌属性!$DX400)</f>
        <v>800</v>
      </c>
      <c r="FL400" s="14">
        <f>INDEX(属性投放!$BQ$6:$BQ$85,(卡牌属性!$DW400-2)*20+卡牌属性!$DX400)</f>
        <v>800</v>
      </c>
      <c r="FM400" s="14">
        <f>INDEX(属性投放!$BR$6:$BR$85,(卡牌属性!$DW400-2)*20+卡牌属性!$DX400)</f>
        <v>400</v>
      </c>
      <c r="FN400" s="14">
        <f>INDEX(属性投放!$BR$6:$BR$85,(卡牌属性!$DW400-2)*20+卡牌属性!$DX400)</f>
        <v>400</v>
      </c>
      <c r="FO400" s="14">
        <f>INDEX(属性投放!$BR$6:$BR$85,(卡牌属性!$DW400-2)*20+卡牌属性!$DX400)</f>
        <v>400</v>
      </c>
      <c r="FP400" s="14">
        <f>INDEX(属性投放!$BR$6:$BR$85,(卡牌属性!$DW400-2)*20+卡牌属性!$DX400)</f>
        <v>400</v>
      </c>
      <c r="FQ400" s="14">
        <f>INDEX(属性投放!$BR$6:$BR$85,(卡牌属性!$DW400-2)*20+卡牌属性!$DX400)</f>
        <v>400</v>
      </c>
      <c r="FR400" s="14">
        <f>INDEX(属性投放!$BS$6:$BS$85,(卡牌属性!$DW400-2)*20+卡牌属性!$DX400)</f>
        <v>8000</v>
      </c>
      <c r="FS400" s="14">
        <f>INDEX(属性投放!$BS$6:$BS$85,(卡牌属性!$DW400-2)*20+卡牌属性!$DX400)</f>
        <v>8000</v>
      </c>
      <c r="FT400" s="14">
        <f>INDEX(属性投放!$BS$6:$BS$85,(卡牌属性!$DW400-2)*20+卡牌属性!$DX400)</f>
        <v>8000</v>
      </c>
      <c r="FU400" s="14">
        <f>INDEX(属性投放!$BS$6:$BS$85,(卡牌属性!$DW400-2)*20+卡牌属性!$DX400)</f>
        <v>8000</v>
      </c>
      <c r="FV400" s="14">
        <f>INDEX(属性投放!$BS$6:$BS$85,(卡牌属性!$DW400-2)*20+卡牌属性!$DX400)</f>
        <v>8000</v>
      </c>
    </row>
    <row r="401" spans="31:178" ht="16.5" x14ac:dyDescent="0.2">
      <c r="AE401" s="13">
        <v>397</v>
      </c>
      <c r="AF401" s="13">
        <f t="shared" si="753"/>
        <v>20</v>
      </c>
      <c r="AG401" s="13">
        <f t="shared" si="740"/>
        <v>3</v>
      </c>
      <c r="AH401" s="13"/>
      <c r="AI401" s="13"/>
      <c r="AJ401" s="14">
        <f t="shared" si="741"/>
        <v>1101023</v>
      </c>
      <c r="AK401" s="14" t="str">
        <f t="shared" si="742"/>
        <v>朱童17突</v>
      </c>
      <c r="AL401" s="25" t="s">
        <v>142</v>
      </c>
      <c r="AM401" s="14">
        <v>1</v>
      </c>
      <c r="AN401" s="14">
        <f t="shared" si="743"/>
        <v>17</v>
      </c>
      <c r="AO401" s="14">
        <f>INDEX(属性投放!$DF$6:$DF$85,(卡牌属性!AG401-2)*20+卡牌属性!AN401)</f>
        <v>12499</v>
      </c>
      <c r="AP401" s="14">
        <f t="shared" si="719"/>
        <v>12499</v>
      </c>
      <c r="AQ401" s="14">
        <f t="shared" si="719"/>
        <v>12499</v>
      </c>
      <c r="AR401" s="14">
        <f t="shared" si="719"/>
        <v>12499</v>
      </c>
      <c r="AS401" s="14">
        <f t="shared" si="719"/>
        <v>12499</v>
      </c>
      <c r="AT401" s="14">
        <f>INDEX(属性投放!$DG$6:$DG$85,(卡牌属性!AG401-2)*20+卡牌属性!AN401)</f>
        <v>6189</v>
      </c>
      <c r="AU401" s="14">
        <f t="shared" si="720"/>
        <v>6189</v>
      </c>
      <c r="AV401" s="14">
        <f t="shared" si="720"/>
        <v>6189</v>
      </c>
      <c r="AW401" s="14">
        <f t="shared" si="720"/>
        <v>6189</v>
      </c>
      <c r="AX401" s="14">
        <f t="shared" si="720"/>
        <v>6189</v>
      </c>
      <c r="AY401" s="14">
        <f>INDEX(属性投放!$DH$6:$DH$85,(卡牌属性!AG401-2)*20+卡牌属性!AN401)</f>
        <v>114078</v>
      </c>
      <c r="AZ401" s="14">
        <f t="shared" si="721"/>
        <v>114078</v>
      </c>
      <c r="BA401" s="14">
        <f t="shared" si="721"/>
        <v>114078</v>
      </c>
      <c r="BB401" s="14">
        <f t="shared" si="721"/>
        <v>114078</v>
      </c>
      <c r="BC401" s="14">
        <f t="shared" si="721"/>
        <v>114078</v>
      </c>
      <c r="BD401" s="14">
        <f>INDEX(属性投放!$DL$6:$DL$85,(卡牌属性!AG401-2)*20+卡牌属性!AN401)</f>
        <v>259</v>
      </c>
      <c r="BE401" s="14">
        <f t="shared" si="722"/>
        <v>259</v>
      </c>
      <c r="BF401" s="14">
        <f t="shared" si="722"/>
        <v>259</v>
      </c>
      <c r="BG401" s="14">
        <f t="shared" si="722"/>
        <v>259</v>
      </c>
      <c r="BH401" s="14">
        <f t="shared" si="722"/>
        <v>259</v>
      </c>
      <c r="BI401" s="14">
        <f>INDEX(属性投放!$DM$6:$DM$85,(卡牌属性!AG401-2)*20+卡牌属性!AN401)</f>
        <v>130</v>
      </c>
      <c r="BJ401" s="14">
        <f t="shared" si="723"/>
        <v>130</v>
      </c>
      <c r="BK401" s="14">
        <f t="shared" si="723"/>
        <v>130</v>
      </c>
      <c r="BL401" s="14">
        <f t="shared" si="723"/>
        <v>130</v>
      </c>
      <c r="BM401" s="14">
        <f t="shared" si="723"/>
        <v>130</v>
      </c>
      <c r="BN401" s="14">
        <f>INDEX(属性投放!$DN$6:$DN$85,(卡牌属性!AG401-2)*20+卡牌属性!AN401)</f>
        <v>2593</v>
      </c>
      <c r="BO401" s="14">
        <f t="shared" si="724"/>
        <v>2593</v>
      </c>
      <c r="BP401" s="14">
        <f t="shared" si="724"/>
        <v>2593</v>
      </c>
      <c r="BQ401" s="14">
        <f t="shared" si="724"/>
        <v>2593</v>
      </c>
      <c r="BR401" s="14">
        <f t="shared" si="724"/>
        <v>2593</v>
      </c>
      <c r="BW401" s="13">
        <v>397</v>
      </c>
      <c r="BX401" s="13">
        <f t="shared" si="744"/>
        <v>20</v>
      </c>
      <c r="BY401" s="14">
        <f t="shared" si="745"/>
        <v>3</v>
      </c>
      <c r="BZ401" s="14">
        <f t="shared" si="754"/>
        <v>1102020</v>
      </c>
      <c r="CA401" s="14" t="str">
        <f t="shared" si="755"/>
        <v>高顺17突</v>
      </c>
      <c r="CB401" s="25" t="s">
        <v>142</v>
      </c>
      <c r="CC401" s="14">
        <v>2</v>
      </c>
      <c r="CD401" s="14">
        <f t="shared" si="746"/>
        <v>17</v>
      </c>
      <c r="CE401" s="14" t="s">
        <v>21</v>
      </c>
      <c r="CF401" s="14">
        <f>INDEX(属性投放!$AZ$6:$AZ$85,(BY401-2)*20+CD401)</f>
        <v>12976</v>
      </c>
      <c r="CG401" s="14" t="s">
        <v>22</v>
      </c>
      <c r="CH401" s="14">
        <f>INDEX(属性投放!$BA$6:$BA$85,(BY401-2)*20+CD401)</f>
        <v>6449</v>
      </c>
      <c r="CI401" s="14" t="s">
        <v>510</v>
      </c>
      <c r="CJ401" s="14">
        <f>INDEX(属性投放!$BB$6:$BB$85,(BY401-2)*20+CD401)</f>
        <v>118940</v>
      </c>
      <c r="CK401" s="14" t="s">
        <v>21</v>
      </c>
      <c r="CL401" s="14">
        <f>INDEX(属性投放!$BC$6:$BC$85,(BY401-2)*20+CD401)</f>
        <v>30</v>
      </c>
      <c r="CM401" s="14" t="s">
        <v>22</v>
      </c>
      <c r="CN401" s="14">
        <f>INDEX(属性投放!$BD$6:$BD$85,(BY401-2)*20+CD401)</f>
        <v>15</v>
      </c>
      <c r="CO401" s="14" t="s">
        <v>510</v>
      </c>
      <c r="CP401" s="14">
        <f>INDEX(属性投放!$BE$6:$BE$85,(BY401-2)*20+CD401)</f>
        <v>300</v>
      </c>
      <c r="CS401" s="13">
        <v>397</v>
      </c>
      <c r="CT401" s="13">
        <f t="shared" si="756"/>
        <v>8</v>
      </c>
      <c r="CU401" s="13">
        <f t="shared" si="757"/>
        <v>33</v>
      </c>
      <c r="CV401" s="14">
        <f t="shared" si="758"/>
        <v>4</v>
      </c>
      <c r="CW401" s="14">
        <f t="shared" si="759"/>
        <v>1102008</v>
      </c>
      <c r="CX401" s="14" t="str">
        <f>INDEX($O$6:$O$50,CT401)&amp;"-"&amp;INDEX(属性投放!$AB$7:$AB$50,CZ401)&amp;"-魂火-"&amp;DB401</f>
        <v>夏侯渊-焦热+1-魂火-3</v>
      </c>
      <c r="CY401" s="25" t="s">
        <v>142</v>
      </c>
      <c r="CZ401" s="14">
        <f>INDEX(属性投放!$AM$7:$AM$58,CU401)</f>
        <v>14</v>
      </c>
      <c r="DA401" s="14" t="s">
        <v>537</v>
      </c>
      <c r="DB401" s="14">
        <f>INDEX(属性投放!$AN$7:$AN$58,CU401)</f>
        <v>3</v>
      </c>
      <c r="DC401" s="14">
        <f t="shared" si="747"/>
        <v>33</v>
      </c>
      <c r="DD401" s="14">
        <f>INDEX(属性投放!$AO$7:$AO$58,DC401)</f>
        <v>100</v>
      </c>
      <c r="DE401" s="14" t="s">
        <v>538</v>
      </c>
      <c r="DF401" s="14">
        <f>INDEX(属性投放!$BK$6:$BK$85,(CV401-2)*20+CZ401)</f>
        <v>320</v>
      </c>
      <c r="DG401" s="14">
        <f>SUMIFS(DF$5:DF401,$CT$5:$CT401,"="&amp;$CT401)</f>
        <v>4540</v>
      </c>
      <c r="DH401" s="14" t="s">
        <v>539</v>
      </c>
      <c r="DI401" s="14">
        <f>INDEX(属性投放!$BL$6:$BL$85,(CV401-2)*20+CZ401)</f>
        <v>160</v>
      </c>
      <c r="DJ401" s="14">
        <f>SUMIFS(DI$5:DI401,$CT$5:$CT401,"="&amp;$CT401)</f>
        <v>2278</v>
      </c>
      <c r="DK401" s="14" t="s">
        <v>540</v>
      </c>
      <c r="DL401" s="14">
        <f>INDEX(属性投放!$BM$6:$BM$85,(CV401-2)*20+CZ401)</f>
        <v>3200</v>
      </c>
      <c r="DM401" s="14">
        <f>SUMIFS(DL$5:DL401,$CT$5:$CT401,"="&amp;$CT401)</f>
        <v>40835</v>
      </c>
      <c r="DR401" s="14">
        <f t="shared" si="748"/>
        <v>1102020</v>
      </c>
      <c r="DS401" s="14" t="str">
        <f t="shared" si="749"/>
        <v>高顺17突</v>
      </c>
      <c r="DT401" s="14">
        <f t="shared" si="760"/>
        <v>6</v>
      </c>
      <c r="DU401" s="14">
        <f t="shared" si="761"/>
        <v>5</v>
      </c>
      <c r="DV401" s="14">
        <f t="shared" si="762"/>
        <v>5</v>
      </c>
      <c r="DW401" s="14">
        <f t="shared" si="750"/>
        <v>3</v>
      </c>
      <c r="DX401" s="14">
        <f t="shared" si="751"/>
        <v>17</v>
      </c>
      <c r="DY401" s="14">
        <f t="shared" si="752"/>
        <v>37</v>
      </c>
      <c r="DZ401" s="14">
        <f>INDEX(属性投放!$AX$6:$AX$85,(卡牌属性!DW401-2)*20+卡牌属性!DX401)</f>
        <v>8</v>
      </c>
      <c r="EA401" s="14">
        <f>INDEX(属性投放!BQ$6:BQ$85,卡牌属性!$DY401)</f>
        <v>900</v>
      </c>
      <c r="EB401" s="14">
        <f>INDEX(属性投放!BR$6:BR$85,卡牌属性!$DY401)</f>
        <v>450</v>
      </c>
      <c r="EC401" s="14">
        <f>INDEX(属性投放!BS$6:BS$85,卡牌属性!$DY401)</f>
        <v>9000</v>
      </c>
      <c r="ED401" s="14">
        <f t="shared" si="725"/>
        <v>6399</v>
      </c>
      <c r="EE401" s="14">
        <f t="shared" si="726"/>
        <v>7433</v>
      </c>
      <c r="EF401" s="14">
        <f t="shared" si="727"/>
        <v>7920</v>
      </c>
      <c r="EG401" s="14">
        <f t="shared" si="728"/>
        <v>7920</v>
      </c>
      <c r="EH401" s="14">
        <f t="shared" si="729"/>
        <v>8470</v>
      </c>
      <c r="EI401" s="14">
        <f t="shared" si="730"/>
        <v>3081</v>
      </c>
      <c r="EJ401" s="14">
        <f t="shared" si="731"/>
        <v>3180</v>
      </c>
      <c r="EK401" s="14">
        <f t="shared" si="732"/>
        <v>3180</v>
      </c>
      <c r="EL401" s="14">
        <f t="shared" si="733"/>
        <v>3688</v>
      </c>
      <c r="EM401" s="14">
        <f t="shared" si="734"/>
        <v>3947</v>
      </c>
      <c r="EN401" s="14">
        <f t="shared" si="735"/>
        <v>55200</v>
      </c>
      <c r="EO401" s="14">
        <f t="shared" si="736"/>
        <v>56714</v>
      </c>
      <c r="EP401" s="14">
        <f t="shared" si="737"/>
        <v>56714</v>
      </c>
      <c r="EQ401" s="14">
        <f t="shared" si="738"/>
        <v>65698</v>
      </c>
      <c r="ER401" s="14">
        <f t="shared" si="739"/>
        <v>69742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INDEX(属性投放!$BQ$6:$BQ$85,(卡牌属性!$DW401-2)*20+卡牌属性!$DX401)</f>
        <v>900</v>
      </c>
      <c r="FI401" s="14">
        <f>INDEX(属性投放!$BQ$6:$BQ$85,(卡牌属性!$DW401-2)*20+卡牌属性!$DX401)</f>
        <v>900</v>
      </c>
      <c r="FJ401" s="14">
        <f>INDEX(属性投放!$BQ$6:$BQ$85,(卡牌属性!$DW401-2)*20+卡牌属性!$DX401)</f>
        <v>900</v>
      </c>
      <c r="FK401" s="14">
        <f>INDEX(属性投放!$BQ$6:$BQ$85,(卡牌属性!$DW401-2)*20+卡牌属性!$DX401)</f>
        <v>900</v>
      </c>
      <c r="FL401" s="14">
        <f>INDEX(属性投放!$BQ$6:$BQ$85,(卡牌属性!$DW401-2)*20+卡牌属性!$DX401)</f>
        <v>900</v>
      </c>
      <c r="FM401" s="14">
        <f>INDEX(属性投放!$BR$6:$BR$85,(卡牌属性!$DW401-2)*20+卡牌属性!$DX401)</f>
        <v>450</v>
      </c>
      <c r="FN401" s="14">
        <f>INDEX(属性投放!$BR$6:$BR$85,(卡牌属性!$DW401-2)*20+卡牌属性!$DX401)</f>
        <v>450</v>
      </c>
      <c r="FO401" s="14">
        <f>INDEX(属性投放!$BR$6:$BR$85,(卡牌属性!$DW401-2)*20+卡牌属性!$DX401)</f>
        <v>450</v>
      </c>
      <c r="FP401" s="14">
        <f>INDEX(属性投放!$BR$6:$BR$85,(卡牌属性!$DW401-2)*20+卡牌属性!$DX401)</f>
        <v>450</v>
      </c>
      <c r="FQ401" s="14">
        <f>INDEX(属性投放!$BR$6:$BR$85,(卡牌属性!$DW401-2)*20+卡牌属性!$DX401)</f>
        <v>450</v>
      </c>
      <c r="FR401" s="14">
        <f>INDEX(属性投放!$BS$6:$BS$85,(卡牌属性!$DW401-2)*20+卡牌属性!$DX401)</f>
        <v>9000</v>
      </c>
      <c r="FS401" s="14">
        <f>INDEX(属性投放!$BS$6:$BS$85,(卡牌属性!$DW401-2)*20+卡牌属性!$DX401)</f>
        <v>9000</v>
      </c>
      <c r="FT401" s="14">
        <f>INDEX(属性投放!$BS$6:$BS$85,(卡牌属性!$DW401-2)*20+卡牌属性!$DX401)</f>
        <v>9000</v>
      </c>
      <c r="FU401" s="14">
        <f>INDEX(属性投放!$BS$6:$BS$85,(卡牌属性!$DW401-2)*20+卡牌属性!$DX401)</f>
        <v>9000</v>
      </c>
      <c r="FV401" s="14">
        <f>INDEX(属性投放!$BS$6:$BS$85,(卡牌属性!$DW401-2)*20+卡牌属性!$DX401)</f>
        <v>9000</v>
      </c>
    </row>
    <row r="402" spans="31:178" ht="16.5" x14ac:dyDescent="0.2">
      <c r="AE402" s="13">
        <v>398</v>
      </c>
      <c r="AF402" s="13">
        <f t="shared" si="753"/>
        <v>20</v>
      </c>
      <c r="AG402" s="13">
        <f t="shared" si="740"/>
        <v>3</v>
      </c>
      <c r="AH402" s="13"/>
      <c r="AI402" s="13"/>
      <c r="AJ402" s="14">
        <f t="shared" si="741"/>
        <v>1101023</v>
      </c>
      <c r="AK402" s="14" t="str">
        <f t="shared" si="742"/>
        <v>朱童18突</v>
      </c>
      <c r="AL402" s="25" t="s">
        <v>142</v>
      </c>
      <c r="AM402" s="14">
        <v>1</v>
      </c>
      <c r="AN402" s="14">
        <f t="shared" si="743"/>
        <v>18</v>
      </c>
      <c r="AO402" s="14">
        <f>INDEX(属性投放!$DF$6:$DF$85,(卡牌属性!AG402-2)*20+卡牌属性!AN402)</f>
        <v>13425</v>
      </c>
      <c r="AP402" s="14">
        <f t="shared" si="719"/>
        <v>13425</v>
      </c>
      <c r="AQ402" s="14">
        <f t="shared" si="719"/>
        <v>13425</v>
      </c>
      <c r="AR402" s="14">
        <f t="shared" si="719"/>
        <v>13425</v>
      </c>
      <c r="AS402" s="14">
        <f t="shared" si="719"/>
        <v>13425</v>
      </c>
      <c r="AT402" s="14">
        <f>INDEX(属性投放!$DG$6:$DG$85,(卡牌属性!AG402-2)*20+卡牌属性!AN402)</f>
        <v>6652</v>
      </c>
      <c r="AU402" s="14">
        <f t="shared" si="720"/>
        <v>6652</v>
      </c>
      <c r="AV402" s="14">
        <f t="shared" si="720"/>
        <v>6652</v>
      </c>
      <c r="AW402" s="14">
        <f t="shared" si="720"/>
        <v>6652</v>
      </c>
      <c r="AX402" s="14">
        <f t="shared" si="720"/>
        <v>6652</v>
      </c>
      <c r="AY402" s="14">
        <f>INDEX(属性投放!$DH$6:$DH$85,(卡牌属性!AG402-2)*20+卡牌属性!AN402)</f>
        <v>123338</v>
      </c>
      <c r="AZ402" s="14">
        <f t="shared" si="721"/>
        <v>123338</v>
      </c>
      <c r="BA402" s="14">
        <f t="shared" si="721"/>
        <v>123338</v>
      </c>
      <c r="BB402" s="14">
        <f t="shared" si="721"/>
        <v>123338</v>
      </c>
      <c r="BC402" s="14">
        <f t="shared" si="721"/>
        <v>123338</v>
      </c>
      <c r="BD402" s="14">
        <f>INDEX(属性投放!$DL$6:$DL$85,(卡牌属性!AG402-2)*20+卡牌属性!AN402)</f>
        <v>259</v>
      </c>
      <c r="BE402" s="14">
        <f t="shared" si="722"/>
        <v>259</v>
      </c>
      <c r="BF402" s="14">
        <f t="shared" si="722"/>
        <v>259</v>
      </c>
      <c r="BG402" s="14">
        <f t="shared" si="722"/>
        <v>259</v>
      </c>
      <c r="BH402" s="14">
        <f t="shared" si="722"/>
        <v>259</v>
      </c>
      <c r="BI402" s="14">
        <f>INDEX(属性投放!$DM$6:$DM$85,(卡牌属性!AG402-2)*20+卡牌属性!AN402)</f>
        <v>130</v>
      </c>
      <c r="BJ402" s="14">
        <f t="shared" si="723"/>
        <v>130</v>
      </c>
      <c r="BK402" s="14">
        <f t="shared" si="723"/>
        <v>130</v>
      </c>
      <c r="BL402" s="14">
        <f t="shared" si="723"/>
        <v>130</v>
      </c>
      <c r="BM402" s="14">
        <f t="shared" si="723"/>
        <v>130</v>
      </c>
      <c r="BN402" s="14">
        <f>INDEX(属性投放!$DN$6:$DN$85,(卡牌属性!AG402-2)*20+卡牌属性!AN402)</f>
        <v>2593</v>
      </c>
      <c r="BO402" s="14">
        <f t="shared" si="724"/>
        <v>2593</v>
      </c>
      <c r="BP402" s="14">
        <f t="shared" si="724"/>
        <v>2593</v>
      </c>
      <c r="BQ402" s="14">
        <f t="shared" si="724"/>
        <v>2593</v>
      </c>
      <c r="BR402" s="14">
        <f t="shared" si="724"/>
        <v>2593</v>
      </c>
      <c r="BW402" s="13">
        <v>398</v>
      </c>
      <c r="BX402" s="13">
        <f t="shared" si="744"/>
        <v>20</v>
      </c>
      <c r="BY402" s="14">
        <f t="shared" si="745"/>
        <v>3</v>
      </c>
      <c r="BZ402" s="14">
        <f t="shared" si="754"/>
        <v>1102020</v>
      </c>
      <c r="CA402" s="14" t="str">
        <f t="shared" si="755"/>
        <v>高顺18突</v>
      </c>
      <c r="CB402" s="25" t="s">
        <v>142</v>
      </c>
      <c r="CC402" s="14">
        <v>2</v>
      </c>
      <c r="CD402" s="14">
        <f t="shared" si="746"/>
        <v>18</v>
      </c>
      <c r="CE402" s="14" t="s">
        <v>21</v>
      </c>
      <c r="CF402" s="14">
        <f>INDEX(属性投放!$AZ$6:$AZ$85,(BY402-2)*20+CD402)</f>
        <v>15916</v>
      </c>
      <c r="CG402" s="14" t="s">
        <v>22</v>
      </c>
      <c r="CH402" s="14">
        <f>INDEX(属性投放!$BA$6:$BA$85,(BY402-2)*20+CD402)</f>
        <v>7919</v>
      </c>
      <c r="CI402" s="14" t="s">
        <v>510</v>
      </c>
      <c r="CJ402" s="14">
        <f>INDEX(属性投放!$BB$6:$BB$85,(BY402-2)*20+CD402)</f>
        <v>148340</v>
      </c>
      <c r="CK402" s="14" t="s">
        <v>21</v>
      </c>
      <c r="CL402" s="14">
        <f>INDEX(属性投放!$BC$6:$BC$85,(BY402-2)*20+CD402)</f>
        <v>30</v>
      </c>
      <c r="CM402" s="14" t="s">
        <v>22</v>
      </c>
      <c r="CN402" s="14">
        <f>INDEX(属性投放!$BD$6:$BD$85,(BY402-2)*20+CD402)</f>
        <v>15</v>
      </c>
      <c r="CO402" s="14" t="s">
        <v>510</v>
      </c>
      <c r="CP402" s="14">
        <f>INDEX(属性投放!$BE$6:$BE$85,(BY402-2)*20+CD402)</f>
        <v>300</v>
      </c>
      <c r="CS402" s="13">
        <v>398</v>
      </c>
      <c r="CT402" s="13">
        <f t="shared" si="756"/>
        <v>8</v>
      </c>
      <c r="CU402" s="13">
        <f t="shared" si="757"/>
        <v>34</v>
      </c>
      <c r="CV402" s="14">
        <f t="shared" si="758"/>
        <v>4</v>
      </c>
      <c r="CW402" s="14">
        <f t="shared" si="759"/>
        <v>1102008</v>
      </c>
      <c r="CX402" s="14" t="str">
        <f>INDEX($O$6:$O$50,CT402)&amp;"-"&amp;INDEX(属性投放!$AB$7:$AB$50,CZ402)&amp;"-魂火-"&amp;DB402</f>
        <v>夏侯渊-焦热+2-魂火-1</v>
      </c>
      <c r="CY402" s="25" t="s">
        <v>142</v>
      </c>
      <c r="CZ402" s="14">
        <f>INDEX(属性投放!$AM$7:$AM$58,CU402)</f>
        <v>15</v>
      </c>
      <c r="DA402" s="14" t="s">
        <v>537</v>
      </c>
      <c r="DB402" s="14">
        <f>INDEX(属性投放!$AN$7:$AN$58,CU402)</f>
        <v>1</v>
      </c>
      <c r="DC402" s="14">
        <f t="shared" si="747"/>
        <v>34</v>
      </c>
      <c r="DD402" s="14">
        <f>INDEX(属性投放!$AO$7:$AO$58,DC402)</f>
        <v>103</v>
      </c>
      <c r="DE402" s="14" t="s">
        <v>538</v>
      </c>
      <c r="DF402" s="14">
        <f>INDEX(属性投放!$BK$6:$BK$85,(CV402-2)*20+CZ402)</f>
        <v>445</v>
      </c>
      <c r="DG402" s="14">
        <f>SUMIFS(DF$5:DF402,$CT$5:$CT402,"="&amp;$CT402)</f>
        <v>4985</v>
      </c>
      <c r="DH402" s="14" t="s">
        <v>539</v>
      </c>
      <c r="DI402" s="14">
        <f>INDEX(属性投放!$BL$6:$BL$85,(CV402-2)*20+CZ402)</f>
        <v>223</v>
      </c>
      <c r="DJ402" s="14">
        <f>SUMIFS(DI$5:DI402,$CT$5:$CT402,"="&amp;$CT402)</f>
        <v>2501</v>
      </c>
      <c r="DK402" s="14" t="s">
        <v>540</v>
      </c>
      <c r="DL402" s="14">
        <f>INDEX(属性投放!$BM$6:$BM$85,(CV402-2)*20+CZ402)</f>
        <v>4450</v>
      </c>
      <c r="DM402" s="14">
        <f>SUMIFS(DL$5:DL402,$CT$5:$CT402,"="&amp;$CT402)</f>
        <v>45285</v>
      </c>
      <c r="DR402" s="14">
        <f t="shared" si="748"/>
        <v>1102020</v>
      </c>
      <c r="DS402" s="14" t="str">
        <f t="shared" si="749"/>
        <v>高顺18突</v>
      </c>
      <c r="DT402" s="14">
        <f t="shared" si="760"/>
        <v>6</v>
      </c>
      <c r="DU402" s="14">
        <f t="shared" si="761"/>
        <v>5</v>
      </c>
      <c r="DV402" s="14">
        <f t="shared" si="762"/>
        <v>5</v>
      </c>
      <c r="DW402" s="14">
        <f t="shared" si="750"/>
        <v>3</v>
      </c>
      <c r="DX402" s="14">
        <f t="shared" si="751"/>
        <v>18</v>
      </c>
      <c r="DY402" s="14">
        <f t="shared" si="752"/>
        <v>38</v>
      </c>
      <c r="DZ402" s="14">
        <f>INDEX(属性投放!$AX$6:$AX$85,(卡牌属性!DW402-2)*20+卡牌属性!DX402)</f>
        <v>7</v>
      </c>
      <c r="EA402" s="14">
        <f>INDEX(属性投放!BQ$6:BQ$85,卡牌属性!$DY402)</f>
        <v>1500</v>
      </c>
      <c r="EB402" s="14">
        <f>INDEX(属性投放!BR$6:BR$85,卡牌属性!$DY402)</f>
        <v>750</v>
      </c>
      <c r="EC402" s="14">
        <f>INDEX(属性投放!BS$6:BS$85,卡牌属性!$DY402)</f>
        <v>15000</v>
      </c>
      <c r="ED402" s="14">
        <f t="shared" si="725"/>
        <v>7579</v>
      </c>
      <c r="EE402" s="14">
        <f t="shared" si="726"/>
        <v>8733</v>
      </c>
      <c r="EF402" s="14">
        <f t="shared" si="727"/>
        <v>9300</v>
      </c>
      <c r="EG402" s="14">
        <f t="shared" si="728"/>
        <v>9300</v>
      </c>
      <c r="EH402" s="14">
        <f t="shared" si="729"/>
        <v>9970</v>
      </c>
      <c r="EI402" s="14">
        <f t="shared" si="730"/>
        <v>3651</v>
      </c>
      <c r="EJ402" s="14">
        <f t="shared" si="731"/>
        <v>3774</v>
      </c>
      <c r="EK402" s="14">
        <f t="shared" si="732"/>
        <v>3774</v>
      </c>
      <c r="EL402" s="14">
        <f t="shared" si="733"/>
        <v>4338</v>
      </c>
      <c r="EM402" s="14">
        <f t="shared" si="734"/>
        <v>4637</v>
      </c>
      <c r="EN402" s="14">
        <f t="shared" si="735"/>
        <v>66600</v>
      </c>
      <c r="EO402" s="14">
        <f t="shared" si="736"/>
        <v>68514</v>
      </c>
      <c r="EP402" s="14">
        <f t="shared" si="737"/>
        <v>68514</v>
      </c>
      <c r="EQ402" s="14">
        <f t="shared" si="738"/>
        <v>78698</v>
      </c>
      <c r="ER402" s="14">
        <f t="shared" si="739"/>
        <v>83542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INDEX(属性投放!$BQ$6:$BQ$85,(卡牌属性!$DW402-2)*20+卡牌属性!$DX402)</f>
        <v>1500</v>
      </c>
      <c r="FI402" s="14">
        <f>INDEX(属性投放!$BQ$6:$BQ$85,(卡牌属性!$DW402-2)*20+卡牌属性!$DX402)</f>
        <v>1500</v>
      </c>
      <c r="FJ402" s="14">
        <f>INDEX(属性投放!$BQ$6:$BQ$85,(卡牌属性!$DW402-2)*20+卡牌属性!$DX402)</f>
        <v>1500</v>
      </c>
      <c r="FK402" s="14">
        <f>INDEX(属性投放!$BQ$6:$BQ$85,(卡牌属性!$DW402-2)*20+卡牌属性!$DX402)</f>
        <v>1500</v>
      </c>
      <c r="FL402" s="14">
        <f>INDEX(属性投放!$BQ$6:$BQ$85,(卡牌属性!$DW402-2)*20+卡牌属性!$DX402)</f>
        <v>1500</v>
      </c>
      <c r="FM402" s="14">
        <f>INDEX(属性投放!$BR$6:$BR$85,(卡牌属性!$DW402-2)*20+卡牌属性!$DX402)</f>
        <v>750</v>
      </c>
      <c r="FN402" s="14">
        <f>INDEX(属性投放!$BR$6:$BR$85,(卡牌属性!$DW402-2)*20+卡牌属性!$DX402)</f>
        <v>750</v>
      </c>
      <c r="FO402" s="14">
        <f>INDEX(属性投放!$BR$6:$BR$85,(卡牌属性!$DW402-2)*20+卡牌属性!$DX402)</f>
        <v>750</v>
      </c>
      <c r="FP402" s="14">
        <f>INDEX(属性投放!$BR$6:$BR$85,(卡牌属性!$DW402-2)*20+卡牌属性!$DX402)</f>
        <v>750</v>
      </c>
      <c r="FQ402" s="14">
        <f>INDEX(属性投放!$BR$6:$BR$85,(卡牌属性!$DW402-2)*20+卡牌属性!$DX402)</f>
        <v>750</v>
      </c>
      <c r="FR402" s="14">
        <f>INDEX(属性投放!$BS$6:$BS$85,(卡牌属性!$DW402-2)*20+卡牌属性!$DX402)</f>
        <v>15000</v>
      </c>
      <c r="FS402" s="14">
        <f>INDEX(属性投放!$BS$6:$BS$85,(卡牌属性!$DW402-2)*20+卡牌属性!$DX402)</f>
        <v>15000</v>
      </c>
      <c r="FT402" s="14">
        <f>INDEX(属性投放!$BS$6:$BS$85,(卡牌属性!$DW402-2)*20+卡牌属性!$DX402)</f>
        <v>15000</v>
      </c>
      <c r="FU402" s="14">
        <f>INDEX(属性投放!$BS$6:$BS$85,(卡牌属性!$DW402-2)*20+卡牌属性!$DX402)</f>
        <v>15000</v>
      </c>
      <c r="FV402" s="14">
        <f>INDEX(属性投放!$BS$6:$BS$85,(卡牌属性!$DW402-2)*20+卡牌属性!$DX402)</f>
        <v>15000</v>
      </c>
    </row>
    <row r="403" spans="31:178" ht="16.5" x14ac:dyDescent="0.2">
      <c r="AE403" s="13">
        <v>399</v>
      </c>
      <c r="AF403" s="13">
        <f t="shared" si="753"/>
        <v>20</v>
      </c>
      <c r="AG403" s="13">
        <f t="shared" si="740"/>
        <v>3</v>
      </c>
      <c r="AH403" s="13"/>
      <c r="AI403" s="13"/>
      <c r="AJ403" s="14">
        <f t="shared" si="741"/>
        <v>1101023</v>
      </c>
      <c r="AK403" s="14" t="str">
        <f t="shared" si="742"/>
        <v>朱童19突</v>
      </c>
      <c r="AL403" s="25" t="s">
        <v>142</v>
      </c>
      <c r="AM403" s="14">
        <v>1</v>
      </c>
      <c r="AN403" s="14">
        <f t="shared" si="743"/>
        <v>19</v>
      </c>
      <c r="AO403" s="14">
        <f>INDEX(属性投放!$DF$6:$DF$85,(卡牌属性!AG403-2)*20+卡牌属性!AN403)</f>
        <v>20826</v>
      </c>
      <c r="AP403" s="14">
        <f t="shared" si="719"/>
        <v>20826</v>
      </c>
      <c r="AQ403" s="14">
        <f t="shared" si="719"/>
        <v>20826</v>
      </c>
      <c r="AR403" s="14">
        <f t="shared" si="719"/>
        <v>20826</v>
      </c>
      <c r="AS403" s="14">
        <f t="shared" si="719"/>
        <v>20826</v>
      </c>
      <c r="AT403" s="14">
        <f>INDEX(属性投放!$DG$6:$DG$85,(卡牌属性!AG403-2)*20+卡牌属性!AN403)</f>
        <v>10365</v>
      </c>
      <c r="AU403" s="14">
        <f t="shared" si="720"/>
        <v>10365</v>
      </c>
      <c r="AV403" s="14">
        <f t="shared" si="720"/>
        <v>10365</v>
      </c>
      <c r="AW403" s="14">
        <f t="shared" si="720"/>
        <v>10365</v>
      </c>
      <c r="AX403" s="14">
        <f t="shared" si="720"/>
        <v>10365</v>
      </c>
      <c r="AY403" s="14">
        <f>INDEX(属性投放!$DH$6:$DH$85,(卡牌属性!AG403-2)*20+卡牌属性!AN403)</f>
        <v>197423</v>
      </c>
      <c r="AZ403" s="14">
        <f t="shared" si="721"/>
        <v>197423</v>
      </c>
      <c r="BA403" s="14">
        <f t="shared" si="721"/>
        <v>197423</v>
      </c>
      <c r="BB403" s="14">
        <f t="shared" si="721"/>
        <v>197423</v>
      </c>
      <c r="BC403" s="14">
        <f t="shared" si="721"/>
        <v>197423</v>
      </c>
      <c r="BD403" s="14">
        <f>INDEX(属性投放!$DL$6:$DL$85,(卡牌属性!AG403-2)*20+卡牌属性!AN403)</f>
        <v>486</v>
      </c>
      <c r="BE403" s="14">
        <f t="shared" si="722"/>
        <v>486</v>
      </c>
      <c r="BF403" s="14">
        <f t="shared" si="722"/>
        <v>486</v>
      </c>
      <c r="BG403" s="14">
        <f t="shared" si="722"/>
        <v>486</v>
      </c>
      <c r="BH403" s="14">
        <f t="shared" si="722"/>
        <v>486</v>
      </c>
      <c r="BI403" s="14">
        <f>INDEX(属性投放!$DM$6:$DM$85,(卡牌属性!AG403-2)*20+卡牌属性!AN403)</f>
        <v>243</v>
      </c>
      <c r="BJ403" s="14">
        <f t="shared" si="723"/>
        <v>243</v>
      </c>
      <c r="BK403" s="14">
        <f t="shared" si="723"/>
        <v>243</v>
      </c>
      <c r="BL403" s="14">
        <f t="shared" si="723"/>
        <v>243</v>
      </c>
      <c r="BM403" s="14">
        <f t="shared" si="723"/>
        <v>243</v>
      </c>
      <c r="BN403" s="14">
        <f>INDEX(属性投放!$DN$6:$DN$85,(卡牌属性!AG403-2)*20+卡牌属性!AN403)</f>
        <v>4863</v>
      </c>
      <c r="BO403" s="14">
        <f t="shared" si="724"/>
        <v>4863</v>
      </c>
      <c r="BP403" s="14">
        <f t="shared" si="724"/>
        <v>4863</v>
      </c>
      <c r="BQ403" s="14">
        <f t="shared" si="724"/>
        <v>4863</v>
      </c>
      <c r="BR403" s="14">
        <f t="shared" si="724"/>
        <v>4863</v>
      </c>
      <c r="BW403" s="13">
        <v>399</v>
      </c>
      <c r="BX403" s="13">
        <f t="shared" si="744"/>
        <v>20</v>
      </c>
      <c r="BY403" s="14">
        <f t="shared" si="745"/>
        <v>3</v>
      </c>
      <c r="BZ403" s="14">
        <f t="shared" si="754"/>
        <v>1102020</v>
      </c>
      <c r="CA403" s="14" t="str">
        <f t="shared" si="755"/>
        <v>高顺19突</v>
      </c>
      <c r="CB403" s="25" t="s">
        <v>142</v>
      </c>
      <c r="CC403" s="14">
        <v>2</v>
      </c>
      <c r="CD403" s="14">
        <f t="shared" si="746"/>
        <v>19</v>
      </c>
      <c r="CE403" s="14" t="s">
        <v>21</v>
      </c>
      <c r="CF403" s="14">
        <f>INDEX(属性投放!$AZ$6:$AZ$85,(BY403-2)*20+CD403)</f>
        <v>19726</v>
      </c>
      <c r="CG403" s="14" t="s">
        <v>22</v>
      </c>
      <c r="CH403" s="14">
        <f>INDEX(属性投放!$BA$6:$BA$85,(BY403-2)*20+CD403)</f>
        <v>9824</v>
      </c>
      <c r="CI403" s="14" t="s">
        <v>510</v>
      </c>
      <c r="CJ403" s="14">
        <f>INDEX(属性投放!$BB$6:$BB$85,(BY403-2)*20+CD403)</f>
        <v>186440</v>
      </c>
      <c r="CK403" s="14" t="s">
        <v>21</v>
      </c>
      <c r="CL403" s="14">
        <f>INDEX(属性投放!$BC$6:$BC$85,(BY403-2)*20+CD403)</f>
        <v>40</v>
      </c>
      <c r="CM403" s="14" t="s">
        <v>22</v>
      </c>
      <c r="CN403" s="14">
        <f>INDEX(属性投放!$BD$6:$BD$85,(BY403-2)*20+CD403)</f>
        <v>20</v>
      </c>
      <c r="CO403" s="14" t="s">
        <v>510</v>
      </c>
      <c r="CP403" s="14">
        <f>INDEX(属性投放!$BE$6:$BE$85,(BY403-2)*20+CD403)</f>
        <v>400</v>
      </c>
      <c r="CS403" s="13">
        <v>399</v>
      </c>
      <c r="CT403" s="13">
        <f t="shared" si="756"/>
        <v>8</v>
      </c>
      <c r="CU403" s="13">
        <f t="shared" si="757"/>
        <v>35</v>
      </c>
      <c r="CV403" s="14">
        <f t="shared" si="758"/>
        <v>4</v>
      </c>
      <c r="CW403" s="14">
        <f t="shared" si="759"/>
        <v>1102008</v>
      </c>
      <c r="CX403" s="14" t="str">
        <f>INDEX($O$6:$O$50,CT403)&amp;"-"&amp;INDEX(属性投放!$AB$7:$AB$50,CZ403)&amp;"-魂火-"&amp;DB403</f>
        <v>夏侯渊-焦热+2-魂火-2</v>
      </c>
      <c r="CY403" s="25" t="s">
        <v>142</v>
      </c>
      <c r="CZ403" s="14">
        <f>INDEX(属性投放!$AM$7:$AM$58,CU403)</f>
        <v>15</v>
      </c>
      <c r="DA403" s="14" t="s">
        <v>537</v>
      </c>
      <c r="DB403" s="14">
        <f>INDEX(属性投放!$AN$7:$AN$58,CU403)</f>
        <v>2</v>
      </c>
      <c r="DC403" s="14">
        <f t="shared" si="747"/>
        <v>35</v>
      </c>
      <c r="DD403" s="14">
        <f>INDEX(属性投放!$AO$7:$AO$58,DC403)</f>
        <v>105</v>
      </c>
      <c r="DE403" s="14" t="s">
        <v>538</v>
      </c>
      <c r="DF403" s="14">
        <f>INDEX(属性投放!$BK$6:$BK$85,(CV403-2)*20+CZ403)</f>
        <v>445</v>
      </c>
      <c r="DG403" s="14">
        <f>SUMIFS(DF$5:DF403,$CT$5:$CT403,"="&amp;$CT403)</f>
        <v>5430</v>
      </c>
      <c r="DH403" s="14" t="s">
        <v>539</v>
      </c>
      <c r="DI403" s="14">
        <f>INDEX(属性投放!$BL$6:$BL$85,(CV403-2)*20+CZ403)</f>
        <v>223</v>
      </c>
      <c r="DJ403" s="14">
        <f>SUMIFS(DI$5:DI403,$CT$5:$CT403,"="&amp;$CT403)</f>
        <v>2724</v>
      </c>
      <c r="DK403" s="14" t="s">
        <v>540</v>
      </c>
      <c r="DL403" s="14">
        <f>INDEX(属性投放!$BM$6:$BM$85,(CV403-2)*20+CZ403)</f>
        <v>4450</v>
      </c>
      <c r="DM403" s="14">
        <f>SUMIFS(DL$5:DL403,$CT$5:$CT403,"="&amp;$CT403)</f>
        <v>49735</v>
      </c>
      <c r="DR403" s="14">
        <f t="shared" si="748"/>
        <v>1102020</v>
      </c>
      <c r="DS403" s="14" t="str">
        <f t="shared" si="749"/>
        <v>高顺19突</v>
      </c>
      <c r="DT403" s="14">
        <f t="shared" si="760"/>
        <v>6</v>
      </c>
      <c r="DU403" s="14">
        <f t="shared" si="761"/>
        <v>5</v>
      </c>
      <c r="DV403" s="14">
        <f t="shared" si="762"/>
        <v>5</v>
      </c>
      <c r="DW403" s="14">
        <f t="shared" si="750"/>
        <v>3</v>
      </c>
      <c r="DX403" s="14">
        <f t="shared" si="751"/>
        <v>19</v>
      </c>
      <c r="DY403" s="14">
        <f t="shared" si="752"/>
        <v>39</v>
      </c>
      <c r="DZ403" s="14">
        <f>INDEX(属性投放!$AX$6:$AX$85,(卡牌属性!DW403-2)*20+卡牌属性!DX403)</f>
        <v>8</v>
      </c>
      <c r="EA403" s="14">
        <f>INDEX(属性投放!BQ$6:BQ$85,卡牌属性!$DY403)</f>
        <v>1500</v>
      </c>
      <c r="EB403" s="14">
        <f>INDEX(属性投放!BR$6:BR$85,卡牌属性!$DY403)</f>
        <v>750</v>
      </c>
      <c r="EC403" s="14">
        <f>INDEX(属性投放!BS$6:BS$85,卡牌属性!$DY403)</f>
        <v>15000</v>
      </c>
      <c r="ED403" s="14">
        <f t="shared" si="725"/>
        <v>9324</v>
      </c>
      <c r="EE403" s="14">
        <f t="shared" si="726"/>
        <v>10583</v>
      </c>
      <c r="EF403" s="14">
        <f t="shared" si="727"/>
        <v>11220</v>
      </c>
      <c r="EG403" s="14">
        <f t="shared" si="728"/>
        <v>11220</v>
      </c>
      <c r="EH403" s="14">
        <f t="shared" si="729"/>
        <v>11995</v>
      </c>
      <c r="EI403" s="14">
        <f t="shared" si="730"/>
        <v>4506</v>
      </c>
      <c r="EJ403" s="14">
        <f t="shared" si="731"/>
        <v>4650</v>
      </c>
      <c r="EK403" s="14">
        <f t="shared" si="732"/>
        <v>4650</v>
      </c>
      <c r="EL403" s="14">
        <f t="shared" si="733"/>
        <v>5263</v>
      </c>
      <c r="EM403" s="14">
        <f t="shared" si="734"/>
        <v>5597</v>
      </c>
      <c r="EN403" s="14">
        <f t="shared" si="735"/>
        <v>83700</v>
      </c>
      <c r="EO403" s="14">
        <f t="shared" si="736"/>
        <v>85964</v>
      </c>
      <c r="EP403" s="14">
        <f t="shared" si="737"/>
        <v>85964</v>
      </c>
      <c r="EQ403" s="14">
        <f t="shared" si="738"/>
        <v>97198</v>
      </c>
      <c r="ER403" s="14">
        <f t="shared" si="739"/>
        <v>102742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INDEX(属性投放!$BQ$6:$BQ$85,(卡牌属性!$DW403-2)*20+卡牌属性!$DX403)</f>
        <v>1500</v>
      </c>
      <c r="FI403" s="14">
        <f>INDEX(属性投放!$BQ$6:$BQ$85,(卡牌属性!$DW403-2)*20+卡牌属性!$DX403)</f>
        <v>1500</v>
      </c>
      <c r="FJ403" s="14">
        <f>INDEX(属性投放!$BQ$6:$BQ$85,(卡牌属性!$DW403-2)*20+卡牌属性!$DX403)</f>
        <v>1500</v>
      </c>
      <c r="FK403" s="14">
        <f>INDEX(属性投放!$BQ$6:$BQ$85,(卡牌属性!$DW403-2)*20+卡牌属性!$DX403)</f>
        <v>1500</v>
      </c>
      <c r="FL403" s="14">
        <f>INDEX(属性投放!$BQ$6:$BQ$85,(卡牌属性!$DW403-2)*20+卡牌属性!$DX403)</f>
        <v>1500</v>
      </c>
      <c r="FM403" s="14">
        <f>INDEX(属性投放!$BR$6:$BR$85,(卡牌属性!$DW403-2)*20+卡牌属性!$DX403)</f>
        <v>750</v>
      </c>
      <c r="FN403" s="14">
        <f>INDEX(属性投放!$BR$6:$BR$85,(卡牌属性!$DW403-2)*20+卡牌属性!$DX403)</f>
        <v>750</v>
      </c>
      <c r="FO403" s="14">
        <f>INDEX(属性投放!$BR$6:$BR$85,(卡牌属性!$DW403-2)*20+卡牌属性!$DX403)</f>
        <v>750</v>
      </c>
      <c r="FP403" s="14">
        <f>INDEX(属性投放!$BR$6:$BR$85,(卡牌属性!$DW403-2)*20+卡牌属性!$DX403)</f>
        <v>750</v>
      </c>
      <c r="FQ403" s="14">
        <f>INDEX(属性投放!$BR$6:$BR$85,(卡牌属性!$DW403-2)*20+卡牌属性!$DX403)</f>
        <v>750</v>
      </c>
      <c r="FR403" s="14">
        <f>INDEX(属性投放!$BS$6:$BS$85,(卡牌属性!$DW403-2)*20+卡牌属性!$DX403)</f>
        <v>15000</v>
      </c>
      <c r="FS403" s="14">
        <f>INDEX(属性投放!$BS$6:$BS$85,(卡牌属性!$DW403-2)*20+卡牌属性!$DX403)</f>
        <v>15000</v>
      </c>
      <c r="FT403" s="14">
        <f>INDEX(属性投放!$BS$6:$BS$85,(卡牌属性!$DW403-2)*20+卡牌属性!$DX403)</f>
        <v>15000</v>
      </c>
      <c r="FU403" s="14">
        <f>INDEX(属性投放!$BS$6:$BS$85,(卡牌属性!$DW403-2)*20+卡牌属性!$DX403)</f>
        <v>15000</v>
      </c>
      <c r="FV403" s="14">
        <f>INDEX(属性投放!$BS$6:$BS$85,(卡牌属性!$DW403-2)*20+卡牌属性!$DX403)</f>
        <v>15000</v>
      </c>
    </row>
    <row r="404" spans="31:178" ht="16.5" x14ac:dyDescent="0.2">
      <c r="AE404" s="13">
        <v>400</v>
      </c>
      <c r="AF404" s="13">
        <f t="shared" si="753"/>
        <v>20</v>
      </c>
      <c r="AG404" s="13">
        <f t="shared" si="740"/>
        <v>3</v>
      </c>
      <c r="AH404" s="13"/>
      <c r="AI404" s="13"/>
      <c r="AJ404" s="14">
        <f t="shared" si="741"/>
        <v>1101023</v>
      </c>
      <c r="AK404" s="14" t="str">
        <f t="shared" si="742"/>
        <v>朱童20突</v>
      </c>
      <c r="AL404" s="25" t="s">
        <v>142</v>
      </c>
      <c r="AM404" s="14">
        <v>1</v>
      </c>
      <c r="AN404" s="14">
        <f t="shared" si="743"/>
        <v>20</v>
      </c>
      <c r="AO404" s="14">
        <f>INDEX(属性投放!$DF$6:$DF$85,(卡牌属性!AG404-2)*20+卡牌属性!AN404)</f>
        <v>21868</v>
      </c>
      <c r="AP404" s="14">
        <f t="shared" si="719"/>
        <v>21868</v>
      </c>
      <c r="AQ404" s="14">
        <f t="shared" si="719"/>
        <v>21868</v>
      </c>
      <c r="AR404" s="14">
        <f t="shared" si="719"/>
        <v>21868</v>
      </c>
      <c r="AS404" s="14">
        <f t="shared" si="719"/>
        <v>21868</v>
      </c>
      <c r="AT404" s="14">
        <f>INDEX(属性投放!$DG$6:$DG$85,(卡牌属性!AG404-2)*20+卡牌属性!AN404)</f>
        <v>10886</v>
      </c>
      <c r="AU404" s="14">
        <f t="shared" si="720"/>
        <v>10886</v>
      </c>
      <c r="AV404" s="14">
        <f t="shared" si="720"/>
        <v>10886</v>
      </c>
      <c r="AW404" s="14">
        <f t="shared" si="720"/>
        <v>10886</v>
      </c>
      <c r="AX404" s="14">
        <f t="shared" si="720"/>
        <v>10886</v>
      </c>
      <c r="AY404" s="14">
        <f>INDEX(属性投放!$DH$6:$DH$85,(卡牌属性!AG404-2)*20+卡牌属性!AN404)</f>
        <v>207843</v>
      </c>
      <c r="AZ404" s="14">
        <f t="shared" si="721"/>
        <v>207843</v>
      </c>
      <c r="BA404" s="14">
        <f t="shared" si="721"/>
        <v>207843</v>
      </c>
      <c r="BB404" s="14">
        <f t="shared" si="721"/>
        <v>207843</v>
      </c>
      <c r="BC404" s="14">
        <f t="shared" si="721"/>
        <v>207843</v>
      </c>
      <c r="BD404" s="14">
        <f>INDEX(属性投放!$DL$6:$DL$85,(卡牌属性!AG404-2)*20+卡牌属性!AN404)</f>
        <v>486</v>
      </c>
      <c r="BE404" s="14">
        <f t="shared" si="722"/>
        <v>486</v>
      </c>
      <c r="BF404" s="14">
        <f t="shared" si="722"/>
        <v>486</v>
      </c>
      <c r="BG404" s="14">
        <f t="shared" si="722"/>
        <v>486</v>
      </c>
      <c r="BH404" s="14">
        <f t="shared" si="722"/>
        <v>486</v>
      </c>
      <c r="BI404" s="14">
        <f>INDEX(属性投放!$DM$6:$DM$85,(卡牌属性!AG404-2)*20+卡牌属性!AN404)</f>
        <v>243</v>
      </c>
      <c r="BJ404" s="14">
        <f t="shared" si="723"/>
        <v>243</v>
      </c>
      <c r="BK404" s="14">
        <f t="shared" si="723"/>
        <v>243</v>
      </c>
      <c r="BL404" s="14">
        <f t="shared" si="723"/>
        <v>243</v>
      </c>
      <c r="BM404" s="14">
        <f t="shared" si="723"/>
        <v>243</v>
      </c>
      <c r="BN404" s="14">
        <f>INDEX(属性投放!$DN$6:$DN$85,(卡牌属性!AG404-2)*20+卡牌属性!AN404)</f>
        <v>4863</v>
      </c>
      <c r="BO404" s="14">
        <f t="shared" si="724"/>
        <v>4863</v>
      </c>
      <c r="BP404" s="14">
        <f t="shared" si="724"/>
        <v>4863</v>
      </c>
      <c r="BQ404" s="14">
        <f t="shared" si="724"/>
        <v>4863</v>
      </c>
      <c r="BR404" s="14">
        <f t="shared" si="724"/>
        <v>4863</v>
      </c>
      <c r="BW404" s="13">
        <v>400</v>
      </c>
      <c r="BX404" s="13">
        <f t="shared" si="744"/>
        <v>20</v>
      </c>
      <c r="BY404" s="14">
        <f t="shared" si="745"/>
        <v>3</v>
      </c>
      <c r="BZ404" s="14">
        <f t="shared" si="754"/>
        <v>1102020</v>
      </c>
      <c r="CA404" s="14" t="str">
        <f t="shared" si="755"/>
        <v>高顺20突</v>
      </c>
      <c r="CB404" s="25" t="s">
        <v>142</v>
      </c>
      <c r="CC404" s="14">
        <v>2</v>
      </c>
      <c r="CD404" s="14">
        <f t="shared" si="746"/>
        <v>20</v>
      </c>
      <c r="CE404" s="14" t="s">
        <v>21</v>
      </c>
      <c r="CF404" s="14">
        <f>INDEX(属性投放!$AZ$6:$AZ$85,(BY404-2)*20+CD404)</f>
        <v>24246</v>
      </c>
      <c r="CG404" s="14" t="s">
        <v>22</v>
      </c>
      <c r="CH404" s="14">
        <f>INDEX(属性投放!$BA$6:$BA$85,(BY404-2)*20+CD404)</f>
        <v>12084</v>
      </c>
      <c r="CI404" s="14" t="s">
        <v>510</v>
      </c>
      <c r="CJ404" s="14">
        <f>INDEX(属性投放!$BB$6:$BB$85,(BY404-2)*20+CD404)</f>
        <v>231640</v>
      </c>
      <c r="CK404" s="14" t="s">
        <v>21</v>
      </c>
      <c r="CL404" s="14">
        <f>INDEX(属性投放!$BC$6:$BC$85,(BY404-2)*20+CD404)</f>
        <v>40</v>
      </c>
      <c r="CM404" s="14" t="s">
        <v>22</v>
      </c>
      <c r="CN404" s="14">
        <f>INDEX(属性投放!$BD$6:$BD$85,(BY404-2)*20+CD404)</f>
        <v>20</v>
      </c>
      <c r="CO404" s="14" t="s">
        <v>510</v>
      </c>
      <c r="CP404" s="14">
        <f>INDEX(属性投放!$BE$6:$BE$85,(BY404-2)*20+CD404)</f>
        <v>400</v>
      </c>
      <c r="CS404" s="13">
        <v>400</v>
      </c>
      <c r="CT404" s="13">
        <f t="shared" si="756"/>
        <v>8</v>
      </c>
      <c r="CU404" s="13">
        <f t="shared" si="757"/>
        <v>36</v>
      </c>
      <c r="CV404" s="14">
        <f t="shared" si="758"/>
        <v>4</v>
      </c>
      <c r="CW404" s="14">
        <f t="shared" si="759"/>
        <v>1102008</v>
      </c>
      <c r="CX404" s="14" t="str">
        <f>INDEX($O$6:$O$50,CT404)&amp;"-"&amp;INDEX(属性投放!$AB$7:$AB$50,CZ404)&amp;"-魂火-"&amp;DB404</f>
        <v>夏侯渊-焦热+2-魂火-3</v>
      </c>
      <c r="CY404" s="25" t="s">
        <v>142</v>
      </c>
      <c r="CZ404" s="14">
        <f>INDEX(属性投放!$AM$7:$AM$58,CU404)</f>
        <v>15</v>
      </c>
      <c r="DA404" s="14" t="s">
        <v>537</v>
      </c>
      <c r="DB404" s="14">
        <f>INDEX(属性投放!$AN$7:$AN$58,CU404)</f>
        <v>3</v>
      </c>
      <c r="DC404" s="14">
        <f t="shared" si="747"/>
        <v>36</v>
      </c>
      <c r="DD404" s="14">
        <f>INDEX(属性投放!$AO$7:$AO$58,DC404)</f>
        <v>108</v>
      </c>
      <c r="DE404" s="14" t="s">
        <v>538</v>
      </c>
      <c r="DF404" s="14">
        <f>INDEX(属性投放!$BK$6:$BK$85,(CV404-2)*20+CZ404)</f>
        <v>445</v>
      </c>
      <c r="DG404" s="14">
        <f>SUMIFS(DF$5:DF404,$CT$5:$CT404,"="&amp;$CT404)</f>
        <v>5875</v>
      </c>
      <c r="DH404" s="14" t="s">
        <v>539</v>
      </c>
      <c r="DI404" s="14">
        <f>INDEX(属性投放!$BL$6:$BL$85,(CV404-2)*20+CZ404)</f>
        <v>223</v>
      </c>
      <c r="DJ404" s="14">
        <f>SUMIFS(DI$5:DI404,$CT$5:$CT404,"="&amp;$CT404)</f>
        <v>2947</v>
      </c>
      <c r="DK404" s="14" t="s">
        <v>540</v>
      </c>
      <c r="DL404" s="14">
        <f>INDEX(属性投放!$BM$6:$BM$85,(CV404-2)*20+CZ404)</f>
        <v>4450</v>
      </c>
      <c r="DM404" s="14">
        <f>SUMIFS(DL$5:DL404,$CT$5:$CT404,"="&amp;$CT404)</f>
        <v>54185</v>
      </c>
      <c r="DR404" s="14">
        <f t="shared" si="748"/>
        <v>1102020</v>
      </c>
      <c r="DS404" s="14" t="str">
        <f t="shared" si="749"/>
        <v>高顺20突</v>
      </c>
      <c r="DT404" s="14">
        <f t="shared" si="760"/>
        <v>6</v>
      </c>
      <c r="DU404" s="14">
        <f t="shared" si="761"/>
        <v>5</v>
      </c>
      <c r="DV404" s="14">
        <f t="shared" si="762"/>
        <v>5</v>
      </c>
      <c r="DW404" s="14">
        <f t="shared" si="750"/>
        <v>3</v>
      </c>
      <c r="DX404" s="14">
        <f t="shared" si="751"/>
        <v>20</v>
      </c>
      <c r="DY404" s="14">
        <f t="shared" si="752"/>
        <v>40</v>
      </c>
      <c r="DZ404" s="14">
        <f>INDEX(属性投放!$AX$6:$AX$85,(卡牌属性!DW404-2)*20+卡牌属性!DX404)</f>
        <v>10</v>
      </c>
      <c r="EA404" s="14">
        <f>INDEX(属性投放!BQ$6:BQ$85,卡牌属性!$DY404)</f>
        <v>1500</v>
      </c>
      <c r="EB404" s="14">
        <f>INDEX(属性投放!BR$6:BR$85,卡牌属性!$DY404)</f>
        <v>750</v>
      </c>
      <c r="EC404" s="14">
        <f>INDEX(属性投放!BS$6:BS$85,卡牌属性!$DY404)</f>
        <v>15000</v>
      </c>
      <c r="ED404" s="14">
        <f t="shared" si="725"/>
        <v>11184</v>
      </c>
      <c r="EE404" s="14">
        <f t="shared" si="726"/>
        <v>12683</v>
      </c>
      <c r="EF404" s="14">
        <f t="shared" si="727"/>
        <v>13360</v>
      </c>
      <c r="EG404" s="14">
        <f t="shared" si="728"/>
        <v>13360</v>
      </c>
      <c r="EH404" s="14">
        <f t="shared" si="729"/>
        <v>14295</v>
      </c>
      <c r="EI404" s="14">
        <f t="shared" si="730"/>
        <v>5416</v>
      </c>
      <c r="EJ404" s="14">
        <f t="shared" si="731"/>
        <v>5584</v>
      </c>
      <c r="EK404" s="14">
        <f t="shared" si="732"/>
        <v>5584</v>
      </c>
      <c r="EL404" s="14">
        <f t="shared" si="733"/>
        <v>6317</v>
      </c>
      <c r="EM404" s="14">
        <f t="shared" si="734"/>
        <v>6667</v>
      </c>
      <c r="EN404" s="14">
        <f t="shared" si="735"/>
        <v>101900</v>
      </c>
      <c r="EO404" s="14">
        <f t="shared" si="736"/>
        <v>104564</v>
      </c>
      <c r="EP404" s="14">
        <f t="shared" si="737"/>
        <v>104564</v>
      </c>
      <c r="EQ404" s="14">
        <f t="shared" si="738"/>
        <v>118198</v>
      </c>
      <c r="ER404" s="14">
        <f t="shared" si="739"/>
        <v>124142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INDEX(属性投放!$BQ$6:$BQ$85,(卡牌属性!$DW404-2)*20+卡牌属性!$DX404)</f>
        <v>1500</v>
      </c>
      <c r="FI404" s="14">
        <f>INDEX(属性投放!$BQ$6:$BQ$85,(卡牌属性!$DW404-2)*20+卡牌属性!$DX404)</f>
        <v>1500</v>
      </c>
      <c r="FJ404" s="14">
        <f>INDEX(属性投放!$BQ$6:$BQ$85,(卡牌属性!$DW404-2)*20+卡牌属性!$DX404)</f>
        <v>1500</v>
      </c>
      <c r="FK404" s="14">
        <f>INDEX(属性投放!$BQ$6:$BQ$85,(卡牌属性!$DW404-2)*20+卡牌属性!$DX404)</f>
        <v>1500</v>
      </c>
      <c r="FL404" s="14">
        <f>INDEX(属性投放!$BQ$6:$BQ$85,(卡牌属性!$DW404-2)*20+卡牌属性!$DX404)</f>
        <v>1500</v>
      </c>
      <c r="FM404" s="14">
        <f>INDEX(属性投放!$BR$6:$BR$85,(卡牌属性!$DW404-2)*20+卡牌属性!$DX404)</f>
        <v>750</v>
      </c>
      <c r="FN404" s="14">
        <f>INDEX(属性投放!$BR$6:$BR$85,(卡牌属性!$DW404-2)*20+卡牌属性!$DX404)</f>
        <v>750</v>
      </c>
      <c r="FO404" s="14">
        <f>INDEX(属性投放!$BR$6:$BR$85,(卡牌属性!$DW404-2)*20+卡牌属性!$DX404)</f>
        <v>750</v>
      </c>
      <c r="FP404" s="14">
        <f>INDEX(属性投放!$BR$6:$BR$85,(卡牌属性!$DW404-2)*20+卡牌属性!$DX404)</f>
        <v>750</v>
      </c>
      <c r="FQ404" s="14">
        <f>INDEX(属性投放!$BR$6:$BR$85,(卡牌属性!$DW404-2)*20+卡牌属性!$DX404)</f>
        <v>750</v>
      </c>
      <c r="FR404" s="14">
        <f>INDEX(属性投放!$BS$6:$BS$85,(卡牌属性!$DW404-2)*20+卡牌属性!$DX404)</f>
        <v>15000</v>
      </c>
      <c r="FS404" s="14">
        <f>INDEX(属性投放!$BS$6:$BS$85,(卡牌属性!$DW404-2)*20+卡牌属性!$DX404)</f>
        <v>15000</v>
      </c>
      <c r="FT404" s="14">
        <f>INDEX(属性投放!$BS$6:$BS$85,(卡牌属性!$DW404-2)*20+卡牌属性!$DX404)</f>
        <v>15000</v>
      </c>
      <c r="FU404" s="14">
        <f>INDEX(属性投放!$BS$6:$BS$85,(卡牌属性!$DW404-2)*20+卡牌属性!$DX404)</f>
        <v>15000</v>
      </c>
      <c r="FV404" s="14">
        <f>INDEX(属性投放!$BS$6:$BS$85,(卡牌属性!$DW404-2)*20+卡牌属性!$DX404)</f>
        <v>15000</v>
      </c>
    </row>
    <row r="405" spans="31:178" ht="16.5" x14ac:dyDescent="0.2">
      <c r="AE405" s="13">
        <v>401</v>
      </c>
      <c r="AF405" s="13">
        <f t="shared" si="753"/>
        <v>21</v>
      </c>
      <c r="AG405" s="13">
        <f t="shared" si="740"/>
        <v>4</v>
      </c>
      <c r="AH405" s="13"/>
      <c r="AI405" s="13"/>
      <c r="AJ405" s="14">
        <f t="shared" si="741"/>
        <v>1101026</v>
      </c>
      <c r="AK405" s="14" t="str">
        <f t="shared" si="742"/>
        <v>貂灵芸1突</v>
      </c>
      <c r="AL405" s="25" t="s">
        <v>142</v>
      </c>
      <c r="AM405" s="14">
        <v>1</v>
      </c>
      <c r="AN405" s="14">
        <f t="shared" si="743"/>
        <v>1</v>
      </c>
      <c r="AO405" s="14">
        <f>INDEX(属性投放!$DF$6:$DF$85,(卡牌属性!AG405-2)*20+卡牌属性!AN405)</f>
        <v>200</v>
      </c>
      <c r="AP405" s="14">
        <f t="shared" ref="AP405:AS424" si="763">$AO405</f>
        <v>200</v>
      </c>
      <c r="AQ405" s="14">
        <f t="shared" si="763"/>
        <v>200</v>
      </c>
      <c r="AR405" s="14">
        <f t="shared" si="763"/>
        <v>200</v>
      </c>
      <c r="AS405" s="14">
        <f t="shared" si="763"/>
        <v>200</v>
      </c>
      <c r="AT405" s="14">
        <f>INDEX(属性投放!$DG$6:$DG$85,(卡牌属性!AG405-2)*20+卡牌属性!AN405)</f>
        <v>20</v>
      </c>
      <c r="AU405" s="14">
        <f t="shared" ref="AU405:AX424" si="764">$AT405</f>
        <v>20</v>
      </c>
      <c r="AV405" s="14">
        <f t="shared" si="764"/>
        <v>20</v>
      </c>
      <c r="AW405" s="14">
        <f t="shared" si="764"/>
        <v>20</v>
      </c>
      <c r="AX405" s="14">
        <f t="shared" si="764"/>
        <v>20</v>
      </c>
      <c r="AY405" s="14">
        <f>INDEX(属性投放!$DH$6:$DH$85,(卡牌属性!AG405-2)*20+卡牌属性!AN405)</f>
        <v>625</v>
      </c>
      <c r="AZ405" s="14">
        <f t="shared" ref="AZ405:BC424" si="765">$AY405</f>
        <v>625</v>
      </c>
      <c r="BA405" s="14">
        <f t="shared" si="765"/>
        <v>625</v>
      </c>
      <c r="BB405" s="14">
        <f t="shared" si="765"/>
        <v>625</v>
      </c>
      <c r="BC405" s="14">
        <f t="shared" si="765"/>
        <v>625</v>
      </c>
      <c r="BD405" s="14">
        <f>INDEX(属性投放!$DL$6:$DL$85,(卡牌属性!AG405-2)*20+卡牌属性!AN405)</f>
        <v>11</v>
      </c>
      <c r="BE405" s="14">
        <f t="shared" ref="BE405:BH424" si="766">$BD405</f>
        <v>11</v>
      </c>
      <c r="BF405" s="14">
        <f t="shared" si="766"/>
        <v>11</v>
      </c>
      <c r="BG405" s="14">
        <f t="shared" si="766"/>
        <v>11</v>
      </c>
      <c r="BH405" s="14">
        <f t="shared" si="766"/>
        <v>11</v>
      </c>
      <c r="BI405" s="14">
        <f>INDEX(属性投放!$DM$6:$DM$85,(卡牌属性!AG405-2)*20+卡牌属性!AN405)</f>
        <v>6</v>
      </c>
      <c r="BJ405" s="14">
        <f t="shared" ref="BJ405:BM424" si="767">$BI405</f>
        <v>6</v>
      </c>
      <c r="BK405" s="14">
        <f t="shared" si="767"/>
        <v>6</v>
      </c>
      <c r="BL405" s="14">
        <f t="shared" si="767"/>
        <v>6</v>
      </c>
      <c r="BM405" s="14">
        <f t="shared" si="767"/>
        <v>6</v>
      </c>
      <c r="BN405" s="14">
        <f>INDEX(属性投放!$DN$6:$DN$85,(卡牌属性!AG405-2)*20+卡牌属性!AN405)</f>
        <v>65</v>
      </c>
      <c r="BO405" s="14">
        <f t="shared" ref="BO405:BR424" si="768">$BN405</f>
        <v>65</v>
      </c>
      <c r="BP405" s="14">
        <f t="shared" si="768"/>
        <v>65</v>
      </c>
      <c r="BQ405" s="14">
        <f t="shared" si="768"/>
        <v>65</v>
      </c>
      <c r="BR405" s="14">
        <f t="shared" si="768"/>
        <v>65</v>
      </c>
      <c r="BW405" s="13">
        <v>401</v>
      </c>
      <c r="BX405" s="13">
        <f t="shared" si="744"/>
        <v>21</v>
      </c>
      <c r="BY405" s="14">
        <f t="shared" si="745"/>
        <v>3</v>
      </c>
      <c r="BZ405" s="14">
        <f t="shared" si="754"/>
        <v>1102021</v>
      </c>
      <c r="CA405" s="14" t="str">
        <f t="shared" si="755"/>
        <v>烈风螳螂1突</v>
      </c>
      <c r="CB405" s="25" t="s">
        <v>142</v>
      </c>
      <c r="CC405" s="14">
        <v>2</v>
      </c>
      <c r="CD405" s="14">
        <f t="shared" si="746"/>
        <v>1</v>
      </c>
      <c r="CE405" s="14" t="s">
        <v>21</v>
      </c>
      <c r="CF405" s="14">
        <f>INDEX(属性投放!$AZ$6:$AZ$85,(BY405-2)*20+CD405)</f>
        <v>150</v>
      </c>
      <c r="CG405" s="14" t="s">
        <v>22</v>
      </c>
      <c r="CH405" s="14">
        <f>INDEX(属性投放!$BA$6:$BA$85,(BY405-2)*20+CD405)</f>
        <v>10</v>
      </c>
      <c r="CI405" s="14" t="s">
        <v>510</v>
      </c>
      <c r="CJ405" s="14">
        <f>INDEX(属性投放!$BB$6:$BB$85,(BY405-2)*20+CD405)</f>
        <v>500</v>
      </c>
      <c r="CK405" s="14" t="s">
        <v>21</v>
      </c>
      <c r="CL405" s="14">
        <f>INDEX(属性投放!$BC$6:$BC$85,(BY405-2)*20+CD405)</f>
        <v>8</v>
      </c>
      <c r="CM405" s="14" t="s">
        <v>22</v>
      </c>
      <c r="CN405" s="14">
        <f>INDEX(属性投放!$BD$6:$BD$85,(BY405-2)*20+CD405)</f>
        <v>4</v>
      </c>
      <c r="CO405" s="14" t="s">
        <v>510</v>
      </c>
      <c r="CP405" s="14">
        <f>INDEX(属性投放!$BE$6:$BE$85,(BY405-2)*20+CD405)</f>
        <v>48</v>
      </c>
      <c r="CS405" s="13">
        <v>401</v>
      </c>
      <c r="CT405" s="13">
        <f t="shared" si="756"/>
        <v>8</v>
      </c>
      <c r="CU405" s="13">
        <f t="shared" si="757"/>
        <v>37</v>
      </c>
      <c r="CV405" s="14">
        <f t="shared" si="758"/>
        <v>4</v>
      </c>
      <c r="CW405" s="14">
        <f t="shared" si="759"/>
        <v>1102008</v>
      </c>
      <c r="CX405" s="14" t="str">
        <f>INDEX($O$6:$O$50,CT405)&amp;"-"&amp;INDEX(属性投放!$AB$7:$AB$50,CZ405)&amp;"-魂火-"&amp;DB405</f>
        <v>夏侯渊-大焦热-魂火-1</v>
      </c>
      <c r="CY405" s="25" t="s">
        <v>142</v>
      </c>
      <c r="CZ405" s="14">
        <f>INDEX(属性投放!$AM$7:$AM$58,CU405)</f>
        <v>16</v>
      </c>
      <c r="DA405" s="14" t="s">
        <v>537</v>
      </c>
      <c r="DB405" s="14">
        <f>INDEX(属性投放!$AN$7:$AN$58,CU405)</f>
        <v>1</v>
      </c>
      <c r="DC405" s="14">
        <f t="shared" si="747"/>
        <v>37</v>
      </c>
      <c r="DD405" s="14">
        <f>INDEX(属性投放!$AO$7:$AO$58,DC405)</f>
        <v>110</v>
      </c>
      <c r="DE405" s="14" t="s">
        <v>538</v>
      </c>
      <c r="DF405" s="14">
        <f>INDEX(属性投放!$BK$6:$BK$85,(CV405-2)*20+CZ405)</f>
        <v>520</v>
      </c>
      <c r="DG405" s="14">
        <f>SUMIFS(DF$5:DF405,$CT$5:$CT405,"="&amp;$CT405)</f>
        <v>6395</v>
      </c>
      <c r="DH405" s="14" t="s">
        <v>539</v>
      </c>
      <c r="DI405" s="14">
        <f>INDEX(属性投放!$BL$6:$BL$85,(CV405-2)*20+CZ405)</f>
        <v>260</v>
      </c>
      <c r="DJ405" s="14">
        <f>SUMIFS(DI$5:DI405,$CT$5:$CT405,"="&amp;$CT405)</f>
        <v>3207</v>
      </c>
      <c r="DK405" s="14" t="s">
        <v>540</v>
      </c>
      <c r="DL405" s="14">
        <f>INDEX(属性投放!$BM$6:$BM$85,(CV405-2)*20+CZ405)</f>
        <v>5200</v>
      </c>
      <c r="DM405" s="14">
        <f>SUMIFS(DL$5:DL405,$CT$5:$CT405,"="&amp;$CT405)</f>
        <v>59385</v>
      </c>
      <c r="DR405" s="14">
        <f t="shared" si="748"/>
        <v>1102021</v>
      </c>
      <c r="DS405" s="14" t="str">
        <f t="shared" si="749"/>
        <v>烈风螳螂1突</v>
      </c>
      <c r="DT405" s="14">
        <f t="shared" si="760"/>
        <v>7</v>
      </c>
      <c r="DU405" s="14">
        <f t="shared" si="761"/>
        <v>5</v>
      </c>
      <c r="DV405" s="14">
        <f t="shared" si="762"/>
        <v>3</v>
      </c>
      <c r="DW405" s="14">
        <f t="shared" si="750"/>
        <v>3</v>
      </c>
      <c r="DX405" s="14">
        <f t="shared" si="751"/>
        <v>1</v>
      </c>
      <c r="DY405" s="14">
        <f t="shared" si="752"/>
        <v>21</v>
      </c>
      <c r="DZ405" s="14">
        <f>INDEX(属性投放!$AX$6:$AX$85,(卡牌属性!DW405-2)*20+卡牌属性!DX405)</f>
        <v>4</v>
      </c>
      <c r="EA405" s="14">
        <f>INDEX(属性投放!BQ$6:BQ$85,卡牌属性!$DY405)</f>
        <v>30</v>
      </c>
      <c r="EB405" s="14">
        <f>INDEX(属性投放!BR$6:BR$85,卡牌属性!$DY405)</f>
        <v>15</v>
      </c>
      <c r="EC405" s="14">
        <f>INDEX(属性投放!BS$6:BS$85,卡牌属性!$DY405)</f>
        <v>180</v>
      </c>
      <c r="ED405" s="14">
        <f>INDEX(属性偏向!$I$4:$I$15,卡牌属性!$DT405+ED$3)</f>
        <v>200</v>
      </c>
      <c r="EE405" s="14">
        <f>INDEX(属性偏向!$I$4:$I$15,卡牌属性!$DT405+EE$3)</f>
        <v>250</v>
      </c>
      <c r="EF405" s="14">
        <f>INDEX(属性偏向!$I$4:$I$15,卡牌属性!$DT405+EF$3)</f>
        <v>300</v>
      </c>
      <c r="EG405" s="14">
        <f>INDEX(属性偏向!$I$4:$I$15,卡牌属性!$DT405+EG$3)</f>
        <v>300</v>
      </c>
      <c r="EH405" s="14">
        <f>INDEX(属性偏向!$I$4:$I$15,卡牌属性!$DT405+EH$3)</f>
        <v>350</v>
      </c>
      <c r="EI405" s="14">
        <f>INDEX(属性偏向!$J$4:$J$15,卡牌属性!$DU405+EI$3)</f>
        <v>30</v>
      </c>
      <c r="EJ405" s="14">
        <f>INDEX(属性偏向!$J$4:$J$15,卡牌属性!$DU405+EJ$3)</f>
        <v>40</v>
      </c>
      <c r="EK405" s="14">
        <f>INDEX(属性偏向!$J$4:$J$15,卡牌属性!$DU405+EK$3)</f>
        <v>40</v>
      </c>
      <c r="EL405" s="14">
        <f>INDEX(属性偏向!$J$4:$J$15,卡牌属性!$DU405+EL$3)</f>
        <v>50</v>
      </c>
      <c r="EM405" s="14">
        <f>INDEX(属性偏向!$J$4:$J$15,卡牌属性!$DU405+EM$3)</f>
        <v>75</v>
      </c>
      <c r="EN405" s="14">
        <f>INDEX(属性偏向!$K$4:$K$15,卡牌属性!$DV405+EN$3)</f>
        <v>300</v>
      </c>
      <c r="EO405" s="14">
        <f>INDEX(属性偏向!$K$4:$K$15,卡牌属性!$DV405+EO$3)</f>
        <v>400</v>
      </c>
      <c r="EP405" s="14">
        <f>INDEX(属性偏向!$K$4:$K$15,卡牌属性!$DV405+EP$3)</f>
        <v>400</v>
      </c>
      <c r="EQ405" s="14">
        <f>INDEX(属性偏向!$K$4:$K$15,卡牌属性!$DV405+EQ$3)</f>
        <v>500</v>
      </c>
      <c r="ER405" s="14">
        <f>INDEX(属性偏向!$K$4:$K$15,卡牌属性!$DV405+ER$3)</f>
        <v>650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30</v>
      </c>
      <c r="FD405" s="14">
        <f>INDEX(属性偏向!$U$4:$U$243,(卡牌属性!$DV405-1+FD$3)*20+卡牌属性!$DX405)</f>
        <v>36</v>
      </c>
      <c r="FE405" s="14">
        <f>INDEX(属性偏向!$U$4:$U$243,(卡牌属性!$DV405-1+FE$3)*20+卡牌属性!$DX405)</f>
        <v>36</v>
      </c>
      <c r="FF405" s="14">
        <f>INDEX(属性偏向!$U$4:$U$243,(卡牌属性!$DV405-1+FF$3)*20+卡牌属性!$DX405)</f>
        <v>48</v>
      </c>
      <c r="FG405" s="14">
        <f>INDEX(属性偏向!$U$4:$U$243,(卡牌属性!$DV405-1+FG$3)*20+卡牌属性!$DX405)</f>
        <v>60</v>
      </c>
      <c r="FH405" s="14">
        <f>INDEX(属性投放!$BQ$6:$BQ$85,(卡牌属性!$DW405-2)*20+卡牌属性!$DX405)</f>
        <v>30</v>
      </c>
      <c r="FI405" s="14">
        <f>INDEX(属性投放!$BQ$6:$BQ$85,(卡牌属性!$DW405-2)*20+卡牌属性!$DX405)</f>
        <v>30</v>
      </c>
      <c r="FJ405" s="14">
        <f>INDEX(属性投放!$BQ$6:$BQ$85,(卡牌属性!$DW405-2)*20+卡牌属性!$DX405)</f>
        <v>30</v>
      </c>
      <c r="FK405" s="14">
        <f>INDEX(属性投放!$BQ$6:$BQ$85,(卡牌属性!$DW405-2)*20+卡牌属性!$DX405)</f>
        <v>30</v>
      </c>
      <c r="FL405" s="14">
        <f>INDEX(属性投放!$BQ$6:$BQ$85,(卡牌属性!$DW405-2)*20+卡牌属性!$DX405)</f>
        <v>30</v>
      </c>
      <c r="FM405" s="14">
        <f>INDEX(属性投放!$BR$6:$BR$85,(卡牌属性!$DW405-2)*20+卡牌属性!$DX405)</f>
        <v>15</v>
      </c>
      <c r="FN405" s="14">
        <f>INDEX(属性投放!$BR$6:$BR$85,(卡牌属性!$DW405-2)*20+卡牌属性!$DX405)</f>
        <v>15</v>
      </c>
      <c r="FO405" s="14">
        <f>INDEX(属性投放!$BR$6:$BR$85,(卡牌属性!$DW405-2)*20+卡牌属性!$DX405)</f>
        <v>15</v>
      </c>
      <c r="FP405" s="14">
        <f>INDEX(属性投放!$BR$6:$BR$85,(卡牌属性!$DW405-2)*20+卡牌属性!$DX405)</f>
        <v>15</v>
      </c>
      <c r="FQ405" s="14">
        <f>INDEX(属性投放!$BR$6:$BR$85,(卡牌属性!$DW405-2)*20+卡牌属性!$DX405)</f>
        <v>15</v>
      </c>
      <c r="FR405" s="14">
        <f>INDEX(属性投放!$BS$6:$BS$85,(卡牌属性!$DW405-2)*20+卡牌属性!$DX405)</f>
        <v>180</v>
      </c>
      <c r="FS405" s="14">
        <f>INDEX(属性投放!$BS$6:$BS$85,(卡牌属性!$DW405-2)*20+卡牌属性!$DX405)</f>
        <v>180</v>
      </c>
      <c r="FT405" s="14">
        <f>INDEX(属性投放!$BS$6:$BS$85,(卡牌属性!$DW405-2)*20+卡牌属性!$DX405)</f>
        <v>180</v>
      </c>
      <c r="FU405" s="14">
        <f>INDEX(属性投放!$BS$6:$BS$85,(卡牌属性!$DW405-2)*20+卡牌属性!$DX405)</f>
        <v>180</v>
      </c>
      <c r="FV405" s="14">
        <f>INDEX(属性投放!$BS$6:$BS$85,(卡牌属性!$DW405-2)*20+卡牌属性!$DX405)</f>
        <v>180</v>
      </c>
    </row>
    <row r="406" spans="31:178" ht="16.5" x14ac:dyDescent="0.2">
      <c r="AE406" s="13">
        <v>402</v>
      </c>
      <c r="AF406" s="13">
        <f t="shared" si="753"/>
        <v>21</v>
      </c>
      <c r="AG406" s="13">
        <f t="shared" si="740"/>
        <v>4</v>
      </c>
      <c r="AH406" s="13"/>
      <c r="AI406" s="13"/>
      <c r="AJ406" s="14">
        <f t="shared" si="741"/>
        <v>1101026</v>
      </c>
      <c r="AK406" s="14" t="str">
        <f t="shared" si="742"/>
        <v>貂灵芸2突</v>
      </c>
      <c r="AL406" s="25" t="s">
        <v>142</v>
      </c>
      <c r="AM406" s="14">
        <v>1</v>
      </c>
      <c r="AN406" s="14">
        <f t="shared" si="743"/>
        <v>2</v>
      </c>
      <c r="AO406" s="14">
        <f>INDEX(属性投放!$DF$6:$DF$85,(卡牌属性!AG406-2)*20+卡牌属性!AN406)</f>
        <v>310</v>
      </c>
      <c r="AP406" s="14">
        <f t="shared" si="763"/>
        <v>310</v>
      </c>
      <c r="AQ406" s="14">
        <f t="shared" si="763"/>
        <v>310</v>
      </c>
      <c r="AR406" s="14">
        <f t="shared" si="763"/>
        <v>310</v>
      </c>
      <c r="AS406" s="14">
        <f t="shared" si="763"/>
        <v>310</v>
      </c>
      <c r="AT406" s="14">
        <f>INDEX(属性投放!$DG$6:$DG$85,(卡牌属性!AG406-2)*20+卡牌属性!AN406)</f>
        <v>80</v>
      </c>
      <c r="AU406" s="14">
        <f t="shared" si="764"/>
        <v>80</v>
      </c>
      <c r="AV406" s="14">
        <f t="shared" si="764"/>
        <v>80</v>
      </c>
      <c r="AW406" s="14">
        <f t="shared" si="764"/>
        <v>80</v>
      </c>
      <c r="AX406" s="14">
        <f t="shared" si="764"/>
        <v>80</v>
      </c>
      <c r="AY406" s="14">
        <f>INDEX(属性投放!$DH$6:$DH$85,(卡牌属性!AG406-2)*20+卡牌属性!AN406)</f>
        <v>1275</v>
      </c>
      <c r="AZ406" s="14">
        <f t="shared" si="765"/>
        <v>1275</v>
      </c>
      <c r="BA406" s="14">
        <f t="shared" si="765"/>
        <v>1275</v>
      </c>
      <c r="BB406" s="14">
        <f t="shared" si="765"/>
        <v>1275</v>
      </c>
      <c r="BC406" s="14">
        <f t="shared" si="765"/>
        <v>1275</v>
      </c>
      <c r="BD406" s="14">
        <f>INDEX(属性投放!$DL$6:$DL$85,(卡牌属性!AG406-2)*20+卡牌属性!AN406)</f>
        <v>22</v>
      </c>
      <c r="BE406" s="14">
        <f t="shared" si="766"/>
        <v>22</v>
      </c>
      <c r="BF406" s="14">
        <f t="shared" si="766"/>
        <v>22</v>
      </c>
      <c r="BG406" s="14">
        <f t="shared" si="766"/>
        <v>22</v>
      </c>
      <c r="BH406" s="14">
        <f t="shared" si="766"/>
        <v>22</v>
      </c>
      <c r="BI406" s="14">
        <f>INDEX(属性投放!$DM$6:$DM$85,(卡牌属性!AG406-2)*20+卡牌属性!AN406)</f>
        <v>11</v>
      </c>
      <c r="BJ406" s="14">
        <f t="shared" si="767"/>
        <v>11</v>
      </c>
      <c r="BK406" s="14">
        <f t="shared" si="767"/>
        <v>11</v>
      </c>
      <c r="BL406" s="14">
        <f t="shared" si="767"/>
        <v>11</v>
      </c>
      <c r="BM406" s="14">
        <f t="shared" si="767"/>
        <v>11</v>
      </c>
      <c r="BN406" s="14">
        <f>INDEX(属性投放!$DN$6:$DN$85,(卡牌属性!AG406-2)*20+卡牌属性!AN406)</f>
        <v>132</v>
      </c>
      <c r="BO406" s="14">
        <f t="shared" si="768"/>
        <v>132</v>
      </c>
      <c r="BP406" s="14">
        <f t="shared" si="768"/>
        <v>132</v>
      </c>
      <c r="BQ406" s="14">
        <f t="shared" si="768"/>
        <v>132</v>
      </c>
      <c r="BR406" s="14">
        <f t="shared" si="768"/>
        <v>132</v>
      </c>
      <c r="BW406" s="13">
        <v>402</v>
      </c>
      <c r="BX406" s="13">
        <f t="shared" si="744"/>
        <v>21</v>
      </c>
      <c r="BY406" s="14">
        <f t="shared" si="745"/>
        <v>3</v>
      </c>
      <c r="BZ406" s="14">
        <f t="shared" si="754"/>
        <v>1102021</v>
      </c>
      <c r="CA406" s="14" t="str">
        <f t="shared" si="755"/>
        <v>烈风螳螂2突</v>
      </c>
      <c r="CB406" s="25" t="s">
        <v>142</v>
      </c>
      <c r="CC406" s="14">
        <v>2</v>
      </c>
      <c r="CD406" s="14">
        <f t="shared" si="746"/>
        <v>2</v>
      </c>
      <c r="CE406" s="14" t="s">
        <v>21</v>
      </c>
      <c r="CF406" s="14">
        <f>INDEX(属性投放!$AZ$6:$AZ$85,(BY406-2)*20+CD406)</f>
        <v>232</v>
      </c>
      <c r="CG406" s="14" t="s">
        <v>22</v>
      </c>
      <c r="CH406" s="14">
        <f>INDEX(属性投放!$BA$6:$BA$85,(BY406-2)*20+CD406)</f>
        <v>51</v>
      </c>
      <c r="CI406" s="14" t="s">
        <v>510</v>
      </c>
      <c r="CJ406" s="14">
        <f>INDEX(属性投放!$BB$6:$BB$85,(BY406-2)*20+CD406)</f>
        <v>992</v>
      </c>
      <c r="CK406" s="14" t="s">
        <v>21</v>
      </c>
      <c r="CL406" s="14">
        <f>INDEX(属性投放!$BC$6:$BC$85,(BY406-2)*20+CD406)</f>
        <v>10</v>
      </c>
      <c r="CM406" s="14" t="s">
        <v>22</v>
      </c>
      <c r="CN406" s="14">
        <f>INDEX(属性投放!$BD$6:$BD$85,(BY406-2)*20+CD406)</f>
        <v>5</v>
      </c>
      <c r="CO406" s="14" t="s">
        <v>510</v>
      </c>
      <c r="CP406" s="14">
        <f>INDEX(属性投放!$BE$6:$BE$85,(BY406-2)*20+CD406)</f>
        <v>60</v>
      </c>
      <c r="CS406" s="13">
        <v>402</v>
      </c>
      <c r="CT406" s="13">
        <f t="shared" si="756"/>
        <v>8</v>
      </c>
      <c r="CU406" s="13">
        <f t="shared" si="757"/>
        <v>38</v>
      </c>
      <c r="CV406" s="14">
        <f t="shared" si="758"/>
        <v>4</v>
      </c>
      <c r="CW406" s="14">
        <f t="shared" si="759"/>
        <v>1102008</v>
      </c>
      <c r="CX406" s="14" t="str">
        <f>INDEX($O$6:$O$50,CT406)&amp;"-"&amp;INDEX(属性投放!$AB$7:$AB$50,CZ406)&amp;"-魂火-"&amp;DB406</f>
        <v>夏侯渊-大焦热-魂火-2</v>
      </c>
      <c r="CY406" s="25" t="s">
        <v>142</v>
      </c>
      <c r="CZ406" s="14">
        <f>INDEX(属性投放!$AM$7:$AM$58,CU406)</f>
        <v>16</v>
      </c>
      <c r="DA406" s="14" t="s">
        <v>537</v>
      </c>
      <c r="DB406" s="14">
        <f>INDEX(属性投放!$AN$7:$AN$58,CU406)</f>
        <v>2</v>
      </c>
      <c r="DC406" s="14">
        <f t="shared" si="747"/>
        <v>38</v>
      </c>
      <c r="DD406" s="14">
        <f>INDEX(属性投放!$AO$7:$AO$58,DC406)</f>
        <v>113</v>
      </c>
      <c r="DE406" s="14" t="s">
        <v>538</v>
      </c>
      <c r="DF406" s="14">
        <f>INDEX(属性投放!$BK$6:$BK$85,(CV406-2)*20+CZ406)</f>
        <v>520</v>
      </c>
      <c r="DG406" s="14">
        <f>SUMIFS(DF$5:DF406,$CT$5:$CT406,"="&amp;$CT406)</f>
        <v>6915</v>
      </c>
      <c r="DH406" s="14" t="s">
        <v>539</v>
      </c>
      <c r="DI406" s="14">
        <f>INDEX(属性投放!$BL$6:$BL$85,(CV406-2)*20+CZ406)</f>
        <v>260</v>
      </c>
      <c r="DJ406" s="14">
        <f>SUMIFS(DI$5:DI406,$CT$5:$CT406,"="&amp;$CT406)</f>
        <v>3467</v>
      </c>
      <c r="DK406" s="14" t="s">
        <v>540</v>
      </c>
      <c r="DL406" s="14">
        <f>INDEX(属性投放!$BM$6:$BM$85,(CV406-2)*20+CZ406)</f>
        <v>5200</v>
      </c>
      <c r="DM406" s="14">
        <f>SUMIFS(DL$5:DL406,$CT$5:$CT406,"="&amp;$CT406)</f>
        <v>64585</v>
      </c>
      <c r="DR406" s="14">
        <f t="shared" si="748"/>
        <v>1102021</v>
      </c>
      <c r="DS406" s="14" t="str">
        <f t="shared" si="749"/>
        <v>烈风螳螂2突</v>
      </c>
      <c r="DT406" s="14">
        <f t="shared" si="760"/>
        <v>7</v>
      </c>
      <c r="DU406" s="14">
        <f t="shared" si="761"/>
        <v>5</v>
      </c>
      <c r="DV406" s="14">
        <f t="shared" si="762"/>
        <v>3</v>
      </c>
      <c r="DW406" s="14">
        <f t="shared" si="750"/>
        <v>3</v>
      </c>
      <c r="DX406" s="14">
        <f t="shared" si="751"/>
        <v>2</v>
      </c>
      <c r="DY406" s="14">
        <f t="shared" si="752"/>
        <v>22</v>
      </c>
      <c r="DZ406" s="14">
        <f>INDEX(属性投放!$AX$6:$AX$85,(卡牌属性!DW406-2)*20+卡牌属性!DX406)</f>
        <v>10</v>
      </c>
      <c r="EA406" s="14">
        <f>INDEX(属性投放!BQ$6:BQ$85,卡牌属性!$DY406)</f>
        <v>40</v>
      </c>
      <c r="EB406" s="14">
        <f>INDEX(属性投放!BR$6:BR$85,卡牌属性!$DY406)</f>
        <v>20</v>
      </c>
      <c r="EC406" s="14">
        <f>INDEX(属性投放!BS$6:BS$85,卡牌属性!$DY406)</f>
        <v>240</v>
      </c>
      <c r="ED406" s="14">
        <f t="shared" ref="ED406:ED424" si="769">ED405+$EA405+ES405*$DZ405</f>
        <v>278</v>
      </c>
      <c r="EE406" s="14">
        <f t="shared" ref="EE406:EE424" si="770">EE405+$EA405+ET405*$DZ405</f>
        <v>332</v>
      </c>
      <c r="EF406" s="14">
        <f t="shared" ref="EF406:EF424" si="771">EF405+$EA405+EU405*$DZ405</f>
        <v>390</v>
      </c>
      <c r="EG406" s="14">
        <f t="shared" ref="EG406:EG424" si="772">EG405+$EA405+EV405*$DZ405</f>
        <v>390</v>
      </c>
      <c r="EH406" s="14">
        <f t="shared" ref="EH406:EH424" si="773">EH405+$EA405+EW405*$DZ405</f>
        <v>460</v>
      </c>
      <c r="EI406" s="14">
        <f t="shared" ref="EI406:EI424" si="774">EI405+$EB405+EX405*$DZ405</f>
        <v>61</v>
      </c>
      <c r="EJ406" s="14">
        <f t="shared" ref="EJ406:EJ424" si="775">EJ405+$EB405+EY405*$DZ405</f>
        <v>75</v>
      </c>
      <c r="EK406" s="14">
        <f t="shared" ref="EK406:EK424" si="776">EK405+$EB405+EZ405*$DZ405</f>
        <v>75</v>
      </c>
      <c r="EL406" s="14">
        <f t="shared" ref="EL406:EL424" si="777">EL405+$EB405+FA405*$DZ405</f>
        <v>89</v>
      </c>
      <c r="EM406" s="14">
        <f t="shared" ref="EM406:EM424" si="778">EM405+$EB405+FB405*$DZ405</f>
        <v>118</v>
      </c>
      <c r="EN406" s="14">
        <f t="shared" ref="EN406:EN424" si="779">EN405+$EC405+FC405*$DZ405</f>
        <v>600</v>
      </c>
      <c r="EO406" s="14">
        <f t="shared" ref="EO406:EO424" si="780">EO405+$EC405+FD405*$DZ405</f>
        <v>724</v>
      </c>
      <c r="EP406" s="14">
        <f t="shared" ref="EP406:EP424" si="781">EP405+$EC405+FE405*$DZ405</f>
        <v>724</v>
      </c>
      <c r="EQ406" s="14">
        <f t="shared" ref="EQ406:EQ424" si="782">EQ405+$EC405+FF405*$DZ405</f>
        <v>872</v>
      </c>
      <c r="ER406" s="14">
        <f t="shared" ref="ER406:ER424" si="783">ER405+$EC405+FG405*$DZ405</f>
        <v>1070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36</v>
      </c>
      <c r="FD406" s="14">
        <f>INDEX(属性偏向!$U$4:$U$243,(卡牌属性!$DV406-1+FD$3)*20+卡牌属性!$DX406)</f>
        <v>48</v>
      </c>
      <c r="FE406" s="14">
        <f>INDEX(属性偏向!$U$4:$U$243,(卡牌属性!$DV406-1+FE$3)*20+卡牌属性!$DX406)</f>
        <v>48</v>
      </c>
      <c r="FF406" s="14">
        <f>INDEX(属性偏向!$U$4:$U$243,(卡牌属性!$DV406-1+FF$3)*20+卡牌属性!$DX406)</f>
        <v>60</v>
      </c>
      <c r="FG406" s="14">
        <f>INDEX(属性偏向!$U$4:$U$243,(卡牌属性!$DV406-1+FG$3)*20+卡牌属性!$DX406)</f>
        <v>72</v>
      </c>
      <c r="FH406" s="14">
        <f>INDEX(属性投放!$BQ$6:$BQ$85,(卡牌属性!$DW406-2)*20+卡牌属性!$DX406)</f>
        <v>40</v>
      </c>
      <c r="FI406" s="14">
        <f>INDEX(属性投放!$BQ$6:$BQ$85,(卡牌属性!$DW406-2)*20+卡牌属性!$DX406)</f>
        <v>40</v>
      </c>
      <c r="FJ406" s="14">
        <f>INDEX(属性投放!$BQ$6:$BQ$85,(卡牌属性!$DW406-2)*20+卡牌属性!$DX406)</f>
        <v>40</v>
      </c>
      <c r="FK406" s="14">
        <f>INDEX(属性投放!$BQ$6:$BQ$85,(卡牌属性!$DW406-2)*20+卡牌属性!$DX406)</f>
        <v>40</v>
      </c>
      <c r="FL406" s="14">
        <f>INDEX(属性投放!$BQ$6:$BQ$85,(卡牌属性!$DW406-2)*20+卡牌属性!$DX406)</f>
        <v>40</v>
      </c>
      <c r="FM406" s="14">
        <f>INDEX(属性投放!$BR$6:$BR$85,(卡牌属性!$DW406-2)*20+卡牌属性!$DX406)</f>
        <v>20</v>
      </c>
      <c r="FN406" s="14">
        <f>INDEX(属性投放!$BR$6:$BR$85,(卡牌属性!$DW406-2)*20+卡牌属性!$DX406)</f>
        <v>20</v>
      </c>
      <c r="FO406" s="14">
        <f>INDEX(属性投放!$BR$6:$BR$85,(卡牌属性!$DW406-2)*20+卡牌属性!$DX406)</f>
        <v>20</v>
      </c>
      <c r="FP406" s="14">
        <f>INDEX(属性投放!$BR$6:$BR$85,(卡牌属性!$DW406-2)*20+卡牌属性!$DX406)</f>
        <v>20</v>
      </c>
      <c r="FQ406" s="14">
        <f>INDEX(属性投放!$BR$6:$BR$85,(卡牌属性!$DW406-2)*20+卡牌属性!$DX406)</f>
        <v>20</v>
      </c>
      <c r="FR406" s="14">
        <f>INDEX(属性投放!$BS$6:$BS$85,(卡牌属性!$DW406-2)*20+卡牌属性!$DX406)</f>
        <v>240</v>
      </c>
      <c r="FS406" s="14">
        <f>INDEX(属性投放!$BS$6:$BS$85,(卡牌属性!$DW406-2)*20+卡牌属性!$DX406)</f>
        <v>240</v>
      </c>
      <c r="FT406" s="14">
        <f>INDEX(属性投放!$BS$6:$BS$85,(卡牌属性!$DW406-2)*20+卡牌属性!$DX406)</f>
        <v>240</v>
      </c>
      <c r="FU406" s="14">
        <f>INDEX(属性投放!$BS$6:$BS$85,(卡牌属性!$DW406-2)*20+卡牌属性!$DX406)</f>
        <v>240</v>
      </c>
      <c r="FV406" s="14">
        <f>INDEX(属性投放!$BS$6:$BS$85,(卡牌属性!$DW406-2)*20+卡牌属性!$DX406)</f>
        <v>240</v>
      </c>
    </row>
    <row r="407" spans="31:178" ht="16.5" x14ac:dyDescent="0.2">
      <c r="AE407" s="13">
        <v>403</v>
      </c>
      <c r="AF407" s="13">
        <f t="shared" si="753"/>
        <v>21</v>
      </c>
      <c r="AG407" s="13">
        <f t="shared" si="740"/>
        <v>4</v>
      </c>
      <c r="AH407" s="13"/>
      <c r="AI407" s="13"/>
      <c r="AJ407" s="14">
        <f t="shared" si="741"/>
        <v>1101026</v>
      </c>
      <c r="AK407" s="14" t="str">
        <f t="shared" si="742"/>
        <v>貂灵芸3突</v>
      </c>
      <c r="AL407" s="25" t="s">
        <v>142</v>
      </c>
      <c r="AM407" s="14">
        <v>1</v>
      </c>
      <c r="AN407" s="14">
        <f t="shared" si="743"/>
        <v>3</v>
      </c>
      <c r="AO407" s="14">
        <f>INDEX(属性投放!$DF$6:$DF$85,(卡牌属性!AG407-2)*20+卡牌属性!AN407)</f>
        <v>365</v>
      </c>
      <c r="AP407" s="14">
        <f t="shared" si="763"/>
        <v>365</v>
      </c>
      <c r="AQ407" s="14">
        <f t="shared" si="763"/>
        <v>365</v>
      </c>
      <c r="AR407" s="14">
        <f t="shared" si="763"/>
        <v>365</v>
      </c>
      <c r="AS407" s="14">
        <f t="shared" si="763"/>
        <v>365</v>
      </c>
      <c r="AT407" s="14">
        <f>INDEX(属性投放!$DG$6:$DG$85,(卡牌属性!AG407-2)*20+卡牌属性!AN407)</f>
        <v>109</v>
      </c>
      <c r="AU407" s="14">
        <f t="shared" si="764"/>
        <v>109</v>
      </c>
      <c r="AV407" s="14">
        <f t="shared" si="764"/>
        <v>109</v>
      </c>
      <c r="AW407" s="14">
        <f t="shared" si="764"/>
        <v>109</v>
      </c>
      <c r="AX407" s="14">
        <f t="shared" si="764"/>
        <v>109</v>
      </c>
      <c r="AY407" s="14">
        <f>INDEX(属性投放!$DH$6:$DH$85,(卡牌属性!AG407-2)*20+卡牌属性!AN407)</f>
        <v>1605</v>
      </c>
      <c r="AZ407" s="14">
        <f t="shared" si="765"/>
        <v>1605</v>
      </c>
      <c r="BA407" s="14">
        <f t="shared" si="765"/>
        <v>1605</v>
      </c>
      <c r="BB407" s="14">
        <f t="shared" si="765"/>
        <v>1605</v>
      </c>
      <c r="BC407" s="14">
        <f t="shared" si="765"/>
        <v>1605</v>
      </c>
      <c r="BD407" s="14">
        <f>INDEX(属性投放!$DL$6:$DL$85,(卡牌属性!AG407-2)*20+卡牌属性!AN407)</f>
        <v>22</v>
      </c>
      <c r="BE407" s="14">
        <f t="shared" si="766"/>
        <v>22</v>
      </c>
      <c r="BF407" s="14">
        <f t="shared" si="766"/>
        <v>22</v>
      </c>
      <c r="BG407" s="14">
        <f t="shared" si="766"/>
        <v>22</v>
      </c>
      <c r="BH407" s="14">
        <f t="shared" si="766"/>
        <v>22</v>
      </c>
      <c r="BI407" s="14">
        <f>INDEX(属性投放!$DM$6:$DM$85,(卡牌属性!AG407-2)*20+卡牌属性!AN407)</f>
        <v>11</v>
      </c>
      <c r="BJ407" s="14">
        <f t="shared" si="767"/>
        <v>11</v>
      </c>
      <c r="BK407" s="14">
        <f t="shared" si="767"/>
        <v>11</v>
      </c>
      <c r="BL407" s="14">
        <f t="shared" si="767"/>
        <v>11</v>
      </c>
      <c r="BM407" s="14">
        <f t="shared" si="767"/>
        <v>11</v>
      </c>
      <c r="BN407" s="14">
        <f>INDEX(属性投放!$DN$6:$DN$85,(卡牌属性!AG407-2)*20+卡牌属性!AN407)</f>
        <v>132</v>
      </c>
      <c r="BO407" s="14">
        <f t="shared" si="768"/>
        <v>132</v>
      </c>
      <c r="BP407" s="14">
        <f t="shared" si="768"/>
        <v>132</v>
      </c>
      <c r="BQ407" s="14">
        <f t="shared" si="768"/>
        <v>132</v>
      </c>
      <c r="BR407" s="14">
        <f t="shared" si="768"/>
        <v>132</v>
      </c>
      <c r="BW407" s="13">
        <v>403</v>
      </c>
      <c r="BX407" s="13">
        <f t="shared" si="744"/>
        <v>21</v>
      </c>
      <c r="BY407" s="14">
        <f t="shared" si="745"/>
        <v>3</v>
      </c>
      <c r="BZ407" s="14">
        <f t="shared" si="754"/>
        <v>1102021</v>
      </c>
      <c r="CA407" s="14" t="str">
        <f t="shared" si="755"/>
        <v>烈风螳螂3突</v>
      </c>
      <c r="CB407" s="25" t="s">
        <v>142</v>
      </c>
      <c r="CC407" s="14">
        <v>2</v>
      </c>
      <c r="CD407" s="14">
        <f t="shared" si="746"/>
        <v>3</v>
      </c>
      <c r="CE407" s="14" t="s">
        <v>21</v>
      </c>
      <c r="CF407" s="14">
        <f>INDEX(属性投放!$AZ$6:$AZ$85,(BY407-2)*20+CD407)</f>
        <v>422</v>
      </c>
      <c r="CG407" s="14" t="s">
        <v>22</v>
      </c>
      <c r="CH407" s="14">
        <f>INDEX(属性投放!$BA$6:$BA$85,(BY407-2)*20+CD407)</f>
        <v>147</v>
      </c>
      <c r="CI407" s="14" t="s">
        <v>510</v>
      </c>
      <c r="CJ407" s="14">
        <f>INDEX(属性投放!$BB$6:$BB$85,(BY407-2)*20+CD407)</f>
        <v>2132</v>
      </c>
      <c r="CK407" s="14" t="s">
        <v>21</v>
      </c>
      <c r="CL407" s="14">
        <f>INDEX(属性投放!$BC$6:$BC$85,(BY407-2)*20+CD407)</f>
        <v>10</v>
      </c>
      <c r="CM407" s="14" t="s">
        <v>22</v>
      </c>
      <c r="CN407" s="14">
        <f>INDEX(属性投放!$BD$6:$BD$85,(BY407-2)*20+CD407)</f>
        <v>5</v>
      </c>
      <c r="CO407" s="14" t="s">
        <v>510</v>
      </c>
      <c r="CP407" s="14">
        <f>INDEX(属性投放!$BE$6:$BE$85,(BY407-2)*20+CD407)</f>
        <v>60</v>
      </c>
      <c r="CS407" s="13">
        <v>403</v>
      </c>
      <c r="CT407" s="13">
        <f t="shared" si="756"/>
        <v>8</v>
      </c>
      <c r="CU407" s="13">
        <f t="shared" si="757"/>
        <v>39</v>
      </c>
      <c r="CV407" s="14">
        <f t="shared" si="758"/>
        <v>4</v>
      </c>
      <c r="CW407" s="14">
        <f t="shared" si="759"/>
        <v>1102008</v>
      </c>
      <c r="CX407" s="14" t="str">
        <f>INDEX($O$6:$O$50,CT407)&amp;"-"&amp;INDEX(属性投放!$AB$7:$AB$50,CZ407)&amp;"-魂火-"&amp;DB407</f>
        <v>夏侯渊-大焦热-魂火-3</v>
      </c>
      <c r="CY407" s="25" t="s">
        <v>142</v>
      </c>
      <c r="CZ407" s="14">
        <f>INDEX(属性投放!$AM$7:$AM$58,CU407)</f>
        <v>16</v>
      </c>
      <c r="DA407" s="14" t="s">
        <v>537</v>
      </c>
      <c r="DB407" s="14">
        <f>INDEX(属性投放!$AN$7:$AN$58,CU407)</f>
        <v>3</v>
      </c>
      <c r="DC407" s="14">
        <f t="shared" si="747"/>
        <v>39</v>
      </c>
      <c r="DD407" s="14">
        <f>INDEX(属性投放!$AO$7:$AO$58,DC407)</f>
        <v>115</v>
      </c>
      <c r="DE407" s="14" t="s">
        <v>538</v>
      </c>
      <c r="DF407" s="14">
        <f>INDEX(属性投放!$BK$6:$BK$85,(CV407-2)*20+CZ407)</f>
        <v>520</v>
      </c>
      <c r="DG407" s="14">
        <f>SUMIFS(DF$5:DF407,$CT$5:$CT407,"="&amp;$CT407)</f>
        <v>7435</v>
      </c>
      <c r="DH407" s="14" t="s">
        <v>539</v>
      </c>
      <c r="DI407" s="14">
        <f>INDEX(属性投放!$BL$6:$BL$85,(CV407-2)*20+CZ407)</f>
        <v>260</v>
      </c>
      <c r="DJ407" s="14">
        <f>SUMIFS(DI$5:DI407,$CT$5:$CT407,"="&amp;$CT407)</f>
        <v>3727</v>
      </c>
      <c r="DK407" s="14" t="s">
        <v>540</v>
      </c>
      <c r="DL407" s="14">
        <f>INDEX(属性投放!$BM$6:$BM$85,(CV407-2)*20+CZ407)</f>
        <v>5200</v>
      </c>
      <c r="DM407" s="14">
        <f>SUMIFS(DL$5:DL407,$CT$5:$CT407,"="&amp;$CT407)</f>
        <v>69785</v>
      </c>
      <c r="DR407" s="14">
        <f t="shared" si="748"/>
        <v>1102021</v>
      </c>
      <c r="DS407" s="14" t="str">
        <f t="shared" si="749"/>
        <v>烈风螳螂3突</v>
      </c>
      <c r="DT407" s="14">
        <f t="shared" si="760"/>
        <v>7</v>
      </c>
      <c r="DU407" s="14">
        <f t="shared" si="761"/>
        <v>5</v>
      </c>
      <c r="DV407" s="14">
        <f t="shared" si="762"/>
        <v>3</v>
      </c>
      <c r="DW407" s="14">
        <f t="shared" si="750"/>
        <v>3</v>
      </c>
      <c r="DX407" s="14">
        <f t="shared" si="751"/>
        <v>3</v>
      </c>
      <c r="DY407" s="14">
        <f t="shared" si="752"/>
        <v>23</v>
      </c>
      <c r="DZ407" s="14">
        <f>INDEX(属性投放!$AX$6:$AX$85,(卡牌属性!DW407-2)*20+卡牌属性!DX407)</f>
        <v>10</v>
      </c>
      <c r="EA407" s="14">
        <f>INDEX(属性投放!BQ$6:BQ$85,卡牌属性!$DY407)</f>
        <v>70</v>
      </c>
      <c r="EB407" s="14">
        <f>INDEX(属性投放!BR$6:BR$85,卡牌属性!$DY407)</f>
        <v>35</v>
      </c>
      <c r="EC407" s="14">
        <f>INDEX(属性投放!BS$6:BS$85,卡牌属性!$DY407)</f>
        <v>420</v>
      </c>
      <c r="ED407" s="14">
        <f t="shared" si="769"/>
        <v>468</v>
      </c>
      <c r="EE407" s="14">
        <f t="shared" si="770"/>
        <v>542</v>
      </c>
      <c r="EF407" s="14">
        <f t="shared" si="771"/>
        <v>630</v>
      </c>
      <c r="EG407" s="14">
        <f t="shared" si="772"/>
        <v>630</v>
      </c>
      <c r="EH407" s="14">
        <f t="shared" si="773"/>
        <v>750</v>
      </c>
      <c r="EI407" s="14">
        <f t="shared" si="774"/>
        <v>131</v>
      </c>
      <c r="EJ407" s="14">
        <f t="shared" si="775"/>
        <v>155</v>
      </c>
      <c r="EK407" s="14">
        <f t="shared" si="776"/>
        <v>155</v>
      </c>
      <c r="EL407" s="14">
        <f t="shared" si="777"/>
        <v>189</v>
      </c>
      <c r="EM407" s="14">
        <f t="shared" si="778"/>
        <v>228</v>
      </c>
      <c r="EN407" s="14">
        <f t="shared" si="779"/>
        <v>1200</v>
      </c>
      <c r="EO407" s="14">
        <f t="shared" si="780"/>
        <v>1444</v>
      </c>
      <c r="EP407" s="14">
        <f t="shared" si="781"/>
        <v>1444</v>
      </c>
      <c r="EQ407" s="14">
        <f t="shared" si="782"/>
        <v>1712</v>
      </c>
      <c r="ER407" s="14">
        <f t="shared" si="783"/>
        <v>2030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36</v>
      </c>
      <c r="FD407" s="14">
        <f>INDEX(属性偏向!$U$4:$U$243,(卡牌属性!$DV407-1+FD$3)*20+卡牌属性!$DX407)</f>
        <v>48</v>
      </c>
      <c r="FE407" s="14">
        <f>INDEX(属性偏向!$U$4:$U$243,(卡牌属性!$DV407-1+FE$3)*20+卡牌属性!$DX407)</f>
        <v>48</v>
      </c>
      <c r="FF407" s="14">
        <f>INDEX(属性偏向!$U$4:$U$243,(卡牌属性!$DV407-1+FF$3)*20+卡牌属性!$DX407)</f>
        <v>60</v>
      </c>
      <c r="FG407" s="14">
        <f>INDEX(属性偏向!$U$4:$U$243,(卡牌属性!$DV407-1+FG$3)*20+卡牌属性!$DX407)</f>
        <v>72</v>
      </c>
      <c r="FH407" s="14">
        <f>INDEX(属性投放!$BQ$6:$BQ$85,(卡牌属性!$DW407-2)*20+卡牌属性!$DX407)</f>
        <v>70</v>
      </c>
      <c r="FI407" s="14">
        <f>INDEX(属性投放!$BQ$6:$BQ$85,(卡牌属性!$DW407-2)*20+卡牌属性!$DX407)</f>
        <v>70</v>
      </c>
      <c r="FJ407" s="14">
        <f>INDEX(属性投放!$BQ$6:$BQ$85,(卡牌属性!$DW407-2)*20+卡牌属性!$DX407)</f>
        <v>70</v>
      </c>
      <c r="FK407" s="14">
        <f>INDEX(属性投放!$BQ$6:$BQ$85,(卡牌属性!$DW407-2)*20+卡牌属性!$DX407)</f>
        <v>70</v>
      </c>
      <c r="FL407" s="14">
        <f>INDEX(属性投放!$BQ$6:$BQ$85,(卡牌属性!$DW407-2)*20+卡牌属性!$DX407)</f>
        <v>70</v>
      </c>
      <c r="FM407" s="14">
        <f>INDEX(属性投放!$BR$6:$BR$85,(卡牌属性!$DW407-2)*20+卡牌属性!$DX407)</f>
        <v>35</v>
      </c>
      <c r="FN407" s="14">
        <f>INDEX(属性投放!$BR$6:$BR$85,(卡牌属性!$DW407-2)*20+卡牌属性!$DX407)</f>
        <v>35</v>
      </c>
      <c r="FO407" s="14">
        <f>INDEX(属性投放!$BR$6:$BR$85,(卡牌属性!$DW407-2)*20+卡牌属性!$DX407)</f>
        <v>35</v>
      </c>
      <c r="FP407" s="14">
        <f>INDEX(属性投放!$BR$6:$BR$85,(卡牌属性!$DW407-2)*20+卡牌属性!$DX407)</f>
        <v>35</v>
      </c>
      <c r="FQ407" s="14">
        <f>INDEX(属性投放!$BR$6:$BR$85,(卡牌属性!$DW407-2)*20+卡牌属性!$DX407)</f>
        <v>35</v>
      </c>
      <c r="FR407" s="14">
        <f>INDEX(属性投放!$BS$6:$BS$85,(卡牌属性!$DW407-2)*20+卡牌属性!$DX407)</f>
        <v>420</v>
      </c>
      <c r="FS407" s="14">
        <f>INDEX(属性投放!$BS$6:$BS$85,(卡牌属性!$DW407-2)*20+卡牌属性!$DX407)</f>
        <v>420</v>
      </c>
      <c r="FT407" s="14">
        <f>INDEX(属性投放!$BS$6:$BS$85,(卡牌属性!$DW407-2)*20+卡牌属性!$DX407)</f>
        <v>420</v>
      </c>
      <c r="FU407" s="14">
        <f>INDEX(属性投放!$BS$6:$BS$85,(卡牌属性!$DW407-2)*20+卡牌属性!$DX407)</f>
        <v>420</v>
      </c>
      <c r="FV407" s="14">
        <f>INDEX(属性投放!$BS$6:$BS$85,(卡牌属性!$DW407-2)*20+卡牌属性!$DX407)</f>
        <v>420</v>
      </c>
    </row>
    <row r="408" spans="31:178" ht="16.5" x14ac:dyDescent="0.2">
      <c r="AE408" s="13">
        <v>404</v>
      </c>
      <c r="AF408" s="13">
        <f t="shared" si="753"/>
        <v>21</v>
      </c>
      <c r="AG408" s="13">
        <f t="shared" si="740"/>
        <v>4</v>
      </c>
      <c r="AH408" s="13"/>
      <c r="AI408" s="13"/>
      <c r="AJ408" s="14">
        <f t="shared" si="741"/>
        <v>1101026</v>
      </c>
      <c r="AK408" s="14" t="str">
        <f t="shared" si="742"/>
        <v>貂灵芸4突</v>
      </c>
      <c r="AL408" s="25" t="s">
        <v>142</v>
      </c>
      <c r="AM408" s="14">
        <v>1</v>
      </c>
      <c r="AN408" s="14">
        <f t="shared" si="743"/>
        <v>4</v>
      </c>
      <c r="AO408" s="14">
        <f>INDEX(属性投放!$DF$6:$DF$85,(卡牌属性!AG408-2)*20+卡牌属性!AN408)</f>
        <v>640</v>
      </c>
      <c r="AP408" s="14">
        <f t="shared" si="763"/>
        <v>640</v>
      </c>
      <c r="AQ408" s="14">
        <f t="shared" si="763"/>
        <v>640</v>
      </c>
      <c r="AR408" s="14">
        <f t="shared" si="763"/>
        <v>640</v>
      </c>
      <c r="AS408" s="14">
        <f t="shared" si="763"/>
        <v>640</v>
      </c>
      <c r="AT408" s="14">
        <f>INDEX(属性投放!$DG$6:$DG$85,(卡牌属性!AG408-2)*20+卡牌属性!AN408)</f>
        <v>248</v>
      </c>
      <c r="AU408" s="14">
        <f t="shared" si="764"/>
        <v>248</v>
      </c>
      <c r="AV408" s="14">
        <f t="shared" si="764"/>
        <v>248</v>
      </c>
      <c r="AW408" s="14">
        <f t="shared" si="764"/>
        <v>248</v>
      </c>
      <c r="AX408" s="14">
        <f t="shared" si="764"/>
        <v>248</v>
      </c>
      <c r="AY408" s="14">
        <f>INDEX(属性投放!$DH$6:$DH$85,(卡牌属性!AG408-2)*20+卡牌属性!AN408)</f>
        <v>3255</v>
      </c>
      <c r="AZ408" s="14">
        <f t="shared" si="765"/>
        <v>3255</v>
      </c>
      <c r="BA408" s="14">
        <f t="shared" si="765"/>
        <v>3255</v>
      </c>
      <c r="BB408" s="14">
        <f t="shared" si="765"/>
        <v>3255</v>
      </c>
      <c r="BC408" s="14">
        <f t="shared" si="765"/>
        <v>3255</v>
      </c>
      <c r="BD408" s="14">
        <f>INDEX(属性投放!$DL$6:$DL$85,(卡牌属性!AG408-2)*20+卡牌属性!AN408)</f>
        <v>40</v>
      </c>
      <c r="BE408" s="14">
        <f t="shared" si="766"/>
        <v>40</v>
      </c>
      <c r="BF408" s="14">
        <f t="shared" si="766"/>
        <v>40</v>
      </c>
      <c r="BG408" s="14">
        <f t="shared" si="766"/>
        <v>40</v>
      </c>
      <c r="BH408" s="14">
        <f t="shared" si="766"/>
        <v>40</v>
      </c>
      <c r="BI408" s="14">
        <f>INDEX(属性投放!$DM$6:$DM$85,(卡牌属性!AG408-2)*20+卡牌属性!AN408)</f>
        <v>20</v>
      </c>
      <c r="BJ408" s="14">
        <f t="shared" si="767"/>
        <v>20</v>
      </c>
      <c r="BK408" s="14">
        <f t="shared" si="767"/>
        <v>20</v>
      </c>
      <c r="BL408" s="14">
        <f t="shared" si="767"/>
        <v>20</v>
      </c>
      <c r="BM408" s="14">
        <f t="shared" si="767"/>
        <v>20</v>
      </c>
      <c r="BN408" s="14">
        <f>INDEX(属性投放!$DN$6:$DN$85,(卡牌属性!AG408-2)*20+卡牌属性!AN408)</f>
        <v>279</v>
      </c>
      <c r="BO408" s="14">
        <f t="shared" si="768"/>
        <v>279</v>
      </c>
      <c r="BP408" s="14">
        <f t="shared" si="768"/>
        <v>279</v>
      </c>
      <c r="BQ408" s="14">
        <f t="shared" si="768"/>
        <v>279</v>
      </c>
      <c r="BR408" s="14">
        <f t="shared" si="768"/>
        <v>279</v>
      </c>
      <c r="BW408" s="13">
        <v>404</v>
      </c>
      <c r="BX408" s="13">
        <f t="shared" si="744"/>
        <v>21</v>
      </c>
      <c r="BY408" s="14">
        <f t="shared" si="745"/>
        <v>3</v>
      </c>
      <c r="BZ408" s="14">
        <f t="shared" si="754"/>
        <v>1102021</v>
      </c>
      <c r="CA408" s="14" t="str">
        <f t="shared" si="755"/>
        <v>烈风螳螂4突</v>
      </c>
      <c r="CB408" s="25" t="s">
        <v>142</v>
      </c>
      <c r="CC408" s="14">
        <v>2</v>
      </c>
      <c r="CD408" s="14">
        <f t="shared" si="746"/>
        <v>4</v>
      </c>
      <c r="CE408" s="14" t="s">
        <v>21</v>
      </c>
      <c r="CF408" s="14">
        <f>INDEX(属性投放!$AZ$6:$AZ$85,(BY408-2)*20+CD408)</f>
        <v>652</v>
      </c>
      <c r="CG408" s="14" t="s">
        <v>22</v>
      </c>
      <c r="CH408" s="14">
        <f>INDEX(属性投放!$BA$6:$BA$85,(BY408-2)*20+CD408)</f>
        <v>262</v>
      </c>
      <c r="CI408" s="14" t="s">
        <v>510</v>
      </c>
      <c r="CJ408" s="14">
        <f>INDEX(属性投放!$BB$6:$BB$85,(BY408-2)*20+CD408)</f>
        <v>3512</v>
      </c>
      <c r="CK408" s="14" t="s">
        <v>21</v>
      </c>
      <c r="CL408" s="14">
        <f>INDEX(属性投放!$BC$6:$BC$85,(BY408-2)*20+CD408)</f>
        <v>12</v>
      </c>
      <c r="CM408" s="14" t="s">
        <v>22</v>
      </c>
      <c r="CN408" s="14">
        <f>INDEX(属性投放!$BD$6:$BD$85,(BY408-2)*20+CD408)</f>
        <v>6</v>
      </c>
      <c r="CO408" s="14" t="s">
        <v>510</v>
      </c>
      <c r="CP408" s="14">
        <f>INDEX(属性投放!$BE$6:$BE$85,(BY408-2)*20+CD408)</f>
        <v>84</v>
      </c>
      <c r="CS408" s="13">
        <v>404</v>
      </c>
      <c r="CT408" s="13">
        <f t="shared" si="756"/>
        <v>8</v>
      </c>
      <c r="CU408" s="13">
        <f t="shared" si="757"/>
        <v>40</v>
      </c>
      <c r="CV408" s="14">
        <f t="shared" si="758"/>
        <v>4</v>
      </c>
      <c r="CW408" s="14">
        <f t="shared" si="759"/>
        <v>1102008</v>
      </c>
      <c r="CX408" s="14" t="str">
        <f>INDEX($O$6:$O$50,CT408)&amp;"-"&amp;INDEX(属性投放!$AB$7:$AB$50,CZ408)&amp;"-魂火-"&amp;DB408</f>
        <v>夏侯渊-大焦热+1-魂火-1</v>
      </c>
      <c r="CY408" s="25" t="s">
        <v>142</v>
      </c>
      <c r="CZ408" s="14">
        <f>INDEX(属性投放!$AM$7:$AM$58,CU408)</f>
        <v>17</v>
      </c>
      <c r="DA408" s="14" t="s">
        <v>537</v>
      </c>
      <c r="DB408" s="14">
        <f>INDEX(属性投放!$AN$7:$AN$58,CU408)</f>
        <v>1</v>
      </c>
      <c r="DC408" s="14">
        <f t="shared" si="747"/>
        <v>40</v>
      </c>
      <c r="DD408" s="14">
        <f>INDEX(属性投放!$AO$7:$AO$58,DC408)</f>
        <v>118</v>
      </c>
      <c r="DE408" s="14" t="s">
        <v>538</v>
      </c>
      <c r="DF408" s="14">
        <f>INDEX(属性投放!$BK$6:$BK$85,(CV408-2)*20+CZ408)</f>
        <v>650</v>
      </c>
      <c r="DG408" s="14">
        <f>SUMIFS(DF$5:DF408,$CT$5:$CT408,"="&amp;$CT408)</f>
        <v>8085</v>
      </c>
      <c r="DH408" s="14" t="s">
        <v>539</v>
      </c>
      <c r="DI408" s="14">
        <f>INDEX(属性投放!$BL$6:$BL$85,(CV408-2)*20+CZ408)</f>
        <v>325</v>
      </c>
      <c r="DJ408" s="14">
        <f>SUMIFS(DI$5:DI408,$CT$5:$CT408,"="&amp;$CT408)</f>
        <v>4052</v>
      </c>
      <c r="DK408" s="14" t="s">
        <v>540</v>
      </c>
      <c r="DL408" s="14">
        <f>INDEX(属性投放!$BM$6:$BM$85,(CV408-2)*20+CZ408)</f>
        <v>6500</v>
      </c>
      <c r="DM408" s="14">
        <f>SUMIFS(DL$5:DL408,$CT$5:$CT408,"="&amp;$CT408)</f>
        <v>76285</v>
      </c>
      <c r="DR408" s="14">
        <f t="shared" si="748"/>
        <v>1102021</v>
      </c>
      <c r="DS408" s="14" t="str">
        <f t="shared" si="749"/>
        <v>烈风螳螂4突</v>
      </c>
      <c r="DT408" s="14">
        <f t="shared" si="760"/>
        <v>7</v>
      </c>
      <c r="DU408" s="14">
        <f t="shared" si="761"/>
        <v>5</v>
      </c>
      <c r="DV408" s="14">
        <f t="shared" si="762"/>
        <v>3</v>
      </c>
      <c r="DW408" s="14">
        <f t="shared" si="750"/>
        <v>3</v>
      </c>
      <c r="DX408" s="14">
        <f t="shared" si="751"/>
        <v>4</v>
      </c>
      <c r="DY408" s="14">
        <f t="shared" si="752"/>
        <v>24</v>
      </c>
      <c r="DZ408" s="14">
        <f>INDEX(属性投放!$AX$6:$AX$85,(卡牌属性!DW408-2)*20+卡牌属性!DX408)</f>
        <v>10</v>
      </c>
      <c r="EA408" s="14">
        <f>INDEX(属性投放!BQ$6:BQ$85,卡牌属性!$DY408)</f>
        <v>75</v>
      </c>
      <c r="EB408" s="14">
        <f>INDEX(属性投放!BR$6:BR$85,卡牌属性!$DY408)</f>
        <v>38</v>
      </c>
      <c r="EC408" s="14">
        <f>INDEX(属性投放!BS$6:BS$85,卡牌属性!$DY408)</f>
        <v>525</v>
      </c>
      <c r="ED408" s="14">
        <f t="shared" si="769"/>
        <v>688</v>
      </c>
      <c r="EE408" s="14">
        <f t="shared" si="770"/>
        <v>782</v>
      </c>
      <c r="EF408" s="14">
        <f t="shared" si="771"/>
        <v>900</v>
      </c>
      <c r="EG408" s="14">
        <f t="shared" si="772"/>
        <v>900</v>
      </c>
      <c r="EH408" s="14">
        <f t="shared" si="773"/>
        <v>1070</v>
      </c>
      <c r="EI408" s="14">
        <f t="shared" si="774"/>
        <v>216</v>
      </c>
      <c r="EJ408" s="14">
        <f t="shared" si="775"/>
        <v>250</v>
      </c>
      <c r="EK408" s="14">
        <f t="shared" si="776"/>
        <v>250</v>
      </c>
      <c r="EL408" s="14">
        <f t="shared" si="777"/>
        <v>304</v>
      </c>
      <c r="EM408" s="14">
        <f t="shared" si="778"/>
        <v>353</v>
      </c>
      <c r="EN408" s="14">
        <f t="shared" si="779"/>
        <v>1980</v>
      </c>
      <c r="EO408" s="14">
        <f t="shared" si="780"/>
        <v>2344</v>
      </c>
      <c r="EP408" s="14">
        <f t="shared" si="781"/>
        <v>2344</v>
      </c>
      <c r="EQ408" s="14">
        <f t="shared" si="782"/>
        <v>2732</v>
      </c>
      <c r="ER408" s="14">
        <f t="shared" si="783"/>
        <v>3170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56</v>
      </c>
      <c r="FD408" s="14">
        <f>INDEX(属性偏向!$U$4:$U$243,(卡牌属性!$DV408-1+FD$3)*20+卡牌属性!$DX408)</f>
        <v>70</v>
      </c>
      <c r="FE408" s="14">
        <f>INDEX(属性偏向!$U$4:$U$243,(卡牌属性!$DV408-1+FE$3)*20+卡牌属性!$DX408)</f>
        <v>70</v>
      </c>
      <c r="FF408" s="14">
        <f>INDEX(属性偏向!$U$4:$U$243,(卡牌属性!$DV408-1+FF$3)*20+卡牌属性!$DX408)</f>
        <v>84</v>
      </c>
      <c r="FG408" s="14">
        <f>INDEX(属性偏向!$U$4:$U$243,(卡牌属性!$DV408-1+FG$3)*20+卡牌属性!$DX408)</f>
        <v>91</v>
      </c>
      <c r="FH408" s="14">
        <f>INDEX(属性投放!$BQ$6:$BQ$85,(卡牌属性!$DW408-2)*20+卡牌属性!$DX408)</f>
        <v>75</v>
      </c>
      <c r="FI408" s="14">
        <f>INDEX(属性投放!$BQ$6:$BQ$85,(卡牌属性!$DW408-2)*20+卡牌属性!$DX408)</f>
        <v>75</v>
      </c>
      <c r="FJ408" s="14">
        <f>INDEX(属性投放!$BQ$6:$BQ$85,(卡牌属性!$DW408-2)*20+卡牌属性!$DX408)</f>
        <v>75</v>
      </c>
      <c r="FK408" s="14">
        <f>INDEX(属性投放!$BQ$6:$BQ$85,(卡牌属性!$DW408-2)*20+卡牌属性!$DX408)</f>
        <v>75</v>
      </c>
      <c r="FL408" s="14">
        <f>INDEX(属性投放!$BQ$6:$BQ$85,(卡牌属性!$DW408-2)*20+卡牌属性!$DX408)</f>
        <v>75</v>
      </c>
      <c r="FM408" s="14">
        <f>INDEX(属性投放!$BR$6:$BR$85,(卡牌属性!$DW408-2)*20+卡牌属性!$DX408)</f>
        <v>38</v>
      </c>
      <c r="FN408" s="14">
        <f>INDEX(属性投放!$BR$6:$BR$85,(卡牌属性!$DW408-2)*20+卡牌属性!$DX408)</f>
        <v>38</v>
      </c>
      <c r="FO408" s="14">
        <f>INDEX(属性投放!$BR$6:$BR$85,(卡牌属性!$DW408-2)*20+卡牌属性!$DX408)</f>
        <v>38</v>
      </c>
      <c r="FP408" s="14">
        <f>INDEX(属性投放!$BR$6:$BR$85,(卡牌属性!$DW408-2)*20+卡牌属性!$DX408)</f>
        <v>38</v>
      </c>
      <c r="FQ408" s="14">
        <f>INDEX(属性投放!$BR$6:$BR$85,(卡牌属性!$DW408-2)*20+卡牌属性!$DX408)</f>
        <v>38</v>
      </c>
      <c r="FR408" s="14">
        <f>INDEX(属性投放!$BS$6:$BS$85,(卡牌属性!$DW408-2)*20+卡牌属性!$DX408)</f>
        <v>525</v>
      </c>
      <c r="FS408" s="14">
        <f>INDEX(属性投放!$BS$6:$BS$85,(卡牌属性!$DW408-2)*20+卡牌属性!$DX408)</f>
        <v>525</v>
      </c>
      <c r="FT408" s="14">
        <f>INDEX(属性投放!$BS$6:$BS$85,(卡牌属性!$DW408-2)*20+卡牌属性!$DX408)</f>
        <v>525</v>
      </c>
      <c r="FU408" s="14">
        <f>INDEX(属性投放!$BS$6:$BS$85,(卡牌属性!$DW408-2)*20+卡牌属性!$DX408)</f>
        <v>525</v>
      </c>
      <c r="FV408" s="14">
        <f>INDEX(属性投放!$BS$6:$BS$85,(卡牌属性!$DW408-2)*20+卡牌属性!$DX408)</f>
        <v>525</v>
      </c>
    </row>
    <row r="409" spans="31:178" ht="16.5" x14ac:dyDescent="0.2">
      <c r="AE409" s="13">
        <v>405</v>
      </c>
      <c r="AF409" s="13">
        <f t="shared" si="753"/>
        <v>21</v>
      </c>
      <c r="AG409" s="13">
        <f t="shared" si="740"/>
        <v>4</v>
      </c>
      <c r="AH409" s="13"/>
      <c r="AI409" s="13"/>
      <c r="AJ409" s="14">
        <f t="shared" si="741"/>
        <v>1101026</v>
      </c>
      <c r="AK409" s="14" t="str">
        <f t="shared" si="742"/>
        <v>貂灵芸5突</v>
      </c>
      <c r="AL409" s="25" t="s">
        <v>142</v>
      </c>
      <c r="AM409" s="14">
        <v>1</v>
      </c>
      <c r="AN409" s="14">
        <f t="shared" si="743"/>
        <v>5</v>
      </c>
      <c r="AO409" s="14">
        <f>INDEX(属性投放!$DF$6:$DF$85,(卡牌属性!AG409-2)*20+卡牌属性!AN409)</f>
        <v>754</v>
      </c>
      <c r="AP409" s="14">
        <f t="shared" si="763"/>
        <v>754</v>
      </c>
      <c r="AQ409" s="14">
        <f t="shared" si="763"/>
        <v>754</v>
      </c>
      <c r="AR409" s="14">
        <f t="shared" si="763"/>
        <v>754</v>
      </c>
      <c r="AS409" s="14">
        <f t="shared" si="763"/>
        <v>754</v>
      </c>
      <c r="AT409" s="14">
        <f>INDEX(属性投放!$DG$6:$DG$85,(卡牌属性!AG409-2)*20+卡牌属性!AN409)</f>
        <v>305</v>
      </c>
      <c r="AU409" s="14">
        <f t="shared" si="764"/>
        <v>305</v>
      </c>
      <c r="AV409" s="14">
        <f t="shared" si="764"/>
        <v>305</v>
      </c>
      <c r="AW409" s="14">
        <f t="shared" si="764"/>
        <v>305</v>
      </c>
      <c r="AX409" s="14">
        <f t="shared" si="764"/>
        <v>305</v>
      </c>
      <c r="AY409" s="14">
        <f>INDEX(属性投放!$DH$6:$DH$85,(卡牌属性!AG409-2)*20+卡牌属性!AN409)</f>
        <v>4053</v>
      </c>
      <c r="AZ409" s="14">
        <f t="shared" si="765"/>
        <v>4053</v>
      </c>
      <c r="BA409" s="14">
        <f t="shared" si="765"/>
        <v>4053</v>
      </c>
      <c r="BB409" s="14">
        <f t="shared" si="765"/>
        <v>4053</v>
      </c>
      <c r="BC409" s="14">
        <f t="shared" si="765"/>
        <v>4053</v>
      </c>
      <c r="BD409" s="14">
        <f>INDEX(属性投放!$DL$6:$DL$85,(卡牌属性!AG409-2)*20+卡牌属性!AN409)</f>
        <v>40</v>
      </c>
      <c r="BE409" s="14">
        <f t="shared" si="766"/>
        <v>40</v>
      </c>
      <c r="BF409" s="14">
        <f t="shared" si="766"/>
        <v>40</v>
      </c>
      <c r="BG409" s="14">
        <f t="shared" si="766"/>
        <v>40</v>
      </c>
      <c r="BH409" s="14">
        <f t="shared" si="766"/>
        <v>40</v>
      </c>
      <c r="BI409" s="14">
        <f>INDEX(属性投放!$DM$6:$DM$85,(卡牌属性!AG409-2)*20+卡牌属性!AN409)</f>
        <v>20</v>
      </c>
      <c r="BJ409" s="14">
        <f t="shared" si="767"/>
        <v>20</v>
      </c>
      <c r="BK409" s="14">
        <f t="shared" si="767"/>
        <v>20</v>
      </c>
      <c r="BL409" s="14">
        <f t="shared" si="767"/>
        <v>20</v>
      </c>
      <c r="BM409" s="14">
        <f t="shared" si="767"/>
        <v>20</v>
      </c>
      <c r="BN409" s="14">
        <f>INDEX(属性投放!$DN$6:$DN$85,(卡牌属性!AG409-2)*20+卡牌属性!AN409)</f>
        <v>279</v>
      </c>
      <c r="BO409" s="14">
        <f t="shared" si="768"/>
        <v>279</v>
      </c>
      <c r="BP409" s="14">
        <f t="shared" si="768"/>
        <v>279</v>
      </c>
      <c r="BQ409" s="14">
        <f t="shared" si="768"/>
        <v>279</v>
      </c>
      <c r="BR409" s="14">
        <f t="shared" si="768"/>
        <v>279</v>
      </c>
      <c r="BW409" s="13">
        <v>405</v>
      </c>
      <c r="BX409" s="13">
        <f t="shared" si="744"/>
        <v>21</v>
      </c>
      <c r="BY409" s="14">
        <f t="shared" si="745"/>
        <v>3</v>
      </c>
      <c r="BZ409" s="14">
        <f t="shared" si="754"/>
        <v>1102021</v>
      </c>
      <c r="CA409" s="14" t="str">
        <f t="shared" si="755"/>
        <v>烈风螳螂5突</v>
      </c>
      <c r="CB409" s="25" t="s">
        <v>142</v>
      </c>
      <c r="CC409" s="14">
        <v>2</v>
      </c>
      <c r="CD409" s="14">
        <f t="shared" si="746"/>
        <v>5</v>
      </c>
      <c r="CE409" s="14" t="s">
        <v>21</v>
      </c>
      <c r="CF409" s="14">
        <f>INDEX(属性投放!$AZ$6:$AZ$85,(BY409-2)*20+CD409)</f>
        <v>927</v>
      </c>
      <c r="CG409" s="14" t="s">
        <v>22</v>
      </c>
      <c r="CH409" s="14">
        <f>INDEX(属性投放!$BA$6:$BA$85,(BY409-2)*20+CD409)</f>
        <v>400</v>
      </c>
      <c r="CI409" s="14" t="s">
        <v>510</v>
      </c>
      <c r="CJ409" s="14">
        <f>INDEX(属性投放!$BB$6:$BB$85,(BY409-2)*20+CD409)</f>
        <v>5437</v>
      </c>
      <c r="CK409" s="14" t="s">
        <v>21</v>
      </c>
      <c r="CL409" s="14">
        <f>INDEX(属性投放!$BC$6:$BC$85,(BY409-2)*20+CD409)</f>
        <v>12</v>
      </c>
      <c r="CM409" s="14" t="s">
        <v>22</v>
      </c>
      <c r="CN409" s="14">
        <f>INDEX(属性投放!$BD$6:$BD$85,(BY409-2)*20+CD409)</f>
        <v>6</v>
      </c>
      <c r="CO409" s="14" t="s">
        <v>510</v>
      </c>
      <c r="CP409" s="14">
        <f>INDEX(属性投放!$BE$6:$BE$85,(BY409-2)*20+CD409)</f>
        <v>84</v>
      </c>
      <c r="CS409" s="13">
        <v>405</v>
      </c>
      <c r="CT409" s="13">
        <f t="shared" si="756"/>
        <v>8</v>
      </c>
      <c r="CU409" s="13">
        <f t="shared" si="757"/>
        <v>41</v>
      </c>
      <c r="CV409" s="14">
        <f t="shared" si="758"/>
        <v>4</v>
      </c>
      <c r="CW409" s="14">
        <f t="shared" si="759"/>
        <v>1102008</v>
      </c>
      <c r="CX409" s="14" t="str">
        <f>INDEX($O$6:$O$50,CT409)&amp;"-"&amp;INDEX(属性投放!$AB$7:$AB$50,CZ409)&amp;"-魂火-"&amp;DB409</f>
        <v>夏侯渊-大焦热+1-魂火-2</v>
      </c>
      <c r="CY409" s="25" t="s">
        <v>142</v>
      </c>
      <c r="CZ409" s="14">
        <f>INDEX(属性投放!$AM$7:$AM$58,CU409)</f>
        <v>17</v>
      </c>
      <c r="DA409" s="14" t="s">
        <v>537</v>
      </c>
      <c r="DB409" s="14">
        <f>INDEX(属性投放!$AN$7:$AN$58,CU409)</f>
        <v>2</v>
      </c>
      <c r="DC409" s="14">
        <f t="shared" si="747"/>
        <v>41</v>
      </c>
      <c r="DD409" s="14">
        <f>INDEX(属性投放!$AO$7:$AO$58,DC409)</f>
        <v>120</v>
      </c>
      <c r="DE409" s="14" t="s">
        <v>538</v>
      </c>
      <c r="DF409" s="14">
        <f>INDEX(属性投放!$BK$6:$BK$85,(CV409-2)*20+CZ409)</f>
        <v>650</v>
      </c>
      <c r="DG409" s="14">
        <f>SUMIFS(DF$5:DF409,$CT$5:$CT409,"="&amp;$CT409)</f>
        <v>8735</v>
      </c>
      <c r="DH409" s="14" t="s">
        <v>539</v>
      </c>
      <c r="DI409" s="14">
        <f>INDEX(属性投放!$BL$6:$BL$85,(CV409-2)*20+CZ409)</f>
        <v>325</v>
      </c>
      <c r="DJ409" s="14">
        <f>SUMIFS(DI$5:DI409,$CT$5:$CT409,"="&amp;$CT409)</f>
        <v>4377</v>
      </c>
      <c r="DK409" s="14" t="s">
        <v>540</v>
      </c>
      <c r="DL409" s="14">
        <f>INDEX(属性投放!$BM$6:$BM$85,(CV409-2)*20+CZ409)</f>
        <v>6500</v>
      </c>
      <c r="DM409" s="14">
        <f>SUMIFS(DL$5:DL409,$CT$5:$CT409,"="&amp;$CT409)</f>
        <v>82785</v>
      </c>
      <c r="DR409" s="14">
        <f t="shared" si="748"/>
        <v>1102021</v>
      </c>
      <c r="DS409" s="14" t="str">
        <f t="shared" si="749"/>
        <v>烈风螳螂5突</v>
      </c>
      <c r="DT409" s="14">
        <f t="shared" si="760"/>
        <v>7</v>
      </c>
      <c r="DU409" s="14">
        <f t="shared" si="761"/>
        <v>5</v>
      </c>
      <c r="DV409" s="14">
        <f t="shared" si="762"/>
        <v>3</v>
      </c>
      <c r="DW409" s="14">
        <f t="shared" si="750"/>
        <v>3</v>
      </c>
      <c r="DX409" s="14">
        <f t="shared" si="751"/>
        <v>5</v>
      </c>
      <c r="DY409" s="14">
        <f t="shared" si="752"/>
        <v>25</v>
      </c>
      <c r="DZ409" s="14">
        <f>INDEX(属性投放!$AX$6:$AX$85,(卡牌属性!DW409-2)*20+卡牌属性!DX409)</f>
        <v>7</v>
      </c>
      <c r="EA409" s="14">
        <f>INDEX(属性投放!BQ$6:BQ$85,卡牌属性!$DY409)</f>
        <v>100</v>
      </c>
      <c r="EB409" s="14">
        <f>INDEX(属性投放!BR$6:BR$85,卡牌属性!$DY409)</f>
        <v>50</v>
      </c>
      <c r="EC409" s="14">
        <f>INDEX(属性投放!BS$6:BS$85,卡牌属性!$DY409)</f>
        <v>700</v>
      </c>
      <c r="ED409" s="14">
        <f t="shared" si="769"/>
        <v>963</v>
      </c>
      <c r="EE409" s="14">
        <f t="shared" si="770"/>
        <v>1077</v>
      </c>
      <c r="EF409" s="14">
        <f t="shared" si="771"/>
        <v>1225</v>
      </c>
      <c r="EG409" s="14">
        <f t="shared" si="772"/>
        <v>1225</v>
      </c>
      <c r="EH409" s="14">
        <f t="shared" si="773"/>
        <v>1445</v>
      </c>
      <c r="EI409" s="14">
        <f t="shared" si="774"/>
        <v>314</v>
      </c>
      <c r="EJ409" s="14">
        <f t="shared" si="775"/>
        <v>358</v>
      </c>
      <c r="EK409" s="14">
        <f t="shared" si="776"/>
        <v>358</v>
      </c>
      <c r="EL409" s="14">
        <f t="shared" si="777"/>
        <v>442</v>
      </c>
      <c r="EM409" s="14">
        <f t="shared" si="778"/>
        <v>501</v>
      </c>
      <c r="EN409" s="14">
        <f t="shared" si="779"/>
        <v>3065</v>
      </c>
      <c r="EO409" s="14">
        <f t="shared" si="780"/>
        <v>3569</v>
      </c>
      <c r="EP409" s="14">
        <f t="shared" si="781"/>
        <v>3569</v>
      </c>
      <c r="EQ409" s="14">
        <f t="shared" si="782"/>
        <v>4097</v>
      </c>
      <c r="ER409" s="14">
        <f t="shared" si="783"/>
        <v>4605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56</v>
      </c>
      <c r="FD409" s="14">
        <f>INDEX(属性偏向!$U$4:$U$243,(卡牌属性!$DV409-1+FD$3)*20+卡牌属性!$DX409)</f>
        <v>70</v>
      </c>
      <c r="FE409" s="14">
        <f>INDEX(属性偏向!$U$4:$U$243,(卡牌属性!$DV409-1+FE$3)*20+卡牌属性!$DX409)</f>
        <v>70</v>
      </c>
      <c r="FF409" s="14">
        <f>INDEX(属性偏向!$U$4:$U$243,(卡牌属性!$DV409-1+FF$3)*20+卡牌属性!$DX409)</f>
        <v>84</v>
      </c>
      <c r="FG409" s="14">
        <f>INDEX(属性偏向!$U$4:$U$243,(卡牌属性!$DV409-1+FG$3)*20+卡牌属性!$DX409)</f>
        <v>91</v>
      </c>
      <c r="FH409" s="14">
        <f>INDEX(属性投放!$BQ$6:$BQ$85,(卡牌属性!$DW409-2)*20+卡牌属性!$DX409)</f>
        <v>100</v>
      </c>
      <c r="FI409" s="14">
        <f>INDEX(属性投放!$BQ$6:$BQ$85,(卡牌属性!$DW409-2)*20+卡牌属性!$DX409)</f>
        <v>100</v>
      </c>
      <c r="FJ409" s="14">
        <f>INDEX(属性投放!$BQ$6:$BQ$85,(卡牌属性!$DW409-2)*20+卡牌属性!$DX409)</f>
        <v>100</v>
      </c>
      <c r="FK409" s="14">
        <f>INDEX(属性投放!$BQ$6:$BQ$85,(卡牌属性!$DW409-2)*20+卡牌属性!$DX409)</f>
        <v>100</v>
      </c>
      <c r="FL409" s="14">
        <f>INDEX(属性投放!$BQ$6:$BQ$85,(卡牌属性!$DW409-2)*20+卡牌属性!$DX409)</f>
        <v>100</v>
      </c>
      <c r="FM409" s="14">
        <f>INDEX(属性投放!$BR$6:$BR$85,(卡牌属性!$DW409-2)*20+卡牌属性!$DX409)</f>
        <v>50</v>
      </c>
      <c r="FN409" s="14">
        <f>INDEX(属性投放!$BR$6:$BR$85,(卡牌属性!$DW409-2)*20+卡牌属性!$DX409)</f>
        <v>50</v>
      </c>
      <c r="FO409" s="14">
        <f>INDEX(属性投放!$BR$6:$BR$85,(卡牌属性!$DW409-2)*20+卡牌属性!$DX409)</f>
        <v>50</v>
      </c>
      <c r="FP409" s="14">
        <f>INDEX(属性投放!$BR$6:$BR$85,(卡牌属性!$DW409-2)*20+卡牌属性!$DX409)</f>
        <v>50</v>
      </c>
      <c r="FQ409" s="14">
        <f>INDEX(属性投放!$BR$6:$BR$85,(卡牌属性!$DW409-2)*20+卡牌属性!$DX409)</f>
        <v>50</v>
      </c>
      <c r="FR409" s="14">
        <f>INDEX(属性投放!$BS$6:$BS$85,(卡牌属性!$DW409-2)*20+卡牌属性!$DX409)</f>
        <v>700</v>
      </c>
      <c r="FS409" s="14">
        <f>INDEX(属性投放!$BS$6:$BS$85,(卡牌属性!$DW409-2)*20+卡牌属性!$DX409)</f>
        <v>700</v>
      </c>
      <c r="FT409" s="14">
        <f>INDEX(属性投放!$BS$6:$BS$85,(卡牌属性!$DW409-2)*20+卡牌属性!$DX409)</f>
        <v>700</v>
      </c>
      <c r="FU409" s="14">
        <f>INDEX(属性投放!$BS$6:$BS$85,(卡牌属性!$DW409-2)*20+卡牌属性!$DX409)</f>
        <v>700</v>
      </c>
      <c r="FV409" s="14">
        <f>INDEX(属性投放!$BS$6:$BS$85,(卡牌属性!$DW409-2)*20+卡牌属性!$DX409)</f>
        <v>700</v>
      </c>
    </row>
    <row r="410" spans="31:178" ht="16.5" x14ac:dyDescent="0.2">
      <c r="AE410" s="13">
        <v>406</v>
      </c>
      <c r="AF410" s="13">
        <f t="shared" si="753"/>
        <v>21</v>
      </c>
      <c r="AG410" s="13">
        <f t="shared" si="740"/>
        <v>4</v>
      </c>
      <c r="AH410" s="13"/>
      <c r="AI410" s="13"/>
      <c r="AJ410" s="14">
        <f t="shared" si="741"/>
        <v>1101026</v>
      </c>
      <c r="AK410" s="14" t="str">
        <f t="shared" si="742"/>
        <v>貂灵芸6突</v>
      </c>
      <c r="AL410" s="25" t="s">
        <v>142</v>
      </c>
      <c r="AM410" s="14">
        <v>1</v>
      </c>
      <c r="AN410" s="14">
        <f t="shared" si="743"/>
        <v>6</v>
      </c>
      <c r="AO410" s="14">
        <f>INDEX(属性投放!$DF$6:$DF$85,(卡牌属性!AG410-2)*20+卡牌属性!AN410)</f>
        <v>868</v>
      </c>
      <c r="AP410" s="14">
        <f t="shared" si="763"/>
        <v>868</v>
      </c>
      <c r="AQ410" s="14">
        <f t="shared" si="763"/>
        <v>868</v>
      </c>
      <c r="AR410" s="14">
        <f t="shared" si="763"/>
        <v>868</v>
      </c>
      <c r="AS410" s="14">
        <f t="shared" si="763"/>
        <v>868</v>
      </c>
      <c r="AT410" s="14">
        <f>INDEX(属性投放!$DG$6:$DG$85,(卡牌属性!AG410-2)*20+卡牌属性!AN410)</f>
        <v>362</v>
      </c>
      <c r="AU410" s="14">
        <f t="shared" si="764"/>
        <v>362</v>
      </c>
      <c r="AV410" s="14">
        <f t="shared" si="764"/>
        <v>362</v>
      </c>
      <c r="AW410" s="14">
        <f t="shared" si="764"/>
        <v>362</v>
      </c>
      <c r="AX410" s="14">
        <f t="shared" si="764"/>
        <v>362</v>
      </c>
      <c r="AY410" s="14">
        <f>INDEX(属性投放!$DH$6:$DH$85,(卡牌属性!AG410-2)*20+卡牌属性!AN410)</f>
        <v>4851</v>
      </c>
      <c r="AZ410" s="14">
        <f t="shared" si="765"/>
        <v>4851</v>
      </c>
      <c r="BA410" s="14">
        <f t="shared" si="765"/>
        <v>4851</v>
      </c>
      <c r="BB410" s="14">
        <f t="shared" si="765"/>
        <v>4851</v>
      </c>
      <c r="BC410" s="14">
        <f t="shared" si="765"/>
        <v>4851</v>
      </c>
      <c r="BD410" s="14">
        <f>INDEX(属性投放!$DL$6:$DL$85,(卡牌属性!AG410-2)*20+卡牌属性!AN410)</f>
        <v>40</v>
      </c>
      <c r="BE410" s="14">
        <f t="shared" si="766"/>
        <v>40</v>
      </c>
      <c r="BF410" s="14">
        <f t="shared" si="766"/>
        <v>40</v>
      </c>
      <c r="BG410" s="14">
        <f t="shared" si="766"/>
        <v>40</v>
      </c>
      <c r="BH410" s="14">
        <f t="shared" si="766"/>
        <v>40</v>
      </c>
      <c r="BI410" s="14">
        <f>INDEX(属性投放!$DM$6:$DM$85,(卡牌属性!AG410-2)*20+卡牌属性!AN410)</f>
        <v>20</v>
      </c>
      <c r="BJ410" s="14">
        <f t="shared" si="767"/>
        <v>20</v>
      </c>
      <c r="BK410" s="14">
        <f t="shared" si="767"/>
        <v>20</v>
      </c>
      <c r="BL410" s="14">
        <f t="shared" si="767"/>
        <v>20</v>
      </c>
      <c r="BM410" s="14">
        <f t="shared" si="767"/>
        <v>20</v>
      </c>
      <c r="BN410" s="14">
        <f>INDEX(属性投放!$DN$6:$DN$85,(卡牌属性!AG410-2)*20+卡牌属性!AN410)</f>
        <v>279</v>
      </c>
      <c r="BO410" s="14">
        <f t="shared" si="768"/>
        <v>279</v>
      </c>
      <c r="BP410" s="14">
        <f t="shared" si="768"/>
        <v>279</v>
      </c>
      <c r="BQ410" s="14">
        <f t="shared" si="768"/>
        <v>279</v>
      </c>
      <c r="BR410" s="14">
        <f t="shared" si="768"/>
        <v>279</v>
      </c>
      <c r="BW410" s="13">
        <v>406</v>
      </c>
      <c r="BX410" s="13">
        <f t="shared" si="744"/>
        <v>21</v>
      </c>
      <c r="BY410" s="14">
        <f t="shared" si="745"/>
        <v>3</v>
      </c>
      <c r="BZ410" s="14">
        <f t="shared" si="754"/>
        <v>1102021</v>
      </c>
      <c r="CA410" s="14" t="str">
        <f t="shared" si="755"/>
        <v>烈风螳螂6突</v>
      </c>
      <c r="CB410" s="25" t="s">
        <v>142</v>
      </c>
      <c r="CC410" s="14">
        <v>2</v>
      </c>
      <c r="CD410" s="14">
        <f t="shared" si="746"/>
        <v>6</v>
      </c>
      <c r="CE410" s="14" t="s">
        <v>21</v>
      </c>
      <c r="CF410" s="14">
        <f>INDEX(属性投放!$AZ$6:$AZ$85,(BY410-2)*20+CD410)</f>
        <v>1201</v>
      </c>
      <c r="CG410" s="14" t="s">
        <v>22</v>
      </c>
      <c r="CH410" s="14">
        <f>INDEX(属性投放!$BA$6:$BA$85,(BY410-2)*20+CD410)</f>
        <v>538</v>
      </c>
      <c r="CI410" s="14" t="s">
        <v>510</v>
      </c>
      <c r="CJ410" s="14">
        <f>INDEX(属性投放!$BB$6:$BB$85,(BY410-2)*20+CD410)</f>
        <v>7355</v>
      </c>
      <c r="CK410" s="14" t="s">
        <v>21</v>
      </c>
      <c r="CL410" s="14">
        <f>INDEX(属性投放!$BC$6:$BC$85,(BY410-2)*20+CD410)</f>
        <v>12</v>
      </c>
      <c r="CM410" s="14" t="s">
        <v>22</v>
      </c>
      <c r="CN410" s="14">
        <f>INDEX(属性投放!$BD$6:$BD$85,(BY410-2)*20+CD410)</f>
        <v>6</v>
      </c>
      <c r="CO410" s="14" t="s">
        <v>510</v>
      </c>
      <c r="CP410" s="14">
        <f>INDEX(属性投放!$BE$6:$BE$85,(BY410-2)*20+CD410)</f>
        <v>84</v>
      </c>
      <c r="CS410" s="13">
        <v>406</v>
      </c>
      <c r="CT410" s="13">
        <f t="shared" si="756"/>
        <v>8</v>
      </c>
      <c r="CU410" s="13">
        <f t="shared" si="757"/>
        <v>42</v>
      </c>
      <c r="CV410" s="14">
        <f t="shared" si="758"/>
        <v>4</v>
      </c>
      <c r="CW410" s="14">
        <f t="shared" si="759"/>
        <v>1102008</v>
      </c>
      <c r="CX410" s="14" t="str">
        <f>INDEX($O$6:$O$50,CT410)&amp;"-"&amp;INDEX(属性投放!$AB$7:$AB$50,CZ410)&amp;"-魂火-"&amp;DB410</f>
        <v>夏侯渊-大焦热+1-魂火-3</v>
      </c>
      <c r="CY410" s="25" t="s">
        <v>142</v>
      </c>
      <c r="CZ410" s="14">
        <f>INDEX(属性投放!$AM$7:$AM$58,CU410)</f>
        <v>17</v>
      </c>
      <c r="DA410" s="14" t="s">
        <v>537</v>
      </c>
      <c r="DB410" s="14">
        <f>INDEX(属性投放!$AN$7:$AN$58,CU410)</f>
        <v>3</v>
      </c>
      <c r="DC410" s="14">
        <f t="shared" si="747"/>
        <v>42</v>
      </c>
      <c r="DD410" s="14">
        <f>INDEX(属性投放!$AO$7:$AO$58,DC410)</f>
        <v>123</v>
      </c>
      <c r="DE410" s="14" t="s">
        <v>538</v>
      </c>
      <c r="DF410" s="14">
        <f>INDEX(属性投放!$BK$6:$BK$85,(CV410-2)*20+CZ410)</f>
        <v>650</v>
      </c>
      <c r="DG410" s="14">
        <f>SUMIFS(DF$5:DF410,$CT$5:$CT410,"="&amp;$CT410)</f>
        <v>9385</v>
      </c>
      <c r="DH410" s="14" t="s">
        <v>539</v>
      </c>
      <c r="DI410" s="14">
        <f>INDEX(属性投放!$BL$6:$BL$85,(CV410-2)*20+CZ410)</f>
        <v>325</v>
      </c>
      <c r="DJ410" s="14">
        <f>SUMIFS(DI$5:DI410,$CT$5:$CT410,"="&amp;$CT410)</f>
        <v>4702</v>
      </c>
      <c r="DK410" s="14" t="s">
        <v>540</v>
      </c>
      <c r="DL410" s="14">
        <f>INDEX(属性投放!$BM$6:$BM$85,(CV410-2)*20+CZ410)</f>
        <v>6500</v>
      </c>
      <c r="DM410" s="14">
        <f>SUMIFS(DL$5:DL410,$CT$5:$CT410,"="&amp;$CT410)</f>
        <v>89285</v>
      </c>
      <c r="DR410" s="14">
        <f t="shared" si="748"/>
        <v>1102021</v>
      </c>
      <c r="DS410" s="14" t="str">
        <f t="shared" si="749"/>
        <v>烈风螳螂6突</v>
      </c>
      <c r="DT410" s="14">
        <f t="shared" si="760"/>
        <v>7</v>
      </c>
      <c r="DU410" s="14">
        <f t="shared" si="761"/>
        <v>5</v>
      </c>
      <c r="DV410" s="14">
        <f t="shared" si="762"/>
        <v>3</v>
      </c>
      <c r="DW410" s="14">
        <f t="shared" si="750"/>
        <v>3</v>
      </c>
      <c r="DX410" s="14">
        <f t="shared" si="751"/>
        <v>6</v>
      </c>
      <c r="DY410" s="14">
        <f t="shared" si="752"/>
        <v>26</v>
      </c>
      <c r="DZ410" s="14">
        <f>INDEX(属性投放!$AX$6:$AX$85,(卡牌属性!DW410-2)*20+卡牌属性!DX410)</f>
        <v>5</v>
      </c>
      <c r="EA410" s="14">
        <f>INDEX(属性投放!BQ$6:BQ$85,卡牌属性!$DY410)</f>
        <v>140</v>
      </c>
      <c r="EB410" s="14">
        <f>INDEX(属性投放!BR$6:BR$85,卡牌属性!$DY410)</f>
        <v>70</v>
      </c>
      <c r="EC410" s="14">
        <f>INDEX(属性投放!BS$6:BS$85,卡牌属性!$DY410)</f>
        <v>980</v>
      </c>
      <c r="ED410" s="14">
        <f t="shared" si="769"/>
        <v>1203</v>
      </c>
      <c r="EE410" s="14">
        <f t="shared" si="770"/>
        <v>1331</v>
      </c>
      <c r="EF410" s="14">
        <f t="shared" si="771"/>
        <v>1500</v>
      </c>
      <c r="EG410" s="14">
        <f t="shared" si="772"/>
        <v>1500</v>
      </c>
      <c r="EH410" s="14">
        <f t="shared" si="773"/>
        <v>1755</v>
      </c>
      <c r="EI410" s="14">
        <f t="shared" si="774"/>
        <v>406</v>
      </c>
      <c r="EJ410" s="14">
        <f t="shared" si="775"/>
        <v>457</v>
      </c>
      <c r="EK410" s="14">
        <f t="shared" si="776"/>
        <v>457</v>
      </c>
      <c r="EL410" s="14">
        <f t="shared" si="777"/>
        <v>562</v>
      </c>
      <c r="EM410" s="14">
        <f t="shared" si="778"/>
        <v>628</v>
      </c>
      <c r="EN410" s="14">
        <f t="shared" si="779"/>
        <v>4157</v>
      </c>
      <c r="EO410" s="14">
        <f t="shared" si="780"/>
        <v>4759</v>
      </c>
      <c r="EP410" s="14">
        <f t="shared" si="781"/>
        <v>4759</v>
      </c>
      <c r="EQ410" s="14">
        <f t="shared" si="782"/>
        <v>5385</v>
      </c>
      <c r="ER410" s="14">
        <f t="shared" si="783"/>
        <v>5942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56</v>
      </c>
      <c r="FD410" s="14">
        <f>INDEX(属性偏向!$U$4:$U$243,(卡牌属性!$DV410-1+FD$3)*20+卡牌属性!$DX410)</f>
        <v>70</v>
      </c>
      <c r="FE410" s="14">
        <f>INDEX(属性偏向!$U$4:$U$243,(卡牌属性!$DV410-1+FE$3)*20+卡牌属性!$DX410)</f>
        <v>70</v>
      </c>
      <c r="FF410" s="14">
        <f>INDEX(属性偏向!$U$4:$U$243,(卡牌属性!$DV410-1+FF$3)*20+卡牌属性!$DX410)</f>
        <v>84</v>
      </c>
      <c r="FG410" s="14">
        <f>INDEX(属性偏向!$U$4:$U$243,(卡牌属性!$DV410-1+FG$3)*20+卡牌属性!$DX410)</f>
        <v>91</v>
      </c>
      <c r="FH410" s="14">
        <f>INDEX(属性投放!$BQ$6:$BQ$85,(卡牌属性!$DW410-2)*20+卡牌属性!$DX410)</f>
        <v>140</v>
      </c>
      <c r="FI410" s="14">
        <f>INDEX(属性投放!$BQ$6:$BQ$85,(卡牌属性!$DW410-2)*20+卡牌属性!$DX410)</f>
        <v>140</v>
      </c>
      <c r="FJ410" s="14">
        <f>INDEX(属性投放!$BQ$6:$BQ$85,(卡牌属性!$DW410-2)*20+卡牌属性!$DX410)</f>
        <v>140</v>
      </c>
      <c r="FK410" s="14">
        <f>INDEX(属性投放!$BQ$6:$BQ$85,(卡牌属性!$DW410-2)*20+卡牌属性!$DX410)</f>
        <v>140</v>
      </c>
      <c r="FL410" s="14">
        <f>INDEX(属性投放!$BQ$6:$BQ$85,(卡牌属性!$DW410-2)*20+卡牌属性!$DX410)</f>
        <v>140</v>
      </c>
      <c r="FM410" s="14">
        <f>INDEX(属性投放!$BR$6:$BR$85,(卡牌属性!$DW410-2)*20+卡牌属性!$DX410)</f>
        <v>70</v>
      </c>
      <c r="FN410" s="14">
        <f>INDEX(属性投放!$BR$6:$BR$85,(卡牌属性!$DW410-2)*20+卡牌属性!$DX410)</f>
        <v>70</v>
      </c>
      <c r="FO410" s="14">
        <f>INDEX(属性投放!$BR$6:$BR$85,(卡牌属性!$DW410-2)*20+卡牌属性!$DX410)</f>
        <v>70</v>
      </c>
      <c r="FP410" s="14">
        <f>INDEX(属性投放!$BR$6:$BR$85,(卡牌属性!$DW410-2)*20+卡牌属性!$DX410)</f>
        <v>70</v>
      </c>
      <c r="FQ410" s="14">
        <f>INDEX(属性投放!$BR$6:$BR$85,(卡牌属性!$DW410-2)*20+卡牌属性!$DX410)</f>
        <v>70</v>
      </c>
      <c r="FR410" s="14">
        <f>INDEX(属性投放!$BS$6:$BS$85,(卡牌属性!$DW410-2)*20+卡牌属性!$DX410)</f>
        <v>980</v>
      </c>
      <c r="FS410" s="14">
        <f>INDEX(属性投放!$BS$6:$BS$85,(卡牌属性!$DW410-2)*20+卡牌属性!$DX410)</f>
        <v>980</v>
      </c>
      <c r="FT410" s="14">
        <f>INDEX(属性投放!$BS$6:$BS$85,(卡牌属性!$DW410-2)*20+卡牌属性!$DX410)</f>
        <v>980</v>
      </c>
      <c r="FU410" s="14">
        <f>INDEX(属性投放!$BS$6:$BS$85,(卡牌属性!$DW410-2)*20+卡牌属性!$DX410)</f>
        <v>980</v>
      </c>
      <c r="FV410" s="14">
        <f>INDEX(属性投放!$BS$6:$BS$85,(卡牌属性!$DW410-2)*20+卡牌属性!$DX410)</f>
        <v>980</v>
      </c>
    </row>
    <row r="411" spans="31:178" ht="16.5" x14ac:dyDescent="0.2">
      <c r="AE411" s="13">
        <v>407</v>
      </c>
      <c r="AF411" s="13">
        <f t="shared" si="753"/>
        <v>21</v>
      </c>
      <c r="AG411" s="13">
        <f t="shared" si="740"/>
        <v>4</v>
      </c>
      <c r="AH411" s="13"/>
      <c r="AI411" s="13"/>
      <c r="AJ411" s="14">
        <f t="shared" si="741"/>
        <v>1101026</v>
      </c>
      <c r="AK411" s="14" t="str">
        <f t="shared" si="742"/>
        <v>貂灵芸7突</v>
      </c>
      <c r="AL411" s="25" t="s">
        <v>142</v>
      </c>
      <c r="AM411" s="14">
        <v>1</v>
      </c>
      <c r="AN411" s="14">
        <f t="shared" si="743"/>
        <v>7</v>
      </c>
      <c r="AO411" s="14">
        <f>INDEX(属性投放!$DF$6:$DF$85,(卡牌属性!AG411-2)*20+卡牌属性!AN411)</f>
        <v>1982</v>
      </c>
      <c r="AP411" s="14">
        <f t="shared" si="763"/>
        <v>1982</v>
      </c>
      <c r="AQ411" s="14">
        <f t="shared" si="763"/>
        <v>1982</v>
      </c>
      <c r="AR411" s="14">
        <f t="shared" si="763"/>
        <v>1982</v>
      </c>
      <c r="AS411" s="14">
        <f t="shared" si="763"/>
        <v>1982</v>
      </c>
      <c r="AT411" s="14">
        <f>INDEX(属性投放!$DG$6:$DG$85,(卡牌属性!AG411-2)*20+卡牌属性!AN411)</f>
        <v>919</v>
      </c>
      <c r="AU411" s="14">
        <f t="shared" si="764"/>
        <v>919</v>
      </c>
      <c r="AV411" s="14">
        <f t="shared" si="764"/>
        <v>919</v>
      </c>
      <c r="AW411" s="14">
        <f t="shared" si="764"/>
        <v>919</v>
      </c>
      <c r="AX411" s="14">
        <f t="shared" si="764"/>
        <v>919</v>
      </c>
      <c r="AY411" s="14">
        <f>INDEX(属性投放!$DH$6:$DH$85,(卡牌属性!AG411-2)*20+卡牌属性!AN411)</f>
        <v>12624</v>
      </c>
      <c r="AZ411" s="14">
        <f t="shared" si="765"/>
        <v>12624</v>
      </c>
      <c r="BA411" s="14">
        <f t="shared" si="765"/>
        <v>12624</v>
      </c>
      <c r="BB411" s="14">
        <f t="shared" si="765"/>
        <v>12624</v>
      </c>
      <c r="BC411" s="14">
        <f t="shared" si="765"/>
        <v>12624</v>
      </c>
      <c r="BD411" s="14">
        <f>INDEX(属性投放!$DL$6:$DL$85,(卡牌属性!AG411-2)*20+卡牌属性!AN411)</f>
        <v>58</v>
      </c>
      <c r="BE411" s="14">
        <f t="shared" si="766"/>
        <v>58</v>
      </c>
      <c r="BF411" s="14">
        <f t="shared" si="766"/>
        <v>58</v>
      </c>
      <c r="BG411" s="14">
        <f t="shared" si="766"/>
        <v>58</v>
      </c>
      <c r="BH411" s="14">
        <f t="shared" si="766"/>
        <v>58</v>
      </c>
      <c r="BI411" s="14">
        <f>INDEX(属性投放!$DM$6:$DM$85,(卡牌属性!AG411-2)*20+卡牌属性!AN411)</f>
        <v>29</v>
      </c>
      <c r="BJ411" s="14">
        <f t="shared" si="767"/>
        <v>29</v>
      </c>
      <c r="BK411" s="14">
        <f t="shared" si="767"/>
        <v>29</v>
      </c>
      <c r="BL411" s="14">
        <f t="shared" si="767"/>
        <v>29</v>
      </c>
      <c r="BM411" s="14">
        <f t="shared" si="767"/>
        <v>29</v>
      </c>
      <c r="BN411" s="14">
        <f>INDEX(属性投放!$DN$6:$DN$85,(卡牌属性!AG411-2)*20+卡牌属性!AN411)</f>
        <v>461</v>
      </c>
      <c r="BO411" s="14">
        <f t="shared" si="768"/>
        <v>461</v>
      </c>
      <c r="BP411" s="14">
        <f t="shared" si="768"/>
        <v>461</v>
      </c>
      <c r="BQ411" s="14">
        <f t="shared" si="768"/>
        <v>461</v>
      </c>
      <c r="BR411" s="14">
        <f t="shared" si="768"/>
        <v>461</v>
      </c>
      <c r="BW411" s="13">
        <v>407</v>
      </c>
      <c r="BX411" s="13">
        <f t="shared" si="744"/>
        <v>21</v>
      </c>
      <c r="BY411" s="14">
        <f t="shared" si="745"/>
        <v>3</v>
      </c>
      <c r="BZ411" s="14">
        <f t="shared" si="754"/>
        <v>1102021</v>
      </c>
      <c r="CA411" s="14" t="str">
        <f t="shared" si="755"/>
        <v>烈风螳螂7突</v>
      </c>
      <c r="CB411" s="25" t="s">
        <v>142</v>
      </c>
      <c r="CC411" s="14">
        <v>2</v>
      </c>
      <c r="CD411" s="14">
        <f t="shared" si="746"/>
        <v>7</v>
      </c>
      <c r="CE411" s="14" t="s">
        <v>21</v>
      </c>
      <c r="CF411" s="14">
        <f>INDEX(属性投放!$AZ$6:$AZ$85,(BY411-2)*20+CD411)</f>
        <v>1501</v>
      </c>
      <c r="CG411" s="14" t="s">
        <v>22</v>
      </c>
      <c r="CH411" s="14">
        <f>INDEX(属性投放!$BA$6:$BA$85,(BY411-2)*20+CD411)</f>
        <v>688</v>
      </c>
      <c r="CI411" s="14" t="s">
        <v>510</v>
      </c>
      <c r="CJ411" s="14">
        <f>INDEX(属性投放!$BB$6:$BB$85,(BY411-2)*20+CD411)</f>
        <v>9455</v>
      </c>
      <c r="CK411" s="14" t="s">
        <v>21</v>
      </c>
      <c r="CL411" s="14">
        <f>INDEX(属性投放!$BC$6:$BC$85,(BY411-2)*20+CD411)</f>
        <v>15</v>
      </c>
      <c r="CM411" s="14" t="s">
        <v>22</v>
      </c>
      <c r="CN411" s="14">
        <f>INDEX(属性投放!$BD$6:$BD$85,(BY411-2)*20+CD411)</f>
        <v>8</v>
      </c>
      <c r="CO411" s="14" t="s">
        <v>510</v>
      </c>
      <c r="CP411" s="14">
        <f>INDEX(属性投放!$BE$6:$BE$85,(BY411-2)*20+CD411)</f>
        <v>120</v>
      </c>
      <c r="CS411" s="13">
        <v>407</v>
      </c>
      <c r="CT411" s="13">
        <f t="shared" si="756"/>
        <v>8</v>
      </c>
      <c r="CU411" s="13">
        <f t="shared" si="757"/>
        <v>43</v>
      </c>
      <c r="CV411" s="14">
        <f t="shared" si="758"/>
        <v>4</v>
      </c>
      <c r="CW411" s="14">
        <f t="shared" si="759"/>
        <v>1102008</v>
      </c>
      <c r="CX411" s="14" t="str">
        <f>INDEX($O$6:$O$50,CT411)&amp;"-"&amp;INDEX(属性投放!$AB$7:$AB$50,CZ411)&amp;"-魂火-"&amp;DB411</f>
        <v>夏侯渊-大焦热+2-魂火-1</v>
      </c>
      <c r="CY411" s="25" t="s">
        <v>142</v>
      </c>
      <c r="CZ411" s="14">
        <f>INDEX(属性投放!$AM$7:$AM$58,CU411)</f>
        <v>18</v>
      </c>
      <c r="DA411" s="14" t="s">
        <v>537</v>
      </c>
      <c r="DB411" s="14">
        <f>INDEX(属性投放!$AN$7:$AN$58,CU411)</f>
        <v>1</v>
      </c>
      <c r="DC411" s="14">
        <f t="shared" si="747"/>
        <v>43</v>
      </c>
      <c r="DD411" s="14">
        <f>INDEX(属性投放!$AO$7:$AO$58,DC411)</f>
        <v>125</v>
      </c>
      <c r="DE411" s="14" t="s">
        <v>538</v>
      </c>
      <c r="DF411" s="14">
        <f>INDEX(属性投放!$BK$6:$BK$85,(CV411-2)*20+CZ411)</f>
        <v>750</v>
      </c>
      <c r="DG411" s="14">
        <f>SUMIFS(DF$5:DF411,$CT$5:$CT411,"="&amp;$CT411)</f>
        <v>10135</v>
      </c>
      <c r="DH411" s="14" t="s">
        <v>539</v>
      </c>
      <c r="DI411" s="14">
        <f>INDEX(属性投放!$BL$6:$BL$85,(CV411-2)*20+CZ411)</f>
        <v>375</v>
      </c>
      <c r="DJ411" s="14">
        <f>SUMIFS(DI$5:DI411,$CT$5:$CT411,"="&amp;$CT411)</f>
        <v>5077</v>
      </c>
      <c r="DK411" s="14" t="s">
        <v>540</v>
      </c>
      <c r="DL411" s="14">
        <f>INDEX(属性投放!$BM$6:$BM$85,(CV411-2)*20+CZ411)</f>
        <v>7500</v>
      </c>
      <c r="DM411" s="14">
        <f>SUMIFS(DL$5:DL411,$CT$5:$CT411,"="&amp;$CT411)</f>
        <v>96785</v>
      </c>
      <c r="DR411" s="14">
        <f t="shared" si="748"/>
        <v>1102021</v>
      </c>
      <c r="DS411" s="14" t="str">
        <f t="shared" si="749"/>
        <v>烈风螳螂7突</v>
      </c>
      <c r="DT411" s="14">
        <f t="shared" si="760"/>
        <v>7</v>
      </c>
      <c r="DU411" s="14">
        <f t="shared" si="761"/>
        <v>5</v>
      </c>
      <c r="DV411" s="14">
        <f t="shared" si="762"/>
        <v>3</v>
      </c>
      <c r="DW411" s="14">
        <f t="shared" si="750"/>
        <v>3</v>
      </c>
      <c r="DX411" s="14">
        <f t="shared" si="751"/>
        <v>7</v>
      </c>
      <c r="DY411" s="14">
        <f t="shared" si="752"/>
        <v>27</v>
      </c>
      <c r="DZ411" s="14">
        <f>INDEX(属性投放!$AX$6:$AX$85,(卡牌属性!DW411-2)*20+卡牌属性!DX411)</f>
        <v>5</v>
      </c>
      <c r="EA411" s="14">
        <f>INDEX(属性投放!BQ$6:BQ$85,卡牌属性!$DY411)</f>
        <v>135</v>
      </c>
      <c r="EB411" s="14">
        <f>INDEX(属性投放!BR$6:BR$85,卡牌属性!$DY411)</f>
        <v>68</v>
      </c>
      <c r="EC411" s="14">
        <f>INDEX(属性投放!BS$6:BS$85,卡牌属性!$DY411)</f>
        <v>1080</v>
      </c>
      <c r="ED411" s="14">
        <f t="shared" si="769"/>
        <v>1443</v>
      </c>
      <c r="EE411" s="14">
        <f t="shared" si="770"/>
        <v>1581</v>
      </c>
      <c r="EF411" s="14">
        <f t="shared" si="771"/>
        <v>1765</v>
      </c>
      <c r="EG411" s="14">
        <f t="shared" si="772"/>
        <v>1765</v>
      </c>
      <c r="EH411" s="14">
        <f t="shared" si="773"/>
        <v>2045</v>
      </c>
      <c r="EI411" s="14">
        <f t="shared" si="774"/>
        <v>506</v>
      </c>
      <c r="EJ411" s="14">
        <f t="shared" si="775"/>
        <v>562</v>
      </c>
      <c r="EK411" s="14">
        <f t="shared" si="776"/>
        <v>562</v>
      </c>
      <c r="EL411" s="14">
        <f t="shared" si="777"/>
        <v>682</v>
      </c>
      <c r="EM411" s="14">
        <f t="shared" si="778"/>
        <v>753</v>
      </c>
      <c r="EN411" s="14">
        <f t="shared" si="779"/>
        <v>5417</v>
      </c>
      <c r="EO411" s="14">
        <f t="shared" si="780"/>
        <v>6089</v>
      </c>
      <c r="EP411" s="14">
        <f t="shared" si="781"/>
        <v>6089</v>
      </c>
      <c r="EQ411" s="14">
        <f t="shared" si="782"/>
        <v>6785</v>
      </c>
      <c r="ER411" s="14">
        <f t="shared" si="783"/>
        <v>7377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80</v>
      </c>
      <c r="FD411" s="14">
        <f>INDEX(属性偏向!$U$4:$U$243,(卡牌属性!$DV411-1+FD$3)*20+卡牌属性!$DX411)</f>
        <v>96</v>
      </c>
      <c r="FE411" s="14">
        <f>INDEX(属性偏向!$U$4:$U$243,(卡牌属性!$DV411-1+FE$3)*20+卡牌属性!$DX411)</f>
        <v>96</v>
      </c>
      <c r="FF411" s="14">
        <f>INDEX(属性偏向!$U$4:$U$243,(卡牌属性!$DV411-1+FF$3)*20+卡牌属性!$DX411)</f>
        <v>120</v>
      </c>
      <c r="FG411" s="14">
        <f>INDEX(属性偏向!$U$4:$U$243,(卡牌属性!$DV411-1+FG$3)*20+卡牌属性!$DX411)</f>
        <v>128</v>
      </c>
      <c r="FH411" s="14">
        <f>INDEX(属性投放!$BQ$6:$BQ$85,(卡牌属性!$DW411-2)*20+卡牌属性!$DX411)</f>
        <v>135</v>
      </c>
      <c r="FI411" s="14">
        <f>INDEX(属性投放!$BQ$6:$BQ$85,(卡牌属性!$DW411-2)*20+卡牌属性!$DX411)</f>
        <v>135</v>
      </c>
      <c r="FJ411" s="14">
        <f>INDEX(属性投放!$BQ$6:$BQ$85,(卡牌属性!$DW411-2)*20+卡牌属性!$DX411)</f>
        <v>135</v>
      </c>
      <c r="FK411" s="14">
        <f>INDEX(属性投放!$BQ$6:$BQ$85,(卡牌属性!$DW411-2)*20+卡牌属性!$DX411)</f>
        <v>135</v>
      </c>
      <c r="FL411" s="14">
        <f>INDEX(属性投放!$BQ$6:$BQ$85,(卡牌属性!$DW411-2)*20+卡牌属性!$DX411)</f>
        <v>135</v>
      </c>
      <c r="FM411" s="14">
        <f>INDEX(属性投放!$BR$6:$BR$85,(卡牌属性!$DW411-2)*20+卡牌属性!$DX411)</f>
        <v>68</v>
      </c>
      <c r="FN411" s="14">
        <f>INDEX(属性投放!$BR$6:$BR$85,(卡牌属性!$DW411-2)*20+卡牌属性!$DX411)</f>
        <v>68</v>
      </c>
      <c r="FO411" s="14">
        <f>INDEX(属性投放!$BR$6:$BR$85,(卡牌属性!$DW411-2)*20+卡牌属性!$DX411)</f>
        <v>68</v>
      </c>
      <c r="FP411" s="14">
        <f>INDEX(属性投放!$BR$6:$BR$85,(卡牌属性!$DW411-2)*20+卡牌属性!$DX411)</f>
        <v>68</v>
      </c>
      <c r="FQ411" s="14">
        <f>INDEX(属性投放!$BR$6:$BR$85,(卡牌属性!$DW411-2)*20+卡牌属性!$DX411)</f>
        <v>68</v>
      </c>
      <c r="FR411" s="14">
        <f>INDEX(属性投放!$BS$6:$BS$85,(卡牌属性!$DW411-2)*20+卡牌属性!$DX411)</f>
        <v>1080</v>
      </c>
      <c r="FS411" s="14">
        <f>INDEX(属性投放!$BS$6:$BS$85,(卡牌属性!$DW411-2)*20+卡牌属性!$DX411)</f>
        <v>1080</v>
      </c>
      <c r="FT411" s="14">
        <f>INDEX(属性投放!$BS$6:$BS$85,(卡牌属性!$DW411-2)*20+卡牌属性!$DX411)</f>
        <v>1080</v>
      </c>
      <c r="FU411" s="14">
        <f>INDEX(属性投放!$BS$6:$BS$85,(卡牌属性!$DW411-2)*20+卡牌属性!$DX411)</f>
        <v>1080</v>
      </c>
      <c r="FV411" s="14">
        <f>INDEX(属性投放!$BS$6:$BS$85,(卡牌属性!$DW411-2)*20+卡牌属性!$DX411)</f>
        <v>1080</v>
      </c>
    </row>
    <row r="412" spans="31:178" ht="16.5" x14ac:dyDescent="0.2">
      <c r="AE412" s="13">
        <v>408</v>
      </c>
      <c r="AF412" s="13">
        <f t="shared" si="753"/>
        <v>21</v>
      </c>
      <c r="AG412" s="13">
        <f t="shared" si="740"/>
        <v>4</v>
      </c>
      <c r="AH412" s="13"/>
      <c r="AI412" s="13"/>
      <c r="AJ412" s="14">
        <f t="shared" si="741"/>
        <v>1101026</v>
      </c>
      <c r="AK412" s="14" t="str">
        <f t="shared" si="742"/>
        <v>貂灵芸8突</v>
      </c>
      <c r="AL412" s="25" t="s">
        <v>142</v>
      </c>
      <c r="AM412" s="14">
        <v>1</v>
      </c>
      <c r="AN412" s="14">
        <f t="shared" si="743"/>
        <v>8</v>
      </c>
      <c r="AO412" s="14">
        <f>INDEX(属性投放!$DF$6:$DF$85,(卡牌属性!AG412-2)*20+卡牌属性!AN412)</f>
        <v>2147</v>
      </c>
      <c r="AP412" s="14">
        <f t="shared" si="763"/>
        <v>2147</v>
      </c>
      <c r="AQ412" s="14">
        <f t="shared" si="763"/>
        <v>2147</v>
      </c>
      <c r="AR412" s="14">
        <f t="shared" si="763"/>
        <v>2147</v>
      </c>
      <c r="AS412" s="14">
        <f t="shared" si="763"/>
        <v>2147</v>
      </c>
      <c r="AT412" s="14">
        <f>INDEX(属性投放!$DG$6:$DG$85,(卡牌属性!AG412-2)*20+卡牌属性!AN412)</f>
        <v>1002</v>
      </c>
      <c r="AU412" s="14">
        <f t="shared" si="764"/>
        <v>1002</v>
      </c>
      <c r="AV412" s="14">
        <f t="shared" si="764"/>
        <v>1002</v>
      </c>
      <c r="AW412" s="14">
        <f t="shared" si="764"/>
        <v>1002</v>
      </c>
      <c r="AX412" s="14">
        <f t="shared" si="764"/>
        <v>1002</v>
      </c>
      <c r="AY412" s="14">
        <f>INDEX(属性投放!$DH$6:$DH$85,(卡牌属性!AG412-2)*20+卡牌属性!AN412)</f>
        <v>13940</v>
      </c>
      <c r="AZ412" s="14">
        <f t="shared" si="765"/>
        <v>13940</v>
      </c>
      <c r="BA412" s="14">
        <f t="shared" si="765"/>
        <v>13940</v>
      </c>
      <c r="BB412" s="14">
        <f t="shared" si="765"/>
        <v>13940</v>
      </c>
      <c r="BC412" s="14">
        <f t="shared" si="765"/>
        <v>13940</v>
      </c>
      <c r="BD412" s="14">
        <f>INDEX(属性投放!$DL$6:$DL$85,(卡牌属性!AG412-2)*20+卡牌属性!AN412)</f>
        <v>58</v>
      </c>
      <c r="BE412" s="14">
        <f t="shared" si="766"/>
        <v>58</v>
      </c>
      <c r="BF412" s="14">
        <f t="shared" si="766"/>
        <v>58</v>
      </c>
      <c r="BG412" s="14">
        <f t="shared" si="766"/>
        <v>58</v>
      </c>
      <c r="BH412" s="14">
        <f t="shared" si="766"/>
        <v>58</v>
      </c>
      <c r="BI412" s="14">
        <f>INDEX(属性投放!$DM$6:$DM$85,(卡牌属性!AG412-2)*20+卡牌属性!AN412)</f>
        <v>29</v>
      </c>
      <c r="BJ412" s="14">
        <f t="shared" si="767"/>
        <v>29</v>
      </c>
      <c r="BK412" s="14">
        <f t="shared" si="767"/>
        <v>29</v>
      </c>
      <c r="BL412" s="14">
        <f t="shared" si="767"/>
        <v>29</v>
      </c>
      <c r="BM412" s="14">
        <f t="shared" si="767"/>
        <v>29</v>
      </c>
      <c r="BN412" s="14">
        <f>INDEX(属性投放!$DN$6:$DN$85,(卡牌属性!AG412-2)*20+卡牌属性!AN412)</f>
        <v>461</v>
      </c>
      <c r="BO412" s="14">
        <f t="shared" si="768"/>
        <v>461</v>
      </c>
      <c r="BP412" s="14">
        <f t="shared" si="768"/>
        <v>461</v>
      </c>
      <c r="BQ412" s="14">
        <f t="shared" si="768"/>
        <v>461</v>
      </c>
      <c r="BR412" s="14">
        <f t="shared" si="768"/>
        <v>461</v>
      </c>
      <c r="BW412" s="13">
        <v>408</v>
      </c>
      <c r="BX412" s="13">
        <f t="shared" si="744"/>
        <v>21</v>
      </c>
      <c r="BY412" s="14">
        <f t="shared" si="745"/>
        <v>3</v>
      </c>
      <c r="BZ412" s="14">
        <f t="shared" si="754"/>
        <v>1102021</v>
      </c>
      <c r="CA412" s="14" t="str">
        <f t="shared" si="755"/>
        <v>烈风螳螂8突</v>
      </c>
      <c r="CB412" s="25" t="s">
        <v>142</v>
      </c>
      <c r="CC412" s="14">
        <v>2</v>
      </c>
      <c r="CD412" s="14">
        <f t="shared" si="746"/>
        <v>8</v>
      </c>
      <c r="CE412" s="14" t="s">
        <v>21</v>
      </c>
      <c r="CF412" s="14">
        <f>INDEX(属性投放!$AZ$6:$AZ$85,(BY412-2)*20+CD412)</f>
        <v>1851</v>
      </c>
      <c r="CG412" s="14" t="s">
        <v>22</v>
      </c>
      <c r="CH412" s="14">
        <f>INDEX(属性投放!$BA$6:$BA$85,(BY412-2)*20+CD412)</f>
        <v>866</v>
      </c>
      <c r="CI412" s="14" t="s">
        <v>510</v>
      </c>
      <c r="CJ412" s="14">
        <f>INDEX(属性投放!$BB$6:$BB$85,(BY412-2)*20+CD412)</f>
        <v>12255</v>
      </c>
      <c r="CK412" s="14" t="s">
        <v>21</v>
      </c>
      <c r="CL412" s="14">
        <f>INDEX(属性投放!$BC$6:$BC$85,(BY412-2)*20+CD412)</f>
        <v>15</v>
      </c>
      <c r="CM412" s="14" t="s">
        <v>22</v>
      </c>
      <c r="CN412" s="14">
        <f>INDEX(属性投放!$BD$6:$BD$85,(BY412-2)*20+CD412)</f>
        <v>8</v>
      </c>
      <c r="CO412" s="14" t="s">
        <v>510</v>
      </c>
      <c r="CP412" s="14">
        <f>INDEX(属性投放!$BE$6:$BE$85,(BY412-2)*20+CD412)</f>
        <v>120</v>
      </c>
      <c r="CS412" s="13">
        <v>408</v>
      </c>
      <c r="CT412" s="13">
        <f t="shared" si="756"/>
        <v>8</v>
      </c>
      <c r="CU412" s="13">
        <f t="shared" si="757"/>
        <v>44</v>
      </c>
      <c r="CV412" s="14">
        <f t="shared" si="758"/>
        <v>4</v>
      </c>
      <c r="CW412" s="14">
        <f t="shared" si="759"/>
        <v>1102008</v>
      </c>
      <c r="CX412" s="14" t="str">
        <f>INDEX($O$6:$O$50,CT412)&amp;"-"&amp;INDEX(属性投放!$AB$7:$AB$50,CZ412)&amp;"-魂火-"&amp;DB412</f>
        <v>夏侯渊-大焦热+2-魂火-2</v>
      </c>
      <c r="CY412" s="25" t="s">
        <v>142</v>
      </c>
      <c r="CZ412" s="14">
        <f>INDEX(属性投放!$AM$7:$AM$58,CU412)</f>
        <v>18</v>
      </c>
      <c r="DA412" s="14" t="s">
        <v>537</v>
      </c>
      <c r="DB412" s="14">
        <f>INDEX(属性投放!$AN$7:$AN$58,CU412)</f>
        <v>2</v>
      </c>
      <c r="DC412" s="14">
        <f t="shared" si="747"/>
        <v>44</v>
      </c>
      <c r="DD412" s="14">
        <f>INDEX(属性投放!$AO$7:$AO$58,DC412)</f>
        <v>128</v>
      </c>
      <c r="DE412" s="14" t="s">
        <v>538</v>
      </c>
      <c r="DF412" s="14">
        <f>INDEX(属性投放!$BK$6:$BK$85,(CV412-2)*20+CZ412)</f>
        <v>750</v>
      </c>
      <c r="DG412" s="14">
        <f>SUMIFS(DF$5:DF412,$CT$5:$CT412,"="&amp;$CT412)</f>
        <v>10885</v>
      </c>
      <c r="DH412" s="14" t="s">
        <v>539</v>
      </c>
      <c r="DI412" s="14">
        <f>INDEX(属性投放!$BL$6:$BL$85,(CV412-2)*20+CZ412)</f>
        <v>375</v>
      </c>
      <c r="DJ412" s="14">
        <f>SUMIFS(DI$5:DI412,$CT$5:$CT412,"="&amp;$CT412)</f>
        <v>5452</v>
      </c>
      <c r="DK412" s="14" t="s">
        <v>540</v>
      </c>
      <c r="DL412" s="14">
        <f>INDEX(属性投放!$BM$6:$BM$85,(CV412-2)*20+CZ412)</f>
        <v>7500</v>
      </c>
      <c r="DM412" s="14">
        <f>SUMIFS(DL$5:DL412,$CT$5:$CT412,"="&amp;$CT412)</f>
        <v>104285</v>
      </c>
      <c r="DR412" s="14">
        <f t="shared" si="748"/>
        <v>1102021</v>
      </c>
      <c r="DS412" s="14" t="str">
        <f t="shared" si="749"/>
        <v>烈风螳螂8突</v>
      </c>
      <c r="DT412" s="14">
        <f t="shared" si="760"/>
        <v>7</v>
      </c>
      <c r="DU412" s="14">
        <f t="shared" si="761"/>
        <v>5</v>
      </c>
      <c r="DV412" s="14">
        <f t="shared" si="762"/>
        <v>3</v>
      </c>
      <c r="DW412" s="14">
        <f t="shared" si="750"/>
        <v>3</v>
      </c>
      <c r="DX412" s="14">
        <f t="shared" si="751"/>
        <v>8</v>
      </c>
      <c r="DY412" s="14">
        <f t="shared" si="752"/>
        <v>28</v>
      </c>
      <c r="DZ412" s="14">
        <f>INDEX(属性投放!$AX$6:$AX$85,(卡牌属性!DW412-2)*20+卡牌属性!DX412)</f>
        <v>5</v>
      </c>
      <c r="EA412" s="14">
        <f>INDEX(属性投放!BQ$6:BQ$85,卡牌属性!$DY412)</f>
        <v>125</v>
      </c>
      <c r="EB412" s="14">
        <f>INDEX(属性投放!BR$6:BR$85,卡牌属性!$DY412)</f>
        <v>63</v>
      </c>
      <c r="EC412" s="14">
        <f>INDEX(属性投放!BS$6:BS$85,卡牌属性!$DY412)</f>
        <v>1000</v>
      </c>
      <c r="ED412" s="14">
        <f t="shared" si="769"/>
        <v>1703</v>
      </c>
      <c r="EE412" s="14">
        <f t="shared" si="770"/>
        <v>1856</v>
      </c>
      <c r="EF412" s="14">
        <f t="shared" si="771"/>
        <v>2050</v>
      </c>
      <c r="EG412" s="14">
        <f t="shared" si="772"/>
        <v>2050</v>
      </c>
      <c r="EH412" s="14">
        <f t="shared" si="773"/>
        <v>2380</v>
      </c>
      <c r="EI412" s="14">
        <f t="shared" si="774"/>
        <v>614</v>
      </c>
      <c r="EJ412" s="14">
        <f t="shared" si="775"/>
        <v>670</v>
      </c>
      <c r="EK412" s="14">
        <f t="shared" si="776"/>
        <v>670</v>
      </c>
      <c r="EL412" s="14">
        <f t="shared" si="777"/>
        <v>815</v>
      </c>
      <c r="EM412" s="14">
        <f t="shared" si="778"/>
        <v>891</v>
      </c>
      <c r="EN412" s="14">
        <f t="shared" si="779"/>
        <v>6897</v>
      </c>
      <c r="EO412" s="14">
        <f t="shared" si="780"/>
        <v>7649</v>
      </c>
      <c r="EP412" s="14">
        <f t="shared" si="781"/>
        <v>7649</v>
      </c>
      <c r="EQ412" s="14">
        <f t="shared" si="782"/>
        <v>8465</v>
      </c>
      <c r="ER412" s="14">
        <f t="shared" si="783"/>
        <v>9097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80</v>
      </c>
      <c r="FD412" s="14">
        <f>INDEX(属性偏向!$U$4:$U$243,(卡牌属性!$DV412-1+FD$3)*20+卡牌属性!$DX412)</f>
        <v>96</v>
      </c>
      <c r="FE412" s="14">
        <f>INDEX(属性偏向!$U$4:$U$243,(卡牌属性!$DV412-1+FE$3)*20+卡牌属性!$DX412)</f>
        <v>96</v>
      </c>
      <c r="FF412" s="14">
        <f>INDEX(属性偏向!$U$4:$U$243,(卡牌属性!$DV412-1+FF$3)*20+卡牌属性!$DX412)</f>
        <v>120</v>
      </c>
      <c r="FG412" s="14">
        <f>INDEX(属性偏向!$U$4:$U$243,(卡牌属性!$DV412-1+FG$3)*20+卡牌属性!$DX412)</f>
        <v>128</v>
      </c>
      <c r="FH412" s="14">
        <f>INDEX(属性投放!$BQ$6:$BQ$85,(卡牌属性!$DW412-2)*20+卡牌属性!$DX412)</f>
        <v>125</v>
      </c>
      <c r="FI412" s="14">
        <f>INDEX(属性投放!$BQ$6:$BQ$85,(卡牌属性!$DW412-2)*20+卡牌属性!$DX412)</f>
        <v>125</v>
      </c>
      <c r="FJ412" s="14">
        <f>INDEX(属性投放!$BQ$6:$BQ$85,(卡牌属性!$DW412-2)*20+卡牌属性!$DX412)</f>
        <v>125</v>
      </c>
      <c r="FK412" s="14">
        <f>INDEX(属性投放!$BQ$6:$BQ$85,(卡牌属性!$DW412-2)*20+卡牌属性!$DX412)</f>
        <v>125</v>
      </c>
      <c r="FL412" s="14">
        <f>INDEX(属性投放!$BQ$6:$BQ$85,(卡牌属性!$DW412-2)*20+卡牌属性!$DX412)</f>
        <v>125</v>
      </c>
      <c r="FM412" s="14">
        <f>INDEX(属性投放!$BR$6:$BR$85,(卡牌属性!$DW412-2)*20+卡牌属性!$DX412)</f>
        <v>63</v>
      </c>
      <c r="FN412" s="14">
        <f>INDEX(属性投放!$BR$6:$BR$85,(卡牌属性!$DW412-2)*20+卡牌属性!$DX412)</f>
        <v>63</v>
      </c>
      <c r="FO412" s="14">
        <f>INDEX(属性投放!$BR$6:$BR$85,(卡牌属性!$DW412-2)*20+卡牌属性!$DX412)</f>
        <v>63</v>
      </c>
      <c r="FP412" s="14">
        <f>INDEX(属性投放!$BR$6:$BR$85,(卡牌属性!$DW412-2)*20+卡牌属性!$DX412)</f>
        <v>63</v>
      </c>
      <c r="FQ412" s="14">
        <f>INDEX(属性投放!$BR$6:$BR$85,(卡牌属性!$DW412-2)*20+卡牌属性!$DX412)</f>
        <v>63</v>
      </c>
      <c r="FR412" s="14">
        <f>INDEX(属性投放!$BS$6:$BS$85,(卡牌属性!$DW412-2)*20+卡牌属性!$DX412)</f>
        <v>1000</v>
      </c>
      <c r="FS412" s="14">
        <f>INDEX(属性投放!$BS$6:$BS$85,(卡牌属性!$DW412-2)*20+卡牌属性!$DX412)</f>
        <v>1000</v>
      </c>
      <c r="FT412" s="14">
        <f>INDEX(属性投放!$BS$6:$BS$85,(卡牌属性!$DW412-2)*20+卡牌属性!$DX412)</f>
        <v>1000</v>
      </c>
      <c r="FU412" s="14">
        <f>INDEX(属性投放!$BS$6:$BS$85,(卡牌属性!$DW412-2)*20+卡牌属性!$DX412)</f>
        <v>1000</v>
      </c>
      <c r="FV412" s="14">
        <f>INDEX(属性投放!$BS$6:$BS$85,(卡牌属性!$DW412-2)*20+卡牌属性!$DX412)</f>
        <v>1000</v>
      </c>
    </row>
    <row r="413" spans="31:178" ht="16.5" x14ac:dyDescent="0.2">
      <c r="AE413" s="13">
        <v>409</v>
      </c>
      <c r="AF413" s="13">
        <f t="shared" si="753"/>
        <v>21</v>
      </c>
      <c r="AG413" s="13">
        <f t="shared" si="740"/>
        <v>4</v>
      </c>
      <c r="AH413" s="13"/>
      <c r="AI413" s="13"/>
      <c r="AJ413" s="14">
        <f t="shared" si="741"/>
        <v>1101026</v>
      </c>
      <c r="AK413" s="14" t="str">
        <f t="shared" si="742"/>
        <v>貂灵芸9突</v>
      </c>
      <c r="AL413" s="25" t="s">
        <v>142</v>
      </c>
      <c r="AM413" s="14">
        <v>1</v>
      </c>
      <c r="AN413" s="14">
        <f t="shared" si="743"/>
        <v>9</v>
      </c>
      <c r="AO413" s="14">
        <f>INDEX(属性投放!$DF$6:$DF$85,(卡牌属性!AG413-2)*20+卡牌属性!AN413)</f>
        <v>2312</v>
      </c>
      <c r="AP413" s="14">
        <f t="shared" si="763"/>
        <v>2312</v>
      </c>
      <c r="AQ413" s="14">
        <f t="shared" si="763"/>
        <v>2312</v>
      </c>
      <c r="AR413" s="14">
        <f t="shared" si="763"/>
        <v>2312</v>
      </c>
      <c r="AS413" s="14">
        <f t="shared" si="763"/>
        <v>2312</v>
      </c>
      <c r="AT413" s="14">
        <f>INDEX(属性投放!$DG$6:$DG$85,(卡牌属性!AG413-2)*20+卡牌属性!AN413)</f>
        <v>1085</v>
      </c>
      <c r="AU413" s="14">
        <f t="shared" si="764"/>
        <v>1085</v>
      </c>
      <c r="AV413" s="14">
        <f t="shared" si="764"/>
        <v>1085</v>
      </c>
      <c r="AW413" s="14">
        <f t="shared" si="764"/>
        <v>1085</v>
      </c>
      <c r="AX413" s="14">
        <f t="shared" si="764"/>
        <v>1085</v>
      </c>
      <c r="AY413" s="14">
        <f>INDEX(属性投放!$DH$6:$DH$85,(卡牌属性!AG413-2)*20+卡牌属性!AN413)</f>
        <v>15256</v>
      </c>
      <c r="AZ413" s="14">
        <f t="shared" si="765"/>
        <v>15256</v>
      </c>
      <c r="BA413" s="14">
        <f t="shared" si="765"/>
        <v>15256</v>
      </c>
      <c r="BB413" s="14">
        <f t="shared" si="765"/>
        <v>15256</v>
      </c>
      <c r="BC413" s="14">
        <f t="shared" si="765"/>
        <v>15256</v>
      </c>
      <c r="BD413" s="14">
        <f>INDEX(属性投放!$DL$6:$DL$85,(卡牌属性!AG413-2)*20+卡牌属性!AN413)</f>
        <v>58</v>
      </c>
      <c r="BE413" s="14">
        <f t="shared" si="766"/>
        <v>58</v>
      </c>
      <c r="BF413" s="14">
        <f t="shared" si="766"/>
        <v>58</v>
      </c>
      <c r="BG413" s="14">
        <f t="shared" si="766"/>
        <v>58</v>
      </c>
      <c r="BH413" s="14">
        <f t="shared" si="766"/>
        <v>58</v>
      </c>
      <c r="BI413" s="14">
        <f>INDEX(属性投放!$DM$6:$DM$85,(卡牌属性!AG413-2)*20+卡牌属性!AN413)</f>
        <v>29</v>
      </c>
      <c r="BJ413" s="14">
        <f t="shared" si="767"/>
        <v>29</v>
      </c>
      <c r="BK413" s="14">
        <f t="shared" si="767"/>
        <v>29</v>
      </c>
      <c r="BL413" s="14">
        <f t="shared" si="767"/>
        <v>29</v>
      </c>
      <c r="BM413" s="14">
        <f t="shared" si="767"/>
        <v>29</v>
      </c>
      <c r="BN413" s="14">
        <f>INDEX(属性投放!$DN$6:$DN$85,(卡牌属性!AG413-2)*20+卡牌属性!AN413)</f>
        <v>461</v>
      </c>
      <c r="BO413" s="14">
        <f t="shared" si="768"/>
        <v>461</v>
      </c>
      <c r="BP413" s="14">
        <f t="shared" si="768"/>
        <v>461</v>
      </c>
      <c r="BQ413" s="14">
        <f t="shared" si="768"/>
        <v>461</v>
      </c>
      <c r="BR413" s="14">
        <f t="shared" si="768"/>
        <v>461</v>
      </c>
      <c r="BW413" s="13">
        <v>409</v>
      </c>
      <c r="BX413" s="13">
        <f t="shared" si="744"/>
        <v>21</v>
      </c>
      <c r="BY413" s="14">
        <f t="shared" si="745"/>
        <v>3</v>
      </c>
      <c r="BZ413" s="14">
        <f t="shared" si="754"/>
        <v>1102021</v>
      </c>
      <c r="CA413" s="14" t="str">
        <f t="shared" si="755"/>
        <v>烈风螳螂9突</v>
      </c>
      <c r="CB413" s="25" t="s">
        <v>142</v>
      </c>
      <c r="CC413" s="14">
        <v>2</v>
      </c>
      <c r="CD413" s="14">
        <f t="shared" si="746"/>
        <v>9</v>
      </c>
      <c r="CE413" s="14" t="s">
        <v>21</v>
      </c>
      <c r="CF413" s="14">
        <f>INDEX(属性投放!$AZ$6:$AZ$85,(BY413-2)*20+CD413)</f>
        <v>2221</v>
      </c>
      <c r="CG413" s="14" t="s">
        <v>22</v>
      </c>
      <c r="CH413" s="14">
        <f>INDEX(属性投放!$BA$6:$BA$85,(BY413-2)*20+CD413)</f>
        <v>1055</v>
      </c>
      <c r="CI413" s="14" t="s">
        <v>510</v>
      </c>
      <c r="CJ413" s="14">
        <f>INDEX(属性投放!$BB$6:$BB$85,(BY413-2)*20+CD413)</f>
        <v>15215</v>
      </c>
      <c r="CK413" s="14" t="s">
        <v>21</v>
      </c>
      <c r="CL413" s="14">
        <f>INDEX(属性投放!$BC$6:$BC$85,(BY413-2)*20+CD413)</f>
        <v>15</v>
      </c>
      <c r="CM413" s="14" t="s">
        <v>22</v>
      </c>
      <c r="CN413" s="14">
        <f>INDEX(属性投放!$BD$6:$BD$85,(BY413-2)*20+CD413)</f>
        <v>8</v>
      </c>
      <c r="CO413" s="14" t="s">
        <v>510</v>
      </c>
      <c r="CP413" s="14">
        <f>INDEX(属性投放!$BE$6:$BE$85,(BY413-2)*20+CD413)</f>
        <v>120</v>
      </c>
      <c r="CS413" s="13">
        <v>409</v>
      </c>
      <c r="CT413" s="13">
        <f t="shared" si="756"/>
        <v>8</v>
      </c>
      <c r="CU413" s="13">
        <f t="shared" si="757"/>
        <v>45</v>
      </c>
      <c r="CV413" s="14">
        <f t="shared" si="758"/>
        <v>4</v>
      </c>
      <c r="CW413" s="14">
        <f t="shared" si="759"/>
        <v>1102008</v>
      </c>
      <c r="CX413" s="14" t="str">
        <f>INDEX($O$6:$O$50,CT413)&amp;"-"&amp;INDEX(属性投放!$AB$7:$AB$50,CZ413)&amp;"-魂火-"&amp;DB413</f>
        <v>夏侯渊-大焦热+2-魂火-3</v>
      </c>
      <c r="CY413" s="25" t="s">
        <v>142</v>
      </c>
      <c r="CZ413" s="14">
        <f>INDEX(属性投放!$AM$7:$AM$58,CU413)</f>
        <v>18</v>
      </c>
      <c r="DA413" s="14" t="s">
        <v>537</v>
      </c>
      <c r="DB413" s="14">
        <f>INDEX(属性投放!$AN$7:$AN$58,CU413)</f>
        <v>3</v>
      </c>
      <c r="DC413" s="14">
        <f t="shared" si="747"/>
        <v>45</v>
      </c>
      <c r="DD413" s="14">
        <f>INDEX(属性投放!$AO$7:$AO$58,DC413)</f>
        <v>130</v>
      </c>
      <c r="DE413" s="14" t="s">
        <v>538</v>
      </c>
      <c r="DF413" s="14">
        <f>INDEX(属性投放!$BK$6:$BK$85,(CV413-2)*20+CZ413)</f>
        <v>750</v>
      </c>
      <c r="DG413" s="14">
        <f>SUMIFS(DF$5:DF413,$CT$5:$CT413,"="&amp;$CT413)</f>
        <v>11635</v>
      </c>
      <c r="DH413" s="14" t="s">
        <v>539</v>
      </c>
      <c r="DI413" s="14">
        <f>INDEX(属性投放!$BL$6:$BL$85,(CV413-2)*20+CZ413)</f>
        <v>375</v>
      </c>
      <c r="DJ413" s="14">
        <f>SUMIFS(DI$5:DI413,$CT$5:$CT413,"="&amp;$CT413)</f>
        <v>5827</v>
      </c>
      <c r="DK413" s="14" t="s">
        <v>540</v>
      </c>
      <c r="DL413" s="14">
        <f>INDEX(属性投放!$BM$6:$BM$85,(CV413-2)*20+CZ413)</f>
        <v>7500</v>
      </c>
      <c r="DM413" s="14">
        <f>SUMIFS(DL$5:DL413,$CT$5:$CT413,"="&amp;$CT413)</f>
        <v>111785</v>
      </c>
      <c r="DR413" s="14">
        <f t="shared" si="748"/>
        <v>1102021</v>
      </c>
      <c r="DS413" s="14" t="str">
        <f t="shared" si="749"/>
        <v>烈风螳螂9突</v>
      </c>
      <c r="DT413" s="14">
        <f t="shared" si="760"/>
        <v>7</v>
      </c>
      <c r="DU413" s="14">
        <f t="shared" si="761"/>
        <v>5</v>
      </c>
      <c r="DV413" s="14">
        <f t="shared" si="762"/>
        <v>3</v>
      </c>
      <c r="DW413" s="14">
        <f t="shared" si="750"/>
        <v>3</v>
      </c>
      <c r="DX413" s="14">
        <f t="shared" si="751"/>
        <v>9</v>
      </c>
      <c r="DY413" s="14">
        <f t="shared" si="752"/>
        <v>29</v>
      </c>
      <c r="DZ413" s="14">
        <f>INDEX(属性投放!$AX$6:$AX$85,(卡牌属性!DW413-2)*20+卡牌属性!DX413)</f>
        <v>8</v>
      </c>
      <c r="EA413" s="14">
        <f>INDEX(属性投放!BQ$6:BQ$85,卡牌属性!$DY413)</f>
        <v>185</v>
      </c>
      <c r="EB413" s="14">
        <f>INDEX(属性投放!BR$6:BR$85,卡牌属性!$DY413)</f>
        <v>93</v>
      </c>
      <c r="EC413" s="14">
        <f>INDEX(属性投放!BS$6:BS$85,卡牌属性!$DY413)</f>
        <v>1480</v>
      </c>
      <c r="ED413" s="14">
        <f t="shared" si="769"/>
        <v>1953</v>
      </c>
      <c r="EE413" s="14">
        <f t="shared" si="770"/>
        <v>2121</v>
      </c>
      <c r="EF413" s="14">
        <f t="shared" si="771"/>
        <v>2325</v>
      </c>
      <c r="EG413" s="14">
        <f t="shared" si="772"/>
        <v>2325</v>
      </c>
      <c r="EH413" s="14">
        <f t="shared" si="773"/>
        <v>2705</v>
      </c>
      <c r="EI413" s="14">
        <f t="shared" si="774"/>
        <v>717</v>
      </c>
      <c r="EJ413" s="14">
        <f t="shared" si="775"/>
        <v>773</v>
      </c>
      <c r="EK413" s="14">
        <f t="shared" si="776"/>
        <v>773</v>
      </c>
      <c r="EL413" s="14">
        <f t="shared" si="777"/>
        <v>943</v>
      </c>
      <c r="EM413" s="14">
        <f t="shared" si="778"/>
        <v>1024</v>
      </c>
      <c r="EN413" s="14">
        <f t="shared" si="779"/>
        <v>8297</v>
      </c>
      <c r="EO413" s="14">
        <f t="shared" si="780"/>
        <v>9129</v>
      </c>
      <c r="EP413" s="14">
        <f t="shared" si="781"/>
        <v>9129</v>
      </c>
      <c r="EQ413" s="14">
        <f t="shared" si="782"/>
        <v>10065</v>
      </c>
      <c r="ER413" s="14">
        <f t="shared" si="783"/>
        <v>10737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80</v>
      </c>
      <c r="FD413" s="14">
        <f>INDEX(属性偏向!$U$4:$U$243,(卡牌属性!$DV413-1+FD$3)*20+卡牌属性!$DX413)</f>
        <v>96</v>
      </c>
      <c r="FE413" s="14">
        <f>INDEX(属性偏向!$U$4:$U$243,(卡牌属性!$DV413-1+FE$3)*20+卡牌属性!$DX413)</f>
        <v>96</v>
      </c>
      <c r="FF413" s="14">
        <f>INDEX(属性偏向!$U$4:$U$243,(卡牌属性!$DV413-1+FF$3)*20+卡牌属性!$DX413)</f>
        <v>120</v>
      </c>
      <c r="FG413" s="14">
        <f>INDEX(属性偏向!$U$4:$U$243,(卡牌属性!$DV413-1+FG$3)*20+卡牌属性!$DX413)</f>
        <v>128</v>
      </c>
      <c r="FH413" s="14">
        <f>INDEX(属性投放!$BQ$6:$BQ$85,(卡牌属性!$DW413-2)*20+卡牌属性!$DX413)</f>
        <v>185</v>
      </c>
      <c r="FI413" s="14">
        <f>INDEX(属性投放!$BQ$6:$BQ$85,(卡牌属性!$DW413-2)*20+卡牌属性!$DX413)</f>
        <v>185</v>
      </c>
      <c r="FJ413" s="14">
        <f>INDEX(属性投放!$BQ$6:$BQ$85,(卡牌属性!$DW413-2)*20+卡牌属性!$DX413)</f>
        <v>185</v>
      </c>
      <c r="FK413" s="14">
        <f>INDEX(属性投放!$BQ$6:$BQ$85,(卡牌属性!$DW413-2)*20+卡牌属性!$DX413)</f>
        <v>185</v>
      </c>
      <c r="FL413" s="14">
        <f>INDEX(属性投放!$BQ$6:$BQ$85,(卡牌属性!$DW413-2)*20+卡牌属性!$DX413)</f>
        <v>185</v>
      </c>
      <c r="FM413" s="14">
        <f>INDEX(属性投放!$BR$6:$BR$85,(卡牌属性!$DW413-2)*20+卡牌属性!$DX413)</f>
        <v>93</v>
      </c>
      <c r="FN413" s="14">
        <f>INDEX(属性投放!$BR$6:$BR$85,(卡牌属性!$DW413-2)*20+卡牌属性!$DX413)</f>
        <v>93</v>
      </c>
      <c r="FO413" s="14">
        <f>INDEX(属性投放!$BR$6:$BR$85,(卡牌属性!$DW413-2)*20+卡牌属性!$DX413)</f>
        <v>93</v>
      </c>
      <c r="FP413" s="14">
        <f>INDEX(属性投放!$BR$6:$BR$85,(卡牌属性!$DW413-2)*20+卡牌属性!$DX413)</f>
        <v>93</v>
      </c>
      <c r="FQ413" s="14">
        <f>INDEX(属性投放!$BR$6:$BR$85,(卡牌属性!$DW413-2)*20+卡牌属性!$DX413)</f>
        <v>93</v>
      </c>
      <c r="FR413" s="14">
        <f>INDEX(属性投放!$BS$6:$BS$85,(卡牌属性!$DW413-2)*20+卡牌属性!$DX413)</f>
        <v>1480</v>
      </c>
      <c r="FS413" s="14">
        <f>INDEX(属性投放!$BS$6:$BS$85,(卡牌属性!$DW413-2)*20+卡牌属性!$DX413)</f>
        <v>1480</v>
      </c>
      <c r="FT413" s="14">
        <f>INDEX(属性投放!$BS$6:$BS$85,(卡牌属性!$DW413-2)*20+卡牌属性!$DX413)</f>
        <v>1480</v>
      </c>
      <c r="FU413" s="14">
        <f>INDEX(属性投放!$BS$6:$BS$85,(卡牌属性!$DW413-2)*20+卡牌属性!$DX413)</f>
        <v>1480</v>
      </c>
      <c r="FV413" s="14">
        <f>INDEX(属性投放!$BS$6:$BS$85,(卡牌属性!$DW413-2)*20+卡牌属性!$DX413)</f>
        <v>1480</v>
      </c>
    </row>
    <row r="414" spans="31:178" ht="16.5" x14ac:dyDescent="0.2">
      <c r="AE414" s="13">
        <v>410</v>
      </c>
      <c r="AF414" s="13">
        <f t="shared" si="753"/>
        <v>21</v>
      </c>
      <c r="AG414" s="13">
        <f t="shared" si="740"/>
        <v>4</v>
      </c>
      <c r="AH414" s="13"/>
      <c r="AI414" s="13"/>
      <c r="AJ414" s="14">
        <f t="shared" si="741"/>
        <v>1101026</v>
      </c>
      <c r="AK414" s="14" t="str">
        <f t="shared" si="742"/>
        <v>貂灵芸10突</v>
      </c>
      <c r="AL414" s="25" t="s">
        <v>142</v>
      </c>
      <c r="AM414" s="14">
        <v>1</v>
      </c>
      <c r="AN414" s="14">
        <f t="shared" si="743"/>
        <v>10</v>
      </c>
      <c r="AO414" s="14">
        <f>INDEX(属性投放!$DF$6:$DF$85,(卡牌属性!AG414-2)*20+卡牌属性!AN414)</f>
        <v>3347</v>
      </c>
      <c r="AP414" s="14">
        <f t="shared" si="763"/>
        <v>3347</v>
      </c>
      <c r="AQ414" s="14">
        <f t="shared" si="763"/>
        <v>3347</v>
      </c>
      <c r="AR414" s="14">
        <f t="shared" si="763"/>
        <v>3347</v>
      </c>
      <c r="AS414" s="14">
        <f t="shared" si="763"/>
        <v>3347</v>
      </c>
      <c r="AT414" s="14">
        <f>INDEX(属性投放!$DG$6:$DG$85,(卡牌属性!AG414-2)*20+卡牌属性!AN414)</f>
        <v>1603</v>
      </c>
      <c r="AU414" s="14">
        <f t="shared" si="764"/>
        <v>1603</v>
      </c>
      <c r="AV414" s="14">
        <f t="shared" si="764"/>
        <v>1603</v>
      </c>
      <c r="AW414" s="14">
        <f t="shared" si="764"/>
        <v>1603</v>
      </c>
      <c r="AX414" s="14">
        <f t="shared" si="764"/>
        <v>1603</v>
      </c>
      <c r="AY414" s="14">
        <f>INDEX(属性投放!$DH$6:$DH$85,(卡牌属性!AG414-2)*20+卡牌属性!AN414)</f>
        <v>23487</v>
      </c>
      <c r="AZ414" s="14">
        <f t="shared" si="765"/>
        <v>23487</v>
      </c>
      <c r="BA414" s="14">
        <f t="shared" si="765"/>
        <v>23487</v>
      </c>
      <c r="BB414" s="14">
        <f t="shared" si="765"/>
        <v>23487</v>
      </c>
      <c r="BC414" s="14">
        <f t="shared" si="765"/>
        <v>23487</v>
      </c>
      <c r="BD414" s="14">
        <f>INDEX(属性投放!$DL$6:$DL$85,(卡牌属性!AG414-2)*20+卡牌属性!AN414)</f>
        <v>110</v>
      </c>
      <c r="BE414" s="14">
        <f t="shared" si="766"/>
        <v>110</v>
      </c>
      <c r="BF414" s="14">
        <f t="shared" si="766"/>
        <v>110</v>
      </c>
      <c r="BG414" s="14">
        <f t="shared" si="766"/>
        <v>110</v>
      </c>
      <c r="BH414" s="14">
        <f t="shared" si="766"/>
        <v>110</v>
      </c>
      <c r="BI414" s="14">
        <f>INDEX(属性投放!$DM$6:$DM$85,(卡牌属性!AG414-2)*20+卡牌属性!AN414)</f>
        <v>55</v>
      </c>
      <c r="BJ414" s="14">
        <f t="shared" si="767"/>
        <v>55</v>
      </c>
      <c r="BK414" s="14">
        <f t="shared" si="767"/>
        <v>55</v>
      </c>
      <c r="BL414" s="14">
        <f t="shared" si="767"/>
        <v>55</v>
      </c>
      <c r="BM414" s="14">
        <f t="shared" si="767"/>
        <v>55</v>
      </c>
      <c r="BN414" s="14">
        <f>INDEX(属性投放!$DN$6:$DN$85,(卡牌属性!AG414-2)*20+卡牌属性!AN414)</f>
        <v>988</v>
      </c>
      <c r="BO414" s="14">
        <f t="shared" si="768"/>
        <v>988</v>
      </c>
      <c r="BP414" s="14">
        <f t="shared" si="768"/>
        <v>988</v>
      </c>
      <c r="BQ414" s="14">
        <f t="shared" si="768"/>
        <v>988</v>
      </c>
      <c r="BR414" s="14">
        <f t="shared" si="768"/>
        <v>988</v>
      </c>
      <c r="BW414" s="13">
        <v>410</v>
      </c>
      <c r="BX414" s="13">
        <f t="shared" si="744"/>
        <v>21</v>
      </c>
      <c r="BY414" s="14">
        <f t="shared" si="745"/>
        <v>3</v>
      </c>
      <c r="BZ414" s="14">
        <f t="shared" si="754"/>
        <v>1102021</v>
      </c>
      <c r="CA414" s="14" t="str">
        <f t="shared" si="755"/>
        <v>烈风螳螂10突</v>
      </c>
      <c r="CB414" s="25" t="s">
        <v>142</v>
      </c>
      <c r="CC414" s="14">
        <v>2</v>
      </c>
      <c r="CD414" s="14">
        <f t="shared" si="746"/>
        <v>10</v>
      </c>
      <c r="CE414" s="14" t="s">
        <v>21</v>
      </c>
      <c r="CF414" s="14">
        <f>INDEX(属性投放!$AZ$6:$AZ$85,(BY414-2)*20+CD414)</f>
        <v>2826</v>
      </c>
      <c r="CG414" s="14" t="s">
        <v>22</v>
      </c>
      <c r="CH414" s="14">
        <f>INDEX(属性投放!$BA$6:$BA$85,(BY414-2)*20+CD414)</f>
        <v>1362</v>
      </c>
      <c r="CI414" s="14" t="s">
        <v>510</v>
      </c>
      <c r="CJ414" s="14">
        <f>INDEX(属性投放!$BB$6:$BB$85,(BY414-2)*20+CD414)</f>
        <v>20055</v>
      </c>
      <c r="CK414" s="14" t="s">
        <v>21</v>
      </c>
      <c r="CL414" s="14">
        <f>INDEX(属性投放!$BC$6:$BC$85,(BY414-2)*20+CD414)</f>
        <v>20</v>
      </c>
      <c r="CM414" s="14" t="s">
        <v>22</v>
      </c>
      <c r="CN414" s="14">
        <f>INDEX(属性投放!$BD$6:$BD$85,(BY414-2)*20+CD414)</f>
        <v>10</v>
      </c>
      <c r="CO414" s="14" t="s">
        <v>510</v>
      </c>
      <c r="CP414" s="14">
        <f>INDEX(属性投放!$BE$6:$BE$85,(BY414-2)*20+CD414)</f>
        <v>180</v>
      </c>
      <c r="CS414" s="13">
        <v>410</v>
      </c>
      <c r="CT414" s="13">
        <f t="shared" si="756"/>
        <v>8</v>
      </c>
      <c r="CU414" s="13">
        <f t="shared" si="757"/>
        <v>46</v>
      </c>
      <c r="CV414" s="14">
        <f t="shared" si="758"/>
        <v>4</v>
      </c>
      <c r="CW414" s="14">
        <f t="shared" si="759"/>
        <v>1102008</v>
      </c>
      <c r="CX414" s="14" t="str">
        <f>INDEX($O$6:$O$50,CT414)&amp;"-"&amp;INDEX(属性投放!$AB$7:$AB$50,CZ414)&amp;"-魂火-"&amp;DB414</f>
        <v>夏侯渊-无间-魂火-1</v>
      </c>
      <c r="CY414" s="25" t="s">
        <v>142</v>
      </c>
      <c r="CZ414" s="14">
        <f>INDEX(属性投放!$AM$7:$AM$58,CU414)</f>
        <v>19</v>
      </c>
      <c r="DA414" s="14" t="s">
        <v>537</v>
      </c>
      <c r="DB414" s="14">
        <f>INDEX(属性投放!$AN$7:$AN$58,CU414)</f>
        <v>1</v>
      </c>
      <c r="DC414" s="14">
        <f t="shared" si="747"/>
        <v>46</v>
      </c>
      <c r="DD414" s="14">
        <f>INDEX(属性投放!$AO$7:$AO$58,DC414)</f>
        <v>133</v>
      </c>
      <c r="DE414" s="14" t="s">
        <v>538</v>
      </c>
      <c r="DF414" s="14">
        <f>INDEX(属性投放!$BK$6:$BK$85,(CV414-2)*20+CZ414)</f>
        <v>900</v>
      </c>
      <c r="DG414" s="14">
        <f>SUMIFS(DF$5:DF414,$CT$5:$CT414,"="&amp;$CT414)</f>
        <v>12535</v>
      </c>
      <c r="DH414" s="14" t="s">
        <v>539</v>
      </c>
      <c r="DI414" s="14">
        <f>INDEX(属性投放!$BL$6:$BL$85,(CV414-2)*20+CZ414)</f>
        <v>450</v>
      </c>
      <c r="DJ414" s="14">
        <f>SUMIFS(DI$5:DI414,$CT$5:$CT414,"="&amp;$CT414)</f>
        <v>6277</v>
      </c>
      <c r="DK414" s="14" t="s">
        <v>540</v>
      </c>
      <c r="DL414" s="14">
        <f>INDEX(属性投放!$BM$6:$BM$85,(CV414-2)*20+CZ414)</f>
        <v>9000</v>
      </c>
      <c r="DM414" s="14">
        <f>SUMIFS(DL$5:DL414,$CT$5:$CT414,"="&amp;$CT414)</f>
        <v>120785</v>
      </c>
      <c r="DR414" s="14">
        <f t="shared" si="748"/>
        <v>1102021</v>
      </c>
      <c r="DS414" s="14" t="str">
        <f t="shared" si="749"/>
        <v>烈风螳螂10突</v>
      </c>
      <c r="DT414" s="14">
        <f t="shared" si="760"/>
        <v>7</v>
      </c>
      <c r="DU414" s="14">
        <f t="shared" si="761"/>
        <v>5</v>
      </c>
      <c r="DV414" s="14">
        <f t="shared" si="762"/>
        <v>3</v>
      </c>
      <c r="DW414" s="14">
        <f t="shared" si="750"/>
        <v>3</v>
      </c>
      <c r="DX414" s="14">
        <f t="shared" si="751"/>
        <v>10</v>
      </c>
      <c r="DY414" s="14">
        <f t="shared" si="752"/>
        <v>30</v>
      </c>
      <c r="DZ414" s="14">
        <f>INDEX(属性投放!$AX$6:$AX$85,(卡牌属性!DW414-2)*20+卡牌属性!DX414)</f>
        <v>7</v>
      </c>
      <c r="EA414" s="14">
        <f>INDEX(属性投放!BQ$6:BQ$85,卡牌属性!$DY414)</f>
        <v>175</v>
      </c>
      <c r="EB414" s="14">
        <f>INDEX(属性投放!BR$6:BR$85,卡牌属性!$DY414)</f>
        <v>88</v>
      </c>
      <c r="EC414" s="14">
        <f>INDEX(属性投放!BS$6:BS$85,卡牌属性!$DY414)</f>
        <v>1575</v>
      </c>
      <c r="ED414" s="14">
        <f t="shared" si="769"/>
        <v>2338</v>
      </c>
      <c r="EE414" s="14">
        <f t="shared" si="770"/>
        <v>2530</v>
      </c>
      <c r="EF414" s="14">
        <f t="shared" si="771"/>
        <v>2750</v>
      </c>
      <c r="EG414" s="14">
        <f t="shared" si="772"/>
        <v>2750</v>
      </c>
      <c r="EH414" s="14">
        <f t="shared" si="773"/>
        <v>3210</v>
      </c>
      <c r="EI414" s="14">
        <f t="shared" si="774"/>
        <v>874</v>
      </c>
      <c r="EJ414" s="14">
        <f t="shared" si="775"/>
        <v>930</v>
      </c>
      <c r="EK414" s="14">
        <f t="shared" si="776"/>
        <v>930</v>
      </c>
      <c r="EL414" s="14">
        <f t="shared" si="777"/>
        <v>1140</v>
      </c>
      <c r="EM414" s="14">
        <f t="shared" si="778"/>
        <v>1229</v>
      </c>
      <c r="EN414" s="14">
        <f t="shared" si="779"/>
        <v>10417</v>
      </c>
      <c r="EO414" s="14">
        <f t="shared" si="780"/>
        <v>11377</v>
      </c>
      <c r="EP414" s="14">
        <f t="shared" si="781"/>
        <v>11377</v>
      </c>
      <c r="EQ414" s="14">
        <f t="shared" si="782"/>
        <v>12505</v>
      </c>
      <c r="ER414" s="14">
        <f t="shared" si="783"/>
        <v>13241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108</v>
      </c>
      <c r="FD414" s="14">
        <f>INDEX(属性偏向!$U$4:$U$243,(卡牌属性!$DV414-1+FD$3)*20+卡牌属性!$DX414)</f>
        <v>135</v>
      </c>
      <c r="FE414" s="14">
        <f>INDEX(属性偏向!$U$4:$U$243,(卡牌属性!$DV414-1+FE$3)*20+卡牌属性!$DX414)</f>
        <v>135</v>
      </c>
      <c r="FF414" s="14">
        <f>INDEX(属性偏向!$U$4:$U$243,(卡牌属性!$DV414-1+FF$3)*20+卡牌属性!$DX414)</f>
        <v>180</v>
      </c>
      <c r="FG414" s="14">
        <f>INDEX(属性偏向!$U$4:$U$243,(卡牌属性!$DV414-1+FG$3)*20+卡牌属性!$DX414)</f>
        <v>189</v>
      </c>
      <c r="FH414" s="14">
        <f>INDEX(属性投放!$BQ$6:$BQ$85,(卡牌属性!$DW414-2)*20+卡牌属性!$DX414)</f>
        <v>175</v>
      </c>
      <c r="FI414" s="14">
        <f>INDEX(属性投放!$BQ$6:$BQ$85,(卡牌属性!$DW414-2)*20+卡牌属性!$DX414)</f>
        <v>175</v>
      </c>
      <c r="FJ414" s="14">
        <f>INDEX(属性投放!$BQ$6:$BQ$85,(卡牌属性!$DW414-2)*20+卡牌属性!$DX414)</f>
        <v>175</v>
      </c>
      <c r="FK414" s="14">
        <f>INDEX(属性投放!$BQ$6:$BQ$85,(卡牌属性!$DW414-2)*20+卡牌属性!$DX414)</f>
        <v>175</v>
      </c>
      <c r="FL414" s="14">
        <f>INDEX(属性投放!$BQ$6:$BQ$85,(卡牌属性!$DW414-2)*20+卡牌属性!$DX414)</f>
        <v>175</v>
      </c>
      <c r="FM414" s="14">
        <f>INDEX(属性投放!$BR$6:$BR$85,(卡牌属性!$DW414-2)*20+卡牌属性!$DX414)</f>
        <v>88</v>
      </c>
      <c r="FN414" s="14">
        <f>INDEX(属性投放!$BR$6:$BR$85,(卡牌属性!$DW414-2)*20+卡牌属性!$DX414)</f>
        <v>88</v>
      </c>
      <c r="FO414" s="14">
        <f>INDEX(属性投放!$BR$6:$BR$85,(卡牌属性!$DW414-2)*20+卡牌属性!$DX414)</f>
        <v>88</v>
      </c>
      <c r="FP414" s="14">
        <f>INDEX(属性投放!$BR$6:$BR$85,(卡牌属性!$DW414-2)*20+卡牌属性!$DX414)</f>
        <v>88</v>
      </c>
      <c r="FQ414" s="14">
        <f>INDEX(属性投放!$BR$6:$BR$85,(卡牌属性!$DW414-2)*20+卡牌属性!$DX414)</f>
        <v>88</v>
      </c>
      <c r="FR414" s="14">
        <f>INDEX(属性投放!$BS$6:$BS$85,(卡牌属性!$DW414-2)*20+卡牌属性!$DX414)</f>
        <v>1575</v>
      </c>
      <c r="FS414" s="14">
        <f>INDEX(属性投放!$BS$6:$BS$85,(卡牌属性!$DW414-2)*20+卡牌属性!$DX414)</f>
        <v>1575</v>
      </c>
      <c r="FT414" s="14">
        <f>INDEX(属性投放!$BS$6:$BS$85,(卡牌属性!$DW414-2)*20+卡牌属性!$DX414)</f>
        <v>1575</v>
      </c>
      <c r="FU414" s="14">
        <f>INDEX(属性投放!$BS$6:$BS$85,(卡牌属性!$DW414-2)*20+卡牌属性!$DX414)</f>
        <v>1575</v>
      </c>
      <c r="FV414" s="14">
        <f>INDEX(属性投放!$BS$6:$BS$85,(卡牌属性!$DW414-2)*20+卡牌属性!$DX414)</f>
        <v>1575</v>
      </c>
    </row>
    <row r="415" spans="31:178" ht="16.5" x14ac:dyDescent="0.2">
      <c r="AE415" s="13">
        <v>411</v>
      </c>
      <c r="AF415" s="13">
        <f t="shared" si="753"/>
        <v>21</v>
      </c>
      <c r="AG415" s="13">
        <f t="shared" si="740"/>
        <v>4</v>
      </c>
      <c r="AH415" s="13"/>
      <c r="AI415" s="13"/>
      <c r="AJ415" s="14">
        <f t="shared" si="741"/>
        <v>1101026</v>
      </c>
      <c r="AK415" s="14" t="str">
        <f t="shared" si="742"/>
        <v>貂灵芸11突</v>
      </c>
      <c r="AL415" s="25" t="s">
        <v>142</v>
      </c>
      <c r="AM415" s="14">
        <v>1</v>
      </c>
      <c r="AN415" s="14">
        <f t="shared" si="743"/>
        <v>11</v>
      </c>
      <c r="AO415" s="14">
        <f>INDEX(属性投放!$DF$6:$DF$85,(卡牌属性!AG415-2)*20+卡牌属性!AN415)</f>
        <v>3661</v>
      </c>
      <c r="AP415" s="14">
        <f t="shared" si="763"/>
        <v>3661</v>
      </c>
      <c r="AQ415" s="14">
        <f t="shared" si="763"/>
        <v>3661</v>
      </c>
      <c r="AR415" s="14">
        <f t="shared" si="763"/>
        <v>3661</v>
      </c>
      <c r="AS415" s="14">
        <f t="shared" si="763"/>
        <v>3661</v>
      </c>
      <c r="AT415" s="14">
        <f>INDEX(属性投放!$DG$6:$DG$85,(卡牌属性!AG415-2)*20+卡牌属性!AN415)</f>
        <v>1760</v>
      </c>
      <c r="AU415" s="14">
        <f t="shared" si="764"/>
        <v>1760</v>
      </c>
      <c r="AV415" s="14">
        <f t="shared" si="764"/>
        <v>1760</v>
      </c>
      <c r="AW415" s="14">
        <f t="shared" si="764"/>
        <v>1760</v>
      </c>
      <c r="AX415" s="14">
        <f t="shared" si="764"/>
        <v>1760</v>
      </c>
      <c r="AY415" s="14">
        <f>INDEX(属性投放!$DH$6:$DH$85,(卡牌属性!AG415-2)*20+卡牌属性!AN415)</f>
        <v>26309</v>
      </c>
      <c r="AZ415" s="14">
        <f t="shared" si="765"/>
        <v>26309</v>
      </c>
      <c r="BA415" s="14">
        <f t="shared" si="765"/>
        <v>26309</v>
      </c>
      <c r="BB415" s="14">
        <f t="shared" si="765"/>
        <v>26309</v>
      </c>
      <c r="BC415" s="14">
        <f t="shared" si="765"/>
        <v>26309</v>
      </c>
      <c r="BD415" s="14">
        <f>INDEX(属性投放!$DL$6:$DL$85,(卡牌属性!AG415-2)*20+卡牌属性!AN415)</f>
        <v>110</v>
      </c>
      <c r="BE415" s="14">
        <f t="shared" si="766"/>
        <v>110</v>
      </c>
      <c r="BF415" s="14">
        <f t="shared" si="766"/>
        <v>110</v>
      </c>
      <c r="BG415" s="14">
        <f t="shared" si="766"/>
        <v>110</v>
      </c>
      <c r="BH415" s="14">
        <f t="shared" si="766"/>
        <v>110</v>
      </c>
      <c r="BI415" s="14">
        <f>INDEX(属性投放!$DM$6:$DM$85,(卡牌属性!AG415-2)*20+卡牌属性!AN415)</f>
        <v>55</v>
      </c>
      <c r="BJ415" s="14">
        <f t="shared" si="767"/>
        <v>55</v>
      </c>
      <c r="BK415" s="14">
        <f t="shared" si="767"/>
        <v>55</v>
      </c>
      <c r="BL415" s="14">
        <f t="shared" si="767"/>
        <v>55</v>
      </c>
      <c r="BM415" s="14">
        <f t="shared" si="767"/>
        <v>55</v>
      </c>
      <c r="BN415" s="14">
        <f>INDEX(属性投放!$DN$6:$DN$85,(卡牌属性!AG415-2)*20+卡牌属性!AN415)</f>
        <v>988</v>
      </c>
      <c r="BO415" s="14">
        <f t="shared" si="768"/>
        <v>988</v>
      </c>
      <c r="BP415" s="14">
        <f t="shared" si="768"/>
        <v>988</v>
      </c>
      <c r="BQ415" s="14">
        <f t="shared" si="768"/>
        <v>988</v>
      </c>
      <c r="BR415" s="14">
        <f t="shared" si="768"/>
        <v>988</v>
      </c>
      <c r="BW415" s="13">
        <v>411</v>
      </c>
      <c r="BX415" s="13">
        <f t="shared" si="744"/>
        <v>21</v>
      </c>
      <c r="BY415" s="14">
        <f t="shared" si="745"/>
        <v>3</v>
      </c>
      <c r="BZ415" s="14">
        <f t="shared" si="754"/>
        <v>1102021</v>
      </c>
      <c r="CA415" s="14" t="str">
        <f t="shared" si="755"/>
        <v>烈风螳螂11突</v>
      </c>
      <c r="CB415" s="25" t="s">
        <v>142</v>
      </c>
      <c r="CC415" s="14">
        <v>2</v>
      </c>
      <c r="CD415" s="14">
        <f t="shared" si="746"/>
        <v>11</v>
      </c>
      <c r="CE415" s="14" t="s">
        <v>21</v>
      </c>
      <c r="CF415" s="14">
        <f>INDEX(属性投放!$AZ$6:$AZ$85,(BY415-2)*20+CD415)</f>
        <v>3501</v>
      </c>
      <c r="CG415" s="14" t="s">
        <v>22</v>
      </c>
      <c r="CH415" s="14">
        <f>INDEX(属性投放!$BA$6:$BA$85,(BY415-2)*20+CD415)</f>
        <v>1700</v>
      </c>
      <c r="CI415" s="14" t="s">
        <v>510</v>
      </c>
      <c r="CJ415" s="14">
        <f>INDEX(属性投放!$BB$6:$BB$85,(BY415-2)*20+CD415)</f>
        <v>26130</v>
      </c>
      <c r="CK415" s="14" t="s">
        <v>21</v>
      </c>
      <c r="CL415" s="14">
        <f>INDEX(属性投放!$BC$6:$BC$85,(BY415-2)*20+CD415)</f>
        <v>20</v>
      </c>
      <c r="CM415" s="14" t="s">
        <v>22</v>
      </c>
      <c r="CN415" s="14">
        <f>INDEX(属性投放!$BD$6:$BD$85,(BY415-2)*20+CD415)</f>
        <v>10</v>
      </c>
      <c r="CO415" s="14" t="s">
        <v>510</v>
      </c>
      <c r="CP415" s="14">
        <f>INDEX(属性投放!$BE$6:$BE$85,(BY415-2)*20+CD415)</f>
        <v>180</v>
      </c>
      <c r="CS415" s="13">
        <v>411</v>
      </c>
      <c r="CT415" s="13">
        <f t="shared" si="756"/>
        <v>8</v>
      </c>
      <c r="CU415" s="13">
        <f t="shared" si="757"/>
        <v>47</v>
      </c>
      <c r="CV415" s="14">
        <f t="shared" si="758"/>
        <v>4</v>
      </c>
      <c r="CW415" s="14">
        <f t="shared" si="759"/>
        <v>1102008</v>
      </c>
      <c r="CX415" s="14" t="str">
        <f>INDEX($O$6:$O$50,CT415)&amp;"-"&amp;INDEX(属性投放!$AB$7:$AB$50,CZ415)&amp;"-魂火-"&amp;DB415</f>
        <v>夏侯渊-无间-魂火-2</v>
      </c>
      <c r="CY415" s="25" t="s">
        <v>142</v>
      </c>
      <c r="CZ415" s="14">
        <f>INDEX(属性投放!$AM$7:$AM$58,CU415)</f>
        <v>19</v>
      </c>
      <c r="DA415" s="14" t="s">
        <v>537</v>
      </c>
      <c r="DB415" s="14">
        <f>INDEX(属性投放!$AN$7:$AN$58,CU415)</f>
        <v>2</v>
      </c>
      <c r="DC415" s="14">
        <f t="shared" si="747"/>
        <v>47</v>
      </c>
      <c r="DD415" s="14">
        <f>INDEX(属性投放!$AO$7:$AO$58,DC415)</f>
        <v>135</v>
      </c>
      <c r="DE415" s="14" t="s">
        <v>538</v>
      </c>
      <c r="DF415" s="14">
        <f>INDEX(属性投放!$BK$6:$BK$85,(CV415-2)*20+CZ415)</f>
        <v>900</v>
      </c>
      <c r="DG415" s="14">
        <f>SUMIFS(DF$5:DF415,$CT$5:$CT415,"="&amp;$CT415)</f>
        <v>13435</v>
      </c>
      <c r="DH415" s="14" t="s">
        <v>539</v>
      </c>
      <c r="DI415" s="14">
        <f>INDEX(属性投放!$BL$6:$BL$85,(CV415-2)*20+CZ415)</f>
        <v>450</v>
      </c>
      <c r="DJ415" s="14">
        <f>SUMIFS(DI$5:DI415,$CT$5:$CT415,"="&amp;$CT415)</f>
        <v>6727</v>
      </c>
      <c r="DK415" s="14" t="s">
        <v>540</v>
      </c>
      <c r="DL415" s="14">
        <f>INDEX(属性投放!$BM$6:$BM$85,(CV415-2)*20+CZ415)</f>
        <v>9000</v>
      </c>
      <c r="DM415" s="14">
        <f>SUMIFS(DL$5:DL415,$CT$5:$CT415,"="&amp;$CT415)</f>
        <v>129785</v>
      </c>
      <c r="DR415" s="14">
        <f t="shared" si="748"/>
        <v>1102021</v>
      </c>
      <c r="DS415" s="14" t="str">
        <f t="shared" si="749"/>
        <v>烈风螳螂11突</v>
      </c>
      <c r="DT415" s="14">
        <f t="shared" si="760"/>
        <v>7</v>
      </c>
      <c r="DU415" s="14">
        <f t="shared" si="761"/>
        <v>5</v>
      </c>
      <c r="DV415" s="14">
        <f t="shared" si="762"/>
        <v>3</v>
      </c>
      <c r="DW415" s="14">
        <f t="shared" si="750"/>
        <v>3</v>
      </c>
      <c r="DX415" s="14">
        <f t="shared" si="751"/>
        <v>11</v>
      </c>
      <c r="DY415" s="14">
        <f t="shared" si="752"/>
        <v>31</v>
      </c>
      <c r="DZ415" s="14">
        <f>INDEX(属性投放!$AX$6:$AX$85,(卡牌属性!DW415-2)*20+卡牌属性!DX415)</f>
        <v>8</v>
      </c>
      <c r="EA415" s="14">
        <f>INDEX(属性投放!BQ$6:BQ$85,卡牌属性!$DY415)</f>
        <v>240</v>
      </c>
      <c r="EB415" s="14">
        <f>INDEX(属性投放!BR$6:BR$85,卡牌属性!$DY415)</f>
        <v>120</v>
      </c>
      <c r="EC415" s="14">
        <f>INDEX(属性投放!BS$6:BS$85,卡牌属性!$DY415)</f>
        <v>2160</v>
      </c>
      <c r="ED415" s="14">
        <f t="shared" si="769"/>
        <v>2723</v>
      </c>
      <c r="EE415" s="14">
        <f t="shared" si="770"/>
        <v>2950</v>
      </c>
      <c r="EF415" s="14">
        <f t="shared" si="771"/>
        <v>3205</v>
      </c>
      <c r="EG415" s="14">
        <f t="shared" si="772"/>
        <v>3205</v>
      </c>
      <c r="EH415" s="14">
        <f t="shared" si="773"/>
        <v>3735</v>
      </c>
      <c r="EI415" s="14">
        <f t="shared" si="774"/>
        <v>1032</v>
      </c>
      <c r="EJ415" s="14">
        <f t="shared" si="775"/>
        <v>1095</v>
      </c>
      <c r="EK415" s="14">
        <f t="shared" si="776"/>
        <v>1095</v>
      </c>
      <c r="EL415" s="14">
        <f t="shared" si="777"/>
        <v>1333</v>
      </c>
      <c r="EM415" s="14">
        <f t="shared" si="778"/>
        <v>1443</v>
      </c>
      <c r="EN415" s="14">
        <f t="shared" si="779"/>
        <v>12748</v>
      </c>
      <c r="EO415" s="14">
        <f t="shared" si="780"/>
        <v>13897</v>
      </c>
      <c r="EP415" s="14">
        <f t="shared" si="781"/>
        <v>13897</v>
      </c>
      <c r="EQ415" s="14">
        <f t="shared" si="782"/>
        <v>15340</v>
      </c>
      <c r="ER415" s="14">
        <f t="shared" si="783"/>
        <v>16139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108</v>
      </c>
      <c r="FD415" s="14">
        <f>INDEX(属性偏向!$U$4:$U$243,(卡牌属性!$DV415-1+FD$3)*20+卡牌属性!$DX415)</f>
        <v>135</v>
      </c>
      <c r="FE415" s="14">
        <f>INDEX(属性偏向!$U$4:$U$243,(卡牌属性!$DV415-1+FE$3)*20+卡牌属性!$DX415)</f>
        <v>135</v>
      </c>
      <c r="FF415" s="14">
        <f>INDEX(属性偏向!$U$4:$U$243,(卡牌属性!$DV415-1+FF$3)*20+卡牌属性!$DX415)</f>
        <v>180</v>
      </c>
      <c r="FG415" s="14">
        <f>INDEX(属性偏向!$U$4:$U$243,(卡牌属性!$DV415-1+FG$3)*20+卡牌属性!$DX415)</f>
        <v>189</v>
      </c>
      <c r="FH415" s="14">
        <f>INDEX(属性投放!$BQ$6:$BQ$85,(卡牌属性!$DW415-2)*20+卡牌属性!$DX415)</f>
        <v>240</v>
      </c>
      <c r="FI415" s="14">
        <f>INDEX(属性投放!$BQ$6:$BQ$85,(卡牌属性!$DW415-2)*20+卡牌属性!$DX415)</f>
        <v>240</v>
      </c>
      <c r="FJ415" s="14">
        <f>INDEX(属性投放!$BQ$6:$BQ$85,(卡牌属性!$DW415-2)*20+卡牌属性!$DX415)</f>
        <v>240</v>
      </c>
      <c r="FK415" s="14">
        <f>INDEX(属性投放!$BQ$6:$BQ$85,(卡牌属性!$DW415-2)*20+卡牌属性!$DX415)</f>
        <v>240</v>
      </c>
      <c r="FL415" s="14">
        <f>INDEX(属性投放!$BQ$6:$BQ$85,(卡牌属性!$DW415-2)*20+卡牌属性!$DX415)</f>
        <v>240</v>
      </c>
      <c r="FM415" s="14">
        <f>INDEX(属性投放!$BR$6:$BR$85,(卡牌属性!$DW415-2)*20+卡牌属性!$DX415)</f>
        <v>120</v>
      </c>
      <c r="FN415" s="14">
        <f>INDEX(属性投放!$BR$6:$BR$85,(卡牌属性!$DW415-2)*20+卡牌属性!$DX415)</f>
        <v>120</v>
      </c>
      <c r="FO415" s="14">
        <f>INDEX(属性投放!$BR$6:$BR$85,(卡牌属性!$DW415-2)*20+卡牌属性!$DX415)</f>
        <v>120</v>
      </c>
      <c r="FP415" s="14">
        <f>INDEX(属性投放!$BR$6:$BR$85,(卡牌属性!$DW415-2)*20+卡牌属性!$DX415)</f>
        <v>120</v>
      </c>
      <c r="FQ415" s="14">
        <f>INDEX(属性投放!$BR$6:$BR$85,(卡牌属性!$DW415-2)*20+卡牌属性!$DX415)</f>
        <v>120</v>
      </c>
      <c r="FR415" s="14">
        <f>INDEX(属性投放!$BS$6:$BS$85,(卡牌属性!$DW415-2)*20+卡牌属性!$DX415)</f>
        <v>2160</v>
      </c>
      <c r="FS415" s="14">
        <f>INDEX(属性投放!$BS$6:$BS$85,(卡牌属性!$DW415-2)*20+卡牌属性!$DX415)</f>
        <v>2160</v>
      </c>
      <c r="FT415" s="14">
        <f>INDEX(属性投放!$BS$6:$BS$85,(卡牌属性!$DW415-2)*20+卡牌属性!$DX415)</f>
        <v>2160</v>
      </c>
      <c r="FU415" s="14">
        <f>INDEX(属性投放!$BS$6:$BS$85,(卡牌属性!$DW415-2)*20+卡牌属性!$DX415)</f>
        <v>2160</v>
      </c>
      <c r="FV415" s="14">
        <f>INDEX(属性投放!$BS$6:$BS$85,(卡牌属性!$DW415-2)*20+卡牌属性!$DX415)</f>
        <v>2160</v>
      </c>
    </row>
    <row r="416" spans="31:178" ht="16.5" x14ac:dyDescent="0.2">
      <c r="AE416" s="13">
        <v>412</v>
      </c>
      <c r="AF416" s="13">
        <f t="shared" si="753"/>
        <v>21</v>
      </c>
      <c r="AG416" s="13">
        <f t="shared" si="740"/>
        <v>4</v>
      </c>
      <c r="AH416" s="13"/>
      <c r="AI416" s="13"/>
      <c r="AJ416" s="14">
        <f t="shared" si="741"/>
        <v>1101026</v>
      </c>
      <c r="AK416" s="14" t="str">
        <f t="shared" si="742"/>
        <v>貂灵芸12突</v>
      </c>
      <c r="AL416" s="25" t="s">
        <v>142</v>
      </c>
      <c r="AM416" s="14">
        <v>1</v>
      </c>
      <c r="AN416" s="14">
        <f t="shared" si="743"/>
        <v>12</v>
      </c>
      <c r="AO416" s="14">
        <f>INDEX(属性投放!$DF$6:$DF$85,(卡牌属性!AG416-2)*20+卡牌属性!AN416)</f>
        <v>3975</v>
      </c>
      <c r="AP416" s="14">
        <f t="shared" si="763"/>
        <v>3975</v>
      </c>
      <c r="AQ416" s="14">
        <f t="shared" si="763"/>
        <v>3975</v>
      </c>
      <c r="AR416" s="14">
        <f t="shared" si="763"/>
        <v>3975</v>
      </c>
      <c r="AS416" s="14">
        <f t="shared" si="763"/>
        <v>3975</v>
      </c>
      <c r="AT416" s="14">
        <f>INDEX(属性投放!$DG$6:$DG$85,(卡牌属性!AG416-2)*20+卡牌属性!AN416)</f>
        <v>1917</v>
      </c>
      <c r="AU416" s="14">
        <f t="shared" si="764"/>
        <v>1917</v>
      </c>
      <c r="AV416" s="14">
        <f t="shared" si="764"/>
        <v>1917</v>
      </c>
      <c r="AW416" s="14">
        <f t="shared" si="764"/>
        <v>1917</v>
      </c>
      <c r="AX416" s="14">
        <f t="shared" si="764"/>
        <v>1917</v>
      </c>
      <c r="AY416" s="14">
        <f>INDEX(属性投放!$DH$6:$DH$85,(卡牌属性!AG416-2)*20+卡牌属性!AN416)</f>
        <v>29131</v>
      </c>
      <c r="AZ416" s="14">
        <f t="shared" si="765"/>
        <v>29131</v>
      </c>
      <c r="BA416" s="14">
        <f t="shared" si="765"/>
        <v>29131</v>
      </c>
      <c r="BB416" s="14">
        <f t="shared" si="765"/>
        <v>29131</v>
      </c>
      <c r="BC416" s="14">
        <f t="shared" si="765"/>
        <v>29131</v>
      </c>
      <c r="BD416" s="14">
        <f>INDEX(属性投放!$DL$6:$DL$85,(卡牌属性!AG416-2)*20+卡牌属性!AN416)</f>
        <v>110</v>
      </c>
      <c r="BE416" s="14">
        <f t="shared" si="766"/>
        <v>110</v>
      </c>
      <c r="BF416" s="14">
        <f t="shared" si="766"/>
        <v>110</v>
      </c>
      <c r="BG416" s="14">
        <f t="shared" si="766"/>
        <v>110</v>
      </c>
      <c r="BH416" s="14">
        <f t="shared" si="766"/>
        <v>110</v>
      </c>
      <c r="BI416" s="14">
        <f>INDEX(属性投放!$DM$6:$DM$85,(卡牌属性!AG416-2)*20+卡牌属性!AN416)</f>
        <v>55</v>
      </c>
      <c r="BJ416" s="14">
        <f t="shared" si="767"/>
        <v>55</v>
      </c>
      <c r="BK416" s="14">
        <f t="shared" si="767"/>
        <v>55</v>
      </c>
      <c r="BL416" s="14">
        <f t="shared" si="767"/>
        <v>55</v>
      </c>
      <c r="BM416" s="14">
        <f t="shared" si="767"/>
        <v>55</v>
      </c>
      <c r="BN416" s="14">
        <f>INDEX(属性投放!$DN$6:$DN$85,(卡牌属性!AG416-2)*20+卡牌属性!AN416)</f>
        <v>988</v>
      </c>
      <c r="BO416" s="14">
        <f t="shared" si="768"/>
        <v>988</v>
      </c>
      <c r="BP416" s="14">
        <f t="shared" si="768"/>
        <v>988</v>
      </c>
      <c r="BQ416" s="14">
        <f t="shared" si="768"/>
        <v>988</v>
      </c>
      <c r="BR416" s="14">
        <f t="shared" si="768"/>
        <v>988</v>
      </c>
      <c r="BW416" s="13">
        <v>412</v>
      </c>
      <c r="BX416" s="13">
        <f t="shared" si="744"/>
        <v>21</v>
      </c>
      <c r="BY416" s="14">
        <f t="shared" si="745"/>
        <v>3</v>
      </c>
      <c r="BZ416" s="14">
        <f t="shared" si="754"/>
        <v>1102021</v>
      </c>
      <c r="CA416" s="14" t="str">
        <f t="shared" si="755"/>
        <v>烈风螳螂12突</v>
      </c>
      <c r="CB416" s="25" t="s">
        <v>142</v>
      </c>
      <c r="CC416" s="14">
        <v>2</v>
      </c>
      <c r="CD416" s="14">
        <f t="shared" si="746"/>
        <v>12</v>
      </c>
      <c r="CE416" s="14" t="s">
        <v>21</v>
      </c>
      <c r="CF416" s="14">
        <f>INDEX(属性投放!$AZ$6:$AZ$85,(BY416-2)*20+CD416)</f>
        <v>4351</v>
      </c>
      <c r="CG416" s="14" t="s">
        <v>22</v>
      </c>
      <c r="CH416" s="14">
        <f>INDEX(属性投放!$BA$6:$BA$85,(BY416-2)*20+CD416)</f>
        <v>2125</v>
      </c>
      <c r="CI416" s="14" t="s">
        <v>510</v>
      </c>
      <c r="CJ416" s="14">
        <f>INDEX(属性投放!$BB$6:$BB$85,(BY416-2)*20+CD416)</f>
        <v>33780</v>
      </c>
      <c r="CK416" s="14" t="s">
        <v>21</v>
      </c>
      <c r="CL416" s="14">
        <f>INDEX(属性投放!$BC$6:$BC$85,(BY416-2)*20+CD416)</f>
        <v>20</v>
      </c>
      <c r="CM416" s="14" t="s">
        <v>22</v>
      </c>
      <c r="CN416" s="14">
        <f>INDEX(属性投放!$BD$6:$BD$85,(BY416-2)*20+CD416)</f>
        <v>10</v>
      </c>
      <c r="CO416" s="14" t="s">
        <v>510</v>
      </c>
      <c r="CP416" s="14">
        <f>INDEX(属性投放!$BE$6:$BE$85,(BY416-2)*20+CD416)</f>
        <v>180</v>
      </c>
      <c r="CS416" s="13">
        <v>412</v>
      </c>
      <c r="CT416" s="13">
        <f t="shared" si="756"/>
        <v>8</v>
      </c>
      <c r="CU416" s="13">
        <f t="shared" si="757"/>
        <v>48</v>
      </c>
      <c r="CV416" s="14">
        <f t="shared" si="758"/>
        <v>4</v>
      </c>
      <c r="CW416" s="14">
        <f t="shared" si="759"/>
        <v>1102008</v>
      </c>
      <c r="CX416" s="14" t="str">
        <f>INDEX($O$6:$O$50,CT416)&amp;"-"&amp;INDEX(属性投放!$AB$7:$AB$50,CZ416)&amp;"-魂火-"&amp;DB416</f>
        <v>夏侯渊-无间-魂火-3</v>
      </c>
      <c r="CY416" s="25" t="s">
        <v>142</v>
      </c>
      <c r="CZ416" s="14">
        <f>INDEX(属性投放!$AM$7:$AM$58,CU416)</f>
        <v>19</v>
      </c>
      <c r="DA416" s="14" t="s">
        <v>537</v>
      </c>
      <c r="DB416" s="14">
        <f>INDEX(属性投放!$AN$7:$AN$58,CU416)</f>
        <v>3</v>
      </c>
      <c r="DC416" s="14">
        <f t="shared" si="747"/>
        <v>48</v>
      </c>
      <c r="DD416" s="14">
        <f>INDEX(属性投放!$AO$7:$AO$58,DC416)</f>
        <v>138</v>
      </c>
      <c r="DE416" s="14" t="s">
        <v>538</v>
      </c>
      <c r="DF416" s="14">
        <f>INDEX(属性投放!$BK$6:$BK$85,(CV416-2)*20+CZ416)</f>
        <v>900</v>
      </c>
      <c r="DG416" s="14">
        <f>SUMIFS(DF$5:DF416,$CT$5:$CT416,"="&amp;$CT416)</f>
        <v>14335</v>
      </c>
      <c r="DH416" s="14" t="s">
        <v>539</v>
      </c>
      <c r="DI416" s="14">
        <f>INDEX(属性投放!$BL$6:$BL$85,(CV416-2)*20+CZ416)</f>
        <v>450</v>
      </c>
      <c r="DJ416" s="14">
        <f>SUMIFS(DI$5:DI416,$CT$5:$CT416,"="&amp;$CT416)</f>
        <v>7177</v>
      </c>
      <c r="DK416" s="14" t="s">
        <v>540</v>
      </c>
      <c r="DL416" s="14">
        <f>INDEX(属性投放!$BM$6:$BM$85,(CV416-2)*20+CZ416)</f>
        <v>9000</v>
      </c>
      <c r="DM416" s="14">
        <f>SUMIFS(DL$5:DL416,$CT$5:$CT416,"="&amp;$CT416)</f>
        <v>138785</v>
      </c>
      <c r="DR416" s="14">
        <f t="shared" si="748"/>
        <v>1102021</v>
      </c>
      <c r="DS416" s="14" t="str">
        <f t="shared" si="749"/>
        <v>烈风螳螂12突</v>
      </c>
      <c r="DT416" s="14">
        <f t="shared" si="760"/>
        <v>7</v>
      </c>
      <c r="DU416" s="14">
        <f t="shared" si="761"/>
        <v>5</v>
      </c>
      <c r="DV416" s="14">
        <f t="shared" si="762"/>
        <v>3</v>
      </c>
      <c r="DW416" s="14">
        <f t="shared" si="750"/>
        <v>3</v>
      </c>
      <c r="DX416" s="14">
        <f t="shared" si="751"/>
        <v>12</v>
      </c>
      <c r="DY416" s="14">
        <f t="shared" si="752"/>
        <v>32</v>
      </c>
      <c r="DZ416" s="14">
        <f>INDEX(属性投放!$AX$6:$AX$85,(卡牌属性!DW416-2)*20+卡牌属性!DX416)</f>
        <v>7</v>
      </c>
      <c r="EA416" s="14">
        <f>INDEX(属性投放!BQ$6:BQ$85,卡牌属性!$DY416)</f>
        <v>350</v>
      </c>
      <c r="EB416" s="14">
        <f>INDEX(属性投放!BR$6:BR$85,卡牌属性!$DY416)</f>
        <v>175</v>
      </c>
      <c r="EC416" s="14">
        <f>INDEX(属性投放!BS$6:BS$85,卡牌属性!$DY416)</f>
        <v>3150</v>
      </c>
      <c r="ED416" s="14">
        <f t="shared" si="769"/>
        <v>3203</v>
      </c>
      <c r="EE416" s="14">
        <f t="shared" si="770"/>
        <v>3470</v>
      </c>
      <c r="EF416" s="14">
        <f t="shared" si="771"/>
        <v>3765</v>
      </c>
      <c r="EG416" s="14">
        <f t="shared" si="772"/>
        <v>3765</v>
      </c>
      <c r="EH416" s="14">
        <f t="shared" si="773"/>
        <v>4375</v>
      </c>
      <c r="EI416" s="14">
        <f t="shared" si="774"/>
        <v>1232</v>
      </c>
      <c r="EJ416" s="14">
        <f t="shared" si="775"/>
        <v>1303</v>
      </c>
      <c r="EK416" s="14">
        <f t="shared" si="776"/>
        <v>1303</v>
      </c>
      <c r="EL416" s="14">
        <f t="shared" si="777"/>
        <v>1573</v>
      </c>
      <c r="EM416" s="14">
        <f t="shared" si="778"/>
        <v>1707</v>
      </c>
      <c r="EN416" s="14">
        <f t="shared" si="779"/>
        <v>15772</v>
      </c>
      <c r="EO416" s="14">
        <f t="shared" si="780"/>
        <v>17137</v>
      </c>
      <c r="EP416" s="14">
        <f t="shared" si="781"/>
        <v>17137</v>
      </c>
      <c r="EQ416" s="14">
        <f t="shared" si="782"/>
        <v>18940</v>
      </c>
      <c r="ER416" s="14">
        <f t="shared" si="783"/>
        <v>19811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108</v>
      </c>
      <c r="FD416" s="14">
        <f>INDEX(属性偏向!$U$4:$U$243,(卡牌属性!$DV416-1+FD$3)*20+卡牌属性!$DX416)</f>
        <v>135</v>
      </c>
      <c r="FE416" s="14">
        <f>INDEX(属性偏向!$U$4:$U$243,(卡牌属性!$DV416-1+FE$3)*20+卡牌属性!$DX416)</f>
        <v>135</v>
      </c>
      <c r="FF416" s="14">
        <f>INDEX(属性偏向!$U$4:$U$243,(卡牌属性!$DV416-1+FF$3)*20+卡牌属性!$DX416)</f>
        <v>180</v>
      </c>
      <c r="FG416" s="14">
        <f>INDEX(属性偏向!$U$4:$U$243,(卡牌属性!$DV416-1+FG$3)*20+卡牌属性!$DX416)</f>
        <v>189</v>
      </c>
      <c r="FH416" s="14">
        <f>INDEX(属性投放!$BQ$6:$BQ$85,(卡牌属性!$DW416-2)*20+卡牌属性!$DX416)</f>
        <v>350</v>
      </c>
      <c r="FI416" s="14">
        <f>INDEX(属性投放!$BQ$6:$BQ$85,(卡牌属性!$DW416-2)*20+卡牌属性!$DX416)</f>
        <v>350</v>
      </c>
      <c r="FJ416" s="14">
        <f>INDEX(属性投放!$BQ$6:$BQ$85,(卡牌属性!$DW416-2)*20+卡牌属性!$DX416)</f>
        <v>350</v>
      </c>
      <c r="FK416" s="14">
        <f>INDEX(属性投放!$BQ$6:$BQ$85,(卡牌属性!$DW416-2)*20+卡牌属性!$DX416)</f>
        <v>350</v>
      </c>
      <c r="FL416" s="14">
        <f>INDEX(属性投放!$BQ$6:$BQ$85,(卡牌属性!$DW416-2)*20+卡牌属性!$DX416)</f>
        <v>350</v>
      </c>
      <c r="FM416" s="14">
        <f>INDEX(属性投放!$BR$6:$BR$85,(卡牌属性!$DW416-2)*20+卡牌属性!$DX416)</f>
        <v>175</v>
      </c>
      <c r="FN416" s="14">
        <f>INDEX(属性投放!$BR$6:$BR$85,(卡牌属性!$DW416-2)*20+卡牌属性!$DX416)</f>
        <v>175</v>
      </c>
      <c r="FO416" s="14">
        <f>INDEX(属性投放!$BR$6:$BR$85,(卡牌属性!$DW416-2)*20+卡牌属性!$DX416)</f>
        <v>175</v>
      </c>
      <c r="FP416" s="14">
        <f>INDEX(属性投放!$BR$6:$BR$85,(卡牌属性!$DW416-2)*20+卡牌属性!$DX416)</f>
        <v>175</v>
      </c>
      <c r="FQ416" s="14">
        <f>INDEX(属性投放!$BR$6:$BR$85,(卡牌属性!$DW416-2)*20+卡牌属性!$DX416)</f>
        <v>175</v>
      </c>
      <c r="FR416" s="14">
        <f>INDEX(属性投放!$BS$6:$BS$85,(卡牌属性!$DW416-2)*20+卡牌属性!$DX416)</f>
        <v>3150</v>
      </c>
      <c r="FS416" s="14">
        <f>INDEX(属性投放!$BS$6:$BS$85,(卡牌属性!$DW416-2)*20+卡牌属性!$DX416)</f>
        <v>3150</v>
      </c>
      <c r="FT416" s="14">
        <f>INDEX(属性投放!$BS$6:$BS$85,(卡牌属性!$DW416-2)*20+卡牌属性!$DX416)</f>
        <v>3150</v>
      </c>
      <c r="FU416" s="14">
        <f>INDEX(属性投放!$BS$6:$BS$85,(卡牌属性!$DW416-2)*20+卡牌属性!$DX416)</f>
        <v>3150</v>
      </c>
      <c r="FV416" s="14">
        <f>INDEX(属性投放!$BS$6:$BS$85,(卡牌属性!$DW416-2)*20+卡牌属性!$DX416)</f>
        <v>3150</v>
      </c>
    </row>
    <row r="417" spans="31:178" ht="16.5" x14ac:dyDescent="0.2">
      <c r="AE417" s="13">
        <v>413</v>
      </c>
      <c r="AF417" s="13">
        <f t="shared" si="753"/>
        <v>21</v>
      </c>
      <c r="AG417" s="13">
        <f t="shared" si="740"/>
        <v>4</v>
      </c>
      <c r="AH417" s="13"/>
      <c r="AI417" s="13"/>
      <c r="AJ417" s="14">
        <f t="shared" si="741"/>
        <v>1101026</v>
      </c>
      <c r="AK417" s="14" t="str">
        <f t="shared" si="742"/>
        <v>貂灵芸13突</v>
      </c>
      <c r="AL417" s="25" t="s">
        <v>142</v>
      </c>
      <c r="AM417" s="14">
        <v>1</v>
      </c>
      <c r="AN417" s="14">
        <f t="shared" si="743"/>
        <v>13</v>
      </c>
      <c r="AO417" s="14">
        <f>INDEX(属性投放!$DF$6:$DF$85,(卡牌属性!AG417-2)*20+卡牌属性!AN417)</f>
        <v>7039</v>
      </c>
      <c r="AP417" s="14">
        <f t="shared" si="763"/>
        <v>7039</v>
      </c>
      <c r="AQ417" s="14">
        <f t="shared" si="763"/>
        <v>7039</v>
      </c>
      <c r="AR417" s="14">
        <f t="shared" si="763"/>
        <v>7039</v>
      </c>
      <c r="AS417" s="14">
        <f t="shared" si="763"/>
        <v>7039</v>
      </c>
      <c r="AT417" s="14">
        <f>INDEX(属性投放!$DG$6:$DG$85,(卡牌属性!AG417-2)*20+卡牌属性!AN417)</f>
        <v>3449</v>
      </c>
      <c r="AU417" s="14">
        <f t="shared" si="764"/>
        <v>3449</v>
      </c>
      <c r="AV417" s="14">
        <f t="shared" si="764"/>
        <v>3449</v>
      </c>
      <c r="AW417" s="14">
        <f t="shared" si="764"/>
        <v>3449</v>
      </c>
      <c r="AX417" s="14">
        <f t="shared" si="764"/>
        <v>3449</v>
      </c>
      <c r="AY417" s="14">
        <f>INDEX(属性投放!$DH$6:$DH$85,(卡牌属性!AG417-2)*20+卡牌属性!AN417)</f>
        <v>56653</v>
      </c>
      <c r="AZ417" s="14">
        <f t="shared" si="765"/>
        <v>56653</v>
      </c>
      <c r="BA417" s="14">
        <f t="shared" si="765"/>
        <v>56653</v>
      </c>
      <c r="BB417" s="14">
        <f t="shared" si="765"/>
        <v>56653</v>
      </c>
      <c r="BC417" s="14">
        <f t="shared" si="765"/>
        <v>56653</v>
      </c>
      <c r="BD417" s="14">
        <f>INDEX(属性投放!$DL$6:$DL$85,(卡牌属性!AG417-2)*20+卡牌属性!AN417)</f>
        <v>203</v>
      </c>
      <c r="BE417" s="14">
        <f t="shared" si="766"/>
        <v>203</v>
      </c>
      <c r="BF417" s="14">
        <f t="shared" si="766"/>
        <v>203</v>
      </c>
      <c r="BG417" s="14">
        <f t="shared" si="766"/>
        <v>203</v>
      </c>
      <c r="BH417" s="14">
        <f t="shared" si="766"/>
        <v>203</v>
      </c>
      <c r="BI417" s="14">
        <f>INDEX(属性投放!$DM$6:$DM$85,(卡牌属性!AG417-2)*20+卡牌属性!AN417)</f>
        <v>101</v>
      </c>
      <c r="BJ417" s="14">
        <f t="shared" si="767"/>
        <v>101</v>
      </c>
      <c r="BK417" s="14">
        <f t="shared" si="767"/>
        <v>101</v>
      </c>
      <c r="BL417" s="14">
        <f t="shared" si="767"/>
        <v>101</v>
      </c>
      <c r="BM417" s="14">
        <f t="shared" si="767"/>
        <v>101</v>
      </c>
      <c r="BN417" s="14">
        <f>INDEX(属性投放!$DN$6:$DN$85,(卡牌属性!AG417-2)*20+卡牌属性!AN417)</f>
        <v>2027</v>
      </c>
      <c r="BO417" s="14">
        <f t="shared" si="768"/>
        <v>2027</v>
      </c>
      <c r="BP417" s="14">
        <f t="shared" si="768"/>
        <v>2027</v>
      </c>
      <c r="BQ417" s="14">
        <f t="shared" si="768"/>
        <v>2027</v>
      </c>
      <c r="BR417" s="14">
        <f t="shared" si="768"/>
        <v>2027</v>
      </c>
      <c r="BW417" s="13">
        <v>413</v>
      </c>
      <c r="BX417" s="13">
        <f t="shared" si="744"/>
        <v>21</v>
      </c>
      <c r="BY417" s="14">
        <f t="shared" si="745"/>
        <v>3</v>
      </c>
      <c r="BZ417" s="14">
        <f t="shared" si="754"/>
        <v>1102021</v>
      </c>
      <c r="CA417" s="14" t="str">
        <f t="shared" si="755"/>
        <v>烈风螳螂13突</v>
      </c>
      <c r="CB417" s="25" t="s">
        <v>142</v>
      </c>
      <c r="CC417" s="14">
        <v>2</v>
      </c>
      <c r="CD417" s="14">
        <f t="shared" si="746"/>
        <v>13</v>
      </c>
      <c r="CE417" s="14" t="s">
        <v>21</v>
      </c>
      <c r="CF417" s="14">
        <f>INDEX(属性投放!$AZ$6:$AZ$85,(BY417-2)*20+CD417)</f>
        <v>5441</v>
      </c>
      <c r="CG417" s="14" t="s">
        <v>22</v>
      </c>
      <c r="CH417" s="14">
        <f>INDEX(属性投放!$BA$6:$BA$85,(BY417-2)*20+CD417)</f>
        <v>2670</v>
      </c>
      <c r="CI417" s="14" t="s">
        <v>510</v>
      </c>
      <c r="CJ417" s="14">
        <f>INDEX(属性投放!$BB$6:$BB$85,(BY417-2)*20+CD417)</f>
        <v>43590</v>
      </c>
      <c r="CK417" s="14" t="s">
        <v>21</v>
      </c>
      <c r="CL417" s="14">
        <f>INDEX(属性投放!$BC$6:$BC$85,(BY417-2)*20+CD417)</f>
        <v>25</v>
      </c>
      <c r="CM417" s="14" t="s">
        <v>22</v>
      </c>
      <c r="CN417" s="14">
        <f>INDEX(属性投放!$BD$6:$BD$85,(BY417-2)*20+CD417)</f>
        <v>13</v>
      </c>
      <c r="CO417" s="14" t="s">
        <v>510</v>
      </c>
      <c r="CP417" s="14">
        <f>INDEX(属性投放!$BE$6:$BE$85,(BY417-2)*20+CD417)</f>
        <v>250</v>
      </c>
      <c r="CS417" s="13">
        <v>413</v>
      </c>
      <c r="CT417" s="13">
        <f t="shared" si="756"/>
        <v>8</v>
      </c>
      <c r="CU417" s="13">
        <f t="shared" si="757"/>
        <v>49</v>
      </c>
      <c r="CV417" s="14">
        <f t="shared" si="758"/>
        <v>4</v>
      </c>
      <c r="CW417" s="14">
        <f t="shared" si="759"/>
        <v>1102008</v>
      </c>
      <c r="CX417" s="14" t="str">
        <f>INDEX($O$6:$O$50,CT417)&amp;"-"&amp;INDEX(属性投放!$AB$7:$AB$50,CZ417)&amp;"-魂火-"&amp;DB417</f>
        <v>夏侯渊-无间+1-魂火-1</v>
      </c>
      <c r="CY417" s="25" t="s">
        <v>142</v>
      </c>
      <c r="CZ417" s="14">
        <f>INDEX(属性投放!$AM$7:$AM$58,CU417)</f>
        <v>20</v>
      </c>
      <c r="DA417" s="14" t="s">
        <v>537</v>
      </c>
      <c r="DB417" s="14">
        <f>INDEX(属性投放!$AN$7:$AN$58,CU417)</f>
        <v>1</v>
      </c>
      <c r="DC417" s="14">
        <f t="shared" si="747"/>
        <v>49</v>
      </c>
      <c r="DD417" s="14">
        <f>INDEX(属性投放!$AO$7:$AO$58,DC417)</f>
        <v>140</v>
      </c>
      <c r="DE417" s="14" t="s">
        <v>538</v>
      </c>
      <c r="DF417" s="14">
        <f>INDEX(属性投放!$BK$6:$BK$85,(CV417-2)*20+CZ417)</f>
        <v>1000</v>
      </c>
      <c r="DG417" s="14">
        <f>SUMIFS(DF$5:DF417,$CT$5:$CT417,"="&amp;$CT417)</f>
        <v>15335</v>
      </c>
      <c r="DH417" s="14" t="s">
        <v>539</v>
      </c>
      <c r="DI417" s="14">
        <f>INDEX(属性投放!$BL$6:$BL$85,(CV417-2)*20+CZ417)</f>
        <v>500</v>
      </c>
      <c r="DJ417" s="14">
        <f>SUMIFS(DI$5:DI417,$CT$5:$CT417,"="&amp;$CT417)</f>
        <v>7677</v>
      </c>
      <c r="DK417" s="14" t="s">
        <v>540</v>
      </c>
      <c r="DL417" s="14">
        <f>INDEX(属性投放!$BM$6:$BM$85,(CV417-2)*20+CZ417)</f>
        <v>10000</v>
      </c>
      <c r="DM417" s="14">
        <f>SUMIFS(DL$5:DL417,$CT$5:$CT417,"="&amp;$CT417)</f>
        <v>148785</v>
      </c>
      <c r="DR417" s="14">
        <f t="shared" si="748"/>
        <v>1102021</v>
      </c>
      <c r="DS417" s="14" t="str">
        <f t="shared" si="749"/>
        <v>烈风螳螂13突</v>
      </c>
      <c r="DT417" s="14">
        <f t="shared" si="760"/>
        <v>7</v>
      </c>
      <c r="DU417" s="14">
        <f t="shared" si="761"/>
        <v>5</v>
      </c>
      <c r="DV417" s="14">
        <f t="shared" si="762"/>
        <v>3</v>
      </c>
      <c r="DW417" s="14">
        <f t="shared" si="750"/>
        <v>3</v>
      </c>
      <c r="DX417" s="14">
        <f t="shared" si="751"/>
        <v>13</v>
      </c>
      <c r="DY417" s="14">
        <f t="shared" si="752"/>
        <v>33</v>
      </c>
      <c r="DZ417" s="14">
        <f>INDEX(属性投放!$AX$6:$AX$85,(卡牌属性!DW417-2)*20+卡牌属性!DX417)</f>
        <v>8</v>
      </c>
      <c r="EA417" s="14">
        <f>INDEX(属性投放!BQ$6:BQ$85,卡牌属性!$DY417)</f>
        <v>400</v>
      </c>
      <c r="EB417" s="14">
        <f>INDEX(属性投放!BR$6:BR$85,卡牌属性!$DY417)</f>
        <v>200</v>
      </c>
      <c r="EC417" s="14">
        <f>INDEX(属性投放!BS$6:BS$85,卡牌属性!$DY417)</f>
        <v>4000</v>
      </c>
      <c r="ED417" s="14">
        <f t="shared" si="769"/>
        <v>3763</v>
      </c>
      <c r="EE417" s="14">
        <f t="shared" si="770"/>
        <v>4065</v>
      </c>
      <c r="EF417" s="14">
        <f t="shared" si="771"/>
        <v>4395</v>
      </c>
      <c r="EG417" s="14">
        <f t="shared" si="772"/>
        <v>4395</v>
      </c>
      <c r="EH417" s="14">
        <f t="shared" si="773"/>
        <v>5075</v>
      </c>
      <c r="EI417" s="14">
        <f t="shared" si="774"/>
        <v>1477</v>
      </c>
      <c r="EJ417" s="14">
        <f t="shared" si="775"/>
        <v>1555</v>
      </c>
      <c r="EK417" s="14">
        <f t="shared" si="776"/>
        <v>1555</v>
      </c>
      <c r="EL417" s="14">
        <f t="shared" si="777"/>
        <v>1853</v>
      </c>
      <c r="EM417" s="14">
        <f t="shared" si="778"/>
        <v>2008</v>
      </c>
      <c r="EN417" s="14">
        <f t="shared" si="779"/>
        <v>19678</v>
      </c>
      <c r="EO417" s="14">
        <f t="shared" si="780"/>
        <v>21232</v>
      </c>
      <c r="EP417" s="14">
        <f t="shared" si="781"/>
        <v>21232</v>
      </c>
      <c r="EQ417" s="14">
        <f t="shared" si="782"/>
        <v>23350</v>
      </c>
      <c r="ER417" s="14">
        <f t="shared" si="783"/>
        <v>24284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INDEX(属性投放!$BQ$6:$BQ$85,(卡牌属性!$DW417-2)*20+卡牌属性!$DX417)</f>
        <v>400</v>
      </c>
      <c r="FI417" s="14">
        <f>INDEX(属性投放!$BQ$6:$BQ$85,(卡牌属性!$DW417-2)*20+卡牌属性!$DX417)</f>
        <v>400</v>
      </c>
      <c r="FJ417" s="14">
        <f>INDEX(属性投放!$BQ$6:$BQ$85,(卡牌属性!$DW417-2)*20+卡牌属性!$DX417)</f>
        <v>400</v>
      </c>
      <c r="FK417" s="14">
        <f>INDEX(属性投放!$BQ$6:$BQ$85,(卡牌属性!$DW417-2)*20+卡牌属性!$DX417)</f>
        <v>400</v>
      </c>
      <c r="FL417" s="14">
        <f>INDEX(属性投放!$BQ$6:$BQ$85,(卡牌属性!$DW417-2)*20+卡牌属性!$DX417)</f>
        <v>400</v>
      </c>
      <c r="FM417" s="14">
        <f>INDEX(属性投放!$BR$6:$BR$85,(卡牌属性!$DW417-2)*20+卡牌属性!$DX417)</f>
        <v>200</v>
      </c>
      <c r="FN417" s="14">
        <f>INDEX(属性投放!$BR$6:$BR$85,(卡牌属性!$DW417-2)*20+卡牌属性!$DX417)</f>
        <v>200</v>
      </c>
      <c r="FO417" s="14">
        <f>INDEX(属性投放!$BR$6:$BR$85,(卡牌属性!$DW417-2)*20+卡牌属性!$DX417)</f>
        <v>200</v>
      </c>
      <c r="FP417" s="14">
        <f>INDEX(属性投放!$BR$6:$BR$85,(卡牌属性!$DW417-2)*20+卡牌属性!$DX417)</f>
        <v>200</v>
      </c>
      <c r="FQ417" s="14">
        <f>INDEX(属性投放!$BR$6:$BR$85,(卡牌属性!$DW417-2)*20+卡牌属性!$DX417)</f>
        <v>200</v>
      </c>
      <c r="FR417" s="14">
        <f>INDEX(属性投放!$BS$6:$BS$85,(卡牌属性!$DW417-2)*20+卡牌属性!$DX417)</f>
        <v>4000</v>
      </c>
      <c r="FS417" s="14">
        <f>INDEX(属性投放!$BS$6:$BS$85,(卡牌属性!$DW417-2)*20+卡牌属性!$DX417)</f>
        <v>4000</v>
      </c>
      <c r="FT417" s="14">
        <f>INDEX(属性投放!$BS$6:$BS$85,(卡牌属性!$DW417-2)*20+卡牌属性!$DX417)</f>
        <v>4000</v>
      </c>
      <c r="FU417" s="14">
        <f>INDEX(属性投放!$BS$6:$BS$85,(卡牌属性!$DW417-2)*20+卡牌属性!$DX417)</f>
        <v>4000</v>
      </c>
      <c r="FV417" s="14">
        <f>INDEX(属性投放!$BS$6:$BS$85,(卡牌属性!$DW417-2)*20+卡牌属性!$DX417)</f>
        <v>4000</v>
      </c>
    </row>
    <row r="418" spans="31:178" ht="16.5" x14ac:dyDescent="0.2">
      <c r="AE418" s="13">
        <v>414</v>
      </c>
      <c r="AF418" s="13">
        <f t="shared" si="753"/>
        <v>21</v>
      </c>
      <c r="AG418" s="13">
        <f t="shared" si="740"/>
        <v>4</v>
      </c>
      <c r="AH418" s="13"/>
      <c r="AI418" s="13"/>
      <c r="AJ418" s="14">
        <f t="shared" si="741"/>
        <v>1101026</v>
      </c>
      <c r="AK418" s="14" t="str">
        <f t="shared" si="742"/>
        <v>貂灵芸14突</v>
      </c>
      <c r="AL418" s="25" t="s">
        <v>142</v>
      </c>
      <c r="AM418" s="14">
        <v>1</v>
      </c>
      <c r="AN418" s="14">
        <f t="shared" si="743"/>
        <v>14</v>
      </c>
      <c r="AO418" s="14">
        <f>INDEX(属性投放!$DF$6:$DF$85,(卡牌属性!AG418-2)*20+卡牌属性!AN418)</f>
        <v>7618</v>
      </c>
      <c r="AP418" s="14">
        <f t="shared" si="763"/>
        <v>7618</v>
      </c>
      <c r="AQ418" s="14">
        <f t="shared" si="763"/>
        <v>7618</v>
      </c>
      <c r="AR418" s="14">
        <f t="shared" si="763"/>
        <v>7618</v>
      </c>
      <c r="AS418" s="14">
        <f t="shared" si="763"/>
        <v>7618</v>
      </c>
      <c r="AT418" s="14">
        <f>INDEX(属性投放!$DG$6:$DG$85,(卡牌属性!AG418-2)*20+卡牌属性!AN418)</f>
        <v>3739</v>
      </c>
      <c r="AU418" s="14">
        <f t="shared" si="764"/>
        <v>3739</v>
      </c>
      <c r="AV418" s="14">
        <f t="shared" si="764"/>
        <v>3739</v>
      </c>
      <c r="AW418" s="14">
        <f t="shared" si="764"/>
        <v>3739</v>
      </c>
      <c r="AX418" s="14">
        <f t="shared" si="764"/>
        <v>3739</v>
      </c>
      <c r="AY418" s="14">
        <f>INDEX(属性投放!$DH$6:$DH$85,(卡牌属性!AG418-2)*20+卡牌属性!AN418)</f>
        <v>62443</v>
      </c>
      <c r="AZ418" s="14">
        <f t="shared" si="765"/>
        <v>62443</v>
      </c>
      <c r="BA418" s="14">
        <f t="shared" si="765"/>
        <v>62443</v>
      </c>
      <c r="BB418" s="14">
        <f t="shared" si="765"/>
        <v>62443</v>
      </c>
      <c r="BC418" s="14">
        <f t="shared" si="765"/>
        <v>62443</v>
      </c>
      <c r="BD418" s="14">
        <f>INDEX(属性投放!$DL$6:$DL$85,(卡牌属性!AG418-2)*20+卡牌属性!AN418)</f>
        <v>203</v>
      </c>
      <c r="BE418" s="14">
        <f t="shared" si="766"/>
        <v>203</v>
      </c>
      <c r="BF418" s="14">
        <f t="shared" si="766"/>
        <v>203</v>
      </c>
      <c r="BG418" s="14">
        <f t="shared" si="766"/>
        <v>203</v>
      </c>
      <c r="BH418" s="14">
        <f t="shared" si="766"/>
        <v>203</v>
      </c>
      <c r="BI418" s="14">
        <f>INDEX(属性投放!$DM$6:$DM$85,(卡牌属性!AG418-2)*20+卡牌属性!AN418)</f>
        <v>101</v>
      </c>
      <c r="BJ418" s="14">
        <f t="shared" si="767"/>
        <v>101</v>
      </c>
      <c r="BK418" s="14">
        <f t="shared" si="767"/>
        <v>101</v>
      </c>
      <c r="BL418" s="14">
        <f t="shared" si="767"/>
        <v>101</v>
      </c>
      <c r="BM418" s="14">
        <f t="shared" si="767"/>
        <v>101</v>
      </c>
      <c r="BN418" s="14">
        <f>INDEX(属性投放!$DN$6:$DN$85,(卡牌属性!AG418-2)*20+卡牌属性!AN418)</f>
        <v>2027</v>
      </c>
      <c r="BO418" s="14">
        <f t="shared" si="768"/>
        <v>2027</v>
      </c>
      <c r="BP418" s="14">
        <f t="shared" si="768"/>
        <v>2027</v>
      </c>
      <c r="BQ418" s="14">
        <f t="shared" si="768"/>
        <v>2027</v>
      </c>
      <c r="BR418" s="14">
        <f t="shared" si="768"/>
        <v>2027</v>
      </c>
      <c r="BW418" s="13">
        <v>414</v>
      </c>
      <c r="BX418" s="13">
        <f t="shared" si="744"/>
        <v>21</v>
      </c>
      <c r="BY418" s="14">
        <f t="shared" si="745"/>
        <v>3</v>
      </c>
      <c r="BZ418" s="14">
        <f t="shared" si="754"/>
        <v>1102021</v>
      </c>
      <c r="CA418" s="14" t="str">
        <f t="shared" si="755"/>
        <v>烈风螳螂14突</v>
      </c>
      <c r="CB418" s="25" t="s">
        <v>142</v>
      </c>
      <c r="CC418" s="14">
        <v>2</v>
      </c>
      <c r="CD418" s="14">
        <f t="shared" si="746"/>
        <v>14</v>
      </c>
      <c r="CE418" s="14" t="s">
        <v>21</v>
      </c>
      <c r="CF418" s="14">
        <f>INDEX(属性投放!$AZ$6:$AZ$85,(BY418-2)*20+CD418)</f>
        <v>6791</v>
      </c>
      <c r="CG418" s="14" t="s">
        <v>22</v>
      </c>
      <c r="CH418" s="14">
        <f>INDEX(属性投放!$BA$6:$BA$85,(BY418-2)*20+CD418)</f>
        <v>3349</v>
      </c>
      <c r="CI418" s="14" t="s">
        <v>510</v>
      </c>
      <c r="CJ418" s="14">
        <f>INDEX(属性投放!$BB$6:$BB$85,(BY418-2)*20+CD418)</f>
        <v>57090</v>
      </c>
      <c r="CK418" s="14" t="s">
        <v>21</v>
      </c>
      <c r="CL418" s="14">
        <f>INDEX(属性投放!$BC$6:$BC$85,(BY418-2)*20+CD418)</f>
        <v>25</v>
      </c>
      <c r="CM418" s="14" t="s">
        <v>22</v>
      </c>
      <c r="CN418" s="14">
        <f>INDEX(属性投放!$BD$6:$BD$85,(BY418-2)*20+CD418)</f>
        <v>13</v>
      </c>
      <c r="CO418" s="14" t="s">
        <v>510</v>
      </c>
      <c r="CP418" s="14">
        <f>INDEX(属性投放!$BE$6:$BE$85,(BY418-2)*20+CD418)</f>
        <v>250</v>
      </c>
      <c r="CS418" s="13">
        <v>414</v>
      </c>
      <c r="CT418" s="13">
        <f t="shared" si="756"/>
        <v>8</v>
      </c>
      <c r="CU418" s="13">
        <f t="shared" si="757"/>
        <v>50</v>
      </c>
      <c r="CV418" s="14">
        <f t="shared" si="758"/>
        <v>4</v>
      </c>
      <c r="CW418" s="14">
        <f t="shared" si="759"/>
        <v>1102008</v>
      </c>
      <c r="CX418" s="14" t="str">
        <f>INDEX($O$6:$O$50,CT418)&amp;"-"&amp;INDEX(属性投放!$AB$7:$AB$50,CZ418)&amp;"-魂火-"&amp;DB418</f>
        <v>夏侯渊-无间+1-魂火-2</v>
      </c>
      <c r="CY418" s="25" t="s">
        <v>142</v>
      </c>
      <c r="CZ418" s="14">
        <f>INDEX(属性投放!$AM$7:$AM$58,CU418)</f>
        <v>20</v>
      </c>
      <c r="DA418" s="14" t="s">
        <v>537</v>
      </c>
      <c r="DB418" s="14">
        <f>INDEX(属性投放!$AN$7:$AN$58,CU418)</f>
        <v>2</v>
      </c>
      <c r="DC418" s="14">
        <f t="shared" si="747"/>
        <v>50</v>
      </c>
      <c r="DD418" s="14">
        <f>INDEX(属性投放!$AO$7:$AO$58,DC418)</f>
        <v>143</v>
      </c>
      <c r="DE418" s="14" t="s">
        <v>538</v>
      </c>
      <c r="DF418" s="14">
        <f>INDEX(属性投放!$BK$6:$BK$85,(CV418-2)*20+CZ418)</f>
        <v>1000</v>
      </c>
      <c r="DG418" s="14">
        <f>SUMIFS(DF$5:DF418,$CT$5:$CT418,"="&amp;$CT418)</f>
        <v>16335</v>
      </c>
      <c r="DH418" s="14" t="s">
        <v>539</v>
      </c>
      <c r="DI418" s="14">
        <f>INDEX(属性投放!$BL$6:$BL$85,(CV418-2)*20+CZ418)</f>
        <v>500</v>
      </c>
      <c r="DJ418" s="14">
        <f>SUMIFS(DI$5:DI418,$CT$5:$CT418,"="&amp;$CT418)</f>
        <v>8177</v>
      </c>
      <c r="DK418" s="14" t="s">
        <v>540</v>
      </c>
      <c r="DL418" s="14">
        <f>INDEX(属性投放!$BM$6:$BM$85,(CV418-2)*20+CZ418)</f>
        <v>10000</v>
      </c>
      <c r="DM418" s="14">
        <f>SUMIFS(DL$5:DL418,$CT$5:$CT418,"="&amp;$CT418)</f>
        <v>158785</v>
      </c>
      <c r="DR418" s="14">
        <f t="shared" si="748"/>
        <v>1102021</v>
      </c>
      <c r="DS418" s="14" t="str">
        <f t="shared" si="749"/>
        <v>烈风螳螂14突</v>
      </c>
      <c r="DT418" s="14">
        <f t="shared" si="760"/>
        <v>7</v>
      </c>
      <c r="DU418" s="14">
        <f t="shared" si="761"/>
        <v>5</v>
      </c>
      <c r="DV418" s="14">
        <f t="shared" si="762"/>
        <v>3</v>
      </c>
      <c r="DW418" s="14">
        <f t="shared" si="750"/>
        <v>3</v>
      </c>
      <c r="DX418" s="14">
        <f t="shared" si="751"/>
        <v>14</v>
      </c>
      <c r="DY418" s="14">
        <f t="shared" si="752"/>
        <v>34</v>
      </c>
      <c r="DZ418" s="14">
        <f>INDEX(属性投放!$AX$6:$AX$85,(卡牌属性!DW418-2)*20+卡牌属性!DX418)</f>
        <v>7</v>
      </c>
      <c r="EA418" s="14">
        <f>INDEX(属性投放!BQ$6:BQ$85,卡牌属性!$DY418)</f>
        <v>450</v>
      </c>
      <c r="EB418" s="14">
        <f>INDEX(属性投放!BR$6:BR$85,卡牌属性!$DY418)</f>
        <v>225</v>
      </c>
      <c r="EC418" s="14">
        <f>INDEX(属性投放!BS$6:BS$85,卡牌属性!$DY418)</f>
        <v>4500</v>
      </c>
      <c r="ED418" s="14">
        <f t="shared" si="769"/>
        <v>4483</v>
      </c>
      <c r="EE418" s="14">
        <f t="shared" si="770"/>
        <v>4825</v>
      </c>
      <c r="EF418" s="14">
        <f t="shared" si="771"/>
        <v>5195</v>
      </c>
      <c r="EG418" s="14">
        <f t="shared" si="772"/>
        <v>5195</v>
      </c>
      <c r="EH418" s="14">
        <f t="shared" si="773"/>
        <v>6075</v>
      </c>
      <c r="EI418" s="14">
        <f t="shared" si="774"/>
        <v>1781</v>
      </c>
      <c r="EJ418" s="14">
        <f t="shared" si="775"/>
        <v>1859</v>
      </c>
      <c r="EK418" s="14">
        <f t="shared" si="776"/>
        <v>1859</v>
      </c>
      <c r="EL418" s="14">
        <f t="shared" si="777"/>
        <v>2213</v>
      </c>
      <c r="EM418" s="14">
        <f t="shared" si="778"/>
        <v>2392</v>
      </c>
      <c r="EN418" s="14">
        <f t="shared" si="779"/>
        <v>24878</v>
      </c>
      <c r="EO418" s="14">
        <f t="shared" si="780"/>
        <v>26832</v>
      </c>
      <c r="EP418" s="14">
        <f t="shared" si="781"/>
        <v>26832</v>
      </c>
      <c r="EQ418" s="14">
        <f t="shared" si="782"/>
        <v>29350</v>
      </c>
      <c r="ER418" s="14">
        <f t="shared" si="783"/>
        <v>30364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INDEX(属性投放!$BQ$6:$BQ$85,(卡牌属性!$DW418-2)*20+卡牌属性!$DX418)</f>
        <v>450</v>
      </c>
      <c r="FI418" s="14">
        <f>INDEX(属性投放!$BQ$6:$BQ$85,(卡牌属性!$DW418-2)*20+卡牌属性!$DX418)</f>
        <v>450</v>
      </c>
      <c r="FJ418" s="14">
        <f>INDEX(属性投放!$BQ$6:$BQ$85,(卡牌属性!$DW418-2)*20+卡牌属性!$DX418)</f>
        <v>450</v>
      </c>
      <c r="FK418" s="14">
        <f>INDEX(属性投放!$BQ$6:$BQ$85,(卡牌属性!$DW418-2)*20+卡牌属性!$DX418)</f>
        <v>450</v>
      </c>
      <c r="FL418" s="14">
        <f>INDEX(属性投放!$BQ$6:$BQ$85,(卡牌属性!$DW418-2)*20+卡牌属性!$DX418)</f>
        <v>450</v>
      </c>
      <c r="FM418" s="14">
        <f>INDEX(属性投放!$BR$6:$BR$85,(卡牌属性!$DW418-2)*20+卡牌属性!$DX418)</f>
        <v>225</v>
      </c>
      <c r="FN418" s="14">
        <f>INDEX(属性投放!$BR$6:$BR$85,(卡牌属性!$DW418-2)*20+卡牌属性!$DX418)</f>
        <v>225</v>
      </c>
      <c r="FO418" s="14">
        <f>INDEX(属性投放!$BR$6:$BR$85,(卡牌属性!$DW418-2)*20+卡牌属性!$DX418)</f>
        <v>225</v>
      </c>
      <c r="FP418" s="14">
        <f>INDEX(属性投放!$BR$6:$BR$85,(卡牌属性!$DW418-2)*20+卡牌属性!$DX418)</f>
        <v>225</v>
      </c>
      <c r="FQ418" s="14">
        <f>INDEX(属性投放!$BR$6:$BR$85,(卡牌属性!$DW418-2)*20+卡牌属性!$DX418)</f>
        <v>225</v>
      </c>
      <c r="FR418" s="14">
        <f>INDEX(属性投放!$BS$6:$BS$85,(卡牌属性!$DW418-2)*20+卡牌属性!$DX418)</f>
        <v>4500</v>
      </c>
      <c r="FS418" s="14">
        <f>INDEX(属性投放!$BS$6:$BS$85,(卡牌属性!$DW418-2)*20+卡牌属性!$DX418)</f>
        <v>4500</v>
      </c>
      <c r="FT418" s="14">
        <f>INDEX(属性投放!$BS$6:$BS$85,(卡牌属性!$DW418-2)*20+卡牌属性!$DX418)</f>
        <v>4500</v>
      </c>
      <c r="FU418" s="14">
        <f>INDEX(属性投放!$BS$6:$BS$85,(卡牌属性!$DW418-2)*20+卡牌属性!$DX418)</f>
        <v>4500</v>
      </c>
      <c r="FV418" s="14">
        <f>INDEX(属性投放!$BS$6:$BS$85,(卡牌属性!$DW418-2)*20+卡牌属性!$DX418)</f>
        <v>4500</v>
      </c>
    </row>
    <row r="419" spans="31:178" ht="16.5" x14ac:dyDescent="0.2">
      <c r="AE419" s="13">
        <v>415</v>
      </c>
      <c r="AF419" s="13">
        <f t="shared" si="753"/>
        <v>21</v>
      </c>
      <c r="AG419" s="13">
        <f t="shared" si="740"/>
        <v>4</v>
      </c>
      <c r="AH419" s="13"/>
      <c r="AI419" s="13"/>
      <c r="AJ419" s="14">
        <f t="shared" si="741"/>
        <v>1101026</v>
      </c>
      <c r="AK419" s="14" t="str">
        <f t="shared" si="742"/>
        <v>貂灵芸15突</v>
      </c>
      <c r="AL419" s="25" t="s">
        <v>142</v>
      </c>
      <c r="AM419" s="14">
        <v>1</v>
      </c>
      <c r="AN419" s="14">
        <f t="shared" si="743"/>
        <v>15</v>
      </c>
      <c r="AO419" s="14">
        <f>INDEX(属性投放!$DF$6:$DF$85,(卡牌属性!AG419-2)*20+卡牌属性!AN419)</f>
        <v>8197</v>
      </c>
      <c r="AP419" s="14">
        <f t="shared" si="763"/>
        <v>8197</v>
      </c>
      <c r="AQ419" s="14">
        <f t="shared" si="763"/>
        <v>8197</v>
      </c>
      <c r="AR419" s="14">
        <f t="shared" si="763"/>
        <v>8197</v>
      </c>
      <c r="AS419" s="14">
        <f t="shared" si="763"/>
        <v>8197</v>
      </c>
      <c r="AT419" s="14">
        <f>INDEX(属性投放!$DG$6:$DG$85,(卡牌属性!AG419-2)*20+卡牌属性!AN419)</f>
        <v>4029</v>
      </c>
      <c r="AU419" s="14">
        <f t="shared" si="764"/>
        <v>4029</v>
      </c>
      <c r="AV419" s="14">
        <f t="shared" si="764"/>
        <v>4029</v>
      </c>
      <c r="AW419" s="14">
        <f t="shared" si="764"/>
        <v>4029</v>
      </c>
      <c r="AX419" s="14">
        <f t="shared" si="764"/>
        <v>4029</v>
      </c>
      <c r="AY419" s="14">
        <f>INDEX(属性投放!$DH$6:$DH$85,(卡牌属性!AG419-2)*20+卡牌属性!AN419)</f>
        <v>68233</v>
      </c>
      <c r="AZ419" s="14">
        <f t="shared" si="765"/>
        <v>68233</v>
      </c>
      <c r="BA419" s="14">
        <f t="shared" si="765"/>
        <v>68233</v>
      </c>
      <c r="BB419" s="14">
        <f t="shared" si="765"/>
        <v>68233</v>
      </c>
      <c r="BC419" s="14">
        <f t="shared" si="765"/>
        <v>68233</v>
      </c>
      <c r="BD419" s="14">
        <f>INDEX(属性投放!$DL$6:$DL$85,(卡牌属性!AG419-2)*20+卡牌属性!AN419)</f>
        <v>203</v>
      </c>
      <c r="BE419" s="14">
        <f t="shared" si="766"/>
        <v>203</v>
      </c>
      <c r="BF419" s="14">
        <f t="shared" si="766"/>
        <v>203</v>
      </c>
      <c r="BG419" s="14">
        <f t="shared" si="766"/>
        <v>203</v>
      </c>
      <c r="BH419" s="14">
        <f t="shared" si="766"/>
        <v>203</v>
      </c>
      <c r="BI419" s="14">
        <f>INDEX(属性投放!$DM$6:$DM$85,(卡牌属性!AG419-2)*20+卡牌属性!AN419)</f>
        <v>101</v>
      </c>
      <c r="BJ419" s="14">
        <f t="shared" si="767"/>
        <v>101</v>
      </c>
      <c r="BK419" s="14">
        <f t="shared" si="767"/>
        <v>101</v>
      </c>
      <c r="BL419" s="14">
        <f t="shared" si="767"/>
        <v>101</v>
      </c>
      <c r="BM419" s="14">
        <f t="shared" si="767"/>
        <v>101</v>
      </c>
      <c r="BN419" s="14">
        <f>INDEX(属性投放!$DN$6:$DN$85,(卡牌属性!AG419-2)*20+卡牌属性!AN419)</f>
        <v>2027</v>
      </c>
      <c r="BO419" s="14">
        <f t="shared" si="768"/>
        <v>2027</v>
      </c>
      <c r="BP419" s="14">
        <f t="shared" si="768"/>
        <v>2027</v>
      </c>
      <c r="BQ419" s="14">
        <f t="shared" si="768"/>
        <v>2027</v>
      </c>
      <c r="BR419" s="14">
        <f t="shared" si="768"/>
        <v>2027</v>
      </c>
      <c r="BW419" s="13">
        <v>415</v>
      </c>
      <c r="BX419" s="13">
        <f t="shared" si="744"/>
        <v>21</v>
      </c>
      <c r="BY419" s="14">
        <f t="shared" si="745"/>
        <v>3</v>
      </c>
      <c r="BZ419" s="14">
        <f t="shared" si="754"/>
        <v>1102021</v>
      </c>
      <c r="CA419" s="14" t="str">
        <f t="shared" si="755"/>
        <v>烈风螳螂15突</v>
      </c>
      <c r="CB419" s="25" t="s">
        <v>142</v>
      </c>
      <c r="CC419" s="14">
        <v>2</v>
      </c>
      <c r="CD419" s="14">
        <f t="shared" si="746"/>
        <v>15</v>
      </c>
      <c r="CE419" s="14" t="s">
        <v>21</v>
      </c>
      <c r="CF419" s="14">
        <f>INDEX(属性投放!$AZ$6:$AZ$85,(BY419-2)*20+CD419)</f>
        <v>8316</v>
      </c>
      <c r="CG419" s="14" t="s">
        <v>22</v>
      </c>
      <c r="CH419" s="14">
        <f>INDEX(属性投放!$BA$6:$BA$85,(BY419-2)*20+CD419)</f>
        <v>4115</v>
      </c>
      <c r="CI419" s="14" t="s">
        <v>510</v>
      </c>
      <c r="CJ419" s="14">
        <f>INDEX(属性投放!$BB$6:$BB$85,(BY419-2)*20+CD419)</f>
        <v>72340</v>
      </c>
      <c r="CK419" s="14" t="s">
        <v>21</v>
      </c>
      <c r="CL419" s="14">
        <f>INDEX(属性投放!$BC$6:$BC$85,(BY419-2)*20+CD419)</f>
        <v>25</v>
      </c>
      <c r="CM419" s="14" t="s">
        <v>22</v>
      </c>
      <c r="CN419" s="14">
        <f>INDEX(属性投放!$BD$6:$BD$85,(BY419-2)*20+CD419)</f>
        <v>13</v>
      </c>
      <c r="CO419" s="14" t="s">
        <v>510</v>
      </c>
      <c r="CP419" s="14">
        <f>INDEX(属性投放!$BE$6:$BE$85,(BY419-2)*20+CD419)</f>
        <v>250</v>
      </c>
      <c r="CS419" s="13">
        <v>415</v>
      </c>
      <c r="CT419" s="13">
        <f t="shared" si="756"/>
        <v>8</v>
      </c>
      <c r="CU419" s="13">
        <f t="shared" si="757"/>
        <v>51</v>
      </c>
      <c r="CV419" s="14">
        <f t="shared" si="758"/>
        <v>4</v>
      </c>
      <c r="CW419" s="14">
        <f t="shared" si="759"/>
        <v>1102008</v>
      </c>
      <c r="CX419" s="14" t="str">
        <f>INDEX($O$6:$O$50,CT419)&amp;"-"&amp;INDEX(属性投放!$AB$7:$AB$50,CZ419)&amp;"-魂火-"&amp;DB419</f>
        <v>夏侯渊-无间+1-魂火-3</v>
      </c>
      <c r="CY419" s="25" t="s">
        <v>142</v>
      </c>
      <c r="CZ419" s="14">
        <f>INDEX(属性投放!$AM$7:$AM$58,CU419)</f>
        <v>20</v>
      </c>
      <c r="DA419" s="14" t="s">
        <v>537</v>
      </c>
      <c r="DB419" s="14">
        <f>INDEX(属性投放!$AN$7:$AN$58,CU419)</f>
        <v>3</v>
      </c>
      <c r="DC419" s="14">
        <f t="shared" si="747"/>
        <v>51</v>
      </c>
      <c r="DD419" s="14">
        <f>INDEX(属性投放!$AO$7:$AO$58,DC419)</f>
        <v>145</v>
      </c>
      <c r="DE419" s="14" t="s">
        <v>538</v>
      </c>
      <c r="DF419" s="14">
        <f>INDEX(属性投放!$BK$6:$BK$85,(CV419-2)*20+CZ419)</f>
        <v>1000</v>
      </c>
      <c r="DG419" s="14">
        <f>SUMIFS(DF$5:DF419,$CT$5:$CT419,"="&amp;$CT419)</f>
        <v>17335</v>
      </c>
      <c r="DH419" s="14" t="s">
        <v>539</v>
      </c>
      <c r="DI419" s="14">
        <f>INDEX(属性投放!$BL$6:$BL$85,(CV419-2)*20+CZ419)</f>
        <v>500</v>
      </c>
      <c r="DJ419" s="14">
        <f>SUMIFS(DI$5:DI419,$CT$5:$CT419,"="&amp;$CT419)</f>
        <v>8677</v>
      </c>
      <c r="DK419" s="14" t="s">
        <v>540</v>
      </c>
      <c r="DL419" s="14">
        <f>INDEX(属性投放!$BM$6:$BM$85,(CV419-2)*20+CZ419)</f>
        <v>10000</v>
      </c>
      <c r="DM419" s="14">
        <f>SUMIFS(DL$5:DL419,$CT$5:$CT419,"="&amp;$CT419)</f>
        <v>168785</v>
      </c>
      <c r="DR419" s="14">
        <f t="shared" si="748"/>
        <v>1102021</v>
      </c>
      <c r="DS419" s="14" t="str">
        <f t="shared" si="749"/>
        <v>烈风螳螂15突</v>
      </c>
      <c r="DT419" s="14">
        <f t="shared" si="760"/>
        <v>7</v>
      </c>
      <c r="DU419" s="14">
        <f t="shared" si="761"/>
        <v>5</v>
      </c>
      <c r="DV419" s="14">
        <f t="shared" si="762"/>
        <v>3</v>
      </c>
      <c r="DW419" s="14">
        <f t="shared" si="750"/>
        <v>3</v>
      </c>
      <c r="DX419" s="14">
        <f t="shared" si="751"/>
        <v>15</v>
      </c>
      <c r="DY419" s="14">
        <f t="shared" si="752"/>
        <v>35</v>
      </c>
      <c r="DZ419" s="14">
        <f>INDEX(属性投放!$AX$6:$AX$85,(卡牌属性!DW419-2)*20+卡牌属性!DX419)</f>
        <v>8</v>
      </c>
      <c r="EA419" s="14">
        <f>INDEX(属性投放!BQ$6:BQ$85,卡牌属性!$DY419)</f>
        <v>750</v>
      </c>
      <c r="EB419" s="14">
        <f>INDEX(属性投放!BR$6:BR$85,卡牌属性!$DY419)</f>
        <v>375</v>
      </c>
      <c r="EC419" s="14">
        <f>INDEX(属性投放!BS$6:BS$85,卡牌属性!$DY419)</f>
        <v>7500</v>
      </c>
      <c r="ED419" s="14">
        <f t="shared" si="769"/>
        <v>5213</v>
      </c>
      <c r="EE419" s="14">
        <f t="shared" si="770"/>
        <v>5590</v>
      </c>
      <c r="EF419" s="14">
        <f t="shared" si="771"/>
        <v>5995</v>
      </c>
      <c r="EG419" s="14">
        <f t="shared" si="772"/>
        <v>5995</v>
      </c>
      <c r="EH419" s="14">
        <f t="shared" si="773"/>
        <v>7050</v>
      </c>
      <c r="EI419" s="14">
        <f t="shared" si="774"/>
        <v>2097</v>
      </c>
      <c r="EJ419" s="14">
        <f t="shared" si="775"/>
        <v>2175</v>
      </c>
      <c r="EK419" s="14">
        <f t="shared" si="776"/>
        <v>2175</v>
      </c>
      <c r="EL419" s="14">
        <f t="shared" si="777"/>
        <v>2578</v>
      </c>
      <c r="EM419" s="14">
        <f t="shared" si="778"/>
        <v>2778</v>
      </c>
      <c r="EN419" s="14">
        <f t="shared" si="779"/>
        <v>30428</v>
      </c>
      <c r="EO419" s="14">
        <f t="shared" si="780"/>
        <v>32732</v>
      </c>
      <c r="EP419" s="14">
        <f t="shared" si="781"/>
        <v>32732</v>
      </c>
      <c r="EQ419" s="14">
        <f t="shared" si="782"/>
        <v>35600</v>
      </c>
      <c r="ER419" s="14">
        <f t="shared" si="783"/>
        <v>36684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INDEX(属性投放!$BQ$6:$BQ$85,(卡牌属性!$DW419-2)*20+卡牌属性!$DX419)</f>
        <v>750</v>
      </c>
      <c r="FI419" s="14">
        <f>INDEX(属性投放!$BQ$6:$BQ$85,(卡牌属性!$DW419-2)*20+卡牌属性!$DX419)</f>
        <v>750</v>
      </c>
      <c r="FJ419" s="14">
        <f>INDEX(属性投放!$BQ$6:$BQ$85,(卡牌属性!$DW419-2)*20+卡牌属性!$DX419)</f>
        <v>750</v>
      </c>
      <c r="FK419" s="14">
        <f>INDEX(属性投放!$BQ$6:$BQ$85,(卡牌属性!$DW419-2)*20+卡牌属性!$DX419)</f>
        <v>750</v>
      </c>
      <c r="FL419" s="14">
        <f>INDEX(属性投放!$BQ$6:$BQ$85,(卡牌属性!$DW419-2)*20+卡牌属性!$DX419)</f>
        <v>750</v>
      </c>
      <c r="FM419" s="14">
        <f>INDEX(属性投放!$BR$6:$BR$85,(卡牌属性!$DW419-2)*20+卡牌属性!$DX419)</f>
        <v>375</v>
      </c>
      <c r="FN419" s="14">
        <f>INDEX(属性投放!$BR$6:$BR$85,(卡牌属性!$DW419-2)*20+卡牌属性!$DX419)</f>
        <v>375</v>
      </c>
      <c r="FO419" s="14">
        <f>INDEX(属性投放!$BR$6:$BR$85,(卡牌属性!$DW419-2)*20+卡牌属性!$DX419)</f>
        <v>375</v>
      </c>
      <c r="FP419" s="14">
        <f>INDEX(属性投放!$BR$6:$BR$85,(卡牌属性!$DW419-2)*20+卡牌属性!$DX419)</f>
        <v>375</v>
      </c>
      <c r="FQ419" s="14">
        <f>INDEX(属性投放!$BR$6:$BR$85,(卡牌属性!$DW419-2)*20+卡牌属性!$DX419)</f>
        <v>375</v>
      </c>
      <c r="FR419" s="14">
        <f>INDEX(属性投放!$BS$6:$BS$85,(卡牌属性!$DW419-2)*20+卡牌属性!$DX419)</f>
        <v>7500</v>
      </c>
      <c r="FS419" s="14">
        <f>INDEX(属性投放!$BS$6:$BS$85,(卡牌属性!$DW419-2)*20+卡牌属性!$DX419)</f>
        <v>7500</v>
      </c>
      <c r="FT419" s="14">
        <f>INDEX(属性投放!$BS$6:$BS$85,(卡牌属性!$DW419-2)*20+卡牌属性!$DX419)</f>
        <v>7500</v>
      </c>
      <c r="FU419" s="14">
        <f>INDEX(属性投放!$BS$6:$BS$85,(卡牌属性!$DW419-2)*20+卡牌属性!$DX419)</f>
        <v>7500</v>
      </c>
      <c r="FV419" s="14">
        <f>INDEX(属性投放!$BS$6:$BS$85,(卡牌属性!$DW419-2)*20+卡牌属性!$DX419)</f>
        <v>7500</v>
      </c>
    </row>
    <row r="420" spans="31:178" ht="16.5" x14ac:dyDescent="0.2">
      <c r="AE420" s="13">
        <v>416</v>
      </c>
      <c r="AF420" s="13">
        <f t="shared" si="753"/>
        <v>21</v>
      </c>
      <c r="AG420" s="13">
        <f t="shared" si="740"/>
        <v>4</v>
      </c>
      <c r="AH420" s="13"/>
      <c r="AI420" s="13"/>
      <c r="AJ420" s="14">
        <f t="shared" si="741"/>
        <v>1101026</v>
      </c>
      <c r="AK420" s="14" t="str">
        <f t="shared" si="742"/>
        <v>貂灵芸16突</v>
      </c>
      <c r="AL420" s="25" t="s">
        <v>142</v>
      </c>
      <c r="AM420" s="14">
        <v>1</v>
      </c>
      <c r="AN420" s="14">
        <f t="shared" si="743"/>
        <v>16</v>
      </c>
      <c r="AO420" s="14">
        <f>INDEX(属性投放!$DF$6:$DF$85,(卡牌属性!AG420-2)*20+卡牌属性!AN420)</f>
        <v>13851</v>
      </c>
      <c r="AP420" s="14">
        <f t="shared" si="763"/>
        <v>13851</v>
      </c>
      <c r="AQ420" s="14">
        <f t="shared" si="763"/>
        <v>13851</v>
      </c>
      <c r="AR420" s="14">
        <f t="shared" si="763"/>
        <v>13851</v>
      </c>
      <c r="AS420" s="14">
        <f t="shared" si="763"/>
        <v>13851</v>
      </c>
      <c r="AT420" s="14">
        <f>INDEX(属性投放!$DG$6:$DG$85,(卡牌属性!AG420-2)*20+卡牌属性!AN420)</f>
        <v>6844</v>
      </c>
      <c r="AU420" s="14">
        <f t="shared" si="764"/>
        <v>6844</v>
      </c>
      <c r="AV420" s="14">
        <f t="shared" si="764"/>
        <v>6844</v>
      </c>
      <c r="AW420" s="14">
        <f t="shared" si="764"/>
        <v>6844</v>
      </c>
      <c r="AX420" s="14">
        <f t="shared" si="764"/>
        <v>6844</v>
      </c>
      <c r="AY420" s="14">
        <f>INDEX(属性投放!$DH$6:$DH$85,(卡牌属性!AG420-2)*20+卡牌属性!AN420)</f>
        <v>124698</v>
      </c>
      <c r="AZ420" s="14">
        <f t="shared" si="765"/>
        <v>124698</v>
      </c>
      <c r="BA420" s="14">
        <f t="shared" si="765"/>
        <v>124698</v>
      </c>
      <c r="BB420" s="14">
        <f t="shared" si="765"/>
        <v>124698</v>
      </c>
      <c r="BC420" s="14">
        <f t="shared" si="765"/>
        <v>124698</v>
      </c>
      <c r="BD420" s="14">
        <f>INDEX(属性投放!$DL$6:$DL$85,(卡牌属性!AG420-2)*20+卡牌属性!AN420)</f>
        <v>284</v>
      </c>
      <c r="BE420" s="14">
        <f t="shared" si="766"/>
        <v>284</v>
      </c>
      <c r="BF420" s="14">
        <f t="shared" si="766"/>
        <v>284</v>
      </c>
      <c r="BG420" s="14">
        <f t="shared" si="766"/>
        <v>284</v>
      </c>
      <c r="BH420" s="14">
        <f t="shared" si="766"/>
        <v>284</v>
      </c>
      <c r="BI420" s="14">
        <f>INDEX(属性投放!$DM$6:$DM$85,(卡牌属性!AG420-2)*20+卡牌属性!AN420)</f>
        <v>142</v>
      </c>
      <c r="BJ420" s="14">
        <f t="shared" si="767"/>
        <v>142</v>
      </c>
      <c r="BK420" s="14">
        <f t="shared" si="767"/>
        <v>142</v>
      </c>
      <c r="BL420" s="14">
        <f t="shared" si="767"/>
        <v>142</v>
      </c>
      <c r="BM420" s="14">
        <f t="shared" si="767"/>
        <v>142</v>
      </c>
      <c r="BN420" s="14">
        <f>INDEX(属性投放!$DN$6:$DN$85,(卡牌属性!AG420-2)*20+卡牌属性!AN420)</f>
        <v>2845</v>
      </c>
      <c r="BO420" s="14">
        <f t="shared" si="768"/>
        <v>2845</v>
      </c>
      <c r="BP420" s="14">
        <f t="shared" si="768"/>
        <v>2845</v>
      </c>
      <c r="BQ420" s="14">
        <f t="shared" si="768"/>
        <v>2845</v>
      </c>
      <c r="BR420" s="14">
        <f t="shared" si="768"/>
        <v>2845</v>
      </c>
      <c r="BW420" s="13">
        <v>416</v>
      </c>
      <c r="BX420" s="13">
        <f t="shared" si="744"/>
        <v>21</v>
      </c>
      <c r="BY420" s="14">
        <f t="shared" si="745"/>
        <v>3</v>
      </c>
      <c r="BZ420" s="14">
        <f t="shared" si="754"/>
        <v>1102021</v>
      </c>
      <c r="CA420" s="14" t="str">
        <f t="shared" si="755"/>
        <v>烈风螳螂16突</v>
      </c>
      <c r="CB420" s="25" t="s">
        <v>142</v>
      </c>
      <c r="CC420" s="14">
        <v>2</v>
      </c>
      <c r="CD420" s="14">
        <f t="shared" si="746"/>
        <v>16</v>
      </c>
      <c r="CE420" s="14" t="s">
        <v>21</v>
      </c>
      <c r="CF420" s="14">
        <f>INDEX(属性投放!$AZ$6:$AZ$85,(BY420-2)*20+CD420)</f>
        <v>10466</v>
      </c>
      <c r="CG420" s="14" t="s">
        <v>22</v>
      </c>
      <c r="CH420" s="14">
        <f>INDEX(属性投放!$BA$6:$BA$85,(BY420-2)*20+CD420)</f>
        <v>5194</v>
      </c>
      <c r="CI420" s="14" t="s">
        <v>510</v>
      </c>
      <c r="CJ420" s="14">
        <f>INDEX(属性投放!$BB$6:$BB$85,(BY420-2)*20+CD420)</f>
        <v>93840</v>
      </c>
      <c r="CK420" s="14" t="s">
        <v>21</v>
      </c>
      <c r="CL420" s="14">
        <f>INDEX(属性投放!$BC$6:$BC$85,(BY420-2)*20+CD420)</f>
        <v>30</v>
      </c>
      <c r="CM420" s="14" t="s">
        <v>22</v>
      </c>
      <c r="CN420" s="14">
        <f>INDEX(属性投放!$BD$6:$BD$85,(BY420-2)*20+CD420)</f>
        <v>15</v>
      </c>
      <c r="CO420" s="14" t="s">
        <v>510</v>
      </c>
      <c r="CP420" s="14">
        <f>INDEX(属性投放!$BE$6:$BE$85,(BY420-2)*20+CD420)</f>
        <v>300</v>
      </c>
      <c r="CS420" s="13">
        <v>416</v>
      </c>
      <c r="CT420" s="13">
        <f t="shared" si="756"/>
        <v>8</v>
      </c>
      <c r="CU420" s="13">
        <f t="shared" si="757"/>
        <v>52</v>
      </c>
      <c r="CV420" s="14">
        <f t="shared" si="758"/>
        <v>4</v>
      </c>
      <c r="CW420" s="14">
        <f t="shared" si="759"/>
        <v>1102008</v>
      </c>
      <c r="CX420" s="14" t="str">
        <f>INDEX($O$6:$O$50,CT420)&amp;"-"&amp;INDEX(属性投放!$AB$7:$AB$50,CZ420)&amp;"-魂火-"&amp;DB420</f>
        <v>夏侯渊-无间+1-魂火-4</v>
      </c>
      <c r="CY420" s="25" t="s">
        <v>142</v>
      </c>
      <c r="CZ420" s="14">
        <f>INDEX(属性投放!$AM$7:$AM$58,CU420)</f>
        <v>20</v>
      </c>
      <c r="DA420" s="14" t="s">
        <v>537</v>
      </c>
      <c r="DB420" s="14">
        <f>INDEX(属性投放!$AN$7:$AN$58,CU420)</f>
        <v>4</v>
      </c>
      <c r="DC420" s="14">
        <f t="shared" si="747"/>
        <v>52</v>
      </c>
      <c r="DD420" s="14">
        <f>INDEX(属性投放!$AO$7:$AO$58,DC420)</f>
        <v>148</v>
      </c>
      <c r="DE420" s="14" t="s">
        <v>538</v>
      </c>
      <c r="DF420" s="14">
        <f>INDEX(属性投放!$BK$6:$BK$85,(CV420-2)*20+CZ420)</f>
        <v>1000</v>
      </c>
      <c r="DG420" s="14">
        <f>SUMIFS(DF$5:DF420,$CT$5:$CT420,"="&amp;$CT420)</f>
        <v>18335</v>
      </c>
      <c r="DH420" s="14" t="s">
        <v>539</v>
      </c>
      <c r="DI420" s="14">
        <f>INDEX(属性投放!$BL$6:$BL$85,(CV420-2)*20+CZ420)</f>
        <v>500</v>
      </c>
      <c r="DJ420" s="14">
        <f>SUMIFS(DI$5:DI420,$CT$5:$CT420,"="&amp;$CT420)</f>
        <v>9177</v>
      </c>
      <c r="DK420" s="14" t="s">
        <v>540</v>
      </c>
      <c r="DL420" s="14">
        <f>INDEX(属性投放!$BM$6:$BM$85,(CV420-2)*20+CZ420)</f>
        <v>10000</v>
      </c>
      <c r="DM420" s="14">
        <f>SUMIFS(DL$5:DL420,$CT$5:$CT420,"="&amp;$CT420)</f>
        <v>178785</v>
      </c>
      <c r="DR420" s="14">
        <f t="shared" si="748"/>
        <v>1102021</v>
      </c>
      <c r="DS420" s="14" t="str">
        <f t="shared" si="749"/>
        <v>烈风螳螂16突</v>
      </c>
      <c r="DT420" s="14">
        <f t="shared" si="760"/>
        <v>7</v>
      </c>
      <c r="DU420" s="14">
        <f t="shared" si="761"/>
        <v>5</v>
      </c>
      <c r="DV420" s="14">
        <f t="shared" si="762"/>
        <v>3</v>
      </c>
      <c r="DW420" s="14">
        <f t="shared" si="750"/>
        <v>3</v>
      </c>
      <c r="DX420" s="14">
        <f t="shared" si="751"/>
        <v>16</v>
      </c>
      <c r="DY420" s="14">
        <f t="shared" si="752"/>
        <v>36</v>
      </c>
      <c r="DZ420" s="14">
        <f>INDEX(属性投放!$AX$6:$AX$85,(卡牌属性!DW420-2)*20+卡牌属性!DX420)</f>
        <v>7</v>
      </c>
      <c r="EA420" s="14">
        <f>INDEX(属性投放!BQ$6:BQ$85,卡牌属性!$DY420)</f>
        <v>800</v>
      </c>
      <c r="EB420" s="14">
        <f>INDEX(属性投放!BR$6:BR$85,卡牌属性!$DY420)</f>
        <v>400</v>
      </c>
      <c r="EC420" s="14">
        <f>INDEX(属性投放!BS$6:BS$85,卡牌属性!$DY420)</f>
        <v>8000</v>
      </c>
      <c r="ED420" s="14">
        <f t="shared" si="769"/>
        <v>6283</v>
      </c>
      <c r="EE420" s="14">
        <f t="shared" si="770"/>
        <v>6700</v>
      </c>
      <c r="EF420" s="14">
        <f t="shared" si="771"/>
        <v>7145</v>
      </c>
      <c r="EG420" s="14">
        <f t="shared" si="772"/>
        <v>7145</v>
      </c>
      <c r="EH420" s="14">
        <f t="shared" si="773"/>
        <v>8400</v>
      </c>
      <c r="EI420" s="14">
        <f t="shared" si="774"/>
        <v>2576</v>
      </c>
      <c r="EJ420" s="14">
        <f t="shared" si="775"/>
        <v>2654</v>
      </c>
      <c r="EK420" s="14">
        <f t="shared" si="776"/>
        <v>2654</v>
      </c>
      <c r="EL420" s="14">
        <f t="shared" si="777"/>
        <v>3113</v>
      </c>
      <c r="EM420" s="14">
        <f t="shared" si="778"/>
        <v>3337</v>
      </c>
      <c r="EN420" s="14">
        <f t="shared" si="779"/>
        <v>39128</v>
      </c>
      <c r="EO420" s="14">
        <f t="shared" si="780"/>
        <v>41832</v>
      </c>
      <c r="EP420" s="14">
        <f t="shared" si="781"/>
        <v>41832</v>
      </c>
      <c r="EQ420" s="14">
        <f t="shared" si="782"/>
        <v>45100</v>
      </c>
      <c r="ER420" s="14">
        <f t="shared" si="783"/>
        <v>46264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INDEX(属性投放!$BQ$6:$BQ$85,(卡牌属性!$DW420-2)*20+卡牌属性!$DX420)</f>
        <v>800</v>
      </c>
      <c r="FI420" s="14">
        <f>INDEX(属性投放!$BQ$6:$BQ$85,(卡牌属性!$DW420-2)*20+卡牌属性!$DX420)</f>
        <v>800</v>
      </c>
      <c r="FJ420" s="14">
        <f>INDEX(属性投放!$BQ$6:$BQ$85,(卡牌属性!$DW420-2)*20+卡牌属性!$DX420)</f>
        <v>800</v>
      </c>
      <c r="FK420" s="14">
        <f>INDEX(属性投放!$BQ$6:$BQ$85,(卡牌属性!$DW420-2)*20+卡牌属性!$DX420)</f>
        <v>800</v>
      </c>
      <c r="FL420" s="14">
        <f>INDEX(属性投放!$BQ$6:$BQ$85,(卡牌属性!$DW420-2)*20+卡牌属性!$DX420)</f>
        <v>800</v>
      </c>
      <c r="FM420" s="14">
        <f>INDEX(属性投放!$BR$6:$BR$85,(卡牌属性!$DW420-2)*20+卡牌属性!$DX420)</f>
        <v>400</v>
      </c>
      <c r="FN420" s="14">
        <f>INDEX(属性投放!$BR$6:$BR$85,(卡牌属性!$DW420-2)*20+卡牌属性!$DX420)</f>
        <v>400</v>
      </c>
      <c r="FO420" s="14">
        <f>INDEX(属性投放!$BR$6:$BR$85,(卡牌属性!$DW420-2)*20+卡牌属性!$DX420)</f>
        <v>400</v>
      </c>
      <c r="FP420" s="14">
        <f>INDEX(属性投放!$BR$6:$BR$85,(卡牌属性!$DW420-2)*20+卡牌属性!$DX420)</f>
        <v>400</v>
      </c>
      <c r="FQ420" s="14">
        <f>INDEX(属性投放!$BR$6:$BR$85,(卡牌属性!$DW420-2)*20+卡牌属性!$DX420)</f>
        <v>400</v>
      </c>
      <c r="FR420" s="14">
        <f>INDEX(属性投放!$BS$6:$BS$85,(卡牌属性!$DW420-2)*20+卡牌属性!$DX420)</f>
        <v>8000</v>
      </c>
      <c r="FS420" s="14">
        <f>INDEX(属性投放!$BS$6:$BS$85,(卡牌属性!$DW420-2)*20+卡牌属性!$DX420)</f>
        <v>8000</v>
      </c>
      <c r="FT420" s="14">
        <f>INDEX(属性投放!$BS$6:$BS$85,(卡牌属性!$DW420-2)*20+卡牌属性!$DX420)</f>
        <v>8000</v>
      </c>
      <c r="FU420" s="14">
        <f>INDEX(属性投放!$BS$6:$BS$85,(卡牌属性!$DW420-2)*20+卡牌属性!$DX420)</f>
        <v>8000</v>
      </c>
      <c r="FV420" s="14">
        <f>INDEX(属性投放!$BS$6:$BS$85,(卡牌属性!$DW420-2)*20+卡牌属性!$DX420)</f>
        <v>8000</v>
      </c>
    </row>
    <row r="421" spans="31:178" ht="16.5" x14ac:dyDescent="0.2">
      <c r="AE421" s="13">
        <v>417</v>
      </c>
      <c r="AF421" s="13">
        <f t="shared" si="753"/>
        <v>21</v>
      </c>
      <c r="AG421" s="13">
        <f t="shared" si="740"/>
        <v>4</v>
      </c>
      <c r="AH421" s="13"/>
      <c r="AI421" s="13"/>
      <c r="AJ421" s="14">
        <f t="shared" si="741"/>
        <v>1101026</v>
      </c>
      <c r="AK421" s="14" t="str">
        <f t="shared" si="742"/>
        <v>貂灵芸17突</v>
      </c>
      <c r="AL421" s="25" t="s">
        <v>142</v>
      </c>
      <c r="AM421" s="14">
        <v>1</v>
      </c>
      <c r="AN421" s="14">
        <f t="shared" si="743"/>
        <v>17</v>
      </c>
      <c r="AO421" s="14">
        <f>INDEX(属性投放!$DF$6:$DF$85,(卡牌属性!AG421-2)*20+卡牌属性!AN421)</f>
        <v>14867</v>
      </c>
      <c r="AP421" s="14">
        <f t="shared" si="763"/>
        <v>14867</v>
      </c>
      <c r="AQ421" s="14">
        <f t="shared" si="763"/>
        <v>14867</v>
      </c>
      <c r="AR421" s="14">
        <f t="shared" si="763"/>
        <v>14867</v>
      </c>
      <c r="AS421" s="14">
        <f t="shared" si="763"/>
        <v>14867</v>
      </c>
      <c r="AT421" s="14">
        <f>INDEX(属性投放!$DG$6:$DG$85,(卡牌属性!AG421-2)*20+卡牌属性!AN421)</f>
        <v>7352</v>
      </c>
      <c r="AU421" s="14">
        <f t="shared" si="764"/>
        <v>7352</v>
      </c>
      <c r="AV421" s="14">
        <f t="shared" si="764"/>
        <v>7352</v>
      </c>
      <c r="AW421" s="14">
        <f t="shared" si="764"/>
        <v>7352</v>
      </c>
      <c r="AX421" s="14">
        <f t="shared" si="764"/>
        <v>7352</v>
      </c>
      <c r="AY421" s="14">
        <f>INDEX(属性投放!$DH$6:$DH$85,(卡牌属性!AG421-2)*20+卡牌属性!AN421)</f>
        <v>134858</v>
      </c>
      <c r="AZ421" s="14">
        <f t="shared" si="765"/>
        <v>134858</v>
      </c>
      <c r="BA421" s="14">
        <f t="shared" si="765"/>
        <v>134858</v>
      </c>
      <c r="BB421" s="14">
        <f t="shared" si="765"/>
        <v>134858</v>
      </c>
      <c r="BC421" s="14">
        <f t="shared" si="765"/>
        <v>134858</v>
      </c>
      <c r="BD421" s="14">
        <f>INDEX(属性投放!$DL$6:$DL$85,(卡牌属性!AG421-2)*20+卡牌属性!AN421)</f>
        <v>284</v>
      </c>
      <c r="BE421" s="14">
        <f t="shared" si="766"/>
        <v>284</v>
      </c>
      <c r="BF421" s="14">
        <f t="shared" si="766"/>
        <v>284</v>
      </c>
      <c r="BG421" s="14">
        <f t="shared" si="766"/>
        <v>284</v>
      </c>
      <c r="BH421" s="14">
        <f t="shared" si="766"/>
        <v>284</v>
      </c>
      <c r="BI421" s="14">
        <f>INDEX(属性投放!$DM$6:$DM$85,(卡牌属性!AG421-2)*20+卡牌属性!AN421)</f>
        <v>142</v>
      </c>
      <c r="BJ421" s="14">
        <f t="shared" si="767"/>
        <v>142</v>
      </c>
      <c r="BK421" s="14">
        <f t="shared" si="767"/>
        <v>142</v>
      </c>
      <c r="BL421" s="14">
        <f t="shared" si="767"/>
        <v>142</v>
      </c>
      <c r="BM421" s="14">
        <f t="shared" si="767"/>
        <v>142</v>
      </c>
      <c r="BN421" s="14">
        <f>INDEX(属性投放!$DN$6:$DN$85,(卡牌属性!AG421-2)*20+卡牌属性!AN421)</f>
        <v>2845</v>
      </c>
      <c r="BO421" s="14">
        <f t="shared" si="768"/>
        <v>2845</v>
      </c>
      <c r="BP421" s="14">
        <f t="shared" si="768"/>
        <v>2845</v>
      </c>
      <c r="BQ421" s="14">
        <f t="shared" si="768"/>
        <v>2845</v>
      </c>
      <c r="BR421" s="14">
        <f t="shared" si="768"/>
        <v>2845</v>
      </c>
      <c r="BW421" s="13">
        <v>417</v>
      </c>
      <c r="BX421" s="13">
        <f t="shared" si="744"/>
        <v>21</v>
      </c>
      <c r="BY421" s="14">
        <f t="shared" si="745"/>
        <v>3</v>
      </c>
      <c r="BZ421" s="14">
        <f t="shared" si="754"/>
        <v>1102021</v>
      </c>
      <c r="CA421" s="14" t="str">
        <f t="shared" si="755"/>
        <v>烈风螳螂17突</v>
      </c>
      <c r="CB421" s="25" t="s">
        <v>142</v>
      </c>
      <c r="CC421" s="14">
        <v>2</v>
      </c>
      <c r="CD421" s="14">
        <f t="shared" si="746"/>
        <v>17</v>
      </c>
      <c r="CE421" s="14" t="s">
        <v>21</v>
      </c>
      <c r="CF421" s="14">
        <f>INDEX(属性投放!$AZ$6:$AZ$85,(BY421-2)*20+CD421)</f>
        <v>12976</v>
      </c>
      <c r="CG421" s="14" t="s">
        <v>22</v>
      </c>
      <c r="CH421" s="14">
        <f>INDEX(属性投放!$BA$6:$BA$85,(BY421-2)*20+CD421)</f>
        <v>6449</v>
      </c>
      <c r="CI421" s="14" t="s">
        <v>510</v>
      </c>
      <c r="CJ421" s="14">
        <f>INDEX(属性投放!$BB$6:$BB$85,(BY421-2)*20+CD421)</f>
        <v>118940</v>
      </c>
      <c r="CK421" s="14" t="s">
        <v>21</v>
      </c>
      <c r="CL421" s="14">
        <f>INDEX(属性投放!$BC$6:$BC$85,(BY421-2)*20+CD421)</f>
        <v>30</v>
      </c>
      <c r="CM421" s="14" t="s">
        <v>22</v>
      </c>
      <c r="CN421" s="14">
        <f>INDEX(属性投放!$BD$6:$BD$85,(BY421-2)*20+CD421)</f>
        <v>15</v>
      </c>
      <c r="CO421" s="14" t="s">
        <v>510</v>
      </c>
      <c r="CP421" s="14">
        <f>INDEX(属性投放!$BE$6:$BE$85,(BY421-2)*20+CD421)</f>
        <v>300</v>
      </c>
      <c r="CS421" s="13">
        <v>417</v>
      </c>
      <c r="CT421" s="13">
        <f t="shared" si="756"/>
        <v>9</v>
      </c>
      <c r="CU421" s="13">
        <f t="shared" si="757"/>
        <v>1</v>
      </c>
      <c r="CV421" s="14">
        <f t="shared" si="758"/>
        <v>3</v>
      </c>
      <c r="CW421" s="14">
        <f t="shared" si="759"/>
        <v>1102009</v>
      </c>
      <c r="CX421" s="14" t="str">
        <f>INDEX($O$6:$O$50,CT421)&amp;"-"&amp;INDEX(属性投放!$AB$7:$AB$50,CZ421)&amp;"-魂火-"&amp;DB421</f>
        <v>徐晃-等活-魂火-1</v>
      </c>
      <c r="CY421" s="25" t="s">
        <v>142</v>
      </c>
      <c r="CZ421" s="14">
        <f>INDEX(属性投放!$AM$7:$AM$58,CU421)</f>
        <v>1</v>
      </c>
      <c r="DA421" s="14" t="s">
        <v>537</v>
      </c>
      <c r="DB421" s="14">
        <f>INDEX(属性投放!$AN$7:$AN$58,CU421)</f>
        <v>1</v>
      </c>
      <c r="DC421" s="14">
        <f t="shared" si="747"/>
        <v>1</v>
      </c>
      <c r="DD421" s="14">
        <f>INDEX(属性投放!$AO$7:$AO$58,DC421)</f>
        <v>3</v>
      </c>
      <c r="DE421" s="14" t="s">
        <v>538</v>
      </c>
      <c r="DF421" s="14">
        <f>INDEX(属性投放!$BK$6:$BK$85,(CV421-2)*20+CZ421)</f>
        <v>20</v>
      </c>
      <c r="DG421" s="14">
        <f>SUMIFS(DF$5:DF421,$CT$5:$CT421,"="&amp;$CT421)</f>
        <v>20</v>
      </c>
      <c r="DH421" s="14" t="s">
        <v>539</v>
      </c>
      <c r="DI421" s="14">
        <f>INDEX(属性投放!$BL$6:$BL$85,(CV421-2)*20+CZ421)</f>
        <v>10</v>
      </c>
      <c r="DJ421" s="14">
        <f>SUMIFS(DI$5:DI421,$CT$5:$CT421,"="&amp;$CT421)</f>
        <v>10</v>
      </c>
      <c r="DK421" s="14" t="s">
        <v>540</v>
      </c>
      <c r="DL421" s="14">
        <f>INDEX(属性投放!$BM$6:$BM$85,(CV421-2)*20+CZ421)</f>
        <v>120</v>
      </c>
      <c r="DM421" s="14">
        <f>SUMIFS(DL$5:DL421,$CT$5:$CT421,"="&amp;$CT421)</f>
        <v>120</v>
      </c>
      <c r="DR421" s="14">
        <f t="shared" si="748"/>
        <v>1102021</v>
      </c>
      <c r="DS421" s="14" t="str">
        <f t="shared" si="749"/>
        <v>烈风螳螂17突</v>
      </c>
      <c r="DT421" s="14">
        <f t="shared" si="760"/>
        <v>7</v>
      </c>
      <c r="DU421" s="14">
        <f t="shared" si="761"/>
        <v>5</v>
      </c>
      <c r="DV421" s="14">
        <f t="shared" si="762"/>
        <v>3</v>
      </c>
      <c r="DW421" s="14">
        <f t="shared" si="750"/>
        <v>3</v>
      </c>
      <c r="DX421" s="14">
        <f t="shared" si="751"/>
        <v>17</v>
      </c>
      <c r="DY421" s="14">
        <f t="shared" si="752"/>
        <v>37</v>
      </c>
      <c r="DZ421" s="14">
        <f>INDEX(属性投放!$AX$6:$AX$85,(卡牌属性!DW421-2)*20+卡牌属性!DX421)</f>
        <v>8</v>
      </c>
      <c r="EA421" s="14">
        <f>INDEX(属性投放!BQ$6:BQ$85,卡牌属性!$DY421)</f>
        <v>900</v>
      </c>
      <c r="EB421" s="14">
        <f>INDEX(属性投放!BR$6:BR$85,卡牌属性!$DY421)</f>
        <v>450</v>
      </c>
      <c r="EC421" s="14">
        <f>INDEX(属性投放!BS$6:BS$85,卡牌属性!$DY421)</f>
        <v>9000</v>
      </c>
      <c r="ED421" s="14">
        <f t="shared" si="769"/>
        <v>7433</v>
      </c>
      <c r="EE421" s="14">
        <f t="shared" si="770"/>
        <v>7920</v>
      </c>
      <c r="EF421" s="14">
        <f t="shared" si="771"/>
        <v>8470</v>
      </c>
      <c r="EG421" s="14">
        <f t="shared" si="772"/>
        <v>8470</v>
      </c>
      <c r="EH421" s="14">
        <f t="shared" si="773"/>
        <v>9900</v>
      </c>
      <c r="EI421" s="14">
        <f t="shared" si="774"/>
        <v>3081</v>
      </c>
      <c r="EJ421" s="14">
        <f t="shared" si="775"/>
        <v>3180</v>
      </c>
      <c r="EK421" s="14">
        <f t="shared" si="776"/>
        <v>3180</v>
      </c>
      <c r="EL421" s="14">
        <f t="shared" si="777"/>
        <v>3688</v>
      </c>
      <c r="EM421" s="14">
        <f t="shared" si="778"/>
        <v>3947</v>
      </c>
      <c r="EN421" s="14">
        <f t="shared" si="779"/>
        <v>48528</v>
      </c>
      <c r="EO421" s="14">
        <f t="shared" si="780"/>
        <v>51582</v>
      </c>
      <c r="EP421" s="14">
        <f t="shared" si="781"/>
        <v>51582</v>
      </c>
      <c r="EQ421" s="14">
        <f t="shared" si="782"/>
        <v>55200</v>
      </c>
      <c r="ER421" s="14">
        <f t="shared" si="783"/>
        <v>56714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INDEX(属性投放!$BQ$6:$BQ$85,(卡牌属性!$DW421-2)*20+卡牌属性!$DX421)</f>
        <v>900</v>
      </c>
      <c r="FI421" s="14">
        <f>INDEX(属性投放!$BQ$6:$BQ$85,(卡牌属性!$DW421-2)*20+卡牌属性!$DX421)</f>
        <v>900</v>
      </c>
      <c r="FJ421" s="14">
        <f>INDEX(属性投放!$BQ$6:$BQ$85,(卡牌属性!$DW421-2)*20+卡牌属性!$DX421)</f>
        <v>900</v>
      </c>
      <c r="FK421" s="14">
        <f>INDEX(属性投放!$BQ$6:$BQ$85,(卡牌属性!$DW421-2)*20+卡牌属性!$DX421)</f>
        <v>900</v>
      </c>
      <c r="FL421" s="14">
        <f>INDEX(属性投放!$BQ$6:$BQ$85,(卡牌属性!$DW421-2)*20+卡牌属性!$DX421)</f>
        <v>900</v>
      </c>
      <c r="FM421" s="14">
        <f>INDEX(属性投放!$BR$6:$BR$85,(卡牌属性!$DW421-2)*20+卡牌属性!$DX421)</f>
        <v>450</v>
      </c>
      <c r="FN421" s="14">
        <f>INDEX(属性投放!$BR$6:$BR$85,(卡牌属性!$DW421-2)*20+卡牌属性!$DX421)</f>
        <v>450</v>
      </c>
      <c r="FO421" s="14">
        <f>INDEX(属性投放!$BR$6:$BR$85,(卡牌属性!$DW421-2)*20+卡牌属性!$DX421)</f>
        <v>450</v>
      </c>
      <c r="FP421" s="14">
        <f>INDEX(属性投放!$BR$6:$BR$85,(卡牌属性!$DW421-2)*20+卡牌属性!$DX421)</f>
        <v>450</v>
      </c>
      <c r="FQ421" s="14">
        <f>INDEX(属性投放!$BR$6:$BR$85,(卡牌属性!$DW421-2)*20+卡牌属性!$DX421)</f>
        <v>450</v>
      </c>
      <c r="FR421" s="14">
        <f>INDEX(属性投放!$BS$6:$BS$85,(卡牌属性!$DW421-2)*20+卡牌属性!$DX421)</f>
        <v>9000</v>
      </c>
      <c r="FS421" s="14">
        <f>INDEX(属性投放!$BS$6:$BS$85,(卡牌属性!$DW421-2)*20+卡牌属性!$DX421)</f>
        <v>9000</v>
      </c>
      <c r="FT421" s="14">
        <f>INDEX(属性投放!$BS$6:$BS$85,(卡牌属性!$DW421-2)*20+卡牌属性!$DX421)</f>
        <v>9000</v>
      </c>
      <c r="FU421" s="14">
        <f>INDEX(属性投放!$BS$6:$BS$85,(卡牌属性!$DW421-2)*20+卡牌属性!$DX421)</f>
        <v>9000</v>
      </c>
      <c r="FV421" s="14">
        <f>INDEX(属性投放!$BS$6:$BS$85,(卡牌属性!$DW421-2)*20+卡牌属性!$DX421)</f>
        <v>9000</v>
      </c>
    </row>
    <row r="422" spans="31:178" ht="16.5" x14ac:dyDescent="0.2">
      <c r="AE422" s="13">
        <v>418</v>
      </c>
      <c r="AF422" s="13">
        <f t="shared" si="753"/>
        <v>21</v>
      </c>
      <c r="AG422" s="13">
        <f t="shared" si="740"/>
        <v>4</v>
      </c>
      <c r="AH422" s="13"/>
      <c r="AI422" s="13"/>
      <c r="AJ422" s="14">
        <f t="shared" si="741"/>
        <v>1101026</v>
      </c>
      <c r="AK422" s="14" t="str">
        <f t="shared" si="742"/>
        <v>貂灵芸18突</v>
      </c>
      <c r="AL422" s="25" t="s">
        <v>142</v>
      </c>
      <c r="AM422" s="14">
        <v>1</v>
      </c>
      <c r="AN422" s="14">
        <f t="shared" si="743"/>
        <v>18</v>
      </c>
      <c r="AO422" s="14">
        <f>INDEX(属性投放!$DF$6:$DF$85,(卡牌属性!AG422-2)*20+卡牌属性!AN422)</f>
        <v>15883</v>
      </c>
      <c r="AP422" s="14">
        <f t="shared" si="763"/>
        <v>15883</v>
      </c>
      <c r="AQ422" s="14">
        <f t="shared" si="763"/>
        <v>15883</v>
      </c>
      <c r="AR422" s="14">
        <f t="shared" si="763"/>
        <v>15883</v>
      </c>
      <c r="AS422" s="14">
        <f t="shared" si="763"/>
        <v>15883</v>
      </c>
      <c r="AT422" s="14">
        <f>INDEX(属性投放!$DG$6:$DG$85,(卡牌属性!AG422-2)*20+卡牌属性!AN422)</f>
        <v>7860</v>
      </c>
      <c r="AU422" s="14">
        <f t="shared" si="764"/>
        <v>7860</v>
      </c>
      <c r="AV422" s="14">
        <f t="shared" si="764"/>
        <v>7860</v>
      </c>
      <c r="AW422" s="14">
        <f t="shared" si="764"/>
        <v>7860</v>
      </c>
      <c r="AX422" s="14">
        <f t="shared" si="764"/>
        <v>7860</v>
      </c>
      <c r="AY422" s="14">
        <f>INDEX(属性投放!$DH$6:$DH$85,(卡牌属性!AG422-2)*20+卡牌属性!AN422)</f>
        <v>145018</v>
      </c>
      <c r="AZ422" s="14">
        <f t="shared" si="765"/>
        <v>145018</v>
      </c>
      <c r="BA422" s="14">
        <f t="shared" si="765"/>
        <v>145018</v>
      </c>
      <c r="BB422" s="14">
        <f t="shared" si="765"/>
        <v>145018</v>
      </c>
      <c r="BC422" s="14">
        <f t="shared" si="765"/>
        <v>145018</v>
      </c>
      <c r="BD422" s="14">
        <f>INDEX(属性投放!$DL$6:$DL$85,(卡牌属性!AG422-2)*20+卡牌属性!AN422)</f>
        <v>284</v>
      </c>
      <c r="BE422" s="14">
        <f t="shared" si="766"/>
        <v>284</v>
      </c>
      <c r="BF422" s="14">
        <f t="shared" si="766"/>
        <v>284</v>
      </c>
      <c r="BG422" s="14">
        <f t="shared" si="766"/>
        <v>284</v>
      </c>
      <c r="BH422" s="14">
        <f t="shared" si="766"/>
        <v>284</v>
      </c>
      <c r="BI422" s="14">
        <f>INDEX(属性投放!$DM$6:$DM$85,(卡牌属性!AG422-2)*20+卡牌属性!AN422)</f>
        <v>142</v>
      </c>
      <c r="BJ422" s="14">
        <f t="shared" si="767"/>
        <v>142</v>
      </c>
      <c r="BK422" s="14">
        <f t="shared" si="767"/>
        <v>142</v>
      </c>
      <c r="BL422" s="14">
        <f t="shared" si="767"/>
        <v>142</v>
      </c>
      <c r="BM422" s="14">
        <f t="shared" si="767"/>
        <v>142</v>
      </c>
      <c r="BN422" s="14">
        <f>INDEX(属性投放!$DN$6:$DN$85,(卡牌属性!AG422-2)*20+卡牌属性!AN422)</f>
        <v>2845</v>
      </c>
      <c r="BO422" s="14">
        <f t="shared" si="768"/>
        <v>2845</v>
      </c>
      <c r="BP422" s="14">
        <f t="shared" si="768"/>
        <v>2845</v>
      </c>
      <c r="BQ422" s="14">
        <f t="shared" si="768"/>
        <v>2845</v>
      </c>
      <c r="BR422" s="14">
        <f t="shared" si="768"/>
        <v>2845</v>
      </c>
      <c r="BW422" s="13">
        <v>418</v>
      </c>
      <c r="BX422" s="13">
        <f t="shared" si="744"/>
        <v>21</v>
      </c>
      <c r="BY422" s="14">
        <f t="shared" si="745"/>
        <v>3</v>
      </c>
      <c r="BZ422" s="14">
        <f t="shared" si="754"/>
        <v>1102021</v>
      </c>
      <c r="CA422" s="14" t="str">
        <f t="shared" si="755"/>
        <v>烈风螳螂18突</v>
      </c>
      <c r="CB422" s="25" t="s">
        <v>142</v>
      </c>
      <c r="CC422" s="14">
        <v>2</v>
      </c>
      <c r="CD422" s="14">
        <f t="shared" si="746"/>
        <v>18</v>
      </c>
      <c r="CE422" s="14" t="s">
        <v>21</v>
      </c>
      <c r="CF422" s="14">
        <f>INDEX(属性投放!$AZ$6:$AZ$85,(BY422-2)*20+CD422)</f>
        <v>15916</v>
      </c>
      <c r="CG422" s="14" t="s">
        <v>22</v>
      </c>
      <c r="CH422" s="14">
        <f>INDEX(属性投放!$BA$6:$BA$85,(BY422-2)*20+CD422)</f>
        <v>7919</v>
      </c>
      <c r="CI422" s="14" t="s">
        <v>510</v>
      </c>
      <c r="CJ422" s="14">
        <f>INDEX(属性投放!$BB$6:$BB$85,(BY422-2)*20+CD422)</f>
        <v>148340</v>
      </c>
      <c r="CK422" s="14" t="s">
        <v>21</v>
      </c>
      <c r="CL422" s="14">
        <f>INDEX(属性投放!$BC$6:$BC$85,(BY422-2)*20+CD422)</f>
        <v>30</v>
      </c>
      <c r="CM422" s="14" t="s">
        <v>22</v>
      </c>
      <c r="CN422" s="14">
        <f>INDEX(属性投放!$BD$6:$BD$85,(BY422-2)*20+CD422)</f>
        <v>15</v>
      </c>
      <c r="CO422" s="14" t="s">
        <v>510</v>
      </c>
      <c r="CP422" s="14">
        <f>INDEX(属性投放!$BE$6:$BE$85,(BY422-2)*20+CD422)</f>
        <v>300</v>
      </c>
      <c r="CS422" s="13">
        <v>418</v>
      </c>
      <c r="CT422" s="13">
        <f t="shared" si="756"/>
        <v>9</v>
      </c>
      <c r="CU422" s="13">
        <f t="shared" si="757"/>
        <v>2</v>
      </c>
      <c r="CV422" s="14">
        <f t="shared" si="758"/>
        <v>3</v>
      </c>
      <c r="CW422" s="14">
        <f t="shared" si="759"/>
        <v>1102009</v>
      </c>
      <c r="CX422" s="14" t="str">
        <f>INDEX($O$6:$O$50,CT422)&amp;"-"&amp;INDEX(属性投放!$AB$7:$AB$50,CZ422)&amp;"-魂火-"&amp;DB422</f>
        <v>徐晃-黑绳-魂火-1</v>
      </c>
      <c r="CY422" s="25" t="s">
        <v>142</v>
      </c>
      <c r="CZ422" s="14">
        <f>INDEX(属性投放!$AM$7:$AM$58,CU422)</f>
        <v>2</v>
      </c>
      <c r="DA422" s="14" t="s">
        <v>537</v>
      </c>
      <c r="DB422" s="14">
        <f>INDEX(属性投放!$AN$7:$AN$58,CU422)</f>
        <v>1</v>
      </c>
      <c r="DC422" s="14">
        <f t="shared" si="747"/>
        <v>2</v>
      </c>
      <c r="DD422" s="14">
        <f>INDEX(属性投放!$AO$7:$AO$58,DC422)</f>
        <v>8</v>
      </c>
      <c r="DE422" s="14" t="s">
        <v>538</v>
      </c>
      <c r="DF422" s="14">
        <f>INDEX(属性投放!$BK$6:$BK$85,(CV422-2)*20+CZ422)</f>
        <v>25</v>
      </c>
      <c r="DG422" s="14">
        <f>SUMIFS(DF$5:DF422,$CT$5:$CT422,"="&amp;$CT422)</f>
        <v>45</v>
      </c>
      <c r="DH422" s="14" t="s">
        <v>539</v>
      </c>
      <c r="DI422" s="14">
        <f>INDEX(属性投放!$BL$6:$BL$85,(CV422-2)*20+CZ422)</f>
        <v>13</v>
      </c>
      <c r="DJ422" s="14">
        <f>SUMIFS(DI$5:DI422,$CT$5:$CT422,"="&amp;$CT422)</f>
        <v>23</v>
      </c>
      <c r="DK422" s="14" t="s">
        <v>540</v>
      </c>
      <c r="DL422" s="14">
        <f>INDEX(属性投放!$BM$6:$BM$85,(CV422-2)*20+CZ422)</f>
        <v>150</v>
      </c>
      <c r="DM422" s="14">
        <f>SUMIFS(DL$5:DL422,$CT$5:$CT422,"="&amp;$CT422)</f>
        <v>270</v>
      </c>
      <c r="DR422" s="14">
        <f t="shared" si="748"/>
        <v>1102021</v>
      </c>
      <c r="DS422" s="14" t="str">
        <f t="shared" si="749"/>
        <v>烈风螳螂18突</v>
      </c>
      <c r="DT422" s="14">
        <f t="shared" si="760"/>
        <v>7</v>
      </c>
      <c r="DU422" s="14">
        <f t="shared" si="761"/>
        <v>5</v>
      </c>
      <c r="DV422" s="14">
        <f t="shared" si="762"/>
        <v>3</v>
      </c>
      <c r="DW422" s="14">
        <f t="shared" si="750"/>
        <v>3</v>
      </c>
      <c r="DX422" s="14">
        <f t="shared" si="751"/>
        <v>18</v>
      </c>
      <c r="DY422" s="14">
        <f t="shared" si="752"/>
        <v>38</v>
      </c>
      <c r="DZ422" s="14">
        <f>INDEX(属性投放!$AX$6:$AX$85,(卡牌属性!DW422-2)*20+卡牌属性!DX422)</f>
        <v>7</v>
      </c>
      <c r="EA422" s="14">
        <f>INDEX(属性投放!BQ$6:BQ$85,卡牌属性!$DY422)</f>
        <v>1500</v>
      </c>
      <c r="EB422" s="14">
        <f>INDEX(属性投放!BR$6:BR$85,卡牌属性!$DY422)</f>
        <v>750</v>
      </c>
      <c r="EC422" s="14">
        <f>INDEX(属性投放!BS$6:BS$85,卡牌属性!$DY422)</f>
        <v>15000</v>
      </c>
      <c r="ED422" s="14">
        <f t="shared" si="769"/>
        <v>8733</v>
      </c>
      <c r="EE422" s="14">
        <f t="shared" si="770"/>
        <v>9300</v>
      </c>
      <c r="EF422" s="14">
        <f t="shared" si="771"/>
        <v>9970</v>
      </c>
      <c r="EG422" s="14">
        <f t="shared" si="772"/>
        <v>9970</v>
      </c>
      <c r="EH422" s="14">
        <f t="shared" si="773"/>
        <v>11600</v>
      </c>
      <c r="EI422" s="14">
        <f t="shared" si="774"/>
        <v>3651</v>
      </c>
      <c r="EJ422" s="14">
        <f t="shared" si="775"/>
        <v>3774</v>
      </c>
      <c r="EK422" s="14">
        <f t="shared" si="776"/>
        <v>3774</v>
      </c>
      <c r="EL422" s="14">
        <f t="shared" si="777"/>
        <v>4338</v>
      </c>
      <c r="EM422" s="14">
        <f t="shared" si="778"/>
        <v>4637</v>
      </c>
      <c r="EN422" s="14">
        <f t="shared" si="779"/>
        <v>59128</v>
      </c>
      <c r="EO422" s="14">
        <f t="shared" si="780"/>
        <v>62582</v>
      </c>
      <c r="EP422" s="14">
        <f t="shared" si="781"/>
        <v>62582</v>
      </c>
      <c r="EQ422" s="14">
        <f t="shared" si="782"/>
        <v>66600</v>
      </c>
      <c r="ER422" s="14">
        <f t="shared" si="783"/>
        <v>68514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INDEX(属性投放!$BQ$6:$BQ$85,(卡牌属性!$DW422-2)*20+卡牌属性!$DX422)</f>
        <v>1500</v>
      </c>
      <c r="FI422" s="14">
        <f>INDEX(属性投放!$BQ$6:$BQ$85,(卡牌属性!$DW422-2)*20+卡牌属性!$DX422)</f>
        <v>1500</v>
      </c>
      <c r="FJ422" s="14">
        <f>INDEX(属性投放!$BQ$6:$BQ$85,(卡牌属性!$DW422-2)*20+卡牌属性!$DX422)</f>
        <v>1500</v>
      </c>
      <c r="FK422" s="14">
        <f>INDEX(属性投放!$BQ$6:$BQ$85,(卡牌属性!$DW422-2)*20+卡牌属性!$DX422)</f>
        <v>1500</v>
      </c>
      <c r="FL422" s="14">
        <f>INDEX(属性投放!$BQ$6:$BQ$85,(卡牌属性!$DW422-2)*20+卡牌属性!$DX422)</f>
        <v>1500</v>
      </c>
      <c r="FM422" s="14">
        <f>INDEX(属性投放!$BR$6:$BR$85,(卡牌属性!$DW422-2)*20+卡牌属性!$DX422)</f>
        <v>750</v>
      </c>
      <c r="FN422" s="14">
        <f>INDEX(属性投放!$BR$6:$BR$85,(卡牌属性!$DW422-2)*20+卡牌属性!$DX422)</f>
        <v>750</v>
      </c>
      <c r="FO422" s="14">
        <f>INDEX(属性投放!$BR$6:$BR$85,(卡牌属性!$DW422-2)*20+卡牌属性!$DX422)</f>
        <v>750</v>
      </c>
      <c r="FP422" s="14">
        <f>INDEX(属性投放!$BR$6:$BR$85,(卡牌属性!$DW422-2)*20+卡牌属性!$DX422)</f>
        <v>750</v>
      </c>
      <c r="FQ422" s="14">
        <f>INDEX(属性投放!$BR$6:$BR$85,(卡牌属性!$DW422-2)*20+卡牌属性!$DX422)</f>
        <v>750</v>
      </c>
      <c r="FR422" s="14">
        <f>INDEX(属性投放!$BS$6:$BS$85,(卡牌属性!$DW422-2)*20+卡牌属性!$DX422)</f>
        <v>15000</v>
      </c>
      <c r="FS422" s="14">
        <f>INDEX(属性投放!$BS$6:$BS$85,(卡牌属性!$DW422-2)*20+卡牌属性!$DX422)</f>
        <v>15000</v>
      </c>
      <c r="FT422" s="14">
        <f>INDEX(属性投放!$BS$6:$BS$85,(卡牌属性!$DW422-2)*20+卡牌属性!$DX422)</f>
        <v>15000</v>
      </c>
      <c r="FU422" s="14">
        <f>INDEX(属性投放!$BS$6:$BS$85,(卡牌属性!$DW422-2)*20+卡牌属性!$DX422)</f>
        <v>15000</v>
      </c>
      <c r="FV422" s="14">
        <f>INDEX(属性投放!$BS$6:$BS$85,(卡牌属性!$DW422-2)*20+卡牌属性!$DX422)</f>
        <v>15000</v>
      </c>
    </row>
    <row r="423" spans="31:178" ht="16.5" x14ac:dyDescent="0.2">
      <c r="AE423" s="13">
        <v>419</v>
      </c>
      <c r="AF423" s="13">
        <f t="shared" si="753"/>
        <v>21</v>
      </c>
      <c r="AG423" s="13">
        <f t="shared" si="740"/>
        <v>4</v>
      </c>
      <c r="AH423" s="13"/>
      <c r="AI423" s="13"/>
      <c r="AJ423" s="14">
        <f t="shared" si="741"/>
        <v>1101026</v>
      </c>
      <c r="AK423" s="14" t="str">
        <f t="shared" si="742"/>
        <v>貂灵芸19突</v>
      </c>
      <c r="AL423" s="25" t="s">
        <v>142</v>
      </c>
      <c r="AM423" s="14">
        <v>1</v>
      </c>
      <c r="AN423" s="14">
        <f t="shared" si="743"/>
        <v>19</v>
      </c>
      <c r="AO423" s="14">
        <f>INDEX(属性投放!$DF$6:$DF$85,(卡牌属性!AG423-2)*20+卡牌属性!AN423)</f>
        <v>23999</v>
      </c>
      <c r="AP423" s="14">
        <f t="shared" si="763"/>
        <v>23999</v>
      </c>
      <c r="AQ423" s="14">
        <f t="shared" si="763"/>
        <v>23999</v>
      </c>
      <c r="AR423" s="14">
        <f t="shared" si="763"/>
        <v>23999</v>
      </c>
      <c r="AS423" s="14">
        <f t="shared" si="763"/>
        <v>23999</v>
      </c>
      <c r="AT423" s="14">
        <f>INDEX(属性投放!$DG$6:$DG$85,(卡牌属性!AG423-2)*20+卡牌属性!AN423)</f>
        <v>11918</v>
      </c>
      <c r="AU423" s="14">
        <f t="shared" si="764"/>
        <v>11918</v>
      </c>
      <c r="AV423" s="14">
        <f t="shared" si="764"/>
        <v>11918</v>
      </c>
      <c r="AW423" s="14">
        <f t="shared" si="764"/>
        <v>11918</v>
      </c>
      <c r="AX423" s="14">
        <f t="shared" si="764"/>
        <v>11918</v>
      </c>
      <c r="AY423" s="14">
        <f>INDEX(属性投放!$DH$6:$DH$85,(卡牌属性!AG423-2)*20+卡牌属性!AN423)</f>
        <v>226303</v>
      </c>
      <c r="AZ423" s="14">
        <f t="shared" si="765"/>
        <v>226303</v>
      </c>
      <c r="BA423" s="14">
        <f t="shared" si="765"/>
        <v>226303</v>
      </c>
      <c r="BB423" s="14">
        <f t="shared" si="765"/>
        <v>226303</v>
      </c>
      <c r="BC423" s="14">
        <f t="shared" si="765"/>
        <v>226303</v>
      </c>
      <c r="BD423" s="14">
        <f>INDEX(属性投放!$DL$6:$DL$85,(卡牌属性!AG423-2)*20+卡牌属性!AN423)</f>
        <v>516</v>
      </c>
      <c r="BE423" s="14">
        <f t="shared" si="766"/>
        <v>516</v>
      </c>
      <c r="BF423" s="14">
        <f t="shared" si="766"/>
        <v>516</v>
      </c>
      <c r="BG423" s="14">
        <f t="shared" si="766"/>
        <v>516</v>
      </c>
      <c r="BH423" s="14">
        <f t="shared" si="766"/>
        <v>516</v>
      </c>
      <c r="BI423" s="14">
        <f>INDEX(属性投放!$DM$6:$DM$85,(卡牌属性!AG423-2)*20+卡牌属性!AN423)</f>
        <v>258</v>
      </c>
      <c r="BJ423" s="14">
        <f t="shared" si="767"/>
        <v>258</v>
      </c>
      <c r="BK423" s="14">
        <f t="shared" si="767"/>
        <v>258</v>
      </c>
      <c r="BL423" s="14">
        <f t="shared" si="767"/>
        <v>258</v>
      </c>
      <c r="BM423" s="14">
        <f t="shared" si="767"/>
        <v>258</v>
      </c>
      <c r="BN423" s="14">
        <f>INDEX(属性投放!$DN$6:$DN$85,(卡牌属性!AG423-2)*20+卡牌属性!AN423)</f>
        <v>5157</v>
      </c>
      <c r="BO423" s="14">
        <f t="shared" si="768"/>
        <v>5157</v>
      </c>
      <c r="BP423" s="14">
        <f t="shared" si="768"/>
        <v>5157</v>
      </c>
      <c r="BQ423" s="14">
        <f t="shared" si="768"/>
        <v>5157</v>
      </c>
      <c r="BR423" s="14">
        <f t="shared" si="768"/>
        <v>5157</v>
      </c>
      <c r="BW423" s="13">
        <v>419</v>
      </c>
      <c r="BX423" s="13">
        <f t="shared" si="744"/>
        <v>21</v>
      </c>
      <c r="BY423" s="14">
        <f t="shared" si="745"/>
        <v>3</v>
      </c>
      <c r="BZ423" s="14">
        <f t="shared" si="754"/>
        <v>1102021</v>
      </c>
      <c r="CA423" s="14" t="str">
        <f t="shared" si="755"/>
        <v>烈风螳螂19突</v>
      </c>
      <c r="CB423" s="25" t="s">
        <v>142</v>
      </c>
      <c r="CC423" s="14">
        <v>2</v>
      </c>
      <c r="CD423" s="14">
        <f t="shared" si="746"/>
        <v>19</v>
      </c>
      <c r="CE423" s="14" t="s">
        <v>21</v>
      </c>
      <c r="CF423" s="14">
        <f>INDEX(属性投放!$AZ$6:$AZ$85,(BY423-2)*20+CD423)</f>
        <v>19726</v>
      </c>
      <c r="CG423" s="14" t="s">
        <v>22</v>
      </c>
      <c r="CH423" s="14">
        <f>INDEX(属性投放!$BA$6:$BA$85,(BY423-2)*20+CD423)</f>
        <v>9824</v>
      </c>
      <c r="CI423" s="14" t="s">
        <v>510</v>
      </c>
      <c r="CJ423" s="14">
        <f>INDEX(属性投放!$BB$6:$BB$85,(BY423-2)*20+CD423)</f>
        <v>186440</v>
      </c>
      <c r="CK423" s="14" t="s">
        <v>21</v>
      </c>
      <c r="CL423" s="14">
        <f>INDEX(属性投放!$BC$6:$BC$85,(BY423-2)*20+CD423)</f>
        <v>40</v>
      </c>
      <c r="CM423" s="14" t="s">
        <v>22</v>
      </c>
      <c r="CN423" s="14">
        <f>INDEX(属性投放!$BD$6:$BD$85,(BY423-2)*20+CD423)</f>
        <v>20</v>
      </c>
      <c r="CO423" s="14" t="s">
        <v>510</v>
      </c>
      <c r="CP423" s="14">
        <f>INDEX(属性投放!$BE$6:$BE$85,(BY423-2)*20+CD423)</f>
        <v>400</v>
      </c>
      <c r="CS423" s="13">
        <v>419</v>
      </c>
      <c r="CT423" s="13">
        <f t="shared" si="756"/>
        <v>9</v>
      </c>
      <c r="CU423" s="13">
        <f t="shared" si="757"/>
        <v>3</v>
      </c>
      <c r="CV423" s="14">
        <f t="shared" si="758"/>
        <v>3</v>
      </c>
      <c r="CW423" s="14">
        <f t="shared" si="759"/>
        <v>1102009</v>
      </c>
      <c r="CX423" s="14" t="str">
        <f>INDEX($O$6:$O$50,CT423)&amp;"-"&amp;INDEX(属性投放!$AB$7:$AB$50,CZ423)&amp;"-魂火-"&amp;DB423</f>
        <v>徐晃-黑绳-魂火-2</v>
      </c>
      <c r="CY423" s="25" t="s">
        <v>142</v>
      </c>
      <c r="CZ423" s="14">
        <f>INDEX(属性投放!$AM$7:$AM$58,CU423)</f>
        <v>2</v>
      </c>
      <c r="DA423" s="14" t="s">
        <v>537</v>
      </c>
      <c r="DB423" s="14">
        <f>INDEX(属性投放!$AN$7:$AN$58,CU423)</f>
        <v>2</v>
      </c>
      <c r="DC423" s="14">
        <f t="shared" si="747"/>
        <v>3</v>
      </c>
      <c r="DD423" s="14">
        <f>INDEX(属性投放!$AO$7:$AO$58,DC423)</f>
        <v>13</v>
      </c>
      <c r="DE423" s="14" t="s">
        <v>538</v>
      </c>
      <c r="DF423" s="14">
        <f>INDEX(属性投放!$BK$6:$BK$85,(CV423-2)*20+CZ423)</f>
        <v>25</v>
      </c>
      <c r="DG423" s="14">
        <f>SUMIFS(DF$5:DF423,$CT$5:$CT423,"="&amp;$CT423)</f>
        <v>70</v>
      </c>
      <c r="DH423" s="14" t="s">
        <v>539</v>
      </c>
      <c r="DI423" s="14">
        <f>INDEX(属性投放!$BL$6:$BL$85,(CV423-2)*20+CZ423)</f>
        <v>13</v>
      </c>
      <c r="DJ423" s="14">
        <f>SUMIFS(DI$5:DI423,$CT$5:$CT423,"="&amp;$CT423)</f>
        <v>36</v>
      </c>
      <c r="DK423" s="14" t="s">
        <v>540</v>
      </c>
      <c r="DL423" s="14">
        <f>INDEX(属性投放!$BM$6:$BM$85,(CV423-2)*20+CZ423)</f>
        <v>150</v>
      </c>
      <c r="DM423" s="14">
        <f>SUMIFS(DL$5:DL423,$CT$5:$CT423,"="&amp;$CT423)</f>
        <v>420</v>
      </c>
      <c r="DR423" s="14">
        <f t="shared" si="748"/>
        <v>1102021</v>
      </c>
      <c r="DS423" s="14" t="str">
        <f t="shared" si="749"/>
        <v>烈风螳螂19突</v>
      </c>
      <c r="DT423" s="14">
        <f t="shared" si="760"/>
        <v>7</v>
      </c>
      <c r="DU423" s="14">
        <f t="shared" si="761"/>
        <v>5</v>
      </c>
      <c r="DV423" s="14">
        <f t="shared" si="762"/>
        <v>3</v>
      </c>
      <c r="DW423" s="14">
        <f t="shared" si="750"/>
        <v>3</v>
      </c>
      <c r="DX423" s="14">
        <f t="shared" si="751"/>
        <v>19</v>
      </c>
      <c r="DY423" s="14">
        <f t="shared" si="752"/>
        <v>39</v>
      </c>
      <c r="DZ423" s="14">
        <f>INDEX(属性投放!$AX$6:$AX$85,(卡牌属性!DW423-2)*20+卡牌属性!DX423)</f>
        <v>8</v>
      </c>
      <c r="EA423" s="14">
        <f>INDEX(属性投放!BQ$6:BQ$85,卡牌属性!$DY423)</f>
        <v>1500</v>
      </c>
      <c r="EB423" s="14">
        <f>INDEX(属性投放!BR$6:BR$85,卡牌属性!$DY423)</f>
        <v>750</v>
      </c>
      <c r="EC423" s="14">
        <f>INDEX(属性投放!BS$6:BS$85,卡牌属性!$DY423)</f>
        <v>15000</v>
      </c>
      <c r="ED423" s="14">
        <f t="shared" si="769"/>
        <v>10583</v>
      </c>
      <c r="EE423" s="14">
        <f t="shared" si="770"/>
        <v>11220</v>
      </c>
      <c r="EF423" s="14">
        <f t="shared" si="771"/>
        <v>11995</v>
      </c>
      <c r="EG423" s="14">
        <f t="shared" si="772"/>
        <v>11995</v>
      </c>
      <c r="EH423" s="14">
        <f t="shared" si="773"/>
        <v>13800</v>
      </c>
      <c r="EI423" s="14">
        <f t="shared" si="774"/>
        <v>4506</v>
      </c>
      <c r="EJ423" s="14">
        <f t="shared" si="775"/>
        <v>4650</v>
      </c>
      <c r="EK423" s="14">
        <f t="shared" si="776"/>
        <v>4650</v>
      </c>
      <c r="EL423" s="14">
        <f t="shared" si="777"/>
        <v>5263</v>
      </c>
      <c r="EM423" s="14">
        <f t="shared" si="778"/>
        <v>5597</v>
      </c>
      <c r="EN423" s="14">
        <f t="shared" si="779"/>
        <v>75528</v>
      </c>
      <c r="EO423" s="14">
        <f t="shared" si="780"/>
        <v>79332</v>
      </c>
      <c r="EP423" s="14">
        <f t="shared" si="781"/>
        <v>79332</v>
      </c>
      <c r="EQ423" s="14">
        <f t="shared" si="782"/>
        <v>83700</v>
      </c>
      <c r="ER423" s="14">
        <f t="shared" si="783"/>
        <v>85964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INDEX(属性投放!$BQ$6:$BQ$85,(卡牌属性!$DW423-2)*20+卡牌属性!$DX423)</f>
        <v>1500</v>
      </c>
      <c r="FI423" s="14">
        <f>INDEX(属性投放!$BQ$6:$BQ$85,(卡牌属性!$DW423-2)*20+卡牌属性!$DX423)</f>
        <v>1500</v>
      </c>
      <c r="FJ423" s="14">
        <f>INDEX(属性投放!$BQ$6:$BQ$85,(卡牌属性!$DW423-2)*20+卡牌属性!$DX423)</f>
        <v>1500</v>
      </c>
      <c r="FK423" s="14">
        <f>INDEX(属性投放!$BQ$6:$BQ$85,(卡牌属性!$DW423-2)*20+卡牌属性!$DX423)</f>
        <v>1500</v>
      </c>
      <c r="FL423" s="14">
        <f>INDEX(属性投放!$BQ$6:$BQ$85,(卡牌属性!$DW423-2)*20+卡牌属性!$DX423)</f>
        <v>1500</v>
      </c>
      <c r="FM423" s="14">
        <f>INDEX(属性投放!$BR$6:$BR$85,(卡牌属性!$DW423-2)*20+卡牌属性!$DX423)</f>
        <v>750</v>
      </c>
      <c r="FN423" s="14">
        <f>INDEX(属性投放!$BR$6:$BR$85,(卡牌属性!$DW423-2)*20+卡牌属性!$DX423)</f>
        <v>750</v>
      </c>
      <c r="FO423" s="14">
        <f>INDEX(属性投放!$BR$6:$BR$85,(卡牌属性!$DW423-2)*20+卡牌属性!$DX423)</f>
        <v>750</v>
      </c>
      <c r="FP423" s="14">
        <f>INDEX(属性投放!$BR$6:$BR$85,(卡牌属性!$DW423-2)*20+卡牌属性!$DX423)</f>
        <v>750</v>
      </c>
      <c r="FQ423" s="14">
        <f>INDEX(属性投放!$BR$6:$BR$85,(卡牌属性!$DW423-2)*20+卡牌属性!$DX423)</f>
        <v>750</v>
      </c>
      <c r="FR423" s="14">
        <f>INDEX(属性投放!$BS$6:$BS$85,(卡牌属性!$DW423-2)*20+卡牌属性!$DX423)</f>
        <v>15000</v>
      </c>
      <c r="FS423" s="14">
        <f>INDEX(属性投放!$BS$6:$BS$85,(卡牌属性!$DW423-2)*20+卡牌属性!$DX423)</f>
        <v>15000</v>
      </c>
      <c r="FT423" s="14">
        <f>INDEX(属性投放!$BS$6:$BS$85,(卡牌属性!$DW423-2)*20+卡牌属性!$DX423)</f>
        <v>15000</v>
      </c>
      <c r="FU423" s="14">
        <f>INDEX(属性投放!$BS$6:$BS$85,(卡牌属性!$DW423-2)*20+卡牌属性!$DX423)</f>
        <v>15000</v>
      </c>
      <c r="FV423" s="14">
        <f>INDEX(属性投放!$BS$6:$BS$85,(卡牌属性!$DW423-2)*20+卡牌属性!$DX423)</f>
        <v>15000</v>
      </c>
    </row>
    <row r="424" spans="31:178" ht="16.5" x14ac:dyDescent="0.2">
      <c r="AE424" s="13">
        <v>420</v>
      </c>
      <c r="AF424" s="13">
        <f t="shared" si="753"/>
        <v>21</v>
      </c>
      <c r="AG424" s="13">
        <f t="shared" si="740"/>
        <v>4</v>
      </c>
      <c r="AH424" s="13"/>
      <c r="AI424" s="13"/>
      <c r="AJ424" s="14">
        <f t="shared" si="741"/>
        <v>1101026</v>
      </c>
      <c r="AK424" s="14" t="str">
        <f t="shared" si="742"/>
        <v>貂灵芸20突</v>
      </c>
      <c r="AL424" s="25" t="s">
        <v>142</v>
      </c>
      <c r="AM424" s="14">
        <v>1</v>
      </c>
      <c r="AN424" s="14">
        <f t="shared" si="743"/>
        <v>20</v>
      </c>
      <c r="AO424" s="14">
        <f>INDEX(属性投放!$DF$6:$DF$85,(卡牌属性!AG424-2)*20+卡牌属性!AN424)</f>
        <v>25104</v>
      </c>
      <c r="AP424" s="14">
        <f t="shared" si="763"/>
        <v>25104</v>
      </c>
      <c r="AQ424" s="14">
        <f t="shared" si="763"/>
        <v>25104</v>
      </c>
      <c r="AR424" s="14">
        <f t="shared" si="763"/>
        <v>25104</v>
      </c>
      <c r="AS424" s="14">
        <f t="shared" si="763"/>
        <v>25104</v>
      </c>
      <c r="AT424" s="14">
        <f>INDEX(属性投放!$DG$6:$DG$85,(卡牌属性!AG424-2)*20+卡牌属性!AN424)</f>
        <v>12471</v>
      </c>
      <c r="AU424" s="14">
        <f t="shared" si="764"/>
        <v>12471</v>
      </c>
      <c r="AV424" s="14">
        <f t="shared" si="764"/>
        <v>12471</v>
      </c>
      <c r="AW424" s="14">
        <f t="shared" si="764"/>
        <v>12471</v>
      </c>
      <c r="AX424" s="14">
        <f t="shared" si="764"/>
        <v>12471</v>
      </c>
      <c r="AY424" s="14">
        <f>INDEX(属性投放!$DH$6:$DH$85,(卡牌属性!AG424-2)*20+卡牌属性!AN424)</f>
        <v>237353</v>
      </c>
      <c r="AZ424" s="14">
        <f t="shared" si="765"/>
        <v>237353</v>
      </c>
      <c r="BA424" s="14">
        <f t="shared" si="765"/>
        <v>237353</v>
      </c>
      <c r="BB424" s="14">
        <f t="shared" si="765"/>
        <v>237353</v>
      </c>
      <c r="BC424" s="14">
        <f t="shared" si="765"/>
        <v>237353</v>
      </c>
      <c r="BD424" s="14">
        <f>INDEX(属性投放!$DL$6:$DL$85,(卡牌属性!AG424-2)*20+卡牌属性!AN424)</f>
        <v>516</v>
      </c>
      <c r="BE424" s="14">
        <f t="shared" si="766"/>
        <v>516</v>
      </c>
      <c r="BF424" s="14">
        <f t="shared" si="766"/>
        <v>516</v>
      </c>
      <c r="BG424" s="14">
        <f t="shared" si="766"/>
        <v>516</v>
      </c>
      <c r="BH424" s="14">
        <f t="shared" si="766"/>
        <v>516</v>
      </c>
      <c r="BI424" s="14">
        <f>INDEX(属性投放!$DM$6:$DM$85,(卡牌属性!AG424-2)*20+卡牌属性!AN424)</f>
        <v>258</v>
      </c>
      <c r="BJ424" s="14">
        <f t="shared" si="767"/>
        <v>258</v>
      </c>
      <c r="BK424" s="14">
        <f t="shared" si="767"/>
        <v>258</v>
      </c>
      <c r="BL424" s="14">
        <f t="shared" si="767"/>
        <v>258</v>
      </c>
      <c r="BM424" s="14">
        <f t="shared" si="767"/>
        <v>258</v>
      </c>
      <c r="BN424" s="14">
        <f>INDEX(属性投放!$DN$6:$DN$85,(卡牌属性!AG424-2)*20+卡牌属性!AN424)</f>
        <v>5157</v>
      </c>
      <c r="BO424" s="14">
        <f t="shared" si="768"/>
        <v>5157</v>
      </c>
      <c r="BP424" s="14">
        <f t="shared" si="768"/>
        <v>5157</v>
      </c>
      <c r="BQ424" s="14">
        <f t="shared" si="768"/>
        <v>5157</v>
      </c>
      <c r="BR424" s="14">
        <f t="shared" si="768"/>
        <v>5157</v>
      </c>
      <c r="BW424" s="13">
        <v>420</v>
      </c>
      <c r="BX424" s="13">
        <f t="shared" si="744"/>
        <v>21</v>
      </c>
      <c r="BY424" s="14">
        <f t="shared" si="745"/>
        <v>3</v>
      </c>
      <c r="BZ424" s="14">
        <f t="shared" si="754"/>
        <v>1102021</v>
      </c>
      <c r="CA424" s="14" t="str">
        <f t="shared" si="755"/>
        <v>烈风螳螂20突</v>
      </c>
      <c r="CB424" s="25" t="s">
        <v>142</v>
      </c>
      <c r="CC424" s="14">
        <v>2</v>
      </c>
      <c r="CD424" s="14">
        <f t="shared" si="746"/>
        <v>20</v>
      </c>
      <c r="CE424" s="14" t="s">
        <v>21</v>
      </c>
      <c r="CF424" s="14">
        <f>INDEX(属性投放!$AZ$6:$AZ$85,(BY424-2)*20+CD424)</f>
        <v>24246</v>
      </c>
      <c r="CG424" s="14" t="s">
        <v>22</v>
      </c>
      <c r="CH424" s="14">
        <f>INDEX(属性投放!$BA$6:$BA$85,(BY424-2)*20+CD424)</f>
        <v>12084</v>
      </c>
      <c r="CI424" s="14" t="s">
        <v>510</v>
      </c>
      <c r="CJ424" s="14">
        <f>INDEX(属性投放!$BB$6:$BB$85,(BY424-2)*20+CD424)</f>
        <v>231640</v>
      </c>
      <c r="CK424" s="14" t="s">
        <v>21</v>
      </c>
      <c r="CL424" s="14">
        <f>INDEX(属性投放!$BC$6:$BC$85,(BY424-2)*20+CD424)</f>
        <v>40</v>
      </c>
      <c r="CM424" s="14" t="s">
        <v>22</v>
      </c>
      <c r="CN424" s="14">
        <f>INDEX(属性投放!$BD$6:$BD$85,(BY424-2)*20+CD424)</f>
        <v>20</v>
      </c>
      <c r="CO424" s="14" t="s">
        <v>510</v>
      </c>
      <c r="CP424" s="14">
        <f>INDEX(属性投放!$BE$6:$BE$85,(BY424-2)*20+CD424)</f>
        <v>400</v>
      </c>
      <c r="CS424" s="13">
        <v>420</v>
      </c>
      <c r="CT424" s="13">
        <f t="shared" si="756"/>
        <v>9</v>
      </c>
      <c r="CU424" s="13">
        <f t="shared" si="757"/>
        <v>4</v>
      </c>
      <c r="CV424" s="14">
        <f t="shared" si="758"/>
        <v>3</v>
      </c>
      <c r="CW424" s="14">
        <f t="shared" si="759"/>
        <v>1102009</v>
      </c>
      <c r="CX424" s="14" t="str">
        <f>INDEX($O$6:$O$50,CT424)&amp;"-"&amp;INDEX(属性投放!$AB$7:$AB$50,CZ424)&amp;"-魂火-"&amp;DB424</f>
        <v>徐晃-黑绳+1-魂火-1</v>
      </c>
      <c r="CY424" s="25" t="s">
        <v>142</v>
      </c>
      <c r="CZ424" s="14">
        <f>INDEX(属性投放!$AM$7:$AM$58,CU424)</f>
        <v>3</v>
      </c>
      <c r="DA424" s="14" t="s">
        <v>537</v>
      </c>
      <c r="DB424" s="14">
        <f>INDEX(属性投放!$AN$7:$AN$58,CU424)</f>
        <v>1</v>
      </c>
      <c r="DC424" s="14">
        <f t="shared" si="747"/>
        <v>4</v>
      </c>
      <c r="DD424" s="14">
        <f>INDEX(属性投放!$AO$7:$AO$58,DC424)</f>
        <v>18</v>
      </c>
      <c r="DE424" s="14" t="s">
        <v>538</v>
      </c>
      <c r="DF424" s="14">
        <f>INDEX(属性投放!$BK$6:$BK$85,(CV424-2)*20+CZ424)</f>
        <v>30</v>
      </c>
      <c r="DG424" s="14">
        <f>SUMIFS(DF$5:DF424,$CT$5:$CT424,"="&amp;$CT424)</f>
        <v>100</v>
      </c>
      <c r="DH424" s="14" t="s">
        <v>539</v>
      </c>
      <c r="DI424" s="14">
        <f>INDEX(属性投放!$BL$6:$BL$85,(CV424-2)*20+CZ424)</f>
        <v>15</v>
      </c>
      <c r="DJ424" s="14">
        <f>SUMIFS(DI$5:DI424,$CT$5:$CT424,"="&amp;$CT424)</f>
        <v>51</v>
      </c>
      <c r="DK424" s="14" t="s">
        <v>540</v>
      </c>
      <c r="DL424" s="14">
        <f>INDEX(属性投放!$BM$6:$BM$85,(CV424-2)*20+CZ424)</f>
        <v>180</v>
      </c>
      <c r="DM424" s="14">
        <f>SUMIFS(DL$5:DL424,$CT$5:$CT424,"="&amp;$CT424)</f>
        <v>600</v>
      </c>
      <c r="DR424" s="14">
        <f t="shared" si="748"/>
        <v>1102021</v>
      </c>
      <c r="DS424" s="14" t="str">
        <f t="shared" si="749"/>
        <v>烈风螳螂20突</v>
      </c>
      <c r="DT424" s="14">
        <f t="shared" si="760"/>
        <v>7</v>
      </c>
      <c r="DU424" s="14">
        <f t="shared" si="761"/>
        <v>5</v>
      </c>
      <c r="DV424" s="14">
        <f t="shared" si="762"/>
        <v>3</v>
      </c>
      <c r="DW424" s="14">
        <f t="shared" si="750"/>
        <v>3</v>
      </c>
      <c r="DX424" s="14">
        <f t="shared" si="751"/>
        <v>20</v>
      </c>
      <c r="DY424" s="14">
        <f t="shared" si="752"/>
        <v>40</v>
      </c>
      <c r="DZ424" s="14">
        <f>INDEX(属性投放!$AX$6:$AX$85,(卡牌属性!DW424-2)*20+卡牌属性!DX424)</f>
        <v>10</v>
      </c>
      <c r="EA424" s="14">
        <f>INDEX(属性投放!BQ$6:BQ$85,卡牌属性!$DY424)</f>
        <v>1500</v>
      </c>
      <c r="EB424" s="14">
        <f>INDEX(属性投放!BR$6:BR$85,卡牌属性!$DY424)</f>
        <v>750</v>
      </c>
      <c r="EC424" s="14">
        <f>INDEX(属性投放!BS$6:BS$85,卡牌属性!$DY424)</f>
        <v>15000</v>
      </c>
      <c r="ED424" s="14">
        <f t="shared" si="769"/>
        <v>12683</v>
      </c>
      <c r="EE424" s="14">
        <f t="shared" si="770"/>
        <v>13360</v>
      </c>
      <c r="EF424" s="14">
        <f t="shared" si="771"/>
        <v>14295</v>
      </c>
      <c r="EG424" s="14">
        <f t="shared" si="772"/>
        <v>14295</v>
      </c>
      <c r="EH424" s="14">
        <f t="shared" si="773"/>
        <v>16500</v>
      </c>
      <c r="EI424" s="14">
        <f t="shared" si="774"/>
        <v>5416</v>
      </c>
      <c r="EJ424" s="14">
        <f t="shared" si="775"/>
        <v>5584</v>
      </c>
      <c r="EK424" s="14">
        <f t="shared" si="776"/>
        <v>5584</v>
      </c>
      <c r="EL424" s="14">
        <f t="shared" si="777"/>
        <v>6317</v>
      </c>
      <c r="EM424" s="14">
        <f t="shared" si="778"/>
        <v>6667</v>
      </c>
      <c r="EN424" s="14">
        <f t="shared" si="779"/>
        <v>92528</v>
      </c>
      <c r="EO424" s="14">
        <f t="shared" si="780"/>
        <v>96732</v>
      </c>
      <c r="EP424" s="14">
        <f t="shared" si="781"/>
        <v>96732</v>
      </c>
      <c r="EQ424" s="14">
        <f t="shared" si="782"/>
        <v>101900</v>
      </c>
      <c r="ER424" s="14">
        <f t="shared" si="783"/>
        <v>104564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INDEX(属性投放!$BQ$6:$BQ$85,(卡牌属性!$DW424-2)*20+卡牌属性!$DX424)</f>
        <v>1500</v>
      </c>
      <c r="FI424" s="14">
        <f>INDEX(属性投放!$BQ$6:$BQ$85,(卡牌属性!$DW424-2)*20+卡牌属性!$DX424)</f>
        <v>1500</v>
      </c>
      <c r="FJ424" s="14">
        <f>INDEX(属性投放!$BQ$6:$BQ$85,(卡牌属性!$DW424-2)*20+卡牌属性!$DX424)</f>
        <v>1500</v>
      </c>
      <c r="FK424" s="14">
        <f>INDEX(属性投放!$BQ$6:$BQ$85,(卡牌属性!$DW424-2)*20+卡牌属性!$DX424)</f>
        <v>1500</v>
      </c>
      <c r="FL424" s="14">
        <f>INDEX(属性投放!$BQ$6:$BQ$85,(卡牌属性!$DW424-2)*20+卡牌属性!$DX424)</f>
        <v>1500</v>
      </c>
      <c r="FM424" s="14">
        <f>INDEX(属性投放!$BR$6:$BR$85,(卡牌属性!$DW424-2)*20+卡牌属性!$DX424)</f>
        <v>750</v>
      </c>
      <c r="FN424" s="14">
        <f>INDEX(属性投放!$BR$6:$BR$85,(卡牌属性!$DW424-2)*20+卡牌属性!$DX424)</f>
        <v>750</v>
      </c>
      <c r="FO424" s="14">
        <f>INDEX(属性投放!$BR$6:$BR$85,(卡牌属性!$DW424-2)*20+卡牌属性!$DX424)</f>
        <v>750</v>
      </c>
      <c r="FP424" s="14">
        <f>INDEX(属性投放!$BR$6:$BR$85,(卡牌属性!$DW424-2)*20+卡牌属性!$DX424)</f>
        <v>750</v>
      </c>
      <c r="FQ424" s="14">
        <f>INDEX(属性投放!$BR$6:$BR$85,(卡牌属性!$DW424-2)*20+卡牌属性!$DX424)</f>
        <v>750</v>
      </c>
      <c r="FR424" s="14">
        <f>INDEX(属性投放!$BS$6:$BS$85,(卡牌属性!$DW424-2)*20+卡牌属性!$DX424)</f>
        <v>15000</v>
      </c>
      <c r="FS424" s="14">
        <f>INDEX(属性投放!$BS$6:$BS$85,(卡牌属性!$DW424-2)*20+卡牌属性!$DX424)</f>
        <v>15000</v>
      </c>
      <c r="FT424" s="14">
        <f>INDEX(属性投放!$BS$6:$BS$85,(卡牌属性!$DW424-2)*20+卡牌属性!$DX424)</f>
        <v>15000</v>
      </c>
      <c r="FU424" s="14">
        <f>INDEX(属性投放!$BS$6:$BS$85,(卡牌属性!$DW424-2)*20+卡牌属性!$DX424)</f>
        <v>15000</v>
      </c>
      <c r="FV424" s="14">
        <f>INDEX(属性投放!$BS$6:$BS$85,(卡牌属性!$DW424-2)*20+卡牌属性!$DX424)</f>
        <v>15000</v>
      </c>
    </row>
    <row r="425" spans="31:178" ht="16.5" x14ac:dyDescent="0.2">
      <c r="AE425" s="13">
        <v>421</v>
      </c>
      <c r="AF425" s="13">
        <f t="shared" si="753"/>
        <v>22</v>
      </c>
      <c r="AG425" s="13">
        <f t="shared" si="740"/>
        <v>3</v>
      </c>
      <c r="AH425" s="13"/>
      <c r="AI425" s="13"/>
      <c r="AJ425" s="14">
        <f t="shared" si="741"/>
        <v>1101030</v>
      </c>
      <c r="AK425" s="14" t="str">
        <f t="shared" si="742"/>
        <v>卢天佑1突</v>
      </c>
      <c r="AL425" s="25" t="s">
        <v>142</v>
      </c>
      <c r="AM425" s="14">
        <v>1</v>
      </c>
      <c r="AN425" s="14">
        <f t="shared" si="743"/>
        <v>1</v>
      </c>
      <c r="AO425" s="14">
        <f>INDEX(属性投放!$DF$6:$DF$85,(卡牌属性!AG425-2)*20+卡牌属性!AN425)</f>
        <v>150</v>
      </c>
      <c r="AP425" s="14">
        <f t="shared" ref="AP425:AS445" si="784">$AO425</f>
        <v>150</v>
      </c>
      <c r="AQ425" s="14">
        <f t="shared" si="784"/>
        <v>150</v>
      </c>
      <c r="AR425" s="14">
        <f t="shared" si="784"/>
        <v>150</v>
      </c>
      <c r="AS425" s="14">
        <f t="shared" si="784"/>
        <v>150</v>
      </c>
      <c r="AT425" s="14">
        <f>INDEX(属性投放!$DG$6:$DG$85,(卡牌属性!AG425-2)*20+卡牌属性!AN425)</f>
        <v>0</v>
      </c>
      <c r="AU425" s="14">
        <f t="shared" ref="AU425:AX445" si="785">$AT425</f>
        <v>0</v>
      </c>
      <c r="AV425" s="14">
        <f t="shared" si="785"/>
        <v>0</v>
      </c>
      <c r="AW425" s="14">
        <f t="shared" si="785"/>
        <v>0</v>
      </c>
      <c r="AX425" s="14">
        <f t="shared" si="785"/>
        <v>0</v>
      </c>
      <c r="AY425" s="14">
        <f>INDEX(属性投放!$DH$6:$DH$85,(卡牌属性!AG425-2)*20+卡牌属性!AN425)</f>
        <v>375</v>
      </c>
      <c r="AZ425" s="14">
        <f t="shared" ref="AZ425:BC445" si="786">$AY425</f>
        <v>375</v>
      </c>
      <c r="BA425" s="14">
        <f t="shared" si="786"/>
        <v>375</v>
      </c>
      <c r="BB425" s="14">
        <f t="shared" si="786"/>
        <v>375</v>
      </c>
      <c r="BC425" s="14">
        <f t="shared" si="786"/>
        <v>375</v>
      </c>
      <c r="BD425" s="14">
        <f>INDEX(属性投放!$DL$6:$DL$85,(卡牌属性!AG425-2)*20+卡牌属性!AN425)</f>
        <v>8</v>
      </c>
      <c r="BE425" s="14">
        <f t="shared" ref="BE425:BH445" si="787">$BD425</f>
        <v>8</v>
      </c>
      <c r="BF425" s="14">
        <f t="shared" si="787"/>
        <v>8</v>
      </c>
      <c r="BG425" s="14">
        <f t="shared" si="787"/>
        <v>8</v>
      </c>
      <c r="BH425" s="14">
        <f t="shared" si="787"/>
        <v>8</v>
      </c>
      <c r="BI425" s="14">
        <f>INDEX(属性投放!$DM$6:$DM$85,(卡牌属性!AG425-2)*20+卡牌属性!AN425)</f>
        <v>4</v>
      </c>
      <c r="BJ425" s="14">
        <f t="shared" ref="BJ425:BM445" si="788">$BI425</f>
        <v>4</v>
      </c>
      <c r="BK425" s="14">
        <f t="shared" si="788"/>
        <v>4</v>
      </c>
      <c r="BL425" s="14">
        <f t="shared" si="788"/>
        <v>4</v>
      </c>
      <c r="BM425" s="14">
        <f t="shared" si="788"/>
        <v>4</v>
      </c>
      <c r="BN425" s="14">
        <f>INDEX(属性投放!$DN$6:$DN$85,(卡牌属性!AG425-2)*20+卡牌属性!AN425)</f>
        <v>49</v>
      </c>
      <c r="BO425" s="14">
        <f t="shared" ref="BO425:BR445" si="789">$BN425</f>
        <v>49</v>
      </c>
      <c r="BP425" s="14">
        <f t="shared" si="789"/>
        <v>49</v>
      </c>
      <c r="BQ425" s="14">
        <f t="shared" si="789"/>
        <v>49</v>
      </c>
      <c r="BR425" s="14">
        <f t="shared" si="789"/>
        <v>49</v>
      </c>
      <c r="BW425" s="13">
        <v>421</v>
      </c>
      <c r="BX425" s="13">
        <f t="shared" si="744"/>
        <v>22</v>
      </c>
      <c r="BY425" s="14">
        <f t="shared" si="745"/>
        <v>2</v>
      </c>
      <c r="BZ425" s="14">
        <f t="shared" si="754"/>
        <v>1102050</v>
      </c>
      <c r="CA425" s="14" t="str">
        <f t="shared" si="755"/>
        <v>柠檬精1突</v>
      </c>
      <c r="CB425" s="25" t="s">
        <v>142</v>
      </c>
      <c r="CC425" s="14">
        <v>2</v>
      </c>
      <c r="CD425" s="14">
        <f t="shared" si="746"/>
        <v>1</v>
      </c>
      <c r="CE425" s="14" t="s">
        <v>21</v>
      </c>
      <c r="CF425" s="14">
        <f>INDEX(属性投放!$AZ$6:$AZ$85,(BY425-2)*20+CD425)</f>
        <v>100</v>
      </c>
      <c r="CG425" s="14" t="s">
        <v>22</v>
      </c>
      <c r="CH425" s="14">
        <f>INDEX(属性投放!$BA$6:$BA$85,(BY425-2)*20+CD425)</f>
        <v>0</v>
      </c>
      <c r="CI425" s="14" t="s">
        <v>510</v>
      </c>
      <c r="CJ425" s="14">
        <f>INDEX(属性投放!$BB$6:$BB$85,(BY425-2)*20+CD425)</f>
        <v>300</v>
      </c>
      <c r="CK425" s="14" t="s">
        <v>21</v>
      </c>
      <c r="CL425" s="14">
        <f>INDEX(属性投放!$BC$6:$BC$85,(BY425-2)*20+CD425)</f>
        <v>5</v>
      </c>
      <c r="CM425" s="14" t="s">
        <v>22</v>
      </c>
      <c r="CN425" s="14">
        <f>INDEX(属性投放!$BD$6:$BD$85,(BY425-2)*20+CD425)</f>
        <v>3</v>
      </c>
      <c r="CO425" s="14" t="s">
        <v>510</v>
      </c>
      <c r="CP425" s="14">
        <f>INDEX(属性投放!$BE$6:$BE$85,(BY425-2)*20+CD425)</f>
        <v>30</v>
      </c>
      <c r="CS425" s="13">
        <v>421</v>
      </c>
      <c r="CT425" s="13">
        <f t="shared" si="756"/>
        <v>9</v>
      </c>
      <c r="CU425" s="13">
        <f t="shared" si="757"/>
        <v>5</v>
      </c>
      <c r="CV425" s="14">
        <f t="shared" si="758"/>
        <v>3</v>
      </c>
      <c r="CW425" s="14">
        <f t="shared" si="759"/>
        <v>1102009</v>
      </c>
      <c r="CX425" s="14" t="str">
        <f>INDEX($O$6:$O$50,CT425)&amp;"-"&amp;INDEX(属性投放!$AB$7:$AB$50,CZ425)&amp;"-魂火-"&amp;DB425</f>
        <v>徐晃-黑绳+1-魂火-2</v>
      </c>
      <c r="CY425" s="25" t="s">
        <v>142</v>
      </c>
      <c r="CZ425" s="14">
        <f>INDEX(属性投放!$AM$7:$AM$58,CU425)</f>
        <v>3</v>
      </c>
      <c r="DA425" s="14" t="s">
        <v>537</v>
      </c>
      <c r="DB425" s="14">
        <f>INDEX(属性投放!$AN$7:$AN$58,CU425)</f>
        <v>2</v>
      </c>
      <c r="DC425" s="14">
        <f t="shared" si="747"/>
        <v>5</v>
      </c>
      <c r="DD425" s="14">
        <f>INDEX(属性投放!$AO$7:$AO$58,DC425)</f>
        <v>23</v>
      </c>
      <c r="DE425" s="14" t="s">
        <v>538</v>
      </c>
      <c r="DF425" s="14">
        <f>INDEX(属性投放!$BK$6:$BK$85,(CV425-2)*20+CZ425)</f>
        <v>30</v>
      </c>
      <c r="DG425" s="14">
        <f>SUMIFS(DF$5:DF425,$CT$5:$CT425,"="&amp;$CT425)</f>
        <v>130</v>
      </c>
      <c r="DH425" s="14" t="s">
        <v>539</v>
      </c>
      <c r="DI425" s="14">
        <f>INDEX(属性投放!$BL$6:$BL$85,(CV425-2)*20+CZ425)</f>
        <v>15</v>
      </c>
      <c r="DJ425" s="14">
        <f>SUMIFS(DI$5:DI425,$CT$5:$CT425,"="&amp;$CT425)</f>
        <v>66</v>
      </c>
      <c r="DK425" s="14" t="s">
        <v>540</v>
      </c>
      <c r="DL425" s="14">
        <f>INDEX(属性投放!$BM$6:$BM$85,(CV425-2)*20+CZ425)</f>
        <v>180</v>
      </c>
      <c r="DM425" s="14">
        <f>SUMIFS(DL$5:DL425,$CT$5:$CT425,"="&amp;$CT425)</f>
        <v>780</v>
      </c>
      <c r="DR425" s="14">
        <f t="shared" si="748"/>
        <v>1102050</v>
      </c>
      <c r="DS425" s="14" t="str">
        <f t="shared" si="749"/>
        <v>柠檬精1突</v>
      </c>
      <c r="DT425" s="14">
        <f t="shared" si="760"/>
        <v>3</v>
      </c>
      <c r="DU425" s="14">
        <f t="shared" si="761"/>
        <v>1</v>
      </c>
      <c r="DV425" s="14">
        <f t="shared" si="762"/>
        <v>4</v>
      </c>
      <c r="DW425" s="14">
        <f t="shared" si="750"/>
        <v>2</v>
      </c>
      <c r="DX425" s="14">
        <f t="shared" si="751"/>
        <v>1</v>
      </c>
      <c r="DY425" s="14">
        <f t="shared" si="752"/>
        <v>1</v>
      </c>
      <c r="DZ425" s="14">
        <f>INDEX(属性投放!$AX$6:$AX$85,(卡牌属性!DW425-2)*20+卡牌属性!DX425)</f>
        <v>4</v>
      </c>
      <c r="EA425" s="14">
        <f>INDEX(属性投放!BQ$6:BQ$85,卡牌属性!$DY425)</f>
        <v>25</v>
      </c>
      <c r="EB425" s="14">
        <f>INDEX(属性投放!BR$6:BR$85,卡牌属性!$DY425)</f>
        <v>13</v>
      </c>
      <c r="EC425" s="14">
        <f>INDEX(属性投放!BS$6:BS$85,卡牌属性!$DY425)</f>
        <v>150</v>
      </c>
      <c r="ED425" s="14">
        <f>INDEX(属性偏向!$I$4:$I$15,卡牌属性!$DT425+ED$3)</f>
        <v>100</v>
      </c>
      <c r="EE425" s="14">
        <f>INDEX(属性偏向!$I$4:$I$15,卡牌属性!$DT425+EE$3)</f>
        <v>125</v>
      </c>
      <c r="EF425" s="14">
        <f>INDEX(属性偏向!$I$4:$I$15,卡牌属性!$DT425+EF$3)</f>
        <v>150</v>
      </c>
      <c r="EG425" s="14">
        <f>INDEX(属性偏向!$I$4:$I$15,卡牌属性!$DT425+EG$3)</f>
        <v>150</v>
      </c>
      <c r="EH425" s="14">
        <f>INDEX(属性偏向!$I$4:$I$15,卡牌属性!$DT425+EH$3)</f>
        <v>175</v>
      </c>
      <c r="EI425" s="14">
        <f>INDEX(属性偏向!$J$4:$J$15,卡牌属性!$DU425+EI$3)</f>
        <v>0</v>
      </c>
      <c r="EJ425" s="14">
        <f>INDEX(属性偏向!$J$4:$J$15,卡牌属性!$DU425+EJ$3)</f>
        <v>5</v>
      </c>
      <c r="EK425" s="14">
        <f>INDEX(属性偏向!$J$4:$J$15,卡牌属性!$DU425+EK$3)</f>
        <v>5</v>
      </c>
      <c r="EL425" s="14">
        <f>INDEX(属性偏向!$J$4:$J$15,卡牌属性!$DU425+EL$3)</f>
        <v>10</v>
      </c>
      <c r="EM425" s="14">
        <f>INDEX(属性偏向!$J$4:$J$15,卡牌属性!$DU425+EM$3)</f>
        <v>20</v>
      </c>
      <c r="EN425" s="14">
        <f>INDEX(属性偏向!$K$4:$K$15,卡牌属性!$DV425+EN$3)</f>
        <v>400</v>
      </c>
      <c r="EO425" s="14">
        <f>INDEX(属性偏向!$K$4:$K$15,卡牌属性!$DV425+EO$3)</f>
        <v>500</v>
      </c>
      <c r="EP425" s="14">
        <f>INDEX(属性偏向!$K$4:$K$15,卡牌属性!$DV425+EP$3)</f>
        <v>500</v>
      </c>
      <c r="EQ425" s="14">
        <f>INDEX(属性偏向!$K$4:$K$15,卡牌属性!$DV425+EQ$3)</f>
        <v>650</v>
      </c>
      <c r="ER425" s="14">
        <f>INDEX(属性偏向!$K$4:$K$15,卡牌属性!$DV425+ER$3)</f>
        <v>800</v>
      </c>
      <c r="ES425" s="14">
        <f>INDEX(属性偏向!$S$4:$S$243,(卡牌属性!$DT425-1+ES$3)*20+卡牌属性!$DX425)</f>
        <v>5</v>
      </c>
      <c r="ET425" s="14">
        <f>INDEX(属性偏向!$S$4:$S$243,(卡牌属性!$DT425-1+ET$3)*20+卡牌属性!$DX425)</f>
        <v>6</v>
      </c>
      <c r="EU425" s="14">
        <f>INDEX(属性偏向!$S$4:$S$243,(卡牌属性!$DT425-1+EU$3)*20+卡牌属性!$DX425)</f>
        <v>8</v>
      </c>
      <c r="EV425" s="14">
        <f>INDEX(属性偏向!$S$4:$S$243,(卡牌属性!$DT425-1+EV$3)*20+卡牌属性!$DX425)</f>
        <v>8</v>
      </c>
      <c r="EW425" s="14">
        <f>INDEX(属性偏向!$S$4:$S$243,(卡牌属性!$DT425-1+EW$3)*20+卡牌属性!$DX425)</f>
        <v>10</v>
      </c>
      <c r="EX425" s="14">
        <f>INDEX(属性偏向!$T$4:$T$243,(卡牌属性!$DU425-1+EX$3)*20+卡牌属性!$DX425)</f>
        <v>2</v>
      </c>
      <c r="EY425" s="14">
        <f>INDEX(属性偏向!$T$4:$T$243,(卡牌属性!$DU425-1+EY$3)*20+卡牌属性!$DX425)</f>
        <v>2</v>
      </c>
      <c r="EZ425" s="14">
        <f>INDEX(属性偏向!$T$4:$T$243,(卡牌属性!$DU425-1+EZ$3)*20+卡牌属性!$DX425)</f>
        <v>2</v>
      </c>
      <c r="FA425" s="14">
        <f>INDEX(属性偏向!$T$4:$T$243,(卡牌属性!$DU425-1+FA$3)*20+卡牌属性!$DX425)</f>
        <v>3</v>
      </c>
      <c r="FB425" s="14">
        <f>INDEX(属性偏向!$T$4:$T$243,(卡牌属性!$DU425-1+FB$3)*20+卡牌属性!$DX425)</f>
        <v>3</v>
      </c>
      <c r="FC425" s="14">
        <f>INDEX(属性偏向!$U$4:$U$243,(卡牌属性!$DV425-1+FC$3)*20+卡牌属性!$DX425)</f>
        <v>36</v>
      </c>
      <c r="FD425" s="14">
        <f>INDEX(属性偏向!$U$4:$U$243,(卡牌属性!$DV425-1+FD$3)*20+卡牌属性!$DX425)</f>
        <v>48</v>
      </c>
      <c r="FE425" s="14">
        <f>INDEX(属性偏向!$U$4:$U$243,(卡牌属性!$DV425-1+FE$3)*20+卡牌属性!$DX425)</f>
        <v>48</v>
      </c>
      <c r="FF425" s="14">
        <f>INDEX(属性偏向!$U$4:$U$243,(卡牌属性!$DV425-1+FF$3)*20+卡牌属性!$DX425)</f>
        <v>60</v>
      </c>
      <c r="FG425" s="14">
        <f>INDEX(属性偏向!$U$4:$U$243,(卡牌属性!$DV425-1+FG$3)*20+卡牌属性!$DX425)</f>
        <v>72</v>
      </c>
      <c r="FH425" s="14">
        <f>INDEX(属性投放!$BQ$6:$BQ$85,(卡牌属性!$DW425-2)*20+卡牌属性!$DX425)</f>
        <v>25</v>
      </c>
      <c r="FI425" s="14">
        <f>INDEX(属性投放!$BQ$6:$BQ$85,(卡牌属性!$DW425-2)*20+卡牌属性!$DX425)</f>
        <v>25</v>
      </c>
      <c r="FJ425" s="14">
        <f>INDEX(属性投放!$BQ$6:$BQ$85,(卡牌属性!$DW425-2)*20+卡牌属性!$DX425)</f>
        <v>25</v>
      </c>
      <c r="FK425" s="14">
        <f>INDEX(属性投放!$BQ$6:$BQ$85,(卡牌属性!$DW425-2)*20+卡牌属性!$DX425)</f>
        <v>25</v>
      </c>
      <c r="FL425" s="14">
        <f>INDEX(属性投放!$BQ$6:$BQ$85,(卡牌属性!$DW425-2)*20+卡牌属性!$DX425)</f>
        <v>25</v>
      </c>
      <c r="FM425" s="14">
        <f>INDEX(属性投放!$BR$6:$BR$85,(卡牌属性!$DW425-2)*20+卡牌属性!$DX425)</f>
        <v>13</v>
      </c>
      <c r="FN425" s="14">
        <f>INDEX(属性投放!$BR$6:$BR$85,(卡牌属性!$DW425-2)*20+卡牌属性!$DX425)</f>
        <v>13</v>
      </c>
      <c r="FO425" s="14">
        <f>INDEX(属性投放!$BR$6:$BR$85,(卡牌属性!$DW425-2)*20+卡牌属性!$DX425)</f>
        <v>13</v>
      </c>
      <c r="FP425" s="14">
        <f>INDEX(属性投放!$BR$6:$BR$85,(卡牌属性!$DW425-2)*20+卡牌属性!$DX425)</f>
        <v>13</v>
      </c>
      <c r="FQ425" s="14">
        <f>INDEX(属性投放!$BR$6:$BR$85,(卡牌属性!$DW425-2)*20+卡牌属性!$DX425)</f>
        <v>13</v>
      </c>
      <c r="FR425" s="14">
        <f>INDEX(属性投放!$BS$6:$BS$85,(卡牌属性!$DW425-2)*20+卡牌属性!$DX425)</f>
        <v>150</v>
      </c>
      <c r="FS425" s="14">
        <f>INDEX(属性投放!$BS$6:$BS$85,(卡牌属性!$DW425-2)*20+卡牌属性!$DX425)</f>
        <v>150</v>
      </c>
      <c r="FT425" s="14">
        <f>INDEX(属性投放!$BS$6:$BS$85,(卡牌属性!$DW425-2)*20+卡牌属性!$DX425)</f>
        <v>150</v>
      </c>
      <c r="FU425" s="14">
        <f>INDEX(属性投放!$BS$6:$BS$85,(卡牌属性!$DW425-2)*20+卡牌属性!$DX425)</f>
        <v>150</v>
      </c>
      <c r="FV425" s="14">
        <f>INDEX(属性投放!$BS$6:$BS$85,(卡牌属性!$DW425-2)*20+卡牌属性!$DX425)</f>
        <v>150</v>
      </c>
    </row>
    <row r="426" spans="31:178" ht="16.5" x14ac:dyDescent="0.2">
      <c r="AE426" s="13">
        <v>422</v>
      </c>
      <c r="AF426" s="13">
        <f t="shared" si="753"/>
        <v>22</v>
      </c>
      <c r="AG426" s="13">
        <f t="shared" si="740"/>
        <v>3</v>
      </c>
      <c r="AH426" s="13"/>
      <c r="AI426" s="13"/>
      <c r="AJ426" s="14">
        <f t="shared" si="741"/>
        <v>1101030</v>
      </c>
      <c r="AK426" s="14" t="str">
        <f t="shared" si="742"/>
        <v>卢天佑2突</v>
      </c>
      <c r="AL426" s="25" t="s">
        <v>142</v>
      </c>
      <c r="AM426" s="14">
        <v>1</v>
      </c>
      <c r="AN426" s="14">
        <f t="shared" si="743"/>
        <v>2</v>
      </c>
      <c r="AO426" s="14">
        <f>INDEX(属性投放!$DF$6:$DF$85,(卡牌属性!AG426-2)*20+卡牌属性!AN426)</f>
        <v>230</v>
      </c>
      <c r="AP426" s="14">
        <f t="shared" si="784"/>
        <v>230</v>
      </c>
      <c r="AQ426" s="14">
        <f t="shared" si="784"/>
        <v>230</v>
      </c>
      <c r="AR426" s="14">
        <f t="shared" si="784"/>
        <v>230</v>
      </c>
      <c r="AS426" s="14">
        <f t="shared" si="784"/>
        <v>230</v>
      </c>
      <c r="AT426" s="14">
        <f>INDEX(属性投放!$DG$6:$DG$85,(卡牌属性!AG426-2)*20+卡牌属性!AN426)</f>
        <v>40</v>
      </c>
      <c r="AU426" s="14">
        <f t="shared" si="785"/>
        <v>40</v>
      </c>
      <c r="AV426" s="14">
        <f t="shared" si="785"/>
        <v>40</v>
      </c>
      <c r="AW426" s="14">
        <f t="shared" si="785"/>
        <v>40</v>
      </c>
      <c r="AX426" s="14">
        <f t="shared" si="785"/>
        <v>40</v>
      </c>
      <c r="AY426" s="14">
        <f>INDEX(属性投放!$DH$6:$DH$85,(卡牌属性!AG426-2)*20+卡牌属性!AN426)</f>
        <v>865</v>
      </c>
      <c r="AZ426" s="14">
        <f t="shared" si="786"/>
        <v>865</v>
      </c>
      <c r="BA426" s="14">
        <f t="shared" si="786"/>
        <v>865</v>
      </c>
      <c r="BB426" s="14">
        <f t="shared" si="786"/>
        <v>865</v>
      </c>
      <c r="BC426" s="14">
        <f t="shared" si="786"/>
        <v>865</v>
      </c>
      <c r="BD426" s="14">
        <f>INDEX(属性投放!$DL$6:$DL$85,(卡牌属性!AG426-2)*20+卡牌属性!AN426)</f>
        <v>17</v>
      </c>
      <c r="BE426" s="14">
        <f t="shared" si="787"/>
        <v>17</v>
      </c>
      <c r="BF426" s="14">
        <f t="shared" si="787"/>
        <v>17</v>
      </c>
      <c r="BG426" s="14">
        <f t="shared" si="787"/>
        <v>17</v>
      </c>
      <c r="BH426" s="14">
        <f t="shared" si="787"/>
        <v>17</v>
      </c>
      <c r="BI426" s="14">
        <f>INDEX(属性投放!$DM$6:$DM$85,(卡牌属性!AG426-2)*20+卡牌属性!AN426)</f>
        <v>8</v>
      </c>
      <c r="BJ426" s="14">
        <f t="shared" si="788"/>
        <v>8</v>
      </c>
      <c r="BK426" s="14">
        <f t="shared" si="788"/>
        <v>8</v>
      </c>
      <c r="BL426" s="14">
        <f t="shared" si="788"/>
        <v>8</v>
      </c>
      <c r="BM426" s="14">
        <f t="shared" si="788"/>
        <v>8</v>
      </c>
      <c r="BN426" s="14">
        <f>INDEX(属性投放!$DN$6:$DN$85,(卡牌属性!AG426-2)*20+卡牌属性!AN426)</f>
        <v>101</v>
      </c>
      <c r="BO426" s="14">
        <f t="shared" si="789"/>
        <v>101</v>
      </c>
      <c r="BP426" s="14">
        <f t="shared" si="789"/>
        <v>101</v>
      </c>
      <c r="BQ426" s="14">
        <f t="shared" si="789"/>
        <v>101</v>
      </c>
      <c r="BR426" s="14">
        <f t="shared" si="789"/>
        <v>101</v>
      </c>
      <c r="BW426" s="13">
        <v>422</v>
      </c>
      <c r="BX426" s="13">
        <f t="shared" si="744"/>
        <v>22</v>
      </c>
      <c r="BY426" s="14">
        <f t="shared" si="745"/>
        <v>2</v>
      </c>
      <c r="BZ426" s="14">
        <f t="shared" si="754"/>
        <v>1102050</v>
      </c>
      <c r="CA426" s="14" t="str">
        <f t="shared" si="755"/>
        <v>柠檬精2突</v>
      </c>
      <c r="CB426" s="25" t="s">
        <v>142</v>
      </c>
      <c r="CC426" s="14">
        <v>2</v>
      </c>
      <c r="CD426" s="14">
        <f t="shared" si="746"/>
        <v>2</v>
      </c>
      <c r="CE426" s="14" t="s">
        <v>21</v>
      </c>
      <c r="CF426" s="14">
        <f>INDEX(属性投放!$AZ$6:$AZ$85,(BY426-2)*20+CD426)</f>
        <v>160</v>
      </c>
      <c r="CG426" s="14" t="s">
        <v>22</v>
      </c>
      <c r="CH426" s="14">
        <f>INDEX(属性投放!$BA$6:$BA$85,(BY426-2)*20+CD426)</f>
        <v>33</v>
      </c>
      <c r="CI426" s="14" t="s">
        <v>510</v>
      </c>
      <c r="CJ426" s="14">
        <f>INDEX(属性投放!$BB$6:$BB$85,(BY426-2)*20+CD426)</f>
        <v>660</v>
      </c>
      <c r="CK426" s="14" t="s">
        <v>21</v>
      </c>
      <c r="CL426" s="14">
        <f>INDEX(属性投放!$BC$6:$BC$85,(BY426-2)*20+CD426)</f>
        <v>6</v>
      </c>
      <c r="CM426" s="14" t="s">
        <v>22</v>
      </c>
      <c r="CN426" s="14">
        <f>INDEX(属性投放!$BD$6:$BD$85,(BY426-2)*20+CD426)</f>
        <v>3</v>
      </c>
      <c r="CO426" s="14" t="s">
        <v>510</v>
      </c>
      <c r="CP426" s="14">
        <f>INDEX(属性投放!$BE$6:$BE$85,(BY426-2)*20+CD426)</f>
        <v>36</v>
      </c>
      <c r="CS426" s="13">
        <v>422</v>
      </c>
      <c r="CT426" s="13">
        <f t="shared" si="756"/>
        <v>9</v>
      </c>
      <c r="CU426" s="13">
        <f t="shared" si="757"/>
        <v>6</v>
      </c>
      <c r="CV426" s="14">
        <f t="shared" si="758"/>
        <v>3</v>
      </c>
      <c r="CW426" s="14">
        <f t="shared" si="759"/>
        <v>1102009</v>
      </c>
      <c r="CX426" s="14" t="str">
        <f>INDEX($O$6:$O$50,CT426)&amp;"-"&amp;INDEX(属性投放!$AB$7:$AB$50,CZ426)&amp;"-魂火-"&amp;DB426</f>
        <v>徐晃-众合-魂火-1</v>
      </c>
      <c r="CY426" s="25" t="s">
        <v>142</v>
      </c>
      <c r="CZ426" s="14">
        <f>INDEX(属性投放!$AM$7:$AM$58,CU426)</f>
        <v>4</v>
      </c>
      <c r="DA426" s="14" t="s">
        <v>537</v>
      </c>
      <c r="DB426" s="14">
        <f>INDEX(属性投放!$AN$7:$AN$58,CU426)</f>
        <v>1</v>
      </c>
      <c r="DC426" s="14">
        <f t="shared" si="747"/>
        <v>6</v>
      </c>
      <c r="DD426" s="14">
        <f>INDEX(属性投放!$AO$7:$AO$58,DC426)</f>
        <v>28</v>
      </c>
      <c r="DE426" s="14" t="s">
        <v>538</v>
      </c>
      <c r="DF426" s="14">
        <f>INDEX(属性投放!$BK$6:$BK$85,(CV426-2)*20+CZ426)</f>
        <v>40</v>
      </c>
      <c r="DG426" s="14">
        <f>SUMIFS(DF$5:DF426,$CT$5:$CT426,"="&amp;$CT426)</f>
        <v>170</v>
      </c>
      <c r="DH426" s="14" t="s">
        <v>539</v>
      </c>
      <c r="DI426" s="14">
        <f>INDEX(属性投放!$BL$6:$BL$85,(CV426-2)*20+CZ426)</f>
        <v>20</v>
      </c>
      <c r="DJ426" s="14">
        <f>SUMIFS(DI$5:DI426,$CT$5:$CT426,"="&amp;$CT426)</f>
        <v>86</v>
      </c>
      <c r="DK426" s="14" t="s">
        <v>540</v>
      </c>
      <c r="DL426" s="14">
        <f>INDEX(属性投放!$BM$6:$BM$85,(CV426-2)*20+CZ426)</f>
        <v>280</v>
      </c>
      <c r="DM426" s="14">
        <f>SUMIFS(DL$5:DL426,$CT$5:$CT426,"="&amp;$CT426)</f>
        <v>1060</v>
      </c>
      <c r="DR426" s="14">
        <f t="shared" si="748"/>
        <v>1102050</v>
      </c>
      <c r="DS426" s="14" t="str">
        <f t="shared" si="749"/>
        <v>柠檬精2突</v>
      </c>
      <c r="DT426" s="14">
        <f t="shared" si="760"/>
        <v>3</v>
      </c>
      <c r="DU426" s="14">
        <f t="shared" si="761"/>
        <v>1</v>
      </c>
      <c r="DV426" s="14">
        <f t="shared" si="762"/>
        <v>4</v>
      </c>
      <c r="DW426" s="14">
        <f t="shared" si="750"/>
        <v>2</v>
      </c>
      <c r="DX426" s="14">
        <f t="shared" si="751"/>
        <v>2</v>
      </c>
      <c r="DY426" s="14">
        <f t="shared" si="752"/>
        <v>2</v>
      </c>
      <c r="DZ426" s="14">
        <f>INDEX(属性投放!$AX$6:$AX$85,(卡牌属性!DW426-2)*20+卡牌属性!DX426)</f>
        <v>10</v>
      </c>
      <c r="EA426" s="14">
        <f>INDEX(属性投放!BQ$6:BQ$85,卡牌属性!$DY426)</f>
        <v>30</v>
      </c>
      <c r="EB426" s="14">
        <f>INDEX(属性投放!BR$6:BR$85,卡牌属性!$DY426)</f>
        <v>15</v>
      </c>
      <c r="EC426" s="14">
        <f>INDEX(属性投放!BS$6:BS$85,卡牌属性!$DY426)</f>
        <v>180</v>
      </c>
      <c r="ED426" s="14">
        <f t="shared" ref="ED426:ED444" si="790">ED425+$EA425+ES425*$DZ425</f>
        <v>145</v>
      </c>
      <c r="EE426" s="14">
        <f t="shared" ref="EE426:EE444" si="791">EE425+$EA425+ET425*$DZ425</f>
        <v>174</v>
      </c>
      <c r="EF426" s="14">
        <f t="shared" ref="EF426:EF444" si="792">EF425+$EA425+EU425*$DZ425</f>
        <v>207</v>
      </c>
      <c r="EG426" s="14">
        <f t="shared" ref="EG426:EG444" si="793">EG425+$EA425+EV425*$DZ425</f>
        <v>207</v>
      </c>
      <c r="EH426" s="14">
        <f t="shared" ref="EH426:EH444" si="794">EH425+$EA425+EW425*$DZ425</f>
        <v>240</v>
      </c>
      <c r="EI426" s="14">
        <f t="shared" ref="EI426:EI444" si="795">EI425+$EB425+EX425*$DZ425</f>
        <v>21</v>
      </c>
      <c r="EJ426" s="14">
        <f t="shared" ref="EJ426:EJ444" si="796">EJ425+$EB425+EY425*$DZ425</f>
        <v>26</v>
      </c>
      <c r="EK426" s="14">
        <f t="shared" ref="EK426:EK444" si="797">EK425+$EB425+EZ425*$DZ425</f>
        <v>26</v>
      </c>
      <c r="EL426" s="14">
        <f t="shared" ref="EL426:EL444" si="798">EL425+$EB425+FA425*$DZ425</f>
        <v>35</v>
      </c>
      <c r="EM426" s="14">
        <f t="shared" ref="EM426:EM444" si="799">EM425+$EB425+FB425*$DZ425</f>
        <v>45</v>
      </c>
      <c r="EN426" s="14">
        <f t="shared" ref="EN426:EN444" si="800">EN425+$EC425+FC425*$DZ425</f>
        <v>694</v>
      </c>
      <c r="EO426" s="14">
        <f t="shared" ref="EO426:EO444" si="801">EO425+$EC425+FD425*$DZ425</f>
        <v>842</v>
      </c>
      <c r="EP426" s="14">
        <f t="shared" ref="EP426:EP444" si="802">EP425+$EC425+FE425*$DZ425</f>
        <v>842</v>
      </c>
      <c r="EQ426" s="14">
        <f t="shared" ref="EQ426:EQ444" si="803">EQ425+$EC425+FF425*$DZ425</f>
        <v>1040</v>
      </c>
      <c r="ER426" s="14">
        <f t="shared" ref="ER426:ER444" si="804">ER425+$EC425+FG425*$DZ425</f>
        <v>1238</v>
      </c>
      <c r="ES426" s="14">
        <f>INDEX(属性偏向!$S$4:$S$243,(卡牌属性!$DT426-1+ES$3)*20+卡牌属性!$DX426)</f>
        <v>6</v>
      </c>
      <c r="ET426" s="14">
        <f>INDEX(属性偏向!$S$4:$S$243,(卡牌属性!$DT426-1+ET$3)*20+卡牌属性!$DX426)</f>
        <v>8</v>
      </c>
      <c r="EU426" s="14">
        <f>INDEX(属性偏向!$S$4:$S$243,(卡牌属性!$DT426-1+EU$3)*20+卡牌属性!$DX426)</f>
        <v>10</v>
      </c>
      <c r="EV426" s="14">
        <f>INDEX(属性偏向!$S$4:$S$243,(卡牌属性!$DT426-1+EV$3)*20+卡牌属性!$DX426)</f>
        <v>10</v>
      </c>
      <c r="EW426" s="14">
        <f>INDEX(属性偏向!$S$4:$S$243,(卡牌属性!$DT426-1+EW$3)*20+卡牌属性!$DX426)</f>
        <v>12</v>
      </c>
      <c r="EX426" s="14">
        <f>INDEX(属性偏向!$T$4:$T$243,(卡牌属性!$DU426-1+EX$3)*20+卡牌属性!$DX426)</f>
        <v>2</v>
      </c>
      <c r="EY426" s="14">
        <f>INDEX(属性偏向!$T$4:$T$243,(卡牌属性!$DU426-1+EY$3)*20+卡牌属性!$DX426)</f>
        <v>3</v>
      </c>
      <c r="EZ426" s="14">
        <f>INDEX(属性偏向!$T$4:$T$243,(卡牌属性!$DU426-1+EZ$3)*20+卡牌属性!$DX426)</f>
        <v>3</v>
      </c>
      <c r="FA426" s="14">
        <f>INDEX(属性偏向!$T$4:$T$243,(卡牌属性!$DU426-1+FA$3)*20+卡牌属性!$DX426)</f>
        <v>3</v>
      </c>
      <c r="FB426" s="14">
        <f>INDEX(属性偏向!$T$4:$T$243,(卡牌属性!$DU426-1+FB$3)*20+卡牌属性!$DX426)</f>
        <v>4</v>
      </c>
      <c r="FC426" s="14">
        <f>INDEX(属性偏向!$U$4:$U$243,(卡牌属性!$DV426-1+FC$3)*20+卡牌属性!$DX426)</f>
        <v>48</v>
      </c>
      <c r="FD426" s="14">
        <f>INDEX(属性偏向!$U$4:$U$243,(卡牌属性!$DV426-1+FD$3)*20+卡牌属性!$DX426)</f>
        <v>60</v>
      </c>
      <c r="FE426" s="14">
        <f>INDEX(属性偏向!$U$4:$U$243,(卡牌属性!$DV426-1+FE$3)*20+卡牌属性!$DX426)</f>
        <v>60</v>
      </c>
      <c r="FF426" s="14">
        <f>INDEX(属性偏向!$U$4:$U$243,(卡牌属性!$DV426-1+FF$3)*20+卡牌属性!$DX426)</f>
        <v>72</v>
      </c>
      <c r="FG426" s="14">
        <f>INDEX(属性偏向!$U$4:$U$243,(卡牌属性!$DV426-1+FG$3)*20+卡牌属性!$DX426)</f>
        <v>90</v>
      </c>
      <c r="FH426" s="14">
        <f>INDEX(属性投放!$BQ$6:$BQ$85,(卡牌属性!$DW426-2)*20+卡牌属性!$DX426)</f>
        <v>30</v>
      </c>
      <c r="FI426" s="14">
        <f>INDEX(属性投放!$BQ$6:$BQ$85,(卡牌属性!$DW426-2)*20+卡牌属性!$DX426)</f>
        <v>30</v>
      </c>
      <c r="FJ426" s="14">
        <f>INDEX(属性投放!$BQ$6:$BQ$85,(卡牌属性!$DW426-2)*20+卡牌属性!$DX426)</f>
        <v>30</v>
      </c>
      <c r="FK426" s="14">
        <f>INDEX(属性投放!$BQ$6:$BQ$85,(卡牌属性!$DW426-2)*20+卡牌属性!$DX426)</f>
        <v>30</v>
      </c>
      <c r="FL426" s="14">
        <f>INDEX(属性投放!$BQ$6:$BQ$85,(卡牌属性!$DW426-2)*20+卡牌属性!$DX426)</f>
        <v>30</v>
      </c>
      <c r="FM426" s="14">
        <f>INDEX(属性投放!$BR$6:$BR$85,(卡牌属性!$DW426-2)*20+卡牌属性!$DX426)</f>
        <v>15</v>
      </c>
      <c r="FN426" s="14">
        <f>INDEX(属性投放!$BR$6:$BR$85,(卡牌属性!$DW426-2)*20+卡牌属性!$DX426)</f>
        <v>15</v>
      </c>
      <c r="FO426" s="14">
        <f>INDEX(属性投放!$BR$6:$BR$85,(卡牌属性!$DW426-2)*20+卡牌属性!$DX426)</f>
        <v>15</v>
      </c>
      <c r="FP426" s="14">
        <f>INDEX(属性投放!$BR$6:$BR$85,(卡牌属性!$DW426-2)*20+卡牌属性!$DX426)</f>
        <v>15</v>
      </c>
      <c r="FQ426" s="14">
        <f>INDEX(属性投放!$BR$6:$BR$85,(卡牌属性!$DW426-2)*20+卡牌属性!$DX426)</f>
        <v>15</v>
      </c>
      <c r="FR426" s="14">
        <f>INDEX(属性投放!$BS$6:$BS$85,(卡牌属性!$DW426-2)*20+卡牌属性!$DX426)</f>
        <v>180</v>
      </c>
      <c r="FS426" s="14">
        <f>INDEX(属性投放!$BS$6:$BS$85,(卡牌属性!$DW426-2)*20+卡牌属性!$DX426)</f>
        <v>180</v>
      </c>
      <c r="FT426" s="14">
        <f>INDEX(属性投放!$BS$6:$BS$85,(卡牌属性!$DW426-2)*20+卡牌属性!$DX426)</f>
        <v>180</v>
      </c>
      <c r="FU426" s="14">
        <f>INDEX(属性投放!$BS$6:$BS$85,(卡牌属性!$DW426-2)*20+卡牌属性!$DX426)</f>
        <v>180</v>
      </c>
      <c r="FV426" s="14">
        <f>INDEX(属性投放!$BS$6:$BS$85,(卡牌属性!$DW426-2)*20+卡牌属性!$DX426)</f>
        <v>180</v>
      </c>
    </row>
    <row r="427" spans="31:178" ht="16.5" x14ac:dyDescent="0.2">
      <c r="AE427" s="13">
        <v>423</v>
      </c>
      <c r="AF427" s="13">
        <f t="shared" si="753"/>
        <v>22</v>
      </c>
      <c r="AG427" s="13">
        <f t="shared" si="740"/>
        <v>3</v>
      </c>
      <c r="AH427" s="13"/>
      <c r="AI427" s="13"/>
      <c r="AJ427" s="14">
        <f t="shared" si="741"/>
        <v>1101030</v>
      </c>
      <c r="AK427" s="14" t="str">
        <f t="shared" si="742"/>
        <v>卢天佑3突</v>
      </c>
      <c r="AL427" s="25" t="s">
        <v>142</v>
      </c>
      <c r="AM427" s="14">
        <v>1</v>
      </c>
      <c r="AN427" s="14">
        <f t="shared" si="743"/>
        <v>3</v>
      </c>
      <c r="AO427" s="14">
        <f>INDEX(属性投放!$DF$6:$DF$85,(卡牌属性!AG427-2)*20+卡牌属性!AN427)</f>
        <v>272</v>
      </c>
      <c r="AP427" s="14">
        <f t="shared" si="784"/>
        <v>272</v>
      </c>
      <c r="AQ427" s="14">
        <f t="shared" si="784"/>
        <v>272</v>
      </c>
      <c r="AR427" s="14">
        <f t="shared" si="784"/>
        <v>272</v>
      </c>
      <c r="AS427" s="14">
        <f t="shared" si="784"/>
        <v>272</v>
      </c>
      <c r="AT427" s="14">
        <f>INDEX(属性投放!$DG$6:$DG$85,(卡牌属性!AG427-2)*20+卡牌属性!AN427)</f>
        <v>61</v>
      </c>
      <c r="AU427" s="14">
        <f t="shared" si="785"/>
        <v>61</v>
      </c>
      <c r="AV427" s="14">
        <f t="shared" si="785"/>
        <v>61</v>
      </c>
      <c r="AW427" s="14">
        <f t="shared" si="785"/>
        <v>61</v>
      </c>
      <c r="AX427" s="14">
        <f t="shared" si="785"/>
        <v>61</v>
      </c>
      <c r="AY427" s="14">
        <f>INDEX(属性投放!$DH$6:$DH$85,(卡牌属性!AG427-2)*20+卡牌属性!AN427)</f>
        <v>1117</v>
      </c>
      <c r="AZ427" s="14">
        <f t="shared" si="786"/>
        <v>1117</v>
      </c>
      <c r="BA427" s="14">
        <f t="shared" si="786"/>
        <v>1117</v>
      </c>
      <c r="BB427" s="14">
        <f t="shared" si="786"/>
        <v>1117</v>
      </c>
      <c r="BC427" s="14">
        <f t="shared" si="786"/>
        <v>1117</v>
      </c>
      <c r="BD427" s="14">
        <f>INDEX(属性投放!$DL$6:$DL$85,(卡牌属性!AG427-2)*20+卡牌属性!AN427)</f>
        <v>17</v>
      </c>
      <c r="BE427" s="14">
        <f t="shared" si="787"/>
        <v>17</v>
      </c>
      <c r="BF427" s="14">
        <f t="shared" si="787"/>
        <v>17</v>
      </c>
      <c r="BG427" s="14">
        <f t="shared" si="787"/>
        <v>17</v>
      </c>
      <c r="BH427" s="14">
        <f t="shared" si="787"/>
        <v>17</v>
      </c>
      <c r="BI427" s="14">
        <f>INDEX(属性投放!$DM$6:$DM$85,(卡牌属性!AG427-2)*20+卡牌属性!AN427)</f>
        <v>8</v>
      </c>
      <c r="BJ427" s="14">
        <f t="shared" si="788"/>
        <v>8</v>
      </c>
      <c r="BK427" s="14">
        <f t="shared" si="788"/>
        <v>8</v>
      </c>
      <c r="BL427" s="14">
        <f t="shared" si="788"/>
        <v>8</v>
      </c>
      <c r="BM427" s="14">
        <f t="shared" si="788"/>
        <v>8</v>
      </c>
      <c r="BN427" s="14">
        <f>INDEX(属性投放!$DN$6:$DN$85,(卡牌属性!AG427-2)*20+卡牌属性!AN427)</f>
        <v>101</v>
      </c>
      <c r="BO427" s="14">
        <f t="shared" si="789"/>
        <v>101</v>
      </c>
      <c r="BP427" s="14">
        <f t="shared" si="789"/>
        <v>101</v>
      </c>
      <c r="BQ427" s="14">
        <f t="shared" si="789"/>
        <v>101</v>
      </c>
      <c r="BR427" s="14">
        <f t="shared" si="789"/>
        <v>101</v>
      </c>
      <c r="BW427" s="13">
        <v>423</v>
      </c>
      <c r="BX427" s="13">
        <f t="shared" si="744"/>
        <v>22</v>
      </c>
      <c r="BY427" s="14">
        <f t="shared" si="745"/>
        <v>2</v>
      </c>
      <c r="BZ427" s="14">
        <f t="shared" si="754"/>
        <v>1102050</v>
      </c>
      <c r="CA427" s="14" t="str">
        <f t="shared" si="755"/>
        <v>柠檬精3突</v>
      </c>
      <c r="CB427" s="25" t="s">
        <v>142</v>
      </c>
      <c r="CC427" s="14">
        <v>2</v>
      </c>
      <c r="CD427" s="14">
        <f t="shared" si="746"/>
        <v>3</v>
      </c>
      <c r="CE427" s="14" t="s">
        <v>21</v>
      </c>
      <c r="CF427" s="14">
        <f>INDEX(属性投放!$AZ$6:$AZ$85,(BY427-2)*20+CD427)</f>
        <v>290</v>
      </c>
      <c r="CG427" s="14" t="s">
        <v>22</v>
      </c>
      <c r="CH427" s="14">
        <f>INDEX(属性投放!$BA$6:$BA$85,(BY427-2)*20+CD427)</f>
        <v>98</v>
      </c>
      <c r="CI427" s="14" t="s">
        <v>510</v>
      </c>
      <c r="CJ427" s="14">
        <f>INDEX(属性投放!$BB$6:$BB$85,(BY427-2)*20+CD427)</f>
        <v>1440</v>
      </c>
      <c r="CK427" s="14" t="s">
        <v>21</v>
      </c>
      <c r="CL427" s="14">
        <f>INDEX(属性投放!$BC$6:$BC$85,(BY427-2)*20+CD427)</f>
        <v>6</v>
      </c>
      <c r="CM427" s="14" t="s">
        <v>22</v>
      </c>
      <c r="CN427" s="14">
        <f>INDEX(属性投放!$BD$6:$BD$85,(BY427-2)*20+CD427)</f>
        <v>3</v>
      </c>
      <c r="CO427" s="14" t="s">
        <v>510</v>
      </c>
      <c r="CP427" s="14">
        <f>INDEX(属性投放!$BE$6:$BE$85,(BY427-2)*20+CD427)</f>
        <v>36</v>
      </c>
      <c r="CS427" s="13">
        <v>423</v>
      </c>
      <c r="CT427" s="13">
        <f t="shared" si="756"/>
        <v>9</v>
      </c>
      <c r="CU427" s="13">
        <f t="shared" si="757"/>
        <v>7</v>
      </c>
      <c r="CV427" s="14">
        <f t="shared" si="758"/>
        <v>3</v>
      </c>
      <c r="CW427" s="14">
        <f t="shared" si="759"/>
        <v>1102009</v>
      </c>
      <c r="CX427" s="14" t="str">
        <f>INDEX($O$6:$O$50,CT427)&amp;"-"&amp;INDEX(属性投放!$AB$7:$AB$50,CZ427)&amp;"-魂火-"&amp;DB427</f>
        <v>徐晃-众合-魂火-2</v>
      </c>
      <c r="CY427" s="25" t="s">
        <v>142</v>
      </c>
      <c r="CZ427" s="14">
        <f>INDEX(属性投放!$AM$7:$AM$58,CU427)</f>
        <v>4</v>
      </c>
      <c r="DA427" s="14" t="s">
        <v>537</v>
      </c>
      <c r="DB427" s="14">
        <f>INDEX(属性投放!$AN$7:$AN$58,CU427)</f>
        <v>2</v>
      </c>
      <c r="DC427" s="14">
        <f t="shared" si="747"/>
        <v>7</v>
      </c>
      <c r="DD427" s="14">
        <f>INDEX(属性投放!$AO$7:$AO$58,DC427)</f>
        <v>33</v>
      </c>
      <c r="DE427" s="14" t="s">
        <v>538</v>
      </c>
      <c r="DF427" s="14">
        <f>INDEX(属性投放!$BK$6:$BK$85,(CV427-2)*20+CZ427)</f>
        <v>40</v>
      </c>
      <c r="DG427" s="14">
        <f>SUMIFS(DF$5:DF427,$CT$5:$CT427,"="&amp;$CT427)</f>
        <v>210</v>
      </c>
      <c r="DH427" s="14" t="s">
        <v>539</v>
      </c>
      <c r="DI427" s="14">
        <f>INDEX(属性投放!$BL$6:$BL$85,(CV427-2)*20+CZ427)</f>
        <v>20</v>
      </c>
      <c r="DJ427" s="14">
        <f>SUMIFS(DI$5:DI427,$CT$5:$CT427,"="&amp;$CT427)</f>
        <v>106</v>
      </c>
      <c r="DK427" s="14" t="s">
        <v>540</v>
      </c>
      <c r="DL427" s="14">
        <f>INDEX(属性投放!$BM$6:$BM$85,(CV427-2)*20+CZ427)</f>
        <v>280</v>
      </c>
      <c r="DM427" s="14">
        <f>SUMIFS(DL$5:DL427,$CT$5:$CT427,"="&amp;$CT427)</f>
        <v>1340</v>
      </c>
      <c r="DR427" s="14">
        <f t="shared" si="748"/>
        <v>1102050</v>
      </c>
      <c r="DS427" s="14" t="str">
        <f t="shared" si="749"/>
        <v>柠檬精3突</v>
      </c>
      <c r="DT427" s="14">
        <f t="shared" si="760"/>
        <v>3</v>
      </c>
      <c r="DU427" s="14">
        <f t="shared" si="761"/>
        <v>1</v>
      </c>
      <c r="DV427" s="14">
        <f t="shared" si="762"/>
        <v>4</v>
      </c>
      <c r="DW427" s="14">
        <f t="shared" si="750"/>
        <v>2</v>
      </c>
      <c r="DX427" s="14">
        <f t="shared" si="751"/>
        <v>3</v>
      </c>
      <c r="DY427" s="14">
        <f t="shared" si="752"/>
        <v>3</v>
      </c>
      <c r="DZ427" s="14">
        <f>INDEX(属性投放!$AX$6:$AX$85,(卡牌属性!DW427-2)*20+卡牌属性!DX427)</f>
        <v>10</v>
      </c>
      <c r="EA427" s="14">
        <f>INDEX(属性投放!BQ$6:BQ$85,卡牌属性!$DY427)</f>
        <v>50</v>
      </c>
      <c r="EB427" s="14">
        <f>INDEX(属性投放!BR$6:BR$85,卡牌属性!$DY427)</f>
        <v>25</v>
      </c>
      <c r="EC427" s="14">
        <f>INDEX(属性投放!BS$6:BS$85,卡牌属性!$DY427)</f>
        <v>300</v>
      </c>
      <c r="ED427" s="14">
        <f t="shared" si="790"/>
        <v>235</v>
      </c>
      <c r="EE427" s="14">
        <f t="shared" si="791"/>
        <v>284</v>
      </c>
      <c r="EF427" s="14">
        <f t="shared" si="792"/>
        <v>337</v>
      </c>
      <c r="EG427" s="14">
        <f t="shared" si="793"/>
        <v>337</v>
      </c>
      <c r="EH427" s="14">
        <f t="shared" si="794"/>
        <v>390</v>
      </c>
      <c r="EI427" s="14">
        <f t="shared" si="795"/>
        <v>56</v>
      </c>
      <c r="EJ427" s="14">
        <f t="shared" si="796"/>
        <v>71</v>
      </c>
      <c r="EK427" s="14">
        <f t="shared" si="797"/>
        <v>71</v>
      </c>
      <c r="EL427" s="14">
        <f t="shared" si="798"/>
        <v>80</v>
      </c>
      <c r="EM427" s="14">
        <f t="shared" si="799"/>
        <v>100</v>
      </c>
      <c r="EN427" s="14">
        <f t="shared" si="800"/>
        <v>1354</v>
      </c>
      <c r="EO427" s="14">
        <f t="shared" si="801"/>
        <v>1622</v>
      </c>
      <c r="EP427" s="14">
        <f t="shared" si="802"/>
        <v>1622</v>
      </c>
      <c r="EQ427" s="14">
        <f t="shared" si="803"/>
        <v>1940</v>
      </c>
      <c r="ER427" s="14">
        <f t="shared" si="804"/>
        <v>2318</v>
      </c>
      <c r="ES427" s="14">
        <f>INDEX(属性偏向!$S$4:$S$243,(卡牌属性!$DT427-1+ES$3)*20+卡牌属性!$DX427)</f>
        <v>6</v>
      </c>
      <c r="ET427" s="14">
        <f>INDEX(属性偏向!$S$4:$S$243,(卡牌属性!$DT427-1+ET$3)*20+卡牌属性!$DX427)</f>
        <v>8</v>
      </c>
      <c r="EU427" s="14">
        <f>INDEX(属性偏向!$S$4:$S$243,(卡牌属性!$DT427-1+EU$3)*20+卡牌属性!$DX427)</f>
        <v>10</v>
      </c>
      <c r="EV427" s="14">
        <f>INDEX(属性偏向!$S$4:$S$243,(卡牌属性!$DT427-1+EV$3)*20+卡牌属性!$DX427)</f>
        <v>10</v>
      </c>
      <c r="EW427" s="14">
        <f>INDEX(属性偏向!$S$4:$S$243,(卡牌属性!$DT427-1+EW$3)*20+卡牌属性!$DX427)</f>
        <v>12</v>
      </c>
      <c r="EX427" s="14">
        <f>INDEX(属性偏向!$T$4:$T$243,(卡牌属性!$DU427-1+EX$3)*20+卡牌属性!$DX427)</f>
        <v>2</v>
      </c>
      <c r="EY427" s="14">
        <f>INDEX(属性偏向!$T$4:$T$243,(卡牌属性!$DU427-1+EY$3)*20+卡牌属性!$DX427)</f>
        <v>3</v>
      </c>
      <c r="EZ427" s="14">
        <f>INDEX(属性偏向!$T$4:$T$243,(卡牌属性!$DU427-1+EZ$3)*20+卡牌属性!$DX427)</f>
        <v>3</v>
      </c>
      <c r="FA427" s="14">
        <f>INDEX(属性偏向!$T$4:$T$243,(卡牌属性!$DU427-1+FA$3)*20+卡牌属性!$DX427)</f>
        <v>3</v>
      </c>
      <c r="FB427" s="14">
        <f>INDEX(属性偏向!$T$4:$T$243,(卡牌属性!$DU427-1+FB$3)*20+卡牌属性!$DX427)</f>
        <v>4</v>
      </c>
      <c r="FC427" s="14">
        <f>INDEX(属性偏向!$U$4:$U$243,(卡牌属性!$DV427-1+FC$3)*20+卡牌属性!$DX427)</f>
        <v>48</v>
      </c>
      <c r="FD427" s="14">
        <f>INDEX(属性偏向!$U$4:$U$243,(卡牌属性!$DV427-1+FD$3)*20+卡牌属性!$DX427)</f>
        <v>60</v>
      </c>
      <c r="FE427" s="14">
        <f>INDEX(属性偏向!$U$4:$U$243,(卡牌属性!$DV427-1+FE$3)*20+卡牌属性!$DX427)</f>
        <v>60</v>
      </c>
      <c r="FF427" s="14">
        <f>INDEX(属性偏向!$U$4:$U$243,(卡牌属性!$DV427-1+FF$3)*20+卡牌属性!$DX427)</f>
        <v>72</v>
      </c>
      <c r="FG427" s="14">
        <f>INDEX(属性偏向!$U$4:$U$243,(卡牌属性!$DV427-1+FG$3)*20+卡牌属性!$DX427)</f>
        <v>90</v>
      </c>
      <c r="FH427" s="14">
        <f>INDEX(属性投放!$BQ$6:$BQ$85,(卡牌属性!$DW427-2)*20+卡牌属性!$DX427)</f>
        <v>50</v>
      </c>
      <c r="FI427" s="14">
        <f>INDEX(属性投放!$BQ$6:$BQ$85,(卡牌属性!$DW427-2)*20+卡牌属性!$DX427)</f>
        <v>50</v>
      </c>
      <c r="FJ427" s="14">
        <f>INDEX(属性投放!$BQ$6:$BQ$85,(卡牌属性!$DW427-2)*20+卡牌属性!$DX427)</f>
        <v>50</v>
      </c>
      <c r="FK427" s="14">
        <f>INDEX(属性投放!$BQ$6:$BQ$85,(卡牌属性!$DW427-2)*20+卡牌属性!$DX427)</f>
        <v>50</v>
      </c>
      <c r="FL427" s="14">
        <f>INDEX(属性投放!$BQ$6:$BQ$85,(卡牌属性!$DW427-2)*20+卡牌属性!$DX427)</f>
        <v>50</v>
      </c>
      <c r="FM427" s="14">
        <f>INDEX(属性投放!$BR$6:$BR$85,(卡牌属性!$DW427-2)*20+卡牌属性!$DX427)</f>
        <v>25</v>
      </c>
      <c r="FN427" s="14">
        <f>INDEX(属性投放!$BR$6:$BR$85,(卡牌属性!$DW427-2)*20+卡牌属性!$DX427)</f>
        <v>25</v>
      </c>
      <c r="FO427" s="14">
        <f>INDEX(属性投放!$BR$6:$BR$85,(卡牌属性!$DW427-2)*20+卡牌属性!$DX427)</f>
        <v>25</v>
      </c>
      <c r="FP427" s="14">
        <f>INDEX(属性投放!$BR$6:$BR$85,(卡牌属性!$DW427-2)*20+卡牌属性!$DX427)</f>
        <v>25</v>
      </c>
      <c r="FQ427" s="14">
        <f>INDEX(属性投放!$BR$6:$BR$85,(卡牌属性!$DW427-2)*20+卡牌属性!$DX427)</f>
        <v>25</v>
      </c>
      <c r="FR427" s="14">
        <f>INDEX(属性投放!$BS$6:$BS$85,(卡牌属性!$DW427-2)*20+卡牌属性!$DX427)</f>
        <v>300</v>
      </c>
      <c r="FS427" s="14">
        <f>INDEX(属性投放!$BS$6:$BS$85,(卡牌属性!$DW427-2)*20+卡牌属性!$DX427)</f>
        <v>300</v>
      </c>
      <c r="FT427" s="14">
        <f>INDEX(属性投放!$BS$6:$BS$85,(卡牌属性!$DW427-2)*20+卡牌属性!$DX427)</f>
        <v>300</v>
      </c>
      <c r="FU427" s="14">
        <f>INDEX(属性投放!$BS$6:$BS$85,(卡牌属性!$DW427-2)*20+卡牌属性!$DX427)</f>
        <v>300</v>
      </c>
      <c r="FV427" s="14">
        <f>INDEX(属性投放!$BS$6:$BS$85,(卡牌属性!$DW427-2)*20+卡牌属性!$DX427)</f>
        <v>300</v>
      </c>
    </row>
    <row r="428" spans="31:178" ht="16.5" x14ac:dyDescent="0.2">
      <c r="AE428" s="13">
        <v>424</v>
      </c>
      <c r="AF428" s="13">
        <f t="shared" si="753"/>
        <v>22</v>
      </c>
      <c r="AG428" s="13">
        <f t="shared" si="740"/>
        <v>3</v>
      </c>
      <c r="AH428" s="13"/>
      <c r="AI428" s="13"/>
      <c r="AJ428" s="14">
        <f t="shared" si="741"/>
        <v>1101030</v>
      </c>
      <c r="AK428" s="14" t="str">
        <f t="shared" si="742"/>
        <v>卢天佑4突</v>
      </c>
      <c r="AL428" s="25" t="s">
        <v>142</v>
      </c>
      <c r="AM428" s="14">
        <v>1</v>
      </c>
      <c r="AN428" s="14">
        <f t="shared" si="743"/>
        <v>4</v>
      </c>
      <c r="AO428" s="14">
        <f>INDEX(属性投放!$DF$6:$DF$85,(卡牌属性!AG428-2)*20+卡牌属性!AN428)</f>
        <v>484</v>
      </c>
      <c r="AP428" s="14">
        <f t="shared" si="784"/>
        <v>484</v>
      </c>
      <c r="AQ428" s="14">
        <f t="shared" si="784"/>
        <v>484</v>
      </c>
      <c r="AR428" s="14">
        <f t="shared" si="784"/>
        <v>484</v>
      </c>
      <c r="AS428" s="14">
        <f t="shared" si="784"/>
        <v>484</v>
      </c>
      <c r="AT428" s="14">
        <f>INDEX(属性投放!$DG$6:$DG$85,(卡牌属性!AG428-2)*20+卡牌属性!AN428)</f>
        <v>162</v>
      </c>
      <c r="AU428" s="14">
        <f t="shared" si="785"/>
        <v>162</v>
      </c>
      <c r="AV428" s="14">
        <f t="shared" si="785"/>
        <v>162</v>
      </c>
      <c r="AW428" s="14">
        <f t="shared" si="785"/>
        <v>162</v>
      </c>
      <c r="AX428" s="14">
        <f t="shared" si="785"/>
        <v>162</v>
      </c>
      <c r="AY428" s="14">
        <f>INDEX(属性投放!$DH$6:$DH$85,(卡牌属性!AG428-2)*20+卡牌属性!AN428)</f>
        <v>2379</v>
      </c>
      <c r="AZ428" s="14">
        <f t="shared" si="786"/>
        <v>2379</v>
      </c>
      <c r="BA428" s="14">
        <f t="shared" si="786"/>
        <v>2379</v>
      </c>
      <c r="BB428" s="14">
        <f t="shared" si="786"/>
        <v>2379</v>
      </c>
      <c r="BC428" s="14">
        <f t="shared" si="786"/>
        <v>2379</v>
      </c>
      <c r="BD428" s="14">
        <f>INDEX(属性投放!$DL$6:$DL$85,(卡牌属性!AG428-2)*20+卡牌属性!AN428)</f>
        <v>30</v>
      </c>
      <c r="BE428" s="14">
        <f t="shared" si="787"/>
        <v>30</v>
      </c>
      <c r="BF428" s="14">
        <f t="shared" si="787"/>
        <v>30</v>
      </c>
      <c r="BG428" s="14">
        <f t="shared" si="787"/>
        <v>30</v>
      </c>
      <c r="BH428" s="14">
        <f t="shared" si="787"/>
        <v>30</v>
      </c>
      <c r="BI428" s="14">
        <f>INDEX(属性投放!$DM$6:$DM$85,(卡牌属性!AG428-2)*20+卡牌属性!AN428)</f>
        <v>15</v>
      </c>
      <c r="BJ428" s="14">
        <f t="shared" si="788"/>
        <v>15</v>
      </c>
      <c r="BK428" s="14">
        <f t="shared" si="788"/>
        <v>15</v>
      </c>
      <c r="BL428" s="14">
        <f t="shared" si="788"/>
        <v>15</v>
      </c>
      <c r="BM428" s="14">
        <f t="shared" si="788"/>
        <v>15</v>
      </c>
      <c r="BN428" s="14">
        <f>INDEX(属性投放!$DN$6:$DN$85,(卡牌属性!AG428-2)*20+卡牌属性!AN428)</f>
        <v>208</v>
      </c>
      <c r="BO428" s="14">
        <f t="shared" si="789"/>
        <v>208</v>
      </c>
      <c r="BP428" s="14">
        <f t="shared" si="789"/>
        <v>208</v>
      </c>
      <c r="BQ428" s="14">
        <f t="shared" si="789"/>
        <v>208</v>
      </c>
      <c r="BR428" s="14">
        <f t="shared" si="789"/>
        <v>208</v>
      </c>
      <c r="BW428" s="13">
        <v>424</v>
      </c>
      <c r="BX428" s="13">
        <f t="shared" si="744"/>
        <v>22</v>
      </c>
      <c r="BY428" s="14">
        <f t="shared" si="745"/>
        <v>2</v>
      </c>
      <c r="BZ428" s="14">
        <f t="shared" si="754"/>
        <v>1102050</v>
      </c>
      <c r="CA428" s="14" t="str">
        <f t="shared" si="755"/>
        <v>柠檬精4突</v>
      </c>
      <c r="CB428" s="25" t="s">
        <v>142</v>
      </c>
      <c r="CC428" s="14">
        <v>2</v>
      </c>
      <c r="CD428" s="14">
        <f t="shared" si="746"/>
        <v>4</v>
      </c>
      <c r="CE428" s="14" t="s">
        <v>21</v>
      </c>
      <c r="CF428" s="14">
        <f>INDEX(属性投放!$AZ$6:$AZ$85,(BY428-2)*20+CD428)</f>
        <v>450</v>
      </c>
      <c r="CG428" s="14" t="s">
        <v>22</v>
      </c>
      <c r="CH428" s="14">
        <f>INDEX(属性投放!$BA$6:$BA$85,(BY428-2)*20+CD428)</f>
        <v>179</v>
      </c>
      <c r="CI428" s="14" t="s">
        <v>510</v>
      </c>
      <c r="CJ428" s="14">
        <f>INDEX(属性投放!$BB$6:$BB$85,(BY428-2)*20+CD428)</f>
        <v>2400</v>
      </c>
      <c r="CK428" s="14" t="s">
        <v>21</v>
      </c>
      <c r="CL428" s="14">
        <f>INDEX(属性投放!$BC$6:$BC$85,(BY428-2)*20+CD428)</f>
        <v>8</v>
      </c>
      <c r="CM428" s="14" t="s">
        <v>22</v>
      </c>
      <c r="CN428" s="14">
        <f>INDEX(属性投放!$BD$6:$BD$85,(BY428-2)*20+CD428)</f>
        <v>4</v>
      </c>
      <c r="CO428" s="14" t="s">
        <v>510</v>
      </c>
      <c r="CP428" s="14">
        <f>INDEX(属性投放!$BE$6:$BE$85,(BY428-2)*20+CD428)</f>
        <v>56</v>
      </c>
      <c r="CS428" s="13">
        <v>424</v>
      </c>
      <c r="CT428" s="13">
        <f t="shared" si="756"/>
        <v>9</v>
      </c>
      <c r="CU428" s="13">
        <f t="shared" si="757"/>
        <v>8</v>
      </c>
      <c r="CV428" s="14">
        <f t="shared" si="758"/>
        <v>3</v>
      </c>
      <c r="CW428" s="14">
        <f t="shared" si="759"/>
        <v>1102009</v>
      </c>
      <c r="CX428" s="14" t="str">
        <f>INDEX($O$6:$O$50,CT428)&amp;"-"&amp;INDEX(属性投放!$AB$7:$AB$50,CZ428)&amp;"-魂火-"&amp;DB428</f>
        <v>徐晃-众合+1-魂火-1</v>
      </c>
      <c r="CY428" s="25" t="s">
        <v>142</v>
      </c>
      <c r="CZ428" s="14">
        <f>INDEX(属性投放!$AM$7:$AM$58,CU428)</f>
        <v>5</v>
      </c>
      <c r="DA428" s="14" t="s">
        <v>537</v>
      </c>
      <c r="DB428" s="14">
        <f>INDEX(属性投放!$AN$7:$AN$58,CU428)</f>
        <v>1</v>
      </c>
      <c r="DC428" s="14">
        <f t="shared" si="747"/>
        <v>8</v>
      </c>
      <c r="DD428" s="14">
        <f>INDEX(属性投放!$AO$7:$AO$58,DC428)</f>
        <v>38</v>
      </c>
      <c r="DE428" s="14" t="s">
        <v>538</v>
      </c>
      <c r="DF428" s="14">
        <f>INDEX(属性投放!$BK$6:$BK$85,(CV428-2)*20+CZ428)</f>
        <v>45</v>
      </c>
      <c r="DG428" s="14">
        <f>SUMIFS(DF$5:DF428,$CT$5:$CT428,"="&amp;$CT428)</f>
        <v>255</v>
      </c>
      <c r="DH428" s="14" t="s">
        <v>539</v>
      </c>
      <c r="DI428" s="14">
        <f>INDEX(属性投放!$BL$6:$BL$85,(CV428-2)*20+CZ428)</f>
        <v>23</v>
      </c>
      <c r="DJ428" s="14">
        <f>SUMIFS(DI$5:DI428,$CT$5:$CT428,"="&amp;$CT428)</f>
        <v>129</v>
      </c>
      <c r="DK428" s="14" t="s">
        <v>540</v>
      </c>
      <c r="DL428" s="14">
        <f>INDEX(属性投放!$BM$6:$BM$85,(CV428-2)*20+CZ428)</f>
        <v>315</v>
      </c>
      <c r="DM428" s="14">
        <f>SUMIFS(DL$5:DL428,$CT$5:$CT428,"="&amp;$CT428)</f>
        <v>1655</v>
      </c>
      <c r="DR428" s="14">
        <f t="shared" si="748"/>
        <v>1102050</v>
      </c>
      <c r="DS428" s="14" t="str">
        <f t="shared" si="749"/>
        <v>柠檬精4突</v>
      </c>
      <c r="DT428" s="14">
        <f t="shared" si="760"/>
        <v>3</v>
      </c>
      <c r="DU428" s="14">
        <f t="shared" si="761"/>
        <v>1</v>
      </c>
      <c r="DV428" s="14">
        <f t="shared" si="762"/>
        <v>4</v>
      </c>
      <c r="DW428" s="14">
        <f t="shared" si="750"/>
        <v>2</v>
      </c>
      <c r="DX428" s="14">
        <f t="shared" si="751"/>
        <v>4</v>
      </c>
      <c r="DY428" s="14">
        <f t="shared" si="752"/>
        <v>4</v>
      </c>
      <c r="DZ428" s="14">
        <f>INDEX(属性投放!$AX$6:$AX$85,(卡牌属性!DW428-2)*20+卡牌属性!DX428)</f>
        <v>10</v>
      </c>
      <c r="EA428" s="14">
        <f>INDEX(属性投放!BQ$6:BQ$85,卡牌属性!$DY428)</f>
        <v>60</v>
      </c>
      <c r="EB428" s="14">
        <f>INDEX(属性投放!BR$6:BR$85,卡牌属性!$DY428)</f>
        <v>30</v>
      </c>
      <c r="EC428" s="14">
        <f>INDEX(属性投放!BS$6:BS$85,卡牌属性!$DY428)</f>
        <v>420</v>
      </c>
      <c r="ED428" s="14">
        <f t="shared" si="790"/>
        <v>345</v>
      </c>
      <c r="EE428" s="14">
        <f t="shared" si="791"/>
        <v>414</v>
      </c>
      <c r="EF428" s="14">
        <f t="shared" si="792"/>
        <v>487</v>
      </c>
      <c r="EG428" s="14">
        <f t="shared" si="793"/>
        <v>487</v>
      </c>
      <c r="EH428" s="14">
        <f t="shared" si="794"/>
        <v>560</v>
      </c>
      <c r="EI428" s="14">
        <f t="shared" si="795"/>
        <v>101</v>
      </c>
      <c r="EJ428" s="14">
        <f t="shared" si="796"/>
        <v>126</v>
      </c>
      <c r="EK428" s="14">
        <f t="shared" si="797"/>
        <v>126</v>
      </c>
      <c r="EL428" s="14">
        <f t="shared" si="798"/>
        <v>135</v>
      </c>
      <c r="EM428" s="14">
        <f t="shared" si="799"/>
        <v>165</v>
      </c>
      <c r="EN428" s="14">
        <f t="shared" si="800"/>
        <v>2134</v>
      </c>
      <c r="EO428" s="14">
        <f t="shared" si="801"/>
        <v>2522</v>
      </c>
      <c r="EP428" s="14">
        <f t="shared" si="802"/>
        <v>2522</v>
      </c>
      <c r="EQ428" s="14">
        <f t="shared" si="803"/>
        <v>2960</v>
      </c>
      <c r="ER428" s="14">
        <f t="shared" si="804"/>
        <v>3518</v>
      </c>
      <c r="ES428" s="14">
        <f>INDEX(属性偏向!$S$4:$S$243,(卡牌属性!$DT428-1+ES$3)*20+卡牌属性!$DX428)</f>
        <v>8</v>
      </c>
      <c r="ET428" s="14">
        <f>INDEX(属性偏向!$S$4:$S$243,(卡牌属性!$DT428-1+ET$3)*20+卡牌属性!$DX428)</f>
        <v>10</v>
      </c>
      <c r="EU428" s="14">
        <f>INDEX(属性偏向!$S$4:$S$243,(卡牌属性!$DT428-1+EU$3)*20+卡牌属性!$DX428)</f>
        <v>12</v>
      </c>
      <c r="EV428" s="14">
        <f>INDEX(属性偏向!$S$4:$S$243,(卡牌属性!$DT428-1+EV$3)*20+卡牌属性!$DX428)</f>
        <v>12</v>
      </c>
      <c r="EW428" s="14">
        <f>INDEX(属性偏向!$S$4:$S$243,(卡牌属性!$DT428-1+EW$3)*20+卡牌属性!$DX428)</f>
        <v>13</v>
      </c>
      <c r="EX428" s="14">
        <f>INDEX(属性偏向!$T$4:$T$243,(卡牌属性!$DU428-1+EX$3)*20+卡牌属性!$DX428)</f>
        <v>3</v>
      </c>
      <c r="EY428" s="14">
        <f>INDEX(属性偏向!$T$4:$T$243,(卡牌属性!$DU428-1+EY$3)*20+卡牌属性!$DX428)</f>
        <v>3</v>
      </c>
      <c r="EZ428" s="14">
        <f>INDEX(属性偏向!$T$4:$T$243,(卡牌属性!$DU428-1+EZ$3)*20+卡牌属性!$DX428)</f>
        <v>3</v>
      </c>
      <c r="FA428" s="14">
        <f>INDEX(属性偏向!$T$4:$T$243,(卡牌属性!$DU428-1+FA$3)*20+卡牌属性!$DX428)</f>
        <v>4</v>
      </c>
      <c r="FB428" s="14">
        <f>INDEX(属性偏向!$T$4:$T$243,(卡牌属性!$DU428-1+FB$3)*20+卡牌属性!$DX428)</f>
        <v>5</v>
      </c>
      <c r="FC428" s="14">
        <f>INDEX(属性偏向!$U$4:$U$243,(卡牌属性!$DV428-1+FC$3)*20+卡牌属性!$DX428)</f>
        <v>70</v>
      </c>
      <c r="FD428" s="14">
        <f>INDEX(属性偏向!$U$4:$U$243,(卡牌属性!$DV428-1+FD$3)*20+卡牌属性!$DX428)</f>
        <v>84</v>
      </c>
      <c r="FE428" s="14">
        <f>INDEX(属性偏向!$U$4:$U$243,(卡牌属性!$DV428-1+FE$3)*20+卡牌属性!$DX428)</f>
        <v>84</v>
      </c>
      <c r="FF428" s="14">
        <f>INDEX(属性偏向!$U$4:$U$243,(卡牌属性!$DV428-1+FF$3)*20+卡牌属性!$DX428)</f>
        <v>91</v>
      </c>
      <c r="FG428" s="14">
        <f>INDEX(属性偏向!$U$4:$U$243,(卡牌属性!$DV428-1+FG$3)*20+卡牌属性!$DX428)</f>
        <v>140</v>
      </c>
      <c r="FH428" s="14">
        <f>INDEX(属性投放!$BQ$6:$BQ$85,(卡牌属性!$DW428-2)*20+卡牌属性!$DX428)</f>
        <v>60</v>
      </c>
      <c r="FI428" s="14">
        <f>INDEX(属性投放!$BQ$6:$BQ$85,(卡牌属性!$DW428-2)*20+卡牌属性!$DX428)</f>
        <v>60</v>
      </c>
      <c r="FJ428" s="14">
        <f>INDEX(属性投放!$BQ$6:$BQ$85,(卡牌属性!$DW428-2)*20+卡牌属性!$DX428)</f>
        <v>60</v>
      </c>
      <c r="FK428" s="14">
        <f>INDEX(属性投放!$BQ$6:$BQ$85,(卡牌属性!$DW428-2)*20+卡牌属性!$DX428)</f>
        <v>60</v>
      </c>
      <c r="FL428" s="14">
        <f>INDEX(属性投放!$BQ$6:$BQ$85,(卡牌属性!$DW428-2)*20+卡牌属性!$DX428)</f>
        <v>60</v>
      </c>
      <c r="FM428" s="14">
        <f>INDEX(属性投放!$BR$6:$BR$85,(卡牌属性!$DW428-2)*20+卡牌属性!$DX428)</f>
        <v>30</v>
      </c>
      <c r="FN428" s="14">
        <f>INDEX(属性投放!$BR$6:$BR$85,(卡牌属性!$DW428-2)*20+卡牌属性!$DX428)</f>
        <v>30</v>
      </c>
      <c r="FO428" s="14">
        <f>INDEX(属性投放!$BR$6:$BR$85,(卡牌属性!$DW428-2)*20+卡牌属性!$DX428)</f>
        <v>30</v>
      </c>
      <c r="FP428" s="14">
        <f>INDEX(属性投放!$BR$6:$BR$85,(卡牌属性!$DW428-2)*20+卡牌属性!$DX428)</f>
        <v>30</v>
      </c>
      <c r="FQ428" s="14">
        <f>INDEX(属性投放!$BR$6:$BR$85,(卡牌属性!$DW428-2)*20+卡牌属性!$DX428)</f>
        <v>30</v>
      </c>
      <c r="FR428" s="14">
        <f>INDEX(属性投放!$BS$6:$BS$85,(卡牌属性!$DW428-2)*20+卡牌属性!$DX428)</f>
        <v>420</v>
      </c>
      <c r="FS428" s="14">
        <f>INDEX(属性投放!$BS$6:$BS$85,(卡牌属性!$DW428-2)*20+卡牌属性!$DX428)</f>
        <v>420</v>
      </c>
      <c r="FT428" s="14">
        <f>INDEX(属性投放!$BS$6:$BS$85,(卡牌属性!$DW428-2)*20+卡牌属性!$DX428)</f>
        <v>420</v>
      </c>
      <c r="FU428" s="14">
        <f>INDEX(属性投放!$BS$6:$BS$85,(卡牌属性!$DW428-2)*20+卡牌属性!$DX428)</f>
        <v>420</v>
      </c>
      <c r="FV428" s="14">
        <f>INDEX(属性投放!$BS$6:$BS$85,(卡牌属性!$DW428-2)*20+卡牌属性!$DX428)</f>
        <v>420</v>
      </c>
    </row>
    <row r="429" spans="31:178" ht="16.5" x14ac:dyDescent="0.2">
      <c r="AE429" s="13">
        <v>425</v>
      </c>
      <c r="AF429" s="13">
        <f t="shared" si="753"/>
        <v>22</v>
      </c>
      <c r="AG429" s="13">
        <f t="shared" si="740"/>
        <v>3</v>
      </c>
      <c r="AH429" s="13"/>
      <c r="AI429" s="13"/>
      <c r="AJ429" s="14">
        <f t="shared" si="741"/>
        <v>1101030</v>
      </c>
      <c r="AK429" s="14" t="str">
        <f t="shared" si="742"/>
        <v>卢天佑5突</v>
      </c>
      <c r="AL429" s="25" t="s">
        <v>142</v>
      </c>
      <c r="AM429" s="14">
        <v>1</v>
      </c>
      <c r="AN429" s="14">
        <f t="shared" si="743"/>
        <v>5</v>
      </c>
      <c r="AO429" s="14">
        <f>INDEX(属性投放!$DF$6:$DF$85,(卡牌属性!AG429-2)*20+卡牌属性!AN429)</f>
        <v>569</v>
      </c>
      <c r="AP429" s="14">
        <f t="shared" si="784"/>
        <v>569</v>
      </c>
      <c r="AQ429" s="14">
        <f t="shared" si="784"/>
        <v>569</v>
      </c>
      <c r="AR429" s="14">
        <f t="shared" si="784"/>
        <v>569</v>
      </c>
      <c r="AS429" s="14">
        <f t="shared" si="784"/>
        <v>569</v>
      </c>
      <c r="AT429" s="14">
        <f>INDEX(属性投放!$DG$6:$DG$85,(卡牌属性!AG429-2)*20+卡牌属性!AN429)</f>
        <v>205</v>
      </c>
      <c r="AU429" s="14">
        <f t="shared" si="785"/>
        <v>205</v>
      </c>
      <c r="AV429" s="14">
        <f t="shared" si="785"/>
        <v>205</v>
      </c>
      <c r="AW429" s="14">
        <f t="shared" si="785"/>
        <v>205</v>
      </c>
      <c r="AX429" s="14">
        <f t="shared" si="785"/>
        <v>205</v>
      </c>
      <c r="AY429" s="14">
        <f>INDEX(属性投放!$DH$6:$DH$85,(卡牌属性!AG429-2)*20+卡牌属性!AN429)</f>
        <v>2973</v>
      </c>
      <c r="AZ429" s="14">
        <f t="shared" si="786"/>
        <v>2973</v>
      </c>
      <c r="BA429" s="14">
        <f t="shared" si="786"/>
        <v>2973</v>
      </c>
      <c r="BB429" s="14">
        <f t="shared" si="786"/>
        <v>2973</v>
      </c>
      <c r="BC429" s="14">
        <f t="shared" si="786"/>
        <v>2973</v>
      </c>
      <c r="BD429" s="14">
        <f>INDEX(属性投放!$DL$6:$DL$85,(卡牌属性!AG429-2)*20+卡牌属性!AN429)</f>
        <v>30</v>
      </c>
      <c r="BE429" s="14">
        <f t="shared" si="787"/>
        <v>30</v>
      </c>
      <c r="BF429" s="14">
        <f t="shared" si="787"/>
        <v>30</v>
      </c>
      <c r="BG429" s="14">
        <f t="shared" si="787"/>
        <v>30</v>
      </c>
      <c r="BH429" s="14">
        <f t="shared" si="787"/>
        <v>30</v>
      </c>
      <c r="BI429" s="14">
        <f>INDEX(属性投放!$DM$6:$DM$85,(卡牌属性!AG429-2)*20+卡牌属性!AN429)</f>
        <v>15</v>
      </c>
      <c r="BJ429" s="14">
        <f t="shared" si="788"/>
        <v>15</v>
      </c>
      <c r="BK429" s="14">
        <f t="shared" si="788"/>
        <v>15</v>
      </c>
      <c r="BL429" s="14">
        <f t="shared" si="788"/>
        <v>15</v>
      </c>
      <c r="BM429" s="14">
        <f t="shared" si="788"/>
        <v>15</v>
      </c>
      <c r="BN429" s="14">
        <f>INDEX(属性投放!$DN$6:$DN$85,(卡牌属性!AG429-2)*20+卡牌属性!AN429)</f>
        <v>208</v>
      </c>
      <c r="BO429" s="14">
        <f t="shared" si="789"/>
        <v>208</v>
      </c>
      <c r="BP429" s="14">
        <f t="shared" si="789"/>
        <v>208</v>
      </c>
      <c r="BQ429" s="14">
        <f t="shared" si="789"/>
        <v>208</v>
      </c>
      <c r="BR429" s="14">
        <f t="shared" si="789"/>
        <v>208</v>
      </c>
      <c r="BW429" s="13">
        <v>425</v>
      </c>
      <c r="BX429" s="13">
        <f t="shared" si="744"/>
        <v>22</v>
      </c>
      <c r="BY429" s="14">
        <f t="shared" si="745"/>
        <v>2</v>
      </c>
      <c r="BZ429" s="14">
        <f t="shared" si="754"/>
        <v>1102050</v>
      </c>
      <c r="CA429" s="14" t="str">
        <f t="shared" si="755"/>
        <v>柠檬精5突</v>
      </c>
      <c r="CB429" s="25" t="s">
        <v>142</v>
      </c>
      <c r="CC429" s="14">
        <v>2</v>
      </c>
      <c r="CD429" s="14">
        <f t="shared" si="746"/>
        <v>5</v>
      </c>
      <c r="CE429" s="14" t="s">
        <v>21</v>
      </c>
      <c r="CF429" s="14">
        <f>INDEX(属性投放!$AZ$6:$AZ$85,(BY429-2)*20+CD429)</f>
        <v>650</v>
      </c>
      <c r="CG429" s="14" t="s">
        <v>22</v>
      </c>
      <c r="CH429" s="14">
        <f>INDEX(属性投放!$BA$6:$BA$85,(BY429-2)*20+CD429)</f>
        <v>279</v>
      </c>
      <c r="CI429" s="14" t="s">
        <v>510</v>
      </c>
      <c r="CJ429" s="14">
        <f>INDEX(属性投放!$BB$6:$BB$85,(BY429-2)*20+CD429)</f>
        <v>3800</v>
      </c>
      <c r="CK429" s="14" t="s">
        <v>21</v>
      </c>
      <c r="CL429" s="14">
        <f>INDEX(属性投放!$BC$6:$BC$85,(BY429-2)*20+CD429)</f>
        <v>8</v>
      </c>
      <c r="CM429" s="14" t="s">
        <v>22</v>
      </c>
      <c r="CN429" s="14">
        <f>INDEX(属性投放!$BD$6:$BD$85,(BY429-2)*20+CD429)</f>
        <v>4</v>
      </c>
      <c r="CO429" s="14" t="s">
        <v>510</v>
      </c>
      <c r="CP429" s="14">
        <f>INDEX(属性投放!$BE$6:$BE$85,(BY429-2)*20+CD429)</f>
        <v>56</v>
      </c>
      <c r="CS429" s="13">
        <v>425</v>
      </c>
      <c r="CT429" s="13">
        <f t="shared" si="756"/>
        <v>9</v>
      </c>
      <c r="CU429" s="13">
        <f t="shared" si="757"/>
        <v>9</v>
      </c>
      <c r="CV429" s="14">
        <f t="shared" si="758"/>
        <v>3</v>
      </c>
      <c r="CW429" s="14">
        <f t="shared" si="759"/>
        <v>1102009</v>
      </c>
      <c r="CX429" s="14" t="str">
        <f>INDEX($O$6:$O$50,CT429)&amp;"-"&amp;INDEX(属性投放!$AB$7:$AB$50,CZ429)&amp;"-魂火-"&amp;DB429</f>
        <v>徐晃-众合+1-魂火-2</v>
      </c>
      <c r="CY429" s="25" t="s">
        <v>142</v>
      </c>
      <c r="CZ429" s="14">
        <f>INDEX(属性投放!$AM$7:$AM$58,CU429)</f>
        <v>5</v>
      </c>
      <c r="DA429" s="14" t="s">
        <v>537</v>
      </c>
      <c r="DB429" s="14">
        <f>INDEX(属性投放!$AN$7:$AN$58,CU429)</f>
        <v>2</v>
      </c>
      <c r="DC429" s="14">
        <f t="shared" si="747"/>
        <v>9</v>
      </c>
      <c r="DD429" s="14">
        <f>INDEX(属性投放!$AO$7:$AO$58,DC429)</f>
        <v>40</v>
      </c>
      <c r="DE429" s="14" t="s">
        <v>538</v>
      </c>
      <c r="DF429" s="14">
        <f>INDEX(属性投放!$BK$6:$BK$85,(CV429-2)*20+CZ429)</f>
        <v>45</v>
      </c>
      <c r="DG429" s="14">
        <f>SUMIFS(DF$5:DF429,$CT$5:$CT429,"="&amp;$CT429)</f>
        <v>300</v>
      </c>
      <c r="DH429" s="14" t="s">
        <v>539</v>
      </c>
      <c r="DI429" s="14">
        <f>INDEX(属性投放!$BL$6:$BL$85,(CV429-2)*20+CZ429)</f>
        <v>23</v>
      </c>
      <c r="DJ429" s="14">
        <f>SUMIFS(DI$5:DI429,$CT$5:$CT429,"="&amp;$CT429)</f>
        <v>152</v>
      </c>
      <c r="DK429" s="14" t="s">
        <v>540</v>
      </c>
      <c r="DL429" s="14">
        <f>INDEX(属性投放!$BM$6:$BM$85,(CV429-2)*20+CZ429)</f>
        <v>315</v>
      </c>
      <c r="DM429" s="14">
        <f>SUMIFS(DL$5:DL429,$CT$5:$CT429,"="&amp;$CT429)</f>
        <v>1970</v>
      </c>
      <c r="DR429" s="14">
        <f t="shared" si="748"/>
        <v>1102050</v>
      </c>
      <c r="DS429" s="14" t="str">
        <f t="shared" si="749"/>
        <v>柠檬精5突</v>
      </c>
      <c r="DT429" s="14">
        <f t="shared" si="760"/>
        <v>3</v>
      </c>
      <c r="DU429" s="14">
        <f t="shared" si="761"/>
        <v>1</v>
      </c>
      <c r="DV429" s="14">
        <f t="shared" si="762"/>
        <v>4</v>
      </c>
      <c r="DW429" s="14">
        <f t="shared" si="750"/>
        <v>2</v>
      </c>
      <c r="DX429" s="14">
        <f t="shared" si="751"/>
        <v>5</v>
      </c>
      <c r="DY429" s="14">
        <f t="shared" si="752"/>
        <v>5</v>
      </c>
      <c r="DZ429" s="14">
        <f>INDEX(属性投放!$AX$6:$AX$85,(卡牌属性!DW429-2)*20+卡牌属性!DX429)</f>
        <v>7</v>
      </c>
      <c r="EA429" s="14">
        <f>INDEX(属性投放!BQ$6:BQ$85,卡牌属性!$DY429)</f>
        <v>80</v>
      </c>
      <c r="EB429" s="14">
        <f>INDEX(属性投放!BR$6:BR$85,卡牌属性!$DY429)</f>
        <v>40</v>
      </c>
      <c r="EC429" s="14">
        <f>INDEX(属性投放!BS$6:BS$85,卡牌属性!$DY429)</f>
        <v>560</v>
      </c>
      <c r="ED429" s="14">
        <f t="shared" si="790"/>
        <v>485</v>
      </c>
      <c r="EE429" s="14">
        <f t="shared" si="791"/>
        <v>574</v>
      </c>
      <c r="EF429" s="14">
        <f t="shared" si="792"/>
        <v>667</v>
      </c>
      <c r="EG429" s="14">
        <f t="shared" si="793"/>
        <v>667</v>
      </c>
      <c r="EH429" s="14">
        <f t="shared" si="794"/>
        <v>750</v>
      </c>
      <c r="EI429" s="14">
        <f t="shared" si="795"/>
        <v>161</v>
      </c>
      <c r="EJ429" s="14">
        <f t="shared" si="796"/>
        <v>186</v>
      </c>
      <c r="EK429" s="14">
        <f t="shared" si="797"/>
        <v>186</v>
      </c>
      <c r="EL429" s="14">
        <f t="shared" si="798"/>
        <v>205</v>
      </c>
      <c r="EM429" s="14">
        <f t="shared" si="799"/>
        <v>245</v>
      </c>
      <c r="EN429" s="14">
        <f t="shared" si="800"/>
        <v>3254</v>
      </c>
      <c r="EO429" s="14">
        <f t="shared" si="801"/>
        <v>3782</v>
      </c>
      <c r="EP429" s="14">
        <f t="shared" si="802"/>
        <v>3782</v>
      </c>
      <c r="EQ429" s="14">
        <f t="shared" si="803"/>
        <v>4290</v>
      </c>
      <c r="ER429" s="14">
        <f t="shared" si="804"/>
        <v>5338</v>
      </c>
      <c r="ES429" s="14">
        <f>INDEX(属性偏向!$S$4:$S$243,(卡牌属性!$DT429-1+ES$3)*20+卡牌属性!$DX429)</f>
        <v>8</v>
      </c>
      <c r="ET429" s="14">
        <f>INDEX(属性偏向!$S$4:$S$243,(卡牌属性!$DT429-1+ET$3)*20+卡牌属性!$DX429)</f>
        <v>10</v>
      </c>
      <c r="EU429" s="14">
        <f>INDEX(属性偏向!$S$4:$S$243,(卡牌属性!$DT429-1+EU$3)*20+卡牌属性!$DX429)</f>
        <v>12</v>
      </c>
      <c r="EV429" s="14">
        <f>INDEX(属性偏向!$S$4:$S$243,(卡牌属性!$DT429-1+EV$3)*20+卡牌属性!$DX429)</f>
        <v>12</v>
      </c>
      <c r="EW429" s="14">
        <f>INDEX(属性偏向!$S$4:$S$243,(卡牌属性!$DT429-1+EW$3)*20+卡牌属性!$DX429)</f>
        <v>13</v>
      </c>
      <c r="EX429" s="14">
        <f>INDEX(属性偏向!$T$4:$T$243,(卡牌属性!$DU429-1+EX$3)*20+卡牌属性!$DX429)</f>
        <v>3</v>
      </c>
      <c r="EY429" s="14">
        <f>INDEX(属性偏向!$T$4:$T$243,(卡牌属性!$DU429-1+EY$3)*20+卡牌属性!$DX429)</f>
        <v>3</v>
      </c>
      <c r="EZ429" s="14">
        <f>INDEX(属性偏向!$T$4:$T$243,(卡牌属性!$DU429-1+EZ$3)*20+卡牌属性!$DX429)</f>
        <v>3</v>
      </c>
      <c r="FA429" s="14">
        <f>INDEX(属性偏向!$T$4:$T$243,(卡牌属性!$DU429-1+FA$3)*20+卡牌属性!$DX429)</f>
        <v>4</v>
      </c>
      <c r="FB429" s="14">
        <f>INDEX(属性偏向!$T$4:$T$243,(卡牌属性!$DU429-1+FB$3)*20+卡牌属性!$DX429)</f>
        <v>5</v>
      </c>
      <c r="FC429" s="14">
        <f>INDEX(属性偏向!$U$4:$U$243,(卡牌属性!$DV429-1+FC$3)*20+卡牌属性!$DX429)</f>
        <v>70</v>
      </c>
      <c r="FD429" s="14">
        <f>INDEX(属性偏向!$U$4:$U$243,(卡牌属性!$DV429-1+FD$3)*20+卡牌属性!$DX429)</f>
        <v>84</v>
      </c>
      <c r="FE429" s="14">
        <f>INDEX(属性偏向!$U$4:$U$243,(卡牌属性!$DV429-1+FE$3)*20+卡牌属性!$DX429)</f>
        <v>84</v>
      </c>
      <c r="FF429" s="14">
        <f>INDEX(属性偏向!$U$4:$U$243,(卡牌属性!$DV429-1+FF$3)*20+卡牌属性!$DX429)</f>
        <v>91</v>
      </c>
      <c r="FG429" s="14">
        <f>INDEX(属性偏向!$U$4:$U$243,(卡牌属性!$DV429-1+FG$3)*20+卡牌属性!$DX429)</f>
        <v>140</v>
      </c>
      <c r="FH429" s="14">
        <f>INDEX(属性投放!$BQ$6:$BQ$85,(卡牌属性!$DW429-2)*20+卡牌属性!$DX429)</f>
        <v>80</v>
      </c>
      <c r="FI429" s="14">
        <f>INDEX(属性投放!$BQ$6:$BQ$85,(卡牌属性!$DW429-2)*20+卡牌属性!$DX429)</f>
        <v>80</v>
      </c>
      <c r="FJ429" s="14">
        <f>INDEX(属性投放!$BQ$6:$BQ$85,(卡牌属性!$DW429-2)*20+卡牌属性!$DX429)</f>
        <v>80</v>
      </c>
      <c r="FK429" s="14">
        <f>INDEX(属性投放!$BQ$6:$BQ$85,(卡牌属性!$DW429-2)*20+卡牌属性!$DX429)</f>
        <v>80</v>
      </c>
      <c r="FL429" s="14">
        <f>INDEX(属性投放!$BQ$6:$BQ$85,(卡牌属性!$DW429-2)*20+卡牌属性!$DX429)</f>
        <v>80</v>
      </c>
      <c r="FM429" s="14">
        <f>INDEX(属性投放!$BR$6:$BR$85,(卡牌属性!$DW429-2)*20+卡牌属性!$DX429)</f>
        <v>40</v>
      </c>
      <c r="FN429" s="14">
        <f>INDEX(属性投放!$BR$6:$BR$85,(卡牌属性!$DW429-2)*20+卡牌属性!$DX429)</f>
        <v>40</v>
      </c>
      <c r="FO429" s="14">
        <f>INDEX(属性投放!$BR$6:$BR$85,(卡牌属性!$DW429-2)*20+卡牌属性!$DX429)</f>
        <v>40</v>
      </c>
      <c r="FP429" s="14">
        <f>INDEX(属性投放!$BR$6:$BR$85,(卡牌属性!$DW429-2)*20+卡牌属性!$DX429)</f>
        <v>40</v>
      </c>
      <c r="FQ429" s="14">
        <f>INDEX(属性投放!$BR$6:$BR$85,(卡牌属性!$DW429-2)*20+卡牌属性!$DX429)</f>
        <v>40</v>
      </c>
      <c r="FR429" s="14">
        <f>INDEX(属性投放!$BS$6:$BS$85,(卡牌属性!$DW429-2)*20+卡牌属性!$DX429)</f>
        <v>560</v>
      </c>
      <c r="FS429" s="14">
        <f>INDEX(属性投放!$BS$6:$BS$85,(卡牌属性!$DW429-2)*20+卡牌属性!$DX429)</f>
        <v>560</v>
      </c>
      <c r="FT429" s="14">
        <f>INDEX(属性投放!$BS$6:$BS$85,(卡牌属性!$DW429-2)*20+卡牌属性!$DX429)</f>
        <v>560</v>
      </c>
      <c r="FU429" s="14">
        <f>INDEX(属性投放!$BS$6:$BS$85,(卡牌属性!$DW429-2)*20+卡牌属性!$DX429)</f>
        <v>560</v>
      </c>
      <c r="FV429" s="14">
        <f>INDEX(属性投放!$BS$6:$BS$85,(卡牌属性!$DW429-2)*20+卡牌属性!$DX429)</f>
        <v>560</v>
      </c>
    </row>
    <row r="430" spans="31:178" ht="16.5" x14ac:dyDescent="0.2">
      <c r="AE430" s="13">
        <v>426</v>
      </c>
      <c r="AF430" s="13">
        <f t="shared" si="753"/>
        <v>22</v>
      </c>
      <c r="AG430" s="13">
        <f t="shared" si="740"/>
        <v>3</v>
      </c>
      <c r="AH430" s="13"/>
      <c r="AI430" s="13"/>
      <c r="AJ430" s="14">
        <f t="shared" si="741"/>
        <v>1101030</v>
      </c>
      <c r="AK430" s="14" t="str">
        <f t="shared" si="742"/>
        <v>卢天佑6突</v>
      </c>
      <c r="AL430" s="25" t="s">
        <v>142</v>
      </c>
      <c r="AM430" s="14">
        <v>1</v>
      </c>
      <c r="AN430" s="14">
        <f t="shared" si="743"/>
        <v>6</v>
      </c>
      <c r="AO430" s="14">
        <f>INDEX(属性投放!$DF$6:$DF$85,(卡牌属性!AG430-2)*20+卡牌属性!AN430)</f>
        <v>654</v>
      </c>
      <c r="AP430" s="14">
        <f t="shared" si="784"/>
        <v>654</v>
      </c>
      <c r="AQ430" s="14">
        <f t="shared" si="784"/>
        <v>654</v>
      </c>
      <c r="AR430" s="14">
        <f t="shared" si="784"/>
        <v>654</v>
      </c>
      <c r="AS430" s="14">
        <f t="shared" si="784"/>
        <v>654</v>
      </c>
      <c r="AT430" s="14">
        <f>INDEX(属性投放!$DG$6:$DG$85,(卡牌属性!AG430-2)*20+卡牌属性!AN430)</f>
        <v>248</v>
      </c>
      <c r="AU430" s="14">
        <f t="shared" si="785"/>
        <v>248</v>
      </c>
      <c r="AV430" s="14">
        <f t="shared" si="785"/>
        <v>248</v>
      </c>
      <c r="AW430" s="14">
        <f t="shared" si="785"/>
        <v>248</v>
      </c>
      <c r="AX430" s="14">
        <f t="shared" si="785"/>
        <v>248</v>
      </c>
      <c r="AY430" s="14">
        <f>INDEX(属性投放!$DH$6:$DH$85,(卡牌属性!AG430-2)*20+卡牌属性!AN430)</f>
        <v>3567</v>
      </c>
      <c r="AZ430" s="14">
        <f t="shared" si="786"/>
        <v>3567</v>
      </c>
      <c r="BA430" s="14">
        <f t="shared" si="786"/>
        <v>3567</v>
      </c>
      <c r="BB430" s="14">
        <f t="shared" si="786"/>
        <v>3567</v>
      </c>
      <c r="BC430" s="14">
        <f t="shared" si="786"/>
        <v>3567</v>
      </c>
      <c r="BD430" s="14">
        <f>INDEX(属性投放!$DL$6:$DL$85,(卡牌属性!AG430-2)*20+卡牌属性!AN430)</f>
        <v>30</v>
      </c>
      <c r="BE430" s="14">
        <f t="shared" si="787"/>
        <v>30</v>
      </c>
      <c r="BF430" s="14">
        <f t="shared" si="787"/>
        <v>30</v>
      </c>
      <c r="BG430" s="14">
        <f t="shared" si="787"/>
        <v>30</v>
      </c>
      <c r="BH430" s="14">
        <f t="shared" si="787"/>
        <v>30</v>
      </c>
      <c r="BI430" s="14">
        <f>INDEX(属性投放!$DM$6:$DM$85,(卡牌属性!AG430-2)*20+卡牌属性!AN430)</f>
        <v>15</v>
      </c>
      <c r="BJ430" s="14">
        <f t="shared" si="788"/>
        <v>15</v>
      </c>
      <c r="BK430" s="14">
        <f t="shared" si="788"/>
        <v>15</v>
      </c>
      <c r="BL430" s="14">
        <f t="shared" si="788"/>
        <v>15</v>
      </c>
      <c r="BM430" s="14">
        <f t="shared" si="788"/>
        <v>15</v>
      </c>
      <c r="BN430" s="14">
        <f>INDEX(属性投放!$DN$6:$DN$85,(卡牌属性!AG430-2)*20+卡牌属性!AN430)</f>
        <v>208</v>
      </c>
      <c r="BO430" s="14">
        <f t="shared" si="789"/>
        <v>208</v>
      </c>
      <c r="BP430" s="14">
        <f t="shared" si="789"/>
        <v>208</v>
      </c>
      <c r="BQ430" s="14">
        <f t="shared" si="789"/>
        <v>208</v>
      </c>
      <c r="BR430" s="14">
        <f t="shared" si="789"/>
        <v>208</v>
      </c>
      <c r="BW430" s="13">
        <v>426</v>
      </c>
      <c r="BX430" s="13">
        <f t="shared" si="744"/>
        <v>22</v>
      </c>
      <c r="BY430" s="14">
        <f t="shared" si="745"/>
        <v>2</v>
      </c>
      <c r="BZ430" s="14">
        <f t="shared" si="754"/>
        <v>1102050</v>
      </c>
      <c r="CA430" s="14" t="str">
        <f t="shared" si="755"/>
        <v>柠檬精6突</v>
      </c>
      <c r="CB430" s="25" t="s">
        <v>142</v>
      </c>
      <c r="CC430" s="14">
        <v>2</v>
      </c>
      <c r="CD430" s="14">
        <f t="shared" si="746"/>
        <v>6</v>
      </c>
      <c r="CE430" s="14" t="s">
        <v>21</v>
      </c>
      <c r="CF430" s="14">
        <f>INDEX(属性投放!$AZ$6:$AZ$85,(BY430-2)*20+CD430)</f>
        <v>856</v>
      </c>
      <c r="CG430" s="14" t="s">
        <v>22</v>
      </c>
      <c r="CH430" s="14">
        <f>INDEX(属性投放!$BA$6:$BA$85,(BY430-2)*20+CD430)</f>
        <v>383</v>
      </c>
      <c r="CI430" s="14" t="s">
        <v>510</v>
      </c>
      <c r="CJ430" s="14">
        <f>INDEX(属性投放!$BB$6:$BB$85,(BY430-2)*20+CD430)</f>
        <v>5242</v>
      </c>
      <c r="CK430" s="14" t="s">
        <v>21</v>
      </c>
      <c r="CL430" s="14">
        <f>INDEX(属性投放!$BC$6:$BC$85,(BY430-2)*20+CD430)</f>
        <v>8</v>
      </c>
      <c r="CM430" s="14" t="s">
        <v>22</v>
      </c>
      <c r="CN430" s="14">
        <f>INDEX(属性投放!$BD$6:$BD$85,(BY430-2)*20+CD430)</f>
        <v>4</v>
      </c>
      <c r="CO430" s="14" t="s">
        <v>510</v>
      </c>
      <c r="CP430" s="14">
        <f>INDEX(属性投放!$BE$6:$BE$85,(BY430-2)*20+CD430)</f>
        <v>56</v>
      </c>
      <c r="CS430" s="13">
        <v>426</v>
      </c>
      <c r="CT430" s="13">
        <f t="shared" si="756"/>
        <v>9</v>
      </c>
      <c r="CU430" s="13">
        <f t="shared" si="757"/>
        <v>10</v>
      </c>
      <c r="CV430" s="14">
        <f t="shared" si="758"/>
        <v>3</v>
      </c>
      <c r="CW430" s="14">
        <f t="shared" si="759"/>
        <v>1102009</v>
      </c>
      <c r="CX430" s="14" t="str">
        <f>INDEX($O$6:$O$50,CT430)&amp;"-"&amp;INDEX(属性投放!$AB$7:$AB$50,CZ430)&amp;"-魂火-"&amp;DB430</f>
        <v>徐晃-众合+2-魂火-1</v>
      </c>
      <c r="CY430" s="25" t="s">
        <v>142</v>
      </c>
      <c r="CZ430" s="14">
        <f>INDEX(属性投放!$AM$7:$AM$58,CU430)</f>
        <v>6</v>
      </c>
      <c r="DA430" s="14" t="s">
        <v>537</v>
      </c>
      <c r="DB430" s="14">
        <f>INDEX(属性投放!$AN$7:$AN$58,CU430)</f>
        <v>1</v>
      </c>
      <c r="DC430" s="14">
        <f t="shared" si="747"/>
        <v>10</v>
      </c>
      <c r="DD430" s="14">
        <f>INDEX(属性投放!$AO$7:$AO$58,DC430)</f>
        <v>43</v>
      </c>
      <c r="DE430" s="14" t="s">
        <v>538</v>
      </c>
      <c r="DF430" s="14">
        <f>INDEX(属性投放!$BK$6:$BK$85,(CV430-2)*20+CZ430)</f>
        <v>50</v>
      </c>
      <c r="DG430" s="14">
        <f>SUMIFS(DF$5:DF430,$CT$5:$CT430,"="&amp;$CT430)</f>
        <v>350</v>
      </c>
      <c r="DH430" s="14" t="s">
        <v>539</v>
      </c>
      <c r="DI430" s="14">
        <f>INDEX(属性投放!$BL$6:$BL$85,(CV430-2)*20+CZ430)</f>
        <v>25</v>
      </c>
      <c r="DJ430" s="14">
        <f>SUMIFS(DI$5:DI430,$CT$5:$CT430,"="&amp;$CT430)</f>
        <v>177</v>
      </c>
      <c r="DK430" s="14" t="s">
        <v>540</v>
      </c>
      <c r="DL430" s="14">
        <f>INDEX(属性投放!$BM$6:$BM$85,(CV430-2)*20+CZ430)</f>
        <v>350</v>
      </c>
      <c r="DM430" s="14">
        <f>SUMIFS(DL$5:DL430,$CT$5:$CT430,"="&amp;$CT430)</f>
        <v>2320</v>
      </c>
      <c r="DR430" s="14">
        <f t="shared" si="748"/>
        <v>1102050</v>
      </c>
      <c r="DS430" s="14" t="str">
        <f t="shared" si="749"/>
        <v>柠檬精6突</v>
      </c>
      <c r="DT430" s="14">
        <f t="shared" si="760"/>
        <v>3</v>
      </c>
      <c r="DU430" s="14">
        <f t="shared" si="761"/>
        <v>1</v>
      </c>
      <c r="DV430" s="14">
        <f t="shared" si="762"/>
        <v>4</v>
      </c>
      <c r="DW430" s="14">
        <f t="shared" si="750"/>
        <v>2</v>
      </c>
      <c r="DX430" s="14">
        <f t="shared" si="751"/>
        <v>6</v>
      </c>
      <c r="DY430" s="14">
        <f t="shared" si="752"/>
        <v>6</v>
      </c>
      <c r="DZ430" s="14">
        <f>INDEX(属性投放!$AX$6:$AX$85,(卡牌属性!DW430-2)*20+卡牌属性!DX430)</f>
        <v>5</v>
      </c>
      <c r="EA430" s="14">
        <f>INDEX(属性投放!BQ$6:BQ$85,卡牌属性!$DY430)</f>
        <v>100</v>
      </c>
      <c r="EB430" s="14">
        <f>INDEX(属性投放!BR$6:BR$85,卡牌属性!$DY430)</f>
        <v>50</v>
      </c>
      <c r="EC430" s="14">
        <f>INDEX(属性投放!BS$6:BS$85,卡牌属性!$DY430)</f>
        <v>700</v>
      </c>
      <c r="ED430" s="14">
        <f t="shared" si="790"/>
        <v>621</v>
      </c>
      <c r="EE430" s="14">
        <f t="shared" si="791"/>
        <v>724</v>
      </c>
      <c r="EF430" s="14">
        <f t="shared" si="792"/>
        <v>831</v>
      </c>
      <c r="EG430" s="14">
        <f t="shared" si="793"/>
        <v>831</v>
      </c>
      <c r="EH430" s="14">
        <f t="shared" si="794"/>
        <v>921</v>
      </c>
      <c r="EI430" s="14">
        <f t="shared" si="795"/>
        <v>222</v>
      </c>
      <c r="EJ430" s="14">
        <f t="shared" si="796"/>
        <v>247</v>
      </c>
      <c r="EK430" s="14">
        <f t="shared" si="797"/>
        <v>247</v>
      </c>
      <c r="EL430" s="14">
        <f t="shared" si="798"/>
        <v>273</v>
      </c>
      <c r="EM430" s="14">
        <f t="shared" si="799"/>
        <v>320</v>
      </c>
      <c r="EN430" s="14">
        <f t="shared" si="800"/>
        <v>4304</v>
      </c>
      <c r="EO430" s="14">
        <f t="shared" si="801"/>
        <v>4930</v>
      </c>
      <c r="EP430" s="14">
        <f t="shared" si="802"/>
        <v>4930</v>
      </c>
      <c r="EQ430" s="14">
        <f t="shared" si="803"/>
        <v>5487</v>
      </c>
      <c r="ER430" s="14">
        <f t="shared" si="804"/>
        <v>6878</v>
      </c>
      <c r="ES430" s="14">
        <f>INDEX(属性偏向!$S$4:$S$243,(卡牌属性!$DT430-1+ES$3)*20+卡牌属性!$DX430)</f>
        <v>8</v>
      </c>
      <c r="ET430" s="14">
        <f>INDEX(属性偏向!$S$4:$S$243,(卡牌属性!$DT430-1+ET$3)*20+卡牌属性!$DX430)</f>
        <v>10</v>
      </c>
      <c r="EU430" s="14">
        <f>INDEX(属性偏向!$S$4:$S$243,(卡牌属性!$DT430-1+EU$3)*20+卡牌属性!$DX430)</f>
        <v>12</v>
      </c>
      <c r="EV430" s="14">
        <f>INDEX(属性偏向!$S$4:$S$243,(卡牌属性!$DT430-1+EV$3)*20+卡牌属性!$DX430)</f>
        <v>12</v>
      </c>
      <c r="EW430" s="14">
        <f>INDEX(属性偏向!$S$4:$S$243,(卡牌属性!$DT430-1+EW$3)*20+卡牌属性!$DX430)</f>
        <v>13</v>
      </c>
      <c r="EX430" s="14">
        <f>INDEX(属性偏向!$T$4:$T$243,(卡牌属性!$DU430-1+EX$3)*20+卡牌属性!$DX430)</f>
        <v>3</v>
      </c>
      <c r="EY430" s="14">
        <f>INDEX(属性偏向!$T$4:$T$243,(卡牌属性!$DU430-1+EY$3)*20+卡牌属性!$DX430)</f>
        <v>3</v>
      </c>
      <c r="EZ430" s="14">
        <f>INDEX(属性偏向!$T$4:$T$243,(卡牌属性!$DU430-1+EZ$3)*20+卡牌属性!$DX430)</f>
        <v>3</v>
      </c>
      <c r="FA430" s="14">
        <f>INDEX(属性偏向!$T$4:$T$243,(卡牌属性!$DU430-1+FA$3)*20+卡牌属性!$DX430)</f>
        <v>4</v>
      </c>
      <c r="FB430" s="14">
        <f>INDEX(属性偏向!$T$4:$T$243,(卡牌属性!$DU430-1+FB$3)*20+卡牌属性!$DX430)</f>
        <v>5</v>
      </c>
      <c r="FC430" s="14">
        <f>INDEX(属性偏向!$U$4:$U$243,(卡牌属性!$DV430-1+FC$3)*20+卡牌属性!$DX430)</f>
        <v>70</v>
      </c>
      <c r="FD430" s="14">
        <f>INDEX(属性偏向!$U$4:$U$243,(卡牌属性!$DV430-1+FD$3)*20+卡牌属性!$DX430)</f>
        <v>84</v>
      </c>
      <c r="FE430" s="14">
        <f>INDEX(属性偏向!$U$4:$U$243,(卡牌属性!$DV430-1+FE$3)*20+卡牌属性!$DX430)</f>
        <v>84</v>
      </c>
      <c r="FF430" s="14">
        <f>INDEX(属性偏向!$U$4:$U$243,(卡牌属性!$DV430-1+FF$3)*20+卡牌属性!$DX430)</f>
        <v>91</v>
      </c>
      <c r="FG430" s="14">
        <f>INDEX(属性偏向!$U$4:$U$243,(卡牌属性!$DV430-1+FG$3)*20+卡牌属性!$DX430)</f>
        <v>140</v>
      </c>
      <c r="FH430" s="14">
        <f>INDEX(属性投放!$BQ$6:$BQ$85,(卡牌属性!$DW430-2)*20+卡牌属性!$DX430)</f>
        <v>100</v>
      </c>
      <c r="FI430" s="14">
        <f>INDEX(属性投放!$BQ$6:$BQ$85,(卡牌属性!$DW430-2)*20+卡牌属性!$DX430)</f>
        <v>100</v>
      </c>
      <c r="FJ430" s="14">
        <f>INDEX(属性投放!$BQ$6:$BQ$85,(卡牌属性!$DW430-2)*20+卡牌属性!$DX430)</f>
        <v>100</v>
      </c>
      <c r="FK430" s="14">
        <f>INDEX(属性投放!$BQ$6:$BQ$85,(卡牌属性!$DW430-2)*20+卡牌属性!$DX430)</f>
        <v>100</v>
      </c>
      <c r="FL430" s="14">
        <f>INDEX(属性投放!$BQ$6:$BQ$85,(卡牌属性!$DW430-2)*20+卡牌属性!$DX430)</f>
        <v>100</v>
      </c>
      <c r="FM430" s="14">
        <f>INDEX(属性投放!$BR$6:$BR$85,(卡牌属性!$DW430-2)*20+卡牌属性!$DX430)</f>
        <v>50</v>
      </c>
      <c r="FN430" s="14">
        <f>INDEX(属性投放!$BR$6:$BR$85,(卡牌属性!$DW430-2)*20+卡牌属性!$DX430)</f>
        <v>50</v>
      </c>
      <c r="FO430" s="14">
        <f>INDEX(属性投放!$BR$6:$BR$85,(卡牌属性!$DW430-2)*20+卡牌属性!$DX430)</f>
        <v>50</v>
      </c>
      <c r="FP430" s="14">
        <f>INDEX(属性投放!$BR$6:$BR$85,(卡牌属性!$DW430-2)*20+卡牌属性!$DX430)</f>
        <v>50</v>
      </c>
      <c r="FQ430" s="14">
        <f>INDEX(属性投放!$BR$6:$BR$85,(卡牌属性!$DW430-2)*20+卡牌属性!$DX430)</f>
        <v>50</v>
      </c>
      <c r="FR430" s="14">
        <f>INDEX(属性投放!$BS$6:$BS$85,(卡牌属性!$DW430-2)*20+卡牌属性!$DX430)</f>
        <v>700</v>
      </c>
      <c r="FS430" s="14">
        <f>INDEX(属性投放!$BS$6:$BS$85,(卡牌属性!$DW430-2)*20+卡牌属性!$DX430)</f>
        <v>700</v>
      </c>
      <c r="FT430" s="14">
        <f>INDEX(属性投放!$BS$6:$BS$85,(卡牌属性!$DW430-2)*20+卡牌属性!$DX430)</f>
        <v>700</v>
      </c>
      <c r="FU430" s="14">
        <f>INDEX(属性投放!$BS$6:$BS$85,(卡牌属性!$DW430-2)*20+卡牌属性!$DX430)</f>
        <v>700</v>
      </c>
      <c r="FV430" s="14">
        <f>INDEX(属性投放!$BS$6:$BS$85,(卡牌属性!$DW430-2)*20+卡牌属性!$DX430)</f>
        <v>700</v>
      </c>
    </row>
    <row r="431" spans="31:178" ht="16.5" x14ac:dyDescent="0.2">
      <c r="AE431" s="13">
        <v>427</v>
      </c>
      <c r="AF431" s="13">
        <f t="shared" si="753"/>
        <v>22</v>
      </c>
      <c r="AG431" s="13">
        <f t="shared" si="740"/>
        <v>3</v>
      </c>
      <c r="AH431" s="13"/>
      <c r="AI431" s="13"/>
      <c r="AJ431" s="14">
        <f t="shared" si="741"/>
        <v>1101030</v>
      </c>
      <c r="AK431" s="14" t="str">
        <f t="shared" si="742"/>
        <v>卢天佑7突</v>
      </c>
      <c r="AL431" s="25" t="s">
        <v>142</v>
      </c>
      <c r="AM431" s="14">
        <v>1</v>
      </c>
      <c r="AN431" s="14">
        <f t="shared" si="743"/>
        <v>7</v>
      </c>
      <c r="AO431" s="14">
        <f>INDEX(属性投放!$DF$6:$DF$85,(卡牌属性!AG431-2)*20+卡牌属性!AN431)</f>
        <v>1489</v>
      </c>
      <c r="AP431" s="14">
        <f t="shared" si="784"/>
        <v>1489</v>
      </c>
      <c r="AQ431" s="14">
        <f t="shared" si="784"/>
        <v>1489</v>
      </c>
      <c r="AR431" s="14">
        <f t="shared" si="784"/>
        <v>1489</v>
      </c>
      <c r="AS431" s="14">
        <f t="shared" si="784"/>
        <v>1489</v>
      </c>
      <c r="AT431" s="14">
        <f>INDEX(属性投放!$DG$6:$DG$85,(卡牌属性!AG431-2)*20+卡牌属性!AN431)</f>
        <v>666</v>
      </c>
      <c r="AU431" s="14">
        <f t="shared" si="785"/>
        <v>666</v>
      </c>
      <c r="AV431" s="14">
        <f t="shared" si="785"/>
        <v>666</v>
      </c>
      <c r="AW431" s="14">
        <f t="shared" si="785"/>
        <v>666</v>
      </c>
      <c r="AX431" s="14">
        <f t="shared" si="785"/>
        <v>666</v>
      </c>
      <c r="AY431" s="14">
        <f>INDEX(属性投放!$DH$6:$DH$85,(卡牌属性!AG431-2)*20+卡牌属性!AN431)</f>
        <v>9361</v>
      </c>
      <c r="AZ431" s="14">
        <f t="shared" si="786"/>
        <v>9361</v>
      </c>
      <c r="BA431" s="14">
        <f t="shared" si="786"/>
        <v>9361</v>
      </c>
      <c r="BB431" s="14">
        <f t="shared" si="786"/>
        <v>9361</v>
      </c>
      <c r="BC431" s="14">
        <f t="shared" si="786"/>
        <v>9361</v>
      </c>
      <c r="BD431" s="14">
        <f>INDEX(属性投放!$DL$6:$DL$85,(卡牌属性!AG431-2)*20+卡牌属性!AN431)</f>
        <v>46</v>
      </c>
      <c r="BE431" s="14">
        <f t="shared" si="787"/>
        <v>46</v>
      </c>
      <c r="BF431" s="14">
        <f t="shared" si="787"/>
        <v>46</v>
      </c>
      <c r="BG431" s="14">
        <f t="shared" si="787"/>
        <v>46</v>
      </c>
      <c r="BH431" s="14">
        <f t="shared" si="787"/>
        <v>46</v>
      </c>
      <c r="BI431" s="14">
        <f>INDEX(属性投放!$DM$6:$DM$85,(卡牌属性!AG431-2)*20+卡牌属性!AN431)</f>
        <v>24</v>
      </c>
      <c r="BJ431" s="14">
        <f t="shared" si="788"/>
        <v>24</v>
      </c>
      <c r="BK431" s="14">
        <f t="shared" si="788"/>
        <v>24</v>
      </c>
      <c r="BL431" s="14">
        <f t="shared" si="788"/>
        <v>24</v>
      </c>
      <c r="BM431" s="14">
        <f t="shared" si="788"/>
        <v>24</v>
      </c>
      <c r="BN431" s="14">
        <f>INDEX(属性投放!$DN$6:$DN$85,(卡牌属性!AG431-2)*20+卡牌属性!AN431)</f>
        <v>371</v>
      </c>
      <c r="BO431" s="14">
        <f t="shared" si="789"/>
        <v>371</v>
      </c>
      <c r="BP431" s="14">
        <f t="shared" si="789"/>
        <v>371</v>
      </c>
      <c r="BQ431" s="14">
        <f t="shared" si="789"/>
        <v>371</v>
      </c>
      <c r="BR431" s="14">
        <f t="shared" si="789"/>
        <v>371</v>
      </c>
      <c r="BW431" s="13">
        <v>427</v>
      </c>
      <c r="BX431" s="13">
        <f t="shared" si="744"/>
        <v>22</v>
      </c>
      <c r="BY431" s="14">
        <f t="shared" si="745"/>
        <v>2</v>
      </c>
      <c r="BZ431" s="14">
        <f t="shared" si="754"/>
        <v>1102050</v>
      </c>
      <c r="CA431" s="14" t="str">
        <f t="shared" si="755"/>
        <v>柠檬精7突</v>
      </c>
      <c r="CB431" s="25" t="s">
        <v>142</v>
      </c>
      <c r="CC431" s="14">
        <v>2</v>
      </c>
      <c r="CD431" s="14">
        <f t="shared" si="746"/>
        <v>7</v>
      </c>
      <c r="CE431" s="14" t="s">
        <v>21</v>
      </c>
      <c r="CF431" s="14">
        <f>INDEX(属性投放!$AZ$6:$AZ$85,(BY431-2)*20+CD431)</f>
        <v>1076</v>
      </c>
      <c r="CG431" s="14" t="s">
        <v>22</v>
      </c>
      <c r="CH431" s="14">
        <f>INDEX(属性投放!$BA$6:$BA$85,(BY431-2)*20+CD431)</f>
        <v>493</v>
      </c>
      <c r="CI431" s="14" t="s">
        <v>510</v>
      </c>
      <c r="CJ431" s="14">
        <f>INDEX(属性投放!$BB$6:$BB$85,(BY431-2)*20+CD431)</f>
        <v>6782</v>
      </c>
      <c r="CK431" s="14" t="s">
        <v>21</v>
      </c>
      <c r="CL431" s="14">
        <f>INDEX(属性投放!$BC$6:$BC$85,(BY431-2)*20+CD431)</f>
        <v>10</v>
      </c>
      <c r="CM431" s="14" t="s">
        <v>22</v>
      </c>
      <c r="CN431" s="14">
        <f>INDEX(属性投放!$BD$6:$BD$85,(BY431-2)*20+CD431)</f>
        <v>5</v>
      </c>
      <c r="CO431" s="14" t="s">
        <v>510</v>
      </c>
      <c r="CP431" s="14">
        <f>INDEX(属性投放!$BE$6:$BE$85,(BY431-2)*20+CD431)</f>
        <v>80</v>
      </c>
      <c r="CS431" s="13">
        <v>427</v>
      </c>
      <c r="CT431" s="13">
        <f t="shared" si="756"/>
        <v>9</v>
      </c>
      <c r="CU431" s="13">
        <f t="shared" si="757"/>
        <v>11</v>
      </c>
      <c r="CV431" s="14">
        <f t="shared" si="758"/>
        <v>3</v>
      </c>
      <c r="CW431" s="14">
        <f t="shared" si="759"/>
        <v>1102009</v>
      </c>
      <c r="CX431" s="14" t="str">
        <f>INDEX($O$6:$O$50,CT431)&amp;"-"&amp;INDEX(属性投放!$AB$7:$AB$50,CZ431)&amp;"-魂火-"&amp;DB431</f>
        <v>徐晃-众合+2-魂火-2</v>
      </c>
      <c r="CY431" s="25" t="s">
        <v>142</v>
      </c>
      <c r="CZ431" s="14">
        <f>INDEX(属性投放!$AM$7:$AM$58,CU431)</f>
        <v>6</v>
      </c>
      <c r="DA431" s="14" t="s">
        <v>537</v>
      </c>
      <c r="DB431" s="14">
        <f>INDEX(属性投放!$AN$7:$AN$58,CU431)</f>
        <v>2</v>
      </c>
      <c r="DC431" s="14">
        <f t="shared" si="747"/>
        <v>11</v>
      </c>
      <c r="DD431" s="14">
        <f>INDEX(属性投放!$AO$7:$AO$58,DC431)</f>
        <v>45</v>
      </c>
      <c r="DE431" s="14" t="s">
        <v>538</v>
      </c>
      <c r="DF431" s="14">
        <f>INDEX(属性投放!$BK$6:$BK$85,(CV431-2)*20+CZ431)</f>
        <v>50</v>
      </c>
      <c r="DG431" s="14">
        <f>SUMIFS(DF$5:DF431,$CT$5:$CT431,"="&amp;$CT431)</f>
        <v>400</v>
      </c>
      <c r="DH431" s="14" t="s">
        <v>539</v>
      </c>
      <c r="DI431" s="14">
        <f>INDEX(属性投放!$BL$6:$BL$85,(CV431-2)*20+CZ431)</f>
        <v>25</v>
      </c>
      <c r="DJ431" s="14">
        <f>SUMIFS(DI$5:DI431,$CT$5:$CT431,"="&amp;$CT431)</f>
        <v>202</v>
      </c>
      <c r="DK431" s="14" t="s">
        <v>540</v>
      </c>
      <c r="DL431" s="14">
        <f>INDEX(属性投放!$BM$6:$BM$85,(CV431-2)*20+CZ431)</f>
        <v>350</v>
      </c>
      <c r="DM431" s="14">
        <f>SUMIFS(DL$5:DL431,$CT$5:$CT431,"="&amp;$CT431)</f>
        <v>2670</v>
      </c>
      <c r="DR431" s="14">
        <f t="shared" si="748"/>
        <v>1102050</v>
      </c>
      <c r="DS431" s="14" t="str">
        <f t="shared" si="749"/>
        <v>柠檬精7突</v>
      </c>
      <c r="DT431" s="14">
        <f t="shared" si="760"/>
        <v>3</v>
      </c>
      <c r="DU431" s="14">
        <f t="shared" si="761"/>
        <v>1</v>
      </c>
      <c r="DV431" s="14">
        <f t="shared" si="762"/>
        <v>4</v>
      </c>
      <c r="DW431" s="14">
        <f t="shared" si="750"/>
        <v>2</v>
      </c>
      <c r="DX431" s="14">
        <f t="shared" si="751"/>
        <v>7</v>
      </c>
      <c r="DY431" s="14">
        <f t="shared" si="752"/>
        <v>7</v>
      </c>
      <c r="DZ431" s="14">
        <f>INDEX(属性投放!$AX$6:$AX$85,(卡牌属性!DW431-2)*20+卡牌属性!DX431)</f>
        <v>5</v>
      </c>
      <c r="EA431" s="14">
        <f>INDEX(属性投放!BQ$6:BQ$85,卡牌属性!$DY431)</f>
        <v>100</v>
      </c>
      <c r="EB431" s="14">
        <f>INDEX(属性投放!BR$6:BR$85,卡牌属性!$DY431)</f>
        <v>50</v>
      </c>
      <c r="EC431" s="14">
        <f>INDEX(属性投放!BS$6:BS$85,卡牌属性!$DY431)</f>
        <v>800</v>
      </c>
      <c r="ED431" s="14">
        <f t="shared" si="790"/>
        <v>761</v>
      </c>
      <c r="EE431" s="14">
        <f t="shared" si="791"/>
        <v>874</v>
      </c>
      <c r="EF431" s="14">
        <f t="shared" si="792"/>
        <v>991</v>
      </c>
      <c r="EG431" s="14">
        <f t="shared" si="793"/>
        <v>991</v>
      </c>
      <c r="EH431" s="14">
        <f t="shared" si="794"/>
        <v>1086</v>
      </c>
      <c r="EI431" s="14">
        <f t="shared" si="795"/>
        <v>287</v>
      </c>
      <c r="EJ431" s="14">
        <f t="shared" si="796"/>
        <v>312</v>
      </c>
      <c r="EK431" s="14">
        <f t="shared" si="797"/>
        <v>312</v>
      </c>
      <c r="EL431" s="14">
        <f t="shared" si="798"/>
        <v>343</v>
      </c>
      <c r="EM431" s="14">
        <f t="shared" si="799"/>
        <v>395</v>
      </c>
      <c r="EN431" s="14">
        <f t="shared" si="800"/>
        <v>5354</v>
      </c>
      <c r="EO431" s="14">
        <f t="shared" si="801"/>
        <v>6050</v>
      </c>
      <c r="EP431" s="14">
        <f t="shared" si="802"/>
        <v>6050</v>
      </c>
      <c r="EQ431" s="14">
        <f t="shared" si="803"/>
        <v>6642</v>
      </c>
      <c r="ER431" s="14">
        <f t="shared" si="804"/>
        <v>8278</v>
      </c>
      <c r="ES431" s="14">
        <f>INDEX(属性偏向!$S$4:$S$243,(卡牌属性!$DT431-1+ES$3)*20+卡牌属性!$DX431)</f>
        <v>10</v>
      </c>
      <c r="ET431" s="14">
        <f>INDEX(属性偏向!$S$4:$S$243,(卡牌属性!$DT431-1+ET$3)*20+卡牌属性!$DX431)</f>
        <v>12</v>
      </c>
      <c r="EU431" s="14">
        <f>INDEX(属性偏向!$S$4:$S$243,(卡牌属性!$DT431-1+EU$3)*20+卡牌属性!$DX431)</f>
        <v>15</v>
      </c>
      <c r="EV431" s="14">
        <f>INDEX(属性偏向!$S$4:$S$243,(卡牌属性!$DT431-1+EV$3)*20+卡牌属性!$DX431)</f>
        <v>15</v>
      </c>
      <c r="EW431" s="14">
        <f>INDEX(属性偏向!$S$4:$S$243,(卡牌属性!$DT431-1+EW$3)*20+卡牌属性!$DX431)</f>
        <v>16</v>
      </c>
      <c r="EX431" s="14">
        <f>INDEX(属性偏向!$T$4:$T$243,(卡牌属性!$DU431-1+EX$3)*20+卡牌属性!$DX431)</f>
        <v>3</v>
      </c>
      <c r="EY431" s="14">
        <f>INDEX(属性偏向!$T$4:$T$243,(卡牌属性!$DU431-1+EY$3)*20+卡牌属性!$DX431)</f>
        <v>4</v>
      </c>
      <c r="EZ431" s="14">
        <f>INDEX(属性偏向!$T$4:$T$243,(卡牌属性!$DU431-1+EZ$3)*20+卡牌属性!$DX431)</f>
        <v>4</v>
      </c>
      <c r="FA431" s="14">
        <f>INDEX(属性偏向!$T$4:$T$243,(卡牌属性!$DU431-1+FA$3)*20+卡牌属性!$DX431)</f>
        <v>5</v>
      </c>
      <c r="FB431" s="14">
        <f>INDEX(属性偏向!$T$4:$T$243,(卡牌属性!$DU431-1+FB$3)*20+卡牌属性!$DX431)</f>
        <v>6</v>
      </c>
      <c r="FC431" s="14">
        <f>INDEX(属性偏向!$U$4:$U$243,(卡牌属性!$DV431-1+FC$3)*20+卡牌属性!$DX431)</f>
        <v>96</v>
      </c>
      <c r="FD431" s="14">
        <f>INDEX(属性偏向!$U$4:$U$243,(卡牌属性!$DV431-1+FD$3)*20+卡牌属性!$DX431)</f>
        <v>120</v>
      </c>
      <c r="FE431" s="14">
        <f>INDEX(属性偏向!$U$4:$U$243,(卡牌属性!$DV431-1+FE$3)*20+卡牌属性!$DX431)</f>
        <v>120</v>
      </c>
      <c r="FF431" s="14">
        <f>INDEX(属性偏向!$U$4:$U$243,(卡牌属性!$DV431-1+FF$3)*20+卡牌属性!$DX431)</f>
        <v>128</v>
      </c>
      <c r="FG431" s="14">
        <f>INDEX(属性偏向!$U$4:$U$243,(卡牌属性!$DV431-1+FG$3)*20+卡牌属性!$DX431)</f>
        <v>200</v>
      </c>
      <c r="FH431" s="14">
        <f>INDEX(属性投放!$BQ$6:$BQ$85,(卡牌属性!$DW431-2)*20+卡牌属性!$DX431)</f>
        <v>100</v>
      </c>
      <c r="FI431" s="14">
        <f>INDEX(属性投放!$BQ$6:$BQ$85,(卡牌属性!$DW431-2)*20+卡牌属性!$DX431)</f>
        <v>100</v>
      </c>
      <c r="FJ431" s="14">
        <f>INDEX(属性投放!$BQ$6:$BQ$85,(卡牌属性!$DW431-2)*20+卡牌属性!$DX431)</f>
        <v>100</v>
      </c>
      <c r="FK431" s="14">
        <f>INDEX(属性投放!$BQ$6:$BQ$85,(卡牌属性!$DW431-2)*20+卡牌属性!$DX431)</f>
        <v>100</v>
      </c>
      <c r="FL431" s="14">
        <f>INDEX(属性投放!$BQ$6:$BQ$85,(卡牌属性!$DW431-2)*20+卡牌属性!$DX431)</f>
        <v>100</v>
      </c>
      <c r="FM431" s="14">
        <f>INDEX(属性投放!$BR$6:$BR$85,(卡牌属性!$DW431-2)*20+卡牌属性!$DX431)</f>
        <v>50</v>
      </c>
      <c r="FN431" s="14">
        <f>INDEX(属性投放!$BR$6:$BR$85,(卡牌属性!$DW431-2)*20+卡牌属性!$DX431)</f>
        <v>50</v>
      </c>
      <c r="FO431" s="14">
        <f>INDEX(属性投放!$BR$6:$BR$85,(卡牌属性!$DW431-2)*20+卡牌属性!$DX431)</f>
        <v>50</v>
      </c>
      <c r="FP431" s="14">
        <f>INDEX(属性投放!$BR$6:$BR$85,(卡牌属性!$DW431-2)*20+卡牌属性!$DX431)</f>
        <v>50</v>
      </c>
      <c r="FQ431" s="14">
        <f>INDEX(属性投放!$BR$6:$BR$85,(卡牌属性!$DW431-2)*20+卡牌属性!$DX431)</f>
        <v>50</v>
      </c>
      <c r="FR431" s="14">
        <f>INDEX(属性投放!$BS$6:$BS$85,(卡牌属性!$DW431-2)*20+卡牌属性!$DX431)</f>
        <v>800</v>
      </c>
      <c r="FS431" s="14">
        <f>INDEX(属性投放!$BS$6:$BS$85,(卡牌属性!$DW431-2)*20+卡牌属性!$DX431)</f>
        <v>800</v>
      </c>
      <c r="FT431" s="14">
        <f>INDEX(属性投放!$BS$6:$BS$85,(卡牌属性!$DW431-2)*20+卡牌属性!$DX431)</f>
        <v>800</v>
      </c>
      <c r="FU431" s="14">
        <f>INDEX(属性投放!$BS$6:$BS$85,(卡牌属性!$DW431-2)*20+卡牌属性!$DX431)</f>
        <v>800</v>
      </c>
      <c r="FV431" s="14">
        <f>INDEX(属性投放!$BS$6:$BS$85,(卡牌属性!$DW431-2)*20+卡牌属性!$DX431)</f>
        <v>800</v>
      </c>
    </row>
    <row r="432" spans="31:178" ht="16.5" x14ac:dyDescent="0.2">
      <c r="AE432" s="13">
        <v>428</v>
      </c>
      <c r="AF432" s="13">
        <f t="shared" si="753"/>
        <v>22</v>
      </c>
      <c r="AG432" s="13">
        <f t="shared" si="740"/>
        <v>3</v>
      </c>
      <c r="AH432" s="13"/>
      <c r="AI432" s="13"/>
      <c r="AJ432" s="14">
        <f t="shared" si="741"/>
        <v>1101030</v>
      </c>
      <c r="AK432" s="14" t="str">
        <f t="shared" si="742"/>
        <v>卢天佑8突</v>
      </c>
      <c r="AL432" s="25" t="s">
        <v>142</v>
      </c>
      <c r="AM432" s="14">
        <v>1</v>
      </c>
      <c r="AN432" s="14">
        <f t="shared" si="743"/>
        <v>8</v>
      </c>
      <c r="AO432" s="14">
        <f>INDEX(属性投放!$DF$6:$DF$85,(卡牌属性!AG432-2)*20+卡牌属性!AN432)</f>
        <v>1622</v>
      </c>
      <c r="AP432" s="14">
        <f t="shared" si="784"/>
        <v>1622</v>
      </c>
      <c r="AQ432" s="14">
        <f t="shared" si="784"/>
        <v>1622</v>
      </c>
      <c r="AR432" s="14">
        <f t="shared" si="784"/>
        <v>1622</v>
      </c>
      <c r="AS432" s="14">
        <f t="shared" si="784"/>
        <v>1622</v>
      </c>
      <c r="AT432" s="14">
        <f>INDEX(属性投放!$DG$6:$DG$85,(卡牌属性!AG432-2)*20+卡牌属性!AN432)</f>
        <v>733</v>
      </c>
      <c r="AU432" s="14">
        <f t="shared" si="785"/>
        <v>733</v>
      </c>
      <c r="AV432" s="14">
        <f t="shared" si="785"/>
        <v>733</v>
      </c>
      <c r="AW432" s="14">
        <f t="shared" si="785"/>
        <v>733</v>
      </c>
      <c r="AX432" s="14">
        <f t="shared" si="785"/>
        <v>733</v>
      </c>
      <c r="AY432" s="14">
        <f>INDEX(属性投放!$DH$6:$DH$85,(卡牌属性!AG432-2)*20+卡牌属性!AN432)</f>
        <v>10421</v>
      </c>
      <c r="AZ432" s="14">
        <f t="shared" si="786"/>
        <v>10421</v>
      </c>
      <c r="BA432" s="14">
        <f t="shared" si="786"/>
        <v>10421</v>
      </c>
      <c r="BB432" s="14">
        <f t="shared" si="786"/>
        <v>10421</v>
      </c>
      <c r="BC432" s="14">
        <f t="shared" si="786"/>
        <v>10421</v>
      </c>
      <c r="BD432" s="14">
        <f>INDEX(属性投放!$DL$6:$DL$85,(卡牌属性!AG432-2)*20+卡牌属性!AN432)</f>
        <v>46</v>
      </c>
      <c r="BE432" s="14">
        <f t="shared" si="787"/>
        <v>46</v>
      </c>
      <c r="BF432" s="14">
        <f t="shared" si="787"/>
        <v>46</v>
      </c>
      <c r="BG432" s="14">
        <f t="shared" si="787"/>
        <v>46</v>
      </c>
      <c r="BH432" s="14">
        <f t="shared" si="787"/>
        <v>46</v>
      </c>
      <c r="BI432" s="14">
        <f>INDEX(属性投放!$DM$6:$DM$85,(卡牌属性!AG432-2)*20+卡牌属性!AN432)</f>
        <v>24</v>
      </c>
      <c r="BJ432" s="14">
        <f t="shared" si="788"/>
        <v>24</v>
      </c>
      <c r="BK432" s="14">
        <f t="shared" si="788"/>
        <v>24</v>
      </c>
      <c r="BL432" s="14">
        <f t="shared" si="788"/>
        <v>24</v>
      </c>
      <c r="BM432" s="14">
        <f t="shared" si="788"/>
        <v>24</v>
      </c>
      <c r="BN432" s="14">
        <f>INDEX(属性投放!$DN$6:$DN$85,(卡牌属性!AG432-2)*20+卡牌属性!AN432)</f>
        <v>371</v>
      </c>
      <c r="BO432" s="14">
        <f t="shared" si="789"/>
        <v>371</v>
      </c>
      <c r="BP432" s="14">
        <f t="shared" si="789"/>
        <v>371</v>
      </c>
      <c r="BQ432" s="14">
        <f t="shared" si="789"/>
        <v>371</v>
      </c>
      <c r="BR432" s="14">
        <f t="shared" si="789"/>
        <v>371</v>
      </c>
      <c r="BW432" s="13">
        <v>428</v>
      </c>
      <c r="BX432" s="13">
        <f t="shared" si="744"/>
        <v>22</v>
      </c>
      <c r="BY432" s="14">
        <f t="shared" si="745"/>
        <v>2</v>
      </c>
      <c r="BZ432" s="14">
        <f t="shared" si="754"/>
        <v>1102050</v>
      </c>
      <c r="CA432" s="14" t="str">
        <f t="shared" si="755"/>
        <v>柠檬精8突</v>
      </c>
      <c r="CB432" s="25" t="s">
        <v>142</v>
      </c>
      <c r="CC432" s="14">
        <v>2</v>
      </c>
      <c r="CD432" s="14">
        <f t="shared" si="746"/>
        <v>8</v>
      </c>
      <c r="CE432" s="14" t="s">
        <v>21</v>
      </c>
      <c r="CF432" s="14">
        <f>INDEX(属性投放!$AZ$6:$AZ$85,(BY432-2)*20+CD432)</f>
        <v>1336</v>
      </c>
      <c r="CG432" s="14" t="s">
        <v>22</v>
      </c>
      <c r="CH432" s="14">
        <f>INDEX(属性投放!$BA$6:$BA$85,(BY432-2)*20+CD432)</f>
        <v>624</v>
      </c>
      <c r="CI432" s="14" t="s">
        <v>510</v>
      </c>
      <c r="CJ432" s="14">
        <f>INDEX(属性投放!$BB$6:$BB$85,(BY432-2)*20+CD432)</f>
        <v>8862</v>
      </c>
      <c r="CK432" s="14" t="s">
        <v>21</v>
      </c>
      <c r="CL432" s="14">
        <f>INDEX(属性投放!$BC$6:$BC$85,(BY432-2)*20+CD432)</f>
        <v>10</v>
      </c>
      <c r="CM432" s="14" t="s">
        <v>22</v>
      </c>
      <c r="CN432" s="14">
        <f>INDEX(属性投放!$BD$6:$BD$85,(BY432-2)*20+CD432)</f>
        <v>5</v>
      </c>
      <c r="CO432" s="14" t="s">
        <v>510</v>
      </c>
      <c r="CP432" s="14">
        <f>INDEX(属性投放!$BE$6:$BE$85,(BY432-2)*20+CD432)</f>
        <v>80</v>
      </c>
      <c r="CS432" s="13">
        <v>428</v>
      </c>
      <c r="CT432" s="13">
        <f t="shared" si="756"/>
        <v>9</v>
      </c>
      <c r="CU432" s="13">
        <f t="shared" si="757"/>
        <v>12</v>
      </c>
      <c r="CV432" s="14">
        <f t="shared" si="758"/>
        <v>3</v>
      </c>
      <c r="CW432" s="14">
        <f t="shared" si="759"/>
        <v>1102009</v>
      </c>
      <c r="CX432" s="14" t="str">
        <f>INDEX($O$6:$O$50,CT432)&amp;"-"&amp;INDEX(属性投放!$AB$7:$AB$50,CZ432)&amp;"-魂火-"&amp;DB432</f>
        <v>徐晃-叫唤-魂火-1</v>
      </c>
      <c r="CY432" s="25" t="s">
        <v>142</v>
      </c>
      <c r="CZ432" s="14">
        <f>INDEX(属性投放!$AM$7:$AM$58,CU432)</f>
        <v>7</v>
      </c>
      <c r="DA432" s="14" t="s">
        <v>537</v>
      </c>
      <c r="DB432" s="14">
        <f>INDEX(属性投放!$AN$7:$AN$58,CU432)</f>
        <v>1</v>
      </c>
      <c r="DC432" s="14">
        <f t="shared" si="747"/>
        <v>12</v>
      </c>
      <c r="DD432" s="14">
        <f>INDEX(属性投放!$AO$7:$AO$58,DC432)</f>
        <v>48</v>
      </c>
      <c r="DE432" s="14" t="s">
        <v>538</v>
      </c>
      <c r="DF432" s="14">
        <f>INDEX(属性投放!$BK$6:$BK$85,(CV432-2)*20+CZ432)</f>
        <v>70</v>
      </c>
      <c r="DG432" s="14">
        <f>SUMIFS(DF$5:DF432,$CT$5:$CT432,"="&amp;$CT432)</f>
        <v>470</v>
      </c>
      <c r="DH432" s="14" t="s">
        <v>539</v>
      </c>
      <c r="DI432" s="14">
        <f>INDEX(属性投放!$BL$6:$BL$85,(CV432-2)*20+CZ432)</f>
        <v>35</v>
      </c>
      <c r="DJ432" s="14">
        <f>SUMIFS(DI$5:DI432,$CT$5:$CT432,"="&amp;$CT432)</f>
        <v>237</v>
      </c>
      <c r="DK432" s="14" t="s">
        <v>540</v>
      </c>
      <c r="DL432" s="14">
        <f>INDEX(属性投放!$BM$6:$BM$85,(CV432-2)*20+CZ432)</f>
        <v>560</v>
      </c>
      <c r="DM432" s="14">
        <f>SUMIFS(DL$5:DL432,$CT$5:$CT432,"="&amp;$CT432)</f>
        <v>3230</v>
      </c>
      <c r="DR432" s="14">
        <f t="shared" si="748"/>
        <v>1102050</v>
      </c>
      <c r="DS432" s="14" t="str">
        <f t="shared" si="749"/>
        <v>柠檬精8突</v>
      </c>
      <c r="DT432" s="14">
        <f t="shared" si="760"/>
        <v>3</v>
      </c>
      <c r="DU432" s="14">
        <f t="shared" si="761"/>
        <v>1</v>
      </c>
      <c r="DV432" s="14">
        <f t="shared" si="762"/>
        <v>4</v>
      </c>
      <c r="DW432" s="14">
        <f t="shared" si="750"/>
        <v>2</v>
      </c>
      <c r="DX432" s="14">
        <f t="shared" si="751"/>
        <v>8</v>
      </c>
      <c r="DY432" s="14">
        <f t="shared" si="752"/>
        <v>8</v>
      </c>
      <c r="DZ432" s="14">
        <f>INDEX(属性投放!$AX$6:$AX$85,(卡牌属性!DW432-2)*20+卡牌属性!DX432)</f>
        <v>5</v>
      </c>
      <c r="EA432" s="14">
        <f>INDEX(属性投放!BQ$6:BQ$85,卡牌属性!$DY432)</f>
        <v>100</v>
      </c>
      <c r="EB432" s="14">
        <f>INDEX(属性投放!BR$6:BR$85,卡牌属性!$DY432)</f>
        <v>50</v>
      </c>
      <c r="EC432" s="14">
        <f>INDEX(属性投放!BS$6:BS$85,卡牌属性!$DY432)</f>
        <v>800</v>
      </c>
      <c r="ED432" s="14">
        <f t="shared" si="790"/>
        <v>911</v>
      </c>
      <c r="EE432" s="14">
        <f t="shared" si="791"/>
        <v>1034</v>
      </c>
      <c r="EF432" s="14">
        <f t="shared" si="792"/>
        <v>1166</v>
      </c>
      <c r="EG432" s="14">
        <f t="shared" si="793"/>
        <v>1166</v>
      </c>
      <c r="EH432" s="14">
        <f t="shared" si="794"/>
        <v>1266</v>
      </c>
      <c r="EI432" s="14">
        <f t="shared" si="795"/>
        <v>352</v>
      </c>
      <c r="EJ432" s="14">
        <f t="shared" si="796"/>
        <v>382</v>
      </c>
      <c r="EK432" s="14">
        <f t="shared" si="797"/>
        <v>382</v>
      </c>
      <c r="EL432" s="14">
        <f t="shared" si="798"/>
        <v>418</v>
      </c>
      <c r="EM432" s="14">
        <f t="shared" si="799"/>
        <v>475</v>
      </c>
      <c r="EN432" s="14">
        <f t="shared" si="800"/>
        <v>6634</v>
      </c>
      <c r="EO432" s="14">
        <f t="shared" si="801"/>
        <v>7450</v>
      </c>
      <c r="EP432" s="14">
        <f t="shared" si="802"/>
        <v>7450</v>
      </c>
      <c r="EQ432" s="14">
        <f t="shared" si="803"/>
        <v>8082</v>
      </c>
      <c r="ER432" s="14">
        <f t="shared" si="804"/>
        <v>10078</v>
      </c>
      <c r="ES432" s="14">
        <f>INDEX(属性偏向!$S$4:$S$243,(卡牌属性!$DT432-1+ES$3)*20+卡牌属性!$DX432)</f>
        <v>10</v>
      </c>
      <c r="ET432" s="14">
        <f>INDEX(属性偏向!$S$4:$S$243,(卡牌属性!$DT432-1+ET$3)*20+卡牌属性!$DX432)</f>
        <v>12</v>
      </c>
      <c r="EU432" s="14">
        <f>INDEX(属性偏向!$S$4:$S$243,(卡牌属性!$DT432-1+EU$3)*20+卡牌属性!$DX432)</f>
        <v>15</v>
      </c>
      <c r="EV432" s="14">
        <f>INDEX(属性偏向!$S$4:$S$243,(卡牌属性!$DT432-1+EV$3)*20+卡牌属性!$DX432)</f>
        <v>15</v>
      </c>
      <c r="EW432" s="14">
        <f>INDEX(属性偏向!$S$4:$S$243,(卡牌属性!$DT432-1+EW$3)*20+卡牌属性!$DX432)</f>
        <v>16</v>
      </c>
      <c r="EX432" s="14">
        <f>INDEX(属性偏向!$T$4:$T$243,(卡牌属性!$DU432-1+EX$3)*20+卡牌属性!$DX432)</f>
        <v>3</v>
      </c>
      <c r="EY432" s="14">
        <f>INDEX(属性偏向!$T$4:$T$243,(卡牌属性!$DU432-1+EY$3)*20+卡牌属性!$DX432)</f>
        <v>4</v>
      </c>
      <c r="EZ432" s="14">
        <f>INDEX(属性偏向!$T$4:$T$243,(卡牌属性!$DU432-1+EZ$3)*20+卡牌属性!$DX432)</f>
        <v>4</v>
      </c>
      <c r="FA432" s="14">
        <f>INDEX(属性偏向!$T$4:$T$243,(卡牌属性!$DU432-1+FA$3)*20+卡牌属性!$DX432)</f>
        <v>5</v>
      </c>
      <c r="FB432" s="14">
        <f>INDEX(属性偏向!$T$4:$T$243,(卡牌属性!$DU432-1+FB$3)*20+卡牌属性!$DX432)</f>
        <v>6</v>
      </c>
      <c r="FC432" s="14">
        <f>INDEX(属性偏向!$U$4:$U$243,(卡牌属性!$DV432-1+FC$3)*20+卡牌属性!$DX432)</f>
        <v>96</v>
      </c>
      <c r="FD432" s="14">
        <f>INDEX(属性偏向!$U$4:$U$243,(卡牌属性!$DV432-1+FD$3)*20+卡牌属性!$DX432)</f>
        <v>120</v>
      </c>
      <c r="FE432" s="14">
        <f>INDEX(属性偏向!$U$4:$U$243,(卡牌属性!$DV432-1+FE$3)*20+卡牌属性!$DX432)</f>
        <v>120</v>
      </c>
      <c r="FF432" s="14">
        <f>INDEX(属性偏向!$U$4:$U$243,(卡牌属性!$DV432-1+FF$3)*20+卡牌属性!$DX432)</f>
        <v>128</v>
      </c>
      <c r="FG432" s="14">
        <f>INDEX(属性偏向!$U$4:$U$243,(卡牌属性!$DV432-1+FG$3)*20+卡牌属性!$DX432)</f>
        <v>200</v>
      </c>
      <c r="FH432" s="14">
        <f>INDEX(属性投放!$BQ$6:$BQ$85,(卡牌属性!$DW432-2)*20+卡牌属性!$DX432)</f>
        <v>100</v>
      </c>
      <c r="FI432" s="14">
        <f>INDEX(属性投放!$BQ$6:$BQ$85,(卡牌属性!$DW432-2)*20+卡牌属性!$DX432)</f>
        <v>100</v>
      </c>
      <c r="FJ432" s="14">
        <f>INDEX(属性投放!$BQ$6:$BQ$85,(卡牌属性!$DW432-2)*20+卡牌属性!$DX432)</f>
        <v>100</v>
      </c>
      <c r="FK432" s="14">
        <f>INDEX(属性投放!$BQ$6:$BQ$85,(卡牌属性!$DW432-2)*20+卡牌属性!$DX432)</f>
        <v>100</v>
      </c>
      <c r="FL432" s="14">
        <f>INDEX(属性投放!$BQ$6:$BQ$85,(卡牌属性!$DW432-2)*20+卡牌属性!$DX432)</f>
        <v>100</v>
      </c>
      <c r="FM432" s="14">
        <f>INDEX(属性投放!$BR$6:$BR$85,(卡牌属性!$DW432-2)*20+卡牌属性!$DX432)</f>
        <v>50</v>
      </c>
      <c r="FN432" s="14">
        <f>INDEX(属性投放!$BR$6:$BR$85,(卡牌属性!$DW432-2)*20+卡牌属性!$DX432)</f>
        <v>50</v>
      </c>
      <c r="FO432" s="14">
        <f>INDEX(属性投放!$BR$6:$BR$85,(卡牌属性!$DW432-2)*20+卡牌属性!$DX432)</f>
        <v>50</v>
      </c>
      <c r="FP432" s="14">
        <f>INDEX(属性投放!$BR$6:$BR$85,(卡牌属性!$DW432-2)*20+卡牌属性!$DX432)</f>
        <v>50</v>
      </c>
      <c r="FQ432" s="14">
        <f>INDEX(属性投放!$BR$6:$BR$85,(卡牌属性!$DW432-2)*20+卡牌属性!$DX432)</f>
        <v>50</v>
      </c>
      <c r="FR432" s="14">
        <f>INDEX(属性投放!$BS$6:$BS$85,(卡牌属性!$DW432-2)*20+卡牌属性!$DX432)</f>
        <v>800</v>
      </c>
      <c r="FS432" s="14">
        <f>INDEX(属性投放!$BS$6:$BS$85,(卡牌属性!$DW432-2)*20+卡牌属性!$DX432)</f>
        <v>800</v>
      </c>
      <c r="FT432" s="14">
        <f>INDEX(属性投放!$BS$6:$BS$85,(卡牌属性!$DW432-2)*20+卡牌属性!$DX432)</f>
        <v>800</v>
      </c>
      <c r="FU432" s="14">
        <f>INDEX(属性投放!$BS$6:$BS$85,(卡牌属性!$DW432-2)*20+卡牌属性!$DX432)</f>
        <v>800</v>
      </c>
      <c r="FV432" s="14">
        <f>INDEX(属性投放!$BS$6:$BS$85,(卡牌属性!$DW432-2)*20+卡牌属性!$DX432)</f>
        <v>800</v>
      </c>
    </row>
    <row r="433" spans="31:178" ht="16.5" x14ac:dyDescent="0.2">
      <c r="AE433" s="13">
        <v>429</v>
      </c>
      <c r="AF433" s="13">
        <f t="shared" si="753"/>
        <v>22</v>
      </c>
      <c r="AG433" s="13">
        <f t="shared" si="740"/>
        <v>3</v>
      </c>
      <c r="AH433" s="13"/>
      <c r="AI433" s="13"/>
      <c r="AJ433" s="14">
        <f t="shared" si="741"/>
        <v>1101030</v>
      </c>
      <c r="AK433" s="14" t="str">
        <f t="shared" si="742"/>
        <v>卢天佑9突</v>
      </c>
      <c r="AL433" s="25" t="s">
        <v>142</v>
      </c>
      <c r="AM433" s="14">
        <v>1</v>
      </c>
      <c r="AN433" s="14">
        <f t="shared" si="743"/>
        <v>9</v>
      </c>
      <c r="AO433" s="14">
        <f>INDEX(属性投放!$DF$6:$DF$85,(卡牌属性!AG433-2)*20+卡牌属性!AN433)</f>
        <v>1755</v>
      </c>
      <c r="AP433" s="14">
        <f t="shared" si="784"/>
        <v>1755</v>
      </c>
      <c r="AQ433" s="14">
        <f t="shared" si="784"/>
        <v>1755</v>
      </c>
      <c r="AR433" s="14">
        <f t="shared" si="784"/>
        <v>1755</v>
      </c>
      <c r="AS433" s="14">
        <f t="shared" si="784"/>
        <v>1755</v>
      </c>
      <c r="AT433" s="14">
        <f>INDEX(属性投放!$DG$6:$DG$85,(卡牌属性!AG433-2)*20+卡牌属性!AN433)</f>
        <v>800</v>
      </c>
      <c r="AU433" s="14">
        <f t="shared" si="785"/>
        <v>800</v>
      </c>
      <c r="AV433" s="14">
        <f t="shared" si="785"/>
        <v>800</v>
      </c>
      <c r="AW433" s="14">
        <f t="shared" si="785"/>
        <v>800</v>
      </c>
      <c r="AX433" s="14">
        <f t="shared" si="785"/>
        <v>800</v>
      </c>
      <c r="AY433" s="14">
        <f>INDEX(属性投放!$DH$6:$DH$85,(卡牌属性!AG433-2)*20+卡牌属性!AN433)</f>
        <v>11481</v>
      </c>
      <c r="AZ433" s="14">
        <f t="shared" si="786"/>
        <v>11481</v>
      </c>
      <c r="BA433" s="14">
        <f t="shared" si="786"/>
        <v>11481</v>
      </c>
      <c r="BB433" s="14">
        <f t="shared" si="786"/>
        <v>11481</v>
      </c>
      <c r="BC433" s="14">
        <f t="shared" si="786"/>
        <v>11481</v>
      </c>
      <c r="BD433" s="14">
        <f>INDEX(属性投放!$DL$6:$DL$85,(卡牌属性!AG433-2)*20+卡牌属性!AN433)</f>
        <v>46</v>
      </c>
      <c r="BE433" s="14">
        <f t="shared" si="787"/>
        <v>46</v>
      </c>
      <c r="BF433" s="14">
        <f t="shared" si="787"/>
        <v>46</v>
      </c>
      <c r="BG433" s="14">
        <f t="shared" si="787"/>
        <v>46</v>
      </c>
      <c r="BH433" s="14">
        <f t="shared" si="787"/>
        <v>46</v>
      </c>
      <c r="BI433" s="14">
        <f>INDEX(属性投放!$DM$6:$DM$85,(卡牌属性!AG433-2)*20+卡牌属性!AN433)</f>
        <v>24</v>
      </c>
      <c r="BJ433" s="14">
        <f t="shared" si="788"/>
        <v>24</v>
      </c>
      <c r="BK433" s="14">
        <f t="shared" si="788"/>
        <v>24</v>
      </c>
      <c r="BL433" s="14">
        <f t="shared" si="788"/>
        <v>24</v>
      </c>
      <c r="BM433" s="14">
        <f t="shared" si="788"/>
        <v>24</v>
      </c>
      <c r="BN433" s="14">
        <f>INDEX(属性投放!$DN$6:$DN$85,(卡牌属性!AG433-2)*20+卡牌属性!AN433)</f>
        <v>371</v>
      </c>
      <c r="BO433" s="14">
        <f t="shared" si="789"/>
        <v>371</v>
      </c>
      <c r="BP433" s="14">
        <f t="shared" si="789"/>
        <v>371</v>
      </c>
      <c r="BQ433" s="14">
        <f t="shared" si="789"/>
        <v>371</v>
      </c>
      <c r="BR433" s="14">
        <f t="shared" si="789"/>
        <v>371</v>
      </c>
      <c r="BW433" s="13">
        <v>429</v>
      </c>
      <c r="BX433" s="13">
        <f t="shared" si="744"/>
        <v>22</v>
      </c>
      <c r="BY433" s="14">
        <f t="shared" si="745"/>
        <v>2</v>
      </c>
      <c r="BZ433" s="14">
        <f t="shared" si="754"/>
        <v>1102050</v>
      </c>
      <c r="CA433" s="14" t="str">
        <f t="shared" si="755"/>
        <v>柠檬精9突</v>
      </c>
      <c r="CB433" s="25" t="s">
        <v>142</v>
      </c>
      <c r="CC433" s="14">
        <v>2</v>
      </c>
      <c r="CD433" s="14">
        <f t="shared" si="746"/>
        <v>9</v>
      </c>
      <c r="CE433" s="14" t="s">
        <v>21</v>
      </c>
      <c r="CF433" s="14">
        <f>INDEX(属性投放!$AZ$6:$AZ$85,(BY433-2)*20+CD433)</f>
        <v>1626</v>
      </c>
      <c r="CG433" s="14" t="s">
        <v>22</v>
      </c>
      <c r="CH433" s="14">
        <f>INDEX(属性投放!$BA$6:$BA$85,(BY433-2)*20+CD433)</f>
        <v>769</v>
      </c>
      <c r="CI433" s="14" t="s">
        <v>510</v>
      </c>
      <c r="CJ433" s="14">
        <f>INDEX(属性投放!$BB$6:$BB$85,(BY433-2)*20+CD433)</f>
        <v>11182</v>
      </c>
      <c r="CK433" s="14" t="s">
        <v>21</v>
      </c>
      <c r="CL433" s="14">
        <f>INDEX(属性投放!$BC$6:$BC$85,(BY433-2)*20+CD433)</f>
        <v>10</v>
      </c>
      <c r="CM433" s="14" t="s">
        <v>22</v>
      </c>
      <c r="CN433" s="14">
        <f>INDEX(属性投放!$BD$6:$BD$85,(BY433-2)*20+CD433)</f>
        <v>5</v>
      </c>
      <c r="CO433" s="14" t="s">
        <v>510</v>
      </c>
      <c r="CP433" s="14">
        <f>INDEX(属性投放!$BE$6:$BE$85,(BY433-2)*20+CD433)</f>
        <v>80</v>
      </c>
      <c r="CS433" s="13">
        <v>429</v>
      </c>
      <c r="CT433" s="13">
        <f t="shared" si="756"/>
        <v>9</v>
      </c>
      <c r="CU433" s="13">
        <f t="shared" si="757"/>
        <v>13</v>
      </c>
      <c r="CV433" s="14">
        <f t="shared" si="758"/>
        <v>3</v>
      </c>
      <c r="CW433" s="14">
        <f t="shared" si="759"/>
        <v>1102009</v>
      </c>
      <c r="CX433" s="14" t="str">
        <f>INDEX($O$6:$O$50,CT433)&amp;"-"&amp;INDEX(属性投放!$AB$7:$AB$50,CZ433)&amp;"-魂火-"&amp;DB433</f>
        <v>徐晃-叫唤-魂火-2</v>
      </c>
      <c r="CY433" s="25" t="s">
        <v>142</v>
      </c>
      <c r="CZ433" s="14">
        <f>INDEX(属性投放!$AM$7:$AM$58,CU433)</f>
        <v>7</v>
      </c>
      <c r="DA433" s="14" t="s">
        <v>537</v>
      </c>
      <c r="DB433" s="14">
        <f>INDEX(属性投放!$AN$7:$AN$58,CU433)</f>
        <v>2</v>
      </c>
      <c r="DC433" s="14">
        <f t="shared" si="747"/>
        <v>13</v>
      </c>
      <c r="DD433" s="14">
        <f>INDEX(属性投放!$AO$7:$AO$58,DC433)</f>
        <v>50</v>
      </c>
      <c r="DE433" s="14" t="s">
        <v>538</v>
      </c>
      <c r="DF433" s="14">
        <f>INDEX(属性投放!$BK$6:$BK$85,(CV433-2)*20+CZ433)</f>
        <v>70</v>
      </c>
      <c r="DG433" s="14">
        <f>SUMIFS(DF$5:DF433,$CT$5:$CT433,"="&amp;$CT433)</f>
        <v>540</v>
      </c>
      <c r="DH433" s="14" t="s">
        <v>539</v>
      </c>
      <c r="DI433" s="14">
        <f>INDEX(属性投放!$BL$6:$BL$85,(CV433-2)*20+CZ433)</f>
        <v>35</v>
      </c>
      <c r="DJ433" s="14">
        <f>SUMIFS(DI$5:DI433,$CT$5:$CT433,"="&amp;$CT433)</f>
        <v>272</v>
      </c>
      <c r="DK433" s="14" t="s">
        <v>540</v>
      </c>
      <c r="DL433" s="14">
        <f>INDEX(属性投放!$BM$6:$BM$85,(CV433-2)*20+CZ433)</f>
        <v>560</v>
      </c>
      <c r="DM433" s="14">
        <f>SUMIFS(DL$5:DL433,$CT$5:$CT433,"="&amp;$CT433)</f>
        <v>3790</v>
      </c>
      <c r="DR433" s="14">
        <f t="shared" si="748"/>
        <v>1102050</v>
      </c>
      <c r="DS433" s="14" t="str">
        <f t="shared" si="749"/>
        <v>柠檬精9突</v>
      </c>
      <c r="DT433" s="14">
        <f t="shared" si="760"/>
        <v>3</v>
      </c>
      <c r="DU433" s="14">
        <f t="shared" si="761"/>
        <v>1</v>
      </c>
      <c r="DV433" s="14">
        <f t="shared" si="762"/>
        <v>4</v>
      </c>
      <c r="DW433" s="14">
        <f t="shared" si="750"/>
        <v>2</v>
      </c>
      <c r="DX433" s="14">
        <f t="shared" si="751"/>
        <v>9</v>
      </c>
      <c r="DY433" s="14">
        <f t="shared" si="752"/>
        <v>9</v>
      </c>
      <c r="DZ433" s="14">
        <f>INDEX(属性投放!$AX$6:$AX$85,(卡牌属性!DW433-2)*20+卡牌属性!DX433)</f>
        <v>8</v>
      </c>
      <c r="EA433" s="14">
        <f>INDEX(属性投放!BQ$6:BQ$85,卡牌属性!$DY433)</f>
        <v>150</v>
      </c>
      <c r="EB433" s="14">
        <f>INDEX(属性投放!BR$6:BR$85,卡牌属性!$DY433)</f>
        <v>75</v>
      </c>
      <c r="EC433" s="14">
        <f>INDEX(属性投放!BS$6:BS$85,卡牌属性!$DY433)</f>
        <v>1200</v>
      </c>
      <c r="ED433" s="14">
        <f t="shared" si="790"/>
        <v>1061</v>
      </c>
      <c r="EE433" s="14">
        <f t="shared" si="791"/>
        <v>1194</v>
      </c>
      <c r="EF433" s="14">
        <f t="shared" si="792"/>
        <v>1341</v>
      </c>
      <c r="EG433" s="14">
        <f t="shared" si="793"/>
        <v>1341</v>
      </c>
      <c r="EH433" s="14">
        <f t="shared" si="794"/>
        <v>1446</v>
      </c>
      <c r="EI433" s="14">
        <f t="shared" si="795"/>
        <v>417</v>
      </c>
      <c r="EJ433" s="14">
        <f t="shared" si="796"/>
        <v>452</v>
      </c>
      <c r="EK433" s="14">
        <f t="shared" si="797"/>
        <v>452</v>
      </c>
      <c r="EL433" s="14">
        <f t="shared" si="798"/>
        <v>493</v>
      </c>
      <c r="EM433" s="14">
        <f t="shared" si="799"/>
        <v>555</v>
      </c>
      <c r="EN433" s="14">
        <f t="shared" si="800"/>
        <v>7914</v>
      </c>
      <c r="EO433" s="14">
        <f t="shared" si="801"/>
        <v>8850</v>
      </c>
      <c r="EP433" s="14">
        <f t="shared" si="802"/>
        <v>8850</v>
      </c>
      <c r="EQ433" s="14">
        <f t="shared" si="803"/>
        <v>9522</v>
      </c>
      <c r="ER433" s="14">
        <f t="shared" si="804"/>
        <v>11878</v>
      </c>
      <c r="ES433" s="14">
        <f>INDEX(属性偏向!$S$4:$S$243,(卡牌属性!$DT433-1+ES$3)*20+卡牌属性!$DX433)</f>
        <v>10</v>
      </c>
      <c r="ET433" s="14">
        <f>INDEX(属性偏向!$S$4:$S$243,(卡牌属性!$DT433-1+ET$3)*20+卡牌属性!$DX433)</f>
        <v>12</v>
      </c>
      <c r="EU433" s="14">
        <f>INDEX(属性偏向!$S$4:$S$243,(卡牌属性!$DT433-1+EU$3)*20+卡牌属性!$DX433)</f>
        <v>15</v>
      </c>
      <c r="EV433" s="14">
        <f>INDEX(属性偏向!$S$4:$S$243,(卡牌属性!$DT433-1+EV$3)*20+卡牌属性!$DX433)</f>
        <v>15</v>
      </c>
      <c r="EW433" s="14">
        <f>INDEX(属性偏向!$S$4:$S$243,(卡牌属性!$DT433-1+EW$3)*20+卡牌属性!$DX433)</f>
        <v>16</v>
      </c>
      <c r="EX433" s="14">
        <f>INDEX(属性偏向!$T$4:$T$243,(卡牌属性!$DU433-1+EX$3)*20+卡牌属性!$DX433)</f>
        <v>3</v>
      </c>
      <c r="EY433" s="14">
        <f>INDEX(属性偏向!$T$4:$T$243,(卡牌属性!$DU433-1+EY$3)*20+卡牌属性!$DX433)</f>
        <v>4</v>
      </c>
      <c r="EZ433" s="14">
        <f>INDEX(属性偏向!$T$4:$T$243,(卡牌属性!$DU433-1+EZ$3)*20+卡牌属性!$DX433)</f>
        <v>4</v>
      </c>
      <c r="FA433" s="14">
        <f>INDEX(属性偏向!$T$4:$T$243,(卡牌属性!$DU433-1+FA$3)*20+卡牌属性!$DX433)</f>
        <v>5</v>
      </c>
      <c r="FB433" s="14">
        <f>INDEX(属性偏向!$T$4:$T$243,(卡牌属性!$DU433-1+FB$3)*20+卡牌属性!$DX433)</f>
        <v>6</v>
      </c>
      <c r="FC433" s="14">
        <f>INDEX(属性偏向!$U$4:$U$243,(卡牌属性!$DV433-1+FC$3)*20+卡牌属性!$DX433)</f>
        <v>96</v>
      </c>
      <c r="FD433" s="14">
        <f>INDEX(属性偏向!$U$4:$U$243,(卡牌属性!$DV433-1+FD$3)*20+卡牌属性!$DX433)</f>
        <v>120</v>
      </c>
      <c r="FE433" s="14">
        <f>INDEX(属性偏向!$U$4:$U$243,(卡牌属性!$DV433-1+FE$3)*20+卡牌属性!$DX433)</f>
        <v>120</v>
      </c>
      <c r="FF433" s="14">
        <f>INDEX(属性偏向!$U$4:$U$243,(卡牌属性!$DV433-1+FF$3)*20+卡牌属性!$DX433)</f>
        <v>128</v>
      </c>
      <c r="FG433" s="14">
        <f>INDEX(属性偏向!$U$4:$U$243,(卡牌属性!$DV433-1+FG$3)*20+卡牌属性!$DX433)</f>
        <v>200</v>
      </c>
      <c r="FH433" s="14">
        <f>INDEX(属性投放!$BQ$6:$BQ$85,(卡牌属性!$DW433-2)*20+卡牌属性!$DX433)</f>
        <v>150</v>
      </c>
      <c r="FI433" s="14">
        <f>INDEX(属性投放!$BQ$6:$BQ$85,(卡牌属性!$DW433-2)*20+卡牌属性!$DX433)</f>
        <v>150</v>
      </c>
      <c r="FJ433" s="14">
        <f>INDEX(属性投放!$BQ$6:$BQ$85,(卡牌属性!$DW433-2)*20+卡牌属性!$DX433)</f>
        <v>150</v>
      </c>
      <c r="FK433" s="14">
        <f>INDEX(属性投放!$BQ$6:$BQ$85,(卡牌属性!$DW433-2)*20+卡牌属性!$DX433)</f>
        <v>150</v>
      </c>
      <c r="FL433" s="14">
        <f>INDEX(属性投放!$BQ$6:$BQ$85,(卡牌属性!$DW433-2)*20+卡牌属性!$DX433)</f>
        <v>150</v>
      </c>
      <c r="FM433" s="14">
        <f>INDEX(属性投放!$BR$6:$BR$85,(卡牌属性!$DW433-2)*20+卡牌属性!$DX433)</f>
        <v>75</v>
      </c>
      <c r="FN433" s="14">
        <f>INDEX(属性投放!$BR$6:$BR$85,(卡牌属性!$DW433-2)*20+卡牌属性!$DX433)</f>
        <v>75</v>
      </c>
      <c r="FO433" s="14">
        <f>INDEX(属性投放!$BR$6:$BR$85,(卡牌属性!$DW433-2)*20+卡牌属性!$DX433)</f>
        <v>75</v>
      </c>
      <c r="FP433" s="14">
        <f>INDEX(属性投放!$BR$6:$BR$85,(卡牌属性!$DW433-2)*20+卡牌属性!$DX433)</f>
        <v>75</v>
      </c>
      <c r="FQ433" s="14">
        <f>INDEX(属性投放!$BR$6:$BR$85,(卡牌属性!$DW433-2)*20+卡牌属性!$DX433)</f>
        <v>75</v>
      </c>
      <c r="FR433" s="14">
        <f>INDEX(属性投放!$BS$6:$BS$85,(卡牌属性!$DW433-2)*20+卡牌属性!$DX433)</f>
        <v>1200</v>
      </c>
      <c r="FS433" s="14">
        <f>INDEX(属性投放!$BS$6:$BS$85,(卡牌属性!$DW433-2)*20+卡牌属性!$DX433)</f>
        <v>1200</v>
      </c>
      <c r="FT433" s="14">
        <f>INDEX(属性投放!$BS$6:$BS$85,(卡牌属性!$DW433-2)*20+卡牌属性!$DX433)</f>
        <v>1200</v>
      </c>
      <c r="FU433" s="14">
        <f>INDEX(属性投放!$BS$6:$BS$85,(卡牌属性!$DW433-2)*20+卡牌属性!$DX433)</f>
        <v>1200</v>
      </c>
      <c r="FV433" s="14">
        <f>INDEX(属性投放!$BS$6:$BS$85,(卡牌属性!$DW433-2)*20+卡牌属性!$DX433)</f>
        <v>1200</v>
      </c>
    </row>
    <row r="434" spans="31:178" ht="16.5" x14ac:dyDescent="0.2">
      <c r="AE434" s="13">
        <v>430</v>
      </c>
      <c r="AF434" s="13">
        <f t="shared" si="753"/>
        <v>22</v>
      </c>
      <c r="AG434" s="13">
        <f t="shared" si="740"/>
        <v>3</v>
      </c>
      <c r="AH434" s="13"/>
      <c r="AI434" s="13"/>
      <c r="AJ434" s="14">
        <f t="shared" si="741"/>
        <v>1101030</v>
      </c>
      <c r="AK434" s="14" t="str">
        <f t="shared" si="742"/>
        <v>卢天佑10突</v>
      </c>
      <c r="AL434" s="25" t="s">
        <v>142</v>
      </c>
      <c r="AM434" s="14">
        <v>1</v>
      </c>
      <c r="AN434" s="14">
        <f t="shared" si="743"/>
        <v>10</v>
      </c>
      <c r="AO434" s="14">
        <f>INDEX(属性投放!$DF$6:$DF$85,(卡牌属性!AG434-2)*20+卡牌属性!AN434)</f>
        <v>2578</v>
      </c>
      <c r="AP434" s="14">
        <f t="shared" si="784"/>
        <v>2578</v>
      </c>
      <c r="AQ434" s="14">
        <f t="shared" si="784"/>
        <v>2578</v>
      </c>
      <c r="AR434" s="14">
        <f t="shared" si="784"/>
        <v>2578</v>
      </c>
      <c r="AS434" s="14">
        <f t="shared" si="784"/>
        <v>2578</v>
      </c>
      <c r="AT434" s="14">
        <f>INDEX(属性投放!$DG$6:$DG$85,(卡牌属性!AG434-2)*20+卡牌属性!AN434)</f>
        <v>1227</v>
      </c>
      <c r="AU434" s="14">
        <f t="shared" si="785"/>
        <v>1227</v>
      </c>
      <c r="AV434" s="14">
        <f t="shared" si="785"/>
        <v>1227</v>
      </c>
      <c r="AW434" s="14">
        <f t="shared" si="785"/>
        <v>1227</v>
      </c>
      <c r="AX434" s="14">
        <f t="shared" si="785"/>
        <v>1227</v>
      </c>
      <c r="AY434" s="14">
        <f>INDEX(属性投放!$DH$6:$DH$85,(卡牌属性!AG434-2)*20+卡牌属性!AN434)</f>
        <v>18106</v>
      </c>
      <c r="AZ434" s="14">
        <f t="shared" si="786"/>
        <v>18106</v>
      </c>
      <c r="BA434" s="14">
        <f t="shared" si="786"/>
        <v>18106</v>
      </c>
      <c r="BB434" s="14">
        <f t="shared" si="786"/>
        <v>18106</v>
      </c>
      <c r="BC434" s="14">
        <f t="shared" si="786"/>
        <v>18106</v>
      </c>
      <c r="BD434" s="14">
        <f>INDEX(属性投放!$DL$6:$DL$85,(卡牌属性!AG434-2)*20+卡牌属性!AN434)</f>
        <v>92</v>
      </c>
      <c r="BE434" s="14">
        <f t="shared" si="787"/>
        <v>92</v>
      </c>
      <c r="BF434" s="14">
        <f t="shared" si="787"/>
        <v>92</v>
      </c>
      <c r="BG434" s="14">
        <f t="shared" si="787"/>
        <v>92</v>
      </c>
      <c r="BH434" s="14">
        <f t="shared" si="787"/>
        <v>92</v>
      </c>
      <c r="BI434" s="14">
        <f>INDEX(属性投放!$DM$6:$DM$85,(卡牌属性!AG434-2)*20+卡牌属性!AN434)</f>
        <v>46</v>
      </c>
      <c r="BJ434" s="14">
        <f t="shared" si="788"/>
        <v>46</v>
      </c>
      <c r="BK434" s="14">
        <f t="shared" si="788"/>
        <v>46</v>
      </c>
      <c r="BL434" s="14">
        <f t="shared" si="788"/>
        <v>46</v>
      </c>
      <c r="BM434" s="14">
        <f t="shared" si="788"/>
        <v>46</v>
      </c>
      <c r="BN434" s="14">
        <f>INDEX(属性投放!$DN$6:$DN$85,(卡牌属性!AG434-2)*20+卡牌属性!AN434)</f>
        <v>824</v>
      </c>
      <c r="BO434" s="14">
        <f t="shared" si="789"/>
        <v>824</v>
      </c>
      <c r="BP434" s="14">
        <f t="shared" si="789"/>
        <v>824</v>
      </c>
      <c r="BQ434" s="14">
        <f t="shared" si="789"/>
        <v>824</v>
      </c>
      <c r="BR434" s="14">
        <f t="shared" si="789"/>
        <v>824</v>
      </c>
      <c r="BW434" s="13">
        <v>430</v>
      </c>
      <c r="BX434" s="13">
        <f t="shared" si="744"/>
        <v>22</v>
      </c>
      <c r="BY434" s="14">
        <f t="shared" si="745"/>
        <v>2</v>
      </c>
      <c r="BZ434" s="14">
        <f t="shared" si="754"/>
        <v>1102050</v>
      </c>
      <c r="CA434" s="14" t="str">
        <f t="shared" si="755"/>
        <v>柠檬精10突</v>
      </c>
      <c r="CB434" s="25" t="s">
        <v>142</v>
      </c>
      <c r="CC434" s="14">
        <v>2</v>
      </c>
      <c r="CD434" s="14">
        <f t="shared" si="746"/>
        <v>10</v>
      </c>
      <c r="CE434" s="14" t="s">
        <v>21</v>
      </c>
      <c r="CF434" s="14">
        <f>INDEX(属性投放!$AZ$6:$AZ$85,(BY434-2)*20+CD434)</f>
        <v>2096</v>
      </c>
      <c r="CG434" s="14" t="s">
        <v>22</v>
      </c>
      <c r="CH434" s="14">
        <f>INDEX(属性投放!$BA$6:$BA$85,(BY434-2)*20+CD434)</f>
        <v>1004</v>
      </c>
      <c r="CI434" s="14" t="s">
        <v>510</v>
      </c>
      <c r="CJ434" s="14">
        <f>INDEX(属性投放!$BB$6:$BB$85,(BY434-2)*20+CD434)</f>
        <v>14942</v>
      </c>
      <c r="CK434" s="14" t="s">
        <v>21</v>
      </c>
      <c r="CL434" s="14">
        <f>INDEX(属性投放!$BC$6:$BC$85,(BY434-2)*20+CD434)</f>
        <v>12</v>
      </c>
      <c r="CM434" s="14" t="s">
        <v>22</v>
      </c>
      <c r="CN434" s="14">
        <f>INDEX(属性投放!$BD$6:$BD$85,(BY434-2)*20+CD434)</f>
        <v>6</v>
      </c>
      <c r="CO434" s="14" t="s">
        <v>510</v>
      </c>
      <c r="CP434" s="14">
        <f>INDEX(属性投放!$BE$6:$BE$85,(BY434-2)*20+CD434)</f>
        <v>108</v>
      </c>
      <c r="CS434" s="13">
        <v>430</v>
      </c>
      <c r="CT434" s="13">
        <f t="shared" si="756"/>
        <v>9</v>
      </c>
      <c r="CU434" s="13">
        <f t="shared" si="757"/>
        <v>14</v>
      </c>
      <c r="CV434" s="14">
        <f t="shared" si="758"/>
        <v>3</v>
      </c>
      <c r="CW434" s="14">
        <f t="shared" si="759"/>
        <v>1102009</v>
      </c>
      <c r="CX434" s="14" t="str">
        <f>INDEX($O$6:$O$50,CT434)&amp;"-"&amp;INDEX(属性投放!$AB$7:$AB$50,CZ434)&amp;"-魂火-"&amp;DB434</f>
        <v>徐晃-叫唤+1-魂火-1</v>
      </c>
      <c r="CY434" s="25" t="s">
        <v>142</v>
      </c>
      <c r="CZ434" s="14">
        <f>INDEX(属性投放!$AM$7:$AM$58,CU434)</f>
        <v>8</v>
      </c>
      <c r="DA434" s="14" t="s">
        <v>537</v>
      </c>
      <c r="DB434" s="14">
        <f>INDEX(属性投放!$AN$7:$AN$58,CU434)</f>
        <v>1</v>
      </c>
      <c r="DC434" s="14">
        <f t="shared" si="747"/>
        <v>14</v>
      </c>
      <c r="DD434" s="14">
        <f>INDEX(属性投放!$AO$7:$AO$58,DC434)</f>
        <v>53</v>
      </c>
      <c r="DE434" s="14" t="s">
        <v>538</v>
      </c>
      <c r="DF434" s="14">
        <f>INDEX(属性投放!$BK$6:$BK$85,(CV434-2)*20+CZ434)</f>
        <v>85</v>
      </c>
      <c r="DG434" s="14">
        <f>SUMIFS(DF$5:DF434,$CT$5:$CT434,"="&amp;$CT434)</f>
        <v>625</v>
      </c>
      <c r="DH434" s="14" t="s">
        <v>539</v>
      </c>
      <c r="DI434" s="14">
        <f>INDEX(属性投放!$BL$6:$BL$85,(CV434-2)*20+CZ434)</f>
        <v>43</v>
      </c>
      <c r="DJ434" s="14">
        <f>SUMIFS(DI$5:DI434,$CT$5:$CT434,"="&amp;$CT434)</f>
        <v>315</v>
      </c>
      <c r="DK434" s="14" t="s">
        <v>540</v>
      </c>
      <c r="DL434" s="14">
        <f>INDEX(属性投放!$BM$6:$BM$85,(CV434-2)*20+CZ434)</f>
        <v>680</v>
      </c>
      <c r="DM434" s="14">
        <f>SUMIFS(DL$5:DL434,$CT$5:$CT434,"="&amp;$CT434)</f>
        <v>4470</v>
      </c>
      <c r="DR434" s="14">
        <f t="shared" si="748"/>
        <v>1102050</v>
      </c>
      <c r="DS434" s="14" t="str">
        <f t="shared" si="749"/>
        <v>柠檬精10突</v>
      </c>
      <c r="DT434" s="14">
        <f t="shared" si="760"/>
        <v>3</v>
      </c>
      <c r="DU434" s="14">
        <f t="shared" si="761"/>
        <v>1</v>
      </c>
      <c r="DV434" s="14">
        <f t="shared" si="762"/>
        <v>4</v>
      </c>
      <c r="DW434" s="14">
        <f t="shared" si="750"/>
        <v>2</v>
      </c>
      <c r="DX434" s="14">
        <f t="shared" si="751"/>
        <v>10</v>
      </c>
      <c r="DY434" s="14">
        <f t="shared" si="752"/>
        <v>10</v>
      </c>
      <c r="DZ434" s="14">
        <f>INDEX(属性投放!$AX$6:$AX$85,(卡牌属性!DW434-2)*20+卡牌属性!DX434)</f>
        <v>7</v>
      </c>
      <c r="EA434" s="14">
        <f>INDEX(属性投放!BQ$6:BQ$85,卡牌属性!$DY434)</f>
        <v>160</v>
      </c>
      <c r="EB434" s="14">
        <f>INDEX(属性投放!BR$6:BR$85,卡牌属性!$DY434)</f>
        <v>80</v>
      </c>
      <c r="EC434" s="14">
        <f>INDEX(属性投放!BS$6:BS$85,卡牌属性!$DY434)</f>
        <v>1440</v>
      </c>
      <c r="ED434" s="14">
        <f t="shared" si="790"/>
        <v>1291</v>
      </c>
      <c r="EE434" s="14">
        <f t="shared" si="791"/>
        <v>1440</v>
      </c>
      <c r="EF434" s="14">
        <f t="shared" si="792"/>
        <v>1611</v>
      </c>
      <c r="EG434" s="14">
        <f t="shared" si="793"/>
        <v>1611</v>
      </c>
      <c r="EH434" s="14">
        <f t="shared" si="794"/>
        <v>1724</v>
      </c>
      <c r="EI434" s="14">
        <f t="shared" si="795"/>
        <v>516</v>
      </c>
      <c r="EJ434" s="14">
        <f t="shared" si="796"/>
        <v>559</v>
      </c>
      <c r="EK434" s="14">
        <f t="shared" si="797"/>
        <v>559</v>
      </c>
      <c r="EL434" s="14">
        <f t="shared" si="798"/>
        <v>608</v>
      </c>
      <c r="EM434" s="14">
        <f t="shared" si="799"/>
        <v>678</v>
      </c>
      <c r="EN434" s="14">
        <f t="shared" si="800"/>
        <v>9882</v>
      </c>
      <c r="EO434" s="14">
        <f t="shared" si="801"/>
        <v>11010</v>
      </c>
      <c r="EP434" s="14">
        <f t="shared" si="802"/>
        <v>11010</v>
      </c>
      <c r="EQ434" s="14">
        <f t="shared" si="803"/>
        <v>11746</v>
      </c>
      <c r="ER434" s="14">
        <f t="shared" si="804"/>
        <v>14678</v>
      </c>
      <c r="ES434" s="14">
        <f>INDEX(属性偏向!$S$4:$S$243,(卡牌属性!$DT434-1+ES$3)*20+卡牌属性!$DX434)</f>
        <v>12</v>
      </c>
      <c r="ET434" s="14">
        <f>INDEX(属性偏向!$S$4:$S$243,(卡牌属性!$DT434-1+ET$3)*20+卡牌属性!$DX434)</f>
        <v>15</v>
      </c>
      <c r="EU434" s="14">
        <f>INDEX(属性偏向!$S$4:$S$243,(卡牌属性!$DT434-1+EU$3)*20+卡牌属性!$DX434)</f>
        <v>20</v>
      </c>
      <c r="EV434" s="14">
        <f>INDEX(属性偏向!$S$4:$S$243,(卡牌属性!$DT434-1+EV$3)*20+卡牌属性!$DX434)</f>
        <v>20</v>
      </c>
      <c r="EW434" s="14">
        <f>INDEX(属性偏向!$S$4:$S$243,(卡牌属性!$DT434-1+EW$3)*20+卡牌属性!$DX434)</f>
        <v>21</v>
      </c>
      <c r="EX434" s="14">
        <f>INDEX(属性偏向!$T$4:$T$243,(卡牌属性!$DU434-1+EX$3)*20+卡牌属性!$DX434)</f>
        <v>4</v>
      </c>
      <c r="EY434" s="14">
        <f>INDEX(属性偏向!$T$4:$T$243,(卡牌属性!$DU434-1+EY$3)*20+卡牌属性!$DX434)</f>
        <v>5</v>
      </c>
      <c r="EZ434" s="14">
        <f>INDEX(属性偏向!$T$4:$T$243,(卡牌属性!$DU434-1+EZ$3)*20+卡牌属性!$DX434)</f>
        <v>5</v>
      </c>
      <c r="FA434" s="14">
        <f>INDEX(属性偏向!$T$4:$T$243,(卡牌属性!$DU434-1+FA$3)*20+卡牌属性!$DX434)</f>
        <v>6</v>
      </c>
      <c r="FB434" s="14">
        <f>INDEX(属性偏向!$T$4:$T$243,(卡牌属性!$DU434-1+FB$3)*20+卡牌属性!$DX434)</f>
        <v>8</v>
      </c>
      <c r="FC434" s="14">
        <f>INDEX(属性偏向!$U$4:$U$243,(卡牌属性!$DV434-1+FC$3)*20+卡牌属性!$DX434)</f>
        <v>135</v>
      </c>
      <c r="FD434" s="14">
        <f>INDEX(属性偏向!$U$4:$U$243,(卡牌属性!$DV434-1+FD$3)*20+卡牌属性!$DX434)</f>
        <v>180</v>
      </c>
      <c r="FE434" s="14">
        <f>INDEX(属性偏向!$U$4:$U$243,(卡牌属性!$DV434-1+FE$3)*20+卡牌属性!$DX434)</f>
        <v>180</v>
      </c>
      <c r="FF434" s="14">
        <f>INDEX(属性偏向!$U$4:$U$243,(卡牌属性!$DV434-1+FF$3)*20+卡牌属性!$DX434)</f>
        <v>189</v>
      </c>
      <c r="FG434" s="14">
        <f>INDEX(属性偏向!$U$4:$U$243,(卡牌属性!$DV434-1+FG$3)*20+卡牌属性!$DX434)</f>
        <v>270</v>
      </c>
      <c r="FH434" s="14">
        <f>INDEX(属性投放!$BQ$6:$BQ$85,(卡牌属性!$DW434-2)*20+卡牌属性!$DX434)</f>
        <v>160</v>
      </c>
      <c r="FI434" s="14">
        <f>INDEX(属性投放!$BQ$6:$BQ$85,(卡牌属性!$DW434-2)*20+卡牌属性!$DX434)</f>
        <v>160</v>
      </c>
      <c r="FJ434" s="14">
        <f>INDEX(属性投放!$BQ$6:$BQ$85,(卡牌属性!$DW434-2)*20+卡牌属性!$DX434)</f>
        <v>160</v>
      </c>
      <c r="FK434" s="14">
        <f>INDEX(属性投放!$BQ$6:$BQ$85,(卡牌属性!$DW434-2)*20+卡牌属性!$DX434)</f>
        <v>160</v>
      </c>
      <c r="FL434" s="14">
        <f>INDEX(属性投放!$BQ$6:$BQ$85,(卡牌属性!$DW434-2)*20+卡牌属性!$DX434)</f>
        <v>160</v>
      </c>
      <c r="FM434" s="14">
        <f>INDEX(属性投放!$BR$6:$BR$85,(卡牌属性!$DW434-2)*20+卡牌属性!$DX434)</f>
        <v>80</v>
      </c>
      <c r="FN434" s="14">
        <f>INDEX(属性投放!$BR$6:$BR$85,(卡牌属性!$DW434-2)*20+卡牌属性!$DX434)</f>
        <v>80</v>
      </c>
      <c r="FO434" s="14">
        <f>INDEX(属性投放!$BR$6:$BR$85,(卡牌属性!$DW434-2)*20+卡牌属性!$DX434)</f>
        <v>80</v>
      </c>
      <c r="FP434" s="14">
        <f>INDEX(属性投放!$BR$6:$BR$85,(卡牌属性!$DW434-2)*20+卡牌属性!$DX434)</f>
        <v>80</v>
      </c>
      <c r="FQ434" s="14">
        <f>INDEX(属性投放!$BR$6:$BR$85,(卡牌属性!$DW434-2)*20+卡牌属性!$DX434)</f>
        <v>80</v>
      </c>
      <c r="FR434" s="14">
        <f>INDEX(属性投放!$BS$6:$BS$85,(卡牌属性!$DW434-2)*20+卡牌属性!$DX434)</f>
        <v>1440</v>
      </c>
      <c r="FS434" s="14">
        <f>INDEX(属性投放!$BS$6:$BS$85,(卡牌属性!$DW434-2)*20+卡牌属性!$DX434)</f>
        <v>1440</v>
      </c>
      <c r="FT434" s="14">
        <f>INDEX(属性投放!$BS$6:$BS$85,(卡牌属性!$DW434-2)*20+卡牌属性!$DX434)</f>
        <v>1440</v>
      </c>
      <c r="FU434" s="14">
        <f>INDEX(属性投放!$BS$6:$BS$85,(卡牌属性!$DW434-2)*20+卡牌属性!$DX434)</f>
        <v>1440</v>
      </c>
      <c r="FV434" s="14">
        <f>INDEX(属性投放!$BS$6:$BS$85,(卡牌属性!$DW434-2)*20+卡牌属性!$DX434)</f>
        <v>1440</v>
      </c>
    </row>
    <row r="435" spans="31:178" ht="16.5" x14ac:dyDescent="0.2">
      <c r="AE435" s="13">
        <v>431</v>
      </c>
      <c r="AF435" s="13">
        <f t="shared" si="753"/>
        <v>22</v>
      </c>
      <c r="AG435" s="13">
        <f t="shared" si="740"/>
        <v>3</v>
      </c>
      <c r="AH435" s="13"/>
      <c r="AI435" s="13"/>
      <c r="AJ435" s="14">
        <f t="shared" si="741"/>
        <v>1101030</v>
      </c>
      <c r="AK435" s="14" t="str">
        <f t="shared" si="742"/>
        <v>卢天佑11突</v>
      </c>
      <c r="AL435" s="25" t="s">
        <v>142</v>
      </c>
      <c r="AM435" s="14">
        <v>1</v>
      </c>
      <c r="AN435" s="14">
        <f t="shared" si="743"/>
        <v>11</v>
      </c>
      <c r="AO435" s="14">
        <f>INDEX(属性投放!$DF$6:$DF$85,(卡牌属性!AG435-2)*20+卡牌属性!AN435)</f>
        <v>2840</v>
      </c>
      <c r="AP435" s="14">
        <f t="shared" si="784"/>
        <v>2840</v>
      </c>
      <c r="AQ435" s="14">
        <f t="shared" si="784"/>
        <v>2840</v>
      </c>
      <c r="AR435" s="14">
        <f t="shared" si="784"/>
        <v>2840</v>
      </c>
      <c r="AS435" s="14">
        <f t="shared" si="784"/>
        <v>2840</v>
      </c>
      <c r="AT435" s="14">
        <f>INDEX(属性投放!$DG$6:$DG$85,(卡牌属性!AG435-2)*20+卡牌属性!AN435)</f>
        <v>1358</v>
      </c>
      <c r="AU435" s="14">
        <f t="shared" si="785"/>
        <v>1358</v>
      </c>
      <c r="AV435" s="14">
        <f t="shared" si="785"/>
        <v>1358</v>
      </c>
      <c r="AW435" s="14">
        <f t="shared" si="785"/>
        <v>1358</v>
      </c>
      <c r="AX435" s="14">
        <f t="shared" si="785"/>
        <v>1358</v>
      </c>
      <c r="AY435" s="14">
        <f>INDEX(属性投放!$DH$6:$DH$85,(卡牌属性!AG435-2)*20+卡牌属性!AN435)</f>
        <v>20460</v>
      </c>
      <c r="AZ435" s="14">
        <f t="shared" si="786"/>
        <v>20460</v>
      </c>
      <c r="BA435" s="14">
        <f t="shared" si="786"/>
        <v>20460</v>
      </c>
      <c r="BB435" s="14">
        <f t="shared" si="786"/>
        <v>20460</v>
      </c>
      <c r="BC435" s="14">
        <f t="shared" si="786"/>
        <v>20460</v>
      </c>
      <c r="BD435" s="14">
        <f>INDEX(属性投放!$DL$6:$DL$85,(卡牌属性!AG435-2)*20+卡牌属性!AN435)</f>
        <v>92</v>
      </c>
      <c r="BE435" s="14">
        <f t="shared" si="787"/>
        <v>92</v>
      </c>
      <c r="BF435" s="14">
        <f t="shared" si="787"/>
        <v>92</v>
      </c>
      <c r="BG435" s="14">
        <f t="shared" si="787"/>
        <v>92</v>
      </c>
      <c r="BH435" s="14">
        <f t="shared" si="787"/>
        <v>92</v>
      </c>
      <c r="BI435" s="14">
        <f>INDEX(属性投放!$DM$6:$DM$85,(卡牌属性!AG435-2)*20+卡牌属性!AN435)</f>
        <v>46</v>
      </c>
      <c r="BJ435" s="14">
        <f t="shared" si="788"/>
        <v>46</v>
      </c>
      <c r="BK435" s="14">
        <f t="shared" si="788"/>
        <v>46</v>
      </c>
      <c r="BL435" s="14">
        <f t="shared" si="788"/>
        <v>46</v>
      </c>
      <c r="BM435" s="14">
        <f t="shared" si="788"/>
        <v>46</v>
      </c>
      <c r="BN435" s="14">
        <f>INDEX(属性投放!$DN$6:$DN$85,(卡牌属性!AG435-2)*20+卡牌属性!AN435)</f>
        <v>824</v>
      </c>
      <c r="BO435" s="14">
        <f t="shared" si="789"/>
        <v>824</v>
      </c>
      <c r="BP435" s="14">
        <f t="shared" si="789"/>
        <v>824</v>
      </c>
      <c r="BQ435" s="14">
        <f t="shared" si="789"/>
        <v>824</v>
      </c>
      <c r="BR435" s="14">
        <f t="shared" si="789"/>
        <v>824</v>
      </c>
      <c r="BW435" s="13">
        <v>431</v>
      </c>
      <c r="BX435" s="13">
        <f t="shared" si="744"/>
        <v>22</v>
      </c>
      <c r="BY435" s="14">
        <f t="shared" si="745"/>
        <v>2</v>
      </c>
      <c r="BZ435" s="14">
        <f t="shared" si="754"/>
        <v>1102050</v>
      </c>
      <c r="CA435" s="14" t="str">
        <f t="shared" si="755"/>
        <v>柠檬精11突</v>
      </c>
      <c r="CB435" s="25" t="s">
        <v>142</v>
      </c>
      <c r="CC435" s="14">
        <v>2</v>
      </c>
      <c r="CD435" s="14">
        <f t="shared" si="746"/>
        <v>11</v>
      </c>
      <c r="CE435" s="14" t="s">
        <v>21</v>
      </c>
      <c r="CF435" s="14">
        <f>INDEX(属性投放!$AZ$6:$AZ$85,(BY435-2)*20+CD435)</f>
        <v>2640</v>
      </c>
      <c r="CG435" s="14" t="s">
        <v>22</v>
      </c>
      <c r="CH435" s="14">
        <f>INDEX(属性投放!$BA$6:$BA$85,(BY435-2)*20+CD435)</f>
        <v>1276</v>
      </c>
      <c r="CI435" s="14" t="s">
        <v>510</v>
      </c>
      <c r="CJ435" s="14">
        <f>INDEX(属性投放!$BB$6:$BB$85,(BY435-2)*20+CD435)</f>
        <v>19838</v>
      </c>
      <c r="CK435" s="14" t="s">
        <v>21</v>
      </c>
      <c r="CL435" s="14">
        <f>INDEX(属性投放!$BC$6:$BC$85,(BY435-2)*20+CD435)</f>
        <v>12</v>
      </c>
      <c r="CM435" s="14" t="s">
        <v>22</v>
      </c>
      <c r="CN435" s="14">
        <f>INDEX(属性投放!$BD$6:$BD$85,(BY435-2)*20+CD435)</f>
        <v>6</v>
      </c>
      <c r="CO435" s="14" t="s">
        <v>510</v>
      </c>
      <c r="CP435" s="14">
        <f>INDEX(属性投放!$BE$6:$BE$85,(BY435-2)*20+CD435)</f>
        <v>108</v>
      </c>
      <c r="CS435" s="13">
        <v>431</v>
      </c>
      <c r="CT435" s="13">
        <f t="shared" si="756"/>
        <v>9</v>
      </c>
      <c r="CU435" s="13">
        <f t="shared" si="757"/>
        <v>15</v>
      </c>
      <c r="CV435" s="14">
        <f t="shared" si="758"/>
        <v>3</v>
      </c>
      <c r="CW435" s="14">
        <f t="shared" si="759"/>
        <v>1102009</v>
      </c>
      <c r="CX435" s="14" t="str">
        <f>INDEX($O$6:$O$50,CT435)&amp;"-"&amp;INDEX(属性投放!$AB$7:$AB$50,CZ435)&amp;"-魂火-"&amp;DB435</f>
        <v>徐晃-叫唤+1-魂火-2</v>
      </c>
      <c r="CY435" s="25" t="s">
        <v>142</v>
      </c>
      <c r="CZ435" s="14">
        <f>INDEX(属性投放!$AM$7:$AM$58,CU435)</f>
        <v>8</v>
      </c>
      <c r="DA435" s="14" t="s">
        <v>537</v>
      </c>
      <c r="DB435" s="14">
        <f>INDEX(属性投放!$AN$7:$AN$58,CU435)</f>
        <v>2</v>
      </c>
      <c r="DC435" s="14">
        <f t="shared" si="747"/>
        <v>15</v>
      </c>
      <c r="DD435" s="14">
        <f>INDEX(属性投放!$AO$7:$AO$58,DC435)</f>
        <v>55</v>
      </c>
      <c r="DE435" s="14" t="s">
        <v>538</v>
      </c>
      <c r="DF435" s="14">
        <f>INDEX(属性投放!$BK$6:$BK$85,(CV435-2)*20+CZ435)</f>
        <v>85</v>
      </c>
      <c r="DG435" s="14">
        <f>SUMIFS(DF$5:DF435,$CT$5:$CT435,"="&amp;$CT435)</f>
        <v>710</v>
      </c>
      <c r="DH435" s="14" t="s">
        <v>539</v>
      </c>
      <c r="DI435" s="14">
        <f>INDEX(属性投放!$BL$6:$BL$85,(CV435-2)*20+CZ435)</f>
        <v>43</v>
      </c>
      <c r="DJ435" s="14">
        <f>SUMIFS(DI$5:DI435,$CT$5:$CT435,"="&amp;$CT435)</f>
        <v>358</v>
      </c>
      <c r="DK435" s="14" t="s">
        <v>540</v>
      </c>
      <c r="DL435" s="14">
        <f>INDEX(属性投放!$BM$6:$BM$85,(CV435-2)*20+CZ435)</f>
        <v>680</v>
      </c>
      <c r="DM435" s="14">
        <f>SUMIFS(DL$5:DL435,$CT$5:$CT435,"="&amp;$CT435)</f>
        <v>5150</v>
      </c>
      <c r="DR435" s="14">
        <f t="shared" si="748"/>
        <v>1102050</v>
      </c>
      <c r="DS435" s="14" t="str">
        <f t="shared" si="749"/>
        <v>柠檬精11突</v>
      </c>
      <c r="DT435" s="14">
        <f t="shared" si="760"/>
        <v>3</v>
      </c>
      <c r="DU435" s="14">
        <f t="shared" si="761"/>
        <v>1</v>
      </c>
      <c r="DV435" s="14">
        <f t="shared" si="762"/>
        <v>4</v>
      </c>
      <c r="DW435" s="14">
        <f t="shared" si="750"/>
        <v>2</v>
      </c>
      <c r="DX435" s="14">
        <f t="shared" si="751"/>
        <v>11</v>
      </c>
      <c r="DY435" s="14">
        <f t="shared" si="752"/>
        <v>11</v>
      </c>
      <c r="DZ435" s="14">
        <f>INDEX(属性投放!$AX$6:$AX$85,(卡牌属性!DW435-2)*20+卡牌属性!DX435)</f>
        <v>8</v>
      </c>
      <c r="EA435" s="14">
        <f>INDEX(属性投放!BQ$6:BQ$85,卡牌属性!$DY435)</f>
        <v>200</v>
      </c>
      <c r="EB435" s="14">
        <f>INDEX(属性投放!BR$6:BR$85,卡牌属性!$DY435)</f>
        <v>100</v>
      </c>
      <c r="EC435" s="14">
        <f>INDEX(属性投放!BS$6:BS$85,卡牌属性!$DY435)</f>
        <v>1800</v>
      </c>
      <c r="ED435" s="14">
        <f t="shared" si="790"/>
        <v>1535</v>
      </c>
      <c r="EE435" s="14">
        <f t="shared" si="791"/>
        <v>1705</v>
      </c>
      <c r="EF435" s="14">
        <f t="shared" si="792"/>
        <v>1911</v>
      </c>
      <c r="EG435" s="14">
        <f t="shared" si="793"/>
        <v>1911</v>
      </c>
      <c r="EH435" s="14">
        <f t="shared" si="794"/>
        <v>2031</v>
      </c>
      <c r="EI435" s="14">
        <f t="shared" si="795"/>
        <v>624</v>
      </c>
      <c r="EJ435" s="14">
        <f t="shared" si="796"/>
        <v>674</v>
      </c>
      <c r="EK435" s="14">
        <f t="shared" si="797"/>
        <v>674</v>
      </c>
      <c r="EL435" s="14">
        <f t="shared" si="798"/>
        <v>730</v>
      </c>
      <c r="EM435" s="14">
        <f t="shared" si="799"/>
        <v>814</v>
      </c>
      <c r="EN435" s="14">
        <f t="shared" si="800"/>
        <v>12267</v>
      </c>
      <c r="EO435" s="14">
        <f t="shared" si="801"/>
        <v>13710</v>
      </c>
      <c r="EP435" s="14">
        <f t="shared" si="802"/>
        <v>13710</v>
      </c>
      <c r="EQ435" s="14">
        <f t="shared" si="803"/>
        <v>14509</v>
      </c>
      <c r="ER435" s="14">
        <f t="shared" si="804"/>
        <v>18008</v>
      </c>
      <c r="ES435" s="14">
        <f>INDEX(属性偏向!$S$4:$S$243,(卡牌属性!$DT435-1+ES$3)*20+卡牌属性!$DX435)</f>
        <v>12</v>
      </c>
      <c r="ET435" s="14">
        <f>INDEX(属性偏向!$S$4:$S$243,(卡牌属性!$DT435-1+ET$3)*20+卡牌属性!$DX435)</f>
        <v>15</v>
      </c>
      <c r="EU435" s="14">
        <f>INDEX(属性偏向!$S$4:$S$243,(卡牌属性!$DT435-1+EU$3)*20+卡牌属性!$DX435)</f>
        <v>20</v>
      </c>
      <c r="EV435" s="14">
        <f>INDEX(属性偏向!$S$4:$S$243,(卡牌属性!$DT435-1+EV$3)*20+卡牌属性!$DX435)</f>
        <v>20</v>
      </c>
      <c r="EW435" s="14">
        <f>INDEX(属性偏向!$S$4:$S$243,(卡牌属性!$DT435-1+EW$3)*20+卡牌属性!$DX435)</f>
        <v>21</v>
      </c>
      <c r="EX435" s="14">
        <f>INDEX(属性偏向!$T$4:$T$243,(卡牌属性!$DU435-1+EX$3)*20+卡牌属性!$DX435)</f>
        <v>4</v>
      </c>
      <c r="EY435" s="14">
        <f>INDEX(属性偏向!$T$4:$T$243,(卡牌属性!$DU435-1+EY$3)*20+卡牌属性!$DX435)</f>
        <v>5</v>
      </c>
      <c r="EZ435" s="14">
        <f>INDEX(属性偏向!$T$4:$T$243,(卡牌属性!$DU435-1+EZ$3)*20+卡牌属性!$DX435)</f>
        <v>5</v>
      </c>
      <c r="FA435" s="14">
        <f>INDEX(属性偏向!$T$4:$T$243,(卡牌属性!$DU435-1+FA$3)*20+卡牌属性!$DX435)</f>
        <v>6</v>
      </c>
      <c r="FB435" s="14">
        <f>INDEX(属性偏向!$T$4:$T$243,(卡牌属性!$DU435-1+FB$3)*20+卡牌属性!$DX435)</f>
        <v>8</v>
      </c>
      <c r="FC435" s="14">
        <f>INDEX(属性偏向!$U$4:$U$243,(卡牌属性!$DV435-1+FC$3)*20+卡牌属性!$DX435)</f>
        <v>135</v>
      </c>
      <c r="FD435" s="14">
        <f>INDEX(属性偏向!$U$4:$U$243,(卡牌属性!$DV435-1+FD$3)*20+卡牌属性!$DX435)</f>
        <v>180</v>
      </c>
      <c r="FE435" s="14">
        <f>INDEX(属性偏向!$U$4:$U$243,(卡牌属性!$DV435-1+FE$3)*20+卡牌属性!$DX435)</f>
        <v>180</v>
      </c>
      <c r="FF435" s="14">
        <f>INDEX(属性偏向!$U$4:$U$243,(卡牌属性!$DV435-1+FF$3)*20+卡牌属性!$DX435)</f>
        <v>189</v>
      </c>
      <c r="FG435" s="14">
        <f>INDEX(属性偏向!$U$4:$U$243,(卡牌属性!$DV435-1+FG$3)*20+卡牌属性!$DX435)</f>
        <v>270</v>
      </c>
      <c r="FH435" s="14">
        <f>INDEX(属性投放!$BQ$6:$BQ$85,(卡牌属性!$DW435-2)*20+卡牌属性!$DX435)</f>
        <v>200</v>
      </c>
      <c r="FI435" s="14">
        <f>INDEX(属性投放!$BQ$6:$BQ$85,(卡牌属性!$DW435-2)*20+卡牌属性!$DX435)</f>
        <v>200</v>
      </c>
      <c r="FJ435" s="14">
        <f>INDEX(属性投放!$BQ$6:$BQ$85,(卡牌属性!$DW435-2)*20+卡牌属性!$DX435)</f>
        <v>200</v>
      </c>
      <c r="FK435" s="14">
        <f>INDEX(属性投放!$BQ$6:$BQ$85,(卡牌属性!$DW435-2)*20+卡牌属性!$DX435)</f>
        <v>200</v>
      </c>
      <c r="FL435" s="14">
        <f>INDEX(属性投放!$BQ$6:$BQ$85,(卡牌属性!$DW435-2)*20+卡牌属性!$DX435)</f>
        <v>200</v>
      </c>
      <c r="FM435" s="14">
        <f>INDEX(属性投放!$BR$6:$BR$85,(卡牌属性!$DW435-2)*20+卡牌属性!$DX435)</f>
        <v>100</v>
      </c>
      <c r="FN435" s="14">
        <f>INDEX(属性投放!$BR$6:$BR$85,(卡牌属性!$DW435-2)*20+卡牌属性!$DX435)</f>
        <v>100</v>
      </c>
      <c r="FO435" s="14">
        <f>INDEX(属性投放!$BR$6:$BR$85,(卡牌属性!$DW435-2)*20+卡牌属性!$DX435)</f>
        <v>100</v>
      </c>
      <c r="FP435" s="14">
        <f>INDEX(属性投放!$BR$6:$BR$85,(卡牌属性!$DW435-2)*20+卡牌属性!$DX435)</f>
        <v>100</v>
      </c>
      <c r="FQ435" s="14">
        <f>INDEX(属性投放!$BR$6:$BR$85,(卡牌属性!$DW435-2)*20+卡牌属性!$DX435)</f>
        <v>100</v>
      </c>
      <c r="FR435" s="14">
        <f>INDEX(属性投放!$BS$6:$BS$85,(卡牌属性!$DW435-2)*20+卡牌属性!$DX435)</f>
        <v>1800</v>
      </c>
      <c r="FS435" s="14">
        <f>INDEX(属性投放!$BS$6:$BS$85,(卡牌属性!$DW435-2)*20+卡牌属性!$DX435)</f>
        <v>1800</v>
      </c>
      <c r="FT435" s="14">
        <f>INDEX(属性投放!$BS$6:$BS$85,(卡牌属性!$DW435-2)*20+卡牌属性!$DX435)</f>
        <v>1800</v>
      </c>
      <c r="FU435" s="14">
        <f>INDEX(属性投放!$BS$6:$BS$85,(卡牌属性!$DW435-2)*20+卡牌属性!$DX435)</f>
        <v>1800</v>
      </c>
      <c r="FV435" s="14">
        <f>INDEX(属性投放!$BS$6:$BS$85,(卡牌属性!$DW435-2)*20+卡牌属性!$DX435)</f>
        <v>1800</v>
      </c>
    </row>
    <row r="436" spans="31:178" ht="16.5" x14ac:dyDescent="0.2">
      <c r="AE436" s="13">
        <v>432</v>
      </c>
      <c r="AF436" s="13">
        <f t="shared" si="753"/>
        <v>22</v>
      </c>
      <c r="AG436" s="13">
        <f t="shared" si="740"/>
        <v>3</v>
      </c>
      <c r="AH436" s="13"/>
      <c r="AI436" s="13"/>
      <c r="AJ436" s="14">
        <f t="shared" si="741"/>
        <v>1101030</v>
      </c>
      <c r="AK436" s="14" t="str">
        <f t="shared" si="742"/>
        <v>卢天佑12突</v>
      </c>
      <c r="AL436" s="25" t="s">
        <v>142</v>
      </c>
      <c r="AM436" s="14">
        <v>1</v>
      </c>
      <c r="AN436" s="14">
        <f t="shared" si="743"/>
        <v>12</v>
      </c>
      <c r="AO436" s="14">
        <f>INDEX(属性投放!$DF$6:$DF$85,(卡牌属性!AG436-2)*20+卡牌属性!AN436)</f>
        <v>3102</v>
      </c>
      <c r="AP436" s="14">
        <f t="shared" si="784"/>
        <v>3102</v>
      </c>
      <c r="AQ436" s="14">
        <f t="shared" si="784"/>
        <v>3102</v>
      </c>
      <c r="AR436" s="14">
        <f t="shared" si="784"/>
        <v>3102</v>
      </c>
      <c r="AS436" s="14">
        <f t="shared" si="784"/>
        <v>3102</v>
      </c>
      <c r="AT436" s="14">
        <f>INDEX(属性投放!$DG$6:$DG$85,(卡牌属性!AG436-2)*20+卡牌属性!AN436)</f>
        <v>1489</v>
      </c>
      <c r="AU436" s="14">
        <f t="shared" si="785"/>
        <v>1489</v>
      </c>
      <c r="AV436" s="14">
        <f t="shared" si="785"/>
        <v>1489</v>
      </c>
      <c r="AW436" s="14">
        <f t="shared" si="785"/>
        <v>1489</v>
      </c>
      <c r="AX436" s="14">
        <f t="shared" si="785"/>
        <v>1489</v>
      </c>
      <c r="AY436" s="14">
        <f>INDEX(属性投放!$DH$6:$DH$85,(卡牌属性!AG436-2)*20+卡牌属性!AN436)</f>
        <v>22814</v>
      </c>
      <c r="AZ436" s="14">
        <f t="shared" si="786"/>
        <v>22814</v>
      </c>
      <c r="BA436" s="14">
        <f t="shared" si="786"/>
        <v>22814</v>
      </c>
      <c r="BB436" s="14">
        <f t="shared" si="786"/>
        <v>22814</v>
      </c>
      <c r="BC436" s="14">
        <f t="shared" si="786"/>
        <v>22814</v>
      </c>
      <c r="BD436" s="14">
        <f>INDEX(属性投放!$DL$6:$DL$85,(卡牌属性!AG436-2)*20+卡牌属性!AN436)</f>
        <v>92</v>
      </c>
      <c r="BE436" s="14">
        <f t="shared" si="787"/>
        <v>92</v>
      </c>
      <c r="BF436" s="14">
        <f t="shared" si="787"/>
        <v>92</v>
      </c>
      <c r="BG436" s="14">
        <f t="shared" si="787"/>
        <v>92</v>
      </c>
      <c r="BH436" s="14">
        <f t="shared" si="787"/>
        <v>92</v>
      </c>
      <c r="BI436" s="14">
        <f>INDEX(属性投放!$DM$6:$DM$85,(卡牌属性!AG436-2)*20+卡牌属性!AN436)</f>
        <v>46</v>
      </c>
      <c r="BJ436" s="14">
        <f t="shared" si="788"/>
        <v>46</v>
      </c>
      <c r="BK436" s="14">
        <f t="shared" si="788"/>
        <v>46</v>
      </c>
      <c r="BL436" s="14">
        <f t="shared" si="788"/>
        <v>46</v>
      </c>
      <c r="BM436" s="14">
        <f t="shared" si="788"/>
        <v>46</v>
      </c>
      <c r="BN436" s="14">
        <f>INDEX(属性投放!$DN$6:$DN$85,(卡牌属性!AG436-2)*20+卡牌属性!AN436)</f>
        <v>824</v>
      </c>
      <c r="BO436" s="14">
        <f t="shared" si="789"/>
        <v>824</v>
      </c>
      <c r="BP436" s="14">
        <f t="shared" si="789"/>
        <v>824</v>
      </c>
      <c r="BQ436" s="14">
        <f t="shared" si="789"/>
        <v>824</v>
      </c>
      <c r="BR436" s="14">
        <f t="shared" si="789"/>
        <v>824</v>
      </c>
      <c r="BW436" s="13">
        <v>432</v>
      </c>
      <c r="BX436" s="13">
        <f t="shared" si="744"/>
        <v>22</v>
      </c>
      <c r="BY436" s="14">
        <f t="shared" si="745"/>
        <v>2</v>
      </c>
      <c r="BZ436" s="14">
        <f t="shared" si="754"/>
        <v>1102050</v>
      </c>
      <c r="CA436" s="14" t="str">
        <f t="shared" si="755"/>
        <v>柠檬精12突</v>
      </c>
      <c r="CB436" s="25" t="s">
        <v>142</v>
      </c>
      <c r="CC436" s="14">
        <v>2</v>
      </c>
      <c r="CD436" s="14">
        <f t="shared" si="746"/>
        <v>12</v>
      </c>
      <c r="CE436" s="14" t="s">
        <v>21</v>
      </c>
      <c r="CF436" s="14">
        <f>INDEX(属性投放!$AZ$6:$AZ$85,(BY436-2)*20+CD436)</f>
        <v>3326</v>
      </c>
      <c r="CG436" s="14" t="s">
        <v>22</v>
      </c>
      <c r="CH436" s="14">
        <f>INDEX(属性投放!$BA$6:$BA$85,(BY436-2)*20+CD436)</f>
        <v>1619</v>
      </c>
      <c r="CI436" s="14" t="s">
        <v>510</v>
      </c>
      <c r="CJ436" s="14">
        <f>INDEX(属性投放!$BB$6:$BB$85,(BY436-2)*20+CD436)</f>
        <v>26012</v>
      </c>
      <c r="CK436" s="14" t="s">
        <v>21</v>
      </c>
      <c r="CL436" s="14">
        <f>INDEX(属性投放!$BC$6:$BC$85,(BY436-2)*20+CD436)</f>
        <v>12</v>
      </c>
      <c r="CM436" s="14" t="s">
        <v>22</v>
      </c>
      <c r="CN436" s="14">
        <f>INDEX(属性投放!$BD$6:$BD$85,(BY436-2)*20+CD436)</f>
        <v>6</v>
      </c>
      <c r="CO436" s="14" t="s">
        <v>510</v>
      </c>
      <c r="CP436" s="14">
        <f>INDEX(属性投放!$BE$6:$BE$85,(BY436-2)*20+CD436)</f>
        <v>108</v>
      </c>
      <c r="CS436" s="13">
        <v>432</v>
      </c>
      <c r="CT436" s="13">
        <f t="shared" si="756"/>
        <v>9</v>
      </c>
      <c r="CU436" s="13">
        <f t="shared" si="757"/>
        <v>16</v>
      </c>
      <c r="CV436" s="14">
        <f t="shared" si="758"/>
        <v>3</v>
      </c>
      <c r="CW436" s="14">
        <f t="shared" si="759"/>
        <v>1102009</v>
      </c>
      <c r="CX436" s="14" t="str">
        <f>INDEX($O$6:$O$50,CT436)&amp;"-"&amp;INDEX(属性投放!$AB$7:$AB$50,CZ436)&amp;"-魂火-"&amp;DB436</f>
        <v>徐晃-叫唤+2-魂火-1</v>
      </c>
      <c r="CY436" s="25" t="s">
        <v>142</v>
      </c>
      <c r="CZ436" s="14">
        <f>INDEX(属性投放!$AM$7:$AM$58,CU436)</f>
        <v>9</v>
      </c>
      <c r="DA436" s="14" t="s">
        <v>537</v>
      </c>
      <c r="DB436" s="14">
        <f>INDEX(属性投放!$AN$7:$AN$58,CU436)</f>
        <v>1</v>
      </c>
      <c r="DC436" s="14">
        <f t="shared" si="747"/>
        <v>16</v>
      </c>
      <c r="DD436" s="14">
        <f>INDEX(属性投放!$AO$7:$AO$58,DC436)</f>
        <v>58</v>
      </c>
      <c r="DE436" s="14" t="s">
        <v>538</v>
      </c>
      <c r="DF436" s="14">
        <f>INDEX(属性投放!$BK$6:$BK$85,(CV436-2)*20+CZ436)</f>
        <v>100</v>
      </c>
      <c r="DG436" s="14">
        <f>SUMIFS(DF$5:DF436,$CT$5:$CT436,"="&amp;$CT436)</f>
        <v>810</v>
      </c>
      <c r="DH436" s="14" t="s">
        <v>539</v>
      </c>
      <c r="DI436" s="14">
        <f>INDEX(属性投放!$BL$6:$BL$85,(CV436-2)*20+CZ436)</f>
        <v>50</v>
      </c>
      <c r="DJ436" s="14">
        <f>SUMIFS(DI$5:DI436,$CT$5:$CT436,"="&amp;$CT436)</f>
        <v>408</v>
      </c>
      <c r="DK436" s="14" t="s">
        <v>540</v>
      </c>
      <c r="DL436" s="14">
        <f>INDEX(属性投放!$BM$6:$BM$85,(CV436-2)*20+CZ436)</f>
        <v>800</v>
      </c>
      <c r="DM436" s="14">
        <f>SUMIFS(DL$5:DL436,$CT$5:$CT436,"="&amp;$CT436)</f>
        <v>5950</v>
      </c>
      <c r="DR436" s="14">
        <f t="shared" si="748"/>
        <v>1102050</v>
      </c>
      <c r="DS436" s="14" t="str">
        <f t="shared" si="749"/>
        <v>柠檬精12突</v>
      </c>
      <c r="DT436" s="14">
        <f t="shared" si="760"/>
        <v>3</v>
      </c>
      <c r="DU436" s="14">
        <f t="shared" si="761"/>
        <v>1</v>
      </c>
      <c r="DV436" s="14">
        <f t="shared" si="762"/>
        <v>4</v>
      </c>
      <c r="DW436" s="14">
        <f t="shared" si="750"/>
        <v>2</v>
      </c>
      <c r="DX436" s="14">
        <f t="shared" si="751"/>
        <v>12</v>
      </c>
      <c r="DY436" s="14">
        <f t="shared" si="752"/>
        <v>12</v>
      </c>
      <c r="DZ436" s="14">
        <f>INDEX(属性投放!$AX$6:$AX$85,(卡牌属性!DW436-2)*20+卡牌属性!DX436)</f>
        <v>7</v>
      </c>
      <c r="EA436" s="14">
        <f>INDEX(属性投放!BQ$6:BQ$85,卡牌属性!$DY436)</f>
        <v>350</v>
      </c>
      <c r="EB436" s="14">
        <f>INDEX(属性投放!BR$6:BR$85,卡牌属性!$DY436)</f>
        <v>175</v>
      </c>
      <c r="EC436" s="14">
        <f>INDEX(属性投放!BS$6:BS$85,卡牌属性!$DY436)</f>
        <v>3150</v>
      </c>
      <c r="ED436" s="14">
        <f t="shared" si="790"/>
        <v>1831</v>
      </c>
      <c r="EE436" s="14">
        <f t="shared" si="791"/>
        <v>2025</v>
      </c>
      <c r="EF436" s="14">
        <f t="shared" si="792"/>
        <v>2271</v>
      </c>
      <c r="EG436" s="14">
        <f t="shared" si="793"/>
        <v>2271</v>
      </c>
      <c r="EH436" s="14">
        <f t="shared" si="794"/>
        <v>2399</v>
      </c>
      <c r="EI436" s="14">
        <f t="shared" si="795"/>
        <v>756</v>
      </c>
      <c r="EJ436" s="14">
        <f t="shared" si="796"/>
        <v>814</v>
      </c>
      <c r="EK436" s="14">
        <f t="shared" si="797"/>
        <v>814</v>
      </c>
      <c r="EL436" s="14">
        <f t="shared" si="798"/>
        <v>878</v>
      </c>
      <c r="EM436" s="14">
        <f t="shared" si="799"/>
        <v>978</v>
      </c>
      <c r="EN436" s="14">
        <f t="shared" si="800"/>
        <v>15147</v>
      </c>
      <c r="EO436" s="14">
        <f t="shared" si="801"/>
        <v>16950</v>
      </c>
      <c r="EP436" s="14">
        <f t="shared" si="802"/>
        <v>16950</v>
      </c>
      <c r="EQ436" s="14">
        <f t="shared" si="803"/>
        <v>17821</v>
      </c>
      <c r="ER436" s="14">
        <f t="shared" si="804"/>
        <v>21968</v>
      </c>
      <c r="ES436" s="14">
        <f>INDEX(属性偏向!$S$4:$S$243,(卡牌属性!$DT436-1+ES$3)*20+卡牌属性!$DX436)</f>
        <v>12</v>
      </c>
      <c r="ET436" s="14">
        <f>INDEX(属性偏向!$S$4:$S$243,(卡牌属性!$DT436-1+ET$3)*20+卡牌属性!$DX436)</f>
        <v>15</v>
      </c>
      <c r="EU436" s="14">
        <f>INDEX(属性偏向!$S$4:$S$243,(卡牌属性!$DT436-1+EU$3)*20+卡牌属性!$DX436)</f>
        <v>20</v>
      </c>
      <c r="EV436" s="14">
        <f>INDEX(属性偏向!$S$4:$S$243,(卡牌属性!$DT436-1+EV$3)*20+卡牌属性!$DX436)</f>
        <v>20</v>
      </c>
      <c r="EW436" s="14">
        <f>INDEX(属性偏向!$S$4:$S$243,(卡牌属性!$DT436-1+EW$3)*20+卡牌属性!$DX436)</f>
        <v>21</v>
      </c>
      <c r="EX436" s="14">
        <f>INDEX(属性偏向!$T$4:$T$243,(卡牌属性!$DU436-1+EX$3)*20+卡牌属性!$DX436)</f>
        <v>4</v>
      </c>
      <c r="EY436" s="14">
        <f>INDEX(属性偏向!$T$4:$T$243,(卡牌属性!$DU436-1+EY$3)*20+卡牌属性!$DX436)</f>
        <v>5</v>
      </c>
      <c r="EZ436" s="14">
        <f>INDEX(属性偏向!$T$4:$T$243,(卡牌属性!$DU436-1+EZ$3)*20+卡牌属性!$DX436)</f>
        <v>5</v>
      </c>
      <c r="FA436" s="14">
        <f>INDEX(属性偏向!$T$4:$T$243,(卡牌属性!$DU436-1+FA$3)*20+卡牌属性!$DX436)</f>
        <v>6</v>
      </c>
      <c r="FB436" s="14">
        <f>INDEX(属性偏向!$T$4:$T$243,(卡牌属性!$DU436-1+FB$3)*20+卡牌属性!$DX436)</f>
        <v>8</v>
      </c>
      <c r="FC436" s="14">
        <f>INDEX(属性偏向!$U$4:$U$243,(卡牌属性!$DV436-1+FC$3)*20+卡牌属性!$DX436)</f>
        <v>135</v>
      </c>
      <c r="FD436" s="14">
        <f>INDEX(属性偏向!$U$4:$U$243,(卡牌属性!$DV436-1+FD$3)*20+卡牌属性!$DX436)</f>
        <v>180</v>
      </c>
      <c r="FE436" s="14">
        <f>INDEX(属性偏向!$U$4:$U$243,(卡牌属性!$DV436-1+FE$3)*20+卡牌属性!$DX436)</f>
        <v>180</v>
      </c>
      <c r="FF436" s="14">
        <f>INDEX(属性偏向!$U$4:$U$243,(卡牌属性!$DV436-1+FF$3)*20+卡牌属性!$DX436)</f>
        <v>189</v>
      </c>
      <c r="FG436" s="14">
        <f>INDEX(属性偏向!$U$4:$U$243,(卡牌属性!$DV436-1+FG$3)*20+卡牌属性!$DX436)</f>
        <v>270</v>
      </c>
      <c r="FH436" s="14">
        <f>INDEX(属性投放!$BQ$6:$BQ$85,(卡牌属性!$DW436-2)*20+卡牌属性!$DX436)</f>
        <v>350</v>
      </c>
      <c r="FI436" s="14">
        <f>INDEX(属性投放!$BQ$6:$BQ$85,(卡牌属性!$DW436-2)*20+卡牌属性!$DX436)</f>
        <v>350</v>
      </c>
      <c r="FJ436" s="14">
        <f>INDEX(属性投放!$BQ$6:$BQ$85,(卡牌属性!$DW436-2)*20+卡牌属性!$DX436)</f>
        <v>350</v>
      </c>
      <c r="FK436" s="14">
        <f>INDEX(属性投放!$BQ$6:$BQ$85,(卡牌属性!$DW436-2)*20+卡牌属性!$DX436)</f>
        <v>350</v>
      </c>
      <c r="FL436" s="14">
        <f>INDEX(属性投放!$BQ$6:$BQ$85,(卡牌属性!$DW436-2)*20+卡牌属性!$DX436)</f>
        <v>350</v>
      </c>
      <c r="FM436" s="14">
        <f>INDEX(属性投放!$BR$6:$BR$85,(卡牌属性!$DW436-2)*20+卡牌属性!$DX436)</f>
        <v>175</v>
      </c>
      <c r="FN436" s="14">
        <f>INDEX(属性投放!$BR$6:$BR$85,(卡牌属性!$DW436-2)*20+卡牌属性!$DX436)</f>
        <v>175</v>
      </c>
      <c r="FO436" s="14">
        <f>INDEX(属性投放!$BR$6:$BR$85,(卡牌属性!$DW436-2)*20+卡牌属性!$DX436)</f>
        <v>175</v>
      </c>
      <c r="FP436" s="14">
        <f>INDEX(属性投放!$BR$6:$BR$85,(卡牌属性!$DW436-2)*20+卡牌属性!$DX436)</f>
        <v>175</v>
      </c>
      <c r="FQ436" s="14">
        <f>INDEX(属性投放!$BR$6:$BR$85,(卡牌属性!$DW436-2)*20+卡牌属性!$DX436)</f>
        <v>175</v>
      </c>
      <c r="FR436" s="14">
        <f>INDEX(属性投放!$BS$6:$BS$85,(卡牌属性!$DW436-2)*20+卡牌属性!$DX436)</f>
        <v>3150</v>
      </c>
      <c r="FS436" s="14">
        <f>INDEX(属性投放!$BS$6:$BS$85,(卡牌属性!$DW436-2)*20+卡牌属性!$DX436)</f>
        <v>3150</v>
      </c>
      <c r="FT436" s="14">
        <f>INDEX(属性投放!$BS$6:$BS$85,(卡牌属性!$DW436-2)*20+卡牌属性!$DX436)</f>
        <v>3150</v>
      </c>
      <c r="FU436" s="14">
        <f>INDEX(属性投放!$BS$6:$BS$85,(卡牌属性!$DW436-2)*20+卡牌属性!$DX436)</f>
        <v>3150</v>
      </c>
      <c r="FV436" s="14">
        <f>INDEX(属性投放!$BS$6:$BS$85,(卡牌属性!$DW436-2)*20+卡牌属性!$DX436)</f>
        <v>3150</v>
      </c>
    </row>
    <row r="437" spans="31:178" ht="16.5" x14ac:dyDescent="0.2">
      <c r="AE437" s="13">
        <v>433</v>
      </c>
      <c r="AF437" s="13">
        <f t="shared" si="753"/>
        <v>22</v>
      </c>
      <c r="AG437" s="13">
        <f t="shared" si="740"/>
        <v>3</v>
      </c>
      <c r="AH437" s="13"/>
      <c r="AI437" s="13"/>
      <c r="AJ437" s="14">
        <f t="shared" si="741"/>
        <v>1101030</v>
      </c>
      <c r="AK437" s="14" t="str">
        <f t="shared" si="742"/>
        <v>卢天佑13突</v>
      </c>
      <c r="AL437" s="25" t="s">
        <v>142</v>
      </c>
      <c r="AM437" s="14">
        <v>1</v>
      </c>
      <c r="AN437" s="14">
        <f t="shared" si="743"/>
        <v>13</v>
      </c>
      <c r="AO437" s="14">
        <f>INDEX(属性投放!$DF$6:$DF$85,(卡牌属性!AG437-2)*20+卡牌属性!AN437)</f>
        <v>5664</v>
      </c>
      <c r="AP437" s="14">
        <f t="shared" si="784"/>
        <v>5664</v>
      </c>
      <c r="AQ437" s="14">
        <f t="shared" si="784"/>
        <v>5664</v>
      </c>
      <c r="AR437" s="14">
        <f t="shared" si="784"/>
        <v>5664</v>
      </c>
      <c r="AS437" s="14">
        <f t="shared" si="784"/>
        <v>5664</v>
      </c>
      <c r="AT437" s="14">
        <f>INDEX(属性投放!$DG$6:$DG$85,(卡牌属性!AG437-2)*20+卡牌属性!AN437)</f>
        <v>2770</v>
      </c>
      <c r="AU437" s="14">
        <f t="shared" si="785"/>
        <v>2770</v>
      </c>
      <c r="AV437" s="14">
        <f t="shared" si="785"/>
        <v>2770</v>
      </c>
      <c r="AW437" s="14">
        <f t="shared" si="785"/>
        <v>2770</v>
      </c>
      <c r="AX437" s="14">
        <f t="shared" si="785"/>
        <v>2770</v>
      </c>
      <c r="AY437" s="14">
        <f>INDEX(属性投放!$DH$6:$DH$85,(卡牌属性!AG437-2)*20+卡牌属性!AN437)</f>
        <v>45768</v>
      </c>
      <c r="AZ437" s="14">
        <f t="shared" si="786"/>
        <v>45768</v>
      </c>
      <c r="BA437" s="14">
        <f t="shared" si="786"/>
        <v>45768</v>
      </c>
      <c r="BB437" s="14">
        <f t="shared" si="786"/>
        <v>45768</v>
      </c>
      <c r="BC437" s="14">
        <f t="shared" si="786"/>
        <v>45768</v>
      </c>
      <c r="BD437" s="14">
        <f>INDEX(属性投放!$DL$6:$DL$85,(卡牌属性!AG437-2)*20+卡牌属性!AN437)</f>
        <v>176</v>
      </c>
      <c r="BE437" s="14">
        <f t="shared" si="787"/>
        <v>176</v>
      </c>
      <c r="BF437" s="14">
        <f t="shared" si="787"/>
        <v>176</v>
      </c>
      <c r="BG437" s="14">
        <f t="shared" si="787"/>
        <v>176</v>
      </c>
      <c r="BH437" s="14">
        <f t="shared" si="787"/>
        <v>176</v>
      </c>
      <c r="BI437" s="14">
        <f>INDEX(属性投放!$DM$6:$DM$85,(卡牌属性!AG437-2)*20+卡牌属性!AN437)</f>
        <v>88</v>
      </c>
      <c r="BJ437" s="14">
        <f t="shared" si="788"/>
        <v>88</v>
      </c>
      <c r="BK437" s="14">
        <f t="shared" si="788"/>
        <v>88</v>
      </c>
      <c r="BL437" s="14">
        <f t="shared" si="788"/>
        <v>88</v>
      </c>
      <c r="BM437" s="14">
        <f t="shared" si="788"/>
        <v>88</v>
      </c>
      <c r="BN437" s="14">
        <f>INDEX(属性投放!$DN$6:$DN$85,(卡牌属性!AG437-2)*20+卡牌属性!AN437)</f>
        <v>1759</v>
      </c>
      <c r="BO437" s="14">
        <f t="shared" si="789"/>
        <v>1759</v>
      </c>
      <c r="BP437" s="14">
        <f t="shared" si="789"/>
        <v>1759</v>
      </c>
      <c r="BQ437" s="14">
        <f t="shared" si="789"/>
        <v>1759</v>
      </c>
      <c r="BR437" s="14">
        <f t="shared" si="789"/>
        <v>1759</v>
      </c>
      <c r="BW437" s="13">
        <v>433</v>
      </c>
      <c r="BX437" s="13">
        <f t="shared" si="744"/>
        <v>22</v>
      </c>
      <c r="BY437" s="14">
        <f t="shared" si="745"/>
        <v>2</v>
      </c>
      <c r="BZ437" s="14">
        <f t="shared" si="754"/>
        <v>1102050</v>
      </c>
      <c r="CA437" s="14" t="str">
        <f t="shared" si="755"/>
        <v>柠檬精13突</v>
      </c>
      <c r="CB437" s="25" t="s">
        <v>142</v>
      </c>
      <c r="CC437" s="14">
        <v>2</v>
      </c>
      <c r="CD437" s="14">
        <f t="shared" si="746"/>
        <v>13</v>
      </c>
      <c r="CE437" s="14" t="s">
        <v>21</v>
      </c>
      <c r="CF437" s="14">
        <f>INDEX(属性投放!$AZ$6:$AZ$85,(BY437-2)*20+CD437)</f>
        <v>4270</v>
      </c>
      <c r="CG437" s="14" t="s">
        <v>22</v>
      </c>
      <c r="CH437" s="14">
        <f>INDEX(属性投放!$BA$6:$BA$85,(BY437-2)*20+CD437)</f>
        <v>2091</v>
      </c>
      <c r="CI437" s="14" t="s">
        <v>510</v>
      </c>
      <c r="CJ437" s="14">
        <f>INDEX(属性投放!$BB$6:$BB$85,(BY437-2)*20+CD437)</f>
        <v>34508</v>
      </c>
      <c r="CK437" s="14" t="s">
        <v>21</v>
      </c>
      <c r="CL437" s="14">
        <f>INDEX(属性投放!$BC$6:$BC$85,(BY437-2)*20+CD437)</f>
        <v>15</v>
      </c>
      <c r="CM437" s="14" t="s">
        <v>22</v>
      </c>
      <c r="CN437" s="14">
        <f>INDEX(属性投放!$BD$6:$BD$85,(BY437-2)*20+CD437)</f>
        <v>8</v>
      </c>
      <c r="CO437" s="14" t="s">
        <v>510</v>
      </c>
      <c r="CP437" s="14">
        <f>INDEX(属性投放!$BE$6:$BE$85,(BY437-2)*20+CD437)</f>
        <v>150</v>
      </c>
      <c r="CS437" s="13">
        <v>433</v>
      </c>
      <c r="CT437" s="13">
        <f t="shared" si="756"/>
        <v>9</v>
      </c>
      <c r="CU437" s="13">
        <f t="shared" si="757"/>
        <v>17</v>
      </c>
      <c r="CV437" s="14">
        <f t="shared" si="758"/>
        <v>3</v>
      </c>
      <c r="CW437" s="14">
        <f t="shared" si="759"/>
        <v>1102009</v>
      </c>
      <c r="CX437" s="14" t="str">
        <f>INDEX($O$6:$O$50,CT437)&amp;"-"&amp;INDEX(属性投放!$AB$7:$AB$50,CZ437)&amp;"-魂火-"&amp;DB437</f>
        <v>徐晃-叫唤+2-魂火-2</v>
      </c>
      <c r="CY437" s="25" t="s">
        <v>142</v>
      </c>
      <c r="CZ437" s="14">
        <f>INDEX(属性投放!$AM$7:$AM$58,CU437)</f>
        <v>9</v>
      </c>
      <c r="DA437" s="14" t="s">
        <v>537</v>
      </c>
      <c r="DB437" s="14">
        <f>INDEX(属性投放!$AN$7:$AN$58,CU437)</f>
        <v>2</v>
      </c>
      <c r="DC437" s="14">
        <f t="shared" si="747"/>
        <v>17</v>
      </c>
      <c r="DD437" s="14">
        <f>INDEX(属性投放!$AO$7:$AO$58,DC437)</f>
        <v>60</v>
      </c>
      <c r="DE437" s="14" t="s">
        <v>538</v>
      </c>
      <c r="DF437" s="14">
        <f>INDEX(属性投放!$BK$6:$BK$85,(CV437-2)*20+CZ437)</f>
        <v>100</v>
      </c>
      <c r="DG437" s="14">
        <f>SUMIFS(DF$5:DF437,$CT$5:$CT437,"="&amp;$CT437)</f>
        <v>910</v>
      </c>
      <c r="DH437" s="14" t="s">
        <v>539</v>
      </c>
      <c r="DI437" s="14">
        <f>INDEX(属性投放!$BL$6:$BL$85,(CV437-2)*20+CZ437)</f>
        <v>50</v>
      </c>
      <c r="DJ437" s="14">
        <f>SUMIFS(DI$5:DI437,$CT$5:$CT437,"="&amp;$CT437)</f>
        <v>458</v>
      </c>
      <c r="DK437" s="14" t="s">
        <v>540</v>
      </c>
      <c r="DL437" s="14">
        <f>INDEX(属性投放!$BM$6:$BM$85,(CV437-2)*20+CZ437)</f>
        <v>800</v>
      </c>
      <c r="DM437" s="14">
        <f>SUMIFS(DL$5:DL437,$CT$5:$CT437,"="&amp;$CT437)</f>
        <v>6750</v>
      </c>
      <c r="DR437" s="14">
        <f t="shared" si="748"/>
        <v>1102050</v>
      </c>
      <c r="DS437" s="14" t="str">
        <f t="shared" si="749"/>
        <v>柠檬精13突</v>
      </c>
      <c r="DT437" s="14">
        <f t="shared" si="760"/>
        <v>3</v>
      </c>
      <c r="DU437" s="14">
        <f t="shared" si="761"/>
        <v>1</v>
      </c>
      <c r="DV437" s="14">
        <f t="shared" si="762"/>
        <v>4</v>
      </c>
      <c r="DW437" s="14">
        <f t="shared" si="750"/>
        <v>2</v>
      </c>
      <c r="DX437" s="14">
        <f t="shared" si="751"/>
        <v>13</v>
      </c>
      <c r="DY437" s="14">
        <f t="shared" si="752"/>
        <v>13</v>
      </c>
      <c r="DZ437" s="14">
        <f>INDEX(属性投放!$AX$6:$AX$85,(卡牌属性!DW437-2)*20+卡牌属性!DX437)</f>
        <v>8</v>
      </c>
      <c r="EA437" s="14">
        <f>INDEX(属性投放!BQ$6:BQ$85,卡牌属性!$DY437)</f>
        <v>350</v>
      </c>
      <c r="EB437" s="14">
        <f>INDEX(属性投放!BR$6:BR$85,卡牌属性!$DY437)</f>
        <v>175</v>
      </c>
      <c r="EC437" s="14">
        <f>INDEX(属性投放!BS$6:BS$85,卡牌属性!$DY437)</f>
        <v>3500</v>
      </c>
      <c r="ED437" s="14">
        <f t="shared" si="790"/>
        <v>2265</v>
      </c>
      <c r="EE437" s="14">
        <f t="shared" si="791"/>
        <v>2480</v>
      </c>
      <c r="EF437" s="14">
        <f t="shared" si="792"/>
        <v>2761</v>
      </c>
      <c r="EG437" s="14">
        <f t="shared" si="793"/>
        <v>2761</v>
      </c>
      <c r="EH437" s="14">
        <f t="shared" si="794"/>
        <v>2896</v>
      </c>
      <c r="EI437" s="14">
        <f t="shared" si="795"/>
        <v>959</v>
      </c>
      <c r="EJ437" s="14">
        <f t="shared" si="796"/>
        <v>1024</v>
      </c>
      <c r="EK437" s="14">
        <f t="shared" si="797"/>
        <v>1024</v>
      </c>
      <c r="EL437" s="14">
        <f t="shared" si="798"/>
        <v>1095</v>
      </c>
      <c r="EM437" s="14">
        <f t="shared" si="799"/>
        <v>1209</v>
      </c>
      <c r="EN437" s="14">
        <f t="shared" si="800"/>
        <v>19242</v>
      </c>
      <c r="EO437" s="14">
        <f t="shared" si="801"/>
        <v>21360</v>
      </c>
      <c r="EP437" s="14">
        <f t="shared" si="802"/>
        <v>21360</v>
      </c>
      <c r="EQ437" s="14">
        <f t="shared" si="803"/>
        <v>22294</v>
      </c>
      <c r="ER437" s="14">
        <f t="shared" si="804"/>
        <v>27008</v>
      </c>
      <c r="ES437" s="14">
        <f>INDEX(属性偏向!$S$4:$S$243,(卡牌属性!$DT437-1+ES$3)*20+卡牌属性!$DX437)</f>
        <v>15</v>
      </c>
      <c r="ET437" s="14">
        <f>INDEX(属性偏向!$S$4:$S$243,(卡牌属性!$DT437-1+ET$3)*20+卡牌属性!$DX437)</f>
        <v>20</v>
      </c>
      <c r="EU437" s="14">
        <f>INDEX(属性偏向!$S$4:$S$243,(卡牌属性!$DT437-1+EU$3)*20+卡牌属性!$DX437)</f>
        <v>25</v>
      </c>
      <c r="EV437" s="14">
        <f>INDEX(属性偏向!$S$4:$S$243,(卡牌属性!$DT437-1+EV$3)*20+卡牌属性!$DX437)</f>
        <v>25</v>
      </c>
      <c r="EW437" s="14">
        <f>INDEX(属性偏向!$S$4:$S$243,(卡牌属性!$DT437-1+EW$3)*20+卡牌属性!$DX437)</f>
        <v>26</v>
      </c>
      <c r="EX437" s="14">
        <f>INDEX(属性偏向!$T$4:$T$243,(卡牌属性!$DU437-1+EX$3)*20+卡牌属性!$DX437)</f>
        <v>5</v>
      </c>
      <c r="EY437" s="14">
        <f>INDEX(属性偏向!$T$4:$T$243,(卡牌属性!$DU437-1+EY$3)*20+卡牌属性!$DX437)</f>
        <v>6</v>
      </c>
      <c r="EZ437" s="14">
        <f>INDEX(属性偏向!$T$4:$T$243,(卡牌属性!$DU437-1+EZ$3)*20+卡牌属性!$DX437)</f>
        <v>6</v>
      </c>
      <c r="FA437" s="14">
        <f>INDEX(属性偏向!$T$4:$T$243,(卡牌属性!$DU437-1+FA$3)*20+卡牌属性!$DX437)</f>
        <v>8</v>
      </c>
      <c r="FB437" s="14">
        <f>INDEX(属性偏向!$T$4:$T$243,(卡牌属性!$DU437-1+FB$3)*20+卡牌属性!$DX437)</f>
        <v>10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INDEX(属性投放!$BQ$6:$BQ$85,(卡牌属性!$DW437-2)*20+卡牌属性!$DX437)</f>
        <v>350</v>
      </c>
      <c r="FI437" s="14">
        <f>INDEX(属性投放!$BQ$6:$BQ$85,(卡牌属性!$DW437-2)*20+卡牌属性!$DX437)</f>
        <v>350</v>
      </c>
      <c r="FJ437" s="14">
        <f>INDEX(属性投放!$BQ$6:$BQ$85,(卡牌属性!$DW437-2)*20+卡牌属性!$DX437)</f>
        <v>350</v>
      </c>
      <c r="FK437" s="14">
        <f>INDEX(属性投放!$BQ$6:$BQ$85,(卡牌属性!$DW437-2)*20+卡牌属性!$DX437)</f>
        <v>350</v>
      </c>
      <c r="FL437" s="14">
        <f>INDEX(属性投放!$BQ$6:$BQ$85,(卡牌属性!$DW437-2)*20+卡牌属性!$DX437)</f>
        <v>350</v>
      </c>
      <c r="FM437" s="14">
        <f>INDEX(属性投放!$BR$6:$BR$85,(卡牌属性!$DW437-2)*20+卡牌属性!$DX437)</f>
        <v>175</v>
      </c>
      <c r="FN437" s="14">
        <f>INDEX(属性投放!$BR$6:$BR$85,(卡牌属性!$DW437-2)*20+卡牌属性!$DX437)</f>
        <v>175</v>
      </c>
      <c r="FO437" s="14">
        <f>INDEX(属性投放!$BR$6:$BR$85,(卡牌属性!$DW437-2)*20+卡牌属性!$DX437)</f>
        <v>175</v>
      </c>
      <c r="FP437" s="14">
        <f>INDEX(属性投放!$BR$6:$BR$85,(卡牌属性!$DW437-2)*20+卡牌属性!$DX437)</f>
        <v>175</v>
      </c>
      <c r="FQ437" s="14">
        <f>INDEX(属性投放!$BR$6:$BR$85,(卡牌属性!$DW437-2)*20+卡牌属性!$DX437)</f>
        <v>175</v>
      </c>
      <c r="FR437" s="14">
        <f>INDEX(属性投放!$BS$6:$BS$85,(卡牌属性!$DW437-2)*20+卡牌属性!$DX437)</f>
        <v>3500</v>
      </c>
      <c r="FS437" s="14">
        <f>INDEX(属性投放!$BS$6:$BS$85,(卡牌属性!$DW437-2)*20+卡牌属性!$DX437)</f>
        <v>3500</v>
      </c>
      <c r="FT437" s="14">
        <f>INDEX(属性投放!$BS$6:$BS$85,(卡牌属性!$DW437-2)*20+卡牌属性!$DX437)</f>
        <v>3500</v>
      </c>
      <c r="FU437" s="14">
        <f>INDEX(属性投放!$BS$6:$BS$85,(卡牌属性!$DW437-2)*20+卡牌属性!$DX437)</f>
        <v>3500</v>
      </c>
      <c r="FV437" s="14">
        <f>INDEX(属性投放!$BS$6:$BS$85,(卡牌属性!$DW437-2)*20+卡牌属性!$DX437)</f>
        <v>3500</v>
      </c>
    </row>
    <row r="438" spans="31:178" ht="16.5" x14ac:dyDescent="0.2">
      <c r="AE438" s="13">
        <v>434</v>
      </c>
      <c r="AF438" s="13">
        <f t="shared" si="753"/>
        <v>22</v>
      </c>
      <c r="AG438" s="13">
        <f t="shared" si="740"/>
        <v>3</v>
      </c>
      <c r="AH438" s="13"/>
      <c r="AI438" s="13"/>
      <c r="AJ438" s="14">
        <f t="shared" si="741"/>
        <v>1101030</v>
      </c>
      <c r="AK438" s="14" t="str">
        <f t="shared" si="742"/>
        <v>卢天佑14突</v>
      </c>
      <c r="AL438" s="25" t="s">
        <v>142</v>
      </c>
      <c r="AM438" s="14">
        <v>1</v>
      </c>
      <c r="AN438" s="14">
        <f t="shared" si="743"/>
        <v>14</v>
      </c>
      <c r="AO438" s="14">
        <f>INDEX(属性投放!$DF$6:$DF$85,(卡牌属性!AG438-2)*20+卡牌属性!AN438)</f>
        <v>6167</v>
      </c>
      <c r="AP438" s="14">
        <f t="shared" si="784"/>
        <v>6167</v>
      </c>
      <c r="AQ438" s="14">
        <f t="shared" si="784"/>
        <v>6167</v>
      </c>
      <c r="AR438" s="14">
        <f t="shared" si="784"/>
        <v>6167</v>
      </c>
      <c r="AS438" s="14">
        <f t="shared" si="784"/>
        <v>6167</v>
      </c>
      <c r="AT438" s="14">
        <f>INDEX(属性投放!$DG$6:$DG$85,(卡牌属性!AG438-2)*20+卡牌属性!AN438)</f>
        <v>3022</v>
      </c>
      <c r="AU438" s="14">
        <f t="shared" si="785"/>
        <v>3022</v>
      </c>
      <c r="AV438" s="14">
        <f t="shared" si="785"/>
        <v>3022</v>
      </c>
      <c r="AW438" s="14">
        <f t="shared" si="785"/>
        <v>3022</v>
      </c>
      <c r="AX438" s="14">
        <f t="shared" si="785"/>
        <v>3022</v>
      </c>
      <c r="AY438" s="14">
        <f>INDEX(属性投放!$DH$6:$DH$85,(卡牌属性!AG438-2)*20+卡牌属性!AN438)</f>
        <v>50793</v>
      </c>
      <c r="AZ438" s="14">
        <f t="shared" si="786"/>
        <v>50793</v>
      </c>
      <c r="BA438" s="14">
        <f t="shared" si="786"/>
        <v>50793</v>
      </c>
      <c r="BB438" s="14">
        <f t="shared" si="786"/>
        <v>50793</v>
      </c>
      <c r="BC438" s="14">
        <f t="shared" si="786"/>
        <v>50793</v>
      </c>
      <c r="BD438" s="14">
        <f>INDEX(属性投放!$DL$6:$DL$85,(卡牌属性!AG438-2)*20+卡牌属性!AN438)</f>
        <v>176</v>
      </c>
      <c r="BE438" s="14">
        <f t="shared" si="787"/>
        <v>176</v>
      </c>
      <c r="BF438" s="14">
        <f t="shared" si="787"/>
        <v>176</v>
      </c>
      <c r="BG438" s="14">
        <f t="shared" si="787"/>
        <v>176</v>
      </c>
      <c r="BH438" s="14">
        <f t="shared" si="787"/>
        <v>176</v>
      </c>
      <c r="BI438" s="14">
        <f>INDEX(属性投放!$DM$6:$DM$85,(卡牌属性!AG438-2)*20+卡牌属性!AN438)</f>
        <v>88</v>
      </c>
      <c r="BJ438" s="14">
        <f t="shared" si="788"/>
        <v>88</v>
      </c>
      <c r="BK438" s="14">
        <f t="shared" si="788"/>
        <v>88</v>
      </c>
      <c r="BL438" s="14">
        <f t="shared" si="788"/>
        <v>88</v>
      </c>
      <c r="BM438" s="14">
        <f t="shared" si="788"/>
        <v>88</v>
      </c>
      <c r="BN438" s="14">
        <f>INDEX(属性投放!$DN$6:$DN$85,(卡牌属性!AG438-2)*20+卡牌属性!AN438)</f>
        <v>1759</v>
      </c>
      <c r="BO438" s="14">
        <f t="shared" si="789"/>
        <v>1759</v>
      </c>
      <c r="BP438" s="14">
        <f t="shared" si="789"/>
        <v>1759</v>
      </c>
      <c r="BQ438" s="14">
        <f t="shared" si="789"/>
        <v>1759</v>
      </c>
      <c r="BR438" s="14">
        <f t="shared" si="789"/>
        <v>1759</v>
      </c>
      <c r="BW438" s="13">
        <v>434</v>
      </c>
      <c r="BX438" s="13">
        <f t="shared" si="744"/>
        <v>22</v>
      </c>
      <c r="BY438" s="14">
        <f t="shared" si="745"/>
        <v>2</v>
      </c>
      <c r="BZ438" s="14">
        <f t="shared" si="754"/>
        <v>1102050</v>
      </c>
      <c r="CA438" s="14" t="str">
        <f t="shared" si="755"/>
        <v>柠檬精14突</v>
      </c>
      <c r="CB438" s="25" t="s">
        <v>142</v>
      </c>
      <c r="CC438" s="14">
        <v>2</v>
      </c>
      <c r="CD438" s="14">
        <f t="shared" si="746"/>
        <v>14</v>
      </c>
      <c r="CE438" s="14" t="s">
        <v>21</v>
      </c>
      <c r="CF438" s="14">
        <f>INDEX(属性投放!$AZ$6:$AZ$85,(BY438-2)*20+CD438)</f>
        <v>5400</v>
      </c>
      <c r="CG438" s="14" t="s">
        <v>22</v>
      </c>
      <c r="CH438" s="14">
        <f>INDEX(属性投放!$BA$6:$BA$85,(BY438-2)*20+CD438)</f>
        <v>2660</v>
      </c>
      <c r="CI438" s="14" t="s">
        <v>510</v>
      </c>
      <c r="CJ438" s="14">
        <f>INDEX(属性投放!$BB$6:$BB$85,(BY438-2)*20+CD438)</f>
        <v>45808</v>
      </c>
      <c r="CK438" s="14" t="s">
        <v>21</v>
      </c>
      <c r="CL438" s="14">
        <f>INDEX(属性投放!$BC$6:$BC$85,(BY438-2)*20+CD438)</f>
        <v>15</v>
      </c>
      <c r="CM438" s="14" t="s">
        <v>22</v>
      </c>
      <c r="CN438" s="14">
        <f>INDEX(属性投放!$BD$6:$BD$85,(BY438-2)*20+CD438)</f>
        <v>8</v>
      </c>
      <c r="CO438" s="14" t="s">
        <v>510</v>
      </c>
      <c r="CP438" s="14">
        <f>INDEX(属性投放!$BE$6:$BE$85,(BY438-2)*20+CD438)</f>
        <v>150</v>
      </c>
      <c r="CS438" s="13">
        <v>434</v>
      </c>
      <c r="CT438" s="13">
        <f t="shared" si="756"/>
        <v>9</v>
      </c>
      <c r="CU438" s="13">
        <f t="shared" si="757"/>
        <v>18</v>
      </c>
      <c r="CV438" s="14">
        <f t="shared" si="758"/>
        <v>3</v>
      </c>
      <c r="CW438" s="14">
        <f t="shared" si="759"/>
        <v>1102009</v>
      </c>
      <c r="CX438" s="14" t="str">
        <f>INDEX($O$6:$O$50,CT438)&amp;"-"&amp;INDEX(属性投放!$AB$7:$AB$50,CZ438)&amp;"-魂火-"&amp;DB438</f>
        <v>徐晃-叫唤+2-魂火-3</v>
      </c>
      <c r="CY438" s="25" t="s">
        <v>142</v>
      </c>
      <c r="CZ438" s="14">
        <f>INDEX(属性投放!$AM$7:$AM$58,CU438)</f>
        <v>9</v>
      </c>
      <c r="DA438" s="14" t="s">
        <v>537</v>
      </c>
      <c r="DB438" s="14">
        <f>INDEX(属性投放!$AN$7:$AN$58,CU438)</f>
        <v>3</v>
      </c>
      <c r="DC438" s="14">
        <f t="shared" si="747"/>
        <v>18</v>
      </c>
      <c r="DD438" s="14">
        <f>INDEX(属性投放!$AO$7:$AO$58,DC438)</f>
        <v>63</v>
      </c>
      <c r="DE438" s="14" t="s">
        <v>538</v>
      </c>
      <c r="DF438" s="14">
        <f>INDEX(属性投放!$BK$6:$BK$85,(CV438-2)*20+CZ438)</f>
        <v>100</v>
      </c>
      <c r="DG438" s="14">
        <f>SUMIFS(DF$5:DF438,$CT$5:$CT438,"="&amp;$CT438)</f>
        <v>1010</v>
      </c>
      <c r="DH438" s="14" t="s">
        <v>539</v>
      </c>
      <c r="DI438" s="14">
        <f>INDEX(属性投放!$BL$6:$BL$85,(CV438-2)*20+CZ438)</f>
        <v>50</v>
      </c>
      <c r="DJ438" s="14">
        <f>SUMIFS(DI$5:DI438,$CT$5:$CT438,"="&amp;$CT438)</f>
        <v>508</v>
      </c>
      <c r="DK438" s="14" t="s">
        <v>540</v>
      </c>
      <c r="DL438" s="14">
        <f>INDEX(属性投放!$BM$6:$BM$85,(CV438-2)*20+CZ438)</f>
        <v>800</v>
      </c>
      <c r="DM438" s="14">
        <f>SUMIFS(DL$5:DL438,$CT$5:$CT438,"="&amp;$CT438)</f>
        <v>7550</v>
      </c>
      <c r="DR438" s="14">
        <f t="shared" si="748"/>
        <v>1102050</v>
      </c>
      <c r="DS438" s="14" t="str">
        <f t="shared" si="749"/>
        <v>柠檬精14突</v>
      </c>
      <c r="DT438" s="14">
        <f t="shared" si="760"/>
        <v>3</v>
      </c>
      <c r="DU438" s="14">
        <f t="shared" si="761"/>
        <v>1</v>
      </c>
      <c r="DV438" s="14">
        <f t="shared" si="762"/>
        <v>4</v>
      </c>
      <c r="DW438" s="14">
        <f t="shared" si="750"/>
        <v>2</v>
      </c>
      <c r="DX438" s="14">
        <f t="shared" si="751"/>
        <v>14</v>
      </c>
      <c r="DY438" s="14">
        <f t="shared" si="752"/>
        <v>14</v>
      </c>
      <c r="DZ438" s="14">
        <f>INDEX(属性投放!$AX$6:$AX$85,(卡牌属性!DW438-2)*20+卡牌属性!DX438)</f>
        <v>7</v>
      </c>
      <c r="EA438" s="14">
        <f>INDEX(属性投放!BQ$6:BQ$85,卡牌属性!$DY438)</f>
        <v>400</v>
      </c>
      <c r="EB438" s="14">
        <f>INDEX(属性投放!BR$6:BR$85,卡牌属性!$DY438)</f>
        <v>200</v>
      </c>
      <c r="EC438" s="14">
        <f>INDEX(属性投放!BS$6:BS$85,卡牌属性!$DY438)</f>
        <v>4000</v>
      </c>
      <c r="ED438" s="14">
        <f t="shared" si="790"/>
        <v>2735</v>
      </c>
      <c r="EE438" s="14">
        <f t="shared" si="791"/>
        <v>2990</v>
      </c>
      <c r="EF438" s="14">
        <f t="shared" si="792"/>
        <v>3311</v>
      </c>
      <c r="EG438" s="14">
        <f t="shared" si="793"/>
        <v>3311</v>
      </c>
      <c r="EH438" s="14">
        <f t="shared" si="794"/>
        <v>3454</v>
      </c>
      <c r="EI438" s="14">
        <f t="shared" si="795"/>
        <v>1174</v>
      </c>
      <c r="EJ438" s="14">
        <f t="shared" si="796"/>
        <v>1247</v>
      </c>
      <c r="EK438" s="14">
        <f t="shared" si="797"/>
        <v>1247</v>
      </c>
      <c r="EL438" s="14">
        <f t="shared" si="798"/>
        <v>1334</v>
      </c>
      <c r="EM438" s="14">
        <f t="shared" si="799"/>
        <v>1464</v>
      </c>
      <c r="EN438" s="14">
        <f t="shared" si="800"/>
        <v>24342</v>
      </c>
      <c r="EO438" s="14">
        <f t="shared" si="801"/>
        <v>26860</v>
      </c>
      <c r="EP438" s="14">
        <f t="shared" si="802"/>
        <v>26860</v>
      </c>
      <c r="EQ438" s="14">
        <f t="shared" si="803"/>
        <v>27874</v>
      </c>
      <c r="ER438" s="14">
        <f t="shared" si="804"/>
        <v>33708</v>
      </c>
      <c r="ES438" s="14">
        <f>INDEX(属性偏向!$S$4:$S$243,(卡牌属性!$DT438-1+ES$3)*20+卡牌属性!$DX438)</f>
        <v>15</v>
      </c>
      <c r="ET438" s="14">
        <f>INDEX(属性偏向!$S$4:$S$243,(卡牌属性!$DT438-1+ET$3)*20+卡牌属性!$DX438)</f>
        <v>20</v>
      </c>
      <c r="EU438" s="14">
        <f>INDEX(属性偏向!$S$4:$S$243,(卡牌属性!$DT438-1+EU$3)*20+卡牌属性!$DX438)</f>
        <v>25</v>
      </c>
      <c r="EV438" s="14">
        <f>INDEX(属性偏向!$S$4:$S$243,(卡牌属性!$DT438-1+EV$3)*20+卡牌属性!$DX438)</f>
        <v>25</v>
      </c>
      <c r="EW438" s="14">
        <f>INDEX(属性偏向!$S$4:$S$243,(卡牌属性!$DT438-1+EW$3)*20+卡牌属性!$DX438)</f>
        <v>26</v>
      </c>
      <c r="EX438" s="14">
        <f>INDEX(属性偏向!$T$4:$T$243,(卡牌属性!$DU438-1+EX$3)*20+卡牌属性!$DX438)</f>
        <v>5</v>
      </c>
      <c r="EY438" s="14">
        <f>INDEX(属性偏向!$T$4:$T$243,(卡牌属性!$DU438-1+EY$3)*20+卡牌属性!$DX438)</f>
        <v>6</v>
      </c>
      <c r="EZ438" s="14">
        <f>INDEX(属性偏向!$T$4:$T$243,(卡牌属性!$DU438-1+EZ$3)*20+卡牌属性!$DX438)</f>
        <v>6</v>
      </c>
      <c r="FA438" s="14">
        <f>INDEX(属性偏向!$T$4:$T$243,(卡牌属性!$DU438-1+FA$3)*20+卡牌属性!$DX438)</f>
        <v>8</v>
      </c>
      <c r="FB438" s="14">
        <f>INDEX(属性偏向!$T$4:$T$243,(卡牌属性!$DU438-1+FB$3)*20+卡牌属性!$DX438)</f>
        <v>10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INDEX(属性投放!$BQ$6:$BQ$85,(卡牌属性!$DW438-2)*20+卡牌属性!$DX438)</f>
        <v>400</v>
      </c>
      <c r="FI438" s="14">
        <f>INDEX(属性投放!$BQ$6:$BQ$85,(卡牌属性!$DW438-2)*20+卡牌属性!$DX438)</f>
        <v>400</v>
      </c>
      <c r="FJ438" s="14">
        <f>INDEX(属性投放!$BQ$6:$BQ$85,(卡牌属性!$DW438-2)*20+卡牌属性!$DX438)</f>
        <v>400</v>
      </c>
      <c r="FK438" s="14">
        <f>INDEX(属性投放!$BQ$6:$BQ$85,(卡牌属性!$DW438-2)*20+卡牌属性!$DX438)</f>
        <v>400</v>
      </c>
      <c r="FL438" s="14">
        <f>INDEX(属性投放!$BQ$6:$BQ$85,(卡牌属性!$DW438-2)*20+卡牌属性!$DX438)</f>
        <v>400</v>
      </c>
      <c r="FM438" s="14">
        <f>INDEX(属性投放!$BR$6:$BR$85,(卡牌属性!$DW438-2)*20+卡牌属性!$DX438)</f>
        <v>200</v>
      </c>
      <c r="FN438" s="14">
        <f>INDEX(属性投放!$BR$6:$BR$85,(卡牌属性!$DW438-2)*20+卡牌属性!$DX438)</f>
        <v>200</v>
      </c>
      <c r="FO438" s="14">
        <f>INDEX(属性投放!$BR$6:$BR$85,(卡牌属性!$DW438-2)*20+卡牌属性!$DX438)</f>
        <v>200</v>
      </c>
      <c r="FP438" s="14">
        <f>INDEX(属性投放!$BR$6:$BR$85,(卡牌属性!$DW438-2)*20+卡牌属性!$DX438)</f>
        <v>200</v>
      </c>
      <c r="FQ438" s="14">
        <f>INDEX(属性投放!$BR$6:$BR$85,(卡牌属性!$DW438-2)*20+卡牌属性!$DX438)</f>
        <v>200</v>
      </c>
      <c r="FR438" s="14">
        <f>INDEX(属性投放!$BS$6:$BS$85,(卡牌属性!$DW438-2)*20+卡牌属性!$DX438)</f>
        <v>4000</v>
      </c>
      <c r="FS438" s="14">
        <f>INDEX(属性投放!$BS$6:$BS$85,(卡牌属性!$DW438-2)*20+卡牌属性!$DX438)</f>
        <v>4000</v>
      </c>
      <c r="FT438" s="14">
        <f>INDEX(属性投放!$BS$6:$BS$85,(卡牌属性!$DW438-2)*20+卡牌属性!$DX438)</f>
        <v>4000</v>
      </c>
      <c r="FU438" s="14">
        <f>INDEX(属性投放!$BS$6:$BS$85,(卡牌属性!$DW438-2)*20+卡牌属性!$DX438)</f>
        <v>4000</v>
      </c>
      <c r="FV438" s="14">
        <f>INDEX(属性投放!$BS$6:$BS$85,(卡牌属性!$DW438-2)*20+卡牌属性!$DX438)</f>
        <v>4000</v>
      </c>
    </row>
    <row r="439" spans="31:178" ht="16.5" x14ac:dyDescent="0.2">
      <c r="AE439" s="13">
        <v>435</v>
      </c>
      <c r="AF439" s="13">
        <f t="shared" si="753"/>
        <v>22</v>
      </c>
      <c r="AG439" s="13">
        <f t="shared" si="740"/>
        <v>3</v>
      </c>
      <c r="AH439" s="13"/>
      <c r="AI439" s="13"/>
      <c r="AJ439" s="14">
        <f t="shared" si="741"/>
        <v>1101030</v>
      </c>
      <c r="AK439" s="14" t="str">
        <f t="shared" si="742"/>
        <v>卢天佑15突</v>
      </c>
      <c r="AL439" s="25" t="s">
        <v>142</v>
      </c>
      <c r="AM439" s="14">
        <v>1</v>
      </c>
      <c r="AN439" s="14">
        <f t="shared" si="743"/>
        <v>15</v>
      </c>
      <c r="AO439" s="14">
        <f>INDEX(属性投放!$DF$6:$DF$85,(卡牌属性!AG439-2)*20+卡牌属性!AN439)</f>
        <v>6670</v>
      </c>
      <c r="AP439" s="14">
        <f t="shared" si="784"/>
        <v>6670</v>
      </c>
      <c r="AQ439" s="14">
        <f t="shared" si="784"/>
        <v>6670</v>
      </c>
      <c r="AR439" s="14">
        <f t="shared" si="784"/>
        <v>6670</v>
      </c>
      <c r="AS439" s="14">
        <f t="shared" si="784"/>
        <v>6670</v>
      </c>
      <c r="AT439" s="14">
        <f>INDEX(属性投放!$DG$6:$DG$85,(卡牌属性!AG439-2)*20+卡牌属性!AN439)</f>
        <v>3274</v>
      </c>
      <c r="AU439" s="14">
        <f t="shared" si="785"/>
        <v>3274</v>
      </c>
      <c r="AV439" s="14">
        <f t="shared" si="785"/>
        <v>3274</v>
      </c>
      <c r="AW439" s="14">
        <f t="shared" si="785"/>
        <v>3274</v>
      </c>
      <c r="AX439" s="14">
        <f t="shared" si="785"/>
        <v>3274</v>
      </c>
      <c r="AY439" s="14">
        <f>INDEX(属性投放!$DH$6:$DH$85,(卡牌属性!AG439-2)*20+卡牌属性!AN439)</f>
        <v>55818</v>
      </c>
      <c r="AZ439" s="14">
        <f t="shared" si="786"/>
        <v>55818</v>
      </c>
      <c r="BA439" s="14">
        <f t="shared" si="786"/>
        <v>55818</v>
      </c>
      <c r="BB439" s="14">
        <f t="shared" si="786"/>
        <v>55818</v>
      </c>
      <c r="BC439" s="14">
        <f t="shared" si="786"/>
        <v>55818</v>
      </c>
      <c r="BD439" s="14">
        <f>INDEX(属性投放!$DL$6:$DL$85,(卡牌属性!AG439-2)*20+卡牌属性!AN439)</f>
        <v>176</v>
      </c>
      <c r="BE439" s="14">
        <f t="shared" si="787"/>
        <v>176</v>
      </c>
      <c r="BF439" s="14">
        <f t="shared" si="787"/>
        <v>176</v>
      </c>
      <c r="BG439" s="14">
        <f t="shared" si="787"/>
        <v>176</v>
      </c>
      <c r="BH439" s="14">
        <f t="shared" si="787"/>
        <v>176</v>
      </c>
      <c r="BI439" s="14">
        <f>INDEX(属性投放!$DM$6:$DM$85,(卡牌属性!AG439-2)*20+卡牌属性!AN439)</f>
        <v>88</v>
      </c>
      <c r="BJ439" s="14">
        <f t="shared" si="788"/>
        <v>88</v>
      </c>
      <c r="BK439" s="14">
        <f t="shared" si="788"/>
        <v>88</v>
      </c>
      <c r="BL439" s="14">
        <f t="shared" si="788"/>
        <v>88</v>
      </c>
      <c r="BM439" s="14">
        <f t="shared" si="788"/>
        <v>88</v>
      </c>
      <c r="BN439" s="14">
        <f>INDEX(属性投放!$DN$6:$DN$85,(卡牌属性!AG439-2)*20+卡牌属性!AN439)</f>
        <v>1759</v>
      </c>
      <c r="BO439" s="14">
        <f t="shared" si="789"/>
        <v>1759</v>
      </c>
      <c r="BP439" s="14">
        <f t="shared" si="789"/>
        <v>1759</v>
      </c>
      <c r="BQ439" s="14">
        <f t="shared" si="789"/>
        <v>1759</v>
      </c>
      <c r="BR439" s="14">
        <f t="shared" si="789"/>
        <v>1759</v>
      </c>
      <c r="BW439" s="13">
        <v>435</v>
      </c>
      <c r="BX439" s="13">
        <f t="shared" si="744"/>
        <v>22</v>
      </c>
      <c r="BY439" s="14">
        <f t="shared" si="745"/>
        <v>2</v>
      </c>
      <c r="BZ439" s="14">
        <f t="shared" si="754"/>
        <v>1102050</v>
      </c>
      <c r="CA439" s="14" t="str">
        <f t="shared" si="755"/>
        <v>柠檬精15突</v>
      </c>
      <c r="CB439" s="25" t="s">
        <v>142</v>
      </c>
      <c r="CC439" s="14">
        <v>2</v>
      </c>
      <c r="CD439" s="14">
        <f t="shared" si="746"/>
        <v>15</v>
      </c>
      <c r="CE439" s="14" t="s">
        <v>21</v>
      </c>
      <c r="CF439" s="14">
        <f>INDEX(属性投放!$AZ$6:$AZ$85,(BY439-2)*20+CD439)</f>
        <v>6715</v>
      </c>
      <c r="CG439" s="14" t="s">
        <v>22</v>
      </c>
      <c r="CH439" s="14">
        <f>INDEX(属性投放!$BA$6:$BA$85,(BY439-2)*20+CD439)</f>
        <v>3321</v>
      </c>
      <c r="CI439" s="14" t="s">
        <v>510</v>
      </c>
      <c r="CJ439" s="14">
        <f>INDEX(属性投放!$BB$6:$BB$85,(BY439-2)*20+CD439)</f>
        <v>58958</v>
      </c>
      <c r="CK439" s="14" t="s">
        <v>21</v>
      </c>
      <c r="CL439" s="14">
        <f>INDEX(属性投放!$BC$6:$BC$85,(BY439-2)*20+CD439)</f>
        <v>15</v>
      </c>
      <c r="CM439" s="14" t="s">
        <v>22</v>
      </c>
      <c r="CN439" s="14">
        <f>INDEX(属性投放!$BD$6:$BD$85,(BY439-2)*20+CD439)</f>
        <v>8</v>
      </c>
      <c r="CO439" s="14" t="s">
        <v>510</v>
      </c>
      <c r="CP439" s="14">
        <f>INDEX(属性投放!$BE$6:$BE$85,(BY439-2)*20+CD439)</f>
        <v>150</v>
      </c>
      <c r="CS439" s="13">
        <v>435</v>
      </c>
      <c r="CT439" s="13">
        <f t="shared" si="756"/>
        <v>9</v>
      </c>
      <c r="CU439" s="13">
        <f t="shared" si="757"/>
        <v>19</v>
      </c>
      <c r="CV439" s="14">
        <f t="shared" si="758"/>
        <v>3</v>
      </c>
      <c r="CW439" s="14">
        <f t="shared" si="759"/>
        <v>1102009</v>
      </c>
      <c r="CX439" s="14" t="str">
        <f>INDEX($O$6:$O$50,CT439)&amp;"-"&amp;INDEX(属性投放!$AB$7:$AB$50,CZ439)&amp;"-魂火-"&amp;DB439</f>
        <v>徐晃-大叫唤-魂火-1</v>
      </c>
      <c r="CY439" s="25" t="s">
        <v>142</v>
      </c>
      <c r="CZ439" s="14">
        <f>INDEX(属性投放!$AM$7:$AM$58,CU439)</f>
        <v>10</v>
      </c>
      <c r="DA439" s="14" t="s">
        <v>537</v>
      </c>
      <c r="DB439" s="14">
        <f>INDEX(属性投放!$AN$7:$AN$58,CU439)</f>
        <v>1</v>
      </c>
      <c r="DC439" s="14">
        <f t="shared" si="747"/>
        <v>19</v>
      </c>
      <c r="DD439" s="14">
        <f>INDEX(属性投放!$AO$7:$AO$58,DC439)</f>
        <v>65</v>
      </c>
      <c r="DE439" s="14" t="s">
        <v>538</v>
      </c>
      <c r="DF439" s="14">
        <f>INDEX(属性投放!$BK$6:$BK$85,(CV439-2)*20+CZ439)</f>
        <v>120</v>
      </c>
      <c r="DG439" s="14">
        <f>SUMIFS(DF$5:DF439,$CT$5:$CT439,"="&amp;$CT439)</f>
        <v>1130</v>
      </c>
      <c r="DH439" s="14" t="s">
        <v>539</v>
      </c>
      <c r="DI439" s="14">
        <f>INDEX(属性投放!$BL$6:$BL$85,(CV439-2)*20+CZ439)</f>
        <v>60</v>
      </c>
      <c r="DJ439" s="14">
        <f>SUMIFS(DI$5:DI439,$CT$5:$CT439,"="&amp;$CT439)</f>
        <v>568</v>
      </c>
      <c r="DK439" s="14" t="s">
        <v>540</v>
      </c>
      <c r="DL439" s="14">
        <f>INDEX(属性投放!$BM$6:$BM$85,(CV439-2)*20+CZ439)</f>
        <v>1080</v>
      </c>
      <c r="DM439" s="14">
        <f>SUMIFS(DL$5:DL439,$CT$5:$CT439,"="&amp;$CT439)</f>
        <v>8630</v>
      </c>
      <c r="DR439" s="14">
        <f t="shared" si="748"/>
        <v>1102050</v>
      </c>
      <c r="DS439" s="14" t="str">
        <f t="shared" si="749"/>
        <v>柠檬精15突</v>
      </c>
      <c r="DT439" s="14">
        <f t="shared" si="760"/>
        <v>3</v>
      </c>
      <c r="DU439" s="14">
        <f t="shared" si="761"/>
        <v>1</v>
      </c>
      <c r="DV439" s="14">
        <f t="shared" si="762"/>
        <v>4</v>
      </c>
      <c r="DW439" s="14">
        <f t="shared" si="750"/>
        <v>2</v>
      </c>
      <c r="DX439" s="14">
        <f t="shared" si="751"/>
        <v>15</v>
      </c>
      <c r="DY439" s="14">
        <f t="shared" si="752"/>
        <v>15</v>
      </c>
      <c r="DZ439" s="14">
        <f>INDEX(属性投放!$AX$6:$AX$85,(卡牌属性!DW439-2)*20+卡牌属性!DX439)</f>
        <v>8</v>
      </c>
      <c r="EA439" s="14">
        <f>INDEX(属性投放!BQ$6:BQ$85,卡牌属性!$DY439)</f>
        <v>700</v>
      </c>
      <c r="EB439" s="14">
        <f>INDEX(属性投放!BR$6:BR$85,卡牌属性!$DY439)</f>
        <v>350</v>
      </c>
      <c r="EC439" s="14">
        <f>INDEX(属性投放!BS$6:BS$85,卡牌属性!$DY439)</f>
        <v>7000</v>
      </c>
      <c r="ED439" s="14">
        <f t="shared" si="790"/>
        <v>3240</v>
      </c>
      <c r="EE439" s="14">
        <f t="shared" si="791"/>
        <v>3530</v>
      </c>
      <c r="EF439" s="14">
        <f t="shared" si="792"/>
        <v>3886</v>
      </c>
      <c r="EG439" s="14">
        <f t="shared" si="793"/>
        <v>3886</v>
      </c>
      <c r="EH439" s="14">
        <f t="shared" si="794"/>
        <v>4036</v>
      </c>
      <c r="EI439" s="14">
        <f t="shared" si="795"/>
        <v>1409</v>
      </c>
      <c r="EJ439" s="14">
        <f t="shared" si="796"/>
        <v>1489</v>
      </c>
      <c r="EK439" s="14">
        <f t="shared" si="797"/>
        <v>1489</v>
      </c>
      <c r="EL439" s="14">
        <f t="shared" si="798"/>
        <v>1590</v>
      </c>
      <c r="EM439" s="14">
        <f t="shared" si="799"/>
        <v>1734</v>
      </c>
      <c r="EN439" s="14">
        <f t="shared" si="800"/>
        <v>29742</v>
      </c>
      <c r="EO439" s="14">
        <f t="shared" si="801"/>
        <v>32610</v>
      </c>
      <c r="EP439" s="14">
        <f t="shared" si="802"/>
        <v>32610</v>
      </c>
      <c r="EQ439" s="14">
        <f t="shared" si="803"/>
        <v>33694</v>
      </c>
      <c r="ER439" s="14">
        <f t="shared" si="804"/>
        <v>40508</v>
      </c>
      <c r="ES439" s="14">
        <f>INDEX(属性偏向!$S$4:$S$243,(卡牌属性!$DT439-1+ES$3)*20+卡牌属性!$DX439)</f>
        <v>15</v>
      </c>
      <c r="ET439" s="14">
        <f>INDEX(属性偏向!$S$4:$S$243,(卡牌属性!$DT439-1+ET$3)*20+卡牌属性!$DX439)</f>
        <v>20</v>
      </c>
      <c r="EU439" s="14">
        <f>INDEX(属性偏向!$S$4:$S$243,(卡牌属性!$DT439-1+EU$3)*20+卡牌属性!$DX439)</f>
        <v>25</v>
      </c>
      <c r="EV439" s="14">
        <f>INDEX(属性偏向!$S$4:$S$243,(卡牌属性!$DT439-1+EV$3)*20+卡牌属性!$DX439)</f>
        <v>25</v>
      </c>
      <c r="EW439" s="14">
        <f>INDEX(属性偏向!$S$4:$S$243,(卡牌属性!$DT439-1+EW$3)*20+卡牌属性!$DX439)</f>
        <v>26</v>
      </c>
      <c r="EX439" s="14">
        <f>INDEX(属性偏向!$T$4:$T$243,(卡牌属性!$DU439-1+EX$3)*20+卡牌属性!$DX439)</f>
        <v>5</v>
      </c>
      <c r="EY439" s="14">
        <f>INDEX(属性偏向!$T$4:$T$243,(卡牌属性!$DU439-1+EY$3)*20+卡牌属性!$DX439)</f>
        <v>6</v>
      </c>
      <c r="EZ439" s="14">
        <f>INDEX(属性偏向!$T$4:$T$243,(卡牌属性!$DU439-1+EZ$3)*20+卡牌属性!$DX439)</f>
        <v>6</v>
      </c>
      <c r="FA439" s="14">
        <f>INDEX(属性偏向!$T$4:$T$243,(卡牌属性!$DU439-1+FA$3)*20+卡牌属性!$DX439)</f>
        <v>8</v>
      </c>
      <c r="FB439" s="14">
        <f>INDEX(属性偏向!$T$4:$T$243,(卡牌属性!$DU439-1+FB$3)*20+卡牌属性!$DX439)</f>
        <v>10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INDEX(属性投放!$BQ$6:$BQ$85,(卡牌属性!$DW439-2)*20+卡牌属性!$DX439)</f>
        <v>700</v>
      </c>
      <c r="FI439" s="14">
        <f>INDEX(属性投放!$BQ$6:$BQ$85,(卡牌属性!$DW439-2)*20+卡牌属性!$DX439)</f>
        <v>700</v>
      </c>
      <c r="FJ439" s="14">
        <f>INDEX(属性投放!$BQ$6:$BQ$85,(卡牌属性!$DW439-2)*20+卡牌属性!$DX439)</f>
        <v>700</v>
      </c>
      <c r="FK439" s="14">
        <f>INDEX(属性投放!$BQ$6:$BQ$85,(卡牌属性!$DW439-2)*20+卡牌属性!$DX439)</f>
        <v>700</v>
      </c>
      <c r="FL439" s="14">
        <f>INDEX(属性投放!$BQ$6:$BQ$85,(卡牌属性!$DW439-2)*20+卡牌属性!$DX439)</f>
        <v>700</v>
      </c>
      <c r="FM439" s="14">
        <f>INDEX(属性投放!$BR$6:$BR$85,(卡牌属性!$DW439-2)*20+卡牌属性!$DX439)</f>
        <v>350</v>
      </c>
      <c r="FN439" s="14">
        <f>INDEX(属性投放!$BR$6:$BR$85,(卡牌属性!$DW439-2)*20+卡牌属性!$DX439)</f>
        <v>350</v>
      </c>
      <c r="FO439" s="14">
        <f>INDEX(属性投放!$BR$6:$BR$85,(卡牌属性!$DW439-2)*20+卡牌属性!$DX439)</f>
        <v>350</v>
      </c>
      <c r="FP439" s="14">
        <f>INDEX(属性投放!$BR$6:$BR$85,(卡牌属性!$DW439-2)*20+卡牌属性!$DX439)</f>
        <v>350</v>
      </c>
      <c r="FQ439" s="14">
        <f>INDEX(属性投放!$BR$6:$BR$85,(卡牌属性!$DW439-2)*20+卡牌属性!$DX439)</f>
        <v>350</v>
      </c>
      <c r="FR439" s="14">
        <f>INDEX(属性投放!$BS$6:$BS$85,(卡牌属性!$DW439-2)*20+卡牌属性!$DX439)</f>
        <v>7000</v>
      </c>
      <c r="FS439" s="14">
        <f>INDEX(属性投放!$BS$6:$BS$85,(卡牌属性!$DW439-2)*20+卡牌属性!$DX439)</f>
        <v>7000</v>
      </c>
      <c r="FT439" s="14">
        <f>INDEX(属性投放!$BS$6:$BS$85,(卡牌属性!$DW439-2)*20+卡牌属性!$DX439)</f>
        <v>7000</v>
      </c>
      <c r="FU439" s="14">
        <f>INDEX(属性投放!$BS$6:$BS$85,(卡牌属性!$DW439-2)*20+卡牌属性!$DX439)</f>
        <v>7000</v>
      </c>
      <c r="FV439" s="14">
        <f>INDEX(属性投放!$BS$6:$BS$85,(卡牌属性!$DW439-2)*20+卡牌属性!$DX439)</f>
        <v>7000</v>
      </c>
    </row>
    <row r="440" spans="31:178" ht="16.5" x14ac:dyDescent="0.2">
      <c r="AE440" s="13">
        <v>436</v>
      </c>
      <c r="AF440" s="13">
        <f t="shared" si="753"/>
        <v>22</v>
      </c>
      <c r="AG440" s="13">
        <f t="shared" si="740"/>
        <v>3</v>
      </c>
      <c r="AH440" s="13"/>
      <c r="AI440" s="13"/>
      <c r="AJ440" s="14">
        <f t="shared" si="741"/>
        <v>1101030</v>
      </c>
      <c r="AK440" s="14" t="str">
        <f t="shared" si="742"/>
        <v>卢天佑16突</v>
      </c>
      <c r="AL440" s="25" t="s">
        <v>142</v>
      </c>
      <c r="AM440" s="14">
        <v>1</v>
      </c>
      <c r="AN440" s="14">
        <f t="shared" si="743"/>
        <v>16</v>
      </c>
      <c r="AO440" s="14">
        <f>INDEX(属性投放!$DF$6:$DF$85,(卡牌属性!AG440-2)*20+卡牌属性!AN440)</f>
        <v>11573</v>
      </c>
      <c r="AP440" s="14">
        <f t="shared" si="784"/>
        <v>11573</v>
      </c>
      <c r="AQ440" s="14">
        <f t="shared" si="784"/>
        <v>11573</v>
      </c>
      <c r="AR440" s="14">
        <f t="shared" si="784"/>
        <v>11573</v>
      </c>
      <c r="AS440" s="14">
        <f t="shared" si="784"/>
        <v>11573</v>
      </c>
      <c r="AT440" s="14">
        <f>INDEX(属性投放!$DG$6:$DG$85,(卡牌属性!AG440-2)*20+卡牌属性!AN440)</f>
        <v>5726</v>
      </c>
      <c r="AU440" s="14">
        <f t="shared" si="785"/>
        <v>5726</v>
      </c>
      <c r="AV440" s="14">
        <f t="shared" si="785"/>
        <v>5726</v>
      </c>
      <c r="AW440" s="14">
        <f t="shared" si="785"/>
        <v>5726</v>
      </c>
      <c r="AX440" s="14">
        <f t="shared" si="785"/>
        <v>5726</v>
      </c>
      <c r="AY440" s="14">
        <f>INDEX(属性投放!$DH$6:$DH$85,(卡牌属性!AG440-2)*20+卡牌属性!AN440)</f>
        <v>104818</v>
      </c>
      <c r="AZ440" s="14">
        <f t="shared" si="786"/>
        <v>104818</v>
      </c>
      <c r="BA440" s="14">
        <f t="shared" si="786"/>
        <v>104818</v>
      </c>
      <c r="BB440" s="14">
        <f t="shared" si="786"/>
        <v>104818</v>
      </c>
      <c r="BC440" s="14">
        <f t="shared" si="786"/>
        <v>104818</v>
      </c>
      <c r="BD440" s="14">
        <f>INDEX(属性投放!$DL$6:$DL$85,(卡牌属性!AG440-2)*20+卡牌属性!AN440)</f>
        <v>259</v>
      </c>
      <c r="BE440" s="14">
        <f t="shared" si="787"/>
        <v>259</v>
      </c>
      <c r="BF440" s="14">
        <f t="shared" si="787"/>
        <v>259</v>
      </c>
      <c r="BG440" s="14">
        <f t="shared" si="787"/>
        <v>259</v>
      </c>
      <c r="BH440" s="14">
        <f t="shared" si="787"/>
        <v>259</v>
      </c>
      <c r="BI440" s="14">
        <f>INDEX(属性投放!$DM$6:$DM$85,(卡牌属性!AG440-2)*20+卡牌属性!AN440)</f>
        <v>130</v>
      </c>
      <c r="BJ440" s="14">
        <f t="shared" si="788"/>
        <v>130</v>
      </c>
      <c r="BK440" s="14">
        <f t="shared" si="788"/>
        <v>130</v>
      </c>
      <c r="BL440" s="14">
        <f t="shared" si="788"/>
        <v>130</v>
      </c>
      <c r="BM440" s="14">
        <f t="shared" si="788"/>
        <v>130</v>
      </c>
      <c r="BN440" s="14">
        <f>INDEX(属性投放!$DN$6:$DN$85,(卡牌属性!AG440-2)*20+卡牌属性!AN440)</f>
        <v>2593</v>
      </c>
      <c r="BO440" s="14">
        <f t="shared" si="789"/>
        <v>2593</v>
      </c>
      <c r="BP440" s="14">
        <f t="shared" si="789"/>
        <v>2593</v>
      </c>
      <c r="BQ440" s="14">
        <f t="shared" si="789"/>
        <v>2593</v>
      </c>
      <c r="BR440" s="14">
        <f t="shared" si="789"/>
        <v>2593</v>
      </c>
      <c r="BW440" s="13">
        <v>436</v>
      </c>
      <c r="BX440" s="13">
        <f t="shared" si="744"/>
        <v>22</v>
      </c>
      <c r="BY440" s="14">
        <f t="shared" si="745"/>
        <v>2</v>
      </c>
      <c r="BZ440" s="14">
        <f t="shared" si="754"/>
        <v>1102050</v>
      </c>
      <c r="CA440" s="14" t="str">
        <f t="shared" si="755"/>
        <v>柠檬精16突</v>
      </c>
      <c r="CB440" s="25" t="s">
        <v>142</v>
      </c>
      <c r="CC440" s="14">
        <v>2</v>
      </c>
      <c r="CD440" s="14">
        <f t="shared" si="746"/>
        <v>16</v>
      </c>
      <c r="CE440" s="14" t="s">
        <v>21</v>
      </c>
      <c r="CF440" s="14">
        <f>INDEX(属性投放!$AZ$6:$AZ$85,(BY440-2)*20+CD440)</f>
        <v>8585</v>
      </c>
      <c r="CG440" s="14" t="s">
        <v>22</v>
      </c>
      <c r="CH440" s="14">
        <f>INDEX(属性投放!$BA$6:$BA$85,(BY440-2)*20+CD440)</f>
        <v>4260</v>
      </c>
      <c r="CI440" s="14" t="s">
        <v>510</v>
      </c>
      <c r="CJ440" s="14">
        <f>INDEX(属性投放!$BB$6:$BB$85,(BY440-2)*20+CD440)</f>
        <v>77658</v>
      </c>
      <c r="CK440" s="14" t="s">
        <v>21</v>
      </c>
      <c r="CL440" s="14">
        <f>INDEX(属性投放!$BC$6:$BC$85,(BY440-2)*20+CD440)</f>
        <v>20</v>
      </c>
      <c r="CM440" s="14" t="s">
        <v>22</v>
      </c>
      <c r="CN440" s="14">
        <f>INDEX(属性投放!$BD$6:$BD$85,(BY440-2)*20+CD440)</f>
        <v>10</v>
      </c>
      <c r="CO440" s="14" t="s">
        <v>510</v>
      </c>
      <c r="CP440" s="14">
        <f>INDEX(属性投放!$BE$6:$BE$85,(BY440-2)*20+CD440)</f>
        <v>200</v>
      </c>
      <c r="CS440" s="13">
        <v>436</v>
      </c>
      <c r="CT440" s="13">
        <f t="shared" si="756"/>
        <v>9</v>
      </c>
      <c r="CU440" s="13">
        <f t="shared" si="757"/>
        <v>20</v>
      </c>
      <c r="CV440" s="14">
        <f t="shared" si="758"/>
        <v>3</v>
      </c>
      <c r="CW440" s="14">
        <f t="shared" si="759"/>
        <v>1102009</v>
      </c>
      <c r="CX440" s="14" t="str">
        <f>INDEX($O$6:$O$50,CT440)&amp;"-"&amp;INDEX(属性投放!$AB$7:$AB$50,CZ440)&amp;"-魂火-"&amp;DB440</f>
        <v>徐晃-大叫唤-魂火-2</v>
      </c>
      <c r="CY440" s="25" t="s">
        <v>142</v>
      </c>
      <c r="CZ440" s="14">
        <f>INDEX(属性投放!$AM$7:$AM$58,CU440)</f>
        <v>10</v>
      </c>
      <c r="DA440" s="14" t="s">
        <v>537</v>
      </c>
      <c r="DB440" s="14">
        <f>INDEX(属性投放!$AN$7:$AN$58,CU440)</f>
        <v>2</v>
      </c>
      <c r="DC440" s="14">
        <f t="shared" si="747"/>
        <v>20</v>
      </c>
      <c r="DD440" s="14">
        <f>INDEX(属性投放!$AO$7:$AO$58,DC440)</f>
        <v>68</v>
      </c>
      <c r="DE440" s="14" t="s">
        <v>538</v>
      </c>
      <c r="DF440" s="14">
        <f>INDEX(属性投放!$BK$6:$BK$85,(CV440-2)*20+CZ440)</f>
        <v>120</v>
      </c>
      <c r="DG440" s="14">
        <f>SUMIFS(DF$5:DF440,$CT$5:$CT440,"="&amp;$CT440)</f>
        <v>1250</v>
      </c>
      <c r="DH440" s="14" t="s">
        <v>539</v>
      </c>
      <c r="DI440" s="14">
        <f>INDEX(属性投放!$BL$6:$BL$85,(CV440-2)*20+CZ440)</f>
        <v>60</v>
      </c>
      <c r="DJ440" s="14">
        <f>SUMIFS(DI$5:DI440,$CT$5:$CT440,"="&amp;$CT440)</f>
        <v>628</v>
      </c>
      <c r="DK440" s="14" t="s">
        <v>540</v>
      </c>
      <c r="DL440" s="14">
        <f>INDEX(属性投放!$BM$6:$BM$85,(CV440-2)*20+CZ440)</f>
        <v>1080</v>
      </c>
      <c r="DM440" s="14">
        <f>SUMIFS(DL$5:DL440,$CT$5:$CT440,"="&amp;$CT440)</f>
        <v>9710</v>
      </c>
      <c r="DR440" s="14">
        <f t="shared" si="748"/>
        <v>1102050</v>
      </c>
      <c r="DS440" s="14" t="str">
        <f t="shared" si="749"/>
        <v>柠檬精16突</v>
      </c>
      <c r="DT440" s="14">
        <f t="shared" si="760"/>
        <v>3</v>
      </c>
      <c r="DU440" s="14">
        <f t="shared" si="761"/>
        <v>1</v>
      </c>
      <c r="DV440" s="14">
        <f t="shared" si="762"/>
        <v>4</v>
      </c>
      <c r="DW440" s="14">
        <f t="shared" si="750"/>
        <v>2</v>
      </c>
      <c r="DX440" s="14">
        <f t="shared" si="751"/>
        <v>16</v>
      </c>
      <c r="DY440" s="14">
        <f t="shared" si="752"/>
        <v>16</v>
      </c>
      <c r="DZ440" s="14">
        <f>INDEX(属性投放!$AX$6:$AX$85,(卡牌属性!DW440-2)*20+卡牌属性!DX440)</f>
        <v>7</v>
      </c>
      <c r="EA440" s="14">
        <f>INDEX(属性投放!BQ$6:BQ$85,卡牌属性!$DY440)</f>
        <v>700</v>
      </c>
      <c r="EB440" s="14">
        <f>INDEX(属性投放!BR$6:BR$85,卡牌属性!$DY440)</f>
        <v>350</v>
      </c>
      <c r="EC440" s="14">
        <f>INDEX(属性投放!BS$6:BS$85,卡牌属性!$DY440)</f>
        <v>7000</v>
      </c>
      <c r="ED440" s="14">
        <f t="shared" si="790"/>
        <v>4060</v>
      </c>
      <c r="EE440" s="14">
        <f t="shared" si="791"/>
        <v>4390</v>
      </c>
      <c r="EF440" s="14">
        <f t="shared" si="792"/>
        <v>4786</v>
      </c>
      <c r="EG440" s="14">
        <f t="shared" si="793"/>
        <v>4786</v>
      </c>
      <c r="EH440" s="14">
        <f t="shared" si="794"/>
        <v>4944</v>
      </c>
      <c r="EI440" s="14">
        <f t="shared" si="795"/>
        <v>1799</v>
      </c>
      <c r="EJ440" s="14">
        <f t="shared" si="796"/>
        <v>1887</v>
      </c>
      <c r="EK440" s="14">
        <f t="shared" si="797"/>
        <v>1887</v>
      </c>
      <c r="EL440" s="14">
        <f t="shared" si="798"/>
        <v>2004</v>
      </c>
      <c r="EM440" s="14">
        <f t="shared" si="799"/>
        <v>2164</v>
      </c>
      <c r="EN440" s="14">
        <f t="shared" si="800"/>
        <v>38342</v>
      </c>
      <c r="EO440" s="14">
        <f t="shared" si="801"/>
        <v>41610</v>
      </c>
      <c r="EP440" s="14">
        <f t="shared" si="802"/>
        <v>41610</v>
      </c>
      <c r="EQ440" s="14">
        <f t="shared" si="803"/>
        <v>42774</v>
      </c>
      <c r="ER440" s="14">
        <f t="shared" si="804"/>
        <v>50708</v>
      </c>
      <c r="ES440" s="14">
        <f>INDEX(属性偏向!$S$4:$S$243,(卡牌属性!$DT440-1+ES$3)*20+卡牌属性!$DX440)</f>
        <v>20</v>
      </c>
      <c r="ET440" s="14">
        <f>INDEX(属性偏向!$S$4:$S$243,(卡牌属性!$DT440-1+ET$3)*20+卡牌属性!$DX440)</f>
        <v>25</v>
      </c>
      <c r="EU440" s="14">
        <f>INDEX(属性偏向!$S$4:$S$243,(卡牌属性!$DT440-1+EU$3)*20+卡牌属性!$DX440)</f>
        <v>30</v>
      </c>
      <c r="EV440" s="14">
        <f>INDEX(属性偏向!$S$4:$S$243,(卡牌属性!$DT440-1+EV$3)*20+卡牌属性!$DX440)</f>
        <v>30</v>
      </c>
      <c r="EW440" s="14">
        <f>INDEX(属性偏向!$S$4:$S$243,(卡牌属性!$DT440-1+EW$3)*20+卡牌属性!$DX440)</f>
        <v>35</v>
      </c>
      <c r="EX440" s="14">
        <f>INDEX(属性偏向!$T$4:$T$243,(卡牌属性!$DU440-1+EX$3)*20+卡牌属性!$DX440)</f>
        <v>6</v>
      </c>
      <c r="EY440" s="14">
        <f>INDEX(属性偏向!$T$4:$T$243,(卡牌属性!$DU440-1+EY$3)*20+卡牌属性!$DX440)</f>
        <v>8</v>
      </c>
      <c r="EZ440" s="14">
        <f>INDEX(属性偏向!$T$4:$T$243,(卡牌属性!$DU440-1+EZ$3)*20+卡牌属性!$DX440)</f>
        <v>8</v>
      </c>
      <c r="FA440" s="14">
        <f>INDEX(属性偏向!$T$4:$T$243,(卡牌属性!$DU440-1+FA$3)*20+卡牌属性!$DX440)</f>
        <v>10</v>
      </c>
      <c r="FB440" s="14">
        <f>INDEX(属性偏向!$T$4:$T$243,(卡牌属性!$DU440-1+FB$3)*20+卡牌属性!$DX440)</f>
        <v>13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INDEX(属性投放!$BQ$6:$BQ$85,(卡牌属性!$DW440-2)*20+卡牌属性!$DX440)</f>
        <v>700</v>
      </c>
      <c r="FI440" s="14">
        <f>INDEX(属性投放!$BQ$6:$BQ$85,(卡牌属性!$DW440-2)*20+卡牌属性!$DX440)</f>
        <v>700</v>
      </c>
      <c r="FJ440" s="14">
        <f>INDEX(属性投放!$BQ$6:$BQ$85,(卡牌属性!$DW440-2)*20+卡牌属性!$DX440)</f>
        <v>700</v>
      </c>
      <c r="FK440" s="14">
        <f>INDEX(属性投放!$BQ$6:$BQ$85,(卡牌属性!$DW440-2)*20+卡牌属性!$DX440)</f>
        <v>700</v>
      </c>
      <c r="FL440" s="14">
        <f>INDEX(属性投放!$BQ$6:$BQ$85,(卡牌属性!$DW440-2)*20+卡牌属性!$DX440)</f>
        <v>700</v>
      </c>
      <c r="FM440" s="14">
        <f>INDEX(属性投放!$BR$6:$BR$85,(卡牌属性!$DW440-2)*20+卡牌属性!$DX440)</f>
        <v>350</v>
      </c>
      <c r="FN440" s="14">
        <f>INDEX(属性投放!$BR$6:$BR$85,(卡牌属性!$DW440-2)*20+卡牌属性!$DX440)</f>
        <v>350</v>
      </c>
      <c r="FO440" s="14">
        <f>INDEX(属性投放!$BR$6:$BR$85,(卡牌属性!$DW440-2)*20+卡牌属性!$DX440)</f>
        <v>350</v>
      </c>
      <c r="FP440" s="14">
        <f>INDEX(属性投放!$BR$6:$BR$85,(卡牌属性!$DW440-2)*20+卡牌属性!$DX440)</f>
        <v>350</v>
      </c>
      <c r="FQ440" s="14">
        <f>INDEX(属性投放!$BR$6:$BR$85,(卡牌属性!$DW440-2)*20+卡牌属性!$DX440)</f>
        <v>350</v>
      </c>
      <c r="FR440" s="14">
        <f>INDEX(属性投放!$BS$6:$BS$85,(卡牌属性!$DW440-2)*20+卡牌属性!$DX440)</f>
        <v>7000</v>
      </c>
      <c r="FS440" s="14">
        <f>INDEX(属性投放!$BS$6:$BS$85,(卡牌属性!$DW440-2)*20+卡牌属性!$DX440)</f>
        <v>7000</v>
      </c>
      <c r="FT440" s="14">
        <f>INDEX(属性投放!$BS$6:$BS$85,(卡牌属性!$DW440-2)*20+卡牌属性!$DX440)</f>
        <v>7000</v>
      </c>
      <c r="FU440" s="14">
        <f>INDEX(属性投放!$BS$6:$BS$85,(卡牌属性!$DW440-2)*20+卡牌属性!$DX440)</f>
        <v>7000</v>
      </c>
      <c r="FV440" s="14">
        <f>INDEX(属性投放!$BS$6:$BS$85,(卡牌属性!$DW440-2)*20+卡牌属性!$DX440)</f>
        <v>7000</v>
      </c>
    </row>
    <row r="441" spans="31:178" ht="16.5" x14ac:dyDescent="0.2">
      <c r="AE441" s="13">
        <v>437</v>
      </c>
      <c r="AF441" s="13">
        <f t="shared" si="753"/>
        <v>22</v>
      </c>
      <c r="AG441" s="13">
        <f t="shared" si="740"/>
        <v>3</v>
      </c>
      <c r="AH441" s="13"/>
      <c r="AI441" s="13"/>
      <c r="AJ441" s="14">
        <f t="shared" si="741"/>
        <v>1101030</v>
      </c>
      <c r="AK441" s="14" t="str">
        <f t="shared" si="742"/>
        <v>卢天佑17突</v>
      </c>
      <c r="AL441" s="25" t="s">
        <v>142</v>
      </c>
      <c r="AM441" s="14">
        <v>1</v>
      </c>
      <c r="AN441" s="14">
        <f t="shared" si="743"/>
        <v>17</v>
      </c>
      <c r="AO441" s="14">
        <f>INDEX(属性投放!$DF$6:$DF$85,(卡牌属性!AG441-2)*20+卡牌属性!AN441)</f>
        <v>12499</v>
      </c>
      <c r="AP441" s="14">
        <f t="shared" si="784"/>
        <v>12499</v>
      </c>
      <c r="AQ441" s="14">
        <f t="shared" si="784"/>
        <v>12499</v>
      </c>
      <c r="AR441" s="14">
        <f t="shared" si="784"/>
        <v>12499</v>
      </c>
      <c r="AS441" s="14">
        <f t="shared" si="784"/>
        <v>12499</v>
      </c>
      <c r="AT441" s="14">
        <f>INDEX(属性投放!$DG$6:$DG$85,(卡牌属性!AG441-2)*20+卡牌属性!AN441)</f>
        <v>6189</v>
      </c>
      <c r="AU441" s="14">
        <f t="shared" si="785"/>
        <v>6189</v>
      </c>
      <c r="AV441" s="14">
        <f t="shared" si="785"/>
        <v>6189</v>
      </c>
      <c r="AW441" s="14">
        <f t="shared" si="785"/>
        <v>6189</v>
      </c>
      <c r="AX441" s="14">
        <f t="shared" si="785"/>
        <v>6189</v>
      </c>
      <c r="AY441" s="14">
        <f>INDEX(属性投放!$DH$6:$DH$85,(卡牌属性!AG441-2)*20+卡牌属性!AN441)</f>
        <v>114078</v>
      </c>
      <c r="AZ441" s="14">
        <f t="shared" si="786"/>
        <v>114078</v>
      </c>
      <c r="BA441" s="14">
        <f t="shared" si="786"/>
        <v>114078</v>
      </c>
      <c r="BB441" s="14">
        <f t="shared" si="786"/>
        <v>114078</v>
      </c>
      <c r="BC441" s="14">
        <f t="shared" si="786"/>
        <v>114078</v>
      </c>
      <c r="BD441" s="14">
        <f>INDEX(属性投放!$DL$6:$DL$85,(卡牌属性!AG441-2)*20+卡牌属性!AN441)</f>
        <v>259</v>
      </c>
      <c r="BE441" s="14">
        <f t="shared" si="787"/>
        <v>259</v>
      </c>
      <c r="BF441" s="14">
        <f t="shared" si="787"/>
        <v>259</v>
      </c>
      <c r="BG441" s="14">
        <f t="shared" si="787"/>
        <v>259</v>
      </c>
      <c r="BH441" s="14">
        <f t="shared" si="787"/>
        <v>259</v>
      </c>
      <c r="BI441" s="14">
        <f>INDEX(属性投放!$DM$6:$DM$85,(卡牌属性!AG441-2)*20+卡牌属性!AN441)</f>
        <v>130</v>
      </c>
      <c r="BJ441" s="14">
        <f t="shared" si="788"/>
        <v>130</v>
      </c>
      <c r="BK441" s="14">
        <f t="shared" si="788"/>
        <v>130</v>
      </c>
      <c r="BL441" s="14">
        <f t="shared" si="788"/>
        <v>130</v>
      </c>
      <c r="BM441" s="14">
        <f t="shared" si="788"/>
        <v>130</v>
      </c>
      <c r="BN441" s="14">
        <f>INDEX(属性投放!$DN$6:$DN$85,(卡牌属性!AG441-2)*20+卡牌属性!AN441)</f>
        <v>2593</v>
      </c>
      <c r="BO441" s="14">
        <f t="shared" si="789"/>
        <v>2593</v>
      </c>
      <c r="BP441" s="14">
        <f t="shared" si="789"/>
        <v>2593</v>
      </c>
      <c r="BQ441" s="14">
        <f t="shared" si="789"/>
        <v>2593</v>
      </c>
      <c r="BR441" s="14">
        <f t="shared" si="789"/>
        <v>2593</v>
      </c>
      <c r="BW441" s="13">
        <v>437</v>
      </c>
      <c r="BX441" s="13">
        <f t="shared" si="744"/>
        <v>22</v>
      </c>
      <c r="BY441" s="14">
        <f t="shared" si="745"/>
        <v>2</v>
      </c>
      <c r="BZ441" s="14">
        <f t="shared" si="754"/>
        <v>1102050</v>
      </c>
      <c r="CA441" s="14" t="str">
        <f t="shared" si="755"/>
        <v>柠檬精17突</v>
      </c>
      <c r="CB441" s="25" t="s">
        <v>142</v>
      </c>
      <c r="CC441" s="14">
        <v>2</v>
      </c>
      <c r="CD441" s="14">
        <f t="shared" si="746"/>
        <v>17</v>
      </c>
      <c r="CE441" s="14" t="s">
        <v>21</v>
      </c>
      <c r="CF441" s="14">
        <f>INDEX(属性投放!$AZ$6:$AZ$85,(BY441-2)*20+CD441)</f>
        <v>10775</v>
      </c>
      <c r="CG441" s="14" t="s">
        <v>22</v>
      </c>
      <c r="CH441" s="14">
        <f>INDEX(属性投放!$BA$6:$BA$85,(BY441-2)*20+CD441)</f>
        <v>5355</v>
      </c>
      <c r="CI441" s="14" t="s">
        <v>510</v>
      </c>
      <c r="CJ441" s="14">
        <f>INDEX(属性投放!$BB$6:$BB$85,(BY441-2)*20+CD441)</f>
        <v>99558</v>
      </c>
      <c r="CK441" s="14" t="s">
        <v>21</v>
      </c>
      <c r="CL441" s="14">
        <f>INDEX(属性投放!$BC$6:$BC$85,(BY441-2)*20+CD441)</f>
        <v>20</v>
      </c>
      <c r="CM441" s="14" t="s">
        <v>22</v>
      </c>
      <c r="CN441" s="14">
        <f>INDEX(属性投放!$BD$6:$BD$85,(BY441-2)*20+CD441)</f>
        <v>10</v>
      </c>
      <c r="CO441" s="14" t="s">
        <v>510</v>
      </c>
      <c r="CP441" s="14">
        <f>INDEX(属性投放!$BE$6:$BE$85,(BY441-2)*20+CD441)</f>
        <v>200</v>
      </c>
      <c r="CS441" s="13">
        <v>437</v>
      </c>
      <c r="CT441" s="13">
        <f t="shared" si="756"/>
        <v>9</v>
      </c>
      <c r="CU441" s="13">
        <f t="shared" si="757"/>
        <v>21</v>
      </c>
      <c r="CV441" s="14">
        <f t="shared" si="758"/>
        <v>3</v>
      </c>
      <c r="CW441" s="14">
        <f t="shared" si="759"/>
        <v>1102009</v>
      </c>
      <c r="CX441" s="14" t="str">
        <f>INDEX($O$6:$O$50,CT441)&amp;"-"&amp;INDEX(属性投放!$AB$7:$AB$50,CZ441)&amp;"-魂火-"&amp;DB441</f>
        <v>徐晃-大叫唤-魂火-3</v>
      </c>
      <c r="CY441" s="25" t="s">
        <v>142</v>
      </c>
      <c r="CZ441" s="14">
        <f>INDEX(属性投放!$AM$7:$AM$58,CU441)</f>
        <v>10</v>
      </c>
      <c r="DA441" s="14" t="s">
        <v>537</v>
      </c>
      <c r="DB441" s="14">
        <f>INDEX(属性投放!$AN$7:$AN$58,CU441)</f>
        <v>3</v>
      </c>
      <c r="DC441" s="14">
        <f t="shared" si="747"/>
        <v>21</v>
      </c>
      <c r="DD441" s="14">
        <f>INDEX(属性投放!$AO$7:$AO$58,DC441)</f>
        <v>70</v>
      </c>
      <c r="DE441" s="14" t="s">
        <v>538</v>
      </c>
      <c r="DF441" s="14">
        <f>INDEX(属性投放!$BK$6:$BK$85,(CV441-2)*20+CZ441)</f>
        <v>120</v>
      </c>
      <c r="DG441" s="14">
        <f>SUMIFS(DF$5:DF441,$CT$5:$CT441,"="&amp;$CT441)</f>
        <v>1370</v>
      </c>
      <c r="DH441" s="14" t="s">
        <v>539</v>
      </c>
      <c r="DI441" s="14">
        <f>INDEX(属性投放!$BL$6:$BL$85,(CV441-2)*20+CZ441)</f>
        <v>60</v>
      </c>
      <c r="DJ441" s="14">
        <f>SUMIFS(DI$5:DI441,$CT$5:$CT441,"="&amp;$CT441)</f>
        <v>688</v>
      </c>
      <c r="DK441" s="14" t="s">
        <v>540</v>
      </c>
      <c r="DL441" s="14">
        <f>INDEX(属性投放!$BM$6:$BM$85,(CV441-2)*20+CZ441)</f>
        <v>1080</v>
      </c>
      <c r="DM441" s="14">
        <f>SUMIFS(DL$5:DL441,$CT$5:$CT441,"="&amp;$CT441)</f>
        <v>10790</v>
      </c>
      <c r="DR441" s="14">
        <f t="shared" si="748"/>
        <v>1102050</v>
      </c>
      <c r="DS441" s="14" t="str">
        <f t="shared" si="749"/>
        <v>柠檬精17突</v>
      </c>
      <c r="DT441" s="14">
        <f t="shared" si="760"/>
        <v>3</v>
      </c>
      <c r="DU441" s="14">
        <f t="shared" si="761"/>
        <v>1</v>
      </c>
      <c r="DV441" s="14">
        <f t="shared" si="762"/>
        <v>4</v>
      </c>
      <c r="DW441" s="14">
        <f t="shared" si="750"/>
        <v>2</v>
      </c>
      <c r="DX441" s="14">
        <f t="shared" si="751"/>
        <v>17</v>
      </c>
      <c r="DY441" s="14">
        <f t="shared" si="752"/>
        <v>17</v>
      </c>
      <c r="DZ441" s="14">
        <f>INDEX(属性投放!$AX$6:$AX$85,(卡牌属性!DW441-2)*20+卡牌属性!DX441)</f>
        <v>8</v>
      </c>
      <c r="EA441" s="14">
        <f>INDEX(属性投放!BQ$6:BQ$85,卡牌属性!$DY441)</f>
        <v>800</v>
      </c>
      <c r="EB441" s="14">
        <f>INDEX(属性投放!BR$6:BR$85,卡牌属性!$DY441)</f>
        <v>400</v>
      </c>
      <c r="EC441" s="14">
        <f>INDEX(属性投放!BS$6:BS$85,卡牌属性!$DY441)</f>
        <v>8000</v>
      </c>
      <c r="ED441" s="14">
        <f t="shared" si="790"/>
        <v>4900</v>
      </c>
      <c r="EE441" s="14">
        <f t="shared" si="791"/>
        <v>5265</v>
      </c>
      <c r="EF441" s="14">
        <f t="shared" si="792"/>
        <v>5696</v>
      </c>
      <c r="EG441" s="14">
        <f t="shared" si="793"/>
        <v>5696</v>
      </c>
      <c r="EH441" s="14">
        <f t="shared" si="794"/>
        <v>5889</v>
      </c>
      <c r="EI441" s="14">
        <f t="shared" si="795"/>
        <v>2191</v>
      </c>
      <c r="EJ441" s="14">
        <f t="shared" si="796"/>
        <v>2293</v>
      </c>
      <c r="EK441" s="14">
        <f t="shared" si="797"/>
        <v>2293</v>
      </c>
      <c r="EL441" s="14">
        <f t="shared" si="798"/>
        <v>2424</v>
      </c>
      <c r="EM441" s="14">
        <f t="shared" si="799"/>
        <v>2605</v>
      </c>
      <c r="EN441" s="14">
        <f t="shared" si="800"/>
        <v>47092</v>
      </c>
      <c r="EO441" s="14">
        <f t="shared" si="801"/>
        <v>50710</v>
      </c>
      <c r="EP441" s="14">
        <f t="shared" si="802"/>
        <v>50710</v>
      </c>
      <c r="EQ441" s="14">
        <f t="shared" si="803"/>
        <v>52224</v>
      </c>
      <c r="ER441" s="14">
        <f t="shared" si="804"/>
        <v>61208</v>
      </c>
      <c r="ES441" s="14">
        <f>INDEX(属性偏向!$S$4:$S$243,(卡牌属性!$DT441-1+ES$3)*20+卡牌属性!$DX441)</f>
        <v>20</v>
      </c>
      <c r="ET441" s="14">
        <f>INDEX(属性偏向!$S$4:$S$243,(卡牌属性!$DT441-1+ET$3)*20+卡牌属性!$DX441)</f>
        <v>25</v>
      </c>
      <c r="EU441" s="14">
        <f>INDEX(属性偏向!$S$4:$S$243,(卡牌属性!$DT441-1+EU$3)*20+卡牌属性!$DX441)</f>
        <v>30</v>
      </c>
      <c r="EV441" s="14">
        <f>INDEX(属性偏向!$S$4:$S$243,(卡牌属性!$DT441-1+EV$3)*20+卡牌属性!$DX441)</f>
        <v>30</v>
      </c>
      <c r="EW441" s="14">
        <f>INDEX(属性偏向!$S$4:$S$243,(卡牌属性!$DT441-1+EW$3)*20+卡牌属性!$DX441)</f>
        <v>35</v>
      </c>
      <c r="EX441" s="14">
        <f>INDEX(属性偏向!$T$4:$T$243,(卡牌属性!$DU441-1+EX$3)*20+卡牌属性!$DX441)</f>
        <v>6</v>
      </c>
      <c r="EY441" s="14">
        <f>INDEX(属性偏向!$T$4:$T$243,(卡牌属性!$DU441-1+EY$3)*20+卡牌属性!$DX441)</f>
        <v>8</v>
      </c>
      <c r="EZ441" s="14">
        <f>INDEX(属性偏向!$T$4:$T$243,(卡牌属性!$DU441-1+EZ$3)*20+卡牌属性!$DX441)</f>
        <v>8</v>
      </c>
      <c r="FA441" s="14">
        <f>INDEX(属性偏向!$T$4:$T$243,(卡牌属性!$DU441-1+FA$3)*20+卡牌属性!$DX441)</f>
        <v>10</v>
      </c>
      <c r="FB441" s="14">
        <f>INDEX(属性偏向!$T$4:$T$243,(卡牌属性!$DU441-1+FB$3)*20+卡牌属性!$DX441)</f>
        <v>13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INDEX(属性投放!$BQ$6:$BQ$85,(卡牌属性!$DW441-2)*20+卡牌属性!$DX441)</f>
        <v>800</v>
      </c>
      <c r="FI441" s="14">
        <f>INDEX(属性投放!$BQ$6:$BQ$85,(卡牌属性!$DW441-2)*20+卡牌属性!$DX441)</f>
        <v>800</v>
      </c>
      <c r="FJ441" s="14">
        <f>INDEX(属性投放!$BQ$6:$BQ$85,(卡牌属性!$DW441-2)*20+卡牌属性!$DX441)</f>
        <v>800</v>
      </c>
      <c r="FK441" s="14">
        <f>INDEX(属性投放!$BQ$6:$BQ$85,(卡牌属性!$DW441-2)*20+卡牌属性!$DX441)</f>
        <v>800</v>
      </c>
      <c r="FL441" s="14">
        <f>INDEX(属性投放!$BQ$6:$BQ$85,(卡牌属性!$DW441-2)*20+卡牌属性!$DX441)</f>
        <v>800</v>
      </c>
      <c r="FM441" s="14">
        <f>INDEX(属性投放!$BR$6:$BR$85,(卡牌属性!$DW441-2)*20+卡牌属性!$DX441)</f>
        <v>400</v>
      </c>
      <c r="FN441" s="14">
        <f>INDEX(属性投放!$BR$6:$BR$85,(卡牌属性!$DW441-2)*20+卡牌属性!$DX441)</f>
        <v>400</v>
      </c>
      <c r="FO441" s="14">
        <f>INDEX(属性投放!$BR$6:$BR$85,(卡牌属性!$DW441-2)*20+卡牌属性!$DX441)</f>
        <v>400</v>
      </c>
      <c r="FP441" s="14">
        <f>INDEX(属性投放!$BR$6:$BR$85,(卡牌属性!$DW441-2)*20+卡牌属性!$DX441)</f>
        <v>400</v>
      </c>
      <c r="FQ441" s="14">
        <f>INDEX(属性投放!$BR$6:$BR$85,(卡牌属性!$DW441-2)*20+卡牌属性!$DX441)</f>
        <v>400</v>
      </c>
      <c r="FR441" s="14">
        <f>INDEX(属性投放!$BS$6:$BS$85,(卡牌属性!$DW441-2)*20+卡牌属性!$DX441)</f>
        <v>8000</v>
      </c>
      <c r="FS441" s="14">
        <f>INDEX(属性投放!$BS$6:$BS$85,(卡牌属性!$DW441-2)*20+卡牌属性!$DX441)</f>
        <v>8000</v>
      </c>
      <c r="FT441" s="14">
        <f>INDEX(属性投放!$BS$6:$BS$85,(卡牌属性!$DW441-2)*20+卡牌属性!$DX441)</f>
        <v>8000</v>
      </c>
      <c r="FU441" s="14">
        <f>INDEX(属性投放!$BS$6:$BS$85,(卡牌属性!$DW441-2)*20+卡牌属性!$DX441)</f>
        <v>8000</v>
      </c>
      <c r="FV441" s="14">
        <f>INDEX(属性投放!$BS$6:$BS$85,(卡牌属性!$DW441-2)*20+卡牌属性!$DX441)</f>
        <v>8000</v>
      </c>
    </row>
    <row r="442" spans="31:178" ht="16.5" x14ac:dyDescent="0.2">
      <c r="AE442" s="13">
        <v>438</v>
      </c>
      <c r="AF442" s="13">
        <f t="shared" si="753"/>
        <v>22</v>
      </c>
      <c r="AG442" s="13">
        <f t="shared" si="740"/>
        <v>3</v>
      </c>
      <c r="AH442" s="13"/>
      <c r="AI442" s="13"/>
      <c r="AJ442" s="14">
        <f t="shared" si="741"/>
        <v>1101030</v>
      </c>
      <c r="AK442" s="14" t="str">
        <f t="shared" si="742"/>
        <v>卢天佑18突</v>
      </c>
      <c r="AL442" s="25" t="s">
        <v>142</v>
      </c>
      <c r="AM442" s="14">
        <v>1</v>
      </c>
      <c r="AN442" s="14">
        <f t="shared" si="743"/>
        <v>18</v>
      </c>
      <c r="AO442" s="14">
        <f>INDEX(属性投放!$DF$6:$DF$85,(卡牌属性!AG442-2)*20+卡牌属性!AN442)</f>
        <v>13425</v>
      </c>
      <c r="AP442" s="14">
        <f t="shared" si="784"/>
        <v>13425</v>
      </c>
      <c r="AQ442" s="14">
        <f t="shared" si="784"/>
        <v>13425</v>
      </c>
      <c r="AR442" s="14">
        <f t="shared" si="784"/>
        <v>13425</v>
      </c>
      <c r="AS442" s="14">
        <f t="shared" si="784"/>
        <v>13425</v>
      </c>
      <c r="AT442" s="14">
        <f>INDEX(属性投放!$DG$6:$DG$85,(卡牌属性!AG442-2)*20+卡牌属性!AN442)</f>
        <v>6652</v>
      </c>
      <c r="AU442" s="14">
        <f t="shared" si="785"/>
        <v>6652</v>
      </c>
      <c r="AV442" s="14">
        <f t="shared" si="785"/>
        <v>6652</v>
      </c>
      <c r="AW442" s="14">
        <f t="shared" si="785"/>
        <v>6652</v>
      </c>
      <c r="AX442" s="14">
        <f t="shared" si="785"/>
        <v>6652</v>
      </c>
      <c r="AY442" s="14">
        <f>INDEX(属性投放!$DH$6:$DH$85,(卡牌属性!AG442-2)*20+卡牌属性!AN442)</f>
        <v>123338</v>
      </c>
      <c r="AZ442" s="14">
        <f t="shared" si="786"/>
        <v>123338</v>
      </c>
      <c r="BA442" s="14">
        <f t="shared" si="786"/>
        <v>123338</v>
      </c>
      <c r="BB442" s="14">
        <f t="shared" si="786"/>
        <v>123338</v>
      </c>
      <c r="BC442" s="14">
        <f t="shared" si="786"/>
        <v>123338</v>
      </c>
      <c r="BD442" s="14">
        <f>INDEX(属性投放!$DL$6:$DL$85,(卡牌属性!AG442-2)*20+卡牌属性!AN442)</f>
        <v>259</v>
      </c>
      <c r="BE442" s="14">
        <f t="shared" si="787"/>
        <v>259</v>
      </c>
      <c r="BF442" s="14">
        <f t="shared" si="787"/>
        <v>259</v>
      </c>
      <c r="BG442" s="14">
        <f t="shared" si="787"/>
        <v>259</v>
      </c>
      <c r="BH442" s="14">
        <f t="shared" si="787"/>
        <v>259</v>
      </c>
      <c r="BI442" s="14">
        <f>INDEX(属性投放!$DM$6:$DM$85,(卡牌属性!AG442-2)*20+卡牌属性!AN442)</f>
        <v>130</v>
      </c>
      <c r="BJ442" s="14">
        <f t="shared" si="788"/>
        <v>130</v>
      </c>
      <c r="BK442" s="14">
        <f t="shared" si="788"/>
        <v>130</v>
      </c>
      <c r="BL442" s="14">
        <f t="shared" si="788"/>
        <v>130</v>
      </c>
      <c r="BM442" s="14">
        <f t="shared" si="788"/>
        <v>130</v>
      </c>
      <c r="BN442" s="14">
        <f>INDEX(属性投放!$DN$6:$DN$85,(卡牌属性!AG442-2)*20+卡牌属性!AN442)</f>
        <v>2593</v>
      </c>
      <c r="BO442" s="14">
        <f t="shared" si="789"/>
        <v>2593</v>
      </c>
      <c r="BP442" s="14">
        <f t="shared" si="789"/>
        <v>2593</v>
      </c>
      <c r="BQ442" s="14">
        <f t="shared" si="789"/>
        <v>2593</v>
      </c>
      <c r="BR442" s="14">
        <f t="shared" si="789"/>
        <v>2593</v>
      </c>
      <c r="BW442" s="13">
        <v>438</v>
      </c>
      <c r="BX442" s="13">
        <f t="shared" si="744"/>
        <v>22</v>
      </c>
      <c r="BY442" s="14">
        <f t="shared" si="745"/>
        <v>2</v>
      </c>
      <c r="BZ442" s="14">
        <f t="shared" si="754"/>
        <v>1102050</v>
      </c>
      <c r="CA442" s="14" t="str">
        <f t="shared" si="755"/>
        <v>柠檬精18突</v>
      </c>
      <c r="CB442" s="25" t="s">
        <v>142</v>
      </c>
      <c r="CC442" s="14">
        <v>2</v>
      </c>
      <c r="CD442" s="14">
        <f t="shared" si="746"/>
        <v>18</v>
      </c>
      <c r="CE442" s="14" t="s">
        <v>21</v>
      </c>
      <c r="CF442" s="14">
        <f>INDEX(属性投放!$AZ$6:$AZ$85,(BY442-2)*20+CD442)</f>
        <v>13385</v>
      </c>
      <c r="CG442" s="14" t="s">
        <v>22</v>
      </c>
      <c r="CH442" s="14">
        <f>INDEX(属性投放!$BA$6:$BA$85,(BY442-2)*20+CD442)</f>
        <v>6660</v>
      </c>
      <c r="CI442" s="14" t="s">
        <v>510</v>
      </c>
      <c r="CJ442" s="14">
        <f>INDEX(属性投放!$BB$6:$BB$85,(BY442-2)*20+CD442)</f>
        <v>125658</v>
      </c>
      <c r="CK442" s="14" t="s">
        <v>21</v>
      </c>
      <c r="CL442" s="14">
        <f>INDEX(属性投放!$BC$6:$BC$85,(BY442-2)*20+CD442)</f>
        <v>20</v>
      </c>
      <c r="CM442" s="14" t="s">
        <v>22</v>
      </c>
      <c r="CN442" s="14">
        <f>INDEX(属性投放!$BD$6:$BD$85,(BY442-2)*20+CD442)</f>
        <v>10</v>
      </c>
      <c r="CO442" s="14" t="s">
        <v>510</v>
      </c>
      <c r="CP442" s="14">
        <f>INDEX(属性投放!$BE$6:$BE$85,(BY442-2)*20+CD442)</f>
        <v>200</v>
      </c>
      <c r="CS442" s="13">
        <v>438</v>
      </c>
      <c r="CT442" s="13">
        <f t="shared" si="756"/>
        <v>9</v>
      </c>
      <c r="CU442" s="13">
        <f t="shared" si="757"/>
        <v>22</v>
      </c>
      <c r="CV442" s="14">
        <f t="shared" si="758"/>
        <v>3</v>
      </c>
      <c r="CW442" s="14">
        <f t="shared" si="759"/>
        <v>1102009</v>
      </c>
      <c r="CX442" s="14" t="str">
        <f>INDEX($O$6:$O$50,CT442)&amp;"-"&amp;INDEX(属性投放!$AB$7:$AB$50,CZ442)&amp;"-魂火-"&amp;DB442</f>
        <v>徐晃-大叫唤+1-魂火-1</v>
      </c>
      <c r="CY442" s="25" t="s">
        <v>142</v>
      </c>
      <c r="CZ442" s="14">
        <f>INDEX(属性投放!$AM$7:$AM$58,CU442)</f>
        <v>11</v>
      </c>
      <c r="DA442" s="14" t="s">
        <v>537</v>
      </c>
      <c r="DB442" s="14">
        <f>INDEX(属性投放!$AN$7:$AN$58,CU442)</f>
        <v>1</v>
      </c>
      <c r="DC442" s="14">
        <f t="shared" si="747"/>
        <v>22</v>
      </c>
      <c r="DD442" s="14">
        <f>INDEX(属性投放!$AO$7:$AO$58,DC442)</f>
        <v>73</v>
      </c>
      <c r="DE442" s="14" t="s">
        <v>538</v>
      </c>
      <c r="DF442" s="14">
        <f>INDEX(属性投放!$BK$6:$BK$85,(CV442-2)*20+CZ442)</f>
        <v>150</v>
      </c>
      <c r="DG442" s="14">
        <f>SUMIFS(DF$5:DF442,$CT$5:$CT442,"="&amp;$CT442)</f>
        <v>1520</v>
      </c>
      <c r="DH442" s="14" t="s">
        <v>539</v>
      </c>
      <c r="DI442" s="14">
        <f>INDEX(属性投放!$BL$6:$BL$85,(CV442-2)*20+CZ442)</f>
        <v>75</v>
      </c>
      <c r="DJ442" s="14">
        <f>SUMIFS(DI$5:DI442,$CT$5:$CT442,"="&amp;$CT442)</f>
        <v>763</v>
      </c>
      <c r="DK442" s="14" t="s">
        <v>540</v>
      </c>
      <c r="DL442" s="14">
        <f>INDEX(属性投放!$BM$6:$BM$85,(CV442-2)*20+CZ442)</f>
        <v>1350</v>
      </c>
      <c r="DM442" s="14">
        <f>SUMIFS(DL$5:DL442,$CT$5:$CT442,"="&amp;$CT442)</f>
        <v>12140</v>
      </c>
      <c r="DR442" s="14">
        <f t="shared" si="748"/>
        <v>1102050</v>
      </c>
      <c r="DS442" s="14" t="str">
        <f t="shared" si="749"/>
        <v>柠檬精18突</v>
      </c>
      <c r="DT442" s="14">
        <f t="shared" si="760"/>
        <v>3</v>
      </c>
      <c r="DU442" s="14">
        <f t="shared" si="761"/>
        <v>1</v>
      </c>
      <c r="DV442" s="14">
        <f t="shared" si="762"/>
        <v>4</v>
      </c>
      <c r="DW442" s="14">
        <f t="shared" si="750"/>
        <v>2</v>
      </c>
      <c r="DX442" s="14">
        <f t="shared" si="751"/>
        <v>18</v>
      </c>
      <c r="DY442" s="14">
        <f t="shared" si="752"/>
        <v>18</v>
      </c>
      <c r="DZ442" s="14">
        <f>INDEX(属性投放!$AX$6:$AX$85,(卡牌属性!DW442-2)*20+卡牌属性!DX442)</f>
        <v>7</v>
      </c>
      <c r="EA442" s="14">
        <f>INDEX(属性投放!BQ$6:BQ$85,卡牌属性!$DY442)</f>
        <v>1400</v>
      </c>
      <c r="EB442" s="14">
        <f>INDEX(属性投放!BR$6:BR$85,卡牌属性!$DY442)</f>
        <v>700</v>
      </c>
      <c r="EC442" s="14">
        <f>INDEX(属性投放!BS$6:BS$85,卡牌属性!$DY442)</f>
        <v>14000</v>
      </c>
      <c r="ED442" s="14">
        <f t="shared" si="790"/>
        <v>5860</v>
      </c>
      <c r="EE442" s="14">
        <f t="shared" si="791"/>
        <v>6265</v>
      </c>
      <c r="EF442" s="14">
        <f t="shared" si="792"/>
        <v>6736</v>
      </c>
      <c r="EG442" s="14">
        <f t="shared" si="793"/>
        <v>6736</v>
      </c>
      <c r="EH442" s="14">
        <f t="shared" si="794"/>
        <v>6969</v>
      </c>
      <c r="EI442" s="14">
        <f t="shared" si="795"/>
        <v>2639</v>
      </c>
      <c r="EJ442" s="14">
        <f t="shared" si="796"/>
        <v>2757</v>
      </c>
      <c r="EK442" s="14">
        <f t="shared" si="797"/>
        <v>2757</v>
      </c>
      <c r="EL442" s="14">
        <f t="shared" si="798"/>
        <v>2904</v>
      </c>
      <c r="EM442" s="14">
        <f t="shared" si="799"/>
        <v>3109</v>
      </c>
      <c r="EN442" s="14">
        <f t="shared" si="800"/>
        <v>57092</v>
      </c>
      <c r="EO442" s="14">
        <f t="shared" si="801"/>
        <v>61110</v>
      </c>
      <c r="EP442" s="14">
        <f t="shared" si="802"/>
        <v>61110</v>
      </c>
      <c r="EQ442" s="14">
        <f t="shared" si="803"/>
        <v>63024</v>
      </c>
      <c r="ER442" s="14">
        <f t="shared" si="804"/>
        <v>73208</v>
      </c>
      <c r="ES442" s="14">
        <f>INDEX(属性偏向!$S$4:$S$243,(卡牌属性!$DT442-1+ES$3)*20+卡牌属性!$DX442)</f>
        <v>20</v>
      </c>
      <c r="ET442" s="14">
        <f>INDEX(属性偏向!$S$4:$S$243,(卡牌属性!$DT442-1+ET$3)*20+卡牌属性!$DX442)</f>
        <v>25</v>
      </c>
      <c r="EU442" s="14">
        <f>INDEX(属性偏向!$S$4:$S$243,(卡牌属性!$DT442-1+EU$3)*20+卡牌属性!$DX442)</f>
        <v>30</v>
      </c>
      <c r="EV442" s="14">
        <f>INDEX(属性偏向!$S$4:$S$243,(卡牌属性!$DT442-1+EV$3)*20+卡牌属性!$DX442)</f>
        <v>30</v>
      </c>
      <c r="EW442" s="14">
        <f>INDEX(属性偏向!$S$4:$S$243,(卡牌属性!$DT442-1+EW$3)*20+卡牌属性!$DX442)</f>
        <v>35</v>
      </c>
      <c r="EX442" s="14">
        <f>INDEX(属性偏向!$T$4:$T$243,(卡牌属性!$DU442-1+EX$3)*20+卡牌属性!$DX442)</f>
        <v>6</v>
      </c>
      <c r="EY442" s="14">
        <f>INDEX(属性偏向!$T$4:$T$243,(卡牌属性!$DU442-1+EY$3)*20+卡牌属性!$DX442)</f>
        <v>8</v>
      </c>
      <c r="EZ442" s="14">
        <f>INDEX(属性偏向!$T$4:$T$243,(卡牌属性!$DU442-1+EZ$3)*20+卡牌属性!$DX442)</f>
        <v>8</v>
      </c>
      <c r="FA442" s="14">
        <f>INDEX(属性偏向!$T$4:$T$243,(卡牌属性!$DU442-1+FA$3)*20+卡牌属性!$DX442)</f>
        <v>10</v>
      </c>
      <c r="FB442" s="14">
        <f>INDEX(属性偏向!$T$4:$T$243,(卡牌属性!$DU442-1+FB$3)*20+卡牌属性!$DX442)</f>
        <v>13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INDEX(属性投放!$BQ$6:$BQ$85,(卡牌属性!$DW442-2)*20+卡牌属性!$DX442)</f>
        <v>1400</v>
      </c>
      <c r="FI442" s="14">
        <f>INDEX(属性投放!$BQ$6:$BQ$85,(卡牌属性!$DW442-2)*20+卡牌属性!$DX442)</f>
        <v>1400</v>
      </c>
      <c r="FJ442" s="14">
        <f>INDEX(属性投放!$BQ$6:$BQ$85,(卡牌属性!$DW442-2)*20+卡牌属性!$DX442)</f>
        <v>1400</v>
      </c>
      <c r="FK442" s="14">
        <f>INDEX(属性投放!$BQ$6:$BQ$85,(卡牌属性!$DW442-2)*20+卡牌属性!$DX442)</f>
        <v>1400</v>
      </c>
      <c r="FL442" s="14">
        <f>INDEX(属性投放!$BQ$6:$BQ$85,(卡牌属性!$DW442-2)*20+卡牌属性!$DX442)</f>
        <v>1400</v>
      </c>
      <c r="FM442" s="14">
        <f>INDEX(属性投放!$BR$6:$BR$85,(卡牌属性!$DW442-2)*20+卡牌属性!$DX442)</f>
        <v>700</v>
      </c>
      <c r="FN442" s="14">
        <f>INDEX(属性投放!$BR$6:$BR$85,(卡牌属性!$DW442-2)*20+卡牌属性!$DX442)</f>
        <v>700</v>
      </c>
      <c r="FO442" s="14">
        <f>INDEX(属性投放!$BR$6:$BR$85,(卡牌属性!$DW442-2)*20+卡牌属性!$DX442)</f>
        <v>700</v>
      </c>
      <c r="FP442" s="14">
        <f>INDEX(属性投放!$BR$6:$BR$85,(卡牌属性!$DW442-2)*20+卡牌属性!$DX442)</f>
        <v>700</v>
      </c>
      <c r="FQ442" s="14">
        <f>INDEX(属性投放!$BR$6:$BR$85,(卡牌属性!$DW442-2)*20+卡牌属性!$DX442)</f>
        <v>700</v>
      </c>
      <c r="FR442" s="14">
        <f>INDEX(属性投放!$BS$6:$BS$85,(卡牌属性!$DW442-2)*20+卡牌属性!$DX442)</f>
        <v>14000</v>
      </c>
      <c r="FS442" s="14">
        <f>INDEX(属性投放!$BS$6:$BS$85,(卡牌属性!$DW442-2)*20+卡牌属性!$DX442)</f>
        <v>14000</v>
      </c>
      <c r="FT442" s="14">
        <f>INDEX(属性投放!$BS$6:$BS$85,(卡牌属性!$DW442-2)*20+卡牌属性!$DX442)</f>
        <v>14000</v>
      </c>
      <c r="FU442" s="14">
        <f>INDEX(属性投放!$BS$6:$BS$85,(卡牌属性!$DW442-2)*20+卡牌属性!$DX442)</f>
        <v>14000</v>
      </c>
      <c r="FV442" s="14">
        <f>INDEX(属性投放!$BS$6:$BS$85,(卡牌属性!$DW442-2)*20+卡牌属性!$DX442)</f>
        <v>14000</v>
      </c>
    </row>
    <row r="443" spans="31:178" ht="16.5" x14ac:dyDescent="0.2">
      <c r="AE443" s="13">
        <v>439</v>
      </c>
      <c r="AF443" s="13">
        <f t="shared" si="753"/>
        <v>22</v>
      </c>
      <c r="AG443" s="13">
        <f t="shared" si="740"/>
        <v>3</v>
      </c>
      <c r="AH443" s="13"/>
      <c r="AI443" s="13"/>
      <c r="AJ443" s="14">
        <f t="shared" si="741"/>
        <v>1101030</v>
      </c>
      <c r="AK443" s="14" t="str">
        <f t="shared" si="742"/>
        <v>卢天佑19突</v>
      </c>
      <c r="AL443" s="25" t="s">
        <v>142</v>
      </c>
      <c r="AM443" s="14">
        <v>1</v>
      </c>
      <c r="AN443" s="14">
        <f t="shared" si="743"/>
        <v>19</v>
      </c>
      <c r="AO443" s="14">
        <f>INDEX(属性投放!$DF$6:$DF$85,(卡牌属性!AG443-2)*20+卡牌属性!AN443)</f>
        <v>20826</v>
      </c>
      <c r="AP443" s="14">
        <f t="shared" si="784"/>
        <v>20826</v>
      </c>
      <c r="AQ443" s="14">
        <f t="shared" si="784"/>
        <v>20826</v>
      </c>
      <c r="AR443" s="14">
        <f t="shared" si="784"/>
        <v>20826</v>
      </c>
      <c r="AS443" s="14">
        <f t="shared" si="784"/>
        <v>20826</v>
      </c>
      <c r="AT443" s="14">
        <f>INDEX(属性投放!$DG$6:$DG$85,(卡牌属性!AG443-2)*20+卡牌属性!AN443)</f>
        <v>10365</v>
      </c>
      <c r="AU443" s="14">
        <f t="shared" si="785"/>
        <v>10365</v>
      </c>
      <c r="AV443" s="14">
        <f t="shared" si="785"/>
        <v>10365</v>
      </c>
      <c r="AW443" s="14">
        <f t="shared" si="785"/>
        <v>10365</v>
      </c>
      <c r="AX443" s="14">
        <f t="shared" si="785"/>
        <v>10365</v>
      </c>
      <c r="AY443" s="14">
        <f>INDEX(属性投放!$DH$6:$DH$85,(卡牌属性!AG443-2)*20+卡牌属性!AN443)</f>
        <v>197423</v>
      </c>
      <c r="AZ443" s="14">
        <f t="shared" si="786"/>
        <v>197423</v>
      </c>
      <c r="BA443" s="14">
        <f t="shared" si="786"/>
        <v>197423</v>
      </c>
      <c r="BB443" s="14">
        <f t="shared" si="786"/>
        <v>197423</v>
      </c>
      <c r="BC443" s="14">
        <f t="shared" si="786"/>
        <v>197423</v>
      </c>
      <c r="BD443" s="14">
        <f>INDEX(属性投放!$DL$6:$DL$85,(卡牌属性!AG443-2)*20+卡牌属性!AN443)</f>
        <v>486</v>
      </c>
      <c r="BE443" s="14">
        <f t="shared" si="787"/>
        <v>486</v>
      </c>
      <c r="BF443" s="14">
        <f t="shared" si="787"/>
        <v>486</v>
      </c>
      <c r="BG443" s="14">
        <f t="shared" si="787"/>
        <v>486</v>
      </c>
      <c r="BH443" s="14">
        <f t="shared" si="787"/>
        <v>486</v>
      </c>
      <c r="BI443" s="14">
        <f>INDEX(属性投放!$DM$6:$DM$85,(卡牌属性!AG443-2)*20+卡牌属性!AN443)</f>
        <v>243</v>
      </c>
      <c r="BJ443" s="14">
        <f t="shared" si="788"/>
        <v>243</v>
      </c>
      <c r="BK443" s="14">
        <f t="shared" si="788"/>
        <v>243</v>
      </c>
      <c r="BL443" s="14">
        <f t="shared" si="788"/>
        <v>243</v>
      </c>
      <c r="BM443" s="14">
        <f t="shared" si="788"/>
        <v>243</v>
      </c>
      <c r="BN443" s="14">
        <f>INDEX(属性投放!$DN$6:$DN$85,(卡牌属性!AG443-2)*20+卡牌属性!AN443)</f>
        <v>4863</v>
      </c>
      <c r="BO443" s="14">
        <f t="shared" si="789"/>
        <v>4863</v>
      </c>
      <c r="BP443" s="14">
        <f t="shared" si="789"/>
        <v>4863</v>
      </c>
      <c r="BQ443" s="14">
        <f t="shared" si="789"/>
        <v>4863</v>
      </c>
      <c r="BR443" s="14">
        <f t="shared" si="789"/>
        <v>4863</v>
      </c>
      <c r="BW443" s="13">
        <v>439</v>
      </c>
      <c r="BX443" s="13">
        <f t="shared" si="744"/>
        <v>22</v>
      </c>
      <c r="BY443" s="14">
        <f t="shared" si="745"/>
        <v>2</v>
      </c>
      <c r="BZ443" s="14">
        <f t="shared" si="754"/>
        <v>1102050</v>
      </c>
      <c r="CA443" s="14" t="str">
        <f t="shared" si="755"/>
        <v>柠檬精19突</v>
      </c>
      <c r="CB443" s="25" t="s">
        <v>142</v>
      </c>
      <c r="CC443" s="14">
        <v>2</v>
      </c>
      <c r="CD443" s="14">
        <f t="shared" si="746"/>
        <v>19</v>
      </c>
      <c r="CE443" s="14" t="s">
        <v>21</v>
      </c>
      <c r="CF443" s="14">
        <f>INDEX(属性投放!$AZ$6:$AZ$85,(BY443-2)*20+CD443)</f>
        <v>16965</v>
      </c>
      <c r="CG443" s="14" t="s">
        <v>22</v>
      </c>
      <c r="CH443" s="14">
        <f>INDEX(属性投放!$BA$6:$BA$85,(BY443-2)*20+CD443)</f>
        <v>8450</v>
      </c>
      <c r="CI443" s="14" t="s">
        <v>510</v>
      </c>
      <c r="CJ443" s="14">
        <f>INDEX(属性投放!$BB$6:$BB$85,(BY443-2)*20+CD443)</f>
        <v>161458</v>
      </c>
      <c r="CK443" s="14" t="s">
        <v>21</v>
      </c>
      <c r="CL443" s="14">
        <f>INDEX(属性投放!$BC$6:$BC$85,(BY443-2)*20+CD443)</f>
        <v>25</v>
      </c>
      <c r="CM443" s="14" t="s">
        <v>22</v>
      </c>
      <c r="CN443" s="14">
        <f>INDEX(属性投放!$BD$6:$BD$85,(BY443-2)*20+CD443)</f>
        <v>13</v>
      </c>
      <c r="CO443" s="14" t="s">
        <v>510</v>
      </c>
      <c r="CP443" s="14">
        <f>INDEX(属性投放!$BE$6:$BE$85,(BY443-2)*20+CD443)</f>
        <v>250</v>
      </c>
      <c r="CS443" s="13">
        <v>439</v>
      </c>
      <c r="CT443" s="13">
        <f t="shared" si="756"/>
        <v>9</v>
      </c>
      <c r="CU443" s="13">
        <f t="shared" si="757"/>
        <v>23</v>
      </c>
      <c r="CV443" s="14">
        <f t="shared" si="758"/>
        <v>3</v>
      </c>
      <c r="CW443" s="14">
        <f t="shared" si="759"/>
        <v>1102009</v>
      </c>
      <c r="CX443" s="14" t="str">
        <f>INDEX($O$6:$O$50,CT443)&amp;"-"&amp;INDEX(属性投放!$AB$7:$AB$50,CZ443)&amp;"-魂火-"&amp;DB443</f>
        <v>徐晃-大叫唤+1-魂火-2</v>
      </c>
      <c r="CY443" s="25" t="s">
        <v>142</v>
      </c>
      <c r="CZ443" s="14">
        <f>INDEX(属性投放!$AM$7:$AM$58,CU443)</f>
        <v>11</v>
      </c>
      <c r="DA443" s="14" t="s">
        <v>537</v>
      </c>
      <c r="DB443" s="14">
        <f>INDEX(属性投放!$AN$7:$AN$58,CU443)</f>
        <v>2</v>
      </c>
      <c r="DC443" s="14">
        <f t="shared" si="747"/>
        <v>23</v>
      </c>
      <c r="DD443" s="14">
        <f>INDEX(属性投放!$AO$7:$AO$58,DC443)</f>
        <v>75</v>
      </c>
      <c r="DE443" s="14" t="s">
        <v>538</v>
      </c>
      <c r="DF443" s="14">
        <f>INDEX(属性投放!$BK$6:$BK$85,(CV443-2)*20+CZ443)</f>
        <v>150</v>
      </c>
      <c r="DG443" s="14">
        <f>SUMIFS(DF$5:DF443,$CT$5:$CT443,"="&amp;$CT443)</f>
        <v>1670</v>
      </c>
      <c r="DH443" s="14" t="s">
        <v>539</v>
      </c>
      <c r="DI443" s="14">
        <f>INDEX(属性投放!$BL$6:$BL$85,(CV443-2)*20+CZ443)</f>
        <v>75</v>
      </c>
      <c r="DJ443" s="14">
        <f>SUMIFS(DI$5:DI443,$CT$5:$CT443,"="&amp;$CT443)</f>
        <v>838</v>
      </c>
      <c r="DK443" s="14" t="s">
        <v>540</v>
      </c>
      <c r="DL443" s="14">
        <f>INDEX(属性投放!$BM$6:$BM$85,(CV443-2)*20+CZ443)</f>
        <v>1350</v>
      </c>
      <c r="DM443" s="14">
        <f>SUMIFS(DL$5:DL443,$CT$5:$CT443,"="&amp;$CT443)</f>
        <v>13490</v>
      </c>
      <c r="DR443" s="14">
        <f t="shared" si="748"/>
        <v>1102050</v>
      </c>
      <c r="DS443" s="14" t="str">
        <f t="shared" si="749"/>
        <v>柠檬精19突</v>
      </c>
      <c r="DT443" s="14">
        <f t="shared" si="760"/>
        <v>3</v>
      </c>
      <c r="DU443" s="14">
        <f t="shared" si="761"/>
        <v>1</v>
      </c>
      <c r="DV443" s="14">
        <f t="shared" si="762"/>
        <v>4</v>
      </c>
      <c r="DW443" s="14">
        <f t="shared" si="750"/>
        <v>2</v>
      </c>
      <c r="DX443" s="14">
        <f t="shared" si="751"/>
        <v>19</v>
      </c>
      <c r="DY443" s="14">
        <f t="shared" si="752"/>
        <v>19</v>
      </c>
      <c r="DZ443" s="14">
        <f>INDEX(属性投放!$AX$6:$AX$85,(卡牌属性!DW443-2)*20+卡牌属性!DX443)</f>
        <v>8</v>
      </c>
      <c r="EA443" s="14">
        <f>INDEX(属性投放!BQ$6:BQ$85,卡牌属性!$DY443)</f>
        <v>1400</v>
      </c>
      <c r="EB443" s="14">
        <f>INDEX(属性投放!BR$6:BR$85,卡牌属性!$DY443)</f>
        <v>700</v>
      </c>
      <c r="EC443" s="14">
        <f>INDEX(属性投放!BS$6:BS$85,卡牌属性!$DY443)</f>
        <v>14000</v>
      </c>
      <c r="ED443" s="14">
        <f t="shared" si="790"/>
        <v>7400</v>
      </c>
      <c r="EE443" s="14">
        <f t="shared" si="791"/>
        <v>7840</v>
      </c>
      <c r="EF443" s="14">
        <f t="shared" si="792"/>
        <v>8346</v>
      </c>
      <c r="EG443" s="14">
        <f t="shared" si="793"/>
        <v>8346</v>
      </c>
      <c r="EH443" s="14">
        <f t="shared" si="794"/>
        <v>8614</v>
      </c>
      <c r="EI443" s="14">
        <f t="shared" si="795"/>
        <v>3381</v>
      </c>
      <c r="EJ443" s="14">
        <f t="shared" si="796"/>
        <v>3513</v>
      </c>
      <c r="EK443" s="14">
        <f t="shared" si="797"/>
        <v>3513</v>
      </c>
      <c r="EL443" s="14">
        <f t="shared" si="798"/>
        <v>3674</v>
      </c>
      <c r="EM443" s="14">
        <f t="shared" si="799"/>
        <v>3900</v>
      </c>
      <c r="EN443" s="14">
        <f t="shared" si="800"/>
        <v>72842</v>
      </c>
      <c r="EO443" s="14">
        <f t="shared" si="801"/>
        <v>77210</v>
      </c>
      <c r="EP443" s="14">
        <f t="shared" si="802"/>
        <v>77210</v>
      </c>
      <c r="EQ443" s="14">
        <f t="shared" si="803"/>
        <v>79474</v>
      </c>
      <c r="ER443" s="14">
        <f t="shared" si="804"/>
        <v>90708</v>
      </c>
      <c r="ES443" s="14">
        <f>INDEX(属性偏向!$S$4:$S$243,(卡牌属性!$DT443-1+ES$3)*20+卡牌属性!$DX443)</f>
        <v>25</v>
      </c>
      <c r="ET443" s="14">
        <f>INDEX(属性偏向!$S$4:$S$243,(卡牌属性!$DT443-1+ET$3)*20+卡牌属性!$DX443)</f>
        <v>30</v>
      </c>
      <c r="EU443" s="14">
        <f>INDEX(属性偏向!$S$4:$S$243,(卡牌属性!$DT443-1+EU$3)*20+卡牌属性!$DX443)</f>
        <v>40</v>
      </c>
      <c r="EV443" s="14">
        <f>INDEX(属性偏向!$S$4:$S$243,(卡牌属性!$DT443-1+EV$3)*20+卡牌属性!$DX443)</f>
        <v>40</v>
      </c>
      <c r="EW443" s="14">
        <f>INDEX(属性偏向!$S$4:$S$243,(卡牌属性!$DT443-1+EW$3)*20+卡牌属性!$DX443)</f>
        <v>45</v>
      </c>
      <c r="EX443" s="14">
        <f>INDEX(属性偏向!$T$4:$T$243,(卡牌属性!$DU443-1+EX$3)*20+卡牌属性!$DX443)</f>
        <v>8</v>
      </c>
      <c r="EY443" s="14">
        <f>INDEX(属性偏向!$T$4:$T$243,(卡牌属性!$DU443-1+EY$3)*20+卡牌属性!$DX443)</f>
        <v>10</v>
      </c>
      <c r="EZ443" s="14">
        <f>INDEX(属性偏向!$T$4:$T$243,(卡牌属性!$DU443-1+EZ$3)*20+卡牌属性!$DX443)</f>
        <v>10</v>
      </c>
      <c r="FA443" s="14">
        <f>INDEX(属性偏向!$T$4:$T$243,(卡牌属性!$DU443-1+FA$3)*20+卡牌属性!$DX443)</f>
        <v>13</v>
      </c>
      <c r="FB443" s="14">
        <f>INDEX(属性偏向!$T$4:$T$243,(卡牌属性!$DU443-1+FB$3)*20+卡牌属性!$DX443)</f>
        <v>15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INDEX(属性投放!$BQ$6:$BQ$85,(卡牌属性!$DW443-2)*20+卡牌属性!$DX443)</f>
        <v>1400</v>
      </c>
      <c r="FI443" s="14">
        <f>INDEX(属性投放!$BQ$6:$BQ$85,(卡牌属性!$DW443-2)*20+卡牌属性!$DX443)</f>
        <v>1400</v>
      </c>
      <c r="FJ443" s="14">
        <f>INDEX(属性投放!$BQ$6:$BQ$85,(卡牌属性!$DW443-2)*20+卡牌属性!$DX443)</f>
        <v>1400</v>
      </c>
      <c r="FK443" s="14">
        <f>INDEX(属性投放!$BQ$6:$BQ$85,(卡牌属性!$DW443-2)*20+卡牌属性!$DX443)</f>
        <v>1400</v>
      </c>
      <c r="FL443" s="14">
        <f>INDEX(属性投放!$BQ$6:$BQ$85,(卡牌属性!$DW443-2)*20+卡牌属性!$DX443)</f>
        <v>1400</v>
      </c>
      <c r="FM443" s="14">
        <f>INDEX(属性投放!$BR$6:$BR$85,(卡牌属性!$DW443-2)*20+卡牌属性!$DX443)</f>
        <v>700</v>
      </c>
      <c r="FN443" s="14">
        <f>INDEX(属性投放!$BR$6:$BR$85,(卡牌属性!$DW443-2)*20+卡牌属性!$DX443)</f>
        <v>700</v>
      </c>
      <c r="FO443" s="14">
        <f>INDEX(属性投放!$BR$6:$BR$85,(卡牌属性!$DW443-2)*20+卡牌属性!$DX443)</f>
        <v>700</v>
      </c>
      <c r="FP443" s="14">
        <f>INDEX(属性投放!$BR$6:$BR$85,(卡牌属性!$DW443-2)*20+卡牌属性!$DX443)</f>
        <v>700</v>
      </c>
      <c r="FQ443" s="14">
        <f>INDEX(属性投放!$BR$6:$BR$85,(卡牌属性!$DW443-2)*20+卡牌属性!$DX443)</f>
        <v>700</v>
      </c>
      <c r="FR443" s="14">
        <f>INDEX(属性投放!$BS$6:$BS$85,(卡牌属性!$DW443-2)*20+卡牌属性!$DX443)</f>
        <v>14000</v>
      </c>
      <c r="FS443" s="14">
        <f>INDEX(属性投放!$BS$6:$BS$85,(卡牌属性!$DW443-2)*20+卡牌属性!$DX443)</f>
        <v>14000</v>
      </c>
      <c r="FT443" s="14">
        <f>INDEX(属性投放!$BS$6:$BS$85,(卡牌属性!$DW443-2)*20+卡牌属性!$DX443)</f>
        <v>14000</v>
      </c>
      <c r="FU443" s="14">
        <f>INDEX(属性投放!$BS$6:$BS$85,(卡牌属性!$DW443-2)*20+卡牌属性!$DX443)</f>
        <v>14000</v>
      </c>
      <c r="FV443" s="14">
        <f>INDEX(属性投放!$BS$6:$BS$85,(卡牌属性!$DW443-2)*20+卡牌属性!$DX443)</f>
        <v>14000</v>
      </c>
    </row>
    <row r="444" spans="31:178" ht="16.5" x14ac:dyDescent="0.2">
      <c r="AE444" s="13">
        <v>440</v>
      </c>
      <c r="AF444" s="13">
        <f t="shared" si="753"/>
        <v>22</v>
      </c>
      <c r="AG444" s="13">
        <f t="shared" si="740"/>
        <v>3</v>
      </c>
      <c r="AH444" s="13"/>
      <c r="AI444" s="13"/>
      <c r="AJ444" s="14">
        <f t="shared" si="741"/>
        <v>1101030</v>
      </c>
      <c r="AK444" s="14" t="str">
        <f t="shared" si="742"/>
        <v>卢天佑20突</v>
      </c>
      <c r="AL444" s="25" t="s">
        <v>142</v>
      </c>
      <c r="AM444" s="14">
        <v>1</v>
      </c>
      <c r="AN444" s="14">
        <f t="shared" si="743"/>
        <v>20</v>
      </c>
      <c r="AO444" s="14">
        <f>INDEX(属性投放!$DF$6:$DF$85,(卡牌属性!AG444-2)*20+卡牌属性!AN444)</f>
        <v>21868</v>
      </c>
      <c r="AP444" s="14">
        <f t="shared" si="784"/>
        <v>21868</v>
      </c>
      <c r="AQ444" s="14">
        <f t="shared" si="784"/>
        <v>21868</v>
      </c>
      <c r="AR444" s="14">
        <f t="shared" si="784"/>
        <v>21868</v>
      </c>
      <c r="AS444" s="14">
        <f t="shared" si="784"/>
        <v>21868</v>
      </c>
      <c r="AT444" s="14">
        <f>INDEX(属性投放!$DG$6:$DG$85,(卡牌属性!AG444-2)*20+卡牌属性!AN444)</f>
        <v>10886</v>
      </c>
      <c r="AU444" s="14">
        <f t="shared" si="785"/>
        <v>10886</v>
      </c>
      <c r="AV444" s="14">
        <f t="shared" si="785"/>
        <v>10886</v>
      </c>
      <c r="AW444" s="14">
        <f t="shared" si="785"/>
        <v>10886</v>
      </c>
      <c r="AX444" s="14">
        <f t="shared" si="785"/>
        <v>10886</v>
      </c>
      <c r="AY444" s="14">
        <f>INDEX(属性投放!$DH$6:$DH$85,(卡牌属性!AG444-2)*20+卡牌属性!AN444)</f>
        <v>207843</v>
      </c>
      <c r="AZ444" s="14">
        <f t="shared" si="786"/>
        <v>207843</v>
      </c>
      <c r="BA444" s="14">
        <f t="shared" si="786"/>
        <v>207843</v>
      </c>
      <c r="BB444" s="14">
        <f t="shared" si="786"/>
        <v>207843</v>
      </c>
      <c r="BC444" s="14">
        <f t="shared" si="786"/>
        <v>207843</v>
      </c>
      <c r="BD444" s="14">
        <f>INDEX(属性投放!$DL$6:$DL$85,(卡牌属性!AG444-2)*20+卡牌属性!AN444)</f>
        <v>486</v>
      </c>
      <c r="BE444" s="14">
        <f t="shared" si="787"/>
        <v>486</v>
      </c>
      <c r="BF444" s="14">
        <f t="shared" si="787"/>
        <v>486</v>
      </c>
      <c r="BG444" s="14">
        <f t="shared" si="787"/>
        <v>486</v>
      </c>
      <c r="BH444" s="14">
        <f t="shared" si="787"/>
        <v>486</v>
      </c>
      <c r="BI444" s="14">
        <f>INDEX(属性投放!$DM$6:$DM$85,(卡牌属性!AG444-2)*20+卡牌属性!AN444)</f>
        <v>243</v>
      </c>
      <c r="BJ444" s="14">
        <f t="shared" si="788"/>
        <v>243</v>
      </c>
      <c r="BK444" s="14">
        <f t="shared" si="788"/>
        <v>243</v>
      </c>
      <c r="BL444" s="14">
        <f t="shared" si="788"/>
        <v>243</v>
      </c>
      <c r="BM444" s="14">
        <f t="shared" si="788"/>
        <v>243</v>
      </c>
      <c r="BN444" s="14">
        <f>INDEX(属性投放!$DN$6:$DN$85,(卡牌属性!AG444-2)*20+卡牌属性!AN444)</f>
        <v>4863</v>
      </c>
      <c r="BO444" s="14">
        <f t="shared" si="789"/>
        <v>4863</v>
      </c>
      <c r="BP444" s="14">
        <f t="shared" si="789"/>
        <v>4863</v>
      </c>
      <c r="BQ444" s="14">
        <f t="shared" si="789"/>
        <v>4863</v>
      </c>
      <c r="BR444" s="14">
        <f t="shared" si="789"/>
        <v>4863</v>
      </c>
      <c r="BW444" s="13">
        <v>440</v>
      </c>
      <c r="BX444" s="13">
        <f t="shared" si="744"/>
        <v>22</v>
      </c>
      <c r="BY444" s="14">
        <f t="shared" si="745"/>
        <v>2</v>
      </c>
      <c r="BZ444" s="14">
        <f t="shared" si="754"/>
        <v>1102050</v>
      </c>
      <c r="CA444" s="14" t="str">
        <f t="shared" si="755"/>
        <v>柠檬精20突</v>
      </c>
      <c r="CB444" s="25" t="s">
        <v>142</v>
      </c>
      <c r="CC444" s="14">
        <v>2</v>
      </c>
      <c r="CD444" s="14">
        <f t="shared" si="746"/>
        <v>20</v>
      </c>
      <c r="CE444" s="14" t="s">
        <v>21</v>
      </c>
      <c r="CF444" s="14">
        <f>INDEX(属性投放!$AZ$6:$AZ$85,(BY444-2)*20+CD444)</f>
        <v>21115</v>
      </c>
      <c r="CG444" s="14" t="s">
        <v>22</v>
      </c>
      <c r="CH444" s="14">
        <f>INDEX(属性投放!$BA$6:$BA$85,(BY444-2)*20+CD444)</f>
        <v>10529</v>
      </c>
      <c r="CI444" s="14" t="s">
        <v>510</v>
      </c>
      <c r="CJ444" s="14">
        <f>INDEX(属性投放!$BB$6:$BB$85,(BY444-2)*20+CD444)</f>
        <v>202958</v>
      </c>
      <c r="CK444" s="14" t="s">
        <v>21</v>
      </c>
      <c r="CL444" s="14">
        <f>INDEX(属性投放!$BC$6:$BC$85,(BY444-2)*20+CD444)</f>
        <v>25</v>
      </c>
      <c r="CM444" s="14" t="s">
        <v>22</v>
      </c>
      <c r="CN444" s="14">
        <f>INDEX(属性投放!$BD$6:$BD$85,(BY444-2)*20+CD444)</f>
        <v>13</v>
      </c>
      <c r="CO444" s="14" t="s">
        <v>510</v>
      </c>
      <c r="CP444" s="14">
        <f>INDEX(属性投放!$BE$6:$BE$85,(BY444-2)*20+CD444)</f>
        <v>250</v>
      </c>
      <c r="CS444" s="13">
        <v>440</v>
      </c>
      <c r="CT444" s="13">
        <f t="shared" si="756"/>
        <v>9</v>
      </c>
      <c r="CU444" s="13">
        <f t="shared" si="757"/>
        <v>24</v>
      </c>
      <c r="CV444" s="14">
        <f t="shared" si="758"/>
        <v>3</v>
      </c>
      <c r="CW444" s="14">
        <f t="shared" si="759"/>
        <v>1102009</v>
      </c>
      <c r="CX444" s="14" t="str">
        <f>INDEX($O$6:$O$50,CT444)&amp;"-"&amp;INDEX(属性投放!$AB$7:$AB$50,CZ444)&amp;"-魂火-"&amp;DB444</f>
        <v>徐晃-大叫唤+1-魂火-3</v>
      </c>
      <c r="CY444" s="25" t="s">
        <v>142</v>
      </c>
      <c r="CZ444" s="14">
        <f>INDEX(属性投放!$AM$7:$AM$58,CU444)</f>
        <v>11</v>
      </c>
      <c r="DA444" s="14" t="s">
        <v>537</v>
      </c>
      <c r="DB444" s="14">
        <f>INDEX(属性投放!$AN$7:$AN$58,CU444)</f>
        <v>3</v>
      </c>
      <c r="DC444" s="14">
        <f t="shared" si="747"/>
        <v>24</v>
      </c>
      <c r="DD444" s="14">
        <f>INDEX(属性投放!$AO$7:$AO$58,DC444)</f>
        <v>78</v>
      </c>
      <c r="DE444" s="14" t="s">
        <v>538</v>
      </c>
      <c r="DF444" s="14">
        <f>INDEX(属性投放!$BK$6:$BK$85,(CV444-2)*20+CZ444)</f>
        <v>150</v>
      </c>
      <c r="DG444" s="14">
        <f>SUMIFS(DF$5:DF444,$CT$5:$CT444,"="&amp;$CT444)</f>
        <v>1820</v>
      </c>
      <c r="DH444" s="14" t="s">
        <v>539</v>
      </c>
      <c r="DI444" s="14">
        <f>INDEX(属性投放!$BL$6:$BL$85,(CV444-2)*20+CZ444)</f>
        <v>75</v>
      </c>
      <c r="DJ444" s="14">
        <f>SUMIFS(DI$5:DI444,$CT$5:$CT444,"="&amp;$CT444)</f>
        <v>913</v>
      </c>
      <c r="DK444" s="14" t="s">
        <v>540</v>
      </c>
      <c r="DL444" s="14">
        <f>INDEX(属性投放!$BM$6:$BM$85,(CV444-2)*20+CZ444)</f>
        <v>1350</v>
      </c>
      <c r="DM444" s="14">
        <f>SUMIFS(DL$5:DL444,$CT$5:$CT444,"="&amp;$CT444)</f>
        <v>14840</v>
      </c>
      <c r="DR444" s="14">
        <f t="shared" si="748"/>
        <v>1102050</v>
      </c>
      <c r="DS444" s="14" t="str">
        <f t="shared" si="749"/>
        <v>柠檬精20突</v>
      </c>
      <c r="DT444" s="14">
        <f t="shared" si="760"/>
        <v>3</v>
      </c>
      <c r="DU444" s="14">
        <f t="shared" si="761"/>
        <v>1</v>
      </c>
      <c r="DV444" s="14">
        <f t="shared" si="762"/>
        <v>4</v>
      </c>
      <c r="DW444" s="14">
        <f t="shared" si="750"/>
        <v>2</v>
      </c>
      <c r="DX444" s="14">
        <f t="shared" si="751"/>
        <v>20</v>
      </c>
      <c r="DY444" s="14">
        <f t="shared" si="752"/>
        <v>20</v>
      </c>
      <c r="DZ444" s="14">
        <f>INDEX(属性投放!$AX$6:$AX$85,(卡牌属性!DW444-2)*20+卡牌属性!DX444)</f>
        <v>10</v>
      </c>
      <c r="EA444" s="14">
        <f>INDEX(属性投放!BQ$6:BQ$85,卡牌属性!$DY444)</f>
        <v>1500</v>
      </c>
      <c r="EB444" s="14">
        <f>INDEX(属性投放!BR$6:BR$85,卡牌属性!$DY444)</f>
        <v>750</v>
      </c>
      <c r="EC444" s="14">
        <f>INDEX(属性投放!BS$6:BS$85,卡牌属性!$DY444)</f>
        <v>15000</v>
      </c>
      <c r="ED444" s="14">
        <f t="shared" si="790"/>
        <v>9000</v>
      </c>
      <c r="EE444" s="14">
        <f t="shared" si="791"/>
        <v>9480</v>
      </c>
      <c r="EF444" s="14">
        <f t="shared" si="792"/>
        <v>10066</v>
      </c>
      <c r="EG444" s="14">
        <f t="shared" si="793"/>
        <v>10066</v>
      </c>
      <c r="EH444" s="14">
        <f t="shared" si="794"/>
        <v>10374</v>
      </c>
      <c r="EI444" s="14">
        <f t="shared" si="795"/>
        <v>4145</v>
      </c>
      <c r="EJ444" s="14">
        <f t="shared" si="796"/>
        <v>4293</v>
      </c>
      <c r="EK444" s="14">
        <f t="shared" si="797"/>
        <v>4293</v>
      </c>
      <c r="EL444" s="14">
        <f t="shared" si="798"/>
        <v>4478</v>
      </c>
      <c r="EM444" s="14">
        <f t="shared" si="799"/>
        <v>4720</v>
      </c>
      <c r="EN444" s="14">
        <f t="shared" si="800"/>
        <v>89242</v>
      </c>
      <c r="EO444" s="14">
        <f t="shared" si="801"/>
        <v>94410</v>
      </c>
      <c r="EP444" s="14">
        <f t="shared" si="802"/>
        <v>94410</v>
      </c>
      <c r="EQ444" s="14">
        <f t="shared" si="803"/>
        <v>97074</v>
      </c>
      <c r="ER444" s="14">
        <f t="shared" si="804"/>
        <v>110708</v>
      </c>
      <c r="ES444" s="14">
        <f>INDEX(属性偏向!$S$4:$S$243,(卡牌属性!$DT444-1+ES$3)*20+卡牌属性!$DX444)</f>
        <v>25</v>
      </c>
      <c r="ET444" s="14">
        <f>INDEX(属性偏向!$S$4:$S$243,(卡牌属性!$DT444-1+ET$3)*20+卡牌属性!$DX444)</f>
        <v>30</v>
      </c>
      <c r="EU444" s="14">
        <f>INDEX(属性偏向!$S$4:$S$243,(卡牌属性!$DT444-1+EU$3)*20+卡牌属性!$DX444)</f>
        <v>40</v>
      </c>
      <c r="EV444" s="14">
        <f>INDEX(属性偏向!$S$4:$S$243,(卡牌属性!$DT444-1+EV$3)*20+卡牌属性!$DX444)</f>
        <v>40</v>
      </c>
      <c r="EW444" s="14">
        <f>INDEX(属性偏向!$S$4:$S$243,(卡牌属性!$DT444-1+EW$3)*20+卡牌属性!$DX444)</f>
        <v>45</v>
      </c>
      <c r="EX444" s="14">
        <f>INDEX(属性偏向!$T$4:$T$243,(卡牌属性!$DU444-1+EX$3)*20+卡牌属性!$DX444)</f>
        <v>8</v>
      </c>
      <c r="EY444" s="14">
        <f>INDEX(属性偏向!$T$4:$T$243,(卡牌属性!$DU444-1+EY$3)*20+卡牌属性!$DX444)</f>
        <v>10</v>
      </c>
      <c r="EZ444" s="14">
        <f>INDEX(属性偏向!$T$4:$T$243,(卡牌属性!$DU444-1+EZ$3)*20+卡牌属性!$DX444)</f>
        <v>10</v>
      </c>
      <c r="FA444" s="14">
        <f>INDEX(属性偏向!$T$4:$T$243,(卡牌属性!$DU444-1+FA$3)*20+卡牌属性!$DX444)</f>
        <v>13</v>
      </c>
      <c r="FB444" s="14">
        <f>INDEX(属性偏向!$T$4:$T$243,(卡牌属性!$DU444-1+FB$3)*20+卡牌属性!$DX444)</f>
        <v>15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INDEX(属性投放!$BQ$6:$BQ$85,(卡牌属性!$DW444-2)*20+卡牌属性!$DX444)</f>
        <v>1500</v>
      </c>
      <c r="FI444" s="14">
        <f>INDEX(属性投放!$BQ$6:$BQ$85,(卡牌属性!$DW444-2)*20+卡牌属性!$DX444)</f>
        <v>1500</v>
      </c>
      <c r="FJ444" s="14">
        <f>INDEX(属性投放!$BQ$6:$BQ$85,(卡牌属性!$DW444-2)*20+卡牌属性!$DX444)</f>
        <v>1500</v>
      </c>
      <c r="FK444" s="14">
        <f>INDEX(属性投放!$BQ$6:$BQ$85,(卡牌属性!$DW444-2)*20+卡牌属性!$DX444)</f>
        <v>1500</v>
      </c>
      <c r="FL444" s="14">
        <f>INDEX(属性投放!$BQ$6:$BQ$85,(卡牌属性!$DW444-2)*20+卡牌属性!$DX444)</f>
        <v>1500</v>
      </c>
      <c r="FM444" s="14">
        <f>INDEX(属性投放!$BR$6:$BR$85,(卡牌属性!$DW444-2)*20+卡牌属性!$DX444)</f>
        <v>750</v>
      </c>
      <c r="FN444" s="14">
        <f>INDEX(属性投放!$BR$6:$BR$85,(卡牌属性!$DW444-2)*20+卡牌属性!$DX444)</f>
        <v>750</v>
      </c>
      <c r="FO444" s="14">
        <f>INDEX(属性投放!$BR$6:$BR$85,(卡牌属性!$DW444-2)*20+卡牌属性!$DX444)</f>
        <v>750</v>
      </c>
      <c r="FP444" s="14">
        <f>INDEX(属性投放!$BR$6:$BR$85,(卡牌属性!$DW444-2)*20+卡牌属性!$DX444)</f>
        <v>750</v>
      </c>
      <c r="FQ444" s="14">
        <f>INDEX(属性投放!$BR$6:$BR$85,(卡牌属性!$DW444-2)*20+卡牌属性!$DX444)</f>
        <v>750</v>
      </c>
      <c r="FR444" s="14">
        <f>INDEX(属性投放!$BS$6:$BS$85,(卡牌属性!$DW444-2)*20+卡牌属性!$DX444)</f>
        <v>15000</v>
      </c>
      <c r="FS444" s="14">
        <f>INDEX(属性投放!$BS$6:$BS$85,(卡牌属性!$DW444-2)*20+卡牌属性!$DX444)</f>
        <v>15000</v>
      </c>
      <c r="FT444" s="14">
        <f>INDEX(属性投放!$BS$6:$BS$85,(卡牌属性!$DW444-2)*20+卡牌属性!$DX444)</f>
        <v>15000</v>
      </c>
      <c r="FU444" s="14">
        <f>INDEX(属性投放!$BS$6:$BS$85,(卡牌属性!$DW444-2)*20+卡牌属性!$DX444)</f>
        <v>15000</v>
      </c>
      <c r="FV444" s="14">
        <f>INDEX(属性投放!$BS$6:$BS$85,(卡牌属性!$DW444-2)*20+卡牌属性!$DX444)</f>
        <v>15000</v>
      </c>
    </row>
    <row r="445" spans="31:178" ht="16.5" x14ac:dyDescent="0.2">
      <c r="AE445" s="13">
        <v>441</v>
      </c>
      <c r="AF445" s="13">
        <f t="shared" si="753"/>
        <v>23</v>
      </c>
      <c r="AG445" s="13">
        <f t="shared" si="740"/>
        <v>4</v>
      </c>
      <c r="AH445" s="13"/>
      <c r="AI445" s="13"/>
      <c r="AJ445" s="14">
        <f t="shared" ref="AJ445:AJ464" si="805">INDEX($A$5:$A$43,AF445+1)</f>
        <v>1101043</v>
      </c>
      <c r="AK445" s="14" t="str">
        <f t="shared" ref="AK445:AK464" si="806">INDEX($B$5:$B$43,MATCH(AJ445,$A$5:$A$43,0))&amp;AN445&amp;"突"</f>
        <v>少年曹玄亮1突</v>
      </c>
      <c r="AL445" s="25" t="s">
        <v>142</v>
      </c>
      <c r="AM445" s="14">
        <v>1</v>
      </c>
      <c r="AN445" s="14">
        <f t="shared" ref="AN445:AN464" si="807">AE445-INDEX($F$5:$F$43,AF445)</f>
        <v>1</v>
      </c>
      <c r="AO445" s="14">
        <f>INDEX(属性投放!$DF$6:$DF$85,(卡牌属性!AG445-2)*20+卡牌属性!AN445)</f>
        <v>200</v>
      </c>
      <c r="AP445" s="14">
        <f t="shared" si="784"/>
        <v>200</v>
      </c>
      <c r="AQ445" s="14">
        <f t="shared" si="784"/>
        <v>200</v>
      </c>
      <c r="AR445" s="14">
        <f t="shared" si="784"/>
        <v>200</v>
      </c>
      <c r="AS445" s="14">
        <f t="shared" si="784"/>
        <v>200</v>
      </c>
      <c r="AT445" s="14">
        <f>INDEX(属性投放!$DG$6:$DG$85,(卡牌属性!AG445-2)*20+卡牌属性!AN445)</f>
        <v>20</v>
      </c>
      <c r="AU445" s="14">
        <f t="shared" si="785"/>
        <v>20</v>
      </c>
      <c r="AV445" s="14">
        <f t="shared" si="785"/>
        <v>20</v>
      </c>
      <c r="AW445" s="14">
        <f t="shared" si="785"/>
        <v>20</v>
      </c>
      <c r="AX445" s="14">
        <f t="shared" si="785"/>
        <v>20</v>
      </c>
      <c r="AY445" s="14">
        <f>INDEX(属性投放!$DH$6:$DH$85,(卡牌属性!AG445-2)*20+卡牌属性!AN445)</f>
        <v>625</v>
      </c>
      <c r="AZ445" s="14">
        <f t="shared" si="786"/>
        <v>625</v>
      </c>
      <c r="BA445" s="14">
        <f t="shared" si="786"/>
        <v>625</v>
      </c>
      <c r="BB445" s="14">
        <f t="shared" si="786"/>
        <v>625</v>
      </c>
      <c r="BC445" s="14">
        <f t="shared" si="786"/>
        <v>625</v>
      </c>
      <c r="BD445" s="14">
        <f>INDEX(属性投放!$DL$6:$DL$85,(卡牌属性!AG445-2)*20+卡牌属性!AN445)</f>
        <v>11</v>
      </c>
      <c r="BE445" s="14">
        <f t="shared" si="787"/>
        <v>11</v>
      </c>
      <c r="BF445" s="14">
        <f t="shared" si="787"/>
        <v>11</v>
      </c>
      <c r="BG445" s="14">
        <f t="shared" si="787"/>
        <v>11</v>
      </c>
      <c r="BH445" s="14">
        <f t="shared" si="787"/>
        <v>11</v>
      </c>
      <c r="BI445" s="14">
        <f>INDEX(属性投放!$DM$6:$DM$85,(卡牌属性!AG445-2)*20+卡牌属性!AN445)</f>
        <v>6</v>
      </c>
      <c r="BJ445" s="14">
        <f t="shared" si="788"/>
        <v>6</v>
      </c>
      <c r="BK445" s="14">
        <f t="shared" si="788"/>
        <v>6</v>
      </c>
      <c r="BL445" s="14">
        <f t="shared" si="788"/>
        <v>6</v>
      </c>
      <c r="BM445" s="14">
        <f t="shared" si="788"/>
        <v>6</v>
      </c>
      <c r="BN445" s="14">
        <f>INDEX(属性投放!$DN$6:$DN$85,(卡牌属性!AG445-2)*20+卡牌属性!AN445)</f>
        <v>65</v>
      </c>
      <c r="BO445" s="14">
        <f t="shared" si="789"/>
        <v>65</v>
      </c>
      <c r="BP445" s="14">
        <f t="shared" si="789"/>
        <v>65</v>
      </c>
      <c r="BQ445" s="14">
        <f t="shared" si="789"/>
        <v>65</v>
      </c>
      <c r="BR445" s="14">
        <f t="shared" si="789"/>
        <v>65</v>
      </c>
      <c r="BW445" s="13">
        <v>441</v>
      </c>
      <c r="BX445" s="13">
        <f t="shared" si="744"/>
        <v>23</v>
      </c>
      <c r="BY445" s="14">
        <f t="shared" si="745"/>
        <v>2</v>
      </c>
      <c r="BZ445" s="14">
        <f t="shared" si="754"/>
        <v>1102023</v>
      </c>
      <c r="CA445" s="14" t="str">
        <f t="shared" si="755"/>
        <v>异邦刀客1突</v>
      </c>
      <c r="CB445" s="25" t="s">
        <v>142</v>
      </c>
      <c r="CC445" s="14">
        <v>2</v>
      </c>
      <c r="CD445" s="14">
        <f t="shared" si="746"/>
        <v>1</v>
      </c>
      <c r="CE445" s="14" t="s">
        <v>21</v>
      </c>
      <c r="CF445" s="14">
        <f>INDEX(属性投放!$AZ$6:$AZ$85,(BY445-2)*20+CD445)</f>
        <v>100</v>
      </c>
      <c r="CG445" s="14" t="s">
        <v>22</v>
      </c>
      <c r="CH445" s="14">
        <f>INDEX(属性投放!$BA$6:$BA$85,(BY445-2)*20+CD445)</f>
        <v>0</v>
      </c>
      <c r="CI445" s="14" t="s">
        <v>510</v>
      </c>
      <c r="CJ445" s="14">
        <f>INDEX(属性投放!$BB$6:$BB$85,(BY445-2)*20+CD445)</f>
        <v>300</v>
      </c>
      <c r="CK445" s="14" t="s">
        <v>21</v>
      </c>
      <c r="CL445" s="14">
        <f>INDEX(属性投放!$BC$6:$BC$85,(BY445-2)*20+CD445)</f>
        <v>5</v>
      </c>
      <c r="CM445" s="14" t="s">
        <v>22</v>
      </c>
      <c r="CN445" s="14">
        <f>INDEX(属性投放!$BD$6:$BD$85,(BY445-2)*20+CD445)</f>
        <v>3</v>
      </c>
      <c r="CO445" s="14" t="s">
        <v>510</v>
      </c>
      <c r="CP445" s="14">
        <f>INDEX(属性投放!$BE$6:$BE$85,(BY445-2)*20+CD445)</f>
        <v>30</v>
      </c>
      <c r="CS445" s="13">
        <v>441</v>
      </c>
      <c r="CT445" s="13">
        <f t="shared" si="756"/>
        <v>9</v>
      </c>
      <c r="CU445" s="13">
        <f t="shared" si="757"/>
        <v>25</v>
      </c>
      <c r="CV445" s="14">
        <f t="shared" si="758"/>
        <v>3</v>
      </c>
      <c r="CW445" s="14">
        <f t="shared" si="759"/>
        <v>1102009</v>
      </c>
      <c r="CX445" s="14" t="str">
        <f>INDEX($O$6:$O$50,CT445)&amp;"-"&amp;INDEX(属性投放!$AB$7:$AB$50,CZ445)&amp;"-魂火-"&amp;DB445</f>
        <v>徐晃-大叫唤+2-魂火-1</v>
      </c>
      <c r="CY445" s="25" t="s">
        <v>142</v>
      </c>
      <c r="CZ445" s="14">
        <f>INDEX(属性投放!$AM$7:$AM$58,CU445)</f>
        <v>12</v>
      </c>
      <c r="DA445" s="14" t="s">
        <v>537</v>
      </c>
      <c r="DB445" s="14">
        <f>INDEX(属性投放!$AN$7:$AN$58,CU445)</f>
        <v>1</v>
      </c>
      <c r="DC445" s="14">
        <f t="shared" si="747"/>
        <v>25</v>
      </c>
      <c r="DD445" s="14">
        <f>INDEX(属性投放!$AO$7:$AO$58,DC445)</f>
        <v>80</v>
      </c>
      <c r="DE445" s="14" t="s">
        <v>538</v>
      </c>
      <c r="DF445" s="14">
        <f>INDEX(属性投放!$BK$6:$BK$85,(CV445-2)*20+CZ445)</f>
        <v>200</v>
      </c>
      <c r="DG445" s="14">
        <f>SUMIFS(DF$5:DF445,$CT$5:$CT445,"="&amp;$CT445)</f>
        <v>2020</v>
      </c>
      <c r="DH445" s="14" t="s">
        <v>539</v>
      </c>
      <c r="DI445" s="14">
        <f>INDEX(属性投放!$BL$6:$BL$85,(CV445-2)*20+CZ445)</f>
        <v>100</v>
      </c>
      <c r="DJ445" s="14">
        <f>SUMIFS(DI$5:DI445,$CT$5:$CT445,"="&amp;$CT445)</f>
        <v>1013</v>
      </c>
      <c r="DK445" s="14" t="s">
        <v>540</v>
      </c>
      <c r="DL445" s="14">
        <f>INDEX(属性投放!$BM$6:$BM$85,(CV445-2)*20+CZ445)</f>
        <v>1800</v>
      </c>
      <c r="DM445" s="14">
        <f>SUMIFS(DL$5:DL445,$CT$5:$CT445,"="&amp;$CT445)</f>
        <v>16640</v>
      </c>
      <c r="DR445" s="14">
        <f t="shared" ref="DR445:DR459" si="808">BZ445</f>
        <v>1102023</v>
      </c>
      <c r="DS445" s="14" t="str">
        <f t="shared" ref="DS445:DS459" si="809">CA445</f>
        <v>异邦刀客1突</v>
      </c>
      <c r="DT445" s="14">
        <f t="shared" si="760"/>
        <v>4</v>
      </c>
      <c r="DU445" s="14">
        <f t="shared" si="761"/>
        <v>3</v>
      </c>
      <c r="DV445" s="14">
        <f t="shared" si="762"/>
        <v>3</v>
      </c>
      <c r="DW445" s="14">
        <f t="shared" ref="DW445:DW459" si="810">BY445</f>
        <v>2</v>
      </c>
      <c r="DX445" s="14">
        <f t="shared" ref="DX445:DX459" si="811">CD445</f>
        <v>1</v>
      </c>
      <c r="DY445" s="14">
        <f t="shared" ref="DY445:DY459" si="812">(DW445-2)*20+DX445</f>
        <v>1</v>
      </c>
      <c r="DZ445" s="14">
        <f>INDEX(属性投放!$AX$6:$AX$85,(卡牌属性!DW445-2)*20+卡牌属性!DX445)</f>
        <v>4</v>
      </c>
      <c r="EA445" s="14">
        <f>INDEX(属性投放!BQ$6:BQ$85,卡牌属性!$DY445)</f>
        <v>25</v>
      </c>
      <c r="EB445" s="14">
        <f>INDEX(属性投放!BR$6:BR$85,卡牌属性!$DY445)</f>
        <v>13</v>
      </c>
      <c r="EC445" s="14">
        <f>INDEX(属性投放!BS$6:BS$85,卡牌属性!$DY445)</f>
        <v>150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175</v>
      </c>
      <c r="EG445" s="14">
        <f>INDEX(属性偏向!$I$4:$I$15,卡牌属性!$DT445+EG$3)</f>
        <v>175</v>
      </c>
      <c r="EH445" s="14">
        <f>INDEX(属性偏向!$I$4:$I$15,卡牌属性!$DT445+EH$3)</f>
        <v>200</v>
      </c>
      <c r="EI445" s="14">
        <f>INDEX(属性偏向!$J$4:$J$15,卡牌属性!$DU445+EI$3)</f>
        <v>10</v>
      </c>
      <c r="EJ445" s="14">
        <f>INDEX(属性偏向!$J$4:$J$15,卡牌属性!$DU445+EJ$3)</f>
        <v>20</v>
      </c>
      <c r="EK445" s="14">
        <f>INDEX(属性偏向!$J$4:$J$15,卡牌属性!$DU445+EK$3)</f>
        <v>20</v>
      </c>
      <c r="EL445" s="14">
        <f>INDEX(属性偏向!$J$4:$J$15,卡牌属性!$DU445+EL$3)</f>
        <v>30</v>
      </c>
      <c r="EM445" s="14">
        <f>INDEX(属性偏向!$J$4:$J$15,卡牌属性!$DU445+EM$3)</f>
        <v>40</v>
      </c>
      <c r="EN445" s="14">
        <f>INDEX(属性偏向!$K$4:$K$15,卡牌属性!$DV445+EN$3)</f>
        <v>300</v>
      </c>
      <c r="EO445" s="14">
        <f>INDEX(属性偏向!$K$4:$K$15,卡牌属性!$DV445+EO$3)</f>
        <v>400</v>
      </c>
      <c r="EP445" s="14">
        <f>INDEX(属性偏向!$K$4:$K$15,卡牌属性!$DV445+EP$3)</f>
        <v>400</v>
      </c>
      <c r="EQ445" s="14">
        <f>INDEX(属性偏向!$K$4:$K$15,卡牌属性!$DV445+EQ$3)</f>
        <v>500</v>
      </c>
      <c r="ER445" s="14">
        <f>INDEX(属性偏向!$K$4:$K$15,卡牌属性!$DV445+ER$3)</f>
        <v>650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30</v>
      </c>
      <c r="FD445" s="14">
        <f>INDEX(属性偏向!$U$4:$U$243,(卡牌属性!$DV445-1+FD$3)*20+卡牌属性!$DX445)</f>
        <v>36</v>
      </c>
      <c r="FE445" s="14">
        <f>INDEX(属性偏向!$U$4:$U$243,(卡牌属性!$DV445-1+FE$3)*20+卡牌属性!$DX445)</f>
        <v>36</v>
      </c>
      <c r="FF445" s="14">
        <f>INDEX(属性偏向!$U$4:$U$243,(卡牌属性!$DV445-1+FF$3)*20+卡牌属性!$DX445)</f>
        <v>48</v>
      </c>
      <c r="FG445" s="14">
        <f>INDEX(属性偏向!$U$4:$U$243,(卡牌属性!$DV445-1+FG$3)*20+卡牌属性!$DX445)</f>
        <v>60</v>
      </c>
      <c r="FH445" s="14">
        <f>INDEX(属性投放!$BQ$6:$BQ$85,(卡牌属性!$DW445-2)*20+卡牌属性!$DX445)</f>
        <v>25</v>
      </c>
      <c r="FI445" s="14">
        <f>INDEX(属性投放!$BQ$6:$BQ$85,(卡牌属性!$DW445-2)*20+卡牌属性!$DX445)</f>
        <v>25</v>
      </c>
      <c r="FJ445" s="14">
        <f>INDEX(属性投放!$BQ$6:$BQ$85,(卡牌属性!$DW445-2)*20+卡牌属性!$DX445)</f>
        <v>25</v>
      </c>
      <c r="FK445" s="14">
        <f>INDEX(属性投放!$BQ$6:$BQ$85,(卡牌属性!$DW445-2)*20+卡牌属性!$DX445)</f>
        <v>25</v>
      </c>
      <c r="FL445" s="14">
        <f>INDEX(属性投放!$BQ$6:$BQ$85,(卡牌属性!$DW445-2)*20+卡牌属性!$DX445)</f>
        <v>25</v>
      </c>
      <c r="FM445" s="14">
        <f>INDEX(属性投放!$BR$6:$BR$85,(卡牌属性!$DW445-2)*20+卡牌属性!$DX445)</f>
        <v>13</v>
      </c>
      <c r="FN445" s="14">
        <f>INDEX(属性投放!$BR$6:$BR$85,(卡牌属性!$DW445-2)*20+卡牌属性!$DX445)</f>
        <v>13</v>
      </c>
      <c r="FO445" s="14">
        <f>INDEX(属性投放!$BR$6:$BR$85,(卡牌属性!$DW445-2)*20+卡牌属性!$DX445)</f>
        <v>13</v>
      </c>
      <c r="FP445" s="14">
        <f>INDEX(属性投放!$BR$6:$BR$85,(卡牌属性!$DW445-2)*20+卡牌属性!$DX445)</f>
        <v>13</v>
      </c>
      <c r="FQ445" s="14">
        <f>INDEX(属性投放!$BR$6:$BR$85,(卡牌属性!$DW445-2)*20+卡牌属性!$DX445)</f>
        <v>13</v>
      </c>
      <c r="FR445" s="14">
        <f>INDEX(属性投放!$BS$6:$BS$85,(卡牌属性!$DW445-2)*20+卡牌属性!$DX445)</f>
        <v>150</v>
      </c>
      <c r="FS445" s="14">
        <f>INDEX(属性投放!$BS$6:$BS$85,(卡牌属性!$DW445-2)*20+卡牌属性!$DX445)</f>
        <v>150</v>
      </c>
      <c r="FT445" s="14">
        <f>INDEX(属性投放!$BS$6:$BS$85,(卡牌属性!$DW445-2)*20+卡牌属性!$DX445)</f>
        <v>150</v>
      </c>
      <c r="FU445" s="14">
        <f>INDEX(属性投放!$BS$6:$BS$85,(卡牌属性!$DW445-2)*20+卡牌属性!$DX445)</f>
        <v>150</v>
      </c>
      <c r="FV445" s="14">
        <f>INDEX(属性投放!$BS$6:$BS$85,(卡牌属性!$DW445-2)*20+卡牌属性!$DX445)</f>
        <v>150</v>
      </c>
    </row>
    <row r="446" spans="31:178" ht="16.5" x14ac:dyDescent="0.2">
      <c r="AE446" s="13">
        <v>442</v>
      </c>
      <c r="AF446" s="13">
        <f t="shared" si="753"/>
        <v>23</v>
      </c>
      <c r="AG446" s="13">
        <f t="shared" si="740"/>
        <v>4</v>
      </c>
      <c r="AH446" s="13"/>
      <c r="AI446" s="13"/>
      <c r="AJ446" s="14">
        <f t="shared" si="805"/>
        <v>1101043</v>
      </c>
      <c r="AK446" s="14" t="str">
        <f t="shared" si="806"/>
        <v>少年曹玄亮2突</v>
      </c>
      <c r="AL446" s="25" t="s">
        <v>142</v>
      </c>
      <c r="AM446" s="14">
        <v>1</v>
      </c>
      <c r="AN446" s="14">
        <f t="shared" si="807"/>
        <v>2</v>
      </c>
      <c r="AO446" s="14">
        <f>INDEX(属性投放!$DF$6:$DF$85,(卡牌属性!AG446-2)*20+卡牌属性!AN446)</f>
        <v>310</v>
      </c>
      <c r="AP446" s="14">
        <f t="shared" ref="AP446:AS465" si="813">$AO446</f>
        <v>310</v>
      </c>
      <c r="AQ446" s="14">
        <f t="shared" si="813"/>
        <v>310</v>
      </c>
      <c r="AR446" s="14">
        <f t="shared" si="813"/>
        <v>310</v>
      </c>
      <c r="AS446" s="14">
        <f t="shared" si="813"/>
        <v>310</v>
      </c>
      <c r="AT446" s="14">
        <f>INDEX(属性投放!$DG$6:$DG$85,(卡牌属性!AG446-2)*20+卡牌属性!AN446)</f>
        <v>80</v>
      </c>
      <c r="AU446" s="14">
        <f t="shared" ref="AU446:AX465" si="814">$AT446</f>
        <v>80</v>
      </c>
      <c r="AV446" s="14">
        <f t="shared" si="814"/>
        <v>80</v>
      </c>
      <c r="AW446" s="14">
        <f t="shared" si="814"/>
        <v>80</v>
      </c>
      <c r="AX446" s="14">
        <f t="shared" si="814"/>
        <v>80</v>
      </c>
      <c r="AY446" s="14">
        <f>INDEX(属性投放!$DH$6:$DH$85,(卡牌属性!AG446-2)*20+卡牌属性!AN446)</f>
        <v>1275</v>
      </c>
      <c r="AZ446" s="14">
        <f t="shared" ref="AZ446:BC465" si="815">$AY446</f>
        <v>1275</v>
      </c>
      <c r="BA446" s="14">
        <f t="shared" si="815"/>
        <v>1275</v>
      </c>
      <c r="BB446" s="14">
        <f t="shared" si="815"/>
        <v>1275</v>
      </c>
      <c r="BC446" s="14">
        <f t="shared" si="815"/>
        <v>1275</v>
      </c>
      <c r="BD446" s="14">
        <f>INDEX(属性投放!$DL$6:$DL$85,(卡牌属性!AG446-2)*20+卡牌属性!AN446)</f>
        <v>22</v>
      </c>
      <c r="BE446" s="14">
        <f t="shared" ref="BE446:BH465" si="816">$BD446</f>
        <v>22</v>
      </c>
      <c r="BF446" s="14">
        <f t="shared" si="816"/>
        <v>22</v>
      </c>
      <c r="BG446" s="14">
        <f t="shared" si="816"/>
        <v>22</v>
      </c>
      <c r="BH446" s="14">
        <f t="shared" si="816"/>
        <v>22</v>
      </c>
      <c r="BI446" s="14">
        <f>INDEX(属性投放!$DM$6:$DM$85,(卡牌属性!AG446-2)*20+卡牌属性!AN446)</f>
        <v>11</v>
      </c>
      <c r="BJ446" s="14">
        <f t="shared" ref="BJ446:BM465" si="817">$BI446</f>
        <v>11</v>
      </c>
      <c r="BK446" s="14">
        <f t="shared" si="817"/>
        <v>11</v>
      </c>
      <c r="BL446" s="14">
        <f t="shared" si="817"/>
        <v>11</v>
      </c>
      <c r="BM446" s="14">
        <f t="shared" si="817"/>
        <v>11</v>
      </c>
      <c r="BN446" s="14">
        <f>INDEX(属性投放!$DN$6:$DN$85,(卡牌属性!AG446-2)*20+卡牌属性!AN446)</f>
        <v>132</v>
      </c>
      <c r="BO446" s="14">
        <f t="shared" ref="BO446:BR465" si="818">$BN446</f>
        <v>132</v>
      </c>
      <c r="BP446" s="14">
        <f t="shared" si="818"/>
        <v>132</v>
      </c>
      <c r="BQ446" s="14">
        <f t="shared" si="818"/>
        <v>132</v>
      </c>
      <c r="BR446" s="14">
        <f t="shared" si="818"/>
        <v>132</v>
      </c>
      <c r="BW446" s="13">
        <v>442</v>
      </c>
      <c r="BX446" s="13">
        <f t="shared" si="744"/>
        <v>23</v>
      </c>
      <c r="BY446" s="14">
        <f t="shared" si="745"/>
        <v>2</v>
      </c>
      <c r="BZ446" s="14">
        <f t="shared" si="754"/>
        <v>1102023</v>
      </c>
      <c r="CA446" s="14" t="str">
        <f t="shared" si="755"/>
        <v>异邦刀客2突</v>
      </c>
      <c r="CB446" s="25" t="s">
        <v>142</v>
      </c>
      <c r="CC446" s="14">
        <v>2</v>
      </c>
      <c r="CD446" s="14">
        <f t="shared" si="746"/>
        <v>2</v>
      </c>
      <c r="CE446" s="14" t="s">
        <v>21</v>
      </c>
      <c r="CF446" s="14">
        <f>INDEX(属性投放!$AZ$6:$AZ$85,(BY446-2)*20+CD446)</f>
        <v>160</v>
      </c>
      <c r="CG446" s="14" t="s">
        <v>22</v>
      </c>
      <c r="CH446" s="14">
        <f>INDEX(属性投放!$BA$6:$BA$85,(BY446-2)*20+CD446)</f>
        <v>33</v>
      </c>
      <c r="CI446" s="14" t="s">
        <v>510</v>
      </c>
      <c r="CJ446" s="14">
        <f>INDEX(属性投放!$BB$6:$BB$85,(BY446-2)*20+CD446)</f>
        <v>660</v>
      </c>
      <c r="CK446" s="14" t="s">
        <v>21</v>
      </c>
      <c r="CL446" s="14">
        <f>INDEX(属性投放!$BC$6:$BC$85,(BY446-2)*20+CD446)</f>
        <v>6</v>
      </c>
      <c r="CM446" s="14" t="s">
        <v>22</v>
      </c>
      <c r="CN446" s="14">
        <f>INDEX(属性投放!$BD$6:$BD$85,(BY446-2)*20+CD446)</f>
        <v>3</v>
      </c>
      <c r="CO446" s="14" t="s">
        <v>510</v>
      </c>
      <c r="CP446" s="14">
        <f>INDEX(属性投放!$BE$6:$BE$85,(BY446-2)*20+CD446)</f>
        <v>36</v>
      </c>
      <c r="CS446" s="13">
        <v>442</v>
      </c>
      <c r="CT446" s="13">
        <f t="shared" si="756"/>
        <v>9</v>
      </c>
      <c r="CU446" s="13">
        <f t="shared" si="757"/>
        <v>26</v>
      </c>
      <c r="CV446" s="14">
        <f t="shared" si="758"/>
        <v>3</v>
      </c>
      <c r="CW446" s="14">
        <f t="shared" si="759"/>
        <v>1102009</v>
      </c>
      <c r="CX446" s="14" t="str">
        <f>INDEX($O$6:$O$50,CT446)&amp;"-"&amp;INDEX(属性投放!$AB$7:$AB$50,CZ446)&amp;"-魂火-"&amp;DB446</f>
        <v>徐晃-大叫唤+2-魂火-2</v>
      </c>
      <c r="CY446" s="25" t="s">
        <v>142</v>
      </c>
      <c r="CZ446" s="14">
        <f>INDEX(属性投放!$AM$7:$AM$58,CU446)</f>
        <v>12</v>
      </c>
      <c r="DA446" s="14" t="s">
        <v>537</v>
      </c>
      <c r="DB446" s="14">
        <f>INDEX(属性投放!$AN$7:$AN$58,CU446)</f>
        <v>2</v>
      </c>
      <c r="DC446" s="14">
        <f t="shared" si="747"/>
        <v>26</v>
      </c>
      <c r="DD446" s="14">
        <f>INDEX(属性投放!$AO$7:$AO$58,DC446)</f>
        <v>83</v>
      </c>
      <c r="DE446" s="14" t="s">
        <v>538</v>
      </c>
      <c r="DF446" s="14">
        <f>INDEX(属性投放!$BK$6:$BK$85,(CV446-2)*20+CZ446)</f>
        <v>200</v>
      </c>
      <c r="DG446" s="14">
        <f>SUMIFS(DF$5:DF446,$CT$5:$CT446,"="&amp;$CT446)</f>
        <v>2220</v>
      </c>
      <c r="DH446" s="14" t="s">
        <v>539</v>
      </c>
      <c r="DI446" s="14">
        <f>INDEX(属性投放!$BL$6:$BL$85,(CV446-2)*20+CZ446)</f>
        <v>100</v>
      </c>
      <c r="DJ446" s="14">
        <f>SUMIFS(DI$5:DI446,$CT$5:$CT446,"="&amp;$CT446)</f>
        <v>1113</v>
      </c>
      <c r="DK446" s="14" t="s">
        <v>540</v>
      </c>
      <c r="DL446" s="14">
        <f>INDEX(属性投放!$BM$6:$BM$85,(CV446-2)*20+CZ446)</f>
        <v>1800</v>
      </c>
      <c r="DM446" s="14">
        <f>SUMIFS(DL$5:DL446,$CT$5:$CT446,"="&amp;$CT446)</f>
        <v>18440</v>
      </c>
      <c r="DR446" s="14">
        <f t="shared" si="808"/>
        <v>1102023</v>
      </c>
      <c r="DS446" s="14" t="str">
        <f t="shared" si="809"/>
        <v>异邦刀客2突</v>
      </c>
      <c r="DT446" s="14">
        <f t="shared" si="760"/>
        <v>4</v>
      </c>
      <c r="DU446" s="14">
        <f t="shared" si="761"/>
        <v>3</v>
      </c>
      <c r="DV446" s="14">
        <f t="shared" si="762"/>
        <v>3</v>
      </c>
      <c r="DW446" s="14">
        <f t="shared" si="810"/>
        <v>2</v>
      </c>
      <c r="DX446" s="14">
        <f t="shared" si="811"/>
        <v>2</v>
      </c>
      <c r="DY446" s="14">
        <f t="shared" si="812"/>
        <v>2</v>
      </c>
      <c r="DZ446" s="14">
        <f>INDEX(属性投放!$AX$6:$AX$85,(卡牌属性!DW446-2)*20+卡牌属性!DX446)</f>
        <v>10</v>
      </c>
      <c r="EA446" s="14">
        <f>INDEX(属性投放!BQ$6:BQ$85,卡牌属性!$DY446)</f>
        <v>30</v>
      </c>
      <c r="EB446" s="14">
        <f>INDEX(属性投放!BR$6:BR$85,卡牌属性!$DY446)</f>
        <v>15</v>
      </c>
      <c r="EC446" s="14">
        <f>INDEX(属性投放!BS$6:BS$85,卡牌属性!$DY446)</f>
        <v>180</v>
      </c>
      <c r="ED446" s="14">
        <f t="shared" ref="ED446:ED464" si="819">ED445+$EA445+ES445*$DZ445</f>
        <v>174</v>
      </c>
      <c r="EE446" s="14">
        <f t="shared" ref="EE446:EE464" si="820">EE445+$EA445+ET445*$DZ445</f>
        <v>207</v>
      </c>
      <c r="EF446" s="14">
        <f t="shared" ref="EF446:EF464" si="821">EF445+$EA445+EU445*$DZ445</f>
        <v>240</v>
      </c>
      <c r="EG446" s="14">
        <f t="shared" ref="EG446:EG464" si="822">EG445+$EA445+EV445*$DZ445</f>
        <v>240</v>
      </c>
      <c r="EH446" s="14">
        <f t="shared" ref="EH446:EH464" si="823">EH445+$EA445+EW445*$DZ445</f>
        <v>273</v>
      </c>
      <c r="EI446" s="14">
        <f t="shared" ref="EI446:EI464" si="824">EI445+$EB445+EX445*$DZ445</f>
        <v>35</v>
      </c>
      <c r="EJ446" s="14">
        <f t="shared" ref="EJ446:EJ464" si="825">EJ445+$EB445+EY445*$DZ445</f>
        <v>45</v>
      </c>
      <c r="EK446" s="14">
        <f t="shared" ref="EK446:EK464" si="826">EK445+$EB445+EZ445*$DZ445</f>
        <v>45</v>
      </c>
      <c r="EL446" s="14">
        <f t="shared" ref="EL446:EL464" si="827">EL445+$EB445+FA445*$DZ445</f>
        <v>59</v>
      </c>
      <c r="EM446" s="14">
        <f t="shared" ref="EM446:EM464" si="828">EM445+$EB445+FB445*$DZ445</f>
        <v>73</v>
      </c>
      <c r="EN446" s="14">
        <f t="shared" ref="EN446:EN464" si="829">EN445+$EC445+FC445*$DZ445</f>
        <v>570</v>
      </c>
      <c r="EO446" s="14">
        <f t="shared" ref="EO446:EO464" si="830">EO445+$EC445+FD445*$DZ445</f>
        <v>694</v>
      </c>
      <c r="EP446" s="14">
        <f t="shared" ref="EP446:EP464" si="831">EP445+$EC445+FE445*$DZ445</f>
        <v>694</v>
      </c>
      <c r="EQ446" s="14">
        <f t="shared" ref="EQ446:EQ464" si="832">EQ445+$EC445+FF445*$DZ445</f>
        <v>842</v>
      </c>
      <c r="ER446" s="14">
        <f t="shared" ref="ER446:ER464" si="833">ER445+$EC445+FG445*$DZ445</f>
        <v>1040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36</v>
      </c>
      <c r="FD446" s="14">
        <f>INDEX(属性偏向!$U$4:$U$243,(卡牌属性!$DV446-1+FD$3)*20+卡牌属性!$DX446)</f>
        <v>48</v>
      </c>
      <c r="FE446" s="14">
        <f>INDEX(属性偏向!$U$4:$U$243,(卡牌属性!$DV446-1+FE$3)*20+卡牌属性!$DX446)</f>
        <v>48</v>
      </c>
      <c r="FF446" s="14">
        <f>INDEX(属性偏向!$U$4:$U$243,(卡牌属性!$DV446-1+FF$3)*20+卡牌属性!$DX446)</f>
        <v>60</v>
      </c>
      <c r="FG446" s="14">
        <f>INDEX(属性偏向!$U$4:$U$243,(卡牌属性!$DV446-1+FG$3)*20+卡牌属性!$DX446)</f>
        <v>72</v>
      </c>
      <c r="FH446" s="14">
        <f>INDEX(属性投放!$BQ$6:$BQ$85,(卡牌属性!$DW446-2)*20+卡牌属性!$DX446)</f>
        <v>30</v>
      </c>
      <c r="FI446" s="14">
        <f>INDEX(属性投放!$BQ$6:$BQ$85,(卡牌属性!$DW446-2)*20+卡牌属性!$DX446)</f>
        <v>30</v>
      </c>
      <c r="FJ446" s="14">
        <f>INDEX(属性投放!$BQ$6:$BQ$85,(卡牌属性!$DW446-2)*20+卡牌属性!$DX446)</f>
        <v>30</v>
      </c>
      <c r="FK446" s="14">
        <f>INDEX(属性投放!$BQ$6:$BQ$85,(卡牌属性!$DW446-2)*20+卡牌属性!$DX446)</f>
        <v>30</v>
      </c>
      <c r="FL446" s="14">
        <f>INDEX(属性投放!$BQ$6:$BQ$85,(卡牌属性!$DW446-2)*20+卡牌属性!$DX446)</f>
        <v>30</v>
      </c>
      <c r="FM446" s="14">
        <f>INDEX(属性投放!$BR$6:$BR$85,(卡牌属性!$DW446-2)*20+卡牌属性!$DX446)</f>
        <v>15</v>
      </c>
      <c r="FN446" s="14">
        <f>INDEX(属性投放!$BR$6:$BR$85,(卡牌属性!$DW446-2)*20+卡牌属性!$DX446)</f>
        <v>15</v>
      </c>
      <c r="FO446" s="14">
        <f>INDEX(属性投放!$BR$6:$BR$85,(卡牌属性!$DW446-2)*20+卡牌属性!$DX446)</f>
        <v>15</v>
      </c>
      <c r="FP446" s="14">
        <f>INDEX(属性投放!$BR$6:$BR$85,(卡牌属性!$DW446-2)*20+卡牌属性!$DX446)</f>
        <v>15</v>
      </c>
      <c r="FQ446" s="14">
        <f>INDEX(属性投放!$BR$6:$BR$85,(卡牌属性!$DW446-2)*20+卡牌属性!$DX446)</f>
        <v>15</v>
      </c>
      <c r="FR446" s="14">
        <f>INDEX(属性投放!$BS$6:$BS$85,(卡牌属性!$DW446-2)*20+卡牌属性!$DX446)</f>
        <v>180</v>
      </c>
      <c r="FS446" s="14">
        <f>INDEX(属性投放!$BS$6:$BS$85,(卡牌属性!$DW446-2)*20+卡牌属性!$DX446)</f>
        <v>180</v>
      </c>
      <c r="FT446" s="14">
        <f>INDEX(属性投放!$BS$6:$BS$85,(卡牌属性!$DW446-2)*20+卡牌属性!$DX446)</f>
        <v>180</v>
      </c>
      <c r="FU446" s="14">
        <f>INDEX(属性投放!$BS$6:$BS$85,(卡牌属性!$DW446-2)*20+卡牌属性!$DX446)</f>
        <v>180</v>
      </c>
      <c r="FV446" s="14">
        <f>INDEX(属性投放!$BS$6:$BS$85,(卡牌属性!$DW446-2)*20+卡牌属性!$DX446)</f>
        <v>180</v>
      </c>
    </row>
    <row r="447" spans="31:178" ht="16.5" x14ac:dyDescent="0.2">
      <c r="AE447" s="13">
        <v>443</v>
      </c>
      <c r="AF447" s="13">
        <f t="shared" si="753"/>
        <v>23</v>
      </c>
      <c r="AG447" s="13">
        <f t="shared" si="740"/>
        <v>4</v>
      </c>
      <c r="AH447" s="13"/>
      <c r="AI447" s="13"/>
      <c r="AJ447" s="14">
        <f t="shared" si="805"/>
        <v>1101043</v>
      </c>
      <c r="AK447" s="14" t="str">
        <f t="shared" si="806"/>
        <v>少年曹玄亮3突</v>
      </c>
      <c r="AL447" s="25" t="s">
        <v>142</v>
      </c>
      <c r="AM447" s="14">
        <v>1</v>
      </c>
      <c r="AN447" s="14">
        <f t="shared" si="807"/>
        <v>3</v>
      </c>
      <c r="AO447" s="14">
        <f>INDEX(属性投放!$DF$6:$DF$85,(卡牌属性!AG447-2)*20+卡牌属性!AN447)</f>
        <v>365</v>
      </c>
      <c r="AP447" s="14">
        <f t="shared" si="813"/>
        <v>365</v>
      </c>
      <c r="AQ447" s="14">
        <f t="shared" si="813"/>
        <v>365</v>
      </c>
      <c r="AR447" s="14">
        <f t="shared" si="813"/>
        <v>365</v>
      </c>
      <c r="AS447" s="14">
        <f t="shared" si="813"/>
        <v>365</v>
      </c>
      <c r="AT447" s="14">
        <f>INDEX(属性投放!$DG$6:$DG$85,(卡牌属性!AG447-2)*20+卡牌属性!AN447)</f>
        <v>109</v>
      </c>
      <c r="AU447" s="14">
        <f t="shared" si="814"/>
        <v>109</v>
      </c>
      <c r="AV447" s="14">
        <f t="shared" si="814"/>
        <v>109</v>
      </c>
      <c r="AW447" s="14">
        <f t="shared" si="814"/>
        <v>109</v>
      </c>
      <c r="AX447" s="14">
        <f t="shared" si="814"/>
        <v>109</v>
      </c>
      <c r="AY447" s="14">
        <f>INDEX(属性投放!$DH$6:$DH$85,(卡牌属性!AG447-2)*20+卡牌属性!AN447)</f>
        <v>1605</v>
      </c>
      <c r="AZ447" s="14">
        <f t="shared" si="815"/>
        <v>1605</v>
      </c>
      <c r="BA447" s="14">
        <f t="shared" si="815"/>
        <v>1605</v>
      </c>
      <c r="BB447" s="14">
        <f t="shared" si="815"/>
        <v>1605</v>
      </c>
      <c r="BC447" s="14">
        <f t="shared" si="815"/>
        <v>1605</v>
      </c>
      <c r="BD447" s="14">
        <f>INDEX(属性投放!$DL$6:$DL$85,(卡牌属性!AG447-2)*20+卡牌属性!AN447)</f>
        <v>22</v>
      </c>
      <c r="BE447" s="14">
        <f t="shared" si="816"/>
        <v>22</v>
      </c>
      <c r="BF447" s="14">
        <f t="shared" si="816"/>
        <v>22</v>
      </c>
      <c r="BG447" s="14">
        <f t="shared" si="816"/>
        <v>22</v>
      </c>
      <c r="BH447" s="14">
        <f t="shared" si="816"/>
        <v>22</v>
      </c>
      <c r="BI447" s="14">
        <f>INDEX(属性投放!$DM$6:$DM$85,(卡牌属性!AG447-2)*20+卡牌属性!AN447)</f>
        <v>11</v>
      </c>
      <c r="BJ447" s="14">
        <f t="shared" si="817"/>
        <v>11</v>
      </c>
      <c r="BK447" s="14">
        <f t="shared" si="817"/>
        <v>11</v>
      </c>
      <c r="BL447" s="14">
        <f t="shared" si="817"/>
        <v>11</v>
      </c>
      <c r="BM447" s="14">
        <f t="shared" si="817"/>
        <v>11</v>
      </c>
      <c r="BN447" s="14">
        <f>INDEX(属性投放!$DN$6:$DN$85,(卡牌属性!AG447-2)*20+卡牌属性!AN447)</f>
        <v>132</v>
      </c>
      <c r="BO447" s="14">
        <f t="shared" si="818"/>
        <v>132</v>
      </c>
      <c r="BP447" s="14">
        <f t="shared" si="818"/>
        <v>132</v>
      </c>
      <c r="BQ447" s="14">
        <f t="shared" si="818"/>
        <v>132</v>
      </c>
      <c r="BR447" s="14">
        <f t="shared" si="818"/>
        <v>132</v>
      </c>
      <c r="BW447" s="13">
        <v>443</v>
      </c>
      <c r="BX447" s="13">
        <f t="shared" si="744"/>
        <v>23</v>
      </c>
      <c r="BY447" s="14">
        <f t="shared" si="745"/>
        <v>2</v>
      </c>
      <c r="BZ447" s="14">
        <f t="shared" si="754"/>
        <v>1102023</v>
      </c>
      <c r="CA447" s="14" t="str">
        <f t="shared" si="755"/>
        <v>异邦刀客3突</v>
      </c>
      <c r="CB447" s="25" t="s">
        <v>142</v>
      </c>
      <c r="CC447" s="14">
        <v>2</v>
      </c>
      <c r="CD447" s="14">
        <f t="shared" si="746"/>
        <v>3</v>
      </c>
      <c r="CE447" s="14" t="s">
        <v>21</v>
      </c>
      <c r="CF447" s="14">
        <f>INDEX(属性投放!$AZ$6:$AZ$85,(BY447-2)*20+CD447)</f>
        <v>290</v>
      </c>
      <c r="CG447" s="14" t="s">
        <v>22</v>
      </c>
      <c r="CH447" s="14">
        <f>INDEX(属性投放!$BA$6:$BA$85,(BY447-2)*20+CD447)</f>
        <v>98</v>
      </c>
      <c r="CI447" s="14" t="s">
        <v>510</v>
      </c>
      <c r="CJ447" s="14">
        <f>INDEX(属性投放!$BB$6:$BB$85,(BY447-2)*20+CD447)</f>
        <v>1440</v>
      </c>
      <c r="CK447" s="14" t="s">
        <v>21</v>
      </c>
      <c r="CL447" s="14">
        <f>INDEX(属性投放!$BC$6:$BC$85,(BY447-2)*20+CD447)</f>
        <v>6</v>
      </c>
      <c r="CM447" s="14" t="s">
        <v>22</v>
      </c>
      <c r="CN447" s="14">
        <f>INDEX(属性投放!$BD$6:$BD$85,(BY447-2)*20+CD447)</f>
        <v>3</v>
      </c>
      <c r="CO447" s="14" t="s">
        <v>510</v>
      </c>
      <c r="CP447" s="14">
        <f>INDEX(属性投放!$BE$6:$BE$85,(BY447-2)*20+CD447)</f>
        <v>36</v>
      </c>
      <c r="CS447" s="13">
        <v>443</v>
      </c>
      <c r="CT447" s="13">
        <f t="shared" si="756"/>
        <v>9</v>
      </c>
      <c r="CU447" s="13">
        <f t="shared" si="757"/>
        <v>27</v>
      </c>
      <c r="CV447" s="14">
        <f t="shared" si="758"/>
        <v>3</v>
      </c>
      <c r="CW447" s="14">
        <f t="shared" si="759"/>
        <v>1102009</v>
      </c>
      <c r="CX447" s="14" t="str">
        <f>INDEX($O$6:$O$50,CT447)&amp;"-"&amp;INDEX(属性投放!$AB$7:$AB$50,CZ447)&amp;"-魂火-"&amp;DB447</f>
        <v>徐晃-大叫唤+2-魂火-3</v>
      </c>
      <c r="CY447" s="25" t="s">
        <v>142</v>
      </c>
      <c r="CZ447" s="14">
        <f>INDEX(属性投放!$AM$7:$AM$58,CU447)</f>
        <v>12</v>
      </c>
      <c r="DA447" s="14" t="s">
        <v>537</v>
      </c>
      <c r="DB447" s="14">
        <f>INDEX(属性投放!$AN$7:$AN$58,CU447)</f>
        <v>3</v>
      </c>
      <c r="DC447" s="14">
        <f t="shared" si="747"/>
        <v>27</v>
      </c>
      <c r="DD447" s="14">
        <f>INDEX(属性投放!$AO$7:$AO$58,DC447)</f>
        <v>85</v>
      </c>
      <c r="DE447" s="14" t="s">
        <v>538</v>
      </c>
      <c r="DF447" s="14">
        <f>INDEX(属性投放!$BK$6:$BK$85,(CV447-2)*20+CZ447)</f>
        <v>200</v>
      </c>
      <c r="DG447" s="14">
        <f>SUMIFS(DF$5:DF447,$CT$5:$CT447,"="&amp;$CT447)</f>
        <v>2420</v>
      </c>
      <c r="DH447" s="14" t="s">
        <v>539</v>
      </c>
      <c r="DI447" s="14">
        <f>INDEX(属性投放!$BL$6:$BL$85,(CV447-2)*20+CZ447)</f>
        <v>100</v>
      </c>
      <c r="DJ447" s="14">
        <f>SUMIFS(DI$5:DI447,$CT$5:$CT447,"="&amp;$CT447)</f>
        <v>1213</v>
      </c>
      <c r="DK447" s="14" t="s">
        <v>540</v>
      </c>
      <c r="DL447" s="14">
        <f>INDEX(属性投放!$BM$6:$BM$85,(CV447-2)*20+CZ447)</f>
        <v>1800</v>
      </c>
      <c r="DM447" s="14">
        <f>SUMIFS(DL$5:DL447,$CT$5:$CT447,"="&amp;$CT447)</f>
        <v>20240</v>
      </c>
      <c r="DR447" s="14">
        <f t="shared" si="808"/>
        <v>1102023</v>
      </c>
      <c r="DS447" s="14" t="str">
        <f t="shared" si="809"/>
        <v>异邦刀客3突</v>
      </c>
      <c r="DT447" s="14">
        <f t="shared" si="760"/>
        <v>4</v>
      </c>
      <c r="DU447" s="14">
        <f t="shared" si="761"/>
        <v>3</v>
      </c>
      <c r="DV447" s="14">
        <f t="shared" si="762"/>
        <v>3</v>
      </c>
      <c r="DW447" s="14">
        <f t="shared" si="810"/>
        <v>2</v>
      </c>
      <c r="DX447" s="14">
        <f t="shared" si="811"/>
        <v>3</v>
      </c>
      <c r="DY447" s="14">
        <f t="shared" si="812"/>
        <v>3</v>
      </c>
      <c r="DZ447" s="14">
        <f>INDEX(属性投放!$AX$6:$AX$85,(卡牌属性!DW447-2)*20+卡牌属性!DX447)</f>
        <v>10</v>
      </c>
      <c r="EA447" s="14">
        <f>INDEX(属性投放!BQ$6:BQ$85,卡牌属性!$DY447)</f>
        <v>50</v>
      </c>
      <c r="EB447" s="14">
        <f>INDEX(属性投放!BR$6:BR$85,卡牌属性!$DY447)</f>
        <v>25</v>
      </c>
      <c r="EC447" s="14">
        <f>INDEX(属性投放!BS$6:BS$85,卡牌属性!$DY447)</f>
        <v>300</v>
      </c>
      <c r="ED447" s="14">
        <f t="shared" si="819"/>
        <v>284</v>
      </c>
      <c r="EE447" s="14">
        <f t="shared" si="820"/>
        <v>337</v>
      </c>
      <c r="EF447" s="14">
        <f t="shared" si="821"/>
        <v>390</v>
      </c>
      <c r="EG447" s="14">
        <f t="shared" si="822"/>
        <v>390</v>
      </c>
      <c r="EH447" s="14">
        <f t="shared" si="823"/>
        <v>453</v>
      </c>
      <c r="EI447" s="14">
        <f t="shared" si="824"/>
        <v>80</v>
      </c>
      <c r="EJ447" s="14">
        <f t="shared" si="825"/>
        <v>100</v>
      </c>
      <c r="EK447" s="14">
        <f t="shared" si="826"/>
        <v>100</v>
      </c>
      <c r="EL447" s="14">
        <f t="shared" si="827"/>
        <v>124</v>
      </c>
      <c r="EM447" s="14">
        <f t="shared" si="828"/>
        <v>148</v>
      </c>
      <c r="EN447" s="14">
        <f t="shared" si="829"/>
        <v>1110</v>
      </c>
      <c r="EO447" s="14">
        <f t="shared" si="830"/>
        <v>1354</v>
      </c>
      <c r="EP447" s="14">
        <f t="shared" si="831"/>
        <v>1354</v>
      </c>
      <c r="EQ447" s="14">
        <f t="shared" si="832"/>
        <v>1622</v>
      </c>
      <c r="ER447" s="14">
        <f t="shared" si="833"/>
        <v>1940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36</v>
      </c>
      <c r="FD447" s="14">
        <f>INDEX(属性偏向!$U$4:$U$243,(卡牌属性!$DV447-1+FD$3)*20+卡牌属性!$DX447)</f>
        <v>48</v>
      </c>
      <c r="FE447" s="14">
        <f>INDEX(属性偏向!$U$4:$U$243,(卡牌属性!$DV447-1+FE$3)*20+卡牌属性!$DX447)</f>
        <v>48</v>
      </c>
      <c r="FF447" s="14">
        <f>INDEX(属性偏向!$U$4:$U$243,(卡牌属性!$DV447-1+FF$3)*20+卡牌属性!$DX447)</f>
        <v>60</v>
      </c>
      <c r="FG447" s="14">
        <f>INDEX(属性偏向!$U$4:$U$243,(卡牌属性!$DV447-1+FG$3)*20+卡牌属性!$DX447)</f>
        <v>72</v>
      </c>
      <c r="FH447" s="14">
        <f>INDEX(属性投放!$BQ$6:$BQ$85,(卡牌属性!$DW447-2)*20+卡牌属性!$DX447)</f>
        <v>50</v>
      </c>
      <c r="FI447" s="14">
        <f>INDEX(属性投放!$BQ$6:$BQ$85,(卡牌属性!$DW447-2)*20+卡牌属性!$DX447)</f>
        <v>50</v>
      </c>
      <c r="FJ447" s="14">
        <f>INDEX(属性投放!$BQ$6:$BQ$85,(卡牌属性!$DW447-2)*20+卡牌属性!$DX447)</f>
        <v>50</v>
      </c>
      <c r="FK447" s="14">
        <f>INDEX(属性投放!$BQ$6:$BQ$85,(卡牌属性!$DW447-2)*20+卡牌属性!$DX447)</f>
        <v>50</v>
      </c>
      <c r="FL447" s="14">
        <f>INDEX(属性投放!$BQ$6:$BQ$85,(卡牌属性!$DW447-2)*20+卡牌属性!$DX447)</f>
        <v>50</v>
      </c>
      <c r="FM447" s="14">
        <f>INDEX(属性投放!$BR$6:$BR$85,(卡牌属性!$DW447-2)*20+卡牌属性!$DX447)</f>
        <v>25</v>
      </c>
      <c r="FN447" s="14">
        <f>INDEX(属性投放!$BR$6:$BR$85,(卡牌属性!$DW447-2)*20+卡牌属性!$DX447)</f>
        <v>25</v>
      </c>
      <c r="FO447" s="14">
        <f>INDEX(属性投放!$BR$6:$BR$85,(卡牌属性!$DW447-2)*20+卡牌属性!$DX447)</f>
        <v>25</v>
      </c>
      <c r="FP447" s="14">
        <f>INDEX(属性投放!$BR$6:$BR$85,(卡牌属性!$DW447-2)*20+卡牌属性!$DX447)</f>
        <v>25</v>
      </c>
      <c r="FQ447" s="14">
        <f>INDEX(属性投放!$BR$6:$BR$85,(卡牌属性!$DW447-2)*20+卡牌属性!$DX447)</f>
        <v>25</v>
      </c>
      <c r="FR447" s="14">
        <f>INDEX(属性投放!$BS$6:$BS$85,(卡牌属性!$DW447-2)*20+卡牌属性!$DX447)</f>
        <v>300</v>
      </c>
      <c r="FS447" s="14">
        <f>INDEX(属性投放!$BS$6:$BS$85,(卡牌属性!$DW447-2)*20+卡牌属性!$DX447)</f>
        <v>300</v>
      </c>
      <c r="FT447" s="14">
        <f>INDEX(属性投放!$BS$6:$BS$85,(卡牌属性!$DW447-2)*20+卡牌属性!$DX447)</f>
        <v>300</v>
      </c>
      <c r="FU447" s="14">
        <f>INDEX(属性投放!$BS$6:$BS$85,(卡牌属性!$DW447-2)*20+卡牌属性!$DX447)</f>
        <v>300</v>
      </c>
      <c r="FV447" s="14">
        <f>INDEX(属性投放!$BS$6:$BS$85,(卡牌属性!$DW447-2)*20+卡牌属性!$DX447)</f>
        <v>300</v>
      </c>
    </row>
    <row r="448" spans="31:178" ht="16.5" x14ac:dyDescent="0.2">
      <c r="AE448" s="13">
        <v>444</v>
      </c>
      <c r="AF448" s="13">
        <f t="shared" si="753"/>
        <v>23</v>
      </c>
      <c r="AG448" s="13">
        <f t="shared" si="740"/>
        <v>4</v>
      </c>
      <c r="AH448" s="13"/>
      <c r="AI448" s="13"/>
      <c r="AJ448" s="14">
        <f t="shared" si="805"/>
        <v>1101043</v>
      </c>
      <c r="AK448" s="14" t="str">
        <f t="shared" si="806"/>
        <v>少年曹玄亮4突</v>
      </c>
      <c r="AL448" s="25" t="s">
        <v>142</v>
      </c>
      <c r="AM448" s="14">
        <v>1</v>
      </c>
      <c r="AN448" s="14">
        <f t="shared" si="807"/>
        <v>4</v>
      </c>
      <c r="AO448" s="14">
        <f>INDEX(属性投放!$DF$6:$DF$85,(卡牌属性!AG448-2)*20+卡牌属性!AN448)</f>
        <v>640</v>
      </c>
      <c r="AP448" s="14">
        <f t="shared" si="813"/>
        <v>640</v>
      </c>
      <c r="AQ448" s="14">
        <f t="shared" si="813"/>
        <v>640</v>
      </c>
      <c r="AR448" s="14">
        <f t="shared" si="813"/>
        <v>640</v>
      </c>
      <c r="AS448" s="14">
        <f t="shared" si="813"/>
        <v>640</v>
      </c>
      <c r="AT448" s="14">
        <f>INDEX(属性投放!$DG$6:$DG$85,(卡牌属性!AG448-2)*20+卡牌属性!AN448)</f>
        <v>248</v>
      </c>
      <c r="AU448" s="14">
        <f t="shared" si="814"/>
        <v>248</v>
      </c>
      <c r="AV448" s="14">
        <f t="shared" si="814"/>
        <v>248</v>
      </c>
      <c r="AW448" s="14">
        <f t="shared" si="814"/>
        <v>248</v>
      </c>
      <c r="AX448" s="14">
        <f t="shared" si="814"/>
        <v>248</v>
      </c>
      <c r="AY448" s="14">
        <f>INDEX(属性投放!$DH$6:$DH$85,(卡牌属性!AG448-2)*20+卡牌属性!AN448)</f>
        <v>3255</v>
      </c>
      <c r="AZ448" s="14">
        <f t="shared" si="815"/>
        <v>3255</v>
      </c>
      <c r="BA448" s="14">
        <f t="shared" si="815"/>
        <v>3255</v>
      </c>
      <c r="BB448" s="14">
        <f t="shared" si="815"/>
        <v>3255</v>
      </c>
      <c r="BC448" s="14">
        <f t="shared" si="815"/>
        <v>3255</v>
      </c>
      <c r="BD448" s="14">
        <f>INDEX(属性投放!$DL$6:$DL$85,(卡牌属性!AG448-2)*20+卡牌属性!AN448)</f>
        <v>40</v>
      </c>
      <c r="BE448" s="14">
        <f t="shared" si="816"/>
        <v>40</v>
      </c>
      <c r="BF448" s="14">
        <f t="shared" si="816"/>
        <v>40</v>
      </c>
      <c r="BG448" s="14">
        <f t="shared" si="816"/>
        <v>40</v>
      </c>
      <c r="BH448" s="14">
        <f t="shared" si="816"/>
        <v>40</v>
      </c>
      <c r="BI448" s="14">
        <f>INDEX(属性投放!$DM$6:$DM$85,(卡牌属性!AG448-2)*20+卡牌属性!AN448)</f>
        <v>20</v>
      </c>
      <c r="BJ448" s="14">
        <f t="shared" si="817"/>
        <v>20</v>
      </c>
      <c r="BK448" s="14">
        <f t="shared" si="817"/>
        <v>20</v>
      </c>
      <c r="BL448" s="14">
        <f t="shared" si="817"/>
        <v>20</v>
      </c>
      <c r="BM448" s="14">
        <f t="shared" si="817"/>
        <v>20</v>
      </c>
      <c r="BN448" s="14">
        <f>INDEX(属性投放!$DN$6:$DN$85,(卡牌属性!AG448-2)*20+卡牌属性!AN448)</f>
        <v>279</v>
      </c>
      <c r="BO448" s="14">
        <f t="shared" si="818"/>
        <v>279</v>
      </c>
      <c r="BP448" s="14">
        <f t="shared" si="818"/>
        <v>279</v>
      </c>
      <c r="BQ448" s="14">
        <f t="shared" si="818"/>
        <v>279</v>
      </c>
      <c r="BR448" s="14">
        <f t="shared" si="818"/>
        <v>279</v>
      </c>
      <c r="BW448" s="13">
        <v>444</v>
      </c>
      <c r="BX448" s="13">
        <f t="shared" si="744"/>
        <v>23</v>
      </c>
      <c r="BY448" s="14">
        <f t="shared" si="745"/>
        <v>2</v>
      </c>
      <c r="BZ448" s="14">
        <f t="shared" si="754"/>
        <v>1102023</v>
      </c>
      <c r="CA448" s="14" t="str">
        <f t="shared" si="755"/>
        <v>异邦刀客4突</v>
      </c>
      <c r="CB448" s="25" t="s">
        <v>142</v>
      </c>
      <c r="CC448" s="14">
        <v>2</v>
      </c>
      <c r="CD448" s="14">
        <f t="shared" si="746"/>
        <v>4</v>
      </c>
      <c r="CE448" s="14" t="s">
        <v>21</v>
      </c>
      <c r="CF448" s="14">
        <f>INDEX(属性投放!$AZ$6:$AZ$85,(BY448-2)*20+CD448)</f>
        <v>450</v>
      </c>
      <c r="CG448" s="14" t="s">
        <v>22</v>
      </c>
      <c r="CH448" s="14">
        <f>INDEX(属性投放!$BA$6:$BA$85,(BY448-2)*20+CD448)</f>
        <v>179</v>
      </c>
      <c r="CI448" s="14" t="s">
        <v>510</v>
      </c>
      <c r="CJ448" s="14">
        <f>INDEX(属性投放!$BB$6:$BB$85,(BY448-2)*20+CD448)</f>
        <v>2400</v>
      </c>
      <c r="CK448" s="14" t="s">
        <v>21</v>
      </c>
      <c r="CL448" s="14">
        <f>INDEX(属性投放!$BC$6:$BC$85,(BY448-2)*20+CD448)</f>
        <v>8</v>
      </c>
      <c r="CM448" s="14" t="s">
        <v>22</v>
      </c>
      <c r="CN448" s="14">
        <f>INDEX(属性投放!$BD$6:$BD$85,(BY448-2)*20+CD448)</f>
        <v>4</v>
      </c>
      <c r="CO448" s="14" t="s">
        <v>510</v>
      </c>
      <c r="CP448" s="14">
        <f>INDEX(属性投放!$BE$6:$BE$85,(BY448-2)*20+CD448)</f>
        <v>56</v>
      </c>
      <c r="CS448" s="13">
        <v>444</v>
      </c>
      <c r="CT448" s="13">
        <f t="shared" si="756"/>
        <v>9</v>
      </c>
      <c r="CU448" s="13">
        <f t="shared" si="757"/>
        <v>28</v>
      </c>
      <c r="CV448" s="14">
        <f t="shared" si="758"/>
        <v>3</v>
      </c>
      <c r="CW448" s="14">
        <f t="shared" si="759"/>
        <v>1102009</v>
      </c>
      <c r="CX448" s="14" t="str">
        <f>INDEX($O$6:$O$50,CT448)&amp;"-"&amp;INDEX(属性投放!$AB$7:$AB$50,CZ448)&amp;"-魂火-"&amp;DB448</f>
        <v>徐晃-焦热-魂火-1</v>
      </c>
      <c r="CY448" s="25" t="s">
        <v>142</v>
      </c>
      <c r="CZ448" s="14">
        <f>INDEX(属性投放!$AM$7:$AM$58,CU448)</f>
        <v>13</v>
      </c>
      <c r="DA448" s="14" t="s">
        <v>537</v>
      </c>
      <c r="DB448" s="14">
        <f>INDEX(属性投放!$AN$7:$AN$58,CU448)</f>
        <v>1</v>
      </c>
      <c r="DC448" s="14">
        <f t="shared" si="747"/>
        <v>28</v>
      </c>
      <c r="DD448" s="14">
        <f>INDEX(属性投放!$AO$7:$AO$58,DC448)</f>
        <v>88</v>
      </c>
      <c r="DE448" s="14" t="s">
        <v>538</v>
      </c>
      <c r="DF448" s="14">
        <f>INDEX(属性投放!$BK$6:$BK$85,(CV448-2)*20+CZ448)</f>
        <v>250</v>
      </c>
      <c r="DG448" s="14">
        <f>SUMIFS(DF$5:DF448,$CT$5:$CT448,"="&amp;$CT448)</f>
        <v>2670</v>
      </c>
      <c r="DH448" s="14" t="s">
        <v>539</v>
      </c>
      <c r="DI448" s="14">
        <f>INDEX(属性投放!$BL$6:$BL$85,(CV448-2)*20+CZ448)</f>
        <v>125</v>
      </c>
      <c r="DJ448" s="14">
        <f>SUMIFS(DI$5:DI448,$CT$5:$CT448,"="&amp;$CT448)</f>
        <v>1338</v>
      </c>
      <c r="DK448" s="14" t="s">
        <v>540</v>
      </c>
      <c r="DL448" s="14">
        <f>INDEX(属性投放!$BM$6:$BM$85,(CV448-2)*20+CZ448)</f>
        <v>2500</v>
      </c>
      <c r="DM448" s="14">
        <f>SUMIFS(DL$5:DL448,$CT$5:$CT448,"="&amp;$CT448)</f>
        <v>22740</v>
      </c>
      <c r="DR448" s="14">
        <f t="shared" si="808"/>
        <v>1102023</v>
      </c>
      <c r="DS448" s="14" t="str">
        <f t="shared" si="809"/>
        <v>异邦刀客4突</v>
      </c>
      <c r="DT448" s="14">
        <f t="shared" si="760"/>
        <v>4</v>
      </c>
      <c r="DU448" s="14">
        <f t="shared" si="761"/>
        <v>3</v>
      </c>
      <c r="DV448" s="14">
        <f t="shared" si="762"/>
        <v>3</v>
      </c>
      <c r="DW448" s="14">
        <f t="shared" si="810"/>
        <v>2</v>
      </c>
      <c r="DX448" s="14">
        <f t="shared" si="811"/>
        <v>4</v>
      </c>
      <c r="DY448" s="14">
        <f t="shared" si="812"/>
        <v>4</v>
      </c>
      <c r="DZ448" s="14">
        <f>INDEX(属性投放!$AX$6:$AX$85,(卡牌属性!DW448-2)*20+卡牌属性!DX448)</f>
        <v>10</v>
      </c>
      <c r="EA448" s="14">
        <f>INDEX(属性投放!BQ$6:BQ$85,卡牌属性!$DY448)</f>
        <v>60</v>
      </c>
      <c r="EB448" s="14">
        <f>INDEX(属性投放!BR$6:BR$85,卡牌属性!$DY448)</f>
        <v>30</v>
      </c>
      <c r="EC448" s="14">
        <f>INDEX(属性投放!BS$6:BS$85,卡牌属性!$DY448)</f>
        <v>420</v>
      </c>
      <c r="ED448" s="14">
        <f t="shared" si="819"/>
        <v>414</v>
      </c>
      <c r="EE448" s="14">
        <f t="shared" si="820"/>
        <v>487</v>
      </c>
      <c r="EF448" s="14">
        <f t="shared" si="821"/>
        <v>560</v>
      </c>
      <c r="EG448" s="14">
        <f t="shared" si="822"/>
        <v>560</v>
      </c>
      <c r="EH448" s="14">
        <f t="shared" si="823"/>
        <v>653</v>
      </c>
      <c r="EI448" s="14">
        <f t="shared" si="824"/>
        <v>135</v>
      </c>
      <c r="EJ448" s="14">
        <f t="shared" si="825"/>
        <v>165</v>
      </c>
      <c r="EK448" s="14">
        <f t="shared" si="826"/>
        <v>165</v>
      </c>
      <c r="EL448" s="14">
        <f t="shared" si="827"/>
        <v>199</v>
      </c>
      <c r="EM448" s="14">
        <f t="shared" si="828"/>
        <v>233</v>
      </c>
      <c r="EN448" s="14">
        <f t="shared" si="829"/>
        <v>1770</v>
      </c>
      <c r="EO448" s="14">
        <f t="shared" si="830"/>
        <v>2134</v>
      </c>
      <c r="EP448" s="14">
        <f t="shared" si="831"/>
        <v>2134</v>
      </c>
      <c r="EQ448" s="14">
        <f t="shared" si="832"/>
        <v>2522</v>
      </c>
      <c r="ER448" s="14">
        <f t="shared" si="833"/>
        <v>2960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56</v>
      </c>
      <c r="FD448" s="14">
        <f>INDEX(属性偏向!$U$4:$U$243,(卡牌属性!$DV448-1+FD$3)*20+卡牌属性!$DX448)</f>
        <v>70</v>
      </c>
      <c r="FE448" s="14">
        <f>INDEX(属性偏向!$U$4:$U$243,(卡牌属性!$DV448-1+FE$3)*20+卡牌属性!$DX448)</f>
        <v>70</v>
      </c>
      <c r="FF448" s="14">
        <f>INDEX(属性偏向!$U$4:$U$243,(卡牌属性!$DV448-1+FF$3)*20+卡牌属性!$DX448)</f>
        <v>84</v>
      </c>
      <c r="FG448" s="14">
        <f>INDEX(属性偏向!$U$4:$U$243,(卡牌属性!$DV448-1+FG$3)*20+卡牌属性!$DX448)</f>
        <v>91</v>
      </c>
      <c r="FH448" s="14">
        <f>INDEX(属性投放!$BQ$6:$BQ$85,(卡牌属性!$DW448-2)*20+卡牌属性!$DX448)</f>
        <v>60</v>
      </c>
      <c r="FI448" s="14">
        <f>INDEX(属性投放!$BQ$6:$BQ$85,(卡牌属性!$DW448-2)*20+卡牌属性!$DX448)</f>
        <v>60</v>
      </c>
      <c r="FJ448" s="14">
        <f>INDEX(属性投放!$BQ$6:$BQ$85,(卡牌属性!$DW448-2)*20+卡牌属性!$DX448)</f>
        <v>60</v>
      </c>
      <c r="FK448" s="14">
        <f>INDEX(属性投放!$BQ$6:$BQ$85,(卡牌属性!$DW448-2)*20+卡牌属性!$DX448)</f>
        <v>60</v>
      </c>
      <c r="FL448" s="14">
        <f>INDEX(属性投放!$BQ$6:$BQ$85,(卡牌属性!$DW448-2)*20+卡牌属性!$DX448)</f>
        <v>60</v>
      </c>
      <c r="FM448" s="14">
        <f>INDEX(属性投放!$BR$6:$BR$85,(卡牌属性!$DW448-2)*20+卡牌属性!$DX448)</f>
        <v>30</v>
      </c>
      <c r="FN448" s="14">
        <f>INDEX(属性投放!$BR$6:$BR$85,(卡牌属性!$DW448-2)*20+卡牌属性!$DX448)</f>
        <v>30</v>
      </c>
      <c r="FO448" s="14">
        <f>INDEX(属性投放!$BR$6:$BR$85,(卡牌属性!$DW448-2)*20+卡牌属性!$DX448)</f>
        <v>30</v>
      </c>
      <c r="FP448" s="14">
        <f>INDEX(属性投放!$BR$6:$BR$85,(卡牌属性!$DW448-2)*20+卡牌属性!$DX448)</f>
        <v>30</v>
      </c>
      <c r="FQ448" s="14">
        <f>INDEX(属性投放!$BR$6:$BR$85,(卡牌属性!$DW448-2)*20+卡牌属性!$DX448)</f>
        <v>30</v>
      </c>
      <c r="FR448" s="14">
        <f>INDEX(属性投放!$BS$6:$BS$85,(卡牌属性!$DW448-2)*20+卡牌属性!$DX448)</f>
        <v>420</v>
      </c>
      <c r="FS448" s="14">
        <f>INDEX(属性投放!$BS$6:$BS$85,(卡牌属性!$DW448-2)*20+卡牌属性!$DX448)</f>
        <v>420</v>
      </c>
      <c r="FT448" s="14">
        <f>INDEX(属性投放!$BS$6:$BS$85,(卡牌属性!$DW448-2)*20+卡牌属性!$DX448)</f>
        <v>420</v>
      </c>
      <c r="FU448" s="14">
        <f>INDEX(属性投放!$BS$6:$BS$85,(卡牌属性!$DW448-2)*20+卡牌属性!$DX448)</f>
        <v>420</v>
      </c>
      <c r="FV448" s="14">
        <f>INDEX(属性投放!$BS$6:$BS$85,(卡牌属性!$DW448-2)*20+卡牌属性!$DX448)</f>
        <v>420</v>
      </c>
    </row>
    <row r="449" spans="31:178" ht="16.5" x14ac:dyDescent="0.2">
      <c r="AE449" s="13">
        <v>445</v>
      </c>
      <c r="AF449" s="13">
        <f t="shared" si="753"/>
        <v>23</v>
      </c>
      <c r="AG449" s="13">
        <f t="shared" si="740"/>
        <v>4</v>
      </c>
      <c r="AH449" s="13"/>
      <c r="AI449" s="13"/>
      <c r="AJ449" s="14">
        <f t="shared" si="805"/>
        <v>1101043</v>
      </c>
      <c r="AK449" s="14" t="str">
        <f t="shared" si="806"/>
        <v>少年曹玄亮5突</v>
      </c>
      <c r="AL449" s="25" t="s">
        <v>142</v>
      </c>
      <c r="AM449" s="14">
        <v>1</v>
      </c>
      <c r="AN449" s="14">
        <f t="shared" si="807"/>
        <v>5</v>
      </c>
      <c r="AO449" s="14">
        <f>INDEX(属性投放!$DF$6:$DF$85,(卡牌属性!AG449-2)*20+卡牌属性!AN449)</f>
        <v>754</v>
      </c>
      <c r="AP449" s="14">
        <f t="shared" si="813"/>
        <v>754</v>
      </c>
      <c r="AQ449" s="14">
        <f t="shared" si="813"/>
        <v>754</v>
      </c>
      <c r="AR449" s="14">
        <f t="shared" si="813"/>
        <v>754</v>
      </c>
      <c r="AS449" s="14">
        <f t="shared" si="813"/>
        <v>754</v>
      </c>
      <c r="AT449" s="14">
        <f>INDEX(属性投放!$DG$6:$DG$85,(卡牌属性!AG449-2)*20+卡牌属性!AN449)</f>
        <v>305</v>
      </c>
      <c r="AU449" s="14">
        <f t="shared" si="814"/>
        <v>305</v>
      </c>
      <c r="AV449" s="14">
        <f t="shared" si="814"/>
        <v>305</v>
      </c>
      <c r="AW449" s="14">
        <f t="shared" si="814"/>
        <v>305</v>
      </c>
      <c r="AX449" s="14">
        <f t="shared" si="814"/>
        <v>305</v>
      </c>
      <c r="AY449" s="14">
        <f>INDEX(属性投放!$DH$6:$DH$85,(卡牌属性!AG449-2)*20+卡牌属性!AN449)</f>
        <v>4053</v>
      </c>
      <c r="AZ449" s="14">
        <f t="shared" si="815"/>
        <v>4053</v>
      </c>
      <c r="BA449" s="14">
        <f t="shared" si="815"/>
        <v>4053</v>
      </c>
      <c r="BB449" s="14">
        <f t="shared" si="815"/>
        <v>4053</v>
      </c>
      <c r="BC449" s="14">
        <f t="shared" si="815"/>
        <v>4053</v>
      </c>
      <c r="BD449" s="14">
        <f>INDEX(属性投放!$DL$6:$DL$85,(卡牌属性!AG449-2)*20+卡牌属性!AN449)</f>
        <v>40</v>
      </c>
      <c r="BE449" s="14">
        <f t="shared" si="816"/>
        <v>40</v>
      </c>
      <c r="BF449" s="14">
        <f t="shared" si="816"/>
        <v>40</v>
      </c>
      <c r="BG449" s="14">
        <f t="shared" si="816"/>
        <v>40</v>
      </c>
      <c r="BH449" s="14">
        <f t="shared" si="816"/>
        <v>40</v>
      </c>
      <c r="BI449" s="14">
        <f>INDEX(属性投放!$DM$6:$DM$85,(卡牌属性!AG449-2)*20+卡牌属性!AN449)</f>
        <v>20</v>
      </c>
      <c r="BJ449" s="14">
        <f t="shared" si="817"/>
        <v>20</v>
      </c>
      <c r="BK449" s="14">
        <f t="shared" si="817"/>
        <v>20</v>
      </c>
      <c r="BL449" s="14">
        <f t="shared" si="817"/>
        <v>20</v>
      </c>
      <c r="BM449" s="14">
        <f t="shared" si="817"/>
        <v>20</v>
      </c>
      <c r="BN449" s="14">
        <f>INDEX(属性投放!$DN$6:$DN$85,(卡牌属性!AG449-2)*20+卡牌属性!AN449)</f>
        <v>279</v>
      </c>
      <c r="BO449" s="14">
        <f t="shared" si="818"/>
        <v>279</v>
      </c>
      <c r="BP449" s="14">
        <f t="shared" si="818"/>
        <v>279</v>
      </c>
      <c r="BQ449" s="14">
        <f t="shared" si="818"/>
        <v>279</v>
      </c>
      <c r="BR449" s="14">
        <f t="shared" si="818"/>
        <v>279</v>
      </c>
      <c r="BW449" s="13">
        <v>445</v>
      </c>
      <c r="BX449" s="13">
        <f t="shared" si="744"/>
        <v>23</v>
      </c>
      <c r="BY449" s="14">
        <f t="shared" si="745"/>
        <v>2</v>
      </c>
      <c r="BZ449" s="14">
        <f t="shared" si="754"/>
        <v>1102023</v>
      </c>
      <c r="CA449" s="14" t="str">
        <f t="shared" si="755"/>
        <v>异邦刀客5突</v>
      </c>
      <c r="CB449" s="25" t="s">
        <v>142</v>
      </c>
      <c r="CC449" s="14">
        <v>2</v>
      </c>
      <c r="CD449" s="14">
        <f t="shared" si="746"/>
        <v>5</v>
      </c>
      <c r="CE449" s="14" t="s">
        <v>21</v>
      </c>
      <c r="CF449" s="14">
        <f>INDEX(属性投放!$AZ$6:$AZ$85,(BY449-2)*20+CD449)</f>
        <v>650</v>
      </c>
      <c r="CG449" s="14" t="s">
        <v>22</v>
      </c>
      <c r="CH449" s="14">
        <f>INDEX(属性投放!$BA$6:$BA$85,(BY449-2)*20+CD449)</f>
        <v>279</v>
      </c>
      <c r="CI449" s="14" t="s">
        <v>510</v>
      </c>
      <c r="CJ449" s="14">
        <f>INDEX(属性投放!$BB$6:$BB$85,(BY449-2)*20+CD449)</f>
        <v>3800</v>
      </c>
      <c r="CK449" s="14" t="s">
        <v>21</v>
      </c>
      <c r="CL449" s="14">
        <f>INDEX(属性投放!$BC$6:$BC$85,(BY449-2)*20+CD449)</f>
        <v>8</v>
      </c>
      <c r="CM449" s="14" t="s">
        <v>22</v>
      </c>
      <c r="CN449" s="14">
        <f>INDEX(属性投放!$BD$6:$BD$85,(BY449-2)*20+CD449)</f>
        <v>4</v>
      </c>
      <c r="CO449" s="14" t="s">
        <v>510</v>
      </c>
      <c r="CP449" s="14">
        <f>INDEX(属性投放!$BE$6:$BE$85,(BY449-2)*20+CD449)</f>
        <v>56</v>
      </c>
      <c r="CS449" s="13">
        <v>445</v>
      </c>
      <c r="CT449" s="13">
        <f t="shared" si="756"/>
        <v>9</v>
      </c>
      <c r="CU449" s="13">
        <f t="shared" si="757"/>
        <v>29</v>
      </c>
      <c r="CV449" s="14">
        <f t="shared" si="758"/>
        <v>3</v>
      </c>
      <c r="CW449" s="14">
        <f t="shared" si="759"/>
        <v>1102009</v>
      </c>
      <c r="CX449" s="14" t="str">
        <f>INDEX($O$6:$O$50,CT449)&amp;"-"&amp;INDEX(属性投放!$AB$7:$AB$50,CZ449)&amp;"-魂火-"&amp;DB449</f>
        <v>徐晃-焦热-魂火-2</v>
      </c>
      <c r="CY449" s="25" t="s">
        <v>142</v>
      </c>
      <c r="CZ449" s="14">
        <f>INDEX(属性投放!$AM$7:$AM$58,CU449)</f>
        <v>13</v>
      </c>
      <c r="DA449" s="14" t="s">
        <v>537</v>
      </c>
      <c r="DB449" s="14">
        <f>INDEX(属性投放!$AN$7:$AN$58,CU449)</f>
        <v>2</v>
      </c>
      <c r="DC449" s="14">
        <f t="shared" si="747"/>
        <v>29</v>
      </c>
      <c r="DD449" s="14">
        <f>INDEX(属性投放!$AO$7:$AO$58,DC449)</f>
        <v>90</v>
      </c>
      <c r="DE449" s="14" t="s">
        <v>538</v>
      </c>
      <c r="DF449" s="14">
        <f>INDEX(属性投放!$BK$6:$BK$85,(CV449-2)*20+CZ449)</f>
        <v>250</v>
      </c>
      <c r="DG449" s="14">
        <f>SUMIFS(DF$5:DF449,$CT$5:$CT449,"="&amp;$CT449)</f>
        <v>2920</v>
      </c>
      <c r="DH449" s="14" t="s">
        <v>539</v>
      </c>
      <c r="DI449" s="14">
        <f>INDEX(属性投放!$BL$6:$BL$85,(CV449-2)*20+CZ449)</f>
        <v>125</v>
      </c>
      <c r="DJ449" s="14">
        <f>SUMIFS(DI$5:DI449,$CT$5:$CT449,"="&amp;$CT449)</f>
        <v>1463</v>
      </c>
      <c r="DK449" s="14" t="s">
        <v>540</v>
      </c>
      <c r="DL449" s="14">
        <f>INDEX(属性投放!$BM$6:$BM$85,(CV449-2)*20+CZ449)</f>
        <v>2500</v>
      </c>
      <c r="DM449" s="14">
        <f>SUMIFS(DL$5:DL449,$CT$5:$CT449,"="&amp;$CT449)</f>
        <v>25240</v>
      </c>
      <c r="DR449" s="14">
        <f t="shared" si="808"/>
        <v>1102023</v>
      </c>
      <c r="DS449" s="14" t="str">
        <f t="shared" si="809"/>
        <v>异邦刀客5突</v>
      </c>
      <c r="DT449" s="14">
        <f t="shared" si="760"/>
        <v>4</v>
      </c>
      <c r="DU449" s="14">
        <f t="shared" si="761"/>
        <v>3</v>
      </c>
      <c r="DV449" s="14">
        <f t="shared" si="762"/>
        <v>3</v>
      </c>
      <c r="DW449" s="14">
        <f t="shared" si="810"/>
        <v>2</v>
      </c>
      <c r="DX449" s="14">
        <f t="shared" si="811"/>
        <v>5</v>
      </c>
      <c r="DY449" s="14">
        <f t="shared" si="812"/>
        <v>5</v>
      </c>
      <c r="DZ449" s="14">
        <f>INDEX(属性投放!$AX$6:$AX$85,(卡牌属性!DW449-2)*20+卡牌属性!DX449)</f>
        <v>7</v>
      </c>
      <c r="EA449" s="14">
        <f>INDEX(属性投放!BQ$6:BQ$85,卡牌属性!$DY449)</f>
        <v>80</v>
      </c>
      <c r="EB449" s="14">
        <f>INDEX(属性投放!BR$6:BR$85,卡牌属性!$DY449)</f>
        <v>40</v>
      </c>
      <c r="EC449" s="14">
        <f>INDEX(属性投放!BS$6:BS$85,卡牌属性!$DY449)</f>
        <v>560</v>
      </c>
      <c r="ED449" s="14">
        <f t="shared" si="819"/>
        <v>574</v>
      </c>
      <c r="EE449" s="14">
        <f t="shared" si="820"/>
        <v>667</v>
      </c>
      <c r="EF449" s="14">
        <f t="shared" si="821"/>
        <v>750</v>
      </c>
      <c r="EG449" s="14">
        <f t="shared" si="822"/>
        <v>750</v>
      </c>
      <c r="EH449" s="14">
        <f t="shared" si="823"/>
        <v>913</v>
      </c>
      <c r="EI449" s="14">
        <f t="shared" si="824"/>
        <v>205</v>
      </c>
      <c r="EJ449" s="14">
        <f t="shared" si="825"/>
        <v>245</v>
      </c>
      <c r="EK449" s="14">
        <f t="shared" si="826"/>
        <v>245</v>
      </c>
      <c r="EL449" s="14">
        <f t="shared" si="827"/>
        <v>289</v>
      </c>
      <c r="EM449" s="14">
        <f t="shared" si="828"/>
        <v>333</v>
      </c>
      <c r="EN449" s="14">
        <f t="shared" si="829"/>
        <v>2750</v>
      </c>
      <c r="EO449" s="14">
        <f t="shared" si="830"/>
        <v>3254</v>
      </c>
      <c r="EP449" s="14">
        <f t="shared" si="831"/>
        <v>3254</v>
      </c>
      <c r="EQ449" s="14">
        <f t="shared" si="832"/>
        <v>3782</v>
      </c>
      <c r="ER449" s="14">
        <f t="shared" si="833"/>
        <v>4290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56</v>
      </c>
      <c r="FD449" s="14">
        <f>INDEX(属性偏向!$U$4:$U$243,(卡牌属性!$DV449-1+FD$3)*20+卡牌属性!$DX449)</f>
        <v>70</v>
      </c>
      <c r="FE449" s="14">
        <f>INDEX(属性偏向!$U$4:$U$243,(卡牌属性!$DV449-1+FE$3)*20+卡牌属性!$DX449)</f>
        <v>70</v>
      </c>
      <c r="FF449" s="14">
        <f>INDEX(属性偏向!$U$4:$U$243,(卡牌属性!$DV449-1+FF$3)*20+卡牌属性!$DX449)</f>
        <v>84</v>
      </c>
      <c r="FG449" s="14">
        <f>INDEX(属性偏向!$U$4:$U$243,(卡牌属性!$DV449-1+FG$3)*20+卡牌属性!$DX449)</f>
        <v>91</v>
      </c>
      <c r="FH449" s="14">
        <f>INDEX(属性投放!$BQ$6:$BQ$85,(卡牌属性!$DW449-2)*20+卡牌属性!$DX449)</f>
        <v>80</v>
      </c>
      <c r="FI449" s="14">
        <f>INDEX(属性投放!$BQ$6:$BQ$85,(卡牌属性!$DW449-2)*20+卡牌属性!$DX449)</f>
        <v>80</v>
      </c>
      <c r="FJ449" s="14">
        <f>INDEX(属性投放!$BQ$6:$BQ$85,(卡牌属性!$DW449-2)*20+卡牌属性!$DX449)</f>
        <v>80</v>
      </c>
      <c r="FK449" s="14">
        <f>INDEX(属性投放!$BQ$6:$BQ$85,(卡牌属性!$DW449-2)*20+卡牌属性!$DX449)</f>
        <v>80</v>
      </c>
      <c r="FL449" s="14">
        <f>INDEX(属性投放!$BQ$6:$BQ$85,(卡牌属性!$DW449-2)*20+卡牌属性!$DX449)</f>
        <v>80</v>
      </c>
      <c r="FM449" s="14">
        <f>INDEX(属性投放!$BR$6:$BR$85,(卡牌属性!$DW449-2)*20+卡牌属性!$DX449)</f>
        <v>40</v>
      </c>
      <c r="FN449" s="14">
        <f>INDEX(属性投放!$BR$6:$BR$85,(卡牌属性!$DW449-2)*20+卡牌属性!$DX449)</f>
        <v>40</v>
      </c>
      <c r="FO449" s="14">
        <f>INDEX(属性投放!$BR$6:$BR$85,(卡牌属性!$DW449-2)*20+卡牌属性!$DX449)</f>
        <v>40</v>
      </c>
      <c r="FP449" s="14">
        <f>INDEX(属性投放!$BR$6:$BR$85,(卡牌属性!$DW449-2)*20+卡牌属性!$DX449)</f>
        <v>40</v>
      </c>
      <c r="FQ449" s="14">
        <f>INDEX(属性投放!$BR$6:$BR$85,(卡牌属性!$DW449-2)*20+卡牌属性!$DX449)</f>
        <v>40</v>
      </c>
      <c r="FR449" s="14">
        <f>INDEX(属性投放!$BS$6:$BS$85,(卡牌属性!$DW449-2)*20+卡牌属性!$DX449)</f>
        <v>560</v>
      </c>
      <c r="FS449" s="14">
        <f>INDEX(属性投放!$BS$6:$BS$85,(卡牌属性!$DW449-2)*20+卡牌属性!$DX449)</f>
        <v>560</v>
      </c>
      <c r="FT449" s="14">
        <f>INDEX(属性投放!$BS$6:$BS$85,(卡牌属性!$DW449-2)*20+卡牌属性!$DX449)</f>
        <v>560</v>
      </c>
      <c r="FU449" s="14">
        <f>INDEX(属性投放!$BS$6:$BS$85,(卡牌属性!$DW449-2)*20+卡牌属性!$DX449)</f>
        <v>560</v>
      </c>
      <c r="FV449" s="14">
        <f>INDEX(属性投放!$BS$6:$BS$85,(卡牌属性!$DW449-2)*20+卡牌属性!$DX449)</f>
        <v>560</v>
      </c>
    </row>
    <row r="450" spans="31:178" ht="16.5" x14ac:dyDescent="0.2">
      <c r="AE450" s="13">
        <v>446</v>
      </c>
      <c r="AF450" s="13">
        <f t="shared" si="753"/>
        <v>23</v>
      </c>
      <c r="AG450" s="13">
        <f t="shared" si="740"/>
        <v>4</v>
      </c>
      <c r="AH450" s="13"/>
      <c r="AI450" s="13"/>
      <c r="AJ450" s="14">
        <f t="shared" si="805"/>
        <v>1101043</v>
      </c>
      <c r="AK450" s="14" t="str">
        <f t="shared" si="806"/>
        <v>少年曹玄亮6突</v>
      </c>
      <c r="AL450" s="25" t="s">
        <v>142</v>
      </c>
      <c r="AM450" s="14">
        <v>1</v>
      </c>
      <c r="AN450" s="14">
        <f t="shared" si="807"/>
        <v>6</v>
      </c>
      <c r="AO450" s="14">
        <f>INDEX(属性投放!$DF$6:$DF$85,(卡牌属性!AG450-2)*20+卡牌属性!AN450)</f>
        <v>868</v>
      </c>
      <c r="AP450" s="14">
        <f t="shared" si="813"/>
        <v>868</v>
      </c>
      <c r="AQ450" s="14">
        <f t="shared" si="813"/>
        <v>868</v>
      </c>
      <c r="AR450" s="14">
        <f t="shared" si="813"/>
        <v>868</v>
      </c>
      <c r="AS450" s="14">
        <f t="shared" si="813"/>
        <v>868</v>
      </c>
      <c r="AT450" s="14">
        <f>INDEX(属性投放!$DG$6:$DG$85,(卡牌属性!AG450-2)*20+卡牌属性!AN450)</f>
        <v>362</v>
      </c>
      <c r="AU450" s="14">
        <f t="shared" si="814"/>
        <v>362</v>
      </c>
      <c r="AV450" s="14">
        <f t="shared" si="814"/>
        <v>362</v>
      </c>
      <c r="AW450" s="14">
        <f t="shared" si="814"/>
        <v>362</v>
      </c>
      <c r="AX450" s="14">
        <f t="shared" si="814"/>
        <v>362</v>
      </c>
      <c r="AY450" s="14">
        <f>INDEX(属性投放!$DH$6:$DH$85,(卡牌属性!AG450-2)*20+卡牌属性!AN450)</f>
        <v>4851</v>
      </c>
      <c r="AZ450" s="14">
        <f t="shared" si="815"/>
        <v>4851</v>
      </c>
      <c r="BA450" s="14">
        <f t="shared" si="815"/>
        <v>4851</v>
      </c>
      <c r="BB450" s="14">
        <f t="shared" si="815"/>
        <v>4851</v>
      </c>
      <c r="BC450" s="14">
        <f t="shared" si="815"/>
        <v>4851</v>
      </c>
      <c r="BD450" s="14">
        <f>INDEX(属性投放!$DL$6:$DL$85,(卡牌属性!AG450-2)*20+卡牌属性!AN450)</f>
        <v>40</v>
      </c>
      <c r="BE450" s="14">
        <f t="shared" si="816"/>
        <v>40</v>
      </c>
      <c r="BF450" s="14">
        <f t="shared" si="816"/>
        <v>40</v>
      </c>
      <c r="BG450" s="14">
        <f t="shared" si="816"/>
        <v>40</v>
      </c>
      <c r="BH450" s="14">
        <f t="shared" si="816"/>
        <v>40</v>
      </c>
      <c r="BI450" s="14">
        <f>INDEX(属性投放!$DM$6:$DM$85,(卡牌属性!AG450-2)*20+卡牌属性!AN450)</f>
        <v>20</v>
      </c>
      <c r="BJ450" s="14">
        <f t="shared" si="817"/>
        <v>20</v>
      </c>
      <c r="BK450" s="14">
        <f t="shared" si="817"/>
        <v>20</v>
      </c>
      <c r="BL450" s="14">
        <f t="shared" si="817"/>
        <v>20</v>
      </c>
      <c r="BM450" s="14">
        <f t="shared" si="817"/>
        <v>20</v>
      </c>
      <c r="BN450" s="14">
        <f>INDEX(属性投放!$DN$6:$DN$85,(卡牌属性!AG450-2)*20+卡牌属性!AN450)</f>
        <v>279</v>
      </c>
      <c r="BO450" s="14">
        <f t="shared" si="818"/>
        <v>279</v>
      </c>
      <c r="BP450" s="14">
        <f t="shared" si="818"/>
        <v>279</v>
      </c>
      <c r="BQ450" s="14">
        <f t="shared" si="818"/>
        <v>279</v>
      </c>
      <c r="BR450" s="14">
        <f t="shared" si="818"/>
        <v>279</v>
      </c>
      <c r="BW450" s="13">
        <v>446</v>
      </c>
      <c r="BX450" s="13">
        <f t="shared" si="744"/>
        <v>23</v>
      </c>
      <c r="BY450" s="14">
        <f t="shared" si="745"/>
        <v>2</v>
      </c>
      <c r="BZ450" s="14">
        <f t="shared" si="754"/>
        <v>1102023</v>
      </c>
      <c r="CA450" s="14" t="str">
        <f t="shared" si="755"/>
        <v>异邦刀客6突</v>
      </c>
      <c r="CB450" s="25" t="s">
        <v>142</v>
      </c>
      <c r="CC450" s="14">
        <v>2</v>
      </c>
      <c r="CD450" s="14">
        <f t="shared" si="746"/>
        <v>6</v>
      </c>
      <c r="CE450" s="14" t="s">
        <v>21</v>
      </c>
      <c r="CF450" s="14">
        <f>INDEX(属性投放!$AZ$6:$AZ$85,(BY450-2)*20+CD450)</f>
        <v>856</v>
      </c>
      <c r="CG450" s="14" t="s">
        <v>22</v>
      </c>
      <c r="CH450" s="14">
        <f>INDEX(属性投放!$BA$6:$BA$85,(BY450-2)*20+CD450)</f>
        <v>383</v>
      </c>
      <c r="CI450" s="14" t="s">
        <v>510</v>
      </c>
      <c r="CJ450" s="14">
        <f>INDEX(属性投放!$BB$6:$BB$85,(BY450-2)*20+CD450)</f>
        <v>5242</v>
      </c>
      <c r="CK450" s="14" t="s">
        <v>21</v>
      </c>
      <c r="CL450" s="14">
        <f>INDEX(属性投放!$BC$6:$BC$85,(BY450-2)*20+CD450)</f>
        <v>8</v>
      </c>
      <c r="CM450" s="14" t="s">
        <v>22</v>
      </c>
      <c r="CN450" s="14">
        <f>INDEX(属性投放!$BD$6:$BD$85,(BY450-2)*20+CD450)</f>
        <v>4</v>
      </c>
      <c r="CO450" s="14" t="s">
        <v>510</v>
      </c>
      <c r="CP450" s="14">
        <f>INDEX(属性投放!$BE$6:$BE$85,(BY450-2)*20+CD450)</f>
        <v>56</v>
      </c>
      <c r="CS450" s="13">
        <v>446</v>
      </c>
      <c r="CT450" s="13">
        <f t="shared" si="756"/>
        <v>9</v>
      </c>
      <c r="CU450" s="13">
        <f t="shared" si="757"/>
        <v>30</v>
      </c>
      <c r="CV450" s="14">
        <f t="shared" si="758"/>
        <v>3</v>
      </c>
      <c r="CW450" s="14">
        <f t="shared" si="759"/>
        <v>1102009</v>
      </c>
      <c r="CX450" s="14" t="str">
        <f>INDEX($O$6:$O$50,CT450)&amp;"-"&amp;INDEX(属性投放!$AB$7:$AB$50,CZ450)&amp;"-魂火-"&amp;DB450</f>
        <v>徐晃-焦热-魂火-3</v>
      </c>
      <c r="CY450" s="25" t="s">
        <v>142</v>
      </c>
      <c r="CZ450" s="14">
        <f>INDEX(属性投放!$AM$7:$AM$58,CU450)</f>
        <v>13</v>
      </c>
      <c r="DA450" s="14" t="s">
        <v>537</v>
      </c>
      <c r="DB450" s="14">
        <f>INDEX(属性投放!$AN$7:$AN$58,CU450)</f>
        <v>3</v>
      </c>
      <c r="DC450" s="14">
        <f t="shared" si="747"/>
        <v>30</v>
      </c>
      <c r="DD450" s="14">
        <f>INDEX(属性投放!$AO$7:$AO$58,DC450)</f>
        <v>93</v>
      </c>
      <c r="DE450" s="14" t="s">
        <v>538</v>
      </c>
      <c r="DF450" s="14">
        <f>INDEX(属性投放!$BK$6:$BK$85,(CV450-2)*20+CZ450)</f>
        <v>250</v>
      </c>
      <c r="DG450" s="14">
        <f>SUMIFS(DF$5:DF450,$CT$5:$CT450,"="&amp;$CT450)</f>
        <v>3170</v>
      </c>
      <c r="DH450" s="14" t="s">
        <v>539</v>
      </c>
      <c r="DI450" s="14">
        <f>INDEX(属性投放!$BL$6:$BL$85,(CV450-2)*20+CZ450)</f>
        <v>125</v>
      </c>
      <c r="DJ450" s="14">
        <f>SUMIFS(DI$5:DI450,$CT$5:$CT450,"="&amp;$CT450)</f>
        <v>1588</v>
      </c>
      <c r="DK450" s="14" t="s">
        <v>540</v>
      </c>
      <c r="DL450" s="14">
        <f>INDEX(属性投放!$BM$6:$BM$85,(CV450-2)*20+CZ450)</f>
        <v>2500</v>
      </c>
      <c r="DM450" s="14">
        <f>SUMIFS(DL$5:DL450,$CT$5:$CT450,"="&amp;$CT450)</f>
        <v>27740</v>
      </c>
      <c r="DR450" s="14">
        <f t="shared" si="808"/>
        <v>1102023</v>
      </c>
      <c r="DS450" s="14" t="str">
        <f t="shared" si="809"/>
        <v>异邦刀客6突</v>
      </c>
      <c r="DT450" s="14">
        <f t="shared" si="760"/>
        <v>4</v>
      </c>
      <c r="DU450" s="14">
        <f t="shared" si="761"/>
        <v>3</v>
      </c>
      <c r="DV450" s="14">
        <f t="shared" si="762"/>
        <v>3</v>
      </c>
      <c r="DW450" s="14">
        <f t="shared" si="810"/>
        <v>2</v>
      </c>
      <c r="DX450" s="14">
        <f t="shared" si="811"/>
        <v>6</v>
      </c>
      <c r="DY450" s="14">
        <f t="shared" si="812"/>
        <v>6</v>
      </c>
      <c r="DZ450" s="14">
        <f>INDEX(属性投放!$AX$6:$AX$85,(卡牌属性!DW450-2)*20+卡牌属性!DX450)</f>
        <v>5</v>
      </c>
      <c r="EA450" s="14">
        <f>INDEX(属性投放!BQ$6:BQ$85,卡牌属性!$DY450)</f>
        <v>100</v>
      </c>
      <c r="EB450" s="14">
        <f>INDEX(属性投放!BR$6:BR$85,卡牌属性!$DY450)</f>
        <v>50</v>
      </c>
      <c r="EC450" s="14">
        <f>INDEX(属性投放!BS$6:BS$85,卡牌属性!$DY450)</f>
        <v>700</v>
      </c>
      <c r="ED450" s="14">
        <f t="shared" si="819"/>
        <v>724</v>
      </c>
      <c r="EE450" s="14">
        <f t="shared" si="820"/>
        <v>831</v>
      </c>
      <c r="EF450" s="14">
        <f t="shared" si="821"/>
        <v>921</v>
      </c>
      <c r="EG450" s="14">
        <f t="shared" si="822"/>
        <v>921</v>
      </c>
      <c r="EH450" s="14">
        <f t="shared" si="823"/>
        <v>1133</v>
      </c>
      <c r="EI450" s="14">
        <f t="shared" si="824"/>
        <v>273</v>
      </c>
      <c r="EJ450" s="14">
        <f t="shared" si="825"/>
        <v>320</v>
      </c>
      <c r="EK450" s="14">
        <f t="shared" si="826"/>
        <v>320</v>
      </c>
      <c r="EL450" s="14">
        <f t="shared" si="827"/>
        <v>371</v>
      </c>
      <c r="EM450" s="14">
        <f t="shared" si="828"/>
        <v>422</v>
      </c>
      <c r="EN450" s="14">
        <f t="shared" si="829"/>
        <v>3702</v>
      </c>
      <c r="EO450" s="14">
        <f t="shared" si="830"/>
        <v>4304</v>
      </c>
      <c r="EP450" s="14">
        <f t="shared" si="831"/>
        <v>4304</v>
      </c>
      <c r="EQ450" s="14">
        <f t="shared" si="832"/>
        <v>4930</v>
      </c>
      <c r="ER450" s="14">
        <f t="shared" si="833"/>
        <v>5487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56</v>
      </c>
      <c r="FD450" s="14">
        <f>INDEX(属性偏向!$U$4:$U$243,(卡牌属性!$DV450-1+FD$3)*20+卡牌属性!$DX450)</f>
        <v>70</v>
      </c>
      <c r="FE450" s="14">
        <f>INDEX(属性偏向!$U$4:$U$243,(卡牌属性!$DV450-1+FE$3)*20+卡牌属性!$DX450)</f>
        <v>70</v>
      </c>
      <c r="FF450" s="14">
        <f>INDEX(属性偏向!$U$4:$U$243,(卡牌属性!$DV450-1+FF$3)*20+卡牌属性!$DX450)</f>
        <v>84</v>
      </c>
      <c r="FG450" s="14">
        <f>INDEX(属性偏向!$U$4:$U$243,(卡牌属性!$DV450-1+FG$3)*20+卡牌属性!$DX450)</f>
        <v>91</v>
      </c>
      <c r="FH450" s="14">
        <f>INDEX(属性投放!$BQ$6:$BQ$85,(卡牌属性!$DW450-2)*20+卡牌属性!$DX450)</f>
        <v>100</v>
      </c>
      <c r="FI450" s="14">
        <f>INDEX(属性投放!$BQ$6:$BQ$85,(卡牌属性!$DW450-2)*20+卡牌属性!$DX450)</f>
        <v>100</v>
      </c>
      <c r="FJ450" s="14">
        <f>INDEX(属性投放!$BQ$6:$BQ$85,(卡牌属性!$DW450-2)*20+卡牌属性!$DX450)</f>
        <v>100</v>
      </c>
      <c r="FK450" s="14">
        <f>INDEX(属性投放!$BQ$6:$BQ$85,(卡牌属性!$DW450-2)*20+卡牌属性!$DX450)</f>
        <v>100</v>
      </c>
      <c r="FL450" s="14">
        <f>INDEX(属性投放!$BQ$6:$BQ$85,(卡牌属性!$DW450-2)*20+卡牌属性!$DX450)</f>
        <v>100</v>
      </c>
      <c r="FM450" s="14">
        <f>INDEX(属性投放!$BR$6:$BR$85,(卡牌属性!$DW450-2)*20+卡牌属性!$DX450)</f>
        <v>50</v>
      </c>
      <c r="FN450" s="14">
        <f>INDEX(属性投放!$BR$6:$BR$85,(卡牌属性!$DW450-2)*20+卡牌属性!$DX450)</f>
        <v>50</v>
      </c>
      <c r="FO450" s="14">
        <f>INDEX(属性投放!$BR$6:$BR$85,(卡牌属性!$DW450-2)*20+卡牌属性!$DX450)</f>
        <v>50</v>
      </c>
      <c r="FP450" s="14">
        <f>INDEX(属性投放!$BR$6:$BR$85,(卡牌属性!$DW450-2)*20+卡牌属性!$DX450)</f>
        <v>50</v>
      </c>
      <c r="FQ450" s="14">
        <f>INDEX(属性投放!$BR$6:$BR$85,(卡牌属性!$DW450-2)*20+卡牌属性!$DX450)</f>
        <v>50</v>
      </c>
      <c r="FR450" s="14">
        <f>INDEX(属性投放!$BS$6:$BS$85,(卡牌属性!$DW450-2)*20+卡牌属性!$DX450)</f>
        <v>700</v>
      </c>
      <c r="FS450" s="14">
        <f>INDEX(属性投放!$BS$6:$BS$85,(卡牌属性!$DW450-2)*20+卡牌属性!$DX450)</f>
        <v>700</v>
      </c>
      <c r="FT450" s="14">
        <f>INDEX(属性投放!$BS$6:$BS$85,(卡牌属性!$DW450-2)*20+卡牌属性!$DX450)</f>
        <v>700</v>
      </c>
      <c r="FU450" s="14">
        <f>INDEX(属性投放!$BS$6:$BS$85,(卡牌属性!$DW450-2)*20+卡牌属性!$DX450)</f>
        <v>700</v>
      </c>
      <c r="FV450" s="14">
        <f>INDEX(属性投放!$BS$6:$BS$85,(卡牌属性!$DW450-2)*20+卡牌属性!$DX450)</f>
        <v>700</v>
      </c>
    </row>
    <row r="451" spans="31:178" ht="16.5" x14ac:dyDescent="0.2">
      <c r="AE451" s="13">
        <v>447</v>
      </c>
      <c r="AF451" s="13">
        <f t="shared" si="753"/>
        <v>23</v>
      </c>
      <c r="AG451" s="13">
        <f t="shared" si="740"/>
        <v>4</v>
      </c>
      <c r="AH451" s="13"/>
      <c r="AI451" s="13"/>
      <c r="AJ451" s="14">
        <f t="shared" si="805"/>
        <v>1101043</v>
      </c>
      <c r="AK451" s="14" t="str">
        <f t="shared" si="806"/>
        <v>少年曹玄亮7突</v>
      </c>
      <c r="AL451" s="25" t="s">
        <v>142</v>
      </c>
      <c r="AM451" s="14">
        <v>1</v>
      </c>
      <c r="AN451" s="14">
        <f t="shared" si="807"/>
        <v>7</v>
      </c>
      <c r="AO451" s="14">
        <f>INDEX(属性投放!$DF$6:$DF$85,(卡牌属性!AG451-2)*20+卡牌属性!AN451)</f>
        <v>1982</v>
      </c>
      <c r="AP451" s="14">
        <f t="shared" si="813"/>
        <v>1982</v>
      </c>
      <c r="AQ451" s="14">
        <f t="shared" si="813"/>
        <v>1982</v>
      </c>
      <c r="AR451" s="14">
        <f t="shared" si="813"/>
        <v>1982</v>
      </c>
      <c r="AS451" s="14">
        <f t="shared" si="813"/>
        <v>1982</v>
      </c>
      <c r="AT451" s="14">
        <f>INDEX(属性投放!$DG$6:$DG$85,(卡牌属性!AG451-2)*20+卡牌属性!AN451)</f>
        <v>919</v>
      </c>
      <c r="AU451" s="14">
        <f t="shared" si="814"/>
        <v>919</v>
      </c>
      <c r="AV451" s="14">
        <f t="shared" si="814"/>
        <v>919</v>
      </c>
      <c r="AW451" s="14">
        <f t="shared" si="814"/>
        <v>919</v>
      </c>
      <c r="AX451" s="14">
        <f t="shared" si="814"/>
        <v>919</v>
      </c>
      <c r="AY451" s="14">
        <f>INDEX(属性投放!$DH$6:$DH$85,(卡牌属性!AG451-2)*20+卡牌属性!AN451)</f>
        <v>12624</v>
      </c>
      <c r="AZ451" s="14">
        <f t="shared" si="815"/>
        <v>12624</v>
      </c>
      <c r="BA451" s="14">
        <f t="shared" si="815"/>
        <v>12624</v>
      </c>
      <c r="BB451" s="14">
        <f t="shared" si="815"/>
        <v>12624</v>
      </c>
      <c r="BC451" s="14">
        <f t="shared" si="815"/>
        <v>12624</v>
      </c>
      <c r="BD451" s="14">
        <f>INDEX(属性投放!$DL$6:$DL$85,(卡牌属性!AG451-2)*20+卡牌属性!AN451)</f>
        <v>58</v>
      </c>
      <c r="BE451" s="14">
        <f t="shared" si="816"/>
        <v>58</v>
      </c>
      <c r="BF451" s="14">
        <f t="shared" si="816"/>
        <v>58</v>
      </c>
      <c r="BG451" s="14">
        <f t="shared" si="816"/>
        <v>58</v>
      </c>
      <c r="BH451" s="14">
        <f t="shared" si="816"/>
        <v>58</v>
      </c>
      <c r="BI451" s="14">
        <f>INDEX(属性投放!$DM$6:$DM$85,(卡牌属性!AG451-2)*20+卡牌属性!AN451)</f>
        <v>29</v>
      </c>
      <c r="BJ451" s="14">
        <f t="shared" si="817"/>
        <v>29</v>
      </c>
      <c r="BK451" s="14">
        <f t="shared" si="817"/>
        <v>29</v>
      </c>
      <c r="BL451" s="14">
        <f t="shared" si="817"/>
        <v>29</v>
      </c>
      <c r="BM451" s="14">
        <f t="shared" si="817"/>
        <v>29</v>
      </c>
      <c r="BN451" s="14">
        <f>INDEX(属性投放!$DN$6:$DN$85,(卡牌属性!AG451-2)*20+卡牌属性!AN451)</f>
        <v>461</v>
      </c>
      <c r="BO451" s="14">
        <f t="shared" si="818"/>
        <v>461</v>
      </c>
      <c r="BP451" s="14">
        <f t="shared" si="818"/>
        <v>461</v>
      </c>
      <c r="BQ451" s="14">
        <f t="shared" si="818"/>
        <v>461</v>
      </c>
      <c r="BR451" s="14">
        <f t="shared" si="818"/>
        <v>461</v>
      </c>
      <c r="BW451" s="13">
        <v>447</v>
      </c>
      <c r="BX451" s="13">
        <f t="shared" si="744"/>
        <v>23</v>
      </c>
      <c r="BY451" s="14">
        <f t="shared" si="745"/>
        <v>2</v>
      </c>
      <c r="BZ451" s="14">
        <f t="shared" si="754"/>
        <v>1102023</v>
      </c>
      <c r="CA451" s="14" t="str">
        <f t="shared" si="755"/>
        <v>异邦刀客7突</v>
      </c>
      <c r="CB451" s="25" t="s">
        <v>142</v>
      </c>
      <c r="CC451" s="14">
        <v>2</v>
      </c>
      <c r="CD451" s="14">
        <f t="shared" si="746"/>
        <v>7</v>
      </c>
      <c r="CE451" s="14" t="s">
        <v>21</v>
      </c>
      <c r="CF451" s="14">
        <f>INDEX(属性投放!$AZ$6:$AZ$85,(BY451-2)*20+CD451)</f>
        <v>1076</v>
      </c>
      <c r="CG451" s="14" t="s">
        <v>22</v>
      </c>
      <c r="CH451" s="14">
        <f>INDEX(属性投放!$BA$6:$BA$85,(BY451-2)*20+CD451)</f>
        <v>493</v>
      </c>
      <c r="CI451" s="14" t="s">
        <v>510</v>
      </c>
      <c r="CJ451" s="14">
        <f>INDEX(属性投放!$BB$6:$BB$85,(BY451-2)*20+CD451)</f>
        <v>6782</v>
      </c>
      <c r="CK451" s="14" t="s">
        <v>21</v>
      </c>
      <c r="CL451" s="14">
        <f>INDEX(属性投放!$BC$6:$BC$85,(BY451-2)*20+CD451)</f>
        <v>10</v>
      </c>
      <c r="CM451" s="14" t="s">
        <v>22</v>
      </c>
      <c r="CN451" s="14">
        <f>INDEX(属性投放!$BD$6:$BD$85,(BY451-2)*20+CD451)</f>
        <v>5</v>
      </c>
      <c r="CO451" s="14" t="s">
        <v>510</v>
      </c>
      <c r="CP451" s="14">
        <f>INDEX(属性投放!$BE$6:$BE$85,(BY451-2)*20+CD451)</f>
        <v>80</v>
      </c>
      <c r="CS451" s="13">
        <v>447</v>
      </c>
      <c r="CT451" s="13">
        <f t="shared" si="756"/>
        <v>9</v>
      </c>
      <c r="CU451" s="13">
        <f t="shared" si="757"/>
        <v>31</v>
      </c>
      <c r="CV451" s="14">
        <f t="shared" si="758"/>
        <v>3</v>
      </c>
      <c r="CW451" s="14">
        <f t="shared" si="759"/>
        <v>1102009</v>
      </c>
      <c r="CX451" s="14" t="str">
        <f>INDEX($O$6:$O$50,CT451)&amp;"-"&amp;INDEX(属性投放!$AB$7:$AB$50,CZ451)&amp;"-魂火-"&amp;DB451</f>
        <v>徐晃-焦热+1-魂火-1</v>
      </c>
      <c r="CY451" s="25" t="s">
        <v>142</v>
      </c>
      <c r="CZ451" s="14">
        <f>INDEX(属性投放!$AM$7:$AM$58,CU451)</f>
        <v>14</v>
      </c>
      <c r="DA451" s="14" t="s">
        <v>537</v>
      </c>
      <c r="DB451" s="14">
        <f>INDEX(属性投放!$AN$7:$AN$58,CU451)</f>
        <v>1</v>
      </c>
      <c r="DC451" s="14">
        <f t="shared" si="747"/>
        <v>31</v>
      </c>
      <c r="DD451" s="14">
        <f>INDEX(属性投放!$AO$7:$AO$58,DC451)</f>
        <v>95</v>
      </c>
      <c r="DE451" s="14" t="s">
        <v>538</v>
      </c>
      <c r="DF451" s="14">
        <f>INDEX(属性投放!$BK$6:$BK$85,(CV451-2)*20+CZ451)</f>
        <v>300</v>
      </c>
      <c r="DG451" s="14">
        <f>SUMIFS(DF$5:DF451,$CT$5:$CT451,"="&amp;$CT451)</f>
        <v>3470</v>
      </c>
      <c r="DH451" s="14" t="s">
        <v>539</v>
      </c>
      <c r="DI451" s="14">
        <f>INDEX(属性投放!$BL$6:$BL$85,(CV451-2)*20+CZ451)</f>
        <v>150</v>
      </c>
      <c r="DJ451" s="14">
        <f>SUMIFS(DI$5:DI451,$CT$5:$CT451,"="&amp;$CT451)</f>
        <v>1738</v>
      </c>
      <c r="DK451" s="14" t="s">
        <v>540</v>
      </c>
      <c r="DL451" s="14">
        <f>INDEX(属性投放!$BM$6:$BM$85,(CV451-2)*20+CZ451)</f>
        <v>3000</v>
      </c>
      <c r="DM451" s="14">
        <f>SUMIFS(DL$5:DL451,$CT$5:$CT451,"="&amp;$CT451)</f>
        <v>30740</v>
      </c>
      <c r="DR451" s="14">
        <f t="shared" si="808"/>
        <v>1102023</v>
      </c>
      <c r="DS451" s="14" t="str">
        <f t="shared" si="809"/>
        <v>异邦刀客7突</v>
      </c>
      <c r="DT451" s="14">
        <f t="shared" si="760"/>
        <v>4</v>
      </c>
      <c r="DU451" s="14">
        <f t="shared" si="761"/>
        <v>3</v>
      </c>
      <c r="DV451" s="14">
        <f t="shared" si="762"/>
        <v>3</v>
      </c>
      <c r="DW451" s="14">
        <f t="shared" si="810"/>
        <v>2</v>
      </c>
      <c r="DX451" s="14">
        <f t="shared" si="811"/>
        <v>7</v>
      </c>
      <c r="DY451" s="14">
        <f t="shared" si="812"/>
        <v>7</v>
      </c>
      <c r="DZ451" s="14">
        <f>INDEX(属性投放!$AX$6:$AX$85,(卡牌属性!DW451-2)*20+卡牌属性!DX451)</f>
        <v>5</v>
      </c>
      <c r="EA451" s="14">
        <f>INDEX(属性投放!BQ$6:BQ$85,卡牌属性!$DY451)</f>
        <v>100</v>
      </c>
      <c r="EB451" s="14">
        <f>INDEX(属性投放!BR$6:BR$85,卡牌属性!$DY451)</f>
        <v>50</v>
      </c>
      <c r="EC451" s="14">
        <f>INDEX(属性投放!BS$6:BS$85,卡牌属性!$DY451)</f>
        <v>800</v>
      </c>
      <c r="ED451" s="14">
        <f t="shared" si="819"/>
        <v>874</v>
      </c>
      <c r="EE451" s="14">
        <f t="shared" si="820"/>
        <v>991</v>
      </c>
      <c r="EF451" s="14">
        <f t="shared" si="821"/>
        <v>1086</v>
      </c>
      <c r="EG451" s="14">
        <f t="shared" si="822"/>
        <v>1086</v>
      </c>
      <c r="EH451" s="14">
        <f t="shared" si="823"/>
        <v>1333</v>
      </c>
      <c r="EI451" s="14">
        <f t="shared" si="824"/>
        <v>343</v>
      </c>
      <c r="EJ451" s="14">
        <f t="shared" si="825"/>
        <v>395</v>
      </c>
      <c r="EK451" s="14">
        <f t="shared" si="826"/>
        <v>395</v>
      </c>
      <c r="EL451" s="14">
        <f t="shared" si="827"/>
        <v>451</v>
      </c>
      <c r="EM451" s="14">
        <f t="shared" si="828"/>
        <v>507</v>
      </c>
      <c r="EN451" s="14">
        <f t="shared" si="829"/>
        <v>4682</v>
      </c>
      <c r="EO451" s="14">
        <f t="shared" si="830"/>
        <v>5354</v>
      </c>
      <c r="EP451" s="14">
        <f t="shared" si="831"/>
        <v>5354</v>
      </c>
      <c r="EQ451" s="14">
        <f t="shared" si="832"/>
        <v>6050</v>
      </c>
      <c r="ER451" s="14">
        <f t="shared" si="833"/>
        <v>6642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80</v>
      </c>
      <c r="FD451" s="14">
        <f>INDEX(属性偏向!$U$4:$U$243,(卡牌属性!$DV451-1+FD$3)*20+卡牌属性!$DX451)</f>
        <v>96</v>
      </c>
      <c r="FE451" s="14">
        <f>INDEX(属性偏向!$U$4:$U$243,(卡牌属性!$DV451-1+FE$3)*20+卡牌属性!$DX451)</f>
        <v>96</v>
      </c>
      <c r="FF451" s="14">
        <f>INDEX(属性偏向!$U$4:$U$243,(卡牌属性!$DV451-1+FF$3)*20+卡牌属性!$DX451)</f>
        <v>120</v>
      </c>
      <c r="FG451" s="14">
        <f>INDEX(属性偏向!$U$4:$U$243,(卡牌属性!$DV451-1+FG$3)*20+卡牌属性!$DX451)</f>
        <v>128</v>
      </c>
      <c r="FH451" s="14">
        <f>INDEX(属性投放!$BQ$6:$BQ$85,(卡牌属性!$DW451-2)*20+卡牌属性!$DX451)</f>
        <v>100</v>
      </c>
      <c r="FI451" s="14">
        <f>INDEX(属性投放!$BQ$6:$BQ$85,(卡牌属性!$DW451-2)*20+卡牌属性!$DX451)</f>
        <v>100</v>
      </c>
      <c r="FJ451" s="14">
        <f>INDEX(属性投放!$BQ$6:$BQ$85,(卡牌属性!$DW451-2)*20+卡牌属性!$DX451)</f>
        <v>100</v>
      </c>
      <c r="FK451" s="14">
        <f>INDEX(属性投放!$BQ$6:$BQ$85,(卡牌属性!$DW451-2)*20+卡牌属性!$DX451)</f>
        <v>100</v>
      </c>
      <c r="FL451" s="14">
        <f>INDEX(属性投放!$BQ$6:$BQ$85,(卡牌属性!$DW451-2)*20+卡牌属性!$DX451)</f>
        <v>100</v>
      </c>
      <c r="FM451" s="14">
        <f>INDEX(属性投放!$BR$6:$BR$85,(卡牌属性!$DW451-2)*20+卡牌属性!$DX451)</f>
        <v>50</v>
      </c>
      <c r="FN451" s="14">
        <f>INDEX(属性投放!$BR$6:$BR$85,(卡牌属性!$DW451-2)*20+卡牌属性!$DX451)</f>
        <v>50</v>
      </c>
      <c r="FO451" s="14">
        <f>INDEX(属性投放!$BR$6:$BR$85,(卡牌属性!$DW451-2)*20+卡牌属性!$DX451)</f>
        <v>50</v>
      </c>
      <c r="FP451" s="14">
        <f>INDEX(属性投放!$BR$6:$BR$85,(卡牌属性!$DW451-2)*20+卡牌属性!$DX451)</f>
        <v>50</v>
      </c>
      <c r="FQ451" s="14">
        <f>INDEX(属性投放!$BR$6:$BR$85,(卡牌属性!$DW451-2)*20+卡牌属性!$DX451)</f>
        <v>50</v>
      </c>
      <c r="FR451" s="14">
        <f>INDEX(属性投放!$BS$6:$BS$85,(卡牌属性!$DW451-2)*20+卡牌属性!$DX451)</f>
        <v>800</v>
      </c>
      <c r="FS451" s="14">
        <f>INDEX(属性投放!$BS$6:$BS$85,(卡牌属性!$DW451-2)*20+卡牌属性!$DX451)</f>
        <v>800</v>
      </c>
      <c r="FT451" s="14">
        <f>INDEX(属性投放!$BS$6:$BS$85,(卡牌属性!$DW451-2)*20+卡牌属性!$DX451)</f>
        <v>800</v>
      </c>
      <c r="FU451" s="14">
        <f>INDEX(属性投放!$BS$6:$BS$85,(卡牌属性!$DW451-2)*20+卡牌属性!$DX451)</f>
        <v>800</v>
      </c>
      <c r="FV451" s="14">
        <f>INDEX(属性投放!$BS$6:$BS$85,(卡牌属性!$DW451-2)*20+卡牌属性!$DX451)</f>
        <v>800</v>
      </c>
    </row>
    <row r="452" spans="31:178" ht="16.5" x14ac:dyDescent="0.2">
      <c r="AE452" s="13">
        <v>448</v>
      </c>
      <c r="AF452" s="13">
        <f t="shared" si="753"/>
        <v>23</v>
      </c>
      <c r="AG452" s="13">
        <f t="shared" si="740"/>
        <v>4</v>
      </c>
      <c r="AH452" s="13"/>
      <c r="AI452" s="13"/>
      <c r="AJ452" s="14">
        <f t="shared" si="805"/>
        <v>1101043</v>
      </c>
      <c r="AK452" s="14" t="str">
        <f t="shared" si="806"/>
        <v>少年曹玄亮8突</v>
      </c>
      <c r="AL452" s="25" t="s">
        <v>142</v>
      </c>
      <c r="AM452" s="14">
        <v>1</v>
      </c>
      <c r="AN452" s="14">
        <f t="shared" si="807"/>
        <v>8</v>
      </c>
      <c r="AO452" s="14">
        <f>INDEX(属性投放!$DF$6:$DF$85,(卡牌属性!AG452-2)*20+卡牌属性!AN452)</f>
        <v>2147</v>
      </c>
      <c r="AP452" s="14">
        <f t="shared" si="813"/>
        <v>2147</v>
      </c>
      <c r="AQ452" s="14">
        <f t="shared" si="813"/>
        <v>2147</v>
      </c>
      <c r="AR452" s="14">
        <f t="shared" si="813"/>
        <v>2147</v>
      </c>
      <c r="AS452" s="14">
        <f t="shared" si="813"/>
        <v>2147</v>
      </c>
      <c r="AT452" s="14">
        <f>INDEX(属性投放!$DG$6:$DG$85,(卡牌属性!AG452-2)*20+卡牌属性!AN452)</f>
        <v>1002</v>
      </c>
      <c r="AU452" s="14">
        <f t="shared" si="814"/>
        <v>1002</v>
      </c>
      <c r="AV452" s="14">
        <f t="shared" si="814"/>
        <v>1002</v>
      </c>
      <c r="AW452" s="14">
        <f t="shared" si="814"/>
        <v>1002</v>
      </c>
      <c r="AX452" s="14">
        <f t="shared" si="814"/>
        <v>1002</v>
      </c>
      <c r="AY452" s="14">
        <f>INDEX(属性投放!$DH$6:$DH$85,(卡牌属性!AG452-2)*20+卡牌属性!AN452)</f>
        <v>13940</v>
      </c>
      <c r="AZ452" s="14">
        <f t="shared" si="815"/>
        <v>13940</v>
      </c>
      <c r="BA452" s="14">
        <f t="shared" si="815"/>
        <v>13940</v>
      </c>
      <c r="BB452" s="14">
        <f t="shared" si="815"/>
        <v>13940</v>
      </c>
      <c r="BC452" s="14">
        <f t="shared" si="815"/>
        <v>13940</v>
      </c>
      <c r="BD452" s="14">
        <f>INDEX(属性投放!$DL$6:$DL$85,(卡牌属性!AG452-2)*20+卡牌属性!AN452)</f>
        <v>58</v>
      </c>
      <c r="BE452" s="14">
        <f t="shared" si="816"/>
        <v>58</v>
      </c>
      <c r="BF452" s="14">
        <f t="shared" si="816"/>
        <v>58</v>
      </c>
      <c r="BG452" s="14">
        <f t="shared" si="816"/>
        <v>58</v>
      </c>
      <c r="BH452" s="14">
        <f t="shared" si="816"/>
        <v>58</v>
      </c>
      <c r="BI452" s="14">
        <f>INDEX(属性投放!$DM$6:$DM$85,(卡牌属性!AG452-2)*20+卡牌属性!AN452)</f>
        <v>29</v>
      </c>
      <c r="BJ452" s="14">
        <f t="shared" si="817"/>
        <v>29</v>
      </c>
      <c r="BK452" s="14">
        <f t="shared" si="817"/>
        <v>29</v>
      </c>
      <c r="BL452" s="14">
        <f t="shared" si="817"/>
        <v>29</v>
      </c>
      <c r="BM452" s="14">
        <f t="shared" si="817"/>
        <v>29</v>
      </c>
      <c r="BN452" s="14">
        <f>INDEX(属性投放!$DN$6:$DN$85,(卡牌属性!AG452-2)*20+卡牌属性!AN452)</f>
        <v>461</v>
      </c>
      <c r="BO452" s="14">
        <f t="shared" si="818"/>
        <v>461</v>
      </c>
      <c r="BP452" s="14">
        <f t="shared" si="818"/>
        <v>461</v>
      </c>
      <c r="BQ452" s="14">
        <f t="shared" si="818"/>
        <v>461</v>
      </c>
      <c r="BR452" s="14">
        <f t="shared" si="818"/>
        <v>461</v>
      </c>
      <c r="BW452" s="13">
        <v>448</v>
      </c>
      <c r="BX452" s="13">
        <f t="shared" si="744"/>
        <v>23</v>
      </c>
      <c r="BY452" s="14">
        <f t="shared" si="745"/>
        <v>2</v>
      </c>
      <c r="BZ452" s="14">
        <f t="shared" si="754"/>
        <v>1102023</v>
      </c>
      <c r="CA452" s="14" t="str">
        <f t="shared" si="755"/>
        <v>异邦刀客8突</v>
      </c>
      <c r="CB452" s="25" t="s">
        <v>142</v>
      </c>
      <c r="CC452" s="14">
        <v>2</v>
      </c>
      <c r="CD452" s="14">
        <f t="shared" si="746"/>
        <v>8</v>
      </c>
      <c r="CE452" s="14" t="s">
        <v>21</v>
      </c>
      <c r="CF452" s="14">
        <f>INDEX(属性投放!$AZ$6:$AZ$85,(BY452-2)*20+CD452)</f>
        <v>1336</v>
      </c>
      <c r="CG452" s="14" t="s">
        <v>22</v>
      </c>
      <c r="CH452" s="14">
        <f>INDEX(属性投放!$BA$6:$BA$85,(BY452-2)*20+CD452)</f>
        <v>624</v>
      </c>
      <c r="CI452" s="14" t="s">
        <v>510</v>
      </c>
      <c r="CJ452" s="14">
        <f>INDEX(属性投放!$BB$6:$BB$85,(BY452-2)*20+CD452)</f>
        <v>8862</v>
      </c>
      <c r="CK452" s="14" t="s">
        <v>21</v>
      </c>
      <c r="CL452" s="14">
        <f>INDEX(属性投放!$BC$6:$BC$85,(BY452-2)*20+CD452)</f>
        <v>10</v>
      </c>
      <c r="CM452" s="14" t="s">
        <v>22</v>
      </c>
      <c r="CN452" s="14">
        <f>INDEX(属性投放!$BD$6:$BD$85,(BY452-2)*20+CD452)</f>
        <v>5</v>
      </c>
      <c r="CO452" s="14" t="s">
        <v>510</v>
      </c>
      <c r="CP452" s="14">
        <f>INDEX(属性投放!$BE$6:$BE$85,(BY452-2)*20+CD452)</f>
        <v>80</v>
      </c>
      <c r="CS452" s="13">
        <v>448</v>
      </c>
      <c r="CT452" s="13">
        <f t="shared" si="756"/>
        <v>9</v>
      </c>
      <c r="CU452" s="13">
        <f t="shared" si="757"/>
        <v>32</v>
      </c>
      <c r="CV452" s="14">
        <f t="shared" si="758"/>
        <v>3</v>
      </c>
      <c r="CW452" s="14">
        <f t="shared" si="759"/>
        <v>1102009</v>
      </c>
      <c r="CX452" s="14" t="str">
        <f>INDEX($O$6:$O$50,CT452)&amp;"-"&amp;INDEX(属性投放!$AB$7:$AB$50,CZ452)&amp;"-魂火-"&amp;DB452</f>
        <v>徐晃-焦热+1-魂火-2</v>
      </c>
      <c r="CY452" s="25" t="s">
        <v>142</v>
      </c>
      <c r="CZ452" s="14">
        <f>INDEX(属性投放!$AM$7:$AM$58,CU452)</f>
        <v>14</v>
      </c>
      <c r="DA452" s="14" t="s">
        <v>537</v>
      </c>
      <c r="DB452" s="14">
        <f>INDEX(属性投放!$AN$7:$AN$58,CU452)</f>
        <v>2</v>
      </c>
      <c r="DC452" s="14">
        <f t="shared" si="747"/>
        <v>32</v>
      </c>
      <c r="DD452" s="14">
        <f>INDEX(属性投放!$AO$7:$AO$58,DC452)</f>
        <v>98</v>
      </c>
      <c r="DE452" s="14" t="s">
        <v>538</v>
      </c>
      <c r="DF452" s="14">
        <f>INDEX(属性投放!$BK$6:$BK$85,(CV452-2)*20+CZ452)</f>
        <v>300</v>
      </c>
      <c r="DG452" s="14">
        <f>SUMIFS(DF$5:DF452,$CT$5:$CT452,"="&amp;$CT452)</f>
        <v>3770</v>
      </c>
      <c r="DH452" s="14" t="s">
        <v>539</v>
      </c>
      <c r="DI452" s="14">
        <f>INDEX(属性投放!$BL$6:$BL$85,(CV452-2)*20+CZ452)</f>
        <v>150</v>
      </c>
      <c r="DJ452" s="14">
        <f>SUMIFS(DI$5:DI452,$CT$5:$CT452,"="&amp;$CT452)</f>
        <v>1888</v>
      </c>
      <c r="DK452" s="14" t="s">
        <v>540</v>
      </c>
      <c r="DL452" s="14">
        <f>INDEX(属性投放!$BM$6:$BM$85,(CV452-2)*20+CZ452)</f>
        <v>3000</v>
      </c>
      <c r="DM452" s="14">
        <f>SUMIFS(DL$5:DL452,$CT$5:$CT452,"="&amp;$CT452)</f>
        <v>33740</v>
      </c>
      <c r="DR452" s="14">
        <f t="shared" si="808"/>
        <v>1102023</v>
      </c>
      <c r="DS452" s="14" t="str">
        <f t="shared" si="809"/>
        <v>异邦刀客8突</v>
      </c>
      <c r="DT452" s="14">
        <f t="shared" si="760"/>
        <v>4</v>
      </c>
      <c r="DU452" s="14">
        <f t="shared" si="761"/>
        <v>3</v>
      </c>
      <c r="DV452" s="14">
        <f t="shared" si="762"/>
        <v>3</v>
      </c>
      <c r="DW452" s="14">
        <f t="shared" si="810"/>
        <v>2</v>
      </c>
      <c r="DX452" s="14">
        <f t="shared" si="811"/>
        <v>8</v>
      </c>
      <c r="DY452" s="14">
        <f t="shared" si="812"/>
        <v>8</v>
      </c>
      <c r="DZ452" s="14">
        <f>INDEX(属性投放!$AX$6:$AX$85,(卡牌属性!DW452-2)*20+卡牌属性!DX452)</f>
        <v>5</v>
      </c>
      <c r="EA452" s="14">
        <f>INDEX(属性投放!BQ$6:BQ$85,卡牌属性!$DY452)</f>
        <v>100</v>
      </c>
      <c r="EB452" s="14">
        <f>INDEX(属性投放!BR$6:BR$85,卡牌属性!$DY452)</f>
        <v>50</v>
      </c>
      <c r="EC452" s="14">
        <f>INDEX(属性投放!BS$6:BS$85,卡牌属性!$DY452)</f>
        <v>800</v>
      </c>
      <c r="ED452" s="14">
        <f t="shared" si="819"/>
        <v>1034</v>
      </c>
      <c r="EE452" s="14">
        <f t="shared" si="820"/>
        <v>1166</v>
      </c>
      <c r="EF452" s="14">
        <f t="shared" si="821"/>
        <v>1266</v>
      </c>
      <c r="EG452" s="14">
        <f t="shared" si="822"/>
        <v>1266</v>
      </c>
      <c r="EH452" s="14">
        <f t="shared" si="823"/>
        <v>1558</v>
      </c>
      <c r="EI452" s="14">
        <f t="shared" si="824"/>
        <v>418</v>
      </c>
      <c r="EJ452" s="14">
        <f t="shared" si="825"/>
        <v>475</v>
      </c>
      <c r="EK452" s="14">
        <f t="shared" si="826"/>
        <v>475</v>
      </c>
      <c r="EL452" s="14">
        <f t="shared" si="827"/>
        <v>541</v>
      </c>
      <c r="EM452" s="14">
        <f t="shared" si="828"/>
        <v>597</v>
      </c>
      <c r="EN452" s="14">
        <f t="shared" si="829"/>
        <v>5882</v>
      </c>
      <c r="EO452" s="14">
        <f t="shared" si="830"/>
        <v>6634</v>
      </c>
      <c r="EP452" s="14">
        <f t="shared" si="831"/>
        <v>6634</v>
      </c>
      <c r="EQ452" s="14">
        <f t="shared" si="832"/>
        <v>7450</v>
      </c>
      <c r="ER452" s="14">
        <f t="shared" si="833"/>
        <v>8082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80</v>
      </c>
      <c r="FD452" s="14">
        <f>INDEX(属性偏向!$U$4:$U$243,(卡牌属性!$DV452-1+FD$3)*20+卡牌属性!$DX452)</f>
        <v>96</v>
      </c>
      <c r="FE452" s="14">
        <f>INDEX(属性偏向!$U$4:$U$243,(卡牌属性!$DV452-1+FE$3)*20+卡牌属性!$DX452)</f>
        <v>96</v>
      </c>
      <c r="FF452" s="14">
        <f>INDEX(属性偏向!$U$4:$U$243,(卡牌属性!$DV452-1+FF$3)*20+卡牌属性!$DX452)</f>
        <v>120</v>
      </c>
      <c r="FG452" s="14">
        <f>INDEX(属性偏向!$U$4:$U$243,(卡牌属性!$DV452-1+FG$3)*20+卡牌属性!$DX452)</f>
        <v>128</v>
      </c>
      <c r="FH452" s="14">
        <f>INDEX(属性投放!$BQ$6:$BQ$85,(卡牌属性!$DW452-2)*20+卡牌属性!$DX452)</f>
        <v>100</v>
      </c>
      <c r="FI452" s="14">
        <f>INDEX(属性投放!$BQ$6:$BQ$85,(卡牌属性!$DW452-2)*20+卡牌属性!$DX452)</f>
        <v>100</v>
      </c>
      <c r="FJ452" s="14">
        <f>INDEX(属性投放!$BQ$6:$BQ$85,(卡牌属性!$DW452-2)*20+卡牌属性!$DX452)</f>
        <v>100</v>
      </c>
      <c r="FK452" s="14">
        <f>INDEX(属性投放!$BQ$6:$BQ$85,(卡牌属性!$DW452-2)*20+卡牌属性!$DX452)</f>
        <v>100</v>
      </c>
      <c r="FL452" s="14">
        <f>INDEX(属性投放!$BQ$6:$BQ$85,(卡牌属性!$DW452-2)*20+卡牌属性!$DX452)</f>
        <v>100</v>
      </c>
      <c r="FM452" s="14">
        <f>INDEX(属性投放!$BR$6:$BR$85,(卡牌属性!$DW452-2)*20+卡牌属性!$DX452)</f>
        <v>50</v>
      </c>
      <c r="FN452" s="14">
        <f>INDEX(属性投放!$BR$6:$BR$85,(卡牌属性!$DW452-2)*20+卡牌属性!$DX452)</f>
        <v>50</v>
      </c>
      <c r="FO452" s="14">
        <f>INDEX(属性投放!$BR$6:$BR$85,(卡牌属性!$DW452-2)*20+卡牌属性!$DX452)</f>
        <v>50</v>
      </c>
      <c r="FP452" s="14">
        <f>INDEX(属性投放!$BR$6:$BR$85,(卡牌属性!$DW452-2)*20+卡牌属性!$DX452)</f>
        <v>50</v>
      </c>
      <c r="FQ452" s="14">
        <f>INDEX(属性投放!$BR$6:$BR$85,(卡牌属性!$DW452-2)*20+卡牌属性!$DX452)</f>
        <v>50</v>
      </c>
      <c r="FR452" s="14">
        <f>INDEX(属性投放!$BS$6:$BS$85,(卡牌属性!$DW452-2)*20+卡牌属性!$DX452)</f>
        <v>800</v>
      </c>
      <c r="FS452" s="14">
        <f>INDEX(属性投放!$BS$6:$BS$85,(卡牌属性!$DW452-2)*20+卡牌属性!$DX452)</f>
        <v>800</v>
      </c>
      <c r="FT452" s="14">
        <f>INDEX(属性投放!$BS$6:$BS$85,(卡牌属性!$DW452-2)*20+卡牌属性!$DX452)</f>
        <v>800</v>
      </c>
      <c r="FU452" s="14">
        <f>INDEX(属性投放!$BS$6:$BS$85,(卡牌属性!$DW452-2)*20+卡牌属性!$DX452)</f>
        <v>800</v>
      </c>
      <c r="FV452" s="14">
        <f>INDEX(属性投放!$BS$6:$BS$85,(卡牌属性!$DW452-2)*20+卡牌属性!$DX452)</f>
        <v>800</v>
      </c>
    </row>
    <row r="453" spans="31:178" ht="16.5" x14ac:dyDescent="0.2">
      <c r="AE453" s="13">
        <v>449</v>
      </c>
      <c r="AF453" s="13">
        <f t="shared" si="753"/>
        <v>23</v>
      </c>
      <c r="AG453" s="13">
        <f t="shared" ref="AG453:AG464" si="834">INDEX($D$6:$D$43,AF453)</f>
        <v>4</v>
      </c>
      <c r="AH453" s="13"/>
      <c r="AI453" s="13"/>
      <c r="AJ453" s="14">
        <f t="shared" si="805"/>
        <v>1101043</v>
      </c>
      <c r="AK453" s="14" t="str">
        <f t="shared" si="806"/>
        <v>少年曹玄亮9突</v>
      </c>
      <c r="AL453" s="25" t="s">
        <v>142</v>
      </c>
      <c r="AM453" s="14">
        <v>1</v>
      </c>
      <c r="AN453" s="14">
        <f t="shared" si="807"/>
        <v>9</v>
      </c>
      <c r="AO453" s="14">
        <f>INDEX(属性投放!$DF$6:$DF$85,(卡牌属性!AG453-2)*20+卡牌属性!AN453)</f>
        <v>2312</v>
      </c>
      <c r="AP453" s="14">
        <f t="shared" si="813"/>
        <v>2312</v>
      </c>
      <c r="AQ453" s="14">
        <f t="shared" si="813"/>
        <v>2312</v>
      </c>
      <c r="AR453" s="14">
        <f t="shared" si="813"/>
        <v>2312</v>
      </c>
      <c r="AS453" s="14">
        <f t="shared" si="813"/>
        <v>2312</v>
      </c>
      <c r="AT453" s="14">
        <f>INDEX(属性投放!$DG$6:$DG$85,(卡牌属性!AG453-2)*20+卡牌属性!AN453)</f>
        <v>1085</v>
      </c>
      <c r="AU453" s="14">
        <f t="shared" si="814"/>
        <v>1085</v>
      </c>
      <c r="AV453" s="14">
        <f t="shared" si="814"/>
        <v>1085</v>
      </c>
      <c r="AW453" s="14">
        <f t="shared" si="814"/>
        <v>1085</v>
      </c>
      <c r="AX453" s="14">
        <f t="shared" si="814"/>
        <v>1085</v>
      </c>
      <c r="AY453" s="14">
        <f>INDEX(属性投放!$DH$6:$DH$85,(卡牌属性!AG453-2)*20+卡牌属性!AN453)</f>
        <v>15256</v>
      </c>
      <c r="AZ453" s="14">
        <f t="shared" si="815"/>
        <v>15256</v>
      </c>
      <c r="BA453" s="14">
        <f t="shared" si="815"/>
        <v>15256</v>
      </c>
      <c r="BB453" s="14">
        <f t="shared" si="815"/>
        <v>15256</v>
      </c>
      <c r="BC453" s="14">
        <f t="shared" si="815"/>
        <v>15256</v>
      </c>
      <c r="BD453" s="14">
        <f>INDEX(属性投放!$DL$6:$DL$85,(卡牌属性!AG453-2)*20+卡牌属性!AN453)</f>
        <v>58</v>
      </c>
      <c r="BE453" s="14">
        <f t="shared" si="816"/>
        <v>58</v>
      </c>
      <c r="BF453" s="14">
        <f t="shared" si="816"/>
        <v>58</v>
      </c>
      <c r="BG453" s="14">
        <f t="shared" si="816"/>
        <v>58</v>
      </c>
      <c r="BH453" s="14">
        <f t="shared" si="816"/>
        <v>58</v>
      </c>
      <c r="BI453" s="14">
        <f>INDEX(属性投放!$DM$6:$DM$85,(卡牌属性!AG453-2)*20+卡牌属性!AN453)</f>
        <v>29</v>
      </c>
      <c r="BJ453" s="14">
        <f t="shared" si="817"/>
        <v>29</v>
      </c>
      <c r="BK453" s="14">
        <f t="shared" si="817"/>
        <v>29</v>
      </c>
      <c r="BL453" s="14">
        <f t="shared" si="817"/>
        <v>29</v>
      </c>
      <c r="BM453" s="14">
        <f t="shared" si="817"/>
        <v>29</v>
      </c>
      <c r="BN453" s="14">
        <f>INDEX(属性投放!$DN$6:$DN$85,(卡牌属性!AG453-2)*20+卡牌属性!AN453)</f>
        <v>461</v>
      </c>
      <c r="BO453" s="14">
        <f t="shared" si="818"/>
        <v>461</v>
      </c>
      <c r="BP453" s="14">
        <f t="shared" si="818"/>
        <v>461</v>
      </c>
      <c r="BQ453" s="14">
        <f t="shared" si="818"/>
        <v>461</v>
      </c>
      <c r="BR453" s="14">
        <f t="shared" si="818"/>
        <v>461</v>
      </c>
      <c r="BW453" s="13">
        <v>449</v>
      </c>
      <c r="BX453" s="13">
        <f t="shared" ref="BX453:BX516" si="835">MATCH(BW453-1,$S$5:$S$43,1)</f>
        <v>23</v>
      </c>
      <c r="BY453" s="14">
        <f t="shared" ref="BY453:BY516" si="836">INDEX($Q$6:$Q$43,BX453)</f>
        <v>2</v>
      </c>
      <c r="BZ453" s="14">
        <f t="shared" si="754"/>
        <v>1102023</v>
      </c>
      <c r="CA453" s="14" t="str">
        <f t="shared" si="755"/>
        <v>异邦刀客9突</v>
      </c>
      <c r="CB453" s="25" t="s">
        <v>142</v>
      </c>
      <c r="CC453" s="14">
        <v>2</v>
      </c>
      <c r="CD453" s="14">
        <f t="shared" ref="CD453:CD516" si="837">BW453-INDEX($S$5:$S$43,BX453)</f>
        <v>9</v>
      </c>
      <c r="CE453" s="14" t="s">
        <v>21</v>
      </c>
      <c r="CF453" s="14">
        <f>INDEX(属性投放!$AZ$6:$AZ$85,(BY453-2)*20+CD453)</f>
        <v>1626</v>
      </c>
      <c r="CG453" s="14" t="s">
        <v>22</v>
      </c>
      <c r="CH453" s="14">
        <f>INDEX(属性投放!$BA$6:$BA$85,(BY453-2)*20+CD453)</f>
        <v>769</v>
      </c>
      <c r="CI453" s="14" t="s">
        <v>510</v>
      </c>
      <c r="CJ453" s="14">
        <f>INDEX(属性投放!$BB$6:$BB$85,(BY453-2)*20+CD453)</f>
        <v>11182</v>
      </c>
      <c r="CK453" s="14" t="s">
        <v>21</v>
      </c>
      <c r="CL453" s="14">
        <f>INDEX(属性投放!$BC$6:$BC$85,(BY453-2)*20+CD453)</f>
        <v>10</v>
      </c>
      <c r="CM453" s="14" t="s">
        <v>22</v>
      </c>
      <c r="CN453" s="14">
        <f>INDEX(属性投放!$BD$6:$BD$85,(BY453-2)*20+CD453)</f>
        <v>5</v>
      </c>
      <c r="CO453" s="14" t="s">
        <v>510</v>
      </c>
      <c r="CP453" s="14">
        <f>INDEX(属性投放!$BE$6:$BE$85,(BY453-2)*20+CD453)</f>
        <v>80</v>
      </c>
      <c r="CS453" s="13">
        <v>449</v>
      </c>
      <c r="CT453" s="13">
        <f t="shared" si="756"/>
        <v>9</v>
      </c>
      <c r="CU453" s="13">
        <f t="shared" si="757"/>
        <v>33</v>
      </c>
      <c r="CV453" s="14">
        <f t="shared" si="758"/>
        <v>3</v>
      </c>
      <c r="CW453" s="14">
        <f t="shared" si="759"/>
        <v>1102009</v>
      </c>
      <c r="CX453" s="14" t="str">
        <f>INDEX($O$6:$O$50,CT453)&amp;"-"&amp;INDEX(属性投放!$AB$7:$AB$50,CZ453)&amp;"-魂火-"&amp;DB453</f>
        <v>徐晃-焦热+1-魂火-3</v>
      </c>
      <c r="CY453" s="25" t="s">
        <v>142</v>
      </c>
      <c r="CZ453" s="14">
        <f>INDEX(属性投放!$AM$7:$AM$58,CU453)</f>
        <v>14</v>
      </c>
      <c r="DA453" s="14" t="s">
        <v>537</v>
      </c>
      <c r="DB453" s="14">
        <f>INDEX(属性投放!$AN$7:$AN$58,CU453)</f>
        <v>3</v>
      </c>
      <c r="DC453" s="14">
        <f t="shared" ref="DC453:DC516" si="838">CU453</f>
        <v>33</v>
      </c>
      <c r="DD453" s="14">
        <f>INDEX(属性投放!$AO$7:$AO$58,DC453)</f>
        <v>100</v>
      </c>
      <c r="DE453" s="14" t="s">
        <v>538</v>
      </c>
      <c r="DF453" s="14">
        <f>INDEX(属性投放!$BK$6:$BK$85,(CV453-2)*20+CZ453)</f>
        <v>300</v>
      </c>
      <c r="DG453" s="14">
        <f>SUMIFS(DF$5:DF453,$CT$5:$CT453,"="&amp;$CT453)</f>
        <v>4070</v>
      </c>
      <c r="DH453" s="14" t="s">
        <v>539</v>
      </c>
      <c r="DI453" s="14">
        <f>INDEX(属性投放!$BL$6:$BL$85,(CV453-2)*20+CZ453)</f>
        <v>150</v>
      </c>
      <c r="DJ453" s="14">
        <f>SUMIFS(DI$5:DI453,$CT$5:$CT453,"="&amp;$CT453)</f>
        <v>2038</v>
      </c>
      <c r="DK453" s="14" t="s">
        <v>540</v>
      </c>
      <c r="DL453" s="14">
        <f>INDEX(属性投放!$BM$6:$BM$85,(CV453-2)*20+CZ453)</f>
        <v>3000</v>
      </c>
      <c r="DM453" s="14">
        <f>SUMIFS(DL$5:DL453,$CT$5:$CT453,"="&amp;$CT453)</f>
        <v>36740</v>
      </c>
      <c r="DR453" s="14">
        <f t="shared" si="808"/>
        <v>1102023</v>
      </c>
      <c r="DS453" s="14" t="str">
        <f t="shared" si="809"/>
        <v>异邦刀客9突</v>
      </c>
      <c r="DT453" s="14">
        <f t="shared" si="760"/>
        <v>4</v>
      </c>
      <c r="DU453" s="14">
        <f t="shared" si="761"/>
        <v>3</v>
      </c>
      <c r="DV453" s="14">
        <f t="shared" si="762"/>
        <v>3</v>
      </c>
      <c r="DW453" s="14">
        <f t="shared" si="810"/>
        <v>2</v>
      </c>
      <c r="DX453" s="14">
        <f t="shared" si="811"/>
        <v>9</v>
      </c>
      <c r="DY453" s="14">
        <f t="shared" si="812"/>
        <v>9</v>
      </c>
      <c r="DZ453" s="14">
        <f>INDEX(属性投放!$AX$6:$AX$85,(卡牌属性!DW453-2)*20+卡牌属性!DX453)</f>
        <v>8</v>
      </c>
      <c r="EA453" s="14">
        <f>INDEX(属性投放!BQ$6:BQ$85,卡牌属性!$DY453)</f>
        <v>150</v>
      </c>
      <c r="EB453" s="14">
        <f>INDEX(属性投放!BR$6:BR$85,卡牌属性!$DY453)</f>
        <v>75</v>
      </c>
      <c r="EC453" s="14">
        <f>INDEX(属性投放!BS$6:BS$85,卡牌属性!$DY453)</f>
        <v>1200</v>
      </c>
      <c r="ED453" s="14">
        <f t="shared" si="819"/>
        <v>1194</v>
      </c>
      <c r="EE453" s="14">
        <f t="shared" si="820"/>
        <v>1341</v>
      </c>
      <c r="EF453" s="14">
        <f t="shared" si="821"/>
        <v>1446</v>
      </c>
      <c r="EG453" s="14">
        <f t="shared" si="822"/>
        <v>1446</v>
      </c>
      <c r="EH453" s="14">
        <f t="shared" si="823"/>
        <v>1783</v>
      </c>
      <c r="EI453" s="14">
        <f t="shared" si="824"/>
        <v>493</v>
      </c>
      <c r="EJ453" s="14">
        <f t="shared" si="825"/>
        <v>555</v>
      </c>
      <c r="EK453" s="14">
        <f t="shared" si="826"/>
        <v>555</v>
      </c>
      <c r="EL453" s="14">
        <f t="shared" si="827"/>
        <v>631</v>
      </c>
      <c r="EM453" s="14">
        <f t="shared" si="828"/>
        <v>687</v>
      </c>
      <c r="EN453" s="14">
        <f t="shared" si="829"/>
        <v>7082</v>
      </c>
      <c r="EO453" s="14">
        <f t="shared" si="830"/>
        <v>7914</v>
      </c>
      <c r="EP453" s="14">
        <f t="shared" si="831"/>
        <v>7914</v>
      </c>
      <c r="EQ453" s="14">
        <f t="shared" si="832"/>
        <v>8850</v>
      </c>
      <c r="ER453" s="14">
        <f t="shared" si="833"/>
        <v>9522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80</v>
      </c>
      <c r="FD453" s="14">
        <f>INDEX(属性偏向!$U$4:$U$243,(卡牌属性!$DV453-1+FD$3)*20+卡牌属性!$DX453)</f>
        <v>96</v>
      </c>
      <c r="FE453" s="14">
        <f>INDEX(属性偏向!$U$4:$U$243,(卡牌属性!$DV453-1+FE$3)*20+卡牌属性!$DX453)</f>
        <v>96</v>
      </c>
      <c r="FF453" s="14">
        <f>INDEX(属性偏向!$U$4:$U$243,(卡牌属性!$DV453-1+FF$3)*20+卡牌属性!$DX453)</f>
        <v>120</v>
      </c>
      <c r="FG453" s="14">
        <f>INDEX(属性偏向!$U$4:$U$243,(卡牌属性!$DV453-1+FG$3)*20+卡牌属性!$DX453)</f>
        <v>128</v>
      </c>
      <c r="FH453" s="14">
        <f>INDEX(属性投放!$BQ$6:$BQ$85,(卡牌属性!$DW453-2)*20+卡牌属性!$DX453)</f>
        <v>150</v>
      </c>
      <c r="FI453" s="14">
        <f>INDEX(属性投放!$BQ$6:$BQ$85,(卡牌属性!$DW453-2)*20+卡牌属性!$DX453)</f>
        <v>150</v>
      </c>
      <c r="FJ453" s="14">
        <f>INDEX(属性投放!$BQ$6:$BQ$85,(卡牌属性!$DW453-2)*20+卡牌属性!$DX453)</f>
        <v>150</v>
      </c>
      <c r="FK453" s="14">
        <f>INDEX(属性投放!$BQ$6:$BQ$85,(卡牌属性!$DW453-2)*20+卡牌属性!$DX453)</f>
        <v>150</v>
      </c>
      <c r="FL453" s="14">
        <f>INDEX(属性投放!$BQ$6:$BQ$85,(卡牌属性!$DW453-2)*20+卡牌属性!$DX453)</f>
        <v>150</v>
      </c>
      <c r="FM453" s="14">
        <f>INDEX(属性投放!$BR$6:$BR$85,(卡牌属性!$DW453-2)*20+卡牌属性!$DX453)</f>
        <v>75</v>
      </c>
      <c r="FN453" s="14">
        <f>INDEX(属性投放!$BR$6:$BR$85,(卡牌属性!$DW453-2)*20+卡牌属性!$DX453)</f>
        <v>75</v>
      </c>
      <c r="FO453" s="14">
        <f>INDEX(属性投放!$BR$6:$BR$85,(卡牌属性!$DW453-2)*20+卡牌属性!$DX453)</f>
        <v>75</v>
      </c>
      <c r="FP453" s="14">
        <f>INDEX(属性投放!$BR$6:$BR$85,(卡牌属性!$DW453-2)*20+卡牌属性!$DX453)</f>
        <v>75</v>
      </c>
      <c r="FQ453" s="14">
        <f>INDEX(属性投放!$BR$6:$BR$85,(卡牌属性!$DW453-2)*20+卡牌属性!$DX453)</f>
        <v>75</v>
      </c>
      <c r="FR453" s="14">
        <f>INDEX(属性投放!$BS$6:$BS$85,(卡牌属性!$DW453-2)*20+卡牌属性!$DX453)</f>
        <v>1200</v>
      </c>
      <c r="FS453" s="14">
        <f>INDEX(属性投放!$BS$6:$BS$85,(卡牌属性!$DW453-2)*20+卡牌属性!$DX453)</f>
        <v>1200</v>
      </c>
      <c r="FT453" s="14">
        <f>INDEX(属性投放!$BS$6:$BS$85,(卡牌属性!$DW453-2)*20+卡牌属性!$DX453)</f>
        <v>1200</v>
      </c>
      <c r="FU453" s="14">
        <f>INDEX(属性投放!$BS$6:$BS$85,(卡牌属性!$DW453-2)*20+卡牌属性!$DX453)</f>
        <v>1200</v>
      </c>
      <c r="FV453" s="14">
        <f>INDEX(属性投放!$BS$6:$BS$85,(卡牌属性!$DW453-2)*20+卡牌属性!$DX453)</f>
        <v>1200</v>
      </c>
    </row>
    <row r="454" spans="31:178" ht="16.5" x14ac:dyDescent="0.2">
      <c r="AE454" s="13">
        <v>450</v>
      </c>
      <c r="AF454" s="13">
        <f t="shared" ref="AF454:AF464" si="839">MATCH(AE454-1,$F$5:$F$42,1)</f>
        <v>23</v>
      </c>
      <c r="AG454" s="13">
        <f t="shared" si="834"/>
        <v>4</v>
      </c>
      <c r="AH454" s="13"/>
      <c r="AI454" s="13"/>
      <c r="AJ454" s="14">
        <f t="shared" si="805"/>
        <v>1101043</v>
      </c>
      <c r="AK454" s="14" t="str">
        <f t="shared" si="806"/>
        <v>少年曹玄亮10突</v>
      </c>
      <c r="AL454" s="25" t="s">
        <v>142</v>
      </c>
      <c r="AM454" s="14">
        <v>1</v>
      </c>
      <c r="AN454" s="14">
        <f t="shared" si="807"/>
        <v>10</v>
      </c>
      <c r="AO454" s="14">
        <f>INDEX(属性投放!$DF$6:$DF$85,(卡牌属性!AG454-2)*20+卡牌属性!AN454)</f>
        <v>3347</v>
      </c>
      <c r="AP454" s="14">
        <f t="shared" si="813"/>
        <v>3347</v>
      </c>
      <c r="AQ454" s="14">
        <f t="shared" si="813"/>
        <v>3347</v>
      </c>
      <c r="AR454" s="14">
        <f t="shared" si="813"/>
        <v>3347</v>
      </c>
      <c r="AS454" s="14">
        <f t="shared" si="813"/>
        <v>3347</v>
      </c>
      <c r="AT454" s="14">
        <f>INDEX(属性投放!$DG$6:$DG$85,(卡牌属性!AG454-2)*20+卡牌属性!AN454)</f>
        <v>1603</v>
      </c>
      <c r="AU454" s="14">
        <f t="shared" si="814"/>
        <v>1603</v>
      </c>
      <c r="AV454" s="14">
        <f t="shared" si="814"/>
        <v>1603</v>
      </c>
      <c r="AW454" s="14">
        <f t="shared" si="814"/>
        <v>1603</v>
      </c>
      <c r="AX454" s="14">
        <f t="shared" si="814"/>
        <v>1603</v>
      </c>
      <c r="AY454" s="14">
        <f>INDEX(属性投放!$DH$6:$DH$85,(卡牌属性!AG454-2)*20+卡牌属性!AN454)</f>
        <v>23487</v>
      </c>
      <c r="AZ454" s="14">
        <f t="shared" si="815"/>
        <v>23487</v>
      </c>
      <c r="BA454" s="14">
        <f t="shared" si="815"/>
        <v>23487</v>
      </c>
      <c r="BB454" s="14">
        <f t="shared" si="815"/>
        <v>23487</v>
      </c>
      <c r="BC454" s="14">
        <f t="shared" si="815"/>
        <v>23487</v>
      </c>
      <c r="BD454" s="14">
        <f>INDEX(属性投放!$DL$6:$DL$85,(卡牌属性!AG454-2)*20+卡牌属性!AN454)</f>
        <v>110</v>
      </c>
      <c r="BE454" s="14">
        <f t="shared" si="816"/>
        <v>110</v>
      </c>
      <c r="BF454" s="14">
        <f t="shared" si="816"/>
        <v>110</v>
      </c>
      <c r="BG454" s="14">
        <f t="shared" si="816"/>
        <v>110</v>
      </c>
      <c r="BH454" s="14">
        <f t="shared" si="816"/>
        <v>110</v>
      </c>
      <c r="BI454" s="14">
        <f>INDEX(属性投放!$DM$6:$DM$85,(卡牌属性!AG454-2)*20+卡牌属性!AN454)</f>
        <v>55</v>
      </c>
      <c r="BJ454" s="14">
        <f t="shared" si="817"/>
        <v>55</v>
      </c>
      <c r="BK454" s="14">
        <f t="shared" si="817"/>
        <v>55</v>
      </c>
      <c r="BL454" s="14">
        <f t="shared" si="817"/>
        <v>55</v>
      </c>
      <c r="BM454" s="14">
        <f t="shared" si="817"/>
        <v>55</v>
      </c>
      <c r="BN454" s="14">
        <f>INDEX(属性投放!$DN$6:$DN$85,(卡牌属性!AG454-2)*20+卡牌属性!AN454)</f>
        <v>988</v>
      </c>
      <c r="BO454" s="14">
        <f t="shared" si="818"/>
        <v>988</v>
      </c>
      <c r="BP454" s="14">
        <f t="shared" si="818"/>
        <v>988</v>
      </c>
      <c r="BQ454" s="14">
        <f t="shared" si="818"/>
        <v>988</v>
      </c>
      <c r="BR454" s="14">
        <f t="shared" si="818"/>
        <v>988</v>
      </c>
      <c r="BW454" s="13">
        <v>450</v>
      </c>
      <c r="BX454" s="13">
        <f t="shared" si="835"/>
        <v>23</v>
      </c>
      <c r="BY454" s="14">
        <f t="shared" si="836"/>
        <v>2</v>
      </c>
      <c r="BZ454" s="14">
        <f t="shared" ref="BZ454:BZ517" si="840">INDEX($N$6:$N$43,BX454)</f>
        <v>1102023</v>
      </c>
      <c r="CA454" s="14" t="str">
        <f t="shared" ref="CA454:CA517" si="841">INDEX($O$6:$O$43,BX454)&amp;CD454&amp;"突"</f>
        <v>异邦刀客10突</v>
      </c>
      <c r="CB454" s="25" t="s">
        <v>142</v>
      </c>
      <c r="CC454" s="14">
        <v>2</v>
      </c>
      <c r="CD454" s="14">
        <f t="shared" si="837"/>
        <v>10</v>
      </c>
      <c r="CE454" s="14" t="s">
        <v>21</v>
      </c>
      <c r="CF454" s="14">
        <f>INDEX(属性投放!$AZ$6:$AZ$85,(BY454-2)*20+CD454)</f>
        <v>2096</v>
      </c>
      <c r="CG454" s="14" t="s">
        <v>22</v>
      </c>
      <c r="CH454" s="14">
        <f>INDEX(属性投放!$BA$6:$BA$85,(BY454-2)*20+CD454)</f>
        <v>1004</v>
      </c>
      <c r="CI454" s="14" t="s">
        <v>510</v>
      </c>
      <c r="CJ454" s="14">
        <f>INDEX(属性投放!$BB$6:$BB$85,(BY454-2)*20+CD454)</f>
        <v>14942</v>
      </c>
      <c r="CK454" s="14" t="s">
        <v>21</v>
      </c>
      <c r="CL454" s="14">
        <f>INDEX(属性投放!$BC$6:$BC$85,(BY454-2)*20+CD454)</f>
        <v>12</v>
      </c>
      <c r="CM454" s="14" t="s">
        <v>22</v>
      </c>
      <c r="CN454" s="14">
        <f>INDEX(属性投放!$BD$6:$BD$85,(BY454-2)*20+CD454)</f>
        <v>6</v>
      </c>
      <c r="CO454" s="14" t="s">
        <v>510</v>
      </c>
      <c r="CP454" s="14">
        <f>INDEX(属性投放!$BE$6:$BE$85,(BY454-2)*20+CD454)</f>
        <v>108</v>
      </c>
      <c r="CS454" s="13">
        <v>450</v>
      </c>
      <c r="CT454" s="13">
        <f t="shared" ref="CT454:CT517" si="842">MATCH(CS454-1,$U$5:$U$36,1)</f>
        <v>9</v>
      </c>
      <c r="CU454" s="13">
        <f t="shared" ref="CU454:CU517" si="843">CS454-(CT454-1)*52</f>
        <v>34</v>
      </c>
      <c r="CV454" s="14">
        <f t="shared" ref="CV454:CV517" si="844">INDEX($Q$6:$Q$50,CT454)</f>
        <v>3</v>
      </c>
      <c r="CW454" s="14">
        <f t="shared" ref="CW454:CW517" si="845">INDEX($N$6:$N$50,CT454)</f>
        <v>1102009</v>
      </c>
      <c r="CX454" s="14" t="str">
        <f>INDEX($O$6:$O$50,CT454)&amp;"-"&amp;INDEX(属性投放!$AB$7:$AB$50,CZ454)&amp;"-魂火-"&amp;DB454</f>
        <v>徐晃-焦热+2-魂火-1</v>
      </c>
      <c r="CY454" s="25" t="s">
        <v>142</v>
      </c>
      <c r="CZ454" s="14">
        <f>INDEX(属性投放!$AM$7:$AM$58,CU454)</f>
        <v>15</v>
      </c>
      <c r="DA454" s="14" t="s">
        <v>537</v>
      </c>
      <c r="DB454" s="14">
        <f>INDEX(属性投放!$AN$7:$AN$58,CU454)</f>
        <v>1</v>
      </c>
      <c r="DC454" s="14">
        <f t="shared" si="838"/>
        <v>34</v>
      </c>
      <c r="DD454" s="14">
        <f>INDEX(属性投放!$AO$7:$AO$58,DC454)</f>
        <v>103</v>
      </c>
      <c r="DE454" s="14" t="s">
        <v>538</v>
      </c>
      <c r="DF454" s="14">
        <f>INDEX(属性投放!$BK$6:$BK$85,(CV454-2)*20+CZ454)</f>
        <v>400</v>
      </c>
      <c r="DG454" s="14">
        <f>SUMIFS(DF$5:DF454,$CT$5:$CT454,"="&amp;$CT454)</f>
        <v>4470</v>
      </c>
      <c r="DH454" s="14" t="s">
        <v>539</v>
      </c>
      <c r="DI454" s="14">
        <f>INDEX(属性投放!$BL$6:$BL$85,(CV454-2)*20+CZ454)</f>
        <v>200</v>
      </c>
      <c r="DJ454" s="14">
        <f>SUMIFS(DI$5:DI454,$CT$5:$CT454,"="&amp;$CT454)</f>
        <v>2238</v>
      </c>
      <c r="DK454" s="14" t="s">
        <v>540</v>
      </c>
      <c r="DL454" s="14">
        <f>INDEX(属性投放!$BM$6:$BM$85,(CV454-2)*20+CZ454)</f>
        <v>4000</v>
      </c>
      <c r="DM454" s="14">
        <f>SUMIFS(DL$5:DL454,$CT$5:$CT454,"="&amp;$CT454)</f>
        <v>40740</v>
      </c>
      <c r="DR454" s="14">
        <f t="shared" si="808"/>
        <v>1102023</v>
      </c>
      <c r="DS454" s="14" t="str">
        <f t="shared" si="809"/>
        <v>异邦刀客10突</v>
      </c>
      <c r="DT454" s="14">
        <f t="shared" ref="DT454:DT517" si="846">INDEX(Y$6:Y$43,$BX454)</f>
        <v>4</v>
      </c>
      <c r="DU454" s="14">
        <f t="shared" ref="DU454:DU517" si="847">INDEX(Z$6:Z$43,$BX454)</f>
        <v>3</v>
      </c>
      <c r="DV454" s="14">
        <f t="shared" ref="DV454:DV517" si="848">INDEX(AA$6:AA$43,$BX454)</f>
        <v>3</v>
      </c>
      <c r="DW454" s="14">
        <f t="shared" si="810"/>
        <v>2</v>
      </c>
      <c r="DX454" s="14">
        <f t="shared" si="811"/>
        <v>10</v>
      </c>
      <c r="DY454" s="14">
        <f t="shared" si="812"/>
        <v>10</v>
      </c>
      <c r="DZ454" s="14">
        <f>INDEX(属性投放!$AX$6:$AX$85,(卡牌属性!DW454-2)*20+卡牌属性!DX454)</f>
        <v>7</v>
      </c>
      <c r="EA454" s="14">
        <f>INDEX(属性投放!BQ$6:BQ$85,卡牌属性!$DY454)</f>
        <v>160</v>
      </c>
      <c r="EB454" s="14">
        <f>INDEX(属性投放!BR$6:BR$85,卡牌属性!$DY454)</f>
        <v>80</v>
      </c>
      <c r="EC454" s="14">
        <f>INDEX(属性投放!BS$6:BS$85,卡牌属性!$DY454)</f>
        <v>1440</v>
      </c>
      <c r="ED454" s="14">
        <f t="shared" si="819"/>
        <v>1440</v>
      </c>
      <c r="EE454" s="14">
        <f t="shared" si="820"/>
        <v>1611</v>
      </c>
      <c r="EF454" s="14">
        <f t="shared" si="821"/>
        <v>1724</v>
      </c>
      <c r="EG454" s="14">
        <f t="shared" si="822"/>
        <v>1724</v>
      </c>
      <c r="EH454" s="14">
        <f t="shared" si="823"/>
        <v>2133</v>
      </c>
      <c r="EI454" s="14">
        <f t="shared" si="824"/>
        <v>608</v>
      </c>
      <c r="EJ454" s="14">
        <f t="shared" si="825"/>
        <v>678</v>
      </c>
      <c r="EK454" s="14">
        <f t="shared" si="826"/>
        <v>678</v>
      </c>
      <c r="EL454" s="14">
        <f t="shared" si="827"/>
        <v>770</v>
      </c>
      <c r="EM454" s="14">
        <f t="shared" si="828"/>
        <v>826</v>
      </c>
      <c r="EN454" s="14">
        <f t="shared" si="829"/>
        <v>8922</v>
      </c>
      <c r="EO454" s="14">
        <f t="shared" si="830"/>
        <v>9882</v>
      </c>
      <c r="EP454" s="14">
        <f t="shared" si="831"/>
        <v>9882</v>
      </c>
      <c r="EQ454" s="14">
        <f t="shared" si="832"/>
        <v>11010</v>
      </c>
      <c r="ER454" s="14">
        <f t="shared" si="833"/>
        <v>11746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108</v>
      </c>
      <c r="FD454" s="14">
        <f>INDEX(属性偏向!$U$4:$U$243,(卡牌属性!$DV454-1+FD$3)*20+卡牌属性!$DX454)</f>
        <v>135</v>
      </c>
      <c r="FE454" s="14">
        <f>INDEX(属性偏向!$U$4:$U$243,(卡牌属性!$DV454-1+FE$3)*20+卡牌属性!$DX454)</f>
        <v>135</v>
      </c>
      <c r="FF454" s="14">
        <f>INDEX(属性偏向!$U$4:$U$243,(卡牌属性!$DV454-1+FF$3)*20+卡牌属性!$DX454)</f>
        <v>180</v>
      </c>
      <c r="FG454" s="14">
        <f>INDEX(属性偏向!$U$4:$U$243,(卡牌属性!$DV454-1+FG$3)*20+卡牌属性!$DX454)</f>
        <v>189</v>
      </c>
      <c r="FH454" s="14">
        <f>INDEX(属性投放!$BQ$6:$BQ$85,(卡牌属性!$DW454-2)*20+卡牌属性!$DX454)</f>
        <v>160</v>
      </c>
      <c r="FI454" s="14">
        <f>INDEX(属性投放!$BQ$6:$BQ$85,(卡牌属性!$DW454-2)*20+卡牌属性!$DX454)</f>
        <v>160</v>
      </c>
      <c r="FJ454" s="14">
        <f>INDEX(属性投放!$BQ$6:$BQ$85,(卡牌属性!$DW454-2)*20+卡牌属性!$DX454)</f>
        <v>160</v>
      </c>
      <c r="FK454" s="14">
        <f>INDEX(属性投放!$BQ$6:$BQ$85,(卡牌属性!$DW454-2)*20+卡牌属性!$DX454)</f>
        <v>160</v>
      </c>
      <c r="FL454" s="14">
        <f>INDEX(属性投放!$BQ$6:$BQ$85,(卡牌属性!$DW454-2)*20+卡牌属性!$DX454)</f>
        <v>160</v>
      </c>
      <c r="FM454" s="14">
        <f>INDEX(属性投放!$BR$6:$BR$85,(卡牌属性!$DW454-2)*20+卡牌属性!$DX454)</f>
        <v>80</v>
      </c>
      <c r="FN454" s="14">
        <f>INDEX(属性投放!$BR$6:$BR$85,(卡牌属性!$DW454-2)*20+卡牌属性!$DX454)</f>
        <v>80</v>
      </c>
      <c r="FO454" s="14">
        <f>INDEX(属性投放!$BR$6:$BR$85,(卡牌属性!$DW454-2)*20+卡牌属性!$DX454)</f>
        <v>80</v>
      </c>
      <c r="FP454" s="14">
        <f>INDEX(属性投放!$BR$6:$BR$85,(卡牌属性!$DW454-2)*20+卡牌属性!$DX454)</f>
        <v>80</v>
      </c>
      <c r="FQ454" s="14">
        <f>INDEX(属性投放!$BR$6:$BR$85,(卡牌属性!$DW454-2)*20+卡牌属性!$DX454)</f>
        <v>80</v>
      </c>
      <c r="FR454" s="14">
        <f>INDEX(属性投放!$BS$6:$BS$85,(卡牌属性!$DW454-2)*20+卡牌属性!$DX454)</f>
        <v>1440</v>
      </c>
      <c r="FS454" s="14">
        <f>INDEX(属性投放!$BS$6:$BS$85,(卡牌属性!$DW454-2)*20+卡牌属性!$DX454)</f>
        <v>1440</v>
      </c>
      <c r="FT454" s="14">
        <f>INDEX(属性投放!$BS$6:$BS$85,(卡牌属性!$DW454-2)*20+卡牌属性!$DX454)</f>
        <v>1440</v>
      </c>
      <c r="FU454" s="14">
        <f>INDEX(属性投放!$BS$6:$BS$85,(卡牌属性!$DW454-2)*20+卡牌属性!$DX454)</f>
        <v>1440</v>
      </c>
      <c r="FV454" s="14">
        <f>INDEX(属性投放!$BS$6:$BS$85,(卡牌属性!$DW454-2)*20+卡牌属性!$DX454)</f>
        <v>1440</v>
      </c>
    </row>
    <row r="455" spans="31:178" ht="16.5" x14ac:dyDescent="0.2">
      <c r="AE455" s="13">
        <v>451</v>
      </c>
      <c r="AF455" s="13">
        <f t="shared" si="839"/>
        <v>23</v>
      </c>
      <c r="AG455" s="13">
        <f t="shared" si="834"/>
        <v>4</v>
      </c>
      <c r="AH455" s="13"/>
      <c r="AI455" s="13"/>
      <c r="AJ455" s="14">
        <f t="shared" si="805"/>
        <v>1101043</v>
      </c>
      <c r="AK455" s="14" t="str">
        <f t="shared" si="806"/>
        <v>少年曹玄亮11突</v>
      </c>
      <c r="AL455" s="25" t="s">
        <v>142</v>
      </c>
      <c r="AM455" s="14">
        <v>1</v>
      </c>
      <c r="AN455" s="14">
        <f t="shared" si="807"/>
        <v>11</v>
      </c>
      <c r="AO455" s="14">
        <f>INDEX(属性投放!$DF$6:$DF$85,(卡牌属性!AG455-2)*20+卡牌属性!AN455)</f>
        <v>3661</v>
      </c>
      <c r="AP455" s="14">
        <f t="shared" si="813"/>
        <v>3661</v>
      </c>
      <c r="AQ455" s="14">
        <f t="shared" si="813"/>
        <v>3661</v>
      </c>
      <c r="AR455" s="14">
        <f t="shared" si="813"/>
        <v>3661</v>
      </c>
      <c r="AS455" s="14">
        <f t="shared" si="813"/>
        <v>3661</v>
      </c>
      <c r="AT455" s="14">
        <f>INDEX(属性投放!$DG$6:$DG$85,(卡牌属性!AG455-2)*20+卡牌属性!AN455)</f>
        <v>1760</v>
      </c>
      <c r="AU455" s="14">
        <f t="shared" si="814"/>
        <v>1760</v>
      </c>
      <c r="AV455" s="14">
        <f t="shared" si="814"/>
        <v>1760</v>
      </c>
      <c r="AW455" s="14">
        <f t="shared" si="814"/>
        <v>1760</v>
      </c>
      <c r="AX455" s="14">
        <f t="shared" si="814"/>
        <v>1760</v>
      </c>
      <c r="AY455" s="14">
        <f>INDEX(属性投放!$DH$6:$DH$85,(卡牌属性!AG455-2)*20+卡牌属性!AN455)</f>
        <v>26309</v>
      </c>
      <c r="AZ455" s="14">
        <f t="shared" si="815"/>
        <v>26309</v>
      </c>
      <c r="BA455" s="14">
        <f t="shared" si="815"/>
        <v>26309</v>
      </c>
      <c r="BB455" s="14">
        <f t="shared" si="815"/>
        <v>26309</v>
      </c>
      <c r="BC455" s="14">
        <f t="shared" si="815"/>
        <v>26309</v>
      </c>
      <c r="BD455" s="14">
        <f>INDEX(属性投放!$DL$6:$DL$85,(卡牌属性!AG455-2)*20+卡牌属性!AN455)</f>
        <v>110</v>
      </c>
      <c r="BE455" s="14">
        <f t="shared" si="816"/>
        <v>110</v>
      </c>
      <c r="BF455" s="14">
        <f t="shared" si="816"/>
        <v>110</v>
      </c>
      <c r="BG455" s="14">
        <f t="shared" si="816"/>
        <v>110</v>
      </c>
      <c r="BH455" s="14">
        <f t="shared" si="816"/>
        <v>110</v>
      </c>
      <c r="BI455" s="14">
        <f>INDEX(属性投放!$DM$6:$DM$85,(卡牌属性!AG455-2)*20+卡牌属性!AN455)</f>
        <v>55</v>
      </c>
      <c r="BJ455" s="14">
        <f t="shared" si="817"/>
        <v>55</v>
      </c>
      <c r="BK455" s="14">
        <f t="shared" si="817"/>
        <v>55</v>
      </c>
      <c r="BL455" s="14">
        <f t="shared" si="817"/>
        <v>55</v>
      </c>
      <c r="BM455" s="14">
        <f t="shared" si="817"/>
        <v>55</v>
      </c>
      <c r="BN455" s="14">
        <f>INDEX(属性投放!$DN$6:$DN$85,(卡牌属性!AG455-2)*20+卡牌属性!AN455)</f>
        <v>988</v>
      </c>
      <c r="BO455" s="14">
        <f t="shared" si="818"/>
        <v>988</v>
      </c>
      <c r="BP455" s="14">
        <f t="shared" si="818"/>
        <v>988</v>
      </c>
      <c r="BQ455" s="14">
        <f t="shared" si="818"/>
        <v>988</v>
      </c>
      <c r="BR455" s="14">
        <f t="shared" si="818"/>
        <v>988</v>
      </c>
      <c r="BW455" s="13">
        <v>451</v>
      </c>
      <c r="BX455" s="13">
        <f t="shared" si="835"/>
        <v>23</v>
      </c>
      <c r="BY455" s="14">
        <f t="shared" si="836"/>
        <v>2</v>
      </c>
      <c r="BZ455" s="14">
        <f t="shared" si="840"/>
        <v>1102023</v>
      </c>
      <c r="CA455" s="14" t="str">
        <f t="shared" si="841"/>
        <v>异邦刀客11突</v>
      </c>
      <c r="CB455" s="25" t="s">
        <v>142</v>
      </c>
      <c r="CC455" s="14">
        <v>2</v>
      </c>
      <c r="CD455" s="14">
        <f t="shared" si="837"/>
        <v>11</v>
      </c>
      <c r="CE455" s="14" t="s">
        <v>21</v>
      </c>
      <c r="CF455" s="14">
        <f>INDEX(属性投放!$AZ$6:$AZ$85,(BY455-2)*20+CD455)</f>
        <v>2640</v>
      </c>
      <c r="CG455" s="14" t="s">
        <v>22</v>
      </c>
      <c r="CH455" s="14">
        <f>INDEX(属性投放!$BA$6:$BA$85,(BY455-2)*20+CD455)</f>
        <v>1276</v>
      </c>
      <c r="CI455" s="14" t="s">
        <v>510</v>
      </c>
      <c r="CJ455" s="14">
        <f>INDEX(属性投放!$BB$6:$BB$85,(BY455-2)*20+CD455)</f>
        <v>19838</v>
      </c>
      <c r="CK455" s="14" t="s">
        <v>21</v>
      </c>
      <c r="CL455" s="14">
        <f>INDEX(属性投放!$BC$6:$BC$85,(BY455-2)*20+CD455)</f>
        <v>12</v>
      </c>
      <c r="CM455" s="14" t="s">
        <v>22</v>
      </c>
      <c r="CN455" s="14">
        <f>INDEX(属性投放!$BD$6:$BD$85,(BY455-2)*20+CD455)</f>
        <v>6</v>
      </c>
      <c r="CO455" s="14" t="s">
        <v>510</v>
      </c>
      <c r="CP455" s="14">
        <f>INDEX(属性投放!$BE$6:$BE$85,(BY455-2)*20+CD455)</f>
        <v>108</v>
      </c>
      <c r="CS455" s="13">
        <v>451</v>
      </c>
      <c r="CT455" s="13">
        <f t="shared" si="842"/>
        <v>9</v>
      </c>
      <c r="CU455" s="13">
        <f t="shared" si="843"/>
        <v>35</v>
      </c>
      <c r="CV455" s="14">
        <f t="shared" si="844"/>
        <v>3</v>
      </c>
      <c r="CW455" s="14">
        <f t="shared" si="845"/>
        <v>1102009</v>
      </c>
      <c r="CX455" s="14" t="str">
        <f>INDEX($O$6:$O$50,CT455)&amp;"-"&amp;INDEX(属性投放!$AB$7:$AB$50,CZ455)&amp;"-魂火-"&amp;DB455</f>
        <v>徐晃-焦热+2-魂火-2</v>
      </c>
      <c r="CY455" s="25" t="s">
        <v>142</v>
      </c>
      <c r="CZ455" s="14">
        <f>INDEX(属性投放!$AM$7:$AM$58,CU455)</f>
        <v>15</v>
      </c>
      <c r="DA455" s="14" t="s">
        <v>537</v>
      </c>
      <c r="DB455" s="14">
        <f>INDEX(属性投放!$AN$7:$AN$58,CU455)</f>
        <v>2</v>
      </c>
      <c r="DC455" s="14">
        <f t="shared" si="838"/>
        <v>35</v>
      </c>
      <c r="DD455" s="14">
        <f>INDEX(属性投放!$AO$7:$AO$58,DC455)</f>
        <v>105</v>
      </c>
      <c r="DE455" s="14" t="s">
        <v>538</v>
      </c>
      <c r="DF455" s="14">
        <f>INDEX(属性投放!$BK$6:$BK$85,(CV455-2)*20+CZ455)</f>
        <v>400</v>
      </c>
      <c r="DG455" s="14">
        <f>SUMIFS(DF$5:DF455,$CT$5:$CT455,"="&amp;$CT455)</f>
        <v>4870</v>
      </c>
      <c r="DH455" s="14" t="s">
        <v>539</v>
      </c>
      <c r="DI455" s="14">
        <f>INDEX(属性投放!$BL$6:$BL$85,(CV455-2)*20+CZ455)</f>
        <v>200</v>
      </c>
      <c r="DJ455" s="14">
        <f>SUMIFS(DI$5:DI455,$CT$5:$CT455,"="&amp;$CT455)</f>
        <v>2438</v>
      </c>
      <c r="DK455" s="14" t="s">
        <v>540</v>
      </c>
      <c r="DL455" s="14">
        <f>INDEX(属性投放!$BM$6:$BM$85,(CV455-2)*20+CZ455)</f>
        <v>4000</v>
      </c>
      <c r="DM455" s="14">
        <f>SUMIFS(DL$5:DL455,$CT$5:$CT455,"="&amp;$CT455)</f>
        <v>44740</v>
      </c>
      <c r="DR455" s="14">
        <f t="shared" si="808"/>
        <v>1102023</v>
      </c>
      <c r="DS455" s="14" t="str">
        <f t="shared" si="809"/>
        <v>异邦刀客11突</v>
      </c>
      <c r="DT455" s="14">
        <f t="shared" si="846"/>
        <v>4</v>
      </c>
      <c r="DU455" s="14">
        <f t="shared" si="847"/>
        <v>3</v>
      </c>
      <c r="DV455" s="14">
        <f t="shared" si="848"/>
        <v>3</v>
      </c>
      <c r="DW455" s="14">
        <f t="shared" si="810"/>
        <v>2</v>
      </c>
      <c r="DX455" s="14">
        <f t="shared" si="811"/>
        <v>11</v>
      </c>
      <c r="DY455" s="14">
        <f t="shared" si="812"/>
        <v>11</v>
      </c>
      <c r="DZ455" s="14">
        <f>INDEX(属性投放!$AX$6:$AX$85,(卡牌属性!DW455-2)*20+卡牌属性!DX455)</f>
        <v>8</v>
      </c>
      <c r="EA455" s="14">
        <f>INDEX(属性投放!BQ$6:BQ$85,卡牌属性!$DY455)</f>
        <v>200</v>
      </c>
      <c r="EB455" s="14">
        <f>INDEX(属性投放!BR$6:BR$85,卡牌属性!$DY455)</f>
        <v>100</v>
      </c>
      <c r="EC455" s="14">
        <f>INDEX(属性投放!BS$6:BS$85,卡牌属性!$DY455)</f>
        <v>1800</v>
      </c>
      <c r="ED455" s="14">
        <f t="shared" si="819"/>
        <v>1705</v>
      </c>
      <c r="EE455" s="14">
        <f t="shared" si="820"/>
        <v>1911</v>
      </c>
      <c r="EF455" s="14">
        <f t="shared" si="821"/>
        <v>2031</v>
      </c>
      <c r="EG455" s="14">
        <f t="shared" si="822"/>
        <v>2031</v>
      </c>
      <c r="EH455" s="14">
        <f t="shared" si="823"/>
        <v>2503</v>
      </c>
      <c r="EI455" s="14">
        <f t="shared" si="824"/>
        <v>730</v>
      </c>
      <c r="EJ455" s="14">
        <f t="shared" si="825"/>
        <v>814</v>
      </c>
      <c r="EK455" s="14">
        <f t="shared" si="826"/>
        <v>814</v>
      </c>
      <c r="EL455" s="14">
        <f t="shared" si="827"/>
        <v>920</v>
      </c>
      <c r="EM455" s="14">
        <f t="shared" si="828"/>
        <v>983</v>
      </c>
      <c r="EN455" s="14">
        <f t="shared" si="829"/>
        <v>11118</v>
      </c>
      <c r="EO455" s="14">
        <f t="shared" si="830"/>
        <v>12267</v>
      </c>
      <c r="EP455" s="14">
        <f t="shared" si="831"/>
        <v>12267</v>
      </c>
      <c r="EQ455" s="14">
        <f t="shared" si="832"/>
        <v>13710</v>
      </c>
      <c r="ER455" s="14">
        <f t="shared" si="833"/>
        <v>14509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108</v>
      </c>
      <c r="FD455" s="14">
        <f>INDEX(属性偏向!$U$4:$U$243,(卡牌属性!$DV455-1+FD$3)*20+卡牌属性!$DX455)</f>
        <v>135</v>
      </c>
      <c r="FE455" s="14">
        <f>INDEX(属性偏向!$U$4:$U$243,(卡牌属性!$DV455-1+FE$3)*20+卡牌属性!$DX455)</f>
        <v>135</v>
      </c>
      <c r="FF455" s="14">
        <f>INDEX(属性偏向!$U$4:$U$243,(卡牌属性!$DV455-1+FF$3)*20+卡牌属性!$DX455)</f>
        <v>180</v>
      </c>
      <c r="FG455" s="14">
        <f>INDEX(属性偏向!$U$4:$U$243,(卡牌属性!$DV455-1+FG$3)*20+卡牌属性!$DX455)</f>
        <v>189</v>
      </c>
      <c r="FH455" s="14">
        <f>INDEX(属性投放!$BQ$6:$BQ$85,(卡牌属性!$DW455-2)*20+卡牌属性!$DX455)</f>
        <v>200</v>
      </c>
      <c r="FI455" s="14">
        <f>INDEX(属性投放!$BQ$6:$BQ$85,(卡牌属性!$DW455-2)*20+卡牌属性!$DX455)</f>
        <v>200</v>
      </c>
      <c r="FJ455" s="14">
        <f>INDEX(属性投放!$BQ$6:$BQ$85,(卡牌属性!$DW455-2)*20+卡牌属性!$DX455)</f>
        <v>200</v>
      </c>
      <c r="FK455" s="14">
        <f>INDEX(属性投放!$BQ$6:$BQ$85,(卡牌属性!$DW455-2)*20+卡牌属性!$DX455)</f>
        <v>200</v>
      </c>
      <c r="FL455" s="14">
        <f>INDEX(属性投放!$BQ$6:$BQ$85,(卡牌属性!$DW455-2)*20+卡牌属性!$DX455)</f>
        <v>200</v>
      </c>
      <c r="FM455" s="14">
        <f>INDEX(属性投放!$BR$6:$BR$85,(卡牌属性!$DW455-2)*20+卡牌属性!$DX455)</f>
        <v>100</v>
      </c>
      <c r="FN455" s="14">
        <f>INDEX(属性投放!$BR$6:$BR$85,(卡牌属性!$DW455-2)*20+卡牌属性!$DX455)</f>
        <v>100</v>
      </c>
      <c r="FO455" s="14">
        <f>INDEX(属性投放!$BR$6:$BR$85,(卡牌属性!$DW455-2)*20+卡牌属性!$DX455)</f>
        <v>100</v>
      </c>
      <c r="FP455" s="14">
        <f>INDEX(属性投放!$BR$6:$BR$85,(卡牌属性!$DW455-2)*20+卡牌属性!$DX455)</f>
        <v>100</v>
      </c>
      <c r="FQ455" s="14">
        <f>INDEX(属性投放!$BR$6:$BR$85,(卡牌属性!$DW455-2)*20+卡牌属性!$DX455)</f>
        <v>100</v>
      </c>
      <c r="FR455" s="14">
        <f>INDEX(属性投放!$BS$6:$BS$85,(卡牌属性!$DW455-2)*20+卡牌属性!$DX455)</f>
        <v>1800</v>
      </c>
      <c r="FS455" s="14">
        <f>INDEX(属性投放!$BS$6:$BS$85,(卡牌属性!$DW455-2)*20+卡牌属性!$DX455)</f>
        <v>1800</v>
      </c>
      <c r="FT455" s="14">
        <f>INDEX(属性投放!$BS$6:$BS$85,(卡牌属性!$DW455-2)*20+卡牌属性!$DX455)</f>
        <v>1800</v>
      </c>
      <c r="FU455" s="14">
        <f>INDEX(属性投放!$BS$6:$BS$85,(卡牌属性!$DW455-2)*20+卡牌属性!$DX455)</f>
        <v>1800</v>
      </c>
      <c r="FV455" s="14">
        <f>INDEX(属性投放!$BS$6:$BS$85,(卡牌属性!$DW455-2)*20+卡牌属性!$DX455)</f>
        <v>1800</v>
      </c>
    </row>
    <row r="456" spans="31:178" ht="16.5" x14ac:dyDescent="0.2">
      <c r="AE456" s="13">
        <v>452</v>
      </c>
      <c r="AF456" s="13">
        <f t="shared" si="839"/>
        <v>23</v>
      </c>
      <c r="AG456" s="13">
        <f t="shared" si="834"/>
        <v>4</v>
      </c>
      <c r="AH456" s="13"/>
      <c r="AI456" s="13"/>
      <c r="AJ456" s="14">
        <f t="shared" si="805"/>
        <v>1101043</v>
      </c>
      <c r="AK456" s="14" t="str">
        <f t="shared" si="806"/>
        <v>少年曹玄亮12突</v>
      </c>
      <c r="AL456" s="25" t="s">
        <v>142</v>
      </c>
      <c r="AM456" s="14">
        <v>1</v>
      </c>
      <c r="AN456" s="14">
        <f t="shared" si="807"/>
        <v>12</v>
      </c>
      <c r="AO456" s="14">
        <f>INDEX(属性投放!$DF$6:$DF$85,(卡牌属性!AG456-2)*20+卡牌属性!AN456)</f>
        <v>3975</v>
      </c>
      <c r="AP456" s="14">
        <f t="shared" si="813"/>
        <v>3975</v>
      </c>
      <c r="AQ456" s="14">
        <f t="shared" si="813"/>
        <v>3975</v>
      </c>
      <c r="AR456" s="14">
        <f t="shared" si="813"/>
        <v>3975</v>
      </c>
      <c r="AS456" s="14">
        <f t="shared" si="813"/>
        <v>3975</v>
      </c>
      <c r="AT456" s="14">
        <f>INDEX(属性投放!$DG$6:$DG$85,(卡牌属性!AG456-2)*20+卡牌属性!AN456)</f>
        <v>1917</v>
      </c>
      <c r="AU456" s="14">
        <f t="shared" si="814"/>
        <v>1917</v>
      </c>
      <c r="AV456" s="14">
        <f t="shared" si="814"/>
        <v>1917</v>
      </c>
      <c r="AW456" s="14">
        <f t="shared" si="814"/>
        <v>1917</v>
      </c>
      <c r="AX456" s="14">
        <f t="shared" si="814"/>
        <v>1917</v>
      </c>
      <c r="AY456" s="14">
        <f>INDEX(属性投放!$DH$6:$DH$85,(卡牌属性!AG456-2)*20+卡牌属性!AN456)</f>
        <v>29131</v>
      </c>
      <c r="AZ456" s="14">
        <f t="shared" si="815"/>
        <v>29131</v>
      </c>
      <c r="BA456" s="14">
        <f t="shared" si="815"/>
        <v>29131</v>
      </c>
      <c r="BB456" s="14">
        <f t="shared" si="815"/>
        <v>29131</v>
      </c>
      <c r="BC456" s="14">
        <f t="shared" si="815"/>
        <v>29131</v>
      </c>
      <c r="BD456" s="14">
        <f>INDEX(属性投放!$DL$6:$DL$85,(卡牌属性!AG456-2)*20+卡牌属性!AN456)</f>
        <v>110</v>
      </c>
      <c r="BE456" s="14">
        <f t="shared" si="816"/>
        <v>110</v>
      </c>
      <c r="BF456" s="14">
        <f t="shared" si="816"/>
        <v>110</v>
      </c>
      <c r="BG456" s="14">
        <f t="shared" si="816"/>
        <v>110</v>
      </c>
      <c r="BH456" s="14">
        <f t="shared" si="816"/>
        <v>110</v>
      </c>
      <c r="BI456" s="14">
        <f>INDEX(属性投放!$DM$6:$DM$85,(卡牌属性!AG456-2)*20+卡牌属性!AN456)</f>
        <v>55</v>
      </c>
      <c r="BJ456" s="14">
        <f t="shared" si="817"/>
        <v>55</v>
      </c>
      <c r="BK456" s="14">
        <f t="shared" si="817"/>
        <v>55</v>
      </c>
      <c r="BL456" s="14">
        <f t="shared" si="817"/>
        <v>55</v>
      </c>
      <c r="BM456" s="14">
        <f t="shared" si="817"/>
        <v>55</v>
      </c>
      <c r="BN456" s="14">
        <f>INDEX(属性投放!$DN$6:$DN$85,(卡牌属性!AG456-2)*20+卡牌属性!AN456)</f>
        <v>988</v>
      </c>
      <c r="BO456" s="14">
        <f t="shared" si="818"/>
        <v>988</v>
      </c>
      <c r="BP456" s="14">
        <f t="shared" si="818"/>
        <v>988</v>
      </c>
      <c r="BQ456" s="14">
        <f t="shared" si="818"/>
        <v>988</v>
      </c>
      <c r="BR456" s="14">
        <f t="shared" si="818"/>
        <v>988</v>
      </c>
      <c r="BW456" s="13">
        <v>452</v>
      </c>
      <c r="BX456" s="13">
        <f t="shared" si="835"/>
        <v>23</v>
      </c>
      <c r="BY456" s="14">
        <f t="shared" si="836"/>
        <v>2</v>
      </c>
      <c r="BZ456" s="14">
        <f t="shared" si="840"/>
        <v>1102023</v>
      </c>
      <c r="CA456" s="14" t="str">
        <f t="shared" si="841"/>
        <v>异邦刀客12突</v>
      </c>
      <c r="CB456" s="25" t="s">
        <v>142</v>
      </c>
      <c r="CC456" s="14">
        <v>2</v>
      </c>
      <c r="CD456" s="14">
        <f t="shared" si="837"/>
        <v>12</v>
      </c>
      <c r="CE456" s="14" t="s">
        <v>21</v>
      </c>
      <c r="CF456" s="14">
        <f>INDEX(属性投放!$AZ$6:$AZ$85,(BY456-2)*20+CD456)</f>
        <v>3326</v>
      </c>
      <c r="CG456" s="14" t="s">
        <v>22</v>
      </c>
      <c r="CH456" s="14">
        <f>INDEX(属性投放!$BA$6:$BA$85,(BY456-2)*20+CD456)</f>
        <v>1619</v>
      </c>
      <c r="CI456" s="14" t="s">
        <v>510</v>
      </c>
      <c r="CJ456" s="14">
        <f>INDEX(属性投放!$BB$6:$BB$85,(BY456-2)*20+CD456)</f>
        <v>26012</v>
      </c>
      <c r="CK456" s="14" t="s">
        <v>21</v>
      </c>
      <c r="CL456" s="14">
        <f>INDEX(属性投放!$BC$6:$BC$85,(BY456-2)*20+CD456)</f>
        <v>12</v>
      </c>
      <c r="CM456" s="14" t="s">
        <v>22</v>
      </c>
      <c r="CN456" s="14">
        <f>INDEX(属性投放!$BD$6:$BD$85,(BY456-2)*20+CD456)</f>
        <v>6</v>
      </c>
      <c r="CO456" s="14" t="s">
        <v>510</v>
      </c>
      <c r="CP456" s="14">
        <f>INDEX(属性投放!$BE$6:$BE$85,(BY456-2)*20+CD456)</f>
        <v>108</v>
      </c>
      <c r="CS456" s="13">
        <v>452</v>
      </c>
      <c r="CT456" s="13">
        <f t="shared" si="842"/>
        <v>9</v>
      </c>
      <c r="CU456" s="13">
        <f t="shared" si="843"/>
        <v>36</v>
      </c>
      <c r="CV456" s="14">
        <f t="shared" si="844"/>
        <v>3</v>
      </c>
      <c r="CW456" s="14">
        <f t="shared" si="845"/>
        <v>1102009</v>
      </c>
      <c r="CX456" s="14" t="str">
        <f>INDEX($O$6:$O$50,CT456)&amp;"-"&amp;INDEX(属性投放!$AB$7:$AB$50,CZ456)&amp;"-魂火-"&amp;DB456</f>
        <v>徐晃-焦热+2-魂火-3</v>
      </c>
      <c r="CY456" s="25" t="s">
        <v>142</v>
      </c>
      <c r="CZ456" s="14">
        <f>INDEX(属性投放!$AM$7:$AM$58,CU456)</f>
        <v>15</v>
      </c>
      <c r="DA456" s="14" t="s">
        <v>537</v>
      </c>
      <c r="DB456" s="14">
        <f>INDEX(属性投放!$AN$7:$AN$58,CU456)</f>
        <v>3</v>
      </c>
      <c r="DC456" s="14">
        <f t="shared" si="838"/>
        <v>36</v>
      </c>
      <c r="DD456" s="14">
        <f>INDEX(属性投放!$AO$7:$AO$58,DC456)</f>
        <v>108</v>
      </c>
      <c r="DE456" s="14" t="s">
        <v>538</v>
      </c>
      <c r="DF456" s="14">
        <f>INDEX(属性投放!$BK$6:$BK$85,(CV456-2)*20+CZ456)</f>
        <v>400</v>
      </c>
      <c r="DG456" s="14">
        <f>SUMIFS(DF$5:DF456,$CT$5:$CT456,"="&amp;$CT456)</f>
        <v>5270</v>
      </c>
      <c r="DH456" s="14" t="s">
        <v>539</v>
      </c>
      <c r="DI456" s="14">
        <f>INDEX(属性投放!$BL$6:$BL$85,(CV456-2)*20+CZ456)</f>
        <v>200</v>
      </c>
      <c r="DJ456" s="14">
        <f>SUMIFS(DI$5:DI456,$CT$5:$CT456,"="&amp;$CT456)</f>
        <v>2638</v>
      </c>
      <c r="DK456" s="14" t="s">
        <v>540</v>
      </c>
      <c r="DL456" s="14">
        <f>INDEX(属性投放!$BM$6:$BM$85,(CV456-2)*20+CZ456)</f>
        <v>4000</v>
      </c>
      <c r="DM456" s="14">
        <f>SUMIFS(DL$5:DL456,$CT$5:$CT456,"="&amp;$CT456)</f>
        <v>48740</v>
      </c>
      <c r="DR456" s="14">
        <f t="shared" si="808"/>
        <v>1102023</v>
      </c>
      <c r="DS456" s="14" t="str">
        <f t="shared" si="809"/>
        <v>异邦刀客12突</v>
      </c>
      <c r="DT456" s="14">
        <f t="shared" si="846"/>
        <v>4</v>
      </c>
      <c r="DU456" s="14">
        <f t="shared" si="847"/>
        <v>3</v>
      </c>
      <c r="DV456" s="14">
        <f t="shared" si="848"/>
        <v>3</v>
      </c>
      <c r="DW456" s="14">
        <f t="shared" si="810"/>
        <v>2</v>
      </c>
      <c r="DX456" s="14">
        <f t="shared" si="811"/>
        <v>12</v>
      </c>
      <c r="DY456" s="14">
        <f t="shared" si="812"/>
        <v>12</v>
      </c>
      <c r="DZ456" s="14">
        <f>INDEX(属性投放!$AX$6:$AX$85,(卡牌属性!DW456-2)*20+卡牌属性!DX456)</f>
        <v>7</v>
      </c>
      <c r="EA456" s="14">
        <f>INDEX(属性投放!BQ$6:BQ$85,卡牌属性!$DY456)</f>
        <v>350</v>
      </c>
      <c r="EB456" s="14">
        <f>INDEX(属性投放!BR$6:BR$85,卡牌属性!$DY456)</f>
        <v>175</v>
      </c>
      <c r="EC456" s="14">
        <f>INDEX(属性投放!BS$6:BS$85,卡牌属性!$DY456)</f>
        <v>3150</v>
      </c>
      <c r="ED456" s="14">
        <f t="shared" si="819"/>
        <v>2025</v>
      </c>
      <c r="EE456" s="14">
        <f t="shared" si="820"/>
        <v>2271</v>
      </c>
      <c r="EF456" s="14">
        <f t="shared" si="821"/>
        <v>2399</v>
      </c>
      <c r="EG456" s="14">
        <f t="shared" si="822"/>
        <v>2399</v>
      </c>
      <c r="EH456" s="14">
        <f t="shared" si="823"/>
        <v>2943</v>
      </c>
      <c r="EI456" s="14">
        <f t="shared" si="824"/>
        <v>878</v>
      </c>
      <c r="EJ456" s="14">
        <f t="shared" si="825"/>
        <v>978</v>
      </c>
      <c r="EK456" s="14">
        <f t="shared" si="826"/>
        <v>978</v>
      </c>
      <c r="EL456" s="14">
        <f t="shared" si="827"/>
        <v>1100</v>
      </c>
      <c r="EM456" s="14">
        <f t="shared" si="828"/>
        <v>1171</v>
      </c>
      <c r="EN456" s="14">
        <f t="shared" si="829"/>
        <v>13782</v>
      </c>
      <c r="EO456" s="14">
        <f t="shared" si="830"/>
        <v>15147</v>
      </c>
      <c r="EP456" s="14">
        <f t="shared" si="831"/>
        <v>15147</v>
      </c>
      <c r="EQ456" s="14">
        <f t="shared" si="832"/>
        <v>16950</v>
      </c>
      <c r="ER456" s="14">
        <f t="shared" si="833"/>
        <v>17821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108</v>
      </c>
      <c r="FD456" s="14">
        <f>INDEX(属性偏向!$U$4:$U$243,(卡牌属性!$DV456-1+FD$3)*20+卡牌属性!$DX456)</f>
        <v>135</v>
      </c>
      <c r="FE456" s="14">
        <f>INDEX(属性偏向!$U$4:$U$243,(卡牌属性!$DV456-1+FE$3)*20+卡牌属性!$DX456)</f>
        <v>135</v>
      </c>
      <c r="FF456" s="14">
        <f>INDEX(属性偏向!$U$4:$U$243,(卡牌属性!$DV456-1+FF$3)*20+卡牌属性!$DX456)</f>
        <v>180</v>
      </c>
      <c r="FG456" s="14">
        <f>INDEX(属性偏向!$U$4:$U$243,(卡牌属性!$DV456-1+FG$3)*20+卡牌属性!$DX456)</f>
        <v>189</v>
      </c>
      <c r="FH456" s="14">
        <f>INDEX(属性投放!$BQ$6:$BQ$85,(卡牌属性!$DW456-2)*20+卡牌属性!$DX456)</f>
        <v>350</v>
      </c>
      <c r="FI456" s="14">
        <f>INDEX(属性投放!$BQ$6:$BQ$85,(卡牌属性!$DW456-2)*20+卡牌属性!$DX456)</f>
        <v>350</v>
      </c>
      <c r="FJ456" s="14">
        <f>INDEX(属性投放!$BQ$6:$BQ$85,(卡牌属性!$DW456-2)*20+卡牌属性!$DX456)</f>
        <v>350</v>
      </c>
      <c r="FK456" s="14">
        <f>INDEX(属性投放!$BQ$6:$BQ$85,(卡牌属性!$DW456-2)*20+卡牌属性!$DX456)</f>
        <v>350</v>
      </c>
      <c r="FL456" s="14">
        <f>INDEX(属性投放!$BQ$6:$BQ$85,(卡牌属性!$DW456-2)*20+卡牌属性!$DX456)</f>
        <v>350</v>
      </c>
      <c r="FM456" s="14">
        <f>INDEX(属性投放!$BR$6:$BR$85,(卡牌属性!$DW456-2)*20+卡牌属性!$DX456)</f>
        <v>175</v>
      </c>
      <c r="FN456" s="14">
        <f>INDEX(属性投放!$BR$6:$BR$85,(卡牌属性!$DW456-2)*20+卡牌属性!$DX456)</f>
        <v>175</v>
      </c>
      <c r="FO456" s="14">
        <f>INDEX(属性投放!$BR$6:$BR$85,(卡牌属性!$DW456-2)*20+卡牌属性!$DX456)</f>
        <v>175</v>
      </c>
      <c r="FP456" s="14">
        <f>INDEX(属性投放!$BR$6:$BR$85,(卡牌属性!$DW456-2)*20+卡牌属性!$DX456)</f>
        <v>175</v>
      </c>
      <c r="FQ456" s="14">
        <f>INDEX(属性投放!$BR$6:$BR$85,(卡牌属性!$DW456-2)*20+卡牌属性!$DX456)</f>
        <v>175</v>
      </c>
      <c r="FR456" s="14">
        <f>INDEX(属性投放!$BS$6:$BS$85,(卡牌属性!$DW456-2)*20+卡牌属性!$DX456)</f>
        <v>3150</v>
      </c>
      <c r="FS456" s="14">
        <f>INDEX(属性投放!$BS$6:$BS$85,(卡牌属性!$DW456-2)*20+卡牌属性!$DX456)</f>
        <v>3150</v>
      </c>
      <c r="FT456" s="14">
        <f>INDEX(属性投放!$BS$6:$BS$85,(卡牌属性!$DW456-2)*20+卡牌属性!$DX456)</f>
        <v>3150</v>
      </c>
      <c r="FU456" s="14">
        <f>INDEX(属性投放!$BS$6:$BS$85,(卡牌属性!$DW456-2)*20+卡牌属性!$DX456)</f>
        <v>3150</v>
      </c>
      <c r="FV456" s="14">
        <f>INDEX(属性投放!$BS$6:$BS$85,(卡牌属性!$DW456-2)*20+卡牌属性!$DX456)</f>
        <v>3150</v>
      </c>
    </row>
    <row r="457" spans="31:178" ht="16.5" x14ac:dyDescent="0.2">
      <c r="AE457" s="13">
        <v>453</v>
      </c>
      <c r="AF457" s="13">
        <f t="shared" si="839"/>
        <v>23</v>
      </c>
      <c r="AG457" s="13">
        <f t="shared" si="834"/>
        <v>4</v>
      </c>
      <c r="AH457" s="13"/>
      <c r="AI457" s="13"/>
      <c r="AJ457" s="14">
        <f t="shared" si="805"/>
        <v>1101043</v>
      </c>
      <c r="AK457" s="14" t="str">
        <f t="shared" si="806"/>
        <v>少年曹玄亮13突</v>
      </c>
      <c r="AL457" s="25" t="s">
        <v>142</v>
      </c>
      <c r="AM457" s="14">
        <v>1</v>
      </c>
      <c r="AN457" s="14">
        <f t="shared" si="807"/>
        <v>13</v>
      </c>
      <c r="AO457" s="14">
        <f>INDEX(属性投放!$DF$6:$DF$85,(卡牌属性!AG457-2)*20+卡牌属性!AN457)</f>
        <v>7039</v>
      </c>
      <c r="AP457" s="14">
        <f t="shared" si="813"/>
        <v>7039</v>
      </c>
      <c r="AQ457" s="14">
        <f t="shared" si="813"/>
        <v>7039</v>
      </c>
      <c r="AR457" s="14">
        <f t="shared" si="813"/>
        <v>7039</v>
      </c>
      <c r="AS457" s="14">
        <f t="shared" si="813"/>
        <v>7039</v>
      </c>
      <c r="AT457" s="14">
        <f>INDEX(属性投放!$DG$6:$DG$85,(卡牌属性!AG457-2)*20+卡牌属性!AN457)</f>
        <v>3449</v>
      </c>
      <c r="AU457" s="14">
        <f t="shared" si="814"/>
        <v>3449</v>
      </c>
      <c r="AV457" s="14">
        <f t="shared" si="814"/>
        <v>3449</v>
      </c>
      <c r="AW457" s="14">
        <f t="shared" si="814"/>
        <v>3449</v>
      </c>
      <c r="AX457" s="14">
        <f t="shared" si="814"/>
        <v>3449</v>
      </c>
      <c r="AY457" s="14">
        <f>INDEX(属性投放!$DH$6:$DH$85,(卡牌属性!AG457-2)*20+卡牌属性!AN457)</f>
        <v>56653</v>
      </c>
      <c r="AZ457" s="14">
        <f t="shared" si="815"/>
        <v>56653</v>
      </c>
      <c r="BA457" s="14">
        <f t="shared" si="815"/>
        <v>56653</v>
      </c>
      <c r="BB457" s="14">
        <f t="shared" si="815"/>
        <v>56653</v>
      </c>
      <c r="BC457" s="14">
        <f t="shared" si="815"/>
        <v>56653</v>
      </c>
      <c r="BD457" s="14">
        <f>INDEX(属性投放!$DL$6:$DL$85,(卡牌属性!AG457-2)*20+卡牌属性!AN457)</f>
        <v>203</v>
      </c>
      <c r="BE457" s="14">
        <f t="shared" si="816"/>
        <v>203</v>
      </c>
      <c r="BF457" s="14">
        <f t="shared" si="816"/>
        <v>203</v>
      </c>
      <c r="BG457" s="14">
        <f t="shared" si="816"/>
        <v>203</v>
      </c>
      <c r="BH457" s="14">
        <f t="shared" si="816"/>
        <v>203</v>
      </c>
      <c r="BI457" s="14">
        <f>INDEX(属性投放!$DM$6:$DM$85,(卡牌属性!AG457-2)*20+卡牌属性!AN457)</f>
        <v>101</v>
      </c>
      <c r="BJ457" s="14">
        <f t="shared" si="817"/>
        <v>101</v>
      </c>
      <c r="BK457" s="14">
        <f t="shared" si="817"/>
        <v>101</v>
      </c>
      <c r="BL457" s="14">
        <f t="shared" si="817"/>
        <v>101</v>
      </c>
      <c r="BM457" s="14">
        <f t="shared" si="817"/>
        <v>101</v>
      </c>
      <c r="BN457" s="14">
        <f>INDEX(属性投放!$DN$6:$DN$85,(卡牌属性!AG457-2)*20+卡牌属性!AN457)</f>
        <v>2027</v>
      </c>
      <c r="BO457" s="14">
        <f t="shared" si="818"/>
        <v>2027</v>
      </c>
      <c r="BP457" s="14">
        <f t="shared" si="818"/>
        <v>2027</v>
      </c>
      <c r="BQ457" s="14">
        <f t="shared" si="818"/>
        <v>2027</v>
      </c>
      <c r="BR457" s="14">
        <f t="shared" si="818"/>
        <v>2027</v>
      </c>
      <c r="BW457" s="13">
        <v>453</v>
      </c>
      <c r="BX457" s="13">
        <f t="shared" si="835"/>
        <v>23</v>
      </c>
      <c r="BY457" s="14">
        <f t="shared" si="836"/>
        <v>2</v>
      </c>
      <c r="BZ457" s="14">
        <f t="shared" si="840"/>
        <v>1102023</v>
      </c>
      <c r="CA457" s="14" t="str">
        <f t="shared" si="841"/>
        <v>异邦刀客13突</v>
      </c>
      <c r="CB457" s="25" t="s">
        <v>142</v>
      </c>
      <c r="CC457" s="14">
        <v>2</v>
      </c>
      <c r="CD457" s="14">
        <f t="shared" si="837"/>
        <v>13</v>
      </c>
      <c r="CE457" s="14" t="s">
        <v>21</v>
      </c>
      <c r="CF457" s="14">
        <f>INDEX(属性投放!$AZ$6:$AZ$85,(BY457-2)*20+CD457)</f>
        <v>4270</v>
      </c>
      <c r="CG457" s="14" t="s">
        <v>22</v>
      </c>
      <c r="CH457" s="14">
        <f>INDEX(属性投放!$BA$6:$BA$85,(BY457-2)*20+CD457)</f>
        <v>2091</v>
      </c>
      <c r="CI457" s="14" t="s">
        <v>510</v>
      </c>
      <c r="CJ457" s="14">
        <f>INDEX(属性投放!$BB$6:$BB$85,(BY457-2)*20+CD457)</f>
        <v>34508</v>
      </c>
      <c r="CK457" s="14" t="s">
        <v>21</v>
      </c>
      <c r="CL457" s="14">
        <f>INDEX(属性投放!$BC$6:$BC$85,(BY457-2)*20+CD457)</f>
        <v>15</v>
      </c>
      <c r="CM457" s="14" t="s">
        <v>22</v>
      </c>
      <c r="CN457" s="14">
        <f>INDEX(属性投放!$BD$6:$BD$85,(BY457-2)*20+CD457)</f>
        <v>8</v>
      </c>
      <c r="CO457" s="14" t="s">
        <v>510</v>
      </c>
      <c r="CP457" s="14">
        <f>INDEX(属性投放!$BE$6:$BE$85,(BY457-2)*20+CD457)</f>
        <v>150</v>
      </c>
      <c r="CS457" s="13">
        <v>453</v>
      </c>
      <c r="CT457" s="13">
        <f t="shared" si="842"/>
        <v>9</v>
      </c>
      <c r="CU457" s="13">
        <f t="shared" si="843"/>
        <v>37</v>
      </c>
      <c r="CV457" s="14">
        <f t="shared" si="844"/>
        <v>3</v>
      </c>
      <c r="CW457" s="14">
        <f t="shared" si="845"/>
        <v>1102009</v>
      </c>
      <c r="CX457" s="14" t="str">
        <f>INDEX($O$6:$O$50,CT457)&amp;"-"&amp;INDEX(属性投放!$AB$7:$AB$50,CZ457)&amp;"-魂火-"&amp;DB457</f>
        <v>徐晃-大焦热-魂火-1</v>
      </c>
      <c r="CY457" s="25" t="s">
        <v>142</v>
      </c>
      <c r="CZ457" s="14">
        <f>INDEX(属性投放!$AM$7:$AM$58,CU457)</f>
        <v>16</v>
      </c>
      <c r="DA457" s="14" t="s">
        <v>537</v>
      </c>
      <c r="DB457" s="14">
        <f>INDEX(属性投放!$AN$7:$AN$58,CU457)</f>
        <v>1</v>
      </c>
      <c r="DC457" s="14">
        <f t="shared" si="838"/>
        <v>37</v>
      </c>
      <c r="DD457" s="14">
        <f>INDEX(属性投放!$AO$7:$AO$58,DC457)</f>
        <v>110</v>
      </c>
      <c r="DE457" s="14" t="s">
        <v>538</v>
      </c>
      <c r="DF457" s="14">
        <f>INDEX(属性投放!$BK$6:$BK$85,(CV457-2)*20+CZ457)</f>
        <v>500</v>
      </c>
      <c r="DG457" s="14">
        <f>SUMIFS(DF$5:DF457,$CT$5:$CT457,"="&amp;$CT457)</f>
        <v>5770</v>
      </c>
      <c r="DH457" s="14" t="s">
        <v>539</v>
      </c>
      <c r="DI457" s="14">
        <f>INDEX(属性投放!$BL$6:$BL$85,(CV457-2)*20+CZ457)</f>
        <v>250</v>
      </c>
      <c r="DJ457" s="14">
        <f>SUMIFS(DI$5:DI457,$CT$5:$CT457,"="&amp;$CT457)</f>
        <v>2888</v>
      </c>
      <c r="DK457" s="14" t="s">
        <v>540</v>
      </c>
      <c r="DL457" s="14">
        <f>INDEX(属性投放!$BM$6:$BM$85,(CV457-2)*20+CZ457)</f>
        <v>5000</v>
      </c>
      <c r="DM457" s="14">
        <f>SUMIFS(DL$5:DL457,$CT$5:$CT457,"="&amp;$CT457)</f>
        <v>53740</v>
      </c>
      <c r="DR457" s="14">
        <f t="shared" si="808"/>
        <v>1102023</v>
      </c>
      <c r="DS457" s="14" t="str">
        <f t="shared" si="809"/>
        <v>异邦刀客13突</v>
      </c>
      <c r="DT457" s="14">
        <f t="shared" si="846"/>
        <v>4</v>
      </c>
      <c r="DU457" s="14">
        <f t="shared" si="847"/>
        <v>3</v>
      </c>
      <c r="DV457" s="14">
        <f t="shared" si="848"/>
        <v>3</v>
      </c>
      <c r="DW457" s="14">
        <f t="shared" si="810"/>
        <v>2</v>
      </c>
      <c r="DX457" s="14">
        <f t="shared" si="811"/>
        <v>13</v>
      </c>
      <c r="DY457" s="14">
        <f t="shared" si="812"/>
        <v>13</v>
      </c>
      <c r="DZ457" s="14">
        <f>INDEX(属性投放!$AX$6:$AX$85,(卡牌属性!DW457-2)*20+卡牌属性!DX457)</f>
        <v>8</v>
      </c>
      <c r="EA457" s="14">
        <f>INDEX(属性投放!BQ$6:BQ$85,卡牌属性!$DY457)</f>
        <v>350</v>
      </c>
      <c r="EB457" s="14">
        <f>INDEX(属性投放!BR$6:BR$85,卡牌属性!$DY457)</f>
        <v>175</v>
      </c>
      <c r="EC457" s="14">
        <f>INDEX(属性投放!BS$6:BS$85,卡牌属性!$DY457)</f>
        <v>3500</v>
      </c>
      <c r="ED457" s="14">
        <f t="shared" si="819"/>
        <v>2480</v>
      </c>
      <c r="EE457" s="14">
        <f t="shared" si="820"/>
        <v>2761</v>
      </c>
      <c r="EF457" s="14">
        <f t="shared" si="821"/>
        <v>2896</v>
      </c>
      <c r="EG457" s="14">
        <f t="shared" si="822"/>
        <v>2896</v>
      </c>
      <c r="EH457" s="14">
        <f t="shared" si="823"/>
        <v>3503</v>
      </c>
      <c r="EI457" s="14">
        <f t="shared" si="824"/>
        <v>1095</v>
      </c>
      <c r="EJ457" s="14">
        <f t="shared" si="825"/>
        <v>1209</v>
      </c>
      <c r="EK457" s="14">
        <f t="shared" si="826"/>
        <v>1209</v>
      </c>
      <c r="EL457" s="14">
        <f t="shared" si="827"/>
        <v>1345</v>
      </c>
      <c r="EM457" s="14">
        <f t="shared" si="828"/>
        <v>1423</v>
      </c>
      <c r="EN457" s="14">
        <f t="shared" si="829"/>
        <v>17688</v>
      </c>
      <c r="EO457" s="14">
        <f t="shared" si="830"/>
        <v>19242</v>
      </c>
      <c r="EP457" s="14">
        <f t="shared" si="831"/>
        <v>19242</v>
      </c>
      <c r="EQ457" s="14">
        <f t="shared" si="832"/>
        <v>21360</v>
      </c>
      <c r="ER457" s="14">
        <f t="shared" si="833"/>
        <v>22294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INDEX(属性投放!$BQ$6:$BQ$85,(卡牌属性!$DW457-2)*20+卡牌属性!$DX457)</f>
        <v>350</v>
      </c>
      <c r="FI457" s="14">
        <f>INDEX(属性投放!$BQ$6:$BQ$85,(卡牌属性!$DW457-2)*20+卡牌属性!$DX457)</f>
        <v>350</v>
      </c>
      <c r="FJ457" s="14">
        <f>INDEX(属性投放!$BQ$6:$BQ$85,(卡牌属性!$DW457-2)*20+卡牌属性!$DX457)</f>
        <v>350</v>
      </c>
      <c r="FK457" s="14">
        <f>INDEX(属性投放!$BQ$6:$BQ$85,(卡牌属性!$DW457-2)*20+卡牌属性!$DX457)</f>
        <v>350</v>
      </c>
      <c r="FL457" s="14">
        <f>INDEX(属性投放!$BQ$6:$BQ$85,(卡牌属性!$DW457-2)*20+卡牌属性!$DX457)</f>
        <v>350</v>
      </c>
      <c r="FM457" s="14">
        <f>INDEX(属性投放!$BR$6:$BR$85,(卡牌属性!$DW457-2)*20+卡牌属性!$DX457)</f>
        <v>175</v>
      </c>
      <c r="FN457" s="14">
        <f>INDEX(属性投放!$BR$6:$BR$85,(卡牌属性!$DW457-2)*20+卡牌属性!$DX457)</f>
        <v>175</v>
      </c>
      <c r="FO457" s="14">
        <f>INDEX(属性投放!$BR$6:$BR$85,(卡牌属性!$DW457-2)*20+卡牌属性!$DX457)</f>
        <v>175</v>
      </c>
      <c r="FP457" s="14">
        <f>INDEX(属性投放!$BR$6:$BR$85,(卡牌属性!$DW457-2)*20+卡牌属性!$DX457)</f>
        <v>175</v>
      </c>
      <c r="FQ457" s="14">
        <f>INDEX(属性投放!$BR$6:$BR$85,(卡牌属性!$DW457-2)*20+卡牌属性!$DX457)</f>
        <v>175</v>
      </c>
      <c r="FR457" s="14">
        <f>INDEX(属性投放!$BS$6:$BS$85,(卡牌属性!$DW457-2)*20+卡牌属性!$DX457)</f>
        <v>3500</v>
      </c>
      <c r="FS457" s="14">
        <f>INDEX(属性投放!$BS$6:$BS$85,(卡牌属性!$DW457-2)*20+卡牌属性!$DX457)</f>
        <v>3500</v>
      </c>
      <c r="FT457" s="14">
        <f>INDEX(属性投放!$BS$6:$BS$85,(卡牌属性!$DW457-2)*20+卡牌属性!$DX457)</f>
        <v>3500</v>
      </c>
      <c r="FU457" s="14">
        <f>INDEX(属性投放!$BS$6:$BS$85,(卡牌属性!$DW457-2)*20+卡牌属性!$DX457)</f>
        <v>3500</v>
      </c>
      <c r="FV457" s="14">
        <f>INDEX(属性投放!$BS$6:$BS$85,(卡牌属性!$DW457-2)*20+卡牌属性!$DX457)</f>
        <v>3500</v>
      </c>
    </row>
    <row r="458" spans="31:178" ht="16.5" x14ac:dyDescent="0.2">
      <c r="AE458" s="13">
        <v>454</v>
      </c>
      <c r="AF458" s="13">
        <f t="shared" si="839"/>
        <v>23</v>
      </c>
      <c r="AG458" s="13">
        <f t="shared" si="834"/>
        <v>4</v>
      </c>
      <c r="AH458" s="13"/>
      <c r="AI458" s="13"/>
      <c r="AJ458" s="14">
        <f t="shared" si="805"/>
        <v>1101043</v>
      </c>
      <c r="AK458" s="14" t="str">
        <f t="shared" si="806"/>
        <v>少年曹玄亮14突</v>
      </c>
      <c r="AL458" s="25" t="s">
        <v>142</v>
      </c>
      <c r="AM458" s="14">
        <v>1</v>
      </c>
      <c r="AN458" s="14">
        <f t="shared" si="807"/>
        <v>14</v>
      </c>
      <c r="AO458" s="14">
        <f>INDEX(属性投放!$DF$6:$DF$85,(卡牌属性!AG458-2)*20+卡牌属性!AN458)</f>
        <v>7618</v>
      </c>
      <c r="AP458" s="14">
        <f t="shared" si="813"/>
        <v>7618</v>
      </c>
      <c r="AQ458" s="14">
        <f t="shared" si="813"/>
        <v>7618</v>
      </c>
      <c r="AR458" s="14">
        <f t="shared" si="813"/>
        <v>7618</v>
      </c>
      <c r="AS458" s="14">
        <f t="shared" si="813"/>
        <v>7618</v>
      </c>
      <c r="AT458" s="14">
        <f>INDEX(属性投放!$DG$6:$DG$85,(卡牌属性!AG458-2)*20+卡牌属性!AN458)</f>
        <v>3739</v>
      </c>
      <c r="AU458" s="14">
        <f t="shared" si="814"/>
        <v>3739</v>
      </c>
      <c r="AV458" s="14">
        <f t="shared" si="814"/>
        <v>3739</v>
      </c>
      <c r="AW458" s="14">
        <f t="shared" si="814"/>
        <v>3739</v>
      </c>
      <c r="AX458" s="14">
        <f t="shared" si="814"/>
        <v>3739</v>
      </c>
      <c r="AY458" s="14">
        <f>INDEX(属性投放!$DH$6:$DH$85,(卡牌属性!AG458-2)*20+卡牌属性!AN458)</f>
        <v>62443</v>
      </c>
      <c r="AZ458" s="14">
        <f t="shared" si="815"/>
        <v>62443</v>
      </c>
      <c r="BA458" s="14">
        <f t="shared" si="815"/>
        <v>62443</v>
      </c>
      <c r="BB458" s="14">
        <f t="shared" si="815"/>
        <v>62443</v>
      </c>
      <c r="BC458" s="14">
        <f t="shared" si="815"/>
        <v>62443</v>
      </c>
      <c r="BD458" s="14">
        <f>INDEX(属性投放!$DL$6:$DL$85,(卡牌属性!AG458-2)*20+卡牌属性!AN458)</f>
        <v>203</v>
      </c>
      <c r="BE458" s="14">
        <f t="shared" si="816"/>
        <v>203</v>
      </c>
      <c r="BF458" s="14">
        <f t="shared" si="816"/>
        <v>203</v>
      </c>
      <c r="BG458" s="14">
        <f t="shared" si="816"/>
        <v>203</v>
      </c>
      <c r="BH458" s="14">
        <f t="shared" si="816"/>
        <v>203</v>
      </c>
      <c r="BI458" s="14">
        <f>INDEX(属性投放!$DM$6:$DM$85,(卡牌属性!AG458-2)*20+卡牌属性!AN458)</f>
        <v>101</v>
      </c>
      <c r="BJ458" s="14">
        <f t="shared" si="817"/>
        <v>101</v>
      </c>
      <c r="BK458" s="14">
        <f t="shared" si="817"/>
        <v>101</v>
      </c>
      <c r="BL458" s="14">
        <f t="shared" si="817"/>
        <v>101</v>
      </c>
      <c r="BM458" s="14">
        <f t="shared" si="817"/>
        <v>101</v>
      </c>
      <c r="BN458" s="14">
        <f>INDEX(属性投放!$DN$6:$DN$85,(卡牌属性!AG458-2)*20+卡牌属性!AN458)</f>
        <v>2027</v>
      </c>
      <c r="BO458" s="14">
        <f t="shared" si="818"/>
        <v>2027</v>
      </c>
      <c r="BP458" s="14">
        <f t="shared" si="818"/>
        <v>2027</v>
      </c>
      <c r="BQ458" s="14">
        <f t="shared" si="818"/>
        <v>2027</v>
      </c>
      <c r="BR458" s="14">
        <f t="shared" si="818"/>
        <v>2027</v>
      </c>
      <c r="BW458" s="13">
        <v>454</v>
      </c>
      <c r="BX458" s="13">
        <f t="shared" si="835"/>
        <v>23</v>
      </c>
      <c r="BY458" s="14">
        <f t="shared" si="836"/>
        <v>2</v>
      </c>
      <c r="BZ458" s="14">
        <f t="shared" si="840"/>
        <v>1102023</v>
      </c>
      <c r="CA458" s="14" t="str">
        <f t="shared" si="841"/>
        <v>异邦刀客14突</v>
      </c>
      <c r="CB458" s="25" t="s">
        <v>142</v>
      </c>
      <c r="CC458" s="14">
        <v>2</v>
      </c>
      <c r="CD458" s="14">
        <f t="shared" si="837"/>
        <v>14</v>
      </c>
      <c r="CE458" s="14" t="s">
        <v>21</v>
      </c>
      <c r="CF458" s="14">
        <f>INDEX(属性投放!$AZ$6:$AZ$85,(BY458-2)*20+CD458)</f>
        <v>5400</v>
      </c>
      <c r="CG458" s="14" t="s">
        <v>22</v>
      </c>
      <c r="CH458" s="14">
        <f>INDEX(属性投放!$BA$6:$BA$85,(BY458-2)*20+CD458)</f>
        <v>2660</v>
      </c>
      <c r="CI458" s="14" t="s">
        <v>510</v>
      </c>
      <c r="CJ458" s="14">
        <f>INDEX(属性投放!$BB$6:$BB$85,(BY458-2)*20+CD458)</f>
        <v>45808</v>
      </c>
      <c r="CK458" s="14" t="s">
        <v>21</v>
      </c>
      <c r="CL458" s="14">
        <f>INDEX(属性投放!$BC$6:$BC$85,(BY458-2)*20+CD458)</f>
        <v>15</v>
      </c>
      <c r="CM458" s="14" t="s">
        <v>22</v>
      </c>
      <c r="CN458" s="14">
        <f>INDEX(属性投放!$BD$6:$BD$85,(BY458-2)*20+CD458)</f>
        <v>8</v>
      </c>
      <c r="CO458" s="14" t="s">
        <v>510</v>
      </c>
      <c r="CP458" s="14">
        <f>INDEX(属性投放!$BE$6:$BE$85,(BY458-2)*20+CD458)</f>
        <v>150</v>
      </c>
      <c r="CS458" s="13">
        <v>454</v>
      </c>
      <c r="CT458" s="13">
        <f t="shared" si="842"/>
        <v>9</v>
      </c>
      <c r="CU458" s="13">
        <f t="shared" si="843"/>
        <v>38</v>
      </c>
      <c r="CV458" s="14">
        <f t="shared" si="844"/>
        <v>3</v>
      </c>
      <c r="CW458" s="14">
        <f t="shared" si="845"/>
        <v>1102009</v>
      </c>
      <c r="CX458" s="14" t="str">
        <f>INDEX($O$6:$O$50,CT458)&amp;"-"&amp;INDEX(属性投放!$AB$7:$AB$50,CZ458)&amp;"-魂火-"&amp;DB458</f>
        <v>徐晃-大焦热-魂火-2</v>
      </c>
      <c r="CY458" s="25" t="s">
        <v>142</v>
      </c>
      <c r="CZ458" s="14">
        <f>INDEX(属性投放!$AM$7:$AM$58,CU458)</f>
        <v>16</v>
      </c>
      <c r="DA458" s="14" t="s">
        <v>537</v>
      </c>
      <c r="DB458" s="14">
        <f>INDEX(属性投放!$AN$7:$AN$58,CU458)</f>
        <v>2</v>
      </c>
      <c r="DC458" s="14">
        <f t="shared" si="838"/>
        <v>38</v>
      </c>
      <c r="DD458" s="14">
        <f>INDEX(属性投放!$AO$7:$AO$58,DC458)</f>
        <v>113</v>
      </c>
      <c r="DE458" s="14" t="s">
        <v>538</v>
      </c>
      <c r="DF458" s="14">
        <f>INDEX(属性投放!$BK$6:$BK$85,(CV458-2)*20+CZ458)</f>
        <v>500</v>
      </c>
      <c r="DG458" s="14">
        <f>SUMIFS(DF$5:DF458,$CT$5:$CT458,"="&amp;$CT458)</f>
        <v>6270</v>
      </c>
      <c r="DH458" s="14" t="s">
        <v>539</v>
      </c>
      <c r="DI458" s="14">
        <f>INDEX(属性投放!$BL$6:$BL$85,(CV458-2)*20+CZ458)</f>
        <v>250</v>
      </c>
      <c r="DJ458" s="14">
        <f>SUMIFS(DI$5:DI458,$CT$5:$CT458,"="&amp;$CT458)</f>
        <v>3138</v>
      </c>
      <c r="DK458" s="14" t="s">
        <v>540</v>
      </c>
      <c r="DL458" s="14">
        <f>INDEX(属性投放!$BM$6:$BM$85,(CV458-2)*20+CZ458)</f>
        <v>5000</v>
      </c>
      <c r="DM458" s="14">
        <f>SUMIFS(DL$5:DL458,$CT$5:$CT458,"="&amp;$CT458)</f>
        <v>58740</v>
      </c>
      <c r="DR458" s="14">
        <f t="shared" si="808"/>
        <v>1102023</v>
      </c>
      <c r="DS458" s="14" t="str">
        <f t="shared" si="809"/>
        <v>异邦刀客14突</v>
      </c>
      <c r="DT458" s="14">
        <f t="shared" si="846"/>
        <v>4</v>
      </c>
      <c r="DU458" s="14">
        <f t="shared" si="847"/>
        <v>3</v>
      </c>
      <c r="DV458" s="14">
        <f t="shared" si="848"/>
        <v>3</v>
      </c>
      <c r="DW458" s="14">
        <f t="shared" si="810"/>
        <v>2</v>
      </c>
      <c r="DX458" s="14">
        <f t="shared" si="811"/>
        <v>14</v>
      </c>
      <c r="DY458" s="14">
        <f t="shared" si="812"/>
        <v>14</v>
      </c>
      <c r="DZ458" s="14">
        <f>INDEX(属性投放!$AX$6:$AX$85,(卡牌属性!DW458-2)*20+卡牌属性!DX458)</f>
        <v>7</v>
      </c>
      <c r="EA458" s="14">
        <f>INDEX(属性投放!BQ$6:BQ$85,卡牌属性!$DY458)</f>
        <v>400</v>
      </c>
      <c r="EB458" s="14">
        <f>INDEX(属性投放!BR$6:BR$85,卡牌属性!$DY458)</f>
        <v>200</v>
      </c>
      <c r="EC458" s="14">
        <f>INDEX(属性投放!BS$6:BS$85,卡牌属性!$DY458)</f>
        <v>4000</v>
      </c>
      <c r="ED458" s="14">
        <f t="shared" si="819"/>
        <v>2990</v>
      </c>
      <c r="EE458" s="14">
        <f t="shared" si="820"/>
        <v>3311</v>
      </c>
      <c r="EF458" s="14">
        <f t="shared" si="821"/>
        <v>3454</v>
      </c>
      <c r="EG458" s="14">
        <f t="shared" si="822"/>
        <v>3454</v>
      </c>
      <c r="EH458" s="14">
        <f t="shared" si="823"/>
        <v>4173</v>
      </c>
      <c r="EI458" s="14">
        <f t="shared" si="824"/>
        <v>1334</v>
      </c>
      <c r="EJ458" s="14">
        <f t="shared" si="825"/>
        <v>1464</v>
      </c>
      <c r="EK458" s="14">
        <f t="shared" si="826"/>
        <v>1464</v>
      </c>
      <c r="EL458" s="14">
        <f t="shared" si="827"/>
        <v>1624</v>
      </c>
      <c r="EM458" s="14">
        <f t="shared" si="828"/>
        <v>1702</v>
      </c>
      <c r="EN458" s="14">
        <f t="shared" si="829"/>
        <v>22388</v>
      </c>
      <c r="EO458" s="14">
        <f t="shared" si="830"/>
        <v>24342</v>
      </c>
      <c r="EP458" s="14">
        <f t="shared" si="831"/>
        <v>24342</v>
      </c>
      <c r="EQ458" s="14">
        <f t="shared" si="832"/>
        <v>26860</v>
      </c>
      <c r="ER458" s="14">
        <f t="shared" si="833"/>
        <v>27874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INDEX(属性投放!$BQ$6:$BQ$85,(卡牌属性!$DW458-2)*20+卡牌属性!$DX458)</f>
        <v>400</v>
      </c>
      <c r="FI458" s="14">
        <f>INDEX(属性投放!$BQ$6:$BQ$85,(卡牌属性!$DW458-2)*20+卡牌属性!$DX458)</f>
        <v>400</v>
      </c>
      <c r="FJ458" s="14">
        <f>INDEX(属性投放!$BQ$6:$BQ$85,(卡牌属性!$DW458-2)*20+卡牌属性!$DX458)</f>
        <v>400</v>
      </c>
      <c r="FK458" s="14">
        <f>INDEX(属性投放!$BQ$6:$BQ$85,(卡牌属性!$DW458-2)*20+卡牌属性!$DX458)</f>
        <v>400</v>
      </c>
      <c r="FL458" s="14">
        <f>INDEX(属性投放!$BQ$6:$BQ$85,(卡牌属性!$DW458-2)*20+卡牌属性!$DX458)</f>
        <v>400</v>
      </c>
      <c r="FM458" s="14">
        <f>INDEX(属性投放!$BR$6:$BR$85,(卡牌属性!$DW458-2)*20+卡牌属性!$DX458)</f>
        <v>200</v>
      </c>
      <c r="FN458" s="14">
        <f>INDEX(属性投放!$BR$6:$BR$85,(卡牌属性!$DW458-2)*20+卡牌属性!$DX458)</f>
        <v>200</v>
      </c>
      <c r="FO458" s="14">
        <f>INDEX(属性投放!$BR$6:$BR$85,(卡牌属性!$DW458-2)*20+卡牌属性!$DX458)</f>
        <v>200</v>
      </c>
      <c r="FP458" s="14">
        <f>INDEX(属性投放!$BR$6:$BR$85,(卡牌属性!$DW458-2)*20+卡牌属性!$DX458)</f>
        <v>200</v>
      </c>
      <c r="FQ458" s="14">
        <f>INDEX(属性投放!$BR$6:$BR$85,(卡牌属性!$DW458-2)*20+卡牌属性!$DX458)</f>
        <v>200</v>
      </c>
      <c r="FR458" s="14">
        <f>INDEX(属性投放!$BS$6:$BS$85,(卡牌属性!$DW458-2)*20+卡牌属性!$DX458)</f>
        <v>4000</v>
      </c>
      <c r="FS458" s="14">
        <f>INDEX(属性投放!$BS$6:$BS$85,(卡牌属性!$DW458-2)*20+卡牌属性!$DX458)</f>
        <v>4000</v>
      </c>
      <c r="FT458" s="14">
        <f>INDEX(属性投放!$BS$6:$BS$85,(卡牌属性!$DW458-2)*20+卡牌属性!$DX458)</f>
        <v>4000</v>
      </c>
      <c r="FU458" s="14">
        <f>INDEX(属性投放!$BS$6:$BS$85,(卡牌属性!$DW458-2)*20+卡牌属性!$DX458)</f>
        <v>4000</v>
      </c>
      <c r="FV458" s="14">
        <f>INDEX(属性投放!$BS$6:$BS$85,(卡牌属性!$DW458-2)*20+卡牌属性!$DX458)</f>
        <v>4000</v>
      </c>
    </row>
    <row r="459" spans="31:178" ht="16.5" x14ac:dyDescent="0.2">
      <c r="AE459" s="13">
        <v>455</v>
      </c>
      <c r="AF459" s="13">
        <f t="shared" si="839"/>
        <v>23</v>
      </c>
      <c r="AG459" s="13">
        <f t="shared" si="834"/>
        <v>4</v>
      </c>
      <c r="AH459" s="13"/>
      <c r="AI459" s="13"/>
      <c r="AJ459" s="14">
        <f t="shared" si="805"/>
        <v>1101043</v>
      </c>
      <c r="AK459" s="14" t="str">
        <f t="shared" si="806"/>
        <v>少年曹玄亮15突</v>
      </c>
      <c r="AL459" s="25" t="s">
        <v>142</v>
      </c>
      <c r="AM459" s="14">
        <v>1</v>
      </c>
      <c r="AN459" s="14">
        <f t="shared" si="807"/>
        <v>15</v>
      </c>
      <c r="AO459" s="14">
        <f>INDEX(属性投放!$DF$6:$DF$85,(卡牌属性!AG459-2)*20+卡牌属性!AN459)</f>
        <v>8197</v>
      </c>
      <c r="AP459" s="14">
        <f t="shared" si="813"/>
        <v>8197</v>
      </c>
      <c r="AQ459" s="14">
        <f t="shared" si="813"/>
        <v>8197</v>
      </c>
      <c r="AR459" s="14">
        <f t="shared" si="813"/>
        <v>8197</v>
      </c>
      <c r="AS459" s="14">
        <f t="shared" si="813"/>
        <v>8197</v>
      </c>
      <c r="AT459" s="14">
        <f>INDEX(属性投放!$DG$6:$DG$85,(卡牌属性!AG459-2)*20+卡牌属性!AN459)</f>
        <v>4029</v>
      </c>
      <c r="AU459" s="14">
        <f t="shared" si="814"/>
        <v>4029</v>
      </c>
      <c r="AV459" s="14">
        <f t="shared" si="814"/>
        <v>4029</v>
      </c>
      <c r="AW459" s="14">
        <f t="shared" si="814"/>
        <v>4029</v>
      </c>
      <c r="AX459" s="14">
        <f t="shared" si="814"/>
        <v>4029</v>
      </c>
      <c r="AY459" s="14">
        <f>INDEX(属性投放!$DH$6:$DH$85,(卡牌属性!AG459-2)*20+卡牌属性!AN459)</f>
        <v>68233</v>
      </c>
      <c r="AZ459" s="14">
        <f t="shared" si="815"/>
        <v>68233</v>
      </c>
      <c r="BA459" s="14">
        <f t="shared" si="815"/>
        <v>68233</v>
      </c>
      <c r="BB459" s="14">
        <f t="shared" si="815"/>
        <v>68233</v>
      </c>
      <c r="BC459" s="14">
        <f t="shared" si="815"/>
        <v>68233</v>
      </c>
      <c r="BD459" s="14">
        <f>INDEX(属性投放!$DL$6:$DL$85,(卡牌属性!AG459-2)*20+卡牌属性!AN459)</f>
        <v>203</v>
      </c>
      <c r="BE459" s="14">
        <f t="shared" si="816"/>
        <v>203</v>
      </c>
      <c r="BF459" s="14">
        <f t="shared" si="816"/>
        <v>203</v>
      </c>
      <c r="BG459" s="14">
        <f t="shared" si="816"/>
        <v>203</v>
      </c>
      <c r="BH459" s="14">
        <f t="shared" si="816"/>
        <v>203</v>
      </c>
      <c r="BI459" s="14">
        <f>INDEX(属性投放!$DM$6:$DM$85,(卡牌属性!AG459-2)*20+卡牌属性!AN459)</f>
        <v>101</v>
      </c>
      <c r="BJ459" s="14">
        <f t="shared" si="817"/>
        <v>101</v>
      </c>
      <c r="BK459" s="14">
        <f t="shared" si="817"/>
        <v>101</v>
      </c>
      <c r="BL459" s="14">
        <f t="shared" si="817"/>
        <v>101</v>
      </c>
      <c r="BM459" s="14">
        <f t="shared" si="817"/>
        <v>101</v>
      </c>
      <c r="BN459" s="14">
        <f>INDEX(属性投放!$DN$6:$DN$85,(卡牌属性!AG459-2)*20+卡牌属性!AN459)</f>
        <v>2027</v>
      </c>
      <c r="BO459" s="14">
        <f t="shared" si="818"/>
        <v>2027</v>
      </c>
      <c r="BP459" s="14">
        <f t="shared" si="818"/>
        <v>2027</v>
      </c>
      <c r="BQ459" s="14">
        <f t="shared" si="818"/>
        <v>2027</v>
      </c>
      <c r="BR459" s="14">
        <f t="shared" si="818"/>
        <v>2027</v>
      </c>
      <c r="BW459" s="13">
        <v>455</v>
      </c>
      <c r="BX459" s="13">
        <f t="shared" si="835"/>
        <v>23</v>
      </c>
      <c r="BY459" s="14">
        <f t="shared" si="836"/>
        <v>2</v>
      </c>
      <c r="BZ459" s="14">
        <f t="shared" si="840"/>
        <v>1102023</v>
      </c>
      <c r="CA459" s="14" t="str">
        <f t="shared" si="841"/>
        <v>异邦刀客15突</v>
      </c>
      <c r="CB459" s="25" t="s">
        <v>142</v>
      </c>
      <c r="CC459" s="14">
        <v>2</v>
      </c>
      <c r="CD459" s="14">
        <f t="shared" si="837"/>
        <v>15</v>
      </c>
      <c r="CE459" s="14" t="s">
        <v>21</v>
      </c>
      <c r="CF459" s="14">
        <f>INDEX(属性投放!$AZ$6:$AZ$85,(BY459-2)*20+CD459)</f>
        <v>6715</v>
      </c>
      <c r="CG459" s="14" t="s">
        <v>22</v>
      </c>
      <c r="CH459" s="14">
        <f>INDEX(属性投放!$BA$6:$BA$85,(BY459-2)*20+CD459)</f>
        <v>3321</v>
      </c>
      <c r="CI459" s="14" t="s">
        <v>510</v>
      </c>
      <c r="CJ459" s="14">
        <f>INDEX(属性投放!$BB$6:$BB$85,(BY459-2)*20+CD459)</f>
        <v>58958</v>
      </c>
      <c r="CK459" s="14" t="s">
        <v>21</v>
      </c>
      <c r="CL459" s="14">
        <f>INDEX(属性投放!$BC$6:$BC$85,(BY459-2)*20+CD459)</f>
        <v>15</v>
      </c>
      <c r="CM459" s="14" t="s">
        <v>22</v>
      </c>
      <c r="CN459" s="14">
        <f>INDEX(属性投放!$BD$6:$BD$85,(BY459-2)*20+CD459)</f>
        <v>8</v>
      </c>
      <c r="CO459" s="14" t="s">
        <v>510</v>
      </c>
      <c r="CP459" s="14">
        <f>INDEX(属性投放!$BE$6:$BE$85,(BY459-2)*20+CD459)</f>
        <v>150</v>
      </c>
      <c r="CS459" s="13">
        <v>455</v>
      </c>
      <c r="CT459" s="13">
        <f t="shared" si="842"/>
        <v>9</v>
      </c>
      <c r="CU459" s="13">
        <f t="shared" si="843"/>
        <v>39</v>
      </c>
      <c r="CV459" s="14">
        <f t="shared" si="844"/>
        <v>3</v>
      </c>
      <c r="CW459" s="14">
        <f t="shared" si="845"/>
        <v>1102009</v>
      </c>
      <c r="CX459" s="14" t="str">
        <f>INDEX($O$6:$O$50,CT459)&amp;"-"&amp;INDEX(属性投放!$AB$7:$AB$50,CZ459)&amp;"-魂火-"&amp;DB459</f>
        <v>徐晃-大焦热-魂火-3</v>
      </c>
      <c r="CY459" s="25" t="s">
        <v>142</v>
      </c>
      <c r="CZ459" s="14">
        <f>INDEX(属性投放!$AM$7:$AM$58,CU459)</f>
        <v>16</v>
      </c>
      <c r="DA459" s="14" t="s">
        <v>537</v>
      </c>
      <c r="DB459" s="14">
        <f>INDEX(属性投放!$AN$7:$AN$58,CU459)</f>
        <v>3</v>
      </c>
      <c r="DC459" s="14">
        <f t="shared" si="838"/>
        <v>39</v>
      </c>
      <c r="DD459" s="14">
        <f>INDEX(属性投放!$AO$7:$AO$58,DC459)</f>
        <v>115</v>
      </c>
      <c r="DE459" s="14" t="s">
        <v>538</v>
      </c>
      <c r="DF459" s="14">
        <f>INDEX(属性投放!$BK$6:$BK$85,(CV459-2)*20+CZ459)</f>
        <v>500</v>
      </c>
      <c r="DG459" s="14">
        <f>SUMIFS(DF$5:DF459,$CT$5:$CT459,"="&amp;$CT459)</f>
        <v>6770</v>
      </c>
      <c r="DH459" s="14" t="s">
        <v>539</v>
      </c>
      <c r="DI459" s="14">
        <f>INDEX(属性投放!$BL$6:$BL$85,(CV459-2)*20+CZ459)</f>
        <v>250</v>
      </c>
      <c r="DJ459" s="14">
        <f>SUMIFS(DI$5:DI459,$CT$5:$CT459,"="&amp;$CT459)</f>
        <v>3388</v>
      </c>
      <c r="DK459" s="14" t="s">
        <v>540</v>
      </c>
      <c r="DL459" s="14">
        <f>INDEX(属性投放!$BM$6:$BM$85,(CV459-2)*20+CZ459)</f>
        <v>5000</v>
      </c>
      <c r="DM459" s="14">
        <f>SUMIFS(DL$5:DL459,$CT$5:$CT459,"="&amp;$CT459)</f>
        <v>63740</v>
      </c>
      <c r="DR459" s="14">
        <f t="shared" si="808"/>
        <v>1102023</v>
      </c>
      <c r="DS459" s="14" t="str">
        <f t="shared" si="809"/>
        <v>异邦刀客15突</v>
      </c>
      <c r="DT459" s="14">
        <f t="shared" si="846"/>
        <v>4</v>
      </c>
      <c r="DU459" s="14">
        <f t="shared" si="847"/>
        <v>3</v>
      </c>
      <c r="DV459" s="14">
        <f t="shared" si="848"/>
        <v>3</v>
      </c>
      <c r="DW459" s="14">
        <f t="shared" si="810"/>
        <v>2</v>
      </c>
      <c r="DX459" s="14">
        <f t="shared" si="811"/>
        <v>15</v>
      </c>
      <c r="DY459" s="14">
        <f t="shared" si="812"/>
        <v>15</v>
      </c>
      <c r="DZ459" s="14">
        <f>INDEX(属性投放!$AX$6:$AX$85,(卡牌属性!DW459-2)*20+卡牌属性!DX459)</f>
        <v>8</v>
      </c>
      <c r="EA459" s="14">
        <f>INDEX(属性投放!BQ$6:BQ$85,卡牌属性!$DY459)</f>
        <v>700</v>
      </c>
      <c r="EB459" s="14">
        <f>INDEX(属性投放!BR$6:BR$85,卡牌属性!$DY459)</f>
        <v>350</v>
      </c>
      <c r="EC459" s="14">
        <f>INDEX(属性投放!BS$6:BS$85,卡牌属性!$DY459)</f>
        <v>7000</v>
      </c>
      <c r="ED459" s="14">
        <f t="shared" si="819"/>
        <v>3530</v>
      </c>
      <c r="EE459" s="14">
        <f t="shared" si="820"/>
        <v>3886</v>
      </c>
      <c r="EF459" s="14">
        <f t="shared" si="821"/>
        <v>4036</v>
      </c>
      <c r="EG459" s="14">
        <f t="shared" si="822"/>
        <v>4036</v>
      </c>
      <c r="EH459" s="14">
        <f t="shared" si="823"/>
        <v>4853</v>
      </c>
      <c r="EI459" s="14">
        <f t="shared" si="824"/>
        <v>1590</v>
      </c>
      <c r="EJ459" s="14">
        <f t="shared" si="825"/>
        <v>1734</v>
      </c>
      <c r="EK459" s="14">
        <f t="shared" si="826"/>
        <v>1734</v>
      </c>
      <c r="EL459" s="14">
        <f t="shared" si="827"/>
        <v>1915</v>
      </c>
      <c r="EM459" s="14">
        <f t="shared" si="828"/>
        <v>1993</v>
      </c>
      <c r="EN459" s="14">
        <f t="shared" si="829"/>
        <v>27438</v>
      </c>
      <c r="EO459" s="14">
        <f t="shared" si="830"/>
        <v>29742</v>
      </c>
      <c r="EP459" s="14">
        <f t="shared" si="831"/>
        <v>29742</v>
      </c>
      <c r="EQ459" s="14">
        <f t="shared" si="832"/>
        <v>32610</v>
      </c>
      <c r="ER459" s="14">
        <f t="shared" si="833"/>
        <v>33694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INDEX(属性投放!$BQ$6:$BQ$85,(卡牌属性!$DW459-2)*20+卡牌属性!$DX459)</f>
        <v>700</v>
      </c>
      <c r="FI459" s="14">
        <f>INDEX(属性投放!$BQ$6:$BQ$85,(卡牌属性!$DW459-2)*20+卡牌属性!$DX459)</f>
        <v>700</v>
      </c>
      <c r="FJ459" s="14">
        <f>INDEX(属性投放!$BQ$6:$BQ$85,(卡牌属性!$DW459-2)*20+卡牌属性!$DX459)</f>
        <v>700</v>
      </c>
      <c r="FK459" s="14">
        <f>INDEX(属性投放!$BQ$6:$BQ$85,(卡牌属性!$DW459-2)*20+卡牌属性!$DX459)</f>
        <v>700</v>
      </c>
      <c r="FL459" s="14">
        <f>INDEX(属性投放!$BQ$6:$BQ$85,(卡牌属性!$DW459-2)*20+卡牌属性!$DX459)</f>
        <v>700</v>
      </c>
      <c r="FM459" s="14">
        <f>INDEX(属性投放!$BR$6:$BR$85,(卡牌属性!$DW459-2)*20+卡牌属性!$DX459)</f>
        <v>350</v>
      </c>
      <c r="FN459" s="14">
        <f>INDEX(属性投放!$BR$6:$BR$85,(卡牌属性!$DW459-2)*20+卡牌属性!$DX459)</f>
        <v>350</v>
      </c>
      <c r="FO459" s="14">
        <f>INDEX(属性投放!$BR$6:$BR$85,(卡牌属性!$DW459-2)*20+卡牌属性!$DX459)</f>
        <v>350</v>
      </c>
      <c r="FP459" s="14">
        <f>INDEX(属性投放!$BR$6:$BR$85,(卡牌属性!$DW459-2)*20+卡牌属性!$DX459)</f>
        <v>350</v>
      </c>
      <c r="FQ459" s="14">
        <f>INDEX(属性投放!$BR$6:$BR$85,(卡牌属性!$DW459-2)*20+卡牌属性!$DX459)</f>
        <v>350</v>
      </c>
      <c r="FR459" s="14">
        <f>INDEX(属性投放!$BS$6:$BS$85,(卡牌属性!$DW459-2)*20+卡牌属性!$DX459)</f>
        <v>7000</v>
      </c>
      <c r="FS459" s="14">
        <f>INDEX(属性投放!$BS$6:$BS$85,(卡牌属性!$DW459-2)*20+卡牌属性!$DX459)</f>
        <v>7000</v>
      </c>
      <c r="FT459" s="14">
        <f>INDEX(属性投放!$BS$6:$BS$85,(卡牌属性!$DW459-2)*20+卡牌属性!$DX459)</f>
        <v>7000</v>
      </c>
      <c r="FU459" s="14">
        <f>INDEX(属性投放!$BS$6:$BS$85,(卡牌属性!$DW459-2)*20+卡牌属性!$DX459)</f>
        <v>7000</v>
      </c>
      <c r="FV459" s="14">
        <f>INDEX(属性投放!$BS$6:$BS$85,(卡牌属性!$DW459-2)*20+卡牌属性!$DX459)</f>
        <v>7000</v>
      </c>
    </row>
    <row r="460" spans="31:178" ht="16.5" x14ac:dyDescent="0.2">
      <c r="AE460" s="13">
        <v>456</v>
      </c>
      <c r="AF460" s="13">
        <f t="shared" si="839"/>
        <v>23</v>
      </c>
      <c r="AG460" s="13">
        <f t="shared" si="834"/>
        <v>4</v>
      </c>
      <c r="AH460" s="13"/>
      <c r="AI460" s="13"/>
      <c r="AJ460" s="14">
        <f t="shared" si="805"/>
        <v>1101043</v>
      </c>
      <c r="AK460" s="14" t="str">
        <f t="shared" si="806"/>
        <v>少年曹玄亮16突</v>
      </c>
      <c r="AL460" s="25" t="s">
        <v>142</v>
      </c>
      <c r="AM460" s="14">
        <v>1</v>
      </c>
      <c r="AN460" s="14">
        <f t="shared" si="807"/>
        <v>16</v>
      </c>
      <c r="AO460" s="14">
        <f>INDEX(属性投放!$DF$6:$DF$85,(卡牌属性!AG460-2)*20+卡牌属性!AN460)</f>
        <v>13851</v>
      </c>
      <c r="AP460" s="14">
        <f t="shared" si="813"/>
        <v>13851</v>
      </c>
      <c r="AQ460" s="14">
        <f t="shared" si="813"/>
        <v>13851</v>
      </c>
      <c r="AR460" s="14">
        <f t="shared" si="813"/>
        <v>13851</v>
      </c>
      <c r="AS460" s="14">
        <f t="shared" si="813"/>
        <v>13851</v>
      </c>
      <c r="AT460" s="14">
        <f>INDEX(属性投放!$DG$6:$DG$85,(卡牌属性!AG460-2)*20+卡牌属性!AN460)</f>
        <v>6844</v>
      </c>
      <c r="AU460" s="14">
        <f t="shared" si="814"/>
        <v>6844</v>
      </c>
      <c r="AV460" s="14">
        <f t="shared" si="814"/>
        <v>6844</v>
      </c>
      <c r="AW460" s="14">
        <f t="shared" si="814"/>
        <v>6844</v>
      </c>
      <c r="AX460" s="14">
        <f t="shared" si="814"/>
        <v>6844</v>
      </c>
      <c r="AY460" s="14">
        <f>INDEX(属性投放!$DH$6:$DH$85,(卡牌属性!AG460-2)*20+卡牌属性!AN460)</f>
        <v>124698</v>
      </c>
      <c r="AZ460" s="14">
        <f t="shared" si="815"/>
        <v>124698</v>
      </c>
      <c r="BA460" s="14">
        <f t="shared" si="815"/>
        <v>124698</v>
      </c>
      <c r="BB460" s="14">
        <f t="shared" si="815"/>
        <v>124698</v>
      </c>
      <c r="BC460" s="14">
        <f t="shared" si="815"/>
        <v>124698</v>
      </c>
      <c r="BD460" s="14">
        <f>INDEX(属性投放!$DL$6:$DL$85,(卡牌属性!AG460-2)*20+卡牌属性!AN460)</f>
        <v>284</v>
      </c>
      <c r="BE460" s="14">
        <f t="shared" si="816"/>
        <v>284</v>
      </c>
      <c r="BF460" s="14">
        <f t="shared" si="816"/>
        <v>284</v>
      </c>
      <c r="BG460" s="14">
        <f t="shared" si="816"/>
        <v>284</v>
      </c>
      <c r="BH460" s="14">
        <f t="shared" si="816"/>
        <v>284</v>
      </c>
      <c r="BI460" s="14">
        <f>INDEX(属性投放!$DM$6:$DM$85,(卡牌属性!AG460-2)*20+卡牌属性!AN460)</f>
        <v>142</v>
      </c>
      <c r="BJ460" s="14">
        <f t="shared" si="817"/>
        <v>142</v>
      </c>
      <c r="BK460" s="14">
        <f t="shared" si="817"/>
        <v>142</v>
      </c>
      <c r="BL460" s="14">
        <f t="shared" si="817"/>
        <v>142</v>
      </c>
      <c r="BM460" s="14">
        <f t="shared" si="817"/>
        <v>142</v>
      </c>
      <c r="BN460" s="14">
        <f>INDEX(属性投放!$DN$6:$DN$85,(卡牌属性!AG460-2)*20+卡牌属性!AN460)</f>
        <v>2845</v>
      </c>
      <c r="BO460" s="14">
        <f t="shared" si="818"/>
        <v>2845</v>
      </c>
      <c r="BP460" s="14">
        <f t="shared" si="818"/>
        <v>2845</v>
      </c>
      <c r="BQ460" s="14">
        <f t="shared" si="818"/>
        <v>2845</v>
      </c>
      <c r="BR460" s="14">
        <f t="shared" si="818"/>
        <v>2845</v>
      </c>
      <c r="BW460" s="13">
        <v>456</v>
      </c>
      <c r="BX460" s="13">
        <f t="shared" si="835"/>
        <v>23</v>
      </c>
      <c r="BY460" s="14">
        <f t="shared" si="836"/>
        <v>2</v>
      </c>
      <c r="BZ460" s="14">
        <f t="shared" si="840"/>
        <v>1102023</v>
      </c>
      <c r="CA460" s="14" t="str">
        <f t="shared" si="841"/>
        <v>异邦刀客16突</v>
      </c>
      <c r="CB460" s="25" t="s">
        <v>142</v>
      </c>
      <c r="CC460" s="14">
        <v>2</v>
      </c>
      <c r="CD460" s="14">
        <f t="shared" si="837"/>
        <v>16</v>
      </c>
      <c r="CE460" s="14" t="s">
        <v>21</v>
      </c>
      <c r="CF460" s="14">
        <f>INDEX(属性投放!$AZ$6:$AZ$85,(BY460-2)*20+CD460)</f>
        <v>8585</v>
      </c>
      <c r="CG460" s="14" t="s">
        <v>22</v>
      </c>
      <c r="CH460" s="14">
        <f>INDEX(属性投放!$BA$6:$BA$85,(BY460-2)*20+CD460)</f>
        <v>4260</v>
      </c>
      <c r="CI460" s="14" t="s">
        <v>510</v>
      </c>
      <c r="CJ460" s="14">
        <f>INDEX(属性投放!$BB$6:$BB$85,(BY460-2)*20+CD460)</f>
        <v>77658</v>
      </c>
      <c r="CK460" s="14" t="s">
        <v>21</v>
      </c>
      <c r="CL460" s="14">
        <f>INDEX(属性投放!$BC$6:$BC$85,(BY460-2)*20+CD460)</f>
        <v>20</v>
      </c>
      <c r="CM460" s="14" t="s">
        <v>22</v>
      </c>
      <c r="CN460" s="14">
        <f>INDEX(属性投放!$BD$6:$BD$85,(BY460-2)*20+CD460)</f>
        <v>10</v>
      </c>
      <c r="CO460" s="14" t="s">
        <v>510</v>
      </c>
      <c r="CP460" s="14">
        <f>INDEX(属性投放!$BE$6:$BE$85,(BY460-2)*20+CD460)</f>
        <v>200</v>
      </c>
      <c r="CS460" s="13">
        <v>456</v>
      </c>
      <c r="CT460" s="13">
        <f t="shared" si="842"/>
        <v>9</v>
      </c>
      <c r="CU460" s="13">
        <f t="shared" si="843"/>
        <v>40</v>
      </c>
      <c r="CV460" s="14">
        <f t="shared" si="844"/>
        <v>3</v>
      </c>
      <c r="CW460" s="14">
        <f t="shared" si="845"/>
        <v>1102009</v>
      </c>
      <c r="CX460" s="14" t="str">
        <f>INDEX($O$6:$O$50,CT460)&amp;"-"&amp;INDEX(属性投放!$AB$7:$AB$50,CZ460)&amp;"-魂火-"&amp;DB460</f>
        <v>徐晃-大焦热+1-魂火-1</v>
      </c>
      <c r="CY460" s="25" t="s">
        <v>142</v>
      </c>
      <c r="CZ460" s="14">
        <f>INDEX(属性投放!$AM$7:$AM$58,CU460)</f>
        <v>17</v>
      </c>
      <c r="DA460" s="14" t="s">
        <v>537</v>
      </c>
      <c r="DB460" s="14">
        <f>INDEX(属性投放!$AN$7:$AN$58,CU460)</f>
        <v>1</v>
      </c>
      <c r="DC460" s="14">
        <f t="shared" si="838"/>
        <v>40</v>
      </c>
      <c r="DD460" s="14">
        <f>INDEX(属性投放!$AO$7:$AO$58,DC460)</f>
        <v>118</v>
      </c>
      <c r="DE460" s="14" t="s">
        <v>538</v>
      </c>
      <c r="DF460" s="14">
        <f>INDEX(属性投放!$BK$6:$BK$85,(CV460-2)*20+CZ460)</f>
        <v>600</v>
      </c>
      <c r="DG460" s="14">
        <f>SUMIFS(DF$5:DF460,$CT$5:$CT460,"="&amp;$CT460)</f>
        <v>7370</v>
      </c>
      <c r="DH460" s="14" t="s">
        <v>539</v>
      </c>
      <c r="DI460" s="14">
        <f>INDEX(属性投放!$BL$6:$BL$85,(CV460-2)*20+CZ460)</f>
        <v>300</v>
      </c>
      <c r="DJ460" s="14">
        <f>SUMIFS(DI$5:DI460,$CT$5:$CT460,"="&amp;$CT460)</f>
        <v>3688</v>
      </c>
      <c r="DK460" s="14" t="s">
        <v>540</v>
      </c>
      <c r="DL460" s="14">
        <f>INDEX(属性投放!$BM$6:$BM$85,(CV460-2)*20+CZ460)</f>
        <v>6000</v>
      </c>
      <c r="DM460" s="14">
        <f>SUMIFS(DL$5:DL460,$CT$5:$CT460,"="&amp;$CT460)</f>
        <v>69740</v>
      </c>
      <c r="DR460" s="14">
        <f t="shared" ref="DR460:DR501" si="849">BZ460</f>
        <v>1102023</v>
      </c>
      <c r="DS460" s="14" t="str">
        <f t="shared" ref="DS460:DS501" si="850">CA460</f>
        <v>异邦刀客16突</v>
      </c>
      <c r="DT460" s="14">
        <f t="shared" si="846"/>
        <v>4</v>
      </c>
      <c r="DU460" s="14">
        <f t="shared" si="847"/>
        <v>3</v>
      </c>
      <c r="DV460" s="14">
        <f t="shared" si="848"/>
        <v>3</v>
      </c>
      <c r="DW460" s="14">
        <f t="shared" ref="DW460:DW501" si="851">BY460</f>
        <v>2</v>
      </c>
      <c r="DX460" s="14">
        <f t="shared" ref="DX460:DX501" si="852">CD460</f>
        <v>16</v>
      </c>
      <c r="DY460" s="14">
        <f t="shared" ref="DY460:DY501" si="853">(DW460-2)*20+DX460</f>
        <v>16</v>
      </c>
      <c r="DZ460" s="14">
        <f>INDEX(属性投放!$AX$6:$AX$85,(卡牌属性!DW460-2)*20+卡牌属性!DX460)</f>
        <v>7</v>
      </c>
      <c r="EA460" s="14">
        <f>INDEX(属性投放!BQ$6:BQ$85,卡牌属性!$DY460)</f>
        <v>700</v>
      </c>
      <c r="EB460" s="14">
        <f>INDEX(属性投放!BR$6:BR$85,卡牌属性!$DY460)</f>
        <v>350</v>
      </c>
      <c r="EC460" s="14">
        <f>INDEX(属性投放!BS$6:BS$85,卡牌属性!$DY460)</f>
        <v>7000</v>
      </c>
      <c r="ED460" s="14">
        <f t="shared" si="819"/>
        <v>4390</v>
      </c>
      <c r="EE460" s="14">
        <f t="shared" si="820"/>
        <v>4786</v>
      </c>
      <c r="EF460" s="14">
        <f t="shared" si="821"/>
        <v>4944</v>
      </c>
      <c r="EG460" s="14">
        <f t="shared" si="822"/>
        <v>4944</v>
      </c>
      <c r="EH460" s="14">
        <f t="shared" si="823"/>
        <v>5873</v>
      </c>
      <c r="EI460" s="14">
        <f t="shared" si="824"/>
        <v>2004</v>
      </c>
      <c r="EJ460" s="14">
        <f t="shared" si="825"/>
        <v>2164</v>
      </c>
      <c r="EK460" s="14">
        <f t="shared" si="826"/>
        <v>2164</v>
      </c>
      <c r="EL460" s="14">
        <f t="shared" si="827"/>
        <v>2369</v>
      </c>
      <c r="EM460" s="14">
        <f t="shared" si="828"/>
        <v>2447</v>
      </c>
      <c r="EN460" s="14">
        <f t="shared" si="829"/>
        <v>35638</v>
      </c>
      <c r="EO460" s="14">
        <f t="shared" si="830"/>
        <v>38342</v>
      </c>
      <c r="EP460" s="14">
        <f t="shared" si="831"/>
        <v>38342</v>
      </c>
      <c r="EQ460" s="14">
        <f t="shared" si="832"/>
        <v>41610</v>
      </c>
      <c r="ER460" s="14">
        <f t="shared" si="833"/>
        <v>42774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INDEX(属性投放!$BQ$6:$BQ$85,(卡牌属性!$DW460-2)*20+卡牌属性!$DX460)</f>
        <v>700</v>
      </c>
      <c r="FI460" s="14">
        <f>INDEX(属性投放!$BQ$6:$BQ$85,(卡牌属性!$DW460-2)*20+卡牌属性!$DX460)</f>
        <v>700</v>
      </c>
      <c r="FJ460" s="14">
        <f>INDEX(属性投放!$BQ$6:$BQ$85,(卡牌属性!$DW460-2)*20+卡牌属性!$DX460)</f>
        <v>700</v>
      </c>
      <c r="FK460" s="14">
        <f>INDEX(属性投放!$BQ$6:$BQ$85,(卡牌属性!$DW460-2)*20+卡牌属性!$DX460)</f>
        <v>700</v>
      </c>
      <c r="FL460" s="14">
        <f>INDEX(属性投放!$BQ$6:$BQ$85,(卡牌属性!$DW460-2)*20+卡牌属性!$DX460)</f>
        <v>700</v>
      </c>
      <c r="FM460" s="14">
        <f>INDEX(属性投放!$BR$6:$BR$85,(卡牌属性!$DW460-2)*20+卡牌属性!$DX460)</f>
        <v>350</v>
      </c>
      <c r="FN460" s="14">
        <f>INDEX(属性投放!$BR$6:$BR$85,(卡牌属性!$DW460-2)*20+卡牌属性!$DX460)</f>
        <v>350</v>
      </c>
      <c r="FO460" s="14">
        <f>INDEX(属性投放!$BR$6:$BR$85,(卡牌属性!$DW460-2)*20+卡牌属性!$DX460)</f>
        <v>350</v>
      </c>
      <c r="FP460" s="14">
        <f>INDEX(属性投放!$BR$6:$BR$85,(卡牌属性!$DW460-2)*20+卡牌属性!$DX460)</f>
        <v>350</v>
      </c>
      <c r="FQ460" s="14">
        <f>INDEX(属性投放!$BR$6:$BR$85,(卡牌属性!$DW460-2)*20+卡牌属性!$DX460)</f>
        <v>350</v>
      </c>
      <c r="FR460" s="14">
        <f>INDEX(属性投放!$BS$6:$BS$85,(卡牌属性!$DW460-2)*20+卡牌属性!$DX460)</f>
        <v>7000</v>
      </c>
      <c r="FS460" s="14">
        <f>INDEX(属性投放!$BS$6:$BS$85,(卡牌属性!$DW460-2)*20+卡牌属性!$DX460)</f>
        <v>7000</v>
      </c>
      <c r="FT460" s="14">
        <f>INDEX(属性投放!$BS$6:$BS$85,(卡牌属性!$DW460-2)*20+卡牌属性!$DX460)</f>
        <v>7000</v>
      </c>
      <c r="FU460" s="14">
        <f>INDEX(属性投放!$BS$6:$BS$85,(卡牌属性!$DW460-2)*20+卡牌属性!$DX460)</f>
        <v>7000</v>
      </c>
      <c r="FV460" s="14">
        <f>INDEX(属性投放!$BS$6:$BS$85,(卡牌属性!$DW460-2)*20+卡牌属性!$DX460)</f>
        <v>7000</v>
      </c>
    </row>
    <row r="461" spans="31:178" ht="16.5" x14ac:dyDescent="0.2">
      <c r="AE461" s="13">
        <v>457</v>
      </c>
      <c r="AF461" s="13">
        <f t="shared" si="839"/>
        <v>23</v>
      </c>
      <c r="AG461" s="13">
        <f t="shared" si="834"/>
        <v>4</v>
      </c>
      <c r="AH461" s="13"/>
      <c r="AI461" s="13"/>
      <c r="AJ461" s="14">
        <f t="shared" si="805"/>
        <v>1101043</v>
      </c>
      <c r="AK461" s="14" t="str">
        <f t="shared" si="806"/>
        <v>少年曹玄亮17突</v>
      </c>
      <c r="AL461" s="25" t="s">
        <v>142</v>
      </c>
      <c r="AM461" s="14">
        <v>1</v>
      </c>
      <c r="AN461" s="14">
        <f t="shared" si="807"/>
        <v>17</v>
      </c>
      <c r="AO461" s="14">
        <f>INDEX(属性投放!$DF$6:$DF$85,(卡牌属性!AG461-2)*20+卡牌属性!AN461)</f>
        <v>14867</v>
      </c>
      <c r="AP461" s="14">
        <f t="shared" si="813"/>
        <v>14867</v>
      </c>
      <c r="AQ461" s="14">
        <f t="shared" si="813"/>
        <v>14867</v>
      </c>
      <c r="AR461" s="14">
        <f t="shared" si="813"/>
        <v>14867</v>
      </c>
      <c r="AS461" s="14">
        <f t="shared" si="813"/>
        <v>14867</v>
      </c>
      <c r="AT461" s="14">
        <f>INDEX(属性投放!$DG$6:$DG$85,(卡牌属性!AG461-2)*20+卡牌属性!AN461)</f>
        <v>7352</v>
      </c>
      <c r="AU461" s="14">
        <f t="shared" si="814"/>
        <v>7352</v>
      </c>
      <c r="AV461" s="14">
        <f t="shared" si="814"/>
        <v>7352</v>
      </c>
      <c r="AW461" s="14">
        <f t="shared" si="814"/>
        <v>7352</v>
      </c>
      <c r="AX461" s="14">
        <f t="shared" si="814"/>
        <v>7352</v>
      </c>
      <c r="AY461" s="14">
        <f>INDEX(属性投放!$DH$6:$DH$85,(卡牌属性!AG461-2)*20+卡牌属性!AN461)</f>
        <v>134858</v>
      </c>
      <c r="AZ461" s="14">
        <f t="shared" si="815"/>
        <v>134858</v>
      </c>
      <c r="BA461" s="14">
        <f t="shared" si="815"/>
        <v>134858</v>
      </c>
      <c r="BB461" s="14">
        <f t="shared" si="815"/>
        <v>134858</v>
      </c>
      <c r="BC461" s="14">
        <f t="shared" si="815"/>
        <v>134858</v>
      </c>
      <c r="BD461" s="14">
        <f>INDEX(属性投放!$DL$6:$DL$85,(卡牌属性!AG461-2)*20+卡牌属性!AN461)</f>
        <v>284</v>
      </c>
      <c r="BE461" s="14">
        <f t="shared" si="816"/>
        <v>284</v>
      </c>
      <c r="BF461" s="14">
        <f t="shared" si="816"/>
        <v>284</v>
      </c>
      <c r="BG461" s="14">
        <f t="shared" si="816"/>
        <v>284</v>
      </c>
      <c r="BH461" s="14">
        <f t="shared" si="816"/>
        <v>284</v>
      </c>
      <c r="BI461" s="14">
        <f>INDEX(属性投放!$DM$6:$DM$85,(卡牌属性!AG461-2)*20+卡牌属性!AN461)</f>
        <v>142</v>
      </c>
      <c r="BJ461" s="14">
        <f t="shared" si="817"/>
        <v>142</v>
      </c>
      <c r="BK461" s="14">
        <f t="shared" si="817"/>
        <v>142</v>
      </c>
      <c r="BL461" s="14">
        <f t="shared" si="817"/>
        <v>142</v>
      </c>
      <c r="BM461" s="14">
        <f t="shared" si="817"/>
        <v>142</v>
      </c>
      <c r="BN461" s="14">
        <f>INDEX(属性投放!$DN$6:$DN$85,(卡牌属性!AG461-2)*20+卡牌属性!AN461)</f>
        <v>2845</v>
      </c>
      <c r="BO461" s="14">
        <f t="shared" si="818"/>
        <v>2845</v>
      </c>
      <c r="BP461" s="14">
        <f t="shared" si="818"/>
        <v>2845</v>
      </c>
      <c r="BQ461" s="14">
        <f t="shared" si="818"/>
        <v>2845</v>
      </c>
      <c r="BR461" s="14">
        <f t="shared" si="818"/>
        <v>2845</v>
      </c>
      <c r="BW461" s="13">
        <v>457</v>
      </c>
      <c r="BX461" s="13">
        <f t="shared" si="835"/>
        <v>23</v>
      </c>
      <c r="BY461" s="14">
        <f t="shared" si="836"/>
        <v>2</v>
      </c>
      <c r="BZ461" s="14">
        <f t="shared" si="840"/>
        <v>1102023</v>
      </c>
      <c r="CA461" s="14" t="str">
        <f t="shared" si="841"/>
        <v>异邦刀客17突</v>
      </c>
      <c r="CB461" s="25" t="s">
        <v>142</v>
      </c>
      <c r="CC461" s="14">
        <v>2</v>
      </c>
      <c r="CD461" s="14">
        <f t="shared" si="837"/>
        <v>17</v>
      </c>
      <c r="CE461" s="14" t="s">
        <v>21</v>
      </c>
      <c r="CF461" s="14">
        <f>INDEX(属性投放!$AZ$6:$AZ$85,(BY461-2)*20+CD461)</f>
        <v>10775</v>
      </c>
      <c r="CG461" s="14" t="s">
        <v>22</v>
      </c>
      <c r="CH461" s="14">
        <f>INDEX(属性投放!$BA$6:$BA$85,(BY461-2)*20+CD461)</f>
        <v>5355</v>
      </c>
      <c r="CI461" s="14" t="s">
        <v>510</v>
      </c>
      <c r="CJ461" s="14">
        <f>INDEX(属性投放!$BB$6:$BB$85,(BY461-2)*20+CD461)</f>
        <v>99558</v>
      </c>
      <c r="CK461" s="14" t="s">
        <v>21</v>
      </c>
      <c r="CL461" s="14">
        <f>INDEX(属性投放!$BC$6:$BC$85,(BY461-2)*20+CD461)</f>
        <v>20</v>
      </c>
      <c r="CM461" s="14" t="s">
        <v>22</v>
      </c>
      <c r="CN461" s="14">
        <f>INDEX(属性投放!$BD$6:$BD$85,(BY461-2)*20+CD461)</f>
        <v>10</v>
      </c>
      <c r="CO461" s="14" t="s">
        <v>510</v>
      </c>
      <c r="CP461" s="14">
        <f>INDEX(属性投放!$BE$6:$BE$85,(BY461-2)*20+CD461)</f>
        <v>200</v>
      </c>
      <c r="CS461" s="13">
        <v>457</v>
      </c>
      <c r="CT461" s="13">
        <f t="shared" si="842"/>
        <v>9</v>
      </c>
      <c r="CU461" s="13">
        <f t="shared" si="843"/>
        <v>41</v>
      </c>
      <c r="CV461" s="14">
        <f t="shared" si="844"/>
        <v>3</v>
      </c>
      <c r="CW461" s="14">
        <f t="shared" si="845"/>
        <v>1102009</v>
      </c>
      <c r="CX461" s="14" t="str">
        <f>INDEX($O$6:$O$50,CT461)&amp;"-"&amp;INDEX(属性投放!$AB$7:$AB$50,CZ461)&amp;"-魂火-"&amp;DB461</f>
        <v>徐晃-大焦热+1-魂火-2</v>
      </c>
      <c r="CY461" s="25" t="s">
        <v>142</v>
      </c>
      <c r="CZ461" s="14">
        <f>INDEX(属性投放!$AM$7:$AM$58,CU461)</f>
        <v>17</v>
      </c>
      <c r="DA461" s="14" t="s">
        <v>537</v>
      </c>
      <c r="DB461" s="14">
        <f>INDEX(属性投放!$AN$7:$AN$58,CU461)</f>
        <v>2</v>
      </c>
      <c r="DC461" s="14">
        <f t="shared" si="838"/>
        <v>41</v>
      </c>
      <c r="DD461" s="14">
        <f>INDEX(属性投放!$AO$7:$AO$58,DC461)</f>
        <v>120</v>
      </c>
      <c r="DE461" s="14" t="s">
        <v>538</v>
      </c>
      <c r="DF461" s="14">
        <f>INDEX(属性投放!$BK$6:$BK$85,(CV461-2)*20+CZ461)</f>
        <v>600</v>
      </c>
      <c r="DG461" s="14">
        <f>SUMIFS(DF$5:DF461,$CT$5:$CT461,"="&amp;$CT461)</f>
        <v>7970</v>
      </c>
      <c r="DH461" s="14" t="s">
        <v>539</v>
      </c>
      <c r="DI461" s="14">
        <f>INDEX(属性投放!$BL$6:$BL$85,(CV461-2)*20+CZ461)</f>
        <v>300</v>
      </c>
      <c r="DJ461" s="14">
        <f>SUMIFS(DI$5:DI461,$CT$5:$CT461,"="&amp;$CT461)</f>
        <v>3988</v>
      </c>
      <c r="DK461" s="14" t="s">
        <v>540</v>
      </c>
      <c r="DL461" s="14">
        <f>INDEX(属性投放!$BM$6:$BM$85,(CV461-2)*20+CZ461)</f>
        <v>6000</v>
      </c>
      <c r="DM461" s="14">
        <f>SUMIFS(DL$5:DL461,$CT$5:$CT461,"="&amp;$CT461)</f>
        <v>75740</v>
      </c>
      <c r="DR461" s="14">
        <f t="shared" si="849"/>
        <v>1102023</v>
      </c>
      <c r="DS461" s="14" t="str">
        <f t="shared" si="850"/>
        <v>异邦刀客17突</v>
      </c>
      <c r="DT461" s="14">
        <f t="shared" si="846"/>
        <v>4</v>
      </c>
      <c r="DU461" s="14">
        <f t="shared" si="847"/>
        <v>3</v>
      </c>
      <c r="DV461" s="14">
        <f t="shared" si="848"/>
        <v>3</v>
      </c>
      <c r="DW461" s="14">
        <f t="shared" si="851"/>
        <v>2</v>
      </c>
      <c r="DX461" s="14">
        <f t="shared" si="852"/>
        <v>17</v>
      </c>
      <c r="DY461" s="14">
        <f t="shared" si="853"/>
        <v>17</v>
      </c>
      <c r="DZ461" s="14">
        <f>INDEX(属性投放!$AX$6:$AX$85,(卡牌属性!DW461-2)*20+卡牌属性!DX461)</f>
        <v>8</v>
      </c>
      <c r="EA461" s="14">
        <f>INDEX(属性投放!BQ$6:BQ$85,卡牌属性!$DY461)</f>
        <v>800</v>
      </c>
      <c r="EB461" s="14">
        <f>INDEX(属性投放!BR$6:BR$85,卡牌属性!$DY461)</f>
        <v>400</v>
      </c>
      <c r="EC461" s="14">
        <f>INDEX(属性投放!BS$6:BS$85,卡牌属性!$DY461)</f>
        <v>8000</v>
      </c>
      <c r="ED461" s="14">
        <f t="shared" si="819"/>
        <v>5265</v>
      </c>
      <c r="EE461" s="14">
        <f t="shared" si="820"/>
        <v>5696</v>
      </c>
      <c r="EF461" s="14">
        <f t="shared" si="821"/>
        <v>5889</v>
      </c>
      <c r="EG461" s="14">
        <f t="shared" si="822"/>
        <v>5889</v>
      </c>
      <c r="EH461" s="14">
        <f t="shared" si="823"/>
        <v>6923</v>
      </c>
      <c r="EI461" s="14">
        <f t="shared" si="824"/>
        <v>2424</v>
      </c>
      <c r="EJ461" s="14">
        <f t="shared" si="825"/>
        <v>2605</v>
      </c>
      <c r="EK461" s="14">
        <f t="shared" si="826"/>
        <v>2605</v>
      </c>
      <c r="EL461" s="14">
        <f t="shared" si="827"/>
        <v>2824</v>
      </c>
      <c r="EM461" s="14">
        <f t="shared" si="828"/>
        <v>2923</v>
      </c>
      <c r="EN461" s="14">
        <f t="shared" si="829"/>
        <v>44038</v>
      </c>
      <c r="EO461" s="14">
        <f t="shared" si="830"/>
        <v>47092</v>
      </c>
      <c r="EP461" s="14">
        <f t="shared" si="831"/>
        <v>47092</v>
      </c>
      <c r="EQ461" s="14">
        <f t="shared" si="832"/>
        <v>50710</v>
      </c>
      <c r="ER461" s="14">
        <f t="shared" si="833"/>
        <v>52224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INDEX(属性投放!$BQ$6:$BQ$85,(卡牌属性!$DW461-2)*20+卡牌属性!$DX461)</f>
        <v>800</v>
      </c>
      <c r="FI461" s="14">
        <f>INDEX(属性投放!$BQ$6:$BQ$85,(卡牌属性!$DW461-2)*20+卡牌属性!$DX461)</f>
        <v>800</v>
      </c>
      <c r="FJ461" s="14">
        <f>INDEX(属性投放!$BQ$6:$BQ$85,(卡牌属性!$DW461-2)*20+卡牌属性!$DX461)</f>
        <v>800</v>
      </c>
      <c r="FK461" s="14">
        <f>INDEX(属性投放!$BQ$6:$BQ$85,(卡牌属性!$DW461-2)*20+卡牌属性!$DX461)</f>
        <v>800</v>
      </c>
      <c r="FL461" s="14">
        <f>INDEX(属性投放!$BQ$6:$BQ$85,(卡牌属性!$DW461-2)*20+卡牌属性!$DX461)</f>
        <v>800</v>
      </c>
      <c r="FM461" s="14">
        <f>INDEX(属性投放!$BR$6:$BR$85,(卡牌属性!$DW461-2)*20+卡牌属性!$DX461)</f>
        <v>400</v>
      </c>
      <c r="FN461" s="14">
        <f>INDEX(属性投放!$BR$6:$BR$85,(卡牌属性!$DW461-2)*20+卡牌属性!$DX461)</f>
        <v>400</v>
      </c>
      <c r="FO461" s="14">
        <f>INDEX(属性投放!$BR$6:$BR$85,(卡牌属性!$DW461-2)*20+卡牌属性!$DX461)</f>
        <v>400</v>
      </c>
      <c r="FP461" s="14">
        <f>INDEX(属性投放!$BR$6:$BR$85,(卡牌属性!$DW461-2)*20+卡牌属性!$DX461)</f>
        <v>400</v>
      </c>
      <c r="FQ461" s="14">
        <f>INDEX(属性投放!$BR$6:$BR$85,(卡牌属性!$DW461-2)*20+卡牌属性!$DX461)</f>
        <v>400</v>
      </c>
      <c r="FR461" s="14">
        <f>INDEX(属性投放!$BS$6:$BS$85,(卡牌属性!$DW461-2)*20+卡牌属性!$DX461)</f>
        <v>8000</v>
      </c>
      <c r="FS461" s="14">
        <f>INDEX(属性投放!$BS$6:$BS$85,(卡牌属性!$DW461-2)*20+卡牌属性!$DX461)</f>
        <v>8000</v>
      </c>
      <c r="FT461" s="14">
        <f>INDEX(属性投放!$BS$6:$BS$85,(卡牌属性!$DW461-2)*20+卡牌属性!$DX461)</f>
        <v>8000</v>
      </c>
      <c r="FU461" s="14">
        <f>INDEX(属性投放!$BS$6:$BS$85,(卡牌属性!$DW461-2)*20+卡牌属性!$DX461)</f>
        <v>8000</v>
      </c>
      <c r="FV461" s="14">
        <f>INDEX(属性投放!$BS$6:$BS$85,(卡牌属性!$DW461-2)*20+卡牌属性!$DX461)</f>
        <v>8000</v>
      </c>
    </row>
    <row r="462" spans="31:178" ht="16.5" x14ac:dyDescent="0.2">
      <c r="AE462" s="13">
        <v>458</v>
      </c>
      <c r="AF462" s="13">
        <f t="shared" si="839"/>
        <v>23</v>
      </c>
      <c r="AG462" s="13">
        <f t="shared" si="834"/>
        <v>4</v>
      </c>
      <c r="AH462" s="13"/>
      <c r="AI462" s="13"/>
      <c r="AJ462" s="14">
        <f t="shared" si="805"/>
        <v>1101043</v>
      </c>
      <c r="AK462" s="14" t="str">
        <f t="shared" si="806"/>
        <v>少年曹玄亮18突</v>
      </c>
      <c r="AL462" s="25" t="s">
        <v>142</v>
      </c>
      <c r="AM462" s="14">
        <v>1</v>
      </c>
      <c r="AN462" s="14">
        <f t="shared" si="807"/>
        <v>18</v>
      </c>
      <c r="AO462" s="14">
        <f>INDEX(属性投放!$DF$6:$DF$85,(卡牌属性!AG462-2)*20+卡牌属性!AN462)</f>
        <v>15883</v>
      </c>
      <c r="AP462" s="14">
        <f t="shared" si="813"/>
        <v>15883</v>
      </c>
      <c r="AQ462" s="14">
        <f t="shared" si="813"/>
        <v>15883</v>
      </c>
      <c r="AR462" s="14">
        <f t="shared" si="813"/>
        <v>15883</v>
      </c>
      <c r="AS462" s="14">
        <f t="shared" si="813"/>
        <v>15883</v>
      </c>
      <c r="AT462" s="14">
        <f>INDEX(属性投放!$DG$6:$DG$85,(卡牌属性!AG462-2)*20+卡牌属性!AN462)</f>
        <v>7860</v>
      </c>
      <c r="AU462" s="14">
        <f t="shared" si="814"/>
        <v>7860</v>
      </c>
      <c r="AV462" s="14">
        <f t="shared" si="814"/>
        <v>7860</v>
      </c>
      <c r="AW462" s="14">
        <f t="shared" si="814"/>
        <v>7860</v>
      </c>
      <c r="AX462" s="14">
        <f t="shared" si="814"/>
        <v>7860</v>
      </c>
      <c r="AY462" s="14">
        <f>INDEX(属性投放!$DH$6:$DH$85,(卡牌属性!AG462-2)*20+卡牌属性!AN462)</f>
        <v>145018</v>
      </c>
      <c r="AZ462" s="14">
        <f t="shared" si="815"/>
        <v>145018</v>
      </c>
      <c r="BA462" s="14">
        <f t="shared" si="815"/>
        <v>145018</v>
      </c>
      <c r="BB462" s="14">
        <f t="shared" si="815"/>
        <v>145018</v>
      </c>
      <c r="BC462" s="14">
        <f t="shared" si="815"/>
        <v>145018</v>
      </c>
      <c r="BD462" s="14">
        <f>INDEX(属性投放!$DL$6:$DL$85,(卡牌属性!AG462-2)*20+卡牌属性!AN462)</f>
        <v>284</v>
      </c>
      <c r="BE462" s="14">
        <f t="shared" si="816"/>
        <v>284</v>
      </c>
      <c r="BF462" s="14">
        <f t="shared" si="816"/>
        <v>284</v>
      </c>
      <c r="BG462" s="14">
        <f t="shared" si="816"/>
        <v>284</v>
      </c>
      <c r="BH462" s="14">
        <f t="shared" si="816"/>
        <v>284</v>
      </c>
      <c r="BI462" s="14">
        <f>INDEX(属性投放!$DM$6:$DM$85,(卡牌属性!AG462-2)*20+卡牌属性!AN462)</f>
        <v>142</v>
      </c>
      <c r="BJ462" s="14">
        <f t="shared" si="817"/>
        <v>142</v>
      </c>
      <c r="BK462" s="14">
        <f t="shared" si="817"/>
        <v>142</v>
      </c>
      <c r="BL462" s="14">
        <f t="shared" si="817"/>
        <v>142</v>
      </c>
      <c r="BM462" s="14">
        <f t="shared" si="817"/>
        <v>142</v>
      </c>
      <c r="BN462" s="14">
        <f>INDEX(属性投放!$DN$6:$DN$85,(卡牌属性!AG462-2)*20+卡牌属性!AN462)</f>
        <v>2845</v>
      </c>
      <c r="BO462" s="14">
        <f t="shared" si="818"/>
        <v>2845</v>
      </c>
      <c r="BP462" s="14">
        <f t="shared" si="818"/>
        <v>2845</v>
      </c>
      <c r="BQ462" s="14">
        <f t="shared" si="818"/>
        <v>2845</v>
      </c>
      <c r="BR462" s="14">
        <f t="shared" si="818"/>
        <v>2845</v>
      </c>
      <c r="BW462" s="13">
        <v>458</v>
      </c>
      <c r="BX462" s="13">
        <f t="shared" si="835"/>
        <v>23</v>
      </c>
      <c r="BY462" s="14">
        <f t="shared" si="836"/>
        <v>2</v>
      </c>
      <c r="BZ462" s="14">
        <f t="shared" si="840"/>
        <v>1102023</v>
      </c>
      <c r="CA462" s="14" t="str">
        <f t="shared" si="841"/>
        <v>异邦刀客18突</v>
      </c>
      <c r="CB462" s="25" t="s">
        <v>142</v>
      </c>
      <c r="CC462" s="14">
        <v>2</v>
      </c>
      <c r="CD462" s="14">
        <f t="shared" si="837"/>
        <v>18</v>
      </c>
      <c r="CE462" s="14" t="s">
        <v>21</v>
      </c>
      <c r="CF462" s="14">
        <f>INDEX(属性投放!$AZ$6:$AZ$85,(BY462-2)*20+CD462)</f>
        <v>13385</v>
      </c>
      <c r="CG462" s="14" t="s">
        <v>22</v>
      </c>
      <c r="CH462" s="14">
        <f>INDEX(属性投放!$BA$6:$BA$85,(BY462-2)*20+CD462)</f>
        <v>6660</v>
      </c>
      <c r="CI462" s="14" t="s">
        <v>510</v>
      </c>
      <c r="CJ462" s="14">
        <f>INDEX(属性投放!$BB$6:$BB$85,(BY462-2)*20+CD462)</f>
        <v>125658</v>
      </c>
      <c r="CK462" s="14" t="s">
        <v>21</v>
      </c>
      <c r="CL462" s="14">
        <f>INDEX(属性投放!$BC$6:$BC$85,(BY462-2)*20+CD462)</f>
        <v>20</v>
      </c>
      <c r="CM462" s="14" t="s">
        <v>22</v>
      </c>
      <c r="CN462" s="14">
        <f>INDEX(属性投放!$BD$6:$BD$85,(BY462-2)*20+CD462)</f>
        <v>10</v>
      </c>
      <c r="CO462" s="14" t="s">
        <v>510</v>
      </c>
      <c r="CP462" s="14">
        <f>INDEX(属性投放!$BE$6:$BE$85,(BY462-2)*20+CD462)</f>
        <v>200</v>
      </c>
      <c r="CS462" s="13">
        <v>458</v>
      </c>
      <c r="CT462" s="13">
        <f t="shared" si="842"/>
        <v>9</v>
      </c>
      <c r="CU462" s="13">
        <f t="shared" si="843"/>
        <v>42</v>
      </c>
      <c r="CV462" s="14">
        <f t="shared" si="844"/>
        <v>3</v>
      </c>
      <c r="CW462" s="14">
        <f t="shared" si="845"/>
        <v>1102009</v>
      </c>
      <c r="CX462" s="14" t="str">
        <f>INDEX($O$6:$O$50,CT462)&amp;"-"&amp;INDEX(属性投放!$AB$7:$AB$50,CZ462)&amp;"-魂火-"&amp;DB462</f>
        <v>徐晃-大焦热+1-魂火-3</v>
      </c>
      <c r="CY462" s="25" t="s">
        <v>142</v>
      </c>
      <c r="CZ462" s="14">
        <f>INDEX(属性投放!$AM$7:$AM$58,CU462)</f>
        <v>17</v>
      </c>
      <c r="DA462" s="14" t="s">
        <v>537</v>
      </c>
      <c r="DB462" s="14">
        <f>INDEX(属性投放!$AN$7:$AN$58,CU462)</f>
        <v>3</v>
      </c>
      <c r="DC462" s="14">
        <f t="shared" si="838"/>
        <v>42</v>
      </c>
      <c r="DD462" s="14">
        <f>INDEX(属性投放!$AO$7:$AO$58,DC462)</f>
        <v>123</v>
      </c>
      <c r="DE462" s="14" t="s">
        <v>538</v>
      </c>
      <c r="DF462" s="14">
        <f>INDEX(属性投放!$BK$6:$BK$85,(CV462-2)*20+CZ462)</f>
        <v>600</v>
      </c>
      <c r="DG462" s="14">
        <f>SUMIFS(DF$5:DF462,$CT$5:$CT462,"="&amp;$CT462)</f>
        <v>8570</v>
      </c>
      <c r="DH462" s="14" t="s">
        <v>539</v>
      </c>
      <c r="DI462" s="14">
        <f>INDEX(属性投放!$BL$6:$BL$85,(CV462-2)*20+CZ462)</f>
        <v>300</v>
      </c>
      <c r="DJ462" s="14">
        <f>SUMIFS(DI$5:DI462,$CT$5:$CT462,"="&amp;$CT462)</f>
        <v>4288</v>
      </c>
      <c r="DK462" s="14" t="s">
        <v>540</v>
      </c>
      <c r="DL462" s="14">
        <f>INDEX(属性投放!$BM$6:$BM$85,(CV462-2)*20+CZ462)</f>
        <v>6000</v>
      </c>
      <c r="DM462" s="14">
        <f>SUMIFS(DL$5:DL462,$CT$5:$CT462,"="&amp;$CT462)</f>
        <v>81740</v>
      </c>
      <c r="DR462" s="14">
        <f t="shared" si="849"/>
        <v>1102023</v>
      </c>
      <c r="DS462" s="14" t="str">
        <f t="shared" si="850"/>
        <v>异邦刀客18突</v>
      </c>
      <c r="DT462" s="14">
        <f t="shared" si="846"/>
        <v>4</v>
      </c>
      <c r="DU462" s="14">
        <f t="shared" si="847"/>
        <v>3</v>
      </c>
      <c r="DV462" s="14">
        <f t="shared" si="848"/>
        <v>3</v>
      </c>
      <c r="DW462" s="14">
        <f t="shared" si="851"/>
        <v>2</v>
      </c>
      <c r="DX462" s="14">
        <f t="shared" si="852"/>
        <v>18</v>
      </c>
      <c r="DY462" s="14">
        <f t="shared" si="853"/>
        <v>18</v>
      </c>
      <c r="DZ462" s="14">
        <f>INDEX(属性投放!$AX$6:$AX$85,(卡牌属性!DW462-2)*20+卡牌属性!DX462)</f>
        <v>7</v>
      </c>
      <c r="EA462" s="14">
        <f>INDEX(属性投放!BQ$6:BQ$85,卡牌属性!$DY462)</f>
        <v>1400</v>
      </c>
      <c r="EB462" s="14">
        <f>INDEX(属性投放!BR$6:BR$85,卡牌属性!$DY462)</f>
        <v>700</v>
      </c>
      <c r="EC462" s="14">
        <f>INDEX(属性投放!BS$6:BS$85,卡牌属性!$DY462)</f>
        <v>14000</v>
      </c>
      <c r="ED462" s="14">
        <f t="shared" si="819"/>
        <v>6265</v>
      </c>
      <c r="EE462" s="14">
        <f t="shared" si="820"/>
        <v>6736</v>
      </c>
      <c r="EF462" s="14">
        <f t="shared" si="821"/>
        <v>6969</v>
      </c>
      <c r="EG462" s="14">
        <f t="shared" si="822"/>
        <v>6969</v>
      </c>
      <c r="EH462" s="14">
        <f t="shared" si="823"/>
        <v>8123</v>
      </c>
      <c r="EI462" s="14">
        <f t="shared" si="824"/>
        <v>2904</v>
      </c>
      <c r="EJ462" s="14">
        <f t="shared" si="825"/>
        <v>3109</v>
      </c>
      <c r="EK462" s="14">
        <f t="shared" si="826"/>
        <v>3109</v>
      </c>
      <c r="EL462" s="14">
        <f t="shared" si="827"/>
        <v>3344</v>
      </c>
      <c r="EM462" s="14">
        <f t="shared" si="828"/>
        <v>3467</v>
      </c>
      <c r="EN462" s="14">
        <f t="shared" si="829"/>
        <v>53638</v>
      </c>
      <c r="EO462" s="14">
        <f t="shared" si="830"/>
        <v>57092</v>
      </c>
      <c r="EP462" s="14">
        <f t="shared" si="831"/>
        <v>57092</v>
      </c>
      <c r="EQ462" s="14">
        <f t="shared" si="832"/>
        <v>61110</v>
      </c>
      <c r="ER462" s="14">
        <f t="shared" si="833"/>
        <v>63024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INDEX(属性投放!$BQ$6:$BQ$85,(卡牌属性!$DW462-2)*20+卡牌属性!$DX462)</f>
        <v>1400</v>
      </c>
      <c r="FI462" s="14">
        <f>INDEX(属性投放!$BQ$6:$BQ$85,(卡牌属性!$DW462-2)*20+卡牌属性!$DX462)</f>
        <v>1400</v>
      </c>
      <c r="FJ462" s="14">
        <f>INDEX(属性投放!$BQ$6:$BQ$85,(卡牌属性!$DW462-2)*20+卡牌属性!$DX462)</f>
        <v>1400</v>
      </c>
      <c r="FK462" s="14">
        <f>INDEX(属性投放!$BQ$6:$BQ$85,(卡牌属性!$DW462-2)*20+卡牌属性!$DX462)</f>
        <v>1400</v>
      </c>
      <c r="FL462" s="14">
        <f>INDEX(属性投放!$BQ$6:$BQ$85,(卡牌属性!$DW462-2)*20+卡牌属性!$DX462)</f>
        <v>1400</v>
      </c>
      <c r="FM462" s="14">
        <f>INDEX(属性投放!$BR$6:$BR$85,(卡牌属性!$DW462-2)*20+卡牌属性!$DX462)</f>
        <v>700</v>
      </c>
      <c r="FN462" s="14">
        <f>INDEX(属性投放!$BR$6:$BR$85,(卡牌属性!$DW462-2)*20+卡牌属性!$DX462)</f>
        <v>700</v>
      </c>
      <c r="FO462" s="14">
        <f>INDEX(属性投放!$BR$6:$BR$85,(卡牌属性!$DW462-2)*20+卡牌属性!$DX462)</f>
        <v>700</v>
      </c>
      <c r="FP462" s="14">
        <f>INDEX(属性投放!$BR$6:$BR$85,(卡牌属性!$DW462-2)*20+卡牌属性!$DX462)</f>
        <v>700</v>
      </c>
      <c r="FQ462" s="14">
        <f>INDEX(属性投放!$BR$6:$BR$85,(卡牌属性!$DW462-2)*20+卡牌属性!$DX462)</f>
        <v>700</v>
      </c>
      <c r="FR462" s="14">
        <f>INDEX(属性投放!$BS$6:$BS$85,(卡牌属性!$DW462-2)*20+卡牌属性!$DX462)</f>
        <v>14000</v>
      </c>
      <c r="FS462" s="14">
        <f>INDEX(属性投放!$BS$6:$BS$85,(卡牌属性!$DW462-2)*20+卡牌属性!$DX462)</f>
        <v>14000</v>
      </c>
      <c r="FT462" s="14">
        <f>INDEX(属性投放!$BS$6:$BS$85,(卡牌属性!$DW462-2)*20+卡牌属性!$DX462)</f>
        <v>14000</v>
      </c>
      <c r="FU462" s="14">
        <f>INDEX(属性投放!$BS$6:$BS$85,(卡牌属性!$DW462-2)*20+卡牌属性!$DX462)</f>
        <v>14000</v>
      </c>
      <c r="FV462" s="14">
        <f>INDEX(属性投放!$BS$6:$BS$85,(卡牌属性!$DW462-2)*20+卡牌属性!$DX462)</f>
        <v>14000</v>
      </c>
    </row>
    <row r="463" spans="31:178" ht="16.5" x14ac:dyDescent="0.2">
      <c r="AE463" s="13">
        <v>459</v>
      </c>
      <c r="AF463" s="13">
        <f t="shared" si="839"/>
        <v>23</v>
      </c>
      <c r="AG463" s="13">
        <f t="shared" si="834"/>
        <v>4</v>
      </c>
      <c r="AH463" s="13"/>
      <c r="AI463" s="13"/>
      <c r="AJ463" s="14">
        <f t="shared" si="805"/>
        <v>1101043</v>
      </c>
      <c r="AK463" s="14" t="str">
        <f t="shared" si="806"/>
        <v>少年曹玄亮19突</v>
      </c>
      <c r="AL463" s="25" t="s">
        <v>142</v>
      </c>
      <c r="AM463" s="14">
        <v>1</v>
      </c>
      <c r="AN463" s="14">
        <f t="shared" si="807"/>
        <v>19</v>
      </c>
      <c r="AO463" s="14">
        <f>INDEX(属性投放!$DF$6:$DF$85,(卡牌属性!AG463-2)*20+卡牌属性!AN463)</f>
        <v>23999</v>
      </c>
      <c r="AP463" s="14">
        <f t="shared" si="813"/>
        <v>23999</v>
      </c>
      <c r="AQ463" s="14">
        <f t="shared" si="813"/>
        <v>23999</v>
      </c>
      <c r="AR463" s="14">
        <f t="shared" si="813"/>
        <v>23999</v>
      </c>
      <c r="AS463" s="14">
        <f t="shared" si="813"/>
        <v>23999</v>
      </c>
      <c r="AT463" s="14">
        <f>INDEX(属性投放!$DG$6:$DG$85,(卡牌属性!AG463-2)*20+卡牌属性!AN463)</f>
        <v>11918</v>
      </c>
      <c r="AU463" s="14">
        <f t="shared" si="814"/>
        <v>11918</v>
      </c>
      <c r="AV463" s="14">
        <f t="shared" si="814"/>
        <v>11918</v>
      </c>
      <c r="AW463" s="14">
        <f t="shared" si="814"/>
        <v>11918</v>
      </c>
      <c r="AX463" s="14">
        <f t="shared" si="814"/>
        <v>11918</v>
      </c>
      <c r="AY463" s="14">
        <f>INDEX(属性投放!$DH$6:$DH$85,(卡牌属性!AG463-2)*20+卡牌属性!AN463)</f>
        <v>226303</v>
      </c>
      <c r="AZ463" s="14">
        <f t="shared" si="815"/>
        <v>226303</v>
      </c>
      <c r="BA463" s="14">
        <f t="shared" si="815"/>
        <v>226303</v>
      </c>
      <c r="BB463" s="14">
        <f t="shared" si="815"/>
        <v>226303</v>
      </c>
      <c r="BC463" s="14">
        <f t="shared" si="815"/>
        <v>226303</v>
      </c>
      <c r="BD463" s="14">
        <f>INDEX(属性投放!$DL$6:$DL$85,(卡牌属性!AG463-2)*20+卡牌属性!AN463)</f>
        <v>516</v>
      </c>
      <c r="BE463" s="14">
        <f t="shared" si="816"/>
        <v>516</v>
      </c>
      <c r="BF463" s="14">
        <f t="shared" si="816"/>
        <v>516</v>
      </c>
      <c r="BG463" s="14">
        <f t="shared" si="816"/>
        <v>516</v>
      </c>
      <c r="BH463" s="14">
        <f t="shared" si="816"/>
        <v>516</v>
      </c>
      <c r="BI463" s="14">
        <f>INDEX(属性投放!$DM$6:$DM$85,(卡牌属性!AG463-2)*20+卡牌属性!AN463)</f>
        <v>258</v>
      </c>
      <c r="BJ463" s="14">
        <f t="shared" si="817"/>
        <v>258</v>
      </c>
      <c r="BK463" s="14">
        <f t="shared" si="817"/>
        <v>258</v>
      </c>
      <c r="BL463" s="14">
        <f t="shared" si="817"/>
        <v>258</v>
      </c>
      <c r="BM463" s="14">
        <f t="shared" si="817"/>
        <v>258</v>
      </c>
      <c r="BN463" s="14">
        <f>INDEX(属性投放!$DN$6:$DN$85,(卡牌属性!AG463-2)*20+卡牌属性!AN463)</f>
        <v>5157</v>
      </c>
      <c r="BO463" s="14">
        <f t="shared" si="818"/>
        <v>5157</v>
      </c>
      <c r="BP463" s="14">
        <f t="shared" si="818"/>
        <v>5157</v>
      </c>
      <c r="BQ463" s="14">
        <f t="shared" si="818"/>
        <v>5157</v>
      </c>
      <c r="BR463" s="14">
        <f t="shared" si="818"/>
        <v>5157</v>
      </c>
      <c r="BW463" s="13">
        <v>459</v>
      </c>
      <c r="BX463" s="13">
        <f t="shared" si="835"/>
        <v>23</v>
      </c>
      <c r="BY463" s="14">
        <f t="shared" si="836"/>
        <v>2</v>
      </c>
      <c r="BZ463" s="14">
        <f t="shared" si="840"/>
        <v>1102023</v>
      </c>
      <c r="CA463" s="14" t="str">
        <f t="shared" si="841"/>
        <v>异邦刀客19突</v>
      </c>
      <c r="CB463" s="25" t="s">
        <v>142</v>
      </c>
      <c r="CC463" s="14">
        <v>2</v>
      </c>
      <c r="CD463" s="14">
        <f t="shared" si="837"/>
        <v>19</v>
      </c>
      <c r="CE463" s="14" t="s">
        <v>21</v>
      </c>
      <c r="CF463" s="14">
        <f>INDEX(属性投放!$AZ$6:$AZ$85,(BY463-2)*20+CD463)</f>
        <v>16965</v>
      </c>
      <c r="CG463" s="14" t="s">
        <v>22</v>
      </c>
      <c r="CH463" s="14">
        <f>INDEX(属性投放!$BA$6:$BA$85,(BY463-2)*20+CD463)</f>
        <v>8450</v>
      </c>
      <c r="CI463" s="14" t="s">
        <v>510</v>
      </c>
      <c r="CJ463" s="14">
        <f>INDEX(属性投放!$BB$6:$BB$85,(BY463-2)*20+CD463)</f>
        <v>161458</v>
      </c>
      <c r="CK463" s="14" t="s">
        <v>21</v>
      </c>
      <c r="CL463" s="14">
        <f>INDEX(属性投放!$BC$6:$BC$85,(BY463-2)*20+CD463)</f>
        <v>25</v>
      </c>
      <c r="CM463" s="14" t="s">
        <v>22</v>
      </c>
      <c r="CN463" s="14">
        <f>INDEX(属性投放!$BD$6:$BD$85,(BY463-2)*20+CD463)</f>
        <v>13</v>
      </c>
      <c r="CO463" s="14" t="s">
        <v>510</v>
      </c>
      <c r="CP463" s="14">
        <f>INDEX(属性投放!$BE$6:$BE$85,(BY463-2)*20+CD463)</f>
        <v>250</v>
      </c>
      <c r="CS463" s="13">
        <v>459</v>
      </c>
      <c r="CT463" s="13">
        <f t="shared" si="842"/>
        <v>9</v>
      </c>
      <c r="CU463" s="13">
        <f t="shared" si="843"/>
        <v>43</v>
      </c>
      <c r="CV463" s="14">
        <f t="shared" si="844"/>
        <v>3</v>
      </c>
      <c r="CW463" s="14">
        <f t="shared" si="845"/>
        <v>1102009</v>
      </c>
      <c r="CX463" s="14" t="str">
        <f>INDEX($O$6:$O$50,CT463)&amp;"-"&amp;INDEX(属性投放!$AB$7:$AB$50,CZ463)&amp;"-魂火-"&amp;DB463</f>
        <v>徐晃-大焦热+2-魂火-1</v>
      </c>
      <c r="CY463" s="25" t="s">
        <v>142</v>
      </c>
      <c r="CZ463" s="14">
        <f>INDEX(属性投放!$AM$7:$AM$58,CU463)</f>
        <v>18</v>
      </c>
      <c r="DA463" s="14" t="s">
        <v>537</v>
      </c>
      <c r="DB463" s="14">
        <f>INDEX(属性投放!$AN$7:$AN$58,CU463)</f>
        <v>1</v>
      </c>
      <c r="DC463" s="14">
        <f t="shared" si="838"/>
        <v>43</v>
      </c>
      <c r="DD463" s="14">
        <f>INDEX(属性投放!$AO$7:$AO$58,DC463)</f>
        <v>125</v>
      </c>
      <c r="DE463" s="14" t="s">
        <v>538</v>
      </c>
      <c r="DF463" s="14">
        <f>INDEX(属性投放!$BK$6:$BK$85,(CV463-2)*20+CZ463)</f>
        <v>700</v>
      </c>
      <c r="DG463" s="14">
        <f>SUMIFS(DF$5:DF463,$CT$5:$CT463,"="&amp;$CT463)</f>
        <v>9270</v>
      </c>
      <c r="DH463" s="14" t="s">
        <v>539</v>
      </c>
      <c r="DI463" s="14">
        <f>INDEX(属性投放!$BL$6:$BL$85,(CV463-2)*20+CZ463)</f>
        <v>350</v>
      </c>
      <c r="DJ463" s="14">
        <f>SUMIFS(DI$5:DI463,$CT$5:$CT463,"="&amp;$CT463)</f>
        <v>4638</v>
      </c>
      <c r="DK463" s="14" t="s">
        <v>540</v>
      </c>
      <c r="DL463" s="14">
        <f>INDEX(属性投放!$BM$6:$BM$85,(CV463-2)*20+CZ463)</f>
        <v>7000</v>
      </c>
      <c r="DM463" s="14">
        <f>SUMIFS(DL$5:DL463,$CT$5:$CT463,"="&amp;$CT463)</f>
        <v>88740</v>
      </c>
      <c r="DR463" s="14">
        <f t="shared" si="849"/>
        <v>1102023</v>
      </c>
      <c r="DS463" s="14" t="str">
        <f t="shared" si="850"/>
        <v>异邦刀客19突</v>
      </c>
      <c r="DT463" s="14">
        <f t="shared" si="846"/>
        <v>4</v>
      </c>
      <c r="DU463" s="14">
        <f t="shared" si="847"/>
        <v>3</v>
      </c>
      <c r="DV463" s="14">
        <f t="shared" si="848"/>
        <v>3</v>
      </c>
      <c r="DW463" s="14">
        <f t="shared" si="851"/>
        <v>2</v>
      </c>
      <c r="DX463" s="14">
        <f t="shared" si="852"/>
        <v>19</v>
      </c>
      <c r="DY463" s="14">
        <f t="shared" si="853"/>
        <v>19</v>
      </c>
      <c r="DZ463" s="14">
        <f>INDEX(属性投放!$AX$6:$AX$85,(卡牌属性!DW463-2)*20+卡牌属性!DX463)</f>
        <v>8</v>
      </c>
      <c r="EA463" s="14">
        <f>INDEX(属性投放!BQ$6:BQ$85,卡牌属性!$DY463)</f>
        <v>1400</v>
      </c>
      <c r="EB463" s="14">
        <f>INDEX(属性投放!BR$6:BR$85,卡牌属性!$DY463)</f>
        <v>700</v>
      </c>
      <c r="EC463" s="14">
        <f>INDEX(属性投放!BS$6:BS$85,卡牌属性!$DY463)</f>
        <v>14000</v>
      </c>
      <c r="ED463" s="14">
        <f t="shared" si="819"/>
        <v>7840</v>
      </c>
      <c r="EE463" s="14">
        <f t="shared" si="820"/>
        <v>8346</v>
      </c>
      <c r="EF463" s="14">
        <f t="shared" si="821"/>
        <v>8614</v>
      </c>
      <c r="EG463" s="14">
        <f t="shared" si="822"/>
        <v>8614</v>
      </c>
      <c r="EH463" s="14">
        <f t="shared" si="823"/>
        <v>9873</v>
      </c>
      <c r="EI463" s="14">
        <f t="shared" si="824"/>
        <v>3674</v>
      </c>
      <c r="EJ463" s="14">
        <f t="shared" si="825"/>
        <v>3900</v>
      </c>
      <c r="EK463" s="14">
        <f t="shared" si="826"/>
        <v>3900</v>
      </c>
      <c r="EL463" s="14">
        <f t="shared" si="827"/>
        <v>4149</v>
      </c>
      <c r="EM463" s="14">
        <f t="shared" si="828"/>
        <v>4293</v>
      </c>
      <c r="EN463" s="14">
        <f t="shared" si="829"/>
        <v>69038</v>
      </c>
      <c r="EO463" s="14">
        <f t="shared" si="830"/>
        <v>72842</v>
      </c>
      <c r="EP463" s="14">
        <f t="shared" si="831"/>
        <v>72842</v>
      </c>
      <c r="EQ463" s="14">
        <f t="shared" si="832"/>
        <v>77210</v>
      </c>
      <c r="ER463" s="14">
        <f t="shared" si="833"/>
        <v>79474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INDEX(属性投放!$BQ$6:$BQ$85,(卡牌属性!$DW463-2)*20+卡牌属性!$DX463)</f>
        <v>1400</v>
      </c>
      <c r="FI463" s="14">
        <f>INDEX(属性投放!$BQ$6:$BQ$85,(卡牌属性!$DW463-2)*20+卡牌属性!$DX463)</f>
        <v>1400</v>
      </c>
      <c r="FJ463" s="14">
        <f>INDEX(属性投放!$BQ$6:$BQ$85,(卡牌属性!$DW463-2)*20+卡牌属性!$DX463)</f>
        <v>1400</v>
      </c>
      <c r="FK463" s="14">
        <f>INDEX(属性投放!$BQ$6:$BQ$85,(卡牌属性!$DW463-2)*20+卡牌属性!$DX463)</f>
        <v>1400</v>
      </c>
      <c r="FL463" s="14">
        <f>INDEX(属性投放!$BQ$6:$BQ$85,(卡牌属性!$DW463-2)*20+卡牌属性!$DX463)</f>
        <v>1400</v>
      </c>
      <c r="FM463" s="14">
        <f>INDEX(属性投放!$BR$6:$BR$85,(卡牌属性!$DW463-2)*20+卡牌属性!$DX463)</f>
        <v>700</v>
      </c>
      <c r="FN463" s="14">
        <f>INDEX(属性投放!$BR$6:$BR$85,(卡牌属性!$DW463-2)*20+卡牌属性!$DX463)</f>
        <v>700</v>
      </c>
      <c r="FO463" s="14">
        <f>INDEX(属性投放!$BR$6:$BR$85,(卡牌属性!$DW463-2)*20+卡牌属性!$DX463)</f>
        <v>700</v>
      </c>
      <c r="FP463" s="14">
        <f>INDEX(属性投放!$BR$6:$BR$85,(卡牌属性!$DW463-2)*20+卡牌属性!$DX463)</f>
        <v>700</v>
      </c>
      <c r="FQ463" s="14">
        <f>INDEX(属性投放!$BR$6:$BR$85,(卡牌属性!$DW463-2)*20+卡牌属性!$DX463)</f>
        <v>700</v>
      </c>
      <c r="FR463" s="14">
        <f>INDEX(属性投放!$BS$6:$BS$85,(卡牌属性!$DW463-2)*20+卡牌属性!$DX463)</f>
        <v>14000</v>
      </c>
      <c r="FS463" s="14">
        <f>INDEX(属性投放!$BS$6:$BS$85,(卡牌属性!$DW463-2)*20+卡牌属性!$DX463)</f>
        <v>14000</v>
      </c>
      <c r="FT463" s="14">
        <f>INDEX(属性投放!$BS$6:$BS$85,(卡牌属性!$DW463-2)*20+卡牌属性!$DX463)</f>
        <v>14000</v>
      </c>
      <c r="FU463" s="14">
        <f>INDEX(属性投放!$BS$6:$BS$85,(卡牌属性!$DW463-2)*20+卡牌属性!$DX463)</f>
        <v>14000</v>
      </c>
      <c r="FV463" s="14">
        <f>INDEX(属性投放!$BS$6:$BS$85,(卡牌属性!$DW463-2)*20+卡牌属性!$DX463)</f>
        <v>14000</v>
      </c>
    </row>
    <row r="464" spans="31:178" ht="16.5" x14ac:dyDescent="0.2">
      <c r="AE464" s="13">
        <v>460</v>
      </c>
      <c r="AF464" s="13">
        <f t="shared" si="839"/>
        <v>23</v>
      </c>
      <c r="AG464" s="13">
        <f t="shared" si="834"/>
        <v>4</v>
      </c>
      <c r="AH464" s="13"/>
      <c r="AI464" s="13"/>
      <c r="AJ464" s="14">
        <f t="shared" si="805"/>
        <v>1101043</v>
      </c>
      <c r="AK464" s="14" t="str">
        <f t="shared" si="806"/>
        <v>少年曹玄亮20突</v>
      </c>
      <c r="AL464" s="25" t="s">
        <v>142</v>
      </c>
      <c r="AM464" s="14">
        <v>1</v>
      </c>
      <c r="AN464" s="14">
        <f t="shared" si="807"/>
        <v>20</v>
      </c>
      <c r="AO464" s="14">
        <f>INDEX(属性投放!$DF$6:$DF$85,(卡牌属性!AG464-2)*20+卡牌属性!AN464)</f>
        <v>25104</v>
      </c>
      <c r="AP464" s="14">
        <f t="shared" si="813"/>
        <v>25104</v>
      </c>
      <c r="AQ464" s="14">
        <f t="shared" si="813"/>
        <v>25104</v>
      </c>
      <c r="AR464" s="14">
        <f t="shared" si="813"/>
        <v>25104</v>
      </c>
      <c r="AS464" s="14">
        <f t="shared" si="813"/>
        <v>25104</v>
      </c>
      <c r="AT464" s="14">
        <f>INDEX(属性投放!$DG$6:$DG$85,(卡牌属性!AG464-2)*20+卡牌属性!AN464)</f>
        <v>12471</v>
      </c>
      <c r="AU464" s="14">
        <f t="shared" si="814"/>
        <v>12471</v>
      </c>
      <c r="AV464" s="14">
        <f t="shared" si="814"/>
        <v>12471</v>
      </c>
      <c r="AW464" s="14">
        <f t="shared" si="814"/>
        <v>12471</v>
      </c>
      <c r="AX464" s="14">
        <f t="shared" si="814"/>
        <v>12471</v>
      </c>
      <c r="AY464" s="14">
        <f>INDEX(属性投放!$DH$6:$DH$85,(卡牌属性!AG464-2)*20+卡牌属性!AN464)</f>
        <v>237353</v>
      </c>
      <c r="AZ464" s="14">
        <f t="shared" si="815"/>
        <v>237353</v>
      </c>
      <c r="BA464" s="14">
        <f t="shared" si="815"/>
        <v>237353</v>
      </c>
      <c r="BB464" s="14">
        <f t="shared" si="815"/>
        <v>237353</v>
      </c>
      <c r="BC464" s="14">
        <f t="shared" si="815"/>
        <v>237353</v>
      </c>
      <c r="BD464" s="14">
        <f>INDEX(属性投放!$DL$6:$DL$85,(卡牌属性!AG464-2)*20+卡牌属性!AN464)</f>
        <v>516</v>
      </c>
      <c r="BE464" s="14">
        <f t="shared" si="816"/>
        <v>516</v>
      </c>
      <c r="BF464" s="14">
        <f t="shared" si="816"/>
        <v>516</v>
      </c>
      <c r="BG464" s="14">
        <f t="shared" si="816"/>
        <v>516</v>
      </c>
      <c r="BH464" s="14">
        <f t="shared" si="816"/>
        <v>516</v>
      </c>
      <c r="BI464" s="14">
        <f>INDEX(属性投放!$DM$6:$DM$85,(卡牌属性!AG464-2)*20+卡牌属性!AN464)</f>
        <v>258</v>
      </c>
      <c r="BJ464" s="14">
        <f t="shared" si="817"/>
        <v>258</v>
      </c>
      <c r="BK464" s="14">
        <f t="shared" si="817"/>
        <v>258</v>
      </c>
      <c r="BL464" s="14">
        <f t="shared" si="817"/>
        <v>258</v>
      </c>
      <c r="BM464" s="14">
        <f t="shared" si="817"/>
        <v>258</v>
      </c>
      <c r="BN464" s="14">
        <f>INDEX(属性投放!$DN$6:$DN$85,(卡牌属性!AG464-2)*20+卡牌属性!AN464)</f>
        <v>5157</v>
      </c>
      <c r="BO464" s="14">
        <f t="shared" si="818"/>
        <v>5157</v>
      </c>
      <c r="BP464" s="14">
        <f t="shared" si="818"/>
        <v>5157</v>
      </c>
      <c r="BQ464" s="14">
        <f t="shared" si="818"/>
        <v>5157</v>
      </c>
      <c r="BR464" s="14">
        <f t="shared" si="818"/>
        <v>5157</v>
      </c>
      <c r="BW464" s="13">
        <v>460</v>
      </c>
      <c r="BX464" s="13">
        <f t="shared" si="835"/>
        <v>23</v>
      </c>
      <c r="BY464" s="14">
        <f t="shared" si="836"/>
        <v>2</v>
      </c>
      <c r="BZ464" s="14">
        <f t="shared" si="840"/>
        <v>1102023</v>
      </c>
      <c r="CA464" s="14" t="str">
        <f t="shared" si="841"/>
        <v>异邦刀客20突</v>
      </c>
      <c r="CB464" s="25" t="s">
        <v>142</v>
      </c>
      <c r="CC464" s="14">
        <v>2</v>
      </c>
      <c r="CD464" s="14">
        <f t="shared" si="837"/>
        <v>20</v>
      </c>
      <c r="CE464" s="14" t="s">
        <v>21</v>
      </c>
      <c r="CF464" s="14">
        <f>INDEX(属性投放!$AZ$6:$AZ$85,(BY464-2)*20+CD464)</f>
        <v>21115</v>
      </c>
      <c r="CG464" s="14" t="s">
        <v>22</v>
      </c>
      <c r="CH464" s="14">
        <f>INDEX(属性投放!$BA$6:$BA$85,(BY464-2)*20+CD464)</f>
        <v>10529</v>
      </c>
      <c r="CI464" s="14" t="s">
        <v>510</v>
      </c>
      <c r="CJ464" s="14">
        <f>INDEX(属性投放!$BB$6:$BB$85,(BY464-2)*20+CD464)</f>
        <v>202958</v>
      </c>
      <c r="CK464" s="14" t="s">
        <v>21</v>
      </c>
      <c r="CL464" s="14">
        <f>INDEX(属性投放!$BC$6:$BC$85,(BY464-2)*20+CD464)</f>
        <v>25</v>
      </c>
      <c r="CM464" s="14" t="s">
        <v>22</v>
      </c>
      <c r="CN464" s="14">
        <f>INDEX(属性投放!$BD$6:$BD$85,(BY464-2)*20+CD464)</f>
        <v>13</v>
      </c>
      <c r="CO464" s="14" t="s">
        <v>510</v>
      </c>
      <c r="CP464" s="14">
        <f>INDEX(属性投放!$BE$6:$BE$85,(BY464-2)*20+CD464)</f>
        <v>250</v>
      </c>
      <c r="CS464" s="13">
        <v>460</v>
      </c>
      <c r="CT464" s="13">
        <f t="shared" si="842"/>
        <v>9</v>
      </c>
      <c r="CU464" s="13">
        <f t="shared" si="843"/>
        <v>44</v>
      </c>
      <c r="CV464" s="14">
        <f t="shared" si="844"/>
        <v>3</v>
      </c>
      <c r="CW464" s="14">
        <f t="shared" si="845"/>
        <v>1102009</v>
      </c>
      <c r="CX464" s="14" t="str">
        <f>INDEX($O$6:$O$50,CT464)&amp;"-"&amp;INDEX(属性投放!$AB$7:$AB$50,CZ464)&amp;"-魂火-"&amp;DB464</f>
        <v>徐晃-大焦热+2-魂火-2</v>
      </c>
      <c r="CY464" s="25" t="s">
        <v>142</v>
      </c>
      <c r="CZ464" s="14">
        <f>INDEX(属性投放!$AM$7:$AM$58,CU464)</f>
        <v>18</v>
      </c>
      <c r="DA464" s="14" t="s">
        <v>537</v>
      </c>
      <c r="DB464" s="14">
        <f>INDEX(属性投放!$AN$7:$AN$58,CU464)</f>
        <v>2</v>
      </c>
      <c r="DC464" s="14">
        <f t="shared" si="838"/>
        <v>44</v>
      </c>
      <c r="DD464" s="14">
        <f>INDEX(属性投放!$AO$7:$AO$58,DC464)</f>
        <v>128</v>
      </c>
      <c r="DE464" s="14" t="s">
        <v>538</v>
      </c>
      <c r="DF464" s="14">
        <f>INDEX(属性投放!$BK$6:$BK$85,(CV464-2)*20+CZ464)</f>
        <v>700</v>
      </c>
      <c r="DG464" s="14">
        <f>SUMIFS(DF$5:DF464,$CT$5:$CT464,"="&amp;$CT464)</f>
        <v>9970</v>
      </c>
      <c r="DH464" s="14" t="s">
        <v>539</v>
      </c>
      <c r="DI464" s="14">
        <f>INDEX(属性投放!$BL$6:$BL$85,(CV464-2)*20+CZ464)</f>
        <v>350</v>
      </c>
      <c r="DJ464" s="14">
        <f>SUMIFS(DI$5:DI464,$CT$5:$CT464,"="&amp;$CT464)</f>
        <v>4988</v>
      </c>
      <c r="DK464" s="14" t="s">
        <v>540</v>
      </c>
      <c r="DL464" s="14">
        <f>INDEX(属性投放!$BM$6:$BM$85,(CV464-2)*20+CZ464)</f>
        <v>7000</v>
      </c>
      <c r="DM464" s="14">
        <f>SUMIFS(DL$5:DL464,$CT$5:$CT464,"="&amp;$CT464)</f>
        <v>95740</v>
      </c>
      <c r="DR464" s="14">
        <f t="shared" si="849"/>
        <v>1102023</v>
      </c>
      <c r="DS464" s="14" t="str">
        <f t="shared" si="850"/>
        <v>异邦刀客20突</v>
      </c>
      <c r="DT464" s="14">
        <f t="shared" si="846"/>
        <v>4</v>
      </c>
      <c r="DU464" s="14">
        <f t="shared" si="847"/>
        <v>3</v>
      </c>
      <c r="DV464" s="14">
        <f t="shared" si="848"/>
        <v>3</v>
      </c>
      <c r="DW464" s="14">
        <f t="shared" si="851"/>
        <v>2</v>
      </c>
      <c r="DX464" s="14">
        <f t="shared" si="852"/>
        <v>20</v>
      </c>
      <c r="DY464" s="14">
        <f t="shared" si="853"/>
        <v>20</v>
      </c>
      <c r="DZ464" s="14">
        <f>INDEX(属性投放!$AX$6:$AX$85,(卡牌属性!DW464-2)*20+卡牌属性!DX464)</f>
        <v>10</v>
      </c>
      <c r="EA464" s="14">
        <f>INDEX(属性投放!BQ$6:BQ$85,卡牌属性!$DY464)</f>
        <v>1500</v>
      </c>
      <c r="EB464" s="14">
        <f>INDEX(属性投放!BR$6:BR$85,卡牌属性!$DY464)</f>
        <v>750</v>
      </c>
      <c r="EC464" s="14">
        <f>INDEX(属性投放!BS$6:BS$85,卡牌属性!$DY464)</f>
        <v>15000</v>
      </c>
      <c r="ED464" s="14">
        <f t="shared" si="819"/>
        <v>9480</v>
      </c>
      <c r="EE464" s="14">
        <f t="shared" si="820"/>
        <v>10066</v>
      </c>
      <c r="EF464" s="14">
        <f t="shared" si="821"/>
        <v>10374</v>
      </c>
      <c r="EG464" s="14">
        <f t="shared" si="822"/>
        <v>10374</v>
      </c>
      <c r="EH464" s="14">
        <f t="shared" si="823"/>
        <v>11873</v>
      </c>
      <c r="EI464" s="14">
        <f t="shared" si="824"/>
        <v>4478</v>
      </c>
      <c r="EJ464" s="14">
        <f t="shared" si="825"/>
        <v>4720</v>
      </c>
      <c r="EK464" s="14">
        <f t="shared" si="826"/>
        <v>4720</v>
      </c>
      <c r="EL464" s="14">
        <f t="shared" si="827"/>
        <v>5009</v>
      </c>
      <c r="EM464" s="14">
        <f t="shared" si="828"/>
        <v>5177</v>
      </c>
      <c r="EN464" s="14">
        <f t="shared" si="829"/>
        <v>85038</v>
      </c>
      <c r="EO464" s="14">
        <f t="shared" si="830"/>
        <v>89242</v>
      </c>
      <c r="EP464" s="14">
        <f t="shared" si="831"/>
        <v>89242</v>
      </c>
      <c r="EQ464" s="14">
        <f t="shared" si="832"/>
        <v>94410</v>
      </c>
      <c r="ER464" s="14">
        <f t="shared" si="833"/>
        <v>97074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INDEX(属性投放!$BQ$6:$BQ$85,(卡牌属性!$DW464-2)*20+卡牌属性!$DX464)</f>
        <v>1500</v>
      </c>
      <c r="FI464" s="14">
        <f>INDEX(属性投放!$BQ$6:$BQ$85,(卡牌属性!$DW464-2)*20+卡牌属性!$DX464)</f>
        <v>1500</v>
      </c>
      <c r="FJ464" s="14">
        <f>INDEX(属性投放!$BQ$6:$BQ$85,(卡牌属性!$DW464-2)*20+卡牌属性!$DX464)</f>
        <v>1500</v>
      </c>
      <c r="FK464" s="14">
        <f>INDEX(属性投放!$BQ$6:$BQ$85,(卡牌属性!$DW464-2)*20+卡牌属性!$DX464)</f>
        <v>1500</v>
      </c>
      <c r="FL464" s="14">
        <f>INDEX(属性投放!$BQ$6:$BQ$85,(卡牌属性!$DW464-2)*20+卡牌属性!$DX464)</f>
        <v>1500</v>
      </c>
      <c r="FM464" s="14">
        <f>INDEX(属性投放!$BR$6:$BR$85,(卡牌属性!$DW464-2)*20+卡牌属性!$DX464)</f>
        <v>750</v>
      </c>
      <c r="FN464" s="14">
        <f>INDEX(属性投放!$BR$6:$BR$85,(卡牌属性!$DW464-2)*20+卡牌属性!$DX464)</f>
        <v>750</v>
      </c>
      <c r="FO464" s="14">
        <f>INDEX(属性投放!$BR$6:$BR$85,(卡牌属性!$DW464-2)*20+卡牌属性!$DX464)</f>
        <v>750</v>
      </c>
      <c r="FP464" s="14">
        <f>INDEX(属性投放!$BR$6:$BR$85,(卡牌属性!$DW464-2)*20+卡牌属性!$DX464)</f>
        <v>750</v>
      </c>
      <c r="FQ464" s="14">
        <f>INDEX(属性投放!$BR$6:$BR$85,(卡牌属性!$DW464-2)*20+卡牌属性!$DX464)</f>
        <v>750</v>
      </c>
      <c r="FR464" s="14">
        <f>INDEX(属性投放!$BS$6:$BS$85,(卡牌属性!$DW464-2)*20+卡牌属性!$DX464)</f>
        <v>15000</v>
      </c>
      <c r="FS464" s="14">
        <f>INDEX(属性投放!$BS$6:$BS$85,(卡牌属性!$DW464-2)*20+卡牌属性!$DX464)</f>
        <v>15000</v>
      </c>
      <c r="FT464" s="14">
        <f>INDEX(属性投放!$BS$6:$BS$85,(卡牌属性!$DW464-2)*20+卡牌属性!$DX464)</f>
        <v>15000</v>
      </c>
      <c r="FU464" s="14">
        <f>INDEX(属性投放!$BS$6:$BS$85,(卡牌属性!$DW464-2)*20+卡牌属性!$DX464)</f>
        <v>15000</v>
      </c>
      <c r="FV464" s="14">
        <f>INDEX(属性投放!$BS$6:$BS$85,(卡牌属性!$DW464-2)*20+卡牌属性!$DX464)</f>
        <v>15000</v>
      </c>
    </row>
    <row r="465" spans="31:178" ht="16.5" x14ac:dyDescent="0.2">
      <c r="AE465" s="13">
        <v>461</v>
      </c>
      <c r="AF465" s="13">
        <f t="shared" ref="AF465:AF520" si="854">MATCH(AE465-1,$F$5:$F$42,1)</f>
        <v>24</v>
      </c>
      <c r="AG465" s="13">
        <f t="shared" ref="AG465:AG520" si="855">INDEX($D$6:$D$43,AF465)</f>
        <v>2</v>
      </c>
      <c r="AH465" s="13"/>
      <c r="AI465" s="13"/>
      <c r="AJ465" s="14">
        <f t="shared" ref="AJ465:AJ520" si="856">INDEX($A$5:$A$43,AF465+1)</f>
        <v>1101999</v>
      </c>
      <c r="AK465" s="14" t="str">
        <f t="shared" ref="AK465:AK520" si="857">INDEX($B$5:$B$43,MATCH(AJ465,$A$5:$A$43,0))&amp;AN465&amp;"突"</f>
        <v>R寄灵人1突</v>
      </c>
      <c r="AL465" s="25" t="s">
        <v>142</v>
      </c>
      <c r="AM465" s="14">
        <v>1</v>
      </c>
      <c r="AN465" s="14">
        <f t="shared" ref="AN465:AN520" si="858">AE465-INDEX($F$5:$F$43,AF465)</f>
        <v>1</v>
      </c>
      <c r="AO465" s="14">
        <f>INDEX(属性投放!$DF$6:$DF$85,(卡牌属性!AG465-2)*20+卡牌属性!AN465)</f>
        <v>100</v>
      </c>
      <c r="AP465" s="14">
        <f t="shared" si="813"/>
        <v>100</v>
      </c>
      <c r="AQ465" s="14">
        <f t="shared" si="813"/>
        <v>100</v>
      </c>
      <c r="AR465" s="14">
        <f t="shared" si="813"/>
        <v>100</v>
      </c>
      <c r="AS465" s="14">
        <f t="shared" si="813"/>
        <v>100</v>
      </c>
      <c r="AT465" s="14">
        <f>INDEX(属性投放!$DG$6:$DG$85,(卡牌属性!AG465-2)*20+卡牌属性!AN465)</f>
        <v>0</v>
      </c>
      <c r="AU465" s="14">
        <f t="shared" si="814"/>
        <v>0</v>
      </c>
      <c r="AV465" s="14">
        <f t="shared" si="814"/>
        <v>0</v>
      </c>
      <c r="AW465" s="14">
        <f t="shared" si="814"/>
        <v>0</v>
      </c>
      <c r="AX465" s="14">
        <f t="shared" si="814"/>
        <v>0</v>
      </c>
      <c r="AY465" s="14">
        <f>INDEX(属性投放!$DH$6:$DH$85,(卡牌属性!AG465-2)*20+卡牌属性!AN465)</f>
        <v>250.00000000000003</v>
      </c>
      <c r="AZ465" s="14">
        <f t="shared" si="815"/>
        <v>250.00000000000003</v>
      </c>
      <c r="BA465" s="14">
        <f t="shared" si="815"/>
        <v>250.00000000000003</v>
      </c>
      <c r="BB465" s="14">
        <f t="shared" si="815"/>
        <v>250.00000000000003</v>
      </c>
      <c r="BC465" s="14">
        <f t="shared" si="815"/>
        <v>250.00000000000003</v>
      </c>
      <c r="BD465" s="14">
        <f>INDEX(属性投放!$DL$6:$DL$85,(卡牌属性!AG465-2)*20+卡牌属性!AN465)</f>
        <v>6</v>
      </c>
      <c r="BE465" s="14">
        <f t="shared" si="816"/>
        <v>6</v>
      </c>
      <c r="BF465" s="14">
        <f t="shared" si="816"/>
        <v>6</v>
      </c>
      <c r="BG465" s="14">
        <f t="shared" si="816"/>
        <v>6</v>
      </c>
      <c r="BH465" s="14">
        <f t="shared" si="816"/>
        <v>6</v>
      </c>
      <c r="BI465" s="14">
        <f>INDEX(属性投放!$DM$6:$DM$85,(卡牌属性!AG465-2)*20+卡牌属性!AN465)</f>
        <v>3</v>
      </c>
      <c r="BJ465" s="14">
        <f t="shared" si="817"/>
        <v>3</v>
      </c>
      <c r="BK465" s="14">
        <f t="shared" si="817"/>
        <v>3</v>
      </c>
      <c r="BL465" s="14">
        <f t="shared" si="817"/>
        <v>3</v>
      </c>
      <c r="BM465" s="14">
        <f t="shared" si="817"/>
        <v>3</v>
      </c>
      <c r="BN465" s="14">
        <f>INDEX(属性投放!$DN$6:$DN$85,(卡牌属性!AG465-2)*20+卡牌属性!AN465)</f>
        <v>36</v>
      </c>
      <c r="BO465" s="14">
        <f t="shared" si="818"/>
        <v>36</v>
      </c>
      <c r="BP465" s="14">
        <f t="shared" si="818"/>
        <v>36</v>
      </c>
      <c r="BQ465" s="14">
        <f t="shared" si="818"/>
        <v>36</v>
      </c>
      <c r="BR465" s="14">
        <f t="shared" si="818"/>
        <v>36</v>
      </c>
      <c r="BW465" s="13">
        <v>461</v>
      </c>
      <c r="BX465" s="13">
        <f t="shared" si="835"/>
        <v>24</v>
      </c>
      <c r="BY465" s="14">
        <f t="shared" si="836"/>
        <v>3</v>
      </c>
      <c r="BZ465" s="14">
        <f t="shared" si="840"/>
        <v>1102024</v>
      </c>
      <c r="CA465" s="14" t="str">
        <f t="shared" si="841"/>
        <v>朱仙1突</v>
      </c>
      <c r="CB465" s="25" t="s">
        <v>142</v>
      </c>
      <c r="CC465" s="14">
        <v>2</v>
      </c>
      <c r="CD465" s="14">
        <f t="shared" si="837"/>
        <v>1</v>
      </c>
      <c r="CE465" s="14" t="s">
        <v>21</v>
      </c>
      <c r="CF465" s="14">
        <f>INDEX(属性投放!$AZ$6:$AZ$85,(BY465-2)*20+CD465)</f>
        <v>150</v>
      </c>
      <c r="CG465" s="14" t="s">
        <v>22</v>
      </c>
      <c r="CH465" s="14">
        <f>INDEX(属性投放!$BA$6:$BA$85,(BY465-2)*20+CD465)</f>
        <v>10</v>
      </c>
      <c r="CI465" s="14" t="s">
        <v>510</v>
      </c>
      <c r="CJ465" s="14">
        <f>INDEX(属性投放!$BB$6:$BB$85,(BY465-2)*20+CD465)</f>
        <v>500</v>
      </c>
      <c r="CK465" s="14" t="s">
        <v>21</v>
      </c>
      <c r="CL465" s="14">
        <f>INDEX(属性投放!$BC$6:$BC$85,(BY465-2)*20+CD465)</f>
        <v>8</v>
      </c>
      <c r="CM465" s="14" t="s">
        <v>22</v>
      </c>
      <c r="CN465" s="14">
        <f>INDEX(属性投放!$BD$6:$BD$85,(BY465-2)*20+CD465)</f>
        <v>4</v>
      </c>
      <c r="CO465" s="14" t="s">
        <v>510</v>
      </c>
      <c r="CP465" s="14">
        <f>INDEX(属性投放!$BE$6:$BE$85,(BY465-2)*20+CD465)</f>
        <v>48</v>
      </c>
      <c r="CS465" s="13">
        <v>461</v>
      </c>
      <c r="CT465" s="13">
        <f t="shared" si="842"/>
        <v>9</v>
      </c>
      <c r="CU465" s="13">
        <f t="shared" si="843"/>
        <v>45</v>
      </c>
      <c r="CV465" s="14">
        <f t="shared" si="844"/>
        <v>3</v>
      </c>
      <c r="CW465" s="14">
        <f t="shared" si="845"/>
        <v>1102009</v>
      </c>
      <c r="CX465" s="14" t="str">
        <f>INDEX($O$6:$O$50,CT465)&amp;"-"&amp;INDEX(属性投放!$AB$7:$AB$50,CZ465)&amp;"-魂火-"&amp;DB465</f>
        <v>徐晃-大焦热+2-魂火-3</v>
      </c>
      <c r="CY465" s="25" t="s">
        <v>142</v>
      </c>
      <c r="CZ465" s="14">
        <f>INDEX(属性投放!$AM$7:$AM$58,CU465)</f>
        <v>18</v>
      </c>
      <c r="DA465" s="14" t="s">
        <v>537</v>
      </c>
      <c r="DB465" s="14">
        <f>INDEX(属性投放!$AN$7:$AN$58,CU465)</f>
        <v>3</v>
      </c>
      <c r="DC465" s="14">
        <f t="shared" si="838"/>
        <v>45</v>
      </c>
      <c r="DD465" s="14">
        <f>INDEX(属性投放!$AO$7:$AO$58,DC465)</f>
        <v>130</v>
      </c>
      <c r="DE465" s="14" t="s">
        <v>538</v>
      </c>
      <c r="DF465" s="14">
        <f>INDEX(属性投放!$BK$6:$BK$85,(CV465-2)*20+CZ465)</f>
        <v>700</v>
      </c>
      <c r="DG465" s="14">
        <f>SUMIFS(DF$5:DF465,$CT$5:$CT465,"="&amp;$CT465)</f>
        <v>10670</v>
      </c>
      <c r="DH465" s="14" t="s">
        <v>539</v>
      </c>
      <c r="DI465" s="14">
        <f>INDEX(属性投放!$BL$6:$BL$85,(CV465-2)*20+CZ465)</f>
        <v>350</v>
      </c>
      <c r="DJ465" s="14">
        <f>SUMIFS(DI$5:DI465,$CT$5:$CT465,"="&amp;$CT465)</f>
        <v>5338</v>
      </c>
      <c r="DK465" s="14" t="s">
        <v>540</v>
      </c>
      <c r="DL465" s="14">
        <f>INDEX(属性投放!$BM$6:$BM$85,(CV465-2)*20+CZ465)</f>
        <v>7000</v>
      </c>
      <c r="DM465" s="14">
        <f>SUMIFS(DL$5:DL465,$CT$5:$CT465,"="&amp;$CT465)</f>
        <v>102740</v>
      </c>
      <c r="DR465" s="14">
        <f t="shared" si="849"/>
        <v>1102024</v>
      </c>
      <c r="DS465" s="14" t="str">
        <f t="shared" si="850"/>
        <v>朱仙1突</v>
      </c>
      <c r="DT465" s="14">
        <f t="shared" si="846"/>
        <v>5</v>
      </c>
      <c r="DU465" s="14">
        <f t="shared" si="847"/>
        <v>5</v>
      </c>
      <c r="DV465" s="14">
        <f t="shared" si="848"/>
        <v>5</v>
      </c>
      <c r="DW465" s="14">
        <f t="shared" si="851"/>
        <v>3</v>
      </c>
      <c r="DX465" s="14">
        <f t="shared" si="852"/>
        <v>1</v>
      </c>
      <c r="DY465" s="14">
        <f t="shared" si="853"/>
        <v>21</v>
      </c>
      <c r="DZ465" s="14">
        <f>INDEX(属性投放!$AX$6:$AX$85,(卡牌属性!DW465-2)*20+卡牌属性!DX465)</f>
        <v>4</v>
      </c>
      <c r="EA465" s="14">
        <f>INDEX(属性投放!BQ$6:BQ$85,卡牌属性!$DY465)</f>
        <v>30</v>
      </c>
      <c r="EB465" s="14">
        <f>INDEX(属性投放!BR$6:BR$85,卡牌属性!$DY465)</f>
        <v>15</v>
      </c>
      <c r="EC465" s="14">
        <f>INDEX(属性投放!BS$6:BS$85,卡牌属性!$DY465)</f>
        <v>180</v>
      </c>
      <c r="ED465" s="14">
        <f>INDEX(属性偏向!$I$4:$I$15,卡牌属性!$DT465+ED$3)</f>
        <v>150</v>
      </c>
      <c r="EE465" s="14">
        <f>INDEX(属性偏向!$I$4:$I$15,卡牌属性!$DT465+EE$3)</f>
        <v>175</v>
      </c>
      <c r="EF465" s="14">
        <f>INDEX(属性偏向!$I$4:$I$15,卡牌属性!$DT465+EF$3)</f>
        <v>200</v>
      </c>
      <c r="EG465" s="14">
        <f>INDEX(属性偏向!$I$4:$I$15,卡牌属性!$DT465+EG$3)</f>
        <v>200</v>
      </c>
      <c r="EH465" s="14">
        <f>INDEX(属性偏向!$I$4:$I$15,卡牌属性!$DT465+EH$3)</f>
        <v>250</v>
      </c>
      <c r="EI465" s="14">
        <f>INDEX(属性偏向!$J$4:$J$15,卡牌属性!$DU465+EI$3)</f>
        <v>30</v>
      </c>
      <c r="EJ465" s="14">
        <f>INDEX(属性偏向!$J$4:$J$15,卡牌属性!$DU465+EJ$3)</f>
        <v>40</v>
      </c>
      <c r="EK465" s="14">
        <f>INDEX(属性偏向!$J$4:$J$15,卡牌属性!$DU465+EK$3)</f>
        <v>40</v>
      </c>
      <c r="EL465" s="14">
        <f>INDEX(属性偏向!$J$4:$J$15,卡牌属性!$DU465+EL$3)</f>
        <v>50</v>
      </c>
      <c r="EM465" s="14">
        <f>INDEX(属性偏向!$J$4:$J$15,卡牌属性!$DU465+EM$3)</f>
        <v>75</v>
      </c>
      <c r="EN465" s="14">
        <f>INDEX(属性偏向!$K$4:$K$15,卡牌属性!$DV465+EN$3)</f>
        <v>500</v>
      </c>
      <c r="EO465" s="14">
        <f>INDEX(属性偏向!$K$4:$K$15,卡牌属性!$DV465+EO$3)</f>
        <v>650</v>
      </c>
      <c r="EP465" s="14">
        <f>INDEX(属性偏向!$K$4:$K$15,卡牌属性!$DV465+EP$3)</f>
        <v>650</v>
      </c>
      <c r="EQ465" s="14">
        <f>INDEX(属性偏向!$K$4:$K$15,卡牌属性!$DV465+EQ$3)</f>
        <v>800</v>
      </c>
      <c r="ER465" s="14">
        <f>INDEX(属性偏向!$K$4:$K$15,卡牌属性!$DV465+ER$3)</f>
        <v>1000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48</v>
      </c>
      <c r="FD465" s="14">
        <f>INDEX(属性偏向!$U$4:$U$243,(卡牌属性!$DV465-1+FD$3)*20+卡牌属性!$DX465)</f>
        <v>60</v>
      </c>
      <c r="FE465" s="14">
        <f>INDEX(属性偏向!$U$4:$U$243,(卡牌属性!$DV465-1+FE$3)*20+卡牌属性!$DX465)</f>
        <v>60</v>
      </c>
      <c r="FF465" s="14">
        <f>INDEX(属性偏向!$U$4:$U$243,(卡牌属性!$DV465-1+FF$3)*20+卡牌属性!$DX465)</f>
        <v>72</v>
      </c>
      <c r="FG465" s="14">
        <f>INDEX(属性偏向!$U$4:$U$243,(卡牌属性!$DV465-1+FG$3)*20+卡牌属性!$DX465)</f>
        <v>78</v>
      </c>
      <c r="FH465" s="14">
        <f>INDEX(属性投放!$BQ$6:$BQ$85,(卡牌属性!$DW465-2)*20+卡牌属性!$DX465)</f>
        <v>30</v>
      </c>
      <c r="FI465" s="14">
        <f>INDEX(属性投放!$BQ$6:$BQ$85,(卡牌属性!$DW465-2)*20+卡牌属性!$DX465)</f>
        <v>30</v>
      </c>
      <c r="FJ465" s="14">
        <f>INDEX(属性投放!$BQ$6:$BQ$85,(卡牌属性!$DW465-2)*20+卡牌属性!$DX465)</f>
        <v>30</v>
      </c>
      <c r="FK465" s="14">
        <f>INDEX(属性投放!$BQ$6:$BQ$85,(卡牌属性!$DW465-2)*20+卡牌属性!$DX465)</f>
        <v>30</v>
      </c>
      <c r="FL465" s="14">
        <f>INDEX(属性投放!$BQ$6:$BQ$85,(卡牌属性!$DW465-2)*20+卡牌属性!$DX465)</f>
        <v>30</v>
      </c>
      <c r="FM465" s="14">
        <f>INDEX(属性投放!$BR$6:$BR$85,(卡牌属性!$DW465-2)*20+卡牌属性!$DX465)</f>
        <v>15</v>
      </c>
      <c r="FN465" s="14">
        <f>INDEX(属性投放!$BR$6:$BR$85,(卡牌属性!$DW465-2)*20+卡牌属性!$DX465)</f>
        <v>15</v>
      </c>
      <c r="FO465" s="14">
        <f>INDEX(属性投放!$BR$6:$BR$85,(卡牌属性!$DW465-2)*20+卡牌属性!$DX465)</f>
        <v>15</v>
      </c>
      <c r="FP465" s="14">
        <f>INDEX(属性投放!$BR$6:$BR$85,(卡牌属性!$DW465-2)*20+卡牌属性!$DX465)</f>
        <v>15</v>
      </c>
      <c r="FQ465" s="14">
        <f>INDEX(属性投放!$BR$6:$BR$85,(卡牌属性!$DW465-2)*20+卡牌属性!$DX465)</f>
        <v>15</v>
      </c>
      <c r="FR465" s="14">
        <f>INDEX(属性投放!$BS$6:$BS$85,(卡牌属性!$DW465-2)*20+卡牌属性!$DX465)</f>
        <v>180</v>
      </c>
      <c r="FS465" s="14">
        <f>INDEX(属性投放!$BS$6:$BS$85,(卡牌属性!$DW465-2)*20+卡牌属性!$DX465)</f>
        <v>180</v>
      </c>
      <c r="FT465" s="14">
        <f>INDEX(属性投放!$BS$6:$BS$85,(卡牌属性!$DW465-2)*20+卡牌属性!$DX465)</f>
        <v>180</v>
      </c>
      <c r="FU465" s="14">
        <f>INDEX(属性投放!$BS$6:$BS$85,(卡牌属性!$DW465-2)*20+卡牌属性!$DX465)</f>
        <v>180</v>
      </c>
      <c r="FV465" s="14">
        <f>INDEX(属性投放!$BS$6:$BS$85,(卡牌属性!$DW465-2)*20+卡牌属性!$DX465)</f>
        <v>180</v>
      </c>
    </row>
    <row r="466" spans="31:178" ht="16.5" x14ac:dyDescent="0.2">
      <c r="AE466" s="13">
        <v>462</v>
      </c>
      <c r="AF466" s="13">
        <f t="shared" si="854"/>
        <v>24</v>
      </c>
      <c r="AG466" s="13">
        <f t="shared" si="855"/>
        <v>2</v>
      </c>
      <c r="AH466" s="13"/>
      <c r="AI466" s="13"/>
      <c r="AJ466" s="14">
        <f t="shared" si="856"/>
        <v>1101999</v>
      </c>
      <c r="AK466" s="14" t="str">
        <f t="shared" si="857"/>
        <v>R寄灵人2突</v>
      </c>
      <c r="AL466" s="25" t="s">
        <v>142</v>
      </c>
      <c r="AM466" s="14">
        <v>1</v>
      </c>
      <c r="AN466" s="14">
        <f t="shared" si="858"/>
        <v>2</v>
      </c>
      <c r="AO466" s="14">
        <f>INDEX(属性投放!$DF$6:$DF$85,(卡牌属性!AG466-2)*20+卡牌属性!AN466)</f>
        <v>160</v>
      </c>
      <c r="AP466" s="14">
        <f t="shared" ref="AP466:AS521" si="859">$AO466</f>
        <v>160</v>
      </c>
      <c r="AQ466" s="14">
        <f t="shared" si="859"/>
        <v>160</v>
      </c>
      <c r="AR466" s="14">
        <f t="shared" si="859"/>
        <v>160</v>
      </c>
      <c r="AS466" s="14">
        <f t="shared" si="859"/>
        <v>160</v>
      </c>
      <c r="AT466" s="14">
        <f>INDEX(属性投放!$DG$6:$DG$85,(卡牌属性!AG466-2)*20+卡牌属性!AN466)</f>
        <v>30</v>
      </c>
      <c r="AU466" s="14">
        <f t="shared" ref="AU466:AX521" si="860">$AT466</f>
        <v>30</v>
      </c>
      <c r="AV466" s="14">
        <f t="shared" si="860"/>
        <v>30</v>
      </c>
      <c r="AW466" s="14">
        <f t="shared" si="860"/>
        <v>30</v>
      </c>
      <c r="AX466" s="14">
        <f t="shared" si="860"/>
        <v>30</v>
      </c>
      <c r="AY466" s="14">
        <f>INDEX(属性投放!$DH$6:$DH$85,(卡牌属性!AG466-2)*20+卡牌属性!AN466)</f>
        <v>610</v>
      </c>
      <c r="AZ466" s="14">
        <f t="shared" ref="AZ466:BC521" si="861">$AY466</f>
        <v>610</v>
      </c>
      <c r="BA466" s="14">
        <f t="shared" si="861"/>
        <v>610</v>
      </c>
      <c r="BB466" s="14">
        <f t="shared" si="861"/>
        <v>610</v>
      </c>
      <c r="BC466" s="14">
        <f t="shared" si="861"/>
        <v>610</v>
      </c>
      <c r="BD466" s="14">
        <f>INDEX(属性投放!$DL$6:$DL$85,(卡牌属性!AG466-2)*20+卡牌属性!AN466)</f>
        <v>12</v>
      </c>
      <c r="BE466" s="14">
        <f t="shared" ref="BE466:BH521" si="862">$BD466</f>
        <v>12</v>
      </c>
      <c r="BF466" s="14">
        <f t="shared" si="862"/>
        <v>12</v>
      </c>
      <c r="BG466" s="14">
        <f t="shared" si="862"/>
        <v>12</v>
      </c>
      <c r="BH466" s="14">
        <f t="shared" si="862"/>
        <v>12</v>
      </c>
      <c r="BI466" s="14">
        <f>INDEX(属性投放!$DM$6:$DM$85,(卡牌属性!AG466-2)*20+卡牌属性!AN466)</f>
        <v>6</v>
      </c>
      <c r="BJ466" s="14">
        <f t="shared" ref="BJ466:BM521" si="863">$BI466</f>
        <v>6</v>
      </c>
      <c r="BK466" s="14">
        <f t="shared" si="863"/>
        <v>6</v>
      </c>
      <c r="BL466" s="14">
        <f t="shared" si="863"/>
        <v>6</v>
      </c>
      <c r="BM466" s="14">
        <f t="shared" si="863"/>
        <v>6</v>
      </c>
      <c r="BN466" s="14">
        <f>INDEX(属性投放!$DN$6:$DN$85,(卡牌属性!AG466-2)*20+卡牌属性!AN466)</f>
        <v>70</v>
      </c>
      <c r="BO466" s="14">
        <f t="shared" ref="BO466:BR521" si="864">$BN466</f>
        <v>70</v>
      </c>
      <c r="BP466" s="14">
        <f t="shared" si="864"/>
        <v>70</v>
      </c>
      <c r="BQ466" s="14">
        <f t="shared" si="864"/>
        <v>70</v>
      </c>
      <c r="BR466" s="14">
        <f t="shared" si="864"/>
        <v>70</v>
      </c>
      <c r="BW466" s="13">
        <v>462</v>
      </c>
      <c r="BX466" s="13">
        <f t="shared" si="835"/>
        <v>24</v>
      </c>
      <c r="BY466" s="14">
        <f t="shared" si="836"/>
        <v>3</v>
      </c>
      <c r="BZ466" s="14">
        <f t="shared" si="840"/>
        <v>1102024</v>
      </c>
      <c r="CA466" s="14" t="str">
        <f t="shared" si="841"/>
        <v>朱仙2突</v>
      </c>
      <c r="CB466" s="25" t="s">
        <v>142</v>
      </c>
      <c r="CC466" s="14">
        <v>2</v>
      </c>
      <c r="CD466" s="14">
        <f t="shared" si="837"/>
        <v>2</v>
      </c>
      <c r="CE466" s="14" t="s">
        <v>21</v>
      </c>
      <c r="CF466" s="14">
        <f>INDEX(属性投放!$AZ$6:$AZ$85,(BY466-2)*20+CD466)</f>
        <v>232</v>
      </c>
      <c r="CG466" s="14" t="s">
        <v>22</v>
      </c>
      <c r="CH466" s="14">
        <f>INDEX(属性投放!$BA$6:$BA$85,(BY466-2)*20+CD466)</f>
        <v>51</v>
      </c>
      <c r="CI466" s="14" t="s">
        <v>510</v>
      </c>
      <c r="CJ466" s="14">
        <f>INDEX(属性投放!$BB$6:$BB$85,(BY466-2)*20+CD466)</f>
        <v>992</v>
      </c>
      <c r="CK466" s="14" t="s">
        <v>21</v>
      </c>
      <c r="CL466" s="14">
        <f>INDEX(属性投放!$BC$6:$BC$85,(BY466-2)*20+CD466)</f>
        <v>10</v>
      </c>
      <c r="CM466" s="14" t="s">
        <v>22</v>
      </c>
      <c r="CN466" s="14">
        <f>INDEX(属性投放!$BD$6:$BD$85,(BY466-2)*20+CD466)</f>
        <v>5</v>
      </c>
      <c r="CO466" s="14" t="s">
        <v>510</v>
      </c>
      <c r="CP466" s="14">
        <f>INDEX(属性投放!$BE$6:$BE$85,(BY466-2)*20+CD466)</f>
        <v>60</v>
      </c>
      <c r="CS466" s="13">
        <v>462</v>
      </c>
      <c r="CT466" s="13">
        <f t="shared" si="842"/>
        <v>9</v>
      </c>
      <c r="CU466" s="13">
        <f t="shared" si="843"/>
        <v>46</v>
      </c>
      <c r="CV466" s="14">
        <f t="shared" si="844"/>
        <v>3</v>
      </c>
      <c r="CW466" s="14">
        <f t="shared" si="845"/>
        <v>1102009</v>
      </c>
      <c r="CX466" s="14" t="str">
        <f>INDEX($O$6:$O$50,CT466)&amp;"-"&amp;INDEX(属性投放!$AB$7:$AB$50,CZ466)&amp;"-魂火-"&amp;DB466</f>
        <v>徐晃-无间-魂火-1</v>
      </c>
      <c r="CY466" s="25" t="s">
        <v>142</v>
      </c>
      <c r="CZ466" s="14">
        <f>INDEX(属性投放!$AM$7:$AM$58,CU466)</f>
        <v>19</v>
      </c>
      <c r="DA466" s="14" t="s">
        <v>537</v>
      </c>
      <c r="DB466" s="14">
        <f>INDEX(属性投放!$AN$7:$AN$58,CU466)</f>
        <v>1</v>
      </c>
      <c r="DC466" s="14">
        <f t="shared" si="838"/>
        <v>46</v>
      </c>
      <c r="DD466" s="14">
        <f>INDEX(属性投放!$AO$7:$AO$58,DC466)</f>
        <v>133</v>
      </c>
      <c r="DE466" s="14" t="s">
        <v>538</v>
      </c>
      <c r="DF466" s="14">
        <f>INDEX(属性投放!$BK$6:$BK$85,(CV466-2)*20+CZ466)</f>
        <v>900</v>
      </c>
      <c r="DG466" s="14">
        <f>SUMIFS(DF$5:DF466,$CT$5:$CT466,"="&amp;$CT466)</f>
        <v>11570</v>
      </c>
      <c r="DH466" s="14" t="s">
        <v>539</v>
      </c>
      <c r="DI466" s="14">
        <f>INDEX(属性投放!$BL$6:$BL$85,(CV466-2)*20+CZ466)</f>
        <v>450</v>
      </c>
      <c r="DJ466" s="14">
        <f>SUMIFS(DI$5:DI466,$CT$5:$CT466,"="&amp;$CT466)</f>
        <v>5788</v>
      </c>
      <c r="DK466" s="14" t="s">
        <v>540</v>
      </c>
      <c r="DL466" s="14">
        <f>INDEX(属性投放!$BM$6:$BM$85,(CV466-2)*20+CZ466)</f>
        <v>9000</v>
      </c>
      <c r="DM466" s="14">
        <f>SUMIFS(DL$5:DL466,$CT$5:$CT466,"="&amp;$CT466)</f>
        <v>111740</v>
      </c>
      <c r="DR466" s="14">
        <f t="shared" si="849"/>
        <v>1102024</v>
      </c>
      <c r="DS466" s="14" t="str">
        <f t="shared" si="850"/>
        <v>朱仙2突</v>
      </c>
      <c r="DT466" s="14">
        <f t="shared" si="846"/>
        <v>5</v>
      </c>
      <c r="DU466" s="14">
        <f t="shared" si="847"/>
        <v>5</v>
      </c>
      <c r="DV466" s="14">
        <f t="shared" si="848"/>
        <v>5</v>
      </c>
      <c r="DW466" s="14">
        <f t="shared" si="851"/>
        <v>3</v>
      </c>
      <c r="DX466" s="14">
        <f t="shared" si="852"/>
        <v>2</v>
      </c>
      <c r="DY466" s="14">
        <f t="shared" si="853"/>
        <v>22</v>
      </c>
      <c r="DZ466" s="14">
        <f>INDEX(属性投放!$AX$6:$AX$85,(卡牌属性!DW466-2)*20+卡牌属性!DX466)</f>
        <v>10</v>
      </c>
      <c r="EA466" s="14">
        <f>INDEX(属性投放!BQ$6:BQ$85,卡牌属性!$DY466)</f>
        <v>40</v>
      </c>
      <c r="EB466" s="14">
        <f>INDEX(属性投放!BR$6:BR$85,卡牌属性!$DY466)</f>
        <v>20</v>
      </c>
      <c r="EC466" s="14">
        <f>INDEX(属性投放!BS$6:BS$85,卡牌属性!$DY466)</f>
        <v>240</v>
      </c>
      <c r="ED466" s="14">
        <f t="shared" ref="ED466:ED484" si="865">ED465+$EA465+ES465*$DZ465</f>
        <v>212</v>
      </c>
      <c r="EE466" s="14">
        <f t="shared" ref="EE466:EE484" si="866">EE465+$EA465+ET465*$DZ465</f>
        <v>245</v>
      </c>
      <c r="EF466" s="14">
        <f t="shared" ref="EF466:EF484" si="867">EF465+$EA465+EU465*$DZ465</f>
        <v>278</v>
      </c>
      <c r="EG466" s="14">
        <f t="shared" ref="EG466:EG484" si="868">EG465+$EA465+EV465*$DZ465</f>
        <v>278</v>
      </c>
      <c r="EH466" s="14">
        <f t="shared" ref="EH466:EH484" si="869">EH465+$EA465+EW465*$DZ465</f>
        <v>332</v>
      </c>
      <c r="EI466" s="14">
        <f t="shared" ref="EI466:EI484" si="870">EI465+$EB465+EX465*$DZ465</f>
        <v>61</v>
      </c>
      <c r="EJ466" s="14">
        <f t="shared" ref="EJ466:EJ484" si="871">EJ465+$EB465+EY465*$DZ465</f>
        <v>75</v>
      </c>
      <c r="EK466" s="14">
        <f t="shared" ref="EK466:EK484" si="872">EK465+$EB465+EZ465*$DZ465</f>
        <v>75</v>
      </c>
      <c r="EL466" s="14">
        <f t="shared" ref="EL466:EL484" si="873">EL465+$EB465+FA465*$DZ465</f>
        <v>89</v>
      </c>
      <c r="EM466" s="14">
        <f t="shared" ref="EM466:EM484" si="874">EM465+$EB465+FB465*$DZ465</f>
        <v>118</v>
      </c>
      <c r="EN466" s="14">
        <f t="shared" ref="EN466:EN484" si="875">EN465+$EC465+FC465*$DZ465</f>
        <v>872</v>
      </c>
      <c r="EO466" s="14">
        <f t="shared" ref="EO466:EO484" si="876">EO465+$EC465+FD465*$DZ465</f>
        <v>1070</v>
      </c>
      <c r="EP466" s="14">
        <f t="shared" ref="EP466:EP484" si="877">EP465+$EC465+FE465*$DZ465</f>
        <v>1070</v>
      </c>
      <c r="EQ466" s="14">
        <f t="shared" ref="EQ466:EQ484" si="878">EQ465+$EC465+FF465*$DZ465</f>
        <v>1268</v>
      </c>
      <c r="ER466" s="14">
        <f t="shared" ref="ER466:ER484" si="879">ER465+$EC465+FG465*$DZ465</f>
        <v>1492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60</v>
      </c>
      <c r="FD466" s="14">
        <f>INDEX(属性偏向!$U$4:$U$243,(卡牌属性!$DV466-1+FD$3)*20+卡牌属性!$DX466)</f>
        <v>72</v>
      </c>
      <c r="FE466" s="14">
        <f>INDEX(属性偏向!$U$4:$U$243,(卡牌属性!$DV466-1+FE$3)*20+卡牌属性!$DX466)</f>
        <v>72</v>
      </c>
      <c r="FF466" s="14">
        <f>INDEX(属性偏向!$U$4:$U$243,(卡牌属性!$DV466-1+FF$3)*20+卡牌属性!$DX466)</f>
        <v>90</v>
      </c>
      <c r="FG466" s="14">
        <f>INDEX(属性偏向!$U$4:$U$243,(卡牌属性!$DV466-1+FG$3)*20+卡牌属性!$DX466)</f>
        <v>102</v>
      </c>
      <c r="FH466" s="14">
        <f>INDEX(属性投放!$BQ$6:$BQ$85,(卡牌属性!$DW466-2)*20+卡牌属性!$DX466)</f>
        <v>40</v>
      </c>
      <c r="FI466" s="14">
        <f>INDEX(属性投放!$BQ$6:$BQ$85,(卡牌属性!$DW466-2)*20+卡牌属性!$DX466)</f>
        <v>40</v>
      </c>
      <c r="FJ466" s="14">
        <f>INDEX(属性投放!$BQ$6:$BQ$85,(卡牌属性!$DW466-2)*20+卡牌属性!$DX466)</f>
        <v>40</v>
      </c>
      <c r="FK466" s="14">
        <f>INDEX(属性投放!$BQ$6:$BQ$85,(卡牌属性!$DW466-2)*20+卡牌属性!$DX466)</f>
        <v>40</v>
      </c>
      <c r="FL466" s="14">
        <f>INDEX(属性投放!$BQ$6:$BQ$85,(卡牌属性!$DW466-2)*20+卡牌属性!$DX466)</f>
        <v>40</v>
      </c>
      <c r="FM466" s="14">
        <f>INDEX(属性投放!$BR$6:$BR$85,(卡牌属性!$DW466-2)*20+卡牌属性!$DX466)</f>
        <v>20</v>
      </c>
      <c r="FN466" s="14">
        <f>INDEX(属性投放!$BR$6:$BR$85,(卡牌属性!$DW466-2)*20+卡牌属性!$DX466)</f>
        <v>20</v>
      </c>
      <c r="FO466" s="14">
        <f>INDEX(属性投放!$BR$6:$BR$85,(卡牌属性!$DW466-2)*20+卡牌属性!$DX466)</f>
        <v>20</v>
      </c>
      <c r="FP466" s="14">
        <f>INDEX(属性投放!$BR$6:$BR$85,(卡牌属性!$DW466-2)*20+卡牌属性!$DX466)</f>
        <v>20</v>
      </c>
      <c r="FQ466" s="14">
        <f>INDEX(属性投放!$BR$6:$BR$85,(卡牌属性!$DW466-2)*20+卡牌属性!$DX466)</f>
        <v>20</v>
      </c>
      <c r="FR466" s="14">
        <f>INDEX(属性投放!$BS$6:$BS$85,(卡牌属性!$DW466-2)*20+卡牌属性!$DX466)</f>
        <v>240</v>
      </c>
      <c r="FS466" s="14">
        <f>INDEX(属性投放!$BS$6:$BS$85,(卡牌属性!$DW466-2)*20+卡牌属性!$DX466)</f>
        <v>240</v>
      </c>
      <c r="FT466" s="14">
        <f>INDEX(属性投放!$BS$6:$BS$85,(卡牌属性!$DW466-2)*20+卡牌属性!$DX466)</f>
        <v>240</v>
      </c>
      <c r="FU466" s="14">
        <f>INDEX(属性投放!$BS$6:$BS$85,(卡牌属性!$DW466-2)*20+卡牌属性!$DX466)</f>
        <v>240</v>
      </c>
      <c r="FV466" s="14">
        <f>INDEX(属性投放!$BS$6:$BS$85,(卡牌属性!$DW466-2)*20+卡牌属性!$DX466)</f>
        <v>240</v>
      </c>
    </row>
    <row r="467" spans="31:178" ht="16.5" x14ac:dyDescent="0.2">
      <c r="AE467" s="13">
        <v>463</v>
      </c>
      <c r="AF467" s="13">
        <f t="shared" si="854"/>
        <v>24</v>
      </c>
      <c r="AG467" s="13">
        <f t="shared" si="855"/>
        <v>2</v>
      </c>
      <c r="AH467" s="13"/>
      <c r="AI467" s="13"/>
      <c r="AJ467" s="14">
        <f t="shared" si="856"/>
        <v>1101999</v>
      </c>
      <c r="AK467" s="14" t="str">
        <f t="shared" si="857"/>
        <v>R寄灵人3突</v>
      </c>
      <c r="AL467" s="25" t="s">
        <v>142</v>
      </c>
      <c r="AM467" s="14">
        <v>1</v>
      </c>
      <c r="AN467" s="14">
        <f t="shared" si="858"/>
        <v>3</v>
      </c>
      <c r="AO467" s="14">
        <f>INDEX(属性投放!$DF$6:$DF$85,(卡牌属性!AG467-2)*20+卡牌属性!AN467)</f>
        <v>189</v>
      </c>
      <c r="AP467" s="14">
        <f t="shared" si="859"/>
        <v>189</v>
      </c>
      <c r="AQ467" s="14">
        <f t="shared" si="859"/>
        <v>189</v>
      </c>
      <c r="AR467" s="14">
        <f t="shared" si="859"/>
        <v>189</v>
      </c>
      <c r="AS467" s="14">
        <f t="shared" si="859"/>
        <v>189</v>
      </c>
      <c r="AT467" s="14">
        <f>INDEX(属性投放!$DG$6:$DG$85,(卡牌属性!AG467-2)*20+卡牌属性!AN467)</f>
        <v>45</v>
      </c>
      <c r="AU467" s="14">
        <f t="shared" si="860"/>
        <v>45</v>
      </c>
      <c r="AV467" s="14">
        <f t="shared" si="860"/>
        <v>45</v>
      </c>
      <c r="AW467" s="14">
        <f t="shared" si="860"/>
        <v>45</v>
      </c>
      <c r="AX467" s="14">
        <f t="shared" si="860"/>
        <v>45</v>
      </c>
      <c r="AY467" s="14">
        <f>INDEX(属性投放!$DH$6:$DH$85,(卡牌属性!AG467-2)*20+卡牌属性!AN467)</f>
        <v>784</v>
      </c>
      <c r="AZ467" s="14">
        <f t="shared" si="861"/>
        <v>784</v>
      </c>
      <c r="BA467" s="14">
        <f t="shared" si="861"/>
        <v>784</v>
      </c>
      <c r="BB467" s="14">
        <f t="shared" si="861"/>
        <v>784</v>
      </c>
      <c r="BC467" s="14">
        <f t="shared" si="861"/>
        <v>784</v>
      </c>
      <c r="BD467" s="14">
        <f>INDEX(属性投放!$DL$6:$DL$85,(卡牌属性!AG467-2)*20+卡牌属性!AN467)</f>
        <v>12</v>
      </c>
      <c r="BE467" s="14">
        <f t="shared" si="862"/>
        <v>12</v>
      </c>
      <c r="BF467" s="14">
        <f t="shared" si="862"/>
        <v>12</v>
      </c>
      <c r="BG467" s="14">
        <f t="shared" si="862"/>
        <v>12</v>
      </c>
      <c r="BH467" s="14">
        <f t="shared" si="862"/>
        <v>12</v>
      </c>
      <c r="BI467" s="14">
        <f>INDEX(属性投放!$DM$6:$DM$85,(卡牌属性!AG467-2)*20+卡牌属性!AN467)</f>
        <v>6</v>
      </c>
      <c r="BJ467" s="14">
        <f t="shared" si="863"/>
        <v>6</v>
      </c>
      <c r="BK467" s="14">
        <f t="shared" si="863"/>
        <v>6</v>
      </c>
      <c r="BL467" s="14">
        <f t="shared" si="863"/>
        <v>6</v>
      </c>
      <c r="BM467" s="14">
        <f t="shared" si="863"/>
        <v>6</v>
      </c>
      <c r="BN467" s="14">
        <f>INDEX(属性投放!$DN$6:$DN$85,(卡牌属性!AG467-2)*20+卡牌属性!AN467)</f>
        <v>70</v>
      </c>
      <c r="BO467" s="14">
        <f t="shared" si="864"/>
        <v>70</v>
      </c>
      <c r="BP467" s="14">
        <f t="shared" si="864"/>
        <v>70</v>
      </c>
      <c r="BQ467" s="14">
        <f t="shared" si="864"/>
        <v>70</v>
      </c>
      <c r="BR467" s="14">
        <f t="shared" si="864"/>
        <v>70</v>
      </c>
      <c r="BW467" s="13">
        <v>463</v>
      </c>
      <c r="BX467" s="13">
        <f t="shared" si="835"/>
        <v>24</v>
      </c>
      <c r="BY467" s="14">
        <f t="shared" si="836"/>
        <v>3</v>
      </c>
      <c r="BZ467" s="14">
        <f t="shared" si="840"/>
        <v>1102024</v>
      </c>
      <c r="CA467" s="14" t="str">
        <f t="shared" si="841"/>
        <v>朱仙3突</v>
      </c>
      <c r="CB467" s="25" t="s">
        <v>142</v>
      </c>
      <c r="CC467" s="14">
        <v>2</v>
      </c>
      <c r="CD467" s="14">
        <f t="shared" si="837"/>
        <v>3</v>
      </c>
      <c r="CE467" s="14" t="s">
        <v>21</v>
      </c>
      <c r="CF467" s="14">
        <f>INDEX(属性投放!$AZ$6:$AZ$85,(BY467-2)*20+CD467)</f>
        <v>422</v>
      </c>
      <c r="CG467" s="14" t="s">
        <v>22</v>
      </c>
      <c r="CH467" s="14">
        <f>INDEX(属性投放!$BA$6:$BA$85,(BY467-2)*20+CD467)</f>
        <v>147</v>
      </c>
      <c r="CI467" s="14" t="s">
        <v>510</v>
      </c>
      <c r="CJ467" s="14">
        <f>INDEX(属性投放!$BB$6:$BB$85,(BY467-2)*20+CD467)</f>
        <v>2132</v>
      </c>
      <c r="CK467" s="14" t="s">
        <v>21</v>
      </c>
      <c r="CL467" s="14">
        <f>INDEX(属性投放!$BC$6:$BC$85,(BY467-2)*20+CD467)</f>
        <v>10</v>
      </c>
      <c r="CM467" s="14" t="s">
        <v>22</v>
      </c>
      <c r="CN467" s="14">
        <f>INDEX(属性投放!$BD$6:$BD$85,(BY467-2)*20+CD467)</f>
        <v>5</v>
      </c>
      <c r="CO467" s="14" t="s">
        <v>510</v>
      </c>
      <c r="CP467" s="14">
        <f>INDEX(属性投放!$BE$6:$BE$85,(BY467-2)*20+CD467)</f>
        <v>60</v>
      </c>
      <c r="CS467" s="13">
        <v>463</v>
      </c>
      <c r="CT467" s="13">
        <f t="shared" si="842"/>
        <v>9</v>
      </c>
      <c r="CU467" s="13">
        <f t="shared" si="843"/>
        <v>47</v>
      </c>
      <c r="CV467" s="14">
        <f t="shared" si="844"/>
        <v>3</v>
      </c>
      <c r="CW467" s="14">
        <f t="shared" si="845"/>
        <v>1102009</v>
      </c>
      <c r="CX467" s="14" t="str">
        <f>INDEX($O$6:$O$50,CT467)&amp;"-"&amp;INDEX(属性投放!$AB$7:$AB$50,CZ467)&amp;"-魂火-"&amp;DB467</f>
        <v>徐晃-无间-魂火-2</v>
      </c>
      <c r="CY467" s="25" t="s">
        <v>142</v>
      </c>
      <c r="CZ467" s="14">
        <f>INDEX(属性投放!$AM$7:$AM$58,CU467)</f>
        <v>19</v>
      </c>
      <c r="DA467" s="14" t="s">
        <v>537</v>
      </c>
      <c r="DB467" s="14">
        <f>INDEX(属性投放!$AN$7:$AN$58,CU467)</f>
        <v>2</v>
      </c>
      <c r="DC467" s="14">
        <f t="shared" si="838"/>
        <v>47</v>
      </c>
      <c r="DD467" s="14">
        <f>INDEX(属性投放!$AO$7:$AO$58,DC467)</f>
        <v>135</v>
      </c>
      <c r="DE467" s="14" t="s">
        <v>538</v>
      </c>
      <c r="DF467" s="14">
        <f>INDEX(属性投放!$BK$6:$BK$85,(CV467-2)*20+CZ467)</f>
        <v>900</v>
      </c>
      <c r="DG467" s="14">
        <f>SUMIFS(DF$5:DF467,$CT$5:$CT467,"="&amp;$CT467)</f>
        <v>12470</v>
      </c>
      <c r="DH467" s="14" t="s">
        <v>539</v>
      </c>
      <c r="DI467" s="14">
        <f>INDEX(属性投放!$BL$6:$BL$85,(CV467-2)*20+CZ467)</f>
        <v>450</v>
      </c>
      <c r="DJ467" s="14">
        <f>SUMIFS(DI$5:DI467,$CT$5:$CT467,"="&amp;$CT467)</f>
        <v>6238</v>
      </c>
      <c r="DK467" s="14" t="s">
        <v>540</v>
      </c>
      <c r="DL467" s="14">
        <f>INDEX(属性投放!$BM$6:$BM$85,(CV467-2)*20+CZ467)</f>
        <v>9000</v>
      </c>
      <c r="DM467" s="14">
        <f>SUMIFS(DL$5:DL467,$CT$5:$CT467,"="&amp;$CT467)</f>
        <v>120740</v>
      </c>
      <c r="DR467" s="14">
        <f t="shared" si="849"/>
        <v>1102024</v>
      </c>
      <c r="DS467" s="14" t="str">
        <f t="shared" si="850"/>
        <v>朱仙3突</v>
      </c>
      <c r="DT467" s="14">
        <f t="shared" si="846"/>
        <v>5</v>
      </c>
      <c r="DU467" s="14">
        <f t="shared" si="847"/>
        <v>5</v>
      </c>
      <c r="DV467" s="14">
        <f t="shared" si="848"/>
        <v>5</v>
      </c>
      <c r="DW467" s="14">
        <f t="shared" si="851"/>
        <v>3</v>
      </c>
      <c r="DX467" s="14">
        <f t="shared" si="852"/>
        <v>3</v>
      </c>
      <c r="DY467" s="14">
        <f t="shared" si="853"/>
        <v>23</v>
      </c>
      <c r="DZ467" s="14">
        <f>INDEX(属性投放!$AX$6:$AX$85,(卡牌属性!DW467-2)*20+卡牌属性!DX467)</f>
        <v>10</v>
      </c>
      <c r="EA467" s="14">
        <f>INDEX(属性投放!BQ$6:BQ$85,卡牌属性!$DY467)</f>
        <v>70</v>
      </c>
      <c r="EB467" s="14">
        <f>INDEX(属性投放!BR$6:BR$85,卡牌属性!$DY467)</f>
        <v>35</v>
      </c>
      <c r="EC467" s="14">
        <f>INDEX(属性投放!BS$6:BS$85,卡牌属性!$DY467)</f>
        <v>420</v>
      </c>
      <c r="ED467" s="14">
        <f t="shared" si="865"/>
        <v>352</v>
      </c>
      <c r="EE467" s="14">
        <f t="shared" si="866"/>
        <v>405</v>
      </c>
      <c r="EF467" s="14">
        <f t="shared" si="867"/>
        <v>468</v>
      </c>
      <c r="EG467" s="14">
        <f t="shared" si="868"/>
        <v>468</v>
      </c>
      <c r="EH467" s="14">
        <f t="shared" si="869"/>
        <v>542</v>
      </c>
      <c r="EI467" s="14">
        <f t="shared" si="870"/>
        <v>131</v>
      </c>
      <c r="EJ467" s="14">
        <f t="shared" si="871"/>
        <v>155</v>
      </c>
      <c r="EK467" s="14">
        <f t="shared" si="872"/>
        <v>155</v>
      </c>
      <c r="EL467" s="14">
        <f t="shared" si="873"/>
        <v>189</v>
      </c>
      <c r="EM467" s="14">
        <f t="shared" si="874"/>
        <v>228</v>
      </c>
      <c r="EN467" s="14">
        <f t="shared" si="875"/>
        <v>1712</v>
      </c>
      <c r="EO467" s="14">
        <f t="shared" si="876"/>
        <v>2030</v>
      </c>
      <c r="EP467" s="14">
        <f t="shared" si="877"/>
        <v>2030</v>
      </c>
      <c r="EQ467" s="14">
        <f t="shared" si="878"/>
        <v>2408</v>
      </c>
      <c r="ER467" s="14">
        <f t="shared" si="879"/>
        <v>2752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60</v>
      </c>
      <c r="FD467" s="14">
        <f>INDEX(属性偏向!$U$4:$U$243,(卡牌属性!$DV467-1+FD$3)*20+卡牌属性!$DX467)</f>
        <v>72</v>
      </c>
      <c r="FE467" s="14">
        <f>INDEX(属性偏向!$U$4:$U$243,(卡牌属性!$DV467-1+FE$3)*20+卡牌属性!$DX467)</f>
        <v>72</v>
      </c>
      <c r="FF467" s="14">
        <f>INDEX(属性偏向!$U$4:$U$243,(卡牌属性!$DV467-1+FF$3)*20+卡牌属性!$DX467)</f>
        <v>90</v>
      </c>
      <c r="FG467" s="14">
        <f>INDEX(属性偏向!$U$4:$U$243,(卡牌属性!$DV467-1+FG$3)*20+卡牌属性!$DX467)</f>
        <v>102</v>
      </c>
      <c r="FH467" s="14">
        <f>INDEX(属性投放!$BQ$6:$BQ$85,(卡牌属性!$DW467-2)*20+卡牌属性!$DX467)</f>
        <v>70</v>
      </c>
      <c r="FI467" s="14">
        <f>INDEX(属性投放!$BQ$6:$BQ$85,(卡牌属性!$DW467-2)*20+卡牌属性!$DX467)</f>
        <v>70</v>
      </c>
      <c r="FJ467" s="14">
        <f>INDEX(属性投放!$BQ$6:$BQ$85,(卡牌属性!$DW467-2)*20+卡牌属性!$DX467)</f>
        <v>70</v>
      </c>
      <c r="FK467" s="14">
        <f>INDEX(属性投放!$BQ$6:$BQ$85,(卡牌属性!$DW467-2)*20+卡牌属性!$DX467)</f>
        <v>70</v>
      </c>
      <c r="FL467" s="14">
        <f>INDEX(属性投放!$BQ$6:$BQ$85,(卡牌属性!$DW467-2)*20+卡牌属性!$DX467)</f>
        <v>70</v>
      </c>
      <c r="FM467" s="14">
        <f>INDEX(属性投放!$BR$6:$BR$85,(卡牌属性!$DW467-2)*20+卡牌属性!$DX467)</f>
        <v>35</v>
      </c>
      <c r="FN467" s="14">
        <f>INDEX(属性投放!$BR$6:$BR$85,(卡牌属性!$DW467-2)*20+卡牌属性!$DX467)</f>
        <v>35</v>
      </c>
      <c r="FO467" s="14">
        <f>INDEX(属性投放!$BR$6:$BR$85,(卡牌属性!$DW467-2)*20+卡牌属性!$DX467)</f>
        <v>35</v>
      </c>
      <c r="FP467" s="14">
        <f>INDEX(属性投放!$BR$6:$BR$85,(卡牌属性!$DW467-2)*20+卡牌属性!$DX467)</f>
        <v>35</v>
      </c>
      <c r="FQ467" s="14">
        <f>INDEX(属性投放!$BR$6:$BR$85,(卡牌属性!$DW467-2)*20+卡牌属性!$DX467)</f>
        <v>35</v>
      </c>
      <c r="FR467" s="14">
        <f>INDEX(属性投放!$BS$6:$BS$85,(卡牌属性!$DW467-2)*20+卡牌属性!$DX467)</f>
        <v>420</v>
      </c>
      <c r="FS467" s="14">
        <f>INDEX(属性投放!$BS$6:$BS$85,(卡牌属性!$DW467-2)*20+卡牌属性!$DX467)</f>
        <v>420</v>
      </c>
      <c r="FT467" s="14">
        <f>INDEX(属性投放!$BS$6:$BS$85,(卡牌属性!$DW467-2)*20+卡牌属性!$DX467)</f>
        <v>420</v>
      </c>
      <c r="FU467" s="14">
        <f>INDEX(属性投放!$BS$6:$BS$85,(卡牌属性!$DW467-2)*20+卡牌属性!$DX467)</f>
        <v>420</v>
      </c>
      <c r="FV467" s="14">
        <f>INDEX(属性投放!$BS$6:$BS$85,(卡牌属性!$DW467-2)*20+卡牌属性!$DX467)</f>
        <v>420</v>
      </c>
    </row>
    <row r="468" spans="31:178" ht="16.5" x14ac:dyDescent="0.2">
      <c r="AE468" s="13">
        <v>464</v>
      </c>
      <c r="AF468" s="13">
        <f t="shared" si="854"/>
        <v>24</v>
      </c>
      <c r="AG468" s="13">
        <f t="shared" si="855"/>
        <v>2</v>
      </c>
      <c r="AH468" s="13"/>
      <c r="AI468" s="13"/>
      <c r="AJ468" s="14">
        <f t="shared" si="856"/>
        <v>1101999</v>
      </c>
      <c r="AK468" s="14" t="str">
        <f t="shared" si="857"/>
        <v>R寄灵人4突</v>
      </c>
      <c r="AL468" s="25" t="s">
        <v>142</v>
      </c>
      <c r="AM468" s="14">
        <v>1</v>
      </c>
      <c r="AN468" s="14">
        <f t="shared" si="858"/>
        <v>4</v>
      </c>
      <c r="AO468" s="14">
        <f>INDEX(属性投放!$DF$6:$DF$85,(卡牌属性!AG468-2)*20+卡牌属性!AN468)</f>
        <v>338</v>
      </c>
      <c r="AP468" s="14">
        <f t="shared" si="859"/>
        <v>338</v>
      </c>
      <c r="AQ468" s="14">
        <f t="shared" si="859"/>
        <v>338</v>
      </c>
      <c r="AR468" s="14">
        <f t="shared" si="859"/>
        <v>338</v>
      </c>
      <c r="AS468" s="14">
        <f t="shared" si="859"/>
        <v>338</v>
      </c>
      <c r="AT468" s="14">
        <f>INDEX(属性投放!$DG$6:$DG$85,(卡牌属性!AG468-2)*20+卡牌属性!AN468)</f>
        <v>120</v>
      </c>
      <c r="AU468" s="14">
        <f t="shared" si="860"/>
        <v>120</v>
      </c>
      <c r="AV468" s="14">
        <f t="shared" si="860"/>
        <v>120</v>
      </c>
      <c r="AW468" s="14">
        <f t="shared" si="860"/>
        <v>120</v>
      </c>
      <c r="AX468" s="14">
        <f t="shared" si="860"/>
        <v>120</v>
      </c>
      <c r="AY468" s="14">
        <f>INDEX(属性投放!$DH$6:$DH$85,(卡牌属性!AG468-2)*20+卡牌属性!AN468)</f>
        <v>1658</v>
      </c>
      <c r="AZ468" s="14">
        <f t="shared" si="861"/>
        <v>1658</v>
      </c>
      <c r="BA468" s="14">
        <f t="shared" si="861"/>
        <v>1658</v>
      </c>
      <c r="BB468" s="14">
        <f t="shared" si="861"/>
        <v>1658</v>
      </c>
      <c r="BC468" s="14">
        <f t="shared" si="861"/>
        <v>1658</v>
      </c>
      <c r="BD468" s="14">
        <f>INDEX(属性投放!$DL$6:$DL$85,(卡牌属性!AG468-2)*20+卡牌属性!AN468)</f>
        <v>22</v>
      </c>
      <c r="BE468" s="14">
        <f t="shared" si="862"/>
        <v>22</v>
      </c>
      <c r="BF468" s="14">
        <f t="shared" si="862"/>
        <v>22</v>
      </c>
      <c r="BG468" s="14">
        <f t="shared" si="862"/>
        <v>22</v>
      </c>
      <c r="BH468" s="14">
        <f t="shared" si="862"/>
        <v>22</v>
      </c>
      <c r="BI468" s="14">
        <f>INDEX(属性投放!$DM$6:$DM$85,(卡牌属性!AG468-2)*20+卡牌属性!AN468)</f>
        <v>11</v>
      </c>
      <c r="BJ468" s="14">
        <f t="shared" si="863"/>
        <v>11</v>
      </c>
      <c r="BK468" s="14">
        <f t="shared" si="863"/>
        <v>11</v>
      </c>
      <c r="BL468" s="14">
        <f t="shared" si="863"/>
        <v>11</v>
      </c>
      <c r="BM468" s="14">
        <f t="shared" si="863"/>
        <v>11</v>
      </c>
      <c r="BN468" s="14">
        <f>INDEX(属性投放!$DN$6:$DN$85,(卡牌属性!AG468-2)*20+卡牌属性!AN468)</f>
        <v>153</v>
      </c>
      <c r="BO468" s="14">
        <f t="shared" si="864"/>
        <v>153</v>
      </c>
      <c r="BP468" s="14">
        <f t="shared" si="864"/>
        <v>153</v>
      </c>
      <c r="BQ468" s="14">
        <f t="shared" si="864"/>
        <v>153</v>
      </c>
      <c r="BR468" s="14">
        <f t="shared" si="864"/>
        <v>153</v>
      </c>
      <c r="BW468" s="13">
        <v>464</v>
      </c>
      <c r="BX468" s="13">
        <f t="shared" si="835"/>
        <v>24</v>
      </c>
      <c r="BY468" s="14">
        <f t="shared" si="836"/>
        <v>3</v>
      </c>
      <c r="BZ468" s="14">
        <f t="shared" si="840"/>
        <v>1102024</v>
      </c>
      <c r="CA468" s="14" t="str">
        <f t="shared" si="841"/>
        <v>朱仙4突</v>
      </c>
      <c r="CB468" s="25" t="s">
        <v>142</v>
      </c>
      <c r="CC468" s="14">
        <v>2</v>
      </c>
      <c r="CD468" s="14">
        <f t="shared" si="837"/>
        <v>4</v>
      </c>
      <c r="CE468" s="14" t="s">
        <v>21</v>
      </c>
      <c r="CF468" s="14">
        <f>INDEX(属性投放!$AZ$6:$AZ$85,(BY468-2)*20+CD468)</f>
        <v>652</v>
      </c>
      <c r="CG468" s="14" t="s">
        <v>22</v>
      </c>
      <c r="CH468" s="14">
        <f>INDEX(属性投放!$BA$6:$BA$85,(BY468-2)*20+CD468)</f>
        <v>262</v>
      </c>
      <c r="CI468" s="14" t="s">
        <v>510</v>
      </c>
      <c r="CJ468" s="14">
        <f>INDEX(属性投放!$BB$6:$BB$85,(BY468-2)*20+CD468)</f>
        <v>3512</v>
      </c>
      <c r="CK468" s="14" t="s">
        <v>21</v>
      </c>
      <c r="CL468" s="14">
        <f>INDEX(属性投放!$BC$6:$BC$85,(BY468-2)*20+CD468)</f>
        <v>12</v>
      </c>
      <c r="CM468" s="14" t="s">
        <v>22</v>
      </c>
      <c r="CN468" s="14">
        <f>INDEX(属性投放!$BD$6:$BD$85,(BY468-2)*20+CD468)</f>
        <v>6</v>
      </c>
      <c r="CO468" s="14" t="s">
        <v>510</v>
      </c>
      <c r="CP468" s="14">
        <f>INDEX(属性投放!$BE$6:$BE$85,(BY468-2)*20+CD468)</f>
        <v>84</v>
      </c>
      <c r="CS468" s="13">
        <v>464</v>
      </c>
      <c r="CT468" s="13">
        <f t="shared" si="842"/>
        <v>9</v>
      </c>
      <c r="CU468" s="13">
        <f t="shared" si="843"/>
        <v>48</v>
      </c>
      <c r="CV468" s="14">
        <f t="shared" si="844"/>
        <v>3</v>
      </c>
      <c r="CW468" s="14">
        <f t="shared" si="845"/>
        <v>1102009</v>
      </c>
      <c r="CX468" s="14" t="str">
        <f>INDEX($O$6:$O$50,CT468)&amp;"-"&amp;INDEX(属性投放!$AB$7:$AB$50,CZ468)&amp;"-魂火-"&amp;DB468</f>
        <v>徐晃-无间-魂火-3</v>
      </c>
      <c r="CY468" s="25" t="s">
        <v>142</v>
      </c>
      <c r="CZ468" s="14">
        <f>INDEX(属性投放!$AM$7:$AM$58,CU468)</f>
        <v>19</v>
      </c>
      <c r="DA468" s="14" t="s">
        <v>537</v>
      </c>
      <c r="DB468" s="14">
        <f>INDEX(属性投放!$AN$7:$AN$58,CU468)</f>
        <v>3</v>
      </c>
      <c r="DC468" s="14">
        <f t="shared" si="838"/>
        <v>48</v>
      </c>
      <c r="DD468" s="14">
        <f>INDEX(属性投放!$AO$7:$AO$58,DC468)</f>
        <v>138</v>
      </c>
      <c r="DE468" s="14" t="s">
        <v>538</v>
      </c>
      <c r="DF468" s="14">
        <f>INDEX(属性投放!$BK$6:$BK$85,(CV468-2)*20+CZ468)</f>
        <v>900</v>
      </c>
      <c r="DG468" s="14">
        <f>SUMIFS(DF$5:DF468,$CT$5:$CT468,"="&amp;$CT468)</f>
        <v>13370</v>
      </c>
      <c r="DH468" s="14" t="s">
        <v>539</v>
      </c>
      <c r="DI468" s="14">
        <f>INDEX(属性投放!$BL$6:$BL$85,(CV468-2)*20+CZ468)</f>
        <v>450</v>
      </c>
      <c r="DJ468" s="14">
        <f>SUMIFS(DI$5:DI468,$CT$5:$CT468,"="&amp;$CT468)</f>
        <v>6688</v>
      </c>
      <c r="DK468" s="14" t="s">
        <v>540</v>
      </c>
      <c r="DL468" s="14">
        <f>INDEX(属性投放!$BM$6:$BM$85,(CV468-2)*20+CZ468)</f>
        <v>9000</v>
      </c>
      <c r="DM468" s="14">
        <f>SUMIFS(DL$5:DL468,$CT$5:$CT468,"="&amp;$CT468)</f>
        <v>129740</v>
      </c>
      <c r="DR468" s="14">
        <f t="shared" si="849"/>
        <v>1102024</v>
      </c>
      <c r="DS468" s="14" t="str">
        <f t="shared" si="850"/>
        <v>朱仙4突</v>
      </c>
      <c r="DT468" s="14">
        <f t="shared" si="846"/>
        <v>5</v>
      </c>
      <c r="DU468" s="14">
        <f t="shared" si="847"/>
        <v>5</v>
      </c>
      <c r="DV468" s="14">
        <f t="shared" si="848"/>
        <v>5</v>
      </c>
      <c r="DW468" s="14">
        <f t="shared" si="851"/>
        <v>3</v>
      </c>
      <c r="DX468" s="14">
        <f t="shared" si="852"/>
        <v>4</v>
      </c>
      <c r="DY468" s="14">
        <f t="shared" si="853"/>
        <v>24</v>
      </c>
      <c r="DZ468" s="14">
        <f>INDEX(属性投放!$AX$6:$AX$85,(卡牌属性!DW468-2)*20+卡牌属性!DX468)</f>
        <v>10</v>
      </c>
      <c r="EA468" s="14">
        <f>INDEX(属性投放!BQ$6:BQ$85,卡牌属性!$DY468)</f>
        <v>75</v>
      </c>
      <c r="EB468" s="14">
        <f>INDEX(属性投放!BR$6:BR$85,卡牌属性!$DY468)</f>
        <v>38</v>
      </c>
      <c r="EC468" s="14">
        <f>INDEX(属性投放!BS$6:BS$85,卡牌属性!$DY468)</f>
        <v>525</v>
      </c>
      <c r="ED468" s="14">
        <f t="shared" si="865"/>
        <v>522</v>
      </c>
      <c r="EE468" s="14">
        <f t="shared" si="866"/>
        <v>595</v>
      </c>
      <c r="EF468" s="14">
        <f t="shared" si="867"/>
        <v>688</v>
      </c>
      <c r="EG468" s="14">
        <f t="shared" si="868"/>
        <v>688</v>
      </c>
      <c r="EH468" s="14">
        <f t="shared" si="869"/>
        <v>782</v>
      </c>
      <c r="EI468" s="14">
        <f t="shared" si="870"/>
        <v>216</v>
      </c>
      <c r="EJ468" s="14">
        <f t="shared" si="871"/>
        <v>250</v>
      </c>
      <c r="EK468" s="14">
        <f t="shared" si="872"/>
        <v>250</v>
      </c>
      <c r="EL468" s="14">
        <f t="shared" si="873"/>
        <v>304</v>
      </c>
      <c r="EM468" s="14">
        <f t="shared" si="874"/>
        <v>353</v>
      </c>
      <c r="EN468" s="14">
        <f t="shared" si="875"/>
        <v>2732</v>
      </c>
      <c r="EO468" s="14">
        <f t="shared" si="876"/>
        <v>3170</v>
      </c>
      <c r="EP468" s="14">
        <f t="shared" si="877"/>
        <v>3170</v>
      </c>
      <c r="EQ468" s="14">
        <f t="shared" si="878"/>
        <v>3728</v>
      </c>
      <c r="ER468" s="14">
        <f t="shared" si="879"/>
        <v>4192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84</v>
      </c>
      <c r="FD468" s="14">
        <f>INDEX(属性偏向!$U$4:$U$243,(卡牌属性!$DV468-1+FD$3)*20+卡牌属性!$DX468)</f>
        <v>91</v>
      </c>
      <c r="FE468" s="14">
        <f>INDEX(属性偏向!$U$4:$U$243,(卡牌属性!$DV468-1+FE$3)*20+卡牌属性!$DX468)</f>
        <v>91</v>
      </c>
      <c r="FF468" s="14">
        <f>INDEX(属性偏向!$U$4:$U$243,(卡牌属性!$DV468-1+FF$3)*20+卡牌属性!$DX468)</f>
        <v>140</v>
      </c>
      <c r="FG468" s="14">
        <f>INDEX(属性偏向!$U$4:$U$243,(卡牌属性!$DV468-1+FG$3)*20+卡牌属性!$DX468)</f>
        <v>154</v>
      </c>
      <c r="FH468" s="14">
        <f>INDEX(属性投放!$BQ$6:$BQ$85,(卡牌属性!$DW468-2)*20+卡牌属性!$DX468)</f>
        <v>75</v>
      </c>
      <c r="FI468" s="14">
        <f>INDEX(属性投放!$BQ$6:$BQ$85,(卡牌属性!$DW468-2)*20+卡牌属性!$DX468)</f>
        <v>75</v>
      </c>
      <c r="FJ468" s="14">
        <f>INDEX(属性投放!$BQ$6:$BQ$85,(卡牌属性!$DW468-2)*20+卡牌属性!$DX468)</f>
        <v>75</v>
      </c>
      <c r="FK468" s="14">
        <f>INDEX(属性投放!$BQ$6:$BQ$85,(卡牌属性!$DW468-2)*20+卡牌属性!$DX468)</f>
        <v>75</v>
      </c>
      <c r="FL468" s="14">
        <f>INDEX(属性投放!$BQ$6:$BQ$85,(卡牌属性!$DW468-2)*20+卡牌属性!$DX468)</f>
        <v>75</v>
      </c>
      <c r="FM468" s="14">
        <f>INDEX(属性投放!$BR$6:$BR$85,(卡牌属性!$DW468-2)*20+卡牌属性!$DX468)</f>
        <v>38</v>
      </c>
      <c r="FN468" s="14">
        <f>INDEX(属性投放!$BR$6:$BR$85,(卡牌属性!$DW468-2)*20+卡牌属性!$DX468)</f>
        <v>38</v>
      </c>
      <c r="FO468" s="14">
        <f>INDEX(属性投放!$BR$6:$BR$85,(卡牌属性!$DW468-2)*20+卡牌属性!$DX468)</f>
        <v>38</v>
      </c>
      <c r="FP468" s="14">
        <f>INDEX(属性投放!$BR$6:$BR$85,(卡牌属性!$DW468-2)*20+卡牌属性!$DX468)</f>
        <v>38</v>
      </c>
      <c r="FQ468" s="14">
        <f>INDEX(属性投放!$BR$6:$BR$85,(卡牌属性!$DW468-2)*20+卡牌属性!$DX468)</f>
        <v>38</v>
      </c>
      <c r="FR468" s="14">
        <f>INDEX(属性投放!$BS$6:$BS$85,(卡牌属性!$DW468-2)*20+卡牌属性!$DX468)</f>
        <v>525</v>
      </c>
      <c r="FS468" s="14">
        <f>INDEX(属性投放!$BS$6:$BS$85,(卡牌属性!$DW468-2)*20+卡牌属性!$DX468)</f>
        <v>525</v>
      </c>
      <c r="FT468" s="14">
        <f>INDEX(属性投放!$BS$6:$BS$85,(卡牌属性!$DW468-2)*20+卡牌属性!$DX468)</f>
        <v>525</v>
      </c>
      <c r="FU468" s="14">
        <f>INDEX(属性投放!$BS$6:$BS$85,(卡牌属性!$DW468-2)*20+卡牌属性!$DX468)</f>
        <v>525</v>
      </c>
      <c r="FV468" s="14">
        <f>INDEX(属性投放!$BS$6:$BS$85,(卡牌属性!$DW468-2)*20+卡牌属性!$DX468)</f>
        <v>525</v>
      </c>
    </row>
    <row r="469" spans="31:178" ht="16.5" x14ac:dyDescent="0.2">
      <c r="AE469" s="13">
        <v>465</v>
      </c>
      <c r="AF469" s="13">
        <f t="shared" si="854"/>
        <v>24</v>
      </c>
      <c r="AG469" s="13">
        <f t="shared" si="855"/>
        <v>2</v>
      </c>
      <c r="AH469" s="13"/>
      <c r="AI469" s="13"/>
      <c r="AJ469" s="14">
        <f t="shared" si="856"/>
        <v>1101999</v>
      </c>
      <c r="AK469" s="14" t="str">
        <f t="shared" si="857"/>
        <v>R寄灵人5突</v>
      </c>
      <c r="AL469" s="25" t="s">
        <v>142</v>
      </c>
      <c r="AM469" s="14">
        <v>1</v>
      </c>
      <c r="AN469" s="14">
        <f t="shared" si="858"/>
        <v>5</v>
      </c>
      <c r="AO469" s="14">
        <f>INDEX(属性投放!$DF$6:$DF$85,(卡牌属性!AG469-2)*20+卡牌属性!AN469)</f>
        <v>401</v>
      </c>
      <c r="AP469" s="14">
        <f t="shared" si="859"/>
        <v>401</v>
      </c>
      <c r="AQ469" s="14">
        <f t="shared" si="859"/>
        <v>401</v>
      </c>
      <c r="AR469" s="14">
        <f t="shared" si="859"/>
        <v>401</v>
      </c>
      <c r="AS469" s="14">
        <f t="shared" si="859"/>
        <v>401</v>
      </c>
      <c r="AT469" s="14">
        <f>INDEX(属性投放!$DG$6:$DG$85,(卡牌属性!AG469-2)*20+卡牌属性!AN469)</f>
        <v>151</v>
      </c>
      <c r="AU469" s="14">
        <f t="shared" si="860"/>
        <v>151</v>
      </c>
      <c r="AV469" s="14">
        <f t="shared" si="860"/>
        <v>151</v>
      </c>
      <c r="AW469" s="14">
        <f t="shared" si="860"/>
        <v>151</v>
      </c>
      <c r="AX469" s="14">
        <f t="shared" si="860"/>
        <v>151</v>
      </c>
      <c r="AY469" s="14">
        <f>INDEX(属性投放!$DH$6:$DH$85,(卡牌属性!AG469-2)*20+卡牌属性!AN469)</f>
        <v>2096</v>
      </c>
      <c r="AZ469" s="14">
        <f t="shared" si="861"/>
        <v>2096</v>
      </c>
      <c r="BA469" s="14">
        <f t="shared" si="861"/>
        <v>2096</v>
      </c>
      <c r="BB469" s="14">
        <f t="shared" si="861"/>
        <v>2096</v>
      </c>
      <c r="BC469" s="14">
        <f t="shared" si="861"/>
        <v>2096</v>
      </c>
      <c r="BD469" s="14">
        <f>INDEX(属性投放!$DL$6:$DL$85,(卡牌属性!AG469-2)*20+卡牌属性!AN469)</f>
        <v>22</v>
      </c>
      <c r="BE469" s="14">
        <f t="shared" si="862"/>
        <v>22</v>
      </c>
      <c r="BF469" s="14">
        <f t="shared" si="862"/>
        <v>22</v>
      </c>
      <c r="BG469" s="14">
        <f t="shared" si="862"/>
        <v>22</v>
      </c>
      <c r="BH469" s="14">
        <f t="shared" si="862"/>
        <v>22</v>
      </c>
      <c r="BI469" s="14">
        <f>INDEX(属性投放!$DM$6:$DM$85,(卡牌属性!AG469-2)*20+卡牌属性!AN469)</f>
        <v>11</v>
      </c>
      <c r="BJ469" s="14">
        <f t="shared" si="863"/>
        <v>11</v>
      </c>
      <c r="BK469" s="14">
        <f t="shared" si="863"/>
        <v>11</v>
      </c>
      <c r="BL469" s="14">
        <f t="shared" si="863"/>
        <v>11</v>
      </c>
      <c r="BM469" s="14">
        <f t="shared" si="863"/>
        <v>11</v>
      </c>
      <c r="BN469" s="14">
        <f>INDEX(属性投放!$DN$6:$DN$85,(卡牌属性!AG469-2)*20+卡牌属性!AN469)</f>
        <v>153</v>
      </c>
      <c r="BO469" s="14">
        <f t="shared" si="864"/>
        <v>153</v>
      </c>
      <c r="BP469" s="14">
        <f t="shared" si="864"/>
        <v>153</v>
      </c>
      <c r="BQ469" s="14">
        <f t="shared" si="864"/>
        <v>153</v>
      </c>
      <c r="BR469" s="14">
        <f t="shared" si="864"/>
        <v>153</v>
      </c>
      <c r="BW469" s="13">
        <v>465</v>
      </c>
      <c r="BX469" s="13">
        <f t="shared" si="835"/>
        <v>24</v>
      </c>
      <c r="BY469" s="14">
        <f t="shared" si="836"/>
        <v>3</v>
      </c>
      <c r="BZ469" s="14">
        <f t="shared" si="840"/>
        <v>1102024</v>
      </c>
      <c r="CA469" s="14" t="str">
        <f t="shared" si="841"/>
        <v>朱仙5突</v>
      </c>
      <c r="CB469" s="25" t="s">
        <v>142</v>
      </c>
      <c r="CC469" s="14">
        <v>2</v>
      </c>
      <c r="CD469" s="14">
        <f t="shared" si="837"/>
        <v>5</v>
      </c>
      <c r="CE469" s="14" t="s">
        <v>21</v>
      </c>
      <c r="CF469" s="14">
        <f>INDEX(属性投放!$AZ$6:$AZ$85,(BY469-2)*20+CD469)</f>
        <v>927</v>
      </c>
      <c r="CG469" s="14" t="s">
        <v>22</v>
      </c>
      <c r="CH469" s="14">
        <f>INDEX(属性投放!$BA$6:$BA$85,(BY469-2)*20+CD469)</f>
        <v>400</v>
      </c>
      <c r="CI469" s="14" t="s">
        <v>510</v>
      </c>
      <c r="CJ469" s="14">
        <f>INDEX(属性投放!$BB$6:$BB$85,(BY469-2)*20+CD469)</f>
        <v>5437</v>
      </c>
      <c r="CK469" s="14" t="s">
        <v>21</v>
      </c>
      <c r="CL469" s="14">
        <f>INDEX(属性投放!$BC$6:$BC$85,(BY469-2)*20+CD469)</f>
        <v>12</v>
      </c>
      <c r="CM469" s="14" t="s">
        <v>22</v>
      </c>
      <c r="CN469" s="14">
        <f>INDEX(属性投放!$BD$6:$BD$85,(BY469-2)*20+CD469)</f>
        <v>6</v>
      </c>
      <c r="CO469" s="14" t="s">
        <v>510</v>
      </c>
      <c r="CP469" s="14">
        <f>INDEX(属性投放!$BE$6:$BE$85,(BY469-2)*20+CD469)</f>
        <v>84</v>
      </c>
      <c r="CS469" s="13">
        <v>465</v>
      </c>
      <c r="CT469" s="13">
        <f t="shared" si="842"/>
        <v>9</v>
      </c>
      <c r="CU469" s="13">
        <f t="shared" si="843"/>
        <v>49</v>
      </c>
      <c r="CV469" s="14">
        <f t="shared" si="844"/>
        <v>3</v>
      </c>
      <c r="CW469" s="14">
        <f t="shared" si="845"/>
        <v>1102009</v>
      </c>
      <c r="CX469" s="14" t="str">
        <f>INDEX($O$6:$O$50,CT469)&amp;"-"&amp;INDEX(属性投放!$AB$7:$AB$50,CZ469)&amp;"-魂火-"&amp;DB469</f>
        <v>徐晃-无间+1-魂火-1</v>
      </c>
      <c r="CY469" s="25" t="s">
        <v>142</v>
      </c>
      <c r="CZ469" s="14">
        <f>INDEX(属性投放!$AM$7:$AM$58,CU469)</f>
        <v>20</v>
      </c>
      <c r="DA469" s="14" t="s">
        <v>537</v>
      </c>
      <c r="DB469" s="14">
        <f>INDEX(属性投放!$AN$7:$AN$58,CU469)</f>
        <v>1</v>
      </c>
      <c r="DC469" s="14">
        <f t="shared" si="838"/>
        <v>49</v>
      </c>
      <c r="DD469" s="14">
        <f>INDEX(属性投放!$AO$7:$AO$58,DC469)</f>
        <v>140</v>
      </c>
      <c r="DE469" s="14" t="s">
        <v>538</v>
      </c>
      <c r="DF469" s="14">
        <f>INDEX(属性投放!$BK$6:$BK$85,(CV469-2)*20+CZ469)</f>
        <v>1000</v>
      </c>
      <c r="DG469" s="14">
        <f>SUMIFS(DF$5:DF469,$CT$5:$CT469,"="&amp;$CT469)</f>
        <v>14370</v>
      </c>
      <c r="DH469" s="14" t="s">
        <v>539</v>
      </c>
      <c r="DI469" s="14">
        <f>INDEX(属性投放!$BL$6:$BL$85,(CV469-2)*20+CZ469)</f>
        <v>500</v>
      </c>
      <c r="DJ469" s="14">
        <f>SUMIFS(DI$5:DI469,$CT$5:$CT469,"="&amp;$CT469)</f>
        <v>7188</v>
      </c>
      <c r="DK469" s="14" t="s">
        <v>540</v>
      </c>
      <c r="DL469" s="14">
        <f>INDEX(属性投放!$BM$6:$BM$85,(CV469-2)*20+CZ469)</f>
        <v>10000</v>
      </c>
      <c r="DM469" s="14">
        <f>SUMIFS(DL$5:DL469,$CT$5:$CT469,"="&amp;$CT469)</f>
        <v>139740</v>
      </c>
      <c r="DR469" s="14">
        <f t="shared" si="849"/>
        <v>1102024</v>
      </c>
      <c r="DS469" s="14" t="str">
        <f t="shared" si="850"/>
        <v>朱仙5突</v>
      </c>
      <c r="DT469" s="14">
        <f t="shared" si="846"/>
        <v>5</v>
      </c>
      <c r="DU469" s="14">
        <f t="shared" si="847"/>
        <v>5</v>
      </c>
      <c r="DV469" s="14">
        <f t="shared" si="848"/>
        <v>5</v>
      </c>
      <c r="DW469" s="14">
        <f t="shared" si="851"/>
        <v>3</v>
      </c>
      <c r="DX469" s="14">
        <f t="shared" si="852"/>
        <v>5</v>
      </c>
      <c r="DY469" s="14">
        <f t="shared" si="853"/>
        <v>25</v>
      </c>
      <c r="DZ469" s="14">
        <f>INDEX(属性投放!$AX$6:$AX$85,(卡牌属性!DW469-2)*20+卡牌属性!DX469)</f>
        <v>7</v>
      </c>
      <c r="EA469" s="14">
        <f>INDEX(属性投放!BQ$6:BQ$85,卡牌属性!$DY469)</f>
        <v>100</v>
      </c>
      <c r="EB469" s="14">
        <f>INDEX(属性投放!BR$6:BR$85,卡牌属性!$DY469)</f>
        <v>50</v>
      </c>
      <c r="EC469" s="14">
        <f>INDEX(属性投放!BS$6:BS$85,卡牌属性!$DY469)</f>
        <v>700</v>
      </c>
      <c r="ED469" s="14">
        <f t="shared" si="865"/>
        <v>717</v>
      </c>
      <c r="EE469" s="14">
        <f t="shared" si="866"/>
        <v>800</v>
      </c>
      <c r="EF469" s="14">
        <f t="shared" si="867"/>
        <v>963</v>
      </c>
      <c r="EG469" s="14">
        <f t="shared" si="868"/>
        <v>963</v>
      </c>
      <c r="EH469" s="14">
        <f t="shared" si="869"/>
        <v>1077</v>
      </c>
      <c r="EI469" s="14">
        <f t="shared" si="870"/>
        <v>314</v>
      </c>
      <c r="EJ469" s="14">
        <f t="shared" si="871"/>
        <v>358</v>
      </c>
      <c r="EK469" s="14">
        <f t="shared" si="872"/>
        <v>358</v>
      </c>
      <c r="EL469" s="14">
        <f t="shared" si="873"/>
        <v>442</v>
      </c>
      <c r="EM469" s="14">
        <f t="shared" si="874"/>
        <v>501</v>
      </c>
      <c r="EN469" s="14">
        <f t="shared" si="875"/>
        <v>4097</v>
      </c>
      <c r="EO469" s="14">
        <f t="shared" si="876"/>
        <v>4605</v>
      </c>
      <c r="EP469" s="14">
        <f t="shared" si="877"/>
        <v>4605</v>
      </c>
      <c r="EQ469" s="14">
        <f t="shared" si="878"/>
        <v>5653</v>
      </c>
      <c r="ER469" s="14">
        <f t="shared" si="879"/>
        <v>6257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84</v>
      </c>
      <c r="FD469" s="14">
        <f>INDEX(属性偏向!$U$4:$U$243,(卡牌属性!$DV469-1+FD$3)*20+卡牌属性!$DX469)</f>
        <v>91</v>
      </c>
      <c r="FE469" s="14">
        <f>INDEX(属性偏向!$U$4:$U$243,(卡牌属性!$DV469-1+FE$3)*20+卡牌属性!$DX469)</f>
        <v>91</v>
      </c>
      <c r="FF469" s="14">
        <f>INDEX(属性偏向!$U$4:$U$243,(卡牌属性!$DV469-1+FF$3)*20+卡牌属性!$DX469)</f>
        <v>140</v>
      </c>
      <c r="FG469" s="14">
        <f>INDEX(属性偏向!$U$4:$U$243,(卡牌属性!$DV469-1+FG$3)*20+卡牌属性!$DX469)</f>
        <v>154</v>
      </c>
      <c r="FH469" s="14">
        <f>INDEX(属性投放!$BQ$6:$BQ$85,(卡牌属性!$DW469-2)*20+卡牌属性!$DX469)</f>
        <v>100</v>
      </c>
      <c r="FI469" s="14">
        <f>INDEX(属性投放!$BQ$6:$BQ$85,(卡牌属性!$DW469-2)*20+卡牌属性!$DX469)</f>
        <v>100</v>
      </c>
      <c r="FJ469" s="14">
        <f>INDEX(属性投放!$BQ$6:$BQ$85,(卡牌属性!$DW469-2)*20+卡牌属性!$DX469)</f>
        <v>100</v>
      </c>
      <c r="FK469" s="14">
        <f>INDEX(属性投放!$BQ$6:$BQ$85,(卡牌属性!$DW469-2)*20+卡牌属性!$DX469)</f>
        <v>100</v>
      </c>
      <c r="FL469" s="14">
        <f>INDEX(属性投放!$BQ$6:$BQ$85,(卡牌属性!$DW469-2)*20+卡牌属性!$DX469)</f>
        <v>100</v>
      </c>
      <c r="FM469" s="14">
        <f>INDEX(属性投放!$BR$6:$BR$85,(卡牌属性!$DW469-2)*20+卡牌属性!$DX469)</f>
        <v>50</v>
      </c>
      <c r="FN469" s="14">
        <f>INDEX(属性投放!$BR$6:$BR$85,(卡牌属性!$DW469-2)*20+卡牌属性!$DX469)</f>
        <v>50</v>
      </c>
      <c r="FO469" s="14">
        <f>INDEX(属性投放!$BR$6:$BR$85,(卡牌属性!$DW469-2)*20+卡牌属性!$DX469)</f>
        <v>50</v>
      </c>
      <c r="FP469" s="14">
        <f>INDEX(属性投放!$BR$6:$BR$85,(卡牌属性!$DW469-2)*20+卡牌属性!$DX469)</f>
        <v>50</v>
      </c>
      <c r="FQ469" s="14">
        <f>INDEX(属性投放!$BR$6:$BR$85,(卡牌属性!$DW469-2)*20+卡牌属性!$DX469)</f>
        <v>50</v>
      </c>
      <c r="FR469" s="14">
        <f>INDEX(属性投放!$BS$6:$BS$85,(卡牌属性!$DW469-2)*20+卡牌属性!$DX469)</f>
        <v>700</v>
      </c>
      <c r="FS469" s="14">
        <f>INDEX(属性投放!$BS$6:$BS$85,(卡牌属性!$DW469-2)*20+卡牌属性!$DX469)</f>
        <v>700</v>
      </c>
      <c r="FT469" s="14">
        <f>INDEX(属性投放!$BS$6:$BS$85,(卡牌属性!$DW469-2)*20+卡牌属性!$DX469)</f>
        <v>700</v>
      </c>
      <c r="FU469" s="14">
        <f>INDEX(属性投放!$BS$6:$BS$85,(卡牌属性!$DW469-2)*20+卡牌属性!$DX469)</f>
        <v>700</v>
      </c>
      <c r="FV469" s="14">
        <f>INDEX(属性投放!$BS$6:$BS$85,(卡牌属性!$DW469-2)*20+卡牌属性!$DX469)</f>
        <v>700</v>
      </c>
    </row>
    <row r="470" spans="31:178" ht="16.5" x14ac:dyDescent="0.2">
      <c r="AE470" s="13">
        <v>466</v>
      </c>
      <c r="AF470" s="13">
        <f t="shared" si="854"/>
        <v>24</v>
      </c>
      <c r="AG470" s="13">
        <f t="shared" si="855"/>
        <v>2</v>
      </c>
      <c r="AH470" s="13"/>
      <c r="AI470" s="13"/>
      <c r="AJ470" s="14">
        <f t="shared" si="856"/>
        <v>1101999</v>
      </c>
      <c r="AK470" s="14" t="str">
        <f t="shared" si="857"/>
        <v>R寄灵人6突</v>
      </c>
      <c r="AL470" s="25" t="s">
        <v>142</v>
      </c>
      <c r="AM470" s="14">
        <v>1</v>
      </c>
      <c r="AN470" s="14">
        <f t="shared" si="858"/>
        <v>6</v>
      </c>
      <c r="AO470" s="14">
        <f>INDEX(属性投放!$DF$6:$DF$85,(卡牌属性!AG470-2)*20+卡牌属性!AN470)</f>
        <v>464</v>
      </c>
      <c r="AP470" s="14">
        <f t="shared" si="859"/>
        <v>464</v>
      </c>
      <c r="AQ470" s="14">
        <f t="shared" si="859"/>
        <v>464</v>
      </c>
      <c r="AR470" s="14">
        <f t="shared" si="859"/>
        <v>464</v>
      </c>
      <c r="AS470" s="14">
        <f t="shared" si="859"/>
        <v>464</v>
      </c>
      <c r="AT470" s="14">
        <f>INDEX(属性投放!$DG$6:$DG$85,(卡牌属性!AG470-2)*20+卡牌属性!AN470)</f>
        <v>182</v>
      </c>
      <c r="AU470" s="14">
        <f t="shared" si="860"/>
        <v>182</v>
      </c>
      <c r="AV470" s="14">
        <f t="shared" si="860"/>
        <v>182</v>
      </c>
      <c r="AW470" s="14">
        <f t="shared" si="860"/>
        <v>182</v>
      </c>
      <c r="AX470" s="14">
        <f t="shared" si="860"/>
        <v>182</v>
      </c>
      <c r="AY470" s="14">
        <f>INDEX(属性投放!$DH$6:$DH$85,(卡牌属性!AG470-2)*20+卡牌属性!AN470)</f>
        <v>2534</v>
      </c>
      <c r="AZ470" s="14">
        <f t="shared" si="861"/>
        <v>2534</v>
      </c>
      <c r="BA470" s="14">
        <f t="shared" si="861"/>
        <v>2534</v>
      </c>
      <c r="BB470" s="14">
        <f t="shared" si="861"/>
        <v>2534</v>
      </c>
      <c r="BC470" s="14">
        <f t="shared" si="861"/>
        <v>2534</v>
      </c>
      <c r="BD470" s="14">
        <f>INDEX(属性投放!$DL$6:$DL$85,(卡牌属性!AG470-2)*20+卡牌属性!AN470)</f>
        <v>22</v>
      </c>
      <c r="BE470" s="14">
        <f t="shared" si="862"/>
        <v>22</v>
      </c>
      <c r="BF470" s="14">
        <f t="shared" si="862"/>
        <v>22</v>
      </c>
      <c r="BG470" s="14">
        <f t="shared" si="862"/>
        <v>22</v>
      </c>
      <c r="BH470" s="14">
        <f t="shared" si="862"/>
        <v>22</v>
      </c>
      <c r="BI470" s="14">
        <f>INDEX(属性投放!$DM$6:$DM$85,(卡牌属性!AG470-2)*20+卡牌属性!AN470)</f>
        <v>11</v>
      </c>
      <c r="BJ470" s="14">
        <f t="shared" si="863"/>
        <v>11</v>
      </c>
      <c r="BK470" s="14">
        <f t="shared" si="863"/>
        <v>11</v>
      </c>
      <c r="BL470" s="14">
        <f t="shared" si="863"/>
        <v>11</v>
      </c>
      <c r="BM470" s="14">
        <f t="shared" si="863"/>
        <v>11</v>
      </c>
      <c r="BN470" s="14">
        <f>INDEX(属性投放!$DN$6:$DN$85,(卡牌属性!AG470-2)*20+卡牌属性!AN470)</f>
        <v>153</v>
      </c>
      <c r="BO470" s="14">
        <f t="shared" si="864"/>
        <v>153</v>
      </c>
      <c r="BP470" s="14">
        <f t="shared" si="864"/>
        <v>153</v>
      </c>
      <c r="BQ470" s="14">
        <f t="shared" si="864"/>
        <v>153</v>
      </c>
      <c r="BR470" s="14">
        <f t="shared" si="864"/>
        <v>153</v>
      </c>
      <c r="BW470" s="13">
        <v>466</v>
      </c>
      <c r="BX470" s="13">
        <f t="shared" si="835"/>
        <v>24</v>
      </c>
      <c r="BY470" s="14">
        <f t="shared" si="836"/>
        <v>3</v>
      </c>
      <c r="BZ470" s="14">
        <f t="shared" si="840"/>
        <v>1102024</v>
      </c>
      <c r="CA470" s="14" t="str">
        <f t="shared" si="841"/>
        <v>朱仙6突</v>
      </c>
      <c r="CB470" s="25" t="s">
        <v>142</v>
      </c>
      <c r="CC470" s="14">
        <v>2</v>
      </c>
      <c r="CD470" s="14">
        <f t="shared" si="837"/>
        <v>6</v>
      </c>
      <c r="CE470" s="14" t="s">
        <v>21</v>
      </c>
      <c r="CF470" s="14">
        <f>INDEX(属性投放!$AZ$6:$AZ$85,(BY470-2)*20+CD470)</f>
        <v>1201</v>
      </c>
      <c r="CG470" s="14" t="s">
        <v>22</v>
      </c>
      <c r="CH470" s="14">
        <f>INDEX(属性投放!$BA$6:$BA$85,(BY470-2)*20+CD470)</f>
        <v>538</v>
      </c>
      <c r="CI470" s="14" t="s">
        <v>510</v>
      </c>
      <c r="CJ470" s="14">
        <f>INDEX(属性投放!$BB$6:$BB$85,(BY470-2)*20+CD470)</f>
        <v>7355</v>
      </c>
      <c r="CK470" s="14" t="s">
        <v>21</v>
      </c>
      <c r="CL470" s="14">
        <f>INDEX(属性投放!$BC$6:$BC$85,(BY470-2)*20+CD470)</f>
        <v>12</v>
      </c>
      <c r="CM470" s="14" t="s">
        <v>22</v>
      </c>
      <c r="CN470" s="14">
        <f>INDEX(属性投放!$BD$6:$BD$85,(BY470-2)*20+CD470)</f>
        <v>6</v>
      </c>
      <c r="CO470" s="14" t="s">
        <v>510</v>
      </c>
      <c r="CP470" s="14">
        <f>INDEX(属性投放!$BE$6:$BE$85,(BY470-2)*20+CD470)</f>
        <v>84</v>
      </c>
      <c r="CS470" s="13">
        <v>466</v>
      </c>
      <c r="CT470" s="13">
        <f t="shared" si="842"/>
        <v>9</v>
      </c>
      <c r="CU470" s="13">
        <f t="shared" si="843"/>
        <v>50</v>
      </c>
      <c r="CV470" s="14">
        <f t="shared" si="844"/>
        <v>3</v>
      </c>
      <c r="CW470" s="14">
        <f t="shared" si="845"/>
        <v>1102009</v>
      </c>
      <c r="CX470" s="14" t="str">
        <f>INDEX($O$6:$O$50,CT470)&amp;"-"&amp;INDEX(属性投放!$AB$7:$AB$50,CZ470)&amp;"-魂火-"&amp;DB470</f>
        <v>徐晃-无间+1-魂火-2</v>
      </c>
      <c r="CY470" s="25" t="s">
        <v>142</v>
      </c>
      <c r="CZ470" s="14">
        <f>INDEX(属性投放!$AM$7:$AM$58,CU470)</f>
        <v>20</v>
      </c>
      <c r="DA470" s="14" t="s">
        <v>537</v>
      </c>
      <c r="DB470" s="14">
        <f>INDEX(属性投放!$AN$7:$AN$58,CU470)</f>
        <v>2</v>
      </c>
      <c r="DC470" s="14">
        <f t="shared" si="838"/>
        <v>50</v>
      </c>
      <c r="DD470" s="14">
        <f>INDEX(属性投放!$AO$7:$AO$58,DC470)</f>
        <v>143</v>
      </c>
      <c r="DE470" s="14" t="s">
        <v>538</v>
      </c>
      <c r="DF470" s="14">
        <f>INDEX(属性投放!$BK$6:$BK$85,(CV470-2)*20+CZ470)</f>
        <v>1000</v>
      </c>
      <c r="DG470" s="14">
        <f>SUMIFS(DF$5:DF470,$CT$5:$CT470,"="&amp;$CT470)</f>
        <v>15370</v>
      </c>
      <c r="DH470" s="14" t="s">
        <v>539</v>
      </c>
      <c r="DI470" s="14">
        <f>INDEX(属性投放!$BL$6:$BL$85,(CV470-2)*20+CZ470)</f>
        <v>500</v>
      </c>
      <c r="DJ470" s="14">
        <f>SUMIFS(DI$5:DI470,$CT$5:$CT470,"="&amp;$CT470)</f>
        <v>7688</v>
      </c>
      <c r="DK470" s="14" t="s">
        <v>540</v>
      </c>
      <c r="DL470" s="14">
        <f>INDEX(属性投放!$BM$6:$BM$85,(CV470-2)*20+CZ470)</f>
        <v>10000</v>
      </c>
      <c r="DM470" s="14">
        <f>SUMIFS(DL$5:DL470,$CT$5:$CT470,"="&amp;$CT470)</f>
        <v>149740</v>
      </c>
      <c r="DR470" s="14">
        <f t="shared" si="849"/>
        <v>1102024</v>
      </c>
      <c r="DS470" s="14" t="str">
        <f t="shared" si="850"/>
        <v>朱仙6突</v>
      </c>
      <c r="DT470" s="14">
        <f t="shared" si="846"/>
        <v>5</v>
      </c>
      <c r="DU470" s="14">
        <f t="shared" si="847"/>
        <v>5</v>
      </c>
      <c r="DV470" s="14">
        <f t="shared" si="848"/>
        <v>5</v>
      </c>
      <c r="DW470" s="14">
        <f t="shared" si="851"/>
        <v>3</v>
      </c>
      <c r="DX470" s="14">
        <f t="shared" si="852"/>
        <v>6</v>
      </c>
      <c r="DY470" s="14">
        <f t="shared" si="853"/>
        <v>26</v>
      </c>
      <c r="DZ470" s="14">
        <f>INDEX(属性投放!$AX$6:$AX$85,(卡牌属性!DW470-2)*20+卡牌属性!DX470)</f>
        <v>5</v>
      </c>
      <c r="EA470" s="14">
        <f>INDEX(属性投放!BQ$6:BQ$85,卡牌属性!$DY470)</f>
        <v>140</v>
      </c>
      <c r="EB470" s="14">
        <f>INDEX(属性投放!BR$6:BR$85,卡牌属性!$DY470)</f>
        <v>70</v>
      </c>
      <c r="EC470" s="14">
        <f>INDEX(属性投放!BS$6:BS$85,卡牌属性!$DY470)</f>
        <v>980</v>
      </c>
      <c r="ED470" s="14">
        <f t="shared" si="865"/>
        <v>901</v>
      </c>
      <c r="EE470" s="14">
        <f t="shared" si="866"/>
        <v>991</v>
      </c>
      <c r="EF470" s="14">
        <f t="shared" si="867"/>
        <v>1203</v>
      </c>
      <c r="EG470" s="14">
        <f t="shared" si="868"/>
        <v>1203</v>
      </c>
      <c r="EH470" s="14">
        <f t="shared" si="869"/>
        <v>1331</v>
      </c>
      <c r="EI470" s="14">
        <f t="shared" si="870"/>
        <v>406</v>
      </c>
      <c r="EJ470" s="14">
        <f t="shared" si="871"/>
        <v>457</v>
      </c>
      <c r="EK470" s="14">
        <f t="shared" si="872"/>
        <v>457</v>
      </c>
      <c r="EL470" s="14">
        <f t="shared" si="873"/>
        <v>562</v>
      </c>
      <c r="EM470" s="14">
        <f t="shared" si="874"/>
        <v>628</v>
      </c>
      <c r="EN470" s="14">
        <f t="shared" si="875"/>
        <v>5385</v>
      </c>
      <c r="EO470" s="14">
        <f t="shared" si="876"/>
        <v>5942</v>
      </c>
      <c r="EP470" s="14">
        <f t="shared" si="877"/>
        <v>5942</v>
      </c>
      <c r="EQ470" s="14">
        <f t="shared" si="878"/>
        <v>7333</v>
      </c>
      <c r="ER470" s="14">
        <f t="shared" si="879"/>
        <v>8035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84</v>
      </c>
      <c r="FD470" s="14">
        <f>INDEX(属性偏向!$U$4:$U$243,(卡牌属性!$DV470-1+FD$3)*20+卡牌属性!$DX470)</f>
        <v>91</v>
      </c>
      <c r="FE470" s="14">
        <f>INDEX(属性偏向!$U$4:$U$243,(卡牌属性!$DV470-1+FE$3)*20+卡牌属性!$DX470)</f>
        <v>91</v>
      </c>
      <c r="FF470" s="14">
        <f>INDEX(属性偏向!$U$4:$U$243,(卡牌属性!$DV470-1+FF$3)*20+卡牌属性!$DX470)</f>
        <v>140</v>
      </c>
      <c r="FG470" s="14">
        <f>INDEX(属性偏向!$U$4:$U$243,(卡牌属性!$DV470-1+FG$3)*20+卡牌属性!$DX470)</f>
        <v>154</v>
      </c>
      <c r="FH470" s="14">
        <f>INDEX(属性投放!$BQ$6:$BQ$85,(卡牌属性!$DW470-2)*20+卡牌属性!$DX470)</f>
        <v>140</v>
      </c>
      <c r="FI470" s="14">
        <f>INDEX(属性投放!$BQ$6:$BQ$85,(卡牌属性!$DW470-2)*20+卡牌属性!$DX470)</f>
        <v>140</v>
      </c>
      <c r="FJ470" s="14">
        <f>INDEX(属性投放!$BQ$6:$BQ$85,(卡牌属性!$DW470-2)*20+卡牌属性!$DX470)</f>
        <v>140</v>
      </c>
      <c r="FK470" s="14">
        <f>INDEX(属性投放!$BQ$6:$BQ$85,(卡牌属性!$DW470-2)*20+卡牌属性!$DX470)</f>
        <v>140</v>
      </c>
      <c r="FL470" s="14">
        <f>INDEX(属性投放!$BQ$6:$BQ$85,(卡牌属性!$DW470-2)*20+卡牌属性!$DX470)</f>
        <v>140</v>
      </c>
      <c r="FM470" s="14">
        <f>INDEX(属性投放!$BR$6:$BR$85,(卡牌属性!$DW470-2)*20+卡牌属性!$DX470)</f>
        <v>70</v>
      </c>
      <c r="FN470" s="14">
        <f>INDEX(属性投放!$BR$6:$BR$85,(卡牌属性!$DW470-2)*20+卡牌属性!$DX470)</f>
        <v>70</v>
      </c>
      <c r="FO470" s="14">
        <f>INDEX(属性投放!$BR$6:$BR$85,(卡牌属性!$DW470-2)*20+卡牌属性!$DX470)</f>
        <v>70</v>
      </c>
      <c r="FP470" s="14">
        <f>INDEX(属性投放!$BR$6:$BR$85,(卡牌属性!$DW470-2)*20+卡牌属性!$DX470)</f>
        <v>70</v>
      </c>
      <c r="FQ470" s="14">
        <f>INDEX(属性投放!$BR$6:$BR$85,(卡牌属性!$DW470-2)*20+卡牌属性!$DX470)</f>
        <v>70</v>
      </c>
      <c r="FR470" s="14">
        <f>INDEX(属性投放!$BS$6:$BS$85,(卡牌属性!$DW470-2)*20+卡牌属性!$DX470)</f>
        <v>980</v>
      </c>
      <c r="FS470" s="14">
        <f>INDEX(属性投放!$BS$6:$BS$85,(卡牌属性!$DW470-2)*20+卡牌属性!$DX470)</f>
        <v>980</v>
      </c>
      <c r="FT470" s="14">
        <f>INDEX(属性投放!$BS$6:$BS$85,(卡牌属性!$DW470-2)*20+卡牌属性!$DX470)</f>
        <v>980</v>
      </c>
      <c r="FU470" s="14">
        <f>INDEX(属性投放!$BS$6:$BS$85,(卡牌属性!$DW470-2)*20+卡牌属性!$DX470)</f>
        <v>980</v>
      </c>
      <c r="FV470" s="14">
        <f>INDEX(属性投放!$BS$6:$BS$85,(卡牌属性!$DW470-2)*20+卡牌属性!$DX470)</f>
        <v>980</v>
      </c>
    </row>
    <row r="471" spans="31:178" ht="16.5" x14ac:dyDescent="0.2">
      <c r="AE471" s="13">
        <v>467</v>
      </c>
      <c r="AF471" s="13">
        <f t="shared" si="854"/>
        <v>24</v>
      </c>
      <c r="AG471" s="13">
        <f t="shared" si="855"/>
        <v>2</v>
      </c>
      <c r="AH471" s="13"/>
      <c r="AI471" s="13"/>
      <c r="AJ471" s="14">
        <f t="shared" si="856"/>
        <v>1101999</v>
      </c>
      <c r="AK471" s="14" t="str">
        <f t="shared" si="857"/>
        <v>R寄灵人7突</v>
      </c>
      <c r="AL471" s="25" t="s">
        <v>142</v>
      </c>
      <c r="AM471" s="14">
        <v>1</v>
      </c>
      <c r="AN471" s="14">
        <f t="shared" si="858"/>
        <v>7</v>
      </c>
      <c r="AO471" s="14">
        <f>INDEX(属性投放!$DF$6:$DF$85,(卡牌属性!AG471-2)*20+卡牌属性!AN471)</f>
        <v>1077</v>
      </c>
      <c r="AP471" s="14">
        <f t="shared" si="859"/>
        <v>1077</v>
      </c>
      <c r="AQ471" s="14">
        <f t="shared" si="859"/>
        <v>1077</v>
      </c>
      <c r="AR471" s="14">
        <f t="shared" si="859"/>
        <v>1077</v>
      </c>
      <c r="AS471" s="14">
        <f t="shared" si="859"/>
        <v>1077</v>
      </c>
      <c r="AT471" s="14">
        <f>INDEX(属性投放!$DG$6:$DG$85,(卡牌属性!AG471-2)*20+卡牌属性!AN471)</f>
        <v>488</v>
      </c>
      <c r="AU471" s="14">
        <f t="shared" si="860"/>
        <v>488</v>
      </c>
      <c r="AV471" s="14">
        <f t="shared" si="860"/>
        <v>488</v>
      </c>
      <c r="AW471" s="14">
        <f t="shared" si="860"/>
        <v>488</v>
      </c>
      <c r="AX471" s="14">
        <f t="shared" si="860"/>
        <v>488</v>
      </c>
      <c r="AY471" s="14">
        <f>INDEX(属性投放!$DH$6:$DH$85,(卡牌属性!AG471-2)*20+卡牌属性!AN471)</f>
        <v>6797</v>
      </c>
      <c r="AZ471" s="14">
        <f t="shared" si="861"/>
        <v>6797</v>
      </c>
      <c r="BA471" s="14">
        <f t="shared" si="861"/>
        <v>6797</v>
      </c>
      <c r="BB471" s="14">
        <f t="shared" si="861"/>
        <v>6797</v>
      </c>
      <c r="BC471" s="14">
        <f t="shared" si="861"/>
        <v>6797</v>
      </c>
      <c r="BD471" s="14">
        <f>INDEX(属性投放!$DL$6:$DL$85,(卡牌属性!AG471-2)*20+卡牌属性!AN471)</f>
        <v>36</v>
      </c>
      <c r="BE471" s="14">
        <f t="shared" si="862"/>
        <v>36</v>
      </c>
      <c r="BF471" s="14">
        <f t="shared" si="862"/>
        <v>36</v>
      </c>
      <c r="BG471" s="14">
        <f t="shared" si="862"/>
        <v>36</v>
      </c>
      <c r="BH471" s="14">
        <f t="shared" si="862"/>
        <v>36</v>
      </c>
      <c r="BI471" s="14">
        <f>INDEX(属性投放!$DM$6:$DM$85,(卡牌属性!AG471-2)*20+卡牌属性!AN471)</f>
        <v>18</v>
      </c>
      <c r="BJ471" s="14">
        <f t="shared" si="863"/>
        <v>18</v>
      </c>
      <c r="BK471" s="14">
        <f t="shared" si="863"/>
        <v>18</v>
      </c>
      <c r="BL471" s="14">
        <f t="shared" si="863"/>
        <v>18</v>
      </c>
      <c r="BM471" s="14">
        <f t="shared" si="863"/>
        <v>18</v>
      </c>
      <c r="BN471" s="14">
        <f>INDEX(属性投放!$DN$6:$DN$85,(卡牌属性!AG471-2)*20+卡牌属性!AN471)</f>
        <v>286</v>
      </c>
      <c r="BO471" s="14">
        <f t="shared" si="864"/>
        <v>286</v>
      </c>
      <c r="BP471" s="14">
        <f t="shared" si="864"/>
        <v>286</v>
      </c>
      <c r="BQ471" s="14">
        <f t="shared" si="864"/>
        <v>286</v>
      </c>
      <c r="BR471" s="14">
        <f t="shared" si="864"/>
        <v>286</v>
      </c>
      <c r="BW471" s="13">
        <v>467</v>
      </c>
      <c r="BX471" s="13">
        <f t="shared" si="835"/>
        <v>24</v>
      </c>
      <c r="BY471" s="14">
        <f t="shared" si="836"/>
        <v>3</v>
      </c>
      <c r="BZ471" s="14">
        <f t="shared" si="840"/>
        <v>1102024</v>
      </c>
      <c r="CA471" s="14" t="str">
        <f t="shared" si="841"/>
        <v>朱仙7突</v>
      </c>
      <c r="CB471" s="25" t="s">
        <v>142</v>
      </c>
      <c r="CC471" s="14">
        <v>2</v>
      </c>
      <c r="CD471" s="14">
        <f t="shared" si="837"/>
        <v>7</v>
      </c>
      <c r="CE471" s="14" t="s">
        <v>21</v>
      </c>
      <c r="CF471" s="14">
        <f>INDEX(属性投放!$AZ$6:$AZ$85,(BY471-2)*20+CD471)</f>
        <v>1501</v>
      </c>
      <c r="CG471" s="14" t="s">
        <v>22</v>
      </c>
      <c r="CH471" s="14">
        <f>INDEX(属性投放!$BA$6:$BA$85,(BY471-2)*20+CD471)</f>
        <v>688</v>
      </c>
      <c r="CI471" s="14" t="s">
        <v>510</v>
      </c>
      <c r="CJ471" s="14">
        <f>INDEX(属性投放!$BB$6:$BB$85,(BY471-2)*20+CD471)</f>
        <v>9455</v>
      </c>
      <c r="CK471" s="14" t="s">
        <v>21</v>
      </c>
      <c r="CL471" s="14">
        <f>INDEX(属性投放!$BC$6:$BC$85,(BY471-2)*20+CD471)</f>
        <v>15</v>
      </c>
      <c r="CM471" s="14" t="s">
        <v>22</v>
      </c>
      <c r="CN471" s="14">
        <f>INDEX(属性投放!$BD$6:$BD$85,(BY471-2)*20+CD471)</f>
        <v>8</v>
      </c>
      <c r="CO471" s="14" t="s">
        <v>510</v>
      </c>
      <c r="CP471" s="14">
        <f>INDEX(属性投放!$BE$6:$BE$85,(BY471-2)*20+CD471)</f>
        <v>120</v>
      </c>
      <c r="CS471" s="13">
        <v>467</v>
      </c>
      <c r="CT471" s="13">
        <f t="shared" si="842"/>
        <v>9</v>
      </c>
      <c r="CU471" s="13">
        <f t="shared" si="843"/>
        <v>51</v>
      </c>
      <c r="CV471" s="14">
        <f t="shared" si="844"/>
        <v>3</v>
      </c>
      <c r="CW471" s="14">
        <f t="shared" si="845"/>
        <v>1102009</v>
      </c>
      <c r="CX471" s="14" t="str">
        <f>INDEX($O$6:$O$50,CT471)&amp;"-"&amp;INDEX(属性投放!$AB$7:$AB$50,CZ471)&amp;"-魂火-"&amp;DB471</f>
        <v>徐晃-无间+1-魂火-3</v>
      </c>
      <c r="CY471" s="25" t="s">
        <v>142</v>
      </c>
      <c r="CZ471" s="14">
        <f>INDEX(属性投放!$AM$7:$AM$58,CU471)</f>
        <v>20</v>
      </c>
      <c r="DA471" s="14" t="s">
        <v>537</v>
      </c>
      <c r="DB471" s="14">
        <f>INDEX(属性投放!$AN$7:$AN$58,CU471)</f>
        <v>3</v>
      </c>
      <c r="DC471" s="14">
        <f t="shared" si="838"/>
        <v>51</v>
      </c>
      <c r="DD471" s="14">
        <f>INDEX(属性投放!$AO$7:$AO$58,DC471)</f>
        <v>145</v>
      </c>
      <c r="DE471" s="14" t="s">
        <v>538</v>
      </c>
      <c r="DF471" s="14">
        <f>INDEX(属性投放!$BK$6:$BK$85,(CV471-2)*20+CZ471)</f>
        <v>1000</v>
      </c>
      <c r="DG471" s="14">
        <f>SUMIFS(DF$5:DF471,$CT$5:$CT471,"="&amp;$CT471)</f>
        <v>16370</v>
      </c>
      <c r="DH471" s="14" t="s">
        <v>539</v>
      </c>
      <c r="DI471" s="14">
        <f>INDEX(属性投放!$BL$6:$BL$85,(CV471-2)*20+CZ471)</f>
        <v>500</v>
      </c>
      <c r="DJ471" s="14">
        <f>SUMIFS(DI$5:DI471,$CT$5:$CT471,"="&amp;$CT471)</f>
        <v>8188</v>
      </c>
      <c r="DK471" s="14" t="s">
        <v>540</v>
      </c>
      <c r="DL471" s="14">
        <f>INDEX(属性投放!$BM$6:$BM$85,(CV471-2)*20+CZ471)</f>
        <v>10000</v>
      </c>
      <c r="DM471" s="14">
        <f>SUMIFS(DL$5:DL471,$CT$5:$CT471,"="&amp;$CT471)</f>
        <v>159740</v>
      </c>
      <c r="DR471" s="14">
        <f t="shared" si="849"/>
        <v>1102024</v>
      </c>
      <c r="DS471" s="14" t="str">
        <f t="shared" si="850"/>
        <v>朱仙7突</v>
      </c>
      <c r="DT471" s="14">
        <f t="shared" si="846"/>
        <v>5</v>
      </c>
      <c r="DU471" s="14">
        <f t="shared" si="847"/>
        <v>5</v>
      </c>
      <c r="DV471" s="14">
        <f t="shared" si="848"/>
        <v>5</v>
      </c>
      <c r="DW471" s="14">
        <f t="shared" si="851"/>
        <v>3</v>
      </c>
      <c r="DX471" s="14">
        <f t="shared" si="852"/>
        <v>7</v>
      </c>
      <c r="DY471" s="14">
        <f t="shared" si="853"/>
        <v>27</v>
      </c>
      <c r="DZ471" s="14">
        <f>INDEX(属性投放!$AX$6:$AX$85,(卡牌属性!DW471-2)*20+卡牌属性!DX471)</f>
        <v>5</v>
      </c>
      <c r="EA471" s="14">
        <f>INDEX(属性投放!BQ$6:BQ$85,卡牌属性!$DY471)</f>
        <v>135</v>
      </c>
      <c r="EB471" s="14">
        <f>INDEX(属性投放!BR$6:BR$85,卡牌属性!$DY471)</f>
        <v>68</v>
      </c>
      <c r="EC471" s="14">
        <f>INDEX(属性投放!BS$6:BS$85,卡牌属性!$DY471)</f>
        <v>1080</v>
      </c>
      <c r="ED471" s="14">
        <f t="shared" si="865"/>
        <v>1101</v>
      </c>
      <c r="EE471" s="14">
        <f t="shared" si="866"/>
        <v>1196</v>
      </c>
      <c r="EF471" s="14">
        <f t="shared" si="867"/>
        <v>1443</v>
      </c>
      <c r="EG471" s="14">
        <f t="shared" si="868"/>
        <v>1443</v>
      </c>
      <c r="EH471" s="14">
        <f t="shared" si="869"/>
        <v>1581</v>
      </c>
      <c r="EI471" s="14">
        <f t="shared" si="870"/>
        <v>506</v>
      </c>
      <c r="EJ471" s="14">
        <f t="shared" si="871"/>
        <v>562</v>
      </c>
      <c r="EK471" s="14">
        <f t="shared" si="872"/>
        <v>562</v>
      </c>
      <c r="EL471" s="14">
        <f t="shared" si="873"/>
        <v>682</v>
      </c>
      <c r="EM471" s="14">
        <f t="shared" si="874"/>
        <v>753</v>
      </c>
      <c r="EN471" s="14">
        <f t="shared" si="875"/>
        <v>6785</v>
      </c>
      <c r="EO471" s="14">
        <f t="shared" si="876"/>
        <v>7377</v>
      </c>
      <c r="EP471" s="14">
        <f t="shared" si="877"/>
        <v>7377</v>
      </c>
      <c r="EQ471" s="14">
        <f t="shared" si="878"/>
        <v>9013</v>
      </c>
      <c r="ER471" s="14">
        <f t="shared" si="879"/>
        <v>9785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120</v>
      </c>
      <c r="FD471" s="14">
        <f>INDEX(属性偏向!$U$4:$U$243,(卡牌属性!$DV471-1+FD$3)*20+卡牌属性!$DX471)</f>
        <v>128</v>
      </c>
      <c r="FE471" s="14">
        <f>INDEX(属性偏向!$U$4:$U$243,(卡牌属性!$DV471-1+FE$3)*20+卡牌属性!$DX471)</f>
        <v>128</v>
      </c>
      <c r="FF471" s="14">
        <f>INDEX(属性偏向!$U$4:$U$243,(卡牌属性!$DV471-1+FF$3)*20+卡牌属性!$DX471)</f>
        <v>200</v>
      </c>
      <c r="FG471" s="14">
        <f>INDEX(属性偏向!$U$4:$U$243,(卡牌属性!$DV471-1+FG$3)*20+卡牌属性!$DX471)</f>
        <v>224</v>
      </c>
      <c r="FH471" s="14">
        <f>INDEX(属性投放!$BQ$6:$BQ$85,(卡牌属性!$DW471-2)*20+卡牌属性!$DX471)</f>
        <v>135</v>
      </c>
      <c r="FI471" s="14">
        <f>INDEX(属性投放!$BQ$6:$BQ$85,(卡牌属性!$DW471-2)*20+卡牌属性!$DX471)</f>
        <v>135</v>
      </c>
      <c r="FJ471" s="14">
        <f>INDEX(属性投放!$BQ$6:$BQ$85,(卡牌属性!$DW471-2)*20+卡牌属性!$DX471)</f>
        <v>135</v>
      </c>
      <c r="FK471" s="14">
        <f>INDEX(属性投放!$BQ$6:$BQ$85,(卡牌属性!$DW471-2)*20+卡牌属性!$DX471)</f>
        <v>135</v>
      </c>
      <c r="FL471" s="14">
        <f>INDEX(属性投放!$BQ$6:$BQ$85,(卡牌属性!$DW471-2)*20+卡牌属性!$DX471)</f>
        <v>135</v>
      </c>
      <c r="FM471" s="14">
        <f>INDEX(属性投放!$BR$6:$BR$85,(卡牌属性!$DW471-2)*20+卡牌属性!$DX471)</f>
        <v>68</v>
      </c>
      <c r="FN471" s="14">
        <f>INDEX(属性投放!$BR$6:$BR$85,(卡牌属性!$DW471-2)*20+卡牌属性!$DX471)</f>
        <v>68</v>
      </c>
      <c r="FO471" s="14">
        <f>INDEX(属性投放!$BR$6:$BR$85,(卡牌属性!$DW471-2)*20+卡牌属性!$DX471)</f>
        <v>68</v>
      </c>
      <c r="FP471" s="14">
        <f>INDEX(属性投放!$BR$6:$BR$85,(卡牌属性!$DW471-2)*20+卡牌属性!$DX471)</f>
        <v>68</v>
      </c>
      <c r="FQ471" s="14">
        <f>INDEX(属性投放!$BR$6:$BR$85,(卡牌属性!$DW471-2)*20+卡牌属性!$DX471)</f>
        <v>68</v>
      </c>
      <c r="FR471" s="14">
        <f>INDEX(属性投放!$BS$6:$BS$85,(卡牌属性!$DW471-2)*20+卡牌属性!$DX471)</f>
        <v>1080</v>
      </c>
      <c r="FS471" s="14">
        <f>INDEX(属性投放!$BS$6:$BS$85,(卡牌属性!$DW471-2)*20+卡牌属性!$DX471)</f>
        <v>1080</v>
      </c>
      <c r="FT471" s="14">
        <f>INDEX(属性投放!$BS$6:$BS$85,(卡牌属性!$DW471-2)*20+卡牌属性!$DX471)</f>
        <v>1080</v>
      </c>
      <c r="FU471" s="14">
        <f>INDEX(属性投放!$BS$6:$BS$85,(卡牌属性!$DW471-2)*20+卡牌属性!$DX471)</f>
        <v>1080</v>
      </c>
      <c r="FV471" s="14">
        <f>INDEX(属性投放!$BS$6:$BS$85,(卡牌属性!$DW471-2)*20+卡牌属性!$DX471)</f>
        <v>1080</v>
      </c>
    </row>
    <row r="472" spans="31:178" ht="16.5" x14ac:dyDescent="0.2">
      <c r="AE472" s="13">
        <v>468</v>
      </c>
      <c r="AF472" s="13">
        <f t="shared" si="854"/>
        <v>24</v>
      </c>
      <c r="AG472" s="13">
        <f t="shared" si="855"/>
        <v>2</v>
      </c>
      <c r="AH472" s="13"/>
      <c r="AI472" s="13"/>
      <c r="AJ472" s="14">
        <f t="shared" si="856"/>
        <v>1101999</v>
      </c>
      <c r="AK472" s="14" t="str">
        <f t="shared" si="857"/>
        <v>R寄灵人8突</v>
      </c>
      <c r="AL472" s="25" t="s">
        <v>142</v>
      </c>
      <c r="AM472" s="14">
        <v>1</v>
      </c>
      <c r="AN472" s="14">
        <f t="shared" si="858"/>
        <v>8</v>
      </c>
      <c r="AO472" s="14">
        <f>INDEX(属性投放!$DF$6:$DF$85,(卡牌属性!AG472-2)*20+卡牌属性!AN472)</f>
        <v>1179</v>
      </c>
      <c r="AP472" s="14">
        <f t="shared" si="859"/>
        <v>1179</v>
      </c>
      <c r="AQ472" s="14">
        <f t="shared" si="859"/>
        <v>1179</v>
      </c>
      <c r="AR472" s="14">
        <f t="shared" si="859"/>
        <v>1179</v>
      </c>
      <c r="AS472" s="14">
        <f t="shared" si="859"/>
        <v>1179</v>
      </c>
      <c r="AT472" s="14">
        <f>INDEX(属性投放!$DG$6:$DG$85,(卡牌属性!AG472-2)*20+卡牌属性!AN472)</f>
        <v>539</v>
      </c>
      <c r="AU472" s="14">
        <f t="shared" si="860"/>
        <v>539</v>
      </c>
      <c r="AV472" s="14">
        <f t="shared" si="860"/>
        <v>539</v>
      </c>
      <c r="AW472" s="14">
        <f t="shared" si="860"/>
        <v>539</v>
      </c>
      <c r="AX472" s="14">
        <f t="shared" si="860"/>
        <v>539</v>
      </c>
      <c r="AY472" s="14">
        <f>INDEX(属性投放!$DH$6:$DH$85,(卡牌属性!AG472-2)*20+卡牌属性!AN472)</f>
        <v>7613</v>
      </c>
      <c r="AZ472" s="14">
        <f t="shared" si="861"/>
        <v>7613</v>
      </c>
      <c r="BA472" s="14">
        <f t="shared" si="861"/>
        <v>7613</v>
      </c>
      <c r="BB472" s="14">
        <f t="shared" si="861"/>
        <v>7613</v>
      </c>
      <c r="BC472" s="14">
        <f t="shared" si="861"/>
        <v>7613</v>
      </c>
      <c r="BD472" s="14">
        <f>INDEX(属性投放!$DL$6:$DL$85,(卡牌属性!AG472-2)*20+卡牌属性!AN472)</f>
        <v>36</v>
      </c>
      <c r="BE472" s="14">
        <f t="shared" si="862"/>
        <v>36</v>
      </c>
      <c r="BF472" s="14">
        <f t="shared" si="862"/>
        <v>36</v>
      </c>
      <c r="BG472" s="14">
        <f t="shared" si="862"/>
        <v>36</v>
      </c>
      <c r="BH472" s="14">
        <f t="shared" si="862"/>
        <v>36</v>
      </c>
      <c r="BI472" s="14">
        <f>INDEX(属性投放!$DM$6:$DM$85,(卡牌属性!AG472-2)*20+卡牌属性!AN472)</f>
        <v>18</v>
      </c>
      <c r="BJ472" s="14">
        <f t="shared" si="863"/>
        <v>18</v>
      </c>
      <c r="BK472" s="14">
        <f t="shared" si="863"/>
        <v>18</v>
      </c>
      <c r="BL472" s="14">
        <f t="shared" si="863"/>
        <v>18</v>
      </c>
      <c r="BM472" s="14">
        <f t="shared" si="863"/>
        <v>18</v>
      </c>
      <c r="BN472" s="14">
        <f>INDEX(属性投放!$DN$6:$DN$85,(卡牌属性!AG472-2)*20+卡牌属性!AN472)</f>
        <v>286</v>
      </c>
      <c r="BO472" s="14">
        <f t="shared" si="864"/>
        <v>286</v>
      </c>
      <c r="BP472" s="14">
        <f t="shared" si="864"/>
        <v>286</v>
      </c>
      <c r="BQ472" s="14">
        <f t="shared" si="864"/>
        <v>286</v>
      </c>
      <c r="BR472" s="14">
        <f t="shared" si="864"/>
        <v>286</v>
      </c>
      <c r="BW472" s="13">
        <v>468</v>
      </c>
      <c r="BX472" s="13">
        <f t="shared" si="835"/>
        <v>24</v>
      </c>
      <c r="BY472" s="14">
        <f t="shared" si="836"/>
        <v>3</v>
      </c>
      <c r="BZ472" s="14">
        <f t="shared" si="840"/>
        <v>1102024</v>
      </c>
      <c r="CA472" s="14" t="str">
        <f t="shared" si="841"/>
        <v>朱仙8突</v>
      </c>
      <c r="CB472" s="25" t="s">
        <v>142</v>
      </c>
      <c r="CC472" s="14">
        <v>2</v>
      </c>
      <c r="CD472" s="14">
        <f t="shared" si="837"/>
        <v>8</v>
      </c>
      <c r="CE472" s="14" t="s">
        <v>21</v>
      </c>
      <c r="CF472" s="14">
        <f>INDEX(属性投放!$AZ$6:$AZ$85,(BY472-2)*20+CD472)</f>
        <v>1851</v>
      </c>
      <c r="CG472" s="14" t="s">
        <v>22</v>
      </c>
      <c r="CH472" s="14">
        <f>INDEX(属性投放!$BA$6:$BA$85,(BY472-2)*20+CD472)</f>
        <v>866</v>
      </c>
      <c r="CI472" s="14" t="s">
        <v>510</v>
      </c>
      <c r="CJ472" s="14">
        <f>INDEX(属性投放!$BB$6:$BB$85,(BY472-2)*20+CD472)</f>
        <v>12255</v>
      </c>
      <c r="CK472" s="14" t="s">
        <v>21</v>
      </c>
      <c r="CL472" s="14">
        <f>INDEX(属性投放!$BC$6:$BC$85,(BY472-2)*20+CD472)</f>
        <v>15</v>
      </c>
      <c r="CM472" s="14" t="s">
        <v>22</v>
      </c>
      <c r="CN472" s="14">
        <f>INDEX(属性投放!$BD$6:$BD$85,(BY472-2)*20+CD472)</f>
        <v>8</v>
      </c>
      <c r="CO472" s="14" t="s">
        <v>510</v>
      </c>
      <c r="CP472" s="14">
        <f>INDEX(属性投放!$BE$6:$BE$85,(BY472-2)*20+CD472)</f>
        <v>120</v>
      </c>
      <c r="CS472" s="13">
        <v>468</v>
      </c>
      <c r="CT472" s="13">
        <f t="shared" si="842"/>
        <v>9</v>
      </c>
      <c r="CU472" s="13">
        <f t="shared" si="843"/>
        <v>52</v>
      </c>
      <c r="CV472" s="14">
        <f t="shared" si="844"/>
        <v>3</v>
      </c>
      <c r="CW472" s="14">
        <f t="shared" si="845"/>
        <v>1102009</v>
      </c>
      <c r="CX472" s="14" t="str">
        <f>INDEX($O$6:$O$50,CT472)&amp;"-"&amp;INDEX(属性投放!$AB$7:$AB$50,CZ472)&amp;"-魂火-"&amp;DB472</f>
        <v>徐晃-无间+1-魂火-4</v>
      </c>
      <c r="CY472" s="25" t="s">
        <v>142</v>
      </c>
      <c r="CZ472" s="14">
        <f>INDEX(属性投放!$AM$7:$AM$58,CU472)</f>
        <v>20</v>
      </c>
      <c r="DA472" s="14" t="s">
        <v>537</v>
      </c>
      <c r="DB472" s="14">
        <f>INDEX(属性投放!$AN$7:$AN$58,CU472)</f>
        <v>4</v>
      </c>
      <c r="DC472" s="14">
        <f t="shared" si="838"/>
        <v>52</v>
      </c>
      <c r="DD472" s="14">
        <f>INDEX(属性投放!$AO$7:$AO$58,DC472)</f>
        <v>148</v>
      </c>
      <c r="DE472" s="14" t="s">
        <v>538</v>
      </c>
      <c r="DF472" s="14">
        <f>INDEX(属性投放!$BK$6:$BK$85,(CV472-2)*20+CZ472)</f>
        <v>1000</v>
      </c>
      <c r="DG472" s="14">
        <f>SUMIFS(DF$5:DF472,$CT$5:$CT472,"="&amp;$CT472)</f>
        <v>17370</v>
      </c>
      <c r="DH472" s="14" t="s">
        <v>539</v>
      </c>
      <c r="DI472" s="14">
        <f>INDEX(属性投放!$BL$6:$BL$85,(CV472-2)*20+CZ472)</f>
        <v>500</v>
      </c>
      <c r="DJ472" s="14">
        <f>SUMIFS(DI$5:DI472,$CT$5:$CT472,"="&amp;$CT472)</f>
        <v>8688</v>
      </c>
      <c r="DK472" s="14" t="s">
        <v>540</v>
      </c>
      <c r="DL472" s="14">
        <f>INDEX(属性投放!$BM$6:$BM$85,(CV472-2)*20+CZ472)</f>
        <v>10000</v>
      </c>
      <c r="DM472" s="14">
        <f>SUMIFS(DL$5:DL472,$CT$5:$CT472,"="&amp;$CT472)</f>
        <v>169740</v>
      </c>
      <c r="DR472" s="14">
        <f t="shared" si="849"/>
        <v>1102024</v>
      </c>
      <c r="DS472" s="14" t="str">
        <f t="shared" si="850"/>
        <v>朱仙8突</v>
      </c>
      <c r="DT472" s="14">
        <f t="shared" si="846"/>
        <v>5</v>
      </c>
      <c r="DU472" s="14">
        <f t="shared" si="847"/>
        <v>5</v>
      </c>
      <c r="DV472" s="14">
        <f t="shared" si="848"/>
        <v>5</v>
      </c>
      <c r="DW472" s="14">
        <f t="shared" si="851"/>
        <v>3</v>
      </c>
      <c r="DX472" s="14">
        <f t="shared" si="852"/>
        <v>8</v>
      </c>
      <c r="DY472" s="14">
        <f t="shared" si="853"/>
        <v>28</v>
      </c>
      <c r="DZ472" s="14">
        <f>INDEX(属性投放!$AX$6:$AX$85,(卡牌属性!DW472-2)*20+卡牌属性!DX472)</f>
        <v>5</v>
      </c>
      <c r="EA472" s="14">
        <f>INDEX(属性投放!BQ$6:BQ$85,卡牌属性!$DY472)</f>
        <v>125</v>
      </c>
      <c r="EB472" s="14">
        <f>INDEX(属性投放!BR$6:BR$85,卡牌属性!$DY472)</f>
        <v>63</v>
      </c>
      <c r="EC472" s="14">
        <f>INDEX(属性投放!BS$6:BS$85,卡牌属性!$DY472)</f>
        <v>1000</v>
      </c>
      <c r="ED472" s="14">
        <f t="shared" si="865"/>
        <v>1311</v>
      </c>
      <c r="EE472" s="14">
        <f t="shared" si="866"/>
        <v>1411</v>
      </c>
      <c r="EF472" s="14">
        <f t="shared" si="867"/>
        <v>1703</v>
      </c>
      <c r="EG472" s="14">
        <f t="shared" si="868"/>
        <v>1703</v>
      </c>
      <c r="EH472" s="14">
        <f t="shared" si="869"/>
        <v>1856</v>
      </c>
      <c r="EI472" s="14">
        <f t="shared" si="870"/>
        <v>614</v>
      </c>
      <c r="EJ472" s="14">
        <f t="shared" si="871"/>
        <v>670</v>
      </c>
      <c r="EK472" s="14">
        <f t="shared" si="872"/>
        <v>670</v>
      </c>
      <c r="EL472" s="14">
        <f t="shared" si="873"/>
        <v>815</v>
      </c>
      <c r="EM472" s="14">
        <f t="shared" si="874"/>
        <v>891</v>
      </c>
      <c r="EN472" s="14">
        <f t="shared" si="875"/>
        <v>8465</v>
      </c>
      <c r="EO472" s="14">
        <f t="shared" si="876"/>
        <v>9097</v>
      </c>
      <c r="EP472" s="14">
        <f t="shared" si="877"/>
        <v>9097</v>
      </c>
      <c r="EQ472" s="14">
        <f t="shared" si="878"/>
        <v>11093</v>
      </c>
      <c r="ER472" s="14">
        <f t="shared" si="879"/>
        <v>11985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120</v>
      </c>
      <c r="FD472" s="14">
        <f>INDEX(属性偏向!$U$4:$U$243,(卡牌属性!$DV472-1+FD$3)*20+卡牌属性!$DX472)</f>
        <v>128</v>
      </c>
      <c r="FE472" s="14">
        <f>INDEX(属性偏向!$U$4:$U$243,(卡牌属性!$DV472-1+FE$3)*20+卡牌属性!$DX472)</f>
        <v>128</v>
      </c>
      <c r="FF472" s="14">
        <f>INDEX(属性偏向!$U$4:$U$243,(卡牌属性!$DV472-1+FF$3)*20+卡牌属性!$DX472)</f>
        <v>200</v>
      </c>
      <c r="FG472" s="14">
        <f>INDEX(属性偏向!$U$4:$U$243,(卡牌属性!$DV472-1+FG$3)*20+卡牌属性!$DX472)</f>
        <v>224</v>
      </c>
      <c r="FH472" s="14">
        <f>INDEX(属性投放!$BQ$6:$BQ$85,(卡牌属性!$DW472-2)*20+卡牌属性!$DX472)</f>
        <v>125</v>
      </c>
      <c r="FI472" s="14">
        <f>INDEX(属性投放!$BQ$6:$BQ$85,(卡牌属性!$DW472-2)*20+卡牌属性!$DX472)</f>
        <v>125</v>
      </c>
      <c r="FJ472" s="14">
        <f>INDEX(属性投放!$BQ$6:$BQ$85,(卡牌属性!$DW472-2)*20+卡牌属性!$DX472)</f>
        <v>125</v>
      </c>
      <c r="FK472" s="14">
        <f>INDEX(属性投放!$BQ$6:$BQ$85,(卡牌属性!$DW472-2)*20+卡牌属性!$DX472)</f>
        <v>125</v>
      </c>
      <c r="FL472" s="14">
        <f>INDEX(属性投放!$BQ$6:$BQ$85,(卡牌属性!$DW472-2)*20+卡牌属性!$DX472)</f>
        <v>125</v>
      </c>
      <c r="FM472" s="14">
        <f>INDEX(属性投放!$BR$6:$BR$85,(卡牌属性!$DW472-2)*20+卡牌属性!$DX472)</f>
        <v>63</v>
      </c>
      <c r="FN472" s="14">
        <f>INDEX(属性投放!$BR$6:$BR$85,(卡牌属性!$DW472-2)*20+卡牌属性!$DX472)</f>
        <v>63</v>
      </c>
      <c r="FO472" s="14">
        <f>INDEX(属性投放!$BR$6:$BR$85,(卡牌属性!$DW472-2)*20+卡牌属性!$DX472)</f>
        <v>63</v>
      </c>
      <c r="FP472" s="14">
        <f>INDEX(属性投放!$BR$6:$BR$85,(卡牌属性!$DW472-2)*20+卡牌属性!$DX472)</f>
        <v>63</v>
      </c>
      <c r="FQ472" s="14">
        <f>INDEX(属性投放!$BR$6:$BR$85,(卡牌属性!$DW472-2)*20+卡牌属性!$DX472)</f>
        <v>63</v>
      </c>
      <c r="FR472" s="14">
        <f>INDEX(属性投放!$BS$6:$BS$85,(卡牌属性!$DW472-2)*20+卡牌属性!$DX472)</f>
        <v>1000</v>
      </c>
      <c r="FS472" s="14">
        <f>INDEX(属性投放!$BS$6:$BS$85,(卡牌属性!$DW472-2)*20+卡牌属性!$DX472)</f>
        <v>1000</v>
      </c>
      <c r="FT472" s="14">
        <f>INDEX(属性投放!$BS$6:$BS$85,(卡牌属性!$DW472-2)*20+卡牌属性!$DX472)</f>
        <v>1000</v>
      </c>
      <c r="FU472" s="14">
        <f>INDEX(属性投放!$BS$6:$BS$85,(卡牌属性!$DW472-2)*20+卡牌属性!$DX472)</f>
        <v>1000</v>
      </c>
      <c r="FV472" s="14">
        <f>INDEX(属性投放!$BS$6:$BS$85,(卡牌属性!$DW472-2)*20+卡牌属性!$DX472)</f>
        <v>1000</v>
      </c>
    </row>
    <row r="473" spans="31:178" ht="16.5" x14ac:dyDescent="0.2">
      <c r="AE473" s="13">
        <v>469</v>
      </c>
      <c r="AF473" s="13">
        <f t="shared" si="854"/>
        <v>24</v>
      </c>
      <c r="AG473" s="13">
        <f t="shared" si="855"/>
        <v>2</v>
      </c>
      <c r="AH473" s="13"/>
      <c r="AI473" s="13"/>
      <c r="AJ473" s="14">
        <f t="shared" si="856"/>
        <v>1101999</v>
      </c>
      <c r="AK473" s="14" t="str">
        <f t="shared" si="857"/>
        <v>R寄灵人9突</v>
      </c>
      <c r="AL473" s="25" t="s">
        <v>142</v>
      </c>
      <c r="AM473" s="14">
        <v>1</v>
      </c>
      <c r="AN473" s="14">
        <f t="shared" si="858"/>
        <v>9</v>
      </c>
      <c r="AO473" s="14">
        <f>INDEX(属性投放!$DF$6:$DF$85,(卡牌属性!AG473-2)*20+卡牌属性!AN473)</f>
        <v>1281</v>
      </c>
      <c r="AP473" s="14">
        <f t="shared" si="859"/>
        <v>1281</v>
      </c>
      <c r="AQ473" s="14">
        <f t="shared" si="859"/>
        <v>1281</v>
      </c>
      <c r="AR473" s="14">
        <f t="shared" si="859"/>
        <v>1281</v>
      </c>
      <c r="AS473" s="14">
        <f t="shared" si="859"/>
        <v>1281</v>
      </c>
      <c r="AT473" s="14">
        <f>INDEX(属性投放!$DG$6:$DG$85,(卡牌属性!AG473-2)*20+卡牌属性!AN473)</f>
        <v>590</v>
      </c>
      <c r="AU473" s="14">
        <f t="shared" si="860"/>
        <v>590</v>
      </c>
      <c r="AV473" s="14">
        <f t="shared" si="860"/>
        <v>590</v>
      </c>
      <c r="AW473" s="14">
        <f t="shared" si="860"/>
        <v>590</v>
      </c>
      <c r="AX473" s="14">
        <f t="shared" si="860"/>
        <v>590</v>
      </c>
      <c r="AY473" s="14">
        <f>INDEX(属性投放!$DH$6:$DH$85,(卡牌属性!AG473-2)*20+卡牌属性!AN473)</f>
        <v>8429</v>
      </c>
      <c r="AZ473" s="14">
        <f t="shared" si="861"/>
        <v>8429</v>
      </c>
      <c r="BA473" s="14">
        <f t="shared" si="861"/>
        <v>8429</v>
      </c>
      <c r="BB473" s="14">
        <f t="shared" si="861"/>
        <v>8429</v>
      </c>
      <c r="BC473" s="14">
        <f t="shared" si="861"/>
        <v>8429</v>
      </c>
      <c r="BD473" s="14">
        <f>INDEX(属性投放!$DL$6:$DL$85,(卡牌属性!AG473-2)*20+卡牌属性!AN473)</f>
        <v>36</v>
      </c>
      <c r="BE473" s="14">
        <f t="shared" si="862"/>
        <v>36</v>
      </c>
      <c r="BF473" s="14">
        <f t="shared" si="862"/>
        <v>36</v>
      </c>
      <c r="BG473" s="14">
        <f t="shared" si="862"/>
        <v>36</v>
      </c>
      <c r="BH473" s="14">
        <f t="shared" si="862"/>
        <v>36</v>
      </c>
      <c r="BI473" s="14">
        <f>INDEX(属性投放!$DM$6:$DM$85,(卡牌属性!AG473-2)*20+卡牌属性!AN473)</f>
        <v>18</v>
      </c>
      <c r="BJ473" s="14">
        <f t="shared" si="863"/>
        <v>18</v>
      </c>
      <c r="BK473" s="14">
        <f t="shared" si="863"/>
        <v>18</v>
      </c>
      <c r="BL473" s="14">
        <f t="shared" si="863"/>
        <v>18</v>
      </c>
      <c r="BM473" s="14">
        <f t="shared" si="863"/>
        <v>18</v>
      </c>
      <c r="BN473" s="14">
        <f>INDEX(属性投放!$DN$6:$DN$85,(卡牌属性!AG473-2)*20+卡牌属性!AN473)</f>
        <v>286</v>
      </c>
      <c r="BO473" s="14">
        <f t="shared" si="864"/>
        <v>286</v>
      </c>
      <c r="BP473" s="14">
        <f t="shared" si="864"/>
        <v>286</v>
      </c>
      <c r="BQ473" s="14">
        <f t="shared" si="864"/>
        <v>286</v>
      </c>
      <c r="BR473" s="14">
        <f t="shared" si="864"/>
        <v>286</v>
      </c>
      <c r="BW473" s="13">
        <v>469</v>
      </c>
      <c r="BX473" s="13">
        <f t="shared" si="835"/>
        <v>24</v>
      </c>
      <c r="BY473" s="14">
        <f t="shared" si="836"/>
        <v>3</v>
      </c>
      <c r="BZ473" s="14">
        <f t="shared" si="840"/>
        <v>1102024</v>
      </c>
      <c r="CA473" s="14" t="str">
        <f t="shared" si="841"/>
        <v>朱仙9突</v>
      </c>
      <c r="CB473" s="25" t="s">
        <v>142</v>
      </c>
      <c r="CC473" s="14">
        <v>2</v>
      </c>
      <c r="CD473" s="14">
        <f t="shared" si="837"/>
        <v>9</v>
      </c>
      <c r="CE473" s="14" t="s">
        <v>21</v>
      </c>
      <c r="CF473" s="14">
        <f>INDEX(属性投放!$AZ$6:$AZ$85,(BY473-2)*20+CD473)</f>
        <v>2221</v>
      </c>
      <c r="CG473" s="14" t="s">
        <v>22</v>
      </c>
      <c r="CH473" s="14">
        <f>INDEX(属性投放!$BA$6:$BA$85,(BY473-2)*20+CD473)</f>
        <v>1055</v>
      </c>
      <c r="CI473" s="14" t="s">
        <v>510</v>
      </c>
      <c r="CJ473" s="14">
        <f>INDEX(属性投放!$BB$6:$BB$85,(BY473-2)*20+CD473)</f>
        <v>15215</v>
      </c>
      <c r="CK473" s="14" t="s">
        <v>21</v>
      </c>
      <c r="CL473" s="14">
        <f>INDEX(属性投放!$BC$6:$BC$85,(BY473-2)*20+CD473)</f>
        <v>15</v>
      </c>
      <c r="CM473" s="14" t="s">
        <v>22</v>
      </c>
      <c r="CN473" s="14">
        <f>INDEX(属性投放!$BD$6:$BD$85,(BY473-2)*20+CD473)</f>
        <v>8</v>
      </c>
      <c r="CO473" s="14" t="s">
        <v>510</v>
      </c>
      <c r="CP473" s="14">
        <f>INDEX(属性投放!$BE$6:$BE$85,(BY473-2)*20+CD473)</f>
        <v>120</v>
      </c>
      <c r="CS473" s="13">
        <v>469</v>
      </c>
      <c r="CT473" s="13">
        <f t="shared" si="842"/>
        <v>10</v>
      </c>
      <c r="CU473" s="13">
        <f t="shared" si="843"/>
        <v>1</v>
      </c>
      <c r="CV473" s="14">
        <f t="shared" si="844"/>
        <v>4</v>
      </c>
      <c r="CW473" s="14">
        <f t="shared" si="845"/>
        <v>1102010</v>
      </c>
      <c r="CX473" s="14" t="str">
        <f>INDEX($O$6:$O$50,CT473)&amp;"-"&amp;INDEX(属性投放!$AB$7:$AB$50,CZ473)&amp;"-魂火-"&amp;DB473</f>
        <v>张郃-等活-魂火-1</v>
      </c>
      <c r="CY473" s="25" t="s">
        <v>142</v>
      </c>
      <c r="CZ473" s="14">
        <f>INDEX(属性投放!$AM$7:$AM$58,CU473)</f>
        <v>1</v>
      </c>
      <c r="DA473" s="14" t="s">
        <v>537</v>
      </c>
      <c r="DB473" s="14">
        <f>INDEX(属性投放!$AN$7:$AN$58,CU473)</f>
        <v>1</v>
      </c>
      <c r="DC473" s="14">
        <f t="shared" si="838"/>
        <v>1</v>
      </c>
      <c r="DD473" s="14">
        <f>INDEX(属性投放!$AO$7:$AO$58,DC473)</f>
        <v>3</v>
      </c>
      <c r="DE473" s="14" t="s">
        <v>538</v>
      </c>
      <c r="DF473" s="14">
        <f>INDEX(属性投放!$BK$6:$BK$85,(CV473-2)*20+CZ473)</f>
        <v>25</v>
      </c>
      <c r="DG473" s="14">
        <f>SUMIFS(DF$5:DF473,$CT$5:$CT473,"="&amp;$CT473)</f>
        <v>25</v>
      </c>
      <c r="DH473" s="14" t="s">
        <v>539</v>
      </c>
      <c r="DI473" s="14">
        <f>INDEX(属性投放!$BL$6:$BL$85,(CV473-2)*20+CZ473)</f>
        <v>13</v>
      </c>
      <c r="DJ473" s="14">
        <f>SUMIFS(DI$5:DI473,$CT$5:$CT473,"="&amp;$CT473)</f>
        <v>13</v>
      </c>
      <c r="DK473" s="14" t="s">
        <v>540</v>
      </c>
      <c r="DL473" s="14">
        <f>INDEX(属性投放!$BM$6:$BM$85,(CV473-2)*20+CZ473)</f>
        <v>150</v>
      </c>
      <c r="DM473" s="14">
        <f>SUMIFS(DL$5:DL473,$CT$5:$CT473,"="&amp;$CT473)</f>
        <v>150</v>
      </c>
      <c r="DR473" s="14">
        <f t="shared" si="849"/>
        <v>1102024</v>
      </c>
      <c r="DS473" s="14" t="str">
        <f t="shared" si="850"/>
        <v>朱仙9突</v>
      </c>
      <c r="DT473" s="14">
        <f t="shared" si="846"/>
        <v>5</v>
      </c>
      <c r="DU473" s="14">
        <f t="shared" si="847"/>
        <v>5</v>
      </c>
      <c r="DV473" s="14">
        <f t="shared" si="848"/>
        <v>5</v>
      </c>
      <c r="DW473" s="14">
        <f t="shared" si="851"/>
        <v>3</v>
      </c>
      <c r="DX473" s="14">
        <f t="shared" si="852"/>
        <v>9</v>
      </c>
      <c r="DY473" s="14">
        <f t="shared" si="853"/>
        <v>29</v>
      </c>
      <c r="DZ473" s="14">
        <f>INDEX(属性投放!$AX$6:$AX$85,(卡牌属性!DW473-2)*20+卡牌属性!DX473)</f>
        <v>8</v>
      </c>
      <c r="EA473" s="14">
        <f>INDEX(属性投放!BQ$6:BQ$85,卡牌属性!$DY473)</f>
        <v>185</v>
      </c>
      <c r="EB473" s="14">
        <f>INDEX(属性投放!BR$6:BR$85,卡牌属性!$DY473)</f>
        <v>93</v>
      </c>
      <c r="EC473" s="14">
        <f>INDEX(属性投放!BS$6:BS$85,卡牌属性!$DY473)</f>
        <v>1480</v>
      </c>
      <c r="ED473" s="14">
        <f t="shared" si="865"/>
        <v>1511</v>
      </c>
      <c r="EE473" s="14">
        <f t="shared" si="866"/>
        <v>1616</v>
      </c>
      <c r="EF473" s="14">
        <f t="shared" si="867"/>
        <v>1953</v>
      </c>
      <c r="EG473" s="14">
        <f t="shared" si="868"/>
        <v>1953</v>
      </c>
      <c r="EH473" s="14">
        <f t="shared" si="869"/>
        <v>2121</v>
      </c>
      <c r="EI473" s="14">
        <f t="shared" si="870"/>
        <v>717</v>
      </c>
      <c r="EJ473" s="14">
        <f t="shared" si="871"/>
        <v>773</v>
      </c>
      <c r="EK473" s="14">
        <f t="shared" si="872"/>
        <v>773</v>
      </c>
      <c r="EL473" s="14">
        <f t="shared" si="873"/>
        <v>943</v>
      </c>
      <c r="EM473" s="14">
        <f t="shared" si="874"/>
        <v>1024</v>
      </c>
      <c r="EN473" s="14">
        <f t="shared" si="875"/>
        <v>10065</v>
      </c>
      <c r="EO473" s="14">
        <f t="shared" si="876"/>
        <v>10737</v>
      </c>
      <c r="EP473" s="14">
        <f t="shared" si="877"/>
        <v>10737</v>
      </c>
      <c r="EQ473" s="14">
        <f t="shared" si="878"/>
        <v>13093</v>
      </c>
      <c r="ER473" s="14">
        <f t="shared" si="879"/>
        <v>14105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120</v>
      </c>
      <c r="FD473" s="14">
        <f>INDEX(属性偏向!$U$4:$U$243,(卡牌属性!$DV473-1+FD$3)*20+卡牌属性!$DX473)</f>
        <v>128</v>
      </c>
      <c r="FE473" s="14">
        <f>INDEX(属性偏向!$U$4:$U$243,(卡牌属性!$DV473-1+FE$3)*20+卡牌属性!$DX473)</f>
        <v>128</v>
      </c>
      <c r="FF473" s="14">
        <f>INDEX(属性偏向!$U$4:$U$243,(卡牌属性!$DV473-1+FF$3)*20+卡牌属性!$DX473)</f>
        <v>200</v>
      </c>
      <c r="FG473" s="14">
        <f>INDEX(属性偏向!$U$4:$U$243,(卡牌属性!$DV473-1+FG$3)*20+卡牌属性!$DX473)</f>
        <v>224</v>
      </c>
      <c r="FH473" s="14">
        <f>INDEX(属性投放!$BQ$6:$BQ$85,(卡牌属性!$DW473-2)*20+卡牌属性!$DX473)</f>
        <v>185</v>
      </c>
      <c r="FI473" s="14">
        <f>INDEX(属性投放!$BQ$6:$BQ$85,(卡牌属性!$DW473-2)*20+卡牌属性!$DX473)</f>
        <v>185</v>
      </c>
      <c r="FJ473" s="14">
        <f>INDEX(属性投放!$BQ$6:$BQ$85,(卡牌属性!$DW473-2)*20+卡牌属性!$DX473)</f>
        <v>185</v>
      </c>
      <c r="FK473" s="14">
        <f>INDEX(属性投放!$BQ$6:$BQ$85,(卡牌属性!$DW473-2)*20+卡牌属性!$DX473)</f>
        <v>185</v>
      </c>
      <c r="FL473" s="14">
        <f>INDEX(属性投放!$BQ$6:$BQ$85,(卡牌属性!$DW473-2)*20+卡牌属性!$DX473)</f>
        <v>185</v>
      </c>
      <c r="FM473" s="14">
        <f>INDEX(属性投放!$BR$6:$BR$85,(卡牌属性!$DW473-2)*20+卡牌属性!$DX473)</f>
        <v>93</v>
      </c>
      <c r="FN473" s="14">
        <f>INDEX(属性投放!$BR$6:$BR$85,(卡牌属性!$DW473-2)*20+卡牌属性!$DX473)</f>
        <v>93</v>
      </c>
      <c r="FO473" s="14">
        <f>INDEX(属性投放!$BR$6:$BR$85,(卡牌属性!$DW473-2)*20+卡牌属性!$DX473)</f>
        <v>93</v>
      </c>
      <c r="FP473" s="14">
        <f>INDEX(属性投放!$BR$6:$BR$85,(卡牌属性!$DW473-2)*20+卡牌属性!$DX473)</f>
        <v>93</v>
      </c>
      <c r="FQ473" s="14">
        <f>INDEX(属性投放!$BR$6:$BR$85,(卡牌属性!$DW473-2)*20+卡牌属性!$DX473)</f>
        <v>93</v>
      </c>
      <c r="FR473" s="14">
        <f>INDEX(属性投放!$BS$6:$BS$85,(卡牌属性!$DW473-2)*20+卡牌属性!$DX473)</f>
        <v>1480</v>
      </c>
      <c r="FS473" s="14">
        <f>INDEX(属性投放!$BS$6:$BS$85,(卡牌属性!$DW473-2)*20+卡牌属性!$DX473)</f>
        <v>1480</v>
      </c>
      <c r="FT473" s="14">
        <f>INDEX(属性投放!$BS$6:$BS$85,(卡牌属性!$DW473-2)*20+卡牌属性!$DX473)</f>
        <v>1480</v>
      </c>
      <c r="FU473" s="14">
        <f>INDEX(属性投放!$BS$6:$BS$85,(卡牌属性!$DW473-2)*20+卡牌属性!$DX473)</f>
        <v>1480</v>
      </c>
      <c r="FV473" s="14">
        <f>INDEX(属性投放!$BS$6:$BS$85,(卡牌属性!$DW473-2)*20+卡牌属性!$DX473)</f>
        <v>1480</v>
      </c>
    </row>
    <row r="474" spans="31:178" ht="16.5" x14ac:dyDescent="0.2">
      <c r="AE474" s="13">
        <v>470</v>
      </c>
      <c r="AF474" s="13">
        <f t="shared" si="854"/>
        <v>24</v>
      </c>
      <c r="AG474" s="13">
        <f t="shared" si="855"/>
        <v>2</v>
      </c>
      <c r="AH474" s="13"/>
      <c r="AI474" s="13"/>
      <c r="AJ474" s="14">
        <f t="shared" si="856"/>
        <v>1101999</v>
      </c>
      <c r="AK474" s="14" t="str">
        <f t="shared" si="857"/>
        <v>R寄灵人10突</v>
      </c>
      <c r="AL474" s="25" t="s">
        <v>142</v>
      </c>
      <c r="AM474" s="14">
        <v>1</v>
      </c>
      <c r="AN474" s="14">
        <f t="shared" si="858"/>
        <v>10</v>
      </c>
      <c r="AO474" s="14">
        <f>INDEX(属性投放!$DF$6:$DF$85,(卡牌属性!AG474-2)*20+卡牌属性!AN474)</f>
        <v>1923</v>
      </c>
      <c r="AP474" s="14">
        <f t="shared" si="859"/>
        <v>1923</v>
      </c>
      <c r="AQ474" s="14">
        <f t="shared" si="859"/>
        <v>1923</v>
      </c>
      <c r="AR474" s="14">
        <f t="shared" si="859"/>
        <v>1923</v>
      </c>
      <c r="AS474" s="14">
        <f t="shared" si="859"/>
        <v>1923</v>
      </c>
      <c r="AT474" s="14">
        <f>INDEX(属性投放!$DG$6:$DG$85,(卡牌属性!AG474-2)*20+卡牌属性!AN474)</f>
        <v>911</v>
      </c>
      <c r="AU474" s="14">
        <f t="shared" si="860"/>
        <v>911</v>
      </c>
      <c r="AV474" s="14">
        <f t="shared" si="860"/>
        <v>911</v>
      </c>
      <c r="AW474" s="14">
        <f t="shared" si="860"/>
        <v>911</v>
      </c>
      <c r="AX474" s="14">
        <f t="shared" si="860"/>
        <v>911</v>
      </c>
      <c r="AY474" s="14">
        <f>INDEX(属性投放!$DH$6:$DH$85,(卡牌属性!AG474-2)*20+卡牌属性!AN474)</f>
        <v>13535</v>
      </c>
      <c r="AZ474" s="14">
        <f t="shared" si="861"/>
        <v>13535</v>
      </c>
      <c r="BA474" s="14">
        <f t="shared" si="861"/>
        <v>13535</v>
      </c>
      <c r="BB474" s="14">
        <f t="shared" si="861"/>
        <v>13535</v>
      </c>
      <c r="BC474" s="14">
        <f t="shared" si="861"/>
        <v>13535</v>
      </c>
      <c r="BD474" s="14">
        <f>INDEX(属性投放!$DL$6:$DL$85,(卡牌属性!AG474-2)*20+卡牌属性!AN474)</f>
        <v>76</v>
      </c>
      <c r="BE474" s="14">
        <f t="shared" si="862"/>
        <v>76</v>
      </c>
      <c r="BF474" s="14">
        <f t="shared" si="862"/>
        <v>76</v>
      </c>
      <c r="BG474" s="14">
        <f t="shared" si="862"/>
        <v>76</v>
      </c>
      <c r="BH474" s="14">
        <f t="shared" si="862"/>
        <v>76</v>
      </c>
      <c r="BI474" s="14">
        <f>INDEX(属性投放!$DM$6:$DM$85,(卡牌属性!AG474-2)*20+卡牌属性!AN474)</f>
        <v>38</v>
      </c>
      <c r="BJ474" s="14">
        <f t="shared" si="863"/>
        <v>38</v>
      </c>
      <c r="BK474" s="14">
        <f t="shared" si="863"/>
        <v>38</v>
      </c>
      <c r="BL474" s="14">
        <f t="shared" si="863"/>
        <v>38</v>
      </c>
      <c r="BM474" s="14">
        <f t="shared" si="863"/>
        <v>38</v>
      </c>
      <c r="BN474" s="14">
        <f>INDEX(属性投放!$DN$6:$DN$85,(卡牌属性!AG474-2)*20+卡牌属性!AN474)</f>
        <v>685</v>
      </c>
      <c r="BO474" s="14">
        <f t="shared" si="864"/>
        <v>685</v>
      </c>
      <c r="BP474" s="14">
        <f t="shared" si="864"/>
        <v>685</v>
      </c>
      <c r="BQ474" s="14">
        <f t="shared" si="864"/>
        <v>685</v>
      </c>
      <c r="BR474" s="14">
        <f t="shared" si="864"/>
        <v>685</v>
      </c>
      <c r="BW474" s="13">
        <v>470</v>
      </c>
      <c r="BX474" s="13">
        <f t="shared" si="835"/>
        <v>24</v>
      </c>
      <c r="BY474" s="14">
        <f t="shared" si="836"/>
        <v>3</v>
      </c>
      <c r="BZ474" s="14">
        <f t="shared" si="840"/>
        <v>1102024</v>
      </c>
      <c r="CA474" s="14" t="str">
        <f t="shared" si="841"/>
        <v>朱仙10突</v>
      </c>
      <c r="CB474" s="25" t="s">
        <v>142</v>
      </c>
      <c r="CC474" s="14">
        <v>2</v>
      </c>
      <c r="CD474" s="14">
        <f t="shared" si="837"/>
        <v>10</v>
      </c>
      <c r="CE474" s="14" t="s">
        <v>21</v>
      </c>
      <c r="CF474" s="14">
        <f>INDEX(属性投放!$AZ$6:$AZ$85,(BY474-2)*20+CD474)</f>
        <v>2826</v>
      </c>
      <c r="CG474" s="14" t="s">
        <v>22</v>
      </c>
      <c r="CH474" s="14">
        <f>INDEX(属性投放!$BA$6:$BA$85,(BY474-2)*20+CD474)</f>
        <v>1362</v>
      </c>
      <c r="CI474" s="14" t="s">
        <v>510</v>
      </c>
      <c r="CJ474" s="14">
        <f>INDEX(属性投放!$BB$6:$BB$85,(BY474-2)*20+CD474)</f>
        <v>20055</v>
      </c>
      <c r="CK474" s="14" t="s">
        <v>21</v>
      </c>
      <c r="CL474" s="14">
        <f>INDEX(属性投放!$BC$6:$BC$85,(BY474-2)*20+CD474)</f>
        <v>20</v>
      </c>
      <c r="CM474" s="14" t="s">
        <v>22</v>
      </c>
      <c r="CN474" s="14">
        <f>INDEX(属性投放!$BD$6:$BD$85,(BY474-2)*20+CD474)</f>
        <v>10</v>
      </c>
      <c r="CO474" s="14" t="s">
        <v>510</v>
      </c>
      <c r="CP474" s="14">
        <f>INDEX(属性投放!$BE$6:$BE$85,(BY474-2)*20+CD474)</f>
        <v>180</v>
      </c>
      <c r="CS474" s="13">
        <v>470</v>
      </c>
      <c r="CT474" s="13">
        <f t="shared" si="842"/>
        <v>10</v>
      </c>
      <c r="CU474" s="13">
        <f t="shared" si="843"/>
        <v>2</v>
      </c>
      <c r="CV474" s="14">
        <f t="shared" si="844"/>
        <v>4</v>
      </c>
      <c r="CW474" s="14">
        <f t="shared" si="845"/>
        <v>1102010</v>
      </c>
      <c r="CX474" s="14" t="str">
        <f>INDEX($O$6:$O$50,CT474)&amp;"-"&amp;INDEX(属性投放!$AB$7:$AB$50,CZ474)&amp;"-魂火-"&amp;DB474</f>
        <v>张郃-黑绳-魂火-1</v>
      </c>
      <c r="CY474" s="25" t="s">
        <v>142</v>
      </c>
      <c r="CZ474" s="14">
        <f>INDEX(属性投放!$AM$7:$AM$58,CU474)</f>
        <v>2</v>
      </c>
      <c r="DA474" s="14" t="s">
        <v>537</v>
      </c>
      <c r="DB474" s="14">
        <f>INDEX(属性投放!$AN$7:$AN$58,CU474)</f>
        <v>1</v>
      </c>
      <c r="DC474" s="14">
        <f t="shared" si="838"/>
        <v>2</v>
      </c>
      <c r="DD474" s="14">
        <f>INDEX(属性投放!$AO$7:$AO$58,DC474)</f>
        <v>8</v>
      </c>
      <c r="DE474" s="14" t="s">
        <v>538</v>
      </c>
      <c r="DF474" s="14">
        <f>INDEX(属性投放!$BK$6:$BK$85,(CV474-2)*20+CZ474)</f>
        <v>30</v>
      </c>
      <c r="DG474" s="14">
        <f>SUMIFS(DF$5:DF474,$CT$5:$CT474,"="&amp;$CT474)</f>
        <v>55</v>
      </c>
      <c r="DH474" s="14" t="s">
        <v>539</v>
      </c>
      <c r="DI474" s="14">
        <f>INDEX(属性投放!$BL$6:$BL$85,(CV474-2)*20+CZ474)</f>
        <v>15</v>
      </c>
      <c r="DJ474" s="14">
        <f>SUMIFS(DI$5:DI474,$CT$5:$CT474,"="&amp;$CT474)</f>
        <v>28</v>
      </c>
      <c r="DK474" s="14" t="s">
        <v>540</v>
      </c>
      <c r="DL474" s="14">
        <f>INDEX(属性投放!$BM$6:$BM$85,(CV474-2)*20+CZ474)</f>
        <v>180</v>
      </c>
      <c r="DM474" s="14">
        <f>SUMIFS(DL$5:DL474,$CT$5:$CT474,"="&amp;$CT474)</f>
        <v>330</v>
      </c>
      <c r="DR474" s="14">
        <f t="shared" si="849"/>
        <v>1102024</v>
      </c>
      <c r="DS474" s="14" t="str">
        <f t="shared" si="850"/>
        <v>朱仙10突</v>
      </c>
      <c r="DT474" s="14">
        <f t="shared" si="846"/>
        <v>5</v>
      </c>
      <c r="DU474" s="14">
        <f t="shared" si="847"/>
        <v>5</v>
      </c>
      <c r="DV474" s="14">
        <f t="shared" si="848"/>
        <v>5</v>
      </c>
      <c r="DW474" s="14">
        <f t="shared" si="851"/>
        <v>3</v>
      </c>
      <c r="DX474" s="14">
        <f t="shared" si="852"/>
        <v>10</v>
      </c>
      <c r="DY474" s="14">
        <f t="shared" si="853"/>
        <v>30</v>
      </c>
      <c r="DZ474" s="14">
        <f>INDEX(属性投放!$AX$6:$AX$85,(卡牌属性!DW474-2)*20+卡牌属性!DX474)</f>
        <v>7</v>
      </c>
      <c r="EA474" s="14">
        <f>INDEX(属性投放!BQ$6:BQ$85,卡牌属性!$DY474)</f>
        <v>175</v>
      </c>
      <c r="EB474" s="14">
        <f>INDEX(属性投放!BR$6:BR$85,卡牌属性!$DY474)</f>
        <v>88</v>
      </c>
      <c r="EC474" s="14">
        <f>INDEX(属性投放!BS$6:BS$85,卡牌属性!$DY474)</f>
        <v>1575</v>
      </c>
      <c r="ED474" s="14">
        <f t="shared" si="865"/>
        <v>1816</v>
      </c>
      <c r="EE474" s="14">
        <f t="shared" si="866"/>
        <v>1929</v>
      </c>
      <c r="EF474" s="14">
        <f t="shared" si="867"/>
        <v>2338</v>
      </c>
      <c r="EG474" s="14">
        <f t="shared" si="868"/>
        <v>2338</v>
      </c>
      <c r="EH474" s="14">
        <f t="shared" si="869"/>
        <v>2530</v>
      </c>
      <c r="EI474" s="14">
        <f t="shared" si="870"/>
        <v>874</v>
      </c>
      <c r="EJ474" s="14">
        <f t="shared" si="871"/>
        <v>930</v>
      </c>
      <c r="EK474" s="14">
        <f t="shared" si="872"/>
        <v>930</v>
      </c>
      <c r="EL474" s="14">
        <f t="shared" si="873"/>
        <v>1140</v>
      </c>
      <c r="EM474" s="14">
        <f t="shared" si="874"/>
        <v>1229</v>
      </c>
      <c r="EN474" s="14">
        <f t="shared" si="875"/>
        <v>12505</v>
      </c>
      <c r="EO474" s="14">
        <f t="shared" si="876"/>
        <v>13241</v>
      </c>
      <c r="EP474" s="14">
        <f t="shared" si="877"/>
        <v>13241</v>
      </c>
      <c r="EQ474" s="14">
        <f t="shared" si="878"/>
        <v>16173</v>
      </c>
      <c r="ER474" s="14">
        <f t="shared" si="879"/>
        <v>17377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180</v>
      </c>
      <c r="FD474" s="14">
        <f>INDEX(属性偏向!$U$4:$U$243,(卡牌属性!$DV474-1+FD$3)*20+卡牌属性!$DX474)</f>
        <v>189</v>
      </c>
      <c r="FE474" s="14">
        <f>INDEX(属性偏向!$U$4:$U$243,(卡牌属性!$DV474-1+FE$3)*20+卡牌属性!$DX474)</f>
        <v>189</v>
      </c>
      <c r="FF474" s="14">
        <f>INDEX(属性偏向!$U$4:$U$243,(卡牌属性!$DV474-1+FF$3)*20+卡牌属性!$DX474)</f>
        <v>270</v>
      </c>
      <c r="FG474" s="14">
        <f>INDEX(属性偏向!$U$4:$U$243,(卡牌属性!$DV474-1+FG$3)*20+卡牌属性!$DX474)</f>
        <v>315</v>
      </c>
      <c r="FH474" s="14">
        <f>INDEX(属性投放!$BQ$6:$BQ$85,(卡牌属性!$DW474-2)*20+卡牌属性!$DX474)</f>
        <v>175</v>
      </c>
      <c r="FI474" s="14">
        <f>INDEX(属性投放!$BQ$6:$BQ$85,(卡牌属性!$DW474-2)*20+卡牌属性!$DX474)</f>
        <v>175</v>
      </c>
      <c r="FJ474" s="14">
        <f>INDEX(属性投放!$BQ$6:$BQ$85,(卡牌属性!$DW474-2)*20+卡牌属性!$DX474)</f>
        <v>175</v>
      </c>
      <c r="FK474" s="14">
        <f>INDEX(属性投放!$BQ$6:$BQ$85,(卡牌属性!$DW474-2)*20+卡牌属性!$DX474)</f>
        <v>175</v>
      </c>
      <c r="FL474" s="14">
        <f>INDEX(属性投放!$BQ$6:$BQ$85,(卡牌属性!$DW474-2)*20+卡牌属性!$DX474)</f>
        <v>175</v>
      </c>
      <c r="FM474" s="14">
        <f>INDEX(属性投放!$BR$6:$BR$85,(卡牌属性!$DW474-2)*20+卡牌属性!$DX474)</f>
        <v>88</v>
      </c>
      <c r="FN474" s="14">
        <f>INDEX(属性投放!$BR$6:$BR$85,(卡牌属性!$DW474-2)*20+卡牌属性!$DX474)</f>
        <v>88</v>
      </c>
      <c r="FO474" s="14">
        <f>INDEX(属性投放!$BR$6:$BR$85,(卡牌属性!$DW474-2)*20+卡牌属性!$DX474)</f>
        <v>88</v>
      </c>
      <c r="FP474" s="14">
        <f>INDEX(属性投放!$BR$6:$BR$85,(卡牌属性!$DW474-2)*20+卡牌属性!$DX474)</f>
        <v>88</v>
      </c>
      <c r="FQ474" s="14">
        <f>INDEX(属性投放!$BR$6:$BR$85,(卡牌属性!$DW474-2)*20+卡牌属性!$DX474)</f>
        <v>88</v>
      </c>
      <c r="FR474" s="14">
        <f>INDEX(属性投放!$BS$6:$BS$85,(卡牌属性!$DW474-2)*20+卡牌属性!$DX474)</f>
        <v>1575</v>
      </c>
      <c r="FS474" s="14">
        <f>INDEX(属性投放!$BS$6:$BS$85,(卡牌属性!$DW474-2)*20+卡牌属性!$DX474)</f>
        <v>1575</v>
      </c>
      <c r="FT474" s="14">
        <f>INDEX(属性投放!$BS$6:$BS$85,(卡牌属性!$DW474-2)*20+卡牌属性!$DX474)</f>
        <v>1575</v>
      </c>
      <c r="FU474" s="14">
        <f>INDEX(属性投放!$BS$6:$BS$85,(卡牌属性!$DW474-2)*20+卡牌属性!$DX474)</f>
        <v>1575</v>
      </c>
      <c r="FV474" s="14">
        <f>INDEX(属性投放!$BS$6:$BS$85,(卡牌属性!$DW474-2)*20+卡牌属性!$DX474)</f>
        <v>1575</v>
      </c>
    </row>
    <row r="475" spans="31:178" ht="16.5" x14ac:dyDescent="0.2">
      <c r="AE475" s="13">
        <v>471</v>
      </c>
      <c r="AF475" s="13">
        <f t="shared" si="854"/>
        <v>24</v>
      </c>
      <c r="AG475" s="13">
        <f t="shared" si="855"/>
        <v>2</v>
      </c>
      <c r="AH475" s="13"/>
      <c r="AI475" s="13"/>
      <c r="AJ475" s="14">
        <f t="shared" si="856"/>
        <v>1101999</v>
      </c>
      <c r="AK475" s="14" t="str">
        <f t="shared" si="857"/>
        <v>R寄灵人11突</v>
      </c>
      <c r="AL475" s="25" t="s">
        <v>142</v>
      </c>
      <c r="AM475" s="14">
        <v>1</v>
      </c>
      <c r="AN475" s="14">
        <f t="shared" si="858"/>
        <v>11</v>
      </c>
      <c r="AO475" s="14">
        <f>INDEX(属性投放!$DF$6:$DF$85,(卡牌属性!AG475-2)*20+卡牌属性!AN475)</f>
        <v>2140</v>
      </c>
      <c r="AP475" s="14">
        <f t="shared" si="859"/>
        <v>2140</v>
      </c>
      <c r="AQ475" s="14">
        <f t="shared" si="859"/>
        <v>2140</v>
      </c>
      <c r="AR475" s="14">
        <f t="shared" si="859"/>
        <v>2140</v>
      </c>
      <c r="AS475" s="14">
        <f t="shared" si="859"/>
        <v>2140</v>
      </c>
      <c r="AT475" s="14">
        <f>INDEX(属性投放!$DG$6:$DG$85,(卡牌属性!AG475-2)*20+卡牌属性!AN475)</f>
        <v>1020</v>
      </c>
      <c r="AU475" s="14">
        <f t="shared" si="860"/>
        <v>1020</v>
      </c>
      <c r="AV475" s="14">
        <f t="shared" si="860"/>
        <v>1020</v>
      </c>
      <c r="AW475" s="14">
        <f t="shared" si="860"/>
        <v>1020</v>
      </c>
      <c r="AX475" s="14">
        <f t="shared" si="860"/>
        <v>1020</v>
      </c>
      <c r="AY475" s="14">
        <f>INDEX(属性投放!$DH$6:$DH$85,(卡牌属性!AG475-2)*20+卡牌属性!AN475)</f>
        <v>15492</v>
      </c>
      <c r="AZ475" s="14">
        <f t="shared" si="861"/>
        <v>15492</v>
      </c>
      <c r="BA475" s="14">
        <f t="shared" si="861"/>
        <v>15492</v>
      </c>
      <c r="BB475" s="14">
        <f t="shared" si="861"/>
        <v>15492</v>
      </c>
      <c r="BC475" s="14">
        <f t="shared" si="861"/>
        <v>15492</v>
      </c>
      <c r="BD475" s="14">
        <f>INDEX(属性投放!$DL$6:$DL$85,(卡牌属性!AG475-2)*20+卡牌属性!AN475)</f>
        <v>76</v>
      </c>
      <c r="BE475" s="14">
        <f t="shared" si="862"/>
        <v>76</v>
      </c>
      <c r="BF475" s="14">
        <f t="shared" si="862"/>
        <v>76</v>
      </c>
      <c r="BG475" s="14">
        <f t="shared" si="862"/>
        <v>76</v>
      </c>
      <c r="BH475" s="14">
        <f t="shared" si="862"/>
        <v>76</v>
      </c>
      <c r="BI475" s="14">
        <f>INDEX(属性投放!$DM$6:$DM$85,(卡牌属性!AG475-2)*20+卡牌属性!AN475)</f>
        <v>38</v>
      </c>
      <c r="BJ475" s="14">
        <f t="shared" si="863"/>
        <v>38</v>
      </c>
      <c r="BK475" s="14">
        <f t="shared" si="863"/>
        <v>38</v>
      </c>
      <c r="BL475" s="14">
        <f t="shared" si="863"/>
        <v>38</v>
      </c>
      <c r="BM475" s="14">
        <f t="shared" si="863"/>
        <v>38</v>
      </c>
      <c r="BN475" s="14">
        <f>INDEX(属性投放!$DN$6:$DN$85,(卡牌属性!AG475-2)*20+卡牌属性!AN475)</f>
        <v>685</v>
      </c>
      <c r="BO475" s="14">
        <f t="shared" si="864"/>
        <v>685</v>
      </c>
      <c r="BP475" s="14">
        <f t="shared" si="864"/>
        <v>685</v>
      </c>
      <c r="BQ475" s="14">
        <f t="shared" si="864"/>
        <v>685</v>
      </c>
      <c r="BR475" s="14">
        <f t="shared" si="864"/>
        <v>685</v>
      </c>
      <c r="BW475" s="13">
        <v>471</v>
      </c>
      <c r="BX475" s="13">
        <f t="shared" si="835"/>
        <v>24</v>
      </c>
      <c r="BY475" s="14">
        <f t="shared" si="836"/>
        <v>3</v>
      </c>
      <c r="BZ475" s="14">
        <f t="shared" si="840"/>
        <v>1102024</v>
      </c>
      <c r="CA475" s="14" t="str">
        <f t="shared" si="841"/>
        <v>朱仙11突</v>
      </c>
      <c r="CB475" s="25" t="s">
        <v>142</v>
      </c>
      <c r="CC475" s="14">
        <v>2</v>
      </c>
      <c r="CD475" s="14">
        <f t="shared" si="837"/>
        <v>11</v>
      </c>
      <c r="CE475" s="14" t="s">
        <v>21</v>
      </c>
      <c r="CF475" s="14">
        <f>INDEX(属性投放!$AZ$6:$AZ$85,(BY475-2)*20+CD475)</f>
        <v>3501</v>
      </c>
      <c r="CG475" s="14" t="s">
        <v>22</v>
      </c>
      <c r="CH475" s="14">
        <f>INDEX(属性投放!$BA$6:$BA$85,(BY475-2)*20+CD475)</f>
        <v>1700</v>
      </c>
      <c r="CI475" s="14" t="s">
        <v>510</v>
      </c>
      <c r="CJ475" s="14">
        <f>INDEX(属性投放!$BB$6:$BB$85,(BY475-2)*20+CD475)</f>
        <v>26130</v>
      </c>
      <c r="CK475" s="14" t="s">
        <v>21</v>
      </c>
      <c r="CL475" s="14">
        <f>INDEX(属性投放!$BC$6:$BC$85,(BY475-2)*20+CD475)</f>
        <v>20</v>
      </c>
      <c r="CM475" s="14" t="s">
        <v>22</v>
      </c>
      <c r="CN475" s="14">
        <f>INDEX(属性投放!$BD$6:$BD$85,(BY475-2)*20+CD475)</f>
        <v>10</v>
      </c>
      <c r="CO475" s="14" t="s">
        <v>510</v>
      </c>
      <c r="CP475" s="14">
        <f>INDEX(属性投放!$BE$6:$BE$85,(BY475-2)*20+CD475)</f>
        <v>180</v>
      </c>
      <c r="CS475" s="13">
        <v>471</v>
      </c>
      <c r="CT475" s="13">
        <f t="shared" si="842"/>
        <v>10</v>
      </c>
      <c r="CU475" s="13">
        <f t="shared" si="843"/>
        <v>3</v>
      </c>
      <c r="CV475" s="14">
        <f t="shared" si="844"/>
        <v>4</v>
      </c>
      <c r="CW475" s="14">
        <f t="shared" si="845"/>
        <v>1102010</v>
      </c>
      <c r="CX475" s="14" t="str">
        <f>INDEX($O$6:$O$50,CT475)&amp;"-"&amp;INDEX(属性投放!$AB$7:$AB$50,CZ475)&amp;"-魂火-"&amp;DB475</f>
        <v>张郃-黑绳-魂火-2</v>
      </c>
      <c r="CY475" s="25" t="s">
        <v>142</v>
      </c>
      <c r="CZ475" s="14">
        <f>INDEX(属性投放!$AM$7:$AM$58,CU475)</f>
        <v>2</v>
      </c>
      <c r="DA475" s="14" t="s">
        <v>537</v>
      </c>
      <c r="DB475" s="14">
        <f>INDEX(属性投放!$AN$7:$AN$58,CU475)</f>
        <v>2</v>
      </c>
      <c r="DC475" s="14">
        <f t="shared" si="838"/>
        <v>3</v>
      </c>
      <c r="DD475" s="14">
        <f>INDEX(属性投放!$AO$7:$AO$58,DC475)</f>
        <v>13</v>
      </c>
      <c r="DE475" s="14" t="s">
        <v>538</v>
      </c>
      <c r="DF475" s="14">
        <f>INDEX(属性投放!$BK$6:$BK$85,(CV475-2)*20+CZ475)</f>
        <v>30</v>
      </c>
      <c r="DG475" s="14">
        <f>SUMIFS(DF$5:DF475,$CT$5:$CT475,"="&amp;$CT475)</f>
        <v>85</v>
      </c>
      <c r="DH475" s="14" t="s">
        <v>539</v>
      </c>
      <c r="DI475" s="14">
        <f>INDEX(属性投放!$BL$6:$BL$85,(CV475-2)*20+CZ475)</f>
        <v>15</v>
      </c>
      <c r="DJ475" s="14">
        <f>SUMIFS(DI$5:DI475,$CT$5:$CT475,"="&amp;$CT475)</f>
        <v>43</v>
      </c>
      <c r="DK475" s="14" t="s">
        <v>540</v>
      </c>
      <c r="DL475" s="14">
        <f>INDEX(属性投放!$BM$6:$BM$85,(CV475-2)*20+CZ475)</f>
        <v>180</v>
      </c>
      <c r="DM475" s="14">
        <f>SUMIFS(DL$5:DL475,$CT$5:$CT475,"="&amp;$CT475)</f>
        <v>510</v>
      </c>
      <c r="DR475" s="14">
        <f t="shared" si="849"/>
        <v>1102024</v>
      </c>
      <c r="DS475" s="14" t="str">
        <f t="shared" si="850"/>
        <v>朱仙11突</v>
      </c>
      <c r="DT475" s="14">
        <f t="shared" si="846"/>
        <v>5</v>
      </c>
      <c r="DU475" s="14">
        <f t="shared" si="847"/>
        <v>5</v>
      </c>
      <c r="DV475" s="14">
        <f t="shared" si="848"/>
        <v>5</v>
      </c>
      <c r="DW475" s="14">
        <f t="shared" si="851"/>
        <v>3</v>
      </c>
      <c r="DX475" s="14">
        <f t="shared" si="852"/>
        <v>11</v>
      </c>
      <c r="DY475" s="14">
        <f t="shared" si="853"/>
        <v>31</v>
      </c>
      <c r="DZ475" s="14">
        <f>INDEX(属性投放!$AX$6:$AX$85,(卡牌属性!DW475-2)*20+卡牌属性!DX475)</f>
        <v>8</v>
      </c>
      <c r="EA475" s="14">
        <f>INDEX(属性投放!BQ$6:BQ$85,卡牌属性!$DY475)</f>
        <v>240</v>
      </c>
      <c r="EB475" s="14">
        <f>INDEX(属性投放!BR$6:BR$85,卡牌属性!$DY475)</f>
        <v>120</v>
      </c>
      <c r="EC475" s="14">
        <f>INDEX(属性投放!BS$6:BS$85,卡牌属性!$DY475)</f>
        <v>2160</v>
      </c>
      <c r="ED475" s="14">
        <f t="shared" si="865"/>
        <v>2131</v>
      </c>
      <c r="EE475" s="14">
        <f t="shared" si="866"/>
        <v>2251</v>
      </c>
      <c r="EF475" s="14">
        <f t="shared" si="867"/>
        <v>2723</v>
      </c>
      <c r="EG475" s="14">
        <f t="shared" si="868"/>
        <v>2723</v>
      </c>
      <c r="EH475" s="14">
        <f t="shared" si="869"/>
        <v>2950</v>
      </c>
      <c r="EI475" s="14">
        <f t="shared" si="870"/>
        <v>1032</v>
      </c>
      <c r="EJ475" s="14">
        <f t="shared" si="871"/>
        <v>1095</v>
      </c>
      <c r="EK475" s="14">
        <f t="shared" si="872"/>
        <v>1095</v>
      </c>
      <c r="EL475" s="14">
        <f t="shared" si="873"/>
        <v>1333</v>
      </c>
      <c r="EM475" s="14">
        <f t="shared" si="874"/>
        <v>1443</v>
      </c>
      <c r="EN475" s="14">
        <f t="shared" si="875"/>
        <v>15340</v>
      </c>
      <c r="EO475" s="14">
        <f t="shared" si="876"/>
        <v>16139</v>
      </c>
      <c r="EP475" s="14">
        <f t="shared" si="877"/>
        <v>16139</v>
      </c>
      <c r="EQ475" s="14">
        <f t="shared" si="878"/>
        <v>19638</v>
      </c>
      <c r="ER475" s="14">
        <f t="shared" si="879"/>
        <v>21157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180</v>
      </c>
      <c r="FD475" s="14">
        <f>INDEX(属性偏向!$U$4:$U$243,(卡牌属性!$DV475-1+FD$3)*20+卡牌属性!$DX475)</f>
        <v>189</v>
      </c>
      <c r="FE475" s="14">
        <f>INDEX(属性偏向!$U$4:$U$243,(卡牌属性!$DV475-1+FE$3)*20+卡牌属性!$DX475)</f>
        <v>189</v>
      </c>
      <c r="FF475" s="14">
        <f>INDEX(属性偏向!$U$4:$U$243,(卡牌属性!$DV475-1+FF$3)*20+卡牌属性!$DX475)</f>
        <v>270</v>
      </c>
      <c r="FG475" s="14">
        <f>INDEX(属性偏向!$U$4:$U$243,(卡牌属性!$DV475-1+FG$3)*20+卡牌属性!$DX475)</f>
        <v>315</v>
      </c>
      <c r="FH475" s="14">
        <f>INDEX(属性投放!$BQ$6:$BQ$85,(卡牌属性!$DW475-2)*20+卡牌属性!$DX475)</f>
        <v>240</v>
      </c>
      <c r="FI475" s="14">
        <f>INDEX(属性投放!$BQ$6:$BQ$85,(卡牌属性!$DW475-2)*20+卡牌属性!$DX475)</f>
        <v>240</v>
      </c>
      <c r="FJ475" s="14">
        <f>INDEX(属性投放!$BQ$6:$BQ$85,(卡牌属性!$DW475-2)*20+卡牌属性!$DX475)</f>
        <v>240</v>
      </c>
      <c r="FK475" s="14">
        <f>INDEX(属性投放!$BQ$6:$BQ$85,(卡牌属性!$DW475-2)*20+卡牌属性!$DX475)</f>
        <v>240</v>
      </c>
      <c r="FL475" s="14">
        <f>INDEX(属性投放!$BQ$6:$BQ$85,(卡牌属性!$DW475-2)*20+卡牌属性!$DX475)</f>
        <v>240</v>
      </c>
      <c r="FM475" s="14">
        <f>INDEX(属性投放!$BR$6:$BR$85,(卡牌属性!$DW475-2)*20+卡牌属性!$DX475)</f>
        <v>120</v>
      </c>
      <c r="FN475" s="14">
        <f>INDEX(属性投放!$BR$6:$BR$85,(卡牌属性!$DW475-2)*20+卡牌属性!$DX475)</f>
        <v>120</v>
      </c>
      <c r="FO475" s="14">
        <f>INDEX(属性投放!$BR$6:$BR$85,(卡牌属性!$DW475-2)*20+卡牌属性!$DX475)</f>
        <v>120</v>
      </c>
      <c r="FP475" s="14">
        <f>INDEX(属性投放!$BR$6:$BR$85,(卡牌属性!$DW475-2)*20+卡牌属性!$DX475)</f>
        <v>120</v>
      </c>
      <c r="FQ475" s="14">
        <f>INDEX(属性投放!$BR$6:$BR$85,(卡牌属性!$DW475-2)*20+卡牌属性!$DX475)</f>
        <v>120</v>
      </c>
      <c r="FR475" s="14">
        <f>INDEX(属性投放!$BS$6:$BS$85,(卡牌属性!$DW475-2)*20+卡牌属性!$DX475)</f>
        <v>2160</v>
      </c>
      <c r="FS475" s="14">
        <f>INDEX(属性投放!$BS$6:$BS$85,(卡牌属性!$DW475-2)*20+卡牌属性!$DX475)</f>
        <v>2160</v>
      </c>
      <c r="FT475" s="14">
        <f>INDEX(属性投放!$BS$6:$BS$85,(卡牌属性!$DW475-2)*20+卡牌属性!$DX475)</f>
        <v>2160</v>
      </c>
      <c r="FU475" s="14">
        <f>INDEX(属性投放!$BS$6:$BS$85,(卡牌属性!$DW475-2)*20+卡牌属性!$DX475)</f>
        <v>2160</v>
      </c>
      <c r="FV475" s="14">
        <f>INDEX(属性投放!$BS$6:$BS$85,(卡牌属性!$DW475-2)*20+卡牌属性!$DX475)</f>
        <v>2160</v>
      </c>
    </row>
    <row r="476" spans="31:178" ht="16.5" x14ac:dyDescent="0.2">
      <c r="AE476" s="13">
        <v>472</v>
      </c>
      <c r="AF476" s="13">
        <f t="shared" si="854"/>
        <v>24</v>
      </c>
      <c r="AG476" s="13">
        <f t="shared" si="855"/>
        <v>2</v>
      </c>
      <c r="AH476" s="13"/>
      <c r="AI476" s="13"/>
      <c r="AJ476" s="14">
        <f t="shared" si="856"/>
        <v>1101999</v>
      </c>
      <c r="AK476" s="14" t="str">
        <f t="shared" si="857"/>
        <v>R寄灵人12突</v>
      </c>
      <c r="AL476" s="25" t="s">
        <v>142</v>
      </c>
      <c r="AM476" s="14">
        <v>1</v>
      </c>
      <c r="AN476" s="14">
        <f t="shared" si="858"/>
        <v>12</v>
      </c>
      <c r="AO476" s="14">
        <f>INDEX(属性投放!$DF$6:$DF$85,(卡牌属性!AG476-2)*20+卡牌属性!AN476)</f>
        <v>2357</v>
      </c>
      <c r="AP476" s="14">
        <f t="shared" si="859"/>
        <v>2357</v>
      </c>
      <c r="AQ476" s="14">
        <f t="shared" si="859"/>
        <v>2357</v>
      </c>
      <c r="AR476" s="14">
        <f t="shared" si="859"/>
        <v>2357</v>
      </c>
      <c r="AS476" s="14">
        <f t="shared" si="859"/>
        <v>2357</v>
      </c>
      <c r="AT476" s="14">
        <f>INDEX(属性投放!$DG$6:$DG$85,(卡牌属性!AG476-2)*20+卡牌属性!AN476)</f>
        <v>1129</v>
      </c>
      <c r="AU476" s="14">
        <f t="shared" si="860"/>
        <v>1129</v>
      </c>
      <c r="AV476" s="14">
        <f t="shared" si="860"/>
        <v>1129</v>
      </c>
      <c r="AW476" s="14">
        <f t="shared" si="860"/>
        <v>1129</v>
      </c>
      <c r="AX476" s="14">
        <f t="shared" si="860"/>
        <v>1129</v>
      </c>
      <c r="AY476" s="14">
        <f>INDEX(属性投放!$DH$6:$DH$85,(卡牌属性!AG476-2)*20+卡牌属性!AN476)</f>
        <v>17449</v>
      </c>
      <c r="AZ476" s="14">
        <f t="shared" si="861"/>
        <v>17449</v>
      </c>
      <c r="BA476" s="14">
        <f t="shared" si="861"/>
        <v>17449</v>
      </c>
      <c r="BB476" s="14">
        <f t="shared" si="861"/>
        <v>17449</v>
      </c>
      <c r="BC476" s="14">
        <f t="shared" si="861"/>
        <v>17449</v>
      </c>
      <c r="BD476" s="14">
        <f>INDEX(属性投放!$DL$6:$DL$85,(卡牌属性!AG476-2)*20+卡牌属性!AN476)</f>
        <v>76</v>
      </c>
      <c r="BE476" s="14">
        <f t="shared" si="862"/>
        <v>76</v>
      </c>
      <c r="BF476" s="14">
        <f t="shared" si="862"/>
        <v>76</v>
      </c>
      <c r="BG476" s="14">
        <f t="shared" si="862"/>
        <v>76</v>
      </c>
      <c r="BH476" s="14">
        <f t="shared" si="862"/>
        <v>76</v>
      </c>
      <c r="BI476" s="14">
        <f>INDEX(属性投放!$DM$6:$DM$85,(卡牌属性!AG476-2)*20+卡牌属性!AN476)</f>
        <v>38</v>
      </c>
      <c r="BJ476" s="14">
        <f t="shared" si="863"/>
        <v>38</v>
      </c>
      <c r="BK476" s="14">
        <f t="shared" si="863"/>
        <v>38</v>
      </c>
      <c r="BL476" s="14">
        <f t="shared" si="863"/>
        <v>38</v>
      </c>
      <c r="BM476" s="14">
        <f t="shared" si="863"/>
        <v>38</v>
      </c>
      <c r="BN476" s="14">
        <f>INDEX(属性投放!$DN$6:$DN$85,(卡牌属性!AG476-2)*20+卡牌属性!AN476)</f>
        <v>685</v>
      </c>
      <c r="BO476" s="14">
        <f t="shared" si="864"/>
        <v>685</v>
      </c>
      <c r="BP476" s="14">
        <f t="shared" si="864"/>
        <v>685</v>
      </c>
      <c r="BQ476" s="14">
        <f t="shared" si="864"/>
        <v>685</v>
      </c>
      <c r="BR476" s="14">
        <f t="shared" si="864"/>
        <v>685</v>
      </c>
      <c r="BW476" s="13">
        <v>472</v>
      </c>
      <c r="BX476" s="13">
        <f t="shared" si="835"/>
        <v>24</v>
      </c>
      <c r="BY476" s="14">
        <f t="shared" si="836"/>
        <v>3</v>
      </c>
      <c r="BZ476" s="14">
        <f t="shared" si="840"/>
        <v>1102024</v>
      </c>
      <c r="CA476" s="14" t="str">
        <f t="shared" si="841"/>
        <v>朱仙12突</v>
      </c>
      <c r="CB476" s="25" t="s">
        <v>142</v>
      </c>
      <c r="CC476" s="14">
        <v>2</v>
      </c>
      <c r="CD476" s="14">
        <f t="shared" si="837"/>
        <v>12</v>
      </c>
      <c r="CE476" s="14" t="s">
        <v>21</v>
      </c>
      <c r="CF476" s="14">
        <f>INDEX(属性投放!$AZ$6:$AZ$85,(BY476-2)*20+CD476)</f>
        <v>4351</v>
      </c>
      <c r="CG476" s="14" t="s">
        <v>22</v>
      </c>
      <c r="CH476" s="14">
        <f>INDEX(属性投放!$BA$6:$BA$85,(BY476-2)*20+CD476)</f>
        <v>2125</v>
      </c>
      <c r="CI476" s="14" t="s">
        <v>510</v>
      </c>
      <c r="CJ476" s="14">
        <f>INDEX(属性投放!$BB$6:$BB$85,(BY476-2)*20+CD476)</f>
        <v>33780</v>
      </c>
      <c r="CK476" s="14" t="s">
        <v>21</v>
      </c>
      <c r="CL476" s="14">
        <f>INDEX(属性投放!$BC$6:$BC$85,(BY476-2)*20+CD476)</f>
        <v>20</v>
      </c>
      <c r="CM476" s="14" t="s">
        <v>22</v>
      </c>
      <c r="CN476" s="14">
        <f>INDEX(属性投放!$BD$6:$BD$85,(BY476-2)*20+CD476)</f>
        <v>10</v>
      </c>
      <c r="CO476" s="14" t="s">
        <v>510</v>
      </c>
      <c r="CP476" s="14">
        <f>INDEX(属性投放!$BE$6:$BE$85,(BY476-2)*20+CD476)</f>
        <v>180</v>
      </c>
      <c r="CS476" s="13">
        <v>472</v>
      </c>
      <c r="CT476" s="13">
        <f t="shared" si="842"/>
        <v>10</v>
      </c>
      <c r="CU476" s="13">
        <f t="shared" si="843"/>
        <v>4</v>
      </c>
      <c r="CV476" s="14">
        <f t="shared" si="844"/>
        <v>4</v>
      </c>
      <c r="CW476" s="14">
        <f t="shared" si="845"/>
        <v>1102010</v>
      </c>
      <c r="CX476" s="14" t="str">
        <f>INDEX($O$6:$O$50,CT476)&amp;"-"&amp;INDEX(属性投放!$AB$7:$AB$50,CZ476)&amp;"-魂火-"&amp;DB476</f>
        <v>张郃-黑绳+1-魂火-1</v>
      </c>
      <c r="CY476" s="25" t="s">
        <v>142</v>
      </c>
      <c r="CZ476" s="14">
        <f>INDEX(属性投放!$AM$7:$AM$58,CU476)</f>
        <v>3</v>
      </c>
      <c r="DA476" s="14" t="s">
        <v>537</v>
      </c>
      <c r="DB476" s="14">
        <f>INDEX(属性投放!$AN$7:$AN$58,CU476)</f>
        <v>1</v>
      </c>
      <c r="DC476" s="14">
        <f t="shared" si="838"/>
        <v>4</v>
      </c>
      <c r="DD476" s="14">
        <f>INDEX(属性投放!$AO$7:$AO$58,DC476)</f>
        <v>18</v>
      </c>
      <c r="DE476" s="14" t="s">
        <v>538</v>
      </c>
      <c r="DF476" s="14">
        <f>INDEX(属性投放!$BK$6:$BK$85,(CV476-2)*20+CZ476)</f>
        <v>35</v>
      </c>
      <c r="DG476" s="14">
        <f>SUMIFS(DF$5:DF476,$CT$5:$CT476,"="&amp;$CT476)</f>
        <v>120</v>
      </c>
      <c r="DH476" s="14" t="s">
        <v>539</v>
      </c>
      <c r="DI476" s="14">
        <f>INDEX(属性投放!$BL$6:$BL$85,(CV476-2)*20+CZ476)</f>
        <v>18</v>
      </c>
      <c r="DJ476" s="14">
        <f>SUMIFS(DI$5:DI476,$CT$5:$CT476,"="&amp;$CT476)</f>
        <v>61</v>
      </c>
      <c r="DK476" s="14" t="s">
        <v>540</v>
      </c>
      <c r="DL476" s="14">
        <f>INDEX(属性投放!$BM$6:$BM$85,(CV476-2)*20+CZ476)</f>
        <v>210</v>
      </c>
      <c r="DM476" s="14">
        <f>SUMIFS(DL$5:DL476,$CT$5:$CT476,"="&amp;$CT476)</f>
        <v>720</v>
      </c>
      <c r="DR476" s="14">
        <f t="shared" si="849"/>
        <v>1102024</v>
      </c>
      <c r="DS476" s="14" t="str">
        <f t="shared" si="850"/>
        <v>朱仙12突</v>
      </c>
      <c r="DT476" s="14">
        <f t="shared" si="846"/>
        <v>5</v>
      </c>
      <c r="DU476" s="14">
        <f t="shared" si="847"/>
        <v>5</v>
      </c>
      <c r="DV476" s="14">
        <f t="shared" si="848"/>
        <v>5</v>
      </c>
      <c r="DW476" s="14">
        <f t="shared" si="851"/>
        <v>3</v>
      </c>
      <c r="DX476" s="14">
        <f t="shared" si="852"/>
        <v>12</v>
      </c>
      <c r="DY476" s="14">
        <f t="shared" si="853"/>
        <v>32</v>
      </c>
      <c r="DZ476" s="14">
        <f>INDEX(属性投放!$AX$6:$AX$85,(卡牌属性!DW476-2)*20+卡牌属性!DX476)</f>
        <v>7</v>
      </c>
      <c r="EA476" s="14">
        <f>INDEX(属性投放!BQ$6:BQ$85,卡牌属性!$DY476)</f>
        <v>350</v>
      </c>
      <c r="EB476" s="14">
        <f>INDEX(属性投放!BR$6:BR$85,卡牌属性!$DY476)</f>
        <v>175</v>
      </c>
      <c r="EC476" s="14">
        <f>INDEX(属性投放!BS$6:BS$85,卡牌属性!$DY476)</f>
        <v>3150</v>
      </c>
      <c r="ED476" s="14">
        <f t="shared" si="865"/>
        <v>2531</v>
      </c>
      <c r="EE476" s="14">
        <f t="shared" si="866"/>
        <v>2659</v>
      </c>
      <c r="EF476" s="14">
        <f t="shared" si="867"/>
        <v>3203</v>
      </c>
      <c r="EG476" s="14">
        <f t="shared" si="868"/>
        <v>3203</v>
      </c>
      <c r="EH476" s="14">
        <f t="shared" si="869"/>
        <v>3470</v>
      </c>
      <c r="EI476" s="14">
        <f t="shared" si="870"/>
        <v>1232</v>
      </c>
      <c r="EJ476" s="14">
        <f t="shared" si="871"/>
        <v>1303</v>
      </c>
      <c r="EK476" s="14">
        <f t="shared" si="872"/>
        <v>1303</v>
      </c>
      <c r="EL476" s="14">
        <f t="shared" si="873"/>
        <v>1573</v>
      </c>
      <c r="EM476" s="14">
        <f t="shared" si="874"/>
        <v>1707</v>
      </c>
      <c r="EN476" s="14">
        <f t="shared" si="875"/>
        <v>18940</v>
      </c>
      <c r="EO476" s="14">
        <f t="shared" si="876"/>
        <v>19811</v>
      </c>
      <c r="EP476" s="14">
        <f t="shared" si="877"/>
        <v>19811</v>
      </c>
      <c r="EQ476" s="14">
        <f t="shared" si="878"/>
        <v>23958</v>
      </c>
      <c r="ER476" s="14">
        <f t="shared" si="879"/>
        <v>25837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180</v>
      </c>
      <c r="FD476" s="14">
        <f>INDEX(属性偏向!$U$4:$U$243,(卡牌属性!$DV476-1+FD$3)*20+卡牌属性!$DX476)</f>
        <v>189</v>
      </c>
      <c r="FE476" s="14">
        <f>INDEX(属性偏向!$U$4:$U$243,(卡牌属性!$DV476-1+FE$3)*20+卡牌属性!$DX476)</f>
        <v>189</v>
      </c>
      <c r="FF476" s="14">
        <f>INDEX(属性偏向!$U$4:$U$243,(卡牌属性!$DV476-1+FF$3)*20+卡牌属性!$DX476)</f>
        <v>270</v>
      </c>
      <c r="FG476" s="14">
        <f>INDEX(属性偏向!$U$4:$U$243,(卡牌属性!$DV476-1+FG$3)*20+卡牌属性!$DX476)</f>
        <v>315</v>
      </c>
      <c r="FH476" s="14">
        <f>INDEX(属性投放!$BQ$6:$BQ$85,(卡牌属性!$DW476-2)*20+卡牌属性!$DX476)</f>
        <v>350</v>
      </c>
      <c r="FI476" s="14">
        <f>INDEX(属性投放!$BQ$6:$BQ$85,(卡牌属性!$DW476-2)*20+卡牌属性!$DX476)</f>
        <v>350</v>
      </c>
      <c r="FJ476" s="14">
        <f>INDEX(属性投放!$BQ$6:$BQ$85,(卡牌属性!$DW476-2)*20+卡牌属性!$DX476)</f>
        <v>350</v>
      </c>
      <c r="FK476" s="14">
        <f>INDEX(属性投放!$BQ$6:$BQ$85,(卡牌属性!$DW476-2)*20+卡牌属性!$DX476)</f>
        <v>350</v>
      </c>
      <c r="FL476" s="14">
        <f>INDEX(属性投放!$BQ$6:$BQ$85,(卡牌属性!$DW476-2)*20+卡牌属性!$DX476)</f>
        <v>350</v>
      </c>
      <c r="FM476" s="14">
        <f>INDEX(属性投放!$BR$6:$BR$85,(卡牌属性!$DW476-2)*20+卡牌属性!$DX476)</f>
        <v>175</v>
      </c>
      <c r="FN476" s="14">
        <f>INDEX(属性投放!$BR$6:$BR$85,(卡牌属性!$DW476-2)*20+卡牌属性!$DX476)</f>
        <v>175</v>
      </c>
      <c r="FO476" s="14">
        <f>INDEX(属性投放!$BR$6:$BR$85,(卡牌属性!$DW476-2)*20+卡牌属性!$DX476)</f>
        <v>175</v>
      </c>
      <c r="FP476" s="14">
        <f>INDEX(属性投放!$BR$6:$BR$85,(卡牌属性!$DW476-2)*20+卡牌属性!$DX476)</f>
        <v>175</v>
      </c>
      <c r="FQ476" s="14">
        <f>INDEX(属性投放!$BR$6:$BR$85,(卡牌属性!$DW476-2)*20+卡牌属性!$DX476)</f>
        <v>175</v>
      </c>
      <c r="FR476" s="14">
        <f>INDEX(属性投放!$BS$6:$BS$85,(卡牌属性!$DW476-2)*20+卡牌属性!$DX476)</f>
        <v>3150</v>
      </c>
      <c r="FS476" s="14">
        <f>INDEX(属性投放!$BS$6:$BS$85,(卡牌属性!$DW476-2)*20+卡牌属性!$DX476)</f>
        <v>3150</v>
      </c>
      <c r="FT476" s="14">
        <f>INDEX(属性投放!$BS$6:$BS$85,(卡牌属性!$DW476-2)*20+卡牌属性!$DX476)</f>
        <v>3150</v>
      </c>
      <c r="FU476" s="14">
        <f>INDEX(属性投放!$BS$6:$BS$85,(卡牌属性!$DW476-2)*20+卡牌属性!$DX476)</f>
        <v>3150</v>
      </c>
      <c r="FV476" s="14">
        <f>INDEX(属性投放!$BS$6:$BS$85,(卡牌属性!$DW476-2)*20+卡牌属性!$DX476)</f>
        <v>3150</v>
      </c>
    </row>
    <row r="477" spans="31:178" ht="16.5" x14ac:dyDescent="0.2">
      <c r="AE477" s="13">
        <v>473</v>
      </c>
      <c r="AF477" s="13">
        <f t="shared" si="854"/>
        <v>24</v>
      </c>
      <c r="AG477" s="13">
        <f t="shared" si="855"/>
        <v>2</v>
      </c>
      <c r="AH477" s="13"/>
      <c r="AI477" s="13"/>
      <c r="AJ477" s="14">
        <f t="shared" si="856"/>
        <v>1101999</v>
      </c>
      <c r="AK477" s="14" t="str">
        <f t="shared" si="857"/>
        <v>R寄灵人13突</v>
      </c>
      <c r="AL477" s="25" t="s">
        <v>142</v>
      </c>
      <c r="AM477" s="14">
        <v>1</v>
      </c>
      <c r="AN477" s="14">
        <f t="shared" si="858"/>
        <v>13</v>
      </c>
      <c r="AO477" s="14">
        <f>INDEX(属性投放!$DF$6:$DF$85,(卡牌属性!AG477-2)*20+卡牌属性!AN477)</f>
        <v>4474</v>
      </c>
      <c r="AP477" s="14">
        <f t="shared" si="859"/>
        <v>4474</v>
      </c>
      <c r="AQ477" s="14">
        <f t="shared" si="859"/>
        <v>4474</v>
      </c>
      <c r="AR477" s="14">
        <f t="shared" si="859"/>
        <v>4474</v>
      </c>
      <c r="AS477" s="14">
        <f t="shared" si="859"/>
        <v>4474</v>
      </c>
      <c r="AT477" s="14">
        <f>INDEX(属性投放!$DG$6:$DG$85,(卡牌属性!AG477-2)*20+卡牌属性!AN477)</f>
        <v>2188</v>
      </c>
      <c r="AU477" s="14">
        <f t="shared" si="860"/>
        <v>2188</v>
      </c>
      <c r="AV477" s="14">
        <f t="shared" si="860"/>
        <v>2188</v>
      </c>
      <c r="AW477" s="14">
        <f t="shared" si="860"/>
        <v>2188</v>
      </c>
      <c r="AX477" s="14">
        <f t="shared" si="860"/>
        <v>2188</v>
      </c>
      <c r="AY477" s="14">
        <f>INDEX(属性投放!$DH$6:$DH$85,(卡牌属性!AG477-2)*20+卡牌属性!AN477)</f>
        <v>36531</v>
      </c>
      <c r="AZ477" s="14">
        <f t="shared" si="861"/>
        <v>36531</v>
      </c>
      <c r="BA477" s="14">
        <f t="shared" si="861"/>
        <v>36531</v>
      </c>
      <c r="BB477" s="14">
        <f t="shared" si="861"/>
        <v>36531</v>
      </c>
      <c r="BC477" s="14">
        <f t="shared" si="861"/>
        <v>36531</v>
      </c>
      <c r="BD477" s="14">
        <f>INDEX(属性投放!$DL$6:$DL$85,(卡牌属性!AG477-2)*20+卡牌属性!AN477)</f>
        <v>151</v>
      </c>
      <c r="BE477" s="14">
        <f t="shared" si="862"/>
        <v>151</v>
      </c>
      <c r="BF477" s="14">
        <f t="shared" si="862"/>
        <v>151</v>
      </c>
      <c r="BG477" s="14">
        <f t="shared" si="862"/>
        <v>151</v>
      </c>
      <c r="BH477" s="14">
        <f t="shared" si="862"/>
        <v>151</v>
      </c>
      <c r="BI477" s="14">
        <f>INDEX(属性投放!$DM$6:$DM$85,(卡牌属性!AG477-2)*20+卡牌属性!AN477)</f>
        <v>76</v>
      </c>
      <c r="BJ477" s="14">
        <f t="shared" si="863"/>
        <v>76</v>
      </c>
      <c r="BK477" s="14">
        <f t="shared" si="863"/>
        <v>76</v>
      </c>
      <c r="BL477" s="14">
        <f t="shared" si="863"/>
        <v>76</v>
      </c>
      <c r="BM477" s="14">
        <f t="shared" si="863"/>
        <v>76</v>
      </c>
      <c r="BN477" s="14">
        <f>INDEX(属性投放!$DN$6:$DN$85,(卡牌属性!AG477-2)*20+卡牌属性!AN477)</f>
        <v>1510</v>
      </c>
      <c r="BO477" s="14">
        <f t="shared" si="864"/>
        <v>1510</v>
      </c>
      <c r="BP477" s="14">
        <f t="shared" si="864"/>
        <v>1510</v>
      </c>
      <c r="BQ477" s="14">
        <f t="shared" si="864"/>
        <v>1510</v>
      </c>
      <c r="BR477" s="14">
        <f t="shared" si="864"/>
        <v>1510</v>
      </c>
      <c r="BW477" s="13">
        <v>473</v>
      </c>
      <c r="BX477" s="13">
        <f t="shared" si="835"/>
        <v>24</v>
      </c>
      <c r="BY477" s="14">
        <f t="shared" si="836"/>
        <v>3</v>
      </c>
      <c r="BZ477" s="14">
        <f t="shared" si="840"/>
        <v>1102024</v>
      </c>
      <c r="CA477" s="14" t="str">
        <f t="shared" si="841"/>
        <v>朱仙13突</v>
      </c>
      <c r="CB477" s="25" t="s">
        <v>142</v>
      </c>
      <c r="CC477" s="14">
        <v>2</v>
      </c>
      <c r="CD477" s="14">
        <f t="shared" si="837"/>
        <v>13</v>
      </c>
      <c r="CE477" s="14" t="s">
        <v>21</v>
      </c>
      <c r="CF477" s="14">
        <f>INDEX(属性投放!$AZ$6:$AZ$85,(BY477-2)*20+CD477)</f>
        <v>5441</v>
      </c>
      <c r="CG477" s="14" t="s">
        <v>22</v>
      </c>
      <c r="CH477" s="14">
        <f>INDEX(属性投放!$BA$6:$BA$85,(BY477-2)*20+CD477)</f>
        <v>2670</v>
      </c>
      <c r="CI477" s="14" t="s">
        <v>510</v>
      </c>
      <c r="CJ477" s="14">
        <f>INDEX(属性投放!$BB$6:$BB$85,(BY477-2)*20+CD477)</f>
        <v>43590</v>
      </c>
      <c r="CK477" s="14" t="s">
        <v>21</v>
      </c>
      <c r="CL477" s="14">
        <f>INDEX(属性投放!$BC$6:$BC$85,(BY477-2)*20+CD477)</f>
        <v>25</v>
      </c>
      <c r="CM477" s="14" t="s">
        <v>22</v>
      </c>
      <c r="CN477" s="14">
        <f>INDEX(属性投放!$BD$6:$BD$85,(BY477-2)*20+CD477)</f>
        <v>13</v>
      </c>
      <c r="CO477" s="14" t="s">
        <v>510</v>
      </c>
      <c r="CP477" s="14">
        <f>INDEX(属性投放!$BE$6:$BE$85,(BY477-2)*20+CD477)</f>
        <v>250</v>
      </c>
      <c r="CS477" s="13">
        <v>473</v>
      </c>
      <c r="CT477" s="13">
        <f t="shared" si="842"/>
        <v>10</v>
      </c>
      <c r="CU477" s="13">
        <f t="shared" si="843"/>
        <v>5</v>
      </c>
      <c r="CV477" s="14">
        <f t="shared" si="844"/>
        <v>4</v>
      </c>
      <c r="CW477" s="14">
        <f t="shared" si="845"/>
        <v>1102010</v>
      </c>
      <c r="CX477" s="14" t="str">
        <f>INDEX($O$6:$O$50,CT477)&amp;"-"&amp;INDEX(属性投放!$AB$7:$AB$50,CZ477)&amp;"-魂火-"&amp;DB477</f>
        <v>张郃-黑绳+1-魂火-2</v>
      </c>
      <c r="CY477" s="25" t="s">
        <v>142</v>
      </c>
      <c r="CZ477" s="14">
        <f>INDEX(属性投放!$AM$7:$AM$58,CU477)</f>
        <v>3</v>
      </c>
      <c r="DA477" s="14" t="s">
        <v>537</v>
      </c>
      <c r="DB477" s="14">
        <f>INDEX(属性投放!$AN$7:$AN$58,CU477)</f>
        <v>2</v>
      </c>
      <c r="DC477" s="14">
        <f t="shared" si="838"/>
        <v>5</v>
      </c>
      <c r="DD477" s="14">
        <f>INDEX(属性投放!$AO$7:$AO$58,DC477)</f>
        <v>23</v>
      </c>
      <c r="DE477" s="14" t="s">
        <v>538</v>
      </c>
      <c r="DF477" s="14">
        <f>INDEX(属性投放!$BK$6:$BK$85,(CV477-2)*20+CZ477)</f>
        <v>35</v>
      </c>
      <c r="DG477" s="14">
        <f>SUMIFS(DF$5:DF477,$CT$5:$CT477,"="&amp;$CT477)</f>
        <v>155</v>
      </c>
      <c r="DH477" s="14" t="s">
        <v>539</v>
      </c>
      <c r="DI477" s="14">
        <f>INDEX(属性投放!$BL$6:$BL$85,(CV477-2)*20+CZ477)</f>
        <v>18</v>
      </c>
      <c r="DJ477" s="14">
        <f>SUMIFS(DI$5:DI477,$CT$5:$CT477,"="&amp;$CT477)</f>
        <v>79</v>
      </c>
      <c r="DK477" s="14" t="s">
        <v>540</v>
      </c>
      <c r="DL477" s="14">
        <f>INDEX(属性投放!$BM$6:$BM$85,(CV477-2)*20+CZ477)</f>
        <v>210</v>
      </c>
      <c r="DM477" s="14">
        <f>SUMIFS(DL$5:DL477,$CT$5:$CT477,"="&amp;$CT477)</f>
        <v>930</v>
      </c>
      <c r="DR477" s="14">
        <f t="shared" si="849"/>
        <v>1102024</v>
      </c>
      <c r="DS477" s="14" t="str">
        <f t="shared" si="850"/>
        <v>朱仙13突</v>
      </c>
      <c r="DT477" s="14">
        <f t="shared" si="846"/>
        <v>5</v>
      </c>
      <c r="DU477" s="14">
        <f t="shared" si="847"/>
        <v>5</v>
      </c>
      <c r="DV477" s="14">
        <f t="shared" si="848"/>
        <v>5</v>
      </c>
      <c r="DW477" s="14">
        <f t="shared" si="851"/>
        <v>3</v>
      </c>
      <c r="DX477" s="14">
        <f t="shared" si="852"/>
        <v>13</v>
      </c>
      <c r="DY477" s="14">
        <f t="shared" si="853"/>
        <v>33</v>
      </c>
      <c r="DZ477" s="14">
        <f>INDEX(属性投放!$AX$6:$AX$85,(卡牌属性!DW477-2)*20+卡牌属性!DX477)</f>
        <v>8</v>
      </c>
      <c r="EA477" s="14">
        <f>INDEX(属性投放!BQ$6:BQ$85,卡牌属性!$DY477)</f>
        <v>400</v>
      </c>
      <c r="EB477" s="14">
        <f>INDEX(属性投放!BR$6:BR$85,卡牌属性!$DY477)</f>
        <v>200</v>
      </c>
      <c r="EC477" s="14">
        <f>INDEX(属性投放!BS$6:BS$85,卡牌属性!$DY477)</f>
        <v>4000</v>
      </c>
      <c r="ED477" s="14">
        <f t="shared" si="865"/>
        <v>3021</v>
      </c>
      <c r="EE477" s="14">
        <f t="shared" si="866"/>
        <v>3156</v>
      </c>
      <c r="EF477" s="14">
        <f t="shared" si="867"/>
        <v>3763</v>
      </c>
      <c r="EG477" s="14">
        <f t="shared" si="868"/>
        <v>3763</v>
      </c>
      <c r="EH477" s="14">
        <f t="shared" si="869"/>
        <v>4065</v>
      </c>
      <c r="EI477" s="14">
        <f t="shared" si="870"/>
        <v>1477</v>
      </c>
      <c r="EJ477" s="14">
        <f t="shared" si="871"/>
        <v>1555</v>
      </c>
      <c r="EK477" s="14">
        <f t="shared" si="872"/>
        <v>1555</v>
      </c>
      <c r="EL477" s="14">
        <f t="shared" si="873"/>
        <v>1853</v>
      </c>
      <c r="EM477" s="14">
        <f t="shared" si="874"/>
        <v>2008</v>
      </c>
      <c r="EN477" s="14">
        <f t="shared" si="875"/>
        <v>23350</v>
      </c>
      <c r="EO477" s="14">
        <f t="shared" si="876"/>
        <v>24284</v>
      </c>
      <c r="EP477" s="14">
        <f t="shared" si="877"/>
        <v>24284</v>
      </c>
      <c r="EQ477" s="14">
        <f t="shared" si="878"/>
        <v>28998</v>
      </c>
      <c r="ER477" s="14">
        <f t="shared" si="879"/>
        <v>31192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INDEX(属性投放!$BQ$6:$BQ$85,(卡牌属性!$DW477-2)*20+卡牌属性!$DX477)</f>
        <v>400</v>
      </c>
      <c r="FI477" s="14">
        <f>INDEX(属性投放!$BQ$6:$BQ$85,(卡牌属性!$DW477-2)*20+卡牌属性!$DX477)</f>
        <v>400</v>
      </c>
      <c r="FJ477" s="14">
        <f>INDEX(属性投放!$BQ$6:$BQ$85,(卡牌属性!$DW477-2)*20+卡牌属性!$DX477)</f>
        <v>400</v>
      </c>
      <c r="FK477" s="14">
        <f>INDEX(属性投放!$BQ$6:$BQ$85,(卡牌属性!$DW477-2)*20+卡牌属性!$DX477)</f>
        <v>400</v>
      </c>
      <c r="FL477" s="14">
        <f>INDEX(属性投放!$BQ$6:$BQ$85,(卡牌属性!$DW477-2)*20+卡牌属性!$DX477)</f>
        <v>400</v>
      </c>
      <c r="FM477" s="14">
        <f>INDEX(属性投放!$BR$6:$BR$85,(卡牌属性!$DW477-2)*20+卡牌属性!$DX477)</f>
        <v>200</v>
      </c>
      <c r="FN477" s="14">
        <f>INDEX(属性投放!$BR$6:$BR$85,(卡牌属性!$DW477-2)*20+卡牌属性!$DX477)</f>
        <v>200</v>
      </c>
      <c r="FO477" s="14">
        <f>INDEX(属性投放!$BR$6:$BR$85,(卡牌属性!$DW477-2)*20+卡牌属性!$DX477)</f>
        <v>200</v>
      </c>
      <c r="FP477" s="14">
        <f>INDEX(属性投放!$BR$6:$BR$85,(卡牌属性!$DW477-2)*20+卡牌属性!$DX477)</f>
        <v>200</v>
      </c>
      <c r="FQ477" s="14">
        <f>INDEX(属性投放!$BR$6:$BR$85,(卡牌属性!$DW477-2)*20+卡牌属性!$DX477)</f>
        <v>200</v>
      </c>
      <c r="FR477" s="14">
        <f>INDEX(属性投放!$BS$6:$BS$85,(卡牌属性!$DW477-2)*20+卡牌属性!$DX477)</f>
        <v>4000</v>
      </c>
      <c r="FS477" s="14">
        <f>INDEX(属性投放!$BS$6:$BS$85,(卡牌属性!$DW477-2)*20+卡牌属性!$DX477)</f>
        <v>4000</v>
      </c>
      <c r="FT477" s="14">
        <f>INDEX(属性投放!$BS$6:$BS$85,(卡牌属性!$DW477-2)*20+卡牌属性!$DX477)</f>
        <v>4000</v>
      </c>
      <c r="FU477" s="14">
        <f>INDEX(属性投放!$BS$6:$BS$85,(卡牌属性!$DW477-2)*20+卡牌属性!$DX477)</f>
        <v>4000</v>
      </c>
      <c r="FV477" s="14">
        <f>INDEX(属性投放!$BS$6:$BS$85,(卡牌属性!$DW477-2)*20+卡牌属性!$DX477)</f>
        <v>4000</v>
      </c>
    </row>
    <row r="478" spans="31:178" ht="16.5" x14ac:dyDescent="0.2">
      <c r="AE478" s="13">
        <v>474</v>
      </c>
      <c r="AF478" s="13">
        <f t="shared" si="854"/>
        <v>24</v>
      </c>
      <c r="AG478" s="13">
        <f t="shared" si="855"/>
        <v>2</v>
      </c>
      <c r="AH478" s="13"/>
      <c r="AI478" s="13"/>
      <c r="AJ478" s="14">
        <f t="shared" si="856"/>
        <v>1101999</v>
      </c>
      <c r="AK478" s="14" t="str">
        <f t="shared" si="857"/>
        <v>R寄灵人14突</v>
      </c>
      <c r="AL478" s="25" t="s">
        <v>142</v>
      </c>
      <c r="AM478" s="14">
        <v>1</v>
      </c>
      <c r="AN478" s="14">
        <f t="shared" si="858"/>
        <v>14</v>
      </c>
      <c r="AO478" s="14">
        <f>INDEX(属性投放!$DF$6:$DF$85,(卡牌属性!AG478-2)*20+卡牌属性!AN478)</f>
        <v>4906</v>
      </c>
      <c r="AP478" s="14">
        <f t="shared" si="859"/>
        <v>4906</v>
      </c>
      <c r="AQ478" s="14">
        <f t="shared" si="859"/>
        <v>4906</v>
      </c>
      <c r="AR478" s="14">
        <f t="shared" si="859"/>
        <v>4906</v>
      </c>
      <c r="AS478" s="14">
        <f t="shared" si="859"/>
        <v>4906</v>
      </c>
      <c r="AT478" s="14">
        <f>INDEX(属性投放!$DG$6:$DG$85,(卡牌属性!AG478-2)*20+卡牌属性!AN478)</f>
        <v>2405</v>
      </c>
      <c r="AU478" s="14">
        <f t="shared" si="860"/>
        <v>2405</v>
      </c>
      <c r="AV478" s="14">
        <f t="shared" si="860"/>
        <v>2405</v>
      </c>
      <c r="AW478" s="14">
        <f t="shared" si="860"/>
        <v>2405</v>
      </c>
      <c r="AX478" s="14">
        <f t="shared" si="860"/>
        <v>2405</v>
      </c>
      <c r="AY478" s="14">
        <f>INDEX(属性投放!$DH$6:$DH$85,(卡牌属性!AG478-2)*20+卡牌属性!AN478)</f>
        <v>40846</v>
      </c>
      <c r="AZ478" s="14">
        <f t="shared" si="861"/>
        <v>40846</v>
      </c>
      <c r="BA478" s="14">
        <f t="shared" si="861"/>
        <v>40846</v>
      </c>
      <c r="BB478" s="14">
        <f t="shared" si="861"/>
        <v>40846</v>
      </c>
      <c r="BC478" s="14">
        <f t="shared" si="861"/>
        <v>40846</v>
      </c>
      <c r="BD478" s="14">
        <f>INDEX(属性投放!$DL$6:$DL$85,(卡牌属性!AG478-2)*20+卡牌属性!AN478)</f>
        <v>151</v>
      </c>
      <c r="BE478" s="14">
        <f t="shared" si="862"/>
        <v>151</v>
      </c>
      <c r="BF478" s="14">
        <f t="shared" si="862"/>
        <v>151</v>
      </c>
      <c r="BG478" s="14">
        <f t="shared" si="862"/>
        <v>151</v>
      </c>
      <c r="BH478" s="14">
        <f t="shared" si="862"/>
        <v>151</v>
      </c>
      <c r="BI478" s="14">
        <f>INDEX(属性投放!$DM$6:$DM$85,(卡牌属性!AG478-2)*20+卡牌属性!AN478)</f>
        <v>76</v>
      </c>
      <c r="BJ478" s="14">
        <f t="shared" si="863"/>
        <v>76</v>
      </c>
      <c r="BK478" s="14">
        <f t="shared" si="863"/>
        <v>76</v>
      </c>
      <c r="BL478" s="14">
        <f t="shared" si="863"/>
        <v>76</v>
      </c>
      <c r="BM478" s="14">
        <f t="shared" si="863"/>
        <v>76</v>
      </c>
      <c r="BN478" s="14">
        <f>INDEX(属性投放!$DN$6:$DN$85,(卡牌属性!AG478-2)*20+卡牌属性!AN478)</f>
        <v>1510</v>
      </c>
      <c r="BO478" s="14">
        <f t="shared" si="864"/>
        <v>1510</v>
      </c>
      <c r="BP478" s="14">
        <f t="shared" si="864"/>
        <v>1510</v>
      </c>
      <c r="BQ478" s="14">
        <f t="shared" si="864"/>
        <v>1510</v>
      </c>
      <c r="BR478" s="14">
        <f t="shared" si="864"/>
        <v>1510</v>
      </c>
      <c r="BW478" s="13">
        <v>474</v>
      </c>
      <c r="BX478" s="13">
        <f t="shared" si="835"/>
        <v>24</v>
      </c>
      <c r="BY478" s="14">
        <f t="shared" si="836"/>
        <v>3</v>
      </c>
      <c r="BZ478" s="14">
        <f t="shared" si="840"/>
        <v>1102024</v>
      </c>
      <c r="CA478" s="14" t="str">
        <f t="shared" si="841"/>
        <v>朱仙14突</v>
      </c>
      <c r="CB478" s="25" t="s">
        <v>142</v>
      </c>
      <c r="CC478" s="14">
        <v>2</v>
      </c>
      <c r="CD478" s="14">
        <f t="shared" si="837"/>
        <v>14</v>
      </c>
      <c r="CE478" s="14" t="s">
        <v>21</v>
      </c>
      <c r="CF478" s="14">
        <f>INDEX(属性投放!$AZ$6:$AZ$85,(BY478-2)*20+CD478)</f>
        <v>6791</v>
      </c>
      <c r="CG478" s="14" t="s">
        <v>22</v>
      </c>
      <c r="CH478" s="14">
        <f>INDEX(属性投放!$BA$6:$BA$85,(BY478-2)*20+CD478)</f>
        <v>3349</v>
      </c>
      <c r="CI478" s="14" t="s">
        <v>510</v>
      </c>
      <c r="CJ478" s="14">
        <f>INDEX(属性投放!$BB$6:$BB$85,(BY478-2)*20+CD478)</f>
        <v>57090</v>
      </c>
      <c r="CK478" s="14" t="s">
        <v>21</v>
      </c>
      <c r="CL478" s="14">
        <f>INDEX(属性投放!$BC$6:$BC$85,(BY478-2)*20+CD478)</f>
        <v>25</v>
      </c>
      <c r="CM478" s="14" t="s">
        <v>22</v>
      </c>
      <c r="CN478" s="14">
        <f>INDEX(属性投放!$BD$6:$BD$85,(BY478-2)*20+CD478)</f>
        <v>13</v>
      </c>
      <c r="CO478" s="14" t="s">
        <v>510</v>
      </c>
      <c r="CP478" s="14">
        <f>INDEX(属性投放!$BE$6:$BE$85,(BY478-2)*20+CD478)</f>
        <v>250</v>
      </c>
      <c r="CS478" s="13">
        <v>474</v>
      </c>
      <c r="CT478" s="13">
        <f t="shared" si="842"/>
        <v>10</v>
      </c>
      <c r="CU478" s="13">
        <f t="shared" si="843"/>
        <v>6</v>
      </c>
      <c r="CV478" s="14">
        <f t="shared" si="844"/>
        <v>4</v>
      </c>
      <c r="CW478" s="14">
        <f t="shared" si="845"/>
        <v>1102010</v>
      </c>
      <c r="CX478" s="14" t="str">
        <f>INDEX($O$6:$O$50,CT478)&amp;"-"&amp;INDEX(属性投放!$AB$7:$AB$50,CZ478)&amp;"-魂火-"&amp;DB478</f>
        <v>张郃-众合-魂火-1</v>
      </c>
      <c r="CY478" s="25" t="s">
        <v>142</v>
      </c>
      <c r="CZ478" s="14">
        <f>INDEX(属性投放!$AM$7:$AM$58,CU478)</f>
        <v>4</v>
      </c>
      <c r="DA478" s="14" t="s">
        <v>537</v>
      </c>
      <c r="DB478" s="14">
        <f>INDEX(属性投放!$AN$7:$AN$58,CU478)</f>
        <v>1</v>
      </c>
      <c r="DC478" s="14">
        <f t="shared" si="838"/>
        <v>6</v>
      </c>
      <c r="DD478" s="14">
        <f>INDEX(属性投放!$AO$7:$AO$58,DC478)</f>
        <v>28</v>
      </c>
      <c r="DE478" s="14" t="s">
        <v>538</v>
      </c>
      <c r="DF478" s="14">
        <f>INDEX(属性投放!$BK$6:$BK$85,(CV478-2)*20+CZ478)</f>
        <v>45</v>
      </c>
      <c r="DG478" s="14">
        <f>SUMIFS(DF$5:DF478,$CT$5:$CT478,"="&amp;$CT478)</f>
        <v>200</v>
      </c>
      <c r="DH478" s="14" t="s">
        <v>539</v>
      </c>
      <c r="DI478" s="14">
        <f>INDEX(属性投放!$BL$6:$BL$85,(CV478-2)*20+CZ478)</f>
        <v>23</v>
      </c>
      <c r="DJ478" s="14">
        <f>SUMIFS(DI$5:DI478,$CT$5:$CT478,"="&amp;$CT478)</f>
        <v>102</v>
      </c>
      <c r="DK478" s="14" t="s">
        <v>540</v>
      </c>
      <c r="DL478" s="14">
        <f>INDEX(属性投放!$BM$6:$BM$85,(CV478-2)*20+CZ478)</f>
        <v>315</v>
      </c>
      <c r="DM478" s="14">
        <f>SUMIFS(DL$5:DL478,$CT$5:$CT478,"="&amp;$CT478)</f>
        <v>1245</v>
      </c>
      <c r="DR478" s="14">
        <f t="shared" si="849"/>
        <v>1102024</v>
      </c>
      <c r="DS478" s="14" t="str">
        <f t="shared" si="850"/>
        <v>朱仙14突</v>
      </c>
      <c r="DT478" s="14">
        <f t="shared" si="846"/>
        <v>5</v>
      </c>
      <c r="DU478" s="14">
        <f t="shared" si="847"/>
        <v>5</v>
      </c>
      <c r="DV478" s="14">
        <f t="shared" si="848"/>
        <v>5</v>
      </c>
      <c r="DW478" s="14">
        <f t="shared" si="851"/>
        <v>3</v>
      </c>
      <c r="DX478" s="14">
        <f t="shared" si="852"/>
        <v>14</v>
      </c>
      <c r="DY478" s="14">
        <f t="shared" si="853"/>
        <v>34</v>
      </c>
      <c r="DZ478" s="14">
        <f>INDEX(属性投放!$AX$6:$AX$85,(卡牌属性!DW478-2)*20+卡牌属性!DX478)</f>
        <v>7</v>
      </c>
      <c r="EA478" s="14">
        <f>INDEX(属性投放!BQ$6:BQ$85,卡牌属性!$DY478)</f>
        <v>450</v>
      </c>
      <c r="EB478" s="14">
        <f>INDEX(属性投放!BR$6:BR$85,卡牌属性!$DY478)</f>
        <v>225</v>
      </c>
      <c r="EC478" s="14">
        <f>INDEX(属性投放!BS$6:BS$85,卡牌属性!$DY478)</f>
        <v>4500</v>
      </c>
      <c r="ED478" s="14">
        <f t="shared" si="865"/>
        <v>3621</v>
      </c>
      <c r="EE478" s="14">
        <f t="shared" si="866"/>
        <v>3764</v>
      </c>
      <c r="EF478" s="14">
        <f t="shared" si="867"/>
        <v>4483</v>
      </c>
      <c r="EG478" s="14">
        <f t="shared" si="868"/>
        <v>4483</v>
      </c>
      <c r="EH478" s="14">
        <f t="shared" si="869"/>
        <v>4825</v>
      </c>
      <c r="EI478" s="14">
        <f t="shared" si="870"/>
        <v>1781</v>
      </c>
      <c r="EJ478" s="14">
        <f t="shared" si="871"/>
        <v>1859</v>
      </c>
      <c r="EK478" s="14">
        <f t="shared" si="872"/>
        <v>1859</v>
      </c>
      <c r="EL478" s="14">
        <f t="shared" si="873"/>
        <v>2213</v>
      </c>
      <c r="EM478" s="14">
        <f t="shared" si="874"/>
        <v>2392</v>
      </c>
      <c r="EN478" s="14">
        <f t="shared" si="875"/>
        <v>29350</v>
      </c>
      <c r="EO478" s="14">
        <f t="shared" si="876"/>
        <v>30364</v>
      </c>
      <c r="EP478" s="14">
        <f t="shared" si="877"/>
        <v>30364</v>
      </c>
      <c r="EQ478" s="14">
        <f t="shared" si="878"/>
        <v>36198</v>
      </c>
      <c r="ER478" s="14">
        <f t="shared" si="879"/>
        <v>38792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INDEX(属性投放!$BQ$6:$BQ$85,(卡牌属性!$DW478-2)*20+卡牌属性!$DX478)</f>
        <v>450</v>
      </c>
      <c r="FI478" s="14">
        <f>INDEX(属性投放!$BQ$6:$BQ$85,(卡牌属性!$DW478-2)*20+卡牌属性!$DX478)</f>
        <v>450</v>
      </c>
      <c r="FJ478" s="14">
        <f>INDEX(属性投放!$BQ$6:$BQ$85,(卡牌属性!$DW478-2)*20+卡牌属性!$DX478)</f>
        <v>450</v>
      </c>
      <c r="FK478" s="14">
        <f>INDEX(属性投放!$BQ$6:$BQ$85,(卡牌属性!$DW478-2)*20+卡牌属性!$DX478)</f>
        <v>450</v>
      </c>
      <c r="FL478" s="14">
        <f>INDEX(属性投放!$BQ$6:$BQ$85,(卡牌属性!$DW478-2)*20+卡牌属性!$DX478)</f>
        <v>450</v>
      </c>
      <c r="FM478" s="14">
        <f>INDEX(属性投放!$BR$6:$BR$85,(卡牌属性!$DW478-2)*20+卡牌属性!$DX478)</f>
        <v>225</v>
      </c>
      <c r="FN478" s="14">
        <f>INDEX(属性投放!$BR$6:$BR$85,(卡牌属性!$DW478-2)*20+卡牌属性!$DX478)</f>
        <v>225</v>
      </c>
      <c r="FO478" s="14">
        <f>INDEX(属性投放!$BR$6:$BR$85,(卡牌属性!$DW478-2)*20+卡牌属性!$DX478)</f>
        <v>225</v>
      </c>
      <c r="FP478" s="14">
        <f>INDEX(属性投放!$BR$6:$BR$85,(卡牌属性!$DW478-2)*20+卡牌属性!$DX478)</f>
        <v>225</v>
      </c>
      <c r="FQ478" s="14">
        <f>INDEX(属性投放!$BR$6:$BR$85,(卡牌属性!$DW478-2)*20+卡牌属性!$DX478)</f>
        <v>225</v>
      </c>
      <c r="FR478" s="14">
        <f>INDEX(属性投放!$BS$6:$BS$85,(卡牌属性!$DW478-2)*20+卡牌属性!$DX478)</f>
        <v>4500</v>
      </c>
      <c r="FS478" s="14">
        <f>INDEX(属性投放!$BS$6:$BS$85,(卡牌属性!$DW478-2)*20+卡牌属性!$DX478)</f>
        <v>4500</v>
      </c>
      <c r="FT478" s="14">
        <f>INDEX(属性投放!$BS$6:$BS$85,(卡牌属性!$DW478-2)*20+卡牌属性!$DX478)</f>
        <v>4500</v>
      </c>
      <c r="FU478" s="14">
        <f>INDEX(属性投放!$BS$6:$BS$85,(卡牌属性!$DW478-2)*20+卡牌属性!$DX478)</f>
        <v>4500</v>
      </c>
      <c r="FV478" s="14">
        <f>INDEX(属性投放!$BS$6:$BS$85,(卡牌属性!$DW478-2)*20+卡牌属性!$DX478)</f>
        <v>4500</v>
      </c>
    </row>
    <row r="479" spans="31:178" ht="16.5" x14ac:dyDescent="0.2">
      <c r="AE479" s="13">
        <v>475</v>
      </c>
      <c r="AF479" s="13">
        <f t="shared" si="854"/>
        <v>24</v>
      </c>
      <c r="AG479" s="13">
        <f t="shared" si="855"/>
        <v>2</v>
      </c>
      <c r="AH479" s="13"/>
      <c r="AI479" s="13"/>
      <c r="AJ479" s="14">
        <f t="shared" si="856"/>
        <v>1101999</v>
      </c>
      <c r="AK479" s="14" t="str">
        <f t="shared" si="857"/>
        <v>R寄灵人15突</v>
      </c>
      <c r="AL479" s="25" t="s">
        <v>142</v>
      </c>
      <c r="AM479" s="14">
        <v>1</v>
      </c>
      <c r="AN479" s="14">
        <f t="shared" si="858"/>
        <v>15</v>
      </c>
      <c r="AO479" s="14">
        <f>INDEX(属性投放!$DF$6:$DF$85,(卡牌属性!AG479-2)*20+卡牌属性!AN479)</f>
        <v>5338</v>
      </c>
      <c r="AP479" s="14">
        <f t="shared" si="859"/>
        <v>5338</v>
      </c>
      <c r="AQ479" s="14">
        <f t="shared" si="859"/>
        <v>5338</v>
      </c>
      <c r="AR479" s="14">
        <f t="shared" si="859"/>
        <v>5338</v>
      </c>
      <c r="AS479" s="14">
        <f t="shared" si="859"/>
        <v>5338</v>
      </c>
      <c r="AT479" s="14">
        <f>INDEX(属性投放!$DG$6:$DG$85,(卡牌属性!AG479-2)*20+卡牌属性!AN479)</f>
        <v>2622</v>
      </c>
      <c r="AU479" s="14">
        <f t="shared" si="860"/>
        <v>2622</v>
      </c>
      <c r="AV479" s="14">
        <f t="shared" si="860"/>
        <v>2622</v>
      </c>
      <c r="AW479" s="14">
        <f t="shared" si="860"/>
        <v>2622</v>
      </c>
      <c r="AX479" s="14">
        <f t="shared" si="860"/>
        <v>2622</v>
      </c>
      <c r="AY479" s="14">
        <f>INDEX(属性投放!$DH$6:$DH$85,(卡牌属性!AG479-2)*20+卡牌属性!AN479)</f>
        <v>45161</v>
      </c>
      <c r="AZ479" s="14">
        <f t="shared" si="861"/>
        <v>45161</v>
      </c>
      <c r="BA479" s="14">
        <f t="shared" si="861"/>
        <v>45161</v>
      </c>
      <c r="BB479" s="14">
        <f t="shared" si="861"/>
        <v>45161</v>
      </c>
      <c r="BC479" s="14">
        <f t="shared" si="861"/>
        <v>45161</v>
      </c>
      <c r="BD479" s="14">
        <f>INDEX(属性投放!$DL$6:$DL$85,(卡牌属性!AG479-2)*20+卡牌属性!AN479)</f>
        <v>151</v>
      </c>
      <c r="BE479" s="14">
        <f t="shared" si="862"/>
        <v>151</v>
      </c>
      <c r="BF479" s="14">
        <f t="shared" si="862"/>
        <v>151</v>
      </c>
      <c r="BG479" s="14">
        <f t="shared" si="862"/>
        <v>151</v>
      </c>
      <c r="BH479" s="14">
        <f t="shared" si="862"/>
        <v>151</v>
      </c>
      <c r="BI479" s="14">
        <f>INDEX(属性投放!$DM$6:$DM$85,(卡牌属性!AG479-2)*20+卡牌属性!AN479)</f>
        <v>76</v>
      </c>
      <c r="BJ479" s="14">
        <f t="shared" si="863"/>
        <v>76</v>
      </c>
      <c r="BK479" s="14">
        <f t="shared" si="863"/>
        <v>76</v>
      </c>
      <c r="BL479" s="14">
        <f t="shared" si="863"/>
        <v>76</v>
      </c>
      <c r="BM479" s="14">
        <f t="shared" si="863"/>
        <v>76</v>
      </c>
      <c r="BN479" s="14">
        <f>INDEX(属性投放!$DN$6:$DN$85,(卡牌属性!AG479-2)*20+卡牌属性!AN479)</f>
        <v>1510</v>
      </c>
      <c r="BO479" s="14">
        <f t="shared" si="864"/>
        <v>1510</v>
      </c>
      <c r="BP479" s="14">
        <f t="shared" si="864"/>
        <v>1510</v>
      </c>
      <c r="BQ479" s="14">
        <f t="shared" si="864"/>
        <v>1510</v>
      </c>
      <c r="BR479" s="14">
        <f t="shared" si="864"/>
        <v>1510</v>
      </c>
      <c r="BW479" s="13">
        <v>475</v>
      </c>
      <c r="BX479" s="13">
        <f t="shared" si="835"/>
        <v>24</v>
      </c>
      <c r="BY479" s="14">
        <f t="shared" si="836"/>
        <v>3</v>
      </c>
      <c r="BZ479" s="14">
        <f t="shared" si="840"/>
        <v>1102024</v>
      </c>
      <c r="CA479" s="14" t="str">
        <f t="shared" si="841"/>
        <v>朱仙15突</v>
      </c>
      <c r="CB479" s="25" t="s">
        <v>142</v>
      </c>
      <c r="CC479" s="14">
        <v>2</v>
      </c>
      <c r="CD479" s="14">
        <f t="shared" si="837"/>
        <v>15</v>
      </c>
      <c r="CE479" s="14" t="s">
        <v>21</v>
      </c>
      <c r="CF479" s="14">
        <f>INDEX(属性投放!$AZ$6:$AZ$85,(BY479-2)*20+CD479)</f>
        <v>8316</v>
      </c>
      <c r="CG479" s="14" t="s">
        <v>22</v>
      </c>
      <c r="CH479" s="14">
        <f>INDEX(属性投放!$BA$6:$BA$85,(BY479-2)*20+CD479)</f>
        <v>4115</v>
      </c>
      <c r="CI479" s="14" t="s">
        <v>510</v>
      </c>
      <c r="CJ479" s="14">
        <f>INDEX(属性投放!$BB$6:$BB$85,(BY479-2)*20+CD479)</f>
        <v>72340</v>
      </c>
      <c r="CK479" s="14" t="s">
        <v>21</v>
      </c>
      <c r="CL479" s="14">
        <f>INDEX(属性投放!$BC$6:$BC$85,(BY479-2)*20+CD479)</f>
        <v>25</v>
      </c>
      <c r="CM479" s="14" t="s">
        <v>22</v>
      </c>
      <c r="CN479" s="14">
        <f>INDEX(属性投放!$BD$6:$BD$85,(BY479-2)*20+CD479)</f>
        <v>13</v>
      </c>
      <c r="CO479" s="14" t="s">
        <v>510</v>
      </c>
      <c r="CP479" s="14">
        <f>INDEX(属性投放!$BE$6:$BE$85,(BY479-2)*20+CD479)</f>
        <v>250</v>
      </c>
      <c r="CS479" s="13">
        <v>475</v>
      </c>
      <c r="CT479" s="13">
        <f t="shared" si="842"/>
        <v>10</v>
      </c>
      <c r="CU479" s="13">
        <f t="shared" si="843"/>
        <v>7</v>
      </c>
      <c r="CV479" s="14">
        <f t="shared" si="844"/>
        <v>4</v>
      </c>
      <c r="CW479" s="14">
        <f t="shared" si="845"/>
        <v>1102010</v>
      </c>
      <c r="CX479" s="14" t="str">
        <f>INDEX($O$6:$O$50,CT479)&amp;"-"&amp;INDEX(属性投放!$AB$7:$AB$50,CZ479)&amp;"-魂火-"&amp;DB479</f>
        <v>张郃-众合-魂火-2</v>
      </c>
      <c r="CY479" s="25" t="s">
        <v>142</v>
      </c>
      <c r="CZ479" s="14">
        <f>INDEX(属性投放!$AM$7:$AM$58,CU479)</f>
        <v>4</v>
      </c>
      <c r="DA479" s="14" t="s">
        <v>537</v>
      </c>
      <c r="DB479" s="14">
        <f>INDEX(属性投放!$AN$7:$AN$58,CU479)</f>
        <v>2</v>
      </c>
      <c r="DC479" s="14">
        <f t="shared" si="838"/>
        <v>7</v>
      </c>
      <c r="DD479" s="14">
        <f>INDEX(属性投放!$AO$7:$AO$58,DC479)</f>
        <v>33</v>
      </c>
      <c r="DE479" s="14" t="s">
        <v>538</v>
      </c>
      <c r="DF479" s="14">
        <f>INDEX(属性投放!$BK$6:$BK$85,(CV479-2)*20+CZ479)</f>
        <v>45</v>
      </c>
      <c r="DG479" s="14">
        <f>SUMIFS(DF$5:DF479,$CT$5:$CT479,"="&amp;$CT479)</f>
        <v>245</v>
      </c>
      <c r="DH479" s="14" t="s">
        <v>539</v>
      </c>
      <c r="DI479" s="14">
        <f>INDEX(属性投放!$BL$6:$BL$85,(CV479-2)*20+CZ479)</f>
        <v>23</v>
      </c>
      <c r="DJ479" s="14">
        <f>SUMIFS(DI$5:DI479,$CT$5:$CT479,"="&amp;$CT479)</f>
        <v>125</v>
      </c>
      <c r="DK479" s="14" t="s">
        <v>540</v>
      </c>
      <c r="DL479" s="14">
        <f>INDEX(属性投放!$BM$6:$BM$85,(CV479-2)*20+CZ479)</f>
        <v>315</v>
      </c>
      <c r="DM479" s="14">
        <f>SUMIFS(DL$5:DL479,$CT$5:$CT479,"="&amp;$CT479)</f>
        <v>1560</v>
      </c>
      <c r="DR479" s="14">
        <f t="shared" si="849"/>
        <v>1102024</v>
      </c>
      <c r="DS479" s="14" t="str">
        <f t="shared" si="850"/>
        <v>朱仙15突</v>
      </c>
      <c r="DT479" s="14">
        <f t="shared" si="846"/>
        <v>5</v>
      </c>
      <c r="DU479" s="14">
        <f t="shared" si="847"/>
        <v>5</v>
      </c>
      <c r="DV479" s="14">
        <f t="shared" si="848"/>
        <v>5</v>
      </c>
      <c r="DW479" s="14">
        <f t="shared" si="851"/>
        <v>3</v>
      </c>
      <c r="DX479" s="14">
        <f t="shared" si="852"/>
        <v>15</v>
      </c>
      <c r="DY479" s="14">
        <f t="shared" si="853"/>
        <v>35</v>
      </c>
      <c r="DZ479" s="14">
        <f>INDEX(属性投放!$AX$6:$AX$85,(卡牌属性!DW479-2)*20+卡牌属性!DX479)</f>
        <v>8</v>
      </c>
      <c r="EA479" s="14">
        <f>INDEX(属性投放!BQ$6:BQ$85,卡牌属性!$DY479)</f>
        <v>750</v>
      </c>
      <c r="EB479" s="14">
        <f>INDEX(属性投放!BR$6:BR$85,卡牌属性!$DY479)</f>
        <v>375</v>
      </c>
      <c r="EC479" s="14">
        <f>INDEX(属性投放!BS$6:BS$85,卡牌属性!$DY479)</f>
        <v>7500</v>
      </c>
      <c r="ED479" s="14">
        <f t="shared" si="865"/>
        <v>4246</v>
      </c>
      <c r="EE479" s="14">
        <f t="shared" si="866"/>
        <v>4396</v>
      </c>
      <c r="EF479" s="14">
        <f t="shared" si="867"/>
        <v>5213</v>
      </c>
      <c r="EG479" s="14">
        <f t="shared" si="868"/>
        <v>5213</v>
      </c>
      <c r="EH479" s="14">
        <f t="shared" si="869"/>
        <v>5590</v>
      </c>
      <c r="EI479" s="14">
        <f t="shared" si="870"/>
        <v>2097</v>
      </c>
      <c r="EJ479" s="14">
        <f t="shared" si="871"/>
        <v>2175</v>
      </c>
      <c r="EK479" s="14">
        <f t="shared" si="872"/>
        <v>2175</v>
      </c>
      <c r="EL479" s="14">
        <f t="shared" si="873"/>
        <v>2578</v>
      </c>
      <c r="EM479" s="14">
        <f t="shared" si="874"/>
        <v>2778</v>
      </c>
      <c r="EN479" s="14">
        <f t="shared" si="875"/>
        <v>35600</v>
      </c>
      <c r="EO479" s="14">
        <f t="shared" si="876"/>
        <v>36684</v>
      </c>
      <c r="EP479" s="14">
        <f t="shared" si="877"/>
        <v>36684</v>
      </c>
      <c r="EQ479" s="14">
        <f t="shared" si="878"/>
        <v>43498</v>
      </c>
      <c r="ER479" s="14">
        <f t="shared" si="879"/>
        <v>46442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INDEX(属性投放!$BQ$6:$BQ$85,(卡牌属性!$DW479-2)*20+卡牌属性!$DX479)</f>
        <v>750</v>
      </c>
      <c r="FI479" s="14">
        <f>INDEX(属性投放!$BQ$6:$BQ$85,(卡牌属性!$DW479-2)*20+卡牌属性!$DX479)</f>
        <v>750</v>
      </c>
      <c r="FJ479" s="14">
        <f>INDEX(属性投放!$BQ$6:$BQ$85,(卡牌属性!$DW479-2)*20+卡牌属性!$DX479)</f>
        <v>750</v>
      </c>
      <c r="FK479" s="14">
        <f>INDEX(属性投放!$BQ$6:$BQ$85,(卡牌属性!$DW479-2)*20+卡牌属性!$DX479)</f>
        <v>750</v>
      </c>
      <c r="FL479" s="14">
        <f>INDEX(属性投放!$BQ$6:$BQ$85,(卡牌属性!$DW479-2)*20+卡牌属性!$DX479)</f>
        <v>750</v>
      </c>
      <c r="FM479" s="14">
        <f>INDEX(属性投放!$BR$6:$BR$85,(卡牌属性!$DW479-2)*20+卡牌属性!$DX479)</f>
        <v>375</v>
      </c>
      <c r="FN479" s="14">
        <f>INDEX(属性投放!$BR$6:$BR$85,(卡牌属性!$DW479-2)*20+卡牌属性!$DX479)</f>
        <v>375</v>
      </c>
      <c r="FO479" s="14">
        <f>INDEX(属性投放!$BR$6:$BR$85,(卡牌属性!$DW479-2)*20+卡牌属性!$DX479)</f>
        <v>375</v>
      </c>
      <c r="FP479" s="14">
        <f>INDEX(属性投放!$BR$6:$BR$85,(卡牌属性!$DW479-2)*20+卡牌属性!$DX479)</f>
        <v>375</v>
      </c>
      <c r="FQ479" s="14">
        <f>INDEX(属性投放!$BR$6:$BR$85,(卡牌属性!$DW479-2)*20+卡牌属性!$DX479)</f>
        <v>375</v>
      </c>
      <c r="FR479" s="14">
        <f>INDEX(属性投放!$BS$6:$BS$85,(卡牌属性!$DW479-2)*20+卡牌属性!$DX479)</f>
        <v>7500</v>
      </c>
      <c r="FS479" s="14">
        <f>INDEX(属性投放!$BS$6:$BS$85,(卡牌属性!$DW479-2)*20+卡牌属性!$DX479)</f>
        <v>7500</v>
      </c>
      <c r="FT479" s="14">
        <f>INDEX(属性投放!$BS$6:$BS$85,(卡牌属性!$DW479-2)*20+卡牌属性!$DX479)</f>
        <v>7500</v>
      </c>
      <c r="FU479" s="14">
        <f>INDEX(属性投放!$BS$6:$BS$85,(卡牌属性!$DW479-2)*20+卡牌属性!$DX479)</f>
        <v>7500</v>
      </c>
      <c r="FV479" s="14">
        <f>INDEX(属性投放!$BS$6:$BS$85,(卡牌属性!$DW479-2)*20+卡牌属性!$DX479)</f>
        <v>7500</v>
      </c>
    </row>
    <row r="480" spans="31:178" ht="16.5" x14ac:dyDescent="0.2">
      <c r="AE480" s="13">
        <v>476</v>
      </c>
      <c r="AF480" s="13">
        <f t="shared" si="854"/>
        <v>24</v>
      </c>
      <c r="AG480" s="13">
        <f t="shared" si="855"/>
        <v>2</v>
      </c>
      <c r="AH480" s="13"/>
      <c r="AI480" s="13"/>
      <c r="AJ480" s="14">
        <f t="shared" si="856"/>
        <v>1101999</v>
      </c>
      <c r="AK480" s="14" t="str">
        <f t="shared" si="857"/>
        <v>R寄灵人16突</v>
      </c>
      <c r="AL480" s="25" t="s">
        <v>142</v>
      </c>
      <c r="AM480" s="14">
        <v>1</v>
      </c>
      <c r="AN480" s="14">
        <f t="shared" si="858"/>
        <v>16</v>
      </c>
      <c r="AO480" s="14">
        <f>INDEX(属性投放!$DF$6:$DF$85,(卡牌属性!AG480-2)*20+卡牌属性!AN480)</f>
        <v>9545</v>
      </c>
      <c r="AP480" s="14">
        <f t="shared" si="859"/>
        <v>9545</v>
      </c>
      <c r="AQ480" s="14">
        <f t="shared" si="859"/>
        <v>9545</v>
      </c>
      <c r="AR480" s="14">
        <f t="shared" si="859"/>
        <v>9545</v>
      </c>
      <c r="AS480" s="14">
        <f t="shared" si="859"/>
        <v>9545</v>
      </c>
      <c r="AT480" s="14">
        <f>INDEX(属性投放!$DG$6:$DG$85,(卡牌属性!AG480-2)*20+卡牌属性!AN480)</f>
        <v>4739</v>
      </c>
      <c r="AU480" s="14">
        <f t="shared" si="860"/>
        <v>4739</v>
      </c>
      <c r="AV480" s="14">
        <f t="shared" si="860"/>
        <v>4739</v>
      </c>
      <c r="AW480" s="14">
        <f t="shared" si="860"/>
        <v>4739</v>
      </c>
      <c r="AX480" s="14">
        <f t="shared" si="860"/>
        <v>4739</v>
      </c>
      <c r="AY480" s="14">
        <f>INDEX(属性投放!$DH$6:$DH$85,(卡牌属性!AG480-2)*20+卡牌属性!AN480)</f>
        <v>87226</v>
      </c>
      <c r="AZ480" s="14">
        <f t="shared" si="861"/>
        <v>87226</v>
      </c>
      <c r="BA480" s="14">
        <f t="shared" si="861"/>
        <v>87226</v>
      </c>
      <c r="BB480" s="14">
        <f t="shared" si="861"/>
        <v>87226</v>
      </c>
      <c r="BC480" s="14">
        <f t="shared" si="861"/>
        <v>87226</v>
      </c>
      <c r="BD480" s="14">
        <f>INDEX(属性投放!$DL$6:$DL$85,(卡牌属性!AG480-2)*20+卡牌属性!AN480)</f>
        <v>235</v>
      </c>
      <c r="BE480" s="14">
        <f t="shared" si="862"/>
        <v>235</v>
      </c>
      <c r="BF480" s="14">
        <f t="shared" si="862"/>
        <v>235</v>
      </c>
      <c r="BG480" s="14">
        <f t="shared" si="862"/>
        <v>235</v>
      </c>
      <c r="BH480" s="14">
        <f t="shared" si="862"/>
        <v>235</v>
      </c>
      <c r="BI480" s="14">
        <f>INDEX(属性投放!$DM$6:$DM$85,(卡牌属性!AG480-2)*20+卡牌属性!AN480)</f>
        <v>117</v>
      </c>
      <c r="BJ480" s="14">
        <f t="shared" si="863"/>
        <v>117</v>
      </c>
      <c r="BK480" s="14">
        <f t="shared" si="863"/>
        <v>117</v>
      </c>
      <c r="BL480" s="14">
        <f t="shared" si="863"/>
        <v>117</v>
      </c>
      <c r="BM480" s="14">
        <f t="shared" si="863"/>
        <v>117</v>
      </c>
      <c r="BN480" s="14">
        <f>INDEX(属性投放!$DN$6:$DN$85,(卡牌属性!AG480-2)*20+卡牌属性!AN480)</f>
        <v>2346</v>
      </c>
      <c r="BO480" s="14">
        <f t="shared" si="864"/>
        <v>2346</v>
      </c>
      <c r="BP480" s="14">
        <f t="shared" si="864"/>
        <v>2346</v>
      </c>
      <c r="BQ480" s="14">
        <f t="shared" si="864"/>
        <v>2346</v>
      </c>
      <c r="BR480" s="14">
        <f t="shared" si="864"/>
        <v>2346</v>
      </c>
      <c r="BW480" s="13">
        <v>476</v>
      </c>
      <c r="BX480" s="13">
        <f t="shared" si="835"/>
        <v>24</v>
      </c>
      <c r="BY480" s="14">
        <f t="shared" si="836"/>
        <v>3</v>
      </c>
      <c r="BZ480" s="14">
        <f t="shared" si="840"/>
        <v>1102024</v>
      </c>
      <c r="CA480" s="14" t="str">
        <f t="shared" si="841"/>
        <v>朱仙16突</v>
      </c>
      <c r="CB480" s="25" t="s">
        <v>142</v>
      </c>
      <c r="CC480" s="14">
        <v>2</v>
      </c>
      <c r="CD480" s="14">
        <f t="shared" si="837"/>
        <v>16</v>
      </c>
      <c r="CE480" s="14" t="s">
        <v>21</v>
      </c>
      <c r="CF480" s="14">
        <f>INDEX(属性投放!$AZ$6:$AZ$85,(BY480-2)*20+CD480)</f>
        <v>10466</v>
      </c>
      <c r="CG480" s="14" t="s">
        <v>22</v>
      </c>
      <c r="CH480" s="14">
        <f>INDEX(属性投放!$BA$6:$BA$85,(BY480-2)*20+CD480)</f>
        <v>5194</v>
      </c>
      <c r="CI480" s="14" t="s">
        <v>510</v>
      </c>
      <c r="CJ480" s="14">
        <f>INDEX(属性投放!$BB$6:$BB$85,(BY480-2)*20+CD480)</f>
        <v>93840</v>
      </c>
      <c r="CK480" s="14" t="s">
        <v>21</v>
      </c>
      <c r="CL480" s="14">
        <f>INDEX(属性投放!$BC$6:$BC$85,(BY480-2)*20+CD480)</f>
        <v>30</v>
      </c>
      <c r="CM480" s="14" t="s">
        <v>22</v>
      </c>
      <c r="CN480" s="14">
        <f>INDEX(属性投放!$BD$6:$BD$85,(BY480-2)*20+CD480)</f>
        <v>15</v>
      </c>
      <c r="CO480" s="14" t="s">
        <v>510</v>
      </c>
      <c r="CP480" s="14">
        <f>INDEX(属性投放!$BE$6:$BE$85,(BY480-2)*20+CD480)</f>
        <v>300</v>
      </c>
      <c r="CS480" s="13">
        <v>476</v>
      </c>
      <c r="CT480" s="13">
        <f t="shared" si="842"/>
        <v>10</v>
      </c>
      <c r="CU480" s="13">
        <f t="shared" si="843"/>
        <v>8</v>
      </c>
      <c r="CV480" s="14">
        <f t="shared" si="844"/>
        <v>4</v>
      </c>
      <c r="CW480" s="14">
        <f t="shared" si="845"/>
        <v>1102010</v>
      </c>
      <c r="CX480" s="14" t="str">
        <f>INDEX($O$6:$O$50,CT480)&amp;"-"&amp;INDEX(属性投放!$AB$7:$AB$50,CZ480)&amp;"-魂火-"&amp;DB480</f>
        <v>张郃-众合+1-魂火-1</v>
      </c>
      <c r="CY480" s="25" t="s">
        <v>142</v>
      </c>
      <c r="CZ480" s="14">
        <f>INDEX(属性投放!$AM$7:$AM$58,CU480)</f>
        <v>5</v>
      </c>
      <c r="DA480" s="14" t="s">
        <v>537</v>
      </c>
      <c r="DB480" s="14">
        <f>INDEX(属性投放!$AN$7:$AN$58,CU480)</f>
        <v>1</v>
      </c>
      <c r="DC480" s="14">
        <f t="shared" si="838"/>
        <v>8</v>
      </c>
      <c r="DD480" s="14">
        <f>INDEX(属性投放!$AO$7:$AO$58,DC480)</f>
        <v>38</v>
      </c>
      <c r="DE480" s="14" t="s">
        <v>538</v>
      </c>
      <c r="DF480" s="14">
        <f>INDEX(属性投放!$BK$6:$BK$85,(CV480-2)*20+CZ480)</f>
        <v>55</v>
      </c>
      <c r="DG480" s="14">
        <f>SUMIFS(DF$5:DF480,$CT$5:$CT480,"="&amp;$CT480)</f>
        <v>300</v>
      </c>
      <c r="DH480" s="14" t="s">
        <v>539</v>
      </c>
      <c r="DI480" s="14">
        <f>INDEX(属性投放!$BL$6:$BL$85,(CV480-2)*20+CZ480)</f>
        <v>28</v>
      </c>
      <c r="DJ480" s="14">
        <f>SUMIFS(DI$5:DI480,$CT$5:$CT480,"="&amp;$CT480)</f>
        <v>153</v>
      </c>
      <c r="DK480" s="14" t="s">
        <v>540</v>
      </c>
      <c r="DL480" s="14">
        <f>INDEX(属性投放!$BM$6:$BM$85,(CV480-2)*20+CZ480)</f>
        <v>385</v>
      </c>
      <c r="DM480" s="14">
        <f>SUMIFS(DL$5:DL480,$CT$5:$CT480,"="&amp;$CT480)</f>
        <v>1945</v>
      </c>
      <c r="DR480" s="14">
        <f t="shared" si="849"/>
        <v>1102024</v>
      </c>
      <c r="DS480" s="14" t="str">
        <f t="shared" si="850"/>
        <v>朱仙16突</v>
      </c>
      <c r="DT480" s="14">
        <f t="shared" si="846"/>
        <v>5</v>
      </c>
      <c r="DU480" s="14">
        <f t="shared" si="847"/>
        <v>5</v>
      </c>
      <c r="DV480" s="14">
        <f t="shared" si="848"/>
        <v>5</v>
      </c>
      <c r="DW480" s="14">
        <f t="shared" si="851"/>
        <v>3</v>
      </c>
      <c r="DX480" s="14">
        <f t="shared" si="852"/>
        <v>16</v>
      </c>
      <c r="DY480" s="14">
        <f t="shared" si="853"/>
        <v>36</v>
      </c>
      <c r="DZ480" s="14">
        <f>INDEX(属性投放!$AX$6:$AX$85,(卡牌属性!DW480-2)*20+卡牌属性!DX480)</f>
        <v>7</v>
      </c>
      <c r="EA480" s="14">
        <f>INDEX(属性投放!BQ$6:BQ$85,卡牌属性!$DY480)</f>
        <v>800</v>
      </c>
      <c r="EB480" s="14">
        <f>INDEX(属性投放!BR$6:BR$85,卡牌属性!$DY480)</f>
        <v>400</v>
      </c>
      <c r="EC480" s="14">
        <f>INDEX(属性投放!BS$6:BS$85,卡牌属性!$DY480)</f>
        <v>8000</v>
      </c>
      <c r="ED480" s="14">
        <f t="shared" si="865"/>
        <v>5196</v>
      </c>
      <c r="EE480" s="14">
        <f t="shared" si="866"/>
        <v>5354</v>
      </c>
      <c r="EF480" s="14">
        <f t="shared" si="867"/>
        <v>6283</v>
      </c>
      <c r="EG480" s="14">
        <f t="shared" si="868"/>
        <v>6283</v>
      </c>
      <c r="EH480" s="14">
        <f t="shared" si="869"/>
        <v>6700</v>
      </c>
      <c r="EI480" s="14">
        <f t="shared" si="870"/>
        <v>2576</v>
      </c>
      <c r="EJ480" s="14">
        <f t="shared" si="871"/>
        <v>2654</v>
      </c>
      <c r="EK480" s="14">
        <f t="shared" si="872"/>
        <v>2654</v>
      </c>
      <c r="EL480" s="14">
        <f t="shared" si="873"/>
        <v>3113</v>
      </c>
      <c r="EM480" s="14">
        <f t="shared" si="874"/>
        <v>3337</v>
      </c>
      <c r="EN480" s="14">
        <f t="shared" si="875"/>
        <v>45100</v>
      </c>
      <c r="EO480" s="14">
        <f t="shared" si="876"/>
        <v>46264</v>
      </c>
      <c r="EP480" s="14">
        <f t="shared" si="877"/>
        <v>46264</v>
      </c>
      <c r="EQ480" s="14">
        <f t="shared" si="878"/>
        <v>54198</v>
      </c>
      <c r="ER480" s="14">
        <f t="shared" si="879"/>
        <v>57542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INDEX(属性投放!$BQ$6:$BQ$85,(卡牌属性!$DW480-2)*20+卡牌属性!$DX480)</f>
        <v>800</v>
      </c>
      <c r="FI480" s="14">
        <f>INDEX(属性投放!$BQ$6:$BQ$85,(卡牌属性!$DW480-2)*20+卡牌属性!$DX480)</f>
        <v>800</v>
      </c>
      <c r="FJ480" s="14">
        <f>INDEX(属性投放!$BQ$6:$BQ$85,(卡牌属性!$DW480-2)*20+卡牌属性!$DX480)</f>
        <v>800</v>
      </c>
      <c r="FK480" s="14">
        <f>INDEX(属性投放!$BQ$6:$BQ$85,(卡牌属性!$DW480-2)*20+卡牌属性!$DX480)</f>
        <v>800</v>
      </c>
      <c r="FL480" s="14">
        <f>INDEX(属性投放!$BQ$6:$BQ$85,(卡牌属性!$DW480-2)*20+卡牌属性!$DX480)</f>
        <v>800</v>
      </c>
      <c r="FM480" s="14">
        <f>INDEX(属性投放!$BR$6:$BR$85,(卡牌属性!$DW480-2)*20+卡牌属性!$DX480)</f>
        <v>400</v>
      </c>
      <c r="FN480" s="14">
        <f>INDEX(属性投放!$BR$6:$BR$85,(卡牌属性!$DW480-2)*20+卡牌属性!$DX480)</f>
        <v>400</v>
      </c>
      <c r="FO480" s="14">
        <f>INDEX(属性投放!$BR$6:$BR$85,(卡牌属性!$DW480-2)*20+卡牌属性!$DX480)</f>
        <v>400</v>
      </c>
      <c r="FP480" s="14">
        <f>INDEX(属性投放!$BR$6:$BR$85,(卡牌属性!$DW480-2)*20+卡牌属性!$DX480)</f>
        <v>400</v>
      </c>
      <c r="FQ480" s="14">
        <f>INDEX(属性投放!$BR$6:$BR$85,(卡牌属性!$DW480-2)*20+卡牌属性!$DX480)</f>
        <v>400</v>
      </c>
      <c r="FR480" s="14">
        <f>INDEX(属性投放!$BS$6:$BS$85,(卡牌属性!$DW480-2)*20+卡牌属性!$DX480)</f>
        <v>8000</v>
      </c>
      <c r="FS480" s="14">
        <f>INDEX(属性投放!$BS$6:$BS$85,(卡牌属性!$DW480-2)*20+卡牌属性!$DX480)</f>
        <v>8000</v>
      </c>
      <c r="FT480" s="14">
        <f>INDEX(属性投放!$BS$6:$BS$85,(卡牌属性!$DW480-2)*20+卡牌属性!$DX480)</f>
        <v>8000</v>
      </c>
      <c r="FU480" s="14">
        <f>INDEX(属性投放!$BS$6:$BS$85,(卡牌属性!$DW480-2)*20+卡牌属性!$DX480)</f>
        <v>8000</v>
      </c>
      <c r="FV480" s="14">
        <f>INDEX(属性投放!$BS$6:$BS$85,(卡牌属性!$DW480-2)*20+卡牌属性!$DX480)</f>
        <v>8000</v>
      </c>
    </row>
    <row r="481" spans="31:178" ht="16.5" x14ac:dyDescent="0.2">
      <c r="AE481" s="13">
        <v>477</v>
      </c>
      <c r="AF481" s="13">
        <f t="shared" si="854"/>
        <v>24</v>
      </c>
      <c r="AG481" s="13">
        <f t="shared" si="855"/>
        <v>2</v>
      </c>
      <c r="AH481" s="13"/>
      <c r="AI481" s="13"/>
      <c r="AJ481" s="14">
        <f t="shared" si="856"/>
        <v>1101999</v>
      </c>
      <c r="AK481" s="14" t="str">
        <f t="shared" si="857"/>
        <v>R寄灵人17突</v>
      </c>
      <c r="AL481" s="25" t="s">
        <v>142</v>
      </c>
      <c r="AM481" s="14">
        <v>1</v>
      </c>
      <c r="AN481" s="14">
        <f t="shared" si="858"/>
        <v>17</v>
      </c>
      <c r="AO481" s="14">
        <f>INDEX(属性投放!$DF$6:$DF$85,(卡牌属性!AG481-2)*20+卡牌属性!AN481)</f>
        <v>10383</v>
      </c>
      <c r="AP481" s="14">
        <f t="shared" si="859"/>
        <v>10383</v>
      </c>
      <c r="AQ481" s="14">
        <f t="shared" si="859"/>
        <v>10383</v>
      </c>
      <c r="AR481" s="14">
        <f t="shared" si="859"/>
        <v>10383</v>
      </c>
      <c r="AS481" s="14">
        <f t="shared" si="859"/>
        <v>10383</v>
      </c>
      <c r="AT481" s="14">
        <f>INDEX(属性投放!$DG$6:$DG$85,(卡牌属性!AG481-2)*20+卡牌属性!AN481)</f>
        <v>5158</v>
      </c>
      <c r="AU481" s="14">
        <f t="shared" si="860"/>
        <v>5158</v>
      </c>
      <c r="AV481" s="14">
        <f t="shared" si="860"/>
        <v>5158</v>
      </c>
      <c r="AW481" s="14">
        <f t="shared" si="860"/>
        <v>5158</v>
      </c>
      <c r="AX481" s="14">
        <f t="shared" si="860"/>
        <v>5158</v>
      </c>
      <c r="AY481" s="14">
        <f>INDEX(属性投放!$DH$6:$DH$85,(卡牌属性!AG481-2)*20+卡牌属性!AN481)</f>
        <v>95606</v>
      </c>
      <c r="AZ481" s="14">
        <f t="shared" si="861"/>
        <v>95606</v>
      </c>
      <c r="BA481" s="14">
        <f t="shared" si="861"/>
        <v>95606</v>
      </c>
      <c r="BB481" s="14">
        <f t="shared" si="861"/>
        <v>95606</v>
      </c>
      <c r="BC481" s="14">
        <f t="shared" si="861"/>
        <v>95606</v>
      </c>
      <c r="BD481" s="14">
        <f>INDEX(属性投放!$DL$6:$DL$85,(卡牌属性!AG481-2)*20+卡牌属性!AN481)</f>
        <v>235</v>
      </c>
      <c r="BE481" s="14">
        <f t="shared" si="862"/>
        <v>235</v>
      </c>
      <c r="BF481" s="14">
        <f t="shared" si="862"/>
        <v>235</v>
      </c>
      <c r="BG481" s="14">
        <f t="shared" si="862"/>
        <v>235</v>
      </c>
      <c r="BH481" s="14">
        <f t="shared" si="862"/>
        <v>235</v>
      </c>
      <c r="BI481" s="14">
        <f>INDEX(属性投放!$DM$6:$DM$85,(卡牌属性!AG481-2)*20+卡牌属性!AN481)</f>
        <v>117</v>
      </c>
      <c r="BJ481" s="14">
        <f t="shared" si="863"/>
        <v>117</v>
      </c>
      <c r="BK481" s="14">
        <f t="shared" si="863"/>
        <v>117</v>
      </c>
      <c r="BL481" s="14">
        <f t="shared" si="863"/>
        <v>117</v>
      </c>
      <c r="BM481" s="14">
        <f t="shared" si="863"/>
        <v>117</v>
      </c>
      <c r="BN481" s="14">
        <f>INDEX(属性投放!$DN$6:$DN$85,(卡牌属性!AG481-2)*20+卡牌属性!AN481)</f>
        <v>2346</v>
      </c>
      <c r="BO481" s="14">
        <f t="shared" si="864"/>
        <v>2346</v>
      </c>
      <c r="BP481" s="14">
        <f t="shared" si="864"/>
        <v>2346</v>
      </c>
      <c r="BQ481" s="14">
        <f t="shared" si="864"/>
        <v>2346</v>
      </c>
      <c r="BR481" s="14">
        <f t="shared" si="864"/>
        <v>2346</v>
      </c>
      <c r="BW481" s="13">
        <v>477</v>
      </c>
      <c r="BX481" s="13">
        <f t="shared" si="835"/>
        <v>24</v>
      </c>
      <c r="BY481" s="14">
        <f t="shared" si="836"/>
        <v>3</v>
      </c>
      <c r="BZ481" s="14">
        <f t="shared" si="840"/>
        <v>1102024</v>
      </c>
      <c r="CA481" s="14" t="str">
        <f t="shared" si="841"/>
        <v>朱仙17突</v>
      </c>
      <c r="CB481" s="25" t="s">
        <v>142</v>
      </c>
      <c r="CC481" s="14">
        <v>2</v>
      </c>
      <c r="CD481" s="14">
        <f t="shared" si="837"/>
        <v>17</v>
      </c>
      <c r="CE481" s="14" t="s">
        <v>21</v>
      </c>
      <c r="CF481" s="14">
        <f>INDEX(属性投放!$AZ$6:$AZ$85,(BY481-2)*20+CD481)</f>
        <v>12976</v>
      </c>
      <c r="CG481" s="14" t="s">
        <v>22</v>
      </c>
      <c r="CH481" s="14">
        <f>INDEX(属性投放!$BA$6:$BA$85,(BY481-2)*20+CD481)</f>
        <v>6449</v>
      </c>
      <c r="CI481" s="14" t="s">
        <v>510</v>
      </c>
      <c r="CJ481" s="14">
        <f>INDEX(属性投放!$BB$6:$BB$85,(BY481-2)*20+CD481)</f>
        <v>118940</v>
      </c>
      <c r="CK481" s="14" t="s">
        <v>21</v>
      </c>
      <c r="CL481" s="14">
        <f>INDEX(属性投放!$BC$6:$BC$85,(BY481-2)*20+CD481)</f>
        <v>30</v>
      </c>
      <c r="CM481" s="14" t="s">
        <v>22</v>
      </c>
      <c r="CN481" s="14">
        <f>INDEX(属性投放!$BD$6:$BD$85,(BY481-2)*20+CD481)</f>
        <v>15</v>
      </c>
      <c r="CO481" s="14" t="s">
        <v>510</v>
      </c>
      <c r="CP481" s="14">
        <f>INDEX(属性投放!$BE$6:$BE$85,(BY481-2)*20+CD481)</f>
        <v>300</v>
      </c>
      <c r="CS481" s="13">
        <v>477</v>
      </c>
      <c r="CT481" s="13">
        <f t="shared" si="842"/>
        <v>10</v>
      </c>
      <c r="CU481" s="13">
        <f t="shared" si="843"/>
        <v>9</v>
      </c>
      <c r="CV481" s="14">
        <f t="shared" si="844"/>
        <v>4</v>
      </c>
      <c r="CW481" s="14">
        <f t="shared" si="845"/>
        <v>1102010</v>
      </c>
      <c r="CX481" s="14" t="str">
        <f>INDEX($O$6:$O$50,CT481)&amp;"-"&amp;INDEX(属性投放!$AB$7:$AB$50,CZ481)&amp;"-魂火-"&amp;DB481</f>
        <v>张郃-众合+1-魂火-2</v>
      </c>
      <c r="CY481" s="25" t="s">
        <v>142</v>
      </c>
      <c r="CZ481" s="14">
        <f>INDEX(属性投放!$AM$7:$AM$58,CU481)</f>
        <v>5</v>
      </c>
      <c r="DA481" s="14" t="s">
        <v>537</v>
      </c>
      <c r="DB481" s="14">
        <f>INDEX(属性投放!$AN$7:$AN$58,CU481)</f>
        <v>2</v>
      </c>
      <c r="DC481" s="14">
        <f t="shared" si="838"/>
        <v>9</v>
      </c>
      <c r="DD481" s="14">
        <f>INDEX(属性投放!$AO$7:$AO$58,DC481)</f>
        <v>40</v>
      </c>
      <c r="DE481" s="14" t="s">
        <v>538</v>
      </c>
      <c r="DF481" s="14">
        <f>INDEX(属性投放!$BK$6:$BK$85,(CV481-2)*20+CZ481)</f>
        <v>55</v>
      </c>
      <c r="DG481" s="14">
        <f>SUMIFS(DF$5:DF481,$CT$5:$CT481,"="&amp;$CT481)</f>
        <v>355</v>
      </c>
      <c r="DH481" s="14" t="s">
        <v>539</v>
      </c>
      <c r="DI481" s="14">
        <f>INDEX(属性投放!$BL$6:$BL$85,(CV481-2)*20+CZ481)</f>
        <v>28</v>
      </c>
      <c r="DJ481" s="14">
        <f>SUMIFS(DI$5:DI481,$CT$5:$CT481,"="&amp;$CT481)</f>
        <v>181</v>
      </c>
      <c r="DK481" s="14" t="s">
        <v>540</v>
      </c>
      <c r="DL481" s="14">
        <f>INDEX(属性投放!$BM$6:$BM$85,(CV481-2)*20+CZ481)</f>
        <v>385</v>
      </c>
      <c r="DM481" s="14">
        <f>SUMIFS(DL$5:DL481,$CT$5:$CT481,"="&amp;$CT481)</f>
        <v>2330</v>
      </c>
      <c r="DR481" s="14">
        <f t="shared" si="849"/>
        <v>1102024</v>
      </c>
      <c r="DS481" s="14" t="str">
        <f t="shared" si="850"/>
        <v>朱仙17突</v>
      </c>
      <c r="DT481" s="14">
        <f t="shared" si="846"/>
        <v>5</v>
      </c>
      <c r="DU481" s="14">
        <f t="shared" si="847"/>
        <v>5</v>
      </c>
      <c r="DV481" s="14">
        <f t="shared" si="848"/>
        <v>5</v>
      </c>
      <c r="DW481" s="14">
        <f t="shared" si="851"/>
        <v>3</v>
      </c>
      <c r="DX481" s="14">
        <f t="shared" si="852"/>
        <v>17</v>
      </c>
      <c r="DY481" s="14">
        <f t="shared" si="853"/>
        <v>37</v>
      </c>
      <c r="DZ481" s="14">
        <f>INDEX(属性投放!$AX$6:$AX$85,(卡牌属性!DW481-2)*20+卡牌属性!DX481)</f>
        <v>8</v>
      </c>
      <c r="EA481" s="14">
        <f>INDEX(属性投放!BQ$6:BQ$85,卡牌属性!$DY481)</f>
        <v>900</v>
      </c>
      <c r="EB481" s="14">
        <f>INDEX(属性投放!BR$6:BR$85,卡牌属性!$DY481)</f>
        <v>450</v>
      </c>
      <c r="EC481" s="14">
        <f>INDEX(属性投放!BS$6:BS$85,卡牌属性!$DY481)</f>
        <v>9000</v>
      </c>
      <c r="ED481" s="14">
        <f t="shared" si="865"/>
        <v>6206</v>
      </c>
      <c r="EE481" s="14">
        <f t="shared" si="866"/>
        <v>6399</v>
      </c>
      <c r="EF481" s="14">
        <f t="shared" si="867"/>
        <v>7433</v>
      </c>
      <c r="EG481" s="14">
        <f t="shared" si="868"/>
        <v>7433</v>
      </c>
      <c r="EH481" s="14">
        <f t="shared" si="869"/>
        <v>7920</v>
      </c>
      <c r="EI481" s="14">
        <f t="shared" si="870"/>
        <v>3081</v>
      </c>
      <c r="EJ481" s="14">
        <f t="shared" si="871"/>
        <v>3180</v>
      </c>
      <c r="EK481" s="14">
        <f t="shared" si="872"/>
        <v>3180</v>
      </c>
      <c r="EL481" s="14">
        <f t="shared" si="873"/>
        <v>3688</v>
      </c>
      <c r="EM481" s="14">
        <f t="shared" si="874"/>
        <v>3947</v>
      </c>
      <c r="EN481" s="14">
        <f t="shared" si="875"/>
        <v>55200</v>
      </c>
      <c r="EO481" s="14">
        <f t="shared" si="876"/>
        <v>56714</v>
      </c>
      <c r="EP481" s="14">
        <f t="shared" si="877"/>
        <v>56714</v>
      </c>
      <c r="EQ481" s="14">
        <f t="shared" si="878"/>
        <v>65698</v>
      </c>
      <c r="ER481" s="14">
        <f t="shared" si="879"/>
        <v>69742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INDEX(属性投放!$BQ$6:$BQ$85,(卡牌属性!$DW481-2)*20+卡牌属性!$DX481)</f>
        <v>900</v>
      </c>
      <c r="FI481" s="14">
        <f>INDEX(属性投放!$BQ$6:$BQ$85,(卡牌属性!$DW481-2)*20+卡牌属性!$DX481)</f>
        <v>900</v>
      </c>
      <c r="FJ481" s="14">
        <f>INDEX(属性投放!$BQ$6:$BQ$85,(卡牌属性!$DW481-2)*20+卡牌属性!$DX481)</f>
        <v>900</v>
      </c>
      <c r="FK481" s="14">
        <f>INDEX(属性投放!$BQ$6:$BQ$85,(卡牌属性!$DW481-2)*20+卡牌属性!$DX481)</f>
        <v>900</v>
      </c>
      <c r="FL481" s="14">
        <f>INDEX(属性投放!$BQ$6:$BQ$85,(卡牌属性!$DW481-2)*20+卡牌属性!$DX481)</f>
        <v>900</v>
      </c>
      <c r="FM481" s="14">
        <f>INDEX(属性投放!$BR$6:$BR$85,(卡牌属性!$DW481-2)*20+卡牌属性!$DX481)</f>
        <v>450</v>
      </c>
      <c r="FN481" s="14">
        <f>INDEX(属性投放!$BR$6:$BR$85,(卡牌属性!$DW481-2)*20+卡牌属性!$DX481)</f>
        <v>450</v>
      </c>
      <c r="FO481" s="14">
        <f>INDEX(属性投放!$BR$6:$BR$85,(卡牌属性!$DW481-2)*20+卡牌属性!$DX481)</f>
        <v>450</v>
      </c>
      <c r="FP481" s="14">
        <f>INDEX(属性投放!$BR$6:$BR$85,(卡牌属性!$DW481-2)*20+卡牌属性!$DX481)</f>
        <v>450</v>
      </c>
      <c r="FQ481" s="14">
        <f>INDEX(属性投放!$BR$6:$BR$85,(卡牌属性!$DW481-2)*20+卡牌属性!$DX481)</f>
        <v>450</v>
      </c>
      <c r="FR481" s="14">
        <f>INDEX(属性投放!$BS$6:$BS$85,(卡牌属性!$DW481-2)*20+卡牌属性!$DX481)</f>
        <v>9000</v>
      </c>
      <c r="FS481" s="14">
        <f>INDEX(属性投放!$BS$6:$BS$85,(卡牌属性!$DW481-2)*20+卡牌属性!$DX481)</f>
        <v>9000</v>
      </c>
      <c r="FT481" s="14">
        <f>INDEX(属性投放!$BS$6:$BS$85,(卡牌属性!$DW481-2)*20+卡牌属性!$DX481)</f>
        <v>9000</v>
      </c>
      <c r="FU481" s="14">
        <f>INDEX(属性投放!$BS$6:$BS$85,(卡牌属性!$DW481-2)*20+卡牌属性!$DX481)</f>
        <v>9000</v>
      </c>
      <c r="FV481" s="14">
        <f>INDEX(属性投放!$BS$6:$BS$85,(卡牌属性!$DW481-2)*20+卡牌属性!$DX481)</f>
        <v>9000</v>
      </c>
    </row>
    <row r="482" spans="31:178" ht="16.5" x14ac:dyDescent="0.2">
      <c r="AE482" s="13">
        <v>478</v>
      </c>
      <c r="AF482" s="13">
        <f t="shared" si="854"/>
        <v>24</v>
      </c>
      <c r="AG482" s="13">
        <f t="shared" si="855"/>
        <v>2</v>
      </c>
      <c r="AH482" s="13"/>
      <c r="AI482" s="13"/>
      <c r="AJ482" s="14">
        <f t="shared" si="856"/>
        <v>1101999</v>
      </c>
      <c r="AK482" s="14" t="str">
        <f t="shared" si="857"/>
        <v>R寄灵人18突</v>
      </c>
      <c r="AL482" s="25" t="s">
        <v>142</v>
      </c>
      <c r="AM482" s="14">
        <v>1</v>
      </c>
      <c r="AN482" s="14">
        <f t="shared" si="858"/>
        <v>18</v>
      </c>
      <c r="AO482" s="14">
        <f>INDEX(属性投放!$DF$6:$DF$85,(卡牌属性!AG482-2)*20+卡牌属性!AN482)</f>
        <v>11221</v>
      </c>
      <c r="AP482" s="14">
        <f t="shared" si="859"/>
        <v>11221</v>
      </c>
      <c r="AQ482" s="14">
        <f t="shared" si="859"/>
        <v>11221</v>
      </c>
      <c r="AR482" s="14">
        <f t="shared" si="859"/>
        <v>11221</v>
      </c>
      <c r="AS482" s="14">
        <f t="shared" si="859"/>
        <v>11221</v>
      </c>
      <c r="AT482" s="14">
        <f>INDEX(属性投放!$DG$6:$DG$85,(卡牌属性!AG482-2)*20+卡牌属性!AN482)</f>
        <v>5577</v>
      </c>
      <c r="AU482" s="14">
        <f t="shared" si="860"/>
        <v>5577</v>
      </c>
      <c r="AV482" s="14">
        <f t="shared" si="860"/>
        <v>5577</v>
      </c>
      <c r="AW482" s="14">
        <f t="shared" si="860"/>
        <v>5577</v>
      </c>
      <c r="AX482" s="14">
        <f t="shared" si="860"/>
        <v>5577</v>
      </c>
      <c r="AY482" s="14">
        <f>INDEX(属性投放!$DH$6:$DH$85,(卡牌属性!AG482-2)*20+卡牌属性!AN482)</f>
        <v>103986</v>
      </c>
      <c r="AZ482" s="14">
        <f t="shared" si="861"/>
        <v>103986</v>
      </c>
      <c r="BA482" s="14">
        <f t="shared" si="861"/>
        <v>103986</v>
      </c>
      <c r="BB482" s="14">
        <f t="shared" si="861"/>
        <v>103986</v>
      </c>
      <c r="BC482" s="14">
        <f t="shared" si="861"/>
        <v>103986</v>
      </c>
      <c r="BD482" s="14">
        <f>INDEX(属性投放!$DL$6:$DL$85,(卡牌属性!AG482-2)*20+卡牌属性!AN482)</f>
        <v>235</v>
      </c>
      <c r="BE482" s="14">
        <f t="shared" si="862"/>
        <v>235</v>
      </c>
      <c r="BF482" s="14">
        <f t="shared" si="862"/>
        <v>235</v>
      </c>
      <c r="BG482" s="14">
        <f t="shared" si="862"/>
        <v>235</v>
      </c>
      <c r="BH482" s="14">
        <f t="shared" si="862"/>
        <v>235</v>
      </c>
      <c r="BI482" s="14">
        <f>INDEX(属性投放!$DM$6:$DM$85,(卡牌属性!AG482-2)*20+卡牌属性!AN482)</f>
        <v>117</v>
      </c>
      <c r="BJ482" s="14">
        <f t="shared" si="863"/>
        <v>117</v>
      </c>
      <c r="BK482" s="14">
        <f t="shared" si="863"/>
        <v>117</v>
      </c>
      <c r="BL482" s="14">
        <f t="shared" si="863"/>
        <v>117</v>
      </c>
      <c r="BM482" s="14">
        <f t="shared" si="863"/>
        <v>117</v>
      </c>
      <c r="BN482" s="14">
        <f>INDEX(属性投放!$DN$6:$DN$85,(卡牌属性!AG482-2)*20+卡牌属性!AN482)</f>
        <v>2346</v>
      </c>
      <c r="BO482" s="14">
        <f t="shared" si="864"/>
        <v>2346</v>
      </c>
      <c r="BP482" s="14">
        <f t="shared" si="864"/>
        <v>2346</v>
      </c>
      <c r="BQ482" s="14">
        <f t="shared" si="864"/>
        <v>2346</v>
      </c>
      <c r="BR482" s="14">
        <f t="shared" si="864"/>
        <v>2346</v>
      </c>
      <c r="BW482" s="13">
        <v>478</v>
      </c>
      <c r="BX482" s="13">
        <f t="shared" si="835"/>
        <v>24</v>
      </c>
      <c r="BY482" s="14">
        <f t="shared" si="836"/>
        <v>3</v>
      </c>
      <c r="BZ482" s="14">
        <f t="shared" si="840"/>
        <v>1102024</v>
      </c>
      <c r="CA482" s="14" t="str">
        <f t="shared" si="841"/>
        <v>朱仙18突</v>
      </c>
      <c r="CB482" s="25" t="s">
        <v>142</v>
      </c>
      <c r="CC482" s="14">
        <v>2</v>
      </c>
      <c r="CD482" s="14">
        <f t="shared" si="837"/>
        <v>18</v>
      </c>
      <c r="CE482" s="14" t="s">
        <v>21</v>
      </c>
      <c r="CF482" s="14">
        <f>INDEX(属性投放!$AZ$6:$AZ$85,(BY482-2)*20+CD482)</f>
        <v>15916</v>
      </c>
      <c r="CG482" s="14" t="s">
        <v>22</v>
      </c>
      <c r="CH482" s="14">
        <f>INDEX(属性投放!$BA$6:$BA$85,(BY482-2)*20+CD482)</f>
        <v>7919</v>
      </c>
      <c r="CI482" s="14" t="s">
        <v>510</v>
      </c>
      <c r="CJ482" s="14">
        <f>INDEX(属性投放!$BB$6:$BB$85,(BY482-2)*20+CD482)</f>
        <v>148340</v>
      </c>
      <c r="CK482" s="14" t="s">
        <v>21</v>
      </c>
      <c r="CL482" s="14">
        <f>INDEX(属性投放!$BC$6:$BC$85,(BY482-2)*20+CD482)</f>
        <v>30</v>
      </c>
      <c r="CM482" s="14" t="s">
        <v>22</v>
      </c>
      <c r="CN482" s="14">
        <f>INDEX(属性投放!$BD$6:$BD$85,(BY482-2)*20+CD482)</f>
        <v>15</v>
      </c>
      <c r="CO482" s="14" t="s">
        <v>510</v>
      </c>
      <c r="CP482" s="14">
        <f>INDEX(属性投放!$BE$6:$BE$85,(BY482-2)*20+CD482)</f>
        <v>300</v>
      </c>
      <c r="CS482" s="13">
        <v>478</v>
      </c>
      <c r="CT482" s="13">
        <f t="shared" si="842"/>
        <v>10</v>
      </c>
      <c r="CU482" s="13">
        <f t="shared" si="843"/>
        <v>10</v>
      </c>
      <c r="CV482" s="14">
        <f t="shared" si="844"/>
        <v>4</v>
      </c>
      <c r="CW482" s="14">
        <f t="shared" si="845"/>
        <v>1102010</v>
      </c>
      <c r="CX482" s="14" t="str">
        <f>INDEX($O$6:$O$50,CT482)&amp;"-"&amp;INDEX(属性投放!$AB$7:$AB$50,CZ482)&amp;"-魂火-"&amp;DB482</f>
        <v>张郃-众合+2-魂火-1</v>
      </c>
      <c r="CY482" s="25" t="s">
        <v>142</v>
      </c>
      <c r="CZ482" s="14">
        <f>INDEX(属性投放!$AM$7:$AM$58,CU482)</f>
        <v>6</v>
      </c>
      <c r="DA482" s="14" t="s">
        <v>537</v>
      </c>
      <c r="DB482" s="14">
        <f>INDEX(属性投放!$AN$7:$AN$58,CU482)</f>
        <v>1</v>
      </c>
      <c r="DC482" s="14">
        <f t="shared" si="838"/>
        <v>10</v>
      </c>
      <c r="DD482" s="14">
        <f>INDEX(属性投放!$AO$7:$AO$58,DC482)</f>
        <v>43</v>
      </c>
      <c r="DE482" s="14" t="s">
        <v>538</v>
      </c>
      <c r="DF482" s="14">
        <f>INDEX(属性投放!$BK$6:$BK$85,(CV482-2)*20+CZ482)</f>
        <v>60</v>
      </c>
      <c r="DG482" s="14">
        <f>SUMIFS(DF$5:DF482,$CT$5:$CT482,"="&amp;$CT482)</f>
        <v>415</v>
      </c>
      <c r="DH482" s="14" t="s">
        <v>539</v>
      </c>
      <c r="DI482" s="14">
        <f>INDEX(属性投放!$BL$6:$BL$85,(CV482-2)*20+CZ482)</f>
        <v>30</v>
      </c>
      <c r="DJ482" s="14">
        <f>SUMIFS(DI$5:DI482,$CT$5:$CT482,"="&amp;$CT482)</f>
        <v>211</v>
      </c>
      <c r="DK482" s="14" t="s">
        <v>540</v>
      </c>
      <c r="DL482" s="14">
        <f>INDEX(属性投放!$BM$6:$BM$85,(CV482-2)*20+CZ482)</f>
        <v>420</v>
      </c>
      <c r="DM482" s="14">
        <f>SUMIFS(DL$5:DL482,$CT$5:$CT482,"="&amp;$CT482)</f>
        <v>2750</v>
      </c>
      <c r="DR482" s="14">
        <f t="shared" si="849"/>
        <v>1102024</v>
      </c>
      <c r="DS482" s="14" t="str">
        <f t="shared" si="850"/>
        <v>朱仙18突</v>
      </c>
      <c r="DT482" s="14">
        <f t="shared" si="846"/>
        <v>5</v>
      </c>
      <c r="DU482" s="14">
        <f t="shared" si="847"/>
        <v>5</v>
      </c>
      <c r="DV482" s="14">
        <f t="shared" si="848"/>
        <v>5</v>
      </c>
      <c r="DW482" s="14">
        <f t="shared" si="851"/>
        <v>3</v>
      </c>
      <c r="DX482" s="14">
        <f t="shared" si="852"/>
        <v>18</v>
      </c>
      <c r="DY482" s="14">
        <f t="shared" si="853"/>
        <v>38</v>
      </c>
      <c r="DZ482" s="14">
        <f>INDEX(属性投放!$AX$6:$AX$85,(卡牌属性!DW482-2)*20+卡牌属性!DX482)</f>
        <v>7</v>
      </c>
      <c r="EA482" s="14">
        <f>INDEX(属性投放!BQ$6:BQ$85,卡牌属性!$DY482)</f>
        <v>1500</v>
      </c>
      <c r="EB482" s="14">
        <f>INDEX(属性投放!BR$6:BR$85,卡牌属性!$DY482)</f>
        <v>750</v>
      </c>
      <c r="EC482" s="14">
        <f>INDEX(属性投放!BS$6:BS$85,卡牌属性!$DY482)</f>
        <v>15000</v>
      </c>
      <c r="ED482" s="14">
        <f t="shared" si="865"/>
        <v>7346</v>
      </c>
      <c r="EE482" s="14">
        <f t="shared" si="866"/>
        <v>7579</v>
      </c>
      <c r="EF482" s="14">
        <f t="shared" si="867"/>
        <v>8733</v>
      </c>
      <c r="EG482" s="14">
        <f t="shared" si="868"/>
        <v>8733</v>
      </c>
      <c r="EH482" s="14">
        <f t="shared" si="869"/>
        <v>9300</v>
      </c>
      <c r="EI482" s="14">
        <f t="shared" si="870"/>
        <v>3651</v>
      </c>
      <c r="EJ482" s="14">
        <f t="shared" si="871"/>
        <v>3774</v>
      </c>
      <c r="EK482" s="14">
        <f t="shared" si="872"/>
        <v>3774</v>
      </c>
      <c r="EL482" s="14">
        <f t="shared" si="873"/>
        <v>4338</v>
      </c>
      <c r="EM482" s="14">
        <f t="shared" si="874"/>
        <v>4637</v>
      </c>
      <c r="EN482" s="14">
        <f t="shared" si="875"/>
        <v>66600</v>
      </c>
      <c r="EO482" s="14">
        <f t="shared" si="876"/>
        <v>68514</v>
      </c>
      <c r="EP482" s="14">
        <f t="shared" si="877"/>
        <v>68514</v>
      </c>
      <c r="EQ482" s="14">
        <f t="shared" si="878"/>
        <v>78698</v>
      </c>
      <c r="ER482" s="14">
        <f t="shared" si="879"/>
        <v>83542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INDEX(属性投放!$BQ$6:$BQ$85,(卡牌属性!$DW482-2)*20+卡牌属性!$DX482)</f>
        <v>1500</v>
      </c>
      <c r="FI482" s="14">
        <f>INDEX(属性投放!$BQ$6:$BQ$85,(卡牌属性!$DW482-2)*20+卡牌属性!$DX482)</f>
        <v>1500</v>
      </c>
      <c r="FJ482" s="14">
        <f>INDEX(属性投放!$BQ$6:$BQ$85,(卡牌属性!$DW482-2)*20+卡牌属性!$DX482)</f>
        <v>1500</v>
      </c>
      <c r="FK482" s="14">
        <f>INDEX(属性投放!$BQ$6:$BQ$85,(卡牌属性!$DW482-2)*20+卡牌属性!$DX482)</f>
        <v>1500</v>
      </c>
      <c r="FL482" s="14">
        <f>INDEX(属性投放!$BQ$6:$BQ$85,(卡牌属性!$DW482-2)*20+卡牌属性!$DX482)</f>
        <v>1500</v>
      </c>
      <c r="FM482" s="14">
        <f>INDEX(属性投放!$BR$6:$BR$85,(卡牌属性!$DW482-2)*20+卡牌属性!$DX482)</f>
        <v>750</v>
      </c>
      <c r="FN482" s="14">
        <f>INDEX(属性投放!$BR$6:$BR$85,(卡牌属性!$DW482-2)*20+卡牌属性!$DX482)</f>
        <v>750</v>
      </c>
      <c r="FO482" s="14">
        <f>INDEX(属性投放!$BR$6:$BR$85,(卡牌属性!$DW482-2)*20+卡牌属性!$DX482)</f>
        <v>750</v>
      </c>
      <c r="FP482" s="14">
        <f>INDEX(属性投放!$BR$6:$BR$85,(卡牌属性!$DW482-2)*20+卡牌属性!$DX482)</f>
        <v>750</v>
      </c>
      <c r="FQ482" s="14">
        <f>INDEX(属性投放!$BR$6:$BR$85,(卡牌属性!$DW482-2)*20+卡牌属性!$DX482)</f>
        <v>750</v>
      </c>
      <c r="FR482" s="14">
        <f>INDEX(属性投放!$BS$6:$BS$85,(卡牌属性!$DW482-2)*20+卡牌属性!$DX482)</f>
        <v>15000</v>
      </c>
      <c r="FS482" s="14">
        <f>INDEX(属性投放!$BS$6:$BS$85,(卡牌属性!$DW482-2)*20+卡牌属性!$DX482)</f>
        <v>15000</v>
      </c>
      <c r="FT482" s="14">
        <f>INDEX(属性投放!$BS$6:$BS$85,(卡牌属性!$DW482-2)*20+卡牌属性!$DX482)</f>
        <v>15000</v>
      </c>
      <c r="FU482" s="14">
        <f>INDEX(属性投放!$BS$6:$BS$85,(卡牌属性!$DW482-2)*20+卡牌属性!$DX482)</f>
        <v>15000</v>
      </c>
      <c r="FV482" s="14">
        <f>INDEX(属性投放!$BS$6:$BS$85,(卡牌属性!$DW482-2)*20+卡牌属性!$DX482)</f>
        <v>15000</v>
      </c>
    </row>
    <row r="483" spans="31:178" ht="16.5" x14ac:dyDescent="0.2">
      <c r="AE483" s="13">
        <v>479</v>
      </c>
      <c r="AF483" s="13">
        <f t="shared" si="854"/>
        <v>24</v>
      </c>
      <c r="AG483" s="13">
        <f t="shared" si="855"/>
        <v>2</v>
      </c>
      <c r="AH483" s="13"/>
      <c r="AI483" s="13"/>
      <c r="AJ483" s="14">
        <f t="shared" si="856"/>
        <v>1101999</v>
      </c>
      <c r="AK483" s="14" t="str">
        <f t="shared" si="857"/>
        <v>R寄灵人19突</v>
      </c>
      <c r="AL483" s="25" t="s">
        <v>142</v>
      </c>
      <c r="AM483" s="14">
        <v>1</v>
      </c>
      <c r="AN483" s="14">
        <f t="shared" si="858"/>
        <v>19</v>
      </c>
      <c r="AO483" s="14">
        <f>INDEX(属性投放!$DF$6:$DF$85,(卡牌属性!AG483-2)*20+卡牌属性!AN483)</f>
        <v>17934</v>
      </c>
      <c r="AP483" s="14">
        <f t="shared" si="859"/>
        <v>17934</v>
      </c>
      <c r="AQ483" s="14">
        <f t="shared" si="859"/>
        <v>17934</v>
      </c>
      <c r="AR483" s="14">
        <f t="shared" si="859"/>
        <v>17934</v>
      </c>
      <c r="AS483" s="14">
        <f t="shared" si="859"/>
        <v>17934</v>
      </c>
      <c r="AT483" s="14">
        <f>INDEX(属性投放!$DG$6:$DG$85,(卡牌属性!AG483-2)*20+卡牌属性!AN483)</f>
        <v>8921</v>
      </c>
      <c r="AU483" s="14">
        <f t="shared" si="860"/>
        <v>8921</v>
      </c>
      <c r="AV483" s="14">
        <f t="shared" si="860"/>
        <v>8921</v>
      </c>
      <c r="AW483" s="14">
        <f t="shared" si="860"/>
        <v>8921</v>
      </c>
      <c r="AX483" s="14">
        <f t="shared" si="860"/>
        <v>8921</v>
      </c>
      <c r="AY483" s="14">
        <f>INDEX(属性投放!$DH$6:$DH$85,(卡牌属性!AG483-2)*20+卡牌属性!AN483)</f>
        <v>171016</v>
      </c>
      <c r="AZ483" s="14">
        <f t="shared" si="861"/>
        <v>171016</v>
      </c>
      <c r="BA483" s="14">
        <f t="shared" si="861"/>
        <v>171016</v>
      </c>
      <c r="BB483" s="14">
        <f t="shared" si="861"/>
        <v>171016</v>
      </c>
      <c r="BC483" s="14">
        <f t="shared" si="861"/>
        <v>171016</v>
      </c>
      <c r="BD483" s="14">
        <f>INDEX(属性投放!$DL$6:$DL$85,(卡牌属性!AG483-2)*20+卡牌属性!AN483)</f>
        <v>462</v>
      </c>
      <c r="BE483" s="14">
        <f t="shared" si="862"/>
        <v>462</v>
      </c>
      <c r="BF483" s="14">
        <f t="shared" si="862"/>
        <v>462</v>
      </c>
      <c r="BG483" s="14">
        <f t="shared" si="862"/>
        <v>462</v>
      </c>
      <c r="BH483" s="14">
        <f t="shared" si="862"/>
        <v>462</v>
      </c>
      <c r="BI483" s="14">
        <f>INDEX(属性投放!$DM$6:$DM$85,(卡牌属性!AG483-2)*20+卡牌属性!AN483)</f>
        <v>231</v>
      </c>
      <c r="BJ483" s="14">
        <f t="shared" si="863"/>
        <v>231</v>
      </c>
      <c r="BK483" s="14">
        <f t="shared" si="863"/>
        <v>231</v>
      </c>
      <c r="BL483" s="14">
        <f t="shared" si="863"/>
        <v>231</v>
      </c>
      <c r="BM483" s="14">
        <f t="shared" si="863"/>
        <v>231</v>
      </c>
      <c r="BN483" s="14">
        <f>INDEX(属性投放!$DN$6:$DN$85,(卡牌属性!AG483-2)*20+卡牌属性!AN483)</f>
        <v>4620</v>
      </c>
      <c r="BO483" s="14">
        <f t="shared" si="864"/>
        <v>4620</v>
      </c>
      <c r="BP483" s="14">
        <f t="shared" si="864"/>
        <v>4620</v>
      </c>
      <c r="BQ483" s="14">
        <f t="shared" si="864"/>
        <v>4620</v>
      </c>
      <c r="BR483" s="14">
        <f t="shared" si="864"/>
        <v>4620</v>
      </c>
      <c r="BW483" s="13">
        <v>479</v>
      </c>
      <c r="BX483" s="13">
        <f t="shared" si="835"/>
        <v>24</v>
      </c>
      <c r="BY483" s="14">
        <f t="shared" si="836"/>
        <v>3</v>
      </c>
      <c r="BZ483" s="14">
        <f t="shared" si="840"/>
        <v>1102024</v>
      </c>
      <c r="CA483" s="14" t="str">
        <f t="shared" si="841"/>
        <v>朱仙19突</v>
      </c>
      <c r="CB483" s="25" t="s">
        <v>142</v>
      </c>
      <c r="CC483" s="14">
        <v>2</v>
      </c>
      <c r="CD483" s="14">
        <f t="shared" si="837"/>
        <v>19</v>
      </c>
      <c r="CE483" s="14" t="s">
        <v>21</v>
      </c>
      <c r="CF483" s="14">
        <f>INDEX(属性投放!$AZ$6:$AZ$85,(BY483-2)*20+CD483)</f>
        <v>19726</v>
      </c>
      <c r="CG483" s="14" t="s">
        <v>22</v>
      </c>
      <c r="CH483" s="14">
        <f>INDEX(属性投放!$BA$6:$BA$85,(BY483-2)*20+CD483)</f>
        <v>9824</v>
      </c>
      <c r="CI483" s="14" t="s">
        <v>510</v>
      </c>
      <c r="CJ483" s="14">
        <f>INDEX(属性投放!$BB$6:$BB$85,(BY483-2)*20+CD483)</f>
        <v>186440</v>
      </c>
      <c r="CK483" s="14" t="s">
        <v>21</v>
      </c>
      <c r="CL483" s="14">
        <f>INDEX(属性投放!$BC$6:$BC$85,(BY483-2)*20+CD483)</f>
        <v>40</v>
      </c>
      <c r="CM483" s="14" t="s">
        <v>22</v>
      </c>
      <c r="CN483" s="14">
        <f>INDEX(属性投放!$BD$6:$BD$85,(BY483-2)*20+CD483)</f>
        <v>20</v>
      </c>
      <c r="CO483" s="14" t="s">
        <v>510</v>
      </c>
      <c r="CP483" s="14">
        <f>INDEX(属性投放!$BE$6:$BE$85,(BY483-2)*20+CD483)</f>
        <v>400</v>
      </c>
      <c r="CS483" s="13">
        <v>479</v>
      </c>
      <c r="CT483" s="13">
        <f t="shared" si="842"/>
        <v>10</v>
      </c>
      <c r="CU483" s="13">
        <f t="shared" si="843"/>
        <v>11</v>
      </c>
      <c r="CV483" s="14">
        <f t="shared" si="844"/>
        <v>4</v>
      </c>
      <c r="CW483" s="14">
        <f t="shared" si="845"/>
        <v>1102010</v>
      </c>
      <c r="CX483" s="14" t="str">
        <f>INDEX($O$6:$O$50,CT483)&amp;"-"&amp;INDEX(属性投放!$AB$7:$AB$50,CZ483)&amp;"-魂火-"&amp;DB483</f>
        <v>张郃-众合+2-魂火-2</v>
      </c>
      <c r="CY483" s="25" t="s">
        <v>142</v>
      </c>
      <c r="CZ483" s="14">
        <f>INDEX(属性投放!$AM$7:$AM$58,CU483)</f>
        <v>6</v>
      </c>
      <c r="DA483" s="14" t="s">
        <v>537</v>
      </c>
      <c r="DB483" s="14">
        <f>INDEX(属性投放!$AN$7:$AN$58,CU483)</f>
        <v>2</v>
      </c>
      <c r="DC483" s="14">
        <f t="shared" si="838"/>
        <v>11</v>
      </c>
      <c r="DD483" s="14">
        <f>INDEX(属性投放!$AO$7:$AO$58,DC483)</f>
        <v>45</v>
      </c>
      <c r="DE483" s="14" t="s">
        <v>538</v>
      </c>
      <c r="DF483" s="14">
        <f>INDEX(属性投放!$BK$6:$BK$85,(CV483-2)*20+CZ483)</f>
        <v>60</v>
      </c>
      <c r="DG483" s="14">
        <f>SUMIFS(DF$5:DF483,$CT$5:$CT483,"="&amp;$CT483)</f>
        <v>475</v>
      </c>
      <c r="DH483" s="14" t="s">
        <v>539</v>
      </c>
      <c r="DI483" s="14">
        <f>INDEX(属性投放!$BL$6:$BL$85,(CV483-2)*20+CZ483)</f>
        <v>30</v>
      </c>
      <c r="DJ483" s="14">
        <f>SUMIFS(DI$5:DI483,$CT$5:$CT483,"="&amp;$CT483)</f>
        <v>241</v>
      </c>
      <c r="DK483" s="14" t="s">
        <v>540</v>
      </c>
      <c r="DL483" s="14">
        <f>INDEX(属性投放!$BM$6:$BM$85,(CV483-2)*20+CZ483)</f>
        <v>420</v>
      </c>
      <c r="DM483" s="14">
        <f>SUMIFS(DL$5:DL483,$CT$5:$CT483,"="&amp;$CT483)</f>
        <v>3170</v>
      </c>
      <c r="DR483" s="14">
        <f t="shared" si="849"/>
        <v>1102024</v>
      </c>
      <c r="DS483" s="14" t="str">
        <f t="shared" si="850"/>
        <v>朱仙19突</v>
      </c>
      <c r="DT483" s="14">
        <f t="shared" si="846"/>
        <v>5</v>
      </c>
      <c r="DU483" s="14">
        <f t="shared" si="847"/>
        <v>5</v>
      </c>
      <c r="DV483" s="14">
        <f t="shared" si="848"/>
        <v>5</v>
      </c>
      <c r="DW483" s="14">
        <f t="shared" si="851"/>
        <v>3</v>
      </c>
      <c r="DX483" s="14">
        <f t="shared" si="852"/>
        <v>19</v>
      </c>
      <c r="DY483" s="14">
        <f t="shared" si="853"/>
        <v>39</v>
      </c>
      <c r="DZ483" s="14">
        <f>INDEX(属性投放!$AX$6:$AX$85,(卡牌属性!DW483-2)*20+卡牌属性!DX483)</f>
        <v>8</v>
      </c>
      <c r="EA483" s="14">
        <f>INDEX(属性投放!BQ$6:BQ$85,卡牌属性!$DY483)</f>
        <v>1500</v>
      </c>
      <c r="EB483" s="14">
        <f>INDEX(属性投放!BR$6:BR$85,卡牌属性!$DY483)</f>
        <v>750</v>
      </c>
      <c r="EC483" s="14">
        <f>INDEX(属性投放!BS$6:BS$85,卡牌属性!$DY483)</f>
        <v>15000</v>
      </c>
      <c r="ED483" s="14">
        <f t="shared" si="865"/>
        <v>9056</v>
      </c>
      <c r="EE483" s="14">
        <f t="shared" si="866"/>
        <v>9324</v>
      </c>
      <c r="EF483" s="14">
        <f t="shared" si="867"/>
        <v>10583</v>
      </c>
      <c r="EG483" s="14">
        <f t="shared" si="868"/>
        <v>10583</v>
      </c>
      <c r="EH483" s="14">
        <f t="shared" si="869"/>
        <v>11220</v>
      </c>
      <c r="EI483" s="14">
        <f t="shared" si="870"/>
        <v>4506</v>
      </c>
      <c r="EJ483" s="14">
        <f t="shared" si="871"/>
        <v>4650</v>
      </c>
      <c r="EK483" s="14">
        <f t="shared" si="872"/>
        <v>4650</v>
      </c>
      <c r="EL483" s="14">
        <f t="shared" si="873"/>
        <v>5263</v>
      </c>
      <c r="EM483" s="14">
        <f t="shared" si="874"/>
        <v>5597</v>
      </c>
      <c r="EN483" s="14">
        <f t="shared" si="875"/>
        <v>83700</v>
      </c>
      <c r="EO483" s="14">
        <f t="shared" si="876"/>
        <v>85964</v>
      </c>
      <c r="EP483" s="14">
        <f t="shared" si="877"/>
        <v>85964</v>
      </c>
      <c r="EQ483" s="14">
        <f t="shared" si="878"/>
        <v>97198</v>
      </c>
      <c r="ER483" s="14">
        <f t="shared" si="879"/>
        <v>102742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INDEX(属性投放!$BQ$6:$BQ$85,(卡牌属性!$DW483-2)*20+卡牌属性!$DX483)</f>
        <v>1500</v>
      </c>
      <c r="FI483" s="14">
        <f>INDEX(属性投放!$BQ$6:$BQ$85,(卡牌属性!$DW483-2)*20+卡牌属性!$DX483)</f>
        <v>1500</v>
      </c>
      <c r="FJ483" s="14">
        <f>INDEX(属性投放!$BQ$6:$BQ$85,(卡牌属性!$DW483-2)*20+卡牌属性!$DX483)</f>
        <v>1500</v>
      </c>
      <c r="FK483" s="14">
        <f>INDEX(属性投放!$BQ$6:$BQ$85,(卡牌属性!$DW483-2)*20+卡牌属性!$DX483)</f>
        <v>1500</v>
      </c>
      <c r="FL483" s="14">
        <f>INDEX(属性投放!$BQ$6:$BQ$85,(卡牌属性!$DW483-2)*20+卡牌属性!$DX483)</f>
        <v>1500</v>
      </c>
      <c r="FM483" s="14">
        <f>INDEX(属性投放!$BR$6:$BR$85,(卡牌属性!$DW483-2)*20+卡牌属性!$DX483)</f>
        <v>750</v>
      </c>
      <c r="FN483" s="14">
        <f>INDEX(属性投放!$BR$6:$BR$85,(卡牌属性!$DW483-2)*20+卡牌属性!$DX483)</f>
        <v>750</v>
      </c>
      <c r="FO483" s="14">
        <f>INDEX(属性投放!$BR$6:$BR$85,(卡牌属性!$DW483-2)*20+卡牌属性!$DX483)</f>
        <v>750</v>
      </c>
      <c r="FP483" s="14">
        <f>INDEX(属性投放!$BR$6:$BR$85,(卡牌属性!$DW483-2)*20+卡牌属性!$DX483)</f>
        <v>750</v>
      </c>
      <c r="FQ483" s="14">
        <f>INDEX(属性投放!$BR$6:$BR$85,(卡牌属性!$DW483-2)*20+卡牌属性!$DX483)</f>
        <v>750</v>
      </c>
      <c r="FR483" s="14">
        <f>INDEX(属性投放!$BS$6:$BS$85,(卡牌属性!$DW483-2)*20+卡牌属性!$DX483)</f>
        <v>15000</v>
      </c>
      <c r="FS483" s="14">
        <f>INDEX(属性投放!$BS$6:$BS$85,(卡牌属性!$DW483-2)*20+卡牌属性!$DX483)</f>
        <v>15000</v>
      </c>
      <c r="FT483" s="14">
        <f>INDEX(属性投放!$BS$6:$BS$85,(卡牌属性!$DW483-2)*20+卡牌属性!$DX483)</f>
        <v>15000</v>
      </c>
      <c r="FU483" s="14">
        <f>INDEX(属性投放!$BS$6:$BS$85,(卡牌属性!$DW483-2)*20+卡牌属性!$DX483)</f>
        <v>15000</v>
      </c>
      <c r="FV483" s="14">
        <f>INDEX(属性投放!$BS$6:$BS$85,(卡牌属性!$DW483-2)*20+卡牌属性!$DX483)</f>
        <v>15000</v>
      </c>
    </row>
    <row r="484" spans="31:178" ht="16.5" x14ac:dyDescent="0.2">
      <c r="AE484" s="13">
        <v>480</v>
      </c>
      <c r="AF484" s="13">
        <f t="shared" si="854"/>
        <v>24</v>
      </c>
      <c r="AG484" s="13">
        <f t="shared" si="855"/>
        <v>2</v>
      </c>
      <c r="AH484" s="13"/>
      <c r="AI484" s="13"/>
      <c r="AJ484" s="14">
        <f t="shared" si="856"/>
        <v>1101999</v>
      </c>
      <c r="AK484" s="14" t="str">
        <f t="shared" si="857"/>
        <v>R寄灵人20突</v>
      </c>
      <c r="AL484" s="25" t="s">
        <v>142</v>
      </c>
      <c r="AM484" s="14">
        <v>1</v>
      </c>
      <c r="AN484" s="14">
        <f t="shared" si="858"/>
        <v>20</v>
      </c>
      <c r="AO484" s="14">
        <f>INDEX(属性投放!$DF$6:$DF$85,(卡牌属性!AG484-2)*20+卡牌属性!AN484)</f>
        <v>18924</v>
      </c>
      <c r="AP484" s="14">
        <f t="shared" si="859"/>
        <v>18924</v>
      </c>
      <c r="AQ484" s="14">
        <f t="shared" si="859"/>
        <v>18924</v>
      </c>
      <c r="AR484" s="14">
        <f t="shared" si="859"/>
        <v>18924</v>
      </c>
      <c r="AS484" s="14">
        <f t="shared" si="859"/>
        <v>18924</v>
      </c>
      <c r="AT484" s="14">
        <f>INDEX(属性投放!$DG$6:$DG$85,(卡牌属性!AG484-2)*20+卡牌属性!AN484)</f>
        <v>9417</v>
      </c>
      <c r="AU484" s="14">
        <f t="shared" si="860"/>
        <v>9417</v>
      </c>
      <c r="AV484" s="14">
        <f t="shared" si="860"/>
        <v>9417</v>
      </c>
      <c r="AW484" s="14">
        <f t="shared" si="860"/>
        <v>9417</v>
      </c>
      <c r="AX484" s="14">
        <f t="shared" si="860"/>
        <v>9417</v>
      </c>
      <c r="AY484" s="14">
        <f>INDEX(属性投放!$DH$6:$DH$85,(卡牌属性!AG484-2)*20+卡牌属性!AN484)</f>
        <v>180916</v>
      </c>
      <c r="AZ484" s="14">
        <f t="shared" si="861"/>
        <v>180916</v>
      </c>
      <c r="BA484" s="14">
        <f t="shared" si="861"/>
        <v>180916</v>
      </c>
      <c r="BB484" s="14">
        <f t="shared" si="861"/>
        <v>180916</v>
      </c>
      <c r="BC484" s="14">
        <f t="shared" si="861"/>
        <v>180916</v>
      </c>
      <c r="BD484" s="14">
        <f>INDEX(属性投放!$DL$6:$DL$85,(卡牌属性!AG484-2)*20+卡牌属性!AN484)</f>
        <v>462</v>
      </c>
      <c r="BE484" s="14">
        <f t="shared" si="862"/>
        <v>462</v>
      </c>
      <c r="BF484" s="14">
        <f t="shared" si="862"/>
        <v>462</v>
      </c>
      <c r="BG484" s="14">
        <f t="shared" si="862"/>
        <v>462</v>
      </c>
      <c r="BH484" s="14">
        <f t="shared" si="862"/>
        <v>462</v>
      </c>
      <c r="BI484" s="14">
        <f>INDEX(属性投放!$DM$6:$DM$85,(卡牌属性!AG484-2)*20+卡牌属性!AN484)</f>
        <v>231</v>
      </c>
      <c r="BJ484" s="14">
        <f t="shared" si="863"/>
        <v>231</v>
      </c>
      <c r="BK484" s="14">
        <f t="shared" si="863"/>
        <v>231</v>
      </c>
      <c r="BL484" s="14">
        <f t="shared" si="863"/>
        <v>231</v>
      </c>
      <c r="BM484" s="14">
        <f t="shared" si="863"/>
        <v>231</v>
      </c>
      <c r="BN484" s="14">
        <f>INDEX(属性投放!$DN$6:$DN$85,(卡牌属性!AG484-2)*20+卡牌属性!AN484)</f>
        <v>4620</v>
      </c>
      <c r="BO484" s="14">
        <f t="shared" si="864"/>
        <v>4620</v>
      </c>
      <c r="BP484" s="14">
        <f t="shared" si="864"/>
        <v>4620</v>
      </c>
      <c r="BQ484" s="14">
        <f t="shared" si="864"/>
        <v>4620</v>
      </c>
      <c r="BR484" s="14">
        <f t="shared" si="864"/>
        <v>4620</v>
      </c>
      <c r="BW484" s="13">
        <v>480</v>
      </c>
      <c r="BX484" s="13">
        <f t="shared" si="835"/>
        <v>24</v>
      </c>
      <c r="BY484" s="14">
        <f t="shared" si="836"/>
        <v>3</v>
      </c>
      <c r="BZ484" s="14">
        <f t="shared" si="840"/>
        <v>1102024</v>
      </c>
      <c r="CA484" s="14" t="str">
        <f t="shared" si="841"/>
        <v>朱仙20突</v>
      </c>
      <c r="CB484" s="25" t="s">
        <v>142</v>
      </c>
      <c r="CC484" s="14">
        <v>2</v>
      </c>
      <c r="CD484" s="14">
        <f t="shared" si="837"/>
        <v>20</v>
      </c>
      <c r="CE484" s="14" t="s">
        <v>21</v>
      </c>
      <c r="CF484" s="14">
        <f>INDEX(属性投放!$AZ$6:$AZ$85,(BY484-2)*20+CD484)</f>
        <v>24246</v>
      </c>
      <c r="CG484" s="14" t="s">
        <v>22</v>
      </c>
      <c r="CH484" s="14">
        <f>INDEX(属性投放!$BA$6:$BA$85,(BY484-2)*20+CD484)</f>
        <v>12084</v>
      </c>
      <c r="CI484" s="14" t="s">
        <v>510</v>
      </c>
      <c r="CJ484" s="14">
        <f>INDEX(属性投放!$BB$6:$BB$85,(BY484-2)*20+CD484)</f>
        <v>231640</v>
      </c>
      <c r="CK484" s="14" t="s">
        <v>21</v>
      </c>
      <c r="CL484" s="14">
        <f>INDEX(属性投放!$BC$6:$BC$85,(BY484-2)*20+CD484)</f>
        <v>40</v>
      </c>
      <c r="CM484" s="14" t="s">
        <v>22</v>
      </c>
      <c r="CN484" s="14">
        <f>INDEX(属性投放!$BD$6:$BD$85,(BY484-2)*20+CD484)</f>
        <v>20</v>
      </c>
      <c r="CO484" s="14" t="s">
        <v>510</v>
      </c>
      <c r="CP484" s="14">
        <f>INDEX(属性投放!$BE$6:$BE$85,(BY484-2)*20+CD484)</f>
        <v>400</v>
      </c>
      <c r="CS484" s="13">
        <v>480</v>
      </c>
      <c r="CT484" s="13">
        <f t="shared" si="842"/>
        <v>10</v>
      </c>
      <c r="CU484" s="13">
        <f t="shared" si="843"/>
        <v>12</v>
      </c>
      <c r="CV484" s="14">
        <f t="shared" si="844"/>
        <v>4</v>
      </c>
      <c r="CW484" s="14">
        <f t="shared" si="845"/>
        <v>1102010</v>
      </c>
      <c r="CX484" s="14" t="str">
        <f>INDEX($O$6:$O$50,CT484)&amp;"-"&amp;INDEX(属性投放!$AB$7:$AB$50,CZ484)&amp;"-魂火-"&amp;DB484</f>
        <v>张郃-叫唤-魂火-1</v>
      </c>
      <c r="CY484" s="25" t="s">
        <v>142</v>
      </c>
      <c r="CZ484" s="14">
        <f>INDEX(属性投放!$AM$7:$AM$58,CU484)</f>
        <v>7</v>
      </c>
      <c r="DA484" s="14" t="s">
        <v>537</v>
      </c>
      <c r="DB484" s="14">
        <f>INDEX(属性投放!$AN$7:$AN$58,CU484)</f>
        <v>1</v>
      </c>
      <c r="DC484" s="14">
        <f t="shared" si="838"/>
        <v>12</v>
      </c>
      <c r="DD484" s="14">
        <f>INDEX(属性投放!$AO$7:$AO$58,DC484)</f>
        <v>48</v>
      </c>
      <c r="DE484" s="14" t="s">
        <v>538</v>
      </c>
      <c r="DF484" s="14">
        <f>INDEX(属性投放!$BK$6:$BK$85,(CV484-2)*20+CZ484)</f>
        <v>80</v>
      </c>
      <c r="DG484" s="14">
        <f>SUMIFS(DF$5:DF484,$CT$5:$CT484,"="&amp;$CT484)</f>
        <v>555</v>
      </c>
      <c r="DH484" s="14" t="s">
        <v>539</v>
      </c>
      <c r="DI484" s="14">
        <f>INDEX(属性投放!$BL$6:$BL$85,(CV484-2)*20+CZ484)</f>
        <v>40</v>
      </c>
      <c r="DJ484" s="14">
        <f>SUMIFS(DI$5:DI484,$CT$5:$CT484,"="&amp;$CT484)</f>
        <v>281</v>
      </c>
      <c r="DK484" s="14" t="s">
        <v>540</v>
      </c>
      <c r="DL484" s="14">
        <f>INDEX(属性投放!$BM$6:$BM$85,(CV484-2)*20+CZ484)</f>
        <v>640</v>
      </c>
      <c r="DM484" s="14">
        <f>SUMIFS(DL$5:DL484,$CT$5:$CT484,"="&amp;$CT484)</f>
        <v>3810</v>
      </c>
      <c r="DR484" s="14">
        <f t="shared" si="849"/>
        <v>1102024</v>
      </c>
      <c r="DS484" s="14" t="str">
        <f t="shared" si="850"/>
        <v>朱仙20突</v>
      </c>
      <c r="DT484" s="14">
        <f t="shared" si="846"/>
        <v>5</v>
      </c>
      <c r="DU484" s="14">
        <f t="shared" si="847"/>
        <v>5</v>
      </c>
      <c r="DV484" s="14">
        <f t="shared" si="848"/>
        <v>5</v>
      </c>
      <c r="DW484" s="14">
        <f t="shared" si="851"/>
        <v>3</v>
      </c>
      <c r="DX484" s="14">
        <f t="shared" si="852"/>
        <v>20</v>
      </c>
      <c r="DY484" s="14">
        <f t="shared" si="853"/>
        <v>40</v>
      </c>
      <c r="DZ484" s="14">
        <f>INDEX(属性投放!$AX$6:$AX$85,(卡牌属性!DW484-2)*20+卡牌属性!DX484)</f>
        <v>10</v>
      </c>
      <c r="EA484" s="14">
        <f>INDEX(属性投放!BQ$6:BQ$85,卡牌属性!$DY484)</f>
        <v>1500</v>
      </c>
      <c r="EB484" s="14">
        <f>INDEX(属性投放!BR$6:BR$85,卡牌属性!$DY484)</f>
        <v>750</v>
      </c>
      <c r="EC484" s="14">
        <f>INDEX(属性投放!BS$6:BS$85,卡牌属性!$DY484)</f>
        <v>15000</v>
      </c>
      <c r="ED484" s="14">
        <f t="shared" si="865"/>
        <v>10876</v>
      </c>
      <c r="EE484" s="14">
        <f t="shared" si="866"/>
        <v>11184</v>
      </c>
      <c r="EF484" s="14">
        <f t="shared" si="867"/>
        <v>12683</v>
      </c>
      <c r="EG484" s="14">
        <f t="shared" si="868"/>
        <v>12683</v>
      </c>
      <c r="EH484" s="14">
        <f t="shared" si="869"/>
        <v>13360</v>
      </c>
      <c r="EI484" s="14">
        <f t="shared" si="870"/>
        <v>5416</v>
      </c>
      <c r="EJ484" s="14">
        <f t="shared" si="871"/>
        <v>5584</v>
      </c>
      <c r="EK484" s="14">
        <f t="shared" si="872"/>
        <v>5584</v>
      </c>
      <c r="EL484" s="14">
        <f t="shared" si="873"/>
        <v>6317</v>
      </c>
      <c r="EM484" s="14">
        <f t="shared" si="874"/>
        <v>6667</v>
      </c>
      <c r="EN484" s="14">
        <f t="shared" si="875"/>
        <v>101900</v>
      </c>
      <c r="EO484" s="14">
        <f t="shared" si="876"/>
        <v>104564</v>
      </c>
      <c r="EP484" s="14">
        <f t="shared" si="877"/>
        <v>104564</v>
      </c>
      <c r="EQ484" s="14">
        <f t="shared" si="878"/>
        <v>118198</v>
      </c>
      <c r="ER484" s="14">
        <f t="shared" si="879"/>
        <v>124142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INDEX(属性投放!$BQ$6:$BQ$85,(卡牌属性!$DW484-2)*20+卡牌属性!$DX484)</f>
        <v>1500</v>
      </c>
      <c r="FI484" s="14">
        <f>INDEX(属性投放!$BQ$6:$BQ$85,(卡牌属性!$DW484-2)*20+卡牌属性!$DX484)</f>
        <v>1500</v>
      </c>
      <c r="FJ484" s="14">
        <f>INDEX(属性投放!$BQ$6:$BQ$85,(卡牌属性!$DW484-2)*20+卡牌属性!$DX484)</f>
        <v>1500</v>
      </c>
      <c r="FK484" s="14">
        <f>INDEX(属性投放!$BQ$6:$BQ$85,(卡牌属性!$DW484-2)*20+卡牌属性!$DX484)</f>
        <v>1500</v>
      </c>
      <c r="FL484" s="14">
        <f>INDEX(属性投放!$BQ$6:$BQ$85,(卡牌属性!$DW484-2)*20+卡牌属性!$DX484)</f>
        <v>1500</v>
      </c>
      <c r="FM484" s="14">
        <f>INDEX(属性投放!$BR$6:$BR$85,(卡牌属性!$DW484-2)*20+卡牌属性!$DX484)</f>
        <v>750</v>
      </c>
      <c r="FN484" s="14">
        <f>INDEX(属性投放!$BR$6:$BR$85,(卡牌属性!$DW484-2)*20+卡牌属性!$DX484)</f>
        <v>750</v>
      </c>
      <c r="FO484" s="14">
        <f>INDEX(属性投放!$BR$6:$BR$85,(卡牌属性!$DW484-2)*20+卡牌属性!$DX484)</f>
        <v>750</v>
      </c>
      <c r="FP484" s="14">
        <f>INDEX(属性投放!$BR$6:$BR$85,(卡牌属性!$DW484-2)*20+卡牌属性!$DX484)</f>
        <v>750</v>
      </c>
      <c r="FQ484" s="14">
        <f>INDEX(属性投放!$BR$6:$BR$85,(卡牌属性!$DW484-2)*20+卡牌属性!$DX484)</f>
        <v>750</v>
      </c>
      <c r="FR484" s="14">
        <f>INDEX(属性投放!$BS$6:$BS$85,(卡牌属性!$DW484-2)*20+卡牌属性!$DX484)</f>
        <v>15000</v>
      </c>
      <c r="FS484" s="14">
        <f>INDEX(属性投放!$BS$6:$BS$85,(卡牌属性!$DW484-2)*20+卡牌属性!$DX484)</f>
        <v>15000</v>
      </c>
      <c r="FT484" s="14">
        <f>INDEX(属性投放!$BS$6:$BS$85,(卡牌属性!$DW484-2)*20+卡牌属性!$DX484)</f>
        <v>15000</v>
      </c>
      <c r="FU484" s="14">
        <f>INDEX(属性投放!$BS$6:$BS$85,(卡牌属性!$DW484-2)*20+卡牌属性!$DX484)</f>
        <v>15000</v>
      </c>
      <c r="FV484" s="14">
        <f>INDEX(属性投放!$BS$6:$BS$85,(卡牌属性!$DW484-2)*20+卡牌属性!$DX484)</f>
        <v>15000</v>
      </c>
    </row>
    <row r="485" spans="31:178" ht="16.5" x14ac:dyDescent="0.2">
      <c r="AE485" s="13">
        <v>481</v>
      </c>
      <c r="AF485" s="13">
        <f t="shared" si="854"/>
        <v>25</v>
      </c>
      <c r="AG485" s="13">
        <f t="shared" si="855"/>
        <v>3</v>
      </c>
      <c r="AH485" s="13"/>
      <c r="AI485" s="13"/>
      <c r="AJ485" s="14">
        <f t="shared" si="856"/>
        <v>1101998</v>
      </c>
      <c r="AK485" s="14" t="str">
        <f t="shared" si="857"/>
        <v>SR寄灵人1突</v>
      </c>
      <c r="AL485" s="25" t="s">
        <v>142</v>
      </c>
      <c r="AM485" s="14">
        <v>1</v>
      </c>
      <c r="AN485" s="14">
        <f t="shared" si="858"/>
        <v>1</v>
      </c>
      <c r="AO485" s="14">
        <f>INDEX(属性投放!$DF$6:$DF$85,(卡牌属性!AG485-2)*20+卡牌属性!AN485)</f>
        <v>150</v>
      </c>
      <c r="AP485" s="14">
        <f t="shared" si="859"/>
        <v>150</v>
      </c>
      <c r="AQ485" s="14">
        <f t="shared" si="859"/>
        <v>150</v>
      </c>
      <c r="AR485" s="14">
        <f t="shared" si="859"/>
        <v>150</v>
      </c>
      <c r="AS485" s="14">
        <f t="shared" si="859"/>
        <v>150</v>
      </c>
      <c r="AT485" s="14">
        <f>INDEX(属性投放!$DG$6:$DG$85,(卡牌属性!AG485-2)*20+卡牌属性!AN485)</f>
        <v>0</v>
      </c>
      <c r="AU485" s="14">
        <f t="shared" si="860"/>
        <v>0</v>
      </c>
      <c r="AV485" s="14">
        <f t="shared" si="860"/>
        <v>0</v>
      </c>
      <c r="AW485" s="14">
        <f t="shared" si="860"/>
        <v>0</v>
      </c>
      <c r="AX485" s="14">
        <f t="shared" si="860"/>
        <v>0</v>
      </c>
      <c r="AY485" s="14">
        <f>INDEX(属性投放!$DH$6:$DH$85,(卡牌属性!AG485-2)*20+卡牌属性!AN485)</f>
        <v>375</v>
      </c>
      <c r="AZ485" s="14">
        <f t="shared" si="861"/>
        <v>375</v>
      </c>
      <c r="BA485" s="14">
        <f t="shared" si="861"/>
        <v>375</v>
      </c>
      <c r="BB485" s="14">
        <f t="shared" si="861"/>
        <v>375</v>
      </c>
      <c r="BC485" s="14">
        <f t="shared" si="861"/>
        <v>375</v>
      </c>
      <c r="BD485" s="14">
        <f>INDEX(属性投放!$DL$6:$DL$85,(卡牌属性!AG485-2)*20+卡牌属性!AN485)</f>
        <v>8</v>
      </c>
      <c r="BE485" s="14">
        <f t="shared" si="862"/>
        <v>8</v>
      </c>
      <c r="BF485" s="14">
        <f t="shared" si="862"/>
        <v>8</v>
      </c>
      <c r="BG485" s="14">
        <f t="shared" si="862"/>
        <v>8</v>
      </c>
      <c r="BH485" s="14">
        <f t="shared" si="862"/>
        <v>8</v>
      </c>
      <c r="BI485" s="14">
        <f>INDEX(属性投放!$DM$6:$DM$85,(卡牌属性!AG485-2)*20+卡牌属性!AN485)</f>
        <v>4</v>
      </c>
      <c r="BJ485" s="14">
        <f t="shared" si="863"/>
        <v>4</v>
      </c>
      <c r="BK485" s="14">
        <f t="shared" si="863"/>
        <v>4</v>
      </c>
      <c r="BL485" s="14">
        <f t="shared" si="863"/>
        <v>4</v>
      </c>
      <c r="BM485" s="14">
        <f t="shared" si="863"/>
        <v>4</v>
      </c>
      <c r="BN485" s="14">
        <f>INDEX(属性投放!$DN$6:$DN$85,(卡牌属性!AG485-2)*20+卡牌属性!AN485)</f>
        <v>49</v>
      </c>
      <c r="BO485" s="14">
        <f t="shared" si="864"/>
        <v>49</v>
      </c>
      <c r="BP485" s="14">
        <f t="shared" si="864"/>
        <v>49</v>
      </c>
      <c r="BQ485" s="14">
        <f t="shared" si="864"/>
        <v>49</v>
      </c>
      <c r="BR485" s="14">
        <f t="shared" si="864"/>
        <v>49</v>
      </c>
      <c r="BW485" s="13">
        <v>481</v>
      </c>
      <c r="BX485" s="13">
        <f t="shared" si="835"/>
        <v>25</v>
      </c>
      <c r="BY485" s="14">
        <f t="shared" si="836"/>
        <v>3</v>
      </c>
      <c r="BZ485" s="14">
        <f t="shared" si="840"/>
        <v>1102026</v>
      </c>
      <c r="CA485" s="14" t="str">
        <f t="shared" si="841"/>
        <v>雷震子1突</v>
      </c>
      <c r="CB485" s="25" t="s">
        <v>142</v>
      </c>
      <c r="CC485" s="14">
        <v>2</v>
      </c>
      <c r="CD485" s="14">
        <f t="shared" si="837"/>
        <v>1</v>
      </c>
      <c r="CE485" s="14" t="s">
        <v>21</v>
      </c>
      <c r="CF485" s="14">
        <f>INDEX(属性投放!$AZ$6:$AZ$85,(BY485-2)*20+CD485)</f>
        <v>150</v>
      </c>
      <c r="CG485" s="14" t="s">
        <v>22</v>
      </c>
      <c r="CH485" s="14">
        <f>INDEX(属性投放!$BA$6:$BA$85,(BY485-2)*20+CD485)</f>
        <v>10</v>
      </c>
      <c r="CI485" s="14" t="s">
        <v>510</v>
      </c>
      <c r="CJ485" s="14">
        <f>INDEX(属性投放!$BB$6:$BB$85,(BY485-2)*20+CD485)</f>
        <v>500</v>
      </c>
      <c r="CK485" s="14" t="s">
        <v>21</v>
      </c>
      <c r="CL485" s="14">
        <f>INDEX(属性投放!$BC$6:$BC$85,(BY485-2)*20+CD485)</f>
        <v>8</v>
      </c>
      <c r="CM485" s="14" t="s">
        <v>22</v>
      </c>
      <c r="CN485" s="14">
        <f>INDEX(属性投放!$BD$6:$BD$85,(BY485-2)*20+CD485)</f>
        <v>4</v>
      </c>
      <c r="CO485" s="14" t="s">
        <v>510</v>
      </c>
      <c r="CP485" s="14">
        <f>INDEX(属性投放!$BE$6:$BE$85,(BY485-2)*20+CD485)</f>
        <v>48</v>
      </c>
      <c r="CS485" s="13">
        <v>481</v>
      </c>
      <c r="CT485" s="13">
        <f t="shared" si="842"/>
        <v>10</v>
      </c>
      <c r="CU485" s="13">
        <f t="shared" si="843"/>
        <v>13</v>
      </c>
      <c r="CV485" s="14">
        <f t="shared" si="844"/>
        <v>4</v>
      </c>
      <c r="CW485" s="14">
        <f t="shared" si="845"/>
        <v>1102010</v>
      </c>
      <c r="CX485" s="14" t="str">
        <f>INDEX($O$6:$O$50,CT485)&amp;"-"&amp;INDEX(属性投放!$AB$7:$AB$50,CZ485)&amp;"-魂火-"&amp;DB485</f>
        <v>张郃-叫唤-魂火-2</v>
      </c>
      <c r="CY485" s="25" t="s">
        <v>142</v>
      </c>
      <c r="CZ485" s="14">
        <f>INDEX(属性投放!$AM$7:$AM$58,CU485)</f>
        <v>7</v>
      </c>
      <c r="DA485" s="14" t="s">
        <v>537</v>
      </c>
      <c r="DB485" s="14">
        <f>INDEX(属性投放!$AN$7:$AN$58,CU485)</f>
        <v>2</v>
      </c>
      <c r="DC485" s="14">
        <f t="shared" si="838"/>
        <v>13</v>
      </c>
      <c r="DD485" s="14">
        <f>INDEX(属性投放!$AO$7:$AO$58,DC485)</f>
        <v>50</v>
      </c>
      <c r="DE485" s="14" t="s">
        <v>538</v>
      </c>
      <c r="DF485" s="14">
        <f>INDEX(属性投放!$BK$6:$BK$85,(CV485-2)*20+CZ485)</f>
        <v>80</v>
      </c>
      <c r="DG485" s="14">
        <f>SUMIFS(DF$5:DF485,$CT$5:$CT485,"="&amp;$CT485)</f>
        <v>635</v>
      </c>
      <c r="DH485" s="14" t="s">
        <v>539</v>
      </c>
      <c r="DI485" s="14">
        <f>INDEX(属性投放!$BL$6:$BL$85,(CV485-2)*20+CZ485)</f>
        <v>40</v>
      </c>
      <c r="DJ485" s="14">
        <f>SUMIFS(DI$5:DI485,$CT$5:$CT485,"="&amp;$CT485)</f>
        <v>321</v>
      </c>
      <c r="DK485" s="14" t="s">
        <v>540</v>
      </c>
      <c r="DL485" s="14">
        <f>INDEX(属性投放!$BM$6:$BM$85,(CV485-2)*20+CZ485)</f>
        <v>640</v>
      </c>
      <c r="DM485" s="14">
        <f>SUMIFS(DL$5:DL485,$CT$5:$CT485,"="&amp;$CT485)</f>
        <v>4450</v>
      </c>
      <c r="DR485" s="14">
        <f t="shared" si="849"/>
        <v>1102026</v>
      </c>
      <c r="DS485" s="14" t="str">
        <f t="shared" si="850"/>
        <v>雷震子1突</v>
      </c>
      <c r="DT485" s="14">
        <f t="shared" si="846"/>
        <v>7</v>
      </c>
      <c r="DU485" s="14">
        <f t="shared" si="847"/>
        <v>4</v>
      </c>
      <c r="DV485" s="14">
        <f t="shared" si="848"/>
        <v>4</v>
      </c>
      <c r="DW485" s="14">
        <f t="shared" si="851"/>
        <v>3</v>
      </c>
      <c r="DX485" s="14">
        <f t="shared" si="852"/>
        <v>1</v>
      </c>
      <c r="DY485" s="14">
        <f t="shared" si="853"/>
        <v>21</v>
      </c>
      <c r="DZ485" s="14">
        <f>INDEX(属性投放!$AX$6:$AX$85,(卡牌属性!DW485-2)*20+卡牌属性!DX485)</f>
        <v>4</v>
      </c>
      <c r="EA485" s="14">
        <f>INDEX(属性投放!BQ$6:BQ$85,卡牌属性!$DY485)</f>
        <v>30</v>
      </c>
      <c r="EB485" s="14">
        <f>INDEX(属性投放!BR$6:BR$85,卡牌属性!$DY485)</f>
        <v>15</v>
      </c>
      <c r="EC485" s="14">
        <f>INDEX(属性投放!BS$6:BS$85,卡牌属性!$DY485)</f>
        <v>180</v>
      </c>
      <c r="ED485" s="14">
        <f>INDEX(属性偏向!$I$4:$I$15,卡牌属性!$DT485+ED$3)</f>
        <v>200</v>
      </c>
      <c r="EE485" s="14">
        <f>INDEX(属性偏向!$I$4:$I$15,卡牌属性!$DT485+EE$3)</f>
        <v>250</v>
      </c>
      <c r="EF485" s="14">
        <f>INDEX(属性偏向!$I$4:$I$15,卡牌属性!$DT485+EF$3)</f>
        <v>300</v>
      </c>
      <c r="EG485" s="14">
        <f>INDEX(属性偏向!$I$4:$I$15,卡牌属性!$DT485+EG$3)</f>
        <v>300</v>
      </c>
      <c r="EH485" s="14">
        <f>INDEX(属性偏向!$I$4:$I$15,卡牌属性!$DT485+EH$3)</f>
        <v>350</v>
      </c>
      <c r="EI485" s="14">
        <f>INDEX(属性偏向!$J$4:$J$15,卡牌属性!$DU485+EI$3)</f>
        <v>20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40</v>
      </c>
      <c r="EM485" s="14">
        <f>INDEX(属性偏向!$J$4:$J$15,卡牌属性!$DU485+EM$3)</f>
        <v>50</v>
      </c>
      <c r="EN485" s="14">
        <f>INDEX(属性偏向!$K$4:$K$15,卡牌属性!$DV485+EN$3)</f>
        <v>400</v>
      </c>
      <c r="EO485" s="14">
        <f>INDEX(属性偏向!$K$4:$K$15,卡牌属性!$DV485+EO$3)</f>
        <v>500</v>
      </c>
      <c r="EP485" s="14">
        <f>INDEX(属性偏向!$K$4:$K$15,卡牌属性!$DV485+EP$3)</f>
        <v>500</v>
      </c>
      <c r="EQ485" s="14">
        <f>INDEX(属性偏向!$K$4:$K$15,卡牌属性!$DV485+EQ$3)</f>
        <v>650</v>
      </c>
      <c r="ER485" s="14">
        <f>INDEX(属性偏向!$K$4:$K$15,卡牌属性!$DV485+ER$3)</f>
        <v>800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36</v>
      </c>
      <c r="FD485" s="14">
        <f>INDEX(属性偏向!$U$4:$U$243,(卡牌属性!$DV485-1+FD$3)*20+卡牌属性!$DX485)</f>
        <v>48</v>
      </c>
      <c r="FE485" s="14">
        <f>INDEX(属性偏向!$U$4:$U$243,(卡牌属性!$DV485-1+FE$3)*20+卡牌属性!$DX485)</f>
        <v>48</v>
      </c>
      <c r="FF485" s="14">
        <f>INDEX(属性偏向!$U$4:$U$243,(卡牌属性!$DV485-1+FF$3)*20+卡牌属性!$DX485)</f>
        <v>60</v>
      </c>
      <c r="FG485" s="14">
        <f>INDEX(属性偏向!$U$4:$U$243,(卡牌属性!$DV485-1+FG$3)*20+卡牌属性!$DX485)</f>
        <v>72</v>
      </c>
      <c r="FH485" s="14">
        <f>INDEX(属性投放!$BQ$6:$BQ$85,(卡牌属性!$DW485-2)*20+卡牌属性!$DX485)</f>
        <v>30</v>
      </c>
      <c r="FI485" s="14">
        <f>INDEX(属性投放!$BQ$6:$BQ$85,(卡牌属性!$DW485-2)*20+卡牌属性!$DX485)</f>
        <v>30</v>
      </c>
      <c r="FJ485" s="14">
        <f>INDEX(属性投放!$BQ$6:$BQ$85,(卡牌属性!$DW485-2)*20+卡牌属性!$DX485)</f>
        <v>30</v>
      </c>
      <c r="FK485" s="14">
        <f>INDEX(属性投放!$BQ$6:$BQ$85,(卡牌属性!$DW485-2)*20+卡牌属性!$DX485)</f>
        <v>30</v>
      </c>
      <c r="FL485" s="14">
        <f>INDEX(属性投放!$BQ$6:$BQ$85,(卡牌属性!$DW485-2)*20+卡牌属性!$DX485)</f>
        <v>30</v>
      </c>
      <c r="FM485" s="14">
        <f>INDEX(属性投放!$BR$6:$BR$85,(卡牌属性!$DW485-2)*20+卡牌属性!$DX485)</f>
        <v>15</v>
      </c>
      <c r="FN485" s="14">
        <f>INDEX(属性投放!$BR$6:$BR$85,(卡牌属性!$DW485-2)*20+卡牌属性!$DX485)</f>
        <v>15</v>
      </c>
      <c r="FO485" s="14">
        <f>INDEX(属性投放!$BR$6:$BR$85,(卡牌属性!$DW485-2)*20+卡牌属性!$DX485)</f>
        <v>15</v>
      </c>
      <c r="FP485" s="14">
        <f>INDEX(属性投放!$BR$6:$BR$85,(卡牌属性!$DW485-2)*20+卡牌属性!$DX485)</f>
        <v>15</v>
      </c>
      <c r="FQ485" s="14">
        <f>INDEX(属性投放!$BR$6:$BR$85,(卡牌属性!$DW485-2)*20+卡牌属性!$DX485)</f>
        <v>15</v>
      </c>
      <c r="FR485" s="14">
        <f>INDEX(属性投放!$BS$6:$BS$85,(卡牌属性!$DW485-2)*20+卡牌属性!$DX485)</f>
        <v>180</v>
      </c>
      <c r="FS485" s="14">
        <f>INDEX(属性投放!$BS$6:$BS$85,(卡牌属性!$DW485-2)*20+卡牌属性!$DX485)</f>
        <v>180</v>
      </c>
      <c r="FT485" s="14">
        <f>INDEX(属性投放!$BS$6:$BS$85,(卡牌属性!$DW485-2)*20+卡牌属性!$DX485)</f>
        <v>180</v>
      </c>
      <c r="FU485" s="14">
        <f>INDEX(属性投放!$BS$6:$BS$85,(卡牌属性!$DW485-2)*20+卡牌属性!$DX485)</f>
        <v>180</v>
      </c>
      <c r="FV485" s="14">
        <f>INDEX(属性投放!$BS$6:$BS$85,(卡牌属性!$DW485-2)*20+卡牌属性!$DX485)</f>
        <v>180</v>
      </c>
    </row>
    <row r="486" spans="31:178" ht="16.5" x14ac:dyDescent="0.2">
      <c r="AE486" s="13">
        <v>482</v>
      </c>
      <c r="AF486" s="13">
        <f t="shared" si="854"/>
        <v>25</v>
      </c>
      <c r="AG486" s="13">
        <f t="shared" si="855"/>
        <v>3</v>
      </c>
      <c r="AH486" s="13"/>
      <c r="AI486" s="13"/>
      <c r="AJ486" s="14">
        <f t="shared" si="856"/>
        <v>1101998</v>
      </c>
      <c r="AK486" s="14" t="str">
        <f t="shared" si="857"/>
        <v>SR寄灵人2突</v>
      </c>
      <c r="AL486" s="25" t="s">
        <v>142</v>
      </c>
      <c r="AM486" s="14">
        <v>1</v>
      </c>
      <c r="AN486" s="14">
        <f t="shared" si="858"/>
        <v>2</v>
      </c>
      <c r="AO486" s="14">
        <f>INDEX(属性投放!$DF$6:$DF$85,(卡牌属性!AG486-2)*20+卡牌属性!AN486)</f>
        <v>230</v>
      </c>
      <c r="AP486" s="14">
        <f t="shared" si="859"/>
        <v>230</v>
      </c>
      <c r="AQ486" s="14">
        <f t="shared" si="859"/>
        <v>230</v>
      </c>
      <c r="AR486" s="14">
        <f t="shared" si="859"/>
        <v>230</v>
      </c>
      <c r="AS486" s="14">
        <f t="shared" si="859"/>
        <v>230</v>
      </c>
      <c r="AT486" s="14">
        <f>INDEX(属性投放!$DG$6:$DG$85,(卡牌属性!AG486-2)*20+卡牌属性!AN486)</f>
        <v>40</v>
      </c>
      <c r="AU486" s="14">
        <f t="shared" si="860"/>
        <v>40</v>
      </c>
      <c r="AV486" s="14">
        <f t="shared" si="860"/>
        <v>40</v>
      </c>
      <c r="AW486" s="14">
        <f t="shared" si="860"/>
        <v>40</v>
      </c>
      <c r="AX486" s="14">
        <f t="shared" si="860"/>
        <v>40</v>
      </c>
      <c r="AY486" s="14">
        <f>INDEX(属性投放!$DH$6:$DH$85,(卡牌属性!AG486-2)*20+卡牌属性!AN486)</f>
        <v>865</v>
      </c>
      <c r="AZ486" s="14">
        <f t="shared" si="861"/>
        <v>865</v>
      </c>
      <c r="BA486" s="14">
        <f t="shared" si="861"/>
        <v>865</v>
      </c>
      <c r="BB486" s="14">
        <f t="shared" si="861"/>
        <v>865</v>
      </c>
      <c r="BC486" s="14">
        <f t="shared" si="861"/>
        <v>865</v>
      </c>
      <c r="BD486" s="14">
        <f>INDEX(属性投放!$DL$6:$DL$85,(卡牌属性!AG486-2)*20+卡牌属性!AN486)</f>
        <v>17</v>
      </c>
      <c r="BE486" s="14">
        <f t="shared" si="862"/>
        <v>17</v>
      </c>
      <c r="BF486" s="14">
        <f t="shared" si="862"/>
        <v>17</v>
      </c>
      <c r="BG486" s="14">
        <f t="shared" si="862"/>
        <v>17</v>
      </c>
      <c r="BH486" s="14">
        <f t="shared" si="862"/>
        <v>17</v>
      </c>
      <c r="BI486" s="14">
        <f>INDEX(属性投放!$DM$6:$DM$85,(卡牌属性!AG486-2)*20+卡牌属性!AN486)</f>
        <v>8</v>
      </c>
      <c r="BJ486" s="14">
        <f t="shared" si="863"/>
        <v>8</v>
      </c>
      <c r="BK486" s="14">
        <f t="shared" si="863"/>
        <v>8</v>
      </c>
      <c r="BL486" s="14">
        <f t="shared" si="863"/>
        <v>8</v>
      </c>
      <c r="BM486" s="14">
        <f t="shared" si="863"/>
        <v>8</v>
      </c>
      <c r="BN486" s="14">
        <f>INDEX(属性投放!$DN$6:$DN$85,(卡牌属性!AG486-2)*20+卡牌属性!AN486)</f>
        <v>101</v>
      </c>
      <c r="BO486" s="14">
        <f t="shared" si="864"/>
        <v>101</v>
      </c>
      <c r="BP486" s="14">
        <f t="shared" si="864"/>
        <v>101</v>
      </c>
      <c r="BQ486" s="14">
        <f t="shared" si="864"/>
        <v>101</v>
      </c>
      <c r="BR486" s="14">
        <f t="shared" si="864"/>
        <v>101</v>
      </c>
      <c r="BW486" s="13">
        <v>482</v>
      </c>
      <c r="BX486" s="13">
        <f t="shared" si="835"/>
        <v>25</v>
      </c>
      <c r="BY486" s="14">
        <f t="shared" si="836"/>
        <v>3</v>
      </c>
      <c r="BZ486" s="14">
        <f t="shared" si="840"/>
        <v>1102026</v>
      </c>
      <c r="CA486" s="14" t="str">
        <f t="shared" si="841"/>
        <v>雷震子2突</v>
      </c>
      <c r="CB486" s="25" t="s">
        <v>142</v>
      </c>
      <c r="CC486" s="14">
        <v>2</v>
      </c>
      <c r="CD486" s="14">
        <f t="shared" si="837"/>
        <v>2</v>
      </c>
      <c r="CE486" s="14" t="s">
        <v>21</v>
      </c>
      <c r="CF486" s="14">
        <f>INDEX(属性投放!$AZ$6:$AZ$85,(BY486-2)*20+CD486)</f>
        <v>232</v>
      </c>
      <c r="CG486" s="14" t="s">
        <v>22</v>
      </c>
      <c r="CH486" s="14">
        <f>INDEX(属性投放!$BA$6:$BA$85,(BY486-2)*20+CD486)</f>
        <v>51</v>
      </c>
      <c r="CI486" s="14" t="s">
        <v>510</v>
      </c>
      <c r="CJ486" s="14">
        <f>INDEX(属性投放!$BB$6:$BB$85,(BY486-2)*20+CD486)</f>
        <v>992</v>
      </c>
      <c r="CK486" s="14" t="s">
        <v>21</v>
      </c>
      <c r="CL486" s="14">
        <f>INDEX(属性投放!$BC$6:$BC$85,(BY486-2)*20+CD486)</f>
        <v>10</v>
      </c>
      <c r="CM486" s="14" t="s">
        <v>22</v>
      </c>
      <c r="CN486" s="14">
        <f>INDEX(属性投放!$BD$6:$BD$85,(BY486-2)*20+CD486)</f>
        <v>5</v>
      </c>
      <c r="CO486" s="14" t="s">
        <v>510</v>
      </c>
      <c r="CP486" s="14">
        <f>INDEX(属性投放!$BE$6:$BE$85,(BY486-2)*20+CD486)</f>
        <v>60</v>
      </c>
      <c r="CS486" s="13">
        <v>482</v>
      </c>
      <c r="CT486" s="13">
        <f t="shared" si="842"/>
        <v>10</v>
      </c>
      <c r="CU486" s="13">
        <f t="shared" si="843"/>
        <v>14</v>
      </c>
      <c r="CV486" s="14">
        <f t="shared" si="844"/>
        <v>4</v>
      </c>
      <c r="CW486" s="14">
        <f t="shared" si="845"/>
        <v>1102010</v>
      </c>
      <c r="CX486" s="14" t="str">
        <f>INDEX($O$6:$O$50,CT486)&amp;"-"&amp;INDEX(属性投放!$AB$7:$AB$50,CZ486)&amp;"-魂火-"&amp;DB486</f>
        <v>张郃-叫唤+1-魂火-1</v>
      </c>
      <c r="CY486" s="25" t="s">
        <v>142</v>
      </c>
      <c r="CZ486" s="14">
        <f>INDEX(属性投放!$AM$7:$AM$58,CU486)</f>
        <v>8</v>
      </c>
      <c r="DA486" s="14" t="s">
        <v>537</v>
      </c>
      <c r="DB486" s="14">
        <f>INDEX(属性投放!$AN$7:$AN$58,CU486)</f>
        <v>1</v>
      </c>
      <c r="DC486" s="14">
        <f t="shared" si="838"/>
        <v>14</v>
      </c>
      <c r="DD486" s="14">
        <f>INDEX(属性投放!$AO$7:$AO$58,DC486)</f>
        <v>53</v>
      </c>
      <c r="DE486" s="14" t="s">
        <v>538</v>
      </c>
      <c r="DF486" s="14">
        <f>INDEX(属性投放!$BK$6:$BK$85,(CV486-2)*20+CZ486)</f>
        <v>100</v>
      </c>
      <c r="DG486" s="14">
        <f>SUMIFS(DF$5:DF486,$CT$5:$CT486,"="&amp;$CT486)</f>
        <v>735</v>
      </c>
      <c r="DH486" s="14" t="s">
        <v>539</v>
      </c>
      <c r="DI486" s="14">
        <f>INDEX(属性投放!$BL$6:$BL$85,(CV486-2)*20+CZ486)</f>
        <v>50</v>
      </c>
      <c r="DJ486" s="14">
        <f>SUMIFS(DI$5:DI486,$CT$5:$CT486,"="&amp;$CT486)</f>
        <v>371</v>
      </c>
      <c r="DK486" s="14" t="s">
        <v>540</v>
      </c>
      <c r="DL486" s="14">
        <f>INDEX(属性投放!$BM$6:$BM$85,(CV486-2)*20+CZ486)</f>
        <v>800</v>
      </c>
      <c r="DM486" s="14">
        <f>SUMIFS(DL$5:DL486,$CT$5:$CT486,"="&amp;$CT486)</f>
        <v>5250</v>
      </c>
      <c r="DR486" s="14">
        <f t="shared" si="849"/>
        <v>1102026</v>
      </c>
      <c r="DS486" s="14" t="str">
        <f t="shared" si="850"/>
        <v>雷震子2突</v>
      </c>
      <c r="DT486" s="14">
        <f t="shared" si="846"/>
        <v>7</v>
      </c>
      <c r="DU486" s="14">
        <f t="shared" si="847"/>
        <v>4</v>
      </c>
      <c r="DV486" s="14">
        <f t="shared" si="848"/>
        <v>4</v>
      </c>
      <c r="DW486" s="14">
        <f t="shared" si="851"/>
        <v>3</v>
      </c>
      <c r="DX486" s="14">
        <f t="shared" si="852"/>
        <v>2</v>
      </c>
      <c r="DY486" s="14">
        <f t="shared" si="853"/>
        <v>22</v>
      </c>
      <c r="DZ486" s="14">
        <f>INDEX(属性投放!$AX$6:$AX$85,(卡牌属性!DW486-2)*20+卡牌属性!DX486)</f>
        <v>10</v>
      </c>
      <c r="EA486" s="14">
        <f>INDEX(属性投放!BQ$6:BQ$85,卡牌属性!$DY486)</f>
        <v>40</v>
      </c>
      <c r="EB486" s="14">
        <f>INDEX(属性投放!BR$6:BR$85,卡牌属性!$DY486)</f>
        <v>20</v>
      </c>
      <c r="EC486" s="14">
        <f>INDEX(属性投放!BS$6:BS$85,卡牌属性!$DY486)</f>
        <v>240</v>
      </c>
      <c r="ED486" s="14">
        <f t="shared" ref="ED486:ED504" si="880">ED485+$EA485+ES485*$DZ485</f>
        <v>278</v>
      </c>
      <c r="EE486" s="14">
        <f t="shared" ref="EE486:EE504" si="881">EE485+$EA485+ET485*$DZ485</f>
        <v>332</v>
      </c>
      <c r="EF486" s="14">
        <f t="shared" ref="EF486:EF504" si="882">EF485+$EA485+EU485*$DZ485</f>
        <v>390</v>
      </c>
      <c r="EG486" s="14">
        <f t="shared" ref="EG486:EG504" si="883">EG485+$EA485+EV485*$DZ485</f>
        <v>390</v>
      </c>
      <c r="EH486" s="14">
        <f t="shared" ref="EH486:EH504" si="884">EH485+$EA485+EW485*$DZ485</f>
        <v>460</v>
      </c>
      <c r="EI486" s="14">
        <f t="shared" ref="EI486:EI504" si="885">EI485+$EB485+EX485*$DZ485</f>
        <v>47</v>
      </c>
      <c r="EJ486" s="14">
        <f t="shared" ref="EJ486:EJ504" si="886">EJ485+$EB485+EY485*$DZ485</f>
        <v>61</v>
      </c>
      <c r="EK486" s="14">
        <f t="shared" ref="EK486:EK504" si="887">EK485+$EB485+EZ485*$DZ485</f>
        <v>61</v>
      </c>
      <c r="EL486" s="14">
        <f t="shared" ref="EL486:EL504" si="888">EL485+$EB485+FA485*$DZ485</f>
        <v>75</v>
      </c>
      <c r="EM486" s="14">
        <f t="shared" ref="EM486:EM504" si="889">EM485+$EB485+FB485*$DZ485</f>
        <v>89</v>
      </c>
      <c r="EN486" s="14">
        <f t="shared" ref="EN486:EN504" si="890">EN485+$EC485+FC485*$DZ485</f>
        <v>724</v>
      </c>
      <c r="EO486" s="14">
        <f t="shared" ref="EO486:EO504" si="891">EO485+$EC485+FD485*$DZ485</f>
        <v>872</v>
      </c>
      <c r="EP486" s="14">
        <f t="shared" ref="EP486:EP504" si="892">EP485+$EC485+FE485*$DZ485</f>
        <v>872</v>
      </c>
      <c r="EQ486" s="14">
        <f t="shared" ref="EQ486:EQ504" si="893">EQ485+$EC485+FF485*$DZ485</f>
        <v>1070</v>
      </c>
      <c r="ER486" s="14">
        <f t="shared" ref="ER486:ER504" si="894">ER485+$EC485+FG485*$DZ485</f>
        <v>1268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48</v>
      </c>
      <c r="FD486" s="14">
        <f>INDEX(属性偏向!$U$4:$U$243,(卡牌属性!$DV486-1+FD$3)*20+卡牌属性!$DX486)</f>
        <v>60</v>
      </c>
      <c r="FE486" s="14">
        <f>INDEX(属性偏向!$U$4:$U$243,(卡牌属性!$DV486-1+FE$3)*20+卡牌属性!$DX486)</f>
        <v>60</v>
      </c>
      <c r="FF486" s="14">
        <f>INDEX(属性偏向!$U$4:$U$243,(卡牌属性!$DV486-1+FF$3)*20+卡牌属性!$DX486)</f>
        <v>72</v>
      </c>
      <c r="FG486" s="14">
        <f>INDEX(属性偏向!$U$4:$U$243,(卡牌属性!$DV486-1+FG$3)*20+卡牌属性!$DX486)</f>
        <v>90</v>
      </c>
      <c r="FH486" s="14">
        <f>INDEX(属性投放!$BQ$6:$BQ$85,(卡牌属性!$DW486-2)*20+卡牌属性!$DX486)</f>
        <v>40</v>
      </c>
      <c r="FI486" s="14">
        <f>INDEX(属性投放!$BQ$6:$BQ$85,(卡牌属性!$DW486-2)*20+卡牌属性!$DX486)</f>
        <v>40</v>
      </c>
      <c r="FJ486" s="14">
        <f>INDEX(属性投放!$BQ$6:$BQ$85,(卡牌属性!$DW486-2)*20+卡牌属性!$DX486)</f>
        <v>40</v>
      </c>
      <c r="FK486" s="14">
        <f>INDEX(属性投放!$BQ$6:$BQ$85,(卡牌属性!$DW486-2)*20+卡牌属性!$DX486)</f>
        <v>40</v>
      </c>
      <c r="FL486" s="14">
        <f>INDEX(属性投放!$BQ$6:$BQ$85,(卡牌属性!$DW486-2)*20+卡牌属性!$DX486)</f>
        <v>40</v>
      </c>
      <c r="FM486" s="14">
        <f>INDEX(属性投放!$BR$6:$BR$85,(卡牌属性!$DW486-2)*20+卡牌属性!$DX486)</f>
        <v>20</v>
      </c>
      <c r="FN486" s="14">
        <f>INDEX(属性投放!$BR$6:$BR$85,(卡牌属性!$DW486-2)*20+卡牌属性!$DX486)</f>
        <v>20</v>
      </c>
      <c r="FO486" s="14">
        <f>INDEX(属性投放!$BR$6:$BR$85,(卡牌属性!$DW486-2)*20+卡牌属性!$DX486)</f>
        <v>20</v>
      </c>
      <c r="FP486" s="14">
        <f>INDEX(属性投放!$BR$6:$BR$85,(卡牌属性!$DW486-2)*20+卡牌属性!$DX486)</f>
        <v>20</v>
      </c>
      <c r="FQ486" s="14">
        <f>INDEX(属性投放!$BR$6:$BR$85,(卡牌属性!$DW486-2)*20+卡牌属性!$DX486)</f>
        <v>20</v>
      </c>
      <c r="FR486" s="14">
        <f>INDEX(属性投放!$BS$6:$BS$85,(卡牌属性!$DW486-2)*20+卡牌属性!$DX486)</f>
        <v>240</v>
      </c>
      <c r="FS486" s="14">
        <f>INDEX(属性投放!$BS$6:$BS$85,(卡牌属性!$DW486-2)*20+卡牌属性!$DX486)</f>
        <v>240</v>
      </c>
      <c r="FT486" s="14">
        <f>INDEX(属性投放!$BS$6:$BS$85,(卡牌属性!$DW486-2)*20+卡牌属性!$DX486)</f>
        <v>240</v>
      </c>
      <c r="FU486" s="14">
        <f>INDEX(属性投放!$BS$6:$BS$85,(卡牌属性!$DW486-2)*20+卡牌属性!$DX486)</f>
        <v>240</v>
      </c>
      <c r="FV486" s="14">
        <f>INDEX(属性投放!$BS$6:$BS$85,(卡牌属性!$DW486-2)*20+卡牌属性!$DX486)</f>
        <v>240</v>
      </c>
    </row>
    <row r="487" spans="31:178" ht="16.5" x14ac:dyDescent="0.2">
      <c r="AE487" s="13">
        <v>483</v>
      </c>
      <c r="AF487" s="13">
        <f t="shared" si="854"/>
        <v>25</v>
      </c>
      <c r="AG487" s="13">
        <f t="shared" si="855"/>
        <v>3</v>
      </c>
      <c r="AH487" s="13"/>
      <c r="AI487" s="13"/>
      <c r="AJ487" s="14">
        <f t="shared" si="856"/>
        <v>1101998</v>
      </c>
      <c r="AK487" s="14" t="str">
        <f t="shared" si="857"/>
        <v>SR寄灵人3突</v>
      </c>
      <c r="AL487" s="25" t="s">
        <v>142</v>
      </c>
      <c r="AM487" s="14">
        <v>1</v>
      </c>
      <c r="AN487" s="14">
        <f t="shared" si="858"/>
        <v>3</v>
      </c>
      <c r="AO487" s="14">
        <f>INDEX(属性投放!$DF$6:$DF$85,(卡牌属性!AG487-2)*20+卡牌属性!AN487)</f>
        <v>272</v>
      </c>
      <c r="AP487" s="14">
        <f t="shared" si="859"/>
        <v>272</v>
      </c>
      <c r="AQ487" s="14">
        <f t="shared" si="859"/>
        <v>272</v>
      </c>
      <c r="AR487" s="14">
        <f t="shared" si="859"/>
        <v>272</v>
      </c>
      <c r="AS487" s="14">
        <f t="shared" si="859"/>
        <v>272</v>
      </c>
      <c r="AT487" s="14">
        <f>INDEX(属性投放!$DG$6:$DG$85,(卡牌属性!AG487-2)*20+卡牌属性!AN487)</f>
        <v>61</v>
      </c>
      <c r="AU487" s="14">
        <f t="shared" si="860"/>
        <v>61</v>
      </c>
      <c r="AV487" s="14">
        <f t="shared" si="860"/>
        <v>61</v>
      </c>
      <c r="AW487" s="14">
        <f t="shared" si="860"/>
        <v>61</v>
      </c>
      <c r="AX487" s="14">
        <f t="shared" si="860"/>
        <v>61</v>
      </c>
      <c r="AY487" s="14">
        <f>INDEX(属性投放!$DH$6:$DH$85,(卡牌属性!AG487-2)*20+卡牌属性!AN487)</f>
        <v>1117</v>
      </c>
      <c r="AZ487" s="14">
        <f t="shared" si="861"/>
        <v>1117</v>
      </c>
      <c r="BA487" s="14">
        <f t="shared" si="861"/>
        <v>1117</v>
      </c>
      <c r="BB487" s="14">
        <f t="shared" si="861"/>
        <v>1117</v>
      </c>
      <c r="BC487" s="14">
        <f t="shared" si="861"/>
        <v>1117</v>
      </c>
      <c r="BD487" s="14">
        <f>INDEX(属性投放!$DL$6:$DL$85,(卡牌属性!AG487-2)*20+卡牌属性!AN487)</f>
        <v>17</v>
      </c>
      <c r="BE487" s="14">
        <f t="shared" si="862"/>
        <v>17</v>
      </c>
      <c r="BF487" s="14">
        <f t="shared" si="862"/>
        <v>17</v>
      </c>
      <c r="BG487" s="14">
        <f t="shared" si="862"/>
        <v>17</v>
      </c>
      <c r="BH487" s="14">
        <f t="shared" si="862"/>
        <v>17</v>
      </c>
      <c r="BI487" s="14">
        <f>INDEX(属性投放!$DM$6:$DM$85,(卡牌属性!AG487-2)*20+卡牌属性!AN487)</f>
        <v>8</v>
      </c>
      <c r="BJ487" s="14">
        <f t="shared" si="863"/>
        <v>8</v>
      </c>
      <c r="BK487" s="14">
        <f t="shared" si="863"/>
        <v>8</v>
      </c>
      <c r="BL487" s="14">
        <f t="shared" si="863"/>
        <v>8</v>
      </c>
      <c r="BM487" s="14">
        <f t="shared" si="863"/>
        <v>8</v>
      </c>
      <c r="BN487" s="14">
        <f>INDEX(属性投放!$DN$6:$DN$85,(卡牌属性!AG487-2)*20+卡牌属性!AN487)</f>
        <v>101</v>
      </c>
      <c r="BO487" s="14">
        <f t="shared" si="864"/>
        <v>101</v>
      </c>
      <c r="BP487" s="14">
        <f t="shared" si="864"/>
        <v>101</v>
      </c>
      <c r="BQ487" s="14">
        <f t="shared" si="864"/>
        <v>101</v>
      </c>
      <c r="BR487" s="14">
        <f t="shared" si="864"/>
        <v>101</v>
      </c>
      <c r="BW487" s="13">
        <v>483</v>
      </c>
      <c r="BX487" s="13">
        <f t="shared" si="835"/>
        <v>25</v>
      </c>
      <c r="BY487" s="14">
        <f t="shared" si="836"/>
        <v>3</v>
      </c>
      <c r="BZ487" s="14">
        <f t="shared" si="840"/>
        <v>1102026</v>
      </c>
      <c r="CA487" s="14" t="str">
        <f t="shared" si="841"/>
        <v>雷震子3突</v>
      </c>
      <c r="CB487" s="25" t="s">
        <v>142</v>
      </c>
      <c r="CC487" s="14">
        <v>2</v>
      </c>
      <c r="CD487" s="14">
        <f t="shared" si="837"/>
        <v>3</v>
      </c>
      <c r="CE487" s="14" t="s">
        <v>21</v>
      </c>
      <c r="CF487" s="14">
        <f>INDEX(属性投放!$AZ$6:$AZ$85,(BY487-2)*20+CD487)</f>
        <v>422</v>
      </c>
      <c r="CG487" s="14" t="s">
        <v>22</v>
      </c>
      <c r="CH487" s="14">
        <f>INDEX(属性投放!$BA$6:$BA$85,(BY487-2)*20+CD487)</f>
        <v>147</v>
      </c>
      <c r="CI487" s="14" t="s">
        <v>510</v>
      </c>
      <c r="CJ487" s="14">
        <f>INDEX(属性投放!$BB$6:$BB$85,(BY487-2)*20+CD487)</f>
        <v>2132</v>
      </c>
      <c r="CK487" s="14" t="s">
        <v>21</v>
      </c>
      <c r="CL487" s="14">
        <f>INDEX(属性投放!$BC$6:$BC$85,(BY487-2)*20+CD487)</f>
        <v>10</v>
      </c>
      <c r="CM487" s="14" t="s">
        <v>22</v>
      </c>
      <c r="CN487" s="14">
        <f>INDEX(属性投放!$BD$6:$BD$85,(BY487-2)*20+CD487)</f>
        <v>5</v>
      </c>
      <c r="CO487" s="14" t="s">
        <v>510</v>
      </c>
      <c r="CP487" s="14">
        <f>INDEX(属性投放!$BE$6:$BE$85,(BY487-2)*20+CD487)</f>
        <v>60</v>
      </c>
      <c r="CS487" s="13">
        <v>483</v>
      </c>
      <c r="CT487" s="13">
        <f t="shared" si="842"/>
        <v>10</v>
      </c>
      <c r="CU487" s="13">
        <f t="shared" si="843"/>
        <v>15</v>
      </c>
      <c r="CV487" s="14">
        <f t="shared" si="844"/>
        <v>4</v>
      </c>
      <c r="CW487" s="14">
        <f t="shared" si="845"/>
        <v>1102010</v>
      </c>
      <c r="CX487" s="14" t="str">
        <f>INDEX($O$6:$O$50,CT487)&amp;"-"&amp;INDEX(属性投放!$AB$7:$AB$50,CZ487)&amp;"-魂火-"&amp;DB487</f>
        <v>张郃-叫唤+1-魂火-2</v>
      </c>
      <c r="CY487" s="25" t="s">
        <v>142</v>
      </c>
      <c r="CZ487" s="14">
        <f>INDEX(属性投放!$AM$7:$AM$58,CU487)</f>
        <v>8</v>
      </c>
      <c r="DA487" s="14" t="s">
        <v>537</v>
      </c>
      <c r="DB487" s="14">
        <f>INDEX(属性投放!$AN$7:$AN$58,CU487)</f>
        <v>2</v>
      </c>
      <c r="DC487" s="14">
        <f t="shared" si="838"/>
        <v>15</v>
      </c>
      <c r="DD487" s="14">
        <f>INDEX(属性投放!$AO$7:$AO$58,DC487)</f>
        <v>55</v>
      </c>
      <c r="DE487" s="14" t="s">
        <v>538</v>
      </c>
      <c r="DF487" s="14">
        <f>INDEX(属性投放!$BK$6:$BK$85,(CV487-2)*20+CZ487)</f>
        <v>100</v>
      </c>
      <c r="DG487" s="14">
        <f>SUMIFS(DF$5:DF487,$CT$5:$CT487,"="&amp;$CT487)</f>
        <v>835</v>
      </c>
      <c r="DH487" s="14" t="s">
        <v>539</v>
      </c>
      <c r="DI487" s="14">
        <f>INDEX(属性投放!$BL$6:$BL$85,(CV487-2)*20+CZ487)</f>
        <v>50</v>
      </c>
      <c r="DJ487" s="14">
        <f>SUMIFS(DI$5:DI487,$CT$5:$CT487,"="&amp;$CT487)</f>
        <v>421</v>
      </c>
      <c r="DK487" s="14" t="s">
        <v>540</v>
      </c>
      <c r="DL487" s="14">
        <f>INDEX(属性投放!$BM$6:$BM$85,(CV487-2)*20+CZ487)</f>
        <v>800</v>
      </c>
      <c r="DM487" s="14">
        <f>SUMIFS(DL$5:DL487,$CT$5:$CT487,"="&amp;$CT487)</f>
        <v>6050</v>
      </c>
      <c r="DR487" s="14">
        <f t="shared" si="849"/>
        <v>1102026</v>
      </c>
      <c r="DS487" s="14" t="str">
        <f t="shared" si="850"/>
        <v>雷震子3突</v>
      </c>
      <c r="DT487" s="14">
        <f t="shared" si="846"/>
        <v>7</v>
      </c>
      <c r="DU487" s="14">
        <f t="shared" si="847"/>
        <v>4</v>
      </c>
      <c r="DV487" s="14">
        <f t="shared" si="848"/>
        <v>4</v>
      </c>
      <c r="DW487" s="14">
        <f t="shared" si="851"/>
        <v>3</v>
      </c>
      <c r="DX487" s="14">
        <f t="shared" si="852"/>
        <v>3</v>
      </c>
      <c r="DY487" s="14">
        <f t="shared" si="853"/>
        <v>23</v>
      </c>
      <c r="DZ487" s="14">
        <f>INDEX(属性投放!$AX$6:$AX$85,(卡牌属性!DW487-2)*20+卡牌属性!DX487)</f>
        <v>10</v>
      </c>
      <c r="EA487" s="14">
        <f>INDEX(属性投放!BQ$6:BQ$85,卡牌属性!$DY487)</f>
        <v>70</v>
      </c>
      <c r="EB487" s="14">
        <f>INDEX(属性投放!BR$6:BR$85,卡牌属性!$DY487)</f>
        <v>35</v>
      </c>
      <c r="EC487" s="14">
        <f>INDEX(属性投放!BS$6:BS$85,卡牌属性!$DY487)</f>
        <v>420</v>
      </c>
      <c r="ED487" s="14">
        <f t="shared" si="880"/>
        <v>468</v>
      </c>
      <c r="EE487" s="14">
        <f t="shared" si="881"/>
        <v>542</v>
      </c>
      <c r="EF487" s="14">
        <f t="shared" si="882"/>
        <v>630</v>
      </c>
      <c r="EG487" s="14">
        <f t="shared" si="883"/>
        <v>630</v>
      </c>
      <c r="EH487" s="14">
        <f t="shared" si="884"/>
        <v>750</v>
      </c>
      <c r="EI487" s="14">
        <f t="shared" si="885"/>
        <v>107</v>
      </c>
      <c r="EJ487" s="14">
        <f t="shared" si="886"/>
        <v>131</v>
      </c>
      <c r="EK487" s="14">
        <f t="shared" si="887"/>
        <v>131</v>
      </c>
      <c r="EL487" s="14">
        <f t="shared" si="888"/>
        <v>155</v>
      </c>
      <c r="EM487" s="14">
        <f t="shared" si="889"/>
        <v>189</v>
      </c>
      <c r="EN487" s="14">
        <f t="shared" si="890"/>
        <v>1444</v>
      </c>
      <c r="EO487" s="14">
        <f t="shared" si="891"/>
        <v>1712</v>
      </c>
      <c r="EP487" s="14">
        <f t="shared" si="892"/>
        <v>1712</v>
      </c>
      <c r="EQ487" s="14">
        <f t="shared" si="893"/>
        <v>2030</v>
      </c>
      <c r="ER487" s="14">
        <f t="shared" si="894"/>
        <v>2408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48</v>
      </c>
      <c r="FD487" s="14">
        <f>INDEX(属性偏向!$U$4:$U$243,(卡牌属性!$DV487-1+FD$3)*20+卡牌属性!$DX487)</f>
        <v>60</v>
      </c>
      <c r="FE487" s="14">
        <f>INDEX(属性偏向!$U$4:$U$243,(卡牌属性!$DV487-1+FE$3)*20+卡牌属性!$DX487)</f>
        <v>60</v>
      </c>
      <c r="FF487" s="14">
        <f>INDEX(属性偏向!$U$4:$U$243,(卡牌属性!$DV487-1+FF$3)*20+卡牌属性!$DX487)</f>
        <v>72</v>
      </c>
      <c r="FG487" s="14">
        <f>INDEX(属性偏向!$U$4:$U$243,(卡牌属性!$DV487-1+FG$3)*20+卡牌属性!$DX487)</f>
        <v>90</v>
      </c>
      <c r="FH487" s="14">
        <f>INDEX(属性投放!$BQ$6:$BQ$85,(卡牌属性!$DW487-2)*20+卡牌属性!$DX487)</f>
        <v>70</v>
      </c>
      <c r="FI487" s="14">
        <f>INDEX(属性投放!$BQ$6:$BQ$85,(卡牌属性!$DW487-2)*20+卡牌属性!$DX487)</f>
        <v>70</v>
      </c>
      <c r="FJ487" s="14">
        <f>INDEX(属性投放!$BQ$6:$BQ$85,(卡牌属性!$DW487-2)*20+卡牌属性!$DX487)</f>
        <v>70</v>
      </c>
      <c r="FK487" s="14">
        <f>INDEX(属性投放!$BQ$6:$BQ$85,(卡牌属性!$DW487-2)*20+卡牌属性!$DX487)</f>
        <v>70</v>
      </c>
      <c r="FL487" s="14">
        <f>INDEX(属性投放!$BQ$6:$BQ$85,(卡牌属性!$DW487-2)*20+卡牌属性!$DX487)</f>
        <v>70</v>
      </c>
      <c r="FM487" s="14">
        <f>INDEX(属性投放!$BR$6:$BR$85,(卡牌属性!$DW487-2)*20+卡牌属性!$DX487)</f>
        <v>35</v>
      </c>
      <c r="FN487" s="14">
        <f>INDEX(属性投放!$BR$6:$BR$85,(卡牌属性!$DW487-2)*20+卡牌属性!$DX487)</f>
        <v>35</v>
      </c>
      <c r="FO487" s="14">
        <f>INDEX(属性投放!$BR$6:$BR$85,(卡牌属性!$DW487-2)*20+卡牌属性!$DX487)</f>
        <v>35</v>
      </c>
      <c r="FP487" s="14">
        <f>INDEX(属性投放!$BR$6:$BR$85,(卡牌属性!$DW487-2)*20+卡牌属性!$DX487)</f>
        <v>35</v>
      </c>
      <c r="FQ487" s="14">
        <f>INDEX(属性投放!$BR$6:$BR$85,(卡牌属性!$DW487-2)*20+卡牌属性!$DX487)</f>
        <v>35</v>
      </c>
      <c r="FR487" s="14">
        <f>INDEX(属性投放!$BS$6:$BS$85,(卡牌属性!$DW487-2)*20+卡牌属性!$DX487)</f>
        <v>420</v>
      </c>
      <c r="FS487" s="14">
        <f>INDEX(属性投放!$BS$6:$BS$85,(卡牌属性!$DW487-2)*20+卡牌属性!$DX487)</f>
        <v>420</v>
      </c>
      <c r="FT487" s="14">
        <f>INDEX(属性投放!$BS$6:$BS$85,(卡牌属性!$DW487-2)*20+卡牌属性!$DX487)</f>
        <v>420</v>
      </c>
      <c r="FU487" s="14">
        <f>INDEX(属性投放!$BS$6:$BS$85,(卡牌属性!$DW487-2)*20+卡牌属性!$DX487)</f>
        <v>420</v>
      </c>
      <c r="FV487" s="14">
        <f>INDEX(属性投放!$BS$6:$BS$85,(卡牌属性!$DW487-2)*20+卡牌属性!$DX487)</f>
        <v>420</v>
      </c>
    </row>
    <row r="488" spans="31:178" ht="16.5" x14ac:dyDescent="0.2">
      <c r="AE488" s="13">
        <v>484</v>
      </c>
      <c r="AF488" s="13">
        <f t="shared" si="854"/>
        <v>25</v>
      </c>
      <c r="AG488" s="13">
        <f t="shared" si="855"/>
        <v>3</v>
      </c>
      <c r="AH488" s="13"/>
      <c r="AI488" s="13"/>
      <c r="AJ488" s="14">
        <f t="shared" si="856"/>
        <v>1101998</v>
      </c>
      <c r="AK488" s="14" t="str">
        <f t="shared" si="857"/>
        <v>SR寄灵人4突</v>
      </c>
      <c r="AL488" s="25" t="s">
        <v>142</v>
      </c>
      <c r="AM488" s="14">
        <v>1</v>
      </c>
      <c r="AN488" s="14">
        <f t="shared" si="858"/>
        <v>4</v>
      </c>
      <c r="AO488" s="14">
        <f>INDEX(属性投放!$DF$6:$DF$85,(卡牌属性!AG488-2)*20+卡牌属性!AN488)</f>
        <v>484</v>
      </c>
      <c r="AP488" s="14">
        <f t="shared" si="859"/>
        <v>484</v>
      </c>
      <c r="AQ488" s="14">
        <f t="shared" si="859"/>
        <v>484</v>
      </c>
      <c r="AR488" s="14">
        <f t="shared" si="859"/>
        <v>484</v>
      </c>
      <c r="AS488" s="14">
        <f t="shared" si="859"/>
        <v>484</v>
      </c>
      <c r="AT488" s="14">
        <f>INDEX(属性投放!$DG$6:$DG$85,(卡牌属性!AG488-2)*20+卡牌属性!AN488)</f>
        <v>162</v>
      </c>
      <c r="AU488" s="14">
        <f t="shared" si="860"/>
        <v>162</v>
      </c>
      <c r="AV488" s="14">
        <f t="shared" si="860"/>
        <v>162</v>
      </c>
      <c r="AW488" s="14">
        <f t="shared" si="860"/>
        <v>162</v>
      </c>
      <c r="AX488" s="14">
        <f t="shared" si="860"/>
        <v>162</v>
      </c>
      <c r="AY488" s="14">
        <f>INDEX(属性投放!$DH$6:$DH$85,(卡牌属性!AG488-2)*20+卡牌属性!AN488)</f>
        <v>2379</v>
      </c>
      <c r="AZ488" s="14">
        <f t="shared" si="861"/>
        <v>2379</v>
      </c>
      <c r="BA488" s="14">
        <f t="shared" si="861"/>
        <v>2379</v>
      </c>
      <c r="BB488" s="14">
        <f t="shared" si="861"/>
        <v>2379</v>
      </c>
      <c r="BC488" s="14">
        <f t="shared" si="861"/>
        <v>2379</v>
      </c>
      <c r="BD488" s="14">
        <f>INDEX(属性投放!$DL$6:$DL$85,(卡牌属性!AG488-2)*20+卡牌属性!AN488)</f>
        <v>30</v>
      </c>
      <c r="BE488" s="14">
        <f t="shared" si="862"/>
        <v>30</v>
      </c>
      <c r="BF488" s="14">
        <f t="shared" si="862"/>
        <v>30</v>
      </c>
      <c r="BG488" s="14">
        <f t="shared" si="862"/>
        <v>30</v>
      </c>
      <c r="BH488" s="14">
        <f t="shared" si="862"/>
        <v>30</v>
      </c>
      <c r="BI488" s="14">
        <f>INDEX(属性投放!$DM$6:$DM$85,(卡牌属性!AG488-2)*20+卡牌属性!AN488)</f>
        <v>15</v>
      </c>
      <c r="BJ488" s="14">
        <f t="shared" si="863"/>
        <v>15</v>
      </c>
      <c r="BK488" s="14">
        <f t="shared" si="863"/>
        <v>15</v>
      </c>
      <c r="BL488" s="14">
        <f t="shared" si="863"/>
        <v>15</v>
      </c>
      <c r="BM488" s="14">
        <f t="shared" si="863"/>
        <v>15</v>
      </c>
      <c r="BN488" s="14">
        <f>INDEX(属性投放!$DN$6:$DN$85,(卡牌属性!AG488-2)*20+卡牌属性!AN488)</f>
        <v>208</v>
      </c>
      <c r="BO488" s="14">
        <f t="shared" si="864"/>
        <v>208</v>
      </c>
      <c r="BP488" s="14">
        <f t="shared" si="864"/>
        <v>208</v>
      </c>
      <c r="BQ488" s="14">
        <f t="shared" si="864"/>
        <v>208</v>
      </c>
      <c r="BR488" s="14">
        <f t="shared" si="864"/>
        <v>208</v>
      </c>
      <c r="BW488" s="13">
        <v>484</v>
      </c>
      <c r="BX488" s="13">
        <f t="shared" si="835"/>
        <v>25</v>
      </c>
      <c r="BY488" s="14">
        <f t="shared" si="836"/>
        <v>3</v>
      </c>
      <c r="BZ488" s="14">
        <f t="shared" si="840"/>
        <v>1102026</v>
      </c>
      <c r="CA488" s="14" t="str">
        <f t="shared" si="841"/>
        <v>雷震子4突</v>
      </c>
      <c r="CB488" s="25" t="s">
        <v>142</v>
      </c>
      <c r="CC488" s="14">
        <v>2</v>
      </c>
      <c r="CD488" s="14">
        <f t="shared" si="837"/>
        <v>4</v>
      </c>
      <c r="CE488" s="14" t="s">
        <v>21</v>
      </c>
      <c r="CF488" s="14">
        <f>INDEX(属性投放!$AZ$6:$AZ$85,(BY488-2)*20+CD488)</f>
        <v>652</v>
      </c>
      <c r="CG488" s="14" t="s">
        <v>22</v>
      </c>
      <c r="CH488" s="14">
        <f>INDEX(属性投放!$BA$6:$BA$85,(BY488-2)*20+CD488)</f>
        <v>262</v>
      </c>
      <c r="CI488" s="14" t="s">
        <v>510</v>
      </c>
      <c r="CJ488" s="14">
        <f>INDEX(属性投放!$BB$6:$BB$85,(BY488-2)*20+CD488)</f>
        <v>3512</v>
      </c>
      <c r="CK488" s="14" t="s">
        <v>21</v>
      </c>
      <c r="CL488" s="14">
        <f>INDEX(属性投放!$BC$6:$BC$85,(BY488-2)*20+CD488)</f>
        <v>12</v>
      </c>
      <c r="CM488" s="14" t="s">
        <v>22</v>
      </c>
      <c r="CN488" s="14">
        <f>INDEX(属性投放!$BD$6:$BD$85,(BY488-2)*20+CD488)</f>
        <v>6</v>
      </c>
      <c r="CO488" s="14" t="s">
        <v>510</v>
      </c>
      <c r="CP488" s="14">
        <f>INDEX(属性投放!$BE$6:$BE$85,(BY488-2)*20+CD488)</f>
        <v>84</v>
      </c>
      <c r="CS488" s="13">
        <v>484</v>
      </c>
      <c r="CT488" s="13">
        <f t="shared" si="842"/>
        <v>10</v>
      </c>
      <c r="CU488" s="13">
        <f t="shared" si="843"/>
        <v>16</v>
      </c>
      <c r="CV488" s="14">
        <f t="shared" si="844"/>
        <v>4</v>
      </c>
      <c r="CW488" s="14">
        <f t="shared" si="845"/>
        <v>1102010</v>
      </c>
      <c r="CX488" s="14" t="str">
        <f>INDEX($O$6:$O$50,CT488)&amp;"-"&amp;INDEX(属性投放!$AB$7:$AB$50,CZ488)&amp;"-魂火-"&amp;DB488</f>
        <v>张郃-叫唤+2-魂火-1</v>
      </c>
      <c r="CY488" s="25" t="s">
        <v>142</v>
      </c>
      <c r="CZ488" s="14">
        <f>INDEX(属性投放!$AM$7:$AM$58,CU488)</f>
        <v>9</v>
      </c>
      <c r="DA488" s="14" t="s">
        <v>537</v>
      </c>
      <c r="DB488" s="14">
        <f>INDEX(属性投放!$AN$7:$AN$58,CU488)</f>
        <v>1</v>
      </c>
      <c r="DC488" s="14">
        <f t="shared" si="838"/>
        <v>16</v>
      </c>
      <c r="DD488" s="14">
        <f>INDEX(属性投放!$AO$7:$AO$58,DC488)</f>
        <v>58</v>
      </c>
      <c r="DE488" s="14" t="s">
        <v>538</v>
      </c>
      <c r="DF488" s="14">
        <f>INDEX(属性投放!$BK$6:$BK$85,(CV488-2)*20+CZ488)</f>
        <v>115</v>
      </c>
      <c r="DG488" s="14">
        <f>SUMIFS(DF$5:DF488,$CT$5:$CT488,"="&amp;$CT488)</f>
        <v>950</v>
      </c>
      <c r="DH488" s="14" t="s">
        <v>539</v>
      </c>
      <c r="DI488" s="14">
        <f>INDEX(属性投放!$BL$6:$BL$85,(CV488-2)*20+CZ488)</f>
        <v>58</v>
      </c>
      <c r="DJ488" s="14">
        <f>SUMIFS(DI$5:DI488,$CT$5:$CT488,"="&amp;$CT488)</f>
        <v>479</v>
      </c>
      <c r="DK488" s="14" t="s">
        <v>540</v>
      </c>
      <c r="DL488" s="14">
        <f>INDEX(属性投放!$BM$6:$BM$85,(CV488-2)*20+CZ488)</f>
        <v>920</v>
      </c>
      <c r="DM488" s="14">
        <f>SUMIFS(DL$5:DL488,$CT$5:$CT488,"="&amp;$CT488)</f>
        <v>6970</v>
      </c>
      <c r="DR488" s="14">
        <f t="shared" si="849"/>
        <v>1102026</v>
      </c>
      <c r="DS488" s="14" t="str">
        <f t="shared" si="850"/>
        <v>雷震子4突</v>
      </c>
      <c r="DT488" s="14">
        <f t="shared" si="846"/>
        <v>7</v>
      </c>
      <c r="DU488" s="14">
        <f t="shared" si="847"/>
        <v>4</v>
      </c>
      <c r="DV488" s="14">
        <f t="shared" si="848"/>
        <v>4</v>
      </c>
      <c r="DW488" s="14">
        <f t="shared" si="851"/>
        <v>3</v>
      </c>
      <c r="DX488" s="14">
        <f t="shared" si="852"/>
        <v>4</v>
      </c>
      <c r="DY488" s="14">
        <f t="shared" si="853"/>
        <v>24</v>
      </c>
      <c r="DZ488" s="14">
        <f>INDEX(属性投放!$AX$6:$AX$85,(卡牌属性!DW488-2)*20+卡牌属性!DX488)</f>
        <v>10</v>
      </c>
      <c r="EA488" s="14">
        <f>INDEX(属性投放!BQ$6:BQ$85,卡牌属性!$DY488)</f>
        <v>75</v>
      </c>
      <c r="EB488" s="14">
        <f>INDEX(属性投放!BR$6:BR$85,卡牌属性!$DY488)</f>
        <v>38</v>
      </c>
      <c r="EC488" s="14">
        <f>INDEX(属性投放!BS$6:BS$85,卡牌属性!$DY488)</f>
        <v>525</v>
      </c>
      <c r="ED488" s="14">
        <f t="shared" si="880"/>
        <v>688</v>
      </c>
      <c r="EE488" s="14">
        <f t="shared" si="881"/>
        <v>782</v>
      </c>
      <c r="EF488" s="14">
        <f t="shared" si="882"/>
        <v>900</v>
      </c>
      <c r="EG488" s="14">
        <f t="shared" si="883"/>
        <v>900</v>
      </c>
      <c r="EH488" s="14">
        <f t="shared" si="884"/>
        <v>1070</v>
      </c>
      <c r="EI488" s="14">
        <f t="shared" si="885"/>
        <v>182</v>
      </c>
      <c r="EJ488" s="14">
        <f t="shared" si="886"/>
        <v>216</v>
      </c>
      <c r="EK488" s="14">
        <f t="shared" si="887"/>
        <v>216</v>
      </c>
      <c r="EL488" s="14">
        <f t="shared" si="888"/>
        <v>250</v>
      </c>
      <c r="EM488" s="14">
        <f t="shared" si="889"/>
        <v>304</v>
      </c>
      <c r="EN488" s="14">
        <f t="shared" si="890"/>
        <v>2344</v>
      </c>
      <c r="EO488" s="14">
        <f t="shared" si="891"/>
        <v>2732</v>
      </c>
      <c r="EP488" s="14">
        <f t="shared" si="892"/>
        <v>2732</v>
      </c>
      <c r="EQ488" s="14">
        <f t="shared" si="893"/>
        <v>3170</v>
      </c>
      <c r="ER488" s="14">
        <f t="shared" si="894"/>
        <v>3728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70</v>
      </c>
      <c r="FD488" s="14">
        <f>INDEX(属性偏向!$U$4:$U$243,(卡牌属性!$DV488-1+FD$3)*20+卡牌属性!$DX488)</f>
        <v>84</v>
      </c>
      <c r="FE488" s="14">
        <f>INDEX(属性偏向!$U$4:$U$243,(卡牌属性!$DV488-1+FE$3)*20+卡牌属性!$DX488)</f>
        <v>84</v>
      </c>
      <c r="FF488" s="14">
        <f>INDEX(属性偏向!$U$4:$U$243,(卡牌属性!$DV488-1+FF$3)*20+卡牌属性!$DX488)</f>
        <v>91</v>
      </c>
      <c r="FG488" s="14">
        <f>INDEX(属性偏向!$U$4:$U$243,(卡牌属性!$DV488-1+FG$3)*20+卡牌属性!$DX488)</f>
        <v>140</v>
      </c>
      <c r="FH488" s="14">
        <f>INDEX(属性投放!$BQ$6:$BQ$85,(卡牌属性!$DW488-2)*20+卡牌属性!$DX488)</f>
        <v>75</v>
      </c>
      <c r="FI488" s="14">
        <f>INDEX(属性投放!$BQ$6:$BQ$85,(卡牌属性!$DW488-2)*20+卡牌属性!$DX488)</f>
        <v>75</v>
      </c>
      <c r="FJ488" s="14">
        <f>INDEX(属性投放!$BQ$6:$BQ$85,(卡牌属性!$DW488-2)*20+卡牌属性!$DX488)</f>
        <v>75</v>
      </c>
      <c r="FK488" s="14">
        <f>INDEX(属性投放!$BQ$6:$BQ$85,(卡牌属性!$DW488-2)*20+卡牌属性!$DX488)</f>
        <v>75</v>
      </c>
      <c r="FL488" s="14">
        <f>INDEX(属性投放!$BQ$6:$BQ$85,(卡牌属性!$DW488-2)*20+卡牌属性!$DX488)</f>
        <v>75</v>
      </c>
      <c r="FM488" s="14">
        <f>INDEX(属性投放!$BR$6:$BR$85,(卡牌属性!$DW488-2)*20+卡牌属性!$DX488)</f>
        <v>38</v>
      </c>
      <c r="FN488" s="14">
        <f>INDEX(属性投放!$BR$6:$BR$85,(卡牌属性!$DW488-2)*20+卡牌属性!$DX488)</f>
        <v>38</v>
      </c>
      <c r="FO488" s="14">
        <f>INDEX(属性投放!$BR$6:$BR$85,(卡牌属性!$DW488-2)*20+卡牌属性!$DX488)</f>
        <v>38</v>
      </c>
      <c r="FP488" s="14">
        <f>INDEX(属性投放!$BR$6:$BR$85,(卡牌属性!$DW488-2)*20+卡牌属性!$DX488)</f>
        <v>38</v>
      </c>
      <c r="FQ488" s="14">
        <f>INDEX(属性投放!$BR$6:$BR$85,(卡牌属性!$DW488-2)*20+卡牌属性!$DX488)</f>
        <v>38</v>
      </c>
      <c r="FR488" s="14">
        <f>INDEX(属性投放!$BS$6:$BS$85,(卡牌属性!$DW488-2)*20+卡牌属性!$DX488)</f>
        <v>525</v>
      </c>
      <c r="FS488" s="14">
        <f>INDEX(属性投放!$BS$6:$BS$85,(卡牌属性!$DW488-2)*20+卡牌属性!$DX488)</f>
        <v>525</v>
      </c>
      <c r="FT488" s="14">
        <f>INDEX(属性投放!$BS$6:$BS$85,(卡牌属性!$DW488-2)*20+卡牌属性!$DX488)</f>
        <v>525</v>
      </c>
      <c r="FU488" s="14">
        <f>INDEX(属性投放!$BS$6:$BS$85,(卡牌属性!$DW488-2)*20+卡牌属性!$DX488)</f>
        <v>525</v>
      </c>
      <c r="FV488" s="14">
        <f>INDEX(属性投放!$BS$6:$BS$85,(卡牌属性!$DW488-2)*20+卡牌属性!$DX488)</f>
        <v>525</v>
      </c>
    </row>
    <row r="489" spans="31:178" ht="16.5" x14ac:dyDescent="0.2">
      <c r="AE489" s="13">
        <v>485</v>
      </c>
      <c r="AF489" s="13">
        <f t="shared" si="854"/>
        <v>25</v>
      </c>
      <c r="AG489" s="13">
        <f t="shared" si="855"/>
        <v>3</v>
      </c>
      <c r="AH489" s="13"/>
      <c r="AI489" s="13"/>
      <c r="AJ489" s="14">
        <f t="shared" si="856"/>
        <v>1101998</v>
      </c>
      <c r="AK489" s="14" t="str">
        <f t="shared" si="857"/>
        <v>SR寄灵人5突</v>
      </c>
      <c r="AL489" s="25" t="s">
        <v>142</v>
      </c>
      <c r="AM489" s="14">
        <v>1</v>
      </c>
      <c r="AN489" s="14">
        <f t="shared" si="858"/>
        <v>5</v>
      </c>
      <c r="AO489" s="14">
        <f>INDEX(属性投放!$DF$6:$DF$85,(卡牌属性!AG489-2)*20+卡牌属性!AN489)</f>
        <v>569</v>
      </c>
      <c r="AP489" s="14">
        <f t="shared" si="859"/>
        <v>569</v>
      </c>
      <c r="AQ489" s="14">
        <f t="shared" si="859"/>
        <v>569</v>
      </c>
      <c r="AR489" s="14">
        <f t="shared" si="859"/>
        <v>569</v>
      </c>
      <c r="AS489" s="14">
        <f t="shared" si="859"/>
        <v>569</v>
      </c>
      <c r="AT489" s="14">
        <f>INDEX(属性投放!$DG$6:$DG$85,(卡牌属性!AG489-2)*20+卡牌属性!AN489)</f>
        <v>205</v>
      </c>
      <c r="AU489" s="14">
        <f t="shared" si="860"/>
        <v>205</v>
      </c>
      <c r="AV489" s="14">
        <f t="shared" si="860"/>
        <v>205</v>
      </c>
      <c r="AW489" s="14">
        <f t="shared" si="860"/>
        <v>205</v>
      </c>
      <c r="AX489" s="14">
        <f t="shared" si="860"/>
        <v>205</v>
      </c>
      <c r="AY489" s="14">
        <f>INDEX(属性投放!$DH$6:$DH$85,(卡牌属性!AG489-2)*20+卡牌属性!AN489)</f>
        <v>2973</v>
      </c>
      <c r="AZ489" s="14">
        <f t="shared" si="861"/>
        <v>2973</v>
      </c>
      <c r="BA489" s="14">
        <f t="shared" si="861"/>
        <v>2973</v>
      </c>
      <c r="BB489" s="14">
        <f t="shared" si="861"/>
        <v>2973</v>
      </c>
      <c r="BC489" s="14">
        <f t="shared" si="861"/>
        <v>2973</v>
      </c>
      <c r="BD489" s="14">
        <f>INDEX(属性投放!$DL$6:$DL$85,(卡牌属性!AG489-2)*20+卡牌属性!AN489)</f>
        <v>30</v>
      </c>
      <c r="BE489" s="14">
        <f t="shared" si="862"/>
        <v>30</v>
      </c>
      <c r="BF489" s="14">
        <f t="shared" si="862"/>
        <v>30</v>
      </c>
      <c r="BG489" s="14">
        <f t="shared" si="862"/>
        <v>30</v>
      </c>
      <c r="BH489" s="14">
        <f t="shared" si="862"/>
        <v>30</v>
      </c>
      <c r="BI489" s="14">
        <f>INDEX(属性投放!$DM$6:$DM$85,(卡牌属性!AG489-2)*20+卡牌属性!AN489)</f>
        <v>15</v>
      </c>
      <c r="BJ489" s="14">
        <f t="shared" si="863"/>
        <v>15</v>
      </c>
      <c r="BK489" s="14">
        <f t="shared" si="863"/>
        <v>15</v>
      </c>
      <c r="BL489" s="14">
        <f t="shared" si="863"/>
        <v>15</v>
      </c>
      <c r="BM489" s="14">
        <f t="shared" si="863"/>
        <v>15</v>
      </c>
      <c r="BN489" s="14">
        <f>INDEX(属性投放!$DN$6:$DN$85,(卡牌属性!AG489-2)*20+卡牌属性!AN489)</f>
        <v>208</v>
      </c>
      <c r="BO489" s="14">
        <f t="shared" si="864"/>
        <v>208</v>
      </c>
      <c r="BP489" s="14">
        <f t="shared" si="864"/>
        <v>208</v>
      </c>
      <c r="BQ489" s="14">
        <f t="shared" si="864"/>
        <v>208</v>
      </c>
      <c r="BR489" s="14">
        <f t="shared" si="864"/>
        <v>208</v>
      </c>
      <c r="BW489" s="13">
        <v>485</v>
      </c>
      <c r="BX489" s="13">
        <f t="shared" si="835"/>
        <v>25</v>
      </c>
      <c r="BY489" s="14">
        <f t="shared" si="836"/>
        <v>3</v>
      </c>
      <c r="BZ489" s="14">
        <f t="shared" si="840"/>
        <v>1102026</v>
      </c>
      <c r="CA489" s="14" t="str">
        <f t="shared" si="841"/>
        <v>雷震子5突</v>
      </c>
      <c r="CB489" s="25" t="s">
        <v>142</v>
      </c>
      <c r="CC489" s="14">
        <v>2</v>
      </c>
      <c r="CD489" s="14">
        <f t="shared" si="837"/>
        <v>5</v>
      </c>
      <c r="CE489" s="14" t="s">
        <v>21</v>
      </c>
      <c r="CF489" s="14">
        <f>INDEX(属性投放!$AZ$6:$AZ$85,(BY489-2)*20+CD489)</f>
        <v>927</v>
      </c>
      <c r="CG489" s="14" t="s">
        <v>22</v>
      </c>
      <c r="CH489" s="14">
        <f>INDEX(属性投放!$BA$6:$BA$85,(BY489-2)*20+CD489)</f>
        <v>400</v>
      </c>
      <c r="CI489" s="14" t="s">
        <v>510</v>
      </c>
      <c r="CJ489" s="14">
        <f>INDEX(属性投放!$BB$6:$BB$85,(BY489-2)*20+CD489)</f>
        <v>5437</v>
      </c>
      <c r="CK489" s="14" t="s">
        <v>21</v>
      </c>
      <c r="CL489" s="14">
        <f>INDEX(属性投放!$BC$6:$BC$85,(BY489-2)*20+CD489)</f>
        <v>12</v>
      </c>
      <c r="CM489" s="14" t="s">
        <v>22</v>
      </c>
      <c r="CN489" s="14">
        <f>INDEX(属性投放!$BD$6:$BD$85,(BY489-2)*20+CD489)</f>
        <v>6</v>
      </c>
      <c r="CO489" s="14" t="s">
        <v>510</v>
      </c>
      <c r="CP489" s="14">
        <f>INDEX(属性投放!$BE$6:$BE$85,(BY489-2)*20+CD489)</f>
        <v>84</v>
      </c>
      <c r="CS489" s="13">
        <v>485</v>
      </c>
      <c r="CT489" s="13">
        <f t="shared" si="842"/>
        <v>10</v>
      </c>
      <c r="CU489" s="13">
        <f t="shared" si="843"/>
        <v>17</v>
      </c>
      <c r="CV489" s="14">
        <f t="shared" si="844"/>
        <v>4</v>
      </c>
      <c r="CW489" s="14">
        <f t="shared" si="845"/>
        <v>1102010</v>
      </c>
      <c r="CX489" s="14" t="str">
        <f>INDEX($O$6:$O$50,CT489)&amp;"-"&amp;INDEX(属性投放!$AB$7:$AB$50,CZ489)&amp;"-魂火-"&amp;DB489</f>
        <v>张郃-叫唤+2-魂火-2</v>
      </c>
      <c r="CY489" s="25" t="s">
        <v>142</v>
      </c>
      <c r="CZ489" s="14">
        <f>INDEX(属性投放!$AM$7:$AM$58,CU489)</f>
        <v>9</v>
      </c>
      <c r="DA489" s="14" t="s">
        <v>537</v>
      </c>
      <c r="DB489" s="14">
        <f>INDEX(属性投放!$AN$7:$AN$58,CU489)</f>
        <v>2</v>
      </c>
      <c r="DC489" s="14">
        <f t="shared" si="838"/>
        <v>17</v>
      </c>
      <c r="DD489" s="14">
        <f>INDEX(属性投放!$AO$7:$AO$58,DC489)</f>
        <v>60</v>
      </c>
      <c r="DE489" s="14" t="s">
        <v>538</v>
      </c>
      <c r="DF489" s="14">
        <f>INDEX(属性投放!$BK$6:$BK$85,(CV489-2)*20+CZ489)</f>
        <v>115</v>
      </c>
      <c r="DG489" s="14">
        <f>SUMIFS(DF$5:DF489,$CT$5:$CT489,"="&amp;$CT489)</f>
        <v>1065</v>
      </c>
      <c r="DH489" s="14" t="s">
        <v>539</v>
      </c>
      <c r="DI489" s="14">
        <f>INDEX(属性投放!$BL$6:$BL$85,(CV489-2)*20+CZ489)</f>
        <v>58</v>
      </c>
      <c r="DJ489" s="14">
        <f>SUMIFS(DI$5:DI489,$CT$5:$CT489,"="&amp;$CT489)</f>
        <v>537</v>
      </c>
      <c r="DK489" s="14" t="s">
        <v>540</v>
      </c>
      <c r="DL489" s="14">
        <f>INDEX(属性投放!$BM$6:$BM$85,(CV489-2)*20+CZ489)</f>
        <v>920</v>
      </c>
      <c r="DM489" s="14">
        <f>SUMIFS(DL$5:DL489,$CT$5:$CT489,"="&amp;$CT489)</f>
        <v>7890</v>
      </c>
      <c r="DR489" s="14">
        <f t="shared" si="849"/>
        <v>1102026</v>
      </c>
      <c r="DS489" s="14" t="str">
        <f t="shared" si="850"/>
        <v>雷震子5突</v>
      </c>
      <c r="DT489" s="14">
        <f t="shared" si="846"/>
        <v>7</v>
      </c>
      <c r="DU489" s="14">
        <f t="shared" si="847"/>
        <v>4</v>
      </c>
      <c r="DV489" s="14">
        <f t="shared" si="848"/>
        <v>4</v>
      </c>
      <c r="DW489" s="14">
        <f t="shared" si="851"/>
        <v>3</v>
      </c>
      <c r="DX489" s="14">
        <f t="shared" si="852"/>
        <v>5</v>
      </c>
      <c r="DY489" s="14">
        <f t="shared" si="853"/>
        <v>25</v>
      </c>
      <c r="DZ489" s="14">
        <f>INDEX(属性投放!$AX$6:$AX$85,(卡牌属性!DW489-2)*20+卡牌属性!DX489)</f>
        <v>7</v>
      </c>
      <c r="EA489" s="14">
        <f>INDEX(属性投放!BQ$6:BQ$85,卡牌属性!$DY489)</f>
        <v>100</v>
      </c>
      <c r="EB489" s="14">
        <f>INDEX(属性投放!BR$6:BR$85,卡牌属性!$DY489)</f>
        <v>50</v>
      </c>
      <c r="EC489" s="14">
        <f>INDEX(属性投放!BS$6:BS$85,卡牌属性!$DY489)</f>
        <v>700</v>
      </c>
      <c r="ED489" s="14">
        <f t="shared" si="880"/>
        <v>963</v>
      </c>
      <c r="EE489" s="14">
        <f t="shared" si="881"/>
        <v>1077</v>
      </c>
      <c r="EF489" s="14">
        <f t="shared" si="882"/>
        <v>1225</v>
      </c>
      <c r="EG489" s="14">
        <f t="shared" si="883"/>
        <v>1225</v>
      </c>
      <c r="EH489" s="14">
        <f t="shared" si="884"/>
        <v>1445</v>
      </c>
      <c r="EI489" s="14">
        <f t="shared" si="885"/>
        <v>270</v>
      </c>
      <c r="EJ489" s="14">
        <f t="shared" si="886"/>
        <v>314</v>
      </c>
      <c r="EK489" s="14">
        <f t="shared" si="887"/>
        <v>314</v>
      </c>
      <c r="EL489" s="14">
        <f t="shared" si="888"/>
        <v>358</v>
      </c>
      <c r="EM489" s="14">
        <f t="shared" si="889"/>
        <v>442</v>
      </c>
      <c r="EN489" s="14">
        <f t="shared" si="890"/>
        <v>3569</v>
      </c>
      <c r="EO489" s="14">
        <f t="shared" si="891"/>
        <v>4097</v>
      </c>
      <c r="EP489" s="14">
        <f t="shared" si="892"/>
        <v>4097</v>
      </c>
      <c r="EQ489" s="14">
        <f t="shared" si="893"/>
        <v>4605</v>
      </c>
      <c r="ER489" s="14">
        <f t="shared" si="894"/>
        <v>5653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70</v>
      </c>
      <c r="FD489" s="14">
        <f>INDEX(属性偏向!$U$4:$U$243,(卡牌属性!$DV489-1+FD$3)*20+卡牌属性!$DX489)</f>
        <v>84</v>
      </c>
      <c r="FE489" s="14">
        <f>INDEX(属性偏向!$U$4:$U$243,(卡牌属性!$DV489-1+FE$3)*20+卡牌属性!$DX489)</f>
        <v>84</v>
      </c>
      <c r="FF489" s="14">
        <f>INDEX(属性偏向!$U$4:$U$243,(卡牌属性!$DV489-1+FF$3)*20+卡牌属性!$DX489)</f>
        <v>91</v>
      </c>
      <c r="FG489" s="14">
        <f>INDEX(属性偏向!$U$4:$U$243,(卡牌属性!$DV489-1+FG$3)*20+卡牌属性!$DX489)</f>
        <v>140</v>
      </c>
      <c r="FH489" s="14">
        <f>INDEX(属性投放!$BQ$6:$BQ$85,(卡牌属性!$DW489-2)*20+卡牌属性!$DX489)</f>
        <v>100</v>
      </c>
      <c r="FI489" s="14">
        <f>INDEX(属性投放!$BQ$6:$BQ$85,(卡牌属性!$DW489-2)*20+卡牌属性!$DX489)</f>
        <v>100</v>
      </c>
      <c r="FJ489" s="14">
        <f>INDEX(属性投放!$BQ$6:$BQ$85,(卡牌属性!$DW489-2)*20+卡牌属性!$DX489)</f>
        <v>100</v>
      </c>
      <c r="FK489" s="14">
        <f>INDEX(属性投放!$BQ$6:$BQ$85,(卡牌属性!$DW489-2)*20+卡牌属性!$DX489)</f>
        <v>100</v>
      </c>
      <c r="FL489" s="14">
        <f>INDEX(属性投放!$BQ$6:$BQ$85,(卡牌属性!$DW489-2)*20+卡牌属性!$DX489)</f>
        <v>100</v>
      </c>
      <c r="FM489" s="14">
        <f>INDEX(属性投放!$BR$6:$BR$85,(卡牌属性!$DW489-2)*20+卡牌属性!$DX489)</f>
        <v>50</v>
      </c>
      <c r="FN489" s="14">
        <f>INDEX(属性投放!$BR$6:$BR$85,(卡牌属性!$DW489-2)*20+卡牌属性!$DX489)</f>
        <v>50</v>
      </c>
      <c r="FO489" s="14">
        <f>INDEX(属性投放!$BR$6:$BR$85,(卡牌属性!$DW489-2)*20+卡牌属性!$DX489)</f>
        <v>50</v>
      </c>
      <c r="FP489" s="14">
        <f>INDEX(属性投放!$BR$6:$BR$85,(卡牌属性!$DW489-2)*20+卡牌属性!$DX489)</f>
        <v>50</v>
      </c>
      <c r="FQ489" s="14">
        <f>INDEX(属性投放!$BR$6:$BR$85,(卡牌属性!$DW489-2)*20+卡牌属性!$DX489)</f>
        <v>50</v>
      </c>
      <c r="FR489" s="14">
        <f>INDEX(属性投放!$BS$6:$BS$85,(卡牌属性!$DW489-2)*20+卡牌属性!$DX489)</f>
        <v>700</v>
      </c>
      <c r="FS489" s="14">
        <f>INDEX(属性投放!$BS$6:$BS$85,(卡牌属性!$DW489-2)*20+卡牌属性!$DX489)</f>
        <v>700</v>
      </c>
      <c r="FT489" s="14">
        <f>INDEX(属性投放!$BS$6:$BS$85,(卡牌属性!$DW489-2)*20+卡牌属性!$DX489)</f>
        <v>700</v>
      </c>
      <c r="FU489" s="14">
        <f>INDEX(属性投放!$BS$6:$BS$85,(卡牌属性!$DW489-2)*20+卡牌属性!$DX489)</f>
        <v>700</v>
      </c>
      <c r="FV489" s="14">
        <f>INDEX(属性投放!$BS$6:$BS$85,(卡牌属性!$DW489-2)*20+卡牌属性!$DX489)</f>
        <v>700</v>
      </c>
    </row>
    <row r="490" spans="31:178" ht="16.5" x14ac:dyDescent="0.2">
      <c r="AE490" s="13">
        <v>486</v>
      </c>
      <c r="AF490" s="13">
        <f t="shared" si="854"/>
        <v>25</v>
      </c>
      <c r="AG490" s="13">
        <f t="shared" si="855"/>
        <v>3</v>
      </c>
      <c r="AH490" s="13"/>
      <c r="AI490" s="13"/>
      <c r="AJ490" s="14">
        <f t="shared" si="856"/>
        <v>1101998</v>
      </c>
      <c r="AK490" s="14" t="str">
        <f t="shared" si="857"/>
        <v>SR寄灵人6突</v>
      </c>
      <c r="AL490" s="25" t="s">
        <v>142</v>
      </c>
      <c r="AM490" s="14">
        <v>1</v>
      </c>
      <c r="AN490" s="14">
        <f t="shared" si="858"/>
        <v>6</v>
      </c>
      <c r="AO490" s="14">
        <f>INDEX(属性投放!$DF$6:$DF$85,(卡牌属性!AG490-2)*20+卡牌属性!AN490)</f>
        <v>654</v>
      </c>
      <c r="AP490" s="14">
        <f t="shared" si="859"/>
        <v>654</v>
      </c>
      <c r="AQ490" s="14">
        <f t="shared" si="859"/>
        <v>654</v>
      </c>
      <c r="AR490" s="14">
        <f t="shared" si="859"/>
        <v>654</v>
      </c>
      <c r="AS490" s="14">
        <f t="shared" si="859"/>
        <v>654</v>
      </c>
      <c r="AT490" s="14">
        <f>INDEX(属性投放!$DG$6:$DG$85,(卡牌属性!AG490-2)*20+卡牌属性!AN490)</f>
        <v>248</v>
      </c>
      <c r="AU490" s="14">
        <f t="shared" si="860"/>
        <v>248</v>
      </c>
      <c r="AV490" s="14">
        <f t="shared" si="860"/>
        <v>248</v>
      </c>
      <c r="AW490" s="14">
        <f t="shared" si="860"/>
        <v>248</v>
      </c>
      <c r="AX490" s="14">
        <f t="shared" si="860"/>
        <v>248</v>
      </c>
      <c r="AY490" s="14">
        <f>INDEX(属性投放!$DH$6:$DH$85,(卡牌属性!AG490-2)*20+卡牌属性!AN490)</f>
        <v>3567</v>
      </c>
      <c r="AZ490" s="14">
        <f t="shared" si="861"/>
        <v>3567</v>
      </c>
      <c r="BA490" s="14">
        <f t="shared" si="861"/>
        <v>3567</v>
      </c>
      <c r="BB490" s="14">
        <f t="shared" si="861"/>
        <v>3567</v>
      </c>
      <c r="BC490" s="14">
        <f t="shared" si="861"/>
        <v>3567</v>
      </c>
      <c r="BD490" s="14">
        <f>INDEX(属性投放!$DL$6:$DL$85,(卡牌属性!AG490-2)*20+卡牌属性!AN490)</f>
        <v>30</v>
      </c>
      <c r="BE490" s="14">
        <f t="shared" si="862"/>
        <v>30</v>
      </c>
      <c r="BF490" s="14">
        <f t="shared" si="862"/>
        <v>30</v>
      </c>
      <c r="BG490" s="14">
        <f t="shared" si="862"/>
        <v>30</v>
      </c>
      <c r="BH490" s="14">
        <f t="shared" si="862"/>
        <v>30</v>
      </c>
      <c r="BI490" s="14">
        <f>INDEX(属性投放!$DM$6:$DM$85,(卡牌属性!AG490-2)*20+卡牌属性!AN490)</f>
        <v>15</v>
      </c>
      <c r="BJ490" s="14">
        <f t="shared" si="863"/>
        <v>15</v>
      </c>
      <c r="BK490" s="14">
        <f t="shared" si="863"/>
        <v>15</v>
      </c>
      <c r="BL490" s="14">
        <f t="shared" si="863"/>
        <v>15</v>
      </c>
      <c r="BM490" s="14">
        <f t="shared" si="863"/>
        <v>15</v>
      </c>
      <c r="BN490" s="14">
        <f>INDEX(属性投放!$DN$6:$DN$85,(卡牌属性!AG490-2)*20+卡牌属性!AN490)</f>
        <v>208</v>
      </c>
      <c r="BO490" s="14">
        <f t="shared" si="864"/>
        <v>208</v>
      </c>
      <c r="BP490" s="14">
        <f t="shared" si="864"/>
        <v>208</v>
      </c>
      <c r="BQ490" s="14">
        <f t="shared" si="864"/>
        <v>208</v>
      </c>
      <c r="BR490" s="14">
        <f t="shared" si="864"/>
        <v>208</v>
      </c>
      <c r="BW490" s="13">
        <v>486</v>
      </c>
      <c r="BX490" s="13">
        <f t="shared" si="835"/>
        <v>25</v>
      </c>
      <c r="BY490" s="14">
        <f t="shared" si="836"/>
        <v>3</v>
      </c>
      <c r="BZ490" s="14">
        <f t="shared" si="840"/>
        <v>1102026</v>
      </c>
      <c r="CA490" s="14" t="str">
        <f t="shared" si="841"/>
        <v>雷震子6突</v>
      </c>
      <c r="CB490" s="25" t="s">
        <v>142</v>
      </c>
      <c r="CC490" s="14">
        <v>2</v>
      </c>
      <c r="CD490" s="14">
        <f t="shared" si="837"/>
        <v>6</v>
      </c>
      <c r="CE490" s="14" t="s">
        <v>21</v>
      </c>
      <c r="CF490" s="14">
        <f>INDEX(属性投放!$AZ$6:$AZ$85,(BY490-2)*20+CD490)</f>
        <v>1201</v>
      </c>
      <c r="CG490" s="14" t="s">
        <v>22</v>
      </c>
      <c r="CH490" s="14">
        <f>INDEX(属性投放!$BA$6:$BA$85,(BY490-2)*20+CD490)</f>
        <v>538</v>
      </c>
      <c r="CI490" s="14" t="s">
        <v>510</v>
      </c>
      <c r="CJ490" s="14">
        <f>INDEX(属性投放!$BB$6:$BB$85,(BY490-2)*20+CD490)</f>
        <v>7355</v>
      </c>
      <c r="CK490" s="14" t="s">
        <v>21</v>
      </c>
      <c r="CL490" s="14">
        <f>INDEX(属性投放!$BC$6:$BC$85,(BY490-2)*20+CD490)</f>
        <v>12</v>
      </c>
      <c r="CM490" s="14" t="s">
        <v>22</v>
      </c>
      <c r="CN490" s="14">
        <f>INDEX(属性投放!$BD$6:$BD$85,(BY490-2)*20+CD490)</f>
        <v>6</v>
      </c>
      <c r="CO490" s="14" t="s">
        <v>510</v>
      </c>
      <c r="CP490" s="14">
        <f>INDEX(属性投放!$BE$6:$BE$85,(BY490-2)*20+CD490)</f>
        <v>84</v>
      </c>
      <c r="CS490" s="13">
        <v>486</v>
      </c>
      <c r="CT490" s="13">
        <f t="shared" si="842"/>
        <v>10</v>
      </c>
      <c r="CU490" s="13">
        <f t="shared" si="843"/>
        <v>18</v>
      </c>
      <c r="CV490" s="14">
        <f t="shared" si="844"/>
        <v>4</v>
      </c>
      <c r="CW490" s="14">
        <f t="shared" si="845"/>
        <v>1102010</v>
      </c>
      <c r="CX490" s="14" t="str">
        <f>INDEX($O$6:$O$50,CT490)&amp;"-"&amp;INDEX(属性投放!$AB$7:$AB$50,CZ490)&amp;"-魂火-"&amp;DB490</f>
        <v>张郃-叫唤+2-魂火-3</v>
      </c>
      <c r="CY490" s="25" t="s">
        <v>142</v>
      </c>
      <c r="CZ490" s="14">
        <f>INDEX(属性投放!$AM$7:$AM$58,CU490)</f>
        <v>9</v>
      </c>
      <c r="DA490" s="14" t="s">
        <v>537</v>
      </c>
      <c r="DB490" s="14">
        <f>INDEX(属性投放!$AN$7:$AN$58,CU490)</f>
        <v>3</v>
      </c>
      <c r="DC490" s="14">
        <f t="shared" si="838"/>
        <v>18</v>
      </c>
      <c r="DD490" s="14">
        <f>INDEX(属性投放!$AO$7:$AO$58,DC490)</f>
        <v>63</v>
      </c>
      <c r="DE490" s="14" t="s">
        <v>538</v>
      </c>
      <c r="DF490" s="14">
        <f>INDEX(属性投放!$BK$6:$BK$85,(CV490-2)*20+CZ490)</f>
        <v>115</v>
      </c>
      <c r="DG490" s="14">
        <f>SUMIFS(DF$5:DF490,$CT$5:$CT490,"="&amp;$CT490)</f>
        <v>1180</v>
      </c>
      <c r="DH490" s="14" t="s">
        <v>539</v>
      </c>
      <c r="DI490" s="14">
        <f>INDEX(属性投放!$BL$6:$BL$85,(CV490-2)*20+CZ490)</f>
        <v>58</v>
      </c>
      <c r="DJ490" s="14">
        <f>SUMIFS(DI$5:DI490,$CT$5:$CT490,"="&amp;$CT490)</f>
        <v>595</v>
      </c>
      <c r="DK490" s="14" t="s">
        <v>540</v>
      </c>
      <c r="DL490" s="14">
        <f>INDEX(属性投放!$BM$6:$BM$85,(CV490-2)*20+CZ490)</f>
        <v>920</v>
      </c>
      <c r="DM490" s="14">
        <f>SUMIFS(DL$5:DL490,$CT$5:$CT490,"="&amp;$CT490)</f>
        <v>8810</v>
      </c>
      <c r="DR490" s="14">
        <f t="shared" si="849"/>
        <v>1102026</v>
      </c>
      <c r="DS490" s="14" t="str">
        <f t="shared" si="850"/>
        <v>雷震子6突</v>
      </c>
      <c r="DT490" s="14">
        <f t="shared" si="846"/>
        <v>7</v>
      </c>
      <c r="DU490" s="14">
        <f t="shared" si="847"/>
        <v>4</v>
      </c>
      <c r="DV490" s="14">
        <f t="shared" si="848"/>
        <v>4</v>
      </c>
      <c r="DW490" s="14">
        <f t="shared" si="851"/>
        <v>3</v>
      </c>
      <c r="DX490" s="14">
        <f t="shared" si="852"/>
        <v>6</v>
      </c>
      <c r="DY490" s="14">
        <f t="shared" si="853"/>
        <v>26</v>
      </c>
      <c r="DZ490" s="14">
        <f>INDEX(属性投放!$AX$6:$AX$85,(卡牌属性!DW490-2)*20+卡牌属性!DX490)</f>
        <v>5</v>
      </c>
      <c r="EA490" s="14">
        <f>INDEX(属性投放!BQ$6:BQ$85,卡牌属性!$DY490)</f>
        <v>140</v>
      </c>
      <c r="EB490" s="14">
        <f>INDEX(属性投放!BR$6:BR$85,卡牌属性!$DY490)</f>
        <v>70</v>
      </c>
      <c r="EC490" s="14">
        <f>INDEX(属性投放!BS$6:BS$85,卡牌属性!$DY490)</f>
        <v>980</v>
      </c>
      <c r="ED490" s="14">
        <f t="shared" si="880"/>
        <v>1203</v>
      </c>
      <c r="EE490" s="14">
        <f t="shared" si="881"/>
        <v>1331</v>
      </c>
      <c r="EF490" s="14">
        <f t="shared" si="882"/>
        <v>1500</v>
      </c>
      <c r="EG490" s="14">
        <f t="shared" si="883"/>
        <v>1500</v>
      </c>
      <c r="EH490" s="14">
        <f t="shared" si="884"/>
        <v>1755</v>
      </c>
      <c r="EI490" s="14">
        <f t="shared" si="885"/>
        <v>355</v>
      </c>
      <c r="EJ490" s="14">
        <f t="shared" si="886"/>
        <v>406</v>
      </c>
      <c r="EK490" s="14">
        <f t="shared" si="887"/>
        <v>406</v>
      </c>
      <c r="EL490" s="14">
        <f t="shared" si="888"/>
        <v>457</v>
      </c>
      <c r="EM490" s="14">
        <f t="shared" si="889"/>
        <v>562</v>
      </c>
      <c r="EN490" s="14">
        <f t="shared" si="890"/>
        <v>4759</v>
      </c>
      <c r="EO490" s="14">
        <f t="shared" si="891"/>
        <v>5385</v>
      </c>
      <c r="EP490" s="14">
        <f t="shared" si="892"/>
        <v>5385</v>
      </c>
      <c r="EQ490" s="14">
        <f t="shared" si="893"/>
        <v>5942</v>
      </c>
      <c r="ER490" s="14">
        <f t="shared" si="894"/>
        <v>7333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70</v>
      </c>
      <c r="FD490" s="14">
        <f>INDEX(属性偏向!$U$4:$U$243,(卡牌属性!$DV490-1+FD$3)*20+卡牌属性!$DX490)</f>
        <v>84</v>
      </c>
      <c r="FE490" s="14">
        <f>INDEX(属性偏向!$U$4:$U$243,(卡牌属性!$DV490-1+FE$3)*20+卡牌属性!$DX490)</f>
        <v>84</v>
      </c>
      <c r="FF490" s="14">
        <f>INDEX(属性偏向!$U$4:$U$243,(卡牌属性!$DV490-1+FF$3)*20+卡牌属性!$DX490)</f>
        <v>91</v>
      </c>
      <c r="FG490" s="14">
        <f>INDEX(属性偏向!$U$4:$U$243,(卡牌属性!$DV490-1+FG$3)*20+卡牌属性!$DX490)</f>
        <v>140</v>
      </c>
      <c r="FH490" s="14">
        <f>INDEX(属性投放!$BQ$6:$BQ$85,(卡牌属性!$DW490-2)*20+卡牌属性!$DX490)</f>
        <v>140</v>
      </c>
      <c r="FI490" s="14">
        <f>INDEX(属性投放!$BQ$6:$BQ$85,(卡牌属性!$DW490-2)*20+卡牌属性!$DX490)</f>
        <v>140</v>
      </c>
      <c r="FJ490" s="14">
        <f>INDEX(属性投放!$BQ$6:$BQ$85,(卡牌属性!$DW490-2)*20+卡牌属性!$DX490)</f>
        <v>140</v>
      </c>
      <c r="FK490" s="14">
        <f>INDEX(属性投放!$BQ$6:$BQ$85,(卡牌属性!$DW490-2)*20+卡牌属性!$DX490)</f>
        <v>140</v>
      </c>
      <c r="FL490" s="14">
        <f>INDEX(属性投放!$BQ$6:$BQ$85,(卡牌属性!$DW490-2)*20+卡牌属性!$DX490)</f>
        <v>140</v>
      </c>
      <c r="FM490" s="14">
        <f>INDEX(属性投放!$BR$6:$BR$85,(卡牌属性!$DW490-2)*20+卡牌属性!$DX490)</f>
        <v>70</v>
      </c>
      <c r="FN490" s="14">
        <f>INDEX(属性投放!$BR$6:$BR$85,(卡牌属性!$DW490-2)*20+卡牌属性!$DX490)</f>
        <v>70</v>
      </c>
      <c r="FO490" s="14">
        <f>INDEX(属性投放!$BR$6:$BR$85,(卡牌属性!$DW490-2)*20+卡牌属性!$DX490)</f>
        <v>70</v>
      </c>
      <c r="FP490" s="14">
        <f>INDEX(属性投放!$BR$6:$BR$85,(卡牌属性!$DW490-2)*20+卡牌属性!$DX490)</f>
        <v>70</v>
      </c>
      <c r="FQ490" s="14">
        <f>INDEX(属性投放!$BR$6:$BR$85,(卡牌属性!$DW490-2)*20+卡牌属性!$DX490)</f>
        <v>70</v>
      </c>
      <c r="FR490" s="14">
        <f>INDEX(属性投放!$BS$6:$BS$85,(卡牌属性!$DW490-2)*20+卡牌属性!$DX490)</f>
        <v>980</v>
      </c>
      <c r="FS490" s="14">
        <f>INDEX(属性投放!$BS$6:$BS$85,(卡牌属性!$DW490-2)*20+卡牌属性!$DX490)</f>
        <v>980</v>
      </c>
      <c r="FT490" s="14">
        <f>INDEX(属性投放!$BS$6:$BS$85,(卡牌属性!$DW490-2)*20+卡牌属性!$DX490)</f>
        <v>980</v>
      </c>
      <c r="FU490" s="14">
        <f>INDEX(属性投放!$BS$6:$BS$85,(卡牌属性!$DW490-2)*20+卡牌属性!$DX490)</f>
        <v>980</v>
      </c>
      <c r="FV490" s="14">
        <f>INDEX(属性投放!$BS$6:$BS$85,(卡牌属性!$DW490-2)*20+卡牌属性!$DX490)</f>
        <v>980</v>
      </c>
    </row>
    <row r="491" spans="31:178" ht="16.5" x14ac:dyDescent="0.2">
      <c r="AE491" s="13">
        <v>487</v>
      </c>
      <c r="AF491" s="13">
        <f t="shared" si="854"/>
        <v>25</v>
      </c>
      <c r="AG491" s="13">
        <f t="shared" si="855"/>
        <v>3</v>
      </c>
      <c r="AH491" s="13"/>
      <c r="AI491" s="13"/>
      <c r="AJ491" s="14">
        <f t="shared" si="856"/>
        <v>1101998</v>
      </c>
      <c r="AK491" s="14" t="str">
        <f t="shared" si="857"/>
        <v>SR寄灵人7突</v>
      </c>
      <c r="AL491" s="25" t="s">
        <v>142</v>
      </c>
      <c r="AM491" s="14">
        <v>1</v>
      </c>
      <c r="AN491" s="14">
        <f t="shared" si="858"/>
        <v>7</v>
      </c>
      <c r="AO491" s="14">
        <f>INDEX(属性投放!$DF$6:$DF$85,(卡牌属性!AG491-2)*20+卡牌属性!AN491)</f>
        <v>1489</v>
      </c>
      <c r="AP491" s="14">
        <f t="shared" si="859"/>
        <v>1489</v>
      </c>
      <c r="AQ491" s="14">
        <f t="shared" si="859"/>
        <v>1489</v>
      </c>
      <c r="AR491" s="14">
        <f t="shared" si="859"/>
        <v>1489</v>
      </c>
      <c r="AS491" s="14">
        <f t="shared" si="859"/>
        <v>1489</v>
      </c>
      <c r="AT491" s="14">
        <f>INDEX(属性投放!$DG$6:$DG$85,(卡牌属性!AG491-2)*20+卡牌属性!AN491)</f>
        <v>666</v>
      </c>
      <c r="AU491" s="14">
        <f t="shared" si="860"/>
        <v>666</v>
      </c>
      <c r="AV491" s="14">
        <f t="shared" si="860"/>
        <v>666</v>
      </c>
      <c r="AW491" s="14">
        <f t="shared" si="860"/>
        <v>666</v>
      </c>
      <c r="AX491" s="14">
        <f t="shared" si="860"/>
        <v>666</v>
      </c>
      <c r="AY491" s="14">
        <f>INDEX(属性投放!$DH$6:$DH$85,(卡牌属性!AG491-2)*20+卡牌属性!AN491)</f>
        <v>9361</v>
      </c>
      <c r="AZ491" s="14">
        <f t="shared" si="861"/>
        <v>9361</v>
      </c>
      <c r="BA491" s="14">
        <f t="shared" si="861"/>
        <v>9361</v>
      </c>
      <c r="BB491" s="14">
        <f t="shared" si="861"/>
        <v>9361</v>
      </c>
      <c r="BC491" s="14">
        <f t="shared" si="861"/>
        <v>9361</v>
      </c>
      <c r="BD491" s="14">
        <f>INDEX(属性投放!$DL$6:$DL$85,(卡牌属性!AG491-2)*20+卡牌属性!AN491)</f>
        <v>46</v>
      </c>
      <c r="BE491" s="14">
        <f t="shared" si="862"/>
        <v>46</v>
      </c>
      <c r="BF491" s="14">
        <f t="shared" si="862"/>
        <v>46</v>
      </c>
      <c r="BG491" s="14">
        <f t="shared" si="862"/>
        <v>46</v>
      </c>
      <c r="BH491" s="14">
        <f t="shared" si="862"/>
        <v>46</v>
      </c>
      <c r="BI491" s="14">
        <f>INDEX(属性投放!$DM$6:$DM$85,(卡牌属性!AG491-2)*20+卡牌属性!AN491)</f>
        <v>24</v>
      </c>
      <c r="BJ491" s="14">
        <f t="shared" si="863"/>
        <v>24</v>
      </c>
      <c r="BK491" s="14">
        <f t="shared" si="863"/>
        <v>24</v>
      </c>
      <c r="BL491" s="14">
        <f t="shared" si="863"/>
        <v>24</v>
      </c>
      <c r="BM491" s="14">
        <f t="shared" si="863"/>
        <v>24</v>
      </c>
      <c r="BN491" s="14">
        <f>INDEX(属性投放!$DN$6:$DN$85,(卡牌属性!AG491-2)*20+卡牌属性!AN491)</f>
        <v>371</v>
      </c>
      <c r="BO491" s="14">
        <f t="shared" si="864"/>
        <v>371</v>
      </c>
      <c r="BP491" s="14">
        <f t="shared" si="864"/>
        <v>371</v>
      </c>
      <c r="BQ491" s="14">
        <f t="shared" si="864"/>
        <v>371</v>
      </c>
      <c r="BR491" s="14">
        <f t="shared" si="864"/>
        <v>371</v>
      </c>
      <c r="BW491" s="13">
        <v>487</v>
      </c>
      <c r="BX491" s="13">
        <f t="shared" si="835"/>
        <v>25</v>
      </c>
      <c r="BY491" s="14">
        <f t="shared" si="836"/>
        <v>3</v>
      </c>
      <c r="BZ491" s="14">
        <f t="shared" si="840"/>
        <v>1102026</v>
      </c>
      <c r="CA491" s="14" t="str">
        <f t="shared" si="841"/>
        <v>雷震子7突</v>
      </c>
      <c r="CB491" s="25" t="s">
        <v>142</v>
      </c>
      <c r="CC491" s="14">
        <v>2</v>
      </c>
      <c r="CD491" s="14">
        <f t="shared" si="837"/>
        <v>7</v>
      </c>
      <c r="CE491" s="14" t="s">
        <v>21</v>
      </c>
      <c r="CF491" s="14">
        <f>INDEX(属性投放!$AZ$6:$AZ$85,(BY491-2)*20+CD491)</f>
        <v>1501</v>
      </c>
      <c r="CG491" s="14" t="s">
        <v>22</v>
      </c>
      <c r="CH491" s="14">
        <f>INDEX(属性投放!$BA$6:$BA$85,(BY491-2)*20+CD491)</f>
        <v>688</v>
      </c>
      <c r="CI491" s="14" t="s">
        <v>510</v>
      </c>
      <c r="CJ491" s="14">
        <f>INDEX(属性投放!$BB$6:$BB$85,(BY491-2)*20+CD491)</f>
        <v>9455</v>
      </c>
      <c r="CK491" s="14" t="s">
        <v>21</v>
      </c>
      <c r="CL491" s="14">
        <f>INDEX(属性投放!$BC$6:$BC$85,(BY491-2)*20+CD491)</f>
        <v>15</v>
      </c>
      <c r="CM491" s="14" t="s">
        <v>22</v>
      </c>
      <c r="CN491" s="14">
        <f>INDEX(属性投放!$BD$6:$BD$85,(BY491-2)*20+CD491)</f>
        <v>8</v>
      </c>
      <c r="CO491" s="14" t="s">
        <v>510</v>
      </c>
      <c r="CP491" s="14">
        <f>INDEX(属性投放!$BE$6:$BE$85,(BY491-2)*20+CD491)</f>
        <v>120</v>
      </c>
      <c r="CS491" s="13">
        <v>487</v>
      </c>
      <c r="CT491" s="13">
        <f t="shared" si="842"/>
        <v>10</v>
      </c>
      <c r="CU491" s="13">
        <f t="shared" si="843"/>
        <v>19</v>
      </c>
      <c r="CV491" s="14">
        <f t="shared" si="844"/>
        <v>4</v>
      </c>
      <c r="CW491" s="14">
        <f t="shared" si="845"/>
        <v>1102010</v>
      </c>
      <c r="CX491" s="14" t="str">
        <f>INDEX($O$6:$O$50,CT491)&amp;"-"&amp;INDEX(属性投放!$AB$7:$AB$50,CZ491)&amp;"-魂火-"&amp;DB491</f>
        <v>张郃-大叫唤-魂火-1</v>
      </c>
      <c r="CY491" s="25" t="s">
        <v>142</v>
      </c>
      <c r="CZ491" s="14">
        <f>INDEX(属性投放!$AM$7:$AM$58,CU491)</f>
        <v>10</v>
      </c>
      <c r="DA491" s="14" t="s">
        <v>537</v>
      </c>
      <c r="DB491" s="14">
        <f>INDEX(属性投放!$AN$7:$AN$58,CU491)</f>
        <v>1</v>
      </c>
      <c r="DC491" s="14">
        <f t="shared" si="838"/>
        <v>19</v>
      </c>
      <c r="DD491" s="14">
        <f>INDEX(属性投放!$AO$7:$AO$58,DC491)</f>
        <v>65</v>
      </c>
      <c r="DE491" s="14" t="s">
        <v>538</v>
      </c>
      <c r="DF491" s="14">
        <f>INDEX(属性投放!$BK$6:$BK$85,(CV491-2)*20+CZ491)</f>
        <v>130</v>
      </c>
      <c r="DG491" s="14">
        <f>SUMIFS(DF$5:DF491,$CT$5:$CT491,"="&amp;$CT491)</f>
        <v>1310</v>
      </c>
      <c r="DH491" s="14" t="s">
        <v>539</v>
      </c>
      <c r="DI491" s="14">
        <f>INDEX(属性投放!$BL$6:$BL$85,(CV491-2)*20+CZ491)</f>
        <v>65</v>
      </c>
      <c r="DJ491" s="14">
        <f>SUMIFS(DI$5:DI491,$CT$5:$CT491,"="&amp;$CT491)</f>
        <v>660</v>
      </c>
      <c r="DK491" s="14" t="s">
        <v>540</v>
      </c>
      <c r="DL491" s="14">
        <f>INDEX(属性投放!$BM$6:$BM$85,(CV491-2)*20+CZ491)</f>
        <v>1170</v>
      </c>
      <c r="DM491" s="14">
        <f>SUMIFS(DL$5:DL491,$CT$5:$CT491,"="&amp;$CT491)</f>
        <v>9980</v>
      </c>
      <c r="DR491" s="14">
        <f t="shared" si="849"/>
        <v>1102026</v>
      </c>
      <c r="DS491" s="14" t="str">
        <f t="shared" si="850"/>
        <v>雷震子7突</v>
      </c>
      <c r="DT491" s="14">
        <f t="shared" si="846"/>
        <v>7</v>
      </c>
      <c r="DU491" s="14">
        <f t="shared" si="847"/>
        <v>4</v>
      </c>
      <c r="DV491" s="14">
        <f t="shared" si="848"/>
        <v>4</v>
      </c>
      <c r="DW491" s="14">
        <f t="shared" si="851"/>
        <v>3</v>
      </c>
      <c r="DX491" s="14">
        <f t="shared" si="852"/>
        <v>7</v>
      </c>
      <c r="DY491" s="14">
        <f t="shared" si="853"/>
        <v>27</v>
      </c>
      <c r="DZ491" s="14">
        <f>INDEX(属性投放!$AX$6:$AX$85,(卡牌属性!DW491-2)*20+卡牌属性!DX491)</f>
        <v>5</v>
      </c>
      <c r="EA491" s="14">
        <f>INDEX(属性投放!BQ$6:BQ$85,卡牌属性!$DY491)</f>
        <v>135</v>
      </c>
      <c r="EB491" s="14">
        <f>INDEX(属性投放!BR$6:BR$85,卡牌属性!$DY491)</f>
        <v>68</v>
      </c>
      <c r="EC491" s="14">
        <f>INDEX(属性投放!BS$6:BS$85,卡牌属性!$DY491)</f>
        <v>1080</v>
      </c>
      <c r="ED491" s="14">
        <f t="shared" si="880"/>
        <v>1443</v>
      </c>
      <c r="EE491" s="14">
        <f t="shared" si="881"/>
        <v>1581</v>
      </c>
      <c r="EF491" s="14">
        <f t="shared" si="882"/>
        <v>1765</v>
      </c>
      <c r="EG491" s="14">
        <f t="shared" si="883"/>
        <v>1765</v>
      </c>
      <c r="EH491" s="14">
        <f t="shared" si="884"/>
        <v>2045</v>
      </c>
      <c r="EI491" s="14">
        <f t="shared" si="885"/>
        <v>450</v>
      </c>
      <c r="EJ491" s="14">
        <f t="shared" si="886"/>
        <v>506</v>
      </c>
      <c r="EK491" s="14">
        <f t="shared" si="887"/>
        <v>506</v>
      </c>
      <c r="EL491" s="14">
        <f t="shared" si="888"/>
        <v>562</v>
      </c>
      <c r="EM491" s="14">
        <f t="shared" si="889"/>
        <v>682</v>
      </c>
      <c r="EN491" s="14">
        <f t="shared" si="890"/>
        <v>6089</v>
      </c>
      <c r="EO491" s="14">
        <f t="shared" si="891"/>
        <v>6785</v>
      </c>
      <c r="EP491" s="14">
        <f t="shared" si="892"/>
        <v>6785</v>
      </c>
      <c r="EQ491" s="14">
        <f t="shared" si="893"/>
        <v>7377</v>
      </c>
      <c r="ER491" s="14">
        <f t="shared" si="894"/>
        <v>9013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96</v>
      </c>
      <c r="FD491" s="14">
        <f>INDEX(属性偏向!$U$4:$U$243,(卡牌属性!$DV491-1+FD$3)*20+卡牌属性!$DX491)</f>
        <v>120</v>
      </c>
      <c r="FE491" s="14">
        <f>INDEX(属性偏向!$U$4:$U$243,(卡牌属性!$DV491-1+FE$3)*20+卡牌属性!$DX491)</f>
        <v>120</v>
      </c>
      <c r="FF491" s="14">
        <f>INDEX(属性偏向!$U$4:$U$243,(卡牌属性!$DV491-1+FF$3)*20+卡牌属性!$DX491)</f>
        <v>128</v>
      </c>
      <c r="FG491" s="14">
        <f>INDEX(属性偏向!$U$4:$U$243,(卡牌属性!$DV491-1+FG$3)*20+卡牌属性!$DX491)</f>
        <v>200</v>
      </c>
      <c r="FH491" s="14">
        <f>INDEX(属性投放!$BQ$6:$BQ$85,(卡牌属性!$DW491-2)*20+卡牌属性!$DX491)</f>
        <v>135</v>
      </c>
      <c r="FI491" s="14">
        <f>INDEX(属性投放!$BQ$6:$BQ$85,(卡牌属性!$DW491-2)*20+卡牌属性!$DX491)</f>
        <v>135</v>
      </c>
      <c r="FJ491" s="14">
        <f>INDEX(属性投放!$BQ$6:$BQ$85,(卡牌属性!$DW491-2)*20+卡牌属性!$DX491)</f>
        <v>135</v>
      </c>
      <c r="FK491" s="14">
        <f>INDEX(属性投放!$BQ$6:$BQ$85,(卡牌属性!$DW491-2)*20+卡牌属性!$DX491)</f>
        <v>135</v>
      </c>
      <c r="FL491" s="14">
        <f>INDEX(属性投放!$BQ$6:$BQ$85,(卡牌属性!$DW491-2)*20+卡牌属性!$DX491)</f>
        <v>135</v>
      </c>
      <c r="FM491" s="14">
        <f>INDEX(属性投放!$BR$6:$BR$85,(卡牌属性!$DW491-2)*20+卡牌属性!$DX491)</f>
        <v>68</v>
      </c>
      <c r="FN491" s="14">
        <f>INDEX(属性投放!$BR$6:$BR$85,(卡牌属性!$DW491-2)*20+卡牌属性!$DX491)</f>
        <v>68</v>
      </c>
      <c r="FO491" s="14">
        <f>INDEX(属性投放!$BR$6:$BR$85,(卡牌属性!$DW491-2)*20+卡牌属性!$DX491)</f>
        <v>68</v>
      </c>
      <c r="FP491" s="14">
        <f>INDEX(属性投放!$BR$6:$BR$85,(卡牌属性!$DW491-2)*20+卡牌属性!$DX491)</f>
        <v>68</v>
      </c>
      <c r="FQ491" s="14">
        <f>INDEX(属性投放!$BR$6:$BR$85,(卡牌属性!$DW491-2)*20+卡牌属性!$DX491)</f>
        <v>68</v>
      </c>
      <c r="FR491" s="14">
        <f>INDEX(属性投放!$BS$6:$BS$85,(卡牌属性!$DW491-2)*20+卡牌属性!$DX491)</f>
        <v>1080</v>
      </c>
      <c r="FS491" s="14">
        <f>INDEX(属性投放!$BS$6:$BS$85,(卡牌属性!$DW491-2)*20+卡牌属性!$DX491)</f>
        <v>1080</v>
      </c>
      <c r="FT491" s="14">
        <f>INDEX(属性投放!$BS$6:$BS$85,(卡牌属性!$DW491-2)*20+卡牌属性!$DX491)</f>
        <v>1080</v>
      </c>
      <c r="FU491" s="14">
        <f>INDEX(属性投放!$BS$6:$BS$85,(卡牌属性!$DW491-2)*20+卡牌属性!$DX491)</f>
        <v>1080</v>
      </c>
      <c r="FV491" s="14">
        <f>INDEX(属性投放!$BS$6:$BS$85,(卡牌属性!$DW491-2)*20+卡牌属性!$DX491)</f>
        <v>1080</v>
      </c>
    </row>
    <row r="492" spans="31:178" ht="16.5" x14ac:dyDescent="0.2">
      <c r="AE492" s="13">
        <v>488</v>
      </c>
      <c r="AF492" s="13">
        <f t="shared" si="854"/>
        <v>25</v>
      </c>
      <c r="AG492" s="13">
        <f t="shared" si="855"/>
        <v>3</v>
      </c>
      <c r="AH492" s="13"/>
      <c r="AI492" s="13"/>
      <c r="AJ492" s="14">
        <f t="shared" si="856"/>
        <v>1101998</v>
      </c>
      <c r="AK492" s="14" t="str">
        <f t="shared" si="857"/>
        <v>SR寄灵人8突</v>
      </c>
      <c r="AL492" s="25" t="s">
        <v>142</v>
      </c>
      <c r="AM492" s="14">
        <v>1</v>
      </c>
      <c r="AN492" s="14">
        <f t="shared" si="858"/>
        <v>8</v>
      </c>
      <c r="AO492" s="14">
        <f>INDEX(属性投放!$DF$6:$DF$85,(卡牌属性!AG492-2)*20+卡牌属性!AN492)</f>
        <v>1622</v>
      </c>
      <c r="AP492" s="14">
        <f t="shared" si="859"/>
        <v>1622</v>
      </c>
      <c r="AQ492" s="14">
        <f t="shared" si="859"/>
        <v>1622</v>
      </c>
      <c r="AR492" s="14">
        <f t="shared" si="859"/>
        <v>1622</v>
      </c>
      <c r="AS492" s="14">
        <f t="shared" si="859"/>
        <v>1622</v>
      </c>
      <c r="AT492" s="14">
        <f>INDEX(属性投放!$DG$6:$DG$85,(卡牌属性!AG492-2)*20+卡牌属性!AN492)</f>
        <v>733</v>
      </c>
      <c r="AU492" s="14">
        <f t="shared" si="860"/>
        <v>733</v>
      </c>
      <c r="AV492" s="14">
        <f t="shared" si="860"/>
        <v>733</v>
      </c>
      <c r="AW492" s="14">
        <f t="shared" si="860"/>
        <v>733</v>
      </c>
      <c r="AX492" s="14">
        <f t="shared" si="860"/>
        <v>733</v>
      </c>
      <c r="AY492" s="14">
        <f>INDEX(属性投放!$DH$6:$DH$85,(卡牌属性!AG492-2)*20+卡牌属性!AN492)</f>
        <v>10421</v>
      </c>
      <c r="AZ492" s="14">
        <f t="shared" si="861"/>
        <v>10421</v>
      </c>
      <c r="BA492" s="14">
        <f t="shared" si="861"/>
        <v>10421</v>
      </c>
      <c r="BB492" s="14">
        <f t="shared" si="861"/>
        <v>10421</v>
      </c>
      <c r="BC492" s="14">
        <f t="shared" si="861"/>
        <v>10421</v>
      </c>
      <c r="BD492" s="14">
        <f>INDEX(属性投放!$DL$6:$DL$85,(卡牌属性!AG492-2)*20+卡牌属性!AN492)</f>
        <v>46</v>
      </c>
      <c r="BE492" s="14">
        <f t="shared" si="862"/>
        <v>46</v>
      </c>
      <c r="BF492" s="14">
        <f t="shared" si="862"/>
        <v>46</v>
      </c>
      <c r="BG492" s="14">
        <f t="shared" si="862"/>
        <v>46</v>
      </c>
      <c r="BH492" s="14">
        <f t="shared" si="862"/>
        <v>46</v>
      </c>
      <c r="BI492" s="14">
        <f>INDEX(属性投放!$DM$6:$DM$85,(卡牌属性!AG492-2)*20+卡牌属性!AN492)</f>
        <v>24</v>
      </c>
      <c r="BJ492" s="14">
        <f t="shared" si="863"/>
        <v>24</v>
      </c>
      <c r="BK492" s="14">
        <f t="shared" si="863"/>
        <v>24</v>
      </c>
      <c r="BL492" s="14">
        <f t="shared" si="863"/>
        <v>24</v>
      </c>
      <c r="BM492" s="14">
        <f t="shared" si="863"/>
        <v>24</v>
      </c>
      <c r="BN492" s="14">
        <f>INDEX(属性投放!$DN$6:$DN$85,(卡牌属性!AG492-2)*20+卡牌属性!AN492)</f>
        <v>371</v>
      </c>
      <c r="BO492" s="14">
        <f t="shared" si="864"/>
        <v>371</v>
      </c>
      <c r="BP492" s="14">
        <f t="shared" si="864"/>
        <v>371</v>
      </c>
      <c r="BQ492" s="14">
        <f t="shared" si="864"/>
        <v>371</v>
      </c>
      <c r="BR492" s="14">
        <f t="shared" si="864"/>
        <v>371</v>
      </c>
      <c r="BW492" s="13">
        <v>488</v>
      </c>
      <c r="BX492" s="13">
        <f t="shared" si="835"/>
        <v>25</v>
      </c>
      <c r="BY492" s="14">
        <f t="shared" si="836"/>
        <v>3</v>
      </c>
      <c r="BZ492" s="14">
        <f t="shared" si="840"/>
        <v>1102026</v>
      </c>
      <c r="CA492" s="14" t="str">
        <f t="shared" si="841"/>
        <v>雷震子8突</v>
      </c>
      <c r="CB492" s="25" t="s">
        <v>142</v>
      </c>
      <c r="CC492" s="14">
        <v>2</v>
      </c>
      <c r="CD492" s="14">
        <f t="shared" si="837"/>
        <v>8</v>
      </c>
      <c r="CE492" s="14" t="s">
        <v>21</v>
      </c>
      <c r="CF492" s="14">
        <f>INDEX(属性投放!$AZ$6:$AZ$85,(BY492-2)*20+CD492)</f>
        <v>1851</v>
      </c>
      <c r="CG492" s="14" t="s">
        <v>22</v>
      </c>
      <c r="CH492" s="14">
        <f>INDEX(属性投放!$BA$6:$BA$85,(BY492-2)*20+CD492)</f>
        <v>866</v>
      </c>
      <c r="CI492" s="14" t="s">
        <v>510</v>
      </c>
      <c r="CJ492" s="14">
        <f>INDEX(属性投放!$BB$6:$BB$85,(BY492-2)*20+CD492)</f>
        <v>12255</v>
      </c>
      <c r="CK492" s="14" t="s">
        <v>21</v>
      </c>
      <c r="CL492" s="14">
        <f>INDEX(属性投放!$BC$6:$BC$85,(BY492-2)*20+CD492)</f>
        <v>15</v>
      </c>
      <c r="CM492" s="14" t="s">
        <v>22</v>
      </c>
      <c r="CN492" s="14">
        <f>INDEX(属性投放!$BD$6:$BD$85,(BY492-2)*20+CD492)</f>
        <v>8</v>
      </c>
      <c r="CO492" s="14" t="s">
        <v>510</v>
      </c>
      <c r="CP492" s="14">
        <f>INDEX(属性投放!$BE$6:$BE$85,(BY492-2)*20+CD492)</f>
        <v>120</v>
      </c>
      <c r="CS492" s="13">
        <v>488</v>
      </c>
      <c r="CT492" s="13">
        <f t="shared" si="842"/>
        <v>10</v>
      </c>
      <c r="CU492" s="13">
        <f t="shared" si="843"/>
        <v>20</v>
      </c>
      <c r="CV492" s="14">
        <f t="shared" si="844"/>
        <v>4</v>
      </c>
      <c r="CW492" s="14">
        <f t="shared" si="845"/>
        <v>1102010</v>
      </c>
      <c r="CX492" s="14" t="str">
        <f>INDEX($O$6:$O$50,CT492)&amp;"-"&amp;INDEX(属性投放!$AB$7:$AB$50,CZ492)&amp;"-魂火-"&amp;DB492</f>
        <v>张郃-大叫唤-魂火-2</v>
      </c>
      <c r="CY492" s="25" t="s">
        <v>142</v>
      </c>
      <c r="CZ492" s="14">
        <f>INDEX(属性投放!$AM$7:$AM$58,CU492)</f>
        <v>10</v>
      </c>
      <c r="DA492" s="14" t="s">
        <v>537</v>
      </c>
      <c r="DB492" s="14">
        <f>INDEX(属性投放!$AN$7:$AN$58,CU492)</f>
        <v>2</v>
      </c>
      <c r="DC492" s="14">
        <f t="shared" si="838"/>
        <v>20</v>
      </c>
      <c r="DD492" s="14">
        <f>INDEX(属性投放!$AO$7:$AO$58,DC492)</f>
        <v>68</v>
      </c>
      <c r="DE492" s="14" t="s">
        <v>538</v>
      </c>
      <c r="DF492" s="14">
        <f>INDEX(属性投放!$BK$6:$BK$85,(CV492-2)*20+CZ492)</f>
        <v>130</v>
      </c>
      <c r="DG492" s="14">
        <f>SUMIFS(DF$5:DF492,$CT$5:$CT492,"="&amp;$CT492)</f>
        <v>1440</v>
      </c>
      <c r="DH492" s="14" t="s">
        <v>539</v>
      </c>
      <c r="DI492" s="14">
        <f>INDEX(属性投放!$BL$6:$BL$85,(CV492-2)*20+CZ492)</f>
        <v>65</v>
      </c>
      <c r="DJ492" s="14">
        <f>SUMIFS(DI$5:DI492,$CT$5:$CT492,"="&amp;$CT492)</f>
        <v>725</v>
      </c>
      <c r="DK492" s="14" t="s">
        <v>540</v>
      </c>
      <c r="DL492" s="14">
        <f>INDEX(属性投放!$BM$6:$BM$85,(CV492-2)*20+CZ492)</f>
        <v>1170</v>
      </c>
      <c r="DM492" s="14">
        <f>SUMIFS(DL$5:DL492,$CT$5:$CT492,"="&amp;$CT492)</f>
        <v>11150</v>
      </c>
      <c r="DR492" s="14">
        <f t="shared" si="849"/>
        <v>1102026</v>
      </c>
      <c r="DS492" s="14" t="str">
        <f t="shared" si="850"/>
        <v>雷震子8突</v>
      </c>
      <c r="DT492" s="14">
        <f t="shared" si="846"/>
        <v>7</v>
      </c>
      <c r="DU492" s="14">
        <f t="shared" si="847"/>
        <v>4</v>
      </c>
      <c r="DV492" s="14">
        <f t="shared" si="848"/>
        <v>4</v>
      </c>
      <c r="DW492" s="14">
        <f t="shared" si="851"/>
        <v>3</v>
      </c>
      <c r="DX492" s="14">
        <f t="shared" si="852"/>
        <v>8</v>
      </c>
      <c r="DY492" s="14">
        <f t="shared" si="853"/>
        <v>28</v>
      </c>
      <c r="DZ492" s="14">
        <f>INDEX(属性投放!$AX$6:$AX$85,(卡牌属性!DW492-2)*20+卡牌属性!DX492)</f>
        <v>5</v>
      </c>
      <c r="EA492" s="14">
        <f>INDEX(属性投放!BQ$6:BQ$85,卡牌属性!$DY492)</f>
        <v>125</v>
      </c>
      <c r="EB492" s="14">
        <f>INDEX(属性投放!BR$6:BR$85,卡牌属性!$DY492)</f>
        <v>63</v>
      </c>
      <c r="EC492" s="14">
        <f>INDEX(属性投放!BS$6:BS$85,卡牌属性!$DY492)</f>
        <v>1000</v>
      </c>
      <c r="ED492" s="14">
        <f t="shared" si="880"/>
        <v>1703</v>
      </c>
      <c r="EE492" s="14">
        <f t="shared" si="881"/>
        <v>1856</v>
      </c>
      <c r="EF492" s="14">
        <f t="shared" si="882"/>
        <v>2050</v>
      </c>
      <c r="EG492" s="14">
        <f t="shared" si="883"/>
        <v>2050</v>
      </c>
      <c r="EH492" s="14">
        <f t="shared" si="884"/>
        <v>2380</v>
      </c>
      <c r="EI492" s="14">
        <f t="shared" si="885"/>
        <v>548</v>
      </c>
      <c r="EJ492" s="14">
        <f t="shared" si="886"/>
        <v>614</v>
      </c>
      <c r="EK492" s="14">
        <f t="shared" si="887"/>
        <v>614</v>
      </c>
      <c r="EL492" s="14">
        <f t="shared" si="888"/>
        <v>670</v>
      </c>
      <c r="EM492" s="14">
        <f t="shared" si="889"/>
        <v>815</v>
      </c>
      <c r="EN492" s="14">
        <f t="shared" si="890"/>
        <v>7649</v>
      </c>
      <c r="EO492" s="14">
        <f t="shared" si="891"/>
        <v>8465</v>
      </c>
      <c r="EP492" s="14">
        <f t="shared" si="892"/>
        <v>8465</v>
      </c>
      <c r="EQ492" s="14">
        <f t="shared" si="893"/>
        <v>9097</v>
      </c>
      <c r="ER492" s="14">
        <f t="shared" si="894"/>
        <v>11093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96</v>
      </c>
      <c r="FD492" s="14">
        <f>INDEX(属性偏向!$U$4:$U$243,(卡牌属性!$DV492-1+FD$3)*20+卡牌属性!$DX492)</f>
        <v>120</v>
      </c>
      <c r="FE492" s="14">
        <f>INDEX(属性偏向!$U$4:$U$243,(卡牌属性!$DV492-1+FE$3)*20+卡牌属性!$DX492)</f>
        <v>120</v>
      </c>
      <c r="FF492" s="14">
        <f>INDEX(属性偏向!$U$4:$U$243,(卡牌属性!$DV492-1+FF$3)*20+卡牌属性!$DX492)</f>
        <v>128</v>
      </c>
      <c r="FG492" s="14">
        <f>INDEX(属性偏向!$U$4:$U$243,(卡牌属性!$DV492-1+FG$3)*20+卡牌属性!$DX492)</f>
        <v>200</v>
      </c>
      <c r="FH492" s="14">
        <f>INDEX(属性投放!$BQ$6:$BQ$85,(卡牌属性!$DW492-2)*20+卡牌属性!$DX492)</f>
        <v>125</v>
      </c>
      <c r="FI492" s="14">
        <f>INDEX(属性投放!$BQ$6:$BQ$85,(卡牌属性!$DW492-2)*20+卡牌属性!$DX492)</f>
        <v>125</v>
      </c>
      <c r="FJ492" s="14">
        <f>INDEX(属性投放!$BQ$6:$BQ$85,(卡牌属性!$DW492-2)*20+卡牌属性!$DX492)</f>
        <v>125</v>
      </c>
      <c r="FK492" s="14">
        <f>INDEX(属性投放!$BQ$6:$BQ$85,(卡牌属性!$DW492-2)*20+卡牌属性!$DX492)</f>
        <v>125</v>
      </c>
      <c r="FL492" s="14">
        <f>INDEX(属性投放!$BQ$6:$BQ$85,(卡牌属性!$DW492-2)*20+卡牌属性!$DX492)</f>
        <v>125</v>
      </c>
      <c r="FM492" s="14">
        <f>INDEX(属性投放!$BR$6:$BR$85,(卡牌属性!$DW492-2)*20+卡牌属性!$DX492)</f>
        <v>63</v>
      </c>
      <c r="FN492" s="14">
        <f>INDEX(属性投放!$BR$6:$BR$85,(卡牌属性!$DW492-2)*20+卡牌属性!$DX492)</f>
        <v>63</v>
      </c>
      <c r="FO492" s="14">
        <f>INDEX(属性投放!$BR$6:$BR$85,(卡牌属性!$DW492-2)*20+卡牌属性!$DX492)</f>
        <v>63</v>
      </c>
      <c r="FP492" s="14">
        <f>INDEX(属性投放!$BR$6:$BR$85,(卡牌属性!$DW492-2)*20+卡牌属性!$DX492)</f>
        <v>63</v>
      </c>
      <c r="FQ492" s="14">
        <f>INDEX(属性投放!$BR$6:$BR$85,(卡牌属性!$DW492-2)*20+卡牌属性!$DX492)</f>
        <v>63</v>
      </c>
      <c r="FR492" s="14">
        <f>INDEX(属性投放!$BS$6:$BS$85,(卡牌属性!$DW492-2)*20+卡牌属性!$DX492)</f>
        <v>1000</v>
      </c>
      <c r="FS492" s="14">
        <f>INDEX(属性投放!$BS$6:$BS$85,(卡牌属性!$DW492-2)*20+卡牌属性!$DX492)</f>
        <v>1000</v>
      </c>
      <c r="FT492" s="14">
        <f>INDEX(属性投放!$BS$6:$BS$85,(卡牌属性!$DW492-2)*20+卡牌属性!$DX492)</f>
        <v>1000</v>
      </c>
      <c r="FU492" s="14">
        <f>INDEX(属性投放!$BS$6:$BS$85,(卡牌属性!$DW492-2)*20+卡牌属性!$DX492)</f>
        <v>1000</v>
      </c>
      <c r="FV492" s="14">
        <f>INDEX(属性投放!$BS$6:$BS$85,(卡牌属性!$DW492-2)*20+卡牌属性!$DX492)</f>
        <v>1000</v>
      </c>
    </row>
    <row r="493" spans="31:178" ht="16.5" x14ac:dyDescent="0.2">
      <c r="AE493" s="13">
        <v>489</v>
      </c>
      <c r="AF493" s="13">
        <f t="shared" si="854"/>
        <v>25</v>
      </c>
      <c r="AG493" s="13">
        <f t="shared" si="855"/>
        <v>3</v>
      </c>
      <c r="AH493" s="13"/>
      <c r="AI493" s="13"/>
      <c r="AJ493" s="14">
        <f t="shared" si="856"/>
        <v>1101998</v>
      </c>
      <c r="AK493" s="14" t="str">
        <f t="shared" si="857"/>
        <v>SR寄灵人9突</v>
      </c>
      <c r="AL493" s="25" t="s">
        <v>142</v>
      </c>
      <c r="AM493" s="14">
        <v>1</v>
      </c>
      <c r="AN493" s="14">
        <f t="shared" si="858"/>
        <v>9</v>
      </c>
      <c r="AO493" s="14">
        <f>INDEX(属性投放!$DF$6:$DF$85,(卡牌属性!AG493-2)*20+卡牌属性!AN493)</f>
        <v>1755</v>
      </c>
      <c r="AP493" s="14">
        <f t="shared" si="859"/>
        <v>1755</v>
      </c>
      <c r="AQ493" s="14">
        <f t="shared" si="859"/>
        <v>1755</v>
      </c>
      <c r="AR493" s="14">
        <f t="shared" si="859"/>
        <v>1755</v>
      </c>
      <c r="AS493" s="14">
        <f t="shared" si="859"/>
        <v>1755</v>
      </c>
      <c r="AT493" s="14">
        <f>INDEX(属性投放!$DG$6:$DG$85,(卡牌属性!AG493-2)*20+卡牌属性!AN493)</f>
        <v>800</v>
      </c>
      <c r="AU493" s="14">
        <f t="shared" si="860"/>
        <v>800</v>
      </c>
      <c r="AV493" s="14">
        <f t="shared" si="860"/>
        <v>800</v>
      </c>
      <c r="AW493" s="14">
        <f t="shared" si="860"/>
        <v>800</v>
      </c>
      <c r="AX493" s="14">
        <f t="shared" si="860"/>
        <v>800</v>
      </c>
      <c r="AY493" s="14">
        <f>INDEX(属性投放!$DH$6:$DH$85,(卡牌属性!AG493-2)*20+卡牌属性!AN493)</f>
        <v>11481</v>
      </c>
      <c r="AZ493" s="14">
        <f t="shared" si="861"/>
        <v>11481</v>
      </c>
      <c r="BA493" s="14">
        <f t="shared" si="861"/>
        <v>11481</v>
      </c>
      <c r="BB493" s="14">
        <f t="shared" si="861"/>
        <v>11481</v>
      </c>
      <c r="BC493" s="14">
        <f t="shared" si="861"/>
        <v>11481</v>
      </c>
      <c r="BD493" s="14">
        <f>INDEX(属性投放!$DL$6:$DL$85,(卡牌属性!AG493-2)*20+卡牌属性!AN493)</f>
        <v>46</v>
      </c>
      <c r="BE493" s="14">
        <f t="shared" si="862"/>
        <v>46</v>
      </c>
      <c r="BF493" s="14">
        <f t="shared" si="862"/>
        <v>46</v>
      </c>
      <c r="BG493" s="14">
        <f t="shared" si="862"/>
        <v>46</v>
      </c>
      <c r="BH493" s="14">
        <f t="shared" si="862"/>
        <v>46</v>
      </c>
      <c r="BI493" s="14">
        <f>INDEX(属性投放!$DM$6:$DM$85,(卡牌属性!AG493-2)*20+卡牌属性!AN493)</f>
        <v>24</v>
      </c>
      <c r="BJ493" s="14">
        <f t="shared" si="863"/>
        <v>24</v>
      </c>
      <c r="BK493" s="14">
        <f t="shared" si="863"/>
        <v>24</v>
      </c>
      <c r="BL493" s="14">
        <f t="shared" si="863"/>
        <v>24</v>
      </c>
      <c r="BM493" s="14">
        <f t="shared" si="863"/>
        <v>24</v>
      </c>
      <c r="BN493" s="14">
        <f>INDEX(属性投放!$DN$6:$DN$85,(卡牌属性!AG493-2)*20+卡牌属性!AN493)</f>
        <v>371</v>
      </c>
      <c r="BO493" s="14">
        <f t="shared" si="864"/>
        <v>371</v>
      </c>
      <c r="BP493" s="14">
        <f t="shared" si="864"/>
        <v>371</v>
      </c>
      <c r="BQ493" s="14">
        <f t="shared" si="864"/>
        <v>371</v>
      </c>
      <c r="BR493" s="14">
        <f t="shared" si="864"/>
        <v>371</v>
      </c>
      <c r="BW493" s="13">
        <v>489</v>
      </c>
      <c r="BX493" s="13">
        <f t="shared" si="835"/>
        <v>25</v>
      </c>
      <c r="BY493" s="14">
        <f t="shared" si="836"/>
        <v>3</v>
      </c>
      <c r="BZ493" s="14">
        <f t="shared" si="840"/>
        <v>1102026</v>
      </c>
      <c r="CA493" s="14" t="str">
        <f t="shared" si="841"/>
        <v>雷震子9突</v>
      </c>
      <c r="CB493" s="25" t="s">
        <v>142</v>
      </c>
      <c r="CC493" s="14">
        <v>2</v>
      </c>
      <c r="CD493" s="14">
        <f t="shared" si="837"/>
        <v>9</v>
      </c>
      <c r="CE493" s="14" t="s">
        <v>21</v>
      </c>
      <c r="CF493" s="14">
        <f>INDEX(属性投放!$AZ$6:$AZ$85,(BY493-2)*20+CD493)</f>
        <v>2221</v>
      </c>
      <c r="CG493" s="14" t="s">
        <v>22</v>
      </c>
      <c r="CH493" s="14">
        <f>INDEX(属性投放!$BA$6:$BA$85,(BY493-2)*20+CD493)</f>
        <v>1055</v>
      </c>
      <c r="CI493" s="14" t="s">
        <v>510</v>
      </c>
      <c r="CJ493" s="14">
        <f>INDEX(属性投放!$BB$6:$BB$85,(BY493-2)*20+CD493)</f>
        <v>15215</v>
      </c>
      <c r="CK493" s="14" t="s">
        <v>21</v>
      </c>
      <c r="CL493" s="14">
        <f>INDEX(属性投放!$BC$6:$BC$85,(BY493-2)*20+CD493)</f>
        <v>15</v>
      </c>
      <c r="CM493" s="14" t="s">
        <v>22</v>
      </c>
      <c r="CN493" s="14">
        <f>INDEX(属性投放!$BD$6:$BD$85,(BY493-2)*20+CD493)</f>
        <v>8</v>
      </c>
      <c r="CO493" s="14" t="s">
        <v>510</v>
      </c>
      <c r="CP493" s="14">
        <f>INDEX(属性投放!$BE$6:$BE$85,(BY493-2)*20+CD493)</f>
        <v>120</v>
      </c>
      <c r="CS493" s="13">
        <v>489</v>
      </c>
      <c r="CT493" s="13">
        <f t="shared" si="842"/>
        <v>10</v>
      </c>
      <c r="CU493" s="13">
        <f t="shared" si="843"/>
        <v>21</v>
      </c>
      <c r="CV493" s="14">
        <f t="shared" si="844"/>
        <v>4</v>
      </c>
      <c r="CW493" s="14">
        <f t="shared" si="845"/>
        <v>1102010</v>
      </c>
      <c r="CX493" s="14" t="str">
        <f>INDEX($O$6:$O$50,CT493)&amp;"-"&amp;INDEX(属性投放!$AB$7:$AB$50,CZ493)&amp;"-魂火-"&amp;DB493</f>
        <v>张郃-大叫唤-魂火-3</v>
      </c>
      <c r="CY493" s="25" t="s">
        <v>142</v>
      </c>
      <c r="CZ493" s="14">
        <f>INDEX(属性投放!$AM$7:$AM$58,CU493)</f>
        <v>10</v>
      </c>
      <c r="DA493" s="14" t="s">
        <v>537</v>
      </c>
      <c r="DB493" s="14">
        <f>INDEX(属性投放!$AN$7:$AN$58,CU493)</f>
        <v>3</v>
      </c>
      <c r="DC493" s="14">
        <f t="shared" si="838"/>
        <v>21</v>
      </c>
      <c r="DD493" s="14">
        <f>INDEX(属性投放!$AO$7:$AO$58,DC493)</f>
        <v>70</v>
      </c>
      <c r="DE493" s="14" t="s">
        <v>538</v>
      </c>
      <c r="DF493" s="14">
        <f>INDEX(属性投放!$BK$6:$BK$85,(CV493-2)*20+CZ493)</f>
        <v>130</v>
      </c>
      <c r="DG493" s="14">
        <f>SUMIFS(DF$5:DF493,$CT$5:$CT493,"="&amp;$CT493)</f>
        <v>1570</v>
      </c>
      <c r="DH493" s="14" t="s">
        <v>539</v>
      </c>
      <c r="DI493" s="14">
        <f>INDEX(属性投放!$BL$6:$BL$85,(CV493-2)*20+CZ493)</f>
        <v>65</v>
      </c>
      <c r="DJ493" s="14">
        <f>SUMIFS(DI$5:DI493,$CT$5:$CT493,"="&amp;$CT493)</f>
        <v>790</v>
      </c>
      <c r="DK493" s="14" t="s">
        <v>540</v>
      </c>
      <c r="DL493" s="14">
        <f>INDEX(属性投放!$BM$6:$BM$85,(CV493-2)*20+CZ493)</f>
        <v>1170</v>
      </c>
      <c r="DM493" s="14">
        <f>SUMIFS(DL$5:DL493,$CT$5:$CT493,"="&amp;$CT493)</f>
        <v>12320</v>
      </c>
      <c r="DR493" s="14">
        <f t="shared" si="849"/>
        <v>1102026</v>
      </c>
      <c r="DS493" s="14" t="str">
        <f t="shared" si="850"/>
        <v>雷震子9突</v>
      </c>
      <c r="DT493" s="14">
        <f t="shared" si="846"/>
        <v>7</v>
      </c>
      <c r="DU493" s="14">
        <f t="shared" si="847"/>
        <v>4</v>
      </c>
      <c r="DV493" s="14">
        <f t="shared" si="848"/>
        <v>4</v>
      </c>
      <c r="DW493" s="14">
        <f t="shared" si="851"/>
        <v>3</v>
      </c>
      <c r="DX493" s="14">
        <f t="shared" si="852"/>
        <v>9</v>
      </c>
      <c r="DY493" s="14">
        <f t="shared" si="853"/>
        <v>29</v>
      </c>
      <c r="DZ493" s="14">
        <f>INDEX(属性投放!$AX$6:$AX$85,(卡牌属性!DW493-2)*20+卡牌属性!DX493)</f>
        <v>8</v>
      </c>
      <c r="EA493" s="14">
        <f>INDEX(属性投放!BQ$6:BQ$85,卡牌属性!$DY493)</f>
        <v>185</v>
      </c>
      <c r="EB493" s="14">
        <f>INDEX(属性投放!BR$6:BR$85,卡牌属性!$DY493)</f>
        <v>93</v>
      </c>
      <c r="EC493" s="14">
        <f>INDEX(属性投放!BS$6:BS$85,卡牌属性!$DY493)</f>
        <v>1480</v>
      </c>
      <c r="ED493" s="14">
        <f t="shared" si="880"/>
        <v>1953</v>
      </c>
      <c r="EE493" s="14">
        <f t="shared" si="881"/>
        <v>2121</v>
      </c>
      <c r="EF493" s="14">
        <f t="shared" si="882"/>
        <v>2325</v>
      </c>
      <c r="EG493" s="14">
        <f t="shared" si="883"/>
        <v>2325</v>
      </c>
      <c r="EH493" s="14">
        <f t="shared" si="884"/>
        <v>2705</v>
      </c>
      <c r="EI493" s="14">
        <f t="shared" si="885"/>
        <v>641</v>
      </c>
      <c r="EJ493" s="14">
        <f t="shared" si="886"/>
        <v>717</v>
      </c>
      <c r="EK493" s="14">
        <f t="shared" si="887"/>
        <v>717</v>
      </c>
      <c r="EL493" s="14">
        <f t="shared" si="888"/>
        <v>773</v>
      </c>
      <c r="EM493" s="14">
        <f t="shared" si="889"/>
        <v>943</v>
      </c>
      <c r="EN493" s="14">
        <f t="shared" si="890"/>
        <v>9129</v>
      </c>
      <c r="EO493" s="14">
        <f t="shared" si="891"/>
        <v>10065</v>
      </c>
      <c r="EP493" s="14">
        <f t="shared" si="892"/>
        <v>10065</v>
      </c>
      <c r="EQ493" s="14">
        <f t="shared" si="893"/>
        <v>10737</v>
      </c>
      <c r="ER493" s="14">
        <f t="shared" si="894"/>
        <v>13093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96</v>
      </c>
      <c r="FD493" s="14">
        <f>INDEX(属性偏向!$U$4:$U$243,(卡牌属性!$DV493-1+FD$3)*20+卡牌属性!$DX493)</f>
        <v>120</v>
      </c>
      <c r="FE493" s="14">
        <f>INDEX(属性偏向!$U$4:$U$243,(卡牌属性!$DV493-1+FE$3)*20+卡牌属性!$DX493)</f>
        <v>120</v>
      </c>
      <c r="FF493" s="14">
        <f>INDEX(属性偏向!$U$4:$U$243,(卡牌属性!$DV493-1+FF$3)*20+卡牌属性!$DX493)</f>
        <v>128</v>
      </c>
      <c r="FG493" s="14">
        <f>INDEX(属性偏向!$U$4:$U$243,(卡牌属性!$DV493-1+FG$3)*20+卡牌属性!$DX493)</f>
        <v>200</v>
      </c>
      <c r="FH493" s="14">
        <f>INDEX(属性投放!$BQ$6:$BQ$85,(卡牌属性!$DW493-2)*20+卡牌属性!$DX493)</f>
        <v>185</v>
      </c>
      <c r="FI493" s="14">
        <f>INDEX(属性投放!$BQ$6:$BQ$85,(卡牌属性!$DW493-2)*20+卡牌属性!$DX493)</f>
        <v>185</v>
      </c>
      <c r="FJ493" s="14">
        <f>INDEX(属性投放!$BQ$6:$BQ$85,(卡牌属性!$DW493-2)*20+卡牌属性!$DX493)</f>
        <v>185</v>
      </c>
      <c r="FK493" s="14">
        <f>INDEX(属性投放!$BQ$6:$BQ$85,(卡牌属性!$DW493-2)*20+卡牌属性!$DX493)</f>
        <v>185</v>
      </c>
      <c r="FL493" s="14">
        <f>INDEX(属性投放!$BQ$6:$BQ$85,(卡牌属性!$DW493-2)*20+卡牌属性!$DX493)</f>
        <v>185</v>
      </c>
      <c r="FM493" s="14">
        <f>INDEX(属性投放!$BR$6:$BR$85,(卡牌属性!$DW493-2)*20+卡牌属性!$DX493)</f>
        <v>93</v>
      </c>
      <c r="FN493" s="14">
        <f>INDEX(属性投放!$BR$6:$BR$85,(卡牌属性!$DW493-2)*20+卡牌属性!$DX493)</f>
        <v>93</v>
      </c>
      <c r="FO493" s="14">
        <f>INDEX(属性投放!$BR$6:$BR$85,(卡牌属性!$DW493-2)*20+卡牌属性!$DX493)</f>
        <v>93</v>
      </c>
      <c r="FP493" s="14">
        <f>INDEX(属性投放!$BR$6:$BR$85,(卡牌属性!$DW493-2)*20+卡牌属性!$DX493)</f>
        <v>93</v>
      </c>
      <c r="FQ493" s="14">
        <f>INDEX(属性投放!$BR$6:$BR$85,(卡牌属性!$DW493-2)*20+卡牌属性!$DX493)</f>
        <v>93</v>
      </c>
      <c r="FR493" s="14">
        <f>INDEX(属性投放!$BS$6:$BS$85,(卡牌属性!$DW493-2)*20+卡牌属性!$DX493)</f>
        <v>1480</v>
      </c>
      <c r="FS493" s="14">
        <f>INDEX(属性投放!$BS$6:$BS$85,(卡牌属性!$DW493-2)*20+卡牌属性!$DX493)</f>
        <v>1480</v>
      </c>
      <c r="FT493" s="14">
        <f>INDEX(属性投放!$BS$6:$BS$85,(卡牌属性!$DW493-2)*20+卡牌属性!$DX493)</f>
        <v>1480</v>
      </c>
      <c r="FU493" s="14">
        <f>INDEX(属性投放!$BS$6:$BS$85,(卡牌属性!$DW493-2)*20+卡牌属性!$DX493)</f>
        <v>1480</v>
      </c>
      <c r="FV493" s="14">
        <f>INDEX(属性投放!$BS$6:$BS$85,(卡牌属性!$DW493-2)*20+卡牌属性!$DX493)</f>
        <v>1480</v>
      </c>
    </row>
    <row r="494" spans="31:178" ht="16.5" x14ac:dyDescent="0.2">
      <c r="AE494" s="13">
        <v>490</v>
      </c>
      <c r="AF494" s="13">
        <f t="shared" si="854"/>
        <v>25</v>
      </c>
      <c r="AG494" s="13">
        <f t="shared" si="855"/>
        <v>3</v>
      </c>
      <c r="AH494" s="13"/>
      <c r="AI494" s="13"/>
      <c r="AJ494" s="14">
        <f t="shared" si="856"/>
        <v>1101998</v>
      </c>
      <c r="AK494" s="14" t="str">
        <f t="shared" si="857"/>
        <v>SR寄灵人10突</v>
      </c>
      <c r="AL494" s="25" t="s">
        <v>142</v>
      </c>
      <c r="AM494" s="14">
        <v>1</v>
      </c>
      <c r="AN494" s="14">
        <f t="shared" si="858"/>
        <v>10</v>
      </c>
      <c r="AO494" s="14">
        <f>INDEX(属性投放!$DF$6:$DF$85,(卡牌属性!AG494-2)*20+卡牌属性!AN494)</f>
        <v>2578</v>
      </c>
      <c r="AP494" s="14">
        <f t="shared" si="859"/>
        <v>2578</v>
      </c>
      <c r="AQ494" s="14">
        <f t="shared" si="859"/>
        <v>2578</v>
      </c>
      <c r="AR494" s="14">
        <f t="shared" si="859"/>
        <v>2578</v>
      </c>
      <c r="AS494" s="14">
        <f t="shared" si="859"/>
        <v>2578</v>
      </c>
      <c r="AT494" s="14">
        <f>INDEX(属性投放!$DG$6:$DG$85,(卡牌属性!AG494-2)*20+卡牌属性!AN494)</f>
        <v>1227</v>
      </c>
      <c r="AU494" s="14">
        <f t="shared" si="860"/>
        <v>1227</v>
      </c>
      <c r="AV494" s="14">
        <f t="shared" si="860"/>
        <v>1227</v>
      </c>
      <c r="AW494" s="14">
        <f t="shared" si="860"/>
        <v>1227</v>
      </c>
      <c r="AX494" s="14">
        <f t="shared" si="860"/>
        <v>1227</v>
      </c>
      <c r="AY494" s="14">
        <f>INDEX(属性投放!$DH$6:$DH$85,(卡牌属性!AG494-2)*20+卡牌属性!AN494)</f>
        <v>18106</v>
      </c>
      <c r="AZ494" s="14">
        <f t="shared" si="861"/>
        <v>18106</v>
      </c>
      <c r="BA494" s="14">
        <f t="shared" si="861"/>
        <v>18106</v>
      </c>
      <c r="BB494" s="14">
        <f t="shared" si="861"/>
        <v>18106</v>
      </c>
      <c r="BC494" s="14">
        <f t="shared" si="861"/>
        <v>18106</v>
      </c>
      <c r="BD494" s="14">
        <f>INDEX(属性投放!$DL$6:$DL$85,(卡牌属性!AG494-2)*20+卡牌属性!AN494)</f>
        <v>92</v>
      </c>
      <c r="BE494" s="14">
        <f t="shared" si="862"/>
        <v>92</v>
      </c>
      <c r="BF494" s="14">
        <f t="shared" si="862"/>
        <v>92</v>
      </c>
      <c r="BG494" s="14">
        <f t="shared" si="862"/>
        <v>92</v>
      </c>
      <c r="BH494" s="14">
        <f t="shared" si="862"/>
        <v>92</v>
      </c>
      <c r="BI494" s="14">
        <f>INDEX(属性投放!$DM$6:$DM$85,(卡牌属性!AG494-2)*20+卡牌属性!AN494)</f>
        <v>46</v>
      </c>
      <c r="BJ494" s="14">
        <f t="shared" si="863"/>
        <v>46</v>
      </c>
      <c r="BK494" s="14">
        <f t="shared" si="863"/>
        <v>46</v>
      </c>
      <c r="BL494" s="14">
        <f t="shared" si="863"/>
        <v>46</v>
      </c>
      <c r="BM494" s="14">
        <f t="shared" si="863"/>
        <v>46</v>
      </c>
      <c r="BN494" s="14">
        <f>INDEX(属性投放!$DN$6:$DN$85,(卡牌属性!AG494-2)*20+卡牌属性!AN494)</f>
        <v>824</v>
      </c>
      <c r="BO494" s="14">
        <f t="shared" si="864"/>
        <v>824</v>
      </c>
      <c r="BP494" s="14">
        <f t="shared" si="864"/>
        <v>824</v>
      </c>
      <c r="BQ494" s="14">
        <f t="shared" si="864"/>
        <v>824</v>
      </c>
      <c r="BR494" s="14">
        <f t="shared" si="864"/>
        <v>824</v>
      </c>
      <c r="BW494" s="13">
        <v>490</v>
      </c>
      <c r="BX494" s="13">
        <f t="shared" si="835"/>
        <v>25</v>
      </c>
      <c r="BY494" s="14">
        <f t="shared" si="836"/>
        <v>3</v>
      </c>
      <c r="BZ494" s="14">
        <f t="shared" si="840"/>
        <v>1102026</v>
      </c>
      <c r="CA494" s="14" t="str">
        <f t="shared" si="841"/>
        <v>雷震子10突</v>
      </c>
      <c r="CB494" s="25" t="s">
        <v>142</v>
      </c>
      <c r="CC494" s="14">
        <v>2</v>
      </c>
      <c r="CD494" s="14">
        <f t="shared" si="837"/>
        <v>10</v>
      </c>
      <c r="CE494" s="14" t="s">
        <v>21</v>
      </c>
      <c r="CF494" s="14">
        <f>INDEX(属性投放!$AZ$6:$AZ$85,(BY494-2)*20+CD494)</f>
        <v>2826</v>
      </c>
      <c r="CG494" s="14" t="s">
        <v>22</v>
      </c>
      <c r="CH494" s="14">
        <f>INDEX(属性投放!$BA$6:$BA$85,(BY494-2)*20+CD494)</f>
        <v>1362</v>
      </c>
      <c r="CI494" s="14" t="s">
        <v>510</v>
      </c>
      <c r="CJ494" s="14">
        <f>INDEX(属性投放!$BB$6:$BB$85,(BY494-2)*20+CD494)</f>
        <v>20055</v>
      </c>
      <c r="CK494" s="14" t="s">
        <v>21</v>
      </c>
      <c r="CL494" s="14">
        <f>INDEX(属性投放!$BC$6:$BC$85,(BY494-2)*20+CD494)</f>
        <v>20</v>
      </c>
      <c r="CM494" s="14" t="s">
        <v>22</v>
      </c>
      <c r="CN494" s="14">
        <f>INDEX(属性投放!$BD$6:$BD$85,(BY494-2)*20+CD494)</f>
        <v>10</v>
      </c>
      <c r="CO494" s="14" t="s">
        <v>510</v>
      </c>
      <c r="CP494" s="14">
        <f>INDEX(属性投放!$BE$6:$BE$85,(BY494-2)*20+CD494)</f>
        <v>180</v>
      </c>
      <c r="CS494" s="13">
        <v>490</v>
      </c>
      <c r="CT494" s="13">
        <f t="shared" si="842"/>
        <v>10</v>
      </c>
      <c r="CU494" s="13">
        <f t="shared" si="843"/>
        <v>22</v>
      </c>
      <c r="CV494" s="14">
        <f t="shared" si="844"/>
        <v>4</v>
      </c>
      <c r="CW494" s="14">
        <f t="shared" si="845"/>
        <v>1102010</v>
      </c>
      <c r="CX494" s="14" t="str">
        <f>INDEX($O$6:$O$50,CT494)&amp;"-"&amp;INDEX(属性投放!$AB$7:$AB$50,CZ494)&amp;"-魂火-"&amp;DB494</f>
        <v>张郃-大叫唤+1-魂火-1</v>
      </c>
      <c r="CY494" s="25" t="s">
        <v>142</v>
      </c>
      <c r="CZ494" s="14">
        <f>INDEX(属性投放!$AM$7:$AM$58,CU494)</f>
        <v>11</v>
      </c>
      <c r="DA494" s="14" t="s">
        <v>537</v>
      </c>
      <c r="DB494" s="14">
        <f>INDEX(属性投放!$AN$7:$AN$58,CU494)</f>
        <v>1</v>
      </c>
      <c r="DC494" s="14">
        <f t="shared" si="838"/>
        <v>22</v>
      </c>
      <c r="DD494" s="14">
        <f>INDEX(属性投放!$AO$7:$AO$58,DC494)</f>
        <v>73</v>
      </c>
      <c r="DE494" s="14" t="s">
        <v>538</v>
      </c>
      <c r="DF494" s="14">
        <f>INDEX(属性投放!$BK$6:$BK$85,(CV494-2)*20+CZ494)</f>
        <v>170</v>
      </c>
      <c r="DG494" s="14">
        <f>SUMIFS(DF$5:DF494,$CT$5:$CT494,"="&amp;$CT494)</f>
        <v>1740</v>
      </c>
      <c r="DH494" s="14" t="s">
        <v>539</v>
      </c>
      <c r="DI494" s="14">
        <f>INDEX(属性投放!$BL$6:$BL$85,(CV494-2)*20+CZ494)</f>
        <v>85</v>
      </c>
      <c r="DJ494" s="14">
        <f>SUMIFS(DI$5:DI494,$CT$5:$CT494,"="&amp;$CT494)</f>
        <v>875</v>
      </c>
      <c r="DK494" s="14" t="s">
        <v>540</v>
      </c>
      <c r="DL494" s="14">
        <f>INDEX(属性投放!$BM$6:$BM$85,(CV494-2)*20+CZ494)</f>
        <v>1530</v>
      </c>
      <c r="DM494" s="14">
        <f>SUMIFS(DL$5:DL494,$CT$5:$CT494,"="&amp;$CT494)</f>
        <v>13850</v>
      </c>
      <c r="DR494" s="14">
        <f t="shared" si="849"/>
        <v>1102026</v>
      </c>
      <c r="DS494" s="14" t="str">
        <f t="shared" si="850"/>
        <v>雷震子10突</v>
      </c>
      <c r="DT494" s="14">
        <f t="shared" si="846"/>
        <v>7</v>
      </c>
      <c r="DU494" s="14">
        <f t="shared" si="847"/>
        <v>4</v>
      </c>
      <c r="DV494" s="14">
        <f t="shared" si="848"/>
        <v>4</v>
      </c>
      <c r="DW494" s="14">
        <f t="shared" si="851"/>
        <v>3</v>
      </c>
      <c r="DX494" s="14">
        <f t="shared" si="852"/>
        <v>10</v>
      </c>
      <c r="DY494" s="14">
        <f t="shared" si="853"/>
        <v>30</v>
      </c>
      <c r="DZ494" s="14">
        <f>INDEX(属性投放!$AX$6:$AX$85,(卡牌属性!DW494-2)*20+卡牌属性!DX494)</f>
        <v>7</v>
      </c>
      <c r="EA494" s="14">
        <f>INDEX(属性投放!BQ$6:BQ$85,卡牌属性!$DY494)</f>
        <v>175</v>
      </c>
      <c r="EB494" s="14">
        <f>INDEX(属性投放!BR$6:BR$85,卡牌属性!$DY494)</f>
        <v>88</v>
      </c>
      <c r="EC494" s="14">
        <f>INDEX(属性投放!BS$6:BS$85,卡牌属性!$DY494)</f>
        <v>1575</v>
      </c>
      <c r="ED494" s="14">
        <f t="shared" si="880"/>
        <v>2338</v>
      </c>
      <c r="EE494" s="14">
        <f t="shared" si="881"/>
        <v>2530</v>
      </c>
      <c r="EF494" s="14">
        <f t="shared" si="882"/>
        <v>2750</v>
      </c>
      <c r="EG494" s="14">
        <f t="shared" si="883"/>
        <v>2750</v>
      </c>
      <c r="EH494" s="14">
        <f t="shared" si="884"/>
        <v>3210</v>
      </c>
      <c r="EI494" s="14">
        <f t="shared" si="885"/>
        <v>782</v>
      </c>
      <c r="EJ494" s="14">
        <f t="shared" si="886"/>
        <v>874</v>
      </c>
      <c r="EK494" s="14">
        <f t="shared" si="887"/>
        <v>874</v>
      </c>
      <c r="EL494" s="14">
        <f t="shared" si="888"/>
        <v>930</v>
      </c>
      <c r="EM494" s="14">
        <f t="shared" si="889"/>
        <v>1140</v>
      </c>
      <c r="EN494" s="14">
        <f t="shared" si="890"/>
        <v>11377</v>
      </c>
      <c r="EO494" s="14">
        <f t="shared" si="891"/>
        <v>12505</v>
      </c>
      <c r="EP494" s="14">
        <f t="shared" si="892"/>
        <v>12505</v>
      </c>
      <c r="EQ494" s="14">
        <f t="shared" si="893"/>
        <v>13241</v>
      </c>
      <c r="ER494" s="14">
        <f t="shared" si="894"/>
        <v>16173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135</v>
      </c>
      <c r="FD494" s="14">
        <f>INDEX(属性偏向!$U$4:$U$243,(卡牌属性!$DV494-1+FD$3)*20+卡牌属性!$DX494)</f>
        <v>180</v>
      </c>
      <c r="FE494" s="14">
        <f>INDEX(属性偏向!$U$4:$U$243,(卡牌属性!$DV494-1+FE$3)*20+卡牌属性!$DX494)</f>
        <v>180</v>
      </c>
      <c r="FF494" s="14">
        <f>INDEX(属性偏向!$U$4:$U$243,(卡牌属性!$DV494-1+FF$3)*20+卡牌属性!$DX494)</f>
        <v>189</v>
      </c>
      <c r="FG494" s="14">
        <f>INDEX(属性偏向!$U$4:$U$243,(卡牌属性!$DV494-1+FG$3)*20+卡牌属性!$DX494)</f>
        <v>270</v>
      </c>
      <c r="FH494" s="14">
        <f>INDEX(属性投放!$BQ$6:$BQ$85,(卡牌属性!$DW494-2)*20+卡牌属性!$DX494)</f>
        <v>175</v>
      </c>
      <c r="FI494" s="14">
        <f>INDEX(属性投放!$BQ$6:$BQ$85,(卡牌属性!$DW494-2)*20+卡牌属性!$DX494)</f>
        <v>175</v>
      </c>
      <c r="FJ494" s="14">
        <f>INDEX(属性投放!$BQ$6:$BQ$85,(卡牌属性!$DW494-2)*20+卡牌属性!$DX494)</f>
        <v>175</v>
      </c>
      <c r="FK494" s="14">
        <f>INDEX(属性投放!$BQ$6:$BQ$85,(卡牌属性!$DW494-2)*20+卡牌属性!$DX494)</f>
        <v>175</v>
      </c>
      <c r="FL494" s="14">
        <f>INDEX(属性投放!$BQ$6:$BQ$85,(卡牌属性!$DW494-2)*20+卡牌属性!$DX494)</f>
        <v>175</v>
      </c>
      <c r="FM494" s="14">
        <f>INDEX(属性投放!$BR$6:$BR$85,(卡牌属性!$DW494-2)*20+卡牌属性!$DX494)</f>
        <v>88</v>
      </c>
      <c r="FN494" s="14">
        <f>INDEX(属性投放!$BR$6:$BR$85,(卡牌属性!$DW494-2)*20+卡牌属性!$DX494)</f>
        <v>88</v>
      </c>
      <c r="FO494" s="14">
        <f>INDEX(属性投放!$BR$6:$BR$85,(卡牌属性!$DW494-2)*20+卡牌属性!$DX494)</f>
        <v>88</v>
      </c>
      <c r="FP494" s="14">
        <f>INDEX(属性投放!$BR$6:$BR$85,(卡牌属性!$DW494-2)*20+卡牌属性!$DX494)</f>
        <v>88</v>
      </c>
      <c r="FQ494" s="14">
        <f>INDEX(属性投放!$BR$6:$BR$85,(卡牌属性!$DW494-2)*20+卡牌属性!$DX494)</f>
        <v>88</v>
      </c>
      <c r="FR494" s="14">
        <f>INDEX(属性投放!$BS$6:$BS$85,(卡牌属性!$DW494-2)*20+卡牌属性!$DX494)</f>
        <v>1575</v>
      </c>
      <c r="FS494" s="14">
        <f>INDEX(属性投放!$BS$6:$BS$85,(卡牌属性!$DW494-2)*20+卡牌属性!$DX494)</f>
        <v>1575</v>
      </c>
      <c r="FT494" s="14">
        <f>INDEX(属性投放!$BS$6:$BS$85,(卡牌属性!$DW494-2)*20+卡牌属性!$DX494)</f>
        <v>1575</v>
      </c>
      <c r="FU494" s="14">
        <f>INDEX(属性投放!$BS$6:$BS$85,(卡牌属性!$DW494-2)*20+卡牌属性!$DX494)</f>
        <v>1575</v>
      </c>
      <c r="FV494" s="14">
        <f>INDEX(属性投放!$BS$6:$BS$85,(卡牌属性!$DW494-2)*20+卡牌属性!$DX494)</f>
        <v>1575</v>
      </c>
    </row>
    <row r="495" spans="31:178" ht="16.5" x14ac:dyDescent="0.2">
      <c r="AE495" s="13">
        <v>491</v>
      </c>
      <c r="AF495" s="13">
        <f t="shared" si="854"/>
        <v>25</v>
      </c>
      <c r="AG495" s="13">
        <f t="shared" si="855"/>
        <v>3</v>
      </c>
      <c r="AH495" s="13"/>
      <c r="AI495" s="13"/>
      <c r="AJ495" s="14">
        <f t="shared" si="856"/>
        <v>1101998</v>
      </c>
      <c r="AK495" s="14" t="str">
        <f t="shared" si="857"/>
        <v>SR寄灵人11突</v>
      </c>
      <c r="AL495" s="25" t="s">
        <v>142</v>
      </c>
      <c r="AM495" s="14">
        <v>1</v>
      </c>
      <c r="AN495" s="14">
        <f t="shared" si="858"/>
        <v>11</v>
      </c>
      <c r="AO495" s="14">
        <f>INDEX(属性投放!$DF$6:$DF$85,(卡牌属性!AG495-2)*20+卡牌属性!AN495)</f>
        <v>2840</v>
      </c>
      <c r="AP495" s="14">
        <f t="shared" si="859"/>
        <v>2840</v>
      </c>
      <c r="AQ495" s="14">
        <f t="shared" si="859"/>
        <v>2840</v>
      </c>
      <c r="AR495" s="14">
        <f t="shared" si="859"/>
        <v>2840</v>
      </c>
      <c r="AS495" s="14">
        <f t="shared" si="859"/>
        <v>2840</v>
      </c>
      <c r="AT495" s="14">
        <f>INDEX(属性投放!$DG$6:$DG$85,(卡牌属性!AG495-2)*20+卡牌属性!AN495)</f>
        <v>1358</v>
      </c>
      <c r="AU495" s="14">
        <f t="shared" si="860"/>
        <v>1358</v>
      </c>
      <c r="AV495" s="14">
        <f t="shared" si="860"/>
        <v>1358</v>
      </c>
      <c r="AW495" s="14">
        <f t="shared" si="860"/>
        <v>1358</v>
      </c>
      <c r="AX495" s="14">
        <f t="shared" si="860"/>
        <v>1358</v>
      </c>
      <c r="AY495" s="14">
        <f>INDEX(属性投放!$DH$6:$DH$85,(卡牌属性!AG495-2)*20+卡牌属性!AN495)</f>
        <v>20460</v>
      </c>
      <c r="AZ495" s="14">
        <f t="shared" si="861"/>
        <v>20460</v>
      </c>
      <c r="BA495" s="14">
        <f t="shared" si="861"/>
        <v>20460</v>
      </c>
      <c r="BB495" s="14">
        <f t="shared" si="861"/>
        <v>20460</v>
      </c>
      <c r="BC495" s="14">
        <f t="shared" si="861"/>
        <v>20460</v>
      </c>
      <c r="BD495" s="14">
        <f>INDEX(属性投放!$DL$6:$DL$85,(卡牌属性!AG495-2)*20+卡牌属性!AN495)</f>
        <v>92</v>
      </c>
      <c r="BE495" s="14">
        <f t="shared" si="862"/>
        <v>92</v>
      </c>
      <c r="BF495" s="14">
        <f t="shared" si="862"/>
        <v>92</v>
      </c>
      <c r="BG495" s="14">
        <f t="shared" si="862"/>
        <v>92</v>
      </c>
      <c r="BH495" s="14">
        <f t="shared" si="862"/>
        <v>92</v>
      </c>
      <c r="BI495" s="14">
        <f>INDEX(属性投放!$DM$6:$DM$85,(卡牌属性!AG495-2)*20+卡牌属性!AN495)</f>
        <v>46</v>
      </c>
      <c r="BJ495" s="14">
        <f t="shared" si="863"/>
        <v>46</v>
      </c>
      <c r="BK495" s="14">
        <f t="shared" si="863"/>
        <v>46</v>
      </c>
      <c r="BL495" s="14">
        <f t="shared" si="863"/>
        <v>46</v>
      </c>
      <c r="BM495" s="14">
        <f t="shared" si="863"/>
        <v>46</v>
      </c>
      <c r="BN495" s="14">
        <f>INDEX(属性投放!$DN$6:$DN$85,(卡牌属性!AG495-2)*20+卡牌属性!AN495)</f>
        <v>824</v>
      </c>
      <c r="BO495" s="14">
        <f t="shared" si="864"/>
        <v>824</v>
      </c>
      <c r="BP495" s="14">
        <f t="shared" si="864"/>
        <v>824</v>
      </c>
      <c r="BQ495" s="14">
        <f t="shared" si="864"/>
        <v>824</v>
      </c>
      <c r="BR495" s="14">
        <f t="shared" si="864"/>
        <v>824</v>
      </c>
      <c r="BW495" s="13">
        <v>491</v>
      </c>
      <c r="BX495" s="13">
        <f t="shared" si="835"/>
        <v>25</v>
      </c>
      <c r="BY495" s="14">
        <f t="shared" si="836"/>
        <v>3</v>
      </c>
      <c r="BZ495" s="14">
        <f t="shared" si="840"/>
        <v>1102026</v>
      </c>
      <c r="CA495" s="14" t="str">
        <f t="shared" si="841"/>
        <v>雷震子11突</v>
      </c>
      <c r="CB495" s="25" t="s">
        <v>142</v>
      </c>
      <c r="CC495" s="14">
        <v>2</v>
      </c>
      <c r="CD495" s="14">
        <f t="shared" si="837"/>
        <v>11</v>
      </c>
      <c r="CE495" s="14" t="s">
        <v>21</v>
      </c>
      <c r="CF495" s="14">
        <f>INDEX(属性投放!$AZ$6:$AZ$85,(BY495-2)*20+CD495)</f>
        <v>3501</v>
      </c>
      <c r="CG495" s="14" t="s">
        <v>22</v>
      </c>
      <c r="CH495" s="14">
        <f>INDEX(属性投放!$BA$6:$BA$85,(BY495-2)*20+CD495)</f>
        <v>1700</v>
      </c>
      <c r="CI495" s="14" t="s">
        <v>510</v>
      </c>
      <c r="CJ495" s="14">
        <f>INDEX(属性投放!$BB$6:$BB$85,(BY495-2)*20+CD495)</f>
        <v>26130</v>
      </c>
      <c r="CK495" s="14" t="s">
        <v>21</v>
      </c>
      <c r="CL495" s="14">
        <f>INDEX(属性投放!$BC$6:$BC$85,(BY495-2)*20+CD495)</f>
        <v>20</v>
      </c>
      <c r="CM495" s="14" t="s">
        <v>22</v>
      </c>
      <c r="CN495" s="14">
        <f>INDEX(属性投放!$BD$6:$BD$85,(BY495-2)*20+CD495)</f>
        <v>10</v>
      </c>
      <c r="CO495" s="14" t="s">
        <v>510</v>
      </c>
      <c r="CP495" s="14">
        <f>INDEX(属性投放!$BE$6:$BE$85,(BY495-2)*20+CD495)</f>
        <v>180</v>
      </c>
      <c r="CS495" s="13">
        <v>491</v>
      </c>
      <c r="CT495" s="13">
        <f t="shared" si="842"/>
        <v>10</v>
      </c>
      <c r="CU495" s="13">
        <f t="shared" si="843"/>
        <v>23</v>
      </c>
      <c r="CV495" s="14">
        <f t="shared" si="844"/>
        <v>4</v>
      </c>
      <c r="CW495" s="14">
        <f t="shared" si="845"/>
        <v>1102010</v>
      </c>
      <c r="CX495" s="14" t="str">
        <f>INDEX($O$6:$O$50,CT495)&amp;"-"&amp;INDEX(属性投放!$AB$7:$AB$50,CZ495)&amp;"-魂火-"&amp;DB495</f>
        <v>张郃-大叫唤+1-魂火-2</v>
      </c>
      <c r="CY495" s="25" t="s">
        <v>142</v>
      </c>
      <c r="CZ495" s="14">
        <f>INDEX(属性投放!$AM$7:$AM$58,CU495)</f>
        <v>11</v>
      </c>
      <c r="DA495" s="14" t="s">
        <v>537</v>
      </c>
      <c r="DB495" s="14">
        <f>INDEX(属性投放!$AN$7:$AN$58,CU495)</f>
        <v>2</v>
      </c>
      <c r="DC495" s="14">
        <f t="shared" si="838"/>
        <v>23</v>
      </c>
      <c r="DD495" s="14">
        <f>INDEX(属性投放!$AO$7:$AO$58,DC495)</f>
        <v>75</v>
      </c>
      <c r="DE495" s="14" t="s">
        <v>538</v>
      </c>
      <c r="DF495" s="14">
        <f>INDEX(属性投放!$BK$6:$BK$85,(CV495-2)*20+CZ495)</f>
        <v>170</v>
      </c>
      <c r="DG495" s="14">
        <f>SUMIFS(DF$5:DF495,$CT$5:$CT495,"="&amp;$CT495)</f>
        <v>1910</v>
      </c>
      <c r="DH495" s="14" t="s">
        <v>539</v>
      </c>
      <c r="DI495" s="14">
        <f>INDEX(属性投放!$BL$6:$BL$85,(CV495-2)*20+CZ495)</f>
        <v>85</v>
      </c>
      <c r="DJ495" s="14">
        <f>SUMIFS(DI$5:DI495,$CT$5:$CT495,"="&amp;$CT495)</f>
        <v>960</v>
      </c>
      <c r="DK495" s="14" t="s">
        <v>540</v>
      </c>
      <c r="DL495" s="14">
        <f>INDEX(属性投放!$BM$6:$BM$85,(CV495-2)*20+CZ495)</f>
        <v>1530</v>
      </c>
      <c r="DM495" s="14">
        <f>SUMIFS(DL$5:DL495,$CT$5:$CT495,"="&amp;$CT495)</f>
        <v>15380</v>
      </c>
      <c r="DR495" s="14">
        <f t="shared" si="849"/>
        <v>1102026</v>
      </c>
      <c r="DS495" s="14" t="str">
        <f t="shared" si="850"/>
        <v>雷震子11突</v>
      </c>
      <c r="DT495" s="14">
        <f t="shared" si="846"/>
        <v>7</v>
      </c>
      <c r="DU495" s="14">
        <f t="shared" si="847"/>
        <v>4</v>
      </c>
      <c r="DV495" s="14">
        <f t="shared" si="848"/>
        <v>4</v>
      </c>
      <c r="DW495" s="14">
        <f t="shared" si="851"/>
        <v>3</v>
      </c>
      <c r="DX495" s="14">
        <f t="shared" si="852"/>
        <v>11</v>
      </c>
      <c r="DY495" s="14">
        <f t="shared" si="853"/>
        <v>31</v>
      </c>
      <c r="DZ495" s="14">
        <f>INDEX(属性投放!$AX$6:$AX$85,(卡牌属性!DW495-2)*20+卡牌属性!DX495)</f>
        <v>8</v>
      </c>
      <c r="EA495" s="14">
        <f>INDEX(属性投放!BQ$6:BQ$85,卡牌属性!$DY495)</f>
        <v>240</v>
      </c>
      <c r="EB495" s="14">
        <f>INDEX(属性投放!BR$6:BR$85,卡牌属性!$DY495)</f>
        <v>120</v>
      </c>
      <c r="EC495" s="14">
        <f>INDEX(属性投放!BS$6:BS$85,卡牌属性!$DY495)</f>
        <v>2160</v>
      </c>
      <c r="ED495" s="14">
        <f t="shared" si="880"/>
        <v>2723</v>
      </c>
      <c r="EE495" s="14">
        <f t="shared" si="881"/>
        <v>2950</v>
      </c>
      <c r="EF495" s="14">
        <f t="shared" si="882"/>
        <v>3205</v>
      </c>
      <c r="EG495" s="14">
        <f t="shared" si="883"/>
        <v>3205</v>
      </c>
      <c r="EH495" s="14">
        <f t="shared" si="884"/>
        <v>3735</v>
      </c>
      <c r="EI495" s="14">
        <f t="shared" si="885"/>
        <v>926</v>
      </c>
      <c r="EJ495" s="14">
        <f t="shared" si="886"/>
        <v>1032</v>
      </c>
      <c r="EK495" s="14">
        <f t="shared" si="887"/>
        <v>1032</v>
      </c>
      <c r="EL495" s="14">
        <f t="shared" si="888"/>
        <v>1095</v>
      </c>
      <c r="EM495" s="14">
        <f t="shared" si="889"/>
        <v>1333</v>
      </c>
      <c r="EN495" s="14">
        <f t="shared" si="890"/>
        <v>13897</v>
      </c>
      <c r="EO495" s="14">
        <f t="shared" si="891"/>
        <v>15340</v>
      </c>
      <c r="EP495" s="14">
        <f t="shared" si="892"/>
        <v>15340</v>
      </c>
      <c r="EQ495" s="14">
        <f t="shared" si="893"/>
        <v>16139</v>
      </c>
      <c r="ER495" s="14">
        <f t="shared" si="894"/>
        <v>19638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135</v>
      </c>
      <c r="FD495" s="14">
        <f>INDEX(属性偏向!$U$4:$U$243,(卡牌属性!$DV495-1+FD$3)*20+卡牌属性!$DX495)</f>
        <v>180</v>
      </c>
      <c r="FE495" s="14">
        <f>INDEX(属性偏向!$U$4:$U$243,(卡牌属性!$DV495-1+FE$3)*20+卡牌属性!$DX495)</f>
        <v>180</v>
      </c>
      <c r="FF495" s="14">
        <f>INDEX(属性偏向!$U$4:$U$243,(卡牌属性!$DV495-1+FF$3)*20+卡牌属性!$DX495)</f>
        <v>189</v>
      </c>
      <c r="FG495" s="14">
        <f>INDEX(属性偏向!$U$4:$U$243,(卡牌属性!$DV495-1+FG$3)*20+卡牌属性!$DX495)</f>
        <v>270</v>
      </c>
      <c r="FH495" s="14">
        <f>INDEX(属性投放!$BQ$6:$BQ$85,(卡牌属性!$DW495-2)*20+卡牌属性!$DX495)</f>
        <v>240</v>
      </c>
      <c r="FI495" s="14">
        <f>INDEX(属性投放!$BQ$6:$BQ$85,(卡牌属性!$DW495-2)*20+卡牌属性!$DX495)</f>
        <v>240</v>
      </c>
      <c r="FJ495" s="14">
        <f>INDEX(属性投放!$BQ$6:$BQ$85,(卡牌属性!$DW495-2)*20+卡牌属性!$DX495)</f>
        <v>240</v>
      </c>
      <c r="FK495" s="14">
        <f>INDEX(属性投放!$BQ$6:$BQ$85,(卡牌属性!$DW495-2)*20+卡牌属性!$DX495)</f>
        <v>240</v>
      </c>
      <c r="FL495" s="14">
        <f>INDEX(属性投放!$BQ$6:$BQ$85,(卡牌属性!$DW495-2)*20+卡牌属性!$DX495)</f>
        <v>240</v>
      </c>
      <c r="FM495" s="14">
        <f>INDEX(属性投放!$BR$6:$BR$85,(卡牌属性!$DW495-2)*20+卡牌属性!$DX495)</f>
        <v>120</v>
      </c>
      <c r="FN495" s="14">
        <f>INDEX(属性投放!$BR$6:$BR$85,(卡牌属性!$DW495-2)*20+卡牌属性!$DX495)</f>
        <v>120</v>
      </c>
      <c r="FO495" s="14">
        <f>INDEX(属性投放!$BR$6:$BR$85,(卡牌属性!$DW495-2)*20+卡牌属性!$DX495)</f>
        <v>120</v>
      </c>
      <c r="FP495" s="14">
        <f>INDEX(属性投放!$BR$6:$BR$85,(卡牌属性!$DW495-2)*20+卡牌属性!$DX495)</f>
        <v>120</v>
      </c>
      <c r="FQ495" s="14">
        <f>INDEX(属性投放!$BR$6:$BR$85,(卡牌属性!$DW495-2)*20+卡牌属性!$DX495)</f>
        <v>120</v>
      </c>
      <c r="FR495" s="14">
        <f>INDEX(属性投放!$BS$6:$BS$85,(卡牌属性!$DW495-2)*20+卡牌属性!$DX495)</f>
        <v>2160</v>
      </c>
      <c r="FS495" s="14">
        <f>INDEX(属性投放!$BS$6:$BS$85,(卡牌属性!$DW495-2)*20+卡牌属性!$DX495)</f>
        <v>2160</v>
      </c>
      <c r="FT495" s="14">
        <f>INDEX(属性投放!$BS$6:$BS$85,(卡牌属性!$DW495-2)*20+卡牌属性!$DX495)</f>
        <v>2160</v>
      </c>
      <c r="FU495" s="14">
        <f>INDEX(属性投放!$BS$6:$BS$85,(卡牌属性!$DW495-2)*20+卡牌属性!$DX495)</f>
        <v>2160</v>
      </c>
      <c r="FV495" s="14">
        <f>INDEX(属性投放!$BS$6:$BS$85,(卡牌属性!$DW495-2)*20+卡牌属性!$DX495)</f>
        <v>2160</v>
      </c>
    </row>
    <row r="496" spans="31:178" ht="16.5" x14ac:dyDescent="0.2">
      <c r="AE496" s="13">
        <v>492</v>
      </c>
      <c r="AF496" s="13">
        <f t="shared" si="854"/>
        <v>25</v>
      </c>
      <c r="AG496" s="13">
        <f t="shared" si="855"/>
        <v>3</v>
      </c>
      <c r="AH496" s="13"/>
      <c r="AI496" s="13"/>
      <c r="AJ496" s="14">
        <f t="shared" si="856"/>
        <v>1101998</v>
      </c>
      <c r="AK496" s="14" t="str">
        <f t="shared" si="857"/>
        <v>SR寄灵人12突</v>
      </c>
      <c r="AL496" s="25" t="s">
        <v>142</v>
      </c>
      <c r="AM496" s="14">
        <v>1</v>
      </c>
      <c r="AN496" s="14">
        <f t="shared" si="858"/>
        <v>12</v>
      </c>
      <c r="AO496" s="14">
        <f>INDEX(属性投放!$DF$6:$DF$85,(卡牌属性!AG496-2)*20+卡牌属性!AN496)</f>
        <v>3102</v>
      </c>
      <c r="AP496" s="14">
        <f t="shared" si="859"/>
        <v>3102</v>
      </c>
      <c r="AQ496" s="14">
        <f t="shared" si="859"/>
        <v>3102</v>
      </c>
      <c r="AR496" s="14">
        <f t="shared" si="859"/>
        <v>3102</v>
      </c>
      <c r="AS496" s="14">
        <f t="shared" si="859"/>
        <v>3102</v>
      </c>
      <c r="AT496" s="14">
        <f>INDEX(属性投放!$DG$6:$DG$85,(卡牌属性!AG496-2)*20+卡牌属性!AN496)</f>
        <v>1489</v>
      </c>
      <c r="AU496" s="14">
        <f t="shared" si="860"/>
        <v>1489</v>
      </c>
      <c r="AV496" s="14">
        <f t="shared" si="860"/>
        <v>1489</v>
      </c>
      <c r="AW496" s="14">
        <f t="shared" si="860"/>
        <v>1489</v>
      </c>
      <c r="AX496" s="14">
        <f t="shared" si="860"/>
        <v>1489</v>
      </c>
      <c r="AY496" s="14">
        <f>INDEX(属性投放!$DH$6:$DH$85,(卡牌属性!AG496-2)*20+卡牌属性!AN496)</f>
        <v>22814</v>
      </c>
      <c r="AZ496" s="14">
        <f t="shared" si="861"/>
        <v>22814</v>
      </c>
      <c r="BA496" s="14">
        <f t="shared" si="861"/>
        <v>22814</v>
      </c>
      <c r="BB496" s="14">
        <f t="shared" si="861"/>
        <v>22814</v>
      </c>
      <c r="BC496" s="14">
        <f t="shared" si="861"/>
        <v>22814</v>
      </c>
      <c r="BD496" s="14">
        <f>INDEX(属性投放!$DL$6:$DL$85,(卡牌属性!AG496-2)*20+卡牌属性!AN496)</f>
        <v>92</v>
      </c>
      <c r="BE496" s="14">
        <f t="shared" si="862"/>
        <v>92</v>
      </c>
      <c r="BF496" s="14">
        <f t="shared" si="862"/>
        <v>92</v>
      </c>
      <c r="BG496" s="14">
        <f t="shared" si="862"/>
        <v>92</v>
      </c>
      <c r="BH496" s="14">
        <f t="shared" si="862"/>
        <v>92</v>
      </c>
      <c r="BI496" s="14">
        <f>INDEX(属性投放!$DM$6:$DM$85,(卡牌属性!AG496-2)*20+卡牌属性!AN496)</f>
        <v>46</v>
      </c>
      <c r="BJ496" s="14">
        <f t="shared" si="863"/>
        <v>46</v>
      </c>
      <c r="BK496" s="14">
        <f t="shared" si="863"/>
        <v>46</v>
      </c>
      <c r="BL496" s="14">
        <f t="shared" si="863"/>
        <v>46</v>
      </c>
      <c r="BM496" s="14">
        <f t="shared" si="863"/>
        <v>46</v>
      </c>
      <c r="BN496" s="14">
        <f>INDEX(属性投放!$DN$6:$DN$85,(卡牌属性!AG496-2)*20+卡牌属性!AN496)</f>
        <v>824</v>
      </c>
      <c r="BO496" s="14">
        <f t="shared" si="864"/>
        <v>824</v>
      </c>
      <c r="BP496" s="14">
        <f t="shared" si="864"/>
        <v>824</v>
      </c>
      <c r="BQ496" s="14">
        <f t="shared" si="864"/>
        <v>824</v>
      </c>
      <c r="BR496" s="14">
        <f t="shared" si="864"/>
        <v>824</v>
      </c>
      <c r="BW496" s="13">
        <v>492</v>
      </c>
      <c r="BX496" s="13">
        <f t="shared" si="835"/>
        <v>25</v>
      </c>
      <c r="BY496" s="14">
        <f t="shared" si="836"/>
        <v>3</v>
      </c>
      <c r="BZ496" s="14">
        <f t="shared" si="840"/>
        <v>1102026</v>
      </c>
      <c r="CA496" s="14" t="str">
        <f t="shared" si="841"/>
        <v>雷震子12突</v>
      </c>
      <c r="CB496" s="25" t="s">
        <v>142</v>
      </c>
      <c r="CC496" s="14">
        <v>2</v>
      </c>
      <c r="CD496" s="14">
        <f t="shared" si="837"/>
        <v>12</v>
      </c>
      <c r="CE496" s="14" t="s">
        <v>21</v>
      </c>
      <c r="CF496" s="14">
        <f>INDEX(属性投放!$AZ$6:$AZ$85,(BY496-2)*20+CD496)</f>
        <v>4351</v>
      </c>
      <c r="CG496" s="14" t="s">
        <v>22</v>
      </c>
      <c r="CH496" s="14">
        <f>INDEX(属性投放!$BA$6:$BA$85,(BY496-2)*20+CD496)</f>
        <v>2125</v>
      </c>
      <c r="CI496" s="14" t="s">
        <v>510</v>
      </c>
      <c r="CJ496" s="14">
        <f>INDEX(属性投放!$BB$6:$BB$85,(BY496-2)*20+CD496)</f>
        <v>33780</v>
      </c>
      <c r="CK496" s="14" t="s">
        <v>21</v>
      </c>
      <c r="CL496" s="14">
        <f>INDEX(属性投放!$BC$6:$BC$85,(BY496-2)*20+CD496)</f>
        <v>20</v>
      </c>
      <c r="CM496" s="14" t="s">
        <v>22</v>
      </c>
      <c r="CN496" s="14">
        <f>INDEX(属性投放!$BD$6:$BD$85,(BY496-2)*20+CD496)</f>
        <v>10</v>
      </c>
      <c r="CO496" s="14" t="s">
        <v>510</v>
      </c>
      <c r="CP496" s="14">
        <f>INDEX(属性投放!$BE$6:$BE$85,(BY496-2)*20+CD496)</f>
        <v>180</v>
      </c>
      <c r="CS496" s="13">
        <v>492</v>
      </c>
      <c r="CT496" s="13">
        <f t="shared" si="842"/>
        <v>10</v>
      </c>
      <c r="CU496" s="13">
        <f t="shared" si="843"/>
        <v>24</v>
      </c>
      <c r="CV496" s="14">
        <f t="shared" si="844"/>
        <v>4</v>
      </c>
      <c r="CW496" s="14">
        <f t="shared" si="845"/>
        <v>1102010</v>
      </c>
      <c r="CX496" s="14" t="str">
        <f>INDEX($O$6:$O$50,CT496)&amp;"-"&amp;INDEX(属性投放!$AB$7:$AB$50,CZ496)&amp;"-魂火-"&amp;DB496</f>
        <v>张郃-大叫唤+1-魂火-3</v>
      </c>
      <c r="CY496" s="25" t="s">
        <v>142</v>
      </c>
      <c r="CZ496" s="14">
        <f>INDEX(属性投放!$AM$7:$AM$58,CU496)</f>
        <v>11</v>
      </c>
      <c r="DA496" s="14" t="s">
        <v>537</v>
      </c>
      <c r="DB496" s="14">
        <f>INDEX(属性投放!$AN$7:$AN$58,CU496)</f>
        <v>3</v>
      </c>
      <c r="DC496" s="14">
        <f t="shared" si="838"/>
        <v>24</v>
      </c>
      <c r="DD496" s="14">
        <f>INDEX(属性投放!$AO$7:$AO$58,DC496)</f>
        <v>78</v>
      </c>
      <c r="DE496" s="14" t="s">
        <v>538</v>
      </c>
      <c r="DF496" s="14">
        <f>INDEX(属性投放!$BK$6:$BK$85,(CV496-2)*20+CZ496)</f>
        <v>170</v>
      </c>
      <c r="DG496" s="14">
        <f>SUMIFS(DF$5:DF496,$CT$5:$CT496,"="&amp;$CT496)</f>
        <v>2080</v>
      </c>
      <c r="DH496" s="14" t="s">
        <v>539</v>
      </c>
      <c r="DI496" s="14">
        <f>INDEX(属性投放!$BL$6:$BL$85,(CV496-2)*20+CZ496)</f>
        <v>85</v>
      </c>
      <c r="DJ496" s="14">
        <f>SUMIFS(DI$5:DI496,$CT$5:$CT496,"="&amp;$CT496)</f>
        <v>1045</v>
      </c>
      <c r="DK496" s="14" t="s">
        <v>540</v>
      </c>
      <c r="DL496" s="14">
        <f>INDEX(属性投放!$BM$6:$BM$85,(CV496-2)*20+CZ496)</f>
        <v>1530</v>
      </c>
      <c r="DM496" s="14">
        <f>SUMIFS(DL$5:DL496,$CT$5:$CT496,"="&amp;$CT496)</f>
        <v>16910</v>
      </c>
      <c r="DR496" s="14">
        <f t="shared" si="849"/>
        <v>1102026</v>
      </c>
      <c r="DS496" s="14" t="str">
        <f t="shared" si="850"/>
        <v>雷震子12突</v>
      </c>
      <c r="DT496" s="14">
        <f t="shared" si="846"/>
        <v>7</v>
      </c>
      <c r="DU496" s="14">
        <f t="shared" si="847"/>
        <v>4</v>
      </c>
      <c r="DV496" s="14">
        <f t="shared" si="848"/>
        <v>4</v>
      </c>
      <c r="DW496" s="14">
        <f t="shared" si="851"/>
        <v>3</v>
      </c>
      <c r="DX496" s="14">
        <f t="shared" si="852"/>
        <v>12</v>
      </c>
      <c r="DY496" s="14">
        <f t="shared" si="853"/>
        <v>32</v>
      </c>
      <c r="DZ496" s="14">
        <f>INDEX(属性投放!$AX$6:$AX$85,(卡牌属性!DW496-2)*20+卡牌属性!DX496)</f>
        <v>7</v>
      </c>
      <c r="EA496" s="14">
        <f>INDEX(属性投放!BQ$6:BQ$85,卡牌属性!$DY496)</f>
        <v>350</v>
      </c>
      <c r="EB496" s="14">
        <f>INDEX(属性投放!BR$6:BR$85,卡牌属性!$DY496)</f>
        <v>175</v>
      </c>
      <c r="EC496" s="14">
        <f>INDEX(属性投放!BS$6:BS$85,卡牌属性!$DY496)</f>
        <v>3150</v>
      </c>
      <c r="ED496" s="14">
        <f t="shared" si="880"/>
        <v>3203</v>
      </c>
      <c r="EE496" s="14">
        <f t="shared" si="881"/>
        <v>3470</v>
      </c>
      <c r="EF496" s="14">
        <f t="shared" si="882"/>
        <v>3765</v>
      </c>
      <c r="EG496" s="14">
        <f t="shared" si="883"/>
        <v>3765</v>
      </c>
      <c r="EH496" s="14">
        <f t="shared" si="884"/>
        <v>4375</v>
      </c>
      <c r="EI496" s="14">
        <f t="shared" si="885"/>
        <v>1110</v>
      </c>
      <c r="EJ496" s="14">
        <f t="shared" si="886"/>
        <v>1232</v>
      </c>
      <c r="EK496" s="14">
        <f t="shared" si="887"/>
        <v>1232</v>
      </c>
      <c r="EL496" s="14">
        <f t="shared" si="888"/>
        <v>1303</v>
      </c>
      <c r="EM496" s="14">
        <f t="shared" si="889"/>
        <v>1573</v>
      </c>
      <c r="EN496" s="14">
        <f t="shared" si="890"/>
        <v>17137</v>
      </c>
      <c r="EO496" s="14">
        <f t="shared" si="891"/>
        <v>18940</v>
      </c>
      <c r="EP496" s="14">
        <f t="shared" si="892"/>
        <v>18940</v>
      </c>
      <c r="EQ496" s="14">
        <f t="shared" si="893"/>
        <v>19811</v>
      </c>
      <c r="ER496" s="14">
        <f t="shared" si="894"/>
        <v>23958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135</v>
      </c>
      <c r="FD496" s="14">
        <f>INDEX(属性偏向!$U$4:$U$243,(卡牌属性!$DV496-1+FD$3)*20+卡牌属性!$DX496)</f>
        <v>180</v>
      </c>
      <c r="FE496" s="14">
        <f>INDEX(属性偏向!$U$4:$U$243,(卡牌属性!$DV496-1+FE$3)*20+卡牌属性!$DX496)</f>
        <v>180</v>
      </c>
      <c r="FF496" s="14">
        <f>INDEX(属性偏向!$U$4:$U$243,(卡牌属性!$DV496-1+FF$3)*20+卡牌属性!$DX496)</f>
        <v>189</v>
      </c>
      <c r="FG496" s="14">
        <f>INDEX(属性偏向!$U$4:$U$243,(卡牌属性!$DV496-1+FG$3)*20+卡牌属性!$DX496)</f>
        <v>270</v>
      </c>
      <c r="FH496" s="14">
        <f>INDEX(属性投放!$BQ$6:$BQ$85,(卡牌属性!$DW496-2)*20+卡牌属性!$DX496)</f>
        <v>350</v>
      </c>
      <c r="FI496" s="14">
        <f>INDEX(属性投放!$BQ$6:$BQ$85,(卡牌属性!$DW496-2)*20+卡牌属性!$DX496)</f>
        <v>350</v>
      </c>
      <c r="FJ496" s="14">
        <f>INDEX(属性投放!$BQ$6:$BQ$85,(卡牌属性!$DW496-2)*20+卡牌属性!$DX496)</f>
        <v>350</v>
      </c>
      <c r="FK496" s="14">
        <f>INDEX(属性投放!$BQ$6:$BQ$85,(卡牌属性!$DW496-2)*20+卡牌属性!$DX496)</f>
        <v>350</v>
      </c>
      <c r="FL496" s="14">
        <f>INDEX(属性投放!$BQ$6:$BQ$85,(卡牌属性!$DW496-2)*20+卡牌属性!$DX496)</f>
        <v>350</v>
      </c>
      <c r="FM496" s="14">
        <f>INDEX(属性投放!$BR$6:$BR$85,(卡牌属性!$DW496-2)*20+卡牌属性!$DX496)</f>
        <v>175</v>
      </c>
      <c r="FN496" s="14">
        <f>INDEX(属性投放!$BR$6:$BR$85,(卡牌属性!$DW496-2)*20+卡牌属性!$DX496)</f>
        <v>175</v>
      </c>
      <c r="FO496" s="14">
        <f>INDEX(属性投放!$BR$6:$BR$85,(卡牌属性!$DW496-2)*20+卡牌属性!$DX496)</f>
        <v>175</v>
      </c>
      <c r="FP496" s="14">
        <f>INDEX(属性投放!$BR$6:$BR$85,(卡牌属性!$DW496-2)*20+卡牌属性!$DX496)</f>
        <v>175</v>
      </c>
      <c r="FQ496" s="14">
        <f>INDEX(属性投放!$BR$6:$BR$85,(卡牌属性!$DW496-2)*20+卡牌属性!$DX496)</f>
        <v>175</v>
      </c>
      <c r="FR496" s="14">
        <f>INDEX(属性投放!$BS$6:$BS$85,(卡牌属性!$DW496-2)*20+卡牌属性!$DX496)</f>
        <v>3150</v>
      </c>
      <c r="FS496" s="14">
        <f>INDEX(属性投放!$BS$6:$BS$85,(卡牌属性!$DW496-2)*20+卡牌属性!$DX496)</f>
        <v>3150</v>
      </c>
      <c r="FT496" s="14">
        <f>INDEX(属性投放!$BS$6:$BS$85,(卡牌属性!$DW496-2)*20+卡牌属性!$DX496)</f>
        <v>3150</v>
      </c>
      <c r="FU496" s="14">
        <f>INDEX(属性投放!$BS$6:$BS$85,(卡牌属性!$DW496-2)*20+卡牌属性!$DX496)</f>
        <v>3150</v>
      </c>
      <c r="FV496" s="14">
        <f>INDEX(属性投放!$BS$6:$BS$85,(卡牌属性!$DW496-2)*20+卡牌属性!$DX496)</f>
        <v>3150</v>
      </c>
    </row>
    <row r="497" spans="31:178" ht="16.5" x14ac:dyDescent="0.2">
      <c r="AE497" s="13">
        <v>493</v>
      </c>
      <c r="AF497" s="13">
        <f t="shared" si="854"/>
        <v>25</v>
      </c>
      <c r="AG497" s="13">
        <f t="shared" si="855"/>
        <v>3</v>
      </c>
      <c r="AH497" s="13"/>
      <c r="AI497" s="13"/>
      <c r="AJ497" s="14">
        <f t="shared" si="856"/>
        <v>1101998</v>
      </c>
      <c r="AK497" s="14" t="str">
        <f t="shared" si="857"/>
        <v>SR寄灵人13突</v>
      </c>
      <c r="AL497" s="25" t="s">
        <v>142</v>
      </c>
      <c r="AM497" s="14">
        <v>1</v>
      </c>
      <c r="AN497" s="14">
        <f t="shared" si="858"/>
        <v>13</v>
      </c>
      <c r="AO497" s="14">
        <f>INDEX(属性投放!$DF$6:$DF$85,(卡牌属性!AG497-2)*20+卡牌属性!AN497)</f>
        <v>5664</v>
      </c>
      <c r="AP497" s="14">
        <f t="shared" si="859"/>
        <v>5664</v>
      </c>
      <c r="AQ497" s="14">
        <f t="shared" si="859"/>
        <v>5664</v>
      </c>
      <c r="AR497" s="14">
        <f t="shared" si="859"/>
        <v>5664</v>
      </c>
      <c r="AS497" s="14">
        <f t="shared" si="859"/>
        <v>5664</v>
      </c>
      <c r="AT497" s="14">
        <f>INDEX(属性投放!$DG$6:$DG$85,(卡牌属性!AG497-2)*20+卡牌属性!AN497)</f>
        <v>2770</v>
      </c>
      <c r="AU497" s="14">
        <f t="shared" si="860"/>
        <v>2770</v>
      </c>
      <c r="AV497" s="14">
        <f t="shared" si="860"/>
        <v>2770</v>
      </c>
      <c r="AW497" s="14">
        <f t="shared" si="860"/>
        <v>2770</v>
      </c>
      <c r="AX497" s="14">
        <f t="shared" si="860"/>
        <v>2770</v>
      </c>
      <c r="AY497" s="14">
        <f>INDEX(属性投放!$DH$6:$DH$85,(卡牌属性!AG497-2)*20+卡牌属性!AN497)</f>
        <v>45768</v>
      </c>
      <c r="AZ497" s="14">
        <f t="shared" si="861"/>
        <v>45768</v>
      </c>
      <c r="BA497" s="14">
        <f t="shared" si="861"/>
        <v>45768</v>
      </c>
      <c r="BB497" s="14">
        <f t="shared" si="861"/>
        <v>45768</v>
      </c>
      <c r="BC497" s="14">
        <f t="shared" si="861"/>
        <v>45768</v>
      </c>
      <c r="BD497" s="14">
        <f>INDEX(属性投放!$DL$6:$DL$85,(卡牌属性!AG497-2)*20+卡牌属性!AN497)</f>
        <v>176</v>
      </c>
      <c r="BE497" s="14">
        <f t="shared" si="862"/>
        <v>176</v>
      </c>
      <c r="BF497" s="14">
        <f t="shared" si="862"/>
        <v>176</v>
      </c>
      <c r="BG497" s="14">
        <f t="shared" si="862"/>
        <v>176</v>
      </c>
      <c r="BH497" s="14">
        <f t="shared" si="862"/>
        <v>176</v>
      </c>
      <c r="BI497" s="14">
        <f>INDEX(属性投放!$DM$6:$DM$85,(卡牌属性!AG497-2)*20+卡牌属性!AN497)</f>
        <v>88</v>
      </c>
      <c r="BJ497" s="14">
        <f t="shared" si="863"/>
        <v>88</v>
      </c>
      <c r="BK497" s="14">
        <f t="shared" si="863"/>
        <v>88</v>
      </c>
      <c r="BL497" s="14">
        <f t="shared" si="863"/>
        <v>88</v>
      </c>
      <c r="BM497" s="14">
        <f t="shared" si="863"/>
        <v>88</v>
      </c>
      <c r="BN497" s="14">
        <f>INDEX(属性投放!$DN$6:$DN$85,(卡牌属性!AG497-2)*20+卡牌属性!AN497)</f>
        <v>1759</v>
      </c>
      <c r="BO497" s="14">
        <f t="shared" si="864"/>
        <v>1759</v>
      </c>
      <c r="BP497" s="14">
        <f t="shared" si="864"/>
        <v>1759</v>
      </c>
      <c r="BQ497" s="14">
        <f t="shared" si="864"/>
        <v>1759</v>
      </c>
      <c r="BR497" s="14">
        <f t="shared" si="864"/>
        <v>1759</v>
      </c>
      <c r="BW497" s="13">
        <v>493</v>
      </c>
      <c r="BX497" s="13">
        <f t="shared" si="835"/>
        <v>25</v>
      </c>
      <c r="BY497" s="14">
        <f t="shared" si="836"/>
        <v>3</v>
      </c>
      <c r="BZ497" s="14">
        <f t="shared" si="840"/>
        <v>1102026</v>
      </c>
      <c r="CA497" s="14" t="str">
        <f t="shared" si="841"/>
        <v>雷震子13突</v>
      </c>
      <c r="CB497" s="25" t="s">
        <v>142</v>
      </c>
      <c r="CC497" s="14">
        <v>2</v>
      </c>
      <c r="CD497" s="14">
        <f t="shared" si="837"/>
        <v>13</v>
      </c>
      <c r="CE497" s="14" t="s">
        <v>21</v>
      </c>
      <c r="CF497" s="14">
        <f>INDEX(属性投放!$AZ$6:$AZ$85,(BY497-2)*20+CD497)</f>
        <v>5441</v>
      </c>
      <c r="CG497" s="14" t="s">
        <v>22</v>
      </c>
      <c r="CH497" s="14">
        <f>INDEX(属性投放!$BA$6:$BA$85,(BY497-2)*20+CD497)</f>
        <v>2670</v>
      </c>
      <c r="CI497" s="14" t="s">
        <v>510</v>
      </c>
      <c r="CJ497" s="14">
        <f>INDEX(属性投放!$BB$6:$BB$85,(BY497-2)*20+CD497)</f>
        <v>43590</v>
      </c>
      <c r="CK497" s="14" t="s">
        <v>21</v>
      </c>
      <c r="CL497" s="14">
        <f>INDEX(属性投放!$BC$6:$BC$85,(BY497-2)*20+CD497)</f>
        <v>25</v>
      </c>
      <c r="CM497" s="14" t="s">
        <v>22</v>
      </c>
      <c r="CN497" s="14">
        <f>INDEX(属性投放!$BD$6:$BD$85,(BY497-2)*20+CD497)</f>
        <v>13</v>
      </c>
      <c r="CO497" s="14" t="s">
        <v>510</v>
      </c>
      <c r="CP497" s="14">
        <f>INDEX(属性投放!$BE$6:$BE$85,(BY497-2)*20+CD497)</f>
        <v>250</v>
      </c>
      <c r="CS497" s="13">
        <v>493</v>
      </c>
      <c r="CT497" s="13">
        <f t="shared" si="842"/>
        <v>10</v>
      </c>
      <c r="CU497" s="13">
        <f t="shared" si="843"/>
        <v>25</v>
      </c>
      <c r="CV497" s="14">
        <f t="shared" si="844"/>
        <v>4</v>
      </c>
      <c r="CW497" s="14">
        <f t="shared" si="845"/>
        <v>1102010</v>
      </c>
      <c r="CX497" s="14" t="str">
        <f>INDEX($O$6:$O$50,CT497)&amp;"-"&amp;INDEX(属性投放!$AB$7:$AB$50,CZ497)&amp;"-魂火-"&amp;DB497</f>
        <v>张郃-大叫唤+2-魂火-1</v>
      </c>
      <c r="CY497" s="25" t="s">
        <v>142</v>
      </c>
      <c r="CZ497" s="14">
        <f>INDEX(属性投放!$AM$7:$AM$58,CU497)</f>
        <v>12</v>
      </c>
      <c r="DA497" s="14" t="s">
        <v>537</v>
      </c>
      <c r="DB497" s="14">
        <f>INDEX(属性投放!$AN$7:$AN$58,CU497)</f>
        <v>1</v>
      </c>
      <c r="DC497" s="14">
        <f t="shared" si="838"/>
        <v>25</v>
      </c>
      <c r="DD497" s="14">
        <f>INDEX(属性投放!$AO$7:$AO$58,DC497)</f>
        <v>80</v>
      </c>
      <c r="DE497" s="14" t="s">
        <v>538</v>
      </c>
      <c r="DF497" s="14">
        <f>INDEX(属性投放!$BK$6:$BK$85,(CV497-2)*20+CZ497)</f>
        <v>225</v>
      </c>
      <c r="DG497" s="14">
        <f>SUMIFS(DF$5:DF497,$CT$5:$CT497,"="&amp;$CT497)</f>
        <v>2305</v>
      </c>
      <c r="DH497" s="14" t="s">
        <v>539</v>
      </c>
      <c r="DI497" s="14">
        <f>INDEX(属性投放!$BL$6:$BL$85,(CV497-2)*20+CZ497)</f>
        <v>113</v>
      </c>
      <c r="DJ497" s="14">
        <f>SUMIFS(DI$5:DI497,$CT$5:$CT497,"="&amp;$CT497)</f>
        <v>1158</v>
      </c>
      <c r="DK497" s="14" t="s">
        <v>540</v>
      </c>
      <c r="DL497" s="14">
        <f>INDEX(属性投放!$BM$6:$BM$85,(CV497-2)*20+CZ497)</f>
        <v>2025</v>
      </c>
      <c r="DM497" s="14">
        <f>SUMIFS(DL$5:DL497,$CT$5:$CT497,"="&amp;$CT497)</f>
        <v>18935</v>
      </c>
      <c r="DR497" s="14">
        <f t="shared" si="849"/>
        <v>1102026</v>
      </c>
      <c r="DS497" s="14" t="str">
        <f t="shared" si="850"/>
        <v>雷震子13突</v>
      </c>
      <c r="DT497" s="14">
        <f t="shared" si="846"/>
        <v>7</v>
      </c>
      <c r="DU497" s="14">
        <f t="shared" si="847"/>
        <v>4</v>
      </c>
      <c r="DV497" s="14">
        <f t="shared" si="848"/>
        <v>4</v>
      </c>
      <c r="DW497" s="14">
        <f t="shared" si="851"/>
        <v>3</v>
      </c>
      <c r="DX497" s="14">
        <f t="shared" si="852"/>
        <v>13</v>
      </c>
      <c r="DY497" s="14">
        <f t="shared" si="853"/>
        <v>33</v>
      </c>
      <c r="DZ497" s="14">
        <f>INDEX(属性投放!$AX$6:$AX$85,(卡牌属性!DW497-2)*20+卡牌属性!DX497)</f>
        <v>8</v>
      </c>
      <c r="EA497" s="14">
        <f>INDEX(属性投放!BQ$6:BQ$85,卡牌属性!$DY497)</f>
        <v>400</v>
      </c>
      <c r="EB497" s="14">
        <f>INDEX(属性投放!BR$6:BR$85,卡牌属性!$DY497)</f>
        <v>200</v>
      </c>
      <c r="EC497" s="14">
        <f>INDEX(属性投放!BS$6:BS$85,卡牌属性!$DY497)</f>
        <v>4000</v>
      </c>
      <c r="ED497" s="14">
        <f t="shared" si="880"/>
        <v>3763</v>
      </c>
      <c r="EE497" s="14">
        <f t="shared" si="881"/>
        <v>4065</v>
      </c>
      <c r="EF497" s="14">
        <f t="shared" si="882"/>
        <v>4395</v>
      </c>
      <c r="EG497" s="14">
        <f t="shared" si="883"/>
        <v>4395</v>
      </c>
      <c r="EH497" s="14">
        <f t="shared" si="884"/>
        <v>5075</v>
      </c>
      <c r="EI497" s="14">
        <f t="shared" si="885"/>
        <v>1341</v>
      </c>
      <c r="EJ497" s="14">
        <f t="shared" si="886"/>
        <v>1477</v>
      </c>
      <c r="EK497" s="14">
        <f t="shared" si="887"/>
        <v>1477</v>
      </c>
      <c r="EL497" s="14">
        <f t="shared" si="888"/>
        <v>1555</v>
      </c>
      <c r="EM497" s="14">
        <f t="shared" si="889"/>
        <v>1853</v>
      </c>
      <c r="EN497" s="14">
        <f t="shared" si="890"/>
        <v>21232</v>
      </c>
      <c r="EO497" s="14">
        <f t="shared" si="891"/>
        <v>23350</v>
      </c>
      <c r="EP497" s="14">
        <f t="shared" si="892"/>
        <v>23350</v>
      </c>
      <c r="EQ497" s="14">
        <f t="shared" si="893"/>
        <v>24284</v>
      </c>
      <c r="ER497" s="14">
        <f t="shared" si="894"/>
        <v>28998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INDEX(属性投放!$BQ$6:$BQ$85,(卡牌属性!$DW497-2)*20+卡牌属性!$DX497)</f>
        <v>400</v>
      </c>
      <c r="FI497" s="14">
        <f>INDEX(属性投放!$BQ$6:$BQ$85,(卡牌属性!$DW497-2)*20+卡牌属性!$DX497)</f>
        <v>400</v>
      </c>
      <c r="FJ497" s="14">
        <f>INDEX(属性投放!$BQ$6:$BQ$85,(卡牌属性!$DW497-2)*20+卡牌属性!$DX497)</f>
        <v>400</v>
      </c>
      <c r="FK497" s="14">
        <f>INDEX(属性投放!$BQ$6:$BQ$85,(卡牌属性!$DW497-2)*20+卡牌属性!$DX497)</f>
        <v>400</v>
      </c>
      <c r="FL497" s="14">
        <f>INDEX(属性投放!$BQ$6:$BQ$85,(卡牌属性!$DW497-2)*20+卡牌属性!$DX497)</f>
        <v>400</v>
      </c>
      <c r="FM497" s="14">
        <f>INDEX(属性投放!$BR$6:$BR$85,(卡牌属性!$DW497-2)*20+卡牌属性!$DX497)</f>
        <v>200</v>
      </c>
      <c r="FN497" s="14">
        <f>INDEX(属性投放!$BR$6:$BR$85,(卡牌属性!$DW497-2)*20+卡牌属性!$DX497)</f>
        <v>200</v>
      </c>
      <c r="FO497" s="14">
        <f>INDEX(属性投放!$BR$6:$BR$85,(卡牌属性!$DW497-2)*20+卡牌属性!$DX497)</f>
        <v>200</v>
      </c>
      <c r="FP497" s="14">
        <f>INDEX(属性投放!$BR$6:$BR$85,(卡牌属性!$DW497-2)*20+卡牌属性!$DX497)</f>
        <v>200</v>
      </c>
      <c r="FQ497" s="14">
        <f>INDEX(属性投放!$BR$6:$BR$85,(卡牌属性!$DW497-2)*20+卡牌属性!$DX497)</f>
        <v>200</v>
      </c>
      <c r="FR497" s="14">
        <f>INDEX(属性投放!$BS$6:$BS$85,(卡牌属性!$DW497-2)*20+卡牌属性!$DX497)</f>
        <v>4000</v>
      </c>
      <c r="FS497" s="14">
        <f>INDEX(属性投放!$BS$6:$BS$85,(卡牌属性!$DW497-2)*20+卡牌属性!$DX497)</f>
        <v>4000</v>
      </c>
      <c r="FT497" s="14">
        <f>INDEX(属性投放!$BS$6:$BS$85,(卡牌属性!$DW497-2)*20+卡牌属性!$DX497)</f>
        <v>4000</v>
      </c>
      <c r="FU497" s="14">
        <f>INDEX(属性投放!$BS$6:$BS$85,(卡牌属性!$DW497-2)*20+卡牌属性!$DX497)</f>
        <v>4000</v>
      </c>
      <c r="FV497" s="14">
        <f>INDEX(属性投放!$BS$6:$BS$85,(卡牌属性!$DW497-2)*20+卡牌属性!$DX497)</f>
        <v>4000</v>
      </c>
    </row>
    <row r="498" spans="31:178" ht="16.5" x14ac:dyDescent="0.2">
      <c r="AE498" s="13">
        <v>494</v>
      </c>
      <c r="AF498" s="13">
        <f t="shared" si="854"/>
        <v>25</v>
      </c>
      <c r="AG498" s="13">
        <f t="shared" si="855"/>
        <v>3</v>
      </c>
      <c r="AH498" s="13"/>
      <c r="AI498" s="13"/>
      <c r="AJ498" s="14">
        <f t="shared" si="856"/>
        <v>1101998</v>
      </c>
      <c r="AK498" s="14" t="str">
        <f t="shared" si="857"/>
        <v>SR寄灵人14突</v>
      </c>
      <c r="AL498" s="25" t="s">
        <v>142</v>
      </c>
      <c r="AM498" s="14">
        <v>1</v>
      </c>
      <c r="AN498" s="14">
        <f t="shared" si="858"/>
        <v>14</v>
      </c>
      <c r="AO498" s="14">
        <f>INDEX(属性投放!$DF$6:$DF$85,(卡牌属性!AG498-2)*20+卡牌属性!AN498)</f>
        <v>6167</v>
      </c>
      <c r="AP498" s="14">
        <f t="shared" si="859"/>
        <v>6167</v>
      </c>
      <c r="AQ498" s="14">
        <f t="shared" si="859"/>
        <v>6167</v>
      </c>
      <c r="AR498" s="14">
        <f t="shared" si="859"/>
        <v>6167</v>
      </c>
      <c r="AS498" s="14">
        <f t="shared" si="859"/>
        <v>6167</v>
      </c>
      <c r="AT498" s="14">
        <f>INDEX(属性投放!$DG$6:$DG$85,(卡牌属性!AG498-2)*20+卡牌属性!AN498)</f>
        <v>3022</v>
      </c>
      <c r="AU498" s="14">
        <f t="shared" si="860"/>
        <v>3022</v>
      </c>
      <c r="AV498" s="14">
        <f t="shared" si="860"/>
        <v>3022</v>
      </c>
      <c r="AW498" s="14">
        <f t="shared" si="860"/>
        <v>3022</v>
      </c>
      <c r="AX498" s="14">
        <f t="shared" si="860"/>
        <v>3022</v>
      </c>
      <c r="AY498" s="14">
        <f>INDEX(属性投放!$DH$6:$DH$85,(卡牌属性!AG498-2)*20+卡牌属性!AN498)</f>
        <v>50793</v>
      </c>
      <c r="AZ498" s="14">
        <f t="shared" si="861"/>
        <v>50793</v>
      </c>
      <c r="BA498" s="14">
        <f t="shared" si="861"/>
        <v>50793</v>
      </c>
      <c r="BB498" s="14">
        <f t="shared" si="861"/>
        <v>50793</v>
      </c>
      <c r="BC498" s="14">
        <f t="shared" si="861"/>
        <v>50793</v>
      </c>
      <c r="BD498" s="14">
        <f>INDEX(属性投放!$DL$6:$DL$85,(卡牌属性!AG498-2)*20+卡牌属性!AN498)</f>
        <v>176</v>
      </c>
      <c r="BE498" s="14">
        <f t="shared" si="862"/>
        <v>176</v>
      </c>
      <c r="BF498" s="14">
        <f t="shared" si="862"/>
        <v>176</v>
      </c>
      <c r="BG498" s="14">
        <f t="shared" si="862"/>
        <v>176</v>
      </c>
      <c r="BH498" s="14">
        <f t="shared" si="862"/>
        <v>176</v>
      </c>
      <c r="BI498" s="14">
        <f>INDEX(属性投放!$DM$6:$DM$85,(卡牌属性!AG498-2)*20+卡牌属性!AN498)</f>
        <v>88</v>
      </c>
      <c r="BJ498" s="14">
        <f t="shared" si="863"/>
        <v>88</v>
      </c>
      <c r="BK498" s="14">
        <f t="shared" si="863"/>
        <v>88</v>
      </c>
      <c r="BL498" s="14">
        <f t="shared" si="863"/>
        <v>88</v>
      </c>
      <c r="BM498" s="14">
        <f t="shared" si="863"/>
        <v>88</v>
      </c>
      <c r="BN498" s="14">
        <f>INDEX(属性投放!$DN$6:$DN$85,(卡牌属性!AG498-2)*20+卡牌属性!AN498)</f>
        <v>1759</v>
      </c>
      <c r="BO498" s="14">
        <f t="shared" si="864"/>
        <v>1759</v>
      </c>
      <c r="BP498" s="14">
        <f t="shared" si="864"/>
        <v>1759</v>
      </c>
      <c r="BQ498" s="14">
        <f t="shared" si="864"/>
        <v>1759</v>
      </c>
      <c r="BR498" s="14">
        <f t="shared" si="864"/>
        <v>1759</v>
      </c>
      <c r="BW498" s="13">
        <v>494</v>
      </c>
      <c r="BX498" s="13">
        <f t="shared" si="835"/>
        <v>25</v>
      </c>
      <c r="BY498" s="14">
        <f t="shared" si="836"/>
        <v>3</v>
      </c>
      <c r="BZ498" s="14">
        <f t="shared" si="840"/>
        <v>1102026</v>
      </c>
      <c r="CA498" s="14" t="str">
        <f t="shared" si="841"/>
        <v>雷震子14突</v>
      </c>
      <c r="CB498" s="25" t="s">
        <v>142</v>
      </c>
      <c r="CC498" s="14">
        <v>2</v>
      </c>
      <c r="CD498" s="14">
        <f t="shared" si="837"/>
        <v>14</v>
      </c>
      <c r="CE498" s="14" t="s">
        <v>21</v>
      </c>
      <c r="CF498" s="14">
        <f>INDEX(属性投放!$AZ$6:$AZ$85,(BY498-2)*20+CD498)</f>
        <v>6791</v>
      </c>
      <c r="CG498" s="14" t="s">
        <v>22</v>
      </c>
      <c r="CH498" s="14">
        <f>INDEX(属性投放!$BA$6:$BA$85,(BY498-2)*20+CD498)</f>
        <v>3349</v>
      </c>
      <c r="CI498" s="14" t="s">
        <v>510</v>
      </c>
      <c r="CJ498" s="14">
        <f>INDEX(属性投放!$BB$6:$BB$85,(BY498-2)*20+CD498)</f>
        <v>57090</v>
      </c>
      <c r="CK498" s="14" t="s">
        <v>21</v>
      </c>
      <c r="CL498" s="14">
        <f>INDEX(属性投放!$BC$6:$BC$85,(BY498-2)*20+CD498)</f>
        <v>25</v>
      </c>
      <c r="CM498" s="14" t="s">
        <v>22</v>
      </c>
      <c r="CN498" s="14">
        <f>INDEX(属性投放!$BD$6:$BD$85,(BY498-2)*20+CD498)</f>
        <v>13</v>
      </c>
      <c r="CO498" s="14" t="s">
        <v>510</v>
      </c>
      <c r="CP498" s="14">
        <f>INDEX(属性投放!$BE$6:$BE$85,(BY498-2)*20+CD498)</f>
        <v>250</v>
      </c>
      <c r="CS498" s="13">
        <v>494</v>
      </c>
      <c r="CT498" s="13">
        <f t="shared" si="842"/>
        <v>10</v>
      </c>
      <c r="CU498" s="13">
        <f t="shared" si="843"/>
        <v>26</v>
      </c>
      <c r="CV498" s="14">
        <f t="shared" si="844"/>
        <v>4</v>
      </c>
      <c r="CW498" s="14">
        <f t="shared" si="845"/>
        <v>1102010</v>
      </c>
      <c r="CX498" s="14" t="str">
        <f>INDEX($O$6:$O$50,CT498)&amp;"-"&amp;INDEX(属性投放!$AB$7:$AB$50,CZ498)&amp;"-魂火-"&amp;DB498</f>
        <v>张郃-大叫唤+2-魂火-2</v>
      </c>
      <c r="CY498" s="25" t="s">
        <v>142</v>
      </c>
      <c r="CZ498" s="14">
        <f>INDEX(属性投放!$AM$7:$AM$58,CU498)</f>
        <v>12</v>
      </c>
      <c r="DA498" s="14" t="s">
        <v>537</v>
      </c>
      <c r="DB498" s="14">
        <f>INDEX(属性投放!$AN$7:$AN$58,CU498)</f>
        <v>2</v>
      </c>
      <c r="DC498" s="14">
        <f t="shared" si="838"/>
        <v>26</v>
      </c>
      <c r="DD498" s="14">
        <f>INDEX(属性投放!$AO$7:$AO$58,DC498)</f>
        <v>83</v>
      </c>
      <c r="DE498" s="14" t="s">
        <v>538</v>
      </c>
      <c r="DF498" s="14">
        <f>INDEX(属性投放!$BK$6:$BK$85,(CV498-2)*20+CZ498)</f>
        <v>225</v>
      </c>
      <c r="DG498" s="14">
        <f>SUMIFS(DF$5:DF498,$CT$5:$CT498,"="&amp;$CT498)</f>
        <v>2530</v>
      </c>
      <c r="DH498" s="14" t="s">
        <v>539</v>
      </c>
      <c r="DI498" s="14">
        <f>INDEX(属性投放!$BL$6:$BL$85,(CV498-2)*20+CZ498)</f>
        <v>113</v>
      </c>
      <c r="DJ498" s="14">
        <f>SUMIFS(DI$5:DI498,$CT$5:$CT498,"="&amp;$CT498)</f>
        <v>1271</v>
      </c>
      <c r="DK498" s="14" t="s">
        <v>540</v>
      </c>
      <c r="DL498" s="14">
        <f>INDEX(属性投放!$BM$6:$BM$85,(CV498-2)*20+CZ498)</f>
        <v>2025</v>
      </c>
      <c r="DM498" s="14">
        <f>SUMIFS(DL$5:DL498,$CT$5:$CT498,"="&amp;$CT498)</f>
        <v>20960</v>
      </c>
      <c r="DR498" s="14">
        <f t="shared" si="849"/>
        <v>1102026</v>
      </c>
      <c r="DS498" s="14" t="str">
        <f t="shared" si="850"/>
        <v>雷震子14突</v>
      </c>
      <c r="DT498" s="14">
        <f t="shared" si="846"/>
        <v>7</v>
      </c>
      <c r="DU498" s="14">
        <f t="shared" si="847"/>
        <v>4</v>
      </c>
      <c r="DV498" s="14">
        <f t="shared" si="848"/>
        <v>4</v>
      </c>
      <c r="DW498" s="14">
        <f t="shared" si="851"/>
        <v>3</v>
      </c>
      <c r="DX498" s="14">
        <f t="shared" si="852"/>
        <v>14</v>
      </c>
      <c r="DY498" s="14">
        <f t="shared" si="853"/>
        <v>34</v>
      </c>
      <c r="DZ498" s="14">
        <f>INDEX(属性投放!$AX$6:$AX$85,(卡牌属性!DW498-2)*20+卡牌属性!DX498)</f>
        <v>7</v>
      </c>
      <c r="EA498" s="14">
        <f>INDEX(属性投放!BQ$6:BQ$85,卡牌属性!$DY498)</f>
        <v>450</v>
      </c>
      <c r="EB498" s="14">
        <f>INDEX(属性投放!BR$6:BR$85,卡牌属性!$DY498)</f>
        <v>225</v>
      </c>
      <c r="EC498" s="14">
        <f>INDEX(属性投放!BS$6:BS$85,卡牌属性!$DY498)</f>
        <v>4500</v>
      </c>
      <c r="ED498" s="14">
        <f t="shared" si="880"/>
        <v>4483</v>
      </c>
      <c r="EE498" s="14">
        <f t="shared" si="881"/>
        <v>4825</v>
      </c>
      <c r="EF498" s="14">
        <f t="shared" si="882"/>
        <v>5195</v>
      </c>
      <c r="EG498" s="14">
        <f t="shared" si="883"/>
        <v>5195</v>
      </c>
      <c r="EH498" s="14">
        <f t="shared" si="884"/>
        <v>6075</v>
      </c>
      <c r="EI498" s="14">
        <f t="shared" si="885"/>
        <v>1621</v>
      </c>
      <c r="EJ498" s="14">
        <f t="shared" si="886"/>
        <v>1781</v>
      </c>
      <c r="EK498" s="14">
        <f t="shared" si="887"/>
        <v>1781</v>
      </c>
      <c r="EL498" s="14">
        <f t="shared" si="888"/>
        <v>1859</v>
      </c>
      <c r="EM498" s="14">
        <f t="shared" si="889"/>
        <v>2213</v>
      </c>
      <c r="EN498" s="14">
        <f t="shared" si="890"/>
        <v>26832</v>
      </c>
      <c r="EO498" s="14">
        <f t="shared" si="891"/>
        <v>29350</v>
      </c>
      <c r="EP498" s="14">
        <f t="shared" si="892"/>
        <v>29350</v>
      </c>
      <c r="EQ498" s="14">
        <f t="shared" si="893"/>
        <v>30364</v>
      </c>
      <c r="ER498" s="14">
        <f t="shared" si="894"/>
        <v>36198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INDEX(属性投放!$BQ$6:$BQ$85,(卡牌属性!$DW498-2)*20+卡牌属性!$DX498)</f>
        <v>450</v>
      </c>
      <c r="FI498" s="14">
        <f>INDEX(属性投放!$BQ$6:$BQ$85,(卡牌属性!$DW498-2)*20+卡牌属性!$DX498)</f>
        <v>450</v>
      </c>
      <c r="FJ498" s="14">
        <f>INDEX(属性投放!$BQ$6:$BQ$85,(卡牌属性!$DW498-2)*20+卡牌属性!$DX498)</f>
        <v>450</v>
      </c>
      <c r="FK498" s="14">
        <f>INDEX(属性投放!$BQ$6:$BQ$85,(卡牌属性!$DW498-2)*20+卡牌属性!$DX498)</f>
        <v>450</v>
      </c>
      <c r="FL498" s="14">
        <f>INDEX(属性投放!$BQ$6:$BQ$85,(卡牌属性!$DW498-2)*20+卡牌属性!$DX498)</f>
        <v>450</v>
      </c>
      <c r="FM498" s="14">
        <f>INDEX(属性投放!$BR$6:$BR$85,(卡牌属性!$DW498-2)*20+卡牌属性!$DX498)</f>
        <v>225</v>
      </c>
      <c r="FN498" s="14">
        <f>INDEX(属性投放!$BR$6:$BR$85,(卡牌属性!$DW498-2)*20+卡牌属性!$DX498)</f>
        <v>225</v>
      </c>
      <c r="FO498" s="14">
        <f>INDEX(属性投放!$BR$6:$BR$85,(卡牌属性!$DW498-2)*20+卡牌属性!$DX498)</f>
        <v>225</v>
      </c>
      <c r="FP498" s="14">
        <f>INDEX(属性投放!$BR$6:$BR$85,(卡牌属性!$DW498-2)*20+卡牌属性!$DX498)</f>
        <v>225</v>
      </c>
      <c r="FQ498" s="14">
        <f>INDEX(属性投放!$BR$6:$BR$85,(卡牌属性!$DW498-2)*20+卡牌属性!$DX498)</f>
        <v>225</v>
      </c>
      <c r="FR498" s="14">
        <f>INDEX(属性投放!$BS$6:$BS$85,(卡牌属性!$DW498-2)*20+卡牌属性!$DX498)</f>
        <v>4500</v>
      </c>
      <c r="FS498" s="14">
        <f>INDEX(属性投放!$BS$6:$BS$85,(卡牌属性!$DW498-2)*20+卡牌属性!$DX498)</f>
        <v>4500</v>
      </c>
      <c r="FT498" s="14">
        <f>INDEX(属性投放!$BS$6:$BS$85,(卡牌属性!$DW498-2)*20+卡牌属性!$DX498)</f>
        <v>4500</v>
      </c>
      <c r="FU498" s="14">
        <f>INDEX(属性投放!$BS$6:$BS$85,(卡牌属性!$DW498-2)*20+卡牌属性!$DX498)</f>
        <v>4500</v>
      </c>
      <c r="FV498" s="14">
        <f>INDEX(属性投放!$BS$6:$BS$85,(卡牌属性!$DW498-2)*20+卡牌属性!$DX498)</f>
        <v>4500</v>
      </c>
    </row>
    <row r="499" spans="31:178" ht="16.5" x14ac:dyDescent="0.2">
      <c r="AE499" s="13">
        <v>495</v>
      </c>
      <c r="AF499" s="13">
        <f t="shared" si="854"/>
        <v>25</v>
      </c>
      <c r="AG499" s="13">
        <f t="shared" si="855"/>
        <v>3</v>
      </c>
      <c r="AH499" s="13"/>
      <c r="AI499" s="13"/>
      <c r="AJ499" s="14">
        <f t="shared" si="856"/>
        <v>1101998</v>
      </c>
      <c r="AK499" s="14" t="str">
        <f t="shared" si="857"/>
        <v>SR寄灵人15突</v>
      </c>
      <c r="AL499" s="25" t="s">
        <v>142</v>
      </c>
      <c r="AM499" s="14">
        <v>1</v>
      </c>
      <c r="AN499" s="14">
        <f t="shared" si="858"/>
        <v>15</v>
      </c>
      <c r="AO499" s="14">
        <f>INDEX(属性投放!$DF$6:$DF$85,(卡牌属性!AG499-2)*20+卡牌属性!AN499)</f>
        <v>6670</v>
      </c>
      <c r="AP499" s="14">
        <f t="shared" si="859"/>
        <v>6670</v>
      </c>
      <c r="AQ499" s="14">
        <f t="shared" si="859"/>
        <v>6670</v>
      </c>
      <c r="AR499" s="14">
        <f t="shared" si="859"/>
        <v>6670</v>
      </c>
      <c r="AS499" s="14">
        <f t="shared" si="859"/>
        <v>6670</v>
      </c>
      <c r="AT499" s="14">
        <f>INDEX(属性投放!$DG$6:$DG$85,(卡牌属性!AG499-2)*20+卡牌属性!AN499)</f>
        <v>3274</v>
      </c>
      <c r="AU499" s="14">
        <f t="shared" si="860"/>
        <v>3274</v>
      </c>
      <c r="AV499" s="14">
        <f t="shared" si="860"/>
        <v>3274</v>
      </c>
      <c r="AW499" s="14">
        <f t="shared" si="860"/>
        <v>3274</v>
      </c>
      <c r="AX499" s="14">
        <f t="shared" si="860"/>
        <v>3274</v>
      </c>
      <c r="AY499" s="14">
        <f>INDEX(属性投放!$DH$6:$DH$85,(卡牌属性!AG499-2)*20+卡牌属性!AN499)</f>
        <v>55818</v>
      </c>
      <c r="AZ499" s="14">
        <f t="shared" si="861"/>
        <v>55818</v>
      </c>
      <c r="BA499" s="14">
        <f t="shared" si="861"/>
        <v>55818</v>
      </c>
      <c r="BB499" s="14">
        <f t="shared" si="861"/>
        <v>55818</v>
      </c>
      <c r="BC499" s="14">
        <f t="shared" si="861"/>
        <v>55818</v>
      </c>
      <c r="BD499" s="14">
        <f>INDEX(属性投放!$DL$6:$DL$85,(卡牌属性!AG499-2)*20+卡牌属性!AN499)</f>
        <v>176</v>
      </c>
      <c r="BE499" s="14">
        <f t="shared" si="862"/>
        <v>176</v>
      </c>
      <c r="BF499" s="14">
        <f t="shared" si="862"/>
        <v>176</v>
      </c>
      <c r="BG499" s="14">
        <f t="shared" si="862"/>
        <v>176</v>
      </c>
      <c r="BH499" s="14">
        <f t="shared" si="862"/>
        <v>176</v>
      </c>
      <c r="BI499" s="14">
        <f>INDEX(属性投放!$DM$6:$DM$85,(卡牌属性!AG499-2)*20+卡牌属性!AN499)</f>
        <v>88</v>
      </c>
      <c r="BJ499" s="14">
        <f t="shared" si="863"/>
        <v>88</v>
      </c>
      <c r="BK499" s="14">
        <f t="shared" si="863"/>
        <v>88</v>
      </c>
      <c r="BL499" s="14">
        <f t="shared" si="863"/>
        <v>88</v>
      </c>
      <c r="BM499" s="14">
        <f t="shared" si="863"/>
        <v>88</v>
      </c>
      <c r="BN499" s="14">
        <f>INDEX(属性投放!$DN$6:$DN$85,(卡牌属性!AG499-2)*20+卡牌属性!AN499)</f>
        <v>1759</v>
      </c>
      <c r="BO499" s="14">
        <f t="shared" si="864"/>
        <v>1759</v>
      </c>
      <c r="BP499" s="14">
        <f t="shared" si="864"/>
        <v>1759</v>
      </c>
      <c r="BQ499" s="14">
        <f t="shared" si="864"/>
        <v>1759</v>
      </c>
      <c r="BR499" s="14">
        <f t="shared" si="864"/>
        <v>1759</v>
      </c>
      <c r="BW499" s="13">
        <v>495</v>
      </c>
      <c r="BX499" s="13">
        <f t="shared" si="835"/>
        <v>25</v>
      </c>
      <c r="BY499" s="14">
        <f t="shared" si="836"/>
        <v>3</v>
      </c>
      <c r="BZ499" s="14">
        <f t="shared" si="840"/>
        <v>1102026</v>
      </c>
      <c r="CA499" s="14" t="str">
        <f t="shared" si="841"/>
        <v>雷震子15突</v>
      </c>
      <c r="CB499" s="25" t="s">
        <v>142</v>
      </c>
      <c r="CC499" s="14">
        <v>2</v>
      </c>
      <c r="CD499" s="14">
        <f t="shared" si="837"/>
        <v>15</v>
      </c>
      <c r="CE499" s="14" t="s">
        <v>21</v>
      </c>
      <c r="CF499" s="14">
        <f>INDEX(属性投放!$AZ$6:$AZ$85,(BY499-2)*20+CD499)</f>
        <v>8316</v>
      </c>
      <c r="CG499" s="14" t="s">
        <v>22</v>
      </c>
      <c r="CH499" s="14">
        <f>INDEX(属性投放!$BA$6:$BA$85,(BY499-2)*20+CD499)</f>
        <v>4115</v>
      </c>
      <c r="CI499" s="14" t="s">
        <v>510</v>
      </c>
      <c r="CJ499" s="14">
        <f>INDEX(属性投放!$BB$6:$BB$85,(BY499-2)*20+CD499)</f>
        <v>72340</v>
      </c>
      <c r="CK499" s="14" t="s">
        <v>21</v>
      </c>
      <c r="CL499" s="14">
        <f>INDEX(属性投放!$BC$6:$BC$85,(BY499-2)*20+CD499)</f>
        <v>25</v>
      </c>
      <c r="CM499" s="14" t="s">
        <v>22</v>
      </c>
      <c r="CN499" s="14">
        <f>INDEX(属性投放!$BD$6:$BD$85,(BY499-2)*20+CD499)</f>
        <v>13</v>
      </c>
      <c r="CO499" s="14" t="s">
        <v>510</v>
      </c>
      <c r="CP499" s="14">
        <f>INDEX(属性投放!$BE$6:$BE$85,(BY499-2)*20+CD499)</f>
        <v>250</v>
      </c>
      <c r="CS499" s="13">
        <v>495</v>
      </c>
      <c r="CT499" s="13">
        <f t="shared" si="842"/>
        <v>10</v>
      </c>
      <c r="CU499" s="13">
        <f t="shared" si="843"/>
        <v>27</v>
      </c>
      <c r="CV499" s="14">
        <f t="shared" si="844"/>
        <v>4</v>
      </c>
      <c r="CW499" s="14">
        <f t="shared" si="845"/>
        <v>1102010</v>
      </c>
      <c r="CX499" s="14" t="str">
        <f>INDEX($O$6:$O$50,CT499)&amp;"-"&amp;INDEX(属性投放!$AB$7:$AB$50,CZ499)&amp;"-魂火-"&amp;DB499</f>
        <v>张郃-大叫唤+2-魂火-3</v>
      </c>
      <c r="CY499" s="25" t="s">
        <v>142</v>
      </c>
      <c r="CZ499" s="14">
        <f>INDEX(属性投放!$AM$7:$AM$58,CU499)</f>
        <v>12</v>
      </c>
      <c r="DA499" s="14" t="s">
        <v>537</v>
      </c>
      <c r="DB499" s="14">
        <f>INDEX(属性投放!$AN$7:$AN$58,CU499)</f>
        <v>3</v>
      </c>
      <c r="DC499" s="14">
        <f t="shared" si="838"/>
        <v>27</v>
      </c>
      <c r="DD499" s="14">
        <f>INDEX(属性投放!$AO$7:$AO$58,DC499)</f>
        <v>85</v>
      </c>
      <c r="DE499" s="14" t="s">
        <v>538</v>
      </c>
      <c r="DF499" s="14">
        <f>INDEX(属性投放!$BK$6:$BK$85,(CV499-2)*20+CZ499)</f>
        <v>225</v>
      </c>
      <c r="DG499" s="14">
        <f>SUMIFS(DF$5:DF499,$CT$5:$CT499,"="&amp;$CT499)</f>
        <v>2755</v>
      </c>
      <c r="DH499" s="14" t="s">
        <v>539</v>
      </c>
      <c r="DI499" s="14">
        <f>INDEX(属性投放!$BL$6:$BL$85,(CV499-2)*20+CZ499)</f>
        <v>113</v>
      </c>
      <c r="DJ499" s="14">
        <f>SUMIFS(DI$5:DI499,$CT$5:$CT499,"="&amp;$CT499)</f>
        <v>1384</v>
      </c>
      <c r="DK499" s="14" t="s">
        <v>540</v>
      </c>
      <c r="DL499" s="14">
        <f>INDEX(属性投放!$BM$6:$BM$85,(CV499-2)*20+CZ499)</f>
        <v>2025</v>
      </c>
      <c r="DM499" s="14">
        <f>SUMIFS(DL$5:DL499,$CT$5:$CT499,"="&amp;$CT499)</f>
        <v>22985</v>
      </c>
      <c r="DR499" s="14">
        <f t="shared" si="849"/>
        <v>1102026</v>
      </c>
      <c r="DS499" s="14" t="str">
        <f t="shared" si="850"/>
        <v>雷震子15突</v>
      </c>
      <c r="DT499" s="14">
        <f t="shared" si="846"/>
        <v>7</v>
      </c>
      <c r="DU499" s="14">
        <f t="shared" si="847"/>
        <v>4</v>
      </c>
      <c r="DV499" s="14">
        <f t="shared" si="848"/>
        <v>4</v>
      </c>
      <c r="DW499" s="14">
        <f t="shared" si="851"/>
        <v>3</v>
      </c>
      <c r="DX499" s="14">
        <f t="shared" si="852"/>
        <v>15</v>
      </c>
      <c r="DY499" s="14">
        <f t="shared" si="853"/>
        <v>35</v>
      </c>
      <c r="DZ499" s="14">
        <f>INDEX(属性投放!$AX$6:$AX$85,(卡牌属性!DW499-2)*20+卡牌属性!DX499)</f>
        <v>8</v>
      </c>
      <c r="EA499" s="14">
        <f>INDEX(属性投放!BQ$6:BQ$85,卡牌属性!$DY499)</f>
        <v>750</v>
      </c>
      <c r="EB499" s="14">
        <f>INDEX(属性投放!BR$6:BR$85,卡牌属性!$DY499)</f>
        <v>375</v>
      </c>
      <c r="EC499" s="14">
        <f>INDEX(属性投放!BS$6:BS$85,卡牌属性!$DY499)</f>
        <v>7500</v>
      </c>
      <c r="ED499" s="14">
        <f t="shared" si="880"/>
        <v>5213</v>
      </c>
      <c r="EE499" s="14">
        <f t="shared" si="881"/>
        <v>5590</v>
      </c>
      <c r="EF499" s="14">
        <f t="shared" si="882"/>
        <v>5995</v>
      </c>
      <c r="EG499" s="14">
        <f t="shared" si="883"/>
        <v>5995</v>
      </c>
      <c r="EH499" s="14">
        <f t="shared" si="884"/>
        <v>7050</v>
      </c>
      <c r="EI499" s="14">
        <f t="shared" si="885"/>
        <v>1916</v>
      </c>
      <c r="EJ499" s="14">
        <f t="shared" si="886"/>
        <v>2097</v>
      </c>
      <c r="EK499" s="14">
        <f t="shared" si="887"/>
        <v>2097</v>
      </c>
      <c r="EL499" s="14">
        <f t="shared" si="888"/>
        <v>2175</v>
      </c>
      <c r="EM499" s="14">
        <f t="shared" si="889"/>
        <v>2578</v>
      </c>
      <c r="EN499" s="14">
        <f t="shared" si="890"/>
        <v>32732</v>
      </c>
      <c r="EO499" s="14">
        <f t="shared" si="891"/>
        <v>35600</v>
      </c>
      <c r="EP499" s="14">
        <f t="shared" si="892"/>
        <v>35600</v>
      </c>
      <c r="EQ499" s="14">
        <f t="shared" si="893"/>
        <v>36684</v>
      </c>
      <c r="ER499" s="14">
        <f t="shared" si="894"/>
        <v>43498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INDEX(属性投放!$BQ$6:$BQ$85,(卡牌属性!$DW499-2)*20+卡牌属性!$DX499)</f>
        <v>750</v>
      </c>
      <c r="FI499" s="14">
        <f>INDEX(属性投放!$BQ$6:$BQ$85,(卡牌属性!$DW499-2)*20+卡牌属性!$DX499)</f>
        <v>750</v>
      </c>
      <c r="FJ499" s="14">
        <f>INDEX(属性投放!$BQ$6:$BQ$85,(卡牌属性!$DW499-2)*20+卡牌属性!$DX499)</f>
        <v>750</v>
      </c>
      <c r="FK499" s="14">
        <f>INDEX(属性投放!$BQ$6:$BQ$85,(卡牌属性!$DW499-2)*20+卡牌属性!$DX499)</f>
        <v>750</v>
      </c>
      <c r="FL499" s="14">
        <f>INDEX(属性投放!$BQ$6:$BQ$85,(卡牌属性!$DW499-2)*20+卡牌属性!$DX499)</f>
        <v>750</v>
      </c>
      <c r="FM499" s="14">
        <f>INDEX(属性投放!$BR$6:$BR$85,(卡牌属性!$DW499-2)*20+卡牌属性!$DX499)</f>
        <v>375</v>
      </c>
      <c r="FN499" s="14">
        <f>INDEX(属性投放!$BR$6:$BR$85,(卡牌属性!$DW499-2)*20+卡牌属性!$DX499)</f>
        <v>375</v>
      </c>
      <c r="FO499" s="14">
        <f>INDEX(属性投放!$BR$6:$BR$85,(卡牌属性!$DW499-2)*20+卡牌属性!$DX499)</f>
        <v>375</v>
      </c>
      <c r="FP499" s="14">
        <f>INDEX(属性投放!$BR$6:$BR$85,(卡牌属性!$DW499-2)*20+卡牌属性!$DX499)</f>
        <v>375</v>
      </c>
      <c r="FQ499" s="14">
        <f>INDEX(属性投放!$BR$6:$BR$85,(卡牌属性!$DW499-2)*20+卡牌属性!$DX499)</f>
        <v>375</v>
      </c>
      <c r="FR499" s="14">
        <f>INDEX(属性投放!$BS$6:$BS$85,(卡牌属性!$DW499-2)*20+卡牌属性!$DX499)</f>
        <v>7500</v>
      </c>
      <c r="FS499" s="14">
        <f>INDEX(属性投放!$BS$6:$BS$85,(卡牌属性!$DW499-2)*20+卡牌属性!$DX499)</f>
        <v>7500</v>
      </c>
      <c r="FT499" s="14">
        <f>INDEX(属性投放!$BS$6:$BS$85,(卡牌属性!$DW499-2)*20+卡牌属性!$DX499)</f>
        <v>7500</v>
      </c>
      <c r="FU499" s="14">
        <f>INDEX(属性投放!$BS$6:$BS$85,(卡牌属性!$DW499-2)*20+卡牌属性!$DX499)</f>
        <v>7500</v>
      </c>
      <c r="FV499" s="14">
        <f>INDEX(属性投放!$BS$6:$BS$85,(卡牌属性!$DW499-2)*20+卡牌属性!$DX499)</f>
        <v>7500</v>
      </c>
    </row>
    <row r="500" spans="31:178" ht="16.5" x14ac:dyDescent="0.2">
      <c r="AE500" s="13">
        <v>496</v>
      </c>
      <c r="AF500" s="13">
        <f t="shared" si="854"/>
        <v>25</v>
      </c>
      <c r="AG500" s="13">
        <f t="shared" si="855"/>
        <v>3</v>
      </c>
      <c r="AH500" s="13"/>
      <c r="AI500" s="13"/>
      <c r="AJ500" s="14">
        <f t="shared" si="856"/>
        <v>1101998</v>
      </c>
      <c r="AK500" s="14" t="str">
        <f t="shared" si="857"/>
        <v>SR寄灵人16突</v>
      </c>
      <c r="AL500" s="25" t="s">
        <v>142</v>
      </c>
      <c r="AM500" s="14">
        <v>1</v>
      </c>
      <c r="AN500" s="14">
        <f t="shared" si="858"/>
        <v>16</v>
      </c>
      <c r="AO500" s="14">
        <f>INDEX(属性投放!$DF$6:$DF$85,(卡牌属性!AG500-2)*20+卡牌属性!AN500)</f>
        <v>11573</v>
      </c>
      <c r="AP500" s="14">
        <f t="shared" si="859"/>
        <v>11573</v>
      </c>
      <c r="AQ500" s="14">
        <f t="shared" si="859"/>
        <v>11573</v>
      </c>
      <c r="AR500" s="14">
        <f t="shared" si="859"/>
        <v>11573</v>
      </c>
      <c r="AS500" s="14">
        <f t="shared" si="859"/>
        <v>11573</v>
      </c>
      <c r="AT500" s="14">
        <f>INDEX(属性投放!$DG$6:$DG$85,(卡牌属性!AG500-2)*20+卡牌属性!AN500)</f>
        <v>5726</v>
      </c>
      <c r="AU500" s="14">
        <f t="shared" si="860"/>
        <v>5726</v>
      </c>
      <c r="AV500" s="14">
        <f t="shared" si="860"/>
        <v>5726</v>
      </c>
      <c r="AW500" s="14">
        <f t="shared" si="860"/>
        <v>5726</v>
      </c>
      <c r="AX500" s="14">
        <f t="shared" si="860"/>
        <v>5726</v>
      </c>
      <c r="AY500" s="14">
        <f>INDEX(属性投放!$DH$6:$DH$85,(卡牌属性!AG500-2)*20+卡牌属性!AN500)</f>
        <v>104818</v>
      </c>
      <c r="AZ500" s="14">
        <f t="shared" si="861"/>
        <v>104818</v>
      </c>
      <c r="BA500" s="14">
        <f t="shared" si="861"/>
        <v>104818</v>
      </c>
      <c r="BB500" s="14">
        <f t="shared" si="861"/>
        <v>104818</v>
      </c>
      <c r="BC500" s="14">
        <f t="shared" si="861"/>
        <v>104818</v>
      </c>
      <c r="BD500" s="14">
        <f>INDEX(属性投放!$DL$6:$DL$85,(卡牌属性!AG500-2)*20+卡牌属性!AN500)</f>
        <v>259</v>
      </c>
      <c r="BE500" s="14">
        <f t="shared" si="862"/>
        <v>259</v>
      </c>
      <c r="BF500" s="14">
        <f t="shared" si="862"/>
        <v>259</v>
      </c>
      <c r="BG500" s="14">
        <f t="shared" si="862"/>
        <v>259</v>
      </c>
      <c r="BH500" s="14">
        <f t="shared" si="862"/>
        <v>259</v>
      </c>
      <c r="BI500" s="14">
        <f>INDEX(属性投放!$DM$6:$DM$85,(卡牌属性!AG500-2)*20+卡牌属性!AN500)</f>
        <v>130</v>
      </c>
      <c r="BJ500" s="14">
        <f t="shared" si="863"/>
        <v>130</v>
      </c>
      <c r="BK500" s="14">
        <f t="shared" si="863"/>
        <v>130</v>
      </c>
      <c r="BL500" s="14">
        <f t="shared" si="863"/>
        <v>130</v>
      </c>
      <c r="BM500" s="14">
        <f t="shared" si="863"/>
        <v>130</v>
      </c>
      <c r="BN500" s="14">
        <f>INDEX(属性投放!$DN$6:$DN$85,(卡牌属性!AG500-2)*20+卡牌属性!AN500)</f>
        <v>2593</v>
      </c>
      <c r="BO500" s="14">
        <f t="shared" si="864"/>
        <v>2593</v>
      </c>
      <c r="BP500" s="14">
        <f t="shared" si="864"/>
        <v>2593</v>
      </c>
      <c r="BQ500" s="14">
        <f t="shared" si="864"/>
        <v>2593</v>
      </c>
      <c r="BR500" s="14">
        <f t="shared" si="864"/>
        <v>2593</v>
      </c>
      <c r="BW500" s="13">
        <v>496</v>
      </c>
      <c r="BX500" s="13">
        <f t="shared" si="835"/>
        <v>25</v>
      </c>
      <c r="BY500" s="14">
        <f t="shared" si="836"/>
        <v>3</v>
      </c>
      <c r="BZ500" s="14">
        <f t="shared" si="840"/>
        <v>1102026</v>
      </c>
      <c r="CA500" s="14" t="str">
        <f t="shared" si="841"/>
        <v>雷震子16突</v>
      </c>
      <c r="CB500" s="25" t="s">
        <v>142</v>
      </c>
      <c r="CC500" s="14">
        <v>2</v>
      </c>
      <c r="CD500" s="14">
        <f t="shared" si="837"/>
        <v>16</v>
      </c>
      <c r="CE500" s="14" t="s">
        <v>21</v>
      </c>
      <c r="CF500" s="14">
        <f>INDEX(属性投放!$AZ$6:$AZ$85,(BY500-2)*20+CD500)</f>
        <v>10466</v>
      </c>
      <c r="CG500" s="14" t="s">
        <v>22</v>
      </c>
      <c r="CH500" s="14">
        <f>INDEX(属性投放!$BA$6:$BA$85,(BY500-2)*20+CD500)</f>
        <v>5194</v>
      </c>
      <c r="CI500" s="14" t="s">
        <v>510</v>
      </c>
      <c r="CJ500" s="14">
        <f>INDEX(属性投放!$BB$6:$BB$85,(BY500-2)*20+CD500)</f>
        <v>93840</v>
      </c>
      <c r="CK500" s="14" t="s">
        <v>21</v>
      </c>
      <c r="CL500" s="14">
        <f>INDEX(属性投放!$BC$6:$BC$85,(BY500-2)*20+CD500)</f>
        <v>30</v>
      </c>
      <c r="CM500" s="14" t="s">
        <v>22</v>
      </c>
      <c r="CN500" s="14">
        <f>INDEX(属性投放!$BD$6:$BD$85,(BY500-2)*20+CD500)</f>
        <v>15</v>
      </c>
      <c r="CO500" s="14" t="s">
        <v>510</v>
      </c>
      <c r="CP500" s="14">
        <f>INDEX(属性投放!$BE$6:$BE$85,(BY500-2)*20+CD500)</f>
        <v>300</v>
      </c>
      <c r="CS500" s="13">
        <v>496</v>
      </c>
      <c r="CT500" s="13">
        <f t="shared" si="842"/>
        <v>10</v>
      </c>
      <c r="CU500" s="13">
        <f t="shared" si="843"/>
        <v>28</v>
      </c>
      <c r="CV500" s="14">
        <f t="shared" si="844"/>
        <v>4</v>
      </c>
      <c r="CW500" s="14">
        <f t="shared" si="845"/>
        <v>1102010</v>
      </c>
      <c r="CX500" s="14" t="str">
        <f>INDEX($O$6:$O$50,CT500)&amp;"-"&amp;INDEX(属性投放!$AB$7:$AB$50,CZ500)&amp;"-魂火-"&amp;DB500</f>
        <v>张郃-焦热-魂火-1</v>
      </c>
      <c r="CY500" s="25" t="s">
        <v>142</v>
      </c>
      <c r="CZ500" s="14">
        <f>INDEX(属性投放!$AM$7:$AM$58,CU500)</f>
        <v>13</v>
      </c>
      <c r="DA500" s="14" t="s">
        <v>537</v>
      </c>
      <c r="DB500" s="14">
        <f>INDEX(属性投放!$AN$7:$AN$58,CU500)</f>
        <v>1</v>
      </c>
      <c r="DC500" s="14">
        <f t="shared" si="838"/>
        <v>28</v>
      </c>
      <c r="DD500" s="14">
        <f>INDEX(属性投放!$AO$7:$AO$58,DC500)</f>
        <v>88</v>
      </c>
      <c r="DE500" s="14" t="s">
        <v>538</v>
      </c>
      <c r="DF500" s="14">
        <f>INDEX(属性投放!$BK$6:$BK$85,(CV500-2)*20+CZ500)</f>
        <v>275</v>
      </c>
      <c r="DG500" s="14">
        <f>SUMIFS(DF$5:DF500,$CT$5:$CT500,"="&amp;$CT500)</f>
        <v>3030</v>
      </c>
      <c r="DH500" s="14" t="s">
        <v>539</v>
      </c>
      <c r="DI500" s="14">
        <f>INDEX(属性投放!$BL$6:$BL$85,(CV500-2)*20+CZ500)</f>
        <v>138</v>
      </c>
      <c r="DJ500" s="14">
        <f>SUMIFS(DI$5:DI500,$CT$5:$CT500,"="&amp;$CT500)</f>
        <v>1522</v>
      </c>
      <c r="DK500" s="14" t="s">
        <v>540</v>
      </c>
      <c r="DL500" s="14">
        <f>INDEX(属性投放!$BM$6:$BM$85,(CV500-2)*20+CZ500)</f>
        <v>2750</v>
      </c>
      <c r="DM500" s="14">
        <f>SUMIFS(DL$5:DL500,$CT$5:$CT500,"="&amp;$CT500)</f>
        <v>25735</v>
      </c>
      <c r="DR500" s="14">
        <f t="shared" si="849"/>
        <v>1102026</v>
      </c>
      <c r="DS500" s="14" t="str">
        <f t="shared" si="850"/>
        <v>雷震子16突</v>
      </c>
      <c r="DT500" s="14">
        <f t="shared" si="846"/>
        <v>7</v>
      </c>
      <c r="DU500" s="14">
        <f t="shared" si="847"/>
        <v>4</v>
      </c>
      <c r="DV500" s="14">
        <f t="shared" si="848"/>
        <v>4</v>
      </c>
      <c r="DW500" s="14">
        <f t="shared" si="851"/>
        <v>3</v>
      </c>
      <c r="DX500" s="14">
        <f t="shared" si="852"/>
        <v>16</v>
      </c>
      <c r="DY500" s="14">
        <f t="shared" si="853"/>
        <v>36</v>
      </c>
      <c r="DZ500" s="14">
        <f>INDEX(属性投放!$AX$6:$AX$85,(卡牌属性!DW500-2)*20+卡牌属性!DX500)</f>
        <v>7</v>
      </c>
      <c r="EA500" s="14">
        <f>INDEX(属性投放!BQ$6:BQ$85,卡牌属性!$DY500)</f>
        <v>800</v>
      </c>
      <c r="EB500" s="14">
        <f>INDEX(属性投放!BR$6:BR$85,卡牌属性!$DY500)</f>
        <v>400</v>
      </c>
      <c r="EC500" s="14">
        <f>INDEX(属性投放!BS$6:BS$85,卡牌属性!$DY500)</f>
        <v>8000</v>
      </c>
      <c r="ED500" s="14">
        <f t="shared" si="880"/>
        <v>6283</v>
      </c>
      <c r="EE500" s="14">
        <f t="shared" si="881"/>
        <v>6700</v>
      </c>
      <c r="EF500" s="14">
        <f t="shared" si="882"/>
        <v>7145</v>
      </c>
      <c r="EG500" s="14">
        <f t="shared" si="883"/>
        <v>7145</v>
      </c>
      <c r="EH500" s="14">
        <f t="shared" si="884"/>
        <v>8400</v>
      </c>
      <c r="EI500" s="14">
        <f t="shared" si="885"/>
        <v>2371</v>
      </c>
      <c r="EJ500" s="14">
        <f t="shared" si="886"/>
        <v>2576</v>
      </c>
      <c r="EK500" s="14">
        <f t="shared" si="887"/>
        <v>2576</v>
      </c>
      <c r="EL500" s="14">
        <f t="shared" si="888"/>
        <v>2654</v>
      </c>
      <c r="EM500" s="14">
        <f t="shared" si="889"/>
        <v>3113</v>
      </c>
      <c r="EN500" s="14">
        <f t="shared" si="890"/>
        <v>41832</v>
      </c>
      <c r="EO500" s="14">
        <f t="shared" si="891"/>
        <v>45100</v>
      </c>
      <c r="EP500" s="14">
        <f t="shared" si="892"/>
        <v>45100</v>
      </c>
      <c r="EQ500" s="14">
        <f t="shared" si="893"/>
        <v>46264</v>
      </c>
      <c r="ER500" s="14">
        <f t="shared" si="894"/>
        <v>54198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INDEX(属性投放!$BQ$6:$BQ$85,(卡牌属性!$DW500-2)*20+卡牌属性!$DX500)</f>
        <v>800</v>
      </c>
      <c r="FI500" s="14">
        <f>INDEX(属性投放!$BQ$6:$BQ$85,(卡牌属性!$DW500-2)*20+卡牌属性!$DX500)</f>
        <v>800</v>
      </c>
      <c r="FJ500" s="14">
        <f>INDEX(属性投放!$BQ$6:$BQ$85,(卡牌属性!$DW500-2)*20+卡牌属性!$DX500)</f>
        <v>800</v>
      </c>
      <c r="FK500" s="14">
        <f>INDEX(属性投放!$BQ$6:$BQ$85,(卡牌属性!$DW500-2)*20+卡牌属性!$DX500)</f>
        <v>800</v>
      </c>
      <c r="FL500" s="14">
        <f>INDEX(属性投放!$BQ$6:$BQ$85,(卡牌属性!$DW500-2)*20+卡牌属性!$DX500)</f>
        <v>800</v>
      </c>
      <c r="FM500" s="14">
        <f>INDEX(属性投放!$BR$6:$BR$85,(卡牌属性!$DW500-2)*20+卡牌属性!$DX500)</f>
        <v>400</v>
      </c>
      <c r="FN500" s="14">
        <f>INDEX(属性投放!$BR$6:$BR$85,(卡牌属性!$DW500-2)*20+卡牌属性!$DX500)</f>
        <v>400</v>
      </c>
      <c r="FO500" s="14">
        <f>INDEX(属性投放!$BR$6:$BR$85,(卡牌属性!$DW500-2)*20+卡牌属性!$DX500)</f>
        <v>400</v>
      </c>
      <c r="FP500" s="14">
        <f>INDEX(属性投放!$BR$6:$BR$85,(卡牌属性!$DW500-2)*20+卡牌属性!$DX500)</f>
        <v>400</v>
      </c>
      <c r="FQ500" s="14">
        <f>INDEX(属性投放!$BR$6:$BR$85,(卡牌属性!$DW500-2)*20+卡牌属性!$DX500)</f>
        <v>400</v>
      </c>
      <c r="FR500" s="14">
        <f>INDEX(属性投放!$BS$6:$BS$85,(卡牌属性!$DW500-2)*20+卡牌属性!$DX500)</f>
        <v>8000</v>
      </c>
      <c r="FS500" s="14">
        <f>INDEX(属性投放!$BS$6:$BS$85,(卡牌属性!$DW500-2)*20+卡牌属性!$DX500)</f>
        <v>8000</v>
      </c>
      <c r="FT500" s="14">
        <f>INDEX(属性投放!$BS$6:$BS$85,(卡牌属性!$DW500-2)*20+卡牌属性!$DX500)</f>
        <v>8000</v>
      </c>
      <c r="FU500" s="14">
        <f>INDEX(属性投放!$BS$6:$BS$85,(卡牌属性!$DW500-2)*20+卡牌属性!$DX500)</f>
        <v>8000</v>
      </c>
      <c r="FV500" s="14">
        <f>INDEX(属性投放!$BS$6:$BS$85,(卡牌属性!$DW500-2)*20+卡牌属性!$DX500)</f>
        <v>8000</v>
      </c>
    </row>
    <row r="501" spans="31:178" ht="16.5" x14ac:dyDescent="0.2">
      <c r="AE501" s="13">
        <v>497</v>
      </c>
      <c r="AF501" s="13">
        <f t="shared" si="854"/>
        <v>25</v>
      </c>
      <c r="AG501" s="13">
        <f t="shared" si="855"/>
        <v>3</v>
      </c>
      <c r="AH501" s="13"/>
      <c r="AI501" s="13"/>
      <c r="AJ501" s="14">
        <f t="shared" si="856"/>
        <v>1101998</v>
      </c>
      <c r="AK501" s="14" t="str">
        <f t="shared" si="857"/>
        <v>SR寄灵人17突</v>
      </c>
      <c r="AL501" s="25" t="s">
        <v>142</v>
      </c>
      <c r="AM501" s="14">
        <v>1</v>
      </c>
      <c r="AN501" s="14">
        <f t="shared" si="858"/>
        <v>17</v>
      </c>
      <c r="AO501" s="14">
        <f>INDEX(属性投放!$DF$6:$DF$85,(卡牌属性!AG501-2)*20+卡牌属性!AN501)</f>
        <v>12499</v>
      </c>
      <c r="AP501" s="14">
        <f t="shared" si="859"/>
        <v>12499</v>
      </c>
      <c r="AQ501" s="14">
        <f t="shared" si="859"/>
        <v>12499</v>
      </c>
      <c r="AR501" s="14">
        <f t="shared" si="859"/>
        <v>12499</v>
      </c>
      <c r="AS501" s="14">
        <f t="shared" si="859"/>
        <v>12499</v>
      </c>
      <c r="AT501" s="14">
        <f>INDEX(属性投放!$DG$6:$DG$85,(卡牌属性!AG501-2)*20+卡牌属性!AN501)</f>
        <v>6189</v>
      </c>
      <c r="AU501" s="14">
        <f t="shared" si="860"/>
        <v>6189</v>
      </c>
      <c r="AV501" s="14">
        <f t="shared" si="860"/>
        <v>6189</v>
      </c>
      <c r="AW501" s="14">
        <f t="shared" si="860"/>
        <v>6189</v>
      </c>
      <c r="AX501" s="14">
        <f t="shared" si="860"/>
        <v>6189</v>
      </c>
      <c r="AY501" s="14">
        <f>INDEX(属性投放!$DH$6:$DH$85,(卡牌属性!AG501-2)*20+卡牌属性!AN501)</f>
        <v>114078</v>
      </c>
      <c r="AZ501" s="14">
        <f t="shared" si="861"/>
        <v>114078</v>
      </c>
      <c r="BA501" s="14">
        <f t="shared" si="861"/>
        <v>114078</v>
      </c>
      <c r="BB501" s="14">
        <f t="shared" si="861"/>
        <v>114078</v>
      </c>
      <c r="BC501" s="14">
        <f t="shared" si="861"/>
        <v>114078</v>
      </c>
      <c r="BD501" s="14">
        <f>INDEX(属性投放!$DL$6:$DL$85,(卡牌属性!AG501-2)*20+卡牌属性!AN501)</f>
        <v>259</v>
      </c>
      <c r="BE501" s="14">
        <f t="shared" si="862"/>
        <v>259</v>
      </c>
      <c r="BF501" s="14">
        <f t="shared" si="862"/>
        <v>259</v>
      </c>
      <c r="BG501" s="14">
        <f t="shared" si="862"/>
        <v>259</v>
      </c>
      <c r="BH501" s="14">
        <f t="shared" si="862"/>
        <v>259</v>
      </c>
      <c r="BI501" s="14">
        <f>INDEX(属性投放!$DM$6:$DM$85,(卡牌属性!AG501-2)*20+卡牌属性!AN501)</f>
        <v>130</v>
      </c>
      <c r="BJ501" s="14">
        <f t="shared" si="863"/>
        <v>130</v>
      </c>
      <c r="BK501" s="14">
        <f t="shared" si="863"/>
        <v>130</v>
      </c>
      <c r="BL501" s="14">
        <f t="shared" si="863"/>
        <v>130</v>
      </c>
      <c r="BM501" s="14">
        <f t="shared" si="863"/>
        <v>130</v>
      </c>
      <c r="BN501" s="14">
        <f>INDEX(属性投放!$DN$6:$DN$85,(卡牌属性!AG501-2)*20+卡牌属性!AN501)</f>
        <v>2593</v>
      </c>
      <c r="BO501" s="14">
        <f t="shared" si="864"/>
        <v>2593</v>
      </c>
      <c r="BP501" s="14">
        <f t="shared" si="864"/>
        <v>2593</v>
      </c>
      <c r="BQ501" s="14">
        <f t="shared" si="864"/>
        <v>2593</v>
      </c>
      <c r="BR501" s="14">
        <f t="shared" si="864"/>
        <v>2593</v>
      </c>
      <c r="BW501" s="13">
        <v>497</v>
      </c>
      <c r="BX501" s="13">
        <f t="shared" si="835"/>
        <v>25</v>
      </c>
      <c r="BY501" s="14">
        <f t="shared" si="836"/>
        <v>3</v>
      </c>
      <c r="BZ501" s="14">
        <f t="shared" si="840"/>
        <v>1102026</v>
      </c>
      <c r="CA501" s="14" t="str">
        <f t="shared" si="841"/>
        <v>雷震子17突</v>
      </c>
      <c r="CB501" s="25" t="s">
        <v>142</v>
      </c>
      <c r="CC501" s="14">
        <v>2</v>
      </c>
      <c r="CD501" s="14">
        <f t="shared" si="837"/>
        <v>17</v>
      </c>
      <c r="CE501" s="14" t="s">
        <v>21</v>
      </c>
      <c r="CF501" s="14">
        <f>INDEX(属性投放!$AZ$6:$AZ$85,(BY501-2)*20+CD501)</f>
        <v>12976</v>
      </c>
      <c r="CG501" s="14" t="s">
        <v>22</v>
      </c>
      <c r="CH501" s="14">
        <f>INDEX(属性投放!$BA$6:$BA$85,(BY501-2)*20+CD501)</f>
        <v>6449</v>
      </c>
      <c r="CI501" s="14" t="s">
        <v>510</v>
      </c>
      <c r="CJ501" s="14">
        <f>INDEX(属性投放!$BB$6:$BB$85,(BY501-2)*20+CD501)</f>
        <v>118940</v>
      </c>
      <c r="CK501" s="14" t="s">
        <v>21</v>
      </c>
      <c r="CL501" s="14">
        <f>INDEX(属性投放!$BC$6:$BC$85,(BY501-2)*20+CD501)</f>
        <v>30</v>
      </c>
      <c r="CM501" s="14" t="s">
        <v>22</v>
      </c>
      <c r="CN501" s="14">
        <f>INDEX(属性投放!$BD$6:$BD$85,(BY501-2)*20+CD501)</f>
        <v>15</v>
      </c>
      <c r="CO501" s="14" t="s">
        <v>510</v>
      </c>
      <c r="CP501" s="14">
        <f>INDEX(属性投放!$BE$6:$BE$85,(BY501-2)*20+CD501)</f>
        <v>300</v>
      </c>
      <c r="CS501" s="13">
        <v>497</v>
      </c>
      <c r="CT501" s="13">
        <f t="shared" si="842"/>
        <v>10</v>
      </c>
      <c r="CU501" s="13">
        <f t="shared" si="843"/>
        <v>29</v>
      </c>
      <c r="CV501" s="14">
        <f t="shared" si="844"/>
        <v>4</v>
      </c>
      <c r="CW501" s="14">
        <f t="shared" si="845"/>
        <v>1102010</v>
      </c>
      <c r="CX501" s="14" t="str">
        <f>INDEX($O$6:$O$50,CT501)&amp;"-"&amp;INDEX(属性投放!$AB$7:$AB$50,CZ501)&amp;"-魂火-"&amp;DB501</f>
        <v>张郃-焦热-魂火-2</v>
      </c>
      <c r="CY501" s="25" t="s">
        <v>142</v>
      </c>
      <c r="CZ501" s="14">
        <f>INDEX(属性投放!$AM$7:$AM$58,CU501)</f>
        <v>13</v>
      </c>
      <c r="DA501" s="14" t="s">
        <v>537</v>
      </c>
      <c r="DB501" s="14">
        <f>INDEX(属性投放!$AN$7:$AN$58,CU501)</f>
        <v>2</v>
      </c>
      <c r="DC501" s="14">
        <f t="shared" si="838"/>
        <v>29</v>
      </c>
      <c r="DD501" s="14">
        <f>INDEX(属性投放!$AO$7:$AO$58,DC501)</f>
        <v>90</v>
      </c>
      <c r="DE501" s="14" t="s">
        <v>538</v>
      </c>
      <c r="DF501" s="14">
        <f>INDEX(属性投放!$BK$6:$BK$85,(CV501-2)*20+CZ501)</f>
        <v>275</v>
      </c>
      <c r="DG501" s="14">
        <f>SUMIFS(DF$5:DF501,$CT$5:$CT501,"="&amp;$CT501)</f>
        <v>3305</v>
      </c>
      <c r="DH501" s="14" t="s">
        <v>539</v>
      </c>
      <c r="DI501" s="14">
        <f>INDEX(属性投放!$BL$6:$BL$85,(CV501-2)*20+CZ501)</f>
        <v>138</v>
      </c>
      <c r="DJ501" s="14">
        <f>SUMIFS(DI$5:DI501,$CT$5:$CT501,"="&amp;$CT501)</f>
        <v>1660</v>
      </c>
      <c r="DK501" s="14" t="s">
        <v>540</v>
      </c>
      <c r="DL501" s="14">
        <f>INDEX(属性投放!$BM$6:$BM$85,(CV501-2)*20+CZ501)</f>
        <v>2750</v>
      </c>
      <c r="DM501" s="14">
        <f>SUMIFS(DL$5:DL501,$CT$5:$CT501,"="&amp;$CT501)</f>
        <v>28485</v>
      </c>
      <c r="DR501" s="14">
        <f t="shared" si="849"/>
        <v>1102026</v>
      </c>
      <c r="DS501" s="14" t="str">
        <f t="shared" si="850"/>
        <v>雷震子17突</v>
      </c>
      <c r="DT501" s="14">
        <f t="shared" si="846"/>
        <v>7</v>
      </c>
      <c r="DU501" s="14">
        <f t="shared" si="847"/>
        <v>4</v>
      </c>
      <c r="DV501" s="14">
        <f t="shared" si="848"/>
        <v>4</v>
      </c>
      <c r="DW501" s="14">
        <f t="shared" si="851"/>
        <v>3</v>
      </c>
      <c r="DX501" s="14">
        <f t="shared" si="852"/>
        <v>17</v>
      </c>
      <c r="DY501" s="14">
        <f t="shared" si="853"/>
        <v>37</v>
      </c>
      <c r="DZ501" s="14">
        <f>INDEX(属性投放!$AX$6:$AX$85,(卡牌属性!DW501-2)*20+卡牌属性!DX501)</f>
        <v>8</v>
      </c>
      <c r="EA501" s="14">
        <f>INDEX(属性投放!BQ$6:BQ$85,卡牌属性!$DY501)</f>
        <v>900</v>
      </c>
      <c r="EB501" s="14">
        <f>INDEX(属性投放!BR$6:BR$85,卡牌属性!$DY501)</f>
        <v>450</v>
      </c>
      <c r="EC501" s="14">
        <f>INDEX(属性投放!BS$6:BS$85,卡牌属性!$DY501)</f>
        <v>9000</v>
      </c>
      <c r="ED501" s="14">
        <f t="shared" si="880"/>
        <v>7433</v>
      </c>
      <c r="EE501" s="14">
        <f t="shared" si="881"/>
        <v>7920</v>
      </c>
      <c r="EF501" s="14">
        <f t="shared" si="882"/>
        <v>8470</v>
      </c>
      <c r="EG501" s="14">
        <f t="shared" si="883"/>
        <v>8470</v>
      </c>
      <c r="EH501" s="14">
        <f t="shared" si="884"/>
        <v>9900</v>
      </c>
      <c r="EI501" s="14">
        <f t="shared" si="885"/>
        <v>2862</v>
      </c>
      <c r="EJ501" s="14">
        <f t="shared" si="886"/>
        <v>3081</v>
      </c>
      <c r="EK501" s="14">
        <f t="shared" si="887"/>
        <v>3081</v>
      </c>
      <c r="EL501" s="14">
        <f t="shared" si="888"/>
        <v>3180</v>
      </c>
      <c r="EM501" s="14">
        <f t="shared" si="889"/>
        <v>3688</v>
      </c>
      <c r="EN501" s="14">
        <f t="shared" si="890"/>
        <v>51582</v>
      </c>
      <c r="EO501" s="14">
        <f t="shared" si="891"/>
        <v>55200</v>
      </c>
      <c r="EP501" s="14">
        <f t="shared" si="892"/>
        <v>55200</v>
      </c>
      <c r="EQ501" s="14">
        <f t="shared" si="893"/>
        <v>56714</v>
      </c>
      <c r="ER501" s="14">
        <f t="shared" si="894"/>
        <v>65698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INDEX(属性投放!$BQ$6:$BQ$85,(卡牌属性!$DW501-2)*20+卡牌属性!$DX501)</f>
        <v>900</v>
      </c>
      <c r="FI501" s="14">
        <f>INDEX(属性投放!$BQ$6:$BQ$85,(卡牌属性!$DW501-2)*20+卡牌属性!$DX501)</f>
        <v>900</v>
      </c>
      <c r="FJ501" s="14">
        <f>INDEX(属性投放!$BQ$6:$BQ$85,(卡牌属性!$DW501-2)*20+卡牌属性!$DX501)</f>
        <v>900</v>
      </c>
      <c r="FK501" s="14">
        <f>INDEX(属性投放!$BQ$6:$BQ$85,(卡牌属性!$DW501-2)*20+卡牌属性!$DX501)</f>
        <v>900</v>
      </c>
      <c r="FL501" s="14">
        <f>INDEX(属性投放!$BQ$6:$BQ$85,(卡牌属性!$DW501-2)*20+卡牌属性!$DX501)</f>
        <v>900</v>
      </c>
      <c r="FM501" s="14">
        <f>INDEX(属性投放!$BR$6:$BR$85,(卡牌属性!$DW501-2)*20+卡牌属性!$DX501)</f>
        <v>450</v>
      </c>
      <c r="FN501" s="14">
        <f>INDEX(属性投放!$BR$6:$BR$85,(卡牌属性!$DW501-2)*20+卡牌属性!$DX501)</f>
        <v>450</v>
      </c>
      <c r="FO501" s="14">
        <f>INDEX(属性投放!$BR$6:$BR$85,(卡牌属性!$DW501-2)*20+卡牌属性!$DX501)</f>
        <v>450</v>
      </c>
      <c r="FP501" s="14">
        <f>INDEX(属性投放!$BR$6:$BR$85,(卡牌属性!$DW501-2)*20+卡牌属性!$DX501)</f>
        <v>450</v>
      </c>
      <c r="FQ501" s="14">
        <f>INDEX(属性投放!$BR$6:$BR$85,(卡牌属性!$DW501-2)*20+卡牌属性!$DX501)</f>
        <v>450</v>
      </c>
      <c r="FR501" s="14">
        <f>INDEX(属性投放!$BS$6:$BS$85,(卡牌属性!$DW501-2)*20+卡牌属性!$DX501)</f>
        <v>9000</v>
      </c>
      <c r="FS501" s="14">
        <f>INDEX(属性投放!$BS$6:$BS$85,(卡牌属性!$DW501-2)*20+卡牌属性!$DX501)</f>
        <v>9000</v>
      </c>
      <c r="FT501" s="14">
        <f>INDEX(属性投放!$BS$6:$BS$85,(卡牌属性!$DW501-2)*20+卡牌属性!$DX501)</f>
        <v>9000</v>
      </c>
      <c r="FU501" s="14">
        <f>INDEX(属性投放!$BS$6:$BS$85,(卡牌属性!$DW501-2)*20+卡牌属性!$DX501)</f>
        <v>9000</v>
      </c>
      <c r="FV501" s="14">
        <f>INDEX(属性投放!$BS$6:$BS$85,(卡牌属性!$DW501-2)*20+卡牌属性!$DX501)</f>
        <v>9000</v>
      </c>
    </row>
    <row r="502" spans="31:178" ht="16.5" x14ac:dyDescent="0.2">
      <c r="AE502" s="13">
        <v>498</v>
      </c>
      <c r="AF502" s="13">
        <f t="shared" si="854"/>
        <v>25</v>
      </c>
      <c r="AG502" s="13">
        <f t="shared" si="855"/>
        <v>3</v>
      </c>
      <c r="AH502" s="13"/>
      <c r="AI502" s="13"/>
      <c r="AJ502" s="14">
        <f t="shared" si="856"/>
        <v>1101998</v>
      </c>
      <c r="AK502" s="14" t="str">
        <f t="shared" si="857"/>
        <v>SR寄灵人18突</v>
      </c>
      <c r="AL502" s="25" t="s">
        <v>142</v>
      </c>
      <c r="AM502" s="14">
        <v>1</v>
      </c>
      <c r="AN502" s="14">
        <f t="shared" si="858"/>
        <v>18</v>
      </c>
      <c r="AO502" s="14">
        <f>INDEX(属性投放!$DF$6:$DF$85,(卡牌属性!AG502-2)*20+卡牌属性!AN502)</f>
        <v>13425</v>
      </c>
      <c r="AP502" s="14">
        <f t="shared" si="859"/>
        <v>13425</v>
      </c>
      <c r="AQ502" s="14">
        <f t="shared" si="859"/>
        <v>13425</v>
      </c>
      <c r="AR502" s="14">
        <f t="shared" si="859"/>
        <v>13425</v>
      </c>
      <c r="AS502" s="14">
        <f t="shared" si="859"/>
        <v>13425</v>
      </c>
      <c r="AT502" s="14">
        <f>INDEX(属性投放!$DG$6:$DG$85,(卡牌属性!AG502-2)*20+卡牌属性!AN502)</f>
        <v>6652</v>
      </c>
      <c r="AU502" s="14">
        <f t="shared" si="860"/>
        <v>6652</v>
      </c>
      <c r="AV502" s="14">
        <f t="shared" si="860"/>
        <v>6652</v>
      </c>
      <c r="AW502" s="14">
        <f t="shared" si="860"/>
        <v>6652</v>
      </c>
      <c r="AX502" s="14">
        <f t="shared" si="860"/>
        <v>6652</v>
      </c>
      <c r="AY502" s="14">
        <f>INDEX(属性投放!$DH$6:$DH$85,(卡牌属性!AG502-2)*20+卡牌属性!AN502)</f>
        <v>123338</v>
      </c>
      <c r="AZ502" s="14">
        <f t="shared" si="861"/>
        <v>123338</v>
      </c>
      <c r="BA502" s="14">
        <f t="shared" si="861"/>
        <v>123338</v>
      </c>
      <c r="BB502" s="14">
        <f t="shared" si="861"/>
        <v>123338</v>
      </c>
      <c r="BC502" s="14">
        <f t="shared" si="861"/>
        <v>123338</v>
      </c>
      <c r="BD502" s="14">
        <f>INDEX(属性投放!$DL$6:$DL$85,(卡牌属性!AG502-2)*20+卡牌属性!AN502)</f>
        <v>259</v>
      </c>
      <c r="BE502" s="14">
        <f t="shared" si="862"/>
        <v>259</v>
      </c>
      <c r="BF502" s="14">
        <f t="shared" si="862"/>
        <v>259</v>
      </c>
      <c r="BG502" s="14">
        <f t="shared" si="862"/>
        <v>259</v>
      </c>
      <c r="BH502" s="14">
        <f t="shared" si="862"/>
        <v>259</v>
      </c>
      <c r="BI502" s="14">
        <f>INDEX(属性投放!$DM$6:$DM$85,(卡牌属性!AG502-2)*20+卡牌属性!AN502)</f>
        <v>130</v>
      </c>
      <c r="BJ502" s="14">
        <f t="shared" si="863"/>
        <v>130</v>
      </c>
      <c r="BK502" s="14">
        <f t="shared" si="863"/>
        <v>130</v>
      </c>
      <c r="BL502" s="14">
        <f t="shared" si="863"/>
        <v>130</v>
      </c>
      <c r="BM502" s="14">
        <f t="shared" si="863"/>
        <v>130</v>
      </c>
      <c r="BN502" s="14">
        <f>INDEX(属性投放!$DN$6:$DN$85,(卡牌属性!AG502-2)*20+卡牌属性!AN502)</f>
        <v>2593</v>
      </c>
      <c r="BO502" s="14">
        <f t="shared" si="864"/>
        <v>2593</v>
      </c>
      <c r="BP502" s="14">
        <f t="shared" si="864"/>
        <v>2593</v>
      </c>
      <c r="BQ502" s="14">
        <f t="shared" si="864"/>
        <v>2593</v>
      </c>
      <c r="BR502" s="14">
        <f t="shared" si="864"/>
        <v>2593</v>
      </c>
      <c r="BW502" s="13">
        <v>498</v>
      </c>
      <c r="BX502" s="13">
        <f t="shared" si="835"/>
        <v>25</v>
      </c>
      <c r="BY502" s="14">
        <f t="shared" si="836"/>
        <v>3</v>
      </c>
      <c r="BZ502" s="14">
        <f t="shared" si="840"/>
        <v>1102026</v>
      </c>
      <c r="CA502" s="14" t="str">
        <f t="shared" si="841"/>
        <v>雷震子18突</v>
      </c>
      <c r="CB502" s="25" t="s">
        <v>142</v>
      </c>
      <c r="CC502" s="14">
        <v>2</v>
      </c>
      <c r="CD502" s="14">
        <f t="shared" si="837"/>
        <v>18</v>
      </c>
      <c r="CE502" s="14" t="s">
        <v>21</v>
      </c>
      <c r="CF502" s="14">
        <f>INDEX(属性投放!$AZ$6:$AZ$85,(BY502-2)*20+CD502)</f>
        <v>15916</v>
      </c>
      <c r="CG502" s="14" t="s">
        <v>22</v>
      </c>
      <c r="CH502" s="14">
        <f>INDEX(属性投放!$BA$6:$BA$85,(BY502-2)*20+CD502)</f>
        <v>7919</v>
      </c>
      <c r="CI502" s="14" t="s">
        <v>510</v>
      </c>
      <c r="CJ502" s="14">
        <f>INDEX(属性投放!$BB$6:$BB$85,(BY502-2)*20+CD502)</f>
        <v>148340</v>
      </c>
      <c r="CK502" s="14" t="s">
        <v>21</v>
      </c>
      <c r="CL502" s="14">
        <f>INDEX(属性投放!$BC$6:$BC$85,(BY502-2)*20+CD502)</f>
        <v>30</v>
      </c>
      <c r="CM502" s="14" t="s">
        <v>22</v>
      </c>
      <c r="CN502" s="14">
        <f>INDEX(属性投放!$BD$6:$BD$85,(BY502-2)*20+CD502)</f>
        <v>15</v>
      </c>
      <c r="CO502" s="14" t="s">
        <v>510</v>
      </c>
      <c r="CP502" s="14">
        <f>INDEX(属性投放!$BE$6:$BE$85,(BY502-2)*20+CD502)</f>
        <v>300</v>
      </c>
      <c r="CS502" s="13">
        <v>498</v>
      </c>
      <c r="CT502" s="13">
        <f t="shared" si="842"/>
        <v>10</v>
      </c>
      <c r="CU502" s="13">
        <f t="shared" si="843"/>
        <v>30</v>
      </c>
      <c r="CV502" s="14">
        <f t="shared" si="844"/>
        <v>4</v>
      </c>
      <c r="CW502" s="14">
        <f t="shared" si="845"/>
        <v>1102010</v>
      </c>
      <c r="CX502" s="14" t="str">
        <f>INDEX($O$6:$O$50,CT502)&amp;"-"&amp;INDEX(属性投放!$AB$7:$AB$50,CZ502)&amp;"-魂火-"&amp;DB502</f>
        <v>张郃-焦热-魂火-3</v>
      </c>
      <c r="CY502" s="25" t="s">
        <v>142</v>
      </c>
      <c r="CZ502" s="14">
        <f>INDEX(属性投放!$AM$7:$AM$58,CU502)</f>
        <v>13</v>
      </c>
      <c r="DA502" s="14" t="s">
        <v>537</v>
      </c>
      <c r="DB502" s="14">
        <f>INDEX(属性投放!$AN$7:$AN$58,CU502)</f>
        <v>3</v>
      </c>
      <c r="DC502" s="14">
        <f t="shared" si="838"/>
        <v>30</v>
      </c>
      <c r="DD502" s="14">
        <f>INDEX(属性投放!$AO$7:$AO$58,DC502)</f>
        <v>93</v>
      </c>
      <c r="DE502" s="14" t="s">
        <v>538</v>
      </c>
      <c r="DF502" s="14">
        <f>INDEX(属性投放!$BK$6:$BK$85,(CV502-2)*20+CZ502)</f>
        <v>275</v>
      </c>
      <c r="DG502" s="14">
        <f>SUMIFS(DF$5:DF502,$CT$5:$CT502,"="&amp;$CT502)</f>
        <v>3580</v>
      </c>
      <c r="DH502" s="14" t="s">
        <v>539</v>
      </c>
      <c r="DI502" s="14">
        <f>INDEX(属性投放!$BL$6:$BL$85,(CV502-2)*20+CZ502)</f>
        <v>138</v>
      </c>
      <c r="DJ502" s="14">
        <f>SUMIFS(DI$5:DI502,$CT$5:$CT502,"="&amp;$CT502)</f>
        <v>1798</v>
      </c>
      <c r="DK502" s="14" t="s">
        <v>540</v>
      </c>
      <c r="DL502" s="14">
        <f>INDEX(属性投放!$BM$6:$BM$85,(CV502-2)*20+CZ502)</f>
        <v>2750</v>
      </c>
      <c r="DM502" s="14">
        <f>SUMIFS(DL$5:DL502,$CT$5:$CT502,"="&amp;$CT502)</f>
        <v>31235</v>
      </c>
      <c r="DR502" s="14">
        <f t="shared" ref="DR502:DR537" si="895">BZ502</f>
        <v>1102026</v>
      </c>
      <c r="DS502" s="14" t="str">
        <f t="shared" ref="DS502:DS537" si="896">CA502</f>
        <v>雷震子18突</v>
      </c>
      <c r="DT502" s="14">
        <f t="shared" si="846"/>
        <v>7</v>
      </c>
      <c r="DU502" s="14">
        <f t="shared" si="847"/>
        <v>4</v>
      </c>
      <c r="DV502" s="14">
        <f t="shared" si="848"/>
        <v>4</v>
      </c>
      <c r="DW502" s="14">
        <f t="shared" ref="DW502:DW537" si="897">BY502</f>
        <v>3</v>
      </c>
      <c r="DX502" s="14">
        <f t="shared" ref="DX502:DX537" si="898">CD502</f>
        <v>18</v>
      </c>
      <c r="DY502" s="14">
        <f t="shared" ref="DY502:DY537" si="899">(DW502-2)*20+DX502</f>
        <v>38</v>
      </c>
      <c r="DZ502" s="14">
        <f>INDEX(属性投放!$AX$6:$AX$85,(卡牌属性!DW502-2)*20+卡牌属性!DX502)</f>
        <v>7</v>
      </c>
      <c r="EA502" s="14">
        <f>INDEX(属性投放!BQ$6:BQ$85,卡牌属性!$DY502)</f>
        <v>1500</v>
      </c>
      <c r="EB502" s="14">
        <f>INDEX(属性投放!BR$6:BR$85,卡牌属性!$DY502)</f>
        <v>750</v>
      </c>
      <c r="EC502" s="14">
        <f>INDEX(属性投放!BS$6:BS$85,卡牌属性!$DY502)</f>
        <v>15000</v>
      </c>
      <c r="ED502" s="14">
        <f t="shared" si="880"/>
        <v>8733</v>
      </c>
      <c r="EE502" s="14">
        <f t="shared" si="881"/>
        <v>9300</v>
      </c>
      <c r="EF502" s="14">
        <f t="shared" si="882"/>
        <v>9970</v>
      </c>
      <c r="EG502" s="14">
        <f t="shared" si="883"/>
        <v>9970</v>
      </c>
      <c r="EH502" s="14">
        <f t="shared" si="884"/>
        <v>11600</v>
      </c>
      <c r="EI502" s="14">
        <f t="shared" si="885"/>
        <v>3416</v>
      </c>
      <c r="EJ502" s="14">
        <f t="shared" si="886"/>
        <v>3651</v>
      </c>
      <c r="EK502" s="14">
        <f t="shared" si="887"/>
        <v>3651</v>
      </c>
      <c r="EL502" s="14">
        <f t="shared" si="888"/>
        <v>3774</v>
      </c>
      <c r="EM502" s="14">
        <f t="shared" si="889"/>
        <v>4338</v>
      </c>
      <c r="EN502" s="14">
        <f t="shared" si="890"/>
        <v>62582</v>
      </c>
      <c r="EO502" s="14">
        <f t="shared" si="891"/>
        <v>66600</v>
      </c>
      <c r="EP502" s="14">
        <f t="shared" si="892"/>
        <v>66600</v>
      </c>
      <c r="EQ502" s="14">
        <f t="shared" si="893"/>
        <v>68514</v>
      </c>
      <c r="ER502" s="14">
        <f t="shared" si="894"/>
        <v>78698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INDEX(属性投放!$BQ$6:$BQ$85,(卡牌属性!$DW502-2)*20+卡牌属性!$DX502)</f>
        <v>1500</v>
      </c>
      <c r="FI502" s="14">
        <f>INDEX(属性投放!$BQ$6:$BQ$85,(卡牌属性!$DW502-2)*20+卡牌属性!$DX502)</f>
        <v>1500</v>
      </c>
      <c r="FJ502" s="14">
        <f>INDEX(属性投放!$BQ$6:$BQ$85,(卡牌属性!$DW502-2)*20+卡牌属性!$DX502)</f>
        <v>1500</v>
      </c>
      <c r="FK502" s="14">
        <f>INDEX(属性投放!$BQ$6:$BQ$85,(卡牌属性!$DW502-2)*20+卡牌属性!$DX502)</f>
        <v>1500</v>
      </c>
      <c r="FL502" s="14">
        <f>INDEX(属性投放!$BQ$6:$BQ$85,(卡牌属性!$DW502-2)*20+卡牌属性!$DX502)</f>
        <v>1500</v>
      </c>
      <c r="FM502" s="14">
        <f>INDEX(属性投放!$BR$6:$BR$85,(卡牌属性!$DW502-2)*20+卡牌属性!$DX502)</f>
        <v>750</v>
      </c>
      <c r="FN502" s="14">
        <f>INDEX(属性投放!$BR$6:$BR$85,(卡牌属性!$DW502-2)*20+卡牌属性!$DX502)</f>
        <v>750</v>
      </c>
      <c r="FO502" s="14">
        <f>INDEX(属性投放!$BR$6:$BR$85,(卡牌属性!$DW502-2)*20+卡牌属性!$DX502)</f>
        <v>750</v>
      </c>
      <c r="FP502" s="14">
        <f>INDEX(属性投放!$BR$6:$BR$85,(卡牌属性!$DW502-2)*20+卡牌属性!$DX502)</f>
        <v>750</v>
      </c>
      <c r="FQ502" s="14">
        <f>INDEX(属性投放!$BR$6:$BR$85,(卡牌属性!$DW502-2)*20+卡牌属性!$DX502)</f>
        <v>750</v>
      </c>
      <c r="FR502" s="14">
        <f>INDEX(属性投放!$BS$6:$BS$85,(卡牌属性!$DW502-2)*20+卡牌属性!$DX502)</f>
        <v>15000</v>
      </c>
      <c r="FS502" s="14">
        <f>INDEX(属性投放!$BS$6:$BS$85,(卡牌属性!$DW502-2)*20+卡牌属性!$DX502)</f>
        <v>15000</v>
      </c>
      <c r="FT502" s="14">
        <f>INDEX(属性投放!$BS$6:$BS$85,(卡牌属性!$DW502-2)*20+卡牌属性!$DX502)</f>
        <v>15000</v>
      </c>
      <c r="FU502" s="14">
        <f>INDEX(属性投放!$BS$6:$BS$85,(卡牌属性!$DW502-2)*20+卡牌属性!$DX502)</f>
        <v>15000</v>
      </c>
      <c r="FV502" s="14">
        <f>INDEX(属性投放!$BS$6:$BS$85,(卡牌属性!$DW502-2)*20+卡牌属性!$DX502)</f>
        <v>15000</v>
      </c>
    </row>
    <row r="503" spans="31:178" ht="16.5" x14ac:dyDescent="0.2">
      <c r="AE503" s="13">
        <v>499</v>
      </c>
      <c r="AF503" s="13">
        <f t="shared" si="854"/>
        <v>25</v>
      </c>
      <c r="AG503" s="13">
        <f t="shared" si="855"/>
        <v>3</v>
      </c>
      <c r="AH503" s="13"/>
      <c r="AI503" s="13"/>
      <c r="AJ503" s="14">
        <f t="shared" si="856"/>
        <v>1101998</v>
      </c>
      <c r="AK503" s="14" t="str">
        <f t="shared" si="857"/>
        <v>SR寄灵人19突</v>
      </c>
      <c r="AL503" s="25" t="s">
        <v>142</v>
      </c>
      <c r="AM503" s="14">
        <v>1</v>
      </c>
      <c r="AN503" s="14">
        <f t="shared" si="858"/>
        <v>19</v>
      </c>
      <c r="AO503" s="14">
        <f>INDEX(属性投放!$DF$6:$DF$85,(卡牌属性!AG503-2)*20+卡牌属性!AN503)</f>
        <v>20826</v>
      </c>
      <c r="AP503" s="14">
        <f t="shared" si="859"/>
        <v>20826</v>
      </c>
      <c r="AQ503" s="14">
        <f t="shared" si="859"/>
        <v>20826</v>
      </c>
      <c r="AR503" s="14">
        <f t="shared" si="859"/>
        <v>20826</v>
      </c>
      <c r="AS503" s="14">
        <f t="shared" si="859"/>
        <v>20826</v>
      </c>
      <c r="AT503" s="14">
        <f>INDEX(属性投放!$DG$6:$DG$85,(卡牌属性!AG503-2)*20+卡牌属性!AN503)</f>
        <v>10365</v>
      </c>
      <c r="AU503" s="14">
        <f t="shared" si="860"/>
        <v>10365</v>
      </c>
      <c r="AV503" s="14">
        <f t="shared" si="860"/>
        <v>10365</v>
      </c>
      <c r="AW503" s="14">
        <f t="shared" si="860"/>
        <v>10365</v>
      </c>
      <c r="AX503" s="14">
        <f t="shared" si="860"/>
        <v>10365</v>
      </c>
      <c r="AY503" s="14">
        <f>INDEX(属性投放!$DH$6:$DH$85,(卡牌属性!AG503-2)*20+卡牌属性!AN503)</f>
        <v>197423</v>
      </c>
      <c r="AZ503" s="14">
        <f t="shared" si="861"/>
        <v>197423</v>
      </c>
      <c r="BA503" s="14">
        <f t="shared" si="861"/>
        <v>197423</v>
      </c>
      <c r="BB503" s="14">
        <f t="shared" si="861"/>
        <v>197423</v>
      </c>
      <c r="BC503" s="14">
        <f t="shared" si="861"/>
        <v>197423</v>
      </c>
      <c r="BD503" s="14">
        <f>INDEX(属性投放!$DL$6:$DL$85,(卡牌属性!AG503-2)*20+卡牌属性!AN503)</f>
        <v>486</v>
      </c>
      <c r="BE503" s="14">
        <f t="shared" si="862"/>
        <v>486</v>
      </c>
      <c r="BF503" s="14">
        <f t="shared" si="862"/>
        <v>486</v>
      </c>
      <c r="BG503" s="14">
        <f t="shared" si="862"/>
        <v>486</v>
      </c>
      <c r="BH503" s="14">
        <f t="shared" si="862"/>
        <v>486</v>
      </c>
      <c r="BI503" s="14">
        <f>INDEX(属性投放!$DM$6:$DM$85,(卡牌属性!AG503-2)*20+卡牌属性!AN503)</f>
        <v>243</v>
      </c>
      <c r="BJ503" s="14">
        <f t="shared" si="863"/>
        <v>243</v>
      </c>
      <c r="BK503" s="14">
        <f t="shared" si="863"/>
        <v>243</v>
      </c>
      <c r="BL503" s="14">
        <f t="shared" si="863"/>
        <v>243</v>
      </c>
      <c r="BM503" s="14">
        <f t="shared" si="863"/>
        <v>243</v>
      </c>
      <c r="BN503" s="14">
        <f>INDEX(属性投放!$DN$6:$DN$85,(卡牌属性!AG503-2)*20+卡牌属性!AN503)</f>
        <v>4863</v>
      </c>
      <c r="BO503" s="14">
        <f t="shared" si="864"/>
        <v>4863</v>
      </c>
      <c r="BP503" s="14">
        <f t="shared" si="864"/>
        <v>4863</v>
      </c>
      <c r="BQ503" s="14">
        <f t="shared" si="864"/>
        <v>4863</v>
      </c>
      <c r="BR503" s="14">
        <f t="shared" si="864"/>
        <v>4863</v>
      </c>
      <c r="BW503" s="13">
        <v>499</v>
      </c>
      <c r="BX503" s="13">
        <f t="shared" si="835"/>
        <v>25</v>
      </c>
      <c r="BY503" s="14">
        <f t="shared" si="836"/>
        <v>3</v>
      </c>
      <c r="BZ503" s="14">
        <f t="shared" si="840"/>
        <v>1102026</v>
      </c>
      <c r="CA503" s="14" t="str">
        <f t="shared" si="841"/>
        <v>雷震子19突</v>
      </c>
      <c r="CB503" s="25" t="s">
        <v>142</v>
      </c>
      <c r="CC503" s="14">
        <v>2</v>
      </c>
      <c r="CD503" s="14">
        <f t="shared" si="837"/>
        <v>19</v>
      </c>
      <c r="CE503" s="14" t="s">
        <v>21</v>
      </c>
      <c r="CF503" s="14">
        <f>INDEX(属性投放!$AZ$6:$AZ$85,(BY503-2)*20+CD503)</f>
        <v>19726</v>
      </c>
      <c r="CG503" s="14" t="s">
        <v>22</v>
      </c>
      <c r="CH503" s="14">
        <f>INDEX(属性投放!$BA$6:$BA$85,(BY503-2)*20+CD503)</f>
        <v>9824</v>
      </c>
      <c r="CI503" s="14" t="s">
        <v>510</v>
      </c>
      <c r="CJ503" s="14">
        <f>INDEX(属性投放!$BB$6:$BB$85,(BY503-2)*20+CD503)</f>
        <v>186440</v>
      </c>
      <c r="CK503" s="14" t="s">
        <v>21</v>
      </c>
      <c r="CL503" s="14">
        <f>INDEX(属性投放!$BC$6:$BC$85,(BY503-2)*20+CD503)</f>
        <v>40</v>
      </c>
      <c r="CM503" s="14" t="s">
        <v>22</v>
      </c>
      <c r="CN503" s="14">
        <f>INDEX(属性投放!$BD$6:$BD$85,(BY503-2)*20+CD503)</f>
        <v>20</v>
      </c>
      <c r="CO503" s="14" t="s">
        <v>510</v>
      </c>
      <c r="CP503" s="14">
        <f>INDEX(属性投放!$BE$6:$BE$85,(BY503-2)*20+CD503)</f>
        <v>400</v>
      </c>
      <c r="CS503" s="13">
        <v>499</v>
      </c>
      <c r="CT503" s="13">
        <f t="shared" si="842"/>
        <v>10</v>
      </c>
      <c r="CU503" s="13">
        <f t="shared" si="843"/>
        <v>31</v>
      </c>
      <c r="CV503" s="14">
        <f t="shared" si="844"/>
        <v>4</v>
      </c>
      <c r="CW503" s="14">
        <f t="shared" si="845"/>
        <v>1102010</v>
      </c>
      <c r="CX503" s="14" t="str">
        <f>INDEX($O$6:$O$50,CT503)&amp;"-"&amp;INDEX(属性投放!$AB$7:$AB$50,CZ503)&amp;"-魂火-"&amp;DB503</f>
        <v>张郃-焦热+1-魂火-1</v>
      </c>
      <c r="CY503" s="25" t="s">
        <v>142</v>
      </c>
      <c r="CZ503" s="14">
        <f>INDEX(属性投放!$AM$7:$AM$58,CU503)</f>
        <v>14</v>
      </c>
      <c r="DA503" s="14" t="s">
        <v>537</v>
      </c>
      <c r="DB503" s="14">
        <f>INDEX(属性投放!$AN$7:$AN$58,CU503)</f>
        <v>1</v>
      </c>
      <c r="DC503" s="14">
        <f t="shared" si="838"/>
        <v>31</v>
      </c>
      <c r="DD503" s="14">
        <f>INDEX(属性投放!$AO$7:$AO$58,DC503)</f>
        <v>95</v>
      </c>
      <c r="DE503" s="14" t="s">
        <v>538</v>
      </c>
      <c r="DF503" s="14">
        <f>INDEX(属性投放!$BK$6:$BK$85,(CV503-2)*20+CZ503)</f>
        <v>320</v>
      </c>
      <c r="DG503" s="14">
        <f>SUMIFS(DF$5:DF503,$CT$5:$CT503,"="&amp;$CT503)</f>
        <v>3900</v>
      </c>
      <c r="DH503" s="14" t="s">
        <v>539</v>
      </c>
      <c r="DI503" s="14">
        <f>INDEX(属性投放!$BL$6:$BL$85,(CV503-2)*20+CZ503)</f>
        <v>160</v>
      </c>
      <c r="DJ503" s="14">
        <f>SUMIFS(DI$5:DI503,$CT$5:$CT503,"="&amp;$CT503)</f>
        <v>1958</v>
      </c>
      <c r="DK503" s="14" t="s">
        <v>540</v>
      </c>
      <c r="DL503" s="14">
        <f>INDEX(属性投放!$BM$6:$BM$85,(CV503-2)*20+CZ503)</f>
        <v>3200</v>
      </c>
      <c r="DM503" s="14">
        <f>SUMIFS(DL$5:DL503,$CT$5:$CT503,"="&amp;$CT503)</f>
        <v>34435</v>
      </c>
      <c r="DR503" s="14">
        <f t="shared" si="895"/>
        <v>1102026</v>
      </c>
      <c r="DS503" s="14" t="str">
        <f t="shared" si="896"/>
        <v>雷震子19突</v>
      </c>
      <c r="DT503" s="14">
        <f t="shared" si="846"/>
        <v>7</v>
      </c>
      <c r="DU503" s="14">
        <f t="shared" si="847"/>
        <v>4</v>
      </c>
      <c r="DV503" s="14">
        <f t="shared" si="848"/>
        <v>4</v>
      </c>
      <c r="DW503" s="14">
        <f t="shared" si="897"/>
        <v>3</v>
      </c>
      <c r="DX503" s="14">
        <f t="shared" si="898"/>
        <v>19</v>
      </c>
      <c r="DY503" s="14">
        <f t="shared" si="899"/>
        <v>39</v>
      </c>
      <c r="DZ503" s="14">
        <f>INDEX(属性投放!$AX$6:$AX$85,(卡牌属性!DW503-2)*20+卡牌属性!DX503)</f>
        <v>8</v>
      </c>
      <c r="EA503" s="14">
        <f>INDEX(属性投放!BQ$6:BQ$85,卡牌属性!$DY503)</f>
        <v>1500</v>
      </c>
      <c r="EB503" s="14">
        <f>INDEX(属性投放!BR$6:BR$85,卡牌属性!$DY503)</f>
        <v>750</v>
      </c>
      <c r="EC503" s="14">
        <f>INDEX(属性投放!BS$6:BS$85,卡牌属性!$DY503)</f>
        <v>15000</v>
      </c>
      <c r="ED503" s="14">
        <f t="shared" si="880"/>
        <v>10583</v>
      </c>
      <c r="EE503" s="14">
        <f t="shared" si="881"/>
        <v>11220</v>
      </c>
      <c r="EF503" s="14">
        <f t="shared" si="882"/>
        <v>11995</v>
      </c>
      <c r="EG503" s="14">
        <f t="shared" si="883"/>
        <v>11995</v>
      </c>
      <c r="EH503" s="14">
        <f t="shared" si="884"/>
        <v>13800</v>
      </c>
      <c r="EI503" s="14">
        <f t="shared" si="885"/>
        <v>4257</v>
      </c>
      <c r="EJ503" s="14">
        <f t="shared" si="886"/>
        <v>4506</v>
      </c>
      <c r="EK503" s="14">
        <f t="shared" si="887"/>
        <v>4506</v>
      </c>
      <c r="EL503" s="14">
        <f t="shared" si="888"/>
        <v>4650</v>
      </c>
      <c r="EM503" s="14">
        <f t="shared" si="889"/>
        <v>5263</v>
      </c>
      <c r="EN503" s="14">
        <f t="shared" si="890"/>
        <v>79332</v>
      </c>
      <c r="EO503" s="14">
        <f t="shared" si="891"/>
        <v>83700</v>
      </c>
      <c r="EP503" s="14">
        <f t="shared" si="892"/>
        <v>83700</v>
      </c>
      <c r="EQ503" s="14">
        <f t="shared" si="893"/>
        <v>85964</v>
      </c>
      <c r="ER503" s="14">
        <f t="shared" si="894"/>
        <v>97198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INDEX(属性投放!$BQ$6:$BQ$85,(卡牌属性!$DW503-2)*20+卡牌属性!$DX503)</f>
        <v>1500</v>
      </c>
      <c r="FI503" s="14">
        <f>INDEX(属性投放!$BQ$6:$BQ$85,(卡牌属性!$DW503-2)*20+卡牌属性!$DX503)</f>
        <v>1500</v>
      </c>
      <c r="FJ503" s="14">
        <f>INDEX(属性投放!$BQ$6:$BQ$85,(卡牌属性!$DW503-2)*20+卡牌属性!$DX503)</f>
        <v>1500</v>
      </c>
      <c r="FK503" s="14">
        <f>INDEX(属性投放!$BQ$6:$BQ$85,(卡牌属性!$DW503-2)*20+卡牌属性!$DX503)</f>
        <v>1500</v>
      </c>
      <c r="FL503" s="14">
        <f>INDEX(属性投放!$BQ$6:$BQ$85,(卡牌属性!$DW503-2)*20+卡牌属性!$DX503)</f>
        <v>1500</v>
      </c>
      <c r="FM503" s="14">
        <f>INDEX(属性投放!$BR$6:$BR$85,(卡牌属性!$DW503-2)*20+卡牌属性!$DX503)</f>
        <v>750</v>
      </c>
      <c r="FN503" s="14">
        <f>INDEX(属性投放!$BR$6:$BR$85,(卡牌属性!$DW503-2)*20+卡牌属性!$DX503)</f>
        <v>750</v>
      </c>
      <c r="FO503" s="14">
        <f>INDEX(属性投放!$BR$6:$BR$85,(卡牌属性!$DW503-2)*20+卡牌属性!$DX503)</f>
        <v>750</v>
      </c>
      <c r="FP503" s="14">
        <f>INDEX(属性投放!$BR$6:$BR$85,(卡牌属性!$DW503-2)*20+卡牌属性!$DX503)</f>
        <v>750</v>
      </c>
      <c r="FQ503" s="14">
        <f>INDEX(属性投放!$BR$6:$BR$85,(卡牌属性!$DW503-2)*20+卡牌属性!$DX503)</f>
        <v>750</v>
      </c>
      <c r="FR503" s="14">
        <f>INDEX(属性投放!$BS$6:$BS$85,(卡牌属性!$DW503-2)*20+卡牌属性!$DX503)</f>
        <v>15000</v>
      </c>
      <c r="FS503" s="14">
        <f>INDEX(属性投放!$BS$6:$BS$85,(卡牌属性!$DW503-2)*20+卡牌属性!$DX503)</f>
        <v>15000</v>
      </c>
      <c r="FT503" s="14">
        <f>INDEX(属性投放!$BS$6:$BS$85,(卡牌属性!$DW503-2)*20+卡牌属性!$DX503)</f>
        <v>15000</v>
      </c>
      <c r="FU503" s="14">
        <f>INDEX(属性投放!$BS$6:$BS$85,(卡牌属性!$DW503-2)*20+卡牌属性!$DX503)</f>
        <v>15000</v>
      </c>
      <c r="FV503" s="14">
        <f>INDEX(属性投放!$BS$6:$BS$85,(卡牌属性!$DW503-2)*20+卡牌属性!$DX503)</f>
        <v>15000</v>
      </c>
    </row>
    <row r="504" spans="31:178" ht="16.5" x14ac:dyDescent="0.2">
      <c r="AE504" s="13">
        <v>500</v>
      </c>
      <c r="AF504" s="13">
        <f t="shared" si="854"/>
        <v>25</v>
      </c>
      <c r="AG504" s="13">
        <f t="shared" si="855"/>
        <v>3</v>
      </c>
      <c r="AH504" s="13"/>
      <c r="AI504" s="13"/>
      <c r="AJ504" s="14">
        <f t="shared" si="856"/>
        <v>1101998</v>
      </c>
      <c r="AK504" s="14" t="str">
        <f t="shared" si="857"/>
        <v>SR寄灵人20突</v>
      </c>
      <c r="AL504" s="25" t="s">
        <v>142</v>
      </c>
      <c r="AM504" s="14">
        <v>1</v>
      </c>
      <c r="AN504" s="14">
        <f t="shared" si="858"/>
        <v>20</v>
      </c>
      <c r="AO504" s="14">
        <f>INDEX(属性投放!$DF$6:$DF$85,(卡牌属性!AG504-2)*20+卡牌属性!AN504)</f>
        <v>21868</v>
      </c>
      <c r="AP504" s="14">
        <f t="shared" si="859"/>
        <v>21868</v>
      </c>
      <c r="AQ504" s="14">
        <f t="shared" si="859"/>
        <v>21868</v>
      </c>
      <c r="AR504" s="14">
        <f t="shared" si="859"/>
        <v>21868</v>
      </c>
      <c r="AS504" s="14">
        <f t="shared" si="859"/>
        <v>21868</v>
      </c>
      <c r="AT504" s="14">
        <f>INDEX(属性投放!$DG$6:$DG$85,(卡牌属性!AG504-2)*20+卡牌属性!AN504)</f>
        <v>10886</v>
      </c>
      <c r="AU504" s="14">
        <f t="shared" si="860"/>
        <v>10886</v>
      </c>
      <c r="AV504" s="14">
        <f t="shared" si="860"/>
        <v>10886</v>
      </c>
      <c r="AW504" s="14">
        <f t="shared" si="860"/>
        <v>10886</v>
      </c>
      <c r="AX504" s="14">
        <f t="shared" si="860"/>
        <v>10886</v>
      </c>
      <c r="AY504" s="14">
        <f>INDEX(属性投放!$DH$6:$DH$85,(卡牌属性!AG504-2)*20+卡牌属性!AN504)</f>
        <v>207843</v>
      </c>
      <c r="AZ504" s="14">
        <f t="shared" si="861"/>
        <v>207843</v>
      </c>
      <c r="BA504" s="14">
        <f t="shared" si="861"/>
        <v>207843</v>
      </c>
      <c r="BB504" s="14">
        <f t="shared" si="861"/>
        <v>207843</v>
      </c>
      <c r="BC504" s="14">
        <f t="shared" si="861"/>
        <v>207843</v>
      </c>
      <c r="BD504" s="14">
        <f>INDEX(属性投放!$DL$6:$DL$85,(卡牌属性!AG504-2)*20+卡牌属性!AN504)</f>
        <v>486</v>
      </c>
      <c r="BE504" s="14">
        <f t="shared" si="862"/>
        <v>486</v>
      </c>
      <c r="BF504" s="14">
        <f t="shared" si="862"/>
        <v>486</v>
      </c>
      <c r="BG504" s="14">
        <f t="shared" si="862"/>
        <v>486</v>
      </c>
      <c r="BH504" s="14">
        <f t="shared" si="862"/>
        <v>486</v>
      </c>
      <c r="BI504" s="14">
        <f>INDEX(属性投放!$DM$6:$DM$85,(卡牌属性!AG504-2)*20+卡牌属性!AN504)</f>
        <v>243</v>
      </c>
      <c r="BJ504" s="14">
        <f t="shared" si="863"/>
        <v>243</v>
      </c>
      <c r="BK504" s="14">
        <f t="shared" si="863"/>
        <v>243</v>
      </c>
      <c r="BL504" s="14">
        <f t="shared" si="863"/>
        <v>243</v>
      </c>
      <c r="BM504" s="14">
        <f t="shared" si="863"/>
        <v>243</v>
      </c>
      <c r="BN504" s="14">
        <f>INDEX(属性投放!$DN$6:$DN$85,(卡牌属性!AG504-2)*20+卡牌属性!AN504)</f>
        <v>4863</v>
      </c>
      <c r="BO504" s="14">
        <f t="shared" si="864"/>
        <v>4863</v>
      </c>
      <c r="BP504" s="14">
        <f t="shared" si="864"/>
        <v>4863</v>
      </c>
      <c r="BQ504" s="14">
        <f t="shared" si="864"/>
        <v>4863</v>
      </c>
      <c r="BR504" s="14">
        <f t="shared" si="864"/>
        <v>4863</v>
      </c>
      <c r="BW504" s="13">
        <v>500</v>
      </c>
      <c r="BX504" s="13">
        <f t="shared" si="835"/>
        <v>25</v>
      </c>
      <c r="BY504" s="14">
        <f t="shared" si="836"/>
        <v>3</v>
      </c>
      <c r="BZ504" s="14">
        <f t="shared" si="840"/>
        <v>1102026</v>
      </c>
      <c r="CA504" s="14" t="str">
        <f t="shared" si="841"/>
        <v>雷震子20突</v>
      </c>
      <c r="CB504" s="25" t="s">
        <v>142</v>
      </c>
      <c r="CC504" s="14">
        <v>2</v>
      </c>
      <c r="CD504" s="14">
        <f t="shared" si="837"/>
        <v>20</v>
      </c>
      <c r="CE504" s="14" t="s">
        <v>21</v>
      </c>
      <c r="CF504" s="14">
        <f>INDEX(属性投放!$AZ$6:$AZ$85,(BY504-2)*20+CD504)</f>
        <v>24246</v>
      </c>
      <c r="CG504" s="14" t="s">
        <v>22</v>
      </c>
      <c r="CH504" s="14">
        <f>INDEX(属性投放!$BA$6:$BA$85,(BY504-2)*20+CD504)</f>
        <v>12084</v>
      </c>
      <c r="CI504" s="14" t="s">
        <v>510</v>
      </c>
      <c r="CJ504" s="14">
        <f>INDEX(属性投放!$BB$6:$BB$85,(BY504-2)*20+CD504)</f>
        <v>231640</v>
      </c>
      <c r="CK504" s="14" t="s">
        <v>21</v>
      </c>
      <c r="CL504" s="14">
        <f>INDEX(属性投放!$BC$6:$BC$85,(BY504-2)*20+CD504)</f>
        <v>40</v>
      </c>
      <c r="CM504" s="14" t="s">
        <v>22</v>
      </c>
      <c r="CN504" s="14">
        <f>INDEX(属性投放!$BD$6:$BD$85,(BY504-2)*20+CD504)</f>
        <v>20</v>
      </c>
      <c r="CO504" s="14" t="s">
        <v>510</v>
      </c>
      <c r="CP504" s="14">
        <f>INDEX(属性投放!$BE$6:$BE$85,(BY504-2)*20+CD504)</f>
        <v>400</v>
      </c>
      <c r="CS504" s="13">
        <v>500</v>
      </c>
      <c r="CT504" s="13">
        <f t="shared" si="842"/>
        <v>10</v>
      </c>
      <c r="CU504" s="13">
        <f t="shared" si="843"/>
        <v>32</v>
      </c>
      <c r="CV504" s="14">
        <f t="shared" si="844"/>
        <v>4</v>
      </c>
      <c r="CW504" s="14">
        <f t="shared" si="845"/>
        <v>1102010</v>
      </c>
      <c r="CX504" s="14" t="str">
        <f>INDEX($O$6:$O$50,CT504)&amp;"-"&amp;INDEX(属性投放!$AB$7:$AB$50,CZ504)&amp;"-魂火-"&amp;DB504</f>
        <v>张郃-焦热+1-魂火-2</v>
      </c>
      <c r="CY504" s="25" t="s">
        <v>142</v>
      </c>
      <c r="CZ504" s="14">
        <f>INDEX(属性投放!$AM$7:$AM$58,CU504)</f>
        <v>14</v>
      </c>
      <c r="DA504" s="14" t="s">
        <v>537</v>
      </c>
      <c r="DB504" s="14">
        <f>INDEX(属性投放!$AN$7:$AN$58,CU504)</f>
        <v>2</v>
      </c>
      <c r="DC504" s="14">
        <f t="shared" si="838"/>
        <v>32</v>
      </c>
      <c r="DD504" s="14">
        <f>INDEX(属性投放!$AO$7:$AO$58,DC504)</f>
        <v>98</v>
      </c>
      <c r="DE504" s="14" t="s">
        <v>538</v>
      </c>
      <c r="DF504" s="14">
        <f>INDEX(属性投放!$BK$6:$BK$85,(CV504-2)*20+CZ504)</f>
        <v>320</v>
      </c>
      <c r="DG504" s="14">
        <f>SUMIFS(DF$5:DF504,$CT$5:$CT504,"="&amp;$CT504)</f>
        <v>4220</v>
      </c>
      <c r="DH504" s="14" t="s">
        <v>539</v>
      </c>
      <c r="DI504" s="14">
        <f>INDEX(属性投放!$BL$6:$BL$85,(CV504-2)*20+CZ504)</f>
        <v>160</v>
      </c>
      <c r="DJ504" s="14">
        <f>SUMIFS(DI$5:DI504,$CT$5:$CT504,"="&amp;$CT504)</f>
        <v>2118</v>
      </c>
      <c r="DK504" s="14" t="s">
        <v>540</v>
      </c>
      <c r="DL504" s="14">
        <f>INDEX(属性投放!$BM$6:$BM$85,(CV504-2)*20+CZ504)</f>
        <v>3200</v>
      </c>
      <c r="DM504" s="14">
        <f>SUMIFS(DL$5:DL504,$CT$5:$CT504,"="&amp;$CT504)</f>
        <v>37635</v>
      </c>
      <c r="DR504" s="14">
        <f t="shared" si="895"/>
        <v>1102026</v>
      </c>
      <c r="DS504" s="14" t="str">
        <f t="shared" si="896"/>
        <v>雷震子20突</v>
      </c>
      <c r="DT504" s="14">
        <f t="shared" si="846"/>
        <v>7</v>
      </c>
      <c r="DU504" s="14">
        <f t="shared" si="847"/>
        <v>4</v>
      </c>
      <c r="DV504" s="14">
        <f t="shared" si="848"/>
        <v>4</v>
      </c>
      <c r="DW504" s="14">
        <f t="shared" si="897"/>
        <v>3</v>
      </c>
      <c r="DX504" s="14">
        <f t="shared" si="898"/>
        <v>20</v>
      </c>
      <c r="DY504" s="14">
        <f t="shared" si="899"/>
        <v>40</v>
      </c>
      <c r="DZ504" s="14">
        <f>INDEX(属性投放!$AX$6:$AX$85,(卡牌属性!DW504-2)*20+卡牌属性!DX504)</f>
        <v>10</v>
      </c>
      <c r="EA504" s="14">
        <f>INDEX(属性投放!BQ$6:BQ$85,卡牌属性!$DY504)</f>
        <v>1500</v>
      </c>
      <c r="EB504" s="14">
        <f>INDEX(属性投放!BR$6:BR$85,卡牌属性!$DY504)</f>
        <v>750</v>
      </c>
      <c r="EC504" s="14">
        <f>INDEX(属性投放!BS$6:BS$85,卡牌属性!$DY504)</f>
        <v>15000</v>
      </c>
      <c r="ED504" s="14">
        <f t="shared" si="880"/>
        <v>12683</v>
      </c>
      <c r="EE504" s="14">
        <f t="shared" si="881"/>
        <v>13360</v>
      </c>
      <c r="EF504" s="14">
        <f t="shared" si="882"/>
        <v>14295</v>
      </c>
      <c r="EG504" s="14">
        <f t="shared" si="883"/>
        <v>14295</v>
      </c>
      <c r="EH504" s="14">
        <f t="shared" si="884"/>
        <v>16500</v>
      </c>
      <c r="EI504" s="14">
        <f t="shared" si="885"/>
        <v>5127</v>
      </c>
      <c r="EJ504" s="14">
        <f t="shared" si="886"/>
        <v>5416</v>
      </c>
      <c r="EK504" s="14">
        <f t="shared" si="887"/>
        <v>5416</v>
      </c>
      <c r="EL504" s="14">
        <f t="shared" si="888"/>
        <v>5584</v>
      </c>
      <c r="EM504" s="14">
        <f t="shared" si="889"/>
        <v>6317</v>
      </c>
      <c r="EN504" s="14">
        <f t="shared" si="890"/>
        <v>96732</v>
      </c>
      <c r="EO504" s="14">
        <f t="shared" si="891"/>
        <v>101900</v>
      </c>
      <c r="EP504" s="14">
        <f t="shared" si="892"/>
        <v>101900</v>
      </c>
      <c r="EQ504" s="14">
        <f t="shared" si="893"/>
        <v>104564</v>
      </c>
      <c r="ER504" s="14">
        <f t="shared" si="894"/>
        <v>118198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INDEX(属性投放!$BQ$6:$BQ$85,(卡牌属性!$DW504-2)*20+卡牌属性!$DX504)</f>
        <v>1500</v>
      </c>
      <c r="FI504" s="14">
        <f>INDEX(属性投放!$BQ$6:$BQ$85,(卡牌属性!$DW504-2)*20+卡牌属性!$DX504)</f>
        <v>1500</v>
      </c>
      <c r="FJ504" s="14">
        <f>INDEX(属性投放!$BQ$6:$BQ$85,(卡牌属性!$DW504-2)*20+卡牌属性!$DX504)</f>
        <v>1500</v>
      </c>
      <c r="FK504" s="14">
        <f>INDEX(属性投放!$BQ$6:$BQ$85,(卡牌属性!$DW504-2)*20+卡牌属性!$DX504)</f>
        <v>1500</v>
      </c>
      <c r="FL504" s="14">
        <f>INDEX(属性投放!$BQ$6:$BQ$85,(卡牌属性!$DW504-2)*20+卡牌属性!$DX504)</f>
        <v>1500</v>
      </c>
      <c r="FM504" s="14">
        <f>INDEX(属性投放!$BR$6:$BR$85,(卡牌属性!$DW504-2)*20+卡牌属性!$DX504)</f>
        <v>750</v>
      </c>
      <c r="FN504" s="14">
        <f>INDEX(属性投放!$BR$6:$BR$85,(卡牌属性!$DW504-2)*20+卡牌属性!$DX504)</f>
        <v>750</v>
      </c>
      <c r="FO504" s="14">
        <f>INDEX(属性投放!$BR$6:$BR$85,(卡牌属性!$DW504-2)*20+卡牌属性!$DX504)</f>
        <v>750</v>
      </c>
      <c r="FP504" s="14">
        <f>INDEX(属性投放!$BR$6:$BR$85,(卡牌属性!$DW504-2)*20+卡牌属性!$DX504)</f>
        <v>750</v>
      </c>
      <c r="FQ504" s="14">
        <f>INDEX(属性投放!$BR$6:$BR$85,(卡牌属性!$DW504-2)*20+卡牌属性!$DX504)</f>
        <v>750</v>
      </c>
      <c r="FR504" s="14">
        <f>INDEX(属性投放!$BS$6:$BS$85,(卡牌属性!$DW504-2)*20+卡牌属性!$DX504)</f>
        <v>15000</v>
      </c>
      <c r="FS504" s="14">
        <f>INDEX(属性投放!$BS$6:$BS$85,(卡牌属性!$DW504-2)*20+卡牌属性!$DX504)</f>
        <v>15000</v>
      </c>
      <c r="FT504" s="14">
        <f>INDEX(属性投放!$BS$6:$BS$85,(卡牌属性!$DW504-2)*20+卡牌属性!$DX504)</f>
        <v>15000</v>
      </c>
      <c r="FU504" s="14">
        <f>INDEX(属性投放!$BS$6:$BS$85,(卡牌属性!$DW504-2)*20+卡牌属性!$DX504)</f>
        <v>15000</v>
      </c>
      <c r="FV504" s="14">
        <f>INDEX(属性投放!$BS$6:$BS$85,(卡牌属性!$DW504-2)*20+卡牌属性!$DX504)</f>
        <v>15000</v>
      </c>
    </row>
    <row r="505" spans="31:178" ht="16.5" x14ac:dyDescent="0.2">
      <c r="AE505" s="13">
        <v>501</v>
      </c>
      <c r="AF505" s="13">
        <f t="shared" si="854"/>
        <v>26</v>
      </c>
      <c r="AG505" s="13">
        <f t="shared" si="855"/>
        <v>4</v>
      </c>
      <c r="AH505" s="13"/>
      <c r="AI505" s="13"/>
      <c r="AJ505" s="14">
        <f t="shared" si="856"/>
        <v>1101997</v>
      </c>
      <c r="AK505" s="14" t="str">
        <f t="shared" si="857"/>
        <v>SSR寄灵人1突</v>
      </c>
      <c r="AL505" s="25" t="s">
        <v>142</v>
      </c>
      <c r="AM505" s="14">
        <v>1</v>
      </c>
      <c r="AN505" s="14">
        <f t="shared" si="858"/>
        <v>1</v>
      </c>
      <c r="AO505" s="14">
        <f>INDEX(属性投放!$DF$6:$DF$85,(卡牌属性!AG505-2)*20+卡牌属性!AN505)</f>
        <v>200</v>
      </c>
      <c r="AP505" s="14">
        <f t="shared" si="859"/>
        <v>200</v>
      </c>
      <c r="AQ505" s="14">
        <f t="shared" si="859"/>
        <v>200</v>
      </c>
      <c r="AR505" s="14">
        <f t="shared" si="859"/>
        <v>200</v>
      </c>
      <c r="AS505" s="14">
        <f t="shared" si="859"/>
        <v>200</v>
      </c>
      <c r="AT505" s="14">
        <f>INDEX(属性投放!$DG$6:$DG$85,(卡牌属性!AG505-2)*20+卡牌属性!AN505)</f>
        <v>20</v>
      </c>
      <c r="AU505" s="14">
        <f t="shared" si="860"/>
        <v>20</v>
      </c>
      <c r="AV505" s="14">
        <f t="shared" si="860"/>
        <v>20</v>
      </c>
      <c r="AW505" s="14">
        <f t="shared" si="860"/>
        <v>20</v>
      </c>
      <c r="AX505" s="14">
        <f t="shared" si="860"/>
        <v>20</v>
      </c>
      <c r="AY505" s="14">
        <f>INDEX(属性投放!$DH$6:$DH$85,(卡牌属性!AG505-2)*20+卡牌属性!AN505)</f>
        <v>625</v>
      </c>
      <c r="AZ505" s="14">
        <f t="shared" si="861"/>
        <v>625</v>
      </c>
      <c r="BA505" s="14">
        <f t="shared" si="861"/>
        <v>625</v>
      </c>
      <c r="BB505" s="14">
        <f t="shared" si="861"/>
        <v>625</v>
      </c>
      <c r="BC505" s="14">
        <f t="shared" si="861"/>
        <v>625</v>
      </c>
      <c r="BD505" s="14">
        <f>INDEX(属性投放!$DL$6:$DL$85,(卡牌属性!AG505-2)*20+卡牌属性!AN505)</f>
        <v>11</v>
      </c>
      <c r="BE505" s="14">
        <f t="shared" si="862"/>
        <v>11</v>
      </c>
      <c r="BF505" s="14">
        <f t="shared" si="862"/>
        <v>11</v>
      </c>
      <c r="BG505" s="14">
        <f t="shared" si="862"/>
        <v>11</v>
      </c>
      <c r="BH505" s="14">
        <f t="shared" si="862"/>
        <v>11</v>
      </c>
      <c r="BI505" s="14">
        <f>INDEX(属性投放!$DM$6:$DM$85,(卡牌属性!AG505-2)*20+卡牌属性!AN505)</f>
        <v>6</v>
      </c>
      <c r="BJ505" s="14">
        <f t="shared" si="863"/>
        <v>6</v>
      </c>
      <c r="BK505" s="14">
        <f t="shared" si="863"/>
        <v>6</v>
      </c>
      <c r="BL505" s="14">
        <f t="shared" si="863"/>
        <v>6</v>
      </c>
      <c r="BM505" s="14">
        <f t="shared" si="863"/>
        <v>6</v>
      </c>
      <c r="BN505" s="14">
        <f>INDEX(属性投放!$DN$6:$DN$85,(卡牌属性!AG505-2)*20+卡牌属性!AN505)</f>
        <v>65</v>
      </c>
      <c r="BO505" s="14">
        <f t="shared" si="864"/>
        <v>65</v>
      </c>
      <c r="BP505" s="14">
        <f t="shared" si="864"/>
        <v>65</v>
      </c>
      <c r="BQ505" s="14">
        <f t="shared" si="864"/>
        <v>65</v>
      </c>
      <c r="BR505" s="14">
        <f t="shared" si="864"/>
        <v>65</v>
      </c>
      <c r="BW505" s="13">
        <v>501</v>
      </c>
      <c r="BX505" s="13">
        <f t="shared" si="835"/>
        <v>26</v>
      </c>
      <c r="BY505" s="14">
        <f t="shared" si="836"/>
        <v>5</v>
      </c>
      <c r="BZ505" s="14">
        <f t="shared" si="840"/>
        <v>1102028</v>
      </c>
      <c r="CA505" s="14" t="str">
        <f t="shared" si="841"/>
        <v>吕布1突</v>
      </c>
      <c r="CB505" s="25" t="s">
        <v>142</v>
      </c>
      <c r="CC505" s="14">
        <v>2</v>
      </c>
      <c r="CD505" s="14">
        <f t="shared" si="837"/>
        <v>1</v>
      </c>
      <c r="CE505" s="14" t="s">
        <v>21</v>
      </c>
      <c r="CF505" s="14">
        <f>INDEX(属性投放!$AZ$6:$AZ$85,(BY505-2)*20+CD505)</f>
        <v>300</v>
      </c>
      <c r="CG505" s="14" t="s">
        <v>22</v>
      </c>
      <c r="CH505" s="14">
        <f>INDEX(属性投放!$BA$6:$BA$85,(BY505-2)*20+CD505)</f>
        <v>50</v>
      </c>
      <c r="CI505" s="14" t="s">
        <v>510</v>
      </c>
      <c r="CJ505" s="14">
        <f>INDEX(属性投放!$BB$6:$BB$85,(BY505-2)*20+CD505)</f>
        <v>1200</v>
      </c>
      <c r="CK505" s="14" t="s">
        <v>21</v>
      </c>
      <c r="CL505" s="14">
        <f>INDEX(属性投放!$BC$6:$BC$85,(BY505-2)*20+CD505)</f>
        <v>15</v>
      </c>
      <c r="CM505" s="14" t="s">
        <v>22</v>
      </c>
      <c r="CN505" s="14">
        <f>INDEX(属性投放!$BD$6:$BD$85,(BY505-2)*20+CD505)</f>
        <v>8</v>
      </c>
      <c r="CO505" s="14" t="s">
        <v>510</v>
      </c>
      <c r="CP505" s="14">
        <f>INDEX(属性投放!$BE$6:$BE$85,(BY505-2)*20+CD505)</f>
        <v>90</v>
      </c>
      <c r="CS505" s="13">
        <v>501</v>
      </c>
      <c r="CT505" s="13">
        <f t="shared" si="842"/>
        <v>10</v>
      </c>
      <c r="CU505" s="13">
        <f t="shared" si="843"/>
        <v>33</v>
      </c>
      <c r="CV505" s="14">
        <f t="shared" si="844"/>
        <v>4</v>
      </c>
      <c r="CW505" s="14">
        <f t="shared" si="845"/>
        <v>1102010</v>
      </c>
      <c r="CX505" s="14" t="str">
        <f>INDEX($O$6:$O$50,CT505)&amp;"-"&amp;INDEX(属性投放!$AB$7:$AB$50,CZ505)&amp;"-魂火-"&amp;DB505</f>
        <v>张郃-焦热+1-魂火-3</v>
      </c>
      <c r="CY505" s="25" t="s">
        <v>142</v>
      </c>
      <c r="CZ505" s="14">
        <f>INDEX(属性投放!$AM$7:$AM$58,CU505)</f>
        <v>14</v>
      </c>
      <c r="DA505" s="14" t="s">
        <v>537</v>
      </c>
      <c r="DB505" s="14">
        <f>INDEX(属性投放!$AN$7:$AN$58,CU505)</f>
        <v>3</v>
      </c>
      <c r="DC505" s="14">
        <f t="shared" si="838"/>
        <v>33</v>
      </c>
      <c r="DD505" s="14">
        <f>INDEX(属性投放!$AO$7:$AO$58,DC505)</f>
        <v>100</v>
      </c>
      <c r="DE505" s="14" t="s">
        <v>538</v>
      </c>
      <c r="DF505" s="14">
        <f>INDEX(属性投放!$BK$6:$BK$85,(CV505-2)*20+CZ505)</f>
        <v>320</v>
      </c>
      <c r="DG505" s="14">
        <f>SUMIFS(DF$5:DF505,$CT$5:$CT505,"="&amp;$CT505)</f>
        <v>4540</v>
      </c>
      <c r="DH505" s="14" t="s">
        <v>539</v>
      </c>
      <c r="DI505" s="14">
        <f>INDEX(属性投放!$BL$6:$BL$85,(CV505-2)*20+CZ505)</f>
        <v>160</v>
      </c>
      <c r="DJ505" s="14">
        <f>SUMIFS(DI$5:DI505,$CT$5:$CT505,"="&amp;$CT505)</f>
        <v>2278</v>
      </c>
      <c r="DK505" s="14" t="s">
        <v>540</v>
      </c>
      <c r="DL505" s="14">
        <f>INDEX(属性投放!$BM$6:$BM$85,(CV505-2)*20+CZ505)</f>
        <v>3200</v>
      </c>
      <c r="DM505" s="14">
        <f>SUMIFS(DL$5:DL505,$CT$5:$CT505,"="&amp;$CT505)</f>
        <v>40835</v>
      </c>
      <c r="DR505" s="14">
        <f t="shared" si="895"/>
        <v>1102028</v>
      </c>
      <c r="DS505" s="14" t="str">
        <f t="shared" si="896"/>
        <v>吕布1突</v>
      </c>
      <c r="DT505" s="14">
        <f t="shared" si="846"/>
        <v>8</v>
      </c>
      <c r="DU505" s="14">
        <f t="shared" si="847"/>
        <v>8</v>
      </c>
      <c r="DV505" s="14">
        <f t="shared" si="848"/>
        <v>7</v>
      </c>
      <c r="DW505" s="14">
        <f t="shared" si="897"/>
        <v>5</v>
      </c>
      <c r="DX505" s="14">
        <f t="shared" si="898"/>
        <v>1</v>
      </c>
      <c r="DY505" s="14">
        <f t="shared" si="899"/>
        <v>61</v>
      </c>
      <c r="DZ505" s="14">
        <f>INDEX(属性投放!$AX$6:$AX$85,(卡牌属性!DW505-2)*20+卡牌属性!DX505)</f>
        <v>4</v>
      </c>
      <c r="EA505" s="14">
        <f>INDEX(属性投放!BQ$6:BQ$85,卡牌属性!$DY505)</f>
        <v>40</v>
      </c>
      <c r="EB505" s="14">
        <f>INDEX(属性投放!BR$6:BR$85,卡牌属性!$DY505)</f>
        <v>20</v>
      </c>
      <c r="EC505" s="14">
        <f>INDEX(属性投放!BS$6:BS$85,卡牌属性!$DY505)</f>
        <v>240</v>
      </c>
      <c r="ED505" s="14">
        <f>INDEX(属性偏向!$I$4:$I$15,卡牌属性!$DT505+ED$3)</f>
        <v>250</v>
      </c>
      <c r="EE505" s="14">
        <f>INDEX(属性偏向!$I$4:$I$15,卡牌属性!$DT505+EE$3)</f>
        <v>300</v>
      </c>
      <c r="EF505" s="14">
        <f>INDEX(属性偏向!$I$4:$I$15,卡牌属性!$DT505+EF$3)</f>
        <v>350</v>
      </c>
      <c r="EG505" s="14">
        <f>INDEX(属性偏向!$I$4:$I$15,卡牌属性!$DT505+EG$3)</f>
        <v>350</v>
      </c>
      <c r="EH505" s="14">
        <f>INDEX(属性偏向!$I$4:$I$15,卡牌属性!$DT505+EH$3)</f>
        <v>400</v>
      </c>
      <c r="EI505" s="14">
        <f>INDEX(属性偏向!$J$4:$J$15,卡牌属性!$DU505+EI$3)</f>
        <v>75</v>
      </c>
      <c r="EJ505" s="14">
        <f>INDEX(属性偏向!$J$4:$J$15,卡牌属性!$DU505+EJ$3)</f>
        <v>100</v>
      </c>
      <c r="EK505" s="14">
        <f>INDEX(属性偏向!$J$4:$J$15,卡牌属性!$DU505+EK$3)</f>
        <v>100</v>
      </c>
      <c r="EL505" s="14">
        <f>INDEX(属性偏向!$J$4:$J$15,卡牌属性!$DU505+EL$3)</f>
        <v>150</v>
      </c>
      <c r="EM505" s="14">
        <f>INDEX(属性偏向!$J$4:$J$15,卡牌属性!$DU505+EM$3)</f>
        <v>200</v>
      </c>
      <c r="EN505" s="14">
        <f>INDEX(属性偏向!$K$4:$K$15,卡牌属性!$DV505+EN$3)</f>
        <v>800</v>
      </c>
      <c r="EO505" s="14">
        <f>INDEX(属性偏向!$K$4:$K$15,卡牌属性!$DV505+EO$3)</f>
        <v>1000</v>
      </c>
      <c r="EP505" s="14">
        <f>INDEX(属性偏向!$K$4:$K$15,卡牌属性!$DV505+EP$3)</f>
        <v>1000</v>
      </c>
      <c r="EQ505" s="14">
        <f>INDEX(属性偏向!$K$4:$K$15,卡牌属性!$DV505+EQ$3)</f>
        <v>1200</v>
      </c>
      <c r="ER505" s="14">
        <f>INDEX(属性偏向!$K$4:$K$15,卡牌属性!$DV505+ER$3)</f>
        <v>1500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72</v>
      </c>
      <c r="FD505" s="14">
        <f>INDEX(属性偏向!$U$4:$U$243,(卡牌属性!$DV505-1+FD$3)*20+卡牌属性!$DX505)</f>
        <v>78</v>
      </c>
      <c r="FE505" s="14">
        <f>INDEX(属性偏向!$U$4:$U$243,(卡牌属性!$DV505-1+FE$3)*20+卡牌属性!$DX505)</f>
        <v>78</v>
      </c>
      <c r="FF505" s="14">
        <f>INDEX(属性偏向!$U$4:$U$243,(卡牌属性!$DV505-1+FF$3)*20+卡牌属性!$DX505)</f>
        <v>90</v>
      </c>
      <c r="FG505" s="14">
        <f>INDEX(属性偏向!$U$4:$U$243,(卡牌属性!$DV505-1+FG$3)*20+卡牌属性!$DX505)</f>
        <v>120</v>
      </c>
      <c r="FH505" s="14">
        <f>INDEX(属性投放!$BQ$6:$BQ$85,(卡牌属性!$DW505-2)*20+卡牌属性!$DX505)</f>
        <v>40</v>
      </c>
      <c r="FI505" s="14">
        <f>INDEX(属性投放!$BQ$6:$BQ$85,(卡牌属性!$DW505-2)*20+卡牌属性!$DX505)</f>
        <v>40</v>
      </c>
      <c r="FJ505" s="14">
        <f>INDEX(属性投放!$BQ$6:$BQ$85,(卡牌属性!$DW505-2)*20+卡牌属性!$DX505)</f>
        <v>40</v>
      </c>
      <c r="FK505" s="14">
        <f>INDEX(属性投放!$BQ$6:$BQ$85,(卡牌属性!$DW505-2)*20+卡牌属性!$DX505)</f>
        <v>40</v>
      </c>
      <c r="FL505" s="14">
        <f>INDEX(属性投放!$BQ$6:$BQ$85,(卡牌属性!$DW505-2)*20+卡牌属性!$DX505)</f>
        <v>40</v>
      </c>
      <c r="FM505" s="14">
        <f>INDEX(属性投放!$BR$6:$BR$85,(卡牌属性!$DW505-2)*20+卡牌属性!$DX505)</f>
        <v>20</v>
      </c>
      <c r="FN505" s="14">
        <f>INDEX(属性投放!$BR$6:$BR$85,(卡牌属性!$DW505-2)*20+卡牌属性!$DX505)</f>
        <v>20</v>
      </c>
      <c r="FO505" s="14">
        <f>INDEX(属性投放!$BR$6:$BR$85,(卡牌属性!$DW505-2)*20+卡牌属性!$DX505)</f>
        <v>20</v>
      </c>
      <c r="FP505" s="14">
        <f>INDEX(属性投放!$BR$6:$BR$85,(卡牌属性!$DW505-2)*20+卡牌属性!$DX505)</f>
        <v>20</v>
      </c>
      <c r="FQ505" s="14">
        <f>INDEX(属性投放!$BR$6:$BR$85,(卡牌属性!$DW505-2)*20+卡牌属性!$DX505)</f>
        <v>20</v>
      </c>
      <c r="FR505" s="14">
        <f>INDEX(属性投放!$BS$6:$BS$85,(卡牌属性!$DW505-2)*20+卡牌属性!$DX505)</f>
        <v>240</v>
      </c>
      <c r="FS505" s="14">
        <f>INDEX(属性投放!$BS$6:$BS$85,(卡牌属性!$DW505-2)*20+卡牌属性!$DX505)</f>
        <v>240</v>
      </c>
      <c r="FT505" s="14">
        <f>INDEX(属性投放!$BS$6:$BS$85,(卡牌属性!$DW505-2)*20+卡牌属性!$DX505)</f>
        <v>240</v>
      </c>
      <c r="FU505" s="14">
        <f>INDEX(属性投放!$BS$6:$BS$85,(卡牌属性!$DW505-2)*20+卡牌属性!$DX505)</f>
        <v>240</v>
      </c>
      <c r="FV505" s="14">
        <f>INDEX(属性投放!$BS$6:$BS$85,(卡牌属性!$DW505-2)*20+卡牌属性!$DX505)</f>
        <v>240</v>
      </c>
    </row>
    <row r="506" spans="31:178" ht="16.5" x14ac:dyDescent="0.2">
      <c r="AE506" s="13">
        <v>502</v>
      </c>
      <c r="AF506" s="13">
        <f t="shared" si="854"/>
        <v>26</v>
      </c>
      <c r="AG506" s="13">
        <f t="shared" si="855"/>
        <v>4</v>
      </c>
      <c r="AH506" s="13"/>
      <c r="AI506" s="13"/>
      <c r="AJ506" s="14">
        <f t="shared" si="856"/>
        <v>1101997</v>
      </c>
      <c r="AK506" s="14" t="str">
        <f t="shared" si="857"/>
        <v>SSR寄灵人2突</v>
      </c>
      <c r="AL506" s="25" t="s">
        <v>142</v>
      </c>
      <c r="AM506" s="14">
        <v>1</v>
      </c>
      <c r="AN506" s="14">
        <f t="shared" si="858"/>
        <v>2</v>
      </c>
      <c r="AO506" s="14">
        <f>INDEX(属性投放!$DF$6:$DF$85,(卡牌属性!AG506-2)*20+卡牌属性!AN506)</f>
        <v>310</v>
      </c>
      <c r="AP506" s="14">
        <f t="shared" si="859"/>
        <v>310</v>
      </c>
      <c r="AQ506" s="14">
        <f t="shared" si="859"/>
        <v>310</v>
      </c>
      <c r="AR506" s="14">
        <f t="shared" si="859"/>
        <v>310</v>
      </c>
      <c r="AS506" s="14">
        <f t="shared" si="859"/>
        <v>310</v>
      </c>
      <c r="AT506" s="14">
        <f>INDEX(属性投放!$DG$6:$DG$85,(卡牌属性!AG506-2)*20+卡牌属性!AN506)</f>
        <v>80</v>
      </c>
      <c r="AU506" s="14">
        <f t="shared" si="860"/>
        <v>80</v>
      </c>
      <c r="AV506" s="14">
        <f t="shared" si="860"/>
        <v>80</v>
      </c>
      <c r="AW506" s="14">
        <f t="shared" si="860"/>
        <v>80</v>
      </c>
      <c r="AX506" s="14">
        <f t="shared" si="860"/>
        <v>80</v>
      </c>
      <c r="AY506" s="14">
        <f>INDEX(属性投放!$DH$6:$DH$85,(卡牌属性!AG506-2)*20+卡牌属性!AN506)</f>
        <v>1275</v>
      </c>
      <c r="AZ506" s="14">
        <f t="shared" si="861"/>
        <v>1275</v>
      </c>
      <c r="BA506" s="14">
        <f t="shared" si="861"/>
        <v>1275</v>
      </c>
      <c r="BB506" s="14">
        <f t="shared" si="861"/>
        <v>1275</v>
      </c>
      <c r="BC506" s="14">
        <f t="shared" si="861"/>
        <v>1275</v>
      </c>
      <c r="BD506" s="14">
        <f>INDEX(属性投放!$DL$6:$DL$85,(卡牌属性!AG506-2)*20+卡牌属性!AN506)</f>
        <v>22</v>
      </c>
      <c r="BE506" s="14">
        <f t="shared" si="862"/>
        <v>22</v>
      </c>
      <c r="BF506" s="14">
        <f t="shared" si="862"/>
        <v>22</v>
      </c>
      <c r="BG506" s="14">
        <f t="shared" si="862"/>
        <v>22</v>
      </c>
      <c r="BH506" s="14">
        <f t="shared" si="862"/>
        <v>22</v>
      </c>
      <c r="BI506" s="14">
        <f>INDEX(属性投放!$DM$6:$DM$85,(卡牌属性!AG506-2)*20+卡牌属性!AN506)</f>
        <v>11</v>
      </c>
      <c r="BJ506" s="14">
        <f t="shared" si="863"/>
        <v>11</v>
      </c>
      <c r="BK506" s="14">
        <f t="shared" si="863"/>
        <v>11</v>
      </c>
      <c r="BL506" s="14">
        <f t="shared" si="863"/>
        <v>11</v>
      </c>
      <c r="BM506" s="14">
        <f t="shared" si="863"/>
        <v>11</v>
      </c>
      <c r="BN506" s="14">
        <f>INDEX(属性投放!$DN$6:$DN$85,(卡牌属性!AG506-2)*20+卡牌属性!AN506)</f>
        <v>132</v>
      </c>
      <c r="BO506" s="14">
        <f t="shared" si="864"/>
        <v>132</v>
      </c>
      <c r="BP506" s="14">
        <f t="shared" si="864"/>
        <v>132</v>
      </c>
      <c r="BQ506" s="14">
        <f t="shared" si="864"/>
        <v>132</v>
      </c>
      <c r="BR506" s="14">
        <f t="shared" si="864"/>
        <v>132</v>
      </c>
      <c r="BW506" s="13">
        <v>502</v>
      </c>
      <c r="BX506" s="13">
        <f t="shared" si="835"/>
        <v>26</v>
      </c>
      <c r="BY506" s="14">
        <f t="shared" si="836"/>
        <v>5</v>
      </c>
      <c r="BZ506" s="14">
        <f t="shared" si="840"/>
        <v>1102028</v>
      </c>
      <c r="CA506" s="14" t="str">
        <f t="shared" si="841"/>
        <v>吕布2突</v>
      </c>
      <c r="CB506" s="25" t="s">
        <v>142</v>
      </c>
      <c r="CC506" s="14">
        <v>2</v>
      </c>
      <c r="CD506" s="14">
        <f t="shared" si="837"/>
        <v>2</v>
      </c>
      <c r="CE506" s="14" t="s">
        <v>21</v>
      </c>
      <c r="CF506" s="14">
        <f>INDEX(属性投放!$AZ$6:$AZ$85,(BY506-2)*20+CD506)</f>
        <v>435</v>
      </c>
      <c r="CG506" s="14" t="s">
        <v>22</v>
      </c>
      <c r="CH506" s="14">
        <f>INDEX(属性投放!$BA$6:$BA$85,(BY506-2)*20+CD506)</f>
        <v>120</v>
      </c>
      <c r="CI506" s="14" t="s">
        <v>510</v>
      </c>
      <c r="CJ506" s="14">
        <f>INDEX(属性投放!$BB$6:$BB$85,(BY506-2)*20+CD506)</f>
        <v>2010</v>
      </c>
      <c r="CK506" s="14" t="s">
        <v>21</v>
      </c>
      <c r="CL506" s="14">
        <f>INDEX(属性投放!$BC$6:$BC$85,(BY506-2)*20+CD506)</f>
        <v>20</v>
      </c>
      <c r="CM506" s="14" t="s">
        <v>22</v>
      </c>
      <c r="CN506" s="14">
        <f>INDEX(属性投放!$BD$6:$BD$85,(BY506-2)*20+CD506)</f>
        <v>10</v>
      </c>
      <c r="CO506" s="14" t="s">
        <v>510</v>
      </c>
      <c r="CP506" s="14">
        <f>INDEX(属性投放!$BE$6:$BE$85,(BY506-2)*20+CD506)</f>
        <v>120</v>
      </c>
      <c r="CS506" s="13">
        <v>502</v>
      </c>
      <c r="CT506" s="13">
        <f t="shared" si="842"/>
        <v>10</v>
      </c>
      <c r="CU506" s="13">
        <f t="shared" si="843"/>
        <v>34</v>
      </c>
      <c r="CV506" s="14">
        <f t="shared" si="844"/>
        <v>4</v>
      </c>
      <c r="CW506" s="14">
        <f t="shared" si="845"/>
        <v>1102010</v>
      </c>
      <c r="CX506" s="14" t="str">
        <f>INDEX($O$6:$O$50,CT506)&amp;"-"&amp;INDEX(属性投放!$AB$7:$AB$50,CZ506)&amp;"-魂火-"&amp;DB506</f>
        <v>张郃-焦热+2-魂火-1</v>
      </c>
      <c r="CY506" s="25" t="s">
        <v>142</v>
      </c>
      <c r="CZ506" s="14">
        <f>INDEX(属性投放!$AM$7:$AM$58,CU506)</f>
        <v>15</v>
      </c>
      <c r="DA506" s="14" t="s">
        <v>537</v>
      </c>
      <c r="DB506" s="14">
        <f>INDEX(属性投放!$AN$7:$AN$58,CU506)</f>
        <v>1</v>
      </c>
      <c r="DC506" s="14">
        <f t="shared" si="838"/>
        <v>34</v>
      </c>
      <c r="DD506" s="14">
        <f>INDEX(属性投放!$AO$7:$AO$58,DC506)</f>
        <v>103</v>
      </c>
      <c r="DE506" s="14" t="s">
        <v>538</v>
      </c>
      <c r="DF506" s="14">
        <f>INDEX(属性投放!$BK$6:$BK$85,(CV506-2)*20+CZ506)</f>
        <v>445</v>
      </c>
      <c r="DG506" s="14">
        <f>SUMIFS(DF$5:DF506,$CT$5:$CT506,"="&amp;$CT506)</f>
        <v>4985</v>
      </c>
      <c r="DH506" s="14" t="s">
        <v>539</v>
      </c>
      <c r="DI506" s="14">
        <f>INDEX(属性投放!$BL$6:$BL$85,(CV506-2)*20+CZ506)</f>
        <v>223</v>
      </c>
      <c r="DJ506" s="14">
        <f>SUMIFS(DI$5:DI506,$CT$5:$CT506,"="&amp;$CT506)</f>
        <v>2501</v>
      </c>
      <c r="DK506" s="14" t="s">
        <v>540</v>
      </c>
      <c r="DL506" s="14">
        <f>INDEX(属性投放!$BM$6:$BM$85,(CV506-2)*20+CZ506)</f>
        <v>4450</v>
      </c>
      <c r="DM506" s="14">
        <f>SUMIFS(DL$5:DL506,$CT$5:$CT506,"="&amp;$CT506)</f>
        <v>45285</v>
      </c>
      <c r="DR506" s="14">
        <f t="shared" si="895"/>
        <v>1102028</v>
      </c>
      <c r="DS506" s="14" t="str">
        <f t="shared" si="896"/>
        <v>吕布2突</v>
      </c>
      <c r="DT506" s="14">
        <f t="shared" si="846"/>
        <v>8</v>
      </c>
      <c r="DU506" s="14">
        <f t="shared" si="847"/>
        <v>8</v>
      </c>
      <c r="DV506" s="14">
        <f t="shared" si="848"/>
        <v>7</v>
      </c>
      <c r="DW506" s="14">
        <f t="shared" si="897"/>
        <v>5</v>
      </c>
      <c r="DX506" s="14">
        <f t="shared" si="898"/>
        <v>2</v>
      </c>
      <c r="DY506" s="14">
        <f t="shared" si="899"/>
        <v>62</v>
      </c>
      <c r="DZ506" s="14">
        <f>INDEX(属性投放!$AX$6:$AX$85,(卡牌属性!DW506-2)*20+卡牌属性!DX506)</f>
        <v>10</v>
      </c>
      <c r="EA506" s="14">
        <f>INDEX(属性投放!BQ$6:BQ$85,卡牌属性!$DY506)</f>
        <v>50</v>
      </c>
      <c r="EB506" s="14">
        <f>INDEX(属性投放!BR$6:BR$85,卡牌属性!$DY506)</f>
        <v>25</v>
      </c>
      <c r="EC506" s="14">
        <f>INDEX(属性投放!BS$6:BS$85,卡牌属性!$DY506)</f>
        <v>300</v>
      </c>
      <c r="ED506" s="14">
        <f t="shared" ref="ED506:ED524" si="900">ED505+$EA505+ES505*$DZ505</f>
        <v>342</v>
      </c>
      <c r="EE506" s="14">
        <f t="shared" ref="EE506:EE524" si="901">EE505+$EA505+ET505*$DZ505</f>
        <v>400</v>
      </c>
      <c r="EF506" s="14">
        <f t="shared" ref="EF506:EF524" si="902">EF505+$EA505+EU505*$DZ505</f>
        <v>470</v>
      </c>
      <c r="EG506" s="14">
        <f t="shared" ref="EG506:EG524" si="903">EG505+$EA505+EV505*$DZ505</f>
        <v>470</v>
      </c>
      <c r="EH506" s="14">
        <f t="shared" ref="EH506:EH524" si="904">EH505+$EA505+EW505*$DZ505</f>
        <v>540</v>
      </c>
      <c r="EI506" s="14">
        <f t="shared" ref="EI506:EI524" si="905">EI505+$EB505+EX505*$DZ505</f>
        <v>123</v>
      </c>
      <c r="EJ506" s="14">
        <f t="shared" ref="EJ506:EJ524" si="906">EJ505+$EB505+EY505*$DZ505</f>
        <v>152</v>
      </c>
      <c r="EK506" s="14">
        <f t="shared" ref="EK506:EK524" si="907">EK505+$EB505+EZ505*$DZ505</f>
        <v>152</v>
      </c>
      <c r="EL506" s="14">
        <f t="shared" ref="EL506:EL524" si="908">EL505+$EB505+FA505*$DZ505</f>
        <v>210</v>
      </c>
      <c r="EM506" s="14">
        <f t="shared" ref="EM506:EM524" si="909">EM505+$EB505+FB505*$DZ505</f>
        <v>272</v>
      </c>
      <c r="EN506" s="14">
        <f t="shared" ref="EN506:EN524" si="910">EN505+$EC505+FC505*$DZ505</f>
        <v>1328</v>
      </c>
      <c r="EO506" s="14">
        <f t="shared" ref="EO506:EO524" si="911">EO505+$EC505+FD505*$DZ505</f>
        <v>1552</v>
      </c>
      <c r="EP506" s="14">
        <f t="shared" ref="EP506:EP524" si="912">EP505+$EC505+FE505*$DZ505</f>
        <v>1552</v>
      </c>
      <c r="EQ506" s="14">
        <f t="shared" ref="EQ506:EQ524" si="913">EQ505+$EC505+FF505*$DZ505</f>
        <v>1800</v>
      </c>
      <c r="ER506" s="14">
        <f t="shared" ref="ER506:ER524" si="914">ER505+$EC505+FG505*$DZ505</f>
        <v>2220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90</v>
      </c>
      <c r="FD506" s="14">
        <f>INDEX(属性偏向!$U$4:$U$243,(卡牌属性!$DV506-1+FD$3)*20+卡牌属性!$DX506)</f>
        <v>102</v>
      </c>
      <c r="FE506" s="14">
        <f>INDEX(属性偏向!$U$4:$U$243,(卡牌属性!$DV506-1+FE$3)*20+卡牌属性!$DX506)</f>
        <v>102</v>
      </c>
      <c r="FF506" s="14">
        <f>INDEX(属性偏向!$U$4:$U$243,(卡牌属性!$DV506-1+FF$3)*20+卡牌属性!$DX506)</f>
        <v>120</v>
      </c>
      <c r="FG506" s="14">
        <f>INDEX(属性偏向!$U$4:$U$243,(卡牌属性!$DV506-1+FG$3)*20+卡牌属性!$DX506)</f>
        <v>150</v>
      </c>
      <c r="FH506" s="14">
        <f>INDEX(属性投放!$BQ$6:$BQ$85,(卡牌属性!$DW506-2)*20+卡牌属性!$DX506)</f>
        <v>50</v>
      </c>
      <c r="FI506" s="14">
        <f>INDEX(属性投放!$BQ$6:$BQ$85,(卡牌属性!$DW506-2)*20+卡牌属性!$DX506)</f>
        <v>50</v>
      </c>
      <c r="FJ506" s="14">
        <f>INDEX(属性投放!$BQ$6:$BQ$85,(卡牌属性!$DW506-2)*20+卡牌属性!$DX506)</f>
        <v>50</v>
      </c>
      <c r="FK506" s="14">
        <f>INDEX(属性投放!$BQ$6:$BQ$85,(卡牌属性!$DW506-2)*20+卡牌属性!$DX506)</f>
        <v>50</v>
      </c>
      <c r="FL506" s="14">
        <f>INDEX(属性投放!$BQ$6:$BQ$85,(卡牌属性!$DW506-2)*20+卡牌属性!$DX506)</f>
        <v>50</v>
      </c>
      <c r="FM506" s="14">
        <f>INDEX(属性投放!$BR$6:$BR$85,(卡牌属性!$DW506-2)*20+卡牌属性!$DX506)</f>
        <v>25</v>
      </c>
      <c r="FN506" s="14">
        <f>INDEX(属性投放!$BR$6:$BR$85,(卡牌属性!$DW506-2)*20+卡牌属性!$DX506)</f>
        <v>25</v>
      </c>
      <c r="FO506" s="14">
        <f>INDEX(属性投放!$BR$6:$BR$85,(卡牌属性!$DW506-2)*20+卡牌属性!$DX506)</f>
        <v>25</v>
      </c>
      <c r="FP506" s="14">
        <f>INDEX(属性投放!$BR$6:$BR$85,(卡牌属性!$DW506-2)*20+卡牌属性!$DX506)</f>
        <v>25</v>
      </c>
      <c r="FQ506" s="14">
        <f>INDEX(属性投放!$BR$6:$BR$85,(卡牌属性!$DW506-2)*20+卡牌属性!$DX506)</f>
        <v>25</v>
      </c>
      <c r="FR506" s="14">
        <f>INDEX(属性投放!$BS$6:$BS$85,(卡牌属性!$DW506-2)*20+卡牌属性!$DX506)</f>
        <v>300</v>
      </c>
      <c r="FS506" s="14">
        <f>INDEX(属性投放!$BS$6:$BS$85,(卡牌属性!$DW506-2)*20+卡牌属性!$DX506)</f>
        <v>300</v>
      </c>
      <c r="FT506" s="14">
        <f>INDEX(属性投放!$BS$6:$BS$85,(卡牌属性!$DW506-2)*20+卡牌属性!$DX506)</f>
        <v>300</v>
      </c>
      <c r="FU506" s="14">
        <f>INDEX(属性投放!$BS$6:$BS$85,(卡牌属性!$DW506-2)*20+卡牌属性!$DX506)</f>
        <v>300</v>
      </c>
      <c r="FV506" s="14">
        <f>INDEX(属性投放!$BS$6:$BS$85,(卡牌属性!$DW506-2)*20+卡牌属性!$DX506)</f>
        <v>300</v>
      </c>
    </row>
    <row r="507" spans="31:178" ht="16.5" x14ac:dyDescent="0.2">
      <c r="AE507" s="13">
        <v>503</v>
      </c>
      <c r="AF507" s="13">
        <f t="shared" si="854"/>
        <v>26</v>
      </c>
      <c r="AG507" s="13">
        <f t="shared" si="855"/>
        <v>4</v>
      </c>
      <c r="AH507" s="13"/>
      <c r="AI507" s="13"/>
      <c r="AJ507" s="14">
        <f t="shared" si="856"/>
        <v>1101997</v>
      </c>
      <c r="AK507" s="14" t="str">
        <f t="shared" si="857"/>
        <v>SSR寄灵人3突</v>
      </c>
      <c r="AL507" s="25" t="s">
        <v>142</v>
      </c>
      <c r="AM507" s="14">
        <v>1</v>
      </c>
      <c r="AN507" s="14">
        <f t="shared" si="858"/>
        <v>3</v>
      </c>
      <c r="AO507" s="14">
        <f>INDEX(属性投放!$DF$6:$DF$85,(卡牌属性!AG507-2)*20+卡牌属性!AN507)</f>
        <v>365</v>
      </c>
      <c r="AP507" s="14">
        <f t="shared" si="859"/>
        <v>365</v>
      </c>
      <c r="AQ507" s="14">
        <f t="shared" si="859"/>
        <v>365</v>
      </c>
      <c r="AR507" s="14">
        <f t="shared" si="859"/>
        <v>365</v>
      </c>
      <c r="AS507" s="14">
        <f t="shared" si="859"/>
        <v>365</v>
      </c>
      <c r="AT507" s="14">
        <f>INDEX(属性投放!$DG$6:$DG$85,(卡牌属性!AG507-2)*20+卡牌属性!AN507)</f>
        <v>109</v>
      </c>
      <c r="AU507" s="14">
        <f t="shared" si="860"/>
        <v>109</v>
      </c>
      <c r="AV507" s="14">
        <f t="shared" si="860"/>
        <v>109</v>
      </c>
      <c r="AW507" s="14">
        <f t="shared" si="860"/>
        <v>109</v>
      </c>
      <c r="AX507" s="14">
        <f t="shared" si="860"/>
        <v>109</v>
      </c>
      <c r="AY507" s="14">
        <f>INDEX(属性投放!$DH$6:$DH$85,(卡牌属性!AG507-2)*20+卡牌属性!AN507)</f>
        <v>1605</v>
      </c>
      <c r="AZ507" s="14">
        <f t="shared" si="861"/>
        <v>1605</v>
      </c>
      <c r="BA507" s="14">
        <f t="shared" si="861"/>
        <v>1605</v>
      </c>
      <c r="BB507" s="14">
        <f t="shared" si="861"/>
        <v>1605</v>
      </c>
      <c r="BC507" s="14">
        <f t="shared" si="861"/>
        <v>1605</v>
      </c>
      <c r="BD507" s="14">
        <f>INDEX(属性投放!$DL$6:$DL$85,(卡牌属性!AG507-2)*20+卡牌属性!AN507)</f>
        <v>22</v>
      </c>
      <c r="BE507" s="14">
        <f t="shared" si="862"/>
        <v>22</v>
      </c>
      <c r="BF507" s="14">
        <f t="shared" si="862"/>
        <v>22</v>
      </c>
      <c r="BG507" s="14">
        <f t="shared" si="862"/>
        <v>22</v>
      </c>
      <c r="BH507" s="14">
        <f t="shared" si="862"/>
        <v>22</v>
      </c>
      <c r="BI507" s="14">
        <f>INDEX(属性投放!$DM$6:$DM$85,(卡牌属性!AG507-2)*20+卡牌属性!AN507)</f>
        <v>11</v>
      </c>
      <c r="BJ507" s="14">
        <f t="shared" si="863"/>
        <v>11</v>
      </c>
      <c r="BK507" s="14">
        <f t="shared" si="863"/>
        <v>11</v>
      </c>
      <c r="BL507" s="14">
        <f t="shared" si="863"/>
        <v>11</v>
      </c>
      <c r="BM507" s="14">
        <f t="shared" si="863"/>
        <v>11</v>
      </c>
      <c r="BN507" s="14">
        <f>INDEX(属性投放!$DN$6:$DN$85,(卡牌属性!AG507-2)*20+卡牌属性!AN507)</f>
        <v>132</v>
      </c>
      <c r="BO507" s="14">
        <f t="shared" si="864"/>
        <v>132</v>
      </c>
      <c r="BP507" s="14">
        <f t="shared" si="864"/>
        <v>132</v>
      </c>
      <c r="BQ507" s="14">
        <f t="shared" si="864"/>
        <v>132</v>
      </c>
      <c r="BR507" s="14">
        <f t="shared" si="864"/>
        <v>132</v>
      </c>
      <c r="BW507" s="13">
        <v>503</v>
      </c>
      <c r="BX507" s="13">
        <f t="shared" si="835"/>
        <v>26</v>
      </c>
      <c r="BY507" s="14">
        <f t="shared" si="836"/>
        <v>5</v>
      </c>
      <c r="BZ507" s="14">
        <f t="shared" si="840"/>
        <v>1102028</v>
      </c>
      <c r="CA507" s="14" t="str">
        <f t="shared" si="841"/>
        <v>吕布3突</v>
      </c>
      <c r="CB507" s="25" t="s">
        <v>142</v>
      </c>
      <c r="CC507" s="14">
        <v>2</v>
      </c>
      <c r="CD507" s="14">
        <f t="shared" si="837"/>
        <v>3</v>
      </c>
      <c r="CE507" s="14" t="s">
        <v>21</v>
      </c>
      <c r="CF507" s="14">
        <f>INDEX(属性投放!$AZ$6:$AZ$85,(BY507-2)*20+CD507)</f>
        <v>765</v>
      </c>
      <c r="CG507" s="14" t="s">
        <v>22</v>
      </c>
      <c r="CH507" s="14">
        <f>INDEX(属性投放!$BA$6:$BA$85,(BY507-2)*20+CD507)</f>
        <v>285</v>
      </c>
      <c r="CI507" s="14" t="s">
        <v>510</v>
      </c>
      <c r="CJ507" s="14">
        <f>INDEX(属性投放!$BB$6:$BB$85,(BY507-2)*20+CD507)</f>
        <v>3990</v>
      </c>
      <c r="CK507" s="14" t="s">
        <v>21</v>
      </c>
      <c r="CL507" s="14">
        <f>INDEX(属性投放!$BC$6:$BC$85,(BY507-2)*20+CD507)</f>
        <v>20</v>
      </c>
      <c r="CM507" s="14" t="s">
        <v>22</v>
      </c>
      <c r="CN507" s="14">
        <f>INDEX(属性投放!$BD$6:$BD$85,(BY507-2)*20+CD507)</f>
        <v>10</v>
      </c>
      <c r="CO507" s="14" t="s">
        <v>510</v>
      </c>
      <c r="CP507" s="14">
        <f>INDEX(属性投放!$BE$6:$BE$85,(BY507-2)*20+CD507)</f>
        <v>120</v>
      </c>
      <c r="CS507" s="13">
        <v>503</v>
      </c>
      <c r="CT507" s="13">
        <f t="shared" si="842"/>
        <v>10</v>
      </c>
      <c r="CU507" s="13">
        <f t="shared" si="843"/>
        <v>35</v>
      </c>
      <c r="CV507" s="14">
        <f t="shared" si="844"/>
        <v>4</v>
      </c>
      <c r="CW507" s="14">
        <f t="shared" si="845"/>
        <v>1102010</v>
      </c>
      <c r="CX507" s="14" t="str">
        <f>INDEX($O$6:$O$50,CT507)&amp;"-"&amp;INDEX(属性投放!$AB$7:$AB$50,CZ507)&amp;"-魂火-"&amp;DB507</f>
        <v>张郃-焦热+2-魂火-2</v>
      </c>
      <c r="CY507" s="25" t="s">
        <v>142</v>
      </c>
      <c r="CZ507" s="14">
        <f>INDEX(属性投放!$AM$7:$AM$58,CU507)</f>
        <v>15</v>
      </c>
      <c r="DA507" s="14" t="s">
        <v>537</v>
      </c>
      <c r="DB507" s="14">
        <f>INDEX(属性投放!$AN$7:$AN$58,CU507)</f>
        <v>2</v>
      </c>
      <c r="DC507" s="14">
        <f t="shared" si="838"/>
        <v>35</v>
      </c>
      <c r="DD507" s="14">
        <f>INDEX(属性投放!$AO$7:$AO$58,DC507)</f>
        <v>105</v>
      </c>
      <c r="DE507" s="14" t="s">
        <v>538</v>
      </c>
      <c r="DF507" s="14">
        <f>INDEX(属性投放!$BK$6:$BK$85,(CV507-2)*20+CZ507)</f>
        <v>445</v>
      </c>
      <c r="DG507" s="14">
        <f>SUMIFS(DF$5:DF507,$CT$5:$CT507,"="&amp;$CT507)</f>
        <v>5430</v>
      </c>
      <c r="DH507" s="14" t="s">
        <v>539</v>
      </c>
      <c r="DI507" s="14">
        <f>INDEX(属性投放!$BL$6:$BL$85,(CV507-2)*20+CZ507)</f>
        <v>223</v>
      </c>
      <c r="DJ507" s="14">
        <f>SUMIFS(DI$5:DI507,$CT$5:$CT507,"="&amp;$CT507)</f>
        <v>2724</v>
      </c>
      <c r="DK507" s="14" t="s">
        <v>540</v>
      </c>
      <c r="DL507" s="14">
        <f>INDEX(属性投放!$BM$6:$BM$85,(CV507-2)*20+CZ507)</f>
        <v>4450</v>
      </c>
      <c r="DM507" s="14">
        <f>SUMIFS(DL$5:DL507,$CT$5:$CT507,"="&amp;$CT507)</f>
        <v>49735</v>
      </c>
      <c r="DR507" s="14">
        <f t="shared" si="895"/>
        <v>1102028</v>
      </c>
      <c r="DS507" s="14" t="str">
        <f t="shared" si="896"/>
        <v>吕布3突</v>
      </c>
      <c r="DT507" s="14">
        <f t="shared" si="846"/>
        <v>8</v>
      </c>
      <c r="DU507" s="14">
        <f t="shared" si="847"/>
        <v>8</v>
      </c>
      <c r="DV507" s="14">
        <f t="shared" si="848"/>
        <v>7</v>
      </c>
      <c r="DW507" s="14">
        <f t="shared" si="897"/>
        <v>5</v>
      </c>
      <c r="DX507" s="14">
        <f t="shared" si="898"/>
        <v>3</v>
      </c>
      <c r="DY507" s="14">
        <f t="shared" si="899"/>
        <v>63</v>
      </c>
      <c r="DZ507" s="14">
        <f>INDEX(属性投放!$AX$6:$AX$85,(卡牌属性!DW507-2)*20+卡牌属性!DX507)</f>
        <v>10</v>
      </c>
      <c r="EA507" s="14">
        <f>INDEX(属性投放!BQ$6:BQ$85,卡牌属性!$DY507)</f>
        <v>85</v>
      </c>
      <c r="EB507" s="14">
        <f>INDEX(属性投放!BR$6:BR$85,卡牌属性!$DY507)</f>
        <v>43</v>
      </c>
      <c r="EC507" s="14">
        <f>INDEX(属性投放!BS$6:BS$85,卡牌属性!$DY507)</f>
        <v>510</v>
      </c>
      <c r="ED507" s="14">
        <f t="shared" si="900"/>
        <v>562</v>
      </c>
      <c r="EE507" s="14">
        <f t="shared" si="901"/>
        <v>650</v>
      </c>
      <c r="EF507" s="14">
        <f t="shared" si="902"/>
        <v>770</v>
      </c>
      <c r="EG507" s="14">
        <f t="shared" si="903"/>
        <v>770</v>
      </c>
      <c r="EH507" s="14">
        <f t="shared" si="904"/>
        <v>890</v>
      </c>
      <c r="EI507" s="14">
        <f t="shared" si="905"/>
        <v>238</v>
      </c>
      <c r="EJ507" s="14">
        <f t="shared" si="906"/>
        <v>277</v>
      </c>
      <c r="EK507" s="14">
        <f t="shared" si="907"/>
        <v>277</v>
      </c>
      <c r="EL507" s="14">
        <f t="shared" si="908"/>
        <v>365</v>
      </c>
      <c r="EM507" s="14">
        <f t="shared" si="909"/>
        <v>447</v>
      </c>
      <c r="EN507" s="14">
        <f t="shared" si="910"/>
        <v>2528</v>
      </c>
      <c r="EO507" s="14">
        <f t="shared" si="911"/>
        <v>2872</v>
      </c>
      <c r="EP507" s="14">
        <f t="shared" si="912"/>
        <v>2872</v>
      </c>
      <c r="EQ507" s="14">
        <f t="shared" si="913"/>
        <v>3300</v>
      </c>
      <c r="ER507" s="14">
        <f t="shared" si="914"/>
        <v>4020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90</v>
      </c>
      <c r="FD507" s="14">
        <f>INDEX(属性偏向!$U$4:$U$243,(卡牌属性!$DV507-1+FD$3)*20+卡牌属性!$DX507)</f>
        <v>102</v>
      </c>
      <c r="FE507" s="14">
        <f>INDEX(属性偏向!$U$4:$U$243,(卡牌属性!$DV507-1+FE$3)*20+卡牌属性!$DX507)</f>
        <v>102</v>
      </c>
      <c r="FF507" s="14">
        <f>INDEX(属性偏向!$U$4:$U$243,(卡牌属性!$DV507-1+FF$3)*20+卡牌属性!$DX507)</f>
        <v>120</v>
      </c>
      <c r="FG507" s="14">
        <f>INDEX(属性偏向!$U$4:$U$243,(卡牌属性!$DV507-1+FG$3)*20+卡牌属性!$DX507)</f>
        <v>150</v>
      </c>
      <c r="FH507" s="14">
        <f>INDEX(属性投放!$BQ$6:$BQ$85,(卡牌属性!$DW507-2)*20+卡牌属性!$DX507)</f>
        <v>85</v>
      </c>
      <c r="FI507" s="14">
        <f>INDEX(属性投放!$BQ$6:$BQ$85,(卡牌属性!$DW507-2)*20+卡牌属性!$DX507)</f>
        <v>85</v>
      </c>
      <c r="FJ507" s="14">
        <f>INDEX(属性投放!$BQ$6:$BQ$85,(卡牌属性!$DW507-2)*20+卡牌属性!$DX507)</f>
        <v>85</v>
      </c>
      <c r="FK507" s="14">
        <f>INDEX(属性投放!$BQ$6:$BQ$85,(卡牌属性!$DW507-2)*20+卡牌属性!$DX507)</f>
        <v>85</v>
      </c>
      <c r="FL507" s="14">
        <f>INDEX(属性投放!$BQ$6:$BQ$85,(卡牌属性!$DW507-2)*20+卡牌属性!$DX507)</f>
        <v>85</v>
      </c>
      <c r="FM507" s="14">
        <f>INDEX(属性投放!$BR$6:$BR$85,(卡牌属性!$DW507-2)*20+卡牌属性!$DX507)</f>
        <v>43</v>
      </c>
      <c r="FN507" s="14">
        <f>INDEX(属性投放!$BR$6:$BR$85,(卡牌属性!$DW507-2)*20+卡牌属性!$DX507)</f>
        <v>43</v>
      </c>
      <c r="FO507" s="14">
        <f>INDEX(属性投放!$BR$6:$BR$85,(卡牌属性!$DW507-2)*20+卡牌属性!$DX507)</f>
        <v>43</v>
      </c>
      <c r="FP507" s="14">
        <f>INDEX(属性投放!$BR$6:$BR$85,(卡牌属性!$DW507-2)*20+卡牌属性!$DX507)</f>
        <v>43</v>
      </c>
      <c r="FQ507" s="14">
        <f>INDEX(属性投放!$BR$6:$BR$85,(卡牌属性!$DW507-2)*20+卡牌属性!$DX507)</f>
        <v>43</v>
      </c>
      <c r="FR507" s="14">
        <f>INDEX(属性投放!$BS$6:$BS$85,(卡牌属性!$DW507-2)*20+卡牌属性!$DX507)</f>
        <v>510</v>
      </c>
      <c r="FS507" s="14">
        <f>INDEX(属性投放!$BS$6:$BS$85,(卡牌属性!$DW507-2)*20+卡牌属性!$DX507)</f>
        <v>510</v>
      </c>
      <c r="FT507" s="14">
        <f>INDEX(属性投放!$BS$6:$BS$85,(卡牌属性!$DW507-2)*20+卡牌属性!$DX507)</f>
        <v>510</v>
      </c>
      <c r="FU507" s="14">
        <f>INDEX(属性投放!$BS$6:$BS$85,(卡牌属性!$DW507-2)*20+卡牌属性!$DX507)</f>
        <v>510</v>
      </c>
      <c r="FV507" s="14">
        <f>INDEX(属性投放!$BS$6:$BS$85,(卡牌属性!$DW507-2)*20+卡牌属性!$DX507)</f>
        <v>510</v>
      </c>
    </row>
    <row r="508" spans="31:178" ht="16.5" x14ac:dyDescent="0.2">
      <c r="AE508" s="13">
        <v>504</v>
      </c>
      <c r="AF508" s="13">
        <f t="shared" si="854"/>
        <v>26</v>
      </c>
      <c r="AG508" s="13">
        <f t="shared" si="855"/>
        <v>4</v>
      </c>
      <c r="AH508" s="13"/>
      <c r="AI508" s="13"/>
      <c r="AJ508" s="14">
        <f t="shared" si="856"/>
        <v>1101997</v>
      </c>
      <c r="AK508" s="14" t="str">
        <f t="shared" si="857"/>
        <v>SSR寄灵人4突</v>
      </c>
      <c r="AL508" s="25" t="s">
        <v>142</v>
      </c>
      <c r="AM508" s="14">
        <v>1</v>
      </c>
      <c r="AN508" s="14">
        <f t="shared" si="858"/>
        <v>4</v>
      </c>
      <c r="AO508" s="14">
        <f>INDEX(属性投放!$DF$6:$DF$85,(卡牌属性!AG508-2)*20+卡牌属性!AN508)</f>
        <v>640</v>
      </c>
      <c r="AP508" s="14">
        <f t="shared" si="859"/>
        <v>640</v>
      </c>
      <c r="AQ508" s="14">
        <f t="shared" si="859"/>
        <v>640</v>
      </c>
      <c r="AR508" s="14">
        <f t="shared" si="859"/>
        <v>640</v>
      </c>
      <c r="AS508" s="14">
        <f t="shared" si="859"/>
        <v>640</v>
      </c>
      <c r="AT508" s="14">
        <f>INDEX(属性投放!$DG$6:$DG$85,(卡牌属性!AG508-2)*20+卡牌属性!AN508)</f>
        <v>248</v>
      </c>
      <c r="AU508" s="14">
        <f t="shared" si="860"/>
        <v>248</v>
      </c>
      <c r="AV508" s="14">
        <f t="shared" si="860"/>
        <v>248</v>
      </c>
      <c r="AW508" s="14">
        <f t="shared" si="860"/>
        <v>248</v>
      </c>
      <c r="AX508" s="14">
        <f t="shared" si="860"/>
        <v>248</v>
      </c>
      <c r="AY508" s="14">
        <f>INDEX(属性投放!$DH$6:$DH$85,(卡牌属性!AG508-2)*20+卡牌属性!AN508)</f>
        <v>3255</v>
      </c>
      <c r="AZ508" s="14">
        <f t="shared" si="861"/>
        <v>3255</v>
      </c>
      <c r="BA508" s="14">
        <f t="shared" si="861"/>
        <v>3255</v>
      </c>
      <c r="BB508" s="14">
        <f t="shared" si="861"/>
        <v>3255</v>
      </c>
      <c r="BC508" s="14">
        <f t="shared" si="861"/>
        <v>3255</v>
      </c>
      <c r="BD508" s="14">
        <f>INDEX(属性投放!$DL$6:$DL$85,(卡牌属性!AG508-2)*20+卡牌属性!AN508)</f>
        <v>40</v>
      </c>
      <c r="BE508" s="14">
        <f t="shared" si="862"/>
        <v>40</v>
      </c>
      <c r="BF508" s="14">
        <f t="shared" si="862"/>
        <v>40</v>
      </c>
      <c r="BG508" s="14">
        <f t="shared" si="862"/>
        <v>40</v>
      </c>
      <c r="BH508" s="14">
        <f t="shared" si="862"/>
        <v>40</v>
      </c>
      <c r="BI508" s="14">
        <f>INDEX(属性投放!$DM$6:$DM$85,(卡牌属性!AG508-2)*20+卡牌属性!AN508)</f>
        <v>20</v>
      </c>
      <c r="BJ508" s="14">
        <f t="shared" si="863"/>
        <v>20</v>
      </c>
      <c r="BK508" s="14">
        <f t="shared" si="863"/>
        <v>20</v>
      </c>
      <c r="BL508" s="14">
        <f t="shared" si="863"/>
        <v>20</v>
      </c>
      <c r="BM508" s="14">
        <f t="shared" si="863"/>
        <v>20</v>
      </c>
      <c r="BN508" s="14">
        <f>INDEX(属性投放!$DN$6:$DN$85,(卡牌属性!AG508-2)*20+卡牌属性!AN508)</f>
        <v>279</v>
      </c>
      <c r="BO508" s="14">
        <f t="shared" si="864"/>
        <v>279</v>
      </c>
      <c r="BP508" s="14">
        <f t="shared" si="864"/>
        <v>279</v>
      </c>
      <c r="BQ508" s="14">
        <f t="shared" si="864"/>
        <v>279</v>
      </c>
      <c r="BR508" s="14">
        <f t="shared" si="864"/>
        <v>279</v>
      </c>
      <c r="BW508" s="13">
        <v>504</v>
      </c>
      <c r="BX508" s="13">
        <f t="shared" si="835"/>
        <v>26</v>
      </c>
      <c r="BY508" s="14">
        <f t="shared" si="836"/>
        <v>5</v>
      </c>
      <c r="BZ508" s="14">
        <f t="shared" si="840"/>
        <v>1102028</v>
      </c>
      <c r="CA508" s="14" t="str">
        <f t="shared" si="841"/>
        <v>吕布4突</v>
      </c>
      <c r="CB508" s="25" t="s">
        <v>142</v>
      </c>
      <c r="CC508" s="14">
        <v>2</v>
      </c>
      <c r="CD508" s="14">
        <f t="shared" si="837"/>
        <v>4</v>
      </c>
      <c r="CE508" s="14" t="s">
        <v>21</v>
      </c>
      <c r="CF508" s="14">
        <f>INDEX(属性投放!$AZ$6:$AZ$85,(BY508-2)*20+CD508)</f>
        <v>1140</v>
      </c>
      <c r="CG508" s="14" t="s">
        <v>22</v>
      </c>
      <c r="CH508" s="14">
        <f>INDEX(属性投放!$BA$6:$BA$85,(BY508-2)*20+CD508)</f>
        <v>474</v>
      </c>
      <c r="CI508" s="14" t="s">
        <v>510</v>
      </c>
      <c r="CJ508" s="14">
        <f>INDEX(属性投放!$BB$6:$BB$85,(BY508-2)*20+CD508)</f>
        <v>6240</v>
      </c>
      <c r="CK508" s="14" t="s">
        <v>21</v>
      </c>
      <c r="CL508" s="14">
        <f>INDEX(属性投放!$BC$6:$BC$85,(BY508-2)*20+CD508)</f>
        <v>25</v>
      </c>
      <c r="CM508" s="14" t="s">
        <v>22</v>
      </c>
      <c r="CN508" s="14">
        <f>INDEX(属性投放!$BD$6:$BD$85,(BY508-2)*20+CD508)</f>
        <v>13</v>
      </c>
      <c r="CO508" s="14" t="s">
        <v>510</v>
      </c>
      <c r="CP508" s="14">
        <f>INDEX(属性投放!$BE$6:$BE$85,(BY508-2)*20+CD508)</f>
        <v>175</v>
      </c>
      <c r="CS508" s="13">
        <v>504</v>
      </c>
      <c r="CT508" s="13">
        <f t="shared" si="842"/>
        <v>10</v>
      </c>
      <c r="CU508" s="13">
        <f t="shared" si="843"/>
        <v>36</v>
      </c>
      <c r="CV508" s="14">
        <f t="shared" si="844"/>
        <v>4</v>
      </c>
      <c r="CW508" s="14">
        <f t="shared" si="845"/>
        <v>1102010</v>
      </c>
      <c r="CX508" s="14" t="str">
        <f>INDEX($O$6:$O$50,CT508)&amp;"-"&amp;INDEX(属性投放!$AB$7:$AB$50,CZ508)&amp;"-魂火-"&amp;DB508</f>
        <v>张郃-焦热+2-魂火-3</v>
      </c>
      <c r="CY508" s="25" t="s">
        <v>142</v>
      </c>
      <c r="CZ508" s="14">
        <f>INDEX(属性投放!$AM$7:$AM$58,CU508)</f>
        <v>15</v>
      </c>
      <c r="DA508" s="14" t="s">
        <v>537</v>
      </c>
      <c r="DB508" s="14">
        <f>INDEX(属性投放!$AN$7:$AN$58,CU508)</f>
        <v>3</v>
      </c>
      <c r="DC508" s="14">
        <f t="shared" si="838"/>
        <v>36</v>
      </c>
      <c r="DD508" s="14">
        <f>INDEX(属性投放!$AO$7:$AO$58,DC508)</f>
        <v>108</v>
      </c>
      <c r="DE508" s="14" t="s">
        <v>538</v>
      </c>
      <c r="DF508" s="14">
        <f>INDEX(属性投放!$BK$6:$BK$85,(CV508-2)*20+CZ508)</f>
        <v>445</v>
      </c>
      <c r="DG508" s="14">
        <f>SUMIFS(DF$5:DF508,$CT$5:$CT508,"="&amp;$CT508)</f>
        <v>5875</v>
      </c>
      <c r="DH508" s="14" t="s">
        <v>539</v>
      </c>
      <c r="DI508" s="14">
        <f>INDEX(属性投放!$BL$6:$BL$85,(CV508-2)*20+CZ508)</f>
        <v>223</v>
      </c>
      <c r="DJ508" s="14">
        <f>SUMIFS(DI$5:DI508,$CT$5:$CT508,"="&amp;$CT508)</f>
        <v>2947</v>
      </c>
      <c r="DK508" s="14" t="s">
        <v>540</v>
      </c>
      <c r="DL508" s="14">
        <f>INDEX(属性投放!$BM$6:$BM$85,(CV508-2)*20+CZ508)</f>
        <v>4450</v>
      </c>
      <c r="DM508" s="14">
        <f>SUMIFS(DL$5:DL508,$CT$5:$CT508,"="&amp;$CT508)</f>
        <v>54185</v>
      </c>
      <c r="DR508" s="14">
        <f t="shared" si="895"/>
        <v>1102028</v>
      </c>
      <c r="DS508" s="14" t="str">
        <f t="shared" si="896"/>
        <v>吕布4突</v>
      </c>
      <c r="DT508" s="14">
        <f t="shared" si="846"/>
        <v>8</v>
      </c>
      <c r="DU508" s="14">
        <f t="shared" si="847"/>
        <v>8</v>
      </c>
      <c r="DV508" s="14">
        <f t="shared" si="848"/>
        <v>7</v>
      </c>
      <c r="DW508" s="14">
        <f t="shared" si="897"/>
        <v>5</v>
      </c>
      <c r="DX508" s="14">
        <f t="shared" si="898"/>
        <v>4</v>
      </c>
      <c r="DY508" s="14">
        <f t="shared" si="899"/>
        <v>64</v>
      </c>
      <c r="DZ508" s="14">
        <f>INDEX(属性投放!$AX$6:$AX$85,(卡牌属性!DW508-2)*20+卡牌属性!DX508)</f>
        <v>10</v>
      </c>
      <c r="EA508" s="14">
        <f>INDEX(属性投放!BQ$6:BQ$85,卡牌属性!$DY508)</f>
        <v>120</v>
      </c>
      <c r="EB508" s="14">
        <f>INDEX(属性投放!BR$6:BR$85,卡牌属性!$DY508)</f>
        <v>60</v>
      </c>
      <c r="EC508" s="14">
        <f>INDEX(属性投放!BS$6:BS$85,卡牌属性!$DY508)</f>
        <v>840</v>
      </c>
      <c r="ED508" s="14">
        <f t="shared" si="900"/>
        <v>817</v>
      </c>
      <c r="EE508" s="14">
        <f t="shared" si="901"/>
        <v>935</v>
      </c>
      <c r="EF508" s="14">
        <f t="shared" si="902"/>
        <v>1105</v>
      </c>
      <c r="EG508" s="14">
        <f t="shared" si="903"/>
        <v>1105</v>
      </c>
      <c r="EH508" s="14">
        <f t="shared" si="904"/>
        <v>1275</v>
      </c>
      <c r="EI508" s="14">
        <f t="shared" si="905"/>
        <v>371</v>
      </c>
      <c r="EJ508" s="14">
        <f t="shared" si="906"/>
        <v>420</v>
      </c>
      <c r="EK508" s="14">
        <f t="shared" si="907"/>
        <v>420</v>
      </c>
      <c r="EL508" s="14">
        <f t="shared" si="908"/>
        <v>538</v>
      </c>
      <c r="EM508" s="14">
        <f t="shared" si="909"/>
        <v>640</v>
      </c>
      <c r="EN508" s="14">
        <f t="shared" si="910"/>
        <v>3938</v>
      </c>
      <c r="EO508" s="14">
        <f t="shared" si="911"/>
        <v>4402</v>
      </c>
      <c r="EP508" s="14">
        <f t="shared" si="912"/>
        <v>4402</v>
      </c>
      <c r="EQ508" s="14">
        <f t="shared" si="913"/>
        <v>5010</v>
      </c>
      <c r="ER508" s="14">
        <f t="shared" si="914"/>
        <v>6030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140</v>
      </c>
      <c r="FD508" s="14">
        <f>INDEX(属性偏向!$U$4:$U$243,(卡牌属性!$DV508-1+FD$3)*20+卡牌属性!$DX508)</f>
        <v>154</v>
      </c>
      <c r="FE508" s="14">
        <f>INDEX(属性偏向!$U$4:$U$243,(卡牌属性!$DV508-1+FE$3)*20+卡牌属性!$DX508)</f>
        <v>154</v>
      </c>
      <c r="FF508" s="14">
        <f>INDEX(属性偏向!$U$4:$U$243,(卡牌属性!$DV508-1+FF$3)*20+卡牌属性!$DX508)</f>
        <v>175</v>
      </c>
      <c r="FG508" s="14">
        <f>INDEX(属性偏向!$U$4:$U$243,(卡牌属性!$DV508-1+FG$3)*20+卡牌属性!$DX508)</f>
        <v>210</v>
      </c>
      <c r="FH508" s="14">
        <f>INDEX(属性投放!$BQ$6:$BQ$85,(卡牌属性!$DW508-2)*20+卡牌属性!$DX508)</f>
        <v>120</v>
      </c>
      <c r="FI508" s="14">
        <f>INDEX(属性投放!$BQ$6:$BQ$85,(卡牌属性!$DW508-2)*20+卡牌属性!$DX508)</f>
        <v>120</v>
      </c>
      <c r="FJ508" s="14">
        <f>INDEX(属性投放!$BQ$6:$BQ$85,(卡牌属性!$DW508-2)*20+卡牌属性!$DX508)</f>
        <v>120</v>
      </c>
      <c r="FK508" s="14">
        <f>INDEX(属性投放!$BQ$6:$BQ$85,(卡牌属性!$DW508-2)*20+卡牌属性!$DX508)</f>
        <v>120</v>
      </c>
      <c r="FL508" s="14">
        <f>INDEX(属性投放!$BQ$6:$BQ$85,(卡牌属性!$DW508-2)*20+卡牌属性!$DX508)</f>
        <v>120</v>
      </c>
      <c r="FM508" s="14">
        <f>INDEX(属性投放!$BR$6:$BR$85,(卡牌属性!$DW508-2)*20+卡牌属性!$DX508)</f>
        <v>60</v>
      </c>
      <c r="FN508" s="14">
        <f>INDEX(属性投放!$BR$6:$BR$85,(卡牌属性!$DW508-2)*20+卡牌属性!$DX508)</f>
        <v>60</v>
      </c>
      <c r="FO508" s="14">
        <f>INDEX(属性投放!$BR$6:$BR$85,(卡牌属性!$DW508-2)*20+卡牌属性!$DX508)</f>
        <v>60</v>
      </c>
      <c r="FP508" s="14">
        <f>INDEX(属性投放!$BR$6:$BR$85,(卡牌属性!$DW508-2)*20+卡牌属性!$DX508)</f>
        <v>60</v>
      </c>
      <c r="FQ508" s="14">
        <f>INDEX(属性投放!$BR$6:$BR$85,(卡牌属性!$DW508-2)*20+卡牌属性!$DX508)</f>
        <v>60</v>
      </c>
      <c r="FR508" s="14">
        <f>INDEX(属性投放!$BS$6:$BS$85,(卡牌属性!$DW508-2)*20+卡牌属性!$DX508)</f>
        <v>840</v>
      </c>
      <c r="FS508" s="14">
        <f>INDEX(属性投放!$BS$6:$BS$85,(卡牌属性!$DW508-2)*20+卡牌属性!$DX508)</f>
        <v>840</v>
      </c>
      <c r="FT508" s="14">
        <f>INDEX(属性投放!$BS$6:$BS$85,(卡牌属性!$DW508-2)*20+卡牌属性!$DX508)</f>
        <v>840</v>
      </c>
      <c r="FU508" s="14">
        <f>INDEX(属性投放!$BS$6:$BS$85,(卡牌属性!$DW508-2)*20+卡牌属性!$DX508)</f>
        <v>840</v>
      </c>
      <c r="FV508" s="14">
        <f>INDEX(属性投放!$BS$6:$BS$85,(卡牌属性!$DW508-2)*20+卡牌属性!$DX508)</f>
        <v>840</v>
      </c>
    </row>
    <row r="509" spans="31:178" ht="16.5" x14ac:dyDescent="0.2">
      <c r="AE509" s="13">
        <v>505</v>
      </c>
      <c r="AF509" s="13">
        <f t="shared" si="854"/>
        <v>26</v>
      </c>
      <c r="AG509" s="13">
        <f t="shared" si="855"/>
        <v>4</v>
      </c>
      <c r="AH509" s="13"/>
      <c r="AI509" s="13"/>
      <c r="AJ509" s="14">
        <f t="shared" si="856"/>
        <v>1101997</v>
      </c>
      <c r="AK509" s="14" t="str">
        <f t="shared" si="857"/>
        <v>SSR寄灵人5突</v>
      </c>
      <c r="AL509" s="25" t="s">
        <v>142</v>
      </c>
      <c r="AM509" s="14">
        <v>1</v>
      </c>
      <c r="AN509" s="14">
        <f t="shared" si="858"/>
        <v>5</v>
      </c>
      <c r="AO509" s="14">
        <f>INDEX(属性投放!$DF$6:$DF$85,(卡牌属性!AG509-2)*20+卡牌属性!AN509)</f>
        <v>754</v>
      </c>
      <c r="AP509" s="14">
        <f t="shared" si="859"/>
        <v>754</v>
      </c>
      <c r="AQ509" s="14">
        <f t="shared" si="859"/>
        <v>754</v>
      </c>
      <c r="AR509" s="14">
        <f t="shared" si="859"/>
        <v>754</v>
      </c>
      <c r="AS509" s="14">
        <f t="shared" si="859"/>
        <v>754</v>
      </c>
      <c r="AT509" s="14">
        <f>INDEX(属性投放!$DG$6:$DG$85,(卡牌属性!AG509-2)*20+卡牌属性!AN509)</f>
        <v>305</v>
      </c>
      <c r="AU509" s="14">
        <f t="shared" si="860"/>
        <v>305</v>
      </c>
      <c r="AV509" s="14">
        <f t="shared" si="860"/>
        <v>305</v>
      </c>
      <c r="AW509" s="14">
        <f t="shared" si="860"/>
        <v>305</v>
      </c>
      <c r="AX509" s="14">
        <f t="shared" si="860"/>
        <v>305</v>
      </c>
      <c r="AY509" s="14">
        <f>INDEX(属性投放!$DH$6:$DH$85,(卡牌属性!AG509-2)*20+卡牌属性!AN509)</f>
        <v>4053</v>
      </c>
      <c r="AZ509" s="14">
        <f t="shared" si="861"/>
        <v>4053</v>
      </c>
      <c r="BA509" s="14">
        <f t="shared" si="861"/>
        <v>4053</v>
      </c>
      <c r="BB509" s="14">
        <f t="shared" si="861"/>
        <v>4053</v>
      </c>
      <c r="BC509" s="14">
        <f t="shared" si="861"/>
        <v>4053</v>
      </c>
      <c r="BD509" s="14">
        <f>INDEX(属性投放!$DL$6:$DL$85,(卡牌属性!AG509-2)*20+卡牌属性!AN509)</f>
        <v>40</v>
      </c>
      <c r="BE509" s="14">
        <f t="shared" si="862"/>
        <v>40</v>
      </c>
      <c r="BF509" s="14">
        <f t="shared" si="862"/>
        <v>40</v>
      </c>
      <c r="BG509" s="14">
        <f t="shared" si="862"/>
        <v>40</v>
      </c>
      <c r="BH509" s="14">
        <f t="shared" si="862"/>
        <v>40</v>
      </c>
      <c r="BI509" s="14">
        <f>INDEX(属性投放!$DM$6:$DM$85,(卡牌属性!AG509-2)*20+卡牌属性!AN509)</f>
        <v>20</v>
      </c>
      <c r="BJ509" s="14">
        <f t="shared" si="863"/>
        <v>20</v>
      </c>
      <c r="BK509" s="14">
        <f t="shared" si="863"/>
        <v>20</v>
      </c>
      <c r="BL509" s="14">
        <f t="shared" si="863"/>
        <v>20</v>
      </c>
      <c r="BM509" s="14">
        <f t="shared" si="863"/>
        <v>20</v>
      </c>
      <c r="BN509" s="14">
        <f>INDEX(属性投放!$DN$6:$DN$85,(卡牌属性!AG509-2)*20+卡牌属性!AN509)</f>
        <v>279</v>
      </c>
      <c r="BO509" s="14">
        <f t="shared" si="864"/>
        <v>279</v>
      </c>
      <c r="BP509" s="14">
        <f t="shared" si="864"/>
        <v>279</v>
      </c>
      <c r="BQ509" s="14">
        <f t="shared" si="864"/>
        <v>279</v>
      </c>
      <c r="BR509" s="14">
        <f t="shared" si="864"/>
        <v>279</v>
      </c>
      <c r="BW509" s="13">
        <v>505</v>
      </c>
      <c r="BX509" s="13">
        <f t="shared" si="835"/>
        <v>26</v>
      </c>
      <c r="BY509" s="14">
        <f t="shared" si="836"/>
        <v>5</v>
      </c>
      <c r="BZ509" s="14">
        <f t="shared" si="840"/>
        <v>1102028</v>
      </c>
      <c r="CA509" s="14" t="str">
        <f t="shared" si="841"/>
        <v>吕布5突</v>
      </c>
      <c r="CB509" s="25" t="s">
        <v>142</v>
      </c>
      <c r="CC509" s="14">
        <v>2</v>
      </c>
      <c r="CD509" s="14">
        <f t="shared" si="837"/>
        <v>5</v>
      </c>
      <c r="CE509" s="14" t="s">
        <v>21</v>
      </c>
      <c r="CF509" s="14">
        <f>INDEX(属性投放!$AZ$6:$AZ$85,(BY509-2)*20+CD509)</f>
        <v>1630</v>
      </c>
      <c r="CG509" s="14" t="s">
        <v>22</v>
      </c>
      <c r="CH509" s="14">
        <f>INDEX(属性投放!$BA$6:$BA$85,(BY509-2)*20+CD509)</f>
        <v>724</v>
      </c>
      <c r="CI509" s="14" t="s">
        <v>510</v>
      </c>
      <c r="CJ509" s="14">
        <f>INDEX(属性投放!$BB$6:$BB$85,(BY509-2)*20+CD509)</f>
        <v>9670</v>
      </c>
      <c r="CK509" s="14" t="s">
        <v>21</v>
      </c>
      <c r="CL509" s="14">
        <f>INDEX(属性投放!$BC$6:$BC$85,(BY509-2)*20+CD509)</f>
        <v>25</v>
      </c>
      <c r="CM509" s="14" t="s">
        <v>22</v>
      </c>
      <c r="CN509" s="14">
        <f>INDEX(属性投放!$BD$6:$BD$85,(BY509-2)*20+CD509)</f>
        <v>13</v>
      </c>
      <c r="CO509" s="14" t="s">
        <v>510</v>
      </c>
      <c r="CP509" s="14">
        <f>INDEX(属性投放!$BE$6:$BE$85,(BY509-2)*20+CD509)</f>
        <v>175</v>
      </c>
      <c r="CS509" s="13">
        <v>505</v>
      </c>
      <c r="CT509" s="13">
        <f t="shared" si="842"/>
        <v>10</v>
      </c>
      <c r="CU509" s="13">
        <f t="shared" si="843"/>
        <v>37</v>
      </c>
      <c r="CV509" s="14">
        <f t="shared" si="844"/>
        <v>4</v>
      </c>
      <c r="CW509" s="14">
        <f t="shared" si="845"/>
        <v>1102010</v>
      </c>
      <c r="CX509" s="14" t="str">
        <f>INDEX($O$6:$O$50,CT509)&amp;"-"&amp;INDEX(属性投放!$AB$7:$AB$50,CZ509)&amp;"-魂火-"&amp;DB509</f>
        <v>张郃-大焦热-魂火-1</v>
      </c>
      <c r="CY509" s="25" t="s">
        <v>142</v>
      </c>
      <c r="CZ509" s="14">
        <f>INDEX(属性投放!$AM$7:$AM$58,CU509)</f>
        <v>16</v>
      </c>
      <c r="DA509" s="14" t="s">
        <v>537</v>
      </c>
      <c r="DB509" s="14">
        <f>INDEX(属性投放!$AN$7:$AN$58,CU509)</f>
        <v>1</v>
      </c>
      <c r="DC509" s="14">
        <f t="shared" si="838"/>
        <v>37</v>
      </c>
      <c r="DD509" s="14">
        <f>INDEX(属性投放!$AO$7:$AO$58,DC509)</f>
        <v>110</v>
      </c>
      <c r="DE509" s="14" t="s">
        <v>538</v>
      </c>
      <c r="DF509" s="14">
        <f>INDEX(属性投放!$BK$6:$BK$85,(CV509-2)*20+CZ509)</f>
        <v>520</v>
      </c>
      <c r="DG509" s="14">
        <f>SUMIFS(DF$5:DF509,$CT$5:$CT509,"="&amp;$CT509)</f>
        <v>6395</v>
      </c>
      <c r="DH509" s="14" t="s">
        <v>539</v>
      </c>
      <c r="DI509" s="14">
        <f>INDEX(属性投放!$BL$6:$BL$85,(CV509-2)*20+CZ509)</f>
        <v>260</v>
      </c>
      <c r="DJ509" s="14">
        <f>SUMIFS(DI$5:DI509,$CT$5:$CT509,"="&amp;$CT509)</f>
        <v>3207</v>
      </c>
      <c r="DK509" s="14" t="s">
        <v>540</v>
      </c>
      <c r="DL509" s="14">
        <f>INDEX(属性投放!$BM$6:$BM$85,(CV509-2)*20+CZ509)</f>
        <v>5200</v>
      </c>
      <c r="DM509" s="14">
        <f>SUMIFS(DL$5:DL509,$CT$5:$CT509,"="&amp;$CT509)</f>
        <v>59385</v>
      </c>
      <c r="DR509" s="14">
        <f t="shared" si="895"/>
        <v>1102028</v>
      </c>
      <c r="DS509" s="14" t="str">
        <f t="shared" si="896"/>
        <v>吕布5突</v>
      </c>
      <c r="DT509" s="14">
        <f t="shared" si="846"/>
        <v>8</v>
      </c>
      <c r="DU509" s="14">
        <f t="shared" si="847"/>
        <v>8</v>
      </c>
      <c r="DV509" s="14">
        <f t="shared" si="848"/>
        <v>7</v>
      </c>
      <c r="DW509" s="14">
        <f t="shared" si="897"/>
        <v>5</v>
      </c>
      <c r="DX509" s="14">
        <f t="shared" si="898"/>
        <v>5</v>
      </c>
      <c r="DY509" s="14">
        <f t="shared" si="899"/>
        <v>65</v>
      </c>
      <c r="DZ509" s="14">
        <f>INDEX(属性投放!$AX$6:$AX$85,(卡牌属性!DW509-2)*20+卡牌属性!DX509)</f>
        <v>7</v>
      </c>
      <c r="EA509" s="14">
        <f>INDEX(属性投放!BQ$6:BQ$85,卡牌属性!$DY509)</f>
        <v>135</v>
      </c>
      <c r="EB509" s="14">
        <f>INDEX(属性投放!BR$6:BR$85,卡牌属性!$DY509)</f>
        <v>68</v>
      </c>
      <c r="EC509" s="14">
        <f>INDEX(属性投放!BS$6:BS$85,卡牌属性!$DY509)</f>
        <v>945</v>
      </c>
      <c r="ED509" s="14">
        <f t="shared" si="900"/>
        <v>1157</v>
      </c>
      <c r="EE509" s="14">
        <f t="shared" si="901"/>
        <v>1305</v>
      </c>
      <c r="EF509" s="14">
        <f t="shared" si="902"/>
        <v>1525</v>
      </c>
      <c r="EG509" s="14">
        <f t="shared" si="903"/>
        <v>1525</v>
      </c>
      <c r="EH509" s="14">
        <f t="shared" si="904"/>
        <v>1795</v>
      </c>
      <c r="EI509" s="14">
        <f t="shared" si="905"/>
        <v>541</v>
      </c>
      <c r="EJ509" s="14">
        <f t="shared" si="906"/>
        <v>610</v>
      </c>
      <c r="EK509" s="14">
        <f t="shared" si="907"/>
        <v>610</v>
      </c>
      <c r="EL509" s="14">
        <f t="shared" si="908"/>
        <v>748</v>
      </c>
      <c r="EM509" s="14">
        <f t="shared" si="909"/>
        <v>900</v>
      </c>
      <c r="EN509" s="14">
        <f t="shared" si="910"/>
        <v>6178</v>
      </c>
      <c r="EO509" s="14">
        <f t="shared" si="911"/>
        <v>6782</v>
      </c>
      <c r="EP509" s="14">
        <f t="shared" si="912"/>
        <v>6782</v>
      </c>
      <c r="EQ509" s="14">
        <f t="shared" si="913"/>
        <v>7600</v>
      </c>
      <c r="ER509" s="14">
        <f t="shared" si="914"/>
        <v>8970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140</v>
      </c>
      <c r="FD509" s="14">
        <f>INDEX(属性偏向!$U$4:$U$243,(卡牌属性!$DV509-1+FD$3)*20+卡牌属性!$DX509)</f>
        <v>154</v>
      </c>
      <c r="FE509" s="14">
        <f>INDEX(属性偏向!$U$4:$U$243,(卡牌属性!$DV509-1+FE$3)*20+卡牌属性!$DX509)</f>
        <v>154</v>
      </c>
      <c r="FF509" s="14">
        <f>INDEX(属性偏向!$U$4:$U$243,(卡牌属性!$DV509-1+FF$3)*20+卡牌属性!$DX509)</f>
        <v>175</v>
      </c>
      <c r="FG509" s="14">
        <f>INDEX(属性偏向!$U$4:$U$243,(卡牌属性!$DV509-1+FG$3)*20+卡牌属性!$DX509)</f>
        <v>210</v>
      </c>
      <c r="FH509" s="14">
        <f>INDEX(属性投放!$BQ$6:$BQ$85,(卡牌属性!$DW509-2)*20+卡牌属性!$DX509)</f>
        <v>135</v>
      </c>
      <c r="FI509" s="14">
        <f>INDEX(属性投放!$BQ$6:$BQ$85,(卡牌属性!$DW509-2)*20+卡牌属性!$DX509)</f>
        <v>135</v>
      </c>
      <c r="FJ509" s="14">
        <f>INDEX(属性投放!$BQ$6:$BQ$85,(卡牌属性!$DW509-2)*20+卡牌属性!$DX509)</f>
        <v>135</v>
      </c>
      <c r="FK509" s="14">
        <f>INDEX(属性投放!$BQ$6:$BQ$85,(卡牌属性!$DW509-2)*20+卡牌属性!$DX509)</f>
        <v>135</v>
      </c>
      <c r="FL509" s="14">
        <f>INDEX(属性投放!$BQ$6:$BQ$85,(卡牌属性!$DW509-2)*20+卡牌属性!$DX509)</f>
        <v>135</v>
      </c>
      <c r="FM509" s="14">
        <f>INDEX(属性投放!$BR$6:$BR$85,(卡牌属性!$DW509-2)*20+卡牌属性!$DX509)</f>
        <v>68</v>
      </c>
      <c r="FN509" s="14">
        <f>INDEX(属性投放!$BR$6:$BR$85,(卡牌属性!$DW509-2)*20+卡牌属性!$DX509)</f>
        <v>68</v>
      </c>
      <c r="FO509" s="14">
        <f>INDEX(属性投放!$BR$6:$BR$85,(卡牌属性!$DW509-2)*20+卡牌属性!$DX509)</f>
        <v>68</v>
      </c>
      <c r="FP509" s="14">
        <f>INDEX(属性投放!$BR$6:$BR$85,(卡牌属性!$DW509-2)*20+卡牌属性!$DX509)</f>
        <v>68</v>
      </c>
      <c r="FQ509" s="14">
        <f>INDEX(属性投放!$BR$6:$BR$85,(卡牌属性!$DW509-2)*20+卡牌属性!$DX509)</f>
        <v>68</v>
      </c>
      <c r="FR509" s="14">
        <f>INDEX(属性投放!$BS$6:$BS$85,(卡牌属性!$DW509-2)*20+卡牌属性!$DX509)</f>
        <v>945</v>
      </c>
      <c r="FS509" s="14">
        <f>INDEX(属性投放!$BS$6:$BS$85,(卡牌属性!$DW509-2)*20+卡牌属性!$DX509)</f>
        <v>945</v>
      </c>
      <c r="FT509" s="14">
        <f>INDEX(属性投放!$BS$6:$BS$85,(卡牌属性!$DW509-2)*20+卡牌属性!$DX509)</f>
        <v>945</v>
      </c>
      <c r="FU509" s="14">
        <f>INDEX(属性投放!$BS$6:$BS$85,(卡牌属性!$DW509-2)*20+卡牌属性!$DX509)</f>
        <v>945</v>
      </c>
      <c r="FV509" s="14">
        <f>INDEX(属性投放!$BS$6:$BS$85,(卡牌属性!$DW509-2)*20+卡牌属性!$DX509)</f>
        <v>945</v>
      </c>
    </row>
    <row r="510" spans="31:178" ht="16.5" x14ac:dyDescent="0.2">
      <c r="AE510" s="13">
        <v>506</v>
      </c>
      <c r="AF510" s="13">
        <f t="shared" si="854"/>
        <v>26</v>
      </c>
      <c r="AG510" s="13">
        <f t="shared" si="855"/>
        <v>4</v>
      </c>
      <c r="AH510" s="13"/>
      <c r="AI510" s="13"/>
      <c r="AJ510" s="14">
        <f t="shared" si="856"/>
        <v>1101997</v>
      </c>
      <c r="AK510" s="14" t="str">
        <f t="shared" si="857"/>
        <v>SSR寄灵人6突</v>
      </c>
      <c r="AL510" s="25" t="s">
        <v>142</v>
      </c>
      <c r="AM510" s="14">
        <v>1</v>
      </c>
      <c r="AN510" s="14">
        <f t="shared" si="858"/>
        <v>6</v>
      </c>
      <c r="AO510" s="14">
        <f>INDEX(属性投放!$DF$6:$DF$85,(卡牌属性!AG510-2)*20+卡牌属性!AN510)</f>
        <v>868</v>
      </c>
      <c r="AP510" s="14">
        <f t="shared" si="859"/>
        <v>868</v>
      </c>
      <c r="AQ510" s="14">
        <f t="shared" si="859"/>
        <v>868</v>
      </c>
      <c r="AR510" s="14">
        <f t="shared" si="859"/>
        <v>868</v>
      </c>
      <c r="AS510" s="14">
        <f t="shared" si="859"/>
        <v>868</v>
      </c>
      <c r="AT510" s="14">
        <f>INDEX(属性投放!$DG$6:$DG$85,(卡牌属性!AG510-2)*20+卡牌属性!AN510)</f>
        <v>362</v>
      </c>
      <c r="AU510" s="14">
        <f t="shared" si="860"/>
        <v>362</v>
      </c>
      <c r="AV510" s="14">
        <f t="shared" si="860"/>
        <v>362</v>
      </c>
      <c r="AW510" s="14">
        <f t="shared" si="860"/>
        <v>362</v>
      </c>
      <c r="AX510" s="14">
        <f t="shared" si="860"/>
        <v>362</v>
      </c>
      <c r="AY510" s="14">
        <f>INDEX(属性投放!$DH$6:$DH$85,(卡牌属性!AG510-2)*20+卡牌属性!AN510)</f>
        <v>4851</v>
      </c>
      <c r="AZ510" s="14">
        <f t="shared" si="861"/>
        <v>4851</v>
      </c>
      <c r="BA510" s="14">
        <f t="shared" si="861"/>
        <v>4851</v>
      </c>
      <c r="BB510" s="14">
        <f t="shared" si="861"/>
        <v>4851</v>
      </c>
      <c r="BC510" s="14">
        <f t="shared" si="861"/>
        <v>4851</v>
      </c>
      <c r="BD510" s="14">
        <f>INDEX(属性投放!$DL$6:$DL$85,(卡牌属性!AG510-2)*20+卡牌属性!AN510)</f>
        <v>40</v>
      </c>
      <c r="BE510" s="14">
        <f t="shared" si="862"/>
        <v>40</v>
      </c>
      <c r="BF510" s="14">
        <f t="shared" si="862"/>
        <v>40</v>
      </c>
      <c r="BG510" s="14">
        <f t="shared" si="862"/>
        <v>40</v>
      </c>
      <c r="BH510" s="14">
        <f t="shared" si="862"/>
        <v>40</v>
      </c>
      <c r="BI510" s="14">
        <f>INDEX(属性投放!$DM$6:$DM$85,(卡牌属性!AG510-2)*20+卡牌属性!AN510)</f>
        <v>20</v>
      </c>
      <c r="BJ510" s="14">
        <f t="shared" si="863"/>
        <v>20</v>
      </c>
      <c r="BK510" s="14">
        <f t="shared" si="863"/>
        <v>20</v>
      </c>
      <c r="BL510" s="14">
        <f t="shared" si="863"/>
        <v>20</v>
      </c>
      <c r="BM510" s="14">
        <f t="shared" si="863"/>
        <v>20</v>
      </c>
      <c r="BN510" s="14">
        <f>INDEX(属性投放!$DN$6:$DN$85,(卡牌属性!AG510-2)*20+卡牌属性!AN510)</f>
        <v>279</v>
      </c>
      <c r="BO510" s="14">
        <f t="shared" si="864"/>
        <v>279</v>
      </c>
      <c r="BP510" s="14">
        <f t="shared" si="864"/>
        <v>279</v>
      </c>
      <c r="BQ510" s="14">
        <f t="shared" si="864"/>
        <v>279</v>
      </c>
      <c r="BR510" s="14">
        <f t="shared" si="864"/>
        <v>279</v>
      </c>
      <c r="BW510" s="13">
        <v>506</v>
      </c>
      <c r="BX510" s="13">
        <f t="shared" si="835"/>
        <v>26</v>
      </c>
      <c r="BY510" s="14">
        <f t="shared" si="836"/>
        <v>5</v>
      </c>
      <c r="BZ510" s="14">
        <f t="shared" si="840"/>
        <v>1102028</v>
      </c>
      <c r="CA510" s="14" t="str">
        <f t="shared" si="841"/>
        <v>吕布6突</v>
      </c>
      <c r="CB510" s="25" t="s">
        <v>142</v>
      </c>
      <c r="CC510" s="14">
        <v>2</v>
      </c>
      <c r="CD510" s="14">
        <f t="shared" si="837"/>
        <v>6</v>
      </c>
      <c r="CE510" s="14" t="s">
        <v>21</v>
      </c>
      <c r="CF510" s="14">
        <f>INDEX(属性投放!$AZ$6:$AZ$85,(BY510-2)*20+CD510)</f>
        <v>2080</v>
      </c>
      <c r="CG510" s="14" t="s">
        <v>22</v>
      </c>
      <c r="CH510" s="14">
        <f>INDEX(属性投放!$BA$6:$BA$85,(BY510-2)*20+CD510)</f>
        <v>953</v>
      </c>
      <c r="CI510" s="14" t="s">
        <v>510</v>
      </c>
      <c r="CJ510" s="14">
        <f>INDEX(属性投放!$BB$6:$BB$85,(BY510-2)*20+CD510)</f>
        <v>12820</v>
      </c>
      <c r="CK510" s="14" t="s">
        <v>21</v>
      </c>
      <c r="CL510" s="14">
        <f>INDEX(属性投放!$BC$6:$BC$85,(BY510-2)*20+CD510)</f>
        <v>25</v>
      </c>
      <c r="CM510" s="14" t="s">
        <v>22</v>
      </c>
      <c r="CN510" s="14">
        <f>INDEX(属性投放!$BD$6:$BD$85,(BY510-2)*20+CD510)</f>
        <v>13</v>
      </c>
      <c r="CO510" s="14" t="s">
        <v>510</v>
      </c>
      <c r="CP510" s="14">
        <f>INDEX(属性投放!$BE$6:$BE$85,(BY510-2)*20+CD510)</f>
        <v>175</v>
      </c>
      <c r="CS510" s="13">
        <v>506</v>
      </c>
      <c r="CT510" s="13">
        <f t="shared" si="842"/>
        <v>10</v>
      </c>
      <c r="CU510" s="13">
        <f t="shared" si="843"/>
        <v>38</v>
      </c>
      <c r="CV510" s="14">
        <f t="shared" si="844"/>
        <v>4</v>
      </c>
      <c r="CW510" s="14">
        <f t="shared" si="845"/>
        <v>1102010</v>
      </c>
      <c r="CX510" s="14" t="str">
        <f>INDEX($O$6:$O$50,CT510)&amp;"-"&amp;INDEX(属性投放!$AB$7:$AB$50,CZ510)&amp;"-魂火-"&amp;DB510</f>
        <v>张郃-大焦热-魂火-2</v>
      </c>
      <c r="CY510" s="25" t="s">
        <v>142</v>
      </c>
      <c r="CZ510" s="14">
        <f>INDEX(属性投放!$AM$7:$AM$58,CU510)</f>
        <v>16</v>
      </c>
      <c r="DA510" s="14" t="s">
        <v>537</v>
      </c>
      <c r="DB510" s="14">
        <f>INDEX(属性投放!$AN$7:$AN$58,CU510)</f>
        <v>2</v>
      </c>
      <c r="DC510" s="14">
        <f t="shared" si="838"/>
        <v>38</v>
      </c>
      <c r="DD510" s="14">
        <f>INDEX(属性投放!$AO$7:$AO$58,DC510)</f>
        <v>113</v>
      </c>
      <c r="DE510" s="14" t="s">
        <v>538</v>
      </c>
      <c r="DF510" s="14">
        <f>INDEX(属性投放!$BK$6:$BK$85,(CV510-2)*20+CZ510)</f>
        <v>520</v>
      </c>
      <c r="DG510" s="14">
        <f>SUMIFS(DF$5:DF510,$CT$5:$CT510,"="&amp;$CT510)</f>
        <v>6915</v>
      </c>
      <c r="DH510" s="14" t="s">
        <v>539</v>
      </c>
      <c r="DI510" s="14">
        <f>INDEX(属性投放!$BL$6:$BL$85,(CV510-2)*20+CZ510)</f>
        <v>260</v>
      </c>
      <c r="DJ510" s="14">
        <f>SUMIFS(DI$5:DI510,$CT$5:$CT510,"="&amp;$CT510)</f>
        <v>3467</v>
      </c>
      <c r="DK510" s="14" t="s">
        <v>540</v>
      </c>
      <c r="DL510" s="14">
        <f>INDEX(属性投放!$BM$6:$BM$85,(CV510-2)*20+CZ510)</f>
        <v>5200</v>
      </c>
      <c r="DM510" s="14">
        <f>SUMIFS(DL$5:DL510,$CT$5:$CT510,"="&amp;$CT510)</f>
        <v>64585</v>
      </c>
      <c r="DR510" s="14">
        <f t="shared" si="895"/>
        <v>1102028</v>
      </c>
      <c r="DS510" s="14" t="str">
        <f t="shared" si="896"/>
        <v>吕布6突</v>
      </c>
      <c r="DT510" s="14">
        <f t="shared" si="846"/>
        <v>8</v>
      </c>
      <c r="DU510" s="14">
        <f t="shared" si="847"/>
        <v>8</v>
      </c>
      <c r="DV510" s="14">
        <f t="shared" si="848"/>
        <v>7</v>
      </c>
      <c r="DW510" s="14">
        <f t="shared" si="897"/>
        <v>5</v>
      </c>
      <c r="DX510" s="14">
        <f t="shared" si="898"/>
        <v>6</v>
      </c>
      <c r="DY510" s="14">
        <f t="shared" si="899"/>
        <v>66</v>
      </c>
      <c r="DZ510" s="14">
        <f>INDEX(属性投放!$AX$6:$AX$85,(卡牌属性!DW510-2)*20+卡牌属性!DX510)</f>
        <v>5</v>
      </c>
      <c r="EA510" s="14">
        <f>INDEX(属性投放!BQ$6:BQ$85,卡牌属性!$DY510)</f>
        <v>180</v>
      </c>
      <c r="EB510" s="14">
        <f>INDEX(属性投放!BR$6:BR$85,卡牌属性!$DY510)</f>
        <v>90</v>
      </c>
      <c r="EC510" s="14">
        <f>INDEX(属性投放!BS$6:BS$85,卡牌属性!$DY510)</f>
        <v>1260</v>
      </c>
      <c r="ED510" s="14">
        <f t="shared" si="900"/>
        <v>1446</v>
      </c>
      <c r="EE510" s="14">
        <f t="shared" si="901"/>
        <v>1615</v>
      </c>
      <c r="EF510" s="14">
        <f t="shared" si="902"/>
        <v>1870</v>
      </c>
      <c r="EG510" s="14">
        <f t="shared" si="903"/>
        <v>1870</v>
      </c>
      <c r="EH510" s="14">
        <f t="shared" si="904"/>
        <v>2210</v>
      </c>
      <c r="EI510" s="14">
        <f t="shared" si="905"/>
        <v>686</v>
      </c>
      <c r="EJ510" s="14">
        <f t="shared" si="906"/>
        <v>769</v>
      </c>
      <c r="EK510" s="14">
        <f t="shared" si="907"/>
        <v>769</v>
      </c>
      <c r="EL510" s="14">
        <f t="shared" si="908"/>
        <v>921</v>
      </c>
      <c r="EM510" s="14">
        <f t="shared" si="909"/>
        <v>1108</v>
      </c>
      <c r="EN510" s="14">
        <f t="shared" si="910"/>
        <v>8103</v>
      </c>
      <c r="EO510" s="14">
        <f t="shared" si="911"/>
        <v>8805</v>
      </c>
      <c r="EP510" s="14">
        <f t="shared" si="912"/>
        <v>8805</v>
      </c>
      <c r="EQ510" s="14">
        <f t="shared" si="913"/>
        <v>9770</v>
      </c>
      <c r="ER510" s="14">
        <f t="shared" si="914"/>
        <v>11385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140</v>
      </c>
      <c r="FD510" s="14">
        <f>INDEX(属性偏向!$U$4:$U$243,(卡牌属性!$DV510-1+FD$3)*20+卡牌属性!$DX510)</f>
        <v>154</v>
      </c>
      <c r="FE510" s="14">
        <f>INDEX(属性偏向!$U$4:$U$243,(卡牌属性!$DV510-1+FE$3)*20+卡牌属性!$DX510)</f>
        <v>154</v>
      </c>
      <c r="FF510" s="14">
        <f>INDEX(属性偏向!$U$4:$U$243,(卡牌属性!$DV510-1+FF$3)*20+卡牌属性!$DX510)</f>
        <v>175</v>
      </c>
      <c r="FG510" s="14">
        <f>INDEX(属性偏向!$U$4:$U$243,(卡牌属性!$DV510-1+FG$3)*20+卡牌属性!$DX510)</f>
        <v>210</v>
      </c>
      <c r="FH510" s="14">
        <f>INDEX(属性投放!$BQ$6:$BQ$85,(卡牌属性!$DW510-2)*20+卡牌属性!$DX510)</f>
        <v>180</v>
      </c>
      <c r="FI510" s="14">
        <f>INDEX(属性投放!$BQ$6:$BQ$85,(卡牌属性!$DW510-2)*20+卡牌属性!$DX510)</f>
        <v>180</v>
      </c>
      <c r="FJ510" s="14">
        <f>INDEX(属性投放!$BQ$6:$BQ$85,(卡牌属性!$DW510-2)*20+卡牌属性!$DX510)</f>
        <v>180</v>
      </c>
      <c r="FK510" s="14">
        <f>INDEX(属性投放!$BQ$6:$BQ$85,(卡牌属性!$DW510-2)*20+卡牌属性!$DX510)</f>
        <v>180</v>
      </c>
      <c r="FL510" s="14">
        <f>INDEX(属性投放!$BQ$6:$BQ$85,(卡牌属性!$DW510-2)*20+卡牌属性!$DX510)</f>
        <v>180</v>
      </c>
      <c r="FM510" s="14">
        <f>INDEX(属性投放!$BR$6:$BR$85,(卡牌属性!$DW510-2)*20+卡牌属性!$DX510)</f>
        <v>90</v>
      </c>
      <c r="FN510" s="14">
        <f>INDEX(属性投放!$BR$6:$BR$85,(卡牌属性!$DW510-2)*20+卡牌属性!$DX510)</f>
        <v>90</v>
      </c>
      <c r="FO510" s="14">
        <f>INDEX(属性投放!$BR$6:$BR$85,(卡牌属性!$DW510-2)*20+卡牌属性!$DX510)</f>
        <v>90</v>
      </c>
      <c r="FP510" s="14">
        <f>INDEX(属性投放!$BR$6:$BR$85,(卡牌属性!$DW510-2)*20+卡牌属性!$DX510)</f>
        <v>90</v>
      </c>
      <c r="FQ510" s="14">
        <f>INDEX(属性投放!$BR$6:$BR$85,(卡牌属性!$DW510-2)*20+卡牌属性!$DX510)</f>
        <v>90</v>
      </c>
      <c r="FR510" s="14">
        <f>INDEX(属性投放!$BS$6:$BS$85,(卡牌属性!$DW510-2)*20+卡牌属性!$DX510)</f>
        <v>1260</v>
      </c>
      <c r="FS510" s="14">
        <f>INDEX(属性投放!$BS$6:$BS$85,(卡牌属性!$DW510-2)*20+卡牌属性!$DX510)</f>
        <v>1260</v>
      </c>
      <c r="FT510" s="14">
        <f>INDEX(属性投放!$BS$6:$BS$85,(卡牌属性!$DW510-2)*20+卡牌属性!$DX510)</f>
        <v>1260</v>
      </c>
      <c r="FU510" s="14">
        <f>INDEX(属性投放!$BS$6:$BS$85,(卡牌属性!$DW510-2)*20+卡牌属性!$DX510)</f>
        <v>1260</v>
      </c>
      <c r="FV510" s="14">
        <f>INDEX(属性投放!$BS$6:$BS$85,(卡牌属性!$DW510-2)*20+卡牌属性!$DX510)</f>
        <v>1260</v>
      </c>
    </row>
    <row r="511" spans="31:178" ht="16.5" x14ac:dyDescent="0.2">
      <c r="AE511" s="13">
        <v>507</v>
      </c>
      <c r="AF511" s="13">
        <f t="shared" si="854"/>
        <v>26</v>
      </c>
      <c r="AG511" s="13">
        <f t="shared" si="855"/>
        <v>4</v>
      </c>
      <c r="AH511" s="13"/>
      <c r="AI511" s="13"/>
      <c r="AJ511" s="14">
        <f t="shared" si="856"/>
        <v>1101997</v>
      </c>
      <c r="AK511" s="14" t="str">
        <f t="shared" si="857"/>
        <v>SSR寄灵人7突</v>
      </c>
      <c r="AL511" s="25" t="s">
        <v>142</v>
      </c>
      <c r="AM511" s="14">
        <v>1</v>
      </c>
      <c r="AN511" s="14">
        <f t="shared" si="858"/>
        <v>7</v>
      </c>
      <c r="AO511" s="14">
        <f>INDEX(属性投放!$DF$6:$DF$85,(卡牌属性!AG511-2)*20+卡牌属性!AN511)</f>
        <v>1982</v>
      </c>
      <c r="AP511" s="14">
        <f t="shared" si="859"/>
        <v>1982</v>
      </c>
      <c r="AQ511" s="14">
        <f t="shared" si="859"/>
        <v>1982</v>
      </c>
      <c r="AR511" s="14">
        <f t="shared" si="859"/>
        <v>1982</v>
      </c>
      <c r="AS511" s="14">
        <f t="shared" si="859"/>
        <v>1982</v>
      </c>
      <c r="AT511" s="14">
        <f>INDEX(属性投放!$DG$6:$DG$85,(卡牌属性!AG511-2)*20+卡牌属性!AN511)</f>
        <v>919</v>
      </c>
      <c r="AU511" s="14">
        <f t="shared" si="860"/>
        <v>919</v>
      </c>
      <c r="AV511" s="14">
        <f t="shared" si="860"/>
        <v>919</v>
      </c>
      <c r="AW511" s="14">
        <f t="shared" si="860"/>
        <v>919</v>
      </c>
      <c r="AX511" s="14">
        <f t="shared" si="860"/>
        <v>919</v>
      </c>
      <c r="AY511" s="14">
        <f>INDEX(属性投放!$DH$6:$DH$85,(卡牌属性!AG511-2)*20+卡牌属性!AN511)</f>
        <v>12624</v>
      </c>
      <c r="AZ511" s="14">
        <f t="shared" si="861"/>
        <v>12624</v>
      </c>
      <c r="BA511" s="14">
        <f t="shared" si="861"/>
        <v>12624</v>
      </c>
      <c r="BB511" s="14">
        <f t="shared" si="861"/>
        <v>12624</v>
      </c>
      <c r="BC511" s="14">
        <f t="shared" si="861"/>
        <v>12624</v>
      </c>
      <c r="BD511" s="14">
        <f>INDEX(属性投放!$DL$6:$DL$85,(卡牌属性!AG511-2)*20+卡牌属性!AN511)</f>
        <v>58</v>
      </c>
      <c r="BE511" s="14">
        <f t="shared" si="862"/>
        <v>58</v>
      </c>
      <c r="BF511" s="14">
        <f t="shared" si="862"/>
        <v>58</v>
      </c>
      <c r="BG511" s="14">
        <f t="shared" si="862"/>
        <v>58</v>
      </c>
      <c r="BH511" s="14">
        <f t="shared" si="862"/>
        <v>58</v>
      </c>
      <c r="BI511" s="14">
        <f>INDEX(属性投放!$DM$6:$DM$85,(卡牌属性!AG511-2)*20+卡牌属性!AN511)</f>
        <v>29</v>
      </c>
      <c r="BJ511" s="14">
        <f t="shared" si="863"/>
        <v>29</v>
      </c>
      <c r="BK511" s="14">
        <f t="shared" si="863"/>
        <v>29</v>
      </c>
      <c r="BL511" s="14">
        <f t="shared" si="863"/>
        <v>29</v>
      </c>
      <c r="BM511" s="14">
        <f t="shared" si="863"/>
        <v>29</v>
      </c>
      <c r="BN511" s="14">
        <f>INDEX(属性投放!$DN$6:$DN$85,(卡牌属性!AG511-2)*20+卡牌属性!AN511)</f>
        <v>461</v>
      </c>
      <c r="BO511" s="14">
        <f t="shared" si="864"/>
        <v>461</v>
      </c>
      <c r="BP511" s="14">
        <f t="shared" si="864"/>
        <v>461</v>
      </c>
      <c r="BQ511" s="14">
        <f t="shared" si="864"/>
        <v>461</v>
      </c>
      <c r="BR511" s="14">
        <f t="shared" si="864"/>
        <v>461</v>
      </c>
      <c r="BW511" s="13">
        <v>507</v>
      </c>
      <c r="BX511" s="13">
        <f t="shared" si="835"/>
        <v>26</v>
      </c>
      <c r="BY511" s="14">
        <f t="shared" si="836"/>
        <v>5</v>
      </c>
      <c r="BZ511" s="14">
        <f t="shared" si="840"/>
        <v>1102028</v>
      </c>
      <c r="CA511" s="14" t="str">
        <f t="shared" si="841"/>
        <v>吕布7突</v>
      </c>
      <c r="CB511" s="25" t="s">
        <v>142</v>
      </c>
      <c r="CC511" s="14">
        <v>2</v>
      </c>
      <c r="CD511" s="14">
        <f t="shared" si="837"/>
        <v>7</v>
      </c>
      <c r="CE511" s="14" t="s">
        <v>21</v>
      </c>
      <c r="CF511" s="14">
        <f>INDEX(属性投放!$AZ$6:$AZ$85,(BY511-2)*20+CD511)</f>
        <v>2535</v>
      </c>
      <c r="CG511" s="14" t="s">
        <v>22</v>
      </c>
      <c r="CH511" s="14">
        <f>INDEX(属性投放!$BA$6:$BA$85,(BY511-2)*20+CD511)</f>
        <v>1184</v>
      </c>
      <c r="CI511" s="14" t="s">
        <v>510</v>
      </c>
      <c r="CJ511" s="14">
        <f>INDEX(属性投放!$BB$6:$BB$85,(BY511-2)*20+CD511)</f>
        <v>16005</v>
      </c>
      <c r="CK511" s="14" t="s">
        <v>21</v>
      </c>
      <c r="CL511" s="14">
        <f>INDEX(属性投放!$BC$6:$BC$85,(BY511-2)*20+CD511)</f>
        <v>30</v>
      </c>
      <c r="CM511" s="14" t="s">
        <v>22</v>
      </c>
      <c r="CN511" s="14">
        <f>INDEX(属性投放!$BD$6:$BD$85,(BY511-2)*20+CD511)</f>
        <v>15</v>
      </c>
      <c r="CO511" s="14" t="s">
        <v>510</v>
      </c>
      <c r="CP511" s="14">
        <f>INDEX(属性投放!$BE$6:$BE$85,(BY511-2)*20+CD511)</f>
        <v>240</v>
      </c>
      <c r="CS511" s="13">
        <v>507</v>
      </c>
      <c r="CT511" s="13">
        <f t="shared" si="842"/>
        <v>10</v>
      </c>
      <c r="CU511" s="13">
        <f t="shared" si="843"/>
        <v>39</v>
      </c>
      <c r="CV511" s="14">
        <f t="shared" si="844"/>
        <v>4</v>
      </c>
      <c r="CW511" s="14">
        <f t="shared" si="845"/>
        <v>1102010</v>
      </c>
      <c r="CX511" s="14" t="str">
        <f>INDEX($O$6:$O$50,CT511)&amp;"-"&amp;INDEX(属性投放!$AB$7:$AB$50,CZ511)&amp;"-魂火-"&amp;DB511</f>
        <v>张郃-大焦热-魂火-3</v>
      </c>
      <c r="CY511" s="25" t="s">
        <v>142</v>
      </c>
      <c r="CZ511" s="14">
        <f>INDEX(属性投放!$AM$7:$AM$58,CU511)</f>
        <v>16</v>
      </c>
      <c r="DA511" s="14" t="s">
        <v>537</v>
      </c>
      <c r="DB511" s="14">
        <f>INDEX(属性投放!$AN$7:$AN$58,CU511)</f>
        <v>3</v>
      </c>
      <c r="DC511" s="14">
        <f t="shared" si="838"/>
        <v>39</v>
      </c>
      <c r="DD511" s="14">
        <f>INDEX(属性投放!$AO$7:$AO$58,DC511)</f>
        <v>115</v>
      </c>
      <c r="DE511" s="14" t="s">
        <v>538</v>
      </c>
      <c r="DF511" s="14">
        <f>INDEX(属性投放!$BK$6:$BK$85,(CV511-2)*20+CZ511)</f>
        <v>520</v>
      </c>
      <c r="DG511" s="14">
        <f>SUMIFS(DF$5:DF511,$CT$5:$CT511,"="&amp;$CT511)</f>
        <v>7435</v>
      </c>
      <c r="DH511" s="14" t="s">
        <v>539</v>
      </c>
      <c r="DI511" s="14">
        <f>INDEX(属性投放!$BL$6:$BL$85,(CV511-2)*20+CZ511)</f>
        <v>260</v>
      </c>
      <c r="DJ511" s="14">
        <f>SUMIFS(DI$5:DI511,$CT$5:$CT511,"="&amp;$CT511)</f>
        <v>3727</v>
      </c>
      <c r="DK511" s="14" t="s">
        <v>540</v>
      </c>
      <c r="DL511" s="14">
        <f>INDEX(属性投放!$BM$6:$BM$85,(CV511-2)*20+CZ511)</f>
        <v>5200</v>
      </c>
      <c r="DM511" s="14">
        <f>SUMIFS(DL$5:DL511,$CT$5:$CT511,"="&amp;$CT511)</f>
        <v>69785</v>
      </c>
      <c r="DR511" s="14">
        <f t="shared" si="895"/>
        <v>1102028</v>
      </c>
      <c r="DS511" s="14" t="str">
        <f t="shared" si="896"/>
        <v>吕布7突</v>
      </c>
      <c r="DT511" s="14">
        <f t="shared" si="846"/>
        <v>8</v>
      </c>
      <c r="DU511" s="14">
        <f t="shared" si="847"/>
        <v>8</v>
      </c>
      <c r="DV511" s="14">
        <f t="shared" si="848"/>
        <v>7</v>
      </c>
      <c r="DW511" s="14">
        <f t="shared" si="897"/>
        <v>5</v>
      </c>
      <c r="DX511" s="14">
        <f t="shared" si="898"/>
        <v>7</v>
      </c>
      <c r="DY511" s="14">
        <f t="shared" si="899"/>
        <v>67</v>
      </c>
      <c r="DZ511" s="14">
        <f>INDEX(属性投放!$AX$6:$AX$85,(卡牌属性!DW511-2)*20+卡牌属性!DX511)</f>
        <v>5</v>
      </c>
      <c r="EA511" s="14">
        <f>INDEX(属性投放!BQ$6:BQ$85,卡牌属性!$DY511)</f>
        <v>185</v>
      </c>
      <c r="EB511" s="14">
        <f>INDEX(属性投放!BR$6:BR$85,卡牌属性!$DY511)</f>
        <v>93</v>
      </c>
      <c r="EC511" s="14">
        <f>INDEX(属性投放!BS$6:BS$85,卡牌属性!$DY511)</f>
        <v>1480</v>
      </c>
      <c r="ED511" s="14">
        <f t="shared" si="900"/>
        <v>1736</v>
      </c>
      <c r="EE511" s="14">
        <f t="shared" si="901"/>
        <v>1920</v>
      </c>
      <c r="EF511" s="14">
        <f t="shared" si="902"/>
        <v>2200</v>
      </c>
      <c r="EG511" s="14">
        <f t="shared" si="903"/>
        <v>2200</v>
      </c>
      <c r="EH511" s="14">
        <f t="shared" si="904"/>
        <v>2590</v>
      </c>
      <c r="EI511" s="14">
        <f t="shared" si="905"/>
        <v>831</v>
      </c>
      <c r="EJ511" s="14">
        <f t="shared" si="906"/>
        <v>924</v>
      </c>
      <c r="EK511" s="14">
        <f t="shared" si="907"/>
        <v>924</v>
      </c>
      <c r="EL511" s="14">
        <f t="shared" si="908"/>
        <v>1086</v>
      </c>
      <c r="EM511" s="14">
        <f t="shared" si="909"/>
        <v>1298</v>
      </c>
      <c r="EN511" s="14">
        <f t="shared" si="910"/>
        <v>10063</v>
      </c>
      <c r="EO511" s="14">
        <f t="shared" si="911"/>
        <v>10835</v>
      </c>
      <c r="EP511" s="14">
        <f t="shared" si="912"/>
        <v>10835</v>
      </c>
      <c r="EQ511" s="14">
        <f t="shared" si="913"/>
        <v>11905</v>
      </c>
      <c r="ER511" s="14">
        <f t="shared" si="914"/>
        <v>13695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200</v>
      </c>
      <c r="FD511" s="14">
        <f>INDEX(属性偏向!$U$4:$U$243,(卡牌属性!$DV511-1+FD$3)*20+卡牌属性!$DX511)</f>
        <v>224</v>
      </c>
      <c r="FE511" s="14">
        <f>INDEX(属性偏向!$U$4:$U$243,(卡牌属性!$DV511-1+FE$3)*20+卡牌属性!$DX511)</f>
        <v>224</v>
      </c>
      <c r="FF511" s="14">
        <f>INDEX(属性偏向!$U$4:$U$243,(卡牌属性!$DV511-1+FF$3)*20+卡牌属性!$DX511)</f>
        <v>240</v>
      </c>
      <c r="FG511" s="14">
        <f>INDEX(属性偏向!$U$4:$U$243,(卡牌属性!$DV511-1+FG$3)*20+卡牌属性!$DX511)</f>
        <v>320</v>
      </c>
      <c r="FH511" s="14">
        <f>INDEX(属性投放!$BQ$6:$BQ$85,(卡牌属性!$DW511-2)*20+卡牌属性!$DX511)</f>
        <v>185</v>
      </c>
      <c r="FI511" s="14">
        <f>INDEX(属性投放!$BQ$6:$BQ$85,(卡牌属性!$DW511-2)*20+卡牌属性!$DX511)</f>
        <v>185</v>
      </c>
      <c r="FJ511" s="14">
        <f>INDEX(属性投放!$BQ$6:$BQ$85,(卡牌属性!$DW511-2)*20+卡牌属性!$DX511)</f>
        <v>185</v>
      </c>
      <c r="FK511" s="14">
        <f>INDEX(属性投放!$BQ$6:$BQ$85,(卡牌属性!$DW511-2)*20+卡牌属性!$DX511)</f>
        <v>185</v>
      </c>
      <c r="FL511" s="14">
        <f>INDEX(属性投放!$BQ$6:$BQ$85,(卡牌属性!$DW511-2)*20+卡牌属性!$DX511)</f>
        <v>185</v>
      </c>
      <c r="FM511" s="14">
        <f>INDEX(属性投放!$BR$6:$BR$85,(卡牌属性!$DW511-2)*20+卡牌属性!$DX511)</f>
        <v>93</v>
      </c>
      <c r="FN511" s="14">
        <f>INDEX(属性投放!$BR$6:$BR$85,(卡牌属性!$DW511-2)*20+卡牌属性!$DX511)</f>
        <v>93</v>
      </c>
      <c r="FO511" s="14">
        <f>INDEX(属性投放!$BR$6:$BR$85,(卡牌属性!$DW511-2)*20+卡牌属性!$DX511)</f>
        <v>93</v>
      </c>
      <c r="FP511" s="14">
        <f>INDEX(属性投放!$BR$6:$BR$85,(卡牌属性!$DW511-2)*20+卡牌属性!$DX511)</f>
        <v>93</v>
      </c>
      <c r="FQ511" s="14">
        <f>INDEX(属性投放!$BR$6:$BR$85,(卡牌属性!$DW511-2)*20+卡牌属性!$DX511)</f>
        <v>93</v>
      </c>
      <c r="FR511" s="14">
        <f>INDEX(属性投放!$BS$6:$BS$85,(卡牌属性!$DW511-2)*20+卡牌属性!$DX511)</f>
        <v>1480</v>
      </c>
      <c r="FS511" s="14">
        <f>INDEX(属性投放!$BS$6:$BS$85,(卡牌属性!$DW511-2)*20+卡牌属性!$DX511)</f>
        <v>1480</v>
      </c>
      <c r="FT511" s="14">
        <f>INDEX(属性投放!$BS$6:$BS$85,(卡牌属性!$DW511-2)*20+卡牌属性!$DX511)</f>
        <v>1480</v>
      </c>
      <c r="FU511" s="14">
        <f>INDEX(属性投放!$BS$6:$BS$85,(卡牌属性!$DW511-2)*20+卡牌属性!$DX511)</f>
        <v>1480</v>
      </c>
      <c r="FV511" s="14">
        <f>INDEX(属性投放!$BS$6:$BS$85,(卡牌属性!$DW511-2)*20+卡牌属性!$DX511)</f>
        <v>1480</v>
      </c>
    </row>
    <row r="512" spans="31:178" ht="16.5" x14ac:dyDescent="0.2">
      <c r="AE512" s="13">
        <v>508</v>
      </c>
      <c r="AF512" s="13">
        <f t="shared" si="854"/>
        <v>26</v>
      </c>
      <c r="AG512" s="13">
        <f t="shared" si="855"/>
        <v>4</v>
      </c>
      <c r="AH512" s="13"/>
      <c r="AI512" s="13"/>
      <c r="AJ512" s="14">
        <f t="shared" si="856"/>
        <v>1101997</v>
      </c>
      <c r="AK512" s="14" t="str">
        <f t="shared" si="857"/>
        <v>SSR寄灵人8突</v>
      </c>
      <c r="AL512" s="25" t="s">
        <v>142</v>
      </c>
      <c r="AM512" s="14">
        <v>1</v>
      </c>
      <c r="AN512" s="14">
        <f t="shared" si="858"/>
        <v>8</v>
      </c>
      <c r="AO512" s="14">
        <f>INDEX(属性投放!$DF$6:$DF$85,(卡牌属性!AG512-2)*20+卡牌属性!AN512)</f>
        <v>2147</v>
      </c>
      <c r="AP512" s="14">
        <f t="shared" si="859"/>
        <v>2147</v>
      </c>
      <c r="AQ512" s="14">
        <f t="shared" si="859"/>
        <v>2147</v>
      </c>
      <c r="AR512" s="14">
        <f t="shared" si="859"/>
        <v>2147</v>
      </c>
      <c r="AS512" s="14">
        <f t="shared" si="859"/>
        <v>2147</v>
      </c>
      <c r="AT512" s="14">
        <f>INDEX(属性投放!$DG$6:$DG$85,(卡牌属性!AG512-2)*20+卡牌属性!AN512)</f>
        <v>1002</v>
      </c>
      <c r="AU512" s="14">
        <f t="shared" si="860"/>
        <v>1002</v>
      </c>
      <c r="AV512" s="14">
        <f t="shared" si="860"/>
        <v>1002</v>
      </c>
      <c r="AW512" s="14">
        <f t="shared" si="860"/>
        <v>1002</v>
      </c>
      <c r="AX512" s="14">
        <f t="shared" si="860"/>
        <v>1002</v>
      </c>
      <c r="AY512" s="14">
        <f>INDEX(属性投放!$DH$6:$DH$85,(卡牌属性!AG512-2)*20+卡牌属性!AN512)</f>
        <v>13940</v>
      </c>
      <c r="AZ512" s="14">
        <f t="shared" si="861"/>
        <v>13940</v>
      </c>
      <c r="BA512" s="14">
        <f t="shared" si="861"/>
        <v>13940</v>
      </c>
      <c r="BB512" s="14">
        <f t="shared" si="861"/>
        <v>13940</v>
      </c>
      <c r="BC512" s="14">
        <f t="shared" si="861"/>
        <v>13940</v>
      </c>
      <c r="BD512" s="14">
        <f>INDEX(属性投放!$DL$6:$DL$85,(卡牌属性!AG512-2)*20+卡牌属性!AN512)</f>
        <v>58</v>
      </c>
      <c r="BE512" s="14">
        <f t="shared" si="862"/>
        <v>58</v>
      </c>
      <c r="BF512" s="14">
        <f t="shared" si="862"/>
        <v>58</v>
      </c>
      <c r="BG512" s="14">
        <f t="shared" si="862"/>
        <v>58</v>
      </c>
      <c r="BH512" s="14">
        <f t="shared" si="862"/>
        <v>58</v>
      </c>
      <c r="BI512" s="14">
        <f>INDEX(属性投放!$DM$6:$DM$85,(卡牌属性!AG512-2)*20+卡牌属性!AN512)</f>
        <v>29</v>
      </c>
      <c r="BJ512" s="14">
        <f t="shared" si="863"/>
        <v>29</v>
      </c>
      <c r="BK512" s="14">
        <f t="shared" si="863"/>
        <v>29</v>
      </c>
      <c r="BL512" s="14">
        <f t="shared" si="863"/>
        <v>29</v>
      </c>
      <c r="BM512" s="14">
        <f t="shared" si="863"/>
        <v>29</v>
      </c>
      <c r="BN512" s="14">
        <f>INDEX(属性投放!$DN$6:$DN$85,(卡牌属性!AG512-2)*20+卡牌属性!AN512)</f>
        <v>461</v>
      </c>
      <c r="BO512" s="14">
        <f t="shared" si="864"/>
        <v>461</v>
      </c>
      <c r="BP512" s="14">
        <f t="shared" si="864"/>
        <v>461</v>
      </c>
      <c r="BQ512" s="14">
        <f t="shared" si="864"/>
        <v>461</v>
      </c>
      <c r="BR512" s="14">
        <f t="shared" si="864"/>
        <v>461</v>
      </c>
      <c r="BW512" s="13">
        <v>508</v>
      </c>
      <c r="BX512" s="13">
        <f t="shared" si="835"/>
        <v>26</v>
      </c>
      <c r="BY512" s="14">
        <f t="shared" si="836"/>
        <v>5</v>
      </c>
      <c r="BZ512" s="14">
        <f t="shared" si="840"/>
        <v>1102028</v>
      </c>
      <c r="CA512" s="14" t="str">
        <f t="shared" si="841"/>
        <v>吕布8突</v>
      </c>
      <c r="CB512" s="25" t="s">
        <v>142</v>
      </c>
      <c r="CC512" s="14">
        <v>2</v>
      </c>
      <c r="CD512" s="14">
        <f t="shared" si="837"/>
        <v>8</v>
      </c>
      <c r="CE512" s="14" t="s">
        <v>21</v>
      </c>
      <c r="CF512" s="14">
        <f>INDEX(属性投放!$AZ$6:$AZ$85,(BY512-2)*20+CD512)</f>
        <v>3070</v>
      </c>
      <c r="CG512" s="14" t="s">
        <v>22</v>
      </c>
      <c r="CH512" s="14">
        <f>INDEX(属性投放!$BA$6:$BA$85,(BY512-2)*20+CD512)</f>
        <v>1452</v>
      </c>
      <c r="CI512" s="14" t="s">
        <v>510</v>
      </c>
      <c r="CJ512" s="14">
        <f>INDEX(属性投放!$BB$6:$BB$85,(BY512-2)*20+CD512)</f>
        <v>20285</v>
      </c>
      <c r="CK512" s="14" t="s">
        <v>21</v>
      </c>
      <c r="CL512" s="14">
        <f>INDEX(属性投放!$BC$6:$BC$85,(BY512-2)*20+CD512)</f>
        <v>30</v>
      </c>
      <c r="CM512" s="14" t="s">
        <v>22</v>
      </c>
      <c r="CN512" s="14">
        <f>INDEX(属性投放!$BD$6:$BD$85,(BY512-2)*20+CD512)</f>
        <v>15</v>
      </c>
      <c r="CO512" s="14" t="s">
        <v>510</v>
      </c>
      <c r="CP512" s="14">
        <f>INDEX(属性投放!$BE$6:$BE$85,(BY512-2)*20+CD512)</f>
        <v>240</v>
      </c>
      <c r="CS512" s="13">
        <v>508</v>
      </c>
      <c r="CT512" s="13">
        <f t="shared" si="842"/>
        <v>10</v>
      </c>
      <c r="CU512" s="13">
        <f t="shared" si="843"/>
        <v>40</v>
      </c>
      <c r="CV512" s="14">
        <f t="shared" si="844"/>
        <v>4</v>
      </c>
      <c r="CW512" s="14">
        <f t="shared" si="845"/>
        <v>1102010</v>
      </c>
      <c r="CX512" s="14" t="str">
        <f>INDEX($O$6:$O$50,CT512)&amp;"-"&amp;INDEX(属性投放!$AB$7:$AB$50,CZ512)&amp;"-魂火-"&amp;DB512</f>
        <v>张郃-大焦热+1-魂火-1</v>
      </c>
      <c r="CY512" s="25" t="s">
        <v>142</v>
      </c>
      <c r="CZ512" s="14">
        <f>INDEX(属性投放!$AM$7:$AM$58,CU512)</f>
        <v>17</v>
      </c>
      <c r="DA512" s="14" t="s">
        <v>537</v>
      </c>
      <c r="DB512" s="14">
        <f>INDEX(属性投放!$AN$7:$AN$58,CU512)</f>
        <v>1</v>
      </c>
      <c r="DC512" s="14">
        <f t="shared" si="838"/>
        <v>40</v>
      </c>
      <c r="DD512" s="14">
        <f>INDEX(属性投放!$AO$7:$AO$58,DC512)</f>
        <v>118</v>
      </c>
      <c r="DE512" s="14" t="s">
        <v>538</v>
      </c>
      <c r="DF512" s="14">
        <f>INDEX(属性投放!$BK$6:$BK$85,(CV512-2)*20+CZ512)</f>
        <v>650</v>
      </c>
      <c r="DG512" s="14">
        <f>SUMIFS(DF$5:DF512,$CT$5:$CT512,"="&amp;$CT512)</f>
        <v>8085</v>
      </c>
      <c r="DH512" s="14" t="s">
        <v>539</v>
      </c>
      <c r="DI512" s="14">
        <f>INDEX(属性投放!$BL$6:$BL$85,(CV512-2)*20+CZ512)</f>
        <v>325</v>
      </c>
      <c r="DJ512" s="14">
        <f>SUMIFS(DI$5:DI512,$CT$5:$CT512,"="&amp;$CT512)</f>
        <v>4052</v>
      </c>
      <c r="DK512" s="14" t="s">
        <v>540</v>
      </c>
      <c r="DL512" s="14">
        <f>INDEX(属性投放!$BM$6:$BM$85,(CV512-2)*20+CZ512)</f>
        <v>6500</v>
      </c>
      <c r="DM512" s="14">
        <f>SUMIFS(DL$5:DL512,$CT$5:$CT512,"="&amp;$CT512)</f>
        <v>76285</v>
      </c>
      <c r="DR512" s="14">
        <f t="shared" si="895"/>
        <v>1102028</v>
      </c>
      <c r="DS512" s="14" t="str">
        <f t="shared" si="896"/>
        <v>吕布8突</v>
      </c>
      <c r="DT512" s="14">
        <f t="shared" si="846"/>
        <v>8</v>
      </c>
      <c r="DU512" s="14">
        <f t="shared" si="847"/>
        <v>8</v>
      </c>
      <c r="DV512" s="14">
        <f t="shared" si="848"/>
        <v>7</v>
      </c>
      <c r="DW512" s="14">
        <f t="shared" si="897"/>
        <v>5</v>
      </c>
      <c r="DX512" s="14">
        <f t="shared" si="898"/>
        <v>8</v>
      </c>
      <c r="DY512" s="14">
        <f t="shared" si="899"/>
        <v>68</v>
      </c>
      <c r="DZ512" s="14">
        <f>INDEX(属性投放!$AX$6:$AX$85,(卡牌属性!DW512-2)*20+卡牌属性!DX512)</f>
        <v>5</v>
      </c>
      <c r="EA512" s="14">
        <f>INDEX(属性投放!BQ$6:BQ$85,卡牌属性!$DY512)</f>
        <v>190</v>
      </c>
      <c r="EB512" s="14">
        <f>INDEX(属性投放!BR$6:BR$85,卡牌属性!$DY512)</f>
        <v>95</v>
      </c>
      <c r="EC512" s="14">
        <f>INDEX(属性投放!BS$6:BS$85,卡牌属性!$DY512)</f>
        <v>1520</v>
      </c>
      <c r="ED512" s="14">
        <f t="shared" si="900"/>
        <v>2061</v>
      </c>
      <c r="EE512" s="14">
        <f t="shared" si="901"/>
        <v>2255</v>
      </c>
      <c r="EF512" s="14">
        <f t="shared" si="902"/>
        <v>2585</v>
      </c>
      <c r="EG512" s="14">
        <f t="shared" si="903"/>
        <v>2585</v>
      </c>
      <c r="EH512" s="14">
        <f t="shared" si="904"/>
        <v>3025</v>
      </c>
      <c r="EI512" s="14">
        <f t="shared" si="905"/>
        <v>994</v>
      </c>
      <c r="EJ512" s="14">
        <f t="shared" si="906"/>
        <v>1092</v>
      </c>
      <c r="EK512" s="14">
        <f t="shared" si="907"/>
        <v>1092</v>
      </c>
      <c r="EL512" s="14">
        <f t="shared" si="908"/>
        <v>1279</v>
      </c>
      <c r="EM512" s="14">
        <f t="shared" si="909"/>
        <v>1516</v>
      </c>
      <c r="EN512" s="14">
        <f t="shared" si="910"/>
        <v>12543</v>
      </c>
      <c r="EO512" s="14">
        <f t="shared" si="911"/>
        <v>13435</v>
      </c>
      <c r="EP512" s="14">
        <f t="shared" si="912"/>
        <v>13435</v>
      </c>
      <c r="EQ512" s="14">
        <f t="shared" si="913"/>
        <v>14585</v>
      </c>
      <c r="ER512" s="14">
        <f t="shared" si="914"/>
        <v>16775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200</v>
      </c>
      <c r="FD512" s="14">
        <f>INDEX(属性偏向!$U$4:$U$243,(卡牌属性!$DV512-1+FD$3)*20+卡牌属性!$DX512)</f>
        <v>224</v>
      </c>
      <c r="FE512" s="14">
        <f>INDEX(属性偏向!$U$4:$U$243,(卡牌属性!$DV512-1+FE$3)*20+卡牌属性!$DX512)</f>
        <v>224</v>
      </c>
      <c r="FF512" s="14">
        <f>INDEX(属性偏向!$U$4:$U$243,(卡牌属性!$DV512-1+FF$3)*20+卡牌属性!$DX512)</f>
        <v>240</v>
      </c>
      <c r="FG512" s="14">
        <f>INDEX(属性偏向!$U$4:$U$243,(卡牌属性!$DV512-1+FG$3)*20+卡牌属性!$DX512)</f>
        <v>320</v>
      </c>
      <c r="FH512" s="14">
        <f>INDEX(属性投放!$BQ$6:$BQ$85,(卡牌属性!$DW512-2)*20+卡牌属性!$DX512)</f>
        <v>190</v>
      </c>
      <c r="FI512" s="14">
        <f>INDEX(属性投放!$BQ$6:$BQ$85,(卡牌属性!$DW512-2)*20+卡牌属性!$DX512)</f>
        <v>190</v>
      </c>
      <c r="FJ512" s="14">
        <f>INDEX(属性投放!$BQ$6:$BQ$85,(卡牌属性!$DW512-2)*20+卡牌属性!$DX512)</f>
        <v>190</v>
      </c>
      <c r="FK512" s="14">
        <f>INDEX(属性投放!$BQ$6:$BQ$85,(卡牌属性!$DW512-2)*20+卡牌属性!$DX512)</f>
        <v>190</v>
      </c>
      <c r="FL512" s="14">
        <f>INDEX(属性投放!$BQ$6:$BQ$85,(卡牌属性!$DW512-2)*20+卡牌属性!$DX512)</f>
        <v>190</v>
      </c>
      <c r="FM512" s="14">
        <f>INDEX(属性投放!$BR$6:$BR$85,(卡牌属性!$DW512-2)*20+卡牌属性!$DX512)</f>
        <v>95</v>
      </c>
      <c r="FN512" s="14">
        <f>INDEX(属性投放!$BR$6:$BR$85,(卡牌属性!$DW512-2)*20+卡牌属性!$DX512)</f>
        <v>95</v>
      </c>
      <c r="FO512" s="14">
        <f>INDEX(属性投放!$BR$6:$BR$85,(卡牌属性!$DW512-2)*20+卡牌属性!$DX512)</f>
        <v>95</v>
      </c>
      <c r="FP512" s="14">
        <f>INDEX(属性投放!$BR$6:$BR$85,(卡牌属性!$DW512-2)*20+卡牌属性!$DX512)</f>
        <v>95</v>
      </c>
      <c r="FQ512" s="14">
        <f>INDEX(属性投放!$BR$6:$BR$85,(卡牌属性!$DW512-2)*20+卡牌属性!$DX512)</f>
        <v>95</v>
      </c>
      <c r="FR512" s="14">
        <f>INDEX(属性投放!$BS$6:$BS$85,(卡牌属性!$DW512-2)*20+卡牌属性!$DX512)</f>
        <v>1520</v>
      </c>
      <c r="FS512" s="14">
        <f>INDEX(属性投放!$BS$6:$BS$85,(卡牌属性!$DW512-2)*20+卡牌属性!$DX512)</f>
        <v>1520</v>
      </c>
      <c r="FT512" s="14">
        <f>INDEX(属性投放!$BS$6:$BS$85,(卡牌属性!$DW512-2)*20+卡牌属性!$DX512)</f>
        <v>1520</v>
      </c>
      <c r="FU512" s="14">
        <f>INDEX(属性投放!$BS$6:$BS$85,(卡牌属性!$DW512-2)*20+卡牌属性!$DX512)</f>
        <v>1520</v>
      </c>
      <c r="FV512" s="14">
        <f>INDEX(属性投放!$BS$6:$BS$85,(卡牌属性!$DW512-2)*20+卡牌属性!$DX512)</f>
        <v>1520</v>
      </c>
    </row>
    <row r="513" spans="31:178" ht="16.5" x14ac:dyDescent="0.2">
      <c r="AE513" s="13">
        <v>509</v>
      </c>
      <c r="AF513" s="13">
        <f t="shared" si="854"/>
        <v>26</v>
      </c>
      <c r="AG513" s="13">
        <f t="shared" si="855"/>
        <v>4</v>
      </c>
      <c r="AH513" s="13"/>
      <c r="AI513" s="13"/>
      <c r="AJ513" s="14">
        <f t="shared" si="856"/>
        <v>1101997</v>
      </c>
      <c r="AK513" s="14" t="str">
        <f t="shared" si="857"/>
        <v>SSR寄灵人9突</v>
      </c>
      <c r="AL513" s="25" t="s">
        <v>142</v>
      </c>
      <c r="AM513" s="14">
        <v>1</v>
      </c>
      <c r="AN513" s="14">
        <f t="shared" si="858"/>
        <v>9</v>
      </c>
      <c r="AO513" s="14">
        <f>INDEX(属性投放!$DF$6:$DF$85,(卡牌属性!AG513-2)*20+卡牌属性!AN513)</f>
        <v>2312</v>
      </c>
      <c r="AP513" s="14">
        <f t="shared" si="859"/>
        <v>2312</v>
      </c>
      <c r="AQ513" s="14">
        <f t="shared" si="859"/>
        <v>2312</v>
      </c>
      <c r="AR513" s="14">
        <f t="shared" si="859"/>
        <v>2312</v>
      </c>
      <c r="AS513" s="14">
        <f t="shared" si="859"/>
        <v>2312</v>
      </c>
      <c r="AT513" s="14">
        <f>INDEX(属性投放!$DG$6:$DG$85,(卡牌属性!AG513-2)*20+卡牌属性!AN513)</f>
        <v>1085</v>
      </c>
      <c r="AU513" s="14">
        <f t="shared" si="860"/>
        <v>1085</v>
      </c>
      <c r="AV513" s="14">
        <f t="shared" si="860"/>
        <v>1085</v>
      </c>
      <c r="AW513" s="14">
        <f t="shared" si="860"/>
        <v>1085</v>
      </c>
      <c r="AX513" s="14">
        <f t="shared" si="860"/>
        <v>1085</v>
      </c>
      <c r="AY513" s="14">
        <f>INDEX(属性投放!$DH$6:$DH$85,(卡牌属性!AG513-2)*20+卡牌属性!AN513)</f>
        <v>15256</v>
      </c>
      <c r="AZ513" s="14">
        <f t="shared" si="861"/>
        <v>15256</v>
      </c>
      <c r="BA513" s="14">
        <f t="shared" si="861"/>
        <v>15256</v>
      </c>
      <c r="BB513" s="14">
        <f t="shared" si="861"/>
        <v>15256</v>
      </c>
      <c r="BC513" s="14">
        <f t="shared" si="861"/>
        <v>15256</v>
      </c>
      <c r="BD513" s="14">
        <f>INDEX(属性投放!$DL$6:$DL$85,(卡牌属性!AG513-2)*20+卡牌属性!AN513)</f>
        <v>58</v>
      </c>
      <c r="BE513" s="14">
        <f t="shared" si="862"/>
        <v>58</v>
      </c>
      <c r="BF513" s="14">
        <f t="shared" si="862"/>
        <v>58</v>
      </c>
      <c r="BG513" s="14">
        <f t="shared" si="862"/>
        <v>58</v>
      </c>
      <c r="BH513" s="14">
        <f t="shared" si="862"/>
        <v>58</v>
      </c>
      <c r="BI513" s="14">
        <f>INDEX(属性投放!$DM$6:$DM$85,(卡牌属性!AG513-2)*20+卡牌属性!AN513)</f>
        <v>29</v>
      </c>
      <c r="BJ513" s="14">
        <f t="shared" si="863"/>
        <v>29</v>
      </c>
      <c r="BK513" s="14">
        <f t="shared" si="863"/>
        <v>29</v>
      </c>
      <c r="BL513" s="14">
        <f t="shared" si="863"/>
        <v>29</v>
      </c>
      <c r="BM513" s="14">
        <f t="shared" si="863"/>
        <v>29</v>
      </c>
      <c r="BN513" s="14">
        <f>INDEX(属性投放!$DN$6:$DN$85,(卡牌属性!AG513-2)*20+卡牌属性!AN513)</f>
        <v>461</v>
      </c>
      <c r="BO513" s="14">
        <f t="shared" si="864"/>
        <v>461</v>
      </c>
      <c r="BP513" s="14">
        <f t="shared" si="864"/>
        <v>461</v>
      </c>
      <c r="BQ513" s="14">
        <f t="shared" si="864"/>
        <v>461</v>
      </c>
      <c r="BR513" s="14">
        <f t="shared" si="864"/>
        <v>461</v>
      </c>
      <c r="BW513" s="13">
        <v>509</v>
      </c>
      <c r="BX513" s="13">
        <f t="shared" si="835"/>
        <v>26</v>
      </c>
      <c r="BY513" s="14">
        <f t="shared" si="836"/>
        <v>5</v>
      </c>
      <c r="BZ513" s="14">
        <f t="shared" si="840"/>
        <v>1102028</v>
      </c>
      <c r="CA513" s="14" t="str">
        <f t="shared" si="841"/>
        <v>吕布9突</v>
      </c>
      <c r="CB513" s="25" t="s">
        <v>142</v>
      </c>
      <c r="CC513" s="14">
        <v>2</v>
      </c>
      <c r="CD513" s="14">
        <f t="shared" si="837"/>
        <v>9</v>
      </c>
      <c r="CE513" s="14" t="s">
        <v>21</v>
      </c>
      <c r="CF513" s="14">
        <f>INDEX(属性投放!$AZ$6:$AZ$85,(BY513-2)*20+CD513)</f>
        <v>3650</v>
      </c>
      <c r="CG513" s="14" t="s">
        <v>22</v>
      </c>
      <c r="CH513" s="14">
        <f>INDEX(属性投放!$BA$6:$BA$85,(BY513-2)*20+CD513)</f>
        <v>1742</v>
      </c>
      <c r="CI513" s="14" t="s">
        <v>510</v>
      </c>
      <c r="CJ513" s="14">
        <f>INDEX(属性投放!$BB$6:$BB$85,(BY513-2)*20+CD513)</f>
        <v>24925</v>
      </c>
      <c r="CK513" s="14" t="s">
        <v>21</v>
      </c>
      <c r="CL513" s="14">
        <f>INDEX(属性投放!$BC$6:$BC$85,(BY513-2)*20+CD513)</f>
        <v>30</v>
      </c>
      <c r="CM513" s="14" t="s">
        <v>22</v>
      </c>
      <c r="CN513" s="14">
        <f>INDEX(属性投放!$BD$6:$BD$85,(BY513-2)*20+CD513)</f>
        <v>15</v>
      </c>
      <c r="CO513" s="14" t="s">
        <v>510</v>
      </c>
      <c r="CP513" s="14">
        <f>INDEX(属性投放!$BE$6:$BE$85,(BY513-2)*20+CD513)</f>
        <v>240</v>
      </c>
      <c r="CS513" s="13">
        <v>509</v>
      </c>
      <c r="CT513" s="13">
        <f t="shared" si="842"/>
        <v>10</v>
      </c>
      <c r="CU513" s="13">
        <f t="shared" si="843"/>
        <v>41</v>
      </c>
      <c r="CV513" s="14">
        <f t="shared" si="844"/>
        <v>4</v>
      </c>
      <c r="CW513" s="14">
        <f t="shared" si="845"/>
        <v>1102010</v>
      </c>
      <c r="CX513" s="14" t="str">
        <f>INDEX($O$6:$O$50,CT513)&amp;"-"&amp;INDEX(属性投放!$AB$7:$AB$50,CZ513)&amp;"-魂火-"&amp;DB513</f>
        <v>张郃-大焦热+1-魂火-2</v>
      </c>
      <c r="CY513" s="25" t="s">
        <v>142</v>
      </c>
      <c r="CZ513" s="14">
        <f>INDEX(属性投放!$AM$7:$AM$58,CU513)</f>
        <v>17</v>
      </c>
      <c r="DA513" s="14" t="s">
        <v>537</v>
      </c>
      <c r="DB513" s="14">
        <f>INDEX(属性投放!$AN$7:$AN$58,CU513)</f>
        <v>2</v>
      </c>
      <c r="DC513" s="14">
        <f t="shared" si="838"/>
        <v>41</v>
      </c>
      <c r="DD513" s="14">
        <f>INDEX(属性投放!$AO$7:$AO$58,DC513)</f>
        <v>120</v>
      </c>
      <c r="DE513" s="14" t="s">
        <v>538</v>
      </c>
      <c r="DF513" s="14">
        <f>INDEX(属性投放!$BK$6:$BK$85,(CV513-2)*20+CZ513)</f>
        <v>650</v>
      </c>
      <c r="DG513" s="14">
        <f>SUMIFS(DF$5:DF513,$CT$5:$CT513,"="&amp;$CT513)</f>
        <v>8735</v>
      </c>
      <c r="DH513" s="14" t="s">
        <v>539</v>
      </c>
      <c r="DI513" s="14">
        <f>INDEX(属性投放!$BL$6:$BL$85,(CV513-2)*20+CZ513)</f>
        <v>325</v>
      </c>
      <c r="DJ513" s="14">
        <f>SUMIFS(DI$5:DI513,$CT$5:$CT513,"="&amp;$CT513)</f>
        <v>4377</v>
      </c>
      <c r="DK513" s="14" t="s">
        <v>540</v>
      </c>
      <c r="DL513" s="14">
        <f>INDEX(属性投放!$BM$6:$BM$85,(CV513-2)*20+CZ513)</f>
        <v>6500</v>
      </c>
      <c r="DM513" s="14">
        <f>SUMIFS(DL$5:DL513,$CT$5:$CT513,"="&amp;$CT513)</f>
        <v>82785</v>
      </c>
      <c r="DR513" s="14">
        <f t="shared" si="895"/>
        <v>1102028</v>
      </c>
      <c r="DS513" s="14" t="str">
        <f t="shared" si="896"/>
        <v>吕布9突</v>
      </c>
      <c r="DT513" s="14">
        <f t="shared" si="846"/>
        <v>8</v>
      </c>
      <c r="DU513" s="14">
        <f t="shared" si="847"/>
        <v>8</v>
      </c>
      <c r="DV513" s="14">
        <f t="shared" si="848"/>
        <v>7</v>
      </c>
      <c r="DW513" s="14">
        <f t="shared" si="897"/>
        <v>5</v>
      </c>
      <c r="DX513" s="14">
        <f t="shared" si="898"/>
        <v>9</v>
      </c>
      <c r="DY513" s="14">
        <f t="shared" si="899"/>
        <v>69</v>
      </c>
      <c r="DZ513" s="14">
        <f>INDEX(属性投放!$AX$6:$AX$85,(卡牌属性!DW513-2)*20+卡牌属性!DX513)</f>
        <v>8</v>
      </c>
      <c r="EA513" s="14">
        <f>INDEX(属性投放!BQ$6:BQ$85,卡牌属性!$DY513)</f>
        <v>220</v>
      </c>
      <c r="EB513" s="14">
        <f>INDEX(属性投放!BR$6:BR$85,卡牌属性!$DY513)</f>
        <v>110</v>
      </c>
      <c r="EC513" s="14">
        <f>INDEX(属性投放!BS$6:BS$85,卡牌属性!$DY513)</f>
        <v>1760</v>
      </c>
      <c r="ED513" s="14">
        <f t="shared" si="900"/>
        <v>2391</v>
      </c>
      <c r="EE513" s="14">
        <f t="shared" si="901"/>
        <v>2595</v>
      </c>
      <c r="EF513" s="14">
        <f t="shared" si="902"/>
        <v>2975</v>
      </c>
      <c r="EG513" s="14">
        <f t="shared" si="903"/>
        <v>2975</v>
      </c>
      <c r="EH513" s="14">
        <f t="shared" si="904"/>
        <v>3465</v>
      </c>
      <c r="EI513" s="14">
        <f t="shared" si="905"/>
        <v>1159</v>
      </c>
      <c r="EJ513" s="14">
        <f t="shared" si="906"/>
        <v>1262</v>
      </c>
      <c r="EK513" s="14">
        <f t="shared" si="907"/>
        <v>1262</v>
      </c>
      <c r="EL513" s="14">
        <f t="shared" si="908"/>
        <v>1474</v>
      </c>
      <c r="EM513" s="14">
        <f t="shared" si="909"/>
        <v>1736</v>
      </c>
      <c r="EN513" s="14">
        <f t="shared" si="910"/>
        <v>15063</v>
      </c>
      <c r="EO513" s="14">
        <f t="shared" si="911"/>
        <v>16075</v>
      </c>
      <c r="EP513" s="14">
        <f t="shared" si="912"/>
        <v>16075</v>
      </c>
      <c r="EQ513" s="14">
        <f t="shared" si="913"/>
        <v>17305</v>
      </c>
      <c r="ER513" s="14">
        <f t="shared" si="914"/>
        <v>19895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200</v>
      </c>
      <c r="FD513" s="14">
        <f>INDEX(属性偏向!$U$4:$U$243,(卡牌属性!$DV513-1+FD$3)*20+卡牌属性!$DX513)</f>
        <v>224</v>
      </c>
      <c r="FE513" s="14">
        <f>INDEX(属性偏向!$U$4:$U$243,(卡牌属性!$DV513-1+FE$3)*20+卡牌属性!$DX513)</f>
        <v>224</v>
      </c>
      <c r="FF513" s="14">
        <f>INDEX(属性偏向!$U$4:$U$243,(卡牌属性!$DV513-1+FF$3)*20+卡牌属性!$DX513)</f>
        <v>240</v>
      </c>
      <c r="FG513" s="14">
        <f>INDEX(属性偏向!$U$4:$U$243,(卡牌属性!$DV513-1+FG$3)*20+卡牌属性!$DX513)</f>
        <v>320</v>
      </c>
      <c r="FH513" s="14">
        <f>INDEX(属性投放!$BQ$6:$BQ$85,(卡牌属性!$DW513-2)*20+卡牌属性!$DX513)</f>
        <v>220</v>
      </c>
      <c r="FI513" s="14">
        <f>INDEX(属性投放!$BQ$6:$BQ$85,(卡牌属性!$DW513-2)*20+卡牌属性!$DX513)</f>
        <v>220</v>
      </c>
      <c r="FJ513" s="14">
        <f>INDEX(属性投放!$BQ$6:$BQ$85,(卡牌属性!$DW513-2)*20+卡牌属性!$DX513)</f>
        <v>220</v>
      </c>
      <c r="FK513" s="14">
        <f>INDEX(属性投放!$BQ$6:$BQ$85,(卡牌属性!$DW513-2)*20+卡牌属性!$DX513)</f>
        <v>220</v>
      </c>
      <c r="FL513" s="14">
        <f>INDEX(属性投放!$BQ$6:$BQ$85,(卡牌属性!$DW513-2)*20+卡牌属性!$DX513)</f>
        <v>220</v>
      </c>
      <c r="FM513" s="14">
        <f>INDEX(属性投放!$BR$6:$BR$85,(卡牌属性!$DW513-2)*20+卡牌属性!$DX513)</f>
        <v>110</v>
      </c>
      <c r="FN513" s="14">
        <f>INDEX(属性投放!$BR$6:$BR$85,(卡牌属性!$DW513-2)*20+卡牌属性!$DX513)</f>
        <v>110</v>
      </c>
      <c r="FO513" s="14">
        <f>INDEX(属性投放!$BR$6:$BR$85,(卡牌属性!$DW513-2)*20+卡牌属性!$DX513)</f>
        <v>110</v>
      </c>
      <c r="FP513" s="14">
        <f>INDEX(属性投放!$BR$6:$BR$85,(卡牌属性!$DW513-2)*20+卡牌属性!$DX513)</f>
        <v>110</v>
      </c>
      <c r="FQ513" s="14">
        <f>INDEX(属性投放!$BR$6:$BR$85,(卡牌属性!$DW513-2)*20+卡牌属性!$DX513)</f>
        <v>110</v>
      </c>
      <c r="FR513" s="14">
        <f>INDEX(属性投放!$BS$6:$BS$85,(卡牌属性!$DW513-2)*20+卡牌属性!$DX513)</f>
        <v>1760</v>
      </c>
      <c r="FS513" s="14">
        <f>INDEX(属性投放!$BS$6:$BS$85,(卡牌属性!$DW513-2)*20+卡牌属性!$DX513)</f>
        <v>1760</v>
      </c>
      <c r="FT513" s="14">
        <f>INDEX(属性投放!$BS$6:$BS$85,(卡牌属性!$DW513-2)*20+卡牌属性!$DX513)</f>
        <v>1760</v>
      </c>
      <c r="FU513" s="14">
        <f>INDEX(属性投放!$BS$6:$BS$85,(卡牌属性!$DW513-2)*20+卡牌属性!$DX513)</f>
        <v>1760</v>
      </c>
      <c r="FV513" s="14">
        <f>INDEX(属性投放!$BS$6:$BS$85,(卡牌属性!$DW513-2)*20+卡牌属性!$DX513)</f>
        <v>1760</v>
      </c>
    </row>
    <row r="514" spans="31:178" ht="16.5" x14ac:dyDescent="0.2">
      <c r="AE514" s="13">
        <v>510</v>
      </c>
      <c r="AF514" s="13">
        <f t="shared" si="854"/>
        <v>26</v>
      </c>
      <c r="AG514" s="13">
        <f t="shared" si="855"/>
        <v>4</v>
      </c>
      <c r="AH514" s="13"/>
      <c r="AI514" s="13"/>
      <c r="AJ514" s="14">
        <f t="shared" si="856"/>
        <v>1101997</v>
      </c>
      <c r="AK514" s="14" t="str">
        <f t="shared" si="857"/>
        <v>SSR寄灵人10突</v>
      </c>
      <c r="AL514" s="25" t="s">
        <v>142</v>
      </c>
      <c r="AM514" s="14">
        <v>1</v>
      </c>
      <c r="AN514" s="14">
        <f t="shared" si="858"/>
        <v>10</v>
      </c>
      <c r="AO514" s="14">
        <f>INDEX(属性投放!$DF$6:$DF$85,(卡牌属性!AG514-2)*20+卡牌属性!AN514)</f>
        <v>3347</v>
      </c>
      <c r="AP514" s="14">
        <f t="shared" si="859"/>
        <v>3347</v>
      </c>
      <c r="AQ514" s="14">
        <f t="shared" si="859"/>
        <v>3347</v>
      </c>
      <c r="AR514" s="14">
        <f t="shared" si="859"/>
        <v>3347</v>
      </c>
      <c r="AS514" s="14">
        <f t="shared" si="859"/>
        <v>3347</v>
      </c>
      <c r="AT514" s="14">
        <f>INDEX(属性投放!$DG$6:$DG$85,(卡牌属性!AG514-2)*20+卡牌属性!AN514)</f>
        <v>1603</v>
      </c>
      <c r="AU514" s="14">
        <f t="shared" si="860"/>
        <v>1603</v>
      </c>
      <c r="AV514" s="14">
        <f t="shared" si="860"/>
        <v>1603</v>
      </c>
      <c r="AW514" s="14">
        <f t="shared" si="860"/>
        <v>1603</v>
      </c>
      <c r="AX514" s="14">
        <f t="shared" si="860"/>
        <v>1603</v>
      </c>
      <c r="AY514" s="14">
        <f>INDEX(属性投放!$DH$6:$DH$85,(卡牌属性!AG514-2)*20+卡牌属性!AN514)</f>
        <v>23487</v>
      </c>
      <c r="AZ514" s="14">
        <f t="shared" si="861"/>
        <v>23487</v>
      </c>
      <c r="BA514" s="14">
        <f t="shared" si="861"/>
        <v>23487</v>
      </c>
      <c r="BB514" s="14">
        <f t="shared" si="861"/>
        <v>23487</v>
      </c>
      <c r="BC514" s="14">
        <f t="shared" si="861"/>
        <v>23487</v>
      </c>
      <c r="BD514" s="14">
        <f>INDEX(属性投放!$DL$6:$DL$85,(卡牌属性!AG514-2)*20+卡牌属性!AN514)</f>
        <v>110</v>
      </c>
      <c r="BE514" s="14">
        <f t="shared" si="862"/>
        <v>110</v>
      </c>
      <c r="BF514" s="14">
        <f t="shared" si="862"/>
        <v>110</v>
      </c>
      <c r="BG514" s="14">
        <f t="shared" si="862"/>
        <v>110</v>
      </c>
      <c r="BH514" s="14">
        <f t="shared" si="862"/>
        <v>110</v>
      </c>
      <c r="BI514" s="14">
        <f>INDEX(属性投放!$DM$6:$DM$85,(卡牌属性!AG514-2)*20+卡牌属性!AN514)</f>
        <v>55</v>
      </c>
      <c r="BJ514" s="14">
        <f t="shared" si="863"/>
        <v>55</v>
      </c>
      <c r="BK514" s="14">
        <f t="shared" si="863"/>
        <v>55</v>
      </c>
      <c r="BL514" s="14">
        <f t="shared" si="863"/>
        <v>55</v>
      </c>
      <c r="BM514" s="14">
        <f t="shared" si="863"/>
        <v>55</v>
      </c>
      <c r="BN514" s="14">
        <f>INDEX(属性投放!$DN$6:$DN$85,(卡牌属性!AG514-2)*20+卡牌属性!AN514)</f>
        <v>988</v>
      </c>
      <c r="BO514" s="14">
        <f t="shared" si="864"/>
        <v>988</v>
      </c>
      <c r="BP514" s="14">
        <f t="shared" si="864"/>
        <v>988</v>
      </c>
      <c r="BQ514" s="14">
        <f t="shared" si="864"/>
        <v>988</v>
      </c>
      <c r="BR514" s="14">
        <f t="shared" si="864"/>
        <v>988</v>
      </c>
      <c r="BW514" s="13">
        <v>510</v>
      </c>
      <c r="BX514" s="13">
        <f t="shared" si="835"/>
        <v>26</v>
      </c>
      <c r="BY514" s="14">
        <f t="shared" si="836"/>
        <v>5</v>
      </c>
      <c r="BZ514" s="14">
        <f t="shared" si="840"/>
        <v>1102028</v>
      </c>
      <c r="CA514" s="14" t="str">
        <f t="shared" si="841"/>
        <v>吕布10突</v>
      </c>
      <c r="CB514" s="25" t="s">
        <v>142</v>
      </c>
      <c r="CC514" s="14">
        <v>2</v>
      </c>
      <c r="CD514" s="14">
        <f t="shared" si="837"/>
        <v>10</v>
      </c>
      <c r="CE514" s="14" t="s">
        <v>21</v>
      </c>
      <c r="CF514" s="14">
        <f>INDEX(属性投放!$AZ$6:$AZ$85,(BY514-2)*20+CD514)</f>
        <v>4524</v>
      </c>
      <c r="CG514" s="14" t="s">
        <v>22</v>
      </c>
      <c r="CH514" s="14">
        <f>INDEX(属性投放!$BA$6:$BA$85,(BY514-2)*20+CD514)</f>
        <v>2179</v>
      </c>
      <c r="CI514" s="14" t="s">
        <v>510</v>
      </c>
      <c r="CJ514" s="14">
        <f>INDEX(属性投放!$BB$6:$BB$85,(BY514-2)*20+CD514)</f>
        <v>31917</v>
      </c>
      <c r="CK514" s="14" t="s">
        <v>21</v>
      </c>
      <c r="CL514" s="14">
        <f>INDEX(属性投放!$BC$6:$BC$85,(BY514-2)*20+CD514)</f>
        <v>40</v>
      </c>
      <c r="CM514" s="14" t="s">
        <v>22</v>
      </c>
      <c r="CN514" s="14">
        <f>INDEX(属性投放!$BD$6:$BD$85,(BY514-2)*20+CD514)</f>
        <v>20</v>
      </c>
      <c r="CO514" s="14" t="s">
        <v>510</v>
      </c>
      <c r="CP514" s="14">
        <f>INDEX(属性投放!$BE$6:$BE$85,(BY514-2)*20+CD514)</f>
        <v>360</v>
      </c>
      <c r="CS514" s="13">
        <v>510</v>
      </c>
      <c r="CT514" s="13">
        <f t="shared" si="842"/>
        <v>10</v>
      </c>
      <c r="CU514" s="13">
        <f t="shared" si="843"/>
        <v>42</v>
      </c>
      <c r="CV514" s="14">
        <f t="shared" si="844"/>
        <v>4</v>
      </c>
      <c r="CW514" s="14">
        <f t="shared" si="845"/>
        <v>1102010</v>
      </c>
      <c r="CX514" s="14" t="str">
        <f>INDEX($O$6:$O$50,CT514)&amp;"-"&amp;INDEX(属性投放!$AB$7:$AB$50,CZ514)&amp;"-魂火-"&amp;DB514</f>
        <v>张郃-大焦热+1-魂火-3</v>
      </c>
      <c r="CY514" s="25" t="s">
        <v>142</v>
      </c>
      <c r="CZ514" s="14">
        <f>INDEX(属性投放!$AM$7:$AM$58,CU514)</f>
        <v>17</v>
      </c>
      <c r="DA514" s="14" t="s">
        <v>537</v>
      </c>
      <c r="DB514" s="14">
        <f>INDEX(属性投放!$AN$7:$AN$58,CU514)</f>
        <v>3</v>
      </c>
      <c r="DC514" s="14">
        <f t="shared" si="838"/>
        <v>42</v>
      </c>
      <c r="DD514" s="14">
        <f>INDEX(属性投放!$AO$7:$AO$58,DC514)</f>
        <v>123</v>
      </c>
      <c r="DE514" s="14" t="s">
        <v>538</v>
      </c>
      <c r="DF514" s="14">
        <f>INDEX(属性投放!$BK$6:$BK$85,(CV514-2)*20+CZ514)</f>
        <v>650</v>
      </c>
      <c r="DG514" s="14">
        <f>SUMIFS(DF$5:DF514,$CT$5:$CT514,"="&amp;$CT514)</f>
        <v>9385</v>
      </c>
      <c r="DH514" s="14" t="s">
        <v>539</v>
      </c>
      <c r="DI514" s="14">
        <f>INDEX(属性投放!$BL$6:$BL$85,(CV514-2)*20+CZ514)</f>
        <v>325</v>
      </c>
      <c r="DJ514" s="14">
        <f>SUMIFS(DI$5:DI514,$CT$5:$CT514,"="&amp;$CT514)</f>
        <v>4702</v>
      </c>
      <c r="DK514" s="14" t="s">
        <v>540</v>
      </c>
      <c r="DL514" s="14">
        <f>INDEX(属性投放!$BM$6:$BM$85,(CV514-2)*20+CZ514)</f>
        <v>6500</v>
      </c>
      <c r="DM514" s="14">
        <f>SUMIFS(DL$5:DL514,$CT$5:$CT514,"="&amp;$CT514)</f>
        <v>89285</v>
      </c>
      <c r="DR514" s="14">
        <f t="shared" si="895"/>
        <v>1102028</v>
      </c>
      <c r="DS514" s="14" t="str">
        <f t="shared" si="896"/>
        <v>吕布10突</v>
      </c>
      <c r="DT514" s="14">
        <f t="shared" si="846"/>
        <v>8</v>
      </c>
      <c r="DU514" s="14">
        <f t="shared" si="847"/>
        <v>8</v>
      </c>
      <c r="DV514" s="14">
        <f t="shared" si="848"/>
        <v>7</v>
      </c>
      <c r="DW514" s="14">
        <f t="shared" si="897"/>
        <v>5</v>
      </c>
      <c r="DX514" s="14">
        <f t="shared" si="898"/>
        <v>10</v>
      </c>
      <c r="DY514" s="14">
        <f t="shared" si="899"/>
        <v>70</v>
      </c>
      <c r="DZ514" s="14">
        <f>INDEX(属性投放!$AX$6:$AX$85,(卡牌属性!DW514-2)*20+卡牌属性!DX514)</f>
        <v>7</v>
      </c>
      <c r="EA514" s="14">
        <f>INDEX(属性投放!BQ$6:BQ$85,卡牌属性!$DY514)</f>
        <v>215</v>
      </c>
      <c r="EB514" s="14">
        <f>INDEX(属性投放!BR$6:BR$85,卡牌属性!$DY514)</f>
        <v>108</v>
      </c>
      <c r="EC514" s="14">
        <f>INDEX(属性投放!BS$6:BS$85,卡牌属性!$DY514)</f>
        <v>1935</v>
      </c>
      <c r="ED514" s="14">
        <f t="shared" si="900"/>
        <v>2835</v>
      </c>
      <c r="EE514" s="14">
        <f t="shared" si="901"/>
        <v>3055</v>
      </c>
      <c r="EF514" s="14">
        <f t="shared" si="902"/>
        <v>3515</v>
      </c>
      <c r="EG514" s="14">
        <f t="shared" si="903"/>
        <v>3515</v>
      </c>
      <c r="EH514" s="14">
        <f t="shared" si="904"/>
        <v>4085</v>
      </c>
      <c r="EI514" s="14">
        <f t="shared" si="905"/>
        <v>1381</v>
      </c>
      <c r="EJ514" s="14">
        <f t="shared" si="906"/>
        <v>1492</v>
      </c>
      <c r="EK514" s="14">
        <f t="shared" si="907"/>
        <v>1492</v>
      </c>
      <c r="EL514" s="14">
        <f t="shared" si="908"/>
        <v>1744</v>
      </c>
      <c r="EM514" s="14">
        <f t="shared" si="909"/>
        <v>2046</v>
      </c>
      <c r="EN514" s="14">
        <f t="shared" si="910"/>
        <v>18423</v>
      </c>
      <c r="EO514" s="14">
        <f t="shared" si="911"/>
        <v>19627</v>
      </c>
      <c r="EP514" s="14">
        <f t="shared" si="912"/>
        <v>19627</v>
      </c>
      <c r="EQ514" s="14">
        <f t="shared" si="913"/>
        <v>20985</v>
      </c>
      <c r="ER514" s="14">
        <f t="shared" si="914"/>
        <v>24215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270</v>
      </c>
      <c r="FD514" s="14">
        <f>INDEX(属性偏向!$U$4:$U$243,(卡牌属性!$DV514-1+FD$3)*20+卡牌属性!$DX514)</f>
        <v>315</v>
      </c>
      <c r="FE514" s="14">
        <f>INDEX(属性偏向!$U$4:$U$243,(卡牌属性!$DV514-1+FE$3)*20+卡牌属性!$DX514)</f>
        <v>315</v>
      </c>
      <c r="FF514" s="14">
        <f>INDEX(属性偏向!$U$4:$U$243,(卡牌属性!$DV514-1+FF$3)*20+卡牌属性!$DX514)</f>
        <v>360</v>
      </c>
      <c r="FG514" s="14">
        <f>INDEX(属性偏向!$U$4:$U$243,(卡牌属性!$DV514-1+FG$3)*20+卡牌属性!$DX514)</f>
        <v>450</v>
      </c>
      <c r="FH514" s="14">
        <f>INDEX(属性投放!$BQ$6:$BQ$85,(卡牌属性!$DW514-2)*20+卡牌属性!$DX514)</f>
        <v>215</v>
      </c>
      <c r="FI514" s="14">
        <f>INDEX(属性投放!$BQ$6:$BQ$85,(卡牌属性!$DW514-2)*20+卡牌属性!$DX514)</f>
        <v>215</v>
      </c>
      <c r="FJ514" s="14">
        <f>INDEX(属性投放!$BQ$6:$BQ$85,(卡牌属性!$DW514-2)*20+卡牌属性!$DX514)</f>
        <v>215</v>
      </c>
      <c r="FK514" s="14">
        <f>INDEX(属性投放!$BQ$6:$BQ$85,(卡牌属性!$DW514-2)*20+卡牌属性!$DX514)</f>
        <v>215</v>
      </c>
      <c r="FL514" s="14">
        <f>INDEX(属性投放!$BQ$6:$BQ$85,(卡牌属性!$DW514-2)*20+卡牌属性!$DX514)</f>
        <v>215</v>
      </c>
      <c r="FM514" s="14">
        <f>INDEX(属性投放!$BR$6:$BR$85,(卡牌属性!$DW514-2)*20+卡牌属性!$DX514)</f>
        <v>108</v>
      </c>
      <c r="FN514" s="14">
        <f>INDEX(属性投放!$BR$6:$BR$85,(卡牌属性!$DW514-2)*20+卡牌属性!$DX514)</f>
        <v>108</v>
      </c>
      <c r="FO514" s="14">
        <f>INDEX(属性投放!$BR$6:$BR$85,(卡牌属性!$DW514-2)*20+卡牌属性!$DX514)</f>
        <v>108</v>
      </c>
      <c r="FP514" s="14">
        <f>INDEX(属性投放!$BR$6:$BR$85,(卡牌属性!$DW514-2)*20+卡牌属性!$DX514)</f>
        <v>108</v>
      </c>
      <c r="FQ514" s="14">
        <f>INDEX(属性投放!$BR$6:$BR$85,(卡牌属性!$DW514-2)*20+卡牌属性!$DX514)</f>
        <v>108</v>
      </c>
      <c r="FR514" s="14">
        <f>INDEX(属性投放!$BS$6:$BS$85,(卡牌属性!$DW514-2)*20+卡牌属性!$DX514)</f>
        <v>1935</v>
      </c>
      <c r="FS514" s="14">
        <f>INDEX(属性投放!$BS$6:$BS$85,(卡牌属性!$DW514-2)*20+卡牌属性!$DX514)</f>
        <v>1935</v>
      </c>
      <c r="FT514" s="14">
        <f>INDEX(属性投放!$BS$6:$BS$85,(卡牌属性!$DW514-2)*20+卡牌属性!$DX514)</f>
        <v>1935</v>
      </c>
      <c r="FU514" s="14">
        <f>INDEX(属性投放!$BS$6:$BS$85,(卡牌属性!$DW514-2)*20+卡牌属性!$DX514)</f>
        <v>1935</v>
      </c>
      <c r="FV514" s="14">
        <f>INDEX(属性投放!$BS$6:$BS$85,(卡牌属性!$DW514-2)*20+卡牌属性!$DX514)</f>
        <v>1935</v>
      </c>
    </row>
    <row r="515" spans="31:178" ht="16.5" x14ac:dyDescent="0.2">
      <c r="AE515" s="13">
        <v>511</v>
      </c>
      <c r="AF515" s="13">
        <f t="shared" si="854"/>
        <v>26</v>
      </c>
      <c r="AG515" s="13">
        <f t="shared" si="855"/>
        <v>4</v>
      </c>
      <c r="AH515" s="13"/>
      <c r="AI515" s="13"/>
      <c r="AJ515" s="14">
        <f t="shared" si="856"/>
        <v>1101997</v>
      </c>
      <c r="AK515" s="14" t="str">
        <f t="shared" si="857"/>
        <v>SSR寄灵人11突</v>
      </c>
      <c r="AL515" s="25" t="s">
        <v>142</v>
      </c>
      <c r="AM515" s="14">
        <v>1</v>
      </c>
      <c r="AN515" s="14">
        <f t="shared" si="858"/>
        <v>11</v>
      </c>
      <c r="AO515" s="14">
        <f>INDEX(属性投放!$DF$6:$DF$85,(卡牌属性!AG515-2)*20+卡牌属性!AN515)</f>
        <v>3661</v>
      </c>
      <c r="AP515" s="14">
        <f t="shared" si="859"/>
        <v>3661</v>
      </c>
      <c r="AQ515" s="14">
        <f t="shared" si="859"/>
        <v>3661</v>
      </c>
      <c r="AR515" s="14">
        <f t="shared" si="859"/>
        <v>3661</v>
      </c>
      <c r="AS515" s="14">
        <f t="shared" si="859"/>
        <v>3661</v>
      </c>
      <c r="AT515" s="14">
        <f>INDEX(属性投放!$DG$6:$DG$85,(卡牌属性!AG515-2)*20+卡牌属性!AN515)</f>
        <v>1760</v>
      </c>
      <c r="AU515" s="14">
        <f t="shared" si="860"/>
        <v>1760</v>
      </c>
      <c r="AV515" s="14">
        <f t="shared" si="860"/>
        <v>1760</v>
      </c>
      <c r="AW515" s="14">
        <f t="shared" si="860"/>
        <v>1760</v>
      </c>
      <c r="AX515" s="14">
        <f t="shared" si="860"/>
        <v>1760</v>
      </c>
      <c r="AY515" s="14">
        <f>INDEX(属性投放!$DH$6:$DH$85,(卡牌属性!AG515-2)*20+卡牌属性!AN515)</f>
        <v>26309</v>
      </c>
      <c r="AZ515" s="14">
        <f t="shared" si="861"/>
        <v>26309</v>
      </c>
      <c r="BA515" s="14">
        <f t="shared" si="861"/>
        <v>26309</v>
      </c>
      <c r="BB515" s="14">
        <f t="shared" si="861"/>
        <v>26309</v>
      </c>
      <c r="BC515" s="14">
        <f t="shared" si="861"/>
        <v>26309</v>
      </c>
      <c r="BD515" s="14">
        <f>INDEX(属性投放!$DL$6:$DL$85,(卡牌属性!AG515-2)*20+卡牌属性!AN515)</f>
        <v>110</v>
      </c>
      <c r="BE515" s="14">
        <f t="shared" si="862"/>
        <v>110</v>
      </c>
      <c r="BF515" s="14">
        <f t="shared" si="862"/>
        <v>110</v>
      </c>
      <c r="BG515" s="14">
        <f t="shared" si="862"/>
        <v>110</v>
      </c>
      <c r="BH515" s="14">
        <f t="shared" si="862"/>
        <v>110</v>
      </c>
      <c r="BI515" s="14">
        <f>INDEX(属性投放!$DM$6:$DM$85,(卡牌属性!AG515-2)*20+卡牌属性!AN515)</f>
        <v>55</v>
      </c>
      <c r="BJ515" s="14">
        <f t="shared" si="863"/>
        <v>55</v>
      </c>
      <c r="BK515" s="14">
        <f t="shared" si="863"/>
        <v>55</v>
      </c>
      <c r="BL515" s="14">
        <f t="shared" si="863"/>
        <v>55</v>
      </c>
      <c r="BM515" s="14">
        <f t="shared" si="863"/>
        <v>55</v>
      </c>
      <c r="BN515" s="14">
        <f>INDEX(属性投放!$DN$6:$DN$85,(卡牌属性!AG515-2)*20+卡牌属性!AN515)</f>
        <v>988</v>
      </c>
      <c r="BO515" s="14">
        <f t="shared" si="864"/>
        <v>988</v>
      </c>
      <c r="BP515" s="14">
        <f t="shared" si="864"/>
        <v>988</v>
      </c>
      <c r="BQ515" s="14">
        <f t="shared" si="864"/>
        <v>988</v>
      </c>
      <c r="BR515" s="14">
        <f t="shared" si="864"/>
        <v>988</v>
      </c>
      <c r="BW515" s="13">
        <v>511</v>
      </c>
      <c r="BX515" s="13">
        <f t="shared" si="835"/>
        <v>26</v>
      </c>
      <c r="BY515" s="14">
        <f t="shared" si="836"/>
        <v>5</v>
      </c>
      <c r="BZ515" s="14">
        <f t="shared" si="840"/>
        <v>1102028</v>
      </c>
      <c r="CA515" s="14" t="str">
        <f t="shared" si="841"/>
        <v>吕布11突</v>
      </c>
      <c r="CB515" s="25" t="s">
        <v>142</v>
      </c>
      <c r="CC515" s="14">
        <v>2</v>
      </c>
      <c r="CD515" s="14">
        <f t="shared" si="837"/>
        <v>11</v>
      </c>
      <c r="CE515" s="14" t="s">
        <v>21</v>
      </c>
      <c r="CF515" s="14">
        <f>INDEX(属性投放!$AZ$6:$AZ$85,(BY515-2)*20+CD515)</f>
        <v>5469</v>
      </c>
      <c r="CG515" s="14" t="s">
        <v>22</v>
      </c>
      <c r="CH515" s="14">
        <f>INDEX(属性投放!$BA$6:$BA$85,(BY515-2)*20+CD515)</f>
        <v>2652</v>
      </c>
      <c r="CI515" s="14" t="s">
        <v>510</v>
      </c>
      <c r="CJ515" s="14">
        <f>INDEX(属性投放!$BB$6:$BB$85,(BY515-2)*20+CD515)</f>
        <v>40422</v>
      </c>
      <c r="CK515" s="14" t="s">
        <v>21</v>
      </c>
      <c r="CL515" s="14">
        <f>INDEX(属性投放!$BC$6:$BC$85,(BY515-2)*20+CD515)</f>
        <v>40</v>
      </c>
      <c r="CM515" s="14" t="s">
        <v>22</v>
      </c>
      <c r="CN515" s="14">
        <f>INDEX(属性投放!$BD$6:$BD$85,(BY515-2)*20+CD515)</f>
        <v>20</v>
      </c>
      <c r="CO515" s="14" t="s">
        <v>510</v>
      </c>
      <c r="CP515" s="14">
        <f>INDEX(属性投放!$BE$6:$BE$85,(BY515-2)*20+CD515)</f>
        <v>360</v>
      </c>
      <c r="CS515" s="13">
        <v>511</v>
      </c>
      <c r="CT515" s="13">
        <f t="shared" si="842"/>
        <v>10</v>
      </c>
      <c r="CU515" s="13">
        <f t="shared" si="843"/>
        <v>43</v>
      </c>
      <c r="CV515" s="14">
        <f t="shared" si="844"/>
        <v>4</v>
      </c>
      <c r="CW515" s="14">
        <f t="shared" si="845"/>
        <v>1102010</v>
      </c>
      <c r="CX515" s="14" t="str">
        <f>INDEX($O$6:$O$50,CT515)&amp;"-"&amp;INDEX(属性投放!$AB$7:$AB$50,CZ515)&amp;"-魂火-"&amp;DB515</f>
        <v>张郃-大焦热+2-魂火-1</v>
      </c>
      <c r="CY515" s="25" t="s">
        <v>142</v>
      </c>
      <c r="CZ515" s="14">
        <f>INDEX(属性投放!$AM$7:$AM$58,CU515)</f>
        <v>18</v>
      </c>
      <c r="DA515" s="14" t="s">
        <v>537</v>
      </c>
      <c r="DB515" s="14">
        <f>INDEX(属性投放!$AN$7:$AN$58,CU515)</f>
        <v>1</v>
      </c>
      <c r="DC515" s="14">
        <f t="shared" si="838"/>
        <v>43</v>
      </c>
      <c r="DD515" s="14">
        <f>INDEX(属性投放!$AO$7:$AO$58,DC515)</f>
        <v>125</v>
      </c>
      <c r="DE515" s="14" t="s">
        <v>538</v>
      </c>
      <c r="DF515" s="14">
        <f>INDEX(属性投放!$BK$6:$BK$85,(CV515-2)*20+CZ515)</f>
        <v>750</v>
      </c>
      <c r="DG515" s="14">
        <f>SUMIFS(DF$5:DF515,$CT$5:$CT515,"="&amp;$CT515)</f>
        <v>10135</v>
      </c>
      <c r="DH515" s="14" t="s">
        <v>539</v>
      </c>
      <c r="DI515" s="14">
        <f>INDEX(属性投放!$BL$6:$BL$85,(CV515-2)*20+CZ515)</f>
        <v>375</v>
      </c>
      <c r="DJ515" s="14">
        <f>SUMIFS(DI$5:DI515,$CT$5:$CT515,"="&amp;$CT515)</f>
        <v>5077</v>
      </c>
      <c r="DK515" s="14" t="s">
        <v>540</v>
      </c>
      <c r="DL515" s="14">
        <f>INDEX(属性投放!$BM$6:$BM$85,(CV515-2)*20+CZ515)</f>
        <v>7500</v>
      </c>
      <c r="DM515" s="14">
        <f>SUMIFS(DL$5:DL515,$CT$5:$CT515,"="&amp;$CT515)</f>
        <v>96785</v>
      </c>
      <c r="DR515" s="14">
        <f t="shared" si="895"/>
        <v>1102028</v>
      </c>
      <c r="DS515" s="14" t="str">
        <f t="shared" si="896"/>
        <v>吕布11突</v>
      </c>
      <c r="DT515" s="14">
        <f t="shared" si="846"/>
        <v>8</v>
      </c>
      <c r="DU515" s="14">
        <f t="shared" si="847"/>
        <v>8</v>
      </c>
      <c r="DV515" s="14">
        <f t="shared" si="848"/>
        <v>7</v>
      </c>
      <c r="DW515" s="14">
        <f t="shared" si="897"/>
        <v>5</v>
      </c>
      <c r="DX515" s="14">
        <f t="shared" si="898"/>
        <v>11</v>
      </c>
      <c r="DY515" s="14">
        <f t="shared" si="899"/>
        <v>71</v>
      </c>
      <c r="DZ515" s="14">
        <f>INDEX(属性投放!$AX$6:$AX$85,(卡牌属性!DW515-2)*20+卡牌属性!DX515)</f>
        <v>8</v>
      </c>
      <c r="EA515" s="14">
        <f>INDEX(属性投放!BQ$6:BQ$85,卡牌属性!$DY515)</f>
        <v>320</v>
      </c>
      <c r="EB515" s="14">
        <f>INDEX(属性投放!BR$6:BR$85,卡牌属性!$DY515)</f>
        <v>160</v>
      </c>
      <c r="EC515" s="14">
        <f>INDEX(属性投放!BS$6:BS$85,卡牌属性!$DY515)</f>
        <v>2880</v>
      </c>
      <c r="ED515" s="14">
        <f t="shared" si="900"/>
        <v>3295</v>
      </c>
      <c r="EE515" s="14">
        <f t="shared" si="901"/>
        <v>3550</v>
      </c>
      <c r="EF515" s="14">
        <f t="shared" si="902"/>
        <v>4080</v>
      </c>
      <c r="EG515" s="14">
        <f t="shared" si="903"/>
        <v>4080</v>
      </c>
      <c r="EH515" s="14">
        <f t="shared" si="904"/>
        <v>4825</v>
      </c>
      <c r="EI515" s="14">
        <f t="shared" si="905"/>
        <v>1615</v>
      </c>
      <c r="EJ515" s="14">
        <f t="shared" si="906"/>
        <v>1740</v>
      </c>
      <c r="EK515" s="14">
        <f t="shared" si="907"/>
        <v>1740</v>
      </c>
      <c r="EL515" s="14">
        <f t="shared" si="908"/>
        <v>2027</v>
      </c>
      <c r="EM515" s="14">
        <f t="shared" si="909"/>
        <v>2420</v>
      </c>
      <c r="EN515" s="14">
        <f t="shared" si="910"/>
        <v>22248</v>
      </c>
      <c r="EO515" s="14">
        <f t="shared" si="911"/>
        <v>23767</v>
      </c>
      <c r="EP515" s="14">
        <f t="shared" si="912"/>
        <v>23767</v>
      </c>
      <c r="EQ515" s="14">
        <f t="shared" si="913"/>
        <v>25440</v>
      </c>
      <c r="ER515" s="14">
        <f t="shared" si="914"/>
        <v>29300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270</v>
      </c>
      <c r="FD515" s="14">
        <f>INDEX(属性偏向!$U$4:$U$243,(卡牌属性!$DV515-1+FD$3)*20+卡牌属性!$DX515)</f>
        <v>315</v>
      </c>
      <c r="FE515" s="14">
        <f>INDEX(属性偏向!$U$4:$U$243,(卡牌属性!$DV515-1+FE$3)*20+卡牌属性!$DX515)</f>
        <v>315</v>
      </c>
      <c r="FF515" s="14">
        <f>INDEX(属性偏向!$U$4:$U$243,(卡牌属性!$DV515-1+FF$3)*20+卡牌属性!$DX515)</f>
        <v>360</v>
      </c>
      <c r="FG515" s="14">
        <f>INDEX(属性偏向!$U$4:$U$243,(卡牌属性!$DV515-1+FG$3)*20+卡牌属性!$DX515)</f>
        <v>450</v>
      </c>
      <c r="FH515" s="14">
        <f>INDEX(属性投放!$BQ$6:$BQ$85,(卡牌属性!$DW515-2)*20+卡牌属性!$DX515)</f>
        <v>320</v>
      </c>
      <c r="FI515" s="14">
        <f>INDEX(属性投放!$BQ$6:$BQ$85,(卡牌属性!$DW515-2)*20+卡牌属性!$DX515)</f>
        <v>320</v>
      </c>
      <c r="FJ515" s="14">
        <f>INDEX(属性投放!$BQ$6:$BQ$85,(卡牌属性!$DW515-2)*20+卡牌属性!$DX515)</f>
        <v>320</v>
      </c>
      <c r="FK515" s="14">
        <f>INDEX(属性投放!$BQ$6:$BQ$85,(卡牌属性!$DW515-2)*20+卡牌属性!$DX515)</f>
        <v>320</v>
      </c>
      <c r="FL515" s="14">
        <f>INDEX(属性投放!$BQ$6:$BQ$85,(卡牌属性!$DW515-2)*20+卡牌属性!$DX515)</f>
        <v>320</v>
      </c>
      <c r="FM515" s="14">
        <f>INDEX(属性投放!$BR$6:$BR$85,(卡牌属性!$DW515-2)*20+卡牌属性!$DX515)</f>
        <v>160</v>
      </c>
      <c r="FN515" s="14">
        <f>INDEX(属性投放!$BR$6:$BR$85,(卡牌属性!$DW515-2)*20+卡牌属性!$DX515)</f>
        <v>160</v>
      </c>
      <c r="FO515" s="14">
        <f>INDEX(属性投放!$BR$6:$BR$85,(卡牌属性!$DW515-2)*20+卡牌属性!$DX515)</f>
        <v>160</v>
      </c>
      <c r="FP515" s="14">
        <f>INDEX(属性投放!$BR$6:$BR$85,(卡牌属性!$DW515-2)*20+卡牌属性!$DX515)</f>
        <v>160</v>
      </c>
      <c r="FQ515" s="14">
        <f>INDEX(属性投放!$BR$6:$BR$85,(卡牌属性!$DW515-2)*20+卡牌属性!$DX515)</f>
        <v>160</v>
      </c>
      <c r="FR515" s="14">
        <f>INDEX(属性投放!$BS$6:$BS$85,(卡牌属性!$DW515-2)*20+卡牌属性!$DX515)</f>
        <v>2880</v>
      </c>
      <c r="FS515" s="14">
        <f>INDEX(属性投放!$BS$6:$BS$85,(卡牌属性!$DW515-2)*20+卡牌属性!$DX515)</f>
        <v>2880</v>
      </c>
      <c r="FT515" s="14">
        <f>INDEX(属性投放!$BS$6:$BS$85,(卡牌属性!$DW515-2)*20+卡牌属性!$DX515)</f>
        <v>2880</v>
      </c>
      <c r="FU515" s="14">
        <f>INDEX(属性投放!$BS$6:$BS$85,(卡牌属性!$DW515-2)*20+卡牌属性!$DX515)</f>
        <v>2880</v>
      </c>
      <c r="FV515" s="14">
        <f>INDEX(属性投放!$BS$6:$BS$85,(卡牌属性!$DW515-2)*20+卡牌属性!$DX515)</f>
        <v>2880</v>
      </c>
    </row>
    <row r="516" spans="31:178" ht="16.5" x14ac:dyDescent="0.2">
      <c r="AE516" s="13">
        <v>512</v>
      </c>
      <c r="AF516" s="13">
        <f t="shared" si="854"/>
        <v>26</v>
      </c>
      <c r="AG516" s="13">
        <f t="shared" si="855"/>
        <v>4</v>
      </c>
      <c r="AH516" s="13"/>
      <c r="AI516" s="13"/>
      <c r="AJ516" s="14">
        <f t="shared" si="856"/>
        <v>1101997</v>
      </c>
      <c r="AK516" s="14" t="str">
        <f t="shared" si="857"/>
        <v>SSR寄灵人12突</v>
      </c>
      <c r="AL516" s="25" t="s">
        <v>142</v>
      </c>
      <c r="AM516" s="14">
        <v>1</v>
      </c>
      <c r="AN516" s="14">
        <f t="shared" si="858"/>
        <v>12</v>
      </c>
      <c r="AO516" s="14">
        <f>INDEX(属性投放!$DF$6:$DF$85,(卡牌属性!AG516-2)*20+卡牌属性!AN516)</f>
        <v>3975</v>
      </c>
      <c r="AP516" s="14">
        <f t="shared" si="859"/>
        <v>3975</v>
      </c>
      <c r="AQ516" s="14">
        <f t="shared" si="859"/>
        <v>3975</v>
      </c>
      <c r="AR516" s="14">
        <f t="shared" si="859"/>
        <v>3975</v>
      </c>
      <c r="AS516" s="14">
        <f t="shared" si="859"/>
        <v>3975</v>
      </c>
      <c r="AT516" s="14">
        <f>INDEX(属性投放!$DG$6:$DG$85,(卡牌属性!AG516-2)*20+卡牌属性!AN516)</f>
        <v>1917</v>
      </c>
      <c r="AU516" s="14">
        <f t="shared" si="860"/>
        <v>1917</v>
      </c>
      <c r="AV516" s="14">
        <f t="shared" si="860"/>
        <v>1917</v>
      </c>
      <c r="AW516" s="14">
        <f t="shared" si="860"/>
        <v>1917</v>
      </c>
      <c r="AX516" s="14">
        <f t="shared" si="860"/>
        <v>1917</v>
      </c>
      <c r="AY516" s="14">
        <f>INDEX(属性投放!$DH$6:$DH$85,(卡牌属性!AG516-2)*20+卡牌属性!AN516)</f>
        <v>29131</v>
      </c>
      <c r="AZ516" s="14">
        <f t="shared" si="861"/>
        <v>29131</v>
      </c>
      <c r="BA516" s="14">
        <f t="shared" si="861"/>
        <v>29131</v>
      </c>
      <c r="BB516" s="14">
        <f t="shared" si="861"/>
        <v>29131</v>
      </c>
      <c r="BC516" s="14">
        <f t="shared" si="861"/>
        <v>29131</v>
      </c>
      <c r="BD516" s="14">
        <f>INDEX(属性投放!$DL$6:$DL$85,(卡牌属性!AG516-2)*20+卡牌属性!AN516)</f>
        <v>110</v>
      </c>
      <c r="BE516" s="14">
        <f t="shared" si="862"/>
        <v>110</v>
      </c>
      <c r="BF516" s="14">
        <f t="shared" si="862"/>
        <v>110</v>
      </c>
      <c r="BG516" s="14">
        <f t="shared" si="862"/>
        <v>110</v>
      </c>
      <c r="BH516" s="14">
        <f t="shared" si="862"/>
        <v>110</v>
      </c>
      <c r="BI516" s="14">
        <f>INDEX(属性投放!$DM$6:$DM$85,(卡牌属性!AG516-2)*20+卡牌属性!AN516)</f>
        <v>55</v>
      </c>
      <c r="BJ516" s="14">
        <f t="shared" si="863"/>
        <v>55</v>
      </c>
      <c r="BK516" s="14">
        <f t="shared" si="863"/>
        <v>55</v>
      </c>
      <c r="BL516" s="14">
        <f t="shared" si="863"/>
        <v>55</v>
      </c>
      <c r="BM516" s="14">
        <f t="shared" si="863"/>
        <v>55</v>
      </c>
      <c r="BN516" s="14">
        <f>INDEX(属性投放!$DN$6:$DN$85,(卡牌属性!AG516-2)*20+卡牌属性!AN516)</f>
        <v>988</v>
      </c>
      <c r="BO516" s="14">
        <f t="shared" si="864"/>
        <v>988</v>
      </c>
      <c r="BP516" s="14">
        <f t="shared" si="864"/>
        <v>988</v>
      </c>
      <c r="BQ516" s="14">
        <f t="shared" si="864"/>
        <v>988</v>
      </c>
      <c r="BR516" s="14">
        <f t="shared" si="864"/>
        <v>988</v>
      </c>
      <c r="BW516" s="13">
        <v>512</v>
      </c>
      <c r="BX516" s="13">
        <f t="shared" si="835"/>
        <v>26</v>
      </c>
      <c r="BY516" s="14">
        <f t="shared" si="836"/>
        <v>5</v>
      </c>
      <c r="BZ516" s="14">
        <f t="shared" si="840"/>
        <v>1102028</v>
      </c>
      <c r="CA516" s="14" t="str">
        <f t="shared" si="841"/>
        <v>吕布12突</v>
      </c>
      <c r="CB516" s="25" t="s">
        <v>142</v>
      </c>
      <c r="CC516" s="14">
        <v>2</v>
      </c>
      <c r="CD516" s="14">
        <f t="shared" si="837"/>
        <v>12</v>
      </c>
      <c r="CE516" s="14" t="s">
        <v>21</v>
      </c>
      <c r="CF516" s="14">
        <f>INDEX(属性投放!$AZ$6:$AZ$85,(BY516-2)*20+CD516)</f>
        <v>6709</v>
      </c>
      <c r="CG516" s="14" t="s">
        <v>22</v>
      </c>
      <c r="CH516" s="14">
        <f>INDEX(属性投放!$BA$6:$BA$85,(BY516-2)*20+CD516)</f>
        <v>3272</v>
      </c>
      <c r="CI516" s="14" t="s">
        <v>510</v>
      </c>
      <c r="CJ516" s="14">
        <f>INDEX(属性投放!$BB$6:$BB$85,(BY516-2)*20+CD516)</f>
        <v>51582</v>
      </c>
      <c r="CK516" s="14" t="s">
        <v>21</v>
      </c>
      <c r="CL516" s="14">
        <f>INDEX(属性投放!$BC$6:$BC$85,(BY516-2)*20+CD516)</f>
        <v>40</v>
      </c>
      <c r="CM516" s="14" t="s">
        <v>22</v>
      </c>
      <c r="CN516" s="14">
        <f>INDEX(属性投放!$BD$6:$BD$85,(BY516-2)*20+CD516)</f>
        <v>20</v>
      </c>
      <c r="CO516" s="14" t="s">
        <v>510</v>
      </c>
      <c r="CP516" s="14">
        <f>INDEX(属性投放!$BE$6:$BE$85,(BY516-2)*20+CD516)</f>
        <v>360</v>
      </c>
      <c r="CS516" s="13">
        <v>512</v>
      </c>
      <c r="CT516" s="13">
        <f t="shared" si="842"/>
        <v>10</v>
      </c>
      <c r="CU516" s="13">
        <f t="shared" si="843"/>
        <v>44</v>
      </c>
      <c r="CV516" s="14">
        <f t="shared" si="844"/>
        <v>4</v>
      </c>
      <c r="CW516" s="14">
        <f t="shared" si="845"/>
        <v>1102010</v>
      </c>
      <c r="CX516" s="14" t="str">
        <f>INDEX($O$6:$O$50,CT516)&amp;"-"&amp;INDEX(属性投放!$AB$7:$AB$50,CZ516)&amp;"-魂火-"&amp;DB516</f>
        <v>张郃-大焦热+2-魂火-2</v>
      </c>
      <c r="CY516" s="25" t="s">
        <v>142</v>
      </c>
      <c r="CZ516" s="14">
        <f>INDEX(属性投放!$AM$7:$AM$58,CU516)</f>
        <v>18</v>
      </c>
      <c r="DA516" s="14" t="s">
        <v>537</v>
      </c>
      <c r="DB516" s="14">
        <f>INDEX(属性投放!$AN$7:$AN$58,CU516)</f>
        <v>2</v>
      </c>
      <c r="DC516" s="14">
        <f t="shared" si="838"/>
        <v>44</v>
      </c>
      <c r="DD516" s="14">
        <f>INDEX(属性投放!$AO$7:$AO$58,DC516)</f>
        <v>128</v>
      </c>
      <c r="DE516" s="14" t="s">
        <v>538</v>
      </c>
      <c r="DF516" s="14">
        <f>INDEX(属性投放!$BK$6:$BK$85,(CV516-2)*20+CZ516)</f>
        <v>750</v>
      </c>
      <c r="DG516" s="14">
        <f>SUMIFS(DF$5:DF516,$CT$5:$CT516,"="&amp;$CT516)</f>
        <v>10885</v>
      </c>
      <c r="DH516" s="14" t="s">
        <v>539</v>
      </c>
      <c r="DI516" s="14">
        <f>INDEX(属性投放!$BL$6:$BL$85,(CV516-2)*20+CZ516)</f>
        <v>375</v>
      </c>
      <c r="DJ516" s="14">
        <f>SUMIFS(DI$5:DI516,$CT$5:$CT516,"="&amp;$CT516)</f>
        <v>5452</v>
      </c>
      <c r="DK516" s="14" t="s">
        <v>540</v>
      </c>
      <c r="DL516" s="14">
        <f>INDEX(属性投放!$BM$6:$BM$85,(CV516-2)*20+CZ516)</f>
        <v>7500</v>
      </c>
      <c r="DM516" s="14">
        <f>SUMIFS(DL$5:DL516,$CT$5:$CT516,"="&amp;$CT516)</f>
        <v>104285</v>
      </c>
      <c r="DR516" s="14">
        <f t="shared" si="895"/>
        <v>1102028</v>
      </c>
      <c r="DS516" s="14" t="str">
        <f t="shared" si="896"/>
        <v>吕布12突</v>
      </c>
      <c r="DT516" s="14">
        <f t="shared" si="846"/>
        <v>8</v>
      </c>
      <c r="DU516" s="14">
        <f t="shared" si="847"/>
        <v>8</v>
      </c>
      <c r="DV516" s="14">
        <f t="shared" si="848"/>
        <v>7</v>
      </c>
      <c r="DW516" s="14">
        <f t="shared" si="897"/>
        <v>5</v>
      </c>
      <c r="DX516" s="14">
        <f t="shared" si="898"/>
        <v>12</v>
      </c>
      <c r="DY516" s="14">
        <f t="shared" si="899"/>
        <v>72</v>
      </c>
      <c r="DZ516" s="14">
        <f>INDEX(属性投放!$AX$6:$AX$85,(卡牌属性!DW516-2)*20+卡牌属性!DX516)</f>
        <v>7</v>
      </c>
      <c r="EA516" s="14">
        <f>INDEX(属性投放!BQ$6:BQ$85,卡牌属性!$DY516)</f>
        <v>425</v>
      </c>
      <c r="EB516" s="14">
        <f>INDEX(属性投放!BR$6:BR$85,卡牌属性!$DY516)</f>
        <v>213</v>
      </c>
      <c r="EC516" s="14">
        <f>INDEX(属性投放!BS$6:BS$85,卡牌属性!$DY516)</f>
        <v>3825</v>
      </c>
      <c r="ED516" s="14">
        <f t="shared" si="900"/>
        <v>3895</v>
      </c>
      <c r="EE516" s="14">
        <f t="shared" si="901"/>
        <v>4190</v>
      </c>
      <c r="EF516" s="14">
        <f t="shared" si="902"/>
        <v>4800</v>
      </c>
      <c r="EG516" s="14">
        <f t="shared" si="903"/>
        <v>4800</v>
      </c>
      <c r="EH516" s="14">
        <f t="shared" si="904"/>
        <v>5745</v>
      </c>
      <c r="EI516" s="14">
        <f t="shared" si="905"/>
        <v>1919</v>
      </c>
      <c r="EJ516" s="14">
        <f t="shared" si="906"/>
        <v>2060</v>
      </c>
      <c r="EK516" s="14">
        <f t="shared" si="907"/>
        <v>2060</v>
      </c>
      <c r="EL516" s="14">
        <f t="shared" si="908"/>
        <v>2387</v>
      </c>
      <c r="EM516" s="14">
        <f t="shared" si="909"/>
        <v>2884</v>
      </c>
      <c r="EN516" s="14">
        <f t="shared" si="910"/>
        <v>27288</v>
      </c>
      <c r="EO516" s="14">
        <f t="shared" si="911"/>
        <v>29167</v>
      </c>
      <c r="EP516" s="14">
        <f t="shared" si="912"/>
        <v>29167</v>
      </c>
      <c r="EQ516" s="14">
        <f t="shared" si="913"/>
        <v>31200</v>
      </c>
      <c r="ER516" s="14">
        <f t="shared" si="914"/>
        <v>35780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270</v>
      </c>
      <c r="FD516" s="14">
        <f>INDEX(属性偏向!$U$4:$U$243,(卡牌属性!$DV516-1+FD$3)*20+卡牌属性!$DX516)</f>
        <v>315</v>
      </c>
      <c r="FE516" s="14">
        <f>INDEX(属性偏向!$U$4:$U$243,(卡牌属性!$DV516-1+FE$3)*20+卡牌属性!$DX516)</f>
        <v>315</v>
      </c>
      <c r="FF516" s="14">
        <f>INDEX(属性偏向!$U$4:$U$243,(卡牌属性!$DV516-1+FF$3)*20+卡牌属性!$DX516)</f>
        <v>360</v>
      </c>
      <c r="FG516" s="14">
        <f>INDEX(属性偏向!$U$4:$U$243,(卡牌属性!$DV516-1+FG$3)*20+卡牌属性!$DX516)</f>
        <v>450</v>
      </c>
      <c r="FH516" s="14">
        <f>INDEX(属性投放!$BQ$6:$BQ$85,(卡牌属性!$DW516-2)*20+卡牌属性!$DX516)</f>
        <v>425</v>
      </c>
      <c r="FI516" s="14">
        <f>INDEX(属性投放!$BQ$6:$BQ$85,(卡牌属性!$DW516-2)*20+卡牌属性!$DX516)</f>
        <v>425</v>
      </c>
      <c r="FJ516" s="14">
        <f>INDEX(属性投放!$BQ$6:$BQ$85,(卡牌属性!$DW516-2)*20+卡牌属性!$DX516)</f>
        <v>425</v>
      </c>
      <c r="FK516" s="14">
        <f>INDEX(属性投放!$BQ$6:$BQ$85,(卡牌属性!$DW516-2)*20+卡牌属性!$DX516)</f>
        <v>425</v>
      </c>
      <c r="FL516" s="14">
        <f>INDEX(属性投放!$BQ$6:$BQ$85,(卡牌属性!$DW516-2)*20+卡牌属性!$DX516)</f>
        <v>425</v>
      </c>
      <c r="FM516" s="14">
        <f>INDEX(属性投放!$BR$6:$BR$85,(卡牌属性!$DW516-2)*20+卡牌属性!$DX516)</f>
        <v>213</v>
      </c>
      <c r="FN516" s="14">
        <f>INDEX(属性投放!$BR$6:$BR$85,(卡牌属性!$DW516-2)*20+卡牌属性!$DX516)</f>
        <v>213</v>
      </c>
      <c r="FO516" s="14">
        <f>INDEX(属性投放!$BR$6:$BR$85,(卡牌属性!$DW516-2)*20+卡牌属性!$DX516)</f>
        <v>213</v>
      </c>
      <c r="FP516" s="14">
        <f>INDEX(属性投放!$BR$6:$BR$85,(卡牌属性!$DW516-2)*20+卡牌属性!$DX516)</f>
        <v>213</v>
      </c>
      <c r="FQ516" s="14">
        <f>INDEX(属性投放!$BR$6:$BR$85,(卡牌属性!$DW516-2)*20+卡牌属性!$DX516)</f>
        <v>213</v>
      </c>
      <c r="FR516" s="14">
        <f>INDEX(属性投放!$BS$6:$BS$85,(卡牌属性!$DW516-2)*20+卡牌属性!$DX516)</f>
        <v>3825</v>
      </c>
      <c r="FS516" s="14">
        <f>INDEX(属性投放!$BS$6:$BS$85,(卡牌属性!$DW516-2)*20+卡牌属性!$DX516)</f>
        <v>3825</v>
      </c>
      <c r="FT516" s="14">
        <f>INDEX(属性投放!$BS$6:$BS$85,(卡牌属性!$DW516-2)*20+卡牌属性!$DX516)</f>
        <v>3825</v>
      </c>
      <c r="FU516" s="14">
        <f>INDEX(属性投放!$BS$6:$BS$85,(卡牌属性!$DW516-2)*20+卡牌属性!$DX516)</f>
        <v>3825</v>
      </c>
      <c r="FV516" s="14">
        <f>INDEX(属性投放!$BS$6:$BS$85,(卡牌属性!$DW516-2)*20+卡牌属性!$DX516)</f>
        <v>3825</v>
      </c>
    </row>
    <row r="517" spans="31:178" ht="16.5" x14ac:dyDescent="0.2">
      <c r="AE517" s="13">
        <v>513</v>
      </c>
      <c r="AF517" s="13">
        <f t="shared" si="854"/>
        <v>26</v>
      </c>
      <c r="AG517" s="13">
        <f t="shared" si="855"/>
        <v>4</v>
      </c>
      <c r="AH517" s="13"/>
      <c r="AI517" s="13"/>
      <c r="AJ517" s="14">
        <f t="shared" si="856"/>
        <v>1101997</v>
      </c>
      <c r="AK517" s="14" t="str">
        <f t="shared" si="857"/>
        <v>SSR寄灵人13突</v>
      </c>
      <c r="AL517" s="25" t="s">
        <v>142</v>
      </c>
      <c r="AM517" s="14">
        <v>1</v>
      </c>
      <c r="AN517" s="14">
        <f t="shared" si="858"/>
        <v>13</v>
      </c>
      <c r="AO517" s="14">
        <f>INDEX(属性投放!$DF$6:$DF$85,(卡牌属性!AG517-2)*20+卡牌属性!AN517)</f>
        <v>7039</v>
      </c>
      <c r="AP517" s="14">
        <f t="shared" si="859"/>
        <v>7039</v>
      </c>
      <c r="AQ517" s="14">
        <f t="shared" si="859"/>
        <v>7039</v>
      </c>
      <c r="AR517" s="14">
        <f t="shared" si="859"/>
        <v>7039</v>
      </c>
      <c r="AS517" s="14">
        <f t="shared" si="859"/>
        <v>7039</v>
      </c>
      <c r="AT517" s="14">
        <f>INDEX(属性投放!$DG$6:$DG$85,(卡牌属性!AG517-2)*20+卡牌属性!AN517)</f>
        <v>3449</v>
      </c>
      <c r="AU517" s="14">
        <f t="shared" si="860"/>
        <v>3449</v>
      </c>
      <c r="AV517" s="14">
        <f t="shared" si="860"/>
        <v>3449</v>
      </c>
      <c r="AW517" s="14">
        <f t="shared" si="860"/>
        <v>3449</v>
      </c>
      <c r="AX517" s="14">
        <f t="shared" si="860"/>
        <v>3449</v>
      </c>
      <c r="AY517" s="14">
        <f>INDEX(属性投放!$DH$6:$DH$85,(卡牌属性!AG517-2)*20+卡牌属性!AN517)</f>
        <v>56653</v>
      </c>
      <c r="AZ517" s="14">
        <f t="shared" si="861"/>
        <v>56653</v>
      </c>
      <c r="BA517" s="14">
        <f t="shared" si="861"/>
        <v>56653</v>
      </c>
      <c r="BB517" s="14">
        <f t="shared" si="861"/>
        <v>56653</v>
      </c>
      <c r="BC517" s="14">
        <f t="shared" si="861"/>
        <v>56653</v>
      </c>
      <c r="BD517" s="14">
        <f>INDEX(属性投放!$DL$6:$DL$85,(卡牌属性!AG517-2)*20+卡牌属性!AN517)</f>
        <v>203</v>
      </c>
      <c r="BE517" s="14">
        <f t="shared" si="862"/>
        <v>203</v>
      </c>
      <c r="BF517" s="14">
        <f t="shared" si="862"/>
        <v>203</v>
      </c>
      <c r="BG517" s="14">
        <f t="shared" si="862"/>
        <v>203</v>
      </c>
      <c r="BH517" s="14">
        <f t="shared" si="862"/>
        <v>203</v>
      </c>
      <c r="BI517" s="14">
        <f>INDEX(属性投放!$DM$6:$DM$85,(卡牌属性!AG517-2)*20+卡牌属性!AN517)</f>
        <v>101</v>
      </c>
      <c r="BJ517" s="14">
        <f t="shared" si="863"/>
        <v>101</v>
      </c>
      <c r="BK517" s="14">
        <f t="shared" si="863"/>
        <v>101</v>
      </c>
      <c r="BL517" s="14">
        <f t="shared" si="863"/>
        <v>101</v>
      </c>
      <c r="BM517" s="14">
        <f t="shared" si="863"/>
        <v>101</v>
      </c>
      <c r="BN517" s="14">
        <f>INDEX(属性投放!$DN$6:$DN$85,(卡牌属性!AG517-2)*20+卡牌属性!AN517)</f>
        <v>2027</v>
      </c>
      <c r="BO517" s="14">
        <f t="shared" si="864"/>
        <v>2027</v>
      </c>
      <c r="BP517" s="14">
        <f t="shared" si="864"/>
        <v>2027</v>
      </c>
      <c r="BQ517" s="14">
        <f t="shared" si="864"/>
        <v>2027</v>
      </c>
      <c r="BR517" s="14">
        <f t="shared" si="864"/>
        <v>2027</v>
      </c>
      <c r="BW517" s="13">
        <v>513</v>
      </c>
      <c r="BX517" s="13">
        <f t="shared" ref="BX517:BX564" si="915">MATCH(BW517-1,$S$5:$S$43,1)</f>
        <v>26</v>
      </c>
      <c r="BY517" s="14">
        <f t="shared" ref="BY517:BY564" si="916">INDEX($Q$6:$Q$43,BX517)</f>
        <v>5</v>
      </c>
      <c r="BZ517" s="14">
        <f t="shared" si="840"/>
        <v>1102028</v>
      </c>
      <c r="CA517" s="14" t="str">
        <f t="shared" si="841"/>
        <v>吕布13突</v>
      </c>
      <c r="CB517" s="25" t="s">
        <v>142</v>
      </c>
      <c r="CC517" s="14">
        <v>2</v>
      </c>
      <c r="CD517" s="14">
        <f t="shared" ref="CD517:CD580" si="917">BW517-INDEX($S$5:$S$43,BX517)</f>
        <v>13</v>
      </c>
      <c r="CE517" s="14" t="s">
        <v>21</v>
      </c>
      <c r="CF517" s="14">
        <f>INDEX(属性投放!$AZ$6:$AZ$85,(BY517-2)*20+CD517)</f>
        <v>8194</v>
      </c>
      <c r="CG517" s="14" t="s">
        <v>22</v>
      </c>
      <c r="CH517" s="14">
        <f>INDEX(属性投放!$BA$6:$BA$85,(BY517-2)*20+CD517)</f>
        <v>4015</v>
      </c>
      <c r="CI517" s="14" t="s">
        <v>510</v>
      </c>
      <c r="CJ517" s="14">
        <f>INDEX(属性投放!$BB$6:$BB$85,(BY517-2)*20+CD517)</f>
        <v>64947</v>
      </c>
      <c r="CK517" s="14" t="s">
        <v>21</v>
      </c>
      <c r="CL517" s="14">
        <f>INDEX(属性投放!$BC$6:$BC$85,(BY517-2)*20+CD517)</f>
        <v>50</v>
      </c>
      <c r="CM517" s="14" t="s">
        <v>22</v>
      </c>
      <c r="CN517" s="14">
        <f>INDEX(属性投放!$BD$6:$BD$85,(BY517-2)*20+CD517)</f>
        <v>25</v>
      </c>
      <c r="CO517" s="14" t="s">
        <v>510</v>
      </c>
      <c r="CP517" s="14">
        <f>INDEX(属性投放!$BE$6:$BE$85,(BY517-2)*20+CD517)</f>
        <v>500</v>
      </c>
      <c r="CS517" s="13">
        <v>513</v>
      </c>
      <c r="CT517" s="13">
        <f t="shared" si="842"/>
        <v>10</v>
      </c>
      <c r="CU517" s="13">
        <f t="shared" si="843"/>
        <v>45</v>
      </c>
      <c r="CV517" s="14">
        <f t="shared" si="844"/>
        <v>4</v>
      </c>
      <c r="CW517" s="14">
        <f t="shared" si="845"/>
        <v>1102010</v>
      </c>
      <c r="CX517" s="14" t="str">
        <f>INDEX($O$6:$O$50,CT517)&amp;"-"&amp;INDEX(属性投放!$AB$7:$AB$50,CZ517)&amp;"-魂火-"&amp;DB517</f>
        <v>张郃-大焦热+2-魂火-3</v>
      </c>
      <c r="CY517" s="25" t="s">
        <v>142</v>
      </c>
      <c r="CZ517" s="14">
        <f>INDEX(属性投放!$AM$7:$AM$58,CU517)</f>
        <v>18</v>
      </c>
      <c r="DA517" s="14" t="s">
        <v>537</v>
      </c>
      <c r="DB517" s="14">
        <f>INDEX(属性投放!$AN$7:$AN$58,CU517)</f>
        <v>3</v>
      </c>
      <c r="DC517" s="14">
        <f t="shared" ref="DC517:DC580" si="918">CU517</f>
        <v>45</v>
      </c>
      <c r="DD517" s="14">
        <f>INDEX(属性投放!$AO$7:$AO$58,DC517)</f>
        <v>130</v>
      </c>
      <c r="DE517" s="14" t="s">
        <v>538</v>
      </c>
      <c r="DF517" s="14">
        <f>INDEX(属性投放!$BK$6:$BK$85,(CV517-2)*20+CZ517)</f>
        <v>750</v>
      </c>
      <c r="DG517" s="14">
        <f>SUMIFS(DF$5:DF517,$CT$5:$CT517,"="&amp;$CT517)</f>
        <v>11635</v>
      </c>
      <c r="DH517" s="14" t="s">
        <v>539</v>
      </c>
      <c r="DI517" s="14">
        <f>INDEX(属性投放!$BL$6:$BL$85,(CV517-2)*20+CZ517)</f>
        <v>375</v>
      </c>
      <c r="DJ517" s="14">
        <f>SUMIFS(DI$5:DI517,$CT$5:$CT517,"="&amp;$CT517)</f>
        <v>5827</v>
      </c>
      <c r="DK517" s="14" t="s">
        <v>540</v>
      </c>
      <c r="DL517" s="14">
        <f>INDEX(属性投放!$BM$6:$BM$85,(CV517-2)*20+CZ517)</f>
        <v>7500</v>
      </c>
      <c r="DM517" s="14">
        <f>SUMIFS(DL$5:DL517,$CT$5:$CT517,"="&amp;$CT517)</f>
        <v>111785</v>
      </c>
      <c r="DR517" s="14">
        <f t="shared" si="895"/>
        <v>1102028</v>
      </c>
      <c r="DS517" s="14" t="str">
        <f t="shared" si="896"/>
        <v>吕布13突</v>
      </c>
      <c r="DT517" s="14">
        <f t="shared" si="846"/>
        <v>8</v>
      </c>
      <c r="DU517" s="14">
        <f t="shared" si="847"/>
        <v>8</v>
      </c>
      <c r="DV517" s="14">
        <f t="shared" si="848"/>
        <v>7</v>
      </c>
      <c r="DW517" s="14">
        <f t="shared" si="897"/>
        <v>5</v>
      </c>
      <c r="DX517" s="14">
        <f t="shared" si="898"/>
        <v>13</v>
      </c>
      <c r="DY517" s="14">
        <f t="shared" si="899"/>
        <v>73</v>
      </c>
      <c r="DZ517" s="14">
        <f>INDEX(属性投放!$AX$6:$AX$85,(卡牌属性!DW517-2)*20+卡牌属性!DX517)</f>
        <v>8</v>
      </c>
      <c r="EA517" s="14">
        <f>INDEX(属性投放!BQ$6:BQ$85,卡牌属性!$DY517)</f>
        <v>475</v>
      </c>
      <c r="EB517" s="14">
        <f>INDEX(属性投放!BR$6:BR$85,卡牌属性!$DY517)</f>
        <v>238</v>
      </c>
      <c r="EC517" s="14">
        <f>INDEX(属性投放!BS$6:BS$85,卡牌属性!$DY517)</f>
        <v>4750</v>
      </c>
      <c r="ED517" s="14">
        <f t="shared" si="900"/>
        <v>4565</v>
      </c>
      <c r="EE517" s="14">
        <f t="shared" si="901"/>
        <v>4895</v>
      </c>
      <c r="EF517" s="14">
        <f t="shared" si="902"/>
        <v>5575</v>
      </c>
      <c r="EG517" s="14">
        <f t="shared" si="903"/>
        <v>5575</v>
      </c>
      <c r="EH517" s="14">
        <f t="shared" si="904"/>
        <v>6695</v>
      </c>
      <c r="EI517" s="14">
        <f t="shared" si="905"/>
        <v>2258</v>
      </c>
      <c r="EJ517" s="14">
        <f t="shared" si="906"/>
        <v>2413</v>
      </c>
      <c r="EK517" s="14">
        <f t="shared" si="907"/>
        <v>2413</v>
      </c>
      <c r="EL517" s="14">
        <f t="shared" si="908"/>
        <v>2775</v>
      </c>
      <c r="EM517" s="14">
        <f t="shared" si="909"/>
        <v>3363</v>
      </c>
      <c r="EN517" s="14">
        <f t="shared" si="910"/>
        <v>33003</v>
      </c>
      <c r="EO517" s="14">
        <f t="shared" si="911"/>
        <v>35197</v>
      </c>
      <c r="EP517" s="14">
        <f t="shared" si="912"/>
        <v>35197</v>
      </c>
      <c r="EQ517" s="14">
        <f t="shared" si="913"/>
        <v>37545</v>
      </c>
      <c r="ER517" s="14">
        <f t="shared" si="914"/>
        <v>42755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INDEX(属性投放!$BQ$6:$BQ$85,(卡牌属性!$DW517-2)*20+卡牌属性!$DX517)</f>
        <v>475</v>
      </c>
      <c r="FI517" s="14">
        <f>INDEX(属性投放!$BQ$6:$BQ$85,(卡牌属性!$DW517-2)*20+卡牌属性!$DX517)</f>
        <v>475</v>
      </c>
      <c r="FJ517" s="14">
        <f>INDEX(属性投放!$BQ$6:$BQ$85,(卡牌属性!$DW517-2)*20+卡牌属性!$DX517)</f>
        <v>475</v>
      </c>
      <c r="FK517" s="14">
        <f>INDEX(属性投放!$BQ$6:$BQ$85,(卡牌属性!$DW517-2)*20+卡牌属性!$DX517)</f>
        <v>475</v>
      </c>
      <c r="FL517" s="14">
        <f>INDEX(属性投放!$BQ$6:$BQ$85,(卡牌属性!$DW517-2)*20+卡牌属性!$DX517)</f>
        <v>475</v>
      </c>
      <c r="FM517" s="14">
        <f>INDEX(属性投放!$BR$6:$BR$85,(卡牌属性!$DW517-2)*20+卡牌属性!$DX517)</f>
        <v>238</v>
      </c>
      <c r="FN517" s="14">
        <f>INDEX(属性投放!$BR$6:$BR$85,(卡牌属性!$DW517-2)*20+卡牌属性!$DX517)</f>
        <v>238</v>
      </c>
      <c r="FO517" s="14">
        <f>INDEX(属性投放!$BR$6:$BR$85,(卡牌属性!$DW517-2)*20+卡牌属性!$DX517)</f>
        <v>238</v>
      </c>
      <c r="FP517" s="14">
        <f>INDEX(属性投放!$BR$6:$BR$85,(卡牌属性!$DW517-2)*20+卡牌属性!$DX517)</f>
        <v>238</v>
      </c>
      <c r="FQ517" s="14">
        <f>INDEX(属性投放!$BR$6:$BR$85,(卡牌属性!$DW517-2)*20+卡牌属性!$DX517)</f>
        <v>238</v>
      </c>
      <c r="FR517" s="14">
        <f>INDEX(属性投放!$BS$6:$BS$85,(卡牌属性!$DW517-2)*20+卡牌属性!$DX517)</f>
        <v>4750</v>
      </c>
      <c r="FS517" s="14">
        <f>INDEX(属性投放!$BS$6:$BS$85,(卡牌属性!$DW517-2)*20+卡牌属性!$DX517)</f>
        <v>4750</v>
      </c>
      <c r="FT517" s="14">
        <f>INDEX(属性投放!$BS$6:$BS$85,(卡牌属性!$DW517-2)*20+卡牌属性!$DX517)</f>
        <v>4750</v>
      </c>
      <c r="FU517" s="14">
        <f>INDEX(属性投放!$BS$6:$BS$85,(卡牌属性!$DW517-2)*20+卡牌属性!$DX517)</f>
        <v>4750</v>
      </c>
      <c r="FV517" s="14">
        <f>INDEX(属性投放!$BS$6:$BS$85,(卡牌属性!$DW517-2)*20+卡牌属性!$DX517)</f>
        <v>4750</v>
      </c>
    </row>
    <row r="518" spans="31:178" ht="16.5" x14ac:dyDescent="0.2">
      <c r="AE518" s="13">
        <v>514</v>
      </c>
      <c r="AF518" s="13">
        <f t="shared" si="854"/>
        <v>26</v>
      </c>
      <c r="AG518" s="13">
        <f t="shared" si="855"/>
        <v>4</v>
      </c>
      <c r="AH518" s="13"/>
      <c r="AI518" s="13"/>
      <c r="AJ518" s="14">
        <f t="shared" si="856"/>
        <v>1101997</v>
      </c>
      <c r="AK518" s="14" t="str">
        <f t="shared" si="857"/>
        <v>SSR寄灵人14突</v>
      </c>
      <c r="AL518" s="25" t="s">
        <v>142</v>
      </c>
      <c r="AM518" s="14">
        <v>1</v>
      </c>
      <c r="AN518" s="14">
        <f t="shared" si="858"/>
        <v>14</v>
      </c>
      <c r="AO518" s="14">
        <f>INDEX(属性投放!$DF$6:$DF$85,(卡牌属性!AG518-2)*20+卡牌属性!AN518)</f>
        <v>7618</v>
      </c>
      <c r="AP518" s="14">
        <f t="shared" si="859"/>
        <v>7618</v>
      </c>
      <c r="AQ518" s="14">
        <f t="shared" si="859"/>
        <v>7618</v>
      </c>
      <c r="AR518" s="14">
        <f t="shared" si="859"/>
        <v>7618</v>
      </c>
      <c r="AS518" s="14">
        <f t="shared" si="859"/>
        <v>7618</v>
      </c>
      <c r="AT518" s="14">
        <f>INDEX(属性投放!$DG$6:$DG$85,(卡牌属性!AG518-2)*20+卡牌属性!AN518)</f>
        <v>3739</v>
      </c>
      <c r="AU518" s="14">
        <f t="shared" si="860"/>
        <v>3739</v>
      </c>
      <c r="AV518" s="14">
        <f t="shared" si="860"/>
        <v>3739</v>
      </c>
      <c r="AW518" s="14">
        <f t="shared" si="860"/>
        <v>3739</v>
      </c>
      <c r="AX518" s="14">
        <f t="shared" si="860"/>
        <v>3739</v>
      </c>
      <c r="AY518" s="14">
        <f>INDEX(属性投放!$DH$6:$DH$85,(卡牌属性!AG518-2)*20+卡牌属性!AN518)</f>
        <v>62443</v>
      </c>
      <c r="AZ518" s="14">
        <f t="shared" si="861"/>
        <v>62443</v>
      </c>
      <c r="BA518" s="14">
        <f t="shared" si="861"/>
        <v>62443</v>
      </c>
      <c r="BB518" s="14">
        <f t="shared" si="861"/>
        <v>62443</v>
      </c>
      <c r="BC518" s="14">
        <f t="shared" si="861"/>
        <v>62443</v>
      </c>
      <c r="BD518" s="14">
        <f>INDEX(属性投放!$DL$6:$DL$85,(卡牌属性!AG518-2)*20+卡牌属性!AN518)</f>
        <v>203</v>
      </c>
      <c r="BE518" s="14">
        <f t="shared" si="862"/>
        <v>203</v>
      </c>
      <c r="BF518" s="14">
        <f t="shared" si="862"/>
        <v>203</v>
      </c>
      <c r="BG518" s="14">
        <f t="shared" si="862"/>
        <v>203</v>
      </c>
      <c r="BH518" s="14">
        <f t="shared" si="862"/>
        <v>203</v>
      </c>
      <c r="BI518" s="14">
        <f>INDEX(属性投放!$DM$6:$DM$85,(卡牌属性!AG518-2)*20+卡牌属性!AN518)</f>
        <v>101</v>
      </c>
      <c r="BJ518" s="14">
        <f t="shared" si="863"/>
        <v>101</v>
      </c>
      <c r="BK518" s="14">
        <f t="shared" si="863"/>
        <v>101</v>
      </c>
      <c r="BL518" s="14">
        <f t="shared" si="863"/>
        <v>101</v>
      </c>
      <c r="BM518" s="14">
        <f t="shared" si="863"/>
        <v>101</v>
      </c>
      <c r="BN518" s="14">
        <f>INDEX(属性投放!$DN$6:$DN$85,(卡牌属性!AG518-2)*20+卡牌属性!AN518)</f>
        <v>2027</v>
      </c>
      <c r="BO518" s="14">
        <f t="shared" si="864"/>
        <v>2027</v>
      </c>
      <c r="BP518" s="14">
        <f t="shared" si="864"/>
        <v>2027</v>
      </c>
      <c r="BQ518" s="14">
        <f t="shared" si="864"/>
        <v>2027</v>
      </c>
      <c r="BR518" s="14">
        <f t="shared" si="864"/>
        <v>2027</v>
      </c>
      <c r="BW518" s="13">
        <v>514</v>
      </c>
      <c r="BX518" s="13">
        <f t="shared" si="915"/>
        <v>26</v>
      </c>
      <c r="BY518" s="14">
        <f t="shared" si="916"/>
        <v>5</v>
      </c>
      <c r="BZ518" s="14">
        <f t="shared" ref="BZ518:BZ581" si="919">INDEX($N$6:$N$43,BX518)</f>
        <v>1102028</v>
      </c>
      <c r="CA518" s="14" t="str">
        <f t="shared" ref="CA518:CA581" si="920">INDEX($O$6:$O$43,BX518)&amp;CD518&amp;"突"</f>
        <v>吕布14突</v>
      </c>
      <c r="CB518" s="25" t="s">
        <v>142</v>
      </c>
      <c r="CC518" s="14">
        <v>2</v>
      </c>
      <c r="CD518" s="14">
        <f t="shared" si="917"/>
        <v>14</v>
      </c>
      <c r="CE518" s="14" t="s">
        <v>21</v>
      </c>
      <c r="CF518" s="14">
        <f>INDEX(属性投放!$AZ$6:$AZ$85,(BY518-2)*20+CD518)</f>
        <v>10014</v>
      </c>
      <c r="CG518" s="14" t="s">
        <v>22</v>
      </c>
      <c r="CH518" s="14">
        <f>INDEX(属性投放!$BA$6:$BA$85,(BY518-2)*20+CD518)</f>
        <v>4927</v>
      </c>
      <c r="CI518" s="14" t="s">
        <v>510</v>
      </c>
      <c r="CJ518" s="14">
        <f>INDEX(属性投放!$BB$6:$BB$85,(BY518-2)*20+CD518)</f>
        <v>83147</v>
      </c>
      <c r="CK518" s="14" t="s">
        <v>21</v>
      </c>
      <c r="CL518" s="14">
        <f>INDEX(属性投放!$BC$6:$BC$85,(BY518-2)*20+CD518)</f>
        <v>50</v>
      </c>
      <c r="CM518" s="14" t="s">
        <v>22</v>
      </c>
      <c r="CN518" s="14">
        <f>INDEX(属性投放!$BD$6:$BD$85,(BY518-2)*20+CD518)</f>
        <v>25</v>
      </c>
      <c r="CO518" s="14" t="s">
        <v>510</v>
      </c>
      <c r="CP518" s="14">
        <f>INDEX(属性投放!$BE$6:$BE$85,(BY518-2)*20+CD518)</f>
        <v>500</v>
      </c>
      <c r="CS518" s="13">
        <v>514</v>
      </c>
      <c r="CT518" s="13">
        <f t="shared" ref="CT518:CT581" si="921">MATCH(CS518-1,$U$5:$U$36,1)</f>
        <v>10</v>
      </c>
      <c r="CU518" s="13">
        <f t="shared" ref="CU518:CU581" si="922">CS518-(CT518-1)*52</f>
        <v>46</v>
      </c>
      <c r="CV518" s="14">
        <f t="shared" ref="CV518:CV581" si="923">INDEX($Q$6:$Q$50,CT518)</f>
        <v>4</v>
      </c>
      <c r="CW518" s="14">
        <f t="shared" ref="CW518:CW581" si="924">INDEX($N$6:$N$50,CT518)</f>
        <v>1102010</v>
      </c>
      <c r="CX518" s="14" t="str">
        <f>INDEX($O$6:$O$50,CT518)&amp;"-"&amp;INDEX(属性投放!$AB$7:$AB$50,CZ518)&amp;"-魂火-"&amp;DB518</f>
        <v>张郃-无间-魂火-1</v>
      </c>
      <c r="CY518" s="25" t="s">
        <v>142</v>
      </c>
      <c r="CZ518" s="14">
        <f>INDEX(属性投放!$AM$7:$AM$58,CU518)</f>
        <v>19</v>
      </c>
      <c r="DA518" s="14" t="s">
        <v>537</v>
      </c>
      <c r="DB518" s="14">
        <f>INDEX(属性投放!$AN$7:$AN$58,CU518)</f>
        <v>1</v>
      </c>
      <c r="DC518" s="14">
        <f t="shared" si="918"/>
        <v>46</v>
      </c>
      <c r="DD518" s="14">
        <f>INDEX(属性投放!$AO$7:$AO$58,DC518)</f>
        <v>133</v>
      </c>
      <c r="DE518" s="14" t="s">
        <v>538</v>
      </c>
      <c r="DF518" s="14">
        <f>INDEX(属性投放!$BK$6:$BK$85,(CV518-2)*20+CZ518)</f>
        <v>900</v>
      </c>
      <c r="DG518" s="14">
        <f>SUMIFS(DF$5:DF518,$CT$5:$CT518,"="&amp;$CT518)</f>
        <v>12535</v>
      </c>
      <c r="DH518" s="14" t="s">
        <v>539</v>
      </c>
      <c r="DI518" s="14">
        <f>INDEX(属性投放!$BL$6:$BL$85,(CV518-2)*20+CZ518)</f>
        <v>450</v>
      </c>
      <c r="DJ518" s="14">
        <f>SUMIFS(DI$5:DI518,$CT$5:$CT518,"="&amp;$CT518)</f>
        <v>6277</v>
      </c>
      <c r="DK518" s="14" t="s">
        <v>540</v>
      </c>
      <c r="DL518" s="14">
        <f>INDEX(属性投放!$BM$6:$BM$85,(CV518-2)*20+CZ518)</f>
        <v>9000</v>
      </c>
      <c r="DM518" s="14">
        <f>SUMIFS(DL$5:DL518,$CT$5:$CT518,"="&amp;$CT518)</f>
        <v>120785</v>
      </c>
      <c r="DR518" s="14">
        <f t="shared" si="895"/>
        <v>1102028</v>
      </c>
      <c r="DS518" s="14" t="str">
        <f t="shared" si="896"/>
        <v>吕布14突</v>
      </c>
      <c r="DT518" s="14">
        <f t="shared" ref="DT518:DT581" si="925">INDEX(Y$6:Y$43,$BX518)</f>
        <v>8</v>
      </c>
      <c r="DU518" s="14">
        <f t="shared" ref="DU518:DU581" si="926">INDEX(Z$6:Z$43,$BX518)</f>
        <v>8</v>
      </c>
      <c r="DV518" s="14">
        <f t="shared" ref="DV518:DV581" si="927">INDEX(AA$6:AA$43,$BX518)</f>
        <v>7</v>
      </c>
      <c r="DW518" s="14">
        <f t="shared" si="897"/>
        <v>5</v>
      </c>
      <c r="DX518" s="14">
        <f t="shared" si="898"/>
        <v>14</v>
      </c>
      <c r="DY518" s="14">
        <f t="shared" si="899"/>
        <v>74</v>
      </c>
      <c r="DZ518" s="14">
        <f>INDEX(属性投放!$AX$6:$AX$85,(卡牌属性!DW518-2)*20+卡牌属性!DX518)</f>
        <v>7</v>
      </c>
      <c r="EA518" s="14">
        <f>INDEX(属性投放!BQ$6:BQ$85,卡牌属性!$DY518)</f>
        <v>520</v>
      </c>
      <c r="EB518" s="14">
        <f>INDEX(属性投放!BR$6:BR$85,卡牌属性!$DY518)</f>
        <v>260</v>
      </c>
      <c r="EC518" s="14">
        <f>INDEX(属性投放!BS$6:BS$85,卡牌属性!$DY518)</f>
        <v>5200</v>
      </c>
      <c r="ED518" s="14">
        <f t="shared" si="900"/>
        <v>5400</v>
      </c>
      <c r="EE518" s="14">
        <f t="shared" si="901"/>
        <v>5770</v>
      </c>
      <c r="EF518" s="14">
        <f t="shared" si="902"/>
        <v>6650</v>
      </c>
      <c r="EG518" s="14">
        <f t="shared" si="903"/>
        <v>6650</v>
      </c>
      <c r="EH518" s="14">
        <f t="shared" si="904"/>
        <v>7970</v>
      </c>
      <c r="EI518" s="14">
        <f t="shared" si="905"/>
        <v>2680</v>
      </c>
      <c r="EJ518" s="14">
        <f t="shared" si="906"/>
        <v>2851</v>
      </c>
      <c r="EK518" s="14">
        <f t="shared" si="907"/>
        <v>2851</v>
      </c>
      <c r="EL518" s="14">
        <f t="shared" si="908"/>
        <v>3317</v>
      </c>
      <c r="EM518" s="14">
        <f t="shared" si="909"/>
        <v>4001</v>
      </c>
      <c r="EN518" s="14">
        <f t="shared" si="910"/>
        <v>40953</v>
      </c>
      <c r="EO518" s="14">
        <f t="shared" si="911"/>
        <v>43547</v>
      </c>
      <c r="EP518" s="14">
        <f t="shared" si="912"/>
        <v>43547</v>
      </c>
      <c r="EQ518" s="14">
        <f t="shared" si="913"/>
        <v>46295</v>
      </c>
      <c r="ER518" s="14">
        <f t="shared" si="914"/>
        <v>53505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INDEX(属性投放!$BQ$6:$BQ$85,(卡牌属性!$DW518-2)*20+卡牌属性!$DX518)</f>
        <v>520</v>
      </c>
      <c r="FI518" s="14">
        <f>INDEX(属性投放!$BQ$6:$BQ$85,(卡牌属性!$DW518-2)*20+卡牌属性!$DX518)</f>
        <v>520</v>
      </c>
      <c r="FJ518" s="14">
        <f>INDEX(属性投放!$BQ$6:$BQ$85,(卡牌属性!$DW518-2)*20+卡牌属性!$DX518)</f>
        <v>520</v>
      </c>
      <c r="FK518" s="14">
        <f>INDEX(属性投放!$BQ$6:$BQ$85,(卡牌属性!$DW518-2)*20+卡牌属性!$DX518)</f>
        <v>520</v>
      </c>
      <c r="FL518" s="14">
        <f>INDEX(属性投放!$BQ$6:$BQ$85,(卡牌属性!$DW518-2)*20+卡牌属性!$DX518)</f>
        <v>520</v>
      </c>
      <c r="FM518" s="14">
        <f>INDEX(属性投放!$BR$6:$BR$85,(卡牌属性!$DW518-2)*20+卡牌属性!$DX518)</f>
        <v>260</v>
      </c>
      <c r="FN518" s="14">
        <f>INDEX(属性投放!$BR$6:$BR$85,(卡牌属性!$DW518-2)*20+卡牌属性!$DX518)</f>
        <v>260</v>
      </c>
      <c r="FO518" s="14">
        <f>INDEX(属性投放!$BR$6:$BR$85,(卡牌属性!$DW518-2)*20+卡牌属性!$DX518)</f>
        <v>260</v>
      </c>
      <c r="FP518" s="14">
        <f>INDEX(属性投放!$BR$6:$BR$85,(卡牌属性!$DW518-2)*20+卡牌属性!$DX518)</f>
        <v>260</v>
      </c>
      <c r="FQ518" s="14">
        <f>INDEX(属性投放!$BR$6:$BR$85,(卡牌属性!$DW518-2)*20+卡牌属性!$DX518)</f>
        <v>260</v>
      </c>
      <c r="FR518" s="14">
        <f>INDEX(属性投放!$BS$6:$BS$85,(卡牌属性!$DW518-2)*20+卡牌属性!$DX518)</f>
        <v>5200</v>
      </c>
      <c r="FS518" s="14">
        <f>INDEX(属性投放!$BS$6:$BS$85,(卡牌属性!$DW518-2)*20+卡牌属性!$DX518)</f>
        <v>5200</v>
      </c>
      <c r="FT518" s="14">
        <f>INDEX(属性投放!$BS$6:$BS$85,(卡牌属性!$DW518-2)*20+卡牌属性!$DX518)</f>
        <v>5200</v>
      </c>
      <c r="FU518" s="14">
        <f>INDEX(属性投放!$BS$6:$BS$85,(卡牌属性!$DW518-2)*20+卡牌属性!$DX518)</f>
        <v>5200</v>
      </c>
      <c r="FV518" s="14">
        <f>INDEX(属性投放!$BS$6:$BS$85,(卡牌属性!$DW518-2)*20+卡牌属性!$DX518)</f>
        <v>5200</v>
      </c>
    </row>
    <row r="519" spans="31:178" ht="16.5" x14ac:dyDescent="0.2">
      <c r="AE519" s="13">
        <v>515</v>
      </c>
      <c r="AF519" s="13">
        <f t="shared" si="854"/>
        <v>26</v>
      </c>
      <c r="AG519" s="13">
        <f t="shared" si="855"/>
        <v>4</v>
      </c>
      <c r="AH519" s="13"/>
      <c r="AI519" s="13"/>
      <c r="AJ519" s="14">
        <f t="shared" si="856"/>
        <v>1101997</v>
      </c>
      <c r="AK519" s="14" t="str">
        <f t="shared" si="857"/>
        <v>SSR寄灵人15突</v>
      </c>
      <c r="AL519" s="25" t="s">
        <v>142</v>
      </c>
      <c r="AM519" s="14">
        <v>1</v>
      </c>
      <c r="AN519" s="14">
        <f t="shared" si="858"/>
        <v>15</v>
      </c>
      <c r="AO519" s="14">
        <f>INDEX(属性投放!$DF$6:$DF$85,(卡牌属性!AG519-2)*20+卡牌属性!AN519)</f>
        <v>8197</v>
      </c>
      <c r="AP519" s="14">
        <f t="shared" si="859"/>
        <v>8197</v>
      </c>
      <c r="AQ519" s="14">
        <f t="shared" si="859"/>
        <v>8197</v>
      </c>
      <c r="AR519" s="14">
        <f t="shared" si="859"/>
        <v>8197</v>
      </c>
      <c r="AS519" s="14">
        <f t="shared" si="859"/>
        <v>8197</v>
      </c>
      <c r="AT519" s="14">
        <f>INDEX(属性投放!$DG$6:$DG$85,(卡牌属性!AG519-2)*20+卡牌属性!AN519)</f>
        <v>4029</v>
      </c>
      <c r="AU519" s="14">
        <f t="shared" si="860"/>
        <v>4029</v>
      </c>
      <c r="AV519" s="14">
        <f t="shared" si="860"/>
        <v>4029</v>
      </c>
      <c r="AW519" s="14">
        <f t="shared" si="860"/>
        <v>4029</v>
      </c>
      <c r="AX519" s="14">
        <f t="shared" si="860"/>
        <v>4029</v>
      </c>
      <c r="AY519" s="14">
        <f>INDEX(属性投放!$DH$6:$DH$85,(卡牌属性!AG519-2)*20+卡牌属性!AN519)</f>
        <v>68233</v>
      </c>
      <c r="AZ519" s="14">
        <f t="shared" si="861"/>
        <v>68233</v>
      </c>
      <c r="BA519" s="14">
        <f t="shared" si="861"/>
        <v>68233</v>
      </c>
      <c r="BB519" s="14">
        <f t="shared" si="861"/>
        <v>68233</v>
      </c>
      <c r="BC519" s="14">
        <f t="shared" si="861"/>
        <v>68233</v>
      </c>
      <c r="BD519" s="14">
        <f>INDEX(属性投放!$DL$6:$DL$85,(卡牌属性!AG519-2)*20+卡牌属性!AN519)</f>
        <v>203</v>
      </c>
      <c r="BE519" s="14">
        <f t="shared" si="862"/>
        <v>203</v>
      </c>
      <c r="BF519" s="14">
        <f t="shared" si="862"/>
        <v>203</v>
      </c>
      <c r="BG519" s="14">
        <f t="shared" si="862"/>
        <v>203</v>
      </c>
      <c r="BH519" s="14">
        <f t="shared" si="862"/>
        <v>203</v>
      </c>
      <c r="BI519" s="14">
        <f>INDEX(属性投放!$DM$6:$DM$85,(卡牌属性!AG519-2)*20+卡牌属性!AN519)</f>
        <v>101</v>
      </c>
      <c r="BJ519" s="14">
        <f t="shared" si="863"/>
        <v>101</v>
      </c>
      <c r="BK519" s="14">
        <f t="shared" si="863"/>
        <v>101</v>
      </c>
      <c r="BL519" s="14">
        <f t="shared" si="863"/>
        <v>101</v>
      </c>
      <c r="BM519" s="14">
        <f t="shared" si="863"/>
        <v>101</v>
      </c>
      <c r="BN519" s="14">
        <f>INDEX(属性投放!$DN$6:$DN$85,(卡牌属性!AG519-2)*20+卡牌属性!AN519)</f>
        <v>2027</v>
      </c>
      <c r="BO519" s="14">
        <f t="shared" si="864"/>
        <v>2027</v>
      </c>
      <c r="BP519" s="14">
        <f t="shared" si="864"/>
        <v>2027</v>
      </c>
      <c r="BQ519" s="14">
        <f t="shared" si="864"/>
        <v>2027</v>
      </c>
      <c r="BR519" s="14">
        <f t="shared" si="864"/>
        <v>2027</v>
      </c>
      <c r="BW519" s="13">
        <v>515</v>
      </c>
      <c r="BX519" s="13">
        <f t="shared" si="915"/>
        <v>26</v>
      </c>
      <c r="BY519" s="14">
        <f t="shared" si="916"/>
        <v>5</v>
      </c>
      <c r="BZ519" s="14">
        <f t="shared" si="919"/>
        <v>1102028</v>
      </c>
      <c r="CA519" s="14" t="str">
        <f t="shared" si="920"/>
        <v>吕布15突</v>
      </c>
      <c r="CB519" s="25" t="s">
        <v>142</v>
      </c>
      <c r="CC519" s="14">
        <v>2</v>
      </c>
      <c r="CD519" s="14">
        <f t="shared" si="917"/>
        <v>15</v>
      </c>
      <c r="CE519" s="14" t="s">
        <v>21</v>
      </c>
      <c r="CF519" s="14">
        <f>INDEX(属性投放!$AZ$6:$AZ$85,(BY519-2)*20+CD519)</f>
        <v>11979</v>
      </c>
      <c r="CG519" s="14" t="s">
        <v>22</v>
      </c>
      <c r="CH519" s="14">
        <f>INDEX(属性投放!$BA$6:$BA$85,(BY519-2)*20+CD519)</f>
        <v>5911</v>
      </c>
      <c r="CI519" s="14" t="s">
        <v>510</v>
      </c>
      <c r="CJ519" s="14">
        <f>INDEX(属性投放!$BB$6:$BB$85,(BY519-2)*20+CD519)</f>
        <v>102797</v>
      </c>
      <c r="CK519" s="14" t="s">
        <v>21</v>
      </c>
      <c r="CL519" s="14">
        <f>INDEX(属性投放!$BC$6:$BC$85,(BY519-2)*20+CD519)</f>
        <v>50</v>
      </c>
      <c r="CM519" s="14" t="s">
        <v>22</v>
      </c>
      <c r="CN519" s="14">
        <f>INDEX(属性投放!$BD$6:$BD$85,(BY519-2)*20+CD519)</f>
        <v>25</v>
      </c>
      <c r="CO519" s="14" t="s">
        <v>510</v>
      </c>
      <c r="CP519" s="14">
        <f>INDEX(属性投放!$BE$6:$BE$85,(BY519-2)*20+CD519)</f>
        <v>500</v>
      </c>
      <c r="CS519" s="13">
        <v>515</v>
      </c>
      <c r="CT519" s="13">
        <f t="shared" si="921"/>
        <v>10</v>
      </c>
      <c r="CU519" s="13">
        <f t="shared" si="922"/>
        <v>47</v>
      </c>
      <c r="CV519" s="14">
        <f t="shared" si="923"/>
        <v>4</v>
      </c>
      <c r="CW519" s="14">
        <f t="shared" si="924"/>
        <v>1102010</v>
      </c>
      <c r="CX519" s="14" t="str">
        <f>INDEX($O$6:$O$50,CT519)&amp;"-"&amp;INDEX(属性投放!$AB$7:$AB$50,CZ519)&amp;"-魂火-"&amp;DB519</f>
        <v>张郃-无间-魂火-2</v>
      </c>
      <c r="CY519" s="25" t="s">
        <v>142</v>
      </c>
      <c r="CZ519" s="14">
        <f>INDEX(属性投放!$AM$7:$AM$58,CU519)</f>
        <v>19</v>
      </c>
      <c r="DA519" s="14" t="s">
        <v>537</v>
      </c>
      <c r="DB519" s="14">
        <f>INDEX(属性投放!$AN$7:$AN$58,CU519)</f>
        <v>2</v>
      </c>
      <c r="DC519" s="14">
        <f t="shared" si="918"/>
        <v>47</v>
      </c>
      <c r="DD519" s="14">
        <f>INDEX(属性投放!$AO$7:$AO$58,DC519)</f>
        <v>135</v>
      </c>
      <c r="DE519" s="14" t="s">
        <v>538</v>
      </c>
      <c r="DF519" s="14">
        <f>INDEX(属性投放!$BK$6:$BK$85,(CV519-2)*20+CZ519)</f>
        <v>900</v>
      </c>
      <c r="DG519" s="14">
        <f>SUMIFS(DF$5:DF519,$CT$5:$CT519,"="&amp;$CT519)</f>
        <v>13435</v>
      </c>
      <c r="DH519" s="14" t="s">
        <v>539</v>
      </c>
      <c r="DI519" s="14">
        <f>INDEX(属性投放!$BL$6:$BL$85,(CV519-2)*20+CZ519)</f>
        <v>450</v>
      </c>
      <c r="DJ519" s="14">
        <f>SUMIFS(DI$5:DI519,$CT$5:$CT519,"="&amp;$CT519)</f>
        <v>6727</v>
      </c>
      <c r="DK519" s="14" t="s">
        <v>540</v>
      </c>
      <c r="DL519" s="14">
        <f>INDEX(属性投放!$BM$6:$BM$85,(CV519-2)*20+CZ519)</f>
        <v>9000</v>
      </c>
      <c r="DM519" s="14">
        <f>SUMIFS(DL$5:DL519,$CT$5:$CT519,"="&amp;$CT519)</f>
        <v>129785</v>
      </c>
      <c r="DR519" s="14">
        <f t="shared" si="895"/>
        <v>1102028</v>
      </c>
      <c r="DS519" s="14" t="str">
        <f t="shared" si="896"/>
        <v>吕布15突</v>
      </c>
      <c r="DT519" s="14">
        <f t="shared" si="925"/>
        <v>8</v>
      </c>
      <c r="DU519" s="14">
        <f t="shared" si="926"/>
        <v>8</v>
      </c>
      <c r="DV519" s="14">
        <f t="shared" si="927"/>
        <v>7</v>
      </c>
      <c r="DW519" s="14">
        <f t="shared" si="897"/>
        <v>5</v>
      </c>
      <c r="DX519" s="14">
        <f t="shared" si="898"/>
        <v>15</v>
      </c>
      <c r="DY519" s="14">
        <f t="shared" si="899"/>
        <v>75</v>
      </c>
      <c r="DZ519" s="14">
        <f>INDEX(属性投放!$AX$6:$AX$85,(卡牌属性!DW519-2)*20+卡牌属性!DX519)</f>
        <v>8</v>
      </c>
      <c r="EA519" s="14">
        <f>INDEX(属性投放!BQ$6:BQ$85,卡牌属性!$DY519)</f>
        <v>825</v>
      </c>
      <c r="EB519" s="14">
        <f>INDEX(属性投放!BR$6:BR$85,卡牌属性!$DY519)</f>
        <v>413</v>
      </c>
      <c r="EC519" s="14">
        <f>INDEX(属性投放!BS$6:BS$85,卡牌属性!$DY519)</f>
        <v>8250</v>
      </c>
      <c r="ED519" s="14">
        <f t="shared" si="900"/>
        <v>6235</v>
      </c>
      <c r="EE519" s="14">
        <f t="shared" si="901"/>
        <v>6640</v>
      </c>
      <c r="EF519" s="14">
        <f t="shared" si="902"/>
        <v>7695</v>
      </c>
      <c r="EG519" s="14">
        <f t="shared" si="903"/>
        <v>7695</v>
      </c>
      <c r="EH519" s="14">
        <f t="shared" si="904"/>
        <v>9190</v>
      </c>
      <c r="EI519" s="14">
        <f t="shared" si="905"/>
        <v>3101</v>
      </c>
      <c r="EJ519" s="14">
        <f t="shared" si="906"/>
        <v>3286</v>
      </c>
      <c r="EK519" s="14">
        <f t="shared" si="907"/>
        <v>3286</v>
      </c>
      <c r="EL519" s="14">
        <f t="shared" si="908"/>
        <v>3843</v>
      </c>
      <c r="EM519" s="14">
        <f t="shared" si="909"/>
        <v>4611</v>
      </c>
      <c r="EN519" s="14">
        <f t="shared" si="910"/>
        <v>48953</v>
      </c>
      <c r="EO519" s="14">
        <f t="shared" si="911"/>
        <v>51897</v>
      </c>
      <c r="EP519" s="14">
        <f t="shared" si="912"/>
        <v>51897</v>
      </c>
      <c r="EQ519" s="14">
        <f t="shared" si="913"/>
        <v>54995</v>
      </c>
      <c r="ER519" s="14">
        <f t="shared" si="914"/>
        <v>63955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INDEX(属性投放!$BQ$6:$BQ$85,(卡牌属性!$DW519-2)*20+卡牌属性!$DX519)</f>
        <v>825</v>
      </c>
      <c r="FI519" s="14">
        <f>INDEX(属性投放!$BQ$6:$BQ$85,(卡牌属性!$DW519-2)*20+卡牌属性!$DX519)</f>
        <v>825</v>
      </c>
      <c r="FJ519" s="14">
        <f>INDEX(属性投放!$BQ$6:$BQ$85,(卡牌属性!$DW519-2)*20+卡牌属性!$DX519)</f>
        <v>825</v>
      </c>
      <c r="FK519" s="14">
        <f>INDEX(属性投放!$BQ$6:$BQ$85,(卡牌属性!$DW519-2)*20+卡牌属性!$DX519)</f>
        <v>825</v>
      </c>
      <c r="FL519" s="14">
        <f>INDEX(属性投放!$BQ$6:$BQ$85,(卡牌属性!$DW519-2)*20+卡牌属性!$DX519)</f>
        <v>825</v>
      </c>
      <c r="FM519" s="14">
        <f>INDEX(属性投放!$BR$6:$BR$85,(卡牌属性!$DW519-2)*20+卡牌属性!$DX519)</f>
        <v>413</v>
      </c>
      <c r="FN519" s="14">
        <f>INDEX(属性投放!$BR$6:$BR$85,(卡牌属性!$DW519-2)*20+卡牌属性!$DX519)</f>
        <v>413</v>
      </c>
      <c r="FO519" s="14">
        <f>INDEX(属性投放!$BR$6:$BR$85,(卡牌属性!$DW519-2)*20+卡牌属性!$DX519)</f>
        <v>413</v>
      </c>
      <c r="FP519" s="14">
        <f>INDEX(属性投放!$BR$6:$BR$85,(卡牌属性!$DW519-2)*20+卡牌属性!$DX519)</f>
        <v>413</v>
      </c>
      <c r="FQ519" s="14">
        <f>INDEX(属性投放!$BR$6:$BR$85,(卡牌属性!$DW519-2)*20+卡牌属性!$DX519)</f>
        <v>413</v>
      </c>
      <c r="FR519" s="14">
        <f>INDEX(属性投放!$BS$6:$BS$85,(卡牌属性!$DW519-2)*20+卡牌属性!$DX519)</f>
        <v>8250</v>
      </c>
      <c r="FS519" s="14">
        <f>INDEX(属性投放!$BS$6:$BS$85,(卡牌属性!$DW519-2)*20+卡牌属性!$DX519)</f>
        <v>8250</v>
      </c>
      <c r="FT519" s="14">
        <f>INDEX(属性投放!$BS$6:$BS$85,(卡牌属性!$DW519-2)*20+卡牌属性!$DX519)</f>
        <v>8250</v>
      </c>
      <c r="FU519" s="14">
        <f>INDEX(属性投放!$BS$6:$BS$85,(卡牌属性!$DW519-2)*20+卡牌属性!$DX519)</f>
        <v>8250</v>
      </c>
      <c r="FV519" s="14">
        <f>INDEX(属性投放!$BS$6:$BS$85,(卡牌属性!$DW519-2)*20+卡牌属性!$DX519)</f>
        <v>8250</v>
      </c>
    </row>
    <row r="520" spans="31:178" ht="16.5" x14ac:dyDescent="0.2">
      <c r="AE520" s="13">
        <v>516</v>
      </c>
      <c r="AF520" s="13">
        <f t="shared" si="854"/>
        <v>26</v>
      </c>
      <c r="AG520" s="13">
        <f t="shared" si="855"/>
        <v>4</v>
      </c>
      <c r="AH520" s="13"/>
      <c r="AI520" s="13"/>
      <c r="AJ520" s="14">
        <f t="shared" si="856"/>
        <v>1101997</v>
      </c>
      <c r="AK520" s="14" t="str">
        <f t="shared" si="857"/>
        <v>SSR寄灵人16突</v>
      </c>
      <c r="AL520" s="25" t="s">
        <v>142</v>
      </c>
      <c r="AM520" s="14">
        <v>1</v>
      </c>
      <c r="AN520" s="14">
        <f t="shared" si="858"/>
        <v>16</v>
      </c>
      <c r="AO520" s="14">
        <f>INDEX(属性投放!$DF$6:$DF$85,(卡牌属性!AG520-2)*20+卡牌属性!AN520)</f>
        <v>13851</v>
      </c>
      <c r="AP520" s="14">
        <f t="shared" si="859"/>
        <v>13851</v>
      </c>
      <c r="AQ520" s="14">
        <f t="shared" si="859"/>
        <v>13851</v>
      </c>
      <c r="AR520" s="14">
        <f t="shared" si="859"/>
        <v>13851</v>
      </c>
      <c r="AS520" s="14">
        <f t="shared" si="859"/>
        <v>13851</v>
      </c>
      <c r="AT520" s="14">
        <f>INDEX(属性投放!$DG$6:$DG$85,(卡牌属性!AG520-2)*20+卡牌属性!AN520)</f>
        <v>6844</v>
      </c>
      <c r="AU520" s="14">
        <f t="shared" si="860"/>
        <v>6844</v>
      </c>
      <c r="AV520" s="14">
        <f t="shared" si="860"/>
        <v>6844</v>
      </c>
      <c r="AW520" s="14">
        <f t="shared" si="860"/>
        <v>6844</v>
      </c>
      <c r="AX520" s="14">
        <f t="shared" si="860"/>
        <v>6844</v>
      </c>
      <c r="AY520" s="14">
        <f>INDEX(属性投放!$DH$6:$DH$85,(卡牌属性!AG520-2)*20+卡牌属性!AN520)</f>
        <v>124698</v>
      </c>
      <c r="AZ520" s="14">
        <f t="shared" si="861"/>
        <v>124698</v>
      </c>
      <c r="BA520" s="14">
        <f t="shared" si="861"/>
        <v>124698</v>
      </c>
      <c r="BB520" s="14">
        <f t="shared" si="861"/>
        <v>124698</v>
      </c>
      <c r="BC520" s="14">
        <f t="shared" si="861"/>
        <v>124698</v>
      </c>
      <c r="BD520" s="14">
        <f>INDEX(属性投放!$DL$6:$DL$85,(卡牌属性!AG520-2)*20+卡牌属性!AN520)</f>
        <v>284</v>
      </c>
      <c r="BE520" s="14">
        <f t="shared" si="862"/>
        <v>284</v>
      </c>
      <c r="BF520" s="14">
        <f t="shared" si="862"/>
        <v>284</v>
      </c>
      <c r="BG520" s="14">
        <f t="shared" si="862"/>
        <v>284</v>
      </c>
      <c r="BH520" s="14">
        <f t="shared" si="862"/>
        <v>284</v>
      </c>
      <c r="BI520" s="14">
        <f>INDEX(属性投放!$DM$6:$DM$85,(卡牌属性!AG520-2)*20+卡牌属性!AN520)</f>
        <v>142</v>
      </c>
      <c r="BJ520" s="14">
        <f t="shared" si="863"/>
        <v>142</v>
      </c>
      <c r="BK520" s="14">
        <f t="shared" si="863"/>
        <v>142</v>
      </c>
      <c r="BL520" s="14">
        <f t="shared" si="863"/>
        <v>142</v>
      </c>
      <c r="BM520" s="14">
        <f t="shared" si="863"/>
        <v>142</v>
      </c>
      <c r="BN520" s="14">
        <f>INDEX(属性投放!$DN$6:$DN$85,(卡牌属性!AG520-2)*20+卡牌属性!AN520)</f>
        <v>2845</v>
      </c>
      <c r="BO520" s="14">
        <f t="shared" si="864"/>
        <v>2845</v>
      </c>
      <c r="BP520" s="14">
        <f t="shared" si="864"/>
        <v>2845</v>
      </c>
      <c r="BQ520" s="14">
        <f t="shared" si="864"/>
        <v>2845</v>
      </c>
      <c r="BR520" s="14">
        <f t="shared" si="864"/>
        <v>2845</v>
      </c>
      <c r="BW520" s="13">
        <v>516</v>
      </c>
      <c r="BX520" s="13">
        <f t="shared" si="915"/>
        <v>26</v>
      </c>
      <c r="BY520" s="14">
        <f t="shared" si="916"/>
        <v>5</v>
      </c>
      <c r="BZ520" s="14">
        <f t="shared" si="919"/>
        <v>1102028</v>
      </c>
      <c r="CA520" s="14" t="str">
        <f t="shared" si="920"/>
        <v>吕布16突</v>
      </c>
      <c r="CB520" s="25" t="s">
        <v>142</v>
      </c>
      <c r="CC520" s="14">
        <v>2</v>
      </c>
      <c r="CD520" s="14">
        <f t="shared" si="917"/>
        <v>16</v>
      </c>
      <c r="CE520" s="14" t="s">
        <v>21</v>
      </c>
      <c r="CF520" s="14">
        <f>INDEX(属性投放!$AZ$6:$AZ$85,(BY520-2)*20+CD520)</f>
        <v>14704</v>
      </c>
      <c r="CG520" s="14" t="s">
        <v>22</v>
      </c>
      <c r="CH520" s="14">
        <f>INDEX(属性投放!$BA$6:$BA$85,(BY520-2)*20+CD520)</f>
        <v>7274</v>
      </c>
      <c r="CI520" s="14" t="s">
        <v>510</v>
      </c>
      <c r="CJ520" s="14">
        <f>INDEX(属性投放!$BB$6:$BB$85,(BY520-2)*20+CD520)</f>
        <v>130047</v>
      </c>
      <c r="CK520" s="14" t="s">
        <v>21</v>
      </c>
      <c r="CL520" s="14">
        <f>INDEX(属性投放!$BC$6:$BC$85,(BY520-2)*20+CD520)</f>
        <v>75</v>
      </c>
      <c r="CM520" s="14" t="s">
        <v>22</v>
      </c>
      <c r="CN520" s="14">
        <f>INDEX(属性投放!$BD$6:$BD$85,(BY520-2)*20+CD520)</f>
        <v>38</v>
      </c>
      <c r="CO520" s="14" t="s">
        <v>510</v>
      </c>
      <c r="CP520" s="14">
        <f>INDEX(属性投放!$BE$6:$BE$85,(BY520-2)*20+CD520)</f>
        <v>750</v>
      </c>
      <c r="CS520" s="13">
        <v>516</v>
      </c>
      <c r="CT520" s="13">
        <f t="shared" si="921"/>
        <v>10</v>
      </c>
      <c r="CU520" s="13">
        <f t="shared" si="922"/>
        <v>48</v>
      </c>
      <c r="CV520" s="14">
        <f t="shared" si="923"/>
        <v>4</v>
      </c>
      <c r="CW520" s="14">
        <f t="shared" si="924"/>
        <v>1102010</v>
      </c>
      <c r="CX520" s="14" t="str">
        <f>INDEX($O$6:$O$50,CT520)&amp;"-"&amp;INDEX(属性投放!$AB$7:$AB$50,CZ520)&amp;"-魂火-"&amp;DB520</f>
        <v>张郃-无间-魂火-3</v>
      </c>
      <c r="CY520" s="25" t="s">
        <v>142</v>
      </c>
      <c r="CZ520" s="14">
        <f>INDEX(属性投放!$AM$7:$AM$58,CU520)</f>
        <v>19</v>
      </c>
      <c r="DA520" s="14" t="s">
        <v>537</v>
      </c>
      <c r="DB520" s="14">
        <f>INDEX(属性投放!$AN$7:$AN$58,CU520)</f>
        <v>3</v>
      </c>
      <c r="DC520" s="14">
        <f t="shared" si="918"/>
        <v>48</v>
      </c>
      <c r="DD520" s="14">
        <f>INDEX(属性投放!$AO$7:$AO$58,DC520)</f>
        <v>138</v>
      </c>
      <c r="DE520" s="14" t="s">
        <v>538</v>
      </c>
      <c r="DF520" s="14">
        <f>INDEX(属性投放!$BK$6:$BK$85,(CV520-2)*20+CZ520)</f>
        <v>900</v>
      </c>
      <c r="DG520" s="14">
        <f>SUMIFS(DF$5:DF520,$CT$5:$CT520,"="&amp;$CT520)</f>
        <v>14335</v>
      </c>
      <c r="DH520" s="14" t="s">
        <v>539</v>
      </c>
      <c r="DI520" s="14">
        <f>INDEX(属性投放!$BL$6:$BL$85,(CV520-2)*20+CZ520)</f>
        <v>450</v>
      </c>
      <c r="DJ520" s="14">
        <f>SUMIFS(DI$5:DI520,$CT$5:$CT520,"="&amp;$CT520)</f>
        <v>7177</v>
      </c>
      <c r="DK520" s="14" t="s">
        <v>540</v>
      </c>
      <c r="DL520" s="14">
        <f>INDEX(属性投放!$BM$6:$BM$85,(CV520-2)*20+CZ520)</f>
        <v>9000</v>
      </c>
      <c r="DM520" s="14">
        <f>SUMIFS(DL$5:DL520,$CT$5:$CT520,"="&amp;$CT520)</f>
        <v>138785</v>
      </c>
      <c r="DR520" s="14">
        <f t="shared" si="895"/>
        <v>1102028</v>
      </c>
      <c r="DS520" s="14" t="str">
        <f t="shared" si="896"/>
        <v>吕布16突</v>
      </c>
      <c r="DT520" s="14">
        <f t="shared" si="925"/>
        <v>8</v>
      </c>
      <c r="DU520" s="14">
        <f t="shared" si="926"/>
        <v>8</v>
      </c>
      <c r="DV520" s="14">
        <f t="shared" si="927"/>
        <v>7</v>
      </c>
      <c r="DW520" s="14">
        <f t="shared" si="897"/>
        <v>5</v>
      </c>
      <c r="DX520" s="14">
        <f t="shared" si="898"/>
        <v>16</v>
      </c>
      <c r="DY520" s="14">
        <f t="shared" si="899"/>
        <v>76</v>
      </c>
      <c r="DZ520" s="14">
        <f>INDEX(属性投放!$AX$6:$AX$85,(卡牌属性!DW520-2)*20+卡牌属性!DX520)</f>
        <v>7</v>
      </c>
      <c r="EA520" s="14">
        <f>INDEX(属性投放!BQ$6:BQ$85,卡牌属性!$DY520)</f>
        <v>870</v>
      </c>
      <c r="EB520" s="14">
        <f>INDEX(属性投放!BR$6:BR$85,卡牌属性!$DY520)</f>
        <v>435</v>
      </c>
      <c r="EC520" s="14">
        <f>INDEX(属性投放!BS$6:BS$85,卡牌属性!$DY520)</f>
        <v>8700</v>
      </c>
      <c r="ED520" s="14">
        <f t="shared" si="900"/>
        <v>7420</v>
      </c>
      <c r="EE520" s="14">
        <f t="shared" si="901"/>
        <v>7865</v>
      </c>
      <c r="EF520" s="14">
        <f t="shared" si="902"/>
        <v>9120</v>
      </c>
      <c r="EG520" s="14">
        <f t="shared" si="903"/>
        <v>9120</v>
      </c>
      <c r="EH520" s="14">
        <f t="shared" si="904"/>
        <v>10815</v>
      </c>
      <c r="EI520" s="14">
        <f t="shared" si="905"/>
        <v>3698</v>
      </c>
      <c r="EJ520" s="14">
        <f t="shared" si="906"/>
        <v>3899</v>
      </c>
      <c r="EK520" s="14">
        <f t="shared" si="907"/>
        <v>3899</v>
      </c>
      <c r="EL520" s="14">
        <f t="shared" si="908"/>
        <v>4560</v>
      </c>
      <c r="EM520" s="14">
        <f t="shared" si="909"/>
        <v>5424</v>
      </c>
      <c r="EN520" s="14">
        <f t="shared" si="910"/>
        <v>60403</v>
      </c>
      <c r="EO520" s="14">
        <f t="shared" si="911"/>
        <v>63747</v>
      </c>
      <c r="EP520" s="14">
        <f t="shared" si="912"/>
        <v>63747</v>
      </c>
      <c r="EQ520" s="14">
        <f t="shared" si="913"/>
        <v>67245</v>
      </c>
      <c r="ER520" s="14">
        <f t="shared" si="914"/>
        <v>78205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INDEX(属性投放!$BQ$6:$BQ$85,(卡牌属性!$DW520-2)*20+卡牌属性!$DX520)</f>
        <v>870</v>
      </c>
      <c r="FI520" s="14">
        <f>INDEX(属性投放!$BQ$6:$BQ$85,(卡牌属性!$DW520-2)*20+卡牌属性!$DX520)</f>
        <v>870</v>
      </c>
      <c r="FJ520" s="14">
        <f>INDEX(属性投放!$BQ$6:$BQ$85,(卡牌属性!$DW520-2)*20+卡牌属性!$DX520)</f>
        <v>870</v>
      </c>
      <c r="FK520" s="14">
        <f>INDEX(属性投放!$BQ$6:$BQ$85,(卡牌属性!$DW520-2)*20+卡牌属性!$DX520)</f>
        <v>870</v>
      </c>
      <c r="FL520" s="14">
        <f>INDEX(属性投放!$BQ$6:$BQ$85,(卡牌属性!$DW520-2)*20+卡牌属性!$DX520)</f>
        <v>870</v>
      </c>
      <c r="FM520" s="14">
        <f>INDEX(属性投放!$BR$6:$BR$85,(卡牌属性!$DW520-2)*20+卡牌属性!$DX520)</f>
        <v>435</v>
      </c>
      <c r="FN520" s="14">
        <f>INDEX(属性投放!$BR$6:$BR$85,(卡牌属性!$DW520-2)*20+卡牌属性!$DX520)</f>
        <v>435</v>
      </c>
      <c r="FO520" s="14">
        <f>INDEX(属性投放!$BR$6:$BR$85,(卡牌属性!$DW520-2)*20+卡牌属性!$DX520)</f>
        <v>435</v>
      </c>
      <c r="FP520" s="14">
        <f>INDEX(属性投放!$BR$6:$BR$85,(卡牌属性!$DW520-2)*20+卡牌属性!$DX520)</f>
        <v>435</v>
      </c>
      <c r="FQ520" s="14">
        <f>INDEX(属性投放!$BR$6:$BR$85,(卡牌属性!$DW520-2)*20+卡牌属性!$DX520)</f>
        <v>435</v>
      </c>
      <c r="FR520" s="14">
        <f>INDEX(属性投放!$BS$6:$BS$85,(卡牌属性!$DW520-2)*20+卡牌属性!$DX520)</f>
        <v>8700</v>
      </c>
      <c r="FS520" s="14">
        <f>INDEX(属性投放!$BS$6:$BS$85,(卡牌属性!$DW520-2)*20+卡牌属性!$DX520)</f>
        <v>8700</v>
      </c>
      <c r="FT520" s="14">
        <f>INDEX(属性投放!$BS$6:$BS$85,(卡牌属性!$DW520-2)*20+卡牌属性!$DX520)</f>
        <v>8700</v>
      </c>
      <c r="FU520" s="14">
        <f>INDEX(属性投放!$BS$6:$BS$85,(卡牌属性!$DW520-2)*20+卡牌属性!$DX520)</f>
        <v>8700</v>
      </c>
      <c r="FV520" s="14">
        <f>INDEX(属性投放!$BS$6:$BS$85,(卡牌属性!$DW520-2)*20+卡牌属性!$DX520)</f>
        <v>8700</v>
      </c>
    </row>
    <row r="521" spans="31:178" ht="16.5" x14ac:dyDescent="0.2">
      <c r="AE521" s="13">
        <v>517</v>
      </c>
      <c r="AF521" s="13">
        <f t="shared" ref="AF521:AF544" si="928">MATCH(AE521-1,$F$5:$F$42,1)</f>
        <v>26</v>
      </c>
      <c r="AG521" s="13">
        <f t="shared" ref="AG521:AG544" si="929">INDEX($D$6:$D$43,AF521)</f>
        <v>4</v>
      </c>
      <c r="AH521" s="13"/>
      <c r="AI521" s="13"/>
      <c r="AJ521" s="14">
        <f t="shared" ref="AJ521:AJ544" si="930">INDEX($A$5:$A$43,AF521+1)</f>
        <v>1101997</v>
      </c>
      <c r="AK521" s="14" t="str">
        <f t="shared" ref="AK521:AK544" si="931">INDEX($B$5:$B$43,MATCH(AJ521,$A$5:$A$43,0))&amp;AN521&amp;"突"</f>
        <v>SSR寄灵人17突</v>
      </c>
      <c r="AL521" s="25" t="s">
        <v>142</v>
      </c>
      <c r="AM521" s="14">
        <v>1</v>
      </c>
      <c r="AN521" s="14">
        <f t="shared" ref="AN521:AN540" si="932">AE521-INDEX($F$5:$F$43,AF521)</f>
        <v>17</v>
      </c>
      <c r="AO521" s="14">
        <f>INDEX(属性投放!$DF$6:$DF$85,(卡牌属性!AG521-2)*20+卡牌属性!AN521)</f>
        <v>14867</v>
      </c>
      <c r="AP521" s="14">
        <f t="shared" si="859"/>
        <v>14867</v>
      </c>
      <c r="AQ521" s="14">
        <f t="shared" si="859"/>
        <v>14867</v>
      </c>
      <c r="AR521" s="14">
        <f t="shared" si="859"/>
        <v>14867</v>
      </c>
      <c r="AS521" s="14">
        <f t="shared" si="859"/>
        <v>14867</v>
      </c>
      <c r="AT521" s="14">
        <f>INDEX(属性投放!$DG$6:$DG$85,(卡牌属性!AG521-2)*20+卡牌属性!AN521)</f>
        <v>7352</v>
      </c>
      <c r="AU521" s="14">
        <f t="shared" si="860"/>
        <v>7352</v>
      </c>
      <c r="AV521" s="14">
        <f t="shared" si="860"/>
        <v>7352</v>
      </c>
      <c r="AW521" s="14">
        <f t="shared" si="860"/>
        <v>7352</v>
      </c>
      <c r="AX521" s="14">
        <f t="shared" si="860"/>
        <v>7352</v>
      </c>
      <c r="AY521" s="14">
        <f>INDEX(属性投放!$DH$6:$DH$85,(卡牌属性!AG521-2)*20+卡牌属性!AN521)</f>
        <v>134858</v>
      </c>
      <c r="AZ521" s="14">
        <f t="shared" si="861"/>
        <v>134858</v>
      </c>
      <c r="BA521" s="14">
        <f t="shared" si="861"/>
        <v>134858</v>
      </c>
      <c r="BB521" s="14">
        <f t="shared" si="861"/>
        <v>134858</v>
      </c>
      <c r="BC521" s="14">
        <f t="shared" si="861"/>
        <v>134858</v>
      </c>
      <c r="BD521" s="14">
        <f>INDEX(属性投放!$DL$6:$DL$85,(卡牌属性!AG521-2)*20+卡牌属性!AN521)</f>
        <v>284</v>
      </c>
      <c r="BE521" s="14">
        <f t="shared" si="862"/>
        <v>284</v>
      </c>
      <c r="BF521" s="14">
        <f t="shared" si="862"/>
        <v>284</v>
      </c>
      <c r="BG521" s="14">
        <f t="shared" si="862"/>
        <v>284</v>
      </c>
      <c r="BH521" s="14">
        <f t="shared" si="862"/>
        <v>284</v>
      </c>
      <c r="BI521" s="14">
        <f>INDEX(属性投放!$DM$6:$DM$85,(卡牌属性!AG521-2)*20+卡牌属性!AN521)</f>
        <v>142</v>
      </c>
      <c r="BJ521" s="14">
        <f t="shared" si="863"/>
        <v>142</v>
      </c>
      <c r="BK521" s="14">
        <f t="shared" si="863"/>
        <v>142</v>
      </c>
      <c r="BL521" s="14">
        <f t="shared" si="863"/>
        <v>142</v>
      </c>
      <c r="BM521" s="14">
        <f t="shared" si="863"/>
        <v>142</v>
      </c>
      <c r="BN521" s="14">
        <f>INDEX(属性投放!$DN$6:$DN$85,(卡牌属性!AG521-2)*20+卡牌属性!AN521)</f>
        <v>2845</v>
      </c>
      <c r="BO521" s="14">
        <f t="shared" si="864"/>
        <v>2845</v>
      </c>
      <c r="BP521" s="14">
        <f t="shared" si="864"/>
        <v>2845</v>
      </c>
      <c r="BQ521" s="14">
        <f t="shared" si="864"/>
        <v>2845</v>
      </c>
      <c r="BR521" s="14">
        <f t="shared" si="864"/>
        <v>2845</v>
      </c>
      <c r="BW521" s="13">
        <v>517</v>
      </c>
      <c r="BX521" s="13">
        <f t="shared" si="915"/>
        <v>26</v>
      </c>
      <c r="BY521" s="14">
        <f t="shared" si="916"/>
        <v>5</v>
      </c>
      <c r="BZ521" s="14">
        <f t="shared" si="919"/>
        <v>1102028</v>
      </c>
      <c r="CA521" s="14" t="str">
        <f t="shared" si="920"/>
        <v>吕布17突</v>
      </c>
      <c r="CB521" s="25" t="s">
        <v>142</v>
      </c>
      <c r="CC521" s="14">
        <v>2</v>
      </c>
      <c r="CD521" s="14">
        <f t="shared" si="917"/>
        <v>17</v>
      </c>
      <c r="CE521" s="14" t="s">
        <v>21</v>
      </c>
      <c r="CF521" s="14">
        <f>INDEX(属性投放!$AZ$6:$AZ$85,(BY521-2)*20+CD521)</f>
        <v>17839</v>
      </c>
      <c r="CG521" s="14" t="s">
        <v>22</v>
      </c>
      <c r="CH521" s="14">
        <f>INDEX(属性投放!$BA$6:$BA$85,(BY521-2)*20+CD521)</f>
        <v>8845</v>
      </c>
      <c r="CI521" s="14" t="s">
        <v>510</v>
      </c>
      <c r="CJ521" s="14">
        <f>INDEX(属性投放!$BB$6:$BB$85,(BY521-2)*20+CD521)</f>
        <v>161397</v>
      </c>
      <c r="CK521" s="14" t="s">
        <v>21</v>
      </c>
      <c r="CL521" s="14">
        <f>INDEX(属性投放!$BC$6:$BC$85,(BY521-2)*20+CD521)</f>
        <v>75</v>
      </c>
      <c r="CM521" s="14" t="s">
        <v>22</v>
      </c>
      <c r="CN521" s="14">
        <f>INDEX(属性投放!$BD$6:$BD$85,(BY521-2)*20+CD521)</f>
        <v>38</v>
      </c>
      <c r="CO521" s="14" t="s">
        <v>510</v>
      </c>
      <c r="CP521" s="14">
        <f>INDEX(属性投放!$BE$6:$BE$85,(BY521-2)*20+CD521)</f>
        <v>750</v>
      </c>
      <c r="CS521" s="13">
        <v>517</v>
      </c>
      <c r="CT521" s="13">
        <f t="shared" si="921"/>
        <v>10</v>
      </c>
      <c r="CU521" s="13">
        <f t="shared" si="922"/>
        <v>49</v>
      </c>
      <c r="CV521" s="14">
        <f t="shared" si="923"/>
        <v>4</v>
      </c>
      <c r="CW521" s="14">
        <f t="shared" si="924"/>
        <v>1102010</v>
      </c>
      <c r="CX521" s="14" t="str">
        <f>INDEX($O$6:$O$50,CT521)&amp;"-"&amp;INDEX(属性投放!$AB$7:$AB$50,CZ521)&amp;"-魂火-"&amp;DB521</f>
        <v>张郃-无间+1-魂火-1</v>
      </c>
      <c r="CY521" s="25" t="s">
        <v>142</v>
      </c>
      <c r="CZ521" s="14">
        <f>INDEX(属性投放!$AM$7:$AM$58,CU521)</f>
        <v>20</v>
      </c>
      <c r="DA521" s="14" t="s">
        <v>537</v>
      </c>
      <c r="DB521" s="14">
        <f>INDEX(属性投放!$AN$7:$AN$58,CU521)</f>
        <v>1</v>
      </c>
      <c r="DC521" s="14">
        <f t="shared" si="918"/>
        <v>49</v>
      </c>
      <c r="DD521" s="14">
        <f>INDEX(属性投放!$AO$7:$AO$58,DC521)</f>
        <v>140</v>
      </c>
      <c r="DE521" s="14" t="s">
        <v>538</v>
      </c>
      <c r="DF521" s="14">
        <f>INDEX(属性投放!$BK$6:$BK$85,(CV521-2)*20+CZ521)</f>
        <v>1000</v>
      </c>
      <c r="DG521" s="14">
        <f>SUMIFS(DF$5:DF521,$CT$5:$CT521,"="&amp;$CT521)</f>
        <v>15335</v>
      </c>
      <c r="DH521" s="14" t="s">
        <v>539</v>
      </c>
      <c r="DI521" s="14">
        <f>INDEX(属性投放!$BL$6:$BL$85,(CV521-2)*20+CZ521)</f>
        <v>500</v>
      </c>
      <c r="DJ521" s="14">
        <f>SUMIFS(DI$5:DI521,$CT$5:$CT521,"="&amp;$CT521)</f>
        <v>7677</v>
      </c>
      <c r="DK521" s="14" t="s">
        <v>540</v>
      </c>
      <c r="DL521" s="14">
        <f>INDEX(属性投放!$BM$6:$BM$85,(CV521-2)*20+CZ521)</f>
        <v>10000</v>
      </c>
      <c r="DM521" s="14">
        <f>SUMIFS(DL$5:DL521,$CT$5:$CT521,"="&amp;$CT521)</f>
        <v>148785</v>
      </c>
      <c r="DR521" s="14">
        <f t="shared" si="895"/>
        <v>1102028</v>
      </c>
      <c r="DS521" s="14" t="str">
        <f t="shared" si="896"/>
        <v>吕布17突</v>
      </c>
      <c r="DT521" s="14">
        <f t="shared" si="925"/>
        <v>8</v>
      </c>
      <c r="DU521" s="14">
        <f t="shared" si="926"/>
        <v>8</v>
      </c>
      <c r="DV521" s="14">
        <f t="shared" si="927"/>
        <v>7</v>
      </c>
      <c r="DW521" s="14">
        <f t="shared" si="897"/>
        <v>5</v>
      </c>
      <c r="DX521" s="14">
        <f t="shared" si="898"/>
        <v>17</v>
      </c>
      <c r="DY521" s="14">
        <f t="shared" si="899"/>
        <v>77</v>
      </c>
      <c r="DZ521" s="14">
        <f>INDEX(属性投放!$AX$6:$AX$85,(卡牌属性!DW521-2)*20+卡牌属性!DX521)</f>
        <v>8</v>
      </c>
      <c r="EA521" s="14">
        <f>INDEX(属性投放!BQ$6:BQ$85,卡牌属性!$DY521)</f>
        <v>950</v>
      </c>
      <c r="EB521" s="14">
        <f>INDEX(属性投放!BR$6:BR$85,卡牌属性!$DY521)</f>
        <v>475</v>
      </c>
      <c r="EC521" s="14">
        <f>INDEX(属性投放!BS$6:BS$85,卡牌属性!$DY521)</f>
        <v>9500</v>
      </c>
      <c r="ED521" s="14">
        <f t="shared" si="900"/>
        <v>8710</v>
      </c>
      <c r="EE521" s="14">
        <f t="shared" si="901"/>
        <v>9260</v>
      </c>
      <c r="EF521" s="14">
        <f t="shared" si="902"/>
        <v>10690</v>
      </c>
      <c r="EG521" s="14">
        <f t="shared" si="903"/>
        <v>10690</v>
      </c>
      <c r="EH521" s="14">
        <f t="shared" si="904"/>
        <v>12735</v>
      </c>
      <c r="EI521" s="14">
        <f t="shared" si="905"/>
        <v>4343</v>
      </c>
      <c r="EJ521" s="14">
        <f t="shared" si="906"/>
        <v>4600</v>
      </c>
      <c r="EK521" s="14">
        <f t="shared" si="907"/>
        <v>4600</v>
      </c>
      <c r="EL521" s="14">
        <f t="shared" si="908"/>
        <v>5345</v>
      </c>
      <c r="EM521" s="14">
        <f t="shared" si="909"/>
        <v>6384</v>
      </c>
      <c r="EN521" s="14">
        <f t="shared" si="910"/>
        <v>72603</v>
      </c>
      <c r="EO521" s="14">
        <f t="shared" si="911"/>
        <v>76647</v>
      </c>
      <c r="EP521" s="14">
        <f t="shared" si="912"/>
        <v>76647</v>
      </c>
      <c r="EQ521" s="14">
        <f t="shared" si="913"/>
        <v>81195</v>
      </c>
      <c r="ER521" s="14">
        <f t="shared" si="914"/>
        <v>93905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INDEX(属性投放!$BQ$6:$BQ$85,(卡牌属性!$DW521-2)*20+卡牌属性!$DX521)</f>
        <v>950</v>
      </c>
      <c r="FI521" s="14">
        <f>INDEX(属性投放!$BQ$6:$BQ$85,(卡牌属性!$DW521-2)*20+卡牌属性!$DX521)</f>
        <v>950</v>
      </c>
      <c r="FJ521" s="14">
        <f>INDEX(属性投放!$BQ$6:$BQ$85,(卡牌属性!$DW521-2)*20+卡牌属性!$DX521)</f>
        <v>950</v>
      </c>
      <c r="FK521" s="14">
        <f>INDEX(属性投放!$BQ$6:$BQ$85,(卡牌属性!$DW521-2)*20+卡牌属性!$DX521)</f>
        <v>950</v>
      </c>
      <c r="FL521" s="14">
        <f>INDEX(属性投放!$BQ$6:$BQ$85,(卡牌属性!$DW521-2)*20+卡牌属性!$DX521)</f>
        <v>950</v>
      </c>
      <c r="FM521" s="14">
        <f>INDEX(属性投放!$BR$6:$BR$85,(卡牌属性!$DW521-2)*20+卡牌属性!$DX521)</f>
        <v>475</v>
      </c>
      <c r="FN521" s="14">
        <f>INDEX(属性投放!$BR$6:$BR$85,(卡牌属性!$DW521-2)*20+卡牌属性!$DX521)</f>
        <v>475</v>
      </c>
      <c r="FO521" s="14">
        <f>INDEX(属性投放!$BR$6:$BR$85,(卡牌属性!$DW521-2)*20+卡牌属性!$DX521)</f>
        <v>475</v>
      </c>
      <c r="FP521" s="14">
        <f>INDEX(属性投放!$BR$6:$BR$85,(卡牌属性!$DW521-2)*20+卡牌属性!$DX521)</f>
        <v>475</v>
      </c>
      <c r="FQ521" s="14">
        <f>INDEX(属性投放!$BR$6:$BR$85,(卡牌属性!$DW521-2)*20+卡牌属性!$DX521)</f>
        <v>475</v>
      </c>
      <c r="FR521" s="14">
        <f>INDEX(属性投放!$BS$6:$BS$85,(卡牌属性!$DW521-2)*20+卡牌属性!$DX521)</f>
        <v>9500</v>
      </c>
      <c r="FS521" s="14">
        <f>INDEX(属性投放!$BS$6:$BS$85,(卡牌属性!$DW521-2)*20+卡牌属性!$DX521)</f>
        <v>9500</v>
      </c>
      <c r="FT521" s="14">
        <f>INDEX(属性投放!$BS$6:$BS$85,(卡牌属性!$DW521-2)*20+卡牌属性!$DX521)</f>
        <v>9500</v>
      </c>
      <c r="FU521" s="14">
        <f>INDEX(属性投放!$BS$6:$BS$85,(卡牌属性!$DW521-2)*20+卡牌属性!$DX521)</f>
        <v>9500</v>
      </c>
      <c r="FV521" s="14">
        <f>INDEX(属性投放!$BS$6:$BS$85,(卡牌属性!$DW521-2)*20+卡牌属性!$DX521)</f>
        <v>9500</v>
      </c>
    </row>
    <row r="522" spans="31:178" ht="16.5" x14ac:dyDescent="0.2">
      <c r="AE522" s="13">
        <v>518</v>
      </c>
      <c r="AF522" s="13">
        <f t="shared" si="928"/>
        <v>26</v>
      </c>
      <c r="AG522" s="13">
        <f t="shared" si="929"/>
        <v>4</v>
      </c>
      <c r="AH522" s="13"/>
      <c r="AI522" s="13"/>
      <c r="AJ522" s="14">
        <f t="shared" si="930"/>
        <v>1101997</v>
      </c>
      <c r="AK522" s="14" t="str">
        <f t="shared" si="931"/>
        <v>SSR寄灵人18突</v>
      </c>
      <c r="AL522" s="25" t="s">
        <v>142</v>
      </c>
      <c r="AM522" s="14">
        <v>1</v>
      </c>
      <c r="AN522" s="14">
        <f t="shared" si="932"/>
        <v>18</v>
      </c>
      <c r="AO522" s="14">
        <f>INDEX(属性投放!$DF$6:$DF$85,(卡牌属性!AG522-2)*20+卡牌属性!AN522)</f>
        <v>15883</v>
      </c>
      <c r="AP522" s="14">
        <f t="shared" ref="AP522:AS537" si="933">$AO522</f>
        <v>15883</v>
      </c>
      <c r="AQ522" s="14">
        <f t="shared" si="933"/>
        <v>15883</v>
      </c>
      <c r="AR522" s="14">
        <f t="shared" si="933"/>
        <v>15883</v>
      </c>
      <c r="AS522" s="14">
        <f t="shared" si="933"/>
        <v>15883</v>
      </c>
      <c r="AT522" s="14">
        <f>INDEX(属性投放!$DG$6:$DG$85,(卡牌属性!AG522-2)*20+卡牌属性!AN522)</f>
        <v>7860</v>
      </c>
      <c r="AU522" s="14">
        <f t="shared" ref="AU522:AX537" si="934">$AT522</f>
        <v>7860</v>
      </c>
      <c r="AV522" s="14">
        <f t="shared" si="934"/>
        <v>7860</v>
      </c>
      <c r="AW522" s="14">
        <f t="shared" si="934"/>
        <v>7860</v>
      </c>
      <c r="AX522" s="14">
        <f t="shared" si="934"/>
        <v>7860</v>
      </c>
      <c r="AY522" s="14">
        <f>INDEX(属性投放!$DH$6:$DH$85,(卡牌属性!AG522-2)*20+卡牌属性!AN522)</f>
        <v>145018</v>
      </c>
      <c r="AZ522" s="14">
        <f t="shared" ref="AZ522:BC537" si="935">$AY522</f>
        <v>145018</v>
      </c>
      <c r="BA522" s="14">
        <f t="shared" si="935"/>
        <v>145018</v>
      </c>
      <c r="BB522" s="14">
        <f t="shared" si="935"/>
        <v>145018</v>
      </c>
      <c r="BC522" s="14">
        <f t="shared" si="935"/>
        <v>145018</v>
      </c>
      <c r="BD522" s="14">
        <f>INDEX(属性投放!$DL$6:$DL$85,(卡牌属性!AG522-2)*20+卡牌属性!AN522)</f>
        <v>284</v>
      </c>
      <c r="BE522" s="14">
        <f t="shared" ref="BE522:BH537" si="936">$BD522</f>
        <v>284</v>
      </c>
      <c r="BF522" s="14">
        <f t="shared" si="936"/>
        <v>284</v>
      </c>
      <c r="BG522" s="14">
        <f t="shared" si="936"/>
        <v>284</v>
      </c>
      <c r="BH522" s="14">
        <f t="shared" si="936"/>
        <v>284</v>
      </c>
      <c r="BI522" s="14">
        <f>INDEX(属性投放!$DM$6:$DM$85,(卡牌属性!AG522-2)*20+卡牌属性!AN522)</f>
        <v>142</v>
      </c>
      <c r="BJ522" s="14">
        <f t="shared" ref="BJ522:BM537" si="937">$BI522</f>
        <v>142</v>
      </c>
      <c r="BK522" s="14">
        <f t="shared" si="937"/>
        <v>142</v>
      </c>
      <c r="BL522" s="14">
        <f t="shared" si="937"/>
        <v>142</v>
      </c>
      <c r="BM522" s="14">
        <f t="shared" si="937"/>
        <v>142</v>
      </c>
      <c r="BN522" s="14">
        <f>INDEX(属性投放!$DN$6:$DN$85,(卡牌属性!AG522-2)*20+卡牌属性!AN522)</f>
        <v>2845</v>
      </c>
      <c r="BO522" s="14">
        <f t="shared" ref="BO522:BR537" si="938">$BN522</f>
        <v>2845</v>
      </c>
      <c r="BP522" s="14">
        <f t="shared" si="938"/>
        <v>2845</v>
      </c>
      <c r="BQ522" s="14">
        <f t="shared" si="938"/>
        <v>2845</v>
      </c>
      <c r="BR522" s="14">
        <f t="shared" si="938"/>
        <v>2845</v>
      </c>
      <c r="BW522" s="13">
        <v>518</v>
      </c>
      <c r="BX522" s="13">
        <f t="shared" si="915"/>
        <v>26</v>
      </c>
      <c r="BY522" s="14">
        <f t="shared" si="916"/>
        <v>5</v>
      </c>
      <c r="BZ522" s="14">
        <f t="shared" si="919"/>
        <v>1102028</v>
      </c>
      <c r="CA522" s="14" t="str">
        <f t="shared" si="920"/>
        <v>吕布18突</v>
      </c>
      <c r="CB522" s="25" t="s">
        <v>142</v>
      </c>
      <c r="CC522" s="14">
        <v>2</v>
      </c>
      <c r="CD522" s="14">
        <f t="shared" si="917"/>
        <v>18</v>
      </c>
      <c r="CE522" s="14" t="s">
        <v>21</v>
      </c>
      <c r="CF522" s="14">
        <f>INDEX(属性投放!$AZ$6:$AZ$85,(BY522-2)*20+CD522)</f>
        <v>21549</v>
      </c>
      <c r="CG522" s="14" t="s">
        <v>22</v>
      </c>
      <c r="CH522" s="14">
        <f>INDEX(属性投放!$BA$6:$BA$85,(BY522-2)*20+CD522)</f>
        <v>10704</v>
      </c>
      <c r="CI522" s="14" t="s">
        <v>510</v>
      </c>
      <c r="CJ522" s="14">
        <f>INDEX(属性投放!$BB$6:$BB$85,(BY522-2)*20+CD522)</f>
        <v>198497</v>
      </c>
      <c r="CK522" s="14" t="s">
        <v>21</v>
      </c>
      <c r="CL522" s="14">
        <f>INDEX(属性投放!$BC$6:$BC$85,(BY522-2)*20+CD522)</f>
        <v>75</v>
      </c>
      <c r="CM522" s="14" t="s">
        <v>22</v>
      </c>
      <c r="CN522" s="14">
        <f>INDEX(属性投放!$BD$6:$BD$85,(BY522-2)*20+CD522)</f>
        <v>38</v>
      </c>
      <c r="CO522" s="14" t="s">
        <v>510</v>
      </c>
      <c r="CP522" s="14">
        <f>INDEX(属性投放!$BE$6:$BE$85,(BY522-2)*20+CD522)</f>
        <v>750</v>
      </c>
      <c r="CS522" s="13">
        <v>518</v>
      </c>
      <c r="CT522" s="13">
        <f t="shared" si="921"/>
        <v>10</v>
      </c>
      <c r="CU522" s="13">
        <f t="shared" si="922"/>
        <v>50</v>
      </c>
      <c r="CV522" s="14">
        <f t="shared" si="923"/>
        <v>4</v>
      </c>
      <c r="CW522" s="14">
        <f t="shared" si="924"/>
        <v>1102010</v>
      </c>
      <c r="CX522" s="14" t="str">
        <f>INDEX($O$6:$O$50,CT522)&amp;"-"&amp;INDEX(属性投放!$AB$7:$AB$50,CZ522)&amp;"-魂火-"&amp;DB522</f>
        <v>张郃-无间+1-魂火-2</v>
      </c>
      <c r="CY522" s="25" t="s">
        <v>142</v>
      </c>
      <c r="CZ522" s="14">
        <f>INDEX(属性投放!$AM$7:$AM$58,CU522)</f>
        <v>20</v>
      </c>
      <c r="DA522" s="14" t="s">
        <v>537</v>
      </c>
      <c r="DB522" s="14">
        <f>INDEX(属性投放!$AN$7:$AN$58,CU522)</f>
        <v>2</v>
      </c>
      <c r="DC522" s="14">
        <f t="shared" si="918"/>
        <v>50</v>
      </c>
      <c r="DD522" s="14">
        <f>INDEX(属性投放!$AO$7:$AO$58,DC522)</f>
        <v>143</v>
      </c>
      <c r="DE522" s="14" t="s">
        <v>538</v>
      </c>
      <c r="DF522" s="14">
        <f>INDEX(属性投放!$BK$6:$BK$85,(CV522-2)*20+CZ522)</f>
        <v>1000</v>
      </c>
      <c r="DG522" s="14">
        <f>SUMIFS(DF$5:DF522,$CT$5:$CT522,"="&amp;$CT522)</f>
        <v>16335</v>
      </c>
      <c r="DH522" s="14" t="s">
        <v>539</v>
      </c>
      <c r="DI522" s="14">
        <f>INDEX(属性投放!$BL$6:$BL$85,(CV522-2)*20+CZ522)</f>
        <v>500</v>
      </c>
      <c r="DJ522" s="14">
        <f>SUMIFS(DI$5:DI522,$CT$5:$CT522,"="&amp;$CT522)</f>
        <v>8177</v>
      </c>
      <c r="DK522" s="14" t="s">
        <v>540</v>
      </c>
      <c r="DL522" s="14">
        <f>INDEX(属性投放!$BM$6:$BM$85,(CV522-2)*20+CZ522)</f>
        <v>10000</v>
      </c>
      <c r="DM522" s="14">
        <f>SUMIFS(DL$5:DL522,$CT$5:$CT522,"="&amp;$CT522)</f>
        <v>158785</v>
      </c>
      <c r="DR522" s="14">
        <f t="shared" si="895"/>
        <v>1102028</v>
      </c>
      <c r="DS522" s="14" t="str">
        <f t="shared" si="896"/>
        <v>吕布18突</v>
      </c>
      <c r="DT522" s="14">
        <f t="shared" si="925"/>
        <v>8</v>
      </c>
      <c r="DU522" s="14">
        <f t="shared" si="926"/>
        <v>8</v>
      </c>
      <c r="DV522" s="14">
        <f t="shared" si="927"/>
        <v>7</v>
      </c>
      <c r="DW522" s="14">
        <f t="shared" si="897"/>
        <v>5</v>
      </c>
      <c r="DX522" s="14">
        <f t="shared" si="898"/>
        <v>18</v>
      </c>
      <c r="DY522" s="14">
        <f t="shared" si="899"/>
        <v>78</v>
      </c>
      <c r="DZ522" s="14">
        <f>INDEX(属性投放!$AX$6:$AX$85,(卡牌属性!DW522-2)*20+卡牌属性!DX522)</f>
        <v>7</v>
      </c>
      <c r="EA522" s="14">
        <f>INDEX(属性投放!BQ$6:BQ$85,卡牌属性!$DY522)</f>
        <v>1500</v>
      </c>
      <c r="EB522" s="14">
        <f>INDEX(属性投放!BR$6:BR$85,卡牌属性!$DY522)</f>
        <v>750</v>
      </c>
      <c r="EC522" s="14">
        <f>INDEX(属性投放!BS$6:BS$85,卡牌属性!$DY522)</f>
        <v>15000</v>
      </c>
      <c r="ED522" s="14">
        <f t="shared" si="900"/>
        <v>10140</v>
      </c>
      <c r="EE522" s="14">
        <f t="shared" si="901"/>
        <v>10810</v>
      </c>
      <c r="EF522" s="14">
        <f t="shared" si="902"/>
        <v>12440</v>
      </c>
      <c r="EG522" s="14">
        <f t="shared" si="903"/>
        <v>12440</v>
      </c>
      <c r="EH522" s="14">
        <f t="shared" si="904"/>
        <v>14885</v>
      </c>
      <c r="EI522" s="14">
        <f t="shared" si="905"/>
        <v>5058</v>
      </c>
      <c r="EJ522" s="14">
        <f t="shared" si="906"/>
        <v>5379</v>
      </c>
      <c r="EK522" s="14">
        <f t="shared" si="907"/>
        <v>5379</v>
      </c>
      <c r="EL522" s="14">
        <f t="shared" si="908"/>
        <v>6220</v>
      </c>
      <c r="EM522" s="14">
        <f t="shared" si="909"/>
        <v>7459</v>
      </c>
      <c r="EN522" s="14">
        <f t="shared" si="910"/>
        <v>86103</v>
      </c>
      <c r="EO522" s="14">
        <f t="shared" si="911"/>
        <v>90947</v>
      </c>
      <c r="EP522" s="14">
        <f t="shared" si="912"/>
        <v>90947</v>
      </c>
      <c r="EQ522" s="14">
        <f t="shared" si="913"/>
        <v>96695</v>
      </c>
      <c r="ER522" s="14">
        <f t="shared" si="914"/>
        <v>111405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INDEX(属性投放!$BQ$6:$BQ$85,(卡牌属性!$DW522-2)*20+卡牌属性!$DX522)</f>
        <v>1500</v>
      </c>
      <c r="FI522" s="14">
        <f>INDEX(属性投放!$BQ$6:$BQ$85,(卡牌属性!$DW522-2)*20+卡牌属性!$DX522)</f>
        <v>1500</v>
      </c>
      <c r="FJ522" s="14">
        <f>INDEX(属性投放!$BQ$6:$BQ$85,(卡牌属性!$DW522-2)*20+卡牌属性!$DX522)</f>
        <v>1500</v>
      </c>
      <c r="FK522" s="14">
        <f>INDEX(属性投放!$BQ$6:$BQ$85,(卡牌属性!$DW522-2)*20+卡牌属性!$DX522)</f>
        <v>1500</v>
      </c>
      <c r="FL522" s="14">
        <f>INDEX(属性投放!$BQ$6:$BQ$85,(卡牌属性!$DW522-2)*20+卡牌属性!$DX522)</f>
        <v>1500</v>
      </c>
      <c r="FM522" s="14">
        <f>INDEX(属性投放!$BR$6:$BR$85,(卡牌属性!$DW522-2)*20+卡牌属性!$DX522)</f>
        <v>750</v>
      </c>
      <c r="FN522" s="14">
        <f>INDEX(属性投放!$BR$6:$BR$85,(卡牌属性!$DW522-2)*20+卡牌属性!$DX522)</f>
        <v>750</v>
      </c>
      <c r="FO522" s="14">
        <f>INDEX(属性投放!$BR$6:$BR$85,(卡牌属性!$DW522-2)*20+卡牌属性!$DX522)</f>
        <v>750</v>
      </c>
      <c r="FP522" s="14">
        <f>INDEX(属性投放!$BR$6:$BR$85,(卡牌属性!$DW522-2)*20+卡牌属性!$DX522)</f>
        <v>750</v>
      </c>
      <c r="FQ522" s="14">
        <f>INDEX(属性投放!$BR$6:$BR$85,(卡牌属性!$DW522-2)*20+卡牌属性!$DX522)</f>
        <v>750</v>
      </c>
      <c r="FR522" s="14">
        <f>INDEX(属性投放!$BS$6:$BS$85,(卡牌属性!$DW522-2)*20+卡牌属性!$DX522)</f>
        <v>15000</v>
      </c>
      <c r="FS522" s="14">
        <f>INDEX(属性投放!$BS$6:$BS$85,(卡牌属性!$DW522-2)*20+卡牌属性!$DX522)</f>
        <v>15000</v>
      </c>
      <c r="FT522" s="14">
        <f>INDEX(属性投放!$BS$6:$BS$85,(卡牌属性!$DW522-2)*20+卡牌属性!$DX522)</f>
        <v>15000</v>
      </c>
      <c r="FU522" s="14">
        <f>INDEX(属性投放!$BS$6:$BS$85,(卡牌属性!$DW522-2)*20+卡牌属性!$DX522)</f>
        <v>15000</v>
      </c>
      <c r="FV522" s="14">
        <f>INDEX(属性投放!$BS$6:$BS$85,(卡牌属性!$DW522-2)*20+卡牌属性!$DX522)</f>
        <v>15000</v>
      </c>
    </row>
    <row r="523" spans="31:178" ht="16.5" x14ac:dyDescent="0.2">
      <c r="AE523" s="13">
        <v>519</v>
      </c>
      <c r="AF523" s="13">
        <f t="shared" si="928"/>
        <v>26</v>
      </c>
      <c r="AG523" s="13">
        <f t="shared" si="929"/>
        <v>4</v>
      </c>
      <c r="AH523" s="13"/>
      <c r="AI523" s="13"/>
      <c r="AJ523" s="14">
        <f t="shared" si="930"/>
        <v>1101997</v>
      </c>
      <c r="AK523" s="14" t="str">
        <f t="shared" si="931"/>
        <v>SSR寄灵人19突</v>
      </c>
      <c r="AL523" s="25" t="s">
        <v>142</v>
      </c>
      <c r="AM523" s="14">
        <v>1</v>
      </c>
      <c r="AN523" s="14">
        <f t="shared" si="932"/>
        <v>19</v>
      </c>
      <c r="AO523" s="14">
        <f>INDEX(属性投放!$DF$6:$DF$85,(卡牌属性!AG523-2)*20+卡牌属性!AN523)</f>
        <v>23999</v>
      </c>
      <c r="AP523" s="14">
        <f t="shared" si="933"/>
        <v>23999</v>
      </c>
      <c r="AQ523" s="14">
        <f t="shared" si="933"/>
        <v>23999</v>
      </c>
      <c r="AR523" s="14">
        <f t="shared" si="933"/>
        <v>23999</v>
      </c>
      <c r="AS523" s="14">
        <f t="shared" si="933"/>
        <v>23999</v>
      </c>
      <c r="AT523" s="14">
        <f>INDEX(属性投放!$DG$6:$DG$85,(卡牌属性!AG523-2)*20+卡牌属性!AN523)</f>
        <v>11918</v>
      </c>
      <c r="AU523" s="14">
        <f t="shared" si="934"/>
        <v>11918</v>
      </c>
      <c r="AV523" s="14">
        <f t="shared" si="934"/>
        <v>11918</v>
      </c>
      <c r="AW523" s="14">
        <f t="shared" si="934"/>
        <v>11918</v>
      </c>
      <c r="AX523" s="14">
        <f t="shared" si="934"/>
        <v>11918</v>
      </c>
      <c r="AY523" s="14">
        <f>INDEX(属性投放!$DH$6:$DH$85,(卡牌属性!AG523-2)*20+卡牌属性!AN523)</f>
        <v>226303</v>
      </c>
      <c r="AZ523" s="14">
        <f t="shared" si="935"/>
        <v>226303</v>
      </c>
      <c r="BA523" s="14">
        <f t="shared" si="935"/>
        <v>226303</v>
      </c>
      <c r="BB523" s="14">
        <f t="shared" si="935"/>
        <v>226303</v>
      </c>
      <c r="BC523" s="14">
        <f t="shared" si="935"/>
        <v>226303</v>
      </c>
      <c r="BD523" s="14">
        <f>INDEX(属性投放!$DL$6:$DL$85,(卡牌属性!AG523-2)*20+卡牌属性!AN523)</f>
        <v>516</v>
      </c>
      <c r="BE523" s="14">
        <f t="shared" si="936"/>
        <v>516</v>
      </c>
      <c r="BF523" s="14">
        <f t="shared" si="936"/>
        <v>516</v>
      </c>
      <c r="BG523" s="14">
        <f t="shared" si="936"/>
        <v>516</v>
      </c>
      <c r="BH523" s="14">
        <f t="shared" si="936"/>
        <v>516</v>
      </c>
      <c r="BI523" s="14">
        <f>INDEX(属性投放!$DM$6:$DM$85,(卡牌属性!AG523-2)*20+卡牌属性!AN523)</f>
        <v>258</v>
      </c>
      <c r="BJ523" s="14">
        <f t="shared" si="937"/>
        <v>258</v>
      </c>
      <c r="BK523" s="14">
        <f t="shared" si="937"/>
        <v>258</v>
      </c>
      <c r="BL523" s="14">
        <f t="shared" si="937"/>
        <v>258</v>
      </c>
      <c r="BM523" s="14">
        <f t="shared" si="937"/>
        <v>258</v>
      </c>
      <c r="BN523" s="14">
        <f>INDEX(属性投放!$DN$6:$DN$85,(卡牌属性!AG523-2)*20+卡牌属性!AN523)</f>
        <v>5157</v>
      </c>
      <c r="BO523" s="14">
        <f t="shared" si="938"/>
        <v>5157</v>
      </c>
      <c r="BP523" s="14">
        <f t="shared" si="938"/>
        <v>5157</v>
      </c>
      <c r="BQ523" s="14">
        <f t="shared" si="938"/>
        <v>5157</v>
      </c>
      <c r="BR523" s="14">
        <f t="shared" si="938"/>
        <v>5157</v>
      </c>
      <c r="BW523" s="13">
        <v>519</v>
      </c>
      <c r="BX523" s="13">
        <f t="shared" si="915"/>
        <v>26</v>
      </c>
      <c r="BY523" s="14">
        <f t="shared" si="916"/>
        <v>5</v>
      </c>
      <c r="BZ523" s="14">
        <f t="shared" si="919"/>
        <v>1102028</v>
      </c>
      <c r="CA523" s="14" t="str">
        <f t="shared" si="920"/>
        <v>吕布19突</v>
      </c>
      <c r="CB523" s="25" t="s">
        <v>142</v>
      </c>
      <c r="CC523" s="14">
        <v>2</v>
      </c>
      <c r="CD523" s="14">
        <f t="shared" si="917"/>
        <v>19</v>
      </c>
      <c r="CE523" s="14" t="s">
        <v>21</v>
      </c>
      <c r="CF523" s="14">
        <f>INDEX(属性投放!$AZ$6:$AZ$85,(BY523-2)*20+CD523)</f>
        <v>26064</v>
      </c>
      <c r="CG523" s="14" t="s">
        <v>22</v>
      </c>
      <c r="CH523" s="14">
        <f>INDEX(属性投放!$BA$6:$BA$85,(BY523-2)*20+CD523)</f>
        <v>12965</v>
      </c>
      <c r="CI523" s="14" t="s">
        <v>510</v>
      </c>
      <c r="CJ523" s="14">
        <f>INDEX(属性投放!$BB$6:$BB$85,(BY523-2)*20+CD523)</f>
        <v>243647</v>
      </c>
      <c r="CK523" s="14" t="s">
        <v>21</v>
      </c>
      <c r="CL523" s="14">
        <f>INDEX(属性投放!$BC$6:$BC$85,(BY523-2)*20+CD523)</f>
        <v>100</v>
      </c>
      <c r="CM523" s="14" t="s">
        <v>22</v>
      </c>
      <c r="CN523" s="14">
        <f>INDEX(属性投放!$BD$6:$BD$85,(BY523-2)*20+CD523)</f>
        <v>50</v>
      </c>
      <c r="CO523" s="14" t="s">
        <v>510</v>
      </c>
      <c r="CP523" s="14">
        <f>INDEX(属性投放!$BE$6:$BE$85,(BY523-2)*20+CD523)</f>
        <v>1000</v>
      </c>
      <c r="CS523" s="13">
        <v>519</v>
      </c>
      <c r="CT523" s="13">
        <f t="shared" si="921"/>
        <v>10</v>
      </c>
      <c r="CU523" s="13">
        <f t="shared" si="922"/>
        <v>51</v>
      </c>
      <c r="CV523" s="14">
        <f t="shared" si="923"/>
        <v>4</v>
      </c>
      <c r="CW523" s="14">
        <f t="shared" si="924"/>
        <v>1102010</v>
      </c>
      <c r="CX523" s="14" t="str">
        <f>INDEX($O$6:$O$50,CT523)&amp;"-"&amp;INDEX(属性投放!$AB$7:$AB$50,CZ523)&amp;"-魂火-"&amp;DB523</f>
        <v>张郃-无间+1-魂火-3</v>
      </c>
      <c r="CY523" s="25" t="s">
        <v>142</v>
      </c>
      <c r="CZ523" s="14">
        <f>INDEX(属性投放!$AM$7:$AM$58,CU523)</f>
        <v>20</v>
      </c>
      <c r="DA523" s="14" t="s">
        <v>537</v>
      </c>
      <c r="DB523" s="14">
        <f>INDEX(属性投放!$AN$7:$AN$58,CU523)</f>
        <v>3</v>
      </c>
      <c r="DC523" s="14">
        <f t="shared" si="918"/>
        <v>51</v>
      </c>
      <c r="DD523" s="14">
        <f>INDEX(属性投放!$AO$7:$AO$58,DC523)</f>
        <v>145</v>
      </c>
      <c r="DE523" s="14" t="s">
        <v>538</v>
      </c>
      <c r="DF523" s="14">
        <f>INDEX(属性投放!$BK$6:$BK$85,(CV523-2)*20+CZ523)</f>
        <v>1000</v>
      </c>
      <c r="DG523" s="14">
        <f>SUMIFS(DF$5:DF523,$CT$5:$CT523,"="&amp;$CT523)</f>
        <v>17335</v>
      </c>
      <c r="DH523" s="14" t="s">
        <v>539</v>
      </c>
      <c r="DI523" s="14">
        <f>INDEX(属性投放!$BL$6:$BL$85,(CV523-2)*20+CZ523)</f>
        <v>500</v>
      </c>
      <c r="DJ523" s="14">
        <f>SUMIFS(DI$5:DI523,$CT$5:$CT523,"="&amp;$CT523)</f>
        <v>8677</v>
      </c>
      <c r="DK523" s="14" t="s">
        <v>540</v>
      </c>
      <c r="DL523" s="14">
        <f>INDEX(属性投放!$BM$6:$BM$85,(CV523-2)*20+CZ523)</f>
        <v>10000</v>
      </c>
      <c r="DM523" s="14">
        <f>SUMIFS(DL$5:DL523,$CT$5:$CT523,"="&amp;$CT523)</f>
        <v>168785</v>
      </c>
      <c r="DR523" s="14">
        <f t="shared" si="895"/>
        <v>1102028</v>
      </c>
      <c r="DS523" s="14" t="str">
        <f t="shared" si="896"/>
        <v>吕布19突</v>
      </c>
      <c r="DT523" s="14">
        <f t="shared" si="925"/>
        <v>8</v>
      </c>
      <c r="DU523" s="14">
        <f t="shared" si="926"/>
        <v>8</v>
      </c>
      <c r="DV523" s="14">
        <f t="shared" si="927"/>
        <v>7</v>
      </c>
      <c r="DW523" s="14">
        <f t="shared" si="897"/>
        <v>5</v>
      </c>
      <c r="DX523" s="14">
        <f t="shared" si="898"/>
        <v>19</v>
      </c>
      <c r="DY523" s="14">
        <f t="shared" si="899"/>
        <v>79</v>
      </c>
      <c r="DZ523" s="14">
        <f>INDEX(属性投放!$AX$6:$AX$85,(卡牌属性!DW523-2)*20+卡牌属性!DX523)</f>
        <v>8</v>
      </c>
      <c r="EA523" s="14">
        <f>INDEX(属性投放!BQ$6:BQ$85,卡牌属性!$DY523)</f>
        <v>1550</v>
      </c>
      <c r="EB523" s="14">
        <f>INDEX(属性投放!BR$6:BR$85,卡牌属性!$DY523)</f>
        <v>775</v>
      </c>
      <c r="EC523" s="14">
        <f>INDEX(属性投放!BS$6:BS$85,卡牌属性!$DY523)</f>
        <v>15500</v>
      </c>
      <c r="ED523" s="14">
        <f t="shared" si="900"/>
        <v>12060</v>
      </c>
      <c r="EE523" s="14">
        <f t="shared" si="901"/>
        <v>12835</v>
      </c>
      <c r="EF523" s="14">
        <f t="shared" si="902"/>
        <v>14640</v>
      </c>
      <c r="EG523" s="14">
        <f t="shared" si="903"/>
        <v>14640</v>
      </c>
      <c r="EH523" s="14">
        <f t="shared" si="904"/>
        <v>17435</v>
      </c>
      <c r="EI523" s="14">
        <f t="shared" si="905"/>
        <v>6018</v>
      </c>
      <c r="EJ523" s="14">
        <f t="shared" si="906"/>
        <v>6395</v>
      </c>
      <c r="EK523" s="14">
        <f t="shared" si="907"/>
        <v>6395</v>
      </c>
      <c r="EL523" s="14">
        <f t="shared" si="908"/>
        <v>7320</v>
      </c>
      <c r="EM523" s="14">
        <f t="shared" si="909"/>
        <v>8734</v>
      </c>
      <c r="EN523" s="14">
        <f t="shared" si="910"/>
        <v>104603</v>
      </c>
      <c r="EO523" s="14">
        <f t="shared" si="911"/>
        <v>110147</v>
      </c>
      <c r="EP523" s="14">
        <f t="shared" si="912"/>
        <v>110147</v>
      </c>
      <c r="EQ523" s="14">
        <f t="shared" si="913"/>
        <v>116945</v>
      </c>
      <c r="ER523" s="14">
        <f t="shared" si="914"/>
        <v>133405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INDEX(属性投放!$BQ$6:$BQ$85,(卡牌属性!$DW523-2)*20+卡牌属性!$DX523)</f>
        <v>1550</v>
      </c>
      <c r="FI523" s="14">
        <f>INDEX(属性投放!$BQ$6:$BQ$85,(卡牌属性!$DW523-2)*20+卡牌属性!$DX523)</f>
        <v>1550</v>
      </c>
      <c r="FJ523" s="14">
        <f>INDEX(属性投放!$BQ$6:$BQ$85,(卡牌属性!$DW523-2)*20+卡牌属性!$DX523)</f>
        <v>1550</v>
      </c>
      <c r="FK523" s="14">
        <f>INDEX(属性投放!$BQ$6:$BQ$85,(卡牌属性!$DW523-2)*20+卡牌属性!$DX523)</f>
        <v>1550</v>
      </c>
      <c r="FL523" s="14">
        <f>INDEX(属性投放!$BQ$6:$BQ$85,(卡牌属性!$DW523-2)*20+卡牌属性!$DX523)</f>
        <v>1550</v>
      </c>
      <c r="FM523" s="14">
        <f>INDEX(属性投放!$BR$6:$BR$85,(卡牌属性!$DW523-2)*20+卡牌属性!$DX523)</f>
        <v>775</v>
      </c>
      <c r="FN523" s="14">
        <f>INDEX(属性投放!$BR$6:$BR$85,(卡牌属性!$DW523-2)*20+卡牌属性!$DX523)</f>
        <v>775</v>
      </c>
      <c r="FO523" s="14">
        <f>INDEX(属性投放!$BR$6:$BR$85,(卡牌属性!$DW523-2)*20+卡牌属性!$DX523)</f>
        <v>775</v>
      </c>
      <c r="FP523" s="14">
        <f>INDEX(属性投放!$BR$6:$BR$85,(卡牌属性!$DW523-2)*20+卡牌属性!$DX523)</f>
        <v>775</v>
      </c>
      <c r="FQ523" s="14">
        <f>INDEX(属性投放!$BR$6:$BR$85,(卡牌属性!$DW523-2)*20+卡牌属性!$DX523)</f>
        <v>775</v>
      </c>
      <c r="FR523" s="14">
        <f>INDEX(属性投放!$BS$6:$BS$85,(卡牌属性!$DW523-2)*20+卡牌属性!$DX523)</f>
        <v>15500</v>
      </c>
      <c r="FS523" s="14">
        <f>INDEX(属性投放!$BS$6:$BS$85,(卡牌属性!$DW523-2)*20+卡牌属性!$DX523)</f>
        <v>15500</v>
      </c>
      <c r="FT523" s="14">
        <f>INDEX(属性投放!$BS$6:$BS$85,(卡牌属性!$DW523-2)*20+卡牌属性!$DX523)</f>
        <v>15500</v>
      </c>
      <c r="FU523" s="14">
        <f>INDEX(属性投放!$BS$6:$BS$85,(卡牌属性!$DW523-2)*20+卡牌属性!$DX523)</f>
        <v>15500</v>
      </c>
      <c r="FV523" s="14">
        <f>INDEX(属性投放!$BS$6:$BS$85,(卡牌属性!$DW523-2)*20+卡牌属性!$DX523)</f>
        <v>15500</v>
      </c>
    </row>
    <row r="524" spans="31:178" ht="16.5" x14ac:dyDescent="0.2">
      <c r="AE524" s="13">
        <v>520</v>
      </c>
      <c r="AF524" s="13">
        <f t="shared" si="928"/>
        <v>26</v>
      </c>
      <c r="AG524" s="13">
        <f t="shared" si="929"/>
        <v>4</v>
      </c>
      <c r="AH524" s="13"/>
      <c r="AI524" s="13"/>
      <c r="AJ524" s="14">
        <f t="shared" si="930"/>
        <v>1101997</v>
      </c>
      <c r="AK524" s="14" t="str">
        <f t="shared" si="931"/>
        <v>SSR寄灵人20突</v>
      </c>
      <c r="AL524" s="25" t="s">
        <v>142</v>
      </c>
      <c r="AM524" s="14">
        <v>1</v>
      </c>
      <c r="AN524" s="14">
        <f t="shared" si="932"/>
        <v>20</v>
      </c>
      <c r="AO524" s="14">
        <f>INDEX(属性投放!$DF$6:$DF$85,(卡牌属性!AG524-2)*20+卡牌属性!AN524)</f>
        <v>25104</v>
      </c>
      <c r="AP524" s="14">
        <f t="shared" si="933"/>
        <v>25104</v>
      </c>
      <c r="AQ524" s="14">
        <f t="shared" si="933"/>
        <v>25104</v>
      </c>
      <c r="AR524" s="14">
        <f t="shared" si="933"/>
        <v>25104</v>
      </c>
      <c r="AS524" s="14">
        <f t="shared" si="933"/>
        <v>25104</v>
      </c>
      <c r="AT524" s="14">
        <f>INDEX(属性投放!$DG$6:$DG$85,(卡牌属性!AG524-2)*20+卡牌属性!AN524)</f>
        <v>12471</v>
      </c>
      <c r="AU524" s="14">
        <f t="shared" si="934"/>
        <v>12471</v>
      </c>
      <c r="AV524" s="14">
        <f t="shared" si="934"/>
        <v>12471</v>
      </c>
      <c r="AW524" s="14">
        <f t="shared" si="934"/>
        <v>12471</v>
      </c>
      <c r="AX524" s="14">
        <f t="shared" si="934"/>
        <v>12471</v>
      </c>
      <c r="AY524" s="14">
        <f>INDEX(属性投放!$DH$6:$DH$85,(卡牌属性!AG524-2)*20+卡牌属性!AN524)</f>
        <v>237353</v>
      </c>
      <c r="AZ524" s="14">
        <f t="shared" si="935"/>
        <v>237353</v>
      </c>
      <c r="BA524" s="14">
        <f t="shared" si="935"/>
        <v>237353</v>
      </c>
      <c r="BB524" s="14">
        <f t="shared" si="935"/>
        <v>237353</v>
      </c>
      <c r="BC524" s="14">
        <f t="shared" si="935"/>
        <v>237353</v>
      </c>
      <c r="BD524" s="14">
        <f>INDEX(属性投放!$DL$6:$DL$85,(卡牌属性!AG524-2)*20+卡牌属性!AN524)</f>
        <v>516</v>
      </c>
      <c r="BE524" s="14">
        <f t="shared" si="936"/>
        <v>516</v>
      </c>
      <c r="BF524" s="14">
        <f t="shared" si="936"/>
        <v>516</v>
      </c>
      <c r="BG524" s="14">
        <f t="shared" si="936"/>
        <v>516</v>
      </c>
      <c r="BH524" s="14">
        <f t="shared" si="936"/>
        <v>516</v>
      </c>
      <c r="BI524" s="14">
        <f>INDEX(属性投放!$DM$6:$DM$85,(卡牌属性!AG524-2)*20+卡牌属性!AN524)</f>
        <v>258</v>
      </c>
      <c r="BJ524" s="14">
        <f t="shared" si="937"/>
        <v>258</v>
      </c>
      <c r="BK524" s="14">
        <f t="shared" si="937"/>
        <v>258</v>
      </c>
      <c r="BL524" s="14">
        <f t="shared" si="937"/>
        <v>258</v>
      </c>
      <c r="BM524" s="14">
        <f t="shared" si="937"/>
        <v>258</v>
      </c>
      <c r="BN524" s="14">
        <f>INDEX(属性投放!$DN$6:$DN$85,(卡牌属性!AG524-2)*20+卡牌属性!AN524)</f>
        <v>5157</v>
      </c>
      <c r="BO524" s="14">
        <f t="shared" si="938"/>
        <v>5157</v>
      </c>
      <c r="BP524" s="14">
        <f t="shared" si="938"/>
        <v>5157</v>
      </c>
      <c r="BQ524" s="14">
        <f t="shared" si="938"/>
        <v>5157</v>
      </c>
      <c r="BR524" s="14">
        <f t="shared" si="938"/>
        <v>5157</v>
      </c>
      <c r="BW524" s="13">
        <v>520</v>
      </c>
      <c r="BX524" s="13">
        <f t="shared" si="915"/>
        <v>26</v>
      </c>
      <c r="BY524" s="14">
        <f t="shared" si="916"/>
        <v>5</v>
      </c>
      <c r="BZ524" s="14">
        <f t="shared" si="919"/>
        <v>1102028</v>
      </c>
      <c r="CA524" s="14" t="str">
        <f t="shared" si="920"/>
        <v>吕布20突</v>
      </c>
      <c r="CB524" s="25" t="s">
        <v>142</v>
      </c>
      <c r="CC524" s="14">
        <v>2</v>
      </c>
      <c r="CD524" s="14">
        <f t="shared" si="917"/>
        <v>20</v>
      </c>
      <c r="CE524" s="14" t="s">
        <v>21</v>
      </c>
      <c r="CF524" s="14">
        <f>INDEX(属性投放!$AZ$6:$AZ$85,(BY524-2)*20+CD524)</f>
        <v>31354</v>
      </c>
      <c r="CG524" s="14" t="s">
        <v>22</v>
      </c>
      <c r="CH524" s="14">
        <f>INDEX(属性投放!$BA$6:$BA$85,(BY524-2)*20+CD524)</f>
        <v>15610</v>
      </c>
      <c r="CI524" s="14" t="s">
        <v>510</v>
      </c>
      <c r="CJ524" s="14">
        <f>INDEX(属性投放!$BB$6:$BB$85,(BY524-2)*20+CD524)</f>
        <v>296547</v>
      </c>
      <c r="CK524" s="14" t="s">
        <v>21</v>
      </c>
      <c r="CL524" s="14">
        <f>INDEX(属性投放!$BC$6:$BC$85,(BY524-2)*20+CD524)</f>
        <v>100</v>
      </c>
      <c r="CM524" s="14" t="s">
        <v>22</v>
      </c>
      <c r="CN524" s="14">
        <f>INDEX(属性投放!$BD$6:$BD$85,(BY524-2)*20+CD524)</f>
        <v>50</v>
      </c>
      <c r="CO524" s="14" t="s">
        <v>510</v>
      </c>
      <c r="CP524" s="14">
        <f>INDEX(属性投放!$BE$6:$BE$85,(BY524-2)*20+CD524)</f>
        <v>1000</v>
      </c>
      <c r="CS524" s="13">
        <v>520</v>
      </c>
      <c r="CT524" s="13">
        <f t="shared" si="921"/>
        <v>10</v>
      </c>
      <c r="CU524" s="13">
        <f t="shared" si="922"/>
        <v>52</v>
      </c>
      <c r="CV524" s="14">
        <f t="shared" si="923"/>
        <v>4</v>
      </c>
      <c r="CW524" s="14">
        <f t="shared" si="924"/>
        <v>1102010</v>
      </c>
      <c r="CX524" s="14" t="str">
        <f>INDEX($O$6:$O$50,CT524)&amp;"-"&amp;INDEX(属性投放!$AB$7:$AB$50,CZ524)&amp;"-魂火-"&amp;DB524</f>
        <v>张郃-无间+1-魂火-4</v>
      </c>
      <c r="CY524" s="25" t="s">
        <v>142</v>
      </c>
      <c r="CZ524" s="14">
        <f>INDEX(属性投放!$AM$7:$AM$58,CU524)</f>
        <v>20</v>
      </c>
      <c r="DA524" s="14" t="s">
        <v>537</v>
      </c>
      <c r="DB524" s="14">
        <f>INDEX(属性投放!$AN$7:$AN$58,CU524)</f>
        <v>4</v>
      </c>
      <c r="DC524" s="14">
        <f t="shared" si="918"/>
        <v>52</v>
      </c>
      <c r="DD524" s="14">
        <f>INDEX(属性投放!$AO$7:$AO$58,DC524)</f>
        <v>148</v>
      </c>
      <c r="DE524" s="14" t="s">
        <v>538</v>
      </c>
      <c r="DF524" s="14">
        <f>INDEX(属性投放!$BK$6:$BK$85,(CV524-2)*20+CZ524)</f>
        <v>1000</v>
      </c>
      <c r="DG524" s="14">
        <f>SUMIFS(DF$5:DF524,$CT$5:$CT524,"="&amp;$CT524)</f>
        <v>18335</v>
      </c>
      <c r="DH524" s="14" t="s">
        <v>539</v>
      </c>
      <c r="DI524" s="14">
        <f>INDEX(属性投放!$BL$6:$BL$85,(CV524-2)*20+CZ524)</f>
        <v>500</v>
      </c>
      <c r="DJ524" s="14">
        <f>SUMIFS(DI$5:DI524,$CT$5:$CT524,"="&amp;$CT524)</f>
        <v>9177</v>
      </c>
      <c r="DK524" s="14" t="s">
        <v>540</v>
      </c>
      <c r="DL524" s="14">
        <f>INDEX(属性投放!$BM$6:$BM$85,(CV524-2)*20+CZ524)</f>
        <v>10000</v>
      </c>
      <c r="DM524" s="14">
        <f>SUMIFS(DL$5:DL524,$CT$5:$CT524,"="&amp;$CT524)</f>
        <v>178785</v>
      </c>
      <c r="DR524" s="14">
        <f t="shared" si="895"/>
        <v>1102028</v>
      </c>
      <c r="DS524" s="14" t="str">
        <f t="shared" si="896"/>
        <v>吕布20突</v>
      </c>
      <c r="DT524" s="14">
        <f t="shared" si="925"/>
        <v>8</v>
      </c>
      <c r="DU524" s="14">
        <f t="shared" si="926"/>
        <v>8</v>
      </c>
      <c r="DV524" s="14">
        <f t="shared" si="927"/>
        <v>7</v>
      </c>
      <c r="DW524" s="14">
        <f t="shared" si="897"/>
        <v>5</v>
      </c>
      <c r="DX524" s="14">
        <f t="shared" si="898"/>
        <v>20</v>
      </c>
      <c r="DY524" s="14">
        <f t="shared" si="899"/>
        <v>80</v>
      </c>
      <c r="DZ524" s="14">
        <f>INDEX(属性投放!$AX$6:$AX$85,(卡牌属性!DW524-2)*20+卡牌属性!DX524)</f>
        <v>10</v>
      </c>
      <c r="EA524" s="14">
        <f>INDEX(属性投放!BQ$6:BQ$85,卡牌属性!$DY524)</f>
        <v>1600</v>
      </c>
      <c r="EB524" s="14">
        <f>INDEX(属性投放!BR$6:BR$85,卡牌属性!$DY524)</f>
        <v>800</v>
      </c>
      <c r="EC524" s="14">
        <f>INDEX(属性投放!BS$6:BS$85,卡牌属性!$DY524)</f>
        <v>16000</v>
      </c>
      <c r="ED524" s="14">
        <f t="shared" si="900"/>
        <v>14250</v>
      </c>
      <c r="EE524" s="14">
        <f t="shared" si="901"/>
        <v>15185</v>
      </c>
      <c r="EF524" s="14">
        <f t="shared" si="902"/>
        <v>17390</v>
      </c>
      <c r="EG524" s="14">
        <f t="shared" si="903"/>
        <v>17390</v>
      </c>
      <c r="EH524" s="14">
        <f t="shared" si="904"/>
        <v>20585</v>
      </c>
      <c r="EI524" s="14">
        <f t="shared" si="905"/>
        <v>7113</v>
      </c>
      <c r="EJ524" s="14">
        <f t="shared" si="906"/>
        <v>7570</v>
      </c>
      <c r="EK524" s="14">
        <f t="shared" si="907"/>
        <v>7570</v>
      </c>
      <c r="EL524" s="14">
        <f t="shared" si="908"/>
        <v>8695</v>
      </c>
      <c r="EM524" s="14">
        <f t="shared" si="909"/>
        <v>10309</v>
      </c>
      <c r="EN524" s="14">
        <f t="shared" si="910"/>
        <v>126103</v>
      </c>
      <c r="EO524" s="14">
        <f t="shared" si="911"/>
        <v>132047</v>
      </c>
      <c r="EP524" s="14">
        <f t="shared" si="912"/>
        <v>132047</v>
      </c>
      <c r="EQ524" s="14">
        <f t="shared" si="913"/>
        <v>140445</v>
      </c>
      <c r="ER524" s="14">
        <f t="shared" si="914"/>
        <v>160905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INDEX(属性投放!$BQ$6:$BQ$85,(卡牌属性!$DW524-2)*20+卡牌属性!$DX524)</f>
        <v>1600</v>
      </c>
      <c r="FI524" s="14">
        <f>INDEX(属性投放!$BQ$6:$BQ$85,(卡牌属性!$DW524-2)*20+卡牌属性!$DX524)</f>
        <v>1600</v>
      </c>
      <c r="FJ524" s="14">
        <f>INDEX(属性投放!$BQ$6:$BQ$85,(卡牌属性!$DW524-2)*20+卡牌属性!$DX524)</f>
        <v>1600</v>
      </c>
      <c r="FK524" s="14">
        <f>INDEX(属性投放!$BQ$6:$BQ$85,(卡牌属性!$DW524-2)*20+卡牌属性!$DX524)</f>
        <v>1600</v>
      </c>
      <c r="FL524" s="14">
        <f>INDEX(属性投放!$BQ$6:$BQ$85,(卡牌属性!$DW524-2)*20+卡牌属性!$DX524)</f>
        <v>1600</v>
      </c>
      <c r="FM524" s="14">
        <f>INDEX(属性投放!$BR$6:$BR$85,(卡牌属性!$DW524-2)*20+卡牌属性!$DX524)</f>
        <v>800</v>
      </c>
      <c r="FN524" s="14">
        <f>INDEX(属性投放!$BR$6:$BR$85,(卡牌属性!$DW524-2)*20+卡牌属性!$DX524)</f>
        <v>800</v>
      </c>
      <c r="FO524" s="14">
        <f>INDEX(属性投放!$BR$6:$BR$85,(卡牌属性!$DW524-2)*20+卡牌属性!$DX524)</f>
        <v>800</v>
      </c>
      <c r="FP524" s="14">
        <f>INDEX(属性投放!$BR$6:$BR$85,(卡牌属性!$DW524-2)*20+卡牌属性!$DX524)</f>
        <v>800</v>
      </c>
      <c r="FQ524" s="14">
        <f>INDEX(属性投放!$BR$6:$BR$85,(卡牌属性!$DW524-2)*20+卡牌属性!$DX524)</f>
        <v>800</v>
      </c>
      <c r="FR524" s="14">
        <f>INDEX(属性投放!$BS$6:$BS$85,(卡牌属性!$DW524-2)*20+卡牌属性!$DX524)</f>
        <v>16000</v>
      </c>
      <c r="FS524" s="14">
        <f>INDEX(属性投放!$BS$6:$BS$85,(卡牌属性!$DW524-2)*20+卡牌属性!$DX524)</f>
        <v>16000</v>
      </c>
      <c r="FT524" s="14">
        <f>INDEX(属性投放!$BS$6:$BS$85,(卡牌属性!$DW524-2)*20+卡牌属性!$DX524)</f>
        <v>16000</v>
      </c>
      <c r="FU524" s="14">
        <f>INDEX(属性投放!$BS$6:$BS$85,(卡牌属性!$DW524-2)*20+卡牌属性!$DX524)</f>
        <v>16000</v>
      </c>
      <c r="FV524" s="14">
        <f>INDEX(属性投放!$BS$6:$BS$85,(卡牌属性!$DW524-2)*20+卡牌属性!$DX524)</f>
        <v>16000</v>
      </c>
    </row>
    <row r="525" spans="31:178" ht="16.5" x14ac:dyDescent="0.2">
      <c r="AE525" s="13">
        <v>521</v>
      </c>
      <c r="AF525" s="13">
        <f t="shared" si="928"/>
        <v>27</v>
      </c>
      <c r="AG525" s="13">
        <f t="shared" si="929"/>
        <v>5</v>
      </c>
      <c r="AH525" s="13"/>
      <c r="AI525" s="13"/>
      <c r="AJ525" s="14">
        <f t="shared" si="930"/>
        <v>1101996</v>
      </c>
      <c r="AK525" s="14" t="str">
        <f t="shared" si="931"/>
        <v>UR寄灵人1突</v>
      </c>
      <c r="AL525" s="25" t="s">
        <v>142</v>
      </c>
      <c r="AM525" s="14">
        <v>1</v>
      </c>
      <c r="AN525" s="14">
        <f t="shared" si="932"/>
        <v>1</v>
      </c>
      <c r="AO525" s="14">
        <f>INDEX(属性投放!$DF$6:$DF$85,(卡牌属性!AG525-2)*20+卡牌属性!AN525)</f>
        <v>250</v>
      </c>
      <c r="AP525" s="14">
        <f t="shared" si="933"/>
        <v>250</v>
      </c>
      <c r="AQ525" s="14">
        <f t="shared" si="933"/>
        <v>250</v>
      </c>
      <c r="AR525" s="14">
        <f t="shared" si="933"/>
        <v>250</v>
      </c>
      <c r="AS525" s="14">
        <f t="shared" si="933"/>
        <v>250</v>
      </c>
      <c r="AT525" s="14">
        <f>INDEX(属性投放!$DG$6:$DG$85,(卡牌属性!AG525-2)*20+卡牌属性!AN525)</f>
        <v>50</v>
      </c>
      <c r="AU525" s="14">
        <f t="shared" si="934"/>
        <v>50</v>
      </c>
      <c r="AV525" s="14">
        <f t="shared" si="934"/>
        <v>50</v>
      </c>
      <c r="AW525" s="14">
        <f t="shared" si="934"/>
        <v>50</v>
      </c>
      <c r="AX525" s="14">
        <f t="shared" si="934"/>
        <v>50</v>
      </c>
      <c r="AY525" s="14">
        <f>INDEX(属性投放!$DH$6:$DH$85,(卡牌属性!AG525-2)*20+卡牌属性!AN525)</f>
        <v>700</v>
      </c>
      <c r="AZ525" s="14">
        <f t="shared" si="935"/>
        <v>700</v>
      </c>
      <c r="BA525" s="14">
        <f t="shared" si="935"/>
        <v>700</v>
      </c>
      <c r="BB525" s="14">
        <f t="shared" si="935"/>
        <v>700</v>
      </c>
      <c r="BC525" s="14">
        <f t="shared" si="935"/>
        <v>700</v>
      </c>
      <c r="BD525" s="14">
        <f>INDEX(属性投放!$DL$6:$DL$85,(卡牌属性!AG525-2)*20+卡牌属性!AN525)</f>
        <v>11</v>
      </c>
      <c r="BE525" s="14">
        <f t="shared" si="936"/>
        <v>11</v>
      </c>
      <c r="BF525" s="14">
        <f t="shared" si="936"/>
        <v>11</v>
      </c>
      <c r="BG525" s="14">
        <f t="shared" si="936"/>
        <v>11</v>
      </c>
      <c r="BH525" s="14">
        <f t="shared" si="936"/>
        <v>11</v>
      </c>
      <c r="BI525" s="14">
        <f>INDEX(属性投放!$DM$6:$DM$85,(卡牌属性!AG525-2)*20+卡牌属性!AN525)</f>
        <v>6</v>
      </c>
      <c r="BJ525" s="14">
        <f t="shared" si="937"/>
        <v>6</v>
      </c>
      <c r="BK525" s="14">
        <f t="shared" si="937"/>
        <v>6</v>
      </c>
      <c r="BL525" s="14">
        <f t="shared" si="937"/>
        <v>6</v>
      </c>
      <c r="BM525" s="14">
        <f t="shared" si="937"/>
        <v>6</v>
      </c>
      <c r="BN525" s="14">
        <f>INDEX(属性投放!$DN$6:$DN$85,(卡牌属性!AG525-2)*20+卡牌属性!AN525)</f>
        <v>65</v>
      </c>
      <c r="BO525" s="14">
        <f t="shared" si="938"/>
        <v>65</v>
      </c>
      <c r="BP525" s="14">
        <f t="shared" si="938"/>
        <v>65</v>
      </c>
      <c r="BQ525" s="14">
        <f t="shared" si="938"/>
        <v>65</v>
      </c>
      <c r="BR525" s="14">
        <f t="shared" si="938"/>
        <v>65</v>
      </c>
      <c r="BW525" s="13">
        <v>521</v>
      </c>
      <c r="BX525" s="13">
        <f t="shared" si="915"/>
        <v>27</v>
      </c>
      <c r="BY525" s="14">
        <f t="shared" si="916"/>
        <v>3</v>
      </c>
      <c r="BZ525" s="14">
        <f t="shared" si="919"/>
        <v>1102030</v>
      </c>
      <c r="CA525" s="14" t="str">
        <f t="shared" si="920"/>
        <v>燕青1突</v>
      </c>
      <c r="CB525" s="25" t="s">
        <v>142</v>
      </c>
      <c r="CC525" s="14">
        <v>2</v>
      </c>
      <c r="CD525" s="14">
        <f t="shared" si="917"/>
        <v>1</v>
      </c>
      <c r="CE525" s="14" t="s">
        <v>21</v>
      </c>
      <c r="CF525" s="14">
        <f>INDEX(属性投放!$AZ$6:$AZ$85,(BY525-2)*20+CD525)</f>
        <v>150</v>
      </c>
      <c r="CG525" s="14" t="s">
        <v>22</v>
      </c>
      <c r="CH525" s="14">
        <f>INDEX(属性投放!$BA$6:$BA$85,(BY525-2)*20+CD525)</f>
        <v>10</v>
      </c>
      <c r="CI525" s="14" t="s">
        <v>510</v>
      </c>
      <c r="CJ525" s="14">
        <f>INDEX(属性投放!$BB$6:$BB$85,(BY525-2)*20+CD525)</f>
        <v>500</v>
      </c>
      <c r="CK525" s="14" t="s">
        <v>21</v>
      </c>
      <c r="CL525" s="14">
        <f>INDEX(属性投放!$BC$6:$BC$85,(BY525-2)*20+CD525)</f>
        <v>8</v>
      </c>
      <c r="CM525" s="14" t="s">
        <v>22</v>
      </c>
      <c r="CN525" s="14">
        <f>INDEX(属性投放!$BD$6:$BD$85,(BY525-2)*20+CD525)</f>
        <v>4</v>
      </c>
      <c r="CO525" s="14" t="s">
        <v>510</v>
      </c>
      <c r="CP525" s="14">
        <f>INDEX(属性投放!$BE$6:$BE$85,(BY525-2)*20+CD525)</f>
        <v>48</v>
      </c>
      <c r="CS525" s="13">
        <v>521</v>
      </c>
      <c r="CT525" s="13">
        <f t="shared" si="921"/>
        <v>11</v>
      </c>
      <c r="CU525" s="13">
        <f t="shared" si="922"/>
        <v>1</v>
      </c>
      <c r="CV525" s="14">
        <f t="shared" si="923"/>
        <v>4</v>
      </c>
      <c r="CW525" s="14">
        <f t="shared" si="924"/>
        <v>1102011</v>
      </c>
      <c r="CX525" s="14" t="str">
        <f>INDEX($O$6:$O$50,CT525)&amp;"-"&amp;INDEX(属性投放!$AB$7:$AB$50,CZ525)&amp;"-魂火-"&amp;DB525</f>
        <v>张飞-等活-魂火-1</v>
      </c>
      <c r="CY525" s="25" t="s">
        <v>142</v>
      </c>
      <c r="CZ525" s="14">
        <f>INDEX(属性投放!$AM$7:$AM$58,CU525)</f>
        <v>1</v>
      </c>
      <c r="DA525" s="14" t="s">
        <v>537</v>
      </c>
      <c r="DB525" s="14">
        <f>INDEX(属性投放!$AN$7:$AN$58,CU525)</f>
        <v>1</v>
      </c>
      <c r="DC525" s="14">
        <f t="shared" si="918"/>
        <v>1</v>
      </c>
      <c r="DD525" s="14">
        <f>INDEX(属性投放!$AO$7:$AO$58,DC525)</f>
        <v>3</v>
      </c>
      <c r="DE525" s="14" t="s">
        <v>538</v>
      </c>
      <c r="DF525" s="14">
        <f>INDEX(属性投放!$BK$6:$BK$85,(CV525-2)*20+CZ525)</f>
        <v>25</v>
      </c>
      <c r="DG525" s="14">
        <f>SUMIFS(DF$5:DF525,$CT$5:$CT525,"="&amp;$CT525)</f>
        <v>25</v>
      </c>
      <c r="DH525" s="14" t="s">
        <v>539</v>
      </c>
      <c r="DI525" s="14">
        <f>INDEX(属性投放!$BL$6:$BL$85,(CV525-2)*20+CZ525)</f>
        <v>13</v>
      </c>
      <c r="DJ525" s="14">
        <f>SUMIFS(DI$5:DI525,$CT$5:$CT525,"="&amp;$CT525)</f>
        <v>13</v>
      </c>
      <c r="DK525" s="14" t="s">
        <v>540</v>
      </c>
      <c r="DL525" s="14">
        <f>INDEX(属性投放!$BM$6:$BM$85,(CV525-2)*20+CZ525)</f>
        <v>150</v>
      </c>
      <c r="DM525" s="14">
        <f>SUMIFS(DL$5:DL525,$CT$5:$CT525,"="&amp;$CT525)</f>
        <v>150</v>
      </c>
      <c r="DR525" s="14">
        <f t="shared" si="895"/>
        <v>1102030</v>
      </c>
      <c r="DS525" s="14" t="str">
        <f t="shared" si="896"/>
        <v>燕青1突</v>
      </c>
      <c r="DT525" s="14">
        <f t="shared" si="925"/>
        <v>6</v>
      </c>
      <c r="DU525" s="14">
        <f t="shared" si="926"/>
        <v>6</v>
      </c>
      <c r="DV525" s="14">
        <f t="shared" si="927"/>
        <v>5</v>
      </c>
      <c r="DW525" s="14">
        <f t="shared" si="897"/>
        <v>3</v>
      </c>
      <c r="DX525" s="14">
        <f t="shared" si="898"/>
        <v>1</v>
      </c>
      <c r="DY525" s="14">
        <f t="shared" si="899"/>
        <v>21</v>
      </c>
      <c r="DZ525" s="14">
        <f>INDEX(属性投放!$AX$6:$AX$85,(卡牌属性!DW525-2)*20+卡牌属性!DX525)</f>
        <v>4</v>
      </c>
      <c r="EA525" s="14">
        <f>INDEX(属性投放!BQ$6:BQ$85,卡牌属性!$DY525)</f>
        <v>30</v>
      </c>
      <c r="EB525" s="14">
        <f>INDEX(属性投放!BR$6:BR$85,卡牌属性!$DY525)</f>
        <v>15</v>
      </c>
      <c r="EC525" s="14">
        <f>INDEX(属性投放!BS$6:BS$85,卡牌属性!$DY525)</f>
        <v>180</v>
      </c>
      <c r="ED525" s="14">
        <f>INDEX(属性偏向!$I$4:$I$15,卡牌属性!$DT525+ED$3)</f>
        <v>175</v>
      </c>
      <c r="EE525" s="14">
        <f>INDEX(属性偏向!$I$4:$I$15,卡牌属性!$DT525+EE$3)</f>
        <v>200</v>
      </c>
      <c r="EF525" s="14">
        <f>INDEX(属性偏向!$I$4:$I$15,卡牌属性!$DT525+EF$3)</f>
        <v>250</v>
      </c>
      <c r="EG525" s="14">
        <f>INDEX(属性偏向!$I$4:$I$15,卡牌属性!$DT525+EG$3)</f>
        <v>250</v>
      </c>
      <c r="EH525" s="14">
        <f>INDEX(属性偏向!$I$4:$I$15,卡牌属性!$DT525+EH$3)</f>
        <v>300</v>
      </c>
      <c r="EI525" s="14">
        <f>INDEX(属性偏向!$J$4:$J$15,卡牌属性!$DU525+EI$3)</f>
        <v>40</v>
      </c>
      <c r="EJ525" s="14">
        <f>INDEX(属性偏向!$J$4:$J$15,卡牌属性!$DU525+EJ$3)</f>
        <v>50</v>
      </c>
      <c r="EK525" s="14">
        <f>INDEX(属性偏向!$J$4:$J$15,卡牌属性!$DU525+EK$3)</f>
        <v>50</v>
      </c>
      <c r="EL525" s="14">
        <f>INDEX(属性偏向!$J$4:$J$15,卡牌属性!$DU525+EL$3)</f>
        <v>75</v>
      </c>
      <c r="EM525" s="14">
        <f>INDEX(属性偏向!$J$4:$J$15,卡牌属性!$DU525+EM$3)</f>
        <v>100</v>
      </c>
      <c r="EN525" s="14">
        <f>INDEX(属性偏向!$K$4:$K$15,卡牌属性!$DV525+EN$3)</f>
        <v>500</v>
      </c>
      <c r="EO525" s="14">
        <f>INDEX(属性偏向!$K$4:$K$15,卡牌属性!$DV525+EO$3)</f>
        <v>650</v>
      </c>
      <c r="EP525" s="14">
        <f>INDEX(属性偏向!$K$4:$K$15,卡牌属性!$DV525+EP$3)</f>
        <v>650</v>
      </c>
      <c r="EQ525" s="14">
        <f>INDEX(属性偏向!$K$4:$K$15,卡牌属性!$DV525+EQ$3)</f>
        <v>800</v>
      </c>
      <c r="ER525" s="14">
        <f>INDEX(属性偏向!$K$4:$K$15,卡牌属性!$DV525+ER$3)</f>
        <v>1000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48</v>
      </c>
      <c r="FD525" s="14">
        <f>INDEX(属性偏向!$U$4:$U$243,(卡牌属性!$DV525-1+FD$3)*20+卡牌属性!$DX525)</f>
        <v>60</v>
      </c>
      <c r="FE525" s="14">
        <f>INDEX(属性偏向!$U$4:$U$243,(卡牌属性!$DV525-1+FE$3)*20+卡牌属性!$DX525)</f>
        <v>60</v>
      </c>
      <c r="FF525" s="14">
        <f>INDEX(属性偏向!$U$4:$U$243,(卡牌属性!$DV525-1+FF$3)*20+卡牌属性!$DX525)</f>
        <v>72</v>
      </c>
      <c r="FG525" s="14">
        <f>INDEX(属性偏向!$U$4:$U$243,(卡牌属性!$DV525-1+FG$3)*20+卡牌属性!$DX525)</f>
        <v>78</v>
      </c>
      <c r="FH525" s="14">
        <f>INDEX(属性投放!$BQ$6:$BQ$85,(卡牌属性!$DW525-2)*20+卡牌属性!$DX525)</f>
        <v>30</v>
      </c>
      <c r="FI525" s="14">
        <f>INDEX(属性投放!$BQ$6:$BQ$85,(卡牌属性!$DW525-2)*20+卡牌属性!$DX525)</f>
        <v>30</v>
      </c>
      <c r="FJ525" s="14">
        <f>INDEX(属性投放!$BQ$6:$BQ$85,(卡牌属性!$DW525-2)*20+卡牌属性!$DX525)</f>
        <v>30</v>
      </c>
      <c r="FK525" s="14">
        <f>INDEX(属性投放!$BQ$6:$BQ$85,(卡牌属性!$DW525-2)*20+卡牌属性!$DX525)</f>
        <v>30</v>
      </c>
      <c r="FL525" s="14">
        <f>INDEX(属性投放!$BQ$6:$BQ$85,(卡牌属性!$DW525-2)*20+卡牌属性!$DX525)</f>
        <v>30</v>
      </c>
      <c r="FM525" s="14">
        <f>INDEX(属性投放!$BR$6:$BR$85,(卡牌属性!$DW525-2)*20+卡牌属性!$DX525)</f>
        <v>15</v>
      </c>
      <c r="FN525" s="14">
        <f>INDEX(属性投放!$BR$6:$BR$85,(卡牌属性!$DW525-2)*20+卡牌属性!$DX525)</f>
        <v>15</v>
      </c>
      <c r="FO525" s="14">
        <f>INDEX(属性投放!$BR$6:$BR$85,(卡牌属性!$DW525-2)*20+卡牌属性!$DX525)</f>
        <v>15</v>
      </c>
      <c r="FP525" s="14">
        <f>INDEX(属性投放!$BR$6:$BR$85,(卡牌属性!$DW525-2)*20+卡牌属性!$DX525)</f>
        <v>15</v>
      </c>
      <c r="FQ525" s="14">
        <f>INDEX(属性投放!$BR$6:$BR$85,(卡牌属性!$DW525-2)*20+卡牌属性!$DX525)</f>
        <v>15</v>
      </c>
      <c r="FR525" s="14">
        <f>INDEX(属性投放!$BS$6:$BS$85,(卡牌属性!$DW525-2)*20+卡牌属性!$DX525)</f>
        <v>180</v>
      </c>
      <c r="FS525" s="14">
        <f>INDEX(属性投放!$BS$6:$BS$85,(卡牌属性!$DW525-2)*20+卡牌属性!$DX525)</f>
        <v>180</v>
      </c>
      <c r="FT525" s="14">
        <f>INDEX(属性投放!$BS$6:$BS$85,(卡牌属性!$DW525-2)*20+卡牌属性!$DX525)</f>
        <v>180</v>
      </c>
      <c r="FU525" s="14">
        <f>INDEX(属性投放!$BS$6:$BS$85,(卡牌属性!$DW525-2)*20+卡牌属性!$DX525)</f>
        <v>180</v>
      </c>
      <c r="FV525" s="14">
        <f>INDEX(属性投放!$BS$6:$BS$85,(卡牌属性!$DW525-2)*20+卡牌属性!$DX525)</f>
        <v>180</v>
      </c>
    </row>
    <row r="526" spans="31:178" ht="16.5" x14ac:dyDescent="0.2">
      <c r="AE526" s="13">
        <v>522</v>
      </c>
      <c r="AF526" s="13">
        <f t="shared" si="928"/>
        <v>27</v>
      </c>
      <c r="AG526" s="13">
        <f t="shared" si="929"/>
        <v>5</v>
      </c>
      <c r="AH526" s="13"/>
      <c r="AI526" s="13"/>
      <c r="AJ526" s="14">
        <f t="shared" si="930"/>
        <v>1101996</v>
      </c>
      <c r="AK526" s="14" t="str">
        <f t="shared" si="931"/>
        <v>UR寄灵人2突</v>
      </c>
      <c r="AL526" s="25" t="s">
        <v>142</v>
      </c>
      <c r="AM526" s="14">
        <v>1</v>
      </c>
      <c r="AN526" s="14">
        <f t="shared" si="932"/>
        <v>2</v>
      </c>
      <c r="AO526" s="14">
        <f>INDEX(属性投放!$DF$6:$DF$85,(卡牌属性!AG526-2)*20+卡牌属性!AN526)</f>
        <v>360</v>
      </c>
      <c r="AP526" s="14">
        <f t="shared" si="933"/>
        <v>360</v>
      </c>
      <c r="AQ526" s="14">
        <f t="shared" si="933"/>
        <v>360</v>
      </c>
      <c r="AR526" s="14">
        <f t="shared" si="933"/>
        <v>360</v>
      </c>
      <c r="AS526" s="14">
        <f t="shared" si="933"/>
        <v>360</v>
      </c>
      <c r="AT526" s="14">
        <f>INDEX(属性投放!$DG$6:$DG$85,(卡牌属性!AG526-2)*20+卡牌属性!AN526)</f>
        <v>110</v>
      </c>
      <c r="AU526" s="14">
        <f t="shared" si="934"/>
        <v>110</v>
      </c>
      <c r="AV526" s="14">
        <f t="shared" si="934"/>
        <v>110</v>
      </c>
      <c r="AW526" s="14">
        <f t="shared" si="934"/>
        <v>110</v>
      </c>
      <c r="AX526" s="14">
        <f t="shared" si="934"/>
        <v>110</v>
      </c>
      <c r="AY526" s="14">
        <f>INDEX(属性投放!$DH$6:$DH$85,(卡牌属性!AG526-2)*20+卡牌属性!AN526)</f>
        <v>1350</v>
      </c>
      <c r="AZ526" s="14">
        <f t="shared" si="935"/>
        <v>1350</v>
      </c>
      <c r="BA526" s="14">
        <f t="shared" si="935"/>
        <v>1350</v>
      </c>
      <c r="BB526" s="14">
        <f t="shared" si="935"/>
        <v>1350</v>
      </c>
      <c r="BC526" s="14">
        <f t="shared" si="935"/>
        <v>1350</v>
      </c>
      <c r="BD526" s="14">
        <f>INDEX(属性投放!$DL$6:$DL$85,(卡牌属性!AG526-2)*20+卡牌属性!AN526)</f>
        <v>22</v>
      </c>
      <c r="BE526" s="14">
        <f t="shared" si="936"/>
        <v>22</v>
      </c>
      <c r="BF526" s="14">
        <f t="shared" si="936"/>
        <v>22</v>
      </c>
      <c r="BG526" s="14">
        <f t="shared" si="936"/>
        <v>22</v>
      </c>
      <c r="BH526" s="14">
        <f t="shared" si="936"/>
        <v>22</v>
      </c>
      <c r="BI526" s="14">
        <f>INDEX(属性投放!$DM$6:$DM$85,(卡牌属性!AG526-2)*20+卡牌属性!AN526)</f>
        <v>11</v>
      </c>
      <c r="BJ526" s="14">
        <f t="shared" si="937"/>
        <v>11</v>
      </c>
      <c r="BK526" s="14">
        <f t="shared" si="937"/>
        <v>11</v>
      </c>
      <c r="BL526" s="14">
        <f t="shared" si="937"/>
        <v>11</v>
      </c>
      <c r="BM526" s="14">
        <f t="shared" si="937"/>
        <v>11</v>
      </c>
      <c r="BN526" s="14">
        <f>INDEX(属性投放!$DN$6:$DN$85,(卡牌属性!AG526-2)*20+卡牌属性!AN526)</f>
        <v>132</v>
      </c>
      <c r="BO526" s="14">
        <f t="shared" si="938"/>
        <v>132</v>
      </c>
      <c r="BP526" s="14">
        <f t="shared" si="938"/>
        <v>132</v>
      </c>
      <c r="BQ526" s="14">
        <f t="shared" si="938"/>
        <v>132</v>
      </c>
      <c r="BR526" s="14">
        <f t="shared" si="938"/>
        <v>132</v>
      </c>
      <c r="BW526" s="13">
        <v>522</v>
      </c>
      <c r="BX526" s="13">
        <f t="shared" si="915"/>
        <v>27</v>
      </c>
      <c r="BY526" s="14">
        <f t="shared" si="916"/>
        <v>3</v>
      </c>
      <c r="BZ526" s="14">
        <f t="shared" si="919"/>
        <v>1102030</v>
      </c>
      <c r="CA526" s="14" t="str">
        <f t="shared" si="920"/>
        <v>燕青2突</v>
      </c>
      <c r="CB526" s="25" t="s">
        <v>142</v>
      </c>
      <c r="CC526" s="14">
        <v>2</v>
      </c>
      <c r="CD526" s="14">
        <f t="shared" si="917"/>
        <v>2</v>
      </c>
      <c r="CE526" s="14" t="s">
        <v>21</v>
      </c>
      <c r="CF526" s="14">
        <f>INDEX(属性投放!$AZ$6:$AZ$85,(BY526-2)*20+CD526)</f>
        <v>232</v>
      </c>
      <c r="CG526" s="14" t="s">
        <v>22</v>
      </c>
      <c r="CH526" s="14">
        <f>INDEX(属性投放!$BA$6:$BA$85,(BY526-2)*20+CD526)</f>
        <v>51</v>
      </c>
      <c r="CI526" s="14" t="s">
        <v>510</v>
      </c>
      <c r="CJ526" s="14">
        <f>INDEX(属性投放!$BB$6:$BB$85,(BY526-2)*20+CD526)</f>
        <v>992</v>
      </c>
      <c r="CK526" s="14" t="s">
        <v>21</v>
      </c>
      <c r="CL526" s="14">
        <f>INDEX(属性投放!$BC$6:$BC$85,(BY526-2)*20+CD526)</f>
        <v>10</v>
      </c>
      <c r="CM526" s="14" t="s">
        <v>22</v>
      </c>
      <c r="CN526" s="14">
        <f>INDEX(属性投放!$BD$6:$BD$85,(BY526-2)*20+CD526)</f>
        <v>5</v>
      </c>
      <c r="CO526" s="14" t="s">
        <v>510</v>
      </c>
      <c r="CP526" s="14">
        <f>INDEX(属性投放!$BE$6:$BE$85,(BY526-2)*20+CD526)</f>
        <v>60</v>
      </c>
      <c r="CS526" s="13">
        <v>522</v>
      </c>
      <c r="CT526" s="13">
        <f t="shared" si="921"/>
        <v>11</v>
      </c>
      <c r="CU526" s="13">
        <f t="shared" si="922"/>
        <v>2</v>
      </c>
      <c r="CV526" s="14">
        <f t="shared" si="923"/>
        <v>4</v>
      </c>
      <c r="CW526" s="14">
        <f t="shared" si="924"/>
        <v>1102011</v>
      </c>
      <c r="CX526" s="14" t="str">
        <f>INDEX($O$6:$O$50,CT526)&amp;"-"&amp;INDEX(属性投放!$AB$7:$AB$50,CZ526)&amp;"-魂火-"&amp;DB526</f>
        <v>张飞-黑绳-魂火-1</v>
      </c>
      <c r="CY526" s="25" t="s">
        <v>142</v>
      </c>
      <c r="CZ526" s="14">
        <f>INDEX(属性投放!$AM$7:$AM$58,CU526)</f>
        <v>2</v>
      </c>
      <c r="DA526" s="14" t="s">
        <v>537</v>
      </c>
      <c r="DB526" s="14">
        <f>INDEX(属性投放!$AN$7:$AN$58,CU526)</f>
        <v>1</v>
      </c>
      <c r="DC526" s="14">
        <f t="shared" si="918"/>
        <v>2</v>
      </c>
      <c r="DD526" s="14">
        <f>INDEX(属性投放!$AO$7:$AO$58,DC526)</f>
        <v>8</v>
      </c>
      <c r="DE526" s="14" t="s">
        <v>538</v>
      </c>
      <c r="DF526" s="14">
        <f>INDEX(属性投放!$BK$6:$BK$85,(CV526-2)*20+CZ526)</f>
        <v>30</v>
      </c>
      <c r="DG526" s="14">
        <f>SUMIFS(DF$5:DF526,$CT$5:$CT526,"="&amp;$CT526)</f>
        <v>55</v>
      </c>
      <c r="DH526" s="14" t="s">
        <v>539</v>
      </c>
      <c r="DI526" s="14">
        <f>INDEX(属性投放!$BL$6:$BL$85,(CV526-2)*20+CZ526)</f>
        <v>15</v>
      </c>
      <c r="DJ526" s="14">
        <f>SUMIFS(DI$5:DI526,$CT$5:$CT526,"="&amp;$CT526)</f>
        <v>28</v>
      </c>
      <c r="DK526" s="14" t="s">
        <v>540</v>
      </c>
      <c r="DL526" s="14">
        <f>INDEX(属性投放!$BM$6:$BM$85,(CV526-2)*20+CZ526)</f>
        <v>180</v>
      </c>
      <c r="DM526" s="14">
        <f>SUMIFS(DL$5:DL526,$CT$5:$CT526,"="&amp;$CT526)</f>
        <v>330</v>
      </c>
      <c r="DR526" s="14">
        <f t="shared" si="895"/>
        <v>1102030</v>
      </c>
      <c r="DS526" s="14" t="str">
        <f t="shared" si="896"/>
        <v>燕青2突</v>
      </c>
      <c r="DT526" s="14">
        <f t="shared" si="925"/>
        <v>6</v>
      </c>
      <c r="DU526" s="14">
        <f t="shared" si="926"/>
        <v>6</v>
      </c>
      <c r="DV526" s="14">
        <f t="shared" si="927"/>
        <v>5</v>
      </c>
      <c r="DW526" s="14">
        <f t="shared" si="897"/>
        <v>3</v>
      </c>
      <c r="DX526" s="14">
        <f t="shared" si="898"/>
        <v>2</v>
      </c>
      <c r="DY526" s="14">
        <f t="shared" si="899"/>
        <v>22</v>
      </c>
      <c r="DZ526" s="14">
        <f>INDEX(属性投放!$AX$6:$AX$85,(卡牌属性!DW526-2)*20+卡牌属性!DX526)</f>
        <v>10</v>
      </c>
      <c r="EA526" s="14">
        <f>INDEX(属性投放!BQ$6:BQ$85,卡牌属性!$DY526)</f>
        <v>40</v>
      </c>
      <c r="EB526" s="14">
        <f>INDEX(属性投放!BR$6:BR$85,卡牌属性!$DY526)</f>
        <v>20</v>
      </c>
      <c r="EC526" s="14">
        <f>INDEX(属性投放!BS$6:BS$85,卡牌属性!$DY526)</f>
        <v>240</v>
      </c>
      <c r="ED526" s="14">
        <f t="shared" ref="ED526:ED544" si="939">ED525+$EA525+ES525*$DZ525</f>
        <v>245</v>
      </c>
      <c r="EE526" s="14">
        <f t="shared" ref="EE526:EE544" si="940">EE525+$EA525+ET525*$DZ525</f>
        <v>278</v>
      </c>
      <c r="EF526" s="14">
        <f t="shared" ref="EF526:EF544" si="941">EF525+$EA525+EU525*$DZ525</f>
        <v>332</v>
      </c>
      <c r="EG526" s="14">
        <f t="shared" ref="EG526:EG544" si="942">EG525+$EA525+EV525*$DZ525</f>
        <v>332</v>
      </c>
      <c r="EH526" s="14">
        <f t="shared" ref="EH526:EH544" si="943">EH525+$EA525+EW525*$DZ525</f>
        <v>390</v>
      </c>
      <c r="EI526" s="14">
        <f t="shared" ref="EI526:EI544" si="944">EI525+$EB525+EX525*$DZ525</f>
        <v>75</v>
      </c>
      <c r="EJ526" s="14">
        <f t="shared" ref="EJ526:EJ544" si="945">EJ525+$EB525+EY525*$DZ525</f>
        <v>89</v>
      </c>
      <c r="EK526" s="14">
        <f t="shared" ref="EK526:EK544" si="946">EK525+$EB525+EZ525*$DZ525</f>
        <v>89</v>
      </c>
      <c r="EL526" s="14">
        <f t="shared" ref="EL526:EL544" si="947">EL525+$EB525+FA525*$DZ525</f>
        <v>118</v>
      </c>
      <c r="EM526" s="14">
        <f t="shared" ref="EM526:EM544" si="948">EM525+$EB525+FB525*$DZ525</f>
        <v>147</v>
      </c>
      <c r="EN526" s="14">
        <f t="shared" ref="EN526:EN544" si="949">EN525+$EC525+FC525*$DZ525</f>
        <v>872</v>
      </c>
      <c r="EO526" s="14">
        <f t="shared" ref="EO526:EO544" si="950">EO525+$EC525+FD525*$DZ525</f>
        <v>1070</v>
      </c>
      <c r="EP526" s="14">
        <f t="shared" ref="EP526:EP544" si="951">EP525+$EC525+FE525*$DZ525</f>
        <v>1070</v>
      </c>
      <c r="EQ526" s="14">
        <f t="shared" ref="EQ526:EQ544" si="952">EQ525+$EC525+FF525*$DZ525</f>
        <v>1268</v>
      </c>
      <c r="ER526" s="14">
        <f t="shared" ref="ER526:ER544" si="953">ER525+$EC525+FG525*$DZ525</f>
        <v>1492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60</v>
      </c>
      <c r="FD526" s="14">
        <f>INDEX(属性偏向!$U$4:$U$243,(卡牌属性!$DV526-1+FD$3)*20+卡牌属性!$DX526)</f>
        <v>72</v>
      </c>
      <c r="FE526" s="14">
        <f>INDEX(属性偏向!$U$4:$U$243,(卡牌属性!$DV526-1+FE$3)*20+卡牌属性!$DX526)</f>
        <v>72</v>
      </c>
      <c r="FF526" s="14">
        <f>INDEX(属性偏向!$U$4:$U$243,(卡牌属性!$DV526-1+FF$3)*20+卡牌属性!$DX526)</f>
        <v>90</v>
      </c>
      <c r="FG526" s="14">
        <f>INDEX(属性偏向!$U$4:$U$243,(卡牌属性!$DV526-1+FG$3)*20+卡牌属性!$DX526)</f>
        <v>102</v>
      </c>
      <c r="FH526" s="14">
        <f>INDEX(属性投放!$BQ$6:$BQ$85,(卡牌属性!$DW526-2)*20+卡牌属性!$DX526)</f>
        <v>40</v>
      </c>
      <c r="FI526" s="14">
        <f>INDEX(属性投放!$BQ$6:$BQ$85,(卡牌属性!$DW526-2)*20+卡牌属性!$DX526)</f>
        <v>40</v>
      </c>
      <c r="FJ526" s="14">
        <f>INDEX(属性投放!$BQ$6:$BQ$85,(卡牌属性!$DW526-2)*20+卡牌属性!$DX526)</f>
        <v>40</v>
      </c>
      <c r="FK526" s="14">
        <f>INDEX(属性投放!$BQ$6:$BQ$85,(卡牌属性!$DW526-2)*20+卡牌属性!$DX526)</f>
        <v>40</v>
      </c>
      <c r="FL526" s="14">
        <f>INDEX(属性投放!$BQ$6:$BQ$85,(卡牌属性!$DW526-2)*20+卡牌属性!$DX526)</f>
        <v>40</v>
      </c>
      <c r="FM526" s="14">
        <f>INDEX(属性投放!$BR$6:$BR$85,(卡牌属性!$DW526-2)*20+卡牌属性!$DX526)</f>
        <v>20</v>
      </c>
      <c r="FN526" s="14">
        <f>INDEX(属性投放!$BR$6:$BR$85,(卡牌属性!$DW526-2)*20+卡牌属性!$DX526)</f>
        <v>20</v>
      </c>
      <c r="FO526" s="14">
        <f>INDEX(属性投放!$BR$6:$BR$85,(卡牌属性!$DW526-2)*20+卡牌属性!$DX526)</f>
        <v>20</v>
      </c>
      <c r="FP526" s="14">
        <f>INDEX(属性投放!$BR$6:$BR$85,(卡牌属性!$DW526-2)*20+卡牌属性!$DX526)</f>
        <v>20</v>
      </c>
      <c r="FQ526" s="14">
        <f>INDEX(属性投放!$BR$6:$BR$85,(卡牌属性!$DW526-2)*20+卡牌属性!$DX526)</f>
        <v>20</v>
      </c>
      <c r="FR526" s="14">
        <f>INDEX(属性投放!$BS$6:$BS$85,(卡牌属性!$DW526-2)*20+卡牌属性!$DX526)</f>
        <v>240</v>
      </c>
      <c r="FS526" s="14">
        <f>INDEX(属性投放!$BS$6:$BS$85,(卡牌属性!$DW526-2)*20+卡牌属性!$DX526)</f>
        <v>240</v>
      </c>
      <c r="FT526" s="14">
        <f>INDEX(属性投放!$BS$6:$BS$85,(卡牌属性!$DW526-2)*20+卡牌属性!$DX526)</f>
        <v>240</v>
      </c>
      <c r="FU526" s="14">
        <f>INDEX(属性投放!$BS$6:$BS$85,(卡牌属性!$DW526-2)*20+卡牌属性!$DX526)</f>
        <v>240</v>
      </c>
      <c r="FV526" s="14">
        <f>INDEX(属性投放!$BS$6:$BS$85,(卡牌属性!$DW526-2)*20+卡牌属性!$DX526)</f>
        <v>240</v>
      </c>
    </row>
    <row r="527" spans="31:178" ht="16.5" x14ac:dyDescent="0.2">
      <c r="AE527" s="13">
        <v>523</v>
      </c>
      <c r="AF527" s="13">
        <f t="shared" si="928"/>
        <v>27</v>
      </c>
      <c r="AG527" s="13">
        <f t="shared" si="929"/>
        <v>5</v>
      </c>
      <c r="AH527" s="13"/>
      <c r="AI527" s="13"/>
      <c r="AJ527" s="14">
        <f t="shared" si="930"/>
        <v>1101996</v>
      </c>
      <c r="AK527" s="14" t="str">
        <f t="shared" si="931"/>
        <v>UR寄灵人3突</v>
      </c>
      <c r="AL527" s="25" t="s">
        <v>142</v>
      </c>
      <c r="AM527" s="14">
        <v>1</v>
      </c>
      <c r="AN527" s="14">
        <f t="shared" si="932"/>
        <v>3</v>
      </c>
      <c r="AO527" s="14">
        <f>INDEX(属性投放!$DF$6:$DF$85,(卡牌属性!AG527-2)*20+卡牌属性!AN527)</f>
        <v>415</v>
      </c>
      <c r="AP527" s="14">
        <f t="shared" si="933"/>
        <v>415</v>
      </c>
      <c r="AQ527" s="14">
        <f t="shared" si="933"/>
        <v>415</v>
      </c>
      <c r="AR527" s="14">
        <f t="shared" si="933"/>
        <v>415</v>
      </c>
      <c r="AS527" s="14">
        <f t="shared" si="933"/>
        <v>415</v>
      </c>
      <c r="AT527" s="14">
        <f>INDEX(属性投放!$DG$6:$DG$85,(卡牌属性!AG527-2)*20+卡牌属性!AN527)</f>
        <v>139</v>
      </c>
      <c r="AU527" s="14">
        <f t="shared" si="934"/>
        <v>139</v>
      </c>
      <c r="AV527" s="14">
        <f t="shared" si="934"/>
        <v>139</v>
      </c>
      <c r="AW527" s="14">
        <f t="shared" si="934"/>
        <v>139</v>
      </c>
      <c r="AX527" s="14">
        <f t="shared" si="934"/>
        <v>139</v>
      </c>
      <c r="AY527" s="14">
        <f>INDEX(属性投放!$DH$6:$DH$85,(卡牌属性!AG527-2)*20+卡牌属性!AN527)</f>
        <v>1680</v>
      </c>
      <c r="AZ527" s="14">
        <f t="shared" si="935"/>
        <v>1680</v>
      </c>
      <c r="BA527" s="14">
        <f t="shared" si="935"/>
        <v>1680</v>
      </c>
      <c r="BB527" s="14">
        <f t="shared" si="935"/>
        <v>1680</v>
      </c>
      <c r="BC527" s="14">
        <f t="shared" si="935"/>
        <v>1680</v>
      </c>
      <c r="BD527" s="14">
        <f>INDEX(属性投放!$DL$6:$DL$85,(卡牌属性!AG527-2)*20+卡牌属性!AN527)</f>
        <v>22</v>
      </c>
      <c r="BE527" s="14">
        <f t="shared" si="936"/>
        <v>22</v>
      </c>
      <c r="BF527" s="14">
        <f t="shared" si="936"/>
        <v>22</v>
      </c>
      <c r="BG527" s="14">
        <f t="shared" si="936"/>
        <v>22</v>
      </c>
      <c r="BH527" s="14">
        <f t="shared" si="936"/>
        <v>22</v>
      </c>
      <c r="BI527" s="14">
        <f>INDEX(属性投放!$DM$6:$DM$85,(卡牌属性!AG527-2)*20+卡牌属性!AN527)</f>
        <v>11</v>
      </c>
      <c r="BJ527" s="14">
        <f t="shared" si="937"/>
        <v>11</v>
      </c>
      <c r="BK527" s="14">
        <f t="shared" si="937"/>
        <v>11</v>
      </c>
      <c r="BL527" s="14">
        <f t="shared" si="937"/>
        <v>11</v>
      </c>
      <c r="BM527" s="14">
        <f t="shared" si="937"/>
        <v>11</v>
      </c>
      <c r="BN527" s="14">
        <f>INDEX(属性投放!$DN$6:$DN$85,(卡牌属性!AG527-2)*20+卡牌属性!AN527)</f>
        <v>132</v>
      </c>
      <c r="BO527" s="14">
        <f t="shared" si="938"/>
        <v>132</v>
      </c>
      <c r="BP527" s="14">
        <f t="shared" si="938"/>
        <v>132</v>
      </c>
      <c r="BQ527" s="14">
        <f t="shared" si="938"/>
        <v>132</v>
      </c>
      <c r="BR527" s="14">
        <f t="shared" si="938"/>
        <v>132</v>
      </c>
      <c r="BW527" s="13">
        <v>523</v>
      </c>
      <c r="BX527" s="13">
        <f t="shared" si="915"/>
        <v>27</v>
      </c>
      <c r="BY527" s="14">
        <f t="shared" si="916"/>
        <v>3</v>
      </c>
      <c r="BZ527" s="14">
        <f t="shared" si="919"/>
        <v>1102030</v>
      </c>
      <c r="CA527" s="14" t="str">
        <f t="shared" si="920"/>
        <v>燕青3突</v>
      </c>
      <c r="CB527" s="25" t="s">
        <v>142</v>
      </c>
      <c r="CC527" s="14">
        <v>2</v>
      </c>
      <c r="CD527" s="14">
        <f t="shared" si="917"/>
        <v>3</v>
      </c>
      <c r="CE527" s="14" t="s">
        <v>21</v>
      </c>
      <c r="CF527" s="14">
        <f>INDEX(属性投放!$AZ$6:$AZ$85,(BY527-2)*20+CD527)</f>
        <v>422</v>
      </c>
      <c r="CG527" s="14" t="s">
        <v>22</v>
      </c>
      <c r="CH527" s="14">
        <f>INDEX(属性投放!$BA$6:$BA$85,(BY527-2)*20+CD527)</f>
        <v>147</v>
      </c>
      <c r="CI527" s="14" t="s">
        <v>510</v>
      </c>
      <c r="CJ527" s="14">
        <f>INDEX(属性投放!$BB$6:$BB$85,(BY527-2)*20+CD527)</f>
        <v>2132</v>
      </c>
      <c r="CK527" s="14" t="s">
        <v>21</v>
      </c>
      <c r="CL527" s="14">
        <f>INDEX(属性投放!$BC$6:$BC$85,(BY527-2)*20+CD527)</f>
        <v>10</v>
      </c>
      <c r="CM527" s="14" t="s">
        <v>22</v>
      </c>
      <c r="CN527" s="14">
        <f>INDEX(属性投放!$BD$6:$BD$85,(BY527-2)*20+CD527)</f>
        <v>5</v>
      </c>
      <c r="CO527" s="14" t="s">
        <v>510</v>
      </c>
      <c r="CP527" s="14">
        <f>INDEX(属性投放!$BE$6:$BE$85,(BY527-2)*20+CD527)</f>
        <v>60</v>
      </c>
      <c r="CS527" s="13">
        <v>523</v>
      </c>
      <c r="CT527" s="13">
        <f t="shared" si="921"/>
        <v>11</v>
      </c>
      <c r="CU527" s="13">
        <f t="shared" si="922"/>
        <v>3</v>
      </c>
      <c r="CV527" s="14">
        <f t="shared" si="923"/>
        <v>4</v>
      </c>
      <c r="CW527" s="14">
        <f t="shared" si="924"/>
        <v>1102011</v>
      </c>
      <c r="CX527" s="14" t="str">
        <f>INDEX($O$6:$O$50,CT527)&amp;"-"&amp;INDEX(属性投放!$AB$7:$AB$50,CZ527)&amp;"-魂火-"&amp;DB527</f>
        <v>张飞-黑绳-魂火-2</v>
      </c>
      <c r="CY527" s="25" t="s">
        <v>142</v>
      </c>
      <c r="CZ527" s="14">
        <f>INDEX(属性投放!$AM$7:$AM$58,CU527)</f>
        <v>2</v>
      </c>
      <c r="DA527" s="14" t="s">
        <v>537</v>
      </c>
      <c r="DB527" s="14">
        <f>INDEX(属性投放!$AN$7:$AN$58,CU527)</f>
        <v>2</v>
      </c>
      <c r="DC527" s="14">
        <f t="shared" si="918"/>
        <v>3</v>
      </c>
      <c r="DD527" s="14">
        <f>INDEX(属性投放!$AO$7:$AO$58,DC527)</f>
        <v>13</v>
      </c>
      <c r="DE527" s="14" t="s">
        <v>538</v>
      </c>
      <c r="DF527" s="14">
        <f>INDEX(属性投放!$BK$6:$BK$85,(CV527-2)*20+CZ527)</f>
        <v>30</v>
      </c>
      <c r="DG527" s="14">
        <f>SUMIFS(DF$5:DF527,$CT$5:$CT527,"="&amp;$CT527)</f>
        <v>85</v>
      </c>
      <c r="DH527" s="14" t="s">
        <v>539</v>
      </c>
      <c r="DI527" s="14">
        <f>INDEX(属性投放!$BL$6:$BL$85,(CV527-2)*20+CZ527)</f>
        <v>15</v>
      </c>
      <c r="DJ527" s="14">
        <f>SUMIFS(DI$5:DI527,$CT$5:$CT527,"="&amp;$CT527)</f>
        <v>43</v>
      </c>
      <c r="DK527" s="14" t="s">
        <v>540</v>
      </c>
      <c r="DL527" s="14">
        <f>INDEX(属性投放!$BM$6:$BM$85,(CV527-2)*20+CZ527)</f>
        <v>180</v>
      </c>
      <c r="DM527" s="14">
        <f>SUMIFS(DL$5:DL527,$CT$5:$CT527,"="&amp;$CT527)</f>
        <v>510</v>
      </c>
      <c r="DR527" s="14">
        <f t="shared" si="895"/>
        <v>1102030</v>
      </c>
      <c r="DS527" s="14" t="str">
        <f t="shared" si="896"/>
        <v>燕青3突</v>
      </c>
      <c r="DT527" s="14">
        <f t="shared" si="925"/>
        <v>6</v>
      </c>
      <c r="DU527" s="14">
        <f t="shared" si="926"/>
        <v>6</v>
      </c>
      <c r="DV527" s="14">
        <f t="shared" si="927"/>
        <v>5</v>
      </c>
      <c r="DW527" s="14">
        <f t="shared" si="897"/>
        <v>3</v>
      </c>
      <c r="DX527" s="14">
        <f t="shared" si="898"/>
        <v>3</v>
      </c>
      <c r="DY527" s="14">
        <f t="shared" si="899"/>
        <v>23</v>
      </c>
      <c r="DZ527" s="14">
        <f>INDEX(属性投放!$AX$6:$AX$85,(卡牌属性!DW527-2)*20+卡牌属性!DX527)</f>
        <v>10</v>
      </c>
      <c r="EA527" s="14">
        <f>INDEX(属性投放!BQ$6:BQ$85,卡牌属性!$DY527)</f>
        <v>70</v>
      </c>
      <c r="EB527" s="14">
        <f>INDEX(属性投放!BR$6:BR$85,卡牌属性!$DY527)</f>
        <v>35</v>
      </c>
      <c r="EC527" s="14">
        <f>INDEX(属性投放!BS$6:BS$85,卡牌属性!$DY527)</f>
        <v>420</v>
      </c>
      <c r="ED527" s="14">
        <f t="shared" si="939"/>
        <v>405</v>
      </c>
      <c r="EE527" s="14">
        <f t="shared" si="940"/>
        <v>468</v>
      </c>
      <c r="EF527" s="14">
        <f t="shared" si="941"/>
        <v>542</v>
      </c>
      <c r="EG527" s="14">
        <f t="shared" si="942"/>
        <v>542</v>
      </c>
      <c r="EH527" s="14">
        <f t="shared" si="943"/>
        <v>630</v>
      </c>
      <c r="EI527" s="14">
        <f t="shared" si="944"/>
        <v>155</v>
      </c>
      <c r="EJ527" s="14">
        <f t="shared" si="945"/>
        <v>189</v>
      </c>
      <c r="EK527" s="14">
        <f t="shared" si="946"/>
        <v>189</v>
      </c>
      <c r="EL527" s="14">
        <f t="shared" si="947"/>
        <v>228</v>
      </c>
      <c r="EM527" s="14">
        <f t="shared" si="948"/>
        <v>267</v>
      </c>
      <c r="EN527" s="14">
        <f t="shared" si="949"/>
        <v>1712</v>
      </c>
      <c r="EO527" s="14">
        <f t="shared" si="950"/>
        <v>2030</v>
      </c>
      <c r="EP527" s="14">
        <f t="shared" si="951"/>
        <v>2030</v>
      </c>
      <c r="EQ527" s="14">
        <f t="shared" si="952"/>
        <v>2408</v>
      </c>
      <c r="ER527" s="14">
        <f t="shared" si="953"/>
        <v>2752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60</v>
      </c>
      <c r="FD527" s="14">
        <f>INDEX(属性偏向!$U$4:$U$243,(卡牌属性!$DV527-1+FD$3)*20+卡牌属性!$DX527)</f>
        <v>72</v>
      </c>
      <c r="FE527" s="14">
        <f>INDEX(属性偏向!$U$4:$U$243,(卡牌属性!$DV527-1+FE$3)*20+卡牌属性!$DX527)</f>
        <v>72</v>
      </c>
      <c r="FF527" s="14">
        <f>INDEX(属性偏向!$U$4:$U$243,(卡牌属性!$DV527-1+FF$3)*20+卡牌属性!$DX527)</f>
        <v>90</v>
      </c>
      <c r="FG527" s="14">
        <f>INDEX(属性偏向!$U$4:$U$243,(卡牌属性!$DV527-1+FG$3)*20+卡牌属性!$DX527)</f>
        <v>102</v>
      </c>
      <c r="FH527" s="14">
        <f>INDEX(属性投放!$BQ$6:$BQ$85,(卡牌属性!$DW527-2)*20+卡牌属性!$DX527)</f>
        <v>70</v>
      </c>
      <c r="FI527" s="14">
        <f>INDEX(属性投放!$BQ$6:$BQ$85,(卡牌属性!$DW527-2)*20+卡牌属性!$DX527)</f>
        <v>70</v>
      </c>
      <c r="FJ527" s="14">
        <f>INDEX(属性投放!$BQ$6:$BQ$85,(卡牌属性!$DW527-2)*20+卡牌属性!$DX527)</f>
        <v>70</v>
      </c>
      <c r="FK527" s="14">
        <f>INDEX(属性投放!$BQ$6:$BQ$85,(卡牌属性!$DW527-2)*20+卡牌属性!$DX527)</f>
        <v>70</v>
      </c>
      <c r="FL527" s="14">
        <f>INDEX(属性投放!$BQ$6:$BQ$85,(卡牌属性!$DW527-2)*20+卡牌属性!$DX527)</f>
        <v>70</v>
      </c>
      <c r="FM527" s="14">
        <f>INDEX(属性投放!$BR$6:$BR$85,(卡牌属性!$DW527-2)*20+卡牌属性!$DX527)</f>
        <v>35</v>
      </c>
      <c r="FN527" s="14">
        <f>INDEX(属性投放!$BR$6:$BR$85,(卡牌属性!$DW527-2)*20+卡牌属性!$DX527)</f>
        <v>35</v>
      </c>
      <c r="FO527" s="14">
        <f>INDEX(属性投放!$BR$6:$BR$85,(卡牌属性!$DW527-2)*20+卡牌属性!$DX527)</f>
        <v>35</v>
      </c>
      <c r="FP527" s="14">
        <f>INDEX(属性投放!$BR$6:$BR$85,(卡牌属性!$DW527-2)*20+卡牌属性!$DX527)</f>
        <v>35</v>
      </c>
      <c r="FQ527" s="14">
        <f>INDEX(属性投放!$BR$6:$BR$85,(卡牌属性!$DW527-2)*20+卡牌属性!$DX527)</f>
        <v>35</v>
      </c>
      <c r="FR527" s="14">
        <f>INDEX(属性投放!$BS$6:$BS$85,(卡牌属性!$DW527-2)*20+卡牌属性!$DX527)</f>
        <v>420</v>
      </c>
      <c r="FS527" s="14">
        <f>INDEX(属性投放!$BS$6:$BS$85,(卡牌属性!$DW527-2)*20+卡牌属性!$DX527)</f>
        <v>420</v>
      </c>
      <c r="FT527" s="14">
        <f>INDEX(属性投放!$BS$6:$BS$85,(卡牌属性!$DW527-2)*20+卡牌属性!$DX527)</f>
        <v>420</v>
      </c>
      <c r="FU527" s="14">
        <f>INDEX(属性投放!$BS$6:$BS$85,(卡牌属性!$DW527-2)*20+卡牌属性!$DX527)</f>
        <v>420</v>
      </c>
      <c r="FV527" s="14">
        <f>INDEX(属性投放!$BS$6:$BS$85,(卡牌属性!$DW527-2)*20+卡牌属性!$DX527)</f>
        <v>420</v>
      </c>
    </row>
    <row r="528" spans="31:178" ht="16.5" x14ac:dyDescent="0.2">
      <c r="AE528" s="13">
        <v>524</v>
      </c>
      <c r="AF528" s="13">
        <f t="shared" si="928"/>
        <v>27</v>
      </c>
      <c r="AG528" s="13">
        <f t="shared" si="929"/>
        <v>5</v>
      </c>
      <c r="AH528" s="13"/>
      <c r="AI528" s="13"/>
      <c r="AJ528" s="14">
        <f t="shared" si="930"/>
        <v>1101996</v>
      </c>
      <c r="AK528" s="14" t="str">
        <f t="shared" si="931"/>
        <v>UR寄灵人4突</v>
      </c>
      <c r="AL528" s="25" t="s">
        <v>142</v>
      </c>
      <c r="AM528" s="14">
        <v>1</v>
      </c>
      <c r="AN528" s="14">
        <f t="shared" si="932"/>
        <v>4</v>
      </c>
      <c r="AO528" s="14">
        <f>INDEX(属性投放!$DF$6:$DF$85,(卡牌属性!AG528-2)*20+卡牌属性!AN528)</f>
        <v>690</v>
      </c>
      <c r="AP528" s="14">
        <f t="shared" si="933"/>
        <v>690</v>
      </c>
      <c r="AQ528" s="14">
        <f t="shared" si="933"/>
        <v>690</v>
      </c>
      <c r="AR528" s="14">
        <f t="shared" si="933"/>
        <v>690</v>
      </c>
      <c r="AS528" s="14">
        <f t="shared" si="933"/>
        <v>690</v>
      </c>
      <c r="AT528" s="14">
        <f>INDEX(属性投放!$DG$6:$DG$85,(卡牌属性!AG528-2)*20+卡牌属性!AN528)</f>
        <v>278</v>
      </c>
      <c r="AU528" s="14">
        <f t="shared" si="934"/>
        <v>278</v>
      </c>
      <c r="AV528" s="14">
        <f t="shared" si="934"/>
        <v>278</v>
      </c>
      <c r="AW528" s="14">
        <f t="shared" si="934"/>
        <v>278</v>
      </c>
      <c r="AX528" s="14">
        <f t="shared" si="934"/>
        <v>278</v>
      </c>
      <c r="AY528" s="14">
        <f>INDEX(属性投放!$DH$6:$DH$85,(卡牌属性!AG528-2)*20+卡牌属性!AN528)</f>
        <v>3330</v>
      </c>
      <c r="AZ528" s="14">
        <f t="shared" si="935"/>
        <v>3330</v>
      </c>
      <c r="BA528" s="14">
        <f t="shared" si="935"/>
        <v>3330</v>
      </c>
      <c r="BB528" s="14">
        <f t="shared" si="935"/>
        <v>3330</v>
      </c>
      <c r="BC528" s="14">
        <f t="shared" si="935"/>
        <v>3330</v>
      </c>
      <c r="BD528" s="14">
        <f>INDEX(属性投放!$DL$6:$DL$85,(卡牌属性!AG528-2)*20+卡牌属性!AN528)</f>
        <v>40</v>
      </c>
      <c r="BE528" s="14">
        <f t="shared" si="936"/>
        <v>40</v>
      </c>
      <c r="BF528" s="14">
        <f t="shared" si="936"/>
        <v>40</v>
      </c>
      <c r="BG528" s="14">
        <f t="shared" si="936"/>
        <v>40</v>
      </c>
      <c r="BH528" s="14">
        <f t="shared" si="936"/>
        <v>40</v>
      </c>
      <c r="BI528" s="14">
        <f>INDEX(属性投放!$DM$6:$DM$85,(卡牌属性!AG528-2)*20+卡牌属性!AN528)</f>
        <v>20</v>
      </c>
      <c r="BJ528" s="14">
        <f t="shared" si="937"/>
        <v>20</v>
      </c>
      <c r="BK528" s="14">
        <f t="shared" si="937"/>
        <v>20</v>
      </c>
      <c r="BL528" s="14">
        <f t="shared" si="937"/>
        <v>20</v>
      </c>
      <c r="BM528" s="14">
        <f t="shared" si="937"/>
        <v>20</v>
      </c>
      <c r="BN528" s="14">
        <f>INDEX(属性投放!$DN$6:$DN$85,(卡牌属性!AG528-2)*20+卡牌属性!AN528)</f>
        <v>279</v>
      </c>
      <c r="BO528" s="14">
        <f t="shared" si="938"/>
        <v>279</v>
      </c>
      <c r="BP528" s="14">
        <f t="shared" si="938"/>
        <v>279</v>
      </c>
      <c r="BQ528" s="14">
        <f t="shared" si="938"/>
        <v>279</v>
      </c>
      <c r="BR528" s="14">
        <f t="shared" si="938"/>
        <v>279</v>
      </c>
      <c r="BW528" s="13">
        <v>524</v>
      </c>
      <c r="BX528" s="13">
        <f t="shared" si="915"/>
        <v>27</v>
      </c>
      <c r="BY528" s="14">
        <f t="shared" si="916"/>
        <v>3</v>
      </c>
      <c r="BZ528" s="14">
        <f t="shared" si="919"/>
        <v>1102030</v>
      </c>
      <c r="CA528" s="14" t="str">
        <f t="shared" si="920"/>
        <v>燕青4突</v>
      </c>
      <c r="CB528" s="25" t="s">
        <v>142</v>
      </c>
      <c r="CC528" s="14">
        <v>2</v>
      </c>
      <c r="CD528" s="14">
        <f t="shared" si="917"/>
        <v>4</v>
      </c>
      <c r="CE528" s="14" t="s">
        <v>21</v>
      </c>
      <c r="CF528" s="14">
        <f>INDEX(属性投放!$AZ$6:$AZ$85,(BY528-2)*20+CD528)</f>
        <v>652</v>
      </c>
      <c r="CG528" s="14" t="s">
        <v>22</v>
      </c>
      <c r="CH528" s="14">
        <f>INDEX(属性投放!$BA$6:$BA$85,(BY528-2)*20+CD528)</f>
        <v>262</v>
      </c>
      <c r="CI528" s="14" t="s">
        <v>510</v>
      </c>
      <c r="CJ528" s="14">
        <f>INDEX(属性投放!$BB$6:$BB$85,(BY528-2)*20+CD528)</f>
        <v>3512</v>
      </c>
      <c r="CK528" s="14" t="s">
        <v>21</v>
      </c>
      <c r="CL528" s="14">
        <f>INDEX(属性投放!$BC$6:$BC$85,(BY528-2)*20+CD528)</f>
        <v>12</v>
      </c>
      <c r="CM528" s="14" t="s">
        <v>22</v>
      </c>
      <c r="CN528" s="14">
        <f>INDEX(属性投放!$BD$6:$BD$85,(BY528-2)*20+CD528)</f>
        <v>6</v>
      </c>
      <c r="CO528" s="14" t="s">
        <v>510</v>
      </c>
      <c r="CP528" s="14">
        <f>INDEX(属性投放!$BE$6:$BE$85,(BY528-2)*20+CD528)</f>
        <v>84</v>
      </c>
      <c r="CS528" s="13">
        <v>524</v>
      </c>
      <c r="CT528" s="13">
        <f t="shared" si="921"/>
        <v>11</v>
      </c>
      <c r="CU528" s="13">
        <f t="shared" si="922"/>
        <v>4</v>
      </c>
      <c r="CV528" s="14">
        <f t="shared" si="923"/>
        <v>4</v>
      </c>
      <c r="CW528" s="14">
        <f t="shared" si="924"/>
        <v>1102011</v>
      </c>
      <c r="CX528" s="14" t="str">
        <f>INDEX($O$6:$O$50,CT528)&amp;"-"&amp;INDEX(属性投放!$AB$7:$AB$50,CZ528)&amp;"-魂火-"&amp;DB528</f>
        <v>张飞-黑绳+1-魂火-1</v>
      </c>
      <c r="CY528" s="25" t="s">
        <v>142</v>
      </c>
      <c r="CZ528" s="14">
        <f>INDEX(属性投放!$AM$7:$AM$58,CU528)</f>
        <v>3</v>
      </c>
      <c r="DA528" s="14" t="s">
        <v>537</v>
      </c>
      <c r="DB528" s="14">
        <f>INDEX(属性投放!$AN$7:$AN$58,CU528)</f>
        <v>1</v>
      </c>
      <c r="DC528" s="14">
        <f t="shared" si="918"/>
        <v>4</v>
      </c>
      <c r="DD528" s="14">
        <f>INDEX(属性投放!$AO$7:$AO$58,DC528)</f>
        <v>18</v>
      </c>
      <c r="DE528" s="14" t="s">
        <v>538</v>
      </c>
      <c r="DF528" s="14">
        <f>INDEX(属性投放!$BK$6:$BK$85,(CV528-2)*20+CZ528)</f>
        <v>35</v>
      </c>
      <c r="DG528" s="14">
        <f>SUMIFS(DF$5:DF528,$CT$5:$CT528,"="&amp;$CT528)</f>
        <v>120</v>
      </c>
      <c r="DH528" s="14" t="s">
        <v>539</v>
      </c>
      <c r="DI528" s="14">
        <f>INDEX(属性投放!$BL$6:$BL$85,(CV528-2)*20+CZ528)</f>
        <v>18</v>
      </c>
      <c r="DJ528" s="14">
        <f>SUMIFS(DI$5:DI528,$CT$5:$CT528,"="&amp;$CT528)</f>
        <v>61</v>
      </c>
      <c r="DK528" s="14" t="s">
        <v>540</v>
      </c>
      <c r="DL528" s="14">
        <f>INDEX(属性投放!$BM$6:$BM$85,(CV528-2)*20+CZ528)</f>
        <v>210</v>
      </c>
      <c r="DM528" s="14">
        <f>SUMIFS(DL$5:DL528,$CT$5:$CT528,"="&amp;$CT528)</f>
        <v>720</v>
      </c>
      <c r="DR528" s="14">
        <f t="shared" si="895"/>
        <v>1102030</v>
      </c>
      <c r="DS528" s="14" t="str">
        <f t="shared" si="896"/>
        <v>燕青4突</v>
      </c>
      <c r="DT528" s="14">
        <f t="shared" si="925"/>
        <v>6</v>
      </c>
      <c r="DU528" s="14">
        <f t="shared" si="926"/>
        <v>6</v>
      </c>
      <c r="DV528" s="14">
        <f t="shared" si="927"/>
        <v>5</v>
      </c>
      <c r="DW528" s="14">
        <f t="shared" si="897"/>
        <v>3</v>
      </c>
      <c r="DX528" s="14">
        <f t="shared" si="898"/>
        <v>4</v>
      </c>
      <c r="DY528" s="14">
        <f t="shared" si="899"/>
        <v>24</v>
      </c>
      <c r="DZ528" s="14">
        <f>INDEX(属性投放!$AX$6:$AX$85,(卡牌属性!DW528-2)*20+卡牌属性!DX528)</f>
        <v>10</v>
      </c>
      <c r="EA528" s="14">
        <f>INDEX(属性投放!BQ$6:BQ$85,卡牌属性!$DY528)</f>
        <v>75</v>
      </c>
      <c r="EB528" s="14">
        <f>INDEX(属性投放!BR$6:BR$85,卡牌属性!$DY528)</f>
        <v>38</v>
      </c>
      <c r="EC528" s="14">
        <f>INDEX(属性投放!BS$6:BS$85,卡牌属性!$DY528)</f>
        <v>525</v>
      </c>
      <c r="ED528" s="14">
        <f t="shared" si="939"/>
        <v>595</v>
      </c>
      <c r="EE528" s="14">
        <f t="shared" si="940"/>
        <v>688</v>
      </c>
      <c r="EF528" s="14">
        <f t="shared" si="941"/>
        <v>782</v>
      </c>
      <c r="EG528" s="14">
        <f t="shared" si="942"/>
        <v>782</v>
      </c>
      <c r="EH528" s="14">
        <f t="shared" si="943"/>
        <v>900</v>
      </c>
      <c r="EI528" s="14">
        <f t="shared" si="944"/>
        <v>250</v>
      </c>
      <c r="EJ528" s="14">
        <f t="shared" si="945"/>
        <v>304</v>
      </c>
      <c r="EK528" s="14">
        <f t="shared" si="946"/>
        <v>304</v>
      </c>
      <c r="EL528" s="14">
        <f t="shared" si="947"/>
        <v>353</v>
      </c>
      <c r="EM528" s="14">
        <f t="shared" si="948"/>
        <v>402</v>
      </c>
      <c r="EN528" s="14">
        <f t="shared" si="949"/>
        <v>2732</v>
      </c>
      <c r="EO528" s="14">
        <f t="shared" si="950"/>
        <v>3170</v>
      </c>
      <c r="EP528" s="14">
        <f t="shared" si="951"/>
        <v>3170</v>
      </c>
      <c r="EQ528" s="14">
        <f t="shared" si="952"/>
        <v>3728</v>
      </c>
      <c r="ER528" s="14">
        <f t="shared" si="953"/>
        <v>4192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84</v>
      </c>
      <c r="FD528" s="14">
        <f>INDEX(属性偏向!$U$4:$U$243,(卡牌属性!$DV528-1+FD$3)*20+卡牌属性!$DX528)</f>
        <v>91</v>
      </c>
      <c r="FE528" s="14">
        <f>INDEX(属性偏向!$U$4:$U$243,(卡牌属性!$DV528-1+FE$3)*20+卡牌属性!$DX528)</f>
        <v>91</v>
      </c>
      <c r="FF528" s="14">
        <f>INDEX(属性偏向!$U$4:$U$243,(卡牌属性!$DV528-1+FF$3)*20+卡牌属性!$DX528)</f>
        <v>140</v>
      </c>
      <c r="FG528" s="14">
        <f>INDEX(属性偏向!$U$4:$U$243,(卡牌属性!$DV528-1+FG$3)*20+卡牌属性!$DX528)</f>
        <v>154</v>
      </c>
      <c r="FH528" s="14">
        <f>INDEX(属性投放!$BQ$6:$BQ$85,(卡牌属性!$DW528-2)*20+卡牌属性!$DX528)</f>
        <v>75</v>
      </c>
      <c r="FI528" s="14">
        <f>INDEX(属性投放!$BQ$6:$BQ$85,(卡牌属性!$DW528-2)*20+卡牌属性!$DX528)</f>
        <v>75</v>
      </c>
      <c r="FJ528" s="14">
        <f>INDEX(属性投放!$BQ$6:$BQ$85,(卡牌属性!$DW528-2)*20+卡牌属性!$DX528)</f>
        <v>75</v>
      </c>
      <c r="FK528" s="14">
        <f>INDEX(属性投放!$BQ$6:$BQ$85,(卡牌属性!$DW528-2)*20+卡牌属性!$DX528)</f>
        <v>75</v>
      </c>
      <c r="FL528" s="14">
        <f>INDEX(属性投放!$BQ$6:$BQ$85,(卡牌属性!$DW528-2)*20+卡牌属性!$DX528)</f>
        <v>75</v>
      </c>
      <c r="FM528" s="14">
        <f>INDEX(属性投放!$BR$6:$BR$85,(卡牌属性!$DW528-2)*20+卡牌属性!$DX528)</f>
        <v>38</v>
      </c>
      <c r="FN528" s="14">
        <f>INDEX(属性投放!$BR$6:$BR$85,(卡牌属性!$DW528-2)*20+卡牌属性!$DX528)</f>
        <v>38</v>
      </c>
      <c r="FO528" s="14">
        <f>INDEX(属性投放!$BR$6:$BR$85,(卡牌属性!$DW528-2)*20+卡牌属性!$DX528)</f>
        <v>38</v>
      </c>
      <c r="FP528" s="14">
        <f>INDEX(属性投放!$BR$6:$BR$85,(卡牌属性!$DW528-2)*20+卡牌属性!$DX528)</f>
        <v>38</v>
      </c>
      <c r="FQ528" s="14">
        <f>INDEX(属性投放!$BR$6:$BR$85,(卡牌属性!$DW528-2)*20+卡牌属性!$DX528)</f>
        <v>38</v>
      </c>
      <c r="FR528" s="14">
        <f>INDEX(属性投放!$BS$6:$BS$85,(卡牌属性!$DW528-2)*20+卡牌属性!$DX528)</f>
        <v>525</v>
      </c>
      <c r="FS528" s="14">
        <f>INDEX(属性投放!$BS$6:$BS$85,(卡牌属性!$DW528-2)*20+卡牌属性!$DX528)</f>
        <v>525</v>
      </c>
      <c r="FT528" s="14">
        <f>INDEX(属性投放!$BS$6:$BS$85,(卡牌属性!$DW528-2)*20+卡牌属性!$DX528)</f>
        <v>525</v>
      </c>
      <c r="FU528" s="14">
        <f>INDEX(属性投放!$BS$6:$BS$85,(卡牌属性!$DW528-2)*20+卡牌属性!$DX528)</f>
        <v>525</v>
      </c>
      <c r="FV528" s="14">
        <f>INDEX(属性投放!$BS$6:$BS$85,(卡牌属性!$DW528-2)*20+卡牌属性!$DX528)</f>
        <v>525</v>
      </c>
    </row>
    <row r="529" spans="31:178" ht="16.5" x14ac:dyDescent="0.2">
      <c r="AE529" s="13">
        <v>525</v>
      </c>
      <c r="AF529" s="13">
        <f t="shared" si="928"/>
        <v>27</v>
      </c>
      <c r="AG529" s="13">
        <f t="shared" si="929"/>
        <v>5</v>
      </c>
      <c r="AH529" s="13"/>
      <c r="AI529" s="13"/>
      <c r="AJ529" s="14">
        <f t="shared" si="930"/>
        <v>1101996</v>
      </c>
      <c r="AK529" s="14" t="str">
        <f t="shared" si="931"/>
        <v>UR寄灵人5突</v>
      </c>
      <c r="AL529" s="25" t="s">
        <v>142</v>
      </c>
      <c r="AM529" s="14">
        <v>1</v>
      </c>
      <c r="AN529" s="14">
        <f t="shared" si="932"/>
        <v>5</v>
      </c>
      <c r="AO529" s="14">
        <f>INDEX(属性投放!$DF$6:$DF$85,(卡牌属性!AG529-2)*20+卡牌属性!AN529)</f>
        <v>804</v>
      </c>
      <c r="AP529" s="14">
        <f t="shared" si="933"/>
        <v>804</v>
      </c>
      <c r="AQ529" s="14">
        <f t="shared" si="933"/>
        <v>804</v>
      </c>
      <c r="AR529" s="14">
        <f t="shared" si="933"/>
        <v>804</v>
      </c>
      <c r="AS529" s="14">
        <f t="shared" si="933"/>
        <v>804</v>
      </c>
      <c r="AT529" s="14">
        <f>INDEX(属性投放!$DG$6:$DG$85,(卡牌属性!AG529-2)*20+卡牌属性!AN529)</f>
        <v>335</v>
      </c>
      <c r="AU529" s="14">
        <f t="shared" si="934"/>
        <v>335</v>
      </c>
      <c r="AV529" s="14">
        <f t="shared" si="934"/>
        <v>335</v>
      </c>
      <c r="AW529" s="14">
        <f t="shared" si="934"/>
        <v>335</v>
      </c>
      <c r="AX529" s="14">
        <f t="shared" si="934"/>
        <v>335</v>
      </c>
      <c r="AY529" s="14">
        <f>INDEX(属性投放!$DH$6:$DH$85,(卡牌属性!AG529-2)*20+卡牌属性!AN529)</f>
        <v>4128</v>
      </c>
      <c r="AZ529" s="14">
        <f t="shared" si="935"/>
        <v>4128</v>
      </c>
      <c r="BA529" s="14">
        <f t="shared" si="935"/>
        <v>4128</v>
      </c>
      <c r="BB529" s="14">
        <f t="shared" si="935"/>
        <v>4128</v>
      </c>
      <c r="BC529" s="14">
        <f t="shared" si="935"/>
        <v>4128</v>
      </c>
      <c r="BD529" s="14">
        <f>INDEX(属性投放!$DL$6:$DL$85,(卡牌属性!AG529-2)*20+卡牌属性!AN529)</f>
        <v>40</v>
      </c>
      <c r="BE529" s="14">
        <f t="shared" si="936"/>
        <v>40</v>
      </c>
      <c r="BF529" s="14">
        <f t="shared" si="936"/>
        <v>40</v>
      </c>
      <c r="BG529" s="14">
        <f t="shared" si="936"/>
        <v>40</v>
      </c>
      <c r="BH529" s="14">
        <f t="shared" si="936"/>
        <v>40</v>
      </c>
      <c r="BI529" s="14">
        <f>INDEX(属性投放!$DM$6:$DM$85,(卡牌属性!AG529-2)*20+卡牌属性!AN529)</f>
        <v>20</v>
      </c>
      <c r="BJ529" s="14">
        <f t="shared" si="937"/>
        <v>20</v>
      </c>
      <c r="BK529" s="14">
        <f t="shared" si="937"/>
        <v>20</v>
      </c>
      <c r="BL529" s="14">
        <f t="shared" si="937"/>
        <v>20</v>
      </c>
      <c r="BM529" s="14">
        <f t="shared" si="937"/>
        <v>20</v>
      </c>
      <c r="BN529" s="14">
        <f>INDEX(属性投放!$DN$6:$DN$85,(卡牌属性!AG529-2)*20+卡牌属性!AN529)</f>
        <v>279</v>
      </c>
      <c r="BO529" s="14">
        <f t="shared" si="938"/>
        <v>279</v>
      </c>
      <c r="BP529" s="14">
        <f t="shared" si="938"/>
        <v>279</v>
      </c>
      <c r="BQ529" s="14">
        <f t="shared" si="938"/>
        <v>279</v>
      </c>
      <c r="BR529" s="14">
        <f t="shared" si="938"/>
        <v>279</v>
      </c>
      <c r="BW529" s="13">
        <v>525</v>
      </c>
      <c r="BX529" s="13">
        <f t="shared" si="915"/>
        <v>27</v>
      </c>
      <c r="BY529" s="14">
        <f t="shared" si="916"/>
        <v>3</v>
      </c>
      <c r="BZ529" s="14">
        <f t="shared" si="919"/>
        <v>1102030</v>
      </c>
      <c r="CA529" s="14" t="str">
        <f t="shared" si="920"/>
        <v>燕青5突</v>
      </c>
      <c r="CB529" s="25" t="s">
        <v>142</v>
      </c>
      <c r="CC529" s="14">
        <v>2</v>
      </c>
      <c r="CD529" s="14">
        <f t="shared" si="917"/>
        <v>5</v>
      </c>
      <c r="CE529" s="14" t="s">
        <v>21</v>
      </c>
      <c r="CF529" s="14">
        <f>INDEX(属性投放!$AZ$6:$AZ$85,(BY529-2)*20+CD529)</f>
        <v>927</v>
      </c>
      <c r="CG529" s="14" t="s">
        <v>22</v>
      </c>
      <c r="CH529" s="14">
        <f>INDEX(属性投放!$BA$6:$BA$85,(BY529-2)*20+CD529)</f>
        <v>400</v>
      </c>
      <c r="CI529" s="14" t="s">
        <v>510</v>
      </c>
      <c r="CJ529" s="14">
        <f>INDEX(属性投放!$BB$6:$BB$85,(BY529-2)*20+CD529)</f>
        <v>5437</v>
      </c>
      <c r="CK529" s="14" t="s">
        <v>21</v>
      </c>
      <c r="CL529" s="14">
        <f>INDEX(属性投放!$BC$6:$BC$85,(BY529-2)*20+CD529)</f>
        <v>12</v>
      </c>
      <c r="CM529" s="14" t="s">
        <v>22</v>
      </c>
      <c r="CN529" s="14">
        <f>INDEX(属性投放!$BD$6:$BD$85,(BY529-2)*20+CD529)</f>
        <v>6</v>
      </c>
      <c r="CO529" s="14" t="s">
        <v>510</v>
      </c>
      <c r="CP529" s="14">
        <f>INDEX(属性投放!$BE$6:$BE$85,(BY529-2)*20+CD529)</f>
        <v>84</v>
      </c>
      <c r="CS529" s="13">
        <v>525</v>
      </c>
      <c r="CT529" s="13">
        <f t="shared" si="921"/>
        <v>11</v>
      </c>
      <c r="CU529" s="13">
        <f t="shared" si="922"/>
        <v>5</v>
      </c>
      <c r="CV529" s="14">
        <f t="shared" si="923"/>
        <v>4</v>
      </c>
      <c r="CW529" s="14">
        <f t="shared" si="924"/>
        <v>1102011</v>
      </c>
      <c r="CX529" s="14" t="str">
        <f>INDEX($O$6:$O$50,CT529)&amp;"-"&amp;INDEX(属性投放!$AB$7:$AB$50,CZ529)&amp;"-魂火-"&amp;DB529</f>
        <v>张飞-黑绳+1-魂火-2</v>
      </c>
      <c r="CY529" s="25" t="s">
        <v>142</v>
      </c>
      <c r="CZ529" s="14">
        <f>INDEX(属性投放!$AM$7:$AM$58,CU529)</f>
        <v>3</v>
      </c>
      <c r="DA529" s="14" t="s">
        <v>537</v>
      </c>
      <c r="DB529" s="14">
        <f>INDEX(属性投放!$AN$7:$AN$58,CU529)</f>
        <v>2</v>
      </c>
      <c r="DC529" s="14">
        <f t="shared" si="918"/>
        <v>5</v>
      </c>
      <c r="DD529" s="14">
        <f>INDEX(属性投放!$AO$7:$AO$58,DC529)</f>
        <v>23</v>
      </c>
      <c r="DE529" s="14" t="s">
        <v>538</v>
      </c>
      <c r="DF529" s="14">
        <f>INDEX(属性投放!$BK$6:$BK$85,(CV529-2)*20+CZ529)</f>
        <v>35</v>
      </c>
      <c r="DG529" s="14">
        <f>SUMIFS(DF$5:DF529,$CT$5:$CT529,"="&amp;$CT529)</f>
        <v>155</v>
      </c>
      <c r="DH529" s="14" t="s">
        <v>539</v>
      </c>
      <c r="DI529" s="14">
        <f>INDEX(属性投放!$BL$6:$BL$85,(CV529-2)*20+CZ529)</f>
        <v>18</v>
      </c>
      <c r="DJ529" s="14">
        <f>SUMIFS(DI$5:DI529,$CT$5:$CT529,"="&amp;$CT529)</f>
        <v>79</v>
      </c>
      <c r="DK529" s="14" t="s">
        <v>540</v>
      </c>
      <c r="DL529" s="14">
        <f>INDEX(属性投放!$BM$6:$BM$85,(CV529-2)*20+CZ529)</f>
        <v>210</v>
      </c>
      <c r="DM529" s="14">
        <f>SUMIFS(DL$5:DL529,$CT$5:$CT529,"="&amp;$CT529)</f>
        <v>930</v>
      </c>
      <c r="DR529" s="14">
        <f t="shared" si="895"/>
        <v>1102030</v>
      </c>
      <c r="DS529" s="14" t="str">
        <f t="shared" si="896"/>
        <v>燕青5突</v>
      </c>
      <c r="DT529" s="14">
        <f t="shared" si="925"/>
        <v>6</v>
      </c>
      <c r="DU529" s="14">
        <f t="shared" si="926"/>
        <v>6</v>
      </c>
      <c r="DV529" s="14">
        <f t="shared" si="927"/>
        <v>5</v>
      </c>
      <c r="DW529" s="14">
        <f t="shared" si="897"/>
        <v>3</v>
      </c>
      <c r="DX529" s="14">
        <f t="shared" si="898"/>
        <v>5</v>
      </c>
      <c r="DY529" s="14">
        <f t="shared" si="899"/>
        <v>25</v>
      </c>
      <c r="DZ529" s="14">
        <f>INDEX(属性投放!$AX$6:$AX$85,(卡牌属性!DW529-2)*20+卡牌属性!DX529)</f>
        <v>7</v>
      </c>
      <c r="EA529" s="14">
        <f>INDEX(属性投放!BQ$6:BQ$85,卡牌属性!$DY529)</f>
        <v>100</v>
      </c>
      <c r="EB529" s="14">
        <f>INDEX(属性投放!BR$6:BR$85,卡牌属性!$DY529)</f>
        <v>50</v>
      </c>
      <c r="EC529" s="14">
        <f>INDEX(属性投放!BS$6:BS$85,卡牌属性!$DY529)</f>
        <v>700</v>
      </c>
      <c r="ED529" s="14">
        <f t="shared" si="939"/>
        <v>800</v>
      </c>
      <c r="EE529" s="14">
        <f t="shared" si="940"/>
        <v>963</v>
      </c>
      <c r="EF529" s="14">
        <f t="shared" si="941"/>
        <v>1077</v>
      </c>
      <c r="EG529" s="14">
        <f t="shared" si="942"/>
        <v>1077</v>
      </c>
      <c r="EH529" s="14">
        <f t="shared" si="943"/>
        <v>1225</v>
      </c>
      <c r="EI529" s="14">
        <f t="shared" si="944"/>
        <v>358</v>
      </c>
      <c r="EJ529" s="14">
        <f t="shared" si="945"/>
        <v>442</v>
      </c>
      <c r="EK529" s="14">
        <f t="shared" si="946"/>
        <v>442</v>
      </c>
      <c r="EL529" s="14">
        <f t="shared" si="947"/>
        <v>501</v>
      </c>
      <c r="EM529" s="14">
        <f t="shared" si="948"/>
        <v>570</v>
      </c>
      <c r="EN529" s="14">
        <f t="shared" si="949"/>
        <v>4097</v>
      </c>
      <c r="EO529" s="14">
        <f t="shared" si="950"/>
        <v>4605</v>
      </c>
      <c r="EP529" s="14">
        <f t="shared" si="951"/>
        <v>4605</v>
      </c>
      <c r="EQ529" s="14">
        <f t="shared" si="952"/>
        <v>5653</v>
      </c>
      <c r="ER529" s="14">
        <f t="shared" si="953"/>
        <v>6257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84</v>
      </c>
      <c r="FD529" s="14">
        <f>INDEX(属性偏向!$U$4:$U$243,(卡牌属性!$DV529-1+FD$3)*20+卡牌属性!$DX529)</f>
        <v>91</v>
      </c>
      <c r="FE529" s="14">
        <f>INDEX(属性偏向!$U$4:$U$243,(卡牌属性!$DV529-1+FE$3)*20+卡牌属性!$DX529)</f>
        <v>91</v>
      </c>
      <c r="FF529" s="14">
        <f>INDEX(属性偏向!$U$4:$U$243,(卡牌属性!$DV529-1+FF$3)*20+卡牌属性!$DX529)</f>
        <v>140</v>
      </c>
      <c r="FG529" s="14">
        <f>INDEX(属性偏向!$U$4:$U$243,(卡牌属性!$DV529-1+FG$3)*20+卡牌属性!$DX529)</f>
        <v>154</v>
      </c>
      <c r="FH529" s="14">
        <f>INDEX(属性投放!$BQ$6:$BQ$85,(卡牌属性!$DW529-2)*20+卡牌属性!$DX529)</f>
        <v>100</v>
      </c>
      <c r="FI529" s="14">
        <f>INDEX(属性投放!$BQ$6:$BQ$85,(卡牌属性!$DW529-2)*20+卡牌属性!$DX529)</f>
        <v>100</v>
      </c>
      <c r="FJ529" s="14">
        <f>INDEX(属性投放!$BQ$6:$BQ$85,(卡牌属性!$DW529-2)*20+卡牌属性!$DX529)</f>
        <v>100</v>
      </c>
      <c r="FK529" s="14">
        <f>INDEX(属性投放!$BQ$6:$BQ$85,(卡牌属性!$DW529-2)*20+卡牌属性!$DX529)</f>
        <v>100</v>
      </c>
      <c r="FL529" s="14">
        <f>INDEX(属性投放!$BQ$6:$BQ$85,(卡牌属性!$DW529-2)*20+卡牌属性!$DX529)</f>
        <v>100</v>
      </c>
      <c r="FM529" s="14">
        <f>INDEX(属性投放!$BR$6:$BR$85,(卡牌属性!$DW529-2)*20+卡牌属性!$DX529)</f>
        <v>50</v>
      </c>
      <c r="FN529" s="14">
        <f>INDEX(属性投放!$BR$6:$BR$85,(卡牌属性!$DW529-2)*20+卡牌属性!$DX529)</f>
        <v>50</v>
      </c>
      <c r="FO529" s="14">
        <f>INDEX(属性投放!$BR$6:$BR$85,(卡牌属性!$DW529-2)*20+卡牌属性!$DX529)</f>
        <v>50</v>
      </c>
      <c r="FP529" s="14">
        <f>INDEX(属性投放!$BR$6:$BR$85,(卡牌属性!$DW529-2)*20+卡牌属性!$DX529)</f>
        <v>50</v>
      </c>
      <c r="FQ529" s="14">
        <f>INDEX(属性投放!$BR$6:$BR$85,(卡牌属性!$DW529-2)*20+卡牌属性!$DX529)</f>
        <v>50</v>
      </c>
      <c r="FR529" s="14">
        <f>INDEX(属性投放!$BS$6:$BS$85,(卡牌属性!$DW529-2)*20+卡牌属性!$DX529)</f>
        <v>700</v>
      </c>
      <c r="FS529" s="14">
        <f>INDEX(属性投放!$BS$6:$BS$85,(卡牌属性!$DW529-2)*20+卡牌属性!$DX529)</f>
        <v>700</v>
      </c>
      <c r="FT529" s="14">
        <f>INDEX(属性投放!$BS$6:$BS$85,(卡牌属性!$DW529-2)*20+卡牌属性!$DX529)</f>
        <v>700</v>
      </c>
      <c r="FU529" s="14">
        <f>INDEX(属性投放!$BS$6:$BS$85,(卡牌属性!$DW529-2)*20+卡牌属性!$DX529)</f>
        <v>700</v>
      </c>
      <c r="FV529" s="14">
        <f>INDEX(属性投放!$BS$6:$BS$85,(卡牌属性!$DW529-2)*20+卡牌属性!$DX529)</f>
        <v>700</v>
      </c>
    </row>
    <row r="530" spans="31:178" ht="16.5" x14ac:dyDescent="0.2">
      <c r="AE530" s="13">
        <v>526</v>
      </c>
      <c r="AF530" s="13">
        <f t="shared" si="928"/>
        <v>27</v>
      </c>
      <c r="AG530" s="13">
        <f t="shared" si="929"/>
        <v>5</v>
      </c>
      <c r="AH530" s="13"/>
      <c r="AI530" s="13"/>
      <c r="AJ530" s="14">
        <f t="shared" si="930"/>
        <v>1101996</v>
      </c>
      <c r="AK530" s="14" t="str">
        <f t="shared" si="931"/>
        <v>UR寄灵人6突</v>
      </c>
      <c r="AL530" s="25" t="s">
        <v>142</v>
      </c>
      <c r="AM530" s="14">
        <v>1</v>
      </c>
      <c r="AN530" s="14">
        <f t="shared" si="932"/>
        <v>6</v>
      </c>
      <c r="AO530" s="14">
        <f>INDEX(属性投放!$DF$6:$DF$85,(卡牌属性!AG530-2)*20+卡牌属性!AN530)</f>
        <v>918</v>
      </c>
      <c r="AP530" s="14">
        <f t="shared" si="933"/>
        <v>918</v>
      </c>
      <c r="AQ530" s="14">
        <f t="shared" si="933"/>
        <v>918</v>
      </c>
      <c r="AR530" s="14">
        <f t="shared" si="933"/>
        <v>918</v>
      </c>
      <c r="AS530" s="14">
        <f t="shared" si="933"/>
        <v>918</v>
      </c>
      <c r="AT530" s="14">
        <f>INDEX(属性投放!$DG$6:$DG$85,(卡牌属性!AG530-2)*20+卡牌属性!AN530)</f>
        <v>392</v>
      </c>
      <c r="AU530" s="14">
        <f t="shared" si="934"/>
        <v>392</v>
      </c>
      <c r="AV530" s="14">
        <f t="shared" si="934"/>
        <v>392</v>
      </c>
      <c r="AW530" s="14">
        <f t="shared" si="934"/>
        <v>392</v>
      </c>
      <c r="AX530" s="14">
        <f t="shared" si="934"/>
        <v>392</v>
      </c>
      <c r="AY530" s="14">
        <f>INDEX(属性投放!$DH$6:$DH$85,(卡牌属性!AG530-2)*20+卡牌属性!AN530)</f>
        <v>4926</v>
      </c>
      <c r="AZ530" s="14">
        <f t="shared" si="935"/>
        <v>4926</v>
      </c>
      <c r="BA530" s="14">
        <f t="shared" si="935"/>
        <v>4926</v>
      </c>
      <c r="BB530" s="14">
        <f t="shared" si="935"/>
        <v>4926</v>
      </c>
      <c r="BC530" s="14">
        <f t="shared" si="935"/>
        <v>4926</v>
      </c>
      <c r="BD530" s="14">
        <f>INDEX(属性投放!$DL$6:$DL$85,(卡牌属性!AG530-2)*20+卡牌属性!AN530)</f>
        <v>40</v>
      </c>
      <c r="BE530" s="14">
        <f t="shared" si="936"/>
        <v>40</v>
      </c>
      <c r="BF530" s="14">
        <f t="shared" si="936"/>
        <v>40</v>
      </c>
      <c r="BG530" s="14">
        <f t="shared" si="936"/>
        <v>40</v>
      </c>
      <c r="BH530" s="14">
        <f t="shared" si="936"/>
        <v>40</v>
      </c>
      <c r="BI530" s="14">
        <f>INDEX(属性投放!$DM$6:$DM$85,(卡牌属性!AG530-2)*20+卡牌属性!AN530)</f>
        <v>20</v>
      </c>
      <c r="BJ530" s="14">
        <f t="shared" si="937"/>
        <v>20</v>
      </c>
      <c r="BK530" s="14">
        <f t="shared" si="937"/>
        <v>20</v>
      </c>
      <c r="BL530" s="14">
        <f t="shared" si="937"/>
        <v>20</v>
      </c>
      <c r="BM530" s="14">
        <f t="shared" si="937"/>
        <v>20</v>
      </c>
      <c r="BN530" s="14">
        <f>INDEX(属性投放!$DN$6:$DN$85,(卡牌属性!AG530-2)*20+卡牌属性!AN530)</f>
        <v>279</v>
      </c>
      <c r="BO530" s="14">
        <f t="shared" si="938"/>
        <v>279</v>
      </c>
      <c r="BP530" s="14">
        <f t="shared" si="938"/>
        <v>279</v>
      </c>
      <c r="BQ530" s="14">
        <f t="shared" si="938"/>
        <v>279</v>
      </c>
      <c r="BR530" s="14">
        <f t="shared" si="938"/>
        <v>279</v>
      </c>
      <c r="BW530" s="13">
        <v>526</v>
      </c>
      <c r="BX530" s="13">
        <f t="shared" si="915"/>
        <v>27</v>
      </c>
      <c r="BY530" s="14">
        <f t="shared" si="916"/>
        <v>3</v>
      </c>
      <c r="BZ530" s="14">
        <f t="shared" si="919"/>
        <v>1102030</v>
      </c>
      <c r="CA530" s="14" t="str">
        <f t="shared" si="920"/>
        <v>燕青6突</v>
      </c>
      <c r="CB530" s="25" t="s">
        <v>142</v>
      </c>
      <c r="CC530" s="14">
        <v>2</v>
      </c>
      <c r="CD530" s="14">
        <f t="shared" si="917"/>
        <v>6</v>
      </c>
      <c r="CE530" s="14" t="s">
        <v>21</v>
      </c>
      <c r="CF530" s="14">
        <f>INDEX(属性投放!$AZ$6:$AZ$85,(BY530-2)*20+CD530)</f>
        <v>1201</v>
      </c>
      <c r="CG530" s="14" t="s">
        <v>22</v>
      </c>
      <c r="CH530" s="14">
        <f>INDEX(属性投放!$BA$6:$BA$85,(BY530-2)*20+CD530)</f>
        <v>538</v>
      </c>
      <c r="CI530" s="14" t="s">
        <v>510</v>
      </c>
      <c r="CJ530" s="14">
        <f>INDEX(属性投放!$BB$6:$BB$85,(BY530-2)*20+CD530)</f>
        <v>7355</v>
      </c>
      <c r="CK530" s="14" t="s">
        <v>21</v>
      </c>
      <c r="CL530" s="14">
        <f>INDEX(属性投放!$BC$6:$BC$85,(BY530-2)*20+CD530)</f>
        <v>12</v>
      </c>
      <c r="CM530" s="14" t="s">
        <v>22</v>
      </c>
      <c r="CN530" s="14">
        <f>INDEX(属性投放!$BD$6:$BD$85,(BY530-2)*20+CD530)</f>
        <v>6</v>
      </c>
      <c r="CO530" s="14" t="s">
        <v>510</v>
      </c>
      <c r="CP530" s="14">
        <f>INDEX(属性投放!$BE$6:$BE$85,(BY530-2)*20+CD530)</f>
        <v>84</v>
      </c>
      <c r="CS530" s="13">
        <v>526</v>
      </c>
      <c r="CT530" s="13">
        <f t="shared" si="921"/>
        <v>11</v>
      </c>
      <c r="CU530" s="13">
        <f t="shared" si="922"/>
        <v>6</v>
      </c>
      <c r="CV530" s="14">
        <f t="shared" si="923"/>
        <v>4</v>
      </c>
      <c r="CW530" s="14">
        <f t="shared" si="924"/>
        <v>1102011</v>
      </c>
      <c r="CX530" s="14" t="str">
        <f>INDEX($O$6:$O$50,CT530)&amp;"-"&amp;INDEX(属性投放!$AB$7:$AB$50,CZ530)&amp;"-魂火-"&amp;DB530</f>
        <v>张飞-众合-魂火-1</v>
      </c>
      <c r="CY530" s="25" t="s">
        <v>142</v>
      </c>
      <c r="CZ530" s="14">
        <f>INDEX(属性投放!$AM$7:$AM$58,CU530)</f>
        <v>4</v>
      </c>
      <c r="DA530" s="14" t="s">
        <v>537</v>
      </c>
      <c r="DB530" s="14">
        <f>INDEX(属性投放!$AN$7:$AN$58,CU530)</f>
        <v>1</v>
      </c>
      <c r="DC530" s="14">
        <f t="shared" si="918"/>
        <v>6</v>
      </c>
      <c r="DD530" s="14">
        <f>INDEX(属性投放!$AO$7:$AO$58,DC530)</f>
        <v>28</v>
      </c>
      <c r="DE530" s="14" t="s">
        <v>538</v>
      </c>
      <c r="DF530" s="14">
        <f>INDEX(属性投放!$BK$6:$BK$85,(CV530-2)*20+CZ530)</f>
        <v>45</v>
      </c>
      <c r="DG530" s="14">
        <f>SUMIFS(DF$5:DF530,$CT$5:$CT530,"="&amp;$CT530)</f>
        <v>200</v>
      </c>
      <c r="DH530" s="14" t="s">
        <v>539</v>
      </c>
      <c r="DI530" s="14">
        <f>INDEX(属性投放!$BL$6:$BL$85,(CV530-2)*20+CZ530)</f>
        <v>23</v>
      </c>
      <c r="DJ530" s="14">
        <f>SUMIFS(DI$5:DI530,$CT$5:$CT530,"="&amp;$CT530)</f>
        <v>102</v>
      </c>
      <c r="DK530" s="14" t="s">
        <v>540</v>
      </c>
      <c r="DL530" s="14">
        <f>INDEX(属性投放!$BM$6:$BM$85,(CV530-2)*20+CZ530)</f>
        <v>315</v>
      </c>
      <c r="DM530" s="14">
        <f>SUMIFS(DL$5:DL530,$CT$5:$CT530,"="&amp;$CT530)</f>
        <v>1245</v>
      </c>
      <c r="DR530" s="14">
        <f t="shared" si="895"/>
        <v>1102030</v>
      </c>
      <c r="DS530" s="14" t="str">
        <f t="shared" si="896"/>
        <v>燕青6突</v>
      </c>
      <c r="DT530" s="14">
        <f t="shared" si="925"/>
        <v>6</v>
      </c>
      <c r="DU530" s="14">
        <f t="shared" si="926"/>
        <v>6</v>
      </c>
      <c r="DV530" s="14">
        <f t="shared" si="927"/>
        <v>5</v>
      </c>
      <c r="DW530" s="14">
        <f t="shared" si="897"/>
        <v>3</v>
      </c>
      <c r="DX530" s="14">
        <f t="shared" si="898"/>
        <v>6</v>
      </c>
      <c r="DY530" s="14">
        <f t="shared" si="899"/>
        <v>26</v>
      </c>
      <c r="DZ530" s="14">
        <f>INDEX(属性投放!$AX$6:$AX$85,(卡牌属性!DW530-2)*20+卡牌属性!DX530)</f>
        <v>5</v>
      </c>
      <c r="EA530" s="14">
        <f>INDEX(属性投放!BQ$6:BQ$85,卡牌属性!$DY530)</f>
        <v>140</v>
      </c>
      <c r="EB530" s="14">
        <f>INDEX(属性投放!BR$6:BR$85,卡牌属性!$DY530)</f>
        <v>70</v>
      </c>
      <c r="EC530" s="14">
        <f>INDEX(属性投放!BS$6:BS$85,卡牌属性!$DY530)</f>
        <v>980</v>
      </c>
      <c r="ED530" s="14">
        <f t="shared" si="939"/>
        <v>991</v>
      </c>
      <c r="EE530" s="14">
        <f t="shared" si="940"/>
        <v>1203</v>
      </c>
      <c r="EF530" s="14">
        <f t="shared" si="941"/>
        <v>1331</v>
      </c>
      <c r="EG530" s="14">
        <f t="shared" si="942"/>
        <v>1331</v>
      </c>
      <c r="EH530" s="14">
        <f t="shared" si="943"/>
        <v>1500</v>
      </c>
      <c r="EI530" s="14">
        <f t="shared" si="944"/>
        <v>457</v>
      </c>
      <c r="EJ530" s="14">
        <f t="shared" si="945"/>
        <v>562</v>
      </c>
      <c r="EK530" s="14">
        <f t="shared" si="946"/>
        <v>562</v>
      </c>
      <c r="EL530" s="14">
        <f t="shared" si="947"/>
        <v>628</v>
      </c>
      <c r="EM530" s="14">
        <f t="shared" si="948"/>
        <v>711</v>
      </c>
      <c r="EN530" s="14">
        <f t="shared" si="949"/>
        <v>5385</v>
      </c>
      <c r="EO530" s="14">
        <f t="shared" si="950"/>
        <v>5942</v>
      </c>
      <c r="EP530" s="14">
        <f t="shared" si="951"/>
        <v>5942</v>
      </c>
      <c r="EQ530" s="14">
        <f t="shared" si="952"/>
        <v>7333</v>
      </c>
      <c r="ER530" s="14">
        <f t="shared" si="953"/>
        <v>8035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84</v>
      </c>
      <c r="FD530" s="14">
        <f>INDEX(属性偏向!$U$4:$U$243,(卡牌属性!$DV530-1+FD$3)*20+卡牌属性!$DX530)</f>
        <v>91</v>
      </c>
      <c r="FE530" s="14">
        <f>INDEX(属性偏向!$U$4:$U$243,(卡牌属性!$DV530-1+FE$3)*20+卡牌属性!$DX530)</f>
        <v>91</v>
      </c>
      <c r="FF530" s="14">
        <f>INDEX(属性偏向!$U$4:$U$243,(卡牌属性!$DV530-1+FF$3)*20+卡牌属性!$DX530)</f>
        <v>140</v>
      </c>
      <c r="FG530" s="14">
        <f>INDEX(属性偏向!$U$4:$U$243,(卡牌属性!$DV530-1+FG$3)*20+卡牌属性!$DX530)</f>
        <v>154</v>
      </c>
      <c r="FH530" s="14">
        <f>INDEX(属性投放!$BQ$6:$BQ$85,(卡牌属性!$DW530-2)*20+卡牌属性!$DX530)</f>
        <v>140</v>
      </c>
      <c r="FI530" s="14">
        <f>INDEX(属性投放!$BQ$6:$BQ$85,(卡牌属性!$DW530-2)*20+卡牌属性!$DX530)</f>
        <v>140</v>
      </c>
      <c r="FJ530" s="14">
        <f>INDEX(属性投放!$BQ$6:$BQ$85,(卡牌属性!$DW530-2)*20+卡牌属性!$DX530)</f>
        <v>140</v>
      </c>
      <c r="FK530" s="14">
        <f>INDEX(属性投放!$BQ$6:$BQ$85,(卡牌属性!$DW530-2)*20+卡牌属性!$DX530)</f>
        <v>140</v>
      </c>
      <c r="FL530" s="14">
        <f>INDEX(属性投放!$BQ$6:$BQ$85,(卡牌属性!$DW530-2)*20+卡牌属性!$DX530)</f>
        <v>140</v>
      </c>
      <c r="FM530" s="14">
        <f>INDEX(属性投放!$BR$6:$BR$85,(卡牌属性!$DW530-2)*20+卡牌属性!$DX530)</f>
        <v>70</v>
      </c>
      <c r="FN530" s="14">
        <f>INDEX(属性投放!$BR$6:$BR$85,(卡牌属性!$DW530-2)*20+卡牌属性!$DX530)</f>
        <v>70</v>
      </c>
      <c r="FO530" s="14">
        <f>INDEX(属性投放!$BR$6:$BR$85,(卡牌属性!$DW530-2)*20+卡牌属性!$DX530)</f>
        <v>70</v>
      </c>
      <c r="FP530" s="14">
        <f>INDEX(属性投放!$BR$6:$BR$85,(卡牌属性!$DW530-2)*20+卡牌属性!$DX530)</f>
        <v>70</v>
      </c>
      <c r="FQ530" s="14">
        <f>INDEX(属性投放!$BR$6:$BR$85,(卡牌属性!$DW530-2)*20+卡牌属性!$DX530)</f>
        <v>70</v>
      </c>
      <c r="FR530" s="14">
        <f>INDEX(属性投放!$BS$6:$BS$85,(卡牌属性!$DW530-2)*20+卡牌属性!$DX530)</f>
        <v>980</v>
      </c>
      <c r="FS530" s="14">
        <f>INDEX(属性投放!$BS$6:$BS$85,(卡牌属性!$DW530-2)*20+卡牌属性!$DX530)</f>
        <v>980</v>
      </c>
      <c r="FT530" s="14">
        <f>INDEX(属性投放!$BS$6:$BS$85,(卡牌属性!$DW530-2)*20+卡牌属性!$DX530)</f>
        <v>980</v>
      </c>
      <c r="FU530" s="14">
        <f>INDEX(属性投放!$BS$6:$BS$85,(卡牌属性!$DW530-2)*20+卡牌属性!$DX530)</f>
        <v>980</v>
      </c>
      <c r="FV530" s="14">
        <f>INDEX(属性投放!$BS$6:$BS$85,(卡牌属性!$DW530-2)*20+卡牌属性!$DX530)</f>
        <v>980</v>
      </c>
    </row>
    <row r="531" spans="31:178" ht="16.5" x14ac:dyDescent="0.2">
      <c r="AE531" s="13">
        <v>527</v>
      </c>
      <c r="AF531" s="13">
        <f t="shared" si="928"/>
        <v>27</v>
      </c>
      <c r="AG531" s="13">
        <f t="shared" si="929"/>
        <v>5</v>
      </c>
      <c r="AH531" s="13"/>
      <c r="AI531" s="13"/>
      <c r="AJ531" s="14">
        <f t="shared" si="930"/>
        <v>1101996</v>
      </c>
      <c r="AK531" s="14" t="str">
        <f t="shared" si="931"/>
        <v>UR寄灵人7突</v>
      </c>
      <c r="AL531" s="25" t="s">
        <v>142</v>
      </c>
      <c r="AM531" s="14">
        <v>1</v>
      </c>
      <c r="AN531" s="14">
        <f t="shared" si="932"/>
        <v>7</v>
      </c>
      <c r="AO531" s="14">
        <f>INDEX(属性投放!$DF$6:$DF$85,(卡牌属性!AG531-2)*20+卡牌属性!AN531)</f>
        <v>2032</v>
      </c>
      <c r="AP531" s="14">
        <f t="shared" si="933"/>
        <v>2032</v>
      </c>
      <c r="AQ531" s="14">
        <f t="shared" si="933"/>
        <v>2032</v>
      </c>
      <c r="AR531" s="14">
        <f t="shared" si="933"/>
        <v>2032</v>
      </c>
      <c r="AS531" s="14">
        <f t="shared" si="933"/>
        <v>2032</v>
      </c>
      <c r="AT531" s="14">
        <f>INDEX(属性投放!$DG$6:$DG$85,(卡牌属性!AG531-2)*20+卡牌属性!AN531)</f>
        <v>949</v>
      </c>
      <c r="AU531" s="14">
        <f t="shared" si="934"/>
        <v>949</v>
      </c>
      <c r="AV531" s="14">
        <f t="shared" si="934"/>
        <v>949</v>
      </c>
      <c r="AW531" s="14">
        <f t="shared" si="934"/>
        <v>949</v>
      </c>
      <c r="AX531" s="14">
        <f t="shared" si="934"/>
        <v>949</v>
      </c>
      <c r="AY531" s="14">
        <f>INDEX(属性投放!$DH$6:$DH$85,(卡牌属性!AG531-2)*20+卡牌属性!AN531)</f>
        <v>12699</v>
      </c>
      <c r="AZ531" s="14">
        <f t="shared" si="935"/>
        <v>12699</v>
      </c>
      <c r="BA531" s="14">
        <f t="shared" si="935"/>
        <v>12699</v>
      </c>
      <c r="BB531" s="14">
        <f t="shared" si="935"/>
        <v>12699</v>
      </c>
      <c r="BC531" s="14">
        <f t="shared" si="935"/>
        <v>12699</v>
      </c>
      <c r="BD531" s="14">
        <f>INDEX(属性投放!$DL$6:$DL$85,(卡牌属性!AG531-2)*20+卡牌属性!AN531)</f>
        <v>58</v>
      </c>
      <c r="BE531" s="14">
        <f t="shared" si="936"/>
        <v>58</v>
      </c>
      <c r="BF531" s="14">
        <f t="shared" si="936"/>
        <v>58</v>
      </c>
      <c r="BG531" s="14">
        <f t="shared" si="936"/>
        <v>58</v>
      </c>
      <c r="BH531" s="14">
        <f t="shared" si="936"/>
        <v>58</v>
      </c>
      <c r="BI531" s="14">
        <f>INDEX(属性投放!$DM$6:$DM$85,(卡牌属性!AG531-2)*20+卡牌属性!AN531)</f>
        <v>29</v>
      </c>
      <c r="BJ531" s="14">
        <f t="shared" si="937"/>
        <v>29</v>
      </c>
      <c r="BK531" s="14">
        <f t="shared" si="937"/>
        <v>29</v>
      </c>
      <c r="BL531" s="14">
        <f t="shared" si="937"/>
        <v>29</v>
      </c>
      <c r="BM531" s="14">
        <f t="shared" si="937"/>
        <v>29</v>
      </c>
      <c r="BN531" s="14">
        <f>INDEX(属性投放!$DN$6:$DN$85,(卡牌属性!AG531-2)*20+卡牌属性!AN531)</f>
        <v>461</v>
      </c>
      <c r="BO531" s="14">
        <f t="shared" si="938"/>
        <v>461</v>
      </c>
      <c r="BP531" s="14">
        <f t="shared" si="938"/>
        <v>461</v>
      </c>
      <c r="BQ531" s="14">
        <f t="shared" si="938"/>
        <v>461</v>
      </c>
      <c r="BR531" s="14">
        <f t="shared" si="938"/>
        <v>461</v>
      </c>
      <c r="BW531" s="13">
        <v>527</v>
      </c>
      <c r="BX531" s="13">
        <f t="shared" si="915"/>
        <v>27</v>
      </c>
      <c r="BY531" s="14">
        <f t="shared" si="916"/>
        <v>3</v>
      </c>
      <c r="BZ531" s="14">
        <f t="shared" si="919"/>
        <v>1102030</v>
      </c>
      <c r="CA531" s="14" t="str">
        <f t="shared" si="920"/>
        <v>燕青7突</v>
      </c>
      <c r="CB531" s="25" t="s">
        <v>142</v>
      </c>
      <c r="CC531" s="14">
        <v>2</v>
      </c>
      <c r="CD531" s="14">
        <f t="shared" si="917"/>
        <v>7</v>
      </c>
      <c r="CE531" s="14" t="s">
        <v>21</v>
      </c>
      <c r="CF531" s="14">
        <f>INDEX(属性投放!$AZ$6:$AZ$85,(BY531-2)*20+CD531)</f>
        <v>1501</v>
      </c>
      <c r="CG531" s="14" t="s">
        <v>22</v>
      </c>
      <c r="CH531" s="14">
        <f>INDEX(属性投放!$BA$6:$BA$85,(BY531-2)*20+CD531)</f>
        <v>688</v>
      </c>
      <c r="CI531" s="14" t="s">
        <v>510</v>
      </c>
      <c r="CJ531" s="14">
        <f>INDEX(属性投放!$BB$6:$BB$85,(BY531-2)*20+CD531)</f>
        <v>9455</v>
      </c>
      <c r="CK531" s="14" t="s">
        <v>21</v>
      </c>
      <c r="CL531" s="14">
        <f>INDEX(属性投放!$BC$6:$BC$85,(BY531-2)*20+CD531)</f>
        <v>15</v>
      </c>
      <c r="CM531" s="14" t="s">
        <v>22</v>
      </c>
      <c r="CN531" s="14">
        <f>INDEX(属性投放!$BD$6:$BD$85,(BY531-2)*20+CD531)</f>
        <v>8</v>
      </c>
      <c r="CO531" s="14" t="s">
        <v>510</v>
      </c>
      <c r="CP531" s="14">
        <f>INDEX(属性投放!$BE$6:$BE$85,(BY531-2)*20+CD531)</f>
        <v>120</v>
      </c>
      <c r="CS531" s="13">
        <v>527</v>
      </c>
      <c r="CT531" s="13">
        <f t="shared" si="921"/>
        <v>11</v>
      </c>
      <c r="CU531" s="13">
        <f t="shared" si="922"/>
        <v>7</v>
      </c>
      <c r="CV531" s="14">
        <f t="shared" si="923"/>
        <v>4</v>
      </c>
      <c r="CW531" s="14">
        <f t="shared" si="924"/>
        <v>1102011</v>
      </c>
      <c r="CX531" s="14" t="str">
        <f>INDEX($O$6:$O$50,CT531)&amp;"-"&amp;INDEX(属性投放!$AB$7:$AB$50,CZ531)&amp;"-魂火-"&amp;DB531</f>
        <v>张飞-众合-魂火-2</v>
      </c>
      <c r="CY531" s="25" t="s">
        <v>142</v>
      </c>
      <c r="CZ531" s="14">
        <f>INDEX(属性投放!$AM$7:$AM$58,CU531)</f>
        <v>4</v>
      </c>
      <c r="DA531" s="14" t="s">
        <v>537</v>
      </c>
      <c r="DB531" s="14">
        <f>INDEX(属性投放!$AN$7:$AN$58,CU531)</f>
        <v>2</v>
      </c>
      <c r="DC531" s="14">
        <f t="shared" si="918"/>
        <v>7</v>
      </c>
      <c r="DD531" s="14">
        <f>INDEX(属性投放!$AO$7:$AO$58,DC531)</f>
        <v>33</v>
      </c>
      <c r="DE531" s="14" t="s">
        <v>538</v>
      </c>
      <c r="DF531" s="14">
        <f>INDEX(属性投放!$BK$6:$BK$85,(CV531-2)*20+CZ531)</f>
        <v>45</v>
      </c>
      <c r="DG531" s="14">
        <f>SUMIFS(DF$5:DF531,$CT$5:$CT531,"="&amp;$CT531)</f>
        <v>245</v>
      </c>
      <c r="DH531" s="14" t="s">
        <v>539</v>
      </c>
      <c r="DI531" s="14">
        <f>INDEX(属性投放!$BL$6:$BL$85,(CV531-2)*20+CZ531)</f>
        <v>23</v>
      </c>
      <c r="DJ531" s="14">
        <f>SUMIFS(DI$5:DI531,$CT$5:$CT531,"="&amp;$CT531)</f>
        <v>125</v>
      </c>
      <c r="DK531" s="14" t="s">
        <v>540</v>
      </c>
      <c r="DL531" s="14">
        <f>INDEX(属性投放!$BM$6:$BM$85,(CV531-2)*20+CZ531)</f>
        <v>315</v>
      </c>
      <c r="DM531" s="14">
        <f>SUMIFS(DL$5:DL531,$CT$5:$CT531,"="&amp;$CT531)</f>
        <v>1560</v>
      </c>
      <c r="DR531" s="14">
        <f t="shared" si="895"/>
        <v>1102030</v>
      </c>
      <c r="DS531" s="14" t="str">
        <f t="shared" si="896"/>
        <v>燕青7突</v>
      </c>
      <c r="DT531" s="14">
        <f t="shared" si="925"/>
        <v>6</v>
      </c>
      <c r="DU531" s="14">
        <f t="shared" si="926"/>
        <v>6</v>
      </c>
      <c r="DV531" s="14">
        <f t="shared" si="927"/>
        <v>5</v>
      </c>
      <c r="DW531" s="14">
        <f t="shared" si="897"/>
        <v>3</v>
      </c>
      <c r="DX531" s="14">
        <f t="shared" si="898"/>
        <v>7</v>
      </c>
      <c r="DY531" s="14">
        <f t="shared" si="899"/>
        <v>27</v>
      </c>
      <c r="DZ531" s="14">
        <f>INDEX(属性投放!$AX$6:$AX$85,(卡牌属性!DW531-2)*20+卡牌属性!DX531)</f>
        <v>5</v>
      </c>
      <c r="EA531" s="14">
        <f>INDEX(属性投放!BQ$6:BQ$85,卡牌属性!$DY531)</f>
        <v>135</v>
      </c>
      <c r="EB531" s="14">
        <f>INDEX(属性投放!BR$6:BR$85,卡牌属性!$DY531)</f>
        <v>68</v>
      </c>
      <c r="EC531" s="14">
        <f>INDEX(属性投放!BS$6:BS$85,卡牌属性!$DY531)</f>
        <v>1080</v>
      </c>
      <c r="ED531" s="14">
        <f t="shared" si="939"/>
        <v>1196</v>
      </c>
      <c r="EE531" s="14">
        <f t="shared" si="940"/>
        <v>1443</v>
      </c>
      <c r="EF531" s="14">
        <f t="shared" si="941"/>
        <v>1581</v>
      </c>
      <c r="EG531" s="14">
        <f t="shared" si="942"/>
        <v>1581</v>
      </c>
      <c r="EH531" s="14">
        <f t="shared" si="943"/>
        <v>1765</v>
      </c>
      <c r="EI531" s="14">
        <f t="shared" si="944"/>
        <v>562</v>
      </c>
      <c r="EJ531" s="14">
        <f t="shared" si="945"/>
        <v>682</v>
      </c>
      <c r="EK531" s="14">
        <f t="shared" si="946"/>
        <v>682</v>
      </c>
      <c r="EL531" s="14">
        <f t="shared" si="947"/>
        <v>753</v>
      </c>
      <c r="EM531" s="14">
        <f t="shared" si="948"/>
        <v>846</v>
      </c>
      <c r="EN531" s="14">
        <f t="shared" si="949"/>
        <v>6785</v>
      </c>
      <c r="EO531" s="14">
        <f t="shared" si="950"/>
        <v>7377</v>
      </c>
      <c r="EP531" s="14">
        <f t="shared" si="951"/>
        <v>7377</v>
      </c>
      <c r="EQ531" s="14">
        <f t="shared" si="952"/>
        <v>9013</v>
      </c>
      <c r="ER531" s="14">
        <f t="shared" si="953"/>
        <v>9785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120</v>
      </c>
      <c r="FD531" s="14">
        <f>INDEX(属性偏向!$U$4:$U$243,(卡牌属性!$DV531-1+FD$3)*20+卡牌属性!$DX531)</f>
        <v>128</v>
      </c>
      <c r="FE531" s="14">
        <f>INDEX(属性偏向!$U$4:$U$243,(卡牌属性!$DV531-1+FE$3)*20+卡牌属性!$DX531)</f>
        <v>128</v>
      </c>
      <c r="FF531" s="14">
        <f>INDEX(属性偏向!$U$4:$U$243,(卡牌属性!$DV531-1+FF$3)*20+卡牌属性!$DX531)</f>
        <v>200</v>
      </c>
      <c r="FG531" s="14">
        <f>INDEX(属性偏向!$U$4:$U$243,(卡牌属性!$DV531-1+FG$3)*20+卡牌属性!$DX531)</f>
        <v>224</v>
      </c>
      <c r="FH531" s="14">
        <f>INDEX(属性投放!$BQ$6:$BQ$85,(卡牌属性!$DW531-2)*20+卡牌属性!$DX531)</f>
        <v>135</v>
      </c>
      <c r="FI531" s="14">
        <f>INDEX(属性投放!$BQ$6:$BQ$85,(卡牌属性!$DW531-2)*20+卡牌属性!$DX531)</f>
        <v>135</v>
      </c>
      <c r="FJ531" s="14">
        <f>INDEX(属性投放!$BQ$6:$BQ$85,(卡牌属性!$DW531-2)*20+卡牌属性!$DX531)</f>
        <v>135</v>
      </c>
      <c r="FK531" s="14">
        <f>INDEX(属性投放!$BQ$6:$BQ$85,(卡牌属性!$DW531-2)*20+卡牌属性!$DX531)</f>
        <v>135</v>
      </c>
      <c r="FL531" s="14">
        <f>INDEX(属性投放!$BQ$6:$BQ$85,(卡牌属性!$DW531-2)*20+卡牌属性!$DX531)</f>
        <v>135</v>
      </c>
      <c r="FM531" s="14">
        <f>INDEX(属性投放!$BR$6:$BR$85,(卡牌属性!$DW531-2)*20+卡牌属性!$DX531)</f>
        <v>68</v>
      </c>
      <c r="FN531" s="14">
        <f>INDEX(属性投放!$BR$6:$BR$85,(卡牌属性!$DW531-2)*20+卡牌属性!$DX531)</f>
        <v>68</v>
      </c>
      <c r="FO531" s="14">
        <f>INDEX(属性投放!$BR$6:$BR$85,(卡牌属性!$DW531-2)*20+卡牌属性!$DX531)</f>
        <v>68</v>
      </c>
      <c r="FP531" s="14">
        <f>INDEX(属性投放!$BR$6:$BR$85,(卡牌属性!$DW531-2)*20+卡牌属性!$DX531)</f>
        <v>68</v>
      </c>
      <c r="FQ531" s="14">
        <f>INDEX(属性投放!$BR$6:$BR$85,(卡牌属性!$DW531-2)*20+卡牌属性!$DX531)</f>
        <v>68</v>
      </c>
      <c r="FR531" s="14">
        <f>INDEX(属性投放!$BS$6:$BS$85,(卡牌属性!$DW531-2)*20+卡牌属性!$DX531)</f>
        <v>1080</v>
      </c>
      <c r="FS531" s="14">
        <f>INDEX(属性投放!$BS$6:$BS$85,(卡牌属性!$DW531-2)*20+卡牌属性!$DX531)</f>
        <v>1080</v>
      </c>
      <c r="FT531" s="14">
        <f>INDEX(属性投放!$BS$6:$BS$85,(卡牌属性!$DW531-2)*20+卡牌属性!$DX531)</f>
        <v>1080</v>
      </c>
      <c r="FU531" s="14">
        <f>INDEX(属性投放!$BS$6:$BS$85,(卡牌属性!$DW531-2)*20+卡牌属性!$DX531)</f>
        <v>1080</v>
      </c>
      <c r="FV531" s="14">
        <f>INDEX(属性投放!$BS$6:$BS$85,(卡牌属性!$DW531-2)*20+卡牌属性!$DX531)</f>
        <v>1080</v>
      </c>
    </row>
    <row r="532" spans="31:178" ht="16.5" x14ac:dyDescent="0.2">
      <c r="AE532" s="13">
        <v>528</v>
      </c>
      <c r="AF532" s="13">
        <f t="shared" si="928"/>
        <v>27</v>
      </c>
      <c r="AG532" s="13">
        <f t="shared" si="929"/>
        <v>5</v>
      </c>
      <c r="AH532" s="13"/>
      <c r="AI532" s="13"/>
      <c r="AJ532" s="14">
        <f t="shared" si="930"/>
        <v>1101996</v>
      </c>
      <c r="AK532" s="14" t="str">
        <f t="shared" si="931"/>
        <v>UR寄灵人8突</v>
      </c>
      <c r="AL532" s="25" t="s">
        <v>142</v>
      </c>
      <c r="AM532" s="14">
        <v>1</v>
      </c>
      <c r="AN532" s="14">
        <f t="shared" si="932"/>
        <v>8</v>
      </c>
      <c r="AO532" s="14">
        <f>INDEX(属性投放!$DF$6:$DF$85,(卡牌属性!AG532-2)*20+卡牌属性!AN532)</f>
        <v>2197</v>
      </c>
      <c r="AP532" s="14">
        <f t="shared" si="933"/>
        <v>2197</v>
      </c>
      <c r="AQ532" s="14">
        <f t="shared" si="933"/>
        <v>2197</v>
      </c>
      <c r="AR532" s="14">
        <f t="shared" si="933"/>
        <v>2197</v>
      </c>
      <c r="AS532" s="14">
        <f t="shared" si="933"/>
        <v>2197</v>
      </c>
      <c r="AT532" s="14">
        <f>INDEX(属性投放!$DG$6:$DG$85,(卡牌属性!AG532-2)*20+卡牌属性!AN532)</f>
        <v>1032</v>
      </c>
      <c r="AU532" s="14">
        <f t="shared" si="934"/>
        <v>1032</v>
      </c>
      <c r="AV532" s="14">
        <f t="shared" si="934"/>
        <v>1032</v>
      </c>
      <c r="AW532" s="14">
        <f t="shared" si="934"/>
        <v>1032</v>
      </c>
      <c r="AX532" s="14">
        <f t="shared" si="934"/>
        <v>1032</v>
      </c>
      <c r="AY532" s="14">
        <f>INDEX(属性投放!$DH$6:$DH$85,(卡牌属性!AG532-2)*20+卡牌属性!AN532)</f>
        <v>14015</v>
      </c>
      <c r="AZ532" s="14">
        <f t="shared" si="935"/>
        <v>14015</v>
      </c>
      <c r="BA532" s="14">
        <f t="shared" si="935"/>
        <v>14015</v>
      </c>
      <c r="BB532" s="14">
        <f t="shared" si="935"/>
        <v>14015</v>
      </c>
      <c r="BC532" s="14">
        <f t="shared" si="935"/>
        <v>14015</v>
      </c>
      <c r="BD532" s="14">
        <f>INDEX(属性投放!$DL$6:$DL$85,(卡牌属性!AG532-2)*20+卡牌属性!AN532)</f>
        <v>58</v>
      </c>
      <c r="BE532" s="14">
        <f t="shared" si="936"/>
        <v>58</v>
      </c>
      <c r="BF532" s="14">
        <f t="shared" si="936"/>
        <v>58</v>
      </c>
      <c r="BG532" s="14">
        <f t="shared" si="936"/>
        <v>58</v>
      </c>
      <c r="BH532" s="14">
        <f t="shared" si="936"/>
        <v>58</v>
      </c>
      <c r="BI532" s="14">
        <f>INDEX(属性投放!$DM$6:$DM$85,(卡牌属性!AG532-2)*20+卡牌属性!AN532)</f>
        <v>29</v>
      </c>
      <c r="BJ532" s="14">
        <f t="shared" si="937"/>
        <v>29</v>
      </c>
      <c r="BK532" s="14">
        <f t="shared" si="937"/>
        <v>29</v>
      </c>
      <c r="BL532" s="14">
        <f t="shared" si="937"/>
        <v>29</v>
      </c>
      <c r="BM532" s="14">
        <f t="shared" si="937"/>
        <v>29</v>
      </c>
      <c r="BN532" s="14">
        <f>INDEX(属性投放!$DN$6:$DN$85,(卡牌属性!AG532-2)*20+卡牌属性!AN532)</f>
        <v>461</v>
      </c>
      <c r="BO532" s="14">
        <f t="shared" si="938"/>
        <v>461</v>
      </c>
      <c r="BP532" s="14">
        <f t="shared" si="938"/>
        <v>461</v>
      </c>
      <c r="BQ532" s="14">
        <f t="shared" si="938"/>
        <v>461</v>
      </c>
      <c r="BR532" s="14">
        <f t="shared" si="938"/>
        <v>461</v>
      </c>
      <c r="BW532" s="13">
        <v>528</v>
      </c>
      <c r="BX532" s="13">
        <f t="shared" si="915"/>
        <v>27</v>
      </c>
      <c r="BY532" s="14">
        <f t="shared" si="916"/>
        <v>3</v>
      </c>
      <c r="BZ532" s="14">
        <f t="shared" si="919"/>
        <v>1102030</v>
      </c>
      <c r="CA532" s="14" t="str">
        <f t="shared" si="920"/>
        <v>燕青8突</v>
      </c>
      <c r="CB532" s="25" t="s">
        <v>142</v>
      </c>
      <c r="CC532" s="14">
        <v>2</v>
      </c>
      <c r="CD532" s="14">
        <f t="shared" si="917"/>
        <v>8</v>
      </c>
      <c r="CE532" s="14" t="s">
        <v>21</v>
      </c>
      <c r="CF532" s="14">
        <f>INDEX(属性投放!$AZ$6:$AZ$85,(BY532-2)*20+CD532)</f>
        <v>1851</v>
      </c>
      <c r="CG532" s="14" t="s">
        <v>22</v>
      </c>
      <c r="CH532" s="14">
        <f>INDEX(属性投放!$BA$6:$BA$85,(BY532-2)*20+CD532)</f>
        <v>866</v>
      </c>
      <c r="CI532" s="14" t="s">
        <v>510</v>
      </c>
      <c r="CJ532" s="14">
        <f>INDEX(属性投放!$BB$6:$BB$85,(BY532-2)*20+CD532)</f>
        <v>12255</v>
      </c>
      <c r="CK532" s="14" t="s">
        <v>21</v>
      </c>
      <c r="CL532" s="14">
        <f>INDEX(属性投放!$BC$6:$BC$85,(BY532-2)*20+CD532)</f>
        <v>15</v>
      </c>
      <c r="CM532" s="14" t="s">
        <v>22</v>
      </c>
      <c r="CN532" s="14">
        <f>INDEX(属性投放!$BD$6:$BD$85,(BY532-2)*20+CD532)</f>
        <v>8</v>
      </c>
      <c r="CO532" s="14" t="s">
        <v>510</v>
      </c>
      <c r="CP532" s="14">
        <f>INDEX(属性投放!$BE$6:$BE$85,(BY532-2)*20+CD532)</f>
        <v>120</v>
      </c>
      <c r="CS532" s="13">
        <v>528</v>
      </c>
      <c r="CT532" s="13">
        <f t="shared" si="921"/>
        <v>11</v>
      </c>
      <c r="CU532" s="13">
        <f t="shared" si="922"/>
        <v>8</v>
      </c>
      <c r="CV532" s="14">
        <f t="shared" si="923"/>
        <v>4</v>
      </c>
      <c r="CW532" s="14">
        <f t="shared" si="924"/>
        <v>1102011</v>
      </c>
      <c r="CX532" s="14" t="str">
        <f>INDEX($O$6:$O$50,CT532)&amp;"-"&amp;INDEX(属性投放!$AB$7:$AB$50,CZ532)&amp;"-魂火-"&amp;DB532</f>
        <v>张飞-众合+1-魂火-1</v>
      </c>
      <c r="CY532" s="25" t="s">
        <v>142</v>
      </c>
      <c r="CZ532" s="14">
        <f>INDEX(属性投放!$AM$7:$AM$58,CU532)</f>
        <v>5</v>
      </c>
      <c r="DA532" s="14" t="s">
        <v>537</v>
      </c>
      <c r="DB532" s="14">
        <f>INDEX(属性投放!$AN$7:$AN$58,CU532)</f>
        <v>1</v>
      </c>
      <c r="DC532" s="14">
        <f t="shared" si="918"/>
        <v>8</v>
      </c>
      <c r="DD532" s="14">
        <f>INDEX(属性投放!$AO$7:$AO$58,DC532)</f>
        <v>38</v>
      </c>
      <c r="DE532" s="14" t="s">
        <v>538</v>
      </c>
      <c r="DF532" s="14">
        <f>INDEX(属性投放!$BK$6:$BK$85,(CV532-2)*20+CZ532)</f>
        <v>55</v>
      </c>
      <c r="DG532" s="14">
        <f>SUMIFS(DF$5:DF532,$CT$5:$CT532,"="&amp;$CT532)</f>
        <v>300</v>
      </c>
      <c r="DH532" s="14" t="s">
        <v>539</v>
      </c>
      <c r="DI532" s="14">
        <f>INDEX(属性投放!$BL$6:$BL$85,(CV532-2)*20+CZ532)</f>
        <v>28</v>
      </c>
      <c r="DJ532" s="14">
        <f>SUMIFS(DI$5:DI532,$CT$5:$CT532,"="&amp;$CT532)</f>
        <v>153</v>
      </c>
      <c r="DK532" s="14" t="s">
        <v>540</v>
      </c>
      <c r="DL532" s="14">
        <f>INDEX(属性投放!$BM$6:$BM$85,(CV532-2)*20+CZ532)</f>
        <v>385</v>
      </c>
      <c r="DM532" s="14">
        <f>SUMIFS(DL$5:DL532,$CT$5:$CT532,"="&amp;$CT532)</f>
        <v>1945</v>
      </c>
      <c r="DR532" s="14">
        <f t="shared" si="895"/>
        <v>1102030</v>
      </c>
      <c r="DS532" s="14" t="str">
        <f t="shared" si="896"/>
        <v>燕青8突</v>
      </c>
      <c r="DT532" s="14">
        <f t="shared" si="925"/>
        <v>6</v>
      </c>
      <c r="DU532" s="14">
        <f t="shared" si="926"/>
        <v>6</v>
      </c>
      <c r="DV532" s="14">
        <f t="shared" si="927"/>
        <v>5</v>
      </c>
      <c r="DW532" s="14">
        <f t="shared" si="897"/>
        <v>3</v>
      </c>
      <c r="DX532" s="14">
        <f t="shared" si="898"/>
        <v>8</v>
      </c>
      <c r="DY532" s="14">
        <f t="shared" si="899"/>
        <v>28</v>
      </c>
      <c r="DZ532" s="14">
        <f>INDEX(属性投放!$AX$6:$AX$85,(卡牌属性!DW532-2)*20+卡牌属性!DX532)</f>
        <v>5</v>
      </c>
      <c r="EA532" s="14">
        <f>INDEX(属性投放!BQ$6:BQ$85,卡牌属性!$DY532)</f>
        <v>125</v>
      </c>
      <c r="EB532" s="14">
        <f>INDEX(属性投放!BR$6:BR$85,卡牌属性!$DY532)</f>
        <v>63</v>
      </c>
      <c r="EC532" s="14">
        <f>INDEX(属性投放!BS$6:BS$85,卡牌属性!$DY532)</f>
        <v>1000</v>
      </c>
      <c r="ED532" s="14">
        <f t="shared" si="939"/>
        <v>1411</v>
      </c>
      <c r="EE532" s="14">
        <f t="shared" si="940"/>
        <v>1703</v>
      </c>
      <c r="EF532" s="14">
        <f t="shared" si="941"/>
        <v>1856</v>
      </c>
      <c r="EG532" s="14">
        <f t="shared" si="942"/>
        <v>1856</v>
      </c>
      <c r="EH532" s="14">
        <f t="shared" si="943"/>
        <v>2050</v>
      </c>
      <c r="EI532" s="14">
        <f t="shared" si="944"/>
        <v>670</v>
      </c>
      <c r="EJ532" s="14">
        <f t="shared" si="945"/>
        <v>815</v>
      </c>
      <c r="EK532" s="14">
        <f t="shared" si="946"/>
        <v>815</v>
      </c>
      <c r="EL532" s="14">
        <f t="shared" si="947"/>
        <v>891</v>
      </c>
      <c r="EM532" s="14">
        <f t="shared" si="948"/>
        <v>989</v>
      </c>
      <c r="EN532" s="14">
        <f t="shared" si="949"/>
        <v>8465</v>
      </c>
      <c r="EO532" s="14">
        <f t="shared" si="950"/>
        <v>9097</v>
      </c>
      <c r="EP532" s="14">
        <f t="shared" si="951"/>
        <v>9097</v>
      </c>
      <c r="EQ532" s="14">
        <f t="shared" si="952"/>
        <v>11093</v>
      </c>
      <c r="ER532" s="14">
        <f t="shared" si="953"/>
        <v>11985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120</v>
      </c>
      <c r="FD532" s="14">
        <f>INDEX(属性偏向!$U$4:$U$243,(卡牌属性!$DV532-1+FD$3)*20+卡牌属性!$DX532)</f>
        <v>128</v>
      </c>
      <c r="FE532" s="14">
        <f>INDEX(属性偏向!$U$4:$U$243,(卡牌属性!$DV532-1+FE$3)*20+卡牌属性!$DX532)</f>
        <v>128</v>
      </c>
      <c r="FF532" s="14">
        <f>INDEX(属性偏向!$U$4:$U$243,(卡牌属性!$DV532-1+FF$3)*20+卡牌属性!$DX532)</f>
        <v>200</v>
      </c>
      <c r="FG532" s="14">
        <f>INDEX(属性偏向!$U$4:$U$243,(卡牌属性!$DV532-1+FG$3)*20+卡牌属性!$DX532)</f>
        <v>224</v>
      </c>
      <c r="FH532" s="14">
        <f>INDEX(属性投放!$BQ$6:$BQ$85,(卡牌属性!$DW532-2)*20+卡牌属性!$DX532)</f>
        <v>125</v>
      </c>
      <c r="FI532" s="14">
        <f>INDEX(属性投放!$BQ$6:$BQ$85,(卡牌属性!$DW532-2)*20+卡牌属性!$DX532)</f>
        <v>125</v>
      </c>
      <c r="FJ532" s="14">
        <f>INDEX(属性投放!$BQ$6:$BQ$85,(卡牌属性!$DW532-2)*20+卡牌属性!$DX532)</f>
        <v>125</v>
      </c>
      <c r="FK532" s="14">
        <f>INDEX(属性投放!$BQ$6:$BQ$85,(卡牌属性!$DW532-2)*20+卡牌属性!$DX532)</f>
        <v>125</v>
      </c>
      <c r="FL532" s="14">
        <f>INDEX(属性投放!$BQ$6:$BQ$85,(卡牌属性!$DW532-2)*20+卡牌属性!$DX532)</f>
        <v>125</v>
      </c>
      <c r="FM532" s="14">
        <f>INDEX(属性投放!$BR$6:$BR$85,(卡牌属性!$DW532-2)*20+卡牌属性!$DX532)</f>
        <v>63</v>
      </c>
      <c r="FN532" s="14">
        <f>INDEX(属性投放!$BR$6:$BR$85,(卡牌属性!$DW532-2)*20+卡牌属性!$DX532)</f>
        <v>63</v>
      </c>
      <c r="FO532" s="14">
        <f>INDEX(属性投放!$BR$6:$BR$85,(卡牌属性!$DW532-2)*20+卡牌属性!$DX532)</f>
        <v>63</v>
      </c>
      <c r="FP532" s="14">
        <f>INDEX(属性投放!$BR$6:$BR$85,(卡牌属性!$DW532-2)*20+卡牌属性!$DX532)</f>
        <v>63</v>
      </c>
      <c r="FQ532" s="14">
        <f>INDEX(属性投放!$BR$6:$BR$85,(卡牌属性!$DW532-2)*20+卡牌属性!$DX532)</f>
        <v>63</v>
      </c>
      <c r="FR532" s="14">
        <f>INDEX(属性投放!$BS$6:$BS$85,(卡牌属性!$DW532-2)*20+卡牌属性!$DX532)</f>
        <v>1000</v>
      </c>
      <c r="FS532" s="14">
        <f>INDEX(属性投放!$BS$6:$BS$85,(卡牌属性!$DW532-2)*20+卡牌属性!$DX532)</f>
        <v>1000</v>
      </c>
      <c r="FT532" s="14">
        <f>INDEX(属性投放!$BS$6:$BS$85,(卡牌属性!$DW532-2)*20+卡牌属性!$DX532)</f>
        <v>1000</v>
      </c>
      <c r="FU532" s="14">
        <f>INDEX(属性投放!$BS$6:$BS$85,(卡牌属性!$DW532-2)*20+卡牌属性!$DX532)</f>
        <v>1000</v>
      </c>
      <c r="FV532" s="14">
        <f>INDEX(属性投放!$BS$6:$BS$85,(卡牌属性!$DW532-2)*20+卡牌属性!$DX532)</f>
        <v>1000</v>
      </c>
    </row>
    <row r="533" spans="31:178" ht="16.5" x14ac:dyDescent="0.2">
      <c r="AE533" s="13">
        <v>529</v>
      </c>
      <c r="AF533" s="13">
        <f t="shared" si="928"/>
        <v>27</v>
      </c>
      <c r="AG533" s="13">
        <f t="shared" si="929"/>
        <v>5</v>
      </c>
      <c r="AH533" s="13"/>
      <c r="AI533" s="13"/>
      <c r="AJ533" s="14">
        <f t="shared" si="930"/>
        <v>1101996</v>
      </c>
      <c r="AK533" s="14" t="str">
        <f t="shared" si="931"/>
        <v>UR寄灵人9突</v>
      </c>
      <c r="AL533" s="25" t="s">
        <v>142</v>
      </c>
      <c r="AM533" s="14">
        <v>1</v>
      </c>
      <c r="AN533" s="14">
        <f t="shared" si="932"/>
        <v>9</v>
      </c>
      <c r="AO533" s="14">
        <f>INDEX(属性投放!$DF$6:$DF$85,(卡牌属性!AG533-2)*20+卡牌属性!AN533)</f>
        <v>2362</v>
      </c>
      <c r="AP533" s="14">
        <f t="shared" si="933"/>
        <v>2362</v>
      </c>
      <c r="AQ533" s="14">
        <f t="shared" si="933"/>
        <v>2362</v>
      </c>
      <c r="AR533" s="14">
        <f t="shared" si="933"/>
        <v>2362</v>
      </c>
      <c r="AS533" s="14">
        <f t="shared" si="933"/>
        <v>2362</v>
      </c>
      <c r="AT533" s="14">
        <f>INDEX(属性投放!$DG$6:$DG$85,(卡牌属性!AG533-2)*20+卡牌属性!AN533)</f>
        <v>1115</v>
      </c>
      <c r="AU533" s="14">
        <f t="shared" si="934"/>
        <v>1115</v>
      </c>
      <c r="AV533" s="14">
        <f t="shared" si="934"/>
        <v>1115</v>
      </c>
      <c r="AW533" s="14">
        <f t="shared" si="934"/>
        <v>1115</v>
      </c>
      <c r="AX533" s="14">
        <f t="shared" si="934"/>
        <v>1115</v>
      </c>
      <c r="AY533" s="14">
        <f>INDEX(属性投放!$DH$6:$DH$85,(卡牌属性!AG533-2)*20+卡牌属性!AN533)</f>
        <v>15331</v>
      </c>
      <c r="AZ533" s="14">
        <f t="shared" si="935"/>
        <v>15331</v>
      </c>
      <c r="BA533" s="14">
        <f t="shared" si="935"/>
        <v>15331</v>
      </c>
      <c r="BB533" s="14">
        <f t="shared" si="935"/>
        <v>15331</v>
      </c>
      <c r="BC533" s="14">
        <f t="shared" si="935"/>
        <v>15331</v>
      </c>
      <c r="BD533" s="14">
        <f>INDEX(属性投放!$DL$6:$DL$85,(卡牌属性!AG533-2)*20+卡牌属性!AN533)</f>
        <v>58</v>
      </c>
      <c r="BE533" s="14">
        <f t="shared" si="936"/>
        <v>58</v>
      </c>
      <c r="BF533" s="14">
        <f t="shared" si="936"/>
        <v>58</v>
      </c>
      <c r="BG533" s="14">
        <f t="shared" si="936"/>
        <v>58</v>
      </c>
      <c r="BH533" s="14">
        <f t="shared" si="936"/>
        <v>58</v>
      </c>
      <c r="BI533" s="14">
        <f>INDEX(属性投放!$DM$6:$DM$85,(卡牌属性!AG533-2)*20+卡牌属性!AN533)</f>
        <v>29</v>
      </c>
      <c r="BJ533" s="14">
        <f t="shared" si="937"/>
        <v>29</v>
      </c>
      <c r="BK533" s="14">
        <f t="shared" si="937"/>
        <v>29</v>
      </c>
      <c r="BL533" s="14">
        <f t="shared" si="937"/>
        <v>29</v>
      </c>
      <c r="BM533" s="14">
        <f t="shared" si="937"/>
        <v>29</v>
      </c>
      <c r="BN533" s="14">
        <f>INDEX(属性投放!$DN$6:$DN$85,(卡牌属性!AG533-2)*20+卡牌属性!AN533)</f>
        <v>461</v>
      </c>
      <c r="BO533" s="14">
        <f t="shared" si="938"/>
        <v>461</v>
      </c>
      <c r="BP533" s="14">
        <f t="shared" si="938"/>
        <v>461</v>
      </c>
      <c r="BQ533" s="14">
        <f t="shared" si="938"/>
        <v>461</v>
      </c>
      <c r="BR533" s="14">
        <f t="shared" si="938"/>
        <v>461</v>
      </c>
      <c r="BW533" s="13">
        <v>529</v>
      </c>
      <c r="BX533" s="13">
        <f t="shared" si="915"/>
        <v>27</v>
      </c>
      <c r="BY533" s="14">
        <f t="shared" si="916"/>
        <v>3</v>
      </c>
      <c r="BZ533" s="14">
        <f t="shared" si="919"/>
        <v>1102030</v>
      </c>
      <c r="CA533" s="14" t="str">
        <f t="shared" si="920"/>
        <v>燕青9突</v>
      </c>
      <c r="CB533" s="25" t="s">
        <v>142</v>
      </c>
      <c r="CC533" s="14">
        <v>2</v>
      </c>
      <c r="CD533" s="14">
        <f t="shared" si="917"/>
        <v>9</v>
      </c>
      <c r="CE533" s="14" t="s">
        <v>21</v>
      </c>
      <c r="CF533" s="14">
        <f>INDEX(属性投放!$AZ$6:$AZ$85,(BY533-2)*20+CD533)</f>
        <v>2221</v>
      </c>
      <c r="CG533" s="14" t="s">
        <v>22</v>
      </c>
      <c r="CH533" s="14">
        <f>INDEX(属性投放!$BA$6:$BA$85,(BY533-2)*20+CD533)</f>
        <v>1055</v>
      </c>
      <c r="CI533" s="14" t="s">
        <v>510</v>
      </c>
      <c r="CJ533" s="14">
        <f>INDEX(属性投放!$BB$6:$BB$85,(BY533-2)*20+CD533)</f>
        <v>15215</v>
      </c>
      <c r="CK533" s="14" t="s">
        <v>21</v>
      </c>
      <c r="CL533" s="14">
        <f>INDEX(属性投放!$BC$6:$BC$85,(BY533-2)*20+CD533)</f>
        <v>15</v>
      </c>
      <c r="CM533" s="14" t="s">
        <v>22</v>
      </c>
      <c r="CN533" s="14">
        <f>INDEX(属性投放!$BD$6:$BD$85,(BY533-2)*20+CD533)</f>
        <v>8</v>
      </c>
      <c r="CO533" s="14" t="s">
        <v>510</v>
      </c>
      <c r="CP533" s="14">
        <f>INDEX(属性投放!$BE$6:$BE$85,(BY533-2)*20+CD533)</f>
        <v>120</v>
      </c>
      <c r="CS533" s="13">
        <v>529</v>
      </c>
      <c r="CT533" s="13">
        <f t="shared" si="921"/>
        <v>11</v>
      </c>
      <c r="CU533" s="13">
        <f t="shared" si="922"/>
        <v>9</v>
      </c>
      <c r="CV533" s="14">
        <f t="shared" si="923"/>
        <v>4</v>
      </c>
      <c r="CW533" s="14">
        <f t="shared" si="924"/>
        <v>1102011</v>
      </c>
      <c r="CX533" s="14" t="str">
        <f>INDEX($O$6:$O$50,CT533)&amp;"-"&amp;INDEX(属性投放!$AB$7:$AB$50,CZ533)&amp;"-魂火-"&amp;DB533</f>
        <v>张飞-众合+1-魂火-2</v>
      </c>
      <c r="CY533" s="25" t="s">
        <v>142</v>
      </c>
      <c r="CZ533" s="14">
        <f>INDEX(属性投放!$AM$7:$AM$58,CU533)</f>
        <v>5</v>
      </c>
      <c r="DA533" s="14" t="s">
        <v>537</v>
      </c>
      <c r="DB533" s="14">
        <f>INDEX(属性投放!$AN$7:$AN$58,CU533)</f>
        <v>2</v>
      </c>
      <c r="DC533" s="14">
        <f t="shared" si="918"/>
        <v>9</v>
      </c>
      <c r="DD533" s="14">
        <f>INDEX(属性投放!$AO$7:$AO$58,DC533)</f>
        <v>40</v>
      </c>
      <c r="DE533" s="14" t="s">
        <v>538</v>
      </c>
      <c r="DF533" s="14">
        <f>INDEX(属性投放!$BK$6:$BK$85,(CV533-2)*20+CZ533)</f>
        <v>55</v>
      </c>
      <c r="DG533" s="14">
        <f>SUMIFS(DF$5:DF533,$CT$5:$CT533,"="&amp;$CT533)</f>
        <v>355</v>
      </c>
      <c r="DH533" s="14" t="s">
        <v>539</v>
      </c>
      <c r="DI533" s="14">
        <f>INDEX(属性投放!$BL$6:$BL$85,(CV533-2)*20+CZ533)</f>
        <v>28</v>
      </c>
      <c r="DJ533" s="14">
        <f>SUMIFS(DI$5:DI533,$CT$5:$CT533,"="&amp;$CT533)</f>
        <v>181</v>
      </c>
      <c r="DK533" s="14" t="s">
        <v>540</v>
      </c>
      <c r="DL533" s="14">
        <f>INDEX(属性投放!$BM$6:$BM$85,(CV533-2)*20+CZ533)</f>
        <v>385</v>
      </c>
      <c r="DM533" s="14">
        <f>SUMIFS(DL$5:DL533,$CT$5:$CT533,"="&amp;$CT533)</f>
        <v>2330</v>
      </c>
      <c r="DR533" s="14">
        <f t="shared" si="895"/>
        <v>1102030</v>
      </c>
      <c r="DS533" s="14" t="str">
        <f t="shared" si="896"/>
        <v>燕青9突</v>
      </c>
      <c r="DT533" s="14">
        <f t="shared" si="925"/>
        <v>6</v>
      </c>
      <c r="DU533" s="14">
        <f t="shared" si="926"/>
        <v>6</v>
      </c>
      <c r="DV533" s="14">
        <f t="shared" si="927"/>
        <v>5</v>
      </c>
      <c r="DW533" s="14">
        <f t="shared" si="897"/>
        <v>3</v>
      </c>
      <c r="DX533" s="14">
        <f t="shared" si="898"/>
        <v>9</v>
      </c>
      <c r="DY533" s="14">
        <f t="shared" si="899"/>
        <v>29</v>
      </c>
      <c r="DZ533" s="14">
        <f>INDEX(属性投放!$AX$6:$AX$85,(卡牌属性!DW533-2)*20+卡牌属性!DX533)</f>
        <v>8</v>
      </c>
      <c r="EA533" s="14">
        <f>INDEX(属性投放!BQ$6:BQ$85,卡牌属性!$DY533)</f>
        <v>185</v>
      </c>
      <c r="EB533" s="14">
        <f>INDEX(属性投放!BR$6:BR$85,卡牌属性!$DY533)</f>
        <v>93</v>
      </c>
      <c r="EC533" s="14">
        <f>INDEX(属性投放!BS$6:BS$85,卡牌属性!$DY533)</f>
        <v>1480</v>
      </c>
      <c r="ED533" s="14">
        <f t="shared" si="939"/>
        <v>1616</v>
      </c>
      <c r="EE533" s="14">
        <f t="shared" si="940"/>
        <v>1953</v>
      </c>
      <c r="EF533" s="14">
        <f t="shared" si="941"/>
        <v>2121</v>
      </c>
      <c r="EG533" s="14">
        <f t="shared" si="942"/>
        <v>2121</v>
      </c>
      <c r="EH533" s="14">
        <f t="shared" si="943"/>
        <v>2325</v>
      </c>
      <c r="EI533" s="14">
        <f t="shared" si="944"/>
        <v>773</v>
      </c>
      <c r="EJ533" s="14">
        <f t="shared" si="945"/>
        <v>943</v>
      </c>
      <c r="EK533" s="14">
        <f t="shared" si="946"/>
        <v>943</v>
      </c>
      <c r="EL533" s="14">
        <f t="shared" si="947"/>
        <v>1024</v>
      </c>
      <c r="EM533" s="14">
        <f t="shared" si="948"/>
        <v>1127</v>
      </c>
      <c r="EN533" s="14">
        <f t="shared" si="949"/>
        <v>10065</v>
      </c>
      <c r="EO533" s="14">
        <f t="shared" si="950"/>
        <v>10737</v>
      </c>
      <c r="EP533" s="14">
        <f t="shared" si="951"/>
        <v>10737</v>
      </c>
      <c r="EQ533" s="14">
        <f t="shared" si="952"/>
        <v>13093</v>
      </c>
      <c r="ER533" s="14">
        <f t="shared" si="953"/>
        <v>14105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120</v>
      </c>
      <c r="FD533" s="14">
        <f>INDEX(属性偏向!$U$4:$U$243,(卡牌属性!$DV533-1+FD$3)*20+卡牌属性!$DX533)</f>
        <v>128</v>
      </c>
      <c r="FE533" s="14">
        <f>INDEX(属性偏向!$U$4:$U$243,(卡牌属性!$DV533-1+FE$3)*20+卡牌属性!$DX533)</f>
        <v>128</v>
      </c>
      <c r="FF533" s="14">
        <f>INDEX(属性偏向!$U$4:$U$243,(卡牌属性!$DV533-1+FF$3)*20+卡牌属性!$DX533)</f>
        <v>200</v>
      </c>
      <c r="FG533" s="14">
        <f>INDEX(属性偏向!$U$4:$U$243,(卡牌属性!$DV533-1+FG$3)*20+卡牌属性!$DX533)</f>
        <v>224</v>
      </c>
      <c r="FH533" s="14">
        <f>INDEX(属性投放!$BQ$6:$BQ$85,(卡牌属性!$DW533-2)*20+卡牌属性!$DX533)</f>
        <v>185</v>
      </c>
      <c r="FI533" s="14">
        <f>INDEX(属性投放!$BQ$6:$BQ$85,(卡牌属性!$DW533-2)*20+卡牌属性!$DX533)</f>
        <v>185</v>
      </c>
      <c r="FJ533" s="14">
        <f>INDEX(属性投放!$BQ$6:$BQ$85,(卡牌属性!$DW533-2)*20+卡牌属性!$DX533)</f>
        <v>185</v>
      </c>
      <c r="FK533" s="14">
        <f>INDEX(属性投放!$BQ$6:$BQ$85,(卡牌属性!$DW533-2)*20+卡牌属性!$DX533)</f>
        <v>185</v>
      </c>
      <c r="FL533" s="14">
        <f>INDEX(属性投放!$BQ$6:$BQ$85,(卡牌属性!$DW533-2)*20+卡牌属性!$DX533)</f>
        <v>185</v>
      </c>
      <c r="FM533" s="14">
        <f>INDEX(属性投放!$BR$6:$BR$85,(卡牌属性!$DW533-2)*20+卡牌属性!$DX533)</f>
        <v>93</v>
      </c>
      <c r="FN533" s="14">
        <f>INDEX(属性投放!$BR$6:$BR$85,(卡牌属性!$DW533-2)*20+卡牌属性!$DX533)</f>
        <v>93</v>
      </c>
      <c r="FO533" s="14">
        <f>INDEX(属性投放!$BR$6:$BR$85,(卡牌属性!$DW533-2)*20+卡牌属性!$DX533)</f>
        <v>93</v>
      </c>
      <c r="FP533" s="14">
        <f>INDEX(属性投放!$BR$6:$BR$85,(卡牌属性!$DW533-2)*20+卡牌属性!$DX533)</f>
        <v>93</v>
      </c>
      <c r="FQ533" s="14">
        <f>INDEX(属性投放!$BR$6:$BR$85,(卡牌属性!$DW533-2)*20+卡牌属性!$DX533)</f>
        <v>93</v>
      </c>
      <c r="FR533" s="14">
        <f>INDEX(属性投放!$BS$6:$BS$85,(卡牌属性!$DW533-2)*20+卡牌属性!$DX533)</f>
        <v>1480</v>
      </c>
      <c r="FS533" s="14">
        <f>INDEX(属性投放!$BS$6:$BS$85,(卡牌属性!$DW533-2)*20+卡牌属性!$DX533)</f>
        <v>1480</v>
      </c>
      <c r="FT533" s="14">
        <f>INDEX(属性投放!$BS$6:$BS$85,(卡牌属性!$DW533-2)*20+卡牌属性!$DX533)</f>
        <v>1480</v>
      </c>
      <c r="FU533" s="14">
        <f>INDEX(属性投放!$BS$6:$BS$85,(卡牌属性!$DW533-2)*20+卡牌属性!$DX533)</f>
        <v>1480</v>
      </c>
      <c r="FV533" s="14">
        <f>INDEX(属性投放!$BS$6:$BS$85,(卡牌属性!$DW533-2)*20+卡牌属性!$DX533)</f>
        <v>1480</v>
      </c>
    </row>
    <row r="534" spans="31:178" ht="16.5" x14ac:dyDescent="0.2">
      <c r="AE534" s="13">
        <v>530</v>
      </c>
      <c r="AF534" s="13">
        <f t="shared" si="928"/>
        <v>27</v>
      </c>
      <c r="AG534" s="13">
        <f t="shared" si="929"/>
        <v>5</v>
      </c>
      <c r="AH534" s="13"/>
      <c r="AI534" s="13"/>
      <c r="AJ534" s="14">
        <f t="shared" si="930"/>
        <v>1101996</v>
      </c>
      <c r="AK534" s="14" t="str">
        <f t="shared" si="931"/>
        <v>UR寄灵人10突</v>
      </c>
      <c r="AL534" s="25" t="s">
        <v>142</v>
      </c>
      <c r="AM534" s="14">
        <v>1</v>
      </c>
      <c r="AN534" s="14">
        <f t="shared" si="932"/>
        <v>10</v>
      </c>
      <c r="AO534" s="14">
        <f>INDEX(属性投放!$DF$6:$DF$85,(卡牌属性!AG534-2)*20+卡牌属性!AN534)</f>
        <v>3397</v>
      </c>
      <c r="AP534" s="14">
        <f t="shared" si="933"/>
        <v>3397</v>
      </c>
      <c r="AQ534" s="14">
        <f t="shared" si="933"/>
        <v>3397</v>
      </c>
      <c r="AR534" s="14">
        <f t="shared" si="933"/>
        <v>3397</v>
      </c>
      <c r="AS534" s="14">
        <f t="shared" si="933"/>
        <v>3397</v>
      </c>
      <c r="AT534" s="14">
        <f>INDEX(属性投放!$DG$6:$DG$85,(卡牌属性!AG534-2)*20+卡牌属性!AN534)</f>
        <v>1633</v>
      </c>
      <c r="AU534" s="14">
        <f t="shared" si="934"/>
        <v>1633</v>
      </c>
      <c r="AV534" s="14">
        <f t="shared" si="934"/>
        <v>1633</v>
      </c>
      <c r="AW534" s="14">
        <f t="shared" si="934"/>
        <v>1633</v>
      </c>
      <c r="AX534" s="14">
        <f t="shared" si="934"/>
        <v>1633</v>
      </c>
      <c r="AY534" s="14">
        <f>INDEX(属性投放!$DH$6:$DH$85,(卡牌属性!AG534-2)*20+卡牌属性!AN534)</f>
        <v>23562</v>
      </c>
      <c r="AZ534" s="14">
        <f t="shared" si="935"/>
        <v>23562</v>
      </c>
      <c r="BA534" s="14">
        <f t="shared" si="935"/>
        <v>23562</v>
      </c>
      <c r="BB534" s="14">
        <f t="shared" si="935"/>
        <v>23562</v>
      </c>
      <c r="BC534" s="14">
        <f t="shared" si="935"/>
        <v>23562</v>
      </c>
      <c r="BD534" s="14">
        <f>INDEX(属性投放!$DL$6:$DL$85,(卡牌属性!AG534-2)*20+卡牌属性!AN534)</f>
        <v>110</v>
      </c>
      <c r="BE534" s="14">
        <f t="shared" si="936"/>
        <v>110</v>
      </c>
      <c r="BF534" s="14">
        <f t="shared" si="936"/>
        <v>110</v>
      </c>
      <c r="BG534" s="14">
        <f t="shared" si="936"/>
        <v>110</v>
      </c>
      <c r="BH534" s="14">
        <f t="shared" si="936"/>
        <v>110</v>
      </c>
      <c r="BI534" s="14">
        <f>INDEX(属性投放!$DM$6:$DM$85,(卡牌属性!AG534-2)*20+卡牌属性!AN534)</f>
        <v>55</v>
      </c>
      <c r="BJ534" s="14">
        <f t="shared" si="937"/>
        <v>55</v>
      </c>
      <c r="BK534" s="14">
        <f t="shared" si="937"/>
        <v>55</v>
      </c>
      <c r="BL534" s="14">
        <f t="shared" si="937"/>
        <v>55</v>
      </c>
      <c r="BM534" s="14">
        <f t="shared" si="937"/>
        <v>55</v>
      </c>
      <c r="BN534" s="14">
        <f>INDEX(属性投放!$DN$6:$DN$85,(卡牌属性!AG534-2)*20+卡牌属性!AN534)</f>
        <v>988</v>
      </c>
      <c r="BO534" s="14">
        <f t="shared" si="938"/>
        <v>988</v>
      </c>
      <c r="BP534" s="14">
        <f t="shared" si="938"/>
        <v>988</v>
      </c>
      <c r="BQ534" s="14">
        <f t="shared" si="938"/>
        <v>988</v>
      </c>
      <c r="BR534" s="14">
        <f t="shared" si="938"/>
        <v>988</v>
      </c>
      <c r="BW534" s="13">
        <v>530</v>
      </c>
      <c r="BX534" s="13">
        <f t="shared" si="915"/>
        <v>27</v>
      </c>
      <c r="BY534" s="14">
        <f t="shared" si="916"/>
        <v>3</v>
      </c>
      <c r="BZ534" s="14">
        <f t="shared" si="919"/>
        <v>1102030</v>
      </c>
      <c r="CA534" s="14" t="str">
        <f t="shared" si="920"/>
        <v>燕青10突</v>
      </c>
      <c r="CB534" s="25" t="s">
        <v>142</v>
      </c>
      <c r="CC534" s="14">
        <v>2</v>
      </c>
      <c r="CD534" s="14">
        <f t="shared" si="917"/>
        <v>10</v>
      </c>
      <c r="CE534" s="14" t="s">
        <v>21</v>
      </c>
      <c r="CF534" s="14">
        <f>INDEX(属性投放!$AZ$6:$AZ$85,(BY534-2)*20+CD534)</f>
        <v>2826</v>
      </c>
      <c r="CG534" s="14" t="s">
        <v>22</v>
      </c>
      <c r="CH534" s="14">
        <f>INDEX(属性投放!$BA$6:$BA$85,(BY534-2)*20+CD534)</f>
        <v>1362</v>
      </c>
      <c r="CI534" s="14" t="s">
        <v>510</v>
      </c>
      <c r="CJ534" s="14">
        <f>INDEX(属性投放!$BB$6:$BB$85,(BY534-2)*20+CD534)</f>
        <v>20055</v>
      </c>
      <c r="CK534" s="14" t="s">
        <v>21</v>
      </c>
      <c r="CL534" s="14">
        <f>INDEX(属性投放!$BC$6:$BC$85,(BY534-2)*20+CD534)</f>
        <v>20</v>
      </c>
      <c r="CM534" s="14" t="s">
        <v>22</v>
      </c>
      <c r="CN534" s="14">
        <f>INDEX(属性投放!$BD$6:$BD$85,(BY534-2)*20+CD534)</f>
        <v>10</v>
      </c>
      <c r="CO534" s="14" t="s">
        <v>510</v>
      </c>
      <c r="CP534" s="14">
        <f>INDEX(属性投放!$BE$6:$BE$85,(BY534-2)*20+CD534)</f>
        <v>180</v>
      </c>
      <c r="CS534" s="13">
        <v>530</v>
      </c>
      <c r="CT534" s="13">
        <f t="shared" si="921"/>
        <v>11</v>
      </c>
      <c r="CU534" s="13">
        <f t="shared" si="922"/>
        <v>10</v>
      </c>
      <c r="CV534" s="14">
        <f t="shared" si="923"/>
        <v>4</v>
      </c>
      <c r="CW534" s="14">
        <f t="shared" si="924"/>
        <v>1102011</v>
      </c>
      <c r="CX534" s="14" t="str">
        <f>INDEX($O$6:$O$50,CT534)&amp;"-"&amp;INDEX(属性投放!$AB$7:$AB$50,CZ534)&amp;"-魂火-"&amp;DB534</f>
        <v>张飞-众合+2-魂火-1</v>
      </c>
      <c r="CY534" s="25" t="s">
        <v>142</v>
      </c>
      <c r="CZ534" s="14">
        <f>INDEX(属性投放!$AM$7:$AM$58,CU534)</f>
        <v>6</v>
      </c>
      <c r="DA534" s="14" t="s">
        <v>537</v>
      </c>
      <c r="DB534" s="14">
        <f>INDEX(属性投放!$AN$7:$AN$58,CU534)</f>
        <v>1</v>
      </c>
      <c r="DC534" s="14">
        <f t="shared" si="918"/>
        <v>10</v>
      </c>
      <c r="DD534" s="14">
        <f>INDEX(属性投放!$AO$7:$AO$58,DC534)</f>
        <v>43</v>
      </c>
      <c r="DE534" s="14" t="s">
        <v>538</v>
      </c>
      <c r="DF534" s="14">
        <f>INDEX(属性投放!$BK$6:$BK$85,(CV534-2)*20+CZ534)</f>
        <v>60</v>
      </c>
      <c r="DG534" s="14">
        <f>SUMIFS(DF$5:DF534,$CT$5:$CT534,"="&amp;$CT534)</f>
        <v>415</v>
      </c>
      <c r="DH534" s="14" t="s">
        <v>539</v>
      </c>
      <c r="DI534" s="14">
        <f>INDEX(属性投放!$BL$6:$BL$85,(CV534-2)*20+CZ534)</f>
        <v>30</v>
      </c>
      <c r="DJ534" s="14">
        <f>SUMIFS(DI$5:DI534,$CT$5:$CT534,"="&amp;$CT534)</f>
        <v>211</v>
      </c>
      <c r="DK534" s="14" t="s">
        <v>540</v>
      </c>
      <c r="DL534" s="14">
        <f>INDEX(属性投放!$BM$6:$BM$85,(CV534-2)*20+CZ534)</f>
        <v>420</v>
      </c>
      <c r="DM534" s="14">
        <f>SUMIFS(DL$5:DL534,$CT$5:$CT534,"="&amp;$CT534)</f>
        <v>2750</v>
      </c>
      <c r="DR534" s="14">
        <f t="shared" si="895"/>
        <v>1102030</v>
      </c>
      <c r="DS534" s="14" t="str">
        <f t="shared" si="896"/>
        <v>燕青10突</v>
      </c>
      <c r="DT534" s="14">
        <f t="shared" si="925"/>
        <v>6</v>
      </c>
      <c r="DU534" s="14">
        <f t="shared" si="926"/>
        <v>6</v>
      </c>
      <c r="DV534" s="14">
        <f t="shared" si="927"/>
        <v>5</v>
      </c>
      <c r="DW534" s="14">
        <f t="shared" si="897"/>
        <v>3</v>
      </c>
      <c r="DX534" s="14">
        <f t="shared" si="898"/>
        <v>10</v>
      </c>
      <c r="DY534" s="14">
        <f t="shared" si="899"/>
        <v>30</v>
      </c>
      <c r="DZ534" s="14">
        <f>INDEX(属性投放!$AX$6:$AX$85,(卡牌属性!DW534-2)*20+卡牌属性!DX534)</f>
        <v>7</v>
      </c>
      <c r="EA534" s="14">
        <f>INDEX(属性投放!BQ$6:BQ$85,卡牌属性!$DY534)</f>
        <v>175</v>
      </c>
      <c r="EB534" s="14">
        <f>INDEX(属性投放!BR$6:BR$85,卡牌属性!$DY534)</f>
        <v>88</v>
      </c>
      <c r="EC534" s="14">
        <f>INDEX(属性投放!BS$6:BS$85,卡牌属性!$DY534)</f>
        <v>1575</v>
      </c>
      <c r="ED534" s="14">
        <f t="shared" si="939"/>
        <v>1929</v>
      </c>
      <c r="EE534" s="14">
        <f t="shared" si="940"/>
        <v>2338</v>
      </c>
      <c r="EF534" s="14">
        <f t="shared" si="941"/>
        <v>2530</v>
      </c>
      <c r="EG534" s="14">
        <f t="shared" si="942"/>
        <v>2530</v>
      </c>
      <c r="EH534" s="14">
        <f t="shared" si="943"/>
        <v>2750</v>
      </c>
      <c r="EI534" s="14">
        <f t="shared" si="944"/>
        <v>930</v>
      </c>
      <c r="EJ534" s="14">
        <f t="shared" si="945"/>
        <v>1140</v>
      </c>
      <c r="EK534" s="14">
        <f t="shared" si="946"/>
        <v>1140</v>
      </c>
      <c r="EL534" s="14">
        <f t="shared" si="947"/>
        <v>1229</v>
      </c>
      <c r="EM534" s="14">
        <f t="shared" si="948"/>
        <v>1340</v>
      </c>
      <c r="EN534" s="14">
        <f t="shared" si="949"/>
        <v>12505</v>
      </c>
      <c r="EO534" s="14">
        <f t="shared" si="950"/>
        <v>13241</v>
      </c>
      <c r="EP534" s="14">
        <f t="shared" si="951"/>
        <v>13241</v>
      </c>
      <c r="EQ534" s="14">
        <f t="shared" si="952"/>
        <v>16173</v>
      </c>
      <c r="ER534" s="14">
        <f t="shared" si="953"/>
        <v>17377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180</v>
      </c>
      <c r="FD534" s="14">
        <f>INDEX(属性偏向!$U$4:$U$243,(卡牌属性!$DV534-1+FD$3)*20+卡牌属性!$DX534)</f>
        <v>189</v>
      </c>
      <c r="FE534" s="14">
        <f>INDEX(属性偏向!$U$4:$U$243,(卡牌属性!$DV534-1+FE$3)*20+卡牌属性!$DX534)</f>
        <v>189</v>
      </c>
      <c r="FF534" s="14">
        <f>INDEX(属性偏向!$U$4:$U$243,(卡牌属性!$DV534-1+FF$3)*20+卡牌属性!$DX534)</f>
        <v>270</v>
      </c>
      <c r="FG534" s="14">
        <f>INDEX(属性偏向!$U$4:$U$243,(卡牌属性!$DV534-1+FG$3)*20+卡牌属性!$DX534)</f>
        <v>315</v>
      </c>
      <c r="FH534" s="14">
        <f>INDEX(属性投放!$BQ$6:$BQ$85,(卡牌属性!$DW534-2)*20+卡牌属性!$DX534)</f>
        <v>175</v>
      </c>
      <c r="FI534" s="14">
        <f>INDEX(属性投放!$BQ$6:$BQ$85,(卡牌属性!$DW534-2)*20+卡牌属性!$DX534)</f>
        <v>175</v>
      </c>
      <c r="FJ534" s="14">
        <f>INDEX(属性投放!$BQ$6:$BQ$85,(卡牌属性!$DW534-2)*20+卡牌属性!$DX534)</f>
        <v>175</v>
      </c>
      <c r="FK534" s="14">
        <f>INDEX(属性投放!$BQ$6:$BQ$85,(卡牌属性!$DW534-2)*20+卡牌属性!$DX534)</f>
        <v>175</v>
      </c>
      <c r="FL534" s="14">
        <f>INDEX(属性投放!$BQ$6:$BQ$85,(卡牌属性!$DW534-2)*20+卡牌属性!$DX534)</f>
        <v>175</v>
      </c>
      <c r="FM534" s="14">
        <f>INDEX(属性投放!$BR$6:$BR$85,(卡牌属性!$DW534-2)*20+卡牌属性!$DX534)</f>
        <v>88</v>
      </c>
      <c r="FN534" s="14">
        <f>INDEX(属性投放!$BR$6:$BR$85,(卡牌属性!$DW534-2)*20+卡牌属性!$DX534)</f>
        <v>88</v>
      </c>
      <c r="FO534" s="14">
        <f>INDEX(属性投放!$BR$6:$BR$85,(卡牌属性!$DW534-2)*20+卡牌属性!$DX534)</f>
        <v>88</v>
      </c>
      <c r="FP534" s="14">
        <f>INDEX(属性投放!$BR$6:$BR$85,(卡牌属性!$DW534-2)*20+卡牌属性!$DX534)</f>
        <v>88</v>
      </c>
      <c r="FQ534" s="14">
        <f>INDEX(属性投放!$BR$6:$BR$85,(卡牌属性!$DW534-2)*20+卡牌属性!$DX534)</f>
        <v>88</v>
      </c>
      <c r="FR534" s="14">
        <f>INDEX(属性投放!$BS$6:$BS$85,(卡牌属性!$DW534-2)*20+卡牌属性!$DX534)</f>
        <v>1575</v>
      </c>
      <c r="FS534" s="14">
        <f>INDEX(属性投放!$BS$6:$BS$85,(卡牌属性!$DW534-2)*20+卡牌属性!$DX534)</f>
        <v>1575</v>
      </c>
      <c r="FT534" s="14">
        <f>INDEX(属性投放!$BS$6:$BS$85,(卡牌属性!$DW534-2)*20+卡牌属性!$DX534)</f>
        <v>1575</v>
      </c>
      <c r="FU534" s="14">
        <f>INDEX(属性投放!$BS$6:$BS$85,(卡牌属性!$DW534-2)*20+卡牌属性!$DX534)</f>
        <v>1575</v>
      </c>
      <c r="FV534" s="14">
        <f>INDEX(属性投放!$BS$6:$BS$85,(卡牌属性!$DW534-2)*20+卡牌属性!$DX534)</f>
        <v>1575</v>
      </c>
    </row>
    <row r="535" spans="31:178" ht="16.5" x14ac:dyDescent="0.2">
      <c r="AE535" s="13">
        <v>531</v>
      </c>
      <c r="AF535" s="13">
        <f t="shared" si="928"/>
        <v>27</v>
      </c>
      <c r="AG535" s="13">
        <f t="shared" si="929"/>
        <v>5</v>
      </c>
      <c r="AH535" s="13"/>
      <c r="AI535" s="13"/>
      <c r="AJ535" s="14">
        <f t="shared" si="930"/>
        <v>1101996</v>
      </c>
      <c r="AK535" s="14" t="str">
        <f t="shared" si="931"/>
        <v>UR寄灵人11突</v>
      </c>
      <c r="AL535" s="25" t="s">
        <v>142</v>
      </c>
      <c r="AM535" s="14">
        <v>1</v>
      </c>
      <c r="AN535" s="14">
        <f t="shared" si="932"/>
        <v>11</v>
      </c>
      <c r="AO535" s="14">
        <f>INDEX(属性投放!$DF$6:$DF$85,(卡牌属性!AG535-2)*20+卡牌属性!AN535)</f>
        <v>3711</v>
      </c>
      <c r="AP535" s="14">
        <f t="shared" si="933"/>
        <v>3711</v>
      </c>
      <c r="AQ535" s="14">
        <f t="shared" si="933"/>
        <v>3711</v>
      </c>
      <c r="AR535" s="14">
        <f t="shared" si="933"/>
        <v>3711</v>
      </c>
      <c r="AS535" s="14">
        <f t="shared" si="933"/>
        <v>3711</v>
      </c>
      <c r="AT535" s="14">
        <f>INDEX(属性投放!$DG$6:$DG$85,(卡牌属性!AG535-2)*20+卡牌属性!AN535)</f>
        <v>1790</v>
      </c>
      <c r="AU535" s="14">
        <f t="shared" si="934"/>
        <v>1790</v>
      </c>
      <c r="AV535" s="14">
        <f t="shared" si="934"/>
        <v>1790</v>
      </c>
      <c r="AW535" s="14">
        <f t="shared" si="934"/>
        <v>1790</v>
      </c>
      <c r="AX535" s="14">
        <f t="shared" si="934"/>
        <v>1790</v>
      </c>
      <c r="AY535" s="14">
        <f>INDEX(属性投放!$DH$6:$DH$85,(卡牌属性!AG535-2)*20+卡牌属性!AN535)</f>
        <v>26384</v>
      </c>
      <c r="AZ535" s="14">
        <f t="shared" si="935"/>
        <v>26384</v>
      </c>
      <c r="BA535" s="14">
        <f t="shared" si="935"/>
        <v>26384</v>
      </c>
      <c r="BB535" s="14">
        <f t="shared" si="935"/>
        <v>26384</v>
      </c>
      <c r="BC535" s="14">
        <f t="shared" si="935"/>
        <v>26384</v>
      </c>
      <c r="BD535" s="14">
        <f>INDEX(属性投放!$DL$6:$DL$85,(卡牌属性!AG535-2)*20+卡牌属性!AN535)</f>
        <v>110</v>
      </c>
      <c r="BE535" s="14">
        <f t="shared" si="936"/>
        <v>110</v>
      </c>
      <c r="BF535" s="14">
        <f t="shared" si="936"/>
        <v>110</v>
      </c>
      <c r="BG535" s="14">
        <f t="shared" si="936"/>
        <v>110</v>
      </c>
      <c r="BH535" s="14">
        <f t="shared" si="936"/>
        <v>110</v>
      </c>
      <c r="BI535" s="14">
        <f>INDEX(属性投放!$DM$6:$DM$85,(卡牌属性!AG535-2)*20+卡牌属性!AN535)</f>
        <v>55</v>
      </c>
      <c r="BJ535" s="14">
        <f t="shared" si="937"/>
        <v>55</v>
      </c>
      <c r="BK535" s="14">
        <f t="shared" si="937"/>
        <v>55</v>
      </c>
      <c r="BL535" s="14">
        <f t="shared" si="937"/>
        <v>55</v>
      </c>
      <c r="BM535" s="14">
        <f t="shared" si="937"/>
        <v>55</v>
      </c>
      <c r="BN535" s="14">
        <f>INDEX(属性投放!$DN$6:$DN$85,(卡牌属性!AG535-2)*20+卡牌属性!AN535)</f>
        <v>988</v>
      </c>
      <c r="BO535" s="14">
        <f t="shared" si="938"/>
        <v>988</v>
      </c>
      <c r="BP535" s="14">
        <f t="shared" si="938"/>
        <v>988</v>
      </c>
      <c r="BQ535" s="14">
        <f t="shared" si="938"/>
        <v>988</v>
      </c>
      <c r="BR535" s="14">
        <f t="shared" si="938"/>
        <v>988</v>
      </c>
      <c r="BW535" s="13">
        <v>531</v>
      </c>
      <c r="BX535" s="13">
        <f t="shared" si="915"/>
        <v>27</v>
      </c>
      <c r="BY535" s="14">
        <f t="shared" si="916"/>
        <v>3</v>
      </c>
      <c r="BZ535" s="14">
        <f t="shared" si="919"/>
        <v>1102030</v>
      </c>
      <c r="CA535" s="14" t="str">
        <f t="shared" si="920"/>
        <v>燕青11突</v>
      </c>
      <c r="CB535" s="25" t="s">
        <v>142</v>
      </c>
      <c r="CC535" s="14">
        <v>2</v>
      </c>
      <c r="CD535" s="14">
        <f t="shared" si="917"/>
        <v>11</v>
      </c>
      <c r="CE535" s="14" t="s">
        <v>21</v>
      </c>
      <c r="CF535" s="14">
        <f>INDEX(属性投放!$AZ$6:$AZ$85,(BY535-2)*20+CD535)</f>
        <v>3501</v>
      </c>
      <c r="CG535" s="14" t="s">
        <v>22</v>
      </c>
      <c r="CH535" s="14">
        <f>INDEX(属性投放!$BA$6:$BA$85,(BY535-2)*20+CD535)</f>
        <v>1700</v>
      </c>
      <c r="CI535" s="14" t="s">
        <v>510</v>
      </c>
      <c r="CJ535" s="14">
        <f>INDEX(属性投放!$BB$6:$BB$85,(BY535-2)*20+CD535)</f>
        <v>26130</v>
      </c>
      <c r="CK535" s="14" t="s">
        <v>21</v>
      </c>
      <c r="CL535" s="14">
        <f>INDEX(属性投放!$BC$6:$BC$85,(BY535-2)*20+CD535)</f>
        <v>20</v>
      </c>
      <c r="CM535" s="14" t="s">
        <v>22</v>
      </c>
      <c r="CN535" s="14">
        <f>INDEX(属性投放!$BD$6:$BD$85,(BY535-2)*20+CD535)</f>
        <v>10</v>
      </c>
      <c r="CO535" s="14" t="s">
        <v>510</v>
      </c>
      <c r="CP535" s="14">
        <f>INDEX(属性投放!$BE$6:$BE$85,(BY535-2)*20+CD535)</f>
        <v>180</v>
      </c>
      <c r="CS535" s="13">
        <v>531</v>
      </c>
      <c r="CT535" s="13">
        <f t="shared" si="921"/>
        <v>11</v>
      </c>
      <c r="CU535" s="13">
        <f t="shared" si="922"/>
        <v>11</v>
      </c>
      <c r="CV535" s="14">
        <f t="shared" si="923"/>
        <v>4</v>
      </c>
      <c r="CW535" s="14">
        <f t="shared" si="924"/>
        <v>1102011</v>
      </c>
      <c r="CX535" s="14" t="str">
        <f>INDEX($O$6:$O$50,CT535)&amp;"-"&amp;INDEX(属性投放!$AB$7:$AB$50,CZ535)&amp;"-魂火-"&amp;DB535</f>
        <v>张飞-众合+2-魂火-2</v>
      </c>
      <c r="CY535" s="25" t="s">
        <v>142</v>
      </c>
      <c r="CZ535" s="14">
        <f>INDEX(属性投放!$AM$7:$AM$58,CU535)</f>
        <v>6</v>
      </c>
      <c r="DA535" s="14" t="s">
        <v>537</v>
      </c>
      <c r="DB535" s="14">
        <f>INDEX(属性投放!$AN$7:$AN$58,CU535)</f>
        <v>2</v>
      </c>
      <c r="DC535" s="14">
        <f t="shared" si="918"/>
        <v>11</v>
      </c>
      <c r="DD535" s="14">
        <f>INDEX(属性投放!$AO$7:$AO$58,DC535)</f>
        <v>45</v>
      </c>
      <c r="DE535" s="14" t="s">
        <v>538</v>
      </c>
      <c r="DF535" s="14">
        <f>INDEX(属性投放!$BK$6:$BK$85,(CV535-2)*20+CZ535)</f>
        <v>60</v>
      </c>
      <c r="DG535" s="14">
        <f>SUMIFS(DF$5:DF535,$CT$5:$CT535,"="&amp;$CT535)</f>
        <v>475</v>
      </c>
      <c r="DH535" s="14" t="s">
        <v>539</v>
      </c>
      <c r="DI535" s="14">
        <f>INDEX(属性投放!$BL$6:$BL$85,(CV535-2)*20+CZ535)</f>
        <v>30</v>
      </c>
      <c r="DJ535" s="14">
        <f>SUMIFS(DI$5:DI535,$CT$5:$CT535,"="&amp;$CT535)</f>
        <v>241</v>
      </c>
      <c r="DK535" s="14" t="s">
        <v>540</v>
      </c>
      <c r="DL535" s="14">
        <f>INDEX(属性投放!$BM$6:$BM$85,(CV535-2)*20+CZ535)</f>
        <v>420</v>
      </c>
      <c r="DM535" s="14">
        <f>SUMIFS(DL$5:DL535,$CT$5:$CT535,"="&amp;$CT535)</f>
        <v>3170</v>
      </c>
      <c r="DR535" s="14">
        <f t="shared" si="895"/>
        <v>1102030</v>
      </c>
      <c r="DS535" s="14" t="str">
        <f t="shared" si="896"/>
        <v>燕青11突</v>
      </c>
      <c r="DT535" s="14">
        <f t="shared" si="925"/>
        <v>6</v>
      </c>
      <c r="DU535" s="14">
        <f t="shared" si="926"/>
        <v>6</v>
      </c>
      <c r="DV535" s="14">
        <f t="shared" si="927"/>
        <v>5</v>
      </c>
      <c r="DW535" s="14">
        <f t="shared" si="897"/>
        <v>3</v>
      </c>
      <c r="DX535" s="14">
        <f t="shared" si="898"/>
        <v>11</v>
      </c>
      <c r="DY535" s="14">
        <f t="shared" si="899"/>
        <v>31</v>
      </c>
      <c r="DZ535" s="14">
        <f>INDEX(属性投放!$AX$6:$AX$85,(卡牌属性!DW535-2)*20+卡牌属性!DX535)</f>
        <v>8</v>
      </c>
      <c r="EA535" s="14">
        <f>INDEX(属性投放!BQ$6:BQ$85,卡牌属性!$DY535)</f>
        <v>240</v>
      </c>
      <c r="EB535" s="14">
        <f>INDEX(属性投放!BR$6:BR$85,卡牌属性!$DY535)</f>
        <v>120</v>
      </c>
      <c r="EC535" s="14">
        <f>INDEX(属性投放!BS$6:BS$85,卡牌属性!$DY535)</f>
        <v>2160</v>
      </c>
      <c r="ED535" s="14">
        <f t="shared" si="939"/>
        <v>2251</v>
      </c>
      <c r="EE535" s="14">
        <f t="shared" si="940"/>
        <v>2723</v>
      </c>
      <c r="EF535" s="14">
        <f t="shared" si="941"/>
        <v>2950</v>
      </c>
      <c r="EG535" s="14">
        <f t="shared" si="942"/>
        <v>2950</v>
      </c>
      <c r="EH535" s="14">
        <f t="shared" si="943"/>
        <v>3205</v>
      </c>
      <c r="EI535" s="14">
        <f t="shared" si="944"/>
        <v>1095</v>
      </c>
      <c r="EJ535" s="14">
        <f t="shared" si="945"/>
        <v>1333</v>
      </c>
      <c r="EK535" s="14">
        <f t="shared" si="946"/>
        <v>1333</v>
      </c>
      <c r="EL535" s="14">
        <f t="shared" si="947"/>
        <v>1443</v>
      </c>
      <c r="EM535" s="14">
        <f t="shared" si="948"/>
        <v>1568</v>
      </c>
      <c r="EN535" s="14">
        <f t="shared" si="949"/>
        <v>15340</v>
      </c>
      <c r="EO535" s="14">
        <f t="shared" si="950"/>
        <v>16139</v>
      </c>
      <c r="EP535" s="14">
        <f t="shared" si="951"/>
        <v>16139</v>
      </c>
      <c r="EQ535" s="14">
        <f t="shared" si="952"/>
        <v>19638</v>
      </c>
      <c r="ER535" s="14">
        <f t="shared" si="953"/>
        <v>21157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180</v>
      </c>
      <c r="FD535" s="14">
        <f>INDEX(属性偏向!$U$4:$U$243,(卡牌属性!$DV535-1+FD$3)*20+卡牌属性!$DX535)</f>
        <v>189</v>
      </c>
      <c r="FE535" s="14">
        <f>INDEX(属性偏向!$U$4:$U$243,(卡牌属性!$DV535-1+FE$3)*20+卡牌属性!$DX535)</f>
        <v>189</v>
      </c>
      <c r="FF535" s="14">
        <f>INDEX(属性偏向!$U$4:$U$243,(卡牌属性!$DV535-1+FF$3)*20+卡牌属性!$DX535)</f>
        <v>270</v>
      </c>
      <c r="FG535" s="14">
        <f>INDEX(属性偏向!$U$4:$U$243,(卡牌属性!$DV535-1+FG$3)*20+卡牌属性!$DX535)</f>
        <v>315</v>
      </c>
      <c r="FH535" s="14">
        <f>INDEX(属性投放!$BQ$6:$BQ$85,(卡牌属性!$DW535-2)*20+卡牌属性!$DX535)</f>
        <v>240</v>
      </c>
      <c r="FI535" s="14">
        <f>INDEX(属性投放!$BQ$6:$BQ$85,(卡牌属性!$DW535-2)*20+卡牌属性!$DX535)</f>
        <v>240</v>
      </c>
      <c r="FJ535" s="14">
        <f>INDEX(属性投放!$BQ$6:$BQ$85,(卡牌属性!$DW535-2)*20+卡牌属性!$DX535)</f>
        <v>240</v>
      </c>
      <c r="FK535" s="14">
        <f>INDEX(属性投放!$BQ$6:$BQ$85,(卡牌属性!$DW535-2)*20+卡牌属性!$DX535)</f>
        <v>240</v>
      </c>
      <c r="FL535" s="14">
        <f>INDEX(属性投放!$BQ$6:$BQ$85,(卡牌属性!$DW535-2)*20+卡牌属性!$DX535)</f>
        <v>240</v>
      </c>
      <c r="FM535" s="14">
        <f>INDEX(属性投放!$BR$6:$BR$85,(卡牌属性!$DW535-2)*20+卡牌属性!$DX535)</f>
        <v>120</v>
      </c>
      <c r="FN535" s="14">
        <f>INDEX(属性投放!$BR$6:$BR$85,(卡牌属性!$DW535-2)*20+卡牌属性!$DX535)</f>
        <v>120</v>
      </c>
      <c r="FO535" s="14">
        <f>INDEX(属性投放!$BR$6:$BR$85,(卡牌属性!$DW535-2)*20+卡牌属性!$DX535)</f>
        <v>120</v>
      </c>
      <c r="FP535" s="14">
        <f>INDEX(属性投放!$BR$6:$BR$85,(卡牌属性!$DW535-2)*20+卡牌属性!$DX535)</f>
        <v>120</v>
      </c>
      <c r="FQ535" s="14">
        <f>INDEX(属性投放!$BR$6:$BR$85,(卡牌属性!$DW535-2)*20+卡牌属性!$DX535)</f>
        <v>120</v>
      </c>
      <c r="FR535" s="14">
        <f>INDEX(属性投放!$BS$6:$BS$85,(卡牌属性!$DW535-2)*20+卡牌属性!$DX535)</f>
        <v>2160</v>
      </c>
      <c r="FS535" s="14">
        <f>INDEX(属性投放!$BS$6:$BS$85,(卡牌属性!$DW535-2)*20+卡牌属性!$DX535)</f>
        <v>2160</v>
      </c>
      <c r="FT535" s="14">
        <f>INDEX(属性投放!$BS$6:$BS$85,(卡牌属性!$DW535-2)*20+卡牌属性!$DX535)</f>
        <v>2160</v>
      </c>
      <c r="FU535" s="14">
        <f>INDEX(属性投放!$BS$6:$BS$85,(卡牌属性!$DW535-2)*20+卡牌属性!$DX535)</f>
        <v>2160</v>
      </c>
      <c r="FV535" s="14">
        <f>INDEX(属性投放!$BS$6:$BS$85,(卡牌属性!$DW535-2)*20+卡牌属性!$DX535)</f>
        <v>2160</v>
      </c>
    </row>
    <row r="536" spans="31:178" ht="16.5" x14ac:dyDescent="0.2">
      <c r="AE536" s="13">
        <v>532</v>
      </c>
      <c r="AF536" s="13">
        <f t="shared" si="928"/>
        <v>27</v>
      </c>
      <c r="AG536" s="13">
        <f t="shared" si="929"/>
        <v>5</v>
      </c>
      <c r="AH536" s="13"/>
      <c r="AI536" s="13"/>
      <c r="AJ536" s="14">
        <f t="shared" si="930"/>
        <v>1101996</v>
      </c>
      <c r="AK536" s="14" t="str">
        <f t="shared" si="931"/>
        <v>UR寄灵人12突</v>
      </c>
      <c r="AL536" s="25" t="s">
        <v>142</v>
      </c>
      <c r="AM536" s="14">
        <v>1</v>
      </c>
      <c r="AN536" s="14">
        <f t="shared" si="932"/>
        <v>12</v>
      </c>
      <c r="AO536" s="14">
        <f>INDEX(属性投放!$DF$6:$DF$85,(卡牌属性!AG536-2)*20+卡牌属性!AN536)</f>
        <v>4025</v>
      </c>
      <c r="AP536" s="14">
        <f t="shared" si="933"/>
        <v>4025</v>
      </c>
      <c r="AQ536" s="14">
        <f t="shared" si="933"/>
        <v>4025</v>
      </c>
      <c r="AR536" s="14">
        <f t="shared" si="933"/>
        <v>4025</v>
      </c>
      <c r="AS536" s="14">
        <f t="shared" si="933"/>
        <v>4025</v>
      </c>
      <c r="AT536" s="14">
        <f>INDEX(属性投放!$DG$6:$DG$85,(卡牌属性!AG536-2)*20+卡牌属性!AN536)</f>
        <v>1947</v>
      </c>
      <c r="AU536" s="14">
        <f t="shared" si="934"/>
        <v>1947</v>
      </c>
      <c r="AV536" s="14">
        <f t="shared" si="934"/>
        <v>1947</v>
      </c>
      <c r="AW536" s="14">
        <f t="shared" si="934"/>
        <v>1947</v>
      </c>
      <c r="AX536" s="14">
        <f t="shared" si="934"/>
        <v>1947</v>
      </c>
      <c r="AY536" s="14">
        <f>INDEX(属性投放!$DH$6:$DH$85,(卡牌属性!AG536-2)*20+卡牌属性!AN536)</f>
        <v>29206</v>
      </c>
      <c r="AZ536" s="14">
        <f t="shared" si="935"/>
        <v>29206</v>
      </c>
      <c r="BA536" s="14">
        <f t="shared" si="935"/>
        <v>29206</v>
      </c>
      <c r="BB536" s="14">
        <f t="shared" si="935"/>
        <v>29206</v>
      </c>
      <c r="BC536" s="14">
        <f t="shared" si="935"/>
        <v>29206</v>
      </c>
      <c r="BD536" s="14">
        <f>INDEX(属性投放!$DL$6:$DL$85,(卡牌属性!AG536-2)*20+卡牌属性!AN536)</f>
        <v>110</v>
      </c>
      <c r="BE536" s="14">
        <f t="shared" si="936"/>
        <v>110</v>
      </c>
      <c r="BF536" s="14">
        <f t="shared" si="936"/>
        <v>110</v>
      </c>
      <c r="BG536" s="14">
        <f t="shared" si="936"/>
        <v>110</v>
      </c>
      <c r="BH536" s="14">
        <f t="shared" si="936"/>
        <v>110</v>
      </c>
      <c r="BI536" s="14">
        <f>INDEX(属性投放!$DM$6:$DM$85,(卡牌属性!AG536-2)*20+卡牌属性!AN536)</f>
        <v>55</v>
      </c>
      <c r="BJ536" s="14">
        <f t="shared" si="937"/>
        <v>55</v>
      </c>
      <c r="BK536" s="14">
        <f t="shared" si="937"/>
        <v>55</v>
      </c>
      <c r="BL536" s="14">
        <f t="shared" si="937"/>
        <v>55</v>
      </c>
      <c r="BM536" s="14">
        <f t="shared" si="937"/>
        <v>55</v>
      </c>
      <c r="BN536" s="14">
        <f>INDEX(属性投放!$DN$6:$DN$85,(卡牌属性!AG536-2)*20+卡牌属性!AN536)</f>
        <v>988</v>
      </c>
      <c r="BO536" s="14">
        <f t="shared" si="938"/>
        <v>988</v>
      </c>
      <c r="BP536" s="14">
        <f t="shared" si="938"/>
        <v>988</v>
      </c>
      <c r="BQ536" s="14">
        <f t="shared" si="938"/>
        <v>988</v>
      </c>
      <c r="BR536" s="14">
        <f t="shared" si="938"/>
        <v>988</v>
      </c>
      <c r="BW536" s="13">
        <v>532</v>
      </c>
      <c r="BX536" s="13">
        <f t="shared" si="915"/>
        <v>27</v>
      </c>
      <c r="BY536" s="14">
        <f t="shared" si="916"/>
        <v>3</v>
      </c>
      <c r="BZ536" s="14">
        <f t="shared" si="919"/>
        <v>1102030</v>
      </c>
      <c r="CA536" s="14" t="str">
        <f t="shared" si="920"/>
        <v>燕青12突</v>
      </c>
      <c r="CB536" s="25" t="s">
        <v>142</v>
      </c>
      <c r="CC536" s="14">
        <v>2</v>
      </c>
      <c r="CD536" s="14">
        <f t="shared" si="917"/>
        <v>12</v>
      </c>
      <c r="CE536" s="14" t="s">
        <v>21</v>
      </c>
      <c r="CF536" s="14">
        <f>INDEX(属性投放!$AZ$6:$AZ$85,(BY536-2)*20+CD536)</f>
        <v>4351</v>
      </c>
      <c r="CG536" s="14" t="s">
        <v>22</v>
      </c>
      <c r="CH536" s="14">
        <f>INDEX(属性投放!$BA$6:$BA$85,(BY536-2)*20+CD536)</f>
        <v>2125</v>
      </c>
      <c r="CI536" s="14" t="s">
        <v>510</v>
      </c>
      <c r="CJ536" s="14">
        <f>INDEX(属性投放!$BB$6:$BB$85,(BY536-2)*20+CD536)</f>
        <v>33780</v>
      </c>
      <c r="CK536" s="14" t="s">
        <v>21</v>
      </c>
      <c r="CL536" s="14">
        <f>INDEX(属性投放!$BC$6:$BC$85,(BY536-2)*20+CD536)</f>
        <v>20</v>
      </c>
      <c r="CM536" s="14" t="s">
        <v>22</v>
      </c>
      <c r="CN536" s="14">
        <f>INDEX(属性投放!$BD$6:$BD$85,(BY536-2)*20+CD536)</f>
        <v>10</v>
      </c>
      <c r="CO536" s="14" t="s">
        <v>510</v>
      </c>
      <c r="CP536" s="14">
        <f>INDEX(属性投放!$BE$6:$BE$85,(BY536-2)*20+CD536)</f>
        <v>180</v>
      </c>
      <c r="CS536" s="13">
        <v>532</v>
      </c>
      <c r="CT536" s="13">
        <f t="shared" si="921"/>
        <v>11</v>
      </c>
      <c r="CU536" s="13">
        <f t="shared" si="922"/>
        <v>12</v>
      </c>
      <c r="CV536" s="14">
        <f t="shared" si="923"/>
        <v>4</v>
      </c>
      <c r="CW536" s="14">
        <f t="shared" si="924"/>
        <v>1102011</v>
      </c>
      <c r="CX536" s="14" t="str">
        <f>INDEX($O$6:$O$50,CT536)&amp;"-"&amp;INDEX(属性投放!$AB$7:$AB$50,CZ536)&amp;"-魂火-"&amp;DB536</f>
        <v>张飞-叫唤-魂火-1</v>
      </c>
      <c r="CY536" s="25" t="s">
        <v>142</v>
      </c>
      <c r="CZ536" s="14">
        <f>INDEX(属性投放!$AM$7:$AM$58,CU536)</f>
        <v>7</v>
      </c>
      <c r="DA536" s="14" t="s">
        <v>537</v>
      </c>
      <c r="DB536" s="14">
        <f>INDEX(属性投放!$AN$7:$AN$58,CU536)</f>
        <v>1</v>
      </c>
      <c r="DC536" s="14">
        <f t="shared" si="918"/>
        <v>12</v>
      </c>
      <c r="DD536" s="14">
        <f>INDEX(属性投放!$AO$7:$AO$58,DC536)</f>
        <v>48</v>
      </c>
      <c r="DE536" s="14" t="s">
        <v>538</v>
      </c>
      <c r="DF536" s="14">
        <f>INDEX(属性投放!$BK$6:$BK$85,(CV536-2)*20+CZ536)</f>
        <v>80</v>
      </c>
      <c r="DG536" s="14">
        <f>SUMIFS(DF$5:DF536,$CT$5:$CT536,"="&amp;$CT536)</f>
        <v>555</v>
      </c>
      <c r="DH536" s="14" t="s">
        <v>539</v>
      </c>
      <c r="DI536" s="14">
        <f>INDEX(属性投放!$BL$6:$BL$85,(CV536-2)*20+CZ536)</f>
        <v>40</v>
      </c>
      <c r="DJ536" s="14">
        <f>SUMIFS(DI$5:DI536,$CT$5:$CT536,"="&amp;$CT536)</f>
        <v>281</v>
      </c>
      <c r="DK536" s="14" t="s">
        <v>540</v>
      </c>
      <c r="DL536" s="14">
        <f>INDEX(属性投放!$BM$6:$BM$85,(CV536-2)*20+CZ536)</f>
        <v>640</v>
      </c>
      <c r="DM536" s="14">
        <f>SUMIFS(DL$5:DL536,$CT$5:$CT536,"="&amp;$CT536)</f>
        <v>3810</v>
      </c>
      <c r="DR536" s="14">
        <f t="shared" si="895"/>
        <v>1102030</v>
      </c>
      <c r="DS536" s="14" t="str">
        <f t="shared" si="896"/>
        <v>燕青12突</v>
      </c>
      <c r="DT536" s="14">
        <f t="shared" si="925"/>
        <v>6</v>
      </c>
      <c r="DU536" s="14">
        <f t="shared" si="926"/>
        <v>6</v>
      </c>
      <c r="DV536" s="14">
        <f t="shared" si="927"/>
        <v>5</v>
      </c>
      <c r="DW536" s="14">
        <f t="shared" si="897"/>
        <v>3</v>
      </c>
      <c r="DX536" s="14">
        <f t="shared" si="898"/>
        <v>12</v>
      </c>
      <c r="DY536" s="14">
        <f t="shared" si="899"/>
        <v>32</v>
      </c>
      <c r="DZ536" s="14">
        <f>INDEX(属性投放!$AX$6:$AX$85,(卡牌属性!DW536-2)*20+卡牌属性!DX536)</f>
        <v>7</v>
      </c>
      <c r="EA536" s="14">
        <f>INDEX(属性投放!BQ$6:BQ$85,卡牌属性!$DY536)</f>
        <v>350</v>
      </c>
      <c r="EB536" s="14">
        <f>INDEX(属性投放!BR$6:BR$85,卡牌属性!$DY536)</f>
        <v>175</v>
      </c>
      <c r="EC536" s="14">
        <f>INDEX(属性投放!BS$6:BS$85,卡牌属性!$DY536)</f>
        <v>3150</v>
      </c>
      <c r="ED536" s="14">
        <f t="shared" si="939"/>
        <v>2659</v>
      </c>
      <c r="EE536" s="14">
        <f t="shared" si="940"/>
        <v>3203</v>
      </c>
      <c r="EF536" s="14">
        <f t="shared" si="941"/>
        <v>3470</v>
      </c>
      <c r="EG536" s="14">
        <f t="shared" si="942"/>
        <v>3470</v>
      </c>
      <c r="EH536" s="14">
        <f t="shared" si="943"/>
        <v>3765</v>
      </c>
      <c r="EI536" s="14">
        <f t="shared" si="944"/>
        <v>1303</v>
      </c>
      <c r="EJ536" s="14">
        <f t="shared" si="945"/>
        <v>1573</v>
      </c>
      <c r="EK536" s="14">
        <f t="shared" si="946"/>
        <v>1573</v>
      </c>
      <c r="EL536" s="14">
        <f t="shared" si="947"/>
        <v>1707</v>
      </c>
      <c r="EM536" s="14">
        <f t="shared" si="948"/>
        <v>1848</v>
      </c>
      <c r="EN536" s="14">
        <f t="shared" si="949"/>
        <v>18940</v>
      </c>
      <c r="EO536" s="14">
        <f t="shared" si="950"/>
        <v>19811</v>
      </c>
      <c r="EP536" s="14">
        <f t="shared" si="951"/>
        <v>19811</v>
      </c>
      <c r="EQ536" s="14">
        <f t="shared" si="952"/>
        <v>23958</v>
      </c>
      <c r="ER536" s="14">
        <f t="shared" si="953"/>
        <v>25837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180</v>
      </c>
      <c r="FD536" s="14">
        <f>INDEX(属性偏向!$U$4:$U$243,(卡牌属性!$DV536-1+FD$3)*20+卡牌属性!$DX536)</f>
        <v>189</v>
      </c>
      <c r="FE536" s="14">
        <f>INDEX(属性偏向!$U$4:$U$243,(卡牌属性!$DV536-1+FE$3)*20+卡牌属性!$DX536)</f>
        <v>189</v>
      </c>
      <c r="FF536" s="14">
        <f>INDEX(属性偏向!$U$4:$U$243,(卡牌属性!$DV536-1+FF$3)*20+卡牌属性!$DX536)</f>
        <v>270</v>
      </c>
      <c r="FG536" s="14">
        <f>INDEX(属性偏向!$U$4:$U$243,(卡牌属性!$DV536-1+FG$3)*20+卡牌属性!$DX536)</f>
        <v>315</v>
      </c>
      <c r="FH536" s="14">
        <f>INDEX(属性投放!$BQ$6:$BQ$85,(卡牌属性!$DW536-2)*20+卡牌属性!$DX536)</f>
        <v>350</v>
      </c>
      <c r="FI536" s="14">
        <f>INDEX(属性投放!$BQ$6:$BQ$85,(卡牌属性!$DW536-2)*20+卡牌属性!$DX536)</f>
        <v>350</v>
      </c>
      <c r="FJ536" s="14">
        <f>INDEX(属性投放!$BQ$6:$BQ$85,(卡牌属性!$DW536-2)*20+卡牌属性!$DX536)</f>
        <v>350</v>
      </c>
      <c r="FK536" s="14">
        <f>INDEX(属性投放!$BQ$6:$BQ$85,(卡牌属性!$DW536-2)*20+卡牌属性!$DX536)</f>
        <v>350</v>
      </c>
      <c r="FL536" s="14">
        <f>INDEX(属性投放!$BQ$6:$BQ$85,(卡牌属性!$DW536-2)*20+卡牌属性!$DX536)</f>
        <v>350</v>
      </c>
      <c r="FM536" s="14">
        <f>INDEX(属性投放!$BR$6:$BR$85,(卡牌属性!$DW536-2)*20+卡牌属性!$DX536)</f>
        <v>175</v>
      </c>
      <c r="FN536" s="14">
        <f>INDEX(属性投放!$BR$6:$BR$85,(卡牌属性!$DW536-2)*20+卡牌属性!$DX536)</f>
        <v>175</v>
      </c>
      <c r="FO536" s="14">
        <f>INDEX(属性投放!$BR$6:$BR$85,(卡牌属性!$DW536-2)*20+卡牌属性!$DX536)</f>
        <v>175</v>
      </c>
      <c r="FP536" s="14">
        <f>INDEX(属性投放!$BR$6:$BR$85,(卡牌属性!$DW536-2)*20+卡牌属性!$DX536)</f>
        <v>175</v>
      </c>
      <c r="FQ536" s="14">
        <f>INDEX(属性投放!$BR$6:$BR$85,(卡牌属性!$DW536-2)*20+卡牌属性!$DX536)</f>
        <v>175</v>
      </c>
      <c r="FR536" s="14">
        <f>INDEX(属性投放!$BS$6:$BS$85,(卡牌属性!$DW536-2)*20+卡牌属性!$DX536)</f>
        <v>3150</v>
      </c>
      <c r="FS536" s="14">
        <f>INDEX(属性投放!$BS$6:$BS$85,(卡牌属性!$DW536-2)*20+卡牌属性!$DX536)</f>
        <v>3150</v>
      </c>
      <c r="FT536" s="14">
        <f>INDEX(属性投放!$BS$6:$BS$85,(卡牌属性!$DW536-2)*20+卡牌属性!$DX536)</f>
        <v>3150</v>
      </c>
      <c r="FU536" s="14">
        <f>INDEX(属性投放!$BS$6:$BS$85,(卡牌属性!$DW536-2)*20+卡牌属性!$DX536)</f>
        <v>3150</v>
      </c>
      <c r="FV536" s="14">
        <f>INDEX(属性投放!$BS$6:$BS$85,(卡牌属性!$DW536-2)*20+卡牌属性!$DX536)</f>
        <v>3150</v>
      </c>
    </row>
    <row r="537" spans="31:178" ht="16.5" x14ac:dyDescent="0.2">
      <c r="AE537" s="13">
        <v>533</v>
      </c>
      <c r="AF537" s="13">
        <f t="shared" si="928"/>
        <v>27</v>
      </c>
      <c r="AG537" s="13">
        <f t="shared" si="929"/>
        <v>5</v>
      </c>
      <c r="AH537" s="13"/>
      <c r="AI537" s="13"/>
      <c r="AJ537" s="14">
        <f t="shared" si="930"/>
        <v>1101996</v>
      </c>
      <c r="AK537" s="14" t="str">
        <f t="shared" si="931"/>
        <v>UR寄灵人13突</v>
      </c>
      <c r="AL537" s="25" t="s">
        <v>142</v>
      </c>
      <c r="AM537" s="14">
        <v>1</v>
      </c>
      <c r="AN537" s="14">
        <f t="shared" si="932"/>
        <v>13</v>
      </c>
      <c r="AO537" s="14">
        <f>INDEX(属性投放!$DF$6:$DF$85,(卡牌属性!AG537-2)*20+卡牌属性!AN537)</f>
        <v>7089</v>
      </c>
      <c r="AP537" s="14">
        <f t="shared" si="933"/>
        <v>7089</v>
      </c>
      <c r="AQ537" s="14">
        <f t="shared" si="933"/>
        <v>7089</v>
      </c>
      <c r="AR537" s="14">
        <f t="shared" si="933"/>
        <v>7089</v>
      </c>
      <c r="AS537" s="14">
        <f t="shared" si="933"/>
        <v>7089</v>
      </c>
      <c r="AT537" s="14">
        <f>INDEX(属性投放!$DG$6:$DG$85,(卡牌属性!AG537-2)*20+卡牌属性!AN537)</f>
        <v>3479</v>
      </c>
      <c r="AU537" s="14">
        <f t="shared" si="934"/>
        <v>3479</v>
      </c>
      <c r="AV537" s="14">
        <f t="shared" si="934"/>
        <v>3479</v>
      </c>
      <c r="AW537" s="14">
        <f t="shared" si="934"/>
        <v>3479</v>
      </c>
      <c r="AX537" s="14">
        <f t="shared" si="934"/>
        <v>3479</v>
      </c>
      <c r="AY537" s="14">
        <f>INDEX(属性投放!$DH$6:$DH$85,(卡牌属性!AG537-2)*20+卡牌属性!AN537)</f>
        <v>56728</v>
      </c>
      <c r="AZ537" s="14">
        <f t="shared" si="935"/>
        <v>56728</v>
      </c>
      <c r="BA537" s="14">
        <f t="shared" si="935"/>
        <v>56728</v>
      </c>
      <c r="BB537" s="14">
        <f t="shared" si="935"/>
        <v>56728</v>
      </c>
      <c r="BC537" s="14">
        <f t="shared" si="935"/>
        <v>56728</v>
      </c>
      <c r="BD537" s="14">
        <f>INDEX(属性投放!$DL$6:$DL$85,(卡牌属性!AG537-2)*20+卡牌属性!AN537)</f>
        <v>203</v>
      </c>
      <c r="BE537" s="14">
        <f t="shared" si="936"/>
        <v>203</v>
      </c>
      <c r="BF537" s="14">
        <f t="shared" si="936"/>
        <v>203</v>
      </c>
      <c r="BG537" s="14">
        <f t="shared" si="936"/>
        <v>203</v>
      </c>
      <c r="BH537" s="14">
        <f t="shared" si="936"/>
        <v>203</v>
      </c>
      <c r="BI537" s="14">
        <f>INDEX(属性投放!$DM$6:$DM$85,(卡牌属性!AG537-2)*20+卡牌属性!AN537)</f>
        <v>101</v>
      </c>
      <c r="BJ537" s="14">
        <f t="shared" si="937"/>
        <v>101</v>
      </c>
      <c r="BK537" s="14">
        <f t="shared" si="937"/>
        <v>101</v>
      </c>
      <c r="BL537" s="14">
        <f t="shared" si="937"/>
        <v>101</v>
      </c>
      <c r="BM537" s="14">
        <f t="shared" si="937"/>
        <v>101</v>
      </c>
      <c r="BN537" s="14">
        <f>INDEX(属性投放!$DN$6:$DN$85,(卡牌属性!AG537-2)*20+卡牌属性!AN537)</f>
        <v>2027</v>
      </c>
      <c r="BO537" s="14">
        <f t="shared" si="938"/>
        <v>2027</v>
      </c>
      <c r="BP537" s="14">
        <f t="shared" si="938"/>
        <v>2027</v>
      </c>
      <c r="BQ537" s="14">
        <f t="shared" si="938"/>
        <v>2027</v>
      </c>
      <c r="BR537" s="14">
        <f t="shared" si="938"/>
        <v>2027</v>
      </c>
      <c r="BW537" s="13">
        <v>533</v>
      </c>
      <c r="BX537" s="13">
        <f t="shared" si="915"/>
        <v>27</v>
      </c>
      <c r="BY537" s="14">
        <f t="shared" si="916"/>
        <v>3</v>
      </c>
      <c r="BZ537" s="14">
        <f t="shared" si="919"/>
        <v>1102030</v>
      </c>
      <c r="CA537" s="14" t="str">
        <f t="shared" si="920"/>
        <v>燕青13突</v>
      </c>
      <c r="CB537" s="25" t="s">
        <v>142</v>
      </c>
      <c r="CC537" s="14">
        <v>2</v>
      </c>
      <c r="CD537" s="14">
        <f t="shared" si="917"/>
        <v>13</v>
      </c>
      <c r="CE537" s="14" t="s">
        <v>21</v>
      </c>
      <c r="CF537" s="14">
        <f>INDEX(属性投放!$AZ$6:$AZ$85,(BY537-2)*20+CD537)</f>
        <v>5441</v>
      </c>
      <c r="CG537" s="14" t="s">
        <v>22</v>
      </c>
      <c r="CH537" s="14">
        <f>INDEX(属性投放!$BA$6:$BA$85,(BY537-2)*20+CD537)</f>
        <v>2670</v>
      </c>
      <c r="CI537" s="14" t="s">
        <v>510</v>
      </c>
      <c r="CJ537" s="14">
        <f>INDEX(属性投放!$BB$6:$BB$85,(BY537-2)*20+CD537)</f>
        <v>43590</v>
      </c>
      <c r="CK537" s="14" t="s">
        <v>21</v>
      </c>
      <c r="CL537" s="14">
        <f>INDEX(属性投放!$BC$6:$BC$85,(BY537-2)*20+CD537)</f>
        <v>25</v>
      </c>
      <c r="CM537" s="14" t="s">
        <v>22</v>
      </c>
      <c r="CN537" s="14">
        <f>INDEX(属性投放!$BD$6:$BD$85,(BY537-2)*20+CD537)</f>
        <v>13</v>
      </c>
      <c r="CO537" s="14" t="s">
        <v>510</v>
      </c>
      <c r="CP537" s="14">
        <f>INDEX(属性投放!$BE$6:$BE$85,(BY537-2)*20+CD537)</f>
        <v>250</v>
      </c>
      <c r="CS537" s="13">
        <v>533</v>
      </c>
      <c r="CT537" s="13">
        <f t="shared" si="921"/>
        <v>11</v>
      </c>
      <c r="CU537" s="13">
        <f t="shared" si="922"/>
        <v>13</v>
      </c>
      <c r="CV537" s="14">
        <f t="shared" si="923"/>
        <v>4</v>
      </c>
      <c r="CW537" s="14">
        <f t="shared" si="924"/>
        <v>1102011</v>
      </c>
      <c r="CX537" s="14" t="str">
        <f>INDEX($O$6:$O$50,CT537)&amp;"-"&amp;INDEX(属性投放!$AB$7:$AB$50,CZ537)&amp;"-魂火-"&amp;DB537</f>
        <v>张飞-叫唤-魂火-2</v>
      </c>
      <c r="CY537" s="25" t="s">
        <v>142</v>
      </c>
      <c r="CZ537" s="14">
        <f>INDEX(属性投放!$AM$7:$AM$58,CU537)</f>
        <v>7</v>
      </c>
      <c r="DA537" s="14" t="s">
        <v>537</v>
      </c>
      <c r="DB537" s="14">
        <f>INDEX(属性投放!$AN$7:$AN$58,CU537)</f>
        <v>2</v>
      </c>
      <c r="DC537" s="14">
        <f t="shared" si="918"/>
        <v>13</v>
      </c>
      <c r="DD537" s="14">
        <f>INDEX(属性投放!$AO$7:$AO$58,DC537)</f>
        <v>50</v>
      </c>
      <c r="DE537" s="14" t="s">
        <v>538</v>
      </c>
      <c r="DF537" s="14">
        <f>INDEX(属性投放!$BK$6:$BK$85,(CV537-2)*20+CZ537)</f>
        <v>80</v>
      </c>
      <c r="DG537" s="14">
        <f>SUMIFS(DF$5:DF537,$CT$5:$CT537,"="&amp;$CT537)</f>
        <v>635</v>
      </c>
      <c r="DH537" s="14" t="s">
        <v>539</v>
      </c>
      <c r="DI537" s="14">
        <f>INDEX(属性投放!$BL$6:$BL$85,(CV537-2)*20+CZ537)</f>
        <v>40</v>
      </c>
      <c r="DJ537" s="14">
        <f>SUMIFS(DI$5:DI537,$CT$5:$CT537,"="&amp;$CT537)</f>
        <v>321</v>
      </c>
      <c r="DK537" s="14" t="s">
        <v>540</v>
      </c>
      <c r="DL537" s="14">
        <f>INDEX(属性投放!$BM$6:$BM$85,(CV537-2)*20+CZ537)</f>
        <v>640</v>
      </c>
      <c r="DM537" s="14">
        <f>SUMIFS(DL$5:DL537,$CT$5:$CT537,"="&amp;$CT537)</f>
        <v>4450</v>
      </c>
      <c r="DR537" s="14">
        <f t="shared" si="895"/>
        <v>1102030</v>
      </c>
      <c r="DS537" s="14" t="str">
        <f t="shared" si="896"/>
        <v>燕青13突</v>
      </c>
      <c r="DT537" s="14">
        <f t="shared" si="925"/>
        <v>6</v>
      </c>
      <c r="DU537" s="14">
        <f t="shared" si="926"/>
        <v>6</v>
      </c>
      <c r="DV537" s="14">
        <f t="shared" si="927"/>
        <v>5</v>
      </c>
      <c r="DW537" s="14">
        <f t="shared" si="897"/>
        <v>3</v>
      </c>
      <c r="DX537" s="14">
        <f t="shared" si="898"/>
        <v>13</v>
      </c>
      <c r="DY537" s="14">
        <f t="shared" si="899"/>
        <v>33</v>
      </c>
      <c r="DZ537" s="14">
        <f>INDEX(属性投放!$AX$6:$AX$85,(卡牌属性!DW537-2)*20+卡牌属性!DX537)</f>
        <v>8</v>
      </c>
      <c r="EA537" s="14">
        <f>INDEX(属性投放!BQ$6:BQ$85,卡牌属性!$DY537)</f>
        <v>400</v>
      </c>
      <c r="EB537" s="14">
        <f>INDEX(属性投放!BR$6:BR$85,卡牌属性!$DY537)</f>
        <v>200</v>
      </c>
      <c r="EC537" s="14">
        <f>INDEX(属性投放!BS$6:BS$85,卡牌属性!$DY537)</f>
        <v>4000</v>
      </c>
      <c r="ED537" s="14">
        <f t="shared" si="939"/>
        <v>3156</v>
      </c>
      <c r="EE537" s="14">
        <f t="shared" si="940"/>
        <v>3763</v>
      </c>
      <c r="EF537" s="14">
        <f t="shared" si="941"/>
        <v>4065</v>
      </c>
      <c r="EG537" s="14">
        <f t="shared" si="942"/>
        <v>4065</v>
      </c>
      <c r="EH537" s="14">
        <f t="shared" si="943"/>
        <v>4395</v>
      </c>
      <c r="EI537" s="14">
        <f t="shared" si="944"/>
        <v>1555</v>
      </c>
      <c r="EJ537" s="14">
        <f t="shared" si="945"/>
        <v>1853</v>
      </c>
      <c r="EK537" s="14">
        <f t="shared" si="946"/>
        <v>1853</v>
      </c>
      <c r="EL537" s="14">
        <f t="shared" si="947"/>
        <v>2008</v>
      </c>
      <c r="EM537" s="14">
        <f t="shared" si="948"/>
        <v>2163</v>
      </c>
      <c r="EN537" s="14">
        <f t="shared" si="949"/>
        <v>23350</v>
      </c>
      <c r="EO537" s="14">
        <f t="shared" si="950"/>
        <v>24284</v>
      </c>
      <c r="EP537" s="14">
        <f t="shared" si="951"/>
        <v>24284</v>
      </c>
      <c r="EQ537" s="14">
        <f t="shared" si="952"/>
        <v>28998</v>
      </c>
      <c r="ER537" s="14">
        <f t="shared" si="953"/>
        <v>31192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INDEX(属性投放!$BQ$6:$BQ$85,(卡牌属性!$DW537-2)*20+卡牌属性!$DX537)</f>
        <v>400</v>
      </c>
      <c r="FI537" s="14">
        <f>INDEX(属性投放!$BQ$6:$BQ$85,(卡牌属性!$DW537-2)*20+卡牌属性!$DX537)</f>
        <v>400</v>
      </c>
      <c r="FJ537" s="14">
        <f>INDEX(属性投放!$BQ$6:$BQ$85,(卡牌属性!$DW537-2)*20+卡牌属性!$DX537)</f>
        <v>400</v>
      </c>
      <c r="FK537" s="14">
        <f>INDEX(属性投放!$BQ$6:$BQ$85,(卡牌属性!$DW537-2)*20+卡牌属性!$DX537)</f>
        <v>400</v>
      </c>
      <c r="FL537" s="14">
        <f>INDEX(属性投放!$BQ$6:$BQ$85,(卡牌属性!$DW537-2)*20+卡牌属性!$DX537)</f>
        <v>400</v>
      </c>
      <c r="FM537" s="14">
        <f>INDEX(属性投放!$BR$6:$BR$85,(卡牌属性!$DW537-2)*20+卡牌属性!$DX537)</f>
        <v>200</v>
      </c>
      <c r="FN537" s="14">
        <f>INDEX(属性投放!$BR$6:$BR$85,(卡牌属性!$DW537-2)*20+卡牌属性!$DX537)</f>
        <v>200</v>
      </c>
      <c r="FO537" s="14">
        <f>INDEX(属性投放!$BR$6:$BR$85,(卡牌属性!$DW537-2)*20+卡牌属性!$DX537)</f>
        <v>200</v>
      </c>
      <c r="FP537" s="14">
        <f>INDEX(属性投放!$BR$6:$BR$85,(卡牌属性!$DW537-2)*20+卡牌属性!$DX537)</f>
        <v>200</v>
      </c>
      <c r="FQ537" s="14">
        <f>INDEX(属性投放!$BR$6:$BR$85,(卡牌属性!$DW537-2)*20+卡牌属性!$DX537)</f>
        <v>200</v>
      </c>
      <c r="FR537" s="14">
        <f>INDEX(属性投放!$BS$6:$BS$85,(卡牌属性!$DW537-2)*20+卡牌属性!$DX537)</f>
        <v>4000</v>
      </c>
      <c r="FS537" s="14">
        <f>INDEX(属性投放!$BS$6:$BS$85,(卡牌属性!$DW537-2)*20+卡牌属性!$DX537)</f>
        <v>4000</v>
      </c>
      <c r="FT537" s="14">
        <f>INDEX(属性投放!$BS$6:$BS$85,(卡牌属性!$DW537-2)*20+卡牌属性!$DX537)</f>
        <v>4000</v>
      </c>
      <c r="FU537" s="14">
        <f>INDEX(属性投放!$BS$6:$BS$85,(卡牌属性!$DW537-2)*20+卡牌属性!$DX537)</f>
        <v>4000</v>
      </c>
      <c r="FV537" s="14">
        <f>INDEX(属性投放!$BS$6:$BS$85,(卡牌属性!$DW537-2)*20+卡牌属性!$DX537)</f>
        <v>4000</v>
      </c>
    </row>
    <row r="538" spans="31:178" ht="16.5" x14ac:dyDescent="0.2">
      <c r="AE538" s="13">
        <v>534</v>
      </c>
      <c r="AF538" s="13">
        <f t="shared" si="928"/>
        <v>27</v>
      </c>
      <c r="AG538" s="13">
        <f t="shared" si="929"/>
        <v>5</v>
      </c>
      <c r="AH538" s="13"/>
      <c r="AI538" s="13"/>
      <c r="AJ538" s="14">
        <f t="shared" si="930"/>
        <v>1101996</v>
      </c>
      <c r="AK538" s="14" t="str">
        <f t="shared" si="931"/>
        <v>UR寄灵人14突</v>
      </c>
      <c r="AL538" s="25" t="s">
        <v>142</v>
      </c>
      <c r="AM538" s="14">
        <v>1</v>
      </c>
      <c r="AN538" s="14">
        <f t="shared" si="932"/>
        <v>14</v>
      </c>
      <c r="AO538" s="14">
        <f>INDEX(属性投放!$DF$6:$DF$85,(卡牌属性!AG538-2)*20+卡牌属性!AN538)</f>
        <v>7668</v>
      </c>
      <c r="AP538" s="14">
        <f t="shared" ref="AP538:AS544" si="954">$AO538</f>
        <v>7668</v>
      </c>
      <c r="AQ538" s="14">
        <f t="shared" si="954"/>
        <v>7668</v>
      </c>
      <c r="AR538" s="14">
        <f t="shared" si="954"/>
        <v>7668</v>
      </c>
      <c r="AS538" s="14">
        <f t="shared" si="954"/>
        <v>7668</v>
      </c>
      <c r="AT538" s="14">
        <f>INDEX(属性投放!$DG$6:$DG$85,(卡牌属性!AG538-2)*20+卡牌属性!AN538)</f>
        <v>3769</v>
      </c>
      <c r="AU538" s="14">
        <f t="shared" ref="AU538:AX544" si="955">$AT538</f>
        <v>3769</v>
      </c>
      <c r="AV538" s="14">
        <f t="shared" si="955"/>
        <v>3769</v>
      </c>
      <c r="AW538" s="14">
        <f t="shared" si="955"/>
        <v>3769</v>
      </c>
      <c r="AX538" s="14">
        <f t="shared" si="955"/>
        <v>3769</v>
      </c>
      <c r="AY538" s="14">
        <f>INDEX(属性投放!$DH$6:$DH$85,(卡牌属性!AG538-2)*20+卡牌属性!AN538)</f>
        <v>62518</v>
      </c>
      <c r="AZ538" s="14">
        <f t="shared" ref="AZ538:BC544" si="956">$AY538</f>
        <v>62518</v>
      </c>
      <c r="BA538" s="14">
        <f t="shared" si="956"/>
        <v>62518</v>
      </c>
      <c r="BB538" s="14">
        <f t="shared" si="956"/>
        <v>62518</v>
      </c>
      <c r="BC538" s="14">
        <f t="shared" si="956"/>
        <v>62518</v>
      </c>
      <c r="BD538" s="14">
        <f>INDEX(属性投放!$DL$6:$DL$85,(卡牌属性!AG538-2)*20+卡牌属性!AN538)</f>
        <v>203</v>
      </c>
      <c r="BE538" s="14">
        <f t="shared" ref="BE538:BH544" si="957">$BD538</f>
        <v>203</v>
      </c>
      <c r="BF538" s="14">
        <f t="shared" si="957"/>
        <v>203</v>
      </c>
      <c r="BG538" s="14">
        <f t="shared" si="957"/>
        <v>203</v>
      </c>
      <c r="BH538" s="14">
        <f t="shared" si="957"/>
        <v>203</v>
      </c>
      <c r="BI538" s="14">
        <f>INDEX(属性投放!$DM$6:$DM$85,(卡牌属性!AG538-2)*20+卡牌属性!AN538)</f>
        <v>101</v>
      </c>
      <c r="BJ538" s="14">
        <f t="shared" ref="BJ538:BM544" si="958">$BI538</f>
        <v>101</v>
      </c>
      <c r="BK538" s="14">
        <f t="shared" si="958"/>
        <v>101</v>
      </c>
      <c r="BL538" s="14">
        <f t="shared" si="958"/>
        <v>101</v>
      </c>
      <c r="BM538" s="14">
        <f t="shared" si="958"/>
        <v>101</v>
      </c>
      <c r="BN538" s="14">
        <f>INDEX(属性投放!$DN$6:$DN$85,(卡牌属性!AG538-2)*20+卡牌属性!AN538)</f>
        <v>2027</v>
      </c>
      <c r="BO538" s="14">
        <f t="shared" ref="BO538:BR544" si="959">$BN538</f>
        <v>2027</v>
      </c>
      <c r="BP538" s="14">
        <f t="shared" si="959"/>
        <v>2027</v>
      </c>
      <c r="BQ538" s="14">
        <f t="shared" si="959"/>
        <v>2027</v>
      </c>
      <c r="BR538" s="14">
        <f t="shared" si="959"/>
        <v>2027</v>
      </c>
      <c r="BW538" s="13">
        <v>534</v>
      </c>
      <c r="BX538" s="13">
        <f t="shared" si="915"/>
        <v>27</v>
      </c>
      <c r="BY538" s="14">
        <f t="shared" si="916"/>
        <v>3</v>
      </c>
      <c r="BZ538" s="14">
        <f t="shared" si="919"/>
        <v>1102030</v>
      </c>
      <c r="CA538" s="14" t="str">
        <f t="shared" si="920"/>
        <v>燕青14突</v>
      </c>
      <c r="CB538" s="25" t="s">
        <v>142</v>
      </c>
      <c r="CC538" s="14">
        <v>2</v>
      </c>
      <c r="CD538" s="14">
        <f t="shared" si="917"/>
        <v>14</v>
      </c>
      <c r="CE538" s="14" t="s">
        <v>21</v>
      </c>
      <c r="CF538" s="14">
        <f>INDEX(属性投放!$AZ$6:$AZ$85,(BY538-2)*20+CD538)</f>
        <v>6791</v>
      </c>
      <c r="CG538" s="14" t="s">
        <v>22</v>
      </c>
      <c r="CH538" s="14">
        <f>INDEX(属性投放!$BA$6:$BA$85,(BY538-2)*20+CD538)</f>
        <v>3349</v>
      </c>
      <c r="CI538" s="14" t="s">
        <v>510</v>
      </c>
      <c r="CJ538" s="14">
        <f>INDEX(属性投放!$BB$6:$BB$85,(BY538-2)*20+CD538)</f>
        <v>57090</v>
      </c>
      <c r="CK538" s="14" t="s">
        <v>21</v>
      </c>
      <c r="CL538" s="14">
        <f>INDEX(属性投放!$BC$6:$BC$85,(BY538-2)*20+CD538)</f>
        <v>25</v>
      </c>
      <c r="CM538" s="14" t="s">
        <v>22</v>
      </c>
      <c r="CN538" s="14">
        <f>INDEX(属性投放!$BD$6:$BD$85,(BY538-2)*20+CD538)</f>
        <v>13</v>
      </c>
      <c r="CO538" s="14" t="s">
        <v>510</v>
      </c>
      <c r="CP538" s="14">
        <f>INDEX(属性投放!$BE$6:$BE$85,(BY538-2)*20+CD538)</f>
        <v>250</v>
      </c>
      <c r="CS538" s="13">
        <v>534</v>
      </c>
      <c r="CT538" s="13">
        <f t="shared" si="921"/>
        <v>11</v>
      </c>
      <c r="CU538" s="13">
        <f t="shared" si="922"/>
        <v>14</v>
      </c>
      <c r="CV538" s="14">
        <f t="shared" si="923"/>
        <v>4</v>
      </c>
      <c r="CW538" s="14">
        <f t="shared" si="924"/>
        <v>1102011</v>
      </c>
      <c r="CX538" s="14" t="str">
        <f>INDEX($O$6:$O$50,CT538)&amp;"-"&amp;INDEX(属性投放!$AB$7:$AB$50,CZ538)&amp;"-魂火-"&amp;DB538</f>
        <v>张飞-叫唤+1-魂火-1</v>
      </c>
      <c r="CY538" s="25" t="s">
        <v>142</v>
      </c>
      <c r="CZ538" s="14">
        <f>INDEX(属性投放!$AM$7:$AM$58,CU538)</f>
        <v>8</v>
      </c>
      <c r="DA538" s="14" t="s">
        <v>537</v>
      </c>
      <c r="DB538" s="14">
        <f>INDEX(属性投放!$AN$7:$AN$58,CU538)</f>
        <v>1</v>
      </c>
      <c r="DC538" s="14">
        <f t="shared" si="918"/>
        <v>14</v>
      </c>
      <c r="DD538" s="14">
        <f>INDEX(属性投放!$AO$7:$AO$58,DC538)</f>
        <v>53</v>
      </c>
      <c r="DE538" s="14" t="s">
        <v>538</v>
      </c>
      <c r="DF538" s="14">
        <f>INDEX(属性投放!$BK$6:$BK$85,(CV538-2)*20+CZ538)</f>
        <v>100</v>
      </c>
      <c r="DG538" s="14">
        <f>SUMIFS(DF$5:DF538,$CT$5:$CT538,"="&amp;$CT538)</f>
        <v>735</v>
      </c>
      <c r="DH538" s="14" t="s">
        <v>539</v>
      </c>
      <c r="DI538" s="14">
        <f>INDEX(属性投放!$BL$6:$BL$85,(CV538-2)*20+CZ538)</f>
        <v>50</v>
      </c>
      <c r="DJ538" s="14">
        <f>SUMIFS(DI$5:DI538,$CT$5:$CT538,"="&amp;$CT538)</f>
        <v>371</v>
      </c>
      <c r="DK538" s="14" t="s">
        <v>540</v>
      </c>
      <c r="DL538" s="14">
        <f>INDEX(属性投放!$BM$6:$BM$85,(CV538-2)*20+CZ538)</f>
        <v>800</v>
      </c>
      <c r="DM538" s="14">
        <f>SUMIFS(DL$5:DL538,$CT$5:$CT538,"="&amp;$CT538)</f>
        <v>5250</v>
      </c>
      <c r="DR538" s="14">
        <f t="shared" ref="DR538:DR564" si="960">BZ538</f>
        <v>1102030</v>
      </c>
      <c r="DS538" s="14" t="str">
        <f t="shared" ref="DS538:DS564" si="961">CA538</f>
        <v>燕青14突</v>
      </c>
      <c r="DT538" s="14">
        <f t="shared" si="925"/>
        <v>6</v>
      </c>
      <c r="DU538" s="14">
        <f t="shared" si="926"/>
        <v>6</v>
      </c>
      <c r="DV538" s="14">
        <f t="shared" si="927"/>
        <v>5</v>
      </c>
      <c r="DW538" s="14">
        <f t="shared" ref="DW538:DW564" si="962">BY538</f>
        <v>3</v>
      </c>
      <c r="DX538" s="14">
        <f t="shared" ref="DX538:DX564" si="963">CD538</f>
        <v>14</v>
      </c>
      <c r="DY538" s="14">
        <f t="shared" ref="DY538:DY564" si="964">(DW538-2)*20+DX538</f>
        <v>34</v>
      </c>
      <c r="DZ538" s="14">
        <f>INDEX(属性投放!$AX$6:$AX$85,(卡牌属性!DW538-2)*20+卡牌属性!DX538)</f>
        <v>7</v>
      </c>
      <c r="EA538" s="14">
        <f>INDEX(属性投放!BQ$6:BQ$85,卡牌属性!$DY538)</f>
        <v>450</v>
      </c>
      <c r="EB538" s="14">
        <f>INDEX(属性投放!BR$6:BR$85,卡牌属性!$DY538)</f>
        <v>225</v>
      </c>
      <c r="EC538" s="14">
        <f>INDEX(属性投放!BS$6:BS$85,卡牌属性!$DY538)</f>
        <v>4500</v>
      </c>
      <c r="ED538" s="14">
        <f t="shared" si="939"/>
        <v>3764</v>
      </c>
      <c r="EE538" s="14">
        <f t="shared" si="940"/>
        <v>4483</v>
      </c>
      <c r="EF538" s="14">
        <f t="shared" si="941"/>
        <v>4825</v>
      </c>
      <c r="EG538" s="14">
        <f t="shared" si="942"/>
        <v>4825</v>
      </c>
      <c r="EH538" s="14">
        <f t="shared" si="943"/>
        <v>5195</v>
      </c>
      <c r="EI538" s="14">
        <f t="shared" si="944"/>
        <v>1859</v>
      </c>
      <c r="EJ538" s="14">
        <f t="shared" si="945"/>
        <v>2213</v>
      </c>
      <c r="EK538" s="14">
        <f t="shared" si="946"/>
        <v>2213</v>
      </c>
      <c r="EL538" s="14">
        <f t="shared" si="947"/>
        <v>2392</v>
      </c>
      <c r="EM538" s="14">
        <f t="shared" si="948"/>
        <v>2563</v>
      </c>
      <c r="EN538" s="14">
        <f t="shared" si="949"/>
        <v>29350</v>
      </c>
      <c r="EO538" s="14">
        <f t="shared" si="950"/>
        <v>30364</v>
      </c>
      <c r="EP538" s="14">
        <f t="shared" si="951"/>
        <v>30364</v>
      </c>
      <c r="EQ538" s="14">
        <f t="shared" si="952"/>
        <v>36198</v>
      </c>
      <c r="ER538" s="14">
        <f t="shared" si="953"/>
        <v>38792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INDEX(属性投放!$BQ$6:$BQ$85,(卡牌属性!$DW538-2)*20+卡牌属性!$DX538)</f>
        <v>450</v>
      </c>
      <c r="FI538" s="14">
        <f>INDEX(属性投放!$BQ$6:$BQ$85,(卡牌属性!$DW538-2)*20+卡牌属性!$DX538)</f>
        <v>450</v>
      </c>
      <c r="FJ538" s="14">
        <f>INDEX(属性投放!$BQ$6:$BQ$85,(卡牌属性!$DW538-2)*20+卡牌属性!$DX538)</f>
        <v>450</v>
      </c>
      <c r="FK538" s="14">
        <f>INDEX(属性投放!$BQ$6:$BQ$85,(卡牌属性!$DW538-2)*20+卡牌属性!$DX538)</f>
        <v>450</v>
      </c>
      <c r="FL538" s="14">
        <f>INDEX(属性投放!$BQ$6:$BQ$85,(卡牌属性!$DW538-2)*20+卡牌属性!$DX538)</f>
        <v>450</v>
      </c>
      <c r="FM538" s="14">
        <f>INDEX(属性投放!$BR$6:$BR$85,(卡牌属性!$DW538-2)*20+卡牌属性!$DX538)</f>
        <v>225</v>
      </c>
      <c r="FN538" s="14">
        <f>INDEX(属性投放!$BR$6:$BR$85,(卡牌属性!$DW538-2)*20+卡牌属性!$DX538)</f>
        <v>225</v>
      </c>
      <c r="FO538" s="14">
        <f>INDEX(属性投放!$BR$6:$BR$85,(卡牌属性!$DW538-2)*20+卡牌属性!$DX538)</f>
        <v>225</v>
      </c>
      <c r="FP538" s="14">
        <f>INDEX(属性投放!$BR$6:$BR$85,(卡牌属性!$DW538-2)*20+卡牌属性!$DX538)</f>
        <v>225</v>
      </c>
      <c r="FQ538" s="14">
        <f>INDEX(属性投放!$BR$6:$BR$85,(卡牌属性!$DW538-2)*20+卡牌属性!$DX538)</f>
        <v>225</v>
      </c>
      <c r="FR538" s="14">
        <f>INDEX(属性投放!$BS$6:$BS$85,(卡牌属性!$DW538-2)*20+卡牌属性!$DX538)</f>
        <v>4500</v>
      </c>
      <c r="FS538" s="14">
        <f>INDEX(属性投放!$BS$6:$BS$85,(卡牌属性!$DW538-2)*20+卡牌属性!$DX538)</f>
        <v>4500</v>
      </c>
      <c r="FT538" s="14">
        <f>INDEX(属性投放!$BS$6:$BS$85,(卡牌属性!$DW538-2)*20+卡牌属性!$DX538)</f>
        <v>4500</v>
      </c>
      <c r="FU538" s="14">
        <f>INDEX(属性投放!$BS$6:$BS$85,(卡牌属性!$DW538-2)*20+卡牌属性!$DX538)</f>
        <v>4500</v>
      </c>
      <c r="FV538" s="14">
        <f>INDEX(属性投放!$BS$6:$BS$85,(卡牌属性!$DW538-2)*20+卡牌属性!$DX538)</f>
        <v>4500</v>
      </c>
    </row>
    <row r="539" spans="31:178" ht="16.5" x14ac:dyDescent="0.2">
      <c r="AE539" s="13">
        <v>535</v>
      </c>
      <c r="AF539" s="13">
        <f t="shared" si="928"/>
        <v>27</v>
      </c>
      <c r="AG539" s="13">
        <f t="shared" si="929"/>
        <v>5</v>
      </c>
      <c r="AH539" s="13"/>
      <c r="AI539" s="13"/>
      <c r="AJ539" s="14">
        <f t="shared" si="930"/>
        <v>1101996</v>
      </c>
      <c r="AK539" s="14" t="str">
        <f t="shared" si="931"/>
        <v>UR寄灵人15突</v>
      </c>
      <c r="AL539" s="25" t="s">
        <v>142</v>
      </c>
      <c r="AM539" s="14">
        <v>1</v>
      </c>
      <c r="AN539" s="14">
        <f t="shared" si="932"/>
        <v>15</v>
      </c>
      <c r="AO539" s="14">
        <f>INDEX(属性投放!$DF$6:$DF$85,(卡牌属性!AG539-2)*20+卡牌属性!AN539)</f>
        <v>8247</v>
      </c>
      <c r="AP539" s="14">
        <f t="shared" si="954"/>
        <v>8247</v>
      </c>
      <c r="AQ539" s="14">
        <f t="shared" si="954"/>
        <v>8247</v>
      </c>
      <c r="AR539" s="14">
        <f t="shared" si="954"/>
        <v>8247</v>
      </c>
      <c r="AS539" s="14">
        <f t="shared" si="954"/>
        <v>8247</v>
      </c>
      <c r="AT539" s="14">
        <f>INDEX(属性投放!$DG$6:$DG$85,(卡牌属性!AG539-2)*20+卡牌属性!AN539)</f>
        <v>4059</v>
      </c>
      <c r="AU539" s="14">
        <f t="shared" si="955"/>
        <v>4059</v>
      </c>
      <c r="AV539" s="14">
        <f t="shared" si="955"/>
        <v>4059</v>
      </c>
      <c r="AW539" s="14">
        <f t="shared" si="955"/>
        <v>4059</v>
      </c>
      <c r="AX539" s="14">
        <f t="shared" si="955"/>
        <v>4059</v>
      </c>
      <c r="AY539" s="14">
        <f>INDEX(属性投放!$DH$6:$DH$85,(卡牌属性!AG539-2)*20+卡牌属性!AN539)</f>
        <v>68308</v>
      </c>
      <c r="AZ539" s="14">
        <f t="shared" si="956"/>
        <v>68308</v>
      </c>
      <c r="BA539" s="14">
        <f t="shared" si="956"/>
        <v>68308</v>
      </c>
      <c r="BB539" s="14">
        <f t="shared" si="956"/>
        <v>68308</v>
      </c>
      <c r="BC539" s="14">
        <f t="shared" si="956"/>
        <v>68308</v>
      </c>
      <c r="BD539" s="14">
        <f>INDEX(属性投放!$DL$6:$DL$85,(卡牌属性!AG539-2)*20+卡牌属性!AN539)</f>
        <v>203</v>
      </c>
      <c r="BE539" s="14">
        <f t="shared" si="957"/>
        <v>203</v>
      </c>
      <c r="BF539" s="14">
        <f t="shared" si="957"/>
        <v>203</v>
      </c>
      <c r="BG539" s="14">
        <f t="shared" si="957"/>
        <v>203</v>
      </c>
      <c r="BH539" s="14">
        <f t="shared" si="957"/>
        <v>203</v>
      </c>
      <c r="BI539" s="14">
        <f>INDEX(属性投放!$DM$6:$DM$85,(卡牌属性!AG539-2)*20+卡牌属性!AN539)</f>
        <v>101</v>
      </c>
      <c r="BJ539" s="14">
        <f t="shared" si="958"/>
        <v>101</v>
      </c>
      <c r="BK539" s="14">
        <f t="shared" si="958"/>
        <v>101</v>
      </c>
      <c r="BL539" s="14">
        <f t="shared" si="958"/>
        <v>101</v>
      </c>
      <c r="BM539" s="14">
        <f t="shared" si="958"/>
        <v>101</v>
      </c>
      <c r="BN539" s="14">
        <f>INDEX(属性投放!$DN$6:$DN$85,(卡牌属性!AG539-2)*20+卡牌属性!AN539)</f>
        <v>2027</v>
      </c>
      <c r="BO539" s="14">
        <f t="shared" si="959"/>
        <v>2027</v>
      </c>
      <c r="BP539" s="14">
        <f t="shared" si="959"/>
        <v>2027</v>
      </c>
      <c r="BQ539" s="14">
        <f t="shared" si="959"/>
        <v>2027</v>
      </c>
      <c r="BR539" s="14">
        <f t="shared" si="959"/>
        <v>2027</v>
      </c>
      <c r="BW539" s="13">
        <v>535</v>
      </c>
      <c r="BX539" s="13">
        <f t="shared" si="915"/>
        <v>27</v>
      </c>
      <c r="BY539" s="14">
        <f t="shared" si="916"/>
        <v>3</v>
      </c>
      <c r="BZ539" s="14">
        <f t="shared" si="919"/>
        <v>1102030</v>
      </c>
      <c r="CA539" s="14" t="str">
        <f t="shared" si="920"/>
        <v>燕青15突</v>
      </c>
      <c r="CB539" s="25" t="s">
        <v>142</v>
      </c>
      <c r="CC539" s="14">
        <v>2</v>
      </c>
      <c r="CD539" s="14">
        <f t="shared" si="917"/>
        <v>15</v>
      </c>
      <c r="CE539" s="14" t="s">
        <v>21</v>
      </c>
      <c r="CF539" s="14">
        <f>INDEX(属性投放!$AZ$6:$AZ$85,(BY539-2)*20+CD539)</f>
        <v>8316</v>
      </c>
      <c r="CG539" s="14" t="s">
        <v>22</v>
      </c>
      <c r="CH539" s="14">
        <f>INDEX(属性投放!$BA$6:$BA$85,(BY539-2)*20+CD539)</f>
        <v>4115</v>
      </c>
      <c r="CI539" s="14" t="s">
        <v>510</v>
      </c>
      <c r="CJ539" s="14">
        <f>INDEX(属性投放!$BB$6:$BB$85,(BY539-2)*20+CD539)</f>
        <v>72340</v>
      </c>
      <c r="CK539" s="14" t="s">
        <v>21</v>
      </c>
      <c r="CL539" s="14">
        <f>INDEX(属性投放!$BC$6:$BC$85,(BY539-2)*20+CD539)</f>
        <v>25</v>
      </c>
      <c r="CM539" s="14" t="s">
        <v>22</v>
      </c>
      <c r="CN539" s="14">
        <f>INDEX(属性投放!$BD$6:$BD$85,(BY539-2)*20+CD539)</f>
        <v>13</v>
      </c>
      <c r="CO539" s="14" t="s">
        <v>510</v>
      </c>
      <c r="CP539" s="14">
        <f>INDEX(属性投放!$BE$6:$BE$85,(BY539-2)*20+CD539)</f>
        <v>250</v>
      </c>
      <c r="CS539" s="13">
        <v>535</v>
      </c>
      <c r="CT539" s="13">
        <f t="shared" si="921"/>
        <v>11</v>
      </c>
      <c r="CU539" s="13">
        <f t="shared" si="922"/>
        <v>15</v>
      </c>
      <c r="CV539" s="14">
        <f t="shared" si="923"/>
        <v>4</v>
      </c>
      <c r="CW539" s="14">
        <f t="shared" si="924"/>
        <v>1102011</v>
      </c>
      <c r="CX539" s="14" t="str">
        <f>INDEX($O$6:$O$50,CT539)&amp;"-"&amp;INDEX(属性投放!$AB$7:$AB$50,CZ539)&amp;"-魂火-"&amp;DB539</f>
        <v>张飞-叫唤+1-魂火-2</v>
      </c>
      <c r="CY539" s="25" t="s">
        <v>142</v>
      </c>
      <c r="CZ539" s="14">
        <f>INDEX(属性投放!$AM$7:$AM$58,CU539)</f>
        <v>8</v>
      </c>
      <c r="DA539" s="14" t="s">
        <v>537</v>
      </c>
      <c r="DB539" s="14">
        <f>INDEX(属性投放!$AN$7:$AN$58,CU539)</f>
        <v>2</v>
      </c>
      <c r="DC539" s="14">
        <f t="shared" si="918"/>
        <v>15</v>
      </c>
      <c r="DD539" s="14">
        <f>INDEX(属性投放!$AO$7:$AO$58,DC539)</f>
        <v>55</v>
      </c>
      <c r="DE539" s="14" t="s">
        <v>538</v>
      </c>
      <c r="DF539" s="14">
        <f>INDEX(属性投放!$BK$6:$BK$85,(CV539-2)*20+CZ539)</f>
        <v>100</v>
      </c>
      <c r="DG539" s="14">
        <f>SUMIFS(DF$5:DF539,$CT$5:$CT539,"="&amp;$CT539)</f>
        <v>835</v>
      </c>
      <c r="DH539" s="14" t="s">
        <v>539</v>
      </c>
      <c r="DI539" s="14">
        <f>INDEX(属性投放!$BL$6:$BL$85,(CV539-2)*20+CZ539)</f>
        <v>50</v>
      </c>
      <c r="DJ539" s="14">
        <f>SUMIFS(DI$5:DI539,$CT$5:$CT539,"="&amp;$CT539)</f>
        <v>421</v>
      </c>
      <c r="DK539" s="14" t="s">
        <v>540</v>
      </c>
      <c r="DL539" s="14">
        <f>INDEX(属性投放!$BM$6:$BM$85,(CV539-2)*20+CZ539)</f>
        <v>800</v>
      </c>
      <c r="DM539" s="14">
        <f>SUMIFS(DL$5:DL539,$CT$5:$CT539,"="&amp;$CT539)</f>
        <v>6050</v>
      </c>
      <c r="DR539" s="14">
        <f t="shared" si="960"/>
        <v>1102030</v>
      </c>
      <c r="DS539" s="14" t="str">
        <f t="shared" si="961"/>
        <v>燕青15突</v>
      </c>
      <c r="DT539" s="14">
        <f t="shared" si="925"/>
        <v>6</v>
      </c>
      <c r="DU539" s="14">
        <f t="shared" si="926"/>
        <v>6</v>
      </c>
      <c r="DV539" s="14">
        <f t="shared" si="927"/>
        <v>5</v>
      </c>
      <c r="DW539" s="14">
        <f t="shared" si="962"/>
        <v>3</v>
      </c>
      <c r="DX539" s="14">
        <f t="shared" si="963"/>
        <v>15</v>
      </c>
      <c r="DY539" s="14">
        <f t="shared" si="964"/>
        <v>35</v>
      </c>
      <c r="DZ539" s="14">
        <f>INDEX(属性投放!$AX$6:$AX$85,(卡牌属性!DW539-2)*20+卡牌属性!DX539)</f>
        <v>8</v>
      </c>
      <c r="EA539" s="14">
        <f>INDEX(属性投放!BQ$6:BQ$85,卡牌属性!$DY539)</f>
        <v>750</v>
      </c>
      <c r="EB539" s="14">
        <f>INDEX(属性投放!BR$6:BR$85,卡牌属性!$DY539)</f>
        <v>375</v>
      </c>
      <c r="EC539" s="14">
        <f>INDEX(属性投放!BS$6:BS$85,卡牌属性!$DY539)</f>
        <v>7500</v>
      </c>
      <c r="ED539" s="14">
        <f t="shared" si="939"/>
        <v>4396</v>
      </c>
      <c r="EE539" s="14">
        <f t="shared" si="940"/>
        <v>5213</v>
      </c>
      <c r="EF539" s="14">
        <f t="shared" si="941"/>
        <v>5590</v>
      </c>
      <c r="EG539" s="14">
        <f t="shared" si="942"/>
        <v>5590</v>
      </c>
      <c r="EH539" s="14">
        <f t="shared" si="943"/>
        <v>5995</v>
      </c>
      <c r="EI539" s="14">
        <f t="shared" si="944"/>
        <v>2175</v>
      </c>
      <c r="EJ539" s="14">
        <f t="shared" si="945"/>
        <v>2578</v>
      </c>
      <c r="EK539" s="14">
        <f t="shared" si="946"/>
        <v>2578</v>
      </c>
      <c r="EL539" s="14">
        <f t="shared" si="947"/>
        <v>2778</v>
      </c>
      <c r="EM539" s="14">
        <f t="shared" si="948"/>
        <v>2963</v>
      </c>
      <c r="EN539" s="14">
        <f t="shared" si="949"/>
        <v>35600</v>
      </c>
      <c r="EO539" s="14">
        <f t="shared" si="950"/>
        <v>36684</v>
      </c>
      <c r="EP539" s="14">
        <f t="shared" si="951"/>
        <v>36684</v>
      </c>
      <c r="EQ539" s="14">
        <f t="shared" si="952"/>
        <v>43498</v>
      </c>
      <c r="ER539" s="14">
        <f t="shared" si="953"/>
        <v>46442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INDEX(属性投放!$BQ$6:$BQ$85,(卡牌属性!$DW539-2)*20+卡牌属性!$DX539)</f>
        <v>750</v>
      </c>
      <c r="FI539" s="14">
        <f>INDEX(属性投放!$BQ$6:$BQ$85,(卡牌属性!$DW539-2)*20+卡牌属性!$DX539)</f>
        <v>750</v>
      </c>
      <c r="FJ539" s="14">
        <f>INDEX(属性投放!$BQ$6:$BQ$85,(卡牌属性!$DW539-2)*20+卡牌属性!$DX539)</f>
        <v>750</v>
      </c>
      <c r="FK539" s="14">
        <f>INDEX(属性投放!$BQ$6:$BQ$85,(卡牌属性!$DW539-2)*20+卡牌属性!$DX539)</f>
        <v>750</v>
      </c>
      <c r="FL539" s="14">
        <f>INDEX(属性投放!$BQ$6:$BQ$85,(卡牌属性!$DW539-2)*20+卡牌属性!$DX539)</f>
        <v>750</v>
      </c>
      <c r="FM539" s="14">
        <f>INDEX(属性投放!$BR$6:$BR$85,(卡牌属性!$DW539-2)*20+卡牌属性!$DX539)</f>
        <v>375</v>
      </c>
      <c r="FN539" s="14">
        <f>INDEX(属性投放!$BR$6:$BR$85,(卡牌属性!$DW539-2)*20+卡牌属性!$DX539)</f>
        <v>375</v>
      </c>
      <c r="FO539" s="14">
        <f>INDEX(属性投放!$BR$6:$BR$85,(卡牌属性!$DW539-2)*20+卡牌属性!$DX539)</f>
        <v>375</v>
      </c>
      <c r="FP539" s="14">
        <f>INDEX(属性投放!$BR$6:$BR$85,(卡牌属性!$DW539-2)*20+卡牌属性!$DX539)</f>
        <v>375</v>
      </c>
      <c r="FQ539" s="14">
        <f>INDEX(属性投放!$BR$6:$BR$85,(卡牌属性!$DW539-2)*20+卡牌属性!$DX539)</f>
        <v>375</v>
      </c>
      <c r="FR539" s="14">
        <f>INDEX(属性投放!$BS$6:$BS$85,(卡牌属性!$DW539-2)*20+卡牌属性!$DX539)</f>
        <v>7500</v>
      </c>
      <c r="FS539" s="14">
        <f>INDEX(属性投放!$BS$6:$BS$85,(卡牌属性!$DW539-2)*20+卡牌属性!$DX539)</f>
        <v>7500</v>
      </c>
      <c r="FT539" s="14">
        <f>INDEX(属性投放!$BS$6:$BS$85,(卡牌属性!$DW539-2)*20+卡牌属性!$DX539)</f>
        <v>7500</v>
      </c>
      <c r="FU539" s="14">
        <f>INDEX(属性投放!$BS$6:$BS$85,(卡牌属性!$DW539-2)*20+卡牌属性!$DX539)</f>
        <v>7500</v>
      </c>
      <c r="FV539" s="14">
        <f>INDEX(属性投放!$BS$6:$BS$85,(卡牌属性!$DW539-2)*20+卡牌属性!$DX539)</f>
        <v>7500</v>
      </c>
    </row>
    <row r="540" spans="31:178" ht="16.5" x14ac:dyDescent="0.2">
      <c r="AE540" s="13">
        <v>536</v>
      </c>
      <c r="AF540" s="13">
        <f t="shared" si="928"/>
        <v>27</v>
      </c>
      <c r="AG540" s="13">
        <f t="shared" si="929"/>
        <v>5</v>
      </c>
      <c r="AH540" s="13"/>
      <c r="AI540" s="13"/>
      <c r="AJ540" s="14">
        <f t="shared" si="930"/>
        <v>1101996</v>
      </c>
      <c r="AK540" s="14" t="str">
        <f t="shared" si="931"/>
        <v>UR寄灵人16突</v>
      </c>
      <c r="AL540" s="25" t="s">
        <v>142</v>
      </c>
      <c r="AM540" s="14">
        <v>1</v>
      </c>
      <c r="AN540" s="14">
        <f t="shared" si="932"/>
        <v>16</v>
      </c>
      <c r="AO540" s="14">
        <f>INDEX(属性投放!$DF$6:$DF$85,(卡牌属性!AG540-2)*20+卡牌属性!AN540)</f>
        <v>13901</v>
      </c>
      <c r="AP540" s="14">
        <f t="shared" si="954"/>
        <v>13901</v>
      </c>
      <c r="AQ540" s="14">
        <f t="shared" si="954"/>
        <v>13901</v>
      </c>
      <c r="AR540" s="14">
        <f t="shared" si="954"/>
        <v>13901</v>
      </c>
      <c r="AS540" s="14">
        <f t="shared" si="954"/>
        <v>13901</v>
      </c>
      <c r="AT540" s="14">
        <f>INDEX(属性投放!$DG$6:$DG$85,(卡牌属性!AG540-2)*20+卡牌属性!AN540)</f>
        <v>6874</v>
      </c>
      <c r="AU540" s="14">
        <f t="shared" si="955"/>
        <v>6874</v>
      </c>
      <c r="AV540" s="14">
        <f t="shared" si="955"/>
        <v>6874</v>
      </c>
      <c r="AW540" s="14">
        <f t="shared" si="955"/>
        <v>6874</v>
      </c>
      <c r="AX540" s="14">
        <f t="shared" si="955"/>
        <v>6874</v>
      </c>
      <c r="AY540" s="14">
        <f>INDEX(属性投放!$DH$6:$DH$85,(卡牌属性!AG540-2)*20+卡牌属性!AN540)</f>
        <v>124773</v>
      </c>
      <c r="AZ540" s="14">
        <f t="shared" si="956"/>
        <v>124773</v>
      </c>
      <c r="BA540" s="14">
        <f t="shared" si="956"/>
        <v>124773</v>
      </c>
      <c r="BB540" s="14">
        <f t="shared" si="956"/>
        <v>124773</v>
      </c>
      <c r="BC540" s="14">
        <f t="shared" si="956"/>
        <v>124773</v>
      </c>
      <c r="BD540" s="14">
        <f>INDEX(属性投放!$DL$6:$DL$85,(卡牌属性!AG540-2)*20+卡牌属性!AN540)</f>
        <v>284</v>
      </c>
      <c r="BE540" s="14">
        <f t="shared" si="957"/>
        <v>284</v>
      </c>
      <c r="BF540" s="14">
        <f t="shared" si="957"/>
        <v>284</v>
      </c>
      <c r="BG540" s="14">
        <f t="shared" si="957"/>
        <v>284</v>
      </c>
      <c r="BH540" s="14">
        <f t="shared" si="957"/>
        <v>284</v>
      </c>
      <c r="BI540" s="14">
        <f>INDEX(属性投放!$DM$6:$DM$85,(卡牌属性!AG540-2)*20+卡牌属性!AN540)</f>
        <v>142</v>
      </c>
      <c r="BJ540" s="14">
        <f t="shared" si="958"/>
        <v>142</v>
      </c>
      <c r="BK540" s="14">
        <f t="shared" si="958"/>
        <v>142</v>
      </c>
      <c r="BL540" s="14">
        <f t="shared" si="958"/>
        <v>142</v>
      </c>
      <c r="BM540" s="14">
        <f t="shared" si="958"/>
        <v>142</v>
      </c>
      <c r="BN540" s="14">
        <f>INDEX(属性投放!$DN$6:$DN$85,(卡牌属性!AG540-2)*20+卡牌属性!AN540)</f>
        <v>2845</v>
      </c>
      <c r="BO540" s="14">
        <f t="shared" si="959"/>
        <v>2845</v>
      </c>
      <c r="BP540" s="14">
        <f t="shared" si="959"/>
        <v>2845</v>
      </c>
      <c r="BQ540" s="14">
        <f t="shared" si="959"/>
        <v>2845</v>
      </c>
      <c r="BR540" s="14">
        <f t="shared" si="959"/>
        <v>2845</v>
      </c>
      <c r="BW540" s="13">
        <v>536</v>
      </c>
      <c r="BX540" s="13">
        <f t="shared" si="915"/>
        <v>27</v>
      </c>
      <c r="BY540" s="14">
        <f t="shared" si="916"/>
        <v>3</v>
      </c>
      <c r="BZ540" s="14">
        <f t="shared" si="919"/>
        <v>1102030</v>
      </c>
      <c r="CA540" s="14" t="str">
        <f t="shared" si="920"/>
        <v>燕青16突</v>
      </c>
      <c r="CB540" s="25" t="s">
        <v>142</v>
      </c>
      <c r="CC540" s="14">
        <v>2</v>
      </c>
      <c r="CD540" s="14">
        <f t="shared" si="917"/>
        <v>16</v>
      </c>
      <c r="CE540" s="14" t="s">
        <v>21</v>
      </c>
      <c r="CF540" s="14">
        <f>INDEX(属性投放!$AZ$6:$AZ$85,(BY540-2)*20+CD540)</f>
        <v>10466</v>
      </c>
      <c r="CG540" s="14" t="s">
        <v>22</v>
      </c>
      <c r="CH540" s="14">
        <f>INDEX(属性投放!$BA$6:$BA$85,(BY540-2)*20+CD540)</f>
        <v>5194</v>
      </c>
      <c r="CI540" s="14" t="s">
        <v>510</v>
      </c>
      <c r="CJ540" s="14">
        <f>INDEX(属性投放!$BB$6:$BB$85,(BY540-2)*20+CD540)</f>
        <v>93840</v>
      </c>
      <c r="CK540" s="14" t="s">
        <v>21</v>
      </c>
      <c r="CL540" s="14">
        <f>INDEX(属性投放!$BC$6:$BC$85,(BY540-2)*20+CD540)</f>
        <v>30</v>
      </c>
      <c r="CM540" s="14" t="s">
        <v>22</v>
      </c>
      <c r="CN540" s="14">
        <f>INDEX(属性投放!$BD$6:$BD$85,(BY540-2)*20+CD540)</f>
        <v>15</v>
      </c>
      <c r="CO540" s="14" t="s">
        <v>510</v>
      </c>
      <c r="CP540" s="14">
        <f>INDEX(属性投放!$BE$6:$BE$85,(BY540-2)*20+CD540)</f>
        <v>300</v>
      </c>
      <c r="CS540" s="13">
        <v>536</v>
      </c>
      <c r="CT540" s="13">
        <f t="shared" si="921"/>
        <v>11</v>
      </c>
      <c r="CU540" s="13">
        <f t="shared" si="922"/>
        <v>16</v>
      </c>
      <c r="CV540" s="14">
        <f t="shared" si="923"/>
        <v>4</v>
      </c>
      <c r="CW540" s="14">
        <f t="shared" si="924"/>
        <v>1102011</v>
      </c>
      <c r="CX540" s="14" t="str">
        <f>INDEX($O$6:$O$50,CT540)&amp;"-"&amp;INDEX(属性投放!$AB$7:$AB$50,CZ540)&amp;"-魂火-"&amp;DB540</f>
        <v>张飞-叫唤+2-魂火-1</v>
      </c>
      <c r="CY540" s="25" t="s">
        <v>142</v>
      </c>
      <c r="CZ540" s="14">
        <f>INDEX(属性投放!$AM$7:$AM$58,CU540)</f>
        <v>9</v>
      </c>
      <c r="DA540" s="14" t="s">
        <v>537</v>
      </c>
      <c r="DB540" s="14">
        <f>INDEX(属性投放!$AN$7:$AN$58,CU540)</f>
        <v>1</v>
      </c>
      <c r="DC540" s="14">
        <f t="shared" si="918"/>
        <v>16</v>
      </c>
      <c r="DD540" s="14">
        <f>INDEX(属性投放!$AO$7:$AO$58,DC540)</f>
        <v>58</v>
      </c>
      <c r="DE540" s="14" t="s">
        <v>538</v>
      </c>
      <c r="DF540" s="14">
        <f>INDEX(属性投放!$BK$6:$BK$85,(CV540-2)*20+CZ540)</f>
        <v>115</v>
      </c>
      <c r="DG540" s="14">
        <f>SUMIFS(DF$5:DF540,$CT$5:$CT540,"="&amp;$CT540)</f>
        <v>950</v>
      </c>
      <c r="DH540" s="14" t="s">
        <v>539</v>
      </c>
      <c r="DI540" s="14">
        <f>INDEX(属性投放!$BL$6:$BL$85,(CV540-2)*20+CZ540)</f>
        <v>58</v>
      </c>
      <c r="DJ540" s="14">
        <f>SUMIFS(DI$5:DI540,$CT$5:$CT540,"="&amp;$CT540)</f>
        <v>479</v>
      </c>
      <c r="DK540" s="14" t="s">
        <v>540</v>
      </c>
      <c r="DL540" s="14">
        <f>INDEX(属性投放!$BM$6:$BM$85,(CV540-2)*20+CZ540)</f>
        <v>920</v>
      </c>
      <c r="DM540" s="14">
        <f>SUMIFS(DL$5:DL540,$CT$5:$CT540,"="&amp;$CT540)</f>
        <v>6970</v>
      </c>
      <c r="DR540" s="14">
        <f t="shared" si="960"/>
        <v>1102030</v>
      </c>
      <c r="DS540" s="14" t="str">
        <f t="shared" si="961"/>
        <v>燕青16突</v>
      </c>
      <c r="DT540" s="14">
        <f t="shared" si="925"/>
        <v>6</v>
      </c>
      <c r="DU540" s="14">
        <f t="shared" si="926"/>
        <v>6</v>
      </c>
      <c r="DV540" s="14">
        <f t="shared" si="927"/>
        <v>5</v>
      </c>
      <c r="DW540" s="14">
        <f t="shared" si="962"/>
        <v>3</v>
      </c>
      <c r="DX540" s="14">
        <f t="shared" si="963"/>
        <v>16</v>
      </c>
      <c r="DY540" s="14">
        <f t="shared" si="964"/>
        <v>36</v>
      </c>
      <c r="DZ540" s="14">
        <f>INDEX(属性投放!$AX$6:$AX$85,(卡牌属性!DW540-2)*20+卡牌属性!DX540)</f>
        <v>7</v>
      </c>
      <c r="EA540" s="14">
        <f>INDEX(属性投放!BQ$6:BQ$85,卡牌属性!$DY540)</f>
        <v>800</v>
      </c>
      <c r="EB540" s="14">
        <f>INDEX(属性投放!BR$6:BR$85,卡牌属性!$DY540)</f>
        <v>400</v>
      </c>
      <c r="EC540" s="14">
        <f>INDEX(属性投放!BS$6:BS$85,卡牌属性!$DY540)</f>
        <v>8000</v>
      </c>
      <c r="ED540" s="14">
        <f t="shared" si="939"/>
        <v>5354</v>
      </c>
      <c r="EE540" s="14">
        <f t="shared" si="940"/>
        <v>6283</v>
      </c>
      <c r="EF540" s="14">
        <f t="shared" si="941"/>
        <v>6700</v>
      </c>
      <c r="EG540" s="14">
        <f t="shared" si="942"/>
        <v>6700</v>
      </c>
      <c r="EH540" s="14">
        <f t="shared" si="943"/>
        <v>7145</v>
      </c>
      <c r="EI540" s="14">
        <f t="shared" si="944"/>
        <v>2654</v>
      </c>
      <c r="EJ540" s="14">
        <f t="shared" si="945"/>
        <v>3113</v>
      </c>
      <c r="EK540" s="14">
        <f t="shared" si="946"/>
        <v>3113</v>
      </c>
      <c r="EL540" s="14">
        <f t="shared" si="947"/>
        <v>3337</v>
      </c>
      <c r="EM540" s="14">
        <f t="shared" si="948"/>
        <v>3538</v>
      </c>
      <c r="EN540" s="14">
        <f t="shared" si="949"/>
        <v>45100</v>
      </c>
      <c r="EO540" s="14">
        <f t="shared" si="950"/>
        <v>46264</v>
      </c>
      <c r="EP540" s="14">
        <f t="shared" si="951"/>
        <v>46264</v>
      </c>
      <c r="EQ540" s="14">
        <f t="shared" si="952"/>
        <v>54198</v>
      </c>
      <c r="ER540" s="14">
        <f t="shared" si="953"/>
        <v>57542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INDEX(属性投放!$BQ$6:$BQ$85,(卡牌属性!$DW540-2)*20+卡牌属性!$DX540)</f>
        <v>800</v>
      </c>
      <c r="FI540" s="14">
        <f>INDEX(属性投放!$BQ$6:$BQ$85,(卡牌属性!$DW540-2)*20+卡牌属性!$DX540)</f>
        <v>800</v>
      </c>
      <c r="FJ540" s="14">
        <f>INDEX(属性投放!$BQ$6:$BQ$85,(卡牌属性!$DW540-2)*20+卡牌属性!$DX540)</f>
        <v>800</v>
      </c>
      <c r="FK540" s="14">
        <f>INDEX(属性投放!$BQ$6:$BQ$85,(卡牌属性!$DW540-2)*20+卡牌属性!$DX540)</f>
        <v>800</v>
      </c>
      <c r="FL540" s="14">
        <f>INDEX(属性投放!$BQ$6:$BQ$85,(卡牌属性!$DW540-2)*20+卡牌属性!$DX540)</f>
        <v>800</v>
      </c>
      <c r="FM540" s="14">
        <f>INDEX(属性投放!$BR$6:$BR$85,(卡牌属性!$DW540-2)*20+卡牌属性!$DX540)</f>
        <v>400</v>
      </c>
      <c r="FN540" s="14">
        <f>INDEX(属性投放!$BR$6:$BR$85,(卡牌属性!$DW540-2)*20+卡牌属性!$DX540)</f>
        <v>400</v>
      </c>
      <c r="FO540" s="14">
        <f>INDEX(属性投放!$BR$6:$BR$85,(卡牌属性!$DW540-2)*20+卡牌属性!$DX540)</f>
        <v>400</v>
      </c>
      <c r="FP540" s="14">
        <f>INDEX(属性投放!$BR$6:$BR$85,(卡牌属性!$DW540-2)*20+卡牌属性!$DX540)</f>
        <v>400</v>
      </c>
      <c r="FQ540" s="14">
        <f>INDEX(属性投放!$BR$6:$BR$85,(卡牌属性!$DW540-2)*20+卡牌属性!$DX540)</f>
        <v>400</v>
      </c>
      <c r="FR540" s="14">
        <f>INDEX(属性投放!$BS$6:$BS$85,(卡牌属性!$DW540-2)*20+卡牌属性!$DX540)</f>
        <v>8000</v>
      </c>
      <c r="FS540" s="14">
        <f>INDEX(属性投放!$BS$6:$BS$85,(卡牌属性!$DW540-2)*20+卡牌属性!$DX540)</f>
        <v>8000</v>
      </c>
      <c r="FT540" s="14">
        <f>INDEX(属性投放!$BS$6:$BS$85,(卡牌属性!$DW540-2)*20+卡牌属性!$DX540)</f>
        <v>8000</v>
      </c>
      <c r="FU540" s="14">
        <f>INDEX(属性投放!$BS$6:$BS$85,(卡牌属性!$DW540-2)*20+卡牌属性!$DX540)</f>
        <v>8000</v>
      </c>
      <c r="FV540" s="14">
        <f>INDEX(属性投放!$BS$6:$BS$85,(卡牌属性!$DW540-2)*20+卡牌属性!$DX540)</f>
        <v>8000</v>
      </c>
    </row>
    <row r="541" spans="31:178" ht="16.5" x14ac:dyDescent="0.2">
      <c r="AE541" s="13">
        <v>537</v>
      </c>
      <c r="AF541" s="13">
        <f t="shared" si="928"/>
        <v>27</v>
      </c>
      <c r="AG541" s="13">
        <f t="shared" si="929"/>
        <v>5</v>
      </c>
      <c r="AH541" s="13"/>
      <c r="AI541" s="13"/>
      <c r="AJ541" s="14">
        <f t="shared" si="930"/>
        <v>1101996</v>
      </c>
      <c r="AK541" s="14" t="str">
        <f t="shared" si="931"/>
        <v>UR寄灵人17突</v>
      </c>
      <c r="AL541" s="25" t="s">
        <v>142</v>
      </c>
      <c r="AM541" s="14">
        <v>1</v>
      </c>
      <c r="AN541" s="14">
        <f t="shared" ref="AN541:AN544" si="965">AE541-INDEX($F$5:$F$43,AF541)</f>
        <v>17</v>
      </c>
      <c r="AO541" s="14">
        <f>INDEX(属性投放!$DF$6:$DF$85,(卡牌属性!AG541-2)*20+卡牌属性!AN541)</f>
        <v>14917</v>
      </c>
      <c r="AP541" s="14">
        <f t="shared" si="954"/>
        <v>14917</v>
      </c>
      <c r="AQ541" s="14">
        <f t="shared" si="954"/>
        <v>14917</v>
      </c>
      <c r="AR541" s="14">
        <f t="shared" si="954"/>
        <v>14917</v>
      </c>
      <c r="AS541" s="14">
        <f t="shared" si="954"/>
        <v>14917</v>
      </c>
      <c r="AT541" s="14">
        <f>INDEX(属性投放!$DG$6:$DG$85,(卡牌属性!AG541-2)*20+卡牌属性!AN541)</f>
        <v>7382</v>
      </c>
      <c r="AU541" s="14">
        <f t="shared" si="955"/>
        <v>7382</v>
      </c>
      <c r="AV541" s="14">
        <f t="shared" si="955"/>
        <v>7382</v>
      </c>
      <c r="AW541" s="14">
        <f t="shared" si="955"/>
        <v>7382</v>
      </c>
      <c r="AX541" s="14">
        <f t="shared" si="955"/>
        <v>7382</v>
      </c>
      <c r="AY541" s="14">
        <f>INDEX(属性投放!$DH$6:$DH$85,(卡牌属性!AG541-2)*20+卡牌属性!AN541)</f>
        <v>134933</v>
      </c>
      <c r="AZ541" s="14">
        <f t="shared" si="956"/>
        <v>134933</v>
      </c>
      <c r="BA541" s="14">
        <f t="shared" si="956"/>
        <v>134933</v>
      </c>
      <c r="BB541" s="14">
        <f t="shared" si="956"/>
        <v>134933</v>
      </c>
      <c r="BC541" s="14">
        <f t="shared" si="956"/>
        <v>134933</v>
      </c>
      <c r="BD541" s="14">
        <f>INDEX(属性投放!$DL$6:$DL$85,(卡牌属性!AG541-2)*20+卡牌属性!AN541)</f>
        <v>284</v>
      </c>
      <c r="BE541" s="14">
        <f t="shared" si="957"/>
        <v>284</v>
      </c>
      <c r="BF541" s="14">
        <f t="shared" si="957"/>
        <v>284</v>
      </c>
      <c r="BG541" s="14">
        <f t="shared" si="957"/>
        <v>284</v>
      </c>
      <c r="BH541" s="14">
        <f t="shared" si="957"/>
        <v>284</v>
      </c>
      <c r="BI541" s="14">
        <f>INDEX(属性投放!$DM$6:$DM$85,(卡牌属性!AG541-2)*20+卡牌属性!AN541)</f>
        <v>142</v>
      </c>
      <c r="BJ541" s="14">
        <f t="shared" si="958"/>
        <v>142</v>
      </c>
      <c r="BK541" s="14">
        <f t="shared" si="958"/>
        <v>142</v>
      </c>
      <c r="BL541" s="14">
        <f t="shared" si="958"/>
        <v>142</v>
      </c>
      <c r="BM541" s="14">
        <f t="shared" si="958"/>
        <v>142</v>
      </c>
      <c r="BN541" s="14">
        <f>INDEX(属性投放!$DN$6:$DN$85,(卡牌属性!AG541-2)*20+卡牌属性!AN541)</f>
        <v>2845</v>
      </c>
      <c r="BO541" s="14">
        <f t="shared" si="959"/>
        <v>2845</v>
      </c>
      <c r="BP541" s="14">
        <f t="shared" si="959"/>
        <v>2845</v>
      </c>
      <c r="BQ541" s="14">
        <f t="shared" si="959"/>
        <v>2845</v>
      </c>
      <c r="BR541" s="14">
        <f t="shared" si="959"/>
        <v>2845</v>
      </c>
      <c r="BW541" s="13">
        <v>537</v>
      </c>
      <c r="BX541" s="13">
        <f t="shared" si="915"/>
        <v>27</v>
      </c>
      <c r="BY541" s="14">
        <f t="shared" si="916"/>
        <v>3</v>
      </c>
      <c r="BZ541" s="14">
        <f t="shared" si="919"/>
        <v>1102030</v>
      </c>
      <c r="CA541" s="14" t="str">
        <f t="shared" si="920"/>
        <v>燕青17突</v>
      </c>
      <c r="CB541" s="25" t="s">
        <v>142</v>
      </c>
      <c r="CC541" s="14">
        <v>2</v>
      </c>
      <c r="CD541" s="14">
        <f t="shared" si="917"/>
        <v>17</v>
      </c>
      <c r="CE541" s="14" t="s">
        <v>21</v>
      </c>
      <c r="CF541" s="14">
        <f>INDEX(属性投放!$AZ$6:$AZ$85,(BY541-2)*20+CD541)</f>
        <v>12976</v>
      </c>
      <c r="CG541" s="14" t="s">
        <v>22</v>
      </c>
      <c r="CH541" s="14">
        <f>INDEX(属性投放!$BA$6:$BA$85,(BY541-2)*20+CD541)</f>
        <v>6449</v>
      </c>
      <c r="CI541" s="14" t="s">
        <v>510</v>
      </c>
      <c r="CJ541" s="14">
        <f>INDEX(属性投放!$BB$6:$BB$85,(BY541-2)*20+CD541)</f>
        <v>118940</v>
      </c>
      <c r="CK541" s="14" t="s">
        <v>21</v>
      </c>
      <c r="CL541" s="14">
        <f>INDEX(属性投放!$BC$6:$BC$85,(BY541-2)*20+CD541)</f>
        <v>30</v>
      </c>
      <c r="CM541" s="14" t="s">
        <v>22</v>
      </c>
      <c r="CN541" s="14">
        <f>INDEX(属性投放!$BD$6:$BD$85,(BY541-2)*20+CD541)</f>
        <v>15</v>
      </c>
      <c r="CO541" s="14" t="s">
        <v>510</v>
      </c>
      <c r="CP541" s="14">
        <f>INDEX(属性投放!$BE$6:$BE$85,(BY541-2)*20+CD541)</f>
        <v>300</v>
      </c>
      <c r="CS541" s="13">
        <v>537</v>
      </c>
      <c r="CT541" s="13">
        <f t="shared" si="921"/>
        <v>11</v>
      </c>
      <c r="CU541" s="13">
        <f t="shared" si="922"/>
        <v>17</v>
      </c>
      <c r="CV541" s="14">
        <f t="shared" si="923"/>
        <v>4</v>
      </c>
      <c r="CW541" s="14">
        <f t="shared" si="924"/>
        <v>1102011</v>
      </c>
      <c r="CX541" s="14" t="str">
        <f>INDEX($O$6:$O$50,CT541)&amp;"-"&amp;INDEX(属性投放!$AB$7:$AB$50,CZ541)&amp;"-魂火-"&amp;DB541</f>
        <v>张飞-叫唤+2-魂火-2</v>
      </c>
      <c r="CY541" s="25" t="s">
        <v>142</v>
      </c>
      <c r="CZ541" s="14">
        <f>INDEX(属性投放!$AM$7:$AM$58,CU541)</f>
        <v>9</v>
      </c>
      <c r="DA541" s="14" t="s">
        <v>537</v>
      </c>
      <c r="DB541" s="14">
        <f>INDEX(属性投放!$AN$7:$AN$58,CU541)</f>
        <v>2</v>
      </c>
      <c r="DC541" s="14">
        <f t="shared" si="918"/>
        <v>17</v>
      </c>
      <c r="DD541" s="14">
        <f>INDEX(属性投放!$AO$7:$AO$58,DC541)</f>
        <v>60</v>
      </c>
      <c r="DE541" s="14" t="s">
        <v>538</v>
      </c>
      <c r="DF541" s="14">
        <f>INDEX(属性投放!$BK$6:$BK$85,(CV541-2)*20+CZ541)</f>
        <v>115</v>
      </c>
      <c r="DG541" s="14">
        <f>SUMIFS(DF$5:DF541,$CT$5:$CT541,"="&amp;$CT541)</f>
        <v>1065</v>
      </c>
      <c r="DH541" s="14" t="s">
        <v>539</v>
      </c>
      <c r="DI541" s="14">
        <f>INDEX(属性投放!$BL$6:$BL$85,(CV541-2)*20+CZ541)</f>
        <v>58</v>
      </c>
      <c r="DJ541" s="14">
        <f>SUMIFS(DI$5:DI541,$CT$5:$CT541,"="&amp;$CT541)</f>
        <v>537</v>
      </c>
      <c r="DK541" s="14" t="s">
        <v>540</v>
      </c>
      <c r="DL541" s="14">
        <f>INDEX(属性投放!$BM$6:$BM$85,(CV541-2)*20+CZ541)</f>
        <v>920</v>
      </c>
      <c r="DM541" s="14">
        <f>SUMIFS(DL$5:DL541,$CT$5:$CT541,"="&amp;$CT541)</f>
        <v>7890</v>
      </c>
      <c r="DR541" s="14">
        <f t="shared" si="960"/>
        <v>1102030</v>
      </c>
      <c r="DS541" s="14" t="str">
        <f t="shared" si="961"/>
        <v>燕青17突</v>
      </c>
      <c r="DT541" s="14">
        <f t="shared" si="925"/>
        <v>6</v>
      </c>
      <c r="DU541" s="14">
        <f t="shared" si="926"/>
        <v>6</v>
      </c>
      <c r="DV541" s="14">
        <f t="shared" si="927"/>
        <v>5</v>
      </c>
      <c r="DW541" s="14">
        <f t="shared" si="962"/>
        <v>3</v>
      </c>
      <c r="DX541" s="14">
        <f t="shared" si="963"/>
        <v>17</v>
      </c>
      <c r="DY541" s="14">
        <f t="shared" si="964"/>
        <v>37</v>
      </c>
      <c r="DZ541" s="14">
        <f>INDEX(属性投放!$AX$6:$AX$85,(卡牌属性!DW541-2)*20+卡牌属性!DX541)</f>
        <v>8</v>
      </c>
      <c r="EA541" s="14">
        <f>INDEX(属性投放!BQ$6:BQ$85,卡牌属性!$DY541)</f>
        <v>900</v>
      </c>
      <c r="EB541" s="14">
        <f>INDEX(属性投放!BR$6:BR$85,卡牌属性!$DY541)</f>
        <v>450</v>
      </c>
      <c r="EC541" s="14">
        <f>INDEX(属性投放!BS$6:BS$85,卡牌属性!$DY541)</f>
        <v>9000</v>
      </c>
      <c r="ED541" s="14">
        <f t="shared" si="939"/>
        <v>6399</v>
      </c>
      <c r="EE541" s="14">
        <f t="shared" si="940"/>
        <v>7433</v>
      </c>
      <c r="EF541" s="14">
        <f t="shared" si="941"/>
        <v>7920</v>
      </c>
      <c r="EG541" s="14">
        <f t="shared" si="942"/>
        <v>7920</v>
      </c>
      <c r="EH541" s="14">
        <f t="shared" si="943"/>
        <v>8470</v>
      </c>
      <c r="EI541" s="14">
        <f t="shared" si="944"/>
        <v>3180</v>
      </c>
      <c r="EJ541" s="14">
        <f t="shared" si="945"/>
        <v>3688</v>
      </c>
      <c r="EK541" s="14">
        <f t="shared" si="946"/>
        <v>3688</v>
      </c>
      <c r="EL541" s="14">
        <f t="shared" si="947"/>
        <v>3947</v>
      </c>
      <c r="EM541" s="14">
        <f t="shared" si="948"/>
        <v>4204</v>
      </c>
      <c r="EN541" s="14">
        <f t="shared" si="949"/>
        <v>55200</v>
      </c>
      <c r="EO541" s="14">
        <f t="shared" si="950"/>
        <v>56714</v>
      </c>
      <c r="EP541" s="14">
        <f t="shared" si="951"/>
        <v>56714</v>
      </c>
      <c r="EQ541" s="14">
        <f t="shared" si="952"/>
        <v>65698</v>
      </c>
      <c r="ER541" s="14">
        <f t="shared" si="953"/>
        <v>69742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INDEX(属性投放!$BQ$6:$BQ$85,(卡牌属性!$DW541-2)*20+卡牌属性!$DX541)</f>
        <v>900</v>
      </c>
      <c r="FI541" s="14">
        <f>INDEX(属性投放!$BQ$6:$BQ$85,(卡牌属性!$DW541-2)*20+卡牌属性!$DX541)</f>
        <v>900</v>
      </c>
      <c r="FJ541" s="14">
        <f>INDEX(属性投放!$BQ$6:$BQ$85,(卡牌属性!$DW541-2)*20+卡牌属性!$DX541)</f>
        <v>900</v>
      </c>
      <c r="FK541" s="14">
        <f>INDEX(属性投放!$BQ$6:$BQ$85,(卡牌属性!$DW541-2)*20+卡牌属性!$DX541)</f>
        <v>900</v>
      </c>
      <c r="FL541" s="14">
        <f>INDEX(属性投放!$BQ$6:$BQ$85,(卡牌属性!$DW541-2)*20+卡牌属性!$DX541)</f>
        <v>900</v>
      </c>
      <c r="FM541" s="14">
        <f>INDEX(属性投放!$BR$6:$BR$85,(卡牌属性!$DW541-2)*20+卡牌属性!$DX541)</f>
        <v>450</v>
      </c>
      <c r="FN541" s="14">
        <f>INDEX(属性投放!$BR$6:$BR$85,(卡牌属性!$DW541-2)*20+卡牌属性!$DX541)</f>
        <v>450</v>
      </c>
      <c r="FO541" s="14">
        <f>INDEX(属性投放!$BR$6:$BR$85,(卡牌属性!$DW541-2)*20+卡牌属性!$DX541)</f>
        <v>450</v>
      </c>
      <c r="FP541" s="14">
        <f>INDEX(属性投放!$BR$6:$BR$85,(卡牌属性!$DW541-2)*20+卡牌属性!$DX541)</f>
        <v>450</v>
      </c>
      <c r="FQ541" s="14">
        <f>INDEX(属性投放!$BR$6:$BR$85,(卡牌属性!$DW541-2)*20+卡牌属性!$DX541)</f>
        <v>450</v>
      </c>
      <c r="FR541" s="14">
        <f>INDEX(属性投放!$BS$6:$BS$85,(卡牌属性!$DW541-2)*20+卡牌属性!$DX541)</f>
        <v>9000</v>
      </c>
      <c r="FS541" s="14">
        <f>INDEX(属性投放!$BS$6:$BS$85,(卡牌属性!$DW541-2)*20+卡牌属性!$DX541)</f>
        <v>9000</v>
      </c>
      <c r="FT541" s="14">
        <f>INDEX(属性投放!$BS$6:$BS$85,(卡牌属性!$DW541-2)*20+卡牌属性!$DX541)</f>
        <v>9000</v>
      </c>
      <c r="FU541" s="14">
        <f>INDEX(属性投放!$BS$6:$BS$85,(卡牌属性!$DW541-2)*20+卡牌属性!$DX541)</f>
        <v>9000</v>
      </c>
      <c r="FV541" s="14">
        <f>INDEX(属性投放!$BS$6:$BS$85,(卡牌属性!$DW541-2)*20+卡牌属性!$DX541)</f>
        <v>9000</v>
      </c>
    </row>
    <row r="542" spans="31:178" ht="16.5" x14ac:dyDescent="0.2">
      <c r="AE542" s="13">
        <v>538</v>
      </c>
      <c r="AF542" s="13">
        <f t="shared" si="928"/>
        <v>27</v>
      </c>
      <c r="AG542" s="13">
        <f t="shared" si="929"/>
        <v>5</v>
      </c>
      <c r="AH542" s="13"/>
      <c r="AI542" s="13"/>
      <c r="AJ542" s="14">
        <f t="shared" si="930"/>
        <v>1101996</v>
      </c>
      <c r="AK542" s="14" t="str">
        <f t="shared" si="931"/>
        <v>UR寄灵人18突</v>
      </c>
      <c r="AL542" s="25" t="s">
        <v>142</v>
      </c>
      <c r="AM542" s="14">
        <v>1</v>
      </c>
      <c r="AN542" s="14">
        <f t="shared" si="965"/>
        <v>18</v>
      </c>
      <c r="AO542" s="14">
        <f>INDEX(属性投放!$DF$6:$DF$85,(卡牌属性!AG542-2)*20+卡牌属性!AN542)</f>
        <v>15933</v>
      </c>
      <c r="AP542" s="14">
        <f t="shared" si="954"/>
        <v>15933</v>
      </c>
      <c r="AQ542" s="14">
        <f t="shared" si="954"/>
        <v>15933</v>
      </c>
      <c r="AR542" s="14">
        <f t="shared" si="954"/>
        <v>15933</v>
      </c>
      <c r="AS542" s="14">
        <f t="shared" si="954"/>
        <v>15933</v>
      </c>
      <c r="AT542" s="14">
        <f>INDEX(属性投放!$DG$6:$DG$85,(卡牌属性!AG542-2)*20+卡牌属性!AN542)</f>
        <v>7890</v>
      </c>
      <c r="AU542" s="14">
        <f t="shared" si="955"/>
        <v>7890</v>
      </c>
      <c r="AV542" s="14">
        <f t="shared" si="955"/>
        <v>7890</v>
      </c>
      <c r="AW542" s="14">
        <f t="shared" si="955"/>
        <v>7890</v>
      </c>
      <c r="AX542" s="14">
        <f t="shared" si="955"/>
        <v>7890</v>
      </c>
      <c r="AY542" s="14">
        <f>INDEX(属性投放!$DH$6:$DH$85,(卡牌属性!AG542-2)*20+卡牌属性!AN542)</f>
        <v>145093</v>
      </c>
      <c r="AZ542" s="14">
        <f t="shared" si="956"/>
        <v>145093</v>
      </c>
      <c r="BA542" s="14">
        <f t="shared" si="956"/>
        <v>145093</v>
      </c>
      <c r="BB542" s="14">
        <f t="shared" si="956"/>
        <v>145093</v>
      </c>
      <c r="BC542" s="14">
        <f t="shared" si="956"/>
        <v>145093</v>
      </c>
      <c r="BD542" s="14">
        <f>INDEX(属性投放!$DL$6:$DL$85,(卡牌属性!AG542-2)*20+卡牌属性!AN542)</f>
        <v>284</v>
      </c>
      <c r="BE542" s="14">
        <f t="shared" si="957"/>
        <v>284</v>
      </c>
      <c r="BF542" s="14">
        <f t="shared" si="957"/>
        <v>284</v>
      </c>
      <c r="BG542" s="14">
        <f t="shared" si="957"/>
        <v>284</v>
      </c>
      <c r="BH542" s="14">
        <f t="shared" si="957"/>
        <v>284</v>
      </c>
      <c r="BI542" s="14">
        <f>INDEX(属性投放!$DM$6:$DM$85,(卡牌属性!AG542-2)*20+卡牌属性!AN542)</f>
        <v>142</v>
      </c>
      <c r="BJ542" s="14">
        <f t="shared" si="958"/>
        <v>142</v>
      </c>
      <c r="BK542" s="14">
        <f t="shared" si="958"/>
        <v>142</v>
      </c>
      <c r="BL542" s="14">
        <f t="shared" si="958"/>
        <v>142</v>
      </c>
      <c r="BM542" s="14">
        <f t="shared" si="958"/>
        <v>142</v>
      </c>
      <c r="BN542" s="14">
        <f>INDEX(属性投放!$DN$6:$DN$85,(卡牌属性!AG542-2)*20+卡牌属性!AN542)</f>
        <v>2845</v>
      </c>
      <c r="BO542" s="14">
        <f t="shared" si="959"/>
        <v>2845</v>
      </c>
      <c r="BP542" s="14">
        <f t="shared" si="959"/>
        <v>2845</v>
      </c>
      <c r="BQ542" s="14">
        <f t="shared" si="959"/>
        <v>2845</v>
      </c>
      <c r="BR542" s="14">
        <f t="shared" si="959"/>
        <v>2845</v>
      </c>
      <c r="BW542" s="13">
        <v>538</v>
      </c>
      <c r="BX542" s="13">
        <f t="shared" si="915"/>
        <v>27</v>
      </c>
      <c r="BY542" s="14">
        <f t="shared" si="916"/>
        <v>3</v>
      </c>
      <c r="BZ542" s="14">
        <f t="shared" si="919"/>
        <v>1102030</v>
      </c>
      <c r="CA542" s="14" t="str">
        <f t="shared" si="920"/>
        <v>燕青18突</v>
      </c>
      <c r="CB542" s="25" t="s">
        <v>142</v>
      </c>
      <c r="CC542" s="14">
        <v>2</v>
      </c>
      <c r="CD542" s="14">
        <f t="shared" si="917"/>
        <v>18</v>
      </c>
      <c r="CE542" s="14" t="s">
        <v>21</v>
      </c>
      <c r="CF542" s="14">
        <f>INDEX(属性投放!$AZ$6:$AZ$85,(BY542-2)*20+CD542)</f>
        <v>15916</v>
      </c>
      <c r="CG542" s="14" t="s">
        <v>22</v>
      </c>
      <c r="CH542" s="14">
        <f>INDEX(属性投放!$BA$6:$BA$85,(BY542-2)*20+CD542)</f>
        <v>7919</v>
      </c>
      <c r="CI542" s="14" t="s">
        <v>510</v>
      </c>
      <c r="CJ542" s="14">
        <f>INDEX(属性投放!$BB$6:$BB$85,(BY542-2)*20+CD542)</f>
        <v>148340</v>
      </c>
      <c r="CK542" s="14" t="s">
        <v>21</v>
      </c>
      <c r="CL542" s="14">
        <f>INDEX(属性投放!$BC$6:$BC$85,(BY542-2)*20+CD542)</f>
        <v>30</v>
      </c>
      <c r="CM542" s="14" t="s">
        <v>22</v>
      </c>
      <c r="CN542" s="14">
        <f>INDEX(属性投放!$BD$6:$BD$85,(BY542-2)*20+CD542)</f>
        <v>15</v>
      </c>
      <c r="CO542" s="14" t="s">
        <v>510</v>
      </c>
      <c r="CP542" s="14">
        <f>INDEX(属性投放!$BE$6:$BE$85,(BY542-2)*20+CD542)</f>
        <v>300</v>
      </c>
      <c r="CS542" s="13">
        <v>538</v>
      </c>
      <c r="CT542" s="13">
        <f t="shared" si="921"/>
        <v>11</v>
      </c>
      <c r="CU542" s="13">
        <f t="shared" si="922"/>
        <v>18</v>
      </c>
      <c r="CV542" s="14">
        <f t="shared" si="923"/>
        <v>4</v>
      </c>
      <c r="CW542" s="14">
        <f t="shared" si="924"/>
        <v>1102011</v>
      </c>
      <c r="CX542" s="14" t="str">
        <f>INDEX($O$6:$O$50,CT542)&amp;"-"&amp;INDEX(属性投放!$AB$7:$AB$50,CZ542)&amp;"-魂火-"&amp;DB542</f>
        <v>张飞-叫唤+2-魂火-3</v>
      </c>
      <c r="CY542" s="25" t="s">
        <v>142</v>
      </c>
      <c r="CZ542" s="14">
        <f>INDEX(属性投放!$AM$7:$AM$58,CU542)</f>
        <v>9</v>
      </c>
      <c r="DA542" s="14" t="s">
        <v>537</v>
      </c>
      <c r="DB542" s="14">
        <f>INDEX(属性投放!$AN$7:$AN$58,CU542)</f>
        <v>3</v>
      </c>
      <c r="DC542" s="14">
        <f t="shared" si="918"/>
        <v>18</v>
      </c>
      <c r="DD542" s="14">
        <f>INDEX(属性投放!$AO$7:$AO$58,DC542)</f>
        <v>63</v>
      </c>
      <c r="DE542" s="14" t="s">
        <v>538</v>
      </c>
      <c r="DF542" s="14">
        <f>INDEX(属性投放!$BK$6:$BK$85,(CV542-2)*20+CZ542)</f>
        <v>115</v>
      </c>
      <c r="DG542" s="14">
        <f>SUMIFS(DF$5:DF542,$CT$5:$CT542,"="&amp;$CT542)</f>
        <v>1180</v>
      </c>
      <c r="DH542" s="14" t="s">
        <v>539</v>
      </c>
      <c r="DI542" s="14">
        <f>INDEX(属性投放!$BL$6:$BL$85,(CV542-2)*20+CZ542)</f>
        <v>58</v>
      </c>
      <c r="DJ542" s="14">
        <f>SUMIFS(DI$5:DI542,$CT$5:$CT542,"="&amp;$CT542)</f>
        <v>595</v>
      </c>
      <c r="DK542" s="14" t="s">
        <v>540</v>
      </c>
      <c r="DL542" s="14">
        <f>INDEX(属性投放!$BM$6:$BM$85,(CV542-2)*20+CZ542)</f>
        <v>920</v>
      </c>
      <c r="DM542" s="14">
        <f>SUMIFS(DL$5:DL542,$CT$5:$CT542,"="&amp;$CT542)</f>
        <v>8810</v>
      </c>
      <c r="DR542" s="14">
        <f t="shared" si="960"/>
        <v>1102030</v>
      </c>
      <c r="DS542" s="14" t="str">
        <f t="shared" si="961"/>
        <v>燕青18突</v>
      </c>
      <c r="DT542" s="14">
        <f t="shared" si="925"/>
        <v>6</v>
      </c>
      <c r="DU542" s="14">
        <f t="shared" si="926"/>
        <v>6</v>
      </c>
      <c r="DV542" s="14">
        <f t="shared" si="927"/>
        <v>5</v>
      </c>
      <c r="DW542" s="14">
        <f t="shared" si="962"/>
        <v>3</v>
      </c>
      <c r="DX542" s="14">
        <f t="shared" si="963"/>
        <v>18</v>
      </c>
      <c r="DY542" s="14">
        <f t="shared" si="964"/>
        <v>38</v>
      </c>
      <c r="DZ542" s="14">
        <f>INDEX(属性投放!$AX$6:$AX$85,(卡牌属性!DW542-2)*20+卡牌属性!DX542)</f>
        <v>7</v>
      </c>
      <c r="EA542" s="14">
        <f>INDEX(属性投放!BQ$6:BQ$85,卡牌属性!$DY542)</f>
        <v>1500</v>
      </c>
      <c r="EB542" s="14">
        <f>INDEX(属性投放!BR$6:BR$85,卡牌属性!$DY542)</f>
        <v>750</v>
      </c>
      <c r="EC542" s="14">
        <f>INDEX(属性投放!BS$6:BS$85,卡牌属性!$DY542)</f>
        <v>15000</v>
      </c>
      <c r="ED542" s="14">
        <f t="shared" si="939"/>
        <v>7579</v>
      </c>
      <c r="EE542" s="14">
        <f t="shared" si="940"/>
        <v>8733</v>
      </c>
      <c r="EF542" s="14">
        <f t="shared" si="941"/>
        <v>9300</v>
      </c>
      <c r="EG542" s="14">
        <f t="shared" si="942"/>
        <v>9300</v>
      </c>
      <c r="EH542" s="14">
        <f t="shared" si="943"/>
        <v>9970</v>
      </c>
      <c r="EI542" s="14">
        <f t="shared" si="944"/>
        <v>3774</v>
      </c>
      <c r="EJ542" s="14">
        <f t="shared" si="945"/>
        <v>4338</v>
      </c>
      <c r="EK542" s="14">
        <f t="shared" si="946"/>
        <v>4338</v>
      </c>
      <c r="EL542" s="14">
        <f t="shared" si="947"/>
        <v>4637</v>
      </c>
      <c r="EM542" s="14">
        <f t="shared" si="948"/>
        <v>4958</v>
      </c>
      <c r="EN542" s="14">
        <f t="shared" si="949"/>
        <v>66600</v>
      </c>
      <c r="EO542" s="14">
        <f t="shared" si="950"/>
        <v>68514</v>
      </c>
      <c r="EP542" s="14">
        <f t="shared" si="951"/>
        <v>68514</v>
      </c>
      <c r="EQ542" s="14">
        <f t="shared" si="952"/>
        <v>78698</v>
      </c>
      <c r="ER542" s="14">
        <f t="shared" si="953"/>
        <v>83542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INDEX(属性投放!$BQ$6:$BQ$85,(卡牌属性!$DW542-2)*20+卡牌属性!$DX542)</f>
        <v>1500</v>
      </c>
      <c r="FI542" s="14">
        <f>INDEX(属性投放!$BQ$6:$BQ$85,(卡牌属性!$DW542-2)*20+卡牌属性!$DX542)</f>
        <v>1500</v>
      </c>
      <c r="FJ542" s="14">
        <f>INDEX(属性投放!$BQ$6:$BQ$85,(卡牌属性!$DW542-2)*20+卡牌属性!$DX542)</f>
        <v>1500</v>
      </c>
      <c r="FK542" s="14">
        <f>INDEX(属性投放!$BQ$6:$BQ$85,(卡牌属性!$DW542-2)*20+卡牌属性!$DX542)</f>
        <v>1500</v>
      </c>
      <c r="FL542" s="14">
        <f>INDEX(属性投放!$BQ$6:$BQ$85,(卡牌属性!$DW542-2)*20+卡牌属性!$DX542)</f>
        <v>1500</v>
      </c>
      <c r="FM542" s="14">
        <f>INDEX(属性投放!$BR$6:$BR$85,(卡牌属性!$DW542-2)*20+卡牌属性!$DX542)</f>
        <v>750</v>
      </c>
      <c r="FN542" s="14">
        <f>INDEX(属性投放!$BR$6:$BR$85,(卡牌属性!$DW542-2)*20+卡牌属性!$DX542)</f>
        <v>750</v>
      </c>
      <c r="FO542" s="14">
        <f>INDEX(属性投放!$BR$6:$BR$85,(卡牌属性!$DW542-2)*20+卡牌属性!$DX542)</f>
        <v>750</v>
      </c>
      <c r="FP542" s="14">
        <f>INDEX(属性投放!$BR$6:$BR$85,(卡牌属性!$DW542-2)*20+卡牌属性!$DX542)</f>
        <v>750</v>
      </c>
      <c r="FQ542" s="14">
        <f>INDEX(属性投放!$BR$6:$BR$85,(卡牌属性!$DW542-2)*20+卡牌属性!$DX542)</f>
        <v>750</v>
      </c>
      <c r="FR542" s="14">
        <f>INDEX(属性投放!$BS$6:$BS$85,(卡牌属性!$DW542-2)*20+卡牌属性!$DX542)</f>
        <v>15000</v>
      </c>
      <c r="FS542" s="14">
        <f>INDEX(属性投放!$BS$6:$BS$85,(卡牌属性!$DW542-2)*20+卡牌属性!$DX542)</f>
        <v>15000</v>
      </c>
      <c r="FT542" s="14">
        <f>INDEX(属性投放!$BS$6:$BS$85,(卡牌属性!$DW542-2)*20+卡牌属性!$DX542)</f>
        <v>15000</v>
      </c>
      <c r="FU542" s="14">
        <f>INDEX(属性投放!$BS$6:$BS$85,(卡牌属性!$DW542-2)*20+卡牌属性!$DX542)</f>
        <v>15000</v>
      </c>
      <c r="FV542" s="14">
        <f>INDEX(属性投放!$BS$6:$BS$85,(卡牌属性!$DW542-2)*20+卡牌属性!$DX542)</f>
        <v>15000</v>
      </c>
    </row>
    <row r="543" spans="31:178" ht="16.5" x14ac:dyDescent="0.2">
      <c r="AE543" s="13">
        <v>539</v>
      </c>
      <c r="AF543" s="13">
        <f t="shared" si="928"/>
        <v>27</v>
      </c>
      <c r="AG543" s="13">
        <f t="shared" si="929"/>
        <v>5</v>
      </c>
      <c r="AH543" s="13"/>
      <c r="AI543" s="13"/>
      <c r="AJ543" s="14">
        <f t="shared" si="930"/>
        <v>1101996</v>
      </c>
      <c r="AK543" s="14" t="str">
        <f t="shared" si="931"/>
        <v>UR寄灵人19突</v>
      </c>
      <c r="AL543" s="25" t="s">
        <v>142</v>
      </c>
      <c r="AM543" s="14">
        <v>1</v>
      </c>
      <c r="AN543" s="14">
        <f t="shared" si="965"/>
        <v>19</v>
      </c>
      <c r="AO543" s="14">
        <f>INDEX(属性投放!$DF$6:$DF$85,(卡牌属性!AG543-2)*20+卡牌属性!AN543)</f>
        <v>24049</v>
      </c>
      <c r="AP543" s="14">
        <f t="shared" si="954"/>
        <v>24049</v>
      </c>
      <c r="AQ543" s="14">
        <f t="shared" si="954"/>
        <v>24049</v>
      </c>
      <c r="AR543" s="14">
        <f t="shared" si="954"/>
        <v>24049</v>
      </c>
      <c r="AS543" s="14">
        <f t="shared" si="954"/>
        <v>24049</v>
      </c>
      <c r="AT543" s="14">
        <f>INDEX(属性投放!$DG$6:$DG$85,(卡牌属性!AG543-2)*20+卡牌属性!AN543)</f>
        <v>11948</v>
      </c>
      <c r="AU543" s="14">
        <f t="shared" si="955"/>
        <v>11948</v>
      </c>
      <c r="AV543" s="14">
        <f t="shared" si="955"/>
        <v>11948</v>
      </c>
      <c r="AW543" s="14">
        <f t="shared" si="955"/>
        <v>11948</v>
      </c>
      <c r="AX543" s="14">
        <f t="shared" si="955"/>
        <v>11948</v>
      </c>
      <c r="AY543" s="14">
        <f>INDEX(属性投放!$DH$6:$DH$85,(卡牌属性!AG543-2)*20+卡牌属性!AN543)</f>
        <v>226378</v>
      </c>
      <c r="AZ543" s="14">
        <f t="shared" si="956"/>
        <v>226378</v>
      </c>
      <c r="BA543" s="14">
        <f t="shared" si="956"/>
        <v>226378</v>
      </c>
      <c r="BB543" s="14">
        <f t="shared" si="956"/>
        <v>226378</v>
      </c>
      <c r="BC543" s="14">
        <f t="shared" si="956"/>
        <v>226378</v>
      </c>
      <c r="BD543" s="14">
        <f>INDEX(属性投放!$DL$6:$DL$85,(卡牌属性!AG543-2)*20+卡牌属性!AN543)</f>
        <v>516</v>
      </c>
      <c r="BE543" s="14">
        <f t="shared" si="957"/>
        <v>516</v>
      </c>
      <c r="BF543" s="14">
        <f t="shared" si="957"/>
        <v>516</v>
      </c>
      <c r="BG543" s="14">
        <f t="shared" si="957"/>
        <v>516</v>
      </c>
      <c r="BH543" s="14">
        <f t="shared" si="957"/>
        <v>516</v>
      </c>
      <c r="BI543" s="14">
        <f>INDEX(属性投放!$DM$6:$DM$85,(卡牌属性!AG543-2)*20+卡牌属性!AN543)</f>
        <v>258</v>
      </c>
      <c r="BJ543" s="14">
        <f t="shared" si="958"/>
        <v>258</v>
      </c>
      <c r="BK543" s="14">
        <f t="shared" si="958"/>
        <v>258</v>
      </c>
      <c r="BL543" s="14">
        <f t="shared" si="958"/>
        <v>258</v>
      </c>
      <c r="BM543" s="14">
        <f t="shared" si="958"/>
        <v>258</v>
      </c>
      <c r="BN543" s="14">
        <f>INDEX(属性投放!$DN$6:$DN$85,(卡牌属性!AG543-2)*20+卡牌属性!AN543)</f>
        <v>5157</v>
      </c>
      <c r="BO543" s="14">
        <f t="shared" si="959"/>
        <v>5157</v>
      </c>
      <c r="BP543" s="14">
        <f t="shared" si="959"/>
        <v>5157</v>
      </c>
      <c r="BQ543" s="14">
        <f t="shared" si="959"/>
        <v>5157</v>
      </c>
      <c r="BR543" s="14">
        <f t="shared" si="959"/>
        <v>5157</v>
      </c>
      <c r="BW543" s="13">
        <v>539</v>
      </c>
      <c r="BX543" s="13">
        <f t="shared" si="915"/>
        <v>27</v>
      </c>
      <c r="BY543" s="14">
        <f t="shared" si="916"/>
        <v>3</v>
      </c>
      <c r="BZ543" s="14">
        <f t="shared" si="919"/>
        <v>1102030</v>
      </c>
      <c r="CA543" s="14" t="str">
        <f t="shared" si="920"/>
        <v>燕青19突</v>
      </c>
      <c r="CB543" s="25" t="s">
        <v>142</v>
      </c>
      <c r="CC543" s="14">
        <v>2</v>
      </c>
      <c r="CD543" s="14">
        <f t="shared" si="917"/>
        <v>19</v>
      </c>
      <c r="CE543" s="14" t="s">
        <v>21</v>
      </c>
      <c r="CF543" s="14">
        <f>INDEX(属性投放!$AZ$6:$AZ$85,(BY543-2)*20+CD543)</f>
        <v>19726</v>
      </c>
      <c r="CG543" s="14" t="s">
        <v>22</v>
      </c>
      <c r="CH543" s="14">
        <f>INDEX(属性投放!$BA$6:$BA$85,(BY543-2)*20+CD543)</f>
        <v>9824</v>
      </c>
      <c r="CI543" s="14" t="s">
        <v>510</v>
      </c>
      <c r="CJ543" s="14">
        <f>INDEX(属性投放!$BB$6:$BB$85,(BY543-2)*20+CD543)</f>
        <v>186440</v>
      </c>
      <c r="CK543" s="14" t="s">
        <v>21</v>
      </c>
      <c r="CL543" s="14">
        <f>INDEX(属性投放!$BC$6:$BC$85,(BY543-2)*20+CD543)</f>
        <v>40</v>
      </c>
      <c r="CM543" s="14" t="s">
        <v>22</v>
      </c>
      <c r="CN543" s="14">
        <f>INDEX(属性投放!$BD$6:$BD$85,(BY543-2)*20+CD543)</f>
        <v>20</v>
      </c>
      <c r="CO543" s="14" t="s">
        <v>510</v>
      </c>
      <c r="CP543" s="14">
        <f>INDEX(属性投放!$BE$6:$BE$85,(BY543-2)*20+CD543)</f>
        <v>400</v>
      </c>
      <c r="CS543" s="13">
        <v>539</v>
      </c>
      <c r="CT543" s="13">
        <f t="shared" si="921"/>
        <v>11</v>
      </c>
      <c r="CU543" s="13">
        <f t="shared" si="922"/>
        <v>19</v>
      </c>
      <c r="CV543" s="14">
        <f t="shared" si="923"/>
        <v>4</v>
      </c>
      <c r="CW543" s="14">
        <f t="shared" si="924"/>
        <v>1102011</v>
      </c>
      <c r="CX543" s="14" t="str">
        <f>INDEX($O$6:$O$50,CT543)&amp;"-"&amp;INDEX(属性投放!$AB$7:$AB$50,CZ543)&amp;"-魂火-"&amp;DB543</f>
        <v>张飞-大叫唤-魂火-1</v>
      </c>
      <c r="CY543" s="25" t="s">
        <v>142</v>
      </c>
      <c r="CZ543" s="14">
        <f>INDEX(属性投放!$AM$7:$AM$58,CU543)</f>
        <v>10</v>
      </c>
      <c r="DA543" s="14" t="s">
        <v>537</v>
      </c>
      <c r="DB543" s="14">
        <f>INDEX(属性投放!$AN$7:$AN$58,CU543)</f>
        <v>1</v>
      </c>
      <c r="DC543" s="14">
        <f t="shared" si="918"/>
        <v>19</v>
      </c>
      <c r="DD543" s="14">
        <f>INDEX(属性投放!$AO$7:$AO$58,DC543)</f>
        <v>65</v>
      </c>
      <c r="DE543" s="14" t="s">
        <v>538</v>
      </c>
      <c r="DF543" s="14">
        <f>INDEX(属性投放!$BK$6:$BK$85,(CV543-2)*20+CZ543)</f>
        <v>130</v>
      </c>
      <c r="DG543" s="14">
        <f>SUMIFS(DF$5:DF543,$CT$5:$CT543,"="&amp;$CT543)</f>
        <v>1310</v>
      </c>
      <c r="DH543" s="14" t="s">
        <v>539</v>
      </c>
      <c r="DI543" s="14">
        <f>INDEX(属性投放!$BL$6:$BL$85,(CV543-2)*20+CZ543)</f>
        <v>65</v>
      </c>
      <c r="DJ543" s="14">
        <f>SUMIFS(DI$5:DI543,$CT$5:$CT543,"="&amp;$CT543)</f>
        <v>660</v>
      </c>
      <c r="DK543" s="14" t="s">
        <v>540</v>
      </c>
      <c r="DL543" s="14">
        <f>INDEX(属性投放!$BM$6:$BM$85,(CV543-2)*20+CZ543)</f>
        <v>1170</v>
      </c>
      <c r="DM543" s="14">
        <f>SUMIFS(DL$5:DL543,$CT$5:$CT543,"="&amp;$CT543)</f>
        <v>9980</v>
      </c>
      <c r="DR543" s="14">
        <f t="shared" si="960"/>
        <v>1102030</v>
      </c>
      <c r="DS543" s="14" t="str">
        <f t="shared" si="961"/>
        <v>燕青19突</v>
      </c>
      <c r="DT543" s="14">
        <f t="shared" si="925"/>
        <v>6</v>
      </c>
      <c r="DU543" s="14">
        <f t="shared" si="926"/>
        <v>6</v>
      </c>
      <c r="DV543" s="14">
        <f t="shared" si="927"/>
        <v>5</v>
      </c>
      <c r="DW543" s="14">
        <f t="shared" si="962"/>
        <v>3</v>
      </c>
      <c r="DX543" s="14">
        <f t="shared" si="963"/>
        <v>19</v>
      </c>
      <c r="DY543" s="14">
        <f t="shared" si="964"/>
        <v>39</v>
      </c>
      <c r="DZ543" s="14">
        <f>INDEX(属性投放!$AX$6:$AX$85,(卡牌属性!DW543-2)*20+卡牌属性!DX543)</f>
        <v>8</v>
      </c>
      <c r="EA543" s="14">
        <f>INDEX(属性投放!BQ$6:BQ$85,卡牌属性!$DY543)</f>
        <v>1500</v>
      </c>
      <c r="EB543" s="14">
        <f>INDEX(属性投放!BR$6:BR$85,卡牌属性!$DY543)</f>
        <v>750</v>
      </c>
      <c r="EC543" s="14">
        <f>INDEX(属性投放!BS$6:BS$85,卡牌属性!$DY543)</f>
        <v>15000</v>
      </c>
      <c r="ED543" s="14">
        <f t="shared" si="939"/>
        <v>9324</v>
      </c>
      <c r="EE543" s="14">
        <f t="shared" si="940"/>
        <v>10583</v>
      </c>
      <c r="EF543" s="14">
        <f t="shared" si="941"/>
        <v>11220</v>
      </c>
      <c r="EG543" s="14">
        <f t="shared" si="942"/>
        <v>11220</v>
      </c>
      <c r="EH543" s="14">
        <f t="shared" si="943"/>
        <v>11995</v>
      </c>
      <c r="EI543" s="14">
        <f t="shared" si="944"/>
        <v>4650</v>
      </c>
      <c r="EJ543" s="14">
        <f t="shared" si="945"/>
        <v>5263</v>
      </c>
      <c r="EK543" s="14">
        <f t="shared" si="946"/>
        <v>5263</v>
      </c>
      <c r="EL543" s="14">
        <f t="shared" si="947"/>
        <v>5597</v>
      </c>
      <c r="EM543" s="14">
        <f t="shared" si="948"/>
        <v>5974</v>
      </c>
      <c r="EN543" s="14">
        <f t="shared" si="949"/>
        <v>83700</v>
      </c>
      <c r="EO543" s="14">
        <f t="shared" si="950"/>
        <v>85964</v>
      </c>
      <c r="EP543" s="14">
        <f t="shared" si="951"/>
        <v>85964</v>
      </c>
      <c r="EQ543" s="14">
        <f t="shared" si="952"/>
        <v>97198</v>
      </c>
      <c r="ER543" s="14">
        <f t="shared" si="953"/>
        <v>102742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INDEX(属性投放!$BQ$6:$BQ$85,(卡牌属性!$DW543-2)*20+卡牌属性!$DX543)</f>
        <v>1500</v>
      </c>
      <c r="FI543" s="14">
        <f>INDEX(属性投放!$BQ$6:$BQ$85,(卡牌属性!$DW543-2)*20+卡牌属性!$DX543)</f>
        <v>1500</v>
      </c>
      <c r="FJ543" s="14">
        <f>INDEX(属性投放!$BQ$6:$BQ$85,(卡牌属性!$DW543-2)*20+卡牌属性!$DX543)</f>
        <v>1500</v>
      </c>
      <c r="FK543" s="14">
        <f>INDEX(属性投放!$BQ$6:$BQ$85,(卡牌属性!$DW543-2)*20+卡牌属性!$DX543)</f>
        <v>1500</v>
      </c>
      <c r="FL543" s="14">
        <f>INDEX(属性投放!$BQ$6:$BQ$85,(卡牌属性!$DW543-2)*20+卡牌属性!$DX543)</f>
        <v>1500</v>
      </c>
      <c r="FM543" s="14">
        <f>INDEX(属性投放!$BR$6:$BR$85,(卡牌属性!$DW543-2)*20+卡牌属性!$DX543)</f>
        <v>750</v>
      </c>
      <c r="FN543" s="14">
        <f>INDEX(属性投放!$BR$6:$BR$85,(卡牌属性!$DW543-2)*20+卡牌属性!$DX543)</f>
        <v>750</v>
      </c>
      <c r="FO543" s="14">
        <f>INDEX(属性投放!$BR$6:$BR$85,(卡牌属性!$DW543-2)*20+卡牌属性!$DX543)</f>
        <v>750</v>
      </c>
      <c r="FP543" s="14">
        <f>INDEX(属性投放!$BR$6:$BR$85,(卡牌属性!$DW543-2)*20+卡牌属性!$DX543)</f>
        <v>750</v>
      </c>
      <c r="FQ543" s="14">
        <f>INDEX(属性投放!$BR$6:$BR$85,(卡牌属性!$DW543-2)*20+卡牌属性!$DX543)</f>
        <v>750</v>
      </c>
      <c r="FR543" s="14">
        <f>INDEX(属性投放!$BS$6:$BS$85,(卡牌属性!$DW543-2)*20+卡牌属性!$DX543)</f>
        <v>15000</v>
      </c>
      <c r="FS543" s="14">
        <f>INDEX(属性投放!$BS$6:$BS$85,(卡牌属性!$DW543-2)*20+卡牌属性!$DX543)</f>
        <v>15000</v>
      </c>
      <c r="FT543" s="14">
        <f>INDEX(属性投放!$BS$6:$BS$85,(卡牌属性!$DW543-2)*20+卡牌属性!$DX543)</f>
        <v>15000</v>
      </c>
      <c r="FU543" s="14">
        <f>INDEX(属性投放!$BS$6:$BS$85,(卡牌属性!$DW543-2)*20+卡牌属性!$DX543)</f>
        <v>15000</v>
      </c>
      <c r="FV543" s="14">
        <f>INDEX(属性投放!$BS$6:$BS$85,(卡牌属性!$DW543-2)*20+卡牌属性!$DX543)</f>
        <v>15000</v>
      </c>
    </row>
    <row r="544" spans="31:178" ht="16.5" x14ac:dyDescent="0.2">
      <c r="AE544" s="13">
        <v>540</v>
      </c>
      <c r="AF544" s="13">
        <f t="shared" si="928"/>
        <v>27</v>
      </c>
      <c r="AG544" s="13">
        <f t="shared" si="929"/>
        <v>5</v>
      </c>
      <c r="AH544" s="13"/>
      <c r="AI544" s="13"/>
      <c r="AJ544" s="14">
        <f t="shared" si="930"/>
        <v>1101996</v>
      </c>
      <c r="AK544" s="14" t="str">
        <f t="shared" si="931"/>
        <v>UR寄灵人20突</v>
      </c>
      <c r="AL544" s="25" t="s">
        <v>142</v>
      </c>
      <c r="AM544" s="14">
        <v>1</v>
      </c>
      <c r="AN544" s="14">
        <f t="shared" si="965"/>
        <v>20</v>
      </c>
      <c r="AO544" s="14">
        <f>INDEX(属性投放!$DF$6:$DF$85,(卡牌属性!AG544-2)*20+卡牌属性!AN544)</f>
        <v>25154</v>
      </c>
      <c r="AP544" s="14">
        <f t="shared" si="954"/>
        <v>25154</v>
      </c>
      <c r="AQ544" s="14">
        <f t="shared" si="954"/>
        <v>25154</v>
      </c>
      <c r="AR544" s="14">
        <f t="shared" si="954"/>
        <v>25154</v>
      </c>
      <c r="AS544" s="14">
        <f t="shared" si="954"/>
        <v>25154</v>
      </c>
      <c r="AT544" s="14">
        <f>INDEX(属性投放!$DG$6:$DG$85,(卡牌属性!AG544-2)*20+卡牌属性!AN544)</f>
        <v>12501</v>
      </c>
      <c r="AU544" s="14">
        <f t="shared" si="955"/>
        <v>12501</v>
      </c>
      <c r="AV544" s="14">
        <f t="shared" si="955"/>
        <v>12501</v>
      </c>
      <c r="AW544" s="14">
        <f t="shared" si="955"/>
        <v>12501</v>
      </c>
      <c r="AX544" s="14">
        <f t="shared" si="955"/>
        <v>12501</v>
      </c>
      <c r="AY544" s="14">
        <f>INDEX(属性投放!$DH$6:$DH$85,(卡牌属性!AG544-2)*20+卡牌属性!AN544)</f>
        <v>237428</v>
      </c>
      <c r="AZ544" s="14">
        <f t="shared" si="956"/>
        <v>237428</v>
      </c>
      <c r="BA544" s="14">
        <f t="shared" si="956"/>
        <v>237428</v>
      </c>
      <c r="BB544" s="14">
        <f t="shared" si="956"/>
        <v>237428</v>
      </c>
      <c r="BC544" s="14">
        <f t="shared" si="956"/>
        <v>237428</v>
      </c>
      <c r="BD544" s="14">
        <f>INDEX(属性投放!$DL$6:$DL$85,(卡牌属性!AG544-2)*20+卡牌属性!AN544)</f>
        <v>516</v>
      </c>
      <c r="BE544" s="14">
        <f t="shared" si="957"/>
        <v>516</v>
      </c>
      <c r="BF544" s="14">
        <f t="shared" si="957"/>
        <v>516</v>
      </c>
      <c r="BG544" s="14">
        <f t="shared" si="957"/>
        <v>516</v>
      </c>
      <c r="BH544" s="14">
        <f t="shared" si="957"/>
        <v>516</v>
      </c>
      <c r="BI544" s="14">
        <f>INDEX(属性投放!$DM$6:$DM$85,(卡牌属性!AG544-2)*20+卡牌属性!AN544)</f>
        <v>258</v>
      </c>
      <c r="BJ544" s="14">
        <f t="shared" si="958"/>
        <v>258</v>
      </c>
      <c r="BK544" s="14">
        <f t="shared" si="958"/>
        <v>258</v>
      </c>
      <c r="BL544" s="14">
        <f t="shared" si="958"/>
        <v>258</v>
      </c>
      <c r="BM544" s="14">
        <f t="shared" si="958"/>
        <v>258</v>
      </c>
      <c r="BN544" s="14">
        <f>INDEX(属性投放!$DN$6:$DN$85,(卡牌属性!AG544-2)*20+卡牌属性!AN544)</f>
        <v>5157</v>
      </c>
      <c r="BO544" s="14">
        <f t="shared" si="959"/>
        <v>5157</v>
      </c>
      <c r="BP544" s="14">
        <f t="shared" si="959"/>
        <v>5157</v>
      </c>
      <c r="BQ544" s="14">
        <f t="shared" si="959"/>
        <v>5157</v>
      </c>
      <c r="BR544" s="14">
        <f t="shared" si="959"/>
        <v>5157</v>
      </c>
      <c r="BW544" s="13">
        <v>540</v>
      </c>
      <c r="BX544" s="13">
        <f t="shared" si="915"/>
        <v>27</v>
      </c>
      <c r="BY544" s="14">
        <f t="shared" si="916"/>
        <v>3</v>
      </c>
      <c r="BZ544" s="14">
        <f t="shared" si="919"/>
        <v>1102030</v>
      </c>
      <c r="CA544" s="14" t="str">
        <f t="shared" si="920"/>
        <v>燕青20突</v>
      </c>
      <c r="CB544" s="25" t="s">
        <v>142</v>
      </c>
      <c r="CC544" s="14">
        <v>2</v>
      </c>
      <c r="CD544" s="14">
        <f t="shared" si="917"/>
        <v>20</v>
      </c>
      <c r="CE544" s="14" t="s">
        <v>21</v>
      </c>
      <c r="CF544" s="14">
        <f>INDEX(属性投放!$AZ$6:$AZ$85,(BY544-2)*20+CD544)</f>
        <v>24246</v>
      </c>
      <c r="CG544" s="14" t="s">
        <v>22</v>
      </c>
      <c r="CH544" s="14">
        <f>INDEX(属性投放!$BA$6:$BA$85,(BY544-2)*20+CD544)</f>
        <v>12084</v>
      </c>
      <c r="CI544" s="14" t="s">
        <v>510</v>
      </c>
      <c r="CJ544" s="14">
        <f>INDEX(属性投放!$BB$6:$BB$85,(BY544-2)*20+CD544)</f>
        <v>231640</v>
      </c>
      <c r="CK544" s="14" t="s">
        <v>21</v>
      </c>
      <c r="CL544" s="14">
        <f>INDEX(属性投放!$BC$6:$BC$85,(BY544-2)*20+CD544)</f>
        <v>40</v>
      </c>
      <c r="CM544" s="14" t="s">
        <v>22</v>
      </c>
      <c r="CN544" s="14">
        <f>INDEX(属性投放!$BD$6:$BD$85,(BY544-2)*20+CD544)</f>
        <v>20</v>
      </c>
      <c r="CO544" s="14" t="s">
        <v>510</v>
      </c>
      <c r="CP544" s="14">
        <f>INDEX(属性投放!$BE$6:$BE$85,(BY544-2)*20+CD544)</f>
        <v>400</v>
      </c>
      <c r="CS544" s="13">
        <v>540</v>
      </c>
      <c r="CT544" s="13">
        <f t="shared" si="921"/>
        <v>11</v>
      </c>
      <c r="CU544" s="13">
        <f t="shared" si="922"/>
        <v>20</v>
      </c>
      <c r="CV544" s="14">
        <f t="shared" si="923"/>
        <v>4</v>
      </c>
      <c r="CW544" s="14">
        <f t="shared" si="924"/>
        <v>1102011</v>
      </c>
      <c r="CX544" s="14" t="str">
        <f>INDEX($O$6:$O$50,CT544)&amp;"-"&amp;INDEX(属性投放!$AB$7:$AB$50,CZ544)&amp;"-魂火-"&amp;DB544</f>
        <v>张飞-大叫唤-魂火-2</v>
      </c>
      <c r="CY544" s="25" t="s">
        <v>142</v>
      </c>
      <c r="CZ544" s="14">
        <f>INDEX(属性投放!$AM$7:$AM$58,CU544)</f>
        <v>10</v>
      </c>
      <c r="DA544" s="14" t="s">
        <v>537</v>
      </c>
      <c r="DB544" s="14">
        <f>INDEX(属性投放!$AN$7:$AN$58,CU544)</f>
        <v>2</v>
      </c>
      <c r="DC544" s="14">
        <f t="shared" si="918"/>
        <v>20</v>
      </c>
      <c r="DD544" s="14">
        <f>INDEX(属性投放!$AO$7:$AO$58,DC544)</f>
        <v>68</v>
      </c>
      <c r="DE544" s="14" t="s">
        <v>538</v>
      </c>
      <c r="DF544" s="14">
        <f>INDEX(属性投放!$BK$6:$BK$85,(CV544-2)*20+CZ544)</f>
        <v>130</v>
      </c>
      <c r="DG544" s="14">
        <f>SUMIFS(DF$5:DF544,$CT$5:$CT544,"="&amp;$CT544)</f>
        <v>1440</v>
      </c>
      <c r="DH544" s="14" t="s">
        <v>539</v>
      </c>
      <c r="DI544" s="14">
        <f>INDEX(属性投放!$BL$6:$BL$85,(CV544-2)*20+CZ544)</f>
        <v>65</v>
      </c>
      <c r="DJ544" s="14">
        <f>SUMIFS(DI$5:DI544,$CT$5:$CT544,"="&amp;$CT544)</f>
        <v>725</v>
      </c>
      <c r="DK544" s="14" t="s">
        <v>540</v>
      </c>
      <c r="DL544" s="14">
        <f>INDEX(属性投放!$BM$6:$BM$85,(CV544-2)*20+CZ544)</f>
        <v>1170</v>
      </c>
      <c r="DM544" s="14">
        <f>SUMIFS(DL$5:DL544,$CT$5:$CT544,"="&amp;$CT544)</f>
        <v>11150</v>
      </c>
      <c r="DR544" s="14">
        <f t="shared" si="960"/>
        <v>1102030</v>
      </c>
      <c r="DS544" s="14" t="str">
        <f t="shared" si="961"/>
        <v>燕青20突</v>
      </c>
      <c r="DT544" s="14">
        <f t="shared" si="925"/>
        <v>6</v>
      </c>
      <c r="DU544" s="14">
        <f t="shared" si="926"/>
        <v>6</v>
      </c>
      <c r="DV544" s="14">
        <f t="shared" si="927"/>
        <v>5</v>
      </c>
      <c r="DW544" s="14">
        <f t="shared" si="962"/>
        <v>3</v>
      </c>
      <c r="DX544" s="14">
        <f t="shared" si="963"/>
        <v>20</v>
      </c>
      <c r="DY544" s="14">
        <f t="shared" si="964"/>
        <v>40</v>
      </c>
      <c r="DZ544" s="14">
        <f>INDEX(属性投放!$AX$6:$AX$85,(卡牌属性!DW544-2)*20+卡牌属性!DX544)</f>
        <v>10</v>
      </c>
      <c r="EA544" s="14">
        <f>INDEX(属性投放!BQ$6:BQ$85,卡牌属性!$DY544)</f>
        <v>1500</v>
      </c>
      <c r="EB544" s="14">
        <f>INDEX(属性投放!BR$6:BR$85,卡牌属性!$DY544)</f>
        <v>750</v>
      </c>
      <c r="EC544" s="14">
        <f>INDEX(属性投放!BS$6:BS$85,卡牌属性!$DY544)</f>
        <v>15000</v>
      </c>
      <c r="ED544" s="14">
        <f t="shared" si="939"/>
        <v>11184</v>
      </c>
      <c r="EE544" s="14">
        <f t="shared" si="940"/>
        <v>12683</v>
      </c>
      <c r="EF544" s="14">
        <f t="shared" si="941"/>
        <v>13360</v>
      </c>
      <c r="EG544" s="14">
        <f t="shared" si="942"/>
        <v>13360</v>
      </c>
      <c r="EH544" s="14">
        <f t="shared" si="943"/>
        <v>14295</v>
      </c>
      <c r="EI544" s="14">
        <f t="shared" si="944"/>
        <v>5584</v>
      </c>
      <c r="EJ544" s="14">
        <f t="shared" si="945"/>
        <v>6317</v>
      </c>
      <c r="EK544" s="14">
        <f t="shared" si="946"/>
        <v>6317</v>
      </c>
      <c r="EL544" s="14">
        <f t="shared" si="947"/>
        <v>6667</v>
      </c>
      <c r="EM544" s="14">
        <f t="shared" si="948"/>
        <v>7124</v>
      </c>
      <c r="EN544" s="14">
        <f t="shared" si="949"/>
        <v>101900</v>
      </c>
      <c r="EO544" s="14">
        <f t="shared" si="950"/>
        <v>104564</v>
      </c>
      <c r="EP544" s="14">
        <f t="shared" si="951"/>
        <v>104564</v>
      </c>
      <c r="EQ544" s="14">
        <f t="shared" si="952"/>
        <v>118198</v>
      </c>
      <c r="ER544" s="14">
        <f t="shared" si="953"/>
        <v>124142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INDEX(属性投放!$BQ$6:$BQ$85,(卡牌属性!$DW544-2)*20+卡牌属性!$DX544)</f>
        <v>1500</v>
      </c>
      <c r="FI544" s="14">
        <f>INDEX(属性投放!$BQ$6:$BQ$85,(卡牌属性!$DW544-2)*20+卡牌属性!$DX544)</f>
        <v>1500</v>
      </c>
      <c r="FJ544" s="14">
        <f>INDEX(属性投放!$BQ$6:$BQ$85,(卡牌属性!$DW544-2)*20+卡牌属性!$DX544)</f>
        <v>1500</v>
      </c>
      <c r="FK544" s="14">
        <f>INDEX(属性投放!$BQ$6:$BQ$85,(卡牌属性!$DW544-2)*20+卡牌属性!$DX544)</f>
        <v>1500</v>
      </c>
      <c r="FL544" s="14">
        <f>INDEX(属性投放!$BQ$6:$BQ$85,(卡牌属性!$DW544-2)*20+卡牌属性!$DX544)</f>
        <v>1500</v>
      </c>
      <c r="FM544" s="14">
        <f>INDEX(属性投放!$BR$6:$BR$85,(卡牌属性!$DW544-2)*20+卡牌属性!$DX544)</f>
        <v>750</v>
      </c>
      <c r="FN544" s="14">
        <f>INDEX(属性投放!$BR$6:$BR$85,(卡牌属性!$DW544-2)*20+卡牌属性!$DX544)</f>
        <v>750</v>
      </c>
      <c r="FO544" s="14">
        <f>INDEX(属性投放!$BR$6:$BR$85,(卡牌属性!$DW544-2)*20+卡牌属性!$DX544)</f>
        <v>750</v>
      </c>
      <c r="FP544" s="14">
        <f>INDEX(属性投放!$BR$6:$BR$85,(卡牌属性!$DW544-2)*20+卡牌属性!$DX544)</f>
        <v>750</v>
      </c>
      <c r="FQ544" s="14">
        <f>INDEX(属性投放!$BR$6:$BR$85,(卡牌属性!$DW544-2)*20+卡牌属性!$DX544)</f>
        <v>750</v>
      </c>
      <c r="FR544" s="14">
        <f>INDEX(属性投放!$BS$6:$BS$85,(卡牌属性!$DW544-2)*20+卡牌属性!$DX544)</f>
        <v>15000</v>
      </c>
      <c r="FS544" s="14">
        <f>INDEX(属性投放!$BS$6:$BS$85,(卡牌属性!$DW544-2)*20+卡牌属性!$DX544)</f>
        <v>15000</v>
      </c>
      <c r="FT544" s="14">
        <f>INDEX(属性投放!$BS$6:$BS$85,(卡牌属性!$DW544-2)*20+卡牌属性!$DX544)</f>
        <v>15000</v>
      </c>
      <c r="FU544" s="14">
        <f>INDEX(属性投放!$BS$6:$BS$85,(卡牌属性!$DW544-2)*20+卡牌属性!$DX544)</f>
        <v>15000</v>
      </c>
      <c r="FV544" s="14">
        <f>INDEX(属性投放!$BS$6:$BS$85,(卡牌属性!$DW544-2)*20+卡牌属性!$DX544)</f>
        <v>15000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15"/>
        <v>28</v>
      </c>
      <c r="BY545" s="14">
        <f t="shared" si="916"/>
        <v>4</v>
      </c>
      <c r="BZ545" s="14">
        <f t="shared" si="919"/>
        <v>1102031</v>
      </c>
      <c r="CA545" s="14" t="str">
        <f t="shared" si="920"/>
        <v>秦琼1突</v>
      </c>
      <c r="CB545" s="25" t="s">
        <v>142</v>
      </c>
      <c r="CC545" s="14">
        <v>2</v>
      </c>
      <c r="CD545" s="14">
        <f t="shared" si="917"/>
        <v>1</v>
      </c>
      <c r="CE545" s="14" t="s">
        <v>21</v>
      </c>
      <c r="CF545" s="14">
        <f>INDEX(属性投放!$AZ$6:$AZ$85,(BY545-2)*20+CD545)</f>
        <v>200</v>
      </c>
      <c r="CG545" s="14" t="s">
        <v>22</v>
      </c>
      <c r="CH545" s="14">
        <f>INDEX(属性投放!$BA$6:$BA$85,(BY545-2)*20+CD545)</f>
        <v>25</v>
      </c>
      <c r="CI545" s="14" t="s">
        <v>510</v>
      </c>
      <c r="CJ545" s="14">
        <f>INDEX(属性投放!$BB$6:$BB$85,(BY545-2)*20+CD545)</f>
        <v>800</v>
      </c>
      <c r="CK545" s="14" t="s">
        <v>21</v>
      </c>
      <c r="CL545" s="14">
        <f>INDEX(属性投放!$BC$6:$BC$85,(BY545-2)*20+CD545)</f>
        <v>12</v>
      </c>
      <c r="CM545" s="14" t="s">
        <v>22</v>
      </c>
      <c r="CN545" s="14">
        <f>INDEX(属性投放!$BD$6:$BD$85,(BY545-2)*20+CD545)</f>
        <v>6</v>
      </c>
      <c r="CO545" s="14" t="s">
        <v>510</v>
      </c>
      <c r="CP545" s="14">
        <f>INDEX(属性投放!$BE$6:$BE$85,(BY545-2)*20+CD545)</f>
        <v>72</v>
      </c>
      <c r="CS545" s="13">
        <v>541</v>
      </c>
      <c r="CT545" s="13">
        <f t="shared" si="921"/>
        <v>11</v>
      </c>
      <c r="CU545" s="13">
        <f t="shared" si="922"/>
        <v>21</v>
      </c>
      <c r="CV545" s="14">
        <f t="shared" si="923"/>
        <v>4</v>
      </c>
      <c r="CW545" s="14">
        <f t="shared" si="924"/>
        <v>1102011</v>
      </c>
      <c r="CX545" s="14" t="str">
        <f>INDEX($O$6:$O$50,CT545)&amp;"-"&amp;INDEX(属性投放!$AB$7:$AB$50,CZ545)&amp;"-魂火-"&amp;DB545</f>
        <v>张飞-大叫唤-魂火-3</v>
      </c>
      <c r="CY545" s="25" t="s">
        <v>142</v>
      </c>
      <c r="CZ545" s="14">
        <f>INDEX(属性投放!$AM$7:$AM$58,CU545)</f>
        <v>10</v>
      </c>
      <c r="DA545" s="14" t="s">
        <v>537</v>
      </c>
      <c r="DB545" s="14">
        <f>INDEX(属性投放!$AN$7:$AN$58,CU545)</f>
        <v>3</v>
      </c>
      <c r="DC545" s="14">
        <f t="shared" si="918"/>
        <v>21</v>
      </c>
      <c r="DD545" s="14">
        <f>INDEX(属性投放!$AO$7:$AO$58,DC545)</f>
        <v>70</v>
      </c>
      <c r="DE545" s="14" t="s">
        <v>538</v>
      </c>
      <c r="DF545" s="14">
        <f>INDEX(属性投放!$BK$6:$BK$85,(CV545-2)*20+CZ545)</f>
        <v>130</v>
      </c>
      <c r="DG545" s="14">
        <f>SUMIFS(DF$5:DF545,$CT$5:$CT545,"="&amp;$CT545)</f>
        <v>1570</v>
      </c>
      <c r="DH545" s="14" t="s">
        <v>539</v>
      </c>
      <c r="DI545" s="14">
        <f>INDEX(属性投放!$BL$6:$BL$85,(CV545-2)*20+CZ545)</f>
        <v>65</v>
      </c>
      <c r="DJ545" s="14">
        <f>SUMIFS(DI$5:DI545,$CT$5:$CT545,"="&amp;$CT545)</f>
        <v>790</v>
      </c>
      <c r="DK545" s="14" t="s">
        <v>540</v>
      </c>
      <c r="DL545" s="14">
        <f>INDEX(属性投放!$BM$6:$BM$85,(CV545-2)*20+CZ545)</f>
        <v>1170</v>
      </c>
      <c r="DM545" s="14">
        <f>SUMIFS(DL$5:DL545,$CT$5:$CT545,"="&amp;$CT545)</f>
        <v>12320</v>
      </c>
      <c r="DR545" s="14">
        <f t="shared" si="960"/>
        <v>1102031</v>
      </c>
      <c r="DS545" s="14" t="str">
        <f t="shared" si="961"/>
        <v>秦琼1突</v>
      </c>
      <c r="DT545" s="14">
        <f t="shared" si="925"/>
        <v>7</v>
      </c>
      <c r="DU545" s="14">
        <f t="shared" si="926"/>
        <v>7</v>
      </c>
      <c r="DV545" s="14">
        <f t="shared" si="927"/>
        <v>7</v>
      </c>
      <c r="DW545" s="14">
        <f t="shared" si="962"/>
        <v>4</v>
      </c>
      <c r="DX545" s="14">
        <f t="shared" si="963"/>
        <v>1</v>
      </c>
      <c r="DY545" s="14">
        <f t="shared" si="964"/>
        <v>41</v>
      </c>
      <c r="DZ545" s="14">
        <f>INDEX(属性投放!$AX$6:$AX$85,(卡牌属性!DW545-2)*20+卡牌属性!DX545)</f>
        <v>4</v>
      </c>
      <c r="EA545" s="14">
        <f>INDEX(属性投放!BQ$6:BQ$85,卡牌属性!$DY545)</f>
        <v>35</v>
      </c>
      <c r="EB545" s="14">
        <f>INDEX(属性投放!BR$6:BR$85,卡牌属性!$DY545)</f>
        <v>18</v>
      </c>
      <c r="EC545" s="14">
        <f>INDEX(属性投放!BS$6:BS$85,卡牌属性!$DY545)</f>
        <v>210</v>
      </c>
      <c r="ED545" s="14">
        <f>INDEX(属性偏向!$I$4:$I$15,卡牌属性!$DT545+ED$3)</f>
        <v>200</v>
      </c>
      <c r="EE545" s="14">
        <f>INDEX(属性偏向!$I$4:$I$15,卡牌属性!$DT545+EE$3)</f>
        <v>250</v>
      </c>
      <c r="EF545" s="14">
        <f>INDEX(属性偏向!$I$4:$I$15,卡牌属性!$DT545+EF$3)</f>
        <v>300</v>
      </c>
      <c r="EG545" s="14">
        <f>INDEX(属性偏向!$I$4:$I$15,卡牌属性!$DT545+EG$3)</f>
        <v>300</v>
      </c>
      <c r="EH545" s="14">
        <f>INDEX(属性偏向!$I$4:$I$15,卡牌属性!$DT545+EH$3)</f>
        <v>350</v>
      </c>
      <c r="EI545" s="14">
        <f>INDEX(属性偏向!$J$4:$J$15,卡牌属性!$DU545+EI$3)</f>
        <v>50</v>
      </c>
      <c r="EJ545" s="14">
        <f>INDEX(属性偏向!$J$4:$J$15,卡牌属性!$DU545+EJ$3)</f>
        <v>75</v>
      </c>
      <c r="EK545" s="14">
        <f>INDEX(属性偏向!$J$4:$J$15,卡牌属性!$DU545+EK$3)</f>
        <v>75</v>
      </c>
      <c r="EL545" s="14">
        <f>INDEX(属性偏向!$J$4:$J$15,卡牌属性!$DU545+EL$3)</f>
        <v>100</v>
      </c>
      <c r="EM545" s="14">
        <f>INDEX(属性偏向!$J$4:$J$15,卡牌属性!$DU545+EM$3)</f>
        <v>150</v>
      </c>
      <c r="EN545" s="14">
        <f>INDEX(属性偏向!$K$4:$K$15,卡牌属性!$DV545+EN$3)</f>
        <v>800</v>
      </c>
      <c r="EO545" s="14">
        <f>INDEX(属性偏向!$K$4:$K$15,卡牌属性!$DV545+EO$3)</f>
        <v>1000</v>
      </c>
      <c r="EP545" s="14">
        <f>INDEX(属性偏向!$K$4:$K$15,卡牌属性!$DV545+EP$3)</f>
        <v>1000</v>
      </c>
      <c r="EQ545" s="14">
        <f>INDEX(属性偏向!$K$4:$K$15,卡牌属性!$DV545+EQ$3)</f>
        <v>1200</v>
      </c>
      <c r="ER545" s="14">
        <f>INDEX(属性偏向!$K$4:$K$15,卡牌属性!$DV545+ER$3)</f>
        <v>1500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72</v>
      </c>
      <c r="FD545" s="14">
        <f>INDEX(属性偏向!$U$4:$U$243,(卡牌属性!$DV545-1+FD$3)*20+卡牌属性!$DX545)</f>
        <v>78</v>
      </c>
      <c r="FE545" s="14">
        <f>INDEX(属性偏向!$U$4:$U$243,(卡牌属性!$DV545-1+FE$3)*20+卡牌属性!$DX545)</f>
        <v>78</v>
      </c>
      <c r="FF545" s="14">
        <f>INDEX(属性偏向!$U$4:$U$243,(卡牌属性!$DV545-1+FF$3)*20+卡牌属性!$DX545)</f>
        <v>90</v>
      </c>
      <c r="FG545" s="14">
        <f>INDEX(属性偏向!$U$4:$U$243,(卡牌属性!$DV545-1+FG$3)*20+卡牌属性!$DX545)</f>
        <v>120</v>
      </c>
      <c r="FH545" s="14">
        <f>INDEX(属性投放!$BQ$6:$BQ$85,(卡牌属性!$DW545-2)*20+卡牌属性!$DX545)</f>
        <v>35</v>
      </c>
      <c r="FI545" s="14">
        <f>INDEX(属性投放!$BQ$6:$BQ$85,(卡牌属性!$DW545-2)*20+卡牌属性!$DX545)</f>
        <v>35</v>
      </c>
      <c r="FJ545" s="14">
        <f>INDEX(属性投放!$BQ$6:$BQ$85,(卡牌属性!$DW545-2)*20+卡牌属性!$DX545)</f>
        <v>35</v>
      </c>
      <c r="FK545" s="14">
        <f>INDEX(属性投放!$BQ$6:$BQ$85,(卡牌属性!$DW545-2)*20+卡牌属性!$DX545)</f>
        <v>35</v>
      </c>
      <c r="FL545" s="14">
        <f>INDEX(属性投放!$BQ$6:$BQ$85,(卡牌属性!$DW545-2)*20+卡牌属性!$DX545)</f>
        <v>35</v>
      </c>
      <c r="FM545" s="14">
        <f>INDEX(属性投放!$BR$6:$BR$85,(卡牌属性!$DW545-2)*20+卡牌属性!$DX545)</f>
        <v>18</v>
      </c>
      <c r="FN545" s="14">
        <f>INDEX(属性投放!$BR$6:$BR$85,(卡牌属性!$DW545-2)*20+卡牌属性!$DX545)</f>
        <v>18</v>
      </c>
      <c r="FO545" s="14">
        <f>INDEX(属性投放!$BR$6:$BR$85,(卡牌属性!$DW545-2)*20+卡牌属性!$DX545)</f>
        <v>18</v>
      </c>
      <c r="FP545" s="14">
        <f>INDEX(属性投放!$BR$6:$BR$85,(卡牌属性!$DW545-2)*20+卡牌属性!$DX545)</f>
        <v>18</v>
      </c>
      <c r="FQ545" s="14">
        <f>INDEX(属性投放!$BR$6:$BR$85,(卡牌属性!$DW545-2)*20+卡牌属性!$DX545)</f>
        <v>18</v>
      </c>
      <c r="FR545" s="14">
        <f>INDEX(属性投放!$BS$6:$BS$85,(卡牌属性!$DW545-2)*20+卡牌属性!$DX545)</f>
        <v>210</v>
      </c>
      <c r="FS545" s="14">
        <f>INDEX(属性投放!$BS$6:$BS$85,(卡牌属性!$DW545-2)*20+卡牌属性!$DX545)</f>
        <v>210</v>
      </c>
      <c r="FT545" s="14">
        <f>INDEX(属性投放!$BS$6:$BS$85,(卡牌属性!$DW545-2)*20+卡牌属性!$DX545)</f>
        <v>210</v>
      </c>
      <c r="FU545" s="14">
        <f>INDEX(属性投放!$BS$6:$BS$85,(卡牌属性!$DW545-2)*20+卡牌属性!$DX545)</f>
        <v>210</v>
      </c>
      <c r="FV545" s="14">
        <f>INDEX(属性投放!$BS$6:$BS$85,(卡牌属性!$DW545-2)*20+卡牌属性!$DX545)</f>
        <v>210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15"/>
        <v>28</v>
      </c>
      <c r="BY546" s="14">
        <f t="shared" si="916"/>
        <v>4</v>
      </c>
      <c r="BZ546" s="14">
        <f t="shared" si="919"/>
        <v>1102031</v>
      </c>
      <c r="CA546" s="14" t="str">
        <f t="shared" si="920"/>
        <v>秦琼2突</v>
      </c>
      <c r="CB546" s="25" t="s">
        <v>142</v>
      </c>
      <c r="CC546" s="14">
        <v>2</v>
      </c>
      <c r="CD546" s="14">
        <f t="shared" si="917"/>
        <v>2</v>
      </c>
      <c r="CE546" s="14" t="s">
        <v>21</v>
      </c>
      <c r="CF546" s="14">
        <f>INDEX(属性投放!$AZ$6:$AZ$85,(BY546-2)*20+CD546)</f>
        <v>308</v>
      </c>
      <c r="CG546" s="14" t="s">
        <v>22</v>
      </c>
      <c r="CH546" s="14">
        <f>INDEX(属性投放!$BA$6:$BA$85,(BY546-2)*20+CD546)</f>
        <v>80</v>
      </c>
      <c r="CI546" s="14" t="s">
        <v>510</v>
      </c>
      <c r="CJ546" s="14">
        <f>INDEX(属性投放!$BB$6:$BB$85,(BY546-2)*20+CD546)</f>
        <v>1448</v>
      </c>
      <c r="CK546" s="14" t="s">
        <v>21</v>
      </c>
      <c r="CL546" s="14">
        <f>INDEX(属性投放!$BC$6:$BC$85,(BY546-2)*20+CD546)</f>
        <v>15</v>
      </c>
      <c r="CM546" s="14" t="s">
        <v>22</v>
      </c>
      <c r="CN546" s="14">
        <f>INDEX(属性投放!$BD$6:$BD$85,(BY546-2)*20+CD546)</f>
        <v>8</v>
      </c>
      <c r="CO546" s="14" t="s">
        <v>510</v>
      </c>
      <c r="CP546" s="14">
        <f>INDEX(属性投放!$BE$6:$BE$85,(BY546-2)*20+CD546)</f>
        <v>90</v>
      </c>
      <c r="CS546" s="13">
        <v>542</v>
      </c>
      <c r="CT546" s="13">
        <f t="shared" si="921"/>
        <v>11</v>
      </c>
      <c r="CU546" s="13">
        <f t="shared" si="922"/>
        <v>22</v>
      </c>
      <c r="CV546" s="14">
        <f t="shared" si="923"/>
        <v>4</v>
      </c>
      <c r="CW546" s="14">
        <f t="shared" si="924"/>
        <v>1102011</v>
      </c>
      <c r="CX546" s="14" t="str">
        <f>INDEX($O$6:$O$50,CT546)&amp;"-"&amp;INDEX(属性投放!$AB$7:$AB$50,CZ546)&amp;"-魂火-"&amp;DB546</f>
        <v>张飞-大叫唤+1-魂火-1</v>
      </c>
      <c r="CY546" s="25" t="s">
        <v>142</v>
      </c>
      <c r="CZ546" s="14">
        <f>INDEX(属性投放!$AM$7:$AM$58,CU546)</f>
        <v>11</v>
      </c>
      <c r="DA546" s="14" t="s">
        <v>537</v>
      </c>
      <c r="DB546" s="14">
        <f>INDEX(属性投放!$AN$7:$AN$58,CU546)</f>
        <v>1</v>
      </c>
      <c r="DC546" s="14">
        <f t="shared" si="918"/>
        <v>22</v>
      </c>
      <c r="DD546" s="14">
        <f>INDEX(属性投放!$AO$7:$AO$58,DC546)</f>
        <v>73</v>
      </c>
      <c r="DE546" s="14" t="s">
        <v>538</v>
      </c>
      <c r="DF546" s="14">
        <f>INDEX(属性投放!$BK$6:$BK$85,(CV546-2)*20+CZ546)</f>
        <v>170</v>
      </c>
      <c r="DG546" s="14">
        <f>SUMIFS(DF$5:DF546,$CT$5:$CT546,"="&amp;$CT546)</f>
        <v>1740</v>
      </c>
      <c r="DH546" s="14" t="s">
        <v>539</v>
      </c>
      <c r="DI546" s="14">
        <f>INDEX(属性投放!$BL$6:$BL$85,(CV546-2)*20+CZ546)</f>
        <v>85</v>
      </c>
      <c r="DJ546" s="14">
        <f>SUMIFS(DI$5:DI546,$CT$5:$CT546,"="&amp;$CT546)</f>
        <v>875</v>
      </c>
      <c r="DK546" s="14" t="s">
        <v>540</v>
      </c>
      <c r="DL546" s="14">
        <f>INDEX(属性投放!$BM$6:$BM$85,(CV546-2)*20+CZ546)</f>
        <v>1530</v>
      </c>
      <c r="DM546" s="14">
        <f>SUMIFS(DL$5:DL546,$CT$5:$CT546,"="&amp;$CT546)</f>
        <v>13850</v>
      </c>
      <c r="DR546" s="14">
        <f t="shared" si="960"/>
        <v>1102031</v>
      </c>
      <c r="DS546" s="14" t="str">
        <f t="shared" si="961"/>
        <v>秦琼2突</v>
      </c>
      <c r="DT546" s="14">
        <f t="shared" si="925"/>
        <v>7</v>
      </c>
      <c r="DU546" s="14">
        <f t="shared" si="926"/>
        <v>7</v>
      </c>
      <c r="DV546" s="14">
        <f t="shared" si="927"/>
        <v>7</v>
      </c>
      <c r="DW546" s="14">
        <f t="shared" si="962"/>
        <v>4</v>
      </c>
      <c r="DX546" s="14">
        <f t="shared" si="963"/>
        <v>2</v>
      </c>
      <c r="DY546" s="14">
        <f t="shared" si="964"/>
        <v>42</v>
      </c>
      <c r="DZ546" s="14">
        <f>INDEX(属性投放!$AX$6:$AX$85,(卡牌属性!DW546-2)*20+卡牌属性!DX546)</f>
        <v>10</v>
      </c>
      <c r="EA546" s="14">
        <f>INDEX(属性投放!BQ$6:BQ$85,卡牌属性!$DY546)</f>
        <v>40</v>
      </c>
      <c r="EB546" s="14">
        <f>INDEX(属性投放!BR$6:BR$85,卡牌属性!$DY546)</f>
        <v>20</v>
      </c>
      <c r="EC546" s="14">
        <f>INDEX(属性投放!BS$6:BS$85,卡牌属性!$DY546)</f>
        <v>240</v>
      </c>
      <c r="ED546" s="14">
        <f t="shared" ref="ED546:ED564" si="966">ED545+$EA545+ES545*$DZ545</f>
        <v>283</v>
      </c>
      <c r="EE546" s="14">
        <f t="shared" ref="EE546:EE564" si="967">EE545+$EA545+ET545*$DZ545</f>
        <v>337</v>
      </c>
      <c r="EF546" s="14">
        <f t="shared" ref="EF546:EF564" si="968">EF545+$EA545+EU545*$DZ545</f>
        <v>395</v>
      </c>
      <c r="EG546" s="14">
        <f t="shared" ref="EG546:EG564" si="969">EG545+$EA545+EV545*$DZ545</f>
        <v>395</v>
      </c>
      <c r="EH546" s="14">
        <f t="shared" ref="EH546:EH564" si="970">EH545+$EA545+EW545*$DZ545</f>
        <v>465</v>
      </c>
      <c r="EI546" s="14">
        <f t="shared" ref="EI546:EI564" si="971">EI545+$EB545+EX545*$DZ545</f>
        <v>92</v>
      </c>
      <c r="EJ546" s="14">
        <f t="shared" ref="EJ546:EJ564" si="972">EJ545+$EB545+EY545*$DZ545</f>
        <v>121</v>
      </c>
      <c r="EK546" s="14">
        <f t="shared" ref="EK546:EK564" si="973">EK545+$EB545+EZ545*$DZ545</f>
        <v>121</v>
      </c>
      <c r="EL546" s="14">
        <f t="shared" ref="EL546:EL564" si="974">EL545+$EB545+FA545*$DZ545</f>
        <v>150</v>
      </c>
      <c r="EM546" s="14">
        <f t="shared" ref="EM546:EM564" si="975">EM545+$EB545+FB545*$DZ545</f>
        <v>208</v>
      </c>
      <c r="EN546" s="14">
        <f t="shared" ref="EN546:EN564" si="976">EN545+$EC545+FC545*$DZ545</f>
        <v>1298</v>
      </c>
      <c r="EO546" s="14">
        <f t="shared" ref="EO546:EO564" si="977">EO545+$EC545+FD545*$DZ545</f>
        <v>1522</v>
      </c>
      <c r="EP546" s="14">
        <f t="shared" ref="EP546:EP564" si="978">EP545+$EC545+FE545*$DZ545</f>
        <v>1522</v>
      </c>
      <c r="EQ546" s="14">
        <f t="shared" ref="EQ546:EQ564" si="979">EQ545+$EC545+FF545*$DZ545</f>
        <v>1770</v>
      </c>
      <c r="ER546" s="14">
        <f t="shared" ref="ER546:ER564" si="980">ER545+$EC545+FG545*$DZ545</f>
        <v>2190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90</v>
      </c>
      <c r="FD546" s="14">
        <f>INDEX(属性偏向!$U$4:$U$243,(卡牌属性!$DV546-1+FD$3)*20+卡牌属性!$DX546)</f>
        <v>102</v>
      </c>
      <c r="FE546" s="14">
        <f>INDEX(属性偏向!$U$4:$U$243,(卡牌属性!$DV546-1+FE$3)*20+卡牌属性!$DX546)</f>
        <v>102</v>
      </c>
      <c r="FF546" s="14">
        <f>INDEX(属性偏向!$U$4:$U$243,(卡牌属性!$DV546-1+FF$3)*20+卡牌属性!$DX546)</f>
        <v>120</v>
      </c>
      <c r="FG546" s="14">
        <f>INDEX(属性偏向!$U$4:$U$243,(卡牌属性!$DV546-1+FG$3)*20+卡牌属性!$DX546)</f>
        <v>150</v>
      </c>
      <c r="FH546" s="14">
        <f>INDEX(属性投放!$BQ$6:$BQ$85,(卡牌属性!$DW546-2)*20+卡牌属性!$DX546)</f>
        <v>40</v>
      </c>
      <c r="FI546" s="14">
        <f>INDEX(属性投放!$BQ$6:$BQ$85,(卡牌属性!$DW546-2)*20+卡牌属性!$DX546)</f>
        <v>40</v>
      </c>
      <c r="FJ546" s="14">
        <f>INDEX(属性投放!$BQ$6:$BQ$85,(卡牌属性!$DW546-2)*20+卡牌属性!$DX546)</f>
        <v>40</v>
      </c>
      <c r="FK546" s="14">
        <f>INDEX(属性投放!$BQ$6:$BQ$85,(卡牌属性!$DW546-2)*20+卡牌属性!$DX546)</f>
        <v>40</v>
      </c>
      <c r="FL546" s="14">
        <f>INDEX(属性投放!$BQ$6:$BQ$85,(卡牌属性!$DW546-2)*20+卡牌属性!$DX546)</f>
        <v>40</v>
      </c>
      <c r="FM546" s="14">
        <f>INDEX(属性投放!$BR$6:$BR$85,(卡牌属性!$DW546-2)*20+卡牌属性!$DX546)</f>
        <v>20</v>
      </c>
      <c r="FN546" s="14">
        <f>INDEX(属性投放!$BR$6:$BR$85,(卡牌属性!$DW546-2)*20+卡牌属性!$DX546)</f>
        <v>20</v>
      </c>
      <c r="FO546" s="14">
        <f>INDEX(属性投放!$BR$6:$BR$85,(卡牌属性!$DW546-2)*20+卡牌属性!$DX546)</f>
        <v>20</v>
      </c>
      <c r="FP546" s="14">
        <f>INDEX(属性投放!$BR$6:$BR$85,(卡牌属性!$DW546-2)*20+卡牌属性!$DX546)</f>
        <v>20</v>
      </c>
      <c r="FQ546" s="14">
        <f>INDEX(属性投放!$BR$6:$BR$85,(卡牌属性!$DW546-2)*20+卡牌属性!$DX546)</f>
        <v>20</v>
      </c>
      <c r="FR546" s="14">
        <f>INDEX(属性投放!$BS$6:$BS$85,(卡牌属性!$DW546-2)*20+卡牌属性!$DX546)</f>
        <v>240</v>
      </c>
      <c r="FS546" s="14">
        <f>INDEX(属性投放!$BS$6:$BS$85,(卡牌属性!$DW546-2)*20+卡牌属性!$DX546)</f>
        <v>240</v>
      </c>
      <c r="FT546" s="14">
        <f>INDEX(属性投放!$BS$6:$BS$85,(卡牌属性!$DW546-2)*20+卡牌属性!$DX546)</f>
        <v>240</v>
      </c>
      <c r="FU546" s="14">
        <f>INDEX(属性投放!$BS$6:$BS$85,(卡牌属性!$DW546-2)*20+卡牌属性!$DX546)</f>
        <v>240</v>
      </c>
      <c r="FV546" s="14">
        <f>INDEX(属性投放!$BS$6:$BS$85,(卡牌属性!$DW546-2)*20+卡牌属性!$DX546)</f>
        <v>240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15"/>
        <v>28</v>
      </c>
      <c r="BY547" s="14">
        <f t="shared" si="916"/>
        <v>4</v>
      </c>
      <c r="BZ547" s="14">
        <f t="shared" si="919"/>
        <v>1102031</v>
      </c>
      <c r="CA547" s="14" t="str">
        <f t="shared" si="920"/>
        <v>秦琼3突</v>
      </c>
      <c r="CB547" s="25" t="s">
        <v>142</v>
      </c>
      <c r="CC547" s="14">
        <v>2</v>
      </c>
      <c r="CD547" s="14">
        <f t="shared" si="917"/>
        <v>3</v>
      </c>
      <c r="CE547" s="14" t="s">
        <v>21</v>
      </c>
      <c r="CF547" s="14">
        <f>INDEX(属性投放!$AZ$6:$AZ$85,(BY547-2)*20+CD547)</f>
        <v>558</v>
      </c>
      <c r="CG547" s="14" t="s">
        <v>22</v>
      </c>
      <c r="CH547" s="14">
        <f>INDEX(属性投放!$BA$6:$BA$85,(BY547-2)*20+CD547)</f>
        <v>210</v>
      </c>
      <c r="CI547" s="14" t="s">
        <v>510</v>
      </c>
      <c r="CJ547" s="14">
        <f>INDEX(属性投放!$BB$6:$BB$85,(BY547-2)*20+CD547)</f>
        <v>2948</v>
      </c>
      <c r="CK547" s="14" t="s">
        <v>21</v>
      </c>
      <c r="CL547" s="14">
        <f>INDEX(属性投放!$BC$6:$BC$85,(BY547-2)*20+CD547)</f>
        <v>15</v>
      </c>
      <c r="CM547" s="14" t="s">
        <v>22</v>
      </c>
      <c r="CN547" s="14">
        <f>INDEX(属性投放!$BD$6:$BD$85,(BY547-2)*20+CD547)</f>
        <v>8</v>
      </c>
      <c r="CO547" s="14" t="s">
        <v>510</v>
      </c>
      <c r="CP547" s="14">
        <f>INDEX(属性投放!$BE$6:$BE$85,(BY547-2)*20+CD547)</f>
        <v>90</v>
      </c>
      <c r="CS547" s="13">
        <v>543</v>
      </c>
      <c r="CT547" s="13">
        <f t="shared" si="921"/>
        <v>11</v>
      </c>
      <c r="CU547" s="13">
        <f t="shared" si="922"/>
        <v>23</v>
      </c>
      <c r="CV547" s="14">
        <f t="shared" si="923"/>
        <v>4</v>
      </c>
      <c r="CW547" s="14">
        <f t="shared" si="924"/>
        <v>1102011</v>
      </c>
      <c r="CX547" s="14" t="str">
        <f>INDEX($O$6:$O$50,CT547)&amp;"-"&amp;INDEX(属性投放!$AB$7:$AB$50,CZ547)&amp;"-魂火-"&amp;DB547</f>
        <v>张飞-大叫唤+1-魂火-2</v>
      </c>
      <c r="CY547" s="25" t="s">
        <v>142</v>
      </c>
      <c r="CZ547" s="14">
        <f>INDEX(属性投放!$AM$7:$AM$58,CU547)</f>
        <v>11</v>
      </c>
      <c r="DA547" s="14" t="s">
        <v>537</v>
      </c>
      <c r="DB547" s="14">
        <f>INDEX(属性投放!$AN$7:$AN$58,CU547)</f>
        <v>2</v>
      </c>
      <c r="DC547" s="14">
        <f t="shared" si="918"/>
        <v>23</v>
      </c>
      <c r="DD547" s="14">
        <f>INDEX(属性投放!$AO$7:$AO$58,DC547)</f>
        <v>75</v>
      </c>
      <c r="DE547" s="14" t="s">
        <v>538</v>
      </c>
      <c r="DF547" s="14">
        <f>INDEX(属性投放!$BK$6:$BK$85,(CV547-2)*20+CZ547)</f>
        <v>170</v>
      </c>
      <c r="DG547" s="14">
        <f>SUMIFS(DF$5:DF547,$CT$5:$CT547,"="&amp;$CT547)</f>
        <v>1910</v>
      </c>
      <c r="DH547" s="14" t="s">
        <v>539</v>
      </c>
      <c r="DI547" s="14">
        <f>INDEX(属性投放!$BL$6:$BL$85,(CV547-2)*20+CZ547)</f>
        <v>85</v>
      </c>
      <c r="DJ547" s="14">
        <f>SUMIFS(DI$5:DI547,$CT$5:$CT547,"="&amp;$CT547)</f>
        <v>960</v>
      </c>
      <c r="DK547" s="14" t="s">
        <v>540</v>
      </c>
      <c r="DL547" s="14">
        <f>INDEX(属性投放!$BM$6:$BM$85,(CV547-2)*20+CZ547)</f>
        <v>1530</v>
      </c>
      <c r="DM547" s="14">
        <f>SUMIFS(DL$5:DL547,$CT$5:$CT547,"="&amp;$CT547)</f>
        <v>15380</v>
      </c>
      <c r="DR547" s="14">
        <f t="shared" si="960"/>
        <v>1102031</v>
      </c>
      <c r="DS547" s="14" t="str">
        <f t="shared" si="961"/>
        <v>秦琼3突</v>
      </c>
      <c r="DT547" s="14">
        <f t="shared" si="925"/>
        <v>7</v>
      </c>
      <c r="DU547" s="14">
        <f t="shared" si="926"/>
        <v>7</v>
      </c>
      <c r="DV547" s="14">
        <f t="shared" si="927"/>
        <v>7</v>
      </c>
      <c r="DW547" s="14">
        <f t="shared" si="962"/>
        <v>4</v>
      </c>
      <c r="DX547" s="14">
        <f t="shared" si="963"/>
        <v>3</v>
      </c>
      <c r="DY547" s="14">
        <f t="shared" si="964"/>
        <v>43</v>
      </c>
      <c r="DZ547" s="14">
        <f>INDEX(属性投放!$AX$6:$AX$85,(卡牌属性!DW547-2)*20+卡牌属性!DX547)</f>
        <v>10</v>
      </c>
      <c r="EA547" s="14">
        <f>INDEX(属性投放!BQ$6:BQ$85,卡牌属性!$DY547)</f>
        <v>80</v>
      </c>
      <c r="EB547" s="14">
        <f>INDEX(属性投放!BR$6:BR$85,卡牌属性!$DY547)</f>
        <v>40</v>
      </c>
      <c r="EC547" s="14">
        <f>INDEX(属性投放!BS$6:BS$85,卡牌属性!$DY547)</f>
        <v>480</v>
      </c>
      <c r="ED547" s="14">
        <f t="shared" si="966"/>
        <v>473</v>
      </c>
      <c r="EE547" s="14">
        <f t="shared" si="967"/>
        <v>547</v>
      </c>
      <c r="EF547" s="14">
        <f t="shared" si="968"/>
        <v>635</v>
      </c>
      <c r="EG547" s="14">
        <f t="shared" si="969"/>
        <v>635</v>
      </c>
      <c r="EH547" s="14">
        <f t="shared" si="970"/>
        <v>755</v>
      </c>
      <c r="EI547" s="14">
        <f t="shared" si="971"/>
        <v>192</v>
      </c>
      <c r="EJ547" s="14">
        <f t="shared" si="972"/>
        <v>231</v>
      </c>
      <c r="EK547" s="14">
        <f t="shared" si="973"/>
        <v>231</v>
      </c>
      <c r="EL547" s="14">
        <f t="shared" si="974"/>
        <v>270</v>
      </c>
      <c r="EM547" s="14">
        <f t="shared" si="975"/>
        <v>358</v>
      </c>
      <c r="EN547" s="14">
        <f t="shared" si="976"/>
        <v>2438</v>
      </c>
      <c r="EO547" s="14">
        <f t="shared" si="977"/>
        <v>2782</v>
      </c>
      <c r="EP547" s="14">
        <f t="shared" si="978"/>
        <v>2782</v>
      </c>
      <c r="EQ547" s="14">
        <f t="shared" si="979"/>
        <v>3210</v>
      </c>
      <c r="ER547" s="14">
        <f t="shared" si="980"/>
        <v>3930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90</v>
      </c>
      <c r="FD547" s="14">
        <f>INDEX(属性偏向!$U$4:$U$243,(卡牌属性!$DV547-1+FD$3)*20+卡牌属性!$DX547)</f>
        <v>102</v>
      </c>
      <c r="FE547" s="14">
        <f>INDEX(属性偏向!$U$4:$U$243,(卡牌属性!$DV547-1+FE$3)*20+卡牌属性!$DX547)</f>
        <v>102</v>
      </c>
      <c r="FF547" s="14">
        <f>INDEX(属性偏向!$U$4:$U$243,(卡牌属性!$DV547-1+FF$3)*20+卡牌属性!$DX547)</f>
        <v>120</v>
      </c>
      <c r="FG547" s="14">
        <f>INDEX(属性偏向!$U$4:$U$243,(卡牌属性!$DV547-1+FG$3)*20+卡牌属性!$DX547)</f>
        <v>150</v>
      </c>
      <c r="FH547" s="14">
        <f>INDEX(属性投放!$BQ$6:$BQ$85,(卡牌属性!$DW547-2)*20+卡牌属性!$DX547)</f>
        <v>80</v>
      </c>
      <c r="FI547" s="14">
        <f>INDEX(属性投放!$BQ$6:$BQ$85,(卡牌属性!$DW547-2)*20+卡牌属性!$DX547)</f>
        <v>80</v>
      </c>
      <c r="FJ547" s="14">
        <f>INDEX(属性投放!$BQ$6:$BQ$85,(卡牌属性!$DW547-2)*20+卡牌属性!$DX547)</f>
        <v>80</v>
      </c>
      <c r="FK547" s="14">
        <f>INDEX(属性投放!$BQ$6:$BQ$85,(卡牌属性!$DW547-2)*20+卡牌属性!$DX547)</f>
        <v>80</v>
      </c>
      <c r="FL547" s="14">
        <f>INDEX(属性投放!$BQ$6:$BQ$85,(卡牌属性!$DW547-2)*20+卡牌属性!$DX547)</f>
        <v>80</v>
      </c>
      <c r="FM547" s="14">
        <f>INDEX(属性投放!$BR$6:$BR$85,(卡牌属性!$DW547-2)*20+卡牌属性!$DX547)</f>
        <v>40</v>
      </c>
      <c r="FN547" s="14">
        <f>INDEX(属性投放!$BR$6:$BR$85,(卡牌属性!$DW547-2)*20+卡牌属性!$DX547)</f>
        <v>40</v>
      </c>
      <c r="FO547" s="14">
        <f>INDEX(属性投放!$BR$6:$BR$85,(卡牌属性!$DW547-2)*20+卡牌属性!$DX547)</f>
        <v>40</v>
      </c>
      <c r="FP547" s="14">
        <f>INDEX(属性投放!$BR$6:$BR$85,(卡牌属性!$DW547-2)*20+卡牌属性!$DX547)</f>
        <v>40</v>
      </c>
      <c r="FQ547" s="14">
        <f>INDEX(属性投放!$BR$6:$BR$85,(卡牌属性!$DW547-2)*20+卡牌属性!$DX547)</f>
        <v>40</v>
      </c>
      <c r="FR547" s="14">
        <f>INDEX(属性投放!$BS$6:$BS$85,(卡牌属性!$DW547-2)*20+卡牌属性!$DX547)</f>
        <v>480</v>
      </c>
      <c r="FS547" s="14">
        <f>INDEX(属性投放!$BS$6:$BS$85,(卡牌属性!$DW547-2)*20+卡牌属性!$DX547)</f>
        <v>480</v>
      </c>
      <c r="FT547" s="14">
        <f>INDEX(属性投放!$BS$6:$BS$85,(卡牌属性!$DW547-2)*20+卡牌属性!$DX547)</f>
        <v>480</v>
      </c>
      <c r="FU547" s="14">
        <f>INDEX(属性投放!$BS$6:$BS$85,(卡牌属性!$DW547-2)*20+卡牌属性!$DX547)</f>
        <v>480</v>
      </c>
      <c r="FV547" s="14">
        <f>INDEX(属性投放!$BS$6:$BS$85,(卡牌属性!$DW547-2)*20+卡牌属性!$DX547)</f>
        <v>480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15"/>
        <v>28</v>
      </c>
      <c r="BY548" s="14">
        <f t="shared" si="916"/>
        <v>4</v>
      </c>
      <c r="BZ548" s="14">
        <f t="shared" si="919"/>
        <v>1102031</v>
      </c>
      <c r="CA548" s="14" t="str">
        <f t="shared" si="920"/>
        <v>秦琼4突</v>
      </c>
      <c r="CB548" s="25" t="s">
        <v>142</v>
      </c>
      <c r="CC548" s="14">
        <v>2</v>
      </c>
      <c r="CD548" s="14">
        <f t="shared" si="917"/>
        <v>4</v>
      </c>
      <c r="CE548" s="14" t="s">
        <v>21</v>
      </c>
      <c r="CF548" s="14">
        <f>INDEX(属性投放!$AZ$6:$AZ$85,(BY548-2)*20+CD548)</f>
        <v>858</v>
      </c>
      <c r="CG548" s="14" t="s">
        <v>22</v>
      </c>
      <c r="CH548" s="14">
        <f>INDEX(属性投放!$BA$6:$BA$85,(BY548-2)*20+CD548)</f>
        <v>366</v>
      </c>
      <c r="CI548" s="14" t="s">
        <v>510</v>
      </c>
      <c r="CJ548" s="14">
        <f>INDEX(属性投放!$BB$6:$BB$85,(BY548-2)*20+CD548)</f>
        <v>4748</v>
      </c>
      <c r="CK548" s="14" t="s">
        <v>21</v>
      </c>
      <c r="CL548" s="14">
        <f>INDEX(属性投放!$BC$6:$BC$85,(BY548-2)*20+CD548)</f>
        <v>20</v>
      </c>
      <c r="CM548" s="14" t="s">
        <v>22</v>
      </c>
      <c r="CN548" s="14">
        <f>INDEX(属性投放!$BD$6:$BD$85,(BY548-2)*20+CD548)</f>
        <v>10</v>
      </c>
      <c r="CO548" s="14" t="s">
        <v>510</v>
      </c>
      <c r="CP548" s="14">
        <f>INDEX(属性投放!$BE$6:$BE$85,(BY548-2)*20+CD548)</f>
        <v>140</v>
      </c>
      <c r="CS548" s="13">
        <v>544</v>
      </c>
      <c r="CT548" s="13">
        <f t="shared" si="921"/>
        <v>11</v>
      </c>
      <c r="CU548" s="13">
        <f t="shared" si="922"/>
        <v>24</v>
      </c>
      <c r="CV548" s="14">
        <f t="shared" si="923"/>
        <v>4</v>
      </c>
      <c r="CW548" s="14">
        <f t="shared" si="924"/>
        <v>1102011</v>
      </c>
      <c r="CX548" s="14" t="str">
        <f>INDEX($O$6:$O$50,CT548)&amp;"-"&amp;INDEX(属性投放!$AB$7:$AB$50,CZ548)&amp;"-魂火-"&amp;DB548</f>
        <v>张飞-大叫唤+1-魂火-3</v>
      </c>
      <c r="CY548" s="25" t="s">
        <v>142</v>
      </c>
      <c r="CZ548" s="14">
        <f>INDEX(属性投放!$AM$7:$AM$58,CU548)</f>
        <v>11</v>
      </c>
      <c r="DA548" s="14" t="s">
        <v>537</v>
      </c>
      <c r="DB548" s="14">
        <f>INDEX(属性投放!$AN$7:$AN$58,CU548)</f>
        <v>3</v>
      </c>
      <c r="DC548" s="14">
        <f t="shared" si="918"/>
        <v>24</v>
      </c>
      <c r="DD548" s="14">
        <f>INDEX(属性投放!$AO$7:$AO$58,DC548)</f>
        <v>78</v>
      </c>
      <c r="DE548" s="14" t="s">
        <v>538</v>
      </c>
      <c r="DF548" s="14">
        <f>INDEX(属性投放!$BK$6:$BK$85,(CV548-2)*20+CZ548)</f>
        <v>170</v>
      </c>
      <c r="DG548" s="14">
        <f>SUMIFS(DF$5:DF548,$CT$5:$CT548,"="&amp;$CT548)</f>
        <v>2080</v>
      </c>
      <c r="DH548" s="14" t="s">
        <v>539</v>
      </c>
      <c r="DI548" s="14">
        <f>INDEX(属性投放!$BL$6:$BL$85,(CV548-2)*20+CZ548)</f>
        <v>85</v>
      </c>
      <c r="DJ548" s="14">
        <f>SUMIFS(DI$5:DI548,$CT$5:$CT548,"="&amp;$CT548)</f>
        <v>1045</v>
      </c>
      <c r="DK548" s="14" t="s">
        <v>540</v>
      </c>
      <c r="DL548" s="14">
        <f>INDEX(属性投放!$BM$6:$BM$85,(CV548-2)*20+CZ548)</f>
        <v>1530</v>
      </c>
      <c r="DM548" s="14">
        <f>SUMIFS(DL$5:DL548,$CT$5:$CT548,"="&amp;$CT548)</f>
        <v>16910</v>
      </c>
      <c r="DR548" s="14">
        <f t="shared" si="960"/>
        <v>1102031</v>
      </c>
      <c r="DS548" s="14" t="str">
        <f t="shared" si="961"/>
        <v>秦琼4突</v>
      </c>
      <c r="DT548" s="14">
        <f t="shared" si="925"/>
        <v>7</v>
      </c>
      <c r="DU548" s="14">
        <f t="shared" si="926"/>
        <v>7</v>
      </c>
      <c r="DV548" s="14">
        <f t="shared" si="927"/>
        <v>7</v>
      </c>
      <c r="DW548" s="14">
        <f t="shared" si="962"/>
        <v>4</v>
      </c>
      <c r="DX548" s="14">
        <f t="shared" si="963"/>
        <v>4</v>
      </c>
      <c r="DY548" s="14">
        <f t="shared" si="964"/>
        <v>44</v>
      </c>
      <c r="DZ548" s="14">
        <f>INDEX(属性投放!$AX$6:$AX$85,(卡牌属性!DW548-2)*20+卡牌属性!DX548)</f>
        <v>10</v>
      </c>
      <c r="EA548" s="14">
        <f>INDEX(属性投放!BQ$6:BQ$85,卡牌属性!$DY548)</f>
        <v>100</v>
      </c>
      <c r="EB548" s="14">
        <f>INDEX(属性投放!BR$6:BR$85,卡牌属性!$DY548)</f>
        <v>50</v>
      </c>
      <c r="EC548" s="14">
        <f>INDEX(属性投放!BS$6:BS$85,卡牌属性!$DY548)</f>
        <v>700</v>
      </c>
      <c r="ED548" s="14">
        <f t="shared" si="966"/>
        <v>703</v>
      </c>
      <c r="EE548" s="14">
        <f t="shared" si="967"/>
        <v>797</v>
      </c>
      <c r="EF548" s="14">
        <f t="shared" si="968"/>
        <v>915</v>
      </c>
      <c r="EG548" s="14">
        <f t="shared" si="969"/>
        <v>915</v>
      </c>
      <c r="EH548" s="14">
        <f t="shared" si="970"/>
        <v>1085</v>
      </c>
      <c r="EI548" s="14">
        <f t="shared" si="971"/>
        <v>312</v>
      </c>
      <c r="EJ548" s="14">
        <f t="shared" si="972"/>
        <v>361</v>
      </c>
      <c r="EK548" s="14">
        <f t="shared" si="973"/>
        <v>361</v>
      </c>
      <c r="EL548" s="14">
        <f t="shared" si="974"/>
        <v>410</v>
      </c>
      <c r="EM548" s="14">
        <f t="shared" si="975"/>
        <v>528</v>
      </c>
      <c r="EN548" s="14">
        <f t="shared" si="976"/>
        <v>3818</v>
      </c>
      <c r="EO548" s="14">
        <f t="shared" si="977"/>
        <v>4282</v>
      </c>
      <c r="EP548" s="14">
        <f t="shared" si="978"/>
        <v>4282</v>
      </c>
      <c r="EQ548" s="14">
        <f t="shared" si="979"/>
        <v>4890</v>
      </c>
      <c r="ER548" s="14">
        <f t="shared" si="980"/>
        <v>5910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140</v>
      </c>
      <c r="FD548" s="14">
        <f>INDEX(属性偏向!$U$4:$U$243,(卡牌属性!$DV548-1+FD$3)*20+卡牌属性!$DX548)</f>
        <v>154</v>
      </c>
      <c r="FE548" s="14">
        <f>INDEX(属性偏向!$U$4:$U$243,(卡牌属性!$DV548-1+FE$3)*20+卡牌属性!$DX548)</f>
        <v>154</v>
      </c>
      <c r="FF548" s="14">
        <f>INDEX(属性偏向!$U$4:$U$243,(卡牌属性!$DV548-1+FF$3)*20+卡牌属性!$DX548)</f>
        <v>175</v>
      </c>
      <c r="FG548" s="14">
        <f>INDEX(属性偏向!$U$4:$U$243,(卡牌属性!$DV548-1+FG$3)*20+卡牌属性!$DX548)</f>
        <v>210</v>
      </c>
      <c r="FH548" s="14">
        <f>INDEX(属性投放!$BQ$6:$BQ$85,(卡牌属性!$DW548-2)*20+卡牌属性!$DX548)</f>
        <v>100</v>
      </c>
      <c r="FI548" s="14">
        <f>INDEX(属性投放!$BQ$6:$BQ$85,(卡牌属性!$DW548-2)*20+卡牌属性!$DX548)</f>
        <v>100</v>
      </c>
      <c r="FJ548" s="14">
        <f>INDEX(属性投放!$BQ$6:$BQ$85,(卡牌属性!$DW548-2)*20+卡牌属性!$DX548)</f>
        <v>100</v>
      </c>
      <c r="FK548" s="14">
        <f>INDEX(属性投放!$BQ$6:$BQ$85,(卡牌属性!$DW548-2)*20+卡牌属性!$DX548)</f>
        <v>100</v>
      </c>
      <c r="FL548" s="14">
        <f>INDEX(属性投放!$BQ$6:$BQ$85,(卡牌属性!$DW548-2)*20+卡牌属性!$DX548)</f>
        <v>100</v>
      </c>
      <c r="FM548" s="14">
        <f>INDEX(属性投放!$BR$6:$BR$85,(卡牌属性!$DW548-2)*20+卡牌属性!$DX548)</f>
        <v>50</v>
      </c>
      <c r="FN548" s="14">
        <f>INDEX(属性投放!$BR$6:$BR$85,(卡牌属性!$DW548-2)*20+卡牌属性!$DX548)</f>
        <v>50</v>
      </c>
      <c r="FO548" s="14">
        <f>INDEX(属性投放!$BR$6:$BR$85,(卡牌属性!$DW548-2)*20+卡牌属性!$DX548)</f>
        <v>50</v>
      </c>
      <c r="FP548" s="14">
        <f>INDEX(属性投放!$BR$6:$BR$85,(卡牌属性!$DW548-2)*20+卡牌属性!$DX548)</f>
        <v>50</v>
      </c>
      <c r="FQ548" s="14">
        <f>INDEX(属性投放!$BR$6:$BR$85,(卡牌属性!$DW548-2)*20+卡牌属性!$DX548)</f>
        <v>50</v>
      </c>
      <c r="FR548" s="14">
        <f>INDEX(属性投放!$BS$6:$BS$85,(卡牌属性!$DW548-2)*20+卡牌属性!$DX548)</f>
        <v>700</v>
      </c>
      <c r="FS548" s="14">
        <f>INDEX(属性投放!$BS$6:$BS$85,(卡牌属性!$DW548-2)*20+卡牌属性!$DX548)</f>
        <v>700</v>
      </c>
      <c r="FT548" s="14">
        <f>INDEX(属性投放!$BS$6:$BS$85,(卡牌属性!$DW548-2)*20+卡牌属性!$DX548)</f>
        <v>700</v>
      </c>
      <c r="FU548" s="14">
        <f>INDEX(属性投放!$BS$6:$BS$85,(卡牌属性!$DW548-2)*20+卡牌属性!$DX548)</f>
        <v>700</v>
      </c>
      <c r="FV548" s="14">
        <f>INDEX(属性投放!$BS$6:$BS$85,(卡牌属性!$DW548-2)*20+卡牌属性!$DX548)</f>
        <v>700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15"/>
        <v>28</v>
      </c>
      <c r="BY549" s="14">
        <f t="shared" si="916"/>
        <v>4</v>
      </c>
      <c r="BZ549" s="14">
        <f t="shared" si="919"/>
        <v>1102031</v>
      </c>
      <c r="CA549" s="14" t="str">
        <f t="shared" si="920"/>
        <v>秦琼5突</v>
      </c>
      <c r="CB549" s="25" t="s">
        <v>142</v>
      </c>
      <c r="CC549" s="14">
        <v>2</v>
      </c>
      <c r="CD549" s="14">
        <f t="shared" si="917"/>
        <v>5</v>
      </c>
      <c r="CE549" s="14" t="s">
        <v>21</v>
      </c>
      <c r="CF549" s="14">
        <f>INDEX(属性投放!$AZ$6:$AZ$85,(BY549-2)*20+CD549)</f>
        <v>1248</v>
      </c>
      <c r="CG549" s="14" t="s">
        <v>22</v>
      </c>
      <c r="CH549" s="14">
        <f>INDEX(属性投放!$BA$6:$BA$85,(BY549-2)*20+CD549)</f>
        <v>562</v>
      </c>
      <c r="CI549" s="14" t="s">
        <v>510</v>
      </c>
      <c r="CJ549" s="14">
        <f>INDEX(属性投放!$BB$6:$BB$85,(BY549-2)*20+CD549)</f>
        <v>7478</v>
      </c>
      <c r="CK549" s="14" t="s">
        <v>21</v>
      </c>
      <c r="CL549" s="14">
        <f>INDEX(属性投放!$BC$6:$BC$85,(BY549-2)*20+CD549)</f>
        <v>20</v>
      </c>
      <c r="CM549" s="14" t="s">
        <v>22</v>
      </c>
      <c r="CN549" s="14">
        <f>INDEX(属性投放!$BD$6:$BD$85,(BY549-2)*20+CD549)</f>
        <v>10</v>
      </c>
      <c r="CO549" s="14" t="s">
        <v>510</v>
      </c>
      <c r="CP549" s="14">
        <f>INDEX(属性投放!$BE$6:$BE$85,(BY549-2)*20+CD549)</f>
        <v>140</v>
      </c>
      <c r="CS549" s="13">
        <v>545</v>
      </c>
      <c r="CT549" s="13">
        <f t="shared" si="921"/>
        <v>11</v>
      </c>
      <c r="CU549" s="13">
        <f t="shared" si="922"/>
        <v>25</v>
      </c>
      <c r="CV549" s="14">
        <f t="shared" si="923"/>
        <v>4</v>
      </c>
      <c r="CW549" s="14">
        <f t="shared" si="924"/>
        <v>1102011</v>
      </c>
      <c r="CX549" s="14" t="str">
        <f>INDEX($O$6:$O$50,CT549)&amp;"-"&amp;INDEX(属性投放!$AB$7:$AB$50,CZ549)&amp;"-魂火-"&amp;DB549</f>
        <v>张飞-大叫唤+2-魂火-1</v>
      </c>
      <c r="CY549" s="25" t="s">
        <v>142</v>
      </c>
      <c r="CZ549" s="14">
        <f>INDEX(属性投放!$AM$7:$AM$58,CU549)</f>
        <v>12</v>
      </c>
      <c r="DA549" s="14" t="s">
        <v>537</v>
      </c>
      <c r="DB549" s="14">
        <f>INDEX(属性投放!$AN$7:$AN$58,CU549)</f>
        <v>1</v>
      </c>
      <c r="DC549" s="14">
        <f t="shared" si="918"/>
        <v>25</v>
      </c>
      <c r="DD549" s="14">
        <f>INDEX(属性投放!$AO$7:$AO$58,DC549)</f>
        <v>80</v>
      </c>
      <c r="DE549" s="14" t="s">
        <v>538</v>
      </c>
      <c r="DF549" s="14">
        <f>INDEX(属性投放!$BK$6:$BK$85,(CV549-2)*20+CZ549)</f>
        <v>225</v>
      </c>
      <c r="DG549" s="14">
        <f>SUMIFS(DF$5:DF549,$CT$5:$CT549,"="&amp;$CT549)</f>
        <v>2305</v>
      </c>
      <c r="DH549" s="14" t="s">
        <v>539</v>
      </c>
      <c r="DI549" s="14">
        <f>INDEX(属性投放!$BL$6:$BL$85,(CV549-2)*20+CZ549)</f>
        <v>113</v>
      </c>
      <c r="DJ549" s="14">
        <f>SUMIFS(DI$5:DI549,$CT$5:$CT549,"="&amp;$CT549)</f>
        <v>1158</v>
      </c>
      <c r="DK549" s="14" t="s">
        <v>540</v>
      </c>
      <c r="DL549" s="14">
        <f>INDEX(属性投放!$BM$6:$BM$85,(CV549-2)*20+CZ549)</f>
        <v>2025</v>
      </c>
      <c r="DM549" s="14">
        <f>SUMIFS(DL$5:DL549,$CT$5:$CT549,"="&amp;$CT549)</f>
        <v>18935</v>
      </c>
      <c r="DR549" s="14">
        <f t="shared" si="960"/>
        <v>1102031</v>
      </c>
      <c r="DS549" s="14" t="str">
        <f t="shared" si="961"/>
        <v>秦琼5突</v>
      </c>
      <c r="DT549" s="14">
        <f t="shared" si="925"/>
        <v>7</v>
      </c>
      <c r="DU549" s="14">
        <f t="shared" si="926"/>
        <v>7</v>
      </c>
      <c r="DV549" s="14">
        <f t="shared" si="927"/>
        <v>7</v>
      </c>
      <c r="DW549" s="14">
        <f t="shared" si="962"/>
        <v>4</v>
      </c>
      <c r="DX549" s="14">
        <f t="shared" si="963"/>
        <v>5</v>
      </c>
      <c r="DY549" s="14">
        <f t="shared" si="964"/>
        <v>45</v>
      </c>
      <c r="DZ549" s="14">
        <f>INDEX(属性投放!$AX$6:$AX$85,(卡牌属性!DW549-2)*20+卡牌属性!DX549)</f>
        <v>7</v>
      </c>
      <c r="EA549" s="14">
        <f>INDEX(属性投放!BQ$6:BQ$85,卡牌属性!$DY549)</f>
        <v>120</v>
      </c>
      <c r="EB549" s="14">
        <f>INDEX(属性投放!BR$6:BR$85,卡牌属性!$DY549)</f>
        <v>60</v>
      </c>
      <c r="EC549" s="14">
        <f>INDEX(属性投放!BS$6:BS$85,卡牌属性!$DY549)</f>
        <v>840</v>
      </c>
      <c r="ED549" s="14">
        <f t="shared" si="966"/>
        <v>1003</v>
      </c>
      <c r="EE549" s="14">
        <f t="shared" si="967"/>
        <v>1117</v>
      </c>
      <c r="EF549" s="14">
        <f t="shared" si="968"/>
        <v>1265</v>
      </c>
      <c r="EG549" s="14">
        <f t="shared" si="969"/>
        <v>1265</v>
      </c>
      <c r="EH549" s="14">
        <f t="shared" si="970"/>
        <v>1485</v>
      </c>
      <c r="EI549" s="14">
        <f t="shared" si="971"/>
        <v>462</v>
      </c>
      <c r="EJ549" s="14">
        <f t="shared" si="972"/>
        <v>521</v>
      </c>
      <c r="EK549" s="14">
        <f t="shared" si="973"/>
        <v>521</v>
      </c>
      <c r="EL549" s="14">
        <f t="shared" si="974"/>
        <v>590</v>
      </c>
      <c r="EM549" s="14">
        <f t="shared" si="975"/>
        <v>728</v>
      </c>
      <c r="EN549" s="14">
        <f t="shared" si="976"/>
        <v>5918</v>
      </c>
      <c r="EO549" s="14">
        <f t="shared" si="977"/>
        <v>6522</v>
      </c>
      <c r="EP549" s="14">
        <f t="shared" si="978"/>
        <v>6522</v>
      </c>
      <c r="EQ549" s="14">
        <f t="shared" si="979"/>
        <v>7340</v>
      </c>
      <c r="ER549" s="14">
        <f t="shared" si="980"/>
        <v>8710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140</v>
      </c>
      <c r="FD549" s="14">
        <f>INDEX(属性偏向!$U$4:$U$243,(卡牌属性!$DV549-1+FD$3)*20+卡牌属性!$DX549)</f>
        <v>154</v>
      </c>
      <c r="FE549" s="14">
        <f>INDEX(属性偏向!$U$4:$U$243,(卡牌属性!$DV549-1+FE$3)*20+卡牌属性!$DX549)</f>
        <v>154</v>
      </c>
      <c r="FF549" s="14">
        <f>INDEX(属性偏向!$U$4:$U$243,(卡牌属性!$DV549-1+FF$3)*20+卡牌属性!$DX549)</f>
        <v>175</v>
      </c>
      <c r="FG549" s="14">
        <f>INDEX(属性偏向!$U$4:$U$243,(卡牌属性!$DV549-1+FG$3)*20+卡牌属性!$DX549)</f>
        <v>210</v>
      </c>
      <c r="FH549" s="14">
        <f>INDEX(属性投放!$BQ$6:$BQ$85,(卡牌属性!$DW549-2)*20+卡牌属性!$DX549)</f>
        <v>120</v>
      </c>
      <c r="FI549" s="14">
        <f>INDEX(属性投放!$BQ$6:$BQ$85,(卡牌属性!$DW549-2)*20+卡牌属性!$DX549)</f>
        <v>120</v>
      </c>
      <c r="FJ549" s="14">
        <f>INDEX(属性投放!$BQ$6:$BQ$85,(卡牌属性!$DW549-2)*20+卡牌属性!$DX549)</f>
        <v>120</v>
      </c>
      <c r="FK549" s="14">
        <f>INDEX(属性投放!$BQ$6:$BQ$85,(卡牌属性!$DW549-2)*20+卡牌属性!$DX549)</f>
        <v>120</v>
      </c>
      <c r="FL549" s="14">
        <f>INDEX(属性投放!$BQ$6:$BQ$85,(卡牌属性!$DW549-2)*20+卡牌属性!$DX549)</f>
        <v>120</v>
      </c>
      <c r="FM549" s="14">
        <f>INDEX(属性投放!$BR$6:$BR$85,(卡牌属性!$DW549-2)*20+卡牌属性!$DX549)</f>
        <v>60</v>
      </c>
      <c r="FN549" s="14">
        <f>INDEX(属性投放!$BR$6:$BR$85,(卡牌属性!$DW549-2)*20+卡牌属性!$DX549)</f>
        <v>60</v>
      </c>
      <c r="FO549" s="14">
        <f>INDEX(属性投放!$BR$6:$BR$85,(卡牌属性!$DW549-2)*20+卡牌属性!$DX549)</f>
        <v>60</v>
      </c>
      <c r="FP549" s="14">
        <f>INDEX(属性投放!$BR$6:$BR$85,(卡牌属性!$DW549-2)*20+卡牌属性!$DX549)</f>
        <v>60</v>
      </c>
      <c r="FQ549" s="14">
        <f>INDEX(属性投放!$BR$6:$BR$85,(卡牌属性!$DW549-2)*20+卡牌属性!$DX549)</f>
        <v>60</v>
      </c>
      <c r="FR549" s="14">
        <f>INDEX(属性投放!$BS$6:$BS$85,(卡牌属性!$DW549-2)*20+卡牌属性!$DX549)</f>
        <v>840</v>
      </c>
      <c r="FS549" s="14">
        <f>INDEX(属性投放!$BS$6:$BS$85,(卡牌属性!$DW549-2)*20+卡牌属性!$DX549)</f>
        <v>840</v>
      </c>
      <c r="FT549" s="14">
        <f>INDEX(属性投放!$BS$6:$BS$85,(卡牌属性!$DW549-2)*20+卡牌属性!$DX549)</f>
        <v>840</v>
      </c>
      <c r="FU549" s="14">
        <f>INDEX(属性投放!$BS$6:$BS$85,(卡牌属性!$DW549-2)*20+卡牌属性!$DX549)</f>
        <v>840</v>
      </c>
      <c r="FV549" s="14">
        <f>INDEX(属性投放!$BS$6:$BS$85,(卡牌属性!$DW549-2)*20+卡牌属性!$DX549)</f>
        <v>840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15"/>
        <v>28</v>
      </c>
      <c r="BY550" s="14">
        <f t="shared" si="916"/>
        <v>4</v>
      </c>
      <c r="BZ550" s="14">
        <f t="shared" si="919"/>
        <v>1102031</v>
      </c>
      <c r="CA550" s="14" t="str">
        <f t="shared" si="920"/>
        <v>秦琼6突</v>
      </c>
      <c r="CB550" s="25" t="s">
        <v>142</v>
      </c>
      <c r="CC550" s="14">
        <v>2</v>
      </c>
      <c r="CD550" s="14">
        <f t="shared" si="917"/>
        <v>6</v>
      </c>
      <c r="CE550" s="14" t="s">
        <v>21</v>
      </c>
      <c r="CF550" s="14">
        <f>INDEX(属性投放!$AZ$6:$AZ$85,(BY550-2)*20+CD550)</f>
        <v>1618</v>
      </c>
      <c r="CG550" s="14" t="s">
        <v>22</v>
      </c>
      <c r="CH550" s="14">
        <f>INDEX(属性投放!$BA$6:$BA$85,(BY550-2)*20+CD550)</f>
        <v>748</v>
      </c>
      <c r="CI550" s="14" t="s">
        <v>510</v>
      </c>
      <c r="CJ550" s="14">
        <f>INDEX(属性投放!$BB$6:$BB$85,(BY550-2)*20+CD550)</f>
        <v>10068</v>
      </c>
      <c r="CK550" s="14" t="s">
        <v>21</v>
      </c>
      <c r="CL550" s="14">
        <f>INDEX(属性投放!$BC$6:$BC$85,(BY550-2)*20+CD550)</f>
        <v>20</v>
      </c>
      <c r="CM550" s="14" t="s">
        <v>22</v>
      </c>
      <c r="CN550" s="14">
        <f>INDEX(属性投放!$BD$6:$BD$85,(BY550-2)*20+CD550)</f>
        <v>10</v>
      </c>
      <c r="CO550" s="14" t="s">
        <v>510</v>
      </c>
      <c r="CP550" s="14">
        <f>INDEX(属性投放!$BE$6:$BE$85,(BY550-2)*20+CD550)</f>
        <v>140</v>
      </c>
      <c r="CS550" s="13">
        <v>546</v>
      </c>
      <c r="CT550" s="13">
        <f t="shared" si="921"/>
        <v>11</v>
      </c>
      <c r="CU550" s="13">
        <f t="shared" si="922"/>
        <v>26</v>
      </c>
      <c r="CV550" s="14">
        <f t="shared" si="923"/>
        <v>4</v>
      </c>
      <c r="CW550" s="14">
        <f t="shared" si="924"/>
        <v>1102011</v>
      </c>
      <c r="CX550" s="14" t="str">
        <f>INDEX($O$6:$O$50,CT550)&amp;"-"&amp;INDEX(属性投放!$AB$7:$AB$50,CZ550)&amp;"-魂火-"&amp;DB550</f>
        <v>张飞-大叫唤+2-魂火-2</v>
      </c>
      <c r="CY550" s="25" t="s">
        <v>142</v>
      </c>
      <c r="CZ550" s="14">
        <f>INDEX(属性投放!$AM$7:$AM$58,CU550)</f>
        <v>12</v>
      </c>
      <c r="DA550" s="14" t="s">
        <v>537</v>
      </c>
      <c r="DB550" s="14">
        <f>INDEX(属性投放!$AN$7:$AN$58,CU550)</f>
        <v>2</v>
      </c>
      <c r="DC550" s="14">
        <f t="shared" si="918"/>
        <v>26</v>
      </c>
      <c r="DD550" s="14">
        <f>INDEX(属性投放!$AO$7:$AO$58,DC550)</f>
        <v>83</v>
      </c>
      <c r="DE550" s="14" t="s">
        <v>538</v>
      </c>
      <c r="DF550" s="14">
        <f>INDEX(属性投放!$BK$6:$BK$85,(CV550-2)*20+CZ550)</f>
        <v>225</v>
      </c>
      <c r="DG550" s="14">
        <f>SUMIFS(DF$5:DF550,$CT$5:$CT550,"="&amp;$CT550)</f>
        <v>2530</v>
      </c>
      <c r="DH550" s="14" t="s">
        <v>539</v>
      </c>
      <c r="DI550" s="14">
        <f>INDEX(属性投放!$BL$6:$BL$85,(CV550-2)*20+CZ550)</f>
        <v>113</v>
      </c>
      <c r="DJ550" s="14">
        <f>SUMIFS(DI$5:DI550,$CT$5:$CT550,"="&amp;$CT550)</f>
        <v>1271</v>
      </c>
      <c r="DK550" s="14" t="s">
        <v>540</v>
      </c>
      <c r="DL550" s="14">
        <f>INDEX(属性投放!$BM$6:$BM$85,(CV550-2)*20+CZ550)</f>
        <v>2025</v>
      </c>
      <c r="DM550" s="14">
        <f>SUMIFS(DL$5:DL550,$CT$5:$CT550,"="&amp;$CT550)</f>
        <v>20960</v>
      </c>
      <c r="DR550" s="14">
        <f t="shared" si="960"/>
        <v>1102031</v>
      </c>
      <c r="DS550" s="14" t="str">
        <f t="shared" si="961"/>
        <v>秦琼6突</v>
      </c>
      <c r="DT550" s="14">
        <f t="shared" si="925"/>
        <v>7</v>
      </c>
      <c r="DU550" s="14">
        <f t="shared" si="926"/>
        <v>7</v>
      </c>
      <c r="DV550" s="14">
        <f t="shared" si="927"/>
        <v>7</v>
      </c>
      <c r="DW550" s="14">
        <f t="shared" si="962"/>
        <v>4</v>
      </c>
      <c r="DX550" s="14">
        <f t="shared" si="963"/>
        <v>6</v>
      </c>
      <c r="DY550" s="14">
        <f t="shared" si="964"/>
        <v>46</v>
      </c>
      <c r="DZ550" s="14">
        <f>INDEX(属性投放!$AX$6:$AX$85,(卡牌属性!DW550-2)*20+卡牌属性!DX550)</f>
        <v>5</v>
      </c>
      <c r="EA550" s="14">
        <f>INDEX(属性投放!BQ$6:BQ$85,卡牌属性!$DY550)</f>
        <v>160</v>
      </c>
      <c r="EB550" s="14">
        <f>INDEX(属性投放!BR$6:BR$85,卡牌属性!$DY550)</f>
        <v>80</v>
      </c>
      <c r="EC550" s="14">
        <f>INDEX(属性投放!BS$6:BS$85,卡牌属性!$DY550)</f>
        <v>1120</v>
      </c>
      <c r="ED550" s="14">
        <f t="shared" si="966"/>
        <v>1263</v>
      </c>
      <c r="EE550" s="14">
        <f t="shared" si="967"/>
        <v>1391</v>
      </c>
      <c r="EF550" s="14">
        <f t="shared" si="968"/>
        <v>1560</v>
      </c>
      <c r="EG550" s="14">
        <f t="shared" si="969"/>
        <v>1560</v>
      </c>
      <c r="EH550" s="14">
        <f t="shared" si="970"/>
        <v>1815</v>
      </c>
      <c r="EI550" s="14">
        <f t="shared" si="971"/>
        <v>592</v>
      </c>
      <c r="EJ550" s="14">
        <f t="shared" si="972"/>
        <v>658</v>
      </c>
      <c r="EK550" s="14">
        <f t="shared" si="973"/>
        <v>658</v>
      </c>
      <c r="EL550" s="14">
        <f t="shared" si="974"/>
        <v>741</v>
      </c>
      <c r="EM550" s="14">
        <f t="shared" si="975"/>
        <v>893</v>
      </c>
      <c r="EN550" s="14">
        <f t="shared" si="976"/>
        <v>7738</v>
      </c>
      <c r="EO550" s="14">
        <f t="shared" si="977"/>
        <v>8440</v>
      </c>
      <c r="EP550" s="14">
        <f t="shared" si="978"/>
        <v>8440</v>
      </c>
      <c r="EQ550" s="14">
        <f t="shared" si="979"/>
        <v>9405</v>
      </c>
      <c r="ER550" s="14">
        <f t="shared" si="980"/>
        <v>11020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140</v>
      </c>
      <c r="FD550" s="14">
        <f>INDEX(属性偏向!$U$4:$U$243,(卡牌属性!$DV550-1+FD$3)*20+卡牌属性!$DX550)</f>
        <v>154</v>
      </c>
      <c r="FE550" s="14">
        <f>INDEX(属性偏向!$U$4:$U$243,(卡牌属性!$DV550-1+FE$3)*20+卡牌属性!$DX550)</f>
        <v>154</v>
      </c>
      <c r="FF550" s="14">
        <f>INDEX(属性偏向!$U$4:$U$243,(卡牌属性!$DV550-1+FF$3)*20+卡牌属性!$DX550)</f>
        <v>175</v>
      </c>
      <c r="FG550" s="14">
        <f>INDEX(属性偏向!$U$4:$U$243,(卡牌属性!$DV550-1+FG$3)*20+卡牌属性!$DX550)</f>
        <v>210</v>
      </c>
      <c r="FH550" s="14">
        <f>INDEX(属性投放!$BQ$6:$BQ$85,(卡牌属性!$DW550-2)*20+卡牌属性!$DX550)</f>
        <v>160</v>
      </c>
      <c r="FI550" s="14">
        <f>INDEX(属性投放!$BQ$6:$BQ$85,(卡牌属性!$DW550-2)*20+卡牌属性!$DX550)</f>
        <v>160</v>
      </c>
      <c r="FJ550" s="14">
        <f>INDEX(属性投放!$BQ$6:$BQ$85,(卡牌属性!$DW550-2)*20+卡牌属性!$DX550)</f>
        <v>160</v>
      </c>
      <c r="FK550" s="14">
        <f>INDEX(属性投放!$BQ$6:$BQ$85,(卡牌属性!$DW550-2)*20+卡牌属性!$DX550)</f>
        <v>160</v>
      </c>
      <c r="FL550" s="14">
        <f>INDEX(属性投放!$BQ$6:$BQ$85,(卡牌属性!$DW550-2)*20+卡牌属性!$DX550)</f>
        <v>160</v>
      </c>
      <c r="FM550" s="14">
        <f>INDEX(属性投放!$BR$6:$BR$85,(卡牌属性!$DW550-2)*20+卡牌属性!$DX550)</f>
        <v>80</v>
      </c>
      <c r="FN550" s="14">
        <f>INDEX(属性投放!$BR$6:$BR$85,(卡牌属性!$DW550-2)*20+卡牌属性!$DX550)</f>
        <v>80</v>
      </c>
      <c r="FO550" s="14">
        <f>INDEX(属性投放!$BR$6:$BR$85,(卡牌属性!$DW550-2)*20+卡牌属性!$DX550)</f>
        <v>80</v>
      </c>
      <c r="FP550" s="14">
        <f>INDEX(属性投放!$BR$6:$BR$85,(卡牌属性!$DW550-2)*20+卡牌属性!$DX550)</f>
        <v>80</v>
      </c>
      <c r="FQ550" s="14">
        <f>INDEX(属性投放!$BR$6:$BR$85,(卡牌属性!$DW550-2)*20+卡牌属性!$DX550)</f>
        <v>80</v>
      </c>
      <c r="FR550" s="14">
        <f>INDEX(属性投放!$BS$6:$BS$85,(卡牌属性!$DW550-2)*20+卡牌属性!$DX550)</f>
        <v>1120</v>
      </c>
      <c r="FS550" s="14">
        <f>INDEX(属性投放!$BS$6:$BS$85,(卡牌属性!$DW550-2)*20+卡牌属性!$DX550)</f>
        <v>1120</v>
      </c>
      <c r="FT550" s="14">
        <f>INDEX(属性投放!$BS$6:$BS$85,(卡牌属性!$DW550-2)*20+卡牌属性!$DX550)</f>
        <v>1120</v>
      </c>
      <c r="FU550" s="14">
        <f>INDEX(属性投放!$BS$6:$BS$85,(卡牌属性!$DW550-2)*20+卡牌属性!$DX550)</f>
        <v>1120</v>
      </c>
      <c r="FV550" s="14">
        <f>INDEX(属性投放!$BS$6:$BS$85,(卡牌属性!$DW550-2)*20+卡牌属性!$DX550)</f>
        <v>1120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15"/>
        <v>28</v>
      </c>
      <c r="BY551" s="14">
        <f t="shared" si="916"/>
        <v>4</v>
      </c>
      <c r="BZ551" s="14">
        <f t="shared" si="919"/>
        <v>1102031</v>
      </c>
      <c r="CA551" s="14" t="str">
        <f t="shared" si="920"/>
        <v>秦琼7突</v>
      </c>
      <c r="CB551" s="25" t="s">
        <v>142</v>
      </c>
      <c r="CC551" s="14">
        <v>2</v>
      </c>
      <c r="CD551" s="14">
        <f t="shared" si="917"/>
        <v>7</v>
      </c>
      <c r="CE551" s="14" t="s">
        <v>21</v>
      </c>
      <c r="CF551" s="14">
        <f>INDEX(属性投放!$AZ$6:$AZ$85,(BY551-2)*20+CD551)</f>
        <v>1998</v>
      </c>
      <c r="CG551" s="14" t="s">
        <v>22</v>
      </c>
      <c r="CH551" s="14">
        <f>INDEX(属性投放!$BA$6:$BA$85,(BY551-2)*20+CD551)</f>
        <v>938</v>
      </c>
      <c r="CI551" s="14" t="s">
        <v>510</v>
      </c>
      <c r="CJ551" s="14">
        <f>INDEX(属性投放!$BB$6:$BB$85,(BY551-2)*20+CD551)</f>
        <v>12728</v>
      </c>
      <c r="CK551" s="14" t="s">
        <v>21</v>
      </c>
      <c r="CL551" s="14">
        <f>INDEX(属性投放!$BC$6:$BC$85,(BY551-2)*20+CD551)</f>
        <v>25</v>
      </c>
      <c r="CM551" s="14" t="s">
        <v>22</v>
      </c>
      <c r="CN551" s="14">
        <f>INDEX(属性投放!$BD$6:$BD$85,(BY551-2)*20+CD551)</f>
        <v>13</v>
      </c>
      <c r="CO551" s="14" t="s">
        <v>510</v>
      </c>
      <c r="CP551" s="14">
        <f>INDEX(属性投放!$BE$6:$BE$85,(BY551-2)*20+CD551)</f>
        <v>200</v>
      </c>
      <c r="CS551" s="13">
        <v>547</v>
      </c>
      <c r="CT551" s="13">
        <f t="shared" si="921"/>
        <v>11</v>
      </c>
      <c r="CU551" s="13">
        <f t="shared" si="922"/>
        <v>27</v>
      </c>
      <c r="CV551" s="14">
        <f t="shared" si="923"/>
        <v>4</v>
      </c>
      <c r="CW551" s="14">
        <f t="shared" si="924"/>
        <v>1102011</v>
      </c>
      <c r="CX551" s="14" t="str">
        <f>INDEX($O$6:$O$50,CT551)&amp;"-"&amp;INDEX(属性投放!$AB$7:$AB$50,CZ551)&amp;"-魂火-"&amp;DB551</f>
        <v>张飞-大叫唤+2-魂火-3</v>
      </c>
      <c r="CY551" s="25" t="s">
        <v>142</v>
      </c>
      <c r="CZ551" s="14">
        <f>INDEX(属性投放!$AM$7:$AM$58,CU551)</f>
        <v>12</v>
      </c>
      <c r="DA551" s="14" t="s">
        <v>537</v>
      </c>
      <c r="DB551" s="14">
        <f>INDEX(属性投放!$AN$7:$AN$58,CU551)</f>
        <v>3</v>
      </c>
      <c r="DC551" s="14">
        <f t="shared" si="918"/>
        <v>27</v>
      </c>
      <c r="DD551" s="14">
        <f>INDEX(属性投放!$AO$7:$AO$58,DC551)</f>
        <v>85</v>
      </c>
      <c r="DE551" s="14" t="s">
        <v>538</v>
      </c>
      <c r="DF551" s="14">
        <f>INDEX(属性投放!$BK$6:$BK$85,(CV551-2)*20+CZ551)</f>
        <v>225</v>
      </c>
      <c r="DG551" s="14">
        <f>SUMIFS(DF$5:DF551,$CT$5:$CT551,"="&amp;$CT551)</f>
        <v>2755</v>
      </c>
      <c r="DH551" s="14" t="s">
        <v>539</v>
      </c>
      <c r="DI551" s="14">
        <f>INDEX(属性投放!$BL$6:$BL$85,(CV551-2)*20+CZ551)</f>
        <v>113</v>
      </c>
      <c r="DJ551" s="14">
        <f>SUMIFS(DI$5:DI551,$CT$5:$CT551,"="&amp;$CT551)</f>
        <v>1384</v>
      </c>
      <c r="DK551" s="14" t="s">
        <v>540</v>
      </c>
      <c r="DL551" s="14">
        <f>INDEX(属性投放!$BM$6:$BM$85,(CV551-2)*20+CZ551)</f>
        <v>2025</v>
      </c>
      <c r="DM551" s="14">
        <f>SUMIFS(DL$5:DL551,$CT$5:$CT551,"="&amp;$CT551)</f>
        <v>22985</v>
      </c>
      <c r="DR551" s="14">
        <f t="shared" si="960"/>
        <v>1102031</v>
      </c>
      <c r="DS551" s="14" t="str">
        <f t="shared" si="961"/>
        <v>秦琼7突</v>
      </c>
      <c r="DT551" s="14">
        <f t="shared" si="925"/>
        <v>7</v>
      </c>
      <c r="DU551" s="14">
        <f t="shared" si="926"/>
        <v>7</v>
      </c>
      <c r="DV551" s="14">
        <f t="shared" si="927"/>
        <v>7</v>
      </c>
      <c r="DW551" s="14">
        <f t="shared" si="962"/>
        <v>4</v>
      </c>
      <c r="DX551" s="14">
        <f t="shared" si="963"/>
        <v>7</v>
      </c>
      <c r="DY551" s="14">
        <f t="shared" si="964"/>
        <v>47</v>
      </c>
      <c r="DZ551" s="14">
        <f>INDEX(属性投放!$AX$6:$AX$85,(卡牌属性!DW551-2)*20+卡牌属性!DX551)</f>
        <v>5</v>
      </c>
      <c r="EA551" s="14">
        <f>INDEX(属性投放!BQ$6:BQ$85,卡牌属性!$DY551)</f>
        <v>165</v>
      </c>
      <c r="EB551" s="14">
        <f>INDEX(属性投放!BR$6:BR$85,卡牌属性!$DY551)</f>
        <v>83</v>
      </c>
      <c r="EC551" s="14">
        <f>INDEX(属性投放!BS$6:BS$85,卡牌属性!$DY551)</f>
        <v>1320</v>
      </c>
      <c r="ED551" s="14">
        <f t="shared" si="966"/>
        <v>1523</v>
      </c>
      <c r="EE551" s="14">
        <f t="shared" si="967"/>
        <v>1661</v>
      </c>
      <c r="EF551" s="14">
        <f t="shared" si="968"/>
        <v>1845</v>
      </c>
      <c r="EG551" s="14">
        <f t="shared" si="969"/>
        <v>1845</v>
      </c>
      <c r="EH551" s="14">
        <f t="shared" si="970"/>
        <v>2125</v>
      </c>
      <c r="EI551" s="14">
        <f t="shared" si="971"/>
        <v>722</v>
      </c>
      <c r="EJ551" s="14">
        <f t="shared" si="972"/>
        <v>793</v>
      </c>
      <c r="EK551" s="14">
        <f t="shared" si="973"/>
        <v>793</v>
      </c>
      <c r="EL551" s="14">
        <f t="shared" si="974"/>
        <v>886</v>
      </c>
      <c r="EM551" s="14">
        <f t="shared" si="975"/>
        <v>1048</v>
      </c>
      <c r="EN551" s="14">
        <f t="shared" si="976"/>
        <v>9558</v>
      </c>
      <c r="EO551" s="14">
        <f t="shared" si="977"/>
        <v>10330</v>
      </c>
      <c r="EP551" s="14">
        <f t="shared" si="978"/>
        <v>10330</v>
      </c>
      <c r="EQ551" s="14">
        <f t="shared" si="979"/>
        <v>11400</v>
      </c>
      <c r="ER551" s="14">
        <f t="shared" si="980"/>
        <v>13190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200</v>
      </c>
      <c r="FD551" s="14">
        <f>INDEX(属性偏向!$U$4:$U$243,(卡牌属性!$DV551-1+FD$3)*20+卡牌属性!$DX551)</f>
        <v>224</v>
      </c>
      <c r="FE551" s="14">
        <f>INDEX(属性偏向!$U$4:$U$243,(卡牌属性!$DV551-1+FE$3)*20+卡牌属性!$DX551)</f>
        <v>224</v>
      </c>
      <c r="FF551" s="14">
        <f>INDEX(属性偏向!$U$4:$U$243,(卡牌属性!$DV551-1+FF$3)*20+卡牌属性!$DX551)</f>
        <v>240</v>
      </c>
      <c r="FG551" s="14">
        <f>INDEX(属性偏向!$U$4:$U$243,(卡牌属性!$DV551-1+FG$3)*20+卡牌属性!$DX551)</f>
        <v>320</v>
      </c>
      <c r="FH551" s="14">
        <f>INDEX(属性投放!$BQ$6:$BQ$85,(卡牌属性!$DW551-2)*20+卡牌属性!$DX551)</f>
        <v>165</v>
      </c>
      <c r="FI551" s="14">
        <f>INDEX(属性投放!$BQ$6:$BQ$85,(卡牌属性!$DW551-2)*20+卡牌属性!$DX551)</f>
        <v>165</v>
      </c>
      <c r="FJ551" s="14">
        <f>INDEX(属性投放!$BQ$6:$BQ$85,(卡牌属性!$DW551-2)*20+卡牌属性!$DX551)</f>
        <v>165</v>
      </c>
      <c r="FK551" s="14">
        <f>INDEX(属性投放!$BQ$6:$BQ$85,(卡牌属性!$DW551-2)*20+卡牌属性!$DX551)</f>
        <v>165</v>
      </c>
      <c r="FL551" s="14">
        <f>INDEX(属性投放!$BQ$6:$BQ$85,(卡牌属性!$DW551-2)*20+卡牌属性!$DX551)</f>
        <v>165</v>
      </c>
      <c r="FM551" s="14">
        <f>INDEX(属性投放!$BR$6:$BR$85,(卡牌属性!$DW551-2)*20+卡牌属性!$DX551)</f>
        <v>83</v>
      </c>
      <c r="FN551" s="14">
        <f>INDEX(属性投放!$BR$6:$BR$85,(卡牌属性!$DW551-2)*20+卡牌属性!$DX551)</f>
        <v>83</v>
      </c>
      <c r="FO551" s="14">
        <f>INDEX(属性投放!$BR$6:$BR$85,(卡牌属性!$DW551-2)*20+卡牌属性!$DX551)</f>
        <v>83</v>
      </c>
      <c r="FP551" s="14">
        <f>INDEX(属性投放!$BR$6:$BR$85,(卡牌属性!$DW551-2)*20+卡牌属性!$DX551)</f>
        <v>83</v>
      </c>
      <c r="FQ551" s="14">
        <f>INDEX(属性投放!$BR$6:$BR$85,(卡牌属性!$DW551-2)*20+卡牌属性!$DX551)</f>
        <v>83</v>
      </c>
      <c r="FR551" s="14">
        <f>INDEX(属性投放!$BS$6:$BS$85,(卡牌属性!$DW551-2)*20+卡牌属性!$DX551)</f>
        <v>1320</v>
      </c>
      <c r="FS551" s="14">
        <f>INDEX(属性投放!$BS$6:$BS$85,(卡牌属性!$DW551-2)*20+卡牌属性!$DX551)</f>
        <v>1320</v>
      </c>
      <c r="FT551" s="14">
        <f>INDEX(属性投放!$BS$6:$BS$85,(卡牌属性!$DW551-2)*20+卡牌属性!$DX551)</f>
        <v>1320</v>
      </c>
      <c r="FU551" s="14">
        <f>INDEX(属性投放!$BS$6:$BS$85,(卡牌属性!$DW551-2)*20+卡牌属性!$DX551)</f>
        <v>1320</v>
      </c>
      <c r="FV551" s="14">
        <f>INDEX(属性投放!$BS$6:$BS$85,(卡牌属性!$DW551-2)*20+卡牌属性!$DX551)</f>
        <v>1320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15"/>
        <v>28</v>
      </c>
      <c r="BY552" s="14">
        <f t="shared" si="916"/>
        <v>4</v>
      </c>
      <c r="BZ552" s="14">
        <f t="shared" si="919"/>
        <v>1102031</v>
      </c>
      <c r="CA552" s="14" t="str">
        <f t="shared" si="920"/>
        <v>秦琼8突</v>
      </c>
      <c r="CB552" s="25" t="s">
        <v>142</v>
      </c>
      <c r="CC552" s="14">
        <v>2</v>
      </c>
      <c r="CD552" s="14">
        <f t="shared" si="917"/>
        <v>8</v>
      </c>
      <c r="CE552" s="14" t="s">
        <v>21</v>
      </c>
      <c r="CF552" s="14">
        <f>INDEX(属性投放!$AZ$6:$AZ$85,(BY552-2)*20+CD552)</f>
        <v>2448</v>
      </c>
      <c r="CG552" s="14" t="s">
        <v>22</v>
      </c>
      <c r="CH552" s="14">
        <f>INDEX(属性投放!$BA$6:$BA$85,(BY552-2)*20+CD552)</f>
        <v>1166</v>
      </c>
      <c r="CI552" s="14" t="s">
        <v>510</v>
      </c>
      <c r="CJ552" s="14">
        <f>INDEX(属性投放!$BB$6:$BB$85,(BY552-2)*20+CD552)</f>
        <v>16328</v>
      </c>
      <c r="CK552" s="14" t="s">
        <v>21</v>
      </c>
      <c r="CL552" s="14">
        <f>INDEX(属性投放!$BC$6:$BC$85,(BY552-2)*20+CD552)</f>
        <v>25</v>
      </c>
      <c r="CM552" s="14" t="s">
        <v>22</v>
      </c>
      <c r="CN552" s="14">
        <f>INDEX(属性投放!$BD$6:$BD$85,(BY552-2)*20+CD552)</f>
        <v>13</v>
      </c>
      <c r="CO552" s="14" t="s">
        <v>510</v>
      </c>
      <c r="CP552" s="14">
        <f>INDEX(属性投放!$BE$6:$BE$85,(BY552-2)*20+CD552)</f>
        <v>200</v>
      </c>
      <c r="CS552" s="13">
        <v>548</v>
      </c>
      <c r="CT552" s="13">
        <f t="shared" si="921"/>
        <v>11</v>
      </c>
      <c r="CU552" s="13">
        <f t="shared" si="922"/>
        <v>28</v>
      </c>
      <c r="CV552" s="14">
        <f t="shared" si="923"/>
        <v>4</v>
      </c>
      <c r="CW552" s="14">
        <f t="shared" si="924"/>
        <v>1102011</v>
      </c>
      <c r="CX552" s="14" t="str">
        <f>INDEX($O$6:$O$50,CT552)&amp;"-"&amp;INDEX(属性投放!$AB$7:$AB$50,CZ552)&amp;"-魂火-"&amp;DB552</f>
        <v>张飞-焦热-魂火-1</v>
      </c>
      <c r="CY552" s="25" t="s">
        <v>142</v>
      </c>
      <c r="CZ552" s="14">
        <f>INDEX(属性投放!$AM$7:$AM$58,CU552)</f>
        <v>13</v>
      </c>
      <c r="DA552" s="14" t="s">
        <v>537</v>
      </c>
      <c r="DB552" s="14">
        <f>INDEX(属性投放!$AN$7:$AN$58,CU552)</f>
        <v>1</v>
      </c>
      <c r="DC552" s="14">
        <f t="shared" si="918"/>
        <v>28</v>
      </c>
      <c r="DD552" s="14">
        <f>INDEX(属性投放!$AO$7:$AO$58,DC552)</f>
        <v>88</v>
      </c>
      <c r="DE552" s="14" t="s">
        <v>538</v>
      </c>
      <c r="DF552" s="14">
        <f>INDEX(属性投放!$BK$6:$BK$85,(CV552-2)*20+CZ552)</f>
        <v>275</v>
      </c>
      <c r="DG552" s="14">
        <f>SUMIFS(DF$5:DF552,$CT$5:$CT552,"="&amp;$CT552)</f>
        <v>3030</v>
      </c>
      <c r="DH552" s="14" t="s">
        <v>539</v>
      </c>
      <c r="DI552" s="14">
        <f>INDEX(属性投放!$BL$6:$BL$85,(CV552-2)*20+CZ552)</f>
        <v>138</v>
      </c>
      <c r="DJ552" s="14">
        <f>SUMIFS(DI$5:DI552,$CT$5:$CT552,"="&amp;$CT552)</f>
        <v>1522</v>
      </c>
      <c r="DK552" s="14" t="s">
        <v>540</v>
      </c>
      <c r="DL552" s="14">
        <f>INDEX(属性投放!$BM$6:$BM$85,(CV552-2)*20+CZ552)</f>
        <v>2750</v>
      </c>
      <c r="DM552" s="14">
        <f>SUMIFS(DL$5:DL552,$CT$5:$CT552,"="&amp;$CT552)</f>
        <v>25735</v>
      </c>
      <c r="DR552" s="14">
        <f t="shared" si="960"/>
        <v>1102031</v>
      </c>
      <c r="DS552" s="14" t="str">
        <f t="shared" si="961"/>
        <v>秦琼8突</v>
      </c>
      <c r="DT552" s="14">
        <f t="shared" si="925"/>
        <v>7</v>
      </c>
      <c r="DU552" s="14">
        <f t="shared" si="926"/>
        <v>7</v>
      </c>
      <c r="DV552" s="14">
        <f t="shared" si="927"/>
        <v>7</v>
      </c>
      <c r="DW552" s="14">
        <f t="shared" si="962"/>
        <v>4</v>
      </c>
      <c r="DX552" s="14">
        <f t="shared" si="963"/>
        <v>8</v>
      </c>
      <c r="DY552" s="14">
        <f t="shared" si="964"/>
        <v>48</v>
      </c>
      <c r="DZ552" s="14">
        <f>INDEX(属性投放!$AX$6:$AX$85,(卡牌属性!DW552-2)*20+卡牌属性!DX552)</f>
        <v>5</v>
      </c>
      <c r="EA552" s="14">
        <f>INDEX(属性投放!BQ$6:BQ$85,卡牌属性!$DY552)</f>
        <v>125</v>
      </c>
      <c r="EB552" s="14">
        <f>INDEX(属性投放!BR$6:BR$85,卡牌属性!$DY552)</f>
        <v>63</v>
      </c>
      <c r="EC552" s="14">
        <f>INDEX(属性投放!BS$6:BS$85,卡牌属性!$DY552)</f>
        <v>1000</v>
      </c>
      <c r="ED552" s="14">
        <f t="shared" si="966"/>
        <v>1813</v>
      </c>
      <c r="EE552" s="14">
        <f t="shared" si="967"/>
        <v>1966</v>
      </c>
      <c r="EF552" s="14">
        <f t="shared" si="968"/>
        <v>2160</v>
      </c>
      <c r="EG552" s="14">
        <f t="shared" si="969"/>
        <v>2160</v>
      </c>
      <c r="EH552" s="14">
        <f t="shared" si="970"/>
        <v>2490</v>
      </c>
      <c r="EI552" s="14">
        <f t="shared" si="971"/>
        <v>870</v>
      </c>
      <c r="EJ552" s="14">
        <f t="shared" si="972"/>
        <v>946</v>
      </c>
      <c r="EK552" s="14">
        <f t="shared" si="973"/>
        <v>946</v>
      </c>
      <c r="EL552" s="14">
        <f t="shared" si="974"/>
        <v>1044</v>
      </c>
      <c r="EM552" s="14">
        <f t="shared" si="975"/>
        <v>1231</v>
      </c>
      <c r="EN552" s="14">
        <f t="shared" si="976"/>
        <v>11878</v>
      </c>
      <c r="EO552" s="14">
        <f t="shared" si="977"/>
        <v>12770</v>
      </c>
      <c r="EP552" s="14">
        <f t="shared" si="978"/>
        <v>12770</v>
      </c>
      <c r="EQ552" s="14">
        <f t="shared" si="979"/>
        <v>13920</v>
      </c>
      <c r="ER552" s="14">
        <f t="shared" si="980"/>
        <v>16110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200</v>
      </c>
      <c r="FD552" s="14">
        <f>INDEX(属性偏向!$U$4:$U$243,(卡牌属性!$DV552-1+FD$3)*20+卡牌属性!$DX552)</f>
        <v>224</v>
      </c>
      <c r="FE552" s="14">
        <f>INDEX(属性偏向!$U$4:$U$243,(卡牌属性!$DV552-1+FE$3)*20+卡牌属性!$DX552)</f>
        <v>224</v>
      </c>
      <c r="FF552" s="14">
        <f>INDEX(属性偏向!$U$4:$U$243,(卡牌属性!$DV552-1+FF$3)*20+卡牌属性!$DX552)</f>
        <v>240</v>
      </c>
      <c r="FG552" s="14">
        <f>INDEX(属性偏向!$U$4:$U$243,(卡牌属性!$DV552-1+FG$3)*20+卡牌属性!$DX552)</f>
        <v>320</v>
      </c>
      <c r="FH552" s="14">
        <f>INDEX(属性投放!$BQ$6:$BQ$85,(卡牌属性!$DW552-2)*20+卡牌属性!$DX552)</f>
        <v>125</v>
      </c>
      <c r="FI552" s="14">
        <f>INDEX(属性投放!$BQ$6:$BQ$85,(卡牌属性!$DW552-2)*20+卡牌属性!$DX552)</f>
        <v>125</v>
      </c>
      <c r="FJ552" s="14">
        <f>INDEX(属性投放!$BQ$6:$BQ$85,(卡牌属性!$DW552-2)*20+卡牌属性!$DX552)</f>
        <v>125</v>
      </c>
      <c r="FK552" s="14">
        <f>INDEX(属性投放!$BQ$6:$BQ$85,(卡牌属性!$DW552-2)*20+卡牌属性!$DX552)</f>
        <v>125</v>
      </c>
      <c r="FL552" s="14">
        <f>INDEX(属性投放!$BQ$6:$BQ$85,(卡牌属性!$DW552-2)*20+卡牌属性!$DX552)</f>
        <v>125</v>
      </c>
      <c r="FM552" s="14">
        <f>INDEX(属性投放!$BR$6:$BR$85,(卡牌属性!$DW552-2)*20+卡牌属性!$DX552)</f>
        <v>63</v>
      </c>
      <c r="FN552" s="14">
        <f>INDEX(属性投放!$BR$6:$BR$85,(卡牌属性!$DW552-2)*20+卡牌属性!$DX552)</f>
        <v>63</v>
      </c>
      <c r="FO552" s="14">
        <f>INDEX(属性投放!$BR$6:$BR$85,(卡牌属性!$DW552-2)*20+卡牌属性!$DX552)</f>
        <v>63</v>
      </c>
      <c r="FP552" s="14">
        <f>INDEX(属性投放!$BR$6:$BR$85,(卡牌属性!$DW552-2)*20+卡牌属性!$DX552)</f>
        <v>63</v>
      </c>
      <c r="FQ552" s="14">
        <f>INDEX(属性投放!$BR$6:$BR$85,(卡牌属性!$DW552-2)*20+卡牌属性!$DX552)</f>
        <v>63</v>
      </c>
      <c r="FR552" s="14">
        <f>INDEX(属性投放!$BS$6:$BS$85,(卡牌属性!$DW552-2)*20+卡牌属性!$DX552)</f>
        <v>1000</v>
      </c>
      <c r="FS552" s="14">
        <f>INDEX(属性投放!$BS$6:$BS$85,(卡牌属性!$DW552-2)*20+卡牌属性!$DX552)</f>
        <v>1000</v>
      </c>
      <c r="FT552" s="14">
        <f>INDEX(属性投放!$BS$6:$BS$85,(卡牌属性!$DW552-2)*20+卡牌属性!$DX552)</f>
        <v>1000</v>
      </c>
      <c r="FU552" s="14">
        <f>INDEX(属性投放!$BS$6:$BS$85,(卡牌属性!$DW552-2)*20+卡牌属性!$DX552)</f>
        <v>1000</v>
      </c>
      <c r="FV552" s="14">
        <f>INDEX(属性投放!$BS$6:$BS$85,(卡牌属性!$DW552-2)*20+卡牌属性!$DX552)</f>
        <v>1000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15"/>
        <v>28</v>
      </c>
      <c r="BY553" s="14">
        <f t="shared" si="916"/>
        <v>4</v>
      </c>
      <c r="BZ553" s="14">
        <f t="shared" si="919"/>
        <v>1102031</v>
      </c>
      <c r="CA553" s="14" t="str">
        <f t="shared" si="920"/>
        <v>秦琼9突</v>
      </c>
      <c r="CB553" s="25" t="s">
        <v>142</v>
      </c>
      <c r="CC553" s="14">
        <v>2</v>
      </c>
      <c r="CD553" s="14">
        <f t="shared" si="917"/>
        <v>9</v>
      </c>
      <c r="CE553" s="14" t="s">
        <v>21</v>
      </c>
      <c r="CF553" s="14">
        <f>INDEX(属性投放!$AZ$6:$AZ$85,(BY553-2)*20+CD553)</f>
        <v>2898</v>
      </c>
      <c r="CG553" s="14" t="s">
        <v>22</v>
      </c>
      <c r="CH553" s="14">
        <f>INDEX(属性投放!$BA$6:$BA$85,(BY553-2)*20+CD553)</f>
        <v>1394</v>
      </c>
      <c r="CI553" s="14" t="s">
        <v>510</v>
      </c>
      <c r="CJ553" s="14">
        <f>INDEX(属性投放!$BB$6:$BB$85,(BY553-2)*20+CD553)</f>
        <v>19928</v>
      </c>
      <c r="CK553" s="14" t="s">
        <v>21</v>
      </c>
      <c r="CL553" s="14">
        <f>INDEX(属性投放!$BC$6:$BC$85,(BY553-2)*20+CD553)</f>
        <v>25</v>
      </c>
      <c r="CM553" s="14" t="s">
        <v>22</v>
      </c>
      <c r="CN553" s="14">
        <f>INDEX(属性投放!$BD$6:$BD$85,(BY553-2)*20+CD553)</f>
        <v>13</v>
      </c>
      <c r="CO553" s="14" t="s">
        <v>510</v>
      </c>
      <c r="CP553" s="14">
        <f>INDEX(属性投放!$BE$6:$BE$85,(BY553-2)*20+CD553)</f>
        <v>200</v>
      </c>
      <c r="CS553" s="13">
        <v>549</v>
      </c>
      <c r="CT553" s="13">
        <f t="shared" si="921"/>
        <v>11</v>
      </c>
      <c r="CU553" s="13">
        <f t="shared" si="922"/>
        <v>29</v>
      </c>
      <c r="CV553" s="14">
        <f t="shared" si="923"/>
        <v>4</v>
      </c>
      <c r="CW553" s="14">
        <f t="shared" si="924"/>
        <v>1102011</v>
      </c>
      <c r="CX553" s="14" t="str">
        <f>INDEX($O$6:$O$50,CT553)&amp;"-"&amp;INDEX(属性投放!$AB$7:$AB$50,CZ553)&amp;"-魂火-"&amp;DB553</f>
        <v>张飞-焦热-魂火-2</v>
      </c>
      <c r="CY553" s="25" t="s">
        <v>142</v>
      </c>
      <c r="CZ553" s="14">
        <f>INDEX(属性投放!$AM$7:$AM$58,CU553)</f>
        <v>13</v>
      </c>
      <c r="DA553" s="14" t="s">
        <v>537</v>
      </c>
      <c r="DB553" s="14">
        <f>INDEX(属性投放!$AN$7:$AN$58,CU553)</f>
        <v>2</v>
      </c>
      <c r="DC553" s="14">
        <f t="shared" si="918"/>
        <v>29</v>
      </c>
      <c r="DD553" s="14">
        <f>INDEX(属性投放!$AO$7:$AO$58,DC553)</f>
        <v>90</v>
      </c>
      <c r="DE553" s="14" t="s">
        <v>538</v>
      </c>
      <c r="DF553" s="14">
        <f>INDEX(属性投放!$BK$6:$BK$85,(CV553-2)*20+CZ553)</f>
        <v>275</v>
      </c>
      <c r="DG553" s="14">
        <f>SUMIFS(DF$5:DF553,$CT$5:$CT553,"="&amp;$CT553)</f>
        <v>3305</v>
      </c>
      <c r="DH553" s="14" t="s">
        <v>539</v>
      </c>
      <c r="DI553" s="14">
        <f>INDEX(属性投放!$BL$6:$BL$85,(CV553-2)*20+CZ553)</f>
        <v>138</v>
      </c>
      <c r="DJ553" s="14">
        <f>SUMIFS(DI$5:DI553,$CT$5:$CT553,"="&amp;$CT553)</f>
        <v>1660</v>
      </c>
      <c r="DK553" s="14" t="s">
        <v>540</v>
      </c>
      <c r="DL553" s="14">
        <f>INDEX(属性投放!$BM$6:$BM$85,(CV553-2)*20+CZ553)</f>
        <v>2750</v>
      </c>
      <c r="DM553" s="14">
        <f>SUMIFS(DL$5:DL553,$CT$5:$CT553,"="&amp;$CT553)</f>
        <v>28485</v>
      </c>
      <c r="DR553" s="14">
        <f t="shared" si="960"/>
        <v>1102031</v>
      </c>
      <c r="DS553" s="14" t="str">
        <f t="shared" si="961"/>
        <v>秦琼9突</v>
      </c>
      <c r="DT553" s="14">
        <f t="shared" si="925"/>
        <v>7</v>
      </c>
      <c r="DU553" s="14">
        <f t="shared" si="926"/>
        <v>7</v>
      </c>
      <c r="DV553" s="14">
        <f t="shared" si="927"/>
        <v>7</v>
      </c>
      <c r="DW553" s="14">
        <f t="shared" si="962"/>
        <v>4</v>
      </c>
      <c r="DX553" s="14">
        <f t="shared" si="963"/>
        <v>9</v>
      </c>
      <c r="DY553" s="14">
        <f t="shared" si="964"/>
        <v>49</v>
      </c>
      <c r="DZ553" s="14">
        <f>INDEX(属性投放!$AX$6:$AX$85,(卡牌属性!DW553-2)*20+卡牌属性!DX553)</f>
        <v>8</v>
      </c>
      <c r="EA553" s="14">
        <f>INDEX(属性投放!BQ$6:BQ$85,卡牌属性!$DY553)</f>
        <v>200</v>
      </c>
      <c r="EB553" s="14">
        <f>INDEX(属性投放!BR$6:BR$85,卡牌属性!$DY553)</f>
        <v>100</v>
      </c>
      <c r="EC553" s="14">
        <f>INDEX(属性投放!BS$6:BS$85,卡牌属性!$DY553)</f>
        <v>1600</v>
      </c>
      <c r="ED553" s="14">
        <f t="shared" si="966"/>
        <v>2063</v>
      </c>
      <c r="EE553" s="14">
        <f t="shared" si="967"/>
        <v>2231</v>
      </c>
      <c r="EF553" s="14">
        <f t="shared" si="968"/>
        <v>2435</v>
      </c>
      <c r="EG553" s="14">
        <f t="shared" si="969"/>
        <v>2435</v>
      </c>
      <c r="EH553" s="14">
        <f t="shared" si="970"/>
        <v>2815</v>
      </c>
      <c r="EI553" s="14">
        <f t="shared" si="971"/>
        <v>998</v>
      </c>
      <c r="EJ553" s="14">
        <f t="shared" si="972"/>
        <v>1079</v>
      </c>
      <c r="EK553" s="14">
        <f t="shared" si="973"/>
        <v>1079</v>
      </c>
      <c r="EL553" s="14">
        <f t="shared" si="974"/>
        <v>1182</v>
      </c>
      <c r="EM553" s="14">
        <f t="shared" si="975"/>
        <v>1394</v>
      </c>
      <c r="EN553" s="14">
        <f t="shared" si="976"/>
        <v>13878</v>
      </c>
      <c r="EO553" s="14">
        <f t="shared" si="977"/>
        <v>14890</v>
      </c>
      <c r="EP553" s="14">
        <f t="shared" si="978"/>
        <v>14890</v>
      </c>
      <c r="EQ553" s="14">
        <f t="shared" si="979"/>
        <v>16120</v>
      </c>
      <c r="ER553" s="14">
        <f t="shared" si="980"/>
        <v>18710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200</v>
      </c>
      <c r="FD553" s="14">
        <f>INDEX(属性偏向!$U$4:$U$243,(卡牌属性!$DV553-1+FD$3)*20+卡牌属性!$DX553)</f>
        <v>224</v>
      </c>
      <c r="FE553" s="14">
        <f>INDEX(属性偏向!$U$4:$U$243,(卡牌属性!$DV553-1+FE$3)*20+卡牌属性!$DX553)</f>
        <v>224</v>
      </c>
      <c r="FF553" s="14">
        <f>INDEX(属性偏向!$U$4:$U$243,(卡牌属性!$DV553-1+FF$3)*20+卡牌属性!$DX553)</f>
        <v>240</v>
      </c>
      <c r="FG553" s="14">
        <f>INDEX(属性偏向!$U$4:$U$243,(卡牌属性!$DV553-1+FG$3)*20+卡牌属性!$DX553)</f>
        <v>320</v>
      </c>
      <c r="FH553" s="14">
        <f>INDEX(属性投放!$BQ$6:$BQ$85,(卡牌属性!$DW553-2)*20+卡牌属性!$DX553)</f>
        <v>200</v>
      </c>
      <c r="FI553" s="14">
        <f>INDEX(属性投放!$BQ$6:$BQ$85,(卡牌属性!$DW553-2)*20+卡牌属性!$DX553)</f>
        <v>200</v>
      </c>
      <c r="FJ553" s="14">
        <f>INDEX(属性投放!$BQ$6:$BQ$85,(卡牌属性!$DW553-2)*20+卡牌属性!$DX553)</f>
        <v>200</v>
      </c>
      <c r="FK553" s="14">
        <f>INDEX(属性投放!$BQ$6:$BQ$85,(卡牌属性!$DW553-2)*20+卡牌属性!$DX553)</f>
        <v>200</v>
      </c>
      <c r="FL553" s="14">
        <f>INDEX(属性投放!$BQ$6:$BQ$85,(卡牌属性!$DW553-2)*20+卡牌属性!$DX553)</f>
        <v>200</v>
      </c>
      <c r="FM553" s="14">
        <f>INDEX(属性投放!$BR$6:$BR$85,(卡牌属性!$DW553-2)*20+卡牌属性!$DX553)</f>
        <v>100</v>
      </c>
      <c r="FN553" s="14">
        <f>INDEX(属性投放!$BR$6:$BR$85,(卡牌属性!$DW553-2)*20+卡牌属性!$DX553)</f>
        <v>100</v>
      </c>
      <c r="FO553" s="14">
        <f>INDEX(属性投放!$BR$6:$BR$85,(卡牌属性!$DW553-2)*20+卡牌属性!$DX553)</f>
        <v>100</v>
      </c>
      <c r="FP553" s="14">
        <f>INDEX(属性投放!$BR$6:$BR$85,(卡牌属性!$DW553-2)*20+卡牌属性!$DX553)</f>
        <v>100</v>
      </c>
      <c r="FQ553" s="14">
        <f>INDEX(属性投放!$BR$6:$BR$85,(卡牌属性!$DW553-2)*20+卡牌属性!$DX553)</f>
        <v>100</v>
      </c>
      <c r="FR553" s="14">
        <f>INDEX(属性投放!$BS$6:$BS$85,(卡牌属性!$DW553-2)*20+卡牌属性!$DX553)</f>
        <v>1600</v>
      </c>
      <c r="FS553" s="14">
        <f>INDEX(属性投放!$BS$6:$BS$85,(卡牌属性!$DW553-2)*20+卡牌属性!$DX553)</f>
        <v>1600</v>
      </c>
      <c r="FT553" s="14">
        <f>INDEX(属性投放!$BS$6:$BS$85,(卡牌属性!$DW553-2)*20+卡牌属性!$DX553)</f>
        <v>1600</v>
      </c>
      <c r="FU553" s="14">
        <f>INDEX(属性投放!$BS$6:$BS$85,(卡牌属性!$DW553-2)*20+卡牌属性!$DX553)</f>
        <v>1600</v>
      </c>
      <c r="FV553" s="14">
        <f>INDEX(属性投放!$BS$6:$BS$85,(卡牌属性!$DW553-2)*20+卡牌属性!$DX553)</f>
        <v>1600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15"/>
        <v>28</v>
      </c>
      <c r="BY554" s="14">
        <f t="shared" si="916"/>
        <v>4</v>
      </c>
      <c r="BZ554" s="14">
        <f t="shared" si="919"/>
        <v>1102031</v>
      </c>
      <c r="CA554" s="14" t="str">
        <f t="shared" si="920"/>
        <v>秦琼10突</v>
      </c>
      <c r="CB554" s="25" t="s">
        <v>142</v>
      </c>
      <c r="CC554" s="14">
        <v>2</v>
      </c>
      <c r="CD554" s="14">
        <f t="shared" si="917"/>
        <v>10</v>
      </c>
      <c r="CE554" s="14" t="s">
        <v>21</v>
      </c>
      <c r="CF554" s="14">
        <f>INDEX(属性投放!$AZ$6:$AZ$85,(BY554-2)*20+CD554)</f>
        <v>3643</v>
      </c>
      <c r="CG554" s="14" t="s">
        <v>22</v>
      </c>
      <c r="CH554" s="14">
        <f>INDEX(属性投放!$BA$6:$BA$85,(BY554-2)*20+CD554)</f>
        <v>1772</v>
      </c>
      <c r="CI554" s="14" t="s">
        <v>510</v>
      </c>
      <c r="CJ554" s="14">
        <f>INDEX(属性投放!$BB$6:$BB$85,(BY554-2)*20+CD554)</f>
        <v>25888</v>
      </c>
      <c r="CK554" s="14" t="s">
        <v>21</v>
      </c>
      <c r="CL554" s="14">
        <f>INDEX(属性投放!$BC$6:$BC$85,(BY554-2)*20+CD554)</f>
        <v>30</v>
      </c>
      <c r="CM554" s="14" t="s">
        <v>22</v>
      </c>
      <c r="CN554" s="14">
        <f>INDEX(属性投放!$BD$6:$BD$85,(BY554-2)*20+CD554)</f>
        <v>15</v>
      </c>
      <c r="CO554" s="14" t="s">
        <v>510</v>
      </c>
      <c r="CP554" s="14">
        <f>INDEX(属性投放!$BE$6:$BE$85,(BY554-2)*20+CD554)</f>
        <v>270</v>
      </c>
      <c r="CS554" s="13">
        <v>550</v>
      </c>
      <c r="CT554" s="13">
        <f t="shared" si="921"/>
        <v>11</v>
      </c>
      <c r="CU554" s="13">
        <f t="shared" si="922"/>
        <v>30</v>
      </c>
      <c r="CV554" s="14">
        <f t="shared" si="923"/>
        <v>4</v>
      </c>
      <c r="CW554" s="14">
        <f t="shared" si="924"/>
        <v>1102011</v>
      </c>
      <c r="CX554" s="14" t="str">
        <f>INDEX($O$6:$O$50,CT554)&amp;"-"&amp;INDEX(属性投放!$AB$7:$AB$50,CZ554)&amp;"-魂火-"&amp;DB554</f>
        <v>张飞-焦热-魂火-3</v>
      </c>
      <c r="CY554" s="25" t="s">
        <v>142</v>
      </c>
      <c r="CZ554" s="14">
        <f>INDEX(属性投放!$AM$7:$AM$58,CU554)</f>
        <v>13</v>
      </c>
      <c r="DA554" s="14" t="s">
        <v>537</v>
      </c>
      <c r="DB554" s="14">
        <f>INDEX(属性投放!$AN$7:$AN$58,CU554)</f>
        <v>3</v>
      </c>
      <c r="DC554" s="14">
        <f t="shared" si="918"/>
        <v>30</v>
      </c>
      <c r="DD554" s="14">
        <f>INDEX(属性投放!$AO$7:$AO$58,DC554)</f>
        <v>93</v>
      </c>
      <c r="DE554" s="14" t="s">
        <v>538</v>
      </c>
      <c r="DF554" s="14">
        <f>INDEX(属性投放!$BK$6:$BK$85,(CV554-2)*20+CZ554)</f>
        <v>275</v>
      </c>
      <c r="DG554" s="14">
        <f>SUMIFS(DF$5:DF554,$CT$5:$CT554,"="&amp;$CT554)</f>
        <v>3580</v>
      </c>
      <c r="DH554" s="14" t="s">
        <v>539</v>
      </c>
      <c r="DI554" s="14">
        <f>INDEX(属性投放!$BL$6:$BL$85,(CV554-2)*20+CZ554)</f>
        <v>138</v>
      </c>
      <c r="DJ554" s="14">
        <f>SUMIFS(DI$5:DI554,$CT$5:$CT554,"="&amp;$CT554)</f>
        <v>1798</v>
      </c>
      <c r="DK554" s="14" t="s">
        <v>540</v>
      </c>
      <c r="DL554" s="14">
        <f>INDEX(属性投放!$BM$6:$BM$85,(CV554-2)*20+CZ554)</f>
        <v>2750</v>
      </c>
      <c r="DM554" s="14">
        <f>SUMIFS(DL$5:DL554,$CT$5:$CT554,"="&amp;$CT554)</f>
        <v>31235</v>
      </c>
      <c r="DR554" s="14">
        <f t="shared" si="960"/>
        <v>1102031</v>
      </c>
      <c r="DS554" s="14" t="str">
        <f t="shared" si="961"/>
        <v>秦琼10突</v>
      </c>
      <c r="DT554" s="14">
        <f t="shared" si="925"/>
        <v>7</v>
      </c>
      <c r="DU554" s="14">
        <f t="shared" si="926"/>
        <v>7</v>
      </c>
      <c r="DV554" s="14">
        <f t="shared" si="927"/>
        <v>7</v>
      </c>
      <c r="DW554" s="14">
        <f t="shared" si="962"/>
        <v>4</v>
      </c>
      <c r="DX554" s="14">
        <f t="shared" si="963"/>
        <v>10</v>
      </c>
      <c r="DY554" s="14">
        <f t="shared" si="964"/>
        <v>50</v>
      </c>
      <c r="DZ554" s="14">
        <f>INDEX(属性投放!$AX$6:$AX$85,(卡牌属性!DW554-2)*20+卡牌属性!DX554)</f>
        <v>7</v>
      </c>
      <c r="EA554" s="14">
        <f>INDEX(属性投放!BQ$6:BQ$85,卡牌属性!$DY554)</f>
        <v>200</v>
      </c>
      <c r="EB554" s="14">
        <f>INDEX(属性投放!BR$6:BR$85,卡牌属性!$DY554)</f>
        <v>100</v>
      </c>
      <c r="EC554" s="14">
        <f>INDEX(属性投放!BS$6:BS$85,卡牌属性!$DY554)</f>
        <v>1800</v>
      </c>
      <c r="ED554" s="14">
        <f t="shared" si="966"/>
        <v>2463</v>
      </c>
      <c r="EE554" s="14">
        <f t="shared" si="967"/>
        <v>2655</v>
      </c>
      <c r="EF554" s="14">
        <f t="shared" si="968"/>
        <v>2875</v>
      </c>
      <c r="EG554" s="14">
        <f t="shared" si="969"/>
        <v>2875</v>
      </c>
      <c r="EH554" s="14">
        <f t="shared" si="970"/>
        <v>3335</v>
      </c>
      <c r="EI554" s="14">
        <f t="shared" si="971"/>
        <v>1202</v>
      </c>
      <c r="EJ554" s="14">
        <f t="shared" si="972"/>
        <v>1291</v>
      </c>
      <c r="EK554" s="14">
        <f t="shared" si="973"/>
        <v>1291</v>
      </c>
      <c r="EL554" s="14">
        <f t="shared" si="974"/>
        <v>1402</v>
      </c>
      <c r="EM554" s="14">
        <f t="shared" si="975"/>
        <v>1654</v>
      </c>
      <c r="EN554" s="14">
        <f t="shared" si="976"/>
        <v>17078</v>
      </c>
      <c r="EO554" s="14">
        <f t="shared" si="977"/>
        <v>18282</v>
      </c>
      <c r="EP554" s="14">
        <f t="shared" si="978"/>
        <v>18282</v>
      </c>
      <c r="EQ554" s="14">
        <f t="shared" si="979"/>
        <v>19640</v>
      </c>
      <c r="ER554" s="14">
        <f t="shared" si="980"/>
        <v>22870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270</v>
      </c>
      <c r="FD554" s="14">
        <f>INDEX(属性偏向!$U$4:$U$243,(卡牌属性!$DV554-1+FD$3)*20+卡牌属性!$DX554)</f>
        <v>315</v>
      </c>
      <c r="FE554" s="14">
        <f>INDEX(属性偏向!$U$4:$U$243,(卡牌属性!$DV554-1+FE$3)*20+卡牌属性!$DX554)</f>
        <v>315</v>
      </c>
      <c r="FF554" s="14">
        <f>INDEX(属性偏向!$U$4:$U$243,(卡牌属性!$DV554-1+FF$3)*20+卡牌属性!$DX554)</f>
        <v>360</v>
      </c>
      <c r="FG554" s="14">
        <f>INDEX(属性偏向!$U$4:$U$243,(卡牌属性!$DV554-1+FG$3)*20+卡牌属性!$DX554)</f>
        <v>450</v>
      </c>
      <c r="FH554" s="14">
        <f>INDEX(属性投放!$BQ$6:$BQ$85,(卡牌属性!$DW554-2)*20+卡牌属性!$DX554)</f>
        <v>200</v>
      </c>
      <c r="FI554" s="14">
        <f>INDEX(属性投放!$BQ$6:$BQ$85,(卡牌属性!$DW554-2)*20+卡牌属性!$DX554)</f>
        <v>200</v>
      </c>
      <c r="FJ554" s="14">
        <f>INDEX(属性投放!$BQ$6:$BQ$85,(卡牌属性!$DW554-2)*20+卡牌属性!$DX554)</f>
        <v>200</v>
      </c>
      <c r="FK554" s="14">
        <f>INDEX(属性投放!$BQ$6:$BQ$85,(卡牌属性!$DW554-2)*20+卡牌属性!$DX554)</f>
        <v>200</v>
      </c>
      <c r="FL554" s="14">
        <f>INDEX(属性投放!$BQ$6:$BQ$85,(卡牌属性!$DW554-2)*20+卡牌属性!$DX554)</f>
        <v>200</v>
      </c>
      <c r="FM554" s="14">
        <f>INDEX(属性投放!$BR$6:$BR$85,(卡牌属性!$DW554-2)*20+卡牌属性!$DX554)</f>
        <v>100</v>
      </c>
      <c r="FN554" s="14">
        <f>INDEX(属性投放!$BR$6:$BR$85,(卡牌属性!$DW554-2)*20+卡牌属性!$DX554)</f>
        <v>100</v>
      </c>
      <c r="FO554" s="14">
        <f>INDEX(属性投放!$BR$6:$BR$85,(卡牌属性!$DW554-2)*20+卡牌属性!$DX554)</f>
        <v>100</v>
      </c>
      <c r="FP554" s="14">
        <f>INDEX(属性投放!$BR$6:$BR$85,(卡牌属性!$DW554-2)*20+卡牌属性!$DX554)</f>
        <v>100</v>
      </c>
      <c r="FQ554" s="14">
        <f>INDEX(属性投放!$BR$6:$BR$85,(卡牌属性!$DW554-2)*20+卡牌属性!$DX554)</f>
        <v>100</v>
      </c>
      <c r="FR554" s="14">
        <f>INDEX(属性投放!$BS$6:$BS$85,(卡牌属性!$DW554-2)*20+卡牌属性!$DX554)</f>
        <v>1800</v>
      </c>
      <c r="FS554" s="14">
        <f>INDEX(属性投放!$BS$6:$BS$85,(卡牌属性!$DW554-2)*20+卡牌属性!$DX554)</f>
        <v>1800</v>
      </c>
      <c r="FT554" s="14">
        <f>INDEX(属性投放!$BS$6:$BS$85,(卡牌属性!$DW554-2)*20+卡牌属性!$DX554)</f>
        <v>1800</v>
      </c>
      <c r="FU554" s="14">
        <f>INDEX(属性投放!$BS$6:$BS$85,(卡牌属性!$DW554-2)*20+卡牌属性!$DX554)</f>
        <v>1800</v>
      </c>
      <c r="FV554" s="14">
        <f>INDEX(属性投放!$BS$6:$BS$85,(卡牌属性!$DW554-2)*20+卡牌属性!$DX554)</f>
        <v>1800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15"/>
        <v>28</v>
      </c>
      <c r="BY555" s="14">
        <f t="shared" si="916"/>
        <v>4</v>
      </c>
      <c r="BZ555" s="14">
        <f t="shared" si="919"/>
        <v>1102031</v>
      </c>
      <c r="CA555" s="14" t="str">
        <f t="shared" si="920"/>
        <v>秦琼11突</v>
      </c>
      <c r="CB555" s="25" t="s">
        <v>142</v>
      </c>
      <c r="CC555" s="14">
        <v>2</v>
      </c>
      <c r="CD555" s="14">
        <f t="shared" si="917"/>
        <v>11</v>
      </c>
      <c r="CE555" s="14" t="s">
        <v>21</v>
      </c>
      <c r="CF555" s="14">
        <f>INDEX(属性投放!$AZ$6:$AZ$85,(BY555-2)*20+CD555)</f>
        <v>4443</v>
      </c>
      <c r="CG555" s="14" t="s">
        <v>22</v>
      </c>
      <c r="CH555" s="14">
        <f>INDEX(属性投放!$BA$6:$BA$85,(BY555-2)*20+CD555)</f>
        <v>2172</v>
      </c>
      <c r="CI555" s="14" t="s">
        <v>510</v>
      </c>
      <c r="CJ555" s="14">
        <f>INDEX(属性投放!$BB$6:$BB$85,(BY555-2)*20+CD555)</f>
        <v>33088</v>
      </c>
      <c r="CK555" s="14" t="s">
        <v>21</v>
      </c>
      <c r="CL555" s="14">
        <f>INDEX(属性投放!$BC$6:$BC$85,(BY555-2)*20+CD555)</f>
        <v>30</v>
      </c>
      <c r="CM555" s="14" t="s">
        <v>22</v>
      </c>
      <c r="CN555" s="14">
        <f>INDEX(属性投放!$BD$6:$BD$85,(BY555-2)*20+CD555)</f>
        <v>15</v>
      </c>
      <c r="CO555" s="14" t="s">
        <v>510</v>
      </c>
      <c r="CP555" s="14">
        <f>INDEX(属性投放!$BE$6:$BE$85,(BY555-2)*20+CD555)</f>
        <v>270</v>
      </c>
      <c r="CS555" s="13">
        <v>551</v>
      </c>
      <c r="CT555" s="13">
        <f t="shared" si="921"/>
        <v>11</v>
      </c>
      <c r="CU555" s="13">
        <f t="shared" si="922"/>
        <v>31</v>
      </c>
      <c r="CV555" s="14">
        <f t="shared" si="923"/>
        <v>4</v>
      </c>
      <c r="CW555" s="14">
        <f t="shared" si="924"/>
        <v>1102011</v>
      </c>
      <c r="CX555" s="14" t="str">
        <f>INDEX($O$6:$O$50,CT555)&amp;"-"&amp;INDEX(属性投放!$AB$7:$AB$50,CZ555)&amp;"-魂火-"&amp;DB555</f>
        <v>张飞-焦热+1-魂火-1</v>
      </c>
      <c r="CY555" s="25" t="s">
        <v>142</v>
      </c>
      <c r="CZ555" s="14">
        <f>INDEX(属性投放!$AM$7:$AM$58,CU555)</f>
        <v>14</v>
      </c>
      <c r="DA555" s="14" t="s">
        <v>537</v>
      </c>
      <c r="DB555" s="14">
        <f>INDEX(属性投放!$AN$7:$AN$58,CU555)</f>
        <v>1</v>
      </c>
      <c r="DC555" s="14">
        <f t="shared" si="918"/>
        <v>31</v>
      </c>
      <c r="DD555" s="14">
        <f>INDEX(属性投放!$AO$7:$AO$58,DC555)</f>
        <v>95</v>
      </c>
      <c r="DE555" s="14" t="s">
        <v>538</v>
      </c>
      <c r="DF555" s="14">
        <f>INDEX(属性投放!$BK$6:$BK$85,(CV555-2)*20+CZ555)</f>
        <v>320</v>
      </c>
      <c r="DG555" s="14">
        <f>SUMIFS(DF$5:DF555,$CT$5:$CT555,"="&amp;$CT555)</f>
        <v>3900</v>
      </c>
      <c r="DH555" s="14" t="s">
        <v>539</v>
      </c>
      <c r="DI555" s="14">
        <f>INDEX(属性投放!$BL$6:$BL$85,(CV555-2)*20+CZ555)</f>
        <v>160</v>
      </c>
      <c r="DJ555" s="14">
        <f>SUMIFS(DI$5:DI555,$CT$5:$CT555,"="&amp;$CT555)</f>
        <v>1958</v>
      </c>
      <c r="DK555" s="14" t="s">
        <v>540</v>
      </c>
      <c r="DL555" s="14">
        <f>INDEX(属性投放!$BM$6:$BM$85,(CV555-2)*20+CZ555)</f>
        <v>3200</v>
      </c>
      <c r="DM555" s="14">
        <f>SUMIFS(DL$5:DL555,$CT$5:$CT555,"="&amp;$CT555)</f>
        <v>34435</v>
      </c>
      <c r="DR555" s="14">
        <f t="shared" si="960"/>
        <v>1102031</v>
      </c>
      <c r="DS555" s="14" t="str">
        <f t="shared" si="961"/>
        <v>秦琼11突</v>
      </c>
      <c r="DT555" s="14">
        <f t="shared" si="925"/>
        <v>7</v>
      </c>
      <c r="DU555" s="14">
        <f t="shared" si="926"/>
        <v>7</v>
      </c>
      <c r="DV555" s="14">
        <f t="shared" si="927"/>
        <v>7</v>
      </c>
      <c r="DW555" s="14">
        <f t="shared" si="962"/>
        <v>4</v>
      </c>
      <c r="DX555" s="14">
        <f t="shared" si="963"/>
        <v>11</v>
      </c>
      <c r="DY555" s="14">
        <f t="shared" si="964"/>
        <v>51</v>
      </c>
      <c r="DZ555" s="14">
        <f>INDEX(属性投放!$AX$6:$AX$85,(卡牌属性!DW555-2)*20+卡牌属性!DX555)</f>
        <v>8</v>
      </c>
      <c r="EA555" s="14">
        <f>INDEX(属性投放!BQ$6:BQ$85,卡牌属性!$DY555)</f>
        <v>300</v>
      </c>
      <c r="EB555" s="14">
        <f>INDEX(属性投放!BR$6:BR$85,卡牌属性!$DY555)</f>
        <v>150</v>
      </c>
      <c r="EC555" s="14">
        <f>INDEX(属性投放!BS$6:BS$85,卡牌属性!$DY555)</f>
        <v>2700</v>
      </c>
      <c r="ED555" s="14">
        <f t="shared" si="966"/>
        <v>2873</v>
      </c>
      <c r="EE555" s="14">
        <f t="shared" si="967"/>
        <v>3100</v>
      </c>
      <c r="EF555" s="14">
        <f t="shared" si="968"/>
        <v>3355</v>
      </c>
      <c r="EG555" s="14">
        <f t="shared" si="969"/>
        <v>3355</v>
      </c>
      <c r="EH555" s="14">
        <f t="shared" si="970"/>
        <v>3885</v>
      </c>
      <c r="EI555" s="14">
        <f t="shared" si="971"/>
        <v>1407</v>
      </c>
      <c r="EJ555" s="14">
        <f t="shared" si="972"/>
        <v>1517</v>
      </c>
      <c r="EK555" s="14">
        <f t="shared" si="973"/>
        <v>1517</v>
      </c>
      <c r="EL555" s="14">
        <f t="shared" si="974"/>
        <v>1642</v>
      </c>
      <c r="EM555" s="14">
        <f t="shared" si="975"/>
        <v>1929</v>
      </c>
      <c r="EN555" s="14">
        <f t="shared" si="976"/>
        <v>20768</v>
      </c>
      <c r="EO555" s="14">
        <f t="shared" si="977"/>
        <v>22287</v>
      </c>
      <c r="EP555" s="14">
        <f t="shared" si="978"/>
        <v>22287</v>
      </c>
      <c r="EQ555" s="14">
        <f t="shared" si="979"/>
        <v>23960</v>
      </c>
      <c r="ER555" s="14">
        <f t="shared" si="980"/>
        <v>27820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270</v>
      </c>
      <c r="FD555" s="14">
        <f>INDEX(属性偏向!$U$4:$U$243,(卡牌属性!$DV555-1+FD$3)*20+卡牌属性!$DX555)</f>
        <v>315</v>
      </c>
      <c r="FE555" s="14">
        <f>INDEX(属性偏向!$U$4:$U$243,(卡牌属性!$DV555-1+FE$3)*20+卡牌属性!$DX555)</f>
        <v>315</v>
      </c>
      <c r="FF555" s="14">
        <f>INDEX(属性偏向!$U$4:$U$243,(卡牌属性!$DV555-1+FF$3)*20+卡牌属性!$DX555)</f>
        <v>360</v>
      </c>
      <c r="FG555" s="14">
        <f>INDEX(属性偏向!$U$4:$U$243,(卡牌属性!$DV555-1+FG$3)*20+卡牌属性!$DX555)</f>
        <v>450</v>
      </c>
      <c r="FH555" s="14">
        <f>INDEX(属性投放!$BQ$6:$BQ$85,(卡牌属性!$DW555-2)*20+卡牌属性!$DX555)</f>
        <v>300</v>
      </c>
      <c r="FI555" s="14">
        <f>INDEX(属性投放!$BQ$6:$BQ$85,(卡牌属性!$DW555-2)*20+卡牌属性!$DX555)</f>
        <v>300</v>
      </c>
      <c r="FJ555" s="14">
        <f>INDEX(属性投放!$BQ$6:$BQ$85,(卡牌属性!$DW555-2)*20+卡牌属性!$DX555)</f>
        <v>300</v>
      </c>
      <c r="FK555" s="14">
        <f>INDEX(属性投放!$BQ$6:$BQ$85,(卡牌属性!$DW555-2)*20+卡牌属性!$DX555)</f>
        <v>300</v>
      </c>
      <c r="FL555" s="14">
        <f>INDEX(属性投放!$BQ$6:$BQ$85,(卡牌属性!$DW555-2)*20+卡牌属性!$DX555)</f>
        <v>300</v>
      </c>
      <c r="FM555" s="14">
        <f>INDEX(属性投放!$BR$6:$BR$85,(卡牌属性!$DW555-2)*20+卡牌属性!$DX555)</f>
        <v>150</v>
      </c>
      <c r="FN555" s="14">
        <f>INDEX(属性投放!$BR$6:$BR$85,(卡牌属性!$DW555-2)*20+卡牌属性!$DX555)</f>
        <v>150</v>
      </c>
      <c r="FO555" s="14">
        <f>INDEX(属性投放!$BR$6:$BR$85,(卡牌属性!$DW555-2)*20+卡牌属性!$DX555)</f>
        <v>150</v>
      </c>
      <c r="FP555" s="14">
        <f>INDEX(属性投放!$BR$6:$BR$85,(卡牌属性!$DW555-2)*20+卡牌属性!$DX555)</f>
        <v>150</v>
      </c>
      <c r="FQ555" s="14">
        <f>INDEX(属性投放!$BR$6:$BR$85,(卡牌属性!$DW555-2)*20+卡牌属性!$DX555)</f>
        <v>150</v>
      </c>
      <c r="FR555" s="14">
        <f>INDEX(属性投放!$BS$6:$BS$85,(卡牌属性!$DW555-2)*20+卡牌属性!$DX555)</f>
        <v>2700</v>
      </c>
      <c r="FS555" s="14">
        <f>INDEX(属性投放!$BS$6:$BS$85,(卡牌属性!$DW555-2)*20+卡牌属性!$DX555)</f>
        <v>2700</v>
      </c>
      <c r="FT555" s="14">
        <f>INDEX(属性投放!$BS$6:$BS$85,(卡牌属性!$DW555-2)*20+卡牌属性!$DX555)</f>
        <v>2700</v>
      </c>
      <c r="FU555" s="14">
        <f>INDEX(属性投放!$BS$6:$BS$85,(卡牌属性!$DW555-2)*20+卡牌属性!$DX555)</f>
        <v>2700</v>
      </c>
      <c r="FV555" s="14">
        <f>INDEX(属性投放!$BS$6:$BS$85,(卡牌属性!$DW555-2)*20+卡牌属性!$DX555)</f>
        <v>2700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15"/>
        <v>28</v>
      </c>
      <c r="BY556" s="14">
        <f t="shared" si="916"/>
        <v>4</v>
      </c>
      <c r="BZ556" s="14">
        <f t="shared" si="919"/>
        <v>1102031</v>
      </c>
      <c r="CA556" s="14" t="str">
        <f t="shared" si="920"/>
        <v>秦琼12突</v>
      </c>
      <c r="CB556" s="25" t="s">
        <v>142</v>
      </c>
      <c r="CC556" s="14">
        <v>2</v>
      </c>
      <c r="CD556" s="14">
        <f t="shared" si="917"/>
        <v>12</v>
      </c>
      <c r="CE556" s="14" t="s">
        <v>21</v>
      </c>
      <c r="CF556" s="14">
        <f>INDEX(属性投放!$AZ$6:$AZ$85,(BY556-2)*20+CD556)</f>
        <v>5493</v>
      </c>
      <c r="CG556" s="14" t="s">
        <v>22</v>
      </c>
      <c r="CH556" s="14">
        <f>INDEX(属性投放!$BA$6:$BA$85,(BY556-2)*20+CD556)</f>
        <v>2697</v>
      </c>
      <c r="CI556" s="14" t="s">
        <v>510</v>
      </c>
      <c r="CJ556" s="14">
        <f>INDEX(属性投放!$BB$6:$BB$85,(BY556-2)*20+CD556)</f>
        <v>42538</v>
      </c>
      <c r="CK556" s="14" t="s">
        <v>21</v>
      </c>
      <c r="CL556" s="14">
        <f>INDEX(属性投放!$BC$6:$BC$85,(BY556-2)*20+CD556)</f>
        <v>30</v>
      </c>
      <c r="CM556" s="14" t="s">
        <v>22</v>
      </c>
      <c r="CN556" s="14">
        <f>INDEX(属性投放!$BD$6:$BD$85,(BY556-2)*20+CD556)</f>
        <v>15</v>
      </c>
      <c r="CO556" s="14" t="s">
        <v>510</v>
      </c>
      <c r="CP556" s="14">
        <f>INDEX(属性投放!$BE$6:$BE$85,(BY556-2)*20+CD556)</f>
        <v>270</v>
      </c>
      <c r="CS556" s="13">
        <v>552</v>
      </c>
      <c r="CT556" s="13">
        <f t="shared" si="921"/>
        <v>11</v>
      </c>
      <c r="CU556" s="13">
        <f t="shared" si="922"/>
        <v>32</v>
      </c>
      <c r="CV556" s="14">
        <f t="shared" si="923"/>
        <v>4</v>
      </c>
      <c r="CW556" s="14">
        <f t="shared" si="924"/>
        <v>1102011</v>
      </c>
      <c r="CX556" s="14" t="str">
        <f>INDEX($O$6:$O$50,CT556)&amp;"-"&amp;INDEX(属性投放!$AB$7:$AB$50,CZ556)&amp;"-魂火-"&amp;DB556</f>
        <v>张飞-焦热+1-魂火-2</v>
      </c>
      <c r="CY556" s="25" t="s">
        <v>142</v>
      </c>
      <c r="CZ556" s="14">
        <f>INDEX(属性投放!$AM$7:$AM$58,CU556)</f>
        <v>14</v>
      </c>
      <c r="DA556" s="14" t="s">
        <v>537</v>
      </c>
      <c r="DB556" s="14">
        <f>INDEX(属性投放!$AN$7:$AN$58,CU556)</f>
        <v>2</v>
      </c>
      <c r="DC556" s="14">
        <f t="shared" si="918"/>
        <v>32</v>
      </c>
      <c r="DD556" s="14">
        <f>INDEX(属性投放!$AO$7:$AO$58,DC556)</f>
        <v>98</v>
      </c>
      <c r="DE556" s="14" t="s">
        <v>538</v>
      </c>
      <c r="DF556" s="14">
        <f>INDEX(属性投放!$BK$6:$BK$85,(CV556-2)*20+CZ556)</f>
        <v>320</v>
      </c>
      <c r="DG556" s="14">
        <f>SUMIFS(DF$5:DF556,$CT$5:$CT556,"="&amp;$CT556)</f>
        <v>4220</v>
      </c>
      <c r="DH556" s="14" t="s">
        <v>539</v>
      </c>
      <c r="DI556" s="14">
        <f>INDEX(属性投放!$BL$6:$BL$85,(CV556-2)*20+CZ556)</f>
        <v>160</v>
      </c>
      <c r="DJ556" s="14">
        <f>SUMIFS(DI$5:DI556,$CT$5:$CT556,"="&amp;$CT556)</f>
        <v>2118</v>
      </c>
      <c r="DK556" s="14" t="s">
        <v>540</v>
      </c>
      <c r="DL556" s="14">
        <f>INDEX(属性投放!$BM$6:$BM$85,(CV556-2)*20+CZ556)</f>
        <v>3200</v>
      </c>
      <c r="DM556" s="14">
        <f>SUMIFS(DL$5:DL556,$CT$5:$CT556,"="&amp;$CT556)</f>
        <v>37635</v>
      </c>
      <c r="DR556" s="14">
        <f t="shared" si="960"/>
        <v>1102031</v>
      </c>
      <c r="DS556" s="14" t="str">
        <f t="shared" si="961"/>
        <v>秦琼12突</v>
      </c>
      <c r="DT556" s="14">
        <f t="shared" si="925"/>
        <v>7</v>
      </c>
      <c r="DU556" s="14">
        <f t="shared" si="926"/>
        <v>7</v>
      </c>
      <c r="DV556" s="14">
        <f t="shared" si="927"/>
        <v>7</v>
      </c>
      <c r="DW556" s="14">
        <f t="shared" si="962"/>
        <v>4</v>
      </c>
      <c r="DX556" s="14">
        <f t="shared" si="963"/>
        <v>12</v>
      </c>
      <c r="DY556" s="14">
        <f t="shared" si="964"/>
        <v>52</v>
      </c>
      <c r="DZ556" s="14">
        <f>INDEX(属性投放!$AX$6:$AX$85,(卡牌属性!DW556-2)*20+卡牌属性!DX556)</f>
        <v>7</v>
      </c>
      <c r="EA556" s="14">
        <f>INDEX(属性投放!BQ$6:BQ$85,卡牌属性!$DY556)</f>
        <v>400</v>
      </c>
      <c r="EB556" s="14">
        <f>INDEX(属性投放!BR$6:BR$85,卡牌属性!$DY556)</f>
        <v>200</v>
      </c>
      <c r="EC556" s="14">
        <f>INDEX(属性投放!BS$6:BS$85,卡牌属性!$DY556)</f>
        <v>3600</v>
      </c>
      <c r="ED556" s="14">
        <f t="shared" si="966"/>
        <v>3413</v>
      </c>
      <c r="EE556" s="14">
        <f t="shared" si="967"/>
        <v>3680</v>
      </c>
      <c r="EF556" s="14">
        <f t="shared" si="968"/>
        <v>3975</v>
      </c>
      <c r="EG556" s="14">
        <f t="shared" si="969"/>
        <v>3975</v>
      </c>
      <c r="EH556" s="14">
        <f t="shared" si="970"/>
        <v>4585</v>
      </c>
      <c r="EI556" s="14">
        <f t="shared" si="971"/>
        <v>1677</v>
      </c>
      <c r="EJ556" s="14">
        <f t="shared" si="972"/>
        <v>1811</v>
      </c>
      <c r="EK556" s="14">
        <f t="shared" si="973"/>
        <v>1811</v>
      </c>
      <c r="EL556" s="14">
        <f t="shared" si="974"/>
        <v>1952</v>
      </c>
      <c r="EM556" s="14">
        <f t="shared" si="975"/>
        <v>2279</v>
      </c>
      <c r="EN556" s="14">
        <f t="shared" si="976"/>
        <v>25628</v>
      </c>
      <c r="EO556" s="14">
        <f t="shared" si="977"/>
        <v>27507</v>
      </c>
      <c r="EP556" s="14">
        <f t="shared" si="978"/>
        <v>27507</v>
      </c>
      <c r="EQ556" s="14">
        <f t="shared" si="979"/>
        <v>29540</v>
      </c>
      <c r="ER556" s="14">
        <f t="shared" si="980"/>
        <v>34120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270</v>
      </c>
      <c r="FD556" s="14">
        <f>INDEX(属性偏向!$U$4:$U$243,(卡牌属性!$DV556-1+FD$3)*20+卡牌属性!$DX556)</f>
        <v>315</v>
      </c>
      <c r="FE556" s="14">
        <f>INDEX(属性偏向!$U$4:$U$243,(卡牌属性!$DV556-1+FE$3)*20+卡牌属性!$DX556)</f>
        <v>315</v>
      </c>
      <c r="FF556" s="14">
        <f>INDEX(属性偏向!$U$4:$U$243,(卡牌属性!$DV556-1+FF$3)*20+卡牌属性!$DX556)</f>
        <v>360</v>
      </c>
      <c r="FG556" s="14">
        <f>INDEX(属性偏向!$U$4:$U$243,(卡牌属性!$DV556-1+FG$3)*20+卡牌属性!$DX556)</f>
        <v>450</v>
      </c>
      <c r="FH556" s="14">
        <f>INDEX(属性投放!$BQ$6:$BQ$85,(卡牌属性!$DW556-2)*20+卡牌属性!$DX556)</f>
        <v>400</v>
      </c>
      <c r="FI556" s="14">
        <f>INDEX(属性投放!$BQ$6:$BQ$85,(卡牌属性!$DW556-2)*20+卡牌属性!$DX556)</f>
        <v>400</v>
      </c>
      <c r="FJ556" s="14">
        <f>INDEX(属性投放!$BQ$6:$BQ$85,(卡牌属性!$DW556-2)*20+卡牌属性!$DX556)</f>
        <v>400</v>
      </c>
      <c r="FK556" s="14">
        <f>INDEX(属性投放!$BQ$6:$BQ$85,(卡牌属性!$DW556-2)*20+卡牌属性!$DX556)</f>
        <v>400</v>
      </c>
      <c r="FL556" s="14">
        <f>INDEX(属性投放!$BQ$6:$BQ$85,(卡牌属性!$DW556-2)*20+卡牌属性!$DX556)</f>
        <v>400</v>
      </c>
      <c r="FM556" s="14">
        <f>INDEX(属性投放!$BR$6:$BR$85,(卡牌属性!$DW556-2)*20+卡牌属性!$DX556)</f>
        <v>200</v>
      </c>
      <c r="FN556" s="14">
        <f>INDEX(属性投放!$BR$6:$BR$85,(卡牌属性!$DW556-2)*20+卡牌属性!$DX556)</f>
        <v>200</v>
      </c>
      <c r="FO556" s="14">
        <f>INDEX(属性投放!$BR$6:$BR$85,(卡牌属性!$DW556-2)*20+卡牌属性!$DX556)</f>
        <v>200</v>
      </c>
      <c r="FP556" s="14">
        <f>INDEX(属性投放!$BR$6:$BR$85,(卡牌属性!$DW556-2)*20+卡牌属性!$DX556)</f>
        <v>200</v>
      </c>
      <c r="FQ556" s="14">
        <f>INDEX(属性投放!$BR$6:$BR$85,(卡牌属性!$DW556-2)*20+卡牌属性!$DX556)</f>
        <v>200</v>
      </c>
      <c r="FR556" s="14">
        <f>INDEX(属性投放!$BS$6:$BS$85,(卡牌属性!$DW556-2)*20+卡牌属性!$DX556)</f>
        <v>3600</v>
      </c>
      <c r="FS556" s="14">
        <f>INDEX(属性投放!$BS$6:$BS$85,(卡牌属性!$DW556-2)*20+卡牌属性!$DX556)</f>
        <v>3600</v>
      </c>
      <c r="FT556" s="14">
        <f>INDEX(属性投放!$BS$6:$BS$85,(卡牌属性!$DW556-2)*20+卡牌属性!$DX556)</f>
        <v>3600</v>
      </c>
      <c r="FU556" s="14">
        <f>INDEX(属性投放!$BS$6:$BS$85,(卡牌属性!$DW556-2)*20+卡牌属性!$DX556)</f>
        <v>3600</v>
      </c>
      <c r="FV556" s="14">
        <f>INDEX(属性投放!$BS$6:$BS$85,(卡牌属性!$DW556-2)*20+卡牌属性!$DX556)</f>
        <v>3600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15"/>
        <v>28</v>
      </c>
      <c r="BY557" s="14">
        <f t="shared" si="916"/>
        <v>4</v>
      </c>
      <c r="BZ557" s="14">
        <f t="shared" si="919"/>
        <v>1102031</v>
      </c>
      <c r="CA557" s="14" t="str">
        <f t="shared" si="920"/>
        <v>秦琼13突</v>
      </c>
      <c r="CB557" s="25" t="s">
        <v>142</v>
      </c>
      <c r="CC557" s="14">
        <v>2</v>
      </c>
      <c r="CD557" s="14">
        <f t="shared" si="917"/>
        <v>13</v>
      </c>
      <c r="CE557" s="14" t="s">
        <v>21</v>
      </c>
      <c r="CF557" s="14">
        <f>INDEX(属性投放!$AZ$6:$AZ$85,(BY557-2)*20+CD557)</f>
        <v>6778</v>
      </c>
      <c r="CG557" s="14" t="s">
        <v>22</v>
      </c>
      <c r="CH557" s="14">
        <f>INDEX(属性投放!$BA$6:$BA$85,(BY557-2)*20+CD557)</f>
        <v>3341</v>
      </c>
      <c r="CI557" s="14" t="s">
        <v>510</v>
      </c>
      <c r="CJ557" s="14">
        <f>INDEX(属性投放!$BB$6:$BB$85,(BY557-2)*20+CD557)</f>
        <v>54103</v>
      </c>
      <c r="CK557" s="14" t="s">
        <v>21</v>
      </c>
      <c r="CL557" s="14">
        <f>INDEX(属性投放!$BC$6:$BC$85,(BY557-2)*20+CD557)</f>
        <v>40</v>
      </c>
      <c r="CM557" s="14" t="s">
        <v>22</v>
      </c>
      <c r="CN557" s="14">
        <f>INDEX(属性投放!$BD$6:$BD$85,(BY557-2)*20+CD557)</f>
        <v>20</v>
      </c>
      <c r="CO557" s="14" t="s">
        <v>510</v>
      </c>
      <c r="CP557" s="14">
        <f>INDEX(属性投放!$BE$6:$BE$85,(BY557-2)*20+CD557)</f>
        <v>400</v>
      </c>
      <c r="CS557" s="13">
        <v>553</v>
      </c>
      <c r="CT557" s="13">
        <f t="shared" si="921"/>
        <v>11</v>
      </c>
      <c r="CU557" s="13">
        <f t="shared" si="922"/>
        <v>33</v>
      </c>
      <c r="CV557" s="14">
        <f t="shared" si="923"/>
        <v>4</v>
      </c>
      <c r="CW557" s="14">
        <f t="shared" si="924"/>
        <v>1102011</v>
      </c>
      <c r="CX557" s="14" t="str">
        <f>INDEX($O$6:$O$50,CT557)&amp;"-"&amp;INDEX(属性投放!$AB$7:$AB$50,CZ557)&amp;"-魂火-"&amp;DB557</f>
        <v>张飞-焦热+1-魂火-3</v>
      </c>
      <c r="CY557" s="25" t="s">
        <v>142</v>
      </c>
      <c r="CZ557" s="14">
        <f>INDEX(属性投放!$AM$7:$AM$58,CU557)</f>
        <v>14</v>
      </c>
      <c r="DA557" s="14" t="s">
        <v>537</v>
      </c>
      <c r="DB557" s="14">
        <f>INDEX(属性投放!$AN$7:$AN$58,CU557)</f>
        <v>3</v>
      </c>
      <c r="DC557" s="14">
        <f t="shared" si="918"/>
        <v>33</v>
      </c>
      <c r="DD557" s="14">
        <f>INDEX(属性投放!$AO$7:$AO$58,DC557)</f>
        <v>100</v>
      </c>
      <c r="DE557" s="14" t="s">
        <v>538</v>
      </c>
      <c r="DF557" s="14">
        <f>INDEX(属性投放!$BK$6:$BK$85,(CV557-2)*20+CZ557)</f>
        <v>320</v>
      </c>
      <c r="DG557" s="14">
        <f>SUMIFS(DF$5:DF557,$CT$5:$CT557,"="&amp;$CT557)</f>
        <v>4540</v>
      </c>
      <c r="DH557" s="14" t="s">
        <v>539</v>
      </c>
      <c r="DI557" s="14">
        <f>INDEX(属性投放!$BL$6:$BL$85,(CV557-2)*20+CZ557)</f>
        <v>160</v>
      </c>
      <c r="DJ557" s="14">
        <f>SUMIFS(DI$5:DI557,$CT$5:$CT557,"="&amp;$CT557)</f>
        <v>2278</v>
      </c>
      <c r="DK557" s="14" t="s">
        <v>540</v>
      </c>
      <c r="DL557" s="14">
        <f>INDEX(属性投放!$BM$6:$BM$85,(CV557-2)*20+CZ557)</f>
        <v>3200</v>
      </c>
      <c r="DM557" s="14">
        <f>SUMIFS(DL$5:DL557,$CT$5:$CT557,"="&amp;$CT557)</f>
        <v>40835</v>
      </c>
      <c r="DR557" s="14">
        <f t="shared" si="960"/>
        <v>1102031</v>
      </c>
      <c r="DS557" s="14" t="str">
        <f t="shared" si="961"/>
        <v>秦琼13突</v>
      </c>
      <c r="DT557" s="14">
        <f t="shared" si="925"/>
        <v>7</v>
      </c>
      <c r="DU557" s="14">
        <f t="shared" si="926"/>
        <v>7</v>
      </c>
      <c r="DV557" s="14">
        <f t="shared" si="927"/>
        <v>7</v>
      </c>
      <c r="DW557" s="14">
        <f t="shared" si="962"/>
        <v>4</v>
      </c>
      <c r="DX557" s="14">
        <f t="shared" si="963"/>
        <v>13</v>
      </c>
      <c r="DY557" s="14">
        <f t="shared" si="964"/>
        <v>53</v>
      </c>
      <c r="DZ557" s="14">
        <f>INDEX(属性投放!$AX$6:$AX$85,(卡牌属性!DW557-2)*20+卡牌属性!DX557)</f>
        <v>8</v>
      </c>
      <c r="EA557" s="14">
        <f>INDEX(属性投放!BQ$6:BQ$85,卡牌属性!$DY557)</f>
        <v>450</v>
      </c>
      <c r="EB557" s="14">
        <f>INDEX(属性投放!BR$6:BR$85,卡牌属性!$DY557)</f>
        <v>225</v>
      </c>
      <c r="EC557" s="14">
        <f>INDEX(属性投放!BS$6:BS$85,卡牌属性!$DY557)</f>
        <v>4500</v>
      </c>
      <c r="ED557" s="14">
        <f t="shared" si="966"/>
        <v>4023</v>
      </c>
      <c r="EE557" s="14">
        <f t="shared" si="967"/>
        <v>4325</v>
      </c>
      <c r="EF557" s="14">
        <f t="shared" si="968"/>
        <v>4655</v>
      </c>
      <c r="EG557" s="14">
        <f t="shared" si="969"/>
        <v>4655</v>
      </c>
      <c r="EH557" s="14">
        <f t="shared" si="970"/>
        <v>5335</v>
      </c>
      <c r="EI557" s="14">
        <f t="shared" si="971"/>
        <v>1982</v>
      </c>
      <c r="EJ557" s="14">
        <f t="shared" si="972"/>
        <v>2137</v>
      </c>
      <c r="EK557" s="14">
        <f t="shared" si="973"/>
        <v>2137</v>
      </c>
      <c r="EL557" s="14">
        <f t="shared" si="974"/>
        <v>2292</v>
      </c>
      <c r="EM557" s="14">
        <f t="shared" si="975"/>
        <v>2654</v>
      </c>
      <c r="EN557" s="14">
        <f t="shared" si="976"/>
        <v>31118</v>
      </c>
      <c r="EO557" s="14">
        <f t="shared" si="977"/>
        <v>33312</v>
      </c>
      <c r="EP557" s="14">
        <f t="shared" si="978"/>
        <v>33312</v>
      </c>
      <c r="EQ557" s="14">
        <f t="shared" si="979"/>
        <v>35660</v>
      </c>
      <c r="ER557" s="14">
        <f t="shared" si="980"/>
        <v>40870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INDEX(属性投放!$BQ$6:$BQ$85,(卡牌属性!$DW557-2)*20+卡牌属性!$DX557)</f>
        <v>450</v>
      </c>
      <c r="FI557" s="14">
        <f>INDEX(属性投放!$BQ$6:$BQ$85,(卡牌属性!$DW557-2)*20+卡牌属性!$DX557)</f>
        <v>450</v>
      </c>
      <c r="FJ557" s="14">
        <f>INDEX(属性投放!$BQ$6:$BQ$85,(卡牌属性!$DW557-2)*20+卡牌属性!$DX557)</f>
        <v>450</v>
      </c>
      <c r="FK557" s="14">
        <f>INDEX(属性投放!$BQ$6:$BQ$85,(卡牌属性!$DW557-2)*20+卡牌属性!$DX557)</f>
        <v>450</v>
      </c>
      <c r="FL557" s="14">
        <f>INDEX(属性投放!$BQ$6:$BQ$85,(卡牌属性!$DW557-2)*20+卡牌属性!$DX557)</f>
        <v>450</v>
      </c>
      <c r="FM557" s="14">
        <f>INDEX(属性投放!$BR$6:$BR$85,(卡牌属性!$DW557-2)*20+卡牌属性!$DX557)</f>
        <v>225</v>
      </c>
      <c r="FN557" s="14">
        <f>INDEX(属性投放!$BR$6:$BR$85,(卡牌属性!$DW557-2)*20+卡牌属性!$DX557)</f>
        <v>225</v>
      </c>
      <c r="FO557" s="14">
        <f>INDEX(属性投放!$BR$6:$BR$85,(卡牌属性!$DW557-2)*20+卡牌属性!$DX557)</f>
        <v>225</v>
      </c>
      <c r="FP557" s="14">
        <f>INDEX(属性投放!$BR$6:$BR$85,(卡牌属性!$DW557-2)*20+卡牌属性!$DX557)</f>
        <v>225</v>
      </c>
      <c r="FQ557" s="14">
        <f>INDEX(属性投放!$BR$6:$BR$85,(卡牌属性!$DW557-2)*20+卡牌属性!$DX557)</f>
        <v>225</v>
      </c>
      <c r="FR557" s="14">
        <f>INDEX(属性投放!$BS$6:$BS$85,(卡牌属性!$DW557-2)*20+卡牌属性!$DX557)</f>
        <v>4500</v>
      </c>
      <c r="FS557" s="14">
        <f>INDEX(属性投放!$BS$6:$BS$85,(卡牌属性!$DW557-2)*20+卡牌属性!$DX557)</f>
        <v>4500</v>
      </c>
      <c r="FT557" s="14">
        <f>INDEX(属性投放!$BS$6:$BS$85,(卡牌属性!$DW557-2)*20+卡牌属性!$DX557)</f>
        <v>4500</v>
      </c>
      <c r="FU557" s="14">
        <f>INDEX(属性投放!$BS$6:$BS$85,(卡牌属性!$DW557-2)*20+卡牌属性!$DX557)</f>
        <v>4500</v>
      </c>
      <c r="FV557" s="14">
        <f>INDEX(属性投放!$BS$6:$BS$85,(卡牌属性!$DW557-2)*20+卡牌属性!$DX557)</f>
        <v>4500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15"/>
        <v>28</v>
      </c>
      <c r="BY558" s="14">
        <f t="shared" si="916"/>
        <v>4</v>
      </c>
      <c r="BZ558" s="14">
        <f t="shared" si="919"/>
        <v>1102031</v>
      </c>
      <c r="CA558" s="14" t="str">
        <f t="shared" si="920"/>
        <v>秦琼14突</v>
      </c>
      <c r="CB558" s="25" t="s">
        <v>142</v>
      </c>
      <c r="CC558" s="14">
        <v>2</v>
      </c>
      <c r="CD558" s="14">
        <f t="shared" si="917"/>
        <v>14</v>
      </c>
      <c r="CE558" s="14" t="s">
        <v>21</v>
      </c>
      <c r="CF558" s="14">
        <f>INDEX(属性投放!$AZ$6:$AZ$85,(BY558-2)*20+CD558)</f>
        <v>8373</v>
      </c>
      <c r="CG558" s="14" t="s">
        <v>22</v>
      </c>
      <c r="CH558" s="14">
        <f>INDEX(属性投放!$BA$6:$BA$85,(BY558-2)*20+CD558)</f>
        <v>4140</v>
      </c>
      <c r="CI558" s="14" t="s">
        <v>510</v>
      </c>
      <c r="CJ558" s="14">
        <f>INDEX(属性投放!$BB$6:$BB$85,(BY558-2)*20+CD558)</f>
        <v>70053</v>
      </c>
      <c r="CK558" s="14" t="s">
        <v>21</v>
      </c>
      <c r="CL558" s="14">
        <f>INDEX(属性投放!$BC$6:$BC$85,(BY558-2)*20+CD558)</f>
        <v>40</v>
      </c>
      <c r="CM558" s="14" t="s">
        <v>22</v>
      </c>
      <c r="CN558" s="14">
        <f>INDEX(属性投放!$BD$6:$BD$85,(BY558-2)*20+CD558)</f>
        <v>20</v>
      </c>
      <c r="CO558" s="14" t="s">
        <v>510</v>
      </c>
      <c r="CP558" s="14">
        <f>INDEX(属性投放!$BE$6:$BE$85,(BY558-2)*20+CD558)</f>
        <v>400</v>
      </c>
      <c r="CS558" s="13">
        <v>554</v>
      </c>
      <c r="CT558" s="13">
        <f t="shared" si="921"/>
        <v>11</v>
      </c>
      <c r="CU558" s="13">
        <f t="shared" si="922"/>
        <v>34</v>
      </c>
      <c r="CV558" s="14">
        <f t="shared" si="923"/>
        <v>4</v>
      </c>
      <c r="CW558" s="14">
        <f t="shared" si="924"/>
        <v>1102011</v>
      </c>
      <c r="CX558" s="14" t="str">
        <f>INDEX($O$6:$O$50,CT558)&amp;"-"&amp;INDEX(属性投放!$AB$7:$AB$50,CZ558)&amp;"-魂火-"&amp;DB558</f>
        <v>张飞-焦热+2-魂火-1</v>
      </c>
      <c r="CY558" s="25" t="s">
        <v>142</v>
      </c>
      <c r="CZ558" s="14">
        <f>INDEX(属性投放!$AM$7:$AM$58,CU558)</f>
        <v>15</v>
      </c>
      <c r="DA558" s="14" t="s">
        <v>537</v>
      </c>
      <c r="DB558" s="14">
        <f>INDEX(属性投放!$AN$7:$AN$58,CU558)</f>
        <v>1</v>
      </c>
      <c r="DC558" s="14">
        <f t="shared" si="918"/>
        <v>34</v>
      </c>
      <c r="DD558" s="14">
        <f>INDEX(属性投放!$AO$7:$AO$58,DC558)</f>
        <v>103</v>
      </c>
      <c r="DE558" s="14" t="s">
        <v>538</v>
      </c>
      <c r="DF558" s="14">
        <f>INDEX(属性投放!$BK$6:$BK$85,(CV558-2)*20+CZ558)</f>
        <v>445</v>
      </c>
      <c r="DG558" s="14">
        <f>SUMIFS(DF$5:DF558,$CT$5:$CT558,"="&amp;$CT558)</f>
        <v>4985</v>
      </c>
      <c r="DH558" s="14" t="s">
        <v>539</v>
      </c>
      <c r="DI558" s="14">
        <f>INDEX(属性投放!$BL$6:$BL$85,(CV558-2)*20+CZ558)</f>
        <v>223</v>
      </c>
      <c r="DJ558" s="14">
        <f>SUMIFS(DI$5:DI558,$CT$5:$CT558,"="&amp;$CT558)</f>
        <v>2501</v>
      </c>
      <c r="DK558" s="14" t="s">
        <v>540</v>
      </c>
      <c r="DL558" s="14">
        <f>INDEX(属性投放!$BM$6:$BM$85,(CV558-2)*20+CZ558)</f>
        <v>4450</v>
      </c>
      <c r="DM558" s="14">
        <f>SUMIFS(DL$5:DL558,$CT$5:$CT558,"="&amp;$CT558)</f>
        <v>45285</v>
      </c>
      <c r="DR558" s="14">
        <f t="shared" si="960"/>
        <v>1102031</v>
      </c>
      <c r="DS558" s="14" t="str">
        <f t="shared" si="961"/>
        <v>秦琼14突</v>
      </c>
      <c r="DT558" s="14">
        <f t="shared" si="925"/>
        <v>7</v>
      </c>
      <c r="DU558" s="14">
        <f t="shared" si="926"/>
        <v>7</v>
      </c>
      <c r="DV558" s="14">
        <f t="shared" si="927"/>
        <v>7</v>
      </c>
      <c r="DW558" s="14">
        <f t="shared" si="962"/>
        <v>4</v>
      </c>
      <c r="DX558" s="14">
        <f t="shared" si="963"/>
        <v>14</v>
      </c>
      <c r="DY558" s="14">
        <f t="shared" si="964"/>
        <v>54</v>
      </c>
      <c r="DZ558" s="14">
        <f>INDEX(属性投放!$AX$6:$AX$85,(卡牌属性!DW558-2)*20+卡牌属性!DX558)</f>
        <v>7</v>
      </c>
      <c r="EA558" s="14">
        <f>INDEX(属性投放!BQ$6:BQ$85,卡牌属性!$DY558)</f>
        <v>500</v>
      </c>
      <c r="EB558" s="14">
        <f>INDEX(属性投放!BR$6:BR$85,卡牌属性!$DY558)</f>
        <v>250</v>
      </c>
      <c r="EC558" s="14">
        <f>INDEX(属性投放!BS$6:BS$85,卡牌属性!$DY558)</f>
        <v>5000</v>
      </c>
      <c r="ED558" s="14">
        <f t="shared" si="966"/>
        <v>4793</v>
      </c>
      <c r="EE558" s="14">
        <f t="shared" si="967"/>
        <v>5135</v>
      </c>
      <c r="EF558" s="14">
        <f t="shared" si="968"/>
        <v>5505</v>
      </c>
      <c r="EG558" s="14">
        <f t="shared" si="969"/>
        <v>5505</v>
      </c>
      <c r="EH558" s="14">
        <f t="shared" si="970"/>
        <v>6385</v>
      </c>
      <c r="EI558" s="14">
        <f t="shared" si="971"/>
        <v>2367</v>
      </c>
      <c r="EJ558" s="14">
        <f t="shared" si="972"/>
        <v>2546</v>
      </c>
      <c r="EK558" s="14">
        <f t="shared" si="973"/>
        <v>2546</v>
      </c>
      <c r="EL558" s="14">
        <f t="shared" si="974"/>
        <v>2717</v>
      </c>
      <c r="EM558" s="14">
        <f t="shared" si="975"/>
        <v>3183</v>
      </c>
      <c r="EN558" s="14">
        <f t="shared" si="976"/>
        <v>38818</v>
      </c>
      <c r="EO558" s="14">
        <f t="shared" si="977"/>
        <v>41412</v>
      </c>
      <c r="EP558" s="14">
        <f t="shared" si="978"/>
        <v>41412</v>
      </c>
      <c r="EQ558" s="14">
        <f t="shared" si="979"/>
        <v>44160</v>
      </c>
      <c r="ER558" s="14">
        <f t="shared" si="980"/>
        <v>51370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INDEX(属性投放!$BQ$6:$BQ$85,(卡牌属性!$DW558-2)*20+卡牌属性!$DX558)</f>
        <v>500</v>
      </c>
      <c r="FI558" s="14">
        <f>INDEX(属性投放!$BQ$6:$BQ$85,(卡牌属性!$DW558-2)*20+卡牌属性!$DX558)</f>
        <v>500</v>
      </c>
      <c r="FJ558" s="14">
        <f>INDEX(属性投放!$BQ$6:$BQ$85,(卡牌属性!$DW558-2)*20+卡牌属性!$DX558)</f>
        <v>500</v>
      </c>
      <c r="FK558" s="14">
        <f>INDEX(属性投放!$BQ$6:$BQ$85,(卡牌属性!$DW558-2)*20+卡牌属性!$DX558)</f>
        <v>500</v>
      </c>
      <c r="FL558" s="14">
        <f>INDEX(属性投放!$BQ$6:$BQ$85,(卡牌属性!$DW558-2)*20+卡牌属性!$DX558)</f>
        <v>500</v>
      </c>
      <c r="FM558" s="14">
        <f>INDEX(属性投放!$BR$6:$BR$85,(卡牌属性!$DW558-2)*20+卡牌属性!$DX558)</f>
        <v>250</v>
      </c>
      <c r="FN558" s="14">
        <f>INDEX(属性投放!$BR$6:$BR$85,(卡牌属性!$DW558-2)*20+卡牌属性!$DX558)</f>
        <v>250</v>
      </c>
      <c r="FO558" s="14">
        <f>INDEX(属性投放!$BR$6:$BR$85,(卡牌属性!$DW558-2)*20+卡牌属性!$DX558)</f>
        <v>250</v>
      </c>
      <c r="FP558" s="14">
        <f>INDEX(属性投放!$BR$6:$BR$85,(卡牌属性!$DW558-2)*20+卡牌属性!$DX558)</f>
        <v>250</v>
      </c>
      <c r="FQ558" s="14">
        <f>INDEX(属性投放!$BR$6:$BR$85,(卡牌属性!$DW558-2)*20+卡牌属性!$DX558)</f>
        <v>250</v>
      </c>
      <c r="FR558" s="14">
        <f>INDEX(属性投放!$BS$6:$BS$85,(卡牌属性!$DW558-2)*20+卡牌属性!$DX558)</f>
        <v>5000</v>
      </c>
      <c r="FS558" s="14">
        <f>INDEX(属性投放!$BS$6:$BS$85,(卡牌属性!$DW558-2)*20+卡牌属性!$DX558)</f>
        <v>5000</v>
      </c>
      <c r="FT558" s="14">
        <f>INDEX(属性投放!$BS$6:$BS$85,(卡牌属性!$DW558-2)*20+卡牌属性!$DX558)</f>
        <v>5000</v>
      </c>
      <c r="FU558" s="14">
        <f>INDEX(属性投放!$BS$6:$BS$85,(卡牌属性!$DW558-2)*20+卡牌属性!$DX558)</f>
        <v>5000</v>
      </c>
      <c r="FV558" s="14">
        <f>INDEX(属性投放!$BS$6:$BS$85,(卡牌属性!$DW558-2)*20+卡牌属性!$DX558)</f>
        <v>5000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15"/>
        <v>28</v>
      </c>
      <c r="BY559" s="14">
        <f t="shared" si="916"/>
        <v>4</v>
      </c>
      <c r="BZ559" s="14">
        <f t="shared" si="919"/>
        <v>1102031</v>
      </c>
      <c r="CA559" s="14" t="str">
        <f t="shared" si="920"/>
        <v>秦琼15突</v>
      </c>
      <c r="CB559" s="25" t="s">
        <v>142</v>
      </c>
      <c r="CC559" s="14">
        <v>2</v>
      </c>
      <c r="CD559" s="14">
        <f t="shared" si="917"/>
        <v>15</v>
      </c>
      <c r="CE559" s="14" t="s">
        <v>21</v>
      </c>
      <c r="CF559" s="14">
        <f>INDEX(属性投放!$AZ$6:$AZ$85,(BY559-2)*20+CD559)</f>
        <v>10113</v>
      </c>
      <c r="CG559" s="14" t="s">
        <v>22</v>
      </c>
      <c r="CH559" s="14">
        <f>INDEX(属性投放!$BA$6:$BA$85,(BY559-2)*20+CD559)</f>
        <v>5010</v>
      </c>
      <c r="CI559" s="14" t="s">
        <v>510</v>
      </c>
      <c r="CJ559" s="14">
        <f>INDEX(属性投放!$BB$6:$BB$85,(BY559-2)*20+CD559)</f>
        <v>87453</v>
      </c>
      <c r="CK559" s="14" t="s">
        <v>21</v>
      </c>
      <c r="CL559" s="14">
        <f>INDEX(属性投放!$BC$6:$BC$85,(BY559-2)*20+CD559)</f>
        <v>40</v>
      </c>
      <c r="CM559" s="14" t="s">
        <v>22</v>
      </c>
      <c r="CN559" s="14">
        <f>INDEX(属性投放!$BD$6:$BD$85,(BY559-2)*20+CD559)</f>
        <v>20</v>
      </c>
      <c r="CO559" s="14" t="s">
        <v>510</v>
      </c>
      <c r="CP559" s="14">
        <f>INDEX(属性投放!$BE$6:$BE$85,(BY559-2)*20+CD559)</f>
        <v>400</v>
      </c>
      <c r="CS559" s="13">
        <v>555</v>
      </c>
      <c r="CT559" s="13">
        <f t="shared" si="921"/>
        <v>11</v>
      </c>
      <c r="CU559" s="13">
        <f t="shared" si="922"/>
        <v>35</v>
      </c>
      <c r="CV559" s="14">
        <f t="shared" si="923"/>
        <v>4</v>
      </c>
      <c r="CW559" s="14">
        <f t="shared" si="924"/>
        <v>1102011</v>
      </c>
      <c r="CX559" s="14" t="str">
        <f>INDEX($O$6:$O$50,CT559)&amp;"-"&amp;INDEX(属性投放!$AB$7:$AB$50,CZ559)&amp;"-魂火-"&amp;DB559</f>
        <v>张飞-焦热+2-魂火-2</v>
      </c>
      <c r="CY559" s="25" t="s">
        <v>142</v>
      </c>
      <c r="CZ559" s="14">
        <f>INDEX(属性投放!$AM$7:$AM$58,CU559)</f>
        <v>15</v>
      </c>
      <c r="DA559" s="14" t="s">
        <v>537</v>
      </c>
      <c r="DB559" s="14">
        <f>INDEX(属性投放!$AN$7:$AN$58,CU559)</f>
        <v>2</v>
      </c>
      <c r="DC559" s="14">
        <f t="shared" si="918"/>
        <v>35</v>
      </c>
      <c r="DD559" s="14">
        <f>INDEX(属性投放!$AO$7:$AO$58,DC559)</f>
        <v>105</v>
      </c>
      <c r="DE559" s="14" t="s">
        <v>538</v>
      </c>
      <c r="DF559" s="14">
        <f>INDEX(属性投放!$BK$6:$BK$85,(CV559-2)*20+CZ559)</f>
        <v>445</v>
      </c>
      <c r="DG559" s="14">
        <f>SUMIFS(DF$5:DF559,$CT$5:$CT559,"="&amp;$CT559)</f>
        <v>5430</v>
      </c>
      <c r="DH559" s="14" t="s">
        <v>539</v>
      </c>
      <c r="DI559" s="14">
        <f>INDEX(属性投放!$BL$6:$BL$85,(CV559-2)*20+CZ559)</f>
        <v>223</v>
      </c>
      <c r="DJ559" s="14">
        <f>SUMIFS(DI$5:DI559,$CT$5:$CT559,"="&amp;$CT559)</f>
        <v>2724</v>
      </c>
      <c r="DK559" s="14" t="s">
        <v>540</v>
      </c>
      <c r="DL559" s="14">
        <f>INDEX(属性投放!$BM$6:$BM$85,(CV559-2)*20+CZ559)</f>
        <v>4450</v>
      </c>
      <c r="DM559" s="14">
        <f>SUMIFS(DL$5:DL559,$CT$5:$CT559,"="&amp;$CT559)</f>
        <v>49735</v>
      </c>
      <c r="DR559" s="14">
        <f t="shared" si="960"/>
        <v>1102031</v>
      </c>
      <c r="DS559" s="14" t="str">
        <f t="shared" si="961"/>
        <v>秦琼15突</v>
      </c>
      <c r="DT559" s="14">
        <f t="shared" si="925"/>
        <v>7</v>
      </c>
      <c r="DU559" s="14">
        <f t="shared" si="926"/>
        <v>7</v>
      </c>
      <c r="DV559" s="14">
        <f t="shared" si="927"/>
        <v>7</v>
      </c>
      <c r="DW559" s="14">
        <f t="shared" si="962"/>
        <v>4</v>
      </c>
      <c r="DX559" s="14">
        <f t="shared" si="963"/>
        <v>15</v>
      </c>
      <c r="DY559" s="14">
        <f t="shared" si="964"/>
        <v>55</v>
      </c>
      <c r="DZ559" s="14">
        <f>INDEX(属性投放!$AX$6:$AX$85,(卡牌属性!DW559-2)*20+卡牌属性!DX559)</f>
        <v>8</v>
      </c>
      <c r="EA559" s="14">
        <f>INDEX(属性投放!BQ$6:BQ$85,卡牌属性!$DY559)</f>
        <v>800</v>
      </c>
      <c r="EB559" s="14">
        <f>INDEX(属性投放!BR$6:BR$85,卡牌属性!$DY559)</f>
        <v>400</v>
      </c>
      <c r="EC559" s="14">
        <f>INDEX(属性投放!BS$6:BS$85,卡牌属性!$DY559)</f>
        <v>8000</v>
      </c>
      <c r="ED559" s="14">
        <f t="shared" si="966"/>
        <v>5573</v>
      </c>
      <c r="EE559" s="14">
        <f t="shared" si="967"/>
        <v>5950</v>
      </c>
      <c r="EF559" s="14">
        <f t="shared" si="968"/>
        <v>6355</v>
      </c>
      <c r="EG559" s="14">
        <f t="shared" si="969"/>
        <v>6355</v>
      </c>
      <c r="EH559" s="14">
        <f t="shared" si="970"/>
        <v>7410</v>
      </c>
      <c r="EI559" s="14">
        <f t="shared" si="971"/>
        <v>2757</v>
      </c>
      <c r="EJ559" s="14">
        <f t="shared" si="972"/>
        <v>2957</v>
      </c>
      <c r="EK559" s="14">
        <f t="shared" si="973"/>
        <v>2957</v>
      </c>
      <c r="EL559" s="14">
        <f t="shared" si="974"/>
        <v>3142</v>
      </c>
      <c r="EM559" s="14">
        <f t="shared" si="975"/>
        <v>3699</v>
      </c>
      <c r="EN559" s="14">
        <f t="shared" si="976"/>
        <v>46618</v>
      </c>
      <c r="EO559" s="14">
        <f t="shared" si="977"/>
        <v>49562</v>
      </c>
      <c r="EP559" s="14">
        <f t="shared" si="978"/>
        <v>49562</v>
      </c>
      <c r="EQ559" s="14">
        <f t="shared" si="979"/>
        <v>52660</v>
      </c>
      <c r="ER559" s="14">
        <f t="shared" si="980"/>
        <v>61620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INDEX(属性投放!$BQ$6:$BQ$85,(卡牌属性!$DW559-2)*20+卡牌属性!$DX559)</f>
        <v>800</v>
      </c>
      <c r="FI559" s="14">
        <f>INDEX(属性投放!$BQ$6:$BQ$85,(卡牌属性!$DW559-2)*20+卡牌属性!$DX559)</f>
        <v>800</v>
      </c>
      <c r="FJ559" s="14">
        <f>INDEX(属性投放!$BQ$6:$BQ$85,(卡牌属性!$DW559-2)*20+卡牌属性!$DX559)</f>
        <v>800</v>
      </c>
      <c r="FK559" s="14">
        <f>INDEX(属性投放!$BQ$6:$BQ$85,(卡牌属性!$DW559-2)*20+卡牌属性!$DX559)</f>
        <v>800</v>
      </c>
      <c r="FL559" s="14">
        <f>INDEX(属性投放!$BQ$6:$BQ$85,(卡牌属性!$DW559-2)*20+卡牌属性!$DX559)</f>
        <v>800</v>
      </c>
      <c r="FM559" s="14">
        <f>INDEX(属性投放!$BR$6:$BR$85,(卡牌属性!$DW559-2)*20+卡牌属性!$DX559)</f>
        <v>400</v>
      </c>
      <c r="FN559" s="14">
        <f>INDEX(属性投放!$BR$6:$BR$85,(卡牌属性!$DW559-2)*20+卡牌属性!$DX559)</f>
        <v>400</v>
      </c>
      <c r="FO559" s="14">
        <f>INDEX(属性投放!$BR$6:$BR$85,(卡牌属性!$DW559-2)*20+卡牌属性!$DX559)</f>
        <v>400</v>
      </c>
      <c r="FP559" s="14">
        <f>INDEX(属性投放!$BR$6:$BR$85,(卡牌属性!$DW559-2)*20+卡牌属性!$DX559)</f>
        <v>400</v>
      </c>
      <c r="FQ559" s="14">
        <f>INDEX(属性投放!$BR$6:$BR$85,(卡牌属性!$DW559-2)*20+卡牌属性!$DX559)</f>
        <v>400</v>
      </c>
      <c r="FR559" s="14">
        <f>INDEX(属性投放!$BS$6:$BS$85,(卡牌属性!$DW559-2)*20+卡牌属性!$DX559)</f>
        <v>8000</v>
      </c>
      <c r="FS559" s="14">
        <f>INDEX(属性投放!$BS$6:$BS$85,(卡牌属性!$DW559-2)*20+卡牌属性!$DX559)</f>
        <v>8000</v>
      </c>
      <c r="FT559" s="14">
        <f>INDEX(属性投放!$BS$6:$BS$85,(卡牌属性!$DW559-2)*20+卡牌属性!$DX559)</f>
        <v>8000</v>
      </c>
      <c r="FU559" s="14">
        <f>INDEX(属性投放!$BS$6:$BS$85,(卡牌属性!$DW559-2)*20+卡牌属性!$DX559)</f>
        <v>8000</v>
      </c>
      <c r="FV559" s="14">
        <f>INDEX(属性投放!$BS$6:$BS$85,(卡牌属性!$DW559-2)*20+卡牌属性!$DX559)</f>
        <v>8000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15"/>
        <v>28</v>
      </c>
      <c r="BY560" s="14">
        <f t="shared" si="916"/>
        <v>4</v>
      </c>
      <c r="BZ560" s="14">
        <f t="shared" si="919"/>
        <v>1102031</v>
      </c>
      <c r="CA560" s="14" t="str">
        <f t="shared" si="920"/>
        <v>秦琼16突</v>
      </c>
      <c r="CB560" s="25" t="s">
        <v>142</v>
      </c>
      <c r="CC560" s="14">
        <v>2</v>
      </c>
      <c r="CD560" s="14">
        <f t="shared" si="917"/>
        <v>16</v>
      </c>
      <c r="CE560" s="14" t="s">
        <v>21</v>
      </c>
      <c r="CF560" s="14">
        <f>INDEX(属性投放!$AZ$6:$AZ$85,(BY560-2)*20+CD560)</f>
        <v>12568</v>
      </c>
      <c r="CG560" s="14" t="s">
        <v>22</v>
      </c>
      <c r="CH560" s="14">
        <f>INDEX(属性投放!$BA$6:$BA$85,(BY560-2)*20+CD560)</f>
        <v>6239</v>
      </c>
      <c r="CI560" s="14" t="s">
        <v>510</v>
      </c>
      <c r="CJ560" s="14">
        <f>INDEX(属性投放!$BB$6:$BB$85,(BY560-2)*20+CD560)</f>
        <v>112003</v>
      </c>
      <c r="CK560" s="14" t="s">
        <v>21</v>
      </c>
      <c r="CL560" s="14">
        <f>INDEX(属性投放!$BC$6:$BC$85,(BY560-2)*20+CD560)</f>
        <v>50</v>
      </c>
      <c r="CM560" s="14" t="s">
        <v>22</v>
      </c>
      <c r="CN560" s="14">
        <f>INDEX(属性投放!$BD$6:$BD$85,(BY560-2)*20+CD560)</f>
        <v>25</v>
      </c>
      <c r="CO560" s="14" t="s">
        <v>510</v>
      </c>
      <c r="CP560" s="14">
        <f>INDEX(属性投放!$BE$6:$BE$85,(BY560-2)*20+CD560)</f>
        <v>500</v>
      </c>
      <c r="CS560" s="13">
        <v>556</v>
      </c>
      <c r="CT560" s="13">
        <f t="shared" si="921"/>
        <v>11</v>
      </c>
      <c r="CU560" s="13">
        <f t="shared" si="922"/>
        <v>36</v>
      </c>
      <c r="CV560" s="14">
        <f t="shared" si="923"/>
        <v>4</v>
      </c>
      <c r="CW560" s="14">
        <f t="shared" si="924"/>
        <v>1102011</v>
      </c>
      <c r="CX560" s="14" t="str">
        <f>INDEX($O$6:$O$50,CT560)&amp;"-"&amp;INDEX(属性投放!$AB$7:$AB$50,CZ560)&amp;"-魂火-"&amp;DB560</f>
        <v>张飞-焦热+2-魂火-3</v>
      </c>
      <c r="CY560" s="25" t="s">
        <v>142</v>
      </c>
      <c r="CZ560" s="14">
        <f>INDEX(属性投放!$AM$7:$AM$58,CU560)</f>
        <v>15</v>
      </c>
      <c r="DA560" s="14" t="s">
        <v>537</v>
      </c>
      <c r="DB560" s="14">
        <f>INDEX(属性投放!$AN$7:$AN$58,CU560)</f>
        <v>3</v>
      </c>
      <c r="DC560" s="14">
        <f t="shared" si="918"/>
        <v>36</v>
      </c>
      <c r="DD560" s="14">
        <f>INDEX(属性投放!$AO$7:$AO$58,DC560)</f>
        <v>108</v>
      </c>
      <c r="DE560" s="14" t="s">
        <v>538</v>
      </c>
      <c r="DF560" s="14">
        <f>INDEX(属性投放!$BK$6:$BK$85,(CV560-2)*20+CZ560)</f>
        <v>445</v>
      </c>
      <c r="DG560" s="14">
        <f>SUMIFS(DF$5:DF560,$CT$5:$CT560,"="&amp;$CT560)</f>
        <v>5875</v>
      </c>
      <c r="DH560" s="14" t="s">
        <v>539</v>
      </c>
      <c r="DI560" s="14">
        <f>INDEX(属性投放!$BL$6:$BL$85,(CV560-2)*20+CZ560)</f>
        <v>223</v>
      </c>
      <c r="DJ560" s="14">
        <f>SUMIFS(DI$5:DI560,$CT$5:$CT560,"="&amp;$CT560)</f>
        <v>2947</v>
      </c>
      <c r="DK560" s="14" t="s">
        <v>540</v>
      </c>
      <c r="DL560" s="14">
        <f>INDEX(属性投放!$BM$6:$BM$85,(CV560-2)*20+CZ560)</f>
        <v>4450</v>
      </c>
      <c r="DM560" s="14">
        <f>SUMIFS(DL$5:DL560,$CT$5:$CT560,"="&amp;$CT560)</f>
        <v>54185</v>
      </c>
      <c r="DR560" s="14">
        <f t="shared" si="960"/>
        <v>1102031</v>
      </c>
      <c r="DS560" s="14" t="str">
        <f t="shared" si="961"/>
        <v>秦琼16突</v>
      </c>
      <c r="DT560" s="14">
        <f t="shared" si="925"/>
        <v>7</v>
      </c>
      <c r="DU560" s="14">
        <f t="shared" si="926"/>
        <v>7</v>
      </c>
      <c r="DV560" s="14">
        <f t="shared" si="927"/>
        <v>7</v>
      </c>
      <c r="DW560" s="14">
        <f t="shared" si="962"/>
        <v>4</v>
      </c>
      <c r="DX560" s="14">
        <f t="shared" si="963"/>
        <v>16</v>
      </c>
      <c r="DY560" s="14">
        <f t="shared" si="964"/>
        <v>56</v>
      </c>
      <c r="DZ560" s="14">
        <f>INDEX(属性投放!$AX$6:$AX$85,(卡牌属性!DW560-2)*20+卡牌属性!DX560)</f>
        <v>7</v>
      </c>
      <c r="EA560" s="14">
        <f>INDEX(属性投放!BQ$6:BQ$85,卡牌属性!$DY560)</f>
        <v>850</v>
      </c>
      <c r="EB560" s="14">
        <f>INDEX(属性投放!BR$6:BR$85,卡牌属性!$DY560)</f>
        <v>425</v>
      </c>
      <c r="EC560" s="14">
        <f>INDEX(属性投放!BS$6:BS$85,卡牌属性!$DY560)</f>
        <v>8500</v>
      </c>
      <c r="ED560" s="14">
        <f t="shared" si="966"/>
        <v>6693</v>
      </c>
      <c r="EE560" s="14">
        <f t="shared" si="967"/>
        <v>7110</v>
      </c>
      <c r="EF560" s="14">
        <f t="shared" si="968"/>
        <v>7555</v>
      </c>
      <c r="EG560" s="14">
        <f t="shared" si="969"/>
        <v>7555</v>
      </c>
      <c r="EH560" s="14">
        <f t="shared" si="970"/>
        <v>8810</v>
      </c>
      <c r="EI560" s="14">
        <f t="shared" si="971"/>
        <v>3317</v>
      </c>
      <c r="EJ560" s="14">
        <f t="shared" si="972"/>
        <v>3541</v>
      </c>
      <c r="EK560" s="14">
        <f t="shared" si="973"/>
        <v>3541</v>
      </c>
      <c r="EL560" s="14">
        <f t="shared" si="974"/>
        <v>3742</v>
      </c>
      <c r="EM560" s="14">
        <f t="shared" si="975"/>
        <v>4403</v>
      </c>
      <c r="EN560" s="14">
        <f t="shared" si="976"/>
        <v>57818</v>
      </c>
      <c r="EO560" s="14">
        <f t="shared" si="977"/>
        <v>61162</v>
      </c>
      <c r="EP560" s="14">
        <f t="shared" si="978"/>
        <v>61162</v>
      </c>
      <c r="EQ560" s="14">
        <f t="shared" si="979"/>
        <v>64660</v>
      </c>
      <c r="ER560" s="14">
        <f t="shared" si="980"/>
        <v>75620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INDEX(属性投放!$BQ$6:$BQ$85,(卡牌属性!$DW560-2)*20+卡牌属性!$DX560)</f>
        <v>850</v>
      </c>
      <c r="FI560" s="14">
        <f>INDEX(属性投放!$BQ$6:$BQ$85,(卡牌属性!$DW560-2)*20+卡牌属性!$DX560)</f>
        <v>850</v>
      </c>
      <c r="FJ560" s="14">
        <f>INDEX(属性投放!$BQ$6:$BQ$85,(卡牌属性!$DW560-2)*20+卡牌属性!$DX560)</f>
        <v>850</v>
      </c>
      <c r="FK560" s="14">
        <f>INDEX(属性投放!$BQ$6:$BQ$85,(卡牌属性!$DW560-2)*20+卡牌属性!$DX560)</f>
        <v>850</v>
      </c>
      <c r="FL560" s="14">
        <f>INDEX(属性投放!$BQ$6:$BQ$85,(卡牌属性!$DW560-2)*20+卡牌属性!$DX560)</f>
        <v>850</v>
      </c>
      <c r="FM560" s="14">
        <f>INDEX(属性投放!$BR$6:$BR$85,(卡牌属性!$DW560-2)*20+卡牌属性!$DX560)</f>
        <v>425</v>
      </c>
      <c r="FN560" s="14">
        <f>INDEX(属性投放!$BR$6:$BR$85,(卡牌属性!$DW560-2)*20+卡牌属性!$DX560)</f>
        <v>425</v>
      </c>
      <c r="FO560" s="14">
        <f>INDEX(属性投放!$BR$6:$BR$85,(卡牌属性!$DW560-2)*20+卡牌属性!$DX560)</f>
        <v>425</v>
      </c>
      <c r="FP560" s="14">
        <f>INDEX(属性投放!$BR$6:$BR$85,(卡牌属性!$DW560-2)*20+卡牌属性!$DX560)</f>
        <v>425</v>
      </c>
      <c r="FQ560" s="14">
        <f>INDEX(属性投放!$BR$6:$BR$85,(卡牌属性!$DW560-2)*20+卡牌属性!$DX560)</f>
        <v>425</v>
      </c>
      <c r="FR560" s="14">
        <f>INDEX(属性投放!$BS$6:$BS$85,(卡牌属性!$DW560-2)*20+卡牌属性!$DX560)</f>
        <v>8500</v>
      </c>
      <c r="FS560" s="14">
        <f>INDEX(属性投放!$BS$6:$BS$85,(卡牌属性!$DW560-2)*20+卡牌属性!$DX560)</f>
        <v>8500</v>
      </c>
      <c r="FT560" s="14">
        <f>INDEX(属性投放!$BS$6:$BS$85,(卡牌属性!$DW560-2)*20+卡牌属性!$DX560)</f>
        <v>8500</v>
      </c>
      <c r="FU560" s="14">
        <f>INDEX(属性投放!$BS$6:$BS$85,(卡牌属性!$DW560-2)*20+卡牌属性!$DX560)</f>
        <v>8500</v>
      </c>
      <c r="FV560" s="14">
        <f>INDEX(属性投放!$BS$6:$BS$85,(卡牌属性!$DW560-2)*20+卡牌属性!$DX560)</f>
        <v>8500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15"/>
        <v>28</v>
      </c>
      <c r="BY561" s="14">
        <f t="shared" si="916"/>
        <v>4</v>
      </c>
      <c r="BZ561" s="14">
        <f t="shared" si="919"/>
        <v>1102031</v>
      </c>
      <c r="CA561" s="14" t="str">
        <f t="shared" si="920"/>
        <v>秦琼17突</v>
      </c>
      <c r="CB561" s="25" t="s">
        <v>142</v>
      </c>
      <c r="CC561" s="14">
        <v>2</v>
      </c>
      <c r="CD561" s="14">
        <f t="shared" si="917"/>
        <v>17</v>
      </c>
      <c r="CE561" s="14" t="s">
        <v>21</v>
      </c>
      <c r="CF561" s="14">
        <f>INDEX(属性投放!$AZ$6:$AZ$85,(BY561-2)*20+CD561)</f>
        <v>15328</v>
      </c>
      <c r="CG561" s="14" t="s">
        <v>22</v>
      </c>
      <c r="CH561" s="14">
        <f>INDEX(属性投放!$BA$6:$BA$85,(BY561-2)*20+CD561)</f>
        <v>7619</v>
      </c>
      <c r="CI561" s="14" t="s">
        <v>510</v>
      </c>
      <c r="CJ561" s="14">
        <f>INDEX(属性投放!$BB$6:$BB$85,(BY561-2)*20+CD561)</f>
        <v>139603</v>
      </c>
      <c r="CK561" s="14" t="s">
        <v>21</v>
      </c>
      <c r="CL561" s="14">
        <f>INDEX(属性投放!$BC$6:$BC$85,(BY561-2)*20+CD561)</f>
        <v>50</v>
      </c>
      <c r="CM561" s="14" t="s">
        <v>22</v>
      </c>
      <c r="CN561" s="14">
        <f>INDEX(属性投放!$BD$6:$BD$85,(BY561-2)*20+CD561)</f>
        <v>25</v>
      </c>
      <c r="CO561" s="14" t="s">
        <v>510</v>
      </c>
      <c r="CP561" s="14">
        <f>INDEX(属性投放!$BE$6:$BE$85,(BY561-2)*20+CD561)</f>
        <v>500</v>
      </c>
      <c r="CS561" s="13">
        <v>557</v>
      </c>
      <c r="CT561" s="13">
        <f t="shared" si="921"/>
        <v>11</v>
      </c>
      <c r="CU561" s="13">
        <f t="shared" si="922"/>
        <v>37</v>
      </c>
      <c r="CV561" s="14">
        <f t="shared" si="923"/>
        <v>4</v>
      </c>
      <c r="CW561" s="14">
        <f t="shared" si="924"/>
        <v>1102011</v>
      </c>
      <c r="CX561" s="14" t="str">
        <f>INDEX($O$6:$O$50,CT561)&amp;"-"&amp;INDEX(属性投放!$AB$7:$AB$50,CZ561)&amp;"-魂火-"&amp;DB561</f>
        <v>张飞-大焦热-魂火-1</v>
      </c>
      <c r="CY561" s="25" t="s">
        <v>142</v>
      </c>
      <c r="CZ561" s="14">
        <f>INDEX(属性投放!$AM$7:$AM$58,CU561)</f>
        <v>16</v>
      </c>
      <c r="DA561" s="14" t="s">
        <v>537</v>
      </c>
      <c r="DB561" s="14">
        <f>INDEX(属性投放!$AN$7:$AN$58,CU561)</f>
        <v>1</v>
      </c>
      <c r="DC561" s="14">
        <f t="shared" si="918"/>
        <v>37</v>
      </c>
      <c r="DD561" s="14">
        <f>INDEX(属性投放!$AO$7:$AO$58,DC561)</f>
        <v>110</v>
      </c>
      <c r="DE561" s="14" t="s">
        <v>538</v>
      </c>
      <c r="DF561" s="14">
        <f>INDEX(属性投放!$BK$6:$BK$85,(CV561-2)*20+CZ561)</f>
        <v>520</v>
      </c>
      <c r="DG561" s="14">
        <f>SUMIFS(DF$5:DF561,$CT$5:$CT561,"="&amp;$CT561)</f>
        <v>6395</v>
      </c>
      <c r="DH561" s="14" t="s">
        <v>539</v>
      </c>
      <c r="DI561" s="14">
        <f>INDEX(属性投放!$BL$6:$BL$85,(CV561-2)*20+CZ561)</f>
        <v>260</v>
      </c>
      <c r="DJ561" s="14">
        <f>SUMIFS(DI$5:DI561,$CT$5:$CT561,"="&amp;$CT561)</f>
        <v>3207</v>
      </c>
      <c r="DK561" s="14" t="s">
        <v>540</v>
      </c>
      <c r="DL561" s="14">
        <f>INDEX(属性投放!$BM$6:$BM$85,(CV561-2)*20+CZ561)</f>
        <v>5200</v>
      </c>
      <c r="DM561" s="14">
        <f>SUMIFS(DL$5:DL561,$CT$5:$CT561,"="&amp;$CT561)</f>
        <v>59385</v>
      </c>
      <c r="DR561" s="14">
        <f t="shared" si="960"/>
        <v>1102031</v>
      </c>
      <c r="DS561" s="14" t="str">
        <f t="shared" si="961"/>
        <v>秦琼17突</v>
      </c>
      <c r="DT561" s="14">
        <f t="shared" si="925"/>
        <v>7</v>
      </c>
      <c r="DU561" s="14">
        <f t="shared" si="926"/>
        <v>7</v>
      </c>
      <c r="DV561" s="14">
        <f t="shared" si="927"/>
        <v>7</v>
      </c>
      <c r="DW561" s="14">
        <f t="shared" si="962"/>
        <v>4</v>
      </c>
      <c r="DX561" s="14">
        <f t="shared" si="963"/>
        <v>17</v>
      </c>
      <c r="DY561" s="14">
        <f t="shared" si="964"/>
        <v>57</v>
      </c>
      <c r="DZ561" s="14">
        <f>INDEX(属性投放!$AX$6:$AX$85,(卡牌属性!DW561-2)*20+卡牌属性!DX561)</f>
        <v>8</v>
      </c>
      <c r="EA561" s="14">
        <f>INDEX(属性投放!BQ$6:BQ$85,卡牌属性!$DY561)</f>
        <v>950</v>
      </c>
      <c r="EB561" s="14">
        <f>INDEX(属性投放!BR$6:BR$85,卡牌属性!$DY561)</f>
        <v>475</v>
      </c>
      <c r="EC561" s="14">
        <f>INDEX(属性投放!BS$6:BS$85,卡牌属性!$DY561)</f>
        <v>9500</v>
      </c>
      <c r="ED561" s="14">
        <f t="shared" si="966"/>
        <v>7893</v>
      </c>
      <c r="EE561" s="14">
        <f t="shared" si="967"/>
        <v>8380</v>
      </c>
      <c r="EF561" s="14">
        <f t="shared" si="968"/>
        <v>8930</v>
      </c>
      <c r="EG561" s="14">
        <f t="shared" si="969"/>
        <v>8930</v>
      </c>
      <c r="EH561" s="14">
        <f t="shared" si="970"/>
        <v>10360</v>
      </c>
      <c r="EI561" s="14">
        <f t="shared" si="971"/>
        <v>3917</v>
      </c>
      <c r="EJ561" s="14">
        <f t="shared" si="972"/>
        <v>4176</v>
      </c>
      <c r="EK561" s="14">
        <f t="shared" si="973"/>
        <v>4176</v>
      </c>
      <c r="EL561" s="14">
        <f t="shared" si="974"/>
        <v>4433</v>
      </c>
      <c r="EM561" s="14">
        <f t="shared" si="975"/>
        <v>5178</v>
      </c>
      <c r="EN561" s="14">
        <f t="shared" si="976"/>
        <v>69818</v>
      </c>
      <c r="EO561" s="14">
        <f t="shared" si="977"/>
        <v>73862</v>
      </c>
      <c r="EP561" s="14">
        <f t="shared" si="978"/>
        <v>73862</v>
      </c>
      <c r="EQ561" s="14">
        <f t="shared" si="979"/>
        <v>78410</v>
      </c>
      <c r="ER561" s="14">
        <f t="shared" si="980"/>
        <v>91120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INDEX(属性投放!$BQ$6:$BQ$85,(卡牌属性!$DW561-2)*20+卡牌属性!$DX561)</f>
        <v>950</v>
      </c>
      <c r="FI561" s="14">
        <f>INDEX(属性投放!$BQ$6:$BQ$85,(卡牌属性!$DW561-2)*20+卡牌属性!$DX561)</f>
        <v>950</v>
      </c>
      <c r="FJ561" s="14">
        <f>INDEX(属性投放!$BQ$6:$BQ$85,(卡牌属性!$DW561-2)*20+卡牌属性!$DX561)</f>
        <v>950</v>
      </c>
      <c r="FK561" s="14">
        <f>INDEX(属性投放!$BQ$6:$BQ$85,(卡牌属性!$DW561-2)*20+卡牌属性!$DX561)</f>
        <v>950</v>
      </c>
      <c r="FL561" s="14">
        <f>INDEX(属性投放!$BQ$6:$BQ$85,(卡牌属性!$DW561-2)*20+卡牌属性!$DX561)</f>
        <v>950</v>
      </c>
      <c r="FM561" s="14">
        <f>INDEX(属性投放!$BR$6:$BR$85,(卡牌属性!$DW561-2)*20+卡牌属性!$DX561)</f>
        <v>475</v>
      </c>
      <c r="FN561" s="14">
        <f>INDEX(属性投放!$BR$6:$BR$85,(卡牌属性!$DW561-2)*20+卡牌属性!$DX561)</f>
        <v>475</v>
      </c>
      <c r="FO561" s="14">
        <f>INDEX(属性投放!$BR$6:$BR$85,(卡牌属性!$DW561-2)*20+卡牌属性!$DX561)</f>
        <v>475</v>
      </c>
      <c r="FP561" s="14">
        <f>INDEX(属性投放!$BR$6:$BR$85,(卡牌属性!$DW561-2)*20+卡牌属性!$DX561)</f>
        <v>475</v>
      </c>
      <c r="FQ561" s="14">
        <f>INDEX(属性投放!$BR$6:$BR$85,(卡牌属性!$DW561-2)*20+卡牌属性!$DX561)</f>
        <v>475</v>
      </c>
      <c r="FR561" s="14">
        <f>INDEX(属性投放!$BS$6:$BS$85,(卡牌属性!$DW561-2)*20+卡牌属性!$DX561)</f>
        <v>9500</v>
      </c>
      <c r="FS561" s="14">
        <f>INDEX(属性投放!$BS$6:$BS$85,(卡牌属性!$DW561-2)*20+卡牌属性!$DX561)</f>
        <v>9500</v>
      </c>
      <c r="FT561" s="14">
        <f>INDEX(属性投放!$BS$6:$BS$85,(卡牌属性!$DW561-2)*20+卡牌属性!$DX561)</f>
        <v>9500</v>
      </c>
      <c r="FU561" s="14">
        <f>INDEX(属性投放!$BS$6:$BS$85,(卡牌属性!$DW561-2)*20+卡牌属性!$DX561)</f>
        <v>9500</v>
      </c>
      <c r="FV561" s="14">
        <f>INDEX(属性投放!$BS$6:$BS$85,(卡牌属性!$DW561-2)*20+卡牌属性!$DX561)</f>
        <v>9500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15"/>
        <v>28</v>
      </c>
      <c r="BY562" s="14">
        <f t="shared" si="916"/>
        <v>4</v>
      </c>
      <c r="BZ562" s="14">
        <f t="shared" si="919"/>
        <v>1102031</v>
      </c>
      <c r="CA562" s="14" t="str">
        <f t="shared" si="920"/>
        <v>秦琼18突</v>
      </c>
      <c r="CB562" s="25" t="s">
        <v>142</v>
      </c>
      <c r="CC562" s="14">
        <v>2</v>
      </c>
      <c r="CD562" s="14">
        <f t="shared" si="917"/>
        <v>18</v>
      </c>
      <c r="CE562" s="14" t="s">
        <v>21</v>
      </c>
      <c r="CF562" s="14">
        <f>INDEX(属性投放!$AZ$6:$AZ$85,(BY562-2)*20+CD562)</f>
        <v>18628</v>
      </c>
      <c r="CG562" s="14" t="s">
        <v>22</v>
      </c>
      <c r="CH562" s="14">
        <f>INDEX(属性投放!$BA$6:$BA$85,(BY562-2)*20+CD562)</f>
        <v>9269</v>
      </c>
      <c r="CI562" s="14" t="s">
        <v>510</v>
      </c>
      <c r="CJ562" s="14">
        <f>INDEX(属性投放!$BB$6:$BB$85,(BY562-2)*20+CD562)</f>
        <v>172603</v>
      </c>
      <c r="CK562" s="14" t="s">
        <v>21</v>
      </c>
      <c r="CL562" s="14">
        <f>INDEX(属性投放!$BC$6:$BC$85,(BY562-2)*20+CD562)</f>
        <v>50</v>
      </c>
      <c r="CM562" s="14" t="s">
        <v>22</v>
      </c>
      <c r="CN562" s="14">
        <f>INDEX(属性投放!$BD$6:$BD$85,(BY562-2)*20+CD562)</f>
        <v>25</v>
      </c>
      <c r="CO562" s="14" t="s">
        <v>510</v>
      </c>
      <c r="CP562" s="14">
        <f>INDEX(属性投放!$BE$6:$BE$85,(BY562-2)*20+CD562)</f>
        <v>500</v>
      </c>
      <c r="CS562" s="13">
        <v>558</v>
      </c>
      <c r="CT562" s="13">
        <f t="shared" si="921"/>
        <v>11</v>
      </c>
      <c r="CU562" s="13">
        <f t="shared" si="922"/>
        <v>38</v>
      </c>
      <c r="CV562" s="14">
        <f t="shared" si="923"/>
        <v>4</v>
      </c>
      <c r="CW562" s="14">
        <f t="shared" si="924"/>
        <v>1102011</v>
      </c>
      <c r="CX562" s="14" t="str">
        <f>INDEX($O$6:$O$50,CT562)&amp;"-"&amp;INDEX(属性投放!$AB$7:$AB$50,CZ562)&amp;"-魂火-"&amp;DB562</f>
        <v>张飞-大焦热-魂火-2</v>
      </c>
      <c r="CY562" s="25" t="s">
        <v>142</v>
      </c>
      <c r="CZ562" s="14">
        <f>INDEX(属性投放!$AM$7:$AM$58,CU562)</f>
        <v>16</v>
      </c>
      <c r="DA562" s="14" t="s">
        <v>537</v>
      </c>
      <c r="DB562" s="14">
        <f>INDEX(属性投放!$AN$7:$AN$58,CU562)</f>
        <v>2</v>
      </c>
      <c r="DC562" s="14">
        <f t="shared" si="918"/>
        <v>38</v>
      </c>
      <c r="DD562" s="14">
        <f>INDEX(属性投放!$AO$7:$AO$58,DC562)</f>
        <v>113</v>
      </c>
      <c r="DE562" s="14" t="s">
        <v>538</v>
      </c>
      <c r="DF562" s="14">
        <f>INDEX(属性投放!$BK$6:$BK$85,(CV562-2)*20+CZ562)</f>
        <v>520</v>
      </c>
      <c r="DG562" s="14">
        <f>SUMIFS(DF$5:DF562,$CT$5:$CT562,"="&amp;$CT562)</f>
        <v>6915</v>
      </c>
      <c r="DH562" s="14" t="s">
        <v>539</v>
      </c>
      <c r="DI562" s="14">
        <f>INDEX(属性投放!$BL$6:$BL$85,(CV562-2)*20+CZ562)</f>
        <v>260</v>
      </c>
      <c r="DJ562" s="14">
        <f>SUMIFS(DI$5:DI562,$CT$5:$CT562,"="&amp;$CT562)</f>
        <v>3467</v>
      </c>
      <c r="DK562" s="14" t="s">
        <v>540</v>
      </c>
      <c r="DL562" s="14">
        <f>INDEX(属性投放!$BM$6:$BM$85,(CV562-2)*20+CZ562)</f>
        <v>5200</v>
      </c>
      <c r="DM562" s="14">
        <f>SUMIFS(DL$5:DL562,$CT$5:$CT562,"="&amp;$CT562)</f>
        <v>64585</v>
      </c>
      <c r="DR562" s="14">
        <f t="shared" si="960"/>
        <v>1102031</v>
      </c>
      <c r="DS562" s="14" t="str">
        <f t="shared" si="961"/>
        <v>秦琼18突</v>
      </c>
      <c r="DT562" s="14">
        <f t="shared" si="925"/>
        <v>7</v>
      </c>
      <c r="DU562" s="14">
        <f t="shared" si="926"/>
        <v>7</v>
      </c>
      <c r="DV562" s="14">
        <f t="shared" si="927"/>
        <v>7</v>
      </c>
      <c r="DW562" s="14">
        <f t="shared" si="962"/>
        <v>4</v>
      </c>
      <c r="DX562" s="14">
        <f t="shared" si="963"/>
        <v>18</v>
      </c>
      <c r="DY562" s="14">
        <f t="shared" si="964"/>
        <v>58</v>
      </c>
      <c r="DZ562" s="14">
        <f>INDEX(属性投放!$AX$6:$AX$85,(卡牌属性!DW562-2)*20+卡牌属性!DX562)</f>
        <v>7</v>
      </c>
      <c r="EA562" s="14">
        <f>INDEX(属性投放!BQ$6:BQ$85,卡牌属性!$DY562)</f>
        <v>1500</v>
      </c>
      <c r="EB562" s="14">
        <f>INDEX(属性投放!BR$6:BR$85,卡牌属性!$DY562)</f>
        <v>750</v>
      </c>
      <c r="EC562" s="14">
        <f>INDEX(属性投放!BS$6:BS$85,卡牌属性!$DY562)</f>
        <v>15000</v>
      </c>
      <c r="ED562" s="14">
        <f t="shared" si="966"/>
        <v>9243</v>
      </c>
      <c r="EE562" s="14">
        <f t="shared" si="967"/>
        <v>9810</v>
      </c>
      <c r="EF562" s="14">
        <f t="shared" si="968"/>
        <v>10480</v>
      </c>
      <c r="EG562" s="14">
        <f t="shared" si="969"/>
        <v>10480</v>
      </c>
      <c r="EH562" s="14">
        <f t="shared" si="970"/>
        <v>12110</v>
      </c>
      <c r="EI562" s="14">
        <f t="shared" si="971"/>
        <v>4592</v>
      </c>
      <c r="EJ562" s="14">
        <f t="shared" si="972"/>
        <v>4891</v>
      </c>
      <c r="EK562" s="14">
        <f t="shared" si="973"/>
        <v>4891</v>
      </c>
      <c r="EL562" s="14">
        <f t="shared" si="974"/>
        <v>5212</v>
      </c>
      <c r="EM562" s="14">
        <f t="shared" si="975"/>
        <v>6053</v>
      </c>
      <c r="EN562" s="14">
        <f t="shared" si="976"/>
        <v>83318</v>
      </c>
      <c r="EO562" s="14">
        <f t="shared" si="977"/>
        <v>88162</v>
      </c>
      <c r="EP562" s="14">
        <f t="shared" si="978"/>
        <v>88162</v>
      </c>
      <c r="EQ562" s="14">
        <f t="shared" si="979"/>
        <v>93910</v>
      </c>
      <c r="ER562" s="14">
        <f t="shared" si="980"/>
        <v>108620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INDEX(属性投放!$BQ$6:$BQ$85,(卡牌属性!$DW562-2)*20+卡牌属性!$DX562)</f>
        <v>1500</v>
      </c>
      <c r="FI562" s="14">
        <f>INDEX(属性投放!$BQ$6:$BQ$85,(卡牌属性!$DW562-2)*20+卡牌属性!$DX562)</f>
        <v>1500</v>
      </c>
      <c r="FJ562" s="14">
        <f>INDEX(属性投放!$BQ$6:$BQ$85,(卡牌属性!$DW562-2)*20+卡牌属性!$DX562)</f>
        <v>1500</v>
      </c>
      <c r="FK562" s="14">
        <f>INDEX(属性投放!$BQ$6:$BQ$85,(卡牌属性!$DW562-2)*20+卡牌属性!$DX562)</f>
        <v>1500</v>
      </c>
      <c r="FL562" s="14">
        <f>INDEX(属性投放!$BQ$6:$BQ$85,(卡牌属性!$DW562-2)*20+卡牌属性!$DX562)</f>
        <v>1500</v>
      </c>
      <c r="FM562" s="14">
        <f>INDEX(属性投放!$BR$6:$BR$85,(卡牌属性!$DW562-2)*20+卡牌属性!$DX562)</f>
        <v>750</v>
      </c>
      <c r="FN562" s="14">
        <f>INDEX(属性投放!$BR$6:$BR$85,(卡牌属性!$DW562-2)*20+卡牌属性!$DX562)</f>
        <v>750</v>
      </c>
      <c r="FO562" s="14">
        <f>INDEX(属性投放!$BR$6:$BR$85,(卡牌属性!$DW562-2)*20+卡牌属性!$DX562)</f>
        <v>750</v>
      </c>
      <c r="FP562" s="14">
        <f>INDEX(属性投放!$BR$6:$BR$85,(卡牌属性!$DW562-2)*20+卡牌属性!$DX562)</f>
        <v>750</v>
      </c>
      <c r="FQ562" s="14">
        <f>INDEX(属性投放!$BR$6:$BR$85,(卡牌属性!$DW562-2)*20+卡牌属性!$DX562)</f>
        <v>750</v>
      </c>
      <c r="FR562" s="14">
        <f>INDEX(属性投放!$BS$6:$BS$85,(卡牌属性!$DW562-2)*20+卡牌属性!$DX562)</f>
        <v>15000</v>
      </c>
      <c r="FS562" s="14">
        <f>INDEX(属性投放!$BS$6:$BS$85,(卡牌属性!$DW562-2)*20+卡牌属性!$DX562)</f>
        <v>15000</v>
      </c>
      <c r="FT562" s="14">
        <f>INDEX(属性投放!$BS$6:$BS$85,(卡牌属性!$DW562-2)*20+卡牌属性!$DX562)</f>
        <v>15000</v>
      </c>
      <c r="FU562" s="14">
        <f>INDEX(属性投放!$BS$6:$BS$85,(卡牌属性!$DW562-2)*20+卡牌属性!$DX562)</f>
        <v>15000</v>
      </c>
      <c r="FV562" s="14">
        <f>INDEX(属性投放!$BS$6:$BS$85,(卡牌属性!$DW562-2)*20+卡牌属性!$DX562)</f>
        <v>15000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15"/>
        <v>28</v>
      </c>
      <c r="BY563" s="14">
        <f t="shared" si="916"/>
        <v>4</v>
      </c>
      <c r="BZ563" s="14">
        <f t="shared" si="919"/>
        <v>1102031</v>
      </c>
      <c r="CA563" s="14" t="str">
        <f t="shared" si="920"/>
        <v>秦琼19突</v>
      </c>
      <c r="CB563" s="25" t="s">
        <v>142</v>
      </c>
      <c r="CC563" s="14">
        <v>2</v>
      </c>
      <c r="CD563" s="14">
        <f t="shared" si="917"/>
        <v>19</v>
      </c>
      <c r="CE563" s="14" t="s">
        <v>21</v>
      </c>
      <c r="CF563" s="14">
        <f>INDEX(属性投放!$AZ$6:$AZ$85,(BY563-2)*20+CD563)</f>
        <v>22728</v>
      </c>
      <c r="CG563" s="14" t="s">
        <v>22</v>
      </c>
      <c r="CH563" s="14">
        <f>INDEX(属性投放!$BA$6:$BA$85,(BY563-2)*20+CD563)</f>
        <v>11319</v>
      </c>
      <c r="CI563" s="14" t="s">
        <v>510</v>
      </c>
      <c r="CJ563" s="14">
        <f>INDEX(属性投放!$BB$6:$BB$85,(BY563-2)*20+CD563)</f>
        <v>213603</v>
      </c>
      <c r="CK563" s="14" t="s">
        <v>21</v>
      </c>
      <c r="CL563" s="14">
        <f>INDEX(属性投放!$BC$6:$BC$85,(BY563-2)*20+CD563)</f>
        <v>75</v>
      </c>
      <c r="CM563" s="14" t="s">
        <v>22</v>
      </c>
      <c r="CN563" s="14">
        <f>INDEX(属性投放!$BD$6:$BD$85,(BY563-2)*20+CD563)</f>
        <v>38</v>
      </c>
      <c r="CO563" s="14" t="s">
        <v>510</v>
      </c>
      <c r="CP563" s="14">
        <f>INDEX(属性投放!$BE$6:$BE$85,(BY563-2)*20+CD563)</f>
        <v>750</v>
      </c>
      <c r="CS563" s="13">
        <v>559</v>
      </c>
      <c r="CT563" s="13">
        <f t="shared" si="921"/>
        <v>11</v>
      </c>
      <c r="CU563" s="13">
        <f t="shared" si="922"/>
        <v>39</v>
      </c>
      <c r="CV563" s="14">
        <f t="shared" si="923"/>
        <v>4</v>
      </c>
      <c r="CW563" s="14">
        <f t="shared" si="924"/>
        <v>1102011</v>
      </c>
      <c r="CX563" s="14" t="str">
        <f>INDEX($O$6:$O$50,CT563)&amp;"-"&amp;INDEX(属性投放!$AB$7:$AB$50,CZ563)&amp;"-魂火-"&amp;DB563</f>
        <v>张飞-大焦热-魂火-3</v>
      </c>
      <c r="CY563" s="25" t="s">
        <v>142</v>
      </c>
      <c r="CZ563" s="14">
        <f>INDEX(属性投放!$AM$7:$AM$58,CU563)</f>
        <v>16</v>
      </c>
      <c r="DA563" s="14" t="s">
        <v>537</v>
      </c>
      <c r="DB563" s="14">
        <f>INDEX(属性投放!$AN$7:$AN$58,CU563)</f>
        <v>3</v>
      </c>
      <c r="DC563" s="14">
        <f t="shared" si="918"/>
        <v>39</v>
      </c>
      <c r="DD563" s="14">
        <f>INDEX(属性投放!$AO$7:$AO$58,DC563)</f>
        <v>115</v>
      </c>
      <c r="DE563" s="14" t="s">
        <v>538</v>
      </c>
      <c r="DF563" s="14">
        <f>INDEX(属性投放!$BK$6:$BK$85,(CV563-2)*20+CZ563)</f>
        <v>520</v>
      </c>
      <c r="DG563" s="14">
        <f>SUMIFS(DF$5:DF563,$CT$5:$CT563,"="&amp;$CT563)</f>
        <v>7435</v>
      </c>
      <c r="DH563" s="14" t="s">
        <v>539</v>
      </c>
      <c r="DI563" s="14">
        <f>INDEX(属性投放!$BL$6:$BL$85,(CV563-2)*20+CZ563)</f>
        <v>260</v>
      </c>
      <c r="DJ563" s="14">
        <f>SUMIFS(DI$5:DI563,$CT$5:$CT563,"="&amp;$CT563)</f>
        <v>3727</v>
      </c>
      <c r="DK563" s="14" t="s">
        <v>540</v>
      </c>
      <c r="DL563" s="14">
        <f>INDEX(属性投放!$BM$6:$BM$85,(CV563-2)*20+CZ563)</f>
        <v>5200</v>
      </c>
      <c r="DM563" s="14">
        <f>SUMIFS(DL$5:DL563,$CT$5:$CT563,"="&amp;$CT563)</f>
        <v>69785</v>
      </c>
      <c r="DR563" s="14">
        <f t="shared" si="960"/>
        <v>1102031</v>
      </c>
      <c r="DS563" s="14" t="str">
        <f t="shared" si="961"/>
        <v>秦琼19突</v>
      </c>
      <c r="DT563" s="14">
        <f t="shared" si="925"/>
        <v>7</v>
      </c>
      <c r="DU563" s="14">
        <f t="shared" si="926"/>
        <v>7</v>
      </c>
      <c r="DV563" s="14">
        <f t="shared" si="927"/>
        <v>7</v>
      </c>
      <c r="DW563" s="14">
        <f t="shared" si="962"/>
        <v>4</v>
      </c>
      <c r="DX563" s="14">
        <f t="shared" si="963"/>
        <v>19</v>
      </c>
      <c r="DY563" s="14">
        <f t="shared" si="964"/>
        <v>59</v>
      </c>
      <c r="DZ563" s="14">
        <f>INDEX(属性投放!$AX$6:$AX$85,(卡牌属性!DW563-2)*20+卡牌属性!DX563)</f>
        <v>8</v>
      </c>
      <c r="EA563" s="14">
        <f>INDEX(属性投放!BQ$6:BQ$85,卡牌属性!$DY563)</f>
        <v>1500</v>
      </c>
      <c r="EB563" s="14">
        <f>INDEX(属性投放!BR$6:BR$85,卡牌属性!$DY563)</f>
        <v>750</v>
      </c>
      <c r="EC563" s="14">
        <f>INDEX(属性投放!BS$6:BS$85,卡牌属性!$DY563)</f>
        <v>15000</v>
      </c>
      <c r="ED563" s="14">
        <f t="shared" si="966"/>
        <v>11093</v>
      </c>
      <c r="EE563" s="14">
        <f t="shared" si="967"/>
        <v>11730</v>
      </c>
      <c r="EF563" s="14">
        <f t="shared" si="968"/>
        <v>12505</v>
      </c>
      <c r="EG563" s="14">
        <f t="shared" si="969"/>
        <v>12505</v>
      </c>
      <c r="EH563" s="14">
        <f t="shared" si="970"/>
        <v>14310</v>
      </c>
      <c r="EI563" s="14">
        <f t="shared" si="971"/>
        <v>5517</v>
      </c>
      <c r="EJ563" s="14">
        <f t="shared" si="972"/>
        <v>5851</v>
      </c>
      <c r="EK563" s="14">
        <f t="shared" si="973"/>
        <v>5851</v>
      </c>
      <c r="EL563" s="14">
        <f t="shared" si="974"/>
        <v>6228</v>
      </c>
      <c r="EM563" s="14">
        <f t="shared" si="975"/>
        <v>7153</v>
      </c>
      <c r="EN563" s="14">
        <f t="shared" si="976"/>
        <v>101818</v>
      </c>
      <c r="EO563" s="14">
        <f t="shared" si="977"/>
        <v>107362</v>
      </c>
      <c r="EP563" s="14">
        <f t="shared" si="978"/>
        <v>107362</v>
      </c>
      <c r="EQ563" s="14">
        <f t="shared" si="979"/>
        <v>114160</v>
      </c>
      <c r="ER563" s="14">
        <f t="shared" si="980"/>
        <v>130620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INDEX(属性投放!$BQ$6:$BQ$85,(卡牌属性!$DW563-2)*20+卡牌属性!$DX563)</f>
        <v>1500</v>
      </c>
      <c r="FI563" s="14">
        <f>INDEX(属性投放!$BQ$6:$BQ$85,(卡牌属性!$DW563-2)*20+卡牌属性!$DX563)</f>
        <v>1500</v>
      </c>
      <c r="FJ563" s="14">
        <f>INDEX(属性投放!$BQ$6:$BQ$85,(卡牌属性!$DW563-2)*20+卡牌属性!$DX563)</f>
        <v>1500</v>
      </c>
      <c r="FK563" s="14">
        <f>INDEX(属性投放!$BQ$6:$BQ$85,(卡牌属性!$DW563-2)*20+卡牌属性!$DX563)</f>
        <v>1500</v>
      </c>
      <c r="FL563" s="14">
        <f>INDEX(属性投放!$BQ$6:$BQ$85,(卡牌属性!$DW563-2)*20+卡牌属性!$DX563)</f>
        <v>1500</v>
      </c>
      <c r="FM563" s="14">
        <f>INDEX(属性投放!$BR$6:$BR$85,(卡牌属性!$DW563-2)*20+卡牌属性!$DX563)</f>
        <v>750</v>
      </c>
      <c r="FN563" s="14">
        <f>INDEX(属性投放!$BR$6:$BR$85,(卡牌属性!$DW563-2)*20+卡牌属性!$DX563)</f>
        <v>750</v>
      </c>
      <c r="FO563" s="14">
        <f>INDEX(属性投放!$BR$6:$BR$85,(卡牌属性!$DW563-2)*20+卡牌属性!$DX563)</f>
        <v>750</v>
      </c>
      <c r="FP563" s="14">
        <f>INDEX(属性投放!$BR$6:$BR$85,(卡牌属性!$DW563-2)*20+卡牌属性!$DX563)</f>
        <v>750</v>
      </c>
      <c r="FQ563" s="14">
        <f>INDEX(属性投放!$BR$6:$BR$85,(卡牌属性!$DW563-2)*20+卡牌属性!$DX563)</f>
        <v>750</v>
      </c>
      <c r="FR563" s="14">
        <f>INDEX(属性投放!$BS$6:$BS$85,(卡牌属性!$DW563-2)*20+卡牌属性!$DX563)</f>
        <v>15000</v>
      </c>
      <c r="FS563" s="14">
        <f>INDEX(属性投放!$BS$6:$BS$85,(卡牌属性!$DW563-2)*20+卡牌属性!$DX563)</f>
        <v>15000</v>
      </c>
      <c r="FT563" s="14">
        <f>INDEX(属性投放!$BS$6:$BS$85,(卡牌属性!$DW563-2)*20+卡牌属性!$DX563)</f>
        <v>15000</v>
      </c>
      <c r="FU563" s="14">
        <f>INDEX(属性投放!$BS$6:$BS$85,(卡牌属性!$DW563-2)*20+卡牌属性!$DX563)</f>
        <v>15000</v>
      </c>
      <c r="FV563" s="14">
        <f>INDEX(属性投放!$BS$6:$BS$85,(卡牌属性!$DW563-2)*20+卡牌属性!$DX563)</f>
        <v>15000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15"/>
        <v>28</v>
      </c>
      <c r="BY564" s="14">
        <f t="shared" si="916"/>
        <v>4</v>
      </c>
      <c r="BZ564" s="14">
        <f t="shared" si="919"/>
        <v>1102031</v>
      </c>
      <c r="CA564" s="14" t="str">
        <f t="shared" si="920"/>
        <v>秦琼20突</v>
      </c>
      <c r="CB564" s="25" t="s">
        <v>142</v>
      </c>
      <c r="CC564" s="14">
        <v>2</v>
      </c>
      <c r="CD564" s="14">
        <f t="shared" si="917"/>
        <v>20</v>
      </c>
      <c r="CE564" s="14" t="s">
        <v>21</v>
      </c>
      <c r="CF564" s="14">
        <f>INDEX(属性投放!$AZ$6:$AZ$85,(BY564-2)*20+CD564)</f>
        <v>27528</v>
      </c>
      <c r="CG564" s="14" t="s">
        <v>22</v>
      </c>
      <c r="CH564" s="14">
        <f>INDEX(属性投放!$BA$6:$BA$85,(BY564-2)*20+CD564)</f>
        <v>13723</v>
      </c>
      <c r="CI564" s="14" t="s">
        <v>510</v>
      </c>
      <c r="CJ564" s="14">
        <f>INDEX(属性投放!$BB$6:$BB$85,(BY564-2)*20+CD564)</f>
        <v>261603</v>
      </c>
      <c r="CK564" s="14" t="s">
        <v>21</v>
      </c>
      <c r="CL564" s="14">
        <f>INDEX(属性投放!$BC$6:$BC$85,(BY564-2)*20+CD564)</f>
        <v>75</v>
      </c>
      <c r="CM564" s="14" t="s">
        <v>22</v>
      </c>
      <c r="CN564" s="14">
        <f>INDEX(属性投放!$BD$6:$BD$85,(BY564-2)*20+CD564)</f>
        <v>38</v>
      </c>
      <c r="CO564" s="14" t="s">
        <v>510</v>
      </c>
      <c r="CP564" s="14">
        <f>INDEX(属性投放!$BE$6:$BE$85,(BY564-2)*20+CD564)</f>
        <v>750</v>
      </c>
      <c r="CS564" s="13">
        <v>560</v>
      </c>
      <c r="CT564" s="13">
        <f t="shared" si="921"/>
        <v>11</v>
      </c>
      <c r="CU564" s="13">
        <f t="shared" si="922"/>
        <v>40</v>
      </c>
      <c r="CV564" s="14">
        <f t="shared" si="923"/>
        <v>4</v>
      </c>
      <c r="CW564" s="14">
        <f t="shared" si="924"/>
        <v>1102011</v>
      </c>
      <c r="CX564" s="14" t="str">
        <f>INDEX($O$6:$O$50,CT564)&amp;"-"&amp;INDEX(属性投放!$AB$7:$AB$50,CZ564)&amp;"-魂火-"&amp;DB564</f>
        <v>张飞-大焦热+1-魂火-1</v>
      </c>
      <c r="CY564" s="25" t="s">
        <v>142</v>
      </c>
      <c r="CZ564" s="14">
        <f>INDEX(属性投放!$AM$7:$AM$58,CU564)</f>
        <v>17</v>
      </c>
      <c r="DA564" s="14" t="s">
        <v>537</v>
      </c>
      <c r="DB564" s="14">
        <f>INDEX(属性投放!$AN$7:$AN$58,CU564)</f>
        <v>1</v>
      </c>
      <c r="DC564" s="14">
        <f t="shared" si="918"/>
        <v>40</v>
      </c>
      <c r="DD564" s="14">
        <f>INDEX(属性投放!$AO$7:$AO$58,DC564)</f>
        <v>118</v>
      </c>
      <c r="DE564" s="14" t="s">
        <v>538</v>
      </c>
      <c r="DF564" s="14">
        <f>INDEX(属性投放!$BK$6:$BK$85,(CV564-2)*20+CZ564)</f>
        <v>650</v>
      </c>
      <c r="DG564" s="14">
        <f>SUMIFS(DF$5:DF564,$CT$5:$CT564,"="&amp;$CT564)</f>
        <v>8085</v>
      </c>
      <c r="DH564" s="14" t="s">
        <v>539</v>
      </c>
      <c r="DI564" s="14">
        <f>INDEX(属性投放!$BL$6:$BL$85,(CV564-2)*20+CZ564)</f>
        <v>325</v>
      </c>
      <c r="DJ564" s="14">
        <f>SUMIFS(DI$5:DI564,$CT$5:$CT564,"="&amp;$CT564)</f>
        <v>4052</v>
      </c>
      <c r="DK564" s="14" t="s">
        <v>540</v>
      </c>
      <c r="DL564" s="14">
        <f>INDEX(属性投放!$BM$6:$BM$85,(CV564-2)*20+CZ564)</f>
        <v>6500</v>
      </c>
      <c r="DM564" s="14">
        <f>SUMIFS(DL$5:DL564,$CT$5:$CT564,"="&amp;$CT564)</f>
        <v>76285</v>
      </c>
      <c r="DR564" s="14">
        <f t="shared" si="960"/>
        <v>1102031</v>
      </c>
      <c r="DS564" s="14" t="str">
        <f t="shared" si="961"/>
        <v>秦琼20突</v>
      </c>
      <c r="DT564" s="14">
        <f t="shared" si="925"/>
        <v>7</v>
      </c>
      <c r="DU564" s="14">
        <f t="shared" si="926"/>
        <v>7</v>
      </c>
      <c r="DV564" s="14">
        <f t="shared" si="927"/>
        <v>7</v>
      </c>
      <c r="DW564" s="14">
        <f t="shared" si="962"/>
        <v>4</v>
      </c>
      <c r="DX564" s="14">
        <f t="shared" si="963"/>
        <v>20</v>
      </c>
      <c r="DY564" s="14">
        <f t="shared" si="964"/>
        <v>60</v>
      </c>
      <c r="DZ564" s="14">
        <f>INDEX(属性投放!$AX$6:$AX$85,(卡牌属性!DW564-2)*20+卡牌属性!DX564)</f>
        <v>10</v>
      </c>
      <c r="EA564" s="14">
        <f>INDEX(属性投放!BQ$6:BQ$85,卡牌属性!$DY564)</f>
        <v>1500</v>
      </c>
      <c r="EB564" s="14">
        <f>INDEX(属性投放!BR$6:BR$85,卡牌属性!$DY564)</f>
        <v>750</v>
      </c>
      <c r="EC564" s="14">
        <f>INDEX(属性投放!BS$6:BS$85,卡牌属性!$DY564)</f>
        <v>15000</v>
      </c>
      <c r="ED564" s="14">
        <f t="shared" si="966"/>
        <v>13193</v>
      </c>
      <c r="EE564" s="14">
        <f t="shared" si="967"/>
        <v>13870</v>
      </c>
      <c r="EF564" s="14">
        <f t="shared" si="968"/>
        <v>14805</v>
      </c>
      <c r="EG564" s="14">
        <f t="shared" si="969"/>
        <v>14805</v>
      </c>
      <c r="EH564" s="14">
        <f t="shared" si="970"/>
        <v>17010</v>
      </c>
      <c r="EI564" s="14">
        <f t="shared" si="971"/>
        <v>6571</v>
      </c>
      <c r="EJ564" s="14">
        <f t="shared" si="972"/>
        <v>6921</v>
      </c>
      <c r="EK564" s="14">
        <f t="shared" si="973"/>
        <v>6921</v>
      </c>
      <c r="EL564" s="14">
        <f t="shared" si="974"/>
        <v>7378</v>
      </c>
      <c r="EM564" s="14">
        <f t="shared" si="975"/>
        <v>8503</v>
      </c>
      <c r="EN564" s="14">
        <f t="shared" si="976"/>
        <v>122818</v>
      </c>
      <c r="EO564" s="14">
        <f t="shared" si="977"/>
        <v>128762</v>
      </c>
      <c r="EP564" s="14">
        <f t="shared" si="978"/>
        <v>128762</v>
      </c>
      <c r="EQ564" s="14">
        <f t="shared" si="979"/>
        <v>137160</v>
      </c>
      <c r="ER564" s="14">
        <f t="shared" si="980"/>
        <v>157620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INDEX(属性投放!$BQ$6:$BQ$85,(卡牌属性!$DW564-2)*20+卡牌属性!$DX564)</f>
        <v>1500</v>
      </c>
      <c r="FI564" s="14">
        <f>INDEX(属性投放!$BQ$6:$BQ$85,(卡牌属性!$DW564-2)*20+卡牌属性!$DX564)</f>
        <v>1500</v>
      </c>
      <c r="FJ564" s="14">
        <f>INDEX(属性投放!$BQ$6:$BQ$85,(卡牌属性!$DW564-2)*20+卡牌属性!$DX564)</f>
        <v>1500</v>
      </c>
      <c r="FK564" s="14">
        <f>INDEX(属性投放!$BQ$6:$BQ$85,(卡牌属性!$DW564-2)*20+卡牌属性!$DX564)</f>
        <v>1500</v>
      </c>
      <c r="FL564" s="14">
        <f>INDEX(属性投放!$BQ$6:$BQ$85,(卡牌属性!$DW564-2)*20+卡牌属性!$DX564)</f>
        <v>1500</v>
      </c>
      <c r="FM564" s="14">
        <f>INDEX(属性投放!$BR$6:$BR$85,(卡牌属性!$DW564-2)*20+卡牌属性!$DX564)</f>
        <v>750</v>
      </c>
      <c r="FN564" s="14">
        <f>INDEX(属性投放!$BR$6:$BR$85,(卡牌属性!$DW564-2)*20+卡牌属性!$DX564)</f>
        <v>750</v>
      </c>
      <c r="FO564" s="14">
        <f>INDEX(属性投放!$BR$6:$BR$85,(卡牌属性!$DW564-2)*20+卡牌属性!$DX564)</f>
        <v>750</v>
      </c>
      <c r="FP564" s="14">
        <f>INDEX(属性投放!$BR$6:$BR$85,(卡牌属性!$DW564-2)*20+卡牌属性!$DX564)</f>
        <v>750</v>
      </c>
      <c r="FQ564" s="14">
        <f>INDEX(属性投放!$BR$6:$BR$85,(卡牌属性!$DW564-2)*20+卡牌属性!$DX564)</f>
        <v>750</v>
      </c>
      <c r="FR564" s="14">
        <f>INDEX(属性投放!$BS$6:$BS$85,(卡牌属性!$DW564-2)*20+卡牌属性!$DX564)</f>
        <v>15000</v>
      </c>
      <c r="FS564" s="14">
        <f>INDEX(属性投放!$BS$6:$BS$85,(卡牌属性!$DW564-2)*20+卡牌属性!$DX564)</f>
        <v>15000</v>
      </c>
      <c r="FT564" s="14">
        <f>INDEX(属性投放!$BS$6:$BS$85,(卡牌属性!$DW564-2)*20+卡牌属性!$DX564)</f>
        <v>15000</v>
      </c>
      <c r="FU564" s="14">
        <f>INDEX(属性投放!$BS$6:$BS$85,(卡牌属性!$DW564-2)*20+卡牌属性!$DX564)</f>
        <v>15000</v>
      </c>
      <c r="FV564" s="14">
        <f>INDEX(属性投放!$BS$6:$BS$85,(卡牌属性!$DW564-2)*20+卡牌属性!$DX564)</f>
        <v>15000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>
        <v>561</v>
      </c>
      <c r="BX565" s="13">
        <f t="shared" ref="BX565:BX628" si="981">MATCH(BW565-1,$S$5:$S$43,1)</f>
        <v>29</v>
      </c>
      <c r="BY565" s="14">
        <f t="shared" ref="BY565:BY628" si="982">INDEX($Q$6:$Q$43,BX565)</f>
        <v>2</v>
      </c>
      <c r="BZ565" s="14">
        <f t="shared" si="919"/>
        <v>1102999</v>
      </c>
      <c r="CA565" s="14" t="str">
        <f t="shared" si="920"/>
        <v>R守护灵1突</v>
      </c>
      <c r="CB565" s="25" t="s">
        <v>142</v>
      </c>
      <c r="CC565" s="14">
        <v>2</v>
      </c>
      <c r="CD565" s="14">
        <f t="shared" si="917"/>
        <v>1</v>
      </c>
      <c r="CE565" s="14" t="s">
        <v>21</v>
      </c>
      <c r="CF565" s="14">
        <f>INDEX(属性投放!$AZ$6:$AZ$85,(BY565-2)*20+CD565)</f>
        <v>100</v>
      </c>
      <c r="CG565" s="14" t="s">
        <v>22</v>
      </c>
      <c r="CH565" s="14">
        <f>INDEX(属性投放!$BA$6:$BA$85,(BY565-2)*20+CD565)</f>
        <v>0</v>
      </c>
      <c r="CI565" s="14" t="s">
        <v>510</v>
      </c>
      <c r="CJ565" s="14">
        <f>INDEX(属性投放!$BB$6:$BB$85,(BY565-2)*20+CD565)</f>
        <v>300</v>
      </c>
      <c r="CK565" s="14" t="s">
        <v>21</v>
      </c>
      <c r="CL565" s="14">
        <f>INDEX(属性投放!$BC$6:$BC$85,(BY565-2)*20+CD565)</f>
        <v>5</v>
      </c>
      <c r="CM565" s="14" t="s">
        <v>22</v>
      </c>
      <c r="CN565" s="14">
        <f>INDEX(属性投放!$BD$6:$BD$85,(BY565-2)*20+CD565)</f>
        <v>3</v>
      </c>
      <c r="CO565" s="14" t="s">
        <v>510</v>
      </c>
      <c r="CP565" s="14">
        <f>INDEX(属性投放!$BE$6:$BE$85,(BY565-2)*20+CD565)</f>
        <v>30</v>
      </c>
      <c r="CS565" s="13">
        <v>561</v>
      </c>
      <c r="CT565" s="13">
        <f t="shared" si="921"/>
        <v>11</v>
      </c>
      <c r="CU565" s="13">
        <f t="shared" si="922"/>
        <v>41</v>
      </c>
      <c r="CV565" s="14">
        <f t="shared" si="923"/>
        <v>4</v>
      </c>
      <c r="CW565" s="14">
        <f t="shared" si="924"/>
        <v>1102011</v>
      </c>
      <c r="CX565" s="14" t="str">
        <f>INDEX($O$6:$O$50,CT565)&amp;"-"&amp;INDEX(属性投放!$AB$7:$AB$50,CZ565)&amp;"-魂火-"&amp;DB565</f>
        <v>张飞-大焦热+1-魂火-2</v>
      </c>
      <c r="CY565" s="25" t="s">
        <v>142</v>
      </c>
      <c r="CZ565" s="14">
        <f>INDEX(属性投放!$AM$7:$AM$58,CU565)</f>
        <v>17</v>
      </c>
      <c r="DA565" s="14" t="s">
        <v>537</v>
      </c>
      <c r="DB565" s="14">
        <f>INDEX(属性投放!$AN$7:$AN$58,CU565)</f>
        <v>2</v>
      </c>
      <c r="DC565" s="14">
        <f t="shared" si="918"/>
        <v>41</v>
      </c>
      <c r="DD565" s="14">
        <f>INDEX(属性投放!$AO$7:$AO$58,DC565)</f>
        <v>120</v>
      </c>
      <c r="DE565" s="14" t="s">
        <v>538</v>
      </c>
      <c r="DF565" s="14">
        <f>INDEX(属性投放!$BK$6:$BK$85,(CV565-2)*20+CZ565)</f>
        <v>650</v>
      </c>
      <c r="DG565" s="14">
        <f>SUMIFS(DF$5:DF565,$CT$5:$CT565,"="&amp;$CT565)</f>
        <v>8735</v>
      </c>
      <c r="DH565" s="14" t="s">
        <v>539</v>
      </c>
      <c r="DI565" s="14">
        <f>INDEX(属性投放!$BL$6:$BL$85,(CV565-2)*20+CZ565)</f>
        <v>325</v>
      </c>
      <c r="DJ565" s="14">
        <f>SUMIFS(DI$5:DI565,$CT$5:$CT565,"="&amp;$CT565)</f>
        <v>4377</v>
      </c>
      <c r="DK565" s="14" t="s">
        <v>540</v>
      </c>
      <c r="DL565" s="14">
        <f>INDEX(属性投放!$BM$6:$BM$85,(CV565-2)*20+CZ565)</f>
        <v>6500</v>
      </c>
      <c r="DM565" s="14">
        <f>SUMIFS(DL$5:DL565,$CT$5:$CT565,"="&amp;$CT565)</f>
        <v>82785</v>
      </c>
      <c r="DR565" s="14">
        <f t="shared" ref="DR565:DR628" si="983">BZ565</f>
        <v>1102999</v>
      </c>
      <c r="DS565" s="14" t="str">
        <f t="shared" ref="DS565:DS628" si="984">CA565</f>
        <v>R守护灵1突</v>
      </c>
      <c r="DT565" s="14">
        <f t="shared" si="925"/>
        <v>3</v>
      </c>
      <c r="DU565" s="14">
        <f t="shared" si="926"/>
        <v>3</v>
      </c>
      <c r="DV565" s="14">
        <f t="shared" si="927"/>
        <v>3</v>
      </c>
      <c r="DW565" s="14">
        <f t="shared" ref="DW565:DW628" si="985">BY565</f>
        <v>2</v>
      </c>
      <c r="DX565" s="14">
        <f t="shared" ref="DX565:DX628" si="986">CD565</f>
        <v>1</v>
      </c>
      <c r="DY565" s="14">
        <f t="shared" ref="DY565:DY628" si="987">(DW565-2)*20+DX565</f>
        <v>1</v>
      </c>
      <c r="DZ565" s="14">
        <f>INDEX(属性投放!$AX$6:$AX$85,(卡牌属性!DW565-2)*20+卡牌属性!DX565)</f>
        <v>4</v>
      </c>
      <c r="EA565" s="14">
        <f>INDEX(属性投放!BQ$6:BQ$85,卡牌属性!$DY565)</f>
        <v>25</v>
      </c>
      <c r="EB565" s="14">
        <f>INDEX(属性投放!BR$6:BR$85,卡牌属性!$DY565)</f>
        <v>13</v>
      </c>
      <c r="EC565" s="14">
        <f>INDEX(属性投放!BS$6:BS$85,卡牌属性!$DY565)</f>
        <v>150</v>
      </c>
      <c r="ED565" s="14">
        <f>INDEX(属性偏向!$I$4:$I$15,卡牌属性!$DT565+ED$3)</f>
        <v>100</v>
      </c>
      <c r="EE565" s="14">
        <f>INDEX(属性偏向!$I$4:$I$15,卡牌属性!$DT565+EE$3)</f>
        <v>125</v>
      </c>
      <c r="EF565" s="14">
        <f>INDEX(属性偏向!$I$4:$I$15,卡牌属性!$DT565+EF$3)</f>
        <v>150</v>
      </c>
      <c r="EG565" s="14">
        <f>INDEX(属性偏向!$I$4:$I$15,卡牌属性!$DT565+EG$3)</f>
        <v>150</v>
      </c>
      <c r="EH565" s="14">
        <f>INDEX(属性偏向!$I$4:$I$15,卡牌属性!$DT565+EH$3)</f>
        <v>175</v>
      </c>
      <c r="EI565" s="14">
        <f>INDEX(属性偏向!$J$4:$J$15,卡牌属性!$DU565+EI$3)</f>
        <v>10</v>
      </c>
      <c r="EJ565" s="14">
        <f>INDEX(属性偏向!$J$4:$J$15,卡牌属性!$DU565+EJ$3)</f>
        <v>20</v>
      </c>
      <c r="EK565" s="14">
        <f>INDEX(属性偏向!$J$4:$J$15,卡牌属性!$DU565+EK$3)</f>
        <v>20</v>
      </c>
      <c r="EL565" s="14">
        <f>INDEX(属性偏向!$J$4:$J$15,卡牌属性!$DU565+EL$3)</f>
        <v>30</v>
      </c>
      <c r="EM565" s="14">
        <f>INDEX(属性偏向!$J$4:$J$15,卡牌属性!$DU565+EM$3)</f>
        <v>40</v>
      </c>
      <c r="EN565" s="14">
        <f>INDEX(属性偏向!$K$4:$K$15,卡牌属性!$DV565+EN$3)</f>
        <v>300</v>
      </c>
      <c r="EO565" s="14">
        <f>INDEX(属性偏向!$K$4:$K$15,卡牌属性!$DV565+EO$3)</f>
        <v>400</v>
      </c>
      <c r="EP565" s="14">
        <f>INDEX(属性偏向!$K$4:$K$15,卡牌属性!$DV565+EP$3)</f>
        <v>400</v>
      </c>
      <c r="EQ565" s="14">
        <f>INDEX(属性偏向!$K$4:$K$15,卡牌属性!$DV565+EQ$3)</f>
        <v>500</v>
      </c>
      <c r="ER565" s="14">
        <f>INDEX(属性偏向!$K$4:$K$15,卡牌属性!$DV565+ER$3)</f>
        <v>650</v>
      </c>
      <c r="ES565" s="14">
        <f>INDEX(属性偏向!$S$4:$S$243,(卡牌属性!$DT565-1+ES$3)*20+卡牌属性!$DX565)</f>
        <v>5</v>
      </c>
      <c r="ET565" s="14">
        <f>INDEX(属性偏向!$S$4:$S$243,(卡牌属性!$DT565-1+ET$3)*20+卡牌属性!$DX565)</f>
        <v>6</v>
      </c>
      <c r="EU565" s="14">
        <f>INDEX(属性偏向!$S$4:$S$243,(卡牌属性!$DT565-1+EU$3)*20+卡牌属性!$DX565)</f>
        <v>8</v>
      </c>
      <c r="EV565" s="14">
        <f>INDEX(属性偏向!$S$4:$S$243,(卡牌属性!$DT565-1+EV$3)*20+卡牌属性!$DX565)</f>
        <v>8</v>
      </c>
      <c r="EW565" s="14">
        <f>INDEX(属性偏向!$S$4:$S$243,(卡牌属性!$DT565-1+EW$3)*20+卡牌属性!$DX565)</f>
        <v>10</v>
      </c>
      <c r="EX565" s="14">
        <f>INDEX(属性偏向!$T$4:$T$243,(卡牌属性!$DU565-1+EX$3)*20+卡牌属性!$DX565)</f>
        <v>3</v>
      </c>
      <c r="EY565" s="14">
        <f>INDEX(属性偏向!$T$4:$T$243,(卡牌属性!$DU565-1+EY$3)*20+卡牌属性!$DX565)</f>
        <v>3</v>
      </c>
      <c r="EZ565" s="14">
        <f>INDEX(属性偏向!$T$4:$T$243,(卡牌属性!$DU565-1+EZ$3)*20+卡牌属性!$DX565)</f>
        <v>3</v>
      </c>
      <c r="FA565" s="14">
        <f>INDEX(属性偏向!$T$4:$T$243,(卡牌属性!$DU565-1+FA$3)*20+卡牌属性!$DX565)</f>
        <v>4</v>
      </c>
      <c r="FB565" s="14">
        <f>INDEX(属性偏向!$T$4:$T$243,(卡牌属性!$DU565-1+FB$3)*20+卡牌属性!$DX565)</f>
        <v>5</v>
      </c>
      <c r="FC565" s="14">
        <f>INDEX(属性偏向!$U$4:$U$243,(卡牌属性!$DV565-1+FC$3)*20+卡牌属性!$DX565)</f>
        <v>30</v>
      </c>
      <c r="FD565" s="14">
        <f>INDEX(属性偏向!$U$4:$U$243,(卡牌属性!$DV565-1+FD$3)*20+卡牌属性!$DX565)</f>
        <v>36</v>
      </c>
      <c r="FE565" s="14">
        <f>INDEX(属性偏向!$U$4:$U$243,(卡牌属性!$DV565-1+FE$3)*20+卡牌属性!$DX565)</f>
        <v>36</v>
      </c>
      <c r="FF565" s="14">
        <f>INDEX(属性偏向!$U$4:$U$243,(卡牌属性!$DV565-1+FF$3)*20+卡牌属性!$DX565)</f>
        <v>48</v>
      </c>
      <c r="FG565" s="14">
        <f>INDEX(属性偏向!$U$4:$U$243,(卡牌属性!$DV565-1+FG$3)*20+卡牌属性!$DX565)</f>
        <v>60</v>
      </c>
      <c r="FH565" s="14">
        <f>INDEX(属性投放!$BQ$6:$BQ$85,(卡牌属性!$DW565-2)*20+卡牌属性!$DX565)</f>
        <v>25</v>
      </c>
      <c r="FI565" s="14">
        <f>INDEX(属性投放!$BQ$6:$BQ$85,(卡牌属性!$DW565-2)*20+卡牌属性!$DX565)</f>
        <v>25</v>
      </c>
      <c r="FJ565" s="14">
        <f>INDEX(属性投放!$BQ$6:$BQ$85,(卡牌属性!$DW565-2)*20+卡牌属性!$DX565)</f>
        <v>25</v>
      </c>
      <c r="FK565" s="14">
        <f>INDEX(属性投放!$BQ$6:$BQ$85,(卡牌属性!$DW565-2)*20+卡牌属性!$DX565)</f>
        <v>25</v>
      </c>
      <c r="FL565" s="14">
        <f>INDEX(属性投放!$BQ$6:$BQ$85,(卡牌属性!$DW565-2)*20+卡牌属性!$DX565)</f>
        <v>25</v>
      </c>
      <c r="FM565" s="14">
        <f>INDEX(属性投放!$BR$6:$BR$85,(卡牌属性!$DW565-2)*20+卡牌属性!$DX565)</f>
        <v>13</v>
      </c>
      <c r="FN565" s="14">
        <f>INDEX(属性投放!$BR$6:$BR$85,(卡牌属性!$DW565-2)*20+卡牌属性!$DX565)</f>
        <v>13</v>
      </c>
      <c r="FO565" s="14">
        <f>INDEX(属性投放!$BR$6:$BR$85,(卡牌属性!$DW565-2)*20+卡牌属性!$DX565)</f>
        <v>13</v>
      </c>
      <c r="FP565" s="14">
        <f>INDEX(属性投放!$BR$6:$BR$85,(卡牌属性!$DW565-2)*20+卡牌属性!$DX565)</f>
        <v>13</v>
      </c>
      <c r="FQ565" s="14">
        <f>INDEX(属性投放!$BR$6:$BR$85,(卡牌属性!$DW565-2)*20+卡牌属性!$DX565)</f>
        <v>13</v>
      </c>
      <c r="FR565" s="14">
        <f>INDEX(属性投放!$BS$6:$BS$85,(卡牌属性!$DW565-2)*20+卡牌属性!$DX565)</f>
        <v>150</v>
      </c>
      <c r="FS565" s="14">
        <f>INDEX(属性投放!$BS$6:$BS$85,(卡牌属性!$DW565-2)*20+卡牌属性!$DX565)</f>
        <v>150</v>
      </c>
      <c r="FT565" s="14">
        <f>INDEX(属性投放!$BS$6:$BS$85,(卡牌属性!$DW565-2)*20+卡牌属性!$DX565)</f>
        <v>150</v>
      </c>
      <c r="FU565" s="14">
        <f>INDEX(属性投放!$BS$6:$BS$85,(卡牌属性!$DW565-2)*20+卡牌属性!$DX565)</f>
        <v>150</v>
      </c>
      <c r="FV565" s="14">
        <f>INDEX(属性投放!$BS$6:$BS$85,(卡牌属性!$DW565-2)*20+卡牌属性!$DX565)</f>
        <v>150</v>
      </c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>
        <v>562</v>
      </c>
      <c r="BX566" s="13">
        <f t="shared" si="981"/>
        <v>29</v>
      </c>
      <c r="BY566" s="14">
        <f t="shared" si="982"/>
        <v>2</v>
      </c>
      <c r="BZ566" s="14">
        <f t="shared" si="919"/>
        <v>1102999</v>
      </c>
      <c r="CA566" s="14" t="str">
        <f t="shared" si="920"/>
        <v>R守护灵2突</v>
      </c>
      <c r="CB566" s="25" t="s">
        <v>142</v>
      </c>
      <c r="CC566" s="14">
        <v>2</v>
      </c>
      <c r="CD566" s="14">
        <f t="shared" si="917"/>
        <v>2</v>
      </c>
      <c r="CE566" s="14" t="s">
        <v>21</v>
      </c>
      <c r="CF566" s="14">
        <f>INDEX(属性投放!$AZ$6:$AZ$85,(BY566-2)*20+CD566)</f>
        <v>160</v>
      </c>
      <c r="CG566" s="14" t="s">
        <v>22</v>
      </c>
      <c r="CH566" s="14">
        <f>INDEX(属性投放!$BA$6:$BA$85,(BY566-2)*20+CD566)</f>
        <v>33</v>
      </c>
      <c r="CI566" s="14" t="s">
        <v>510</v>
      </c>
      <c r="CJ566" s="14">
        <f>INDEX(属性投放!$BB$6:$BB$85,(BY566-2)*20+CD566)</f>
        <v>660</v>
      </c>
      <c r="CK566" s="14" t="s">
        <v>21</v>
      </c>
      <c r="CL566" s="14">
        <f>INDEX(属性投放!$BC$6:$BC$85,(BY566-2)*20+CD566)</f>
        <v>6</v>
      </c>
      <c r="CM566" s="14" t="s">
        <v>22</v>
      </c>
      <c r="CN566" s="14">
        <f>INDEX(属性投放!$BD$6:$BD$85,(BY566-2)*20+CD566)</f>
        <v>3</v>
      </c>
      <c r="CO566" s="14" t="s">
        <v>510</v>
      </c>
      <c r="CP566" s="14">
        <f>INDEX(属性投放!$BE$6:$BE$85,(BY566-2)*20+CD566)</f>
        <v>36</v>
      </c>
      <c r="CS566" s="13">
        <v>562</v>
      </c>
      <c r="CT566" s="13">
        <f t="shared" si="921"/>
        <v>11</v>
      </c>
      <c r="CU566" s="13">
        <f t="shared" si="922"/>
        <v>42</v>
      </c>
      <c r="CV566" s="14">
        <f t="shared" si="923"/>
        <v>4</v>
      </c>
      <c r="CW566" s="14">
        <f t="shared" si="924"/>
        <v>1102011</v>
      </c>
      <c r="CX566" s="14" t="str">
        <f>INDEX($O$6:$O$50,CT566)&amp;"-"&amp;INDEX(属性投放!$AB$7:$AB$50,CZ566)&amp;"-魂火-"&amp;DB566</f>
        <v>张飞-大焦热+1-魂火-3</v>
      </c>
      <c r="CY566" s="25" t="s">
        <v>142</v>
      </c>
      <c r="CZ566" s="14">
        <f>INDEX(属性投放!$AM$7:$AM$58,CU566)</f>
        <v>17</v>
      </c>
      <c r="DA566" s="14" t="s">
        <v>537</v>
      </c>
      <c r="DB566" s="14">
        <f>INDEX(属性投放!$AN$7:$AN$58,CU566)</f>
        <v>3</v>
      </c>
      <c r="DC566" s="14">
        <f t="shared" si="918"/>
        <v>42</v>
      </c>
      <c r="DD566" s="14">
        <f>INDEX(属性投放!$AO$7:$AO$58,DC566)</f>
        <v>123</v>
      </c>
      <c r="DE566" s="14" t="s">
        <v>538</v>
      </c>
      <c r="DF566" s="14">
        <f>INDEX(属性投放!$BK$6:$BK$85,(CV566-2)*20+CZ566)</f>
        <v>650</v>
      </c>
      <c r="DG566" s="14">
        <f>SUMIFS(DF$5:DF566,$CT$5:$CT566,"="&amp;$CT566)</f>
        <v>9385</v>
      </c>
      <c r="DH566" s="14" t="s">
        <v>539</v>
      </c>
      <c r="DI566" s="14">
        <f>INDEX(属性投放!$BL$6:$BL$85,(CV566-2)*20+CZ566)</f>
        <v>325</v>
      </c>
      <c r="DJ566" s="14">
        <f>SUMIFS(DI$5:DI566,$CT$5:$CT566,"="&amp;$CT566)</f>
        <v>4702</v>
      </c>
      <c r="DK566" s="14" t="s">
        <v>540</v>
      </c>
      <c r="DL566" s="14">
        <f>INDEX(属性投放!$BM$6:$BM$85,(CV566-2)*20+CZ566)</f>
        <v>6500</v>
      </c>
      <c r="DM566" s="14">
        <f>SUMIFS(DL$5:DL566,$CT$5:$CT566,"="&amp;$CT566)</f>
        <v>89285</v>
      </c>
      <c r="DR566" s="14">
        <f t="shared" si="983"/>
        <v>1102999</v>
      </c>
      <c r="DS566" s="14" t="str">
        <f t="shared" si="984"/>
        <v>R守护灵2突</v>
      </c>
      <c r="DT566" s="14">
        <f t="shared" si="925"/>
        <v>3</v>
      </c>
      <c r="DU566" s="14">
        <f t="shared" si="926"/>
        <v>3</v>
      </c>
      <c r="DV566" s="14">
        <f t="shared" si="927"/>
        <v>3</v>
      </c>
      <c r="DW566" s="14">
        <f t="shared" si="985"/>
        <v>2</v>
      </c>
      <c r="DX566" s="14">
        <f t="shared" si="986"/>
        <v>2</v>
      </c>
      <c r="DY566" s="14">
        <f t="shared" si="987"/>
        <v>2</v>
      </c>
      <c r="DZ566" s="14">
        <f>INDEX(属性投放!$AX$6:$AX$85,(卡牌属性!DW566-2)*20+卡牌属性!DX566)</f>
        <v>10</v>
      </c>
      <c r="EA566" s="14">
        <f>INDEX(属性投放!BQ$6:BQ$85,卡牌属性!$DY566)</f>
        <v>30</v>
      </c>
      <c r="EB566" s="14">
        <f>INDEX(属性投放!BR$6:BR$85,卡牌属性!$DY566)</f>
        <v>15</v>
      </c>
      <c r="EC566" s="14">
        <f>INDEX(属性投放!BS$6:BS$85,卡牌属性!$DY566)</f>
        <v>180</v>
      </c>
      <c r="ED566" s="14">
        <f t="shared" ref="ED566:ED584" si="988">ED565+$EA565+ES565*$DZ565</f>
        <v>145</v>
      </c>
      <c r="EE566" s="14">
        <f t="shared" ref="EE566:EE584" si="989">EE565+$EA565+ET565*$DZ565</f>
        <v>174</v>
      </c>
      <c r="EF566" s="14">
        <f t="shared" ref="EF566:EF584" si="990">EF565+$EA565+EU565*$DZ565</f>
        <v>207</v>
      </c>
      <c r="EG566" s="14">
        <f t="shared" ref="EG566:EG584" si="991">EG565+$EA565+EV565*$DZ565</f>
        <v>207</v>
      </c>
      <c r="EH566" s="14">
        <f t="shared" ref="EH566:EH584" si="992">EH565+$EA565+EW565*$DZ565</f>
        <v>240</v>
      </c>
      <c r="EI566" s="14">
        <f t="shared" ref="EI566:EI584" si="993">EI565+$EB565+EX565*$DZ565</f>
        <v>35</v>
      </c>
      <c r="EJ566" s="14">
        <f t="shared" ref="EJ566:EJ584" si="994">EJ565+$EB565+EY565*$DZ565</f>
        <v>45</v>
      </c>
      <c r="EK566" s="14">
        <f t="shared" ref="EK566:EK584" si="995">EK565+$EB565+EZ565*$DZ565</f>
        <v>45</v>
      </c>
      <c r="EL566" s="14">
        <f t="shared" ref="EL566:EL584" si="996">EL565+$EB565+FA565*$DZ565</f>
        <v>59</v>
      </c>
      <c r="EM566" s="14">
        <f t="shared" ref="EM566:EM584" si="997">EM565+$EB565+FB565*$DZ565</f>
        <v>73</v>
      </c>
      <c r="EN566" s="14">
        <f t="shared" ref="EN566:EN584" si="998">EN565+$EC565+FC565*$DZ565</f>
        <v>570</v>
      </c>
      <c r="EO566" s="14">
        <f t="shared" ref="EO566:EO584" si="999">EO565+$EC565+FD565*$DZ565</f>
        <v>694</v>
      </c>
      <c r="EP566" s="14">
        <f t="shared" ref="EP566:EP584" si="1000">EP565+$EC565+FE565*$DZ565</f>
        <v>694</v>
      </c>
      <c r="EQ566" s="14">
        <f t="shared" ref="EQ566:EQ584" si="1001">EQ565+$EC565+FF565*$DZ565</f>
        <v>842</v>
      </c>
      <c r="ER566" s="14">
        <f t="shared" ref="ER566:ER584" si="1002">ER565+$EC565+FG565*$DZ565</f>
        <v>1040</v>
      </c>
      <c r="ES566" s="14">
        <f>INDEX(属性偏向!$S$4:$S$243,(卡牌属性!$DT566-1+ES$3)*20+卡牌属性!$DX566)</f>
        <v>6</v>
      </c>
      <c r="ET566" s="14">
        <f>INDEX(属性偏向!$S$4:$S$243,(卡牌属性!$DT566-1+ET$3)*20+卡牌属性!$DX566)</f>
        <v>8</v>
      </c>
      <c r="EU566" s="14">
        <f>INDEX(属性偏向!$S$4:$S$243,(卡牌属性!$DT566-1+EU$3)*20+卡牌属性!$DX566)</f>
        <v>10</v>
      </c>
      <c r="EV566" s="14">
        <f>INDEX(属性偏向!$S$4:$S$243,(卡牌属性!$DT566-1+EV$3)*20+卡牌属性!$DX566)</f>
        <v>10</v>
      </c>
      <c r="EW566" s="14">
        <f>INDEX(属性偏向!$S$4:$S$243,(卡牌属性!$DT566-1+EW$3)*20+卡牌属性!$DX566)</f>
        <v>12</v>
      </c>
      <c r="EX566" s="14">
        <f>INDEX(属性偏向!$T$4:$T$243,(卡牌属性!$DU566-1+EX$3)*20+卡牌属性!$DX566)</f>
        <v>3</v>
      </c>
      <c r="EY566" s="14">
        <f>INDEX(属性偏向!$T$4:$T$243,(卡牌属性!$DU566-1+EY$3)*20+卡牌属性!$DX566)</f>
        <v>4</v>
      </c>
      <c r="EZ566" s="14">
        <f>INDEX(属性偏向!$T$4:$T$243,(卡牌属性!$DU566-1+EZ$3)*20+卡牌属性!$DX566)</f>
        <v>4</v>
      </c>
      <c r="FA566" s="14">
        <f>INDEX(属性偏向!$T$4:$T$243,(卡牌属性!$DU566-1+FA$3)*20+卡牌属性!$DX566)</f>
        <v>5</v>
      </c>
      <c r="FB566" s="14">
        <f>INDEX(属性偏向!$T$4:$T$243,(卡牌属性!$DU566-1+FB$3)*20+卡牌属性!$DX566)</f>
        <v>6</v>
      </c>
      <c r="FC566" s="14">
        <f>INDEX(属性偏向!$U$4:$U$243,(卡牌属性!$DV566-1+FC$3)*20+卡牌属性!$DX566)</f>
        <v>36</v>
      </c>
      <c r="FD566" s="14">
        <f>INDEX(属性偏向!$U$4:$U$243,(卡牌属性!$DV566-1+FD$3)*20+卡牌属性!$DX566)</f>
        <v>48</v>
      </c>
      <c r="FE566" s="14">
        <f>INDEX(属性偏向!$U$4:$U$243,(卡牌属性!$DV566-1+FE$3)*20+卡牌属性!$DX566)</f>
        <v>48</v>
      </c>
      <c r="FF566" s="14">
        <f>INDEX(属性偏向!$U$4:$U$243,(卡牌属性!$DV566-1+FF$3)*20+卡牌属性!$DX566)</f>
        <v>60</v>
      </c>
      <c r="FG566" s="14">
        <f>INDEX(属性偏向!$U$4:$U$243,(卡牌属性!$DV566-1+FG$3)*20+卡牌属性!$DX566)</f>
        <v>72</v>
      </c>
      <c r="FH566" s="14">
        <f>INDEX(属性投放!$BQ$6:$BQ$85,(卡牌属性!$DW566-2)*20+卡牌属性!$DX566)</f>
        <v>30</v>
      </c>
      <c r="FI566" s="14">
        <f>INDEX(属性投放!$BQ$6:$BQ$85,(卡牌属性!$DW566-2)*20+卡牌属性!$DX566)</f>
        <v>30</v>
      </c>
      <c r="FJ566" s="14">
        <f>INDEX(属性投放!$BQ$6:$BQ$85,(卡牌属性!$DW566-2)*20+卡牌属性!$DX566)</f>
        <v>30</v>
      </c>
      <c r="FK566" s="14">
        <f>INDEX(属性投放!$BQ$6:$BQ$85,(卡牌属性!$DW566-2)*20+卡牌属性!$DX566)</f>
        <v>30</v>
      </c>
      <c r="FL566" s="14">
        <f>INDEX(属性投放!$BQ$6:$BQ$85,(卡牌属性!$DW566-2)*20+卡牌属性!$DX566)</f>
        <v>30</v>
      </c>
      <c r="FM566" s="14">
        <f>INDEX(属性投放!$BR$6:$BR$85,(卡牌属性!$DW566-2)*20+卡牌属性!$DX566)</f>
        <v>15</v>
      </c>
      <c r="FN566" s="14">
        <f>INDEX(属性投放!$BR$6:$BR$85,(卡牌属性!$DW566-2)*20+卡牌属性!$DX566)</f>
        <v>15</v>
      </c>
      <c r="FO566" s="14">
        <f>INDEX(属性投放!$BR$6:$BR$85,(卡牌属性!$DW566-2)*20+卡牌属性!$DX566)</f>
        <v>15</v>
      </c>
      <c r="FP566" s="14">
        <f>INDEX(属性投放!$BR$6:$BR$85,(卡牌属性!$DW566-2)*20+卡牌属性!$DX566)</f>
        <v>15</v>
      </c>
      <c r="FQ566" s="14">
        <f>INDEX(属性投放!$BR$6:$BR$85,(卡牌属性!$DW566-2)*20+卡牌属性!$DX566)</f>
        <v>15</v>
      </c>
      <c r="FR566" s="14">
        <f>INDEX(属性投放!$BS$6:$BS$85,(卡牌属性!$DW566-2)*20+卡牌属性!$DX566)</f>
        <v>180</v>
      </c>
      <c r="FS566" s="14">
        <f>INDEX(属性投放!$BS$6:$BS$85,(卡牌属性!$DW566-2)*20+卡牌属性!$DX566)</f>
        <v>180</v>
      </c>
      <c r="FT566" s="14">
        <f>INDEX(属性投放!$BS$6:$BS$85,(卡牌属性!$DW566-2)*20+卡牌属性!$DX566)</f>
        <v>180</v>
      </c>
      <c r="FU566" s="14">
        <f>INDEX(属性投放!$BS$6:$BS$85,(卡牌属性!$DW566-2)*20+卡牌属性!$DX566)</f>
        <v>180</v>
      </c>
      <c r="FV566" s="14">
        <f>INDEX(属性投放!$BS$6:$BS$85,(卡牌属性!$DW566-2)*20+卡牌属性!$DX566)</f>
        <v>180</v>
      </c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>
        <v>563</v>
      </c>
      <c r="BX567" s="13">
        <f t="shared" si="981"/>
        <v>29</v>
      </c>
      <c r="BY567" s="14">
        <f t="shared" si="982"/>
        <v>2</v>
      </c>
      <c r="BZ567" s="14">
        <f t="shared" si="919"/>
        <v>1102999</v>
      </c>
      <c r="CA567" s="14" t="str">
        <f t="shared" si="920"/>
        <v>R守护灵3突</v>
      </c>
      <c r="CB567" s="25" t="s">
        <v>142</v>
      </c>
      <c r="CC567" s="14">
        <v>2</v>
      </c>
      <c r="CD567" s="14">
        <f t="shared" si="917"/>
        <v>3</v>
      </c>
      <c r="CE567" s="14" t="s">
        <v>21</v>
      </c>
      <c r="CF567" s="14">
        <f>INDEX(属性投放!$AZ$6:$AZ$85,(BY567-2)*20+CD567)</f>
        <v>290</v>
      </c>
      <c r="CG567" s="14" t="s">
        <v>22</v>
      </c>
      <c r="CH567" s="14">
        <f>INDEX(属性投放!$BA$6:$BA$85,(BY567-2)*20+CD567)</f>
        <v>98</v>
      </c>
      <c r="CI567" s="14" t="s">
        <v>510</v>
      </c>
      <c r="CJ567" s="14">
        <f>INDEX(属性投放!$BB$6:$BB$85,(BY567-2)*20+CD567)</f>
        <v>1440</v>
      </c>
      <c r="CK567" s="14" t="s">
        <v>21</v>
      </c>
      <c r="CL567" s="14">
        <f>INDEX(属性投放!$BC$6:$BC$85,(BY567-2)*20+CD567)</f>
        <v>6</v>
      </c>
      <c r="CM567" s="14" t="s">
        <v>22</v>
      </c>
      <c r="CN567" s="14">
        <f>INDEX(属性投放!$BD$6:$BD$85,(BY567-2)*20+CD567)</f>
        <v>3</v>
      </c>
      <c r="CO567" s="14" t="s">
        <v>510</v>
      </c>
      <c r="CP567" s="14">
        <f>INDEX(属性投放!$BE$6:$BE$85,(BY567-2)*20+CD567)</f>
        <v>36</v>
      </c>
      <c r="CS567" s="13">
        <v>563</v>
      </c>
      <c r="CT567" s="13">
        <f t="shared" si="921"/>
        <v>11</v>
      </c>
      <c r="CU567" s="13">
        <f t="shared" si="922"/>
        <v>43</v>
      </c>
      <c r="CV567" s="14">
        <f t="shared" si="923"/>
        <v>4</v>
      </c>
      <c r="CW567" s="14">
        <f t="shared" si="924"/>
        <v>1102011</v>
      </c>
      <c r="CX567" s="14" t="str">
        <f>INDEX($O$6:$O$50,CT567)&amp;"-"&amp;INDEX(属性投放!$AB$7:$AB$50,CZ567)&amp;"-魂火-"&amp;DB567</f>
        <v>张飞-大焦热+2-魂火-1</v>
      </c>
      <c r="CY567" s="25" t="s">
        <v>142</v>
      </c>
      <c r="CZ567" s="14">
        <f>INDEX(属性投放!$AM$7:$AM$58,CU567)</f>
        <v>18</v>
      </c>
      <c r="DA567" s="14" t="s">
        <v>537</v>
      </c>
      <c r="DB567" s="14">
        <f>INDEX(属性投放!$AN$7:$AN$58,CU567)</f>
        <v>1</v>
      </c>
      <c r="DC567" s="14">
        <f t="shared" si="918"/>
        <v>43</v>
      </c>
      <c r="DD567" s="14">
        <f>INDEX(属性投放!$AO$7:$AO$58,DC567)</f>
        <v>125</v>
      </c>
      <c r="DE567" s="14" t="s">
        <v>538</v>
      </c>
      <c r="DF567" s="14">
        <f>INDEX(属性投放!$BK$6:$BK$85,(CV567-2)*20+CZ567)</f>
        <v>750</v>
      </c>
      <c r="DG567" s="14">
        <f>SUMIFS(DF$5:DF567,$CT$5:$CT567,"="&amp;$CT567)</f>
        <v>10135</v>
      </c>
      <c r="DH567" s="14" t="s">
        <v>539</v>
      </c>
      <c r="DI567" s="14">
        <f>INDEX(属性投放!$BL$6:$BL$85,(CV567-2)*20+CZ567)</f>
        <v>375</v>
      </c>
      <c r="DJ567" s="14">
        <f>SUMIFS(DI$5:DI567,$CT$5:$CT567,"="&amp;$CT567)</f>
        <v>5077</v>
      </c>
      <c r="DK567" s="14" t="s">
        <v>540</v>
      </c>
      <c r="DL567" s="14">
        <f>INDEX(属性投放!$BM$6:$BM$85,(CV567-2)*20+CZ567)</f>
        <v>7500</v>
      </c>
      <c r="DM567" s="14">
        <f>SUMIFS(DL$5:DL567,$CT$5:$CT567,"="&amp;$CT567)</f>
        <v>96785</v>
      </c>
      <c r="DR567" s="14">
        <f t="shared" si="983"/>
        <v>1102999</v>
      </c>
      <c r="DS567" s="14" t="str">
        <f t="shared" si="984"/>
        <v>R守护灵3突</v>
      </c>
      <c r="DT567" s="14">
        <f t="shared" si="925"/>
        <v>3</v>
      </c>
      <c r="DU567" s="14">
        <f t="shared" si="926"/>
        <v>3</v>
      </c>
      <c r="DV567" s="14">
        <f t="shared" si="927"/>
        <v>3</v>
      </c>
      <c r="DW567" s="14">
        <f t="shared" si="985"/>
        <v>2</v>
      </c>
      <c r="DX567" s="14">
        <f t="shared" si="986"/>
        <v>3</v>
      </c>
      <c r="DY567" s="14">
        <f t="shared" si="987"/>
        <v>3</v>
      </c>
      <c r="DZ567" s="14">
        <f>INDEX(属性投放!$AX$6:$AX$85,(卡牌属性!DW567-2)*20+卡牌属性!DX567)</f>
        <v>10</v>
      </c>
      <c r="EA567" s="14">
        <f>INDEX(属性投放!BQ$6:BQ$85,卡牌属性!$DY567)</f>
        <v>50</v>
      </c>
      <c r="EB567" s="14">
        <f>INDEX(属性投放!BR$6:BR$85,卡牌属性!$DY567)</f>
        <v>25</v>
      </c>
      <c r="EC567" s="14">
        <f>INDEX(属性投放!BS$6:BS$85,卡牌属性!$DY567)</f>
        <v>300</v>
      </c>
      <c r="ED567" s="14">
        <f t="shared" si="988"/>
        <v>235</v>
      </c>
      <c r="EE567" s="14">
        <f t="shared" si="989"/>
        <v>284</v>
      </c>
      <c r="EF567" s="14">
        <f t="shared" si="990"/>
        <v>337</v>
      </c>
      <c r="EG567" s="14">
        <f t="shared" si="991"/>
        <v>337</v>
      </c>
      <c r="EH567" s="14">
        <f t="shared" si="992"/>
        <v>390</v>
      </c>
      <c r="EI567" s="14">
        <f t="shared" si="993"/>
        <v>80</v>
      </c>
      <c r="EJ567" s="14">
        <f t="shared" si="994"/>
        <v>100</v>
      </c>
      <c r="EK567" s="14">
        <f t="shared" si="995"/>
        <v>100</v>
      </c>
      <c r="EL567" s="14">
        <f t="shared" si="996"/>
        <v>124</v>
      </c>
      <c r="EM567" s="14">
        <f t="shared" si="997"/>
        <v>148</v>
      </c>
      <c r="EN567" s="14">
        <f t="shared" si="998"/>
        <v>1110</v>
      </c>
      <c r="EO567" s="14">
        <f t="shared" si="999"/>
        <v>1354</v>
      </c>
      <c r="EP567" s="14">
        <f t="shared" si="1000"/>
        <v>1354</v>
      </c>
      <c r="EQ567" s="14">
        <f t="shared" si="1001"/>
        <v>1622</v>
      </c>
      <c r="ER567" s="14">
        <f t="shared" si="1002"/>
        <v>1940</v>
      </c>
      <c r="ES567" s="14">
        <f>INDEX(属性偏向!$S$4:$S$243,(卡牌属性!$DT567-1+ES$3)*20+卡牌属性!$DX567)</f>
        <v>6</v>
      </c>
      <c r="ET567" s="14">
        <f>INDEX(属性偏向!$S$4:$S$243,(卡牌属性!$DT567-1+ET$3)*20+卡牌属性!$DX567)</f>
        <v>8</v>
      </c>
      <c r="EU567" s="14">
        <f>INDEX(属性偏向!$S$4:$S$243,(卡牌属性!$DT567-1+EU$3)*20+卡牌属性!$DX567)</f>
        <v>10</v>
      </c>
      <c r="EV567" s="14">
        <f>INDEX(属性偏向!$S$4:$S$243,(卡牌属性!$DT567-1+EV$3)*20+卡牌属性!$DX567)</f>
        <v>10</v>
      </c>
      <c r="EW567" s="14">
        <f>INDEX(属性偏向!$S$4:$S$243,(卡牌属性!$DT567-1+EW$3)*20+卡牌属性!$DX567)</f>
        <v>12</v>
      </c>
      <c r="EX567" s="14">
        <f>INDEX(属性偏向!$T$4:$T$243,(卡牌属性!$DU567-1+EX$3)*20+卡牌属性!$DX567)</f>
        <v>3</v>
      </c>
      <c r="EY567" s="14">
        <f>INDEX(属性偏向!$T$4:$T$243,(卡牌属性!$DU567-1+EY$3)*20+卡牌属性!$DX567)</f>
        <v>4</v>
      </c>
      <c r="EZ567" s="14">
        <f>INDEX(属性偏向!$T$4:$T$243,(卡牌属性!$DU567-1+EZ$3)*20+卡牌属性!$DX567)</f>
        <v>4</v>
      </c>
      <c r="FA567" s="14">
        <f>INDEX(属性偏向!$T$4:$T$243,(卡牌属性!$DU567-1+FA$3)*20+卡牌属性!$DX567)</f>
        <v>5</v>
      </c>
      <c r="FB567" s="14">
        <f>INDEX(属性偏向!$T$4:$T$243,(卡牌属性!$DU567-1+FB$3)*20+卡牌属性!$DX567)</f>
        <v>6</v>
      </c>
      <c r="FC567" s="14">
        <f>INDEX(属性偏向!$U$4:$U$243,(卡牌属性!$DV567-1+FC$3)*20+卡牌属性!$DX567)</f>
        <v>36</v>
      </c>
      <c r="FD567" s="14">
        <f>INDEX(属性偏向!$U$4:$U$243,(卡牌属性!$DV567-1+FD$3)*20+卡牌属性!$DX567)</f>
        <v>48</v>
      </c>
      <c r="FE567" s="14">
        <f>INDEX(属性偏向!$U$4:$U$243,(卡牌属性!$DV567-1+FE$3)*20+卡牌属性!$DX567)</f>
        <v>48</v>
      </c>
      <c r="FF567" s="14">
        <f>INDEX(属性偏向!$U$4:$U$243,(卡牌属性!$DV567-1+FF$3)*20+卡牌属性!$DX567)</f>
        <v>60</v>
      </c>
      <c r="FG567" s="14">
        <f>INDEX(属性偏向!$U$4:$U$243,(卡牌属性!$DV567-1+FG$3)*20+卡牌属性!$DX567)</f>
        <v>72</v>
      </c>
      <c r="FH567" s="14">
        <f>INDEX(属性投放!$BQ$6:$BQ$85,(卡牌属性!$DW567-2)*20+卡牌属性!$DX567)</f>
        <v>50</v>
      </c>
      <c r="FI567" s="14">
        <f>INDEX(属性投放!$BQ$6:$BQ$85,(卡牌属性!$DW567-2)*20+卡牌属性!$DX567)</f>
        <v>50</v>
      </c>
      <c r="FJ567" s="14">
        <f>INDEX(属性投放!$BQ$6:$BQ$85,(卡牌属性!$DW567-2)*20+卡牌属性!$DX567)</f>
        <v>50</v>
      </c>
      <c r="FK567" s="14">
        <f>INDEX(属性投放!$BQ$6:$BQ$85,(卡牌属性!$DW567-2)*20+卡牌属性!$DX567)</f>
        <v>50</v>
      </c>
      <c r="FL567" s="14">
        <f>INDEX(属性投放!$BQ$6:$BQ$85,(卡牌属性!$DW567-2)*20+卡牌属性!$DX567)</f>
        <v>50</v>
      </c>
      <c r="FM567" s="14">
        <f>INDEX(属性投放!$BR$6:$BR$85,(卡牌属性!$DW567-2)*20+卡牌属性!$DX567)</f>
        <v>25</v>
      </c>
      <c r="FN567" s="14">
        <f>INDEX(属性投放!$BR$6:$BR$85,(卡牌属性!$DW567-2)*20+卡牌属性!$DX567)</f>
        <v>25</v>
      </c>
      <c r="FO567" s="14">
        <f>INDEX(属性投放!$BR$6:$BR$85,(卡牌属性!$DW567-2)*20+卡牌属性!$DX567)</f>
        <v>25</v>
      </c>
      <c r="FP567" s="14">
        <f>INDEX(属性投放!$BR$6:$BR$85,(卡牌属性!$DW567-2)*20+卡牌属性!$DX567)</f>
        <v>25</v>
      </c>
      <c r="FQ567" s="14">
        <f>INDEX(属性投放!$BR$6:$BR$85,(卡牌属性!$DW567-2)*20+卡牌属性!$DX567)</f>
        <v>25</v>
      </c>
      <c r="FR567" s="14">
        <f>INDEX(属性投放!$BS$6:$BS$85,(卡牌属性!$DW567-2)*20+卡牌属性!$DX567)</f>
        <v>300</v>
      </c>
      <c r="FS567" s="14">
        <f>INDEX(属性投放!$BS$6:$BS$85,(卡牌属性!$DW567-2)*20+卡牌属性!$DX567)</f>
        <v>300</v>
      </c>
      <c r="FT567" s="14">
        <f>INDEX(属性投放!$BS$6:$BS$85,(卡牌属性!$DW567-2)*20+卡牌属性!$DX567)</f>
        <v>300</v>
      </c>
      <c r="FU567" s="14">
        <f>INDEX(属性投放!$BS$6:$BS$85,(卡牌属性!$DW567-2)*20+卡牌属性!$DX567)</f>
        <v>300</v>
      </c>
      <c r="FV567" s="14">
        <f>INDEX(属性投放!$BS$6:$BS$85,(卡牌属性!$DW567-2)*20+卡牌属性!$DX567)</f>
        <v>300</v>
      </c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>
        <v>564</v>
      </c>
      <c r="BX568" s="13">
        <f t="shared" si="981"/>
        <v>29</v>
      </c>
      <c r="BY568" s="14">
        <f t="shared" si="982"/>
        <v>2</v>
      </c>
      <c r="BZ568" s="14">
        <f t="shared" si="919"/>
        <v>1102999</v>
      </c>
      <c r="CA568" s="14" t="str">
        <f t="shared" si="920"/>
        <v>R守护灵4突</v>
      </c>
      <c r="CB568" s="25" t="s">
        <v>142</v>
      </c>
      <c r="CC568" s="14">
        <v>2</v>
      </c>
      <c r="CD568" s="14">
        <f t="shared" si="917"/>
        <v>4</v>
      </c>
      <c r="CE568" s="14" t="s">
        <v>21</v>
      </c>
      <c r="CF568" s="14">
        <f>INDEX(属性投放!$AZ$6:$AZ$85,(BY568-2)*20+CD568)</f>
        <v>450</v>
      </c>
      <c r="CG568" s="14" t="s">
        <v>22</v>
      </c>
      <c r="CH568" s="14">
        <f>INDEX(属性投放!$BA$6:$BA$85,(BY568-2)*20+CD568)</f>
        <v>179</v>
      </c>
      <c r="CI568" s="14" t="s">
        <v>510</v>
      </c>
      <c r="CJ568" s="14">
        <f>INDEX(属性投放!$BB$6:$BB$85,(BY568-2)*20+CD568)</f>
        <v>2400</v>
      </c>
      <c r="CK568" s="14" t="s">
        <v>21</v>
      </c>
      <c r="CL568" s="14">
        <f>INDEX(属性投放!$BC$6:$BC$85,(BY568-2)*20+CD568)</f>
        <v>8</v>
      </c>
      <c r="CM568" s="14" t="s">
        <v>22</v>
      </c>
      <c r="CN568" s="14">
        <f>INDEX(属性投放!$BD$6:$BD$85,(BY568-2)*20+CD568)</f>
        <v>4</v>
      </c>
      <c r="CO568" s="14" t="s">
        <v>510</v>
      </c>
      <c r="CP568" s="14">
        <f>INDEX(属性投放!$BE$6:$BE$85,(BY568-2)*20+CD568)</f>
        <v>56</v>
      </c>
      <c r="CS568" s="13">
        <v>564</v>
      </c>
      <c r="CT568" s="13">
        <f t="shared" si="921"/>
        <v>11</v>
      </c>
      <c r="CU568" s="13">
        <f t="shared" si="922"/>
        <v>44</v>
      </c>
      <c r="CV568" s="14">
        <f t="shared" si="923"/>
        <v>4</v>
      </c>
      <c r="CW568" s="14">
        <f t="shared" si="924"/>
        <v>1102011</v>
      </c>
      <c r="CX568" s="14" t="str">
        <f>INDEX($O$6:$O$50,CT568)&amp;"-"&amp;INDEX(属性投放!$AB$7:$AB$50,CZ568)&amp;"-魂火-"&amp;DB568</f>
        <v>张飞-大焦热+2-魂火-2</v>
      </c>
      <c r="CY568" s="25" t="s">
        <v>142</v>
      </c>
      <c r="CZ568" s="14">
        <f>INDEX(属性投放!$AM$7:$AM$58,CU568)</f>
        <v>18</v>
      </c>
      <c r="DA568" s="14" t="s">
        <v>537</v>
      </c>
      <c r="DB568" s="14">
        <f>INDEX(属性投放!$AN$7:$AN$58,CU568)</f>
        <v>2</v>
      </c>
      <c r="DC568" s="14">
        <f t="shared" si="918"/>
        <v>44</v>
      </c>
      <c r="DD568" s="14">
        <f>INDEX(属性投放!$AO$7:$AO$58,DC568)</f>
        <v>128</v>
      </c>
      <c r="DE568" s="14" t="s">
        <v>538</v>
      </c>
      <c r="DF568" s="14">
        <f>INDEX(属性投放!$BK$6:$BK$85,(CV568-2)*20+CZ568)</f>
        <v>750</v>
      </c>
      <c r="DG568" s="14">
        <f>SUMIFS(DF$5:DF568,$CT$5:$CT568,"="&amp;$CT568)</f>
        <v>10885</v>
      </c>
      <c r="DH568" s="14" t="s">
        <v>539</v>
      </c>
      <c r="DI568" s="14">
        <f>INDEX(属性投放!$BL$6:$BL$85,(CV568-2)*20+CZ568)</f>
        <v>375</v>
      </c>
      <c r="DJ568" s="14">
        <f>SUMIFS(DI$5:DI568,$CT$5:$CT568,"="&amp;$CT568)</f>
        <v>5452</v>
      </c>
      <c r="DK568" s="14" t="s">
        <v>540</v>
      </c>
      <c r="DL568" s="14">
        <f>INDEX(属性投放!$BM$6:$BM$85,(CV568-2)*20+CZ568)</f>
        <v>7500</v>
      </c>
      <c r="DM568" s="14">
        <f>SUMIFS(DL$5:DL568,$CT$5:$CT568,"="&amp;$CT568)</f>
        <v>104285</v>
      </c>
      <c r="DR568" s="14">
        <f t="shared" si="983"/>
        <v>1102999</v>
      </c>
      <c r="DS568" s="14" t="str">
        <f t="shared" si="984"/>
        <v>R守护灵4突</v>
      </c>
      <c r="DT568" s="14">
        <f t="shared" si="925"/>
        <v>3</v>
      </c>
      <c r="DU568" s="14">
        <f t="shared" si="926"/>
        <v>3</v>
      </c>
      <c r="DV568" s="14">
        <f t="shared" si="927"/>
        <v>3</v>
      </c>
      <c r="DW568" s="14">
        <f t="shared" si="985"/>
        <v>2</v>
      </c>
      <c r="DX568" s="14">
        <f t="shared" si="986"/>
        <v>4</v>
      </c>
      <c r="DY568" s="14">
        <f t="shared" si="987"/>
        <v>4</v>
      </c>
      <c r="DZ568" s="14">
        <f>INDEX(属性投放!$AX$6:$AX$85,(卡牌属性!DW568-2)*20+卡牌属性!DX568)</f>
        <v>10</v>
      </c>
      <c r="EA568" s="14">
        <f>INDEX(属性投放!BQ$6:BQ$85,卡牌属性!$DY568)</f>
        <v>60</v>
      </c>
      <c r="EB568" s="14">
        <f>INDEX(属性投放!BR$6:BR$85,卡牌属性!$DY568)</f>
        <v>30</v>
      </c>
      <c r="EC568" s="14">
        <f>INDEX(属性投放!BS$6:BS$85,卡牌属性!$DY568)</f>
        <v>420</v>
      </c>
      <c r="ED568" s="14">
        <f t="shared" si="988"/>
        <v>345</v>
      </c>
      <c r="EE568" s="14">
        <f t="shared" si="989"/>
        <v>414</v>
      </c>
      <c r="EF568" s="14">
        <f t="shared" si="990"/>
        <v>487</v>
      </c>
      <c r="EG568" s="14">
        <f t="shared" si="991"/>
        <v>487</v>
      </c>
      <c r="EH568" s="14">
        <f t="shared" si="992"/>
        <v>560</v>
      </c>
      <c r="EI568" s="14">
        <f t="shared" si="993"/>
        <v>135</v>
      </c>
      <c r="EJ568" s="14">
        <f t="shared" si="994"/>
        <v>165</v>
      </c>
      <c r="EK568" s="14">
        <f t="shared" si="995"/>
        <v>165</v>
      </c>
      <c r="EL568" s="14">
        <f t="shared" si="996"/>
        <v>199</v>
      </c>
      <c r="EM568" s="14">
        <f t="shared" si="997"/>
        <v>233</v>
      </c>
      <c r="EN568" s="14">
        <f t="shared" si="998"/>
        <v>1770</v>
      </c>
      <c r="EO568" s="14">
        <f t="shared" si="999"/>
        <v>2134</v>
      </c>
      <c r="EP568" s="14">
        <f t="shared" si="1000"/>
        <v>2134</v>
      </c>
      <c r="EQ568" s="14">
        <f t="shared" si="1001"/>
        <v>2522</v>
      </c>
      <c r="ER568" s="14">
        <f t="shared" si="1002"/>
        <v>2960</v>
      </c>
      <c r="ES568" s="14">
        <f>INDEX(属性偏向!$S$4:$S$243,(卡牌属性!$DT568-1+ES$3)*20+卡牌属性!$DX568)</f>
        <v>8</v>
      </c>
      <c r="ET568" s="14">
        <f>INDEX(属性偏向!$S$4:$S$243,(卡牌属性!$DT568-1+ET$3)*20+卡牌属性!$DX568)</f>
        <v>10</v>
      </c>
      <c r="EU568" s="14">
        <f>INDEX(属性偏向!$S$4:$S$243,(卡牌属性!$DT568-1+EU$3)*20+卡牌属性!$DX568)</f>
        <v>12</v>
      </c>
      <c r="EV568" s="14">
        <f>INDEX(属性偏向!$S$4:$S$243,(卡牌属性!$DT568-1+EV$3)*20+卡牌属性!$DX568)</f>
        <v>12</v>
      </c>
      <c r="EW568" s="14">
        <f>INDEX(属性偏向!$S$4:$S$243,(卡牌属性!$DT568-1+EW$3)*20+卡牌属性!$DX568)</f>
        <v>13</v>
      </c>
      <c r="EX568" s="14">
        <f>INDEX(属性偏向!$T$4:$T$243,(卡牌属性!$DU568-1+EX$3)*20+卡牌属性!$DX568)</f>
        <v>4</v>
      </c>
      <c r="EY568" s="14">
        <f>INDEX(属性偏向!$T$4:$T$243,(卡牌属性!$DU568-1+EY$3)*20+卡牌属性!$DX568)</f>
        <v>5</v>
      </c>
      <c r="EZ568" s="14">
        <f>INDEX(属性偏向!$T$4:$T$243,(卡牌属性!$DU568-1+EZ$3)*20+卡牌属性!$DX568)</f>
        <v>5</v>
      </c>
      <c r="FA568" s="14">
        <f>INDEX(属性偏向!$T$4:$T$243,(卡牌属性!$DU568-1+FA$3)*20+卡牌属性!$DX568)</f>
        <v>6</v>
      </c>
      <c r="FB568" s="14">
        <f>INDEX(属性偏向!$T$4:$T$243,(卡牌属性!$DU568-1+FB$3)*20+卡牌属性!$DX568)</f>
        <v>7</v>
      </c>
      <c r="FC568" s="14">
        <f>INDEX(属性偏向!$U$4:$U$243,(卡牌属性!$DV568-1+FC$3)*20+卡牌属性!$DX568)</f>
        <v>56</v>
      </c>
      <c r="FD568" s="14">
        <f>INDEX(属性偏向!$U$4:$U$243,(卡牌属性!$DV568-1+FD$3)*20+卡牌属性!$DX568)</f>
        <v>70</v>
      </c>
      <c r="FE568" s="14">
        <f>INDEX(属性偏向!$U$4:$U$243,(卡牌属性!$DV568-1+FE$3)*20+卡牌属性!$DX568)</f>
        <v>70</v>
      </c>
      <c r="FF568" s="14">
        <f>INDEX(属性偏向!$U$4:$U$243,(卡牌属性!$DV568-1+FF$3)*20+卡牌属性!$DX568)</f>
        <v>84</v>
      </c>
      <c r="FG568" s="14">
        <f>INDEX(属性偏向!$U$4:$U$243,(卡牌属性!$DV568-1+FG$3)*20+卡牌属性!$DX568)</f>
        <v>91</v>
      </c>
      <c r="FH568" s="14">
        <f>INDEX(属性投放!$BQ$6:$BQ$85,(卡牌属性!$DW568-2)*20+卡牌属性!$DX568)</f>
        <v>60</v>
      </c>
      <c r="FI568" s="14">
        <f>INDEX(属性投放!$BQ$6:$BQ$85,(卡牌属性!$DW568-2)*20+卡牌属性!$DX568)</f>
        <v>60</v>
      </c>
      <c r="FJ568" s="14">
        <f>INDEX(属性投放!$BQ$6:$BQ$85,(卡牌属性!$DW568-2)*20+卡牌属性!$DX568)</f>
        <v>60</v>
      </c>
      <c r="FK568" s="14">
        <f>INDEX(属性投放!$BQ$6:$BQ$85,(卡牌属性!$DW568-2)*20+卡牌属性!$DX568)</f>
        <v>60</v>
      </c>
      <c r="FL568" s="14">
        <f>INDEX(属性投放!$BQ$6:$BQ$85,(卡牌属性!$DW568-2)*20+卡牌属性!$DX568)</f>
        <v>60</v>
      </c>
      <c r="FM568" s="14">
        <f>INDEX(属性投放!$BR$6:$BR$85,(卡牌属性!$DW568-2)*20+卡牌属性!$DX568)</f>
        <v>30</v>
      </c>
      <c r="FN568" s="14">
        <f>INDEX(属性投放!$BR$6:$BR$85,(卡牌属性!$DW568-2)*20+卡牌属性!$DX568)</f>
        <v>30</v>
      </c>
      <c r="FO568" s="14">
        <f>INDEX(属性投放!$BR$6:$BR$85,(卡牌属性!$DW568-2)*20+卡牌属性!$DX568)</f>
        <v>30</v>
      </c>
      <c r="FP568" s="14">
        <f>INDEX(属性投放!$BR$6:$BR$85,(卡牌属性!$DW568-2)*20+卡牌属性!$DX568)</f>
        <v>30</v>
      </c>
      <c r="FQ568" s="14">
        <f>INDEX(属性投放!$BR$6:$BR$85,(卡牌属性!$DW568-2)*20+卡牌属性!$DX568)</f>
        <v>30</v>
      </c>
      <c r="FR568" s="14">
        <f>INDEX(属性投放!$BS$6:$BS$85,(卡牌属性!$DW568-2)*20+卡牌属性!$DX568)</f>
        <v>420</v>
      </c>
      <c r="FS568" s="14">
        <f>INDEX(属性投放!$BS$6:$BS$85,(卡牌属性!$DW568-2)*20+卡牌属性!$DX568)</f>
        <v>420</v>
      </c>
      <c r="FT568" s="14">
        <f>INDEX(属性投放!$BS$6:$BS$85,(卡牌属性!$DW568-2)*20+卡牌属性!$DX568)</f>
        <v>420</v>
      </c>
      <c r="FU568" s="14">
        <f>INDEX(属性投放!$BS$6:$BS$85,(卡牌属性!$DW568-2)*20+卡牌属性!$DX568)</f>
        <v>420</v>
      </c>
      <c r="FV568" s="14">
        <f>INDEX(属性投放!$BS$6:$BS$85,(卡牌属性!$DW568-2)*20+卡牌属性!$DX568)</f>
        <v>420</v>
      </c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>
        <v>565</v>
      </c>
      <c r="BX569" s="13">
        <f t="shared" si="981"/>
        <v>29</v>
      </c>
      <c r="BY569" s="14">
        <f t="shared" si="982"/>
        <v>2</v>
      </c>
      <c r="BZ569" s="14">
        <f t="shared" si="919"/>
        <v>1102999</v>
      </c>
      <c r="CA569" s="14" t="str">
        <f t="shared" si="920"/>
        <v>R守护灵5突</v>
      </c>
      <c r="CB569" s="25" t="s">
        <v>142</v>
      </c>
      <c r="CC569" s="14">
        <v>2</v>
      </c>
      <c r="CD569" s="14">
        <f t="shared" si="917"/>
        <v>5</v>
      </c>
      <c r="CE569" s="14" t="s">
        <v>21</v>
      </c>
      <c r="CF569" s="14">
        <f>INDEX(属性投放!$AZ$6:$AZ$85,(BY569-2)*20+CD569)</f>
        <v>650</v>
      </c>
      <c r="CG569" s="14" t="s">
        <v>22</v>
      </c>
      <c r="CH569" s="14">
        <f>INDEX(属性投放!$BA$6:$BA$85,(BY569-2)*20+CD569)</f>
        <v>279</v>
      </c>
      <c r="CI569" s="14" t="s">
        <v>510</v>
      </c>
      <c r="CJ569" s="14">
        <f>INDEX(属性投放!$BB$6:$BB$85,(BY569-2)*20+CD569)</f>
        <v>3800</v>
      </c>
      <c r="CK569" s="14" t="s">
        <v>21</v>
      </c>
      <c r="CL569" s="14">
        <f>INDEX(属性投放!$BC$6:$BC$85,(BY569-2)*20+CD569)</f>
        <v>8</v>
      </c>
      <c r="CM569" s="14" t="s">
        <v>22</v>
      </c>
      <c r="CN569" s="14">
        <f>INDEX(属性投放!$BD$6:$BD$85,(BY569-2)*20+CD569)</f>
        <v>4</v>
      </c>
      <c r="CO569" s="14" t="s">
        <v>510</v>
      </c>
      <c r="CP569" s="14">
        <f>INDEX(属性投放!$BE$6:$BE$85,(BY569-2)*20+CD569)</f>
        <v>56</v>
      </c>
      <c r="CS569" s="13">
        <v>565</v>
      </c>
      <c r="CT569" s="13">
        <f t="shared" si="921"/>
        <v>11</v>
      </c>
      <c r="CU569" s="13">
        <f t="shared" si="922"/>
        <v>45</v>
      </c>
      <c r="CV569" s="14">
        <f t="shared" si="923"/>
        <v>4</v>
      </c>
      <c r="CW569" s="14">
        <f t="shared" si="924"/>
        <v>1102011</v>
      </c>
      <c r="CX569" s="14" t="str">
        <f>INDEX($O$6:$O$50,CT569)&amp;"-"&amp;INDEX(属性投放!$AB$7:$AB$50,CZ569)&amp;"-魂火-"&amp;DB569</f>
        <v>张飞-大焦热+2-魂火-3</v>
      </c>
      <c r="CY569" s="25" t="s">
        <v>142</v>
      </c>
      <c r="CZ569" s="14">
        <f>INDEX(属性投放!$AM$7:$AM$58,CU569)</f>
        <v>18</v>
      </c>
      <c r="DA569" s="14" t="s">
        <v>537</v>
      </c>
      <c r="DB569" s="14">
        <f>INDEX(属性投放!$AN$7:$AN$58,CU569)</f>
        <v>3</v>
      </c>
      <c r="DC569" s="14">
        <f t="shared" si="918"/>
        <v>45</v>
      </c>
      <c r="DD569" s="14">
        <f>INDEX(属性投放!$AO$7:$AO$58,DC569)</f>
        <v>130</v>
      </c>
      <c r="DE569" s="14" t="s">
        <v>538</v>
      </c>
      <c r="DF569" s="14">
        <f>INDEX(属性投放!$BK$6:$BK$85,(CV569-2)*20+CZ569)</f>
        <v>750</v>
      </c>
      <c r="DG569" s="14">
        <f>SUMIFS(DF$5:DF569,$CT$5:$CT569,"="&amp;$CT569)</f>
        <v>11635</v>
      </c>
      <c r="DH569" s="14" t="s">
        <v>539</v>
      </c>
      <c r="DI569" s="14">
        <f>INDEX(属性投放!$BL$6:$BL$85,(CV569-2)*20+CZ569)</f>
        <v>375</v>
      </c>
      <c r="DJ569" s="14">
        <f>SUMIFS(DI$5:DI569,$CT$5:$CT569,"="&amp;$CT569)</f>
        <v>5827</v>
      </c>
      <c r="DK569" s="14" t="s">
        <v>540</v>
      </c>
      <c r="DL569" s="14">
        <f>INDEX(属性投放!$BM$6:$BM$85,(CV569-2)*20+CZ569)</f>
        <v>7500</v>
      </c>
      <c r="DM569" s="14">
        <f>SUMIFS(DL$5:DL569,$CT$5:$CT569,"="&amp;$CT569)</f>
        <v>111785</v>
      </c>
      <c r="DR569" s="14">
        <f t="shared" si="983"/>
        <v>1102999</v>
      </c>
      <c r="DS569" s="14" t="str">
        <f t="shared" si="984"/>
        <v>R守护灵5突</v>
      </c>
      <c r="DT569" s="14">
        <f t="shared" si="925"/>
        <v>3</v>
      </c>
      <c r="DU569" s="14">
        <f t="shared" si="926"/>
        <v>3</v>
      </c>
      <c r="DV569" s="14">
        <f t="shared" si="927"/>
        <v>3</v>
      </c>
      <c r="DW569" s="14">
        <f t="shared" si="985"/>
        <v>2</v>
      </c>
      <c r="DX569" s="14">
        <f t="shared" si="986"/>
        <v>5</v>
      </c>
      <c r="DY569" s="14">
        <f t="shared" si="987"/>
        <v>5</v>
      </c>
      <c r="DZ569" s="14">
        <f>INDEX(属性投放!$AX$6:$AX$85,(卡牌属性!DW569-2)*20+卡牌属性!DX569)</f>
        <v>7</v>
      </c>
      <c r="EA569" s="14">
        <f>INDEX(属性投放!BQ$6:BQ$85,卡牌属性!$DY569)</f>
        <v>80</v>
      </c>
      <c r="EB569" s="14">
        <f>INDEX(属性投放!BR$6:BR$85,卡牌属性!$DY569)</f>
        <v>40</v>
      </c>
      <c r="EC569" s="14">
        <f>INDEX(属性投放!BS$6:BS$85,卡牌属性!$DY569)</f>
        <v>560</v>
      </c>
      <c r="ED569" s="14">
        <f t="shared" si="988"/>
        <v>485</v>
      </c>
      <c r="EE569" s="14">
        <f t="shared" si="989"/>
        <v>574</v>
      </c>
      <c r="EF569" s="14">
        <f t="shared" si="990"/>
        <v>667</v>
      </c>
      <c r="EG569" s="14">
        <f t="shared" si="991"/>
        <v>667</v>
      </c>
      <c r="EH569" s="14">
        <f t="shared" si="992"/>
        <v>750</v>
      </c>
      <c r="EI569" s="14">
        <f t="shared" si="993"/>
        <v>205</v>
      </c>
      <c r="EJ569" s="14">
        <f t="shared" si="994"/>
        <v>245</v>
      </c>
      <c r="EK569" s="14">
        <f t="shared" si="995"/>
        <v>245</v>
      </c>
      <c r="EL569" s="14">
        <f t="shared" si="996"/>
        <v>289</v>
      </c>
      <c r="EM569" s="14">
        <f t="shared" si="997"/>
        <v>333</v>
      </c>
      <c r="EN569" s="14">
        <f t="shared" si="998"/>
        <v>2750</v>
      </c>
      <c r="EO569" s="14">
        <f t="shared" si="999"/>
        <v>3254</v>
      </c>
      <c r="EP569" s="14">
        <f t="shared" si="1000"/>
        <v>3254</v>
      </c>
      <c r="EQ569" s="14">
        <f t="shared" si="1001"/>
        <v>3782</v>
      </c>
      <c r="ER569" s="14">
        <f t="shared" si="1002"/>
        <v>4290</v>
      </c>
      <c r="ES569" s="14">
        <f>INDEX(属性偏向!$S$4:$S$243,(卡牌属性!$DT569-1+ES$3)*20+卡牌属性!$DX569)</f>
        <v>8</v>
      </c>
      <c r="ET569" s="14">
        <f>INDEX(属性偏向!$S$4:$S$243,(卡牌属性!$DT569-1+ET$3)*20+卡牌属性!$DX569)</f>
        <v>10</v>
      </c>
      <c r="EU569" s="14">
        <f>INDEX(属性偏向!$S$4:$S$243,(卡牌属性!$DT569-1+EU$3)*20+卡牌属性!$DX569)</f>
        <v>12</v>
      </c>
      <c r="EV569" s="14">
        <f>INDEX(属性偏向!$S$4:$S$243,(卡牌属性!$DT569-1+EV$3)*20+卡牌属性!$DX569)</f>
        <v>12</v>
      </c>
      <c r="EW569" s="14">
        <f>INDEX(属性偏向!$S$4:$S$243,(卡牌属性!$DT569-1+EW$3)*20+卡牌属性!$DX569)</f>
        <v>13</v>
      </c>
      <c r="EX569" s="14">
        <f>INDEX(属性偏向!$T$4:$T$243,(卡牌属性!$DU569-1+EX$3)*20+卡牌属性!$DX569)</f>
        <v>4</v>
      </c>
      <c r="EY569" s="14">
        <f>INDEX(属性偏向!$T$4:$T$243,(卡牌属性!$DU569-1+EY$3)*20+卡牌属性!$DX569)</f>
        <v>5</v>
      </c>
      <c r="EZ569" s="14">
        <f>INDEX(属性偏向!$T$4:$T$243,(卡牌属性!$DU569-1+EZ$3)*20+卡牌属性!$DX569)</f>
        <v>5</v>
      </c>
      <c r="FA569" s="14">
        <f>INDEX(属性偏向!$T$4:$T$243,(卡牌属性!$DU569-1+FA$3)*20+卡牌属性!$DX569)</f>
        <v>6</v>
      </c>
      <c r="FB569" s="14">
        <f>INDEX(属性偏向!$T$4:$T$243,(卡牌属性!$DU569-1+FB$3)*20+卡牌属性!$DX569)</f>
        <v>7</v>
      </c>
      <c r="FC569" s="14">
        <f>INDEX(属性偏向!$U$4:$U$243,(卡牌属性!$DV569-1+FC$3)*20+卡牌属性!$DX569)</f>
        <v>56</v>
      </c>
      <c r="FD569" s="14">
        <f>INDEX(属性偏向!$U$4:$U$243,(卡牌属性!$DV569-1+FD$3)*20+卡牌属性!$DX569)</f>
        <v>70</v>
      </c>
      <c r="FE569" s="14">
        <f>INDEX(属性偏向!$U$4:$U$243,(卡牌属性!$DV569-1+FE$3)*20+卡牌属性!$DX569)</f>
        <v>70</v>
      </c>
      <c r="FF569" s="14">
        <f>INDEX(属性偏向!$U$4:$U$243,(卡牌属性!$DV569-1+FF$3)*20+卡牌属性!$DX569)</f>
        <v>84</v>
      </c>
      <c r="FG569" s="14">
        <f>INDEX(属性偏向!$U$4:$U$243,(卡牌属性!$DV569-1+FG$3)*20+卡牌属性!$DX569)</f>
        <v>91</v>
      </c>
      <c r="FH569" s="14">
        <f>INDEX(属性投放!$BQ$6:$BQ$85,(卡牌属性!$DW569-2)*20+卡牌属性!$DX569)</f>
        <v>80</v>
      </c>
      <c r="FI569" s="14">
        <f>INDEX(属性投放!$BQ$6:$BQ$85,(卡牌属性!$DW569-2)*20+卡牌属性!$DX569)</f>
        <v>80</v>
      </c>
      <c r="FJ569" s="14">
        <f>INDEX(属性投放!$BQ$6:$BQ$85,(卡牌属性!$DW569-2)*20+卡牌属性!$DX569)</f>
        <v>80</v>
      </c>
      <c r="FK569" s="14">
        <f>INDEX(属性投放!$BQ$6:$BQ$85,(卡牌属性!$DW569-2)*20+卡牌属性!$DX569)</f>
        <v>80</v>
      </c>
      <c r="FL569" s="14">
        <f>INDEX(属性投放!$BQ$6:$BQ$85,(卡牌属性!$DW569-2)*20+卡牌属性!$DX569)</f>
        <v>80</v>
      </c>
      <c r="FM569" s="14">
        <f>INDEX(属性投放!$BR$6:$BR$85,(卡牌属性!$DW569-2)*20+卡牌属性!$DX569)</f>
        <v>40</v>
      </c>
      <c r="FN569" s="14">
        <f>INDEX(属性投放!$BR$6:$BR$85,(卡牌属性!$DW569-2)*20+卡牌属性!$DX569)</f>
        <v>40</v>
      </c>
      <c r="FO569" s="14">
        <f>INDEX(属性投放!$BR$6:$BR$85,(卡牌属性!$DW569-2)*20+卡牌属性!$DX569)</f>
        <v>40</v>
      </c>
      <c r="FP569" s="14">
        <f>INDEX(属性投放!$BR$6:$BR$85,(卡牌属性!$DW569-2)*20+卡牌属性!$DX569)</f>
        <v>40</v>
      </c>
      <c r="FQ569" s="14">
        <f>INDEX(属性投放!$BR$6:$BR$85,(卡牌属性!$DW569-2)*20+卡牌属性!$DX569)</f>
        <v>40</v>
      </c>
      <c r="FR569" s="14">
        <f>INDEX(属性投放!$BS$6:$BS$85,(卡牌属性!$DW569-2)*20+卡牌属性!$DX569)</f>
        <v>560</v>
      </c>
      <c r="FS569" s="14">
        <f>INDEX(属性投放!$BS$6:$BS$85,(卡牌属性!$DW569-2)*20+卡牌属性!$DX569)</f>
        <v>560</v>
      </c>
      <c r="FT569" s="14">
        <f>INDEX(属性投放!$BS$6:$BS$85,(卡牌属性!$DW569-2)*20+卡牌属性!$DX569)</f>
        <v>560</v>
      </c>
      <c r="FU569" s="14">
        <f>INDEX(属性投放!$BS$6:$BS$85,(卡牌属性!$DW569-2)*20+卡牌属性!$DX569)</f>
        <v>560</v>
      </c>
      <c r="FV569" s="14">
        <f>INDEX(属性投放!$BS$6:$BS$85,(卡牌属性!$DW569-2)*20+卡牌属性!$DX569)</f>
        <v>560</v>
      </c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>
        <v>566</v>
      </c>
      <c r="BX570" s="13">
        <f t="shared" si="981"/>
        <v>29</v>
      </c>
      <c r="BY570" s="14">
        <f t="shared" si="982"/>
        <v>2</v>
      </c>
      <c r="BZ570" s="14">
        <f t="shared" si="919"/>
        <v>1102999</v>
      </c>
      <c r="CA570" s="14" t="str">
        <f t="shared" si="920"/>
        <v>R守护灵6突</v>
      </c>
      <c r="CB570" s="25" t="s">
        <v>142</v>
      </c>
      <c r="CC570" s="14">
        <v>2</v>
      </c>
      <c r="CD570" s="14">
        <f t="shared" si="917"/>
        <v>6</v>
      </c>
      <c r="CE570" s="14" t="s">
        <v>21</v>
      </c>
      <c r="CF570" s="14">
        <f>INDEX(属性投放!$AZ$6:$AZ$85,(BY570-2)*20+CD570)</f>
        <v>856</v>
      </c>
      <c r="CG570" s="14" t="s">
        <v>22</v>
      </c>
      <c r="CH570" s="14">
        <f>INDEX(属性投放!$BA$6:$BA$85,(BY570-2)*20+CD570)</f>
        <v>383</v>
      </c>
      <c r="CI570" s="14" t="s">
        <v>510</v>
      </c>
      <c r="CJ570" s="14">
        <f>INDEX(属性投放!$BB$6:$BB$85,(BY570-2)*20+CD570)</f>
        <v>5242</v>
      </c>
      <c r="CK570" s="14" t="s">
        <v>21</v>
      </c>
      <c r="CL570" s="14">
        <f>INDEX(属性投放!$BC$6:$BC$85,(BY570-2)*20+CD570)</f>
        <v>8</v>
      </c>
      <c r="CM570" s="14" t="s">
        <v>22</v>
      </c>
      <c r="CN570" s="14">
        <f>INDEX(属性投放!$BD$6:$BD$85,(BY570-2)*20+CD570)</f>
        <v>4</v>
      </c>
      <c r="CO570" s="14" t="s">
        <v>510</v>
      </c>
      <c r="CP570" s="14">
        <f>INDEX(属性投放!$BE$6:$BE$85,(BY570-2)*20+CD570)</f>
        <v>56</v>
      </c>
      <c r="CS570" s="13">
        <v>566</v>
      </c>
      <c r="CT570" s="13">
        <f t="shared" si="921"/>
        <v>11</v>
      </c>
      <c r="CU570" s="13">
        <f t="shared" si="922"/>
        <v>46</v>
      </c>
      <c r="CV570" s="14">
        <f t="shared" si="923"/>
        <v>4</v>
      </c>
      <c r="CW570" s="14">
        <f t="shared" si="924"/>
        <v>1102011</v>
      </c>
      <c r="CX570" s="14" t="str">
        <f>INDEX($O$6:$O$50,CT570)&amp;"-"&amp;INDEX(属性投放!$AB$7:$AB$50,CZ570)&amp;"-魂火-"&amp;DB570</f>
        <v>张飞-无间-魂火-1</v>
      </c>
      <c r="CY570" s="25" t="s">
        <v>142</v>
      </c>
      <c r="CZ570" s="14">
        <f>INDEX(属性投放!$AM$7:$AM$58,CU570)</f>
        <v>19</v>
      </c>
      <c r="DA570" s="14" t="s">
        <v>537</v>
      </c>
      <c r="DB570" s="14">
        <f>INDEX(属性投放!$AN$7:$AN$58,CU570)</f>
        <v>1</v>
      </c>
      <c r="DC570" s="14">
        <f t="shared" si="918"/>
        <v>46</v>
      </c>
      <c r="DD570" s="14">
        <f>INDEX(属性投放!$AO$7:$AO$58,DC570)</f>
        <v>133</v>
      </c>
      <c r="DE570" s="14" t="s">
        <v>538</v>
      </c>
      <c r="DF570" s="14">
        <f>INDEX(属性投放!$BK$6:$BK$85,(CV570-2)*20+CZ570)</f>
        <v>900</v>
      </c>
      <c r="DG570" s="14">
        <f>SUMIFS(DF$5:DF570,$CT$5:$CT570,"="&amp;$CT570)</f>
        <v>12535</v>
      </c>
      <c r="DH570" s="14" t="s">
        <v>539</v>
      </c>
      <c r="DI570" s="14">
        <f>INDEX(属性投放!$BL$6:$BL$85,(CV570-2)*20+CZ570)</f>
        <v>450</v>
      </c>
      <c r="DJ570" s="14">
        <f>SUMIFS(DI$5:DI570,$CT$5:$CT570,"="&amp;$CT570)</f>
        <v>6277</v>
      </c>
      <c r="DK570" s="14" t="s">
        <v>540</v>
      </c>
      <c r="DL570" s="14">
        <f>INDEX(属性投放!$BM$6:$BM$85,(CV570-2)*20+CZ570)</f>
        <v>9000</v>
      </c>
      <c r="DM570" s="14">
        <f>SUMIFS(DL$5:DL570,$CT$5:$CT570,"="&amp;$CT570)</f>
        <v>120785</v>
      </c>
      <c r="DR570" s="14">
        <f t="shared" si="983"/>
        <v>1102999</v>
      </c>
      <c r="DS570" s="14" t="str">
        <f t="shared" si="984"/>
        <v>R守护灵6突</v>
      </c>
      <c r="DT570" s="14">
        <f t="shared" si="925"/>
        <v>3</v>
      </c>
      <c r="DU570" s="14">
        <f t="shared" si="926"/>
        <v>3</v>
      </c>
      <c r="DV570" s="14">
        <f t="shared" si="927"/>
        <v>3</v>
      </c>
      <c r="DW570" s="14">
        <f t="shared" si="985"/>
        <v>2</v>
      </c>
      <c r="DX570" s="14">
        <f t="shared" si="986"/>
        <v>6</v>
      </c>
      <c r="DY570" s="14">
        <f t="shared" si="987"/>
        <v>6</v>
      </c>
      <c r="DZ570" s="14">
        <f>INDEX(属性投放!$AX$6:$AX$85,(卡牌属性!DW570-2)*20+卡牌属性!DX570)</f>
        <v>5</v>
      </c>
      <c r="EA570" s="14">
        <f>INDEX(属性投放!BQ$6:BQ$85,卡牌属性!$DY570)</f>
        <v>100</v>
      </c>
      <c r="EB570" s="14">
        <f>INDEX(属性投放!BR$6:BR$85,卡牌属性!$DY570)</f>
        <v>50</v>
      </c>
      <c r="EC570" s="14">
        <f>INDEX(属性投放!BS$6:BS$85,卡牌属性!$DY570)</f>
        <v>700</v>
      </c>
      <c r="ED570" s="14">
        <f t="shared" si="988"/>
        <v>621</v>
      </c>
      <c r="EE570" s="14">
        <f t="shared" si="989"/>
        <v>724</v>
      </c>
      <c r="EF570" s="14">
        <f t="shared" si="990"/>
        <v>831</v>
      </c>
      <c r="EG570" s="14">
        <f t="shared" si="991"/>
        <v>831</v>
      </c>
      <c r="EH570" s="14">
        <f t="shared" si="992"/>
        <v>921</v>
      </c>
      <c r="EI570" s="14">
        <f t="shared" si="993"/>
        <v>273</v>
      </c>
      <c r="EJ570" s="14">
        <f t="shared" si="994"/>
        <v>320</v>
      </c>
      <c r="EK570" s="14">
        <f t="shared" si="995"/>
        <v>320</v>
      </c>
      <c r="EL570" s="14">
        <f t="shared" si="996"/>
        <v>371</v>
      </c>
      <c r="EM570" s="14">
        <f t="shared" si="997"/>
        <v>422</v>
      </c>
      <c r="EN570" s="14">
        <f t="shared" si="998"/>
        <v>3702</v>
      </c>
      <c r="EO570" s="14">
        <f t="shared" si="999"/>
        <v>4304</v>
      </c>
      <c r="EP570" s="14">
        <f t="shared" si="1000"/>
        <v>4304</v>
      </c>
      <c r="EQ570" s="14">
        <f t="shared" si="1001"/>
        <v>4930</v>
      </c>
      <c r="ER570" s="14">
        <f t="shared" si="1002"/>
        <v>5487</v>
      </c>
      <c r="ES570" s="14">
        <f>INDEX(属性偏向!$S$4:$S$243,(卡牌属性!$DT570-1+ES$3)*20+卡牌属性!$DX570)</f>
        <v>8</v>
      </c>
      <c r="ET570" s="14">
        <f>INDEX(属性偏向!$S$4:$S$243,(卡牌属性!$DT570-1+ET$3)*20+卡牌属性!$DX570)</f>
        <v>10</v>
      </c>
      <c r="EU570" s="14">
        <f>INDEX(属性偏向!$S$4:$S$243,(卡牌属性!$DT570-1+EU$3)*20+卡牌属性!$DX570)</f>
        <v>12</v>
      </c>
      <c r="EV570" s="14">
        <f>INDEX(属性偏向!$S$4:$S$243,(卡牌属性!$DT570-1+EV$3)*20+卡牌属性!$DX570)</f>
        <v>12</v>
      </c>
      <c r="EW570" s="14">
        <f>INDEX(属性偏向!$S$4:$S$243,(卡牌属性!$DT570-1+EW$3)*20+卡牌属性!$DX570)</f>
        <v>13</v>
      </c>
      <c r="EX570" s="14">
        <f>INDEX(属性偏向!$T$4:$T$243,(卡牌属性!$DU570-1+EX$3)*20+卡牌属性!$DX570)</f>
        <v>4</v>
      </c>
      <c r="EY570" s="14">
        <f>INDEX(属性偏向!$T$4:$T$243,(卡牌属性!$DU570-1+EY$3)*20+卡牌属性!$DX570)</f>
        <v>5</v>
      </c>
      <c r="EZ570" s="14">
        <f>INDEX(属性偏向!$T$4:$T$243,(卡牌属性!$DU570-1+EZ$3)*20+卡牌属性!$DX570)</f>
        <v>5</v>
      </c>
      <c r="FA570" s="14">
        <f>INDEX(属性偏向!$T$4:$T$243,(卡牌属性!$DU570-1+FA$3)*20+卡牌属性!$DX570)</f>
        <v>6</v>
      </c>
      <c r="FB570" s="14">
        <f>INDEX(属性偏向!$T$4:$T$243,(卡牌属性!$DU570-1+FB$3)*20+卡牌属性!$DX570)</f>
        <v>7</v>
      </c>
      <c r="FC570" s="14">
        <f>INDEX(属性偏向!$U$4:$U$243,(卡牌属性!$DV570-1+FC$3)*20+卡牌属性!$DX570)</f>
        <v>56</v>
      </c>
      <c r="FD570" s="14">
        <f>INDEX(属性偏向!$U$4:$U$243,(卡牌属性!$DV570-1+FD$3)*20+卡牌属性!$DX570)</f>
        <v>70</v>
      </c>
      <c r="FE570" s="14">
        <f>INDEX(属性偏向!$U$4:$U$243,(卡牌属性!$DV570-1+FE$3)*20+卡牌属性!$DX570)</f>
        <v>70</v>
      </c>
      <c r="FF570" s="14">
        <f>INDEX(属性偏向!$U$4:$U$243,(卡牌属性!$DV570-1+FF$3)*20+卡牌属性!$DX570)</f>
        <v>84</v>
      </c>
      <c r="FG570" s="14">
        <f>INDEX(属性偏向!$U$4:$U$243,(卡牌属性!$DV570-1+FG$3)*20+卡牌属性!$DX570)</f>
        <v>91</v>
      </c>
      <c r="FH570" s="14">
        <f>INDEX(属性投放!$BQ$6:$BQ$85,(卡牌属性!$DW570-2)*20+卡牌属性!$DX570)</f>
        <v>100</v>
      </c>
      <c r="FI570" s="14">
        <f>INDEX(属性投放!$BQ$6:$BQ$85,(卡牌属性!$DW570-2)*20+卡牌属性!$DX570)</f>
        <v>100</v>
      </c>
      <c r="FJ570" s="14">
        <f>INDEX(属性投放!$BQ$6:$BQ$85,(卡牌属性!$DW570-2)*20+卡牌属性!$DX570)</f>
        <v>100</v>
      </c>
      <c r="FK570" s="14">
        <f>INDEX(属性投放!$BQ$6:$BQ$85,(卡牌属性!$DW570-2)*20+卡牌属性!$DX570)</f>
        <v>100</v>
      </c>
      <c r="FL570" s="14">
        <f>INDEX(属性投放!$BQ$6:$BQ$85,(卡牌属性!$DW570-2)*20+卡牌属性!$DX570)</f>
        <v>100</v>
      </c>
      <c r="FM570" s="14">
        <f>INDEX(属性投放!$BR$6:$BR$85,(卡牌属性!$DW570-2)*20+卡牌属性!$DX570)</f>
        <v>50</v>
      </c>
      <c r="FN570" s="14">
        <f>INDEX(属性投放!$BR$6:$BR$85,(卡牌属性!$DW570-2)*20+卡牌属性!$DX570)</f>
        <v>50</v>
      </c>
      <c r="FO570" s="14">
        <f>INDEX(属性投放!$BR$6:$BR$85,(卡牌属性!$DW570-2)*20+卡牌属性!$DX570)</f>
        <v>50</v>
      </c>
      <c r="FP570" s="14">
        <f>INDEX(属性投放!$BR$6:$BR$85,(卡牌属性!$DW570-2)*20+卡牌属性!$DX570)</f>
        <v>50</v>
      </c>
      <c r="FQ570" s="14">
        <f>INDEX(属性投放!$BR$6:$BR$85,(卡牌属性!$DW570-2)*20+卡牌属性!$DX570)</f>
        <v>50</v>
      </c>
      <c r="FR570" s="14">
        <f>INDEX(属性投放!$BS$6:$BS$85,(卡牌属性!$DW570-2)*20+卡牌属性!$DX570)</f>
        <v>700</v>
      </c>
      <c r="FS570" s="14">
        <f>INDEX(属性投放!$BS$6:$BS$85,(卡牌属性!$DW570-2)*20+卡牌属性!$DX570)</f>
        <v>700</v>
      </c>
      <c r="FT570" s="14">
        <f>INDEX(属性投放!$BS$6:$BS$85,(卡牌属性!$DW570-2)*20+卡牌属性!$DX570)</f>
        <v>700</v>
      </c>
      <c r="FU570" s="14">
        <f>INDEX(属性投放!$BS$6:$BS$85,(卡牌属性!$DW570-2)*20+卡牌属性!$DX570)</f>
        <v>700</v>
      </c>
      <c r="FV570" s="14">
        <f>INDEX(属性投放!$BS$6:$BS$85,(卡牌属性!$DW570-2)*20+卡牌属性!$DX570)</f>
        <v>700</v>
      </c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>
        <v>567</v>
      </c>
      <c r="BX571" s="13">
        <f t="shared" si="981"/>
        <v>29</v>
      </c>
      <c r="BY571" s="14">
        <f t="shared" si="982"/>
        <v>2</v>
      </c>
      <c r="BZ571" s="14">
        <f t="shared" si="919"/>
        <v>1102999</v>
      </c>
      <c r="CA571" s="14" t="str">
        <f t="shared" si="920"/>
        <v>R守护灵7突</v>
      </c>
      <c r="CB571" s="25" t="s">
        <v>142</v>
      </c>
      <c r="CC571" s="14">
        <v>2</v>
      </c>
      <c r="CD571" s="14">
        <f t="shared" si="917"/>
        <v>7</v>
      </c>
      <c r="CE571" s="14" t="s">
        <v>21</v>
      </c>
      <c r="CF571" s="14">
        <f>INDEX(属性投放!$AZ$6:$AZ$85,(BY571-2)*20+CD571)</f>
        <v>1076</v>
      </c>
      <c r="CG571" s="14" t="s">
        <v>22</v>
      </c>
      <c r="CH571" s="14">
        <f>INDEX(属性投放!$BA$6:$BA$85,(BY571-2)*20+CD571)</f>
        <v>493</v>
      </c>
      <c r="CI571" s="14" t="s">
        <v>510</v>
      </c>
      <c r="CJ571" s="14">
        <f>INDEX(属性投放!$BB$6:$BB$85,(BY571-2)*20+CD571)</f>
        <v>6782</v>
      </c>
      <c r="CK571" s="14" t="s">
        <v>21</v>
      </c>
      <c r="CL571" s="14">
        <f>INDEX(属性投放!$BC$6:$BC$85,(BY571-2)*20+CD571)</f>
        <v>10</v>
      </c>
      <c r="CM571" s="14" t="s">
        <v>22</v>
      </c>
      <c r="CN571" s="14">
        <f>INDEX(属性投放!$BD$6:$BD$85,(BY571-2)*20+CD571)</f>
        <v>5</v>
      </c>
      <c r="CO571" s="14" t="s">
        <v>510</v>
      </c>
      <c r="CP571" s="14">
        <f>INDEX(属性投放!$BE$6:$BE$85,(BY571-2)*20+CD571)</f>
        <v>80</v>
      </c>
      <c r="CS571" s="13">
        <v>567</v>
      </c>
      <c r="CT571" s="13">
        <f t="shared" si="921"/>
        <v>11</v>
      </c>
      <c r="CU571" s="13">
        <f t="shared" si="922"/>
        <v>47</v>
      </c>
      <c r="CV571" s="14">
        <f t="shared" si="923"/>
        <v>4</v>
      </c>
      <c r="CW571" s="14">
        <f t="shared" si="924"/>
        <v>1102011</v>
      </c>
      <c r="CX571" s="14" t="str">
        <f>INDEX($O$6:$O$50,CT571)&amp;"-"&amp;INDEX(属性投放!$AB$7:$AB$50,CZ571)&amp;"-魂火-"&amp;DB571</f>
        <v>张飞-无间-魂火-2</v>
      </c>
      <c r="CY571" s="25" t="s">
        <v>142</v>
      </c>
      <c r="CZ571" s="14">
        <f>INDEX(属性投放!$AM$7:$AM$58,CU571)</f>
        <v>19</v>
      </c>
      <c r="DA571" s="14" t="s">
        <v>537</v>
      </c>
      <c r="DB571" s="14">
        <f>INDEX(属性投放!$AN$7:$AN$58,CU571)</f>
        <v>2</v>
      </c>
      <c r="DC571" s="14">
        <f t="shared" si="918"/>
        <v>47</v>
      </c>
      <c r="DD571" s="14">
        <f>INDEX(属性投放!$AO$7:$AO$58,DC571)</f>
        <v>135</v>
      </c>
      <c r="DE571" s="14" t="s">
        <v>538</v>
      </c>
      <c r="DF571" s="14">
        <f>INDEX(属性投放!$BK$6:$BK$85,(CV571-2)*20+CZ571)</f>
        <v>900</v>
      </c>
      <c r="DG571" s="14">
        <f>SUMIFS(DF$5:DF571,$CT$5:$CT571,"="&amp;$CT571)</f>
        <v>13435</v>
      </c>
      <c r="DH571" s="14" t="s">
        <v>539</v>
      </c>
      <c r="DI571" s="14">
        <f>INDEX(属性投放!$BL$6:$BL$85,(CV571-2)*20+CZ571)</f>
        <v>450</v>
      </c>
      <c r="DJ571" s="14">
        <f>SUMIFS(DI$5:DI571,$CT$5:$CT571,"="&amp;$CT571)</f>
        <v>6727</v>
      </c>
      <c r="DK571" s="14" t="s">
        <v>540</v>
      </c>
      <c r="DL571" s="14">
        <f>INDEX(属性投放!$BM$6:$BM$85,(CV571-2)*20+CZ571)</f>
        <v>9000</v>
      </c>
      <c r="DM571" s="14">
        <f>SUMIFS(DL$5:DL571,$CT$5:$CT571,"="&amp;$CT571)</f>
        <v>129785</v>
      </c>
      <c r="DR571" s="14">
        <f t="shared" si="983"/>
        <v>1102999</v>
      </c>
      <c r="DS571" s="14" t="str">
        <f t="shared" si="984"/>
        <v>R守护灵7突</v>
      </c>
      <c r="DT571" s="14">
        <f t="shared" si="925"/>
        <v>3</v>
      </c>
      <c r="DU571" s="14">
        <f t="shared" si="926"/>
        <v>3</v>
      </c>
      <c r="DV571" s="14">
        <f t="shared" si="927"/>
        <v>3</v>
      </c>
      <c r="DW571" s="14">
        <f t="shared" si="985"/>
        <v>2</v>
      </c>
      <c r="DX571" s="14">
        <f t="shared" si="986"/>
        <v>7</v>
      </c>
      <c r="DY571" s="14">
        <f t="shared" si="987"/>
        <v>7</v>
      </c>
      <c r="DZ571" s="14">
        <f>INDEX(属性投放!$AX$6:$AX$85,(卡牌属性!DW571-2)*20+卡牌属性!DX571)</f>
        <v>5</v>
      </c>
      <c r="EA571" s="14">
        <f>INDEX(属性投放!BQ$6:BQ$85,卡牌属性!$DY571)</f>
        <v>100</v>
      </c>
      <c r="EB571" s="14">
        <f>INDEX(属性投放!BR$6:BR$85,卡牌属性!$DY571)</f>
        <v>50</v>
      </c>
      <c r="EC571" s="14">
        <f>INDEX(属性投放!BS$6:BS$85,卡牌属性!$DY571)</f>
        <v>800</v>
      </c>
      <c r="ED571" s="14">
        <f t="shared" si="988"/>
        <v>761</v>
      </c>
      <c r="EE571" s="14">
        <f t="shared" si="989"/>
        <v>874</v>
      </c>
      <c r="EF571" s="14">
        <f t="shared" si="990"/>
        <v>991</v>
      </c>
      <c r="EG571" s="14">
        <f t="shared" si="991"/>
        <v>991</v>
      </c>
      <c r="EH571" s="14">
        <f t="shared" si="992"/>
        <v>1086</v>
      </c>
      <c r="EI571" s="14">
        <f t="shared" si="993"/>
        <v>343</v>
      </c>
      <c r="EJ571" s="14">
        <f t="shared" si="994"/>
        <v>395</v>
      </c>
      <c r="EK571" s="14">
        <f t="shared" si="995"/>
        <v>395</v>
      </c>
      <c r="EL571" s="14">
        <f t="shared" si="996"/>
        <v>451</v>
      </c>
      <c r="EM571" s="14">
        <f t="shared" si="997"/>
        <v>507</v>
      </c>
      <c r="EN571" s="14">
        <f t="shared" si="998"/>
        <v>4682</v>
      </c>
      <c r="EO571" s="14">
        <f t="shared" si="999"/>
        <v>5354</v>
      </c>
      <c r="EP571" s="14">
        <f t="shared" si="1000"/>
        <v>5354</v>
      </c>
      <c r="EQ571" s="14">
        <f t="shared" si="1001"/>
        <v>6050</v>
      </c>
      <c r="ER571" s="14">
        <f t="shared" si="1002"/>
        <v>6642</v>
      </c>
      <c r="ES571" s="14">
        <f>INDEX(属性偏向!$S$4:$S$243,(卡牌属性!$DT571-1+ES$3)*20+卡牌属性!$DX571)</f>
        <v>10</v>
      </c>
      <c r="ET571" s="14">
        <f>INDEX(属性偏向!$S$4:$S$243,(卡牌属性!$DT571-1+ET$3)*20+卡牌属性!$DX571)</f>
        <v>12</v>
      </c>
      <c r="EU571" s="14">
        <f>INDEX(属性偏向!$S$4:$S$243,(卡牌属性!$DT571-1+EU$3)*20+卡牌属性!$DX571)</f>
        <v>15</v>
      </c>
      <c r="EV571" s="14">
        <f>INDEX(属性偏向!$S$4:$S$243,(卡牌属性!$DT571-1+EV$3)*20+卡牌属性!$DX571)</f>
        <v>15</v>
      </c>
      <c r="EW571" s="14">
        <f>INDEX(属性偏向!$S$4:$S$243,(卡牌属性!$DT571-1+EW$3)*20+卡牌属性!$DX571)</f>
        <v>16</v>
      </c>
      <c r="EX571" s="14">
        <f>INDEX(属性偏向!$T$4:$T$243,(卡牌属性!$DU571-1+EX$3)*20+卡牌属性!$DX571)</f>
        <v>5</v>
      </c>
      <c r="EY571" s="14">
        <f>INDEX(属性偏向!$T$4:$T$243,(卡牌属性!$DU571-1+EY$3)*20+卡牌属性!$DX571)</f>
        <v>6</v>
      </c>
      <c r="EZ571" s="14">
        <f>INDEX(属性偏向!$T$4:$T$243,(卡牌属性!$DU571-1+EZ$3)*20+卡牌属性!$DX571)</f>
        <v>6</v>
      </c>
      <c r="FA571" s="14">
        <f>INDEX(属性偏向!$T$4:$T$243,(卡牌属性!$DU571-1+FA$3)*20+卡牌属性!$DX571)</f>
        <v>8</v>
      </c>
      <c r="FB571" s="14">
        <f>INDEX(属性偏向!$T$4:$T$243,(卡牌属性!$DU571-1+FB$3)*20+卡牌属性!$DX571)</f>
        <v>8</v>
      </c>
      <c r="FC571" s="14">
        <f>INDEX(属性偏向!$U$4:$U$243,(卡牌属性!$DV571-1+FC$3)*20+卡牌属性!$DX571)</f>
        <v>80</v>
      </c>
      <c r="FD571" s="14">
        <f>INDEX(属性偏向!$U$4:$U$243,(卡牌属性!$DV571-1+FD$3)*20+卡牌属性!$DX571)</f>
        <v>96</v>
      </c>
      <c r="FE571" s="14">
        <f>INDEX(属性偏向!$U$4:$U$243,(卡牌属性!$DV571-1+FE$3)*20+卡牌属性!$DX571)</f>
        <v>96</v>
      </c>
      <c r="FF571" s="14">
        <f>INDEX(属性偏向!$U$4:$U$243,(卡牌属性!$DV571-1+FF$3)*20+卡牌属性!$DX571)</f>
        <v>120</v>
      </c>
      <c r="FG571" s="14">
        <f>INDEX(属性偏向!$U$4:$U$243,(卡牌属性!$DV571-1+FG$3)*20+卡牌属性!$DX571)</f>
        <v>128</v>
      </c>
      <c r="FH571" s="14">
        <f>INDEX(属性投放!$BQ$6:$BQ$85,(卡牌属性!$DW571-2)*20+卡牌属性!$DX571)</f>
        <v>100</v>
      </c>
      <c r="FI571" s="14">
        <f>INDEX(属性投放!$BQ$6:$BQ$85,(卡牌属性!$DW571-2)*20+卡牌属性!$DX571)</f>
        <v>100</v>
      </c>
      <c r="FJ571" s="14">
        <f>INDEX(属性投放!$BQ$6:$BQ$85,(卡牌属性!$DW571-2)*20+卡牌属性!$DX571)</f>
        <v>100</v>
      </c>
      <c r="FK571" s="14">
        <f>INDEX(属性投放!$BQ$6:$BQ$85,(卡牌属性!$DW571-2)*20+卡牌属性!$DX571)</f>
        <v>100</v>
      </c>
      <c r="FL571" s="14">
        <f>INDEX(属性投放!$BQ$6:$BQ$85,(卡牌属性!$DW571-2)*20+卡牌属性!$DX571)</f>
        <v>100</v>
      </c>
      <c r="FM571" s="14">
        <f>INDEX(属性投放!$BR$6:$BR$85,(卡牌属性!$DW571-2)*20+卡牌属性!$DX571)</f>
        <v>50</v>
      </c>
      <c r="FN571" s="14">
        <f>INDEX(属性投放!$BR$6:$BR$85,(卡牌属性!$DW571-2)*20+卡牌属性!$DX571)</f>
        <v>50</v>
      </c>
      <c r="FO571" s="14">
        <f>INDEX(属性投放!$BR$6:$BR$85,(卡牌属性!$DW571-2)*20+卡牌属性!$DX571)</f>
        <v>50</v>
      </c>
      <c r="FP571" s="14">
        <f>INDEX(属性投放!$BR$6:$BR$85,(卡牌属性!$DW571-2)*20+卡牌属性!$DX571)</f>
        <v>50</v>
      </c>
      <c r="FQ571" s="14">
        <f>INDEX(属性投放!$BR$6:$BR$85,(卡牌属性!$DW571-2)*20+卡牌属性!$DX571)</f>
        <v>50</v>
      </c>
      <c r="FR571" s="14">
        <f>INDEX(属性投放!$BS$6:$BS$85,(卡牌属性!$DW571-2)*20+卡牌属性!$DX571)</f>
        <v>800</v>
      </c>
      <c r="FS571" s="14">
        <f>INDEX(属性投放!$BS$6:$BS$85,(卡牌属性!$DW571-2)*20+卡牌属性!$DX571)</f>
        <v>800</v>
      </c>
      <c r="FT571" s="14">
        <f>INDEX(属性投放!$BS$6:$BS$85,(卡牌属性!$DW571-2)*20+卡牌属性!$DX571)</f>
        <v>800</v>
      </c>
      <c r="FU571" s="14">
        <f>INDEX(属性投放!$BS$6:$BS$85,(卡牌属性!$DW571-2)*20+卡牌属性!$DX571)</f>
        <v>800</v>
      </c>
      <c r="FV571" s="14">
        <f>INDEX(属性投放!$BS$6:$BS$85,(卡牌属性!$DW571-2)*20+卡牌属性!$DX571)</f>
        <v>800</v>
      </c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>
        <v>568</v>
      </c>
      <c r="BX572" s="13">
        <f t="shared" si="981"/>
        <v>29</v>
      </c>
      <c r="BY572" s="14">
        <f t="shared" si="982"/>
        <v>2</v>
      </c>
      <c r="BZ572" s="14">
        <f t="shared" si="919"/>
        <v>1102999</v>
      </c>
      <c r="CA572" s="14" t="str">
        <f t="shared" si="920"/>
        <v>R守护灵8突</v>
      </c>
      <c r="CB572" s="25" t="s">
        <v>142</v>
      </c>
      <c r="CC572" s="14">
        <v>2</v>
      </c>
      <c r="CD572" s="14">
        <f t="shared" si="917"/>
        <v>8</v>
      </c>
      <c r="CE572" s="14" t="s">
        <v>21</v>
      </c>
      <c r="CF572" s="14">
        <f>INDEX(属性投放!$AZ$6:$AZ$85,(BY572-2)*20+CD572)</f>
        <v>1336</v>
      </c>
      <c r="CG572" s="14" t="s">
        <v>22</v>
      </c>
      <c r="CH572" s="14">
        <f>INDEX(属性投放!$BA$6:$BA$85,(BY572-2)*20+CD572)</f>
        <v>624</v>
      </c>
      <c r="CI572" s="14" t="s">
        <v>510</v>
      </c>
      <c r="CJ572" s="14">
        <f>INDEX(属性投放!$BB$6:$BB$85,(BY572-2)*20+CD572)</f>
        <v>8862</v>
      </c>
      <c r="CK572" s="14" t="s">
        <v>21</v>
      </c>
      <c r="CL572" s="14">
        <f>INDEX(属性投放!$BC$6:$BC$85,(BY572-2)*20+CD572)</f>
        <v>10</v>
      </c>
      <c r="CM572" s="14" t="s">
        <v>22</v>
      </c>
      <c r="CN572" s="14">
        <f>INDEX(属性投放!$BD$6:$BD$85,(BY572-2)*20+CD572)</f>
        <v>5</v>
      </c>
      <c r="CO572" s="14" t="s">
        <v>510</v>
      </c>
      <c r="CP572" s="14">
        <f>INDEX(属性投放!$BE$6:$BE$85,(BY572-2)*20+CD572)</f>
        <v>80</v>
      </c>
      <c r="CS572" s="13">
        <v>568</v>
      </c>
      <c r="CT572" s="13">
        <f t="shared" si="921"/>
        <v>11</v>
      </c>
      <c r="CU572" s="13">
        <f t="shared" si="922"/>
        <v>48</v>
      </c>
      <c r="CV572" s="14">
        <f t="shared" si="923"/>
        <v>4</v>
      </c>
      <c r="CW572" s="14">
        <f t="shared" si="924"/>
        <v>1102011</v>
      </c>
      <c r="CX572" s="14" t="str">
        <f>INDEX($O$6:$O$50,CT572)&amp;"-"&amp;INDEX(属性投放!$AB$7:$AB$50,CZ572)&amp;"-魂火-"&amp;DB572</f>
        <v>张飞-无间-魂火-3</v>
      </c>
      <c r="CY572" s="25" t="s">
        <v>142</v>
      </c>
      <c r="CZ572" s="14">
        <f>INDEX(属性投放!$AM$7:$AM$58,CU572)</f>
        <v>19</v>
      </c>
      <c r="DA572" s="14" t="s">
        <v>537</v>
      </c>
      <c r="DB572" s="14">
        <f>INDEX(属性投放!$AN$7:$AN$58,CU572)</f>
        <v>3</v>
      </c>
      <c r="DC572" s="14">
        <f t="shared" si="918"/>
        <v>48</v>
      </c>
      <c r="DD572" s="14">
        <f>INDEX(属性投放!$AO$7:$AO$58,DC572)</f>
        <v>138</v>
      </c>
      <c r="DE572" s="14" t="s">
        <v>538</v>
      </c>
      <c r="DF572" s="14">
        <f>INDEX(属性投放!$BK$6:$BK$85,(CV572-2)*20+CZ572)</f>
        <v>900</v>
      </c>
      <c r="DG572" s="14">
        <f>SUMIFS(DF$5:DF572,$CT$5:$CT572,"="&amp;$CT572)</f>
        <v>14335</v>
      </c>
      <c r="DH572" s="14" t="s">
        <v>539</v>
      </c>
      <c r="DI572" s="14">
        <f>INDEX(属性投放!$BL$6:$BL$85,(CV572-2)*20+CZ572)</f>
        <v>450</v>
      </c>
      <c r="DJ572" s="14">
        <f>SUMIFS(DI$5:DI572,$CT$5:$CT572,"="&amp;$CT572)</f>
        <v>7177</v>
      </c>
      <c r="DK572" s="14" t="s">
        <v>540</v>
      </c>
      <c r="DL572" s="14">
        <f>INDEX(属性投放!$BM$6:$BM$85,(CV572-2)*20+CZ572)</f>
        <v>9000</v>
      </c>
      <c r="DM572" s="14">
        <f>SUMIFS(DL$5:DL572,$CT$5:$CT572,"="&amp;$CT572)</f>
        <v>138785</v>
      </c>
      <c r="DR572" s="14">
        <f t="shared" si="983"/>
        <v>1102999</v>
      </c>
      <c r="DS572" s="14" t="str">
        <f t="shared" si="984"/>
        <v>R守护灵8突</v>
      </c>
      <c r="DT572" s="14">
        <f t="shared" si="925"/>
        <v>3</v>
      </c>
      <c r="DU572" s="14">
        <f t="shared" si="926"/>
        <v>3</v>
      </c>
      <c r="DV572" s="14">
        <f t="shared" si="927"/>
        <v>3</v>
      </c>
      <c r="DW572" s="14">
        <f t="shared" si="985"/>
        <v>2</v>
      </c>
      <c r="DX572" s="14">
        <f t="shared" si="986"/>
        <v>8</v>
      </c>
      <c r="DY572" s="14">
        <f t="shared" si="987"/>
        <v>8</v>
      </c>
      <c r="DZ572" s="14">
        <f>INDEX(属性投放!$AX$6:$AX$85,(卡牌属性!DW572-2)*20+卡牌属性!DX572)</f>
        <v>5</v>
      </c>
      <c r="EA572" s="14">
        <f>INDEX(属性投放!BQ$6:BQ$85,卡牌属性!$DY572)</f>
        <v>100</v>
      </c>
      <c r="EB572" s="14">
        <f>INDEX(属性投放!BR$6:BR$85,卡牌属性!$DY572)</f>
        <v>50</v>
      </c>
      <c r="EC572" s="14">
        <f>INDEX(属性投放!BS$6:BS$85,卡牌属性!$DY572)</f>
        <v>800</v>
      </c>
      <c r="ED572" s="14">
        <f t="shared" si="988"/>
        <v>911</v>
      </c>
      <c r="EE572" s="14">
        <f t="shared" si="989"/>
        <v>1034</v>
      </c>
      <c r="EF572" s="14">
        <f t="shared" si="990"/>
        <v>1166</v>
      </c>
      <c r="EG572" s="14">
        <f t="shared" si="991"/>
        <v>1166</v>
      </c>
      <c r="EH572" s="14">
        <f t="shared" si="992"/>
        <v>1266</v>
      </c>
      <c r="EI572" s="14">
        <f t="shared" si="993"/>
        <v>418</v>
      </c>
      <c r="EJ572" s="14">
        <f t="shared" si="994"/>
        <v>475</v>
      </c>
      <c r="EK572" s="14">
        <f t="shared" si="995"/>
        <v>475</v>
      </c>
      <c r="EL572" s="14">
        <f t="shared" si="996"/>
        <v>541</v>
      </c>
      <c r="EM572" s="14">
        <f t="shared" si="997"/>
        <v>597</v>
      </c>
      <c r="EN572" s="14">
        <f t="shared" si="998"/>
        <v>5882</v>
      </c>
      <c r="EO572" s="14">
        <f t="shared" si="999"/>
        <v>6634</v>
      </c>
      <c r="EP572" s="14">
        <f t="shared" si="1000"/>
        <v>6634</v>
      </c>
      <c r="EQ572" s="14">
        <f t="shared" si="1001"/>
        <v>7450</v>
      </c>
      <c r="ER572" s="14">
        <f t="shared" si="1002"/>
        <v>8082</v>
      </c>
      <c r="ES572" s="14">
        <f>INDEX(属性偏向!$S$4:$S$243,(卡牌属性!$DT572-1+ES$3)*20+卡牌属性!$DX572)</f>
        <v>10</v>
      </c>
      <c r="ET572" s="14">
        <f>INDEX(属性偏向!$S$4:$S$243,(卡牌属性!$DT572-1+ET$3)*20+卡牌属性!$DX572)</f>
        <v>12</v>
      </c>
      <c r="EU572" s="14">
        <f>INDEX(属性偏向!$S$4:$S$243,(卡牌属性!$DT572-1+EU$3)*20+卡牌属性!$DX572)</f>
        <v>15</v>
      </c>
      <c r="EV572" s="14">
        <f>INDEX(属性偏向!$S$4:$S$243,(卡牌属性!$DT572-1+EV$3)*20+卡牌属性!$DX572)</f>
        <v>15</v>
      </c>
      <c r="EW572" s="14">
        <f>INDEX(属性偏向!$S$4:$S$243,(卡牌属性!$DT572-1+EW$3)*20+卡牌属性!$DX572)</f>
        <v>16</v>
      </c>
      <c r="EX572" s="14">
        <f>INDEX(属性偏向!$T$4:$T$243,(卡牌属性!$DU572-1+EX$3)*20+卡牌属性!$DX572)</f>
        <v>5</v>
      </c>
      <c r="EY572" s="14">
        <f>INDEX(属性偏向!$T$4:$T$243,(卡牌属性!$DU572-1+EY$3)*20+卡牌属性!$DX572)</f>
        <v>6</v>
      </c>
      <c r="EZ572" s="14">
        <f>INDEX(属性偏向!$T$4:$T$243,(卡牌属性!$DU572-1+EZ$3)*20+卡牌属性!$DX572)</f>
        <v>6</v>
      </c>
      <c r="FA572" s="14">
        <f>INDEX(属性偏向!$T$4:$T$243,(卡牌属性!$DU572-1+FA$3)*20+卡牌属性!$DX572)</f>
        <v>8</v>
      </c>
      <c r="FB572" s="14">
        <f>INDEX(属性偏向!$T$4:$T$243,(卡牌属性!$DU572-1+FB$3)*20+卡牌属性!$DX572)</f>
        <v>8</v>
      </c>
      <c r="FC572" s="14">
        <f>INDEX(属性偏向!$U$4:$U$243,(卡牌属性!$DV572-1+FC$3)*20+卡牌属性!$DX572)</f>
        <v>80</v>
      </c>
      <c r="FD572" s="14">
        <f>INDEX(属性偏向!$U$4:$U$243,(卡牌属性!$DV572-1+FD$3)*20+卡牌属性!$DX572)</f>
        <v>96</v>
      </c>
      <c r="FE572" s="14">
        <f>INDEX(属性偏向!$U$4:$U$243,(卡牌属性!$DV572-1+FE$3)*20+卡牌属性!$DX572)</f>
        <v>96</v>
      </c>
      <c r="FF572" s="14">
        <f>INDEX(属性偏向!$U$4:$U$243,(卡牌属性!$DV572-1+FF$3)*20+卡牌属性!$DX572)</f>
        <v>120</v>
      </c>
      <c r="FG572" s="14">
        <f>INDEX(属性偏向!$U$4:$U$243,(卡牌属性!$DV572-1+FG$3)*20+卡牌属性!$DX572)</f>
        <v>128</v>
      </c>
      <c r="FH572" s="14">
        <f>INDEX(属性投放!$BQ$6:$BQ$85,(卡牌属性!$DW572-2)*20+卡牌属性!$DX572)</f>
        <v>100</v>
      </c>
      <c r="FI572" s="14">
        <f>INDEX(属性投放!$BQ$6:$BQ$85,(卡牌属性!$DW572-2)*20+卡牌属性!$DX572)</f>
        <v>100</v>
      </c>
      <c r="FJ572" s="14">
        <f>INDEX(属性投放!$BQ$6:$BQ$85,(卡牌属性!$DW572-2)*20+卡牌属性!$DX572)</f>
        <v>100</v>
      </c>
      <c r="FK572" s="14">
        <f>INDEX(属性投放!$BQ$6:$BQ$85,(卡牌属性!$DW572-2)*20+卡牌属性!$DX572)</f>
        <v>100</v>
      </c>
      <c r="FL572" s="14">
        <f>INDEX(属性投放!$BQ$6:$BQ$85,(卡牌属性!$DW572-2)*20+卡牌属性!$DX572)</f>
        <v>100</v>
      </c>
      <c r="FM572" s="14">
        <f>INDEX(属性投放!$BR$6:$BR$85,(卡牌属性!$DW572-2)*20+卡牌属性!$DX572)</f>
        <v>50</v>
      </c>
      <c r="FN572" s="14">
        <f>INDEX(属性投放!$BR$6:$BR$85,(卡牌属性!$DW572-2)*20+卡牌属性!$DX572)</f>
        <v>50</v>
      </c>
      <c r="FO572" s="14">
        <f>INDEX(属性投放!$BR$6:$BR$85,(卡牌属性!$DW572-2)*20+卡牌属性!$DX572)</f>
        <v>50</v>
      </c>
      <c r="FP572" s="14">
        <f>INDEX(属性投放!$BR$6:$BR$85,(卡牌属性!$DW572-2)*20+卡牌属性!$DX572)</f>
        <v>50</v>
      </c>
      <c r="FQ572" s="14">
        <f>INDEX(属性投放!$BR$6:$BR$85,(卡牌属性!$DW572-2)*20+卡牌属性!$DX572)</f>
        <v>50</v>
      </c>
      <c r="FR572" s="14">
        <f>INDEX(属性投放!$BS$6:$BS$85,(卡牌属性!$DW572-2)*20+卡牌属性!$DX572)</f>
        <v>800</v>
      </c>
      <c r="FS572" s="14">
        <f>INDEX(属性投放!$BS$6:$BS$85,(卡牌属性!$DW572-2)*20+卡牌属性!$DX572)</f>
        <v>800</v>
      </c>
      <c r="FT572" s="14">
        <f>INDEX(属性投放!$BS$6:$BS$85,(卡牌属性!$DW572-2)*20+卡牌属性!$DX572)</f>
        <v>800</v>
      </c>
      <c r="FU572" s="14">
        <f>INDEX(属性投放!$BS$6:$BS$85,(卡牌属性!$DW572-2)*20+卡牌属性!$DX572)</f>
        <v>800</v>
      </c>
      <c r="FV572" s="14">
        <f>INDEX(属性投放!$BS$6:$BS$85,(卡牌属性!$DW572-2)*20+卡牌属性!$DX572)</f>
        <v>800</v>
      </c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>
        <v>569</v>
      </c>
      <c r="BX573" s="13">
        <f t="shared" si="981"/>
        <v>29</v>
      </c>
      <c r="BY573" s="14">
        <f t="shared" si="982"/>
        <v>2</v>
      </c>
      <c r="BZ573" s="14">
        <f t="shared" si="919"/>
        <v>1102999</v>
      </c>
      <c r="CA573" s="14" t="str">
        <f t="shared" si="920"/>
        <v>R守护灵9突</v>
      </c>
      <c r="CB573" s="25" t="s">
        <v>142</v>
      </c>
      <c r="CC573" s="14">
        <v>2</v>
      </c>
      <c r="CD573" s="14">
        <f t="shared" si="917"/>
        <v>9</v>
      </c>
      <c r="CE573" s="14" t="s">
        <v>21</v>
      </c>
      <c r="CF573" s="14">
        <f>INDEX(属性投放!$AZ$6:$AZ$85,(BY573-2)*20+CD573)</f>
        <v>1626</v>
      </c>
      <c r="CG573" s="14" t="s">
        <v>22</v>
      </c>
      <c r="CH573" s="14">
        <f>INDEX(属性投放!$BA$6:$BA$85,(BY573-2)*20+CD573)</f>
        <v>769</v>
      </c>
      <c r="CI573" s="14" t="s">
        <v>510</v>
      </c>
      <c r="CJ573" s="14">
        <f>INDEX(属性投放!$BB$6:$BB$85,(BY573-2)*20+CD573)</f>
        <v>11182</v>
      </c>
      <c r="CK573" s="14" t="s">
        <v>21</v>
      </c>
      <c r="CL573" s="14">
        <f>INDEX(属性投放!$BC$6:$BC$85,(BY573-2)*20+CD573)</f>
        <v>10</v>
      </c>
      <c r="CM573" s="14" t="s">
        <v>22</v>
      </c>
      <c r="CN573" s="14">
        <f>INDEX(属性投放!$BD$6:$BD$85,(BY573-2)*20+CD573)</f>
        <v>5</v>
      </c>
      <c r="CO573" s="14" t="s">
        <v>510</v>
      </c>
      <c r="CP573" s="14">
        <f>INDEX(属性投放!$BE$6:$BE$85,(BY573-2)*20+CD573)</f>
        <v>80</v>
      </c>
      <c r="CS573" s="13">
        <v>569</v>
      </c>
      <c r="CT573" s="13">
        <f t="shared" si="921"/>
        <v>11</v>
      </c>
      <c r="CU573" s="13">
        <f t="shared" si="922"/>
        <v>49</v>
      </c>
      <c r="CV573" s="14">
        <f t="shared" si="923"/>
        <v>4</v>
      </c>
      <c r="CW573" s="14">
        <f t="shared" si="924"/>
        <v>1102011</v>
      </c>
      <c r="CX573" s="14" t="str">
        <f>INDEX($O$6:$O$50,CT573)&amp;"-"&amp;INDEX(属性投放!$AB$7:$AB$50,CZ573)&amp;"-魂火-"&amp;DB573</f>
        <v>张飞-无间+1-魂火-1</v>
      </c>
      <c r="CY573" s="25" t="s">
        <v>142</v>
      </c>
      <c r="CZ573" s="14">
        <f>INDEX(属性投放!$AM$7:$AM$58,CU573)</f>
        <v>20</v>
      </c>
      <c r="DA573" s="14" t="s">
        <v>537</v>
      </c>
      <c r="DB573" s="14">
        <f>INDEX(属性投放!$AN$7:$AN$58,CU573)</f>
        <v>1</v>
      </c>
      <c r="DC573" s="14">
        <f t="shared" si="918"/>
        <v>49</v>
      </c>
      <c r="DD573" s="14">
        <f>INDEX(属性投放!$AO$7:$AO$58,DC573)</f>
        <v>140</v>
      </c>
      <c r="DE573" s="14" t="s">
        <v>538</v>
      </c>
      <c r="DF573" s="14">
        <f>INDEX(属性投放!$BK$6:$BK$85,(CV573-2)*20+CZ573)</f>
        <v>1000</v>
      </c>
      <c r="DG573" s="14">
        <f>SUMIFS(DF$5:DF573,$CT$5:$CT573,"="&amp;$CT573)</f>
        <v>15335</v>
      </c>
      <c r="DH573" s="14" t="s">
        <v>539</v>
      </c>
      <c r="DI573" s="14">
        <f>INDEX(属性投放!$BL$6:$BL$85,(CV573-2)*20+CZ573)</f>
        <v>500</v>
      </c>
      <c r="DJ573" s="14">
        <f>SUMIFS(DI$5:DI573,$CT$5:$CT573,"="&amp;$CT573)</f>
        <v>7677</v>
      </c>
      <c r="DK573" s="14" t="s">
        <v>540</v>
      </c>
      <c r="DL573" s="14">
        <f>INDEX(属性投放!$BM$6:$BM$85,(CV573-2)*20+CZ573)</f>
        <v>10000</v>
      </c>
      <c r="DM573" s="14">
        <f>SUMIFS(DL$5:DL573,$CT$5:$CT573,"="&amp;$CT573)</f>
        <v>148785</v>
      </c>
      <c r="DR573" s="14">
        <f t="shared" si="983"/>
        <v>1102999</v>
      </c>
      <c r="DS573" s="14" t="str">
        <f t="shared" si="984"/>
        <v>R守护灵9突</v>
      </c>
      <c r="DT573" s="14">
        <f t="shared" si="925"/>
        <v>3</v>
      </c>
      <c r="DU573" s="14">
        <f t="shared" si="926"/>
        <v>3</v>
      </c>
      <c r="DV573" s="14">
        <f t="shared" si="927"/>
        <v>3</v>
      </c>
      <c r="DW573" s="14">
        <f t="shared" si="985"/>
        <v>2</v>
      </c>
      <c r="DX573" s="14">
        <f t="shared" si="986"/>
        <v>9</v>
      </c>
      <c r="DY573" s="14">
        <f t="shared" si="987"/>
        <v>9</v>
      </c>
      <c r="DZ573" s="14">
        <f>INDEX(属性投放!$AX$6:$AX$85,(卡牌属性!DW573-2)*20+卡牌属性!DX573)</f>
        <v>8</v>
      </c>
      <c r="EA573" s="14">
        <f>INDEX(属性投放!BQ$6:BQ$85,卡牌属性!$DY573)</f>
        <v>150</v>
      </c>
      <c r="EB573" s="14">
        <f>INDEX(属性投放!BR$6:BR$85,卡牌属性!$DY573)</f>
        <v>75</v>
      </c>
      <c r="EC573" s="14">
        <f>INDEX(属性投放!BS$6:BS$85,卡牌属性!$DY573)</f>
        <v>1200</v>
      </c>
      <c r="ED573" s="14">
        <f t="shared" si="988"/>
        <v>1061</v>
      </c>
      <c r="EE573" s="14">
        <f t="shared" si="989"/>
        <v>1194</v>
      </c>
      <c r="EF573" s="14">
        <f t="shared" si="990"/>
        <v>1341</v>
      </c>
      <c r="EG573" s="14">
        <f t="shared" si="991"/>
        <v>1341</v>
      </c>
      <c r="EH573" s="14">
        <f t="shared" si="992"/>
        <v>1446</v>
      </c>
      <c r="EI573" s="14">
        <f t="shared" si="993"/>
        <v>493</v>
      </c>
      <c r="EJ573" s="14">
        <f t="shared" si="994"/>
        <v>555</v>
      </c>
      <c r="EK573" s="14">
        <f t="shared" si="995"/>
        <v>555</v>
      </c>
      <c r="EL573" s="14">
        <f t="shared" si="996"/>
        <v>631</v>
      </c>
      <c r="EM573" s="14">
        <f t="shared" si="997"/>
        <v>687</v>
      </c>
      <c r="EN573" s="14">
        <f t="shared" si="998"/>
        <v>7082</v>
      </c>
      <c r="EO573" s="14">
        <f t="shared" si="999"/>
        <v>7914</v>
      </c>
      <c r="EP573" s="14">
        <f t="shared" si="1000"/>
        <v>7914</v>
      </c>
      <c r="EQ573" s="14">
        <f t="shared" si="1001"/>
        <v>8850</v>
      </c>
      <c r="ER573" s="14">
        <f t="shared" si="1002"/>
        <v>9522</v>
      </c>
      <c r="ES573" s="14">
        <f>INDEX(属性偏向!$S$4:$S$243,(卡牌属性!$DT573-1+ES$3)*20+卡牌属性!$DX573)</f>
        <v>10</v>
      </c>
      <c r="ET573" s="14">
        <f>INDEX(属性偏向!$S$4:$S$243,(卡牌属性!$DT573-1+ET$3)*20+卡牌属性!$DX573)</f>
        <v>12</v>
      </c>
      <c r="EU573" s="14">
        <f>INDEX(属性偏向!$S$4:$S$243,(卡牌属性!$DT573-1+EU$3)*20+卡牌属性!$DX573)</f>
        <v>15</v>
      </c>
      <c r="EV573" s="14">
        <f>INDEX(属性偏向!$S$4:$S$243,(卡牌属性!$DT573-1+EV$3)*20+卡牌属性!$DX573)</f>
        <v>15</v>
      </c>
      <c r="EW573" s="14">
        <f>INDEX(属性偏向!$S$4:$S$243,(卡牌属性!$DT573-1+EW$3)*20+卡牌属性!$DX573)</f>
        <v>16</v>
      </c>
      <c r="EX573" s="14">
        <f>INDEX(属性偏向!$T$4:$T$243,(卡牌属性!$DU573-1+EX$3)*20+卡牌属性!$DX573)</f>
        <v>5</v>
      </c>
      <c r="EY573" s="14">
        <f>INDEX(属性偏向!$T$4:$T$243,(卡牌属性!$DU573-1+EY$3)*20+卡牌属性!$DX573)</f>
        <v>6</v>
      </c>
      <c r="EZ573" s="14">
        <f>INDEX(属性偏向!$T$4:$T$243,(卡牌属性!$DU573-1+EZ$3)*20+卡牌属性!$DX573)</f>
        <v>6</v>
      </c>
      <c r="FA573" s="14">
        <f>INDEX(属性偏向!$T$4:$T$243,(卡牌属性!$DU573-1+FA$3)*20+卡牌属性!$DX573)</f>
        <v>8</v>
      </c>
      <c r="FB573" s="14">
        <f>INDEX(属性偏向!$T$4:$T$243,(卡牌属性!$DU573-1+FB$3)*20+卡牌属性!$DX573)</f>
        <v>8</v>
      </c>
      <c r="FC573" s="14">
        <f>INDEX(属性偏向!$U$4:$U$243,(卡牌属性!$DV573-1+FC$3)*20+卡牌属性!$DX573)</f>
        <v>80</v>
      </c>
      <c r="FD573" s="14">
        <f>INDEX(属性偏向!$U$4:$U$243,(卡牌属性!$DV573-1+FD$3)*20+卡牌属性!$DX573)</f>
        <v>96</v>
      </c>
      <c r="FE573" s="14">
        <f>INDEX(属性偏向!$U$4:$U$243,(卡牌属性!$DV573-1+FE$3)*20+卡牌属性!$DX573)</f>
        <v>96</v>
      </c>
      <c r="FF573" s="14">
        <f>INDEX(属性偏向!$U$4:$U$243,(卡牌属性!$DV573-1+FF$3)*20+卡牌属性!$DX573)</f>
        <v>120</v>
      </c>
      <c r="FG573" s="14">
        <f>INDEX(属性偏向!$U$4:$U$243,(卡牌属性!$DV573-1+FG$3)*20+卡牌属性!$DX573)</f>
        <v>128</v>
      </c>
      <c r="FH573" s="14">
        <f>INDEX(属性投放!$BQ$6:$BQ$85,(卡牌属性!$DW573-2)*20+卡牌属性!$DX573)</f>
        <v>150</v>
      </c>
      <c r="FI573" s="14">
        <f>INDEX(属性投放!$BQ$6:$BQ$85,(卡牌属性!$DW573-2)*20+卡牌属性!$DX573)</f>
        <v>150</v>
      </c>
      <c r="FJ573" s="14">
        <f>INDEX(属性投放!$BQ$6:$BQ$85,(卡牌属性!$DW573-2)*20+卡牌属性!$DX573)</f>
        <v>150</v>
      </c>
      <c r="FK573" s="14">
        <f>INDEX(属性投放!$BQ$6:$BQ$85,(卡牌属性!$DW573-2)*20+卡牌属性!$DX573)</f>
        <v>150</v>
      </c>
      <c r="FL573" s="14">
        <f>INDEX(属性投放!$BQ$6:$BQ$85,(卡牌属性!$DW573-2)*20+卡牌属性!$DX573)</f>
        <v>150</v>
      </c>
      <c r="FM573" s="14">
        <f>INDEX(属性投放!$BR$6:$BR$85,(卡牌属性!$DW573-2)*20+卡牌属性!$DX573)</f>
        <v>75</v>
      </c>
      <c r="FN573" s="14">
        <f>INDEX(属性投放!$BR$6:$BR$85,(卡牌属性!$DW573-2)*20+卡牌属性!$DX573)</f>
        <v>75</v>
      </c>
      <c r="FO573" s="14">
        <f>INDEX(属性投放!$BR$6:$BR$85,(卡牌属性!$DW573-2)*20+卡牌属性!$DX573)</f>
        <v>75</v>
      </c>
      <c r="FP573" s="14">
        <f>INDEX(属性投放!$BR$6:$BR$85,(卡牌属性!$DW573-2)*20+卡牌属性!$DX573)</f>
        <v>75</v>
      </c>
      <c r="FQ573" s="14">
        <f>INDEX(属性投放!$BR$6:$BR$85,(卡牌属性!$DW573-2)*20+卡牌属性!$DX573)</f>
        <v>75</v>
      </c>
      <c r="FR573" s="14">
        <f>INDEX(属性投放!$BS$6:$BS$85,(卡牌属性!$DW573-2)*20+卡牌属性!$DX573)</f>
        <v>1200</v>
      </c>
      <c r="FS573" s="14">
        <f>INDEX(属性投放!$BS$6:$BS$85,(卡牌属性!$DW573-2)*20+卡牌属性!$DX573)</f>
        <v>1200</v>
      </c>
      <c r="FT573" s="14">
        <f>INDEX(属性投放!$BS$6:$BS$85,(卡牌属性!$DW573-2)*20+卡牌属性!$DX573)</f>
        <v>1200</v>
      </c>
      <c r="FU573" s="14">
        <f>INDEX(属性投放!$BS$6:$BS$85,(卡牌属性!$DW573-2)*20+卡牌属性!$DX573)</f>
        <v>1200</v>
      </c>
      <c r="FV573" s="14">
        <f>INDEX(属性投放!$BS$6:$BS$85,(卡牌属性!$DW573-2)*20+卡牌属性!$DX573)</f>
        <v>1200</v>
      </c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>
        <v>570</v>
      </c>
      <c r="BX574" s="13">
        <f t="shared" si="981"/>
        <v>29</v>
      </c>
      <c r="BY574" s="14">
        <f t="shared" si="982"/>
        <v>2</v>
      </c>
      <c r="BZ574" s="14">
        <f t="shared" si="919"/>
        <v>1102999</v>
      </c>
      <c r="CA574" s="14" t="str">
        <f t="shared" si="920"/>
        <v>R守护灵10突</v>
      </c>
      <c r="CB574" s="25" t="s">
        <v>142</v>
      </c>
      <c r="CC574" s="14">
        <v>2</v>
      </c>
      <c r="CD574" s="14">
        <f t="shared" si="917"/>
        <v>10</v>
      </c>
      <c r="CE574" s="14" t="s">
        <v>21</v>
      </c>
      <c r="CF574" s="14">
        <f>INDEX(属性投放!$AZ$6:$AZ$85,(BY574-2)*20+CD574)</f>
        <v>2096</v>
      </c>
      <c r="CG574" s="14" t="s">
        <v>22</v>
      </c>
      <c r="CH574" s="14">
        <f>INDEX(属性投放!$BA$6:$BA$85,(BY574-2)*20+CD574)</f>
        <v>1004</v>
      </c>
      <c r="CI574" s="14" t="s">
        <v>510</v>
      </c>
      <c r="CJ574" s="14">
        <f>INDEX(属性投放!$BB$6:$BB$85,(BY574-2)*20+CD574)</f>
        <v>14942</v>
      </c>
      <c r="CK574" s="14" t="s">
        <v>21</v>
      </c>
      <c r="CL574" s="14">
        <f>INDEX(属性投放!$BC$6:$BC$85,(BY574-2)*20+CD574)</f>
        <v>12</v>
      </c>
      <c r="CM574" s="14" t="s">
        <v>22</v>
      </c>
      <c r="CN574" s="14">
        <f>INDEX(属性投放!$BD$6:$BD$85,(BY574-2)*20+CD574)</f>
        <v>6</v>
      </c>
      <c r="CO574" s="14" t="s">
        <v>510</v>
      </c>
      <c r="CP574" s="14">
        <f>INDEX(属性投放!$BE$6:$BE$85,(BY574-2)*20+CD574)</f>
        <v>108</v>
      </c>
      <c r="CS574" s="13">
        <v>570</v>
      </c>
      <c r="CT574" s="13">
        <f t="shared" si="921"/>
        <v>11</v>
      </c>
      <c r="CU574" s="13">
        <f t="shared" si="922"/>
        <v>50</v>
      </c>
      <c r="CV574" s="14">
        <f t="shared" si="923"/>
        <v>4</v>
      </c>
      <c r="CW574" s="14">
        <f t="shared" si="924"/>
        <v>1102011</v>
      </c>
      <c r="CX574" s="14" t="str">
        <f>INDEX($O$6:$O$50,CT574)&amp;"-"&amp;INDEX(属性投放!$AB$7:$AB$50,CZ574)&amp;"-魂火-"&amp;DB574</f>
        <v>张飞-无间+1-魂火-2</v>
      </c>
      <c r="CY574" s="25" t="s">
        <v>142</v>
      </c>
      <c r="CZ574" s="14">
        <f>INDEX(属性投放!$AM$7:$AM$58,CU574)</f>
        <v>20</v>
      </c>
      <c r="DA574" s="14" t="s">
        <v>537</v>
      </c>
      <c r="DB574" s="14">
        <f>INDEX(属性投放!$AN$7:$AN$58,CU574)</f>
        <v>2</v>
      </c>
      <c r="DC574" s="14">
        <f t="shared" si="918"/>
        <v>50</v>
      </c>
      <c r="DD574" s="14">
        <f>INDEX(属性投放!$AO$7:$AO$58,DC574)</f>
        <v>143</v>
      </c>
      <c r="DE574" s="14" t="s">
        <v>538</v>
      </c>
      <c r="DF574" s="14">
        <f>INDEX(属性投放!$BK$6:$BK$85,(CV574-2)*20+CZ574)</f>
        <v>1000</v>
      </c>
      <c r="DG574" s="14">
        <f>SUMIFS(DF$5:DF574,$CT$5:$CT574,"="&amp;$CT574)</f>
        <v>16335</v>
      </c>
      <c r="DH574" s="14" t="s">
        <v>539</v>
      </c>
      <c r="DI574" s="14">
        <f>INDEX(属性投放!$BL$6:$BL$85,(CV574-2)*20+CZ574)</f>
        <v>500</v>
      </c>
      <c r="DJ574" s="14">
        <f>SUMIFS(DI$5:DI574,$CT$5:$CT574,"="&amp;$CT574)</f>
        <v>8177</v>
      </c>
      <c r="DK574" s="14" t="s">
        <v>540</v>
      </c>
      <c r="DL574" s="14">
        <f>INDEX(属性投放!$BM$6:$BM$85,(CV574-2)*20+CZ574)</f>
        <v>10000</v>
      </c>
      <c r="DM574" s="14">
        <f>SUMIFS(DL$5:DL574,$CT$5:$CT574,"="&amp;$CT574)</f>
        <v>158785</v>
      </c>
      <c r="DR574" s="14">
        <f t="shared" si="983"/>
        <v>1102999</v>
      </c>
      <c r="DS574" s="14" t="str">
        <f t="shared" si="984"/>
        <v>R守护灵10突</v>
      </c>
      <c r="DT574" s="14">
        <f t="shared" si="925"/>
        <v>3</v>
      </c>
      <c r="DU574" s="14">
        <f t="shared" si="926"/>
        <v>3</v>
      </c>
      <c r="DV574" s="14">
        <f t="shared" si="927"/>
        <v>3</v>
      </c>
      <c r="DW574" s="14">
        <f t="shared" si="985"/>
        <v>2</v>
      </c>
      <c r="DX574" s="14">
        <f t="shared" si="986"/>
        <v>10</v>
      </c>
      <c r="DY574" s="14">
        <f t="shared" si="987"/>
        <v>10</v>
      </c>
      <c r="DZ574" s="14">
        <f>INDEX(属性投放!$AX$6:$AX$85,(卡牌属性!DW574-2)*20+卡牌属性!DX574)</f>
        <v>7</v>
      </c>
      <c r="EA574" s="14">
        <f>INDEX(属性投放!BQ$6:BQ$85,卡牌属性!$DY574)</f>
        <v>160</v>
      </c>
      <c r="EB574" s="14">
        <f>INDEX(属性投放!BR$6:BR$85,卡牌属性!$DY574)</f>
        <v>80</v>
      </c>
      <c r="EC574" s="14">
        <f>INDEX(属性投放!BS$6:BS$85,卡牌属性!$DY574)</f>
        <v>1440</v>
      </c>
      <c r="ED574" s="14">
        <f t="shared" si="988"/>
        <v>1291</v>
      </c>
      <c r="EE574" s="14">
        <f t="shared" si="989"/>
        <v>1440</v>
      </c>
      <c r="EF574" s="14">
        <f t="shared" si="990"/>
        <v>1611</v>
      </c>
      <c r="EG574" s="14">
        <f t="shared" si="991"/>
        <v>1611</v>
      </c>
      <c r="EH574" s="14">
        <f t="shared" si="992"/>
        <v>1724</v>
      </c>
      <c r="EI574" s="14">
        <f t="shared" si="993"/>
        <v>608</v>
      </c>
      <c r="EJ574" s="14">
        <f t="shared" si="994"/>
        <v>678</v>
      </c>
      <c r="EK574" s="14">
        <f t="shared" si="995"/>
        <v>678</v>
      </c>
      <c r="EL574" s="14">
        <f t="shared" si="996"/>
        <v>770</v>
      </c>
      <c r="EM574" s="14">
        <f t="shared" si="997"/>
        <v>826</v>
      </c>
      <c r="EN574" s="14">
        <f t="shared" si="998"/>
        <v>8922</v>
      </c>
      <c r="EO574" s="14">
        <f t="shared" si="999"/>
        <v>9882</v>
      </c>
      <c r="EP574" s="14">
        <f t="shared" si="1000"/>
        <v>9882</v>
      </c>
      <c r="EQ574" s="14">
        <f t="shared" si="1001"/>
        <v>11010</v>
      </c>
      <c r="ER574" s="14">
        <f t="shared" si="1002"/>
        <v>11746</v>
      </c>
      <c r="ES574" s="14">
        <f>INDEX(属性偏向!$S$4:$S$243,(卡牌属性!$DT574-1+ES$3)*20+卡牌属性!$DX574)</f>
        <v>12</v>
      </c>
      <c r="ET574" s="14">
        <f>INDEX(属性偏向!$S$4:$S$243,(卡牌属性!$DT574-1+ET$3)*20+卡牌属性!$DX574)</f>
        <v>15</v>
      </c>
      <c r="EU574" s="14">
        <f>INDEX(属性偏向!$S$4:$S$243,(卡牌属性!$DT574-1+EU$3)*20+卡牌属性!$DX574)</f>
        <v>20</v>
      </c>
      <c r="EV574" s="14">
        <f>INDEX(属性偏向!$S$4:$S$243,(卡牌属性!$DT574-1+EV$3)*20+卡牌属性!$DX574)</f>
        <v>20</v>
      </c>
      <c r="EW574" s="14">
        <f>INDEX(属性偏向!$S$4:$S$243,(卡牌属性!$DT574-1+EW$3)*20+卡牌属性!$DX574)</f>
        <v>21</v>
      </c>
      <c r="EX574" s="14">
        <f>INDEX(属性偏向!$T$4:$T$243,(卡牌属性!$DU574-1+EX$3)*20+卡牌属性!$DX574)</f>
        <v>6</v>
      </c>
      <c r="EY574" s="14">
        <f>INDEX(属性偏向!$T$4:$T$243,(卡牌属性!$DU574-1+EY$3)*20+卡牌属性!$DX574)</f>
        <v>8</v>
      </c>
      <c r="EZ574" s="14">
        <f>INDEX(属性偏向!$T$4:$T$243,(卡牌属性!$DU574-1+EZ$3)*20+卡牌属性!$DX574)</f>
        <v>8</v>
      </c>
      <c r="FA574" s="14">
        <f>INDEX(属性偏向!$T$4:$T$243,(卡牌属性!$DU574-1+FA$3)*20+卡牌属性!$DX574)</f>
        <v>10</v>
      </c>
      <c r="FB574" s="14">
        <f>INDEX(属性偏向!$T$4:$T$243,(卡牌属性!$DU574-1+FB$3)*20+卡牌属性!$DX574)</f>
        <v>11</v>
      </c>
      <c r="FC574" s="14">
        <f>INDEX(属性偏向!$U$4:$U$243,(卡牌属性!$DV574-1+FC$3)*20+卡牌属性!$DX574)</f>
        <v>108</v>
      </c>
      <c r="FD574" s="14">
        <f>INDEX(属性偏向!$U$4:$U$243,(卡牌属性!$DV574-1+FD$3)*20+卡牌属性!$DX574)</f>
        <v>135</v>
      </c>
      <c r="FE574" s="14">
        <f>INDEX(属性偏向!$U$4:$U$243,(卡牌属性!$DV574-1+FE$3)*20+卡牌属性!$DX574)</f>
        <v>135</v>
      </c>
      <c r="FF574" s="14">
        <f>INDEX(属性偏向!$U$4:$U$243,(卡牌属性!$DV574-1+FF$3)*20+卡牌属性!$DX574)</f>
        <v>180</v>
      </c>
      <c r="FG574" s="14">
        <f>INDEX(属性偏向!$U$4:$U$243,(卡牌属性!$DV574-1+FG$3)*20+卡牌属性!$DX574)</f>
        <v>189</v>
      </c>
      <c r="FH574" s="14">
        <f>INDEX(属性投放!$BQ$6:$BQ$85,(卡牌属性!$DW574-2)*20+卡牌属性!$DX574)</f>
        <v>160</v>
      </c>
      <c r="FI574" s="14">
        <f>INDEX(属性投放!$BQ$6:$BQ$85,(卡牌属性!$DW574-2)*20+卡牌属性!$DX574)</f>
        <v>160</v>
      </c>
      <c r="FJ574" s="14">
        <f>INDEX(属性投放!$BQ$6:$BQ$85,(卡牌属性!$DW574-2)*20+卡牌属性!$DX574)</f>
        <v>160</v>
      </c>
      <c r="FK574" s="14">
        <f>INDEX(属性投放!$BQ$6:$BQ$85,(卡牌属性!$DW574-2)*20+卡牌属性!$DX574)</f>
        <v>160</v>
      </c>
      <c r="FL574" s="14">
        <f>INDEX(属性投放!$BQ$6:$BQ$85,(卡牌属性!$DW574-2)*20+卡牌属性!$DX574)</f>
        <v>160</v>
      </c>
      <c r="FM574" s="14">
        <f>INDEX(属性投放!$BR$6:$BR$85,(卡牌属性!$DW574-2)*20+卡牌属性!$DX574)</f>
        <v>80</v>
      </c>
      <c r="FN574" s="14">
        <f>INDEX(属性投放!$BR$6:$BR$85,(卡牌属性!$DW574-2)*20+卡牌属性!$DX574)</f>
        <v>80</v>
      </c>
      <c r="FO574" s="14">
        <f>INDEX(属性投放!$BR$6:$BR$85,(卡牌属性!$DW574-2)*20+卡牌属性!$DX574)</f>
        <v>80</v>
      </c>
      <c r="FP574" s="14">
        <f>INDEX(属性投放!$BR$6:$BR$85,(卡牌属性!$DW574-2)*20+卡牌属性!$DX574)</f>
        <v>80</v>
      </c>
      <c r="FQ574" s="14">
        <f>INDEX(属性投放!$BR$6:$BR$85,(卡牌属性!$DW574-2)*20+卡牌属性!$DX574)</f>
        <v>80</v>
      </c>
      <c r="FR574" s="14">
        <f>INDEX(属性投放!$BS$6:$BS$85,(卡牌属性!$DW574-2)*20+卡牌属性!$DX574)</f>
        <v>1440</v>
      </c>
      <c r="FS574" s="14">
        <f>INDEX(属性投放!$BS$6:$BS$85,(卡牌属性!$DW574-2)*20+卡牌属性!$DX574)</f>
        <v>1440</v>
      </c>
      <c r="FT574" s="14">
        <f>INDEX(属性投放!$BS$6:$BS$85,(卡牌属性!$DW574-2)*20+卡牌属性!$DX574)</f>
        <v>1440</v>
      </c>
      <c r="FU574" s="14">
        <f>INDEX(属性投放!$BS$6:$BS$85,(卡牌属性!$DW574-2)*20+卡牌属性!$DX574)</f>
        <v>1440</v>
      </c>
      <c r="FV574" s="14">
        <f>INDEX(属性投放!$BS$6:$BS$85,(卡牌属性!$DW574-2)*20+卡牌属性!$DX574)</f>
        <v>1440</v>
      </c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>
        <v>571</v>
      </c>
      <c r="BX575" s="13">
        <f t="shared" si="981"/>
        <v>29</v>
      </c>
      <c r="BY575" s="14">
        <f t="shared" si="982"/>
        <v>2</v>
      </c>
      <c r="BZ575" s="14">
        <f t="shared" si="919"/>
        <v>1102999</v>
      </c>
      <c r="CA575" s="14" t="str">
        <f t="shared" si="920"/>
        <v>R守护灵11突</v>
      </c>
      <c r="CB575" s="25" t="s">
        <v>142</v>
      </c>
      <c r="CC575" s="14">
        <v>2</v>
      </c>
      <c r="CD575" s="14">
        <f t="shared" si="917"/>
        <v>11</v>
      </c>
      <c r="CE575" s="14" t="s">
        <v>21</v>
      </c>
      <c r="CF575" s="14">
        <f>INDEX(属性投放!$AZ$6:$AZ$85,(BY575-2)*20+CD575)</f>
        <v>2640</v>
      </c>
      <c r="CG575" s="14" t="s">
        <v>22</v>
      </c>
      <c r="CH575" s="14">
        <f>INDEX(属性投放!$BA$6:$BA$85,(BY575-2)*20+CD575)</f>
        <v>1276</v>
      </c>
      <c r="CI575" s="14" t="s">
        <v>510</v>
      </c>
      <c r="CJ575" s="14">
        <f>INDEX(属性投放!$BB$6:$BB$85,(BY575-2)*20+CD575)</f>
        <v>19838</v>
      </c>
      <c r="CK575" s="14" t="s">
        <v>21</v>
      </c>
      <c r="CL575" s="14">
        <f>INDEX(属性投放!$BC$6:$BC$85,(BY575-2)*20+CD575)</f>
        <v>12</v>
      </c>
      <c r="CM575" s="14" t="s">
        <v>22</v>
      </c>
      <c r="CN575" s="14">
        <f>INDEX(属性投放!$BD$6:$BD$85,(BY575-2)*20+CD575)</f>
        <v>6</v>
      </c>
      <c r="CO575" s="14" t="s">
        <v>510</v>
      </c>
      <c r="CP575" s="14">
        <f>INDEX(属性投放!$BE$6:$BE$85,(BY575-2)*20+CD575)</f>
        <v>108</v>
      </c>
      <c r="CS575" s="13">
        <v>571</v>
      </c>
      <c r="CT575" s="13">
        <f t="shared" si="921"/>
        <v>11</v>
      </c>
      <c r="CU575" s="13">
        <f t="shared" si="922"/>
        <v>51</v>
      </c>
      <c r="CV575" s="14">
        <f t="shared" si="923"/>
        <v>4</v>
      </c>
      <c r="CW575" s="14">
        <f t="shared" si="924"/>
        <v>1102011</v>
      </c>
      <c r="CX575" s="14" t="str">
        <f>INDEX($O$6:$O$50,CT575)&amp;"-"&amp;INDEX(属性投放!$AB$7:$AB$50,CZ575)&amp;"-魂火-"&amp;DB575</f>
        <v>张飞-无间+1-魂火-3</v>
      </c>
      <c r="CY575" s="25" t="s">
        <v>142</v>
      </c>
      <c r="CZ575" s="14">
        <f>INDEX(属性投放!$AM$7:$AM$58,CU575)</f>
        <v>20</v>
      </c>
      <c r="DA575" s="14" t="s">
        <v>537</v>
      </c>
      <c r="DB575" s="14">
        <f>INDEX(属性投放!$AN$7:$AN$58,CU575)</f>
        <v>3</v>
      </c>
      <c r="DC575" s="14">
        <f t="shared" si="918"/>
        <v>51</v>
      </c>
      <c r="DD575" s="14">
        <f>INDEX(属性投放!$AO$7:$AO$58,DC575)</f>
        <v>145</v>
      </c>
      <c r="DE575" s="14" t="s">
        <v>538</v>
      </c>
      <c r="DF575" s="14">
        <f>INDEX(属性投放!$BK$6:$BK$85,(CV575-2)*20+CZ575)</f>
        <v>1000</v>
      </c>
      <c r="DG575" s="14">
        <f>SUMIFS(DF$5:DF575,$CT$5:$CT575,"="&amp;$CT575)</f>
        <v>17335</v>
      </c>
      <c r="DH575" s="14" t="s">
        <v>539</v>
      </c>
      <c r="DI575" s="14">
        <f>INDEX(属性投放!$BL$6:$BL$85,(CV575-2)*20+CZ575)</f>
        <v>500</v>
      </c>
      <c r="DJ575" s="14">
        <f>SUMIFS(DI$5:DI575,$CT$5:$CT575,"="&amp;$CT575)</f>
        <v>8677</v>
      </c>
      <c r="DK575" s="14" t="s">
        <v>540</v>
      </c>
      <c r="DL575" s="14">
        <f>INDEX(属性投放!$BM$6:$BM$85,(CV575-2)*20+CZ575)</f>
        <v>10000</v>
      </c>
      <c r="DM575" s="14">
        <f>SUMIFS(DL$5:DL575,$CT$5:$CT575,"="&amp;$CT575)</f>
        <v>168785</v>
      </c>
      <c r="DR575" s="14">
        <f t="shared" si="983"/>
        <v>1102999</v>
      </c>
      <c r="DS575" s="14" t="str">
        <f t="shared" si="984"/>
        <v>R守护灵11突</v>
      </c>
      <c r="DT575" s="14">
        <f t="shared" si="925"/>
        <v>3</v>
      </c>
      <c r="DU575" s="14">
        <f t="shared" si="926"/>
        <v>3</v>
      </c>
      <c r="DV575" s="14">
        <f t="shared" si="927"/>
        <v>3</v>
      </c>
      <c r="DW575" s="14">
        <f t="shared" si="985"/>
        <v>2</v>
      </c>
      <c r="DX575" s="14">
        <f t="shared" si="986"/>
        <v>11</v>
      </c>
      <c r="DY575" s="14">
        <f t="shared" si="987"/>
        <v>11</v>
      </c>
      <c r="DZ575" s="14">
        <f>INDEX(属性投放!$AX$6:$AX$85,(卡牌属性!DW575-2)*20+卡牌属性!DX575)</f>
        <v>8</v>
      </c>
      <c r="EA575" s="14">
        <f>INDEX(属性投放!BQ$6:BQ$85,卡牌属性!$DY575)</f>
        <v>200</v>
      </c>
      <c r="EB575" s="14">
        <f>INDEX(属性投放!BR$6:BR$85,卡牌属性!$DY575)</f>
        <v>100</v>
      </c>
      <c r="EC575" s="14">
        <f>INDEX(属性投放!BS$6:BS$85,卡牌属性!$DY575)</f>
        <v>1800</v>
      </c>
      <c r="ED575" s="14">
        <f t="shared" si="988"/>
        <v>1535</v>
      </c>
      <c r="EE575" s="14">
        <f t="shared" si="989"/>
        <v>1705</v>
      </c>
      <c r="EF575" s="14">
        <f t="shared" si="990"/>
        <v>1911</v>
      </c>
      <c r="EG575" s="14">
        <f t="shared" si="991"/>
        <v>1911</v>
      </c>
      <c r="EH575" s="14">
        <f t="shared" si="992"/>
        <v>2031</v>
      </c>
      <c r="EI575" s="14">
        <f t="shared" si="993"/>
        <v>730</v>
      </c>
      <c r="EJ575" s="14">
        <f t="shared" si="994"/>
        <v>814</v>
      </c>
      <c r="EK575" s="14">
        <f t="shared" si="995"/>
        <v>814</v>
      </c>
      <c r="EL575" s="14">
        <f t="shared" si="996"/>
        <v>920</v>
      </c>
      <c r="EM575" s="14">
        <f t="shared" si="997"/>
        <v>983</v>
      </c>
      <c r="EN575" s="14">
        <f t="shared" si="998"/>
        <v>11118</v>
      </c>
      <c r="EO575" s="14">
        <f t="shared" si="999"/>
        <v>12267</v>
      </c>
      <c r="EP575" s="14">
        <f t="shared" si="1000"/>
        <v>12267</v>
      </c>
      <c r="EQ575" s="14">
        <f t="shared" si="1001"/>
        <v>13710</v>
      </c>
      <c r="ER575" s="14">
        <f t="shared" si="1002"/>
        <v>14509</v>
      </c>
      <c r="ES575" s="14">
        <f>INDEX(属性偏向!$S$4:$S$243,(卡牌属性!$DT575-1+ES$3)*20+卡牌属性!$DX575)</f>
        <v>12</v>
      </c>
      <c r="ET575" s="14">
        <f>INDEX(属性偏向!$S$4:$S$243,(卡牌属性!$DT575-1+ET$3)*20+卡牌属性!$DX575)</f>
        <v>15</v>
      </c>
      <c r="EU575" s="14">
        <f>INDEX(属性偏向!$S$4:$S$243,(卡牌属性!$DT575-1+EU$3)*20+卡牌属性!$DX575)</f>
        <v>20</v>
      </c>
      <c r="EV575" s="14">
        <f>INDEX(属性偏向!$S$4:$S$243,(卡牌属性!$DT575-1+EV$3)*20+卡牌属性!$DX575)</f>
        <v>20</v>
      </c>
      <c r="EW575" s="14">
        <f>INDEX(属性偏向!$S$4:$S$243,(卡牌属性!$DT575-1+EW$3)*20+卡牌属性!$DX575)</f>
        <v>21</v>
      </c>
      <c r="EX575" s="14">
        <f>INDEX(属性偏向!$T$4:$T$243,(卡牌属性!$DU575-1+EX$3)*20+卡牌属性!$DX575)</f>
        <v>6</v>
      </c>
      <c r="EY575" s="14">
        <f>INDEX(属性偏向!$T$4:$T$243,(卡牌属性!$DU575-1+EY$3)*20+卡牌属性!$DX575)</f>
        <v>8</v>
      </c>
      <c r="EZ575" s="14">
        <f>INDEX(属性偏向!$T$4:$T$243,(卡牌属性!$DU575-1+EZ$3)*20+卡牌属性!$DX575)</f>
        <v>8</v>
      </c>
      <c r="FA575" s="14">
        <f>INDEX(属性偏向!$T$4:$T$243,(卡牌属性!$DU575-1+FA$3)*20+卡牌属性!$DX575)</f>
        <v>10</v>
      </c>
      <c r="FB575" s="14">
        <f>INDEX(属性偏向!$T$4:$T$243,(卡牌属性!$DU575-1+FB$3)*20+卡牌属性!$DX575)</f>
        <v>11</v>
      </c>
      <c r="FC575" s="14">
        <f>INDEX(属性偏向!$U$4:$U$243,(卡牌属性!$DV575-1+FC$3)*20+卡牌属性!$DX575)</f>
        <v>108</v>
      </c>
      <c r="FD575" s="14">
        <f>INDEX(属性偏向!$U$4:$U$243,(卡牌属性!$DV575-1+FD$3)*20+卡牌属性!$DX575)</f>
        <v>135</v>
      </c>
      <c r="FE575" s="14">
        <f>INDEX(属性偏向!$U$4:$U$243,(卡牌属性!$DV575-1+FE$3)*20+卡牌属性!$DX575)</f>
        <v>135</v>
      </c>
      <c r="FF575" s="14">
        <f>INDEX(属性偏向!$U$4:$U$243,(卡牌属性!$DV575-1+FF$3)*20+卡牌属性!$DX575)</f>
        <v>180</v>
      </c>
      <c r="FG575" s="14">
        <f>INDEX(属性偏向!$U$4:$U$243,(卡牌属性!$DV575-1+FG$3)*20+卡牌属性!$DX575)</f>
        <v>189</v>
      </c>
      <c r="FH575" s="14">
        <f>INDEX(属性投放!$BQ$6:$BQ$85,(卡牌属性!$DW575-2)*20+卡牌属性!$DX575)</f>
        <v>200</v>
      </c>
      <c r="FI575" s="14">
        <f>INDEX(属性投放!$BQ$6:$BQ$85,(卡牌属性!$DW575-2)*20+卡牌属性!$DX575)</f>
        <v>200</v>
      </c>
      <c r="FJ575" s="14">
        <f>INDEX(属性投放!$BQ$6:$BQ$85,(卡牌属性!$DW575-2)*20+卡牌属性!$DX575)</f>
        <v>200</v>
      </c>
      <c r="FK575" s="14">
        <f>INDEX(属性投放!$BQ$6:$BQ$85,(卡牌属性!$DW575-2)*20+卡牌属性!$DX575)</f>
        <v>200</v>
      </c>
      <c r="FL575" s="14">
        <f>INDEX(属性投放!$BQ$6:$BQ$85,(卡牌属性!$DW575-2)*20+卡牌属性!$DX575)</f>
        <v>200</v>
      </c>
      <c r="FM575" s="14">
        <f>INDEX(属性投放!$BR$6:$BR$85,(卡牌属性!$DW575-2)*20+卡牌属性!$DX575)</f>
        <v>100</v>
      </c>
      <c r="FN575" s="14">
        <f>INDEX(属性投放!$BR$6:$BR$85,(卡牌属性!$DW575-2)*20+卡牌属性!$DX575)</f>
        <v>100</v>
      </c>
      <c r="FO575" s="14">
        <f>INDEX(属性投放!$BR$6:$BR$85,(卡牌属性!$DW575-2)*20+卡牌属性!$DX575)</f>
        <v>100</v>
      </c>
      <c r="FP575" s="14">
        <f>INDEX(属性投放!$BR$6:$BR$85,(卡牌属性!$DW575-2)*20+卡牌属性!$DX575)</f>
        <v>100</v>
      </c>
      <c r="FQ575" s="14">
        <f>INDEX(属性投放!$BR$6:$BR$85,(卡牌属性!$DW575-2)*20+卡牌属性!$DX575)</f>
        <v>100</v>
      </c>
      <c r="FR575" s="14">
        <f>INDEX(属性投放!$BS$6:$BS$85,(卡牌属性!$DW575-2)*20+卡牌属性!$DX575)</f>
        <v>1800</v>
      </c>
      <c r="FS575" s="14">
        <f>INDEX(属性投放!$BS$6:$BS$85,(卡牌属性!$DW575-2)*20+卡牌属性!$DX575)</f>
        <v>1800</v>
      </c>
      <c r="FT575" s="14">
        <f>INDEX(属性投放!$BS$6:$BS$85,(卡牌属性!$DW575-2)*20+卡牌属性!$DX575)</f>
        <v>1800</v>
      </c>
      <c r="FU575" s="14">
        <f>INDEX(属性投放!$BS$6:$BS$85,(卡牌属性!$DW575-2)*20+卡牌属性!$DX575)</f>
        <v>1800</v>
      </c>
      <c r="FV575" s="14">
        <f>INDEX(属性投放!$BS$6:$BS$85,(卡牌属性!$DW575-2)*20+卡牌属性!$DX575)</f>
        <v>1800</v>
      </c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>
        <v>572</v>
      </c>
      <c r="BX576" s="13">
        <f t="shared" si="981"/>
        <v>29</v>
      </c>
      <c r="BY576" s="14">
        <f t="shared" si="982"/>
        <v>2</v>
      </c>
      <c r="BZ576" s="14">
        <f t="shared" si="919"/>
        <v>1102999</v>
      </c>
      <c r="CA576" s="14" t="str">
        <f t="shared" si="920"/>
        <v>R守护灵12突</v>
      </c>
      <c r="CB576" s="25" t="s">
        <v>142</v>
      </c>
      <c r="CC576" s="14">
        <v>2</v>
      </c>
      <c r="CD576" s="14">
        <f t="shared" si="917"/>
        <v>12</v>
      </c>
      <c r="CE576" s="14" t="s">
        <v>21</v>
      </c>
      <c r="CF576" s="14">
        <f>INDEX(属性投放!$AZ$6:$AZ$85,(BY576-2)*20+CD576)</f>
        <v>3326</v>
      </c>
      <c r="CG576" s="14" t="s">
        <v>22</v>
      </c>
      <c r="CH576" s="14">
        <f>INDEX(属性投放!$BA$6:$BA$85,(BY576-2)*20+CD576)</f>
        <v>1619</v>
      </c>
      <c r="CI576" s="14" t="s">
        <v>510</v>
      </c>
      <c r="CJ576" s="14">
        <f>INDEX(属性投放!$BB$6:$BB$85,(BY576-2)*20+CD576)</f>
        <v>26012</v>
      </c>
      <c r="CK576" s="14" t="s">
        <v>21</v>
      </c>
      <c r="CL576" s="14">
        <f>INDEX(属性投放!$BC$6:$BC$85,(BY576-2)*20+CD576)</f>
        <v>12</v>
      </c>
      <c r="CM576" s="14" t="s">
        <v>22</v>
      </c>
      <c r="CN576" s="14">
        <f>INDEX(属性投放!$BD$6:$BD$85,(BY576-2)*20+CD576)</f>
        <v>6</v>
      </c>
      <c r="CO576" s="14" t="s">
        <v>510</v>
      </c>
      <c r="CP576" s="14">
        <f>INDEX(属性投放!$BE$6:$BE$85,(BY576-2)*20+CD576)</f>
        <v>108</v>
      </c>
      <c r="CS576" s="13">
        <v>572</v>
      </c>
      <c r="CT576" s="13">
        <f t="shared" si="921"/>
        <v>11</v>
      </c>
      <c r="CU576" s="13">
        <f t="shared" si="922"/>
        <v>52</v>
      </c>
      <c r="CV576" s="14">
        <f t="shared" si="923"/>
        <v>4</v>
      </c>
      <c r="CW576" s="14">
        <f t="shared" si="924"/>
        <v>1102011</v>
      </c>
      <c r="CX576" s="14" t="str">
        <f>INDEX($O$6:$O$50,CT576)&amp;"-"&amp;INDEX(属性投放!$AB$7:$AB$50,CZ576)&amp;"-魂火-"&amp;DB576</f>
        <v>张飞-无间+1-魂火-4</v>
      </c>
      <c r="CY576" s="25" t="s">
        <v>142</v>
      </c>
      <c r="CZ576" s="14">
        <f>INDEX(属性投放!$AM$7:$AM$58,CU576)</f>
        <v>20</v>
      </c>
      <c r="DA576" s="14" t="s">
        <v>537</v>
      </c>
      <c r="DB576" s="14">
        <f>INDEX(属性投放!$AN$7:$AN$58,CU576)</f>
        <v>4</v>
      </c>
      <c r="DC576" s="14">
        <f t="shared" si="918"/>
        <v>52</v>
      </c>
      <c r="DD576" s="14">
        <f>INDEX(属性投放!$AO$7:$AO$58,DC576)</f>
        <v>148</v>
      </c>
      <c r="DE576" s="14" t="s">
        <v>538</v>
      </c>
      <c r="DF576" s="14">
        <f>INDEX(属性投放!$BK$6:$BK$85,(CV576-2)*20+CZ576)</f>
        <v>1000</v>
      </c>
      <c r="DG576" s="14">
        <f>SUMIFS(DF$5:DF576,$CT$5:$CT576,"="&amp;$CT576)</f>
        <v>18335</v>
      </c>
      <c r="DH576" s="14" t="s">
        <v>539</v>
      </c>
      <c r="DI576" s="14">
        <f>INDEX(属性投放!$BL$6:$BL$85,(CV576-2)*20+CZ576)</f>
        <v>500</v>
      </c>
      <c r="DJ576" s="14">
        <f>SUMIFS(DI$5:DI576,$CT$5:$CT576,"="&amp;$CT576)</f>
        <v>9177</v>
      </c>
      <c r="DK576" s="14" t="s">
        <v>540</v>
      </c>
      <c r="DL576" s="14">
        <f>INDEX(属性投放!$BM$6:$BM$85,(CV576-2)*20+CZ576)</f>
        <v>10000</v>
      </c>
      <c r="DM576" s="14">
        <f>SUMIFS(DL$5:DL576,$CT$5:$CT576,"="&amp;$CT576)</f>
        <v>178785</v>
      </c>
      <c r="DR576" s="14">
        <f t="shared" si="983"/>
        <v>1102999</v>
      </c>
      <c r="DS576" s="14" t="str">
        <f t="shared" si="984"/>
        <v>R守护灵12突</v>
      </c>
      <c r="DT576" s="14">
        <f t="shared" si="925"/>
        <v>3</v>
      </c>
      <c r="DU576" s="14">
        <f t="shared" si="926"/>
        <v>3</v>
      </c>
      <c r="DV576" s="14">
        <f t="shared" si="927"/>
        <v>3</v>
      </c>
      <c r="DW576" s="14">
        <f t="shared" si="985"/>
        <v>2</v>
      </c>
      <c r="DX576" s="14">
        <f t="shared" si="986"/>
        <v>12</v>
      </c>
      <c r="DY576" s="14">
        <f t="shared" si="987"/>
        <v>12</v>
      </c>
      <c r="DZ576" s="14">
        <f>INDEX(属性投放!$AX$6:$AX$85,(卡牌属性!DW576-2)*20+卡牌属性!DX576)</f>
        <v>7</v>
      </c>
      <c r="EA576" s="14">
        <f>INDEX(属性投放!BQ$6:BQ$85,卡牌属性!$DY576)</f>
        <v>350</v>
      </c>
      <c r="EB576" s="14">
        <f>INDEX(属性投放!BR$6:BR$85,卡牌属性!$DY576)</f>
        <v>175</v>
      </c>
      <c r="EC576" s="14">
        <f>INDEX(属性投放!BS$6:BS$85,卡牌属性!$DY576)</f>
        <v>3150</v>
      </c>
      <c r="ED576" s="14">
        <f t="shared" si="988"/>
        <v>1831</v>
      </c>
      <c r="EE576" s="14">
        <f t="shared" si="989"/>
        <v>2025</v>
      </c>
      <c r="EF576" s="14">
        <f t="shared" si="990"/>
        <v>2271</v>
      </c>
      <c r="EG576" s="14">
        <f t="shared" si="991"/>
        <v>2271</v>
      </c>
      <c r="EH576" s="14">
        <f t="shared" si="992"/>
        <v>2399</v>
      </c>
      <c r="EI576" s="14">
        <f t="shared" si="993"/>
        <v>878</v>
      </c>
      <c r="EJ576" s="14">
        <f t="shared" si="994"/>
        <v>978</v>
      </c>
      <c r="EK576" s="14">
        <f t="shared" si="995"/>
        <v>978</v>
      </c>
      <c r="EL576" s="14">
        <f t="shared" si="996"/>
        <v>1100</v>
      </c>
      <c r="EM576" s="14">
        <f t="shared" si="997"/>
        <v>1171</v>
      </c>
      <c r="EN576" s="14">
        <f t="shared" si="998"/>
        <v>13782</v>
      </c>
      <c r="EO576" s="14">
        <f t="shared" si="999"/>
        <v>15147</v>
      </c>
      <c r="EP576" s="14">
        <f t="shared" si="1000"/>
        <v>15147</v>
      </c>
      <c r="EQ576" s="14">
        <f t="shared" si="1001"/>
        <v>16950</v>
      </c>
      <c r="ER576" s="14">
        <f t="shared" si="1002"/>
        <v>17821</v>
      </c>
      <c r="ES576" s="14">
        <f>INDEX(属性偏向!$S$4:$S$243,(卡牌属性!$DT576-1+ES$3)*20+卡牌属性!$DX576)</f>
        <v>12</v>
      </c>
      <c r="ET576" s="14">
        <f>INDEX(属性偏向!$S$4:$S$243,(卡牌属性!$DT576-1+ET$3)*20+卡牌属性!$DX576)</f>
        <v>15</v>
      </c>
      <c r="EU576" s="14">
        <f>INDEX(属性偏向!$S$4:$S$243,(卡牌属性!$DT576-1+EU$3)*20+卡牌属性!$DX576)</f>
        <v>20</v>
      </c>
      <c r="EV576" s="14">
        <f>INDEX(属性偏向!$S$4:$S$243,(卡牌属性!$DT576-1+EV$3)*20+卡牌属性!$DX576)</f>
        <v>20</v>
      </c>
      <c r="EW576" s="14">
        <f>INDEX(属性偏向!$S$4:$S$243,(卡牌属性!$DT576-1+EW$3)*20+卡牌属性!$DX576)</f>
        <v>21</v>
      </c>
      <c r="EX576" s="14">
        <f>INDEX(属性偏向!$T$4:$T$243,(卡牌属性!$DU576-1+EX$3)*20+卡牌属性!$DX576)</f>
        <v>6</v>
      </c>
      <c r="EY576" s="14">
        <f>INDEX(属性偏向!$T$4:$T$243,(卡牌属性!$DU576-1+EY$3)*20+卡牌属性!$DX576)</f>
        <v>8</v>
      </c>
      <c r="EZ576" s="14">
        <f>INDEX(属性偏向!$T$4:$T$243,(卡牌属性!$DU576-1+EZ$3)*20+卡牌属性!$DX576)</f>
        <v>8</v>
      </c>
      <c r="FA576" s="14">
        <f>INDEX(属性偏向!$T$4:$T$243,(卡牌属性!$DU576-1+FA$3)*20+卡牌属性!$DX576)</f>
        <v>10</v>
      </c>
      <c r="FB576" s="14">
        <f>INDEX(属性偏向!$T$4:$T$243,(卡牌属性!$DU576-1+FB$3)*20+卡牌属性!$DX576)</f>
        <v>11</v>
      </c>
      <c r="FC576" s="14">
        <f>INDEX(属性偏向!$U$4:$U$243,(卡牌属性!$DV576-1+FC$3)*20+卡牌属性!$DX576)</f>
        <v>108</v>
      </c>
      <c r="FD576" s="14">
        <f>INDEX(属性偏向!$U$4:$U$243,(卡牌属性!$DV576-1+FD$3)*20+卡牌属性!$DX576)</f>
        <v>135</v>
      </c>
      <c r="FE576" s="14">
        <f>INDEX(属性偏向!$U$4:$U$243,(卡牌属性!$DV576-1+FE$3)*20+卡牌属性!$DX576)</f>
        <v>135</v>
      </c>
      <c r="FF576" s="14">
        <f>INDEX(属性偏向!$U$4:$U$243,(卡牌属性!$DV576-1+FF$3)*20+卡牌属性!$DX576)</f>
        <v>180</v>
      </c>
      <c r="FG576" s="14">
        <f>INDEX(属性偏向!$U$4:$U$243,(卡牌属性!$DV576-1+FG$3)*20+卡牌属性!$DX576)</f>
        <v>189</v>
      </c>
      <c r="FH576" s="14">
        <f>INDEX(属性投放!$BQ$6:$BQ$85,(卡牌属性!$DW576-2)*20+卡牌属性!$DX576)</f>
        <v>350</v>
      </c>
      <c r="FI576" s="14">
        <f>INDEX(属性投放!$BQ$6:$BQ$85,(卡牌属性!$DW576-2)*20+卡牌属性!$DX576)</f>
        <v>350</v>
      </c>
      <c r="FJ576" s="14">
        <f>INDEX(属性投放!$BQ$6:$BQ$85,(卡牌属性!$DW576-2)*20+卡牌属性!$DX576)</f>
        <v>350</v>
      </c>
      <c r="FK576" s="14">
        <f>INDEX(属性投放!$BQ$6:$BQ$85,(卡牌属性!$DW576-2)*20+卡牌属性!$DX576)</f>
        <v>350</v>
      </c>
      <c r="FL576" s="14">
        <f>INDEX(属性投放!$BQ$6:$BQ$85,(卡牌属性!$DW576-2)*20+卡牌属性!$DX576)</f>
        <v>350</v>
      </c>
      <c r="FM576" s="14">
        <f>INDEX(属性投放!$BR$6:$BR$85,(卡牌属性!$DW576-2)*20+卡牌属性!$DX576)</f>
        <v>175</v>
      </c>
      <c r="FN576" s="14">
        <f>INDEX(属性投放!$BR$6:$BR$85,(卡牌属性!$DW576-2)*20+卡牌属性!$DX576)</f>
        <v>175</v>
      </c>
      <c r="FO576" s="14">
        <f>INDEX(属性投放!$BR$6:$BR$85,(卡牌属性!$DW576-2)*20+卡牌属性!$DX576)</f>
        <v>175</v>
      </c>
      <c r="FP576" s="14">
        <f>INDEX(属性投放!$BR$6:$BR$85,(卡牌属性!$DW576-2)*20+卡牌属性!$DX576)</f>
        <v>175</v>
      </c>
      <c r="FQ576" s="14">
        <f>INDEX(属性投放!$BR$6:$BR$85,(卡牌属性!$DW576-2)*20+卡牌属性!$DX576)</f>
        <v>175</v>
      </c>
      <c r="FR576" s="14">
        <f>INDEX(属性投放!$BS$6:$BS$85,(卡牌属性!$DW576-2)*20+卡牌属性!$DX576)</f>
        <v>3150</v>
      </c>
      <c r="FS576" s="14">
        <f>INDEX(属性投放!$BS$6:$BS$85,(卡牌属性!$DW576-2)*20+卡牌属性!$DX576)</f>
        <v>3150</v>
      </c>
      <c r="FT576" s="14">
        <f>INDEX(属性投放!$BS$6:$BS$85,(卡牌属性!$DW576-2)*20+卡牌属性!$DX576)</f>
        <v>3150</v>
      </c>
      <c r="FU576" s="14">
        <f>INDEX(属性投放!$BS$6:$BS$85,(卡牌属性!$DW576-2)*20+卡牌属性!$DX576)</f>
        <v>3150</v>
      </c>
      <c r="FV576" s="14">
        <f>INDEX(属性投放!$BS$6:$BS$85,(卡牌属性!$DW576-2)*20+卡牌属性!$DX576)</f>
        <v>3150</v>
      </c>
    </row>
    <row r="577" spans="31:178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>
        <v>573</v>
      </c>
      <c r="BX577" s="13">
        <f t="shared" si="981"/>
        <v>29</v>
      </c>
      <c r="BY577" s="14">
        <f t="shared" si="982"/>
        <v>2</v>
      </c>
      <c r="BZ577" s="14">
        <f t="shared" si="919"/>
        <v>1102999</v>
      </c>
      <c r="CA577" s="14" t="str">
        <f t="shared" si="920"/>
        <v>R守护灵13突</v>
      </c>
      <c r="CB577" s="25" t="s">
        <v>142</v>
      </c>
      <c r="CC577" s="14">
        <v>2</v>
      </c>
      <c r="CD577" s="14">
        <f t="shared" si="917"/>
        <v>13</v>
      </c>
      <c r="CE577" s="14" t="s">
        <v>21</v>
      </c>
      <c r="CF577" s="14">
        <f>INDEX(属性投放!$AZ$6:$AZ$85,(BY577-2)*20+CD577)</f>
        <v>4270</v>
      </c>
      <c r="CG577" s="14" t="s">
        <v>22</v>
      </c>
      <c r="CH577" s="14">
        <f>INDEX(属性投放!$BA$6:$BA$85,(BY577-2)*20+CD577)</f>
        <v>2091</v>
      </c>
      <c r="CI577" s="14" t="s">
        <v>510</v>
      </c>
      <c r="CJ577" s="14">
        <f>INDEX(属性投放!$BB$6:$BB$85,(BY577-2)*20+CD577)</f>
        <v>34508</v>
      </c>
      <c r="CK577" s="14" t="s">
        <v>21</v>
      </c>
      <c r="CL577" s="14">
        <f>INDEX(属性投放!$BC$6:$BC$85,(BY577-2)*20+CD577)</f>
        <v>15</v>
      </c>
      <c r="CM577" s="14" t="s">
        <v>22</v>
      </c>
      <c r="CN577" s="14">
        <f>INDEX(属性投放!$BD$6:$BD$85,(BY577-2)*20+CD577)</f>
        <v>8</v>
      </c>
      <c r="CO577" s="14" t="s">
        <v>510</v>
      </c>
      <c r="CP577" s="14">
        <f>INDEX(属性投放!$BE$6:$BE$85,(BY577-2)*20+CD577)</f>
        <v>150</v>
      </c>
      <c r="CS577" s="13">
        <v>573</v>
      </c>
      <c r="CT577" s="13">
        <f t="shared" si="921"/>
        <v>12</v>
      </c>
      <c r="CU577" s="13">
        <f t="shared" si="922"/>
        <v>1</v>
      </c>
      <c r="CV577" s="14">
        <f t="shared" si="923"/>
        <v>5</v>
      </c>
      <c r="CW577" s="14">
        <f t="shared" si="924"/>
        <v>1102012</v>
      </c>
      <c r="CX577" s="14" t="str">
        <f>INDEX($O$6:$O$50,CT577)&amp;"-"&amp;INDEX(属性投放!$AB$7:$AB$50,CZ577)&amp;"-魂火-"&amp;DB577</f>
        <v>夏侯惇-等活-魂火-1</v>
      </c>
      <c r="CY577" s="25" t="s">
        <v>142</v>
      </c>
      <c r="CZ577" s="14">
        <f>INDEX(属性投放!$AM$7:$AM$58,CU577)</f>
        <v>1</v>
      </c>
      <c r="DA577" s="14" t="s">
        <v>537</v>
      </c>
      <c r="DB577" s="14">
        <f>INDEX(属性投放!$AN$7:$AN$58,CU577)</f>
        <v>1</v>
      </c>
      <c r="DC577" s="14">
        <f t="shared" si="918"/>
        <v>1</v>
      </c>
      <c r="DD577" s="14">
        <f>INDEX(属性投放!$AO$7:$AO$58,DC577)</f>
        <v>3</v>
      </c>
      <c r="DE577" s="14" t="s">
        <v>538</v>
      </c>
      <c r="DF577" s="14">
        <f>INDEX(属性投放!$BK$6:$BK$85,(CV577-2)*20+CZ577)</f>
        <v>35</v>
      </c>
      <c r="DG577" s="14">
        <f>SUMIFS(DF$5:DF577,$CT$5:$CT577,"="&amp;$CT577)</f>
        <v>35</v>
      </c>
      <c r="DH577" s="14" t="s">
        <v>539</v>
      </c>
      <c r="DI577" s="14">
        <f>INDEX(属性投放!$BL$6:$BL$85,(CV577-2)*20+CZ577)</f>
        <v>18</v>
      </c>
      <c r="DJ577" s="14">
        <f>SUMIFS(DI$5:DI577,$CT$5:$CT577,"="&amp;$CT577)</f>
        <v>18</v>
      </c>
      <c r="DK577" s="14" t="s">
        <v>540</v>
      </c>
      <c r="DL577" s="14">
        <f>INDEX(属性投放!$BM$6:$BM$85,(CV577-2)*20+CZ577)</f>
        <v>210</v>
      </c>
      <c r="DM577" s="14">
        <f>SUMIFS(DL$5:DL577,$CT$5:$CT577,"="&amp;$CT577)</f>
        <v>210</v>
      </c>
      <c r="DR577" s="14">
        <f t="shared" si="983"/>
        <v>1102999</v>
      </c>
      <c r="DS577" s="14" t="str">
        <f t="shared" si="984"/>
        <v>R守护灵13突</v>
      </c>
      <c r="DT577" s="14">
        <f t="shared" si="925"/>
        <v>3</v>
      </c>
      <c r="DU577" s="14">
        <f t="shared" si="926"/>
        <v>3</v>
      </c>
      <c r="DV577" s="14">
        <f t="shared" si="927"/>
        <v>3</v>
      </c>
      <c r="DW577" s="14">
        <f t="shared" si="985"/>
        <v>2</v>
      </c>
      <c r="DX577" s="14">
        <f t="shared" si="986"/>
        <v>13</v>
      </c>
      <c r="DY577" s="14">
        <f t="shared" si="987"/>
        <v>13</v>
      </c>
      <c r="DZ577" s="14">
        <f>INDEX(属性投放!$AX$6:$AX$85,(卡牌属性!DW577-2)*20+卡牌属性!DX577)</f>
        <v>8</v>
      </c>
      <c r="EA577" s="14">
        <f>INDEX(属性投放!BQ$6:BQ$85,卡牌属性!$DY577)</f>
        <v>350</v>
      </c>
      <c r="EB577" s="14">
        <f>INDEX(属性投放!BR$6:BR$85,卡牌属性!$DY577)</f>
        <v>175</v>
      </c>
      <c r="EC577" s="14">
        <f>INDEX(属性投放!BS$6:BS$85,卡牌属性!$DY577)</f>
        <v>3500</v>
      </c>
      <c r="ED577" s="14">
        <f t="shared" si="988"/>
        <v>2265</v>
      </c>
      <c r="EE577" s="14">
        <f t="shared" si="989"/>
        <v>2480</v>
      </c>
      <c r="EF577" s="14">
        <f t="shared" si="990"/>
        <v>2761</v>
      </c>
      <c r="EG577" s="14">
        <f t="shared" si="991"/>
        <v>2761</v>
      </c>
      <c r="EH577" s="14">
        <f t="shared" si="992"/>
        <v>2896</v>
      </c>
      <c r="EI577" s="14">
        <f t="shared" si="993"/>
        <v>1095</v>
      </c>
      <c r="EJ577" s="14">
        <f t="shared" si="994"/>
        <v>1209</v>
      </c>
      <c r="EK577" s="14">
        <f t="shared" si="995"/>
        <v>1209</v>
      </c>
      <c r="EL577" s="14">
        <f t="shared" si="996"/>
        <v>1345</v>
      </c>
      <c r="EM577" s="14">
        <f t="shared" si="997"/>
        <v>1423</v>
      </c>
      <c r="EN577" s="14">
        <f t="shared" si="998"/>
        <v>17688</v>
      </c>
      <c r="EO577" s="14">
        <f t="shared" si="999"/>
        <v>19242</v>
      </c>
      <c r="EP577" s="14">
        <f t="shared" si="1000"/>
        <v>19242</v>
      </c>
      <c r="EQ577" s="14">
        <f t="shared" si="1001"/>
        <v>21360</v>
      </c>
      <c r="ER577" s="14">
        <f t="shared" si="1002"/>
        <v>22294</v>
      </c>
      <c r="ES577" s="14">
        <f>INDEX(属性偏向!$S$4:$S$243,(卡牌属性!$DT577-1+ES$3)*20+卡牌属性!$DX577)</f>
        <v>15</v>
      </c>
      <c r="ET577" s="14">
        <f>INDEX(属性偏向!$S$4:$S$243,(卡牌属性!$DT577-1+ET$3)*20+卡牌属性!$DX577)</f>
        <v>20</v>
      </c>
      <c r="EU577" s="14">
        <f>INDEX(属性偏向!$S$4:$S$243,(卡牌属性!$DT577-1+EU$3)*20+卡牌属性!$DX577)</f>
        <v>25</v>
      </c>
      <c r="EV577" s="14">
        <f>INDEX(属性偏向!$S$4:$S$243,(卡牌属性!$DT577-1+EV$3)*20+卡牌属性!$DX577)</f>
        <v>25</v>
      </c>
      <c r="EW577" s="14">
        <f>INDEX(属性偏向!$S$4:$S$243,(卡牌属性!$DT577-1+EW$3)*20+卡牌属性!$DX577)</f>
        <v>26</v>
      </c>
      <c r="EX577" s="14">
        <f>INDEX(属性偏向!$T$4:$T$243,(卡牌属性!$DU577-1+EX$3)*20+卡牌属性!$DX577)</f>
        <v>8</v>
      </c>
      <c r="EY577" s="14">
        <f>INDEX(属性偏向!$T$4:$T$243,(卡牌属性!$DU577-1+EY$3)*20+卡牌属性!$DX577)</f>
        <v>10</v>
      </c>
      <c r="EZ577" s="14">
        <f>INDEX(属性偏向!$T$4:$T$243,(卡牌属性!$DU577-1+EZ$3)*20+卡牌属性!$DX577)</f>
        <v>10</v>
      </c>
      <c r="FA577" s="14">
        <f>INDEX(属性偏向!$T$4:$T$243,(卡牌属性!$DU577-1+FA$3)*20+卡牌属性!$DX577)</f>
        <v>13</v>
      </c>
      <c r="FB577" s="14">
        <f>INDEX(属性偏向!$T$4:$T$243,(卡牌属性!$DU577-1+FB$3)*20+卡牌属性!$DX577)</f>
        <v>13</v>
      </c>
      <c r="FC577" s="14">
        <f>INDEX(属性偏向!$U$4:$U$243,(卡牌属性!$DV577-1+FC$3)*20+卡牌属性!$DX577)</f>
        <v>150</v>
      </c>
      <c r="FD577" s="14">
        <f>INDEX(属性偏向!$U$4:$U$243,(卡牌属性!$DV577-1+FD$3)*20+卡牌属性!$DX577)</f>
        <v>200</v>
      </c>
      <c r="FE577" s="14">
        <f>INDEX(属性偏向!$U$4:$U$243,(卡牌属性!$DV577-1+FE$3)*20+卡牌属性!$DX577)</f>
        <v>200</v>
      </c>
      <c r="FF577" s="14">
        <f>INDEX(属性偏向!$U$4:$U$243,(卡牌属性!$DV577-1+FF$3)*20+卡牌属性!$DX577)</f>
        <v>250</v>
      </c>
      <c r="FG577" s="14">
        <f>INDEX(属性偏向!$U$4:$U$243,(卡牌属性!$DV577-1+FG$3)*20+卡牌属性!$DX577)</f>
        <v>260</v>
      </c>
      <c r="FH577" s="14">
        <f>INDEX(属性投放!$BQ$6:$BQ$85,(卡牌属性!$DW577-2)*20+卡牌属性!$DX577)</f>
        <v>350</v>
      </c>
      <c r="FI577" s="14">
        <f>INDEX(属性投放!$BQ$6:$BQ$85,(卡牌属性!$DW577-2)*20+卡牌属性!$DX577)</f>
        <v>350</v>
      </c>
      <c r="FJ577" s="14">
        <f>INDEX(属性投放!$BQ$6:$BQ$85,(卡牌属性!$DW577-2)*20+卡牌属性!$DX577)</f>
        <v>350</v>
      </c>
      <c r="FK577" s="14">
        <f>INDEX(属性投放!$BQ$6:$BQ$85,(卡牌属性!$DW577-2)*20+卡牌属性!$DX577)</f>
        <v>350</v>
      </c>
      <c r="FL577" s="14">
        <f>INDEX(属性投放!$BQ$6:$BQ$85,(卡牌属性!$DW577-2)*20+卡牌属性!$DX577)</f>
        <v>350</v>
      </c>
      <c r="FM577" s="14">
        <f>INDEX(属性投放!$BR$6:$BR$85,(卡牌属性!$DW577-2)*20+卡牌属性!$DX577)</f>
        <v>175</v>
      </c>
      <c r="FN577" s="14">
        <f>INDEX(属性投放!$BR$6:$BR$85,(卡牌属性!$DW577-2)*20+卡牌属性!$DX577)</f>
        <v>175</v>
      </c>
      <c r="FO577" s="14">
        <f>INDEX(属性投放!$BR$6:$BR$85,(卡牌属性!$DW577-2)*20+卡牌属性!$DX577)</f>
        <v>175</v>
      </c>
      <c r="FP577" s="14">
        <f>INDEX(属性投放!$BR$6:$BR$85,(卡牌属性!$DW577-2)*20+卡牌属性!$DX577)</f>
        <v>175</v>
      </c>
      <c r="FQ577" s="14">
        <f>INDEX(属性投放!$BR$6:$BR$85,(卡牌属性!$DW577-2)*20+卡牌属性!$DX577)</f>
        <v>175</v>
      </c>
      <c r="FR577" s="14">
        <f>INDEX(属性投放!$BS$6:$BS$85,(卡牌属性!$DW577-2)*20+卡牌属性!$DX577)</f>
        <v>3500</v>
      </c>
      <c r="FS577" s="14">
        <f>INDEX(属性投放!$BS$6:$BS$85,(卡牌属性!$DW577-2)*20+卡牌属性!$DX577)</f>
        <v>3500</v>
      </c>
      <c r="FT577" s="14">
        <f>INDEX(属性投放!$BS$6:$BS$85,(卡牌属性!$DW577-2)*20+卡牌属性!$DX577)</f>
        <v>3500</v>
      </c>
      <c r="FU577" s="14">
        <f>INDEX(属性投放!$BS$6:$BS$85,(卡牌属性!$DW577-2)*20+卡牌属性!$DX577)</f>
        <v>3500</v>
      </c>
      <c r="FV577" s="14">
        <f>INDEX(属性投放!$BS$6:$BS$85,(卡牌属性!$DW577-2)*20+卡牌属性!$DX577)</f>
        <v>3500</v>
      </c>
    </row>
    <row r="578" spans="31:178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>
        <v>574</v>
      </c>
      <c r="BX578" s="13">
        <f t="shared" si="981"/>
        <v>29</v>
      </c>
      <c r="BY578" s="14">
        <f t="shared" si="982"/>
        <v>2</v>
      </c>
      <c r="BZ578" s="14">
        <f t="shared" si="919"/>
        <v>1102999</v>
      </c>
      <c r="CA578" s="14" t="str">
        <f t="shared" si="920"/>
        <v>R守护灵14突</v>
      </c>
      <c r="CB578" s="25" t="s">
        <v>142</v>
      </c>
      <c r="CC578" s="14">
        <v>2</v>
      </c>
      <c r="CD578" s="14">
        <f t="shared" si="917"/>
        <v>14</v>
      </c>
      <c r="CE578" s="14" t="s">
        <v>21</v>
      </c>
      <c r="CF578" s="14">
        <f>INDEX(属性投放!$AZ$6:$AZ$85,(BY578-2)*20+CD578)</f>
        <v>5400</v>
      </c>
      <c r="CG578" s="14" t="s">
        <v>22</v>
      </c>
      <c r="CH578" s="14">
        <f>INDEX(属性投放!$BA$6:$BA$85,(BY578-2)*20+CD578)</f>
        <v>2660</v>
      </c>
      <c r="CI578" s="14" t="s">
        <v>510</v>
      </c>
      <c r="CJ578" s="14">
        <f>INDEX(属性投放!$BB$6:$BB$85,(BY578-2)*20+CD578)</f>
        <v>45808</v>
      </c>
      <c r="CK578" s="14" t="s">
        <v>21</v>
      </c>
      <c r="CL578" s="14">
        <f>INDEX(属性投放!$BC$6:$BC$85,(BY578-2)*20+CD578)</f>
        <v>15</v>
      </c>
      <c r="CM578" s="14" t="s">
        <v>22</v>
      </c>
      <c r="CN578" s="14">
        <f>INDEX(属性投放!$BD$6:$BD$85,(BY578-2)*20+CD578)</f>
        <v>8</v>
      </c>
      <c r="CO578" s="14" t="s">
        <v>510</v>
      </c>
      <c r="CP578" s="14">
        <f>INDEX(属性投放!$BE$6:$BE$85,(BY578-2)*20+CD578)</f>
        <v>150</v>
      </c>
      <c r="CS578" s="13">
        <v>574</v>
      </c>
      <c r="CT578" s="13">
        <f t="shared" si="921"/>
        <v>12</v>
      </c>
      <c r="CU578" s="13">
        <f t="shared" si="922"/>
        <v>2</v>
      </c>
      <c r="CV578" s="14">
        <f t="shared" si="923"/>
        <v>5</v>
      </c>
      <c r="CW578" s="14">
        <f t="shared" si="924"/>
        <v>1102012</v>
      </c>
      <c r="CX578" s="14" t="str">
        <f>INDEX($O$6:$O$50,CT578)&amp;"-"&amp;INDEX(属性投放!$AB$7:$AB$50,CZ578)&amp;"-魂火-"&amp;DB578</f>
        <v>夏侯惇-黑绳-魂火-1</v>
      </c>
      <c r="CY578" s="25" t="s">
        <v>142</v>
      </c>
      <c r="CZ578" s="14">
        <f>INDEX(属性投放!$AM$7:$AM$58,CU578)</f>
        <v>2</v>
      </c>
      <c r="DA578" s="14" t="s">
        <v>537</v>
      </c>
      <c r="DB578" s="14">
        <f>INDEX(属性投放!$AN$7:$AN$58,CU578)</f>
        <v>1</v>
      </c>
      <c r="DC578" s="14">
        <f t="shared" si="918"/>
        <v>2</v>
      </c>
      <c r="DD578" s="14">
        <f>INDEX(属性投放!$AO$7:$AO$58,DC578)</f>
        <v>8</v>
      </c>
      <c r="DE578" s="14" t="s">
        <v>538</v>
      </c>
      <c r="DF578" s="14">
        <f>INDEX(属性投放!$BK$6:$BK$85,(CV578-2)*20+CZ578)</f>
        <v>40</v>
      </c>
      <c r="DG578" s="14">
        <f>SUMIFS(DF$5:DF578,$CT$5:$CT578,"="&amp;$CT578)</f>
        <v>75</v>
      </c>
      <c r="DH578" s="14" t="s">
        <v>539</v>
      </c>
      <c r="DI578" s="14">
        <f>INDEX(属性投放!$BL$6:$BL$85,(CV578-2)*20+CZ578)</f>
        <v>20</v>
      </c>
      <c r="DJ578" s="14">
        <f>SUMIFS(DI$5:DI578,$CT$5:$CT578,"="&amp;$CT578)</f>
        <v>38</v>
      </c>
      <c r="DK578" s="14" t="s">
        <v>540</v>
      </c>
      <c r="DL578" s="14">
        <f>INDEX(属性投放!$BM$6:$BM$85,(CV578-2)*20+CZ578)</f>
        <v>240</v>
      </c>
      <c r="DM578" s="14">
        <f>SUMIFS(DL$5:DL578,$CT$5:$CT578,"="&amp;$CT578)</f>
        <v>450</v>
      </c>
      <c r="DR578" s="14">
        <f t="shared" si="983"/>
        <v>1102999</v>
      </c>
      <c r="DS578" s="14" t="str">
        <f t="shared" si="984"/>
        <v>R守护灵14突</v>
      </c>
      <c r="DT578" s="14">
        <f t="shared" si="925"/>
        <v>3</v>
      </c>
      <c r="DU578" s="14">
        <f t="shared" si="926"/>
        <v>3</v>
      </c>
      <c r="DV578" s="14">
        <f t="shared" si="927"/>
        <v>3</v>
      </c>
      <c r="DW578" s="14">
        <f t="shared" si="985"/>
        <v>2</v>
      </c>
      <c r="DX578" s="14">
        <f t="shared" si="986"/>
        <v>14</v>
      </c>
      <c r="DY578" s="14">
        <f t="shared" si="987"/>
        <v>14</v>
      </c>
      <c r="DZ578" s="14">
        <f>INDEX(属性投放!$AX$6:$AX$85,(卡牌属性!DW578-2)*20+卡牌属性!DX578)</f>
        <v>7</v>
      </c>
      <c r="EA578" s="14">
        <f>INDEX(属性投放!BQ$6:BQ$85,卡牌属性!$DY578)</f>
        <v>400</v>
      </c>
      <c r="EB578" s="14">
        <f>INDEX(属性投放!BR$6:BR$85,卡牌属性!$DY578)</f>
        <v>200</v>
      </c>
      <c r="EC578" s="14">
        <f>INDEX(属性投放!BS$6:BS$85,卡牌属性!$DY578)</f>
        <v>4000</v>
      </c>
      <c r="ED578" s="14">
        <f t="shared" si="988"/>
        <v>2735</v>
      </c>
      <c r="EE578" s="14">
        <f t="shared" si="989"/>
        <v>2990</v>
      </c>
      <c r="EF578" s="14">
        <f t="shared" si="990"/>
        <v>3311</v>
      </c>
      <c r="EG578" s="14">
        <f t="shared" si="991"/>
        <v>3311</v>
      </c>
      <c r="EH578" s="14">
        <f t="shared" si="992"/>
        <v>3454</v>
      </c>
      <c r="EI578" s="14">
        <f t="shared" si="993"/>
        <v>1334</v>
      </c>
      <c r="EJ578" s="14">
        <f t="shared" si="994"/>
        <v>1464</v>
      </c>
      <c r="EK578" s="14">
        <f t="shared" si="995"/>
        <v>1464</v>
      </c>
      <c r="EL578" s="14">
        <f t="shared" si="996"/>
        <v>1624</v>
      </c>
      <c r="EM578" s="14">
        <f t="shared" si="997"/>
        <v>1702</v>
      </c>
      <c r="EN578" s="14">
        <f t="shared" si="998"/>
        <v>22388</v>
      </c>
      <c r="EO578" s="14">
        <f t="shared" si="999"/>
        <v>24342</v>
      </c>
      <c r="EP578" s="14">
        <f t="shared" si="1000"/>
        <v>24342</v>
      </c>
      <c r="EQ578" s="14">
        <f t="shared" si="1001"/>
        <v>26860</v>
      </c>
      <c r="ER578" s="14">
        <f t="shared" si="1002"/>
        <v>27874</v>
      </c>
      <c r="ES578" s="14">
        <f>INDEX(属性偏向!$S$4:$S$243,(卡牌属性!$DT578-1+ES$3)*20+卡牌属性!$DX578)</f>
        <v>15</v>
      </c>
      <c r="ET578" s="14">
        <f>INDEX(属性偏向!$S$4:$S$243,(卡牌属性!$DT578-1+ET$3)*20+卡牌属性!$DX578)</f>
        <v>20</v>
      </c>
      <c r="EU578" s="14">
        <f>INDEX(属性偏向!$S$4:$S$243,(卡牌属性!$DT578-1+EU$3)*20+卡牌属性!$DX578)</f>
        <v>25</v>
      </c>
      <c r="EV578" s="14">
        <f>INDEX(属性偏向!$S$4:$S$243,(卡牌属性!$DT578-1+EV$3)*20+卡牌属性!$DX578)</f>
        <v>25</v>
      </c>
      <c r="EW578" s="14">
        <f>INDEX(属性偏向!$S$4:$S$243,(卡牌属性!$DT578-1+EW$3)*20+卡牌属性!$DX578)</f>
        <v>26</v>
      </c>
      <c r="EX578" s="14">
        <f>INDEX(属性偏向!$T$4:$T$243,(卡牌属性!$DU578-1+EX$3)*20+卡牌属性!$DX578)</f>
        <v>8</v>
      </c>
      <c r="EY578" s="14">
        <f>INDEX(属性偏向!$T$4:$T$243,(卡牌属性!$DU578-1+EY$3)*20+卡牌属性!$DX578)</f>
        <v>10</v>
      </c>
      <c r="EZ578" s="14">
        <f>INDEX(属性偏向!$T$4:$T$243,(卡牌属性!$DU578-1+EZ$3)*20+卡牌属性!$DX578)</f>
        <v>10</v>
      </c>
      <c r="FA578" s="14">
        <f>INDEX(属性偏向!$T$4:$T$243,(卡牌属性!$DU578-1+FA$3)*20+卡牌属性!$DX578)</f>
        <v>13</v>
      </c>
      <c r="FB578" s="14">
        <f>INDEX(属性偏向!$T$4:$T$243,(卡牌属性!$DU578-1+FB$3)*20+卡牌属性!$DX578)</f>
        <v>13</v>
      </c>
      <c r="FC578" s="14">
        <f>INDEX(属性偏向!$U$4:$U$243,(卡牌属性!$DV578-1+FC$3)*20+卡牌属性!$DX578)</f>
        <v>150</v>
      </c>
      <c r="FD578" s="14">
        <f>INDEX(属性偏向!$U$4:$U$243,(卡牌属性!$DV578-1+FD$3)*20+卡牌属性!$DX578)</f>
        <v>200</v>
      </c>
      <c r="FE578" s="14">
        <f>INDEX(属性偏向!$U$4:$U$243,(卡牌属性!$DV578-1+FE$3)*20+卡牌属性!$DX578)</f>
        <v>200</v>
      </c>
      <c r="FF578" s="14">
        <f>INDEX(属性偏向!$U$4:$U$243,(卡牌属性!$DV578-1+FF$3)*20+卡牌属性!$DX578)</f>
        <v>250</v>
      </c>
      <c r="FG578" s="14">
        <f>INDEX(属性偏向!$U$4:$U$243,(卡牌属性!$DV578-1+FG$3)*20+卡牌属性!$DX578)</f>
        <v>260</v>
      </c>
      <c r="FH578" s="14">
        <f>INDEX(属性投放!$BQ$6:$BQ$85,(卡牌属性!$DW578-2)*20+卡牌属性!$DX578)</f>
        <v>400</v>
      </c>
      <c r="FI578" s="14">
        <f>INDEX(属性投放!$BQ$6:$BQ$85,(卡牌属性!$DW578-2)*20+卡牌属性!$DX578)</f>
        <v>400</v>
      </c>
      <c r="FJ578" s="14">
        <f>INDEX(属性投放!$BQ$6:$BQ$85,(卡牌属性!$DW578-2)*20+卡牌属性!$DX578)</f>
        <v>400</v>
      </c>
      <c r="FK578" s="14">
        <f>INDEX(属性投放!$BQ$6:$BQ$85,(卡牌属性!$DW578-2)*20+卡牌属性!$DX578)</f>
        <v>400</v>
      </c>
      <c r="FL578" s="14">
        <f>INDEX(属性投放!$BQ$6:$BQ$85,(卡牌属性!$DW578-2)*20+卡牌属性!$DX578)</f>
        <v>400</v>
      </c>
      <c r="FM578" s="14">
        <f>INDEX(属性投放!$BR$6:$BR$85,(卡牌属性!$DW578-2)*20+卡牌属性!$DX578)</f>
        <v>200</v>
      </c>
      <c r="FN578" s="14">
        <f>INDEX(属性投放!$BR$6:$BR$85,(卡牌属性!$DW578-2)*20+卡牌属性!$DX578)</f>
        <v>200</v>
      </c>
      <c r="FO578" s="14">
        <f>INDEX(属性投放!$BR$6:$BR$85,(卡牌属性!$DW578-2)*20+卡牌属性!$DX578)</f>
        <v>200</v>
      </c>
      <c r="FP578" s="14">
        <f>INDEX(属性投放!$BR$6:$BR$85,(卡牌属性!$DW578-2)*20+卡牌属性!$DX578)</f>
        <v>200</v>
      </c>
      <c r="FQ578" s="14">
        <f>INDEX(属性投放!$BR$6:$BR$85,(卡牌属性!$DW578-2)*20+卡牌属性!$DX578)</f>
        <v>200</v>
      </c>
      <c r="FR578" s="14">
        <f>INDEX(属性投放!$BS$6:$BS$85,(卡牌属性!$DW578-2)*20+卡牌属性!$DX578)</f>
        <v>4000</v>
      </c>
      <c r="FS578" s="14">
        <f>INDEX(属性投放!$BS$6:$BS$85,(卡牌属性!$DW578-2)*20+卡牌属性!$DX578)</f>
        <v>4000</v>
      </c>
      <c r="FT578" s="14">
        <f>INDEX(属性投放!$BS$6:$BS$85,(卡牌属性!$DW578-2)*20+卡牌属性!$DX578)</f>
        <v>4000</v>
      </c>
      <c r="FU578" s="14">
        <f>INDEX(属性投放!$BS$6:$BS$85,(卡牌属性!$DW578-2)*20+卡牌属性!$DX578)</f>
        <v>4000</v>
      </c>
      <c r="FV578" s="14">
        <f>INDEX(属性投放!$BS$6:$BS$85,(卡牌属性!$DW578-2)*20+卡牌属性!$DX578)</f>
        <v>4000</v>
      </c>
    </row>
    <row r="579" spans="31:178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>
        <v>575</v>
      </c>
      <c r="BX579" s="13">
        <f t="shared" si="981"/>
        <v>29</v>
      </c>
      <c r="BY579" s="14">
        <f t="shared" si="982"/>
        <v>2</v>
      </c>
      <c r="BZ579" s="14">
        <f t="shared" si="919"/>
        <v>1102999</v>
      </c>
      <c r="CA579" s="14" t="str">
        <f t="shared" si="920"/>
        <v>R守护灵15突</v>
      </c>
      <c r="CB579" s="25" t="s">
        <v>142</v>
      </c>
      <c r="CC579" s="14">
        <v>2</v>
      </c>
      <c r="CD579" s="14">
        <f t="shared" si="917"/>
        <v>15</v>
      </c>
      <c r="CE579" s="14" t="s">
        <v>21</v>
      </c>
      <c r="CF579" s="14">
        <f>INDEX(属性投放!$AZ$6:$AZ$85,(BY579-2)*20+CD579)</f>
        <v>6715</v>
      </c>
      <c r="CG579" s="14" t="s">
        <v>22</v>
      </c>
      <c r="CH579" s="14">
        <f>INDEX(属性投放!$BA$6:$BA$85,(BY579-2)*20+CD579)</f>
        <v>3321</v>
      </c>
      <c r="CI579" s="14" t="s">
        <v>510</v>
      </c>
      <c r="CJ579" s="14">
        <f>INDEX(属性投放!$BB$6:$BB$85,(BY579-2)*20+CD579)</f>
        <v>58958</v>
      </c>
      <c r="CK579" s="14" t="s">
        <v>21</v>
      </c>
      <c r="CL579" s="14">
        <f>INDEX(属性投放!$BC$6:$BC$85,(BY579-2)*20+CD579)</f>
        <v>15</v>
      </c>
      <c r="CM579" s="14" t="s">
        <v>22</v>
      </c>
      <c r="CN579" s="14">
        <f>INDEX(属性投放!$BD$6:$BD$85,(BY579-2)*20+CD579)</f>
        <v>8</v>
      </c>
      <c r="CO579" s="14" t="s">
        <v>510</v>
      </c>
      <c r="CP579" s="14">
        <f>INDEX(属性投放!$BE$6:$BE$85,(BY579-2)*20+CD579)</f>
        <v>150</v>
      </c>
      <c r="CS579" s="13">
        <v>575</v>
      </c>
      <c r="CT579" s="13">
        <f t="shared" si="921"/>
        <v>12</v>
      </c>
      <c r="CU579" s="13">
        <f t="shared" si="922"/>
        <v>3</v>
      </c>
      <c r="CV579" s="14">
        <f t="shared" si="923"/>
        <v>5</v>
      </c>
      <c r="CW579" s="14">
        <f t="shared" si="924"/>
        <v>1102012</v>
      </c>
      <c r="CX579" s="14" t="str">
        <f>INDEX($O$6:$O$50,CT579)&amp;"-"&amp;INDEX(属性投放!$AB$7:$AB$50,CZ579)&amp;"-魂火-"&amp;DB579</f>
        <v>夏侯惇-黑绳-魂火-2</v>
      </c>
      <c r="CY579" s="25" t="s">
        <v>142</v>
      </c>
      <c r="CZ579" s="14">
        <f>INDEX(属性投放!$AM$7:$AM$58,CU579)</f>
        <v>2</v>
      </c>
      <c r="DA579" s="14" t="s">
        <v>537</v>
      </c>
      <c r="DB579" s="14">
        <f>INDEX(属性投放!$AN$7:$AN$58,CU579)</f>
        <v>2</v>
      </c>
      <c r="DC579" s="14">
        <f t="shared" si="918"/>
        <v>3</v>
      </c>
      <c r="DD579" s="14">
        <f>INDEX(属性投放!$AO$7:$AO$58,DC579)</f>
        <v>13</v>
      </c>
      <c r="DE579" s="14" t="s">
        <v>538</v>
      </c>
      <c r="DF579" s="14">
        <f>INDEX(属性投放!$BK$6:$BK$85,(CV579-2)*20+CZ579)</f>
        <v>40</v>
      </c>
      <c r="DG579" s="14">
        <f>SUMIFS(DF$5:DF579,$CT$5:$CT579,"="&amp;$CT579)</f>
        <v>115</v>
      </c>
      <c r="DH579" s="14" t="s">
        <v>539</v>
      </c>
      <c r="DI579" s="14">
        <f>INDEX(属性投放!$BL$6:$BL$85,(CV579-2)*20+CZ579)</f>
        <v>20</v>
      </c>
      <c r="DJ579" s="14">
        <f>SUMIFS(DI$5:DI579,$CT$5:$CT579,"="&amp;$CT579)</f>
        <v>58</v>
      </c>
      <c r="DK579" s="14" t="s">
        <v>540</v>
      </c>
      <c r="DL579" s="14">
        <f>INDEX(属性投放!$BM$6:$BM$85,(CV579-2)*20+CZ579)</f>
        <v>240</v>
      </c>
      <c r="DM579" s="14">
        <f>SUMIFS(DL$5:DL579,$CT$5:$CT579,"="&amp;$CT579)</f>
        <v>690</v>
      </c>
      <c r="DR579" s="14">
        <f t="shared" si="983"/>
        <v>1102999</v>
      </c>
      <c r="DS579" s="14" t="str">
        <f t="shared" si="984"/>
        <v>R守护灵15突</v>
      </c>
      <c r="DT579" s="14">
        <f t="shared" si="925"/>
        <v>3</v>
      </c>
      <c r="DU579" s="14">
        <f t="shared" si="926"/>
        <v>3</v>
      </c>
      <c r="DV579" s="14">
        <f t="shared" si="927"/>
        <v>3</v>
      </c>
      <c r="DW579" s="14">
        <f t="shared" si="985"/>
        <v>2</v>
      </c>
      <c r="DX579" s="14">
        <f t="shared" si="986"/>
        <v>15</v>
      </c>
      <c r="DY579" s="14">
        <f t="shared" si="987"/>
        <v>15</v>
      </c>
      <c r="DZ579" s="14">
        <f>INDEX(属性投放!$AX$6:$AX$85,(卡牌属性!DW579-2)*20+卡牌属性!DX579)</f>
        <v>8</v>
      </c>
      <c r="EA579" s="14">
        <f>INDEX(属性投放!BQ$6:BQ$85,卡牌属性!$DY579)</f>
        <v>700</v>
      </c>
      <c r="EB579" s="14">
        <f>INDEX(属性投放!BR$6:BR$85,卡牌属性!$DY579)</f>
        <v>350</v>
      </c>
      <c r="EC579" s="14">
        <f>INDEX(属性投放!BS$6:BS$85,卡牌属性!$DY579)</f>
        <v>7000</v>
      </c>
      <c r="ED579" s="14">
        <f t="shared" si="988"/>
        <v>3240</v>
      </c>
      <c r="EE579" s="14">
        <f t="shared" si="989"/>
        <v>3530</v>
      </c>
      <c r="EF579" s="14">
        <f t="shared" si="990"/>
        <v>3886</v>
      </c>
      <c r="EG579" s="14">
        <f t="shared" si="991"/>
        <v>3886</v>
      </c>
      <c r="EH579" s="14">
        <f t="shared" si="992"/>
        <v>4036</v>
      </c>
      <c r="EI579" s="14">
        <f t="shared" si="993"/>
        <v>1590</v>
      </c>
      <c r="EJ579" s="14">
        <f t="shared" si="994"/>
        <v>1734</v>
      </c>
      <c r="EK579" s="14">
        <f t="shared" si="995"/>
        <v>1734</v>
      </c>
      <c r="EL579" s="14">
        <f t="shared" si="996"/>
        <v>1915</v>
      </c>
      <c r="EM579" s="14">
        <f t="shared" si="997"/>
        <v>1993</v>
      </c>
      <c r="EN579" s="14">
        <f t="shared" si="998"/>
        <v>27438</v>
      </c>
      <c r="EO579" s="14">
        <f t="shared" si="999"/>
        <v>29742</v>
      </c>
      <c r="EP579" s="14">
        <f t="shared" si="1000"/>
        <v>29742</v>
      </c>
      <c r="EQ579" s="14">
        <f t="shared" si="1001"/>
        <v>32610</v>
      </c>
      <c r="ER579" s="14">
        <f t="shared" si="1002"/>
        <v>33694</v>
      </c>
      <c r="ES579" s="14">
        <f>INDEX(属性偏向!$S$4:$S$243,(卡牌属性!$DT579-1+ES$3)*20+卡牌属性!$DX579)</f>
        <v>15</v>
      </c>
      <c r="ET579" s="14">
        <f>INDEX(属性偏向!$S$4:$S$243,(卡牌属性!$DT579-1+ET$3)*20+卡牌属性!$DX579)</f>
        <v>20</v>
      </c>
      <c r="EU579" s="14">
        <f>INDEX(属性偏向!$S$4:$S$243,(卡牌属性!$DT579-1+EU$3)*20+卡牌属性!$DX579)</f>
        <v>25</v>
      </c>
      <c r="EV579" s="14">
        <f>INDEX(属性偏向!$S$4:$S$243,(卡牌属性!$DT579-1+EV$3)*20+卡牌属性!$DX579)</f>
        <v>25</v>
      </c>
      <c r="EW579" s="14">
        <f>INDEX(属性偏向!$S$4:$S$243,(卡牌属性!$DT579-1+EW$3)*20+卡牌属性!$DX579)</f>
        <v>26</v>
      </c>
      <c r="EX579" s="14">
        <f>INDEX(属性偏向!$T$4:$T$243,(卡牌属性!$DU579-1+EX$3)*20+卡牌属性!$DX579)</f>
        <v>8</v>
      </c>
      <c r="EY579" s="14">
        <f>INDEX(属性偏向!$T$4:$T$243,(卡牌属性!$DU579-1+EY$3)*20+卡牌属性!$DX579)</f>
        <v>10</v>
      </c>
      <c r="EZ579" s="14">
        <f>INDEX(属性偏向!$T$4:$T$243,(卡牌属性!$DU579-1+EZ$3)*20+卡牌属性!$DX579)</f>
        <v>10</v>
      </c>
      <c r="FA579" s="14">
        <f>INDEX(属性偏向!$T$4:$T$243,(卡牌属性!$DU579-1+FA$3)*20+卡牌属性!$DX579)</f>
        <v>13</v>
      </c>
      <c r="FB579" s="14">
        <f>INDEX(属性偏向!$T$4:$T$243,(卡牌属性!$DU579-1+FB$3)*20+卡牌属性!$DX579)</f>
        <v>13</v>
      </c>
      <c r="FC579" s="14">
        <f>INDEX(属性偏向!$U$4:$U$243,(卡牌属性!$DV579-1+FC$3)*20+卡牌属性!$DX579)</f>
        <v>150</v>
      </c>
      <c r="FD579" s="14">
        <f>INDEX(属性偏向!$U$4:$U$243,(卡牌属性!$DV579-1+FD$3)*20+卡牌属性!$DX579)</f>
        <v>200</v>
      </c>
      <c r="FE579" s="14">
        <f>INDEX(属性偏向!$U$4:$U$243,(卡牌属性!$DV579-1+FE$3)*20+卡牌属性!$DX579)</f>
        <v>200</v>
      </c>
      <c r="FF579" s="14">
        <f>INDEX(属性偏向!$U$4:$U$243,(卡牌属性!$DV579-1+FF$3)*20+卡牌属性!$DX579)</f>
        <v>250</v>
      </c>
      <c r="FG579" s="14">
        <f>INDEX(属性偏向!$U$4:$U$243,(卡牌属性!$DV579-1+FG$3)*20+卡牌属性!$DX579)</f>
        <v>260</v>
      </c>
      <c r="FH579" s="14">
        <f>INDEX(属性投放!$BQ$6:$BQ$85,(卡牌属性!$DW579-2)*20+卡牌属性!$DX579)</f>
        <v>700</v>
      </c>
      <c r="FI579" s="14">
        <f>INDEX(属性投放!$BQ$6:$BQ$85,(卡牌属性!$DW579-2)*20+卡牌属性!$DX579)</f>
        <v>700</v>
      </c>
      <c r="FJ579" s="14">
        <f>INDEX(属性投放!$BQ$6:$BQ$85,(卡牌属性!$DW579-2)*20+卡牌属性!$DX579)</f>
        <v>700</v>
      </c>
      <c r="FK579" s="14">
        <f>INDEX(属性投放!$BQ$6:$BQ$85,(卡牌属性!$DW579-2)*20+卡牌属性!$DX579)</f>
        <v>700</v>
      </c>
      <c r="FL579" s="14">
        <f>INDEX(属性投放!$BQ$6:$BQ$85,(卡牌属性!$DW579-2)*20+卡牌属性!$DX579)</f>
        <v>700</v>
      </c>
      <c r="FM579" s="14">
        <f>INDEX(属性投放!$BR$6:$BR$85,(卡牌属性!$DW579-2)*20+卡牌属性!$DX579)</f>
        <v>350</v>
      </c>
      <c r="FN579" s="14">
        <f>INDEX(属性投放!$BR$6:$BR$85,(卡牌属性!$DW579-2)*20+卡牌属性!$DX579)</f>
        <v>350</v>
      </c>
      <c r="FO579" s="14">
        <f>INDEX(属性投放!$BR$6:$BR$85,(卡牌属性!$DW579-2)*20+卡牌属性!$DX579)</f>
        <v>350</v>
      </c>
      <c r="FP579" s="14">
        <f>INDEX(属性投放!$BR$6:$BR$85,(卡牌属性!$DW579-2)*20+卡牌属性!$DX579)</f>
        <v>350</v>
      </c>
      <c r="FQ579" s="14">
        <f>INDEX(属性投放!$BR$6:$BR$85,(卡牌属性!$DW579-2)*20+卡牌属性!$DX579)</f>
        <v>350</v>
      </c>
      <c r="FR579" s="14">
        <f>INDEX(属性投放!$BS$6:$BS$85,(卡牌属性!$DW579-2)*20+卡牌属性!$DX579)</f>
        <v>7000</v>
      </c>
      <c r="FS579" s="14">
        <f>INDEX(属性投放!$BS$6:$BS$85,(卡牌属性!$DW579-2)*20+卡牌属性!$DX579)</f>
        <v>7000</v>
      </c>
      <c r="FT579" s="14">
        <f>INDEX(属性投放!$BS$6:$BS$85,(卡牌属性!$DW579-2)*20+卡牌属性!$DX579)</f>
        <v>7000</v>
      </c>
      <c r="FU579" s="14">
        <f>INDEX(属性投放!$BS$6:$BS$85,(卡牌属性!$DW579-2)*20+卡牌属性!$DX579)</f>
        <v>7000</v>
      </c>
      <c r="FV579" s="14">
        <f>INDEX(属性投放!$BS$6:$BS$85,(卡牌属性!$DW579-2)*20+卡牌属性!$DX579)</f>
        <v>7000</v>
      </c>
    </row>
    <row r="580" spans="31:178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>
        <v>576</v>
      </c>
      <c r="BX580" s="13">
        <f t="shared" si="981"/>
        <v>29</v>
      </c>
      <c r="BY580" s="14">
        <f t="shared" si="982"/>
        <v>2</v>
      </c>
      <c r="BZ580" s="14">
        <f t="shared" si="919"/>
        <v>1102999</v>
      </c>
      <c r="CA580" s="14" t="str">
        <f t="shared" si="920"/>
        <v>R守护灵16突</v>
      </c>
      <c r="CB580" s="25" t="s">
        <v>142</v>
      </c>
      <c r="CC580" s="14">
        <v>2</v>
      </c>
      <c r="CD580" s="14">
        <f t="shared" si="917"/>
        <v>16</v>
      </c>
      <c r="CE580" s="14" t="s">
        <v>21</v>
      </c>
      <c r="CF580" s="14">
        <f>INDEX(属性投放!$AZ$6:$AZ$85,(BY580-2)*20+CD580)</f>
        <v>8585</v>
      </c>
      <c r="CG580" s="14" t="s">
        <v>22</v>
      </c>
      <c r="CH580" s="14">
        <f>INDEX(属性投放!$BA$6:$BA$85,(BY580-2)*20+CD580)</f>
        <v>4260</v>
      </c>
      <c r="CI580" s="14" t="s">
        <v>510</v>
      </c>
      <c r="CJ580" s="14">
        <f>INDEX(属性投放!$BB$6:$BB$85,(BY580-2)*20+CD580)</f>
        <v>77658</v>
      </c>
      <c r="CK580" s="14" t="s">
        <v>21</v>
      </c>
      <c r="CL580" s="14">
        <f>INDEX(属性投放!$BC$6:$BC$85,(BY580-2)*20+CD580)</f>
        <v>20</v>
      </c>
      <c r="CM580" s="14" t="s">
        <v>22</v>
      </c>
      <c r="CN580" s="14">
        <f>INDEX(属性投放!$BD$6:$BD$85,(BY580-2)*20+CD580)</f>
        <v>10</v>
      </c>
      <c r="CO580" s="14" t="s">
        <v>510</v>
      </c>
      <c r="CP580" s="14">
        <f>INDEX(属性投放!$BE$6:$BE$85,(BY580-2)*20+CD580)</f>
        <v>200</v>
      </c>
      <c r="CS580" s="13">
        <v>576</v>
      </c>
      <c r="CT580" s="13">
        <f t="shared" si="921"/>
        <v>12</v>
      </c>
      <c r="CU580" s="13">
        <f t="shared" si="922"/>
        <v>4</v>
      </c>
      <c r="CV580" s="14">
        <f t="shared" si="923"/>
        <v>5</v>
      </c>
      <c r="CW580" s="14">
        <f t="shared" si="924"/>
        <v>1102012</v>
      </c>
      <c r="CX580" s="14" t="str">
        <f>INDEX($O$6:$O$50,CT580)&amp;"-"&amp;INDEX(属性投放!$AB$7:$AB$50,CZ580)&amp;"-魂火-"&amp;DB580</f>
        <v>夏侯惇-黑绳+1-魂火-1</v>
      </c>
      <c r="CY580" s="25" t="s">
        <v>142</v>
      </c>
      <c r="CZ580" s="14">
        <f>INDEX(属性投放!$AM$7:$AM$58,CU580)</f>
        <v>3</v>
      </c>
      <c r="DA580" s="14" t="s">
        <v>537</v>
      </c>
      <c r="DB580" s="14">
        <f>INDEX(属性投放!$AN$7:$AN$58,CU580)</f>
        <v>1</v>
      </c>
      <c r="DC580" s="14">
        <f t="shared" si="918"/>
        <v>4</v>
      </c>
      <c r="DD580" s="14">
        <f>INDEX(属性投放!$AO$7:$AO$58,DC580)</f>
        <v>18</v>
      </c>
      <c r="DE580" s="14" t="s">
        <v>538</v>
      </c>
      <c r="DF580" s="14">
        <f>INDEX(属性投放!$BK$6:$BK$85,(CV580-2)*20+CZ580)</f>
        <v>45</v>
      </c>
      <c r="DG580" s="14">
        <f>SUMIFS(DF$5:DF580,$CT$5:$CT580,"="&amp;$CT580)</f>
        <v>160</v>
      </c>
      <c r="DH580" s="14" t="s">
        <v>539</v>
      </c>
      <c r="DI580" s="14">
        <f>INDEX(属性投放!$BL$6:$BL$85,(CV580-2)*20+CZ580)</f>
        <v>23</v>
      </c>
      <c r="DJ580" s="14">
        <f>SUMIFS(DI$5:DI580,$CT$5:$CT580,"="&amp;$CT580)</f>
        <v>81</v>
      </c>
      <c r="DK580" s="14" t="s">
        <v>540</v>
      </c>
      <c r="DL580" s="14">
        <f>INDEX(属性投放!$BM$6:$BM$85,(CV580-2)*20+CZ580)</f>
        <v>270</v>
      </c>
      <c r="DM580" s="14">
        <f>SUMIFS(DL$5:DL580,$CT$5:$CT580,"="&amp;$CT580)</f>
        <v>960</v>
      </c>
      <c r="DR580" s="14">
        <f t="shared" si="983"/>
        <v>1102999</v>
      </c>
      <c r="DS580" s="14" t="str">
        <f t="shared" si="984"/>
        <v>R守护灵16突</v>
      </c>
      <c r="DT580" s="14">
        <f t="shared" si="925"/>
        <v>3</v>
      </c>
      <c r="DU580" s="14">
        <f t="shared" si="926"/>
        <v>3</v>
      </c>
      <c r="DV580" s="14">
        <f t="shared" si="927"/>
        <v>3</v>
      </c>
      <c r="DW580" s="14">
        <f t="shared" si="985"/>
        <v>2</v>
      </c>
      <c r="DX580" s="14">
        <f t="shared" si="986"/>
        <v>16</v>
      </c>
      <c r="DY580" s="14">
        <f t="shared" si="987"/>
        <v>16</v>
      </c>
      <c r="DZ580" s="14">
        <f>INDEX(属性投放!$AX$6:$AX$85,(卡牌属性!DW580-2)*20+卡牌属性!DX580)</f>
        <v>7</v>
      </c>
      <c r="EA580" s="14">
        <f>INDEX(属性投放!BQ$6:BQ$85,卡牌属性!$DY580)</f>
        <v>700</v>
      </c>
      <c r="EB580" s="14">
        <f>INDEX(属性投放!BR$6:BR$85,卡牌属性!$DY580)</f>
        <v>350</v>
      </c>
      <c r="EC580" s="14">
        <f>INDEX(属性投放!BS$6:BS$85,卡牌属性!$DY580)</f>
        <v>7000</v>
      </c>
      <c r="ED580" s="14">
        <f t="shared" si="988"/>
        <v>4060</v>
      </c>
      <c r="EE580" s="14">
        <f t="shared" si="989"/>
        <v>4390</v>
      </c>
      <c r="EF580" s="14">
        <f t="shared" si="990"/>
        <v>4786</v>
      </c>
      <c r="EG580" s="14">
        <f t="shared" si="991"/>
        <v>4786</v>
      </c>
      <c r="EH580" s="14">
        <f t="shared" si="992"/>
        <v>4944</v>
      </c>
      <c r="EI580" s="14">
        <f t="shared" si="993"/>
        <v>2004</v>
      </c>
      <c r="EJ580" s="14">
        <f t="shared" si="994"/>
        <v>2164</v>
      </c>
      <c r="EK580" s="14">
        <f t="shared" si="995"/>
        <v>2164</v>
      </c>
      <c r="EL580" s="14">
        <f t="shared" si="996"/>
        <v>2369</v>
      </c>
      <c r="EM580" s="14">
        <f t="shared" si="997"/>
        <v>2447</v>
      </c>
      <c r="EN580" s="14">
        <f t="shared" si="998"/>
        <v>35638</v>
      </c>
      <c r="EO580" s="14">
        <f t="shared" si="999"/>
        <v>38342</v>
      </c>
      <c r="EP580" s="14">
        <f t="shared" si="1000"/>
        <v>38342</v>
      </c>
      <c r="EQ580" s="14">
        <f t="shared" si="1001"/>
        <v>41610</v>
      </c>
      <c r="ER580" s="14">
        <f t="shared" si="1002"/>
        <v>42774</v>
      </c>
      <c r="ES580" s="14">
        <f>INDEX(属性偏向!$S$4:$S$243,(卡牌属性!$DT580-1+ES$3)*20+卡牌属性!$DX580)</f>
        <v>20</v>
      </c>
      <c r="ET580" s="14">
        <f>INDEX(属性偏向!$S$4:$S$243,(卡牌属性!$DT580-1+ET$3)*20+卡牌属性!$DX580)</f>
        <v>25</v>
      </c>
      <c r="EU580" s="14">
        <f>INDEX(属性偏向!$S$4:$S$243,(卡牌属性!$DT580-1+EU$3)*20+卡牌属性!$DX580)</f>
        <v>30</v>
      </c>
      <c r="EV580" s="14">
        <f>INDEX(属性偏向!$S$4:$S$243,(卡牌属性!$DT580-1+EV$3)*20+卡牌属性!$DX580)</f>
        <v>30</v>
      </c>
      <c r="EW580" s="14">
        <f>INDEX(属性偏向!$S$4:$S$243,(卡牌属性!$DT580-1+EW$3)*20+卡牌属性!$DX580)</f>
        <v>35</v>
      </c>
      <c r="EX580" s="14">
        <f>INDEX(属性偏向!$T$4:$T$243,(卡牌属性!$DU580-1+EX$3)*20+卡牌属性!$DX580)</f>
        <v>10</v>
      </c>
      <c r="EY580" s="14">
        <f>INDEX(属性偏向!$T$4:$T$243,(卡牌属性!$DU580-1+EY$3)*20+卡牌属性!$DX580)</f>
        <v>13</v>
      </c>
      <c r="EZ580" s="14">
        <f>INDEX(属性偏向!$T$4:$T$243,(卡牌属性!$DU580-1+EZ$3)*20+卡牌属性!$DX580)</f>
        <v>13</v>
      </c>
      <c r="FA580" s="14">
        <f>INDEX(属性偏向!$T$4:$T$243,(卡牌属性!$DU580-1+FA$3)*20+卡牌属性!$DX580)</f>
        <v>15</v>
      </c>
      <c r="FB580" s="14">
        <f>INDEX(属性偏向!$T$4:$T$243,(卡牌属性!$DU580-1+FB$3)*20+卡牌属性!$DX580)</f>
        <v>18</v>
      </c>
      <c r="FC580" s="14">
        <f>INDEX(属性偏向!$U$4:$U$243,(卡牌属性!$DV580-1+FC$3)*20+卡牌属性!$DX580)</f>
        <v>200</v>
      </c>
      <c r="FD580" s="14">
        <f>INDEX(属性偏向!$U$4:$U$243,(卡牌属性!$DV580-1+FD$3)*20+卡牌属性!$DX580)</f>
        <v>250</v>
      </c>
      <c r="FE580" s="14">
        <f>INDEX(属性偏向!$U$4:$U$243,(卡牌属性!$DV580-1+FE$3)*20+卡牌属性!$DX580)</f>
        <v>250</v>
      </c>
      <c r="FF580" s="14">
        <f>INDEX(属性偏向!$U$4:$U$243,(卡牌属性!$DV580-1+FF$3)*20+卡牌属性!$DX580)</f>
        <v>300</v>
      </c>
      <c r="FG580" s="14">
        <f>INDEX(属性偏向!$U$4:$U$243,(卡牌属性!$DV580-1+FG$3)*20+卡牌属性!$DX580)</f>
        <v>350</v>
      </c>
      <c r="FH580" s="14">
        <f>INDEX(属性投放!$BQ$6:$BQ$85,(卡牌属性!$DW580-2)*20+卡牌属性!$DX580)</f>
        <v>700</v>
      </c>
      <c r="FI580" s="14">
        <f>INDEX(属性投放!$BQ$6:$BQ$85,(卡牌属性!$DW580-2)*20+卡牌属性!$DX580)</f>
        <v>700</v>
      </c>
      <c r="FJ580" s="14">
        <f>INDEX(属性投放!$BQ$6:$BQ$85,(卡牌属性!$DW580-2)*20+卡牌属性!$DX580)</f>
        <v>700</v>
      </c>
      <c r="FK580" s="14">
        <f>INDEX(属性投放!$BQ$6:$BQ$85,(卡牌属性!$DW580-2)*20+卡牌属性!$DX580)</f>
        <v>700</v>
      </c>
      <c r="FL580" s="14">
        <f>INDEX(属性投放!$BQ$6:$BQ$85,(卡牌属性!$DW580-2)*20+卡牌属性!$DX580)</f>
        <v>700</v>
      </c>
      <c r="FM580" s="14">
        <f>INDEX(属性投放!$BR$6:$BR$85,(卡牌属性!$DW580-2)*20+卡牌属性!$DX580)</f>
        <v>350</v>
      </c>
      <c r="FN580" s="14">
        <f>INDEX(属性投放!$BR$6:$BR$85,(卡牌属性!$DW580-2)*20+卡牌属性!$DX580)</f>
        <v>350</v>
      </c>
      <c r="FO580" s="14">
        <f>INDEX(属性投放!$BR$6:$BR$85,(卡牌属性!$DW580-2)*20+卡牌属性!$DX580)</f>
        <v>350</v>
      </c>
      <c r="FP580" s="14">
        <f>INDEX(属性投放!$BR$6:$BR$85,(卡牌属性!$DW580-2)*20+卡牌属性!$DX580)</f>
        <v>350</v>
      </c>
      <c r="FQ580" s="14">
        <f>INDEX(属性投放!$BR$6:$BR$85,(卡牌属性!$DW580-2)*20+卡牌属性!$DX580)</f>
        <v>350</v>
      </c>
      <c r="FR580" s="14">
        <f>INDEX(属性投放!$BS$6:$BS$85,(卡牌属性!$DW580-2)*20+卡牌属性!$DX580)</f>
        <v>7000</v>
      </c>
      <c r="FS580" s="14">
        <f>INDEX(属性投放!$BS$6:$BS$85,(卡牌属性!$DW580-2)*20+卡牌属性!$DX580)</f>
        <v>7000</v>
      </c>
      <c r="FT580" s="14">
        <f>INDEX(属性投放!$BS$6:$BS$85,(卡牌属性!$DW580-2)*20+卡牌属性!$DX580)</f>
        <v>7000</v>
      </c>
      <c r="FU580" s="14">
        <f>INDEX(属性投放!$BS$6:$BS$85,(卡牌属性!$DW580-2)*20+卡牌属性!$DX580)</f>
        <v>7000</v>
      </c>
      <c r="FV580" s="14">
        <f>INDEX(属性投放!$BS$6:$BS$85,(卡牌属性!$DW580-2)*20+卡牌属性!$DX580)</f>
        <v>7000</v>
      </c>
    </row>
    <row r="581" spans="31:178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>
        <v>577</v>
      </c>
      <c r="BX581" s="13">
        <f t="shared" si="981"/>
        <v>29</v>
      </c>
      <c r="BY581" s="14">
        <f t="shared" si="982"/>
        <v>2</v>
      </c>
      <c r="BZ581" s="14">
        <f t="shared" si="919"/>
        <v>1102999</v>
      </c>
      <c r="CA581" s="14" t="str">
        <f t="shared" si="920"/>
        <v>R守护灵17突</v>
      </c>
      <c r="CB581" s="25" t="s">
        <v>142</v>
      </c>
      <c r="CC581" s="14">
        <v>2</v>
      </c>
      <c r="CD581" s="14">
        <f t="shared" ref="CD581:CD644" si="1003">BW581-INDEX($S$5:$S$43,BX581)</f>
        <v>17</v>
      </c>
      <c r="CE581" s="14" t="s">
        <v>21</v>
      </c>
      <c r="CF581" s="14">
        <f>INDEX(属性投放!$AZ$6:$AZ$85,(BY581-2)*20+CD581)</f>
        <v>10775</v>
      </c>
      <c r="CG581" s="14" t="s">
        <v>22</v>
      </c>
      <c r="CH581" s="14">
        <f>INDEX(属性投放!$BA$6:$BA$85,(BY581-2)*20+CD581)</f>
        <v>5355</v>
      </c>
      <c r="CI581" s="14" t="s">
        <v>510</v>
      </c>
      <c r="CJ581" s="14">
        <f>INDEX(属性投放!$BB$6:$BB$85,(BY581-2)*20+CD581)</f>
        <v>99558</v>
      </c>
      <c r="CK581" s="14" t="s">
        <v>21</v>
      </c>
      <c r="CL581" s="14">
        <f>INDEX(属性投放!$BC$6:$BC$85,(BY581-2)*20+CD581)</f>
        <v>20</v>
      </c>
      <c r="CM581" s="14" t="s">
        <v>22</v>
      </c>
      <c r="CN581" s="14">
        <f>INDEX(属性投放!$BD$6:$BD$85,(BY581-2)*20+CD581)</f>
        <v>10</v>
      </c>
      <c r="CO581" s="14" t="s">
        <v>510</v>
      </c>
      <c r="CP581" s="14">
        <f>INDEX(属性投放!$BE$6:$BE$85,(BY581-2)*20+CD581)</f>
        <v>200</v>
      </c>
      <c r="CS581" s="13">
        <v>577</v>
      </c>
      <c r="CT581" s="13">
        <f t="shared" si="921"/>
        <v>12</v>
      </c>
      <c r="CU581" s="13">
        <f t="shared" si="922"/>
        <v>5</v>
      </c>
      <c r="CV581" s="14">
        <f t="shared" si="923"/>
        <v>5</v>
      </c>
      <c r="CW581" s="14">
        <f t="shared" si="924"/>
        <v>1102012</v>
      </c>
      <c r="CX581" s="14" t="str">
        <f>INDEX($O$6:$O$50,CT581)&amp;"-"&amp;INDEX(属性投放!$AB$7:$AB$50,CZ581)&amp;"-魂火-"&amp;DB581</f>
        <v>夏侯惇-黑绳+1-魂火-2</v>
      </c>
      <c r="CY581" s="25" t="s">
        <v>142</v>
      </c>
      <c r="CZ581" s="14">
        <f>INDEX(属性投放!$AM$7:$AM$58,CU581)</f>
        <v>3</v>
      </c>
      <c r="DA581" s="14" t="s">
        <v>537</v>
      </c>
      <c r="DB581" s="14">
        <f>INDEX(属性投放!$AN$7:$AN$58,CU581)</f>
        <v>2</v>
      </c>
      <c r="DC581" s="14">
        <f t="shared" ref="DC581:DC644" si="1004">CU581</f>
        <v>5</v>
      </c>
      <c r="DD581" s="14">
        <f>INDEX(属性投放!$AO$7:$AO$58,DC581)</f>
        <v>23</v>
      </c>
      <c r="DE581" s="14" t="s">
        <v>538</v>
      </c>
      <c r="DF581" s="14">
        <f>INDEX(属性投放!$BK$6:$BK$85,(CV581-2)*20+CZ581)</f>
        <v>45</v>
      </c>
      <c r="DG581" s="14">
        <f>SUMIFS(DF$5:DF581,$CT$5:$CT581,"="&amp;$CT581)</f>
        <v>205</v>
      </c>
      <c r="DH581" s="14" t="s">
        <v>539</v>
      </c>
      <c r="DI581" s="14">
        <f>INDEX(属性投放!$BL$6:$BL$85,(CV581-2)*20+CZ581)</f>
        <v>23</v>
      </c>
      <c r="DJ581" s="14">
        <f>SUMIFS(DI$5:DI581,$CT$5:$CT581,"="&amp;$CT581)</f>
        <v>104</v>
      </c>
      <c r="DK581" s="14" t="s">
        <v>540</v>
      </c>
      <c r="DL581" s="14">
        <f>INDEX(属性投放!$BM$6:$BM$85,(CV581-2)*20+CZ581)</f>
        <v>270</v>
      </c>
      <c r="DM581" s="14">
        <f>SUMIFS(DL$5:DL581,$CT$5:$CT581,"="&amp;$CT581)</f>
        <v>1230</v>
      </c>
      <c r="DR581" s="14">
        <f t="shared" si="983"/>
        <v>1102999</v>
      </c>
      <c r="DS581" s="14" t="str">
        <f t="shared" si="984"/>
        <v>R守护灵17突</v>
      </c>
      <c r="DT581" s="14">
        <f t="shared" si="925"/>
        <v>3</v>
      </c>
      <c r="DU581" s="14">
        <f t="shared" si="926"/>
        <v>3</v>
      </c>
      <c r="DV581" s="14">
        <f t="shared" si="927"/>
        <v>3</v>
      </c>
      <c r="DW581" s="14">
        <f t="shared" si="985"/>
        <v>2</v>
      </c>
      <c r="DX581" s="14">
        <f t="shared" si="986"/>
        <v>17</v>
      </c>
      <c r="DY581" s="14">
        <f t="shared" si="987"/>
        <v>17</v>
      </c>
      <c r="DZ581" s="14">
        <f>INDEX(属性投放!$AX$6:$AX$85,(卡牌属性!DW581-2)*20+卡牌属性!DX581)</f>
        <v>8</v>
      </c>
      <c r="EA581" s="14">
        <f>INDEX(属性投放!BQ$6:BQ$85,卡牌属性!$DY581)</f>
        <v>800</v>
      </c>
      <c r="EB581" s="14">
        <f>INDEX(属性投放!BR$6:BR$85,卡牌属性!$DY581)</f>
        <v>400</v>
      </c>
      <c r="EC581" s="14">
        <f>INDEX(属性投放!BS$6:BS$85,卡牌属性!$DY581)</f>
        <v>8000</v>
      </c>
      <c r="ED581" s="14">
        <f t="shared" si="988"/>
        <v>4900</v>
      </c>
      <c r="EE581" s="14">
        <f t="shared" si="989"/>
        <v>5265</v>
      </c>
      <c r="EF581" s="14">
        <f t="shared" si="990"/>
        <v>5696</v>
      </c>
      <c r="EG581" s="14">
        <f t="shared" si="991"/>
        <v>5696</v>
      </c>
      <c r="EH581" s="14">
        <f t="shared" si="992"/>
        <v>5889</v>
      </c>
      <c r="EI581" s="14">
        <f t="shared" si="993"/>
        <v>2424</v>
      </c>
      <c r="EJ581" s="14">
        <f t="shared" si="994"/>
        <v>2605</v>
      </c>
      <c r="EK581" s="14">
        <f t="shared" si="995"/>
        <v>2605</v>
      </c>
      <c r="EL581" s="14">
        <f t="shared" si="996"/>
        <v>2824</v>
      </c>
      <c r="EM581" s="14">
        <f t="shared" si="997"/>
        <v>2923</v>
      </c>
      <c r="EN581" s="14">
        <f t="shared" si="998"/>
        <v>44038</v>
      </c>
      <c r="EO581" s="14">
        <f t="shared" si="999"/>
        <v>47092</v>
      </c>
      <c r="EP581" s="14">
        <f t="shared" si="1000"/>
        <v>47092</v>
      </c>
      <c r="EQ581" s="14">
        <f t="shared" si="1001"/>
        <v>50710</v>
      </c>
      <c r="ER581" s="14">
        <f t="shared" si="1002"/>
        <v>52224</v>
      </c>
      <c r="ES581" s="14">
        <f>INDEX(属性偏向!$S$4:$S$243,(卡牌属性!$DT581-1+ES$3)*20+卡牌属性!$DX581)</f>
        <v>20</v>
      </c>
      <c r="ET581" s="14">
        <f>INDEX(属性偏向!$S$4:$S$243,(卡牌属性!$DT581-1+ET$3)*20+卡牌属性!$DX581)</f>
        <v>25</v>
      </c>
      <c r="EU581" s="14">
        <f>INDEX(属性偏向!$S$4:$S$243,(卡牌属性!$DT581-1+EU$3)*20+卡牌属性!$DX581)</f>
        <v>30</v>
      </c>
      <c r="EV581" s="14">
        <f>INDEX(属性偏向!$S$4:$S$243,(卡牌属性!$DT581-1+EV$3)*20+卡牌属性!$DX581)</f>
        <v>30</v>
      </c>
      <c r="EW581" s="14">
        <f>INDEX(属性偏向!$S$4:$S$243,(卡牌属性!$DT581-1+EW$3)*20+卡牌属性!$DX581)</f>
        <v>35</v>
      </c>
      <c r="EX581" s="14">
        <f>INDEX(属性偏向!$T$4:$T$243,(卡牌属性!$DU581-1+EX$3)*20+卡牌属性!$DX581)</f>
        <v>10</v>
      </c>
      <c r="EY581" s="14">
        <f>INDEX(属性偏向!$T$4:$T$243,(卡牌属性!$DU581-1+EY$3)*20+卡牌属性!$DX581)</f>
        <v>13</v>
      </c>
      <c r="EZ581" s="14">
        <f>INDEX(属性偏向!$T$4:$T$243,(卡牌属性!$DU581-1+EZ$3)*20+卡牌属性!$DX581)</f>
        <v>13</v>
      </c>
      <c r="FA581" s="14">
        <f>INDEX(属性偏向!$T$4:$T$243,(卡牌属性!$DU581-1+FA$3)*20+卡牌属性!$DX581)</f>
        <v>15</v>
      </c>
      <c r="FB581" s="14">
        <f>INDEX(属性偏向!$T$4:$T$243,(卡牌属性!$DU581-1+FB$3)*20+卡牌属性!$DX581)</f>
        <v>18</v>
      </c>
      <c r="FC581" s="14">
        <f>INDEX(属性偏向!$U$4:$U$243,(卡牌属性!$DV581-1+FC$3)*20+卡牌属性!$DX581)</f>
        <v>200</v>
      </c>
      <c r="FD581" s="14">
        <f>INDEX(属性偏向!$U$4:$U$243,(卡牌属性!$DV581-1+FD$3)*20+卡牌属性!$DX581)</f>
        <v>250</v>
      </c>
      <c r="FE581" s="14">
        <f>INDEX(属性偏向!$U$4:$U$243,(卡牌属性!$DV581-1+FE$3)*20+卡牌属性!$DX581)</f>
        <v>250</v>
      </c>
      <c r="FF581" s="14">
        <f>INDEX(属性偏向!$U$4:$U$243,(卡牌属性!$DV581-1+FF$3)*20+卡牌属性!$DX581)</f>
        <v>300</v>
      </c>
      <c r="FG581" s="14">
        <f>INDEX(属性偏向!$U$4:$U$243,(卡牌属性!$DV581-1+FG$3)*20+卡牌属性!$DX581)</f>
        <v>350</v>
      </c>
      <c r="FH581" s="14">
        <f>INDEX(属性投放!$BQ$6:$BQ$85,(卡牌属性!$DW581-2)*20+卡牌属性!$DX581)</f>
        <v>800</v>
      </c>
      <c r="FI581" s="14">
        <f>INDEX(属性投放!$BQ$6:$BQ$85,(卡牌属性!$DW581-2)*20+卡牌属性!$DX581)</f>
        <v>800</v>
      </c>
      <c r="FJ581" s="14">
        <f>INDEX(属性投放!$BQ$6:$BQ$85,(卡牌属性!$DW581-2)*20+卡牌属性!$DX581)</f>
        <v>800</v>
      </c>
      <c r="FK581" s="14">
        <f>INDEX(属性投放!$BQ$6:$BQ$85,(卡牌属性!$DW581-2)*20+卡牌属性!$DX581)</f>
        <v>800</v>
      </c>
      <c r="FL581" s="14">
        <f>INDEX(属性投放!$BQ$6:$BQ$85,(卡牌属性!$DW581-2)*20+卡牌属性!$DX581)</f>
        <v>800</v>
      </c>
      <c r="FM581" s="14">
        <f>INDEX(属性投放!$BR$6:$BR$85,(卡牌属性!$DW581-2)*20+卡牌属性!$DX581)</f>
        <v>400</v>
      </c>
      <c r="FN581" s="14">
        <f>INDEX(属性投放!$BR$6:$BR$85,(卡牌属性!$DW581-2)*20+卡牌属性!$DX581)</f>
        <v>400</v>
      </c>
      <c r="FO581" s="14">
        <f>INDEX(属性投放!$BR$6:$BR$85,(卡牌属性!$DW581-2)*20+卡牌属性!$DX581)</f>
        <v>400</v>
      </c>
      <c r="FP581" s="14">
        <f>INDEX(属性投放!$BR$6:$BR$85,(卡牌属性!$DW581-2)*20+卡牌属性!$DX581)</f>
        <v>400</v>
      </c>
      <c r="FQ581" s="14">
        <f>INDEX(属性投放!$BR$6:$BR$85,(卡牌属性!$DW581-2)*20+卡牌属性!$DX581)</f>
        <v>400</v>
      </c>
      <c r="FR581" s="14">
        <f>INDEX(属性投放!$BS$6:$BS$85,(卡牌属性!$DW581-2)*20+卡牌属性!$DX581)</f>
        <v>8000</v>
      </c>
      <c r="FS581" s="14">
        <f>INDEX(属性投放!$BS$6:$BS$85,(卡牌属性!$DW581-2)*20+卡牌属性!$DX581)</f>
        <v>8000</v>
      </c>
      <c r="FT581" s="14">
        <f>INDEX(属性投放!$BS$6:$BS$85,(卡牌属性!$DW581-2)*20+卡牌属性!$DX581)</f>
        <v>8000</v>
      </c>
      <c r="FU581" s="14">
        <f>INDEX(属性投放!$BS$6:$BS$85,(卡牌属性!$DW581-2)*20+卡牌属性!$DX581)</f>
        <v>8000</v>
      </c>
      <c r="FV581" s="14">
        <f>INDEX(属性投放!$BS$6:$BS$85,(卡牌属性!$DW581-2)*20+卡牌属性!$DX581)</f>
        <v>8000</v>
      </c>
    </row>
    <row r="582" spans="31:178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>
        <v>578</v>
      </c>
      <c r="BX582" s="13">
        <f t="shared" si="981"/>
        <v>29</v>
      </c>
      <c r="BY582" s="14">
        <f t="shared" si="982"/>
        <v>2</v>
      </c>
      <c r="BZ582" s="14">
        <f t="shared" ref="BZ582:BZ644" si="1005">INDEX($N$6:$N$43,BX582)</f>
        <v>1102999</v>
      </c>
      <c r="CA582" s="14" t="str">
        <f t="shared" ref="CA582:CA644" si="1006">INDEX($O$6:$O$43,BX582)&amp;CD582&amp;"突"</f>
        <v>R守护灵18突</v>
      </c>
      <c r="CB582" s="25" t="s">
        <v>142</v>
      </c>
      <c r="CC582" s="14">
        <v>2</v>
      </c>
      <c r="CD582" s="14">
        <f t="shared" si="1003"/>
        <v>18</v>
      </c>
      <c r="CE582" s="14" t="s">
        <v>21</v>
      </c>
      <c r="CF582" s="14">
        <f>INDEX(属性投放!$AZ$6:$AZ$85,(BY582-2)*20+CD582)</f>
        <v>13385</v>
      </c>
      <c r="CG582" s="14" t="s">
        <v>22</v>
      </c>
      <c r="CH582" s="14">
        <f>INDEX(属性投放!$BA$6:$BA$85,(BY582-2)*20+CD582)</f>
        <v>6660</v>
      </c>
      <c r="CI582" s="14" t="s">
        <v>510</v>
      </c>
      <c r="CJ582" s="14">
        <f>INDEX(属性投放!$BB$6:$BB$85,(BY582-2)*20+CD582)</f>
        <v>125658</v>
      </c>
      <c r="CK582" s="14" t="s">
        <v>21</v>
      </c>
      <c r="CL582" s="14">
        <f>INDEX(属性投放!$BC$6:$BC$85,(BY582-2)*20+CD582)</f>
        <v>20</v>
      </c>
      <c r="CM582" s="14" t="s">
        <v>22</v>
      </c>
      <c r="CN582" s="14">
        <f>INDEX(属性投放!$BD$6:$BD$85,(BY582-2)*20+CD582)</f>
        <v>10</v>
      </c>
      <c r="CO582" s="14" t="s">
        <v>510</v>
      </c>
      <c r="CP582" s="14">
        <f>INDEX(属性投放!$BE$6:$BE$85,(BY582-2)*20+CD582)</f>
        <v>200</v>
      </c>
      <c r="CS582" s="13">
        <v>578</v>
      </c>
      <c r="CT582" s="13">
        <f t="shared" ref="CT582:CT645" si="1007">MATCH(CS582-1,$U$5:$U$36,1)</f>
        <v>12</v>
      </c>
      <c r="CU582" s="13">
        <f t="shared" ref="CU582:CU645" si="1008">CS582-(CT582-1)*52</f>
        <v>6</v>
      </c>
      <c r="CV582" s="14">
        <f t="shared" ref="CV582:CV645" si="1009">INDEX($Q$6:$Q$50,CT582)</f>
        <v>5</v>
      </c>
      <c r="CW582" s="14">
        <f t="shared" ref="CW582:CW645" si="1010">INDEX($N$6:$N$50,CT582)</f>
        <v>1102012</v>
      </c>
      <c r="CX582" s="14" t="str">
        <f>INDEX($O$6:$O$50,CT582)&amp;"-"&amp;INDEX(属性投放!$AB$7:$AB$50,CZ582)&amp;"-魂火-"&amp;DB582</f>
        <v>夏侯惇-众合-魂火-1</v>
      </c>
      <c r="CY582" s="25" t="s">
        <v>142</v>
      </c>
      <c r="CZ582" s="14">
        <f>INDEX(属性投放!$AM$7:$AM$58,CU582)</f>
        <v>4</v>
      </c>
      <c r="DA582" s="14" t="s">
        <v>537</v>
      </c>
      <c r="DB582" s="14">
        <f>INDEX(属性投放!$AN$7:$AN$58,CU582)</f>
        <v>1</v>
      </c>
      <c r="DC582" s="14">
        <f t="shared" si="1004"/>
        <v>6</v>
      </c>
      <c r="DD582" s="14">
        <f>INDEX(属性投放!$AO$7:$AO$58,DC582)</f>
        <v>28</v>
      </c>
      <c r="DE582" s="14" t="s">
        <v>538</v>
      </c>
      <c r="DF582" s="14">
        <f>INDEX(属性投放!$BK$6:$BK$85,(CV582-2)*20+CZ582)</f>
        <v>60</v>
      </c>
      <c r="DG582" s="14">
        <f>SUMIFS(DF$5:DF582,$CT$5:$CT582,"="&amp;$CT582)</f>
        <v>265</v>
      </c>
      <c r="DH582" s="14" t="s">
        <v>539</v>
      </c>
      <c r="DI582" s="14">
        <f>INDEX(属性投放!$BL$6:$BL$85,(CV582-2)*20+CZ582)</f>
        <v>30</v>
      </c>
      <c r="DJ582" s="14">
        <f>SUMIFS(DI$5:DI582,$CT$5:$CT582,"="&amp;$CT582)</f>
        <v>134</v>
      </c>
      <c r="DK582" s="14" t="s">
        <v>540</v>
      </c>
      <c r="DL582" s="14">
        <f>INDEX(属性投放!$BM$6:$BM$85,(CV582-2)*20+CZ582)</f>
        <v>420</v>
      </c>
      <c r="DM582" s="14">
        <f>SUMIFS(DL$5:DL582,$CT$5:$CT582,"="&amp;$CT582)</f>
        <v>1650</v>
      </c>
      <c r="DR582" s="14">
        <f t="shared" si="983"/>
        <v>1102999</v>
      </c>
      <c r="DS582" s="14" t="str">
        <f t="shared" si="984"/>
        <v>R守护灵18突</v>
      </c>
      <c r="DT582" s="14">
        <f t="shared" ref="DT582:DT644" si="1011">INDEX(Y$6:Y$43,$BX582)</f>
        <v>3</v>
      </c>
      <c r="DU582" s="14">
        <f t="shared" ref="DU582:DU644" si="1012">INDEX(Z$6:Z$43,$BX582)</f>
        <v>3</v>
      </c>
      <c r="DV582" s="14">
        <f t="shared" ref="DV582:DV644" si="1013">INDEX(AA$6:AA$43,$BX582)</f>
        <v>3</v>
      </c>
      <c r="DW582" s="14">
        <f t="shared" si="985"/>
        <v>2</v>
      </c>
      <c r="DX582" s="14">
        <f t="shared" si="986"/>
        <v>18</v>
      </c>
      <c r="DY582" s="14">
        <f t="shared" si="987"/>
        <v>18</v>
      </c>
      <c r="DZ582" s="14">
        <f>INDEX(属性投放!$AX$6:$AX$85,(卡牌属性!DW582-2)*20+卡牌属性!DX582)</f>
        <v>7</v>
      </c>
      <c r="EA582" s="14">
        <f>INDEX(属性投放!BQ$6:BQ$85,卡牌属性!$DY582)</f>
        <v>1400</v>
      </c>
      <c r="EB582" s="14">
        <f>INDEX(属性投放!BR$6:BR$85,卡牌属性!$DY582)</f>
        <v>700</v>
      </c>
      <c r="EC582" s="14">
        <f>INDEX(属性投放!BS$6:BS$85,卡牌属性!$DY582)</f>
        <v>14000</v>
      </c>
      <c r="ED582" s="14">
        <f t="shared" si="988"/>
        <v>5860</v>
      </c>
      <c r="EE582" s="14">
        <f t="shared" si="989"/>
        <v>6265</v>
      </c>
      <c r="EF582" s="14">
        <f t="shared" si="990"/>
        <v>6736</v>
      </c>
      <c r="EG582" s="14">
        <f t="shared" si="991"/>
        <v>6736</v>
      </c>
      <c r="EH582" s="14">
        <f t="shared" si="992"/>
        <v>6969</v>
      </c>
      <c r="EI582" s="14">
        <f t="shared" si="993"/>
        <v>2904</v>
      </c>
      <c r="EJ582" s="14">
        <f t="shared" si="994"/>
        <v>3109</v>
      </c>
      <c r="EK582" s="14">
        <f t="shared" si="995"/>
        <v>3109</v>
      </c>
      <c r="EL582" s="14">
        <f t="shared" si="996"/>
        <v>3344</v>
      </c>
      <c r="EM582" s="14">
        <f t="shared" si="997"/>
        <v>3467</v>
      </c>
      <c r="EN582" s="14">
        <f t="shared" si="998"/>
        <v>53638</v>
      </c>
      <c r="EO582" s="14">
        <f t="shared" si="999"/>
        <v>57092</v>
      </c>
      <c r="EP582" s="14">
        <f t="shared" si="1000"/>
        <v>57092</v>
      </c>
      <c r="EQ582" s="14">
        <f t="shared" si="1001"/>
        <v>61110</v>
      </c>
      <c r="ER582" s="14">
        <f t="shared" si="1002"/>
        <v>63024</v>
      </c>
      <c r="ES582" s="14">
        <f>INDEX(属性偏向!$S$4:$S$243,(卡牌属性!$DT582-1+ES$3)*20+卡牌属性!$DX582)</f>
        <v>20</v>
      </c>
      <c r="ET582" s="14">
        <f>INDEX(属性偏向!$S$4:$S$243,(卡牌属性!$DT582-1+ET$3)*20+卡牌属性!$DX582)</f>
        <v>25</v>
      </c>
      <c r="EU582" s="14">
        <f>INDEX(属性偏向!$S$4:$S$243,(卡牌属性!$DT582-1+EU$3)*20+卡牌属性!$DX582)</f>
        <v>30</v>
      </c>
      <c r="EV582" s="14">
        <f>INDEX(属性偏向!$S$4:$S$243,(卡牌属性!$DT582-1+EV$3)*20+卡牌属性!$DX582)</f>
        <v>30</v>
      </c>
      <c r="EW582" s="14">
        <f>INDEX(属性偏向!$S$4:$S$243,(卡牌属性!$DT582-1+EW$3)*20+卡牌属性!$DX582)</f>
        <v>35</v>
      </c>
      <c r="EX582" s="14">
        <f>INDEX(属性偏向!$T$4:$T$243,(卡牌属性!$DU582-1+EX$3)*20+卡牌属性!$DX582)</f>
        <v>10</v>
      </c>
      <c r="EY582" s="14">
        <f>INDEX(属性偏向!$T$4:$T$243,(卡牌属性!$DU582-1+EY$3)*20+卡牌属性!$DX582)</f>
        <v>13</v>
      </c>
      <c r="EZ582" s="14">
        <f>INDEX(属性偏向!$T$4:$T$243,(卡牌属性!$DU582-1+EZ$3)*20+卡牌属性!$DX582)</f>
        <v>13</v>
      </c>
      <c r="FA582" s="14">
        <f>INDEX(属性偏向!$T$4:$T$243,(卡牌属性!$DU582-1+FA$3)*20+卡牌属性!$DX582)</f>
        <v>15</v>
      </c>
      <c r="FB582" s="14">
        <f>INDEX(属性偏向!$T$4:$T$243,(卡牌属性!$DU582-1+FB$3)*20+卡牌属性!$DX582)</f>
        <v>18</v>
      </c>
      <c r="FC582" s="14">
        <f>INDEX(属性偏向!$U$4:$U$243,(卡牌属性!$DV582-1+FC$3)*20+卡牌属性!$DX582)</f>
        <v>200</v>
      </c>
      <c r="FD582" s="14">
        <f>INDEX(属性偏向!$U$4:$U$243,(卡牌属性!$DV582-1+FD$3)*20+卡牌属性!$DX582)</f>
        <v>250</v>
      </c>
      <c r="FE582" s="14">
        <f>INDEX(属性偏向!$U$4:$U$243,(卡牌属性!$DV582-1+FE$3)*20+卡牌属性!$DX582)</f>
        <v>250</v>
      </c>
      <c r="FF582" s="14">
        <f>INDEX(属性偏向!$U$4:$U$243,(卡牌属性!$DV582-1+FF$3)*20+卡牌属性!$DX582)</f>
        <v>300</v>
      </c>
      <c r="FG582" s="14">
        <f>INDEX(属性偏向!$U$4:$U$243,(卡牌属性!$DV582-1+FG$3)*20+卡牌属性!$DX582)</f>
        <v>350</v>
      </c>
      <c r="FH582" s="14">
        <f>INDEX(属性投放!$BQ$6:$BQ$85,(卡牌属性!$DW582-2)*20+卡牌属性!$DX582)</f>
        <v>1400</v>
      </c>
      <c r="FI582" s="14">
        <f>INDEX(属性投放!$BQ$6:$BQ$85,(卡牌属性!$DW582-2)*20+卡牌属性!$DX582)</f>
        <v>1400</v>
      </c>
      <c r="FJ582" s="14">
        <f>INDEX(属性投放!$BQ$6:$BQ$85,(卡牌属性!$DW582-2)*20+卡牌属性!$DX582)</f>
        <v>1400</v>
      </c>
      <c r="FK582" s="14">
        <f>INDEX(属性投放!$BQ$6:$BQ$85,(卡牌属性!$DW582-2)*20+卡牌属性!$DX582)</f>
        <v>1400</v>
      </c>
      <c r="FL582" s="14">
        <f>INDEX(属性投放!$BQ$6:$BQ$85,(卡牌属性!$DW582-2)*20+卡牌属性!$DX582)</f>
        <v>1400</v>
      </c>
      <c r="FM582" s="14">
        <f>INDEX(属性投放!$BR$6:$BR$85,(卡牌属性!$DW582-2)*20+卡牌属性!$DX582)</f>
        <v>700</v>
      </c>
      <c r="FN582" s="14">
        <f>INDEX(属性投放!$BR$6:$BR$85,(卡牌属性!$DW582-2)*20+卡牌属性!$DX582)</f>
        <v>700</v>
      </c>
      <c r="FO582" s="14">
        <f>INDEX(属性投放!$BR$6:$BR$85,(卡牌属性!$DW582-2)*20+卡牌属性!$DX582)</f>
        <v>700</v>
      </c>
      <c r="FP582" s="14">
        <f>INDEX(属性投放!$BR$6:$BR$85,(卡牌属性!$DW582-2)*20+卡牌属性!$DX582)</f>
        <v>700</v>
      </c>
      <c r="FQ582" s="14">
        <f>INDEX(属性投放!$BR$6:$BR$85,(卡牌属性!$DW582-2)*20+卡牌属性!$DX582)</f>
        <v>700</v>
      </c>
      <c r="FR582" s="14">
        <f>INDEX(属性投放!$BS$6:$BS$85,(卡牌属性!$DW582-2)*20+卡牌属性!$DX582)</f>
        <v>14000</v>
      </c>
      <c r="FS582" s="14">
        <f>INDEX(属性投放!$BS$6:$BS$85,(卡牌属性!$DW582-2)*20+卡牌属性!$DX582)</f>
        <v>14000</v>
      </c>
      <c r="FT582" s="14">
        <f>INDEX(属性投放!$BS$6:$BS$85,(卡牌属性!$DW582-2)*20+卡牌属性!$DX582)</f>
        <v>14000</v>
      </c>
      <c r="FU582" s="14">
        <f>INDEX(属性投放!$BS$6:$BS$85,(卡牌属性!$DW582-2)*20+卡牌属性!$DX582)</f>
        <v>14000</v>
      </c>
      <c r="FV582" s="14">
        <f>INDEX(属性投放!$BS$6:$BS$85,(卡牌属性!$DW582-2)*20+卡牌属性!$DX582)</f>
        <v>14000</v>
      </c>
    </row>
    <row r="583" spans="31:178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>
        <v>579</v>
      </c>
      <c r="BX583" s="13">
        <f t="shared" si="981"/>
        <v>29</v>
      </c>
      <c r="BY583" s="14">
        <f t="shared" si="982"/>
        <v>2</v>
      </c>
      <c r="BZ583" s="14">
        <f t="shared" si="1005"/>
        <v>1102999</v>
      </c>
      <c r="CA583" s="14" t="str">
        <f t="shared" si="1006"/>
        <v>R守护灵19突</v>
      </c>
      <c r="CB583" s="25" t="s">
        <v>142</v>
      </c>
      <c r="CC583" s="14">
        <v>2</v>
      </c>
      <c r="CD583" s="14">
        <f t="shared" si="1003"/>
        <v>19</v>
      </c>
      <c r="CE583" s="14" t="s">
        <v>21</v>
      </c>
      <c r="CF583" s="14">
        <f>INDEX(属性投放!$AZ$6:$AZ$85,(BY583-2)*20+CD583)</f>
        <v>16965</v>
      </c>
      <c r="CG583" s="14" t="s">
        <v>22</v>
      </c>
      <c r="CH583" s="14">
        <f>INDEX(属性投放!$BA$6:$BA$85,(BY583-2)*20+CD583)</f>
        <v>8450</v>
      </c>
      <c r="CI583" s="14" t="s">
        <v>510</v>
      </c>
      <c r="CJ583" s="14">
        <f>INDEX(属性投放!$BB$6:$BB$85,(BY583-2)*20+CD583)</f>
        <v>161458</v>
      </c>
      <c r="CK583" s="14" t="s">
        <v>21</v>
      </c>
      <c r="CL583" s="14">
        <f>INDEX(属性投放!$BC$6:$BC$85,(BY583-2)*20+CD583)</f>
        <v>25</v>
      </c>
      <c r="CM583" s="14" t="s">
        <v>22</v>
      </c>
      <c r="CN583" s="14">
        <f>INDEX(属性投放!$BD$6:$BD$85,(BY583-2)*20+CD583)</f>
        <v>13</v>
      </c>
      <c r="CO583" s="14" t="s">
        <v>510</v>
      </c>
      <c r="CP583" s="14">
        <f>INDEX(属性投放!$BE$6:$BE$85,(BY583-2)*20+CD583)</f>
        <v>250</v>
      </c>
      <c r="CS583" s="13">
        <v>579</v>
      </c>
      <c r="CT583" s="13">
        <f t="shared" si="1007"/>
        <v>12</v>
      </c>
      <c r="CU583" s="13">
        <f t="shared" si="1008"/>
        <v>7</v>
      </c>
      <c r="CV583" s="14">
        <f t="shared" si="1009"/>
        <v>5</v>
      </c>
      <c r="CW583" s="14">
        <f t="shared" si="1010"/>
        <v>1102012</v>
      </c>
      <c r="CX583" s="14" t="str">
        <f>INDEX($O$6:$O$50,CT583)&amp;"-"&amp;INDEX(属性投放!$AB$7:$AB$50,CZ583)&amp;"-魂火-"&amp;DB583</f>
        <v>夏侯惇-众合-魂火-2</v>
      </c>
      <c r="CY583" s="25" t="s">
        <v>142</v>
      </c>
      <c r="CZ583" s="14">
        <f>INDEX(属性投放!$AM$7:$AM$58,CU583)</f>
        <v>4</v>
      </c>
      <c r="DA583" s="14" t="s">
        <v>537</v>
      </c>
      <c r="DB583" s="14">
        <f>INDEX(属性投放!$AN$7:$AN$58,CU583)</f>
        <v>2</v>
      </c>
      <c r="DC583" s="14">
        <f t="shared" si="1004"/>
        <v>7</v>
      </c>
      <c r="DD583" s="14">
        <f>INDEX(属性投放!$AO$7:$AO$58,DC583)</f>
        <v>33</v>
      </c>
      <c r="DE583" s="14" t="s">
        <v>538</v>
      </c>
      <c r="DF583" s="14">
        <f>INDEX(属性投放!$BK$6:$BK$85,(CV583-2)*20+CZ583)</f>
        <v>60</v>
      </c>
      <c r="DG583" s="14">
        <f>SUMIFS(DF$5:DF583,$CT$5:$CT583,"="&amp;$CT583)</f>
        <v>325</v>
      </c>
      <c r="DH583" s="14" t="s">
        <v>539</v>
      </c>
      <c r="DI583" s="14">
        <f>INDEX(属性投放!$BL$6:$BL$85,(CV583-2)*20+CZ583)</f>
        <v>30</v>
      </c>
      <c r="DJ583" s="14">
        <f>SUMIFS(DI$5:DI583,$CT$5:$CT583,"="&amp;$CT583)</f>
        <v>164</v>
      </c>
      <c r="DK583" s="14" t="s">
        <v>540</v>
      </c>
      <c r="DL583" s="14">
        <f>INDEX(属性投放!$BM$6:$BM$85,(CV583-2)*20+CZ583)</f>
        <v>420</v>
      </c>
      <c r="DM583" s="14">
        <f>SUMIFS(DL$5:DL583,$CT$5:$CT583,"="&amp;$CT583)</f>
        <v>2070</v>
      </c>
      <c r="DR583" s="14">
        <f t="shared" si="983"/>
        <v>1102999</v>
      </c>
      <c r="DS583" s="14" t="str">
        <f t="shared" si="984"/>
        <v>R守护灵19突</v>
      </c>
      <c r="DT583" s="14">
        <f t="shared" si="1011"/>
        <v>3</v>
      </c>
      <c r="DU583" s="14">
        <f t="shared" si="1012"/>
        <v>3</v>
      </c>
      <c r="DV583" s="14">
        <f t="shared" si="1013"/>
        <v>3</v>
      </c>
      <c r="DW583" s="14">
        <f t="shared" si="985"/>
        <v>2</v>
      </c>
      <c r="DX583" s="14">
        <f t="shared" si="986"/>
        <v>19</v>
      </c>
      <c r="DY583" s="14">
        <f t="shared" si="987"/>
        <v>19</v>
      </c>
      <c r="DZ583" s="14">
        <f>INDEX(属性投放!$AX$6:$AX$85,(卡牌属性!DW583-2)*20+卡牌属性!DX583)</f>
        <v>8</v>
      </c>
      <c r="EA583" s="14">
        <f>INDEX(属性投放!BQ$6:BQ$85,卡牌属性!$DY583)</f>
        <v>1400</v>
      </c>
      <c r="EB583" s="14">
        <f>INDEX(属性投放!BR$6:BR$85,卡牌属性!$DY583)</f>
        <v>700</v>
      </c>
      <c r="EC583" s="14">
        <f>INDEX(属性投放!BS$6:BS$85,卡牌属性!$DY583)</f>
        <v>14000</v>
      </c>
      <c r="ED583" s="14">
        <f t="shared" si="988"/>
        <v>7400</v>
      </c>
      <c r="EE583" s="14">
        <f t="shared" si="989"/>
        <v>7840</v>
      </c>
      <c r="EF583" s="14">
        <f t="shared" si="990"/>
        <v>8346</v>
      </c>
      <c r="EG583" s="14">
        <f t="shared" si="991"/>
        <v>8346</v>
      </c>
      <c r="EH583" s="14">
        <f t="shared" si="992"/>
        <v>8614</v>
      </c>
      <c r="EI583" s="14">
        <f t="shared" si="993"/>
        <v>3674</v>
      </c>
      <c r="EJ583" s="14">
        <f t="shared" si="994"/>
        <v>3900</v>
      </c>
      <c r="EK583" s="14">
        <f t="shared" si="995"/>
        <v>3900</v>
      </c>
      <c r="EL583" s="14">
        <f t="shared" si="996"/>
        <v>4149</v>
      </c>
      <c r="EM583" s="14">
        <f t="shared" si="997"/>
        <v>4293</v>
      </c>
      <c r="EN583" s="14">
        <f t="shared" si="998"/>
        <v>69038</v>
      </c>
      <c r="EO583" s="14">
        <f t="shared" si="999"/>
        <v>72842</v>
      </c>
      <c r="EP583" s="14">
        <f t="shared" si="1000"/>
        <v>72842</v>
      </c>
      <c r="EQ583" s="14">
        <f t="shared" si="1001"/>
        <v>77210</v>
      </c>
      <c r="ER583" s="14">
        <f t="shared" si="1002"/>
        <v>79474</v>
      </c>
      <c r="ES583" s="14">
        <f>INDEX(属性偏向!$S$4:$S$243,(卡牌属性!$DT583-1+ES$3)*20+卡牌属性!$DX583)</f>
        <v>25</v>
      </c>
      <c r="ET583" s="14">
        <f>INDEX(属性偏向!$S$4:$S$243,(卡牌属性!$DT583-1+ET$3)*20+卡牌属性!$DX583)</f>
        <v>30</v>
      </c>
      <c r="EU583" s="14">
        <f>INDEX(属性偏向!$S$4:$S$243,(卡牌属性!$DT583-1+EU$3)*20+卡牌属性!$DX583)</f>
        <v>40</v>
      </c>
      <c r="EV583" s="14">
        <f>INDEX(属性偏向!$S$4:$S$243,(卡牌属性!$DT583-1+EV$3)*20+卡牌属性!$DX583)</f>
        <v>40</v>
      </c>
      <c r="EW583" s="14">
        <f>INDEX(属性偏向!$S$4:$S$243,(卡牌属性!$DT583-1+EW$3)*20+卡牌属性!$DX583)</f>
        <v>45</v>
      </c>
      <c r="EX583" s="14">
        <f>INDEX(属性偏向!$T$4:$T$243,(卡牌属性!$DU583-1+EX$3)*20+卡牌属性!$DX583)</f>
        <v>13</v>
      </c>
      <c r="EY583" s="14">
        <f>INDEX(属性偏向!$T$4:$T$243,(卡牌属性!$DU583-1+EY$3)*20+卡牌属性!$DX583)</f>
        <v>15</v>
      </c>
      <c r="EZ583" s="14">
        <f>INDEX(属性偏向!$T$4:$T$243,(卡牌属性!$DU583-1+EZ$3)*20+卡牌属性!$DX583)</f>
        <v>15</v>
      </c>
      <c r="FA583" s="14">
        <f>INDEX(属性偏向!$T$4:$T$243,(卡牌属性!$DU583-1+FA$3)*20+卡牌属性!$DX583)</f>
        <v>20</v>
      </c>
      <c r="FB583" s="14">
        <f>INDEX(属性偏向!$T$4:$T$243,(卡牌属性!$DU583-1+FB$3)*20+卡牌属性!$DX583)</f>
        <v>23</v>
      </c>
      <c r="FC583" s="14">
        <f>INDEX(属性偏向!$U$4:$U$243,(卡牌属性!$DV583-1+FC$3)*20+卡牌属性!$DX583)</f>
        <v>250</v>
      </c>
      <c r="FD583" s="14">
        <f>INDEX(属性偏向!$U$4:$U$243,(卡牌属性!$DV583-1+FD$3)*20+卡牌属性!$DX583)</f>
        <v>300</v>
      </c>
      <c r="FE583" s="14">
        <f>INDEX(属性偏向!$U$4:$U$243,(卡牌属性!$DV583-1+FE$3)*20+卡牌属性!$DX583)</f>
        <v>300</v>
      </c>
      <c r="FF583" s="14">
        <f>INDEX(属性偏向!$U$4:$U$243,(卡牌属性!$DV583-1+FF$3)*20+卡牌属性!$DX583)</f>
        <v>400</v>
      </c>
      <c r="FG583" s="14">
        <f>INDEX(属性偏向!$U$4:$U$243,(卡牌属性!$DV583-1+FG$3)*20+卡牌属性!$DX583)</f>
        <v>450</v>
      </c>
      <c r="FH583" s="14">
        <f>INDEX(属性投放!$BQ$6:$BQ$85,(卡牌属性!$DW583-2)*20+卡牌属性!$DX583)</f>
        <v>1400</v>
      </c>
      <c r="FI583" s="14">
        <f>INDEX(属性投放!$BQ$6:$BQ$85,(卡牌属性!$DW583-2)*20+卡牌属性!$DX583)</f>
        <v>1400</v>
      </c>
      <c r="FJ583" s="14">
        <f>INDEX(属性投放!$BQ$6:$BQ$85,(卡牌属性!$DW583-2)*20+卡牌属性!$DX583)</f>
        <v>1400</v>
      </c>
      <c r="FK583" s="14">
        <f>INDEX(属性投放!$BQ$6:$BQ$85,(卡牌属性!$DW583-2)*20+卡牌属性!$DX583)</f>
        <v>1400</v>
      </c>
      <c r="FL583" s="14">
        <f>INDEX(属性投放!$BQ$6:$BQ$85,(卡牌属性!$DW583-2)*20+卡牌属性!$DX583)</f>
        <v>1400</v>
      </c>
      <c r="FM583" s="14">
        <f>INDEX(属性投放!$BR$6:$BR$85,(卡牌属性!$DW583-2)*20+卡牌属性!$DX583)</f>
        <v>700</v>
      </c>
      <c r="FN583" s="14">
        <f>INDEX(属性投放!$BR$6:$BR$85,(卡牌属性!$DW583-2)*20+卡牌属性!$DX583)</f>
        <v>700</v>
      </c>
      <c r="FO583" s="14">
        <f>INDEX(属性投放!$BR$6:$BR$85,(卡牌属性!$DW583-2)*20+卡牌属性!$DX583)</f>
        <v>700</v>
      </c>
      <c r="FP583" s="14">
        <f>INDEX(属性投放!$BR$6:$BR$85,(卡牌属性!$DW583-2)*20+卡牌属性!$DX583)</f>
        <v>700</v>
      </c>
      <c r="FQ583" s="14">
        <f>INDEX(属性投放!$BR$6:$BR$85,(卡牌属性!$DW583-2)*20+卡牌属性!$DX583)</f>
        <v>700</v>
      </c>
      <c r="FR583" s="14">
        <f>INDEX(属性投放!$BS$6:$BS$85,(卡牌属性!$DW583-2)*20+卡牌属性!$DX583)</f>
        <v>14000</v>
      </c>
      <c r="FS583" s="14">
        <f>INDEX(属性投放!$BS$6:$BS$85,(卡牌属性!$DW583-2)*20+卡牌属性!$DX583)</f>
        <v>14000</v>
      </c>
      <c r="FT583" s="14">
        <f>INDEX(属性投放!$BS$6:$BS$85,(卡牌属性!$DW583-2)*20+卡牌属性!$DX583)</f>
        <v>14000</v>
      </c>
      <c r="FU583" s="14">
        <f>INDEX(属性投放!$BS$6:$BS$85,(卡牌属性!$DW583-2)*20+卡牌属性!$DX583)</f>
        <v>14000</v>
      </c>
      <c r="FV583" s="14">
        <f>INDEX(属性投放!$BS$6:$BS$85,(卡牌属性!$DW583-2)*20+卡牌属性!$DX583)</f>
        <v>14000</v>
      </c>
    </row>
    <row r="584" spans="31:178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>
        <v>580</v>
      </c>
      <c r="BX584" s="13">
        <f t="shared" si="981"/>
        <v>29</v>
      </c>
      <c r="BY584" s="14">
        <f t="shared" si="982"/>
        <v>2</v>
      </c>
      <c r="BZ584" s="14">
        <f t="shared" si="1005"/>
        <v>1102999</v>
      </c>
      <c r="CA584" s="14" t="str">
        <f t="shared" si="1006"/>
        <v>R守护灵20突</v>
      </c>
      <c r="CB584" s="25" t="s">
        <v>142</v>
      </c>
      <c r="CC584" s="14">
        <v>2</v>
      </c>
      <c r="CD584" s="14">
        <f t="shared" si="1003"/>
        <v>20</v>
      </c>
      <c r="CE584" s="14" t="s">
        <v>21</v>
      </c>
      <c r="CF584" s="14">
        <f>INDEX(属性投放!$AZ$6:$AZ$85,(BY584-2)*20+CD584)</f>
        <v>21115</v>
      </c>
      <c r="CG584" s="14" t="s">
        <v>22</v>
      </c>
      <c r="CH584" s="14">
        <f>INDEX(属性投放!$BA$6:$BA$85,(BY584-2)*20+CD584)</f>
        <v>10529</v>
      </c>
      <c r="CI584" s="14" t="s">
        <v>510</v>
      </c>
      <c r="CJ584" s="14">
        <f>INDEX(属性投放!$BB$6:$BB$85,(BY584-2)*20+CD584)</f>
        <v>202958</v>
      </c>
      <c r="CK584" s="14" t="s">
        <v>21</v>
      </c>
      <c r="CL584" s="14">
        <f>INDEX(属性投放!$BC$6:$BC$85,(BY584-2)*20+CD584)</f>
        <v>25</v>
      </c>
      <c r="CM584" s="14" t="s">
        <v>22</v>
      </c>
      <c r="CN584" s="14">
        <f>INDEX(属性投放!$BD$6:$BD$85,(BY584-2)*20+CD584)</f>
        <v>13</v>
      </c>
      <c r="CO584" s="14" t="s">
        <v>510</v>
      </c>
      <c r="CP584" s="14">
        <f>INDEX(属性投放!$BE$6:$BE$85,(BY584-2)*20+CD584)</f>
        <v>250</v>
      </c>
      <c r="CS584" s="13">
        <v>580</v>
      </c>
      <c r="CT584" s="13">
        <f t="shared" si="1007"/>
        <v>12</v>
      </c>
      <c r="CU584" s="13">
        <f t="shared" si="1008"/>
        <v>8</v>
      </c>
      <c r="CV584" s="14">
        <f t="shared" si="1009"/>
        <v>5</v>
      </c>
      <c r="CW584" s="14">
        <f t="shared" si="1010"/>
        <v>1102012</v>
      </c>
      <c r="CX584" s="14" t="str">
        <f>INDEX($O$6:$O$50,CT584)&amp;"-"&amp;INDEX(属性投放!$AB$7:$AB$50,CZ584)&amp;"-魂火-"&amp;DB584</f>
        <v>夏侯惇-众合+1-魂火-1</v>
      </c>
      <c r="CY584" s="25" t="s">
        <v>142</v>
      </c>
      <c r="CZ584" s="14">
        <f>INDEX(属性投放!$AM$7:$AM$58,CU584)</f>
        <v>5</v>
      </c>
      <c r="DA584" s="14" t="s">
        <v>537</v>
      </c>
      <c r="DB584" s="14">
        <f>INDEX(属性投放!$AN$7:$AN$58,CU584)</f>
        <v>1</v>
      </c>
      <c r="DC584" s="14">
        <f t="shared" si="1004"/>
        <v>8</v>
      </c>
      <c r="DD584" s="14">
        <f>INDEX(属性投放!$AO$7:$AO$58,DC584)</f>
        <v>38</v>
      </c>
      <c r="DE584" s="14" t="s">
        <v>538</v>
      </c>
      <c r="DF584" s="14">
        <f>INDEX(属性投放!$BK$6:$BK$85,(CV584-2)*20+CZ584)</f>
        <v>70</v>
      </c>
      <c r="DG584" s="14">
        <f>SUMIFS(DF$5:DF584,$CT$5:$CT584,"="&amp;$CT584)</f>
        <v>395</v>
      </c>
      <c r="DH584" s="14" t="s">
        <v>539</v>
      </c>
      <c r="DI584" s="14">
        <f>INDEX(属性投放!$BL$6:$BL$85,(CV584-2)*20+CZ584)</f>
        <v>35</v>
      </c>
      <c r="DJ584" s="14">
        <f>SUMIFS(DI$5:DI584,$CT$5:$CT584,"="&amp;$CT584)</f>
        <v>199</v>
      </c>
      <c r="DK584" s="14" t="s">
        <v>540</v>
      </c>
      <c r="DL584" s="14">
        <f>INDEX(属性投放!$BM$6:$BM$85,(CV584-2)*20+CZ584)</f>
        <v>490</v>
      </c>
      <c r="DM584" s="14">
        <f>SUMIFS(DL$5:DL584,$CT$5:$CT584,"="&amp;$CT584)</f>
        <v>2560</v>
      </c>
      <c r="DR584" s="14">
        <f t="shared" si="983"/>
        <v>1102999</v>
      </c>
      <c r="DS584" s="14" t="str">
        <f t="shared" si="984"/>
        <v>R守护灵20突</v>
      </c>
      <c r="DT584" s="14">
        <f t="shared" si="1011"/>
        <v>3</v>
      </c>
      <c r="DU584" s="14">
        <f t="shared" si="1012"/>
        <v>3</v>
      </c>
      <c r="DV584" s="14">
        <f t="shared" si="1013"/>
        <v>3</v>
      </c>
      <c r="DW584" s="14">
        <f t="shared" si="985"/>
        <v>2</v>
      </c>
      <c r="DX584" s="14">
        <f t="shared" si="986"/>
        <v>20</v>
      </c>
      <c r="DY584" s="14">
        <f t="shared" si="987"/>
        <v>20</v>
      </c>
      <c r="DZ584" s="14">
        <f>INDEX(属性投放!$AX$6:$AX$85,(卡牌属性!DW584-2)*20+卡牌属性!DX584)</f>
        <v>10</v>
      </c>
      <c r="EA584" s="14">
        <f>INDEX(属性投放!BQ$6:BQ$85,卡牌属性!$DY584)</f>
        <v>1500</v>
      </c>
      <c r="EB584" s="14">
        <f>INDEX(属性投放!BR$6:BR$85,卡牌属性!$DY584)</f>
        <v>750</v>
      </c>
      <c r="EC584" s="14">
        <f>INDEX(属性投放!BS$6:BS$85,卡牌属性!$DY584)</f>
        <v>15000</v>
      </c>
      <c r="ED584" s="14">
        <f t="shared" si="988"/>
        <v>9000</v>
      </c>
      <c r="EE584" s="14">
        <f t="shared" si="989"/>
        <v>9480</v>
      </c>
      <c r="EF584" s="14">
        <f t="shared" si="990"/>
        <v>10066</v>
      </c>
      <c r="EG584" s="14">
        <f t="shared" si="991"/>
        <v>10066</v>
      </c>
      <c r="EH584" s="14">
        <f t="shared" si="992"/>
        <v>10374</v>
      </c>
      <c r="EI584" s="14">
        <f t="shared" si="993"/>
        <v>4478</v>
      </c>
      <c r="EJ584" s="14">
        <f t="shared" si="994"/>
        <v>4720</v>
      </c>
      <c r="EK584" s="14">
        <f t="shared" si="995"/>
        <v>4720</v>
      </c>
      <c r="EL584" s="14">
        <f t="shared" si="996"/>
        <v>5009</v>
      </c>
      <c r="EM584" s="14">
        <f t="shared" si="997"/>
        <v>5177</v>
      </c>
      <c r="EN584" s="14">
        <f t="shared" si="998"/>
        <v>85038</v>
      </c>
      <c r="EO584" s="14">
        <f t="shared" si="999"/>
        <v>89242</v>
      </c>
      <c r="EP584" s="14">
        <f t="shared" si="1000"/>
        <v>89242</v>
      </c>
      <c r="EQ584" s="14">
        <f t="shared" si="1001"/>
        <v>94410</v>
      </c>
      <c r="ER584" s="14">
        <f t="shared" si="1002"/>
        <v>97074</v>
      </c>
      <c r="ES584" s="14">
        <f>INDEX(属性偏向!$S$4:$S$243,(卡牌属性!$DT584-1+ES$3)*20+卡牌属性!$DX584)</f>
        <v>25</v>
      </c>
      <c r="ET584" s="14">
        <f>INDEX(属性偏向!$S$4:$S$243,(卡牌属性!$DT584-1+ET$3)*20+卡牌属性!$DX584)</f>
        <v>30</v>
      </c>
      <c r="EU584" s="14">
        <f>INDEX(属性偏向!$S$4:$S$243,(卡牌属性!$DT584-1+EU$3)*20+卡牌属性!$DX584)</f>
        <v>40</v>
      </c>
      <c r="EV584" s="14">
        <f>INDEX(属性偏向!$S$4:$S$243,(卡牌属性!$DT584-1+EV$3)*20+卡牌属性!$DX584)</f>
        <v>40</v>
      </c>
      <c r="EW584" s="14">
        <f>INDEX(属性偏向!$S$4:$S$243,(卡牌属性!$DT584-1+EW$3)*20+卡牌属性!$DX584)</f>
        <v>45</v>
      </c>
      <c r="EX584" s="14">
        <f>INDEX(属性偏向!$T$4:$T$243,(卡牌属性!$DU584-1+EX$3)*20+卡牌属性!$DX584)</f>
        <v>13</v>
      </c>
      <c r="EY584" s="14">
        <f>INDEX(属性偏向!$T$4:$T$243,(卡牌属性!$DU584-1+EY$3)*20+卡牌属性!$DX584)</f>
        <v>15</v>
      </c>
      <c r="EZ584" s="14">
        <f>INDEX(属性偏向!$T$4:$T$243,(卡牌属性!$DU584-1+EZ$3)*20+卡牌属性!$DX584)</f>
        <v>15</v>
      </c>
      <c r="FA584" s="14">
        <f>INDEX(属性偏向!$T$4:$T$243,(卡牌属性!$DU584-1+FA$3)*20+卡牌属性!$DX584)</f>
        <v>20</v>
      </c>
      <c r="FB584" s="14">
        <f>INDEX(属性偏向!$T$4:$T$243,(卡牌属性!$DU584-1+FB$3)*20+卡牌属性!$DX584)</f>
        <v>23</v>
      </c>
      <c r="FC584" s="14">
        <f>INDEX(属性偏向!$U$4:$U$243,(卡牌属性!$DV584-1+FC$3)*20+卡牌属性!$DX584)</f>
        <v>250</v>
      </c>
      <c r="FD584" s="14">
        <f>INDEX(属性偏向!$U$4:$U$243,(卡牌属性!$DV584-1+FD$3)*20+卡牌属性!$DX584)</f>
        <v>300</v>
      </c>
      <c r="FE584" s="14">
        <f>INDEX(属性偏向!$U$4:$U$243,(卡牌属性!$DV584-1+FE$3)*20+卡牌属性!$DX584)</f>
        <v>300</v>
      </c>
      <c r="FF584" s="14">
        <f>INDEX(属性偏向!$U$4:$U$243,(卡牌属性!$DV584-1+FF$3)*20+卡牌属性!$DX584)</f>
        <v>400</v>
      </c>
      <c r="FG584" s="14">
        <f>INDEX(属性偏向!$U$4:$U$243,(卡牌属性!$DV584-1+FG$3)*20+卡牌属性!$DX584)</f>
        <v>450</v>
      </c>
      <c r="FH584" s="14">
        <f>INDEX(属性投放!$BQ$6:$BQ$85,(卡牌属性!$DW584-2)*20+卡牌属性!$DX584)</f>
        <v>1500</v>
      </c>
      <c r="FI584" s="14">
        <f>INDEX(属性投放!$BQ$6:$BQ$85,(卡牌属性!$DW584-2)*20+卡牌属性!$DX584)</f>
        <v>1500</v>
      </c>
      <c r="FJ584" s="14">
        <f>INDEX(属性投放!$BQ$6:$BQ$85,(卡牌属性!$DW584-2)*20+卡牌属性!$DX584)</f>
        <v>1500</v>
      </c>
      <c r="FK584" s="14">
        <f>INDEX(属性投放!$BQ$6:$BQ$85,(卡牌属性!$DW584-2)*20+卡牌属性!$DX584)</f>
        <v>1500</v>
      </c>
      <c r="FL584" s="14">
        <f>INDEX(属性投放!$BQ$6:$BQ$85,(卡牌属性!$DW584-2)*20+卡牌属性!$DX584)</f>
        <v>1500</v>
      </c>
      <c r="FM584" s="14">
        <f>INDEX(属性投放!$BR$6:$BR$85,(卡牌属性!$DW584-2)*20+卡牌属性!$DX584)</f>
        <v>750</v>
      </c>
      <c r="FN584" s="14">
        <f>INDEX(属性投放!$BR$6:$BR$85,(卡牌属性!$DW584-2)*20+卡牌属性!$DX584)</f>
        <v>750</v>
      </c>
      <c r="FO584" s="14">
        <f>INDEX(属性投放!$BR$6:$BR$85,(卡牌属性!$DW584-2)*20+卡牌属性!$DX584)</f>
        <v>750</v>
      </c>
      <c r="FP584" s="14">
        <f>INDEX(属性投放!$BR$6:$BR$85,(卡牌属性!$DW584-2)*20+卡牌属性!$DX584)</f>
        <v>750</v>
      </c>
      <c r="FQ584" s="14">
        <f>INDEX(属性投放!$BR$6:$BR$85,(卡牌属性!$DW584-2)*20+卡牌属性!$DX584)</f>
        <v>750</v>
      </c>
      <c r="FR584" s="14">
        <f>INDEX(属性投放!$BS$6:$BS$85,(卡牌属性!$DW584-2)*20+卡牌属性!$DX584)</f>
        <v>15000</v>
      </c>
      <c r="FS584" s="14">
        <f>INDEX(属性投放!$BS$6:$BS$85,(卡牌属性!$DW584-2)*20+卡牌属性!$DX584)</f>
        <v>15000</v>
      </c>
      <c r="FT584" s="14">
        <f>INDEX(属性投放!$BS$6:$BS$85,(卡牌属性!$DW584-2)*20+卡牌属性!$DX584)</f>
        <v>15000</v>
      </c>
      <c r="FU584" s="14">
        <f>INDEX(属性投放!$BS$6:$BS$85,(卡牌属性!$DW584-2)*20+卡牌属性!$DX584)</f>
        <v>15000</v>
      </c>
      <c r="FV584" s="14">
        <f>INDEX(属性投放!$BS$6:$BS$85,(卡牌属性!$DW584-2)*20+卡牌属性!$DX584)</f>
        <v>15000</v>
      </c>
    </row>
    <row r="585" spans="31:178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>
        <v>581</v>
      </c>
      <c r="BX585" s="13">
        <f t="shared" si="981"/>
        <v>30</v>
      </c>
      <c r="BY585" s="14">
        <f t="shared" si="982"/>
        <v>3</v>
      </c>
      <c r="BZ585" s="14">
        <f t="shared" si="1005"/>
        <v>1102998</v>
      </c>
      <c r="CA585" s="14" t="str">
        <f t="shared" si="1006"/>
        <v>SR守护灵1突</v>
      </c>
      <c r="CB585" s="25" t="s">
        <v>142</v>
      </c>
      <c r="CC585" s="14">
        <v>2</v>
      </c>
      <c r="CD585" s="14">
        <f t="shared" si="1003"/>
        <v>1</v>
      </c>
      <c r="CE585" s="14" t="s">
        <v>21</v>
      </c>
      <c r="CF585" s="14">
        <f>INDEX(属性投放!$AZ$6:$AZ$85,(BY585-2)*20+CD585)</f>
        <v>150</v>
      </c>
      <c r="CG585" s="14" t="s">
        <v>22</v>
      </c>
      <c r="CH585" s="14">
        <f>INDEX(属性投放!$BA$6:$BA$85,(BY585-2)*20+CD585)</f>
        <v>10</v>
      </c>
      <c r="CI585" s="14" t="s">
        <v>510</v>
      </c>
      <c r="CJ585" s="14">
        <f>INDEX(属性投放!$BB$6:$BB$85,(BY585-2)*20+CD585)</f>
        <v>500</v>
      </c>
      <c r="CK585" s="14" t="s">
        <v>21</v>
      </c>
      <c r="CL585" s="14">
        <f>INDEX(属性投放!$BC$6:$BC$85,(BY585-2)*20+CD585)</f>
        <v>8</v>
      </c>
      <c r="CM585" s="14" t="s">
        <v>22</v>
      </c>
      <c r="CN585" s="14">
        <f>INDEX(属性投放!$BD$6:$BD$85,(BY585-2)*20+CD585)</f>
        <v>4</v>
      </c>
      <c r="CO585" s="14" t="s">
        <v>510</v>
      </c>
      <c r="CP585" s="14">
        <f>INDEX(属性投放!$BE$6:$BE$85,(BY585-2)*20+CD585)</f>
        <v>48</v>
      </c>
      <c r="CS585" s="13">
        <v>581</v>
      </c>
      <c r="CT585" s="13">
        <f t="shared" si="1007"/>
        <v>12</v>
      </c>
      <c r="CU585" s="13">
        <f t="shared" si="1008"/>
        <v>9</v>
      </c>
      <c r="CV585" s="14">
        <f t="shared" si="1009"/>
        <v>5</v>
      </c>
      <c r="CW585" s="14">
        <f t="shared" si="1010"/>
        <v>1102012</v>
      </c>
      <c r="CX585" s="14" t="str">
        <f>INDEX($O$6:$O$50,CT585)&amp;"-"&amp;INDEX(属性投放!$AB$7:$AB$50,CZ585)&amp;"-魂火-"&amp;DB585</f>
        <v>夏侯惇-众合+1-魂火-2</v>
      </c>
      <c r="CY585" s="25" t="s">
        <v>142</v>
      </c>
      <c r="CZ585" s="14">
        <f>INDEX(属性投放!$AM$7:$AM$58,CU585)</f>
        <v>5</v>
      </c>
      <c r="DA585" s="14" t="s">
        <v>537</v>
      </c>
      <c r="DB585" s="14">
        <f>INDEX(属性投放!$AN$7:$AN$58,CU585)</f>
        <v>2</v>
      </c>
      <c r="DC585" s="14">
        <f t="shared" si="1004"/>
        <v>9</v>
      </c>
      <c r="DD585" s="14">
        <f>INDEX(属性投放!$AO$7:$AO$58,DC585)</f>
        <v>40</v>
      </c>
      <c r="DE585" s="14" t="s">
        <v>538</v>
      </c>
      <c r="DF585" s="14">
        <f>INDEX(属性投放!$BK$6:$BK$85,(CV585-2)*20+CZ585)</f>
        <v>70</v>
      </c>
      <c r="DG585" s="14">
        <f>SUMIFS(DF$5:DF585,$CT$5:$CT585,"="&amp;$CT585)</f>
        <v>465</v>
      </c>
      <c r="DH585" s="14" t="s">
        <v>539</v>
      </c>
      <c r="DI585" s="14">
        <f>INDEX(属性投放!$BL$6:$BL$85,(CV585-2)*20+CZ585)</f>
        <v>35</v>
      </c>
      <c r="DJ585" s="14">
        <f>SUMIFS(DI$5:DI585,$CT$5:$CT585,"="&amp;$CT585)</f>
        <v>234</v>
      </c>
      <c r="DK585" s="14" t="s">
        <v>540</v>
      </c>
      <c r="DL585" s="14">
        <f>INDEX(属性投放!$BM$6:$BM$85,(CV585-2)*20+CZ585)</f>
        <v>490</v>
      </c>
      <c r="DM585" s="14">
        <f>SUMIFS(DL$5:DL585,$CT$5:$CT585,"="&amp;$CT585)</f>
        <v>3050</v>
      </c>
      <c r="DR585" s="14">
        <f t="shared" si="983"/>
        <v>1102998</v>
      </c>
      <c r="DS585" s="14" t="str">
        <f t="shared" si="984"/>
        <v>SR守护灵1突</v>
      </c>
      <c r="DT585" s="14">
        <f t="shared" si="1011"/>
        <v>5</v>
      </c>
      <c r="DU585" s="14">
        <f t="shared" si="1012"/>
        <v>5</v>
      </c>
      <c r="DV585" s="14">
        <f t="shared" si="1013"/>
        <v>5</v>
      </c>
      <c r="DW585" s="14">
        <f t="shared" si="985"/>
        <v>3</v>
      </c>
      <c r="DX585" s="14">
        <f t="shared" si="986"/>
        <v>1</v>
      </c>
      <c r="DY585" s="14">
        <f t="shared" si="987"/>
        <v>21</v>
      </c>
      <c r="DZ585" s="14">
        <f>INDEX(属性投放!$AX$6:$AX$85,(卡牌属性!DW585-2)*20+卡牌属性!DX585)</f>
        <v>4</v>
      </c>
      <c r="EA585" s="14">
        <f>INDEX(属性投放!BQ$6:BQ$85,卡牌属性!$DY585)</f>
        <v>30</v>
      </c>
      <c r="EB585" s="14">
        <f>INDEX(属性投放!BR$6:BR$85,卡牌属性!$DY585)</f>
        <v>15</v>
      </c>
      <c r="EC585" s="14">
        <f>INDEX(属性投放!BS$6:BS$85,卡牌属性!$DY585)</f>
        <v>180</v>
      </c>
      <c r="ED585" s="14">
        <f>INDEX(属性偏向!$I$4:$I$15,卡牌属性!$DT585+ED$3)</f>
        <v>150</v>
      </c>
      <c r="EE585" s="14">
        <f>INDEX(属性偏向!$I$4:$I$15,卡牌属性!$DT585+EE$3)</f>
        <v>175</v>
      </c>
      <c r="EF585" s="14">
        <f>INDEX(属性偏向!$I$4:$I$15,卡牌属性!$DT585+EF$3)</f>
        <v>200</v>
      </c>
      <c r="EG585" s="14">
        <f>INDEX(属性偏向!$I$4:$I$15,卡牌属性!$DT585+EG$3)</f>
        <v>200</v>
      </c>
      <c r="EH585" s="14">
        <f>INDEX(属性偏向!$I$4:$I$15,卡牌属性!$DT585+EH$3)</f>
        <v>250</v>
      </c>
      <c r="EI585" s="14">
        <f>INDEX(属性偏向!$J$4:$J$15,卡牌属性!$DU585+EI$3)</f>
        <v>30</v>
      </c>
      <c r="EJ585" s="14">
        <f>INDEX(属性偏向!$J$4:$J$15,卡牌属性!$DU585+EJ$3)</f>
        <v>40</v>
      </c>
      <c r="EK585" s="14">
        <f>INDEX(属性偏向!$J$4:$J$15,卡牌属性!$DU585+EK$3)</f>
        <v>40</v>
      </c>
      <c r="EL585" s="14">
        <f>INDEX(属性偏向!$J$4:$J$15,卡牌属性!$DU585+EL$3)</f>
        <v>50</v>
      </c>
      <c r="EM585" s="14">
        <f>INDEX(属性偏向!$J$4:$J$15,卡牌属性!$DU585+EM$3)</f>
        <v>75</v>
      </c>
      <c r="EN585" s="14">
        <f>INDEX(属性偏向!$K$4:$K$15,卡牌属性!$DV585+EN$3)</f>
        <v>500</v>
      </c>
      <c r="EO585" s="14">
        <f>INDEX(属性偏向!$K$4:$K$15,卡牌属性!$DV585+EO$3)</f>
        <v>650</v>
      </c>
      <c r="EP585" s="14">
        <f>INDEX(属性偏向!$K$4:$K$15,卡牌属性!$DV585+EP$3)</f>
        <v>650</v>
      </c>
      <c r="EQ585" s="14">
        <f>INDEX(属性偏向!$K$4:$K$15,卡牌属性!$DV585+EQ$3)</f>
        <v>800</v>
      </c>
      <c r="ER585" s="14">
        <f>INDEX(属性偏向!$K$4:$K$15,卡牌属性!$DV585+ER$3)</f>
        <v>1000</v>
      </c>
      <c r="ES585" s="14">
        <f>INDEX(属性偏向!$S$4:$S$243,(卡牌属性!$DT585-1+ES$3)*20+卡牌属性!$DX585)</f>
        <v>8</v>
      </c>
      <c r="ET585" s="14">
        <f>INDEX(属性偏向!$S$4:$S$243,(卡牌属性!$DT585-1+ET$3)*20+卡牌属性!$DX585)</f>
        <v>10</v>
      </c>
      <c r="EU585" s="14">
        <f>INDEX(属性偏向!$S$4:$S$243,(卡牌属性!$DT585-1+EU$3)*20+卡牌属性!$DX585)</f>
        <v>12</v>
      </c>
      <c r="EV585" s="14">
        <f>INDEX(属性偏向!$S$4:$S$243,(卡牌属性!$DT585-1+EV$3)*20+卡牌属性!$DX585)</f>
        <v>12</v>
      </c>
      <c r="EW585" s="14">
        <f>INDEX(属性偏向!$S$4:$S$243,(卡牌属性!$DT585-1+EW$3)*20+卡牌属性!$DX585)</f>
        <v>13</v>
      </c>
      <c r="EX585" s="14">
        <f>INDEX(属性偏向!$T$4:$T$243,(卡牌属性!$DU585-1+EX$3)*20+卡牌属性!$DX585)</f>
        <v>4</v>
      </c>
      <c r="EY585" s="14">
        <f>INDEX(属性偏向!$T$4:$T$243,(卡牌属性!$DU585-1+EY$3)*20+卡牌属性!$DX585)</f>
        <v>5</v>
      </c>
      <c r="EZ585" s="14">
        <f>INDEX(属性偏向!$T$4:$T$243,(卡牌属性!$DU585-1+EZ$3)*20+卡牌属性!$DX585)</f>
        <v>5</v>
      </c>
      <c r="FA585" s="14">
        <f>INDEX(属性偏向!$T$4:$T$243,(卡牌属性!$DU585-1+FA$3)*20+卡牌属性!$DX585)</f>
        <v>6</v>
      </c>
      <c r="FB585" s="14">
        <f>INDEX(属性偏向!$T$4:$T$243,(卡牌属性!$DU585-1+FB$3)*20+卡牌属性!$DX585)</f>
        <v>7</v>
      </c>
      <c r="FC585" s="14">
        <f>INDEX(属性偏向!$U$4:$U$243,(卡牌属性!$DV585-1+FC$3)*20+卡牌属性!$DX585)</f>
        <v>48</v>
      </c>
      <c r="FD585" s="14">
        <f>INDEX(属性偏向!$U$4:$U$243,(卡牌属性!$DV585-1+FD$3)*20+卡牌属性!$DX585)</f>
        <v>60</v>
      </c>
      <c r="FE585" s="14">
        <f>INDEX(属性偏向!$U$4:$U$243,(卡牌属性!$DV585-1+FE$3)*20+卡牌属性!$DX585)</f>
        <v>60</v>
      </c>
      <c r="FF585" s="14">
        <f>INDEX(属性偏向!$U$4:$U$243,(卡牌属性!$DV585-1+FF$3)*20+卡牌属性!$DX585)</f>
        <v>72</v>
      </c>
      <c r="FG585" s="14">
        <f>INDEX(属性偏向!$U$4:$U$243,(卡牌属性!$DV585-1+FG$3)*20+卡牌属性!$DX585)</f>
        <v>78</v>
      </c>
      <c r="FH585" s="14">
        <f>INDEX(属性投放!$BQ$6:$BQ$85,(卡牌属性!$DW585-2)*20+卡牌属性!$DX585)</f>
        <v>30</v>
      </c>
      <c r="FI585" s="14">
        <f>INDEX(属性投放!$BQ$6:$BQ$85,(卡牌属性!$DW585-2)*20+卡牌属性!$DX585)</f>
        <v>30</v>
      </c>
      <c r="FJ585" s="14">
        <f>INDEX(属性投放!$BQ$6:$BQ$85,(卡牌属性!$DW585-2)*20+卡牌属性!$DX585)</f>
        <v>30</v>
      </c>
      <c r="FK585" s="14">
        <f>INDEX(属性投放!$BQ$6:$BQ$85,(卡牌属性!$DW585-2)*20+卡牌属性!$DX585)</f>
        <v>30</v>
      </c>
      <c r="FL585" s="14">
        <f>INDEX(属性投放!$BQ$6:$BQ$85,(卡牌属性!$DW585-2)*20+卡牌属性!$DX585)</f>
        <v>30</v>
      </c>
      <c r="FM585" s="14">
        <f>INDEX(属性投放!$BR$6:$BR$85,(卡牌属性!$DW585-2)*20+卡牌属性!$DX585)</f>
        <v>15</v>
      </c>
      <c r="FN585" s="14">
        <f>INDEX(属性投放!$BR$6:$BR$85,(卡牌属性!$DW585-2)*20+卡牌属性!$DX585)</f>
        <v>15</v>
      </c>
      <c r="FO585" s="14">
        <f>INDEX(属性投放!$BR$6:$BR$85,(卡牌属性!$DW585-2)*20+卡牌属性!$DX585)</f>
        <v>15</v>
      </c>
      <c r="FP585" s="14">
        <f>INDEX(属性投放!$BR$6:$BR$85,(卡牌属性!$DW585-2)*20+卡牌属性!$DX585)</f>
        <v>15</v>
      </c>
      <c r="FQ585" s="14">
        <f>INDEX(属性投放!$BR$6:$BR$85,(卡牌属性!$DW585-2)*20+卡牌属性!$DX585)</f>
        <v>15</v>
      </c>
      <c r="FR585" s="14">
        <f>INDEX(属性投放!$BS$6:$BS$85,(卡牌属性!$DW585-2)*20+卡牌属性!$DX585)</f>
        <v>180</v>
      </c>
      <c r="FS585" s="14">
        <f>INDEX(属性投放!$BS$6:$BS$85,(卡牌属性!$DW585-2)*20+卡牌属性!$DX585)</f>
        <v>180</v>
      </c>
      <c r="FT585" s="14">
        <f>INDEX(属性投放!$BS$6:$BS$85,(卡牌属性!$DW585-2)*20+卡牌属性!$DX585)</f>
        <v>180</v>
      </c>
      <c r="FU585" s="14">
        <f>INDEX(属性投放!$BS$6:$BS$85,(卡牌属性!$DW585-2)*20+卡牌属性!$DX585)</f>
        <v>180</v>
      </c>
      <c r="FV585" s="14">
        <f>INDEX(属性投放!$BS$6:$BS$85,(卡牌属性!$DW585-2)*20+卡牌属性!$DX585)</f>
        <v>180</v>
      </c>
    </row>
    <row r="586" spans="31:178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>
        <v>582</v>
      </c>
      <c r="BX586" s="13">
        <f t="shared" si="981"/>
        <v>30</v>
      </c>
      <c r="BY586" s="14">
        <f t="shared" si="982"/>
        <v>3</v>
      </c>
      <c r="BZ586" s="14">
        <f t="shared" si="1005"/>
        <v>1102998</v>
      </c>
      <c r="CA586" s="14" t="str">
        <f t="shared" si="1006"/>
        <v>SR守护灵2突</v>
      </c>
      <c r="CB586" s="25" t="s">
        <v>142</v>
      </c>
      <c r="CC586" s="14">
        <v>2</v>
      </c>
      <c r="CD586" s="14">
        <f t="shared" si="1003"/>
        <v>2</v>
      </c>
      <c r="CE586" s="14" t="s">
        <v>21</v>
      </c>
      <c r="CF586" s="14">
        <f>INDEX(属性投放!$AZ$6:$AZ$85,(BY586-2)*20+CD586)</f>
        <v>232</v>
      </c>
      <c r="CG586" s="14" t="s">
        <v>22</v>
      </c>
      <c r="CH586" s="14">
        <f>INDEX(属性投放!$BA$6:$BA$85,(BY586-2)*20+CD586)</f>
        <v>51</v>
      </c>
      <c r="CI586" s="14" t="s">
        <v>510</v>
      </c>
      <c r="CJ586" s="14">
        <f>INDEX(属性投放!$BB$6:$BB$85,(BY586-2)*20+CD586)</f>
        <v>992</v>
      </c>
      <c r="CK586" s="14" t="s">
        <v>21</v>
      </c>
      <c r="CL586" s="14">
        <f>INDEX(属性投放!$BC$6:$BC$85,(BY586-2)*20+CD586)</f>
        <v>10</v>
      </c>
      <c r="CM586" s="14" t="s">
        <v>22</v>
      </c>
      <c r="CN586" s="14">
        <f>INDEX(属性投放!$BD$6:$BD$85,(BY586-2)*20+CD586)</f>
        <v>5</v>
      </c>
      <c r="CO586" s="14" t="s">
        <v>510</v>
      </c>
      <c r="CP586" s="14">
        <f>INDEX(属性投放!$BE$6:$BE$85,(BY586-2)*20+CD586)</f>
        <v>60</v>
      </c>
      <c r="CS586" s="13">
        <v>582</v>
      </c>
      <c r="CT586" s="13">
        <f t="shared" si="1007"/>
        <v>12</v>
      </c>
      <c r="CU586" s="13">
        <f t="shared" si="1008"/>
        <v>10</v>
      </c>
      <c r="CV586" s="14">
        <f t="shared" si="1009"/>
        <v>5</v>
      </c>
      <c r="CW586" s="14">
        <f t="shared" si="1010"/>
        <v>1102012</v>
      </c>
      <c r="CX586" s="14" t="str">
        <f>INDEX($O$6:$O$50,CT586)&amp;"-"&amp;INDEX(属性投放!$AB$7:$AB$50,CZ586)&amp;"-魂火-"&amp;DB586</f>
        <v>夏侯惇-众合+2-魂火-1</v>
      </c>
      <c r="CY586" s="25" t="s">
        <v>142</v>
      </c>
      <c r="CZ586" s="14">
        <f>INDEX(属性投放!$AM$7:$AM$58,CU586)</f>
        <v>6</v>
      </c>
      <c r="DA586" s="14" t="s">
        <v>537</v>
      </c>
      <c r="DB586" s="14">
        <f>INDEX(属性投放!$AN$7:$AN$58,CU586)</f>
        <v>1</v>
      </c>
      <c r="DC586" s="14">
        <f t="shared" si="1004"/>
        <v>10</v>
      </c>
      <c r="DD586" s="14">
        <f>INDEX(属性投放!$AO$7:$AO$58,DC586)</f>
        <v>43</v>
      </c>
      <c r="DE586" s="14" t="s">
        <v>538</v>
      </c>
      <c r="DF586" s="14">
        <f>INDEX(属性投放!$BK$6:$BK$85,(CV586-2)*20+CZ586)</f>
        <v>75</v>
      </c>
      <c r="DG586" s="14">
        <f>SUMIFS(DF$5:DF586,$CT$5:$CT586,"="&amp;$CT586)</f>
        <v>540</v>
      </c>
      <c r="DH586" s="14" t="s">
        <v>539</v>
      </c>
      <c r="DI586" s="14">
        <f>INDEX(属性投放!$BL$6:$BL$85,(CV586-2)*20+CZ586)</f>
        <v>38</v>
      </c>
      <c r="DJ586" s="14">
        <f>SUMIFS(DI$5:DI586,$CT$5:$CT586,"="&amp;$CT586)</f>
        <v>272</v>
      </c>
      <c r="DK586" s="14" t="s">
        <v>540</v>
      </c>
      <c r="DL586" s="14">
        <f>INDEX(属性投放!$BM$6:$BM$85,(CV586-2)*20+CZ586)</f>
        <v>525</v>
      </c>
      <c r="DM586" s="14">
        <f>SUMIFS(DL$5:DL586,$CT$5:$CT586,"="&amp;$CT586)</f>
        <v>3575</v>
      </c>
      <c r="DR586" s="14">
        <f t="shared" si="983"/>
        <v>1102998</v>
      </c>
      <c r="DS586" s="14" t="str">
        <f t="shared" si="984"/>
        <v>SR守护灵2突</v>
      </c>
      <c r="DT586" s="14">
        <f t="shared" si="1011"/>
        <v>5</v>
      </c>
      <c r="DU586" s="14">
        <f t="shared" si="1012"/>
        <v>5</v>
      </c>
      <c r="DV586" s="14">
        <f t="shared" si="1013"/>
        <v>5</v>
      </c>
      <c r="DW586" s="14">
        <f t="shared" si="985"/>
        <v>3</v>
      </c>
      <c r="DX586" s="14">
        <f t="shared" si="986"/>
        <v>2</v>
      </c>
      <c r="DY586" s="14">
        <f t="shared" si="987"/>
        <v>22</v>
      </c>
      <c r="DZ586" s="14">
        <f>INDEX(属性投放!$AX$6:$AX$85,(卡牌属性!DW586-2)*20+卡牌属性!DX586)</f>
        <v>10</v>
      </c>
      <c r="EA586" s="14">
        <f>INDEX(属性投放!BQ$6:BQ$85,卡牌属性!$DY586)</f>
        <v>40</v>
      </c>
      <c r="EB586" s="14">
        <f>INDEX(属性投放!BR$6:BR$85,卡牌属性!$DY586)</f>
        <v>20</v>
      </c>
      <c r="EC586" s="14">
        <f>INDEX(属性投放!BS$6:BS$85,卡牌属性!$DY586)</f>
        <v>240</v>
      </c>
      <c r="ED586" s="14">
        <f t="shared" ref="ED586:ED604" si="1014">ED585+$EA585+ES585*$DZ585</f>
        <v>212</v>
      </c>
      <c r="EE586" s="14">
        <f t="shared" ref="EE586:EE604" si="1015">EE585+$EA585+ET585*$DZ585</f>
        <v>245</v>
      </c>
      <c r="EF586" s="14">
        <f t="shared" ref="EF586:EF604" si="1016">EF585+$EA585+EU585*$DZ585</f>
        <v>278</v>
      </c>
      <c r="EG586" s="14">
        <f t="shared" ref="EG586:EG604" si="1017">EG585+$EA585+EV585*$DZ585</f>
        <v>278</v>
      </c>
      <c r="EH586" s="14">
        <f t="shared" ref="EH586:EH604" si="1018">EH585+$EA585+EW585*$DZ585</f>
        <v>332</v>
      </c>
      <c r="EI586" s="14">
        <f t="shared" ref="EI586:EI604" si="1019">EI585+$EB585+EX585*$DZ585</f>
        <v>61</v>
      </c>
      <c r="EJ586" s="14">
        <f t="shared" ref="EJ586:EJ604" si="1020">EJ585+$EB585+EY585*$DZ585</f>
        <v>75</v>
      </c>
      <c r="EK586" s="14">
        <f t="shared" ref="EK586:EK604" si="1021">EK585+$EB585+EZ585*$DZ585</f>
        <v>75</v>
      </c>
      <c r="EL586" s="14">
        <f t="shared" ref="EL586:EL604" si="1022">EL585+$EB585+FA585*$DZ585</f>
        <v>89</v>
      </c>
      <c r="EM586" s="14">
        <f t="shared" ref="EM586:EM604" si="1023">EM585+$EB585+FB585*$DZ585</f>
        <v>118</v>
      </c>
      <c r="EN586" s="14">
        <f t="shared" ref="EN586:EN604" si="1024">EN585+$EC585+FC585*$DZ585</f>
        <v>872</v>
      </c>
      <c r="EO586" s="14">
        <f t="shared" ref="EO586:EO604" si="1025">EO585+$EC585+FD585*$DZ585</f>
        <v>1070</v>
      </c>
      <c r="EP586" s="14">
        <f t="shared" ref="EP586:EP604" si="1026">EP585+$EC585+FE585*$DZ585</f>
        <v>1070</v>
      </c>
      <c r="EQ586" s="14">
        <f t="shared" ref="EQ586:EQ604" si="1027">EQ585+$EC585+FF585*$DZ585</f>
        <v>1268</v>
      </c>
      <c r="ER586" s="14">
        <f t="shared" ref="ER586:ER604" si="1028">ER585+$EC585+FG585*$DZ585</f>
        <v>1492</v>
      </c>
      <c r="ES586" s="14">
        <f>INDEX(属性偏向!$S$4:$S$243,(卡牌属性!$DT586-1+ES$3)*20+卡牌属性!$DX586)</f>
        <v>10</v>
      </c>
      <c r="ET586" s="14">
        <f>INDEX(属性偏向!$S$4:$S$243,(卡牌属性!$DT586-1+ET$3)*20+卡牌属性!$DX586)</f>
        <v>12</v>
      </c>
      <c r="EU586" s="14">
        <f>INDEX(属性偏向!$S$4:$S$243,(卡牌属性!$DT586-1+EU$3)*20+卡牌属性!$DX586)</f>
        <v>15</v>
      </c>
      <c r="EV586" s="14">
        <f>INDEX(属性偏向!$S$4:$S$243,(卡牌属性!$DT586-1+EV$3)*20+卡牌属性!$DX586)</f>
        <v>15</v>
      </c>
      <c r="EW586" s="14">
        <f>INDEX(属性偏向!$S$4:$S$243,(卡牌属性!$DT586-1+EW$3)*20+卡牌属性!$DX586)</f>
        <v>17</v>
      </c>
      <c r="EX586" s="14">
        <f>INDEX(属性偏向!$T$4:$T$243,(卡牌属性!$DU586-1+EX$3)*20+卡牌属性!$DX586)</f>
        <v>5</v>
      </c>
      <c r="EY586" s="14">
        <f>INDEX(属性偏向!$T$4:$T$243,(卡牌属性!$DU586-1+EY$3)*20+卡牌属性!$DX586)</f>
        <v>6</v>
      </c>
      <c r="EZ586" s="14">
        <f>INDEX(属性偏向!$T$4:$T$243,(卡牌属性!$DU586-1+EZ$3)*20+卡牌属性!$DX586)</f>
        <v>6</v>
      </c>
      <c r="FA586" s="14">
        <f>INDEX(属性偏向!$T$4:$T$243,(卡牌属性!$DU586-1+FA$3)*20+卡牌属性!$DX586)</f>
        <v>8</v>
      </c>
      <c r="FB586" s="14">
        <f>INDEX(属性偏向!$T$4:$T$243,(卡牌属性!$DU586-1+FB$3)*20+卡牌属性!$DX586)</f>
        <v>9</v>
      </c>
      <c r="FC586" s="14">
        <f>INDEX(属性偏向!$U$4:$U$243,(卡牌属性!$DV586-1+FC$3)*20+卡牌属性!$DX586)</f>
        <v>60</v>
      </c>
      <c r="FD586" s="14">
        <f>INDEX(属性偏向!$U$4:$U$243,(卡牌属性!$DV586-1+FD$3)*20+卡牌属性!$DX586)</f>
        <v>72</v>
      </c>
      <c r="FE586" s="14">
        <f>INDEX(属性偏向!$U$4:$U$243,(卡牌属性!$DV586-1+FE$3)*20+卡牌属性!$DX586)</f>
        <v>72</v>
      </c>
      <c r="FF586" s="14">
        <f>INDEX(属性偏向!$U$4:$U$243,(卡牌属性!$DV586-1+FF$3)*20+卡牌属性!$DX586)</f>
        <v>90</v>
      </c>
      <c r="FG586" s="14">
        <f>INDEX(属性偏向!$U$4:$U$243,(卡牌属性!$DV586-1+FG$3)*20+卡牌属性!$DX586)</f>
        <v>102</v>
      </c>
      <c r="FH586" s="14">
        <f>INDEX(属性投放!$BQ$6:$BQ$85,(卡牌属性!$DW586-2)*20+卡牌属性!$DX586)</f>
        <v>40</v>
      </c>
      <c r="FI586" s="14">
        <f>INDEX(属性投放!$BQ$6:$BQ$85,(卡牌属性!$DW586-2)*20+卡牌属性!$DX586)</f>
        <v>40</v>
      </c>
      <c r="FJ586" s="14">
        <f>INDEX(属性投放!$BQ$6:$BQ$85,(卡牌属性!$DW586-2)*20+卡牌属性!$DX586)</f>
        <v>40</v>
      </c>
      <c r="FK586" s="14">
        <f>INDEX(属性投放!$BQ$6:$BQ$85,(卡牌属性!$DW586-2)*20+卡牌属性!$DX586)</f>
        <v>40</v>
      </c>
      <c r="FL586" s="14">
        <f>INDEX(属性投放!$BQ$6:$BQ$85,(卡牌属性!$DW586-2)*20+卡牌属性!$DX586)</f>
        <v>40</v>
      </c>
      <c r="FM586" s="14">
        <f>INDEX(属性投放!$BR$6:$BR$85,(卡牌属性!$DW586-2)*20+卡牌属性!$DX586)</f>
        <v>20</v>
      </c>
      <c r="FN586" s="14">
        <f>INDEX(属性投放!$BR$6:$BR$85,(卡牌属性!$DW586-2)*20+卡牌属性!$DX586)</f>
        <v>20</v>
      </c>
      <c r="FO586" s="14">
        <f>INDEX(属性投放!$BR$6:$BR$85,(卡牌属性!$DW586-2)*20+卡牌属性!$DX586)</f>
        <v>20</v>
      </c>
      <c r="FP586" s="14">
        <f>INDEX(属性投放!$BR$6:$BR$85,(卡牌属性!$DW586-2)*20+卡牌属性!$DX586)</f>
        <v>20</v>
      </c>
      <c r="FQ586" s="14">
        <f>INDEX(属性投放!$BR$6:$BR$85,(卡牌属性!$DW586-2)*20+卡牌属性!$DX586)</f>
        <v>20</v>
      </c>
      <c r="FR586" s="14">
        <f>INDEX(属性投放!$BS$6:$BS$85,(卡牌属性!$DW586-2)*20+卡牌属性!$DX586)</f>
        <v>240</v>
      </c>
      <c r="FS586" s="14">
        <f>INDEX(属性投放!$BS$6:$BS$85,(卡牌属性!$DW586-2)*20+卡牌属性!$DX586)</f>
        <v>240</v>
      </c>
      <c r="FT586" s="14">
        <f>INDEX(属性投放!$BS$6:$BS$85,(卡牌属性!$DW586-2)*20+卡牌属性!$DX586)</f>
        <v>240</v>
      </c>
      <c r="FU586" s="14">
        <f>INDEX(属性投放!$BS$6:$BS$85,(卡牌属性!$DW586-2)*20+卡牌属性!$DX586)</f>
        <v>240</v>
      </c>
      <c r="FV586" s="14">
        <f>INDEX(属性投放!$BS$6:$BS$85,(卡牌属性!$DW586-2)*20+卡牌属性!$DX586)</f>
        <v>240</v>
      </c>
    </row>
    <row r="587" spans="31:178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>
        <v>583</v>
      </c>
      <c r="BX587" s="13">
        <f t="shared" si="981"/>
        <v>30</v>
      </c>
      <c r="BY587" s="14">
        <f t="shared" si="982"/>
        <v>3</v>
      </c>
      <c r="BZ587" s="14">
        <f t="shared" si="1005"/>
        <v>1102998</v>
      </c>
      <c r="CA587" s="14" t="str">
        <f t="shared" si="1006"/>
        <v>SR守护灵3突</v>
      </c>
      <c r="CB587" s="25" t="s">
        <v>142</v>
      </c>
      <c r="CC587" s="14">
        <v>2</v>
      </c>
      <c r="CD587" s="14">
        <f t="shared" si="1003"/>
        <v>3</v>
      </c>
      <c r="CE587" s="14" t="s">
        <v>21</v>
      </c>
      <c r="CF587" s="14">
        <f>INDEX(属性投放!$AZ$6:$AZ$85,(BY587-2)*20+CD587)</f>
        <v>422</v>
      </c>
      <c r="CG587" s="14" t="s">
        <v>22</v>
      </c>
      <c r="CH587" s="14">
        <f>INDEX(属性投放!$BA$6:$BA$85,(BY587-2)*20+CD587)</f>
        <v>147</v>
      </c>
      <c r="CI587" s="14" t="s">
        <v>510</v>
      </c>
      <c r="CJ587" s="14">
        <f>INDEX(属性投放!$BB$6:$BB$85,(BY587-2)*20+CD587)</f>
        <v>2132</v>
      </c>
      <c r="CK587" s="14" t="s">
        <v>21</v>
      </c>
      <c r="CL587" s="14">
        <f>INDEX(属性投放!$BC$6:$BC$85,(BY587-2)*20+CD587)</f>
        <v>10</v>
      </c>
      <c r="CM587" s="14" t="s">
        <v>22</v>
      </c>
      <c r="CN587" s="14">
        <f>INDEX(属性投放!$BD$6:$BD$85,(BY587-2)*20+CD587)</f>
        <v>5</v>
      </c>
      <c r="CO587" s="14" t="s">
        <v>510</v>
      </c>
      <c r="CP587" s="14">
        <f>INDEX(属性投放!$BE$6:$BE$85,(BY587-2)*20+CD587)</f>
        <v>60</v>
      </c>
      <c r="CS587" s="13">
        <v>583</v>
      </c>
      <c r="CT587" s="13">
        <f t="shared" si="1007"/>
        <v>12</v>
      </c>
      <c r="CU587" s="13">
        <f t="shared" si="1008"/>
        <v>11</v>
      </c>
      <c r="CV587" s="14">
        <f t="shared" si="1009"/>
        <v>5</v>
      </c>
      <c r="CW587" s="14">
        <f t="shared" si="1010"/>
        <v>1102012</v>
      </c>
      <c r="CX587" s="14" t="str">
        <f>INDEX($O$6:$O$50,CT587)&amp;"-"&amp;INDEX(属性投放!$AB$7:$AB$50,CZ587)&amp;"-魂火-"&amp;DB587</f>
        <v>夏侯惇-众合+2-魂火-2</v>
      </c>
      <c r="CY587" s="25" t="s">
        <v>142</v>
      </c>
      <c r="CZ587" s="14">
        <f>INDEX(属性投放!$AM$7:$AM$58,CU587)</f>
        <v>6</v>
      </c>
      <c r="DA587" s="14" t="s">
        <v>537</v>
      </c>
      <c r="DB587" s="14">
        <f>INDEX(属性投放!$AN$7:$AN$58,CU587)</f>
        <v>2</v>
      </c>
      <c r="DC587" s="14">
        <f t="shared" si="1004"/>
        <v>11</v>
      </c>
      <c r="DD587" s="14">
        <f>INDEX(属性投放!$AO$7:$AO$58,DC587)</f>
        <v>45</v>
      </c>
      <c r="DE587" s="14" t="s">
        <v>538</v>
      </c>
      <c r="DF587" s="14">
        <f>INDEX(属性投放!$BK$6:$BK$85,(CV587-2)*20+CZ587)</f>
        <v>75</v>
      </c>
      <c r="DG587" s="14">
        <f>SUMIFS(DF$5:DF587,$CT$5:$CT587,"="&amp;$CT587)</f>
        <v>615</v>
      </c>
      <c r="DH587" s="14" t="s">
        <v>539</v>
      </c>
      <c r="DI587" s="14">
        <f>INDEX(属性投放!$BL$6:$BL$85,(CV587-2)*20+CZ587)</f>
        <v>38</v>
      </c>
      <c r="DJ587" s="14">
        <f>SUMIFS(DI$5:DI587,$CT$5:$CT587,"="&amp;$CT587)</f>
        <v>310</v>
      </c>
      <c r="DK587" s="14" t="s">
        <v>540</v>
      </c>
      <c r="DL587" s="14">
        <f>INDEX(属性投放!$BM$6:$BM$85,(CV587-2)*20+CZ587)</f>
        <v>525</v>
      </c>
      <c r="DM587" s="14">
        <f>SUMIFS(DL$5:DL587,$CT$5:$CT587,"="&amp;$CT587)</f>
        <v>4100</v>
      </c>
      <c r="DR587" s="14">
        <f t="shared" si="983"/>
        <v>1102998</v>
      </c>
      <c r="DS587" s="14" t="str">
        <f t="shared" si="984"/>
        <v>SR守护灵3突</v>
      </c>
      <c r="DT587" s="14">
        <f t="shared" si="1011"/>
        <v>5</v>
      </c>
      <c r="DU587" s="14">
        <f t="shared" si="1012"/>
        <v>5</v>
      </c>
      <c r="DV587" s="14">
        <f t="shared" si="1013"/>
        <v>5</v>
      </c>
      <c r="DW587" s="14">
        <f t="shared" si="985"/>
        <v>3</v>
      </c>
      <c r="DX587" s="14">
        <f t="shared" si="986"/>
        <v>3</v>
      </c>
      <c r="DY587" s="14">
        <f t="shared" si="987"/>
        <v>23</v>
      </c>
      <c r="DZ587" s="14">
        <f>INDEX(属性投放!$AX$6:$AX$85,(卡牌属性!DW587-2)*20+卡牌属性!DX587)</f>
        <v>10</v>
      </c>
      <c r="EA587" s="14">
        <f>INDEX(属性投放!BQ$6:BQ$85,卡牌属性!$DY587)</f>
        <v>70</v>
      </c>
      <c r="EB587" s="14">
        <f>INDEX(属性投放!BR$6:BR$85,卡牌属性!$DY587)</f>
        <v>35</v>
      </c>
      <c r="EC587" s="14">
        <f>INDEX(属性投放!BS$6:BS$85,卡牌属性!$DY587)</f>
        <v>420</v>
      </c>
      <c r="ED587" s="14">
        <f t="shared" si="1014"/>
        <v>352</v>
      </c>
      <c r="EE587" s="14">
        <f t="shared" si="1015"/>
        <v>405</v>
      </c>
      <c r="EF587" s="14">
        <f t="shared" si="1016"/>
        <v>468</v>
      </c>
      <c r="EG587" s="14">
        <f t="shared" si="1017"/>
        <v>468</v>
      </c>
      <c r="EH587" s="14">
        <f t="shared" si="1018"/>
        <v>542</v>
      </c>
      <c r="EI587" s="14">
        <f t="shared" si="1019"/>
        <v>131</v>
      </c>
      <c r="EJ587" s="14">
        <f t="shared" si="1020"/>
        <v>155</v>
      </c>
      <c r="EK587" s="14">
        <f t="shared" si="1021"/>
        <v>155</v>
      </c>
      <c r="EL587" s="14">
        <f t="shared" si="1022"/>
        <v>189</v>
      </c>
      <c r="EM587" s="14">
        <f t="shared" si="1023"/>
        <v>228</v>
      </c>
      <c r="EN587" s="14">
        <f t="shared" si="1024"/>
        <v>1712</v>
      </c>
      <c r="EO587" s="14">
        <f t="shared" si="1025"/>
        <v>2030</v>
      </c>
      <c r="EP587" s="14">
        <f t="shared" si="1026"/>
        <v>2030</v>
      </c>
      <c r="EQ587" s="14">
        <f t="shared" si="1027"/>
        <v>2408</v>
      </c>
      <c r="ER587" s="14">
        <f t="shared" si="1028"/>
        <v>2752</v>
      </c>
      <c r="ES587" s="14">
        <f>INDEX(属性偏向!$S$4:$S$243,(卡牌属性!$DT587-1+ES$3)*20+卡牌属性!$DX587)</f>
        <v>10</v>
      </c>
      <c r="ET587" s="14">
        <f>INDEX(属性偏向!$S$4:$S$243,(卡牌属性!$DT587-1+ET$3)*20+卡牌属性!$DX587)</f>
        <v>12</v>
      </c>
      <c r="EU587" s="14">
        <f>INDEX(属性偏向!$S$4:$S$243,(卡牌属性!$DT587-1+EU$3)*20+卡牌属性!$DX587)</f>
        <v>15</v>
      </c>
      <c r="EV587" s="14">
        <f>INDEX(属性偏向!$S$4:$S$243,(卡牌属性!$DT587-1+EV$3)*20+卡牌属性!$DX587)</f>
        <v>15</v>
      </c>
      <c r="EW587" s="14">
        <f>INDEX(属性偏向!$S$4:$S$243,(卡牌属性!$DT587-1+EW$3)*20+卡牌属性!$DX587)</f>
        <v>17</v>
      </c>
      <c r="EX587" s="14">
        <f>INDEX(属性偏向!$T$4:$T$243,(卡牌属性!$DU587-1+EX$3)*20+卡牌属性!$DX587)</f>
        <v>5</v>
      </c>
      <c r="EY587" s="14">
        <f>INDEX(属性偏向!$T$4:$T$243,(卡牌属性!$DU587-1+EY$3)*20+卡牌属性!$DX587)</f>
        <v>6</v>
      </c>
      <c r="EZ587" s="14">
        <f>INDEX(属性偏向!$T$4:$T$243,(卡牌属性!$DU587-1+EZ$3)*20+卡牌属性!$DX587)</f>
        <v>6</v>
      </c>
      <c r="FA587" s="14">
        <f>INDEX(属性偏向!$T$4:$T$243,(卡牌属性!$DU587-1+FA$3)*20+卡牌属性!$DX587)</f>
        <v>8</v>
      </c>
      <c r="FB587" s="14">
        <f>INDEX(属性偏向!$T$4:$T$243,(卡牌属性!$DU587-1+FB$3)*20+卡牌属性!$DX587)</f>
        <v>9</v>
      </c>
      <c r="FC587" s="14">
        <f>INDEX(属性偏向!$U$4:$U$243,(卡牌属性!$DV587-1+FC$3)*20+卡牌属性!$DX587)</f>
        <v>60</v>
      </c>
      <c r="FD587" s="14">
        <f>INDEX(属性偏向!$U$4:$U$243,(卡牌属性!$DV587-1+FD$3)*20+卡牌属性!$DX587)</f>
        <v>72</v>
      </c>
      <c r="FE587" s="14">
        <f>INDEX(属性偏向!$U$4:$U$243,(卡牌属性!$DV587-1+FE$3)*20+卡牌属性!$DX587)</f>
        <v>72</v>
      </c>
      <c r="FF587" s="14">
        <f>INDEX(属性偏向!$U$4:$U$243,(卡牌属性!$DV587-1+FF$3)*20+卡牌属性!$DX587)</f>
        <v>90</v>
      </c>
      <c r="FG587" s="14">
        <f>INDEX(属性偏向!$U$4:$U$243,(卡牌属性!$DV587-1+FG$3)*20+卡牌属性!$DX587)</f>
        <v>102</v>
      </c>
      <c r="FH587" s="14">
        <f>INDEX(属性投放!$BQ$6:$BQ$85,(卡牌属性!$DW587-2)*20+卡牌属性!$DX587)</f>
        <v>70</v>
      </c>
      <c r="FI587" s="14">
        <f>INDEX(属性投放!$BQ$6:$BQ$85,(卡牌属性!$DW587-2)*20+卡牌属性!$DX587)</f>
        <v>70</v>
      </c>
      <c r="FJ587" s="14">
        <f>INDEX(属性投放!$BQ$6:$BQ$85,(卡牌属性!$DW587-2)*20+卡牌属性!$DX587)</f>
        <v>70</v>
      </c>
      <c r="FK587" s="14">
        <f>INDEX(属性投放!$BQ$6:$BQ$85,(卡牌属性!$DW587-2)*20+卡牌属性!$DX587)</f>
        <v>70</v>
      </c>
      <c r="FL587" s="14">
        <f>INDEX(属性投放!$BQ$6:$BQ$85,(卡牌属性!$DW587-2)*20+卡牌属性!$DX587)</f>
        <v>70</v>
      </c>
      <c r="FM587" s="14">
        <f>INDEX(属性投放!$BR$6:$BR$85,(卡牌属性!$DW587-2)*20+卡牌属性!$DX587)</f>
        <v>35</v>
      </c>
      <c r="FN587" s="14">
        <f>INDEX(属性投放!$BR$6:$BR$85,(卡牌属性!$DW587-2)*20+卡牌属性!$DX587)</f>
        <v>35</v>
      </c>
      <c r="FO587" s="14">
        <f>INDEX(属性投放!$BR$6:$BR$85,(卡牌属性!$DW587-2)*20+卡牌属性!$DX587)</f>
        <v>35</v>
      </c>
      <c r="FP587" s="14">
        <f>INDEX(属性投放!$BR$6:$BR$85,(卡牌属性!$DW587-2)*20+卡牌属性!$DX587)</f>
        <v>35</v>
      </c>
      <c r="FQ587" s="14">
        <f>INDEX(属性投放!$BR$6:$BR$85,(卡牌属性!$DW587-2)*20+卡牌属性!$DX587)</f>
        <v>35</v>
      </c>
      <c r="FR587" s="14">
        <f>INDEX(属性投放!$BS$6:$BS$85,(卡牌属性!$DW587-2)*20+卡牌属性!$DX587)</f>
        <v>420</v>
      </c>
      <c r="FS587" s="14">
        <f>INDEX(属性投放!$BS$6:$BS$85,(卡牌属性!$DW587-2)*20+卡牌属性!$DX587)</f>
        <v>420</v>
      </c>
      <c r="FT587" s="14">
        <f>INDEX(属性投放!$BS$6:$BS$85,(卡牌属性!$DW587-2)*20+卡牌属性!$DX587)</f>
        <v>420</v>
      </c>
      <c r="FU587" s="14">
        <f>INDEX(属性投放!$BS$6:$BS$85,(卡牌属性!$DW587-2)*20+卡牌属性!$DX587)</f>
        <v>420</v>
      </c>
      <c r="FV587" s="14">
        <f>INDEX(属性投放!$BS$6:$BS$85,(卡牌属性!$DW587-2)*20+卡牌属性!$DX587)</f>
        <v>420</v>
      </c>
    </row>
    <row r="588" spans="31:178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>
        <v>584</v>
      </c>
      <c r="BX588" s="13">
        <f t="shared" si="981"/>
        <v>30</v>
      </c>
      <c r="BY588" s="14">
        <f t="shared" si="982"/>
        <v>3</v>
      </c>
      <c r="BZ588" s="14">
        <f t="shared" si="1005"/>
        <v>1102998</v>
      </c>
      <c r="CA588" s="14" t="str">
        <f t="shared" si="1006"/>
        <v>SR守护灵4突</v>
      </c>
      <c r="CB588" s="25" t="s">
        <v>142</v>
      </c>
      <c r="CC588" s="14">
        <v>2</v>
      </c>
      <c r="CD588" s="14">
        <f t="shared" si="1003"/>
        <v>4</v>
      </c>
      <c r="CE588" s="14" t="s">
        <v>21</v>
      </c>
      <c r="CF588" s="14">
        <f>INDEX(属性投放!$AZ$6:$AZ$85,(BY588-2)*20+CD588)</f>
        <v>652</v>
      </c>
      <c r="CG588" s="14" t="s">
        <v>22</v>
      </c>
      <c r="CH588" s="14">
        <f>INDEX(属性投放!$BA$6:$BA$85,(BY588-2)*20+CD588)</f>
        <v>262</v>
      </c>
      <c r="CI588" s="14" t="s">
        <v>510</v>
      </c>
      <c r="CJ588" s="14">
        <f>INDEX(属性投放!$BB$6:$BB$85,(BY588-2)*20+CD588)</f>
        <v>3512</v>
      </c>
      <c r="CK588" s="14" t="s">
        <v>21</v>
      </c>
      <c r="CL588" s="14">
        <f>INDEX(属性投放!$BC$6:$BC$85,(BY588-2)*20+CD588)</f>
        <v>12</v>
      </c>
      <c r="CM588" s="14" t="s">
        <v>22</v>
      </c>
      <c r="CN588" s="14">
        <f>INDEX(属性投放!$BD$6:$BD$85,(BY588-2)*20+CD588)</f>
        <v>6</v>
      </c>
      <c r="CO588" s="14" t="s">
        <v>510</v>
      </c>
      <c r="CP588" s="14">
        <f>INDEX(属性投放!$BE$6:$BE$85,(BY588-2)*20+CD588)</f>
        <v>84</v>
      </c>
      <c r="CS588" s="13">
        <v>584</v>
      </c>
      <c r="CT588" s="13">
        <f t="shared" si="1007"/>
        <v>12</v>
      </c>
      <c r="CU588" s="13">
        <f t="shared" si="1008"/>
        <v>12</v>
      </c>
      <c r="CV588" s="14">
        <f t="shared" si="1009"/>
        <v>5</v>
      </c>
      <c r="CW588" s="14">
        <f t="shared" si="1010"/>
        <v>1102012</v>
      </c>
      <c r="CX588" s="14" t="str">
        <f>INDEX($O$6:$O$50,CT588)&amp;"-"&amp;INDEX(属性投放!$AB$7:$AB$50,CZ588)&amp;"-魂火-"&amp;DB588</f>
        <v>夏侯惇-叫唤-魂火-1</v>
      </c>
      <c r="CY588" s="25" t="s">
        <v>142</v>
      </c>
      <c r="CZ588" s="14">
        <f>INDEX(属性投放!$AM$7:$AM$58,CU588)</f>
        <v>7</v>
      </c>
      <c r="DA588" s="14" t="s">
        <v>537</v>
      </c>
      <c r="DB588" s="14">
        <f>INDEX(属性投放!$AN$7:$AN$58,CU588)</f>
        <v>1</v>
      </c>
      <c r="DC588" s="14">
        <f t="shared" si="1004"/>
        <v>12</v>
      </c>
      <c r="DD588" s="14">
        <f>INDEX(属性投放!$AO$7:$AO$58,DC588)</f>
        <v>48</v>
      </c>
      <c r="DE588" s="14" t="s">
        <v>538</v>
      </c>
      <c r="DF588" s="14">
        <f>INDEX(属性投放!$BK$6:$BK$85,(CV588-2)*20+CZ588)</f>
        <v>100</v>
      </c>
      <c r="DG588" s="14">
        <f>SUMIFS(DF$5:DF588,$CT$5:$CT588,"="&amp;$CT588)</f>
        <v>715</v>
      </c>
      <c r="DH588" s="14" t="s">
        <v>539</v>
      </c>
      <c r="DI588" s="14">
        <f>INDEX(属性投放!$BL$6:$BL$85,(CV588-2)*20+CZ588)</f>
        <v>50</v>
      </c>
      <c r="DJ588" s="14">
        <f>SUMIFS(DI$5:DI588,$CT$5:$CT588,"="&amp;$CT588)</f>
        <v>360</v>
      </c>
      <c r="DK588" s="14" t="s">
        <v>540</v>
      </c>
      <c r="DL588" s="14">
        <f>INDEX(属性投放!$BM$6:$BM$85,(CV588-2)*20+CZ588)</f>
        <v>800</v>
      </c>
      <c r="DM588" s="14">
        <f>SUMIFS(DL$5:DL588,$CT$5:$CT588,"="&amp;$CT588)</f>
        <v>4900</v>
      </c>
      <c r="DR588" s="14">
        <f t="shared" si="983"/>
        <v>1102998</v>
      </c>
      <c r="DS588" s="14" t="str">
        <f t="shared" si="984"/>
        <v>SR守护灵4突</v>
      </c>
      <c r="DT588" s="14">
        <f t="shared" si="1011"/>
        <v>5</v>
      </c>
      <c r="DU588" s="14">
        <f t="shared" si="1012"/>
        <v>5</v>
      </c>
      <c r="DV588" s="14">
        <f t="shared" si="1013"/>
        <v>5</v>
      </c>
      <c r="DW588" s="14">
        <f t="shared" si="985"/>
        <v>3</v>
      </c>
      <c r="DX588" s="14">
        <f t="shared" si="986"/>
        <v>4</v>
      </c>
      <c r="DY588" s="14">
        <f t="shared" si="987"/>
        <v>24</v>
      </c>
      <c r="DZ588" s="14">
        <f>INDEX(属性投放!$AX$6:$AX$85,(卡牌属性!DW588-2)*20+卡牌属性!DX588)</f>
        <v>10</v>
      </c>
      <c r="EA588" s="14">
        <f>INDEX(属性投放!BQ$6:BQ$85,卡牌属性!$DY588)</f>
        <v>75</v>
      </c>
      <c r="EB588" s="14">
        <f>INDEX(属性投放!BR$6:BR$85,卡牌属性!$DY588)</f>
        <v>38</v>
      </c>
      <c r="EC588" s="14">
        <f>INDEX(属性投放!BS$6:BS$85,卡牌属性!$DY588)</f>
        <v>525</v>
      </c>
      <c r="ED588" s="14">
        <f t="shared" si="1014"/>
        <v>522</v>
      </c>
      <c r="EE588" s="14">
        <f t="shared" si="1015"/>
        <v>595</v>
      </c>
      <c r="EF588" s="14">
        <f t="shared" si="1016"/>
        <v>688</v>
      </c>
      <c r="EG588" s="14">
        <f t="shared" si="1017"/>
        <v>688</v>
      </c>
      <c r="EH588" s="14">
        <f t="shared" si="1018"/>
        <v>782</v>
      </c>
      <c r="EI588" s="14">
        <f t="shared" si="1019"/>
        <v>216</v>
      </c>
      <c r="EJ588" s="14">
        <f t="shared" si="1020"/>
        <v>250</v>
      </c>
      <c r="EK588" s="14">
        <f t="shared" si="1021"/>
        <v>250</v>
      </c>
      <c r="EL588" s="14">
        <f t="shared" si="1022"/>
        <v>304</v>
      </c>
      <c r="EM588" s="14">
        <f t="shared" si="1023"/>
        <v>353</v>
      </c>
      <c r="EN588" s="14">
        <f t="shared" si="1024"/>
        <v>2732</v>
      </c>
      <c r="EO588" s="14">
        <f t="shared" si="1025"/>
        <v>3170</v>
      </c>
      <c r="EP588" s="14">
        <f t="shared" si="1026"/>
        <v>3170</v>
      </c>
      <c r="EQ588" s="14">
        <f t="shared" si="1027"/>
        <v>3728</v>
      </c>
      <c r="ER588" s="14">
        <f t="shared" si="1028"/>
        <v>4192</v>
      </c>
      <c r="ES588" s="14">
        <f>INDEX(属性偏向!$S$4:$S$243,(卡牌属性!$DT588-1+ES$3)*20+卡牌属性!$DX588)</f>
        <v>12</v>
      </c>
      <c r="ET588" s="14">
        <f>INDEX(属性偏向!$S$4:$S$243,(卡牌属性!$DT588-1+ET$3)*20+卡牌属性!$DX588)</f>
        <v>13</v>
      </c>
      <c r="EU588" s="14">
        <f>INDEX(属性偏向!$S$4:$S$243,(卡牌属性!$DT588-1+EU$3)*20+卡牌属性!$DX588)</f>
        <v>20</v>
      </c>
      <c r="EV588" s="14">
        <f>INDEX(属性偏向!$S$4:$S$243,(卡牌属性!$DT588-1+EV$3)*20+卡牌属性!$DX588)</f>
        <v>20</v>
      </c>
      <c r="EW588" s="14">
        <f>INDEX(属性偏向!$S$4:$S$243,(卡牌属性!$DT588-1+EW$3)*20+卡牌属性!$DX588)</f>
        <v>22</v>
      </c>
      <c r="EX588" s="14">
        <f>INDEX(属性偏向!$T$4:$T$243,(卡牌属性!$DU588-1+EX$3)*20+卡牌属性!$DX588)</f>
        <v>6</v>
      </c>
      <c r="EY588" s="14">
        <f>INDEX(属性偏向!$T$4:$T$243,(卡牌属性!$DU588-1+EY$3)*20+卡牌属性!$DX588)</f>
        <v>7</v>
      </c>
      <c r="EZ588" s="14">
        <f>INDEX(属性偏向!$T$4:$T$243,(卡牌属性!$DU588-1+EZ$3)*20+卡牌属性!$DX588)</f>
        <v>7</v>
      </c>
      <c r="FA588" s="14">
        <f>INDEX(属性偏向!$T$4:$T$243,(卡牌属性!$DU588-1+FA$3)*20+卡牌属性!$DX588)</f>
        <v>10</v>
      </c>
      <c r="FB588" s="14">
        <f>INDEX(属性偏向!$T$4:$T$243,(卡牌属性!$DU588-1+FB$3)*20+卡牌属性!$DX588)</f>
        <v>11</v>
      </c>
      <c r="FC588" s="14">
        <f>INDEX(属性偏向!$U$4:$U$243,(卡牌属性!$DV588-1+FC$3)*20+卡牌属性!$DX588)</f>
        <v>84</v>
      </c>
      <c r="FD588" s="14">
        <f>INDEX(属性偏向!$U$4:$U$243,(卡牌属性!$DV588-1+FD$3)*20+卡牌属性!$DX588)</f>
        <v>91</v>
      </c>
      <c r="FE588" s="14">
        <f>INDEX(属性偏向!$U$4:$U$243,(卡牌属性!$DV588-1+FE$3)*20+卡牌属性!$DX588)</f>
        <v>91</v>
      </c>
      <c r="FF588" s="14">
        <f>INDEX(属性偏向!$U$4:$U$243,(卡牌属性!$DV588-1+FF$3)*20+卡牌属性!$DX588)</f>
        <v>140</v>
      </c>
      <c r="FG588" s="14">
        <f>INDEX(属性偏向!$U$4:$U$243,(卡牌属性!$DV588-1+FG$3)*20+卡牌属性!$DX588)</f>
        <v>154</v>
      </c>
      <c r="FH588" s="14">
        <f>INDEX(属性投放!$BQ$6:$BQ$85,(卡牌属性!$DW588-2)*20+卡牌属性!$DX588)</f>
        <v>75</v>
      </c>
      <c r="FI588" s="14">
        <f>INDEX(属性投放!$BQ$6:$BQ$85,(卡牌属性!$DW588-2)*20+卡牌属性!$DX588)</f>
        <v>75</v>
      </c>
      <c r="FJ588" s="14">
        <f>INDEX(属性投放!$BQ$6:$BQ$85,(卡牌属性!$DW588-2)*20+卡牌属性!$DX588)</f>
        <v>75</v>
      </c>
      <c r="FK588" s="14">
        <f>INDEX(属性投放!$BQ$6:$BQ$85,(卡牌属性!$DW588-2)*20+卡牌属性!$DX588)</f>
        <v>75</v>
      </c>
      <c r="FL588" s="14">
        <f>INDEX(属性投放!$BQ$6:$BQ$85,(卡牌属性!$DW588-2)*20+卡牌属性!$DX588)</f>
        <v>75</v>
      </c>
      <c r="FM588" s="14">
        <f>INDEX(属性投放!$BR$6:$BR$85,(卡牌属性!$DW588-2)*20+卡牌属性!$DX588)</f>
        <v>38</v>
      </c>
      <c r="FN588" s="14">
        <f>INDEX(属性投放!$BR$6:$BR$85,(卡牌属性!$DW588-2)*20+卡牌属性!$DX588)</f>
        <v>38</v>
      </c>
      <c r="FO588" s="14">
        <f>INDEX(属性投放!$BR$6:$BR$85,(卡牌属性!$DW588-2)*20+卡牌属性!$DX588)</f>
        <v>38</v>
      </c>
      <c r="FP588" s="14">
        <f>INDEX(属性投放!$BR$6:$BR$85,(卡牌属性!$DW588-2)*20+卡牌属性!$DX588)</f>
        <v>38</v>
      </c>
      <c r="FQ588" s="14">
        <f>INDEX(属性投放!$BR$6:$BR$85,(卡牌属性!$DW588-2)*20+卡牌属性!$DX588)</f>
        <v>38</v>
      </c>
      <c r="FR588" s="14">
        <f>INDEX(属性投放!$BS$6:$BS$85,(卡牌属性!$DW588-2)*20+卡牌属性!$DX588)</f>
        <v>525</v>
      </c>
      <c r="FS588" s="14">
        <f>INDEX(属性投放!$BS$6:$BS$85,(卡牌属性!$DW588-2)*20+卡牌属性!$DX588)</f>
        <v>525</v>
      </c>
      <c r="FT588" s="14">
        <f>INDEX(属性投放!$BS$6:$BS$85,(卡牌属性!$DW588-2)*20+卡牌属性!$DX588)</f>
        <v>525</v>
      </c>
      <c r="FU588" s="14">
        <f>INDEX(属性投放!$BS$6:$BS$85,(卡牌属性!$DW588-2)*20+卡牌属性!$DX588)</f>
        <v>525</v>
      </c>
      <c r="FV588" s="14">
        <f>INDEX(属性投放!$BS$6:$BS$85,(卡牌属性!$DW588-2)*20+卡牌属性!$DX588)</f>
        <v>525</v>
      </c>
    </row>
    <row r="589" spans="31:178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>
        <v>585</v>
      </c>
      <c r="BX589" s="13">
        <f t="shared" si="981"/>
        <v>30</v>
      </c>
      <c r="BY589" s="14">
        <f t="shared" si="982"/>
        <v>3</v>
      </c>
      <c r="BZ589" s="14">
        <f t="shared" si="1005"/>
        <v>1102998</v>
      </c>
      <c r="CA589" s="14" t="str">
        <f t="shared" si="1006"/>
        <v>SR守护灵5突</v>
      </c>
      <c r="CB589" s="25" t="s">
        <v>142</v>
      </c>
      <c r="CC589" s="14">
        <v>2</v>
      </c>
      <c r="CD589" s="14">
        <f t="shared" si="1003"/>
        <v>5</v>
      </c>
      <c r="CE589" s="14" t="s">
        <v>21</v>
      </c>
      <c r="CF589" s="14">
        <f>INDEX(属性投放!$AZ$6:$AZ$85,(BY589-2)*20+CD589)</f>
        <v>927</v>
      </c>
      <c r="CG589" s="14" t="s">
        <v>22</v>
      </c>
      <c r="CH589" s="14">
        <f>INDEX(属性投放!$BA$6:$BA$85,(BY589-2)*20+CD589)</f>
        <v>400</v>
      </c>
      <c r="CI589" s="14" t="s">
        <v>510</v>
      </c>
      <c r="CJ589" s="14">
        <f>INDEX(属性投放!$BB$6:$BB$85,(BY589-2)*20+CD589)</f>
        <v>5437</v>
      </c>
      <c r="CK589" s="14" t="s">
        <v>21</v>
      </c>
      <c r="CL589" s="14">
        <f>INDEX(属性投放!$BC$6:$BC$85,(BY589-2)*20+CD589)</f>
        <v>12</v>
      </c>
      <c r="CM589" s="14" t="s">
        <v>22</v>
      </c>
      <c r="CN589" s="14">
        <f>INDEX(属性投放!$BD$6:$BD$85,(BY589-2)*20+CD589)</f>
        <v>6</v>
      </c>
      <c r="CO589" s="14" t="s">
        <v>510</v>
      </c>
      <c r="CP589" s="14">
        <f>INDEX(属性投放!$BE$6:$BE$85,(BY589-2)*20+CD589)</f>
        <v>84</v>
      </c>
      <c r="CS589" s="13">
        <v>585</v>
      </c>
      <c r="CT589" s="13">
        <f t="shared" si="1007"/>
        <v>12</v>
      </c>
      <c r="CU589" s="13">
        <f t="shared" si="1008"/>
        <v>13</v>
      </c>
      <c r="CV589" s="14">
        <f t="shared" si="1009"/>
        <v>5</v>
      </c>
      <c r="CW589" s="14">
        <f t="shared" si="1010"/>
        <v>1102012</v>
      </c>
      <c r="CX589" s="14" t="str">
        <f>INDEX($O$6:$O$50,CT589)&amp;"-"&amp;INDEX(属性投放!$AB$7:$AB$50,CZ589)&amp;"-魂火-"&amp;DB589</f>
        <v>夏侯惇-叫唤-魂火-2</v>
      </c>
      <c r="CY589" s="25" t="s">
        <v>142</v>
      </c>
      <c r="CZ589" s="14">
        <f>INDEX(属性投放!$AM$7:$AM$58,CU589)</f>
        <v>7</v>
      </c>
      <c r="DA589" s="14" t="s">
        <v>537</v>
      </c>
      <c r="DB589" s="14">
        <f>INDEX(属性投放!$AN$7:$AN$58,CU589)</f>
        <v>2</v>
      </c>
      <c r="DC589" s="14">
        <f t="shared" si="1004"/>
        <v>13</v>
      </c>
      <c r="DD589" s="14">
        <f>INDEX(属性投放!$AO$7:$AO$58,DC589)</f>
        <v>50</v>
      </c>
      <c r="DE589" s="14" t="s">
        <v>538</v>
      </c>
      <c r="DF589" s="14">
        <f>INDEX(属性投放!$BK$6:$BK$85,(CV589-2)*20+CZ589)</f>
        <v>100</v>
      </c>
      <c r="DG589" s="14">
        <f>SUMIFS(DF$5:DF589,$CT$5:$CT589,"="&amp;$CT589)</f>
        <v>815</v>
      </c>
      <c r="DH589" s="14" t="s">
        <v>539</v>
      </c>
      <c r="DI589" s="14">
        <f>INDEX(属性投放!$BL$6:$BL$85,(CV589-2)*20+CZ589)</f>
        <v>50</v>
      </c>
      <c r="DJ589" s="14">
        <f>SUMIFS(DI$5:DI589,$CT$5:$CT589,"="&amp;$CT589)</f>
        <v>410</v>
      </c>
      <c r="DK589" s="14" t="s">
        <v>540</v>
      </c>
      <c r="DL589" s="14">
        <f>INDEX(属性投放!$BM$6:$BM$85,(CV589-2)*20+CZ589)</f>
        <v>800</v>
      </c>
      <c r="DM589" s="14">
        <f>SUMIFS(DL$5:DL589,$CT$5:$CT589,"="&amp;$CT589)</f>
        <v>5700</v>
      </c>
      <c r="DR589" s="14">
        <f t="shared" si="983"/>
        <v>1102998</v>
      </c>
      <c r="DS589" s="14" t="str">
        <f t="shared" si="984"/>
        <v>SR守护灵5突</v>
      </c>
      <c r="DT589" s="14">
        <f t="shared" si="1011"/>
        <v>5</v>
      </c>
      <c r="DU589" s="14">
        <f t="shared" si="1012"/>
        <v>5</v>
      </c>
      <c r="DV589" s="14">
        <f t="shared" si="1013"/>
        <v>5</v>
      </c>
      <c r="DW589" s="14">
        <f t="shared" si="985"/>
        <v>3</v>
      </c>
      <c r="DX589" s="14">
        <f t="shared" si="986"/>
        <v>5</v>
      </c>
      <c r="DY589" s="14">
        <f t="shared" si="987"/>
        <v>25</v>
      </c>
      <c r="DZ589" s="14">
        <f>INDEX(属性投放!$AX$6:$AX$85,(卡牌属性!DW589-2)*20+卡牌属性!DX589)</f>
        <v>7</v>
      </c>
      <c r="EA589" s="14">
        <f>INDEX(属性投放!BQ$6:BQ$85,卡牌属性!$DY589)</f>
        <v>100</v>
      </c>
      <c r="EB589" s="14">
        <f>INDEX(属性投放!BR$6:BR$85,卡牌属性!$DY589)</f>
        <v>50</v>
      </c>
      <c r="EC589" s="14">
        <f>INDEX(属性投放!BS$6:BS$85,卡牌属性!$DY589)</f>
        <v>700</v>
      </c>
      <c r="ED589" s="14">
        <f t="shared" si="1014"/>
        <v>717</v>
      </c>
      <c r="EE589" s="14">
        <f t="shared" si="1015"/>
        <v>800</v>
      </c>
      <c r="EF589" s="14">
        <f t="shared" si="1016"/>
        <v>963</v>
      </c>
      <c r="EG589" s="14">
        <f t="shared" si="1017"/>
        <v>963</v>
      </c>
      <c r="EH589" s="14">
        <f t="shared" si="1018"/>
        <v>1077</v>
      </c>
      <c r="EI589" s="14">
        <f t="shared" si="1019"/>
        <v>314</v>
      </c>
      <c r="EJ589" s="14">
        <f t="shared" si="1020"/>
        <v>358</v>
      </c>
      <c r="EK589" s="14">
        <f t="shared" si="1021"/>
        <v>358</v>
      </c>
      <c r="EL589" s="14">
        <f t="shared" si="1022"/>
        <v>442</v>
      </c>
      <c r="EM589" s="14">
        <f t="shared" si="1023"/>
        <v>501</v>
      </c>
      <c r="EN589" s="14">
        <f t="shared" si="1024"/>
        <v>4097</v>
      </c>
      <c r="EO589" s="14">
        <f t="shared" si="1025"/>
        <v>4605</v>
      </c>
      <c r="EP589" s="14">
        <f t="shared" si="1026"/>
        <v>4605</v>
      </c>
      <c r="EQ589" s="14">
        <f t="shared" si="1027"/>
        <v>5653</v>
      </c>
      <c r="ER589" s="14">
        <f t="shared" si="1028"/>
        <v>6257</v>
      </c>
      <c r="ES589" s="14">
        <f>INDEX(属性偏向!$S$4:$S$243,(卡牌属性!$DT589-1+ES$3)*20+卡牌属性!$DX589)</f>
        <v>12</v>
      </c>
      <c r="ET589" s="14">
        <f>INDEX(属性偏向!$S$4:$S$243,(卡牌属性!$DT589-1+ET$3)*20+卡牌属性!$DX589)</f>
        <v>13</v>
      </c>
      <c r="EU589" s="14">
        <f>INDEX(属性偏向!$S$4:$S$243,(卡牌属性!$DT589-1+EU$3)*20+卡牌属性!$DX589)</f>
        <v>20</v>
      </c>
      <c r="EV589" s="14">
        <f>INDEX(属性偏向!$S$4:$S$243,(卡牌属性!$DT589-1+EV$3)*20+卡牌属性!$DX589)</f>
        <v>20</v>
      </c>
      <c r="EW589" s="14">
        <f>INDEX(属性偏向!$S$4:$S$243,(卡牌属性!$DT589-1+EW$3)*20+卡牌属性!$DX589)</f>
        <v>22</v>
      </c>
      <c r="EX589" s="14">
        <f>INDEX(属性偏向!$T$4:$T$243,(卡牌属性!$DU589-1+EX$3)*20+卡牌属性!$DX589)</f>
        <v>6</v>
      </c>
      <c r="EY589" s="14">
        <f>INDEX(属性偏向!$T$4:$T$243,(卡牌属性!$DU589-1+EY$3)*20+卡牌属性!$DX589)</f>
        <v>7</v>
      </c>
      <c r="EZ589" s="14">
        <f>INDEX(属性偏向!$T$4:$T$243,(卡牌属性!$DU589-1+EZ$3)*20+卡牌属性!$DX589)</f>
        <v>7</v>
      </c>
      <c r="FA589" s="14">
        <f>INDEX(属性偏向!$T$4:$T$243,(卡牌属性!$DU589-1+FA$3)*20+卡牌属性!$DX589)</f>
        <v>10</v>
      </c>
      <c r="FB589" s="14">
        <f>INDEX(属性偏向!$T$4:$T$243,(卡牌属性!$DU589-1+FB$3)*20+卡牌属性!$DX589)</f>
        <v>11</v>
      </c>
      <c r="FC589" s="14">
        <f>INDEX(属性偏向!$U$4:$U$243,(卡牌属性!$DV589-1+FC$3)*20+卡牌属性!$DX589)</f>
        <v>84</v>
      </c>
      <c r="FD589" s="14">
        <f>INDEX(属性偏向!$U$4:$U$243,(卡牌属性!$DV589-1+FD$3)*20+卡牌属性!$DX589)</f>
        <v>91</v>
      </c>
      <c r="FE589" s="14">
        <f>INDEX(属性偏向!$U$4:$U$243,(卡牌属性!$DV589-1+FE$3)*20+卡牌属性!$DX589)</f>
        <v>91</v>
      </c>
      <c r="FF589" s="14">
        <f>INDEX(属性偏向!$U$4:$U$243,(卡牌属性!$DV589-1+FF$3)*20+卡牌属性!$DX589)</f>
        <v>140</v>
      </c>
      <c r="FG589" s="14">
        <f>INDEX(属性偏向!$U$4:$U$243,(卡牌属性!$DV589-1+FG$3)*20+卡牌属性!$DX589)</f>
        <v>154</v>
      </c>
      <c r="FH589" s="14">
        <f>INDEX(属性投放!$BQ$6:$BQ$85,(卡牌属性!$DW589-2)*20+卡牌属性!$DX589)</f>
        <v>100</v>
      </c>
      <c r="FI589" s="14">
        <f>INDEX(属性投放!$BQ$6:$BQ$85,(卡牌属性!$DW589-2)*20+卡牌属性!$DX589)</f>
        <v>100</v>
      </c>
      <c r="FJ589" s="14">
        <f>INDEX(属性投放!$BQ$6:$BQ$85,(卡牌属性!$DW589-2)*20+卡牌属性!$DX589)</f>
        <v>100</v>
      </c>
      <c r="FK589" s="14">
        <f>INDEX(属性投放!$BQ$6:$BQ$85,(卡牌属性!$DW589-2)*20+卡牌属性!$DX589)</f>
        <v>100</v>
      </c>
      <c r="FL589" s="14">
        <f>INDEX(属性投放!$BQ$6:$BQ$85,(卡牌属性!$DW589-2)*20+卡牌属性!$DX589)</f>
        <v>100</v>
      </c>
      <c r="FM589" s="14">
        <f>INDEX(属性投放!$BR$6:$BR$85,(卡牌属性!$DW589-2)*20+卡牌属性!$DX589)</f>
        <v>50</v>
      </c>
      <c r="FN589" s="14">
        <f>INDEX(属性投放!$BR$6:$BR$85,(卡牌属性!$DW589-2)*20+卡牌属性!$DX589)</f>
        <v>50</v>
      </c>
      <c r="FO589" s="14">
        <f>INDEX(属性投放!$BR$6:$BR$85,(卡牌属性!$DW589-2)*20+卡牌属性!$DX589)</f>
        <v>50</v>
      </c>
      <c r="FP589" s="14">
        <f>INDEX(属性投放!$BR$6:$BR$85,(卡牌属性!$DW589-2)*20+卡牌属性!$DX589)</f>
        <v>50</v>
      </c>
      <c r="FQ589" s="14">
        <f>INDEX(属性投放!$BR$6:$BR$85,(卡牌属性!$DW589-2)*20+卡牌属性!$DX589)</f>
        <v>50</v>
      </c>
      <c r="FR589" s="14">
        <f>INDEX(属性投放!$BS$6:$BS$85,(卡牌属性!$DW589-2)*20+卡牌属性!$DX589)</f>
        <v>700</v>
      </c>
      <c r="FS589" s="14">
        <f>INDEX(属性投放!$BS$6:$BS$85,(卡牌属性!$DW589-2)*20+卡牌属性!$DX589)</f>
        <v>700</v>
      </c>
      <c r="FT589" s="14">
        <f>INDEX(属性投放!$BS$6:$BS$85,(卡牌属性!$DW589-2)*20+卡牌属性!$DX589)</f>
        <v>700</v>
      </c>
      <c r="FU589" s="14">
        <f>INDEX(属性投放!$BS$6:$BS$85,(卡牌属性!$DW589-2)*20+卡牌属性!$DX589)</f>
        <v>700</v>
      </c>
      <c r="FV589" s="14">
        <f>INDEX(属性投放!$BS$6:$BS$85,(卡牌属性!$DW589-2)*20+卡牌属性!$DX589)</f>
        <v>700</v>
      </c>
    </row>
    <row r="590" spans="31:178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>
        <v>586</v>
      </c>
      <c r="BX590" s="13">
        <f t="shared" si="981"/>
        <v>30</v>
      </c>
      <c r="BY590" s="14">
        <f t="shared" si="982"/>
        <v>3</v>
      </c>
      <c r="BZ590" s="14">
        <f t="shared" si="1005"/>
        <v>1102998</v>
      </c>
      <c r="CA590" s="14" t="str">
        <f t="shared" si="1006"/>
        <v>SR守护灵6突</v>
      </c>
      <c r="CB590" s="25" t="s">
        <v>142</v>
      </c>
      <c r="CC590" s="14">
        <v>2</v>
      </c>
      <c r="CD590" s="14">
        <f t="shared" si="1003"/>
        <v>6</v>
      </c>
      <c r="CE590" s="14" t="s">
        <v>21</v>
      </c>
      <c r="CF590" s="14">
        <f>INDEX(属性投放!$AZ$6:$AZ$85,(BY590-2)*20+CD590)</f>
        <v>1201</v>
      </c>
      <c r="CG590" s="14" t="s">
        <v>22</v>
      </c>
      <c r="CH590" s="14">
        <f>INDEX(属性投放!$BA$6:$BA$85,(BY590-2)*20+CD590)</f>
        <v>538</v>
      </c>
      <c r="CI590" s="14" t="s">
        <v>510</v>
      </c>
      <c r="CJ590" s="14">
        <f>INDEX(属性投放!$BB$6:$BB$85,(BY590-2)*20+CD590)</f>
        <v>7355</v>
      </c>
      <c r="CK590" s="14" t="s">
        <v>21</v>
      </c>
      <c r="CL590" s="14">
        <f>INDEX(属性投放!$BC$6:$BC$85,(BY590-2)*20+CD590)</f>
        <v>12</v>
      </c>
      <c r="CM590" s="14" t="s">
        <v>22</v>
      </c>
      <c r="CN590" s="14">
        <f>INDEX(属性投放!$BD$6:$BD$85,(BY590-2)*20+CD590)</f>
        <v>6</v>
      </c>
      <c r="CO590" s="14" t="s">
        <v>510</v>
      </c>
      <c r="CP590" s="14">
        <f>INDEX(属性投放!$BE$6:$BE$85,(BY590-2)*20+CD590)</f>
        <v>84</v>
      </c>
      <c r="CS590" s="13">
        <v>586</v>
      </c>
      <c r="CT590" s="13">
        <f t="shared" si="1007"/>
        <v>12</v>
      </c>
      <c r="CU590" s="13">
        <f t="shared" si="1008"/>
        <v>14</v>
      </c>
      <c r="CV590" s="14">
        <f t="shared" si="1009"/>
        <v>5</v>
      </c>
      <c r="CW590" s="14">
        <f t="shared" si="1010"/>
        <v>1102012</v>
      </c>
      <c r="CX590" s="14" t="str">
        <f>INDEX($O$6:$O$50,CT590)&amp;"-"&amp;INDEX(属性投放!$AB$7:$AB$50,CZ590)&amp;"-魂火-"&amp;DB590</f>
        <v>夏侯惇-叫唤+1-魂火-1</v>
      </c>
      <c r="CY590" s="25" t="s">
        <v>142</v>
      </c>
      <c r="CZ590" s="14">
        <f>INDEX(属性投放!$AM$7:$AM$58,CU590)</f>
        <v>8</v>
      </c>
      <c r="DA590" s="14" t="s">
        <v>537</v>
      </c>
      <c r="DB590" s="14">
        <f>INDEX(属性投放!$AN$7:$AN$58,CU590)</f>
        <v>1</v>
      </c>
      <c r="DC590" s="14">
        <f t="shared" si="1004"/>
        <v>14</v>
      </c>
      <c r="DD590" s="14">
        <f>INDEX(属性投放!$AO$7:$AO$58,DC590)</f>
        <v>53</v>
      </c>
      <c r="DE590" s="14" t="s">
        <v>538</v>
      </c>
      <c r="DF590" s="14">
        <f>INDEX(属性投放!$BK$6:$BK$85,(CV590-2)*20+CZ590)</f>
        <v>120</v>
      </c>
      <c r="DG590" s="14">
        <f>SUMIFS(DF$5:DF590,$CT$5:$CT590,"="&amp;$CT590)</f>
        <v>935</v>
      </c>
      <c r="DH590" s="14" t="s">
        <v>539</v>
      </c>
      <c r="DI590" s="14">
        <f>INDEX(属性投放!$BL$6:$BL$85,(CV590-2)*20+CZ590)</f>
        <v>60</v>
      </c>
      <c r="DJ590" s="14">
        <f>SUMIFS(DI$5:DI590,$CT$5:$CT590,"="&amp;$CT590)</f>
        <v>470</v>
      </c>
      <c r="DK590" s="14" t="s">
        <v>540</v>
      </c>
      <c r="DL590" s="14">
        <f>INDEX(属性投放!$BM$6:$BM$85,(CV590-2)*20+CZ590)</f>
        <v>960</v>
      </c>
      <c r="DM590" s="14">
        <f>SUMIFS(DL$5:DL590,$CT$5:$CT590,"="&amp;$CT590)</f>
        <v>6660</v>
      </c>
      <c r="DR590" s="14">
        <f t="shared" si="983"/>
        <v>1102998</v>
      </c>
      <c r="DS590" s="14" t="str">
        <f t="shared" si="984"/>
        <v>SR守护灵6突</v>
      </c>
      <c r="DT590" s="14">
        <f t="shared" si="1011"/>
        <v>5</v>
      </c>
      <c r="DU590" s="14">
        <f t="shared" si="1012"/>
        <v>5</v>
      </c>
      <c r="DV590" s="14">
        <f t="shared" si="1013"/>
        <v>5</v>
      </c>
      <c r="DW590" s="14">
        <f t="shared" si="985"/>
        <v>3</v>
      </c>
      <c r="DX590" s="14">
        <f t="shared" si="986"/>
        <v>6</v>
      </c>
      <c r="DY590" s="14">
        <f t="shared" si="987"/>
        <v>26</v>
      </c>
      <c r="DZ590" s="14">
        <f>INDEX(属性投放!$AX$6:$AX$85,(卡牌属性!DW590-2)*20+卡牌属性!DX590)</f>
        <v>5</v>
      </c>
      <c r="EA590" s="14">
        <f>INDEX(属性投放!BQ$6:BQ$85,卡牌属性!$DY590)</f>
        <v>140</v>
      </c>
      <c r="EB590" s="14">
        <f>INDEX(属性投放!BR$6:BR$85,卡牌属性!$DY590)</f>
        <v>70</v>
      </c>
      <c r="EC590" s="14">
        <f>INDEX(属性投放!BS$6:BS$85,卡牌属性!$DY590)</f>
        <v>980</v>
      </c>
      <c r="ED590" s="14">
        <f t="shared" si="1014"/>
        <v>901</v>
      </c>
      <c r="EE590" s="14">
        <f t="shared" si="1015"/>
        <v>991</v>
      </c>
      <c r="EF590" s="14">
        <f t="shared" si="1016"/>
        <v>1203</v>
      </c>
      <c r="EG590" s="14">
        <f t="shared" si="1017"/>
        <v>1203</v>
      </c>
      <c r="EH590" s="14">
        <f t="shared" si="1018"/>
        <v>1331</v>
      </c>
      <c r="EI590" s="14">
        <f t="shared" si="1019"/>
        <v>406</v>
      </c>
      <c r="EJ590" s="14">
        <f t="shared" si="1020"/>
        <v>457</v>
      </c>
      <c r="EK590" s="14">
        <f t="shared" si="1021"/>
        <v>457</v>
      </c>
      <c r="EL590" s="14">
        <f t="shared" si="1022"/>
        <v>562</v>
      </c>
      <c r="EM590" s="14">
        <f t="shared" si="1023"/>
        <v>628</v>
      </c>
      <c r="EN590" s="14">
        <f t="shared" si="1024"/>
        <v>5385</v>
      </c>
      <c r="EO590" s="14">
        <f t="shared" si="1025"/>
        <v>5942</v>
      </c>
      <c r="EP590" s="14">
        <f t="shared" si="1026"/>
        <v>5942</v>
      </c>
      <c r="EQ590" s="14">
        <f t="shared" si="1027"/>
        <v>7333</v>
      </c>
      <c r="ER590" s="14">
        <f t="shared" si="1028"/>
        <v>8035</v>
      </c>
      <c r="ES590" s="14">
        <f>INDEX(属性偏向!$S$4:$S$243,(卡牌属性!$DT590-1+ES$3)*20+卡牌属性!$DX590)</f>
        <v>12</v>
      </c>
      <c r="ET590" s="14">
        <f>INDEX(属性偏向!$S$4:$S$243,(卡牌属性!$DT590-1+ET$3)*20+卡牌属性!$DX590)</f>
        <v>13</v>
      </c>
      <c r="EU590" s="14">
        <f>INDEX(属性偏向!$S$4:$S$243,(卡牌属性!$DT590-1+EU$3)*20+卡牌属性!$DX590)</f>
        <v>20</v>
      </c>
      <c r="EV590" s="14">
        <f>INDEX(属性偏向!$S$4:$S$243,(卡牌属性!$DT590-1+EV$3)*20+卡牌属性!$DX590)</f>
        <v>20</v>
      </c>
      <c r="EW590" s="14">
        <f>INDEX(属性偏向!$S$4:$S$243,(卡牌属性!$DT590-1+EW$3)*20+卡牌属性!$DX590)</f>
        <v>22</v>
      </c>
      <c r="EX590" s="14">
        <f>INDEX(属性偏向!$T$4:$T$243,(卡牌属性!$DU590-1+EX$3)*20+卡牌属性!$DX590)</f>
        <v>6</v>
      </c>
      <c r="EY590" s="14">
        <f>INDEX(属性偏向!$T$4:$T$243,(卡牌属性!$DU590-1+EY$3)*20+卡牌属性!$DX590)</f>
        <v>7</v>
      </c>
      <c r="EZ590" s="14">
        <f>INDEX(属性偏向!$T$4:$T$243,(卡牌属性!$DU590-1+EZ$3)*20+卡牌属性!$DX590)</f>
        <v>7</v>
      </c>
      <c r="FA590" s="14">
        <f>INDEX(属性偏向!$T$4:$T$243,(卡牌属性!$DU590-1+FA$3)*20+卡牌属性!$DX590)</f>
        <v>10</v>
      </c>
      <c r="FB590" s="14">
        <f>INDEX(属性偏向!$T$4:$T$243,(卡牌属性!$DU590-1+FB$3)*20+卡牌属性!$DX590)</f>
        <v>11</v>
      </c>
      <c r="FC590" s="14">
        <f>INDEX(属性偏向!$U$4:$U$243,(卡牌属性!$DV590-1+FC$3)*20+卡牌属性!$DX590)</f>
        <v>84</v>
      </c>
      <c r="FD590" s="14">
        <f>INDEX(属性偏向!$U$4:$U$243,(卡牌属性!$DV590-1+FD$3)*20+卡牌属性!$DX590)</f>
        <v>91</v>
      </c>
      <c r="FE590" s="14">
        <f>INDEX(属性偏向!$U$4:$U$243,(卡牌属性!$DV590-1+FE$3)*20+卡牌属性!$DX590)</f>
        <v>91</v>
      </c>
      <c r="FF590" s="14">
        <f>INDEX(属性偏向!$U$4:$U$243,(卡牌属性!$DV590-1+FF$3)*20+卡牌属性!$DX590)</f>
        <v>140</v>
      </c>
      <c r="FG590" s="14">
        <f>INDEX(属性偏向!$U$4:$U$243,(卡牌属性!$DV590-1+FG$3)*20+卡牌属性!$DX590)</f>
        <v>154</v>
      </c>
      <c r="FH590" s="14">
        <f>INDEX(属性投放!$BQ$6:$BQ$85,(卡牌属性!$DW590-2)*20+卡牌属性!$DX590)</f>
        <v>140</v>
      </c>
      <c r="FI590" s="14">
        <f>INDEX(属性投放!$BQ$6:$BQ$85,(卡牌属性!$DW590-2)*20+卡牌属性!$DX590)</f>
        <v>140</v>
      </c>
      <c r="FJ590" s="14">
        <f>INDEX(属性投放!$BQ$6:$BQ$85,(卡牌属性!$DW590-2)*20+卡牌属性!$DX590)</f>
        <v>140</v>
      </c>
      <c r="FK590" s="14">
        <f>INDEX(属性投放!$BQ$6:$BQ$85,(卡牌属性!$DW590-2)*20+卡牌属性!$DX590)</f>
        <v>140</v>
      </c>
      <c r="FL590" s="14">
        <f>INDEX(属性投放!$BQ$6:$BQ$85,(卡牌属性!$DW590-2)*20+卡牌属性!$DX590)</f>
        <v>140</v>
      </c>
      <c r="FM590" s="14">
        <f>INDEX(属性投放!$BR$6:$BR$85,(卡牌属性!$DW590-2)*20+卡牌属性!$DX590)</f>
        <v>70</v>
      </c>
      <c r="FN590" s="14">
        <f>INDEX(属性投放!$BR$6:$BR$85,(卡牌属性!$DW590-2)*20+卡牌属性!$DX590)</f>
        <v>70</v>
      </c>
      <c r="FO590" s="14">
        <f>INDEX(属性投放!$BR$6:$BR$85,(卡牌属性!$DW590-2)*20+卡牌属性!$DX590)</f>
        <v>70</v>
      </c>
      <c r="FP590" s="14">
        <f>INDEX(属性投放!$BR$6:$BR$85,(卡牌属性!$DW590-2)*20+卡牌属性!$DX590)</f>
        <v>70</v>
      </c>
      <c r="FQ590" s="14">
        <f>INDEX(属性投放!$BR$6:$BR$85,(卡牌属性!$DW590-2)*20+卡牌属性!$DX590)</f>
        <v>70</v>
      </c>
      <c r="FR590" s="14">
        <f>INDEX(属性投放!$BS$6:$BS$85,(卡牌属性!$DW590-2)*20+卡牌属性!$DX590)</f>
        <v>980</v>
      </c>
      <c r="FS590" s="14">
        <f>INDEX(属性投放!$BS$6:$BS$85,(卡牌属性!$DW590-2)*20+卡牌属性!$DX590)</f>
        <v>980</v>
      </c>
      <c r="FT590" s="14">
        <f>INDEX(属性投放!$BS$6:$BS$85,(卡牌属性!$DW590-2)*20+卡牌属性!$DX590)</f>
        <v>980</v>
      </c>
      <c r="FU590" s="14">
        <f>INDEX(属性投放!$BS$6:$BS$85,(卡牌属性!$DW590-2)*20+卡牌属性!$DX590)</f>
        <v>980</v>
      </c>
      <c r="FV590" s="14">
        <f>INDEX(属性投放!$BS$6:$BS$85,(卡牌属性!$DW590-2)*20+卡牌属性!$DX590)</f>
        <v>980</v>
      </c>
    </row>
    <row r="591" spans="31:178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>
        <v>587</v>
      </c>
      <c r="BX591" s="13">
        <f t="shared" si="981"/>
        <v>30</v>
      </c>
      <c r="BY591" s="14">
        <f t="shared" si="982"/>
        <v>3</v>
      </c>
      <c r="BZ591" s="14">
        <f t="shared" si="1005"/>
        <v>1102998</v>
      </c>
      <c r="CA591" s="14" t="str">
        <f t="shared" si="1006"/>
        <v>SR守护灵7突</v>
      </c>
      <c r="CB591" s="25" t="s">
        <v>142</v>
      </c>
      <c r="CC591" s="14">
        <v>2</v>
      </c>
      <c r="CD591" s="14">
        <f t="shared" si="1003"/>
        <v>7</v>
      </c>
      <c r="CE591" s="14" t="s">
        <v>21</v>
      </c>
      <c r="CF591" s="14">
        <f>INDEX(属性投放!$AZ$6:$AZ$85,(BY591-2)*20+CD591)</f>
        <v>1501</v>
      </c>
      <c r="CG591" s="14" t="s">
        <v>22</v>
      </c>
      <c r="CH591" s="14">
        <f>INDEX(属性投放!$BA$6:$BA$85,(BY591-2)*20+CD591)</f>
        <v>688</v>
      </c>
      <c r="CI591" s="14" t="s">
        <v>510</v>
      </c>
      <c r="CJ591" s="14">
        <f>INDEX(属性投放!$BB$6:$BB$85,(BY591-2)*20+CD591)</f>
        <v>9455</v>
      </c>
      <c r="CK591" s="14" t="s">
        <v>21</v>
      </c>
      <c r="CL591" s="14">
        <f>INDEX(属性投放!$BC$6:$BC$85,(BY591-2)*20+CD591)</f>
        <v>15</v>
      </c>
      <c r="CM591" s="14" t="s">
        <v>22</v>
      </c>
      <c r="CN591" s="14">
        <f>INDEX(属性投放!$BD$6:$BD$85,(BY591-2)*20+CD591)</f>
        <v>8</v>
      </c>
      <c r="CO591" s="14" t="s">
        <v>510</v>
      </c>
      <c r="CP591" s="14">
        <f>INDEX(属性投放!$BE$6:$BE$85,(BY591-2)*20+CD591)</f>
        <v>120</v>
      </c>
      <c r="CS591" s="13">
        <v>587</v>
      </c>
      <c r="CT591" s="13">
        <f t="shared" si="1007"/>
        <v>12</v>
      </c>
      <c r="CU591" s="13">
        <f t="shared" si="1008"/>
        <v>15</v>
      </c>
      <c r="CV591" s="14">
        <f t="shared" si="1009"/>
        <v>5</v>
      </c>
      <c r="CW591" s="14">
        <f t="shared" si="1010"/>
        <v>1102012</v>
      </c>
      <c r="CX591" s="14" t="str">
        <f>INDEX($O$6:$O$50,CT591)&amp;"-"&amp;INDEX(属性投放!$AB$7:$AB$50,CZ591)&amp;"-魂火-"&amp;DB591</f>
        <v>夏侯惇-叫唤+1-魂火-2</v>
      </c>
      <c r="CY591" s="25" t="s">
        <v>142</v>
      </c>
      <c r="CZ591" s="14">
        <f>INDEX(属性投放!$AM$7:$AM$58,CU591)</f>
        <v>8</v>
      </c>
      <c r="DA591" s="14" t="s">
        <v>537</v>
      </c>
      <c r="DB591" s="14">
        <f>INDEX(属性投放!$AN$7:$AN$58,CU591)</f>
        <v>2</v>
      </c>
      <c r="DC591" s="14">
        <f t="shared" si="1004"/>
        <v>15</v>
      </c>
      <c r="DD591" s="14">
        <f>INDEX(属性投放!$AO$7:$AO$58,DC591)</f>
        <v>55</v>
      </c>
      <c r="DE591" s="14" t="s">
        <v>538</v>
      </c>
      <c r="DF591" s="14">
        <f>INDEX(属性投放!$BK$6:$BK$85,(CV591-2)*20+CZ591)</f>
        <v>120</v>
      </c>
      <c r="DG591" s="14">
        <f>SUMIFS(DF$5:DF591,$CT$5:$CT591,"="&amp;$CT591)</f>
        <v>1055</v>
      </c>
      <c r="DH591" s="14" t="s">
        <v>539</v>
      </c>
      <c r="DI591" s="14">
        <f>INDEX(属性投放!$BL$6:$BL$85,(CV591-2)*20+CZ591)</f>
        <v>60</v>
      </c>
      <c r="DJ591" s="14">
        <f>SUMIFS(DI$5:DI591,$CT$5:$CT591,"="&amp;$CT591)</f>
        <v>530</v>
      </c>
      <c r="DK591" s="14" t="s">
        <v>540</v>
      </c>
      <c r="DL591" s="14">
        <f>INDEX(属性投放!$BM$6:$BM$85,(CV591-2)*20+CZ591)</f>
        <v>960</v>
      </c>
      <c r="DM591" s="14">
        <f>SUMIFS(DL$5:DL591,$CT$5:$CT591,"="&amp;$CT591)</f>
        <v>7620</v>
      </c>
      <c r="DR591" s="14">
        <f t="shared" si="983"/>
        <v>1102998</v>
      </c>
      <c r="DS591" s="14" t="str">
        <f t="shared" si="984"/>
        <v>SR守护灵7突</v>
      </c>
      <c r="DT591" s="14">
        <f t="shared" si="1011"/>
        <v>5</v>
      </c>
      <c r="DU591" s="14">
        <f t="shared" si="1012"/>
        <v>5</v>
      </c>
      <c r="DV591" s="14">
        <f t="shared" si="1013"/>
        <v>5</v>
      </c>
      <c r="DW591" s="14">
        <f t="shared" si="985"/>
        <v>3</v>
      </c>
      <c r="DX591" s="14">
        <f t="shared" si="986"/>
        <v>7</v>
      </c>
      <c r="DY591" s="14">
        <f t="shared" si="987"/>
        <v>27</v>
      </c>
      <c r="DZ591" s="14">
        <f>INDEX(属性投放!$AX$6:$AX$85,(卡牌属性!DW591-2)*20+卡牌属性!DX591)</f>
        <v>5</v>
      </c>
      <c r="EA591" s="14">
        <f>INDEX(属性投放!BQ$6:BQ$85,卡牌属性!$DY591)</f>
        <v>135</v>
      </c>
      <c r="EB591" s="14">
        <f>INDEX(属性投放!BR$6:BR$85,卡牌属性!$DY591)</f>
        <v>68</v>
      </c>
      <c r="EC591" s="14">
        <f>INDEX(属性投放!BS$6:BS$85,卡牌属性!$DY591)</f>
        <v>1080</v>
      </c>
      <c r="ED591" s="14">
        <f t="shared" si="1014"/>
        <v>1101</v>
      </c>
      <c r="EE591" s="14">
        <f t="shared" si="1015"/>
        <v>1196</v>
      </c>
      <c r="EF591" s="14">
        <f t="shared" si="1016"/>
        <v>1443</v>
      </c>
      <c r="EG591" s="14">
        <f t="shared" si="1017"/>
        <v>1443</v>
      </c>
      <c r="EH591" s="14">
        <f t="shared" si="1018"/>
        <v>1581</v>
      </c>
      <c r="EI591" s="14">
        <f t="shared" si="1019"/>
        <v>506</v>
      </c>
      <c r="EJ591" s="14">
        <f t="shared" si="1020"/>
        <v>562</v>
      </c>
      <c r="EK591" s="14">
        <f t="shared" si="1021"/>
        <v>562</v>
      </c>
      <c r="EL591" s="14">
        <f t="shared" si="1022"/>
        <v>682</v>
      </c>
      <c r="EM591" s="14">
        <f t="shared" si="1023"/>
        <v>753</v>
      </c>
      <c r="EN591" s="14">
        <f t="shared" si="1024"/>
        <v>6785</v>
      </c>
      <c r="EO591" s="14">
        <f t="shared" si="1025"/>
        <v>7377</v>
      </c>
      <c r="EP591" s="14">
        <f t="shared" si="1026"/>
        <v>7377</v>
      </c>
      <c r="EQ591" s="14">
        <f t="shared" si="1027"/>
        <v>9013</v>
      </c>
      <c r="ER591" s="14">
        <f t="shared" si="1028"/>
        <v>9785</v>
      </c>
      <c r="ES591" s="14">
        <f>INDEX(属性偏向!$S$4:$S$243,(卡牌属性!$DT591-1+ES$3)*20+卡牌属性!$DX591)</f>
        <v>15</v>
      </c>
      <c r="ET591" s="14">
        <f>INDEX(属性偏向!$S$4:$S$243,(卡牌属性!$DT591-1+ET$3)*20+卡牌属性!$DX591)</f>
        <v>16</v>
      </c>
      <c r="EU591" s="14">
        <f>INDEX(属性偏向!$S$4:$S$243,(卡牌属性!$DT591-1+EU$3)*20+卡牌属性!$DX591)</f>
        <v>25</v>
      </c>
      <c r="EV591" s="14">
        <f>INDEX(属性偏向!$S$4:$S$243,(卡牌属性!$DT591-1+EV$3)*20+卡牌属性!$DX591)</f>
        <v>25</v>
      </c>
      <c r="EW591" s="14">
        <f>INDEX(属性偏向!$S$4:$S$243,(卡牌属性!$DT591-1+EW$3)*20+卡牌属性!$DX591)</f>
        <v>28</v>
      </c>
      <c r="EX591" s="14">
        <f>INDEX(属性偏向!$T$4:$T$243,(卡牌属性!$DU591-1+EX$3)*20+卡牌属性!$DX591)</f>
        <v>8</v>
      </c>
      <c r="EY591" s="14">
        <f>INDEX(属性偏向!$T$4:$T$243,(卡牌属性!$DU591-1+EY$3)*20+卡牌属性!$DX591)</f>
        <v>8</v>
      </c>
      <c r="EZ591" s="14">
        <f>INDEX(属性偏向!$T$4:$T$243,(卡牌属性!$DU591-1+EZ$3)*20+卡牌属性!$DX591)</f>
        <v>8</v>
      </c>
      <c r="FA591" s="14">
        <f>INDEX(属性偏向!$T$4:$T$243,(卡牌属性!$DU591-1+FA$3)*20+卡牌属性!$DX591)</f>
        <v>13</v>
      </c>
      <c r="FB591" s="14">
        <f>INDEX(属性偏向!$T$4:$T$243,(卡牌属性!$DU591-1+FB$3)*20+卡牌属性!$DX591)</f>
        <v>14</v>
      </c>
      <c r="FC591" s="14">
        <f>INDEX(属性偏向!$U$4:$U$243,(卡牌属性!$DV591-1+FC$3)*20+卡牌属性!$DX591)</f>
        <v>120</v>
      </c>
      <c r="FD591" s="14">
        <f>INDEX(属性偏向!$U$4:$U$243,(卡牌属性!$DV591-1+FD$3)*20+卡牌属性!$DX591)</f>
        <v>128</v>
      </c>
      <c r="FE591" s="14">
        <f>INDEX(属性偏向!$U$4:$U$243,(卡牌属性!$DV591-1+FE$3)*20+卡牌属性!$DX591)</f>
        <v>128</v>
      </c>
      <c r="FF591" s="14">
        <f>INDEX(属性偏向!$U$4:$U$243,(卡牌属性!$DV591-1+FF$3)*20+卡牌属性!$DX591)</f>
        <v>200</v>
      </c>
      <c r="FG591" s="14">
        <f>INDEX(属性偏向!$U$4:$U$243,(卡牌属性!$DV591-1+FG$3)*20+卡牌属性!$DX591)</f>
        <v>224</v>
      </c>
      <c r="FH591" s="14">
        <f>INDEX(属性投放!$BQ$6:$BQ$85,(卡牌属性!$DW591-2)*20+卡牌属性!$DX591)</f>
        <v>135</v>
      </c>
      <c r="FI591" s="14">
        <f>INDEX(属性投放!$BQ$6:$BQ$85,(卡牌属性!$DW591-2)*20+卡牌属性!$DX591)</f>
        <v>135</v>
      </c>
      <c r="FJ591" s="14">
        <f>INDEX(属性投放!$BQ$6:$BQ$85,(卡牌属性!$DW591-2)*20+卡牌属性!$DX591)</f>
        <v>135</v>
      </c>
      <c r="FK591" s="14">
        <f>INDEX(属性投放!$BQ$6:$BQ$85,(卡牌属性!$DW591-2)*20+卡牌属性!$DX591)</f>
        <v>135</v>
      </c>
      <c r="FL591" s="14">
        <f>INDEX(属性投放!$BQ$6:$BQ$85,(卡牌属性!$DW591-2)*20+卡牌属性!$DX591)</f>
        <v>135</v>
      </c>
      <c r="FM591" s="14">
        <f>INDEX(属性投放!$BR$6:$BR$85,(卡牌属性!$DW591-2)*20+卡牌属性!$DX591)</f>
        <v>68</v>
      </c>
      <c r="FN591" s="14">
        <f>INDEX(属性投放!$BR$6:$BR$85,(卡牌属性!$DW591-2)*20+卡牌属性!$DX591)</f>
        <v>68</v>
      </c>
      <c r="FO591" s="14">
        <f>INDEX(属性投放!$BR$6:$BR$85,(卡牌属性!$DW591-2)*20+卡牌属性!$DX591)</f>
        <v>68</v>
      </c>
      <c r="FP591" s="14">
        <f>INDEX(属性投放!$BR$6:$BR$85,(卡牌属性!$DW591-2)*20+卡牌属性!$DX591)</f>
        <v>68</v>
      </c>
      <c r="FQ591" s="14">
        <f>INDEX(属性投放!$BR$6:$BR$85,(卡牌属性!$DW591-2)*20+卡牌属性!$DX591)</f>
        <v>68</v>
      </c>
      <c r="FR591" s="14">
        <f>INDEX(属性投放!$BS$6:$BS$85,(卡牌属性!$DW591-2)*20+卡牌属性!$DX591)</f>
        <v>1080</v>
      </c>
      <c r="FS591" s="14">
        <f>INDEX(属性投放!$BS$6:$BS$85,(卡牌属性!$DW591-2)*20+卡牌属性!$DX591)</f>
        <v>1080</v>
      </c>
      <c r="FT591" s="14">
        <f>INDEX(属性投放!$BS$6:$BS$85,(卡牌属性!$DW591-2)*20+卡牌属性!$DX591)</f>
        <v>1080</v>
      </c>
      <c r="FU591" s="14">
        <f>INDEX(属性投放!$BS$6:$BS$85,(卡牌属性!$DW591-2)*20+卡牌属性!$DX591)</f>
        <v>1080</v>
      </c>
      <c r="FV591" s="14">
        <f>INDEX(属性投放!$BS$6:$BS$85,(卡牌属性!$DW591-2)*20+卡牌属性!$DX591)</f>
        <v>1080</v>
      </c>
    </row>
    <row r="592" spans="31:178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>
        <v>588</v>
      </c>
      <c r="BX592" s="13">
        <f t="shared" si="981"/>
        <v>30</v>
      </c>
      <c r="BY592" s="14">
        <f t="shared" si="982"/>
        <v>3</v>
      </c>
      <c r="BZ592" s="14">
        <f t="shared" si="1005"/>
        <v>1102998</v>
      </c>
      <c r="CA592" s="14" t="str">
        <f t="shared" si="1006"/>
        <v>SR守护灵8突</v>
      </c>
      <c r="CB592" s="25" t="s">
        <v>142</v>
      </c>
      <c r="CC592" s="14">
        <v>2</v>
      </c>
      <c r="CD592" s="14">
        <f t="shared" si="1003"/>
        <v>8</v>
      </c>
      <c r="CE592" s="14" t="s">
        <v>21</v>
      </c>
      <c r="CF592" s="14">
        <f>INDEX(属性投放!$AZ$6:$AZ$85,(BY592-2)*20+CD592)</f>
        <v>1851</v>
      </c>
      <c r="CG592" s="14" t="s">
        <v>22</v>
      </c>
      <c r="CH592" s="14">
        <f>INDEX(属性投放!$BA$6:$BA$85,(BY592-2)*20+CD592)</f>
        <v>866</v>
      </c>
      <c r="CI592" s="14" t="s">
        <v>510</v>
      </c>
      <c r="CJ592" s="14">
        <f>INDEX(属性投放!$BB$6:$BB$85,(BY592-2)*20+CD592)</f>
        <v>12255</v>
      </c>
      <c r="CK592" s="14" t="s">
        <v>21</v>
      </c>
      <c r="CL592" s="14">
        <f>INDEX(属性投放!$BC$6:$BC$85,(BY592-2)*20+CD592)</f>
        <v>15</v>
      </c>
      <c r="CM592" s="14" t="s">
        <v>22</v>
      </c>
      <c r="CN592" s="14">
        <f>INDEX(属性投放!$BD$6:$BD$85,(BY592-2)*20+CD592)</f>
        <v>8</v>
      </c>
      <c r="CO592" s="14" t="s">
        <v>510</v>
      </c>
      <c r="CP592" s="14">
        <f>INDEX(属性投放!$BE$6:$BE$85,(BY592-2)*20+CD592)</f>
        <v>120</v>
      </c>
      <c r="CS592" s="13">
        <v>588</v>
      </c>
      <c r="CT592" s="13">
        <f t="shared" si="1007"/>
        <v>12</v>
      </c>
      <c r="CU592" s="13">
        <f t="shared" si="1008"/>
        <v>16</v>
      </c>
      <c r="CV592" s="14">
        <f t="shared" si="1009"/>
        <v>5</v>
      </c>
      <c r="CW592" s="14">
        <f t="shared" si="1010"/>
        <v>1102012</v>
      </c>
      <c r="CX592" s="14" t="str">
        <f>INDEX($O$6:$O$50,CT592)&amp;"-"&amp;INDEX(属性投放!$AB$7:$AB$50,CZ592)&amp;"-魂火-"&amp;DB592</f>
        <v>夏侯惇-叫唤+2-魂火-1</v>
      </c>
      <c r="CY592" s="25" t="s">
        <v>142</v>
      </c>
      <c r="CZ592" s="14">
        <f>INDEX(属性投放!$AM$7:$AM$58,CU592)</f>
        <v>9</v>
      </c>
      <c r="DA592" s="14" t="s">
        <v>537</v>
      </c>
      <c r="DB592" s="14">
        <f>INDEX(属性投放!$AN$7:$AN$58,CU592)</f>
        <v>1</v>
      </c>
      <c r="DC592" s="14">
        <f t="shared" si="1004"/>
        <v>16</v>
      </c>
      <c r="DD592" s="14">
        <f>INDEX(属性投放!$AO$7:$AO$58,DC592)</f>
        <v>58</v>
      </c>
      <c r="DE592" s="14" t="s">
        <v>538</v>
      </c>
      <c r="DF592" s="14">
        <f>INDEX(属性投放!$BK$6:$BK$85,(CV592-2)*20+CZ592)</f>
        <v>138</v>
      </c>
      <c r="DG592" s="14">
        <f>SUMIFS(DF$5:DF592,$CT$5:$CT592,"="&amp;$CT592)</f>
        <v>1193</v>
      </c>
      <c r="DH592" s="14" t="s">
        <v>539</v>
      </c>
      <c r="DI592" s="14">
        <f>INDEX(属性投放!$BL$6:$BL$85,(CV592-2)*20+CZ592)</f>
        <v>69</v>
      </c>
      <c r="DJ592" s="14">
        <f>SUMIFS(DI$5:DI592,$CT$5:$CT592,"="&amp;$CT592)</f>
        <v>599</v>
      </c>
      <c r="DK592" s="14" t="s">
        <v>540</v>
      </c>
      <c r="DL592" s="14">
        <f>INDEX(属性投放!$BM$6:$BM$85,(CV592-2)*20+CZ592)</f>
        <v>1104</v>
      </c>
      <c r="DM592" s="14">
        <f>SUMIFS(DL$5:DL592,$CT$5:$CT592,"="&amp;$CT592)</f>
        <v>8724</v>
      </c>
      <c r="DR592" s="14">
        <f t="shared" si="983"/>
        <v>1102998</v>
      </c>
      <c r="DS592" s="14" t="str">
        <f t="shared" si="984"/>
        <v>SR守护灵8突</v>
      </c>
      <c r="DT592" s="14">
        <f t="shared" si="1011"/>
        <v>5</v>
      </c>
      <c r="DU592" s="14">
        <f t="shared" si="1012"/>
        <v>5</v>
      </c>
      <c r="DV592" s="14">
        <f t="shared" si="1013"/>
        <v>5</v>
      </c>
      <c r="DW592" s="14">
        <f t="shared" si="985"/>
        <v>3</v>
      </c>
      <c r="DX592" s="14">
        <f t="shared" si="986"/>
        <v>8</v>
      </c>
      <c r="DY592" s="14">
        <f t="shared" si="987"/>
        <v>28</v>
      </c>
      <c r="DZ592" s="14">
        <f>INDEX(属性投放!$AX$6:$AX$85,(卡牌属性!DW592-2)*20+卡牌属性!DX592)</f>
        <v>5</v>
      </c>
      <c r="EA592" s="14">
        <f>INDEX(属性投放!BQ$6:BQ$85,卡牌属性!$DY592)</f>
        <v>125</v>
      </c>
      <c r="EB592" s="14">
        <f>INDEX(属性投放!BR$6:BR$85,卡牌属性!$DY592)</f>
        <v>63</v>
      </c>
      <c r="EC592" s="14">
        <f>INDEX(属性投放!BS$6:BS$85,卡牌属性!$DY592)</f>
        <v>1000</v>
      </c>
      <c r="ED592" s="14">
        <f t="shared" si="1014"/>
        <v>1311</v>
      </c>
      <c r="EE592" s="14">
        <f t="shared" si="1015"/>
        <v>1411</v>
      </c>
      <c r="EF592" s="14">
        <f t="shared" si="1016"/>
        <v>1703</v>
      </c>
      <c r="EG592" s="14">
        <f t="shared" si="1017"/>
        <v>1703</v>
      </c>
      <c r="EH592" s="14">
        <f t="shared" si="1018"/>
        <v>1856</v>
      </c>
      <c r="EI592" s="14">
        <f t="shared" si="1019"/>
        <v>614</v>
      </c>
      <c r="EJ592" s="14">
        <f t="shared" si="1020"/>
        <v>670</v>
      </c>
      <c r="EK592" s="14">
        <f t="shared" si="1021"/>
        <v>670</v>
      </c>
      <c r="EL592" s="14">
        <f t="shared" si="1022"/>
        <v>815</v>
      </c>
      <c r="EM592" s="14">
        <f t="shared" si="1023"/>
        <v>891</v>
      </c>
      <c r="EN592" s="14">
        <f t="shared" si="1024"/>
        <v>8465</v>
      </c>
      <c r="EO592" s="14">
        <f t="shared" si="1025"/>
        <v>9097</v>
      </c>
      <c r="EP592" s="14">
        <f t="shared" si="1026"/>
        <v>9097</v>
      </c>
      <c r="EQ592" s="14">
        <f t="shared" si="1027"/>
        <v>11093</v>
      </c>
      <c r="ER592" s="14">
        <f t="shared" si="1028"/>
        <v>11985</v>
      </c>
      <c r="ES592" s="14">
        <f>INDEX(属性偏向!$S$4:$S$243,(卡牌属性!$DT592-1+ES$3)*20+卡牌属性!$DX592)</f>
        <v>15</v>
      </c>
      <c r="ET592" s="14">
        <f>INDEX(属性偏向!$S$4:$S$243,(卡牌属性!$DT592-1+ET$3)*20+卡牌属性!$DX592)</f>
        <v>16</v>
      </c>
      <c r="EU592" s="14">
        <f>INDEX(属性偏向!$S$4:$S$243,(卡牌属性!$DT592-1+EU$3)*20+卡牌属性!$DX592)</f>
        <v>25</v>
      </c>
      <c r="EV592" s="14">
        <f>INDEX(属性偏向!$S$4:$S$243,(卡牌属性!$DT592-1+EV$3)*20+卡牌属性!$DX592)</f>
        <v>25</v>
      </c>
      <c r="EW592" s="14">
        <f>INDEX(属性偏向!$S$4:$S$243,(卡牌属性!$DT592-1+EW$3)*20+卡牌属性!$DX592)</f>
        <v>28</v>
      </c>
      <c r="EX592" s="14">
        <f>INDEX(属性偏向!$T$4:$T$243,(卡牌属性!$DU592-1+EX$3)*20+卡牌属性!$DX592)</f>
        <v>8</v>
      </c>
      <c r="EY592" s="14">
        <f>INDEX(属性偏向!$T$4:$T$243,(卡牌属性!$DU592-1+EY$3)*20+卡牌属性!$DX592)</f>
        <v>8</v>
      </c>
      <c r="EZ592" s="14">
        <f>INDEX(属性偏向!$T$4:$T$243,(卡牌属性!$DU592-1+EZ$3)*20+卡牌属性!$DX592)</f>
        <v>8</v>
      </c>
      <c r="FA592" s="14">
        <f>INDEX(属性偏向!$T$4:$T$243,(卡牌属性!$DU592-1+FA$3)*20+卡牌属性!$DX592)</f>
        <v>13</v>
      </c>
      <c r="FB592" s="14">
        <f>INDEX(属性偏向!$T$4:$T$243,(卡牌属性!$DU592-1+FB$3)*20+卡牌属性!$DX592)</f>
        <v>14</v>
      </c>
      <c r="FC592" s="14">
        <f>INDEX(属性偏向!$U$4:$U$243,(卡牌属性!$DV592-1+FC$3)*20+卡牌属性!$DX592)</f>
        <v>120</v>
      </c>
      <c r="FD592" s="14">
        <f>INDEX(属性偏向!$U$4:$U$243,(卡牌属性!$DV592-1+FD$3)*20+卡牌属性!$DX592)</f>
        <v>128</v>
      </c>
      <c r="FE592" s="14">
        <f>INDEX(属性偏向!$U$4:$U$243,(卡牌属性!$DV592-1+FE$3)*20+卡牌属性!$DX592)</f>
        <v>128</v>
      </c>
      <c r="FF592" s="14">
        <f>INDEX(属性偏向!$U$4:$U$243,(卡牌属性!$DV592-1+FF$3)*20+卡牌属性!$DX592)</f>
        <v>200</v>
      </c>
      <c r="FG592" s="14">
        <f>INDEX(属性偏向!$U$4:$U$243,(卡牌属性!$DV592-1+FG$3)*20+卡牌属性!$DX592)</f>
        <v>224</v>
      </c>
      <c r="FH592" s="14">
        <f>INDEX(属性投放!$BQ$6:$BQ$85,(卡牌属性!$DW592-2)*20+卡牌属性!$DX592)</f>
        <v>125</v>
      </c>
      <c r="FI592" s="14">
        <f>INDEX(属性投放!$BQ$6:$BQ$85,(卡牌属性!$DW592-2)*20+卡牌属性!$DX592)</f>
        <v>125</v>
      </c>
      <c r="FJ592" s="14">
        <f>INDEX(属性投放!$BQ$6:$BQ$85,(卡牌属性!$DW592-2)*20+卡牌属性!$DX592)</f>
        <v>125</v>
      </c>
      <c r="FK592" s="14">
        <f>INDEX(属性投放!$BQ$6:$BQ$85,(卡牌属性!$DW592-2)*20+卡牌属性!$DX592)</f>
        <v>125</v>
      </c>
      <c r="FL592" s="14">
        <f>INDEX(属性投放!$BQ$6:$BQ$85,(卡牌属性!$DW592-2)*20+卡牌属性!$DX592)</f>
        <v>125</v>
      </c>
      <c r="FM592" s="14">
        <f>INDEX(属性投放!$BR$6:$BR$85,(卡牌属性!$DW592-2)*20+卡牌属性!$DX592)</f>
        <v>63</v>
      </c>
      <c r="FN592" s="14">
        <f>INDEX(属性投放!$BR$6:$BR$85,(卡牌属性!$DW592-2)*20+卡牌属性!$DX592)</f>
        <v>63</v>
      </c>
      <c r="FO592" s="14">
        <f>INDEX(属性投放!$BR$6:$BR$85,(卡牌属性!$DW592-2)*20+卡牌属性!$DX592)</f>
        <v>63</v>
      </c>
      <c r="FP592" s="14">
        <f>INDEX(属性投放!$BR$6:$BR$85,(卡牌属性!$DW592-2)*20+卡牌属性!$DX592)</f>
        <v>63</v>
      </c>
      <c r="FQ592" s="14">
        <f>INDEX(属性投放!$BR$6:$BR$85,(卡牌属性!$DW592-2)*20+卡牌属性!$DX592)</f>
        <v>63</v>
      </c>
      <c r="FR592" s="14">
        <f>INDEX(属性投放!$BS$6:$BS$85,(卡牌属性!$DW592-2)*20+卡牌属性!$DX592)</f>
        <v>1000</v>
      </c>
      <c r="FS592" s="14">
        <f>INDEX(属性投放!$BS$6:$BS$85,(卡牌属性!$DW592-2)*20+卡牌属性!$DX592)</f>
        <v>1000</v>
      </c>
      <c r="FT592" s="14">
        <f>INDEX(属性投放!$BS$6:$BS$85,(卡牌属性!$DW592-2)*20+卡牌属性!$DX592)</f>
        <v>1000</v>
      </c>
      <c r="FU592" s="14">
        <f>INDEX(属性投放!$BS$6:$BS$85,(卡牌属性!$DW592-2)*20+卡牌属性!$DX592)</f>
        <v>1000</v>
      </c>
      <c r="FV592" s="14">
        <f>INDEX(属性投放!$BS$6:$BS$85,(卡牌属性!$DW592-2)*20+卡牌属性!$DX592)</f>
        <v>1000</v>
      </c>
    </row>
    <row r="593" spans="31:178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>
        <v>589</v>
      </c>
      <c r="BX593" s="13">
        <f t="shared" si="981"/>
        <v>30</v>
      </c>
      <c r="BY593" s="14">
        <f t="shared" si="982"/>
        <v>3</v>
      </c>
      <c r="BZ593" s="14">
        <f t="shared" si="1005"/>
        <v>1102998</v>
      </c>
      <c r="CA593" s="14" t="str">
        <f t="shared" si="1006"/>
        <v>SR守护灵9突</v>
      </c>
      <c r="CB593" s="25" t="s">
        <v>142</v>
      </c>
      <c r="CC593" s="14">
        <v>2</v>
      </c>
      <c r="CD593" s="14">
        <f t="shared" si="1003"/>
        <v>9</v>
      </c>
      <c r="CE593" s="14" t="s">
        <v>21</v>
      </c>
      <c r="CF593" s="14">
        <f>INDEX(属性投放!$AZ$6:$AZ$85,(BY593-2)*20+CD593)</f>
        <v>2221</v>
      </c>
      <c r="CG593" s="14" t="s">
        <v>22</v>
      </c>
      <c r="CH593" s="14">
        <f>INDEX(属性投放!$BA$6:$BA$85,(BY593-2)*20+CD593)</f>
        <v>1055</v>
      </c>
      <c r="CI593" s="14" t="s">
        <v>510</v>
      </c>
      <c r="CJ593" s="14">
        <f>INDEX(属性投放!$BB$6:$BB$85,(BY593-2)*20+CD593)</f>
        <v>15215</v>
      </c>
      <c r="CK593" s="14" t="s">
        <v>21</v>
      </c>
      <c r="CL593" s="14">
        <f>INDEX(属性投放!$BC$6:$BC$85,(BY593-2)*20+CD593)</f>
        <v>15</v>
      </c>
      <c r="CM593" s="14" t="s">
        <v>22</v>
      </c>
      <c r="CN593" s="14">
        <f>INDEX(属性投放!$BD$6:$BD$85,(BY593-2)*20+CD593)</f>
        <v>8</v>
      </c>
      <c r="CO593" s="14" t="s">
        <v>510</v>
      </c>
      <c r="CP593" s="14">
        <f>INDEX(属性投放!$BE$6:$BE$85,(BY593-2)*20+CD593)</f>
        <v>120</v>
      </c>
      <c r="CS593" s="13">
        <v>589</v>
      </c>
      <c r="CT593" s="13">
        <f t="shared" si="1007"/>
        <v>12</v>
      </c>
      <c r="CU593" s="13">
        <f t="shared" si="1008"/>
        <v>17</v>
      </c>
      <c r="CV593" s="14">
        <f t="shared" si="1009"/>
        <v>5</v>
      </c>
      <c r="CW593" s="14">
        <f t="shared" si="1010"/>
        <v>1102012</v>
      </c>
      <c r="CX593" s="14" t="str">
        <f>INDEX($O$6:$O$50,CT593)&amp;"-"&amp;INDEX(属性投放!$AB$7:$AB$50,CZ593)&amp;"-魂火-"&amp;DB593</f>
        <v>夏侯惇-叫唤+2-魂火-2</v>
      </c>
      <c r="CY593" s="25" t="s">
        <v>142</v>
      </c>
      <c r="CZ593" s="14">
        <f>INDEX(属性投放!$AM$7:$AM$58,CU593)</f>
        <v>9</v>
      </c>
      <c r="DA593" s="14" t="s">
        <v>537</v>
      </c>
      <c r="DB593" s="14">
        <f>INDEX(属性投放!$AN$7:$AN$58,CU593)</f>
        <v>2</v>
      </c>
      <c r="DC593" s="14">
        <f t="shared" si="1004"/>
        <v>17</v>
      </c>
      <c r="DD593" s="14">
        <f>INDEX(属性投放!$AO$7:$AO$58,DC593)</f>
        <v>60</v>
      </c>
      <c r="DE593" s="14" t="s">
        <v>538</v>
      </c>
      <c r="DF593" s="14">
        <f>INDEX(属性投放!$BK$6:$BK$85,(CV593-2)*20+CZ593)</f>
        <v>138</v>
      </c>
      <c r="DG593" s="14">
        <f>SUMIFS(DF$5:DF593,$CT$5:$CT593,"="&amp;$CT593)</f>
        <v>1331</v>
      </c>
      <c r="DH593" s="14" t="s">
        <v>539</v>
      </c>
      <c r="DI593" s="14">
        <f>INDEX(属性投放!$BL$6:$BL$85,(CV593-2)*20+CZ593)</f>
        <v>69</v>
      </c>
      <c r="DJ593" s="14">
        <f>SUMIFS(DI$5:DI593,$CT$5:$CT593,"="&amp;$CT593)</f>
        <v>668</v>
      </c>
      <c r="DK593" s="14" t="s">
        <v>540</v>
      </c>
      <c r="DL593" s="14">
        <f>INDEX(属性投放!$BM$6:$BM$85,(CV593-2)*20+CZ593)</f>
        <v>1104</v>
      </c>
      <c r="DM593" s="14">
        <f>SUMIFS(DL$5:DL593,$CT$5:$CT593,"="&amp;$CT593)</f>
        <v>9828</v>
      </c>
      <c r="DR593" s="14">
        <f t="shared" si="983"/>
        <v>1102998</v>
      </c>
      <c r="DS593" s="14" t="str">
        <f t="shared" si="984"/>
        <v>SR守护灵9突</v>
      </c>
      <c r="DT593" s="14">
        <f t="shared" si="1011"/>
        <v>5</v>
      </c>
      <c r="DU593" s="14">
        <f t="shared" si="1012"/>
        <v>5</v>
      </c>
      <c r="DV593" s="14">
        <f t="shared" si="1013"/>
        <v>5</v>
      </c>
      <c r="DW593" s="14">
        <f t="shared" si="985"/>
        <v>3</v>
      </c>
      <c r="DX593" s="14">
        <f t="shared" si="986"/>
        <v>9</v>
      </c>
      <c r="DY593" s="14">
        <f t="shared" si="987"/>
        <v>29</v>
      </c>
      <c r="DZ593" s="14">
        <f>INDEX(属性投放!$AX$6:$AX$85,(卡牌属性!DW593-2)*20+卡牌属性!DX593)</f>
        <v>8</v>
      </c>
      <c r="EA593" s="14">
        <f>INDEX(属性投放!BQ$6:BQ$85,卡牌属性!$DY593)</f>
        <v>185</v>
      </c>
      <c r="EB593" s="14">
        <f>INDEX(属性投放!BR$6:BR$85,卡牌属性!$DY593)</f>
        <v>93</v>
      </c>
      <c r="EC593" s="14">
        <f>INDEX(属性投放!BS$6:BS$85,卡牌属性!$DY593)</f>
        <v>1480</v>
      </c>
      <c r="ED593" s="14">
        <f t="shared" si="1014"/>
        <v>1511</v>
      </c>
      <c r="EE593" s="14">
        <f t="shared" si="1015"/>
        <v>1616</v>
      </c>
      <c r="EF593" s="14">
        <f t="shared" si="1016"/>
        <v>1953</v>
      </c>
      <c r="EG593" s="14">
        <f t="shared" si="1017"/>
        <v>1953</v>
      </c>
      <c r="EH593" s="14">
        <f t="shared" si="1018"/>
        <v>2121</v>
      </c>
      <c r="EI593" s="14">
        <f t="shared" si="1019"/>
        <v>717</v>
      </c>
      <c r="EJ593" s="14">
        <f t="shared" si="1020"/>
        <v>773</v>
      </c>
      <c r="EK593" s="14">
        <f t="shared" si="1021"/>
        <v>773</v>
      </c>
      <c r="EL593" s="14">
        <f t="shared" si="1022"/>
        <v>943</v>
      </c>
      <c r="EM593" s="14">
        <f t="shared" si="1023"/>
        <v>1024</v>
      </c>
      <c r="EN593" s="14">
        <f t="shared" si="1024"/>
        <v>10065</v>
      </c>
      <c r="EO593" s="14">
        <f t="shared" si="1025"/>
        <v>10737</v>
      </c>
      <c r="EP593" s="14">
        <f t="shared" si="1026"/>
        <v>10737</v>
      </c>
      <c r="EQ593" s="14">
        <f t="shared" si="1027"/>
        <v>13093</v>
      </c>
      <c r="ER593" s="14">
        <f t="shared" si="1028"/>
        <v>14105</v>
      </c>
      <c r="ES593" s="14">
        <f>INDEX(属性偏向!$S$4:$S$243,(卡牌属性!$DT593-1+ES$3)*20+卡牌属性!$DX593)</f>
        <v>15</v>
      </c>
      <c r="ET593" s="14">
        <f>INDEX(属性偏向!$S$4:$S$243,(卡牌属性!$DT593-1+ET$3)*20+卡牌属性!$DX593)</f>
        <v>16</v>
      </c>
      <c r="EU593" s="14">
        <f>INDEX(属性偏向!$S$4:$S$243,(卡牌属性!$DT593-1+EU$3)*20+卡牌属性!$DX593)</f>
        <v>25</v>
      </c>
      <c r="EV593" s="14">
        <f>INDEX(属性偏向!$S$4:$S$243,(卡牌属性!$DT593-1+EV$3)*20+卡牌属性!$DX593)</f>
        <v>25</v>
      </c>
      <c r="EW593" s="14">
        <f>INDEX(属性偏向!$S$4:$S$243,(卡牌属性!$DT593-1+EW$3)*20+卡牌属性!$DX593)</f>
        <v>28</v>
      </c>
      <c r="EX593" s="14">
        <f>INDEX(属性偏向!$T$4:$T$243,(卡牌属性!$DU593-1+EX$3)*20+卡牌属性!$DX593)</f>
        <v>8</v>
      </c>
      <c r="EY593" s="14">
        <f>INDEX(属性偏向!$T$4:$T$243,(卡牌属性!$DU593-1+EY$3)*20+卡牌属性!$DX593)</f>
        <v>8</v>
      </c>
      <c r="EZ593" s="14">
        <f>INDEX(属性偏向!$T$4:$T$243,(卡牌属性!$DU593-1+EZ$3)*20+卡牌属性!$DX593)</f>
        <v>8</v>
      </c>
      <c r="FA593" s="14">
        <f>INDEX(属性偏向!$T$4:$T$243,(卡牌属性!$DU593-1+FA$3)*20+卡牌属性!$DX593)</f>
        <v>13</v>
      </c>
      <c r="FB593" s="14">
        <f>INDEX(属性偏向!$T$4:$T$243,(卡牌属性!$DU593-1+FB$3)*20+卡牌属性!$DX593)</f>
        <v>14</v>
      </c>
      <c r="FC593" s="14">
        <f>INDEX(属性偏向!$U$4:$U$243,(卡牌属性!$DV593-1+FC$3)*20+卡牌属性!$DX593)</f>
        <v>120</v>
      </c>
      <c r="FD593" s="14">
        <f>INDEX(属性偏向!$U$4:$U$243,(卡牌属性!$DV593-1+FD$3)*20+卡牌属性!$DX593)</f>
        <v>128</v>
      </c>
      <c r="FE593" s="14">
        <f>INDEX(属性偏向!$U$4:$U$243,(卡牌属性!$DV593-1+FE$3)*20+卡牌属性!$DX593)</f>
        <v>128</v>
      </c>
      <c r="FF593" s="14">
        <f>INDEX(属性偏向!$U$4:$U$243,(卡牌属性!$DV593-1+FF$3)*20+卡牌属性!$DX593)</f>
        <v>200</v>
      </c>
      <c r="FG593" s="14">
        <f>INDEX(属性偏向!$U$4:$U$243,(卡牌属性!$DV593-1+FG$3)*20+卡牌属性!$DX593)</f>
        <v>224</v>
      </c>
      <c r="FH593" s="14">
        <f>INDEX(属性投放!$BQ$6:$BQ$85,(卡牌属性!$DW593-2)*20+卡牌属性!$DX593)</f>
        <v>185</v>
      </c>
      <c r="FI593" s="14">
        <f>INDEX(属性投放!$BQ$6:$BQ$85,(卡牌属性!$DW593-2)*20+卡牌属性!$DX593)</f>
        <v>185</v>
      </c>
      <c r="FJ593" s="14">
        <f>INDEX(属性投放!$BQ$6:$BQ$85,(卡牌属性!$DW593-2)*20+卡牌属性!$DX593)</f>
        <v>185</v>
      </c>
      <c r="FK593" s="14">
        <f>INDEX(属性投放!$BQ$6:$BQ$85,(卡牌属性!$DW593-2)*20+卡牌属性!$DX593)</f>
        <v>185</v>
      </c>
      <c r="FL593" s="14">
        <f>INDEX(属性投放!$BQ$6:$BQ$85,(卡牌属性!$DW593-2)*20+卡牌属性!$DX593)</f>
        <v>185</v>
      </c>
      <c r="FM593" s="14">
        <f>INDEX(属性投放!$BR$6:$BR$85,(卡牌属性!$DW593-2)*20+卡牌属性!$DX593)</f>
        <v>93</v>
      </c>
      <c r="FN593" s="14">
        <f>INDEX(属性投放!$BR$6:$BR$85,(卡牌属性!$DW593-2)*20+卡牌属性!$DX593)</f>
        <v>93</v>
      </c>
      <c r="FO593" s="14">
        <f>INDEX(属性投放!$BR$6:$BR$85,(卡牌属性!$DW593-2)*20+卡牌属性!$DX593)</f>
        <v>93</v>
      </c>
      <c r="FP593" s="14">
        <f>INDEX(属性投放!$BR$6:$BR$85,(卡牌属性!$DW593-2)*20+卡牌属性!$DX593)</f>
        <v>93</v>
      </c>
      <c r="FQ593" s="14">
        <f>INDEX(属性投放!$BR$6:$BR$85,(卡牌属性!$DW593-2)*20+卡牌属性!$DX593)</f>
        <v>93</v>
      </c>
      <c r="FR593" s="14">
        <f>INDEX(属性投放!$BS$6:$BS$85,(卡牌属性!$DW593-2)*20+卡牌属性!$DX593)</f>
        <v>1480</v>
      </c>
      <c r="FS593" s="14">
        <f>INDEX(属性投放!$BS$6:$BS$85,(卡牌属性!$DW593-2)*20+卡牌属性!$DX593)</f>
        <v>1480</v>
      </c>
      <c r="FT593" s="14">
        <f>INDEX(属性投放!$BS$6:$BS$85,(卡牌属性!$DW593-2)*20+卡牌属性!$DX593)</f>
        <v>1480</v>
      </c>
      <c r="FU593" s="14">
        <f>INDEX(属性投放!$BS$6:$BS$85,(卡牌属性!$DW593-2)*20+卡牌属性!$DX593)</f>
        <v>1480</v>
      </c>
      <c r="FV593" s="14">
        <f>INDEX(属性投放!$BS$6:$BS$85,(卡牌属性!$DW593-2)*20+卡牌属性!$DX593)</f>
        <v>1480</v>
      </c>
    </row>
    <row r="594" spans="31:178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>
        <v>590</v>
      </c>
      <c r="BX594" s="13">
        <f t="shared" si="981"/>
        <v>30</v>
      </c>
      <c r="BY594" s="14">
        <f t="shared" si="982"/>
        <v>3</v>
      </c>
      <c r="BZ594" s="14">
        <f t="shared" si="1005"/>
        <v>1102998</v>
      </c>
      <c r="CA594" s="14" t="str">
        <f t="shared" si="1006"/>
        <v>SR守护灵10突</v>
      </c>
      <c r="CB594" s="25" t="s">
        <v>142</v>
      </c>
      <c r="CC594" s="14">
        <v>2</v>
      </c>
      <c r="CD594" s="14">
        <f t="shared" si="1003"/>
        <v>10</v>
      </c>
      <c r="CE594" s="14" t="s">
        <v>21</v>
      </c>
      <c r="CF594" s="14">
        <f>INDEX(属性投放!$AZ$6:$AZ$85,(BY594-2)*20+CD594)</f>
        <v>2826</v>
      </c>
      <c r="CG594" s="14" t="s">
        <v>22</v>
      </c>
      <c r="CH594" s="14">
        <f>INDEX(属性投放!$BA$6:$BA$85,(BY594-2)*20+CD594)</f>
        <v>1362</v>
      </c>
      <c r="CI594" s="14" t="s">
        <v>510</v>
      </c>
      <c r="CJ594" s="14">
        <f>INDEX(属性投放!$BB$6:$BB$85,(BY594-2)*20+CD594)</f>
        <v>20055</v>
      </c>
      <c r="CK594" s="14" t="s">
        <v>21</v>
      </c>
      <c r="CL594" s="14">
        <f>INDEX(属性投放!$BC$6:$BC$85,(BY594-2)*20+CD594)</f>
        <v>20</v>
      </c>
      <c r="CM594" s="14" t="s">
        <v>22</v>
      </c>
      <c r="CN594" s="14">
        <f>INDEX(属性投放!$BD$6:$BD$85,(BY594-2)*20+CD594)</f>
        <v>10</v>
      </c>
      <c r="CO594" s="14" t="s">
        <v>510</v>
      </c>
      <c r="CP594" s="14">
        <f>INDEX(属性投放!$BE$6:$BE$85,(BY594-2)*20+CD594)</f>
        <v>180</v>
      </c>
      <c r="CS594" s="13">
        <v>590</v>
      </c>
      <c r="CT594" s="13">
        <f t="shared" si="1007"/>
        <v>12</v>
      </c>
      <c r="CU594" s="13">
        <f t="shared" si="1008"/>
        <v>18</v>
      </c>
      <c r="CV594" s="14">
        <f t="shared" si="1009"/>
        <v>5</v>
      </c>
      <c r="CW594" s="14">
        <f t="shared" si="1010"/>
        <v>1102012</v>
      </c>
      <c r="CX594" s="14" t="str">
        <f>INDEX($O$6:$O$50,CT594)&amp;"-"&amp;INDEX(属性投放!$AB$7:$AB$50,CZ594)&amp;"-魂火-"&amp;DB594</f>
        <v>夏侯惇-叫唤+2-魂火-3</v>
      </c>
      <c r="CY594" s="25" t="s">
        <v>142</v>
      </c>
      <c r="CZ594" s="14">
        <f>INDEX(属性投放!$AM$7:$AM$58,CU594)</f>
        <v>9</v>
      </c>
      <c r="DA594" s="14" t="s">
        <v>537</v>
      </c>
      <c r="DB594" s="14">
        <f>INDEX(属性投放!$AN$7:$AN$58,CU594)</f>
        <v>3</v>
      </c>
      <c r="DC594" s="14">
        <f t="shared" si="1004"/>
        <v>18</v>
      </c>
      <c r="DD594" s="14">
        <f>INDEX(属性投放!$AO$7:$AO$58,DC594)</f>
        <v>63</v>
      </c>
      <c r="DE594" s="14" t="s">
        <v>538</v>
      </c>
      <c r="DF594" s="14">
        <f>INDEX(属性投放!$BK$6:$BK$85,(CV594-2)*20+CZ594)</f>
        <v>138</v>
      </c>
      <c r="DG594" s="14">
        <f>SUMIFS(DF$5:DF594,$CT$5:$CT594,"="&amp;$CT594)</f>
        <v>1469</v>
      </c>
      <c r="DH594" s="14" t="s">
        <v>539</v>
      </c>
      <c r="DI594" s="14">
        <f>INDEX(属性投放!$BL$6:$BL$85,(CV594-2)*20+CZ594)</f>
        <v>69</v>
      </c>
      <c r="DJ594" s="14">
        <f>SUMIFS(DI$5:DI594,$CT$5:$CT594,"="&amp;$CT594)</f>
        <v>737</v>
      </c>
      <c r="DK594" s="14" t="s">
        <v>540</v>
      </c>
      <c r="DL594" s="14">
        <f>INDEX(属性投放!$BM$6:$BM$85,(CV594-2)*20+CZ594)</f>
        <v>1104</v>
      </c>
      <c r="DM594" s="14">
        <f>SUMIFS(DL$5:DL594,$CT$5:$CT594,"="&amp;$CT594)</f>
        <v>10932</v>
      </c>
      <c r="DR594" s="14">
        <f t="shared" si="983"/>
        <v>1102998</v>
      </c>
      <c r="DS594" s="14" t="str">
        <f t="shared" si="984"/>
        <v>SR守护灵10突</v>
      </c>
      <c r="DT594" s="14">
        <f t="shared" si="1011"/>
        <v>5</v>
      </c>
      <c r="DU594" s="14">
        <f t="shared" si="1012"/>
        <v>5</v>
      </c>
      <c r="DV594" s="14">
        <f t="shared" si="1013"/>
        <v>5</v>
      </c>
      <c r="DW594" s="14">
        <f t="shared" si="985"/>
        <v>3</v>
      </c>
      <c r="DX594" s="14">
        <f t="shared" si="986"/>
        <v>10</v>
      </c>
      <c r="DY594" s="14">
        <f t="shared" si="987"/>
        <v>30</v>
      </c>
      <c r="DZ594" s="14">
        <f>INDEX(属性投放!$AX$6:$AX$85,(卡牌属性!DW594-2)*20+卡牌属性!DX594)</f>
        <v>7</v>
      </c>
      <c r="EA594" s="14">
        <f>INDEX(属性投放!BQ$6:BQ$85,卡牌属性!$DY594)</f>
        <v>175</v>
      </c>
      <c r="EB594" s="14">
        <f>INDEX(属性投放!BR$6:BR$85,卡牌属性!$DY594)</f>
        <v>88</v>
      </c>
      <c r="EC594" s="14">
        <f>INDEX(属性投放!BS$6:BS$85,卡牌属性!$DY594)</f>
        <v>1575</v>
      </c>
      <c r="ED594" s="14">
        <f t="shared" si="1014"/>
        <v>1816</v>
      </c>
      <c r="EE594" s="14">
        <f t="shared" si="1015"/>
        <v>1929</v>
      </c>
      <c r="EF594" s="14">
        <f t="shared" si="1016"/>
        <v>2338</v>
      </c>
      <c r="EG594" s="14">
        <f t="shared" si="1017"/>
        <v>2338</v>
      </c>
      <c r="EH594" s="14">
        <f t="shared" si="1018"/>
        <v>2530</v>
      </c>
      <c r="EI594" s="14">
        <f t="shared" si="1019"/>
        <v>874</v>
      </c>
      <c r="EJ594" s="14">
        <f t="shared" si="1020"/>
        <v>930</v>
      </c>
      <c r="EK594" s="14">
        <f t="shared" si="1021"/>
        <v>930</v>
      </c>
      <c r="EL594" s="14">
        <f t="shared" si="1022"/>
        <v>1140</v>
      </c>
      <c r="EM594" s="14">
        <f t="shared" si="1023"/>
        <v>1229</v>
      </c>
      <c r="EN594" s="14">
        <f t="shared" si="1024"/>
        <v>12505</v>
      </c>
      <c r="EO594" s="14">
        <f t="shared" si="1025"/>
        <v>13241</v>
      </c>
      <c r="EP594" s="14">
        <f t="shared" si="1026"/>
        <v>13241</v>
      </c>
      <c r="EQ594" s="14">
        <f t="shared" si="1027"/>
        <v>16173</v>
      </c>
      <c r="ER594" s="14">
        <f t="shared" si="1028"/>
        <v>17377</v>
      </c>
      <c r="ES594" s="14">
        <f>INDEX(属性偏向!$S$4:$S$243,(卡牌属性!$DT594-1+ES$3)*20+卡牌属性!$DX594)</f>
        <v>20</v>
      </c>
      <c r="ET594" s="14">
        <f>INDEX(属性偏向!$S$4:$S$243,(卡牌属性!$DT594-1+ET$3)*20+卡牌属性!$DX594)</f>
        <v>21</v>
      </c>
      <c r="EU594" s="14">
        <f>INDEX(属性偏向!$S$4:$S$243,(卡牌属性!$DT594-1+EU$3)*20+卡牌属性!$DX594)</f>
        <v>30</v>
      </c>
      <c r="EV594" s="14">
        <f>INDEX(属性偏向!$S$4:$S$243,(卡牌属性!$DT594-1+EV$3)*20+卡牌属性!$DX594)</f>
        <v>30</v>
      </c>
      <c r="EW594" s="14">
        <f>INDEX(属性偏向!$S$4:$S$243,(卡牌属性!$DT594-1+EW$3)*20+卡牌属性!$DX594)</f>
        <v>35</v>
      </c>
      <c r="EX594" s="14">
        <f>INDEX(属性偏向!$T$4:$T$243,(卡牌属性!$DU594-1+EX$3)*20+卡牌属性!$DX594)</f>
        <v>10</v>
      </c>
      <c r="EY594" s="14">
        <f>INDEX(属性偏向!$T$4:$T$243,(卡牌属性!$DU594-1+EY$3)*20+卡牌属性!$DX594)</f>
        <v>11</v>
      </c>
      <c r="EZ594" s="14">
        <f>INDEX(属性偏向!$T$4:$T$243,(卡牌属性!$DU594-1+EZ$3)*20+卡牌属性!$DX594)</f>
        <v>11</v>
      </c>
      <c r="FA594" s="14">
        <f>INDEX(属性偏向!$T$4:$T$243,(卡牌属性!$DU594-1+FA$3)*20+卡牌属性!$DX594)</f>
        <v>15</v>
      </c>
      <c r="FB594" s="14">
        <f>INDEX(属性偏向!$T$4:$T$243,(卡牌属性!$DU594-1+FB$3)*20+卡牌属性!$DX594)</f>
        <v>18</v>
      </c>
      <c r="FC594" s="14">
        <f>INDEX(属性偏向!$U$4:$U$243,(卡牌属性!$DV594-1+FC$3)*20+卡牌属性!$DX594)</f>
        <v>180</v>
      </c>
      <c r="FD594" s="14">
        <f>INDEX(属性偏向!$U$4:$U$243,(卡牌属性!$DV594-1+FD$3)*20+卡牌属性!$DX594)</f>
        <v>189</v>
      </c>
      <c r="FE594" s="14">
        <f>INDEX(属性偏向!$U$4:$U$243,(卡牌属性!$DV594-1+FE$3)*20+卡牌属性!$DX594)</f>
        <v>189</v>
      </c>
      <c r="FF594" s="14">
        <f>INDEX(属性偏向!$U$4:$U$243,(卡牌属性!$DV594-1+FF$3)*20+卡牌属性!$DX594)</f>
        <v>270</v>
      </c>
      <c r="FG594" s="14">
        <f>INDEX(属性偏向!$U$4:$U$243,(卡牌属性!$DV594-1+FG$3)*20+卡牌属性!$DX594)</f>
        <v>315</v>
      </c>
      <c r="FH594" s="14">
        <f>INDEX(属性投放!$BQ$6:$BQ$85,(卡牌属性!$DW594-2)*20+卡牌属性!$DX594)</f>
        <v>175</v>
      </c>
      <c r="FI594" s="14">
        <f>INDEX(属性投放!$BQ$6:$BQ$85,(卡牌属性!$DW594-2)*20+卡牌属性!$DX594)</f>
        <v>175</v>
      </c>
      <c r="FJ594" s="14">
        <f>INDEX(属性投放!$BQ$6:$BQ$85,(卡牌属性!$DW594-2)*20+卡牌属性!$DX594)</f>
        <v>175</v>
      </c>
      <c r="FK594" s="14">
        <f>INDEX(属性投放!$BQ$6:$BQ$85,(卡牌属性!$DW594-2)*20+卡牌属性!$DX594)</f>
        <v>175</v>
      </c>
      <c r="FL594" s="14">
        <f>INDEX(属性投放!$BQ$6:$BQ$85,(卡牌属性!$DW594-2)*20+卡牌属性!$DX594)</f>
        <v>175</v>
      </c>
      <c r="FM594" s="14">
        <f>INDEX(属性投放!$BR$6:$BR$85,(卡牌属性!$DW594-2)*20+卡牌属性!$DX594)</f>
        <v>88</v>
      </c>
      <c r="FN594" s="14">
        <f>INDEX(属性投放!$BR$6:$BR$85,(卡牌属性!$DW594-2)*20+卡牌属性!$DX594)</f>
        <v>88</v>
      </c>
      <c r="FO594" s="14">
        <f>INDEX(属性投放!$BR$6:$BR$85,(卡牌属性!$DW594-2)*20+卡牌属性!$DX594)</f>
        <v>88</v>
      </c>
      <c r="FP594" s="14">
        <f>INDEX(属性投放!$BR$6:$BR$85,(卡牌属性!$DW594-2)*20+卡牌属性!$DX594)</f>
        <v>88</v>
      </c>
      <c r="FQ594" s="14">
        <f>INDEX(属性投放!$BR$6:$BR$85,(卡牌属性!$DW594-2)*20+卡牌属性!$DX594)</f>
        <v>88</v>
      </c>
      <c r="FR594" s="14">
        <f>INDEX(属性投放!$BS$6:$BS$85,(卡牌属性!$DW594-2)*20+卡牌属性!$DX594)</f>
        <v>1575</v>
      </c>
      <c r="FS594" s="14">
        <f>INDEX(属性投放!$BS$6:$BS$85,(卡牌属性!$DW594-2)*20+卡牌属性!$DX594)</f>
        <v>1575</v>
      </c>
      <c r="FT594" s="14">
        <f>INDEX(属性投放!$BS$6:$BS$85,(卡牌属性!$DW594-2)*20+卡牌属性!$DX594)</f>
        <v>1575</v>
      </c>
      <c r="FU594" s="14">
        <f>INDEX(属性投放!$BS$6:$BS$85,(卡牌属性!$DW594-2)*20+卡牌属性!$DX594)</f>
        <v>1575</v>
      </c>
      <c r="FV594" s="14">
        <f>INDEX(属性投放!$BS$6:$BS$85,(卡牌属性!$DW594-2)*20+卡牌属性!$DX594)</f>
        <v>1575</v>
      </c>
    </row>
    <row r="595" spans="31:178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>
        <v>591</v>
      </c>
      <c r="BX595" s="13">
        <f t="shared" si="981"/>
        <v>30</v>
      </c>
      <c r="BY595" s="14">
        <f t="shared" si="982"/>
        <v>3</v>
      </c>
      <c r="BZ595" s="14">
        <f t="shared" si="1005"/>
        <v>1102998</v>
      </c>
      <c r="CA595" s="14" t="str">
        <f t="shared" si="1006"/>
        <v>SR守护灵11突</v>
      </c>
      <c r="CB595" s="25" t="s">
        <v>142</v>
      </c>
      <c r="CC595" s="14">
        <v>2</v>
      </c>
      <c r="CD595" s="14">
        <f t="shared" si="1003"/>
        <v>11</v>
      </c>
      <c r="CE595" s="14" t="s">
        <v>21</v>
      </c>
      <c r="CF595" s="14">
        <f>INDEX(属性投放!$AZ$6:$AZ$85,(BY595-2)*20+CD595)</f>
        <v>3501</v>
      </c>
      <c r="CG595" s="14" t="s">
        <v>22</v>
      </c>
      <c r="CH595" s="14">
        <f>INDEX(属性投放!$BA$6:$BA$85,(BY595-2)*20+CD595)</f>
        <v>1700</v>
      </c>
      <c r="CI595" s="14" t="s">
        <v>510</v>
      </c>
      <c r="CJ595" s="14">
        <f>INDEX(属性投放!$BB$6:$BB$85,(BY595-2)*20+CD595)</f>
        <v>26130</v>
      </c>
      <c r="CK595" s="14" t="s">
        <v>21</v>
      </c>
      <c r="CL595" s="14">
        <f>INDEX(属性投放!$BC$6:$BC$85,(BY595-2)*20+CD595)</f>
        <v>20</v>
      </c>
      <c r="CM595" s="14" t="s">
        <v>22</v>
      </c>
      <c r="CN595" s="14">
        <f>INDEX(属性投放!$BD$6:$BD$85,(BY595-2)*20+CD595)</f>
        <v>10</v>
      </c>
      <c r="CO595" s="14" t="s">
        <v>510</v>
      </c>
      <c r="CP595" s="14">
        <f>INDEX(属性投放!$BE$6:$BE$85,(BY595-2)*20+CD595)</f>
        <v>180</v>
      </c>
      <c r="CS595" s="13">
        <v>591</v>
      </c>
      <c r="CT595" s="13">
        <f t="shared" si="1007"/>
        <v>12</v>
      </c>
      <c r="CU595" s="13">
        <f t="shared" si="1008"/>
        <v>19</v>
      </c>
      <c r="CV595" s="14">
        <f t="shared" si="1009"/>
        <v>5</v>
      </c>
      <c r="CW595" s="14">
        <f t="shared" si="1010"/>
        <v>1102012</v>
      </c>
      <c r="CX595" s="14" t="str">
        <f>INDEX($O$6:$O$50,CT595)&amp;"-"&amp;INDEX(属性投放!$AB$7:$AB$50,CZ595)&amp;"-魂火-"&amp;DB595</f>
        <v>夏侯惇-大叫唤-魂火-1</v>
      </c>
      <c r="CY595" s="25" t="s">
        <v>142</v>
      </c>
      <c r="CZ595" s="14">
        <f>INDEX(属性投放!$AM$7:$AM$58,CU595)</f>
        <v>10</v>
      </c>
      <c r="DA595" s="14" t="s">
        <v>537</v>
      </c>
      <c r="DB595" s="14">
        <f>INDEX(属性投放!$AN$7:$AN$58,CU595)</f>
        <v>1</v>
      </c>
      <c r="DC595" s="14">
        <f t="shared" si="1004"/>
        <v>19</v>
      </c>
      <c r="DD595" s="14">
        <f>INDEX(属性投放!$AO$7:$AO$58,DC595)</f>
        <v>65</v>
      </c>
      <c r="DE595" s="14" t="s">
        <v>538</v>
      </c>
      <c r="DF595" s="14">
        <f>INDEX(属性投放!$BK$6:$BK$85,(CV595-2)*20+CZ595)</f>
        <v>150</v>
      </c>
      <c r="DG595" s="14">
        <f>SUMIFS(DF$5:DF595,$CT$5:$CT595,"="&amp;$CT595)</f>
        <v>1619</v>
      </c>
      <c r="DH595" s="14" t="s">
        <v>539</v>
      </c>
      <c r="DI595" s="14">
        <f>INDEX(属性投放!$BL$6:$BL$85,(CV595-2)*20+CZ595)</f>
        <v>75</v>
      </c>
      <c r="DJ595" s="14">
        <f>SUMIFS(DI$5:DI595,$CT$5:$CT595,"="&amp;$CT595)</f>
        <v>812</v>
      </c>
      <c r="DK595" s="14" t="s">
        <v>540</v>
      </c>
      <c r="DL595" s="14">
        <f>INDEX(属性投放!$BM$6:$BM$85,(CV595-2)*20+CZ595)</f>
        <v>1350</v>
      </c>
      <c r="DM595" s="14">
        <f>SUMIFS(DL$5:DL595,$CT$5:$CT595,"="&amp;$CT595)</f>
        <v>12282</v>
      </c>
      <c r="DR595" s="14">
        <f t="shared" si="983"/>
        <v>1102998</v>
      </c>
      <c r="DS595" s="14" t="str">
        <f t="shared" si="984"/>
        <v>SR守护灵11突</v>
      </c>
      <c r="DT595" s="14">
        <f t="shared" si="1011"/>
        <v>5</v>
      </c>
      <c r="DU595" s="14">
        <f t="shared" si="1012"/>
        <v>5</v>
      </c>
      <c r="DV595" s="14">
        <f t="shared" si="1013"/>
        <v>5</v>
      </c>
      <c r="DW595" s="14">
        <f t="shared" si="985"/>
        <v>3</v>
      </c>
      <c r="DX595" s="14">
        <f t="shared" si="986"/>
        <v>11</v>
      </c>
      <c r="DY595" s="14">
        <f t="shared" si="987"/>
        <v>31</v>
      </c>
      <c r="DZ595" s="14">
        <f>INDEX(属性投放!$AX$6:$AX$85,(卡牌属性!DW595-2)*20+卡牌属性!DX595)</f>
        <v>8</v>
      </c>
      <c r="EA595" s="14">
        <f>INDEX(属性投放!BQ$6:BQ$85,卡牌属性!$DY595)</f>
        <v>240</v>
      </c>
      <c r="EB595" s="14">
        <f>INDEX(属性投放!BR$6:BR$85,卡牌属性!$DY595)</f>
        <v>120</v>
      </c>
      <c r="EC595" s="14">
        <f>INDEX(属性投放!BS$6:BS$85,卡牌属性!$DY595)</f>
        <v>2160</v>
      </c>
      <c r="ED595" s="14">
        <f t="shared" si="1014"/>
        <v>2131</v>
      </c>
      <c r="EE595" s="14">
        <f t="shared" si="1015"/>
        <v>2251</v>
      </c>
      <c r="EF595" s="14">
        <f t="shared" si="1016"/>
        <v>2723</v>
      </c>
      <c r="EG595" s="14">
        <f t="shared" si="1017"/>
        <v>2723</v>
      </c>
      <c r="EH595" s="14">
        <f t="shared" si="1018"/>
        <v>2950</v>
      </c>
      <c r="EI595" s="14">
        <f t="shared" si="1019"/>
        <v>1032</v>
      </c>
      <c r="EJ595" s="14">
        <f t="shared" si="1020"/>
        <v>1095</v>
      </c>
      <c r="EK595" s="14">
        <f t="shared" si="1021"/>
        <v>1095</v>
      </c>
      <c r="EL595" s="14">
        <f t="shared" si="1022"/>
        <v>1333</v>
      </c>
      <c r="EM595" s="14">
        <f t="shared" si="1023"/>
        <v>1443</v>
      </c>
      <c r="EN595" s="14">
        <f t="shared" si="1024"/>
        <v>15340</v>
      </c>
      <c r="EO595" s="14">
        <f t="shared" si="1025"/>
        <v>16139</v>
      </c>
      <c r="EP595" s="14">
        <f t="shared" si="1026"/>
        <v>16139</v>
      </c>
      <c r="EQ595" s="14">
        <f t="shared" si="1027"/>
        <v>19638</v>
      </c>
      <c r="ER595" s="14">
        <f t="shared" si="1028"/>
        <v>21157</v>
      </c>
      <c r="ES595" s="14">
        <f>INDEX(属性偏向!$S$4:$S$243,(卡牌属性!$DT595-1+ES$3)*20+卡牌属性!$DX595)</f>
        <v>20</v>
      </c>
      <c r="ET595" s="14">
        <f>INDEX(属性偏向!$S$4:$S$243,(卡牌属性!$DT595-1+ET$3)*20+卡牌属性!$DX595)</f>
        <v>21</v>
      </c>
      <c r="EU595" s="14">
        <f>INDEX(属性偏向!$S$4:$S$243,(卡牌属性!$DT595-1+EU$3)*20+卡牌属性!$DX595)</f>
        <v>30</v>
      </c>
      <c r="EV595" s="14">
        <f>INDEX(属性偏向!$S$4:$S$243,(卡牌属性!$DT595-1+EV$3)*20+卡牌属性!$DX595)</f>
        <v>30</v>
      </c>
      <c r="EW595" s="14">
        <f>INDEX(属性偏向!$S$4:$S$243,(卡牌属性!$DT595-1+EW$3)*20+卡牌属性!$DX595)</f>
        <v>35</v>
      </c>
      <c r="EX595" s="14">
        <f>INDEX(属性偏向!$T$4:$T$243,(卡牌属性!$DU595-1+EX$3)*20+卡牌属性!$DX595)</f>
        <v>10</v>
      </c>
      <c r="EY595" s="14">
        <f>INDEX(属性偏向!$T$4:$T$243,(卡牌属性!$DU595-1+EY$3)*20+卡牌属性!$DX595)</f>
        <v>11</v>
      </c>
      <c r="EZ595" s="14">
        <f>INDEX(属性偏向!$T$4:$T$243,(卡牌属性!$DU595-1+EZ$3)*20+卡牌属性!$DX595)</f>
        <v>11</v>
      </c>
      <c r="FA595" s="14">
        <f>INDEX(属性偏向!$T$4:$T$243,(卡牌属性!$DU595-1+FA$3)*20+卡牌属性!$DX595)</f>
        <v>15</v>
      </c>
      <c r="FB595" s="14">
        <f>INDEX(属性偏向!$T$4:$T$243,(卡牌属性!$DU595-1+FB$3)*20+卡牌属性!$DX595)</f>
        <v>18</v>
      </c>
      <c r="FC595" s="14">
        <f>INDEX(属性偏向!$U$4:$U$243,(卡牌属性!$DV595-1+FC$3)*20+卡牌属性!$DX595)</f>
        <v>180</v>
      </c>
      <c r="FD595" s="14">
        <f>INDEX(属性偏向!$U$4:$U$243,(卡牌属性!$DV595-1+FD$3)*20+卡牌属性!$DX595)</f>
        <v>189</v>
      </c>
      <c r="FE595" s="14">
        <f>INDEX(属性偏向!$U$4:$U$243,(卡牌属性!$DV595-1+FE$3)*20+卡牌属性!$DX595)</f>
        <v>189</v>
      </c>
      <c r="FF595" s="14">
        <f>INDEX(属性偏向!$U$4:$U$243,(卡牌属性!$DV595-1+FF$3)*20+卡牌属性!$DX595)</f>
        <v>270</v>
      </c>
      <c r="FG595" s="14">
        <f>INDEX(属性偏向!$U$4:$U$243,(卡牌属性!$DV595-1+FG$3)*20+卡牌属性!$DX595)</f>
        <v>315</v>
      </c>
      <c r="FH595" s="14">
        <f>INDEX(属性投放!$BQ$6:$BQ$85,(卡牌属性!$DW595-2)*20+卡牌属性!$DX595)</f>
        <v>240</v>
      </c>
      <c r="FI595" s="14">
        <f>INDEX(属性投放!$BQ$6:$BQ$85,(卡牌属性!$DW595-2)*20+卡牌属性!$DX595)</f>
        <v>240</v>
      </c>
      <c r="FJ595" s="14">
        <f>INDEX(属性投放!$BQ$6:$BQ$85,(卡牌属性!$DW595-2)*20+卡牌属性!$DX595)</f>
        <v>240</v>
      </c>
      <c r="FK595" s="14">
        <f>INDEX(属性投放!$BQ$6:$BQ$85,(卡牌属性!$DW595-2)*20+卡牌属性!$DX595)</f>
        <v>240</v>
      </c>
      <c r="FL595" s="14">
        <f>INDEX(属性投放!$BQ$6:$BQ$85,(卡牌属性!$DW595-2)*20+卡牌属性!$DX595)</f>
        <v>240</v>
      </c>
      <c r="FM595" s="14">
        <f>INDEX(属性投放!$BR$6:$BR$85,(卡牌属性!$DW595-2)*20+卡牌属性!$DX595)</f>
        <v>120</v>
      </c>
      <c r="FN595" s="14">
        <f>INDEX(属性投放!$BR$6:$BR$85,(卡牌属性!$DW595-2)*20+卡牌属性!$DX595)</f>
        <v>120</v>
      </c>
      <c r="FO595" s="14">
        <f>INDEX(属性投放!$BR$6:$BR$85,(卡牌属性!$DW595-2)*20+卡牌属性!$DX595)</f>
        <v>120</v>
      </c>
      <c r="FP595" s="14">
        <f>INDEX(属性投放!$BR$6:$BR$85,(卡牌属性!$DW595-2)*20+卡牌属性!$DX595)</f>
        <v>120</v>
      </c>
      <c r="FQ595" s="14">
        <f>INDEX(属性投放!$BR$6:$BR$85,(卡牌属性!$DW595-2)*20+卡牌属性!$DX595)</f>
        <v>120</v>
      </c>
      <c r="FR595" s="14">
        <f>INDEX(属性投放!$BS$6:$BS$85,(卡牌属性!$DW595-2)*20+卡牌属性!$DX595)</f>
        <v>2160</v>
      </c>
      <c r="FS595" s="14">
        <f>INDEX(属性投放!$BS$6:$BS$85,(卡牌属性!$DW595-2)*20+卡牌属性!$DX595)</f>
        <v>2160</v>
      </c>
      <c r="FT595" s="14">
        <f>INDEX(属性投放!$BS$6:$BS$85,(卡牌属性!$DW595-2)*20+卡牌属性!$DX595)</f>
        <v>2160</v>
      </c>
      <c r="FU595" s="14">
        <f>INDEX(属性投放!$BS$6:$BS$85,(卡牌属性!$DW595-2)*20+卡牌属性!$DX595)</f>
        <v>2160</v>
      </c>
      <c r="FV595" s="14">
        <f>INDEX(属性投放!$BS$6:$BS$85,(卡牌属性!$DW595-2)*20+卡牌属性!$DX595)</f>
        <v>2160</v>
      </c>
    </row>
    <row r="596" spans="31:178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>
        <v>592</v>
      </c>
      <c r="BX596" s="13">
        <f t="shared" si="981"/>
        <v>30</v>
      </c>
      <c r="BY596" s="14">
        <f t="shared" si="982"/>
        <v>3</v>
      </c>
      <c r="BZ596" s="14">
        <f t="shared" si="1005"/>
        <v>1102998</v>
      </c>
      <c r="CA596" s="14" t="str">
        <f t="shared" si="1006"/>
        <v>SR守护灵12突</v>
      </c>
      <c r="CB596" s="25" t="s">
        <v>142</v>
      </c>
      <c r="CC596" s="14">
        <v>2</v>
      </c>
      <c r="CD596" s="14">
        <f t="shared" si="1003"/>
        <v>12</v>
      </c>
      <c r="CE596" s="14" t="s">
        <v>21</v>
      </c>
      <c r="CF596" s="14">
        <f>INDEX(属性投放!$AZ$6:$AZ$85,(BY596-2)*20+CD596)</f>
        <v>4351</v>
      </c>
      <c r="CG596" s="14" t="s">
        <v>22</v>
      </c>
      <c r="CH596" s="14">
        <f>INDEX(属性投放!$BA$6:$BA$85,(BY596-2)*20+CD596)</f>
        <v>2125</v>
      </c>
      <c r="CI596" s="14" t="s">
        <v>510</v>
      </c>
      <c r="CJ596" s="14">
        <f>INDEX(属性投放!$BB$6:$BB$85,(BY596-2)*20+CD596)</f>
        <v>33780</v>
      </c>
      <c r="CK596" s="14" t="s">
        <v>21</v>
      </c>
      <c r="CL596" s="14">
        <f>INDEX(属性投放!$BC$6:$BC$85,(BY596-2)*20+CD596)</f>
        <v>20</v>
      </c>
      <c r="CM596" s="14" t="s">
        <v>22</v>
      </c>
      <c r="CN596" s="14">
        <f>INDEX(属性投放!$BD$6:$BD$85,(BY596-2)*20+CD596)</f>
        <v>10</v>
      </c>
      <c r="CO596" s="14" t="s">
        <v>510</v>
      </c>
      <c r="CP596" s="14">
        <f>INDEX(属性投放!$BE$6:$BE$85,(BY596-2)*20+CD596)</f>
        <v>180</v>
      </c>
      <c r="CS596" s="13">
        <v>592</v>
      </c>
      <c r="CT596" s="13">
        <f t="shared" si="1007"/>
        <v>12</v>
      </c>
      <c r="CU596" s="13">
        <f t="shared" si="1008"/>
        <v>20</v>
      </c>
      <c r="CV596" s="14">
        <f t="shared" si="1009"/>
        <v>5</v>
      </c>
      <c r="CW596" s="14">
        <f t="shared" si="1010"/>
        <v>1102012</v>
      </c>
      <c r="CX596" s="14" t="str">
        <f>INDEX($O$6:$O$50,CT596)&amp;"-"&amp;INDEX(属性投放!$AB$7:$AB$50,CZ596)&amp;"-魂火-"&amp;DB596</f>
        <v>夏侯惇-大叫唤-魂火-2</v>
      </c>
      <c r="CY596" s="25" t="s">
        <v>142</v>
      </c>
      <c r="CZ596" s="14">
        <f>INDEX(属性投放!$AM$7:$AM$58,CU596)</f>
        <v>10</v>
      </c>
      <c r="DA596" s="14" t="s">
        <v>537</v>
      </c>
      <c r="DB596" s="14">
        <f>INDEX(属性投放!$AN$7:$AN$58,CU596)</f>
        <v>2</v>
      </c>
      <c r="DC596" s="14">
        <f t="shared" si="1004"/>
        <v>20</v>
      </c>
      <c r="DD596" s="14">
        <f>INDEX(属性投放!$AO$7:$AO$58,DC596)</f>
        <v>68</v>
      </c>
      <c r="DE596" s="14" t="s">
        <v>538</v>
      </c>
      <c r="DF596" s="14">
        <f>INDEX(属性投放!$BK$6:$BK$85,(CV596-2)*20+CZ596)</f>
        <v>150</v>
      </c>
      <c r="DG596" s="14">
        <f>SUMIFS(DF$5:DF596,$CT$5:$CT596,"="&amp;$CT596)</f>
        <v>1769</v>
      </c>
      <c r="DH596" s="14" t="s">
        <v>539</v>
      </c>
      <c r="DI596" s="14">
        <f>INDEX(属性投放!$BL$6:$BL$85,(CV596-2)*20+CZ596)</f>
        <v>75</v>
      </c>
      <c r="DJ596" s="14">
        <f>SUMIFS(DI$5:DI596,$CT$5:$CT596,"="&amp;$CT596)</f>
        <v>887</v>
      </c>
      <c r="DK596" s="14" t="s">
        <v>540</v>
      </c>
      <c r="DL596" s="14">
        <f>INDEX(属性投放!$BM$6:$BM$85,(CV596-2)*20+CZ596)</f>
        <v>1350</v>
      </c>
      <c r="DM596" s="14">
        <f>SUMIFS(DL$5:DL596,$CT$5:$CT596,"="&amp;$CT596)</f>
        <v>13632</v>
      </c>
      <c r="DR596" s="14">
        <f t="shared" si="983"/>
        <v>1102998</v>
      </c>
      <c r="DS596" s="14" t="str">
        <f t="shared" si="984"/>
        <v>SR守护灵12突</v>
      </c>
      <c r="DT596" s="14">
        <f t="shared" si="1011"/>
        <v>5</v>
      </c>
      <c r="DU596" s="14">
        <f t="shared" si="1012"/>
        <v>5</v>
      </c>
      <c r="DV596" s="14">
        <f t="shared" si="1013"/>
        <v>5</v>
      </c>
      <c r="DW596" s="14">
        <f t="shared" si="985"/>
        <v>3</v>
      </c>
      <c r="DX596" s="14">
        <f t="shared" si="986"/>
        <v>12</v>
      </c>
      <c r="DY596" s="14">
        <f t="shared" si="987"/>
        <v>32</v>
      </c>
      <c r="DZ596" s="14">
        <f>INDEX(属性投放!$AX$6:$AX$85,(卡牌属性!DW596-2)*20+卡牌属性!DX596)</f>
        <v>7</v>
      </c>
      <c r="EA596" s="14">
        <f>INDEX(属性投放!BQ$6:BQ$85,卡牌属性!$DY596)</f>
        <v>350</v>
      </c>
      <c r="EB596" s="14">
        <f>INDEX(属性投放!BR$6:BR$85,卡牌属性!$DY596)</f>
        <v>175</v>
      </c>
      <c r="EC596" s="14">
        <f>INDEX(属性投放!BS$6:BS$85,卡牌属性!$DY596)</f>
        <v>3150</v>
      </c>
      <c r="ED596" s="14">
        <f t="shared" si="1014"/>
        <v>2531</v>
      </c>
      <c r="EE596" s="14">
        <f t="shared" si="1015"/>
        <v>2659</v>
      </c>
      <c r="EF596" s="14">
        <f t="shared" si="1016"/>
        <v>3203</v>
      </c>
      <c r="EG596" s="14">
        <f t="shared" si="1017"/>
        <v>3203</v>
      </c>
      <c r="EH596" s="14">
        <f t="shared" si="1018"/>
        <v>3470</v>
      </c>
      <c r="EI596" s="14">
        <f t="shared" si="1019"/>
        <v>1232</v>
      </c>
      <c r="EJ596" s="14">
        <f t="shared" si="1020"/>
        <v>1303</v>
      </c>
      <c r="EK596" s="14">
        <f t="shared" si="1021"/>
        <v>1303</v>
      </c>
      <c r="EL596" s="14">
        <f t="shared" si="1022"/>
        <v>1573</v>
      </c>
      <c r="EM596" s="14">
        <f t="shared" si="1023"/>
        <v>1707</v>
      </c>
      <c r="EN596" s="14">
        <f t="shared" si="1024"/>
        <v>18940</v>
      </c>
      <c r="EO596" s="14">
        <f t="shared" si="1025"/>
        <v>19811</v>
      </c>
      <c r="EP596" s="14">
        <f t="shared" si="1026"/>
        <v>19811</v>
      </c>
      <c r="EQ596" s="14">
        <f t="shared" si="1027"/>
        <v>23958</v>
      </c>
      <c r="ER596" s="14">
        <f t="shared" si="1028"/>
        <v>25837</v>
      </c>
      <c r="ES596" s="14">
        <f>INDEX(属性偏向!$S$4:$S$243,(卡牌属性!$DT596-1+ES$3)*20+卡牌属性!$DX596)</f>
        <v>20</v>
      </c>
      <c r="ET596" s="14">
        <f>INDEX(属性偏向!$S$4:$S$243,(卡牌属性!$DT596-1+ET$3)*20+卡牌属性!$DX596)</f>
        <v>21</v>
      </c>
      <c r="EU596" s="14">
        <f>INDEX(属性偏向!$S$4:$S$243,(卡牌属性!$DT596-1+EU$3)*20+卡牌属性!$DX596)</f>
        <v>30</v>
      </c>
      <c r="EV596" s="14">
        <f>INDEX(属性偏向!$S$4:$S$243,(卡牌属性!$DT596-1+EV$3)*20+卡牌属性!$DX596)</f>
        <v>30</v>
      </c>
      <c r="EW596" s="14">
        <f>INDEX(属性偏向!$S$4:$S$243,(卡牌属性!$DT596-1+EW$3)*20+卡牌属性!$DX596)</f>
        <v>35</v>
      </c>
      <c r="EX596" s="14">
        <f>INDEX(属性偏向!$T$4:$T$243,(卡牌属性!$DU596-1+EX$3)*20+卡牌属性!$DX596)</f>
        <v>10</v>
      </c>
      <c r="EY596" s="14">
        <f>INDEX(属性偏向!$T$4:$T$243,(卡牌属性!$DU596-1+EY$3)*20+卡牌属性!$DX596)</f>
        <v>11</v>
      </c>
      <c r="EZ596" s="14">
        <f>INDEX(属性偏向!$T$4:$T$243,(卡牌属性!$DU596-1+EZ$3)*20+卡牌属性!$DX596)</f>
        <v>11</v>
      </c>
      <c r="FA596" s="14">
        <f>INDEX(属性偏向!$T$4:$T$243,(卡牌属性!$DU596-1+FA$3)*20+卡牌属性!$DX596)</f>
        <v>15</v>
      </c>
      <c r="FB596" s="14">
        <f>INDEX(属性偏向!$T$4:$T$243,(卡牌属性!$DU596-1+FB$3)*20+卡牌属性!$DX596)</f>
        <v>18</v>
      </c>
      <c r="FC596" s="14">
        <f>INDEX(属性偏向!$U$4:$U$243,(卡牌属性!$DV596-1+FC$3)*20+卡牌属性!$DX596)</f>
        <v>180</v>
      </c>
      <c r="FD596" s="14">
        <f>INDEX(属性偏向!$U$4:$U$243,(卡牌属性!$DV596-1+FD$3)*20+卡牌属性!$DX596)</f>
        <v>189</v>
      </c>
      <c r="FE596" s="14">
        <f>INDEX(属性偏向!$U$4:$U$243,(卡牌属性!$DV596-1+FE$3)*20+卡牌属性!$DX596)</f>
        <v>189</v>
      </c>
      <c r="FF596" s="14">
        <f>INDEX(属性偏向!$U$4:$U$243,(卡牌属性!$DV596-1+FF$3)*20+卡牌属性!$DX596)</f>
        <v>270</v>
      </c>
      <c r="FG596" s="14">
        <f>INDEX(属性偏向!$U$4:$U$243,(卡牌属性!$DV596-1+FG$3)*20+卡牌属性!$DX596)</f>
        <v>315</v>
      </c>
      <c r="FH596" s="14">
        <f>INDEX(属性投放!$BQ$6:$BQ$85,(卡牌属性!$DW596-2)*20+卡牌属性!$DX596)</f>
        <v>350</v>
      </c>
      <c r="FI596" s="14">
        <f>INDEX(属性投放!$BQ$6:$BQ$85,(卡牌属性!$DW596-2)*20+卡牌属性!$DX596)</f>
        <v>350</v>
      </c>
      <c r="FJ596" s="14">
        <f>INDEX(属性投放!$BQ$6:$BQ$85,(卡牌属性!$DW596-2)*20+卡牌属性!$DX596)</f>
        <v>350</v>
      </c>
      <c r="FK596" s="14">
        <f>INDEX(属性投放!$BQ$6:$BQ$85,(卡牌属性!$DW596-2)*20+卡牌属性!$DX596)</f>
        <v>350</v>
      </c>
      <c r="FL596" s="14">
        <f>INDEX(属性投放!$BQ$6:$BQ$85,(卡牌属性!$DW596-2)*20+卡牌属性!$DX596)</f>
        <v>350</v>
      </c>
      <c r="FM596" s="14">
        <f>INDEX(属性投放!$BR$6:$BR$85,(卡牌属性!$DW596-2)*20+卡牌属性!$DX596)</f>
        <v>175</v>
      </c>
      <c r="FN596" s="14">
        <f>INDEX(属性投放!$BR$6:$BR$85,(卡牌属性!$DW596-2)*20+卡牌属性!$DX596)</f>
        <v>175</v>
      </c>
      <c r="FO596" s="14">
        <f>INDEX(属性投放!$BR$6:$BR$85,(卡牌属性!$DW596-2)*20+卡牌属性!$DX596)</f>
        <v>175</v>
      </c>
      <c r="FP596" s="14">
        <f>INDEX(属性投放!$BR$6:$BR$85,(卡牌属性!$DW596-2)*20+卡牌属性!$DX596)</f>
        <v>175</v>
      </c>
      <c r="FQ596" s="14">
        <f>INDEX(属性投放!$BR$6:$BR$85,(卡牌属性!$DW596-2)*20+卡牌属性!$DX596)</f>
        <v>175</v>
      </c>
      <c r="FR596" s="14">
        <f>INDEX(属性投放!$BS$6:$BS$85,(卡牌属性!$DW596-2)*20+卡牌属性!$DX596)</f>
        <v>3150</v>
      </c>
      <c r="FS596" s="14">
        <f>INDEX(属性投放!$BS$6:$BS$85,(卡牌属性!$DW596-2)*20+卡牌属性!$DX596)</f>
        <v>3150</v>
      </c>
      <c r="FT596" s="14">
        <f>INDEX(属性投放!$BS$6:$BS$85,(卡牌属性!$DW596-2)*20+卡牌属性!$DX596)</f>
        <v>3150</v>
      </c>
      <c r="FU596" s="14">
        <f>INDEX(属性投放!$BS$6:$BS$85,(卡牌属性!$DW596-2)*20+卡牌属性!$DX596)</f>
        <v>3150</v>
      </c>
      <c r="FV596" s="14">
        <f>INDEX(属性投放!$BS$6:$BS$85,(卡牌属性!$DW596-2)*20+卡牌属性!$DX596)</f>
        <v>3150</v>
      </c>
    </row>
    <row r="597" spans="31:178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>
        <v>593</v>
      </c>
      <c r="BX597" s="13">
        <f t="shared" si="981"/>
        <v>30</v>
      </c>
      <c r="BY597" s="14">
        <f t="shared" si="982"/>
        <v>3</v>
      </c>
      <c r="BZ597" s="14">
        <f t="shared" si="1005"/>
        <v>1102998</v>
      </c>
      <c r="CA597" s="14" t="str">
        <f t="shared" si="1006"/>
        <v>SR守护灵13突</v>
      </c>
      <c r="CB597" s="25" t="s">
        <v>142</v>
      </c>
      <c r="CC597" s="14">
        <v>2</v>
      </c>
      <c r="CD597" s="14">
        <f t="shared" si="1003"/>
        <v>13</v>
      </c>
      <c r="CE597" s="14" t="s">
        <v>21</v>
      </c>
      <c r="CF597" s="14">
        <f>INDEX(属性投放!$AZ$6:$AZ$85,(BY597-2)*20+CD597)</f>
        <v>5441</v>
      </c>
      <c r="CG597" s="14" t="s">
        <v>22</v>
      </c>
      <c r="CH597" s="14">
        <f>INDEX(属性投放!$BA$6:$BA$85,(BY597-2)*20+CD597)</f>
        <v>2670</v>
      </c>
      <c r="CI597" s="14" t="s">
        <v>510</v>
      </c>
      <c r="CJ597" s="14">
        <f>INDEX(属性投放!$BB$6:$BB$85,(BY597-2)*20+CD597)</f>
        <v>43590</v>
      </c>
      <c r="CK597" s="14" t="s">
        <v>21</v>
      </c>
      <c r="CL597" s="14">
        <f>INDEX(属性投放!$BC$6:$BC$85,(BY597-2)*20+CD597)</f>
        <v>25</v>
      </c>
      <c r="CM597" s="14" t="s">
        <v>22</v>
      </c>
      <c r="CN597" s="14">
        <f>INDEX(属性投放!$BD$6:$BD$85,(BY597-2)*20+CD597)</f>
        <v>13</v>
      </c>
      <c r="CO597" s="14" t="s">
        <v>510</v>
      </c>
      <c r="CP597" s="14">
        <f>INDEX(属性投放!$BE$6:$BE$85,(BY597-2)*20+CD597)</f>
        <v>250</v>
      </c>
      <c r="CS597" s="13">
        <v>593</v>
      </c>
      <c r="CT597" s="13">
        <f t="shared" si="1007"/>
        <v>12</v>
      </c>
      <c r="CU597" s="13">
        <f t="shared" si="1008"/>
        <v>21</v>
      </c>
      <c r="CV597" s="14">
        <f t="shared" si="1009"/>
        <v>5</v>
      </c>
      <c r="CW597" s="14">
        <f t="shared" si="1010"/>
        <v>1102012</v>
      </c>
      <c r="CX597" s="14" t="str">
        <f>INDEX($O$6:$O$50,CT597)&amp;"-"&amp;INDEX(属性投放!$AB$7:$AB$50,CZ597)&amp;"-魂火-"&amp;DB597</f>
        <v>夏侯惇-大叫唤-魂火-3</v>
      </c>
      <c r="CY597" s="25" t="s">
        <v>142</v>
      </c>
      <c r="CZ597" s="14">
        <f>INDEX(属性投放!$AM$7:$AM$58,CU597)</f>
        <v>10</v>
      </c>
      <c r="DA597" s="14" t="s">
        <v>537</v>
      </c>
      <c r="DB597" s="14">
        <f>INDEX(属性投放!$AN$7:$AN$58,CU597)</f>
        <v>3</v>
      </c>
      <c r="DC597" s="14">
        <f t="shared" si="1004"/>
        <v>21</v>
      </c>
      <c r="DD597" s="14">
        <f>INDEX(属性投放!$AO$7:$AO$58,DC597)</f>
        <v>70</v>
      </c>
      <c r="DE597" s="14" t="s">
        <v>538</v>
      </c>
      <c r="DF597" s="14">
        <f>INDEX(属性投放!$BK$6:$BK$85,(CV597-2)*20+CZ597)</f>
        <v>150</v>
      </c>
      <c r="DG597" s="14">
        <f>SUMIFS(DF$5:DF597,$CT$5:$CT597,"="&amp;$CT597)</f>
        <v>1919</v>
      </c>
      <c r="DH597" s="14" t="s">
        <v>539</v>
      </c>
      <c r="DI597" s="14">
        <f>INDEX(属性投放!$BL$6:$BL$85,(CV597-2)*20+CZ597)</f>
        <v>75</v>
      </c>
      <c r="DJ597" s="14">
        <f>SUMIFS(DI$5:DI597,$CT$5:$CT597,"="&amp;$CT597)</f>
        <v>962</v>
      </c>
      <c r="DK597" s="14" t="s">
        <v>540</v>
      </c>
      <c r="DL597" s="14">
        <f>INDEX(属性投放!$BM$6:$BM$85,(CV597-2)*20+CZ597)</f>
        <v>1350</v>
      </c>
      <c r="DM597" s="14">
        <f>SUMIFS(DL$5:DL597,$CT$5:$CT597,"="&amp;$CT597)</f>
        <v>14982</v>
      </c>
      <c r="DR597" s="14">
        <f t="shared" si="983"/>
        <v>1102998</v>
      </c>
      <c r="DS597" s="14" t="str">
        <f t="shared" si="984"/>
        <v>SR守护灵13突</v>
      </c>
      <c r="DT597" s="14">
        <f t="shared" si="1011"/>
        <v>5</v>
      </c>
      <c r="DU597" s="14">
        <f t="shared" si="1012"/>
        <v>5</v>
      </c>
      <c r="DV597" s="14">
        <f t="shared" si="1013"/>
        <v>5</v>
      </c>
      <c r="DW597" s="14">
        <f t="shared" si="985"/>
        <v>3</v>
      </c>
      <c r="DX597" s="14">
        <f t="shared" si="986"/>
        <v>13</v>
      </c>
      <c r="DY597" s="14">
        <f t="shared" si="987"/>
        <v>33</v>
      </c>
      <c r="DZ597" s="14">
        <f>INDEX(属性投放!$AX$6:$AX$85,(卡牌属性!DW597-2)*20+卡牌属性!DX597)</f>
        <v>8</v>
      </c>
      <c r="EA597" s="14">
        <f>INDEX(属性投放!BQ$6:BQ$85,卡牌属性!$DY597)</f>
        <v>400</v>
      </c>
      <c r="EB597" s="14">
        <f>INDEX(属性投放!BR$6:BR$85,卡牌属性!$DY597)</f>
        <v>200</v>
      </c>
      <c r="EC597" s="14">
        <f>INDEX(属性投放!BS$6:BS$85,卡牌属性!$DY597)</f>
        <v>4000</v>
      </c>
      <c r="ED597" s="14">
        <f t="shared" si="1014"/>
        <v>3021</v>
      </c>
      <c r="EE597" s="14">
        <f t="shared" si="1015"/>
        <v>3156</v>
      </c>
      <c r="EF597" s="14">
        <f t="shared" si="1016"/>
        <v>3763</v>
      </c>
      <c r="EG597" s="14">
        <f t="shared" si="1017"/>
        <v>3763</v>
      </c>
      <c r="EH597" s="14">
        <f t="shared" si="1018"/>
        <v>4065</v>
      </c>
      <c r="EI597" s="14">
        <f t="shared" si="1019"/>
        <v>1477</v>
      </c>
      <c r="EJ597" s="14">
        <f t="shared" si="1020"/>
        <v>1555</v>
      </c>
      <c r="EK597" s="14">
        <f t="shared" si="1021"/>
        <v>1555</v>
      </c>
      <c r="EL597" s="14">
        <f t="shared" si="1022"/>
        <v>1853</v>
      </c>
      <c r="EM597" s="14">
        <f t="shared" si="1023"/>
        <v>2008</v>
      </c>
      <c r="EN597" s="14">
        <f t="shared" si="1024"/>
        <v>23350</v>
      </c>
      <c r="EO597" s="14">
        <f t="shared" si="1025"/>
        <v>24284</v>
      </c>
      <c r="EP597" s="14">
        <f t="shared" si="1026"/>
        <v>24284</v>
      </c>
      <c r="EQ597" s="14">
        <f t="shared" si="1027"/>
        <v>28998</v>
      </c>
      <c r="ER597" s="14">
        <f t="shared" si="1028"/>
        <v>31192</v>
      </c>
      <c r="ES597" s="14">
        <f>INDEX(属性偏向!$S$4:$S$243,(卡牌属性!$DT597-1+ES$3)*20+卡牌属性!$DX597)</f>
        <v>25</v>
      </c>
      <c r="ET597" s="14">
        <f>INDEX(属性偏向!$S$4:$S$243,(卡牌属性!$DT597-1+ET$3)*20+卡牌属性!$DX597)</f>
        <v>26</v>
      </c>
      <c r="EU597" s="14">
        <f>INDEX(属性偏向!$S$4:$S$243,(卡牌属性!$DT597-1+EU$3)*20+卡牌属性!$DX597)</f>
        <v>40</v>
      </c>
      <c r="EV597" s="14">
        <f>INDEX(属性偏向!$S$4:$S$243,(卡牌属性!$DT597-1+EV$3)*20+卡牌属性!$DX597)</f>
        <v>40</v>
      </c>
      <c r="EW597" s="14">
        <f>INDEX(属性偏向!$S$4:$S$243,(卡牌属性!$DT597-1+EW$3)*20+卡牌属性!$DX597)</f>
        <v>45</v>
      </c>
      <c r="EX597" s="14">
        <f>INDEX(属性偏向!$T$4:$T$243,(卡牌属性!$DU597-1+EX$3)*20+卡牌属性!$DX597)</f>
        <v>13</v>
      </c>
      <c r="EY597" s="14">
        <f>INDEX(属性偏向!$T$4:$T$243,(卡牌属性!$DU597-1+EY$3)*20+卡牌属性!$DX597)</f>
        <v>13</v>
      </c>
      <c r="EZ597" s="14">
        <f>INDEX(属性偏向!$T$4:$T$243,(卡牌属性!$DU597-1+EZ$3)*20+卡牌属性!$DX597)</f>
        <v>13</v>
      </c>
      <c r="FA597" s="14">
        <f>INDEX(属性偏向!$T$4:$T$243,(卡牌属性!$DU597-1+FA$3)*20+卡牌属性!$DX597)</f>
        <v>20</v>
      </c>
      <c r="FB597" s="14">
        <f>INDEX(属性偏向!$T$4:$T$243,(卡牌属性!$DU597-1+FB$3)*20+卡牌属性!$DX597)</f>
        <v>23</v>
      </c>
      <c r="FC597" s="14">
        <f>INDEX(属性偏向!$U$4:$U$243,(卡牌属性!$DV597-1+FC$3)*20+卡牌属性!$DX597)</f>
        <v>250</v>
      </c>
      <c r="FD597" s="14">
        <f>INDEX(属性偏向!$U$4:$U$243,(卡牌属性!$DV597-1+FD$3)*20+卡牌属性!$DX597)</f>
        <v>260</v>
      </c>
      <c r="FE597" s="14">
        <f>INDEX(属性偏向!$U$4:$U$243,(卡牌属性!$DV597-1+FE$3)*20+卡牌属性!$DX597)</f>
        <v>260</v>
      </c>
      <c r="FF597" s="14">
        <f>INDEX(属性偏向!$U$4:$U$243,(卡牌属性!$DV597-1+FF$3)*20+卡牌属性!$DX597)</f>
        <v>400</v>
      </c>
      <c r="FG597" s="14">
        <f>INDEX(属性偏向!$U$4:$U$243,(卡牌属性!$DV597-1+FG$3)*20+卡牌属性!$DX597)</f>
        <v>450</v>
      </c>
      <c r="FH597" s="14">
        <f>INDEX(属性投放!$BQ$6:$BQ$85,(卡牌属性!$DW597-2)*20+卡牌属性!$DX597)</f>
        <v>400</v>
      </c>
      <c r="FI597" s="14">
        <f>INDEX(属性投放!$BQ$6:$BQ$85,(卡牌属性!$DW597-2)*20+卡牌属性!$DX597)</f>
        <v>400</v>
      </c>
      <c r="FJ597" s="14">
        <f>INDEX(属性投放!$BQ$6:$BQ$85,(卡牌属性!$DW597-2)*20+卡牌属性!$DX597)</f>
        <v>400</v>
      </c>
      <c r="FK597" s="14">
        <f>INDEX(属性投放!$BQ$6:$BQ$85,(卡牌属性!$DW597-2)*20+卡牌属性!$DX597)</f>
        <v>400</v>
      </c>
      <c r="FL597" s="14">
        <f>INDEX(属性投放!$BQ$6:$BQ$85,(卡牌属性!$DW597-2)*20+卡牌属性!$DX597)</f>
        <v>400</v>
      </c>
      <c r="FM597" s="14">
        <f>INDEX(属性投放!$BR$6:$BR$85,(卡牌属性!$DW597-2)*20+卡牌属性!$DX597)</f>
        <v>200</v>
      </c>
      <c r="FN597" s="14">
        <f>INDEX(属性投放!$BR$6:$BR$85,(卡牌属性!$DW597-2)*20+卡牌属性!$DX597)</f>
        <v>200</v>
      </c>
      <c r="FO597" s="14">
        <f>INDEX(属性投放!$BR$6:$BR$85,(卡牌属性!$DW597-2)*20+卡牌属性!$DX597)</f>
        <v>200</v>
      </c>
      <c r="FP597" s="14">
        <f>INDEX(属性投放!$BR$6:$BR$85,(卡牌属性!$DW597-2)*20+卡牌属性!$DX597)</f>
        <v>200</v>
      </c>
      <c r="FQ597" s="14">
        <f>INDEX(属性投放!$BR$6:$BR$85,(卡牌属性!$DW597-2)*20+卡牌属性!$DX597)</f>
        <v>200</v>
      </c>
      <c r="FR597" s="14">
        <f>INDEX(属性投放!$BS$6:$BS$85,(卡牌属性!$DW597-2)*20+卡牌属性!$DX597)</f>
        <v>4000</v>
      </c>
      <c r="FS597" s="14">
        <f>INDEX(属性投放!$BS$6:$BS$85,(卡牌属性!$DW597-2)*20+卡牌属性!$DX597)</f>
        <v>4000</v>
      </c>
      <c r="FT597" s="14">
        <f>INDEX(属性投放!$BS$6:$BS$85,(卡牌属性!$DW597-2)*20+卡牌属性!$DX597)</f>
        <v>4000</v>
      </c>
      <c r="FU597" s="14">
        <f>INDEX(属性投放!$BS$6:$BS$85,(卡牌属性!$DW597-2)*20+卡牌属性!$DX597)</f>
        <v>4000</v>
      </c>
      <c r="FV597" s="14">
        <f>INDEX(属性投放!$BS$6:$BS$85,(卡牌属性!$DW597-2)*20+卡牌属性!$DX597)</f>
        <v>4000</v>
      </c>
    </row>
    <row r="598" spans="31:178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>
        <v>594</v>
      </c>
      <c r="BX598" s="13">
        <f t="shared" si="981"/>
        <v>30</v>
      </c>
      <c r="BY598" s="14">
        <f t="shared" si="982"/>
        <v>3</v>
      </c>
      <c r="BZ598" s="14">
        <f t="shared" si="1005"/>
        <v>1102998</v>
      </c>
      <c r="CA598" s="14" t="str">
        <f t="shared" si="1006"/>
        <v>SR守护灵14突</v>
      </c>
      <c r="CB598" s="25" t="s">
        <v>142</v>
      </c>
      <c r="CC598" s="14">
        <v>2</v>
      </c>
      <c r="CD598" s="14">
        <f t="shared" si="1003"/>
        <v>14</v>
      </c>
      <c r="CE598" s="14" t="s">
        <v>21</v>
      </c>
      <c r="CF598" s="14">
        <f>INDEX(属性投放!$AZ$6:$AZ$85,(BY598-2)*20+CD598)</f>
        <v>6791</v>
      </c>
      <c r="CG598" s="14" t="s">
        <v>22</v>
      </c>
      <c r="CH598" s="14">
        <f>INDEX(属性投放!$BA$6:$BA$85,(BY598-2)*20+CD598)</f>
        <v>3349</v>
      </c>
      <c r="CI598" s="14" t="s">
        <v>510</v>
      </c>
      <c r="CJ598" s="14">
        <f>INDEX(属性投放!$BB$6:$BB$85,(BY598-2)*20+CD598)</f>
        <v>57090</v>
      </c>
      <c r="CK598" s="14" t="s">
        <v>21</v>
      </c>
      <c r="CL598" s="14">
        <f>INDEX(属性投放!$BC$6:$BC$85,(BY598-2)*20+CD598)</f>
        <v>25</v>
      </c>
      <c r="CM598" s="14" t="s">
        <v>22</v>
      </c>
      <c r="CN598" s="14">
        <f>INDEX(属性投放!$BD$6:$BD$85,(BY598-2)*20+CD598)</f>
        <v>13</v>
      </c>
      <c r="CO598" s="14" t="s">
        <v>510</v>
      </c>
      <c r="CP598" s="14">
        <f>INDEX(属性投放!$BE$6:$BE$85,(BY598-2)*20+CD598)</f>
        <v>250</v>
      </c>
      <c r="CS598" s="13">
        <v>594</v>
      </c>
      <c r="CT598" s="13">
        <f t="shared" si="1007"/>
        <v>12</v>
      </c>
      <c r="CU598" s="13">
        <f t="shared" si="1008"/>
        <v>22</v>
      </c>
      <c r="CV598" s="14">
        <f t="shared" si="1009"/>
        <v>5</v>
      </c>
      <c r="CW598" s="14">
        <f t="shared" si="1010"/>
        <v>1102012</v>
      </c>
      <c r="CX598" s="14" t="str">
        <f>INDEX($O$6:$O$50,CT598)&amp;"-"&amp;INDEX(属性投放!$AB$7:$AB$50,CZ598)&amp;"-魂火-"&amp;DB598</f>
        <v>夏侯惇-大叫唤+1-魂火-1</v>
      </c>
      <c r="CY598" s="25" t="s">
        <v>142</v>
      </c>
      <c r="CZ598" s="14">
        <f>INDEX(属性投放!$AM$7:$AM$58,CU598)</f>
        <v>11</v>
      </c>
      <c r="DA598" s="14" t="s">
        <v>537</v>
      </c>
      <c r="DB598" s="14">
        <f>INDEX(属性投放!$AN$7:$AN$58,CU598)</f>
        <v>1</v>
      </c>
      <c r="DC598" s="14">
        <f t="shared" si="1004"/>
        <v>22</v>
      </c>
      <c r="DD598" s="14">
        <f>INDEX(属性投放!$AO$7:$AO$58,DC598)</f>
        <v>73</v>
      </c>
      <c r="DE598" s="14" t="s">
        <v>538</v>
      </c>
      <c r="DF598" s="14">
        <f>INDEX(属性投放!$BK$6:$BK$85,(CV598-2)*20+CZ598)</f>
        <v>200</v>
      </c>
      <c r="DG598" s="14">
        <f>SUMIFS(DF$5:DF598,$CT$5:$CT598,"="&amp;$CT598)</f>
        <v>2119</v>
      </c>
      <c r="DH598" s="14" t="s">
        <v>539</v>
      </c>
      <c r="DI598" s="14">
        <f>INDEX(属性投放!$BL$6:$BL$85,(CV598-2)*20+CZ598)</f>
        <v>100</v>
      </c>
      <c r="DJ598" s="14">
        <f>SUMIFS(DI$5:DI598,$CT$5:$CT598,"="&amp;$CT598)</f>
        <v>1062</v>
      </c>
      <c r="DK598" s="14" t="s">
        <v>540</v>
      </c>
      <c r="DL598" s="14">
        <f>INDEX(属性投放!$BM$6:$BM$85,(CV598-2)*20+CZ598)</f>
        <v>1800</v>
      </c>
      <c r="DM598" s="14">
        <f>SUMIFS(DL$5:DL598,$CT$5:$CT598,"="&amp;$CT598)</f>
        <v>16782</v>
      </c>
      <c r="DR598" s="14">
        <f t="shared" si="983"/>
        <v>1102998</v>
      </c>
      <c r="DS598" s="14" t="str">
        <f t="shared" si="984"/>
        <v>SR守护灵14突</v>
      </c>
      <c r="DT598" s="14">
        <f t="shared" si="1011"/>
        <v>5</v>
      </c>
      <c r="DU598" s="14">
        <f t="shared" si="1012"/>
        <v>5</v>
      </c>
      <c r="DV598" s="14">
        <f t="shared" si="1013"/>
        <v>5</v>
      </c>
      <c r="DW598" s="14">
        <f t="shared" si="985"/>
        <v>3</v>
      </c>
      <c r="DX598" s="14">
        <f t="shared" si="986"/>
        <v>14</v>
      </c>
      <c r="DY598" s="14">
        <f t="shared" si="987"/>
        <v>34</v>
      </c>
      <c r="DZ598" s="14">
        <f>INDEX(属性投放!$AX$6:$AX$85,(卡牌属性!DW598-2)*20+卡牌属性!DX598)</f>
        <v>7</v>
      </c>
      <c r="EA598" s="14">
        <f>INDEX(属性投放!BQ$6:BQ$85,卡牌属性!$DY598)</f>
        <v>450</v>
      </c>
      <c r="EB598" s="14">
        <f>INDEX(属性投放!BR$6:BR$85,卡牌属性!$DY598)</f>
        <v>225</v>
      </c>
      <c r="EC598" s="14">
        <f>INDEX(属性投放!BS$6:BS$85,卡牌属性!$DY598)</f>
        <v>4500</v>
      </c>
      <c r="ED598" s="14">
        <f t="shared" si="1014"/>
        <v>3621</v>
      </c>
      <c r="EE598" s="14">
        <f t="shared" si="1015"/>
        <v>3764</v>
      </c>
      <c r="EF598" s="14">
        <f t="shared" si="1016"/>
        <v>4483</v>
      </c>
      <c r="EG598" s="14">
        <f t="shared" si="1017"/>
        <v>4483</v>
      </c>
      <c r="EH598" s="14">
        <f t="shared" si="1018"/>
        <v>4825</v>
      </c>
      <c r="EI598" s="14">
        <f t="shared" si="1019"/>
        <v>1781</v>
      </c>
      <c r="EJ598" s="14">
        <f t="shared" si="1020"/>
        <v>1859</v>
      </c>
      <c r="EK598" s="14">
        <f t="shared" si="1021"/>
        <v>1859</v>
      </c>
      <c r="EL598" s="14">
        <f t="shared" si="1022"/>
        <v>2213</v>
      </c>
      <c r="EM598" s="14">
        <f t="shared" si="1023"/>
        <v>2392</v>
      </c>
      <c r="EN598" s="14">
        <f t="shared" si="1024"/>
        <v>29350</v>
      </c>
      <c r="EO598" s="14">
        <f t="shared" si="1025"/>
        <v>30364</v>
      </c>
      <c r="EP598" s="14">
        <f t="shared" si="1026"/>
        <v>30364</v>
      </c>
      <c r="EQ598" s="14">
        <f t="shared" si="1027"/>
        <v>36198</v>
      </c>
      <c r="ER598" s="14">
        <f t="shared" si="1028"/>
        <v>38792</v>
      </c>
      <c r="ES598" s="14">
        <f>INDEX(属性偏向!$S$4:$S$243,(卡牌属性!$DT598-1+ES$3)*20+卡牌属性!$DX598)</f>
        <v>25</v>
      </c>
      <c r="ET598" s="14">
        <f>INDEX(属性偏向!$S$4:$S$243,(卡牌属性!$DT598-1+ET$3)*20+卡牌属性!$DX598)</f>
        <v>26</v>
      </c>
      <c r="EU598" s="14">
        <f>INDEX(属性偏向!$S$4:$S$243,(卡牌属性!$DT598-1+EU$3)*20+卡牌属性!$DX598)</f>
        <v>40</v>
      </c>
      <c r="EV598" s="14">
        <f>INDEX(属性偏向!$S$4:$S$243,(卡牌属性!$DT598-1+EV$3)*20+卡牌属性!$DX598)</f>
        <v>40</v>
      </c>
      <c r="EW598" s="14">
        <f>INDEX(属性偏向!$S$4:$S$243,(卡牌属性!$DT598-1+EW$3)*20+卡牌属性!$DX598)</f>
        <v>45</v>
      </c>
      <c r="EX598" s="14">
        <f>INDEX(属性偏向!$T$4:$T$243,(卡牌属性!$DU598-1+EX$3)*20+卡牌属性!$DX598)</f>
        <v>13</v>
      </c>
      <c r="EY598" s="14">
        <f>INDEX(属性偏向!$T$4:$T$243,(卡牌属性!$DU598-1+EY$3)*20+卡牌属性!$DX598)</f>
        <v>13</v>
      </c>
      <c r="EZ598" s="14">
        <f>INDEX(属性偏向!$T$4:$T$243,(卡牌属性!$DU598-1+EZ$3)*20+卡牌属性!$DX598)</f>
        <v>13</v>
      </c>
      <c r="FA598" s="14">
        <f>INDEX(属性偏向!$T$4:$T$243,(卡牌属性!$DU598-1+FA$3)*20+卡牌属性!$DX598)</f>
        <v>20</v>
      </c>
      <c r="FB598" s="14">
        <f>INDEX(属性偏向!$T$4:$T$243,(卡牌属性!$DU598-1+FB$3)*20+卡牌属性!$DX598)</f>
        <v>23</v>
      </c>
      <c r="FC598" s="14">
        <f>INDEX(属性偏向!$U$4:$U$243,(卡牌属性!$DV598-1+FC$3)*20+卡牌属性!$DX598)</f>
        <v>250</v>
      </c>
      <c r="FD598" s="14">
        <f>INDEX(属性偏向!$U$4:$U$243,(卡牌属性!$DV598-1+FD$3)*20+卡牌属性!$DX598)</f>
        <v>260</v>
      </c>
      <c r="FE598" s="14">
        <f>INDEX(属性偏向!$U$4:$U$243,(卡牌属性!$DV598-1+FE$3)*20+卡牌属性!$DX598)</f>
        <v>260</v>
      </c>
      <c r="FF598" s="14">
        <f>INDEX(属性偏向!$U$4:$U$243,(卡牌属性!$DV598-1+FF$3)*20+卡牌属性!$DX598)</f>
        <v>400</v>
      </c>
      <c r="FG598" s="14">
        <f>INDEX(属性偏向!$U$4:$U$243,(卡牌属性!$DV598-1+FG$3)*20+卡牌属性!$DX598)</f>
        <v>450</v>
      </c>
      <c r="FH598" s="14">
        <f>INDEX(属性投放!$BQ$6:$BQ$85,(卡牌属性!$DW598-2)*20+卡牌属性!$DX598)</f>
        <v>450</v>
      </c>
      <c r="FI598" s="14">
        <f>INDEX(属性投放!$BQ$6:$BQ$85,(卡牌属性!$DW598-2)*20+卡牌属性!$DX598)</f>
        <v>450</v>
      </c>
      <c r="FJ598" s="14">
        <f>INDEX(属性投放!$BQ$6:$BQ$85,(卡牌属性!$DW598-2)*20+卡牌属性!$DX598)</f>
        <v>450</v>
      </c>
      <c r="FK598" s="14">
        <f>INDEX(属性投放!$BQ$6:$BQ$85,(卡牌属性!$DW598-2)*20+卡牌属性!$DX598)</f>
        <v>450</v>
      </c>
      <c r="FL598" s="14">
        <f>INDEX(属性投放!$BQ$6:$BQ$85,(卡牌属性!$DW598-2)*20+卡牌属性!$DX598)</f>
        <v>450</v>
      </c>
      <c r="FM598" s="14">
        <f>INDEX(属性投放!$BR$6:$BR$85,(卡牌属性!$DW598-2)*20+卡牌属性!$DX598)</f>
        <v>225</v>
      </c>
      <c r="FN598" s="14">
        <f>INDEX(属性投放!$BR$6:$BR$85,(卡牌属性!$DW598-2)*20+卡牌属性!$DX598)</f>
        <v>225</v>
      </c>
      <c r="FO598" s="14">
        <f>INDEX(属性投放!$BR$6:$BR$85,(卡牌属性!$DW598-2)*20+卡牌属性!$DX598)</f>
        <v>225</v>
      </c>
      <c r="FP598" s="14">
        <f>INDEX(属性投放!$BR$6:$BR$85,(卡牌属性!$DW598-2)*20+卡牌属性!$DX598)</f>
        <v>225</v>
      </c>
      <c r="FQ598" s="14">
        <f>INDEX(属性投放!$BR$6:$BR$85,(卡牌属性!$DW598-2)*20+卡牌属性!$DX598)</f>
        <v>225</v>
      </c>
      <c r="FR598" s="14">
        <f>INDEX(属性投放!$BS$6:$BS$85,(卡牌属性!$DW598-2)*20+卡牌属性!$DX598)</f>
        <v>4500</v>
      </c>
      <c r="FS598" s="14">
        <f>INDEX(属性投放!$BS$6:$BS$85,(卡牌属性!$DW598-2)*20+卡牌属性!$DX598)</f>
        <v>4500</v>
      </c>
      <c r="FT598" s="14">
        <f>INDEX(属性投放!$BS$6:$BS$85,(卡牌属性!$DW598-2)*20+卡牌属性!$DX598)</f>
        <v>4500</v>
      </c>
      <c r="FU598" s="14">
        <f>INDEX(属性投放!$BS$6:$BS$85,(卡牌属性!$DW598-2)*20+卡牌属性!$DX598)</f>
        <v>4500</v>
      </c>
      <c r="FV598" s="14">
        <f>INDEX(属性投放!$BS$6:$BS$85,(卡牌属性!$DW598-2)*20+卡牌属性!$DX598)</f>
        <v>4500</v>
      </c>
    </row>
    <row r="599" spans="31:178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>
        <v>595</v>
      </c>
      <c r="BX599" s="13">
        <f t="shared" si="981"/>
        <v>30</v>
      </c>
      <c r="BY599" s="14">
        <f t="shared" si="982"/>
        <v>3</v>
      </c>
      <c r="BZ599" s="14">
        <f t="shared" si="1005"/>
        <v>1102998</v>
      </c>
      <c r="CA599" s="14" t="str">
        <f t="shared" si="1006"/>
        <v>SR守护灵15突</v>
      </c>
      <c r="CB599" s="25" t="s">
        <v>142</v>
      </c>
      <c r="CC599" s="14">
        <v>2</v>
      </c>
      <c r="CD599" s="14">
        <f t="shared" si="1003"/>
        <v>15</v>
      </c>
      <c r="CE599" s="14" t="s">
        <v>21</v>
      </c>
      <c r="CF599" s="14">
        <f>INDEX(属性投放!$AZ$6:$AZ$85,(BY599-2)*20+CD599)</f>
        <v>8316</v>
      </c>
      <c r="CG599" s="14" t="s">
        <v>22</v>
      </c>
      <c r="CH599" s="14">
        <f>INDEX(属性投放!$BA$6:$BA$85,(BY599-2)*20+CD599)</f>
        <v>4115</v>
      </c>
      <c r="CI599" s="14" t="s">
        <v>510</v>
      </c>
      <c r="CJ599" s="14">
        <f>INDEX(属性投放!$BB$6:$BB$85,(BY599-2)*20+CD599)</f>
        <v>72340</v>
      </c>
      <c r="CK599" s="14" t="s">
        <v>21</v>
      </c>
      <c r="CL599" s="14">
        <f>INDEX(属性投放!$BC$6:$BC$85,(BY599-2)*20+CD599)</f>
        <v>25</v>
      </c>
      <c r="CM599" s="14" t="s">
        <v>22</v>
      </c>
      <c r="CN599" s="14">
        <f>INDEX(属性投放!$BD$6:$BD$85,(BY599-2)*20+CD599)</f>
        <v>13</v>
      </c>
      <c r="CO599" s="14" t="s">
        <v>510</v>
      </c>
      <c r="CP599" s="14">
        <f>INDEX(属性投放!$BE$6:$BE$85,(BY599-2)*20+CD599)</f>
        <v>250</v>
      </c>
      <c r="CS599" s="13">
        <v>595</v>
      </c>
      <c r="CT599" s="13">
        <f t="shared" si="1007"/>
        <v>12</v>
      </c>
      <c r="CU599" s="13">
        <f t="shared" si="1008"/>
        <v>23</v>
      </c>
      <c r="CV599" s="14">
        <f t="shared" si="1009"/>
        <v>5</v>
      </c>
      <c r="CW599" s="14">
        <f t="shared" si="1010"/>
        <v>1102012</v>
      </c>
      <c r="CX599" s="14" t="str">
        <f>INDEX($O$6:$O$50,CT599)&amp;"-"&amp;INDEX(属性投放!$AB$7:$AB$50,CZ599)&amp;"-魂火-"&amp;DB599</f>
        <v>夏侯惇-大叫唤+1-魂火-2</v>
      </c>
      <c r="CY599" s="25" t="s">
        <v>142</v>
      </c>
      <c r="CZ599" s="14">
        <f>INDEX(属性投放!$AM$7:$AM$58,CU599)</f>
        <v>11</v>
      </c>
      <c r="DA599" s="14" t="s">
        <v>537</v>
      </c>
      <c r="DB599" s="14">
        <f>INDEX(属性投放!$AN$7:$AN$58,CU599)</f>
        <v>2</v>
      </c>
      <c r="DC599" s="14">
        <f t="shared" si="1004"/>
        <v>23</v>
      </c>
      <c r="DD599" s="14">
        <f>INDEX(属性投放!$AO$7:$AO$58,DC599)</f>
        <v>75</v>
      </c>
      <c r="DE599" s="14" t="s">
        <v>538</v>
      </c>
      <c r="DF599" s="14">
        <f>INDEX(属性投放!$BK$6:$BK$85,(CV599-2)*20+CZ599)</f>
        <v>200</v>
      </c>
      <c r="DG599" s="14">
        <f>SUMIFS(DF$5:DF599,$CT$5:$CT599,"="&amp;$CT599)</f>
        <v>2319</v>
      </c>
      <c r="DH599" s="14" t="s">
        <v>539</v>
      </c>
      <c r="DI599" s="14">
        <f>INDEX(属性投放!$BL$6:$BL$85,(CV599-2)*20+CZ599)</f>
        <v>100</v>
      </c>
      <c r="DJ599" s="14">
        <f>SUMIFS(DI$5:DI599,$CT$5:$CT599,"="&amp;$CT599)</f>
        <v>1162</v>
      </c>
      <c r="DK599" s="14" t="s">
        <v>540</v>
      </c>
      <c r="DL599" s="14">
        <f>INDEX(属性投放!$BM$6:$BM$85,(CV599-2)*20+CZ599)</f>
        <v>1800</v>
      </c>
      <c r="DM599" s="14">
        <f>SUMIFS(DL$5:DL599,$CT$5:$CT599,"="&amp;$CT599)</f>
        <v>18582</v>
      </c>
      <c r="DR599" s="14">
        <f t="shared" si="983"/>
        <v>1102998</v>
      </c>
      <c r="DS599" s="14" t="str">
        <f t="shared" si="984"/>
        <v>SR守护灵15突</v>
      </c>
      <c r="DT599" s="14">
        <f t="shared" si="1011"/>
        <v>5</v>
      </c>
      <c r="DU599" s="14">
        <f t="shared" si="1012"/>
        <v>5</v>
      </c>
      <c r="DV599" s="14">
        <f t="shared" si="1013"/>
        <v>5</v>
      </c>
      <c r="DW599" s="14">
        <f t="shared" si="985"/>
        <v>3</v>
      </c>
      <c r="DX599" s="14">
        <f t="shared" si="986"/>
        <v>15</v>
      </c>
      <c r="DY599" s="14">
        <f t="shared" si="987"/>
        <v>35</v>
      </c>
      <c r="DZ599" s="14">
        <f>INDEX(属性投放!$AX$6:$AX$85,(卡牌属性!DW599-2)*20+卡牌属性!DX599)</f>
        <v>8</v>
      </c>
      <c r="EA599" s="14">
        <f>INDEX(属性投放!BQ$6:BQ$85,卡牌属性!$DY599)</f>
        <v>750</v>
      </c>
      <c r="EB599" s="14">
        <f>INDEX(属性投放!BR$6:BR$85,卡牌属性!$DY599)</f>
        <v>375</v>
      </c>
      <c r="EC599" s="14">
        <f>INDEX(属性投放!BS$6:BS$85,卡牌属性!$DY599)</f>
        <v>7500</v>
      </c>
      <c r="ED599" s="14">
        <f t="shared" si="1014"/>
        <v>4246</v>
      </c>
      <c r="EE599" s="14">
        <f t="shared" si="1015"/>
        <v>4396</v>
      </c>
      <c r="EF599" s="14">
        <f t="shared" si="1016"/>
        <v>5213</v>
      </c>
      <c r="EG599" s="14">
        <f t="shared" si="1017"/>
        <v>5213</v>
      </c>
      <c r="EH599" s="14">
        <f t="shared" si="1018"/>
        <v>5590</v>
      </c>
      <c r="EI599" s="14">
        <f t="shared" si="1019"/>
        <v>2097</v>
      </c>
      <c r="EJ599" s="14">
        <f t="shared" si="1020"/>
        <v>2175</v>
      </c>
      <c r="EK599" s="14">
        <f t="shared" si="1021"/>
        <v>2175</v>
      </c>
      <c r="EL599" s="14">
        <f t="shared" si="1022"/>
        <v>2578</v>
      </c>
      <c r="EM599" s="14">
        <f t="shared" si="1023"/>
        <v>2778</v>
      </c>
      <c r="EN599" s="14">
        <f t="shared" si="1024"/>
        <v>35600</v>
      </c>
      <c r="EO599" s="14">
        <f t="shared" si="1025"/>
        <v>36684</v>
      </c>
      <c r="EP599" s="14">
        <f t="shared" si="1026"/>
        <v>36684</v>
      </c>
      <c r="EQ599" s="14">
        <f t="shared" si="1027"/>
        <v>43498</v>
      </c>
      <c r="ER599" s="14">
        <f t="shared" si="1028"/>
        <v>46442</v>
      </c>
      <c r="ES599" s="14">
        <f>INDEX(属性偏向!$S$4:$S$243,(卡牌属性!$DT599-1+ES$3)*20+卡牌属性!$DX599)</f>
        <v>25</v>
      </c>
      <c r="ET599" s="14">
        <f>INDEX(属性偏向!$S$4:$S$243,(卡牌属性!$DT599-1+ET$3)*20+卡牌属性!$DX599)</f>
        <v>26</v>
      </c>
      <c r="EU599" s="14">
        <f>INDEX(属性偏向!$S$4:$S$243,(卡牌属性!$DT599-1+EU$3)*20+卡牌属性!$DX599)</f>
        <v>40</v>
      </c>
      <c r="EV599" s="14">
        <f>INDEX(属性偏向!$S$4:$S$243,(卡牌属性!$DT599-1+EV$3)*20+卡牌属性!$DX599)</f>
        <v>40</v>
      </c>
      <c r="EW599" s="14">
        <f>INDEX(属性偏向!$S$4:$S$243,(卡牌属性!$DT599-1+EW$3)*20+卡牌属性!$DX599)</f>
        <v>45</v>
      </c>
      <c r="EX599" s="14">
        <f>INDEX(属性偏向!$T$4:$T$243,(卡牌属性!$DU599-1+EX$3)*20+卡牌属性!$DX599)</f>
        <v>13</v>
      </c>
      <c r="EY599" s="14">
        <f>INDEX(属性偏向!$T$4:$T$243,(卡牌属性!$DU599-1+EY$3)*20+卡牌属性!$DX599)</f>
        <v>13</v>
      </c>
      <c r="EZ599" s="14">
        <f>INDEX(属性偏向!$T$4:$T$243,(卡牌属性!$DU599-1+EZ$3)*20+卡牌属性!$DX599)</f>
        <v>13</v>
      </c>
      <c r="FA599" s="14">
        <f>INDEX(属性偏向!$T$4:$T$243,(卡牌属性!$DU599-1+FA$3)*20+卡牌属性!$DX599)</f>
        <v>20</v>
      </c>
      <c r="FB599" s="14">
        <f>INDEX(属性偏向!$T$4:$T$243,(卡牌属性!$DU599-1+FB$3)*20+卡牌属性!$DX599)</f>
        <v>23</v>
      </c>
      <c r="FC599" s="14">
        <f>INDEX(属性偏向!$U$4:$U$243,(卡牌属性!$DV599-1+FC$3)*20+卡牌属性!$DX599)</f>
        <v>250</v>
      </c>
      <c r="FD599" s="14">
        <f>INDEX(属性偏向!$U$4:$U$243,(卡牌属性!$DV599-1+FD$3)*20+卡牌属性!$DX599)</f>
        <v>260</v>
      </c>
      <c r="FE599" s="14">
        <f>INDEX(属性偏向!$U$4:$U$243,(卡牌属性!$DV599-1+FE$3)*20+卡牌属性!$DX599)</f>
        <v>260</v>
      </c>
      <c r="FF599" s="14">
        <f>INDEX(属性偏向!$U$4:$U$243,(卡牌属性!$DV599-1+FF$3)*20+卡牌属性!$DX599)</f>
        <v>400</v>
      </c>
      <c r="FG599" s="14">
        <f>INDEX(属性偏向!$U$4:$U$243,(卡牌属性!$DV599-1+FG$3)*20+卡牌属性!$DX599)</f>
        <v>450</v>
      </c>
      <c r="FH599" s="14">
        <f>INDEX(属性投放!$BQ$6:$BQ$85,(卡牌属性!$DW599-2)*20+卡牌属性!$DX599)</f>
        <v>750</v>
      </c>
      <c r="FI599" s="14">
        <f>INDEX(属性投放!$BQ$6:$BQ$85,(卡牌属性!$DW599-2)*20+卡牌属性!$DX599)</f>
        <v>750</v>
      </c>
      <c r="FJ599" s="14">
        <f>INDEX(属性投放!$BQ$6:$BQ$85,(卡牌属性!$DW599-2)*20+卡牌属性!$DX599)</f>
        <v>750</v>
      </c>
      <c r="FK599" s="14">
        <f>INDEX(属性投放!$BQ$6:$BQ$85,(卡牌属性!$DW599-2)*20+卡牌属性!$DX599)</f>
        <v>750</v>
      </c>
      <c r="FL599" s="14">
        <f>INDEX(属性投放!$BQ$6:$BQ$85,(卡牌属性!$DW599-2)*20+卡牌属性!$DX599)</f>
        <v>750</v>
      </c>
      <c r="FM599" s="14">
        <f>INDEX(属性投放!$BR$6:$BR$85,(卡牌属性!$DW599-2)*20+卡牌属性!$DX599)</f>
        <v>375</v>
      </c>
      <c r="FN599" s="14">
        <f>INDEX(属性投放!$BR$6:$BR$85,(卡牌属性!$DW599-2)*20+卡牌属性!$DX599)</f>
        <v>375</v>
      </c>
      <c r="FO599" s="14">
        <f>INDEX(属性投放!$BR$6:$BR$85,(卡牌属性!$DW599-2)*20+卡牌属性!$DX599)</f>
        <v>375</v>
      </c>
      <c r="FP599" s="14">
        <f>INDEX(属性投放!$BR$6:$BR$85,(卡牌属性!$DW599-2)*20+卡牌属性!$DX599)</f>
        <v>375</v>
      </c>
      <c r="FQ599" s="14">
        <f>INDEX(属性投放!$BR$6:$BR$85,(卡牌属性!$DW599-2)*20+卡牌属性!$DX599)</f>
        <v>375</v>
      </c>
      <c r="FR599" s="14">
        <f>INDEX(属性投放!$BS$6:$BS$85,(卡牌属性!$DW599-2)*20+卡牌属性!$DX599)</f>
        <v>7500</v>
      </c>
      <c r="FS599" s="14">
        <f>INDEX(属性投放!$BS$6:$BS$85,(卡牌属性!$DW599-2)*20+卡牌属性!$DX599)</f>
        <v>7500</v>
      </c>
      <c r="FT599" s="14">
        <f>INDEX(属性投放!$BS$6:$BS$85,(卡牌属性!$DW599-2)*20+卡牌属性!$DX599)</f>
        <v>7500</v>
      </c>
      <c r="FU599" s="14">
        <f>INDEX(属性投放!$BS$6:$BS$85,(卡牌属性!$DW599-2)*20+卡牌属性!$DX599)</f>
        <v>7500</v>
      </c>
      <c r="FV599" s="14">
        <f>INDEX(属性投放!$BS$6:$BS$85,(卡牌属性!$DW599-2)*20+卡牌属性!$DX599)</f>
        <v>7500</v>
      </c>
    </row>
    <row r="600" spans="31:178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>
        <v>596</v>
      </c>
      <c r="BX600" s="13">
        <f t="shared" si="981"/>
        <v>30</v>
      </c>
      <c r="BY600" s="14">
        <f t="shared" si="982"/>
        <v>3</v>
      </c>
      <c r="BZ600" s="14">
        <f t="shared" si="1005"/>
        <v>1102998</v>
      </c>
      <c r="CA600" s="14" t="str">
        <f t="shared" si="1006"/>
        <v>SR守护灵16突</v>
      </c>
      <c r="CB600" s="25" t="s">
        <v>142</v>
      </c>
      <c r="CC600" s="14">
        <v>2</v>
      </c>
      <c r="CD600" s="14">
        <f t="shared" si="1003"/>
        <v>16</v>
      </c>
      <c r="CE600" s="14" t="s">
        <v>21</v>
      </c>
      <c r="CF600" s="14">
        <f>INDEX(属性投放!$AZ$6:$AZ$85,(BY600-2)*20+CD600)</f>
        <v>10466</v>
      </c>
      <c r="CG600" s="14" t="s">
        <v>22</v>
      </c>
      <c r="CH600" s="14">
        <f>INDEX(属性投放!$BA$6:$BA$85,(BY600-2)*20+CD600)</f>
        <v>5194</v>
      </c>
      <c r="CI600" s="14" t="s">
        <v>510</v>
      </c>
      <c r="CJ600" s="14">
        <f>INDEX(属性投放!$BB$6:$BB$85,(BY600-2)*20+CD600)</f>
        <v>93840</v>
      </c>
      <c r="CK600" s="14" t="s">
        <v>21</v>
      </c>
      <c r="CL600" s="14">
        <f>INDEX(属性投放!$BC$6:$BC$85,(BY600-2)*20+CD600)</f>
        <v>30</v>
      </c>
      <c r="CM600" s="14" t="s">
        <v>22</v>
      </c>
      <c r="CN600" s="14">
        <f>INDEX(属性投放!$BD$6:$BD$85,(BY600-2)*20+CD600)</f>
        <v>15</v>
      </c>
      <c r="CO600" s="14" t="s">
        <v>510</v>
      </c>
      <c r="CP600" s="14">
        <f>INDEX(属性投放!$BE$6:$BE$85,(BY600-2)*20+CD600)</f>
        <v>300</v>
      </c>
      <c r="CS600" s="13">
        <v>596</v>
      </c>
      <c r="CT600" s="13">
        <f t="shared" si="1007"/>
        <v>12</v>
      </c>
      <c r="CU600" s="13">
        <f t="shared" si="1008"/>
        <v>24</v>
      </c>
      <c r="CV600" s="14">
        <f t="shared" si="1009"/>
        <v>5</v>
      </c>
      <c r="CW600" s="14">
        <f t="shared" si="1010"/>
        <v>1102012</v>
      </c>
      <c r="CX600" s="14" t="str">
        <f>INDEX($O$6:$O$50,CT600)&amp;"-"&amp;INDEX(属性投放!$AB$7:$AB$50,CZ600)&amp;"-魂火-"&amp;DB600</f>
        <v>夏侯惇-大叫唤+1-魂火-3</v>
      </c>
      <c r="CY600" s="25" t="s">
        <v>142</v>
      </c>
      <c r="CZ600" s="14">
        <f>INDEX(属性投放!$AM$7:$AM$58,CU600)</f>
        <v>11</v>
      </c>
      <c r="DA600" s="14" t="s">
        <v>537</v>
      </c>
      <c r="DB600" s="14">
        <f>INDEX(属性投放!$AN$7:$AN$58,CU600)</f>
        <v>3</v>
      </c>
      <c r="DC600" s="14">
        <f t="shared" si="1004"/>
        <v>24</v>
      </c>
      <c r="DD600" s="14">
        <f>INDEX(属性投放!$AO$7:$AO$58,DC600)</f>
        <v>78</v>
      </c>
      <c r="DE600" s="14" t="s">
        <v>538</v>
      </c>
      <c r="DF600" s="14">
        <f>INDEX(属性投放!$BK$6:$BK$85,(CV600-2)*20+CZ600)</f>
        <v>200</v>
      </c>
      <c r="DG600" s="14">
        <f>SUMIFS(DF$5:DF600,$CT$5:$CT600,"="&amp;$CT600)</f>
        <v>2519</v>
      </c>
      <c r="DH600" s="14" t="s">
        <v>539</v>
      </c>
      <c r="DI600" s="14">
        <f>INDEX(属性投放!$BL$6:$BL$85,(CV600-2)*20+CZ600)</f>
        <v>100</v>
      </c>
      <c r="DJ600" s="14">
        <f>SUMIFS(DI$5:DI600,$CT$5:$CT600,"="&amp;$CT600)</f>
        <v>1262</v>
      </c>
      <c r="DK600" s="14" t="s">
        <v>540</v>
      </c>
      <c r="DL600" s="14">
        <f>INDEX(属性投放!$BM$6:$BM$85,(CV600-2)*20+CZ600)</f>
        <v>1800</v>
      </c>
      <c r="DM600" s="14">
        <f>SUMIFS(DL$5:DL600,$CT$5:$CT600,"="&amp;$CT600)</f>
        <v>20382</v>
      </c>
      <c r="DR600" s="14">
        <f t="shared" si="983"/>
        <v>1102998</v>
      </c>
      <c r="DS600" s="14" t="str">
        <f t="shared" si="984"/>
        <v>SR守护灵16突</v>
      </c>
      <c r="DT600" s="14">
        <f t="shared" si="1011"/>
        <v>5</v>
      </c>
      <c r="DU600" s="14">
        <f t="shared" si="1012"/>
        <v>5</v>
      </c>
      <c r="DV600" s="14">
        <f t="shared" si="1013"/>
        <v>5</v>
      </c>
      <c r="DW600" s="14">
        <f t="shared" si="985"/>
        <v>3</v>
      </c>
      <c r="DX600" s="14">
        <f t="shared" si="986"/>
        <v>16</v>
      </c>
      <c r="DY600" s="14">
        <f t="shared" si="987"/>
        <v>36</v>
      </c>
      <c r="DZ600" s="14">
        <f>INDEX(属性投放!$AX$6:$AX$85,(卡牌属性!DW600-2)*20+卡牌属性!DX600)</f>
        <v>7</v>
      </c>
      <c r="EA600" s="14">
        <f>INDEX(属性投放!BQ$6:BQ$85,卡牌属性!$DY600)</f>
        <v>800</v>
      </c>
      <c r="EB600" s="14">
        <f>INDEX(属性投放!BR$6:BR$85,卡牌属性!$DY600)</f>
        <v>400</v>
      </c>
      <c r="EC600" s="14">
        <f>INDEX(属性投放!BS$6:BS$85,卡牌属性!$DY600)</f>
        <v>8000</v>
      </c>
      <c r="ED600" s="14">
        <f t="shared" si="1014"/>
        <v>5196</v>
      </c>
      <c r="EE600" s="14">
        <f t="shared" si="1015"/>
        <v>5354</v>
      </c>
      <c r="EF600" s="14">
        <f t="shared" si="1016"/>
        <v>6283</v>
      </c>
      <c r="EG600" s="14">
        <f t="shared" si="1017"/>
        <v>6283</v>
      </c>
      <c r="EH600" s="14">
        <f t="shared" si="1018"/>
        <v>6700</v>
      </c>
      <c r="EI600" s="14">
        <f t="shared" si="1019"/>
        <v>2576</v>
      </c>
      <c r="EJ600" s="14">
        <f t="shared" si="1020"/>
        <v>2654</v>
      </c>
      <c r="EK600" s="14">
        <f t="shared" si="1021"/>
        <v>2654</v>
      </c>
      <c r="EL600" s="14">
        <f t="shared" si="1022"/>
        <v>3113</v>
      </c>
      <c r="EM600" s="14">
        <f t="shared" si="1023"/>
        <v>3337</v>
      </c>
      <c r="EN600" s="14">
        <f t="shared" si="1024"/>
        <v>45100</v>
      </c>
      <c r="EO600" s="14">
        <f t="shared" si="1025"/>
        <v>46264</v>
      </c>
      <c r="EP600" s="14">
        <f t="shared" si="1026"/>
        <v>46264</v>
      </c>
      <c r="EQ600" s="14">
        <f t="shared" si="1027"/>
        <v>54198</v>
      </c>
      <c r="ER600" s="14">
        <f t="shared" si="1028"/>
        <v>57542</v>
      </c>
      <c r="ES600" s="14">
        <f>INDEX(属性偏向!$S$4:$S$243,(卡牌属性!$DT600-1+ES$3)*20+卡牌属性!$DX600)</f>
        <v>30</v>
      </c>
      <c r="ET600" s="14">
        <f>INDEX(属性偏向!$S$4:$S$243,(卡牌属性!$DT600-1+ET$3)*20+卡牌属性!$DX600)</f>
        <v>35</v>
      </c>
      <c r="EU600" s="14">
        <f>INDEX(属性偏向!$S$4:$S$243,(卡牌属性!$DT600-1+EU$3)*20+卡牌属性!$DX600)</f>
        <v>50</v>
      </c>
      <c r="EV600" s="14">
        <f>INDEX(属性偏向!$S$4:$S$243,(卡牌属性!$DT600-1+EV$3)*20+卡牌属性!$DX600)</f>
        <v>50</v>
      </c>
      <c r="EW600" s="14">
        <f>INDEX(属性偏向!$S$4:$S$243,(卡牌属性!$DT600-1+EW$3)*20+卡牌属性!$DX600)</f>
        <v>60</v>
      </c>
      <c r="EX600" s="14">
        <f>INDEX(属性偏向!$T$4:$T$243,(卡牌属性!$DU600-1+EX$3)*20+卡牌属性!$DX600)</f>
        <v>15</v>
      </c>
      <c r="EY600" s="14">
        <f>INDEX(属性偏向!$T$4:$T$243,(卡牌属性!$DU600-1+EY$3)*20+卡牌属性!$DX600)</f>
        <v>18</v>
      </c>
      <c r="EZ600" s="14">
        <f>INDEX(属性偏向!$T$4:$T$243,(卡牌属性!$DU600-1+EZ$3)*20+卡牌属性!$DX600)</f>
        <v>18</v>
      </c>
      <c r="FA600" s="14">
        <f>INDEX(属性偏向!$T$4:$T$243,(卡牌属性!$DU600-1+FA$3)*20+卡牌属性!$DX600)</f>
        <v>25</v>
      </c>
      <c r="FB600" s="14">
        <f>INDEX(属性偏向!$T$4:$T$243,(卡牌属性!$DU600-1+FB$3)*20+卡牌属性!$DX600)</f>
        <v>30</v>
      </c>
      <c r="FC600" s="14">
        <f>INDEX(属性偏向!$U$4:$U$243,(卡牌属性!$DV600-1+FC$3)*20+卡牌属性!$DX600)</f>
        <v>300</v>
      </c>
      <c r="FD600" s="14">
        <f>INDEX(属性偏向!$U$4:$U$243,(卡牌属性!$DV600-1+FD$3)*20+卡牌属性!$DX600)</f>
        <v>350</v>
      </c>
      <c r="FE600" s="14">
        <f>INDEX(属性偏向!$U$4:$U$243,(卡牌属性!$DV600-1+FE$3)*20+卡牌属性!$DX600)</f>
        <v>350</v>
      </c>
      <c r="FF600" s="14">
        <f>INDEX(属性偏向!$U$4:$U$243,(卡牌属性!$DV600-1+FF$3)*20+卡牌属性!$DX600)</f>
        <v>500</v>
      </c>
      <c r="FG600" s="14">
        <f>INDEX(属性偏向!$U$4:$U$243,(卡牌属性!$DV600-1+FG$3)*20+卡牌属性!$DX600)</f>
        <v>600</v>
      </c>
      <c r="FH600" s="14">
        <f>INDEX(属性投放!$BQ$6:$BQ$85,(卡牌属性!$DW600-2)*20+卡牌属性!$DX600)</f>
        <v>800</v>
      </c>
      <c r="FI600" s="14">
        <f>INDEX(属性投放!$BQ$6:$BQ$85,(卡牌属性!$DW600-2)*20+卡牌属性!$DX600)</f>
        <v>800</v>
      </c>
      <c r="FJ600" s="14">
        <f>INDEX(属性投放!$BQ$6:$BQ$85,(卡牌属性!$DW600-2)*20+卡牌属性!$DX600)</f>
        <v>800</v>
      </c>
      <c r="FK600" s="14">
        <f>INDEX(属性投放!$BQ$6:$BQ$85,(卡牌属性!$DW600-2)*20+卡牌属性!$DX600)</f>
        <v>800</v>
      </c>
      <c r="FL600" s="14">
        <f>INDEX(属性投放!$BQ$6:$BQ$85,(卡牌属性!$DW600-2)*20+卡牌属性!$DX600)</f>
        <v>800</v>
      </c>
      <c r="FM600" s="14">
        <f>INDEX(属性投放!$BR$6:$BR$85,(卡牌属性!$DW600-2)*20+卡牌属性!$DX600)</f>
        <v>400</v>
      </c>
      <c r="FN600" s="14">
        <f>INDEX(属性投放!$BR$6:$BR$85,(卡牌属性!$DW600-2)*20+卡牌属性!$DX600)</f>
        <v>400</v>
      </c>
      <c r="FO600" s="14">
        <f>INDEX(属性投放!$BR$6:$BR$85,(卡牌属性!$DW600-2)*20+卡牌属性!$DX600)</f>
        <v>400</v>
      </c>
      <c r="FP600" s="14">
        <f>INDEX(属性投放!$BR$6:$BR$85,(卡牌属性!$DW600-2)*20+卡牌属性!$DX600)</f>
        <v>400</v>
      </c>
      <c r="FQ600" s="14">
        <f>INDEX(属性投放!$BR$6:$BR$85,(卡牌属性!$DW600-2)*20+卡牌属性!$DX600)</f>
        <v>400</v>
      </c>
      <c r="FR600" s="14">
        <f>INDEX(属性投放!$BS$6:$BS$85,(卡牌属性!$DW600-2)*20+卡牌属性!$DX600)</f>
        <v>8000</v>
      </c>
      <c r="FS600" s="14">
        <f>INDEX(属性投放!$BS$6:$BS$85,(卡牌属性!$DW600-2)*20+卡牌属性!$DX600)</f>
        <v>8000</v>
      </c>
      <c r="FT600" s="14">
        <f>INDEX(属性投放!$BS$6:$BS$85,(卡牌属性!$DW600-2)*20+卡牌属性!$DX600)</f>
        <v>8000</v>
      </c>
      <c r="FU600" s="14">
        <f>INDEX(属性投放!$BS$6:$BS$85,(卡牌属性!$DW600-2)*20+卡牌属性!$DX600)</f>
        <v>8000</v>
      </c>
      <c r="FV600" s="14">
        <f>INDEX(属性投放!$BS$6:$BS$85,(卡牌属性!$DW600-2)*20+卡牌属性!$DX600)</f>
        <v>8000</v>
      </c>
    </row>
    <row r="601" spans="31:178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>
        <v>597</v>
      </c>
      <c r="BX601" s="13">
        <f t="shared" si="981"/>
        <v>30</v>
      </c>
      <c r="BY601" s="14">
        <f t="shared" si="982"/>
        <v>3</v>
      </c>
      <c r="BZ601" s="14">
        <f t="shared" si="1005"/>
        <v>1102998</v>
      </c>
      <c r="CA601" s="14" t="str">
        <f t="shared" si="1006"/>
        <v>SR守护灵17突</v>
      </c>
      <c r="CB601" s="25" t="s">
        <v>142</v>
      </c>
      <c r="CC601" s="14">
        <v>2</v>
      </c>
      <c r="CD601" s="14">
        <f t="shared" si="1003"/>
        <v>17</v>
      </c>
      <c r="CE601" s="14" t="s">
        <v>21</v>
      </c>
      <c r="CF601" s="14">
        <f>INDEX(属性投放!$AZ$6:$AZ$85,(BY601-2)*20+CD601)</f>
        <v>12976</v>
      </c>
      <c r="CG601" s="14" t="s">
        <v>22</v>
      </c>
      <c r="CH601" s="14">
        <f>INDEX(属性投放!$BA$6:$BA$85,(BY601-2)*20+CD601)</f>
        <v>6449</v>
      </c>
      <c r="CI601" s="14" t="s">
        <v>510</v>
      </c>
      <c r="CJ601" s="14">
        <f>INDEX(属性投放!$BB$6:$BB$85,(BY601-2)*20+CD601)</f>
        <v>118940</v>
      </c>
      <c r="CK601" s="14" t="s">
        <v>21</v>
      </c>
      <c r="CL601" s="14">
        <f>INDEX(属性投放!$BC$6:$BC$85,(BY601-2)*20+CD601)</f>
        <v>30</v>
      </c>
      <c r="CM601" s="14" t="s">
        <v>22</v>
      </c>
      <c r="CN601" s="14">
        <f>INDEX(属性投放!$BD$6:$BD$85,(BY601-2)*20+CD601)</f>
        <v>15</v>
      </c>
      <c r="CO601" s="14" t="s">
        <v>510</v>
      </c>
      <c r="CP601" s="14">
        <f>INDEX(属性投放!$BE$6:$BE$85,(BY601-2)*20+CD601)</f>
        <v>300</v>
      </c>
      <c r="CS601" s="13">
        <v>597</v>
      </c>
      <c r="CT601" s="13">
        <f t="shared" si="1007"/>
        <v>12</v>
      </c>
      <c r="CU601" s="13">
        <f t="shared" si="1008"/>
        <v>25</v>
      </c>
      <c r="CV601" s="14">
        <f t="shared" si="1009"/>
        <v>5</v>
      </c>
      <c r="CW601" s="14">
        <f t="shared" si="1010"/>
        <v>1102012</v>
      </c>
      <c r="CX601" s="14" t="str">
        <f>INDEX($O$6:$O$50,CT601)&amp;"-"&amp;INDEX(属性投放!$AB$7:$AB$50,CZ601)&amp;"-魂火-"&amp;DB601</f>
        <v>夏侯惇-大叫唤+2-魂火-1</v>
      </c>
      <c r="CY601" s="25" t="s">
        <v>142</v>
      </c>
      <c r="CZ601" s="14">
        <f>INDEX(属性投放!$AM$7:$AM$58,CU601)</f>
        <v>12</v>
      </c>
      <c r="DA601" s="14" t="s">
        <v>537</v>
      </c>
      <c r="DB601" s="14">
        <f>INDEX(属性投放!$AN$7:$AN$58,CU601)</f>
        <v>1</v>
      </c>
      <c r="DC601" s="14">
        <f t="shared" si="1004"/>
        <v>25</v>
      </c>
      <c r="DD601" s="14">
        <f>INDEX(属性投放!$AO$7:$AO$58,DC601)</f>
        <v>80</v>
      </c>
      <c r="DE601" s="14" t="s">
        <v>538</v>
      </c>
      <c r="DF601" s="14">
        <f>INDEX(属性投放!$BK$6:$BK$85,(CV601-2)*20+CZ601)</f>
        <v>260</v>
      </c>
      <c r="DG601" s="14">
        <f>SUMIFS(DF$5:DF601,$CT$5:$CT601,"="&amp;$CT601)</f>
        <v>2779</v>
      </c>
      <c r="DH601" s="14" t="s">
        <v>539</v>
      </c>
      <c r="DI601" s="14">
        <f>INDEX(属性投放!$BL$6:$BL$85,(CV601-2)*20+CZ601)</f>
        <v>130</v>
      </c>
      <c r="DJ601" s="14">
        <f>SUMIFS(DI$5:DI601,$CT$5:$CT601,"="&amp;$CT601)</f>
        <v>1392</v>
      </c>
      <c r="DK601" s="14" t="s">
        <v>540</v>
      </c>
      <c r="DL601" s="14">
        <f>INDEX(属性投放!$BM$6:$BM$85,(CV601-2)*20+CZ601)</f>
        <v>2340</v>
      </c>
      <c r="DM601" s="14">
        <f>SUMIFS(DL$5:DL601,$CT$5:$CT601,"="&amp;$CT601)</f>
        <v>22722</v>
      </c>
      <c r="DR601" s="14">
        <f t="shared" si="983"/>
        <v>1102998</v>
      </c>
      <c r="DS601" s="14" t="str">
        <f t="shared" si="984"/>
        <v>SR守护灵17突</v>
      </c>
      <c r="DT601" s="14">
        <f t="shared" si="1011"/>
        <v>5</v>
      </c>
      <c r="DU601" s="14">
        <f t="shared" si="1012"/>
        <v>5</v>
      </c>
      <c r="DV601" s="14">
        <f t="shared" si="1013"/>
        <v>5</v>
      </c>
      <c r="DW601" s="14">
        <f t="shared" si="985"/>
        <v>3</v>
      </c>
      <c r="DX601" s="14">
        <f t="shared" si="986"/>
        <v>17</v>
      </c>
      <c r="DY601" s="14">
        <f t="shared" si="987"/>
        <v>37</v>
      </c>
      <c r="DZ601" s="14">
        <f>INDEX(属性投放!$AX$6:$AX$85,(卡牌属性!DW601-2)*20+卡牌属性!DX601)</f>
        <v>8</v>
      </c>
      <c r="EA601" s="14">
        <f>INDEX(属性投放!BQ$6:BQ$85,卡牌属性!$DY601)</f>
        <v>900</v>
      </c>
      <c r="EB601" s="14">
        <f>INDEX(属性投放!BR$6:BR$85,卡牌属性!$DY601)</f>
        <v>450</v>
      </c>
      <c r="EC601" s="14">
        <f>INDEX(属性投放!BS$6:BS$85,卡牌属性!$DY601)</f>
        <v>9000</v>
      </c>
      <c r="ED601" s="14">
        <f t="shared" si="1014"/>
        <v>6206</v>
      </c>
      <c r="EE601" s="14">
        <f t="shared" si="1015"/>
        <v>6399</v>
      </c>
      <c r="EF601" s="14">
        <f t="shared" si="1016"/>
        <v>7433</v>
      </c>
      <c r="EG601" s="14">
        <f t="shared" si="1017"/>
        <v>7433</v>
      </c>
      <c r="EH601" s="14">
        <f t="shared" si="1018"/>
        <v>7920</v>
      </c>
      <c r="EI601" s="14">
        <f t="shared" si="1019"/>
        <v>3081</v>
      </c>
      <c r="EJ601" s="14">
        <f t="shared" si="1020"/>
        <v>3180</v>
      </c>
      <c r="EK601" s="14">
        <f t="shared" si="1021"/>
        <v>3180</v>
      </c>
      <c r="EL601" s="14">
        <f t="shared" si="1022"/>
        <v>3688</v>
      </c>
      <c r="EM601" s="14">
        <f t="shared" si="1023"/>
        <v>3947</v>
      </c>
      <c r="EN601" s="14">
        <f t="shared" si="1024"/>
        <v>55200</v>
      </c>
      <c r="EO601" s="14">
        <f t="shared" si="1025"/>
        <v>56714</v>
      </c>
      <c r="EP601" s="14">
        <f t="shared" si="1026"/>
        <v>56714</v>
      </c>
      <c r="EQ601" s="14">
        <f t="shared" si="1027"/>
        <v>65698</v>
      </c>
      <c r="ER601" s="14">
        <f t="shared" si="1028"/>
        <v>69742</v>
      </c>
      <c r="ES601" s="14">
        <f>INDEX(属性偏向!$S$4:$S$243,(卡牌属性!$DT601-1+ES$3)*20+卡牌属性!$DX601)</f>
        <v>30</v>
      </c>
      <c r="ET601" s="14">
        <f>INDEX(属性偏向!$S$4:$S$243,(卡牌属性!$DT601-1+ET$3)*20+卡牌属性!$DX601)</f>
        <v>35</v>
      </c>
      <c r="EU601" s="14">
        <f>INDEX(属性偏向!$S$4:$S$243,(卡牌属性!$DT601-1+EU$3)*20+卡牌属性!$DX601)</f>
        <v>50</v>
      </c>
      <c r="EV601" s="14">
        <f>INDEX(属性偏向!$S$4:$S$243,(卡牌属性!$DT601-1+EV$3)*20+卡牌属性!$DX601)</f>
        <v>50</v>
      </c>
      <c r="EW601" s="14">
        <f>INDEX(属性偏向!$S$4:$S$243,(卡牌属性!$DT601-1+EW$3)*20+卡牌属性!$DX601)</f>
        <v>60</v>
      </c>
      <c r="EX601" s="14">
        <f>INDEX(属性偏向!$T$4:$T$243,(卡牌属性!$DU601-1+EX$3)*20+卡牌属性!$DX601)</f>
        <v>15</v>
      </c>
      <c r="EY601" s="14">
        <f>INDEX(属性偏向!$T$4:$T$243,(卡牌属性!$DU601-1+EY$3)*20+卡牌属性!$DX601)</f>
        <v>18</v>
      </c>
      <c r="EZ601" s="14">
        <f>INDEX(属性偏向!$T$4:$T$243,(卡牌属性!$DU601-1+EZ$3)*20+卡牌属性!$DX601)</f>
        <v>18</v>
      </c>
      <c r="FA601" s="14">
        <f>INDEX(属性偏向!$T$4:$T$243,(卡牌属性!$DU601-1+FA$3)*20+卡牌属性!$DX601)</f>
        <v>25</v>
      </c>
      <c r="FB601" s="14">
        <f>INDEX(属性偏向!$T$4:$T$243,(卡牌属性!$DU601-1+FB$3)*20+卡牌属性!$DX601)</f>
        <v>30</v>
      </c>
      <c r="FC601" s="14">
        <f>INDEX(属性偏向!$U$4:$U$243,(卡牌属性!$DV601-1+FC$3)*20+卡牌属性!$DX601)</f>
        <v>300</v>
      </c>
      <c r="FD601" s="14">
        <f>INDEX(属性偏向!$U$4:$U$243,(卡牌属性!$DV601-1+FD$3)*20+卡牌属性!$DX601)</f>
        <v>350</v>
      </c>
      <c r="FE601" s="14">
        <f>INDEX(属性偏向!$U$4:$U$243,(卡牌属性!$DV601-1+FE$3)*20+卡牌属性!$DX601)</f>
        <v>350</v>
      </c>
      <c r="FF601" s="14">
        <f>INDEX(属性偏向!$U$4:$U$243,(卡牌属性!$DV601-1+FF$3)*20+卡牌属性!$DX601)</f>
        <v>500</v>
      </c>
      <c r="FG601" s="14">
        <f>INDEX(属性偏向!$U$4:$U$243,(卡牌属性!$DV601-1+FG$3)*20+卡牌属性!$DX601)</f>
        <v>600</v>
      </c>
      <c r="FH601" s="14">
        <f>INDEX(属性投放!$BQ$6:$BQ$85,(卡牌属性!$DW601-2)*20+卡牌属性!$DX601)</f>
        <v>900</v>
      </c>
      <c r="FI601" s="14">
        <f>INDEX(属性投放!$BQ$6:$BQ$85,(卡牌属性!$DW601-2)*20+卡牌属性!$DX601)</f>
        <v>900</v>
      </c>
      <c r="FJ601" s="14">
        <f>INDEX(属性投放!$BQ$6:$BQ$85,(卡牌属性!$DW601-2)*20+卡牌属性!$DX601)</f>
        <v>900</v>
      </c>
      <c r="FK601" s="14">
        <f>INDEX(属性投放!$BQ$6:$BQ$85,(卡牌属性!$DW601-2)*20+卡牌属性!$DX601)</f>
        <v>900</v>
      </c>
      <c r="FL601" s="14">
        <f>INDEX(属性投放!$BQ$6:$BQ$85,(卡牌属性!$DW601-2)*20+卡牌属性!$DX601)</f>
        <v>900</v>
      </c>
      <c r="FM601" s="14">
        <f>INDEX(属性投放!$BR$6:$BR$85,(卡牌属性!$DW601-2)*20+卡牌属性!$DX601)</f>
        <v>450</v>
      </c>
      <c r="FN601" s="14">
        <f>INDEX(属性投放!$BR$6:$BR$85,(卡牌属性!$DW601-2)*20+卡牌属性!$DX601)</f>
        <v>450</v>
      </c>
      <c r="FO601" s="14">
        <f>INDEX(属性投放!$BR$6:$BR$85,(卡牌属性!$DW601-2)*20+卡牌属性!$DX601)</f>
        <v>450</v>
      </c>
      <c r="FP601" s="14">
        <f>INDEX(属性投放!$BR$6:$BR$85,(卡牌属性!$DW601-2)*20+卡牌属性!$DX601)</f>
        <v>450</v>
      </c>
      <c r="FQ601" s="14">
        <f>INDEX(属性投放!$BR$6:$BR$85,(卡牌属性!$DW601-2)*20+卡牌属性!$DX601)</f>
        <v>450</v>
      </c>
      <c r="FR601" s="14">
        <f>INDEX(属性投放!$BS$6:$BS$85,(卡牌属性!$DW601-2)*20+卡牌属性!$DX601)</f>
        <v>9000</v>
      </c>
      <c r="FS601" s="14">
        <f>INDEX(属性投放!$BS$6:$BS$85,(卡牌属性!$DW601-2)*20+卡牌属性!$DX601)</f>
        <v>9000</v>
      </c>
      <c r="FT601" s="14">
        <f>INDEX(属性投放!$BS$6:$BS$85,(卡牌属性!$DW601-2)*20+卡牌属性!$DX601)</f>
        <v>9000</v>
      </c>
      <c r="FU601" s="14">
        <f>INDEX(属性投放!$BS$6:$BS$85,(卡牌属性!$DW601-2)*20+卡牌属性!$DX601)</f>
        <v>9000</v>
      </c>
      <c r="FV601" s="14">
        <f>INDEX(属性投放!$BS$6:$BS$85,(卡牌属性!$DW601-2)*20+卡牌属性!$DX601)</f>
        <v>9000</v>
      </c>
    </row>
    <row r="602" spans="31:178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>
        <v>598</v>
      </c>
      <c r="BX602" s="13">
        <f t="shared" si="981"/>
        <v>30</v>
      </c>
      <c r="BY602" s="14">
        <f t="shared" si="982"/>
        <v>3</v>
      </c>
      <c r="BZ602" s="14">
        <f t="shared" si="1005"/>
        <v>1102998</v>
      </c>
      <c r="CA602" s="14" t="str">
        <f t="shared" si="1006"/>
        <v>SR守护灵18突</v>
      </c>
      <c r="CB602" s="25" t="s">
        <v>142</v>
      </c>
      <c r="CC602" s="14">
        <v>2</v>
      </c>
      <c r="CD602" s="14">
        <f t="shared" si="1003"/>
        <v>18</v>
      </c>
      <c r="CE602" s="14" t="s">
        <v>21</v>
      </c>
      <c r="CF602" s="14">
        <f>INDEX(属性投放!$AZ$6:$AZ$85,(BY602-2)*20+CD602)</f>
        <v>15916</v>
      </c>
      <c r="CG602" s="14" t="s">
        <v>22</v>
      </c>
      <c r="CH602" s="14">
        <f>INDEX(属性投放!$BA$6:$BA$85,(BY602-2)*20+CD602)</f>
        <v>7919</v>
      </c>
      <c r="CI602" s="14" t="s">
        <v>510</v>
      </c>
      <c r="CJ602" s="14">
        <f>INDEX(属性投放!$BB$6:$BB$85,(BY602-2)*20+CD602)</f>
        <v>148340</v>
      </c>
      <c r="CK602" s="14" t="s">
        <v>21</v>
      </c>
      <c r="CL602" s="14">
        <f>INDEX(属性投放!$BC$6:$BC$85,(BY602-2)*20+CD602)</f>
        <v>30</v>
      </c>
      <c r="CM602" s="14" t="s">
        <v>22</v>
      </c>
      <c r="CN602" s="14">
        <f>INDEX(属性投放!$BD$6:$BD$85,(BY602-2)*20+CD602)</f>
        <v>15</v>
      </c>
      <c r="CO602" s="14" t="s">
        <v>510</v>
      </c>
      <c r="CP602" s="14">
        <f>INDEX(属性投放!$BE$6:$BE$85,(BY602-2)*20+CD602)</f>
        <v>300</v>
      </c>
      <c r="CS602" s="13">
        <v>598</v>
      </c>
      <c r="CT602" s="13">
        <f t="shared" si="1007"/>
        <v>12</v>
      </c>
      <c r="CU602" s="13">
        <f t="shared" si="1008"/>
        <v>26</v>
      </c>
      <c r="CV602" s="14">
        <f t="shared" si="1009"/>
        <v>5</v>
      </c>
      <c r="CW602" s="14">
        <f t="shared" si="1010"/>
        <v>1102012</v>
      </c>
      <c r="CX602" s="14" t="str">
        <f>INDEX($O$6:$O$50,CT602)&amp;"-"&amp;INDEX(属性投放!$AB$7:$AB$50,CZ602)&amp;"-魂火-"&amp;DB602</f>
        <v>夏侯惇-大叫唤+2-魂火-2</v>
      </c>
      <c r="CY602" s="25" t="s">
        <v>142</v>
      </c>
      <c r="CZ602" s="14">
        <f>INDEX(属性投放!$AM$7:$AM$58,CU602)</f>
        <v>12</v>
      </c>
      <c r="DA602" s="14" t="s">
        <v>537</v>
      </c>
      <c r="DB602" s="14">
        <f>INDEX(属性投放!$AN$7:$AN$58,CU602)</f>
        <v>2</v>
      </c>
      <c r="DC602" s="14">
        <f t="shared" si="1004"/>
        <v>26</v>
      </c>
      <c r="DD602" s="14">
        <f>INDEX(属性投放!$AO$7:$AO$58,DC602)</f>
        <v>83</v>
      </c>
      <c r="DE602" s="14" t="s">
        <v>538</v>
      </c>
      <c r="DF602" s="14">
        <f>INDEX(属性投放!$BK$6:$BK$85,(CV602-2)*20+CZ602)</f>
        <v>260</v>
      </c>
      <c r="DG602" s="14">
        <f>SUMIFS(DF$5:DF602,$CT$5:$CT602,"="&amp;$CT602)</f>
        <v>3039</v>
      </c>
      <c r="DH602" s="14" t="s">
        <v>539</v>
      </c>
      <c r="DI602" s="14">
        <f>INDEX(属性投放!$BL$6:$BL$85,(CV602-2)*20+CZ602)</f>
        <v>130</v>
      </c>
      <c r="DJ602" s="14">
        <f>SUMIFS(DI$5:DI602,$CT$5:$CT602,"="&amp;$CT602)</f>
        <v>1522</v>
      </c>
      <c r="DK602" s="14" t="s">
        <v>540</v>
      </c>
      <c r="DL602" s="14">
        <f>INDEX(属性投放!$BM$6:$BM$85,(CV602-2)*20+CZ602)</f>
        <v>2340</v>
      </c>
      <c r="DM602" s="14">
        <f>SUMIFS(DL$5:DL602,$CT$5:$CT602,"="&amp;$CT602)</f>
        <v>25062</v>
      </c>
      <c r="DR602" s="14">
        <f t="shared" si="983"/>
        <v>1102998</v>
      </c>
      <c r="DS602" s="14" t="str">
        <f t="shared" si="984"/>
        <v>SR守护灵18突</v>
      </c>
      <c r="DT602" s="14">
        <f t="shared" si="1011"/>
        <v>5</v>
      </c>
      <c r="DU602" s="14">
        <f t="shared" si="1012"/>
        <v>5</v>
      </c>
      <c r="DV602" s="14">
        <f t="shared" si="1013"/>
        <v>5</v>
      </c>
      <c r="DW602" s="14">
        <f t="shared" si="985"/>
        <v>3</v>
      </c>
      <c r="DX602" s="14">
        <f t="shared" si="986"/>
        <v>18</v>
      </c>
      <c r="DY602" s="14">
        <f t="shared" si="987"/>
        <v>38</v>
      </c>
      <c r="DZ602" s="14">
        <f>INDEX(属性投放!$AX$6:$AX$85,(卡牌属性!DW602-2)*20+卡牌属性!DX602)</f>
        <v>7</v>
      </c>
      <c r="EA602" s="14">
        <f>INDEX(属性投放!BQ$6:BQ$85,卡牌属性!$DY602)</f>
        <v>1500</v>
      </c>
      <c r="EB602" s="14">
        <f>INDEX(属性投放!BR$6:BR$85,卡牌属性!$DY602)</f>
        <v>750</v>
      </c>
      <c r="EC602" s="14">
        <f>INDEX(属性投放!BS$6:BS$85,卡牌属性!$DY602)</f>
        <v>15000</v>
      </c>
      <c r="ED602" s="14">
        <f t="shared" si="1014"/>
        <v>7346</v>
      </c>
      <c r="EE602" s="14">
        <f t="shared" si="1015"/>
        <v>7579</v>
      </c>
      <c r="EF602" s="14">
        <f t="shared" si="1016"/>
        <v>8733</v>
      </c>
      <c r="EG602" s="14">
        <f t="shared" si="1017"/>
        <v>8733</v>
      </c>
      <c r="EH602" s="14">
        <f t="shared" si="1018"/>
        <v>9300</v>
      </c>
      <c r="EI602" s="14">
        <f t="shared" si="1019"/>
        <v>3651</v>
      </c>
      <c r="EJ602" s="14">
        <f t="shared" si="1020"/>
        <v>3774</v>
      </c>
      <c r="EK602" s="14">
        <f t="shared" si="1021"/>
        <v>3774</v>
      </c>
      <c r="EL602" s="14">
        <f t="shared" si="1022"/>
        <v>4338</v>
      </c>
      <c r="EM602" s="14">
        <f t="shared" si="1023"/>
        <v>4637</v>
      </c>
      <c r="EN602" s="14">
        <f t="shared" si="1024"/>
        <v>66600</v>
      </c>
      <c r="EO602" s="14">
        <f t="shared" si="1025"/>
        <v>68514</v>
      </c>
      <c r="EP602" s="14">
        <f t="shared" si="1026"/>
        <v>68514</v>
      </c>
      <c r="EQ602" s="14">
        <f t="shared" si="1027"/>
        <v>78698</v>
      </c>
      <c r="ER602" s="14">
        <f t="shared" si="1028"/>
        <v>83542</v>
      </c>
      <c r="ES602" s="14">
        <f>INDEX(属性偏向!$S$4:$S$243,(卡牌属性!$DT602-1+ES$3)*20+卡牌属性!$DX602)</f>
        <v>30</v>
      </c>
      <c r="ET602" s="14">
        <f>INDEX(属性偏向!$S$4:$S$243,(卡牌属性!$DT602-1+ET$3)*20+卡牌属性!$DX602)</f>
        <v>35</v>
      </c>
      <c r="EU602" s="14">
        <f>INDEX(属性偏向!$S$4:$S$243,(卡牌属性!$DT602-1+EU$3)*20+卡牌属性!$DX602)</f>
        <v>50</v>
      </c>
      <c r="EV602" s="14">
        <f>INDEX(属性偏向!$S$4:$S$243,(卡牌属性!$DT602-1+EV$3)*20+卡牌属性!$DX602)</f>
        <v>50</v>
      </c>
      <c r="EW602" s="14">
        <f>INDEX(属性偏向!$S$4:$S$243,(卡牌属性!$DT602-1+EW$3)*20+卡牌属性!$DX602)</f>
        <v>60</v>
      </c>
      <c r="EX602" s="14">
        <f>INDEX(属性偏向!$T$4:$T$243,(卡牌属性!$DU602-1+EX$3)*20+卡牌属性!$DX602)</f>
        <v>15</v>
      </c>
      <c r="EY602" s="14">
        <f>INDEX(属性偏向!$T$4:$T$243,(卡牌属性!$DU602-1+EY$3)*20+卡牌属性!$DX602)</f>
        <v>18</v>
      </c>
      <c r="EZ602" s="14">
        <f>INDEX(属性偏向!$T$4:$T$243,(卡牌属性!$DU602-1+EZ$3)*20+卡牌属性!$DX602)</f>
        <v>18</v>
      </c>
      <c r="FA602" s="14">
        <f>INDEX(属性偏向!$T$4:$T$243,(卡牌属性!$DU602-1+FA$3)*20+卡牌属性!$DX602)</f>
        <v>25</v>
      </c>
      <c r="FB602" s="14">
        <f>INDEX(属性偏向!$T$4:$T$243,(卡牌属性!$DU602-1+FB$3)*20+卡牌属性!$DX602)</f>
        <v>30</v>
      </c>
      <c r="FC602" s="14">
        <f>INDEX(属性偏向!$U$4:$U$243,(卡牌属性!$DV602-1+FC$3)*20+卡牌属性!$DX602)</f>
        <v>300</v>
      </c>
      <c r="FD602" s="14">
        <f>INDEX(属性偏向!$U$4:$U$243,(卡牌属性!$DV602-1+FD$3)*20+卡牌属性!$DX602)</f>
        <v>350</v>
      </c>
      <c r="FE602" s="14">
        <f>INDEX(属性偏向!$U$4:$U$243,(卡牌属性!$DV602-1+FE$3)*20+卡牌属性!$DX602)</f>
        <v>350</v>
      </c>
      <c r="FF602" s="14">
        <f>INDEX(属性偏向!$U$4:$U$243,(卡牌属性!$DV602-1+FF$3)*20+卡牌属性!$DX602)</f>
        <v>500</v>
      </c>
      <c r="FG602" s="14">
        <f>INDEX(属性偏向!$U$4:$U$243,(卡牌属性!$DV602-1+FG$3)*20+卡牌属性!$DX602)</f>
        <v>600</v>
      </c>
      <c r="FH602" s="14">
        <f>INDEX(属性投放!$BQ$6:$BQ$85,(卡牌属性!$DW602-2)*20+卡牌属性!$DX602)</f>
        <v>1500</v>
      </c>
      <c r="FI602" s="14">
        <f>INDEX(属性投放!$BQ$6:$BQ$85,(卡牌属性!$DW602-2)*20+卡牌属性!$DX602)</f>
        <v>1500</v>
      </c>
      <c r="FJ602" s="14">
        <f>INDEX(属性投放!$BQ$6:$BQ$85,(卡牌属性!$DW602-2)*20+卡牌属性!$DX602)</f>
        <v>1500</v>
      </c>
      <c r="FK602" s="14">
        <f>INDEX(属性投放!$BQ$6:$BQ$85,(卡牌属性!$DW602-2)*20+卡牌属性!$DX602)</f>
        <v>1500</v>
      </c>
      <c r="FL602" s="14">
        <f>INDEX(属性投放!$BQ$6:$BQ$85,(卡牌属性!$DW602-2)*20+卡牌属性!$DX602)</f>
        <v>1500</v>
      </c>
      <c r="FM602" s="14">
        <f>INDEX(属性投放!$BR$6:$BR$85,(卡牌属性!$DW602-2)*20+卡牌属性!$DX602)</f>
        <v>750</v>
      </c>
      <c r="FN602" s="14">
        <f>INDEX(属性投放!$BR$6:$BR$85,(卡牌属性!$DW602-2)*20+卡牌属性!$DX602)</f>
        <v>750</v>
      </c>
      <c r="FO602" s="14">
        <f>INDEX(属性投放!$BR$6:$BR$85,(卡牌属性!$DW602-2)*20+卡牌属性!$DX602)</f>
        <v>750</v>
      </c>
      <c r="FP602" s="14">
        <f>INDEX(属性投放!$BR$6:$BR$85,(卡牌属性!$DW602-2)*20+卡牌属性!$DX602)</f>
        <v>750</v>
      </c>
      <c r="FQ602" s="14">
        <f>INDEX(属性投放!$BR$6:$BR$85,(卡牌属性!$DW602-2)*20+卡牌属性!$DX602)</f>
        <v>750</v>
      </c>
      <c r="FR602" s="14">
        <f>INDEX(属性投放!$BS$6:$BS$85,(卡牌属性!$DW602-2)*20+卡牌属性!$DX602)</f>
        <v>15000</v>
      </c>
      <c r="FS602" s="14">
        <f>INDEX(属性投放!$BS$6:$BS$85,(卡牌属性!$DW602-2)*20+卡牌属性!$DX602)</f>
        <v>15000</v>
      </c>
      <c r="FT602" s="14">
        <f>INDEX(属性投放!$BS$6:$BS$85,(卡牌属性!$DW602-2)*20+卡牌属性!$DX602)</f>
        <v>15000</v>
      </c>
      <c r="FU602" s="14">
        <f>INDEX(属性投放!$BS$6:$BS$85,(卡牌属性!$DW602-2)*20+卡牌属性!$DX602)</f>
        <v>15000</v>
      </c>
      <c r="FV602" s="14">
        <f>INDEX(属性投放!$BS$6:$BS$85,(卡牌属性!$DW602-2)*20+卡牌属性!$DX602)</f>
        <v>15000</v>
      </c>
    </row>
    <row r="603" spans="31:178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>
        <v>599</v>
      </c>
      <c r="BX603" s="13">
        <f t="shared" si="981"/>
        <v>30</v>
      </c>
      <c r="BY603" s="14">
        <f t="shared" si="982"/>
        <v>3</v>
      </c>
      <c r="BZ603" s="14">
        <f t="shared" si="1005"/>
        <v>1102998</v>
      </c>
      <c r="CA603" s="14" t="str">
        <f t="shared" si="1006"/>
        <v>SR守护灵19突</v>
      </c>
      <c r="CB603" s="25" t="s">
        <v>142</v>
      </c>
      <c r="CC603" s="14">
        <v>2</v>
      </c>
      <c r="CD603" s="14">
        <f t="shared" si="1003"/>
        <v>19</v>
      </c>
      <c r="CE603" s="14" t="s">
        <v>21</v>
      </c>
      <c r="CF603" s="14">
        <f>INDEX(属性投放!$AZ$6:$AZ$85,(BY603-2)*20+CD603)</f>
        <v>19726</v>
      </c>
      <c r="CG603" s="14" t="s">
        <v>22</v>
      </c>
      <c r="CH603" s="14">
        <f>INDEX(属性投放!$BA$6:$BA$85,(BY603-2)*20+CD603)</f>
        <v>9824</v>
      </c>
      <c r="CI603" s="14" t="s">
        <v>510</v>
      </c>
      <c r="CJ603" s="14">
        <f>INDEX(属性投放!$BB$6:$BB$85,(BY603-2)*20+CD603)</f>
        <v>186440</v>
      </c>
      <c r="CK603" s="14" t="s">
        <v>21</v>
      </c>
      <c r="CL603" s="14">
        <f>INDEX(属性投放!$BC$6:$BC$85,(BY603-2)*20+CD603)</f>
        <v>40</v>
      </c>
      <c r="CM603" s="14" t="s">
        <v>22</v>
      </c>
      <c r="CN603" s="14">
        <f>INDEX(属性投放!$BD$6:$BD$85,(BY603-2)*20+CD603)</f>
        <v>20</v>
      </c>
      <c r="CO603" s="14" t="s">
        <v>510</v>
      </c>
      <c r="CP603" s="14">
        <f>INDEX(属性投放!$BE$6:$BE$85,(BY603-2)*20+CD603)</f>
        <v>400</v>
      </c>
      <c r="CS603" s="13">
        <v>599</v>
      </c>
      <c r="CT603" s="13">
        <f t="shared" si="1007"/>
        <v>12</v>
      </c>
      <c r="CU603" s="13">
        <f t="shared" si="1008"/>
        <v>27</v>
      </c>
      <c r="CV603" s="14">
        <f t="shared" si="1009"/>
        <v>5</v>
      </c>
      <c r="CW603" s="14">
        <f t="shared" si="1010"/>
        <v>1102012</v>
      </c>
      <c r="CX603" s="14" t="str">
        <f>INDEX($O$6:$O$50,CT603)&amp;"-"&amp;INDEX(属性投放!$AB$7:$AB$50,CZ603)&amp;"-魂火-"&amp;DB603</f>
        <v>夏侯惇-大叫唤+2-魂火-3</v>
      </c>
      <c r="CY603" s="25" t="s">
        <v>142</v>
      </c>
      <c r="CZ603" s="14">
        <f>INDEX(属性投放!$AM$7:$AM$58,CU603)</f>
        <v>12</v>
      </c>
      <c r="DA603" s="14" t="s">
        <v>537</v>
      </c>
      <c r="DB603" s="14">
        <f>INDEX(属性投放!$AN$7:$AN$58,CU603)</f>
        <v>3</v>
      </c>
      <c r="DC603" s="14">
        <f t="shared" si="1004"/>
        <v>27</v>
      </c>
      <c r="DD603" s="14">
        <f>INDEX(属性投放!$AO$7:$AO$58,DC603)</f>
        <v>85</v>
      </c>
      <c r="DE603" s="14" t="s">
        <v>538</v>
      </c>
      <c r="DF603" s="14">
        <f>INDEX(属性投放!$BK$6:$BK$85,(CV603-2)*20+CZ603)</f>
        <v>260</v>
      </c>
      <c r="DG603" s="14">
        <f>SUMIFS(DF$5:DF603,$CT$5:$CT603,"="&amp;$CT603)</f>
        <v>3299</v>
      </c>
      <c r="DH603" s="14" t="s">
        <v>539</v>
      </c>
      <c r="DI603" s="14">
        <f>INDEX(属性投放!$BL$6:$BL$85,(CV603-2)*20+CZ603)</f>
        <v>130</v>
      </c>
      <c r="DJ603" s="14">
        <f>SUMIFS(DI$5:DI603,$CT$5:$CT603,"="&amp;$CT603)</f>
        <v>1652</v>
      </c>
      <c r="DK603" s="14" t="s">
        <v>540</v>
      </c>
      <c r="DL603" s="14">
        <f>INDEX(属性投放!$BM$6:$BM$85,(CV603-2)*20+CZ603)</f>
        <v>2340</v>
      </c>
      <c r="DM603" s="14">
        <f>SUMIFS(DL$5:DL603,$CT$5:$CT603,"="&amp;$CT603)</f>
        <v>27402</v>
      </c>
      <c r="DR603" s="14">
        <f t="shared" si="983"/>
        <v>1102998</v>
      </c>
      <c r="DS603" s="14" t="str">
        <f t="shared" si="984"/>
        <v>SR守护灵19突</v>
      </c>
      <c r="DT603" s="14">
        <f t="shared" si="1011"/>
        <v>5</v>
      </c>
      <c r="DU603" s="14">
        <f t="shared" si="1012"/>
        <v>5</v>
      </c>
      <c r="DV603" s="14">
        <f t="shared" si="1013"/>
        <v>5</v>
      </c>
      <c r="DW603" s="14">
        <f t="shared" si="985"/>
        <v>3</v>
      </c>
      <c r="DX603" s="14">
        <f t="shared" si="986"/>
        <v>19</v>
      </c>
      <c r="DY603" s="14">
        <f t="shared" si="987"/>
        <v>39</v>
      </c>
      <c r="DZ603" s="14">
        <f>INDEX(属性投放!$AX$6:$AX$85,(卡牌属性!DW603-2)*20+卡牌属性!DX603)</f>
        <v>8</v>
      </c>
      <c r="EA603" s="14">
        <f>INDEX(属性投放!BQ$6:BQ$85,卡牌属性!$DY603)</f>
        <v>1500</v>
      </c>
      <c r="EB603" s="14">
        <f>INDEX(属性投放!BR$6:BR$85,卡牌属性!$DY603)</f>
        <v>750</v>
      </c>
      <c r="EC603" s="14">
        <f>INDEX(属性投放!BS$6:BS$85,卡牌属性!$DY603)</f>
        <v>15000</v>
      </c>
      <c r="ED603" s="14">
        <f t="shared" si="1014"/>
        <v>9056</v>
      </c>
      <c r="EE603" s="14">
        <f t="shared" si="1015"/>
        <v>9324</v>
      </c>
      <c r="EF603" s="14">
        <f t="shared" si="1016"/>
        <v>10583</v>
      </c>
      <c r="EG603" s="14">
        <f t="shared" si="1017"/>
        <v>10583</v>
      </c>
      <c r="EH603" s="14">
        <f t="shared" si="1018"/>
        <v>11220</v>
      </c>
      <c r="EI603" s="14">
        <f t="shared" si="1019"/>
        <v>4506</v>
      </c>
      <c r="EJ603" s="14">
        <f t="shared" si="1020"/>
        <v>4650</v>
      </c>
      <c r="EK603" s="14">
        <f t="shared" si="1021"/>
        <v>4650</v>
      </c>
      <c r="EL603" s="14">
        <f t="shared" si="1022"/>
        <v>5263</v>
      </c>
      <c r="EM603" s="14">
        <f t="shared" si="1023"/>
        <v>5597</v>
      </c>
      <c r="EN603" s="14">
        <f t="shared" si="1024"/>
        <v>83700</v>
      </c>
      <c r="EO603" s="14">
        <f t="shared" si="1025"/>
        <v>85964</v>
      </c>
      <c r="EP603" s="14">
        <f t="shared" si="1026"/>
        <v>85964</v>
      </c>
      <c r="EQ603" s="14">
        <f t="shared" si="1027"/>
        <v>97198</v>
      </c>
      <c r="ER603" s="14">
        <f t="shared" si="1028"/>
        <v>102742</v>
      </c>
      <c r="ES603" s="14">
        <f>INDEX(属性偏向!$S$4:$S$243,(卡牌属性!$DT603-1+ES$3)*20+卡牌属性!$DX603)</f>
        <v>40</v>
      </c>
      <c r="ET603" s="14">
        <f>INDEX(属性偏向!$S$4:$S$243,(卡牌属性!$DT603-1+ET$3)*20+卡牌属性!$DX603)</f>
        <v>45</v>
      </c>
      <c r="EU603" s="14">
        <f>INDEX(属性偏向!$S$4:$S$243,(卡牌属性!$DT603-1+EU$3)*20+卡牌属性!$DX603)</f>
        <v>75</v>
      </c>
      <c r="EV603" s="14">
        <f>INDEX(属性偏向!$S$4:$S$243,(卡牌属性!$DT603-1+EV$3)*20+卡牌属性!$DX603)</f>
        <v>75</v>
      </c>
      <c r="EW603" s="14">
        <f>INDEX(属性偏向!$S$4:$S$243,(卡牌属性!$DT603-1+EW$3)*20+卡牌属性!$DX603)</f>
        <v>80</v>
      </c>
      <c r="EX603" s="14">
        <f>INDEX(属性偏向!$T$4:$T$243,(卡牌属性!$DU603-1+EX$3)*20+卡牌属性!$DX603)</f>
        <v>20</v>
      </c>
      <c r="EY603" s="14">
        <f>INDEX(属性偏向!$T$4:$T$243,(卡牌属性!$DU603-1+EY$3)*20+卡牌属性!$DX603)</f>
        <v>23</v>
      </c>
      <c r="EZ603" s="14">
        <f>INDEX(属性偏向!$T$4:$T$243,(卡牌属性!$DU603-1+EZ$3)*20+卡牌属性!$DX603)</f>
        <v>23</v>
      </c>
      <c r="FA603" s="14">
        <f>INDEX(属性偏向!$T$4:$T$243,(卡牌属性!$DU603-1+FA$3)*20+卡牌属性!$DX603)</f>
        <v>38</v>
      </c>
      <c r="FB603" s="14">
        <f>INDEX(属性偏向!$T$4:$T$243,(卡牌属性!$DU603-1+FB$3)*20+卡牌属性!$DX603)</f>
        <v>40</v>
      </c>
      <c r="FC603" s="14">
        <f>INDEX(属性偏向!$U$4:$U$243,(卡牌属性!$DV603-1+FC$3)*20+卡牌属性!$DX603)</f>
        <v>400</v>
      </c>
      <c r="FD603" s="14">
        <f>INDEX(属性偏向!$U$4:$U$243,(卡牌属性!$DV603-1+FD$3)*20+卡牌属性!$DX603)</f>
        <v>450</v>
      </c>
      <c r="FE603" s="14">
        <f>INDEX(属性偏向!$U$4:$U$243,(卡牌属性!$DV603-1+FE$3)*20+卡牌属性!$DX603)</f>
        <v>450</v>
      </c>
      <c r="FF603" s="14">
        <f>INDEX(属性偏向!$U$4:$U$243,(卡牌属性!$DV603-1+FF$3)*20+卡牌属性!$DX603)</f>
        <v>750</v>
      </c>
      <c r="FG603" s="14">
        <f>INDEX(属性偏向!$U$4:$U$243,(卡牌属性!$DV603-1+FG$3)*20+卡牌属性!$DX603)</f>
        <v>800</v>
      </c>
      <c r="FH603" s="14">
        <f>INDEX(属性投放!$BQ$6:$BQ$85,(卡牌属性!$DW603-2)*20+卡牌属性!$DX603)</f>
        <v>1500</v>
      </c>
      <c r="FI603" s="14">
        <f>INDEX(属性投放!$BQ$6:$BQ$85,(卡牌属性!$DW603-2)*20+卡牌属性!$DX603)</f>
        <v>1500</v>
      </c>
      <c r="FJ603" s="14">
        <f>INDEX(属性投放!$BQ$6:$BQ$85,(卡牌属性!$DW603-2)*20+卡牌属性!$DX603)</f>
        <v>1500</v>
      </c>
      <c r="FK603" s="14">
        <f>INDEX(属性投放!$BQ$6:$BQ$85,(卡牌属性!$DW603-2)*20+卡牌属性!$DX603)</f>
        <v>1500</v>
      </c>
      <c r="FL603" s="14">
        <f>INDEX(属性投放!$BQ$6:$BQ$85,(卡牌属性!$DW603-2)*20+卡牌属性!$DX603)</f>
        <v>1500</v>
      </c>
      <c r="FM603" s="14">
        <f>INDEX(属性投放!$BR$6:$BR$85,(卡牌属性!$DW603-2)*20+卡牌属性!$DX603)</f>
        <v>750</v>
      </c>
      <c r="FN603" s="14">
        <f>INDEX(属性投放!$BR$6:$BR$85,(卡牌属性!$DW603-2)*20+卡牌属性!$DX603)</f>
        <v>750</v>
      </c>
      <c r="FO603" s="14">
        <f>INDEX(属性投放!$BR$6:$BR$85,(卡牌属性!$DW603-2)*20+卡牌属性!$DX603)</f>
        <v>750</v>
      </c>
      <c r="FP603" s="14">
        <f>INDEX(属性投放!$BR$6:$BR$85,(卡牌属性!$DW603-2)*20+卡牌属性!$DX603)</f>
        <v>750</v>
      </c>
      <c r="FQ603" s="14">
        <f>INDEX(属性投放!$BR$6:$BR$85,(卡牌属性!$DW603-2)*20+卡牌属性!$DX603)</f>
        <v>750</v>
      </c>
      <c r="FR603" s="14">
        <f>INDEX(属性投放!$BS$6:$BS$85,(卡牌属性!$DW603-2)*20+卡牌属性!$DX603)</f>
        <v>15000</v>
      </c>
      <c r="FS603" s="14">
        <f>INDEX(属性投放!$BS$6:$BS$85,(卡牌属性!$DW603-2)*20+卡牌属性!$DX603)</f>
        <v>15000</v>
      </c>
      <c r="FT603" s="14">
        <f>INDEX(属性投放!$BS$6:$BS$85,(卡牌属性!$DW603-2)*20+卡牌属性!$DX603)</f>
        <v>15000</v>
      </c>
      <c r="FU603" s="14">
        <f>INDEX(属性投放!$BS$6:$BS$85,(卡牌属性!$DW603-2)*20+卡牌属性!$DX603)</f>
        <v>15000</v>
      </c>
      <c r="FV603" s="14">
        <f>INDEX(属性投放!$BS$6:$BS$85,(卡牌属性!$DW603-2)*20+卡牌属性!$DX603)</f>
        <v>15000</v>
      </c>
    </row>
    <row r="604" spans="31:178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>
        <v>600</v>
      </c>
      <c r="BX604" s="13">
        <f t="shared" si="981"/>
        <v>30</v>
      </c>
      <c r="BY604" s="14">
        <f t="shared" si="982"/>
        <v>3</v>
      </c>
      <c r="BZ604" s="14">
        <f t="shared" si="1005"/>
        <v>1102998</v>
      </c>
      <c r="CA604" s="14" t="str">
        <f t="shared" si="1006"/>
        <v>SR守护灵20突</v>
      </c>
      <c r="CB604" s="25" t="s">
        <v>142</v>
      </c>
      <c r="CC604" s="14">
        <v>2</v>
      </c>
      <c r="CD604" s="14">
        <f t="shared" si="1003"/>
        <v>20</v>
      </c>
      <c r="CE604" s="14" t="s">
        <v>21</v>
      </c>
      <c r="CF604" s="14">
        <f>INDEX(属性投放!$AZ$6:$AZ$85,(BY604-2)*20+CD604)</f>
        <v>24246</v>
      </c>
      <c r="CG604" s="14" t="s">
        <v>22</v>
      </c>
      <c r="CH604" s="14">
        <f>INDEX(属性投放!$BA$6:$BA$85,(BY604-2)*20+CD604)</f>
        <v>12084</v>
      </c>
      <c r="CI604" s="14" t="s">
        <v>510</v>
      </c>
      <c r="CJ604" s="14">
        <f>INDEX(属性投放!$BB$6:$BB$85,(BY604-2)*20+CD604)</f>
        <v>231640</v>
      </c>
      <c r="CK604" s="14" t="s">
        <v>21</v>
      </c>
      <c r="CL604" s="14">
        <f>INDEX(属性投放!$BC$6:$BC$85,(BY604-2)*20+CD604)</f>
        <v>40</v>
      </c>
      <c r="CM604" s="14" t="s">
        <v>22</v>
      </c>
      <c r="CN604" s="14">
        <f>INDEX(属性投放!$BD$6:$BD$85,(BY604-2)*20+CD604)</f>
        <v>20</v>
      </c>
      <c r="CO604" s="14" t="s">
        <v>510</v>
      </c>
      <c r="CP604" s="14">
        <f>INDEX(属性投放!$BE$6:$BE$85,(BY604-2)*20+CD604)</f>
        <v>400</v>
      </c>
      <c r="CS604" s="13">
        <v>600</v>
      </c>
      <c r="CT604" s="13">
        <f t="shared" si="1007"/>
        <v>12</v>
      </c>
      <c r="CU604" s="13">
        <f t="shared" si="1008"/>
        <v>28</v>
      </c>
      <c r="CV604" s="14">
        <f t="shared" si="1009"/>
        <v>5</v>
      </c>
      <c r="CW604" s="14">
        <f t="shared" si="1010"/>
        <v>1102012</v>
      </c>
      <c r="CX604" s="14" t="str">
        <f>INDEX($O$6:$O$50,CT604)&amp;"-"&amp;INDEX(属性投放!$AB$7:$AB$50,CZ604)&amp;"-魂火-"&amp;DB604</f>
        <v>夏侯惇-焦热-魂火-1</v>
      </c>
      <c r="CY604" s="25" t="s">
        <v>142</v>
      </c>
      <c r="CZ604" s="14">
        <f>INDEX(属性投放!$AM$7:$AM$58,CU604)</f>
        <v>13</v>
      </c>
      <c r="DA604" s="14" t="s">
        <v>537</v>
      </c>
      <c r="DB604" s="14">
        <f>INDEX(属性投放!$AN$7:$AN$58,CU604)</f>
        <v>1</v>
      </c>
      <c r="DC604" s="14">
        <f t="shared" si="1004"/>
        <v>28</v>
      </c>
      <c r="DD604" s="14">
        <f>INDEX(属性投放!$AO$7:$AO$58,DC604)</f>
        <v>88</v>
      </c>
      <c r="DE604" s="14" t="s">
        <v>538</v>
      </c>
      <c r="DF604" s="14">
        <f>INDEX(属性投放!$BK$6:$BK$85,(CV604-2)*20+CZ604)</f>
        <v>315</v>
      </c>
      <c r="DG604" s="14">
        <f>SUMIFS(DF$5:DF604,$CT$5:$CT604,"="&amp;$CT604)</f>
        <v>3614</v>
      </c>
      <c r="DH604" s="14" t="s">
        <v>539</v>
      </c>
      <c r="DI604" s="14">
        <f>INDEX(属性投放!$BL$6:$BL$85,(CV604-2)*20+CZ604)</f>
        <v>158</v>
      </c>
      <c r="DJ604" s="14">
        <f>SUMIFS(DI$5:DI604,$CT$5:$CT604,"="&amp;$CT604)</f>
        <v>1810</v>
      </c>
      <c r="DK604" s="14" t="s">
        <v>540</v>
      </c>
      <c r="DL604" s="14">
        <f>INDEX(属性投放!$BM$6:$BM$85,(CV604-2)*20+CZ604)</f>
        <v>3150</v>
      </c>
      <c r="DM604" s="14">
        <f>SUMIFS(DL$5:DL604,$CT$5:$CT604,"="&amp;$CT604)</f>
        <v>30552</v>
      </c>
      <c r="DR604" s="14">
        <f t="shared" si="983"/>
        <v>1102998</v>
      </c>
      <c r="DS604" s="14" t="str">
        <f t="shared" si="984"/>
        <v>SR守护灵20突</v>
      </c>
      <c r="DT604" s="14">
        <f t="shared" si="1011"/>
        <v>5</v>
      </c>
      <c r="DU604" s="14">
        <f t="shared" si="1012"/>
        <v>5</v>
      </c>
      <c r="DV604" s="14">
        <f t="shared" si="1013"/>
        <v>5</v>
      </c>
      <c r="DW604" s="14">
        <f t="shared" si="985"/>
        <v>3</v>
      </c>
      <c r="DX604" s="14">
        <f t="shared" si="986"/>
        <v>20</v>
      </c>
      <c r="DY604" s="14">
        <f t="shared" si="987"/>
        <v>40</v>
      </c>
      <c r="DZ604" s="14">
        <f>INDEX(属性投放!$AX$6:$AX$85,(卡牌属性!DW604-2)*20+卡牌属性!DX604)</f>
        <v>10</v>
      </c>
      <c r="EA604" s="14">
        <f>INDEX(属性投放!BQ$6:BQ$85,卡牌属性!$DY604)</f>
        <v>1500</v>
      </c>
      <c r="EB604" s="14">
        <f>INDEX(属性投放!BR$6:BR$85,卡牌属性!$DY604)</f>
        <v>750</v>
      </c>
      <c r="EC604" s="14">
        <f>INDEX(属性投放!BS$6:BS$85,卡牌属性!$DY604)</f>
        <v>15000</v>
      </c>
      <c r="ED604" s="14">
        <f t="shared" si="1014"/>
        <v>10876</v>
      </c>
      <c r="EE604" s="14">
        <f t="shared" si="1015"/>
        <v>11184</v>
      </c>
      <c r="EF604" s="14">
        <f t="shared" si="1016"/>
        <v>12683</v>
      </c>
      <c r="EG604" s="14">
        <f t="shared" si="1017"/>
        <v>12683</v>
      </c>
      <c r="EH604" s="14">
        <f t="shared" si="1018"/>
        <v>13360</v>
      </c>
      <c r="EI604" s="14">
        <f t="shared" si="1019"/>
        <v>5416</v>
      </c>
      <c r="EJ604" s="14">
        <f t="shared" si="1020"/>
        <v>5584</v>
      </c>
      <c r="EK604" s="14">
        <f t="shared" si="1021"/>
        <v>5584</v>
      </c>
      <c r="EL604" s="14">
        <f t="shared" si="1022"/>
        <v>6317</v>
      </c>
      <c r="EM604" s="14">
        <f t="shared" si="1023"/>
        <v>6667</v>
      </c>
      <c r="EN604" s="14">
        <f t="shared" si="1024"/>
        <v>101900</v>
      </c>
      <c r="EO604" s="14">
        <f t="shared" si="1025"/>
        <v>104564</v>
      </c>
      <c r="EP604" s="14">
        <f t="shared" si="1026"/>
        <v>104564</v>
      </c>
      <c r="EQ604" s="14">
        <f t="shared" si="1027"/>
        <v>118198</v>
      </c>
      <c r="ER604" s="14">
        <f t="shared" si="1028"/>
        <v>124142</v>
      </c>
      <c r="ES604" s="14">
        <f>INDEX(属性偏向!$S$4:$S$243,(卡牌属性!$DT604-1+ES$3)*20+卡牌属性!$DX604)</f>
        <v>40</v>
      </c>
      <c r="ET604" s="14">
        <f>INDEX(属性偏向!$S$4:$S$243,(卡牌属性!$DT604-1+ET$3)*20+卡牌属性!$DX604)</f>
        <v>45</v>
      </c>
      <c r="EU604" s="14">
        <f>INDEX(属性偏向!$S$4:$S$243,(卡牌属性!$DT604-1+EU$3)*20+卡牌属性!$DX604)</f>
        <v>75</v>
      </c>
      <c r="EV604" s="14">
        <f>INDEX(属性偏向!$S$4:$S$243,(卡牌属性!$DT604-1+EV$3)*20+卡牌属性!$DX604)</f>
        <v>75</v>
      </c>
      <c r="EW604" s="14">
        <f>INDEX(属性偏向!$S$4:$S$243,(卡牌属性!$DT604-1+EW$3)*20+卡牌属性!$DX604)</f>
        <v>80</v>
      </c>
      <c r="EX604" s="14">
        <f>INDEX(属性偏向!$T$4:$T$243,(卡牌属性!$DU604-1+EX$3)*20+卡牌属性!$DX604)</f>
        <v>20</v>
      </c>
      <c r="EY604" s="14">
        <f>INDEX(属性偏向!$T$4:$T$243,(卡牌属性!$DU604-1+EY$3)*20+卡牌属性!$DX604)</f>
        <v>23</v>
      </c>
      <c r="EZ604" s="14">
        <f>INDEX(属性偏向!$T$4:$T$243,(卡牌属性!$DU604-1+EZ$3)*20+卡牌属性!$DX604)</f>
        <v>23</v>
      </c>
      <c r="FA604" s="14">
        <f>INDEX(属性偏向!$T$4:$T$243,(卡牌属性!$DU604-1+FA$3)*20+卡牌属性!$DX604)</f>
        <v>38</v>
      </c>
      <c r="FB604" s="14">
        <f>INDEX(属性偏向!$T$4:$T$243,(卡牌属性!$DU604-1+FB$3)*20+卡牌属性!$DX604)</f>
        <v>40</v>
      </c>
      <c r="FC604" s="14">
        <f>INDEX(属性偏向!$U$4:$U$243,(卡牌属性!$DV604-1+FC$3)*20+卡牌属性!$DX604)</f>
        <v>400</v>
      </c>
      <c r="FD604" s="14">
        <f>INDEX(属性偏向!$U$4:$U$243,(卡牌属性!$DV604-1+FD$3)*20+卡牌属性!$DX604)</f>
        <v>450</v>
      </c>
      <c r="FE604" s="14">
        <f>INDEX(属性偏向!$U$4:$U$243,(卡牌属性!$DV604-1+FE$3)*20+卡牌属性!$DX604)</f>
        <v>450</v>
      </c>
      <c r="FF604" s="14">
        <f>INDEX(属性偏向!$U$4:$U$243,(卡牌属性!$DV604-1+FF$3)*20+卡牌属性!$DX604)</f>
        <v>750</v>
      </c>
      <c r="FG604" s="14">
        <f>INDEX(属性偏向!$U$4:$U$243,(卡牌属性!$DV604-1+FG$3)*20+卡牌属性!$DX604)</f>
        <v>800</v>
      </c>
      <c r="FH604" s="14">
        <f>INDEX(属性投放!$BQ$6:$BQ$85,(卡牌属性!$DW604-2)*20+卡牌属性!$DX604)</f>
        <v>1500</v>
      </c>
      <c r="FI604" s="14">
        <f>INDEX(属性投放!$BQ$6:$BQ$85,(卡牌属性!$DW604-2)*20+卡牌属性!$DX604)</f>
        <v>1500</v>
      </c>
      <c r="FJ604" s="14">
        <f>INDEX(属性投放!$BQ$6:$BQ$85,(卡牌属性!$DW604-2)*20+卡牌属性!$DX604)</f>
        <v>1500</v>
      </c>
      <c r="FK604" s="14">
        <f>INDEX(属性投放!$BQ$6:$BQ$85,(卡牌属性!$DW604-2)*20+卡牌属性!$DX604)</f>
        <v>1500</v>
      </c>
      <c r="FL604" s="14">
        <f>INDEX(属性投放!$BQ$6:$BQ$85,(卡牌属性!$DW604-2)*20+卡牌属性!$DX604)</f>
        <v>1500</v>
      </c>
      <c r="FM604" s="14">
        <f>INDEX(属性投放!$BR$6:$BR$85,(卡牌属性!$DW604-2)*20+卡牌属性!$DX604)</f>
        <v>750</v>
      </c>
      <c r="FN604" s="14">
        <f>INDEX(属性投放!$BR$6:$BR$85,(卡牌属性!$DW604-2)*20+卡牌属性!$DX604)</f>
        <v>750</v>
      </c>
      <c r="FO604" s="14">
        <f>INDEX(属性投放!$BR$6:$BR$85,(卡牌属性!$DW604-2)*20+卡牌属性!$DX604)</f>
        <v>750</v>
      </c>
      <c r="FP604" s="14">
        <f>INDEX(属性投放!$BR$6:$BR$85,(卡牌属性!$DW604-2)*20+卡牌属性!$DX604)</f>
        <v>750</v>
      </c>
      <c r="FQ604" s="14">
        <f>INDEX(属性投放!$BR$6:$BR$85,(卡牌属性!$DW604-2)*20+卡牌属性!$DX604)</f>
        <v>750</v>
      </c>
      <c r="FR604" s="14">
        <f>INDEX(属性投放!$BS$6:$BS$85,(卡牌属性!$DW604-2)*20+卡牌属性!$DX604)</f>
        <v>15000</v>
      </c>
      <c r="FS604" s="14">
        <f>INDEX(属性投放!$BS$6:$BS$85,(卡牌属性!$DW604-2)*20+卡牌属性!$DX604)</f>
        <v>15000</v>
      </c>
      <c r="FT604" s="14">
        <f>INDEX(属性投放!$BS$6:$BS$85,(卡牌属性!$DW604-2)*20+卡牌属性!$DX604)</f>
        <v>15000</v>
      </c>
      <c r="FU604" s="14">
        <f>INDEX(属性投放!$BS$6:$BS$85,(卡牌属性!$DW604-2)*20+卡牌属性!$DX604)</f>
        <v>15000</v>
      </c>
      <c r="FV604" s="14">
        <f>INDEX(属性投放!$BS$6:$BS$85,(卡牌属性!$DW604-2)*20+卡牌属性!$DX604)</f>
        <v>15000</v>
      </c>
    </row>
    <row r="605" spans="31:178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>
        <v>601</v>
      </c>
      <c r="BX605" s="13">
        <f t="shared" si="981"/>
        <v>31</v>
      </c>
      <c r="BY605" s="14">
        <f t="shared" si="982"/>
        <v>4</v>
      </c>
      <c r="BZ605" s="14">
        <f t="shared" si="1005"/>
        <v>1102997</v>
      </c>
      <c r="CA605" s="14" t="str">
        <f t="shared" si="1006"/>
        <v>SSR守护灵1突</v>
      </c>
      <c r="CB605" s="25" t="s">
        <v>142</v>
      </c>
      <c r="CC605" s="14">
        <v>2</v>
      </c>
      <c r="CD605" s="14">
        <f t="shared" si="1003"/>
        <v>1</v>
      </c>
      <c r="CE605" s="14" t="s">
        <v>21</v>
      </c>
      <c r="CF605" s="14">
        <f>INDEX(属性投放!$AZ$6:$AZ$85,(BY605-2)*20+CD605)</f>
        <v>200</v>
      </c>
      <c r="CG605" s="14" t="s">
        <v>22</v>
      </c>
      <c r="CH605" s="14">
        <f>INDEX(属性投放!$BA$6:$BA$85,(BY605-2)*20+CD605)</f>
        <v>25</v>
      </c>
      <c r="CI605" s="14" t="s">
        <v>510</v>
      </c>
      <c r="CJ605" s="14">
        <f>INDEX(属性投放!$BB$6:$BB$85,(BY605-2)*20+CD605)</f>
        <v>800</v>
      </c>
      <c r="CK605" s="14" t="s">
        <v>21</v>
      </c>
      <c r="CL605" s="14">
        <f>INDEX(属性投放!$BC$6:$BC$85,(BY605-2)*20+CD605)</f>
        <v>12</v>
      </c>
      <c r="CM605" s="14" t="s">
        <v>22</v>
      </c>
      <c r="CN605" s="14">
        <f>INDEX(属性投放!$BD$6:$BD$85,(BY605-2)*20+CD605)</f>
        <v>6</v>
      </c>
      <c r="CO605" s="14" t="s">
        <v>510</v>
      </c>
      <c r="CP605" s="14">
        <f>INDEX(属性投放!$BE$6:$BE$85,(BY605-2)*20+CD605)</f>
        <v>72</v>
      </c>
      <c r="CS605" s="13">
        <v>601</v>
      </c>
      <c r="CT605" s="13">
        <f t="shared" si="1007"/>
        <v>12</v>
      </c>
      <c r="CU605" s="13">
        <f t="shared" si="1008"/>
        <v>29</v>
      </c>
      <c r="CV605" s="14">
        <f t="shared" si="1009"/>
        <v>5</v>
      </c>
      <c r="CW605" s="14">
        <f t="shared" si="1010"/>
        <v>1102012</v>
      </c>
      <c r="CX605" s="14" t="str">
        <f>INDEX($O$6:$O$50,CT605)&amp;"-"&amp;INDEX(属性投放!$AB$7:$AB$50,CZ605)&amp;"-魂火-"&amp;DB605</f>
        <v>夏侯惇-焦热-魂火-2</v>
      </c>
      <c r="CY605" s="25" t="s">
        <v>142</v>
      </c>
      <c r="CZ605" s="14">
        <f>INDEX(属性投放!$AM$7:$AM$58,CU605)</f>
        <v>13</v>
      </c>
      <c r="DA605" s="14" t="s">
        <v>537</v>
      </c>
      <c r="DB605" s="14">
        <f>INDEX(属性投放!$AN$7:$AN$58,CU605)</f>
        <v>2</v>
      </c>
      <c r="DC605" s="14">
        <f t="shared" si="1004"/>
        <v>29</v>
      </c>
      <c r="DD605" s="14">
        <f>INDEX(属性投放!$AO$7:$AO$58,DC605)</f>
        <v>90</v>
      </c>
      <c r="DE605" s="14" t="s">
        <v>538</v>
      </c>
      <c r="DF605" s="14">
        <f>INDEX(属性投放!$BK$6:$BK$85,(CV605-2)*20+CZ605)</f>
        <v>315</v>
      </c>
      <c r="DG605" s="14">
        <f>SUMIFS(DF$5:DF605,$CT$5:$CT605,"="&amp;$CT605)</f>
        <v>3929</v>
      </c>
      <c r="DH605" s="14" t="s">
        <v>539</v>
      </c>
      <c r="DI605" s="14">
        <f>INDEX(属性投放!$BL$6:$BL$85,(CV605-2)*20+CZ605)</f>
        <v>158</v>
      </c>
      <c r="DJ605" s="14">
        <f>SUMIFS(DI$5:DI605,$CT$5:$CT605,"="&amp;$CT605)</f>
        <v>1968</v>
      </c>
      <c r="DK605" s="14" t="s">
        <v>540</v>
      </c>
      <c r="DL605" s="14">
        <f>INDEX(属性投放!$BM$6:$BM$85,(CV605-2)*20+CZ605)</f>
        <v>3150</v>
      </c>
      <c r="DM605" s="14">
        <f>SUMIFS(DL$5:DL605,$CT$5:$CT605,"="&amp;$CT605)</f>
        <v>33702</v>
      </c>
      <c r="DR605" s="14">
        <f t="shared" si="983"/>
        <v>1102997</v>
      </c>
      <c r="DS605" s="14" t="str">
        <f t="shared" si="984"/>
        <v>SSR守护灵1突</v>
      </c>
      <c r="DT605" s="14">
        <f t="shared" si="1011"/>
        <v>7</v>
      </c>
      <c r="DU605" s="14">
        <f t="shared" si="1012"/>
        <v>6</v>
      </c>
      <c r="DV605" s="14">
        <f t="shared" si="1013"/>
        <v>6</v>
      </c>
      <c r="DW605" s="14">
        <f t="shared" si="985"/>
        <v>4</v>
      </c>
      <c r="DX605" s="14">
        <f t="shared" si="986"/>
        <v>1</v>
      </c>
      <c r="DY605" s="14">
        <f t="shared" si="987"/>
        <v>41</v>
      </c>
      <c r="DZ605" s="14">
        <f>INDEX(属性投放!$AX$6:$AX$85,(卡牌属性!DW605-2)*20+卡牌属性!DX605)</f>
        <v>4</v>
      </c>
      <c r="EA605" s="14">
        <f>INDEX(属性投放!BQ$6:BQ$85,卡牌属性!$DY605)</f>
        <v>35</v>
      </c>
      <c r="EB605" s="14">
        <f>INDEX(属性投放!BR$6:BR$85,卡牌属性!$DY605)</f>
        <v>18</v>
      </c>
      <c r="EC605" s="14">
        <f>INDEX(属性投放!BS$6:BS$85,卡牌属性!$DY605)</f>
        <v>210</v>
      </c>
      <c r="ED605" s="14">
        <f>INDEX(属性偏向!$I$4:$I$15,卡牌属性!$DT605+ED$3)</f>
        <v>200</v>
      </c>
      <c r="EE605" s="14">
        <f>INDEX(属性偏向!$I$4:$I$15,卡牌属性!$DT605+EE$3)</f>
        <v>250</v>
      </c>
      <c r="EF605" s="14">
        <f>INDEX(属性偏向!$I$4:$I$15,卡牌属性!$DT605+EF$3)</f>
        <v>300</v>
      </c>
      <c r="EG605" s="14">
        <f>INDEX(属性偏向!$I$4:$I$15,卡牌属性!$DT605+EG$3)</f>
        <v>300</v>
      </c>
      <c r="EH605" s="14">
        <f>INDEX(属性偏向!$I$4:$I$15,卡牌属性!$DT605+EH$3)</f>
        <v>350</v>
      </c>
      <c r="EI605" s="14">
        <f>INDEX(属性偏向!$J$4:$J$15,卡牌属性!$DU605+EI$3)</f>
        <v>40</v>
      </c>
      <c r="EJ605" s="14">
        <f>INDEX(属性偏向!$J$4:$J$15,卡牌属性!$DU605+EJ$3)</f>
        <v>50</v>
      </c>
      <c r="EK605" s="14">
        <f>INDEX(属性偏向!$J$4:$J$15,卡牌属性!$DU605+EK$3)</f>
        <v>50</v>
      </c>
      <c r="EL605" s="14">
        <f>INDEX(属性偏向!$J$4:$J$15,卡牌属性!$DU605+EL$3)</f>
        <v>75</v>
      </c>
      <c r="EM605" s="14">
        <f>INDEX(属性偏向!$J$4:$J$15,卡牌属性!$DU605+EM$3)</f>
        <v>100</v>
      </c>
      <c r="EN605" s="14">
        <f>INDEX(属性偏向!$K$4:$K$15,卡牌属性!$DV605+EN$3)</f>
        <v>650</v>
      </c>
      <c r="EO605" s="14">
        <f>INDEX(属性偏向!$K$4:$K$15,卡牌属性!$DV605+EO$3)</f>
        <v>800</v>
      </c>
      <c r="EP605" s="14">
        <f>INDEX(属性偏向!$K$4:$K$15,卡牌属性!$DV605+EP$3)</f>
        <v>800</v>
      </c>
      <c r="EQ605" s="14">
        <f>INDEX(属性偏向!$K$4:$K$15,卡牌属性!$DV605+EQ$3)</f>
        <v>1000</v>
      </c>
      <c r="ER605" s="14">
        <f>INDEX(属性偏向!$K$4:$K$15,卡牌属性!$DV605+ER$3)</f>
        <v>1200</v>
      </c>
      <c r="ES605" s="14">
        <f>INDEX(属性偏向!$S$4:$S$243,(卡牌属性!$DT605-1+ES$3)*20+卡牌属性!$DX605)</f>
        <v>12</v>
      </c>
      <c r="ET605" s="14">
        <f>INDEX(属性偏向!$S$4:$S$243,(卡牌属性!$DT605-1+ET$3)*20+卡牌属性!$DX605)</f>
        <v>13</v>
      </c>
      <c r="EU605" s="14">
        <f>INDEX(属性偏向!$S$4:$S$243,(卡牌属性!$DT605-1+EU$3)*20+卡牌属性!$DX605)</f>
        <v>15</v>
      </c>
      <c r="EV605" s="14">
        <f>INDEX(属性偏向!$S$4:$S$243,(卡牌属性!$DT605-1+EV$3)*20+卡牌属性!$DX605)</f>
        <v>15</v>
      </c>
      <c r="EW605" s="14">
        <f>INDEX(属性偏向!$S$4:$S$243,(卡牌属性!$DT605-1+EW$3)*20+卡牌属性!$DX605)</f>
        <v>20</v>
      </c>
      <c r="EX605" s="14">
        <f>INDEX(属性偏向!$T$4:$T$243,(卡牌属性!$DU605-1+EX$3)*20+卡牌属性!$DX605)</f>
        <v>5</v>
      </c>
      <c r="EY605" s="14">
        <f>INDEX(属性偏向!$T$4:$T$243,(卡牌属性!$DU605-1+EY$3)*20+卡牌属性!$DX605)</f>
        <v>6</v>
      </c>
      <c r="EZ605" s="14">
        <f>INDEX(属性偏向!$T$4:$T$243,(卡牌属性!$DU605-1+EZ$3)*20+卡牌属性!$DX605)</f>
        <v>6</v>
      </c>
      <c r="FA605" s="14">
        <f>INDEX(属性偏向!$T$4:$T$243,(卡牌属性!$DU605-1+FA$3)*20+卡牌属性!$DX605)</f>
        <v>7</v>
      </c>
      <c r="FB605" s="14">
        <f>INDEX(属性偏向!$T$4:$T$243,(卡牌属性!$DU605-1+FB$3)*20+卡牌属性!$DX605)</f>
        <v>8</v>
      </c>
      <c r="FC605" s="14">
        <f>INDEX(属性偏向!$U$4:$U$243,(卡牌属性!$DV605-1+FC$3)*20+卡牌属性!$DX605)</f>
        <v>60</v>
      </c>
      <c r="FD605" s="14">
        <f>INDEX(属性偏向!$U$4:$U$243,(卡牌属性!$DV605-1+FD$3)*20+卡牌属性!$DX605)</f>
        <v>72</v>
      </c>
      <c r="FE605" s="14">
        <f>INDEX(属性偏向!$U$4:$U$243,(卡牌属性!$DV605-1+FE$3)*20+卡牌属性!$DX605)</f>
        <v>72</v>
      </c>
      <c r="FF605" s="14">
        <f>INDEX(属性偏向!$U$4:$U$243,(卡牌属性!$DV605-1+FF$3)*20+卡牌属性!$DX605)</f>
        <v>78</v>
      </c>
      <c r="FG605" s="14">
        <f>INDEX(属性偏向!$U$4:$U$243,(卡牌属性!$DV605-1+FG$3)*20+卡牌属性!$DX605)</f>
        <v>90</v>
      </c>
      <c r="FH605" s="14">
        <f>INDEX(属性投放!$BQ$6:$BQ$85,(卡牌属性!$DW605-2)*20+卡牌属性!$DX605)</f>
        <v>35</v>
      </c>
      <c r="FI605" s="14">
        <f>INDEX(属性投放!$BQ$6:$BQ$85,(卡牌属性!$DW605-2)*20+卡牌属性!$DX605)</f>
        <v>35</v>
      </c>
      <c r="FJ605" s="14">
        <f>INDEX(属性投放!$BQ$6:$BQ$85,(卡牌属性!$DW605-2)*20+卡牌属性!$DX605)</f>
        <v>35</v>
      </c>
      <c r="FK605" s="14">
        <f>INDEX(属性投放!$BQ$6:$BQ$85,(卡牌属性!$DW605-2)*20+卡牌属性!$DX605)</f>
        <v>35</v>
      </c>
      <c r="FL605" s="14">
        <f>INDEX(属性投放!$BQ$6:$BQ$85,(卡牌属性!$DW605-2)*20+卡牌属性!$DX605)</f>
        <v>35</v>
      </c>
      <c r="FM605" s="14">
        <f>INDEX(属性投放!$BR$6:$BR$85,(卡牌属性!$DW605-2)*20+卡牌属性!$DX605)</f>
        <v>18</v>
      </c>
      <c r="FN605" s="14">
        <f>INDEX(属性投放!$BR$6:$BR$85,(卡牌属性!$DW605-2)*20+卡牌属性!$DX605)</f>
        <v>18</v>
      </c>
      <c r="FO605" s="14">
        <f>INDEX(属性投放!$BR$6:$BR$85,(卡牌属性!$DW605-2)*20+卡牌属性!$DX605)</f>
        <v>18</v>
      </c>
      <c r="FP605" s="14">
        <f>INDEX(属性投放!$BR$6:$BR$85,(卡牌属性!$DW605-2)*20+卡牌属性!$DX605)</f>
        <v>18</v>
      </c>
      <c r="FQ605" s="14">
        <f>INDEX(属性投放!$BR$6:$BR$85,(卡牌属性!$DW605-2)*20+卡牌属性!$DX605)</f>
        <v>18</v>
      </c>
      <c r="FR605" s="14">
        <f>INDEX(属性投放!$BS$6:$BS$85,(卡牌属性!$DW605-2)*20+卡牌属性!$DX605)</f>
        <v>210</v>
      </c>
      <c r="FS605" s="14">
        <f>INDEX(属性投放!$BS$6:$BS$85,(卡牌属性!$DW605-2)*20+卡牌属性!$DX605)</f>
        <v>210</v>
      </c>
      <c r="FT605" s="14">
        <f>INDEX(属性投放!$BS$6:$BS$85,(卡牌属性!$DW605-2)*20+卡牌属性!$DX605)</f>
        <v>210</v>
      </c>
      <c r="FU605" s="14">
        <f>INDEX(属性投放!$BS$6:$BS$85,(卡牌属性!$DW605-2)*20+卡牌属性!$DX605)</f>
        <v>210</v>
      </c>
      <c r="FV605" s="14">
        <f>INDEX(属性投放!$BS$6:$BS$85,(卡牌属性!$DW605-2)*20+卡牌属性!$DX605)</f>
        <v>210</v>
      </c>
    </row>
    <row r="606" spans="31:178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>
        <v>602</v>
      </c>
      <c r="BX606" s="13">
        <f t="shared" si="981"/>
        <v>31</v>
      </c>
      <c r="BY606" s="14">
        <f t="shared" si="982"/>
        <v>4</v>
      </c>
      <c r="BZ606" s="14">
        <f t="shared" si="1005"/>
        <v>1102997</v>
      </c>
      <c r="CA606" s="14" t="str">
        <f t="shared" si="1006"/>
        <v>SSR守护灵2突</v>
      </c>
      <c r="CB606" s="25" t="s">
        <v>142</v>
      </c>
      <c r="CC606" s="14">
        <v>2</v>
      </c>
      <c r="CD606" s="14">
        <f t="shared" si="1003"/>
        <v>2</v>
      </c>
      <c r="CE606" s="14" t="s">
        <v>21</v>
      </c>
      <c r="CF606" s="14">
        <f>INDEX(属性投放!$AZ$6:$AZ$85,(BY606-2)*20+CD606)</f>
        <v>308</v>
      </c>
      <c r="CG606" s="14" t="s">
        <v>22</v>
      </c>
      <c r="CH606" s="14">
        <f>INDEX(属性投放!$BA$6:$BA$85,(BY606-2)*20+CD606)</f>
        <v>80</v>
      </c>
      <c r="CI606" s="14" t="s">
        <v>510</v>
      </c>
      <c r="CJ606" s="14">
        <f>INDEX(属性投放!$BB$6:$BB$85,(BY606-2)*20+CD606)</f>
        <v>1448</v>
      </c>
      <c r="CK606" s="14" t="s">
        <v>21</v>
      </c>
      <c r="CL606" s="14">
        <f>INDEX(属性投放!$BC$6:$BC$85,(BY606-2)*20+CD606)</f>
        <v>15</v>
      </c>
      <c r="CM606" s="14" t="s">
        <v>22</v>
      </c>
      <c r="CN606" s="14">
        <f>INDEX(属性投放!$BD$6:$BD$85,(BY606-2)*20+CD606)</f>
        <v>8</v>
      </c>
      <c r="CO606" s="14" t="s">
        <v>510</v>
      </c>
      <c r="CP606" s="14">
        <f>INDEX(属性投放!$BE$6:$BE$85,(BY606-2)*20+CD606)</f>
        <v>90</v>
      </c>
      <c r="CS606" s="13">
        <v>602</v>
      </c>
      <c r="CT606" s="13">
        <f t="shared" si="1007"/>
        <v>12</v>
      </c>
      <c r="CU606" s="13">
        <f t="shared" si="1008"/>
        <v>30</v>
      </c>
      <c r="CV606" s="14">
        <f t="shared" si="1009"/>
        <v>5</v>
      </c>
      <c r="CW606" s="14">
        <f t="shared" si="1010"/>
        <v>1102012</v>
      </c>
      <c r="CX606" s="14" t="str">
        <f>INDEX($O$6:$O$50,CT606)&amp;"-"&amp;INDEX(属性投放!$AB$7:$AB$50,CZ606)&amp;"-魂火-"&amp;DB606</f>
        <v>夏侯惇-焦热-魂火-3</v>
      </c>
      <c r="CY606" s="25" t="s">
        <v>142</v>
      </c>
      <c r="CZ606" s="14">
        <f>INDEX(属性投放!$AM$7:$AM$58,CU606)</f>
        <v>13</v>
      </c>
      <c r="DA606" s="14" t="s">
        <v>537</v>
      </c>
      <c r="DB606" s="14">
        <f>INDEX(属性投放!$AN$7:$AN$58,CU606)</f>
        <v>3</v>
      </c>
      <c r="DC606" s="14">
        <f t="shared" si="1004"/>
        <v>30</v>
      </c>
      <c r="DD606" s="14">
        <f>INDEX(属性投放!$AO$7:$AO$58,DC606)</f>
        <v>93</v>
      </c>
      <c r="DE606" s="14" t="s">
        <v>538</v>
      </c>
      <c r="DF606" s="14">
        <f>INDEX(属性投放!$BK$6:$BK$85,(CV606-2)*20+CZ606)</f>
        <v>315</v>
      </c>
      <c r="DG606" s="14">
        <f>SUMIFS(DF$5:DF606,$CT$5:$CT606,"="&amp;$CT606)</f>
        <v>4244</v>
      </c>
      <c r="DH606" s="14" t="s">
        <v>539</v>
      </c>
      <c r="DI606" s="14">
        <f>INDEX(属性投放!$BL$6:$BL$85,(CV606-2)*20+CZ606)</f>
        <v>158</v>
      </c>
      <c r="DJ606" s="14">
        <f>SUMIFS(DI$5:DI606,$CT$5:$CT606,"="&amp;$CT606)</f>
        <v>2126</v>
      </c>
      <c r="DK606" s="14" t="s">
        <v>540</v>
      </c>
      <c r="DL606" s="14">
        <f>INDEX(属性投放!$BM$6:$BM$85,(CV606-2)*20+CZ606)</f>
        <v>3150</v>
      </c>
      <c r="DM606" s="14">
        <f>SUMIFS(DL$5:DL606,$CT$5:$CT606,"="&amp;$CT606)</f>
        <v>36852</v>
      </c>
      <c r="DR606" s="14">
        <f t="shared" si="983"/>
        <v>1102997</v>
      </c>
      <c r="DS606" s="14" t="str">
        <f t="shared" si="984"/>
        <v>SSR守护灵2突</v>
      </c>
      <c r="DT606" s="14">
        <f t="shared" si="1011"/>
        <v>7</v>
      </c>
      <c r="DU606" s="14">
        <f t="shared" si="1012"/>
        <v>6</v>
      </c>
      <c r="DV606" s="14">
        <f t="shared" si="1013"/>
        <v>6</v>
      </c>
      <c r="DW606" s="14">
        <f t="shared" si="985"/>
        <v>4</v>
      </c>
      <c r="DX606" s="14">
        <f t="shared" si="986"/>
        <v>2</v>
      </c>
      <c r="DY606" s="14">
        <f t="shared" si="987"/>
        <v>42</v>
      </c>
      <c r="DZ606" s="14">
        <f>INDEX(属性投放!$AX$6:$AX$85,(卡牌属性!DW606-2)*20+卡牌属性!DX606)</f>
        <v>10</v>
      </c>
      <c r="EA606" s="14">
        <f>INDEX(属性投放!BQ$6:BQ$85,卡牌属性!$DY606)</f>
        <v>40</v>
      </c>
      <c r="EB606" s="14">
        <f>INDEX(属性投放!BR$6:BR$85,卡牌属性!$DY606)</f>
        <v>20</v>
      </c>
      <c r="EC606" s="14">
        <f>INDEX(属性投放!BS$6:BS$85,卡牌属性!$DY606)</f>
        <v>240</v>
      </c>
      <c r="ED606" s="14">
        <f t="shared" ref="ED606:ED624" si="1029">ED605+$EA605+ES605*$DZ605</f>
        <v>283</v>
      </c>
      <c r="EE606" s="14">
        <f t="shared" ref="EE606:EE624" si="1030">EE605+$EA605+ET605*$DZ605</f>
        <v>337</v>
      </c>
      <c r="EF606" s="14">
        <f t="shared" ref="EF606:EF624" si="1031">EF605+$EA605+EU605*$DZ605</f>
        <v>395</v>
      </c>
      <c r="EG606" s="14">
        <f t="shared" ref="EG606:EG624" si="1032">EG605+$EA605+EV605*$DZ605</f>
        <v>395</v>
      </c>
      <c r="EH606" s="14">
        <f t="shared" ref="EH606:EH624" si="1033">EH605+$EA605+EW605*$DZ605</f>
        <v>465</v>
      </c>
      <c r="EI606" s="14">
        <f t="shared" ref="EI606:EI624" si="1034">EI605+$EB605+EX605*$DZ605</f>
        <v>78</v>
      </c>
      <c r="EJ606" s="14">
        <f t="shared" ref="EJ606:EJ624" si="1035">EJ605+$EB605+EY605*$DZ605</f>
        <v>92</v>
      </c>
      <c r="EK606" s="14">
        <f t="shared" ref="EK606:EK624" si="1036">EK605+$EB605+EZ605*$DZ605</f>
        <v>92</v>
      </c>
      <c r="EL606" s="14">
        <f t="shared" ref="EL606:EL624" si="1037">EL605+$EB605+FA605*$DZ605</f>
        <v>121</v>
      </c>
      <c r="EM606" s="14">
        <f t="shared" ref="EM606:EM624" si="1038">EM605+$EB605+FB605*$DZ605</f>
        <v>150</v>
      </c>
      <c r="EN606" s="14">
        <f t="shared" ref="EN606:EN624" si="1039">EN605+$EC605+FC605*$DZ605</f>
        <v>1100</v>
      </c>
      <c r="EO606" s="14">
        <f t="shared" ref="EO606:EO624" si="1040">EO605+$EC605+FD605*$DZ605</f>
        <v>1298</v>
      </c>
      <c r="EP606" s="14">
        <f t="shared" ref="EP606:EP624" si="1041">EP605+$EC605+FE605*$DZ605</f>
        <v>1298</v>
      </c>
      <c r="EQ606" s="14">
        <f t="shared" ref="EQ606:EQ624" si="1042">EQ605+$EC605+FF605*$DZ605</f>
        <v>1522</v>
      </c>
      <c r="ER606" s="14">
        <f t="shared" ref="ER606:ER624" si="1043">ER605+$EC605+FG605*$DZ605</f>
        <v>1770</v>
      </c>
      <c r="ES606" s="14">
        <f>INDEX(属性偏向!$S$4:$S$243,(卡牌属性!$DT606-1+ES$3)*20+卡牌属性!$DX606)</f>
        <v>15</v>
      </c>
      <c r="ET606" s="14">
        <f>INDEX(属性偏向!$S$4:$S$243,(卡牌属性!$DT606-1+ET$3)*20+卡牌属性!$DX606)</f>
        <v>17</v>
      </c>
      <c r="EU606" s="14">
        <f>INDEX(属性偏向!$S$4:$S$243,(卡牌属性!$DT606-1+EU$3)*20+卡牌属性!$DX606)</f>
        <v>20</v>
      </c>
      <c r="EV606" s="14">
        <f>INDEX(属性偏向!$S$4:$S$243,(卡牌属性!$DT606-1+EV$3)*20+卡牌属性!$DX606)</f>
        <v>20</v>
      </c>
      <c r="EW606" s="14">
        <f>INDEX(属性偏向!$S$4:$S$243,(卡牌属性!$DT606-1+EW$3)*20+卡牌属性!$DX606)</f>
        <v>25</v>
      </c>
      <c r="EX606" s="14">
        <f>INDEX(属性偏向!$T$4:$T$243,(卡牌属性!$DU606-1+EX$3)*20+卡牌属性!$DX606)</f>
        <v>6</v>
      </c>
      <c r="EY606" s="14">
        <f>INDEX(属性偏向!$T$4:$T$243,(卡牌属性!$DU606-1+EY$3)*20+卡牌属性!$DX606)</f>
        <v>8</v>
      </c>
      <c r="EZ606" s="14">
        <f>INDEX(属性偏向!$T$4:$T$243,(卡牌属性!$DU606-1+EZ$3)*20+卡牌属性!$DX606)</f>
        <v>8</v>
      </c>
      <c r="FA606" s="14">
        <f>INDEX(属性偏向!$T$4:$T$243,(卡牌属性!$DU606-1+FA$3)*20+卡牌属性!$DX606)</f>
        <v>9</v>
      </c>
      <c r="FB606" s="14">
        <f>INDEX(属性偏向!$T$4:$T$243,(卡牌属性!$DU606-1+FB$3)*20+卡牌属性!$DX606)</f>
        <v>10</v>
      </c>
      <c r="FC606" s="14">
        <f>INDEX(属性偏向!$U$4:$U$243,(卡牌属性!$DV606-1+FC$3)*20+卡牌属性!$DX606)</f>
        <v>72</v>
      </c>
      <c r="FD606" s="14">
        <f>INDEX(属性偏向!$U$4:$U$243,(卡牌属性!$DV606-1+FD$3)*20+卡牌属性!$DX606)</f>
        <v>90</v>
      </c>
      <c r="FE606" s="14">
        <f>INDEX(属性偏向!$U$4:$U$243,(卡牌属性!$DV606-1+FE$3)*20+卡牌属性!$DX606)</f>
        <v>90</v>
      </c>
      <c r="FF606" s="14">
        <f>INDEX(属性偏向!$U$4:$U$243,(卡牌属性!$DV606-1+FF$3)*20+卡牌属性!$DX606)</f>
        <v>102</v>
      </c>
      <c r="FG606" s="14">
        <f>INDEX(属性偏向!$U$4:$U$243,(卡牌属性!$DV606-1+FG$3)*20+卡牌属性!$DX606)</f>
        <v>120</v>
      </c>
      <c r="FH606" s="14">
        <f>INDEX(属性投放!$BQ$6:$BQ$85,(卡牌属性!$DW606-2)*20+卡牌属性!$DX606)</f>
        <v>40</v>
      </c>
      <c r="FI606" s="14">
        <f>INDEX(属性投放!$BQ$6:$BQ$85,(卡牌属性!$DW606-2)*20+卡牌属性!$DX606)</f>
        <v>40</v>
      </c>
      <c r="FJ606" s="14">
        <f>INDEX(属性投放!$BQ$6:$BQ$85,(卡牌属性!$DW606-2)*20+卡牌属性!$DX606)</f>
        <v>40</v>
      </c>
      <c r="FK606" s="14">
        <f>INDEX(属性投放!$BQ$6:$BQ$85,(卡牌属性!$DW606-2)*20+卡牌属性!$DX606)</f>
        <v>40</v>
      </c>
      <c r="FL606" s="14">
        <f>INDEX(属性投放!$BQ$6:$BQ$85,(卡牌属性!$DW606-2)*20+卡牌属性!$DX606)</f>
        <v>40</v>
      </c>
      <c r="FM606" s="14">
        <f>INDEX(属性投放!$BR$6:$BR$85,(卡牌属性!$DW606-2)*20+卡牌属性!$DX606)</f>
        <v>20</v>
      </c>
      <c r="FN606" s="14">
        <f>INDEX(属性投放!$BR$6:$BR$85,(卡牌属性!$DW606-2)*20+卡牌属性!$DX606)</f>
        <v>20</v>
      </c>
      <c r="FO606" s="14">
        <f>INDEX(属性投放!$BR$6:$BR$85,(卡牌属性!$DW606-2)*20+卡牌属性!$DX606)</f>
        <v>20</v>
      </c>
      <c r="FP606" s="14">
        <f>INDEX(属性投放!$BR$6:$BR$85,(卡牌属性!$DW606-2)*20+卡牌属性!$DX606)</f>
        <v>20</v>
      </c>
      <c r="FQ606" s="14">
        <f>INDEX(属性投放!$BR$6:$BR$85,(卡牌属性!$DW606-2)*20+卡牌属性!$DX606)</f>
        <v>20</v>
      </c>
      <c r="FR606" s="14">
        <f>INDEX(属性投放!$BS$6:$BS$85,(卡牌属性!$DW606-2)*20+卡牌属性!$DX606)</f>
        <v>240</v>
      </c>
      <c r="FS606" s="14">
        <f>INDEX(属性投放!$BS$6:$BS$85,(卡牌属性!$DW606-2)*20+卡牌属性!$DX606)</f>
        <v>240</v>
      </c>
      <c r="FT606" s="14">
        <f>INDEX(属性投放!$BS$6:$BS$85,(卡牌属性!$DW606-2)*20+卡牌属性!$DX606)</f>
        <v>240</v>
      </c>
      <c r="FU606" s="14">
        <f>INDEX(属性投放!$BS$6:$BS$85,(卡牌属性!$DW606-2)*20+卡牌属性!$DX606)</f>
        <v>240</v>
      </c>
      <c r="FV606" s="14">
        <f>INDEX(属性投放!$BS$6:$BS$85,(卡牌属性!$DW606-2)*20+卡牌属性!$DX606)</f>
        <v>240</v>
      </c>
    </row>
    <row r="607" spans="31:178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>
        <v>603</v>
      </c>
      <c r="BX607" s="13">
        <f t="shared" si="981"/>
        <v>31</v>
      </c>
      <c r="BY607" s="14">
        <f t="shared" si="982"/>
        <v>4</v>
      </c>
      <c r="BZ607" s="14">
        <f t="shared" si="1005"/>
        <v>1102997</v>
      </c>
      <c r="CA607" s="14" t="str">
        <f t="shared" si="1006"/>
        <v>SSR守护灵3突</v>
      </c>
      <c r="CB607" s="25" t="s">
        <v>142</v>
      </c>
      <c r="CC607" s="14">
        <v>2</v>
      </c>
      <c r="CD607" s="14">
        <f t="shared" si="1003"/>
        <v>3</v>
      </c>
      <c r="CE607" s="14" t="s">
        <v>21</v>
      </c>
      <c r="CF607" s="14">
        <f>INDEX(属性投放!$AZ$6:$AZ$85,(BY607-2)*20+CD607)</f>
        <v>558</v>
      </c>
      <c r="CG607" s="14" t="s">
        <v>22</v>
      </c>
      <c r="CH607" s="14">
        <f>INDEX(属性投放!$BA$6:$BA$85,(BY607-2)*20+CD607)</f>
        <v>210</v>
      </c>
      <c r="CI607" s="14" t="s">
        <v>510</v>
      </c>
      <c r="CJ607" s="14">
        <f>INDEX(属性投放!$BB$6:$BB$85,(BY607-2)*20+CD607)</f>
        <v>2948</v>
      </c>
      <c r="CK607" s="14" t="s">
        <v>21</v>
      </c>
      <c r="CL607" s="14">
        <f>INDEX(属性投放!$BC$6:$BC$85,(BY607-2)*20+CD607)</f>
        <v>15</v>
      </c>
      <c r="CM607" s="14" t="s">
        <v>22</v>
      </c>
      <c r="CN607" s="14">
        <f>INDEX(属性投放!$BD$6:$BD$85,(BY607-2)*20+CD607)</f>
        <v>8</v>
      </c>
      <c r="CO607" s="14" t="s">
        <v>510</v>
      </c>
      <c r="CP607" s="14">
        <f>INDEX(属性投放!$BE$6:$BE$85,(BY607-2)*20+CD607)</f>
        <v>90</v>
      </c>
      <c r="CS607" s="13">
        <v>603</v>
      </c>
      <c r="CT607" s="13">
        <f t="shared" si="1007"/>
        <v>12</v>
      </c>
      <c r="CU607" s="13">
        <f t="shared" si="1008"/>
        <v>31</v>
      </c>
      <c r="CV607" s="14">
        <f t="shared" si="1009"/>
        <v>5</v>
      </c>
      <c r="CW607" s="14">
        <f t="shared" si="1010"/>
        <v>1102012</v>
      </c>
      <c r="CX607" s="14" t="str">
        <f>INDEX($O$6:$O$50,CT607)&amp;"-"&amp;INDEX(属性投放!$AB$7:$AB$50,CZ607)&amp;"-魂火-"&amp;DB607</f>
        <v>夏侯惇-焦热+1-魂火-1</v>
      </c>
      <c r="CY607" s="25" t="s">
        <v>142</v>
      </c>
      <c r="CZ607" s="14">
        <f>INDEX(属性投放!$AM$7:$AM$58,CU607)</f>
        <v>14</v>
      </c>
      <c r="DA607" s="14" t="s">
        <v>537</v>
      </c>
      <c r="DB607" s="14">
        <f>INDEX(属性投放!$AN$7:$AN$58,CU607)</f>
        <v>1</v>
      </c>
      <c r="DC607" s="14">
        <f t="shared" si="1004"/>
        <v>31</v>
      </c>
      <c r="DD607" s="14">
        <f>INDEX(属性投放!$AO$7:$AO$58,DC607)</f>
        <v>95</v>
      </c>
      <c r="DE607" s="14" t="s">
        <v>538</v>
      </c>
      <c r="DF607" s="14">
        <f>INDEX(属性投放!$BK$6:$BK$85,(CV607-2)*20+CZ607)</f>
        <v>365</v>
      </c>
      <c r="DG607" s="14">
        <f>SUMIFS(DF$5:DF607,$CT$5:$CT607,"="&amp;$CT607)</f>
        <v>4609</v>
      </c>
      <c r="DH607" s="14" t="s">
        <v>539</v>
      </c>
      <c r="DI607" s="14">
        <f>INDEX(属性投放!$BL$6:$BL$85,(CV607-2)*20+CZ607)</f>
        <v>183</v>
      </c>
      <c r="DJ607" s="14">
        <f>SUMIFS(DI$5:DI607,$CT$5:$CT607,"="&amp;$CT607)</f>
        <v>2309</v>
      </c>
      <c r="DK607" s="14" t="s">
        <v>540</v>
      </c>
      <c r="DL607" s="14">
        <f>INDEX(属性投放!$BM$6:$BM$85,(CV607-2)*20+CZ607)</f>
        <v>3650</v>
      </c>
      <c r="DM607" s="14">
        <f>SUMIFS(DL$5:DL607,$CT$5:$CT607,"="&amp;$CT607)</f>
        <v>40502</v>
      </c>
      <c r="DR607" s="14">
        <f t="shared" si="983"/>
        <v>1102997</v>
      </c>
      <c r="DS607" s="14" t="str">
        <f t="shared" si="984"/>
        <v>SSR守护灵3突</v>
      </c>
      <c r="DT607" s="14">
        <f t="shared" si="1011"/>
        <v>7</v>
      </c>
      <c r="DU607" s="14">
        <f t="shared" si="1012"/>
        <v>6</v>
      </c>
      <c r="DV607" s="14">
        <f t="shared" si="1013"/>
        <v>6</v>
      </c>
      <c r="DW607" s="14">
        <f t="shared" si="985"/>
        <v>4</v>
      </c>
      <c r="DX607" s="14">
        <f t="shared" si="986"/>
        <v>3</v>
      </c>
      <c r="DY607" s="14">
        <f t="shared" si="987"/>
        <v>43</v>
      </c>
      <c r="DZ607" s="14">
        <f>INDEX(属性投放!$AX$6:$AX$85,(卡牌属性!DW607-2)*20+卡牌属性!DX607)</f>
        <v>10</v>
      </c>
      <c r="EA607" s="14">
        <f>INDEX(属性投放!BQ$6:BQ$85,卡牌属性!$DY607)</f>
        <v>80</v>
      </c>
      <c r="EB607" s="14">
        <f>INDEX(属性投放!BR$6:BR$85,卡牌属性!$DY607)</f>
        <v>40</v>
      </c>
      <c r="EC607" s="14">
        <f>INDEX(属性投放!BS$6:BS$85,卡牌属性!$DY607)</f>
        <v>480</v>
      </c>
      <c r="ED607" s="14">
        <f t="shared" si="1029"/>
        <v>473</v>
      </c>
      <c r="EE607" s="14">
        <f t="shared" si="1030"/>
        <v>547</v>
      </c>
      <c r="EF607" s="14">
        <f t="shared" si="1031"/>
        <v>635</v>
      </c>
      <c r="EG607" s="14">
        <f t="shared" si="1032"/>
        <v>635</v>
      </c>
      <c r="EH607" s="14">
        <f t="shared" si="1033"/>
        <v>755</v>
      </c>
      <c r="EI607" s="14">
        <f t="shared" si="1034"/>
        <v>158</v>
      </c>
      <c r="EJ607" s="14">
        <f t="shared" si="1035"/>
        <v>192</v>
      </c>
      <c r="EK607" s="14">
        <f t="shared" si="1036"/>
        <v>192</v>
      </c>
      <c r="EL607" s="14">
        <f t="shared" si="1037"/>
        <v>231</v>
      </c>
      <c r="EM607" s="14">
        <f t="shared" si="1038"/>
        <v>270</v>
      </c>
      <c r="EN607" s="14">
        <f t="shared" si="1039"/>
        <v>2060</v>
      </c>
      <c r="EO607" s="14">
        <f t="shared" si="1040"/>
        <v>2438</v>
      </c>
      <c r="EP607" s="14">
        <f t="shared" si="1041"/>
        <v>2438</v>
      </c>
      <c r="EQ607" s="14">
        <f t="shared" si="1042"/>
        <v>2782</v>
      </c>
      <c r="ER607" s="14">
        <f t="shared" si="1043"/>
        <v>3210</v>
      </c>
      <c r="ES607" s="14">
        <f>INDEX(属性偏向!$S$4:$S$243,(卡牌属性!$DT607-1+ES$3)*20+卡牌属性!$DX607)</f>
        <v>15</v>
      </c>
      <c r="ET607" s="14">
        <f>INDEX(属性偏向!$S$4:$S$243,(卡牌属性!$DT607-1+ET$3)*20+卡牌属性!$DX607)</f>
        <v>17</v>
      </c>
      <c r="EU607" s="14">
        <f>INDEX(属性偏向!$S$4:$S$243,(卡牌属性!$DT607-1+EU$3)*20+卡牌属性!$DX607)</f>
        <v>20</v>
      </c>
      <c r="EV607" s="14">
        <f>INDEX(属性偏向!$S$4:$S$243,(卡牌属性!$DT607-1+EV$3)*20+卡牌属性!$DX607)</f>
        <v>20</v>
      </c>
      <c r="EW607" s="14">
        <f>INDEX(属性偏向!$S$4:$S$243,(卡牌属性!$DT607-1+EW$3)*20+卡牌属性!$DX607)</f>
        <v>25</v>
      </c>
      <c r="EX607" s="14">
        <f>INDEX(属性偏向!$T$4:$T$243,(卡牌属性!$DU607-1+EX$3)*20+卡牌属性!$DX607)</f>
        <v>6</v>
      </c>
      <c r="EY607" s="14">
        <f>INDEX(属性偏向!$T$4:$T$243,(卡牌属性!$DU607-1+EY$3)*20+卡牌属性!$DX607)</f>
        <v>8</v>
      </c>
      <c r="EZ607" s="14">
        <f>INDEX(属性偏向!$T$4:$T$243,(卡牌属性!$DU607-1+EZ$3)*20+卡牌属性!$DX607)</f>
        <v>8</v>
      </c>
      <c r="FA607" s="14">
        <f>INDEX(属性偏向!$T$4:$T$243,(卡牌属性!$DU607-1+FA$3)*20+卡牌属性!$DX607)</f>
        <v>9</v>
      </c>
      <c r="FB607" s="14">
        <f>INDEX(属性偏向!$T$4:$T$243,(卡牌属性!$DU607-1+FB$3)*20+卡牌属性!$DX607)</f>
        <v>10</v>
      </c>
      <c r="FC607" s="14">
        <f>INDEX(属性偏向!$U$4:$U$243,(卡牌属性!$DV607-1+FC$3)*20+卡牌属性!$DX607)</f>
        <v>72</v>
      </c>
      <c r="FD607" s="14">
        <f>INDEX(属性偏向!$U$4:$U$243,(卡牌属性!$DV607-1+FD$3)*20+卡牌属性!$DX607)</f>
        <v>90</v>
      </c>
      <c r="FE607" s="14">
        <f>INDEX(属性偏向!$U$4:$U$243,(卡牌属性!$DV607-1+FE$3)*20+卡牌属性!$DX607)</f>
        <v>90</v>
      </c>
      <c r="FF607" s="14">
        <f>INDEX(属性偏向!$U$4:$U$243,(卡牌属性!$DV607-1+FF$3)*20+卡牌属性!$DX607)</f>
        <v>102</v>
      </c>
      <c r="FG607" s="14">
        <f>INDEX(属性偏向!$U$4:$U$243,(卡牌属性!$DV607-1+FG$3)*20+卡牌属性!$DX607)</f>
        <v>120</v>
      </c>
      <c r="FH607" s="14">
        <f>INDEX(属性投放!$BQ$6:$BQ$85,(卡牌属性!$DW607-2)*20+卡牌属性!$DX607)</f>
        <v>80</v>
      </c>
      <c r="FI607" s="14">
        <f>INDEX(属性投放!$BQ$6:$BQ$85,(卡牌属性!$DW607-2)*20+卡牌属性!$DX607)</f>
        <v>80</v>
      </c>
      <c r="FJ607" s="14">
        <f>INDEX(属性投放!$BQ$6:$BQ$85,(卡牌属性!$DW607-2)*20+卡牌属性!$DX607)</f>
        <v>80</v>
      </c>
      <c r="FK607" s="14">
        <f>INDEX(属性投放!$BQ$6:$BQ$85,(卡牌属性!$DW607-2)*20+卡牌属性!$DX607)</f>
        <v>80</v>
      </c>
      <c r="FL607" s="14">
        <f>INDEX(属性投放!$BQ$6:$BQ$85,(卡牌属性!$DW607-2)*20+卡牌属性!$DX607)</f>
        <v>80</v>
      </c>
      <c r="FM607" s="14">
        <f>INDEX(属性投放!$BR$6:$BR$85,(卡牌属性!$DW607-2)*20+卡牌属性!$DX607)</f>
        <v>40</v>
      </c>
      <c r="FN607" s="14">
        <f>INDEX(属性投放!$BR$6:$BR$85,(卡牌属性!$DW607-2)*20+卡牌属性!$DX607)</f>
        <v>40</v>
      </c>
      <c r="FO607" s="14">
        <f>INDEX(属性投放!$BR$6:$BR$85,(卡牌属性!$DW607-2)*20+卡牌属性!$DX607)</f>
        <v>40</v>
      </c>
      <c r="FP607" s="14">
        <f>INDEX(属性投放!$BR$6:$BR$85,(卡牌属性!$DW607-2)*20+卡牌属性!$DX607)</f>
        <v>40</v>
      </c>
      <c r="FQ607" s="14">
        <f>INDEX(属性投放!$BR$6:$BR$85,(卡牌属性!$DW607-2)*20+卡牌属性!$DX607)</f>
        <v>40</v>
      </c>
      <c r="FR607" s="14">
        <f>INDEX(属性投放!$BS$6:$BS$85,(卡牌属性!$DW607-2)*20+卡牌属性!$DX607)</f>
        <v>480</v>
      </c>
      <c r="FS607" s="14">
        <f>INDEX(属性投放!$BS$6:$BS$85,(卡牌属性!$DW607-2)*20+卡牌属性!$DX607)</f>
        <v>480</v>
      </c>
      <c r="FT607" s="14">
        <f>INDEX(属性投放!$BS$6:$BS$85,(卡牌属性!$DW607-2)*20+卡牌属性!$DX607)</f>
        <v>480</v>
      </c>
      <c r="FU607" s="14">
        <f>INDEX(属性投放!$BS$6:$BS$85,(卡牌属性!$DW607-2)*20+卡牌属性!$DX607)</f>
        <v>480</v>
      </c>
      <c r="FV607" s="14">
        <f>INDEX(属性投放!$BS$6:$BS$85,(卡牌属性!$DW607-2)*20+卡牌属性!$DX607)</f>
        <v>480</v>
      </c>
    </row>
    <row r="608" spans="31:178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>
        <v>604</v>
      </c>
      <c r="BX608" s="13">
        <f t="shared" si="981"/>
        <v>31</v>
      </c>
      <c r="BY608" s="14">
        <f t="shared" si="982"/>
        <v>4</v>
      </c>
      <c r="BZ608" s="14">
        <f t="shared" si="1005"/>
        <v>1102997</v>
      </c>
      <c r="CA608" s="14" t="str">
        <f t="shared" si="1006"/>
        <v>SSR守护灵4突</v>
      </c>
      <c r="CB608" s="25" t="s">
        <v>142</v>
      </c>
      <c r="CC608" s="14">
        <v>2</v>
      </c>
      <c r="CD608" s="14">
        <f t="shared" si="1003"/>
        <v>4</v>
      </c>
      <c r="CE608" s="14" t="s">
        <v>21</v>
      </c>
      <c r="CF608" s="14">
        <f>INDEX(属性投放!$AZ$6:$AZ$85,(BY608-2)*20+CD608)</f>
        <v>858</v>
      </c>
      <c r="CG608" s="14" t="s">
        <v>22</v>
      </c>
      <c r="CH608" s="14">
        <f>INDEX(属性投放!$BA$6:$BA$85,(BY608-2)*20+CD608)</f>
        <v>366</v>
      </c>
      <c r="CI608" s="14" t="s">
        <v>510</v>
      </c>
      <c r="CJ608" s="14">
        <f>INDEX(属性投放!$BB$6:$BB$85,(BY608-2)*20+CD608)</f>
        <v>4748</v>
      </c>
      <c r="CK608" s="14" t="s">
        <v>21</v>
      </c>
      <c r="CL608" s="14">
        <f>INDEX(属性投放!$BC$6:$BC$85,(BY608-2)*20+CD608)</f>
        <v>20</v>
      </c>
      <c r="CM608" s="14" t="s">
        <v>22</v>
      </c>
      <c r="CN608" s="14">
        <f>INDEX(属性投放!$BD$6:$BD$85,(BY608-2)*20+CD608)</f>
        <v>10</v>
      </c>
      <c r="CO608" s="14" t="s">
        <v>510</v>
      </c>
      <c r="CP608" s="14">
        <f>INDEX(属性投放!$BE$6:$BE$85,(BY608-2)*20+CD608)</f>
        <v>140</v>
      </c>
      <c r="CS608" s="13">
        <v>604</v>
      </c>
      <c r="CT608" s="13">
        <f t="shared" si="1007"/>
        <v>12</v>
      </c>
      <c r="CU608" s="13">
        <f t="shared" si="1008"/>
        <v>32</v>
      </c>
      <c r="CV608" s="14">
        <f t="shared" si="1009"/>
        <v>5</v>
      </c>
      <c r="CW608" s="14">
        <f t="shared" si="1010"/>
        <v>1102012</v>
      </c>
      <c r="CX608" s="14" t="str">
        <f>INDEX($O$6:$O$50,CT608)&amp;"-"&amp;INDEX(属性投放!$AB$7:$AB$50,CZ608)&amp;"-魂火-"&amp;DB608</f>
        <v>夏侯惇-焦热+1-魂火-2</v>
      </c>
      <c r="CY608" s="25" t="s">
        <v>142</v>
      </c>
      <c r="CZ608" s="14">
        <f>INDEX(属性投放!$AM$7:$AM$58,CU608)</f>
        <v>14</v>
      </c>
      <c r="DA608" s="14" t="s">
        <v>537</v>
      </c>
      <c r="DB608" s="14">
        <f>INDEX(属性投放!$AN$7:$AN$58,CU608)</f>
        <v>2</v>
      </c>
      <c r="DC608" s="14">
        <f t="shared" si="1004"/>
        <v>32</v>
      </c>
      <c r="DD608" s="14">
        <f>INDEX(属性投放!$AO$7:$AO$58,DC608)</f>
        <v>98</v>
      </c>
      <c r="DE608" s="14" t="s">
        <v>538</v>
      </c>
      <c r="DF608" s="14">
        <f>INDEX(属性投放!$BK$6:$BK$85,(CV608-2)*20+CZ608)</f>
        <v>365</v>
      </c>
      <c r="DG608" s="14">
        <f>SUMIFS(DF$5:DF608,$CT$5:$CT608,"="&amp;$CT608)</f>
        <v>4974</v>
      </c>
      <c r="DH608" s="14" t="s">
        <v>539</v>
      </c>
      <c r="DI608" s="14">
        <f>INDEX(属性投放!$BL$6:$BL$85,(CV608-2)*20+CZ608)</f>
        <v>183</v>
      </c>
      <c r="DJ608" s="14">
        <f>SUMIFS(DI$5:DI608,$CT$5:$CT608,"="&amp;$CT608)</f>
        <v>2492</v>
      </c>
      <c r="DK608" s="14" t="s">
        <v>540</v>
      </c>
      <c r="DL608" s="14">
        <f>INDEX(属性投放!$BM$6:$BM$85,(CV608-2)*20+CZ608)</f>
        <v>3650</v>
      </c>
      <c r="DM608" s="14">
        <f>SUMIFS(DL$5:DL608,$CT$5:$CT608,"="&amp;$CT608)</f>
        <v>44152</v>
      </c>
      <c r="DR608" s="14">
        <f t="shared" si="983"/>
        <v>1102997</v>
      </c>
      <c r="DS608" s="14" t="str">
        <f t="shared" si="984"/>
        <v>SSR守护灵4突</v>
      </c>
      <c r="DT608" s="14">
        <f t="shared" si="1011"/>
        <v>7</v>
      </c>
      <c r="DU608" s="14">
        <f t="shared" si="1012"/>
        <v>6</v>
      </c>
      <c r="DV608" s="14">
        <f t="shared" si="1013"/>
        <v>6</v>
      </c>
      <c r="DW608" s="14">
        <f t="shared" si="985"/>
        <v>4</v>
      </c>
      <c r="DX608" s="14">
        <f t="shared" si="986"/>
        <v>4</v>
      </c>
      <c r="DY608" s="14">
        <f t="shared" si="987"/>
        <v>44</v>
      </c>
      <c r="DZ608" s="14">
        <f>INDEX(属性投放!$AX$6:$AX$85,(卡牌属性!DW608-2)*20+卡牌属性!DX608)</f>
        <v>10</v>
      </c>
      <c r="EA608" s="14">
        <f>INDEX(属性投放!BQ$6:BQ$85,卡牌属性!$DY608)</f>
        <v>100</v>
      </c>
      <c r="EB608" s="14">
        <f>INDEX(属性投放!BR$6:BR$85,卡牌属性!$DY608)</f>
        <v>50</v>
      </c>
      <c r="EC608" s="14">
        <f>INDEX(属性投放!BS$6:BS$85,卡牌属性!$DY608)</f>
        <v>700</v>
      </c>
      <c r="ED608" s="14">
        <f t="shared" si="1029"/>
        <v>703</v>
      </c>
      <c r="EE608" s="14">
        <f t="shared" si="1030"/>
        <v>797</v>
      </c>
      <c r="EF608" s="14">
        <f t="shared" si="1031"/>
        <v>915</v>
      </c>
      <c r="EG608" s="14">
        <f t="shared" si="1032"/>
        <v>915</v>
      </c>
      <c r="EH608" s="14">
        <f t="shared" si="1033"/>
        <v>1085</v>
      </c>
      <c r="EI608" s="14">
        <f t="shared" si="1034"/>
        <v>258</v>
      </c>
      <c r="EJ608" s="14">
        <f t="shared" si="1035"/>
        <v>312</v>
      </c>
      <c r="EK608" s="14">
        <f t="shared" si="1036"/>
        <v>312</v>
      </c>
      <c r="EL608" s="14">
        <f t="shared" si="1037"/>
        <v>361</v>
      </c>
      <c r="EM608" s="14">
        <f t="shared" si="1038"/>
        <v>410</v>
      </c>
      <c r="EN608" s="14">
        <f t="shared" si="1039"/>
        <v>3260</v>
      </c>
      <c r="EO608" s="14">
        <f t="shared" si="1040"/>
        <v>3818</v>
      </c>
      <c r="EP608" s="14">
        <f t="shared" si="1041"/>
        <v>3818</v>
      </c>
      <c r="EQ608" s="14">
        <f t="shared" si="1042"/>
        <v>4282</v>
      </c>
      <c r="ER608" s="14">
        <f t="shared" si="1043"/>
        <v>4890</v>
      </c>
      <c r="ES608" s="14">
        <f>INDEX(属性偏向!$S$4:$S$243,(卡牌属性!$DT608-1+ES$3)*20+卡牌属性!$DX608)</f>
        <v>20</v>
      </c>
      <c r="ET608" s="14">
        <f>INDEX(属性偏向!$S$4:$S$243,(卡牌属性!$DT608-1+ET$3)*20+卡牌属性!$DX608)</f>
        <v>22</v>
      </c>
      <c r="EU608" s="14">
        <f>INDEX(属性偏向!$S$4:$S$243,(卡牌属性!$DT608-1+EU$3)*20+卡牌属性!$DX608)</f>
        <v>25</v>
      </c>
      <c r="EV608" s="14">
        <f>INDEX(属性偏向!$S$4:$S$243,(卡牌属性!$DT608-1+EV$3)*20+卡牌属性!$DX608)</f>
        <v>25</v>
      </c>
      <c r="EW608" s="14">
        <f>INDEX(属性偏向!$S$4:$S$243,(卡牌属性!$DT608-1+EW$3)*20+卡牌属性!$DX608)</f>
        <v>30</v>
      </c>
      <c r="EX608" s="14">
        <f>INDEX(属性偏向!$T$4:$T$243,(卡牌属性!$DU608-1+EX$3)*20+卡牌属性!$DX608)</f>
        <v>7</v>
      </c>
      <c r="EY608" s="14">
        <f>INDEX(属性偏向!$T$4:$T$243,(卡牌属性!$DU608-1+EY$3)*20+卡牌属性!$DX608)</f>
        <v>10</v>
      </c>
      <c r="EZ608" s="14">
        <f>INDEX(属性偏向!$T$4:$T$243,(卡牌属性!$DU608-1+EZ$3)*20+卡牌属性!$DX608)</f>
        <v>10</v>
      </c>
      <c r="FA608" s="14">
        <f>INDEX(属性偏向!$T$4:$T$243,(卡牌属性!$DU608-1+FA$3)*20+卡牌属性!$DX608)</f>
        <v>11</v>
      </c>
      <c r="FB608" s="14">
        <f>INDEX(属性偏向!$T$4:$T$243,(卡牌属性!$DU608-1+FB$3)*20+卡牌属性!$DX608)</f>
        <v>13</v>
      </c>
      <c r="FC608" s="14">
        <f>INDEX(属性偏向!$U$4:$U$243,(卡牌属性!$DV608-1+FC$3)*20+卡牌属性!$DX608)</f>
        <v>91</v>
      </c>
      <c r="FD608" s="14">
        <f>INDEX(属性偏向!$U$4:$U$243,(卡牌属性!$DV608-1+FD$3)*20+卡牌属性!$DX608)</f>
        <v>140</v>
      </c>
      <c r="FE608" s="14">
        <f>INDEX(属性偏向!$U$4:$U$243,(卡牌属性!$DV608-1+FE$3)*20+卡牌属性!$DX608)</f>
        <v>140</v>
      </c>
      <c r="FF608" s="14">
        <f>INDEX(属性偏向!$U$4:$U$243,(卡牌属性!$DV608-1+FF$3)*20+卡牌属性!$DX608)</f>
        <v>154</v>
      </c>
      <c r="FG608" s="14">
        <f>INDEX(属性偏向!$U$4:$U$243,(卡牌属性!$DV608-1+FG$3)*20+卡牌属性!$DX608)</f>
        <v>175</v>
      </c>
      <c r="FH608" s="14">
        <f>INDEX(属性投放!$BQ$6:$BQ$85,(卡牌属性!$DW608-2)*20+卡牌属性!$DX608)</f>
        <v>100</v>
      </c>
      <c r="FI608" s="14">
        <f>INDEX(属性投放!$BQ$6:$BQ$85,(卡牌属性!$DW608-2)*20+卡牌属性!$DX608)</f>
        <v>100</v>
      </c>
      <c r="FJ608" s="14">
        <f>INDEX(属性投放!$BQ$6:$BQ$85,(卡牌属性!$DW608-2)*20+卡牌属性!$DX608)</f>
        <v>100</v>
      </c>
      <c r="FK608" s="14">
        <f>INDEX(属性投放!$BQ$6:$BQ$85,(卡牌属性!$DW608-2)*20+卡牌属性!$DX608)</f>
        <v>100</v>
      </c>
      <c r="FL608" s="14">
        <f>INDEX(属性投放!$BQ$6:$BQ$85,(卡牌属性!$DW608-2)*20+卡牌属性!$DX608)</f>
        <v>100</v>
      </c>
      <c r="FM608" s="14">
        <f>INDEX(属性投放!$BR$6:$BR$85,(卡牌属性!$DW608-2)*20+卡牌属性!$DX608)</f>
        <v>50</v>
      </c>
      <c r="FN608" s="14">
        <f>INDEX(属性投放!$BR$6:$BR$85,(卡牌属性!$DW608-2)*20+卡牌属性!$DX608)</f>
        <v>50</v>
      </c>
      <c r="FO608" s="14">
        <f>INDEX(属性投放!$BR$6:$BR$85,(卡牌属性!$DW608-2)*20+卡牌属性!$DX608)</f>
        <v>50</v>
      </c>
      <c r="FP608" s="14">
        <f>INDEX(属性投放!$BR$6:$BR$85,(卡牌属性!$DW608-2)*20+卡牌属性!$DX608)</f>
        <v>50</v>
      </c>
      <c r="FQ608" s="14">
        <f>INDEX(属性投放!$BR$6:$BR$85,(卡牌属性!$DW608-2)*20+卡牌属性!$DX608)</f>
        <v>50</v>
      </c>
      <c r="FR608" s="14">
        <f>INDEX(属性投放!$BS$6:$BS$85,(卡牌属性!$DW608-2)*20+卡牌属性!$DX608)</f>
        <v>700</v>
      </c>
      <c r="FS608" s="14">
        <f>INDEX(属性投放!$BS$6:$BS$85,(卡牌属性!$DW608-2)*20+卡牌属性!$DX608)</f>
        <v>700</v>
      </c>
      <c r="FT608" s="14">
        <f>INDEX(属性投放!$BS$6:$BS$85,(卡牌属性!$DW608-2)*20+卡牌属性!$DX608)</f>
        <v>700</v>
      </c>
      <c r="FU608" s="14">
        <f>INDEX(属性投放!$BS$6:$BS$85,(卡牌属性!$DW608-2)*20+卡牌属性!$DX608)</f>
        <v>700</v>
      </c>
      <c r="FV608" s="14">
        <f>INDEX(属性投放!$BS$6:$BS$85,(卡牌属性!$DW608-2)*20+卡牌属性!$DX608)</f>
        <v>700</v>
      </c>
    </row>
    <row r="609" spans="31:178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>
        <v>605</v>
      </c>
      <c r="BX609" s="13">
        <f t="shared" si="981"/>
        <v>31</v>
      </c>
      <c r="BY609" s="14">
        <f t="shared" si="982"/>
        <v>4</v>
      </c>
      <c r="BZ609" s="14">
        <f t="shared" si="1005"/>
        <v>1102997</v>
      </c>
      <c r="CA609" s="14" t="str">
        <f t="shared" si="1006"/>
        <v>SSR守护灵5突</v>
      </c>
      <c r="CB609" s="25" t="s">
        <v>142</v>
      </c>
      <c r="CC609" s="14">
        <v>2</v>
      </c>
      <c r="CD609" s="14">
        <f t="shared" si="1003"/>
        <v>5</v>
      </c>
      <c r="CE609" s="14" t="s">
        <v>21</v>
      </c>
      <c r="CF609" s="14">
        <f>INDEX(属性投放!$AZ$6:$AZ$85,(BY609-2)*20+CD609)</f>
        <v>1248</v>
      </c>
      <c r="CG609" s="14" t="s">
        <v>22</v>
      </c>
      <c r="CH609" s="14">
        <f>INDEX(属性投放!$BA$6:$BA$85,(BY609-2)*20+CD609)</f>
        <v>562</v>
      </c>
      <c r="CI609" s="14" t="s">
        <v>510</v>
      </c>
      <c r="CJ609" s="14">
        <f>INDEX(属性投放!$BB$6:$BB$85,(BY609-2)*20+CD609)</f>
        <v>7478</v>
      </c>
      <c r="CK609" s="14" t="s">
        <v>21</v>
      </c>
      <c r="CL609" s="14">
        <f>INDEX(属性投放!$BC$6:$BC$85,(BY609-2)*20+CD609)</f>
        <v>20</v>
      </c>
      <c r="CM609" s="14" t="s">
        <v>22</v>
      </c>
      <c r="CN609" s="14">
        <f>INDEX(属性投放!$BD$6:$BD$85,(BY609-2)*20+CD609)</f>
        <v>10</v>
      </c>
      <c r="CO609" s="14" t="s">
        <v>510</v>
      </c>
      <c r="CP609" s="14">
        <f>INDEX(属性投放!$BE$6:$BE$85,(BY609-2)*20+CD609)</f>
        <v>140</v>
      </c>
      <c r="CS609" s="13">
        <v>605</v>
      </c>
      <c r="CT609" s="13">
        <f t="shared" si="1007"/>
        <v>12</v>
      </c>
      <c r="CU609" s="13">
        <f t="shared" si="1008"/>
        <v>33</v>
      </c>
      <c r="CV609" s="14">
        <f t="shared" si="1009"/>
        <v>5</v>
      </c>
      <c r="CW609" s="14">
        <f t="shared" si="1010"/>
        <v>1102012</v>
      </c>
      <c r="CX609" s="14" t="str">
        <f>INDEX($O$6:$O$50,CT609)&amp;"-"&amp;INDEX(属性投放!$AB$7:$AB$50,CZ609)&amp;"-魂火-"&amp;DB609</f>
        <v>夏侯惇-焦热+1-魂火-3</v>
      </c>
      <c r="CY609" s="25" t="s">
        <v>142</v>
      </c>
      <c r="CZ609" s="14">
        <f>INDEX(属性投放!$AM$7:$AM$58,CU609)</f>
        <v>14</v>
      </c>
      <c r="DA609" s="14" t="s">
        <v>537</v>
      </c>
      <c r="DB609" s="14">
        <f>INDEX(属性投放!$AN$7:$AN$58,CU609)</f>
        <v>3</v>
      </c>
      <c r="DC609" s="14">
        <f t="shared" si="1004"/>
        <v>33</v>
      </c>
      <c r="DD609" s="14">
        <f>INDEX(属性投放!$AO$7:$AO$58,DC609)</f>
        <v>100</v>
      </c>
      <c r="DE609" s="14" t="s">
        <v>538</v>
      </c>
      <c r="DF609" s="14">
        <f>INDEX(属性投放!$BK$6:$BK$85,(CV609-2)*20+CZ609)</f>
        <v>365</v>
      </c>
      <c r="DG609" s="14">
        <f>SUMIFS(DF$5:DF609,$CT$5:$CT609,"="&amp;$CT609)</f>
        <v>5339</v>
      </c>
      <c r="DH609" s="14" t="s">
        <v>539</v>
      </c>
      <c r="DI609" s="14">
        <f>INDEX(属性投放!$BL$6:$BL$85,(CV609-2)*20+CZ609)</f>
        <v>183</v>
      </c>
      <c r="DJ609" s="14">
        <f>SUMIFS(DI$5:DI609,$CT$5:$CT609,"="&amp;$CT609)</f>
        <v>2675</v>
      </c>
      <c r="DK609" s="14" t="s">
        <v>540</v>
      </c>
      <c r="DL609" s="14">
        <f>INDEX(属性投放!$BM$6:$BM$85,(CV609-2)*20+CZ609)</f>
        <v>3650</v>
      </c>
      <c r="DM609" s="14">
        <f>SUMIFS(DL$5:DL609,$CT$5:$CT609,"="&amp;$CT609)</f>
        <v>47802</v>
      </c>
      <c r="DR609" s="14">
        <f t="shared" si="983"/>
        <v>1102997</v>
      </c>
      <c r="DS609" s="14" t="str">
        <f t="shared" si="984"/>
        <v>SSR守护灵5突</v>
      </c>
      <c r="DT609" s="14">
        <f t="shared" si="1011"/>
        <v>7</v>
      </c>
      <c r="DU609" s="14">
        <f t="shared" si="1012"/>
        <v>6</v>
      </c>
      <c r="DV609" s="14">
        <f t="shared" si="1013"/>
        <v>6</v>
      </c>
      <c r="DW609" s="14">
        <f t="shared" si="985"/>
        <v>4</v>
      </c>
      <c r="DX609" s="14">
        <f t="shared" si="986"/>
        <v>5</v>
      </c>
      <c r="DY609" s="14">
        <f t="shared" si="987"/>
        <v>45</v>
      </c>
      <c r="DZ609" s="14">
        <f>INDEX(属性投放!$AX$6:$AX$85,(卡牌属性!DW609-2)*20+卡牌属性!DX609)</f>
        <v>7</v>
      </c>
      <c r="EA609" s="14">
        <f>INDEX(属性投放!BQ$6:BQ$85,卡牌属性!$DY609)</f>
        <v>120</v>
      </c>
      <c r="EB609" s="14">
        <f>INDEX(属性投放!BR$6:BR$85,卡牌属性!$DY609)</f>
        <v>60</v>
      </c>
      <c r="EC609" s="14">
        <f>INDEX(属性投放!BS$6:BS$85,卡牌属性!$DY609)</f>
        <v>840</v>
      </c>
      <c r="ED609" s="14">
        <f t="shared" si="1029"/>
        <v>1003</v>
      </c>
      <c r="EE609" s="14">
        <f t="shared" si="1030"/>
        <v>1117</v>
      </c>
      <c r="EF609" s="14">
        <f t="shared" si="1031"/>
        <v>1265</v>
      </c>
      <c r="EG609" s="14">
        <f t="shared" si="1032"/>
        <v>1265</v>
      </c>
      <c r="EH609" s="14">
        <f t="shared" si="1033"/>
        <v>1485</v>
      </c>
      <c r="EI609" s="14">
        <f t="shared" si="1034"/>
        <v>378</v>
      </c>
      <c r="EJ609" s="14">
        <f t="shared" si="1035"/>
        <v>462</v>
      </c>
      <c r="EK609" s="14">
        <f t="shared" si="1036"/>
        <v>462</v>
      </c>
      <c r="EL609" s="14">
        <f t="shared" si="1037"/>
        <v>521</v>
      </c>
      <c r="EM609" s="14">
        <f t="shared" si="1038"/>
        <v>590</v>
      </c>
      <c r="EN609" s="14">
        <f t="shared" si="1039"/>
        <v>4870</v>
      </c>
      <c r="EO609" s="14">
        <f t="shared" si="1040"/>
        <v>5918</v>
      </c>
      <c r="EP609" s="14">
        <f t="shared" si="1041"/>
        <v>5918</v>
      </c>
      <c r="EQ609" s="14">
        <f t="shared" si="1042"/>
        <v>6522</v>
      </c>
      <c r="ER609" s="14">
        <f t="shared" si="1043"/>
        <v>7340</v>
      </c>
      <c r="ES609" s="14">
        <f>INDEX(属性偏向!$S$4:$S$243,(卡牌属性!$DT609-1+ES$3)*20+卡牌属性!$DX609)</f>
        <v>20</v>
      </c>
      <c r="ET609" s="14">
        <f>INDEX(属性偏向!$S$4:$S$243,(卡牌属性!$DT609-1+ET$3)*20+卡牌属性!$DX609)</f>
        <v>22</v>
      </c>
      <c r="EU609" s="14">
        <f>INDEX(属性偏向!$S$4:$S$243,(卡牌属性!$DT609-1+EU$3)*20+卡牌属性!$DX609)</f>
        <v>25</v>
      </c>
      <c r="EV609" s="14">
        <f>INDEX(属性偏向!$S$4:$S$243,(卡牌属性!$DT609-1+EV$3)*20+卡牌属性!$DX609)</f>
        <v>25</v>
      </c>
      <c r="EW609" s="14">
        <f>INDEX(属性偏向!$S$4:$S$243,(卡牌属性!$DT609-1+EW$3)*20+卡牌属性!$DX609)</f>
        <v>30</v>
      </c>
      <c r="EX609" s="14">
        <f>INDEX(属性偏向!$T$4:$T$243,(卡牌属性!$DU609-1+EX$3)*20+卡牌属性!$DX609)</f>
        <v>7</v>
      </c>
      <c r="EY609" s="14">
        <f>INDEX(属性偏向!$T$4:$T$243,(卡牌属性!$DU609-1+EY$3)*20+卡牌属性!$DX609)</f>
        <v>10</v>
      </c>
      <c r="EZ609" s="14">
        <f>INDEX(属性偏向!$T$4:$T$243,(卡牌属性!$DU609-1+EZ$3)*20+卡牌属性!$DX609)</f>
        <v>10</v>
      </c>
      <c r="FA609" s="14">
        <f>INDEX(属性偏向!$T$4:$T$243,(卡牌属性!$DU609-1+FA$3)*20+卡牌属性!$DX609)</f>
        <v>11</v>
      </c>
      <c r="FB609" s="14">
        <f>INDEX(属性偏向!$T$4:$T$243,(卡牌属性!$DU609-1+FB$3)*20+卡牌属性!$DX609)</f>
        <v>13</v>
      </c>
      <c r="FC609" s="14">
        <f>INDEX(属性偏向!$U$4:$U$243,(卡牌属性!$DV609-1+FC$3)*20+卡牌属性!$DX609)</f>
        <v>91</v>
      </c>
      <c r="FD609" s="14">
        <f>INDEX(属性偏向!$U$4:$U$243,(卡牌属性!$DV609-1+FD$3)*20+卡牌属性!$DX609)</f>
        <v>140</v>
      </c>
      <c r="FE609" s="14">
        <f>INDEX(属性偏向!$U$4:$U$243,(卡牌属性!$DV609-1+FE$3)*20+卡牌属性!$DX609)</f>
        <v>140</v>
      </c>
      <c r="FF609" s="14">
        <f>INDEX(属性偏向!$U$4:$U$243,(卡牌属性!$DV609-1+FF$3)*20+卡牌属性!$DX609)</f>
        <v>154</v>
      </c>
      <c r="FG609" s="14">
        <f>INDEX(属性偏向!$U$4:$U$243,(卡牌属性!$DV609-1+FG$3)*20+卡牌属性!$DX609)</f>
        <v>175</v>
      </c>
      <c r="FH609" s="14">
        <f>INDEX(属性投放!$BQ$6:$BQ$85,(卡牌属性!$DW609-2)*20+卡牌属性!$DX609)</f>
        <v>120</v>
      </c>
      <c r="FI609" s="14">
        <f>INDEX(属性投放!$BQ$6:$BQ$85,(卡牌属性!$DW609-2)*20+卡牌属性!$DX609)</f>
        <v>120</v>
      </c>
      <c r="FJ609" s="14">
        <f>INDEX(属性投放!$BQ$6:$BQ$85,(卡牌属性!$DW609-2)*20+卡牌属性!$DX609)</f>
        <v>120</v>
      </c>
      <c r="FK609" s="14">
        <f>INDEX(属性投放!$BQ$6:$BQ$85,(卡牌属性!$DW609-2)*20+卡牌属性!$DX609)</f>
        <v>120</v>
      </c>
      <c r="FL609" s="14">
        <f>INDEX(属性投放!$BQ$6:$BQ$85,(卡牌属性!$DW609-2)*20+卡牌属性!$DX609)</f>
        <v>120</v>
      </c>
      <c r="FM609" s="14">
        <f>INDEX(属性投放!$BR$6:$BR$85,(卡牌属性!$DW609-2)*20+卡牌属性!$DX609)</f>
        <v>60</v>
      </c>
      <c r="FN609" s="14">
        <f>INDEX(属性投放!$BR$6:$BR$85,(卡牌属性!$DW609-2)*20+卡牌属性!$DX609)</f>
        <v>60</v>
      </c>
      <c r="FO609" s="14">
        <f>INDEX(属性投放!$BR$6:$BR$85,(卡牌属性!$DW609-2)*20+卡牌属性!$DX609)</f>
        <v>60</v>
      </c>
      <c r="FP609" s="14">
        <f>INDEX(属性投放!$BR$6:$BR$85,(卡牌属性!$DW609-2)*20+卡牌属性!$DX609)</f>
        <v>60</v>
      </c>
      <c r="FQ609" s="14">
        <f>INDEX(属性投放!$BR$6:$BR$85,(卡牌属性!$DW609-2)*20+卡牌属性!$DX609)</f>
        <v>60</v>
      </c>
      <c r="FR609" s="14">
        <f>INDEX(属性投放!$BS$6:$BS$85,(卡牌属性!$DW609-2)*20+卡牌属性!$DX609)</f>
        <v>840</v>
      </c>
      <c r="FS609" s="14">
        <f>INDEX(属性投放!$BS$6:$BS$85,(卡牌属性!$DW609-2)*20+卡牌属性!$DX609)</f>
        <v>840</v>
      </c>
      <c r="FT609" s="14">
        <f>INDEX(属性投放!$BS$6:$BS$85,(卡牌属性!$DW609-2)*20+卡牌属性!$DX609)</f>
        <v>840</v>
      </c>
      <c r="FU609" s="14">
        <f>INDEX(属性投放!$BS$6:$BS$85,(卡牌属性!$DW609-2)*20+卡牌属性!$DX609)</f>
        <v>840</v>
      </c>
      <c r="FV609" s="14">
        <f>INDEX(属性投放!$BS$6:$BS$85,(卡牌属性!$DW609-2)*20+卡牌属性!$DX609)</f>
        <v>840</v>
      </c>
    </row>
    <row r="610" spans="31:178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>
        <v>606</v>
      </c>
      <c r="BX610" s="13">
        <f t="shared" si="981"/>
        <v>31</v>
      </c>
      <c r="BY610" s="14">
        <f t="shared" si="982"/>
        <v>4</v>
      </c>
      <c r="BZ610" s="14">
        <f t="shared" si="1005"/>
        <v>1102997</v>
      </c>
      <c r="CA610" s="14" t="str">
        <f t="shared" si="1006"/>
        <v>SSR守护灵6突</v>
      </c>
      <c r="CB610" s="25" t="s">
        <v>142</v>
      </c>
      <c r="CC610" s="14">
        <v>2</v>
      </c>
      <c r="CD610" s="14">
        <f t="shared" si="1003"/>
        <v>6</v>
      </c>
      <c r="CE610" s="14" t="s">
        <v>21</v>
      </c>
      <c r="CF610" s="14">
        <f>INDEX(属性投放!$AZ$6:$AZ$85,(BY610-2)*20+CD610)</f>
        <v>1618</v>
      </c>
      <c r="CG610" s="14" t="s">
        <v>22</v>
      </c>
      <c r="CH610" s="14">
        <f>INDEX(属性投放!$BA$6:$BA$85,(BY610-2)*20+CD610)</f>
        <v>748</v>
      </c>
      <c r="CI610" s="14" t="s">
        <v>510</v>
      </c>
      <c r="CJ610" s="14">
        <f>INDEX(属性投放!$BB$6:$BB$85,(BY610-2)*20+CD610)</f>
        <v>10068</v>
      </c>
      <c r="CK610" s="14" t="s">
        <v>21</v>
      </c>
      <c r="CL610" s="14">
        <f>INDEX(属性投放!$BC$6:$BC$85,(BY610-2)*20+CD610)</f>
        <v>20</v>
      </c>
      <c r="CM610" s="14" t="s">
        <v>22</v>
      </c>
      <c r="CN610" s="14">
        <f>INDEX(属性投放!$BD$6:$BD$85,(BY610-2)*20+CD610)</f>
        <v>10</v>
      </c>
      <c r="CO610" s="14" t="s">
        <v>510</v>
      </c>
      <c r="CP610" s="14">
        <f>INDEX(属性投放!$BE$6:$BE$85,(BY610-2)*20+CD610)</f>
        <v>140</v>
      </c>
      <c r="CS610" s="13">
        <v>606</v>
      </c>
      <c r="CT610" s="13">
        <f t="shared" si="1007"/>
        <v>12</v>
      </c>
      <c r="CU610" s="13">
        <f t="shared" si="1008"/>
        <v>34</v>
      </c>
      <c r="CV610" s="14">
        <f t="shared" si="1009"/>
        <v>5</v>
      </c>
      <c r="CW610" s="14">
        <f t="shared" si="1010"/>
        <v>1102012</v>
      </c>
      <c r="CX610" s="14" t="str">
        <f>INDEX($O$6:$O$50,CT610)&amp;"-"&amp;INDEX(属性投放!$AB$7:$AB$50,CZ610)&amp;"-魂火-"&amp;DB610</f>
        <v>夏侯惇-焦热+2-魂火-1</v>
      </c>
      <c r="CY610" s="25" t="s">
        <v>142</v>
      </c>
      <c r="CZ610" s="14">
        <f>INDEX(属性投放!$AM$7:$AM$58,CU610)</f>
        <v>15</v>
      </c>
      <c r="DA610" s="14" t="s">
        <v>537</v>
      </c>
      <c r="DB610" s="14">
        <f>INDEX(属性投放!$AN$7:$AN$58,CU610)</f>
        <v>1</v>
      </c>
      <c r="DC610" s="14">
        <f t="shared" si="1004"/>
        <v>34</v>
      </c>
      <c r="DD610" s="14">
        <f>INDEX(属性投放!$AO$7:$AO$58,DC610)</f>
        <v>103</v>
      </c>
      <c r="DE610" s="14" t="s">
        <v>538</v>
      </c>
      <c r="DF610" s="14">
        <f>INDEX(属性投放!$BK$6:$BK$85,(CV610-2)*20+CZ610)</f>
        <v>500</v>
      </c>
      <c r="DG610" s="14">
        <f>SUMIFS(DF$5:DF610,$CT$5:$CT610,"="&amp;$CT610)</f>
        <v>5839</v>
      </c>
      <c r="DH610" s="14" t="s">
        <v>539</v>
      </c>
      <c r="DI610" s="14">
        <f>INDEX(属性投放!$BL$6:$BL$85,(CV610-2)*20+CZ610)</f>
        <v>250</v>
      </c>
      <c r="DJ610" s="14">
        <f>SUMIFS(DI$5:DI610,$CT$5:$CT610,"="&amp;$CT610)</f>
        <v>2925</v>
      </c>
      <c r="DK610" s="14" t="s">
        <v>540</v>
      </c>
      <c r="DL610" s="14">
        <f>INDEX(属性投放!$BM$6:$BM$85,(CV610-2)*20+CZ610)</f>
        <v>5000</v>
      </c>
      <c r="DM610" s="14">
        <f>SUMIFS(DL$5:DL610,$CT$5:$CT610,"="&amp;$CT610)</f>
        <v>52802</v>
      </c>
      <c r="DR610" s="14">
        <f t="shared" si="983"/>
        <v>1102997</v>
      </c>
      <c r="DS610" s="14" t="str">
        <f t="shared" si="984"/>
        <v>SSR守护灵6突</v>
      </c>
      <c r="DT610" s="14">
        <f t="shared" si="1011"/>
        <v>7</v>
      </c>
      <c r="DU610" s="14">
        <f t="shared" si="1012"/>
        <v>6</v>
      </c>
      <c r="DV610" s="14">
        <f t="shared" si="1013"/>
        <v>6</v>
      </c>
      <c r="DW610" s="14">
        <f t="shared" si="985"/>
        <v>4</v>
      </c>
      <c r="DX610" s="14">
        <f t="shared" si="986"/>
        <v>6</v>
      </c>
      <c r="DY610" s="14">
        <f t="shared" si="987"/>
        <v>46</v>
      </c>
      <c r="DZ610" s="14">
        <f>INDEX(属性投放!$AX$6:$AX$85,(卡牌属性!DW610-2)*20+卡牌属性!DX610)</f>
        <v>5</v>
      </c>
      <c r="EA610" s="14">
        <f>INDEX(属性投放!BQ$6:BQ$85,卡牌属性!$DY610)</f>
        <v>160</v>
      </c>
      <c r="EB610" s="14">
        <f>INDEX(属性投放!BR$6:BR$85,卡牌属性!$DY610)</f>
        <v>80</v>
      </c>
      <c r="EC610" s="14">
        <f>INDEX(属性投放!BS$6:BS$85,卡牌属性!$DY610)</f>
        <v>1120</v>
      </c>
      <c r="ED610" s="14">
        <f t="shared" si="1029"/>
        <v>1263</v>
      </c>
      <c r="EE610" s="14">
        <f t="shared" si="1030"/>
        <v>1391</v>
      </c>
      <c r="EF610" s="14">
        <f t="shared" si="1031"/>
        <v>1560</v>
      </c>
      <c r="EG610" s="14">
        <f t="shared" si="1032"/>
        <v>1560</v>
      </c>
      <c r="EH610" s="14">
        <f t="shared" si="1033"/>
        <v>1815</v>
      </c>
      <c r="EI610" s="14">
        <f t="shared" si="1034"/>
        <v>487</v>
      </c>
      <c r="EJ610" s="14">
        <f t="shared" si="1035"/>
        <v>592</v>
      </c>
      <c r="EK610" s="14">
        <f t="shared" si="1036"/>
        <v>592</v>
      </c>
      <c r="EL610" s="14">
        <f t="shared" si="1037"/>
        <v>658</v>
      </c>
      <c r="EM610" s="14">
        <f t="shared" si="1038"/>
        <v>741</v>
      </c>
      <c r="EN610" s="14">
        <f t="shared" si="1039"/>
        <v>6347</v>
      </c>
      <c r="EO610" s="14">
        <f t="shared" si="1040"/>
        <v>7738</v>
      </c>
      <c r="EP610" s="14">
        <f t="shared" si="1041"/>
        <v>7738</v>
      </c>
      <c r="EQ610" s="14">
        <f t="shared" si="1042"/>
        <v>8440</v>
      </c>
      <c r="ER610" s="14">
        <f t="shared" si="1043"/>
        <v>9405</v>
      </c>
      <c r="ES610" s="14">
        <f>INDEX(属性偏向!$S$4:$S$243,(卡牌属性!$DT610-1+ES$3)*20+卡牌属性!$DX610)</f>
        <v>20</v>
      </c>
      <c r="ET610" s="14">
        <f>INDEX(属性偏向!$S$4:$S$243,(卡牌属性!$DT610-1+ET$3)*20+卡牌属性!$DX610)</f>
        <v>22</v>
      </c>
      <c r="EU610" s="14">
        <f>INDEX(属性偏向!$S$4:$S$243,(卡牌属性!$DT610-1+EU$3)*20+卡牌属性!$DX610)</f>
        <v>25</v>
      </c>
      <c r="EV610" s="14">
        <f>INDEX(属性偏向!$S$4:$S$243,(卡牌属性!$DT610-1+EV$3)*20+卡牌属性!$DX610)</f>
        <v>25</v>
      </c>
      <c r="EW610" s="14">
        <f>INDEX(属性偏向!$S$4:$S$243,(卡牌属性!$DT610-1+EW$3)*20+卡牌属性!$DX610)</f>
        <v>30</v>
      </c>
      <c r="EX610" s="14">
        <f>INDEX(属性偏向!$T$4:$T$243,(卡牌属性!$DU610-1+EX$3)*20+卡牌属性!$DX610)</f>
        <v>7</v>
      </c>
      <c r="EY610" s="14">
        <f>INDEX(属性偏向!$T$4:$T$243,(卡牌属性!$DU610-1+EY$3)*20+卡牌属性!$DX610)</f>
        <v>10</v>
      </c>
      <c r="EZ610" s="14">
        <f>INDEX(属性偏向!$T$4:$T$243,(卡牌属性!$DU610-1+EZ$3)*20+卡牌属性!$DX610)</f>
        <v>10</v>
      </c>
      <c r="FA610" s="14">
        <f>INDEX(属性偏向!$T$4:$T$243,(卡牌属性!$DU610-1+FA$3)*20+卡牌属性!$DX610)</f>
        <v>11</v>
      </c>
      <c r="FB610" s="14">
        <f>INDEX(属性偏向!$T$4:$T$243,(卡牌属性!$DU610-1+FB$3)*20+卡牌属性!$DX610)</f>
        <v>13</v>
      </c>
      <c r="FC610" s="14">
        <f>INDEX(属性偏向!$U$4:$U$243,(卡牌属性!$DV610-1+FC$3)*20+卡牌属性!$DX610)</f>
        <v>91</v>
      </c>
      <c r="FD610" s="14">
        <f>INDEX(属性偏向!$U$4:$U$243,(卡牌属性!$DV610-1+FD$3)*20+卡牌属性!$DX610)</f>
        <v>140</v>
      </c>
      <c r="FE610" s="14">
        <f>INDEX(属性偏向!$U$4:$U$243,(卡牌属性!$DV610-1+FE$3)*20+卡牌属性!$DX610)</f>
        <v>140</v>
      </c>
      <c r="FF610" s="14">
        <f>INDEX(属性偏向!$U$4:$U$243,(卡牌属性!$DV610-1+FF$3)*20+卡牌属性!$DX610)</f>
        <v>154</v>
      </c>
      <c r="FG610" s="14">
        <f>INDEX(属性偏向!$U$4:$U$243,(卡牌属性!$DV610-1+FG$3)*20+卡牌属性!$DX610)</f>
        <v>175</v>
      </c>
      <c r="FH610" s="14">
        <f>INDEX(属性投放!$BQ$6:$BQ$85,(卡牌属性!$DW610-2)*20+卡牌属性!$DX610)</f>
        <v>160</v>
      </c>
      <c r="FI610" s="14">
        <f>INDEX(属性投放!$BQ$6:$BQ$85,(卡牌属性!$DW610-2)*20+卡牌属性!$DX610)</f>
        <v>160</v>
      </c>
      <c r="FJ610" s="14">
        <f>INDEX(属性投放!$BQ$6:$BQ$85,(卡牌属性!$DW610-2)*20+卡牌属性!$DX610)</f>
        <v>160</v>
      </c>
      <c r="FK610" s="14">
        <f>INDEX(属性投放!$BQ$6:$BQ$85,(卡牌属性!$DW610-2)*20+卡牌属性!$DX610)</f>
        <v>160</v>
      </c>
      <c r="FL610" s="14">
        <f>INDEX(属性投放!$BQ$6:$BQ$85,(卡牌属性!$DW610-2)*20+卡牌属性!$DX610)</f>
        <v>160</v>
      </c>
      <c r="FM610" s="14">
        <f>INDEX(属性投放!$BR$6:$BR$85,(卡牌属性!$DW610-2)*20+卡牌属性!$DX610)</f>
        <v>80</v>
      </c>
      <c r="FN610" s="14">
        <f>INDEX(属性投放!$BR$6:$BR$85,(卡牌属性!$DW610-2)*20+卡牌属性!$DX610)</f>
        <v>80</v>
      </c>
      <c r="FO610" s="14">
        <f>INDEX(属性投放!$BR$6:$BR$85,(卡牌属性!$DW610-2)*20+卡牌属性!$DX610)</f>
        <v>80</v>
      </c>
      <c r="FP610" s="14">
        <f>INDEX(属性投放!$BR$6:$BR$85,(卡牌属性!$DW610-2)*20+卡牌属性!$DX610)</f>
        <v>80</v>
      </c>
      <c r="FQ610" s="14">
        <f>INDEX(属性投放!$BR$6:$BR$85,(卡牌属性!$DW610-2)*20+卡牌属性!$DX610)</f>
        <v>80</v>
      </c>
      <c r="FR610" s="14">
        <f>INDEX(属性投放!$BS$6:$BS$85,(卡牌属性!$DW610-2)*20+卡牌属性!$DX610)</f>
        <v>1120</v>
      </c>
      <c r="FS610" s="14">
        <f>INDEX(属性投放!$BS$6:$BS$85,(卡牌属性!$DW610-2)*20+卡牌属性!$DX610)</f>
        <v>1120</v>
      </c>
      <c r="FT610" s="14">
        <f>INDEX(属性投放!$BS$6:$BS$85,(卡牌属性!$DW610-2)*20+卡牌属性!$DX610)</f>
        <v>1120</v>
      </c>
      <c r="FU610" s="14">
        <f>INDEX(属性投放!$BS$6:$BS$85,(卡牌属性!$DW610-2)*20+卡牌属性!$DX610)</f>
        <v>1120</v>
      </c>
      <c r="FV610" s="14">
        <f>INDEX(属性投放!$BS$6:$BS$85,(卡牌属性!$DW610-2)*20+卡牌属性!$DX610)</f>
        <v>1120</v>
      </c>
    </row>
    <row r="611" spans="31:178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>
        <v>607</v>
      </c>
      <c r="BX611" s="13">
        <f t="shared" si="981"/>
        <v>31</v>
      </c>
      <c r="BY611" s="14">
        <f t="shared" si="982"/>
        <v>4</v>
      </c>
      <c r="BZ611" s="14">
        <f t="shared" si="1005"/>
        <v>1102997</v>
      </c>
      <c r="CA611" s="14" t="str">
        <f t="shared" si="1006"/>
        <v>SSR守护灵7突</v>
      </c>
      <c r="CB611" s="25" t="s">
        <v>142</v>
      </c>
      <c r="CC611" s="14">
        <v>2</v>
      </c>
      <c r="CD611" s="14">
        <f t="shared" si="1003"/>
        <v>7</v>
      </c>
      <c r="CE611" s="14" t="s">
        <v>21</v>
      </c>
      <c r="CF611" s="14">
        <f>INDEX(属性投放!$AZ$6:$AZ$85,(BY611-2)*20+CD611)</f>
        <v>1998</v>
      </c>
      <c r="CG611" s="14" t="s">
        <v>22</v>
      </c>
      <c r="CH611" s="14">
        <f>INDEX(属性投放!$BA$6:$BA$85,(BY611-2)*20+CD611)</f>
        <v>938</v>
      </c>
      <c r="CI611" s="14" t="s">
        <v>510</v>
      </c>
      <c r="CJ611" s="14">
        <f>INDEX(属性投放!$BB$6:$BB$85,(BY611-2)*20+CD611)</f>
        <v>12728</v>
      </c>
      <c r="CK611" s="14" t="s">
        <v>21</v>
      </c>
      <c r="CL611" s="14">
        <f>INDEX(属性投放!$BC$6:$BC$85,(BY611-2)*20+CD611)</f>
        <v>25</v>
      </c>
      <c r="CM611" s="14" t="s">
        <v>22</v>
      </c>
      <c r="CN611" s="14">
        <f>INDEX(属性投放!$BD$6:$BD$85,(BY611-2)*20+CD611)</f>
        <v>13</v>
      </c>
      <c r="CO611" s="14" t="s">
        <v>510</v>
      </c>
      <c r="CP611" s="14">
        <f>INDEX(属性投放!$BE$6:$BE$85,(BY611-2)*20+CD611)</f>
        <v>200</v>
      </c>
      <c r="CS611" s="13">
        <v>607</v>
      </c>
      <c r="CT611" s="13">
        <f t="shared" si="1007"/>
        <v>12</v>
      </c>
      <c r="CU611" s="13">
        <f t="shared" si="1008"/>
        <v>35</v>
      </c>
      <c r="CV611" s="14">
        <f t="shared" si="1009"/>
        <v>5</v>
      </c>
      <c r="CW611" s="14">
        <f t="shared" si="1010"/>
        <v>1102012</v>
      </c>
      <c r="CX611" s="14" t="str">
        <f>INDEX($O$6:$O$50,CT611)&amp;"-"&amp;INDEX(属性投放!$AB$7:$AB$50,CZ611)&amp;"-魂火-"&amp;DB611</f>
        <v>夏侯惇-焦热+2-魂火-2</v>
      </c>
      <c r="CY611" s="25" t="s">
        <v>142</v>
      </c>
      <c r="CZ611" s="14">
        <f>INDEX(属性投放!$AM$7:$AM$58,CU611)</f>
        <v>15</v>
      </c>
      <c r="DA611" s="14" t="s">
        <v>537</v>
      </c>
      <c r="DB611" s="14">
        <f>INDEX(属性投放!$AN$7:$AN$58,CU611)</f>
        <v>2</v>
      </c>
      <c r="DC611" s="14">
        <f t="shared" si="1004"/>
        <v>35</v>
      </c>
      <c r="DD611" s="14">
        <f>INDEX(属性投放!$AO$7:$AO$58,DC611)</f>
        <v>105</v>
      </c>
      <c r="DE611" s="14" t="s">
        <v>538</v>
      </c>
      <c r="DF611" s="14">
        <f>INDEX(属性投放!$BK$6:$BK$85,(CV611-2)*20+CZ611)</f>
        <v>500</v>
      </c>
      <c r="DG611" s="14">
        <f>SUMIFS(DF$5:DF611,$CT$5:$CT611,"="&amp;$CT611)</f>
        <v>6339</v>
      </c>
      <c r="DH611" s="14" t="s">
        <v>539</v>
      </c>
      <c r="DI611" s="14">
        <f>INDEX(属性投放!$BL$6:$BL$85,(CV611-2)*20+CZ611)</f>
        <v>250</v>
      </c>
      <c r="DJ611" s="14">
        <f>SUMIFS(DI$5:DI611,$CT$5:$CT611,"="&amp;$CT611)</f>
        <v>3175</v>
      </c>
      <c r="DK611" s="14" t="s">
        <v>540</v>
      </c>
      <c r="DL611" s="14">
        <f>INDEX(属性投放!$BM$6:$BM$85,(CV611-2)*20+CZ611)</f>
        <v>5000</v>
      </c>
      <c r="DM611" s="14">
        <f>SUMIFS(DL$5:DL611,$CT$5:$CT611,"="&amp;$CT611)</f>
        <v>57802</v>
      </c>
      <c r="DR611" s="14">
        <f t="shared" si="983"/>
        <v>1102997</v>
      </c>
      <c r="DS611" s="14" t="str">
        <f t="shared" si="984"/>
        <v>SSR守护灵7突</v>
      </c>
      <c r="DT611" s="14">
        <f t="shared" si="1011"/>
        <v>7</v>
      </c>
      <c r="DU611" s="14">
        <f t="shared" si="1012"/>
        <v>6</v>
      </c>
      <c r="DV611" s="14">
        <f t="shared" si="1013"/>
        <v>6</v>
      </c>
      <c r="DW611" s="14">
        <f t="shared" si="985"/>
        <v>4</v>
      </c>
      <c r="DX611" s="14">
        <f t="shared" si="986"/>
        <v>7</v>
      </c>
      <c r="DY611" s="14">
        <f t="shared" si="987"/>
        <v>47</v>
      </c>
      <c r="DZ611" s="14">
        <f>INDEX(属性投放!$AX$6:$AX$85,(卡牌属性!DW611-2)*20+卡牌属性!DX611)</f>
        <v>5</v>
      </c>
      <c r="EA611" s="14">
        <f>INDEX(属性投放!BQ$6:BQ$85,卡牌属性!$DY611)</f>
        <v>165</v>
      </c>
      <c r="EB611" s="14">
        <f>INDEX(属性投放!BR$6:BR$85,卡牌属性!$DY611)</f>
        <v>83</v>
      </c>
      <c r="EC611" s="14">
        <f>INDEX(属性投放!BS$6:BS$85,卡牌属性!$DY611)</f>
        <v>1320</v>
      </c>
      <c r="ED611" s="14">
        <f t="shared" si="1029"/>
        <v>1523</v>
      </c>
      <c r="EE611" s="14">
        <f t="shared" si="1030"/>
        <v>1661</v>
      </c>
      <c r="EF611" s="14">
        <f t="shared" si="1031"/>
        <v>1845</v>
      </c>
      <c r="EG611" s="14">
        <f t="shared" si="1032"/>
        <v>1845</v>
      </c>
      <c r="EH611" s="14">
        <f t="shared" si="1033"/>
        <v>2125</v>
      </c>
      <c r="EI611" s="14">
        <f t="shared" si="1034"/>
        <v>602</v>
      </c>
      <c r="EJ611" s="14">
        <f t="shared" si="1035"/>
        <v>722</v>
      </c>
      <c r="EK611" s="14">
        <f t="shared" si="1036"/>
        <v>722</v>
      </c>
      <c r="EL611" s="14">
        <f t="shared" si="1037"/>
        <v>793</v>
      </c>
      <c r="EM611" s="14">
        <f t="shared" si="1038"/>
        <v>886</v>
      </c>
      <c r="EN611" s="14">
        <f t="shared" si="1039"/>
        <v>7922</v>
      </c>
      <c r="EO611" s="14">
        <f t="shared" si="1040"/>
        <v>9558</v>
      </c>
      <c r="EP611" s="14">
        <f t="shared" si="1041"/>
        <v>9558</v>
      </c>
      <c r="EQ611" s="14">
        <f t="shared" si="1042"/>
        <v>10330</v>
      </c>
      <c r="ER611" s="14">
        <f t="shared" si="1043"/>
        <v>11400</v>
      </c>
      <c r="ES611" s="14">
        <f>INDEX(属性偏向!$S$4:$S$243,(卡牌属性!$DT611-1+ES$3)*20+卡牌属性!$DX611)</f>
        <v>25</v>
      </c>
      <c r="ET611" s="14">
        <f>INDEX(属性偏向!$S$4:$S$243,(卡牌属性!$DT611-1+ET$3)*20+卡牌属性!$DX611)</f>
        <v>28</v>
      </c>
      <c r="EU611" s="14">
        <f>INDEX(属性偏向!$S$4:$S$243,(卡牌属性!$DT611-1+EU$3)*20+卡牌属性!$DX611)</f>
        <v>30</v>
      </c>
      <c r="EV611" s="14">
        <f>INDEX(属性偏向!$S$4:$S$243,(卡牌属性!$DT611-1+EV$3)*20+卡牌属性!$DX611)</f>
        <v>30</v>
      </c>
      <c r="EW611" s="14">
        <f>INDEX(属性偏向!$S$4:$S$243,(卡牌属性!$DT611-1+EW$3)*20+卡牌属性!$DX611)</f>
        <v>40</v>
      </c>
      <c r="EX611" s="14">
        <f>INDEX(属性偏向!$T$4:$T$243,(卡牌属性!$DU611-1+EX$3)*20+卡牌属性!$DX611)</f>
        <v>8</v>
      </c>
      <c r="EY611" s="14">
        <f>INDEX(属性偏向!$T$4:$T$243,(卡牌属性!$DU611-1+EY$3)*20+卡牌属性!$DX611)</f>
        <v>13</v>
      </c>
      <c r="EZ611" s="14">
        <f>INDEX(属性偏向!$T$4:$T$243,(卡牌属性!$DU611-1+EZ$3)*20+卡牌属性!$DX611)</f>
        <v>13</v>
      </c>
      <c r="FA611" s="14">
        <f>INDEX(属性偏向!$T$4:$T$243,(卡牌属性!$DU611-1+FA$3)*20+卡牌属性!$DX611)</f>
        <v>14</v>
      </c>
      <c r="FB611" s="14">
        <f>INDEX(属性偏向!$T$4:$T$243,(卡牌属性!$DU611-1+FB$3)*20+卡牌属性!$DX611)</f>
        <v>15</v>
      </c>
      <c r="FC611" s="14">
        <f>INDEX(属性偏向!$U$4:$U$243,(卡牌属性!$DV611-1+FC$3)*20+卡牌属性!$DX611)</f>
        <v>128</v>
      </c>
      <c r="FD611" s="14">
        <f>INDEX(属性偏向!$U$4:$U$243,(卡牌属性!$DV611-1+FD$3)*20+卡牌属性!$DX611)</f>
        <v>200</v>
      </c>
      <c r="FE611" s="14">
        <f>INDEX(属性偏向!$U$4:$U$243,(卡牌属性!$DV611-1+FE$3)*20+卡牌属性!$DX611)</f>
        <v>200</v>
      </c>
      <c r="FF611" s="14">
        <f>INDEX(属性偏向!$U$4:$U$243,(卡牌属性!$DV611-1+FF$3)*20+卡牌属性!$DX611)</f>
        <v>224</v>
      </c>
      <c r="FG611" s="14">
        <f>INDEX(属性偏向!$U$4:$U$243,(卡牌属性!$DV611-1+FG$3)*20+卡牌属性!$DX611)</f>
        <v>240</v>
      </c>
      <c r="FH611" s="14">
        <f>INDEX(属性投放!$BQ$6:$BQ$85,(卡牌属性!$DW611-2)*20+卡牌属性!$DX611)</f>
        <v>165</v>
      </c>
      <c r="FI611" s="14">
        <f>INDEX(属性投放!$BQ$6:$BQ$85,(卡牌属性!$DW611-2)*20+卡牌属性!$DX611)</f>
        <v>165</v>
      </c>
      <c r="FJ611" s="14">
        <f>INDEX(属性投放!$BQ$6:$BQ$85,(卡牌属性!$DW611-2)*20+卡牌属性!$DX611)</f>
        <v>165</v>
      </c>
      <c r="FK611" s="14">
        <f>INDEX(属性投放!$BQ$6:$BQ$85,(卡牌属性!$DW611-2)*20+卡牌属性!$DX611)</f>
        <v>165</v>
      </c>
      <c r="FL611" s="14">
        <f>INDEX(属性投放!$BQ$6:$BQ$85,(卡牌属性!$DW611-2)*20+卡牌属性!$DX611)</f>
        <v>165</v>
      </c>
      <c r="FM611" s="14">
        <f>INDEX(属性投放!$BR$6:$BR$85,(卡牌属性!$DW611-2)*20+卡牌属性!$DX611)</f>
        <v>83</v>
      </c>
      <c r="FN611" s="14">
        <f>INDEX(属性投放!$BR$6:$BR$85,(卡牌属性!$DW611-2)*20+卡牌属性!$DX611)</f>
        <v>83</v>
      </c>
      <c r="FO611" s="14">
        <f>INDEX(属性投放!$BR$6:$BR$85,(卡牌属性!$DW611-2)*20+卡牌属性!$DX611)</f>
        <v>83</v>
      </c>
      <c r="FP611" s="14">
        <f>INDEX(属性投放!$BR$6:$BR$85,(卡牌属性!$DW611-2)*20+卡牌属性!$DX611)</f>
        <v>83</v>
      </c>
      <c r="FQ611" s="14">
        <f>INDEX(属性投放!$BR$6:$BR$85,(卡牌属性!$DW611-2)*20+卡牌属性!$DX611)</f>
        <v>83</v>
      </c>
      <c r="FR611" s="14">
        <f>INDEX(属性投放!$BS$6:$BS$85,(卡牌属性!$DW611-2)*20+卡牌属性!$DX611)</f>
        <v>1320</v>
      </c>
      <c r="FS611" s="14">
        <f>INDEX(属性投放!$BS$6:$BS$85,(卡牌属性!$DW611-2)*20+卡牌属性!$DX611)</f>
        <v>1320</v>
      </c>
      <c r="FT611" s="14">
        <f>INDEX(属性投放!$BS$6:$BS$85,(卡牌属性!$DW611-2)*20+卡牌属性!$DX611)</f>
        <v>1320</v>
      </c>
      <c r="FU611" s="14">
        <f>INDEX(属性投放!$BS$6:$BS$85,(卡牌属性!$DW611-2)*20+卡牌属性!$DX611)</f>
        <v>1320</v>
      </c>
      <c r="FV611" s="14">
        <f>INDEX(属性投放!$BS$6:$BS$85,(卡牌属性!$DW611-2)*20+卡牌属性!$DX611)</f>
        <v>1320</v>
      </c>
    </row>
    <row r="612" spans="31:178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>
        <v>608</v>
      </c>
      <c r="BX612" s="13">
        <f t="shared" si="981"/>
        <v>31</v>
      </c>
      <c r="BY612" s="14">
        <f t="shared" si="982"/>
        <v>4</v>
      </c>
      <c r="BZ612" s="14">
        <f t="shared" si="1005"/>
        <v>1102997</v>
      </c>
      <c r="CA612" s="14" t="str">
        <f t="shared" si="1006"/>
        <v>SSR守护灵8突</v>
      </c>
      <c r="CB612" s="25" t="s">
        <v>142</v>
      </c>
      <c r="CC612" s="14">
        <v>2</v>
      </c>
      <c r="CD612" s="14">
        <f t="shared" si="1003"/>
        <v>8</v>
      </c>
      <c r="CE612" s="14" t="s">
        <v>21</v>
      </c>
      <c r="CF612" s="14">
        <f>INDEX(属性投放!$AZ$6:$AZ$85,(BY612-2)*20+CD612)</f>
        <v>2448</v>
      </c>
      <c r="CG612" s="14" t="s">
        <v>22</v>
      </c>
      <c r="CH612" s="14">
        <f>INDEX(属性投放!$BA$6:$BA$85,(BY612-2)*20+CD612)</f>
        <v>1166</v>
      </c>
      <c r="CI612" s="14" t="s">
        <v>510</v>
      </c>
      <c r="CJ612" s="14">
        <f>INDEX(属性投放!$BB$6:$BB$85,(BY612-2)*20+CD612)</f>
        <v>16328</v>
      </c>
      <c r="CK612" s="14" t="s">
        <v>21</v>
      </c>
      <c r="CL612" s="14">
        <f>INDEX(属性投放!$BC$6:$BC$85,(BY612-2)*20+CD612)</f>
        <v>25</v>
      </c>
      <c r="CM612" s="14" t="s">
        <v>22</v>
      </c>
      <c r="CN612" s="14">
        <f>INDEX(属性投放!$BD$6:$BD$85,(BY612-2)*20+CD612)</f>
        <v>13</v>
      </c>
      <c r="CO612" s="14" t="s">
        <v>510</v>
      </c>
      <c r="CP612" s="14">
        <f>INDEX(属性投放!$BE$6:$BE$85,(BY612-2)*20+CD612)</f>
        <v>200</v>
      </c>
      <c r="CS612" s="13">
        <v>608</v>
      </c>
      <c r="CT612" s="13">
        <f t="shared" si="1007"/>
        <v>12</v>
      </c>
      <c r="CU612" s="13">
        <f t="shared" si="1008"/>
        <v>36</v>
      </c>
      <c r="CV612" s="14">
        <f t="shared" si="1009"/>
        <v>5</v>
      </c>
      <c r="CW612" s="14">
        <f t="shared" si="1010"/>
        <v>1102012</v>
      </c>
      <c r="CX612" s="14" t="str">
        <f>INDEX($O$6:$O$50,CT612)&amp;"-"&amp;INDEX(属性投放!$AB$7:$AB$50,CZ612)&amp;"-魂火-"&amp;DB612</f>
        <v>夏侯惇-焦热+2-魂火-3</v>
      </c>
      <c r="CY612" s="25" t="s">
        <v>142</v>
      </c>
      <c r="CZ612" s="14">
        <f>INDEX(属性投放!$AM$7:$AM$58,CU612)</f>
        <v>15</v>
      </c>
      <c r="DA612" s="14" t="s">
        <v>537</v>
      </c>
      <c r="DB612" s="14">
        <f>INDEX(属性投放!$AN$7:$AN$58,CU612)</f>
        <v>3</v>
      </c>
      <c r="DC612" s="14">
        <f t="shared" si="1004"/>
        <v>36</v>
      </c>
      <c r="DD612" s="14">
        <f>INDEX(属性投放!$AO$7:$AO$58,DC612)</f>
        <v>108</v>
      </c>
      <c r="DE612" s="14" t="s">
        <v>538</v>
      </c>
      <c r="DF612" s="14">
        <f>INDEX(属性投放!$BK$6:$BK$85,(CV612-2)*20+CZ612)</f>
        <v>500</v>
      </c>
      <c r="DG612" s="14">
        <f>SUMIFS(DF$5:DF612,$CT$5:$CT612,"="&amp;$CT612)</f>
        <v>6839</v>
      </c>
      <c r="DH612" s="14" t="s">
        <v>539</v>
      </c>
      <c r="DI612" s="14">
        <f>INDEX(属性投放!$BL$6:$BL$85,(CV612-2)*20+CZ612)</f>
        <v>250</v>
      </c>
      <c r="DJ612" s="14">
        <f>SUMIFS(DI$5:DI612,$CT$5:$CT612,"="&amp;$CT612)</f>
        <v>3425</v>
      </c>
      <c r="DK612" s="14" t="s">
        <v>540</v>
      </c>
      <c r="DL612" s="14">
        <f>INDEX(属性投放!$BM$6:$BM$85,(CV612-2)*20+CZ612)</f>
        <v>5000</v>
      </c>
      <c r="DM612" s="14">
        <f>SUMIFS(DL$5:DL612,$CT$5:$CT612,"="&amp;$CT612)</f>
        <v>62802</v>
      </c>
      <c r="DR612" s="14">
        <f t="shared" si="983"/>
        <v>1102997</v>
      </c>
      <c r="DS612" s="14" t="str">
        <f t="shared" si="984"/>
        <v>SSR守护灵8突</v>
      </c>
      <c r="DT612" s="14">
        <f t="shared" si="1011"/>
        <v>7</v>
      </c>
      <c r="DU612" s="14">
        <f t="shared" si="1012"/>
        <v>6</v>
      </c>
      <c r="DV612" s="14">
        <f t="shared" si="1013"/>
        <v>6</v>
      </c>
      <c r="DW612" s="14">
        <f t="shared" si="985"/>
        <v>4</v>
      </c>
      <c r="DX612" s="14">
        <f t="shared" si="986"/>
        <v>8</v>
      </c>
      <c r="DY612" s="14">
        <f t="shared" si="987"/>
        <v>48</v>
      </c>
      <c r="DZ612" s="14">
        <f>INDEX(属性投放!$AX$6:$AX$85,(卡牌属性!DW612-2)*20+卡牌属性!DX612)</f>
        <v>5</v>
      </c>
      <c r="EA612" s="14">
        <f>INDEX(属性投放!BQ$6:BQ$85,卡牌属性!$DY612)</f>
        <v>125</v>
      </c>
      <c r="EB612" s="14">
        <f>INDEX(属性投放!BR$6:BR$85,卡牌属性!$DY612)</f>
        <v>63</v>
      </c>
      <c r="EC612" s="14">
        <f>INDEX(属性投放!BS$6:BS$85,卡牌属性!$DY612)</f>
        <v>1000</v>
      </c>
      <c r="ED612" s="14">
        <f t="shared" si="1029"/>
        <v>1813</v>
      </c>
      <c r="EE612" s="14">
        <f t="shared" si="1030"/>
        <v>1966</v>
      </c>
      <c r="EF612" s="14">
        <f t="shared" si="1031"/>
        <v>2160</v>
      </c>
      <c r="EG612" s="14">
        <f t="shared" si="1032"/>
        <v>2160</v>
      </c>
      <c r="EH612" s="14">
        <f t="shared" si="1033"/>
        <v>2490</v>
      </c>
      <c r="EI612" s="14">
        <f t="shared" si="1034"/>
        <v>725</v>
      </c>
      <c r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" s="14">
        <f t="shared" si="1038"/>
        <v>1044</v>
      </c>
      <c r="EN612" s="14">
        <f t="shared" si="1039"/>
        <v>9882</v>
      </c>
      <c r="EO612" s="14">
        <f t="shared" si="1040"/>
        <v>11878</v>
      </c>
      <c r="EP612" s="14">
        <f t="shared" si="1041"/>
        <v>11878</v>
      </c>
      <c r="EQ612" s="14">
        <f t="shared" si="1042"/>
        <v>12770</v>
      </c>
      <c r="ER612" s="14">
        <f t="shared" si="1043"/>
        <v>13920</v>
      </c>
      <c r="ES612" s="14">
        <f>INDEX(属性偏向!$S$4:$S$243,(卡牌属性!$DT612-1+ES$3)*20+卡牌属性!$DX612)</f>
        <v>25</v>
      </c>
      <c r="ET612" s="14">
        <f>INDEX(属性偏向!$S$4:$S$243,(卡牌属性!$DT612-1+ET$3)*20+卡牌属性!$DX612)</f>
        <v>28</v>
      </c>
      <c r="EU612" s="14">
        <f>INDEX(属性偏向!$S$4:$S$243,(卡牌属性!$DT612-1+EU$3)*20+卡牌属性!$DX612)</f>
        <v>30</v>
      </c>
      <c r="EV612" s="14">
        <f>INDEX(属性偏向!$S$4:$S$243,(卡牌属性!$DT612-1+EV$3)*20+卡牌属性!$DX612)</f>
        <v>30</v>
      </c>
      <c r="EW612" s="14">
        <f>INDEX(属性偏向!$S$4:$S$243,(卡牌属性!$DT612-1+EW$3)*20+卡牌属性!$DX612)</f>
        <v>40</v>
      </c>
      <c r="EX612" s="14">
        <f>INDEX(属性偏向!$T$4:$T$243,(卡牌属性!$DU612-1+EX$3)*20+卡牌属性!$DX612)</f>
        <v>8</v>
      </c>
      <c r="EY612" s="14">
        <f>INDEX(属性偏向!$T$4:$T$243,(卡牌属性!$DU612-1+EY$3)*20+卡牌属性!$DX612)</f>
        <v>13</v>
      </c>
      <c r="EZ612" s="14">
        <f>INDEX(属性偏向!$T$4:$T$243,(卡牌属性!$DU612-1+EZ$3)*20+卡牌属性!$DX612)</f>
        <v>13</v>
      </c>
      <c r="FA612" s="14">
        <f>INDEX(属性偏向!$T$4:$T$243,(卡牌属性!$DU612-1+FA$3)*20+卡牌属性!$DX612)</f>
        <v>14</v>
      </c>
      <c r="FB612" s="14">
        <f>INDEX(属性偏向!$T$4:$T$243,(卡牌属性!$DU612-1+FB$3)*20+卡牌属性!$DX612)</f>
        <v>15</v>
      </c>
      <c r="FC612" s="14">
        <f>INDEX(属性偏向!$U$4:$U$243,(卡牌属性!$DV612-1+FC$3)*20+卡牌属性!$DX612)</f>
        <v>128</v>
      </c>
      <c r="FD612" s="14">
        <f>INDEX(属性偏向!$U$4:$U$243,(卡牌属性!$DV612-1+FD$3)*20+卡牌属性!$DX612)</f>
        <v>200</v>
      </c>
      <c r="FE612" s="14">
        <f>INDEX(属性偏向!$U$4:$U$243,(卡牌属性!$DV612-1+FE$3)*20+卡牌属性!$DX612)</f>
        <v>200</v>
      </c>
      <c r="FF612" s="14">
        <f>INDEX(属性偏向!$U$4:$U$243,(卡牌属性!$DV612-1+FF$3)*20+卡牌属性!$DX612)</f>
        <v>224</v>
      </c>
      <c r="FG612" s="14">
        <f>INDEX(属性偏向!$U$4:$U$243,(卡牌属性!$DV612-1+FG$3)*20+卡牌属性!$DX612)</f>
        <v>240</v>
      </c>
      <c r="FH612" s="14">
        <f>INDEX(属性投放!$BQ$6:$BQ$85,(卡牌属性!$DW612-2)*20+卡牌属性!$DX612)</f>
        <v>125</v>
      </c>
      <c r="FI612" s="14">
        <f>INDEX(属性投放!$BQ$6:$BQ$85,(卡牌属性!$DW612-2)*20+卡牌属性!$DX612)</f>
        <v>125</v>
      </c>
      <c r="FJ612" s="14">
        <f>INDEX(属性投放!$BQ$6:$BQ$85,(卡牌属性!$DW612-2)*20+卡牌属性!$DX612)</f>
        <v>125</v>
      </c>
      <c r="FK612" s="14">
        <f>INDEX(属性投放!$BQ$6:$BQ$85,(卡牌属性!$DW612-2)*20+卡牌属性!$DX612)</f>
        <v>125</v>
      </c>
      <c r="FL612" s="14">
        <f>INDEX(属性投放!$BQ$6:$BQ$85,(卡牌属性!$DW612-2)*20+卡牌属性!$DX612)</f>
        <v>125</v>
      </c>
      <c r="FM612" s="14">
        <f>INDEX(属性投放!$BR$6:$BR$85,(卡牌属性!$DW612-2)*20+卡牌属性!$DX612)</f>
        <v>63</v>
      </c>
      <c r="FN612" s="14">
        <f>INDEX(属性投放!$BR$6:$BR$85,(卡牌属性!$DW612-2)*20+卡牌属性!$DX612)</f>
        <v>63</v>
      </c>
      <c r="FO612" s="14">
        <f>INDEX(属性投放!$BR$6:$BR$85,(卡牌属性!$DW612-2)*20+卡牌属性!$DX612)</f>
        <v>63</v>
      </c>
      <c r="FP612" s="14">
        <f>INDEX(属性投放!$BR$6:$BR$85,(卡牌属性!$DW612-2)*20+卡牌属性!$DX612)</f>
        <v>63</v>
      </c>
      <c r="FQ612" s="14">
        <f>INDEX(属性投放!$BR$6:$BR$85,(卡牌属性!$DW612-2)*20+卡牌属性!$DX612)</f>
        <v>63</v>
      </c>
      <c r="FR612" s="14">
        <f>INDEX(属性投放!$BS$6:$BS$85,(卡牌属性!$DW612-2)*20+卡牌属性!$DX612)</f>
        <v>1000</v>
      </c>
      <c r="FS612" s="14">
        <f>INDEX(属性投放!$BS$6:$BS$85,(卡牌属性!$DW612-2)*20+卡牌属性!$DX612)</f>
        <v>1000</v>
      </c>
      <c r="FT612" s="14">
        <f>INDEX(属性投放!$BS$6:$BS$85,(卡牌属性!$DW612-2)*20+卡牌属性!$DX612)</f>
        <v>1000</v>
      </c>
      <c r="FU612" s="14">
        <f>INDEX(属性投放!$BS$6:$BS$85,(卡牌属性!$DW612-2)*20+卡牌属性!$DX612)</f>
        <v>1000</v>
      </c>
      <c r="FV612" s="14">
        <f>INDEX(属性投放!$BS$6:$BS$85,(卡牌属性!$DW612-2)*20+卡牌属性!$DX612)</f>
        <v>1000</v>
      </c>
    </row>
    <row r="613" spans="31:178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>
        <v>609</v>
      </c>
      <c r="BX613" s="13">
        <f t="shared" si="981"/>
        <v>31</v>
      </c>
      <c r="BY613" s="14">
        <f t="shared" si="982"/>
        <v>4</v>
      </c>
      <c r="BZ613" s="14">
        <f t="shared" si="1005"/>
        <v>1102997</v>
      </c>
      <c r="CA613" s="14" t="str">
        <f t="shared" si="1006"/>
        <v>SSR守护灵9突</v>
      </c>
      <c r="CB613" s="25" t="s">
        <v>142</v>
      </c>
      <c r="CC613" s="14">
        <v>2</v>
      </c>
      <c r="CD613" s="14">
        <f t="shared" si="1003"/>
        <v>9</v>
      </c>
      <c r="CE613" s="14" t="s">
        <v>21</v>
      </c>
      <c r="CF613" s="14">
        <f>INDEX(属性投放!$AZ$6:$AZ$85,(BY613-2)*20+CD613)</f>
        <v>2898</v>
      </c>
      <c r="CG613" s="14" t="s">
        <v>22</v>
      </c>
      <c r="CH613" s="14">
        <f>INDEX(属性投放!$BA$6:$BA$85,(BY613-2)*20+CD613)</f>
        <v>1394</v>
      </c>
      <c r="CI613" s="14" t="s">
        <v>510</v>
      </c>
      <c r="CJ613" s="14">
        <f>INDEX(属性投放!$BB$6:$BB$85,(BY613-2)*20+CD613)</f>
        <v>19928</v>
      </c>
      <c r="CK613" s="14" t="s">
        <v>21</v>
      </c>
      <c r="CL613" s="14">
        <f>INDEX(属性投放!$BC$6:$BC$85,(BY613-2)*20+CD613)</f>
        <v>25</v>
      </c>
      <c r="CM613" s="14" t="s">
        <v>22</v>
      </c>
      <c r="CN613" s="14">
        <f>INDEX(属性投放!$BD$6:$BD$85,(BY613-2)*20+CD613)</f>
        <v>13</v>
      </c>
      <c r="CO613" s="14" t="s">
        <v>510</v>
      </c>
      <c r="CP613" s="14">
        <f>INDEX(属性投放!$BE$6:$BE$85,(BY613-2)*20+CD613)</f>
        <v>200</v>
      </c>
      <c r="CS613" s="13">
        <v>609</v>
      </c>
      <c r="CT613" s="13">
        <f t="shared" si="1007"/>
        <v>12</v>
      </c>
      <c r="CU613" s="13">
        <f t="shared" si="1008"/>
        <v>37</v>
      </c>
      <c r="CV613" s="14">
        <f t="shared" si="1009"/>
        <v>5</v>
      </c>
      <c r="CW613" s="14">
        <f t="shared" si="1010"/>
        <v>1102012</v>
      </c>
      <c r="CX613" s="14" t="str">
        <f>INDEX($O$6:$O$50,CT613)&amp;"-"&amp;INDEX(属性投放!$AB$7:$AB$50,CZ613)&amp;"-魂火-"&amp;DB613</f>
        <v>夏侯惇-大焦热-魂火-1</v>
      </c>
      <c r="CY613" s="25" t="s">
        <v>142</v>
      </c>
      <c r="CZ613" s="14">
        <f>INDEX(属性投放!$AM$7:$AM$58,CU613)</f>
        <v>16</v>
      </c>
      <c r="DA613" s="14" t="s">
        <v>537</v>
      </c>
      <c r="DB613" s="14">
        <f>INDEX(属性投放!$AN$7:$AN$58,CU613)</f>
        <v>1</v>
      </c>
      <c r="DC613" s="14">
        <f t="shared" si="1004"/>
        <v>37</v>
      </c>
      <c r="DD613" s="14">
        <f>INDEX(属性投放!$AO$7:$AO$58,DC613)</f>
        <v>110</v>
      </c>
      <c r="DE613" s="14" t="s">
        <v>538</v>
      </c>
      <c r="DF613" s="14">
        <f>INDEX(属性投放!$BK$6:$BK$85,(CV613-2)*20+CZ613)</f>
        <v>580</v>
      </c>
      <c r="DG613" s="14">
        <f>SUMIFS(DF$5:DF613,$CT$5:$CT613,"="&amp;$CT613)</f>
        <v>7419</v>
      </c>
      <c r="DH613" s="14" t="s">
        <v>539</v>
      </c>
      <c r="DI613" s="14">
        <f>INDEX(属性投放!$BL$6:$BL$85,(CV613-2)*20+CZ613)</f>
        <v>290</v>
      </c>
      <c r="DJ613" s="14">
        <f>SUMIFS(DI$5:DI613,$CT$5:$CT613,"="&amp;$CT613)</f>
        <v>3715</v>
      </c>
      <c r="DK613" s="14" t="s">
        <v>540</v>
      </c>
      <c r="DL613" s="14">
        <f>INDEX(属性投放!$BM$6:$BM$85,(CV613-2)*20+CZ613)</f>
        <v>5800</v>
      </c>
      <c r="DM613" s="14">
        <f>SUMIFS(DL$5:DL613,$CT$5:$CT613,"="&amp;$CT613)</f>
        <v>68602</v>
      </c>
      <c r="DR613" s="14">
        <f t="shared" si="983"/>
        <v>1102997</v>
      </c>
      <c r="DS613" s="14" t="str">
        <f t="shared" si="984"/>
        <v>SSR守护灵9突</v>
      </c>
      <c r="DT613" s="14">
        <f t="shared" si="1011"/>
        <v>7</v>
      </c>
      <c r="DU613" s="14">
        <f t="shared" si="1012"/>
        <v>6</v>
      </c>
      <c r="DV613" s="14">
        <f t="shared" si="1013"/>
        <v>6</v>
      </c>
      <c r="DW613" s="14">
        <f t="shared" si="985"/>
        <v>4</v>
      </c>
      <c r="DX613" s="14">
        <f t="shared" si="986"/>
        <v>9</v>
      </c>
      <c r="DY613" s="14">
        <f t="shared" si="987"/>
        <v>49</v>
      </c>
      <c r="DZ613" s="14">
        <f>INDEX(属性投放!$AX$6:$AX$85,(卡牌属性!DW613-2)*20+卡牌属性!DX613)</f>
        <v>8</v>
      </c>
      <c r="EA613" s="14">
        <f>INDEX(属性投放!BQ$6:BQ$85,卡牌属性!$DY613)</f>
        <v>200</v>
      </c>
      <c r="EB613" s="14">
        <f>INDEX(属性投放!BR$6:BR$85,卡牌属性!$DY613)</f>
        <v>100</v>
      </c>
      <c r="EC613" s="14">
        <f>INDEX(属性投放!BS$6:BS$85,卡牌属性!$DY613)</f>
        <v>1600</v>
      </c>
      <c r="ED613" s="14">
        <f t="shared" si="1029"/>
        <v>2063</v>
      </c>
      <c r="EE613" s="14">
        <f t="shared" si="1030"/>
        <v>2231</v>
      </c>
      <c r="EF613" s="14">
        <f t="shared" si="1031"/>
        <v>2435</v>
      </c>
      <c r="EG613" s="14">
        <f t="shared" si="1032"/>
        <v>2435</v>
      </c>
      <c r="EH613" s="14">
        <f t="shared" si="1033"/>
        <v>2815</v>
      </c>
      <c r="EI613" s="14">
        <f t="shared" si="1034"/>
        <v>828</v>
      </c>
      <c r="EJ613" s="14">
        <f t="shared" si="1035"/>
        <v>998</v>
      </c>
      <c r="EK613" s="14">
        <f t="shared" si="1036"/>
        <v>998</v>
      </c>
      <c r="EL613" s="14">
        <f t="shared" si="1037"/>
        <v>1079</v>
      </c>
      <c r="EM613" s="14">
        <f t="shared" si="1038"/>
        <v>1182</v>
      </c>
      <c r="EN613" s="14">
        <f t="shared" si="1039"/>
        <v>11522</v>
      </c>
      <c r="EO613" s="14">
        <f t="shared" si="1040"/>
        <v>13878</v>
      </c>
      <c r="EP613" s="14">
        <f t="shared" si="1041"/>
        <v>13878</v>
      </c>
      <c r="EQ613" s="14">
        <f t="shared" si="1042"/>
        <v>14890</v>
      </c>
      <c r="ER613" s="14">
        <f t="shared" si="1043"/>
        <v>16120</v>
      </c>
      <c r="ES613" s="14">
        <f>INDEX(属性偏向!$S$4:$S$243,(卡牌属性!$DT613-1+ES$3)*20+卡牌属性!$DX613)</f>
        <v>25</v>
      </c>
      <c r="ET613" s="14">
        <f>INDEX(属性偏向!$S$4:$S$243,(卡牌属性!$DT613-1+ET$3)*20+卡牌属性!$DX613)</f>
        <v>28</v>
      </c>
      <c r="EU613" s="14">
        <f>INDEX(属性偏向!$S$4:$S$243,(卡牌属性!$DT613-1+EU$3)*20+卡牌属性!$DX613)</f>
        <v>30</v>
      </c>
      <c r="EV613" s="14">
        <f>INDEX(属性偏向!$S$4:$S$243,(卡牌属性!$DT613-1+EV$3)*20+卡牌属性!$DX613)</f>
        <v>30</v>
      </c>
      <c r="EW613" s="14">
        <f>INDEX(属性偏向!$S$4:$S$243,(卡牌属性!$DT613-1+EW$3)*20+卡牌属性!$DX613)</f>
        <v>40</v>
      </c>
      <c r="EX613" s="14">
        <f>INDEX(属性偏向!$T$4:$T$243,(卡牌属性!$DU613-1+EX$3)*20+卡牌属性!$DX613)</f>
        <v>8</v>
      </c>
      <c r="EY613" s="14">
        <f>INDEX(属性偏向!$T$4:$T$243,(卡牌属性!$DU613-1+EY$3)*20+卡牌属性!$DX613)</f>
        <v>13</v>
      </c>
      <c r="EZ613" s="14">
        <f>INDEX(属性偏向!$T$4:$T$243,(卡牌属性!$DU613-1+EZ$3)*20+卡牌属性!$DX613)</f>
        <v>13</v>
      </c>
      <c r="FA613" s="14">
        <f>INDEX(属性偏向!$T$4:$T$243,(卡牌属性!$DU613-1+FA$3)*20+卡牌属性!$DX613)</f>
        <v>14</v>
      </c>
      <c r="FB613" s="14">
        <f>INDEX(属性偏向!$T$4:$T$243,(卡牌属性!$DU613-1+FB$3)*20+卡牌属性!$DX613)</f>
        <v>15</v>
      </c>
      <c r="FC613" s="14">
        <f>INDEX(属性偏向!$U$4:$U$243,(卡牌属性!$DV613-1+FC$3)*20+卡牌属性!$DX613)</f>
        <v>128</v>
      </c>
      <c r="FD613" s="14">
        <f>INDEX(属性偏向!$U$4:$U$243,(卡牌属性!$DV613-1+FD$3)*20+卡牌属性!$DX613)</f>
        <v>200</v>
      </c>
      <c r="FE613" s="14">
        <f>INDEX(属性偏向!$U$4:$U$243,(卡牌属性!$DV613-1+FE$3)*20+卡牌属性!$DX613)</f>
        <v>200</v>
      </c>
      <c r="FF613" s="14">
        <f>INDEX(属性偏向!$U$4:$U$243,(卡牌属性!$DV613-1+FF$3)*20+卡牌属性!$DX613)</f>
        <v>224</v>
      </c>
      <c r="FG613" s="14">
        <f>INDEX(属性偏向!$U$4:$U$243,(卡牌属性!$DV613-1+FG$3)*20+卡牌属性!$DX613)</f>
        <v>240</v>
      </c>
      <c r="FH613" s="14">
        <f>INDEX(属性投放!$BQ$6:$BQ$85,(卡牌属性!$DW613-2)*20+卡牌属性!$DX613)</f>
        <v>200</v>
      </c>
      <c r="FI613" s="14">
        <f>INDEX(属性投放!$BQ$6:$BQ$85,(卡牌属性!$DW613-2)*20+卡牌属性!$DX613)</f>
        <v>200</v>
      </c>
      <c r="FJ613" s="14">
        <f>INDEX(属性投放!$BQ$6:$BQ$85,(卡牌属性!$DW613-2)*20+卡牌属性!$DX613)</f>
        <v>200</v>
      </c>
      <c r="FK613" s="14">
        <f>INDEX(属性投放!$BQ$6:$BQ$85,(卡牌属性!$DW613-2)*20+卡牌属性!$DX613)</f>
        <v>200</v>
      </c>
      <c r="FL613" s="14">
        <f>INDEX(属性投放!$BQ$6:$BQ$85,(卡牌属性!$DW613-2)*20+卡牌属性!$DX613)</f>
        <v>200</v>
      </c>
      <c r="FM613" s="14">
        <f>INDEX(属性投放!$BR$6:$BR$85,(卡牌属性!$DW613-2)*20+卡牌属性!$DX613)</f>
        <v>100</v>
      </c>
      <c r="FN613" s="14">
        <f>INDEX(属性投放!$BR$6:$BR$85,(卡牌属性!$DW613-2)*20+卡牌属性!$DX613)</f>
        <v>100</v>
      </c>
      <c r="FO613" s="14">
        <f>INDEX(属性投放!$BR$6:$BR$85,(卡牌属性!$DW613-2)*20+卡牌属性!$DX613)</f>
        <v>100</v>
      </c>
      <c r="FP613" s="14">
        <f>INDEX(属性投放!$BR$6:$BR$85,(卡牌属性!$DW613-2)*20+卡牌属性!$DX613)</f>
        <v>100</v>
      </c>
      <c r="FQ613" s="14">
        <f>INDEX(属性投放!$BR$6:$BR$85,(卡牌属性!$DW613-2)*20+卡牌属性!$DX613)</f>
        <v>100</v>
      </c>
      <c r="FR613" s="14">
        <f>INDEX(属性投放!$BS$6:$BS$85,(卡牌属性!$DW613-2)*20+卡牌属性!$DX613)</f>
        <v>1600</v>
      </c>
      <c r="FS613" s="14">
        <f>INDEX(属性投放!$BS$6:$BS$85,(卡牌属性!$DW613-2)*20+卡牌属性!$DX613)</f>
        <v>1600</v>
      </c>
      <c r="FT613" s="14">
        <f>INDEX(属性投放!$BS$6:$BS$85,(卡牌属性!$DW613-2)*20+卡牌属性!$DX613)</f>
        <v>1600</v>
      </c>
      <c r="FU613" s="14">
        <f>INDEX(属性投放!$BS$6:$BS$85,(卡牌属性!$DW613-2)*20+卡牌属性!$DX613)</f>
        <v>1600</v>
      </c>
      <c r="FV613" s="14">
        <f>INDEX(属性投放!$BS$6:$BS$85,(卡牌属性!$DW613-2)*20+卡牌属性!$DX613)</f>
        <v>1600</v>
      </c>
    </row>
    <row r="614" spans="31:178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>
        <v>610</v>
      </c>
      <c r="BX614" s="13">
        <f t="shared" si="981"/>
        <v>31</v>
      </c>
      <c r="BY614" s="14">
        <f t="shared" si="982"/>
        <v>4</v>
      </c>
      <c r="BZ614" s="14">
        <f t="shared" si="1005"/>
        <v>1102997</v>
      </c>
      <c r="CA614" s="14" t="str">
        <f t="shared" si="1006"/>
        <v>SSR守护灵10突</v>
      </c>
      <c r="CB614" s="25" t="s">
        <v>142</v>
      </c>
      <c r="CC614" s="14">
        <v>2</v>
      </c>
      <c r="CD614" s="14">
        <f t="shared" si="1003"/>
        <v>10</v>
      </c>
      <c r="CE614" s="14" t="s">
        <v>21</v>
      </c>
      <c r="CF614" s="14">
        <f>INDEX(属性投放!$AZ$6:$AZ$85,(BY614-2)*20+CD614)</f>
        <v>3643</v>
      </c>
      <c r="CG614" s="14" t="s">
        <v>22</v>
      </c>
      <c r="CH614" s="14">
        <f>INDEX(属性投放!$BA$6:$BA$85,(BY614-2)*20+CD614)</f>
        <v>1772</v>
      </c>
      <c r="CI614" s="14" t="s">
        <v>510</v>
      </c>
      <c r="CJ614" s="14">
        <f>INDEX(属性投放!$BB$6:$BB$85,(BY614-2)*20+CD614)</f>
        <v>25888</v>
      </c>
      <c r="CK614" s="14" t="s">
        <v>21</v>
      </c>
      <c r="CL614" s="14">
        <f>INDEX(属性投放!$BC$6:$BC$85,(BY614-2)*20+CD614)</f>
        <v>30</v>
      </c>
      <c r="CM614" s="14" t="s">
        <v>22</v>
      </c>
      <c r="CN614" s="14">
        <f>INDEX(属性投放!$BD$6:$BD$85,(BY614-2)*20+CD614)</f>
        <v>15</v>
      </c>
      <c r="CO614" s="14" t="s">
        <v>510</v>
      </c>
      <c r="CP614" s="14">
        <f>INDEX(属性投放!$BE$6:$BE$85,(BY614-2)*20+CD614)</f>
        <v>270</v>
      </c>
      <c r="CS614" s="13">
        <v>610</v>
      </c>
      <c r="CT614" s="13">
        <f t="shared" si="1007"/>
        <v>12</v>
      </c>
      <c r="CU614" s="13">
        <f t="shared" si="1008"/>
        <v>38</v>
      </c>
      <c r="CV614" s="14">
        <f t="shared" si="1009"/>
        <v>5</v>
      </c>
      <c r="CW614" s="14">
        <f t="shared" si="1010"/>
        <v>1102012</v>
      </c>
      <c r="CX614" s="14" t="str">
        <f>INDEX($O$6:$O$50,CT614)&amp;"-"&amp;INDEX(属性投放!$AB$7:$AB$50,CZ614)&amp;"-魂火-"&amp;DB614</f>
        <v>夏侯惇-大焦热-魂火-2</v>
      </c>
      <c r="CY614" s="25" t="s">
        <v>142</v>
      </c>
      <c r="CZ614" s="14">
        <f>INDEX(属性投放!$AM$7:$AM$58,CU614)</f>
        <v>16</v>
      </c>
      <c r="DA614" s="14" t="s">
        <v>537</v>
      </c>
      <c r="DB614" s="14">
        <f>INDEX(属性投放!$AN$7:$AN$58,CU614)</f>
        <v>2</v>
      </c>
      <c r="DC614" s="14">
        <f t="shared" si="1004"/>
        <v>38</v>
      </c>
      <c r="DD614" s="14">
        <f>INDEX(属性投放!$AO$7:$AO$58,DC614)</f>
        <v>113</v>
      </c>
      <c r="DE614" s="14" t="s">
        <v>538</v>
      </c>
      <c r="DF614" s="14">
        <f>INDEX(属性投放!$BK$6:$BK$85,(CV614-2)*20+CZ614)</f>
        <v>580</v>
      </c>
      <c r="DG614" s="14">
        <f>SUMIFS(DF$5:DF614,$CT$5:$CT614,"="&amp;$CT614)</f>
        <v>7999</v>
      </c>
      <c r="DH614" s="14" t="s">
        <v>539</v>
      </c>
      <c r="DI614" s="14">
        <f>INDEX(属性投放!$BL$6:$BL$85,(CV614-2)*20+CZ614)</f>
        <v>290</v>
      </c>
      <c r="DJ614" s="14">
        <f>SUMIFS(DI$5:DI614,$CT$5:$CT614,"="&amp;$CT614)</f>
        <v>4005</v>
      </c>
      <c r="DK614" s="14" t="s">
        <v>540</v>
      </c>
      <c r="DL614" s="14">
        <f>INDEX(属性投放!$BM$6:$BM$85,(CV614-2)*20+CZ614)</f>
        <v>5800</v>
      </c>
      <c r="DM614" s="14">
        <f>SUMIFS(DL$5:DL614,$CT$5:$CT614,"="&amp;$CT614)</f>
        <v>74402</v>
      </c>
      <c r="DR614" s="14">
        <f t="shared" si="983"/>
        <v>1102997</v>
      </c>
      <c r="DS614" s="14" t="str">
        <f t="shared" si="984"/>
        <v>SSR守护灵10突</v>
      </c>
      <c r="DT614" s="14">
        <f t="shared" si="1011"/>
        <v>7</v>
      </c>
      <c r="DU614" s="14">
        <f t="shared" si="1012"/>
        <v>6</v>
      </c>
      <c r="DV614" s="14">
        <f t="shared" si="1013"/>
        <v>6</v>
      </c>
      <c r="DW614" s="14">
        <f t="shared" si="985"/>
        <v>4</v>
      </c>
      <c r="DX614" s="14">
        <f t="shared" si="986"/>
        <v>10</v>
      </c>
      <c r="DY614" s="14">
        <f t="shared" si="987"/>
        <v>50</v>
      </c>
      <c r="DZ614" s="14">
        <f>INDEX(属性投放!$AX$6:$AX$85,(卡牌属性!DW614-2)*20+卡牌属性!DX614)</f>
        <v>7</v>
      </c>
      <c r="EA614" s="14">
        <f>INDEX(属性投放!BQ$6:BQ$85,卡牌属性!$DY614)</f>
        <v>200</v>
      </c>
      <c r="EB614" s="14">
        <f>INDEX(属性投放!BR$6:BR$85,卡牌属性!$DY614)</f>
        <v>100</v>
      </c>
      <c r="EC614" s="14">
        <f>INDEX(属性投放!BS$6:BS$85,卡牌属性!$DY614)</f>
        <v>1800</v>
      </c>
      <c r="ED614" s="14">
        <f t="shared" si="1029"/>
        <v>2463</v>
      </c>
      <c r="EE614" s="14">
        <f t="shared" si="1030"/>
        <v>2655</v>
      </c>
      <c r="EF614" s="14">
        <f t="shared" si="1031"/>
        <v>2875</v>
      </c>
      <c r="EG614" s="14">
        <f t="shared" si="1032"/>
        <v>2875</v>
      </c>
      <c r="EH614" s="14">
        <f t="shared" si="1033"/>
        <v>3335</v>
      </c>
      <c r="EI614" s="14">
        <f t="shared" si="1034"/>
        <v>992</v>
      </c>
      <c r="EJ614" s="14">
        <f t="shared" si="1035"/>
        <v>1202</v>
      </c>
      <c r="EK614" s="14">
        <f t="shared" si="1036"/>
        <v>1202</v>
      </c>
      <c r="EL614" s="14">
        <f t="shared" si="1037"/>
        <v>1291</v>
      </c>
      <c r="EM614" s="14">
        <f t="shared" si="1038"/>
        <v>1402</v>
      </c>
      <c r="EN614" s="14">
        <f t="shared" si="1039"/>
        <v>14146</v>
      </c>
      <c r="EO614" s="14">
        <f t="shared" si="1040"/>
        <v>17078</v>
      </c>
      <c r="EP614" s="14">
        <f t="shared" si="1041"/>
        <v>17078</v>
      </c>
      <c r="EQ614" s="14">
        <f t="shared" si="1042"/>
        <v>18282</v>
      </c>
      <c r="ER614" s="14">
        <f t="shared" si="1043"/>
        <v>19640</v>
      </c>
      <c r="ES614" s="14">
        <f>INDEX(属性偏向!$S$4:$S$243,(卡牌属性!$DT614-1+ES$3)*20+卡牌属性!$DX614)</f>
        <v>30</v>
      </c>
      <c r="ET614" s="14">
        <f>INDEX(属性偏向!$S$4:$S$243,(卡牌属性!$DT614-1+ET$3)*20+卡牌属性!$DX614)</f>
        <v>35</v>
      </c>
      <c r="EU614" s="14">
        <f>INDEX(属性偏向!$S$4:$S$243,(卡牌属性!$DT614-1+EU$3)*20+卡牌属性!$DX614)</f>
        <v>40</v>
      </c>
      <c r="EV614" s="14">
        <f>INDEX(属性偏向!$S$4:$S$243,(卡牌属性!$DT614-1+EV$3)*20+卡牌属性!$DX614)</f>
        <v>40</v>
      </c>
      <c r="EW614" s="14">
        <f>INDEX(属性偏向!$S$4:$S$243,(卡牌属性!$DT614-1+EW$3)*20+卡牌属性!$DX614)</f>
        <v>50</v>
      </c>
      <c r="EX614" s="14">
        <f>INDEX(属性偏向!$T$4:$T$243,(卡牌属性!$DU614-1+EX$3)*20+卡牌属性!$DX614)</f>
        <v>11</v>
      </c>
      <c r="EY614" s="14">
        <f>INDEX(属性偏向!$T$4:$T$243,(卡牌属性!$DU614-1+EY$3)*20+卡牌属性!$DX614)</f>
        <v>15</v>
      </c>
      <c r="EZ614" s="14">
        <f>INDEX(属性偏向!$T$4:$T$243,(卡牌属性!$DU614-1+EZ$3)*20+卡牌属性!$DX614)</f>
        <v>15</v>
      </c>
      <c r="FA614" s="14">
        <f>INDEX(属性偏向!$T$4:$T$243,(卡牌属性!$DU614-1+FA$3)*20+卡牌属性!$DX614)</f>
        <v>18</v>
      </c>
      <c r="FB614" s="14">
        <f>INDEX(属性偏向!$T$4:$T$243,(卡牌属性!$DU614-1+FB$3)*20+卡牌属性!$DX614)</f>
        <v>20</v>
      </c>
      <c r="FC614" s="14">
        <f>INDEX(属性偏向!$U$4:$U$243,(卡牌属性!$DV614-1+FC$3)*20+卡牌属性!$DX614)</f>
        <v>189</v>
      </c>
      <c r="FD614" s="14">
        <f>INDEX(属性偏向!$U$4:$U$243,(卡牌属性!$DV614-1+FD$3)*20+卡牌属性!$DX614)</f>
        <v>270</v>
      </c>
      <c r="FE614" s="14">
        <f>INDEX(属性偏向!$U$4:$U$243,(卡牌属性!$DV614-1+FE$3)*20+卡牌属性!$DX614)</f>
        <v>270</v>
      </c>
      <c r="FF614" s="14">
        <f>INDEX(属性偏向!$U$4:$U$243,(卡牌属性!$DV614-1+FF$3)*20+卡牌属性!$DX614)</f>
        <v>315</v>
      </c>
      <c r="FG614" s="14">
        <f>INDEX(属性偏向!$U$4:$U$243,(卡牌属性!$DV614-1+FG$3)*20+卡牌属性!$DX614)</f>
        <v>360</v>
      </c>
      <c r="FH614" s="14">
        <f>INDEX(属性投放!$BQ$6:$BQ$85,(卡牌属性!$DW614-2)*20+卡牌属性!$DX614)</f>
        <v>200</v>
      </c>
      <c r="FI614" s="14">
        <f>INDEX(属性投放!$BQ$6:$BQ$85,(卡牌属性!$DW614-2)*20+卡牌属性!$DX614)</f>
        <v>200</v>
      </c>
      <c r="FJ614" s="14">
        <f>INDEX(属性投放!$BQ$6:$BQ$85,(卡牌属性!$DW614-2)*20+卡牌属性!$DX614)</f>
        <v>200</v>
      </c>
      <c r="FK614" s="14">
        <f>INDEX(属性投放!$BQ$6:$BQ$85,(卡牌属性!$DW614-2)*20+卡牌属性!$DX614)</f>
        <v>200</v>
      </c>
      <c r="FL614" s="14">
        <f>INDEX(属性投放!$BQ$6:$BQ$85,(卡牌属性!$DW614-2)*20+卡牌属性!$DX614)</f>
        <v>200</v>
      </c>
      <c r="FM614" s="14">
        <f>INDEX(属性投放!$BR$6:$BR$85,(卡牌属性!$DW614-2)*20+卡牌属性!$DX614)</f>
        <v>100</v>
      </c>
      <c r="FN614" s="14">
        <f>INDEX(属性投放!$BR$6:$BR$85,(卡牌属性!$DW614-2)*20+卡牌属性!$DX614)</f>
        <v>100</v>
      </c>
      <c r="FO614" s="14">
        <f>INDEX(属性投放!$BR$6:$BR$85,(卡牌属性!$DW614-2)*20+卡牌属性!$DX614)</f>
        <v>100</v>
      </c>
      <c r="FP614" s="14">
        <f>INDEX(属性投放!$BR$6:$BR$85,(卡牌属性!$DW614-2)*20+卡牌属性!$DX614)</f>
        <v>100</v>
      </c>
      <c r="FQ614" s="14">
        <f>INDEX(属性投放!$BR$6:$BR$85,(卡牌属性!$DW614-2)*20+卡牌属性!$DX614)</f>
        <v>100</v>
      </c>
      <c r="FR614" s="14">
        <f>INDEX(属性投放!$BS$6:$BS$85,(卡牌属性!$DW614-2)*20+卡牌属性!$DX614)</f>
        <v>1800</v>
      </c>
      <c r="FS614" s="14">
        <f>INDEX(属性投放!$BS$6:$BS$85,(卡牌属性!$DW614-2)*20+卡牌属性!$DX614)</f>
        <v>1800</v>
      </c>
      <c r="FT614" s="14">
        <f>INDEX(属性投放!$BS$6:$BS$85,(卡牌属性!$DW614-2)*20+卡牌属性!$DX614)</f>
        <v>1800</v>
      </c>
      <c r="FU614" s="14">
        <f>INDEX(属性投放!$BS$6:$BS$85,(卡牌属性!$DW614-2)*20+卡牌属性!$DX614)</f>
        <v>1800</v>
      </c>
      <c r="FV614" s="14">
        <f>INDEX(属性投放!$BS$6:$BS$85,(卡牌属性!$DW614-2)*20+卡牌属性!$DX614)</f>
        <v>1800</v>
      </c>
    </row>
    <row r="615" spans="31:178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>
        <v>611</v>
      </c>
      <c r="BX615" s="13">
        <f t="shared" si="981"/>
        <v>31</v>
      </c>
      <c r="BY615" s="14">
        <f t="shared" si="982"/>
        <v>4</v>
      </c>
      <c r="BZ615" s="14">
        <f t="shared" si="1005"/>
        <v>1102997</v>
      </c>
      <c r="CA615" s="14" t="str">
        <f t="shared" si="1006"/>
        <v>SSR守护灵11突</v>
      </c>
      <c r="CB615" s="25" t="s">
        <v>142</v>
      </c>
      <c r="CC615" s="14">
        <v>2</v>
      </c>
      <c r="CD615" s="14">
        <f t="shared" si="1003"/>
        <v>11</v>
      </c>
      <c r="CE615" s="14" t="s">
        <v>21</v>
      </c>
      <c r="CF615" s="14">
        <f>INDEX(属性投放!$AZ$6:$AZ$85,(BY615-2)*20+CD615)</f>
        <v>4443</v>
      </c>
      <c r="CG615" s="14" t="s">
        <v>22</v>
      </c>
      <c r="CH615" s="14">
        <f>INDEX(属性投放!$BA$6:$BA$85,(BY615-2)*20+CD615)</f>
        <v>2172</v>
      </c>
      <c r="CI615" s="14" t="s">
        <v>510</v>
      </c>
      <c r="CJ615" s="14">
        <f>INDEX(属性投放!$BB$6:$BB$85,(BY615-2)*20+CD615)</f>
        <v>33088</v>
      </c>
      <c r="CK615" s="14" t="s">
        <v>21</v>
      </c>
      <c r="CL615" s="14">
        <f>INDEX(属性投放!$BC$6:$BC$85,(BY615-2)*20+CD615)</f>
        <v>30</v>
      </c>
      <c r="CM615" s="14" t="s">
        <v>22</v>
      </c>
      <c r="CN615" s="14">
        <f>INDEX(属性投放!$BD$6:$BD$85,(BY615-2)*20+CD615)</f>
        <v>15</v>
      </c>
      <c r="CO615" s="14" t="s">
        <v>510</v>
      </c>
      <c r="CP615" s="14">
        <f>INDEX(属性投放!$BE$6:$BE$85,(BY615-2)*20+CD615)</f>
        <v>270</v>
      </c>
      <c r="CS615" s="13">
        <v>611</v>
      </c>
      <c r="CT615" s="13">
        <f t="shared" si="1007"/>
        <v>12</v>
      </c>
      <c r="CU615" s="13">
        <f t="shared" si="1008"/>
        <v>39</v>
      </c>
      <c r="CV615" s="14">
        <f t="shared" si="1009"/>
        <v>5</v>
      </c>
      <c r="CW615" s="14">
        <f t="shared" si="1010"/>
        <v>1102012</v>
      </c>
      <c r="CX615" s="14" t="str">
        <f>INDEX($O$6:$O$50,CT615)&amp;"-"&amp;INDEX(属性投放!$AB$7:$AB$50,CZ615)&amp;"-魂火-"&amp;DB615</f>
        <v>夏侯惇-大焦热-魂火-3</v>
      </c>
      <c r="CY615" s="25" t="s">
        <v>142</v>
      </c>
      <c r="CZ615" s="14">
        <f>INDEX(属性投放!$AM$7:$AM$58,CU615)</f>
        <v>16</v>
      </c>
      <c r="DA615" s="14" t="s">
        <v>537</v>
      </c>
      <c r="DB615" s="14">
        <f>INDEX(属性投放!$AN$7:$AN$58,CU615)</f>
        <v>3</v>
      </c>
      <c r="DC615" s="14">
        <f t="shared" si="1004"/>
        <v>39</v>
      </c>
      <c r="DD615" s="14">
        <f>INDEX(属性投放!$AO$7:$AO$58,DC615)</f>
        <v>115</v>
      </c>
      <c r="DE615" s="14" t="s">
        <v>538</v>
      </c>
      <c r="DF615" s="14">
        <f>INDEX(属性投放!$BK$6:$BK$85,(CV615-2)*20+CZ615)</f>
        <v>580</v>
      </c>
      <c r="DG615" s="14">
        <f>SUMIFS(DF$5:DF615,$CT$5:$CT615,"="&amp;$CT615)</f>
        <v>8579</v>
      </c>
      <c r="DH615" s="14" t="s">
        <v>539</v>
      </c>
      <c r="DI615" s="14">
        <f>INDEX(属性投放!$BL$6:$BL$85,(CV615-2)*20+CZ615)</f>
        <v>290</v>
      </c>
      <c r="DJ615" s="14">
        <f>SUMIFS(DI$5:DI615,$CT$5:$CT615,"="&amp;$CT615)</f>
        <v>4295</v>
      </c>
      <c r="DK615" s="14" t="s">
        <v>540</v>
      </c>
      <c r="DL615" s="14">
        <f>INDEX(属性投放!$BM$6:$BM$85,(CV615-2)*20+CZ615)</f>
        <v>5800</v>
      </c>
      <c r="DM615" s="14">
        <f>SUMIFS(DL$5:DL615,$CT$5:$CT615,"="&amp;$CT615)</f>
        <v>80202</v>
      </c>
      <c r="DR615" s="14">
        <f t="shared" si="983"/>
        <v>1102997</v>
      </c>
      <c r="DS615" s="14" t="str">
        <f t="shared" si="984"/>
        <v>SSR守护灵11突</v>
      </c>
      <c r="DT615" s="14">
        <f t="shared" si="1011"/>
        <v>7</v>
      </c>
      <c r="DU615" s="14">
        <f t="shared" si="1012"/>
        <v>6</v>
      </c>
      <c r="DV615" s="14">
        <f t="shared" si="1013"/>
        <v>6</v>
      </c>
      <c r="DW615" s="14">
        <f t="shared" si="985"/>
        <v>4</v>
      </c>
      <c r="DX615" s="14">
        <f t="shared" si="986"/>
        <v>11</v>
      </c>
      <c r="DY615" s="14">
        <f t="shared" si="987"/>
        <v>51</v>
      </c>
      <c r="DZ615" s="14">
        <f>INDEX(属性投放!$AX$6:$AX$85,(卡牌属性!DW615-2)*20+卡牌属性!DX615)</f>
        <v>8</v>
      </c>
      <c r="EA615" s="14">
        <f>INDEX(属性投放!BQ$6:BQ$85,卡牌属性!$DY615)</f>
        <v>300</v>
      </c>
      <c r="EB615" s="14">
        <f>INDEX(属性投放!BR$6:BR$85,卡牌属性!$DY615)</f>
        <v>150</v>
      </c>
      <c r="EC615" s="14">
        <f>INDEX(属性投放!BS$6:BS$85,卡牌属性!$DY615)</f>
        <v>2700</v>
      </c>
      <c r="ED615" s="14">
        <f t="shared" si="1029"/>
        <v>2873</v>
      </c>
      <c r="EE615" s="14">
        <f t="shared" si="1030"/>
        <v>3100</v>
      </c>
      <c r="EF615" s="14">
        <f t="shared" si="1031"/>
        <v>3355</v>
      </c>
      <c r="EG615" s="14">
        <f t="shared" si="1032"/>
        <v>3355</v>
      </c>
      <c r="EH615" s="14">
        <f t="shared" si="1033"/>
        <v>3885</v>
      </c>
      <c r="EI615" s="14">
        <f t="shared" si="1034"/>
        <v>1169</v>
      </c>
      <c r="EJ615" s="14">
        <f t="shared" si="1035"/>
        <v>1407</v>
      </c>
      <c r="EK615" s="14">
        <f t="shared" si="1036"/>
        <v>1407</v>
      </c>
      <c r="EL615" s="14">
        <f t="shared" si="1037"/>
        <v>1517</v>
      </c>
      <c r="EM615" s="14">
        <f t="shared" si="1038"/>
        <v>1642</v>
      </c>
      <c r="EN615" s="14">
        <f t="shared" si="1039"/>
        <v>17269</v>
      </c>
      <c r="EO615" s="14">
        <f t="shared" si="1040"/>
        <v>20768</v>
      </c>
      <c r="EP615" s="14">
        <f t="shared" si="1041"/>
        <v>20768</v>
      </c>
      <c r="EQ615" s="14">
        <f t="shared" si="1042"/>
        <v>22287</v>
      </c>
      <c r="ER615" s="14">
        <f t="shared" si="1043"/>
        <v>23960</v>
      </c>
      <c r="ES615" s="14">
        <f>INDEX(属性偏向!$S$4:$S$243,(卡牌属性!$DT615-1+ES$3)*20+卡牌属性!$DX615)</f>
        <v>30</v>
      </c>
      <c r="ET615" s="14">
        <f>INDEX(属性偏向!$S$4:$S$243,(卡牌属性!$DT615-1+ET$3)*20+卡牌属性!$DX615)</f>
        <v>35</v>
      </c>
      <c r="EU615" s="14">
        <f>INDEX(属性偏向!$S$4:$S$243,(卡牌属性!$DT615-1+EU$3)*20+卡牌属性!$DX615)</f>
        <v>40</v>
      </c>
      <c r="EV615" s="14">
        <f>INDEX(属性偏向!$S$4:$S$243,(卡牌属性!$DT615-1+EV$3)*20+卡牌属性!$DX615)</f>
        <v>40</v>
      </c>
      <c r="EW615" s="14">
        <f>INDEX(属性偏向!$S$4:$S$243,(卡牌属性!$DT615-1+EW$3)*20+卡牌属性!$DX615)</f>
        <v>50</v>
      </c>
      <c r="EX615" s="14">
        <f>INDEX(属性偏向!$T$4:$T$243,(卡牌属性!$DU615-1+EX$3)*20+卡牌属性!$DX615)</f>
        <v>11</v>
      </c>
      <c r="EY615" s="14">
        <f>INDEX(属性偏向!$T$4:$T$243,(卡牌属性!$DU615-1+EY$3)*20+卡牌属性!$DX615)</f>
        <v>15</v>
      </c>
      <c r="EZ615" s="14">
        <f>INDEX(属性偏向!$T$4:$T$243,(卡牌属性!$DU615-1+EZ$3)*20+卡牌属性!$DX615)</f>
        <v>15</v>
      </c>
      <c r="FA615" s="14">
        <f>INDEX(属性偏向!$T$4:$T$243,(卡牌属性!$DU615-1+FA$3)*20+卡牌属性!$DX615)</f>
        <v>18</v>
      </c>
      <c r="FB615" s="14">
        <f>INDEX(属性偏向!$T$4:$T$243,(卡牌属性!$DU615-1+FB$3)*20+卡牌属性!$DX615)</f>
        <v>20</v>
      </c>
      <c r="FC615" s="14">
        <f>INDEX(属性偏向!$U$4:$U$243,(卡牌属性!$DV615-1+FC$3)*20+卡牌属性!$DX615)</f>
        <v>189</v>
      </c>
      <c r="FD615" s="14">
        <f>INDEX(属性偏向!$U$4:$U$243,(卡牌属性!$DV615-1+FD$3)*20+卡牌属性!$DX615)</f>
        <v>270</v>
      </c>
      <c r="FE615" s="14">
        <f>INDEX(属性偏向!$U$4:$U$243,(卡牌属性!$DV615-1+FE$3)*20+卡牌属性!$DX615)</f>
        <v>270</v>
      </c>
      <c r="FF615" s="14">
        <f>INDEX(属性偏向!$U$4:$U$243,(卡牌属性!$DV615-1+FF$3)*20+卡牌属性!$DX615)</f>
        <v>315</v>
      </c>
      <c r="FG615" s="14">
        <f>INDEX(属性偏向!$U$4:$U$243,(卡牌属性!$DV615-1+FG$3)*20+卡牌属性!$DX615)</f>
        <v>360</v>
      </c>
      <c r="FH615" s="14">
        <f>INDEX(属性投放!$BQ$6:$BQ$85,(卡牌属性!$DW615-2)*20+卡牌属性!$DX615)</f>
        <v>300</v>
      </c>
      <c r="FI615" s="14">
        <f>INDEX(属性投放!$BQ$6:$BQ$85,(卡牌属性!$DW615-2)*20+卡牌属性!$DX615)</f>
        <v>300</v>
      </c>
      <c r="FJ615" s="14">
        <f>INDEX(属性投放!$BQ$6:$BQ$85,(卡牌属性!$DW615-2)*20+卡牌属性!$DX615)</f>
        <v>300</v>
      </c>
      <c r="FK615" s="14">
        <f>INDEX(属性投放!$BQ$6:$BQ$85,(卡牌属性!$DW615-2)*20+卡牌属性!$DX615)</f>
        <v>300</v>
      </c>
      <c r="FL615" s="14">
        <f>INDEX(属性投放!$BQ$6:$BQ$85,(卡牌属性!$DW615-2)*20+卡牌属性!$DX615)</f>
        <v>300</v>
      </c>
      <c r="FM615" s="14">
        <f>INDEX(属性投放!$BR$6:$BR$85,(卡牌属性!$DW615-2)*20+卡牌属性!$DX615)</f>
        <v>150</v>
      </c>
      <c r="FN615" s="14">
        <f>INDEX(属性投放!$BR$6:$BR$85,(卡牌属性!$DW615-2)*20+卡牌属性!$DX615)</f>
        <v>150</v>
      </c>
      <c r="FO615" s="14">
        <f>INDEX(属性投放!$BR$6:$BR$85,(卡牌属性!$DW615-2)*20+卡牌属性!$DX615)</f>
        <v>150</v>
      </c>
      <c r="FP615" s="14">
        <f>INDEX(属性投放!$BR$6:$BR$85,(卡牌属性!$DW615-2)*20+卡牌属性!$DX615)</f>
        <v>150</v>
      </c>
      <c r="FQ615" s="14">
        <f>INDEX(属性投放!$BR$6:$BR$85,(卡牌属性!$DW615-2)*20+卡牌属性!$DX615)</f>
        <v>150</v>
      </c>
      <c r="FR615" s="14">
        <f>INDEX(属性投放!$BS$6:$BS$85,(卡牌属性!$DW615-2)*20+卡牌属性!$DX615)</f>
        <v>2700</v>
      </c>
      <c r="FS615" s="14">
        <f>INDEX(属性投放!$BS$6:$BS$85,(卡牌属性!$DW615-2)*20+卡牌属性!$DX615)</f>
        <v>2700</v>
      </c>
      <c r="FT615" s="14">
        <f>INDEX(属性投放!$BS$6:$BS$85,(卡牌属性!$DW615-2)*20+卡牌属性!$DX615)</f>
        <v>2700</v>
      </c>
      <c r="FU615" s="14">
        <f>INDEX(属性投放!$BS$6:$BS$85,(卡牌属性!$DW615-2)*20+卡牌属性!$DX615)</f>
        <v>2700</v>
      </c>
      <c r="FV615" s="14">
        <f>INDEX(属性投放!$BS$6:$BS$85,(卡牌属性!$DW615-2)*20+卡牌属性!$DX615)</f>
        <v>2700</v>
      </c>
    </row>
    <row r="616" spans="31:178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>
        <v>612</v>
      </c>
      <c r="BX616" s="13">
        <f t="shared" si="981"/>
        <v>31</v>
      </c>
      <c r="BY616" s="14">
        <f t="shared" si="982"/>
        <v>4</v>
      </c>
      <c r="BZ616" s="14">
        <f t="shared" si="1005"/>
        <v>1102997</v>
      </c>
      <c r="CA616" s="14" t="str">
        <f t="shared" si="1006"/>
        <v>SSR守护灵12突</v>
      </c>
      <c r="CB616" s="25" t="s">
        <v>142</v>
      </c>
      <c r="CC616" s="14">
        <v>2</v>
      </c>
      <c r="CD616" s="14">
        <f t="shared" si="1003"/>
        <v>12</v>
      </c>
      <c r="CE616" s="14" t="s">
        <v>21</v>
      </c>
      <c r="CF616" s="14">
        <f>INDEX(属性投放!$AZ$6:$AZ$85,(BY616-2)*20+CD616)</f>
        <v>5493</v>
      </c>
      <c r="CG616" s="14" t="s">
        <v>22</v>
      </c>
      <c r="CH616" s="14">
        <f>INDEX(属性投放!$BA$6:$BA$85,(BY616-2)*20+CD616)</f>
        <v>2697</v>
      </c>
      <c r="CI616" s="14" t="s">
        <v>510</v>
      </c>
      <c r="CJ616" s="14">
        <f>INDEX(属性投放!$BB$6:$BB$85,(BY616-2)*20+CD616)</f>
        <v>42538</v>
      </c>
      <c r="CK616" s="14" t="s">
        <v>21</v>
      </c>
      <c r="CL616" s="14">
        <f>INDEX(属性投放!$BC$6:$BC$85,(BY616-2)*20+CD616)</f>
        <v>30</v>
      </c>
      <c r="CM616" s="14" t="s">
        <v>22</v>
      </c>
      <c r="CN616" s="14">
        <f>INDEX(属性投放!$BD$6:$BD$85,(BY616-2)*20+CD616)</f>
        <v>15</v>
      </c>
      <c r="CO616" s="14" t="s">
        <v>510</v>
      </c>
      <c r="CP616" s="14">
        <f>INDEX(属性投放!$BE$6:$BE$85,(BY616-2)*20+CD616)</f>
        <v>270</v>
      </c>
      <c r="CS616" s="13">
        <v>612</v>
      </c>
      <c r="CT616" s="13">
        <f t="shared" si="1007"/>
        <v>12</v>
      </c>
      <c r="CU616" s="13">
        <f t="shared" si="1008"/>
        <v>40</v>
      </c>
      <c r="CV616" s="14">
        <f t="shared" si="1009"/>
        <v>5</v>
      </c>
      <c r="CW616" s="14">
        <f t="shared" si="1010"/>
        <v>1102012</v>
      </c>
      <c r="CX616" s="14" t="str">
        <f>INDEX($O$6:$O$50,CT616)&amp;"-"&amp;INDEX(属性投放!$AB$7:$AB$50,CZ616)&amp;"-魂火-"&amp;DB616</f>
        <v>夏侯惇-大焦热+1-魂火-1</v>
      </c>
      <c r="CY616" s="25" t="s">
        <v>142</v>
      </c>
      <c r="CZ616" s="14">
        <f>INDEX(属性投放!$AM$7:$AM$58,CU616)</f>
        <v>17</v>
      </c>
      <c r="DA616" s="14" t="s">
        <v>537</v>
      </c>
      <c r="DB616" s="14">
        <f>INDEX(属性投放!$AN$7:$AN$58,CU616)</f>
        <v>1</v>
      </c>
      <c r="DC616" s="14">
        <f t="shared" si="1004"/>
        <v>40</v>
      </c>
      <c r="DD616" s="14">
        <f>INDEX(属性投放!$AO$7:$AO$58,DC616)</f>
        <v>118</v>
      </c>
      <c r="DE616" s="14" t="s">
        <v>538</v>
      </c>
      <c r="DF616" s="14">
        <f>INDEX(属性投放!$BK$6:$BK$85,(CV616-2)*20+CZ616)</f>
        <v>720</v>
      </c>
      <c r="DG616" s="14">
        <f>SUMIFS(DF$5:DF616,$CT$5:$CT616,"="&amp;$CT616)</f>
        <v>9299</v>
      </c>
      <c r="DH616" s="14" t="s">
        <v>539</v>
      </c>
      <c r="DI616" s="14">
        <f>INDEX(属性投放!$BL$6:$BL$85,(CV616-2)*20+CZ616)</f>
        <v>360</v>
      </c>
      <c r="DJ616" s="14">
        <f>SUMIFS(DI$5:DI616,$CT$5:$CT616,"="&amp;$CT616)</f>
        <v>4655</v>
      </c>
      <c r="DK616" s="14" t="s">
        <v>540</v>
      </c>
      <c r="DL616" s="14">
        <f>INDEX(属性投放!$BM$6:$BM$85,(CV616-2)*20+CZ616)</f>
        <v>7200</v>
      </c>
      <c r="DM616" s="14">
        <f>SUMIFS(DL$5:DL616,$CT$5:$CT616,"="&amp;$CT616)</f>
        <v>87402</v>
      </c>
      <c r="DR616" s="14">
        <f t="shared" si="983"/>
        <v>1102997</v>
      </c>
      <c r="DS616" s="14" t="str">
        <f t="shared" si="984"/>
        <v>SSR守护灵12突</v>
      </c>
      <c r="DT616" s="14">
        <f t="shared" si="1011"/>
        <v>7</v>
      </c>
      <c r="DU616" s="14">
        <f t="shared" si="1012"/>
        <v>6</v>
      </c>
      <c r="DV616" s="14">
        <f t="shared" si="1013"/>
        <v>6</v>
      </c>
      <c r="DW616" s="14">
        <f t="shared" si="985"/>
        <v>4</v>
      </c>
      <c r="DX616" s="14">
        <f t="shared" si="986"/>
        <v>12</v>
      </c>
      <c r="DY616" s="14">
        <f t="shared" si="987"/>
        <v>52</v>
      </c>
      <c r="DZ616" s="14">
        <f>INDEX(属性投放!$AX$6:$AX$85,(卡牌属性!DW616-2)*20+卡牌属性!DX616)</f>
        <v>7</v>
      </c>
      <c r="EA616" s="14">
        <f>INDEX(属性投放!BQ$6:BQ$85,卡牌属性!$DY616)</f>
        <v>400</v>
      </c>
      <c r="EB616" s="14">
        <f>INDEX(属性投放!BR$6:BR$85,卡牌属性!$DY616)</f>
        <v>200</v>
      </c>
      <c r="EC616" s="14">
        <f>INDEX(属性投放!BS$6:BS$85,卡牌属性!$DY616)</f>
        <v>3600</v>
      </c>
      <c r="ED616" s="14">
        <f t="shared" si="1029"/>
        <v>3413</v>
      </c>
      <c r="EE616" s="14">
        <f t="shared" si="1030"/>
        <v>3680</v>
      </c>
      <c r="EF616" s="14">
        <f t="shared" si="1031"/>
        <v>3975</v>
      </c>
      <c r="EG616" s="14">
        <f t="shared" si="1032"/>
        <v>3975</v>
      </c>
      <c r="EH616" s="14">
        <f t="shared" si="1033"/>
        <v>4585</v>
      </c>
      <c r="EI616" s="14">
        <f t="shared" si="1034"/>
        <v>1407</v>
      </c>
      <c r="EJ616" s="14">
        <f t="shared" si="1035"/>
        <v>1677</v>
      </c>
      <c r="EK616" s="14">
        <f t="shared" si="1036"/>
        <v>1677</v>
      </c>
      <c r="EL616" s="14">
        <f t="shared" si="1037"/>
        <v>1811</v>
      </c>
      <c r="EM616" s="14">
        <f t="shared" si="1038"/>
        <v>1952</v>
      </c>
      <c r="EN616" s="14">
        <f t="shared" si="1039"/>
        <v>21481</v>
      </c>
      <c r="EO616" s="14">
        <f t="shared" si="1040"/>
        <v>25628</v>
      </c>
      <c r="EP616" s="14">
        <f t="shared" si="1041"/>
        <v>25628</v>
      </c>
      <c r="EQ616" s="14">
        <f t="shared" si="1042"/>
        <v>27507</v>
      </c>
      <c r="ER616" s="14">
        <f t="shared" si="1043"/>
        <v>29540</v>
      </c>
      <c r="ES616" s="14">
        <f>INDEX(属性偏向!$S$4:$S$243,(卡牌属性!$DT616-1+ES$3)*20+卡牌属性!$DX616)</f>
        <v>30</v>
      </c>
      <c r="ET616" s="14">
        <f>INDEX(属性偏向!$S$4:$S$243,(卡牌属性!$DT616-1+ET$3)*20+卡牌属性!$DX616)</f>
        <v>35</v>
      </c>
      <c r="EU616" s="14">
        <f>INDEX(属性偏向!$S$4:$S$243,(卡牌属性!$DT616-1+EU$3)*20+卡牌属性!$DX616)</f>
        <v>40</v>
      </c>
      <c r="EV616" s="14">
        <f>INDEX(属性偏向!$S$4:$S$243,(卡牌属性!$DT616-1+EV$3)*20+卡牌属性!$DX616)</f>
        <v>40</v>
      </c>
      <c r="EW616" s="14">
        <f>INDEX(属性偏向!$S$4:$S$243,(卡牌属性!$DT616-1+EW$3)*20+卡牌属性!$DX616)</f>
        <v>50</v>
      </c>
      <c r="EX616" s="14">
        <f>INDEX(属性偏向!$T$4:$T$243,(卡牌属性!$DU616-1+EX$3)*20+卡牌属性!$DX616)</f>
        <v>11</v>
      </c>
      <c r="EY616" s="14">
        <f>INDEX(属性偏向!$T$4:$T$243,(卡牌属性!$DU616-1+EY$3)*20+卡牌属性!$DX616)</f>
        <v>15</v>
      </c>
      <c r="EZ616" s="14">
        <f>INDEX(属性偏向!$T$4:$T$243,(卡牌属性!$DU616-1+EZ$3)*20+卡牌属性!$DX616)</f>
        <v>15</v>
      </c>
      <c r="FA616" s="14">
        <f>INDEX(属性偏向!$T$4:$T$243,(卡牌属性!$DU616-1+FA$3)*20+卡牌属性!$DX616)</f>
        <v>18</v>
      </c>
      <c r="FB616" s="14">
        <f>INDEX(属性偏向!$T$4:$T$243,(卡牌属性!$DU616-1+FB$3)*20+卡牌属性!$DX616)</f>
        <v>20</v>
      </c>
      <c r="FC616" s="14">
        <f>INDEX(属性偏向!$U$4:$U$243,(卡牌属性!$DV616-1+FC$3)*20+卡牌属性!$DX616)</f>
        <v>189</v>
      </c>
      <c r="FD616" s="14">
        <f>INDEX(属性偏向!$U$4:$U$243,(卡牌属性!$DV616-1+FD$3)*20+卡牌属性!$DX616)</f>
        <v>270</v>
      </c>
      <c r="FE616" s="14">
        <f>INDEX(属性偏向!$U$4:$U$243,(卡牌属性!$DV616-1+FE$3)*20+卡牌属性!$DX616)</f>
        <v>270</v>
      </c>
      <c r="FF616" s="14">
        <f>INDEX(属性偏向!$U$4:$U$243,(卡牌属性!$DV616-1+FF$3)*20+卡牌属性!$DX616)</f>
        <v>315</v>
      </c>
      <c r="FG616" s="14">
        <f>INDEX(属性偏向!$U$4:$U$243,(卡牌属性!$DV616-1+FG$3)*20+卡牌属性!$DX616)</f>
        <v>360</v>
      </c>
      <c r="FH616" s="14">
        <f>INDEX(属性投放!$BQ$6:$BQ$85,(卡牌属性!$DW616-2)*20+卡牌属性!$DX616)</f>
        <v>400</v>
      </c>
      <c r="FI616" s="14">
        <f>INDEX(属性投放!$BQ$6:$BQ$85,(卡牌属性!$DW616-2)*20+卡牌属性!$DX616)</f>
        <v>400</v>
      </c>
      <c r="FJ616" s="14">
        <f>INDEX(属性投放!$BQ$6:$BQ$85,(卡牌属性!$DW616-2)*20+卡牌属性!$DX616)</f>
        <v>400</v>
      </c>
      <c r="FK616" s="14">
        <f>INDEX(属性投放!$BQ$6:$BQ$85,(卡牌属性!$DW616-2)*20+卡牌属性!$DX616)</f>
        <v>400</v>
      </c>
      <c r="FL616" s="14">
        <f>INDEX(属性投放!$BQ$6:$BQ$85,(卡牌属性!$DW616-2)*20+卡牌属性!$DX616)</f>
        <v>400</v>
      </c>
      <c r="FM616" s="14">
        <f>INDEX(属性投放!$BR$6:$BR$85,(卡牌属性!$DW616-2)*20+卡牌属性!$DX616)</f>
        <v>200</v>
      </c>
      <c r="FN616" s="14">
        <f>INDEX(属性投放!$BR$6:$BR$85,(卡牌属性!$DW616-2)*20+卡牌属性!$DX616)</f>
        <v>200</v>
      </c>
      <c r="FO616" s="14">
        <f>INDEX(属性投放!$BR$6:$BR$85,(卡牌属性!$DW616-2)*20+卡牌属性!$DX616)</f>
        <v>200</v>
      </c>
      <c r="FP616" s="14">
        <f>INDEX(属性投放!$BR$6:$BR$85,(卡牌属性!$DW616-2)*20+卡牌属性!$DX616)</f>
        <v>200</v>
      </c>
      <c r="FQ616" s="14">
        <f>INDEX(属性投放!$BR$6:$BR$85,(卡牌属性!$DW616-2)*20+卡牌属性!$DX616)</f>
        <v>200</v>
      </c>
      <c r="FR616" s="14">
        <f>INDEX(属性投放!$BS$6:$BS$85,(卡牌属性!$DW616-2)*20+卡牌属性!$DX616)</f>
        <v>3600</v>
      </c>
      <c r="FS616" s="14">
        <f>INDEX(属性投放!$BS$6:$BS$85,(卡牌属性!$DW616-2)*20+卡牌属性!$DX616)</f>
        <v>3600</v>
      </c>
      <c r="FT616" s="14">
        <f>INDEX(属性投放!$BS$6:$BS$85,(卡牌属性!$DW616-2)*20+卡牌属性!$DX616)</f>
        <v>3600</v>
      </c>
      <c r="FU616" s="14">
        <f>INDEX(属性投放!$BS$6:$BS$85,(卡牌属性!$DW616-2)*20+卡牌属性!$DX616)</f>
        <v>3600</v>
      </c>
      <c r="FV616" s="14">
        <f>INDEX(属性投放!$BS$6:$BS$85,(卡牌属性!$DW616-2)*20+卡牌属性!$DX616)</f>
        <v>3600</v>
      </c>
    </row>
    <row r="617" spans="31:178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>
        <v>613</v>
      </c>
      <c r="BX617" s="13">
        <f t="shared" si="981"/>
        <v>31</v>
      </c>
      <c r="BY617" s="14">
        <f t="shared" si="982"/>
        <v>4</v>
      </c>
      <c r="BZ617" s="14">
        <f t="shared" si="1005"/>
        <v>1102997</v>
      </c>
      <c r="CA617" s="14" t="str">
        <f t="shared" si="1006"/>
        <v>SSR守护灵13突</v>
      </c>
      <c r="CB617" s="25" t="s">
        <v>142</v>
      </c>
      <c r="CC617" s="14">
        <v>2</v>
      </c>
      <c r="CD617" s="14">
        <f t="shared" si="1003"/>
        <v>13</v>
      </c>
      <c r="CE617" s="14" t="s">
        <v>21</v>
      </c>
      <c r="CF617" s="14">
        <f>INDEX(属性投放!$AZ$6:$AZ$85,(BY617-2)*20+CD617)</f>
        <v>6778</v>
      </c>
      <c r="CG617" s="14" t="s">
        <v>22</v>
      </c>
      <c r="CH617" s="14">
        <f>INDEX(属性投放!$BA$6:$BA$85,(BY617-2)*20+CD617)</f>
        <v>3341</v>
      </c>
      <c r="CI617" s="14" t="s">
        <v>510</v>
      </c>
      <c r="CJ617" s="14">
        <f>INDEX(属性投放!$BB$6:$BB$85,(BY617-2)*20+CD617)</f>
        <v>54103</v>
      </c>
      <c r="CK617" s="14" t="s">
        <v>21</v>
      </c>
      <c r="CL617" s="14">
        <f>INDEX(属性投放!$BC$6:$BC$85,(BY617-2)*20+CD617)</f>
        <v>40</v>
      </c>
      <c r="CM617" s="14" t="s">
        <v>22</v>
      </c>
      <c r="CN617" s="14">
        <f>INDEX(属性投放!$BD$6:$BD$85,(BY617-2)*20+CD617)</f>
        <v>20</v>
      </c>
      <c r="CO617" s="14" t="s">
        <v>510</v>
      </c>
      <c r="CP617" s="14">
        <f>INDEX(属性投放!$BE$6:$BE$85,(BY617-2)*20+CD617)</f>
        <v>400</v>
      </c>
      <c r="CS617" s="13">
        <v>613</v>
      </c>
      <c r="CT617" s="13">
        <f t="shared" si="1007"/>
        <v>12</v>
      </c>
      <c r="CU617" s="13">
        <f t="shared" si="1008"/>
        <v>41</v>
      </c>
      <c r="CV617" s="14">
        <f t="shared" si="1009"/>
        <v>5</v>
      </c>
      <c r="CW617" s="14">
        <f t="shared" si="1010"/>
        <v>1102012</v>
      </c>
      <c r="CX617" s="14" t="str">
        <f>INDEX($O$6:$O$50,CT617)&amp;"-"&amp;INDEX(属性投放!$AB$7:$AB$50,CZ617)&amp;"-魂火-"&amp;DB617</f>
        <v>夏侯惇-大焦热+1-魂火-2</v>
      </c>
      <c r="CY617" s="25" t="s">
        <v>142</v>
      </c>
      <c r="CZ617" s="14">
        <f>INDEX(属性投放!$AM$7:$AM$58,CU617)</f>
        <v>17</v>
      </c>
      <c r="DA617" s="14" t="s">
        <v>537</v>
      </c>
      <c r="DB617" s="14">
        <f>INDEX(属性投放!$AN$7:$AN$58,CU617)</f>
        <v>2</v>
      </c>
      <c r="DC617" s="14">
        <f t="shared" si="1004"/>
        <v>41</v>
      </c>
      <c r="DD617" s="14">
        <f>INDEX(属性投放!$AO$7:$AO$58,DC617)</f>
        <v>120</v>
      </c>
      <c r="DE617" s="14" t="s">
        <v>538</v>
      </c>
      <c r="DF617" s="14">
        <f>INDEX(属性投放!$BK$6:$BK$85,(CV617-2)*20+CZ617)</f>
        <v>720</v>
      </c>
      <c r="DG617" s="14">
        <f>SUMIFS(DF$5:DF617,$CT$5:$CT617,"="&amp;$CT617)</f>
        <v>10019</v>
      </c>
      <c r="DH617" s="14" t="s">
        <v>539</v>
      </c>
      <c r="DI617" s="14">
        <f>INDEX(属性投放!$BL$6:$BL$85,(CV617-2)*20+CZ617)</f>
        <v>360</v>
      </c>
      <c r="DJ617" s="14">
        <f>SUMIFS(DI$5:DI617,$CT$5:$CT617,"="&amp;$CT617)</f>
        <v>5015</v>
      </c>
      <c r="DK617" s="14" t="s">
        <v>540</v>
      </c>
      <c r="DL617" s="14">
        <f>INDEX(属性投放!$BM$6:$BM$85,(CV617-2)*20+CZ617)</f>
        <v>7200</v>
      </c>
      <c r="DM617" s="14">
        <f>SUMIFS(DL$5:DL617,$CT$5:$CT617,"="&amp;$CT617)</f>
        <v>94602</v>
      </c>
      <c r="DR617" s="14">
        <f t="shared" si="983"/>
        <v>1102997</v>
      </c>
      <c r="DS617" s="14" t="str">
        <f t="shared" si="984"/>
        <v>SSR守护灵13突</v>
      </c>
      <c r="DT617" s="14">
        <f t="shared" si="1011"/>
        <v>7</v>
      </c>
      <c r="DU617" s="14">
        <f t="shared" si="1012"/>
        <v>6</v>
      </c>
      <c r="DV617" s="14">
        <f t="shared" si="1013"/>
        <v>6</v>
      </c>
      <c r="DW617" s="14">
        <f t="shared" si="985"/>
        <v>4</v>
      </c>
      <c r="DX617" s="14">
        <f t="shared" si="986"/>
        <v>13</v>
      </c>
      <c r="DY617" s="14">
        <f t="shared" si="987"/>
        <v>53</v>
      </c>
      <c r="DZ617" s="14">
        <f>INDEX(属性投放!$AX$6:$AX$85,(卡牌属性!DW617-2)*20+卡牌属性!DX617)</f>
        <v>8</v>
      </c>
      <c r="EA617" s="14">
        <f>INDEX(属性投放!BQ$6:BQ$85,卡牌属性!$DY617)</f>
        <v>450</v>
      </c>
      <c r="EB617" s="14">
        <f>INDEX(属性投放!BR$6:BR$85,卡牌属性!$DY617)</f>
        <v>225</v>
      </c>
      <c r="EC617" s="14">
        <f>INDEX(属性投放!BS$6:BS$85,卡牌属性!$DY617)</f>
        <v>4500</v>
      </c>
      <c r="ED617" s="14">
        <f t="shared" si="1029"/>
        <v>4023</v>
      </c>
      <c r="EE617" s="14">
        <f t="shared" si="1030"/>
        <v>4325</v>
      </c>
      <c r="EF617" s="14">
        <f t="shared" si="1031"/>
        <v>4655</v>
      </c>
      <c r="EG617" s="14">
        <f t="shared" si="1032"/>
        <v>4655</v>
      </c>
      <c r="EH617" s="14">
        <f t="shared" si="1033"/>
        <v>5335</v>
      </c>
      <c r="EI617" s="14">
        <f t="shared" si="1034"/>
        <v>1684</v>
      </c>
      <c r="EJ617" s="14">
        <f t="shared" si="1035"/>
        <v>1982</v>
      </c>
      <c r="EK617" s="14">
        <f t="shared" si="1036"/>
        <v>1982</v>
      </c>
      <c r="EL617" s="14">
        <f t="shared" si="1037"/>
        <v>2137</v>
      </c>
      <c r="EM617" s="14">
        <f t="shared" si="1038"/>
        <v>2292</v>
      </c>
      <c r="EN617" s="14">
        <f t="shared" si="1039"/>
        <v>26404</v>
      </c>
      <c r="EO617" s="14">
        <f t="shared" si="1040"/>
        <v>31118</v>
      </c>
      <c r="EP617" s="14">
        <f t="shared" si="1041"/>
        <v>31118</v>
      </c>
      <c r="EQ617" s="14">
        <f t="shared" si="1042"/>
        <v>33312</v>
      </c>
      <c r="ER617" s="14">
        <f t="shared" si="1043"/>
        <v>35660</v>
      </c>
      <c r="ES617" s="14">
        <f>INDEX(属性偏向!$S$4:$S$243,(卡牌属性!$DT617-1+ES$3)*20+卡牌属性!$DX617)</f>
        <v>40</v>
      </c>
      <c r="ET617" s="14">
        <f>INDEX(属性偏向!$S$4:$S$243,(卡牌属性!$DT617-1+ET$3)*20+卡牌属性!$DX617)</f>
        <v>45</v>
      </c>
      <c r="EU617" s="14">
        <f>INDEX(属性偏向!$S$4:$S$243,(卡牌属性!$DT617-1+EU$3)*20+卡牌属性!$DX617)</f>
        <v>50</v>
      </c>
      <c r="EV617" s="14">
        <f>INDEX(属性偏向!$S$4:$S$243,(卡牌属性!$DT617-1+EV$3)*20+卡牌属性!$DX617)</f>
        <v>50</v>
      </c>
      <c r="EW617" s="14">
        <f>INDEX(属性偏向!$S$4:$S$243,(卡牌属性!$DT617-1+EW$3)*20+卡牌属性!$DX617)</f>
        <v>75</v>
      </c>
      <c r="EX617" s="14">
        <f>INDEX(属性偏向!$T$4:$T$243,(卡牌属性!$DU617-1+EX$3)*20+卡牌属性!$DX617)</f>
        <v>13</v>
      </c>
      <c r="EY617" s="14">
        <f>INDEX(属性偏向!$T$4:$T$243,(卡牌属性!$DU617-1+EY$3)*20+卡牌属性!$DX617)</f>
        <v>20</v>
      </c>
      <c r="EZ617" s="14">
        <f>INDEX(属性偏向!$T$4:$T$243,(卡牌属性!$DU617-1+EZ$3)*20+卡牌属性!$DX617)</f>
        <v>20</v>
      </c>
      <c r="FA617" s="14">
        <f>INDEX(属性偏向!$T$4:$T$243,(卡牌属性!$DU617-1+FA$3)*20+卡牌属性!$DX617)</f>
        <v>23</v>
      </c>
      <c r="FB617" s="14">
        <f>INDEX(属性偏向!$T$4:$T$243,(卡牌属性!$DU617-1+FB$3)*20+卡牌属性!$DX617)</f>
        <v>25</v>
      </c>
      <c r="FC617" s="14">
        <f>INDEX(属性偏向!$U$4:$U$243,(卡牌属性!$DV617-1+FC$3)*20+卡牌属性!$DX617)</f>
        <v>260</v>
      </c>
      <c r="FD617" s="14">
        <f>INDEX(属性偏向!$U$4:$U$243,(卡牌属性!$DV617-1+FD$3)*20+卡牌属性!$DX617)</f>
        <v>400</v>
      </c>
      <c r="FE617" s="14">
        <f>INDEX(属性偏向!$U$4:$U$243,(卡牌属性!$DV617-1+FE$3)*20+卡牌属性!$DX617)</f>
        <v>400</v>
      </c>
      <c r="FF617" s="14">
        <f>INDEX(属性偏向!$U$4:$U$243,(卡牌属性!$DV617-1+FF$3)*20+卡牌属性!$DX617)</f>
        <v>450</v>
      </c>
      <c r="FG617" s="14">
        <f>INDEX(属性偏向!$U$4:$U$243,(卡牌属性!$DV617-1+FG$3)*20+卡牌属性!$DX617)</f>
        <v>500</v>
      </c>
      <c r="FH617" s="14">
        <f>INDEX(属性投放!$BQ$6:$BQ$85,(卡牌属性!$DW617-2)*20+卡牌属性!$DX617)</f>
        <v>450</v>
      </c>
      <c r="FI617" s="14">
        <f>INDEX(属性投放!$BQ$6:$BQ$85,(卡牌属性!$DW617-2)*20+卡牌属性!$DX617)</f>
        <v>450</v>
      </c>
      <c r="FJ617" s="14">
        <f>INDEX(属性投放!$BQ$6:$BQ$85,(卡牌属性!$DW617-2)*20+卡牌属性!$DX617)</f>
        <v>450</v>
      </c>
      <c r="FK617" s="14">
        <f>INDEX(属性投放!$BQ$6:$BQ$85,(卡牌属性!$DW617-2)*20+卡牌属性!$DX617)</f>
        <v>450</v>
      </c>
      <c r="FL617" s="14">
        <f>INDEX(属性投放!$BQ$6:$BQ$85,(卡牌属性!$DW617-2)*20+卡牌属性!$DX617)</f>
        <v>450</v>
      </c>
      <c r="FM617" s="14">
        <f>INDEX(属性投放!$BR$6:$BR$85,(卡牌属性!$DW617-2)*20+卡牌属性!$DX617)</f>
        <v>225</v>
      </c>
      <c r="FN617" s="14">
        <f>INDEX(属性投放!$BR$6:$BR$85,(卡牌属性!$DW617-2)*20+卡牌属性!$DX617)</f>
        <v>225</v>
      </c>
      <c r="FO617" s="14">
        <f>INDEX(属性投放!$BR$6:$BR$85,(卡牌属性!$DW617-2)*20+卡牌属性!$DX617)</f>
        <v>225</v>
      </c>
      <c r="FP617" s="14">
        <f>INDEX(属性投放!$BR$6:$BR$85,(卡牌属性!$DW617-2)*20+卡牌属性!$DX617)</f>
        <v>225</v>
      </c>
      <c r="FQ617" s="14">
        <f>INDEX(属性投放!$BR$6:$BR$85,(卡牌属性!$DW617-2)*20+卡牌属性!$DX617)</f>
        <v>225</v>
      </c>
      <c r="FR617" s="14">
        <f>INDEX(属性投放!$BS$6:$BS$85,(卡牌属性!$DW617-2)*20+卡牌属性!$DX617)</f>
        <v>4500</v>
      </c>
      <c r="FS617" s="14">
        <f>INDEX(属性投放!$BS$6:$BS$85,(卡牌属性!$DW617-2)*20+卡牌属性!$DX617)</f>
        <v>4500</v>
      </c>
      <c r="FT617" s="14">
        <f>INDEX(属性投放!$BS$6:$BS$85,(卡牌属性!$DW617-2)*20+卡牌属性!$DX617)</f>
        <v>4500</v>
      </c>
      <c r="FU617" s="14">
        <f>INDEX(属性投放!$BS$6:$BS$85,(卡牌属性!$DW617-2)*20+卡牌属性!$DX617)</f>
        <v>4500</v>
      </c>
      <c r="FV617" s="14">
        <f>INDEX(属性投放!$BS$6:$BS$85,(卡牌属性!$DW617-2)*20+卡牌属性!$DX617)</f>
        <v>4500</v>
      </c>
    </row>
    <row r="618" spans="31:178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>
        <v>614</v>
      </c>
      <c r="BX618" s="13">
        <f t="shared" si="981"/>
        <v>31</v>
      </c>
      <c r="BY618" s="14">
        <f t="shared" si="982"/>
        <v>4</v>
      </c>
      <c r="BZ618" s="14">
        <f t="shared" si="1005"/>
        <v>1102997</v>
      </c>
      <c r="CA618" s="14" t="str">
        <f t="shared" si="1006"/>
        <v>SSR守护灵14突</v>
      </c>
      <c r="CB618" s="25" t="s">
        <v>142</v>
      </c>
      <c r="CC618" s="14">
        <v>2</v>
      </c>
      <c r="CD618" s="14">
        <f t="shared" si="1003"/>
        <v>14</v>
      </c>
      <c r="CE618" s="14" t="s">
        <v>21</v>
      </c>
      <c r="CF618" s="14">
        <f>INDEX(属性投放!$AZ$6:$AZ$85,(BY618-2)*20+CD618)</f>
        <v>8373</v>
      </c>
      <c r="CG618" s="14" t="s">
        <v>22</v>
      </c>
      <c r="CH618" s="14">
        <f>INDEX(属性投放!$BA$6:$BA$85,(BY618-2)*20+CD618)</f>
        <v>4140</v>
      </c>
      <c r="CI618" s="14" t="s">
        <v>510</v>
      </c>
      <c r="CJ618" s="14">
        <f>INDEX(属性投放!$BB$6:$BB$85,(BY618-2)*20+CD618)</f>
        <v>70053</v>
      </c>
      <c r="CK618" s="14" t="s">
        <v>21</v>
      </c>
      <c r="CL618" s="14">
        <f>INDEX(属性投放!$BC$6:$BC$85,(BY618-2)*20+CD618)</f>
        <v>40</v>
      </c>
      <c r="CM618" s="14" t="s">
        <v>22</v>
      </c>
      <c r="CN618" s="14">
        <f>INDEX(属性投放!$BD$6:$BD$85,(BY618-2)*20+CD618)</f>
        <v>20</v>
      </c>
      <c r="CO618" s="14" t="s">
        <v>510</v>
      </c>
      <c r="CP618" s="14">
        <f>INDEX(属性投放!$BE$6:$BE$85,(BY618-2)*20+CD618)</f>
        <v>400</v>
      </c>
      <c r="CS618" s="13">
        <v>614</v>
      </c>
      <c r="CT618" s="13">
        <f t="shared" si="1007"/>
        <v>12</v>
      </c>
      <c r="CU618" s="13">
        <f t="shared" si="1008"/>
        <v>42</v>
      </c>
      <c r="CV618" s="14">
        <f t="shared" si="1009"/>
        <v>5</v>
      </c>
      <c r="CW618" s="14">
        <f t="shared" si="1010"/>
        <v>1102012</v>
      </c>
      <c r="CX618" s="14" t="str">
        <f>INDEX($O$6:$O$50,CT618)&amp;"-"&amp;INDEX(属性投放!$AB$7:$AB$50,CZ618)&amp;"-魂火-"&amp;DB618</f>
        <v>夏侯惇-大焦热+1-魂火-3</v>
      </c>
      <c r="CY618" s="25" t="s">
        <v>142</v>
      </c>
      <c r="CZ618" s="14">
        <f>INDEX(属性投放!$AM$7:$AM$58,CU618)</f>
        <v>17</v>
      </c>
      <c r="DA618" s="14" t="s">
        <v>537</v>
      </c>
      <c r="DB618" s="14">
        <f>INDEX(属性投放!$AN$7:$AN$58,CU618)</f>
        <v>3</v>
      </c>
      <c r="DC618" s="14">
        <f t="shared" si="1004"/>
        <v>42</v>
      </c>
      <c r="DD618" s="14">
        <f>INDEX(属性投放!$AO$7:$AO$58,DC618)</f>
        <v>123</v>
      </c>
      <c r="DE618" s="14" t="s">
        <v>538</v>
      </c>
      <c r="DF618" s="14">
        <f>INDEX(属性投放!$BK$6:$BK$85,(CV618-2)*20+CZ618)</f>
        <v>720</v>
      </c>
      <c r="DG618" s="14">
        <f>SUMIFS(DF$5:DF618,$CT$5:$CT618,"="&amp;$CT618)</f>
        <v>10739</v>
      </c>
      <c r="DH618" s="14" t="s">
        <v>539</v>
      </c>
      <c r="DI618" s="14">
        <f>INDEX(属性投放!$BL$6:$BL$85,(CV618-2)*20+CZ618)</f>
        <v>360</v>
      </c>
      <c r="DJ618" s="14">
        <f>SUMIFS(DI$5:DI618,$CT$5:$CT618,"="&amp;$CT618)</f>
        <v>5375</v>
      </c>
      <c r="DK618" s="14" t="s">
        <v>540</v>
      </c>
      <c r="DL618" s="14">
        <f>INDEX(属性投放!$BM$6:$BM$85,(CV618-2)*20+CZ618)</f>
        <v>7200</v>
      </c>
      <c r="DM618" s="14">
        <f>SUMIFS(DL$5:DL618,$CT$5:$CT618,"="&amp;$CT618)</f>
        <v>101802</v>
      </c>
      <c r="DR618" s="14">
        <f t="shared" si="983"/>
        <v>1102997</v>
      </c>
      <c r="DS618" s="14" t="str">
        <f t="shared" si="984"/>
        <v>SSR守护灵14突</v>
      </c>
      <c r="DT618" s="14">
        <f t="shared" si="1011"/>
        <v>7</v>
      </c>
      <c r="DU618" s="14">
        <f t="shared" si="1012"/>
        <v>6</v>
      </c>
      <c r="DV618" s="14">
        <f t="shared" si="1013"/>
        <v>6</v>
      </c>
      <c r="DW618" s="14">
        <f t="shared" si="985"/>
        <v>4</v>
      </c>
      <c r="DX618" s="14">
        <f t="shared" si="986"/>
        <v>14</v>
      </c>
      <c r="DY618" s="14">
        <f t="shared" si="987"/>
        <v>54</v>
      </c>
      <c r="DZ618" s="14">
        <f>INDEX(属性投放!$AX$6:$AX$85,(卡牌属性!DW618-2)*20+卡牌属性!DX618)</f>
        <v>7</v>
      </c>
      <c r="EA618" s="14">
        <f>INDEX(属性投放!BQ$6:BQ$85,卡牌属性!$DY618)</f>
        <v>500</v>
      </c>
      <c r="EB618" s="14">
        <f>INDEX(属性投放!BR$6:BR$85,卡牌属性!$DY618)</f>
        <v>250</v>
      </c>
      <c r="EC618" s="14">
        <f>INDEX(属性投放!BS$6:BS$85,卡牌属性!$DY618)</f>
        <v>5000</v>
      </c>
      <c r="ED618" s="14">
        <f t="shared" si="1029"/>
        <v>4793</v>
      </c>
      <c r="EE618" s="14">
        <f t="shared" si="1030"/>
        <v>5135</v>
      </c>
      <c r="EF618" s="14">
        <f t="shared" si="1031"/>
        <v>5505</v>
      </c>
      <c r="EG618" s="14">
        <f t="shared" si="1032"/>
        <v>5505</v>
      </c>
      <c r="EH618" s="14">
        <f t="shared" si="1033"/>
        <v>6385</v>
      </c>
      <c r="EI618" s="14">
        <f t="shared" si="1034"/>
        <v>2013</v>
      </c>
      <c r="EJ618" s="14">
        <f t="shared" si="1035"/>
        <v>2367</v>
      </c>
      <c r="EK618" s="14">
        <f t="shared" si="1036"/>
        <v>2367</v>
      </c>
      <c r="EL618" s="14">
        <f t="shared" si="1037"/>
        <v>2546</v>
      </c>
      <c r="EM618" s="14">
        <f t="shared" si="1038"/>
        <v>2717</v>
      </c>
      <c r="EN618" s="14">
        <f t="shared" si="1039"/>
        <v>32984</v>
      </c>
      <c r="EO618" s="14">
        <f t="shared" si="1040"/>
        <v>38818</v>
      </c>
      <c r="EP618" s="14">
        <f t="shared" si="1041"/>
        <v>38818</v>
      </c>
      <c r="EQ618" s="14">
        <f t="shared" si="1042"/>
        <v>41412</v>
      </c>
      <c r="ER618" s="14">
        <f t="shared" si="1043"/>
        <v>44160</v>
      </c>
      <c r="ES618" s="14">
        <f>INDEX(属性偏向!$S$4:$S$243,(卡牌属性!$DT618-1+ES$3)*20+卡牌属性!$DX618)</f>
        <v>40</v>
      </c>
      <c r="ET618" s="14">
        <f>INDEX(属性偏向!$S$4:$S$243,(卡牌属性!$DT618-1+ET$3)*20+卡牌属性!$DX618)</f>
        <v>45</v>
      </c>
      <c r="EU618" s="14">
        <f>INDEX(属性偏向!$S$4:$S$243,(卡牌属性!$DT618-1+EU$3)*20+卡牌属性!$DX618)</f>
        <v>50</v>
      </c>
      <c r="EV618" s="14">
        <f>INDEX(属性偏向!$S$4:$S$243,(卡牌属性!$DT618-1+EV$3)*20+卡牌属性!$DX618)</f>
        <v>50</v>
      </c>
      <c r="EW618" s="14">
        <f>INDEX(属性偏向!$S$4:$S$243,(卡牌属性!$DT618-1+EW$3)*20+卡牌属性!$DX618)</f>
        <v>75</v>
      </c>
      <c r="EX618" s="14">
        <f>INDEX(属性偏向!$T$4:$T$243,(卡牌属性!$DU618-1+EX$3)*20+卡牌属性!$DX618)</f>
        <v>13</v>
      </c>
      <c r="EY618" s="14">
        <f>INDEX(属性偏向!$T$4:$T$243,(卡牌属性!$DU618-1+EY$3)*20+卡牌属性!$DX618)</f>
        <v>20</v>
      </c>
      <c r="EZ618" s="14">
        <f>INDEX(属性偏向!$T$4:$T$243,(卡牌属性!$DU618-1+EZ$3)*20+卡牌属性!$DX618)</f>
        <v>20</v>
      </c>
      <c r="FA618" s="14">
        <f>INDEX(属性偏向!$T$4:$T$243,(卡牌属性!$DU618-1+FA$3)*20+卡牌属性!$DX618)</f>
        <v>23</v>
      </c>
      <c r="FB618" s="14">
        <f>INDEX(属性偏向!$T$4:$T$243,(卡牌属性!$DU618-1+FB$3)*20+卡牌属性!$DX618)</f>
        <v>25</v>
      </c>
      <c r="FC618" s="14">
        <f>INDEX(属性偏向!$U$4:$U$243,(卡牌属性!$DV618-1+FC$3)*20+卡牌属性!$DX618)</f>
        <v>260</v>
      </c>
      <c r="FD618" s="14">
        <f>INDEX(属性偏向!$U$4:$U$243,(卡牌属性!$DV618-1+FD$3)*20+卡牌属性!$DX618)</f>
        <v>400</v>
      </c>
      <c r="FE618" s="14">
        <f>INDEX(属性偏向!$U$4:$U$243,(卡牌属性!$DV618-1+FE$3)*20+卡牌属性!$DX618)</f>
        <v>400</v>
      </c>
      <c r="FF618" s="14">
        <f>INDEX(属性偏向!$U$4:$U$243,(卡牌属性!$DV618-1+FF$3)*20+卡牌属性!$DX618)</f>
        <v>450</v>
      </c>
      <c r="FG618" s="14">
        <f>INDEX(属性偏向!$U$4:$U$243,(卡牌属性!$DV618-1+FG$3)*20+卡牌属性!$DX618)</f>
        <v>500</v>
      </c>
      <c r="FH618" s="14">
        <f>INDEX(属性投放!$BQ$6:$BQ$85,(卡牌属性!$DW618-2)*20+卡牌属性!$DX618)</f>
        <v>500</v>
      </c>
      <c r="FI618" s="14">
        <f>INDEX(属性投放!$BQ$6:$BQ$85,(卡牌属性!$DW618-2)*20+卡牌属性!$DX618)</f>
        <v>500</v>
      </c>
      <c r="FJ618" s="14">
        <f>INDEX(属性投放!$BQ$6:$BQ$85,(卡牌属性!$DW618-2)*20+卡牌属性!$DX618)</f>
        <v>500</v>
      </c>
      <c r="FK618" s="14">
        <f>INDEX(属性投放!$BQ$6:$BQ$85,(卡牌属性!$DW618-2)*20+卡牌属性!$DX618)</f>
        <v>500</v>
      </c>
      <c r="FL618" s="14">
        <f>INDEX(属性投放!$BQ$6:$BQ$85,(卡牌属性!$DW618-2)*20+卡牌属性!$DX618)</f>
        <v>500</v>
      </c>
      <c r="FM618" s="14">
        <f>INDEX(属性投放!$BR$6:$BR$85,(卡牌属性!$DW618-2)*20+卡牌属性!$DX618)</f>
        <v>250</v>
      </c>
      <c r="FN618" s="14">
        <f>INDEX(属性投放!$BR$6:$BR$85,(卡牌属性!$DW618-2)*20+卡牌属性!$DX618)</f>
        <v>250</v>
      </c>
      <c r="FO618" s="14">
        <f>INDEX(属性投放!$BR$6:$BR$85,(卡牌属性!$DW618-2)*20+卡牌属性!$DX618)</f>
        <v>250</v>
      </c>
      <c r="FP618" s="14">
        <f>INDEX(属性投放!$BR$6:$BR$85,(卡牌属性!$DW618-2)*20+卡牌属性!$DX618)</f>
        <v>250</v>
      </c>
      <c r="FQ618" s="14">
        <f>INDEX(属性投放!$BR$6:$BR$85,(卡牌属性!$DW618-2)*20+卡牌属性!$DX618)</f>
        <v>250</v>
      </c>
      <c r="FR618" s="14">
        <f>INDEX(属性投放!$BS$6:$BS$85,(卡牌属性!$DW618-2)*20+卡牌属性!$DX618)</f>
        <v>5000</v>
      </c>
      <c r="FS618" s="14">
        <f>INDEX(属性投放!$BS$6:$BS$85,(卡牌属性!$DW618-2)*20+卡牌属性!$DX618)</f>
        <v>5000</v>
      </c>
      <c r="FT618" s="14">
        <f>INDEX(属性投放!$BS$6:$BS$85,(卡牌属性!$DW618-2)*20+卡牌属性!$DX618)</f>
        <v>5000</v>
      </c>
      <c r="FU618" s="14">
        <f>INDEX(属性投放!$BS$6:$BS$85,(卡牌属性!$DW618-2)*20+卡牌属性!$DX618)</f>
        <v>5000</v>
      </c>
      <c r="FV618" s="14">
        <f>INDEX(属性投放!$BS$6:$BS$85,(卡牌属性!$DW618-2)*20+卡牌属性!$DX618)</f>
        <v>5000</v>
      </c>
    </row>
    <row r="619" spans="31:178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>
        <v>615</v>
      </c>
      <c r="BX619" s="13">
        <f t="shared" si="981"/>
        <v>31</v>
      </c>
      <c r="BY619" s="14">
        <f t="shared" si="982"/>
        <v>4</v>
      </c>
      <c r="BZ619" s="14">
        <f t="shared" si="1005"/>
        <v>1102997</v>
      </c>
      <c r="CA619" s="14" t="str">
        <f t="shared" si="1006"/>
        <v>SSR守护灵15突</v>
      </c>
      <c r="CB619" s="25" t="s">
        <v>142</v>
      </c>
      <c r="CC619" s="14">
        <v>2</v>
      </c>
      <c r="CD619" s="14">
        <f t="shared" si="1003"/>
        <v>15</v>
      </c>
      <c r="CE619" s="14" t="s">
        <v>21</v>
      </c>
      <c r="CF619" s="14">
        <f>INDEX(属性投放!$AZ$6:$AZ$85,(BY619-2)*20+CD619)</f>
        <v>10113</v>
      </c>
      <c r="CG619" s="14" t="s">
        <v>22</v>
      </c>
      <c r="CH619" s="14">
        <f>INDEX(属性投放!$BA$6:$BA$85,(BY619-2)*20+CD619)</f>
        <v>5010</v>
      </c>
      <c r="CI619" s="14" t="s">
        <v>510</v>
      </c>
      <c r="CJ619" s="14">
        <f>INDEX(属性投放!$BB$6:$BB$85,(BY619-2)*20+CD619)</f>
        <v>87453</v>
      </c>
      <c r="CK619" s="14" t="s">
        <v>21</v>
      </c>
      <c r="CL619" s="14">
        <f>INDEX(属性投放!$BC$6:$BC$85,(BY619-2)*20+CD619)</f>
        <v>40</v>
      </c>
      <c r="CM619" s="14" t="s">
        <v>22</v>
      </c>
      <c r="CN619" s="14">
        <f>INDEX(属性投放!$BD$6:$BD$85,(BY619-2)*20+CD619)</f>
        <v>20</v>
      </c>
      <c r="CO619" s="14" t="s">
        <v>510</v>
      </c>
      <c r="CP619" s="14">
        <f>INDEX(属性投放!$BE$6:$BE$85,(BY619-2)*20+CD619)</f>
        <v>400</v>
      </c>
      <c r="CS619" s="13">
        <v>615</v>
      </c>
      <c r="CT619" s="13">
        <f t="shared" si="1007"/>
        <v>12</v>
      </c>
      <c r="CU619" s="13">
        <f t="shared" si="1008"/>
        <v>43</v>
      </c>
      <c r="CV619" s="14">
        <f t="shared" si="1009"/>
        <v>5</v>
      </c>
      <c r="CW619" s="14">
        <f t="shared" si="1010"/>
        <v>1102012</v>
      </c>
      <c r="CX619" s="14" t="str">
        <f>INDEX($O$6:$O$50,CT619)&amp;"-"&amp;INDEX(属性投放!$AB$7:$AB$50,CZ619)&amp;"-魂火-"&amp;DB619</f>
        <v>夏侯惇-大焦热+2-魂火-1</v>
      </c>
      <c r="CY619" s="25" t="s">
        <v>142</v>
      </c>
      <c r="CZ619" s="14">
        <f>INDEX(属性投放!$AM$7:$AM$58,CU619)</f>
        <v>18</v>
      </c>
      <c r="DA619" s="14" t="s">
        <v>537</v>
      </c>
      <c r="DB619" s="14">
        <f>INDEX(属性投放!$AN$7:$AN$58,CU619)</f>
        <v>1</v>
      </c>
      <c r="DC619" s="14">
        <f t="shared" si="1004"/>
        <v>43</v>
      </c>
      <c r="DD619" s="14">
        <f>INDEX(属性投放!$AO$7:$AO$58,DC619)</f>
        <v>125</v>
      </c>
      <c r="DE619" s="14" t="s">
        <v>538</v>
      </c>
      <c r="DF619" s="14">
        <f>INDEX(属性投放!$BK$6:$BK$85,(CV619-2)*20+CZ619)</f>
        <v>830</v>
      </c>
      <c r="DG619" s="14">
        <f>SUMIFS(DF$5:DF619,$CT$5:$CT619,"="&amp;$CT619)</f>
        <v>11569</v>
      </c>
      <c r="DH619" s="14" t="s">
        <v>539</v>
      </c>
      <c r="DI619" s="14">
        <f>INDEX(属性投放!$BL$6:$BL$85,(CV619-2)*20+CZ619)</f>
        <v>415</v>
      </c>
      <c r="DJ619" s="14">
        <f>SUMIFS(DI$5:DI619,$CT$5:$CT619,"="&amp;$CT619)</f>
        <v>5790</v>
      </c>
      <c r="DK619" s="14" t="s">
        <v>540</v>
      </c>
      <c r="DL619" s="14">
        <f>INDEX(属性投放!$BM$6:$BM$85,(CV619-2)*20+CZ619)</f>
        <v>8300</v>
      </c>
      <c r="DM619" s="14">
        <f>SUMIFS(DL$5:DL619,$CT$5:$CT619,"="&amp;$CT619)</f>
        <v>110102</v>
      </c>
      <c r="DR619" s="14">
        <f t="shared" si="983"/>
        <v>1102997</v>
      </c>
      <c r="DS619" s="14" t="str">
        <f t="shared" si="984"/>
        <v>SSR守护灵15突</v>
      </c>
      <c r="DT619" s="14">
        <f t="shared" si="1011"/>
        <v>7</v>
      </c>
      <c r="DU619" s="14">
        <f t="shared" si="1012"/>
        <v>6</v>
      </c>
      <c r="DV619" s="14">
        <f t="shared" si="1013"/>
        <v>6</v>
      </c>
      <c r="DW619" s="14">
        <f t="shared" si="985"/>
        <v>4</v>
      </c>
      <c r="DX619" s="14">
        <f t="shared" si="986"/>
        <v>15</v>
      </c>
      <c r="DY619" s="14">
        <f t="shared" si="987"/>
        <v>55</v>
      </c>
      <c r="DZ619" s="14">
        <f>INDEX(属性投放!$AX$6:$AX$85,(卡牌属性!DW619-2)*20+卡牌属性!DX619)</f>
        <v>8</v>
      </c>
      <c r="EA619" s="14">
        <f>INDEX(属性投放!BQ$6:BQ$85,卡牌属性!$DY619)</f>
        <v>800</v>
      </c>
      <c r="EB619" s="14">
        <f>INDEX(属性投放!BR$6:BR$85,卡牌属性!$DY619)</f>
        <v>400</v>
      </c>
      <c r="EC619" s="14">
        <f>INDEX(属性投放!BS$6:BS$85,卡牌属性!$DY619)</f>
        <v>8000</v>
      </c>
      <c r="ED619" s="14">
        <f t="shared" si="1029"/>
        <v>5573</v>
      </c>
      <c r="EE619" s="14">
        <f t="shared" si="1030"/>
        <v>5950</v>
      </c>
      <c r="EF619" s="14">
        <f t="shared" si="1031"/>
        <v>6355</v>
      </c>
      <c r="EG619" s="14">
        <f t="shared" si="1032"/>
        <v>6355</v>
      </c>
      <c r="EH619" s="14">
        <f t="shared" si="1033"/>
        <v>7410</v>
      </c>
      <c r="EI619" s="14">
        <f t="shared" si="1034"/>
        <v>2354</v>
      </c>
      <c r="EJ619" s="14">
        <f t="shared" si="1035"/>
        <v>2757</v>
      </c>
      <c r="EK619" s="14">
        <f t="shared" si="1036"/>
        <v>2757</v>
      </c>
      <c r="EL619" s="14">
        <f t="shared" si="1037"/>
        <v>2957</v>
      </c>
      <c r="EM619" s="14">
        <f t="shared" si="1038"/>
        <v>3142</v>
      </c>
      <c r="EN619" s="14">
        <f t="shared" si="1039"/>
        <v>39804</v>
      </c>
      <c r="EO619" s="14">
        <f t="shared" si="1040"/>
        <v>46618</v>
      </c>
      <c r="EP619" s="14">
        <f t="shared" si="1041"/>
        <v>46618</v>
      </c>
      <c r="EQ619" s="14">
        <f t="shared" si="1042"/>
        <v>49562</v>
      </c>
      <c r="ER619" s="14">
        <f t="shared" si="1043"/>
        <v>52660</v>
      </c>
      <c r="ES619" s="14">
        <f>INDEX(属性偏向!$S$4:$S$243,(卡牌属性!$DT619-1+ES$3)*20+卡牌属性!$DX619)</f>
        <v>40</v>
      </c>
      <c r="ET619" s="14">
        <f>INDEX(属性偏向!$S$4:$S$243,(卡牌属性!$DT619-1+ET$3)*20+卡牌属性!$DX619)</f>
        <v>45</v>
      </c>
      <c r="EU619" s="14">
        <f>INDEX(属性偏向!$S$4:$S$243,(卡牌属性!$DT619-1+EU$3)*20+卡牌属性!$DX619)</f>
        <v>50</v>
      </c>
      <c r="EV619" s="14">
        <f>INDEX(属性偏向!$S$4:$S$243,(卡牌属性!$DT619-1+EV$3)*20+卡牌属性!$DX619)</f>
        <v>50</v>
      </c>
      <c r="EW619" s="14">
        <f>INDEX(属性偏向!$S$4:$S$243,(卡牌属性!$DT619-1+EW$3)*20+卡牌属性!$DX619)</f>
        <v>75</v>
      </c>
      <c r="EX619" s="14">
        <f>INDEX(属性偏向!$T$4:$T$243,(卡牌属性!$DU619-1+EX$3)*20+卡牌属性!$DX619)</f>
        <v>13</v>
      </c>
      <c r="EY619" s="14">
        <f>INDEX(属性偏向!$T$4:$T$243,(卡牌属性!$DU619-1+EY$3)*20+卡牌属性!$DX619)</f>
        <v>20</v>
      </c>
      <c r="EZ619" s="14">
        <f>INDEX(属性偏向!$T$4:$T$243,(卡牌属性!$DU619-1+EZ$3)*20+卡牌属性!$DX619)</f>
        <v>20</v>
      </c>
      <c r="FA619" s="14">
        <f>INDEX(属性偏向!$T$4:$T$243,(卡牌属性!$DU619-1+FA$3)*20+卡牌属性!$DX619)</f>
        <v>23</v>
      </c>
      <c r="FB619" s="14">
        <f>INDEX(属性偏向!$T$4:$T$243,(卡牌属性!$DU619-1+FB$3)*20+卡牌属性!$DX619)</f>
        <v>25</v>
      </c>
      <c r="FC619" s="14">
        <f>INDEX(属性偏向!$U$4:$U$243,(卡牌属性!$DV619-1+FC$3)*20+卡牌属性!$DX619)</f>
        <v>260</v>
      </c>
      <c r="FD619" s="14">
        <f>INDEX(属性偏向!$U$4:$U$243,(卡牌属性!$DV619-1+FD$3)*20+卡牌属性!$DX619)</f>
        <v>400</v>
      </c>
      <c r="FE619" s="14">
        <f>INDEX(属性偏向!$U$4:$U$243,(卡牌属性!$DV619-1+FE$3)*20+卡牌属性!$DX619)</f>
        <v>400</v>
      </c>
      <c r="FF619" s="14">
        <f>INDEX(属性偏向!$U$4:$U$243,(卡牌属性!$DV619-1+FF$3)*20+卡牌属性!$DX619)</f>
        <v>450</v>
      </c>
      <c r="FG619" s="14">
        <f>INDEX(属性偏向!$U$4:$U$243,(卡牌属性!$DV619-1+FG$3)*20+卡牌属性!$DX619)</f>
        <v>500</v>
      </c>
      <c r="FH619" s="14">
        <f>INDEX(属性投放!$BQ$6:$BQ$85,(卡牌属性!$DW619-2)*20+卡牌属性!$DX619)</f>
        <v>800</v>
      </c>
      <c r="FI619" s="14">
        <f>INDEX(属性投放!$BQ$6:$BQ$85,(卡牌属性!$DW619-2)*20+卡牌属性!$DX619)</f>
        <v>800</v>
      </c>
      <c r="FJ619" s="14">
        <f>INDEX(属性投放!$BQ$6:$BQ$85,(卡牌属性!$DW619-2)*20+卡牌属性!$DX619)</f>
        <v>800</v>
      </c>
      <c r="FK619" s="14">
        <f>INDEX(属性投放!$BQ$6:$BQ$85,(卡牌属性!$DW619-2)*20+卡牌属性!$DX619)</f>
        <v>800</v>
      </c>
      <c r="FL619" s="14">
        <f>INDEX(属性投放!$BQ$6:$BQ$85,(卡牌属性!$DW619-2)*20+卡牌属性!$DX619)</f>
        <v>800</v>
      </c>
      <c r="FM619" s="14">
        <f>INDEX(属性投放!$BR$6:$BR$85,(卡牌属性!$DW619-2)*20+卡牌属性!$DX619)</f>
        <v>400</v>
      </c>
      <c r="FN619" s="14">
        <f>INDEX(属性投放!$BR$6:$BR$85,(卡牌属性!$DW619-2)*20+卡牌属性!$DX619)</f>
        <v>400</v>
      </c>
      <c r="FO619" s="14">
        <f>INDEX(属性投放!$BR$6:$BR$85,(卡牌属性!$DW619-2)*20+卡牌属性!$DX619)</f>
        <v>400</v>
      </c>
      <c r="FP619" s="14">
        <f>INDEX(属性投放!$BR$6:$BR$85,(卡牌属性!$DW619-2)*20+卡牌属性!$DX619)</f>
        <v>400</v>
      </c>
      <c r="FQ619" s="14">
        <f>INDEX(属性投放!$BR$6:$BR$85,(卡牌属性!$DW619-2)*20+卡牌属性!$DX619)</f>
        <v>400</v>
      </c>
      <c r="FR619" s="14">
        <f>INDEX(属性投放!$BS$6:$BS$85,(卡牌属性!$DW619-2)*20+卡牌属性!$DX619)</f>
        <v>8000</v>
      </c>
      <c r="FS619" s="14">
        <f>INDEX(属性投放!$BS$6:$BS$85,(卡牌属性!$DW619-2)*20+卡牌属性!$DX619)</f>
        <v>8000</v>
      </c>
      <c r="FT619" s="14">
        <f>INDEX(属性投放!$BS$6:$BS$85,(卡牌属性!$DW619-2)*20+卡牌属性!$DX619)</f>
        <v>8000</v>
      </c>
      <c r="FU619" s="14">
        <f>INDEX(属性投放!$BS$6:$BS$85,(卡牌属性!$DW619-2)*20+卡牌属性!$DX619)</f>
        <v>8000</v>
      </c>
      <c r="FV619" s="14">
        <f>INDEX(属性投放!$BS$6:$BS$85,(卡牌属性!$DW619-2)*20+卡牌属性!$DX619)</f>
        <v>8000</v>
      </c>
    </row>
    <row r="620" spans="31:178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>
        <v>616</v>
      </c>
      <c r="BX620" s="13">
        <f t="shared" si="981"/>
        <v>31</v>
      </c>
      <c r="BY620" s="14">
        <f t="shared" si="982"/>
        <v>4</v>
      </c>
      <c r="BZ620" s="14">
        <f t="shared" si="1005"/>
        <v>1102997</v>
      </c>
      <c r="CA620" s="14" t="str">
        <f t="shared" si="1006"/>
        <v>SSR守护灵16突</v>
      </c>
      <c r="CB620" s="25" t="s">
        <v>142</v>
      </c>
      <c r="CC620" s="14">
        <v>2</v>
      </c>
      <c r="CD620" s="14">
        <f t="shared" si="1003"/>
        <v>16</v>
      </c>
      <c r="CE620" s="14" t="s">
        <v>21</v>
      </c>
      <c r="CF620" s="14">
        <f>INDEX(属性投放!$AZ$6:$AZ$85,(BY620-2)*20+CD620)</f>
        <v>12568</v>
      </c>
      <c r="CG620" s="14" t="s">
        <v>22</v>
      </c>
      <c r="CH620" s="14">
        <f>INDEX(属性投放!$BA$6:$BA$85,(BY620-2)*20+CD620)</f>
        <v>6239</v>
      </c>
      <c r="CI620" s="14" t="s">
        <v>510</v>
      </c>
      <c r="CJ620" s="14">
        <f>INDEX(属性投放!$BB$6:$BB$85,(BY620-2)*20+CD620)</f>
        <v>112003</v>
      </c>
      <c r="CK620" s="14" t="s">
        <v>21</v>
      </c>
      <c r="CL620" s="14">
        <f>INDEX(属性投放!$BC$6:$BC$85,(BY620-2)*20+CD620)</f>
        <v>50</v>
      </c>
      <c r="CM620" s="14" t="s">
        <v>22</v>
      </c>
      <c r="CN620" s="14">
        <f>INDEX(属性投放!$BD$6:$BD$85,(BY620-2)*20+CD620)</f>
        <v>25</v>
      </c>
      <c r="CO620" s="14" t="s">
        <v>510</v>
      </c>
      <c r="CP620" s="14">
        <f>INDEX(属性投放!$BE$6:$BE$85,(BY620-2)*20+CD620)</f>
        <v>500</v>
      </c>
      <c r="CS620" s="13">
        <v>616</v>
      </c>
      <c r="CT620" s="13">
        <f t="shared" si="1007"/>
        <v>12</v>
      </c>
      <c r="CU620" s="13">
        <f t="shared" si="1008"/>
        <v>44</v>
      </c>
      <c r="CV620" s="14">
        <f t="shared" si="1009"/>
        <v>5</v>
      </c>
      <c r="CW620" s="14">
        <f t="shared" si="1010"/>
        <v>1102012</v>
      </c>
      <c r="CX620" s="14" t="str">
        <f>INDEX($O$6:$O$50,CT620)&amp;"-"&amp;INDEX(属性投放!$AB$7:$AB$50,CZ620)&amp;"-魂火-"&amp;DB620</f>
        <v>夏侯惇-大焦热+2-魂火-2</v>
      </c>
      <c r="CY620" s="25" t="s">
        <v>142</v>
      </c>
      <c r="CZ620" s="14">
        <f>INDEX(属性投放!$AM$7:$AM$58,CU620)</f>
        <v>18</v>
      </c>
      <c r="DA620" s="14" t="s">
        <v>537</v>
      </c>
      <c r="DB620" s="14">
        <f>INDEX(属性投放!$AN$7:$AN$58,CU620)</f>
        <v>2</v>
      </c>
      <c r="DC620" s="14">
        <f t="shared" si="1004"/>
        <v>44</v>
      </c>
      <c r="DD620" s="14">
        <f>INDEX(属性投放!$AO$7:$AO$58,DC620)</f>
        <v>128</v>
      </c>
      <c r="DE620" s="14" t="s">
        <v>538</v>
      </c>
      <c r="DF620" s="14">
        <f>INDEX(属性投放!$BK$6:$BK$85,(CV620-2)*20+CZ620)</f>
        <v>830</v>
      </c>
      <c r="DG620" s="14">
        <f>SUMIFS(DF$5:DF620,$CT$5:$CT620,"="&amp;$CT620)</f>
        <v>12399</v>
      </c>
      <c r="DH620" s="14" t="s">
        <v>539</v>
      </c>
      <c r="DI620" s="14">
        <f>INDEX(属性投放!$BL$6:$BL$85,(CV620-2)*20+CZ620)</f>
        <v>415</v>
      </c>
      <c r="DJ620" s="14">
        <f>SUMIFS(DI$5:DI620,$CT$5:$CT620,"="&amp;$CT620)</f>
        <v>6205</v>
      </c>
      <c r="DK620" s="14" t="s">
        <v>540</v>
      </c>
      <c r="DL620" s="14">
        <f>INDEX(属性投放!$BM$6:$BM$85,(CV620-2)*20+CZ620)</f>
        <v>8300</v>
      </c>
      <c r="DM620" s="14">
        <f>SUMIFS(DL$5:DL620,$CT$5:$CT620,"="&amp;$CT620)</f>
        <v>118402</v>
      </c>
      <c r="DR620" s="14">
        <f t="shared" si="983"/>
        <v>1102997</v>
      </c>
      <c r="DS620" s="14" t="str">
        <f t="shared" si="984"/>
        <v>SSR守护灵16突</v>
      </c>
      <c r="DT620" s="14">
        <f t="shared" si="1011"/>
        <v>7</v>
      </c>
      <c r="DU620" s="14">
        <f t="shared" si="1012"/>
        <v>6</v>
      </c>
      <c r="DV620" s="14">
        <f t="shared" si="1013"/>
        <v>6</v>
      </c>
      <c r="DW620" s="14">
        <f t="shared" si="985"/>
        <v>4</v>
      </c>
      <c r="DX620" s="14">
        <f t="shared" si="986"/>
        <v>16</v>
      </c>
      <c r="DY620" s="14">
        <f t="shared" si="987"/>
        <v>56</v>
      </c>
      <c r="DZ620" s="14">
        <f>INDEX(属性投放!$AX$6:$AX$85,(卡牌属性!DW620-2)*20+卡牌属性!DX620)</f>
        <v>7</v>
      </c>
      <c r="EA620" s="14">
        <f>INDEX(属性投放!BQ$6:BQ$85,卡牌属性!$DY620)</f>
        <v>850</v>
      </c>
      <c r="EB620" s="14">
        <f>INDEX(属性投放!BR$6:BR$85,卡牌属性!$DY620)</f>
        <v>425</v>
      </c>
      <c r="EC620" s="14">
        <f>INDEX(属性投放!BS$6:BS$85,卡牌属性!$DY620)</f>
        <v>8500</v>
      </c>
      <c r="ED620" s="14">
        <f t="shared" si="1029"/>
        <v>6693</v>
      </c>
      <c r="EE620" s="14">
        <f t="shared" si="1030"/>
        <v>7110</v>
      </c>
      <c r="EF620" s="14">
        <f t="shared" si="1031"/>
        <v>7555</v>
      </c>
      <c r="EG620" s="14">
        <f t="shared" si="1032"/>
        <v>7555</v>
      </c>
      <c r="EH620" s="14">
        <f t="shared" si="1033"/>
        <v>8810</v>
      </c>
      <c r="EI620" s="14">
        <f t="shared" si="1034"/>
        <v>2858</v>
      </c>
      <c r="EJ620" s="14">
        <f t="shared" si="1035"/>
        <v>3317</v>
      </c>
      <c r="EK620" s="14">
        <f t="shared" si="1036"/>
        <v>3317</v>
      </c>
      <c r="EL620" s="14">
        <f t="shared" si="1037"/>
        <v>3541</v>
      </c>
      <c r="EM620" s="14">
        <f t="shared" si="1038"/>
        <v>3742</v>
      </c>
      <c r="EN620" s="14">
        <f t="shared" si="1039"/>
        <v>49884</v>
      </c>
      <c r="EO620" s="14">
        <f t="shared" si="1040"/>
        <v>57818</v>
      </c>
      <c r="EP620" s="14">
        <f t="shared" si="1041"/>
        <v>57818</v>
      </c>
      <c r="EQ620" s="14">
        <f t="shared" si="1042"/>
        <v>61162</v>
      </c>
      <c r="ER620" s="14">
        <f t="shared" si="1043"/>
        <v>64660</v>
      </c>
      <c r="ES620" s="14">
        <f>INDEX(属性偏向!$S$4:$S$243,(卡牌属性!$DT620-1+ES$3)*20+卡牌属性!$DX620)</f>
        <v>50</v>
      </c>
      <c r="ET620" s="14">
        <f>INDEX(属性偏向!$S$4:$S$243,(卡牌属性!$DT620-1+ET$3)*20+卡牌属性!$DX620)</f>
        <v>60</v>
      </c>
      <c r="EU620" s="14">
        <f>INDEX(属性偏向!$S$4:$S$243,(卡牌属性!$DT620-1+EU$3)*20+卡牌属性!$DX620)</f>
        <v>75</v>
      </c>
      <c r="EV620" s="14">
        <f>INDEX(属性偏向!$S$4:$S$243,(卡牌属性!$DT620-1+EV$3)*20+卡牌属性!$DX620)</f>
        <v>75</v>
      </c>
      <c r="EW620" s="14">
        <f>INDEX(属性偏向!$S$4:$S$243,(卡牌属性!$DT620-1+EW$3)*20+卡牌属性!$DX620)</f>
        <v>100</v>
      </c>
      <c r="EX620" s="14">
        <f>INDEX(属性偏向!$T$4:$T$243,(卡牌属性!$DU620-1+EX$3)*20+卡牌属性!$DX620)</f>
        <v>18</v>
      </c>
      <c r="EY620" s="14">
        <f>INDEX(属性偏向!$T$4:$T$243,(卡牌属性!$DU620-1+EY$3)*20+卡牌属性!$DX620)</f>
        <v>25</v>
      </c>
      <c r="EZ620" s="14">
        <f>INDEX(属性偏向!$T$4:$T$243,(卡牌属性!$DU620-1+EZ$3)*20+卡牌属性!$DX620)</f>
        <v>25</v>
      </c>
      <c r="FA620" s="14">
        <f>INDEX(属性偏向!$T$4:$T$243,(卡牌属性!$DU620-1+FA$3)*20+卡牌属性!$DX620)</f>
        <v>30</v>
      </c>
      <c r="FB620" s="14">
        <f>INDEX(属性偏向!$T$4:$T$243,(卡牌属性!$DU620-1+FB$3)*20+卡牌属性!$DX620)</f>
        <v>38</v>
      </c>
      <c r="FC620" s="14">
        <f>INDEX(属性偏向!$U$4:$U$243,(卡牌属性!$DV620-1+FC$3)*20+卡牌属性!$DX620)</f>
        <v>350</v>
      </c>
      <c r="FD620" s="14">
        <f>INDEX(属性偏向!$U$4:$U$243,(卡牌属性!$DV620-1+FD$3)*20+卡牌属性!$DX620)</f>
        <v>500</v>
      </c>
      <c r="FE620" s="14">
        <f>INDEX(属性偏向!$U$4:$U$243,(卡牌属性!$DV620-1+FE$3)*20+卡牌属性!$DX620)</f>
        <v>500</v>
      </c>
      <c r="FF620" s="14">
        <f>INDEX(属性偏向!$U$4:$U$243,(卡牌属性!$DV620-1+FF$3)*20+卡牌属性!$DX620)</f>
        <v>600</v>
      </c>
      <c r="FG620" s="14">
        <f>INDEX(属性偏向!$U$4:$U$243,(卡牌属性!$DV620-1+FG$3)*20+卡牌属性!$DX620)</f>
        <v>750</v>
      </c>
      <c r="FH620" s="14">
        <f>INDEX(属性投放!$BQ$6:$BQ$85,(卡牌属性!$DW620-2)*20+卡牌属性!$DX620)</f>
        <v>850</v>
      </c>
      <c r="FI620" s="14">
        <f>INDEX(属性投放!$BQ$6:$BQ$85,(卡牌属性!$DW620-2)*20+卡牌属性!$DX620)</f>
        <v>850</v>
      </c>
      <c r="FJ620" s="14">
        <f>INDEX(属性投放!$BQ$6:$BQ$85,(卡牌属性!$DW620-2)*20+卡牌属性!$DX620)</f>
        <v>850</v>
      </c>
      <c r="FK620" s="14">
        <f>INDEX(属性投放!$BQ$6:$BQ$85,(卡牌属性!$DW620-2)*20+卡牌属性!$DX620)</f>
        <v>850</v>
      </c>
      <c r="FL620" s="14">
        <f>INDEX(属性投放!$BQ$6:$BQ$85,(卡牌属性!$DW620-2)*20+卡牌属性!$DX620)</f>
        <v>850</v>
      </c>
      <c r="FM620" s="14">
        <f>INDEX(属性投放!$BR$6:$BR$85,(卡牌属性!$DW620-2)*20+卡牌属性!$DX620)</f>
        <v>425</v>
      </c>
      <c r="FN620" s="14">
        <f>INDEX(属性投放!$BR$6:$BR$85,(卡牌属性!$DW620-2)*20+卡牌属性!$DX620)</f>
        <v>425</v>
      </c>
      <c r="FO620" s="14">
        <f>INDEX(属性投放!$BR$6:$BR$85,(卡牌属性!$DW620-2)*20+卡牌属性!$DX620)</f>
        <v>425</v>
      </c>
      <c r="FP620" s="14">
        <f>INDEX(属性投放!$BR$6:$BR$85,(卡牌属性!$DW620-2)*20+卡牌属性!$DX620)</f>
        <v>425</v>
      </c>
      <c r="FQ620" s="14">
        <f>INDEX(属性投放!$BR$6:$BR$85,(卡牌属性!$DW620-2)*20+卡牌属性!$DX620)</f>
        <v>425</v>
      </c>
      <c r="FR620" s="14">
        <f>INDEX(属性投放!$BS$6:$BS$85,(卡牌属性!$DW620-2)*20+卡牌属性!$DX620)</f>
        <v>8500</v>
      </c>
      <c r="FS620" s="14">
        <f>INDEX(属性投放!$BS$6:$BS$85,(卡牌属性!$DW620-2)*20+卡牌属性!$DX620)</f>
        <v>8500</v>
      </c>
      <c r="FT620" s="14">
        <f>INDEX(属性投放!$BS$6:$BS$85,(卡牌属性!$DW620-2)*20+卡牌属性!$DX620)</f>
        <v>8500</v>
      </c>
      <c r="FU620" s="14">
        <f>INDEX(属性投放!$BS$6:$BS$85,(卡牌属性!$DW620-2)*20+卡牌属性!$DX620)</f>
        <v>8500</v>
      </c>
      <c r="FV620" s="14">
        <f>INDEX(属性投放!$BS$6:$BS$85,(卡牌属性!$DW620-2)*20+卡牌属性!$DX620)</f>
        <v>8500</v>
      </c>
    </row>
    <row r="621" spans="31:178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>
        <v>617</v>
      </c>
      <c r="BX621" s="13">
        <f t="shared" si="981"/>
        <v>31</v>
      </c>
      <c r="BY621" s="14">
        <f t="shared" si="982"/>
        <v>4</v>
      </c>
      <c r="BZ621" s="14">
        <f t="shared" si="1005"/>
        <v>1102997</v>
      </c>
      <c r="CA621" s="14" t="str">
        <f t="shared" si="1006"/>
        <v>SSR守护灵17突</v>
      </c>
      <c r="CB621" s="25" t="s">
        <v>142</v>
      </c>
      <c r="CC621" s="14">
        <v>2</v>
      </c>
      <c r="CD621" s="14">
        <f t="shared" si="1003"/>
        <v>17</v>
      </c>
      <c r="CE621" s="14" t="s">
        <v>21</v>
      </c>
      <c r="CF621" s="14">
        <f>INDEX(属性投放!$AZ$6:$AZ$85,(BY621-2)*20+CD621)</f>
        <v>15328</v>
      </c>
      <c r="CG621" s="14" t="s">
        <v>22</v>
      </c>
      <c r="CH621" s="14">
        <f>INDEX(属性投放!$BA$6:$BA$85,(BY621-2)*20+CD621)</f>
        <v>7619</v>
      </c>
      <c r="CI621" s="14" t="s">
        <v>510</v>
      </c>
      <c r="CJ621" s="14">
        <f>INDEX(属性投放!$BB$6:$BB$85,(BY621-2)*20+CD621)</f>
        <v>139603</v>
      </c>
      <c r="CK621" s="14" t="s">
        <v>21</v>
      </c>
      <c r="CL621" s="14">
        <f>INDEX(属性投放!$BC$6:$BC$85,(BY621-2)*20+CD621)</f>
        <v>50</v>
      </c>
      <c r="CM621" s="14" t="s">
        <v>22</v>
      </c>
      <c r="CN621" s="14">
        <f>INDEX(属性投放!$BD$6:$BD$85,(BY621-2)*20+CD621)</f>
        <v>25</v>
      </c>
      <c r="CO621" s="14" t="s">
        <v>510</v>
      </c>
      <c r="CP621" s="14">
        <f>INDEX(属性投放!$BE$6:$BE$85,(BY621-2)*20+CD621)</f>
        <v>500</v>
      </c>
      <c r="CS621" s="13">
        <v>617</v>
      </c>
      <c r="CT621" s="13">
        <f t="shared" si="1007"/>
        <v>12</v>
      </c>
      <c r="CU621" s="13">
        <f t="shared" si="1008"/>
        <v>45</v>
      </c>
      <c r="CV621" s="14">
        <f t="shared" si="1009"/>
        <v>5</v>
      </c>
      <c r="CW621" s="14">
        <f t="shared" si="1010"/>
        <v>1102012</v>
      </c>
      <c r="CX621" s="14" t="str">
        <f>INDEX($O$6:$O$50,CT621)&amp;"-"&amp;INDEX(属性投放!$AB$7:$AB$50,CZ621)&amp;"-魂火-"&amp;DB621</f>
        <v>夏侯惇-大焦热+2-魂火-3</v>
      </c>
      <c r="CY621" s="25" t="s">
        <v>142</v>
      </c>
      <c r="CZ621" s="14">
        <f>INDEX(属性投放!$AM$7:$AM$58,CU621)</f>
        <v>18</v>
      </c>
      <c r="DA621" s="14" t="s">
        <v>537</v>
      </c>
      <c r="DB621" s="14">
        <f>INDEX(属性投放!$AN$7:$AN$58,CU621)</f>
        <v>3</v>
      </c>
      <c r="DC621" s="14">
        <f t="shared" si="1004"/>
        <v>45</v>
      </c>
      <c r="DD621" s="14">
        <f>INDEX(属性投放!$AO$7:$AO$58,DC621)</f>
        <v>130</v>
      </c>
      <c r="DE621" s="14" t="s">
        <v>538</v>
      </c>
      <c r="DF621" s="14">
        <f>INDEX(属性投放!$BK$6:$BK$85,(CV621-2)*20+CZ621)</f>
        <v>830</v>
      </c>
      <c r="DG621" s="14">
        <f>SUMIFS(DF$5:DF621,$CT$5:$CT621,"="&amp;$CT621)</f>
        <v>13229</v>
      </c>
      <c r="DH621" s="14" t="s">
        <v>539</v>
      </c>
      <c r="DI621" s="14">
        <f>INDEX(属性投放!$BL$6:$BL$85,(CV621-2)*20+CZ621)</f>
        <v>415</v>
      </c>
      <c r="DJ621" s="14">
        <f>SUMIFS(DI$5:DI621,$CT$5:$CT621,"="&amp;$CT621)</f>
        <v>6620</v>
      </c>
      <c r="DK621" s="14" t="s">
        <v>540</v>
      </c>
      <c r="DL621" s="14">
        <f>INDEX(属性投放!$BM$6:$BM$85,(CV621-2)*20+CZ621)</f>
        <v>8300</v>
      </c>
      <c r="DM621" s="14">
        <f>SUMIFS(DL$5:DL621,$CT$5:$CT621,"="&amp;$CT621)</f>
        <v>126702</v>
      </c>
      <c r="DR621" s="14">
        <f t="shared" si="983"/>
        <v>1102997</v>
      </c>
      <c r="DS621" s="14" t="str">
        <f t="shared" si="984"/>
        <v>SSR守护灵17突</v>
      </c>
      <c r="DT621" s="14">
        <f t="shared" si="1011"/>
        <v>7</v>
      </c>
      <c r="DU621" s="14">
        <f t="shared" si="1012"/>
        <v>6</v>
      </c>
      <c r="DV621" s="14">
        <f t="shared" si="1013"/>
        <v>6</v>
      </c>
      <c r="DW621" s="14">
        <f t="shared" si="985"/>
        <v>4</v>
      </c>
      <c r="DX621" s="14">
        <f t="shared" si="986"/>
        <v>17</v>
      </c>
      <c r="DY621" s="14">
        <f t="shared" si="987"/>
        <v>57</v>
      </c>
      <c r="DZ621" s="14">
        <f>INDEX(属性投放!$AX$6:$AX$85,(卡牌属性!DW621-2)*20+卡牌属性!DX621)</f>
        <v>8</v>
      </c>
      <c r="EA621" s="14">
        <f>INDEX(属性投放!BQ$6:BQ$85,卡牌属性!$DY621)</f>
        <v>950</v>
      </c>
      <c r="EB621" s="14">
        <f>INDEX(属性投放!BR$6:BR$85,卡牌属性!$DY621)</f>
        <v>475</v>
      </c>
      <c r="EC621" s="14">
        <f>INDEX(属性投放!BS$6:BS$85,卡牌属性!$DY621)</f>
        <v>9500</v>
      </c>
      <c r="ED621" s="14">
        <f t="shared" si="1029"/>
        <v>7893</v>
      </c>
      <c r="EE621" s="14">
        <f t="shared" si="1030"/>
        <v>8380</v>
      </c>
      <c r="EF621" s="14">
        <f t="shared" si="1031"/>
        <v>8930</v>
      </c>
      <c r="EG621" s="14">
        <f t="shared" si="1032"/>
        <v>8930</v>
      </c>
      <c r="EH621" s="14">
        <f t="shared" si="1033"/>
        <v>10360</v>
      </c>
      <c r="EI621" s="14">
        <f t="shared" si="1034"/>
        <v>3409</v>
      </c>
      <c r="EJ621" s="14">
        <f t="shared" si="1035"/>
        <v>3917</v>
      </c>
      <c r="EK621" s="14">
        <f t="shared" si="1036"/>
        <v>3917</v>
      </c>
      <c r="EL621" s="14">
        <f t="shared" si="1037"/>
        <v>4176</v>
      </c>
      <c r="EM621" s="14">
        <f t="shared" si="1038"/>
        <v>4433</v>
      </c>
      <c r="EN621" s="14">
        <f t="shared" si="1039"/>
        <v>60834</v>
      </c>
      <c r="EO621" s="14">
        <f t="shared" si="1040"/>
        <v>69818</v>
      </c>
      <c r="EP621" s="14">
        <f t="shared" si="1041"/>
        <v>69818</v>
      </c>
      <c r="EQ621" s="14">
        <f t="shared" si="1042"/>
        <v>73862</v>
      </c>
      <c r="ER621" s="14">
        <f t="shared" si="1043"/>
        <v>78410</v>
      </c>
      <c r="ES621" s="14">
        <f>INDEX(属性偏向!$S$4:$S$243,(卡牌属性!$DT621-1+ES$3)*20+卡牌属性!$DX621)</f>
        <v>50</v>
      </c>
      <c r="ET621" s="14">
        <f>INDEX(属性偏向!$S$4:$S$243,(卡牌属性!$DT621-1+ET$3)*20+卡牌属性!$DX621)</f>
        <v>60</v>
      </c>
      <c r="EU621" s="14">
        <f>INDEX(属性偏向!$S$4:$S$243,(卡牌属性!$DT621-1+EU$3)*20+卡牌属性!$DX621)</f>
        <v>75</v>
      </c>
      <c r="EV621" s="14">
        <f>INDEX(属性偏向!$S$4:$S$243,(卡牌属性!$DT621-1+EV$3)*20+卡牌属性!$DX621)</f>
        <v>75</v>
      </c>
      <c r="EW621" s="14">
        <f>INDEX(属性偏向!$S$4:$S$243,(卡牌属性!$DT621-1+EW$3)*20+卡牌属性!$DX621)</f>
        <v>100</v>
      </c>
      <c r="EX621" s="14">
        <f>INDEX(属性偏向!$T$4:$T$243,(卡牌属性!$DU621-1+EX$3)*20+卡牌属性!$DX621)</f>
        <v>18</v>
      </c>
      <c r="EY621" s="14">
        <f>INDEX(属性偏向!$T$4:$T$243,(卡牌属性!$DU621-1+EY$3)*20+卡牌属性!$DX621)</f>
        <v>25</v>
      </c>
      <c r="EZ621" s="14">
        <f>INDEX(属性偏向!$T$4:$T$243,(卡牌属性!$DU621-1+EZ$3)*20+卡牌属性!$DX621)</f>
        <v>25</v>
      </c>
      <c r="FA621" s="14">
        <f>INDEX(属性偏向!$T$4:$T$243,(卡牌属性!$DU621-1+FA$3)*20+卡牌属性!$DX621)</f>
        <v>30</v>
      </c>
      <c r="FB621" s="14">
        <f>INDEX(属性偏向!$T$4:$T$243,(卡牌属性!$DU621-1+FB$3)*20+卡牌属性!$DX621)</f>
        <v>38</v>
      </c>
      <c r="FC621" s="14">
        <f>INDEX(属性偏向!$U$4:$U$243,(卡牌属性!$DV621-1+FC$3)*20+卡牌属性!$DX621)</f>
        <v>350</v>
      </c>
      <c r="FD621" s="14">
        <f>INDEX(属性偏向!$U$4:$U$243,(卡牌属性!$DV621-1+FD$3)*20+卡牌属性!$DX621)</f>
        <v>500</v>
      </c>
      <c r="FE621" s="14">
        <f>INDEX(属性偏向!$U$4:$U$243,(卡牌属性!$DV621-1+FE$3)*20+卡牌属性!$DX621)</f>
        <v>500</v>
      </c>
      <c r="FF621" s="14">
        <f>INDEX(属性偏向!$U$4:$U$243,(卡牌属性!$DV621-1+FF$3)*20+卡牌属性!$DX621)</f>
        <v>600</v>
      </c>
      <c r="FG621" s="14">
        <f>INDEX(属性偏向!$U$4:$U$243,(卡牌属性!$DV621-1+FG$3)*20+卡牌属性!$DX621)</f>
        <v>750</v>
      </c>
      <c r="FH621" s="14">
        <f>INDEX(属性投放!$BQ$6:$BQ$85,(卡牌属性!$DW621-2)*20+卡牌属性!$DX621)</f>
        <v>950</v>
      </c>
      <c r="FI621" s="14">
        <f>INDEX(属性投放!$BQ$6:$BQ$85,(卡牌属性!$DW621-2)*20+卡牌属性!$DX621)</f>
        <v>950</v>
      </c>
      <c r="FJ621" s="14">
        <f>INDEX(属性投放!$BQ$6:$BQ$85,(卡牌属性!$DW621-2)*20+卡牌属性!$DX621)</f>
        <v>950</v>
      </c>
      <c r="FK621" s="14">
        <f>INDEX(属性投放!$BQ$6:$BQ$85,(卡牌属性!$DW621-2)*20+卡牌属性!$DX621)</f>
        <v>950</v>
      </c>
      <c r="FL621" s="14">
        <f>INDEX(属性投放!$BQ$6:$BQ$85,(卡牌属性!$DW621-2)*20+卡牌属性!$DX621)</f>
        <v>950</v>
      </c>
      <c r="FM621" s="14">
        <f>INDEX(属性投放!$BR$6:$BR$85,(卡牌属性!$DW621-2)*20+卡牌属性!$DX621)</f>
        <v>475</v>
      </c>
      <c r="FN621" s="14">
        <f>INDEX(属性投放!$BR$6:$BR$85,(卡牌属性!$DW621-2)*20+卡牌属性!$DX621)</f>
        <v>475</v>
      </c>
      <c r="FO621" s="14">
        <f>INDEX(属性投放!$BR$6:$BR$85,(卡牌属性!$DW621-2)*20+卡牌属性!$DX621)</f>
        <v>475</v>
      </c>
      <c r="FP621" s="14">
        <f>INDEX(属性投放!$BR$6:$BR$85,(卡牌属性!$DW621-2)*20+卡牌属性!$DX621)</f>
        <v>475</v>
      </c>
      <c r="FQ621" s="14">
        <f>INDEX(属性投放!$BR$6:$BR$85,(卡牌属性!$DW621-2)*20+卡牌属性!$DX621)</f>
        <v>475</v>
      </c>
      <c r="FR621" s="14">
        <f>INDEX(属性投放!$BS$6:$BS$85,(卡牌属性!$DW621-2)*20+卡牌属性!$DX621)</f>
        <v>9500</v>
      </c>
      <c r="FS621" s="14">
        <f>INDEX(属性投放!$BS$6:$BS$85,(卡牌属性!$DW621-2)*20+卡牌属性!$DX621)</f>
        <v>9500</v>
      </c>
      <c r="FT621" s="14">
        <f>INDEX(属性投放!$BS$6:$BS$85,(卡牌属性!$DW621-2)*20+卡牌属性!$DX621)</f>
        <v>9500</v>
      </c>
      <c r="FU621" s="14">
        <f>INDEX(属性投放!$BS$6:$BS$85,(卡牌属性!$DW621-2)*20+卡牌属性!$DX621)</f>
        <v>9500</v>
      </c>
      <c r="FV621" s="14">
        <f>INDEX(属性投放!$BS$6:$BS$85,(卡牌属性!$DW621-2)*20+卡牌属性!$DX621)</f>
        <v>9500</v>
      </c>
    </row>
    <row r="622" spans="31:178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>
        <v>618</v>
      </c>
      <c r="BX622" s="13">
        <f t="shared" si="981"/>
        <v>31</v>
      </c>
      <c r="BY622" s="14">
        <f t="shared" si="982"/>
        <v>4</v>
      </c>
      <c r="BZ622" s="14">
        <f t="shared" si="1005"/>
        <v>1102997</v>
      </c>
      <c r="CA622" s="14" t="str">
        <f t="shared" si="1006"/>
        <v>SSR守护灵18突</v>
      </c>
      <c r="CB622" s="25" t="s">
        <v>142</v>
      </c>
      <c r="CC622" s="14">
        <v>2</v>
      </c>
      <c r="CD622" s="14">
        <f t="shared" si="1003"/>
        <v>18</v>
      </c>
      <c r="CE622" s="14" t="s">
        <v>21</v>
      </c>
      <c r="CF622" s="14">
        <f>INDEX(属性投放!$AZ$6:$AZ$85,(BY622-2)*20+CD622)</f>
        <v>18628</v>
      </c>
      <c r="CG622" s="14" t="s">
        <v>22</v>
      </c>
      <c r="CH622" s="14">
        <f>INDEX(属性投放!$BA$6:$BA$85,(BY622-2)*20+CD622)</f>
        <v>9269</v>
      </c>
      <c r="CI622" s="14" t="s">
        <v>510</v>
      </c>
      <c r="CJ622" s="14">
        <f>INDEX(属性投放!$BB$6:$BB$85,(BY622-2)*20+CD622)</f>
        <v>172603</v>
      </c>
      <c r="CK622" s="14" t="s">
        <v>21</v>
      </c>
      <c r="CL622" s="14">
        <f>INDEX(属性投放!$BC$6:$BC$85,(BY622-2)*20+CD622)</f>
        <v>50</v>
      </c>
      <c r="CM622" s="14" t="s">
        <v>22</v>
      </c>
      <c r="CN622" s="14">
        <f>INDEX(属性投放!$BD$6:$BD$85,(BY622-2)*20+CD622)</f>
        <v>25</v>
      </c>
      <c r="CO622" s="14" t="s">
        <v>510</v>
      </c>
      <c r="CP622" s="14">
        <f>INDEX(属性投放!$BE$6:$BE$85,(BY622-2)*20+CD622)</f>
        <v>500</v>
      </c>
      <c r="CS622" s="13">
        <v>618</v>
      </c>
      <c r="CT622" s="13">
        <f t="shared" si="1007"/>
        <v>12</v>
      </c>
      <c r="CU622" s="13">
        <f t="shared" si="1008"/>
        <v>46</v>
      </c>
      <c r="CV622" s="14">
        <f t="shared" si="1009"/>
        <v>5</v>
      </c>
      <c r="CW622" s="14">
        <f t="shared" si="1010"/>
        <v>1102012</v>
      </c>
      <c r="CX622" s="14" t="str">
        <f>INDEX($O$6:$O$50,CT622)&amp;"-"&amp;INDEX(属性投放!$AB$7:$AB$50,CZ622)&amp;"-魂火-"&amp;DB622</f>
        <v>夏侯惇-无间-魂火-1</v>
      </c>
      <c r="CY622" s="25" t="s">
        <v>142</v>
      </c>
      <c r="CZ622" s="14">
        <f>INDEX(属性投放!$AM$7:$AM$58,CU622)</f>
        <v>19</v>
      </c>
      <c r="DA622" s="14" t="s">
        <v>537</v>
      </c>
      <c r="DB622" s="14">
        <f>INDEX(属性投放!$AN$7:$AN$58,CU622)</f>
        <v>1</v>
      </c>
      <c r="DC622" s="14">
        <f t="shared" si="1004"/>
        <v>46</v>
      </c>
      <c r="DD622" s="14">
        <f>INDEX(属性投放!$AO$7:$AO$58,DC622)</f>
        <v>133</v>
      </c>
      <c r="DE622" s="14" t="s">
        <v>538</v>
      </c>
      <c r="DF622" s="14">
        <f>INDEX(属性投放!$BK$6:$BK$85,(CV622-2)*20+CZ622)</f>
        <v>980</v>
      </c>
      <c r="DG622" s="14">
        <f>SUMIFS(DF$5:DF622,$CT$5:$CT622,"="&amp;$CT622)</f>
        <v>14209</v>
      </c>
      <c r="DH622" s="14" t="s">
        <v>539</v>
      </c>
      <c r="DI622" s="14">
        <f>INDEX(属性投放!$BL$6:$BL$85,(CV622-2)*20+CZ622)</f>
        <v>490</v>
      </c>
      <c r="DJ622" s="14">
        <f>SUMIFS(DI$5:DI622,$CT$5:$CT622,"="&amp;$CT622)</f>
        <v>7110</v>
      </c>
      <c r="DK622" s="14" t="s">
        <v>540</v>
      </c>
      <c r="DL622" s="14">
        <f>INDEX(属性投放!$BM$6:$BM$85,(CV622-2)*20+CZ622)</f>
        <v>9800</v>
      </c>
      <c r="DM622" s="14">
        <f>SUMIFS(DL$5:DL622,$CT$5:$CT622,"="&amp;$CT622)</f>
        <v>136502</v>
      </c>
      <c r="DR622" s="14">
        <f t="shared" si="983"/>
        <v>1102997</v>
      </c>
      <c r="DS622" s="14" t="str">
        <f t="shared" si="984"/>
        <v>SSR守护灵18突</v>
      </c>
      <c r="DT622" s="14">
        <f t="shared" si="1011"/>
        <v>7</v>
      </c>
      <c r="DU622" s="14">
        <f t="shared" si="1012"/>
        <v>6</v>
      </c>
      <c r="DV622" s="14">
        <f t="shared" si="1013"/>
        <v>6</v>
      </c>
      <c r="DW622" s="14">
        <f t="shared" si="985"/>
        <v>4</v>
      </c>
      <c r="DX622" s="14">
        <f t="shared" si="986"/>
        <v>18</v>
      </c>
      <c r="DY622" s="14">
        <f t="shared" si="987"/>
        <v>58</v>
      </c>
      <c r="DZ622" s="14">
        <f>INDEX(属性投放!$AX$6:$AX$85,(卡牌属性!DW622-2)*20+卡牌属性!DX622)</f>
        <v>7</v>
      </c>
      <c r="EA622" s="14">
        <f>INDEX(属性投放!BQ$6:BQ$85,卡牌属性!$DY622)</f>
        <v>1500</v>
      </c>
      <c r="EB622" s="14">
        <f>INDEX(属性投放!BR$6:BR$85,卡牌属性!$DY622)</f>
        <v>750</v>
      </c>
      <c r="EC622" s="14">
        <f>INDEX(属性投放!BS$6:BS$85,卡牌属性!$DY622)</f>
        <v>15000</v>
      </c>
      <c r="ED622" s="14">
        <f t="shared" si="1029"/>
        <v>9243</v>
      </c>
      <c r="EE622" s="14">
        <f t="shared" si="1030"/>
        <v>9810</v>
      </c>
      <c r="EF622" s="14">
        <f t="shared" si="1031"/>
        <v>10480</v>
      </c>
      <c r="EG622" s="14">
        <f t="shared" si="1032"/>
        <v>10480</v>
      </c>
      <c r="EH622" s="14">
        <f t="shared" si="1033"/>
        <v>12110</v>
      </c>
      <c r="EI622" s="14">
        <f t="shared" si="1034"/>
        <v>4028</v>
      </c>
      <c r="EJ622" s="14">
        <f t="shared" si="1035"/>
        <v>4592</v>
      </c>
      <c r="EK622" s="14">
        <f t="shared" si="1036"/>
        <v>4592</v>
      </c>
      <c r="EL622" s="14">
        <f t="shared" si="1037"/>
        <v>4891</v>
      </c>
      <c r="EM622" s="14">
        <f t="shared" si="1038"/>
        <v>5212</v>
      </c>
      <c r="EN622" s="14">
        <f t="shared" si="1039"/>
        <v>73134</v>
      </c>
      <c r="EO622" s="14">
        <f t="shared" si="1040"/>
        <v>83318</v>
      </c>
      <c r="EP622" s="14">
        <f t="shared" si="1041"/>
        <v>83318</v>
      </c>
      <c r="EQ622" s="14">
        <f t="shared" si="1042"/>
        <v>88162</v>
      </c>
      <c r="ER622" s="14">
        <f t="shared" si="1043"/>
        <v>93910</v>
      </c>
      <c r="ES622" s="14">
        <f>INDEX(属性偏向!$S$4:$S$243,(卡牌属性!$DT622-1+ES$3)*20+卡牌属性!$DX622)</f>
        <v>50</v>
      </c>
      <c r="ET622" s="14">
        <f>INDEX(属性偏向!$S$4:$S$243,(卡牌属性!$DT622-1+ET$3)*20+卡牌属性!$DX622)</f>
        <v>60</v>
      </c>
      <c r="EU622" s="14">
        <f>INDEX(属性偏向!$S$4:$S$243,(卡牌属性!$DT622-1+EU$3)*20+卡牌属性!$DX622)</f>
        <v>75</v>
      </c>
      <c r="EV622" s="14">
        <f>INDEX(属性偏向!$S$4:$S$243,(卡牌属性!$DT622-1+EV$3)*20+卡牌属性!$DX622)</f>
        <v>75</v>
      </c>
      <c r="EW622" s="14">
        <f>INDEX(属性偏向!$S$4:$S$243,(卡牌属性!$DT622-1+EW$3)*20+卡牌属性!$DX622)</f>
        <v>100</v>
      </c>
      <c r="EX622" s="14">
        <f>INDEX(属性偏向!$T$4:$T$243,(卡牌属性!$DU622-1+EX$3)*20+卡牌属性!$DX622)</f>
        <v>18</v>
      </c>
      <c r="EY622" s="14">
        <f>INDEX(属性偏向!$T$4:$T$243,(卡牌属性!$DU622-1+EY$3)*20+卡牌属性!$DX622)</f>
        <v>25</v>
      </c>
      <c r="EZ622" s="14">
        <f>INDEX(属性偏向!$T$4:$T$243,(卡牌属性!$DU622-1+EZ$3)*20+卡牌属性!$DX622)</f>
        <v>25</v>
      </c>
      <c r="FA622" s="14">
        <f>INDEX(属性偏向!$T$4:$T$243,(卡牌属性!$DU622-1+FA$3)*20+卡牌属性!$DX622)</f>
        <v>30</v>
      </c>
      <c r="FB622" s="14">
        <f>INDEX(属性偏向!$T$4:$T$243,(卡牌属性!$DU622-1+FB$3)*20+卡牌属性!$DX622)</f>
        <v>38</v>
      </c>
      <c r="FC622" s="14">
        <f>INDEX(属性偏向!$U$4:$U$243,(卡牌属性!$DV622-1+FC$3)*20+卡牌属性!$DX622)</f>
        <v>350</v>
      </c>
      <c r="FD622" s="14">
        <f>INDEX(属性偏向!$U$4:$U$243,(卡牌属性!$DV622-1+FD$3)*20+卡牌属性!$DX622)</f>
        <v>500</v>
      </c>
      <c r="FE622" s="14">
        <f>INDEX(属性偏向!$U$4:$U$243,(卡牌属性!$DV622-1+FE$3)*20+卡牌属性!$DX622)</f>
        <v>500</v>
      </c>
      <c r="FF622" s="14">
        <f>INDEX(属性偏向!$U$4:$U$243,(卡牌属性!$DV622-1+FF$3)*20+卡牌属性!$DX622)</f>
        <v>600</v>
      </c>
      <c r="FG622" s="14">
        <f>INDEX(属性偏向!$U$4:$U$243,(卡牌属性!$DV622-1+FG$3)*20+卡牌属性!$DX622)</f>
        <v>750</v>
      </c>
      <c r="FH622" s="14">
        <f>INDEX(属性投放!$BQ$6:$BQ$85,(卡牌属性!$DW622-2)*20+卡牌属性!$DX622)</f>
        <v>1500</v>
      </c>
      <c r="FI622" s="14">
        <f>INDEX(属性投放!$BQ$6:$BQ$85,(卡牌属性!$DW622-2)*20+卡牌属性!$DX622)</f>
        <v>1500</v>
      </c>
      <c r="FJ622" s="14">
        <f>INDEX(属性投放!$BQ$6:$BQ$85,(卡牌属性!$DW622-2)*20+卡牌属性!$DX622)</f>
        <v>1500</v>
      </c>
      <c r="FK622" s="14">
        <f>INDEX(属性投放!$BQ$6:$BQ$85,(卡牌属性!$DW622-2)*20+卡牌属性!$DX622)</f>
        <v>1500</v>
      </c>
      <c r="FL622" s="14">
        <f>INDEX(属性投放!$BQ$6:$BQ$85,(卡牌属性!$DW622-2)*20+卡牌属性!$DX622)</f>
        <v>1500</v>
      </c>
      <c r="FM622" s="14">
        <f>INDEX(属性投放!$BR$6:$BR$85,(卡牌属性!$DW622-2)*20+卡牌属性!$DX622)</f>
        <v>750</v>
      </c>
      <c r="FN622" s="14">
        <f>INDEX(属性投放!$BR$6:$BR$85,(卡牌属性!$DW622-2)*20+卡牌属性!$DX622)</f>
        <v>750</v>
      </c>
      <c r="FO622" s="14">
        <f>INDEX(属性投放!$BR$6:$BR$85,(卡牌属性!$DW622-2)*20+卡牌属性!$DX622)</f>
        <v>750</v>
      </c>
      <c r="FP622" s="14">
        <f>INDEX(属性投放!$BR$6:$BR$85,(卡牌属性!$DW622-2)*20+卡牌属性!$DX622)</f>
        <v>750</v>
      </c>
      <c r="FQ622" s="14">
        <f>INDEX(属性投放!$BR$6:$BR$85,(卡牌属性!$DW622-2)*20+卡牌属性!$DX622)</f>
        <v>750</v>
      </c>
      <c r="FR622" s="14">
        <f>INDEX(属性投放!$BS$6:$BS$85,(卡牌属性!$DW622-2)*20+卡牌属性!$DX622)</f>
        <v>15000</v>
      </c>
      <c r="FS622" s="14">
        <f>INDEX(属性投放!$BS$6:$BS$85,(卡牌属性!$DW622-2)*20+卡牌属性!$DX622)</f>
        <v>15000</v>
      </c>
      <c r="FT622" s="14">
        <f>INDEX(属性投放!$BS$6:$BS$85,(卡牌属性!$DW622-2)*20+卡牌属性!$DX622)</f>
        <v>15000</v>
      </c>
      <c r="FU622" s="14">
        <f>INDEX(属性投放!$BS$6:$BS$85,(卡牌属性!$DW622-2)*20+卡牌属性!$DX622)</f>
        <v>15000</v>
      </c>
      <c r="FV622" s="14">
        <f>INDEX(属性投放!$BS$6:$BS$85,(卡牌属性!$DW622-2)*20+卡牌属性!$DX622)</f>
        <v>15000</v>
      </c>
    </row>
    <row r="623" spans="31:178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>
        <v>619</v>
      </c>
      <c r="BX623" s="13">
        <f t="shared" si="981"/>
        <v>31</v>
      </c>
      <c r="BY623" s="14">
        <f t="shared" si="982"/>
        <v>4</v>
      </c>
      <c r="BZ623" s="14">
        <f t="shared" si="1005"/>
        <v>1102997</v>
      </c>
      <c r="CA623" s="14" t="str">
        <f t="shared" si="1006"/>
        <v>SSR守护灵19突</v>
      </c>
      <c r="CB623" s="25" t="s">
        <v>142</v>
      </c>
      <c r="CC623" s="14">
        <v>2</v>
      </c>
      <c r="CD623" s="14">
        <f t="shared" si="1003"/>
        <v>19</v>
      </c>
      <c r="CE623" s="14" t="s">
        <v>21</v>
      </c>
      <c r="CF623" s="14">
        <f>INDEX(属性投放!$AZ$6:$AZ$85,(BY623-2)*20+CD623)</f>
        <v>22728</v>
      </c>
      <c r="CG623" s="14" t="s">
        <v>22</v>
      </c>
      <c r="CH623" s="14">
        <f>INDEX(属性投放!$BA$6:$BA$85,(BY623-2)*20+CD623)</f>
        <v>11319</v>
      </c>
      <c r="CI623" s="14" t="s">
        <v>510</v>
      </c>
      <c r="CJ623" s="14">
        <f>INDEX(属性投放!$BB$6:$BB$85,(BY623-2)*20+CD623)</f>
        <v>213603</v>
      </c>
      <c r="CK623" s="14" t="s">
        <v>21</v>
      </c>
      <c r="CL623" s="14">
        <f>INDEX(属性投放!$BC$6:$BC$85,(BY623-2)*20+CD623)</f>
        <v>75</v>
      </c>
      <c r="CM623" s="14" t="s">
        <v>22</v>
      </c>
      <c r="CN623" s="14">
        <f>INDEX(属性投放!$BD$6:$BD$85,(BY623-2)*20+CD623)</f>
        <v>38</v>
      </c>
      <c r="CO623" s="14" t="s">
        <v>510</v>
      </c>
      <c r="CP623" s="14">
        <f>INDEX(属性投放!$BE$6:$BE$85,(BY623-2)*20+CD623)</f>
        <v>750</v>
      </c>
      <c r="CS623" s="13">
        <v>619</v>
      </c>
      <c r="CT623" s="13">
        <f t="shared" si="1007"/>
        <v>12</v>
      </c>
      <c r="CU623" s="13">
        <f t="shared" si="1008"/>
        <v>47</v>
      </c>
      <c r="CV623" s="14">
        <f t="shared" si="1009"/>
        <v>5</v>
      </c>
      <c r="CW623" s="14">
        <f t="shared" si="1010"/>
        <v>1102012</v>
      </c>
      <c r="CX623" s="14" t="str">
        <f>INDEX($O$6:$O$50,CT623)&amp;"-"&amp;INDEX(属性投放!$AB$7:$AB$50,CZ623)&amp;"-魂火-"&amp;DB623</f>
        <v>夏侯惇-无间-魂火-2</v>
      </c>
      <c r="CY623" s="25" t="s">
        <v>142</v>
      </c>
      <c r="CZ623" s="14">
        <f>INDEX(属性投放!$AM$7:$AM$58,CU623)</f>
        <v>19</v>
      </c>
      <c r="DA623" s="14" t="s">
        <v>537</v>
      </c>
      <c r="DB623" s="14">
        <f>INDEX(属性投放!$AN$7:$AN$58,CU623)</f>
        <v>2</v>
      </c>
      <c r="DC623" s="14">
        <f t="shared" si="1004"/>
        <v>47</v>
      </c>
      <c r="DD623" s="14">
        <f>INDEX(属性投放!$AO$7:$AO$58,DC623)</f>
        <v>135</v>
      </c>
      <c r="DE623" s="14" t="s">
        <v>538</v>
      </c>
      <c r="DF623" s="14">
        <f>INDEX(属性投放!$BK$6:$BK$85,(CV623-2)*20+CZ623)</f>
        <v>980</v>
      </c>
      <c r="DG623" s="14">
        <f>SUMIFS(DF$5:DF623,$CT$5:$CT623,"="&amp;$CT623)</f>
        <v>15189</v>
      </c>
      <c r="DH623" s="14" t="s">
        <v>539</v>
      </c>
      <c r="DI623" s="14">
        <f>INDEX(属性投放!$BL$6:$BL$85,(CV623-2)*20+CZ623)</f>
        <v>490</v>
      </c>
      <c r="DJ623" s="14">
        <f>SUMIFS(DI$5:DI623,$CT$5:$CT623,"="&amp;$CT623)</f>
        <v>7600</v>
      </c>
      <c r="DK623" s="14" t="s">
        <v>540</v>
      </c>
      <c r="DL623" s="14">
        <f>INDEX(属性投放!$BM$6:$BM$85,(CV623-2)*20+CZ623)</f>
        <v>9800</v>
      </c>
      <c r="DM623" s="14">
        <f>SUMIFS(DL$5:DL623,$CT$5:$CT623,"="&amp;$CT623)</f>
        <v>146302</v>
      </c>
      <c r="DR623" s="14">
        <f t="shared" si="983"/>
        <v>1102997</v>
      </c>
      <c r="DS623" s="14" t="str">
        <f t="shared" si="984"/>
        <v>SSR守护灵19突</v>
      </c>
      <c r="DT623" s="14">
        <f t="shared" si="1011"/>
        <v>7</v>
      </c>
      <c r="DU623" s="14">
        <f t="shared" si="1012"/>
        <v>6</v>
      </c>
      <c r="DV623" s="14">
        <f t="shared" si="1013"/>
        <v>6</v>
      </c>
      <c r="DW623" s="14">
        <f t="shared" si="985"/>
        <v>4</v>
      </c>
      <c r="DX623" s="14">
        <f t="shared" si="986"/>
        <v>19</v>
      </c>
      <c r="DY623" s="14">
        <f t="shared" si="987"/>
        <v>59</v>
      </c>
      <c r="DZ623" s="14">
        <f>INDEX(属性投放!$AX$6:$AX$85,(卡牌属性!DW623-2)*20+卡牌属性!DX623)</f>
        <v>8</v>
      </c>
      <c r="EA623" s="14">
        <f>INDEX(属性投放!BQ$6:BQ$85,卡牌属性!$DY623)</f>
        <v>1500</v>
      </c>
      <c r="EB623" s="14">
        <f>INDEX(属性投放!BR$6:BR$85,卡牌属性!$DY623)</f>
        <v>750</v>
      </c>
      <c r="EC623" s="14">
        <f>INDEX(属性投放!BS$6:BS$85,卡牌属性!$DY623)</f>
        <v>15000</v>
      </c>
      <c r="ED623" s="14">
        <f t="shared" si="1029"/>
        <v>11093</v>
      </c>
      <c r="EE623" s="14">
        <f t="shared" si="1030"/>
        <v>11730</v>
      </c>
      <c r="EF623" s="14">
        <f t="shared" si="1031"/>
        <v>12505</v>
      </c>
      <c r="EG623" s="14">
        <f t="shared" si="1032"/>
        <v>12505</v>
      </c>
      <c r="EH623" s="14">
        <f t="shared" si="1033"/>
        <v>14310</v>
      </c>
      <c r="EI623" s="14">
        <f t="shared" si="1034"/>
        <v>4904</v>
      </c>
      <c r="EJ623" s="14">
        <f t="shared" si="1035"/>
        <v>5517</v>
      </c>
      <c r="EK623" s="14">
        <f t="shared" si="1036"/>
        <v>5517</v>
      </c>
      <c r="EL623" s="14">
        <f t="shared" si="1037"/>
        <v>5851</v>
      </c>
      <c r="EM623" s="14">
        <f t="shared" si="1038"/>
        <v>6228</v>
      </c>
      <c r="EN623" s="14">
        <f t="shared" si="1039"/>
        <v>90584</v>
      </c>
      <c r="EO623" s="14">
        <f t="shared" si="1040"/>
        <v>101818</v>
      </c>
      <c r="EP623" s="14">
        <f t="shared" si="1041"/>
        <v>101818</v>
      </c>
      <c r="EQ623" s="14">
        <f t="shared" si="1042"/>
        <v>107362</v>
      </c>
      <c r="ER623" s="14">
        <f t="shared" si="1043"/>
        <v>114160</v>
      </c>
      <c r="ES623" s="14">
        <f>INDEX(属性偏向!$S$4:$S$243,(卡牌属性!$DT623-1+ES$3)*20+卡牌属性!$DX623)</f>
        <v>75</v>
      </c>
      <c r="ET623" s="14">
        <f>INDEX(属性偏向!$S$4:$S$243,(卡牌属性!$DT623-1+ET$3)*20+卡牌属性!$DX623)</f>
        <v>80</v>
      </c>
      <c r="EU623" s="14">
        <f>INDEX(属性偏向!$S$4:$S$243,(卡牌属性!$DT623-1+EU$3)*20+卡牌属性!$DX623)</f>
        <v>100</v>
      </c>
      <c r="EV623" s="14">
        <f>INDEX(属性偏向!$S$4:$S$243,(卡牌属性!$DT623-1+EV$3)*20+卡牌属性!$DX623)</f>
        <v>100</v>
      </c>
      <c r="EW623" s="14">
        <f>INDEX(属性偏向!$S$4:$S$243,(卡牌属性!$DT623-1+EW$3)*20+卡牌属性!$DX623)</f>
        <v>150</v>
      </c>
      <c r="EX623" s="14">
        <f>INDEX(属性偏向!$T$4:$T$243,(卡牌属性!$DU623-1+EX$3)*20+卡牌属性!$DX623)</f>
        <v>23</v>
      </c>
      <c r="EY623" s="14">
        <f>INDEX(属性偏向!$T$4:$T$243,(卡牌属性!$DU623-1+EY$3)*20+卡牌属性!$DX623)</f>
        <v>38</v>
      </c>
      <c r="EZ623" s="14">
        <f>INDEX(属性偏向!$T$4:$T$243,(卡牌属性!$DU623-1+EZ$3)*20+卡牌属性!$DX623)</f>
        <v>38</v>
      </c>
      <c r="FA623" s="14">
        <f>INDEX(属性偏向!$T$4:$T$243,(卡牌属性!$DU623-1+FA$3)*20+卡牌属性!$DX623)</f>
        <v>40</v>
      </c>
      <c r="FB623" s="14">
        <f>INDEX(属性偏向!$T$4:$T$243,(卡牌属性!$DU623-1+FB$3)*20+卡牌属性!$DX623)</f>
        <v>50</v>
      </c>
      <c r="FC623" s="14">
        <f>INDEX(属性偏向!$U$4:$U$243,(卡牌属性!$DV623-1+FC$3)*20+卡牌属性!$DX623)</f>
        <v>450</v>
      </c>
      <c r="FD623" s="14">
        <f>INDEX(属性偏向!$U$4:$U$243,(卡牌属性!$DV623-1+FD$3)*20+卡牌属性!$DX623)</f>
        <v>750</v>
      </c>
      <c r="FE623" s="14">
        <f>INDEX(属性偏向!$U$4:$U$243,(卡牌属性!$DV623-1+FE$3)*20+卡牌属性!$DX623)</f>
        <v>750</v>
      </c>
      <c r="FF623" s="14">
        <f>INDEX(属性偏向!$U$4:$U$243,(卡牌属性!$DV623-1+FF$3)*20+卡牌属性!$DX623)</f>
        <v>800</v>
      </c>
      <c r="FG623" s="14">
        <f>INDEX(属性偏向!$U$4:$U$243,(卡牌属性!$DV623-1+FG$3)*20+卡牌属性!$DX623)</f>
        <v>1000</v>
      </c>
      <c r="FH623" s="14">
        <f>INDEX(属性投放!$BQ$6:$BQ$85,(卡牌属性!$DW623-2)*20+卡牌属性!$DX623)</f>
        <v>1500</v>
      </c>
      <c r="FI623" s="14">
        <f>INDEX(属性投放!$BQ$6:$BQ$85,(卡牌属性!$DW623-2)*20+卡牌属性!$DX623)</f>
        <v>1500</v>
      </c>
      <c r="FJ623" s="14">
        <f>INDEX(属性投放!$BQ$6:$BQ$85,(卡牌属性!$DW623-2)*20+卡牌属性!$DX623)</f>
        <v>1500</v>
      </c>
      <c r="FK623" s="14">
        <f>INDEX(属性投放!$BQ$6:$BQ$85,(卡牌属性!$DW623-2)*20+卡牌属性!$DX623)</f>
        <v>1500</v>
      </c>
      <c r="FL623" s="14">
        <f>INDEX(属性投放!$BQ$6:$BQ$85,(卡牌属性!$DW623-2)*20+卡牌属性!$DX623)</f>
        <v>1500</v>
      </c>
      <c r="FM623" s="14">
        <f>INDEX(属性投放!$BR$6:$BR$85,(卡牌属性!$DW623-2)*20+卡牌属性!$DX623)</f>
        <v>750</v>
      </c>
      <c r="FN623" s="14">
        <f>INDEX(属性投放!$BR$6:$BR$85,(卡牌属性!$DW623-2)*20+卡牌属性!$DX623)</f>
        <v>750</v>
      </c>
      <c r="FO623" s="14">
        <f>INDEX(属性投放!$BR$6:$BR$85,(卡牌属性!$DW623-2)*20+卡牌属性!$DX623)</f>
        <v>750</v>
      </c>
      <c r="FP623" s="14">
        <f>INDEX(属性投放!$BR$6:$BR$85,(卡牌属性!$DW623-2)*20+卡牌属性!$DX623)</f>
        <v>750</v>
      </c>
      <c r="FQ623" s="14">
        <f>INDEX(属性投放!$BR$6:$BR$85,(卡牌属性!$DW623-2)*20+卡牌属性!$DX623)</f>
        <v>750</v>
      </c>
      <c r="FR623" s="14">
        <f>INDEX(属性投放!$BS$6:$BS$85,(卡牌属性!$DW623-2)*20+卡牌属性!$DX623)</f>
        <v>15000</v>
      </c>
      <c r="FS623" s="14">
        <f>INDEX(属性投放!$BS$6:$BS$85,(卡牌属性!$DW623-2)*20+卡牌属性!$DX623)</f>
        <v>15000</v>
      </c>
      <c r="FT623" s="14">
        <f>INDEX(属性投放!$BS$6:$BS$85,(卡牌属性!$DW623-2)*20+卡牌属性!$DX623)</f>
        <v>15000</v>
      </c>
      <c r="FU623" s="14">
        <f>INDEX(属性投放!$BS$6:$BS$85,(卡牌属性!$DW623-2)*20+卡牌属性!$DX623)</f>
        <v>15000</v>
      </c>
      <c r="FV623" s="14">
        <f>INDEX(属性投放!$BS$6:$BS$85,(卡牌属性!$DW623-2)*20+卡牌属性!$DX623)</f>
        <v>15000</v>
      </c>
    </row>
    <row r="624" spans="31:178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>
        <v>620</v>
      </c>
      <c r="BX624" s="13">
        <f t="shared" si="981"/>
        <v>31</v>
      </c>
      <c r="BY624" s="14">
        <f t="shared" si="982"/>
        <v>4</v>
      </c>
      <c r="BZ624" s="14">
        <f t="shared" si="1005"/>
        <v>1102997</v>
      </c>
      <c r="CA624" s="14" t="str">
        <f t="shared" si="1006"/>
        <v>SSR守护灵20突</v>
      </c>
      <c r="CB624" s="25" t="s">
        <v>142</v>
      </c>
      <c r="CC624" s="14">
        <v>2</v>
      </c>
      <c r="CD624" s="14">
        <f t="shared" si="1003"/>
        <v>20</v>
      </c>
      <c r="CE624" s="14" t="s">
        <v>21</v>
      </c>
      <c r="CF624" s="14">
        <f>INDEX(属性投放!$AZ$6:$AZ$85,(BY624-2)*20+CD624)</f>
        <v>27528</v>
      </c>
      <c r="CG624" s="14" t="s">
        <v>22</v>
      </c>
      <c r="CH624" s="14">
        <f>INDEX(属性投放!$BA$6:$BA$85,(BY624-2)*20+CD624)</f>
        <v>13723</v>
      </c>
      <c r="CI624" s="14" t="s">
        <v>510</v>
      </c>
      <c r="CJ624" s="14">
        <f>INDEX(属性投放!$BB$6:$BB$85,(BY624-2)*20+CD624)</f>
        <v>261603</v>
      </c>
      <c r="CK624" s="14" t="s">
        <v>21</v>
      </c>
      <c r="CL624" s="14">
        <f>INDEX(属性投放!$BC$6:$BC$85,(BY624-2)*20+CD624)</f>
        <v>75</v>
      </c>
      <c r="CM624" s="14" t="s">
        <v>22</v>
      </c>
      <c r="CN624" s="14">
        <f>INDEX(属性投放!$BD$6:$BD$85,(BY624-2)*20+CD624)</f>
        <v>38</v>
      </c>
      <c r="CO624" s="14" t="s">
        <v>510</v>
      </c>
      <c r="CP624" s="14">
        <f>INDEX(属性投放!$BE$6:$BE$85,(BY624-2)*20+CD624)</f>
        <v>750</v>
      </c>
      <c r="CS624" s="13">
        <v>620</v>
      </c>
      <c r="CT624" s="13">
        <f t="shared" si="1007"/>
        <v>12</v>
      </c>
      <c r="CU624" s="13">
        <f t="shared" si="1008"/>
        <v>48</v>
      </c>
      <c r="CV624" s="14">
        <f t="shared" si="1009"/>
        <v>5</v>
      </c>
      <c r="CW624" s="14">
        <f t="shared" si="1010"/>
        <v>1102012</v>
      </c>
      <c r="CX624" s="14" t="str">
        <f>INDEX($O$6:$O$50,CT624)&amp;"-"&amp;INDEX(属性投放!$AB$7:$AB$50,CZ624)&amp;"-魂火-"&amp;DB624</f>
        <v>夏侯惇-无间-魂火-3</v>
      </c>
      <c r="CY624" s="25" t="s">
        <v>142</v>
      </c>
      <c r="CZ624" s="14">
        <f>INDEX(属性投放!$AM$7:$AM$58,CU624)</f>
        <v>19</v>
      </c>
      <c r="DA624" s="14" t="s">
        <v>537</v>
      </c>
      <c r="DB624" s="14">
        <f>INDEX(属性投放!$AN$7:$AN$58,CU624)</f>
        <v>3</v>
      </c>
      <c r="DC624" s="14">
        <f t="shared" si="1004"/>
        <v>48</v>
      </c>
      <c r="DD624" s="14">
        <f>INDEX(属性投放!$AO$7:$AO$58,DC624)</f>
        <v>138</v>
      </c>
      <c r="DE624" s="14" t="s">
        <v>538</v>
      </c>
      <c r="DF624" s="14">
        <f>INDEX(属性投放!$BK$6:$BK$85,(CV624-2)*20+CZ624)</f>
        <v>980</v>
      </c>
      <c r="DG624" s="14">
        <f>SUMIFS(DF$5:DF624,$CT$5:$CT624,"="&amp;$CT624)</f>
        <v>16169</v>
      </c>
      <c r="DH624" s="14" t="s">
        <v>539</v>
      </c>
      <c r="DI624" s="14">
        <f>INDEX(属性投放!$BL$6:$BL$85,(CV624-2)*20+CZ624)</f>
        <v>490</v>
      </c>
      <c r="DJ624" s="14">
        <f>SUMIFS(DI$5:DI624,$CT$5:$CT624,"="&amp;$CT624)</f>
        <v>8090</v>
      </c>
      <c r="DK624" s="14" t="s">
        <v>540</v>
      </c>
      <c r="DL624" s="14">
        <f>INDEX(属性投放!$BM$6:$BM$85,(CV624-2)*20+CZ624)</f>
        <v>9800</v>
      </c>
      <c r="DM624" s="14">
        <f>SUMIFS(DL$5:DL624,$CT$5:$CT624,"="&amp;$CT624)</f>
        <v>156102</v>
      </c>
      <c r="DR624" s="14">
        <f t="shared" si="983"/>
        <v>1102997</v>
      </c>
      <c r="DS624" s="14" t="str">
        <f t="shared" si="984"/>
        <v>SSR守护灵20突</v>
      </c>
      <c r="DT624" s="14">
        <f t="shared" si="1011"/>
        <v>7</v>
      </c>
      <c r="DU624" s="14">
        <f t="shared" si="1012"/>
        <v>6</v>
      </c>
      <c r="DV624" s="14">
        <f t="shared" si="1013"/>
        <v>6</v>
      </c>
      <c r="DW624" s="14">
        <f t="shared" si="985"/>
        <v>4</v>
      </c>
      <c r="DX624" s="14">
        <f t="shared" si="986"/>
        <v>20</v>
      </c>
      <c r="DY624" s="14">
        <f t="shared" si="987"/>
        <v>60</v>
      </c>
      <c r="DZ624" s="14">
        <f>INDEX(属性投放!$AX$6:$AX$85,(卡牌属性!DW624-2)*20+卡牌属性!DX624)</f>
        <v>10</v>
      </c>
      <c r="EA624" s="14">
        <f>INDEX(属性投放!BQ$6:BQ$85,卡牌属性!$DY624)</f>
        <v>1500</v>
      </c>
      <c r="EB624" s="14">
        <f>INDEX(属性投放!BR$6:BR$85,卡牌属性!$DY624)</f>
        <v>750</v>
      </c>
      <c r="EC624" s="14">
        <f>INDEX(属性投放!BS$6:BS$85,卡牌属性!$DY624)</f>
        <v>15000</v>
      </c>
      <c r="ED624" s="14">
        <f t="shared" si="1029"/>
        <v>13193</v>
      </c>
      <c r="EE624" s="14">
        <f t="shared" si="1030"/>
        <v>13870</v>
      </c>
      <c r="EF624" s="14">
        <f t="shared" si="1031"/>
        <v>14805</v>
      </c>
      <c r="EG624" s="14">
        <f t="shared" si="1032"/>
        <v>14805</v>
      </c>
      <c r="EH624" s="14">
        <f t="shared" si="1033"/>
        <v>17010</v>
      </c>
      <c r="EI624" s="14">
        <f t="shared" si="1034"/>
        <v>5838</v>
      </c>
      <c r="EJ624" s="14">
        <f t="shared" si="1035"/>
        <v>6571</v>
      </c>
      <c r="EK624" s="14">
        <f t="shared" si="1036"/>
        <v>6571</v>
      </c>
      <c r="EL624" s="14">
        <f t="shared" si="1037"/>
        <v>6921</v>
      </c>
      <c r="EM624" s="14">
        <f t="shared" si="1038"/>
        <v>7378</v>
      </c>
      <c r="EN624" s="14">
        <f t="shared" si="1039"/>
        <v>109184</v>
      </c>
      <c r="EO624" s="14">
        <f t="shared" si="1040"/>
        <v>122818</v>
      </c>
      <c r="EP624" s="14">
        <f t="shared" si="1041"/>
        <v>122818</v>
      </c>
      <c r="EQ624" s="14">
        <f t="shared" si="1042"/>
        <v>128762</v>
      </c>
      <c r="ER624" s="14">
        <f t="shared" si="1043"/>
        <v>137160</v>
      </c>
      <c r="ES624" s="14">
        <f>INDEX(属性偏向!$S$4:$S$243,(卡牌属性!$DT624-1+ES$3)*20+卡牌属性!$DX624)</f>
        <v>75</v>
      </c>
      <c r="ET624" s="14">
        <f>INDEX(属性偏向!$S$4:$S$243,(卡牌属性!$DT624-1+ET$3)*20+卡牌属性!$DX624)</f>
        <v>80</v>
      </c>
      <c r="EU624" s="14">
        <f>INDEX(属性偏向!$S$4:$S$243,(卡牌属性!$DT624-1+EU$3)*20+卡牌属性!$DX624)</f>
        <v>100</v>
      </c>
      <c r="EV624" s="14">
        <f>INDEX(属性偏向!$S$4:$S$243,(卡牌属性!$DT624-1+EV$3)*20+卡牌属性!$DX624)</f>
        <v>100</v>
      </c>
      <c r="EW624" s="14">
        <f>INDEX(属性偏向!$S$4:$S$243,(卡牌属性!$DT624-1+EW$3)*20+卡牌属性!$DX624)</f>
        <v>150</v>
      </c>
      <c r="EX624" s="14">
        <f>INDEX(属性偏向!$T$4:$T$243,(卡牌属性!$DU624-1+EX$3)*20+卡牌属性!$DX624)</f>
        <v>23</v>
      </c>
      <c r="EY624" s="14">
        <f>INDEX(属性偏向!$T$4:$T$243,(卡牌属性!$DU624-1+EY$3)*20+卡牌属性!$DX624)</f>
        <v>38</v>
      </c>
      <c r="EZ624" s="14">
        <f>INDEX(属性偏向!$T$4:$T$243,(卡牌属性!$DU624-1+EZ$3)*20+卡牌属性!$DX624)</f>
        <v>38</v>
      </c>
      <c r="FA624" s="14">
        <f>INDEX(属性偏向!$T$4:$T$243,(卡牌属性!$DU624-1+FA$3)*20+卡牌属性!$DX624)</f>
        <v>40</v>
      </c>
      <c r="FB624" s="14">
        <f>INDEX(属性偏向!$T$4:$T$243,(卡牌属性!$DU624-1+FB$3)*20+卡牌属性!$DX624)</f>
        <v>50</v>
      </c>
      <c r="FC624" s="14">
        <f>INDEX(属性偏向!$U$4:$U$243,(卡牌属性!$DV624-1+FC$3)*20+卡牌属性!$DX624)</f>
        <v>450</v>
      </c>
      <c r="FD624" s="14">
        <f>INDEX(属性偏向!$U$4:$U$243,(卡牌属性!$DV624-1+FD$3)*20+卡牌属性!$DX624)</f>
        <v>750</v>
      </c>
      <c r="FE624" s="14">
        <f>INDEX(属性偏向!$U$4:$U$243,(卡牌属性!$DV624-1+FE$3)*20+卡牌属性!$DX624)</f>
        <v>750</v>
      </c>
      <c r="FF624" s="14">
        <f>INDEX(属性偏向!$U$4:$U$243,(卡牌属性!$DV624-1+FF$3)*20+卡牌属性!$DX624)</f>
        <v>800</v>
      </c>
      <c r="FG624" s="14">
        <f>INDEX(属性偏向!$U$4:$U$243,(卡牌属性!$DV624-1+FG$3)*20+卡牌属性!$DX624)</f>
        <v>1000</v>
      </c>
      <c r="FH624" s="14">
        <f>INDEX(属性投放!$BQ$6:$BQ$85,(卡牌属性!$DW624-2)*20+卡牌属性!$DX624)</f>
        <v>1500</v>
      </c>
      <c r="FI624" s="14">
        <f>INDEX(属性投放!$BQ$6:$BQ$85,(卡牌属性!$DW624-2)*20+卡牌属性!$DX624)</f>
        <v>1500</v>
      </c>
      <c r="FJ624" s="14">
        <f>INDEX(属性投放!$BQ$6:$BQ$85,(卡牌属性!$DW624-2)*20+卡牌属性!$DX624)</f>
        <v>1500</v>
      </c>
      <c r="FK624" s="14">
        <f>INDEX(属性投放!$BQ$6:$BQ$85,(卡牌属性!$DW624-2)*20+卡牌属性!$DX624)</f>
        <v>1500</v>
      </c>
      <c r="FL624" s="14">
        <f>INDEX(属性投放!$BQ$6:$BQ$85,(卡牌属性!$DW624-2)*20+卡牌属性!$DX624)</f>
        <v>1500</v>
      </c>
      <c r="FM624" s="14">
        <f>INDEX(属性投放!$BR$6:$BR$85,(卡牌属性!$DW624-2)*20+卡牌属性!$DX624)</f>
        <v>750</v>
      </c>
      <c r="FN624" s="14">
        <f>INDEX(属性投放!$BR$6:$BR$85,(卡牌属性!$DW624-2)*20+卡牌属性!$DX624)</f>
        <v>750</v>
      </c>
      <c r="FO624" s="14">
        <f>INDEX(属性投放!$BR$6:$BR$85,(卡牌属性!$DW624-2)*20+卡牌属性!$DX624)</f>
        <v>750</v>
      </c>
      <c r="FP624" s="14">
        <f>INDEX(属性投放!$BR$6:$BR$85,(卡牌属性!$DW624-2)*20+卡牌属性!$DX624)</f>
        <v>750</v>
      </c>
      <c r="FQ624" s="14">
        <f>INDEX(属性投放!$BR$6:$BR$85,(卡牌属性!$DW624-2)*20+卡牌属性!$DX624)</f>
        <v>750</v>
      </c>
      <c r="FR624" s="14">
        <f>INDEX(属性投放!$BS$6:$BS$85,(卡牌属性!$DW624-2)*20+卡牌属性!$DX624)</f>
        <v>15000</v>
      </c>
      <c r="FS624" s="14">
        <f>INDEX(属性投放!$BS$6:$BS$85,(卡牌属性!$DW624-2)*20+卡牌属性!$DX624)</f>
        <v>15000</v>
      </c>
      <c r="FT624" s="14">
        <f>INDEX(属性投放!$BS$6:$BS$85,(卡牌属性!$DW624-2)*20+卡牌属性!$DX624)</f>
        <v>15000</v>
      </c>
      <c r="FU624" s="14">
        <f>INDEX(属性投放!$BS$6:$BS$85,(卡牌属性!$DW624-2)*20+卡牌属性!$DX624)</f>
        <v>15000</v>
      </c>
      <c r="FV624" s="14">
        <f>INDEX(属性投放!$BS$6:$BS$85,(卡牌属性!$DW624-2)*20+卡牌属性!$DX624)</f>
        <v>15000</v>
      </c>
    </row>
    <row r="625" spans="31:178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>
        <v>621</v>
      </c>
      <c r="BX625" s="13">
        <f t="shared" si="981"/>
        <v>32</v>
      </c>
      <c r="BY625" s="14">
        <f t="shared" si="982"/>
        <v>5</v>
      </c>
      <c r="BZ625" s="14">
        <f t="shared" si="1005"/>
        <v>1102996</v>
      </c>
      <c r="CA625" s="14" t="str">
        <f t="shared" si="1006"/>
        <v>UR守护灵1突</v>
      </c>
      <c r="CB625" s="25" t="s">
        <v>142</v>
      </c>
      <c r="CC625" s="14">
        <v>2</v>
      </c>
      <c r="CD625" s="14">
        <f t="shared" si="1003"/>
        <v>1</v>
      </c>
      <c r="CE625" s="14" t="s">
        <v>21</v>
      </c>
      <c r="CF625" s="14">
        <f>INDEX(属性投放!$AZ$6:$AZ$85,(BY625-2)*20+CD625)</f>
        <v>300</v>
      </c>
      <c r="CG625" s="14" t="s">
        <v>22</v>
      </c>
      <c r="CH625" s="14">
        <f>INDEX(属性投放!$BA$6:$BA$85,(BY625-2)*20+CD625)</f>
        <v>50</v>
      </c>
      <c r="CI625" s="14" t="s">
        <v>510</v>
      </c>
      <c r="CJ625" s="14">
        <f>INDEX(属性投放!$BB$6:$BB$85,(BY625-2)*20+CD625)</f>
        <v>1200</v>
      </c>
      <c r="CK625" s="14" t="s">
        <v>21</v>
      </c>
      <c r="CL625" s="14">
        <f>INDEX(属性投放!$BC$6:$BC$85,(BY625-2)*20+CD625)</f>
        <v>15</v>
      </c>
      <c r="CM625" s="14" t="s">
        <v>22</v>
      </c>
      <c r="CN625" s="14">
        <f>INDEX(属性投放!$BD$6:$BD$85,(BY625-2)*20+CD625)</f>
        <v>8</v>
      </c>
      <c r="CO625" s="14" t="s">
        <v>510</v>
      </c>
      <c r="CP625" s="14">
        <f>INDEX(属性投放!$BE$6:$BE$85,(BY625-2)*20+CD625)</f>
        <v>90</v>
      </c>
      <c r="CS625" s="13">
        <v>621</v>
      </c>
      <c r="CT625" s="13">
        <f t="shared" si="1007"/>
        <v>12</v>
      </c>
      <c r="CU625" s="13">
        <f t="shared" si="1008"/>
        <v>49</v>
      </c>
      <c r="CV625" s="14">
        <f t="shared" si="1009"/>
        <v>5</v>
      </c>
      <c r="CW625" s="14">
        <f t="shared" si="1010"/>
        <v>1102012</v>
      </c>
      <c r="CX625" s="14" t="str">
        <f>INDEX($O$6:$O$50,CT625)&amp;"-"&amp;INDEX(属性投放!$AB$7:$AB$50,CZ625)&amp;"-魂火-"&amp;DB625</f>
        <v>夏侯惇-无间+1-魂火-1</v>
      </c>
      <c r="CY625" s="25" t="s">
        <v>142</v>
      </c>
      <c r="CZ625" s="14">
        <f>INDEX(属性投放!$AM$7:$AM$58,CU625)</f>
        <v>20</v>
      </c>
      <c r="DA625" s="14" t="s">
        <v>537</v>
      </c>
      <c r="DB625" s="14">
        <f>INDEX(属性投放!$AN$7:$AN$58,CU625)</f>
        <v>1</v>
      </c>
      <c r="DC625" s="14">
        <f t="shared" si="1004"/>
        <v>49</v>
      </c>
      <c r="DD625" s="14">
        <f>INDEX(属性投放!$AO$7:$AO$58,DC625)</f>
        <v>140</v>
      </c>
      <c r="DE625" s="14" t="s">
        <v>538</v>
      </c>
      <c r="DF625" s="14">
        <f>INDEX(属性投放!$BK$6:$BK$85,(CV625-2)*20+CZ625)</f>
        <v>1050</v>
      </c>
      <c r="DG625" s="14">
        <f>SUMIFS(DF$5:DF625,$CT$5:$CT625,"="&amp;$CT625)</f>
        <v>17219</v>
      </c>
      <c r="DH625" s="14" t="s">
        <v>539</v>
      </c>
      <c r="DI625" s="14">
        <f>INDEX(属性投放!$BL$6:$BL$85,(CV625-2)*20+CZ625)</f>
        <v>525</v>
      </c>
      <c r="DJ625" s="14">
        <f>SUMIFS(DI$5:DI625,$CT$5:$CT625,"="&amp;$CT625)</f>
        <v>8615</v>
      </c>
      <c r="DK625" s="14" t="s">
        <v>540</v>
      </c>
      <c r="DL625" s="14">
        <f>INDEX(属性投放!$BM$6:$BM$85,(CV625-2)*20+CZ625)</f>
        <v>10500</v>
      </c>
      <c r="DM625" s="14">
        <f>SUMIFS(DL$5:DL625,$CT$5:$CT625,"="&amp;$CT625)</f>
        <v>166602</v>
      </c>
      <c r="DR625" s="14">
        <f t="shared" si="983"/>
        <v>1102996</v>
      </c>
      <c r="DS625" s="14" t="str">
        <f t="shared" si="984"/>
        <v>UR守护灵1突</v>
      </c>
      <c r="DT625" s="14">
        <f t="shared" si="1011"/>
        <v>9</v>
      </c>
      <c r="DU625" s="14">
        <f t="shared" si="1012"/>
        <v>7</v>
      </c>
      <c r="DV625" s="14">
        <f t="shared" si="1013"/>
        <v>7</v>
      </c>
      <c r="DW625" s="14">
        <f t="shared" si="985"/>
        <v>5</v>
      </c>
      <c r="DX625" s="14">
        <f t="shared" si="986"/>
        <v>1</v>
      </c>
      <c r="DY625" s="14">
        <f t="shared" si="987"/>
        <v>61</v>
      </c>
      <c r="DZ625" s="14">
        <f>INDEX(属性投放!$AX$6:$AX$85,(卡牌属性!DW625-2)*20+卡牌属性!DX625)</f>
        <v>4</v>
      </c>
      <c r="EA625" s="14">
        <f>INDEX(属性投放!BQ$6:BQ$85,卡牌属性!$DY625)</f>
        <v>40</v>
      </c>
      <c r="EB625" s="14">
        <f>INDEX(属性投放!BR$6:BR$85,卡牌属性!$DY625)</f>
        <v>20</v>
      </c>
      <c r="EC625" s="14">
        <f>INDEX(属性投放!BS$6:BS$85,卡牌属性!$DY625)</f>
        <v>240</v>
      </c>
      <c r="ED625" s="14">
        <f>INDEX(属性偏向!$I$4:$I$15,卡牌属性!$DT625+ED$3)</f>
        <v>300</v>
      </c>
      <c r="EE625" s="14">
        <f>INDEX(属性偏向!$I$4:$I$15,卡牌属性!$DT625+EE$3)</f>
        <v>350</v>
      </c>
      <c r="EF625" s="14">
        <f>INDEX(属性偏向!$I$4:$I$15,卡牌属性!$DT625+EF$3)</f>
        <v>400</v>
      </c>
      <c r="EG625" s="14">
        <f>INDEX(属性偏向!$I$4:$I$15,卡牌属性!$DT625+EG$3)</f>
        <v>400</v>
      </c>
      <c r="EH625" s="14">
        <f>INDEX(属性偏向!$I$4:$I$15,卡牌属性!$DT625+EH$3)</f>
        <v>500</v>
      </c>
      <c r="EI625" s="14">
        <f>INDEX(属性偏向!$J$4:$J$15,卡牌属性!$DU625+EI$3)</f>
        <v>50</v>
      </c>
      <c r="EJ625" s="14">
        <f>INDEX(属性偏向!$J$4:$J$15,卡牌属性!$DU625+EJ$3)</f>
        <v>75</v>
      </c>
      <c r="EK625" s="14">
        <f>INDEX(属性偏向!$J$4:$J$15,卡牌属性!$DU625+EK$3)</f>
        <v>75</v>
      </c>
      <c r="EL625" s="14">
        <f>INDEX(属性偏向!$J$4:$J$15,卡牌属性!$DU625+EL$3)</f>
        <v>100</v>
      </c>
      <c r="EM625" s="14">
        <f>INDEX(属性偏向!$J$4:$J$15,卡牌属性!$DU625+EM$3)</f>
        <v>150</v>
      </c>
      <c r="EN625" s="14">
        <f>INDEX(属性偏向!$K$4:$K$15,卡牌属性!$DV625+EN$3)</f>
        <v>800</v>
      </c>
      <c r="EO625" s="14">
        <f>INDEX(属性偏向!$K$4:$K$15,卡牌属性!$DV625+EO$3)</f>
        <v>1000</v>
      </c>
      <c r="EP625" s="14">
        <f>INDEX(属性偏向!$K$4:$K$15,卡牌属性!$DV625+EP$3)</f>
        <v>1000</v>
      </c>
      <c r="EQ625" s="14">
        <f>INDEX(属性偏向!$K$4:$K$15,卡牌属性!$DV625+EQ$3)</f>
        <v>1200</v>
      </c>
      <c r="ER625" s="14">
        <f>INDEX(属性偏向!$K$4:$K$15,卡牌属性!$DV625+ER$3)</f>
        <v>1500</v>
      </c>
      <c r="ES625" s="14">
        <f>INDEX(属性偏向!$S$4:$S$243,(卡牌属性!$DT625-1+ES$3)*20+卡牌属性!$DX625)</f>
        <v>15</v>
      </c>
      <c r="ET625" s="14">
        <f>INDEX(属性偏向!$S$4:$S$243,(卡牌属性!$DT625-1+ET$3)*20+卡牌属性!$DX625)</f>
        <v>20</v>
      </c>
      <c r="EU625" s="14">
        <f>INDEX(属性偏向!$S$4:$S$243,(卡牌属性!$DT625-1+EU$3)*20+卡牌属性!$DX625)</f>
        <v>25</v>
      </c>
      <c r="EV625" s="14">
        <f>INDEX(属性偏向!$S$4:$S$243,(卡牌属性!$DT625-1+EV$3)*20+卡牌属性!$DX625)</f>
        <v>25</v>
      </c>
      <c r="EW625" s="14">
        <f>INDEX(属性偏向!$S$4:$S$243,(卡牌属性!$DT625-1+EW$3)*20+卡牌属性!$DX625)</f>
        <v>30</v>
      </c>
      <c r="EX625" s="14">
        <f>INDEX(属性偏向!$T$4:$T$243,(卡牌属性!$DU625-1+EX$3)*20+卡牌属性!$DX625)</f>
        <v>6</v>
      </c>
      <c r="EY625" s="14">
        <f>INDEX(属性偏向!$T$4:$T$243,(卡牌属性!$DU625-1+EY$3)*20+卡牌属性!$DX625)</f>
        <v>7</v>
      </c>
      <c r="EZ625" s="14">
        <f>INDEX(属性偏向!$T$4:$T$243,(卡牌属性!$DU625-1+EZ$3)*20+卡牌属性!$DX625)</f>
        <v>7</v>
      </c>
      <c r="FA625" s="14">
        <f>INDEX(属性偏向!$T$4:$T$243,(卡牌属性!$DU625-1+FA$3)*20+卡牌属性!$DX625)</f>
        <v>8</v>
      </c>
      <c r="FB625" s="14">
        <f>INDEX(属性偏向!$T$4:$T$243,(卡牌属性!$DU625-1+FB$3)*20+卡牌属性!$DX625)</f>
        <v>10</v>
      </c>
      <c r="FC625" s="14">
        <f>INDEX(属性偏向!$U$4:$U$243,(卡牌属性!$DV625-1+FC$3)*20+卡牌属性!$DX625)</f>
        <v>72</v>
      </c>
      <c r="FD625" s="14">
        <f>INDEX(属性偏向!$U$4:$U$243,(卡牌属性!$DV625-1+FD$3)*20+卡牌属性!$DX625)</f>
        <v>78</v>
      </c>
      <c r="FE625" s="14">
        <f>INDEX(属性偏向!$U$4:$U$243,(卡牌属性!$DV625-1+FE$3)*20+卡牌属性!$DX625)</f>
        <v>78</v>
      </c>
      <c r="FF625" s="14">
        <f>INDEX(属性偏向!$U$4:$U$243,(卡牌属性!$DV625-1+FF$3)*20+卡牌属性!$DX625)</f>
        <v>90</v>
      </c>
      <c r="FG625" s="14">
        <f>INDEX(属性偏向!$U$4:$U$243,(卡牌属性!$DV625-1+FG$3)*20+卡牌属性!$DX625)</f>
        <v>120</v>
      </c>
      <c r="FH625" s="14">
        <f>INDEX(属性投放!$BQ$6:$BQ$85,(卡牌属性!$DW625-2)*20+卡牌属性!$DX625)</f>
        <v>40</v>
      </c>
      <c r="FI625" s="14">
        <f>INDEX(属性投放!$BQ$6:$BQ$85,(卡牌属性!$DW625-2)*20+卡牌属性!$DX625)</f>
        <v>40</v>
      </c>
      <c r="FJ625" s="14">
        <f>INDEX(属性投放!$BQ$6:$BQ$85,(卡牌属性!$DW625-2)*20+卡牌属性!$DX625)</f>
        <v>40</v>
      </c>
      <c r="FK625" s="14">
        <f>INDEX(属性投放!$BQ$6:$BQ$85,(卡牌属性!$DW625-2)*20+卡牌属性!$DX625)</f>
        <v>40</v>
      </c>
      <c r="FL625" s="14">
        <f>INDEX(属性投放!$BQ$6:$BQ$85,(卡牌属性!$DW625-2)*20+卡牌属性!$DX625)</f>
        <v>40</v>
      </c>
      <c r="FM625" s="14">
        <f>INDEX(属性投放!$BR$6:$BR$85,(卡牌属性!$DW625-2)*20+卡牌属性!$DX625)</f>
        <v>20</v>
      </c>
      <c r="FN625" s="14">
        <f>INDEX(属性投放!$BR$6:$BR$85,(卡牌属性!$DW625-2)*20+卡牌属性!$DX625)</f>
        <v>20</v>
      </c>
      <c r="FO625" s="14">
        <f>INDEX(属性投放!$BR$6:$BR$85,(卡牌属性!$DW625-2)*20+卡牌属性!$DX625)</f>
        <v>20</v>
      </c>
      <c r="FP625" s="14">
        <f>INDEX(属性投放!$BR$6:$BR$85,(卡牌属性!$DW625-2)*20+卡牌属性!$DX625)</f>
        <v>20</v>
      </c>
      <c r="FQ625" s="14">
        <f>INDEX(属性投放!$BR$6:$BR$85,(卡牌属性!$DW625-2)*20+卡牌属性!$DX625)</f>
        <v>20</v>
      </c>
      <c r="FR625" s="14">
        <f>INDEX(属性投放!$BS$6:$BS$85,(卡牌属性!$DW625-2)*20+卡牌属性!$DX625)</f>
        <v>240</v>
      </c>
      <c r="FS625" s="14">
        <f>INDEX(属性投放!$BS$6:$BS$85,(卡牌属性!$DW625-2)*20+卡牌属性!$DX625)</f>
        <v>240</v>
      </c>
      <c r="FT625" s="14">
        <f>INDEX(属性投放!$BS$6:$BS$85,(卡牌属性!$DW625-2)*20+卡牌属性!$DX625)</f>
        <v>240</v>
      </c>
      <c r="FU625" s="14">
        <f>INDEX(属性投放!$BS$6:$BS$85,(卡牌属性!$DW625-2)*20+卡牌属性!$DX625)</f>
        <v>240</v>
      </c>
      <c r="FV625" s="14">
        <f>INDEX(属性投放!$BS$6:$BS$85,(卡牌属性!$DW625-2)*20+卡牌属性!$DX625)</f>
        <v>240</v>
      </c>
    </row>
    <row r="626" spans="31:178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>
        <v>622</v>
      </c>
      <c r="BX626" s="13">
        <f t="shared" si="981"/>
        <v>32</v>
      </c>
      <c r="BY626" s="14">
        <f t="shared" si="982"/>
        <v>5</v>
      </c>
      <c r="BZ626" s="14">
        <f t="shared" si="1005"/>
        <v>1102996</v>
      </c>
      <c r="CA626" s="14" t="str">
        <f t="shared" si="1006"/>
        <v>UR守护灵2突</v>
      </c>
      <c r="CB626" s="25" t="s">
        <v>142</v>
      </c>
      <c r="CC626" s="14">
        <v>2</v>
      </c>
      <c r="CD626" s="14">
        <f t="shared" si="1003"/>
        <v>2</v>
      </c>
      <c r="CE626" s="14" t="s">
        <v>21</v>
      </c>
      <c r="CF626" s="14">
        <f>INDEX(属性投放!$AZ$6:$AZ$85,(BY626-2)*20+CD626)</f>
        <v>435</v>
      </c>
      <c r="CG626" s="14" t="s">
        <v>22</v>
      </c>
      <c r="CH626" s="14">
        <f>INDEX(属性投放!$BA$6:$BA$85,(BY626-2)*20+CD626)</f>
        <v>120</v>
      </c>
      <c r="CI626" s="14" t="s">
        <v>510</v>
      </c>
      <c r="CJ626" s="14">
        <f>INDEX(属性投放!$BB$6:$BB$85,(BY626-2)*20+CD626)</f>
        <v>2010</v>
      </c>
      <c r="CK626" s="14" t="s">
        <v>21</v>
      </c>
      <c r="CL626" s="14">
        <f>INDEX(属性投放!$BC$6:$BC$85,(BY626-2)*20+CD626)</f>
        <v>20</v>
      </c>
      <c r="CM626" s="14" t="s">
        <v>22</v>
      </c>
      <c r="CN626" s="14">
        <f>INDEX(属性投放!$BD$6:$BD$85,(BY626-2)*20+CD626)</f>
        <v>10</v>
      </c>
      <c r="CO626" s="14" t="s">
        <v>510</v>
      </c>
      <c r="CP626" s="14">
        <f>INDEX(属性投放!$BE$6:$BE$85,(BY626-2)*20+CD626)</f>
        <v>120</v>
      </c>
      <c r="CS626" s="13">
        <v>622</v>
      </c>
      <c r="CT626" s="13">
        <f t="shared" si="1007"/>
        <v>12</v>
      </c>
      <c r="CU626" s="13">
        <f t="shared" si="1008"/>
        <v>50</v>
      </c>
      <c r="CV626" s="14">
        <f t="shared" si="1009"/>
        <v>5</v>
      </c>
      <c r="CW626" s="14">
        <f t="shared" si="1010"/>
        <v>1102012</v>
      </c>
      <c r="CX626" s="14" t="str">
        <f>INDEX($O$6:$O$50,CT626)&amp;"-"&amp;INDEX(属性投放!$AB$7:$AB$50,CZ626)&amp;"-魂火-"&amp;DB626</f>
        <v>夏侯惇-无间+1-魂火-2</v>
      </c>
      <c r="CY626" s="25" t="s">
        <v>142</v>
      </c>
      <c r="CZ626" s="14">
        <f>INDEX(属性投放!$AM$7:$AM$58,CU626)</f>
        <v>20</v>
      </c>
      <c r="DA626" s="14" t="s">
        <v>537</v>
      </c>
      <c r="DB626" s="14">
        <f>INDEX(属性投放!$AN$7:$AN$58,CU626)</f>
        <v>2</v>
      </c>
      <c r="DC626" s="14">
        <f t="shared" si="1004"/>
        <v>50</v>
      </c>
      <c r="DD626" s="14">
        <f>INDEX(属性投放!$AO$7:$AO$58,DC626)</f>
        <v>143</v>
      </c>
      <c r="DE626" s="14" t="s">
        <v>538</v>
      </c>
      <c r="DF626" s="14">
        <f>INDEX(属性投放!$BK$6:$BK$85,(CV626-2)*20+CZ626)</f>
        <v>1050</v>
      </c>
      <c r="DG626" s="14">
        <f>SUMIFS(DF$5:DF626,$CT$5:$CT626,"="&amp;$CT626)</f>
        <v>18269</v>
      </c>
      <c r="DH626" s="14" t="s">
        <v>539</v>
      </c>
      <c r="DI626" s="14">
        <f>INDEX(属性投放!$BL$6:$BL$85,(CV626-2)*20+CZ626)</f>
        <v>525</v>
      </c>
      <c r="DJ626" s="14">
        <f>SUMIFS(DI$5:DI626,$CT$5:$CT626,"="&amp;$CT626)</f>
        <v>9140</v>
      </c>
      <c r="DK626" s="14" t="s">
        <v>540</v>
      </c>
      <c r="DL626" s="14">
        <f>INDEX(属性投放!$BM$6:$BM$85,(CV626-2)*20+CZ626)</f>
        <v>10500</v>
      </c>
      <c r="DM626" s="14">
        <f>SUMIFS(DL$5:DL626,$CT$5:$CT626,"="&amp;$CT626)</f>
        <v>177102</v>
      </c>
      <c r="DR626" s="14">
        <f t="shared" si="983"/>
        <v>1102996</v>
      </c>
      <c r="DS626" s="14" t="str">
        <f t="shared" si="984"/>
        <v>UR守护灵2突</v>
      </c>
      <c r="DT626" s="14">
        <f t="shared" si="1011"/>
        <v>9</v>
      </c>
      <c r="DU626" s="14">
        <f t="shared" si="1012"/>
        <v>7</v>
      </c>
      <c r="DV626" s="14">
        <f t="shared" si="1013"/>
        <v>7</v>
      </c>
      <c r="DW626" s="14">
        <f t="shared" si="985"/>
        <v>5</v>
      </c>
      <c r="DX626" s="14">
        <f t="shared" si="986"/>
        <v>2</v>
      </c>
      <c r="DY626" s="14">
        <f t="shared" si="987"/>
        <v>62</v>
      </c>
      <c r="DZ626" s="14">
        <f>INDEX(属性投放!$AX$6:$AX$85,(卡牌属性!DW626-2)*20+卡牌属性!DX626)</f>
        <v>10</v>
      </c>
      <c r="EA626" s="14">
        <f>INDEX(属性投放!BQ$6:BQ$85,卡牌属性!$DY626)</f>
        <v>50</v>
      </c>
      <c r="EB626" s="14">
        <f>INDEX(属性投放!BR$6:BR$85,卡牌属性!$DY626)</f>
        <v>25</v>
      </c>
      <c r="EC626" s="14">
        <f>INDEX(属性投放!BS$6:BS$85,卡牌属性!$DY626)</f>
        <v>300</v>
      </c>
      <c r="ED626" s="14">
        <f t="shared" ref="ED626:ED644" si="1044">ED625+$EA625+ES625*$DZ625</f>
        <v>400</v>
      </c>
      <c r="EE626" s="14">
        <f t="shared" ref="EE626:EE644" si="1045">EE625+$EA625+ET625*$DZ625</f>
        <v>470</v>
      </c>
      <c r="EF626" s="14">
        <f t="shared" ref="EF626:EF644" si="1046">EF625+$EA625+EU625*$DZ625</f>
        <v>540</v>
      </c>
      <c r="EG626" s="14">
        <f t="shared" ref="EG626:EG644" si="1047">EG625+$EA625+EV625*$DZ625</f>
        <v>540</v>
      </c>
      <c r="EH626" s="14">
        <f t="shared" ref="EH626:EH644" si="1048">EH625+$EA625+EW625*$DZ625</f>
        <v>660</v>
      </c>
      <c r="EI626" s="14">
        <f t="shared" ref="EI626:EI644" si="1049">EI625+$EB625+EX625*$DZ625</f>
        <v>94</v>
      </c>
      <c r="EJ626" s="14">
        <f t="shared" ref="EJ626:EJ644" si="1050">EJ625+$EB625+EY625*$DZ625</f>
        <v>123</v>
      </c>
      <c r="EK626" s="14">
        <f t="shared" ref="EK626:EK644" si="1051">EK625+$EB625+EZ625*$DZ625</f>
        <v>123</v>
      </c>
      <c r="EL626" s="14">
        <f t="shared" ref="EL626:EL644" si="1052">EL625+$EB625+FA625*$DZ625</f>
        <v>152</v>
      </c>
      <c r="EM626" s="14">
        <f t="shared" ref="EM626:EM644" si="1053">EM625+$EB625+FB625*$DZ625</f>
        <v>210</v>
      </c>
      <c r="EN626" s="14">
        <f t="shared" ref="EN626:EN644" si="1054">EN625+$EC625+FC625*$DZ625</f>
        <v>1328</v>
      </c>
      <c r="EO626" s="14">
        <f t="shared" ref="EO626:EO644" si="1055">EO625+$EC625+FD625*$DZ625</f>
        <v>1552</v>
      </c>
      <c r="EP626" s="14">
        <f t="shared" ref="EP626:EP644" si="1056">EP625+$EC625+FE625*$DZ625</f>
        <v>1552</v>
      </c>
      <c r="EQ626" s="14">
        <f t="shared" ref="EQ626:EQ644" si="1057">EQ625+$EC625+FF625*$DZ625</f>
        <v>1800</v>
      </c>
      <c r="ER626" s="14">
        <f t="shared" ref="ER626:ER644" si="1058">ER625+$EC625+FG625*$DZ625</f>
        <v>2220</v>
      </c>
      <c r="ES626" s="14">
        <f>INDEX(属性偏向!$S$4:$S$243,(卡牌属性!$DT626-1+ES$3)*20+卡牌属性!$DX626)</f>
        <v>20</v>
      </c>
      <c r="ET626" s="14">
        <f>INDEX(属性偏向!$S$4:$S$243,(卡牌属性!$DT626-1+ET$3)*20+卡牌属性!$DX626)</f>
        <v>25</v>
      </c>
      <c r="EU626" s="14">
        <f>INDEX(属性偏向!$S$4:$S$243,(卡牌属性!$DT626-1+EU$3)*20+卡牌属性!$DX626)</f>
        <v>30</v>
      </c>
      <c r="EV626" s="14">
        <f>INDEX(属性偏向!$S$4:$S$243,(卡牌属性!$DT626-1+EV$3)*20+卡牌属性!$DX626)</f>
        <v>30</v>
      </c>
      <c r="EW626" s="14">
        <f>INDEX(属性偏向!$S$4:$S$243,(卡牌属性!$DT626-1+EW$3)*20+卡牌属性!$DX626)</f>
        <v>40</v>
      </c>
      <c r="EX626" s="14">
        <f>INDEX(属性偏向!$T$4:$T$243,(卡牌属性!$DU626-1+EX$3)*20+卡牌属性!$DX626)</f>
        <v>8</v>
      </c>
      <c r="EY626" s="14">
        <f>INDEX(属性偏向!$T$4:$T$243,(卡牌属性!$DU626-1+EY$3)*20+卡牌属性!$DX626)</f>
        <v>9</v>
      </c>
      <c r="EZ626" s="14">
        <f>INDEX(属性偏向!$T$4:$T$243,(卡牌属性!$DU626-1+EZ$3)*20+卡牌属性!$DX626)</f>
        <v>9</v>
      </c>
      <c r="FA626" s="14">
        <f>INDEX(属性偏向!$T$4:$T$243,(卡牌属性!$DU626-1+FA$3)*20+卡牌属性!$DX626)</f>
        <v>10</v>
      </c>
      <c r="FB626" s="14">
        <f>INDEX(属性偏向!$T$4:$T$243,(卡牌属性!$DU626-1+FB$3)*20+卡牌属性!$DX626)</f>
        <v>13</v>
      </c>
      <c r="FC626" s="14">
        <f>INDEX(属性偏向!$U$4:$U$243,(卡牌属性!$DV626-1+FC$3)*20+卡牌属性!$DX626)</f>
        <v>90</v>
      </c>
      <c r="FD626" s="14">
        <f>INDEX(属性偏向!$U$4:$U$243,(卡牌属性!$DV626-1+FD$3)*20+卡牌属性!$DX626)</f>
        <v>102</v>
      </c>
      <c r="FE626" s="14">
        <f>INDEX(属性偏向!$U$4:$U$243,(卡牌属性!$DV626-1+FE$3)*20+卡牌属性!$DX626)</f>
        <v>102</v>
      </c>
      <c r="FF626" s="14">
        <f>INDEX(属性偏向!$U$4:$U$243,(卡牌属性!$DV626-1+FF$3)*20+卡牌属性!$DX626)</f>
        <v>120</v>
      </c>
      <c r="FG626" s="14">
        <f>INDEX(属性偏向!$U$4:$U$243,(卡牌属性!$DV626-1+FG$3)*20+卡牌属性!$DX626)</f>
        <v>150</v>
      </c>
      <c r="FH626" s="14">
        <f>INDEX(属性投放!$BQ$6:$BQ$85,(卡牌属性!$DW626-2)*20+卡牌属性!$DX626)</f>
        <v>50</v>
      </c>
      <c r="FI626" s="14">
        <f>INDEX(属性投放!$BQ$6:$BQ$85,(卡牌属性!$DW626-2)*20+卡牌属性!$DX626)</f>
        <v>50</v>
      </c>
      <c r="FJ626" s="14">
        <f>INDEX(属性投放!$BQ$6:$BQ$85,(卡牌属性!$DW626-2)*20+卡牌属性!$DX626)</f>
        <v>50</v>
      </c>
      <c r="FK626" s="14">
        <f>INDEX(属性投放!$BQ$6:$BQ$85,(卡牌属性!$DW626-2)*20+卡牌属性!$DX626)</f>
        <v>50</v>
      </c>
      <c r="FL626" s="14">
        <f>INDEX(属性投放!$BQ$6:$BQ$85,(卡牌属性!$DW626-2)*20+卡牌属性!$DX626)</f>
        <v>50</v>
      </c>
      <c r="FM626" s="14">
        <f>INDEX(属性投放!$BR$6:$BR$85,(卡牌属性!$DW626-2)*20+卡牌属性!$DX626)</f>
        <v>25</v>
      </c>
      <c r="FN626" s="14">
        <f>INDEX(属性投放!$BR$6:$BR$85,(卡牌属性!$DW626-2)*20+卡牌属性!$DX626)</f>
        <v>25</v>
      </c>
      <c r="FO626" s="14">
        <f>INDEX(属性投放!$BR$6:$BR$85,(卡牌属性!$DW626-2)*20+卡牌属性!$DX626)</f>
        <v>25</v>
      </c>
      <c r="FP626" s="14">
        <f>INDEX(属性投放!$BR$6:$BR$85,(卡牌属性!$DW626-2)*20+卡牌属性!$DX626)</f>
        <v>25</v>
      </c>
      <c r="FQ626" s="14">
        <f>INDEX(属性投放!$BR$6:$BR$85,(卡牌属性!$DW626-2)*20+卡牌属性!$DX626)</f>
        <v>25</v>
      </c>
      <c r="FR626" s="14">
        <f>INDEX(属性投放!$BS$6:$BS$85,(卡牌属性!$DW626-2)*20+卡牌属性!$DX626)</f>
        <v>300</v>
      </c>
      <c r="FS626" s="14">
        <f>INDEX(属性投放!$BS$6:$BS$85,(卡牌属性!$DW626-2)*20+卡牌属性!$DX626)</f>
        <v>300</v>
      </c>
      <c r="FT626" s="14">
        <f>INDEX(属性投放!$BS$6:$BS$85,(卡牌属性!$DW626-2)*20+卡牌属性!$DX626)</f>
        <v>300</v>
      </c>
      <c r="FU626" s="14">
        <f>INDEX(属性投放!$BS$6:$BS$85,(卡牌属性!$DW626-2)*20+卡牌属性!$DX626)</f>
        <v>300</v>
      </c>
      <c r="FV626" s="14">
        <f>INDEX(属性投放!$BS$6:$BS$85,(卡牌属性!$DW626-2)*20+卡牌属性!$DX626)</f>
        <v>300</v>
      </c>
    </row>
    <row r="627" spans="31:178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>
        <v>623</v>
      </c>
      <c r="BX627" s="13">
        <f t="shared" si="981"/>
        <v>32</v>
      </c>
      <c r="BY627" s="14">
        <f t="shared" si="982"/>
        <v>5</v>
      </c>
      <c r="BZ627" s="14">
        <f t="shared" si="1005"/>
        <v>1102996</v>
      </c>
      <c r="CA627" s="14" t="str">
        <f t="shared" si="1006"/>
        <v>UR守护灵3突</v>
      </c>
      <c r="CB627" s="25" t="s">
        <v>142</v>
      </c>
      <c r="CC627" s="14">
        <v>2</v>
      </c>
      <c r="CD627" s="14">
        <f t="shared" si="1003"/>
        <v>3</v>
      </c>
      <c r="CE627" s="14" t="s">
        <v>21</v>
      </c>
      <c r="CF627" s="14">
        <f>INDEX(属性投放!$AZ$6:$AZ$85,(BY627-2)*20+CD627)</f>
        <v>765</v>
      </c>
      <c r="CG627" s="14" t="s">
        <v>22</v>
      </c>
      <c r="CH627" s="14">
        <f>INDEX(属性投放!$BA$6:$BA$85,(BY627-2)*20+CD627)</f>
        <v>285</v>
      </c>
      <c r="CI627" s="14" t="s">
        <v>510</v>
      </c>
      <c r="CJ627" s="14">
        <f>INDEX(属性投放!$BB$6:$BB$85,(BY627-2)*20+CD627)</f>
        <v>3990</v>
      </c>
      <c r="CK627" s="14" t="s">
        <v>21</v>
      </c>
      <c r="CL627" s="14">
        <f>INDEX(属性投放!$BC$6:$BC$85,(BY627-2)*20+CD627)</f>
        <v>20</v>
      </c>
      <c r="CM627" s="14" t="s">
        <v>22</v>
      </c>
      <c r="CN627" s="14">
        <f>INDEX(属性投放!$BD$6:$BD$85,(BY627-2)*20+CD627)</f>
        <v>10</v>
      </c>
      <c r="CO627" s="14" t="s">
        <v>510</v>
      </c>
      <c r="CP627" s="14">
        <f>INDEX(属性投放!$BE$6:$BE$85,(BY627-2)*20+CD627)</f>
        <v>120</v>
      </c>
      <c r="CS627" s="13">
        <v>623</v>
      </c>
      <c r="CT627" s="13">
        <f t="shared" si="1007"/>
        <v>12</v>
      </c>
      <c r="CU627" s="13">
        <f t="shared" si="1008"/>
        <v>51</v>
      </c>
      <c r="CV627" s="14">
        <f t="shared" si="1009"/>
        <v>5</v>
      </c>
      <c r="CW627" s="14">
        <f t="shared" si="1010"/>
        <v>1102012</v>
      </c>
      <c r="CX627" s="14" t="str">
        <f>INDEX($O$6:$O$50,CT627)&amp;"-"&amp;INDEX(属性投放!$AB$7:$AB$50,CZ627)&amp;"-魂火-"&amp;DB627</f>
        <v>夏侯惇-无间+1-魂火-3</v>
      </c>
      <c r="CY627" s="25" t="s">
        <v>142</v>
      </c>
      <c r="CZ627" s="14">
        <f>INDEX(属性投放!$AM$7:$AM$58,CU627)</f>
        <v>20</v>
      </c>
      <c r="DA627" s="14" t="s">
        <v>537</v>
      </c>
      <c r="DB627" s="14">
        <f>INDEX(属性投放!$AN$7:$AN$58,CU627)</f>
        <v>3</v>
      </c>
      <c r="DC627" s="14">
        <f t="shared" si="1004"/>
        <v>51</v>
      </c>
      <c r="DD627" s="14">
        <f>INDEX(属性投放!$AO$7:$AO$58,DC627)</f>
        <v>145</v>
      </c>
      <c r="DE627" s="14" t="s">
        <v>538</v>
      </c>
      <c r="DF627" s="14">
        <f>INDEX(属性投放!$BK$6:$BK$85,(CV627-2)*20+CZ627)</f>
        <v>1050</v>
      </c>
      <c r="DG627" s="14">
        <f>SUMIFS(DF$5:DF627,$CT$5:$CT627,"="&amp;$CT627)</f>
        <v>19319</v>
      </c>
      <c r="DH627" s="14" t="s">
        <v>539</v>
      </c>
      <c r="DI627" s="14">
        <f>INDEX(属性投放!$BL$6:$BL$85,(CV627-2)*20+CZ627)</f>
        <v>525</v>
      </c>
      <c r="DJ627" s="14">
        <f>SUMIFS(DI$5:DI627,$CT$5:$CT627,"="&amp;$CT627)</f>
        <v>9665</v>
      </c>
      <c r="DK627" s="14" t="s">
        <v>540</v>
      </c>
      <c r="DL627" s="14">
        <f>INDEX(属性投放!$BM$6:$BM$85,(CV627-2)*20+CZ627)</f>
        <v>10500</v>
      </c>
      <c r="DM627" s="14">
        <f>SUMIFS(DL$5:DL627,$CT$5:$CT627,"="&amp;$CT627)</f>
        <v>187602</v>
      </c>
      <c r="DR627" s="14">
        <f t="shared" si="983"/>
        <v>1102996</v>
      </c>
      <c r="DS627" s="14" t="str">
        <f t="shared" si="984"/>
        <v>UR守护灵3突</v>
      </c>
      <c r="DT627" s="14">
        <f t="shared" si="1011"/>
        <v>9</v>
      </c>
      <c r="DU627" s="14">
        <f t="shared" si="1012"/>
        <v>7</v>
      </c>
      <c r="DV627" s="14">
        <f t="shared" si="1013"/>
        <v>7</v>
      </c>
      <c r="DW627" s="14">
        <f t="shared" si="985"/>
        <v>5</v>
      </c>
      <c r="DX627" s="14">
        <f t="shared" si="986"/>
        <v>3</v>
      </c>
      <c r="DY627" s="14">
        <f t="shared" si="987"/>
        <v>63</v>
      </c>
      <c r="DZ627" s="14">
        <f>INDEX(属性投放!$AX$6:$AX$85,(卡牌属性!DW627-2)*20+卡牌属性!DX627)</f>
        <v>10</v>
      </c>
      <c r="EA627" s="14">
        <f>INDEX(属性投放!BQ$6:BQ$85,卡牌属性!$DY627)</f>
        <v>85</v>
      </c>
      <c r="EB627" s="14">
        <f>INDEX(属性投放!BR$6:BR$85,卡牌属性!$DY627)</f>
        <v>43</v>
      </c>
      <c r="EC627" s="14">
        <f>INDEX(属性投放!BS$6:BS$85,卡牌属性!$DY627)</f>
        <v>510</v>
      </c>
      <c r="ED627" s="14">
        <f t="shared" si="1044"/>
        <v>650</v>
      </c>
      <c r="EE627" s="14">
        <f t="shared" si="1045"/>
        <v>770</v>
      </c>
      <c r="EF627" s="14">
        <f t="shared" si="1046"/>
        <v>890</v>
      </c>
      <c r="EG627" s="14">
        <f t="shared" si="1047"/>
        <v>890</v>
      </c>
      <c r="EH627" s="14">
        <f t="shared" si="1048"/>
        <v>1110</v>
      </c>
      <c r="EI627" s="14">
        <f t="shared" si="1049"/>
        <v>199</v>
      </c>
      <c r="EJ627" s="14">
        <f t="shared" si="1050"/>
        <v>238</v>
      </c>
      <c r="EK627" s="14">
        <f t="shared" si="1051"/>
        <v>238</v>
      </c>
      <c r="EL627" s="14">
        <f t="shared" si="1052"/>
        <v>277</v>
      </c>
      <c r="EM627" s="14">
        <f t="shared" si="1053"/>
        <v>365</v>
      </c>
      <c r="EN627" s="14">
        <f t="shared" si="1054"/>
        <v>2528</v>
      </c>
      <c r="EO627" s="14">
        <f t="shared" si="1055"/>
        <v>2872</v>
      </c>
      <c r="EP627" s="14">
        <f t="shared" si="1056"/>
        <v>2872</v>
      </c>
      <c r="EQ627" s="14">
        <f t="shared" si="1057"/>
        <v>3300</v>
      </c>
      <c r="ER627" s="14">
        <f t="shared" si="1058"/>
        <v>4020</v>
      </c>
      <c r="ES627" s="14">
        <f>INDEX(属性偏向!$S$4:$S$243,(卡牌属性!$DT627-1+ES$3)*20+卡牌属性!$DX627)</f>
        <v>20</v>
      </c>
      <c r="ET627" s="14">
        <f>INDEX(属性偏向!$S$4:$S$243,(卡牌属性!$DT627-1+ET$3)*20+卡牌属性!$DX627)</f>
        <v>25</v>
      </c>
      <c r="EU627" s="14">
        <f>INDEX(属性偏向!$S$4:$S$243,(卡牌属性!$DT627-1+EU$3)*20+卡牌属性!$DX627)</f>
        <v>30</v>
      </c>
      <c r="EV627" s="14">
        <f>INDEX(属性偏向!$S$4:$S$243,(卡牌属性!$DT627-1+EV$3)*20+卡牌属性!$DX627)</f>
        <v>30</v>
      </c>
      <c r="EW627" s="14">
        <f>INDEX(属性偏向!$S$4:$S$243,(卡牌属性!$DT627-1+EW$3)*20+卡牌属性!$DX627)</f>
        <v>40</v>
      </c>
      <c r="EX627" s="14">
        <f>INDEX(属性偏向!$T$4:$T$243,(卡牌属性!$DU627-1+EX$3)*20+卡牌属性!$DX627)</f>
        <v>8</v>
      </c>
      <c r="EY627" s="14">
        <f>INDEX(属性偏向!$T$4:$T$243,(卡牌属性!$DU627-1+EY$3)*20+卡牌属性!$DX627)</f>
        <v>9</v>
      </c>
      <c r="EZ627" s="14">
        <f>INDEX(属性偏向!$T$4:$T$243,(卡牌属性!$DU627-1+EZ$3)*20+卡牌属性!$DX627)</f>
        <v>9</v>
      </c>
      <c r="FA627" s="14">
        <f>INDEX(属性偏向!$T$4:$T$243,(卡牌属性!$DU627-1+FA$3)*20+卡牌属性!$DX627)</f>
        <v>10</v>
      </c>
      <c r="FB627" s="14">
        <f>INDEX(属性偏向!$T$4:$T$243,(卡牌属性!$DU627-1+FB$3)*20+卡牌属性!$DX627)</f>
        <v>13</v>
      </c>
      <c r="FC627" s="14">
        <f>INDEX(属性偏向!$U$4:$U$243,(卡牌属性!$DV627-1+FC$3)*20+卡牌属性!$DX627)</f>
        <v>90</v>
      </c>
      <c r="FD627" s="14">
        <f>INDEX(属性偏向!$U$4:$U$243,(卡牌属性!$DV627-1+FD$3)*20+卡牌属性!$DX627)</f>
        <v>102</v>
      </c>
      <c r="FE627" s="14">
        <f>INDEX(属性偏向!$U$4:$U$243,(卡牌属性!$DV627-1+FE$3)*20+卡牌属性!$DX627)</f>
        <v>102</v>
      </c>
      <c r="FF627" s="14">
        <f>INDEX(属性偏向!$U$4:$U$243,(卡牌属性!$DV627-1+FF$3)*20+卡牌属性!$DX627)</f>
        <v>120</v>
      </c>
      <c r="FG627" s="14">
        <f>INDEX(属性偏向!$U$4:$U$243,(卡牌属性!$DV627-1+FG$3)*20+卡牌属性!$DX627)</f>
        <v>150</v>
      </c>
      <c r="FH627" s="14">
        <f>INDEX(属性投放!$BQ$6:$BQ$85,(卡牌属性!$DW627-2)*20+卡牌属性!$DX627)</f>
        <v>85</v>
      </c>
      <c r="FI627" s="14">
        <f>INDEX(属性投放!$BQ$6:$BQ$85,(卡牌属性!$DW627-2)*20+卡牌属性!$DX627)</f>
        <v>85</v>
      </c>
      <c r="FJ627" s="14">
        <f>INDEX(属性投放!$BQ$6:$BQ$85,(卡牌属性!$DW627-2)*20+卡牌属性!$DX627)</f>
        <v>85</v>
      </c>
      <c r="FK627" s="14">
        <f>INDEX(属性投放!$BQ$6:$BQ$85,(卡牌属性!$DW627-2)*20+卡牌属性!$DX627)</f>
        <v>85</v>
      </c>
      <c r="FL627" s="14">
        <f>INDEX(属性投放!$BQ$6:$BQ$85,(卡牌属性!$DW627-2)*20+卡牌属性!$DX627)</f>
        <v>85</v>
      </c>
      <c r="FM627" s="14">
        <f>INDEX(属性投放!$BR$6:$BR$85,(卡牌属性!$DW627-2)*20+卡牌属性!$DX627)</f>
        <v>43</v>
      </c>
      <c r="FN627" s="14">
        <f>INDEX(属性投放!$BR$6:$BR$85,(卡牌属性!$DW627-2)*20+卡牌属性!$DX627)</f>
        <v>43</v>
      </c>
      <c r="FO627" s="14">
        <f>INDEX(属性投放!$BR$6:$BR$85,(卡牌属性!$DW627-2)*20+卡牌属性!$DX627)</f>
        <v>43</v>
      </c>
      <c r="FP627" s="14">
        <f>INDEX(属性投放!$BR$6:$BR$85,(卡牌属性!$DW627-2)*20+卡牌属性!$DX627)</f>
        <v>43</v>
      </c>
      <c r="FQ627" s="14">
        <f>INDEX(属性投放!$BR$6:$BR$85,(卡牌属性!$DW627-2)*20+卡牌属性!$DX627)</f>
        <v>43</v>
      </c>
      <c r="FR627" s="14">
        <f>INDEX(属性投放!$BS$6:$BS$85,(卡牌属性!$DW627-2)*20+卡牌属性!$DX627)</f>
        <v>510</v>
      </c>
      <c r="FS627" s="14">
        <f>INDEX(属性投放!$BS$6:$BS$85,(卡牌属性!$DW627-2)*20+卡牌属性!$DX627)</f>
        <v>510</v>
      </c>
      <c r="FT627" s="14">
        <f>INDEX(属性投放!$BS$6:$BS$85,(卡牌属性!$DW627-2)*20+卡牌属性!$DX627)</f>
        <v>510</v>
      </c>
      <c r="FU627" s="14">
        <f>INDEX(属性投放!$BS$6:$BS$85,(卡牌属性!$DW627-2)*20+卡牌属性!$DX627)</f>
        <v>510</v>
      </c>
      <c r="FV627" s="14">
        <f>INDEX(属性投放!$BS$6:$BS$85,(卡牌属性!$DW627-2)*20+卡牌属性!$DX627)</f>
        <v>510</v>
      </c>
    </row>
    <row r="628" spans="31:178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>
        <v>624</v>
      </c>
      <c r="BX628" s="13">
        <f t="shared" si="981"/>
        <v>32</v>
      </c>
      <c r="BY628" s="14">
        <f t="shared" si="982"/>
        <v>5</v>
      </c>
      <c r="BZ628" s="14">
        <f t="shared" si="1005"/>
        <v>1102996</v>
      </c>
      <c r="CA628" s="14" t="str">
        <f t="shared" si="1006"/>
        <v>UR守护灵4突</v>
      </c>
      <c r="CB628" s="25" t="s">
        <v>142</v>
      </c>
      <c r="CC628" s="14">
        <v>2</v>
      </c>
      <c r="CD628" s="14">
        <f t="shared" si="1003"/>
        <v>4</v>
      </c>
      <c r="CE628" s="14" t="s">
        <v>21</v>
      </c>
      <c r="CF628" s="14">
        <f>INDEX(属性投放!$AZ$6:$AZ$85,(BY628-2)*20+CD628)</f>
        <v>1140</v>
      </c>
      <c r="CG628" s="14" t="s">
        <v>22</v>
      </c>
      <c r="CH628" s="14">
        <f>INDEX(属性投放!$BA$6:$BA$85,(BY628-2)*20+CD628)</f>
        <v>474</v>
      </c>
      <c r="CI628" s="14" t="s">
        <v>510</v>
      </c>
      <c r="CJ628" s="14">
        <f>INDEX(属性投放!$BB$6:$BB$85,(BY628-2)*20+CD628)</f>
        <v>6240</v>
      </c>
      <c r="CK628" s="14" t="s">
        <v>21</v>
      </c>
      <c r="CL628" s="14">
        <f>INDEX(属性投放!$BC$6:$BC$85,(BY628-2)*20+CD628)</f>
        <v>25</v>
      </c>
      <c r="CM628" s="14" t="s">
        <v>22</v>
      </c>
      <c r="CN628" s="14">
        <f>INDEX(属性投放!$BD$6:$BD$85,(BY628-2)*20+CD628)</f>
        <v>13</v>
      </c>
      <c r="CO628" s="14" t="s">
        <v>510</v>
      </c>
      <c r="CP628" s="14">
        <f>INDEX(属性投放!$BE$6:$BE$85,(BY628-2)*20+CD628)</f>
        <v>175</v>
      </c>
      <c r="CS628" s="13">
        <v>624</v>
      </c>
      <c r="CT628" s="13">
        <f t="shared" si="1007"/>
        <v>12</v>
      </c>
      <c r="CU628" s="13">
        <f t="shared" si="1008"/>
        <v>52</v>
      </c>
      <c r="CV628" s="14">
        <f t="shared" si="1009"/>
        <v>5</v>
      </c>
      <c r="CW628" s="14">
        <f t="shared" si="1010"/>
        <v>1102012</v>
      </c>
      <c r="CX628" s="14" t="str">
        <f>INDEX($O$6:$O$50,CT628)&amp;"-"&amp;INDEX(属性投放!$AB$7:$AB$50,CZ628)&amp;"-魂火-"&amp;DB628</f>
        <v>夏侯惇-无间+1-魂火-4</v>
      </c>
      <c r="CY628" s="25" t="s">
        <v>142</v>
      </c>
      <c r="CZ628" s="14">
        <f>INDEX(属性投放!$AM$7:$AM$58,CU628)</f>
        <v>20</v>
      </c>
      <c r="DA628" s="14" t="s">
        <v>537</v>
      </c>
      <c r="DB628" s="14">
        <f>INDEX(属性投放!$AN$7:$AN$58,CU628)</f>
        <v>4</v>
      </c>
      <c r="DC628" s="14">
        <f t="shared" si="1004"/>
        <v>52</v>
      </c>
      <c r="DD628" s="14">
        <f>INDEX(属性投放!$AO$7:$AO$58,DC628)</f>
        <v>148</v>
      </c>
      <c r="DE628" s="14" t="s">
        <v>538</v>
      </c>
      <c r="DF628" s="14">
        <f>INDEX(属性投放!$BK$6:$BK$85,(CV628-2)*20+CZ628)</f>
        <v>1050</v>
      </c>
      <c r="DG628" s="14">
        <f>SUMIFS(DF$5:DF628,$CT$5:$CT628,"="&amp;$CT628)</f>
        <v>20369</v>
      </c>
      <c r="DH628" s="14" t="s">
        <v>539</v>
      </c>
      <c r="DI628" s="14">
        <f>INDEX(属性投放!$BL$6:$BL$85,(CV628-2)*20+CZ628)</f>
        <v>525</v>
      </c>
      <c r="DJ628" s="14">
        <f>SUMIFS(DI$5:DI628,$CT$5:$CT628,"="&amp;$CT628)</f>
        <v>10190</v>
      </c>
      <c r="DK628" s="14" t="s">
        <v>540</v>
      </c>
      <c r="DL628" s="14">
        <f>INDEX(属性投放!$BM$6:$BM$85,(CV628-2)*20+CZ628)</f>
        <v>10500</v>
      </c>
      <c r="DM628" s="14">
        <f>SUMIFS(DL$5:DL628,$CT$5:$CT628,"="&amp;$CT628)</f>
        <v>198102</v>
      </c>
      <c r="DR628" s="14">
        <f t="shared" si="983"/>
        <v>1102996</v>
      </c>
      <c r="DS628" s="14" t="str">
        <f t="shared" si="984"/>
        <v>UR守护灵4突</v>
      </c>
      <c r="DT628" s="14">
        <f t="shared" si="1011"/>
        <v>9</v>
      </c>
      <c r="DU628" s="14">
        <f t="shared" si="1012"/>
        <v>7</v>
      </c>
      <c r="DV628" s="14">
        <f t="shared" si="1013"/>
        <v>7</v>
      </c>
      <c r="DW628" s="14">
        <f t="shared" si="985"/>
        <v>5</v>
      </c>
      <c r="DX628" s="14">
        <f t="shared" si="986"/>
        <v>4</v>
      </c>
      <c r="DY628" s="14">
        <f t="shared" si="987"/>
        <v>64</v>
      </c>
      <c r="DZ628" s="14">
        <f>INDEX(属性投放!$AX$6:$AX$85,(卡牌属性!DW628-2)*20+卡牌属性!DX628)</f>
        <v>10</v>
      </c>
      <c r="EA628" s="14">
        <f>INDEX(属性投放!BQ$6:BQ$85,卡牌属性!$DY628)</f>
        <v>120</v>
      </c>
      <c r="EB628" s="14">
        <f>INDEX(属性投放!BR$6:BR$85,卡牌属性!$DY628)</f>
        <v>60</v>
      </c>
      <c r="EC628" s="14">
        <f>INDEX(属性投放!BS$6:BS$85,卡牌属性!$DY628)</f>
        <v>840</v>
      </c>
      <c r="ED628" s="14">
        <f t="shared" si="1044"/>
        <v>935</v>
      </c>
      <c r="EE628" s="14">
        <f t="shared" si="1045"/>
        <v>1105</v>
      </c>
      <c r="EF628" s="14">
        <f t="shared" si="1046"/>
        <v>1275</v>
      </c>
      <c r="EG628" s="14">
        <f t="shared" si="1047"/>
        <v>1275</v>
      </c>
      <c r="EH628" s="14">
        <f t="shared" si="1048"/>
        <v>1595</v>
      </c>
      <c r="EI628" s="14">
        <f t="shared" si="1049"/>
        <v>322</v>
      </c>
      <c r="EJ628" s="14">
        <f t="shared" si="1050"/>
        <v>371</v>
      </c>
      <c r="EK628" s="14">
        <f t="shared" si="1051"/>
        <v>371</v>
      </c>
      <c r="EL628" s="14">
        <f t="shared" si="1052"/>
        <v>420</v>
      </c>
      <c r="EM628" s="14">
        <f t="shared" si="1053"/>
        <v>538</v>
      </c>
      <c r="EN628" s="14">
        <f t="shared" si="1054"/>
        <v>3938</v>
      </c>
      <c r="EO628" s="14">
        <f t="shared" si="1055"/>
        <v>4402</v>
      </c>
      <c r="EP628" s="14">
        <f t="shared" si="1056"/>
        <v>4402</v>
      </c>
      <c r="EQ628" s="14">
        <f t="shared" si="1057"/>
        <v>5010</v>
      </c>
      <c r="ER628" s="14">
        <f t="shared" si="1058"/>
        <v>6030</v>
      </c>
      <c r="ES628" s="14">
        <f>INDEX(属性偏向!$S$4:$S$243,(卡牌属性!$DT628-1+ES$3)*20+卡牌属性!$DX628)</f>
        <v>25</v>
      </c>
      <c r="ET628" s="14">
        <f>INDEX(属性偏向!$S$4:$S$243,(卡牌属性!$DT628-1+ET$3)*20+卡牌属性!$DX628)</f>
        <v>30</v>
      </c>
      <c r="EU628" s="14">
        <f>INDEX(属性偏向!$S$4:$S$243,(卡牌属性!$DT628-1+EU$3)*20+卡牌属性!$DX628)</f>
        <v>40</v>
      </c>
      <c r="EV628" s="14">
        <f>INDEX(属性偏向!$S$4:$S$243,(卡牌属性!$DT628-1+EV$3)*20+卡牌属性!$DX628)</f>
        <v>40</v>
      </c>
      <c r="EW628" s="14">
        <f>INDEX(属性偏向!$S$4:$S$243,(卡牌属性!$DT628-1+EW$3)*20+卡牌属性!$DX628)</f>
        <v>50</v>
      </c>
      <c r="EX628" s="14">
        <f>INDEX(属性偏向!$T$4:$T$243,(卡牌属性!$DU628-1+EX$3)*20+卡牌属性!$DX628)</f>
        <v>10</v>
      </c>
      <c r="EY628" s="14">
        <f>INDEX(属性偏向!$T$4:$T$243,(卡牌属性!$DU628-1+EY$3)*20+卡牌属性!$DX628)</f>
        <v>11</v>
      </c>
      <c r="EZ628" s="14">
        <f>INDEX(属性偏向!$T$4:$T$243,(卡牌属性!$DU628-1+EZ$3)*20+卡牌属性!$DX628)</f>
        <v>11</v>
      </c>
      <c r="FA628" s="14">
        <f>INDEX(属性偏向!$T$4:$T$243,(卡牌属性!$DU628-1+FA$3)*20+卡牌属性!$DX628)</f>
        <v>13</v>
      </c>
      <c r="FB628" s="14">
        <f>INDEX(属性偏向!$T$4:$T$243,(卡牌属性!$DU628-1+FB$3)*20+卡牌属性!$DX628)</f>
        <v>15</v>
      </c>
      <c r="FC628" s="14">
        <f>INDEX(属性偏向!$U$4:$U$243,(卡牌属性!$DV628-1+FC$3)*20+卡牌属性!$DX628)</f>
        <v>140</v>
      </c>
      <c r="FD628" s="14">
        <f>INDEX(属性偏向!$U$4:$U$243,(卡牌属性!$DV628-1+FD$3)*20+卡牌属性!$DX628)</f>
        <v>154</v>
      </c>
      <c r="FE628" s="14">
        <f>INDEX(属性偏向!$U$4:$U$243,(卡牌属性!$DV628-1+FE$3)*20+卡牌属性!$DX628)</f>
        <v>154</v>
      </c>
      <c r="FF628" s="14">
        <f>INDEX(属性偏向!$U$4:$U$243,(卡牌属性!$DV628-1+FF$3)*20+卡牌属性!$DX628)</f>
        <v>175</v>
      </c>
      <c r="FG628" s="14">
        <f>INDEX(属性偏向!$U$4:$U$243,(卡牌属性!$DV628-1+FG$3)*20+卡牌属性!$DX628)</f>
        <v>210</v>
      </c>
      <c r="FH628" s="14">
        <f>INDEX(属性投放!$BQ$6:$BQ$85,(卡牌属性!$DW628-2)*20+卡牌属性!$DX628)</f>
        <v>120</v>
      </c>
      <c r="FI628" s="14">
        <f>INDEX(属性投放!$BQ$6:$BQ$85,(卡牌属性!$DW628-2)*20+卡牌属性!$DX628)</f>
        <v>120</v>
      </c>
      <c r="FJ628" s="14">
        <f>INDEX(属性投放!$BQ$6:$BQ$85,(卡牌属性!$DW628-2)*20+卡牌属性!$DX628)</f>
        <v>120</v>
      </c>
      <c r="FK628" s="14">
        <f>INDEX(属性投放!$BQ$6:$BQ$85,(卡牌属性!$DW628-2)*20+卡牌属性!$DX628)</f>
        <v>120</v>
      </c>
      <c r="FL628" s="14">
        <f>INDEX(属性投放!$BQ$6:$BQ$85,(卡牌属性!$DW628-2)*20+卡牌属性!$DX628)</f>
        <v>120</v>
      </c>
      <c r="FM628" s="14">
        <f>INDEX(属性投放!$BR$6:$BR$85,(卡牌属性!$DW628-2)*20+卡牌属性!$DX628)</f>
        <v>60</v>
      </c>
      <c r="FN628" s="14">
        <f>INDEX(属性投放!$BR$6:$BR$85,(卡牌属性!$DW628-2)*20+卡牌属性!$DX628)</f>
        <v>60</v>
      </c>
      <c r="FO628" s="14">
        <f>INDEX(属性投放!$BR$6:$BR$85,(卡牌属性!$DW628-2)*20+卡牌属性!$DX628)</f>
        <v>60</v>
      </c>
      <c r="FP628" s="14">
        <f>INDEX(属性投放!$BR$6:$BR$85,(卡牌属性!$DW628-2)*20+卡牌属性!$DX628)</f>
        <v>60</v>
      </c>
      <c r="FQ628" s="14">
        <f>INDEX(属性投放!$BR$6:$BR$85,(卡牌属性!$DW628-2)*20+卡牌属性!$DX628)</f>
        <v>60</v>
      </c>
      <c r="FR628" s="14">
        <f>INDEX(属性投放!$BS$6:$BS$85,(卡牌属性!$DW628-2)*20+卡牌属性!$DX628)</f>
        <v>840</v>
      </c>
      <c r="FS628" s="14">
        <f>INDEX(属性投放!$BS$6:$BS$85,(卡牌属性!$DW628-2)*20+卡牌属性!$DX628)</f>
        <v>840</v>
      </c>
      <c r="FT628" s="14">
        <f>INDEX(属性投放!$BS$6:$BS$85,(卡牌属性!$DW628-2)*20+卡牌属性!$DX628)</f>
        <v>840</v>
      </c>
      <c r="FU628" s="14">
        <f>INDEX(属性投放!$BS$6:$BS$85,(卡牌属性!$DW628-2)*20+卡牌属性!$DX628)</f>
        <v>840</v>
      </c>
      <c r="FV628" s="14">
        <f>INDEX(属性投放!$BS$6:$BS$85,(卡牌属性!$DW628-2)*20+卡牌属性!$DX628)</f>
        <v>840</v>
      </c>
    </row>
    <row r="629" spans="31:178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>
        <v>625</v>
      </c>
      <c r="BX629" s="13">
        <f t="shared" ref="BX629:BX644" si="1059">MATCH(BW629-1,$S$5:$S$43,1)</f>
        <v>32</v>
      </c>
      <c r="BY629" s="14">
        <f t="shared" ref="BY629:BY644" si="1060">INDEX($Q$6:$Q$43,BX629)</f>
        <v>5</v>
      </c>
      <c r="BZ629" s="14">
        <f t="shared" si="1005"/>
        <v>1102996</v>
      </c>
      <c r="CA629" s="14" t="str">
        <f t="shared" si="1006"/>
        <v>UR守护灵5突</v>
      </c>
      <c r="CB629" s="25" t="s">
        <v>142</v>
      </c>
      <c r="CC629" s="14">
        <v>2</v>
      </c>
      <c r="CD629" s="14">
        <f t="shared" si="1003"/>
        <v>5</v>
      </c>
      <c r="CE629" s="14" t="s">
        <v>21</v>
      </c>
      <c r="CF629" s="14">
        <f>INDEX(属性投放!$AZ$6:$AZ$85,(BY629-2)*20+CD629)</f>
        <v>1630</v>
      </c>
      <c r="CG629" s="14" t="s">
        <v>22</v>
      </c>
      <c r="CH629" s="14">
        <f>INDEX(属性投放!$BA$6:$BA$85,(BY629-2)*20+CD629)</f>
        <v>724</v>
      </c>
      <c r="CI629" s="14" t="s">
        <v>510</v>
      </c>
      <c r="CJ629" s="14">
        <f>INDEX(属性投放!$BB$6:$BB$85,(BY629-2)*20+CD629)</f>
        <v>9670</v>
      </c>
      <c r="CK629" s="14" t="s">
        <v>21</v>
      </c>
      <c r="CL629" s="14">
        <f>INDEX(属性投放!$BC$6:$BC$85,(BY629-2)*20+CD629)</f>
        <v>25</v>
      </c>
      <c r="CM629" s="14" t="s">
        <v>22</v>
      </c>
      <c r="CN629" s="14">
        <f>INDEX(属性投放!$BD$6:$BD$85,(BY629-2)*20+CD629)</f>
        <v>13</v>
      </c>
      <c r="CO629" s="14" t="s">
        <v>510</v>
      </c>
      <c r="CP629" s="14">
        <f>INDEX(属性投放!$BE$6:$BE$85,(BY629-2)*20+CD629)</f>
        <v>175</v>
      </c>
      <c r="CS629" s="13">
        <v>625</v>
      </c>
      <c r="CT629" s="13">
        <f t="shared" si="1007"/>
        <v>13</v>
      </c>
      <c r="CU629" s="13">
        <f t="shared" si="1008"/>
        <v>1</v>
      </c>
      <c r="CV629" s="14">
        <f t="shared" si="1009"/>
        <v>2</v>
      </c>
      <c r="CW629" s="14">
        <f t="shared" si="1010"/>
        <v>1102013</v>
      </c>
      <c r="CX629" s="14" t="str">
        <f>INDEX($O$6:$O$50,CT629)&amp;"-"&amp;INDEX(属性投放!$AB$7:$AB$50,CZ629)&amp;"-魂火-"&amp;DB629</f>
        <v>塞伯罗斯-等活-魂火-1</v>
      </c>
      <c r="CY629" s="25" t="s">
        <v>142</v>
      </c>
      <c r="CZ629" s="14">
        <f>INDEX(属性投放!$AM$7:$AM$58,CU629)</f>
        <v>1</v>
      </c>
      <c r="DA629" s="14" t="s">
        <v>537</v>
      </c>
      <c r="DB629" s="14">
        <f>INDEX(属性投放!$AN$7:$AN$58,CU629)</f>
        <v>1</v>
      </c>
      <c r="DC629" s="14">
        <f t="shared" si="1004"/>
        <v>1</v>
      </c>
      <c r="DD629" s="14">
        <f>INDEX(属性投放!$AO$7:$AO$58,DC629)</f>
        <v>3</v>
      </c>
      <c r="DE629" s="14" t="s">
        <v>538</v>
      </c>
      <c r="DF629" s="14">
        <f>INDEX(属性投放!$BK$6:$BK$85,(CV629-2)*20+CZ629)</f>
        <v>15</v>
      </c>
      <c r="DG629" s="14">
        <f>SUMIFS(DF$5:DF629,$CT$5:$CT629,"="&amp;$CT629)</f>
        <v>15</v>
      </c>
      <c r="DH629" s="14" t="s">
        <v>539</v>
      </c>
      <c r="DI629" s="14">
        <f>INDEX(属性投放!$BL$6:$BL$85,(CV629-2)*20+CZ629)</f>
        <v>8</v>
      </c>
      <c r="DJ629" s="14">
        <f>SUMIFS(DI$5:DI629,$CT$5:$CT629,"="&amp;$CT629)</f>
        <v>8</v>
      </c>
      <c r="DK629" s="14" t="s">
        <v>540</v>
      </c>
      <c r="DL629" s="14">
        <f>INDEX(属性投放!$BM$6:$BM$85,(CV629-2)*20+CZ629)</f>
        <v>90</v>
      </c>
      <c r="DM629" s="14">
        <f>SUMIFS(DL$5:DL629,$CT$5:$CT629,"="&amp;$CT629)</f>
        <v>90</v>
      </c>
      <c r="DR629" s="14">
        <f t="shared" ref="DR629:DR644" si="1061">BZ629</f>
        <v>1102996</v>
      </c>
      <c r="DS629" s="14" t="str">
        <f t="shared" ref="DS629:DS644" si="1062">CA629</f>
        <v>UR守护灵5突</v>
      </c>
      <c r="DT629" s="14">
        <f t="shared" si="1011"/>
        <v>9</v>
      </c>
      <c r="DU629" s="14">
        <f t="shared" si="1012"/>
        <v>7</v>
      </c>
      <c r="DV629" s="14">
        <f t="shared" si="1013"/>
        <v>7</v>
      </c>
      <c r="DW629" s="14">
        <f t="shared" ref="DW629:DW644" si="1063">BY629</f>
        <v>5</v>
      </c>
      <c r="DX629" s="14">
        <f t="shared" ref="DX629:DX644" si="1064">CD629</f>
        <v>5</v>
      </c>
      <c r="DY629" s="14">
        <f t="shared" ref="DY629:DY644" si="1065">(DW629-2)*20+DX629</f>
        <v>65</v>
      </c>
      <c r="DZ629" s="14">
        <f>INDEX(属性投放!$AX$6:$AX$85,(卡牌属性!DW629-2)*20+卡牌属性!DX629)</f>
        <v>7</v>
      </c>
      <c r="EA629" s="14">
        <f>INDEX(属性投放!BQ$6:BQ$85,卡牌属性!$DY629)</f>
        <v>135</v>
      </c>
      <c r="EB629" s="14">
        <f>INDEX(属性投放!BR$6:BR$85,卡牌属性!$DY629)</f>
        <v>68</v>
      </c>
      <c r="EC629" s="14">
        <f>INDEX(属性投放!BS$6:BS$85,卡牌属性!$DY629)</f>
        <v>945</v>
      </c>
      <c r="ED629" s="14">
        <f t="shared" si="1044"/>
        <v>1305</v>
      </c>
      <c r="EE629" s="14">
        <f t="shared" si="1045"/>
        <v>1525</v>
      </c>
      <c r="EF629" s="14">
        <f t="shared" si="1046"/>
        <v>1795</v>
      </c>
      <c r="EG629" s="14">
        <f t="shared" si="1047"/>
        <v>1795</v>
      </c>
      <c r="EH629" s="14">
        <f t="shared" si="1048"/>
        <v>2215</v>
      </c>
      <c r="EI629" s="14">
        <f t="shared" si="1049"/>
        <v>482</v>
      </c>
      <c r="EJ629" s="14">
        <f t="shared" si="1050"/>
        <v>541</v>
      </c>
      <c r="EK629" s="14">
        <f t="shared" si="1051"/>
        <v>541</v>
      </c>
      <c r="EL629" s="14">
        <f t="shared" si="1052"/>
        <v>610</v>
      </c>
      <c r="EM629" s="14">
        <f t="shared" si="1053"/>
        <v>748</v>
      </c>
      <c r="EN629" s="14">
        <f t="shared" si="1054"/>
        <v>6178</v>
      </c>
      <c r="EO629" s="14">
        <f t="shared" si="1055"/>
        <v>6782</v>
      </c>
      <c r="EP629" s="14">
        <f t="shared" si="1056"/>
        <v>6782</v>
      </c>
      <c r="EQ629" s="14">
        <f t="shared" si="1057"/>
        <v>7600</v>
      </c>
      <c r="ER629" s="14">
        <f t="shared" si="1058"/>
        <v>8970</v>
      </c>
      <c r="ES629" s="14">
        <f>INDEX(属性偏向!$S$4:$S$243,(卡牌属性!$DT629-1+ES$3)*20+卡牌属性!$DX629)</f>
        <v>25</v>
      </c>
      <c r="ET629" s="14">
        <f>INDEX(属性偏向!$S$4:$S$243,(卡牌属性!$DT629-1+ET$3)*20+卡牌属性!$DX629)</f>
        <v>30</v>
      </c>
      <c r="EU629" s="14">
        <f>INDEX(属性偏向!$S$4:$S$243,(卡牌属性!$DT629-1+EU$3)*20+卡牌属性!$DX629)</f>
        <v>40</v>
      </c>
      <c r="EV629" s="14">
        <f>INDEX(属性偏向!$S$4:$S$243,(卡牌属性!$DT629-1+EV$3)*20+卡牌属性!$DX629)</f>
        <v>40</v>
      </c>
      <c r="EW629" s="14">
        <f>INDEX(属性偏向!$S$4:$S$243,(卡牌属性!$DT629-1+EW$3)*20+卡牌属性!$DX629)</f>
        <v>50</v>
      </c>
      <c r="EX629" s="14">
        <f>INDEX(属性偏向!$T$4:$T$243,(卡牌属性!$DU629-1+EX$3)*20+卡牌属性!$DX629)</f>
        <v>10</v>
      </c>
      <c r="EY629" s="14">
        <f>INDEX(属性偏向!$T$4:$T$243,(卡牌属性!$DU629-1+EY$3)*20+卡牌属性!$DX629)</f>
        <v>11</v>
      </c>
      <c r="EZ629" s="14">
        <f>INDEX(属性偏向!$T$4:$T$243,(卡牌属性!$DU629-1+EZ$3)*20+卡牌属性!$DX629)</f>
        <v>11</v>
      </c>
      <c r="FA629" s="14">
        <f>INDEX(属性偏向!$T$4:$T$243,(卡牌属性!$DU629-1+FA$3)*20+卡牌属性!$DX629)</f>
        <v>13</v>
      </c>
      <c r="FB629" s="14">
        <f>INDEX(属性偏向!$T$4:$T$243,(卡牌属性!$DU629-1+FB$3)*20+卡牌属性!$DX629)</f>
        <v>15</v>
      </c>
      <c r="FC629" s="14">
        <f>INDEX(属性偏向!$U$4:$U$243,(卡牌属性!$DV629-1+FC$3)*20+卡牌属性!$DX629)</f>
        <v>140</v>
      </c>
      <c r="FD629" s="14">
        <f>INDEX(属性偏向!$U$4:$U$243,(卡牌属性!$DV629-1+FD$3)*20+卡牌属性!$DX629)</f>
        <v>154</v>
      </c>
      <c r="FE629" s="14">
        <f>INDEX(属性偏向!$U$4:$U$243,(卡牌属性!$DV629-1+FE$3)*20+卡牌属性!$DX629)</f>
        <v>154</v>
      </c>
      <c r="FF629" s="14">
        <f>INDEX(属性偏向!$U$4:$U$243,(卡牌属性!$DV629-1+FF$3)*20+卡牌属性!$DX629)</f>
        <v>175</v>
      </c>
      <c r="FG629" s="14">
        <f>INDEX(属性偏向!$U$4:$U$243,(卡牌属性!$DV629-1+FG$3)*20+卡牌属性!$DX629)</f>
        <v>210</v>
      </c>
      <c r="FH629" s="14">
        <f>INDEX(属性投放!$BQ$6:$BQ$85,(卡牌属性!$DW629-2)*20+卡牌属性!$DX629)</f>
        <v>135</v>
      </c>
      <c r="FI629" s="14">
        <f>INDEX(属性投放!$BQ$6:$BQ$85,(卡牌属性!$DW629-2)*20+卡牌属性!$DX629)</f>
        <v>135</v>
      </c>
      <c r="FJ629" s="14">
        <f>INDEX(属性投放!$BQ$6:$BQ$85,(卡牌属性!$DW629-2)*20+卡牌属性!$DX629)</f>
        <v>135</v>
      </c>
      <c r="FK629" s="14">
        <f>INDEX(属性投放!$BQ$6:$BQ$85,(卡牌属性!$DW629-2)*20+卡牌属性!$DX629)</f>
        <v>135</v>
      </c>
      <c r="FL629" s="14">
        <f>INDEX(属性投放!$BQ$6:$BQ$85,(卡牌属性!$DW629-2)*20+卡牌属性!$DX629)</f>
        <v>135</v>
      </c>
      <c r="FM629" s="14">
        <f>INDEX(属性投放!$BR$6:$BR$85,(卡牌属性!$DW629-2)*20+卡牌属性!$DX629)</f>
        <v>68</v>
      </c>
      <c r="FN629" s="14">
        <f>INDEX(属性投放!$BR$6:$BR$85,(卡牌属性!$DW629-2)*20+卡牌属性!$DX629)</f>
        <v>68</v>
      </c>
      <c r="FO629" s="14">
        <f>INDEX(属性投放!$BR$6:$BR$85,(卡牌属性!$DW629-2)*20+卡牌属性!$DX629)</f>
        <v>68</v>
      </c>
      <c r="FP629" s="14">
        <f>INDEX(属性投放!$BR$6:$BR$85,(卡牌属性!$DW629-2)*20+卡牌属性!$DX629)</f>
        <v>68</v>
      </c>
      <c r="FQ629" s="14">
        <f>INDEX(属性投放!$BR$6:$BR$85,(卡牌属性!$DW629-2)*20+卡牌属性!$DX629)</f>
        <v>68</v>
      </c>
      <c r="FR629" s="14">
        <f>INDEX(属性投放!$BS$6:$BS$85,(卡牌属性!$DW629-2)*20+卡牌属性!$DX629)</f>
        <v>945</v>
      </c>
      <c r="FS629" s="14">
        <f>INDEX(属性投放!$BS$6:$BS$85,(卡牌属性!$DW629-2)*20+卡牌属性!$DX629)</f>
        <v>945</v>
      </c>
      <c r="FT629" s="14">
        <f>INDEX(属性投放!$BS$6:$BS$85,(卡牌属性!$DW629-2)*20+卡牌属性!$DX629)</f>
        <v>945</v>
      </c>
      <c r="FU629" s="14">
        <f>INDEX(属性投放!$BS$6:$BS$85,(卡牌属性!$DW629-2)*20+卡牌属性!$DX629)</f>
        <v>945</v>
      </c>
      <c r="FV629" s="14">
        <f>INDEX(属性投放!$BS$6:$BS$85,(卡牌属性!$DW629-2)*20+卡牌属性!$DX629)</f>
        <v>945</v>
      </c>
    </row>
    <row r="630" spans="31:178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>
        <v>626</v>
      </c>
      <c r="BX630" s="13">
        <f t="shared" si="1059"/>
        <v>32</v>
      </c>
      <c r="BY630" s="14">
        <f t="shared" si="1060"/>
        <v>5</v>
      </c>
      <c r="BZ630" s="14">
        <f t="shared" si="1005"/>
        <v>1102996</v>
      </c>
      <c r="CA630" s="14" t="str">
        <f t="shared" si="1006"/>
        <v>UR守护灵6突</v>
      </c>
      <c r="CB630" s="25" t="s">
        <v>142</v>
      </c>
      <c r="CC630" s="14">
        <v>2</v>
      </c>
      <c r="CD630" s="14">
        <f t="shared" si="1003"/>
        <v>6</v>
      </c>
      <c r="CE630" s="14" t="s">
        <v>21</v>
      </c>
      <c r="CF630" s="14">
        <f>INDEX(属性投放!$AZ$6:$AZ$85,(BY630-2)*20+CD630)</f>
        <v>2080</v>
      </c>
      <c r="CG630" s="14" t="s">
        <v>22</v>
      </c>
      <c r="CH630" s="14">
        <f>INDEX(属性投放!$BA$6:$BA$85,(BY630-2)*20+CD630)</f>
        <v>953</v>
      </c>
      <c r="CI630" s="14" t="s">
        <v>510</v>
      </c>
      <c r="CJ630" s="14">
        <f>INDEX(属性投放!$BB$6:$BB$85,(BY630-2)*20+CD630)</f>
        <v>12820</v>
      </c>
      <c r="CK630" s="14" t="s">
        <v>21</v>
      </c>
      <c r="CL630" s="14">
        <f>INDEX(属性投放!$BC$6:$BC$85,(BY630-2)*20+CD630)</f>
        <v>25</v>
      </c>
      <c r="CM630" s="14" t="s">
        <v>22</v>
      </c>
      <c r="CN630" s="14">
        <f>INDEX(属性投放!$BD$6:$BD$85,(BY630-2)*20+CD630)</f>
        <v>13</v>
      </c>
      <c r="CO630" s="14" t="s">
        <v>510</v>
      </c>
      <c r="CP630" s="14">
        <f>INDEX(属性投放!$BE$6:$BE$85,(BY630-2)*20+CD630)</f>
        <v>175</v>
      </c>
      <c r="CS630" s="13">
        <v>626</v>
      </c>
      <c r="CT630" s="13">
        <f t="shared" si="1007"/>
        <v>13</v>
      </c>
      <c r="CU630" s="13">
        <f t="shared" si="1008"/>
        <v>2</v>
      </c>
      <c r="CV630" s="14">
        <f t="shared" si="1009"/>
        <v>2</v>
      </c>
      <c r="CW630" s="14">
        <f t="shared" si="1010"/>
        <v>1102013</v>
      </c>
      <c r="CX630" s="14" t="str">
        <f>INDEX($O$6:$O$50,CT630)&amp;"-"&amp;INDEX(属性投放!$AB$7:$AB$50,CZ630)&amp;"-魂火-"&amp;DB630</f>
        <v>塞伯罗斯-黑绳-魂火-1</v>
      </c>
      <c r="CY630" s="25" t="s">
        <v>142</v>
      </c>
      <c r="CZ630" s="14">
        <f>INDEX(属性投放!$AM$7:$AM$58,CU630)</f>
        <v>2</v>
      </c>
      <c r="DA630" s="14" t="s">
        <v>537</v>
      </c>
      <c r="DB630" s="14">
        <f>INDEX(属性投放!$AN$7:$AN$58,CU630)</f>
        <v>1</v>
      </c>
      <c r="DC630" s="14">
        <f t="shared" si="1004"/>
        <v>2</v>
      </c>
      <c r="DD630" s="14">
        <f>INDEX(属性投放!$AO$7:$AO$58,DC630)</f>
        <v>8</v>
      </c>
      <c r="DE630" s="14" t="s">
        <v>538</v>
      </c>
      <c r="DF630" s="14">
        <f>INDEX(属性投放!$BK$6:$BK$85,(CV630-2)*20+CZ630)</f>
        <v>20</v>
      </c>
      <c r="DG630" s="14">
        <f>SUMIFS(DF$5:DF630,$CT$5:$CT630,"="&amp;$CT630)</f>
        <v>35</v>
      </c>
      <c r="DH630" s="14" t="s">
        <v>539</v>
      </c>
      <c r="DI630" s="14">
        <f>INDEX(属性投放!$BL$6:$BL$85,(CV630-2)*20+CZ630)</f>
        <v>10</v>
      </c>
      <c r="DJ630" s="14">
        <f>SUMIFS(DI$5:DI630,$CT$5:$CT630,"="&amp;$CT630)</f>
        <v>18</v>
      </c>
      <c r="DK630" s="14" t="s">
        <v>540</v>
      </c>
      <c r="DL630" s="14">
        <f>INDEX(属性投放!$BM$6:$BM$85,(CV630-2)*20+CZ630)</f>
        <v>120</v>
      </c>
      <c r="DM630" s="14">
        <f>SUMIFS(DL$5:DL630,$CT$5:$CT630,"="&amp;$CT630)</f>
        <v>210</v>
      </c>
      <c r="DR630" s="14">
        <f t="shared" si="1061"/>
        <v>1102996</v>
      </c>
      <c r="DS630" s="14" t="str">
        <f t="shared" si="1062"/>
        <v>UR守护灵6突</v>
      </c>
      <c r="DT630" s="14">
        <f t="shared" si="1011"/>
        <v>9</v>
      </c>
      <c r="DU630" s="14">
        <f t="shared" si="1012"/>
        <v>7</v>
      </c>
      <c r="DV630" s="14">
        <f t="shared" si="1013"/>
        <v>7</v>
      </c>
      <c r="DW630" s="14">
        <f t="shared" si="1063"/>
        <v>5</v>
      </c>
      <c r="DX630" s="14">
        <f t="shared" si="1064"/>
        <v>6</v>
      </c>
      <c r="DY630" s="14">
        <f t="shared" si="1065"/>
        <v>66</v>
      </c>
      <c r="DZ630" s="14">
        <f>INDEX(属性投放!$AX$6:$AX$85,(卡牌属性!DW630-2)*20+卡牌属性!DX630)</f>
        <v>5</v>
      </c>
      <c r="EA630" s="14">
        <f>INDEX(属性投放!BQ$6:BQ$85,卡牌属性!$DY630)</f>
        <v>180</v>
      </c>
      <c r="EB630" s="14">
        <f>INDEX(属性投放!BR$6:BR$85,卡牌属性!$DY630)</f>
        <v>90</v>
      </c>
      <c r="EC630" s="14">
        <f>INDEX(属性投放!BS$6:BS$85,卡牌属性!$DY630)</f>
        <v>1260</v>
      </c>
      <c r="ED630" s="14">
        <f t="shared" si="1044"/>
        <v>1615</v>
      </c>
      <c r="EE630" s="14">
        <f t="shared" si="1045"/>
        <v>1870</v>
      </c>
      <c r="EF630" s="14">
        <f t="shared" si="1046"/>
        <v>2210</v>
      </c>
      <c r="EG630" s="14">
        <f t="shared" si="1047"/>
        <v>2210</v>
      </c>
      <c r="EH630" s="14">
        <f t="shared" si="1048"/>
        <v>2700</v>
      </c>
      <c r="EI630" s="14">
        <f t="shared" si="1049"/>
        <v>620</v>
      </c>
      <c r="EJ630" s="14">
        <f t="shared" si="1050"/>
        <v>686</v>
      </c>
      <c r="EK630" s="14">
        <f t="shared" si="1051"/>
        <v>686</v>
      </c>
      <c r="EL630" s="14">
        <f t="shared" si="1052"/>
        <v>769</v>
      </c>
      <c r="EM630" s="14">
        <f t="shared" si="1053"/>
        <v>921</v>
      </c>
      <c r="EN630" s="14">
        <f t="shared" si="1054"/>
        <v>8103</v>
      </c>
      <c r="EO630" s="14">
        <f t="shared" si="1055"/>
        <v>8805</v>
      </c>
      <c r="EP630" s="14">
        <f t="shared" si="1056"/>
        <v>8805</v>
      </c>
      <c r="EQ630" s="14">
        <f t="shared" si="1057"/>
        <v>9770</v>
      </c>
      <c r="ER630" s="14">
        <f t="shared" si="1058"/>
        <v>11385</v>
      </c>
      <c r="ES630" s="14">
        <f>INDEX(属性偏向!$S$4:$S$243,(卡牌属性!$DT630-1+ES$3)*20+卡牌属性!$DX630)</f>
        <v>25</v>
      </c>
      <c r="ET630" s="14">
        <f>INDEX(属性偏向!$S$4:$S$243,(卡牌属性!$DT630-1+ET$3)*20+卡牌属性!$DX630)</f>
        <v>30</v>
      </c>
      <c r="EU630" s="14">
        <f>INDEX(属性偏向!$S$4:$S$243,(卡牌属性!$DT630-1+EU$3)*20+卡牌属性!$DX630)</f>
        <v>40</v>
      </c>
      <c r="EV630" s="14">
        <f>INDEX(属性偏向!$S$4:$S$243,(卡牌属性!$DT630-1+EV$3)*20+卡牌属性!$DX630)</f>
        <v>40</v>
      </c>
      <c r="EW630" s="14">
        <f>INDEX(属性偏向!$S$4:$S$243,(卡牌属性!$DT630-1+EW$3)*20+卡牌属性!$DX630)</f>
        <v>50</v>
      </c>
      <c r="EX630" s="14">
        <f>INDEX(属性偏向!$T$4:$T$243,(卡牌属性!$DU630-1+EX$3)*20+卡牌属性!$DX630)</f>
        <v>10</v>
      </c>
      <c r="EY630" s="14">
        <f>INDEX(属性偏向!$T$4:$T$243,(卡牌属性!$DU630-1+EY$3)*20+卡牌属性!$DX630)</f>
        <v>11</v>
      </c>
      <c r="EZ630" s="14">
        <f>INDEX(属性偏向!$T$4:$T$243,(卡牌属性!$DU630-1+EZ$3)*20+卡牌属性!$DX630)</f>
        <v>11</v>
      </c>
      <c r="FA630" s="14">
        <f>INDEX(属性偏向!$T$4:$T$243,(卡牌属性!$DU630-1+FA$3)*20+卡牌属性!$DX630)</f>
        <v>13</v>
      </c>
      <c r="FB630" s="14">
        <f>INDEX(属性偏向!$T$4:$T$243,(卡牌属性!$DU630-1+FB$3)*20+卡牌属性!$DX630)</f>
        <v>15</v>
      </c>
      <c r="FC630" s="14">
        <f>INDEX(属性偏向!$U$4:$U$243,(卡牌属性!$DV630-1+FC$3)*20+卡牌属性!$DX630)</f>
        <v>140</v>
      </c>
      <c r="FD630" s="14">
        <f>INDEX(属性偏向!$U$4:$U$243,(卡牌属性!$DV630-1+FD$3)*20+卡牌属性!$DX630)</f>
        <v>154</v>
      </c>
      <c r="FE630" s="14">
        <f>INDEX(属性偏向!$U$4:$U$243,(卡牌属性!$DV630-1+FE$3)*20+卡牌属性!$DX630)</f>
        <v>154</v>
      </c>
      <c r="FF630" s="14">
        <f>INDEX(属性偏向!$U$4:$U$243,(卡牌属性!$DV630-1+FF$3)*20+卡牌属性!$DX630)</f>
        <v>175</v>
      </c>
      <c r="FG630" s="14">
        <f>INDEX(属性偏向!$U$4:$U$243,(卡牌属性!$DV630-1+FG$3)*20+卡牌属性!$DX630)</f>
        <v>210</v>
      </c>
      <c r="FH630" s="14">
        <f>INDEX(属性投放!$BQ$6:$BQ$85,(卡牌属性!$DW630-2)*20+卡牌属性!$DX630)</f>
        <v>180</v>
      </c>
      <c r="FI630" s="14">
        <f>INDEX(属性投放!$BQ$6:$BQ$85,(卡牌属性!$DW630-2)*20+卡牌属性!$DX630)</f>
        <v>180</v>
      </c>
      <c r="FJ630" s="14">
        <f>INDEX(属性投放!$BQ$6:$BQ$85,(卡牌属性!$DW630-2)*20+卡牌属性!$DX630)</f>
        <v>180</v>
      </c>
      <c r="FK630" s="14">
        <f>INDEX(属性投放!$BQ$6:$BQ$85,(卡牌属性!$DW630-2)*20+卡牌属性!$DX630)</f>
        <v>180</v>
      </c>
      <c r="FL630" s="14">
        <f>INDEX(属性投放!$BQ$6:$BQ$85,(卡牌属性!$DW630-2)*20+卡牌属性!$DX630)</f>
        <v>180</v>
      </c>
      <c r="FM630" s="14">
        <f>INDEX(属性投放!$BR$6:$BR$85,(卡牌属性!$DW630-2)*20+卡牌属性!$DX630)</f>
        <v>90</v>
      </c>
      <c r="FN630" s="14">
        <f>INDEX(属性投放!$BR$6:$BR$85,(卡牌属性!$DW630-2)*20+卡牌属性!$DX630)</f>
        <v>90</v>
      </c>
      <c r="FO630" s="14">
        <f>INDEX(属性投放!$BR$6:$BR$85,(卡牌属性!$DW630-2)*20+卡牌属性!$DX630)</f>
        <v>90</v>
      </c>
      <c r="FP630" s="14">
        <f>INDEX(属性投放!$BR$6:$BR$85,(卡牌属性!$DW630-2)*20+卡牌属性!$DX630)</f>
        <v>90</v>
      </c>
      <c r="FQ630" s="14">
        <f>INDEX(属性投放!$BR$6:$BR$85,(卡牌属性!$DW630-2)*20+卡牌属性!$DX630)</f>
        <v>90</v>
      </c>
      <c r="FR630" s="14">
        <f>INDEX(属性投放!$BS$6:$BS$85,(卡牌属性!$DW630-2)*20+卡牌属性!$DX630)</f>
        <v>1260</v>
      </c>
      <c r="FS630" s="14">
        <f>INDEX(属性投放!$BS$6:$BS$85,(卡牌属性!$DW630-2)*20+卡牌属性!$DX630)</f>
        <v>1260</v>
      </c>
      <c r="FT630" s="14">
        <f>INDEX(属性投放!$BS$6:$BS$85,(卡牌属性!$DW630-2)*20+卡牌属性!$DX630)</f>
        <v>1260</v>
      </c>
      <c r="FU630" s="14">
        <f>INDEX(属性投放!$BS$6:$BS$85,(卡牌属性!$DW630-2)*20+卡牌属性!$DX630)</f>
        <v>1260</v>
      </c>
      <c r="FV630" s="14">
        <f>INDEX(属性投放!$BS$6:$BS$85,(卡牌属性!$DW630-2)*20+卡牌属性!$DX630)</f>
        <v>1260</v>
      </c>
    </row>
    <row r="631" spans="31:178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>
        <v>627</v>
      </c>
      <c r="BX631" s="13">
        <f t="shared" si="1059"/>
        <v>32</v>
      </c>
      <c r="BY631" s="14">
        <f t="shared" si="1060"/>
        <v>5</v>
      </c>
      <c r="BZ631" s="14">
        <f t="shared" si="1005"/>
        <v>1102996</v>
      </c>
      <c r="CA631" s="14" t="str">
        <f t="shared" si="1006"/>
        <v>UR守护灵7突</v>
      </c>
      <c r="CB631" s="25" t="s">
        <v>142</v>
      </c>
      <c r="CC631" s="14">
        <v>2</v>
      </c>
      <c r="CD631" s="14">
        <f t="shared" si="1003"/>
        <v>7</v>
      </c>
      <c r="CE631" s="14" t="s">
        <v>21</v>
      </c>
      <c r="CF631" s="14">
        <f>INDEX(属性投放!$AZ$6:$AZ$85,(BY631-2)*20+CD631)</f>
        <v>2535</v>
      </c>
      <c r="CG631" s="14" t="s">
        <v>22</v>
      </c>
      <c r="CH631" s="14">
        <f>INDEX(属性投放!$BA$6:$BA$85,(BY631-2)*20+CD631)</f>
        <v>1184</v>
      </c>
      <c r="CI631" s="14" t="s">
        <v>510</v>
      </c>
      <c r="CJ631" s="14">
        <f>INDEX(属性投放!$BB$6:$BB$85,(BY631-2)*20+CD631)</f>
        <v>16005</v>
      </c>
      <c r="CK631" s="14" t="s">
        <v>21</v>
      </c>
      <c r="CL631" s="14">
        <f>INDEX(属性投放!$BC$6:$BC$85,(BY631-2)*20+CD631)</f>
        <v>30</v>
      </c>
      <c r="CM631" s="14" t="s">
        <v>22</v>
      </c>
      <c r="CN631" s="14">
        <f>INDEX(属性投放!$BD$6:$BD$85,(BY631-2)*20+CD631)</f>
        <v>15</v>
      </c>
      <c r="CO631" s="14" t="s">
        <v>510</v>
      </c>
      <c r="CP631" s="14">
        <f>INDEX(属性投放!$BE$6:$BE$85,(BY631-2)*20+CD631)</f>
        <v>240</v>
      </c>
      <c r="CS631" s="13">
        <v>627</v>
      </c>
      <c r="CT631" s="13">
        <f t="shared" si="1007"/>
        <v>13</v>
      </c>
      <c r="CU631" s="13">
        <f t="shared" si="1008"/>
        <v>3</v>
      </c>
      <c r="CV631" s="14">
        <f t="shared" si="1009"/>
        <v>2</v>
      </c>
      <c r="CW631" s="14">
        <f t="shared" si="1010"/>
        <v>1102013</v>
      </c>
      <c r="CX631" s="14" t="str">
        <f>INDEX($O$6:$O$50,CT631)&amp;"-"&amp;INDEX(属性投放!$AB$7:$AB$50,CZ631)&amp;"-魂火-"&amp;DB631</f>
        <v>塞伯罗斯-黑绳-魂火-2</v>
      </c>
      <c r="CY631" s="25" t="s">
        <v>142</v>
      </c>
      <c r="CZ631" s="14">
        <f>INDEX(属性投放!$AM$7:$AM$58,CU631)</f>
        <v>2</v>
      </c>
      <c r="DA631" s="14" t="s">
        <v>537</v>
      </c>
      <c r="DB631" s="14">
        <f>INDEX(属性投放!$AN$7:$AN$58,CU631)</f>
        <v>2</v>
      </c>
      <c r="DC631" s="14">
        <f t="shared" si="1004"/>
        <v>3</v>
      </c>
      <c r="DD631" s="14">
        <f>INDEX(属性投放!$AO$7:$AO$58,DC631)</f>
        <v>13</v>
      </c>
      <c r="DE631" s="14" t="s">
        <v>538</v>
      </c>
      <c r="DF631" s="14">
        <f>INDEX(属性投放!$BK$6:$BK$85,(CV631-2)*20+CZ631)</f>
        <v>20</v>
      </c>
      <c r="DG631" s="14">
        <f>SUMIFS(DF$5:DF631,$CT$5:$CT631,"="&amp;$CT631)</f>
        <v>55</v>
      </c>
      <c r="DH631" s="14" t="s">
        <v>539</v>
      </c>
      <c r="DI631" s="14">
        <f>INDEX(属性投放!$BL$6:$BL$85,(CV631-2)*20+CZ631)</f>
        <v>10</v>
      </c>
      <c r="DJ631" s="14">
        <f>SUMIFS(DI$5:DI631,$CT$5:$CT631,"="&amp;$CT631)</f>
        <v>28</v>
      </c>
      <c r="DK631" s="14" t="s">
        <v>540</v>
      </c>
      <c r="DL631" s="14">
        <f>INDEX(属性投放!$BM$6:$BM$85,(CV631-2)*20+CZ631)</f>
        <v>120</v>
      </c>
      <c r="DM631" s="14">
        <f>SUMIFS(DL$5:DL631,$CT$5:$CT631,"="&amp;$CT631)</f>
        <v>330</v>
      </c>
      <c r="DR631" s="14">
        <f t="shared" si="1061"/>
        <v>1102996</v>
      </c>
      <c r="DS631" s="14" t="str">
        <f t="shared" si="1062"/>
        <v>UR守护灵7突</v>
      </c>
      <c r="DT631" s="14">
        <f t="shared" si="1011"/>
        <v>9</v>
      </c>
      <c r="DU631" s="14">
        <f t="shared" si="1012"/>
        <v>7</v>
      </c>
      <c r="DV631" s="14">
        <f t="shared" si="1013"/>
        <v>7</v>
      </c>
      <c r="DW631" s="14">
        <f t="shared" si="1063"/>
        <v>5</v>
      </c>
      <c r="DX631" s="14">
        <f t="shared" si="1064"/>
        <v>7</v>
      </c>
      <c r="DY631" s="14">
        <f t="shared" si="1065"/>
        <v>67</v>
      </c>
      <c r="DZ631" s="14">
        <f>INDEX(属性投放!$AX$6:$AX$85,(卡牌属性!DW631-2)*20+卡牌属性!DX631)</f>
        <v>5</v>
      </c>
      <c r="EA631" s="14">
        <f>INDEX(属性投放!BQ$6:BQ$85,卡牌属性!$DY631)</f>
        <v>185</v>
      </c>
      <c r="EB631" s="14">
        <f>INDEX(属性投放!BR$6:BR$85,卡牌属性!$DY631)</f>
        <v>93</v>
      </c>
      <c r="EC631" s="14">
        <f>INDEX(属性投放!BS$6:BS$85,卡牌属性!$DY631)</f>
        <v>1480</v>
      </c>
      <c r="ED631" s="14">
        <f t="shared" si="1044"/>
        <v>1920</v>
      </c>
      <c r="EE631" s="14">
        <f t="shared" si="1045"/>
        <v>2200</v>
      </c>
      <c r="EF631" s="14">
        <f t="shared" si="1046"/>
        <v>2590</v>
      </c>
      <c r="EG631" s="14">
        <f t="shared" si="1047"/>
        <v>2590</v>
      </c>
      <c r="EH631" s="14">
        <f t="shared" si="1048"/>
        <v>3130</v>
      </c>
      <c r="EI631" s="14">
        <f t="shared" si="1049"/>
        <v>760</v>
      </c>
      <c r="EJ631" s="14">
        <f t="shared" si="1050"/>
        <v>831</v>
      </c>
      <c r="EK631" s="14">
        <f t="shared" si="1051"/>
        <v>831</v>
      </c>
      <c r="EL631" s="14">
        <f t="shared" si="1052"/>
        <v>924</v>
      </c>
      <c r="EM631" s="14">
        <f t="shared" si="1053"/>
        <v>1086</v>
      </c>
      <c r="EN631" s="14">
        <f t="shared" si="1054"/>
        <v>10063</v>
      </c>
      <c r="EO631" s="14">
        <f t="shared" si="1055"/>
        <v>10835</v>
      </c>
      <c r="EP631" s="14">
        <f t="shared" si="1056"/>
        <v>10835</v>
      </c>
      <c r="EQ631" s="14">
        <f t="shared" si="1057"/>
        <v>11905</v>
      </c>
      <c r="ER631" s="14">
        <f t="shared" si="1058"/>
        <v>13695</v>
      </c>
      <c r="ES631" s="14">
        <f>INDEX(属性偏向!$S$4:$S$243,(卡牌属性!$DT631-1+ES$3)*20+卡牌属性!$DX631)</f>
        <v>30</v>
      </c>
      <c r="ET631" s="14">
        <f>INDEX(属性偏向!$S$4:$S$243,(卡牌属性!$DT631-1+ET$3)*20+卡牌属性!$DX631)</f>
        <v>40</v>
      </c>
      <c r="EU631" s="14">
        <f>INDEX(属性偏向!$S$4:$S$243,(卡牌属性!$DT631-1+EU$3)*20+卡牌属性!$DX631)</f>
        <v>50</v>
      </c>
      <c r="EV631" s="14">
        <f>INDEX(属性偏向!$S$4:$S$243,(卡牌属性!$DT631-1+EV$3)*20+卡牌属性!$DX631)</f>
        <v>50</v>
      </c>
      <c r="EW631" s="14">
        <f>INDEX(属性偏向!$S$4:$S$243,(卡牌属性!$DT631-1+EW$3)*20+卡牌属性!$DX631)</f>
        <v>75</v>
      </c>
      <c r="EX631" s="14">
        <f>INDEX(属性偏向!$T$4:$T$243,(卡牌属性!$DU631-1+EX$3)*20+卡牌属性!$DX631)</f>
        <v>13</v>
      </c>
      <c r="EY631" s="14">
        <f>INDEX(属性偏向!$T$4:$T$243,(卡牌属性!$DU631-1+EY$3)*20+卡牌属性!$DX631)</f>
        <v>14</v>
      </c>
      <c r="EZ631" s="14">
        <f>INDEX(属性偏向!$T$4:$T$243,(卡牌属性!$DU631-1+EZ$3)*20+卡牌属性!$DX631)</f>
        <v>14</v>
      </c>
      <c r="FA631" s="14">
        <f>INDEX(属性偏向!$T$4:$T$243,(卡牌属性!$DU631-1+FA$3)*20+卡牌属性!$DX631)</f>
        <v>15</v>
      </c>
      <c r="FB631" s="14">
        <f>INDEX(属性偏向!$T$4:$T$243,(卡牌属性!$DU631-1+FB$3)*20+卡牌属性!$DX631)</f>
        <v>20</v>
      </c>
      <c r="FC631" s="14">
        <f>INDEX(属性偏向!$U$4:$U$243,(卡牌属性!$DV631-1+FC$3)*20+卡牌属性!$DX631)</f>
        <v>200</v>
      </c>
      <c r="FD631" s="14">
        <f>INDEX(属性偏向!$U$4:$U$243,(卡牌属性!$DV631-1+FD$3)*20+卡牌属性!$DX631)</f>
        <v>224</v>
      </c>
      <c r="FE631" s="14">
        <f>INDEX(属性偏向!$U$4:$U$243,(卡牌属性!$DV631-1+FE$3)*20+卡牌属性!$DX631)</f>
        <v>224</v>
      </c>
      <c r="FF631" s="14">
        <f>INDEX(属性偏向!$U$4:$U$243,(卡牌属性!$DV631-1+FF$3)*20+卡牌属性!$DX631)</f>
        <v>240</v>
      </c>
      <c r="FG631" s="14">
        <f>INDEX(属性偏向!$U$4:$U$243,(卡牌属性!$DV631-1+FG$3)*20+卡牌属性!$DX631)</f>
        <v>320</v>
      </c>
      <c r="FH631" s="14">
        <f>INDEX(属性投放!$BQ$6:$BQ$85,(卡牌属性!$DW631-2)*20+卡牌属性!$DX631)</f>
        <v>185</v>
      </c>
      <c r="FI631" s="14">
        <f>INDEX(属性投放!$BQ$6:$BQ$85,(卡牌属性!$DW631-2)*20+卡牌属性!$DX631)</f>
        <v>185</v>
      </c>
      <c r="FJ631" s="14">
        <f>INDEX(属性投放!$BQ$6:$BQ$85,(卡牌属性!$DW631-2)*20+卡牌属性!$DX631)</f>
        <v>185</v>
      </c>
      <c r="FK631" s="14">
        <f>INDEX(属性投放!$BQ$6:$BQ$85,(卡牌属性!$DW631-2)*20+卡牌属性!$DX631)</f>
        <v>185</v>
      </c>
      <c r="FL631" s="14">
        <f>INDEX(属性投放!$BQ$6:$BQ$85,(卡牌属性!$DW631-2)*20+卡牌属性!$DX631)</f>
        <v>185</v>
      </c>
      <c r="FM631" s="14">
        <f>INDEX(属性投放!$BR$6:$BR$85,(卡牌属性!$DW631-2)*20+卡牌属性!$DX631)</f>
        <v>93</v>
      </c>
      <c r="FN631" s="14">
        <f>INDEX(属性投放!$BR$6:$BR$85,(卡牌属性!$DW631-2)*20+卡牌属性!$DX631)</f>
        <v>93</v>
      </c>
      <c r="FO631" s="14">
        <f>INDEX(属性投放!$BR$6:$BR$85,(卡牌属性!$DW631-2)*20+卡牌属性!$DX631)</f>
        <v>93</v>
      </c>
      <c r="FP631" s="14">
        <f>INDEX(属性投放!$BR$6:$BR$85,(卡牌属性!$DW631-2)*20+卡牌属性!$DX631)</f>
        <v>93</v>
      </c>
      <c r="FQ631" s="14">
        <f>INDEX(属性投放!$BR$6:$BR$85,(卡牌属性!$DW631-2)*20+卡牌属性!$DX631)</f>
        <v>93</v>
      </c>
      <c r="FR631" s="14">
        <f>INDEX(属性投放!$BS$6:$BS$85,(卡牌属性!$DW631-2)*20+卡牌属性!$DX631)</f>
        <v>1480</v>
      </c>
      <c r="FS631" s="14">
        <f>INDEX(属性投放!$BS$6:$BS$85,(卡牌属性!$DW631-2)*20+卡牌属性!$DX631)</f>
        <v>1480</v>
      </c>
      <c r="FT631" s="14">
        <f>INDEX(属性投放!$BS$6:$BS$85,(卡牌属性!$DW631-2)*20+卡牌属性!$DX631)</f>
        <v>1480</v>
      </c>
      <c r="FU631" s="14">
        <f>INDEX(属性投放!$BS$6:$BS$85,(卡牌属性!$DW631-2)*20+卡牌属性!$DX631)</f>
        <v>1480</v>
      </c>
      <c r="FV631" s="14">
        <f>INDEX(属性投放!$BS$6:$BS$85,(卡牌属性!$DW631-2)*20+卡牌属性!$DX631)</f>
        <v>1480</v>
      </c>
    </row>
    <row r="632" spans="31:178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>
        <v>628</v>
      </c>
      <c r="BX632" s="13">
        <f t="shared" si="1059"/>
        <v>32</v>
      </c>
      <c r="BY632" s="14">
        <f t="shared" si="1060"/>
        <v>5</v>
      </c>
      <c r="BZ632" s="14">
        <f t="shared" si="1005"/>
        <v>1102996</v>
      </c>
      <c r="CA632" s="14" t="str">
        <f t="shared" si="1006"/>
        <v>UR守护灵8突</v>
      </c>
      <c r="CB632" s="25" t="s">
        <v>142</v>
      </c>
      <c r="CC632" s="14">
        <v>2</v>
      </c>
      <c r="CD632" s="14">
        <f t="shared" si="1003"/>
        <v>8</v>
      </c>
      <c r="CE632" s="14" t="s">
        <v>21</v>
      </c>
      <c r="CF632" s="14">
        <f>INDEX(属性投放!$AZ$6:$AZ$85,(BY632-2)*20+CD632)</f>
        <v>3070</v>
      </c>
      <c r="CG632" s="14" t="s">
        <v>22</v>
      </c>
      <c r="CH632" s="14">
        <f>INDEX(属性投放!$BA$6:$BA$85,(BY632-2)*20+CD632)</f>
        <v>1452</v>
      </c>
      <c r="CI632" s="14" t="s">
        <v>510</v>
      </c>
      <c r="CJ632" s="14">
        <f>INDEX(属性投放!$BB$6:$BB$85,(BY632-2)*20+CD632)</f>
        <v>20285</v>
      </c>
      <c r="CK632" s="14" t="s">
        <v>21</v>
      </c>
      <c r="CL632" s="14">
        <f>INDEX(属性投放!$BC$6:$BC$85,(BY632-2)*20+CD632)</f>
        <v>30</v>
      </c>
      <c r="CM632" s="14" t="s">
        <v>22</v>
      </c>
      <c r="CN632" s="14">
        <f>INDEX(属性投放!$BD$6:$BD$85,(BY632-2)*20+CD632)</f>
        <v>15</v>
      </c>
      <c r="CO632" s="14" t="s">
        <v>510</v>
      </c>
      <c r="CP632" s="14">
        <f>INDEX(属性投放!$BE$6:$BE$85,(BY632-2)*20+CD632)</f>
        <v>240</v>
      </c>
      <c r="CS632" s="13">
        <v>628</v>
      </c>
      <c r="CT632" s="13">
        <f t="shared" si="1007"/>
        <v>13</v>
      </c>
      <c r="CU632" s="13">
        <f t="shared" si="1008"/>
        <v>4</v>
      </c>
      <c r="CV632" s="14">
        <f t="shared" si="1009"/>
        <v>2</v>
      </c>
      <c r="CW632" s="14">
        <f t="shared" si="1010"/>
        <v>1102013</v>
      </c>
      <c r="CX632" s="14" t="str">
        <f>INDEX($O$6:$O$50,CT632)&amp;"-"&amp;INDEX(属性投放!$AB$7:$AB$50,CZ632)&amp;"-魂火-"&amp;DB632</f>
        <v>塞伯罗斯-黑绳+1-魂火-1</v>
      </c>
      <c r="CY632" s="25" t="s">
        <v>142</v>
      </c>
      <c r="CZ632" s="14">
        <f>INDEX(属性投放!$AM$7:$AM$58,CU632)</f>
        <v>3</v>
      </c>
      <c r="DA632" s="14" t="s">
        <v>537</v>
      </c>
      <c r="DB632" s="14">
        <f>INDEX(属性投放!$AN$7:$AN$58,CU632)</f>
        <v>1</v>
      </c>
      <c r="DC632" s="14">
        <f t="shared" si="1004"/>
        <v>4</v>
      </c>
      <c r="DD632" s="14">
        <f>INDEX(属性投放!$AO$7:$AO$58,DC632)</f>
        <v>18</v>
      </c>
      <c r="DE632" s="14" t="s">
        <v>538</v>
      </c>
      <c r="DF632" s="14">
        <f>INDEX(属性投放!$BK$6:$BK$85,(CV632-2)*20+CZ632)</f>
        <v>25</v>
      </c>
      <c r="DG632" s="14">
        <f>SUMIFS(DF$5:DF632,$CT$5:$CT632,"="&amp;$CT632)</f>
        <v>80</v>
      </c>
      <c r="DH632" s="14" t="s">
        <v>539</v>
      </c>
      <c r="DI632" s="14">
        <f>INDEX(属性投放!$BL$6:$BL$85,(CV632-2)*20+CZ632)</f>
        <v>13</v>
      </c>
      <c r="DJ632" s="14">
        <f>SUMIFS(DI$5:DI632,$CT$5:$CT632,"="&amp;$CT632)</f>
        <v>41</v>
      </c>
      <c r="DK632" s="14" t="s">
        <v>540</v>
      </c>
      <c r="DL632" s="14">
        <f>INDEX(属性投放!$BM$6:$BM$85,(CV632-2)*20+CZ632)</f>
        <v>150</v>
      </c>
      <c r="DM632" s="14">
        <f>SUMIFS(DL$5:DL632,$CT$5:$CT632,"="&amp;$CT632)</f>
        <v>480</v>
      </c>
      <c r="DR632" s="14">
        <f t="shared" si="1061"/>
        <v>1102996</v>
      </c>
      <c r="DS632" s="14" t="str">
        <f t="shared" si="1062"/>
        <v>UR守护灵8突</v>
      </c>
      <c r="DT632" s="14">
        <f t="shared" si="1011"/>
        <v>9</v>
      </c>
      <c r="DU632" s="14">
        <f t="shared" si="1012"/>
        <v>7</v>
      </c>
      <c r="DV632" s="14">
        <f t="shared" si="1013"/>
        <v>7</v>
      </c>
      <c r="DW632" s="14">
        <f t="shared" si="1063"/>
        <v>5</v>
      </c>
      <c r="DX632" s="14">
        <f t="shared" si="1064"/>
        <v>8</v>
      </c>
      <c r="DY632" s="14">
        <f t="shared" si="1065"/>
        <v>68</v>
      </c>
      <c r="DZ632" s="14">
        <f>INDEX(属性投放!$AX$6:$AX$85,(卡牌属性!DW632-2)*20+卡牌属性!DX632)</f>
        <v>5</v>
      </c>
      <c r="EA632" s="14">
        <f>INDEX(属性投放!BQ$6:BQ$85,卡牌属性!$DY632)</f>
        <v>190</v>
      </c>
      <c r="EB632" s="14">
        <f>INDEX(属性投放!BR$6:BR$85,卡牌属性!$DY632)</f>
        <v>95</v>
      </c>
      <c r="EC632" s="14">
        <f>INDEX(属性投放!BS$6:BS$85,卡牌属性!$DY632)</f>
        <v>1520</v>
      </c>
      <c r="ED632" s="14">
        <f t="shared" si="1044"/>
        <v>2255</v>
      </c>
      <c r="EE632" s="14">
        <f t="shared" si="1045"/>
        <v>2585</v>
      </c>
      <c r="EF632" s="14">
        <f t="shared" si="1046"/>
        <v>3025</v>
      </c>
      <c r="EG632" s="14">
        <f t="shared" si="1047"/>
        <v>3025</v>
      </c>
      <c r="EH632" s="14">
        <f t="shared" si="1048"/>
        <v>3690</v>
      </c>
      <c r="EI632" s="14">
        <f t="shared" si="1049"/>
        <v>918</v>
      </c>
      <c r="EJ632" s="14">
        <f t="shared" si="1050"/>
        <v>994</v>
      </c>
      <c r="EK632" s="14">
        <f t="shared" si="1051"/>
        <v>994</v>
      </c>
      <c r="EL632" s="14">
        <f t="shared" si="1052"/>
        <v>1092</v>
      </c>
      <c r="EM632" s="14">
        <f t="shared" si="1053"/>
        <v>1279</v>
      </c>
      <c r="EN632" s="14">
        <f t="shared" si="1054"/>
        <v>12543</v>
      </c>
      <c r="EO632" s="14">
        <f t="shared" si="1055"/>
        <v>13435</v>
      </c>
      <c r="EP632" s="14">
        <f t="shared" si="1056"/>
        <v>13435</v>
      </c>
      <c r="EQ632" s="14">
        <f t="shared" si="1057"/>
        <v>14585</v>
      </c>
      <c r="ER632" s="14">
        <f t="shared" si="1058"/>
        <v>16775</v>
      </c>
      <c r="ES632" s="14">
        <f>INDEX(属性偏向!$S$4:$S$243,(卡牌属性!$DT632-1+ES$3)*20+卡牌属性!$DX632)</f>
        <v>30</v>
      </c>
      <c r="ET632" s="14">
        <f>INDEX(属性偏向!$S$4:$S$243,(卡牌属性!$DT632-1+ET$3)*20+卡牌属性!$DX632)</f>
        <v>40</v>
      </c>
      <c r="EU632" s="14">
        <f>INDEX(属性偏向!$S$4:$S$243,(卡牌属性!$DT632-1+EU$3)*20+卡牌属性!$DX632)</f>
        <v>50</v>
      </c>
      <c r="EV632" s="14">
        <f>INDEX(属性偏向!$S$4:$S$243,(卡牌属性!$DT632-1+EV$3)*20+卡牌属性!$DX632)</f>
        <v>50</v>
      </c>
      <c r="EW632" s="14">
        <f>INDEX(属性偏向!$S$4:$S$243,(卡牌属性!$DT632-1+EW$3)*20+卡牌属性!$DX632)</f>
        <v>75</v>
      </c>
      <c r="EX632" s="14">
        <f>INDEX(属性偏向!$T$4:$T$243,(卡牌属性!$DU632-1+EX$3)*20+卡牌属性!$DX632)</f>
        <v>13</v>
      </c>
      <c r="EY632" s="14">
        <f>INDEX(属性偏向!$T$4:$T$243,(卡牌属性!$DU632-1+EY$3)*20+卡牌属性!$DX632)</f>
        <v>14</v>
      </c>
      <c r="EZ632" s="14">
        <f>INDEX(属性偏向!$T$4:$T$243,(卡牌属性!$DU632-1+EZ$3)*20+卡牌属性!$DX632)</f>
        <v>14</v>
      </c>
      <c r="FA632" s="14">
        <f>INDEX(属性偏向!$T$4:$T$243,(卡牌属性!$DU632-1+FA$3)*20+卡牌属性!$DX632)</f>
        <v>15</v>
      </c>
      <c r="FB632" s="14">
        <f>INDEX(属性偏向!$T$4:$T$243,(卡牌属性!$DU632-1+FB$3)*20+卡牌属性!$DX632)</f>
        <v>20</v>
      </c>
      <c r="FC632" s="14">
        <f>INDEX(属性偏向!$U$4:$U$243,(卡牌属性!$DV632-1+FC$3)*20+卡牌属性!$DX632)</f>
        <v>200</v>
      </c>
      <c r="FD632" s="14">
        <f>INDEX(属性偏向!$U$4:$U$243,(卡牌属性!$DV632-1+FD$3)*20+卡牌属性!$DX632)</f>
        <v>224</v>
      </c>
      <c r="FE632" s="14">
        <f>INDEX(属性偏向!$U$4:$U$243,(卡牌属性!$DV632-1+FE$3)*20+卡牌属性!$DX632)</f>
        <v>224</v>
      </c>
      <c r="FF632" s="14">
        <f>INDEX(属性偏向!$U$4:$U$243,(卡牌属性!$DV632-1+FF$3)*20+卡牌属性!$DX632)</f>
        <v>240</v>
      </c>
      <c r="FG632" s="14">
        <f>INDEX(属性偏向!$U$4:$U$243,(卡牌属性!$DV632-1+FG$3)*20+卡牌属性!$DX632)</f>
        <v>320</v>
      </c>
      <c r="FH632" s="14">
        <f>INDEX(属性投放!$BQ$6:$BQ$85,(卡牌属性!$DW632-2)*20+卡牌属性!$DX632)</f>
        <v>190</v>
      </c>
      <c r="FI632" s="14">
        <f>INDEX(属性投放!$BQ$6:$BQ$85,(卡牌属性!$DW632-2)*20+卡牌属性!$DX632)</f>
        <v>190</v>
      </c>
      <c r="FJ632" s="14">
        <f>INDEX(属性投放!$BQ$6:$BQ$85,(卡牌属性!$DW632-2)*20+卡牌属性!$DX632)</f>
        <v>190</v>
      </c>
      <c r="FK632" s="14">
        <f>INDEX(属性投放!$BQ$6:$BQ$85,(卡牌属性!$DW632-2)*20+卡牌属性!$DX632)</f>
        <v>190</v>
      </c>
      <c r="FL632" s="14">
        <f>INDEX(属性投放!$BQ$6:$BQ$85,(卡牌属性!$DW632-2)*20+卡牌属性!$DX632)</f>
        <v>190</v>
      </c>
      <c r="FM632" s="14">
        <f>INDEX(属性投放!$BR$6:$BR$85,(卡牌属性!$DW632-2)*20+卡牌属性!$DX632)</f>
        <v>95</v>
      </c>
      <c r="FN632" s="14">
        <f>INDEX(属性投放!$BR$6:$BR$85,(卡牌属性!$DW632-2)*20+卡牌属性!$DX632)</f>
        <v>95</v>
      </c>
      <c r="FO632" s="14">
        <f>INDEX(属性投放!$BR$6:$BR$85,(卡牌属性!$DW632-2)*20+卡牌属性!$DX632)</f>
        <v>95</v>
      </c>
      <c r="FP632" s="14">
        <f>INDEX(属性投放!$BR$6:$BR$85,(卡牌属性!$DW632-2)*20+卡牌属性!$DX632)</f>
        <v>95</v>
      </c>
      <c r="FQ632" s="14">
        <f>INDEX(属性投放!$BR$6:$BR$85,(卡牌属性!$DW632-2)*20+卡牌属性!$DX632)</f>
        <v>95</v>
      </c>
      <c r="FR632" s="14">
        <f>INDEX(属性投放!$BS$6:$BS$85,(卡牌属性!$DW632-2)*20+卡牌属性!$DX632)</f>
        <v>1520</v>
      </c>
      <c r="FS632" s="14">
        <f>INDEX(属性投放!$BS$6:$BS$85,(卡牌属性!$DW632-2)*20+卡牌属性!$DX632)</f>
        <v>1520</v>
      </c>
      <c r="FT632" s="14">
        <f>INDEX(属性投放!$BS$6:$BS$85,(卡牌属性!$DW632-2)*20+卡牌属性!$DX632)</f>
        <v>1520</v>
      </c>
      <c r="FU632" s="14">
        <f>INDEX(属性投放!$BS$6:$BS$85,(卡牌属性!$DW632-2)*20+卡牌属性!$DX632)</f>
        <v>1520</v>
      </c>
      <c r="FV632" s="14">
        <f>INDEX(属性投放!$BS$6:$BS$85,(卡牌属性!$DW632-2)*20+卡牌属性!$DX632)</f>
        <v>1520</v>
      </c>
    </row>
    <row r="633" spans="31:178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>
        <v>629</v>
      </c>
      <c r="BX633" s="13">
        <f t="shared" si="1059"/>
        <v>32</v>
      </c>
      <c r="BY633" s="14">
        <f t="shared" si="1060"/>
        <v>5</v>
      </c>
      <c r="BZ633" s="14">
        <f t="shared" si="1005"/>
        <v>1102996</v>
      </c>
      <c r="CA633" s="14" t="str">
        <f t="shared" si="1006"/>
        <v>UR守护灵9突</v>
      </c>
      <c r="CB633" s="25" t="s">
        <v>142</v>
      </c>
      <c r="CC633" s="14">
        <v>2</v>
      </c>
      <c r="CD633" s="14">
        <f t="shared" si="1003"/>
        <v>9</v>
      </c>
      <c r="CE633" s="14" t="s">
        <v>21</v>
      </c>
      <c r="CF633" s="14">
        <f>INDEX(属性投放!$AZ$6:$AZ$85,(BY633-2)*20+CD633)</f>
        <v>3650</v>
      </c>
      <c r="CG633" s="14" t="s">
        <v>22</v>
      </c>
      <c r="CH633" s="14">
        <f>INDEX(属性投放!$BA$6:$BA$85,(BY633-2)*20+CD633)</f>
        <v>1742</v>
      </c>
      <c r="CI633" s="14" t="s">
        <v>510</v>
      </c>
      <c r="CJ633" s="14">
        <f>INDEX(属性投放!$BB$6:$BB$85,(BY633-2)*20+CD633)</f>
        <v>24925</v>
      </c>
      <c r="CK633" s="14" t="s">
        <v>21</v>
      </c>
      <c r="CL633" s="14">
        <f>INDEX(属性投放!$BC$6:$BC$85,(BY633-2)*20+CD633)</f>
        <v>30</v>
      </c>
      <c r="CM633" s="14" t="s">
        <v>22</v>
      </c>
      <c r="CN633" s="14">
        <f>INDEX(属性投放!$BD$6:$BD$85,(BY633-2)*20+CD633)</f>
        <v>15</v>
      </c>
      <c r="CO633" s="14" t="s">
        <v>510</v>
      </c>
      <c r="CP633" s="14">
        <f>INDEX(属性投放!$BE$6:$BE$85,(BY633-2)*20+CD633)</f>
        <v>240</v>
      </c>
      <c r="CS633" s="13">
        <v>629</v>
      </c>
      <c r="CT633" s="13">
        <f t="shared" si="1007"/>
        <v>13</v>
      </c>
      <c r="CU633" s="13">
        <f t="shared" si="1008"/>
        <v>5</v>
      </c>
      <c r="CV633" s="14">
        <f t="shared" si="1009"/>
        <v>2</v>
      </c>
      <c r="CW633" s="14">
        <f t="shared" si="1010"/>
        <v>1102013</v>
      </c>
      <c r="CX633" s="14" t="str">
        <f>INDEX($O$6:$O$50,CT633)&amp;"-"&amp;INDEX(属性投放!$AB$7:$AB$50,CZ633)&amp;"-魂火-"&amp;DB633</f>
        <v>塞伯罗斯-黑绳+1-魂火-2</v>
      </c>
      <c r="CY633" s="25" t="s">
        <v>142</v>
      </c>
      <c r="CZ633" s="14">
        <f>INDEX(属性投放!$AM$7:$AM$58,CU633)</f>
        <v>3</v>
      </c>
      <c r="DA633" s="14" t="s">
        <v>537</v>
      </c>
      <c r="DB633" s="14">
        <f>INDEX(属性投放!$AN$7:$AN$58,CU633)</f>
        <v>2</v>
      </c>
      <c r="DC633" s="14">
        <f t="shared" si="1004"/>
        <v>5</v>
      </c>
      <c r="DD633" s="14">
        <f>INDEX(属性投放!$AO$7:$AO$58,DC633)</f>
        <v>23</v>
      </c>
      <c r="DE633" s="14" t="s">
        <v>538</v>
      </c>
      <c r="DF633" s="14">
        <f>INDEX(属性投放!$BK$6:$BK$85,(CV633-2)*20+CZ633)</f>
        <v>25</v>
      </c>
      <c r="DG633" s="14">
        <f>SUMIFS(DF$5:DF633,$CT$5:$CT633,"="&amp;$CT633)</f>
        <v>105</v>
      </c>
      <c r="DH633" s="14" t="s">
        <v>539</v>
      </c>
      <c r="DI633" s="14">
        <f>INDEX(属性投放!$BL$6:$BL$85,(CV633-2)*20+CZ633)</f>
        <v>13</v>
      </c>
      <c r="DJ633" s="14">
        <f>SUMIFS(DI$5:DI633,$CT$5:$CT633,"="&amp;$CT633)</f>
        <v>54</v>
      </c>
      <c r="DK633" s="14" t="s">
        <v>540</v>
      </c>
      <c r="DL633" s="14">
        <f>INDEX(属性投放!$BM$6:$BM$85,(CV633-2)*20+CZ633)</f>
        <v>150</v>
      </c>
      <c r="DM633" s="14">
        <f>SUMIFS(DL$5:DL633,$CT$5:$CT633,"="&amp;$CT633)</f>
        <v>630</v>
      </c>
      <c r="DR633" s="14">
        <f t="shared" si="1061"/>
        <v>1102996</v>
      </c>
      <c r="DS633" s="14" t="str">
        <f t="shared" si="1062"/>
        <v>UR守护灵9突</v>
      </c>
      <c r="DT633" s="14">
        <f t="shared" si="1011"/>
        <v>9</v>
      </c>
      <c r="DU633" s="14">
        <f t="shared" si="1012"/>
        <v>7</v>
      </c>
      <c r="DV633" s="14">
        <f t="shared" si="1013"/>
        <v>7</v>
      </c>
      <c r="DW633" s="14">
        <f t="shared" si="1063"/>
        <v>5</v>
      </c>
      <c r="DX633" s="14">
        <f t="shared" si="1064"/>
        <v>9</v>
      </c>
      <c r="DY633" s="14">
        <f t="shared" si="1065"/>
        <v>69</v>
      </c>
      <c r="DZ633" s="14">
        <f>INDEX(属性投放!$AX$6:$AX$85,(卡牌属性!DW633-2)*20+卡牌属性!DX633)</f>
        <v>8</v>
      </c>
      <c r="EA633" s="14">
        <f>INDEX(属性投放!BQ$6:BQ$85,卡牌属性!$DY633)</f>
        <v>220</v>
      </c>
      <c r="EB633" s="14">
        <f>INDEX(属性投放!BR$6:BR$85,卡牌属性!$DY633)</f>
        <v>110</v>
      </c>
      <c r="EC633" s="14">
        <f>INDEX(属性投放!BS$6:BS$85,卡牌属性!$DY633)</f>
        <v>1760</v>
      </c>
      <c r="ED633" s="14">
        <f t="shared" si="1044"/>
        <v>2595</v>
      </c>
      <c r="EE633" s="14">
        <f t="shared" si="1045"/>
        <v>2975</v>
      </c>
      <c r="EF633" s="14">
        <f t="shared" si="1046"/>
        <v>3465</v>
      </c>
      <c r="EG633" s="14">
        <f t="shared" si="1047"/>
        <v>3465</v>
      </c>
      <c r="EH633" s="14">
        <f t="shared" si="1048"/>
        <v>4255</v>
      </c>
      <c r="EI633" s="14">
        <f t="shared" si="1049"/>
        <v>1078</v>
      </c>
      <c r="EJ633" s="14">
        <f t="shared" si="1050"/>
        <v>1159</v>
      </c>
      <c r="EK633" s="14">
        <f t="shared" si="1051"/>
        <v>1159</v>
      </c>
      <c r="EL633" s="14">
        <f t="shared" si="1052"/>
        <v>1262</v>
      </c>
      <c r="EM633" s="14">
        <f t="shared" si="1053"/>
        <v>1474</v>
      </c>
      <c r="EN633" s="14">
        <f t="shared" si="1054"/>
        <v>15063</v>
      </c>
      <c r="EO633" s="14">
        <f t="shared" si="1055"/>
        <v>16075</v>
      </c>
      <c r="EP633" s="14">
        <f t="shared" si="1056"/>
        <v>16075</v>
      </c>
      <c r="EQ633" s="14">
        <f t="shared" si="1057"/>
        <v>17305</v>
      </c>
      <c r="ER633" s="14">
        <f t="shared" si="1058"/>
        <v>19895</v>
      </c>
      <c r="ES633" s="14">
        <f>INDEX(属性偏向!$S$4:$S$243,(卡牌属性!$DT633-1+ES$3)*20+卡牌属性!$DX633)</f>
        <v>30</v>
      </c>
      <c r="ET633" s="14">
        <f>INDEX(属性偏向!$S$4:$S$243,(卡牌属性!$DT633-1+ET$3)*20+卡牌属性!$DX633)</f>
        <v>40</v>
      </c>
      <c r="EU633" s="14">
        <f>INDEX(属性偏向!$S$4:$S$243,(卡牌属性!$DT633-1+EU$3)*20+卡牌属性!$DX633)</f>
        <v>50</v>
      </c>
      <c r="EV633" s="14">
        <f>INDEX(属性偏向!$S$4:$S$243,(卡牌属性!$DT633-1+EV$3)*20+卡牌属性!$DX633)</f>
        <v>50</v>
      </c>
      <c r="EW633" s="14">
        <f>INDEX(属性偏向!$S$4:$S$243,(卡牌属性!$DT633-1+EW$3)*20+卡牌属性!$DX633)</f>
        <v>75</v>
      </c>
      <c r="EX633" s="14">
        <f>INDEX(属性偏向!$T$4:$T$243,(卡牌属性!$DU633-1+EX$3)*20+卡牌属性!$DX633)</f>
        <v>13</v>
      </c>
      <c r="EY633" s="14">
        <f>INDEX(属性偏向!$T$4:$T$243,(卡牌属性!$DU633-1+EY$3)*20+卡牌属性!$DX633)</f>
        <v>14</v>
      </c>
      <c r="EZ633" s="14">
        <f>INDEX(属性偏向!$T$4:$T$243,(卡牌属性!$DU633-1+EZ$3)*20+卡牌属性!$DX633)</f>
        <v>14</v>
      </c>
      <c r="FA633" s="14">
        <f>INDEX(属性偏向!$T$4:$T$243,(卡牌属性!$DU633-1+FA$3)*20+卡牌属性!$DX633)</f>
        <v>15</v>
      </c>
      <c r="FB633" s="14">
        <f>INDEX(属性偏向!$T$4:$T$243,(卡牌属性!$DU633-1+FB$3)*20+卡牌属性!$DX633)</f>
        <v>20</v>
      </c>
      <c r="FC633" s="14">
        <f>INDEX(属性偏向!$U$4:$U$243,(卡牌属性!$DV633-1+FC$3)*20+卡牌属性!$DX633)</f>
        <v>200</v>
      </c>
      <c r="FD633" s="14">
        <f>INDEX(属性偏向!$U$4:$U$243,(卡牌属性!$DV633-1+FD$3)*20+卡牌属性!$DX633)</f>
        <v>224</v>
      </c>
      <c r="FE633" s="14">
        <f>INDEX(属性偏向!$U$4:$U$243,(卡牌属性!$DV633-1+FE$3)*20+卡牌属性!$DX633)</f>
        <v>224</v>
      </c>
      <c r="FF633" s="14">
        <f>INDEX(属性偏向!$U$4:$U$243,(卡牌属性!$DV633-1+FF$3)*20+卡牌属性!$DX633)</f>
        <v>240</v>
      </c>
      <c r="FG633" s="14">
        <f>INDEX(属性偏向!$U$4:$U$243,(卡牌属性!$DV633-1+FG$3)*20+卡牌属性!$DX633)</f>
        <v>320</v>
      </c>
      <c r="FH633" s="14">
        <f>INDEX(属性投放!$BQ$6:$BQ$85,(卡牌属性!$DW633-2)*20+卡牌属性!$DX633)</f>
        <v>220</v>
      </c>
      <c r="FI633" s="14">
        <f>INDEX(属性投放!$BQ$6:$BQ$85,(卡牌属性!$DW633-2)*20+卡牌属性!$DX633)</f>
        <v>220</v>
      </c>
      <c r="FJ633" s="14">
        <f>INDEX(属性投放!$BQ$6:$BQ$85,(卡牌属性!$DW633-2)*20+卡牌属性!$DX633)</f>
        <v>220</v>
      </c>
      <c r="FK633" s="14">
        <f>INDEX(属性投放!$BQ$6:$BQ$85,(卡牌属性!$DW633-2)*20+卡牌属性!$DX633)</f>
        <v>220</v>
      </c>
      <c r="FL633" s="14">
        <f>INDEX(属性投放!$BQ$6:$BQ$85,(卡牌属性!$DW633-2)*20+卡牌属性!$DX633)</f>
        <v>220</v>
      </c>
      <c r="FM633" s="14">
        <f>INDEX(属性投放!$BR$6:$BR$85,(卡牌属性!$DW633-2)*20+卡牌属性!$DX633)</f>
        <v>110</v>
      </c>
      <c r="FN633" s="14">
        <f>INDEX(属性投放!$BR$6:$BR$85,(卡牌属性!$DW633-2)*20+卡牌属性!$DX633)</f>
        <v>110</v>
      </c>
      <c r="FO633" s="14">
        <f>INDEX(属性投放!$BR$6:$BR$85,(卡牌属性!$DW633-2)*20+卡牌属性!$DX633)</f>
        <v>110</v>
      </c>
      <c r="FP633" s="14">
        <f>INDEX(属性投放!$BR$6:$BR$85,(卡牌属性!$DW633-2)*20+卡牌属性!$DX633)</f>
        <v>110</v>
      </c>
      <c r="FQ633" s="14">
        <f>INDEX(属性投放!$BR$6:$BR$85,(卡牌属性!$DW633-2)*20+卡牌属性!$DX633)</f>
        <v>110</v>
      </c>
      <c r="FR633" s="14">
        <f>INDEX(属性投放!$BS$6:$BS$85,(卡牌属性!$DW633-2)*20+卡牌属性!$DX633)</f>
        <v>1760</v>
      </c>
      <c r="FS633" s="14">
        <f>INDEX(属性投放!$BS$6:$BS$85,(卡牌属性!$DW633-2)*20+卡牌属性!$DX633)</f>
        <v>1760</v>
      </c>
      <c r="FT633" s="14">
        <f>INDEX(属性投放!$BS$6:$BS$85,(卡牌属性!$DW633-2)*20+卡牌属性!$DX633)</f>
        <v>1760</v>
      </c>
      <c r="FU633" s="14">
        <f>INDEX(属性投放!$BS$6:$BS$85,(卡牌属性!$DW633-2)*20+卡牌属性!$DX633)</f>
        <v>1760</v>
      </c>
      <c r="FV633" s="14">
        <f>INDEX(属性投放!$BS$6:$BS$85,(卡牌属性!$DW633-2)*20+卡牌属性!$DX633)</f>
        <v>1760</v>
      </c>
    </row>
    <row r="634" spans="31:178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>
        <v>630</v>
      </c>
      <c r="BX634" s="13">
        <f t="shared" si="1059"/>
        <v>32</v>
      </c>
      <c r="BY634" s="14">
        <f t="shared" si="1060"/>
        <v>5</v>
      </c>
      <c r="BZ634" s="14">
        <f t="shared" si="1005"/>
        <v>1102996</v>
      </c>
      <c r="CA634" s="14" t="str">
        <f t="shared" si="1006"/>
        <v>UR守护灵10突</v>
      </c>
      <c r="CB634" s="25" t="s">
        <v>142</v>
      </c>
      <c r="CC634" s="14">
        <v>2</v>
      </c>
      <c r="CD634" s="14">
        <f t="shared" si="1003"/>
        <v>10</v>
      </c>
      <c r="CE634" s="14" t="s">
        <v>21</v>
      </c>
      <c r="CF634" s="14">
        <f>INDEX(属性投放!$AZ$6:$AZ$85,(BY634-2)*20+CD634)</f>
        <v>4524</v>
      </c>
      <c r="CG634" s="14" t="s">
        <v>22</v>
      </c>
      <c r="CH634" s="14">
        <f>INDEX(属性投放!$BA$6:$BA$85,(BY634-2)*20+CD634)</f>
        <v>2179</v>
      </c>
      <c r="CI634" s="14" t="s">
        <v>510</v>
      </c>
      <c r="CJ634" s="14">
        <f>INDEX(属性投放!$BB$6:$BB$85,(BY634-2)*20+CD634)</f>
        <v>31917</v>
      </c>
      <c r="CK634" s="14" t="s">
        <v>21</v>
      </c>
      <c r="CL634" s="14">
        <f>INDEX(属性投放!$BC$6:$BC$85,(BY634-2)*20+CD634)</f>
        <v>40</v>
      </c>
      <c r="CM634" s="14" t="s">
        <v>22</v>
      </c>
      <c r="CN634" s="14">
        <f>INDEX(属性投放!$BD$6:$BD$85,(BY634-2)*20+CD634)</f>
        <v>20</v>
      </c>
      <c r="CO634" s="14" t="s">
        <v>510</v>
      </c>
      <c r="CP634" s="14">
        <f>INDEX(属性投放!$BE$6:$BE$85,(BY634-2)*20+CD634)</f>
        <v>360</v>
      </c>
      <c r="CS634" s="13">
        <v>630</v>
      </c>
      <c r="CT634" s="13">
        <f t="shared" si="1007"/>
        <v>13</v>
      </c>
      <c r="CU634" s="13">
        <f t="shared" si="1008"/>
        <v>6</v>
      </c>
      <c r="CV634" s="14">
        <f t="shared" si="1009"/>
        <v>2</v>
      </c>
      <c r="CW634" s="14">
        <f t="shared" si="1010"/>
        <v>1102013</v>
      </c>
      <c r="CX634" s="14" t="str">
        <f>INDEX($O$6:$O$50,CT634)&amp;"-"&amp;INDEX(属性投放!$AB$7:$AB$50,CZ634)&amp;"-魂火-"&amp;DB634</f>
        <v>塞伯罗斯-众合-魂火-1</v>
      </c>
      <c r="CY634" s="25" t="s">
        <v>142</v>
      </c>
      <c r="CZ634" s="14">
        <f>INDEX(属性投放!$AM$7:$AM$58,CU634)</f>
        <v>4</v>
      </c>
      <c r="DA634" s="14" t="s">
        <v>537</v>
      </c>
      <c r="DB634" s="14">
        <f>INDEX(属性投放!$AN$7:$AN$58,CU634)</f>
        <v>1</v>
      </c>
      <c r="DC634" s="14">
        <f t="shared" si="1004"/>
        <v>6</v>
      </c>
      <c r="DD634" s="14">
        <f>INDEX(属性投放!$AO$7:$AO$58,DC634)</f>
        <v>28</v>
      </c>
      <c r="DE634" s="14" t="s">
        <v>538</v>
      </c>
      <c r="DF634" s="14">
        <f>INDEX(属性投放!$BK$6:$BK$85,(CV634-2)*20+CZ634)</f>
        <v>30</v>
      </c>
      <c r="DG634" s="14">
        <f>SUMIFS(DF$5:DF634,$CT$5:$CT634,"="&amp;$CT634)</f>
        <v>135</v>
      </c>
      <c r="DH634" s="14" t="s">
        <v>539</v>
      </c>
      <c r="DI634" s="14">
        <f>INDEX(属性投放!$BL$6:$BL$85,(CV634-2)*20+CZ634)</f>
        <v>15</v>
      </c>
      <c r="DJ634" s="14">
        <f>SUMIFS(DI$5:DI634,$CT$5:$CT634,"="&amp;$CT634)</f>
        <v>69</v>
      </c>
      <c r="DK634" s="14" t="s">
        <v>540</v>
      </c>
      <c r="DL634" s="14">
        <f>INDEX(属性投放!$BM$6:$BM$85,(CV634-2)*20+CZ634)</f>
        <v>210</v>
      </c>
      <c r="DM634" s="14">
        <f>SUMIFS(DL$5:DL634,$CT$5:$CT634,"="&amp;$CT634)</f>
        <v>840</v>
      </c>
      <c r="DR634" s="14">
        <f t="shared" si="1061"/>
        <v>1102996</v>
      </c>
      <c r="DS634" s="14" t="str">
        <f t="shared" si="1062"/>
        <v>UR守护灵10突</v>
      </c>
      <c r="DT634" s="14">
        <f t="shared" si="1011"/>
        <v>9</v>
      </c>
      <c r="DU634" s="14">
        <f t="shared" si="1012"/>
        <v>7</v>
      </c>
      <c r="DV634" s="14">
        <f t="shared" si="1013"/>
        <v>7</v>
      </c>
      <c r="DW634" s="14">
        <f t="shared" si="1063"/>
        <v>5</v>
      </c>
      <c r="DX634" s="14">
        <f t="shared" si="1064"/>
        <v>10</v>
      </c>
      <c r="DY634" s="14">
        <f t="shared" si="1065"/>
        <v>70</v>
      </c>
      <c r="DZ634" s="14">
        <f>INDEX(属性投放!$AX$6:$AX$85,(卡牌属性!DW634-2)*20+卡牌属性!DX634)</f>
        <v>7</v>
      </c>
      <c r="EA634" s="14">
        <f>INDEX(属性投放!BQ$6:BQ$85,卡牌属性!$DY634)</f>
        <v>215</v>
      </c>
      <c r="EB634" s="14">
        <f>INDEX(属性投放!BR$6:BR$85,卡牌属性!$DY634)</f>
        <v>108</v>
      </c>
      <c r="EC634" s="14">
        <f>INDEX(属性投放!BS$6:BS$85,卡牌属性!$DY634)</f>
        <v>1935</v>
      </c>
      <c r="ED634" s="14">
        <f t="shared" si="1044"/>
        <v>3055</v>
      </c>
      <c r="EE634" s="14">
        <f t="shared" si="1045"/>
        <v>3515</v>
      </c>
      <c r="EF634" s="14">
        <f t="shared" si="1046"/>
        <v>4085</v>
      </c>
      <c r="EG634" s="14">
        <f t="shared" si="1047"/>
        <v>4085</v>
      </c>
      <c r="EH634" s="14">
        <f t="shared" si="1048"/>
        <v>5075</v>
      </c>
      <c r="EI634" s="14">
        <f t="shared" si="1049"/>
        <v>1292</v>
      </c>
      <c r="EJ634" s="14">
        <f t="shared" si="1050"/>
        <v>1381</v>
      </c>
      <c r="EK634" s="14">
        <f t="shared" si="1051"/>
        <v>1381</v>
      </c>
      <c r="EL634" s="14">
        <f t="shared" si="1052"/>
        <v>1492</v>
      </c>
      <c r="EM634" s="14">
        <f t="shared" si="1053"/>
        <v>1744</v>
      </c>
      <c r="EN634" s="14">
        <f t="shared" si="1054"/>
        <v>18423</v>
      </c>
      <c r="EO634" s="14">
        <f t="shared" si="1055"/>
        <v>19627</v>
      </c>
      <c r="EP634" s="14">
        <f t="shared" si="1056"/>
        <v>19627</v>
      </c>
      <c r="EQ634" s="14">
        <f t="shared" si="1057"/>
        <v>20985</v>
      </c>
      <c r="ER634" s="14">
        <f t="shared" si="1058"/>
        <v>24215</v>
      </c>
      <c r="ES634" s="14">
        <f>INDEX(属性偏向!$S$4:$S$243,(卡牌属性!$DT634-1+ES$3)*20+卡牌属性!$DX634)</f>
        <v>40</v>
      </c>
      <c r="ET634" s="14">
        <f>INDEX(属性偏向!$S$4:$S$243,(卡牌属性!$DT634-1+ET$3)*20+卡牌属性!$DX634)</f>
        <v>50</v>
      </c>
      <c r="EU634" s="14">
        <f>INDEX(属性偏向!$S$4:$S$243,(卡牌属性!$DT634-1+EU$3)*20+卡牌属性!$DX634)</f>
        <v>75</v>
      </c>
      <c r="EV634" s="14">
        <f>INDEX(属性偏向!$S$4:$S$243,(卡牌属性!$DT634-1+EV$3)*20+卡牌属性!$DX634)</f>
        <v>75</v>
      </c>
      <c r="EW634" s="14">
        <f>INDEX(属性偏向!$S$4:$S$243,(卡牌属性!$DT634-1+EW$3)*20+卡牌属性!$DX634)</f>
        <v>100</v>
      </c>
      <c r="EX634" s="14">
        <f>INDEX(属性偏向!$T$4:$T$243,(卡牌属性!$DU634-1+EX$3)*20+卡牌属性!$DX634)</f>
        <v>15</v>
      </c>
      <c r="EY634" s="14">
        <f>INDEX(属性偏向!$T$4:$T$243,(卡牌属性!$DU634-1+EY$3)*20+卡牌属性!$DX634)</f>
        <v>18</v>
      </c>
      <c r="EZ634" s="14">
        <f>INDEX(属性偏向!$T$4:$T$243,(卡牌属性!$DU634-1+EZ$3)*20+卡牌属性!$DX634)</f>
        <v>18</v>
      </c>
      <c r="FA634" s="14">
        <f>INDEX(属性偏向!$T$4:$T$243,(卡牌属性!$DU634-1+FA$3)*20+卡牌属性!$DX634)</f>
        <v>20</v>
      </c>
      <c r="FB634" s="14">
        <f>INDEX(属性偏向!$T$4:$T$243,(卡牌属性!$DU634-1+FB$3)*20+卡牌属性!$DX634)</f>
        <v>25</v>
      </c>
      <c r="FC634" s="14">
        <f>INDEX(属性偏向!$U$4:$U$243,(卡牌属性!$DV634-1+FC$3)*20+卡牌属性!$DX634)</f>
        <v>270</v>
      </c>
      <c r="FD634" s="14">
        <f>INDEX(属性偏向!$U$4:$U$243,(卡牌属性!$DV634-1+FD$3)*20+卡牌属性!$DX634)</f>
        <v>315</v>
      </c>
      <c r="FE634" s="14">
        <f>INDEX(属性偏向!$U$4:$U$243,(卡牌属性!$DV634-1+FE$3)*20+卡牌属性!$DX634)</f>
        <v>315</v>
      </c>
      <c r="FF634" s="14">
        <f>INDEX(属性偏向!$U$4:$U$243,(卡牌属性!$DV634-1+FF$3)*20+卡牌属性!$DX634)</f>
        <v>360</v>
      </c>
      <c r="FG634" s="14">
        <f>INDEX(属性偏向!$U$4:$U$243,(卡牌属性!$DV634-1+FG$3)*20+卡牌属性!$DX634)</f>
        <v>450</v>
      </c>
      <c r="FH634" s="14">
        <f>INDEX(属性投放!$BQ$6:$BQ$85,(卡牌属性!$DW634-2)*20+卡牌属性!$DX634)</f>
        <v>215</v>
      </c>
      <c r="FI634" s="14">
        <f>INDEX(属性投放!$BQ$6:$BQ$85,(卡牌属性!$DW634-2)*20+卡牌属性!$DX634)</f>
        <v>215</v>
      </c>
      <c r="FJ634" s="14">
        <f>INDEX(属性投放!$BQ$6:$BQ$85,(卡牌属性!$DW634-2)*20+卡牌属性!$DX634)</f>
        <v>215</v>
      </c>
      <c r="FK634" s="14">
        <f>INDEX(属性投放!$BQ$6:$BQ$85,(卡牌属性!$DW634-2)*20+卡牌属性!$DX634)</f>
        <v>215</v>
      </c>
      <c r="FL634" s="14">
        <f>INDEX(属性投放!$BQ$6:$BQ$85,(卡牌属性!$DW634-2)*20+卡牌属性!$DX634)</f>
        <v>215</v>
      </c>
      <c r="FM634" s="14">
        <f>INDEX(属性投放!$BR$6:$BR$85,(卡牌属性!$DW634-2)*20+卡牌属性!$DX634)</f>
        <v>108</v>
      </c>
      <c r="FN634" s="14">
        <f>INDEX(属性投放!$BR$6:$BR$85,(卡牌属性!$DW634-2)*20+卡牌属性!$DX634)</f>
        <v>108</v>
      </c>
      <c r="FO634" s="14">
        <f>INDEX(属性投放!$BR$6:$BR$85,(卡牌属性!$DW634-2)*20+卡牌属性!$DX634)</f>
        <v>108</v>
      </c>
      <c r="FP634" s="14">
        <f>INDEX(属性投放!$BR$6:$BR$85,(卡牌属性!$DW634-2)*20+卡牌属性!$DX634)</f>
        <v>108</v>
      </c>
      <c r="FQ634" s="14">
        <f>INDEX(属性投放!$BR$6:$BR$85,(卡牌属性!$DW634-2)*20+卡牌属性!$DX634)</f>
        <v>108</v>
      </c>
      <c r="FR634" s="14">
        <f>INDEX(属性投放!$BS$6:$BS$85,(卡牌属性!$DW634-2)*20+卡牌属性!$DX634)</f>
        <v>1935</v>
      </c>
      <c r="FS634" s="14">
        <f>INDEX(属性投放!$BS$6:$BS$85,(卡牌属性!$DW634-2)*20+卡牌属性!$DX634)</f>
        <v>1935</v>
      </c>
      <c r="FT634" s="14">
        <f>INDEX(属性投放!$BS$6:$BS$85,(卡牌属性!$DW634-2)*20+卡牌属性!$DX634)</f>
        <v>1935</v>
      </c>
      <c r="FU634" s="14">
        <f>INDEX(属性投放!$BS$6:$BS$85,(卡牌属性!$DW634-2)*20+卡牌属性!$DX634)</f>
        <v>1935</v>
      </c>
      <c r="FV634" s="14">
        <f>INDEX(属性投放!$BS$6:$BS$85,(卡牌属性!$DW634-2)*20+卡牌属性!$DX634)</f>
        <v>1935</v>
      </c>
    </row>
    <row r="635" spans="31:178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>
        <v>631</v>
      </c>
      <c r="BX635" s="13">
        <f t="shared" si="1059"/>
        <v>32</v>
      </c>
      <c r="BY635" s="14">
        <f t="shared" si="1060"/>
        <v>5</v>
      </c>
      <c r="BZ635" s="14">
        <f t="shared" si="1005"/>
        <v>1102996</v>
      </c>
      <c r="CA635" s="14" t="str">
        <f t="shared" si="1006"/>
        <v>UR守护灵11突</v>
      </c>
      <c r="CB635" s="25" t="s">
        <v>142</v>
      </c>
      <c r="CC635" s="14">
        <v>2</v>
      </c>
      <c r="CD635" s="14">
        <f t="shared" si="1003"/>
        <v>11</v>
      </c>
      <c r="CE635" s="14" t="s">
        <v>21</v>
      </c>
      <c r="CF635" s="14">
        <f>INDEX(属性投放!$AZ$6:$AZ$85,(BY635-2)*20+CD635)</f>
        <v>5469</v>
      </c>
      <c r="CG635" s="14" t="s">
        <v>22</v>
      </c>
      <c r="CH635" s="14">
        <f>INDEX(属性投放!$BA$6:$BA$85,(BY635-2)*20+CD635)</f>
        <v>2652</v>
      </c>
      <c r="CI635" s="14" t="s">
        <v>510</v>
      </c>
      <c r="CJ635" s="14">
        <f>INDEX(属性投放!$BB$6:$BB$85,(BY635-2)*20+CD635)</f>
        <v>40422</v>
      </c>
      <c r="CK635" s="14" t="s">
        <v>21</v>
      </c>
      <c r="CL635" s="14">
        <f>INDEX(属性投放!$BC$6:$BC$85,(BY635-2)*20+CD635)</f>
        <v>40</v>
      </c>
      <c r="CM635" s="14" t="s">
        <v>22</v>
      </c>
      <c r="CN635" s="14">
        <f>INDEX(属性投放!$BD$6:$BD$85,(BY635-2)*20+CD635)</f>
        <v>20</v>
      </c>
      <c r="CO635" s="14" t="s">
        <v>510</v>
      </c>
      <c r="CP635" s="14">
        <f>INDEX(属性投放!$BE$6:$BE$85,(BY635-2)*20+CD635)</f>
        <v>360</v>
      </c>
      <c r="CS635" s="13">
        <v>631</v>
      </c>
      <c r="CT635" s="13">
        <f t="shared" si="1007"/>
        <v>13</v>
      </c>
      <c r="CU635" s="13">
        <f t="shared" si="1008"/>
        <v>7</v>
      </c>
      <c r="CV635" s="14">
        <f t="shared" si="1009"/>
        <v>2</v>
      </c>
      <c r="CW635" s="14">
        <f t="shared" si="1010"/>
        <v>1102013</v>
      </c>
      <c r="CX635" s="14" t="str">
        <f>INDEX($O$6:$O$50,CT635)&amp;"-"&amp;INDEX(属性投放!$AB$7:$AB$50,CZ635)&amp;"-魂火-"&amp;DB635</f>
        <v>塞伯罗斯-众合-魂火-2</v>
      </c>
      <c r="CY635" s="25" t="s">
        <v>142</v>
      </c>
      <c r="CZ635" s="14">
        <f>INDEX(属性投放!$AM$7:$AM$58,CU635)</f>
        <v>4</v>
      </c>
      <c r="DA635" s="14" t="s">
        <v>537</v>
      </c>
      <c r="DB635" s="14">
        <f>INDEX(属性投放!$AN$7:$AN$58,CU635)</f>
        <v>2</v>
      </c>
      <c r="DC635" s="14">
        <f t="shared" si="1004"/>
        <v>7</v>
      </c>
      <c r="DD635" s="14">
        <f>INDEX(属性投放!$AO$7:$AO$58,DC635)</f>
        <v>33</v>
      </c>
      <c r="DE635" s="14" t="s">
        <v>538</v>
      </c>
      <c r="DF635" s="14">
        <f>INDEX(属性投放!$BK$6:$BK$85,(CV635-2)*20+CZ635)</f>
        <v>30</v>
      </c>
      <c r="DG635" s="14">
        <f>SUMIFS(DF$5:DF635,$CT$5:$CT635,"="&amp;$CT635)</f>
        <v>165</v>
      </c>
      <c r="DH635" s="14" t="s">
        <v>539</v>
      </c>
      <c r="DI635" s="14">
        <f>INDEX(属性投放!$BL$6:$BL$85,(CV635-2)*20+CZ635)</f>
        <v>15</v>
      </c>
      <c r="DJ635" s="14">
        <f>SUMIFS(DI$5:DI635,$CT$5:$CT635,"="&amp;$CT635)</f>
        <v>84</v>
      </c>
      <c r="DK635" s="14" t="s">
        <v>540</v>
      </c>
      <c r="DL635" s="14">
        <f>INDEX(属性投放!$BM$6:$BM$85,(CV635-2)*20+CZ635)</f>
        <v>210</v>
      </c>
      <c r="DM635" s="14">
        <f>SUMIFS(DL$5:DL635,$CT$5:$CT635,"="&amp;$CT635)</f>
        <v>1050</v>
      </c>
      <c r="DR635" s="14">
        <f t="shared" si="1061"/>
        <v>1102996</v>
      </c>
      <c r="DS635" s="14" t="str">
        <f t="shared" si="1062"/>
        <v>UR守护灵11突</v>
      </c>
      <c r="DT635" s="14">
        <f t="shared" si="1011"/>
        <v>9</v>
      </c>
      <c r="DU635" s="14">
        <f t="shared" si="1012"/>
        <v>7</v>
      </c>
      <c r="DV635" s="14">
        <f t="shared" si="1013"/>
        <v>7</v>
      </c>
      <c r="DW635" s="14">
        <f t="shared" si="1063"/>
        <v>5</v>
      </c>
      <c r="DX635" s="14">
        <f t="shared" si="1064"/>
        <v>11</v>
      </c>
      <c r="DY635" s="14">
        <f t="shared" si="1065"/>
        <v>71</v>
      </c>
      <c r="DZ635" s="14">
        <f>INDEX(属性投放!$AX$6:$AX$85,(卡牌属性!DW635-2)*20+卡牌属性!DX635)</f>
        <v>8</v>
      </c>
      <c r="EA635" s="14">
        <f>INDEX(属性投放!BQ$6:BQ$85,卡牌属性!$DY635)</f>
        <v>320</v>
      </c>
      <c r="EB635" s="14">
        <f>INDEX(属性投放!BR$6:BR$85,卡牌属性!$DY635)</f>
        <v>160</v>
      </c>
      <c r="EC635" s="14">
        <f>INDEX(属性投放!BS$6:BS$85,卡牌属性!$DY635)</f>
        <v>2880</v>
      </c>
      <c r="ED635" s="14">
        <f t="shared" si="1044"/>
        <v>3550</v>
      </c>
      <c r="EE635" s="14">
        <f t="shared" si="1045"/>
        <v>4080</v>
      </c>
      <c r="EF635" s="14">
        <f t="shared" si="1046"/>
        <v>4825</v>
      </c>
      <c r="EG635" s="14">
        <f t="shared" si="1047"/>
        <v>4825</v>
      </c>
      <c r="EH635" s="14">
        <f t="shared" si="1048"/>
        <v>5990</v>
      </c>
      <c r="EI635" s="14">
        <f t="shared" si="1049"/>
        <v>1505</v>
      </c>
      <c r="EJ635" s="14">
        <f t="shared" si="1050"/>
        <v>1615</v>
      </c>
      <c r="EK635" s="14">
        <f t="shared" si="1051"/>
        <v>1615</v>
      </c>
      <c r="EL635" s="14">
        <f t="shared" si="1052"/>
        <v>1740</v>
      </c>
      <c r="EM635" s="14">
        <f t="shared" si="1053"/>
        <v>2027</v>
      </c>
      <c r="EN635" s="14">
        <f t="shared" si="1054"/>
        <v>22248</v>
      </c>
      <c r="EO635" s="14">
        <f t="shared" si="1055"/>
        <v>23767</v>
      </c>
      <c r="EP635" s="14">
        <f t="shared" si="1056"/>
        <v>23767</v>
      </c>
      <c r="EQ635" s="14">
        <f t="shared" si="1057"/>
        <v>25440</v>
      </c>
      <c r="ER635" s="14">
        <f t="shared" si="1058"/>
        <v>29300</v>
      </c>
      <c r="ES635" s="14">
        <f>INDEX(属性偏向!$S$4:$S$243,(卡牌属性!$DT635-1+ES$3)*20+卡牌属性!$DX635)</f>
        <v>40</v>
      </c>
      <c r="ET635" s="14">
        <f>INDEX(属性偏向!$S$4:$S$243,(卡牌属性!$DT635-1+ET$3)*20+卡牌属性!$DX635)</f>
        <v>50</v>
      </c>
      <c r="EU635" s="14">
        <f>INDEX(属性偏向!$S$4:$S$243,(卡牌属性!$DT635-1+EU$3)*20+卡牌属性!$DX635)</f>
        <v>75</v>
      </c>
      <c r="EV635" s="14">
        <f>INDEX(属性偏向!$S$4:$S$243,(卡牌属性!$DT635-1+EV$3)*20+卡牌属性!$DX635)</f>
        <v>75</v>
      </c>
      <c r="EW635" s="14">
        <f>INDEX(属性偏向!$S$4:$S$243,(卡牌属性!$DT635-1+EW$3)*20+卡牌属性!$DX635)</f>
        <v>100</v>
      </c>
      <c r="EX635" s="14">
        <f>INDEX(属性偏向!$T$4:$T$243,(卡牌属性!$DU635-1+EX$3)*20+卡牌属性!$DX635)</f>
        <v>15</v>
      </c>
      <c r="EY635" s="14">
        <f>INDEX(属性偏向!$T$4:$T$243,(卡牌属性!$DU635-1+EY$3)*20+卡牌属性!$DX635)</f>
        <v>18</v>
      </c>
      <c r="EZ635" s="14">
        <f>INDEX(属性偏向!$T$4:$T$243,(卡牌属性!$DU635-1+EZ$3)*20+卡牌属性!$DX635)</f>
        <v>18</v>
      </c>
      <c r="FA635" s="14">
        <f>INDEX(属性偏向!$T$4:$T$243,(卡牌属性!$DU635-1+FA$3)*20+卡牌属性!$DX635)</f>
        <v>20</v>
      </c>
      <c r="FB635" s="14">
        <f>INDEX(属性偏向!$T$4:$T$243,(卡牌属性!$DU635-1+FB$3)*20+卡牌属性!$DX635)</f>
        <v>25</v>
      </c>
      <c r="FC635" s="14">
        <f>INDEX(属性偏向!$U$4:$U$243,(卡牌属性!$DV635-1+FC$3)*20+卡牌属性!$DX635)</f>
        <v>270</v>
      </c>
      <c r="FD635" s="14">
        <f>INDEX(属性偏向!$U$4:$U$243,(卡牌属性!$DV635-1+FD$3)*20+卡牌属性!$DX635)</f>
        <v>315</v>
      </c>
      <c r="FE635" s="14">
        <f>INDEX(属性偏向!$U$4:$U$243,(卡牌属性!$DV635-1+FE$3)*20+卡牌属性!$DX635)</f>
        <v>315</v>
      </c>
      <c r="FF635" s="14">
        <f>INDEX(属性偏向!$U$4:$U$243,(卡牌属性!$DV635-1+FF$3)*20+卡牌属性!$DX635)</f>
        <v>360</v>
      </c>
      <c r="FG635" s="14">
        <f>INDEX(属性偏向!$U$4:$U$243,(卡牌属性!$DV635-1+FG$3)*20+卡牌属性!$DX635)</f>
        <v>450</v>
      </c>
      <c r="FH635" s="14">
        <f>INDEX(属性投放!$BQ$6:$BQ$85,(卡牌属性!$DW635-2)*20+卡牌属性!$DX635)</f>
        <v>320</v>
      </c>
      <c r="FI635" s="14">
        <f>INDEX(属性投放!$BQ$6:$BQ$85,(卡牌属性!$DW635-2)*20+卡牌属性!$DX635)</f>
        <v>320</v>
      </c>
      <c r="FJ635" s="14">
        <f>INDEX(属性投放!$BQ$6:$BQ$85,(卡牌属性!$DW635-2)*20+卡牌属性!$DX635)</f>
        <v>320</v>
      </c>
      <c r="FK635" s="14">
        <f>INDEX(属性投放!$BQ$6:$BQ$85,(卡牌属性!$DW635-2)*20+卡牌属性!$DX635)</f>
        <v>320</v>
      </c>
      <c r="FL635" s="14">
        <f>INDEX(属性投放!$BQ$6:$BQ$85,(卡牌属性!$DW635-2)*20+卡牌属性!$DX635)</f>
        <v>320</v>
      </c>
      <c r="FM635" s="14">
        <f>INDEX(属性投放!$BR$6:$BR$85,(卡牌属性!$DW635-2)*20+卡牌属性!$DX635)</f>
        <v>160</v>
      </c>
      <c r="FN635" s="14">
        <f>INDEX(属性投放!$BR$6:$BR$85,(卡牌属性!$DW635-2)*20+卡牌属性!$DX635)</f>
        <v>160</v>
      </c>
      <c r="FO635" s="14">
        <f>INDEX(属性投放!$BR$6:$BR$85,(卡牌属性!$DW635-2)*20+卡牌属性!$DX635)</f>
        <v>160</v>
      </c>
      <c r="FP635" s="14">
        <f>INDEX(属性投放!$BR$6:$BR$85,(卡牌属性!$DW635-2)*20+卡牌属性!$DX635)</f>
        <v>160</v>
      </c>
      <c r="FQ635" s="14">
        <f>INDEX(属性投放!$BR$6:$BR$85,(卡牌属性!$DW635-2)*20+卡牌属性!$DX635)</f>
        <v>160</v>
      </c>
      <c r="FR635" s="14">
        <f>INDEX(属性投放!$BS$6:$BS$85,(卡牌属性!$DW635-2)*20+卡牌属性!$DX635)</f>
        <v>2880</v>
      </c>
      <c r="FS635" s="14">
        <f>INDEX(属性投放!$BS$6:$BS$85,(卡牌属性!$DW635-2)*20+卡牌属性!$DX635)</f>
        <v>2880</v>
      </c>
      <c r="FT635" s="14">
        <f>INDEX(属性投放!$BS$6:$BS$85,(卡牌属性!$DW635-2)*20+卡牌属性!$DX635)</f>
        <v>2880</v>
      </c>
      <c r="FU635" s="14">
        <f>INDEX(属性投放!$BS$6:$BS$85,(卡牌属性!$DW635-2)*20+卡牌属性!$DX635)</f>
        <v>2880</v>
      </c>
      <c r="FV635" s="14">
        <f>INDEX(属性投放!$BS$6:$BS$85,(卡牌属性!$DW635-2)*20+卡牌属性!$DX635)</f>
        <v>2880</v>
      </c>
    </row>
    <row r="636" spans="31:178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>
        <v>632</v>
      </c>
      <c r="BX636" s="13">
        <f t="shared" si="1059"/>
        <v>32</v>
      </c>
      <c r="BY636" s="14">
        <f t="shared" si="1060"/>
        <v>5</v>
      </c>
      <c r="BZ636" s="14">
        <f t="shared" si="1005"/>
        <v>1102996</v>
      </c>
      <c r="CA636" s="14" t="str">
        <f t="shared" si="1006"/>
        <v>UR守护灵12突</v>
      </c>
      <c r="CB636" s="25" t="s">
        <v>142</v>
      </c>
      <c r="CC636" s="14">
        <v>2</v>
      </c>
      <c r="CD636" s="14">
        <f t="shared" si="1003"/>
        <v>12</v>
      </c>
      <c r="CE636" s="14" t="s">
        <v>21</v>
      </c>
      <c r="CF636" s="14">
        <f>INDEX(属性投放!$AZ$6:$AZ$85,(BY636-2)*20+CD636)</f>
        <v>6709</v>
      </c>
      <c r="CG636" s="14" t="s">
        <v>22</v>
      </c>
      <c r="CH636" s="14">
        <f>INDEX(属性投放!$BA$6:$BA$85,(BY636-2)*20+CD636)</f>
        <v>3272</v>
      </c>
      <c r="CI636" s="14" t="s">
        <v>510</v>
      </c>
      <c r="CJ636" s="14">
        <f>INDEX(属性投放!$BB$6:$BB$85,(BY636-2)*20+CD636)</f>
        <v>51582</v>
      </c>
      <c r="CK636" s="14" t="s">
        <v>21</v>
      </c>
      <c r="CL636" s="14">
        <f>INDEX(属性投放!$BC$6:$BC$85,(BY636-2)*20+CD636)</f>
        <v>40</v>
      </c>
      <c r="CM636" s="14" t="s">
        <v>22</v>
      </c>
      <c r="CN636" s="14">
        <f>INDEX(属性投放!$BD$6:$BD$85,(BY636-2)*20+CD636)</f>
        <v>20</v>
      </c>
      <c r="CO636" s="14" t="s">
        <v>510</v>
      </c>
      <c r="CP636" s="14">
        <f>INDEX(属性投放!$BE$6:$BE$85,(BY636-2)*20+CD636)</f>
        <v>360</v>
      </c>
      <c r="CS636" s="13">
        <v>632</v>
      </c>
      <c r="CT636" s="13">
        <f t="shared" si="1007"/>
        <v>13</v>
      </c>
      <c r="CU636" s="13">
        <f t="shared" si="1008"/>
        <v>8</v>
      </c>
      <c r="CV636" s="14">
        <f t="shared" si="1009"/>
        <v>2</v>
      </c>
      <c r="CW636" s="14">
        <f t="shared" si="1010"/>
        <v>1102013</v>
      </c>
      <c r="CX636" s="14" t="str">
        <f>INDEX($O$6:$O$50,CT636)&amp;"-"&amp;INDEX(属性投放!$AB$7:$AB$50,CZ636)&amp;"-魂火-"&amp;DB636</f>
        <v>塞伯罗斯-众合+1-魂火-1</v>
      </c>
      <c r="CY636" s="25" t="s">
        <v>142</v>
      </c>
      <c r="CZ636" s="14">
        <f>INDEX(属性投放!$AM$7:$AM$58,CU636)</f>
        <v>5</v>
      </c>
      <c r="DA636" s="14" t="s">
        <v>537</v>
      </c>
      <c r="DB636" s="14">
        <f>INDEX(属性投放!$AN$7:$AN$58,CU636)</f>
        <v>1</v>
      </c>
      <c r="DC636" s="14">
        <f t="shared" si="1004"/>
        <v>8</v>
      </c>
      <c r="DD636" s="14">
        <f>INDEX(属性投放!$AO$7:$AO$58,DC636)</f>
        <v>38</v>
      </c>
      <c r="DE636" s="14" t="s">
        <v>538</v>
      </c>
      <c r="DF636" s="14">
        <f>INDEX(属性投放!$BK$6:$BK$85,(CV636-2)*20+CZ636)</f>
        <v>35</v>
      </c>
      <c r="DG636" s="14">
        <f>SUMIFS(DF$5:DF636,$CT$5:$CT636,"="&amp;$CT636)</f>
        <v>200</v>
      </c>
      <c r="DH636" s="14" t="s">
        <v>539</v>
      </c>
      <c r="DI636" s="14">
        <f>INDEX(属性投放!$BL$6:$BL$85,(CV636-2)*20+CZ636)</f>
        <v>18</v>
      </c>
      <c r="DJ636" s="14">
        <f>SUMIFS(DI$5:DI636,$CT$5:$CT636,"="&amp;$CT636)</f>
        <v>102</v>
      </c>
      <c r="DK636" s="14" t="s">
        <v>540</v>
      </c>
      <c r="DL636" s="14">
        <f>INDEX(属性投放!$BM$6:$BM$85,(CV636-2)*20+CZ636)</f>
        <v>245</v>
      </c>
      <c r="DM636" s="14">
        <f>SUMIFS(DL$5:DL636,$CT$5:$CT636,"="&amp;$CT636)</f>
        <v>1295</v>
      </c>
      <c r="DR636" s="14">
        <f t="shared" si="1061"/>
        <v>1102996</v>
      </c>
      <c r="DS636" s="14" t="str">
        <f t="shared" si="1062"/>
        <v>UR守护灵12突</v>
      </c>
      <c r="DT636" s="14">
        <f t="shared" si="1011"/>
        <v>9</v>
      </c>
      <c r="DU636" s="14">
        <f t="shared" si="1012"/>
        <v>7</v>
      </c>
      <c r="DV636" s="14">
        <f t="shared" si="1013"/>
        <v>7</v>
      </c>
      <c r="DW636" s="14">
        <f t="shared" si="1063"/>
        <v>5</v>
      </c>
      <c r="DX636" s="14">
        <f t="shared" si="1064"/>
        <v>12</v>
      </c>
      <c r="DY636" s="14">
        <f t="shared" si="1065"/>
        <v>72</v>
      </c>
      <c r="DZ636" s="14">
        <f>INDEX(属性投放!$AX$6:$AX$85,(卡牌属性!DW636-2)*20+卡牌属性!DX636)</f>
        <v>7</v>
      </c>
      <c r="EA636" s="14">
        <f>INDEX(属性投放!BQ$6:BQ$85,卡牌属性!$DY636)</f>
        <v>425</v>
      </c>
      <c r="EB636" s="14">
        <f>INDEX(属性投放!BR$6:BR$85,卡牌属性!$DY636)</f>
        <v>213</v>
      </c>
      <c r="EC636" s="14">
        <f>INDEX(属性投放!BS$6:BS$85,卡牌属性!$DY636)</f>
        <v>3825</v>
      </c>
      <c r="ED636" s="14">
        <f t="shared" si="1044"/>
        <v>4190</v>
      </c>
      <c r="EE636" s="14">
        <f t="shared" si="1045"/>
        <v>4800</v>
      </c>
      <c r="EF636" s="14">
        <f t="shared" si="1046"/>
        <v>5745</v>
      </c>
      <c r="EG636" s="14">
        <f t="shared" si="1047"/>
        <v>5745</v>
      </c>
      <c r="EH636" s="14">
        <f t="shared" si="1048"/>
        <v>7110</v>
      </c>
      <c r="EI636" s="14">
        <f t="shared" si="1049"/>
        <v>1785</v>
      </c>
      <c r="EJ636" s="14">
        <f t="shared" si="1050"/>
        <v>1919</v>
      </c>
      <c r="EK636" s="14">
        <f t="shared" si="1051"/>
        <v>1919</v>
      </c>
      <c r="EL636" s="14">
        <f t="shared" si="1052"/>
        <v>2060</v>
      </c>
      <c r="EM636" s="14">
        <f t="shared" si="1053"/>
        <v>2387</v>
      </c>
      <c r="EN636" s="14">
        <f t="shared" si="1054"/>
        <v>27288</v>
      </c>
      <c r="EO636" s="14">
        <f t="shared" si="1055"/>
        <v>29167</v>
      </c>
      <c r="EP636" s="14">
        <f t="shared" si="1056"/>
        <v>29167</v>
      </c>
      <c r="EQ636" s="14">
        <f t="shared" si="1057"/>
        <v>31200</v>
      </c>
      <c r="ER636" s="14">
        <f t="shared" si="1058"/>
        <v>35780</v>
      </c>
      <c r="ES636" s="14">
        <f>INDEX(属性偏向!$S$4:$S$243,(卡牌属性!$DT636-1+ES$3)*20+卡牌属性!$DX636)</f>
        <v>40</v>
      </c>
      <c r="ET636" s="14">
        <f>INDEX(属性偏向!$S$4:$S$243,(卡牌属性!$DT636-1+ET$3)*20+卡牌属性!$DX636)</f>
        <v>50</v>
      </c>
      <c r="EU636" s="14">
        <f>INDEX(属性偏向!$S$4:$S$243,(卡牌属性!$DT636-1+EU$3)*20+卡牌属性!$DX636)</f>
        <v>75</v>
      </c>
      <c r="EV636" s="14">
        <f>INDEX(属性偏向!$S$4:$S$243,(卡牌属性!$DT636-1+EV$3)*20+卡牌属性!$DX636)</f>
        <v>75</v>
      </c>
      <c r="EW636" s="14">
        <f>INDEX(属性偏向!$S$4:$S$243,(卡牌属性!$DT636-1+EW$3)*20+卡牌属性!$DX636)</f>
        <v>100</v>
      </c>
      <c r="EX636" s="14">
        <f>INDEX(属性偏向!$T$4:$T$243,(卡牌属性!$DU636-1+EX$3)*20+卡牌属性!$DX636)</f>
        <v>15</v>
      </c>
      <c r="EY636" s="14">
        <f>INDEX(属性偏向!$T$4:$T$243,(卡牌属性!$DU636-1+EY$3)*20+卡牌属性!$DX636)</f>
        <v>18</v>
      </c>
      <c r="EZ636" s="14">
        <f>INDEX(属性偏向!$T$4:$T$243,(卡牌属性!$DU636-1+EZ$3)*20+卡牌属性!$DX636)</f>
        <v>18</v>
      </c>
      <c r="FA636" s="14">
        <f>INDEX(属性偏向!$T$4:$T$243,(卡牌属性!$DU636-1+FA$3)*20+卡牌属性!$DX636)</f>
        <v>20</v>
      </c>
      <c r="FB636" s="14">
        <f>INDEX(属性偏向!$T$4:$T$243,(卡牌属性!$DU636-1+FB$3)*20+卡牌属性!$DX636)</f>
        <v>25</v>
      </c>
      <c r="FC636" s="14">
        <f>INDEX(属性偏向!$U$4:$U$243,(卡牌属性!$DV636-1+FC$3)*20+卡牌属性!$DX636)</f>
        <v>270</v>
      </c>
      <c r="FD636" s="14">
        <f>INDEX(属性偏向!$U$4:$U$243,(卡牌属性!$DV636-1+FD$3)*20+卡牌属性!$DX636)</f>
        <v>315</v>
      </c>
      <c r="FE636" s="14">
        <f>INDEX(属性偏向!$U$4:$U$243,(卡牌属性!$DV636-1+FE$3)*20+卡牌属性!$DX636)</f>
        <v>315</v>
      </c>
      <c r="FF636" s="14">
        <f>INDEX(属性偏向!$U$4:$U$243,(卡牌属性!$DV636-1+FF$3)*20+卡牌属性!$DX636)</f>
        <v>360</v>
      </c>
      <c r="FG636" s="14">
        <f>INDEX(属性偏向!$U$4:$U$243,(卡牌属性!$DV636-1+FG$3)*20+卡牌属性!$DX636)</f>
        <v>450</v>
      </c>
      <c r="FH636" s="14">
        <f>INDEX(属性投放!$BQ$6:$BQ$85,(卡牌属性!$DW636-2)*20+卡牌属性!$DX636)</f>
        <v>425</v>
      </c>
      <c r="FI636" s="14">
        <f>INDEX(属性投放!$BQ$6:$BQ$85,(卡牌属性!$DW636-2)*20+卡牌属性!$DX636)</f>
        <v>425</v>
      </c>
      <c r="FJ636" s="14">
        <f>INDEX(属性投放!$BQ$6:$BQ$85,(卡牌属性!$DW636-2)*20+卡牌属性!$DX636)</f>
        <v>425</v>
      </c>
      <c r="FK636" s="14">
        <f>INDEX(属性投放!$BQ$6:$BQ$85,(卡牌属性!$DW636-2)*20+卡牌属性!$DX636)</f>
        <v>425</v>
      </c>
      <c r="FL636" s="14">
        <f>INDEX(属性投放!$BQ$6:$BQ$85,(卡牌属性!$DW636-2)*20+卡牌属性!$DX636)</f>
        <v>425</v>
      </c>
      <c r="FM636" s="14">
        <f>INDEX(属性投放!$BR$6:$BR$85,(卡牌属性!$DW636-2)*20+卡牌属性!$DX636)</f>
        <v>213</v>
      </c>
      <c r="FN636" s="14">
        <f>INDEX(属性投放!$BR$6:$BR$85,(卡牌属性!$DW636-2)*20+卡牌属性!$DX636)</f>
        <v>213</v>
      </c>
      <c r="FO636" s="14">
        <f>INDEX(属性投放!$BR$6:$BR$85,(卡牌属性!$DW636-2)*20+卡牌属性!$DX636)</f>
        <v>213</v>
      </c>
      <c r="FP636" s="14">
        <f>INDEX(属性投放!$BR$6:$BR$85,(卡牌属性!$DW636-2)*20+卡牌属性!$DX636)</f>
        <v>213</v>
      </c>
      <c r="FQ636" s="14">
        <f>INDEX(属性投放!$BR$6:$BR$85,(卡牌属性!$DW636-2)*20+卡牌属性!$DX636)</f>
        <v>213</v>
      </c>
      <c r="FR636" s="14">
        <f>INDEX(属性投放!$BS$6:$BS$85,(卡牌属性!$DW636-2)*20+卡牌属性!$DX636)</f>
        <v>3825</v>
      </c>
      <c r="FS636" s="14">
        <f>INDEX(属性投放!$BS$6:$BS$85,(卡牌属性!$DW636-2)*20+卡牌属性!$DX636)</f>
        <v>3825</v>
      </c>
      <c r="FT636" s="14">
        <f>INDEX(属性投放!$BS$6:$BS$85,(卡牌属性!$DW636-2)*20+卡牌属性!$DX636)</f>
        <v>3825</v>
      </c>
      <c r="FU636" s="14">
        <f>INDEX(属性投放!$BS$6:$BS$85,(卡牌属性!$DW636-2)*20+卡牌属性!$DX636)</f>
        <v>3825</v>
      </c>
      <c r="FV636" s="14">
        <f>INDEX(属性投放!$BS$6:$BS$85,(卡牌属性!$DW636-2)*20+卡牌属性!$DX636)</f>
        <v>3825</v>
      </c>
    </row>
    <row r="637" spans="31:178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>
        <v>633</v>
      </c>
      <c r="BX637" s="13">
        <f t="shared" si="1059"/>
        <v>32</v>
      </c>
      <c r="BY637" s="14">
        <f t="shared" si="1060"/>
        <v>5</v>
      </c>
      <c r="BZ637" s="14">
        <f t="shared" si="1005"/>
        <v>1102996</v>
      </c>
      <c r="CA637" s="14" t="str">
        <f t="shared" si="1006"/>
        <v>UR守护灵13突</v>
      </c>
      <c r="CB637" s="25" t="s">
        <v>142</v>
      </c>
      <c r="CC637" s="14">
        <v>2</v>
      </c>
      <c r="CD637" s="14">
        <f t="shared" si="1003"/>
        <v>13</v>
      </c>
      <c r="CE637" s="14" t="s">
        <v>21</v>
      </c>
      <c r="CF637" s="14">
        <f>INDEX(属性投放!$AZ$6:$AZ$85,(BY637-2)*20+CD637)</f>
        <v>8194</v>
      </c>
      <c r="CG637" s="14" t="s">
        <v>22</v>
      </c>
      <c r="CH637" s="14">
        <f>INDEX(属性投放!$BA$6:$BA$85,(BY637-2)*20+CD637)</f>
        <v>4015</v>
      </c>
      <c r="CI637" s="14" t="s">
        <v>510</v>
      </c>
      <c r="CJ637" s="14">
        <f>INDEX(属性投放!$BB$6:$BB$85,(BY637-2)*20+CD637)</f>
        <v>64947</v>
      </c>
      <c r="CK637" s="14" t="s">
        <v>21</v>
      </c>
      <c r="CL637" s="14">
        <f>INDEX(属性投放!$BC$6:$BC$85,(BY637-2)*20+CD637)</f>
        <v>50</v>
      </c>
      <c r="CM637" s="14" t="s">
        <v>22</v>
      </c>
      <c r="CN637" s="14">
        <f>INDEX(属性投放!$BD$6:$BD$85,(BY637-2)*20+CD637)</f>
        <v>25</v>
      </c>
      <c r="CO637" s="14" t="s">
        <v>510</v>
      </c>
      <c r="CP637" s="14">
        <f>INDEX(属性投放!$BE$6:$BE$85,(BY637-2)*20+CD637)</f>
        <v>500</v>
      </c>
      <c r="CS637" s="13">
        <v>633</v>
      </c>
      <c r="CT637" s="13">
        <f t="shared" si="1007"/>
        <v>13</v>
      </c>
      <c r="CU637" s="13">
        <f t="shared" si="1008"/>
        <v>9</v>
      </c>
      <c r="CV637" s="14">
        <f t="shared" si="1009"/>
        <v>2</v>
      </c>
      <c r="CW637" s="14">
        <f t="shared" si="1010"/>
        <v>1102013</v>
      </c>
      <c r="CX637" s="14" t="str">
        <f>INDEX($O$6:$O$50,CT637)&amp;"-"&amp;INDEX(属性投放!$AB$7:$AB$50,CZ637)&amp;"-魂火-"&amp;DB637</f>
        <v>塞伯罗斯-众合+1-魂火-2</v>
      </c>
      <c r="CY637" s="25" t="s">
        <v>142</v>
      </c>
      <c r="CZ637" s="14">
        <f>INDEX(属性投放!$AM$7:$AM$58,CU637)</f>
        <v>5</v>
      </c>
      <c r="DA637" s="14" t="s">
        <v>537</v>
      </c>
      <c r="DB637" s="14">
        <f>INDEX(属性投放!$AN$7:$AN$58,CU637)</f>
        <v>2</v>
      </c>
      <c r="DC637" s="14">
        <f t="shared" si="1004"/>
        <v>9</v>
      </c>
      <c r="DD637" s="14">
        <f>INDEX(属性投放!$AO$7:$AO$58,DC637)</f>
        <v>40</v>
      </c>
      <c r="DE637" s="14" t="s">
        <v>538</v>
      </c>
      <c r="DF637" s="14">
        <f>INDEX(属性投放!$BK$6:$BK$85,(CV637-2)*20+CZ637)</f>
        <v>35</v>
      </c>
      <c r="DG637" s="14">
        <f>SUMIFS(DF$5:DF637,$CT$5:$CT637,"="&amp;$CT637)</f>
        <v>235</v>
      </c>
      <c r="DH637" s="14" t="s">
        <v>539</v>
      </c>
      <c r="DI637" s="14">
        <f>INDEX(属性投放!$BL$6:$BL$85,(CV637-2)*20+CZ637)</f>
        <v>18</v>
      </c>
      <c r="DJ637" s="14">
        <f>SUMIFS(DI$5:DI637,$CT$5:$CT637,"="&amp;$CT637)</f>
        <v>120</v>
      </c>
      <c r="DK637" s="14" t="s">
        <v>540</v>
      </c>
      <c r="DL637" s="14">
        <f>INDEX(属性投放!$BM$6:$BM$85,(CV637-2)*20+CZ637)</f>
        <v>245</v>
      </c>
      <c r="DM637" s="14">
        <f>SUMIFS(DL$5:DL637,$CT$5:$CT637,"="&amp;$CT637)</f>
        <v>1540</v>
      </c>
      <c r="DR637" s="14">
        <f t="shared" si="1061"/>
        <v>1102996</v>
      </c>
      <c r="DS637" s="14" t="str">
        <f t="shared" si="1062"/>
        <v>UR守护灵13突</v>
      </c>
      <c r="DT637" s="14">
        <f t="shared" si="1011"/>
        <v>9</v>
      </c>
      <c r="DU637" s="14">
        <f t="shared" si="1012"/>
        <v>7</v>
      </c>
      <c r="DV637" s="14">
        <f t="shared" si="1013"/>
        <v>7</v>
      </c>
      <c r="DW637" s="14">
        <f t="shared" si="1063"/>
        <v>5</v>
      </c>
      <c r="DX637" s="14">
        <f t="shared" si="1064"/>
        <v>13</v>
      </c>
      <c r="DY637" s="14">
        <f t="shared" si="1065"/>
        <v>73</v>
      </c>
      <c r="DZ637" s="14">
        <f>INDEX(属性投放!$AX$6:$AX$85,(卡牌属性!DW637-2)*20+卡牌属性!DX637)</f>
        <v>8</v>
      </c>
      <c r="EA637" s="14">
        <f>INDEX(属性投放!BQ$6:BQ$85,卡牌属性!$DY637)</f>
        <v>475</v>
      </c>
      <c r="EB637" s="14">
        <f>INDEX(属性投放!BR$6:BR$85,卡牌属性!$DY637)</f>
        <v>238</v>
      </c>
      <c r="EC637" s="14">
        <f>INDEX(属性投放!BS$6:BS$85,卡牌属性!$DY637)</f>
        <v>4750</v>
      </c>
      <c r="ED637" s="14">
        <f t="shared" si="1044"/>
        <v>4895</v>
      </c>
      <c r="EE637" s="14">
        <f t="shared" si="1045"/>
        <v>5575</v>
      </c>
      <c r="EF637" s="14">
        <f t="shared" si="1046"/>
        <v>6695</v>
      </c>
      <c r="EG637" s="14">
        <f t="shared" si="1047"/>
        <v>6695</v>
      </c>
      <c r="EH637" s="14">
        <f t="shared" si="1048"/>
        <v>8235</v>
      </c>
      <c r="EI637" s="14">
        <f t="shared" si="1049"/>
        <v>2103</v>
      </c>
      <c r="EJ637" s="14">
        <f t="shared" si="1050"/>
        <v>2258</v>
      </c>
      <c r="EK637" s="14">
        <f t="shared" si="1051"/>
        <v>2258</v>
      </c>
      <c r="EL637" s="14">
        <f t="shared" si="1052"/>
        <v>2413</v>
      </c>
      <c r="EM637" s="14">
        <f t="shared" si="1053"/>
        <v>2775</v>
      </c>
      <c r="EN637" s="14">
        <f t="shared" si="1054"/>
        <v>33003</v>
      </c>
      <c r="EO637" s="14">
        <f t="shared" si="1055"/>
        <v>35197</v>
      </c>
      <c r="EP637" s="14">
        <f t="shared" si="1056"/>
        <v>35197</v>
      </c>
      <c r="EQ637" s="14">
        <f t="shared" si="1057"/>
        <v>37545</v>
      </c>
      <c r="ER637" s="14">
        <f t="shared" si="1058"/>
        <v>42755</v>
      </c>
      <c r="ES637" s="14">
        <f>INDEX(属性偏向!$S$4:$S$243,(卡牌属性!$DT637-1+ES$3)*20+卡牌属性!$DX637)</f>
        <v>50</v>
      </c>
      <c r="ET637" s="14">
        <f>INDEX(属性偏向!$S$4:$S$243,(卡牌属性!$DT637-1+ET$3)*20+卡牌属性!$DX637)</f>
        <v>75</v>
      </c>
      <c r="EU637" s="14">
        <f>INDEX(属性偏向!$S$4:$S$243,(卡牌属性!$DT637-1+EU$3)*20+卡牌属性!$DX637)</f>
        <v>100</v>
      </c>
      <c r="EV637" s="14">
        <f>INDEX(属性偏向!$S$4:$S$243,(卡牌属性!$DT637-1+EV$3)*20+卡牌属性!$DX637)</f>
        <v>100</v>
      </c>
      <c r="EW637" s="14">
        <f>INDEX(属性偏向!$S$4:$S$243,(卡牌属性!$DT637-1+EW$3)*20+卡牌属性!$DX637)</f>
        <v>150</v>
      </c>
      <c r="EX637" s="14">
        <f>INDEX(属性偏向!$T$4:$T$243,(卡牌属性!$DU637-1+EX$3)*20+卡牌属性!$DX637)</f>
        <v>20</v>
      </c>
      <c r="EY637" s="14">
        <f>INDEX(属性偏向!$T$4:$T$243,(卡牌属性!$DU637-1+EY$3)*20+卡牌属性!$DX637)</f>
        <v>23</v>
      </c>
      <c r="EZ637" s="14">
        <f>INDEX(属性偏向!$T$4:$T$243,(卡牌属性!$DU637-1+EZ$3)*20+卡牌属性!$DX637)</f>
        <v>23</v>
      </c>
      <c r="FA637" s="14">
        <f>INDEX(属性偏向!$T$4:$T$243,(卡牌属性!$DU637-1+FA$3)*20+卡牌属性!$DX637)</f>
        <v>25</v>
      </c>
      <c r="FB637" s="14">
        <f>INDEX(属性偏向!$T$4:$T$243,(卡牌属性!$DU637-1+FB$3)*20+卡牌属性!$DX637)</f>
        <v>38</v>
      </c>
      <c r="FC637" s="14">
        <f>INDEX(属性偏向!$U$4:$U$243,(卡牌属性!$DV637-1+FC$3)*20+卡牌属性!$DX637)</f>
        <v>400</v>
      </c>
      <c r="FD637" s="14">
        <f>INDEX(属性偏向!$U$4:$U$243,(卡牌属性!$DV637-1+FD$3)*20+卡牌属性!$DX637)</f>
        <v>450</v>
      </c>
      <c r="FE637" s="14">
        <f>INDEX(属性偏向!$U$4:$U$243,(卡牌属性!$DV637-1+FE$3)*20+卡牌属性!$DX637)</f>
        <v>450</v>
      </c>
      <c r="FF637" s="14">
        <f>INDEX(属性偏向!$U$4:$U$243,(卡牌属性!$DV637-1+FF$3)*20+卡牌属性!$DX637)</f>
        <v>500</v>
      </c>
      <c r="FG637" s="14">
        <f>INDEX(属性偏向!$U$4:$U$243,(卡牌属性!$DV637-1+FG$3)*20+卡牌属性!$DX637)</f>
        <v>750</v>
      </c>
      <c r="FH637" s="14">
        <f>INDEX(属性投放!$BQ$6:$BQ$85,(卡牌属性!$DW637-2)*20+卡牌属性!$DX637)</f>
        <v>475</v>
      </c>
      <c r="FI637" s="14">
        <f>INDEX(属性投放!$BQ$6:$BQ$85,(卡牌属性!$DW637-2)*20+卡牌属性!$DX637)</f>
        <v>475</v>
      </c>
      <c r="FJ637" s="14">
        <f>INDEX(属性投放!$BQ$6:$BQ$85,(卡牌属性!$DW637-2)*20+卡牌属性!$DX637)</f>
        <v>475</v>
      </c>
      <c r="FK637" s="14">
        <f>INDEX(属性投放!$BQ$6:$BQ$85,(卡牌属性!$DW637-2)*20+卡牌属性!$DX637)</f>
        <v>475</v>
      </c>
      <c r="FL637" s="14">
        <f>INDEX(属性投放!$BQ$6:$BQ$85,(卡牌属性!$DW637-2)*20+卡牌属性!$DX637)</f>
        <v>475</v>
      </c>
      <c r="FM637" s="14">
        <f>INDEX(属性投放!$BR$6:$BR$85,(卡牌属性!$DW637-2)*20+卡牌属性!$DX637)</f>
        <v>238</v>
      </c>
      <c r="FN637" s="14">
        <f>INDEX(属性投放!$BR$6:$BR$85,(卡牌属性!$DW637-2)*20+卡牌属性!$DX637)</f>
        <v>238</v>
      </c>
      <c r="FO637" s="14">
        <f>INDEX(属性投放!$BR$6:$BR$85,(卡牌属性!$DW637-2)*20+卡牌属性!$DX637)</f>
        <v>238</v>
      </c>
      <c r="FP637" s="14">
        <f>INDEX(属性投放!$BR$6:$BR$85,(卡牌属性!$DW637-2)*20+卡牌属性!$DX637)</f>
        <v>238</v>
      </c>
      <c r="FQ637" s="14">
        <f>INDEX(属性投放!$BR$6:$BR$85,(卡牌属性!$DW637-2)*20+卡牌属性!$DX637)</f>
        <v>238</v>
      </c>
      <c r="FR637" s="14">
        <f>INDEX(属性投放!$BS$6:$BS$85,(卡牌属性!$DW637-2)*20+卡牌属性!$DX637)</f>
        <v>4750</v>
      </c>
      <c r="FS637" s="14">
        <f>INDEX(属性投放!$BS$6:$BS$85,(卡牌属性!$DW637-2)*20+卡牌属性!$DX637)</f>
        <v>4750</v>
      </c>
      <c r="FT637" s="14">
        <f>INDEX(属性投放!$BS$6:$BS$85,(卡牌属性!$DW637-2)*20+卡牌属性!$DX637)</f>
        <v>4750</v>
      </c>
      <c r="FU637" s="14">
        <f>INDEX(属性投放!$BS$6:$BS$85,(卡牌属性!$DW637-2)*20+卡牌属性!$DX637)</f>
        <v>4750</v>
      </c>
      <c r="FV637" s="14">
        <f>INDEX(属性投放!$BS$6:$BS$85,(卡牌属性!$DW637-2)*20+卡牌属性!$DX637)</f>
        <v>4750</v>
      </c>
    </row>
    <row r="638" spans="31:178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>
        <v>634</v>
      </c>
      <c r="BX638" s="13">
        <f t="shared" si="1059"/>
        <v>32</v>
      </c>
      <c r="BY638" s="14">
        <f t="shared" si="1060"/>
        <v>5</v>
      </c>
      <c r="BZ638" s="14">
        <f t="shared" si="1005"/>
        <v>1102996</v>
      </c>
      <c r="CA638" s="14" t="str">
        <f t="shared" si="1006"/>
        <v>UR守护灵14突</v>
      </c>
      <c r="CB638" s="25" t="s">
        <v>142</v>
      </c>
      <c r="CC638" s="14">
        <v>2</v>
      </c>
      <c r="CD638" s="14">
        <f t="shared" si="1003"/>
        <v>14</v>
      </c>
      <c r="CE638" s="14" t="s">
        <v>21</v>
      </c>
      <c r="CF638" s="14">
        <f>INDEX(属性投放!$AZ$6:$AZ$85,(BY638-2)*20+CD638)</f>
        <v>10014</v>
      </c>
      <c r="CG638" s="14" t="s">
        <v>22</v>
      </c>
      <c r="CH638" s="14">
        <f>INDEX(属性投放!$BA$6:$BA$85,(BY638-2)*20+CD638)</f>
        <v>4927</v>
      </c>
      <c r="CI638" s="14" t="s">
        <v>510</v>
      </c>
      <c r="CJ638" s="14">
        <f>INDEX(属性投放!$BB$6:$BB$85,(BY638-2)*20+CD638)</f>
        <v>83147</v>
      </c>
      <c r="CK638" s="14" t="s">
        <v>21</v>
      </c>
      <c r="CL638" s="14">
        <f>INDEX(属性投放!$BC$6:$BC$85,(BY638-2)*20+CD638)</f>
        <v>50</v>
      </c>
      <c r="CM638" s="14" t="s">
        <v>22</v>
      </c>
      <c r="CN638" s="14">
        <f>INDEX(属性投放!$BD$6:$BD$85,(BY638-2)*20+CD638)</f>
        <v>25</v>
      </c>
      <c r="CO638" s="14" t="s">
        <v>510</v>
      </c>
      <c r="CP638" s="14">
        <f>INDEX(属性投放!$BE$6:$BE$85,(BY638-2)*20+CD638)</f>
        <v>500</v>
      </c>
      <c r="CS638" s="13">
        <v>634</v>
      </c>
      <c r="CT638" s="13">
        <f t="shared" si="1007"/>
        <v>13</v>
      </c>
      <c r="CU638" s="13">
        <f t="shared" si="1008"/>
        <v>10</v>
      </c>
      <c r="CV638" s="14">
        <f t="shared" si="1009"/>
        <v>2</v>
      </c>
      <c r="CW638" s="14">
        <f t="shared" si="1010"/>
        <v>1102013</v>
      </c>
      <c r="CX638" s="14" t="str">
        <f>INDEX($O$6:$O$50,CT638)&amp;"-"&amp;INDEX(属性投放!$AB$7:$AB$50,CZ638)&amp;"-魂火-"&amp;DB638</f>
        <v>塞伯罗斯-众合+2-魂火-1</v>
      </c>
      <c r="CY638" s="25" t="s">
        <v>142</v>
      </c>
      <c r="CZ638" s="14">
        <f>INDEX(属性投放!$AM$7:$AM$58,CU638)</f>
        <v>6</v>
      </c>
      <c r="DA638" s="14" t="s">
        <v>537</v>
      </c>
      <c r="DB638" s="14">
        <f>INDEX(属性投放!$AN$7:$AN$58,CU638)</f>
        <v>1</v>
      </c>
      <c r="DC638" s="14">
        <f t="shared" si="1004"/>
        <v>10</v>
      </c>
      <c r="DD638" s="14">
        <f>INDEX(属性投放!$AO$7:$AO$58,DC638)</f>
        <v>43</v>
      </c>
      <c r="DE638" s="14" t="s">
        <v>538</v>
      </c>
      <c r="DF638" s="14">
        <f>INDEX(属性投放!$BK$6:$BK$85,(CV638-2)*20+CZ638)</f>
        <v>40</v>
      </c>
      <c r="DG638" s="14">
        <f>SUMIFS(DF$5:DF638,$CT$5:$CT638,"="&amp;$CT638)</f>
        <v>275</v>
      </c>
      <c r="DH638" s="14" t="s">
        <v>539</v>
      </c>
      <c r="DI638" s="14">
        <f>INDEX(属性投放!$BL$6:$BL$85,(CV638-2)*20+CZ638)</f>
        <v>20</v>
      </c>
      <c r="DJ638" s="14">
        <f>SUMIFS(DI$5:DI638,$CT$5:$CT638,"="&amp;$CT638)</f>
        <v>140</v>
      </c>
      <c r="DK638" s="14" t="s">
        <v>540</v>
      </c>
      <c r="DL638" s="14">
        <f>INDEX(属性投放!$BM$6:$BM$85,(CV638-2)*20+CZ638)</f>
        <v>280</v>
      </c>
      <c r="DM638" s="14">
        <f>SUMIFS(DL$5:DL638,$CT$5:$CT638,"="&amp;$CT638)</f>
        <v>1820</v>
      </c>
      <c r="DR638" s="14">
        <f t="shared" si="1061"/>
        <v>1102996</v>
      </c>
      <c r="DS638" s="14" t="str">
        <f t="shared" si="1062"/>
        <v>UR守护灵14突</v>
      </c>
      <c r="DT638" s="14">
        <f t="shared" si="1011"/>
        <v>9</v>
      </c>
      <c r="DU638" s="14">
        <f t="shared" si="1012"/>
        <v>7</v>
      </c>
      <c r="DV638" s="14">
        <f t="shared" si="1013"/>
        <v>7</v>
      </c>
      <c r="DW638" s="14">
        <f t="shared" si="1063"/>
        <v>5</v>
      </c>
      <c r="DX638" s="14">
        <f t="shared" si="1064"/>
        <v>14</v>
      </c>
      <c r="DY638" s="14">
        <f t="shared" si="1065"/>
        <v>74</v>
      </c>
      <c r="DZ638" s="14">
        <f>INDEX(属性投放!$AX$6:$AX$85,(卡牌属性!DW638-2)*20+卡牌属性!DX638)</f>
        <v>7</v>
      </c>
      <c r="EA638" s="14">
        <f>INDEX(属性投放!BQ$6:BQ$85,卡牌属性!$DY638)</f>
        <v>520</v>
      </c>
      <c r="EB638" s="14">
        <f>INDEX(属性投放!BR$6:BR$85,卡牌属性!$DY638)</f>
        <v>260</v>
      </c>
      <c r="EC638" s="14">
        <f>INDEX(属性投放!BS$6:BS$85,卡牌属性!$DY638)</f>
        <v>5200</v>
      </c>
      <c r="ED638" s="14">
        <f t="shared" si="1044"/>
        <v>5770</v>
      </c>
      <c r="EE638" s="14">
        <f t="shared" si="1045"/>
        <v>6650</v>
      </c>
      <c r="EF638" s="14">
        <f t="shared" si="1046"/>
        <v>7970</v>
      </c>
      <c r="EG638" s="14">
        <f t="shared" si="1047"/>
        <v>7970</v>
      </c>
      <c r="EH638" s="14">
        <f t="shared" si="1048"/>
        <v>9910</v>
      </c>
      <c r="EI638" s="14">
        <f t="shared" si="1049"/>
        <v>2501</v>
      </c>
      <c r="EJ638" s="14">
        <f t="shared" si="1050"/>
        <v>2680</v>
      </c>
      <c r="EK638" s="14">
        <f t="shared" si="1051"/>
        <v>2680</v>
      </c>
      <c r="EL638" s="14">
        <f t="shared" si="1052"/>
        <v>2851</v>
      </c>
      <c r="EM638" s="14">
        <f t="shared" si="1053"/>
        <v>3317</v>
      </c>
      <c r="EN638" s="14">
        <f t="shared" si="1054"/>
        <v>40953</v>
      </c>
      <c r="EO638" s="14">
        <f t="shared" si="1055"/>
        <v>43547</v>
      </c>
      <c r="EP638" s="14">
        <f t="shared" si="1056"/>
        <v>43547</v>
      </c>
      <c r="EQ638" s="14">
        <f t="shared" si="1057"/>
        <v>46295</v>
      </c>
      <c r="ER638" s="14">
        <f t="shared" si="1058"/>
        <v>53505</v>
      </c>
      <c r="ES638" s="14">
        <f>INDEX(属性偏向!$S$4:$S$243,(卡牌属性!$DT638-1+ES$3)*20+卡牌属性!$DX638)</f>
        <v>50</v>
      </c>
      <c r="ET638" s="14">
        <f>INDEX(属性偏向!$S$4:$S$243,(卡牌属性!$DT638-1+ET$3)*20+卡牌属性!$DX638)</f>
        <v>75</v>
      </c>
      <c r="EU638" s="14">
        <f>INDEX(属性偏向!$S$4:$S$243,(卡牌属性!$DT638-1+EU$3)*20+卡牌属性!$DX638)</f>
        <v>100</v>
      </c>
      <c r="EV638" s="14">
        <f>INDEX(属性偏向!$S$4:$S$243,(卡牌属性!$DT638-1+EV$3)*20+卡牌属性!$DX638)</f>
        <v>100</v>
      </c>
      <c r="EW638" s="14">
        <f>INDEX(属性偏向!$S$4:$S$243,(卡牌属性!$DT638-1+EW$3)*20+卡牌属性!$DX638)</f>
        <v>150</v>
      </c>
      <c r="EX638" s="14">
        <f>INDEX(属性偏向!$T$4:$T$243,(卡牌属性!$DU638-1+EX$3)*20+卡牌属性!$DX638)</f>
        <v>20</v>
      </c>
      <c r="EY638" s="14">
        <f>INDEX(属性偏向!$T$4:$T$243,(卡牌属性!$DU638-1+EY$3)*20+卡牌属性!$DX638)</f>
        <v>23</v>
      </c>
      <c r="EZ638" s="14">
        <f>INDEX(属性偏向!$T$4:$T$243,(卡牌属性!$DU638-1+EZ$3)*20+卡牌属性!$DX638)</f>
        <v>23</v>
      </c>
      <c r="FA638" s="14">
        <f>INDEX(属性偏向!$T$4:$T$243,(卡牌属性!$DU638-1+FA$3)*20+卡牌属性!$DX638)</f>
        <v>25</v>
      </c>
      <c r="FB638" s="14">
        <f>INDEX(属性偏向!$T$4:$T$243,(卡牌属性!$DU638-1+FB$3)*20+卡牌属性!$DX638)</f>
        <v>38</v>
      </c>
      <c r="FC638" s="14">
        <f>INDEX(属性偏向!$U$4:$U$243,(卡牌属性!$DV638-1+FC$3)*20+卡牌属性!$DX638)</f>
        <v>400</v>
      </c>
      <c r="FD638" s="14">
        <f>INDEX(属性偏向!$U$4:$U$243,(卡牌属性!$DV638-1+FD$3)*20+卡牌属性!$DX638)</f>
        <v>450</v>
      </c>
      <c r="FE638" s="14">
        <f>INDEX(属性偏向!$U$4:$U$243,(卡牌属性!$DV638-1+FE$3)*20+卡牌属性!$DX638)</f>
        <v>450</v>
      </c>
      <c r="FF638" s="14">
        <f>INDEX(属性偏向!$U$4:$U$243,(卡牌属性!$DV638-1+FF$3)*20+卡牌属性!$DX638)</f>
        <v>500</v>
      </c>
      <c r="FG638" s="14">
        <f>INDEX(属性偏向!$U$4:$U$243,(卡牌属性!$DV638-1+FG$3)*20+卡牌属性!$DX638)</f>
        <v>750</v>
      </c>
      <c r="FH638" s="14">
        <f>INDEX(属性投放!$BQ$6:$BQ$85,(卡牌属性!$DW638-2)*20+卡牌属性!$DX638)</f>
        <v>520</v>
      </c>
      <c r="FI638" s="14">
        <f>INDEX(属性投放!$BQ$6:$BQ$85,(卡牌属性!$DW638-2)*20+卡牌属性!$DX638)</f>
        <v>520</v>
      </c>
      <c r="FJ638" s="14">
        <f>INDEX(属性投放!$BQ$6:$BQ$85,(卡牌属性!$DW638-2)*20+卡牌属性!$DX638)</f>
        <v>520</v>
      </c>
      <c r="FK638" s="14">
        <f>INDEX(属性投放!$BQ$6:$BQ$85,(卡牌属性!$DW638-2)*20+卡牌属性!$DX638)</f>
        <v>520</v>
      </c>
      <c r="FL638" s="14">
        <f>INDEX(属性投放!$BQ$6:$BQ$85,(卡牌属性!$DW638-2)*20+卡牌属性!$DX638)</f>
        <v>520</v>
      </c>
      <c r="FM638" s="14">
        <f>INDEX(属性投放!$BR$6:$BR$85,(卡牌属性!$DW638-2)*20+卡牌属性!$DX638)</f>
        <v>260</v>
      </c>
      <c r="FN638" s="14">
        <f>INDEX(属性投放!$BR$6:$BR$85,(卡牌属性!$DW638-2)*20+卡牌属性!$DX638)</f>
        <v>260</v>
      </c>
      <c r="FO638" s="14">
        <f>INDEX(属性投放!$BR$6:$BR$85,(卡牌属性!$DW638-2)*20+卡牌属性!$DX638)</f>
        <v>260</v>
      </c>
      <c r="FP638" s="14">
        <f>INDEX(属性投放!$BR$6:$BR$85,(卡牌属性!$DW638-2)*20+卡牌属性!$DX638)</f>
        <v>260</v>
      </c>
      <c r="FQ638" s="14">
        <f>INDEX(属性投放!$BR$6:$BR$85,(卡牌属性!$DW638-2)*20+卡牌属性!$DX638)</f>
        <v>260</v>
      </c>
      <c r="FR638" s="14">
        <f>INDEX(属性投放!$BS$6:$BS$85,(卡牌属性!$DW638-2)*20+卡牌属性!$DX638)</f>
        <v>5200</v>
      </c>
      <c r="FS638" s="14">
        <f>INDEX(属性投放!$BS$6:$BS$85,(卡牌属性!$DW638-2)*20+卡牌属性!$DX638)</f>
        <v>5200</v>
      </c>
      <c r="FT638" s="14">
        <f>INDEX(属性投放!$BS$6:$BS$85,(卡牌属性!$DW638-2)*20+卡牌属性!$DX638)</f>
        <v>5200</v>
      </c>
      <c r="FU638" s="14">
        <f>INDEX(属性投放!$BS$6:$BS$85,(卡牌属性!$DW638-2)*20+卡牌属性!$DX638)</f>
        <v>5200</v>
      </c>
      <c r="FV638" s="14">
        <f>INDEX(属性投放!$BS$6:$BS$85,(卡牌属性!$DW638-2)*20+卡牌属性!$DX638)</f>
        <v>5200</v>
      </c>
    </row>
    <row r="639" spans="31:178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>
        <v>635</v>
      </c>
      <c r="BX639" s="13">
        <f t="shared" si="1059"/>
        <v>32</v>
      </c>
      <c r="BY639" s="14">
        <f t="shared" si="1060"/>
        <v>5</v>
      </c>
      <c r="BZ639" s="14">
        <f t="shared" si="1005"/>
        <v>1102996</v>
      </c>
      <c r="CA639" s="14" t="str">
        <f t="shared" si="1006"/>
        <v>UR守护灵15突</v>
      </c>
      <c r="CB639" s="25" t="s">
        <v>142</v>
      </c>
      <c r="CC639" s="14">
        <v>2</v>
      </c>
      <c r="CD639" s="14">
        <f t="shared" si="1003"/>
        <v>15</v>
      </c>
      <c r="CE639" s="14" t="s">
        <v>21</v>
      </c>
      <c r="CF639" s="14">
        <f>INDEX(属性投放!$AZ$6:$AZ$85,(BY639-2)*20+CD639)</f>
        <v>11979</v>
      </c>
      <c r="CG639" s="14" t="s">
        <v>22</v>
      </c>
      <c r="CH639" s="14">
        <f>INDEX(属性投放!$BA$6:$BA$85,(BY639-2)*20+CD639)</f>
        <v>5911</v>
      </c>
      <c r="CI639" s="14" t="s">
        <v>510</v>
      </c>
      <c r="CJ639" s="14">
        <f>INDEX(属性投放!$BB$6:$BB$85,(BY639-2)*20+CD639)</f>
        <v>102797</v>
      </c>
      <c r="CK639" s="14" t="s">
        <v>21</v>
      </c>
      <c r="CL639" s="14">
        <f>INDEX(属性投放!$BC$6:$BC$85,(BY639-2)*20+CD639)</f>
        <v>50</v>
      </c>
      <c r="CM639" s="14" t="s">
        <v>22</v>
      </c>
      <c r="CN639" s="14">
        <f>INDEX(属性投放!$BD$6:$BD$85,(BY639-2)*20+CD639)</f>
        <v>25</v>
      </c>
      <c r="CO639" s="14" t="s">
        <v>510</v>
      </c>
      <c r="CP639" s="14">
        <f>INDEX(属性投放!$BE$6:$BE$85,(BY639-2)*20+CD639)</f>
        <v>500</v>
      </c>
      <c r="CS639" s="13">
        <v>635</v>
      </c>
      <c r="CT639" s="13">
        <f t="shared" si="1007"/>
        <v>13</v>
      </c>
      <c r="CU639" s="13">
        <f t="shared" si="1008"/>
        <v>11</v>
      </c>
      <c r="CV639" s="14">
        <f t="shared" si="1009"/>
        <v>2</v>
      </c>
      <c r="CW639" s="14">
        <f t="shared" si="1010"/>
        <v>1102013</v>
      </c>
      <c r="CX639" s="14" t="str">
        <f>INDEX($O$6:$O$50,CT639)&amp;"-"&amp;INDEX(属性投放!$AB$7:$AB$50,CZ639)&amp;"-魂火-"&amp;DB639</f>
        <v>塞伯罗斯-众合+2-魂火-2</v>
      </c>
      <c r="CY639" s="25" t="s">
        <v>142</v>
      </c>
      <c r="CZ639" s="14">
        <f>INDEX(属性投放!$AM$7:$AM$58,CU639)</f>
        <v>6</v>
      </c>
      <c r="DA639" s="14" t="s">
        <v>537</v>
      </c>
      <c r="DB639" s="14">
        <f>INDEX(属性投放!$AN$7:$AN$58,CU639)</f>
        <v>2</v>
      </c>
      <c r="DC639" s="14">
        <f t="shared" si="1004"/>
        <v>11</v>
      </c>
      <c r="DD639" s="14">
        <f>INDEX(属性投放!$AO$7:$AO$58,DC639)</f>
        <v>45</v>
      </c>
      <c r="DE639" s="14" t="s">
        <v>538</v>
      </c>
      <c r="DF639" s="14">
        <f>INDEX(属性投放!$BK$6:$BK$85,(CV639-2)*20+CZ639)</f>
        <v>40</v>
      </c>
      <c r="DG639" s="14">
        <f>SUMIFS(DF$5:DF639,$CT$5:$CT639,"="&amp;$CT639)</f>
        <v>315</v>
      </c>
      <c r="DH639" s="14" t="s">
        <v>539</v>
      </c>
      <c r="DI639" s="14">
        <f>INDEX(属性投放!$BL$6:$BL$85,(CV639-2)*20+CZ639)</f>
        <v>20</v>
      </c>
      <c r="DJ639" s="14">
        <f>SUMIFS(DI$5:DI639,$CT$5:$CT639,"="&amp;$CT639)</f>
        <v>160</v>
      </c>
      <c r="DK639" s="14" t="s">
        <v>540</v>
      </c>
      <c r="DL639" s="14">
        <f>INDEX(属性投放!$BM$6:$BM$85,(CV639-2)*20+CZ639)</f>
        <v>280</v>
      </c>
      <c r="DM639" s="14">
        <f>SUMIFS(DL$5:DL639,$CT$5:$CT639,"="&amp;$CT639)</f>
        <v>2100</v>
      </c>
      <c r="DR639" s="14">
        <f t="shared" si="1061"/>
        <v>1102996</v>
      </c>
      <c r="DS639" s="14" t="str">
        <f t="shared" si="1062"/>
        <v>UR守护灵15突</v>
      </c>
      <c r="DT639" s="14">
        <f t="shared" si="1011"/>
        <v>9</v>
      </c>
      <c r="DU639" s="14">
        <f t="shared" si="1012"/>
        <v>7</v>
      </c>
      <c r="DV639" s="14">
        <f t="shared" si="1013"/>
        <v>7</v>
      </c>
      <c r="DW639" s="14">
        <f t="shared" si="1063"/>
        <v>5</v>
      </c>
      <c r="DX639" s="14">
        <f t="shared" si="1064"/>
        <v>15</v>
      </c>
      <c r="DY639" s="14">
        <f t="shared" si="1065"/>
        <v>75</v>
      </c>
      <c r="DZ639" s="14">
        <f>INDEX(属性投放!$AX$6:$AX$85,(卡牌属性!DW639-2)*20+卡牌属性!DX639)</f>
        <v>8</v>
      </c>
      <c r="EA639" s="14">
        <f>INDEX(属性投放!BQ$6:BQ$85,卡牌属性!$DY639)</f>
        <v>825</v>
      </c>
      <c r="EB639" s="14">
        <f>INDEX(属性投放!BR$6:BR$85,卡牌属性!$DY639)</f>
        <v>413</v>
      </c>
      <c r="EC639" s="14">
        <f>INDEX(属性投放!BS$6:BS$85,卡牌属性!$DY639)</f>
        <v>8250</v>
      </c>
      <c r="ED639" s="14">
        <f t="shared" si="1044"/>
        <v>6640</v>
      </c>
      <c r="EE639" s="14">
        <f t="shared" si="1045"/>
        <v>7695</v>
      </c>
      <c r="EF639" s="14">
        <f t="shared" si="1046"/>
        <v>9190</v>
      </c>
      <c r="EG639" s="14">
        <f t="shared" si="1047"/>
        <v>9190</v>
      </c>
      <c r="EH639" s="14">
        <f t="shared" si="1048"/>
        <v>11480</v>
      </c>
      <c r="EI639" s="14">
        <f t="shared" si="1049"/>
        <v>2901</v>
      </c>
      <c r="EJ639" s="14">
        <f t="shared" si="1050"/>
        <v>3101</v>
      </c>
      <c r="EK639" s="14">
        <f t="shared" si="1051"/>
        <v>3101</v>
      </c>
      <c r="EL639" s="14">
        <f t="shared" si="1052"/>
        <v>3286</v>
      </c>
      <c r="EM639" s="14">
        <f t="shared" si="1053"/>
        <v>3843</v>
      </c>
      <c r="EN639" s="14">
        <f t="shared" si="1054"/>
        <v>48953</v>
      </c>
      <c r="EO639" s="14">
        <f t="shared" si="1055"/>
        <v>51897</v>
      </c>
      <c r="EP639" s="14">
        <f t="shared" si="1056"/>
        <v>51897</v>
      </c>
      <c r="EQ639" s="14">
        <f t="shared" si="1057"/>
        <v>54995</v>
      </c>
      <c r="ER639" s="14">
        <f t="shared" si="1058"/>
        <v>63955</v>
      </c>
      <c r="ES639" s="14">
        <f>INDEX(属性偏向!$S$4:$S$243,(卡牌属性!$DT639-1+ES$3)*20+卡牌属性!$DX639)</f>
        <v>50</v>
      </c>
      <c r="ET639" s="14">
        <f>INDEX(属性偏向!$S$4:$S$243,(卡牌属性!$DT639-1+ET$3)*20+卡牌属性!$DX639)</f>
        <v>75</v>
      </c>
      <c r="EU639" s="14">
        <f>INDEX(属性偏向!$S$4:$S$243,(卡牌属性!$DT639-1+EU$3)*20+卡牌属性!$DX639)</f>
        <v>100</v>
      </c>
      <c r="EV639" s="14">
        <f>INDEX(属性偏向!$S$4:$S$243,(卡牌属性!$DT639-1+EV$3)*20+卡牌属性!$DX639)</f>
        <v>100</v>
      </c>
      <c r="EW639" s="14">
        <f>INDEX(属性偏向!$S$4:$S$243,(卡牌属性!$DT639-1+EW$3)*20+卡牌属性!$DX639)</f>
        <v>150</v>
      </c>
      <c r="EX639" s="14">
        <f>INDEX(属性偏向!$T$4:$T$243,(卡牌属性!$DU639-1+EX$3)*20+卡牌属性!$DX639)</f>
        <v>20</v>
      </c>
      <c r="EY639" s="14">
        <f>INDEX(属性偏向!$T$4:$T$243,(卡牌属性!$DU639-1+EY$3)*20+卡牌属性!$DX639)</f>
        <v>23</v>
      </c>
      <c r="EZ639" s="14">
        <f>INDEX(属性偏向!$T$4:$T$243,(卡牌属性!$DU639-1+EZ$3)*20+卡牌属性!$DX639)</f>
        <v>23</v>
      </c>
      <c r="FA639" s="14">
        <f>INDEX(属性偏向!$T$4:$T$243,(卡牌属性!$DU639-1+FA$3)*20+卡牌属性!$DX639)</f>
        <v>25</v>
      </c>
      <c r="FB639" s="14">
        <f>INDEX(属性偏向!$T$4:$T$243,(卡牌属性!$DU639-1+FB$3)*20+卡牌属性!$DX639)</f>
        <v>38</v>
      </c>
      <c r="FC639" s="14">
        <f>INDEX(属性偏向!$U$4:$U$243,(卡牌属性!$DV639-1+FC$3)*20+卡牌属性!$DX639)</f>
        <v>400</v>
      </c>
      <c r="FD639" s="14">
        <f>INDEX(属性偏向!$U$4:$U$243,(卡牌属性!$DV639-1+FD$3)*20+卡牌属性!$DX639)</f>
        <v>450</v>
      </c>
      <c r="FE639" s="14">
        <f>INDEX(属性偏向!$U$4:$U$243,(卡牌属性!$DV639-1+FE$3)*20+卡牌属性!$DX639)</f>
        <v>450</v>
      </c>
      <c r="FF639" s="14">
        <f>INDEX(属性偏向!$U$4:$U$243,(卡牌属性!$DV639-1+FF$3)*20+卡牌属性!$DX639)</f>
        <v>500</v>
      </c>
      <c r="FG639" s="14">
        <f>INDEX(属性偏向!$U$4:$U$243,(卡牌属性!$DV639-1+FG$3)*20+卡牌属性!$DX639)</f>
        <v>750</v>
      </c>
      <c r="FH639" s="14">
        <f>INDEX(属性投放!$BQ$6:$BQ$85,(卡牌属性!$DW639-2)*20+卡牌属性!$DX639)</f>
        <v>825</v>
      </c>
      <c r="FI639" s="14">
        <f>INDEX(属性投放!$BQ$6:$BQ$85,(卡牌属性!$DW639-2)*20+卡牌属性!$DX639)</f>
        <v>825</v>
      </c>
      <c r="FJ639" s="14">
        <f>INDEX(属性投放!$BQ$6:$BQ$85,(卡牌属性!$DW639-2)*20+卡牌属性!$DX639)</f>
        <v>825</v>
      </c>
      <c r="FK639" s="14">
        <f>INDEX(属性投放!$BQ$6:$BQ$85,(卡牌属性!$DW639-2)*20+卡牌属性!$DX639)</f>
        <v>825</v>
      </c>
      <c r="FL639" s="14">
        <f>INDEX(属性投放!$BQ$6:$BQ$85,(卡牌属性!$DW639-2)*20+卡牌属性!$DX639)</f>
        <v>825</v>
      </c>
      <c r="FM639" s="14">
        <f>INDEX(属性投放!$BR$6:$BR$85,(卡牌属性!$DW639-2)*20+卡牌属性!$DX639)</f>
        <v>413</v>
      </c>
      <c r="FN639" s="14">
        <f>INDEX(属性投放!$BR$6:$BR$85,(卡牌属性!$DW639-2)*20+卡牌属性!$DX639)</f>
        <v>413</v>
      </c>
      <c r="FO639" s="14">
        <f>INDEX(属性投放!$BR$6:$BR$85,(卡牌属性!$DW639-2)*20+卡牌属性!$DX639)</f>
        <v>413</v>
      </c>
      <c r="FP639" s="14">
        <f>INDEX(属性投放!$BR$6:$BR$85,(卡牌属性!$DW639-2)*20+卡牌属性!$DX639)</f>
        <v>413</v>
      </c>
      <c r="FQ639" s="14">
        <f>INDEX(属性投放!$BR$6:$BR$85,(卡牌属性!$DW639-2)*20+卡牌属性!$DX639)</f>
        <v>413</v>
      </c>
      <c r="FR639" s="14">
        <f>INDEX(属性投放!$BS$6:$BS$85,(卡牌属性!$DW639-2)*20+卡牌属性!$DX639)</f>
        <v>8250</v>
      </c>
      <c r="FS639" s="14">
        <f>INDEX(属性投放!$BS$6:$BS$85,(卡牌属性!$DW639-2)*20+卡牌属性!$DX639)</f>
        <v>8250</v>
      </c>
      <c r="FT639" s="14">
        <f>INDEX(属性投放!$BS$6:$BS$85,(卡牌属性!$DW639-2)*20+卡牌属性!$DX639)</f>
        <v>8250</v>
      </c>
      <c r="FU639" s="14">
        <f>INDEX(属性投放!$BS$6:$BS$85,(卡牌属性!$DW639-2)*20+卡牌属性!$DX639)</f>
        <v>8250</v>
      </c>
      <c r="FV639" s="14">
        <f>INDEX(属性投放!$BS$6:$BS$85,(卡牌属性!$DW639-2)*20+卡牌属性!$DX639)</f>
        <v>8250</v>
      </c>
    </row>
    <row r="640" spans="31:178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>
        <v>636</v>
      </c>
      <c r="BX640" s="13">
        <f t="shared" si="1059"/>
        <v>32</v>
      </c>
      <c r="BY640" s="14">
        <f t="shared" si="1060"/>
        <v>5</v>
      </c>
      <c r="BZ640" s="14">
        <f t="shared" si="1005"/>
        <v>1102996</v>
      </c>
      <c r="CA640" s="14" t="str">
        <f t="shared" si="1006"/>
        <v>UR守护灵16突</v>
      </c>
      <c r="CB640" s="25" t="s">
        <v>142</v>
      </c>
      <c r="CC640" s="14">
        <v>2</v>
      </c>
      <c r="CD640" s="14">
        <f t="shared" si="1003"/>
        <v>16</v>
      </c>
      <c r="CE640" s="14" t="s">
        <v>21</v>
      </c>
      <c r="CF640" s="14">
        <f>INDEX(属性投放!$AZ$6:$AZ$85,(BY640-2)*20+CD640)</f>
        <v>14704</v>
      </c>
      <c r="CG640" s="14" t="s">
        <v>22</v>
      </c>
      <c r="CH640" s="14">
        <f>INDEX(属性投放!$BA$6:$BA$85,(BY640-2)*20+CD640)</f>
        <v>7274</v>
      </c>
      <c r="CI640" s="14" t="s">
        <v>510</v>
      </c>
      <c r="CJ640" s="14">
        <f>INDEX(属性投放!$BB$6:$BB$85,(BY640-2)*20+CD640)</f>
        <v>130047</v>
      </c>
      <c r="CK640" s="14" t="s">
        <v>21</v>
      </c>
      <c r="CL640" s="14">
        <f>INDEX(属性投放!$BC$6:$BC$85,(BY640-2)*20+CD640)</f>
        <v>75</v>
      </c>
      <c r="CM640" s="14" t="s">
        <v>22</v>
      </c>
      <c r="CN640" s="14">
        <f>INDEX(属性投放!$BD$6:$BD$85,(BY640-2)*20+CD640)</f>
        <v>38</v>
      </c>
      <c r="CO640" s="14" t="s">
        <v>510</v>
      </c>
      <c r="CP640" s="14">
        <f>INDEX(属性投放!$BE$6:$BE$85,(BY640-2)*20+CD640)</f>
        <v>750</v>
      </c>
      <c r="CS640" s="13">
        <v>636</v>
      </c>
      <c r="CT640" s="13">
        <f t="shared" si="1007"/>
        <v>13</v>
      </c>
      <c r="CU640" s="13">
        <f t="shared" si="1008"/>
        <v>12</v>
      </c>
      <c r="CV640" s="14">
        <f t="shared" si="1009"/>
        <v>2</v>
      </c>
      <c r="CW640" s="14">
        <f t="shared" si="1010"/>
        <v>1102013</v>
      </c>
      <c r="CX640" s="14" t="str">
        <f>INDEX($O$6:$O$50,CT640)&amp;"-"&amp;INDEX(属性投放!$AB$7:$AB$50,CZ640)&amp;"-魂火-"&amp;DB640</f>
        <v>塞伯罗斯-叫唤-魂火-1</v>
      </c>
      <c r="CY640" s="25" t="s">
        <v>142</v>
      </c>
      <c r="CZ640" s="14">
        <f>INDEX(属性投放!$AM$7:$AM$58,CU640)</f>
        <v>7</v>
      </c>
      <c r="DA640" s="14" t="s">
        <v>537</v>
      </c>
      <c r="DB640" s="14">
        <f>INDEX(属性投放!$AN$7:$AN$58,CU640)</f>
        <v>1</v>
      </c>
      <c r="DC640" s="14">
        <f t="shared" si="1004"/>
        <v>12</v>
      </c>
      <c r="DD640" s="14">
        <f>INDEX(属性投放!$AO$7:$AO$58,DC640)</f>
        <v>48</v>
      </c>
      <c r="DE640" s="14" t="s">
        <v>538</v>
      </c>
      <c r="DF640" s="14">
        <f>INDEX(属性投放!$BK$6:$BK$85,(CV640-2)*20+CZ640)</f>
        <v>55</v>
      </c>
      <c r="DG640" s="14">
        <f>SUMIFS(DF$5:DF640,$CT$5:$CT640,"="&amp;$CT640)</f>
        <v>370</v>
      </c>
      <c r="DH640" s="14" t="s">
        <v>539</v>
      </c>
      <c r="DI640" s="14">
        <f>INDEX(属性投放!$BL$6:$BL$85,(CV640-2)*20+CZ640)</f>
        <v>28</v>
      </c>
      <c r="DJ640" s="14">
        <f>SUMIFS(DI$5:DI640,$CT$5:$CT640,"="&amp;$CT640)</f>
        <v>188</v>
      </c>
      <c r="DK640" s="14" t="s">
        <v>540</v>
      </c>
      <c r="DL640" s="14">
        <f>INDEX(属性投放!$BM$6:$BM$85,(CV640-2)*20+CZ640)</f>
        <v>440</v>
      </c>
      <c r="DM640" s="14">
        <f>SUMIFS(DL$5:DL640,$CT$5:$CT640,"="&amp;$CT640)</f>
        <v>2540</v>
      </c>
      <c r="DR640" s="14">
        <f t="shared" si="1061"/>
        <v>1102996</v>
      </c>
      <c r="DS640" s="14" t="str">
        <f t="shared" si="1062"/>
        <v>UR守护灵16突</v>
      </c>
      <c r="DT640" s="14">
        <f t="shared" si="1011"/>
        <v>9</v>
      </c>
      <c r="DU640" s="14">
        <f t="shared" si="1012"/>
        <v>7</v>
      </c>
      <c r="DV640" s="14">
        <f t="shared" si="1013"/>
        <v>7</v>
      </c>
      <c r="DW640" s="14">
        <f t="shared" si="1063"/>
        <v>5</v>
      </c>
      <c r="DX640" s="14">
        <f t="shared" si="1064"/>
        <v>16</v>
      </c>
      <c r="DY640" s="14">
        <f t="shared" si="1065"/>
        <v>76</v>
      </c>
      <c r="DZ640" s="14">
        <f>INDEX(属性投放!$AX$6:$AX$85,(卡牌属性!DW640-2)*20+卡牌属性!DX640)</f>
        <v>7</v>
      </c>
      <c r="EA640" s="14">
        <f>INDEX(属性投放!BQ$6:BQ$85,卡牌属性!$DY640)</f>
        <v>870</v>
      </c>
      <c r="EB640" s="14">
        <f>INDEX(属性投放!BR$6:BR$85,卡牌属性!$DY640)</f>
        <v>435</v>
      </c>
      <c r="EC640" s="14">
        <f>INDEX(属性投放!BS$6:BS$85,卡牌属性!$DY640)</f>
        <v>8700</v>
      </c>
      <c r="ED640" s="14">
        <f t="shared" si="1044"/>
        <v>7865</v>
      </c>
      <c r="EE640" s="14">
        <f t="shared" si="1045"/>
        <v>9120</v>
      </c>
      <c r="EF640" s="14">
        <f t="shared" si="1046"/>
        <v>10815</v>
      </c>
      <c r="EG640" s="14">
        <f t="shared" si="1047"/>
        <v>10815</v>
      </c>
      <c r="EH640" s="14">
        <f t="shared" si="1048"/>
        <v>13505</v>
      </c>
      <c r="EI640" s="14">
        <f t="shared" si="1049"/>
        <v>3474</v>
      </c>
      <c r="EJ640" s="14">
        <f t="shared" si="1050"/>
        <v>3698</v>
      </c>
      <c r="EK640" s="14">
        <f t="shared" si="1051"/>
        <v>3698</v>
      </c>
      <c r="EL640" s="14">
        <f t="shared" si="1052"/>
        <v>3899</v>
      </c>
      <c r="EM640" s="14">
        <f t="shared" si="1053"/>
        <v>4560</v>
      </c>
      <c r="EN640" s="14">
        <f t="shared" si="1054"/>
        <v>60403</v>
      </c>
      <c r="EO640" s="14">
        <f t="shared" si="1055"/>
        <v>63747</v>
      </c>
      <c r="EP640" s="14">
        <f t="shared" si="1056"/>
        <v>63747</v>
      </c>
      <c r="EQ640" s="14">
        <f t="shared" si="1057"/>
        <v>67245</v>
      </c>
      <c r="ER640" s="14">
        <f t="shared" si="1058"/>
        <v>78205</v>
      </c>
      <c r="ES640" s="14">
        <f>INDEX(属性偏向!$S$4:$S$243,(卡牌属性!$DT640-1+ES$3)*20+卡牌属性!$DX640)</f>
        <v>75</v>
      </c>
      <c r="ET640" s="14">
        <f>INDEX(属性偏向!$S$4:$S$243,(卡牌属性!$DT640-1+ET$3)*20+卡牌属性!$DX640)</f>
        <v>100</v>
      </c>
      <c r="EU640" s="14">
        <f>INDEX(属性偏向!$S$4:$S$243,(卡牌属性!$DT640-1+EU$3)*20+卡牌属性!$DX640)</f>
        <v>150</v>
      </c>
      <c r="EV640" s="14">
        <f>INDEX(属性偏向!$S$4:$S$243,(卡牌属性!$DT640-1+EV$3)*20+卡牌属性!$DX640)</f>
        <v>150</v>
      </c>
      <c r="EW640" s="14">
        <f>INDEX(属性偏向!$S$4:$S$243,(卡牌属性!$DT640-1+EW$3)*20+卡牌属性!$DX640)</f>
        <v>200</v>
      </c>
      <c r="EX640" s="14">
        <f>INDEX(属性偏向!$T$4:$T$243,(卡牌属性!$DU640-1+EX$3)*20+卡牌属性!$DX640)</f>
        <v>25</v>
      </c>
      <c r="EY640" s="14">
        <f>INDEX(属性偏向!$T$4:$T$243,(卡牌属性!$DU640-1+EY$3)*20+卡牌属性!$DX640)</f>
        <v>30</v>
      </c>
      <c r="EZ640" s="14">
        <f>INDEX(属性偏向!$T$4:$T$243,(卡牌属性!$DU640-1+EZ$3)*20+卡牌属性!$DX640)</f>
        <v>30</v>
      </c>
      <c r="FA640" s="14">
        <f>INDEX(属性偏向!$T$4:$T$243,(卡牌属性!$DU640-1+FA$3)*20+卡牌属性!$DX640)</f>
        <v>38</v>
      </c>
      <c r="FB640" s="14">
        <f>INDEX(属性偏向!$T$4:$T$243,(卡牌属性!$DU640-1+FB$3)*20+卡牌属性!$DX640)</f>
        <v>50</v>
      </c>
      <c r="FC640" s="14">
        <f>INDEX(属性偏向!$U$4:$U$243,(卡牌属性!$DV640-1+FC$3)*20+卡牌属性!$DX640)</f>
        <v>500</v>
      </c>
      <c r="FD640" s="14">
        <f>INDEX(属性偏向!$U$4:$U$243,(卡牌属性!$DV640-1+FD$3)*20+卡牌属性!$DX640)</f>
        <v>600</v>
      </c>
      <c r="FE640" s="14">
        <f>INDEX(属性偏向!$U$4:$U$243,(卡牌属性!$DV640-1+FE$3)*20+卡牌属性!$DX640)</f>
        <v>600</v>
      </c>
      <c r="FF640" s="14">
        <f>INDEX(属性偏向!$U$4:$U$243,(卡牌属性!$DV640-1+FF$3)*20+卡牌属性!$DX640)</f>
        <v>750</v>
      </c>
      <c r="FG640" s="14">
        <f>INDEX(属性偏向!$U$4:$U$243,(卡牌属性!$DV640-1+FG$3)*20+卡牌属性!$DX640)</f>
        <v>1000</v>
      </c>
      <c r="FH640" s="14">
        <f>INDEX(属性投放!$BQ$6:$BQ$85,(卡牌属性!$DW640-2)*20+卡牌属性!$DX640)</f>
        <v>870</v>
      </c>
      <c r="FI640" s="14">
        <f>INDEX(属性投放!$BQ$6:$BQ$85,(卡牌属性!$DW640-2)*20+卡牌属性!$DX640)</f>
        <v>870</v>
      </c>
      <c r="FJ640" s="14">
        <f>INDEX(属性投放!$BQ$6:$BQ$85,(卡牌属性!$DW640-2)*20+卡牌属性!$DX640)</f>
        <v>870</v>
      </c>
      <c r="FK640" s="14">
        <f>INDEX(属性投放!$BQ$6:$BQ$85,(卡牌属性!$DW640-2)*20+卡牌属性!$DX640)</f>
        <v>870</v>
      </c>
      <c r="FL640" s="14">
        <f>INDEX(属性投放!$BQ$6:$BQ$85,(卡牌属性!$DW640-2)*20+卡牌属性!$DX640)</f>
        <v>870</v>
      </c>
      <c r="FM640" s="14">
        <f>INDEX(属性投放!$BR$6:$BR$85,(卡牌属性!$DW640-2)*20+卡牌属性!$DX640)</f>
        <v>435</v>
      </c>
      <c r="FN640" s="14">
        <f>INDEX(属性投放!$BR$6:$BR$85,(卡牌属性!$DW640-2)*20+卡牌属性!$DX640)</f>
        <v>435</v>
      </c>
      <c r="FO640" s="14">
        <f>INDEX(属性投放!$BR$6:$BR$85,(卡牌属性!$DW640-2)*20+卡牌属性!$DX640)</f>
        <v>435</v>
      </c>
      <c r="FP640" s="14">
        <f>INDEX(属性投放!$BR$6:$BR$85,(卡牌属性!$DW640-2)*20+卡牌属性!$DX640)</f>
        <v>435</v>
      </c>
      <c r="FQ640" s="14">
        <f>INDEX(属性投放!$BR$6:$BR$85,(卡牌属性!$DW640-2)*20+卡牌属性!$DX640)</f>
        <v>435</v>
      </c>
      <c r="FR640" s="14">
        <f>INDEX(属性投放!$BS$6:$BS$85,(卡牌属性!$DW640-2)*20+卡牌属性!$DX640)</f>
        <v>8700</v>
      </c>
      <c r="FS640" s="14">
        <f>INDEX(属性投放!$BS$6:$BS$85,(卡牌属性!$DW640-2)*20+卡牌属性!$DX640)</f>
        <v>8700</v>
      </c>
      <c r="FT640" s="14">
        <f>INDEX(属性投放!$BS$6:$BS$85,(卡牌属性!$DW640-2)*20+卡牌属性!$DX640)</f>
        <v>8700</v>
      </c>
      <c r="FU640" s="14">
        <f>INDEX(属性投放!$BS$6:$BS$85,(卡牌属性!$DW640-2)*20+卡牌属性!$DX640)</f>
        <v>8700</v>
      </c>
      <c r="FV640" s="14">
        <f>INDEX(属性投放!$BS$6:$BS$85,(卡牌属性!$DW640-2)*20+卡牌属性!$DX640)</f>
        <v>8700</v>
      </c>
    </row>
    <row r="641" spans="31:178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>
        <v>637</v>
      </c>
      <c r="BX641" s="13">
        <f t="shared" si="1059"/>
        <v>32</v>
      </c>
      <c r="BY641" s="14">
        <f t="shared" si="1060"/>
        <v>5</v>
      </c>
      <c r="BZ641" s="14">
        <f t="shared" si="1005"/>
        <v>1102996</v>
      </c>
      <c r="CA641" s="14" t="str">
        <f t="shared" si="1006"/>
        <v>UR守护灵17突</v>
      </c>
      <c r="CB641" s="25" t="s">
        <v>142</v>
      </c>
      <c r="CC641" s="14">
        <v>2</v>
      </c>
      <c r="CD641" s="14">
        <f t="shared" si="1003"/>
        <v>17</v>
      </c>
      <c r="CE641" s="14" t="s">
        <v>21</v>
      </c>
      <c r="CF641" s="14">
        <f>INDEX(属性投放!$AZ$6:$AZ$85,(BY641-2)*20+CD641)</f>
        <v>17839</v>
      </c>
      <c r="CG641" s="14" t="s">
        <v>22</v>
      </c>
      <c r="CH641" s="14">
        <f>INDEX(属性投放!$BA$6:$BA$85,(BY641-2)*20+CD641)</f>
        <v>8845</v>
      </c>
      <c r="CI641" s="14" t="s">
        <v>510</v>
      </c>
      <c r="CJ641" s="14">
        <f>INDEX(属性投放!$BB$6:$BB$85,(BY641-2)*20+CD641)</f>
        <v>161397</v>
      </c>
      <c r="CK641" s="14" t="s">
        <v>21</v>
      </c>
      <c r="CL641" s="14">
        <f>INDEX(属性投放!$BC$6:$BC$85,(BY641-2)*20+CD641)</f>
        <v>75</v>
      </c>
      <c r="CM641" s="14" t="s">
        <v>22</v>
      </c>
      <c r="CN641" s="14">
        <f>INDEX(属性投放!$BD$6:$BD$85,(BY641-2)*20+CD641)</f>
        <v>38</v>
      </c>
      <c r="CO641" s="14" t="s">
        <v>510</v>
      </c>
      <c r="CP641" s="14">
        <f>INDEX(属性投放!$BE$6:$BE$85,(BY641-2)*20+CD641)</f>
        <v>750</v>
      </c>
      <c r="CS641" s="13">
        <v>637</v>
      </c>
      <c r="CT641" s="13">
        <f t="shared" si="1007"/>
        <v>13</v>
      </c>
      <c r="CU641" s="13">
        <f t="shared" si="1008"/>
        <v>13</v>
      </c>
      <c r="CV641" s="14">
        <f t="shared" si="1009"/>
        <v>2</v>
      </c>
      <c r="CW641" s="14">
        <f t="shared" si="1010"/>
        <v>1102013</v>
      </c>
      <c r="CX641" s="14" t="str">
        <f>INDEX($O$6:$O$50,CT641)&amp;"-"&amp;INDEX(属性投放!$AB$7:$AB$50,CZ641)&amp;"-魂火-"&amp;DB641</f>
        <v>塞伯罗斯-叫唤-魂火-2</v>
      </c>
      <c r="CY641" s="25" t="s">
        <v>142</v>
      </c>
      <c r="CZ641" s="14">
        <f>INDEX(属性投放!$AM$7:$AM$58,CU641)</f>
        <v>7</v>
      </c>
      <c r="DA641" s="14" t="s">
        <v>537</v>
      </c>
      <c r="DB641" s="14">
        <f>INDEX(属性投放!$AN$7:$AN$58,CU641)</f>
        <v>2</v>
      </c>
      <c r="DC641" s="14">
        <f t="shared" si="1004"/>
        <v>13</v>
      </c>
      <c r="DD641" s="14">
        <f>INDEX(属性投放!$AO$7:$AO$58,DC641)</f>
        <v>50</v>
      </c>
      <c r="DE641" s="14" t="s">
        <v>538</v>
      </c>
      <c r="DF641" s="14">
        <f>INDEX(属性投放!$BK$6:$BK$85,(CV641-2)*20+CZ641)</f>
        <v>55</v>
      </c>
      <c r="DG641" s="14">
        <f>SUMIFS(DF$5:DF641,$CT$5:$CT641,"="&amp;$CT641)</f>
        <v>425</v>
      </c>
      <c r="DH641" s="14" t="s">
        <v>539</v>
      </c>
      <c r="DI641" s="14">
        <f>INDEX(属性投放!$BL$6:$BL$85,(CV641-2)*20+CZ641)</f>
        <v>28</v>
      </c>
      <c r="DJ641" s="14">
        <f>SUMIFS(DI$5:DI641,$CT$5:$CT641,"="&amp;$CT641)</f>
        <v>216</v>
      </c>
      <c r="DK641" s="14" t="s">
        <v>540</v>
      </c>
      <c r="DL641" s="14">
        <f>INDEX(属性投放!$BM$6:$BM$85,(CV641-2)*20+CZ641)</f>
        <v>440</v>
      </c>
      <c r="DM641" s="14">
        <f>SUMIFS(DL$5:DL641,$CT$5:$CT641,"="&amp;$CT641)</f>
        <v>2980</v>
      </c>
      <c r="DR641" s="14">
        <f t="shared" si="1061"/>
        <v>1102996</v>
      </c>
      <c r="DS641" s="14" t="str">
        <f t="shared" si="1062"/>
        <v>UR守护灵17突</v>
      </c>
      <c r="DT641" s="14">
        <f t="shared" si="1011"/>
        <v>9</v>
      </c>
      <c r="DU641" s="14">
        <f t="shared" si="1012"/>
        <v>7</v>
      </c>
      <c r="DV641" s="14">
        <f t="shared" si="1013"/>
        <v>7</v>
      </c>
      <c r="DW641" s="14">
        <f t="shared" si="1063"/>
        <v>5</v>
      </c>
      <c r="DX641" s="14">
        <f t="shared" si="1064"/>
        <v>17</v>
      </c>
      <c r="DY641" s="14">
        <f t="shared" si="1065"/>
        <v>77</v>
      </c>
      <c r="DZ641" s="14">
        <f>INDEX(属性投放!$AX$6:$AX$85,(卡牌属性!DW641-2)*20+卡牌属性!DX641)</f>
        <v>8</v>
      </c>
      <c r="EA641" s="14">
        <f>INDEX(属性投放!BQ$6:BQ$85,卡牌属性!$DY641)</f>
        <v>950</v>
      </c>
      <c r="EB641" s="14">
        <f>INDEX(属性投放!BR$6:BR$85,卡牌属性!$DY641)</f>
        <v>475</v>
      </c>
      <c r="EC641" s="14">
        <f>INDEX(属性投放!BS$6:BS$85,卡牌属性!$DY641)</f>
        <v>9500</v>
      </c>
      <c r="ED641" s="14">
        <f t="shared" si="1044"/>
        <v>9260</v>
      </c>
      <c r="EE641" s="14">
        <f t="shared" si="1045"/>
        <v>10690</v>
      </c>
      <c r="EF641" s="14">
        <f t="shared" si="1046"/>
        <v>12735</v>
      </c>
      <c r="EG641" s="14">
        <f t="shared" si="1047"/>
        <v>12735</v>
      </c>
      <c r="EH641" s="14">
        <f t="shared" si="1048"/>
        <v>15775</v>
      </c>
      <c r="EI641" s="14">
        <f t="shared" si="1049"/>
        <v>4084</v>
      </c>
      <c r="EJ641" s="14">
        <f t="shared" si="1050"/>
        <v>4343</v>
      </c>
      <c r="EK641" s="14">
        <f t="shared" si="1051"/>
        <v>4343</v>
      </c>
      <c r="EL641" s="14">
        <f t="shared" si="1052"/>
        <v>4600</v>
      </c>
      <c r="EM641" s="14">
        <f t="shared" si="1053"/>
        <v>5345</v>
      </c>
      <c r="EN641" s="14">
        <f t="shared" si="1054"/>
        <v>72603</v>
      </c>
      <c r="EO641" s="14">
        <f t="shared" si="1055"/>
        <v>76647</v>
      </c>
      <c r="EP641" s="14">
        <f t="shared" si="1056"/>
        <v>76647</v>
      </c>
      <c r="EQ641" s="14">
        <f t="shared" si="1057"/>
        <v>81195</v>
      </c>
      <c r="ER641" s="14">
        <f t="shared" si="1058"/>
        <v>93905</v>
      </c>
      <c r="ES641" s="14">
        <f>INDEX(属性偏向!$S$4:$S$243,(卡牌属性!$DT641-1+ES$3)*20+卡牌属性!$DX641)</f>
        <v>75</v>
      </c>
      <c r="ET641" s="14">
        <f>INDEX(属性偏向!$S$4:$S$243,(卡牌属性!$DT641-1+ET$3)*20+卡牌属性!$DX641)</f>
        <v>100</v>
      </c>
      <c r="EU641" s="14">
        <f>INDEX(属性偏向!$S$4:$S$243,(卡牌属性!$DT641-1+EU$3)*20+卡牌属性!$DX641)</f>
        <v>150</v>
      </c>
      <c r="EV641" s="14">
        <f>INDEX(属性偏向!$S$4:$S$243,(卡牌属性!$DT641-1+EV$3)*20+卡牌属性!$DX641)</f>
        <v>150</v>
      </c>
      <c r="EW641" s="14">
        <f>INDEX(属性偏向!$S$4:$S$243,(卡牌属性!$DT641-1+EW$3)*20+卡牌属性!$DX641)</f>
        <v>200</v>
      </c>
      <c r="EX641" s="14">
        <f>INDEX(属性偏向!$T$4:$T$243,(卡牌属性!$DU641-1+EX$3)*20+卡牌属性!$DX641)</f>
        <v>25</v>
      </c>
      <c r="EY641" s="14">
        <f>INDEX(属性偏向!$T$4:$T$243,(卡牌属性!$DU641-1+EY$3)*20+卡牌属性!$DX641)</f>
        <v>30</v>
      </c>
      <c r="EZ641" s="14">
        <f>INDEX(属性偏向!$T$4:$T$243,(卡牌属性!$DU641-1+EZ$3)*20+卡牌属性!$DX641)</f>
        <v>30</v>
      </c>
      <c r="FA641" s="14">
        <f>INDEX(属性偏向!$T$4:$T$243,(卡牌属性!$DU641-1+FA$3)*20+卡牌属性!$DX641)</f>
        <v>38</v>
      </c>
      <c r="FB641" s="14">
        <f>INDEX(属性偏向!$T$4:$T$243,(卡牌属性!$DU641-1+FB$3)*20+卡牌属性!$DX641)</f>
        <v>50</v>
      </c>
      <c r="FC641" s="14">
        <f>INDEX(属性偏向!$U$4:$U$243,(卡牌属性!$DV641-1+FC$3)*20+卡牌属性!$DX641)</f>
        <v>500</v>
      </c>
      <c r="FD641" s="14">
        <f>INDEX(属性偏向!$U$4:$U$243,(卡牌属性!$DV641-1+FD$3)*20+卡牌属性!$DX641)</f>
        <v>600</v>
      </c>
      <c r="FE641" s="14">
        <f>INDEX(属性偏向!$U$4:$U$243,(卡牌属性!$DV641-1+FE$3)*20+卡牌属性!$DX641)</f>
        <v>600</v>
      </c>
      <c r="FF641" s="14">
        <f>INDEX(属性偏向!$U$4:$U$243,(卡牌属性!$DV641-1+FF$3)*20+卡牌属性!$DX641)</f>
        <v>750</v>
      </c>
      <c r="FG641" s="14">
        <f>INDEX(属性偏向!$U$4:$U$243,(卡牌属性!$DV641-1+FG$3)*20+卡牌属性!$DX641)</f>
        <v>1000</v>
      </c>
      <c r="FH641" s="14">
        <f>INDEX(属性投放!$BQ$6:$BQ$85,(卡牌属性!$DW641-2)*20+卡牌属性!$DX641)</f>
        <v>950</v>
      </c>
      <c r="FI641" s="14">
        <f>INDEX(属性投放!$BQ$6:$BQ$85,(卡牌属性!$DW641-2)*20+卡牌属性!$DX641)</f>
        <v>950</v>
      </c>
      <c r="FJ641" s="14">
        <f>INDEX(属性投放!$BQ$6:$BQ$85,(卡牌属性!$DW641-2)*20+卡牌属性!$DX641)</f>
        <v>950</v>
      </c>
      <c r="FK641" s="14">
        <f>INDEX(属性投放!$BQ$6:$BQ$85,(卡牌属性!$DW641-2)*20+卡牌属性!$DX641)</f>
        <v>950</v>
      </c>
      <c r="FL641" s="14">
        <f>INDEX(属性投放!$BQ$6:$BQ$85,(卡牌属性!$DW641-2)*20+卡牌属性!$DX641)</f>
        <v>950</v>
      </c>
      <c r="FM641" s="14">
        <f>INDEX(属性投放!$BR$6:$BR$85,(卡牌属性!$DW641-2)*20+卡牌属性!$DX641)</f>
        <v>475</v>
      </c>
      <c r="FN641" s="14">
        <f>INDEX(属性投放!$BR$6:$BR$85,(卡牌属性!$DW641-2)*20+卡牌属性!$DX641)</f>
        <v>475</v>
      </c>
      <c r="FO641" s="14">
        <f>INDEX(属性投放!$BR$6:$BR$85,(卡牌属性!$DW641-2)*20+卡牌属性!$DX641)</f>
        <v>475</v>
      </c>
      <c r="FP641" s="14">
        <f>INDEX(属性投放!$BR$6:$BR$85,(卡牌属性!$DW641-2)*20+卡牌属性!$DX641)</f>
        <v>475</v>
      </c>
      <c r="FQ641" s="14">
        <f>INDEX(属性投放!$BR$6:$BR$85,(卡牌属性!$DW641-2)*20+卡牌属性!$DX641)</f>
        <v>475</v>
      </c>
      <c r="FR641" s="14">
        <f>INDEX(属性投放!$BS$6:$BS$85,(卡牌属性!$DW641-2)*20+卡牌属性!$DX641)</f>
        <v>9500</v>
      </c>
      <c r="FS641" s="14">
        <f>INDEX(属性投放!$BS$6:$BS$85,(卡牌属性!$DW641-2)*20+卡牌属性!$DX641)</f>
        <v>9500</v>
      </c>
      <c r="FT641" s="14">
        <f>INDEX(属性投放!$BS$6:$BS$85,(卡牌属性!$DW641-2)*20+卡牌属性!$DX641)</f>
        <v>9500</v>
      </c>
      <c r="FU641" s="14">
        <f>INDEX(属性投放!$BS$6:$BS$85,(卡牌属性!$DW641-2)*20+卡牌属性!$DX641)</f>
        <v>9500</v>
      </c>
      <c r="FV641" s="14">
        <f>INDEX(属性投放!$BS$6:$BS$85,(卡牌属性!$DW641-2)*20+卡牌属性!$DX641)</f>
        <v>9500</v>
      </c>
    </row>
    <row r="642" spans="31:178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>
        <v>638</v>
      </c>
      <c r="BX642" s="13">
        <f t="shared" si="1059"/>
        <v>32</v>
      </c>
      <c r="BY642" s="14">
        <f t="shared" si="1060"/>
        <v>5</v>
      </c>
      <c r="BZ642" s="14">
        <f t="shared" si="1005"/>
        <v>1102996</v>
      </c>
      <c r="CA642" s="14" t="str">
        <f t="shared" si="1006"/>
        <v>UR守护灵18突</v>
      </c>
      <c r="CB642" s="25" t="s">
        <v>142</v>
      </c>
      <c r="CC642" s="14">
        <v>2</v>
      </c>
      <c r="CD642" s="14">
        <f t="shared" si="1003"/>
        <v>18</v>
      </c>
      <c r="CE642" s="14" t="s">
        <v>21</v>
      </c>
      <c r="CF642" s="14">
        <f>INDEX(属性投放!$AZ$6:$AZ$85,(BY642-2)*20+CD642)</f>
        <v>21549</v>
      </c>
      <c r="CG642" s="14" t="s">
        <v>22</v>
      </c>
      <c r="CH642" s="14">
        <f>INDEX(属性投放!$BA$6:$BA$85,(BY642-2)*20+CD642)</f>
        <v>10704</v>
      </c>
      <c r="CI642" s="14" t="s">
        <v>510</v>
      </c>
      <c r="CJ642" s="14">
        <f>INDEX(属性投放!$BB$6:$BB$85,(BY642-2)*20+CD642)</f>
        <v>198497</v>
      </c>
      <c r="CK642" s="14" t="s">
        <v>21</v>
      </c>
      <c r="CL642" s="14">
        <f>INDEX(属性投放!$BC$6:$BC$85,(BY642-2)*20+CD642)</f>
        <v>75</v>
      </c>
      <c r="CM642" s="14" t="s">
        <v>22</v>
      </c>
      <c r="CN642" s="14">
        <f>INDEX(属性投放!$BD$6:$BD$85,(BY642-2)*20+CD642)</f>
        <v>38</v>
      </c>
      <c r="CO642" s="14" t="s">
        <v>510</v>
      </c>
      <c r="CP642" s="14">
        <f>INDEX(属性投放!$BE$6:$BE$85,(BY642-2)*20+CD642)</f>
        <v>750</v>
      </c>
      <c r="CS642" s="13">
        <v>638</v>
      </c>
      <c r="CT642" s="13">
        <f t="shared" si="1007"/>
        <v>13</v>
      </c>
      <c r="CU642" s="13">
        <f t="shared" si="1008"/>
        <v>14</v>
      </c>
      <c r="CV642" s="14">
        <f t="shared" si="1009"/>
        <v>2</v>
      </c>
      <c r="CW642" s="14">
        <f t="shared" si="1010"/>
        <v>1102013</v>
      </c>
      <c r="CX642" s="14" t="str">
        <f>INDEX($O$6:$O$50,CT642)&amp;"-"&amp;INDEX(属性投放!$AB$7:$AB$50,CZ642)&amp;"-魂火-"&amp;DB642</f>
        <v>塞伯罗斯-叫唤+1-魂火-1</v>
      </c>
      <c r="CY642" s="25" t="s">
        <v>142</v>
      </c>
      <c r="CZ642" s="14">
        <f>INDEX(属性投放!$AM$7:$AM$58,CU642)</f>
        <v>8</v>
      </c>
      <c r="DA642" s="14" t="s">
        <v>537</v>
      </c>
      <c r="DB642" s="14">
        <f>INDEX(属性投放!$AN$7:$AN$58,CU642)</f>
        <v>1</v>
      </c>
      <c r="DC642" s="14">
        <f t="shared" si="1004"/>
        <v>14</v>
      </c>
      <c r="DD642" s="14">
        <f>INDEX(属性投放!$AO$7:$AO$58,DC642)</f>
        <v>53</v>
      </c>
      <c r="DE642" s="14" t="s">
        <v>538</v>
      </c>
      <c r="DF642" s="14">
        <f>INDEX(属性投放!$BK$6:$BK$85,(CV642-2)*20+CZ642)</f>
        <v>70</v>
      </c>
      <c r="DG642" s="14">
        <f>SUMIFS(DF$5:DF642,$CT$5:$CT642,"="&amp;$CT642)</f>
        <v>495</v>
      </c>
      <c r="DH642" s="14" t="s">
        <v>539</v>
      </c>
      <c r="DI642" s="14">
        <f>INDEX(属性投放!$BL$6:$BL$85,(CV642-2)*20+CZ642)</f>
        <v>35</v>
      </c>
      <c r="DJ642" s="14">
        <f>SUMIFS(DI$5:DI642,$CT$5:$CT642,"="&amp;$CT642)</f>
        <v>251</v>
      </c>
      <c r="DK642" s="14" t="s">
        <v>540</v>
      </c>
      <c r="DL642" s="14">
        <f>INDEX(属性投放!$BM$6:$BM$85,(CV642-2)*20+CZ642)</f>
        <v>560</v>
      </c>
      <c r="DM642" s="14">
        <f>SUMIFS(DL$5:DL642,$CT$5:$CT642,"="&amp;$CT642)</f>
        <v>3540</v>
      </c>
      <c r="DR642" s="14">
        <f t="shared" si="1061"/>
        <v>1102996</v>
      </c>
      <c r="DS642" s="14" t="str">
        <f t="shared" si="1062"/>
        <v>UR守护灵18突</v>
      </c>
      <c r="DT642" s="14">
        <f t="shared" si="1011"/>
        <v>9</v>
      </c>
      <c r="DU642" s="14">
        <f t="shared" si="1012"/>
        <v>7</v>
      </c>
      <c r="DV642" s="14">
        <f t="shared" si="1013"/>
        <v>7</v>
      </c>
      <c r="DW642" s="14">
        <f t="shared" si="1063"/>
        <v>5</v>
      </c>
      <c r="DX642" s="14">
        <f t="shared" si="1064"/>
        <v>18</v>
      </c>
      <c r="DY642" s="14">
        <f t="shared" si="1065"/>
        <v>78</v>
      </c>
      <c r="DZ642" s="14">
        <f>INDEX(属性投放!$AX$6:$AX$85,(卡牌属性!DW642-2)*20+卡牌属性!DX642)</f>
        <v>7</v>
      </c>
      <c r="EA642" s="14">
        <f>INDEX(属性投放!BQ$6:BQ$85,卡牌属性!$DY642)</f>
        <v>1500</v>
      </c>
      <c r="EB642" s="14">
        <f>INDEX(属性投放!BR$6:BR$85,卡牌属性!$DY642)</f>
        <v>750</v>
      </c>
      <c r="EC642" s="14">
        <f>INDEX(属性投放!BS$6:BS$85,卡牌属性!$DY642)</f>
        <v>15000</v>
      </c>
      <c r="ED642" s="14">
        <f t="shared" si="1044"/>
        <v>10810</v>
      </c>
      <c r="EE642" s="14">
        <f t="shared" si="1045"/>
        <v>12440</v>
      </c>
      <c r="EF642" s="14">
        <f t="shared" si="1046"/>
        <v>14885</v>
      </c>
      <c r="EG642" s="14">
        <f t="shared" si="1047"/>
        <v>14885</v>
      </c>
      <c r="EH642" s="14">
        <f t="shared" si="1048"/>
        <v>18325</v>
      </c>
      <c r="EI642" s="14">
        <f t="shared" si="1049"/>
        <v>4759</v>
      </c>
      <c r="EJ642" s="14">
        <f t="shared" si="1050"/>
        <v>5058</v>
      </c>
      <c r="EK642" s="14">
        <f t="shared" si="1051"/>
        <v>5058</v>
      </c>
      <c r="EL642" s="14">
        <f t="shared" si="1052"/>
        <v>5379</v>
      </c>
      <c r="EM642" s="14">
        <f t="shared" si="1053"/>
        <v>6220</v>
      </c>
      <c r="EN642" s="14">
        <f t="shared" si="1054"/>
        <v>86103</v>
      </c>
      <c r="EO642" s="14">
        <f t="shared" si="1055"/>
        <v>90947</v>
      </c>
      <c r="EP642" s="14">
        <f t="shared" si="1056"/>
        <v>90947</v>
      </c>
      <c r="EQ642" s="14">
        <f t="shared" si="1057"/>
        <v>96695</v>
      </c>
      <c r="ER642" s="14">
        <f t="shared" si="1058"/>
        <v>111405</v>
      </c>
      <c r="ES642" s="14">
        <f>INDEX(属性偏向!$S$4:$S$243,(卡牌属性!$DT642-1+ES$3)*20+卡牌属性!$DX642)</f>
        <v>75</v>
      </c>
      <c r="ET642" s="14">
        <f>INDEX(属性偏向!$S$4:$S$243,(卡牌属性!$DT642-1+ET$3)*20+卡牌属性!$DX642)</f>
        <v>100</v>
      </c>
      <c r="EU642" s="14">
        <f>INDEX(属性偏向!$S$4:$S$243,(卡牌属性!$DT642-1+EU$3)*20+卡牌属性!$DX642)</f>
        <v>150</v>
      </c>
      <c r="EV642" s="14">
        <f>INDEX(属性偏向!$S$4:$S$243,(卡牌属性!$DT642-1+EV$3)*20+卡牌属性!$DX642)</f>
        <v>150</v>
      </c>
      <c r="EW642" s="14">
        <f>INDEX(属性偏向!$S$4:$S$243,(卡牌属性!$DT642-1+EW$3)*20+卡牌属性!$DX642)</f>
        <v>200</v>
      </c>
      <c r="EX642" s="14">
        <f>INDEX(属性偏向!$T$4:$T$243,(卡牌属性!$DU642-1+EX$3)*20+卡牌属性!$DX642)</f>
        <v>25</v>
      </c>
      <c r="EY642" s="14">
        <f>INDEX(属性偏向!$T$4:$T$243,(卡牌属性!$DU642-1+EY$3)*20+卡牌属性!$DX642)</f>
        <v>30</v>
      </c>
      <c r="EZ642" s="14">
        <f>INDEX(属性偏向!$T$4:$T$243,(卡牌属性!$DU642-1+EZ$3)*20+卡牌属性!$DX642)</f>
        <v>30</v>
      </c>
      <c r="FA642" s="14">
        <f>INDEX(属性偏向!$T$4:$T$243,(卡牌属性!$DU642-1+FA$3)*20+卡牌属性!$DX642)</f>
        <v>38</v>
      </c>
      <c r="FB642" s="14">
        <f>INDEX(属性偏向!$T$4:$T$243,(卡牌属性!$DU642-1+FB$3)*20+卡牌属性!$DX642)</f>
        <v>50</v>
      </c>
      <c r="FC642" s="14">
        <f>INDEX(属性偏向!$U$4:$U$243,(卡牌属性!$DV642-1+FC$3)*20+卡牌属性!$DX642)</f>
        <v>500</v>
      </c>
      <c r="FD642" s="14">
        <f>INDEX(属性偏向!$U$4:$U$243,(卡牌属性!$DV642-1+FD$3)*20+卡牌属性!$DX642)</f>
        <v>600</v>
      </c>
      <c r="FE642" s="14">
        <f>INDEX(属性偏向!$U$4:$U$243,(卡牌属性!$DV642-1+FE$3)*20+卡牌属性!$DX642)</f>
        <v>600</v>
      </c>
      <c r="FF642" s="14">
        <f>INDEX(属性偏向!$U$4:$U$243,(卡牌属性!$DV642-1+FF$3)*20+卡牌属性!$DX642)</f>
        <v>750</v>
      </c>
      <c r="FG642" s="14">
        <f>INDEX(属性偏向!$U$4:$U$243,(卡牌属性!$DV642-1+FG$3)*20+卡牌属性!$DX642)</f>
        <v>1000</v>
      </c>
      <c r="FH642" s="14">
        <f>INDEX(属性投放!$BQ$6:$BQ$85,(卡牌属性!$DW642-2)*20+卡牌属性!$DX642)</f>
        <v>1500</v>
      </c>
      <c r="FI642" s="14">
        <f>INDEX(属性投放!$BQ$6:$BQ$85,(卡牌属性!$DW642-2)*20+卡牌属性!$DX642)</f>
        <v>1500</v>
      </c>
      <c r="FJ642" s="14">
        <f>INDEX(属性投放!$BQ$6:$BQ$85,(卡牌属性!$DW642-2)*20+卡牌属性!$DX642)</f>
        <v>1500</v>
      </c>
      <c r="FK642" s="14">
        <f>INDEX(属性投放!$BQ$6:$BQ$85,(卡牌属性!$DW642-2)*20+卡牌属性!$DX642)</f>
        <v>1500</v>
      </c>
      <c r="FL642" s="14">
        <f>INDEX(属性投放!$BQ$6:$BQ$85,(卡牌属性!$DW642-2)*20+卡牌属性!$DX642)</f>
        <v>1500</v>
      </c>
      <c r="FM642" s="14">
        <f>INDEX(属性投放!$BR$6:$BR$85,(卡牌属性!$DW642-2)*20+卡牌属性!$DX642)</f>
        <v>750</v>
      </c>
      <c r="FN642" s="14">
        <f>INDEX(属性投放!$BR$6:$BR$85,(卡牌属性!$DW642-2)*20+卡牌属性!$DX642)</f>
        <v>750</v>
      </c>
      <c r="FO642" s="14">
        <f>INDEX(属性投放!$BR$6:$BR$85,(卡牌属性!$DW642-2)*20+卡牌属性!$DX642)</f>
        <v>750</v>
      </c>
      <c r="FP642" s="14">
        <f>INDEX(属性投放!$BR$6:$BR$85,(卡牌属性!$DW642-2)*20+卡牌属性!$DX642)</f>
        <v>750</v>
      </c>
      <c r="FQ642" s="14">
        <f>INDEX(属性投放!$BR$6:$BR$85,(卡牌属性!$DW642-2)*20+卡牌属性!$DX642)</f>
        <v>750</v>
      </c>
      <c r="FR642" s="14">
        <f>INDEX(属性投放!$BS$6:$BS$85,(卡牌属性!$DW642-2)*20+卡牌属性!$DX642)</f>
        <v>15000</v>
      </c>
      <c r="FS642" s="14">
        <f>INDEX(属性投放!$BS$6:$BS$85,(卡牌属性!$DW642-2)*20+卡牌属性!$DX642)</f>
        <v>15000</v>
      </c>
      <c r="FT642" s="14">
        <f>INDEX(属性投放!$BS$6:$BS$85,(卡牌属性!$DW642-2)*20+卡牌属性!$DX642)</f>
        <v>15000</v>
      </c>
      <c r="FU642" s="14">
        <f>INDEX(属性投放!$BS$6:$BS$85,(卡牌属性!$DW642-2)*20+卡牌属性!$DX642)</f>
        <v>15000</v>
      </c>
      <c r="FV642" s="14">
        <f>INDEX(属性投放!$BS$6:$BS$85,(卡牌属性!$DW642-2)*20+卡牌属性!$DX642)</f>
        <v>15000</v>
      </c>
    </row>
    <row r="643" spans="31:178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>
        <v>639</v>
      </c>
      <c r="BX643" s="13">
        <f t="shared" si="1059"/>
        <v>32</v>
      </c>
      <c r="BY643" s="14">
        <f t="shared" si="1060"/>
        <v>5</v>
      </c>
      <c r="BZ643" s="14">
        <f t="shared" si="1005"/>
        <v>1102996</v>
      </c>
      <c r="CA643" s="14" t="str">
        <f t="shared" si="1006"/>
        <v>UR守护灵19突</v>
      </c>
      <c r="CB643" s="25" t="s">
        <v>142</v>
      </c>
      <c r="CC643" s="14">
        <v>2</v>
      </c>
      <c r="CD643" s="14">
        <f t="shared" si="1003"/>
        <v>19</v>
      </c>
      <c r="CE643" s="14" t="s">
        <v>21</v>
      </c>
      <c r="CF643" s="14">
        <f>INDEX(属性投放!$AZ$6:$AZ$85,(BY643-2)*20+CD643)</f>
        <v>26064</v>
      </c>
      <c r="CG643" s="14" t="s">
        <v>22</v>
      </c>
      <c r="CH643" s="14">
        <f>INDEX(属性投放!$BA$6:$BA$85,(BY643-2)*20+CD643)</f>
        <v>12965</v>
      </c>
      <c r="CI643" s="14" t="s">
        <v>510</v>
      </c>
      <c r="CJ643" s="14">
        <f>INDEX(属性投放!$BB$6:$BB$85,(BY643-2)*20+CD643)</f>
        <v>243647</v>
      </c>
      <c r="CK643" s="14" t="s">
        <v>21</v>
      </c>
      <c r="CL643" s="14">
        <f>INDEX(属性投放!$BC$6:$BC$85,(BY643-2)*20+CD643)</f>
        <v>100</v>
      </c>
      <c r="CM643" s="14" t="s">
        <v>22</v>
      </c>
      <c r="CN643" s="14">
        <f>INDEX(属性投放!$BD$6:$BD$85,(BY643-2)*20+CD643)</f>
        <v>50</v>
      </c>
      <c r="CO643" s="14" t="s">
        <v>510</v>
      </c>
      <c r="CP643" s="14">
        <f>INDEX(属性投放!$BE$6:$BE$85,(BY643-2)*20+CD643)</f>
        <v>1000</v>
      </c>
      <c r="CS643" s="13">
        <v>639</v>
      </c>
      <c r="CT643" s="13">
        <f t="shared" si="1007"/>
        <v>13</v>
      </c>
      <c r="CU643" s="13">
        <f t="shared" si="1008"/>
        <v>15</v>
      </c>
      <c r="CV643" s="14">
        <f t="shared" si="1009"/>
        <v>2</v>
      </c>
      <c r="CW643" s="14">
        <f t="shared" si="1010"/>
        <v>1102013</v>
      </c>
      <c r="CX643" s="14" t="str">
        <f>INDEX($O$6:$O$50,CT643)&amp;"-"&amp;INDEX(属性投放!$AB$7:$AB$50,CZ643)&amp;"-魂火-"&amp;DB643</f>
        <v>塞伯罗斯-叫唤+1-魂火-2</v>
      </c>
      <c r="CY643" s="25" t="s">
        <v>142</v>
      </c>
      <c r="CZ643" s="14">
        <f>INDEX(属性投放!$AM$7:$AM$58,CU643)</f>
        <v>8</v>
      </c>
      <c r="DA643" s="14" t="s">
        <v>537</v>
      </c>
      <c r="DB643" s="14">
        <f>INDEX(属性投放!$AN$7:$AN$58,CU643)</f>
        <v>2</v>
      </c>
      <c r="DC643" s="14">
        <f t="shared" si="1004"/>
        <v>15</v>
      </c>
      <c r="DD643" s="14">
        <f>INDEX(属性投放!$AO$7:$AO$58,DC643)</f>
        <v>55</v>
      </c>
      <c r="DE643" s="14" t="s">
        <v>538</v>
      </c>
      <c r="DF643" s="14">
        <f>INDEX(属性投放!$BK$6:$BK$85,(CV643-2)*20+CZ643)</f>
        <v>70</v>
      </c>
      <c r="DG643" s="14">
        <f>SUMIFS(DF$5:DF643,$CT$5:$CT643,"="&amp;$CT643)</f>
        <v>565</v>
      </c>
      <c r="DH643" s="14" t="s">
        <v>539</v>
      </c>
      <c r="DI643" s="14">
        <f>INDEX(属性投放!$BL$6:$BL$85,(CV643-2)*20+CZ643)</f>
        <v>35</v>
      </c>
      <c r="DJ643" s="14">
        <f>SUMIFS(DI$5:DI643,$CT$5:$CT643,"="&amp;$CT643)</f>
        <v>286</v>
      </c>
      <c r="DK643" s="14" t="s">
        <v>540</v>
      </c>
      <c r="DL643" s="14">
        <f>INDEX(属性投放!$BM$6:$BM$85,(CV643-2)*20+CZ643)</f>
        <v>560</v>
      </c>
      <c r="DM643" s="14">
        <f>SUMIFS(DL$5:DL643,$CT$5:$CT643,"="&amp;$CT643)</f>
        <v>4100</v>
      </c>
      <c r="DR643" s="14">
        <f t="shared" si="1061"/>
        <v>1102996</v>
      </c>
      <c r="DS643" s="14" t="str">
        <f t="shared" si="1062"/>
        <v>UR守护灵19突</v>
      </c>
      <c r="DT643" s="14">
        <f t="shared" si="1011"/>
        <v>9</v>
      </c>
      <c r="DU643" s="14">
        <f t="shared" si="1012"/>
        <v>7</v>
      </c>
      <c r="DV643" s="14">
        <f t="shared" si="1013"/>
        <v>7</v>
      </c>
      <c r="DW643" s="14">
        <f t="shared" si="1063"/>
        <v>5</v>
      </c>
      <c r="DX643" s="14">
        <f t="shared" si="1064"/>
        <v>19</v>
      </c>
      <c r="DY643" s="14">
        <f t="shared" si="1065"/>
        <v>79</v>
      </c>
      <c r="DZ643" s="14">
        <f>INDEX(属性投放!$AX$6:$AX$85,(卡牌属性!DW643-2)*20+卡牌属性!DX643)</f>
        <v>8</v>
      </c>
      <c r="EA643" s="14">
        <f>INDEX(属性投放!BQ$6:BQ$85,卡牌属性!$DY643)</f>
        <v>1550</v>
      </c>
      <c r="EB643" s="14">
        <f>INDEX(属性投放!BR$6:BR$85,卡牌属性!$DY643)</f>
        <v>775</v>
      </c>
      <c r="EC643" s="14">
        <f>INDEX(属性投放!BS$6:BS$85,卡牌属性!$DY643)</f>
        <v>15500</v>
      </c>
      <c r="ED643" s="14">
        <f t="shared" si="1044"/>
        <v>12835</v>
      </c>
      <c r="EE643" s="14">
        <f t="shared" si="1045"/>
        <v>14640</v>
      </c>
      <c r="EF643" s="14">
        <f t="shared" si="1046"/>
        <v>17435</v>
      </c>
      <c r="EG643" s="14">
        <f t="shared" si="1047"/>
        <v>17435</v>
      </c>
      <c r="EH643" s="14">
        <f t="shared" si="1048"/>
        <v>21225</v>
      </c>
      <c r="EI643" s="14">
        <f t="shared" si="1049"/>
        <v>5684</v>
      </c>
      <c r="EJ643" s="14">
        <f t="shared" si="1050"/>
        <v>6018</v>
      </c>
      <c r="EK643" s="14">
        <f t="shared" si="1051"/>
        <v>6018</v>
      </c>
      <c r="EL643" s="14">
        <f t="shared" si="1052"/>
        <v>6395</v>
      </c>
      <c r="EM643" s="14">
        <f t="shared" si="1053"/>
        <v>7320</v>
      </c>
      <c r="EN643" s="14">
        <f t="shared" si="1054"/>
        <v>104603</v>
      </c>
      <c r="EO643" s="14">
        <f t="shared" si="1055"/>
        <v>110147</v>
      </c>
      <c r="EP643" s="14">
        <f t="shared" si="1056"/>
        <v>110147</v>
      </c>
      <c r="EQ643" s="14">
        <f t="shared" si="1057"/>
        <v>116945</v>
      </c>
      <c r="ER643" s="14">
        <f t="shared" si="1058"/>
        <v>133405</v>
      </c>
      <c r="ES643" s="14">
        <f>INDEX(属性偏向!$S$4:$S$243,(卡牌属性!$DT643-1+ES$3)*20+卡牌属性!$DX643)</f>
        <v>100</v>
      </c>
      <c r="ET643" s="14">
        <f>INDEX(属性偏向!$S$4:$S$243,(卡牌属性!$DT643-1+ET$3)*20+卡牌属性!$DX643)</f>
        <v>150</v>
      </c>
      <c r="EU643" s="14">
        <f>INDEX(属性偏向!$S$4:$S$243,(卡牌属性!$DT643-1+EU$3)*20+卡牌属性!$DX643)</f>
        <v>200</v>
      </c>
      <c r="EV643" s="14">
        <f>INDEX(属性偏向!$S$4:$S$243,(卡牌属性!$DT643-1+EV$3)*20+卡牌属性!$DX643)</f>
        <v>200</v>
      </c>
      <c r="EW643" s="14">
        <f>INDEX(属性偏向!$S$4:$S$243,(卡牌属性!$DT643-1+EW$3)*20+卡牌属性!$DX643)</f>
        <v>300</v>
      </c>
      <c r="EX643" s="14">
        <f>INDEX(属性偏向!$T$4:$T$243,(卡牌属性!$DU643-1+EX$3)*20+卡牌属性!$DX643)</f>
        <v>38</v>
      </c>
      <c r="EY643" s="14">
        <f>INDEX(属性偏向!$T$4:$T$243,(卡牌属性!$DU643-1+EY$3)*20+卡牌属性!$DX643)</f>
        <v>40</v>
      </c>
      <c r="EZ643" s="14">
        <f>INDEX(属性偏向!$T$4:$T$243,(卡牌属性!$DU643-1+EZ$3)*20+卡牌属性!$DX643)</f>
        <v>40</v>
      </c>
      <c r="FA643" s="14">
        <f>INDEX(属性偏向!$T$4:$T$243,(卡牌属性!$DU643-1+FA$3)*20+卡牌属性!$DX643)</f>
        <v>50</v>
      </c>
      <c r="FB643" s="14">
        <f>INDEX(属性偏向!$T$4:$T$243,(卡牌属性!$DU643-1+FB$3)*20+卡牌属性!$DX643)</f>
        <v>75</v>
      </c>
      <c r="FC643" s="14">
        <f>INDEX(属性偏向!$U$4:$U$243,(卡牌属性!$DV643-1+FC$3)*20+卡牌属性!$DX643)</f>
        <v>750</v>
      </c>
      <c r="FD643" s="14">
        <f>INDEX(属性偏向!$U$4:$U$243,(卡牌属性!$DV643-1+FD$3)*20+卡牌属性!$DX643)</f>
        <v>800</v>
      </c>
      <c r="FE643" s="14">
        <f>INDEX(属性偏向!$U$4:$U$243,(卡牌属性!$DV643-1+FE$3)*20+卡牌属性!$DX643)</f>
        <v>800</v>
      </c>
      <c r="FF643" s="14">
        <f>INDEX(属性偏向!$U$4:$U$243,(卡牌属性!$DV643-1+FF$3)*20+卡牌属性!$DX643)</f>
        <v>1000</v>
      </c>
      <c r="FG643" s="14">
        <f>INDEX(属性偏向!$U$4:$U$243,(卡牌属性!$DV643-1+FG$3)*20+卡牌属性!$DX643)</f>
        <v>1500</v>
      </c>
      <c r="FH643" s="14">
        <f>INDEX(属性投放!$BQ$6:$BQ$85,(卡牌属性!$DW643-2)*20+卡牌属性!$DX643)</f>
        <v>1550</v>
      </c>
      <c r="FI643" s="14">
        <f>INDEX(属性投放!$BQ$6:$BQ$85,(卡牌属性!$DW643-2)*20+卡牌属性!$DX643)</f>
        <v>1550</v>
      </c>
      <c r="FJ643" s="14">
        <f>INDEX(属性投放!$BQ$6:$BQ$85,(卡牌属性!$DW643-2)*20+卡牌属性!$DX643)</f>
        <v>1550</v>
      </c>
      <c r="FK643" s="14">
        <f>INDEX(属性投放!$BQ$6:$BQ$85,(卡牌属性!$DW643-2)*20+卡牌属性!$DX643)</f>
        <v>1550</v>
      </c>
      <c r="FL643" s="14">
        <f>INDEX(属性投放!$BQ$6:$BQ$85,(卡牌属性!$DW643-2)*20+卡牌属性!$DX643)</f>
        <v>1550</v>
      </c>
      <c r="FM643" s="14">
        <f>INDEX(属性投放!$BR$6:$BR$85,(卡牌属性!$DW643-2)*20+卡牌属性!$DX643)</f>
        <v>775</v>
      </c>
      <c r="FN643" s="14">
        <f>INDEX(属性投放!$BR$6:$BR$85,(卡牌属性!$DW643-2)*20+卡牌属性!$DX643)</f>
        <v>775</v>
      </c>
      <c r="FO643" s="14">
        <f>INDEX(属性投放!$BR$6:$BR$85,(卡牌属性!$DW643-2)*20+卡牌属性!$DX643)</f>
        <v>775</v>
      </c>
      <c r="FP643" s="14">
        <f>INDEX(属性投放!$BR$6:$BR$85,(卡牌属性!$DW643-2)*20+卡牌属性!$DX643)</f>
        <v>775</v>
      </c>
      <c r="FQ643" s="14">
        <f>INDEX(属性投放!$BR$6:$BR$85,(卡牌属性!$DW643-2)*20+卡牌属性!$DX643)</f>
        <v>775</v>
      </c>
      <c r="FR643" s="14">
        <f>INDEX(属性投放!$BS$6:$BS$85,(卡牌属性!$DW643-2)*20+卡牌属性!$DX643)</f>
        <v>15500</v>
      </c>
      <c r="FS643" s="14">
        <f>INDEX(属性投放!$BS$6:$BS$85,(卡牌属性!$DW643-2)*20+卡牌属性!$DX643)</f>
        <v>15500</v>
      </c>
      <c r="FT643" s="14">
        <f>INDEX(属性投放!$BS$6:$BS$85,(卡牌属性!$DW643-2)*20+卡牌属性!$DX643)</f>
        <v>15500</v>
      </c>
      <c r="FU643" s="14">
        <f>INDEX(属性投放!$BS$6:$BS$85,(卡牌属性!$DW643-2)*20+卡牌属性!$DX643)</f>
        <v>15500</v>
      </c>
      <c r="FV643" s="14">
        <f>INDEX(属性投放!$BS$6:$BS$85,(卡牌属性!$DW643-2)*20+卡牌属性!$DX643)</f>
        <v>15500</v>
      </c>
    </row>
    <row r="644" spans="31:178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>
        <v>640</v>
      </c>
      <c r="BX644" s="13">
        <f t="shared" si="1059"/>
        <v>32</v>
      </c>
      <c r="BY644" s="14">
        <f t="shared" si="1060"/>
        <v>5</v>
      </c>
      <c r="BZ644" s="14">
        <f t="shared" si="1005"/>
        <v>1102996</v>
      </c>
      <c r="CA644" s="14" t="str">
        <f t="shared" si="1006"/>
        <v>UR守护灵20突</v>
      </c>
      <c r="CB644" s="25" t="s">
        <v>142</v>
      </c>
      <c r="CC644" s="14">
        <v>2</v>
      </c>
      <c r="CD644" s="14">
        <f t="shared" si="1003"/>
        <v>20</v>
      </c>
      <c r="CE644" s="14" t="s">
        <v>21</v>
      </c>
      <c r="CF644" s="14">
        <f>INDEX(属性投放!$AZ$6:$AZ$85,(BY644-2)*20+CD644)</f>
        <v>31354</v>
      </c>
      <c r="CG644" s="14" t="s">
        <v>22</v>
      </c>
      <c r="CH644" s="14">
        <f>INDEX(属性投放!$BA$6:$BA$85,(BY644-2)*20+CD644)</f>
        <v>15610</v>
      </c>
      <c r="CI644" s="14" t="s">
        <v>510</v>
      </c>
      <c r="CJ644" s="14">
        <f>INDEX(属性投放!$BB$6:$BB$85,(BY644-2)*20+CD644)</f>
        <v>296547</v>
      </c>
      <c r="CK644" s="14" t="s">
        <v>21</v>
      </c>
      <c r="CL644" s="14">
        <f>INDEX(属性投放!$BC$6:$BC$85,(BY644-2)*20+CD644)</f>
        <v>100</v>
      </c>
      <c r="CM644" s="14" t="s">
        <v>22</v>
      </c>
      <c r="CN644" s="14">
        <f>INDEX(属性投放!$BD$6:$BD$85,(BY644-2)*20+CD644)</f>
        <v>50</v>
      </c>
      <c r="CO644" s="14" t="s">
        <v>510</v>
      </c>
      <c r="CP644" s="14">
        <f>INDEX(属性投放!$BE$6:$BE$85,(BY644-2)*20+CD644)</f>
        <v>1000</v>
      </c>
      <c r="CS644" s="13">
        <v>640</v>
      </c>
      <c r="CT644" s="13">
        <f t="shared" si="1007"/>
        <v>13</v>
      </c>
      <c r="CU644" s="13">
        <f t="shared" si="1008"/>
        <v>16</v>
      </c>
      <c r="CV644" s="14">
        <f t="shared" si="1009"/>
        <v>2</v>
      </c>
      <c r="CW644" s="14">
        <f t="shared" si="1010"/>
        <v>1102013</v>
      </c>
      <c r="CX644" s="14" t="str">
        <f>INDEX($O$6:$O$50,CT644)&amp;"-"&amp;INDEX(属性投放!$AB$7:$AB$50,CZ644)&amp;"-魂火-"&amp;DB644</f>
        <v>塞伯罗斯-叫唤+2-魂火-1</v>
      </c>
      <c r="CY644" s="25" t="s">
        <v>142</v>
      </c>
      <c r="CZ644" s="14">
        <f>INDEX(属性投放!$AM$7:$AM$58,CU644)</f>
        <v>9</v>
      </c>
      <c r="DA644" s="14" t="s">
        <v>537</v>
      </c>
      <c r="DB644" s="14">
        <f>INDEX(属性投放!$AN$7:$AN$58,CU644)</f>
        <v>1</v>
      </c>
      <c r="DC644" s="14">
        <f t="shared" si="1004"/>
        <v>16</v>
      </c>
      <c r="DD644" s="14">
        <f>INDEX(属性投放!$AO$7:$AO$58,DC644)</f>
        <v>58</v>
      </c>
      <c r="DE644" s="14" t="s">
        <v>538</v>
      </c>
      <c r="DF644" s="14">
        <f>INDEX(属性投放!$BK$6:$BK$85,(CV644-2)*20+CZ644)</f>
        <v>80</v>
      </c>
      <c r="DG644" s="14">
        <f>SUMIFS(DF$5:DF644,$CT$5:$CT644,"="&amp;$CT644)</f>
        <v>645</v>
      </c>
      <c r="DH644" s="14" t="s">
        <v>539</v>
      </c>
      <c r="DI644" s="14">
        <f>INDEX(属性投放!$BL$6:$BL$85,(CV644-2)*20+CZ644)</f>
        <v>40</v>
      </c>
      <c r="DJ644" s="14">
        <f>SUMIFS(DI$5:DI644,$CT$5:$CT644,"="&amp;$CT644)</f>
        <v>326</v>
      </c>
      <c r="DK644" s="14" t="s">
        <v>540</v>
      </c>
      <c r="DL644" s="14">
        <f>INDEX(属性投放!$BM$6:$BM$85,(CV644-2)*20+CZ644)</f>
        <v>640</v>
      </c>
      <c r="DM644" s="14">
        <f>SUMIFS(DL$5:DL644,$CT$5:$CT644,"="&amp;$CT644)</f>
        <v>4740</v>
      </c>
      <c r="DR644" s="14">
        <f t="shared" si="1061"/>
        <v>1102996</v>
      </c>
      <c r="DS644" s="14" t="str">
        <f t="shared" si="1062"/>
        <v>UR守护灵20突</v>
      </c>
      <c r="DT644" s="14">
        <f t="shared" si="1011"/>
        <v>9</v>
      </c>
      <c r="DU644" s="14">
        <f t="shared" si="1012"/>
        <v>7</v>
      </c>
      <c r="DV644" s="14">
        <f t="shared" si="1013"/>
        <v>7</v>
      </c>
      <c r="DW644" s="14">
        <f t="shared" si="1063"/>
        <v>5</v>
      </c>
      <c r="DX644" s="14">
        <f t="shared" si="1064"/>
        <v>20</v>
      </c>
      <c r="DY644" s="14">
        <f t="shared" si="1065"/>
        <v>80</v>
      </c>
      <c r="DZ644" s="14">
        <f>INDEX(属性投放!$AX$6:$AX$85,(卡牌属性!DW644-2)*20+卡牌属性!DX644)</f>
        <v>10</v>
      </c>
      <c r="EA644" s="14">
        <f>INDEX(属性投放!BQ$6:BQ$85,卡牌属性!$DY644)</f>
        <v>1600</v>
      </c>
      <c r="EB644" s="14">
        <f>INDEX(属性投放!BR$6:BR$85,卡牌属性!$DY644)</f>
        <v>800</v>
      </c>
      <c r="EC644" s="14">
        <f>INDEX(属性投放!BS$6:BS$85,卡牌属性!$DY644)</f>
        <v>16000</v>
      </c>
      <c r="ED644" s="14">
        <f t="shared" si="1044"/>
        <v>15185</v>
      </c>
      <c r="EE644" s="14">
        <f t="shared" si="1045"/>
        <v>17390</v>
      </c>
      <c r="EF644" s="14">
        <f t="shared" si="1046"/>
        <v>20585</v>
      </c>
      <c r="EG644" s="14">
        <f t="shared" si="1047"/>
        <v>20585</v>
      </c>
      <c r="EH644" s="14">
        <f t="shared" si="1048"/>
        <v>25175</v>
      </c>
      <c r="EI644" s="14">
        <f t="shared" si="1049"/>
        <v>6763</v>
      </c>
      <c r="EJ644" s="14">
        <f t="shared" si="1050"/>
        <v>7113</v>
      </c>
      <c r="EK644" s="14">
        <f t="shared" si="1051"/>
        <v>7113</v>
      </c>
      <c r="EL644" s="14">
        <f t="shared" si="1052"/>
        <v>7570</v>
      </c>
      <c r="EM644" s="14">
        <f t="shared" si="1053"/>
        <v>8695</v>
      </c>
      <c r="EN644" s="14">
        <f t="shared" si="1054"/>
        <v>126103</v>
      </c>
      <c r="EO644" s="14">
        <f t="shared" si="1055"/>
        <v>132047</v>
      </c>
      <c r="EP644" s="14">
        <f t="shared" si="1056"/>
        <v>132047</v>
      </c>
      <c r="EQ644" s="14">
        <f t="shared" si="1057"/>
        <v>140445</v>
      </c>
      <c r="ER644" s="14">
        <f t="shared" si="1058"/>
        <v>160905</v>
      </c>
      <c r="ES644" s="14">
        <f>INDEX(属性偏向!$S$4:$S$243,(卡牌属性!$DT644-1+ES$3)*20+卡牌属性!$DX644)</f>
        <v>100</v>
      </c>
      <c r="ET644" s="14">
        <f>INDEX(属性偏向!$S$4:$S$243,(卡牌属性!$DT644-1+ET$3)*20+卡牌属性!$DX644)</f>
        <v>150</v>
      </c>
      <c r="EU644" s="14">
        <f>INDEX(属性偏向!$S$4:$S$243,(卡牌属性!$DT644-1+EU$3)*20+卡牌属性!$DX644)</f>
        <v>200</v>
      </c>
      <c r="EV644" s="14">
        <f>INDEX(属性偏向!$S$4:$S$243,(卡牌属性!$DT644-1+EV$3)*20+卡牌属性!$DX644)</f>
        <v>200</v>
      </c>
      <c r="EW644" s="14">
        <f>INDEX(属性偏向!$S$4:$S$243,(卡牌属性!$DT644-1+EW$3)*20+卡牌属性!$DX644)</f>
        <v>300</v>
      </c>
      <c r="EX644" s="14">
        <f>INDEX(属性偏向!$T$4:$T$243,(卡牌属性!$DU644-1+EX$3)*20+卡牌属性!$DX644)</f>
        <v>38</v>
      </c>
      <c r="EY644" s="14">
        <f>INDEX(属性偏向!$T$4:$T$243,(卡牌属性!$DU644-1+EY$3)*20+卡牌属性!$DX644)</f>
        <v>40</v>
      </c>
      <c r="EZ644" s="14">
        <f>INDEX(属性偏向!$T$4:$T$243,(卡牌属性!$DU644-1+EZ$3)*20+卡牌属性!$DX644)</f>
        <v>40</v>
      </c>
      <c r="FA644" s="14">
        <f>INDEX(属性偏向!$T$4:$T$243,(卡牌属性!$DU644-1+FA$3)*20+卡牌属性!$DX644)</f>
        <v>50</v>
      </c>
      <c r="FB644" s="14">
        <f>INDEX(属性偏向!$T$4:$T$243,(卡牌属性!$DU644-1+FB$3)*20+卡牌属性!$DX644)</f>
        <v>75</v>
      </c>
      <c r="FC644" s="14">
        <f>INDEX(属性偏向!$U$4:$U$243,(卡牌属性!$DV644-1+FC$3)*20+卡牌属性!$DX644)</f>
        <v>750</v>
      </c>
      <c r="FD644" s="14">
        <f>INDEX(属性偏向!$U$4:$U$243,(卡牌属性!$DV644-1+FD$3)*20+卡牌属性!$DX644)</f>
        <v>800</v>
      </c>
      <c r="FE644" s="14">
        <f>INDEX(属性偏向!$U$4:$U$243,(卡牌属性!$DV644-1+FE$3)*20+卡牌属性!$DX644)</f>
        <v>800</v>
      </c>
      <c r="FF644" s="14">
        <f>INDEX(属性偏向!$U$4:$U$243,(卡牌属性!$DV644-1+FF$3)*20+卡牌属性!$DX644)</f>
        <v>1000</v>
      </c>
      <c r="FG644" s="14">
        <f>INDEX(属性偏向!$U$4:$U$243,(卡牌属性!$DV644-1+FG$3)*20+卡牌属性!$DX644)</f>
        <v>1500</v>
      </c>
      <c r="FH644" s="14">
        <f>INDEX(属性投放!$BQ$6:$BQ$85,(卡牌属性!$DW644-2)*20+卡牌属性!$DX644)</f>
        <v>1600</v>
      </c>
      <c r="FI644" s="14">
        <f>INDEX(属性投放!$BQ$6:$BQ$85,(卡牌属性!$DW644-2)*20+卡牌属性!$DX644)</f>
        <v>1600</v>
      </c>
      <c r="FJ644" s="14">
        <f>INDEX(属性投放!$BQ$6:$BQ$85,(卡牌属性!$DW644-2)*20+卡牌属性!$DX644)</f>
        <v>1600</v>
      </c>
      <c r="FK644" s="14">
        <f>INDEX(属性投放!$BQ$6:$BQ$85,(卡牌属性!$DW644-2)*20+卡牌属性!$DX644)</f>
        <v>1600</v>
      </c>
      <c r="FL644" s="14">
        <f>INDEX(属性投放!$BQ$6:$BQ$85,(卡牌属性!$DW644-2)*20+卡牌属性!$DX644)</f>
        <v>1600</v>
      </c>
      <c r="FM644" s="14">
        <f>INDEX(属性投放!$BR$6:$BR$85,(卡牌属性!$DW644-2)*20+卡牌属性!$DX644)</f>
        <v>800</v>
      </c>
      <c r="FN644" s="14">
        <f>INDEX(属性投放!$BR$6:$BR$85,(卡牌属性!$DW644-2)*20+卡牌属性!$DX644)</f>
        <v>800</v>
      </c>
      <c r="FO644" s="14">
        <f>INDEX(属性投放!$BR$6:$BR$85,(卡牌属性!$DW644-2)*20+卡牌属性!$DX644)</f>
        <v>800</v>
      </c>
      <c r="FP644" s="14">
        <f>INDEX(属性投放!$BR$6:$BR$85,(卡牌属性!$DW644-2)*20+卡牌属性!$DX644)</f>
        <v>800</v>
      </c>
      <c r="FQ644" s="14">
        <f>INDEX(属性投放!$BR$6:$BR$85,(卡牌属性!$DW644-2)*20+卡牌属性!$DX644)</f>
        <v>800</v>
      </c>
      <c r="FR644" s="14">
        <f>INDEX(属性投放!$BS$6:$BS$85,(卡牌属性!$DW644-2)*20+卡牌属性!$DX644)</f>
        <v>16000</v>
      </c>
      <c r="FS644" s="14">
        <f>INDEX(属性投放!$BS$6:$BS$85,(卡牌属性!$DW644-2)*20+卡牌属性!$DX644)</f>
        <v>16000</v>
      </c>
      <c r="FT644" s="14">
        <f>INDEX(属性投放!$BS$6:$BS$85,(卡牌属性!$DW644-2)*20+卡牌属性!$DX644)</f>
        <v>16000</v>
      </c>
      <c r="FU644" s="14">
        <f>INDEX(属性投放!$BS$6:$BS$85,(卡牌属性!$DW644-2)*20+卡牌属性!$DX644)</f>
        <v>16000</v>
      </c>
      <c r="FV644" s="14">
        <f>INDEX(属性投放!$BS$6:$BS$85,(卡牌属性!$DW644-2)*20+卡牌属性!$DX644)</f>
        <v>16000</v>
      </c>
    </row>
    <row r="645" spans="31:178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1007"/>
        <v>13</v>
      </c>
      <c r="CU645" s="13">
        <f t="shared" si="1008"/>
        <v>17</v>
      </c>
      <c r="CV645" s="14">
        <f t="shared" si="1009"/>
        <v>2</v>
      </c>
      <c r="CW645" s="14">
        <f t="shared" si="1010"/>
        <v>1102013</v>
      </c>
      <c r="CX645" s="14" t="str">
        <f>INDEX($O$6:$O$50,CT645)&amp;"-"&amp;INDEX(属性投放!$AB$7:$AB$50,CZ645)&amp;"-魂火-"&amp;DB645</f>
        <v>塞伯罗斯-叫唤+2-魂火-2</v>
      </c>
      <c r="CY645" s="25" t="s">
        <v>142</v>
      </c>
      <c r="CZ645" s="14">
        <f>INDEX(属性投放!$AM$7:$AM$58,CU645)</f>
        <v>9</v>
      </c>
      <c r="DA645" s="14" t="s">
        <v>537</v>
      </c>
      <c r="DB645" s="14">
        <f>INDEX(属性投放!$AN$7:$AN$58,CU645)</f>
        <v>2</v>
      </c>
      <c r="DC645" s="14">
        <f t="shared" ref="DC645:DC708" si="1066">CU645</f>
        <v>17</v>
      </c>
      <c r="DD645" s="14">
        <f>INDEX(属性投放!$AO$7:$AO$58,DC645)</f>
        <v>60</v>
      </c>
      <c r="DE645" s="14" t="s">
        <v>538</v>
      </c>
      <c r="DF645" s="14">
        <f>INDEX(属性投放!$BK$6:$BK$85,(CV645-2)*20+CZ645)</f>
        <v>80</v>
      </c>
      <c r="DG645" s="14">
        <f>SUMIFS(DF$5:DF645,$CT$5:$CT645,"="&amp;$CT645)</f>
        <v>725</v>
      </c>
      <c r="DH645" s="14" t="s">
        <v>539</v>
      </c>
      <c r="DI645" s="14">
        <f>INDEX(属性投放!$BL$6:$BL$85,(CV645-2)*20+CZ645)</f>
        <v>40</v>
      </c>
      <c r="DJ645" s="14">
        <f>SUMIFS(DI$5:DI645,$CT$5:$CT645,"="&amp;$CT645)</f>
        <v>366</v>
      </c>
      <c r="DK645" s="14" t="s">
        <v>540</v>
      </c>
      <c r="DL645" s="14">
        <f>INDEX(属性投放!$BM$6:$BM$85,(CV645-2)*20+CZ645)</f>
        <v>640</v>
      </c>
      <c r="DM645" s="14">
        <f>SUMIFS(DL$5:DL645,$CT$5:$CT645,"="&amp;$CT645)</f>
        <v>5380</v>
      </c>
      <c r="DR645" s="30"/>
      <c r="DS645" s="30"/>
      <c r="DW645" s="30"/>
      <c r="DX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</row>
    <row r="646" spans="31:178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1067">MATCH(CS646-1,$U$5:$U$36,1)</f>
        <v>13</v>
      </c>
      <c r="CU646" s="13">
        <f t="shared" ref="CU646:CU709" si="1068">CS646-(CT646-1)*52</f>
        <v>18</v>
      </c>
      <c r="CV646" s="14">
        <f t="shared" ref="CV646:CV709" si="1069">INDEX($Q$6:$Q$50,CT646)</f>
        <v>2</v>
      </c>
      <c r="CW646" s="14">
        <f t="shared" ref="CW646:CW709" si="1070">INDEX($N$6:$N$50,CT646)</f>
        <v>1102013</v>
      </c>
      <c r="CX646" s="14" t="str">
        <f>INDEX($O$6:$O$50,CT646)&amp;"-"&amp;INDEX(属性投放!$AB$7:$AB$50,CZ646)&amp;"-魂火-"&amp;DB646</f>
        <v>塞伯罗斯-叫唤+2-魂火-3</v>
      </c>
      <c r="CY646" s="25" t="s">
        <v>142</v>
      </c>
      <c r="CZ646" s="14">
        <f>INDEX(属性投放!$AM$7:$AM$58,CU646)</f>
        <v>9</v>
      </c>
      <c r="DA646" s="14" t="s">
        <v>537</v>
      </c>
      <c r="DB646" s="14">
        <f>INDEX(属性投放!$AN$7:$AN$58,CU646)</f>
        <v>3</v>
      </c>
      <c r="DC646" s="14">
        <f t="shared" si="1066"/>
        <v>18</v>
      </c>
      <c r="DD646" s="14">
        <f>INDEX(属性投放!$AO$7:$AO$58,DC646)</f>
        <v>63</v>
      </c>
      <c r="DE646" s="14" t="s">
        <v>538</v>
      </c>
      <c r="DF646" s="14">
        <f>INDEX(属性投放!$BK$6:$BK$85,(CV646-2)*20+CZ646)</f>
        <v>80</v>
      </c>
      <c r="DG646" s="14">
        <f>SUMIFS(DF$5:DF646,$CT$5:$CT646,"="&amp;$CT646)</f>
        <v>805</v>
      </c>
      <c r="DH646" s="14" t="s">
        <v>539</v>
      </c>
      <c r="DI646" s="14">
        <f>INDEX(属性投放!$BL$6:$BL$85,(CV646-2)*20+CZ646)</f>
        <v>40</v>
      </c>
      <c r="DJ646" s="14">
        <f>SUMIFS(DI$5:DI646,$CT$5:$CT646,"="&amp;$CT646)</f>
        <v>406</v>
      </c>
      <c r="DK646" s="14" t="s">
        <v>540</v>
      </c>
      <c r="DL646" s="14">
        <f>INDEX(属性投放!$BM$6:$BM$85,(CV646-2)*20+CZ646)</f>
        <v>640</v>
      </c>
      <c r="DM646" s="14">
        <f>SUMIFS(DL$5:DL646,$CT$5:$CT646,"="&amp;$CT646)</f>
        <v>6020</v>
      </c>
      <c r="DR646" s="30"/>
      <c r="DS646" s="30"/>
      <c r="DW646" s="30"/>
      <c r="DX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</row>
    <row r="647" spans="31:178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1067"/>
        <v>13</v>
      </c>
      <c r="CU647" s="13">
        <f t="shared" si="1068"/>
        <v>19</v>
      </c>
      <c r="CV647" s="14">
        <f t="shared" si="1069"/>
        <v>2</v>
      </c>
      <c r="CW647" s="14">
        <f t="shared" si="1070"/>
        <v>1102013</v>
      </c>
      <c r="CX647" s="14" t="str">
        <f>INDEX($O$6:$O$50,CT647)&amp;"-"&amp;INDEX(属性投放!$AB$7:$AB$50,CZ647)&amp;"-魂火-"&amp;DB647</f>
        <v>塞伯罗斯-大叫唤-魂火-1</v>
      </c>
      <c r="CY647" s="25" t="s">
        <v>142</v>
      </c>
      <c r="CZ647" s="14">
        <f>INDEX(属性投放!$AM$7:$AM$58,CU647)</f>
        <v>10</v>
      </c>
      <c r="DA647" s="14" t="s">
        <v>537</v>
      </c>
      <c r="DB647" s="14">
        <f>INDEX(属性投放!$AN$7:$AN$58,CU647)</f>
        <v>1</v>
      </c>
      <c r="DC647" s="14">
        <f t="shared" si="1066"/>
        <v>19</v>
      </c>
      <c r="DD647" s="14">
        <f>INDEX(属性投放!$AO$7:$AO$58,DC647)</f>
        <v>65</v>
      </c>
      <c r="DE647" s="14" t="s">
        <v>538</v>
      </c>
      <c r="DF647" s="14">
        <f>INDEX(属性投放!$BK$6:$BK$85,(CV647-2)*20+CZ647)</f>
        <v>100</v>
      </c>
      <c r="DG647" s="14">
        <f>SUMIFS(DF$5:DF647,$CT$5:$CT647,"="&amp;$CT647)</f>
        <v>905</v>
      </c>
      <c r="DH647" s="14" t="s">
        <v>539</v>
      </c>
      <c r="DI647" s="14">
        <f>INDEX(属性投放!$BL$6:$BL$85,(CV647-2)*20+CZ647)</f>
        <v>50</v>
      </c>
      <c r="DJ647" s="14">
        <f>SUMIFS(DI$5:DI647,$CT$5:$CT647,"="&amp;$CT647)</f>
        <v>456</v>
      </c>
      <c r="DK647" s="14" t="s">
        <v>540</v>
      </c>
      <c r="DL647" s="14">
        <f>INDEX(属性投放!$BM$6:$BM$85,(CV647-2)*20+CZ647)</f>
        <v>900</v>
      </c>
      <c r="DM647" s="14">
        <f>SUMIFS(DL$5:DL647,$CT$5:$CT647,"="&amp;$CT647)</f>
        <v>6920</v>
      </c>
      <c r="DR647" s="30"/>
      <c r="DS647" s="30"/>
      <c r="DW647" s="30"/>
      <c r="DX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</row>
    <row r="648" spans="31:178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1067"/>
        <v>13</v>
      </c>
      <c r="CU648" s="13">
        <f t="shared" si="1068"/>
        <v>20</v>
      </c>
      <c r="CV648" s="14">
        <f t="shared" si="1069"/>
        <v>2</v>
      </c>
      <c r="CW648" s="14">
        <f t="shared" si="1070"/>
        <v>1102013</v>
      </c>
      <c r="CX648" s="14" t="str">
        <f>INDEX($O$6:$O$50,CT648)&amp;"-"&amp;INDEX(属性投放!$AB$7:$AB$50,CZ648)&amp;"-魂火-"&amp;DB648</f>
        <v>塞伯罗斯-大叫唤-魂火-2</v>
      </c>
      <c r="CY648" s="25" t="s">
        <v>142</v>
      </c>
      <c r="CZ648" s="14">
        <f>INDEX(属性投放!$AM$7:$AM$58,CU648)</f>
        <v>10</v>
      </c>
      <c r="DA648" s="14" t="s">
        <v>537</v>
      </c>
      <c r="DB648" s="14">
        <f>INDEX(属性投放!$AN$7:$AN$58,CU648)</f>
        <v>2</v>
      </c>
      <c r="DC648" s="14">
        <f t="shared" si="1066"/>
        <v>20</v>
      </c>
      <c r="DD648" s="14">
        <f>INDEX(属性投放!$AO$7:$AO$58,DC648)</f>
        <v>68</v>
      </c>
      <c r="DE648" s="14" t="s">
        <v>538</v>
      </c>
      <c r="DF648" s="14">
        <f>INDEX(属性投放!$BK$6:$BK$85,(CV648-2)*20+CZ648)</f>
        <v>100</v>
      </c>
      <c r="DG648" s="14">
        <f>SUMIFS(DF$5:DF648,$CT$5:$CT648,"="&amp;$CT648)</f>
        <v>1005</v>
      </c>
      <c r="DH648" s="14" t="s">
        <v>539</v>
      </c>
      <c r="DI648" s="14">
        <f>INDEX(属性投放!$BL$6:$BL$85,(CV648-2)*20+CZ648)</f>
        <v>50</v>
      </c>
      <c r="DJ648" s="14">
        <f>SUMIFS(DI$5:DI648,$CT$5:$CT648,"="&amp;$CT648)</f>
        <v>506</v>
      </c>
      <c r="DK648" s="14" t="s">
        <v>540</v>
      </c>
      <c r="DL648" s="14">
        <f>INDEX(属性投放!$BM$6:$BM$85,(CV648-2)*20+CZ648)</f>
        <v>900</v>
      </c>
      <c r="DM648" s="14">
        <f>SUMIFS(DL$5:DL648,$CT$5:$CT648,"="&amp;$CT648)</f>
        <v>7820</v>
      </c>
      <c r="DR648" s="30"/>
      <c r="DS648" s="30"/>
      <c r="DW648" s="30"/>
      <c r="DX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</row>
    <row r="649" spans="31:178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1067"/>
        <v>13</v>
      </c>
      <c r="CU649" s="13">
        <f t="shared" si="1068"/>
        <v>21</v>
      </c>
      <c r="CV649" s="14">
        <f t="shared" si="1069"/>
        <v>2</v>
      </c>
      <c r="CW649" s="14">
        <f t="shared" si="1070"/>
        <v>1102013</v>
      </c>
      <c r="CX649" s="14" t="str">
        <f>INDEX($O$6:$O$50,CT649)&amp;"-"&amp;INDEX(属性投放!$AB$7:$AB$50,CZ649)&amp;"-魂火-"&amp;DB649</f>
        <v>塞伯罗斯-大叫唤-魂火-3</v>
      </c>
      <c r="CY649" s="25" t="s">
        <v>142</v>
      </c>
      <c r="CZ649" s="14">
        <f>INDEX(属性投放!$AM$7:$AM$58,CU649)</f>
        <v>10</v>
      </c>
      <c r="DA649" s="14" t="s">
        <v>537</v>
      </c>
      <c r="DB649" s="14">
        <f>INDEX(属性投放!$AN$7:$AN$58,CU649)</f>
        <v>3</v>
      </c>
      <c r="DC649" s="14">
        <f t="shared" si="1066"/>
        <v>21</v>
      </c>
      <c r="DD649" s="14">
        <f>INDEX(属性投放!$AO$7:$AO$58,DC649)</f>
        <v>70</v>
      </c>
      <c r="DE649" s="14" t="s">
        <v>538</v>
      </c>
      <c r="DF649" s="14">
        <f>INDEX(属性投放!$BK$6:$BK$85,(CV649-2)*20+CZ649)</f>
        <v>100</v>
      </c>
      <c r="DG649" s="14">
        <f>SUMIFS(DF$5:DF649,$CT$5:$CT649,"="&amp;$CT649)</f>
        <v>1105</v>
      </c>
      <c r="DH649" s="14" t="s">
        <v>539</v>
      </c>
      <c r="DI649" s="14">
        <f>INDEX(属性投放!$BL$6:$BL$85,(CV649-2)*20+CZ649)</f>
        <v>50</v>
      </c>
      <c r="DJ649" s="14">
        <f>SUMIFS(DI$5:DI649,$CT$5:$CT649,"="&amp;$CT649)</f>
        <v>556</v>
      </c>
      <c r="DK649" s="14" t="s">
        <v>540</v>
      </c>
      <c r="DL649" s="14">
        <f>INDEX(属性投放!$BM$6:$BM$85,(CV649-2)*20+CZ649)</f>
        <v>900</v>
      </c>
      <c r="DM649" s="14">
        <f>SUMIFS(DL$5:DL649,$CT$5:$CT649,"="&amp;$CT649)</f>
        <v>8720</v>
      </c>
      <c r="DR649" s="30"/>
      <c r="DS649" s="30"/>
      <c r="DW649" s="30"/>
      <c r="DX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</row>
    <row r="650" spans="31:178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1067"/>
        <v>13</v>
      </c>
      <c r="CU650" s="13">
        <f t="shared" si="1068"/>
        <v>22</v>
      </c>
      <c r="CV650" s="14">
        <f t="shared" si="1069"/>
        <v>2</v>
      </c>
      <c r="CW650" s="14">
        <f t="shared" si="1070"/>
        <v>1102013</v>
      </c>
      <c r="CX650" s="14" t="str">
        <f>INDEX($O$6:$O$50,CT650)&amp;"-"&amp;INDEX(属性投放!$AB$7:$AB$50,CZ650)&amp;"-魂火-"&amp;DB650</f>
        <v>塞伯罗斯-大叫唤+1-魂火-1</v>
      </c>
      <c r="CY650" s="25" t="s">
        <v>142</v>
      </c>
      <c r="CZ650" s="14">
        <f>INDEX(属性投放!$AM$7:$AM$58,CU650)</f>
        <v>11</v>
      </c>
      <c r="DA650" s="14" t="s">
        <v>537</v>
      </c>
      <c r="DB650" s="14">
        <f>INDEX(属性投放!$AN$7:$AN$58,CU650)</f>
        <v>1</v>
      </c>
      <c r="DC650" s="14">
        <f t="shared" si="1066"/>
        <v>22</v>
      </c>
      <c r="DD650" s="14">
        <f>INDEX(属性投放!$AO$7:$AO$58,DC650)</f>
        <v>73</v>
      </c>
      <c r="DE650" s="14" t="s">
        <v>538</v>
      </c>
      <c r="DF650" s="14">
        <f>INDEX(属性投放!$BK$6:$BK$85,(CV650-2)*20+CZ650)</f>
        <v>130</v>
      </c>
      <c r="DG650" s="14">
        <f>SUMIFS(DF$5:DF650,$CT$5:$CT650,"="&amp;$CT650)</f>
        <v>1235</v>
      </c>
      <c r="DH650" s="14" t="s">
        <v>539</v>
      </c>
      <c r="DI650" s="14">
        <f>INDEX(属性投放!$BL$6:$BL$85,(CV650-2)*20+CZ650)</f>
        <v>65</v>
      </c>
      <c r="DJ650" s="14">
        <f>SUMIFS(DI$5:DI650,$CT$5:$CT650,"="&amp;$CT650)</f>
        <v>621</v>
      </c>
      <c r="DK650" s="14" t="s">
        <v>540</v>
      </c>
      <c r="DL650" s="14">
        <f>INDEX(属性投放!$BM$6:$BM$85,(CV650-2)*20+CZ650)</f>
        <v>1170</v>
      </c>
      <c r="DM650" s="14">
        <f>SUMIFS(DL$5:DL650,$CT$5:$CT650,"="&amp;$CT650)</f>
        <v>9890</v>
      </c>
      <c r="DR650" s="30"/>
      <c r="DS650" s="30"/>
      <c r="DW650" s="30"/>
      <c r="DX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</row>
    <row r="651" spans="31:178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1067"/>
        <v>13</v>
      </c>
      <c r="CU651" s="13">
        <f t="shared" si="1068"/>
        <v>23</v>
      </c>
      <c r="CV651" s="14">
        <f t="shared" si="1069"/>
        <v>2</v>
      </c>
      <c r="CW651" s="14">
        <f t="shared" si="1070"/>
        <v>1102013</v>
      </c>
      <c r="CX651" s="14" t="str">
        <f>INDEX($O$6:$O$50,CT651)&amp;"-"&amp;INDEX(属性投放!$AB$7:$AB$50,CZ651)&amp;"-魂火-"&amp;DB651</f>
        <v>塞伯罗斯-大叫唤+1-魂火-2</v>
      </c>
      <c r="CY651" s="25" t="s">
        <v>142</v>
      </c>
      <c r="CZ651" s="14">
        <f>INDEX(属性投放!$AM$7:$AM$58,CU651)</f>
        <v>11</v>
      </c>
      <c r="DA651" s="14" t="s">
        <v>537</v>
      </c>
      <c r="DB651" s="14">
        <f>INDEX(属性投放!$AN$7:$AN$58,CU651)</f>
        <v>2</v>
      </c>
      <c r="DC651" s="14">
        <f t="shared" si="1066"/>
        <v>23</v>
      </c>
      <c r="DD651" s="14">
        <f>INDEX(属性投放!$AO$7:$AO$58,DC651)</f>
        <v>75</v>
      </c>
      <c r="DE651" s="14" t="s">
        <v>538</v>
      </c>
      <c r="DF651" s="14">
        <f>INDEX(属性投放!$BK$6:$BK$85,(CV651-2)*20+CZ651)</f>
        <v>130</v>
      </c>
      <c r="DG651" s="14">
        <f>SUMIFS(DF$5:DF651,$CT$5:$CT651,"="&amp;$CT651)</f>
        <v>1365</v>
      </c>
      <c r="DH651" s="14" t="s">
        <v>539</v>
      </c>
      <c r="DI651" s="14">
        <f>INDEX(属性投放!$BL$6:$BL$85,(CV651-2)*20+CZ651)</f>
        <v>65</v>
      </c>
      <c r="DJ651" s="14">
        <f>SUMIFS(DI$5:DI651,$CT$5:$CT651,"="&amp;$CT651)</f>
        <v>686</v>
      </c>
      <c r="DK651" s="14" t="s">
        <v>540</v>
      </c>
      <c r="DL651" s="14">
        <f>INDEX(属性投放!$BM$6:$BM$85,(CV651-2)*20+CZ651)</f>
        <v>1170</v>
      </c>
      <c r="DM651" s="14">
        <f>SUMIFS(DL$5:DL651,$CT$5:$CT651,"="&amp;$CT651)</f>
        <v>11060</v>
      </c>
      <c r="DR651" s="30"/>
      <c r="DS651" s="30"/>
      <c r="DW651" s="30"/>
      <c r="DX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</row>
    <row r="652" spans="31:178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1067"/>
        <v>13</v>
      </c>
      <c r="CU652" s="13">
        <f t="shared" si="1068"/>
        <v>24</v>
      </c>
      <c r="CV652" s="14">
        <f t="shared" si="1069"/>
        <v>2</v>
      </c>
      <c r="CW652" s="14">
        <f t="shared" si="1070"/>
        <v>1102013</v>
      </c>
      <c r="CX652" s="14" t="str">
        <f>INDEX($O$6:$O$50,CT652)&amp;"-"&amp;INDEX(属性投放!$AB$7:$AB$50,CZ652)&amp;"-魂火-"&amp;DB652</f>
        <v>塞伯罗斯-大叫唤+1-魂火-3</v>
      </c>
      <c r="CY652" s="25" t="s">
        <v>142</v>
      </c>
      <c r="CZ652" s="14">
        <f>INDEX(属性投放!$AM$7:$AM$58,CU652)</f>
        <v>11</v>
      </c>
      <c r="DA652" s="14" t="s">
        <v>537</v>
      </c>
      <c r="DB652" s="14">
        <f>INDEX(属性投放!$AN$7:$AN$58,CU652)</f>
        <v>3</v>
      </c>
      <c r="DC652" s="14">
        <f t="shared" si="1066"/>
        <v>24</v>
      </c>
      <c r="DD652" s="14">
        <f>INDEX(属性投放!$AO$7:$AO$58,DC652)</f>
        <v>78</v>
      </c>
      <c r="DE652" s="14" t="s">
        <v>538</v>
      </c>
      <c r="DF652" s="14">
        <f>INDEX(属性投放!$BK$6:$BK$85,(CV652-2)*20+CZ652)</f>
        <v>130</v>
      </c>
      <c r="DG652" s="14">
        <f>SUMIFS(DF$5:DF652,$CT$5:$CT652,"="&amp;$CT652)</f>
        <v>1495</v>
      </c>
      <c r="DH652" s="14" t="s">
        <v>539</v>
      </c>
      <c r="DI652" s="14">
        <f>INDEX(属性投放!$BL$6:$BL$85,(CV652-2)*20+CZ652)</f>
        <v>65</v>
      </c>
      <c r="DJ652" s="14">
        <f>SUMIFS(DI$5:DI652,$CT$5:$CT652,"="&amp;$CT652)</f>
        <v>751</v>
      </c>
      <c r="DK652" s="14" t="s">
        <v>540</v>
      </c>
      <c r="DL652" s="14">
        <f>INDEX(属性投放!$BM$6:$BM$85,(CV652-2)*20+CZ652)</f>
        <v>1170</v>
      </c>
      <c r="DM652" s="14">
        <f>SUMIFS(DL$5:DL652,$CT$5:$CT652,"="&amp;$CT652)</f>
        <v>12230</v>
      </c>
      <c r="DR652" s="30"/>
      <c r="DS652" s="30"/>
      <c r="DW652" s="30"/>
      <c r="DX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</row>
    <row r="653" spans="31:178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1067"/>
        <v>13</v>
      </c>
      <c r="CU653" s="13">
        <f t="shared" si="1068"/>
        <v>25</v>
      </c>
      <c r="CV653" s="14">
        <f t="shared" si="1069"/>
        <v>2</v>
      </c>
      <c r="CW653" s="14">
        <f t="shared" si="1070"/>
        <v>1102013</v>
      </c>
      <c r="CX653" s="14" t="str">
        <f>INDEX($O$6:$O$50,CT653)&amp;"-"&amp;INDEX(属性投放!$AB$7:$AB$50,CZ653)&amp;"-魂火-"&amp;DB653</f>
        <v>塞伯罗斯-大叫唤+2-魂火-1</v>
      </c>
      <c r="CY653" s="25" t="s">
        <v>142</v>
      </c>
      <c r="CZ653" s="14">
        <f>INDEX(属性投放!$AM$7:$AM$58,CU653)</f>
        <v>12</v>
      </c>
      <c r="DA653" s="14" t="s">
        <v>537</v>
      </c>
      <c r="DB653" s="14">
        <f>INDEX(属性投放!$AN$7:$AN$58,CU653)</f>
        <v>1</v>
      </c>
      <c r="DC653" s="14">
        <f t="shared" si="1066"/>
        <v>25</v>
      </c>
      <c r="DD653" s="14">
        <f>INDEX(属性投放!$AO$7:$AO$58,DC653)</f>
        <v>80</v>
      </c>
      <c r="DE653" s="14" t="s">
        <v>538</v>
      </c>
      <c r="DF653" s="14">
        <f>INDEX(属性投放!$BK$6:$BK$85,(CV653-2)*20+CZ653)</f>
        <v>170</v>
      </c>
      <c r="DG653" s="14">
        <f>SUMIFS(DF$5:DF653,$CT$5:$CT653,"="&amp;$CT653)</f>
        <v>1665</v>
      </c>
      <c r="DH653" s="14" t="s">
        <v>539</v>
      </c>
      <c r="DI653" s="14">
        <f>INDEX(属性投放!$BL$6:$BL$85,(CV653-2)*20+CZ653)</f>
        <v>85</v>
      </c>
      <c r="DJ653" s="14">
        <f>SUMIFS(DI$5:DI653,$CT$5:$CT653,"="&amp;$CT653)</f>
        <v>836</v>
      </c>
      <c r="DK653" s="14" t="s">
        <v>540</v>
      </c>
      <c r="DL653" s="14">
        <f>INDEX(属性投放!$BM$6:$BM$85,(CV653-2)*20+CZ653)</f>
        <v>1530</v>
      </c>
      <c r="DM653" s="14">
        <f>SUMIFS(DL$5:DL653,$CT$5:$CT653,"="&amp;$CT653)</f>
        <v>13760</v>
      </c>
      <c r="DR653" s="30"/>
      <c r="DS653" s="30"/>
      <c r="DW653" s="30"/>
      <c r="DX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</row>
    <row r="654" spans="31:178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1067"/>
        <v>13</v>
      </c>
      <c r="CU654" s="13">
        <f t="shared" si="1068"/>
        <v>26</v>
      </c>
      <c r="CV654" s="14">
        <f t="shared" si="1069"/>
        <v>2</v>
      </c>
      <c r="CW654" s="14">
        <f t="shared" si="1070"/>
        <v>1102013</v>
      </c>
      <c r="CX654" s="14" t="str">
        <f>INDEX($O$6:$O$50,CT654)&amp;"-"&amp;INDEX(属性投放!$AB$7:$AB$50,CZ654)&amp;"-魂火-"&amp;DB654</f>
        <v>塞伯罗斯-大叫唤+2-魂火-2</v>
      </c>
      <c r="CY654" s="25" t="s">
        <v>142</v>
      </c>
      <c r="CZ654" s="14">
        <f>INDEX(属性投放!$AM$7:$AM$58,CU654)</f>
        <v>12</v>
      </c>
      <c r="DA654" s="14" t="s">
        <v>537</v>
      </c>
      <c r="DB654" s="14">
        <f>INDEX(属性投放!$AN$7:$AN$58,CU654)</f>
        <v>2</v>
      </c>
      <c r="DC654" s="14">
        <f t="shared" si="1066"/>
        <v>26</v>
      </c>
      <c r="DD654" s="14">
        <f>INDEX(属性投放!$AO$7:$AO$58,DC654)</f>
        <v>83</v>
      </c>
      <c r="DE654" s="14" t="s">
        <v>538</v>
      </c>
      <c r="DF654" s="14">
        <f>INDEX(属性投放!$BK$6:$BK$85,(CV654-2)*20+CZ654)</f>
        <v>170</v>
      </c>
      <c r="DG654" s="14">
        <f>SUMIFS(DF$5:DF654,$CT$5:$CT654,"="&amp;$CT654)</f>
        <v>1835</v>
      </c>
      <c r="DH654" s="14" t="s">
        <v>539</v>
      </c>
      <c r="DI654" s="14">
        <f>INDEX(属性投放!$BL$6:$BL$85,(CV654-2)*20+CZ654)</f>
        <v>85</v>
      </c>
      <c r="DJ654" s="14">
        <f>SUMIFS(DI$5:DI654,$CT$5:$CT654,"="&amp;$CT654)</f>
        <v>921</v>
      </c>
      <c r="DK654" s="14" t="s">
        <v>540</v>
      </c>
      <c r="DL654" s="14">
        <f>INDEX(属性投放!$BM$6:$BM$85,(CV654-2)*20+CZ654)</f>
        <v>1530</v>
      </c>
      <c r="DM654" s="14">
        <f>SUMIFS(DL$5:DL654,$CT$5:$CT654,"="&amp;$CT654)</f>
        <v>15290</v>
      </c>
      <c r="DR654" s="30"/>
      <c r="DS654" s="30"/>
      <c r="DW654" s="30"/>
      <c r="DX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</row>
    <row r="655" spans="31:178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1067"/>
        <v>13</v>
      </c>
      <c r="CU655" s="13">
        <f t="shared" si="1068"/>
        <v>27</v>
      </c>
      <c r="CV655" s="14">
        <f t="shared" si="1069"/>
        <v>2</v>
      </c>
      <c r="CW655" s="14">
        <f t="shared" si="1070"/>
        <v>1102013</v>
      </c>
      <c r="CX655" s="14" t="str">
        <f>INDEX($O$6:$O$50,CT655)&amp;"-"&amp;INDEX(属性投放!$AB$7:$AB$50,CZ655)&amp;"-魂火-"&amp;DB655</f>
        <v>塞伯罗斯-大叫唤+2-魂火-3</v>
      </c>
      <c r="CY655" s="25" t="s">
        <v>142</v>
      </c>
      <c r="CZ655" s="14">
        <f>INDEX(属性投放!$AM$7:$AM$58,CU655)</f>
        <v>12</v>
      </c>
      <c r="DA655" s="14" t="s">
        <v>537</v>
      </c>
      <c r="DB655" s="14">
        <f>INDEX(属性投放!$AN$7:$AN$58,CU655)</f>
        <v>3</v>
      </c>
      <c r="DC655" s="14">
        <f t="shared" si="1066"/>
        <v>27</v>
      </c>
      <c r="DD655" s="14">
        <f>INDEX(属性投放!$AO$7:$AO$58,DC655)</f>
        <v>85</v>
      </c>
      <c r="DE655" s="14" t="s">
        <v>538</v>
      </c>
      <c r="DF655" s="14">
        <f>INDEX(属性投放!$BK$6:$BK$85,(CV655-2)*20+CZ655)</f>
        <v>170</v>
      </c>
      <c r="DG655" s="14">
        <f>SUMIFS(DF$5:DF655,$CT$5:$CT655,"="&amp;$CT655)</f>
        <v>2005</v>
      </c>
      <c r="DH655" s="14" t="s">
        <v>539</v>
      </c>
      <c r="DI655" s="14">
        <f>INDEX(属性投放!$BL$6:$BL$85,(CV655-2)*20+CZ655)</f>
        <v>85</v>
      </c>
      <c r="DJ655" s="14">
        <f>SUMIFS(DI$5:DI655,$CT$5:$CT655,"="&amp;$CT655)</f>
        <v>1006</v>
      </c>
      <c r="DK655" s="14" t="s">
        <v>540</v>
      </c>
      <c r="DL655" s="14">
        <f>INDEX(属性投放!$BM$6:$BM$85,(CV655-2)*20+CZ655)</f>
        <v>1530</v>
      </c>
      <c r="DM655" s="14">
        <f>SUMIFS(DL$5:DL655,$CT$5:$CT655,"="&amp;$CT655)</f>
        <v>16820</v>
      </c>
      <c r="DR655" s="30"/>
      <c r="DS655" s="30"/>
      <c r="DW655" s="30"/>
      <c r="DX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</row>
    <row r="656" spans="31:178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1067"/>
        <v>13</v>
      </c>
      <c r="CU656" s="13">
        <f t="shared" si="1068"/>
        <v>28</v>
      </c>
      <c r="CV656" s="14">
        <f t="shared" si="1069"/>
        <v>2</v>
      </c>
      <c r="CW656" s="14">
        <f t="shared" si="1070"/>
        <v>1102013</v>
      </c>
      <c r="CX656" s="14" t="str">
        <f>INDEX($O$6:$O$50,CT656)&amp;"-"&amp;INDEX(属性投放!$AB$7:$AB$50,CZ656)&amp;"-魂火-"&amp;DB656</f>
        <v>塞伯罗斯-焦热-魂火-1</v>
      </c>
      <c r="CY656" s="25" t="s">
        <v>142</v>
      </c>
      <c r="CZ656" s="14">
        <f>INDEX(属性投放!$AM$7:$AM$58,CU656)</f>
        <v>13</v>
      </c>
      <c r="DA656" s="14" t="s">
        <v>537</v>
      </c>
      <c r="DB656" s="14">
        <f>INDEX(属性投放!$AN$7:$AN$58,CU656)</f>
        <v>1</v>
      </c>
      <c r="DC656" s="14">
        <f t="shared" si="1066"/>
        <v>28</v>
      </c>
      <c r="DD656" s="14">
        <f>INDEX(属性投放!$AO$7:$AO$58,DC656)</f>
        <v>88</v>
      </c>
      <c r="DE656" s="14" t="s">
        <v>538</v>
      </c>
      <c r="DF656" s="14">
        <f>INDEX(属性投放!$BK$6:$BK$85,(CV656-2)*20+CZ656)</f>
        <v>220</v>
      </c>
      <c r="DG656" s="14">
        <f>SUMIFS(DF$5:DF656,$CT$5:$CT656,"="&amp;$CT656)</f>
        <v>2225</v>
      </c>
      <c r="DH656" s="14" t="s">
        <v>539</v>
      </c>
      <c r="DI656" s="14">
        <f>INDEX(属性投放!$BL$6:$BL$85,(CV656-2)*20+CZ656)</f>
        <v>110</v>
      </c>
      <c r="DJ656" s="14">
        <f>SUMIFS(DI$5:DI656,$CT$5:$CT656,"="&amp;$CT656)</f>
        <v>1116</v>
      </c>
      <c r="DK656" s="14" t="s">
        <v>540</v>
      </c>
      <c r="DL656" s="14">
        <f>INDEX(属性投放!$BM$6:$BM$85,(CV656-2)*20+CZ656)</f>
        <v>2200</v>
      </c>
      <c r="DM656" s="14">
        <f>SUMIFS(DL$5:DL656,$CT$5:$CT656,"="&amp;$CT656)</f>
        <v>19020</v>
      </c>
      <c r="DR656" s="30"/>
      <c r="DS656" s="30"/>
      <c r="DW656" s="30"/>
      <c r="DX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1067"/>
        <v>13</v>
      </c>
      <c r="CU657" s="13">
        <f t="shared" si="1068"/>
        <v>29</v>
      </c>
      <c r="CV657" s="14">
        <f t="shared" si="1069"/>
        <v>2</v>
      </c>
      <c r="CW657" s="14">
        <f t="shared" si="1070"/>
        <v>1102013</v>
      </c>
      <c r="CX657" s="14" t="str">
        <f>INDEX($O$6:$O$50,CT657)&amp;"-"&amp;INDEX(属性投放!$AB$7:$AB$50,CZ657)&amp;"-魂火-"&amp;DB657</f>
        <v>塞伯罗斯-焦热-魂火-2</v>
      </c>
      <c r="CY657" s="25" t="s">
        <v>142</v>
      </c>
      <c r="CZ657" s="14">
        <f>INDEX(属性投放!$AM$7:$AM$58,CU657)</f>
        <v>13</v>
      </c>
      <c r="DA657" s="14" t="s">
        <v>537</v>
      </c>
      <c r="DB657" s="14">
        <f>INDEX(属性投放!$AN$7:$AN$58,CU657)</f>
        <v>2</v>
      </c>
      <c r="DC657" s="14">
        <f t="shared" si="1066"/>
        <v>29</v>
      </c>
      <c r="DD657" s="14">
        <f>INDEX(属性投放!$AO$7:$AO$58,DC657)</f>
        <v>90</v>
      </c>
      <c r="DE657" s="14" t="s">
        <v>538</v>
      </c>
      <c r="DF657" s="14">
        <f>INDEX(属性投放!$BK$6:$BK$85,(CV657-2)*20+CZ657)</f>
        <v>220</v>
      </c>
      <c r="DG657" s="14">
        <f>SUMIFS(DF$5:DF657,$CT$5:$CT657,"="&amp;$CT657)</f>
        <v>2445</v>
      </c>
      <c r="DH657" s="14" t="s">
        <v>539</v>
      </c>
      <c r="DI657" s="14">
        <f>INDEX(属性投放!$BL$6:$BL$85,(CV657-2)*20+CZ657)</f>
        <v>110</v>
      </c>
      <c r="DJ657" s="14">
        <f>SUMIFS(DI$5:DI657,$CT$5:$CT657,"="&amp;$CT657)</f>
        <v>1226</v>
      </c>
      <c r="DK657" s="14" t="s">
        <v>540</v>
      </c>
      <c r="DL657" s="14">
        <f>INDEX(属性投放!$BM$6:$BM$85,(CV657-2)*20+CZ657)</f>
        <v>2200</v>
      </c>
      <c r="DM657" s="14">
        <f>SUMIFS(DL$5:DL657,$CT$5:$CT657,"="&amp;$CT657)</f>
        <v>21220</v>
      </c>
      <c r="DR657" s="30"/>
      <c r="DS657" s="30"/>
      <c r="DW657" s="30"/>
      <c r="DX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1067"/>
        <v>13</v>
      </c>
      <c r="CU658" s="13">
        <f t="shared" si="1068"/>
        <v>30</v>
      </c>
      <c r="CV658" s="14">
        <f t="shared" si="1069"/>
        <v>2</v>
      </c>
      <c r="CW658" s="14">
        <f t="shared" si="1070"/>
        <v>1102013</v>
      </c>
      <c r="CX658" s="14" t="str">
        <f>INDEX($O$6:$O$50,CT658)&amp;"-"&amp;INDEX(属性投放!$AB$7:$AB$50,CZ658)&amp;"-魂火-"&amp;DB658</f>
        <v>塞伯罗斯-焦热-魂火-3</v>
      </c>
      <c r="CY658" s="25" t="s">
        <v>142</v>
      </c>
      <c r="CZ658" s="14">
        <f>INDEX(属性投放!$AM$7:$AM$58,CU658)</f>
        <v>13</v>
      </c>
      <c r="DA658" s="14" t="s">
        <v>537</v>
      </c>
      <c r="DB658" s="14">
        <f>INDEX(属性投放!$AN$7:$AN$58,CU658)</f>
        <v>3</v>
      </c>
      <c r="DC658" s="14">
        <f t="shared" si="1066"/>
        <v>30</v>
      </c>
      <c r="DD658" s="14">
        <f>INDEX(属性投放!$AO$7:$AO$58,DC658)</f>
        <v>93</v>
      </c>
      <c r="DE658" s="14" t="s">
        <v>538</v>
      </c>
      <c r="DF658" s="14">
        <f>INDEX(属性投放!$BK$6:$BK$85,(CV658-2)*20+CZ658)</f>
        <v>220</v>
      </c>
      <c r="DG658" s="14">
        <f>SUMIFS(DF$5:DF658,$CT$5:$CT658,"="&amp;$CT658)</f>
        <v>2665</v>
      </c>
      <c r="DH658" s="14" t="s">
        <v>539</v>
      </c>
      <c r="DI658" s="14">
        <f>INDEX(属性投放!$BL$6:$BL$85,(CV658-2)*20+CZ658)</f>
        <v>110</v>
      </c>
      <c r="DJ658" s="14">
        <f>SUMIFS(DI$5:DI658,$CT$5:$CT658,"="&amp;$CT658)</f>
        <v>1336</v>
      </c>
      <c r="DK658" s="14" t="s">
        <v>540</v>
      </c>
      <c r="DL658" s="14">
        <f>INDEX(属性投放!$BM$6:$BM$85,(CV658-2)*20+CZ658)</f>
        <v>2200</v>
      </c>
      <c r="DM658" s="14">
        <f>SUMIFS(DL$5:DL658,$CT$5:$CT658,"="&amp;$CT658)</f>
        <v>23420</v>
      </c>
      <c r="DR658" s="30"/>
      <c r="DS658" s="30"/>
      <c r="DW658" s="30"/>
      <c r="DX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1067"/>
        <v>13</v>
      </c>
      <c r="CU659" s="13">
        <f t="shared" si="1068"/>
        <v>31</v>
      </c>
      <c r="CV659" s="14">
        <f t="shared" si="1069"/>
        <v>2</v>
      </c>
      <c r="CW659" s="14">
        <f t="shared" si="1070"/>
        <v>1102013</v>
      </c>
      <c r="CX659" s="14" t="str">
        <f>INDEX($O$6:$O$50,CT659)&amp;"-"&amp;INDEX(属性投放!$AB$7:$AB$50,CZ659)&amp;"-魂火-"&amp;DB659</f>
        <v>塞伯罗斯-焦热+1-魂火-1</v>
      </c>
      <c r="CY659" s="25" t="s">
        <v>142</v>
      </c>
      <c r="CZ659" s="14">
        <f>INDEX(属性投放!$AM$7:$AM$58,CU659)</f>
        <v>14</v>
      </c>
      <c r="DA659" s="14" t="s">
        <v>537</v>
      </c>
      <c r="DB659" s="14">
        <f>INDEX(属性投放!$AN$7:$AN$58,CU659)</f>
        <v>1</v>
      </c>
      <c r="DC659" s="14">
        <f t="shared" si="1066"/>
        <v>31</v>
      </c>
      <c r="DD659" s="14">
        <f>INDEX(属性投放!$AO$7:$AO$58,DC659)</f>
        <v>95</v>
      </c>
      <c r="DE659" s="14" t="s">
        <v>538</v>
      </c>
      <c r="DF659" s="14">
        <f>INDEX(属性投放!$BK$6:$BK$85,(CV659-2)*20+CZ659)</f>
        <v>270</v>
      </c>
      <c r="DG659" s="14">
        <f>SUMIFS(DF$5:DF659,$CT$5:$CT659,"="&amp;$CT659)</f>
        <v>2935</v>
      </c>
      <c r="DH659" s="14" t="s">
        <v>539</v>
      </c>
      <c r="DI659" s="14">
        <f>INDEX(属性投放!$BL$6:$BL$85,(CV659-2)*20+CZ659)</f>
        <v>135</v>
      </c>
      <c r="DJ659" s="14">
        <f>SUMIFS(DI$5:DI659,$CT$5:$CT659,"="&amp;$CT659)</f>
        <v>1471</v>
      </c>
      <c r="DK659" s="14" t="s">
        <v>540</v>
      </c>
      <c r="DL659" s="14">
        <f>INDEX(属性投放!$BM$6:$BM$85,(CV659-2)*20+CZ659)</f>
        <v>2700</v>
      </c>
      <c r="DM659" s="14">
        <f>SUMIFS(DL$5:DL659,$CT$5:$CT659,"="&amp;$CT659)</f>
        <v>26120</v>
      </c>
      <c r="DR659" s="30"/>
      <c r="DS659" s="30"/>
      <c r="DW659" s="30"/>
      <c r="DX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1067"/>
        <v>13</v>
      </c>
      <c r="CU660" s="13">
        <f t="shared" si="1068"/>
        <v>32</v>
      </c>
      <c r="CV660" s="14">
        <f t="shared" si="1069"/>
        <v>2</v>
      </c>
      <c r="CW660" s="14">
        <f t="shared" si="1070"/>
        <v>1102013</v>
      </c>
      <c r="CX660" s="14" t="str">
        <f>INDEX($O$6:$O$50,CT660)&amp;"-"&amp;INDEX(属性投放!$AB$7:$AB$50,CZ660)&amp;"-魂火-"&amp;DB660</f>
        <v>塞伯罗斯-焦热+1-魂火-2</v>
      </c>
      <c r="CY660" s="25" t="s">
        <v>142</v>
      </c>
      <c r="CZ660" s="14">
        <f>INDEX(属性投放!$AM$7:$AM$58,CU660)</f>
        <v>14</v>
      </c>
      <c r="DA660" s="14" t="s">
        <v>537</v>
      </c>
      <c r="DB660" s="14">
        <f>INDEX(属性投放!$AN$7:$AN$58,CU660)</f>
        <v>2</v>
      </c>
      <c r="DC660" s="14">
        <f t="shared" si="1066"/>
        <v>32</v>
      </c>
      <c r="DD660" s="14">
        <f>INDEX(属性投放!$AO$7:$AO$58,DC660)</f>
        <v>98</v>
      </c>
      <c r="DE660" s="14" t="s">
        <v>538</v>
      </c>
      <c r="DF660" s="14">
        <f>INDEX(属性投放!$BK$6:$BK$85,(CV660-2)*20+CZ660)</f>
        <v>270</v>
      </c>
      <c r="DG660" s="14">
        <f>SUMIFS(DF$5:DF660,$CT$5:$CT660,"="&amp;$CT660)</f>
        <v>3205</v>
      </c>
      <c r="DH660" s="14" t="s">
        <v>539</v>
      </c>
      <c r="DI660" s="14">
        <f>INDEX(属性投放!$BL$6:$BL$85,(CV660-2)*20+CZ660)</f>
        <v>135</v>
      </c>
      <c r="DJ660" s="14">
        <f>SUMIFS(DI$5:DI660,$CT$5:$CT660,"="&amp;$CT660)</f>
        <v>1606</v>
      </c>
      <c r="DK660" s="14" t="s">
        <v>540</v>
      </c>
      <c r="DL660" s="14">
        <f>INDEX(属性投放!$BM$6:$BM$85,(CV660-2)*20+CZ660)</f>
        <v>2700</v>
      </c>
      <c r="DM660" s="14">
        <f>SUMIFS(DL$5:DL660,$CT$5:$CT660,"="&amp;$CT660)</f>
        <v>28820</v>
      </c>
      <c r="DR660" s="30"/>
      <c r="DS660" s="30"/>
      <c r="DW660" s="30"/>
      <c r="DX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1067"/>
        <v>13</v>
      </c>
      <c r="CU661" s="13">
        <f t="shared" si="1068"/>
        <v>33</v>
      </c>
      <c r="CV661" s="14">
        <f t="shared" si="1069"/>
        <v>2</v>
      </c>
      <c r="CW661" s="14">
        <f t="shared" si="1070"/>
        <v>1102013</v>
      </c>
      <c r="CX661" s="14" t="str">
        <f>INDEX($O$6:$O$50,CT661)&amp;"-"&amp;INDEX(属性投放!$AB$7:$AB$50,CZ661)&amp;"-魂火-"&amp;DB661</f>
        <v>塞伯罗斯-焦热+1-魂火-3</v>
      </c>
      <c r="CY661" s="25" t="s">
        <v>142</v>
      </c>
      <c r="CZ661" s="14">
        <f>INDEX(属性投放!$AM$7:$AM$58,CU661)</f>
        <v>14</v>
      </c>
      <c r="DA661" s="14" t="s">
        <v>537</v>
      </c>
      <c r="DB661" s="14">
        <f>INDEX(属性投放!$AN$7:$AN$58,CU661)</f>
        <v>3</v>
      </c>
      <c r="DC661" s="14">
        <f t="shared" si="1066"/>
        <v>33</v>
      </c>
      <c r="DD661" s="14">
        <f>INDEX(属性投放!$AO$7:$AO$58,DC661)</f>
        <v>100</v>
      </c>
      <c r="DE661" s="14" t="s">
        <v>538</v>
      </c>
      <c r="DF661" s="14">
        <f>INDEX(属性投放!$BK$6:$BK$85,(CV661-2)*20+CZ661)</f>
        <v>270</v>
      </c>
      <c r="DG661" s="14">
        <f>SUMIFS(DF$5:DF661,$CT$5:$CT661,"="&amp;$CT661)</f>
        <v>3475</v>
      </c>
      <c r="DH661" s="14" t="s">
        <v>539</v>
      </c>
      <c r="DI661" s="14">
        <f>INDEX(属性投放!$BL$6:$BL$85,(CV661-2)*20+CZ661)</f>
        <v>135</v>
      </c>
      <c r="DJ661" s="14">
        <f>SUMIFS(DI$5:DI661,$CT$5:$CT661,"="&amp;$CT661)</f>
        <v>1741</v>
      </c>
      <c r="DK661" s="14" t="s">
        <v>540</v>
      </c>
      <c r="DL661" s="14">
        <f>INDEX(属性投放!$BM$6:$BM$85,(CV661-2)*20+CZ661)</f>
        <v>2700</v>
      </c>
      <c r="DM661" s="14">
        <f>SUMIFS(DL$5:DL661,$CT$5:$CT661,"="&amp;$CT661)</f>
        <v>31520</v>
      </c>
      <c r="DR661" s="30"/>
      <c r="DS661" s="30"/>
      <c r="DW661" s="30"/>
      <c r="DX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1067"/>
        <v>13</v>
      </c>
      <c r="CU662" s="13">
        <f t="shared" si="1068"/>
        <v>34</v>
      </c>
      <c r="CV662" s="14">
        <f t="shared" si="1069"/>
        <v>2</v>
      </c>
      <c r="CW662" s="14">
        <f t="shared" si="1070"/>
        <v>1102013</v>
      </c>
      <c r="CX662" s="14" t="str">
        <f>INDEX($O$6:$O$50,CT662)&amp;"-"&amp;INDEX(属性投放!$AB$7:$AB$50,CZ662)&amp;"-魂火-"&amp;DB662</f>
        <v>塞伯罗斯-焦热+2-魂火-1</v>
      </c>
      <c r="CY662" s="25" t="s">
        <v>142</v>
      </c>
      <c r="CZ662" s="14">
        <f>INDEX(属性投放!$AM$7:$AM$58,CU662)</f>
        <v>15</v>
      </c>
      <c r="DA662" s="14" t="s">
        <v>537</v>
      </c>
      <c r="DB662" s="14">
        <f>INDEX(属性投放!$AN$7:$AN$58,CU662)</f>
        <v>1</v>
      </c>
      <c r="DC662" s="14">
        <f t="shared" si="1066"/>
        <v>34</v>
      </c>
      <c r="DD662" s="14">
        <f>INDEX(属性投放!$AO$7:$AO$58,DC662)</f>
        <v>103</v>
      </c>
      <c r="DE662" s="14" t="s">
        <v>538</v>
      </c>
      <c r="DF662" s="14">
        <f>INDEX(属性投放!$BK$6:$BK$85,(CV662-2)*20+CZ662)</f>
        <v>350</v>
      </c>
      <c r="DG662" s="14">
        <f>SUMIFS(DF$5:DF662,$CT$5:$CT662,"="&amp;$CT662)</f>
        <v>3825</v>
      </c>
      <c r="DH662" s="14" t="s">
        <v>539</v>
      </c>
      <c r="DI662" s="14">
        <f>INDEX(属性投放!$BL$6:$BL$85,(CV662-2)*20+CZ662)</f>
        <v>175</v>
      </c>
      <c r="DJ662" s="14">
        <f>SUMIFS(DI$5:DI662,$CT$5:$CT662,"="&amp;$CT662)</f>
        <v>1916</v>
      </c>
      <c r="DK662" s="14" t="s">
        <v>540</v>
      </c>
      <c r="DL662" s="14">
        <f>INDEX(属性投放!$BM$6:$BM$85,(CV662-2)*20+CZ662)</f>
        <v>3500</v>
      </c>
      <c r="DM662" s="14">
        <f>SUMIFS(DL$5:DL662,$CT$5:$CT662,"="&amp;$CT662)</f>
        <v>35020</v>
      </c>
      <c r="DR662" s="30"/>
      <c r="DS662" s="30"/>
      <c r="DW662" s="30"/>
      <c r="DX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1067"/>
        <v>13</v>
      </c>
      <c r="CU663" s="13">
        <f t="shared" si="1068"/>
        <v>35</v>
      </c>
      <c r="CV663" s="14">
        <f t="shared" si="1069"/>
        <v>2</v>
      </c>
      <c r="CW663" s="14">
        <f t="shared" si="1070"/>
        <v>1102013</v>
      </c>
      <c r="CX663" s="14" t="str">
        <f>INDEX($O$6:$O$50,CT663)&amp;"-"&amp;INDEX(属性投放!$AB$7:$AB$50,CZ663)&amp;"-魂火-"&amp;DB663</f>
        <v>塞伯罗斯-焦热+2-魂火-2</v>
      </c>
      <c r="CY663" s="25" t="s">
        <v>142</v>
      </c>
      <c r="CZ663" s="14">
        <f>INDEX(属性投放!$AM$7:$AM$58,CU663)</f>
        <v>15</v>
      </c>
      <c r="DA663" s="14" t="s">
        <v>537</v>
      </c>
      <c r="DB663" s="14">
        <f>INDEX(属性投放!$AN$7:$AN$58,CU663)</f>
        <v>2</v>
      </c>
      <c r="DC663" s="14">
        <f t="shared" si="1066"/>
        <v>35</v>
      </c>
      <c r="DD663" s="14">
        <f>INDEX(属性投放!$AO$7:$AO$58,DC663)</f>
        <v>105</v>
      </c>
      <c r="DE663" s="14" t="s">
        <v>538</v>
      </c>
      <c r="DF663" s="14">
        <f>INDEX(属性投放!$BK$6:$BK$85,(CV663-2)*20+CZ663)</f>
        <v>350</v>
      </c>
      <c r="DG663" s="14">
        <f>SUMIFS(DF$5:DF663,$CT$5:$CT663,"="&amp;$CT663)</f>
        <v>4175</v>
      </c>
      <c r="DH663" s="14" t="s">
        <v>539</v>
      </c>
      <c r="DI663" s="14">
        <f>INDEX(属性投放!$BL$6:$BL$85,(CV663-2)*20+CZ663)</f>
        <v>175</v>
      </c>
      <c r="DJ663" s="14">
        <f>SUMIFS(DI$5:DI663,$CT$5:$CT663,"="&amp;$CT663)</f>
        <v>2091</v>
      </c>
      <c r="DK663" s="14" t="s">
        <v>540</v>
      </c>
      <c r="DL663" s="14">
        <f>INDEX(属性投放!$BM$6:$BM$85,(CV663-2)*20+CZ663)</f>
        <v>3500</v>
      </c>
      <c r="DM663" s="14">
        <f>SUMIFS(DL$5:DL663,$CT$5:$CT663,"="&amp;$CT663)</f>
        <v>38520</v>
      </c>
      <c r="DR663" s="30"/>
      <c r="DS663" s="30"/>
      <c r="DW663" s="30"/>
      <c r="DX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1067"/>
        <v>13</v>
      </c>
      <c r="CU664" s="13">
        <f t="shared" si="1068"/>
        <v>36</v>
      </c>
      <c r="CV664" s="14">
        <f t="shared" si="1069"/>
        <v>2</v>
      </c>
      <c r="CW664" s="14">
        <f t="shared" si="1070"/>
        <v>1102013</v>
      </c>
      <c r="CX664" s="14" t="str">
        <f>INDEX($O$6:$O$50,CT664)&amp;"-"&amp;INDEX(属性投放!$AB$7:$AB$50,CZ664)&amp;"-魂火-"&amp;DB664</f>
        <v>塞伯罗斯-焦热+2-魂火-3</v>
      </c>
      <c r="CY664" s="25" t="s">
        <v>142</v>
      </c>
      <c r="CZ664" s="14">
        <f>INDEX(属性投放!$AM$7:$AM$58,CU664)</f>
        <v>15</v>
      </c>
      <c r="DA664" s="14" t="s">
        <v>537</v>
      </c>
      <c r="DB664" s="14">
        <f>INDEX(属性投放!$AN$7:$AN$58,CU664)</f>
        <v>3</v>
      </c>
      <c r="DC664" s="14">
        <f t="shared" si="1066"/>
        <v>36</v>
      </c>
      <c r="DD664" s="14">
        <f>INDEX(属性投放!$AO$7:$AO$58,DC664)</f>
        <v>108</v>
      </c>
      <c r="DE664" s="14" t="s">
        <v>538</v>
      </c>
      <c r="DF664" s="14">
        <f>INDEX(属性投放!$BK$6:$BK$85,(CV664-2)*20+CZ664)</f>
        <v>350</v>
      </c>
      <c r="DG664" s="14">
        <f>SUMIFS(DF$5:DF664,$CT$5:$CT664,"="&amp;$CT664)</f>
        <v>4525</v>
      </c>
      <c r="DH664" s="14" t="s">
        <v>539</v>
      </c>
      <c r="DI664" s="14">
        <f>INDEX(属性投放!$BL$6:$BL$85,(CV664-2)*20+CZ664)</f>
        <v>175</v>
      </c>
      <c r="DJ664" s="14">
        <f>SUMIFS(DI$5:DI664,$CT$5:$CT664,"="&amp;$CT664)</f>
        <v>2266</v>
      </c>
      <c r="DK664" s="14" t="s">
        <v>540</v>
      </c>
      <c r="DL664" s="14">
        <f>INDEX(属性投放!$BM$6:$BM$85,(CV664-2)*20+CZ664)</f>
        <v>3500</v>
      </c>
      <c r="DM664" s="14">
        <f>SUMIFS(DL$5:DL664,$CT$5:$CT664,"="&amp;$CT664)</f>
        <v>42020</v>
      </c>
      <c r="DR664" s="30"/>
      <c r="DS664" s="30"/>
      <c r="DW664" s="30"/>
      <c r="DX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1067"/>
        <v>13</v>
      </c>
      <c r="CU665" s="13">
        <f t="shared" si="1068"/>
        <v>37</v>
      </c>
      <c r="CV665" s="14">
        <f t="shared" si="1069"/>
        <v>2</v>
      </c>
      <c r="CW665" s="14">
        <f t="shared" si="1070"/>
        <v>1102013</v>
      </c>
      <c r="CX665" s="14" t="str">
        <f>INDEX($O$6:$O$50,CT665)&amp;"-"&amp;INDEX(属性投放!$AB$7:$AB$50,CZ665)&amp;"-魂火-"&amp;DB665</f>
        <v>塞伯罗斯-大焦热-魂火-1</v>
      </c>
      <c r="CY665" s="25" t="s">
        <v>142</v>
      </c>
      <c r="CZ665" s="14">
        <f>INDEX(属性投放!$AM$7:$AM$58,CU665)</f>
        <v>16</v>
      </c>
      <c r="DA665" s="14" t="s">
        <v>537</v>
      </c>
      <c r="DB665" s="14">
        <f>INDEX(属性投放!$AN$7:$AN$58,CU665)</f>
        <v>1</v>
      </c>
      <c r="DC665" s="14">
        <f t="shared" si="1066"/>
        <v>37</v>
      </c>
      <c r="DD665" s="14">
        <f>INDEX(属性投放!$AO$7:$AO$58,DC665)</f>
        <v>110</v>
      </c>
      <c r="DE665" s="14" t="s">
        <v>538</v>
      </c>
      <c r="DF665" s="14">
        <f>INDEX(属性投放!$BK$6:$BK$85,(CV665-2)*20+CZ665)</f>
        <v>450</v>
      </c>
      <c r="DG665" s="14">
        <f>SUMIFS(DF$5:DF665,$CT$5:$CT665,"="&amp;$CT665)</f>
        <v>4975</v>
      </c>
      <c r="DH665" s="14" t="s">
        <v>539</v>
      </c>
      <c r="DI665" s="14">
        <f>INDEX(属性投放!$BL$6:$BL$85,(CV665-2)*20+CZ665)</f>
        <v>225</v>
      </c>
      <c r="DJ665" s="14">
        <f>SUMIFS(DI$5:DI665,$CT$5:$CT665,"="&amp;$CT665)</f>
        <v>2491</v>
      </c>
      <c r="DK665" s="14" t="s">
        <v>540</v>
      </c>
      <c r="DL665" s="14">
        <f>INDEX(属性投放!$BM$6:$BM$85,(CV665-2)*20+CZ665)</f>
        <v>4500</v>
      </c>
      <c r="DM665" s="14">
        <f>SUMIFS(DL$5:DL665,$CT$5:$CT665,"="&amp;$CT665)</f>
        <v>46520</v>
      </c>
      <c r="DR665" s="30"/>
      <c r="DS665" s="30"/>
      <c r="DW665" s="30"/>
      <c r="DX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1067"/>
        <v>13</v>
      </c>
      <c r="CU666" s="13">
        <f t="shared" si="1068"/>
        <v>38</v>
      </c>
      <c r="CV666" s="14">
        <f t="shared" si="1069"/>
        <v>2</v>
      </c>
      <c r="CW666" s="14">
        <f t="shared" si="1070"/>
        <v>1102013</v>
      </c>
      <c r="CX666" s="14" t="str">
        <f>INDEX($O$6:$O$50,CT666)&amp;"-"&amp;INDEX(属性投放!$AB$7:$AB$50,CZ666)&amp;"-魂火-"&amp;DB666</f>
        <v>塞伯罗斯-大焦热-魂火-2</v>
      </c>
      <c r="CY666" s="25" t="s">
        <v>142</v>
      </c>
      <c r="CZ666" s="14">
        <f>INDEX(属性投放!$AM$7:$AM$58,CU666)</f>
        <v>16</v>
      </c>
      <c r="DA666" s="14" t="s">
        <v>537</v>
      </c>
      <c r="DB666" s="14">
        <f>INDEX(属性投放!$AN$7:$AN$58,CU666)</f>
        <v>2</v>
      </c>
      <c r="DC666" s="14">
        <f t="shared" si="1066"/>
        <v>38</v>
      </c>
      <c r="DD666" s="14">
        <f>INDEX(属性投放!$AO$7:$AO$58,DC666)</f>
        <v>113</v>
      </c>
      <c r="DE666" s="14" t="s">
        <v>538</v>
      </c>
      <c r="DF666" s="14">
        <f>INDEX(属性投放!$BK$6:$BK$85,(CV666-2)*20+CZ666)</f>
        <v>450</v>
      </c>
      <c r="DG666" s="14">
        <f>SUMIFS(DF$5:DF666,$CT$5:$CT666,"="&amp;$CT666)</f>
        <v>5425</v>
      </c>
      <c r="DH666" s="14" t="s">
        <v>539</v>
      </c>
      <c r="DI666" s="14">
        <f>INDEX(属性投放!$BL$6:$BL$85,(CV666-2)*20+CZ666)</f>
        <v>225</v>
      </c>
      <c r="DJ666" s="14">
        <f>SUMIFS(DI$5:DI666,$CT$5:$CT666,"="&amp;$CT666)</f>
        <v>2716</v>
      </c>
      <c r="DK666" s="14" t="s">
        <v>540</v>
      </c>
      <c r="DL666" s="14">
        <f>INDEX(属性投放!$BM$6:$BM$85,(CV666-2)*20+CZ666)</f>
        <v>4500</v>
      </c>
      <c r="DM666" s="14">
        <f>SUMIFS(DL$5:DL666,$CT$5:$CT666,"="&amp;$CT666)</f>
        <v>51020</v>
      </c>
      <c r="DR666" s="30"/>
      <c r="DS666" s="30"/>
      <c r="DW666" s="30"/>
      <c r="DX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1067"/>
        <v>13</v>
      </c>
      <c r="CU667" s="13">
        <f t="shared" si="1068"/>
        <v>39</v>
      </c>
      <c r="CV667" s="14">
        <f t="shared" si="1069"/>
        <v>2</v>
      </c>
      <c r="CW667" s="14">
        <f t="shared" si="1070"/>
        <v>1102013</v>
      </c>
      <c r="CX667" s="14" t="str">
        <f>INDEX($O$6:$O$50,CT667)&amp;"-"&amp;INDEX(属性投放!$AB$7:$AB$50,CZ667)&amp;"-魂火-"&amp;DB667</f>
        <v>塞伯罗斯-大焦热-魂火-3</v>
      </c>
      <c r="CY667" s="25" t="s">
        <v>142</v>
      </c>
      <c r="CZ667" s="14">
        <f>INDEX(属性投放!$AM$7:$AM$58,CU667)</f>
        <v>16</v>
      </c>
      <c r="DA667" s="14" t="s">
        <v>537</v>
      </c>
      <c r="DB667" s="14">
        <f>INDEX(属性投放!$AN$7:$AN$58,CU667)</f>
        <v>3</v>
      </c>
      <c r="DC667" s="14">
        <f t="shared" si="1066"/>
        <v>39</v>
      </c>
      <c r="DD667" s="14">
        <f>INDEX(属性投放!$AO$7:$AO$58,DC667)</f>
        <v>115</v>
      </c>
      <c r="DE667" s="14" t="s">
        <v>538</v>
      </c>
      <c r="DF667" s="14">
        <f>INDEX(属性投放!$BK$6:$BK$85,(CV667-2)*20+CZ667)</f>
        <v>450</v>
      </c>
      <c r="DG667" s="14">
        <f>SUMIFS(DF$5:DF667,$CT$5:$CT667,"="&amp;$CT667)</f>
        <v>5875</v>
      </c>
      <c r="DH667" s="14" t="s">
        <v>539</v>
      </c>
      <c r="DI667" s="14">
        <f>INDEX(属性投放!$BL$6:$BL$85,(CV667-2)*20+CZ667)</f>
        <v>225</v>
      </c>
      <c r="DJ667" s="14">
        <f>SUMIFS(DI$5:DI667,$CT$5:$CT667,"="&amp;$CT667)</f>
        <v>2941</v>
      </c>
      <c r="DK667" s="14" t="s">
        <v>540</v>
      </c>
      <c r="DL667" s="14">
        <f>INDEX(属性投放!$BM$6:$BM$85,(CV667-2)*20+CZ667)</f>
        <v>4500</v>
      </c>
      <c r="DM667" s="14">
        <f>SUMIFS(DL$5:DL667,$CT$5:$CT667,"="&amp;$CT667)</f>
        <v>55520</v>
      </c>
      <c r="DR667" s="30"/>
      <c r="DS667" s="30"/>
      <c r="DW667" s="30"/>
      <c r="DX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1067"/>
        <v>13</v>
      </c>
      <c r="CU668" s="13">
        <f t="shared" si="1068"/>
        <v>40</v>
      </c>
      <c r="CV668" s="14">
        <f t="shared" si="1069"/>
        <v>2</v>
      </c>
      <c r="CW668" s="14">
        <f t="shared" si="1070"/>
        <v>1102013</v>
      </c>
      <c r="CX668" s="14" t="str">
        <f>INDEX($O$6:$O$50,CT668)&amp;"-"&amp;INDEX(属性投放!$AB$7:$AB$50,CZ668)&amp;"-魂火-"&amp;DB668</f>
        <v>塞伯罗斯-大焦热+1-魂火-1</v>
      </c>
      <c r="CY668" s="25" t="s">
        <v>142</v>
      </c>
      <c r="CZ668" s="14">
        <f>INDEX(属性投放!$AM$7:$AM$58,CU668)</f>
        <v>17</v>
      </c>
      <c r="DA668" s="14" t="s">
        <v>537</v>
      </c>
      <c r="DB668" s="14">
        <f>INDEX(属性投放!$AN$7:$AN$58,CU668)</f>
        <v>1</v>
      </c>
      <c r="DC668" s="14">
        <f t="shared" si="1066"/>
        <v>40</v>
      </c>
      <c r="DD668" s="14">
        <f>INDEX(属性投放!$AO$7:$AO$58,DC668)</f>
        <v>118</v>
      </c>
      <c r="DE668" s="14" t="s">
        <v>538</v>
      </c>
      <c r="DF668" s="14">
        <f>INDEX(属性投放!$BK$6:$BK$85,(CV668-2)*20+CZ668)</f>
        <v>550</v>
      </c>
      <c r="DG668" s="14">
        <f>SUMIFS(DF$5:DF668,$CT$5:$CT668,"="&amp;$CT668)</f>
        <v>6425</v>
      </c>
      <c r="DH668" s="14" t="s">
        <v>539</v>
      </c>
      <c r="DI668" s="14">
        <f>INDEX(属性投放!$BL$6:$BL$85,(CV668-2)*20+CZ668)</f>
        <v>275</v>
      </c>
      <c r="DJ668" s="14">
        <f>SUMIFS(DI$5:DI668,$CT$5:$CT668,"="&amp;$CT668)</f>
        <v>3216</v>
      </c>
      <c r="DK668" s="14" t="s">
        <v>540</v>
      </c>
      <c r="DL668" s="14">
        <f>INDEX(属性投放!$BM$6:$BM$85,(CV668-2)*20+CZ668)</f>
        <v>5500</v>
      </c>
      <c r="DM668" s="14">
        <f>SUMIFS(DL$5:DL668,$CT$5:$CT668,"="&amp;$CT668)</f>
        <v>61020</v>
      </c>
      <c r="DR668" s="30"/>
      <c r="DS668" s="30"/>
      <c r="DW668" s="30"/>
      <c r="DX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1067"/>
        <v>13</v>
      </c>
      <c r="CU669" s="13">
        <f t="shared" si="1068"/>
        <v>41</v>
      </c>
      <c r="CV669" s="14">
        <f t="shared" si="1069"/>
        <v>2</v>
      </c>
      <c r="CW669" s="14">
        <f t="shared" si="1070"/>
        <v>1102013</v>
      </c>
      <c r="CX669" s="14" t="str">
        <f>INDEX($O$6:$O$50,CT669)&amp;"-"&amp;INDEX(属性投放!$AB$7:$AB$50,CZ669)&amp;"-魂火-"&amp;DB669</f>
        <v>塞伯罗斯-大焦热+1-魂火-2</v>
      </c>
      <c r="CY669" s="25" t="s">
        <v>142</v>
      </c>
      <c r="CZ669" s="14">
        <f>INDEX(属性投放!$AM$7:$AM$58,CU669)</f>
        <v>17</v>
      </c>
      <c r="DA669" s="14" t="s">
        <v>537</v>
      </c>
      <c r="DB669" s="14">
        <f>INDEX(属性投放!$AN$7:$AN$58,CU669)</f>
        <v>2</v>
      </c>
      <c r="DC669" s="14">
        <f t="shared" si="1066"/>
        <v>41</v>
      </c>
      <c r="DD669" s="14">
        <f>INDEX(属性投放!$AO$7:$AO$58,DC669)</f>
        <v>120</v>
      </c>
      <c r="DE669" s="14" t="s">
        <v>538</v>
      </c>
      <c r="DF669" s="14">
        <f>INDEX(属性投放!$BK$6:$BK$85,(CV669-2)*20+CZ669)</f>
        <v>550</v>
      </c>
      <c r="DG669" s="14">
        <f>SUMIFS(DF$5:DF669,$CT$5:$CT669,"="&amp;$CT669)</f>
        <v>6975</v>
      </c>
      <c r="DH669" s="14" t="s">
        <v>539</v>
      </c>
      <c r="DI669" s="14">
        <f>INDEX(属性投放!$BL$6:$BL$85,(CV669-2)*20+CZ669)</f>
        <v>275</v>
      </c>
      <c r="DJ669" s="14">
        <f>SUMIFS(DI$5:DI669,$CT$5:$CT669,"="&amp;$CT669)</f>
        <v>3491</v>
      </c>
      <c r="DK669" s="14" t="s">
        <v>540</v>
      </c>
      <c r="DL669" s="14">
        <f>INDEX(属性投放!$BM$6:$BM$85,(CV669-2)*20+CZ669)</f>
        <v>5500</v>
      </c>
      <c r="DM669" s="14">
        <f>SUMIFS(DL$5:DL669,$CT$5:$CT669,"="&amp;$CT669)</f>
        <v>66520</v>
      </c>
      <c r="DR669" s="30"/>
      <c r="DS669" s="30"/>
      <c r="DW669" s="30"/>
      <c r="DX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1067"/>
        <v>13</v>
      </c>
      <c r="CU670" s="13">
        <f t="shared" si="1068"/>
        <v>42</v>
      </c>
      <c r="CV670" s="14">
        <f t="shared" si="1069"/>
        <v>2</v>
      </c>
      <c r="CW670" s="14">
        <f t="shared" si="1070"/>
        <v>1102013</v>
      </c>
      <c r="CX670" s="14" t="str">
        <f>INDEX($O$6:$O$50,CT670)&amp;"-"&amp;INDEX(属性投放!$AB$7:$AB$50,CZ670)&amp;"-魂火-"&amp;DB670</f>
        <v>塞伯罗斯-大焦热+1-魂火-3</v>
      </c>
      <c r="CY670" s="25" t="s">
        <v>142</v>
      </c>
      <c r="CZ670" s="14">
        <f>INDEX(属性投放!$AM$7:$AM$58,CU670)</f>
        <v>17</v>
      </c>
      <c r="DA670" s="14" t="s">
        <v>537</v>
      </c>
      <c r="DB670" s="14">
        <f>INDEX(属性投放!$AN$7:$AN$58,CU670)</f>
        <v>3</v>
      </c>
      <c r="DC670" s="14">
        <f t="shared" si="1066"/>
        <v>42</v>
      </c>
      <c r="DD670" s="14">
        <f>INDEX(属性投放!$AO$7:$AO$58,DC670)</f>
        <v>123</v>
      </c>
      <c r="DE670" s="14" t="s">
        <v>538</v>
      </c>
      <c r="DF670" s="14">
        <f>INDEX(属性投放!$BK$6:$BK$85,(CV670-2)*20+CZ670)</f>
        <v>550</v>
      </c>
      <c r="DG670" s="14">
        <f>SUMIFS(DF$5:DF670,$CT$5:$CT670,"="&amp;$CT670)</f>
        <v>7525</v>
      </c>
      <c r="DH670" s="14" t="s">
        <v>539</v>
      </c>
      <c r="DI670" s="14">
        <f>INDEX(属性投放!$BL$6:$BL$85,(CV670-2)*20+CZ670)</f>
        <v>275</v>
      </c>
      <c r="DJ670" s="14">
        <f>SUMIFS(DI$5:DI670,$CT$5:$CT670,"="&amp;$CT670)</f>
        <v>3766</v>
      </c>
      <c r="DK670" s="14" t="s">
        <v>540</v>
      </c>
      <c r="DL670" s="14">
        <f>INDEX(属性投放!$BM$6:$BM$85,(CV670-2)*20+CZ670)</f>
        <v>5500</v>
      </c>
      <c r="DM670" s="14">
        <f>SUMIFS(DL$5:DL670,$CT$5:$CT670,"="&amp;$CT670)</f>
        <v>72020</v>
      </c>
      <c r="DR670" s="30"/>
      <c r="DS670" s="30"/>
      <c r="DW670" s="30"/>
      <c r="DX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1067"/>
        <v>13</v>
      </c>
      <c r="CU671" s="13">
        <f t="shared" si="1068"/>
        <v>43</v>
      </c>
      <c r="CV671" s="14">
        <f t="shared" si="1069"/>
        <v>2</v>
      </c>
      <c r="CW671" s="14">
        <f t="shared" si="1070"/>
        <v>1102013</v>
      </c>
      <c r="CX671" s="14" t="str">
        <f>INDEX($O$6:$O$50,CT671)&amp;"-"&amp;INDEX(属性投放!$AB$7:$AB$50,CZ671)&amp;"-魂火-"&amp;DB671</f>
        <v>塞伯罗斯-大焦热+2-魂火-1</v>
      </c>
      <c r="CY671" s="25" t="s">
        <v>142</v>
      </c>
      <c r="CZ671" s="14">
        <f>INDEX(属性投放!$AM$7:$AM$58,CU671)</f>
        <v>18</v>
      </c>
      <c r="DA671" s="14" t="s">
        <v>537</v>
      </c>
      <c r="DB671" s="14">
        <f>INDEX(属性投放!$AN$7:$AN$58,CU671)</f>
        <v>1</v>
      </c>
      <c r="DC671" s="14">
        <f t="shared" si="1066"/>
        <v>43</v>
      </c>
      <c r="DD671" s="14">
        <f>INDEX(属性投放!$AO$7:$AO$58,DC671)</f>
        <v>125</v>
      </c>
      <c r="DE671" s="14" t="s">
        <v>538</v>
      </c>
      <c r="DF671" s="14">
        <f>INDEX(属性投放!$BK$6:$BK$85,(CV671-2)*20+CZ671)</f>
        <v>680</v>
      </c>
      <c r="DG671" s="14">
        <f>SUMIFS(DF$5:DF671,$CT$5:$CT671,"="&amp;$CT671)</f>
        <v>8205</v>
      </c>
      <c r="DH671" s="14" t="s">
        <v>539</v>
      </c>
      <c r="DI671" s="14">
        <f>INDEX(属性投放!$BL$6:$BL$85,(CV671-2)*20+CZ671)</f>
        <v>340</v>
      </c>
      <c r="DJ671" s="14">
        <f>SUMIFS(DI$5:DI671,$CT$5:$CT671,"="&amp;$CT671)</f>
        <v>4106</v>
      </c>
      <c r="DK671" s="14" t="s">
        <v>540</v>
      </c>
      <c r="DL671" s="14">
        <f>INDEX(属性投放!$BM$6:$BM$85,(CV671-2)*20+CZ671)</f>
        <v>6800</v>
      </c>
      <c r="DM671" s="14">
        <f>SUMIFS(DL$5:DL671,$CT$5:$CT671,"="&amp;$CT671)</f>
        <v>78820</v>
      </c>
      <c r="DR671" s="30"/>
      <c r="DS671" s="30"/>
      <c r="DW671" s="30"/>
      <c r="DX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1067"/>
        <v>13</v>
      </c>
      <c r="CU672" s="13">
        <f t="shared" si="1068"/>
        <v>44</v>
      </c>
      <c r="CV672" s="14">
        <f t="shared" si="1069"/>
        <v>2</v>
      </c>
      <c r="CW672" s="14">
        <f t="shared" si="1070"/>
        <v>1102013</v>
      </c>
      <c r="CX672" s="14" t="str">
        <f>INDEX($O$6:$O$50,CT672)&amp;"-"&amp;INDEX(属性投放!$AB$7:$AB$50,CZ672)&amp;"-魂火-"&amp;DB672</f>
        <v>塞伯罗斯-大焦热+2-魂火-2</v>
      </c>
      <c r="CY672" s="25" t="s">
        <v>142</v>
      </c>
      <c r="CZ672" s="14">
        <f>INDEX(属性投放!$AM$7:$AM$58,CU672)</f>
        <v>18</v>
      </c>
      <c r="DA672" s="14" t="s">
        <v>537</v>
      </c>
      <c r="DB672" s="14">
        <f>INDEX(属性投放!$AN$7:$AN$58,CU672)</f>
        <v>2</v>
      </c>
      <c r="DC672" s="14">
        <f t="shared" si="1066"/>
        <v>44</v>
      </c>
      <c r="DD672" s="14">
        <f>INDEX(属性投放!$AO$7:$AO$58,DC672)</f>
        <v>128</v>
      </c>
      <c r="DE672" s="14" t="s">
        <v>538</v>
      </c>
      <c r="DF672" s="14">
        <f>INDEX(属性投放!$BK$6:$BK$85,(CV672-2)*20+CZ672)</f>
        <v>680</v>
      </c>
      <c r="DG672" s="14">
        <f>SUMIFS(DF$5:DF672,$CT$5:$CT672,"="&amp;$CT672)</f>
        <v>8885</v>
      </c>
      <c r="DH672" s="14" t="s">
        <v>539</v>
      </c>
      <c r="DI672" s="14">
        <f>INDEX(属性投放!$BL$6:$BL$85,(CV672-2)*20+CZ672)</f>
        <v>340</v>
      </c>
      <c r="DJ672" s="14">
        <f>SUMIFS(DI$5:DI672,$CT$5:$CT672,"="&amp;$CT672)</f>
        <v>4446</v>
      </c>
      <c r="DK672" s="14" t="s">
        <v>540</v>
      </c>
      <c r="DL672" s="14">
        <f>INDEX(属性投放!$BM$6:$BM$85,(CV672-2)*20+CZ672)</f>
        <v>6800</v>
      </c>
      <c r="DM672" s="14">
        <f>SUMIFS(DL$5:DL672,$CT$5:$CT672,"="&amp;$CT672)</f>
        <v>85620</v>
      </c>
      <c r="DR672" s="30"/>
      <c r="DS672" s="30"/>
      <c r="DW672" s="30"/>
      <c r="DX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1067"/>
        <v>13</v>
      </c>
      <c r="CU673" s="13">
        <f t="shared" si="1068"/>
        <v>45</v>
      </c>
      <c r="CV673" s="14">
        <f t="shared" si="1069"/>
        <v>2</v>
      </c>
      <c r="CW673" s="14">
        <f t="shared" si="1070"/>
        <v>1102013</v>
      </c>
      <c r="CX673" s="14" t="str">
        <f>INDEX($O$6:$O$50,CT673)&amp;"-"&amp;INDEX(属性投放!$AB$7:$AB$50,CZ673)&amp;"-魂火-"&amp;DB673</f>
        <v>塞伯罗斯-大焦热+2-魂火-3</v>
      </c>
      <c r="CY673" s="25" t="s">
        <v>142</v>
      </c>
      <c r="CZ673" s="14">
        <f>INDEX(属性投放!$AM$7:$AM$58,CU673)</f>
        <v>18</v>
      </c>
      <c r="DA673" s="14" t="s">
        <v>537</v>
      </c>
      <c r="DB673" s="14">
        <f>INDEX(属性投放!$AN$7:$AN$58,CU673)</f>
        <v>3</v>
      </c>
      <c r="DC673" s="14">
        <f t="shared" si="1066"/>
        <v>45</v>
      </c>
      <c r="DD673" s="14">
        <f>INDEX(属性投放!$AO$7:$AO$58,DC673)</f>
        <v>130</v>
      </c>
      <c r="DE673" s="14" t="s">
        <v>538</v>
      </c>
      <c r="DF673" s="14">
        <f>INDEX(属性投放!$BK$6:$BK$85,(CV673-2)*20+CZ673)</f>
        <v>680</v>
      </c>
      <c r="DG673" s="14">
        <f>SUMIFS(DF$5:DF673,$CT$5:$CT673,"="&amp;$CT673)</f>
        <v>9565</v>
      </c>
      <c r="DH673" s="14" t="s">
        <v>539</v>
      </c>
      <c r="DI673" s="14">
        <f>INDEX(属性投放!$BL$6:$BL$85,(CV673-2)*20+CZ673)</f>
        <v>340</v>
      </c>
      <c r="DJ673" s="14">
        <f>SUMIFS(DI$5:DI673,$CT$5:$CT673,"="&amp;$CT673)</f>
        <v>4786</v>
      </c>
      <c r="DK673" s="14" t="s">
        <v>540</v>
      </c>
      <c r="DL673" s="14">
        <f>INDEX(属性投放!$BM$6:$BM$85,(CV673-2)*20+CZ673)</f>
        <v>6800</v>
      </c>
      <c r="DM673" s="14">
        <f>SUMIFS(DL$5:DL673,$CT$5:$CT673,"="&amp;$CT673)</f>
        <v>92420</v>
      </c>
      <c r="DR673" s="30"/>
      <c r="DS673" s="30"/>
      <c r="DW673" s="30"/>
      <c r="DX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1067"/>
        <v>13</v>
      </c>
      <c r="CU674" s="13">
        <f t="shared" si="1068"/>
        <v>46</v>
      </c>
      <c r="CV674" s="14">
        <f t="shared" si="1069"/>
        <v>2</v>
      </c>
      <c r="CW674" s="14">
        <f t="shared" si="1070"/>
        <v>1102013</v>
      </c>
      <c r="CX674" s="14" t="str">
        <f>INDEX($O$6:$O$50,CT674)&amp;"-"&amp;INDEX(属性投放!$AB$7:$AB$50,CZ674)&amp;"-魂火-"&amp;DB674</f>
        <v>塞伯罗斯-无间-魂火-1</v>
      </c>
      <c r="CY674" s="25" t="s">
        <v>142</v>
      </c>
      <c r="CZ674" s="14">
        <f>INDEX(属性投放!$AM$7:$AM$58,CU674)</f>
        <v>19</v>
      </c>
      <c r="DA674" s="14" t="s">
        <v>537</v>
      </c>
      <c r="DB674" s="14">
        <f>INDEX(属性投放!$AN$7:$AN$58,CU674)</f>
        <v>1</v>
      </c>
      <c r="DC674" s="14">
        <f t="shared" si="1066"/>
        <v>46</v>
      </c>
      <c r="DD674" s="14">
        <f>INDEX(属性投放!$AO$7:$AO$58,DC674)</f>
        <v>133</v>
      </c>
      <c r="DE674" s="14" t="s">
        <v>538</v>
      </c>
      <c r="DF674" s="14">
        <f>INDEX(属性投放!$BK$6:$BK$85,(CV674-2)*20+CZ674)</f>
        <v>850</v>
      </c>
      <c r="DG674" s="14">
        <f>SUMIFS(DF$5:DF674,$CT$5:$CT674,"="&amp;$CT674)</f>
        <v>10415</v>
      </c>
      <c r="DH674" s="14" t="s">
        <v>539</v>
      </c>
      <c r="DI674" s="14">
        <f>INDEX(属性投放!$BL$6:$BL$85,(CV674-2)*20+CZ674)</f>
        <v>425</v>
      </c>
      <c r="DJ674" s="14">
        <f>SUMIFS(DI$5:DI674,$CT$5:$CT674,"="&amp;$CT674)</f>
        <v>5211</v>
      </c>
      <c r="DK674" s="14" t="s">
        <v>540</v>
      </c>
      <c r="DL674" s="14">
        <f>INDEX(属性投放!$BM$6:$BM$85,(CV674-2)*20+CZ674)</f>
        <v>8500</v>
      </c>
      <c r="DM674" s="14">
        <f>SUMIFS(DL$5:DL674,$CT$5:$CT674,"="&amp;$CT674)</f>
        <v>100920</v>
      </c>
      <c r="DR674" s="30"/>
      <c r="DS674" s="30"/>
      <c r="DW674" s="30"/>
      <c r="DX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1067"/>
        <v>13</v>
      </c>
      <c r="CU675" s="13">
        <f t="shared" si="1068"/>
        <v>47</v>
      </c>
      <c r="CV675" s="14">
        <f t="shared" si="1069"/>
        <v>2</v>
      </c>
      <c r="CW675" s="14">
        <f t="shared" si="1070"/>
        <v>1102013</v>
      </c>
      <c r="CX675" s="14" t="str">
        <f>INDEX($O$6:$O$50,CT675)&amp;"-"&amp;INDEX(属性投放!$AB$7:$AB$50,CZ675)&amp;"-魂火-"&amp;DB675</f>
        <v>塞伯罗斯-无间-魂火-2</v>
      </c>
      <c r="CY675" s="25" t="s">
        <v>142</v>
      </c>
      <c r="CZ675" s="14">
        <f>INDEX(属性投放!$AM$7:$AM$58,CU675)</f>
        <v>19</v>
      </c>
      <c r="DA675" s="14" t="s">
        <v>537</v>
      </c>
      <c r="DB675" s="14">
        <f>INDEX(属性投放!$AN$7:$AN$58,CU675)</f>
        <v>2</v>
      </c>
      <c r="DC675" s="14">
        <f t="shared" si="1066"/>
        <v>47</v>
      </c>
      <c r="DD675" s="14">
        <f>INDEX(属性投放!$AO$7:$AO$58,DC675)</f>
        <v>135</v>
      </c>
      <c r="DE675" s="14" t="s">
        <v>538</v>
      </c>
      <c r="DF675" s="14">
        <f>INDEX(属性投放!$BK$6:$BK$85,(CV675-2)*20+CZ675)</f>
        <v>850</v>
      </c>
      <c r="DG675" s="14">
        <f>SUMIFS(DF$5:DF675,$CT$5:$CT675,"="&amp;$CT675)</f>
        <v>11265</v>
      </c>
      <c r="DH675" s="14" t="s">
        <v>539</v>
      </c>
      <c r="DI675" s="14">
        <f>INDEX(属性投放!$BL$6:$BL$85,(CV675-2)*20+CZ675)</f>
        <v>425</v>
      </c>
      <c r="DJ675" s="14">
        <f>SUMIFS(DI$5:DI675,$CT$5:$CT675,"="&amp;$CT675)</f>
        <v>5636</v>
      </c>
      <c r="DK675" s="14" t="s">
        <v>540</v>
      </c>
      <c r="DL675" s="14">
        <f>INDEX(属性投放!$BM$6:$BM$85,(CV675-2)*20+CZ675)</f>
        <v>8500</v>
      </c>
      <c r="DM675" s="14">
        <f>SUMIFS(DL$5:DL675,$CT$5:$CT675,"="&amp;$CT675)</f>
        <v>109420</v>
      </c>
      <c r="DR675" s="30"/>
      <c r="DS675" s="30"/>
      <c r="DW675" s="30"/>
      <c r="DX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1067"/>
        <v>13</v>
      </c>
      <c r="CU676" s="13">
        <f t="shared" si="1068"/>
        <v>48</v>
      </c>
      <c r="CV676" s="14">
        <f t="shared" si="1069"/>
        <v>2</v>
      </c>
      <c r="CW676" s="14">
        <f t="shared" si="1070"/>
        <v>1102013</v>
      </c>
      <c r="CX676" s="14" t="str">
        <f>INDEX($O$6:$O$50,CT676)&amp;"-"&amp;INDEX(属性投放!$AB$7:$AB$50,CZ676)&amp;"-魂火-"&amp;DB676</f>
        <v>塞伯罗斯-无间-魂火-3</v>
      </c>
      <c r="CY676" s="25" t="s">
        <v>142</v>
      </c>
      <c r="CZ676" s="14">
        <f>INDEX(属性投放!$AM$7:$AM$58,CU676)</f>
        <v>19</v>
      </c>
      <c r="DA676" s="14" t="s">
        <v>537</v>
      </c>
      <c r="DB676" s="14">
        <f>INDEX(属性投放!$AN$7:$AN$58,CU676)</f>
        <v>3</v>
      </c>
      <c r="DC676" s="14">
        <f t="shared" si="1066"/>
        <v>48</v>
      </c>
      <c r="DD676" s="14">
        <f>INDEX(属性投放!$AO$7:$AO$58,DC676)</f>
        <v>138</v>
      </c>
      <c r="DE676" s="14" t="s">
        <v>538</v>
      </c>
      <c r="DF676" s="14">
        <f>INDEX(属性投放!$BK$6:$BK$85,(CV676-2)*20+CZ676)</f>
        <v>850</v>
      </c>
      <c r="DG676" s="14">
        <f>SUMIFS(DF$5:DF676,$CT$5:$CT676,"="&amp;$CT676)</f>
        <v>12115</v>
      </c>
      <c r="DH676" s="14" t="s">
        <v>539</v>
      </c>
      <c r="DI676" s="14">
        <f>INDEX(属性投放!$BL$6:$BL$85,(CV676-2)*20+CZ676)</f>
        <v>425</v>
      </c>
      <c r="DJ676" s="14">
        <f>SUMIFS(DI$5:DI676,$CT$5:$CT676,"="&amp;$CT676)</f>
        <v>6061</v>
      </c>
      <c r="DK676" s="14" t="s">
        <v>540</v>
      </c>
      <c r="DL676" s="14">
        <f>INDEX(属性投放!$BM$6:$BM$85,(CV676-2)*20+CZ676)</f>
        <v>8500</v>
      </c>
      <c r="DM676" s="14">
        <f>SUMIFS(DL$5:DL676,$CT$5:$CT676,"="&amp;$CT676)</f>
        <v>117920</v>
      </c>
      <c r="DR676" s="30"/>
      <c r="DS676" s="30"/>
      <c r="DW676" s="30"/>
      <c r="DX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1067"/>
        <v>13</v>
      </c>
      <c r="CU677" s="13">
        <f t="shared" si="1068"/>
        <v>49</v>
      </c>
      <c r="CV677" s="14">
        <f t="shared" si="1069"/>
        <v>2</v>
      </c>
      <c r="CW677" s="14">
        <f t="shared" si="1070"/>
        <v>1102013</v>
      </c>
      <c r="CX677" s="14" t="str">
        <f>INDEX($O$6:$O$50,CT677)&amp;"-"&amp;INDEX(属性投放!$AB$7:$AB$50,CZ677)&amp;"-魂火-"&amp;DB677</f>
        <v>塞伯罗斯-无间+1-魂火-1</v>
      </c>
      <c r="CY677" s="25" t="s">
        <v>142</v>
      </c>
      <c r="CZ677" s="14">
        <f>INDEX(属性投放!$AM$7:$AM$58,CU677)</f>
        <v>20</v>
      </c>
      <c r="DA677" s="14" t="s">
        <v>537</v>
      </c>
      <c r="DB677" s="14">
        <f>INDEX(属性投放!$AN$7:$AN$58,CU677)</f>
        <v>1</v>
      </c>
      <c r="DC677" s="14">
        <f t="shared" si="1066"/>
        <v>49</v>
      </c>
      <c r="DD677" s="14">
        <f>INDEX(属性投放!$AO$7:$AO$58,DC677)</f>
        <v>140</v>
      </c>
      <c r="DE677" s="14" t="s">
        <v>538</v>
      </c>
      <c r="DF677" s="14">
        <f>INDEX(属性投放!$BK$6:$BK$85,(CV677-2)*20+CZ677)</f>
        <v>1000</v>
      </c>
      <c r="DG677" s="14">
        <f>SUMIFS(DF$5:DF677,$CT$5:$CT677,"="&amp;$CT677)</f>
        <v>13115</v>
      </c>
      <c r="DH677" s="14" t="s">
        <v>539</v>
      </c>
      <c r="DI677" s="14">
        <f>INDEX(属性投放!$BL$6:$BL$85,(CV677-2)*20+CZ677)</f>
        <v>500</v>
      </c>
      <c r="DJ677" s="14">
        <f>SUMIFS(DI$5:DI677,$CT$5:$CT677,"="&amp;$CT677)</f>
        <v>6561</v>
      </c>
      <c r="DK677" s="14" t="s">
        <v>540</v>
      </c>
      <c r="DL677" s="14">
        <f>INDEX(属性投放!$BM$6:$BM$85,(CV677-2)*20+CZ677)</f>
        <v>10000</v>
      </c>
      <c r="DM677" s="14">
        <f>SUMIFS(DL$5:DL677,$CT$5:$CT677,"="&amp;$CT677)</f>
        <v>127920</v>
      </c>
      <c r="DR677" s="30"/>
      <c r="DS677" s="30"/>
      <c r="DW677" s="30"/>
      <c r="DX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1067"/>
        <v>13</v>
      </c>
      <c r="CU678" s="13">
        <f t="shared" si="1068"/>
        <v>50</v>
      </c>
      <c r="CV678" s="14">
        <f t="shared" si="1069"/>
        <v>2</v>
      </c>
      <c r="CW678" s="14">
        <f t="shared" si="1070"/>
        <v>1102013</v>
      </c>
      <c r="CX678" s="14" t="str">
        <f>INDEX($O$6:$O$50,CT678)&amp;"-"&amp;INDEX(属性投放!$AB$7:$AB$50,CZ678)&amp;"-魂火-"&amp;DB678</f>
        <v>塞伯罗斯-无间+1-魂火-2</v>
      </c>
      <c r="CY678" s="25" t="s">
        <v>142</v>
      </c>
      <c r="CZ678" s="14">
        <f>INDEX(属性投放!$AM$7:$AM$58,CU678)</f>
        <v>20</v>
      </c>
      <c r="DA678" s="14" t="s">
        <v>537</v>
      </c>
      <c r="DB678" s="14">
        <f>INDEX(属性投放!$AN$7:$AN$58,CU678)</f>
        <v>2</v>
      </c>
      <c r="DC678" s="14">
        <f t="shared" si="1066"/>
        <v>50</v>
      </c>
      <c r="DD678" s="14">
        <f>INDEX(属性投放!$AO$7:$AO$58,DC678)</f>
        <v>143</v>
      </c>
      <c r="DE678" s="14" t="s">
        <v>538</v>
      </c>
      <c r="DF678" s="14">
        <f>INDEX(属性投放!$BK$6:$BK$85,(CV678-2)*20+CZ678)</f>
        <v>1000</v>
      </c>
      <c r="DG678" s="14">
        <f>SUMIFS(DF$5:DF678,$CT$5:$CT678,"="&amp;$CT678)</f>
        <v>14115</v>
      </c>
      <c r="DH678" s="14" t="s">
        <v>539</v>
      </c>
      <c r="DI678" s="14">
        <f>INDEX(属性投放!$BL$6:$BL$85,(CV678-2)*20+CZ678)</f>
        <v>500</v>
      </c>
      <c r="DJ678" s="14">
        <f>SUMIFS(DI$5:DI678,$CT$5:$CT678,"="&amp;$CT678)</f>
        <v>7061</v>
      </c>
      <c r="DK678" s="14" t="s">
        <v>540</v>
      </c>
      <c r="DL678" s="14">
        <f>INDEX(属性投放!$BM$6:$BM$85,(CV678-2)*20+CZ678)</f>
        <v>10000</v>
      </c>
      <c r="DM678" s="14">
        <f>SUMIFS(DL$5:DL678,$CT$5:$CT678,"="&amp;$CT678)</f>
        <v>137920</v>
      </c>
      <c r="DR678" s="30"/>
      <c r="DS678" s="30"/>
      <c r="DW678" s="30"/>
      <c r="DX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1067"/>
        <v>13</v>
      </c>
      <c r="CU679" s="13">
        <f t="shared" si="1068"/>
        <v>51</v>
      </c>
      <c r="CV679" s="14">
        <f t="shared" si="1069"/>
        <v>2</v>
      </c>
      <c r="CW679" s="14">
        <f t="shared" si="1070"/>
        <v>1102013</v>
      </c>
      <c r="CX679" s="14" t="str">
        <f>INDEX($O$6:$O$50,CT679)&amp;"-"&amp;INDEX(属性投放!$AB$7:$AB$50,CZ679)&amp;"-魂火-"&amp;DB679</f>
        <v>塞伯罗斯-无间+1-魂火-3</v>
      </c>
      <c r="CY679" s="25" t="s">
        <v>142</v>
      </c>
      <c r="CZ679" s="14">
        <f>INDEX(属性投放!$AM$7:$AM$58,CU679)</f>
        <v>20</v>
      </c>
      <c r="DA679" s="14" t="s">
        <v>537</v>
      </c>
      <c r="DB679" s="14">
        <f>INDEX(属性投放!$AN$7:$AN$58,CU679)</f>
        <v>3</v>
      </c>
      <c r="DC679" s="14">
        <f t="shared" si="1066"/>
        <v>51</v>
      </c>
      <c r="DD679" s="14">
        <f>INDEX(属性投放!$AO$7:$AO$58,DC679)</f>
        <v>145</v>
      </c>
      <c r="DE679" s="14" t="s">
        <v>538</v>
      </c>
      <c r="DF679" s="14">
        <f>INDEX(属性投放!$BK$6:$BK$85,(CV679-2)*20+CZ679)</f>
        <v>1000</v>
      </c>
      <c r="DG679" s="14">
        <f>SUMIFS(DF$5:DF679,$CT$5:$CT679,"="&amp;$CT679)</f>
        <v>15115</v>
      </c>
      <c r="DH679" s="14" t="s">
        <v>539</v>
      </c>
      <c r="DI679" s="14">
        <f>INDEX(属性投放!$BL$6:$BL$85,(CV679-2)*20+CZ679)</f>
        <v>500</v>
      </c>
      <c r="DJ679" s="14">
        <f>SUMIFS(DI$5:DI679,$CT$5:$CT679,"="&amp;$CT679)</f>
        <v>7561</v>
      </c>
      <c r="DK679" s="14" t="s">
        <v>540</v>
      </c>
      <c r="DL679" s="14">
        <f>INDEX(属性投放!$BM$6:$BM$85,(CV679-2)*20+CZ679)</f>
        <v>10000</v>
      </c>
      <c r="DM679" s="14">
        <f>SUMIFS(DL$5:DL679,$CT$5:$CT679,"="&amp;$CT679)</f>
        <v>147920</v>
      </c>
      <c r="DR679" s="30"/>
      <c r="DS679" s="30"/>
      <c r="DW679" s="30"/>
      <c r="DX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1067"/>
        <v>13</v>
      </c>
      <c r="CU680" s="13">
        <f t="shared" si="1068"/>
        <v>52</v>
      </c>
      <c r="CV680" s="14">
        <f t="shared" si="1069"/>
        <v>2</v>
      </c>
      <c r="CW680" s="14">
        <f t="shared" si="1070"/>
        <v>1102013</v>
      </c>
      <c r="CX680" s="14" t="str">
        <f>INDEX($O$6:$O$50,CT680)&amp;"-"&amp;INDEX(属性投放!$AB$7:$AB$50,CZ680)&amp;"-魂火-"&amp;DB680</f>
        <v>塞伯罗斯-无间+1-魂火-4</v>
      </c>
      <c r="CY680" s="25" t="s">
        <v>142</v>
      </c>
      <c r="CZ680" s="14">
        <f>INDEX(属性投放!$AM$7:$AM$58,CU680)</f>
        <v>20</v>
      </c>
      <c r="DA680" s="14" t="s">
        <v>537</v>
      </c>
      <c r="DB680" s="14">
        <f>INDEX(属性投放!$AN$7:$AN$58,CU680)</f>
        <v>4</v>
      </c>
      <c r="DC680" s="14">
        <f t="shared" si="1066"/>
        <v>52</v>
      </c>
      <c r="DD680" s="14">
        <f>INDEX(属性投放!$AO$7:$AO$58,DC680)</f>
        <v>148</v>
      </c>
      <c r="DE680" s="14" t="s">
        <v>538</v>
      </c>
      <c r="DF680" s="14">
        <f>INDEX(属性投放!$BK$6:$BK$85,(CV680-2)*20+CZ680)</f>
        <v>1000</v>
      </c>
      <c r="DG680" s="14">
        <f>SUMIFS(DF$5:DF680,$CT$5:$CT680,"="&amp;$CT680)</f>
        <v>16115</v>
      </c>
      <c r="DH680" s="14" t="s">
        <v>539</v>
      </c>
      <c r="DI680" s="14">
        <f>INDEX(属性投放!$BL$6:$BL$85,(CV680-2)*20+CZ680)</f>
        <v>500</v>
      </c>
      <c r="DJ680" s="14">
        <f>SUMIFS(DI$5:DI680,$CT$5:$CT680,"="&amp;$CT680)</f>
        <v>8061</v>
      </c>
      <c r="DK680" s="14" t="s">
        <v>540</v>
      </c>
      <c r="DL680" s="14">
        <f>INDEX(属性投放!$BM$6:$BM$85,(CV680-2)*20+CZ680)</f>
        <v>10000</v>
      </c>
      <c r="DM680" s="14">
        <f>SUMIFS(DL$5:DL680,$CT$5:$CT680,"="&amp;$CT680)</f>
        <v>157920</v>
      </c>
      <c r="DR680" s="30"/>
      <c r="DS680" s="30"/>
      <c r="DW680" s="30"/>
      <c r="DX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1067"/>
        <v>14</v>
      </c>
      <c r="CU681" s="13">
        <f t="shared" si="1068"/>
        <v>1</v>
      </c>
      <c r="CV681" s="14">
        <f t="shared" si="1069"/>
        <v>3</v>
      </c>
      <c r="CW681" s="14">
        <f t="shared" si="1070"/>
        <v>1102014</v>
      </c>
      <c r="CX681" s="14" t="str">
        <f>INDEX($O$6:$O$50,CT681)&amp;"-"&amp;INDEX(属性投放!$AB$7:$AB$50,CZ681)&amp;"-魂火-"&amp;DB681</f>
        <v>石灵明-等活-魂火-1</v>
      </c>
      <c r="CY681" s="25" t="s">
        <v>142</v>
      </c>
      <c r="CZ681" s="14">
        <f>INDEX(属性投放!$AM$7:$AM$58,CU681)</f>
        <v>1</v>
      </c>
      <c r="DA681" s="14" t="s">
        <v>537</v>
      </c>
      <c r="DB681" s="14">
        <f>INDEX(属性投放!$AN$7:$AN$58,CU681)</f>
        <v>1</v>
      </c>
      <c r="DC681" s="14">
        <f t="shared" si="1066"/>
        <v>1</v>
      </c>
      <c r="DD681" s="14">
        <f>INDEX(属性投放!$AO$7:$AO$58,DC681)</f>
        <v>3</v>
      </c>
      <c r="DE681" s="14" t="s">
        <v>538</v>
      </c>
      <c r="DF681" s="14">
        <f>INDEX(属性投放!$BK$6:$BK$85,(CV681-2)*20+CZ681)</f>
        <v>20</v>
      </c>
      <c r="DG681" s="14">
        <f>SUMIFS(DF$5:DF681,$CT$5:$CT681,"="&amp;$CT681)</f>
        <v>20</v>
      </c>
      <c r="DH681" s="14" t="s">
        <v>539</v>
      </c>
      <c r="DI681" s="14">
        <f>INDEX(属性投放!$BL$6:$BL$85,(CV681-2)*20+CZ681)</f>
        <v>10</v>
      </c>
      <c r="DJ681" s="14">
        <f>SUMIFS(DI$5:DI681,$CT$5:$CT681,"="&amp;$CT681)</f>
        <v>10</v>
      </c>
      <c r="DK681" s="14" t="s">
        <v>540</v>
      </c>
      <c r="DL681" s="14">
        <f>INDEX(属性投放!$BM$6:$BM$85,(CV681-2)*20+CZ681)</f>
        <v>120</v>
      </c>
      <c r="DM681" s="14">
        <f>SUMIFS(DL$5:DL681,$CT$5:$CT681,"="&amp;$CT681)</f>
        <v>120</v>
      </c>
      <c r="DR681" s="30"/>
      <c r="DS681" s="30"/>
      <c r="DW681" s="30"/>
      <c r="DX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1067"/>
        <v>14</v>
      </c>
      <c r="CU682" s="13">
        <f t="shared" si="1068"/>
        <v>2</v>
      </c>
      <c r="CV682" s="14">
        <f t="shared" si="1069"/>
        <v>3</v>
      </c>
      <c r="CW682" s="14">
        <f t="shared" si="1070"/>
        <v>1102014</v>
      </c>
      <c r="CX682" s="14" t="str">
        <f>INDEX($O$6:$O$50,CT682)&amp;"-"&amp;INDEX(属性投放!$AB$7:$AB$50,CZ682)&amp;"-魂火-"&amp;DB682</f>
        <v>石灵明-黑绳-魂火-1</v>
      </c>
      <c r="CY682" s="25" t="s">
        <v>142</v>
      </c>
      <c r="CZ682" s="14">
        <f>INDEX(属性投放!$AM$7:$AM$58,CU682)</f>
        <v>2</v>
      </c>
      <c r="DA682" s="14" t="s">
        <v>537</v>
      </c>
      <c r="DB682" s="14">
        <f>INDEX(属性投放!$AN$7:$AN$58,CU682)</f>
        <v>1</v>
      </c>
      <c r="DC682" s="14">
        <f t="shared" si="1066"/>
        <v>2</v>
      </c>
      <c r="DD682" s="14">
        <f>INDEX(属性投放!$AO$7:$AO$58,DC682)</f>
        <v>8</v>
      </c>
      <c r="DE682" s="14" t="s">
        <v>538</v>
      </c>
      <c r="DF682" s="14">
        <f>INDEX(属性投放!$BK$6:$BK$85,(CV682-2)*20+CZ682)</f>
        <v>25</v>
      </c>
      <c r="DG682" s="14">
        <f>SUMIFS(DF$5:DF682,$CT$5:$CT682,"="&amp;$CT682)</f>
        <v>45</v>
      </c>
      <c r="DH682" s="14" t="s">
        <v>539</v>
      </c>
      <c r="DI682" s="14">
        <f>INDEX(属性投放!$BL$6:$BL$85,(CV682-2)*20+CZ682)</f>
        <v>13</v>
      </c>
      <c r="DJ682" s="14">
        <f>SUMIFS(DI$5:DI682,$CT$5:$CT682,"="&amp;$CT682)</f>
        <v>23</v>
      </c>
      <c r="DK682" s="14" t="s">
        <v>540</v>
      </c>
      <c r="DL682" s="14">
        <f>INDEX(属性投放!$BM$6:$BM$85,(CV682-2)*20+CZ682)</f>
        <v>150</v>
      </c>
      <c r="DM682" s="14">
        <f>SUMIFS(DL$5:DL682,$CT$5:$CT682,"="&amp;$CT682)</f>
        <v>270</v>
      </c>
      <c r="DR682" s="30"/>
      <c r="DS682" s="30"/>
      <c r="DW682" s="30"/>
      <c r="DX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1067"/>
        <v>14</v>
      </c>
      <c r="CU683" s="13">
        <f t="shared" si="1068"/>
        <v>3</v>
      </c>
      <c r="CV683" s="14">
        <f t="shared" si="1069"/>
        <v>3</v>
      </c>
      <c r="CW683" s="14">
        <f t="shared" si="1070"/>
        <v>1102014</v>
      </c>
      <c r="CX683" s="14" t="str">
        <f>INDEX($O$6:$O$50,CT683)&amp;"-"&amp;INDEX(属性投放!$AB$7:$AB$50,CZ683)&amp;"-魂火-"&amp;DB683</f>
        <v>石灵明-黑绳-魂火-2</v>
      </c>
      <c r="CY683" s="25" t="s">
        <v>142</v>
      </c>
      <c r="CZ683" s="14">
        <f>INDEX(属性投放!$AM$7:$AM$58,CU683)</f>
        <v>2</v>
      </c>
      <c r="DA683" s="14" t="s">
        <v>537</v>
      </c>
      <c r="DB683" s="14">
        <f>INDEX(属性投放!$AN$7:$AN$58,CU683)</f>
        <v>2</v>
      </c>
      <c r="DC683" s="14">
        <f t="shared" si="1066"/>
        <v>3</v>
      </c>
      <c r="DD683" s="14">
        <f>INDEX(属性投放!$AO$7:$AO$58,DC683)</f>
        <v>13</v>
      </c>
      <c r="DE683" s="14" t="s">
        <v>538</v>
      </c>
      <c r="DF683" s="14">
        <f>INDEX(属性投放!$BK$6:$BK$85,(CV683-2)*20+CZ683)</f>
        <v>25</v>
      </c>
      <c r="DG683" s="14">
        <f>SUMIFS(DF$5:DF683,$CT$5:$CT683,"="&amp;$CT683)</f>
        <v>70</v>
      </c>
      <c r="DH683" s="14" t="s">
        <v>539</v>
      </c>
      <c r="DI683" s="14">
        <f>INDEX(属性投放!$BL$6:$BL$85,(CV683-2)*20+CZ683)</f>
        <v>13</v>
      </c>
      <c r="DJ683" s="14">
        <f>SUMIFS(DI$5:DI683,$CT$5:$CT683,"="&amp;$CT683)</f>
        <v>36</v>
      </c>
      <c r="DK683" s="14" t="s">
        <v>540</v>
      </c>
      <c r="DL683" s="14">
        <f>INDEX(属性投放!$BM$6:$BM$85,(CV683-2)*20+CZ683)</f>
        <v>150</v>
      </c>
      <c r="DM683" s="14">
        <f>SUMIFS(DL$5:DL683,$CT$5:$CT683,"="&amp;$CT683)</f>
        <v>420</v>
      </c>
      <c r="DR683" s="30"/>
      <c r="DS683" s="30"/>
      <c r="DW683" s="30"/>
      <c r="DX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1067"/>
        <v>14</v>
      </c>
      <c r="CU684" s="13">
        <f t="shared" si="1068"/>
        <v>4</v>
      </c>
      <c r="CV684" s="14">
        <f t="shared" si="1069"/>
        <v>3</v>
      </c>
      <c r="CW684" s="14">
        <f t="shared" si="1070"/>
        <v>1102014</v>
      </c>
      <c r="CX684" s="14" t="str">
        <f>INDEX($O$6:$O$50,CT684)&amp;"-"&amp;INDEX(属性投放!$AB$7:$AB$50,CZ684)&amp;"-魂火-"&amp;DB684</f>
        <v>石灵明-黑绳+1-魂火-1</v>
      </c>
      <c r="CY684" s="25" t="s">
        <v>142</v>
      </c>
      <c r="CZ684" s="14">
        <f>INDEX(属性投放!$AM$7:$AM$58,CU684)</f>
        <v>3</v>
      </c>
      <c r="DA684" s="14" t="s">
        <v>537</v>
      </c>
      <c r="DB684" s="14">
        <f>INDEX(属性投放!$AN$7:$AN$58,CU684)</f>
        <v>1</v>
      </c>
      <c r="DC684" s="14">
        <f t="shared" si="1066"/>
        <v>4</v>
      </c>
      <c r="DD684" s="14">
        <f>INDEX(属性投放!$AO$7:$AO$58,DC684)</f>
        <v>18</v>
      </c>
      <c r="DE684" s="14" t="s">
        <v>538</v>
      </c>
      <c r="DF684" s="14">
        <f>INDEX(属性投放!$BK$6:$BK$85,(CV684-2)*20+CZ684)</f>
        <v>30</v>
      </c>
      <c r="DG684" s="14">
        <f>SUMIFS(DF$5:DF684,$CT$5:$CT684,"="&amp;$CT684)</f>
        <v>100</v>
      </c>
      <c r="DH684" s="14" t="s">
        <v>539</v>
      </c>
      <c r="DI684" s="14">
        <f>INDEX(属性投放!$BL$6:$BL$85,(CV684-2)*20+CZ684)</f>
        <v>15</v>
      </c>
      <c r="DJ684" s="14">
        <f>SUMIFS(DI$5:DI684,$CT$5:$CT684,"="&amp;$CT684)</f>
        <v>51</v>
      </c>
      <c r="DK684" s="14" t="s">
        <v>540</v>
      </c>
      <c r="DL684" s="14">
        <f>INDEX(属性投放!$BM$6:$BM$85,(CV684-2)*20+CZ684)</f>
        <v>180</v>
      </c>
      <c r="DM684" s="14">
        <f>SUMIFS(DL$5:DL684,$CT$5:$CT684,"="&amp;$CT684)</f>
        <v>600</v>
      </c>
      <c r="DR684" s="30"/>
      <c r="DS684" s="30"/>
      <c r="DW684" s="30"/>
      <c r="DX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1067"/>
        <v>14</v>
      </c>
      <c r="CU685" s="13">
        <f t="shared" si="1068"/>
        <v>5</v>
      </c>
      <c r="CV685" s="14">
        <f t="shared" si="1069"/>
        <v>3</v>
      </c>
      <c r="CW685" s="14">
        <f t="shared" si="1070"/>
        <v>1102014</v>
      </c>
      <c r="CX685" s="14" t="str">
        <f>INDEX($O$6:$O$50,CT685)&amp;"-"&amp;INDEX(属性投放!$AB$7:$AB$50,CZ685)&amp;"-魂火-"&amp;DB685</f>
        <v>石灵明-黑绳+1-魂火-2</v>
      </c>
      <c r="CY685" s="25" t="s">
        <v>142</v>
      </c>
      <c r="CZ685" s="14">
        <f>INDEX(属性投放!$AM$7:$AM$58,CU685)</f>
        <v>3</v>
      </c>
      <c r="DA685" s="14" t="s">
        <v>537</v>
      </c>
      <c r="DB685" s="14">
        <f>INDEX(属性投放!$AN$7:$AN$58,CU685)</f>
        <v>2</v>
      </c>
      <c r="DC685" s="14">
        <f t="shared" si="1066"/>
        <v>5</v>
      </c>
      <c r="DD685" s="14">
        <f>INDEX(属性投放!$AO$7:$AO$58,DC685)</f>
        <v>23</v>
      </c>
      <c r="DE685" s="14" t="s">
        <v>538</v>
      </c>
      <c r="DF685" s="14">
        <f>INDEX(属性投放!$BK$6:$BK$85,(CV685-2)*20+CZ685)</f>
        <v>30</v>
      </c>
      <c r="DG685" s="14">
        <f>SUMIFS(DF$5:DF685,$CT$5:$CT685,"="&amp;$CT685)</f>
        <v>130</v>
      </c>
      <c r="DH685" s="14" t="s">
        <v>539</v>
      </c>
      <c r="DI685" s="14">
        <f>INDEX(属性投放!$BL$6:$BL$85,(CV685-2)*20+CZ685)</f>
        <v>15</v>
      </c>
      <c r="DJ685" s="14">
        <f>SUMIFS(DI$5:DI685,$CT$5:$CT685,"="&amp;$CT685)</f>
        <v>66</v>
      </c>
      <c r="DK685" s="14" t="s">
        <v>540</v>
      </c>
      <c r="DL685" s="14">
        <f>INDEX(属性投放!$BM$6:$BM$85,(CV685-2)*20+CZ685)</f>
        <v>180</v>
      </c>
      <c r="DM685" s="14">
        <f>SUMIFS(DL$5:DL685,$CT$5:$CT685,"="&amp;$CT685)</f>
        <v>780</v>
      </c>
      <c r="DR685" s="30"/>
      <c r="DS685" s="30"/>
      <c r="DW685" s="30"/>
      <c r="DX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1067"/>
        <v>14</v>
      </c>
      <c r="CU686" s="13">
        <f t="shared" si="1068"/>
        <v>6</v>
      </c>
      <c r="CV686" s="14">
        <f t="shared" si="1069"/>
        <v>3</v>
      </c>
      <c r="CW686" s="14">
        <f t="shared" si="1070"/>
        <v>1102014</v>
      </c>
      <c r="CX686" s="14" t="str">
        <f>INDEX($O$6:$O$50,CT686)&amp;"-"&amp;INDEX(属性投放!$AB$7:$AB$50,CZ686)&amp;"-魂火-"&amp;DB686</f>
        <v>石灵明-众合-魂火-1</v>
      </c>
      <c r="CY686" s="25" t="s">
        <v>142</v>
      </c>
      <c r="CZ686" s="14">
        <f>INDEX(属性投放!$AM$7:$AM$58,CU686)</f>
        <v>4</v>
      </c>
      <c r="DA686" s="14" t="s">
        <v>537</v>
      </c>
      <c r="DB686" s="14">
        <f>INDEX(属性投放!$AN$7:$AN$58,CU686)</f>
        <v>1</v>
      </c>
      <c r="DC686" s="14">
        <f t="shared" si="1066"/>
        <v>6</v>
      </c>
      <c r="DD686" s="14">
        <f>INDEX(属性投放!$AO$7:$AO$58,DC686)</f>
        <v>28</v>
      </c>
      <c r="DE686" s="14" t="s">
        <v>538</v>
      </c>
      <c r="DF686" s="14">
        <f>INDEX(属性投放!$BK$6:$BK$85,(CV686-2)*20+CZ686)</f>
        <v>40</v>
      </c>
      <c r="DG686" s="14">
        <f>SUMIFS(DF$5:DF686,$CT$5:$CT686,"="&amp;$CT686)</f>
        <v>170</v>
      </c>
      <c r="DH686" s="14" t="s">
        <v>539</v>
      </c>
      <c r="DI686" s="14">
        <f>INDEX(属性投放!$BL$6:$BL$85,(CV686-2)*20+CZ686)</f>
        <v>20</v>
      </c>
      <c r="DJ686" s="14">
        <f>SUMIFS(DI$5:DI686,$CT$5:$CT686,"="&amp;$CT686)</f>
        <v>86</v>
      </c>
      <c r="DK686" s="14" t="s">
        <v>540</v>
      </c>
      <c r="DL686" s="14">
        <f>INDEX(属性投放!$BM$6:$BM$85,(CV686-2)*20+CZ686)</f>
        <v>280</v>
      </c>
      <c r="DM686" s="14">
        <f>SUMIFS(DL$5:DL686,$CT$5:$CT686,"="&amp;$CT686)</f>
        <v>1060</v>
      </c>
      <c r="DR686" s="30"/>
      <c r="DS686" s="30"/>
      <c r="DW686" s="30"/>
      <c r="DX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1067"/>
        <v>14</v>
      </c>
      <c r="CU687" s="13">
        <f t="shared" si="1068"/>
        <v>7</v>
      </c>
      <c r="CV687" s="14">
        <f t="shared" si="1069"/>
        <v>3</v>
      </c>
      <c r="CW687" s="14">
        <f t="shared" si="1070"/>
        <v>1102014</v>
      </c>
      <c r="CX687" s="14" t="str">
        <f>INDEX($O$6:$O$50,CT687)&amp;"-"&amp;INDEX(属性投放!$AB$7:$AB$50,CZ687)&amp;"-魂火-"&amp;DB687</f>
        <v>石灵明-众合-魂火-2</v>
      </c>
      <c r="CY687" s="25" t="s">
        <v>142</v>
      </c>
      <c r="CZ687" s="14">
        <f>INDEX(属性投放!$AM$7:$AM$58,CU687)</f>
        <v>4</v>
      </c>
      <c r="DA687" s="14" t="s">
        <v>537</v>
      </c>
      <c r="DB687" s="14">
        <f>INDEX(属性投放!$AN$7:$AN$58,CU687)</f>
        <v>2</v>
      </c>
      <c r="DC687" s="14">
        <f t="shared" si="1066"/>
        <v>7</v>
      </c>
      <c r="DD687" s="14">
        <f>INDEX(属性投放!$AO$7:$AO$58,DC687)</f>
        <v>33</v>
      </c>
      <c r="DE687" s="14" t="s">
        <v>538</v>
      </c>
      <c r="DF687" s="14">
        <f>INDEX(属性投放!$BK$6:$BK$85,(CV687-2)*20+CZ687)</f>
        <v>40</v>
      </c>
      <c r="DG687" s="14">
        <f>SUMIFS(DF$5:DF687,$CT$5:$CT687,"="&amp;$CT687)</f>
        <v>210</v>
      </c>
      <c r="DH687" s="14" t="s">
        <v>539</v>
      </c>
      <c r="DI687" s="14">
        <f>INDEX(属性投放!$BL$6:$BL$85,(CV687-2)*20+CZ687)</f>
        <v>20</v>
      </c>
      <c r="DJ687" s="14">
        <f>SUMIFS(DI$5:DI687,$CT$5:$CT687,"="&amp;$CT687)</f>
        <v>106</v>
      </c>
      <c r="DK687" s="14" t="s">
        <v>540</v>
      </c>
      <c r="DL687" s="14">
        <f>INDEX(属性投放!$BM$6:$BM$85,(CV687-2)*20+CZ687)</f>
        <v>280</v>
      </c>
      <c r="DM687" s="14">
        <f>SUMIFS(DL$5:DL687,$CT$5:$CT687,"="&amp;$CT687)</f>
        <v>1340</v>
      </c>
      <c r="DR687" s="30"/>
      <c r="DS687" s="30"/>
      <c r="DW687" s="30"/>
      <c r="DX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1067"/>
        <v>14</v>
      </c>
      <c r="CU688" s="13">
        <f t="shared" si="1068"/>
        <v>8</v>
      </c>
      <c r="CV688" s="14">
        <f t="shared" si="1069"/>
        <v>3</v>
      </c>
      <c r="CW688" s="14">
        <f t="shared" si="1070"/>
        <v>1102014</v>
      </c>
      <c r="CX688" s="14" t="str">
        <f>INDEX($O$6:$O$50,CT688)&amp;"-"&amp;INDEX(属性投放!$AB$7:$AB$50,CZ688)&amp;"-魂火-"&amp;DB688</f>
        <v>石灵明-众合+1-魂火-1</v>
      </c>
      <c r="CY688" s="25" t="s">
        <v>142</v>
      </c>
      <c r="CZ688" s="14">
        <f>INDEX(属性投放!$AM$7:$AM$58,CU688)</f>
        <v>5</v>
      </c>
      <c r="DA688" s="14" t="s">
        <v>537</v>
      </c>
      <c r="DB688" s="14">
        <f>INDEX(属性投放!$AN$7:$AN$58,CU688)</f>
        <v>1</v>
      </c>
      <c r="DC688" s="14">
        <f t="shared" si="1066"/>
        <v>8</v>
      </c>
      <c r="DD688" s="14">
        <f>INDEX(属性投放!$AO$7:$AO$58,DC688)</f>
        <v>38</v>
      </c>
      <c r="DE688" s="14" t="s">
        <v>538</v>
      </c>
      <c r="DF688" s="14">
        <f>INDEX(属性投放!$BK$6:$BK$85,(CV688-2)*20+CZ688)</f>
        <v>45</v>
      </c>
      <c r="DG688" s="14">
        <f>SUMIFS(DF$5:DF688,$CT$5:$CT688,"="&amp;$CT688)</f>
        <v>255</v>
      </c>
      <c r="DH688" s="14" t="s">
        <v>539</v>
      </c>
      <c r="DI688" s="14">
        <f>INDEX(属性投放!$BL$6:$BL$85,(CV688-2)*20+CZ688)</f>
        <v>23</v>
      </c>
      <c r="DJ688" s="14">
        <f>SUMIFS(DI$5:DI688,$CT$5:$CT688,"="&amp;$CT688)</f>
        <v>129</v>
      </c>
      <c r="DK688" s="14" t="s">
        <v>540</v>
      </c>
      <c r="DL688" s="14">
        <f>INDEX(属性投放!$BM$6:$BM$85,(CV688-2)*20+CZ688)</f>
        <v>315</v>
      </c>
      <c r="DM688" s="14">
        <f>SUMIFS(DL$5:DL688,$CT$5:$CT688,"="&amp;$CT688)</f>
        <v>1655</v>
      </c>
      <c r="DR688" s="30"/>
      <c r="DS688" s="30"/>
      <c r="DW688" s="30"/>
      <c r="DX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1067"/>
        <v>14</v>
      </c>
      <c r="CU689" s="13">
        <f t="shared" si="1068"/>
        <v>9</v>
      </c>
      <c r="CV689" s="14">
        <f t="shared" si="1069"/>
        <v>3</v>
      </c>
      <c r="CW689" s="14">
        <f t="shared" si="1070"/>
        <v>1102014</v>
      </c>
      <c r="CX689" s="14" t="str">
        <f>INDEX($O$6:$O$50,CT689)&amp;"-"&amp;INDEX(属性投放!$AB$7:$AB$50,CZ689)&amp;"-魂火-"&amp;DB689</f>
        <v>石灵明-众合+1-魂火-2</v>
      </c>
      <c r="CY689" s="25" t="s">
        <v>142</v>
      </c>
      <c r="CZ689" s="14">
        <f>INDEX(属性投放!$AM$7:$AM$58,CU689)</f>
        <v>5</v>
      </c>
      <c r="DA689" s="14" t="s">
        <v>537</v>
      </c>
      <c r="DB689" s="14">
        <f>INDEX(属性投放!$AN$7:$AN$58,CU689)</f>
        <v>2</v>
      </c>
      <c r="DC689" s="14">
        <f t="shared" si="1066"/>
        <v>9</v>
      </c>
      <c r="DD689" s="14">
        <f>INDEX(属性投放!$AO$7:$AO$58,DC689)</f>
        <v>40</v>
      </c>
      <c r="DE689" s="14" t="s">
        <v>538</v>
      </c>
      <c r="DF689" s="14">
        <f>INDEX(属性投放!$BK$6:$BK$85,(CV689-2)*20+CZ689)</f>
        <v>45</v>
      </c>
      <c r="DG689" s="14">
        <f>SUMIFS(DF$5:DF689,$CT$5:$CT689,"="&amp;$CT689)</f>
        <v>300</v>
      </c>
      <c r="DH689" s="14" t="s">
        <v>539</v>
      </c>
      <c r="DI689" s="14">
        <f>INDEX(属性投放!$BL$6:$BL$85,(CV689-2)*20+CZ689)</f>
        <v>23</v>
      </c>
      <c r="DJ689" s="14">
        <f>SUMIFS(DI$5:DI689,$CT$5:$CT689,"="&amp;$CT689)</f>
        <v>152</v>
      </c>
      <c r="DK689" s="14" t="s">
        <v>540</v>
      </c>
      <c r="DL689" s="14">
        <f>INDEX(属性投放!$BM$6:$BM$85,(CV689-2)*20+CZ689)</f>
        <v>315</v>
      </c>
      <c r="DM689" s="14">
        <f>SUMIFS(DL$5:DL689,$CT$5:$CT689,"="&amp;$CT689)</f>
        <v>1970</v>
      </c>
      <c r="DR689" s="30"/>
      <c r="DS689" s="30"/>
      <c r="DW689" s="30"/>
      <c r="DX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1067"/>
        <v>14</v>
      </c>
      <c r="CU690" s="13">
        <f t="shared" si="1068"/>
        <v>10</v>
      </c>
      <c r="CV690" s="14">
        <f t="shared" si="1069"/>
        <v>3</v>
      </c>
      <c r="CW690" s="14">
        <f t="shared" si="1070"/>
        <v>1102014</v>
      </c>
      <c r="CX690" s="14" t="str">
        <f>INDEX($O$6:$O$50,CT690)&amp;"-"&amp;INDEX(属性投放!$AB$7:$AB$50,CZ690)&amp;"-魂火-"&amp;DB690</f>
        <v>石灵明-众合+2-魂火-1</v>
      </c>
      <c r="CY690" s="25" t="s">
        <v>142</v>
      </c>
      <c r="CZ690" s="14">
        <f>INDEX(属性投放!$AM$7:$AM$58,CU690)</f>
        <v>6</v>
      </c>
      <c r="DA690" s="14" t="s">
        <v>537</v>
      </c>
      <c r="DB690" s="14">
        <f>INDEX(属性投放!$AN$7:$AN$58,CU690)</f>
        <v>1</v>
      </c>
      <c r="DC690" s="14">
        <f t="shared" si="1066"/>
        <v>10</v>
      </c>
      <c r="DD690" s="14">
        <f>INDEX(属性投放!$AO$7:$AO$58,DC690)</f>
        <v>43</v>
      </c>
      <c r="DE690" s="14" t="s">
        <v>538</v>
      </c>
      <c r="DF690" s="14">
        <f>INDEX(属性投放!$BK$6:$BK$85,(CV690-2)*20+CZ690)</f>
        <v>50</v>
      </c>
      <c r="DG690" s="14">
        <f>SUMIFS(DF$5:DF690,$CT$5:$CT690,"="&amp;$CT690)</f>
        <v>350</v>
      </c>
      <c r="DH690" s="14" t="s">
        <v>539</v>
      </c>
      <c r="DI690" s="14">
        <f>INDEX(属性投放!$BL$6:$BL$85,(CV690-2)*20+CZ690)</f>
        <v>25</v>
      </c>
      <c r="DJ690" s="14">
        <f>SUMIFS(DI$5:DI690,$CT$5:$CT690,"="&amp;$CT690)</f>
        <v>177</v>
      </c>
      <c r="DK690" s="14" t="s">
        <v>540</v>
      </c>
      <c r="DL690" s="14">
        <f>INDEX(属性投放!$BM$6:$BM$85,(CV690-2)*20+CZ690)</f>
        <v>350</v>
      </c>
      <c r="DM690" s="14">
        <f>SUMIFS(DL$5:DL690,$CT$5:$CT690,"="&amp;$CT690)</f>
        <v>2320</v>
      </c>
      <c r="DR690" s="30"/>
      <c r="DS690" s="30"/>
      <c r="DW690" s="30"/>
      <c r="DX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1067"/>
        <v>14</v>
      </c>
      <c r="CU691" s="13">
        <f t="shared" si="1068"/>
        <v>11</v>
      </c>
      <c r="CV691" s="14">
        <f t="shared" si="1069"/>
        <v>3</v>
      </c>
      <c r="CW691" s="14">
        <f t="shared" si="1070"/>
        <v>1102014</v>
      </c>
      <c r="CX691" s="14" t="str">
        <f>INDEX($O$6:$O$50,CT691)&amp;"-"&amp;INDEX(属性投放!$AB$7:$AB$50,CZ691)&amp;"-魂火-"&amp;DB691</f>
        <v>石灵明-众合+2-魂火-2</v>
      </c>
      <c r="CY691" s="25" t="s">
        <v>142</v>
      </c>
      <c r="CZ691" s="14">
        <f>INDEX(属性投放!$AM$7:$AM$58,CU691)</f>
        <v>6</v>
      </c>
      <c r="DA691" s="14" t="s">
        <v>537</v>
      </c>
      <c r="DB691" s="14">
        <f>INDEX(属性投放!$AN$7:$AN$58,CU691)</f>
        <v>2</v>
      </c>
      <c r="DC691" s="14">
        <f t="shared" si="1066"/>
        <v>11</v>
      </c>
      <c r="DD691" s="14">
        <f>INDEX(属性投放!$AO$7:$AO$58,DC691)</f>
        <v>45</v>
      </c>
      <c r="DE691" s="14" t="s">
        <v>538</v>
      </c>
      <c r="DF691" s="14">
        <f>INDEX(属性投放!$BK$6:$BK$85,(CV691-2)*20+CZ691)</f>
        <v>50</v>
      </c>
      <c r="DG691" s="14">
        <f>SUMIFS(DF$5:DF691,$CT$5:$CT691,"="&amp;$CT691)</f>
        <v>400</v>
      </c>
      <c r="DH691" s="14" t="s">
        <v>539</v>
      </c>
      <c r="DI691" s="14">
        <f>INDEX(属性投放!$BL$6:$BL$85,(CV691-2)*20+CZ691)</f>
        <v>25</v>
      </c>
      <c r="DJ691" s="14">
        <f>SUMIFS(DI$5:DI691,$CT$5:$CT691,"="&amp;$CT691)</f>
        <v>202</v>
      </c>
      <c r="DK691" s="14" t="s">
        <v>540</v>
      </c>
      <c r="DL691" s="14">
        <f>INDEX(属性投放!$BM$6:$BM$85,(CV691-2)*20+CZ691)</f>
        <v>350</v>
      </c>
      <c r="DM691" s="14">
        <f>SUMIFS(DL$5:DL691,$CT$5:$CT691,"="&amp;$CT691)</f>
        <v>2670</v>
      </c>
      <c r="DR691" s="30"/>
      <c r="DS691" s="30"/>
      <c r="DW691" s="30"/>
      <c r="DX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1067"/>
        <v>14</v>
      </c>
      <c r="CU692" s="13">
        <f t="shared" si="1068"/>
        <v>12</v>
      </c>
      <c r="CV692" s="14">
        <f t="shared" si="1069"/>
        <v>3</v>
      </c>
      <c r="CW692" s="14">
        <f t="shared" si="1070"/>
        <v>1102014</v>
      </c>
      <c r="CX692" s="14" t="str">
        <f>INDEX($O$6:$O$50,CT692)&amp;"-"&amp;INDEX(属性投放!$AB$7:$AB$50,CZ692)&amp;"-魂火-"&amp;DB692</f>
        <v>石灵明-叫唤-魂火-1</v>
      </c>
      <c r="CY692" s="25" t="s">
        <v>142</v>
      </c>
      <c r="CZ692" s="14">
        <f>INDEX(属性投放!$AM$7:$AM$58,CU692)</f>
        <v>7</v>
      </c>
      <c r="DA692" s="14" t="s">
        <v>537</v>
      </c>
      <c r="DB692" s="14">
        <f>INDEX(属性投放!$AN$7:$AN$58,CU692)</f>
        <v>1</v>
      </c>
      <c r="DC692" s="14">
        <f t="shared" si="1066"/>
        <v>12</v>
      </c>
      <c r="DD692" s="14">
        <f>INDEX(属性投放!$AO$7:$AO$58,DC692)</f>
        <v>48</v>
      </c>
      <c r="DE692" s="14" t="s">
        <v>538</v>
      </c>
      <c r="DF692" s="14">
        <f>INDEX(属性投放!$BK$6:$BK$85,(CV692-2)*20+CZ692)</f>
        <v>70</v>
      </c>
      <c r="DG692" s="14">
        <f>SUMIFS(DF$5:DF692,$CT$5:$CT692,"="&amp;$CT692)</f>
        <v>470</v>
      </c>
      <c r="DH692" s="14" t="s">
        <v>539</v>
      </c>
      <c r="DI692" s="14">
        <f>INDEX(属性投放!$BL$6:$BL$85,(CV692-2)*20+CZ692)</f>
        <v>35</v>
      </c>
      <c r="DJ692" s="14">
        <f>SUMIFS(DI$5:DI692,$CT$5:$CT692,"="&amp;$CT692)</f>
        <v>237</v>
      </c>
      <c r="DK692" s="14" t="s">
        <v>540</v>
      </c>
      <c r="DL692" s="14">
        <f>INDEX(属性投放!$BM$6:$BM$85,(CV692-2)*20+CZ692)</f>
        <v>560</v>
      </c>
      <c r="DM692" s="14">
        <f>SUMIFS(DL$5:DL692,$CT$5:$CT692,"="&amp;$CT692)</f>
        <v>3230</v>
      </c>
      <c r="DR692" s="30"/>
      <c r="DS692" s="30"/>
      <c r="DW692" s="30"/>
      <c r="DX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1067"/>
        <v>14</v>
      </c>
      <c r="CU693" s="13">
        <f t="shared" si="1068"/>
        <v>13</v>
      </c>
      <c r="CV693" s="14">
        <f t="shared" si="1069"/>
        <v>3</v>
      </c>
      <c r="CW693" s="14">
        <f t="shared" si="1070"/>
        <v>1102014</v>
      </c>
      <c r="CX693" s="14" t="str">
        <f>INDEX($O$6:$O$50,CT693)&amp;"-"&amp;INDEX(属性投放!$AB$7:$AB$50,CZ693)&amp;"-魂火-"&amp;DB693</f>
        <v>石灵明-叫唤-魂火-2</v>
      </c>
      <c r="CY693" s="25" t="s">
        <v>142</v>
      </c>
      <c r="CZ693" s="14">
        <f>INDEX(属性投放!$AM$7:$AM$58,CU693)</f>
        <v>7</v>
      </c>
      <c r="DA693" s="14" t="s">
        <v>537</v>
      </c>
      <c r="DB693" s="14">
        <f>INDEX(属性投放!$AN$7:$AN$58,CU693)</f>
        <v>2</v>
      </c>
      <c r="DC693" s="14">
        <f t="shared" si="1066"/>
        <v>13</v>
      </c>
      <c r="DD693" s="14">
        <f>INDEX(属性投放!$AO$7:$AO$58,DC693)</f>
        <v>50</v>
      </c>
      <c r="DE693" s="14" t="s">
        <v>538</v>
      </c>
      <c r="DF693" s="14">
        <f>INDEX(属性投放!$BK$6:$BK$85,(CV693-2)*20+CZ693)</f>
        <v>70</v>
      </c>
      <c r="DG693" s="14">
        <f>SUMIFS(DF$5:DF693,$CT$5:$CT693,"="&amp;$CT693)</f>
        <v>540</v>
      </c>
      <c r="DH693" s="14" t="s">
        <v>539</v>
      </c>
      <c r="DI693" s="14">
        <f>INDEX(属性投放!$BL$6:$BL$85,(CV693-2)*20+CZ693)</f>
        <v>35</v>
      </c>
      <c r="DJ693" s="14">
        <f>SUMIFS(DI$5:DI693,$CT$5:$CT693,"="&amp;$CT693)</f>
        <v>272</v>
      </c>
      <c r="DK693" s="14" t="s">
        <v>540</v>
      </c>
      <c r="DL693" s="14">
        <f>INDEX(属性投放!$BM$6:$BM$85,(CV693-2)*20+CZ693)</f>
        <v>560</v>
      </c>
      <c r="DM693" s="14">
        <f>SUMIFS(DL$5:DL693,$CT$5:$CT693,"="&amp;$CT693)</f>
        <v>3790</v>
      </c>
      <c r="DR693" s="30"/>
      <c r="DS693" s="30"/>
      <c r="DW693" s="30"/>
      <c r="DX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1067"/>
        <v>14</v>
      </c>
      <c r="CU694" s="13">
        <f t="shared" si="1068"/>
        <v>14</v>
      </c>
      <c r="CV694" s="14">
        <f t="shared" si="1069"/>
        <v>3</v>
      </c>
      <c r="CW694" s="14">
        <f t="shared" si="1070"/>
        <v>1102014</v>
      </c>
      <c r="CX694" s="14" t="str">
        <f>INDEX($O$6:$O$50,CT694)&amp;"-"&amp;INDEX(属性投放!$AB$7:$AB$50,CZ694)&amp;"-魂火-"&amp;DB694</f>
        <v>石灵明-叫唤+1-魂火-1</v>
      </c>
      <c r="CY694" s="25" t="s">
        <v>142</v>
      </c>
      <c r="CZ694" s="14">
        <f>INDEX(属性投放!$AM$7:$AM$58,CU694)</f>
        <v>8</v>
      </c>
      <c r="DA694" s="14" t="s">
        <v>537</v>
      </c>
      <c r="DB694" s="14">
        <f>INDEX(属性投放!$AN$7:$AN$58,CU694)</f>
        <v>1</v>
      </c>
      <c r="DC694" s="14">
        <f t="shared" si="1066"/>
        <v>14</v>
      </c>
      <c r="DD694" s="14">
        <f>INDEX(属性投放!$AO$7:$AO$58,DC694)</f>
        <v>53</v>
      </c>
      <c r="DE694" s="14" t="s">
        <v>538</v>
      </c>
      <c r="DF694" s="14">
        <f>INDEX(属性投放!$BK$6:$BK$85,(CV694-2)*20+CZ694)</f>
        <v>85</v>
      </c>
      <c r="DG694" s="14">
        <f>SUMIFS(DF$5:DF694,$CT$5:$CT694,"="&amp;$CT694)</f>
        <v>625</v>
      </c>
      <c r="DH694" s="14" t="s">
        <v>539</v>
      </c>
      <c r="DI694" s="14">
        <f>INDEX(属性投放!$BL$6:$BL$85,(CV694-2)*20+CZ694)</f>
        <v>43</v>
      </c>
      <c r="DJ694" s="14">
        <f>SUMIFS(DI$5:DI694,$CT$5:$CT694,"="&amp;$CT694)</f>
        <v>315</v>
      </c>
      <c r="DK694" s="14" t="s">
        <v>540</v>
      </c>
      <c r="DL694" s="14">
        <f>INDEX(属性投放!$BM$6:$BM$85,(CV694-2)*20+CZ694)</f>
        <v>680</v>
      </c>
      <c r="DM694" s="14">
        <f>SUMIFS(DL$5:DL694,$CT$5:$CT694,"="&amp;$CT694)</f>
        <v>4470</v>
      </c>
      <c r="DR694" s="30"/>
      <c r="DS694" s="30"/>
      <c r="DW694" s="30"/>
      <c r="DX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1067"/>
        <v>14</v>
      </c>
      <c r="CU695" s="13">
        <f t="shared" si="1068"/>
        <v>15</v>
      </c>
      <c r="CV695" s="14">
        <f t="shared" si="1069"/>
        <v>3</v>
      </c>
      <c r="CW695" s="14">
        <f t="shared" si="1070"/>
        <v>1102014</v>
      </c>
      <c r="CX695" s="14" t="str">
        <f>INDEX($O$6:$O$50,CT695)&amp;"-"&amp;INDEX(属性投放!$AB$7:$AB$50,CZ695)&amp;"-魂火-"&amp;DB695</f>
        <v>石灵明-叫唤+1-魂火-2</v>
      </c>
      <c r="CY695" s="25" t="s">
        <v>142</v>
      </c>
      <c r="CZ695" s="14">
        <f>INDEX(属性投放!$AM$7:$AM$58,CU695)</f>
        <v>8</v>
      </c>
      <c r="DA695" s="14" t="s">
        <v>537</v>
      </c>
      <c r="DB695" s="14">
        <f>INDEX(属性投放!$AN$7:$AN$58,CU695)</f>
        <v>2</v>
      </c>
      <c r="DC695" s="14">
        <f t="shared" si="1066"/>
        <v>15</v>
      </c>
      <c r="DD695" s="14">
        <f>INDEX(属性投放!$AO$7:$AO$58,DC695)</f>
        <v>55</v>
      </c>
      <c r="DE695" s="14" t="s">
        <v>538</v>
      </c>
      <c r="DF695" s="14">
        <f>INDEX(属性投放!$BK$6:$BK$85,(CV695-2)*20+CZ695)</f>
        <v>85</v>
      </c>
      <c r="DG695" s="14">
        <f>SUMIFS(DF$5:DF695,$CT$5:$CT695,"="&amp;$CT695)</f>
        <v>710</v>
      </c>
      <c r="DH695" s="14" t="s">
        <v>539</v>
      </c>
      <c r="DI695" s="14">
        <f>INDEX(属性投放!$BL$6:$BL$85,(CV695-2)*20+CZ695)</f>
        <v>43</v>
      </c>
      <c r="DJ695" s="14">
        <f>SUMIFS(DI$5:DI695,$CT$5:$CT695,"="&amp;$CT695)</f>
        <v>358</v>
      </c>
      <c r="DK695" s="14" t="s">
        <v>540</v>
      </c>
      <c r="DL695" s="14">
        <f>INDEX(属性投放!$BM$6:$BM$85,(CV695-2)*20+CZ695)</f>
        <v>680</v>
      </c>
      <c r="DM695" s="14">
        <f>SUMIFS(DL$5:DL695,$CT$5:$CT695,"="&amp;$CT695)</f>
        <v>5150</v>
      </c>
      <c r="DR695" s="30"/>
      <c r="DS695" s="30"/>
      <c r="DW695" s="30"/>
      <c r="DX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1067"/>
        <v>14</v>
      </c>
      <c r="CU696" s="13">
        <f t="shared" si="1068"/>
        <v>16</v>
      </c>
      <c r="CV696" s="14">
        <f t="shared" si="1069"/>
        <v>3</v>
      </c>
      <c r="CW696" s="14">
        <f t="shared" si="1070"/>
        <v>1102014</v>
      </c>
      <c r="CX696" s="14" t="str">
        <f>INDEX($O$6:$O$50,CT696)&amp;"-"&amp;INDEX(属性投放!$AB$7:$AB$50,CZ696)&amp;"-魂火-"&amp;DB696</f>
        <v>石灵明-叫唤+2-魂火-1</v>
      </c>
      <c r="CY696" s="25" t="s">
        <v>142</v>
      </c>
      <c r="CZ696" s="14">
        <f>INDEX(属性投放!$AM$7:$AM$58,CU696)</f>
        <v>9</v>
      </c>
      <c r="DA696" s="14" t="s">
        <v>537</v>
      </c>
      <c r="DB696" s="14">
        <f>INDEX(属性投放!$AN$7:$AN$58,CU696)</f>
        <v>1</v>
      </c>
      <c r="DC696" s="14">
        <f t="shared" si="1066"/>
        <v>16</v>
      </c>
      <c r="DD696" s="14">
        <f>INDEX(属性投放!$AO$7:$AO$58,DC696)</f>
        <v>58</v>
      </c>
      <c r="DE696" s="14" t="s">
        <v>538</v>
      </c>
      <c r="DF696" s="14">
        <f>INDEX(属性投放!$BK$6:$BK$85,(CV696-2)*20+CZ696)</f>
        <v>100</v>
      </c>
      <c r="DG696" s="14">
        <f>SUMIFS(DF$5:DF696,$CT$5:$CT696,"="&amp;$CT696)</f>
        <v>810</v>
      </c>
      <c r="DH696" s="14" t="s">
        <v>539</v>
      </c>
      <c r="DI696" s="14">
        <f>INDEX(属性投放!$BL$6:$BL$85,(CV696-2)*20+CZ696)</f>
        <v>50</v>
      </c>
      <c r="DJ696" s="14">
        <f>SUMIFS(DI$5:DI696,$CT$5:$CT696,"="&amp;$CT696)</f>
        <v>408</v>
      </c>
      <c r="DK696" s="14" t="s">
        <v>540</v>
      </c>
      <c r="DL696" s="14">
        <f>INDEX(属性投放!$BM$6:$BM$85,(CV696-2)*20+CZ696)</f>
        <v>800</v>
      </c>
      <c r="DM696" s="14">
        <f>SUMIFS(DL$5:DL696,$CT$5:$CT696,"="&amp;$CT696)</f>
        <v>5950</v>
      </c>
      <c r="DR696" s="30"/>
      <c r="DS696" s="30"/>
      <c r="DW696" s="30"/>
      <c r="DX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1067"/>
        <v>14</v>
      </c>
      <c r="CU697" s="13">
        <f t="shared" si="1068"/>
        <v>17</v>
      </c>
      <c r="CV697" s="14">
        <f t="shared" si="1069"/>
        <v>3</v>
      </c>
      <c r="CW697" s="14">
        <f t="shared" si="1070"/>
        <v>1102014</v>
      </c>
      <c r="CX697" s="14" t="str">
        <f>INDEX($O$6:$O$50,CT697)&amp;"-"&amp;INDEX(属性投放!$AB$7:$AB$50,CZ697)&amp;"-魂火-"&amp;DB697</f>
        <v>石灵明-叫唤+2-魂火-2</v>
      </c>
      <c r="CY697" s="25" t="s">
        <v>142</v>
      </c>
      <c r="CZ697" s="14">
        <f>INDEX(属性投放!$AM$7:$AM$58,CU697)</f>
        <v>9</v>
      </c>
      <c r="DA697" s="14" t="s">
        <v>537</v>
      </c>
      <c r="DB697" s="14">
        <f>INDEX(属性投放!$AN$7:$AN$58,CU697)</f>
        <v>2</v>
      </c>
      <c r="DC697" s="14">
        <f t="shared" si="1066"/>
        <v>17</v>
      </c>
      <c r="DD697" s="14">
        <f>INDEX(属性投放!$AO$7:$AO$58,DC697)</f>
        <v>60</v>
      </c>
      <c r="DE697" s="14" t="s">
        <v>538</v>
      </c>
      <c r="DF697" s="14">
        <f>INDEX(属性投放!$BK$6:$BK$85,(CV697-2)*20+CZ697)</f>
        <v>100</v>
      </c>
      <c r="DG697" s="14">
        <f>SUMIFS(DF$5:DF697,$CT$5:$CT697,"="&amp;$CT697)</f>
        <v>910</v>
      </c>
      <c r="DH697" s="14" t="s">
        <v>539</v>
      </c>
      <c r="DI697" s="14">
        <f>INDEX(属性投放!$BL$6:$BL$85,(CV697-2)*20+CZ697)</f>
        <v>50</v>
      </c>
      <c r="DJ697" s="14">
        <f>SUMIFS(DI$5:DI697,$CT$5:$CT697,"="&amp;$CT697)</f>
        <v>458</v>
      </c>
      <c r="DK697" s="14" t="s">
        <v>540</v>
      </c>
      <c r="DL697" s="14">
        <f>INDEX(属性投放!$BM$6:$BM$85,(CV697-2)*20+CZ697)</f>
        <v>800</v>
      </c>
      <c r="DM697" s="14">
        <f>SUMIFS(DL$5:DL697,$CT$5:$CT697,"="&amp;$CT697)</f>
        <v>6750</v>
      </c>
      <c r="DR697" s="30"/>
      <c r="DS697" s="30"/>
      <c r="DW697" s="30"/>
      <c r="DX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1067"/>
        <v>14</v>
      </c>
      <c r="CU698" s="13">
        <f t="shared" si="1068"/>
        <v>18</v>
      </c>
      <c r="CV698" s="14">
        <f t="shared" si="1069"/>
        <v>3</v>
      </c>
      <c r="CW698" s="14">
        <f t="shared" si="1070"/>
        <v>1102014</v>
      </c>
      <c r="CX698" s="14" t="str">
        <f>INDEX($O$6:$O$50,CT698)&amp;"-"&amp;INDEX(属性投放!$AB$7:$AB$50,CZ698)&amp;"-魂火-"&amp;DB698</f>
        <v>石灵明-叫唤+2-魂火-3</v>
      </c>
      <c r="CY698" s="25" t="s">
        <v>142</v>
      </c>
      <c r="CZ698" s="14">
        <f>INDEX(属性投放!$AM$7:$AM$58,CU698)</f>
        <v>9</v>
      </c>
      <c r="DA698" s="14" t="s">
        <v>537</v>
      </c>
      <c r="DB698" s="14">
        <f>INDEX(属性投放!$AN$7:$AN$58,CU698)</f>
        <v>3</v>
      </c>
      <c r="DC698" s="14">
        <f t="shared" si="1066"/>
        <v>18</v>
      </c>
      <c r="DD698" s="14">
        <f>INDEX(属性投放!$AO$7:$AO$58,DC698)</f>
        <v>63</v>
      </c>
      <c r="DE698" s="14" t="s">
        <v>538</v>
      </c>
      <c r="DF698" s="14">
        <f>INDEX(属性投放!$BK$6:$BK$85,(CV698-2)*20+CZ698)</f>
        <v>100</v>
      </c>
      <c r="DG698" s="14">
        <f>SUMIFS(DF$5:DF698,$CT$5:$CT698,"="&amp;$CT698)</f>
        <v>1010</v>
      </c>
      <c r="DH698" s="14" t="s">
        <v>539</v>
      </c>
      <c r="DI698" s="14">
        <f>INDEX(属性投放!$BL$6:$BL$85,(CV698-2)*20+CZ698)</f>
        <v>50</v>
      </c>
      <c r="DJ698" s="14">
        <f>SUMIFS(DI$5:DI698,$CT$5:$CT698,"="&amp;$CT698)</f>
        <v>508</v>
      </c>
      <c r="DK698" s="14" t="s">
        <v>540</v>
      </c>
      <c r="DL698" s="14">
        <f>INDEX(属性投放!$BM$6:$BM$85,(CV698-2)*20+CZ698)</f>
        <v>800</v>
      </c>
      <c r="DM698" s="14">
        <f>SUMIFS(DL$5:DL698,$CT$5:$CT698,"="&amp;$CT698)</f>
        <v>7550</v>
      </c>
      <c r="DR698" s="30"/>
      <c r="DS698" s="30"/>
      <c r="DW698" s="30"/>
      <c r="DX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1067"/>
        <v>14</v>
      </c>
      <c r="CU699" s="13">
        <f t="shared" si="1068"/>
        <v>19</v>
      </c>
      <c r="CV699" s="14">
        <f t="shared" si="1069"/>
        <v>3</v>
      </c>
      <c r="CW699" s="14">
        <f t="shared" si="1070"/>
        <v>1102014</v>
      </c>
      <c r="CX699" s="14" t="str">
        <f>INDEX($O$6:$O$50,CT699)&amp;"-"&amp;INDEX(属性投放!$AB$7:$AB$50,CZ699)&amp;"-魂火-"&amp;DB699</f>
        <v>石灵明-大叫唤-魂火-1</v>
      </c>
      <c r="CY699" s="25" t="s">
        <v>142</v>
      </c>
      <c r="CZ699" s="14">
        <f>INDEX(属性投放!$AM$7:$AM$58,CU699)</f>
        <v>10</v>
      </c>
      <c r="DA699" s="14" t="s">
        <v>537</v>
      </c>
      <c r="DB699" s="14">
        <f>INDEX(属性投放!$AN$7:$AN$58,CU699)</f>
        <v>1</v>
      </c>
      <c r="DC699" s="14">
        <f t="shared" si="1066"/>
        <v>19</v>
      </c>
      <c r="DD699" s="14">
        <f>INDEX(属性投放!$AO$7:$AO$58,DC699)</f>
        <v>65</v>
      </c>
      <c r="DE699" s="14" t="s">
        <v>538</v>
      </c>
      <c r="DF699" s="14">
        <f>INDEX(属性投放!$BK$6:$BK$85,(CV699-2)*20+CZ699)</f>
        <v>120</v>
      </c>
      <c r="DG699" s="14">
        <f>SUMIFS(DF$5:DF699,$CT$5:$CT699,"="&amp;$CT699)</f>
        <v>1130</v>
      </c>
      <c r="DH699" s="14" t="s">
        <v>539</v>
      </c>
      <c r="DI699" s="14">
        <f>INDEX(属性投放!$BL$6:$BL$85,(CV699-2)*20+CZ699)</f>
        <v>60</v>
      </c>
      <c r="DJ699" s="14">
        <f>SUMIFS(DI$5:DI699,$CT$5:$CT699,"="&amp;$CT699)</f>
        <v>568</v>
      </c>
      <c r="DK699" s="14" t="s">
        <v>540</v>
      </c>
      <c r="DL699" s="14">
        <f>INDEX(属性投放!$BM$6:$BM$85,(CV699-2)*20+CZ699)</f>
        <v>1080</v>
      </c>
      <c r="DM699" s="14">
        <f>SUMIFS(DL$5:DL699,$CT$5:$CT699,"="&amp;$CT699)</f>
        <v>8630</v>
      </c>
      <c r="DR699" s="30"/>
      <c r="DS699" s="30"/>
      <c r="DW699" s="30"/>
      <c r="DX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1067"/>
        <v>14</v>
      </c>
      <c r="CU700" s="13">
        <f t="shared" si="1068"/>
        <v>20</v>
      </c>
      <c r="CV700" s="14">
        <f t="shared" si="1069"/>
        <v>3</v>
      </c>
      <c r="CW700" s="14">
        <f t="shared" si="1070"/>
        <v>1102014</v>
      </c>
      <c r="CX700" s="14" t="str">
        <f>INDEX($O$6:$O$50,CT700)&amp;"-"&amp;INDEX(属性投放!$AB$7:$AB$50,CZ700)&amp;"-魂火-"&amp;DB700</f>
        <v>石灵明-大叫唤-魂火-2</v>
      </c>
      <c r="CY700" s="25" t="s">
        <v>142</v>
      </c>
      <c r="CZ700" s="14">
        <f>INDEX(属性投放!$AM$7:$AM$58,CU700)</f>
        <v>10</v>
      </c>
      <c r="DA700" s="14" t="s">
        <v>537</v>
      </c>
      <c r="DB700" s="14">
        <f>INDEX(属性投放!$AN$7:$AN$58,CU700)</f>
        <v>2</v>
      </c>
      <c r="DC700" s="14">
        <f t="shared" si="1066"/>
        <v>20</v>
      </c>
      <c r="DD700" s="14">
        <f>INDEX(属性投放!$AO$7:$AO$58,DC700)</f>
        <v>68</v>
      </c>
      <c r="DE700" s="14" t="s">
        <v>538</v>
      </c>
      <c r="DF700" s="14">
        <f>INDEX(属性投放!$BK$6:$BK$85,(CV700-2)*20+CZ700)</f>
        <v>120</v>
      </c>
      <c r="DG700" s="14">
        <f>SUMIFS(DF$5:DF700,$CT$5:$CT700,"="&amp;$CT700)</f>
        <v>1250</v>
      </c>
      <c r="DH700" s="14" t="s">
        <v>539</v>
      </c>
      <c r="DI700" s="14">
        <f>INDEX(属性投放!$BL$6:$BL$85,(CV700-2)*20+CZ700)</f>
        <v>60</v>
      </c>
      <c r="DJ700" s="14">
        <f>SUMIFS(DI$5:DI700,$CT$5:$CT700,"="&amp;$CT700)</f>
        <v>628</v>
      </c>
      <c r="DK700" s="14" t="s">
        <v>540</v>
      </c>
      <c r="DL700" s="14">
        <f>INDEX(属性投放!$BM$6:$BM$85,(CV700-2)*20+CZ700)</f>
        <v>1080</v>
      </c>
      <c r="DM700" s="14">
        <f>SUMIFS(DL$5:DL700,$CT$5:$CT700,"="&amp;$CT700)</f>
        <v>9710</v>
      </c>
      <c r="DR700" s="30"/>
      <c r="DS700" s="30"/>
      <c r="DW700" s="30"/>
      <c r="DX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1067"/>
        <v>14</v>
      </c>
      <c r="CU701" s="13">
        <f t="shared" si="1068"/>
        <v>21</v>
      </c>
      <c r="CV701" s="14">
        <f t="shared" si="1069"/>
        <v>3</v>
      </c>
      <c r="CW701" s="14">
        <f t="shared" si="1070"/>
        <v>1102014</v>
      </c>
      <c r="CX701" s="14" t="str">
        <f>INDEX($O$6:$O$50,CT701)&amp;"-"&amp;INDEX(属性投放!$AB$7:$AB$50,CZ701)&amp;"-魂火-"&amp;DB701</f>
        <v>石灵明-大叫唤-魂火-3</v>
      </c>
      <c r="CY701" s="25" t="s">
        <v>142</v>
      </c>
      <c r="CZ701" s="14">
        <f>INDEX(属性投放!$AM$7:$AM$58,CU701)</f>
        <v>10</v>
      </c>
      <c r="DA701" s="14" t="s">
        <v>537</v>
      </c>
      <c r="DB701" s="14">
        <f>INDEX(属性投放!$AN$7:$AN$58,CU701)</f>
        <v>3</v>
      </c>
      <c r="DC701" s="14">
        <f t="shared" si="1066"/>
        <v>21</v>
      </c>
      <c r="DD701" s="14">
        <f>INDEX(属性投放!$AO$7:$AO$58,DC701)</f>
        <v>70</v>
      </c>
      <c r="DE701" s="14" t="s">
        <v>538</v>
      </c>
      <c r="DF701" s="14">
        <f>INDEX(属性投放!$BK$6:$BK$85,(CV701-2)*20+CZ701)</f>
        <v>120</v>
      </c>
      <c r="DG701" s="14">
        <f>SUMIFS(DF$5:DF701,$CT$5:$CT701,"="&amp;$CT701)</f>
        <v>1370</v>
      </c>
      <c r="DH701" s="14" t="s">
        <v>539</v>
      </c>
      <c r="DI701" s="14">
        <f>INDEX(属性投放!$BL$6:$BL$85,(CV701-2)*20+CZ701)</f>
        <v>60</v>
      </c>
      <c r="DJ701" s="14">
        <f>SUMIFS(DI$5:DI701,$CT$5:$CT701,"="&amp;$CT701)</f>
        <v>688</v>
      </c>
      <c r="DK701" s="14" t="s">
        <v>540</v>
      </c>
      <c r="DL701" s="14">
        <f>INDEX(属性投放!$BM$6:$BM$85,(CV701-2)*20+CZ701)</f>
        <v>1080</v>
      </c>
      <c r="DM701" s="14">
        <f>SUMIFS(DL$5:DL701,$CT$5:$CT701,"="&amp;$CT701)</f>
        <v>10790</v>
      </c>
      <c r="DR701" s="30"/>
      <c r="DS701" s="30"/>
      <c r="DW701" s="30"/>
      <c r="DX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1067"/>
        <v>14</v>
      </c>
      <c r="CU702" s="13">
        <f t="shared" si="1068"/>
        <v>22</v>
      </c>
      <c r="CV702" s="14">
        <f t="shared" si="1069"/>
        <v>3</v>
      </c>
      <c r="CW702" s="14">
        <f t="shared" si="1070"/>
        <v>1102014</v>
      </c>
      <c r="CX702" s="14" t="str">
        <f>INDEX($O$6:$O$50,CT702)&amp;"-"&amp;INDEX(属性投放!$AB$7:$AB$50,CZ702)&amp;"-魂火-"&amp;DB702</f>
        <v>石灵明-大叫唤+1-魂火-1</v>
      </c>
      <c r="CY702" s="25" t="s">
        <v>142</v>
      </c>
      <c r="CZ702" s="14">
        <f>INDEX(属性投放!$AM$7:$AM$58,CU702)</f>
        <v>11</v>
      </c>
      <c r="DA702" s="14" t="s">
        <v>537</v>
      </c>
      <c r="DB702" s="14">
        <f>INDEX(属性投放!$AN$7:$AN$58,CU702)</f>
        <v>1</v>
      </c>
      <c r="DC702" s="14">
        <f t="shared" si="1066"/>
        <v>22</v>
      </c>
      <c r="DD702" s="14">
        <f>INDEX(属性投放!$AO$7:$AO$58,DC702)</f>
        <v>73</v>
      </c>
      <c r="DE702" s="14" t="s">
        <v>538</v>
      </c>
      <c r="DF702" s="14">
        <f>INDEX(属性投放!$BK$6:$BK$85,(CV702-2)*20+CZ702)</f>
        <v>150</v>
      </c>
      <c r="DG702" s="14">
        <f>SUMIFS(DF$5:DF702,$CT$5:$CT702,"="&amp;$CT702)</f>
        <v>1520</v>
      </c>
      <c r="DH702" s="14" t="s">
        <v>539</v>
      </c>
      <c r="DI702" s="14">
        <f>INDEX(属性投放!$BL$6:$BL$85,(CV702-2)*20+CZ702)</f>
        <v>75</v>
      </c>
      <c r="DJ702" s="14">
        <f>SUMIFS(DI$5:DI702,$CT$5:$CT702,"="&amp;$CT702)</f>
        <v>763</v>
      </c>
      <c r="DK702" s="14" t="s">
        <v>540</v>
      </c>
      <c r="DL702" s="14">
        <f>INDEX(属性投放!$BM$6:$BM$85,(CV702-2)*20+CZ702)</f>
        <v>1350</v>
      </c>
      <c r="DM702" s="14">
        <f>SUMIFS(DL$5:DL702,$CT$5:$CT702,"="&amp;$CT702)</f>
        <v>12140</v>
      </c>
      <c r="DR702" s="30"/>
      <c r="DS702" s="30"/>
      <c r="DW702" s="30"/>
      <c r="DX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1067"/>
        <v>14</v>
      </c>
      <c r="CU703" s="13">
        <f t="shared" si="1068"/>
        <v>23</v>
      </c>
      <c r="CV703" s="14">
        <f t="shared" si="1069"/>
        <v>3</v>
      </c>
      <c r="CW703" s="14">
        <f t="shared" si="1070"/>
        <v>1102014</v>
      </c>
      <c r="CX703" s="14" t="str">
        <f>INDEX($O$6:$O$50,CT703)&amp;"-"&amp;INDEX(属性投放!$AB$7:$AB$50,CZ703)&amp;"-魂火-"&amp;DB703</f>
        <v>石灵明-大叫唤+1-魂火-2</v>
      </c>
      <c r="CY703" s="25" t="s">
        <v>142</v>
      </c>
      <c r="CZ703" s="14">
        <f>INDEX(属性投放!$AM$7:$AM$58,CU703)</f>
        <v>11</v>
      </c>
      <c r="DA703" s="14" t="s">
        <v>537</v>
      </c>
      <c r="DB703" s="14">
        <f>INDEX(属性投放!$AN$7:$AN$58,CU703)</f>
        <v>2</v>
      </c>
      <c r="DC703" s="14">
        <f t="shared" si="1066"/>
        <v>23</v>
      </c>
      <c r="DD703" s="14">
        <f>INDEX(属性投放!$AO$7:$AO$58,DC703)</f>
        <v>75</v>
      </c>
      <c r="DE703" s="14" t="s">
        <v>538</v>
      </c>
      <c r="DF703" s="14">
        <f>INDEX(属性投放!$BK$6:$BK$85,(CV703-2)*20+CZ703)</f>
        <v>150</v>
      </c>
      <c r="DG703" s="14">
        <f>SUMIFS(DF$5:DF703,$CT$5:$CT703,"="&amp;$CT703)</f>
        <v>1670</v>
      </c>
      <c r="DH703" s="14" t="s">
        <v>539</v>
      </c>
      <c r="DI703" s="14">
        <f>INDEX(属性投放!$BL$6:$BL$85,(CV703-2)*20+CZ703)</f>
        <v>75</v>
      </c>
      <c r="DJ703" s="14">
        <f>SUMIFS(DI$5:DI703,$CT$5:$CT703,"="&amp;$CT703)</f>
        <v>838</v>
      </c>
      <c r="DK703" s="14" t="s">
        <v>540</v>
      </c>
      <c r="DL703" s="14">
        <f>INDEX(属性投放!$BM$6:$BM$85,(CV703-2)*20+CZ703)</f>
        <v>1350</v>
      </c>
      <c r="DM703" s="14">
        <f>SUMIFS(DL$5:DL703,$CT$5:$CT703,"="&amp;$CT703)</f>
        <v>13490</v>
      </c>
      <c r="DR703" s="30"/>
      <c r="DS703" s="30"/>
      <c r="DW703" s="30"/>
      <c r="DX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1067"/>
        <v>14</v>
      </c>
      <c r="CU704" s="13">
        <f t="shared" si="1068"/>
        <v>24</v>
      </c>
      <c r="CV704" s="14">
        <f t="shared" si="1069"/>
        <v>3</v>
      </c>
      <c r="CW704" s="14">
        <f t="shared" si="1070"/>
        <v>1102014</v>
      </c>
      <c r="CX704" s="14" t="str">
        <f>INDEX($O$6:$O$50,CT704)&amp;"-"&amp;INDEX(属性投放!$AB$7:$AB$50,CZ704)&amp;"-魂火-"&amp;DB704</f>
        <v>石灵明-大叫唤+1-魂火-3</v>
      </c>
      <c r="CY704" s="25" t="s">
        <v>142</v>
      </c>
      <c r="CZ704" s="14">
        <f>INDEX(属性投放!$AM$7:$AM$58,CU704)</f>
        <v>11</v>
      </c>
      <c r="DA704" s="14" t="s">
        <v>537</v>
      </c>
      <c r="DB704" s="14">
        <f>INDEX(属性投放!$AN$7:$AN$58,CU704)</f>
        <v>3</v>
      </c>
      <c r="DC704" s="14">
        <f t="shared" si="1066"/>
        <v>24</v>
      </c>
      <c r="DD704" s="14">
        <f>INDEX(属性投放!$AO$7:$AO$58,DC704)</f>
        <v>78</v>
      </c>
      <c r="DE704" s="14" t="s">
        <v>538</v>
      </c>
      <c r="DF704" s="14">
        <f>INDEX(属性投放!$BK$6:$BK$85,(CV704-2)*20+CZ704)</f>
        <v>150</v>
      </c>
      <c r="DG704" s="14">
        <f>SUMIFS(DF$5:DF704,$CT$5:$CT704,"="&amp;$CT704)</f>
        <v>1820</v>
      </c>
      <c r="DH704" s="14" t="s">
        <v>539</v>
      </c>
      <c r="DI704" s="14">
        <f>INDEX(属性投放!$BL$6:$BL$85,(CV704-2)*20+CZ704)</f>
        <v>75</v>
      </c>
      <c r="DJ704" s="14">
        <f>SUMIFS(DI$5:DI704,$CT$5:$CT704,"="&amp;$CT704)</f>
        <v>913</v>
      </c>
      <c r="DK704" s="14" t="s">
        <v>540</v>
      </c>
      <c r="DL704" s="14">
        <f>INDEX(属性投放!$BM$6:$BM$85,(CV704-2)*20+CZ704)</f>
        <v>1350</v>
      </c>
      <c r="DM704" s="14">
        <f>SUMIFS(DL$5:DL704,$CT$5:$CT704,"="&amp;$CT704)</f>
        <v>14840</v>
      </c>
      <c r="DR704" s="30"/>
      <c r="DS704" s="30"/>
      <c r="DW704" s="30"/>
      <c r="DX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</row>
    <row r="705" spans="31:163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1067"/>
        <v>14</v>
      </c>
      <c r="CU705" s="13">
        <f t="shared" si="1068"/>
        <v>25</v>
      </c>
      <c r="CV705" s="14">
        <f t="shared" si="1069"/>
        <v>3</v>
      </c>
      <c r="CW705" s="14">
        <f t="shared" si="1070"/>
        <v>1102014</v>
      </c>
      <c r="CX705" s="14" t="str">
        <f>INDEX($O$6:$O$50,CT705)&amp;"-"&amp;INDEX(属性投放!$AB$7:$AB$50,CZ705)&amp;"-魂火-"&amp;DB705</f>
        <v>石灵明-大叫唤+2-魂火-1</v>
      </c>
      <c r="CY705" s="25" t="s">
        <v>142</v>
      </c>
      <c r="CZ705" s="14">
        <f>INDEX(属性投放!$AM$7:$AM$58,CU705)</f>
        <v>12</v>
      </c>
      <c r="DA705" s="14" t="s">
        <v>537</v>
      </c>
      <c r="DB705" s="14">
        <f>INDEX(属性投放!$AN$7:$AN$58,CU705)</f>
        <v>1</v>
      </c>
      <c r="DC705" s="14">
        <f t="shared" si="1066"/>
        <v>25</v>
      </c>
      <c r="DD705" s="14">
        <f>INDEX(属性投放!$AO$7:$AO$58,DC705)</f>
        <v>80</v>
      </c>
      <c r="DE705" s="14" t="s">
        <v>538</v>
      </c>
      <c r="DF705" s="14">
        <f>INDEX(属性投放!$BK$6:$BK$85,(CV705-2)*20+CZ705)</f>
        <v>200</v>
      </c>
      <c r="DG705" s="14">
        <f>SUMIFS(DF$5:DF705,$CT$5:$CT705,"="&amp;$CT705)</f>
        <v>2020</v>
      </c>
      <c r="DH705" s="14" t="s">
        <v>539</v>
      </c>
      <c r="DI705" s="14">
        <f>INDEX(属性投放!$BL$6:$BL$85,(CV705-2)*20+CZ705)</f>
        <v>100</v>
      </c>
      <c r="DJ705" s="14">
        <f>SUMIFS(DI$5:DI705,$CT$5:$CT705,"="&amp;$CT705)</f>
        <v>1013</v>
      </c>
      <c r="DK705" s="14" t="s">
        <v>540</v>
      </c>
      <c r="DL705" s="14">
        <f>INDEX(属性投放!$BM$6:$BM$85,(CV705-2)*20+CZ705)</f>
        <v>1800</v>
      </c>
      <c r="DM705" s="14">
        <f>SUMIFS(DL$5:DL705,$CT$5:$CT705,"="&amp;$CT705)</f>
        <v>16640</v>
      </c>
      <c r="DR705" s="30"/>
      <c r="DS705" s="30"/>
      <c r="DW705" s="30"/>
      <c r="DX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</row>
    <row r="706" spans="31:163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1067"/>
        <v>14</v>
      </c>
      <c r="CU706" s="13">
        <f t="shared" si="1068"/>
        <v>26</v>
      </c>
      <c r="CV706" s="14">
        <f t="shared" si="1069"/>
        <v>3</v>
      </c>
      <c r="CW706" s="14">
        <f t="shared" si="1070"/>
        <v>1102014</v>
      </c>
      <c r="CX706" s="14" t="str">
        <f>INDEX($O$6:$O$50,CT706)&amp;"-"&amp;INDEX(属性投放!$AB$7:$AB$50,CZ706)&amp;"-魂火-"&amp;DB706</f>
        <v>石灵明-大叫唤+2-魂火-2</v>
      </c>
      <c r="CY706" s="25" t="s">
        <v>142</v>
      </c>
      <c r="CZ706" s="14">
        <f>INDEX(属性投放!$AM$7:$AM$58,CU706)</f>
        <v>12</v>
      </c>
      <c r="DA706" s="14" t="s">
        <v>537</v>
      </c>
      <c r="DB706" s="14">
        <f>INDEX(属性投放!$AN$7:$AN$58,CU706)</f>
        <v>2</v>
      </c>
      <c r="DC706" s="14">
        <f t="shared" si="1066"/>
        <v>26</v>
      </c>
      <c r="DD706" s="14">
        <f>INDEX(属性投放!$AO$7:$AO$58,DC706)</f>
        <v>83</v>
      </c>
      <c r="DE706" s="14" t="s">
        <v>538</v>
      </c>
      <c r="DF706" s="14">
        <f>INDEX(属性投放!$BK$6:$BK$85,(CV706-2)*20+CZ706)</f>
        <v>200</v>
      </c>
      <c r="DG706" s="14">
        <f>SUMIFS(DF$5:DF706,$CT$5:$CT706,"="&amp;$CT706)</f>
        <v>2220</v>
      </c>
      <c r="DH706" s="14" t="s">
        <v>539</v>
      </c>
      <c r="DI706" s="14">
        <f>INDEX(属性投放!$BL$6:$BL$85,(CV706-2)*20+CZ706)</f>
        <v>100</v>
      </c>
      <c r="DJ706" s="14">
        <f>SUMIFS(DI$5:DI706,$CT$5:$CT706,"="&amp;$CT706)</f>
        <v>1113</v>
      </c>
      <c r="DK706" s="14" t="s">
        <v>540</v>
      </c>
      <c r="DL706" s="14">
        <f>INDEX(属性投放!$BM$6:$BM$85,(CV706-2)*20+CZ706)</f>
        <v>1800</v>
      </c>
      <c r="DM706" s="14">
        <f>SUMIFS(DL$5:DL706,$CT$5:$CT706,"="&amp;$CT706)</f>
        <v>18440</v>
      </c>
      <c r="DR706" s="30"/>
      <c r="DS706" s="30"/>
      <c r="DW706" s="30"/>
      <c r="DX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</row>
    <row r="707" spans="31:163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1067"/>
        <v>14</v>
      </c>
      <c r="CU707" s="13">
        <f t="shared" si="1068"/>
        <v>27</v>
      </c>
      <c r="CV707" s="14">
        <f t="shared" si="1069"/>
        <v>3</v>
      </c>
      <c r="CW707" s="14">
        <f t="shared" si="1070"/>
        <v>1102014</v>
      </c>
      <c r="CX707" s="14" t="str">
        <f>INDEX($O$6:$O$50,CT707)&amp;"-"&amp;INDEX(属性投放!$AB$7:$AB$50,CZ707)&amp;"-魂火-"&amp;DB707</f>
        <v>石灵明-大叫唤+2-魂火-3</v>
      </c>
      <c r="CY707" s="25" t="s">
        <v>142</v>
      </c>
      <c r="CZ707" s="14">
        <f>INDEX(属性投放!$AM$7:$AM$58,CU707)</f>
        <v>12</v>
      </c>
      <c r="DA707" s="14" t="s">
        <v>537</v>
      </c>
      <c r="DB707" s="14">
        <f>INDEX(属性投放!$AN$7:$AN$58,CU707)</f>
        <v>3</v>
      </c>
      <c r="DC707" s="14">
        <f t="shared" si="1066"/>
        <v>27</v>
      </c>
      <c r="DD707" s="14">
        <f>INDEX(属性投放!$AO$7:$AO$58,DC707)</f>
        <v>85</v>
      </c>
      <c r="DE707" s="14" t="s">
        <v>538</v>
      </c>
      <c r="DF707" s="14">
        <f>INDEX(属性投放!$BK$6:$BK$85,(CV707-2)*20+CZ707)</f>
        <v>200</v>
      </c>
      <c r="DG707" s="14">
        <f>SUMIFS(DF$5:DF707,$CT$5:$CT707,"="&amp;$CT707)</f>
        <v>2420</v>
      </c>
      <c r="DH707" s="14" t="s">
        <v>539</v>
      </c>
      <c r="DI707" s="14">
        <f>INDEX(属性投放!$BL$6:$BL$85,(CV707-2)*20+CZ707)</f>
        <v>100</v>
      </c>
      <c r="DJ707" s="14">
        <f>SUMIFS(DI$5:DI707,$CT$5:$CT707,"="&amp;$CT707)</f>
        <v>1213</v>
      </c>
      <c r="DK707" s="14" t="s">
        <v>540</v>
      </c>
      <c r="DL707" s="14">
        <f>INDEX(属性投放!$BM$6:$BM$85,(CV707-2)*20+CZ707)</f>
        <v>1800</v>
      </c>
      <c r="DM707" s="14">
        <f>SUMIFS(DL$5:DL707,$CT$5:$CT707,"="&amp;$CT707)</f>
        <v>20240</v>
      </c>
      <c r="DR707" s="30"/>
      <c r="DS707" s="30"/>
      <c r="DW707" s="30"/>
      <c r="DX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</row>
    <row r="708" spans="31:163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1067"/>
        <v>14</v>
      </c>
      <c r="CU708" s="13">
        <f t="shared" si="1068"/>
        <v>28</v>
      </c>
      <c r="CV708" s="14">
        <f t="shared" si="1069"/>
        <v>3</v>
      </c>
      <c r="CW708" s="14">
        <f t="shared" si="1070"/>
        <v>1102014</v>
      </c>
      <c r="CX708" s="14" t="str">
        <f>INDEX($O$6:$O$50,CT708)&amp;"-"&amp;INDEX(属性投放!$AB$7:$AB$50,CZ708)&amp;"-魂火-"&amp;DB708</f>
        <v>石灵明-焦热-魂火-1</v>
      </c>
      <c r="CY708" s="25" t="s">
        <v>142</v>
      </c>
      <c r="CZ708" s="14">
        <f>INDEX(属性投放!$AM$7:$AM$58,CU708)</f>
        <v>13</v>
      </c>
      <c r="DA708" s="14" t="s">
        <v>537</v>
      </c>
      <c r="DB708" s="14">
        <f>INDEX(属性投放!$AN$7:$AN$58,CU708)</f>
        <v>1</v>
      </c>
      <c r="DC708" s="14">
        <f t="shared" si="1066"/>
        <v>28</v>
      </c>
      <c r="DD708" s="14">
        <f>INDEX(属性投放!$AO$7:$AO$58,DC708)</f>
        <v>88</v>
      </c>
      <c r="DE708" s="14" t="s">
        <v>538</v>
      </c>
      <c r="DF708" s="14">
        <f>INDEX(属性投放!$BK$6:$BK$85,(CV708-2)*20+CZ708)</f>
        <v>250</v>
      </c>
      <c r="DG708" s="14">
        <f>SUMIFS(DF$5:DF708,$CT$5:$CT708,"="&amp;$CT708)</f>
        <v>2670</v>
      </c>
      <c r="DH708" s="14" t="s">
        <v>539</v>
      </c>
      <c r="DI708" s="14">
        <f>INDEX(属性投放!$BL$6:$BL$85,(CV708-2)*20+CZ708)</f>
        <v>125</v>
      </c>
      <c r="DJ708" s="14">
        <f>SUMIFS(DI$5:DI708,$CT$5:$CT708,"="&amp;$CT708)</f>
        <v>1338</v>
      </c>
      <c r="DK708" s="14" t="s">
        <v>540</v>
      </c>
      <c r="DL708" s="14">
        <f>INDEX(属性投放!$BM$6:$BM$85,(CV708-2)*20+CZ708)</f>
        <v>2500</v>
      </c>
      <c r="DM708" s="14">
        <f>SUMIFS(DL$5:DL708,$CT$5:$CT708,"="&amp;$CT708)</f>
        <v>22740</v>
      </c>
      <c r="DR708" s="30"/>
      <c r="DS708" s="30"/>
      <c r="DW708" s="30"/>
      <c r="DX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</row>
    <row r="709" spans="31:163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1067"/>
        <v>14</v>
      </c>
      <c r="CU709" s="13">
        <f t="shared" si="1068"/>
        <v>29</v>
      </c>
      <c r="CV709" s="14">
        <f t="shared" si="1069"/>
        <v>3</v>
      </c>
      <c r="CW709" s="14">
        <f t="shared" si="1070"/>
        <v>1102014</v>
      </c>
      <c r="CX709" s="14" t="str">
        <f>INDEX($O$6:$O$50,CT709)&amp;"-"&amp;INDEX(属性投放!$AB$7:$AB$50,CZ709)&amp;"-魂火-"&amp;DB709</f>
        <v>石灵明-焦热-魂火-2</v>
      </c>
      <c r="CY709" s="25" t="s">
        <v>142</v>
      </c>
      <c r="CZ709" s="14">
        <f>INDEX(属性投放!$AM$7:$AM$58,CU709)</f>
        <v>13</v>
      </c>
      <c r="DA709" s="14" t="s">
        <v>537</v>
      </c>
      <c r="DB709" s="14">
        <f>INDEX(属性投放!$AN$7:$AN$58,CU709)</f>
        <v>2</v>
      </c>
      <c r="DC709" s="14">
        <f t="shared" ref="DC709:DC772" si="1071">CU709</f>
        <v>29</v>
      </c>
      <c r="DD709" s="14">
        <f>INDEX(属性投放!$AO$7:$AO$58,DC709)</f>
        <v>90</v>
      </c>
      <c r="DE709" s="14" t="s">
        <v>538</v>
      </c>
      <c r="DF709" s="14">
        <f>INDEX(属性投放!$BK$6:$BK$85,(CV709-2)*20+CZ709)</f>
        <v>250</v>
      </c>
      <c r="DG709" s="14">
        <f>SUMIFS(DF$5:DF709,$CT$5:$CT709,"="&amp;$CT709)</f>
        <v>2920</v>
      </c>
      <c r="DH709" s="14" t="s">
        <v>539</v>
      </c>
      <c r="DI709" s="14">
        <f>INDEX(属性投放!$BL$6:$BL$85,(CV709-2)*20+CZ709)</f>
        <v>125</v>
      </c>
      <c r="DJ709" s="14">
        <f>SUMIFS(DI$5:DI709,$CT$5:$CT709,"="&amp;$CT709)</f>
        <v>1463</v>
      </c>
      <c r="DK709" s="14" t="s">
        <v>540</v>
      </c>
      <c r="DL709" s="14">
        <f>INDEX(属性投放!$BM$6:$BM$85,(CV709-2)*20+CZ709)</f>
        <v>2500</v>
      </c>
      <c r="DM709" s="14">
        <f>SUMIFS(DL$5:DL709,$CT$5:$CT709,"="&amp;$CT709)</f>
        <v>25240</v>
      </c>
      <c r="DR709" s="30"/>
      <c r="DS709" s="30"/>
      <c r="DW709" s="30"/>
      <c r="DX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</row>
    <row r="710" spans="31:163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1072">MATCH(CS710-1,$U$5:$U$36,1)</f>
        <v>14</v>
      </c>
      <c r="CU710" s="13">
        <f t="shared" ref="CU710:CU773" si="1073">CS710-(CT710-1)*52</f>
        <v>30</v>
      </c>
      <c r="CV710" s="14">
        <f t="shared" ref="CV710:CV773" si="1074">INDEX($Q$6:$Q$50,CT710)</f>
        <v>3</v>
      </c>
      <c r="CW710" s="14">
        <f t="shared" ref="CW710:CW773" si="1075">INDEX($N$6:$N$50,CT710)</f>
        <v>1102014</v>
      </c>
      <c r="CX710" s="14" t="str">
        <f>INDEX($O$6:$O$50,CT710)&amp;"-"&amp;INDEX(属性投放!$AB$7:$AB$50,CZ710)&amp;"-魂火-"&amp;DB710</f>
        <v>石灵明-焦热-魂火-3</v>
      </c>
      <c r="CY710" s="25" t="s">
        <v>142</v>
      </c>
      <c r="CZ710" s="14">
        <f>INDEX(属性投放!$AM$7:$AM$58,CU710)</f>
        <v>13</v>
      </c>
      <c r="DA710" s="14" t="s">
        <v>537</v>
      </c>
      <c r="DB710" s="14">
        <f>INDEX(属性投放!$AN$7:$AN$58,CU710)</f>
        <v>3</v>
      </c>
      <c r="DC710" s="14">
        <f t="shared" si="1071"/>
        <v>30</v>
      </c>
      <c r="DD710" s="14">
        <f>INDEX(属性投放!$AO$7:$AO$58,DC710)</f>
        <v>93</v>
      </c>
      <c r="DE710" s="14" t="s">
        <v>538</v>
      </c>
      <c r="DF710" s="14">
        <f>INDEX(属性投放!$BK$6:$BK$85,(CV710-2)*20+CZ710)</f>
        <v>250</v>
      </c>
      <c r="DG710" s="14">
        <f>SUMIFS(DF$5:DF710,$CT$5:$CT710,"="&amp;$CT710)</f>
        <v>3170</v>
      </c>
      <c r="DH710" s="14" t="s">
        <v>539</v>
      </c>
      <c r="DI710" s="14">
        <f>INDEX(属性投放!$BL$6:$BL$85,(CV710-2)*20+CZ710)</f>
        <v>125</v>
      </c>
      <c r="DJ710" s="14">
        <f>SUMIFS(DI$5:DI710,$CT$5:$CT710,"="&amp;$CT710)</f>
        <v>1588</v>
      </c>
      <c r="DK710" s="14" t="s">
        <v>540</v>
      </c>
      <c r="DL710" s="14">
        <f>INDEX(属性投放!$BM$6:$BM$85,(CV710-2)*20+CZ710)</f>
        <v>2500</v>
      </c>
      <c r="DM710" s="14">
        <f>SUMIFS(DL$5:DL710,$CT$5:$CT710,"="&amp;$CT710)</f>
        <v>27740</v>
      </c>
      <c r="DR710" s="30"/>
      <c r="DS710" s="30"/>
      <c r="DW710" s="30"/>
      <c r="DX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</row>
    <row r="711" spans="31:163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1072"/>
        <v>14</v>
      </c>
      <c r="CU711" s="13">
        <f t="shared" si="1073"/>
        <v>31</v>
      </c>
      <c r="CV711" s="14">
        <f t="shared" si="1074"/>
        <v>3</v>
      </c>
      <c r="CW711" s="14">
        <f t="shared" si="1075"/>
        <v>1102014</v>
      </c>
      <c r="CX711" s="14" t="str">
        <f>INDEX($O$6:$O$50,CT711)&amp;"-"&amp;INDEX(属性投放!$AB$7:$AB$50,CZ711)&amp;"-魂火-"&amp;DB711</f>
        <v>石灵明-焦热+1-魂火-1</v>
      </c>
      <c r="CY711" s="25" t="s">
        <v>142</v>
      </c>
      <c r="CZ711" s="14">
        <f>INDEX(属性投放!$AM$7:$AM$58,CU711)</f>
        <v>14</v>
      </c>
      <c r="DA711" s="14" t="s">
        <v>537</v>
      </c>
      <c r="DB711" s="14">
        <f>INDEX(属性投放!$AN$7:$AN$58,CU711)</f>
        <v>1</v>
      </c>
      <c r="DC711" s="14">
        <f t="shared" si="1071"/>
        <v>31</v>
      </c>
      <c r="DD711" s="14">
        <f>INDEX(属性投放!$AO$7:$AO$58,DC711)</f>
        <v>95</v>
      </c>
      <c r="DE711" s="14" t="s">
        <v>538</v>
      </c>
      <c r="DF711" s="14">
        <f>INDEX(属性投放!$BK$6:$BK$85,(CV711-2)*20+CZ711)</f>
        <v>300</v>
      </c>
      <c r="DG711" s="14">
        <f>SUMIFS(DF$5:DF711,$CT$5:$CT711,"="&amp;$CT711)</f>
        <v>3470</v>
      </c>
      <c r="DH711" s="14" t="s">
        <v>539</v>
      </c>
      <c r="DI711" s="14">
        <f>INDEX(属性投放!$BL$6:$BL$85,(CV711-2)*20+CZ711)</f>
        <v>150</v>
      </c>
      <c r="DJ711" s="14">
        <f>SUMIFS(DI$5:DI711,$CT$5:$CT711,"="&amp;$CT711)</f>
        <v>1738</v>
      </c>
      <c r="DK711" s="14" t="s">
        <v>540</v>
      </c>
      <c r="DL711" s="14">
        <f>INDEX(属性投放!$BM$6:$BM$85,(CV711-2)*20+CZ711)</f>
        <v>3000</v>
      </c>
      <c r="DM711" s="14">
        <f>SUMIFS(DL$5:DL711,$CT$5:$CT711,"="&amp;$CT711)</f>
        <v>30740</v>
      </c>
      <c r="DR711" s="30"/>
      <c r="DS711" s="30"/>
      <c r="DW711" s="30"/>
      <c r="DX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</row>
    <row r="712" spans="31:163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1072"/>
        <v>14</v>
      </c>
      <c r="CU712" s="13">
        <f t="shared" si="1073"/>
        <v>32</v>
      </c>
      <c r="CV712" s="14">
        <f t="shared" si="1074"/>
        <v>3</v>
      </c>
      <c r="CW712" s="14">
        <f t="shared" si="1075"/>
        <v>1102014</v>
      </c>
      <c r="CX712" s="14" t="str">
        <f>INDEX($O$6:$O$50,CT712)&amp;"-"&amp;INDEX(属性投放!$AB$7:$AB$50,CZ712)&amp;"-魂火-"&amp;DB712</f>
        <v>石灵明-焦热+1-魂火-2</v>
      </c>
      <c r="CY712" s="25" t="s">
        <v>142</v>
      </c>
      <c r="CZ712" s="14">
        <f>INDEX(属性投放!$AM$7:$AM$58,CU712)</f>
        <v>14</v>
      </c>
      <c r="DA712" s="14" t="s">
        <v>537</v>
      </c>
      <c r="DB712" s="14">
        <f>INDEX(属性投放!$AN$7:$AN$58,CU712)</f>
        <v>2</v>
      </c>
      <c r="DC712" s="14">
        <f t="shared" si="1071"/>
        <v>32</v>
      </c>
      <c r="DD712" s="14">
        <f>INDEX(属性投放!$AO$7:$AO$58,DC712)</f>
        <v>98</v>
      </c>
      <c r="DE712" s="14" t="s">
        <v>538</v>
      </c>
      <c r="DF712" s="14">
        <f>INDEX(属性投放!$BK$6:$BK$85,(CV712-2)*20+CZ712)</f>
        <v>300</v>
      </c>
      <c r="DG712" s="14">
        <f>SUMIFS(DF$5:DF712,$CT$5:$CT712,"="&amp;$CT712)</f>
        <v>3770</v>
      </c>
      <c r="DH712" s="14" t="s">
        <v>539</v>
      </c>
      <c r="DI712" s="14">
        <f>INDEX(属性投放!$BL$6:$BL$85,(CV712-2)*20+CZ712)</f>
        <v>150</v>
      </c>
      <c r="DJ712" s="14">
        <f>SUMIFS(DI$5:DI712,$CT$5:$CT712,"="&amp;$CT712)</f>
        <v>1888</v>
      </c>
      <c r="DK712" s="14" t="s">
        <v>540</v>
      </c>
      <c r="DL712" s="14">
        <f>INDEX(属性投放!$BM$6:$BM$85,(CV712-2)*20+CZ712)</f>
        <v>3000</v>
      </c>
      <c r="DM712" s="14">
        <f>SUMIFS(DL$5:DL712,$CT$5:$CT712,"="&amp;$CT712)</f>
        <v>33740</v>
      </c>
      <c r="DR712" s="30"/>
      <c r="DS712" s="30"/>
      <c r="DW712" s="30"/>
      <c r="DX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</row>
    <row r="713" spans="31:163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1072"/>
        <v>14</v>
      </c>
      <c r="CU713" s="13">
        <f t="shared" si="1073"/>
        <v>33</v>
      </c>
      <c r="CV713" s="14">
        <f t="shared" si="1074"/>
        <v>3</v>
      </c>
      <c r="CW713" s="14">
        <f t="shared" si="1075"/>
        <v>1102014</v>
      </c>
      <c r="CX713" s="14" t="str">
        <f>INDEX($O$6:$O$50,CT713)&amp;"-"&amp;INDEX(属性投放!$AB$7:$AB$50,CZ713)&amp;"-魂火-"&amp;DB713</f>
        <v>石灵明-焦热+1-魂火-3</v>
      </c>
      <c r="CY713" s="25" t="s">
        <v>142</v>
      </c>
      <c r="CZ713" s="14">
        <f>INDEX(属性投放!$AM$7:$AM$58,CU713)</f>
        <v>14</v>
      </c>
      <c r="DA713" s="14" t="s">
        <v>537</v>
      </c>
      <c r="DB713" s="14">
        <f>INDEX(属性投放!$AN$7:$AN$58,CU713)</f>
        <v>3</v>
      </c>
      <c r="DC713" s="14">
        <f t="shared" si="1071"/>
        <v>33</v>
      </c>
      <c r="DD713" s="14">
        <f>INDEX(属性投放!$AO$7:$AO$58,DC713)</f>
        <v>100</v>
      </c>
      <c r="DE713" s="14" t="s">
        <v>538</v>
      </c>
      <c r="DF713" s="14">
        <f>INDEX(属性投放!$BK$6:$BK$85,(CV713-2)*20+CZ713)</f>
        <v>300</v>
      </c>
      <c r="DG713" s="14">
        <f>SUMIFS(DF$5:DF713,$CT$5:$CT713,"="&amp;$CT713)</f>
        <v>4070</v>
      </c>
      <c r="DH713" s="14" t="s">
        <v>539</v>
      </c>
      <c r="DI713" s="14">
        <f>INDEX(属性投放!$BL$6:$BL$85,(CV713-2)*20+CZ713)</f>
        <v>150</v>
      </c>
      <c r="DJ713" s="14">
        <f>SUMIFS(DI$5:DI713,$CT$5:$CT713,"="&amp;$CT713)</f>
        <v>2038</v>
      </c>
      <c r="DK713" s="14" t="s">
        <v>540</v>
      </c>
      <c r="DL713" s="14">
        <f>INDEX(属性投放!$BM$6:$BM$85,(CV713-2)*20+CZ713)</f>
        <v>3000</v>
      </c>
      <c r="DM713" s="14">
        <f>SUMIFS(DL$5:DL713,$CT$5:$CT713,"="&amp;$CT713)</f>
        <v>36740</v>
      </c>
      <c r="DR713" s="30"/>
      <c r="DS713" s="30"/>
      <c r="DW713" s="30"/>
      <c r="DX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</row>
    <row r="714" spans="31:163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1072"/>
        <v>14</v>
      </c>
      <c r="CU714" s="13">
        <f t="shared" si="1073"/>
        <v>34</v>
      </c>
      <c r="CV714" s="14">
        <f t="shared" si="1074"/>
        <v>3</v>
      </c>
      <c r="CW714" s="14">
        <f t="shared" si="1075"/>
        <v>1102014</v>
      </c>
      <c r="CX714" s="14" t="str">
        <f>INDEX($O$6:$O$50,CT714)&amp;"-"&amp;INDEX(属性投放!$AB$7:$AB$50,CZ714)&amp;"-魂火-"&amp;DB714</f>
        <v>石灵明-焦热+2-魂火-1</v>
      </c>
      <c r="CY714" s="25" t="s">
        <v>142</v>
      </c>
      <c r="CZ714" s="14">
        <f>INDEX(属性投放!$AM$7:$AM$58,CU714)</f>
        <v>15</v>
      </c>
      <c r="DA714" s="14" t="s">
        <v>537</v>
      </c>
      <c r="DB714" s="14">
        <f>INDEX(属性投放!$AN$7:$AN$58,CU714)</f>
        <v>1</v>
      </c>
      <c r="DC714" s="14">
        <f t="shared" si="1071"/>
        <v>34</v>
      </c>
      <c r="DD714" s="14">
        <f>INDEX(属性投放!$AO$7:$AO$58,DC714)</f>
        <v>103</v>
      </c>
      <c r="DE714" s="14" t="s">
        <v>538</v>
      </c>
      <c r="DF714" s="14">
        <f>INDEX(属性投放!$BK$6:$BK$85,(CV714-2)*20+CZ714)</f>
        <v>400</v>
      </c>
      <c r="DG714" s="14">
        <f>SUMIFS(DF$5:DF714,$CT$5:$CT714,"="&amp;$CT714)</f>
        <v>4470</v>
      </c>
      <c r="DH714" s="14" t="s">
        <v>539</v>
      </c>
      <c r="DI714" s="14">
        <f>INDEX(属性投放!$BL$6:$BL$85,(CV714-2)*20+CZ714)</f>
        <v>200</v>
      </c>
      <c r="DJ714" s="14">
        <f>SUMIFS(DI$5:DI714,$CT$5:$CT714,"="&amp;$CT714)</f>
        <v>2238</v>
      </c>
      <c r="DK714" s="14" t="s">
        <v>540</v>
      </c>
      <c r="DL714" s="14">
        <f>INDEX(属性投放!$BM$6:$BM$85,(CV714-2)*20+CZ714)</f>
        <v>4000</v>
      </c>
      <c r="DM714" s="14">
        <f>SUMIFS(DL$5:DL714,$CT$5:$CT714,"="&amp;$CT714)</f>
        <v>40740</v>
      </c>
      <c r="DR714" s="30"/>
      <c r="DS714" s="30"/>
      <c r="DW714" s="30"/>
      <c r="DX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</row>
    <row r="715" spans="31:163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1072"/>
        <v>14</v>
      </c>
      <c r="CU715" s="13">
        <f t="shared" si="1073"/>
        <v>35</v>
      </c>
      <c r="CV715" s="14">
        <f t="shared" si="1074"/>
        <v>3</v>
      </c>
      <c r="CW715" s="14">
        <f t="shared" si="1075"/>
        <v>1102014</v>
      </c>
      <c r="CX715" s="14" t="str">
        <f>INDEX($O$6:$O$50,CT715)&amp;"-"&amp;INDEX(属性投放!$AB$7:$AB$50,CZ715)&amp;"-魂火-"&amp;DB715</f>
        <v>石灵明-焦热+2-魂火-2</v>
      </c>
      <c r="CY715" s="25" t="s">
        <v>142</v>
      </c>
      <c r="CZ715" s="14">
        <f>INDEX(属性投放!$AM$7:$AM$58,CU715)</f>
        <v>15</v>
      </c>
      <c r="DA715" s="14" t="s">
        <v>537</v>
      </c>
      <c r="DB715" s="14">
        <f>INDEX(属性投放!$AN$7:$AN$58,CU715)</f>
        <v>2</v>
      </c>
      <c r="DC715" s="14">
        <f t="shared" si="1071"/>
        <v>35</v>
      </c>
      <c r="DD715" s="14">
        <f>INDEX(属性投放!$AO$7:$AO$58,DC715)</f>
        <v>105</v>
      </c>
      <c r="DE715" s="14" t="s">
        <v>538</v>
      </c>
      <c r="DF715" s="14">
        <f>INDEX(属性投放!$BK$6:$BK$85,(CV715-2)*20+CZ715)</f>
        <v>400</v>
      </c>
      <c r="DG715" s="14">
        <f>SUMIFS(DF$5:DF715,$CT$5:$CT715,"="&amp;$CT715)</f>
        <v>4870</v>
      </c>
      <c r="DH715" s="14" t="s">
        <v>539</v>
      </c>
      <c r="DI715" s="14">
        <f>INDEX(属性投放!$BL$6:$BL$85,(CV715-2)*20+CZ715)</f>
        <v>200</v>
      </c>
      <c r="DJ715" s="14">
        <f>SUMIFS(DI$5:DI715,$CT$5:$CT715,"="&amp;$CT715)</f>
        <v>2438</v>
      </c>
      <c r="DK715" s="14" t="s">
        <v>540</v>
      </c>
      <c r="DL715" s="14">
        <f>INDEX(属性投放!$BM$6:$BM$85,(CV715-2)*20+CZ715)</f>
        <v>4000</v>
      </c>
      <c r="DM715" s="14">
        <f>SUMIFS(DL$5:DL715,$CT$5:$CT715,"="&amp;$CT715)</f>
        <v>44740</v>
      </c>
      <c r="DR715" s="30"/>
      <c r="DS715" s="30"/>
      <c r="DW715" s="30"/>
      <c r="DX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</row>
    <row r="716" spans="31:163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1072"/>
        <v>14</v>
      </c>
      <c r="CU716" s="13">
        <f t="shared" si="1073"/>
        <v>36</v>
      </c>
      <c r="CV716" s="14">
        <f t="shared" si="1074"/>
        <v>3</v>
      </c>
      <c r="CW716" s="14">
        <f t="shared" si="1075"/>
        <v>1102014</v>
      </c>
      <c r="CX716" s="14" t="str">
        <f>INDEX($O$6:$O$50,CT716)&amp;"-"&amp;INDEX(属性投放!$AB$7:$AB$50,CZ716)&amp;"-魂火-"&amp;DB716</f>
        <v>石灵明-焦热+2-魂火-3</v>
      </c>
      <c r="CY716" s="25" t="s">
        <v>142</v>
      </c>
      <c r="CZ716" s="14">
        <f>INDEX(属性投放!$AM$7:$AM$58,CU716)</f>
        <v>15</v>
      </c>
      <c r="DA716" s="14" t="s">
        <v>537</v>
      </c>
      <c r="DB716" s="14">
        <f>INDEX(属性投放!$AN$7:$AN$58,CU716)</f>
        <v>3</v>
      </c>
      <c r="DC716" s="14">
        <f t="shared" si="1071"/>
        <v>36</v>
      </c>
      <c r="DD716" s="14">
        <f>INDEX(属性投放!$AO$7:$AO$58,DC716)</f>
        <v>108</v>
      </c>
      <c r="DE716" s="14" t="s">
        <v>538</v>
      </c>
      <c r="DF716" s="14">
        <f>INDEX(属性投放!$BK$6:$BK$85,(CV716-2)*20+CZ716)</f>
        <v>400</v>
      </c>
      <c r="DG716" s="14">
        <f>SUMIFS(DF$5:DF716,$CT$5:$CT716,"="&amp;$CT716)</f>
        <v>5270</v>
      </c>
      <c r="DH716" s="14" t="s">
        <v>539</v>
      </c>
      <c r="DI716" s="14">
        <f>INDEX(属性投放!$BL$6:$BL$85,(CV716-2)*20+CZ716)</f>
        <v>200</v>
      </c>
      <c r="DJ716" s="14">
        <f>SUMIFS(DI$5:DI716,$CT$5:$CT716,"="&amp;$CT716)</f>
        <v>2638</v>
      </c>
      <c r="DK716" s="14" t="s">
        <v>540</v>
      </c>
      <c r="DL716" s="14">
        <f>INDEX(属性投放!$BM$6:$BM$85,(CV716-2)*20+CZ716)</f>
        <v>4000</v>
      </c>
      <c r="DM716" s="14">
        <f>SUMIFS(DL$5:DL716,$CT$5:$CT716,"="&amp;$CT716)</f>
        <v>48740</v>
      </c>
      <c r="DR716" s="30"/>
      <c r="DS716" s="30"/>
      <c r="DW716" s="30"/>
      <c r="DX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</row>
    <row r="717" spans="31:163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1072"/>
        <v>14</v>
      </c>
      <c r="CU717" s="13">
        <f t="shared" si="1073"/>
        <v>37</v>
      </c>
      <c r="CV717" s="14">
        <f t="shared" si="1074"/>
        <v>3</v>
      </c>
      <c r="CW717" s="14">
        <f t="shared" si="1075"/>
        <v>1102014</v>
      </c>
      <c r="CX717" s="14" t="str">
        <f>INDEX($O$6:$O$50,CT717)&amp;"-"&amp;INDEX(属性投放!$AB$7:$AB$50,CZ717)&amp;"-魂火-"&amp;DB717</f>
        <v>石灵明-大焦热-魂火-1</v>
      </c>
      <c r="CY717" s="25" t="s">
        <v>142</v>
      </c>
      <c r="CZ717" s="14">
        <f>INDEX(属性投放!$AM$7:$AM$58,CU717)</f>
        <v>16</v>
      </c>
      <c r="DA717" s="14" t="s">
        <v>537</v>
      </c>
      <c r="DB717" s="14">
        <f>INDEX(属性投放!$AN$7:$AN$58,CU717)</f>
        <v>1</v>
      </c>
      <c r="DC717" s="14">
        <f t="shared" si="1071"/>
        <v>37</v>
      </c>
      <c r="DD717" s="14">
        <f>INDEX(属性投放!$AO$7:$AO$58,DC717)</f>
        <v>110</v>
      </c>
      <c r="DE717" s="14" t="s">
        <v>538</v>
      </c>
      <c r="DF717" s="14">
        <f>INDEX(属性投放!$BK$6:$BK$85,(CV717-2)*20+CZ717)</f>
        <v>500</v>
      </c>
      <c r="DG717" s="14">
        <f>SUMIFS(DF$5:DF717,$CT$5:$CT717,"="&amp;$CT717)</f>
        <v>5770</v>
      </c>
      <c r="DH717" s="14" t="s">
        <v>539</v>
      </c>
      <c r="DI717" s="14">
        <f>INDEX(属性投放!$BL$6:$BL$85,(CV717-2)*20+CZ717)</f>
        <v>250</v>
      </c>
      <c r="DJ717" s="14">
        <f>SUMIFS(DI$5:DI717,$CT$5:$CT717,"="&amp;$CT717)</f>
        <v>2888</v>
      </c>
      <c r="DK717" s="14" t="s">
        <v>540</v>
      </c>
      <c r="DL717" s="14">
        <f>INDEX(属性投放!$BM$6:$BM$85,(CV717-2)*20+CZ717)</f>
        <v>5000</v>
      </c>
      <c r="DM717" s="14">
        <f>SUMIFS(DL$5:DL717,$CT$5:$CT717,"="&amp;$CT717)</f>
        <v>53740</v>
      </c>
      <c r="DR717" s="30"/>
      <c r="DS717" s="30"/>
      <c r="DW717" s="30"/>
      <c r="DX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</row>
    <row r="718" spans="31:163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1072"/>
        <v>14</v>
      </c>
      <c r="CU718" s="13">
        <f t="shared" si="1073"/>
        <v>38</v>
      </c>
      <c r="CV718" s="14">
        <f t="shared" si="1074"/>
        <v>3</v>
      </c>
      <c r="CW718" s="14">
        <f t="shared" si="1075"/>
        <v>1102014</v>
      </c>
      <c r="CX718" s="14" t="str">
        <f>INDEX($O$6:$O$50,CT718)&amp;"-"&amp;INDEX(属性投放!$AB$7:$AB$50,CZ718)&amp;"-魂火-"&amp;DB718</f>
        <v>石灵明-大焦热-魂火-2</v>
      </c>
      <c r="CY718" s="25" t="s">
        <v>142</v>
      </c>
      <c r="CZ718" s="14">
        <f>INDEX(属性投放!$AM$7:$AM$58,CU718)</f>
        <v>16</v>
      </c>
      <c r="DA718" s="14" t="s">
        <v>537</v>
      </c>
      <c r="DB718" s="14">
        <f>INDEX(属性投放!$AN$7:$AN$58,CU718)</f>
        <v>2</v>
      </c>
      <c r="DC718" s="14">
        <f t="shared" si="1071"/>
        <v>38</v>
      </c>
      <c r="DD718" s="14">
        <f>INDEX(属性投放!$AO$7:$AO$58,DC718)</f>
        <v>113</v>
      </c>
      <c r="DE718" s="14" t="s">
        <v>538</v>
      </c>
      <c r="DF718" s="14">
        <f>INDEX(属性投放!$BK$6:$BK$85,(CV718-2)*20+CZ718)</f>
        <v>500</v>
      </c>
      <c r="DG718" s="14">
        <f>SUMIFS(DF$5:DF718,$CT$5:$CT718,"="&amp;$CT718)</f>
        <v>6270</v>
      </c>
      <c r="DH718" s="14" t="s">
        <v>539</v>
      </c>
      <c r="DI718" s="14">
        <f>INDEX(属性投放!$BL$6:$BL$85,(CV718-2)*20+CZ718)</f>
        <v>250</v>
      </c>
      <c r="DJ718" s="14">
        <f>SUMIFS(DI$5:DI718,$CT$5:$CT718,"="&amp;$CT718)</f>
        <v>3138</v>
      </c>
      <c r="DK718" s="14" t="s">
        <v>540</v>
      </c>
      <c r="DL718" s="14">
        <f>INDEX(属性投放!$BM$6:$BM$85,(CV718-2)*20+CZ718)</f>
        <v>5000</v>
      </c>
      <c r="DM718" s="14">
        <f>SUMIFS(DL$5:DL718,$CT$5:$CT718,"="&amp;$CT718)</f>
        <v>58740</v>
      </c>
      <c r="DR718" s="30"/>
      <c r="DS718" s="30"/>
      <c r="DW718" s="30"/>
      <c r="DX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</row>
    <row r="719" spans="31:163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1072"/>
        <v>14</v>
      </c>
      <c r="CU719" s="13">
        <f t="shared" si="1073"/>
        <v>39</v>
      </c>
      <c r="CV719" s="14">
        <f t="shared" si="1074"/>
        <v>3</v>
      </c>
      <c r="CW719" s="14">
        <f t="shared" si="1075"/>
        <v>1102014</v>
      </c>
      <c r="CX719" s="14" t="str">
        <f>INDEX($O$6:$O$50,CT719)&amp;"-"&amp;INDEX(属性投放!$AB$7:$AB$50,CZ719)&amp;"-魂火-"&amp;DB719</f>
        <v>石灵明-大焦热-魂火-3</v>
      </c>
      <c r="CY719" s="25" t="s">
        <v>142</v>
      </c>
      <c r="CZ719" s="14">
        <f>INDEX(属性投放!$AM$7:$AM$58,CU719)</f>
        <v>16</v>
      </c>
      <c r="DA719" s="14" t="s">
        <v>537</v>
      </c>
      <c r="DB719" s="14">
        <f>INDEX(属性投放!$AN$7:$AN$58,CU719)</f>
        <v>3</v>
      </c>
      <c r="DC719" s="14">
        <f t="shared" si="1071"/>
        <v>39</v>
      </c>
      <c r="DD719" s="14">
        <f>INDEX(属性投放!$AO$7:$AO$58,DC719)</f>
        <v>115</v>
      </c>
      <c r="DE719" s="14" t="s">
        <v>538</v>
      </c>
      <c r="DF719" s="14">
        <f>INDEX(属性投放!$BK$6:$BK$85,(CV719-2)*20+CZ719)</f>
        <v>500</v>
      </c>
      <c r="DG719" s="14">
        <f>SUMIFS(DF$5:DF719,$CT$5:$CT719,"="&amp;$CT719)</f>
        <v>6770</v>
      </c>
      <c r="DH719" s="14" t="s">
        <v>539</v>
      </c>
      <c r="DI719" s="14">
        <f>INDEX(属性投放!$BL$6:$BL$85,(CV719-2)*20+CZ719)</f>
        <v>250</v>
      </c>
      <c r="DJ719" s="14">
        <f>SUMIFS(DI$5:DI719,$CT$5:$CT719,"="&amp;$CT719)</f>
        <v>3388</v>
      </c>
      <c r="DK719" s="14" t="s">
        <v>540</v>
      </c>
      <c r="DL719" s="14">
        <f>INDEX(属性投放!$BM$6:$BM$85,(CV719-2)*20+CZ719)</f>
        <v>5000</v>
      </c>
      <c r="DM719" s="14">
        <f>SUMIFS(DL$5:DL719,$CT$5:$CT719,"="&amp;$CT719)</f>
        <v>63740</v>
      </c>
      <c r="DR719" s="30"/>
      <c r="DS719" s="30"/>
      <c r="DW719" s="30"/>
      <c r="DX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</row>
    <row r="720" spans="31:163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1072"/>
        <v>14</v>
      </c>
      <c r="CU720" s="13">
        <f t="shared" si="1073"/>
        <v>40</v>
      </c>
      <c r="CV720" s="14">
        <f t="shared" si="1074"/>
        <v>3</v>
      </c>
      <c r="CW720" s="14">
        <f t="shared" si="1075"/>
        <v>1102014</v>
      </c>
      <c r="CX720" s="14" t="str">
        <f>INDEX($O$6:$O$50,CT720)&amp;"-"&amp;INDEX(属性投放!$AB$7:$AB$50,CZ720)&amp;"-魂火-"&amp;DB720</f>
        <v>石灵明-大焦热+1-魂火-1</v>
      </c>
      <c r="CY720" s="25" t="s">
        <v>142</v>
      </c>
      <c r="CZ720" s="14">
        <f>INDEX(属性投放!$AM$7:$AM$58,CU720)</f>
        <v>17</v>
      </c>
      <c r="DA720" s="14" t="s">
        <v>537</v>
      </c>
      <c r="DB720" s="14">
        <f>INDEX(属性投放!$AN$7:$AN$58,CU720)</f>
        <v>1</v>
      </c>
      <c r="DC720" s="14">
        <f t="shared" si="1071"/>
        <v>40</v>
      </c>
      <c r="DD720" s="14">
        <f>INDEX(属性投放!$AO$7:$AO$58,DC720)</f>
        <v>118</v>
      </c>
      <c r="DE720" s="14" t="s">
        <v>538</v>
      </c>
      <c r="DF720" s="14">
        <f>INDEX(属性投放!$BK$6:$BK$85,(CV720-2)*20+CZ720)</f>
        <v>600</v>
      </c>
      <c r="DG720" s="14">
        <f>SUMIFS(DF$5:DF720,$CT$5:$CT720,"="&amp;$CT720)</f>
        <v>7370</v>
      </c>
      <c r="DH720" s="14" t="s">
        <v>539</v>
      </c>
      <c r="DI720" s="14">
        <f>INDEX(属性投放!$BL$6:$BL$85,(CV720-2)*20+CZ720)</f>
        <v>300</v>
      </c>
      <c r="DJ720" s="14">
        <f>SUMIFS(DI$5:DI720,$CT$5:$CT720,"="&amp;$CT720)</f>
        <v>3688</v>
      </c>
      <c r="DK720" s="14" t="s">
        <v>540</v>
      </c>
      <c r="DL720" s="14">
        <f>INDEX(属性投放!$BM$6:$BM$85,(CV720-2)*20+CZ720)</f>
        <v>6000</v>
      </c>
      <c r="DM720" s="14">
        <f>SUMIFS(DL$5:DL720,$CT$5:$CT720,"="&amp;$CT720)</f>
        <v>69740</v>
      </c>
      <c r="DR720" s="30"/>
      <c r="DS720" s="30"/>
      <c r="DW720" s="30"/>
      <c r="DX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</row>
    <row r="721" spans="31:163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1072"/>
        <v>14</v>
      </c>
      <c r="CU721" s="13">
        <f t="shared" si="1073"/>
        <v>41</v>
      </c>
      <c r="CV721" s="14">
        <f t="shared" si="1074"/>
        <v>3</v>
      </c>
      <c r="CW721" s="14">
        <f t="shared" si="1075"/>
        <v>1102014</v>
      </c>
      <c r="CX721" s="14" t="str">
        <f>INDEX($O$6:$O$50,CT721)&amp;"-"&amp;INDEX(属性投放!$AB$7:$AB$50,CZ721)&amp;"-魂火-"&amp;DB721</f>
        <v>石灵明-大焦热+1-魂火-2</v>
      </c>
      <c r="CY721" s="25" t="s">
        <v>142</v>
      </c>
      <c r="CZ721" s="14">
        <f>INDEX(属性投放!$AM$7:$AM$58,CU721)</f>
        <v>17</v>
      </c>
      <c r="DA721" s="14" t="s">
        <v>537</v>
      </c>
      <c r="DB721" s="14">
        <f>INDEX(属性投放!$AN$7:$AN$58,CU721)</f>
        <v>2</v>
      </c>
      <c r="DC721" s="14">
        <f t="shared" si="1071"/>
        <v>41</v>
      </c>
      <c r="DD721" s="14">
        <f>INDEX(属性投放!$AO$7:$AO$58,DC721)</f>
        <v>120</v>
      </c>
      <c r="DE721" s="14" t="s">
        <v>538</v>
      </c>
      <c r="DF721" s="14">
        <f>INDEX(属性投放!$BK$6:$BK$85,(CV721-2)*20+CZ721)</f>
        <v>600</v>
      </c>
      <c r="DG721" s="14">
        <f>SUMIFS(DF$5:DF721,$CT$5:$CT721,"="&amp;$CT721)</f>
        <v>7970</v>
      </c>
      <c r="DH721" s="14" t="s">
        <v>539</v>
      </c>
      <c r="DI721" s="14">
        <f>INDEX(属性投放!$BL$6:$BL$85,(CV721-2)*20+CZ721)</f>
        <v>300</v>
      </c>
      <c r="DJ721" s="14">
        <f>SUMIFS(DI$5:DI721,$CT$5:$CT721,"="&amp;$CT721)</f>
        <v>3988</v>
      </c>
      <c r="DK721" s="14" t="s">
        <v>540</v>
      </c>
      <c r="DL721" s="14">
        <f>INDEX(属性投放!$BM$6:$BM$85,(CV721-2)*20+CZ721)</f>
        <v>6000</v>
      </c>
      <c r="DM721" s="14">
        <f>SUMIFS(DL$5:DL721,$CT$5:$CT721,"="&amp;$CT721)</f>
        <v>75740</v>
      </c>
      <c r="DR721" s="30"/>
      <c r="DS721" s="30"/>
      <c r="DW721" s="30"/>
      <c r="DX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</row>
    <row r="722" spans="31:163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1072"/>
        <v>14</v>
      </c>
      <c r="CU722" s="13">
        <f t="shared" si="1073"/>
        <v>42</v>
      </c>
      <c r="CV722" s="14">
        <f t="shared" si="1074"/>
        <v>3</v>
      </c>
      <c r="CW722" s="14">
        <f t="shared" si="1075"/>
        <v>1102014</v>
      </c>
      <c r="CX722" s="14" t="str">
        <f>INDEX($O$6:$O$50,CT722)&amp;"-"&amp;INDEX(属性投放!$AB$7:$AB$50,CZ722)&amp;"-魂火-"&amp;DB722</f>
        <v>石灵明-大焦热+1-魂火-3</v>
      </c>
      <c r="CY722" s="25" t="s">
        <v>142</v>
      </c>
      <c r="CZ722" s="14">
        <f>INDEX(属性投放!$AM$7:$AM$58,CU722)</f>
        <v>17</v>
      </c>
      <c r="DA722" s="14" t="s">
        <v>537</v>
      </c>
      <c r="DB722" s="14">
        <f>INDEX(属性投放!$AN$7:$AN$58,CU722)</f>
        <v>3</v>
      </c>
      <c r="DC722" s="14">
        <f t="shared" si="1071"/>
        <v>42</v>
      </c>
      <c r="DD722" s="14">
        <f>INDEX(属性投放!$AO$7:$AO$58,DC722)</f>
        <v>123</v>
      </c>
      <c r="DE722" s="14" t="s">
        <v>538</v>
      </c>
      <c r="DF722" s="14">
        <f>INDEX(属性投放!$BK$6:$BK$85,(CV722-2)*20+CZ722)</f>
        <v>600</v>
      </c>
      <c r="DG722" s="14">
        <f>SUMIFS(DF$5:DF722,$CT$5:$CT722,"="&amp;$CT722)</f>
        <v>8570</v>
      </c>
      <c r="DH722" s="14" t="s">
        <v>539</v>
      </c>
      <c r="DI722" s="14">
        <f>INDEX(属性投放!$BL$6:$BL$85,(CV722-2)*20+CZ722)</f>
        <v>300</v>
      </c>
      <c r="DJ722" s="14">
        <f>SUMIFS(DI$5:DI722,$CT$5:$CT722,"="&amp;$CT722)</f>
        <v>4288</v>
      </c>
      <c r="DK722" s="14" t="s">
        <v>540</v>
      </c>
      <c r="DL722" s="14">
        <f>INDEX(属性投放!$BM$6:$BM$85,(CV722-2)*20+CZ722)</f>
        <v>6000</v>
      </c>
      <c r="DM722" s="14">
        <f>SUMIFS(DL$5:DL722,$CT$5:$CT722,"="&amp;$CT722)</f>
        <v>81740</v>
      </c>
      <c r="DR722" s="30"/>
      <c r="DS722" s="30"/>
      <c r="DW722" s="30"/>
      <c r="DX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</row>
    <row r="723" spans="31:163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1072"/>
        <v>14</v>
      </c>
      <c r="CU723" s="13">
        <f t="shared" si="1073"/>
        <v>43</v>
      </c>
      <c r="CV723" s="14">
        <f t="shared" si="1074"/>
        <v>3</v>
      </c>
      <c r="CW723" s="14">
        <f t="shared" si="1075"/>
        <v>1102014</v>
      </c>
      <c r="CX723" s="14" t="str">
        <f>INDEX($O$6:$O$50,CT723)&amp;"-"&amp;INDEX(属性投放!$AB$7:$AB$50,CZ723)&amp;"-魂火-"&amp;DB723</f>
        <v>石灵明-大焦热+2-魂火-1</v>
      </c>
      <c r="CY723" s="25" t="s">
        <v>142</v>
      </c>
      <c r="CZ723" s="14">
        <f>INDEX(属性投放!$AM$7:$AM$58,CU723)</f>
        <v>18</v>
      </c>
      <c r="DA723" s="14" t="s">
        <v>537</v>
      </c>
      <c r="DB723" s="14">
        <f>INDEX(属性投放!$AN$7:$AN$58,CU723)</f>
        <v>1</v>
      </c>
      <c r="DC723" s="14">
        <f t="shared" si="1071"/>
        <v>43</v>
      </c>
      <c r="DD723" s="14">
        <f>INDEX(属性投放!$AO$7:$AO$58,DC723)</f>
        <v>125</v>
      </c>
      <c r="DE723" s="14" t="s">
        <v>538</v>
      </c>
      <c r="DF723" s="14">
        <f>INDEX(属性投放!$BK$6:$BK$85,(CV723-2)*20+CZ723)</f>
        <v>700</v>
      </c>
      <c r="DG723" s="14">
        <f>SUMIFS(DF$5:DF723,$CT$5:$CT723,"="&amp;$CT723)</f>
        <v>9270</v>
      </c>
      <c r="DH723" s="14" t="s">
        <v>539</v>
      </c>
      <c r="DI723" s="14">
        <f>INDEX(属性投放!$BL$6:$BL$85,(CV723-2)*20+CZ723)</f>
        <v>350</v>
      </c>
      <c r="DJ723" s="14">
        <f>SUMIFS(DI$5:DI723,$CT$5:$CT723,"="&amp;$CT723)</f>
        <v>4638</v>
      </c>
      <c r="DK723" s="14" t="s">
        <v>540</v>
      </c>
      <c r="DL723" s="14">
        <f>INDEX(属性投放!$BM$6:$BM$85,(CV723-2)*20+CZ723)</f>
        <v>7000</v>
      </c>
      <c r="DM723" s="14">
        <f>SUMIFS(DL$5:DL723,$CT$5:$CT723,"="&amp;$CT723)</f>
        <v>88740</v>
      </c>
      <c r="DR723" s="30"/>
      <c r="DS723" s="30"/>
      <c r="DW723" s="30"/>
      <c r="DX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</row>
    <row r="724" spans="31:163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1072"/>
        <v>14</v>
      </c>
      <c r="CU724" s="13">
        <f t="shared" si="1073"/>
        <v>44</v>
      </c>
      <c r="CV724" s="14">
        <f t="shared" si="1074"/>
        <v>3</v>
      </c>
      <c r="CW724" s="14">
        <f t="shared" si="1075"/>
        <v>1102014</v>
      </c>
      <c r="CX724" s="14" t="str">
        <f>INDEX($O$6:$O$50,CT724)&amp;"-"&amp;INDEX(属性投放!$AB$7:$AB$50,CZ724)&amp;"-魂火-"&amp;DB724</f>
        <v>石灵明-大焦热+2-魂火-2</v>
      </c>
      <c r="CY724" s="25" t="s">
        <v>142</v>
      </c>
      <c r="CZ724" s="14">
        <f>INDEX(属性投放!$AM$7:$AM$58,CU724)</f>
        <v>18</v>
      </c>
      <c r="DA724" s="14" t="s">
        <v>537</v>
      </c>
      <c r="DB724" s="14">
        <f>INDEX(属性投放!$AN$7:$AN$58,CU724)</f>
        <v>2</v>
      </c>
      <c r="DC724" s="14">
        <f t="shared" si="1071"/>
        <v>44</v>
      </c>
      <c r="DD724" s="14">
        <f>INDEX(属性投放!$AO$7:$AO$58,DC724)</f>
        <v>128</v>
      </c>
      <c r="DE724" s="14" t="s">
        <v>538</v>
      </c>
      <c r="DF724" s="14">
        <f>INDEX(属性投放!$BK$6:$BK$85,(CV724-2)*20+CZ724)</f>
        <v>700</v>
      </c>
      <c r="DG724" s="14">
        <f>SUMIFS(DF$5:DF724,$CT$5:$CT724,"="&amp;$CT724)</f>
        <v>9970</v>
      </c>
      <c r="DH724" s="14" t="s">
        <v>539</v>
      </c>
      <c r="DI724" s="14">
        <f>INDEX(属性投放!$BL$6:$BL$85,(CV724-2)*20+CZ724)</f>
        <v>350</v>
      </c>
      <c r="DJ724" s="14">
        <f>SUMIFS(DI$5:DI724,$CT$5:$CT724,"="&amp;$CT724)</f>
        <v>4988</v>
      </c>
      <c r="DK724" s="14" t="s">
        <v>540</v>
      </c>
      <c r="DL724" s="14">
        <f>INDEX(属性投放!$BM$6:$BM$85,(CV724-2)*20+CZ724)</f>
        <v>7000</v>
      </c>
      <c r="DM724" s="14">
        <f>SUMIFS(DL$5:DL724,$CT$5:$CT724,"="&amp;$CT724)</f>
        <v>95740</v>
      </c>
      <c r="DR724" s="30"/>
      <c r="DS724" s="30"/>
      <c r="DW724" s="30"/>
      <c r="DX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</row>
    <row r="725" spans="31:163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1072"/>
        <v>14</v>
      </c>
      <c r="CU725" s="13">
        <f t="shared" si="1073"/>
        <v>45</v>
      </c>
      <c r="CV725" s="14">
        <f t="shared" si="1074"/>
        <v>3</v>
      </c>
      <c r="CW725" s="14">
        <f t="shared" si="1075"/>
        <v>1102014</v>
      </c>
      <c r="CX725" s="14" t="str">
        <f>INDEX($O$6:$O$50,CT725)&amp;"-"&amp;INDEX(属性投放!$AB$7:$AB$50,CZ725)&amp;"-魂火-"&amp;DB725</f>
        <v>石灵明-大焦热+2-魂火-3</v>
      </c>
      <c r="CY725" s="25" t="s">
        <v>142</v>
      </c>
      <c r="CZ725" s="14">
        <f>INDEX(属性投放!$AM$7:$AM$58,CU725)</f>
        <v>18</v>
      </c>
      <c r="DA725" s="14" t="s">
        <v>537</v>
      </c>
      <c r="DB725" s="14">
        <f>INDEX(属性投放!$AN$7:$AN$58,CU725)</f>
        <v>3</v>
      </c>
      <c r="DC725" s="14">
        <f t="shared" si="1071"/>
        <v>45</v>
      </c>
      <c r="DD725" s="14">
        <f>INDEX(属性投放!$AO$7:$AO$58,DC725)</f>
        <v>130</v>
      </c>
      <c r="DE725" s="14" t="s">
        <v>538</v>
      </c>
      <c r="DF725" s="14">
        <f>INDEX(属性投放!$BK$6:$BK$85,(CV725-2)*20+CZ725)</f>
        <v>700</v>
      </c>
      <c r="DG725" s="14">
        <f>SUMIFS(DF$5:DF725,$CT$5:$CT725,"="&amp;$CT725)</f>
        <v>10670</v>
      </c>
      <c r="DH725" s="14" t="s">
        <v>539</v>
      </c>
      <c r="DI725" s="14">
        <f>INDEX(属性投放!$BL$6:$BL$85,(CV725-2)*20+CZ725)</f>
        <v>350</v>
      </c>
      <c r="DJ725" s="14">
        <f>SUMIFS(DI$5:DI725,$CT$5:$CT725,"="&amp;$CT725)</f>
        <v>5338</v>
      </c>
      <c r="DK725" s="14" t="s">
        <v>540</v>
      </c>
      <c r="DL725" s="14">
        <f>INDEX(属性投放!$BM$6:$BM$85,(CV725-2)*20+CZ725)</f>
        <v>7000</v>
      </c>
      <c r="DM725" s="14">
        <f>SUMIFS(DL$5:DL725,$CT$5:$CT725,"="&amp;$CT725)</f>
        <v>102740</v>
      </c>
      <c r="DR725" s="30"/>
      <c r="DS725" s="30"/>
      <c r="DW725" s="30"/>
      <c r="DX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</row>
    <row r="726" spans="31:163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1072"/>
        <v>14</v>
      </c>
      <c r="CU726" s="13">
        <f t="shared" si="1073"/>
        <v>46</v>
      </c>
      <c r="CV726" s="14">
        <f t="shared" si="1074"/>
        <v>3</v>
      </c>
      <c r="CW726" s="14">
        <f t="shared" si="1075"/>
        <v>1102014</v>
      </c>
      <c r="CX726" s="14" t="str">
        <f>INDEX($O$6:$O$50,CT726)&amp;"-"&amp;INDEX(属性投放!$AB$7:$AB$50,CZ726)&amp;"-魂火-"&amp;DB726</f>
        <v>石灵明-无间-魂火-1</v>
      </c>
      <c r="CY726" s="25" t="s">
        <v>142</v>
      </c>
      <c r="CZ726" s="14">
        <f>INDEX(属性投放!$AM$7:$AM$58,CU726)</f>
        <v>19</v>
      </c>
      <c r="DA726" s="14" t="s">
        <v>537</v>
      </c>
      <c r="DB726" s="14">
        <f>INDEX(属性投放!$AN$7:$AN$58,CU726)</f>
        <v>1</v>
      </c>
      <c r="DC726" s="14">
        <f t="shared" si="1071"/>
        <v>46</v>
      </c>
      <c r="DD726" s="14">
        <f>INDEX(属性投放!$AO$7:$AO$58,DC726)</f>
        <v>133</v>
      </c>
      <c r="DE726" s="14" t="s">
        <v>538</v>
      </c>
      <c r="DF726" s="14">
        <f>INDEX(属性投放!$BK$6:$BK$85,(CV726-2)*20+CZ726)</f>
        <v>900</v>
      </c>
      <c r="DG726" s="14">
        <f>SUMIFS(DF$5:DF726,$CT$5:$CT726,"="&amp;$CT726)</f>
        <v>11570</v>
      </c>
      <c r="DH726" s="14" t="s">
        <v>539</v>
      </c>
      <c r="DI726" s="14">
        <f>INDEX(属性投放!$BL$6:$BL$85,(CV726-2)*20+CZ726)</f>
        <v>450</v>
      </c>
      <c r="DJ726" s="14">
        <f>SUMIFS(DI$5:DI726,$CT$5:$CT726,"="&amp;$CT726)</f>
        <v>5788</v>
      </c>
      <c r="DK726" s="14" t="s">
        <v>540</v>
      </c>
      <c r="DL726" s="14">
        <f>INDEX(属性投放!$BM$6:$BM$85,(CV726-2)*20+CZ726)</f>
        <v>9000</v>
      </c>
      <c r="DM726" s="14">
        <f>SUMIFS(DL$5:DL726,$CT$5:$CT726,"="&amp;$CT726)</f>
        <v>111740</v>
      </c>
      <c r="DR726" s="30"/>
      <c r="DS726" s="30"/>
      <c r="DW726" s="30"/>
      <c r="DX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</row>
    <row r="727" spans="31:163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1072"/>
        <v>14</v>
      </c>
      <c r="CU727" s="13">
        <f t="shared" si="1073"/>
        <v>47</v>
      </c>
      <c r="CV727" s="14">
        <f t="shared" si="1074"/>
        <v>3</v>
      </c>
      <c r="CW727" s="14">
        <f t="shared" si="1075"/>
        <v>1102014</v>
      </c>
      <c r="CX727" s="14" t="str">
        <f>INDEX($O$6:$O$50,CT727)&amp;"-"&amp;INDEX(属性投放!$AB$7:$AB$50,CZ727)&amp;"-魂火-"&amp;DB727</f>
        <v>石灵明-无间-魂火-2</v>
      </c>
      <c r="CY727" s="25" t="s">
        <v>142</v>
      </c>
      <c r="CZ727" s="14">
        <f>INDEX(属性投放!$AM$7:$AM$58,CU727)</f>
        <v>19</v>
      </c>
      <c r="DA727" s="14" t="s">
        <v>537</v>
      </c>
      <c r="DB727" s="14">
        <f>INDEX(属性投放!$AN$7:$AN$58,CU727)</f>
        <v>2</v>
      </c>
      <c r="DC727" s="14">
        <f t="shared" si="1071"/>
        <v>47</v>
      </c>
      <c r="DD727" s="14">
        <f>INDEX(属性投放!$AO$7:$AO$58,DC727)</f>
        <v>135</v>
      </c>
      <c r="DE727" s="14" t="s">
        <v>538</v>
      </c>
      <c r="DF727" s="14">
        <f>INDEX(属性投放!$BK$6:$BK$85,(CV727-2)*20+CZ727)</f>
        <v>900</v>
      </c>
      <c r="DG727" s="14">
        <f>SUMIFS(DF$5:DF727,$CT$5:$CT727,"="&amp;$CT727)</f>
        <v>12470</v>
      </c>
      <c r="DH727" s="14" t="s">
        <v>539</v>
      </c>
      <c r="DI727" s="14">
        <f>INDEX(属性投放!$BL$6:$BL$85,(CV727-2)*20+CZ727)</f>
        <v>450</v>
      </c>
      <c r="DJ727" s="14">
        <f>SUMIFS(DI$5:DI727,$CT$5:$CT727,"="&amp;$CT727)</f>
        <v>6238</v>
      </c>
      <c r="DK727" s="14" t="s">
        <v>540</v>
      </c>
      <c r="DL727" s="14">
        <f>INDEX(属性投放!$BM$6:$BM$85,(CV727-2)*20+CZ727)</f>
        <v>9000</v>
      </c>
      <c r="DM727" s="14">
        <f>SUMIFS(DL$5:DL727,$CT$5:$CT727,"="&amp;$CT727)</f>
        <v>120740</v>
      </c>
      <c r="DR727" s="30"/>
      <c r="DS727" s="30"/>
      <c r="DW727" s="30"/>
      <c r="DX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</row>
    <row r="728" spans="31:163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1072"/>
        <v>14</v>
      </c>
      <c r="CU728" s="13">
        <f t="shared" si="1073"/>
        <v>48</v>
      </c>
      <c r="CV728" s="14">
        <f t="shared" si="1074"/>
        <v>3</v>
      </c>
      <c r="CW728" s="14">
        <f t="shared" si="1075"/>
        <v>1102014</v>
      </c>
      <c r="CX728" s="14" t="str">
        <f>INDEX($O$6:$O$50,CT728)&amp;"-"&amp;INDEX(属性投放!$AB$7:$AB$50,CZ728)&amp;"-魂火-"&amp;DB728</f>
        <v>石灵明-无间-魂火-3</v>
      </c>
      <c r="CY728" s="25" t="s">
        <v>142</v>
      </c>
      <c r="CZ728" s="14">
        <f>INDEX(属性投放!$AM$7:$AM$58,CU728)</f>
        <v>19</v>
      </c>
      <c r="DA728" s="14" t="s">
        <v>537</v>
      </c>
      <c r="DB728" s="14">
        <f>INDEX(属性投放!$AN$7:$AN$58,CU728)</f>
        <v>3</v>
      </c>
      <c r="DC728" s="14">
        <f t="shared" si="1071"/>
        <v>48</v>
      </c>
      <c r="DD728" s="14">
        <f>INDEX(属性投放!$AO$7:$AO$58,DC728)</f>
        <v>138</v>
      </c>
      <c r="DE728" s="14" t="s">
        <v>538</v>
      </c>
      <c r="DF728" s="14">
        <f>INDEX(属性投放!$BK$6:$BK$85,(CV728-2)*20+CZ728)</f>
        <v>900</v>
      </c>
      <c r="DG728" s="14">
        <f>SUMIFS(DF$5:DF728,$CT$5:$CT728,"="&amp;$CT728)</f>
        <v>13370</v>
      </c>
      <c r="DH728" s="14" t="s">
        <v>539</v>
      </c>
      <c r="DI728" s="14">
        <f>INDEX(属性投放!$BL$6:$BL$85,(CV728-2)*20+CZ728)</f>
        <v>450</v>
      </c>
      <c r="DJ728" s="14">
        <f>SUMIFS(DI$5:DI728,$CT$5:$CT728,"="&amp;$CT728)</f>
        <v>6688</v>
      </c>
      <c r="DK728" s="14" t="s">
        <v>540</v>
      </c>
      <c r="DL728" s="14">
        <f>INDEX(属性投放!$BM$6:$BM$85,(CV728-2)*20+CZ728)</f>
        <v>9000</v>
      </c>
      <c r="DM728" s="14">
        <f>SUMIFS(DL$5:DL728,$CT$5:$CT728,"="&amp;$CT728)</f>
        <v>129740</v>
      </c>
      <c r="DR728" s="30"/>
      <c r="DS728" s="30"/>
      <c r="DW728" s="30"/>
      <c r="DX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</row>
    <row r="729" spans="31:163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1072"/>
        <v>14</v>
      </c>
      <c r="CU729" s="13">
        <f t="shared" si="1073"/>
        <v>49</v>
      </c>
      <c r="CV729" s="14">
        <f t="shared" si="1074"/>
        <v>3</v>
      </c>
      <c r="CW729" s="14">
        <f t="shared" si="1075"/>
        <v>1102014</v>
      </c>
      <c r="CX729" s="14" t="str">
        <f>INDEX($O$6:$O$50,CT729)&amp;"-"&amp;INDEX(属性投放!$AB$7:$AB$50,CZ729)&amp;"-魂火-"&amp;DB729</f>
        <v>石灵明-无间+1-魂火-1</v>
      </c>
      <c r="CY729" s="25" t="s">
        <v>142</v>
      </c>
      <c r="CZ729" s="14">
        <f>INDEX(属性投放!$AM$7:$AM$58,CU729)</f>
        <v>20</v>
      </c>
      <c r="DA729" s="14" t="s">
        <v>537</v>
      </c>
      <c r="DB729" s="14">
        <f>INDEX(属性投放!$AN$7:$AN$58,CU729)</f>
        <v>1</v>
      </c>
      <c r="DC729" s="14">
        <f t="shared" si="1071"/>
        <v>49</v>
      </c>
      <c r="DD729" s="14">
        <f>INDEX(属性投放!$AO$7:$AO$58,DC729)</f>
        <v>140</v>
      </c>
      <c r="DE729" s="14" t="s">
        <v>538</v>
      </c>
      <c r="DF729" s="14">
        <f>INDEX(属性投放!$BK$6:$BK$85,(CV729-2)*20+CZ729)</f>
        <v>1000</v>
      </c>
      <c r="DG729" s="14">
        <f>SUMIFS(DF$5:DF729,$CT$5:$CT729,"="&amp;$CT729)</f>
        <v>14370</v>
      </c>
      <c r="DH729" s="14" t="s">
        <v>539</v>
      </c>
      <c r="DI729" s="14">
        <f>INDEX(属性投放!$BL$6:$BL$85,(CV729-2)*20+CZ729)</f>
        <v>500</v>
      </c>
      <c r="DJ729" s="14">
        <f>SUMIFS(DI$5:DI729,$CT$5:$CT729,"="&amp;$CT729)</f>
        <v>7188</v>
      </c>
      <c r="DK729" s="14" t="s">
        <v>540</v>
      </c>
      <c r="DL729" s="14">
        <f>INDEX(属性投放!$BM$6:$BM$85,(CV729-2)*20+CZ729)</f>
        <v>10000</v>
      </c>
      <c r="DM729" s="14">
        <f>SUMIFS(DL$5:DL729,$CT$5:$CT729,"="&amp;$CT729)</f>
        <v>139740</v>
      </c>
      <c r="DR729" s="30"/>
      <c r="DS729" s="30"/>
      <c r="DW729" s="30"/>
      <c r="DX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</row>
    <row r="730" spans="31:163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1072"/>
        <v>14</v>
      </c>
      <c r="CU730" s="13">
        <f t="shared" si="1073"/>
        <v>50</v>
      </c>
      <c r="CV730" s="14">
        <f t="shared" si="1074"/>
        <v>3</v>
      </c>
      <c r="CW730" s="14">
        <f t="shared" si="1075"/>
        <v>1102014</v>
      </c>
      <c r="CX730" s="14" t="str">
        <f>INDEX($O$6:$O$50,CT730)&amp;"-"&amp;INDEX(属性投放!$AB$7:$AB$50,CZ730)&amp;"-魂火-"&amp;DB730</f>
        <v>石灵明-无间+1-魂火-2</v>
      </c>
      <c r="CY730" s="25" t="s">
        <v>142</v>
      </c>
      <c r="CZ730" s="14">
        <f>INDEX(属性投放!$AM$7:$AM$58,CU730)</f>
        <v>20</v>
      </c>
      <c r="DA730" s="14" t="s">
        <v>537</v>
      </c>
      <c r="DB730" s="14">
        <f>INDEX(属性投放!$AN$7:$AN$58,CU730)</f>
        <v>2</v>
      </c>
      <c r="DC730" s="14">
        <f t="shared" si="1071"/>
        <v>50</v>
      </c>
      <c r="DD730" s="14">
        <f>INDEX(属性投放!$AO$7:$AO$58,DC730)</f>
        <v>143</v>
      </c>
      <c r="DE730" s="14" t="s">
        <v>538</v>
      </c>
      <c r="DF730" s="14">
        <f>INDEX(属性投放!$BK$6:$BK$85,(CV730-2)*20+CZ730)</f>
        <v>1000</v>
      </c>
      <c r="DG730" s="14">
        <f>SUMIFS(DF$5:DF730,$CT$5:$CT730,"="&amp;$CT730)</f>
        <v>15370</v>
      </c>
      <c r="DH730" s="14" t="s">
        <v>539</v>
      </c>
      <c r="DI730" s="14">
        <f>INDEX(属性投放!$BL$6:$BL$85,(CV730-2)*20+CZ730)</f>
        <v>500</v>
      </c>
      <c r="DJ730" s="14">
        <f>SUMIFS(DI$5:DI730,$CT$5:$CT730,"="&amp;$CT730)</f>
        <v>7688</v>
      </c>
      <c r="DK730" s="14" t="s">
        <v>540</v>
      </c>
      <c r="DL730" s="14">
        <f>INDEX(属性投放!$BM$6:$BM$85,(CV730-2)*20+CZ730)</f>
        <v>10000</v>
      </c>
      <c r="DM730" s="14">
        <f>SUMIFS(DL$5:DL730,$CT$5:$CT730,"="&amp;$CT730)</f>
        <v>149740</v>
      </c>
      <c r="DR730" s="30"/>
      <c r="DS730" s="30"/>
      <c r="DW730" s="30"/>
      <c r="DX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</row>
    <row r="731" spans="31:163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1072"/>
        <v>14</v>
      </c>
      <c r="CU731" s="13">
        <f t="shared" si="1073"/>
        <v>51</v>
      </c>
      <c r="CV731" s="14">
        <f t="shared" si="1074"/>
        <v>3</v>
      </c>
      <c r="CW731" s="14">
        <f t="shared" si="1075"/>
        <v>1102014</v>
      </c>
      <c r="CX731" s="14" t="str">
        <f>INDEX($O$6:$O$50,CT731)&amp;"-"&amp;INDEX(属性投放!$AB$7:$AB$50,CZ731)&amp;"-魂火-"&amp;DB731</f>
        <v>石灵明-无间+1-魂火-3</v>
      </c>
      <c r="CY731" s="25" t="s">
        <v>142</v>
      </c>
      <c r="CZ731" s="14">
        <f>INDEX(属性投放!$AM$7:$AM$58,CU731)</f>
        <v>20</v>
      </c>
      <c r="DA731" s="14" t="s">
        <v>537</v>
      </c>
      <c r="DB731" s="14">
        <f>INDEX(属性投放!$AN$7:$AN$58,CU731)</f>
        <v>3</v>
      </c>
      <c r="DC731" s="14">
        <f t="shared" si="1071"/>
        <v>51</v>
      </c>
      <c r="DD731" s="14">
        <f>INDEX(属性投放!$AO$7:$AO$58,DC731)</f>
        <v>145</v>
      </c>
      <c r="DE731" s="14" t="s">
        <v>538</v>
      </c>
      <c r="DF731" s="14">
        <f>INDEX(属性投放!$BK$6:$BK$85,(CV731-2)*20+CZ731)</f>
        <v>1000</v>
      </c>
      <c r="DG731" s="14">
        <f>SUMIFS(DF$5:DF731,$CT$5:$CT731,"="&amp;$CT731)</f>
        <v>16370</v>
      </c>
      <c r="DH731" s="14" t="s">
        <v>539</v>
      </c>
      <c r="DI731" s="14">
        <f>INDEX(属性投放!$BL$6:$BL$85,(CV731-2)*20+CZ731)</f>
        <v>500</v>
      </c>
      <c r="DJ731" s="14">
        <f>SUMIFS(DI$5:DI731,$CT$5:$CT731,"="&amp;$CT731)</f>
        <v>8188</v>
      </c>
      <c r="DK731" s="14" t="s">
        <v>540</v>
      </c>
      <c r="DL731" s="14">
        <f>INDEX(属性投放!$BM$6:$BM$85,(CV731-2)*20+CZ731)</f>
        <v>10000</v>
      </c>
      <c r="DM731" s="14">
        <f>SUMIFS(DL$5:DL731,$CT$5:$CT731,"="&amp;$CT731)</f>
        <v>159740</v>
      </c>
      <c r="DR731" s="30"/>
      <c r="DS731" s="30"/>
      <c r="DW731" s="30"/>
      <c r="DX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</row>
    <row r="732" spans="31:163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1072"/>
        <v>14</v>
      </c>
      <c r="CU732" s="13">
        <f t="shared" si="1073"/>
        <v>52</v>
      </c>
      <c r="CV732" s="14">
        <f t="shared" si="1074"/>
        <v>3</v>
      </c>
      <c r="CW732" s="14">
        <f t="shared" si="1075"/>
        <v>1102014</v>
      </c>
      <c r="CX732" s="14" t="str">
        <f>INDEX($O$6:$O$50,CT732)&amp;"-"&amp;INDEX(属性投放!$AB$7:$AB$50,CZ732)&amp;"-魂火-"&amp;DB732</f>
        <v>石灵明-无间+1-魂火-4</v>
      </c>
      <c r="CY732" s="25" t="s">
        <v>142</v>
      </c>
      <c r="CZ732" s="14">
        <f>INDEX(属性投放!$AM$7:$AM$58,CU732)</f>
        <v>20</v>
      </c>
      <c r="DA732" s="14" t="s">
        <v>537</v>
      </c>
      <c r="DB732" s="14">
        <f>INDEX(属性投放!$AN$7:$AN$58,CU732)</f>
        <v>4</v>
      </c>
      <c r="DC732" s="14">
        <f t="shared" si="1071"/>
        <v>52</v>
      </c>
      <c r="DD732" s="14">
        <f>INDEX(属性投放!$AO$7:$AO$58,DC732)</f>
        <v>148</v>
      </c>
      <c r="DE732" s="14" t="s">
        <v>538</v>
      </c>
      <c r="DF732" s="14">
        <f>INDEX(属性投放!$BK$6:$BK$85,(CV732-2)*20+CZ732)</f>
        <v>1000</v>
      </c>
      <c r="DG732" s="14">
        <f>SUMIFS(DF$5:DF732,$CT$5:$CT732,"="&amp;$CT732)</f>
        <v>17370</v>
      </c>
      <c r="DH732" s="14" t="s">
        <v>539</v>
      </c>
      <c r="DI732" s="14">
        <f>INDEX(属性投放!$BL$6:$BL$85,(CV732-2)*20+CZ732)</f>
        <v>500</v>
      </c>
      <c r="DJ732" s="14">
        <f>SUMIFS(DI$5:DI732,$CT$5:$CT732,"="&amp;$CT732)</f>
        <v>8688</v>
      </c>
      <c r="DK732" s="14" t="s">
        <v>540</v>
      </c>
      <c r="DL732" s="14">
        <f>INDEX(属性投放!$BM$6:$BM$85,(CV732-2)*20+CZ732)</f>
        <v>10000</v>
      </c>
      <c r="DM732" s="14">
        <f>SUMIFS(DL$5:DL732,$CT$5:$CT732,"="&amp;$CT732)</f>
        <v>169740</v>
      </c>
      <c r="DR732" s="30"/>
      <c r="DS732" s="30"/>
      <c r="DW732" s="30"/>
      <c r="DX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</row>
    <row r="733" spans="31:163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1072"/>
        <v>15</v>
      </c>
      <c r="CU733" s="13">
        <f t="shared" si="1073"/>
        <v>1</v>
      </c>
      <c r="CV733" s="14">
        <f t="shared" si="1074"/>
        <v>2</v>
      </c>
      <c r="CW733" s="14">
        <f t="shared" si="1075"/>
        <v>1102015</v>
      </c>
      <c r="CX733" s="14" t="str">
        <f>INDEX($O$6:$O$50,CT733)&amp;"-"&amp;INDEX(属性投放!$AB$7:$AB$50,CZ733)&amp;"-魂火-"&amp;DB733</f>
        <v>于禁-等活-魂火-1</v>
      </c>
      <c r="CY733" s="25" t="s">
        <v>142</v>
      </c>
      <c r="CZ733" s="14">
        <f>INDEX(属性投放!$AM$7:$AM$58,CU733)</f>
        <v>1</v>
      </c>
      <c r="DA733" s="14" t="s">
        <v>537</v>
      </c>
      <c r="DB733" s="14">
        <f>INDEX(属性投放!$AN$7:$AN$58,CU733)</f>
        <v>1</v>
      </c>
      <c r="DC733" s="14">
        <f t="shared" si="1071"/>
        <v>1</v>
      </c>
      <c r="DD733" s="14">
        <f>INDEX(属性投放!$AO$7:$AO$58,DC733)</f>
        <v>3</v>
      </c>
      <c r="DE733" s="14" t="s">
        <v>538</v>
      </c>
      <c r="DF733" s="14">
        <f>INDEX(属性投放!$BK$6:$BK$85,(CV733-2)*20+CZ733)</f>
        <v>15</v>
      </c>
      <c r="DG733" s="14">
        <f>SUMIFS(DF$5:DF733,$CT$5:$CT733,"="&amp;$CT733)</f>
        <v>15</v>
      </c>
      <c r="DH733" s="14" t="s">
        <v>539</v>
      </c>
      <c r="DI733" s="14">
        <f>INDEX(属性投放!$BL$6:$BL$85,(CV733-2)*20+CZ733)</f>
        <v>8</v>
      </c>
      <c r="DJ733" s="14">
        <f>SUMIFS(DI$5:DI733,$CT$5:$CT733,"="&amp;$CT733)</f>
        <v>8</v>
      </c>
      <c r="DK733" s="14" t="s">
        <v>540</v>
      </c>
      <c r="DL733" s="14">
        <f>INDEX(属性投放!$BM$6:$BM$85,(CV733-2)*20+CZ733)</f>
        <v>90</v>
      </c>
      <c r="DM733" s="14">
        <f>SUMIFS(DL$5:DL733,$CT$5:$CT733,"="&amp;$CT733)</f>
        <v>90</v>
      </c>
      <c r="DR733" s="30"/>
      <c r="DS733" s="30"/>
      <c r="DW733" s="30"/>
      <c r="DX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</row>
    <row r="734" spans="31:163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1072"/>
        <v>15</v>
      </c>
      <c r="CU734" s="13">
        <f t="shared" si="1073"/>
        <v>2</v>
      </c>
      <c r="CV734" s="14">
        <f t="shared" si="1074"/>
        <v>2</v>
      </c>
      <c r="CW734" s="14">
        <f t="shared" si="1075"/>
        <v>1102015</v>
      </c>
      <c r="CX734" s="14" t="str">
        <f>INDEX($O$6:$O$50,CT734)&amp;"-"&amp;INDEX(属性投放!$AB$7:$AB$50,CZ734)&amp;"-魂火-"&amp;DB734</f>
        <v>于禁-黑绳-魂火-1</v>
      </c>
      <c r="CY734" s="25" t="s">
        <v>142</v>
      </c>
      <c r="CZ734" s="14">
        <f>INDEX(属性投放!$AM$7:$AM$58,CU734)</f>
        <v>2</v>
      </c>
      <c r="DA734" s="14" t="s">
        <v>537</v>
      </c>
      <c r="DB734" s="14">
        <f>INDEX(属性投放!$AN$7:$AN$58,CU734)</f>
        <v>1</v>
      </c>
      <c r="DC734" s="14">
        <f t="shared" si="1071"/>
        <v>2</v>
      </c>
      <c r="DD734" s="14">
        <f>INDEX(属性投放!$AO$7:$AO$58,DC734)</f>
        <v>8</v>
      </c>
      <c r="DE734" s="14" t="s">
        <v>538</v>
      </c>
      <c r="DF734" s="14">
        <f>INDEX(属性投放!$BK$6:$BK$85,(CV734-2)*20+CZ734)</f>
        <v>20</v>
      </c>
      <c r="DG734" s="14">
        <f>SUMIFS(DF$5:DF734,$CT$5:$CT734,"="&amp;$CT734)</f>
        <v>35</v>
      </c>
      <c r="DH734" s="14" t="s">
        <v>539</v>
      </c>
      <c r="DI734" s="14">
        <f>INDEX(属性投放!$BL$6:$BL$85,(CV734-2)*20+CZ734)</f>
        <v>10</v>
      </c>
      <c r="DJ734" s="14">
        <f>SUMIFS(DI$5:DI734,$CT$5:$CT734,"="&amp;$CT734)</f>
        <v>18</v>
      </c>
      <c r="DK734" s="14" t="s">
        <v>540</v>
      </c>
      <c r="DL734" s="14">
        <f>INDEX(属性投放!$BM$6:$BM$85,(CV734-2)*20+CZ734)</f>
        <v>120</v>
      </c>
      <c r="DM734" s="14">
        <f>SUMIFS(DL$5:DL734,$CT$5:$CT734,"="&amp;$CT734)</f>
        <v>210</v>
      </c>
      <c r="DR734" s="30"/>
      <c r="DS734" s="30"/>
      <c r="DW734" s="30"/>
      <c r="DX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</row>
    <row r="735" spans="31:163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1072"/>
        <v>15</v>
      </c>
      <c r="CU735" s="13">
        <f t="shared" si="1073"/>
        <v>3</v>
      </c>
      <c r="CV735" s="14">
        <f t="shared" si="1074"/>
        <v>2</v>
      </c>
      <c r="CW735" s="14">
        <f t="shared" si="1075"/>
        <v>1102015</v>
      </c>
      <c r="CX735" s="14" t="str">
        <f>INDEX($O$6:$O$50,CT735)&amp;"-"&amp;INDEX(属性投放!$AB$7:$AB$50,CZ735)&amp;"-魂火-"&amp;DB735</f>
        <v>于禁-黑绳-魂火-2</v>
      </c>
      <c r="CY735" s="25" t="s">
        <v>142</v>
      </c>
      <c r="CZ735" s="14">
        <f>INDEX(属性投放!$AM$7:$AM$58,CU735)</f>
        <v>2</v>
      </c>
      <c r="DA735" s="14" t="s">
        <v>537</v>
      </c>
      <c r="DB735" s="14">
        <f>INDEX(属性投放!$AN$7:$AN$58,CU735)</f>
        <v>2</v>
      </c>
      <c r="DC735" s="14">
        <f t="shared" si="1071"/>
        <v>3</v>
      </c>
      <c r="DD735" s="14">
        <f>INDEX(属性投放!$AO$7:$AO$58,DC735)</f>
        <v>13</v>
      </c>
      <c r="DE735" s="14" t="s">
        <v>538</v>
      </c>
      <c r="DF735" s="14">
        <f>INDEX(属性投放!$BK$6:$BK$85,(CV735-2)*20+CZ735)</f>
        <v>20</v>
      </c>
      <c r="DG735" s="14">
        <f>SUMIFS(DF$5:DF735,$CT$5:$CT735,"="&amp;$CT735)</f>
        <v>55</v>
      </c>
      <c r="DH735" s="14" t="s">
        <v>539</v>
      </c>
      <c r="DI735" s="14">
        <f>INDEX(属性投放!$BL$6:$BL$85,(CV735-2)*20+CZ735)</f>
        <v>10</v>
      </c>
      <c r="DJ735" s="14">
        <f>SUMIFS(DI$5:DI735,$CT$5:$CT735,"="&amp;$CT735)</f>
        <v>28</v>
      </c>
      <c r="DK735" s="14" t="s">
        <v>540</v>
      </c>
      <c r="DL735" s="14">
        <f>INDEX(属性投放!$BM$6:$BM$85,(CV735-2)*20+CZ735)</f>
        <v>120</v>
      </c>
      <c r="DM735" s="14">
        <f>SUMIFS(DL$5:DL735,$CT$5:$CT735,"="&amp;$CT735)</f>
        <v>330</v>
      </c>
      <c r="DR735" s="30"/>
      <c r="DS735" s="30"/>
      <c r="DW735" s="30"/>
      <c r="DX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</row>
    <row r="736" spans="31:163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1072"/>
        <v>15</v>
      </c>
      <c r="CU736" s="13">
        <f t="shared" si="1073"/>
        <v>4</v>
      </c>
      <c r="CV736" s="14">
        <f t="shared" si="1074"/>
        <v>2</v>
      </c>
      <c r="CW736" s="14">
        <f t="shared" si="1075"/>
        <v>1102015</v>
      </c>
      <c r="CX736" s="14" t="str">
        <f>INDEX($O$6:$O$50,CT736)&amp;"-"&amp;INDEX(属性投放!$AB$7:$AB$50,CZ736)&amp;"-魂火-"&amp;DB736</f>
        <v>于禁-黑绳+1-魂火-1</v>
      </c>
      <c r="CY736" s="25" t="s">
        <v>142</v>
      </c>
      <c r="CZ736" s="14">
        <f>INDEX(属性投放!$AM$7:$AM$58,CU736)</f>
        <v>3</v>
      </c>
      <c r="DA736" s="14" t="s">
        <v>537</v>
      </c>
      <c r="DB736" s="14">
        <f>INDEX(属性投放!$AN$7:$AN$58,CU736)</f>
        <v>1</v>
      </c>
      <c r="DC736" s="14">
        <f t="shared" si="1071"/>
        <v>4</v>
      </c>
      <c r="DD736" s="14">
        <f>INDEX(属性投放!$AO$7:$AO$58,DC736)</f>
        <v>18</v>
      </c>
      <c r="DE736" s="14" t="s">
        <v>538</v>
      </c>
      <c r="DF736" s="14">
        <f>INDEX(属性投放!$BK$6:$BK$85,(CV736-2)*20+CZ736)</f>
        <v>25</v>
      </c>
      <c r="DG736" s="14">
        <f>SUMIFS(DF$5:DF736,$CT$5:$CT736,"="&amp;$CT736)</f>
        <v>80</v>
      </c>
      <c r="DH736" s="14" t="s">
        <v>539</v>
      </c>
      <c r="DI736" s="14">
        <f>INDEX(属性投放!$BL$6:$BL$85,(CV736-2)*20+CZ736)</f>
        <v>13</v>
      </c>
      <c r="DJ736" s="14">
        <f>SUMIFS(DI$5:DI736,$CT$5:$CT736,"="&amp;$CT736)</f>
        <v>41</v>
      </c>
      <c r="DK736" s="14" t="s">
        <v>540</v>
      </c>
      <c r="DL736" s="14">
        <f>INDEX(属性投放!$BM$6:$BM$85,(CV736-2)*20+CZ736)</f>
        <v>150</v>
      </c>
      <c r="DM736" s="14">
        <f>SUMIFS(DL$5:DL736,$CT$5:$CT736,"="&amp;$CT736)</f>
        <v>480</v>
      </c>
      <c r="DR736" s="30"/>
      <c r="DS736" s="30"/>
      <c r="DW736" s="30"/>
      <c r="DX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</row>
    <row r="737" spans="31:163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1072"/>
        <v>15</v>
      </c>
      <c r="CU737" s="13">
        <f t="shared" si="1073"/>
        <v>5</v>
      </c>
      <c r="CV737" s="14">
        <f t="shared" si="1074"/>
        <v>2</v>
      </c>
      <c r="CW737" s="14">
        <f t="shared" si="1075"/>
        <v>1102015</v>
      </c>
      <c r="CX737" s="14" t="str">
        <f>INDEX($O$6:$O$50,CT737)&amp;"-"&amp;INDEX(属性投放!$AB$7:$AB$50,CZ737)&amp;"-魂火-"&amp;DB737</f>
        <v>于禁-黑绳+1-魂火-2</v>
      </c>
      <c r="CY737" s="25" t="s">
        <v>142</v>
      </c>
      <c r="CZ737" s="14">
        <f>INDEX(属性投放!$AM$7:$AM$58,CU737)</f>
        <v>3</v>
      </c>
      <c r="DA737" s="14" t="s">
        <v>537</v>
      </c>
      <c r="DB737" s="14">
        <f>INDEX(属性投放!$AN$7:$AN$58,CU737)</f>
        <v>2</v>
      </c>
      <c r="DC737" s="14">
        <f t="shared" si="1071"/>
        <v>5</v>
      </c>
      <c r="DD737" s="14">
        <f>INDEX(属性投放!$AO$7:$AO$58,DC737)</f>
        <v>23</v>
      </c>
      <c r="DE737" s="14" t="s">
        <v>538</v>
      </c>
      <c r="DF737" s="14">
        <f>INDEX(属性投放!$BK$6:$BK$85,(CV737-2)*20+CZ737)</f>
        <v>25</v>
      </c>
      <c r="DG737" s="14">
        <f>SUMIFS(DF$5:DF737,$CT$5:$CT737,"="&amp;$CT737)</f>
        <v>105</v>
      </c>
      <c r="DH737" s="14" t="s">
        <v>539</v>
      </c>
      <c r="DI737" s="14">
        <f>INDEX(属性投放!$BL$6:$BL$85,(CV737-2)*20+CZ737)</f>
        <v>13</v>
      </c>
      <c r="DJ737" s="14">
        <f>SUMIFS(DI$5:DI737,$CT$5:$CT737,"="&amp;$CT737)</f>
        <v>54</v>
      </c>
      <c r="DK737" s="14" t="s">
        <v>540</v>
      </c>
      <c r="DL737" s="14">
        <f>INDEX(属性投放!$BM$6:$BM$85,(CV737-2)*20+CZ737)</f>
        <v>150</v>
      </c>
      <c r="DM737" s="14">
        <f>SUMIFS(DL$5:DL737,$CT$5:$CT737,"="&amp;$CT737)</f>
        <v>630</v>
      </c>
      <c r="DR737" s="30"/>
      <c r="DS737" s="30"/>
      <c r="DW737" s="30"/>
      <c r="DX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</row>
    <row r="738" spans="31:163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1072"/>
        <v>15</v>
      </c>
      <c r="CU738" s="13">
        <f t="shared" si="1073"/>
        <v>6</v>
      </c>
      <c r="CV738" s="14">
        <f t="shared" si="1074"/>
        <v>2</v>
      </c>
      <c r="CW738" s="14">
        <f t="shared" si="1075"/>
        <v>1102015</v>
      </c>
      <c r="CX738" s="14" t="str">
        <f>INDEX($O$6:$O$50,CT738)&amp;"-"&amp;INDEX(属性投放!$AB$7:$AB$50,CZ738)&amp;"-魂火-"&amp;DB738</f>
        <v>于禁-众合-魂火-1</v>
      </c>
      <c r="CY738" s="25" t="s">
        <v>142</v>
      </c>
      <c r="CZ738" s="14">
        <f>INDEX(属性投放!$AM$7:$AM$58,CU738)</f>
        <v>4</v>
      </c>
      <c r="DA738" s="14" t="s">
        <v>537</v>
      </c>
      <c r="DB738" s="14">
        <f>INDEX(属性投放!$AN$7:$AN$58,CU738)</f>
        <v>1</v>
      </c>
      <c r="DC738" s="14">
        <f t="shared" si="1071"/>
        <v>6</v>
      </c>
      <c r="DD738" s="14">
        <f>INDEX(属性投放!$AO$7:$AO$58,DC738)</f>
        <v>28</v>
      </c>
      <c r="DE738" s="14" t="s">
        <v>538</v>
      </c>
      <c r="DF738" s="14">
        <f>INDEX(属性投放!$BK$6:$BK$85,(CV738-2)*20+CZ738)</f>
        <v>30</v>
      </c>
      <c r="DG738" s="14">
        <f>SUMIFS(DF$5:DF738,$CT$5:$CT738,"="&amp;$CT738)</f>
        <v>135</v>
      </c>
      <c r="DH738" s="14" t="s">
        <v>539</v>
      </c>
      <c r="DI738" s="14">
        <f>INDEX(属性投放!$BL$6:$BL$85,(CV738-2)*20+CZ738)</f>
        <v>15</v>
      </c>
      <c r="DJ738" s="14">
        <f>SUMIFS(DI$5:DI738,$CT$5:$CT738,"="&amp;$CT738)</f>
        <v>69</v>
      </c>
      <c r="DK738" s="14" t="s">
        <v>540</v>
      </c>
      <c r="DL738" s="14">
        <f>INDEX(属性投放!$BM$6:$BM$85,(CV738-2)*20+CZ738)</f>
        <v>210</v>
      </c>
      <c r="DM738" s="14">
        <f>SUMIFS(DL$5:DL738,$CT$5:$CT738,"="&amp;$CT738)</f>
        <v>840</v>
      </c>
      <c r="DR738" s="30"/>
      <c r="DS738" s="30"/>
      <c r="DW738" s="30"/>
      <c r="DX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</row>
    <row r="739" spans="31:163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1072"/>
        <v>15</v>
      </c>
      <c r="CU739" s="13">
        <f t="shared" si="1073"/>
        <v>7</v>
      </c>
      <c r="CV739" s="14">
        <f t="shared" si="1074"/>
        <v>2</v>
      </c>
      <c r="CW739" s="14">
        <f t="shared" si="1075"/>
        <v>1102015</v>
      </c>
      <c r="CX739" s="14" t="str">
        <f>INDEX($O$6:$O$50,CT739)&amp;"-"&amp;INDEX(属性投放!$AB$7:$AB$50,CZ739)&amp;"-魂火-"&amp;DB739</f>
        <v>于禁-众合-魂火-2</v>
      </c>
      <c r="CY739" s="25" t="s">
        <v>142</v>
      </c>
      <c r="CZ739" s="14">
        <f>INDEX(属性投放!$AM$7:$AM$58,CU739)</f>
        <v>4</v>
      </c>
      <c r="DA739" s="14" t="s">
        <v>537</v>
      </c>
      <c r="DB739" s="14">
        <f>INDEX(属性投放!$AN$7:$AN$58,CU739)</f>
        <v>2</v>
      </c>
      <c r="DC739" s="14">
        <f t="shared" si="1071"/>
        <v>7</v>
      </c>
      <c r="DD739" s="14">
        <f>INDEX(属性投放!$AO$7:$AO$58,DC739)</f>
        <v>33</v>
      </c>
      <c r="DE739" s="14" t="s">
        <v>538</v>
      </c>
      <c r="DF739" s="14">
        <f>INDEX(属性投放!$BK$6:$BK$85,(CV739-2)*20+CZ739)</f>
        <v>30</v>
      </c>
      <c r="DG739" s="14">
        <f>SUMIFS(DF$5:DF739,$CT$5:$CT739,"="&amp;$CT739)</f>
        <v>165</v>
      </c>
      <c r="DH739" s="14" t="s">
        <v>539</v>
      </c>
      <c r="DI739" s="14">
        <f>INDEX(属性投放!$BL$6:$BL$85,(CV739-2)*20+CZ739)</f>
        <v>15</v>
      </c>
      <c r="DJ739" s="14">
        <f>SUMIFS(DI$5:DI739,$CT$5:$CT739,"="&amp;$CT739)</f>
        <v>84</v>
      </c>
      <c r="DK739" s="14" t="s">
        <v>540</v>
      </c>
      <c r="DL739" s="14">
        <f>INDEX(属性投放!$BM$6:$BM$85,(CV739-2)*20+CZ739)</f>
        <v>210</v>
      </c>
      <c r="DM739" s="14">
        <f>SUMIFS(DL$5:DL739,$CT$5:$CT739,"="&amp;$CT739)</f>
        <v>1050</v>
      </c>
      <c r="DR739" s="30"/>
      <c r="DS739" s="30"/>
      <c r="DW739" s="30"/>
      <c r="DX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</row>
    <row r="740" spans="31:163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1072"/>
        <v>15</v>
      </c>
      <c r="CU740" s="13">
        <f t="shared" si="1073"/>
        <v>8</v>
      </c>
      <c r="CV740" s="14">
        <f t="shared" si="1074"/>
        <v>2</v>
      </c>
      <c r="CW740" s="14">
        <f t="shared" si="1075"/>
        <v>1102015</v>
      </c>
      <c r="CX740" s="14" t="str">
        <f>INDEX($O$6:$O$50,CT740)&amp;"-"&amp;INDEX(属性投放!$AB$7:$AB$50,CZ740)&amp;"-魂火-"&amp;DB740</f>
        <v>于禁-众合+1-魂火-1</v>
      </c>
      <c r="CY740" s="25" t="s">
        <v>142</v>
      </c>
      <c r="CZ740" s="14">
        <f>INDEX(属性投放!$AM$7:$AM$58,CU740)</f>
        <v>5</v>
      </c>
      <c r="DA740" s="14" t="s">
        <v>537</v>
      </c>
      <c r="DB740" s="14">
        <f>INDEX(属性投放!$AN$7:$AN$58,CU740)</f>
        <v>1</v>
      </c>
      <c r="DC740" s="14">
        <f t="shared" si="1071"/>
        <v>8</v>
      </c>
      <c r="DD740" s="14">
        <f>INDEX(属性投放!$AO$7:$AO$58,DC740)</f>
        <v>38</v>
      </c>
      <c r="DE740" s="14" t="s">
        <v>538</v>
      </c>
      <c r="DF740" s="14">
        <f>INDEX(属性投放!$BK$6:$BK$85,(CV740-2)*20+CZ740)</f>
        <v>35</v>
      </c>
      <c r="DG740" s="14">
        <f>SUMIFS(DF$5:DF740,$CT$5:$CT740,"="&amp;$CT740)</f>
        <v>200</v>
      </c>
      <c r="DH740" s="14" t="s">
        <v>539</v>
      </c>
      <c r="DI740" s="14">
        <f>INDEX(属性投放!$BL$6:$BL$85,(CV740-2)*20+CZ740)</f>
        <v>18</v>
      </c>
      <c r="DJ740" s="14">
        <f>SUMIFS(DI$5:DI740,$CT$5:$CT740,"="&amp;$CT740)</f>
        <v>102</v>
      </c>
      <c r="DK740" s="14" t="s">
        <v>540</v>
      </c>
      <c r="DL740" s="14">
        <f>INDEX(属性投放!$BM$6:$BM$85,(CV740-2)*20+CZ740)</f>
        <v>245</v>
      </c>
      <c r="DM740" s="14">
        <f>SUMIFS(DL$5:DL740,$CT$5:$CT740,"="&amp;$CT740)</f>
        <v>1295</v>
      </c>
      <c r="DR740" s="30"/>
      <c r="DS740" s="30"/>
      <c r="DW740" s="30"/>
      <c r="DX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</row>
    <row r="741" spans="31:163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1072"/>
        <v>15</v>
      </c>
      <c r="CU741" s="13">
        <f t="shared" si="1073"/>
        <v>9</v>
      </c>
      <c r="CV741" s="14">
        <f t="shared" si="1074"/>
        <v>2</v>
      </c>
      <c r="CW741" s="14">
        <f t="shared" si="1075"/>
        <v>1102015</v>
      </c>
      <c r="CX741" s="14" t="str">
        <f>INDEX($O$6:$O$50,CT741)&amp;"-"&amp;INDEX(属性投放!$AB$7:$AB$50,CZ741)&amp;"-魂火-"&amp;DB741</f>
        <v>于禁-众合+1-魂火-2</v>
      </c>
      <c r="CY741" s="25" t="s">
        <v>142</v>
      </c>
      <c r="CZ741" s="14">
        <f>INDEX(属性投放!$AM$7:$AM$58,CU741)</f>
        <v>5</v>
      </c>
      <c r="DA741" s="14" t="s">
        <v>537</v>
      </c>
      <c r="DB741" s="14">
        <f>INDEX(属性投放!$AN$7:$AN$58,CU741)</f>
        <v>2</v>
      </c>
      <c r="DC741" s="14">
        <f t="shared" si="1071"/>
        <v>9</v>
      </c>
      <c r="DD741" s="14">
        <f>INDEX(属性投放!$AO$7:$AO$58,DC741)</f>
        <v>40</v>
      </c>
      <c r="DE741" s="14" t="s">
        <v>538</v>
      </c>
      <c r="DF741" s="14">
        <f>INDEX(属性投放!$BK$6:$BK$85,(CV741-2)*20+CZ741)</f>
        <v>35</v>
      </c>
      <c r="DG741" s="14">
        <f>SUMIFS(DF$5:DF741,$CT$5:$CT741,"="&amp;$CT741)</f>
        <v>235</v>
      </c>
      <c r="DH741" s="14" t="s">
        <v>539</v>
      </c>
      <c r="DI741" s="14">
        <f>INDEX(属性投放!$BL$6:$BL$85,(CV741-2)*20+CZ741)</f>
        <v>18</v>
      </c>
      <c r="DJ741" s="14">
        <f>SUMIFS(DI$5:DI741,$CT$5:$CT741,"="&amp;$CT741)</f>
        <v>120</v>
      </c>
      <c r="DK741" s="14" t="s">
        <v>540</v>
      </c>
      <c r="DL741" s="14">
        <f>INDEX(属性投放!$BM$6:$BM$85,(CV741-2)*20+CZ741)</f>
        <v>245</v>
      </c>
      <c r="DM741" s="14">
        <f>SUMIFS(DL$5:DL741,$CT$5:$CT741,"="&amp;$CT741)</f>
        <v>1540</v>
      </c>
      <c r="DR741" s="30"/>
      <c r="DS741" s="30"/>
      <c r="DW741" s="30"/>
      <c r="DX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</row>
    <row r="742" spans="31:163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1072"/>
        <v>15</v>
      </c>
      <c r="CU742" s="13">
        <f t="shared" si="1073"/>
        <v>10</v>
      </c>
      <c r="CV742" s="14">
        <f t="shared" si="1074"/>
        <v>2</v>
      </c>
      <c r="CW742" s="14">
        <f t="shared" si="1075"/>
        <v>1102015</v>
      </c>
      <c r="CX742" s="14" t="str">
        <f>INDEX($O$6:$O$50,CT742)&amp;"-"&amp;INDEX(属性投放!$AB$7:$AB$50,CZ742)&amp;"-魂火-"&amp;DB742</f>
        <v>于禁-众合+2-魂火-1</v>
      </c>
      <c r="CY742" s="25" t="s">
        <v>142</v>
      </c>
      <c r="CZ742" s="14">
        <f>INDEX(属性投放!$AM$7:$AM$58,CU742)</f>
        <v>6</v>
      </c>
      <c r="DA742" s="14" t="s">
        <v>537</v>
      </c>
      <c r="DB742" s="14">
        <f>INDEX(属性投放!$AN$7:$AN$58,CU742)</f>
        <v>1</v>
      </c>
      <c r="DC742" s="14">
        <f t="shared" si="1071"/>
        <v>10</v>
      </c>
      <c r="DD742" s="14">
        <f>INDEX(属性投放!$AO$7:$AO$58,DC742)</f>
        <v>43</v>
      </c>
      <c r="DE742" s="14" t="s">
        <v>538</v>
      </c>
      <c r="DF742" s="14">
        <f>INDEX(属性投放!$BK$6:$BK$85,(CV742-2)*20+CZ742)</f>
        <v>40</v>
      </c>
      <c r="DG742" s="14">
        <f>SUMIFS(DF$5:DF742,$CT$5:$CT742,"="&amp;$CT742)</f>
        <v>275</v>
      </c>
      <c r="DH742" s="14" t="s">
        <v>539</v>
      </c>
      <c r="DI742" s="14">
        <f>INDEX(属性投放!$BL$6:$BL$85,(CV742-2)*20+CZ742)</f>
        <v>20</v>
      </c>
      <c r="DJ742" s="14">
        <f>SUMIFS(DI$5:DI742,$CT$5:$CT742,"="&amp;$CT742)</f>
        <v>140</v>
      </c>
      <c r="DK742" s="14" t="s">
        <v>540</v>
      </c>
      <c r="DL742" s="14">
        <f>INDEX(属性投放!$BM$6:$BM$85,(CV742-2)*20+CZ742)</f>
        <v>280</v>
      </c>
      <c r="DM742" s="14">
        <f>SUMIFS(DL$5:DL742,$CT$5:$CT742,"="&amp;$CT742)</f>
        <v>1820</v>
      </c>
      <c r="DR742" s="30"/>
      <c r="DS742" s="30"/>
      <c r="DW742" s="30"/>
      <c r="DX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</row>
    <row r="743" spans="31:163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1072"/>
        <v>15</v>
      </c>
      <c r="CU743" s="13">
        <f t="shared" si="1073"/>
        <v>11</v>
      </c>
      <c r="CV743" s="14">
        <f t="shared" si="1074"/>
        <v>2</v>
      </c>
      <c r="CW743" s="14">
        <f t="shared" si="1075"/>
        <v>1102015</v>
      </c>
      <c r="CX743" s="14" t="str">
        <f>INDEX($O$6:$O$50,CT743)&amp;"-"&amp;INDEX(属性投放!$AB$7:$AB$50,CZ743)&amp;"-魂火-"&amp;DB743</f>
        <v>于禁-众合+2-魂火-2</v>
      </c>
      <c r="CY743" s="25" t="s">
        <v>142</v>
      </c>
      <c r="CZ743" s="14">
        <f>INDEX(属性投放!$AM$7:$AM$58,CU743)</f>
        <v>6</v>
      </c>
      <c r="DA743" s="14" t="s">
        <v>537</v>
      </c>
      <c r="DB743" s="14">
        <f>INDEX(属性投放!$AN$7:$AN$58,CU743)</f>
        <v>2</v>
      </c>
      <c r="DC743" s="14">
        <f t="shared" si="1071"/>
        <v>11</v>
      </c>
      <c r="DD743" s="14">
        <f>INDEX(属性投放!$AO$7:$AO$58,DC743)</f>
        <v>45</v>
      </c>
      <c r="DE743" s="14" t="s">
        <v>538</v>
      </c>
      <c r="DF743" s="14">
        <f>INDEX(属性投放!$BK$6:$BK$85,(CV743-2)*20+CZ743)</f>
        <v>40</v>
      </c>
      <c r="DG743" s="14">
        <f>SUMIFS(DF$5:DF743,$CT$5:$CT743,"="&amp;$CT743)</f>
        <v>315</v>
      </c>
      <c r="DH743" s="14" t="s">
        <v>539</v>
      </c>
      <c r="DI743" s="14">
        <f>INDEX(属性投放!$BL$6:$BL$85,(CV743-2)*20+CZ743)</f>
        <v>20</v>
      </c>
      <c r="DJ743" s="14">
        <f>SUMIFS(DI$5:DI743,$CT$5:$CT743,"="&amp;$CT743)</f>
        <v>160</v>
      </c>
      <c r="DK743" s="14" t="s">
        <v>540</v>
      </c>
      <c r="DL743" s="14">
        <f>INDEX(属性投放!$BM$6:$BM$85,(CV743-2)*20+CZ743)</f>
        <v>280</v>
      </c>
      <c r="DM743" s="14">
        <f>SUMIFS(DL$5:DL743,$CT$5:$CT743,"="&amp;$CT743)</f>
        <v>2100</v>
      </c>
      <c r="DR743" s="30"/>
      <c r="DS743" s="30"/>
      <c r="DW743" s="30"/>
      <c r="DX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</row>
    <row r="744" spans="31:163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1072"/>
        <v>15</v>
      </c>
      <c r="CU744" s="13">
        <f t="shared" si="1073"/>
        <v>12</v>
      </c>
      <c r="CV744" s="14">
        <f t="shared" si="1074"/>
        <v>2</v>
      </c>
      <c r="CW744" s="14">
        <f t="shared" si="1075"/>
        <v>1102015</v>
      </c>
      <c r="CX744" s="14" t="str">
        <f>INDEX($O$6:$O$50,CT744)&amp;"-"&amp;INDEX(属性投放!$AB$7:$AB$50,CZ744)&amp;"-魂火-"&amp;DB744</f>
        <v>于禁-叫唤-魂火-1</v>
      </c>
      <c r="CY744" s="25" t="s">
        <v>142</v>
      </c>
      <c r="CZ744" s="14">
        <f>INDEX(属性投放!$AM$7:$AM$58,CU744)</f>
        <v>7</v>
      </c>
      <c r="DA744" s="14" t="s">
        <v>537</v>
      </c>
      <c r="DB744" s="14">
        <f>INDEX(属性投放!$AN$7:$AN$58,CU744)</f>
        <v>1</v>
      </c>
      <c r="DC744" s="14">
        <f t="shared" si="1071"/>
        <v>12</v>
      </c>
      <c r="DD744" s="14">
        <f>INDEX(属性投放!$AO$7:$AO$58,DC744)</f>
        <v>48</v>
      </c>
      <c r="DE744" s="14" t="s">
        <v>538</v>
      </c>
      <c r="DF744" s="14">
        <f>INDEX(属性投放!$BK$6:$BK$85,(CV744-2)*20+CZ744)</f>
        <v>55</v>
      </c>
      <c r="DG744" s="14">
        <f>SUMIFS(DF$5:DF744,$CT$5:$CT744,"="&amp;$CT744)</f>
        <v>370</v>
      </c>
      <c r="DH744" s="14" t="s">
        <v>539</v>
      </c>
      <c r="DI744" s="14">
        <f>INDEX(属性投放!$BL$6:$BL$85,(CV744-2)*20+CZ744)</f>
        <v>28</v>
      </c>
      <c r="DJ744" s="14">
        <f>SUMIFS(DI$5:DI744,$CT$5:$CT744,"="&amp;$CT744)</f>
        <v>188</v>
      </c>
      <c r="DK744" s="14" t="s">
        <v>540</v>
      </c>
      <c r="DL744" s="14">
        <f>INDEX(属性投放!$BM$6:$BM$85,(CV744-2)*20+CZ744)</f>
        <v>440</v>
      </c>
      <c r="DM744" s="14">
        <f>SUMIFS(DL$5:DL744,$CT$5:$CT744,"="&amp;$CT744)</f>
        <v>2540</v>
      </c>
      <c r="DR744" s="30"/>
      <c r="DS744" s="30"/>
      <c r="DW744" s="30"/>
      <c r="DX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</row>
    <row r="745" spans="31:163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1072"/>
        <v>15</v>
      </c>
      <c r="CU745" s="13">
        <f t="shared" si="1073"/>
        <v>13</v>
      </c>
      <c r="CV745" s="14">
        <f t="shared" si="1074"/>
        <v>2</v>
      </c>
      <c r="CW745" s="14">
        <f t="shared" si="1075"/>
        <v>1102015</v>
      </c>
      <c r="CX745" s="14" t="str">
        <f>INDEX($O$6:$O$50,CT745)&amp;"-"&amp;INDEX(属性投放!$AB$7:$AB$50,CZ745)&amp;"-魂火-"&amp;DB745</f>
        <v>于禁-叫唤-魂火-2</v>
      </c>
      <c r="CY745" s="25" t="s">
        <v>142</v>
      </c>
      <c r="CZ745" s="14">
        <f>INDEX(属性投放!$AM$7:$AM$58,CU745)</f>
        <v>7</v>
      </c>
      <c r="DA745" s="14" t="s">
        <v>537</v>
      </c>
      <c r="DB745" s="14">
        <f>INDEX(属性投放!$AN$7:$AN$58,CU745)</f>
        <v>2</v>
      </c>
      <c r="DC745" s="14">
        <f t="shared" si="1071"/>
        <v>13</v>
      </c>
      <c r="DD745" s="14">
        <f>INDEX(属性投放!$AO$7:$AO$58,DC745)</f>
        <v>50</v>
      </c>
      <c r="DE745" s="14" t="s">
        <v>538</v>
      </c>
      <c r="DF745" s="14">
        <f>INDEX(属性投放!$BK$6:$BK$85,(CV745-2)*20+CZ745)</f>
        <v>55</v>
      </c>
      <c r="DG745" s="14">
        <f>SUMIFS(DF$5:DF745,$CT$5:$CT745,"="&amp;$CT745)</f>
        <v>425</v>
      </c>
      <c r="DH745" s="14" t="s">
        <v>539</v>
      </c>
      <c r="DI745" s="14">
        <f>INDEX(属性投放!$BL$6:$BL$85,(CV745-2)*20+CZ745)</f>
        <v>28</v>
      </c>
      <c r="DJ745" s="14">
        <f>SUMIFS(DI$5:DI745,$CT$5:$CT745,"="&amp;$CT745)</f>
        <v>216</v>
      </c>
      <c r="DK745" s="14" t="s">
        <v>540</v>
      </c>
      <c r="DL745" s="14">
        <f>INDEX(属性投放!$BM$6:$BM$85,(CV745-2)*20+CZ745)</f>
        <v>440</v>
      </c>
      <c r="DM745" s="14">
        <f>SUMIFS(DL$5:DL745,$CT$5:$CT745,"="&amp;$CT745)</f>
        <v>2980</v>
      </c>
      <c r="DR745" s="30"/>
      <c r="DS745" s="30"/>
      <c r="DW745" s="30"/>
      <c r="DX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</row>
    <row r="746" spans="31:163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1072"/>
        <v>15</v>
      </c>
      <c r="CU746" s="13">
        <f t="shared" si="1073"/>
        <v>14</v>
      </c>
      <c r="CV746" s="14">
        <f t="shared" si="1074"/>
        <v>2</v>
      </c>
      <c r="CW746" s="14">
        <f t="shared" si="1075"/>
        <v>1102015</v>
      </c>
      <c r="CX746" s="14" t="str">
        <f>INDEX($O$6:$O$50,CT746)&amp;"-"&amp;INDEX(属性投放!$AB$7:$AB$50,CZ746)&amp;"-魂火-"&amp;DB746</f>
        <v>于禁-叫唤+1-魂火-1</v>
      </c>
      <c r="CY746" s="25" t="s">
        <v>142</v>
      </c>
      <c r="CZ746" s="14">
        <f>INDEX(属性投放!$AM$7:$AM$58,CU746)</f>
        <v>8</v>
      </c>
      <c r="DA746" s="14" t="s">
        <v>537</v>
      </c>
      <c r="DB746" s="14">
        <f>INDEX(属性投放!$AN$7:$AN$58,CU746)</f>
        <v>1</v>
      </c>
      <c r="DC746" s="14">
        <f t="shared" si="1071"/>
        <v>14</v>
      </c>
      <c r="DD746" s="14">
        <f>INDEX(属性投放!$AO$7:$AO$58,DC746)</f>
        <v>53</v>
      </c>
      <c r="DE746" s="14" t="s">
        <v>538</v>
      </c>
      <c r="DF746" s="14">
        <f>INDEX(属性投放!$BK$6:$BK$85,(CV746-2)*20+CZ746)</f>
        <v>70</v>
      </c>
      <c r="DG746" s="14">
        <f>SUMIFS(DF$5:DF746,$CT$5:$CT746,"="&amp;$CT746)</f>
        <v>495</v>
      </c>
      <c r="DH746" s="14" t="s">
        <v>539</v>
      </c>
      <c r="DI746" s="14">
        <f>INDEX(属性投放!$BL$6:$BL$85,(CV746-2)*20+CZ746)</f>
        <v>35</v>
      </c>
      <c r="DJ746" s="14">
        <f>SUMIFS(DI$5:DI746,$CT$5:$CT746,"="&amp;$CT746)</f>
        <v>251</v>
      </c>
      <c r="DK746" s="14" t="s">
        <v>540</v>
      </c>
      <c r="DL746" s="14">
        <f>INDEX(属性投放!$BM$6:$BM$85,(CV746-2)*20+CZ746)</f>
        <v>560</v>
      </c>
      <c r="DM746" s="14">
        <f>SUMIFS(DL$5:DL746,$CT$5:$CT746,"="&amp;$CT746)</f>
        <v>3540</v>
      </c>
      <c r="DR746" s="30"/>
      <c r="DS746" s="30"/>
      <c r="DW746" s="30"/>
      <c r="DX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</row>
    <row r="747" spans="31:163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1072"/>
        <v>15</v>
      </c>
      <c r="CU747" s="13">
        <f t="shared" si="1073"/>
        <v>15</v>
      </c>
      <c r="CV747" s="14">
        <f t="shared" si="1074"/>
        <v>2</v>
      </c>
      <c r="CW747" s="14">
        <f t="shared" si="1075"/>
        <v>1102015</v>
      </c>
      <c r="CX747" s="14" t="str">
        <f>INDEX($O$6:$O$50,CT747)&amp;"-"&amp;INDEX(属性投放!$AB$7:$AB$50,CZ747)&amp;"-魂火-"&amp;DB747</f>
        <v>于禁-叫唤+1-魂火-2</v>
      </c>
      <c r="CY747" s="25" t="s">
        <v>142</v>
      </c>
      <c r="CZ747" s="14">
        <f>INDEX(属性投放!$AM$7:$AM$58,CU747)</f>
        <v>8</v>
      </c>
      <c r="DA747" s="14" t="s">
        <v>537</v>
      </c>
      <c r="DB747" s="14">
        <f>INDEX(属性投放!$AN$7:$AN$58,CU747)</f>
        <v>2</v>
      </c>
      <c r="DC747" s="14">
        <f t="shared" si="1071"/>
        <v>15</v>
      </c>
      <c r="DD747" s="14">
        <f>INDEX(属性投放!$AO$7:$AO$58,DC747)</f>
        <v>55</v>
      </c>
      <c r="DE747" s="14" t="s">
        <v>538</v>
      </c>
      <c r="DF747" s="14">
        <f>INDEX(属性投放!$BK$6:$BK$85,(CV747-2)*20+CZ747)</f>
        <v>70</v>
      </c>
      <c r="DG747" s="14">
        <f>SUMIFS(DF$5:DF747,$CT$5:$CT747,"="&amp;$CT747)</f>
        <v>565</v>
      </c>
      <c r="DH747" s="14" t="s">
        <v>539</v>
      </c>
      <c r="DI747" s="14">
        <f>INDEX(属性投放!$BL$6:$BL$85,(CV747-2)*20+CZ747)</f>
        <v>35</v>
      </c>
      <c r="DJ747" s="14">
        <f>SUMIFS(DI$5:DI747,$CT$5:$CT747,"="&amp;$CT747)</f>
        <v>286</v>
      </c>
      <c r="DK747" s="14" t="s">
        <v>540</v>
      </c>
      <c r="DL747" s="14">
        <f>INDEX(属性投放!$BM$6:$BM$85,(CV747-2)*20+CZ747)</f>
        <v>560</v>
      </c>
      <c r="DM747" s="14">
        <f>SUMIFS(DL$5:DL747,$CT$5:$CT747,"="&amp;$CT747)</f>
        <v>4100</v>
      </c>
      <c r="DR747" s="30"/>
      <c r="DS747" s="30"/>
      <c r="DW747" s="30"/>
      <c r="DX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</row>
    <row r="748" spans="31:163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1072"/>
        <v>15</v>
      </c>
      <c r="CU748" s="13">
        <f t="shared" si="1073"/>
        <v>16</v>
      </c>
      <c r="CV748" s="14">
        <f t="shared" si="1074"/>
        <v>2</v>
      </c>
      <c r="CW748" s="14">
        <f t="shared" si="1075"/>
        <v>1102015</v>
      </c>
      <c r="CX748" s="14" t="str">
        <f>INDEX($O$6:$O$50,CT748)&amp;"-"&amp;INDEX(属性投放!$AB$7:$AB$50,CZ748)&amp;"-魂火-"&amp;DB748</f>
        <v>于禁-叫唤+2-魂火-1</v>
      </c>
      <c r="CY748" s="25" t="s">
        <v>142</v>
      </c>
      <c r="CZ748" s="14">
        <f>INDEX(属性投放!$AM$7:$AM$58,CU748)</f>
        <v>9</v>
      </c>
      <c r="DA748" s="14" t="s">
        <v>537</v>
      </c>
      <c r="DB748" s="14">
        <f>INDEX(属性投放!$AN$7:$AN$58,CU748)</f>
        <v>1</v>
      </c>
      <c r="DC748" s="14">
        <f t="shared" si="1071"/>
        <v>16</v>
      </c>
      <c r="DD748" s="14">
        <f>INDEX(属性投放!$AO$7:$AO$58,DC748)</f>
        <v>58</v>
      </c>
      <c r="DE748" s="14" t="s">
        <v>538</v>
      </c>
      <c r="DF748" s="14">
        <f>INDEX(属性投放!$BK$6:$BK$85,(CV748-2)*20+CZ748)</f>
        <v>80</v>
      </c>
      <c r="DG748" s="14">
        <f>SUMIFS(DF$5:DF748,$CT$5:$CT748,"="&amp;$CT748)</f>
        <v>645</v>
      </c>
      <c r="DH748" s="14" t="s">
        <v>539</v>
      </c>
      <c r="DI748" s="14">
        <f>INDEX(属性投放!$BL$6:$BL$85,(CV748-2)*20+CZ748)</f>
        <v>40</v>
      </c>
      <c r="DJ748" s="14">
        <f>SUMIFS(DI$5:DI748,$CT$5:$CT748,"="&amp;$CT748)</f>
        <v>326</v>
      </c>
      <c r="DK748" s="14" t="s">
        <v>540</v>
      </c>
      <c r="DL748" s="14">
        <f>INDEX(属性投放!$BM$6:$BM$85,(CV748-2)*20+CZ748)</f>
        <v>640</v>
      </c>
      <c r="DM748" s="14">
        <f>SUMIFS(DL$5:DL748,$CT$5:$CT748,"="&amp;$CT748)</f>
        <v>4740</v>
      </c>
      <c r="DR748" s="30"/>
      <c r="DS748" s="30"/>
      <c r="DW748" s="30"/>
      <c r="DX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</row>
    <row r="749" spans="31:163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1072"/>
        <v>15</v>
      </c>
      <c r="CU749" s="13">
        <f t="shared" si="1073"/>
        <v>17</v>
      </c>
      <c r="CV749" s="14">
        <f t="shared" si="1074"/>
        <v>2</v>
      </c>
      <c r="CW749" s="14">
        <f t="shared" si="1075"/>
        <v>1102015</v>
      </c>
      <c r="CX749" s="14" t="str">
        <f>INDEX($O$6:$O$50,CT749)&amp;"-"&amp;INDEX(属性投放!$AB$7:$AB$50,CZ749)&amp;"-魂火-"&amp;DB749</f>
        <v>于禁-叫唤+2-魂火-2</v>
      </c>
      <c r="CY749" s="25" t="s">
        <v>142</v>
      </c>
      <c r="CZ749" s="14">
        <f>INDEX(属性投放!$AM$7:$AM$58,CU749)</f>
        <v>9</v>
      </c>
      <c r="DA749" s="14" t="s">
        <v>537</v>
      </c>
      <c r="DB749" s="14">
        <f>INDEX(属性投放!$AN$7:$AN$58,CU749)</f>
        <v>2</v>
      </c>
      <c r="DC749" s="14">
        <f t="shared" si="1071"/>
        <v>17</v>
      </c>
      <c r="DD749" s="14">
        <f>INDEX(属性投放!$AO$7:$AO$58,DC749)</f>
        <v>60</v>
      </c>
      <c r="DE749" s="14" t="s">
        <v>538</v>
      </c>
      <c r="DF749" s="14">
        <f>INDEX(属性投放!$BK$6:$BK$85,(CV749-2)*20+CZ749)</f>
        <v>80</v>
      </c>
      <c r="DG749" s="14">
        <f>SUMIFS(DF$5:DF749,$CT$5:$CT749,"="&amp;$CT749)</f>
        <v>725</v>
      </c>
      <c r="DH749" s="14" t="s">
        <v>539</v>
      </c>
      <c r="DI749" s="14">
        <f>INDEX(属性投放!$BL$6:$BL$85,(CV749-2)*20+CZ749)</f>
        <v>40</v>
      </c>
      <c r="DJ749" s="14">
        <f>SUMIFS(DI$5:DI749,$CT$5:$CT749,"="&amp;$CT749)</f>
        <v>366</v>
      </c>
      <c r="DK749" s="14" t="s">
        <v>540</v>
      </c>
      <c r="DL749" s="14">
        <f>INDEX(属性投放!$BM$6:$BM$85,(CV749-2)*20+CZ749)</f>
        <v>640</v>
      </c>
      <c r="DM749" s="14">
        <f>SUMIFS(DL$5:DL749,$CT$5:$CT749,"="&amp;$CT749)</f>
        <v>5380</v>
      </c>
      <c r="DR749" s="30"/>
      <c r="DS749" s="30"/>
      <c r="DW749" s="30"/>
      <c r="DX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</row>
    <row r="750" spans="31:163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1072"/>
        <v>15</v>
      </c>
      <c r="CU750" s="13">
        <f t="shared" si="1073"/>
        <v>18</v>
      </c>
      <c r="CV750" s="14">
        <f t="shared" si="1074"/>
        <v>2</v>
      </c>
      <c r="CW750" s="14">
        <f t="shared" si="1075"/>
        <v>1102015</v>
      </c>
      <c r="CX750" s="14" t="str">
        <f>INDEX($O$6:$O$50,CT750)&amp;"-"&amp;INDEX(属性投放!$AB$7:$AB$50,CZ750)&amp;"-魂火-"&amp;DB750</f>
        <v>于禁-叫唤+2-魂火-3</v>
      </c>
      <c r="CY750" s="25" t="s">
        <v>142</v>
      </c>
      <c r="CZ750" s="14">
        <f>INDEX(属性投放!$AM$7:$AM$58,CU750)</f>
        <v>9</v>
      </c>
      <c r="DA750" s="14" t="s">
        <v>537</v>
      </c>
      <c r="DB750" s="14">
        <f>INDEX(属性投放!$AN$7:$AN$58,CU750)</f>
        <v>3</v>
      </c>
      <c r="DC750" s="14">
        <f t="shared" si="1071"/>
        <v>18</v>
      </c>
      <c r="DD750" s="14">
        <f>INDEX(属性投放!$AO$7:$AO$58,DC750)</f>
        <v>63</v>
      </c>
      <c r="DE750" s="14" t="s">
        <v>538</v>
      </c>
      <c r="DF750" s="14">
        <f>INDEX(属性投放!$BK$6:$BK$85,(CV750-2)*20+CZ750)</f>
        <v>80</v>
      </c>
      <c r="DG750" s="14">
        <f>SUMIFS(DF$5:DF750,$CT$5:$CT750,"="&amp;$CT750)</f>
        <v>805</v>
      </c>
      <c r="DH750" s="14" t="s">
        <v>539</v>
      </c>
      <c r="DI750" s="14">
        <f>INDEX(属性投放!$BL$6:$BL$85,(CV750-2)*20+CZ750)</f>
        <v>40</v>
      </c>
      <c r="DJ750" s="14">
        <f>SUMIFS(DI$5:DI750,$CT$5:$CT750,"="&amp;$CT750)</f>
        <v>406</v>
      </c>
      <c r="DK750" s="14" t="s">
        <v>540</v>
      </c>
      <c r="DL750" s="14">
        <f>INDEX(属性投放!$BM$6:$BM$85,(CV750-2)*20+CZ750)</f>
        <v>640</v>
      </c>
      <c r="DM750" s="14">
        <f>SUMIFS(DL$5:DL750,$CT$5:$CT750,"="&amp;$CT750)</f>
        <v>6020</v>
      </c>
      <c r="DR750" s="30"/>
      <c r="DS750" s="30"/>
      <c r="DW750" s="30"/>
      <c r="DX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</row>
    <row r="751" spans="31:163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1072"/>
        <v>15</v>
      </c>
      <c r="CU751" s="13">
        <f t="shared" si="1073"/>
        <v>19</v>
      </c>
      <c r="CV751" s="14">
        <f t="shared" si="1074"/>
        <v>2</v>
      </c>
      <c r="CW751" s="14">
        <f t="shared" si="1075"/>
        <v>1102015</v>
      </c>
      <c r="CX751" s="14" t="str">
        <f>INDEX($O$6:$O$50,CT751)&amp;"-"&amp;INDEX(属性投放!$AB$7:$AB$50,CZ751)&amp;"-魂火-"&amp;DB751</f>
        <v>于禁-大叫唤-魂火-1</v>
      </c>
      <c r="CY751" s="25" t="s">
        <v>142</v>
      </c>
      <c r="CZ751" s="14">
        <f>INDEX(属性投放!$AM$7:$AM$58,CU751)</f>
        <v>10</v>
      </c>
      <c r="DA751" s="14" t="s">
        <v>537</v>
      </c>
      <c r="DB751" s="14">
        <f>INDEX(属性投放!$AN$7:$AN$58,CU751)</f>
        <v>1</v>
      </c>
      <c r="DC751" s="14">
        <f t="shared" si="1071"/>
        <v>19</v>
      </c>
      <c r="DD751" s="14">
        <f>INDEX(属性投放!$AO$7:$AO$58,DC751)</f>
        <v>65</v>
      </c>
      <c r="DE751" s="14" t="s">
        <v>538</v>
      </c>
      <c r="DF751" s="14">
        <f>INDEX(属性投放!$BK$6:$BK$85,(CV751-2)*20+CZ751)</f>
        <v>100</v>
      </c>
      <c r="DG751" s="14">
        <f>SUMIFS(DF$5:DF751,$CT$5:$CT751,"="&amp;$CT751)</f>
        <v>905</v>
      </c>
      <c r="DH751" s="14" t="s">
        <v>539</v>
      </c>
      <c r="DI751" s="14">
        <f>INDEX(属性投放!$BL$6:$BL$85,(CV751-2)*20+CZ751)</f>
        <v>50</v>
      </c>
      <c r="DJ751" s="14">
        <f>SUMIFS(DI$5:DI751,$CT$5:$CT751,"="&amp;$CT751)</f>
        <v>456</v>
      </c>
      <c r="DK751" s="14" t="s">
        <v>540</v>
      </c>
      <c r="DL751" s="14">
        <f>INDEX(属性投放!$BM$6:$BM$85,(CV751-2)*20+CZ751)</f>
        <v>900</v>
      </c>
      <c r="DM751" s="14">
        <f>SUMIFS(DL$5:DL751,$CT$5:$CT751,"="&amp;$CT751)</f>
        <v>6920</v>
      </c>
      <c r="DR751" s="30"/>
      <c r="DS751" s="30"/>
      <c r="DW751" s="30"/>
      <c r="DX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</row>
    <row r="752" spans="31:163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1072"/>
        <v>15</v>
      </c>
      <c r="CU752" s="13">
        <f t="shared" si="1073"/>
        <v>20</v>
      </c>
      <c r="CV752" s="14">
        <f t="shared" si="1074"/>
        <v>2</v>
      </c>
      <c r="CW752" s="14">
        <f t="shared" si="1075"/>
        <v>1102015</v>
      </c>
      <c r="CX752" s="14" t="str">
        <f>INDEX($O$6:$O$50,CT752)&amp;"-"&amp;INDEX(属性投放!$AB$7:$AB$50,CZ752)&amp;"-魂火-"&amp;DB752</f>
        <v>于禁-大叫唤-魂火-2</v>
      </c>
      <c r="CY752" s="25" t="s">
        <v>142</v>
      </c>
      <c r="CZ752" s="14">
        <f>INDEX(属性投放!$AM$7:$AM$58,CU752)</f>
        <v>10</v>
      </c>
      <c r="DA752" s="14" t="s">
        <v>537</v>
      </c>
      <c r="DB752" s="14">
        <f>INDEX(属性投放!$AN$7:$AN$58,CU752)</f>
        <v>2</v>
      </c>
      <c r="DC752" s="14">
        <f t="shared" si="1071"/>
        <v>20</v>
      </c>
      <c r="DD752" s="14">
        <f>INDEX(属性投放!$AO$7:$AO$58,DC752)</f>
        <v>68</v>
      </c>
      <c r="DE752" s="14" t="s">
        <v>538</v>
      </c>
      <c r="DF752" s="14">
        <f>INDEX(属性投放!$BK$6:$BK$85,(CV752-2)*20+CZ752)</f>
        <v>100</v>
      </c>
      <c r="DG752" s="14">
        <f>SUMIFS(DF$5:DF752,$CT$5:$CT752,"="&amp;$CT752)</f>
        <v>1005</v>
      </c>
      <c r="DH752" s="14" t="s">
        <v>539</v>
      </c>
      <c r="DI752" s="14">
        <f>INDEX(属性投放!$BL$6:$BL$85,(CV752-2)*20+CZ752)</f>
        <v>50</v>
      </c>
      <c r="DJ752" s="14">
        <f>SUMIFS(DI$5:DI752,$CT$5:$CT752,"="&amp;$CT752)</f>
        <v>506</v>
      </c>
      <c r="DK752" s="14" t="s">
        <v>540</v>
      </c>
      <c r="DL752" s="14">
        <f>INDEX(属性投放!$BM$6:$BM$85,(CV752-2)*20+CZ752)</f>
        <v>900</v>
      </c>
      <c r="DM752" s="14">
        <f>SUMIFS(DL$5:DL752,$CT$5:$CT752,"="&amp;$CT752)</f>
        <v>7820</v>
      </c>
      <c r="DR752" s="30"/>
      <c r="DS752" s="30"/>
      <c r="DW752" s="30"/>
      <c r="DX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</row>
    <row r="753" spans="31:163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1072"/>
        <v>15</v>
      </c>
      <c r="CU753" s="13">
        <f t="shared" si="1073"/>
        <v>21</v>
      </c>
      <c r="CV753" s="14">
        <f t="shared" si="1074"/>
        <v>2</v>
      </c>
      <c r="CW753" s="14">
        <f t="shared" si="1075"/>
        <v>1102015</v>
      </c>
      <c r="CX753" s="14" t="str">
        <f>INDEX($O$6:$O$50,CT753)&amp;"-"&amp;INDEX(属性投放!$AB$7:$AB$50,CZ753)&amp;"-魂火-"&amp;DB753</f>
        <v>于禁-大叫唤-魂火-3</v>
      </c>
      <c r="CY753" s="25" t="s">
        <v>142</v>
      </c>
      <c r="CZ753" s="14">
        <f>INDEX(属性投放!$AM$7:$AM$58,CU753)</f>
        <v>10</v>
      </c>
      <c r="DA753" s="14" t="s">
        <v>537</v>
      </c>
      <c r="DB753" s="14">
        <f>INDEX(属性投放!$AN$7:$AN$58,CU753)</f>
        <v>3</v>
      </c>
      <c r="DC753" s="14">
        <f t="shared" si="1071"/>
        <v>21</v>
      </c>
      <c r="DD753" s="14">
        <f>INDEX(属性投放!$AO$7:$AO$58,DC753)</f>
        <v>70</v>
      </c>
      <c r="DE753" s="14" t="s">
        <v>538</v>
      </c>
      <c r="DF753" s="14">
        <f>INDEX(属性投放!$BK$6:$BK$85,(CV753-2)*20+CZ753)</f>
        <v>100</v>
      </c>
      <c r="DG753" s="14">
        <f>SUMIFS(DF$5:DF753,$CT$5:$CT753,"="&amp;$CT753)</f>
        <v>1105</v>
      </c>
      <c r="DH753" s="14" t="s">
        <v>539</v>
      </c>
      <c r="DI753" s="14">
        <f>INDEX(属性投放!$BL$6:$BL$85,(CV753-2)*20+CZ753)</f>
        <v>50</v>
      </c>
      <c r="DJ753" s="14">
        <f>SUMIFS(DI$5:DI753,$CT$5:$CT753,"="&amp;$CT753)</f>
        <v>556</v>
      </c>
      <c r="DK753" s="14" t="s">
        <v>540</v>
      </c>
      <c r="DL753" s="14">
        <f>INDEX(属性投放!$BM$6:$BM$85,(CV753-2)*20+CZ753)</f>
        <v>900</v>
      </c>
      <c r="DM753" s="14">
        <f>SUMIFS(DL$5:DL753,$CT$5:$CT753,"="&amp;$CT753)</f>
        <v>8720</v>
      </c>
      <c r="DR753" s="30"/>
      <c r="DS753" s="30"/>
      <c r="DW753" s="30"/>
      <c r="DX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</row>
    <row r="754" spans="31:163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1072"/>
        <v>15</v>
      </c>
      <c r="CU754" s="13">
        <f t="shared" si="1073"/>
        <v>22</v>
      </c>
      <c r="CV754" s="14">
        <f t="shared" si="1074"/>
        <v>2</v>
      </c>
      <c r="CW754" s="14">
        <f t="shared" si="1075"/>
        <v>1102015</v>
      </c>
      <c r="CX754" s="14" t="str">
        <f>INDEX($O$6:$O$50,CT754)&amp;"-"&amp;INDEX(属性投放!$AB$7:$AB$50,CZ754)&amp;"-魂火-"&amp;DB754</f>
        <v>于禁-大叫唤+1-魂火-1</v>
      </c>
      <c r="CY754" s="25" t="s">
        <v>142</v>
      </c>
      <c r="CZ754" s="14">
        <f>INDEX(属性投放!$AM$7:$AM$58,CU754)</f>
        <v>11</v>
      </c>
      <c r="DA754" s="14" t="s">
        <v>537</v>
      </c>
      <c r="DB754" s="14">
        <f>INDEX(属性投放!$AN$7:$AN$58,CU754)</f>
        <v>1</v>
      </c>
      <c r="DC754" s="14">
        <f t="shared" si="1071"/>
        <v>22</v>
      </c>
      <c r="DD754" s="14">
        <f>INDEX(属性投放!$AO$7:$AO$58,DC754)</f>
        <v>73</v>
      </c>
      <c r="DE754" s="14" t="s">
        <v>538</v>
      </c>
      <c r="DF754" s="14">
        <f>INDEX(属性投放!$BK$6:$BK$85,(CV754-2)*20+CZ754)</f>
        <v>130</v>
      </c>
      <c r="DG754" s="14">
        <f>SUMIFS(DF$5:DF754,$CT$5:$CT754,"="&amp;$CT754)</f>
        <v>1235</v>
      </c>
      <c r="DH754" s="14" t="s">
        <v>539</v>
      </c>
      <c r="DI754" s="14">
        <f>INDEX(属性投放!$BL$6:$BL$85,(CV754-2)*20+CZ754)</f>
        <v>65</v>
      </c>
      <c r="DJ754" s="14">
        <f>SUMIFS(DI$5:DI754,$CT$5:$CT754,"="&amp;$CT754)</f>
        <v>621</v>
      </c>
      <c r="DK754" s="14" t="s">
        <v>540</v>
      </c>
      <c r="DL754" s="14">
        <f>INDEX(属性投放!$BM$6:$BM$85,(CV754-2)*20+CZ754)</f>
        <v>1170</v>
      </c>
      <c r="DM754" s="14">
        <f>SUMIFS(DL$5:DL754,$CT$5:$CT754,"="&amp;$CT754)</f>
        <v>9890</v>
      </c>
      <c r="DR754" s="30"/>
      <c r="DS754" s="30"/>
      <c r="DW754" s="30"/>
      <c r="DX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</row>
    <row r="755" spans="31:163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1072"/>
        <v>15</v>
      </c>
      <c r="CU755" s="13">
        <f t="shared" si="1073"/>
        <v>23</v>
      </c>
      <c r="CV755" s="14">
        <f t="shared" si="1074"/>
        <v>2</v>
      </c>
      <c r="CW755" s="14">
        <f t="shared" si="1075"/>
        <v>1102015</v>
      </c>
      <c r="CX755" s="14" t="str">
        <f>INDEX($O$6:$O$50,CT755)&amp;"-"&amp;INDEX(属性投放!$AB$7:$AB$50,CZ755)&amp;"-魂火-"&amp;DB755</f>
        <v>于禁-大叫唤+1-魂火-2</v>
      </c>
      <c r="CY755" s="25" t="s">
        <v>142</v>
      </c>
      <c r="CZ755" s="14">
        <f>INDEX(属性投放!$AM$7:$AM$58,CU755)</f>
        <v>11</v>
      </c>
      <c r="DA755" s="14" t="s">
        <v>537</v>
      </c>
      <c r="DB755" s="14">
        <f>INDEX(属性投放!$AN$7:$AN$58,CU755)</f>
        <v>2</v>
      </c>
      <c r="DC755" s="14">
        <f t="shared" si="1071"/>
        <v>23</v>
      </c>
      <c r="DD755" s="14">
        <f>INDEX(属性投放!$AO$7:$AO$58,DC755)</f>
        <v>75</v>
      </c>
      <c r="DE755" s="14" t="s">
        <v>538</v>
      </c>
      <c r="DF755" s="14">
        <f>INDEX(属性投放!$BK$6:$BK$85,(CV755-2)*20+CZ755)</f>
        <v>130</v>
      </c>
      <c r="DG755" s="14">
        <f>SUMIFS(DF$5:DF755,$CT$5:$CT755,"="&amp;$CT755)</f>
        <v>1365</v>
      </c>
      <c r="DH755" s="14" t="s">
        <v>539</v>
      </c>
      <c r="DI755" s="14">
        <f>INDEX(属性投放!$BL$6:$BL$85,(CV755-2)*20+CZ755)</f>
        <v>65</v>
      </c>
      <c r="DJ755" s="14">
        <f>SUMIFS(DI$5:DI755,$CT$5:$CT755,"="&amp;$CT755)</f>
        <v>686</v>
      </c>
      <c r="DK755" s="14" t="s">
        <v>540</v>
      </c>
      <c r="DL755" s="14">
        <f>INDEX(属性投放!$BM$6:$BM$85,(CV755-2)*20+CZ755)</f>
        <v>1170</v>
      </c>
      <c r="DM755" s="14">
        <f>SUMIFS(DL$5:DL755,$CT$5:$CT755,"="&amp;$CT755)</f>
        <v>11060</v>
      </c>
      <c r="DR755" s="30"/>
      <c r="DS755" s="30"/>
      <c r="DW755" s="30"/>
      <c r="DX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</row>
    <row r="756" spans="31:163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1072"/>
        <v>15</v>
      </c>
      <c r="CU756" s="13">
        <f t="shared" si="1073"/>
        <v>24</v>
      </c>
      <c r="CV756" s="14">
        <f t="shared" si="1074"/>
        <v>2</v>
      </c>
      <c r="CW756" s="14">
        <f t="shared" si="1075"/>
        <v>1102015</v>
      </c>
      <c r="CX756" s="14" t="str">
        <f>INDEX($O$6:$O$50,CT756)&amp;"-"&amp;INDEX(属性投放!$AB$7:$AB$50,CZ756)&amp;"-魂火-"&amp;DB756</f>
        <v>于禁-大叫唤+1-魂火-3</v>
      </c>
      <c r="CY756" s="25" t="s">
        <v>142</v>
      </c>
      <c r="CZ756" s="14">
        <f>INDEX(属性投放!$AM$7:$AM$58,CU756)</f>
        <v>11</v>
      </c>
      <c r="DA756" s="14" t="s">
        <v>537</v>
      </c>
      <c r="DB756" s="14">
        <f>INDEX(属性投放!$AN$7:$AN$58,CU756)</f>
        <v>3</v>
      </c>
      <c r="DC756" s="14">
        <f t="shared" si="1071"/>
        <v>24</v>
      </c>
      <c r="DD756" s="14">
        <f>INDEX(属性投放!$AO$7:$AO$58,DC756)</f>
        <v>78</v>
      </c>
      <c r="DE756" s="14" t="s">
        <v>538</v>
      </c>
      <c r="DF756" s="14">
        <f>INDEX(属性投放!$BK$6:$BK$85,(CV756-2)*20+CZ756)</f>
        <v>130</v>
      </c>
      <c r="DG756" s="14">
        <f>SUMIFS(DF$5:DF756,$CT$5:$CT756,"="&amp;$CT756)</f>
        <v>1495</v>
      </c>
      <c r="DH756" s="14" t="s">
        <v>539</v>
      </c>
      <c r="DI756" s="14">
        <f>INDEX(属性投放!$BL$6:$BL$85,(CV756-2)*20+CZ756)</f>
        <v>65</v>
      </c>
      <c r="DJ756" s="14">
        <f>SUMIFS(DI$5:DI756,$CT$5:$CT756,"="&amp;$CT756)</f>
        <v>751</v>
      </c>
      <c r="DK756" s="14" t="s">
        <v>540</v>
      </c>
      <c r="DL756" s="14">
        <f>INDEX(属性投放!$BM$6:$BM$85,(CV756-2)*20+CZ756)</f>
        <v>1170</v>
      </c>
      <c r="DM756" s="14">
        <f>SUMIFS(DL$5:DL756,$CT$5:$CT756,"="&amp;$CT756)</f>
        <v>12230</v>
      </c>
      <c r="DR756" s="30"/>
      <c r="DS756" s="30"/>
      <c r="DW756" s="30"/>
      <c r="DX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</row>
    <row r="757" spans="31:163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1072"/>
        <v>15</v>
      </c>
      <c r="CU757" s="13">
        <f t="shared" si="1073"/>
        <v>25</v>
      </c>
      <c r="CV757" s="14">
        <f t="shared" si="1074"/>
        <v>2</v>
      </c>
      <c r="CW757" s="14">
        <f t="shared" si="1075"/>
        <v>1102015</v>
      </c>
      <c r="CX757" s="14" t="str">
        <f>INDEX($O$6:$O$50,CT757)&amp;"-"&amp;INDEX(属性投放!$AB$7:$AB$50,CZ757)&amp;"-魂火-"&amp;DB757</f>
        <v>于禁-大叫唤+2-魂火-1</v>
      </c>
      <c r="CY757" s="25" t="s">
        <v>142</v>
      </c>
      <c r="CZ757" s="14">
        <f>INDEX(属性投放!$AM$7:$AM$58,CU757)</f>
        <v>12</v>
      </c>
      <c r="DA757" s="14" t="s">
        <v>537</v>
      </c>
      <c r="DB757" s="14">
        <f>INDEX(属性投放!$AN$7:$AN$58,CU757)</f>
        <v>1</v>
      </c>
      <c r="DC757" s="14">
        <f t="shared" si="1071"/>
        <v>25</v>
      </c>
      <c r="DD757" s="14">
        <f>INDEX(属性投放!$AO$7:$AO$58,DC757)</f>
        <v>80</v>
      </c>
      <c r="DE757" s="14" t="s">
        <v>538</v>
      </c>
      <c r="DF757" s="14">
        <f>INDEX(属性投放!$BK$6:$BK$85,(CV757-2)*20+CZ757)</f>
        <v>170</v>
      </c>
      <c r="DG757" s="14">
        <f>SUMIFS(DF$5:DF757,$CT$5:$CT757,"="&amp;$CT757)</f>
        <v>1665</v>
      </c>
      <c r="DH757" s="14" t="s">
        <v>539</v>
      </c>
      <c r="DI757" s="14">
        <f>INDEX(属性投放!$BL$6:$BL$85,(CV757-2)*20+CZ757)</f>
        <v>85</v>
      </c>
      <c r="DJ757" s="14">
        <f>SUMIFS(DI$5:DI757,$CT$5:$CT757,"="&amp;$CT757)</f>
        <v>836</v>
      </c>
      <c r="DK757" s="14" t="s">
        <v>540</v>
      </c>
      <c r="DL757" s="14">
        <f>INDEX(属性投放!$BM$6:$BM$85,(CV757-2)*20+CZ757)</f>
        <v>1530</v>
      </c>
      <c r="DM757" s="14">
        <f>SUMIFS(DL$5:DL757,$CT$5:$CT757,"="&amp;$CT757)</f>
        <v>13760</v>
      </c>
      <c r="DR757" s="30"/>
      <c r="DS757" s="30"/>
      <c r="DW757" s="30"/>
      <c r="DX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</row>
    <row r="758" spans="31:163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1072"/>
        <v>15</v>
      </c>
      <c r="CU758" s="13">
        <f t="shared" si="1073"/>
        <v>26</v>
      </c>
      <c r="CV758" s="14">
        <f t="shared" si="1074"/>
        <v>2</v>
      </c>
      <c r="CW758" s="14">
        <f t="shared" si="1075"/>
        <v>1102015</v>
      </c>
      <c r="CX758" s="14" t="str">
        <f>INDEX($O$6:$O$50,CT758)&amp;"-"&amp;INDEX(属性投放!$AB$7:$AB$50,CZ758)&amp;"-魂火-"&amp;DB758</f>
        <v>于禁-大叫唤+2-魂火-2</v>
      </c>
      <c r="CY758" s="25" t="s">
        <v>142</v>
      </c>
      <c r="CZ758" s="14">
        <f>INDEX(属性投放!$AM$7:$AM$58,CU758)</f>
        <v>12</v>
      </c>
      <c r="DA758" s="14" t="s">
        <v>537</v>
      </c>
      <c r="DB758" s="14">
        <f>INDEX(属性投放!$AN$7:$AN$58,CU758)</f>
        <v>2</v>
      </c>
      <c r="DC758" s="14">
        <f t="shared" si="1071"/>
        <v>26</v>
      </c>
      <c r="DD758" s="14">
        <f>INDEX(属性投放!$AO$7:$AO$58,DC758)</f>
        <v>83</v>
      </c>
      <c r="DE758" s="14" t="s">
        <v>538</v>
      </c>
      <c r="DF758" s="14">
        <f>INDEX(属性投放!$BK$6:$BK$85,(CV758-2)*20+CZ758)</f>
        <v>170</v>
      </c>
      <c r="DG758" s="14">
        <f>SUMIFS(DF$5:DF758,$CT$5:$CT758,"="&amp;$CT758)</f>
        <v>1835</v>
      </c>
      <c r="DH758" s="14" t="s">
        <v>539</v>
      </c>
      <c r="DI758" s="14">
        <f>INDEX(属性投放!$BL$6:$BL$85,(CV758-2)*20+CZ758)</f>
        <v>85</v>
      </c>
      <c r="DJ758" s="14">
        <f>SUMIFS(DI$5:DI758,$CT$5:$CT758,"="&amp;$CT758)</f>
        <v>921</v>
      </c>
      <c r="DK758" s="14" t="s">
        <v>540</v>
      </c>
      <c r="DL758" s="14">
        <f>INDEX(属性投放!$BM$6:$BM$85,(CV758-2)*20+CZ758)</f>
        <v>1530</v>
      </c>
      <c r="DM758" s="14">
        <f>SUMIFS(DL$5:DL758,$CT$5:$CT758,"="&amp;$CT758)</f>
        <v>15290</v>
      </c>
      <c r="DR758" s="30"/>
      <c r="DS758" s="30"/>
      <c r="DW758" s="30"/>
      <c r="DX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</row>
    <row r="759" spans="31:163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1072"/>
        <v>15</v>
      </c>
      <c r="CU759" s="13">
        <f t="shared" si="1073"/>
        <v>27</v>
      </c>
      <c r="CV759" s="14">
        <f t="shared" si="1074"/>
        <v>2</v>
      </c>
      <c r="CW759" s="14">
        <f t="shared" si="1075"/>
        <v>1102015</v>
      </c>
      <c r="CX759" s="14" t="str">
        <f>INDEX($O$6:$O$50,CT759)&amp;"-"&amp;INDEX(属性投放!$AB$7:$AB$50,CZ759)&amp;"-魂火-"&amp;DB759</f>
        <v>于禁-大叫唤+2-魂火-3</v>
      </c>
      <c r="CY759" s="25" t="s">
        <v>142</v>
      </c>
      <c r="CZ759" s="14">
        <f>INDEX(属性投放!$AM$7:$AM$58,CU759)</f>
        <v>12</v>
      </c>
      <c r="DA759" s="14" t="s">
        <v>537</v>
      </c>
      <c r="DB759" s="14">
        <f>INDEX(属性投放!$AN$7:$AN$58,CU759)</f>
        <v>3</v>
      </c>
      <c r="DC759" s="14">
        <f t="shared" si="1071"/>
        <v>27</v>
      </c>
      <c r="DD759" s="14">
        <f>INDEX(属性投放!$AO$7:$AO$58,DC759)</f>
        <v>85</v>
      </c>
      <c r="DE759" s="14" t="s">
        <v>538</v>
      </c>
      <c r="DF759" s="14">
        <f>INDEX(属性投放!$BK$6:$BK$85,(CV759-2)*20+CZ759)</f>
        <v>170</v>
      </c>
      <c r="DG759" s="14">
        <f>SUMIFS(DF$5:DF759,$CT$5:$CT759,"="&amp;$CT759)</f>
        <v>2005</v>
      </c>
      <c r="DH759" s="14" t="s">
        <v>539</v>
      </c>
      <c r="DI759" s="14">
        <f>INDEX(属性投放!$BL$6:$BL$85,(CV759-2)*20+CZ759)</f>
        <v>85</v>
      </c>
      <c r="DJ759" s="14">
        <f>SUMIFS(DI$5:DI759,$CT$5:$CT759,"="&amp;$CT759)</f>
        <v>1006</v>
      </c>
      <c r="DK759" s="14" t="s">
        <v>540</v>
      </c>
      <c r="DL759" s="14">
        <f>INDEX(属性投放!$BM$6:$BM$85,(CV759-2)*20+CZ759)</f>
        <v>1530</v>
      </c>
      <c r="DM759" s="14">
        <f>SUMIFS(DL$5:DL759,$CT$5:$CT759,"="&amp;$CT759)</f>
        <v>16820</v>
      </c>
      <c r="DR759" s="30"/>
      <c r="DS759" s="30"/>
      <c r="DW759" s="30"/>
      <c r="DX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</row>
    <row r="760" spans="31:163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1072"/>
        <v>15</v>
      </c>
      <c r="CU760" s="13">
        <f t="shared" si="1073"/>
        <v>28</v>
      </c>
      <c r="CV760" s="14">
        <f t="shared" si="1074"/>
        <v>2</v>
      </c>
      <c r="CW760" s="14">
        <f t="shared" si="1075"/>
        <v>1102015</v>
      </c>
      <c r="CX760" s="14" t="str">
        <f>INDEX($O$6:$O$50,CT760)&amp;"-"&amp;INDEX(属性投放!$AB$7:$AB$50,CZ760)&amp;"-魂火-"&amp;DB760</f>
        <v>于禁-焦热-魂火-1</v>
      </c>
      <c r="CY760" s="25" t="s">
        <v>142</v>
      </c>
      <c r="CZ760" s="14">
        <f>INDEX(属性投放!$AM$7:$AM$58,CU760)</f>
        <v>13</v>
      </c>
      <c r="DA760" s="14" t="s">
        <v>537</v>
      </c>
      <c r="DB760" s="14">
        <f>INDEX(属性投放!$AN$7:$AN$58,CU760)</f>
        <v>1</v>
      </c>
      <c r="DC760" s="14">
        <f t="shared" si="1071"/>
        <v>28</v>
      </c>
      <c r="DD760" s="14">
        <f>INDEX(属性投放!$AO$7:$AO$58,DC760)</f>
        <v>88</v>
      </c>
      <c r="DE760" s="14" t="s">
        <v>538</v>
      </c>
      <c r="DF760" s="14">
        <f>INDEX(属性投放!$BK$6:$BK$85,(CV760-2)*20+CZ760)</f>
        <v>220</v>
      </c>
      <c r="DG760" s="14">
        <f>SUMIFS(DF$5:DF760,$CT$5:$CT760,"="&amp;$CT760)</f>
        <v>2225</v>
      </c>
      <c r="DH760" s="14" t="s">
        <v>539</v>
      </c>
      <c r="DI760" s="14">
        <f>INDEX(属性投放!$BL$6:$BL$85,(CV760-2)*20+CZ760)</f>
        <v>110</v>
      </c>
      <c r="DJ760" s="14">
        <f>SUMIFS(DI$5:DI760,$CT$5:$CT760,"="&amp;$CT760)</f>
        <v>1116</v>
      </c>
      <c r="DK760" s="14" t="s">
        <v>540</v>
      </c>
      <c r="DL760" s="14">
        <f>INDEX(属性投放!$BM$6:$BM$85,(CV760-2)*20+CZ760)</f>
        <v>2200</v>
      </c>
      <c r="DM760" s="14">
        <f>SUMIFS(DL$5:DL760,$CT$5:$CT760,"="&amp;$CT760)</f>
        <v>19020</v>
      </c>
      <c r="DR760" s="30"/>
      <c r="DS760" s="30"/>
      <c r="DW760" s="30"/>
      <c r="DX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</row>
    <row r="761" spans="31:163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1072"/>
        <v>15</v>
      </c>
      <c r="CU761" s="13">
        <f t="shared" si="1073"/>
        <v>29</v>
      </c>
      <c r="CV761" s="14">
        <f t="shared" si="1074"/>
        <v>2</v>
      </c>
      <c r="CW761" s="14">
        <f t="shared" si="1075"/>
        <v>1102015</v>
      </c>
      <c r="CX761" s="14" t="str">
        <f>INDEX($O$6:$O$50,CT761)&amp;"-"&amp;INDEX(属性投放!$AB$7:$AB$50,CZ761)&amp;"-魂火-"&amp;DB761</f>
        <v>于禁-焦热-魂火-2</v>
      </c>
      <c r="CY761" s="25" t="s">
        <v>142</v>
      </c>
      <c r="CZ761" s="14">
        <f>INDEX(属性投放!$AM$7:$AM$58,CU761)</f>
        <v>13</v>
      </c>
      <c r="DA761" s="14" t="s">
        <v>537</v>
      </c>
      <c r="DB761" s="14">
        <f>INDEX(属性投放!$AN$7:$AN$58,CU761)</f>
        <v>2</v>
      </c>
      <c r="DC761" s="14">
        <f t="shared" si="1071"/>
        <v>29</v>
      </c>
      <c r="DD761" s="14">
        <f>INDEX(属性投放!$AO$7:$AO$58,DC761)</f>
        <v>90</v>
      </c>
      <c r="DE761" s="14" t="s">
        <v>538</v>
      </c>
      <c r="DF761" s="14">
        <f>INDEX(属性投放!$BK$6:$BK$85,(CV761-2)*20+CZ761)</f>
        <v>220</v>
      </c>
      <c r="DG761" s="14">
        <f>SUMIFS(DF$5:DF761,$CT$5:$CT761,"="&amp;$CT761)</f>
        <v>2445</v>
      </c>
      <c r="DH761" s="14" t="s">
        <v>539</v>
      </c>
      <c r="DI761" s="14">
        <f>INDEX(属性投放!$BL$6:$BL$85,(CV761-2)*20+CZ761)</f>
        <v>110</v>
      </c>
      <c r="DJ761" s="14">
        <f>SUMIFS(DI$5:DI761,$CT$5:$CT761,"="&amp;$CT761)</f>
        <v>1226</v>
      </c>
      <c r="DK761" s="14" t="s">
        <v>540</v>
      </c>
      <c r="DL761" s="14">
        <f>INDEX(属性投放!$BM$6:$BM$85,(CV761-2)*20+CZ761)</f>
        <v>2200</v>
      </c>
      <c r="DM761" s="14">
        <f>SUMIFS(DL$5:DL761,$CT$5:$CT761,"="&amp;$CT761)</f>
        <v>21220</v>
      </c>
      <c r="DR761" s="30"/>
      <c r="DS761" s="30"/>
      <c r="DW761" s="30"/>
      <c r="DX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</row>
    <row r="762" spans="31:163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1072"/>
        <v>15</v>
      </c>
      <c r="CU762" s="13">
        <f t="shared" si="1073"/>
        <v>30</v>
      </c>
      <c r="CV762" s="14">
        <f t="shared" si="1074"/>
        <v>2</v>
      </c>
      <c r="CW762" s="14">
        <f t="shared" si="1075"/>
        <v>1102015</v>
      </c>
      <c r="CX762" s="14" t="str">
        <f>INDEX($O$6:$O$50,CT762)&amp;"-"&amp;INDEX(属性投放!$AB$7:$AB$50,CZ762)&amp;"-魂火-"&amp;DB762</f>
        <v>于禁-焦热-魂火-3</v>
      </c>
      <c r="CY762" s="25" t="s">
        <v>142</v>
      </c>
      <c r="CZ762" s="14">
        <f>INDEX(属性投放!$AM$7:$AM$58,CU762)</f>
        <v>13</v>
      </c>
      <c r="DA762" s="14" t="s">
        <v>537</v>
      </c>
      <c r="DB762" s="14">
        <f>INDEX(属性投放!$AN$7:$AN$58,CU762)</f>
        <v>3</v>
      </c>
      <c r="DC762" s="14">
        <f t="shared" si="1071"/>
        <v>30</v>
      </c>
      <c r="DD762" s="14">
        <f>INDEX(属性投放!$AO$7:$AO$58,DC762)</f>
        <v>93</v>
      </c>
      <c r="DE762" s="14" t="s">
        <v>538</v>
      </c>
      <c r="DF762" s="14">
        <f>INDEX(属性投放!$BK$6:$BK$85,(CV762-2)*20+CZ762)</f>
        <v>220</v>
      </c>
      <c r="DG762" s="14">
        <f>SUMIFS(DF$5:DF762,$CT$5:$CT762,"="&amp;$CT762)</f>
        <v>2665</v>
      </c>
      <c r="DH762" s="14" t="s">
        <v>539</v>
      </c>
      <c r="DI762" s="14">
        <f>INDEX(属性投放!$BL$6:$BL$85,(CV762-2)*20+CZ762)</f>
        <v>110</v>
      </c>
      <c r="DJ762" s="14">
        <f>SUMIFS(DI$5:DI762,$CT$5:$CT762,"="&amp;$CT762)</f>
        <v>1336</v>
      </c>
      <c r="DK762" s="14" t="s">
        <v>540</v>
      </c>
      <c r="DL762" s="14">
        <f>INDEX(属性投放!$BM$6:$BM$85,(CV762-2)*20+CZ762)</f>
        <v>2200</v>
      </c>
      <c r="DM762" s="14">
        <f>SUMIFS(DL$5:DL762,$CT$5:$CT762,"="&amp;$CT762)</f>
        <v>23420</v>
      </c>
      <c r="DR762" s="30"/>
      <c r="DS762" s="30"/>
      <c r="DW762" s="30"/>
      <c r="DX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</row>
    <row r="763" spans="31:163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1072"/>
        <v>15</v>
      </c>
      <c r="CU763" s="13">
        <f t="shared" si="1073"/>
        <v>31</v>
      </c>
      <c r="CV763" s="14">
        <f t="shared" si="1074"/>
        <v>2</v>
      </c>
      <c r="CW763" s="14">
        <f t="shared" si="1075"/>
        <v>1102015</v>
      </c>
      <c r="CX763" s="14" t="str">
        <f>INDEX($O$6:$O$50,CT763)&amp;"-"&amp;INDEX(属性投放!$AB$7:$AB$50,CZ763)&amp;"-魂火-"&amp;DB763</f>
        <v>于禁-焦热+1-魂火-1</v>
      </c>
      <c r="CY763" s="25" t="s">
        <v>142</v>
      </c>
      <c r="CZ763" s="14">
        <f>INDEX(属性投放!$AM$7:$AM$58,CU763)</f>
        <v>14</v>
      </c>
      <c r="DA763" s="14" t="s">
        <v>537</v>
      </c>
      <c r="DB763" s="14">
        <f>INDEX(属性投放!$AN$7:$AN$58,CU763)</f>
        <v>1</v>
      </c>
      <c r="DC763" s="14">
        <f t="shared" si="1071"/>
        <v>31</v>
      </c>
      <c r="DD763" s="14">
        <f>INDEX(属性投放!$AO$7:$AO$58,DC763)</f>
        <v>95</v>
      </c>
      <c r="DE763" s="14" t="s">
        <v>538</v>
      </c>
      <c r="DF763" s="14">
        <f>INDEX(属性投放!$BK$6:$BK$85,(CV763-2)*20+CZ763)</f>
        <v>270</v>
      </c>
      <c r="DG763" s="14">
        <f>SUMIFS(DF$5:DF763,$CT$5:$CT763,"="&amp;$CT763)</f>
        <v>2935</v>
      </c>
      <c r="DH763" s="14" t="s">
        <v>539</v>
      </c>
      <c r="DI763" s="14">
        <f>INDEX(属性投放!$BL$6:$BL$85,(CV763-2)*20+CZ763)</f>
        <v>135</v>
      </c>
      <c r="DJ763" s="14">
        <f>SUMIFS(DI$5:DI763,$CT$5:$CT763,"="&amp;$CT763)</f>
        <v>1471</v>
      </c>
      <c r="DK763" s="14" t="s">
        <v>540</v>
      </c>
      <c r="DL763" s="14">
        <f>INDEX(属性投放!$BM$6:$BM$85,(CV763-2)*20+CZ763)</f>
        <v>2700</v>
      </c>
      <c r="DM763" s="14">
        <f>SUMIFS(DL$5:DL763,$CT$5:$CT763,"="&amp;$CT763)</f>
        <v>26120</v>
      </c>
      <c r="DR763" s="30"/>
      <c r="DS763" s="30"/>
      <c r="DW763" s="30"/>
      <c r="DX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</row>
    <row r="764" spans="31:163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1072"/>
        <v>15</v>
      </c>
      <c r="CU764" s="13">
        <f t="shared" si="1073"/>
        <v>32</v>
      </c>
      <c r="CV764" s="14">
        <f t="shared" si="1074"/>
        <v>2</v>
      </c>
      <c r="CW764" s="14">
        <f t="shared" si="1075"/>
        <v>1102015</v>
      </c>
      <c r="CX764" s="14" t="str">
        <f>INDEX($O$6:$O$50,CT764)&amp;"-"&amp;INDEX(属性投放!$AB$7:$AB$50,CZ764)&amp;"-魂火-"&amp;DB764</f>
        <v>于禁-焦热+1-魂火-2</v>
      </c>
      <c r="CY764" s="25" t="s">
        <v>142</v>
      </c>
      <c r="CZ764" s="14">
        <f>INDEX(属性投放!$AM$7:$AM$58,CU764)</f>
        <v>14</v>
      </c>
      <c r="DA764" s="14" t="s">
        <v>537</v>
      </c>
      <c r="DB764" s="14">
        <f>INDEX(属性投放!$AN$7:$AN$58,CU764)</f>
        <v>2</v>
      </c>
      <c r="DC764" s="14">
        <f t="shared" si="1071"/>
        <v>32</v>
      </c>
      <c r="DD764" s="14">
        <f>INDEX(属性投放!$AO$7:$AO$58,DC764)</f>
        <v>98</v>
      </c>
      <c r="DE764" s="14" t="s">
        <v>538</v>
      </c>
      <c r="DF764" s="14">
        <f>INDEX(属性投放!$BK$6:$BK$85,(CV764-2)*20+CZ764)</f>
        <v>270</v>
      </c>
      <c r="DG764" s="14">
        <f>SUMIFS(DF$5:DF764,$CT$5:$CT764,"="&amp;$CT764)</f>
        <v>3205</v>
      </c>
      <c r="DH764" s="14" t="s">
        <v>539</v>
      </c>
      <c r="DI764" s="14">
        <f>INDEX(属性投放!$BL$6:$BL$85,(CV764-2)*20+CZ764)</f>
        <v>135</v>
      </c>
      <c r="DJ764" s="14">
        <f>SUMIFS(DI$5:DI764,$CT$5:$CT764,"="&amp;$CT764)</f>
        <v>1606</v>
      </c>
      <c r="DK764" s="14" t="s">
        <v>540</v>
      </c>
      <c r="DL764" s="14">
        <f>INDEX(属性投放!$BM$6:$BM$85,(CV764-2)*20+CZ764)</f>
        <v>2700</v>
      </c>
      <c r="DM764" s="14">
        <f>SUMIFS(DL$5:DL764,$CT$5:$CT764,"="&amp;$CT764)</f>
        <v>28820</v>
      </c>
      <c r="DR764" s="30"/>
      <c r="DS764" s="30"/>
      <c r="DW764" s="30"/>
      <c r="DX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</row>
    <row r="765" spans="31:163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1072"/>
        <v>15</v>
      </c>
      <c r="CU765" s="13">
        <f t="shared" si="1073"/>
        <v>33</v>
      </c>
      <c r="CV765" s="14">
        <f t="shared" si="1074"/>
        <v>2</v>
      </c>
      <c r="CW765" s="14">
        <f t="shared" si="1075"/>
        <v>1102015</v>
      </c>
      <c r="CX765" s="14" t="str">
        <f>INDEX($O$6:$O$50,CT765)&amp;"-"&amp;INDEX(属性投放!$AB$7:$AB$50,CZ765)&amp;"-魂火-"&amp;DB765</f>
        <v>于禁-焦热+1-魂火-3</v>
      </c>
      <c r="CY765" s="25" t="s">
        <v>142</v>
      </c>
      <c r="CZ765" s="14">
        <f>INDEX(属性投放!$AM$7:$AM$58,CU765)</f>
        <v>14</v>
      </c>
      <c r="DA765" s="14" t="s">
        <v>537</v>
      </c>
      <c r="DB765" s="14">
        <f>INDEX(属性投放!$AN$7:$AN$58,CU765)</f>
        <v>3</v>
      </c>
      <c r="DC765" s="14">
        <f t="shared" si="1071"/>
        <v>33</v>
      </c>
      <c r="DD765" s="14">
        <f>INDEX(属性投放!$AO$7:$AO$58,DC765)</f>
        <v>100</v>
      </c>
      <c r="DE765" s="14" t="s">
        <v>538</v>
      </c>
      <c r="DF765" s="14">
        <f>INDEX(属性投放!$BK$6:$BK$85,(CV765-2)*20+CZ765)</f>
        <v>270</v>
      </c>
      <c r="DG765" s="14">
        <f>SUMIFS(DF$5:DF765,$CT$5:$CT765,"="&amp;$CT765)</f>
        <v>3475</v>
      </c>
      <c r="DH765" s="14" t="s">
        <v>539</v>
      </c>
      <c r="DI765" s="14">
        <f>INDEX(属性投放!$BL$6:$BL$85,(CV765-2)*20+CZ765)</f>
        <v>135</v>
      </c>
      <c r="DJ765" s="14">
        <f>SUMIFS(DI$5:DI765,$CT$5:$CT765,"="&amp;$CT765)</f>
        <v>1741</v>
      </c>
      <c r="DK765" s="14" t="s">
        <v>540</v>
      </c>
      <c r="DL765" s="14">
        <f>INDEX(属性投放!$BM$6:$BM$85,(CV765-2)*20+CZ765)</f>
        <v>2700</v>
      </c>
      <c r="DM765" s="14">
        <f>SUMIFS(DL$5:DL765,$CT$5:$CT765,"="&amp;$CT765)</f>
        <v>31520</v>
      </c>
      <c r="DR765" s="30"/>
      <c r="DS765" s="30"/>
      <c r="DW765" s="30"/>
      <c r="DX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</row>
    <row r="766" spans="31:163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1072"/>
        <v>15</v>
      </c>
      <c r="CU766" s="13">
        <f t="shared" si="1073"/>
        <v>34</v>
      </c>
      <c r="CV766" s="14">
        <f t="shared" si="1074"/>
        <v>2</v>
      </c>
      <c r="CW766" s="14">
        <f t="shared" si="1075"/>
        <v>1102015</v>
      </c>
      <c r="CX766" s="14" t="str">
        <f>INDEX($O$6:$O$50,CT766)&amp;"-"&amp;INDEX(属性投放!$AB$7:$AB$50,CZ766)&amp;"-魂火-"&amp;DB766</f>
        <v>于禁-焦热+2-魂火-1</v>
      </c>
      <c r="CY766" s="25" t="s">
        <v>142</v>
      </c>
      <c r="CZ766" s="14">
        <f>INDEX(属性投放!$AM$7:$AM$58,CU766)</f>
        <v>15</v>
      </c>
      <c r="DA766" s="14" t="s">
        <v>537</v>
      </c>
      <c r="DB766" s="14">
        <f>INDEX(属性投放!$AN$7:$AN$58,CU766)</f>
        <v>1</v>
      </c>
      <c r="DC766" s="14">
        <f t="shared" si="1071"/>
        <v>34</v>
      </c>
      <c r="DD766" s="14">
        <f>INDEX(属性投放!$AO$7:$AO$58,DC766)</f>
        <v>103</v>
      </c>
      <c r="DE766" s="14" t="s">
        <v>538</v>
      </c>
      <c r="DF766" s="14">
        <f>INDEX(属性投放!$BK$6:$BK$85,(CV766-2)*20+CZ766)</f>
        <v>350</v>
      </c>
      <c r="DG766" s="14">
        <f>SUMIFS(DF$5:DF766,$CT$5:$CT766,"="&amp;$CT766)</f>
        <v>3825</v>
      </c>
      <c r="DH766" s="14" t="s">
        <v>539</v>
      </c>
      <c r="DI766" s="14">
        <f>INDEX(属性投放!$BL$6:$BL$85,(CV766-2)*20+CZ766)</f>
        <v>175</v>
      </c>
      <c r="DJ766" s="14">
        <f>SUMIFS(DI$5:DI766,$CT$5:$CT766,"="&amp;$CT766)</f>
        <v>1916</v>
      </c>
      <c r="DK766" s="14" t="s">
        <v>540</v>
      </c>
      <c r="DL766" s="14">
        <f>INDEX(属性投放!$BM$6:$BM$85,(CV766-2)*20+CZ766)</f>
        <v>3500</v>
      </c>
      <c r="DM766" s="14">
        <f>SUMIFS(DL$5:DL766,$CT$5:$CT766,"="&amp;$CT766)</f>
        <v>35020</v>
      </c>
      <c r="DR766" s="30"/>
      <c r="DS766" s="30"/>
      <c r="DW766" s="30"/>
      <c r="DX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</row>
    <row r="767" spans="31:163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1072"/>
        <v>15</v>
      </c>
      <c r="CU767" s="13">
        <f t="shared" si="1073"/>
        <v>35</v>
      </c>
      <c r="CV767" s="14">
        <f t="shared" si="1074"/>
        <v>2</v>
      </c>
      <c r="CW767" s="14">
        <f t="shared" si="1075"/>
        <v>1102015</v>
      </c>
      <c r="CX767" s="14" t="str">
        <f>INDEX($O$6:$O$50,CT767)&amp;"-"&amp;INDEX(属性投放!$AB$7:$AB$50,CZ767)&amp;"-魂火-"&amp;DB767</f>
        <v>于禁-焦热+2-魂火-2</v>
      </c>
      <c r="CY767" s="25" t="s">
        <v>142</v>
      </c>
      <c r="CZ767" s="14">
        <f>INDEX(属性投放!$AM$7:$AM$58,CU767)</f>
        <v>15</v>
      </c>
      <c r="DA767" s="14" t="s">
        <v>537</v>
      </c>
      <c r="DB767" s="14">
        <f>INDEX(属性投放!$AN$7:$AN$58,CU767)</f>
        <v>2</v>
      </c>
      <c r="DC767" s="14">
        <f t="shared" si="1071"/>
        <v>35</v>
      </c>
      <c r="DD767" s="14">
        <f>INDEX(属性投放!$AO$7:$AO$58,DC767)</f>
        <v>105</v>
      </c>
      <c r="DE767" s="14" t="s">
        <v>538</v>
      </c>
      <c r="DF767" s="14">
        <f>INDEX(属性投放!$BK$6:$BK$85,(CV767-2)*20+CZ767)</f>
        <v>350</v>
      </c>
      <c r="DG767" s="14">
        <f>SUMIFS(DF$5:DF767,$CT$5:$CT767,"="&amp;$CT767)</f>
        <v>4175</v>
      </c>
      <c r="DH767" s="14" t="s">
        <v>539</v>
      </c>
      <c r="DI767" s="14">
        <f>INDEX(属性投放!$BL$6:$BL$85,(CV767-2)*20+CZ767)</f>
        <v>175</v>
      </c>
      <c r="DJ767" s="14">
        <f>SUMIFS(DI$5:DI767,$CT$5:$CT767,"="&amp;$CT767)</f>
        <v>2091</v>
      </c>
      <c r="DK767" s="14" t="s">
        <v>540</v>
      </c>
      <c r="DL767" s="14">
        <f>INDEX(属性投放!$BM$6:$BM$85,(CV767-2)*20+CZ767)</f>
        <v>3500</v>
      </c>
      <c r="DM767" s="14">
        <f>SUMIFS(DL$5:DL767,$CT$5:$CT767,"="&amp;$CT767)</f>
        <v>38520</v>
      </c>
      <c r="DR767" s="30"/>
      <c r="DS767" s="30"/>
      <c r="DW767" s="30"/>
      <c r="DX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</row>
    <row r="768" spans="31:163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1072"/>
        <v>15</v>
      </c>
      <c r="CU768" s="13">
        <f t="shared" si="1073"/>
        <v>36</v>
      </c>
      <c r="CV768" s="14">
        <f t="shared" si="1074"/>
        <v>2</v>
      </c>
      <c r="CW768" s="14">
        <f t="shared" si="1075"/>
        <v>1102015</v>
      </c>
      <c r="CX768" s="14" t="str">
        <f>INDEX($O$6:$O$50,CT768)&amp;"-"&amp;INDEX(属性投放!$AB$7:$AB$50,CZ768)&amp;"-魂火-"&amp;DB768</f>
        <v>于禁-焦热+2-魂火-3</v>
      </c>
      <c r="CY768" s="25" t="s">
        <v>142</v>
      </c>
      <c r="CZ768" s="14">
        <f>INDEX(属性投放!$AM$7:$AM$58,CU768)</f>
        <v>15</v>
      </c>
      <c r="DA768" s="14" t="s">
        <v>537</v>
      </c>
      <c r="DB768" s="14">
        <f>INDEX(属性投放!$AN$7:$AN$58,CU768)</f>
        <v>3</v>
      </c>
      <c r="DC768" s="14">
        <f t="shared" si="1071"/>
        <v>36</v>
      </c>
      <c r="DD768" s="14">
        <f>INDEX(属性投放!$AO$7:$AO$58,DC768)</f>
        <v>108</v>
      </c>
      <c r="DE768" s="14" t="s">
        <v>538</v>
      </c>
      <c r="DF768" s="14">
        <f>INDEX(属性投放!$BK$6:$BK$85,(CV768-2)*20+CZ768)</f>
        <v>350</v>
      </c>
      <c r="DG768" s="14">
        <f>SUMIFS(DF$5:DF768,$CT$5:$CT768,"="&amp;$CT768)</f>
        <v>4525</v>
      </c>
      <c r="DH768" s="14" t="s">
        <v>539</v>
      </c>
      <c r="DI768" s="14">
        <f>INDEX(属性投放!$BL$6:$BL$85,(CV768-2)*20+CZ768)</f>
        <v>175</v>
      </c>
      <c r="DJ768" s="14">
        <f>SUMIFS(DI$5:DI768,$CT$5:$CT768,"="&amp;$CT768)</f>
        <v>2266</v>
      </c>
      <c r="DK768" s="14" t="s">
        <v>540</v>
      </c>
      <c r="DL768" s="14">
        <f>INDEX(属性投放!$BM$6:$BM$85,(CV768-2)*20+CZ768)</f>
        <v>3500</v>
      </c>
      <c r="DM768" s="14">
        <f>SUMIFS(DL$5:DL768,$CT$5:$CT768,"="&amp;$CT768)</f>
        <v>42020</v>
      </c>
      <c r="DR768" s="30"/>
      <c r="DS768" s="30"/>
      <c r="DW768" s="30"/>
      <c r="DX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</row>
    <row r="769" spans="31:163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1072"/>
        <v>15</v>
      </c>
      <c r="CU769" s="13">
        <f t="shared" si="1073"/>
        <v>37</v>
      </c>
      <c r="CV769" s="14">
        <f t="shared" si="1074"/>
        <v>2</v>
      </c>
      <c r="CW769" s="14">
        <f t="shared" si="1075"/>
        <v>1102015</v>
      </c>
      <c r="CX769" s="14" t="str">
        <f>INDEX($O$6:$O$50,CT769)&amp;"-"&amp;INDEX(属性投放!$AB$7:$AB$50,CZ769)&amp;"-魂火-"&amp;DB769</f>
        <v>于禁-大焦热-魂火-1</v>
      </c>
      <c r="CY769" s="25" t="s">
        <v>142</v>
      </c>
      <c r="CZ769" s="14">
        <f>INDEX(属性投放!$AM$7:$AM$58,CU769)</f>
        <v>16</v>
      </c>
      <c r="DA769" s="14" t="s">
        <v>537</v>
      </c>
      <c r="DB769" s="14">
        <f>INDEX(属性投放!$AN$7:$AN$58,CU769)</f>
        <v>1</v>
      </c>
      <c r="DC769" s="14">
        <f t="shared" si="1071"/>
        <v>37</v>
      </c>
      <c r="DD769" s="14">
        <f>INDEX(属性投放!$AO$7:$AO$58,DC769)</f>
        <v>110</v>
      </c>
      <c r="DE769" s="14" t="s">
        <v>538</v>
      </c>
      <c r="DF769" s="14">
        <f>INDEX(属性投放!$BK$6:$BK$85,(CV769-2)*20+CZ769)</f>
        <v>450</v>
      </c>
      <c r="DG769" s="14">
        <f>SUMIFS(DF$5:DF769,$CT$5:$CT769,"="&amp;$CT769)</f>
        <v>4975</v>
      </c>
      <c r="DH769" s="14" t="s">
        <v>539</v>
      </c>
      <c r="DI769" s="14">
        <f>INDEX(属性投放!$BL$6:$BL$85,(CV769-2)*20+CZ769)</f>
        <v>225</v>
      </c>
      <c r="DJ769" s="14">
        <f>SUMIFS(DI$5:DI769,$CT$5:$CT769,"="&amp;$CT769)</f>
        <v>2491</v>
      </c>
      <c r="DK769" s="14" t="s">
        <v>540</v>
      </c>
      <c r="DL769" s="14">
        <f>INDEX(属性投放!$BM$6:$BM$85,(CV769-2)*20+CZ769)</f>
        <v>4500</v>
      </c>
      <c r="DM769" s="14">
        <f>SUMIFS(DL$5:DL769,$CT$5:$CT769,"="&amp;$CT769)</f>
        <v>46520</v>
      </c>
      <c r="DR769" s="30"/>
      <c r="DS769" s="30"/>
      <c r="DW769" s="30"/>
      <c r="DX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</row>
    <row r="770" spans="31:163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1072"/>
        <v>15</v>
      </c>
      <c r="CU770" s="13">
        <f t="shared" si="1073"/>
        <v>38</v>
      </c>
      <c r="CV770" s="14">
        <f t="shared" si="1074"/>
        <v>2</v>
      </c>
      <c r="CW770" s="14">
        <f t="shared" si="1075"/>
        <v>1102015</v>
      </c>
      <c r="CX770" s="14" t="str">
        <f>INDEX($O$6:$O$50,CT770)&amp;"-"&amp;INDEX(属性投放!$AB$7:$AB$50,CZ770)&amp;"-魂火-"&amp;DB770</f>
        <v>于禁-大焦热-魂火-2</v>
      </c>
      <c r="CY770" s="25" t="s">
        <v>142</v>
      </c>
      <c r="CZ770" s="14">
        <f>INDEX(属性投放!$AM$7:$AM$58,CU770)</f>
        <v>16</v>
      </c>
      <c r="DA770" s="14" t="s">
        <v>537</v>
      </c>
      <c r="DB770" s="14">
        <f>INDEX(属性投放!$AN$7:$AN$58,CU770)</f>
        <v>2</v>
      </c>
      <c r="DC770" s="14">
        <f t="shared" si="1071"/>
        <v>38</v>
      </c>
      <c r="DD770" s="14">
        <f>INDEX(属性投放!$AO$7:$AO$58,DC770)</f>
        <v>113</v>
      </c>
      <c r="DE770" s="14" t="s">
        <v>538</v>
      </c>
      <c r="DF770" s="14">
        <f>INDEX(属性投放!$BK$6:$BK$85,(CV770-2)*20+CZ770)</f>
        <v>450</v>
      </c>
      <c r="DG770" s="14">
        <f>SUMIFS(DF$5:DF770,$CT$5:$CT770,"="&amp;$CT770)</f>
        <v>5425</v>
      </c>
      <c r="DH770" s="14" t="s">
        <v>539</v>
      </c>
      <c r="DI770" s="14">
        <f>INDEX(属性投放!$BL$6:$BL$85,(CV770-2)*20+CZ770)</f>
        <v>225</v>
      </c>
      <c r="DJ770" s="14">
        <f>SUMIFS(DI$5:DI770,$CT$5:$CT770,"="&amp;$CT770)</f>
        <v>2716</v>
      </c>
      <c r="DK770" s="14" t="s">
        <v>540</v>
      </c>
      <c r="DL770" s="14">
        <f>INDEX(属性投放!$BM$6:$BM$85,(CV770-2)*20+CZ770)</f>
        <v>4500</v>
      </c>
      <c r="DM770" s="14">
        <f>SUMIFS(DL$5:DL770,$CT$5:$CT770,"="&amp;$CT770)</f>
        <v>51020</v>
      </c>
      <c r="DR770" s="30"/>
      <c r="DS770" s="30"/>
      <c r="DW770" s="30"/>
      <c r="DX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</row>
    <row r="771" spans="31:163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1072"/>
        <v>15</v>
      </c>
      <c r="CU771" s="13">
        <f t="shared" si="1073"/>
        <v>39</v>
      </c>
      <c r="CV771" s="14">
        <f t="shared" si="1074"/>
        <v>2</v>
      </c>
      <c r="CW771" s="14">
        <f t="shared" si="1075"/>
        <v>1102015</v>
      </c>
      <c r="CX771" s="14" t="str">
        <f>INDEX($O$6:$O$50,CT771)&amp;"-"&amp;INDEX(属性投放!$AB$7:$AB$50,CZ771)&amp;"-魂火-"&amp;DB771</f>
        <v>于禁-大焦热-魂火-3</v>
      </c>
      <c r="CY771" s="25" t="s">
        <v>142</v>
      </c>
      <c r="CZ771" s="14">
        <f>INDEX(属性投放!$AM$7:$AM$58,CU771)</f>
        <v>16</v>
      </c>
      <c r="DA771" s="14" t="s">
        <v>537</v>
      </c>
      <c r="DB771" s="14">
        <f>INDEX(属性投放!$AN$7:$AN$58,CU771)</f>
        <v>3</v>
      </c>
      <c r="DC771" s="14">
        <f t="shared" si="1071"/>
        <v>39</v>
      </c>
      <c r="DD771" s="14">
        <f>INDEX(属性投放!$AO$7:$AO$58,DC771)</f>
        <v>115</v>
      </c>
      <c r="DE771" s="14" t="s">
        <v>538</v>
      </c>
      <c r="DF771" s="14">
        <f>INDEX(属性投放!$BK$6:$BK$85,(CV771-2)*20+CZ771)</f>
        <v>450</v>
      </c>
      <c r="DG771" s="14">
        <f>SUMIFS(DF$5:DF771,$CT$5:$CT771,"="&amp;$CT771)</f>
        <v>5875</v>
      </c>
      <c r="DH771" s="14" t="s">
        <v>539</v>
      </c>
      <c r="DI771" s="14">
        <f>INDEX(属性投放!$BL$6:$BL$85,(CV771-2)*20+CZ771)</f>
        <v>225</v>
      </c>
      <c r="DJ771" s="14">
        <f>SUMIFS(DI$5:DI771,$CT$5:$CT771,"="&amp;$CT771)</f>
        <v>2941</v>
      </c>
      <c r="DK771" s="14" t="s">
        <v>540</v>
      </c>
      <c r="DL771" s="14">
        <f>INDEX(属性投放!$BM$6:$BM$85,(CV771-2)*20+CZ771)</f>
        <v>4500</v>
      </c>
      <c r="DM771" s="14">
        <f>SUMIFS(DL$5:DL771,$CT$5:$CT771,"="&amp;$CT771)</f>
        <v>55520</v>
      </c>
      <c r="DR771" s="30"/>
      <c r="DS771" s="30"/>
      <c r="DW771" s="30"/>
      <c r="DX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</row>
    <row r="772" spans="31:163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1072"/>
        <v>15</v>
      </c>
      <c r="CU772" s="13">
        <f t="shared" si="1073"/>
        <v>40</v>
      </c>
      <c r="CV772" s="14">
        <f t="shared" si="1074"/>
        <v>2</v>
      </c>
      <c r="CW772" s="14">
        <f t="shared" si="1075"/>
        <v>1102015</v>
      </c>
      <c r="CX772" s="14" t="str">
        <f>INDEX($O$6:$O$50,CT772)&amp;"-"&amp;INDEX(属性投放!$AB$7:$AB$50,CZ772)&amp;"-魂火-"&amp;DB772</f>
        <v>于禁-大焦热+1-魂火-1</v>
      </c>
      <c r="CY772" s="25" t="s">
        <v>142</v>
      </c>
      <c r="CZ772" s="14">
        <f>INDEX(属性投放!$AM$7:$AM$58,CU772)</f>
        <v>17</v>
      </c>
      <c r="DA772" s="14" t="s">
        <v>537</v>
      </c>
      <c r="DB772" s="14">
        <f>INDEX(属性投放!$AN$7:$AN$58,CU772)</f>
        <v>1</v>
      </c>
      <c r="DC772" s="14">
        <f t="shared" si="1071"/>
        <v>40</v>
      </c>
      <c r="DD772" s="14">
        <f>INDEX(属性投放!$AO$7:$AO$58,DC772)</f>
        <v>118</v>
      </c>
      <c r="DE772" s="14" t="s">
        <v>538</v>
      </c>
      <c r="DF772" s="14">
        <f>INDEX(属性投放!$BK$6:$BK$85,(CV772-2)*20+CZ772)</f>
        <v>550</v>
      </c>
      <c r="DG772" s="14">
        <f>SUMIFS(DF$5:DF772,$CT$5:$CT772,"="&amp;$CT772)</f>
        <v>6425</v>
      </c>
      <c r="DH772" s="14" t="s">
        <v>539</v>
      </c>
      <c r="DI772" s="14">
        <f>INDEX(属性投放!$BL$6:$BL$85,(CV772-2)*20+CZ772)</f>
        <v>275</v>
      </c>
      <c r="DJ772" s="14">
        <f>SUMIFS(DI$5:DI772,$CT$5:$CT772,"="&amp;$CT772)</f>
        <v>3216</v>
      </c>
      <c r="DK772" s="14" t="s">
        <v>540</v>
      </c>
      <c r="DL772" s="14">
        <f>INDEX(属性投放!$BM$6:$BM$85,(CV772-2)*20+CZ772)</f>
        <v>5500</v>
      </c>
      <c r="DM772" s="14">
        <f>SUMIFS(DL$5:DL772,$CT$5:$CT772,"="&amp;$CT772)</f>
        <v>61020</v>
      </c>
      <c r="DR772" s="30"/>
      <c r="DS772" s="30"/>
      <c r="DW772" s="30"/>
      <c r="DX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</row>
    <row r="773" spans="31:163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1072"/>
        <v>15</v>
      </c>
      <c r="CU773" s="13">
        <f t="shared" si="1073"/>
        <v>41</v>
      </c>
      <c r="CV773" s="14">
        <f t="shared" si="1074"/>
        <v>2</v>
      </c>
      <c r="CW773" s="14">
        <f t="shared" si="1075"/>
        <v>1102015</v>
      </c>
      <c r="CX773" s="14" t="str">
        <f>INDEX($O$6:$O$50,CT773)&amp;"-"&amp;INDEX(属性投放!$AB$7:$AB$50,CZ773)&amp;"-魂火-"&amp;DB773</f>
        <v>于禁-大焦热+1-魂火-2</v>
      </c>
      <c r="CY773" s="25" t="s">
        <v>142</v>
      </c>
      <c r="CZ773" s="14">
        <f>INDEX(属性投放!$AM$7:$AM$58,CU773)</f>
        <v>17</v>
      </c>
      <c r="DA773" s="14" t="s">
        <v>537</v>
      </c>
      <c r="DB773" s="14">
        <f>INDEX(属性投放!$AN$7:$AN$58,CU773)</f>
        <v>2</v>
      </c>
      <c r="DC773" s="14">
        <f t="shared" ref="DC773:DC836" si="1076">CU773</f>
        <v>41</v>
      </c>
      <c r="DD773" s="14">
        <f>INDEX(属性投放!$AO$7:$AO$58,DC773)</f>
        <v>120</v>
      </c>
      <c r="DE773" s="14" t="s">
        <v>538</v>
      </c>
      <c r="DF773" s="14">
        <f>INDEX(属性投放!$BK$6:$BK$85,(CV773-2)*20+CZ773)</f>
        <v>550</v>
      </c>
      <c r="DG773" s="14">
        <f>SUMIFS(DF$5:DF773,$CT$5:$CT773,"="&amp;$CT773)</f>
        <v>6975</v>
      </c>
      <c r="DH773" s="14" t="s">
        <v>539</v>
      </c>
      <c r="DI773" s="14">
        <f>INDEX(属性投放!$BL$6:$BL$85,(CV773-2)*20+CZ773)</f>
        <v>275</v>
      </c>
      <c r="DJ773" s="14">
        <f>SUMIFS(DI$5:DI773,$CT$5:$CT773,"="&amp;$CT773)</f>
        <v>3491</v>
      </c>
      <c r="DK773" s="14" t="s">
        <v>540</v>
      </c>
      <c r="DL773" s="14">
        <f>INDEX(属性投放!$BM$6:$BM$85,(CV773-2)*20+CZ773)</f>
        <v>5500</v>
      </c>
      <c r="DM773" s="14">
        <f>SUMIFS(DL$5:DL773,$CT$5:$CT773,"="&amp;$CT773)</f>
        <v>66520</v>
      </c>
      <c r="DR773" s="30"/>
      <c r="DS773" s="30"/>
      <c r="DW773" s="30"/>
      <c r="DX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</row>
    <row r="774" spans="31:163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1077">MATCH(CS774-1,$U$5:$U$36,1)</f>
        <v>15</v>
      </c>
      <c r="CU774" s="13">
        <f t="shared" ref="CU774:CU837" si="1078">CS774-(CT774-1)*52</f>
        <v>42</v>
      </c>
      <c r="CV774" s="14">
        <f t="shared" ref="CV774:CV837" si="1079">INDEX($Q$6:$Q$50,CT774)</f>
        <v>2</v>
      </c>
      <c r="CW774" s="14">
        <f t="shared" ref="CW774:CW837" si="1080">INDEX($N$6:$N$50,CT774)</f>
        <v>1102015</v>
      </c>
      <c r="CX774" s="14" t="str">
        <f>INDEX($O$6:$O$50,CT774)&amp;"-"&amp;INDEX(属性投放!$AB$7:$AB$50,CZ774)&amp;"-魂火-"&amp;DB774</f>
        <v>于禁-大焦热+1-魂火-3</v>
      </c>
      <c r="CY774" s="25" t="s">
        <v>142</v>
      </c>
      <c r="CZ774" s="14">
        <f>INDEX(属性投放!$AM$7:$AM$58,CU774)</f>
        <v>17</v>
      </c>
      <c r="DA774" s="14" t="s">
        <v>537</v>
      </c>
      <c r="DB774" s="14">
        <f>INDEX(属性投放!$AN$7:$AN$58,CU774)</f>
        <v>3</v>
      </c>
      <c r="DC774" s="14">
        <f t="shared" si="1076"/>
        <v>42</v>
      </c>
      <c r="DD774" s="14">
        <f>INDEX(属性投放!$AO$7:$AO$58,DC774)</f>
        <v>123</v>
      </c>
      <c r="DE774" s="14" t="s">
        <v>538</v>
      </c>
      <c r="DF774" s="14">
        <f>INDEX(属性投放!$BK$6:$BK$85,(CV774-2)*20+CZ774)</f>
        <v>550</v>
      </c>
      <c r="DG774" s="14">
        <f>SUMIFS(DF$5:DF774,$CT$5:$CT774,"="&amp;$CT774)</f>
        <v>7525</v>
      </c>
      <c r="DH774" s="14" t="s">
        <v>539</v>
      </c>
      <c r="DI774" s="14">
        <f>INDEX(属性投放!$BL$6:$BL$85,(CV774-2)*20+CZ774)</f>
        <v>275</v>
      </c>
      <c r="DJ774" s="14">
        <f>SUMIFS(DI$5:DI774,$CT$5:$CT774,"="&amp;$CT774)</f>
        <v>3766</v>
      </c>
      <c r="DK774" s="14" t="s">
        <v>540</v>
      </c>
      <c r="DL774" s="14">
        <f>INDEX(属性投放!$BM$6:$BM$85,(CV774-2)*20+CZ774)</f>
        <v>5500</v>
      </c>
      <c r="DM774" s="14">
        <f>SUMIFS(DL$5:DL774,$CT$5:$CT774,"="&amp;$CT774)</f>
        <v>72020</v>
      </c>
      <c r="DR774" s="30"/>
      <c r="DS774" s="30"/>
      <c r="DW774" s="30"/>
      <c r="DX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</row>
    <row r="775" spans="31:163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1077"/>
        <v>15</v>
      </c>
      <c r="CU775" s="13">
        <f t="shared" si="1078"/>
        <v>43</v>
      </c>
      <c r="CV775" s="14">
        <f t="shared" si="1079"/>
        <v>2</v>
      </c>
      <c r="CW775" s="14">
        <f t="shared" si="1080"/>
        <v>1102015</v>
      </c>
      <c r="CX775" s="14" t="str">
        <f>INDEX($O$6:$O$50,CT775)&amp;"-"&amp;INDEX(属性投放!$AB$7:$AB$50,CZ775)&amp;"-魂火-"&amp;DB775</f>
        <v>于禁-大焦热+2-魂火-1</v>
      </c>
      <c r="CY775" s="25" t="s">
        <v>142</v>
      </c>
      <c r="CZ775" s="14">
        <f>INDEX(属性投放!$AM$7:$AM$58,CU775)</f>
        <v>18</v>
      </c>
      <c r="DA775" s="14" t="s">
        <v>537</v>
      </c>
      <c r="DB775" s="14">
        <f>INDEX(属性投放!$AN$7:$AN$58,CU775)</f>
        <v>1</v>
      </c>
      <c r="DC775" s="14">
        <f t="shared" si="1076"/>
        <v>43</v>
      </c>
      <c r="DD775" s="14">
        <f>INDEX(属性投放!$AO$7:$AO$58,DC775)</f>
        <v>125</v>
      </c>
      <c r="DE775" s="14" t="s">
        <v>538</v>
      </c>
      <c r="DF775" s="14">
        <f>INDEX(属性投放!$BK$6:$BK$85,(CV775-2)*20+CZ775)</f>
        <v>680</v>
      </c>
      <c r="DG775" s="14">
        <f>SUMIFS(DF$5:DF775,$CT$5:$CT775,"="&amp;$CT775)</f>
        <v>8205</v>
      </c>
      <c r="DH775" s="14" t="s">
        <v>539</v>
      </c>
      <c r="DI775" s="14">
        <f>INDEX(属性投放!$BL$6:$BL$85,(CV775-2)*20+CZ775)</f>
        <v>340</v>
      </c>
      <c r="DJ775" s="14">
        <f>SUMIFS(DI$5:DI775,$CT$5:$CT775,"="&amp;$CT775)</f>
        <v>4106</v>
      </c>
      <c r="DK775" s="14" t="s">
        <v>540</v>
      </c>
      <c r="DL775" s="14">
        <f>INDEX(属性投放!$BM$6:$BM$85,(CV775-2)*20+CZ775)</f>
        <v>6800</v>
      </c>
      <c r="DM775" s="14">
        <f>SUMIFS(DL$5:DL775,$CT$5:$CT775,"="&amp;$CT775)</f>
        <v>78820</v>
      </c>
      <c r="DR775" s="30"/>
      <c r="DS775" s="30"/>
      <c r="DW775" s="30"/>
      <c r="DX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</row>
    <row r="776" spans="31:163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1077"/>
        <v>15</v>
      </c>
      <c r="CU776" s="13">
        <f t="shared" si="1078"/>
        <v>44</v>
      </c>
      <c r="CV776" s="14">
        <f t="shared" si="1079"/>
        <v>2</v>
      </c>
      <c r="CW776" s="14">
        <f t="shared" si="1080"/>
        <v>1102015</v>
      </c>
      <c r="CX776" s="14" t="str">
        <f>INDEX($O$6:$O$50,CT776)&amp;"-"&amp;INDEX(属性投放!$AB$7:$AB$50,CZ776)&amp;"-魂火-"&amp;DB776</f>
        <v>于禁-大焦热+2-魂火-2</v>
      </c>
      <c r="CY776" s="25" t="s">
        <v>142</v>
      </c>
      <c r="CZ776" s="14">
        <f>INDEX(属性投放!$AM$7:$AM$58,CU776)</f>
        <v>18</v>
      </c>
      <c r="DA776" s="14" t="s">
        <v>537</v>
      </c>
      <c r="DB776" s="14">
        <f>INDEX(属性投放!$AN$7:$AN$58,CU776)</f>
        <v>2</v>
      </c>
      <c r="DC776" s="14">
        <f t="shared" si="1076"/>
        <v>44</v>
      </c>
      <c r="DD776" s="14">
        <f>INDEX(属性投放!$AO$7:$AO$58,DC776)</f>
        <v>128</v>
      </c>
      <c r="DE776" s="14" t="s">
        <v>538</v>
      </c>
      <c r="DF776" s="14">
        <f>INDEX(属性投放!$BK$6:$BK$85,(CV776-2)*20+CZ776)</f>
        <v>680</v>
      </c>
      <c r="DG776" s="14">
        <f>SUMIFS(DF$5:DF776,$CT$5:$CT776,"="&amp;$CT776)</f>
        <v>8885</v>
      </c>
      <c r="DH776" s="14" t="s">
        <v>539</v>
      </c>
      <c r="DI776" s="14">
        <f>INDEX(属性投放!$BL$6:$BL$85,(CV776-2)*20+CZ776)</f>
        <v>340</v>
      </c>
      <c r="DJ776" s="14">
        <f>SUMIFS(DI$5:DI776,$CT$5:$CT776,"="&amp;$CT776)</f>
        <v>4446</v>
      </c>
      <c r="DK776" s="14" t="s">
        <v>540</v>
      </c>
      <c r="DL776" s="14">
        <f>INDEX(属性投放!$BM$6:$BM$85,(CV776-2)*20+CZ776)</f>
        <v>6800</v>
      </c>
      <c r="DM776" s="14">
        <f>SUMIFS(DL$5:DL776,$CT$5:$CT776,"="&amp;$CT776)</f>
        <v>85620</v>
      </c>
      <c r="DR776" s="30"/>
      <c r="DS776" s="30"/>
      <c r="DW776" s="30"/>
      <c r="DX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</row>
    <row r="777" spans="31:163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1077"/>
        <v>15</v>
      </c>
      <c r="CU777" s="13">
        <f t="shared" si="1078"/>
        <v>45</v>
      </c>
      <c r="CV777" s="14">
        <f t="shared" si="1079"/>
        <v>2</v>
      </c>
      <c r="CW777" s="14">
        <f t="shared" si="1080"/>
        <v>1102015</v>
      </c>
      <c r="CX777" s="14" t="str">
        <f>INDEX($O$6:$O$50,CT777)&amp;"-"&amp;INDEX(属性投放!$AB$7:$AB$50,CZ777)&amp;"-魂火-"&amp;DB777</f>
        <v>于禁-大焦热+2-魂火-3</v>
      </c>
      <c r="CY777" s="25" t="s">
        <v>142</v>
      </c>
      <c r="CZ777" s="14">
        <f>INDEX(属性投放!$AM$7:$AM$58,CU777)</f>
        <v>18</v>
      </c>
      <c r="DA777" s="14" t="s">
        <v>537</v>
      </c>
      <c r="DB777" s="14">
        <f>INDEX(属性投放!$AN$7:$AN$58,CU777)</f>
        <v>3</v>
      </c>
      <c r="DC777" s="14">
        <f t="shared" si="1076"/>
        <v>45</v>
      </c>
      <c r="DD777" s="14">
        <f>INDEX(属性投放!$AO$7:$AO$58,DC777)</f>
        <v>130</v>
      </c>
      <c r="DE777" s="14" t="s">
        <v>538</v>
      </c>
      <c r="DF777" s="14">
        <f>INDEX(属性投放!$BK$6:$BK$85,(CV777-2)*20+CZ777)</f>
        <v>680</v>
      </c>
      <c r="DG777" s="14">
        <f>SUMIFS(DF$5:DF777,$CT$5:$CT777,"="&amp;$CT777)</f>
        <v>9565</v>
      </c>
      <c r="DH777" s="14" t="s">
        <v>539</v>
      </c>
      <c r="DI777" s="14">
        <f>INDEX(属性投放!$BL$6:$BL$85,(CV777-2)*20+CZ777)</f>
        <v>340</v>
      </c>
      <c r="DJ777" s="14">
        <f>SUMIFS(DI$5:DI777,$CT$5:$CT777,"="&amp;$CT777)</f>
        <v>4786</v>
      </c>
      <c r="DK777" s="14" t="s">
        <v>540</v>
      </c>
      <c r="DL777" s="14">
        <f>INDEX(属性投放!$BM$6:$BM$85,(CV777-2)*20+CZ777)</f>
        <v>6800</v>
      </c>
      <c r="DM777" s="14">
        <f>SUMIFS(DL$5:DL777,$CT$5:$CT777,"="&amp;$CT777)</f>
        <v>92420</v>
      </c>
      <c r="DR777" s="30"/>
      <c r="DS777" s="30"/>
      <c r="DW777" s="30"/>
      <c r="DX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</row>
    <row r="778" spans="31:163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1077"/>
        <v>15</v>
      </c>
      <c r="CU778" s="13">
        <f t="shared" si="1078"/>
        <v>46</v>
      </c>
      <c r="CV778" s="14">
        <f t="shared" si="1079"/>
        <v>2</v>
      </c>
      <c r="CW778" s="14">
        <f t="shared" si="1080"/>
        <v>1102015</v>
      </c>
      <c r="CX778" s="14" t="str">
        <f>INDEX($O$6:$O$50,CT778)&amp;"-"&amp;INDEX(属性投放!$AB$7:$AB$50,CZ778)&amp;"-魂火-"&amp;DB778</f>
        <v>于禁-无间-魂火-1</v>
      </c>
      <c r="CY778" s="25" t="s">
        <v>142</v>
      </c>
      <c r="CZ778" s="14">
        <f>INDEX(属性投放!$AM$7:$AM$58,CU778)</f>
        <v>19</v>
      </c>
      <c r="DA778" s="14" t="s">
        <v>537</v>
      </c>
      <c r="DB778" s="14">
        <f>INDEX(属性投放!$AN$7:$AN$58,CU778)</f>
        <v>1</v>
      </c>
      <c r="DC778" s="14">
        <f t="shared" si="1076"/>
        <v>46</v>
      </c>
      <c r="DD778" s="14">
        <f>INDEX(属性投放!$AO$7:$AO$58,DC778)</f>
        <v>133</v>
      </c>
      <c r="DE778" s="14" t="s">
        <v>538</v>
      </c>
      <c r="DF778" s="14">
        <f>INDEX(属性投放!$BK$6:$BK$85,(CV778-2)*20+CZ778)</f>
        <v>850</v>
      </c>
      <c r="DG778" s="14">
        <f>SUMIFS(DF$5:DF778,$CT$5:$CT778,"="&amp;$CT778)</f>
        <v>10415</v>
      </c>
      <c r="DH778" s="14" t="s">
        <v>539</v>
      </c>
      <c r="DI778" s="14">
        <f>INDEX(属性投放!$BL$6:$BL$85,(CV778-2)*20+CZ778)</f>
        <v>425</v>
      </c>
      <c r="DJ778" s="14">
        <f>SUMIFS(DI$5:DI778,$CT$5:$CT778,"="&amp;$CT778)</f>
        <v>5211</v>
      </c>
      <c r="DK778" s="14" t="s">
        <v>540</v>
      </c>
      <c r="DL778" s="14">
        <f>INDEX(属性投放!$BM$6:$BM$85,(CV778-2)*20+CZ778)</f>
        <v>8500</v>
      </c>
      <c r="DM778" s="14">
        <f>SUMIFS(DL$5:DL778,$CT$5:$CT778,"="&amp;$CT778)</f>
        <v>100920</v>
      </c>
      <c r="DR778" s="30"/>
      <c r="DS778" s="30"/>
      <c r="DW778" s="30"/>
      <c r="DX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</row>
    <row r="779" spans="31:163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1077"/>
        <v>15</v>
      </c>
      <c r="CU779" s="13">
        <f t="shared" si="1078"/>
        <v>47</v>
      </c>
      <c r="CV779" s="14">
        <f t="shared" si="1079"/>
        <v>2</v>
      </c>
      <c r="CW779" s="14">
        <f t="shared" si="1080"/>
        <v>1102015</v>
      </c>
      <c r="CX779" s="14" t="str">
        <f>INDEX($O$6:$O$50,CT779)&amp;"-"&amp;INDEX(属性投放!$AB$7:$AB$50,CZ779)&amp;"-魂火-"&amp;DB779</f>
        <v>于禁-无间-魂火-2</v>
      </c>
      <c r="CY779" s="25" t="s">
        <v>142</v>
      </c>
      <c r="CZ779" s="14">
        <f>INDEX(属性投放!$AM$7:$AM$58,CU779)</f>
        <v>19</v>
      </c>
      <c r="DA779" s="14" t="s">
        <v>537</v>
      </c>
      <c r="DB779" s="14">
        <f>INDEX(属性投放!$AN$7:$AN$58,CU779)</f>
        <v>2</v>
      </c>
      <c r="DC779" s="14">
        <f t="shared" si="1076"/>
        <v>47</v>
      </c>
      <c r="DD779" s="14">
        <f>INDEX(属性投放!$AO$7:$AO$58,DC779)</f>
        <v>135</v>
      </c>
      <c r="DE779" s="14" t="s">
        <v>538</v>
      </c>
      <c r="DF779" s="14">
        <f>INDEX(属性投放!$BK$6:$BK$85,(CV779-2)*20+CZ779)</f>
        <v>850</v>
      </c>
      <c r="DG779" s="14">
        <f>SUMIFS(DF$5:DF779,$CT$5:$CT779,"="&amp;$CT779)</f>
        <v>11265</v>
      </c>
      <c r="DH779" s="14" t="s">
        <v>539</v>
      </c>
      <c r="DI779" s="14">
        <f>INDEX(属性投放!$BL$6:$BL$85,(CV779-2)*20+CZ779)</f>
        <v>425</v>
      </c>
      <c r="DJ779" s="14">
        <f>SUMIFS(DI$5:DI779,$CT$5:$CT779,"="&amp;$CT779)</f>
        <v>5636</v>
      </c>
      <c r="DK779" s="14" t="s">
        <v>540</v>
      </c>
      <c r="DL779" s="14">
        <f>INDEX(属性投放!$BM$6:$BM$85,(CV779-2)*20+CZ779)</f>
        <v>8500</v>
      </c>
      <c r="DM779" s="14">
        <f>SUMIFS(DL$5:DL779,$CT$5:$CT779,"="&amp;$CT779)</f>
        <v>109420</v>
      </c>
      <c r="DR779" s="30"/>
      <c r="DS779" s="30"/>
      <c r="DW779" s="30"/>
      <c r="DX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</row>
    <row r="780" spans="31:163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1077"/>
        <v>15</v>
      </c>
      <c r="CU780" s="13">
        <f t="shared" si="1078"/>
        <v>48</v>
      </c>
      <c r="CV780" s="14">
        <f t="shared" si="1079"/>
        <v>2</v>
      </c>
      <c r="CW780" s="14">
        <f t="shared" si="1080"/>
        <v>1102015</v>
      </c>
      <c r="CX780" s="14" t="str">
        <f>INDEX($O$6:$O$50,CT780)&amp;"-"&amp;INDEX(属性投放!$AB$7:$AB$50,CZ780)&amp;"-魂火-"&amp;DB780</f>
        <v>于禁-无间-魂火-3</v>
      </c>
      <c r="CY780" s="25" t="s">
        <v>142</v>
      </c>
      <c r="CZ780" s="14">
        <f>INDEX(属性投放!$AM$7:$AM$58,CU780)</f>
        <v>19</v>
      </c>
      <c r="DA780" s="14" t="s">
        <v>537</v>
      </c>
      <c r="DB780" s="14">
        <f>INDEX(属性投放!$AN$7:$AN$58,CU780)</f>
        <v>3</v>
      </c>
      <c r="DC780" s="14">
        <f t="shared" si="1076"/>
        <v>48</v>
      </c>
      <c r="DD780" s="14">
        <f>INDEX(属性投放!$AO$7:$AO$58,DC780)</f>
        <v>138</v>
      </c>
      <c r="DE780" s="14" t="s">
        <v>538</v>
      </c>
      <c r="DF780" s="14">
        <f>INDEX(属性投放!$BK$6:$BK$85,(CV780-2)*20+CZ780)</f>
        <v>850</v>
      </c>
      <c r="DG780" s="14">
        <f>SUMIFS(DF$5:DF780,$CT$5:$CT780,"="&amp;$CT780)</f>
        <v>12115</v>
      </c>
      <c r="DH780" s="14" t="s">
        <v>539</v>
      </c>
      <c r="DI780" s="14">
        <f>INDEX(属性投放!$BL$6:$BL$85,(CV780-2)*20+CZ780)</f>
        <v>425</v>
      </c>
      <c r="DJ780" s="14">
        <f>SUMIFS(DI$5:DI780,$CT$5:$CT780,"="&amp;$CT780)</f>
        <v>6061</v>
      </c>
      <c r="DK780" s="14" t="s">
        <v>540</v>
      </c>
      <c r="DL780" s="14">
        <f>INDEX(属性投放!$BM$6:$BM$85,(CV780-2)*20+CZ780)</f>
        <v>8500</v>
      </c>
      <c r="DM780" s="14">
        <f>SUMIFS(DL$5:DL780,$CT$5:$CT780,"="&amp;$CT780)</f>
        <v>117920</v>
      </c>
      <c r="DR780" s="30"/>
      <c r="DS780" s="30"/>
      <c r="DW780" s="30"/>
      <c r="DX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</row>
    <row r="781" spans="31:163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1077"/>
        <v>15</v>
      </c>
      <c r="CU781" s="13">
        <f t="shared" si="1078"/>
        <v>49</v>
      </c>
      <c r="CV781" s="14">
        <f t="shared" si="1079"/>
        <v>2</v>
      </c>
      <c r="CW781" s="14">
        <f t="shared" si="1080"/>
        <v>1102015</v>
      </c>
      <c r="CX781" s="14" t="str">
        <f>INDEX($O$6:$O$50,CT781)&amp;"-"&amp;INDEX(属性投放!$AB$7:$AB$50,CZ781)&amp;"-魂火-"&amp;DB781</f>
        <v>于禁-无间+1-魂火-1</v>
      </c>
      <c r="CY781" s="25" t="s">
        <v>142</v>
      </c>
      <c r="CZ781" s="14">
        <f>INDEX(属性投放!$AM$7:$AM$58,CU781)</f>
        <v>20</v>
      </c>
      <c r="DA781" s="14" t="s">
        <v>537</v>
      </c>
      <c r="DB781" s="14">
        <f>INDEX(属性投放!$AN$7:$AN$58,CU781)</f>
        <v>1</v>
      </c>
      <c r="DC781" s="14">
        <f t="shared" si="1076"/>
        <v>49</v>
      </c>
      <c r="DD781" s="14">
        <f>INDEX(属性投放!$AO$7:$AO$58,DC781)</f>
        <v>140</v>
      </c>
      <c r="DE781" s="14" t="s">
        <v>538</v>
      </c>
      <c r="DF781" s="14">
        <f>INDEX(属性投放!$BK$6:$BK$85,(CV781-2)*20+CZ781)</f>
        <v>1000</v>
      </c>
      <c r="DG781" s="14">
        <f>SUMIFS(DF$5:DF781,$CT$5:$CT781,"="&amp;$CT781)</f>
        <v>13115</v>
      </c>
      <c r="DH781" s="14" t="s">
        <v>539</v>
      </c>
      <c r="DI781" s="14">
        <f>INDEX(属性投放!$BL$6:$BL$85,(CV781-2)*20+CZ781)</f>
        <v>500</v>
      </c>
      <c r="DJ781" s="14">
        <f>SUMIFS(DI$5:DI781,$CT$5:$CT781,"="&amp;$CT781)</f>
        <v>6561</v>
      </c>
      <c r="DK781" s="14" t="s">
        <v>540</v>
      </c>
      <c r="DL781" s="14">
        <f>INDEX(属性投放!$BM$6:$BM$85,(CV781-2)*20+CZ781)</f>
        <v>10000</v>
      </c>
      <c r="DM781" s="14">
        <f>SUMIFS(DL$5:DL781,$CT$5:$CT781,"="&amp;$CT781)</f>
        <v>127920</v>
      </c>
      <c r="DR781" s="30"/>
      <c r="DS781" s="30"/>
      <c r="DW781" s="30"/>
      <c r="DX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</row>
    <row r="782" spans="31:163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1077"/>
        <v>15</v>
      </c>
      <c r="CU782" s="13">
        <f t="shared" si="1078"/>
        <v>50</v>
      </c>
      <c r="CV782" s="14">
        <f t="shared" si="1079"/>
        <v>2</v>
      </c>
      <c r="CW782" s="14">
        <f t="shared" si="1080"/>
        <v>1102015</v>
      </c>
      <c r="CX782" s="14" t="str">
        <f>INDEX($O$6:$O$50,CT782)&amp;"-"&amp;INDEX(属性投放!$AB$7:$AB$50,CZ782)&amp;"-魂火-"&amp;DB782</f>
        <v>于禁-无间+1-魂火-2</v>
      </c>
      <c r="CY782" s="25" t="s">
        <v>142</v>
      </c>
      <c r="CZ782" s="14">
        <f>INDEX(属性投放!$AM$7:$AM$58,CU782)</f>
        <v>20</v>
      </c>
      <c r="DA782" s="14" t="s">
        <v>537</v>
      </c>
      <c r="DB782" s="14">
        <f>INDEX(属性投放!$AN$7:$AN$58,CU782)</f>
        <v>2</v>
      </c>
      <c r="DC782" s="14">
        <f t="shared" si="1076"/>
        <v>50</v>
      </c>
      <c r="DD782" s="14">
        <f>INDEX(属性投放!$AO$7:$AO$58,DC782)</f>
        <v>143</v>
      </c>
      <c r="DE782" s="14" t="s">
        <v>538</v>
      </c>
      <c r="DF782" s="14">
        <f>INDEX(属性投放!$BK$6:$BK$85,(CV782-2)*20+CZ782)</f>
        <v>1000</v>
      </c>
      <c r="DG782" s="14">
        <f>SUMIFS(DF$5:DF782,$CT$5:$CT782,"="&amp;$CT782)</f>
        <v>14115</v>
      </c>
      <c r="DH782" s="14" t="s">
        <v>539</v>
      </c>
      <c r="DI782" s="14">
        <f>INDEX(属性投放!$BL$6:$BL$85,(CV782-2)*20+CZ782)</f>
        <v>500</v>
      </c>
      <c r="DJ782" s="14">
        <f>SUMIFS(DI$5:DI782,$CT$5:$CT782,"="&amp;$CT782)</f>
        <v>7061</v>
      </c>
      <c r="DK782" s="14" t="s">
        <v>540</v>
      </c>
      <c r="DL782" s="14">
        <f>INDEX(属性投放!$BM$6:$BM$85,(CV782-2)*20+CZ782)</f>
        <v>10000</v>
      </c>
      <c r="DM782" s="14">
        <f>SUMIFS(DL$5:DL782,$CT$5:$CT782,"="&amp;$CT782)</f>
        <v>137920</v>
      </c>
      <c r="DR782" s="30"/>
      <c r="DS782" s="30"/>
      <c r="DW782" s="30"/>
      <c r="DX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</row>
    <row r="783" spans="31:163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1077"/>
        <v>15</v>
      </c>
      <c r="CU783" s="13">
        <f t="shared" si="1078"/>
        <v>51</v>
      </c>
      <c r="CV783" s="14">
        <f t="shared" si="1079"/>
        <v>2</v>
      </c>
      <c r="CW783" s="14">
        <f t="shared" si="1080"/>
        <v>1102015</v>
      </c>
      <c r="CX783" s="14" t="str">
        <f>INDEX($O$6:$O$50,CT783)&amp;"-"&amp;INDEX(属性投放!$AB$7:$AB$50,CZ783)&amp;"-魂火-"&amp;DB783</f>
        <v>于禁-无间+1-魂火-3</v>
      </c>
      <c r="CY783" s="25" t="s">
        <v>142</v>
      </c>
      <c r="CZ783" s="14">
        <f>INDEX(属性投放!$AM$7:$AM$58,CU783)</f>
        <v>20</v>
      </c>
      <c r="DA783" s="14" t="s">
        <v>537</v>
      </c>
      <c r="DB783" s="14">
        <f>INDEX(属性投放!$AN$7:$AN$58,CU783)</f>
        <v>3</v>
      </c>
      <c r="DC783" s="14">
        <f t="shared" si="1076"/>
        <v>51</v>
      </c>
      <c r="DD783" s="14">
        <f>INDEX(属性投放!$AO$7:$AO$58,DC783)</f>
        <v>145</v>
      </c>
      <c r="DE783" s="14" t="s">
        <v>538</v>
      </c>
      <c r="DF783" s="14">
        <f>INDEX(属性投放!$BK$6:$BK$85,(CV783-2)*20+CZ783)</f>
        <v>1000</v>
      </c>
      <c r="DG783" s="14">
        <f>SUMIFS(DF$5:DF783,$CT$5:$CT783,"="&amp;$CT783)</f>
        <v>15115</v>
      </c>
      <c r="DH783" s="14" t="s">
        <v>539</v>
      </c>
      <c r="DI783" s="14">
        <f>INDEX(属性投放!$BL$6:$BL$85,(CV783-2)*20+CZ783)</f>
        <v>500</v>
      </c>
      <c r="DJ783" s="14">
        <f>SUMIFS(DI$5:DI783,$CT$5:$CT783,"="&amp;$CT783)</f>
        <v>7561</v>
      </c>
      <c r="DK783" s="14" t="s">
        <v>540</v>
      </c>
      <c r="DL783" s="14">
        <f>INDEX(属性投放!$BM$6:$BM$85,(CV783-2)*20+CZ783)</f>
        <v>10000</v>
      </c>
      <c r="DM783" s="14">
        <f>SUMIFS(DL$5:DL783,$CT$5:$CT783,"="&amp;$CT783)</f>
        <v>147920</v>
      </c>
      <c r="DR783" s="30"/>
      <c r="DS783" s="30"/>
      <c r="DW783" s="30"/>
      <c r="DX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</row>
    <row r="784" spans="31:163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1077"/>
        <v>15</v>
      </c>
      <c r="CU784" s="13">
        <f t="shared" si="1078"/>
        <v>52</v>
      </c>
      <c r="CV784" s="14">
        <f t="shared" si="1079"/>
        <v>2</v>
      </c>
      <c r="CW784" s="14">
        <f t="shared" si="1080"/>
        <v>1102015</v>
      </c>
      <c r="CX784" s="14" t="str">
        <f>INDEX($O$6:$O$50,CT784)&amp;"-"&amp;INDEX(属性投放!$AB$7:$AB$50,CZ784)&amp;"-魂火-"&amp;DB784</f>
        <v>于禁-无间+1-魂火-4</v>
      </c>
      <c r="CY784" s="25" t="s">
        <v>142</v>
      </c>
      <c r="CZ784" s="14">
        <f>INDEX(属性投放!$AM$7:$AM$58,CU784)</f>
        <v>20</v>
      </c>
      <c r="DA784" s="14" t="s">
        <v>537</v>
      </c>
      <c r="DB784" s="14">
        <f>INDEX(属性投放!$AN$7:$AN$58,CU784)</f>
        <v>4</v>
      </c>
      <c r="DC784" s="14">
        <f t="shared" si="1076"/>
        <v>52</v>
      </c>
      <c r="DD784" s="14">
        <f>INDEX(属性投放!$AO$7:$AO$58,DC784)</f>
        <v>148</v>
      </c>
      <c r="DE784" s="14" t="s">
        <v>538</v>
      </c>
      <c r="DF784" s="14">
        <f>INDEX(属性投放!$BK$6:$BK$85,(CV784-2)*20+CZ784)</f>
        <v>1000</v>
      </c>
      <c r="DG784" s="14">
        <f>SUMIFS(DF$5:DF784,$CT$5:$CT784,"="&amp;$CT784)</f>
        <v>16115</v>
      </c>
      <c r="DH784" s="14" t="s">
        <v>539</v>
      </c>
      <c r="DI784" s="14">
        <f>INDEX(属性投放!$BL$6:$BL$85,(CV784-2)*20+CZ784)</f>
        <v>500</v>
      </c>
      <c r="DJ784" s="14">
        <f>SUMIFS(DI$5:DI784,$CT$5:$CT784,"="&amp;$CT784)</f>
        <v>8061</v>
      </c>
      <c r="DK784" s="14" t="s">
        <v>540</v>
      </c>
      <c r="DL784" s="14">
        <f>INDEX(属性投放!$BM$6:$BM$85,(CV784-2)*20+CZ784)</f>
        <v>10000</v>
      </c>
      <c r="DM784" s="14">
        <f>SUMIFS(DL$5:DL784,$CT$5:$CT784,"="&amp;$CT784)</f>
        <v>157920</v>
      </c>
      <c r="DR784" s="30"/>
      <c r="DS784" s="30"/>
      <c r="DW784" s="30"/>
      <c r="DX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</row>
    <row r="785" spans="31:163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1077"/>
        <v>16</v>
      </c>
      <c r="CU785" s="13">
        <f t="shared" si="1078"/>
        <v>1</v>
      </c>
      <c r="CV785" s="14">
        <f t="shared" si="1079"/>
        <v>4</v>
      </c>
      <c r="CW785" s="14">
        <f t="shared" si="1080"/>
        <v>1102016</v>
      </c>
      <c r="CX785" s="14" t="str">
        <f>INDEX($O$6:$O$50,CT785)&amp;"-"&amp;INDEX(属性投放!$AB$7:$AB$50,CZ785)&amp;"-魂火-"&amp;DB785</f>
        <v>西方龙-等活-魂火-1</v>
      </c>
      <c r="CY785" s="25" t="s">
        <v>142</v>
      </c>
      <c r="CZ785" s="14">
        <f>INDEX(属性投放!$AM$7:$AM$58,CU785)</f>
        <v>1</v>
      </c>
      <c r="DA785" s="14" t="s">
        <v>537</v>
      </c>
      <c r="DB785" s="14">
        <f>INDEX(属性投放!$AN$7:$AN$58,CU785)</f>
        <v>1</v>
      </c>
      <c r="DC785" s="14">
        <f t="shared" si="1076"/>
        <v>1</v>
      </c>
      <c r="DD785" s="14">
        <f>INDEX(属性投放!$AO$7:$AO$58,DC785)</f>
        <v>3</v>
      </c>
      <c r="DE785" s="14" t="s">
        <v>538</v>
      </c>
      <c r="DF785" s="14">
        <f>INDEX(属性投放!$BK$6:$BK$85,(CV785-2)*20+CZ785)</f>
        <v>25</v>
      </c>
      <c r="DG785" s="14">
        <f>SUMIFS(DF$5:DF785,$CT$5:$CT785,"="&amp;$CT785)</f>
        <v>25</v>
      </c>
      <c r="DH785" s="14" t="s">
        <v>539</v>
      </c>
      <c r="DI785" s="14">
        <f>INDEX(属性投放!$BL$6:$BL$85,(CV785-2)*20+CZ785)</f>
        <v>13</v>
      </c>
      <c r="DJ785" s="14">
        <f>SUMIFS(DI$5:DI785,$CT$5:$CT785,"="&amp;$CT785)</f>
        <v>13</v>
      </c>
      <c r="DK785" s="14" t="s">
        <v>540</v>
      </c>
      <c r="DL785" s="14">
        <f>INDEX(属性投放!$BM$6:$BM$85,(CV785-2)*20+CZ785)</f>
        <v>150</v>
      </c>
      <c r="DM785" s="14">
        <f>SUMIFS(DL$5:DL785,$CT$5:$CT785,"="&amp;$CT785)</f>
        <v>150</v>
      </c>
      <c r="DR785" s="30"/>
      <c r="DS785" s="30"/>
      <c r="DW785" s="30"/>
      <c r="DX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</row>
    <row r="786" spans="31:163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1077"/>
        <v>16</v>
      </c>
      <c r="CU786" s="13">
        <f t="shared" si="1078"/>
        <v>2</v>
      </c>
      <c r="CV786" s="14">
        <f t="shared" si="1079"/>
        <v>4</v>
      </c>
      <c r="CW786" s="14">
        <f t="shared" si="1080"/>
        <v>1102016</v>
      </c>
      <c r="CX786" s="14" t="str">
        <f>INDEX($O$6:$O$50,CT786)&amp;"-"&amp;INDEX(属性投放!$AB$7:$AB$50,CZ786)&amp;"-魂火-"&amp;DB786</f>
        <v>西方龙-黑绳-魂火-1</v>
      </c>
      <c r="CY786" s="25" t="s">
        <v>142</v>
      </c>
      <c r="CZ786" s="14">
        <f>INDEX(属性投放!$AM$7:$AM$58,CU786)</f>
        <v>2</v>
      </c>
      <c r="DA786" s="14" t="s">
        <v>537</v>
      </c>
      <c r="DB786" s="14">
        <f>INDEX(属性投放!$AN$7:$AN$58,CU786)</f>
        <v>1</v>
      </c>
      <c r="DC786" s="14">
        <f t="shared" si="1076"/>
        <v>2</v>
      </c>
      <c r="DD786" s="14">
        <f>INDEX(属性投放!$AO$7:$AO$58,DC786)</f>
        <v>8</v>
      </c>
      <c r="DE786" s="14" t="s">
        <v>538</v>
      </c>
      <c r="DF786" s="14">
        <f>INDEX(属性投放!$BK$6:$BK$85,(CV786-2)*20+CZ786)</f>
        <v>30</v>
      </c>
      <c r="DG786" s="14">
        <f>SUMIFS(DF$5:DF786,$CT$5:$CT786,"="&amp;$CT786)</f>
        <v>55</v>
      </c>
      <c r="DH786" s="14" t="s">
        <v>539</v>
      </c>
      <c r="DI786" s="14">
        <f>INDEX(属性投放!$BL$6:$BL$85,(CV786-2)*20+CZ786)</f>
        <v>15</v>
      </c>
      <c r="DJ786" s="14">
        <f>SUMIFS(DI$5:DI786,$CT$5:$CT786,"="&amp;$CT786)</f>
        <v>28</v>
      </c>
      <c r="DK786" s="14" t="s">
        <v>540</v>
      </c>
      <c r="DL786" s="14">
        <f>INDEX(属性投放!$BM$6:$BM$85,(CV786-2)*20+CZ786)</f>
        <v>180</v>
      </c>
      <c r="DM786" s="14">
        <f>SUMIFS(DL$5:DL786,$CT$5:$CT786,"="&amp;$CT786)</f>
        <v>330</v>
      </c>
      <c r="DR786" s="30"/>
      <c r="DS786" s="30"/>
      <c r="DW786" s="30"/>
      <c r="DX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</row>
    <row r="787" spans="31:163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1077"/>
        <v>16</v>
      </c>
      <c r="CU787" s="13">
        <f t="shared" si="1078"/>
        <v>3</v>
      </c>
      <c r="CV787" s="14">
        <f t="shared" si="1079"/>
        <v>4</v>
      </c>
      <c r="CW787" s="14">
        <f t="shared" si="1080"/>
        <v>1102016</v>
      </c>
      <c r="CX787" s="14" t="str">
        <f>INDEX($O$6:$O$50,CT787)&amp;"-"&amp;INDEX(属性投放!$AB$7:$AB$50,CZ787)&amp;"-魂火-"&amp;DB787</f>
        <v>西方龙-黑绳-魂火-2</v>
      </c>
      <c r="CY787" s="25" t="s">
        <v>142</v>
      </c>
      <c r="CZ787" s="14">
        <f>INDEX(属性投放!$AM$7:$AM$58,CU787)</f>
        <v>2</v>
      </c>
      <c r="DA787" s="14" t="s">
        <v>537</v>
      </c>
      <c r="DB787" s="14">
        <f>INDEX(属性投放!$AN$7:$AN$58,CU787)</f>
        <v>2</v>
      </c>
      <c r="DC787" s="14">
        <f t="shared" si="1076"/>
        <v>3</v>
      </c>
      <c r="DD787" s="14">
        <f>INDEX(属性投放!$AO$7:$AO$58,DC787)</f>
        <v>13</v>
      </c>
      <c r="DE787" s="14" t="s">
        <v>538</v>
      </c>
      <c r="DF787" s="14">
        <f>INDEX(属性投放!$BK$6:$BK$85,(CV787-2)*20+CZ787)</f>
        <v>30</v>
      </c>
      <c r="DG787" s="14">
        <f>SUMIFS(DF$5:DF787,$CT$5:$CT787,"="&amp;$CT787)</f>
        <v>85</v>
      </c>
      <c r="DH787" s="14" t="s">
        <v>539</v>
      </c>
      <c r="DI787" s="14">
        <f>INDEX(属性投放!$BL$6:$BL$85,(CV787-2)*20+CZ787)</f>
        <v>15</v>
      </c>
      <c r="DJ787" s="14">
        <f>SUMIFS(DI$5:DI787,$CT$5:$CT787,"="&amp;$CT787)</f>
        <v>43</v>
      </c>
      <c r="DK787" s="14" t="s">
        <v>540</v>
      </c>
      <c r="DL787" s="14">
        <f>INDEX(属性投放!$BM$6:$BM$85,(CV787-2)*20+CZ787)</f>
        <v>180</v>
      </c>
      <c r="DM787" s="14">
        <f>SUMIFS(DL$5:DL787,$CT$5:$CT787,"="&amp;$CT787)</f>
        <v>510</v>
      </c>
      <c r="DR787" s="30"/>
      <c r="DS787" s="30"/>
      <c r="DW787" s="30"/>
      <c r="DX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</row>
    <row r="788" spans="31:163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1077"/>
        <v>16</v>
      </c>
      <c r="CU788" s="13">
        <f t="shared" si="1078"/>
        <v>4</v>
      </c>
      <c r="CV788" s="14">
        <f t="shared" si="1079"/>
        <v>4</v>
      </c>
      <c r="CW788" s="14">
        <f t="shared" si="1080"/>
        <v>1102016</v>
      </c>
      <c r="CX788" s="14" t="str">
        <f>INDEX($O$6:$O$50,CT788)&amp;"-"&amp;INDEX(属性投放!$AB$7:$AB$50,CZ788)&amp;"-魂火-"&amp;DB788</f>
        <v>西方龙-黑绳+1-魂火-1</v>
      </c>
      <c r="CY788" s="25" t="s">
        <v>142</v>
      </c>
      <c r="CZ788" s="14">
        <f>INDEX(属性投放!$AM$7:$AM$58,CU788)</f>
        <v>3</v>
      </c>
      <c r="DA788" s="14" t="s">
        <v>537</v>
      </c>
      <c r="DB788" s="14">
        <f>INDEX(属性投放!$AN$7:$AN$58,CU788)</f>
        <v>1</v>
      </c>
      <c r="DC788" s="14">
        <f t="shared" si="1076"/>
        <v>4</v>
      </c>
      <c r="DD788" s="14">
        <f>INDEX(属性投放!$AO$7:$AO$58,DC788)</f>
        <v>18</v>
      </c>
      <c r="DE788" s="14" t="s">
        <v>538</v>
      </c>
      <c r="DF788" s="14">
        <f>INDEX(属性投放!$BK$6:$BK$85,(CV788-2)*20+CZ788)</f>
        <v>35</v>
      </c>
      <c r="DG788" s="14">
        <f>SUMIFS(DF$5:DF788,$CT$5:$CT788,"="&amp;$CT788)</f>
        <v>120</v>
      </c>
      <c r="DH788" s="14" t="s">
        <v>539</v>
      </c>
      <c r="DI788" s="14">
        <f>INDEX(属性投放!$BL$6:$BL$85,(CV788-2)*20+CZ788)</f>
        <v>18</v>
      </c>
      <c r="DJ788" s="14">
        <f>SUMIFS(DI$5:DI788,$CT$5:$CT788,"="&amp;$CT788)</f>
        <v>61</v>
      </c>
      <c r="DK788" s="14" t="s">
        <v>540</v>
      </c>
      <c r="DL788" s="14">
        <f>INDEX(属性投放!$BM$6:$BM$85,(CV788-2)*20+CZ788)</f>
        <v>210</v>
      </c>
      <c r="DM788" s="14">
        <f>SUMIFS(DL$5:DL788,$CT$5:$CT788,"="&amp;$CT788)</f>
        <v>720</v>
      </c>
      <c r="DR788" s="30"/>
      <c r="DS788" s="30"/>
      <c r="DW788" s="30"/>
      <c r="DX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</row>
    <row r="789" spans="31:163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1077"/>
        <v>16</v>
      </c>
      <c r="CU789" s="13">
        <f t="shared" si="1078"/>
        <v>5</v>
      </c>
      <c r="CV789" s="14">
        <f t="shared" si="1079"/>
        <v>4</v>
      </c>
      <c r="CW789" s="14">
        <f t="shared" si="1080"/>
        <v>1102016</v>
      </c>
      <c r="CX789" s="14" t="str">
        <f>INDEX($O$6:$O$50,CT789)&amp;"-"&amp;INDEX(属性投放!$AB$7:$AB$50,CZ789)&amp;"-魂火-"&amp;DB789</f>
        <v>西方龙-黑绳+1-魂火-2</v>
      </c>
      <c r="CY789" s="25" t="s">
        <v>142</v>
      </c>
      <c r="CZ789" s="14">
        <f>INDEX(属性投放!$AM$7:$AM$58,CU789)</f>
        <v>3</v>
      </c>
      <c r="DA789" s="14" t="s">
        <v>537</v>
      </c>
      <c r="DB789" s="14">
        <f>INDEX(属性投放!$AN$7:$AN$58,CU789)</f>
        <v>2</v>
      </c>
      <c r="DC789" s="14">
        <f t="shared" si="1076"/>
        <v>5</v>
      </c>
      <c r="DD789" s="14">
        <f>INDEX(属性投放!$AO$7:$AO$58,DC789)</f>
        <v>23</v>
      </c>
      <c r="DE789" s="14" t="s">
        <v>538</v>
      </c>
      <c r="DF789" s="14">
        <f>INDEX(属性投放!$BK$6:$BK$85,(CV789-2)*20+CZ789)</f>
        <v>35</v>
      </c>
      <c r="DG789" s="14">
        <f>SUMIFS(DF$5:DF789,$CT$5:$CT789,"="&amp;$CT789)</f>
        <v>155</v>
      </c>
      <c r="DH789" s="14" t="s">
        <v>539</v>
      </c>
      <c r="DI789" s="14">
        <f>INDEX(属性投放!$BL$6:$BL$85,(CV789-2)*20+CZ789)</f>
        <v>18</v>
      </c>
      <c r="DJ789" s="14">
        <f>SUMIFS(DI$5:DI789,$CT$5:$CT789,"="&amp;$CT789)</f>
        <v>79</v>
      </c>
      <c r="DK789" s="14" t="s">
        <v>540</v>
      </c>
      <c r="DL789" s="14">
        <f>INDEX(属性投放!$BM$6:$BM$85,(CV789-2)*20+CZ789)</f>
        <v>210</v>
      </c>
      <c r="DM789" s="14">
        <f>SUMIFS(DL$5:DL789,$CT$5:$CT789,"="&amp;$CT789)</f>
        <v>930</v>
      </c>
      <c r="DR789" s="30"/>
      <c r="DS789" s="30"/>
      <c r="DW789" s="30"/>
      <c r="DX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</row>
    <row r="790" spans="31:163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1077"/>
        <v>16</v>
      </c>
      <c r="CU790" s="13">
        <f t="shared" si="1078"/>
        <v>6</v>
      </c>
      <c r="CV790" s="14">
        <f t="shared" si="1079"/>
        <v>4</v>
      </c>
      <c r="CW790" s="14">
        <f t="shared" si="1080"/>
        <v>1102016</v>
      </c>
      <c r="CX790" s="14" t="str">
        <f>INDEX($O$6:$O$50,CT790)&amp;"-"&amp;INDEX(属性投放!$AB$7:$AB$50,CZ790)&amp;"-魂火-"&amp;DB790</f>
        <v>西方龙-众合-魂火-1</v>
      </c>
      <c r="CY790" s="25" t="s">
        <v>142</v>
      </c>
      <c r="CZ790" s="14">
        <f>INDEX(属性投放!$AM$7:$AM$58,CU790)</f>
        <v>4</v>
      </c>
      <c r="DA790" s="14" t="s">
        <v>537</v>
      </c>
      <c r="DB790" s="14">
        <f>INDEX(属性投放!$AN$7:$AN$58,CU790)</f>
        <v>1</v>
      </c>
      <c r="DC790" s="14">
        <f t="shared" si="1076"/>
        <v>6</v>
      </c>
      <c r="DD790" s="14">
        <f>INDEX(属性投放!$AO$7:$AO$58,DC790)</f>
        <v>28</v>
      </c>
      <c r="DE790" s="14" t="s">
        <v>538</v>
      </c>
      <c r="DF790" s="14">
        <f>INDEX(属性投放!$BK$6:$BK$85,(CV790-2)*20+CZ790)</f>
        <v>45</v>
      </c>
      <c r="DG790" s="14">
        <f>SUMIFS(DF$5:DF790,$CT$5:$CT790,"="&amp;$CT790)</f>
        <v>200</v>
      </c>
      <c r="DH790" s="14" t="s">
        <v>539</v>
      </c>
      <c r="DI790" s="14">
        <f>INDEX(属性投放!$BL$6:$BL$85,(CV790-2)*20+CZ790)</f>
        <v>23</v>
      </c>
      <c r="DJ790" s="14">
        <f>SUMIFS(DI$5:DI790,$CT$5:$CT790,"="&amp;$CT790)</f>
        <v>102</v>
      </c>
      <c r="DK790" s="14" t="s">
        <v>540</v>
      </c>
      <c r="DL790" s="14">
        <f>INDEX(属性投放!$BM$6:$BM$85,(CV790-2)*20+CZ790)</f>
        <v>315</v>
      </c>
      <c r="DM790" s="14">
        <f>SUMIFS(DL$5:DL790,$CT$5:$CT790,"="&amp;$CT790)</f>
        <v>1245</v>
      </c>
      <c r="DR790" s="30"/>
      <c r="DS790" s="30"/>
      <c r="DW790" s="30"/>
      <c r="DX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</row>
    <row r="791" spans="31:163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1077"/>
        <v>16</v>
      </c>
      <c r="CU791" s="13">
        <f t="shared" si="1078"/>
        <v>7</v>
      </c>
      <c r="CV791" s="14">
        <f t="shared" si="1079"/>
        <v>4</v>
      </c>
      <c r="CW791" s="14">
        <f t="shared" si="1080"/>
        <v>1102016</v>
      </c>
      <c r="CX791" s="14" t="str">
        <f>INDEX($O$6:$O$50,CT791)&amp;"-"&amp;INDEX(属性投放!$AB$7:$AB$50,CZ791)&amp;"-魂火-"&amp;DB791</f>
        <v>西方龙-众合-魂火-2</v>
      </c>
      <c r="CY791" s="25" t="s">
        <v>142</v>
      </c>
      <c r="CZ791" s="14">
        <f>INDEX(属性投放!$AM$7:$AM$58,CU791)</f>
        <v>4</v>
      </c>
      <c r="DA791" s="14" t="s">
        <v>537</v>
      </c>
      <c r="DB791" s="14">
        <f>INDEX(属性投放!$AN$7:$AN$58,CU791)</f>
        <v>2</v>
      </c>
      <c r="DC791" s="14">
        <f t="shared" si="1076"/>
        <v>7</v>
      </c>
      <c r="DD791" s="14">
        <f>INDEX(属性投放!$AO$7:$AO$58,DC791)</f>
        <v>33</v>
      </c>
      <c r="DE791" s="14" t="s">
        <v>538</v>
      </c>
      <c r="DF791" s="14">
        <f>INDEX(属性投放!$BK$6:$BK$85,(CV791-2)*20+CZ791)</f>
        <v>45</v>
      </c>
      <c r="DG791" s="14">
        <f>SUMIFS(DF$5:DF791,$CT$5:$CT791,"="&amp;$CT791)</f>
        <v>245</v>
      </c>
      <c r="DH791" s="14" t="s">
        <v>539</v>
      </c>
      <c r="DI791" s="14">
        <f>INDEX(属性投放!$BL$6:$BL$85,(CV791-2)*20+CZ791)</f>
        <v>23</v>
      </c>
      <c r="DJ791" s="14">
        <f>SUMIFS(DI$5:DI791,$CT$5:$CT791,"="&amp;$CT791)</f>
        <v>125</v>
      </c>
      <c r="DK791" s="14" t="s">
        <v>540</v>
      </c>
      <c r="DL791" s="14">
        <f>INDEX(属性投放!$BM$6:$BM$85,(CV791-2)*20+CZ791)</f>
        <v>315</v>
      </c>
      <c r="DM791" s="14">
        <f>SUMIFS(DL$5:DL791,$CT$5:$CT791,"="&amp;$CT791)</f>
        <v>1560</v>
      </c>
      <c r="DR791" s="30"/>
      <c r="DS791" s="30"/>
      <c r="DW791" s="30"/>
      <c r="DX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</row>
    <row r="792" spans="31:163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1077"/>
        <v>16</v>
      </c>
      <c r="CU792" s="13">
        <f t="shared" si="1078"/>
        <v>8</v>
      </c>
      <c r="CV792" s="14">
        <f t="shared" si="1079"/>
        <v>4</v>
      </c>
      <c r="CW792" s="14">
        <f t="shared" si="1080"/>
        <v>1102016</v>
      </c>
      <c r="CX792" s="14" t="str">
        <f>INDEX($O$6:$O$50,CT792)&amp;"-"&amp;INDEX(属性投放!$AB$7:$AB$50,CZ792)&amp;"-魂火-"&amp;DB792</f>
        <v>西方龙-众合+1-魂火-1</v>
      </c>
      <c r="CY792" s="25" t="s">
        <v>142</v>
      </c>
      <c r="CZ792" s="14">
        <f>INDEX(属性投放!$AM$7:$AM$58,CU792)</f>
        <v>5</v>
      </c>
      <c r="DA792" s="14" t="s">
        <v>537</v>
      </c>
      <c r="DB792" s="14">
        <f>INDEX(属性投放!$AN$7:$AN$58,CU792)</f>
        <v>1</v>
      </c>
      <c r="DC792" s="14">
        <f t="shared" si="1076"/>
        <v>8</v>
      </c>
      <c r="DD792" s="14">
        <f>INDEX(属性投放!$AO$7:$AO$58,DC792)</f>
        <v>38</v>
      </c>
      <c r="DE792" s="14" t="s">
        <v>538</v>
      </c>
      <c r="DF792" s="14">
        <f>INDEX(属性投放!$BK$6:$BK$85,(CV792-2)*20+CZ792)</f>
        <v>55</v>
      </c>
      <c r="DG792" s="14">
        <f>SUMIFS(DF$5:DF792,$CT$5:$CT792,"="&amp;$CT792)</f>
        <v>300</v>
      </c>
      <c r="DH792" s="14" t="s">
        <v>539</v>
      </c>
      <c r="DI792" s="14">
        <f>INDEX(属性投放!$BL$6:$BL$85,(CV792-2)*20+CZ792)</f>
        <v>28</v>
      </c>
      <c r="DJ792" s="14">
        <f>SUMIFS(DI$5:DI792,$CT$5:$CT792,"="&amp;$CT792)</f>
        <v>153</v>
      </c>
      <c r="DK792" s="14" t="s">
        <v>540</v>
      </c>
      <c r="DL792" s="14">
        <f>INDEX(属性投放!$BM$6:$BM$85,(CV792-2)*20+CZ792)</f>
        <v>385</v>
      </c>
      <c r="DM792" s="14">
        <f>SUMIFS(DL$5:DL792,$CT$5:$CT792,"="&amp;$CT792)</f>
        <v>1945</v>
      </c>
      <c r="DR792" s="30"/>
      <c r="DS792" s="30"/>
      <c r="DW792" s="30"/>
      <c r="DX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</row>
    <row r="793" spans="31:163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1077"/>
        <v>16</v>
      </c>
      <c r="CU793" s="13">
        <f t="shared" si="1078"/>
        <v>9</v>
      </c>
      <c r="CV793" s="14">
        <f t="shared" si="1079"/>
        <v>4</v>
      </c>
      <c r="CW793" s="14">
        <f t="shared" si="1080"/>
        <v>1102016</v>
      </c>
      <c r="CX793" s="14" t="str">
        <f>INDEX($O$6:$O$50,CT793)&amp;"-"&amp;INDEX(属性投放!$AB$7:$AB$50,CZ793)&amp;"-魂火-"&amp;DB793</f>
        <v>西方龙-众合+1-魂火-2</v>
      </c>
      <c r="CY793" s="25" t="s">
        <v>142</v>
      </c>
      <c r="CZ793" s="14">
        <f>INDEX(属性投放!$AM$7:$AM$58,CU793)</f>
        <v>5</v>
      </c>
      <c r="DA793" s="14" t="s">
        <v>537</v>
      </c>
      <c r="DB793" s="14">
        <f>INDEX(属性投放!$AN$7:$AN$58,CU793)</f>
        <v>2</v>
      </c>
      <c r="DC793" s="14">
        <f t="shared" si="1076"/>
        <v>9</v>
      </c>
      <c r="DD793" s="14">
        <f>INDEX(属性投放!$AO$7:$AO$58,DC793)</f>
        <v>40</v>
      </c>
      <c r="DE793" s="14" t="s">
        <v>538</v>
      </c>
      <c r="DF793" s="14">
        <f>INDEX(属性投放!$BK$6:$BK$85,(CV793-2)*20+CZ793)</f>
        <v>55</v>
      </c>
      <c r="DG793" s="14">
        <f>SUMIFS(DF$5:DF793,$CT$5:$CT793,"="&amp;$CT793)</f>
        <v>355</v>
      </c>
      <c r="DH793" s="14" t="s">
        <v>539</v>
      </c>
      <c r="DI793" s="14">
        <f>INDEX(属性投放!$BL$6:$BL$85,(CV793-2)*20+CZ793)</f>
        <v>28</v>
      </c>
      <c r="DJ793" s="14">
        <f>SUMIFS(DI$5:DI793,$CT$5:$CT793,"="&amp;$CT793)</f>
        <v>181</v>
      </c>
      <c r="DK793" s="14" t="s">
        <v>540</v>
      </c>
      <c r="DL793" s="14">
        <f>INDEX(属性投放!$BM$6:$BM$85,(CV793-2)*20+CZ793)</f>
        <v>385</v>
      </c>
      <c r="DM793" s="14">
        <f>SUMIFS(DL$5:DL793,$CT$5:$CT793,"="&amp;$CT793)</f>
        <v>2330</v>
      </c>
      <c r="DR793" s="30"/>
      <c r="DS793" s="30"/>
      <c r="DW793" s="30"/>
      <c r="DX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</row>
    <row r="794" spans="31:163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1077"/>
        <v>16</v>
      </c>
      <c r="CU794" s="13">
        <f t="shared" si="1078"/>
        <v>10</v>
      </c>
      <c r="CV794" s="14">
        <f t="shared" si="1079"/>
        <v>4</v>
      </c>
      <c r="CW794" s="14">
        <f t="shared" si="1080"/>
        <v>1102016</v>
      </c>
      <c r="CX794" s="14" t="str">
        <f>INDEX($O$6:$O$50,CT794)&amp;"-"&amp;INDEX(属性投放!$AB$7:$AB$50,CZ794)&amp;"-魂火-"&amp;DB794</f>
        <v>西方龙-众合+2-魂火-1</v>
      </c>
      <c r="CY794" s="25" t="s">
        <v>142</v>
      </c>
      <c r="CZ794" s="14">
        <f>INDEX(属性投放!$AM$7:$AM$58,CU794)</f>
        <v>6</v>
      </c>
      <c r="DA794" s="14" t="s">
        <v>537</v>
      </c>
      <c r="DB794" s="14">
        <f>INDEX(属性投放!$AN$7:$AN$58,CU794)</f>
        <v>1</v>
      </c>
      <c r="DC794" s="14">
        <f t="shared" si="1076"/>
        <v>10</v>
      </c>
      <c r="DD794" s="14">
        <f>INDEX(属性投放!$AO$7:$AO$58,DC794)</f>
        <v>43</v>
      </c>
      <c r="DE794" s="14" t="s">
        <v>538</v>
      </c>
      <c r="DF794" s="14">
        <f>INDEX(属性投放!$BK$6:$BK$85,(CV794-2)*20+CZ794)</f>
        <v>60</v>
      </c>
      <c r="DG794" s="14">
        <f>SUMIFS(DF$5:DF794,$CT$5:$CT794,"="&amp;$CT794)</f>
        <v>415</v>
      </c>
      <c r="DH794" s="14" t="s">
        <v>539</v>
      </c>
      <c r="DI794" s="14">
        <f>INDEX(属性投放!$BL$6:$BL$85,(CV794-2)*20+CZ794)</f>
        <v>30</v>
      </c>
      <c r="DJ794" s="14">
        <f>SUMIFS(DI$5:DI794,$CT$5:$CT794,"="&amp;$CT794)</f>
        <v>211</v>
      </c>
      <c r="DK794" s="14" t="s">
        <v>540</v>
      </c>
      <c r="DL794" s="14">
        <f>INDEX(属性投放!$BM$6:$BM$85,(CV794-2)*20+CZ794)</f>
        <v>420</v>
      </c>
      <c r="DM794" s="14">
        <f>SUMIFS(DL$5:DL794,$CT$5:$CT794,"="&amp;$CT794)</f>
        <v>2750</v>
      </c>
      <c r="DR794" s="30"/>
      <c r="DS794" s="30"/>
      <c r="DW794" s="30"/>
      <c r="DX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</row>
    <row r="795" spans="31:163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1077"/>
        <v>16</v>
      </c>
      <c r="CU795" s="13">
        <f t="shared" si="1078"/>
        <v>11</v>
      </c>
      <c r="CV795" s="14">
        <f t="shared" si="1079"/>
        <v>4</v>
      </c>
      <c r="CW795" s="14">
        <f t="shared" si="1080"/>
        <v>1102016</v>
      </c>
      <c r="CX795" s="14" t="str">
        <f>INDEX($O$6:$O$50,CT795)&amp;"-"&amp;INDEX(属性投放!$AB$7:$AB$50,CZ795)&amp;"-魂火-"&amp;DB795</f>
        <v>西方龙-众合+2-魂火-2</v>
      </c>
      <c r="CY795" s="25" t="s">
        <v>142</v>
      </c>
      <c r="CZ795" s="14">
        <f>INDEX(属性投放!$AM$7:$AM$58,CU795)</f>
        <v>6</v>
      </c>
      <c r="DA795" s="14" t="s">
        <v>537</v>
      </c>
      <c r="DB795" s="14">
        <f>INDEX(属性投放!$AN$7:$AN$58,CU795)</f>
        <v>2</v>
      </c>
      <c r="DC795" s="14">
        <f t="shared" si="1076"/>
        <v>11</v>
      </c>
      <c r="DD795" s="14">
        <f>INDEX(属性投放!$AO$7:$AO$58,DC795)</f>
        <v>45</v>
      </c>
      <c r="DE795" s="14" t="s">
        <v>538</v>
      </c>
      <c r="DF795" s="14">
        <f>INDEX(属性投放!$BK$6:$BK$85,(CV795-2)*20+CZ795)</f>
        <v>60</v>
      </c>
      <c r="DG795" s="14">
        <f>SUMIFS(DF$5:DF795,$CT$5:$CT795,"="&amp;$CT795)</f>
        <v>475</v>
      </c>
      <c r="DH795" s="14" t="s">
        <v>539</v>
      </c>
      <c r="DI795" s="14">
        <f>INDEX(属性投放!$BL$6:$BL$85,(CV795-2)*20+CZ795)</f>
        <v>30</v>
      </c>
      <c r="DJ795" s="14">
        <f>SUMIFS(DI$5:DI795,$CT$5:$CT795,"="&amp;$CT795)</f>
        <v>241</v>
      </c>
      <c r="DK795" s="14" t="s">
        <v>540</v>
      </c>
      <c r="DL795" s="14">
        <f>INDEX(属性投放!$BM$6:$BM$85,(CV795-2)*20+CZ795)</f>
        <v>420</v>
      </c>
      <c r="DM795" s="14">
        <f>SUMIFS(DL$5:DL795,$CT$5:$CT795,"="&amp;$CT795)</f>
        <v>3170</v>
      </c>
      <c r="DR795" s="30"/>
      <c r="DS795" s="30"/>
      <c r="DW795" s="30"/>
      <c r="DX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</row>
    <row r="796" spans="31:163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1077"/>
        <v>16</v>
      </c>
      <c r="CU796" s="13">
        <f t="shared" si="1078"/>
        <v>12</v>
      </c>
      <c r="CV796" s="14">
        <f t="shared" si="1079"/>
        <v>4</v>
      </c>
      <c r="CW796" s="14">
        <f t="shared" si="1080"/>
        <v>1102016</v>
      </c>
      <c r="CX796" s="14" t="str">
        <f>INDEX($O$6:$O$50,CT796)&amp;"-"&amp;INDEX(属性投放!$AB$7:$AB$50,CZ796)&amp;"-魂火-"&amp;DB796</f>
        <v>西方龙-叫唤-魂火-1</v>
      </c>
      <c r="CY796" s="25" t="s">
        <v>142</v>
      </c>
      <c r="CZ796" s="14">
        <f>INDEX(属性投放!$AM$7:$AM$58,CU796)</f>
        <v>7</v>
      </c>
      <c r="DA796" s="14" t="s">
        <v>537</v>
      </c>
      <c r="DB796" s="14">
        <f>INDEX(属性投放!$AN$7:$AN$58,CU796)</f>
        <v>1</v>
      </c>
      <c r="DC796" s="14">
        <f t="shared" si="1076"/>
        <v>12</v>
      </c>
      <c r="DD796" s="14">
        <f>INDEX(属性投放!$AO$7:$AO$58,DC796)</f>
        <v>48</v>
      </c>
      <c r="DE796" s="14" t="s">
        <v>538</v>
      </c>
      <c r="DF796" s="14">
        <f>INDEX(属性投放!$BK$6:$BK$85,(CV796-2)*20+CZ796)</f>
        <v>80</v>
      </c>
      <c r="DG796" s="14">
        <f>SUMIFS(DF$5:DF796,$CT$5:$CT796,"="&amp;$CT796)</f>
        <v>555</v>
      </c>
      <c r="DH796" s="14" t="s">
        <v>539</v>
      </c>
      <c r="DI796" s="14">
        <f>INDEX(属性投放!$BL$6:$BL$85,(CV796-2)*20+CZ796)</f>
        <v>40</v>
      </c>
      <c r="DJ796" s="14">
        <f>SUMIFS(DI$5:DI796,$CT$5:$CT796,"="&amp;$CT796)</f>
        <v>281</v>
      </c>
      <c r="DK796" s="14" t="s">
        <v>540</v>
      </c>
      <c r="DL796" s="14">
        <f>INDEX(属性投放!$BM$6:$BM$85,(CV796-2)*20+CZ796)</f>
        <v>640</v>
      </c>
      <c r="DM796" s="14">
        <f>SUMIFS(DL$5:DL796,$CT$5:$CT796,"="&amp;$CT796)</f>
        <v>3810</v>
      </c>
      <c r="DR796" s="30"/>
      <c r="DS796" s="30"/>
      <c r="DW796" s="30"/>
      <c r="DX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</row>
    <row r="797" spans="31:163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1077"/>
        <v>16</v>
      </c>
      <c r="CU797" s="13">
        <f t="shared" si="1078"/>
        <v>13</v>
      </c>
      <c r="CV797" s="14">
        <f t="shared" si="1079"/>
        <v>4</v>
      </c>
      <c r="CW797" s="14">
        <f t="shared" si="1080"/>
        <v>1102016</v>
      </c>
      <c r="CX797" s="14" t="str">
        <f>INDEX($O$6:$O$50,CT797)&amp;"-"&amp;INDEX(属性投放!$AB$7:$AB$50,CZ797)&amp;"-魂火-"&amp;DB797</f>
        <v>西方龙-叫唤-魂火-2</v>
      </c>
      <c r="CY797" s="25" t="s">
        <v>142</v>
      </c>
      <c r="CZ797" s="14">
        <f>INDEX(属性投放!$AM$7:$AM$58,CU797)</f>
        <v>7</v>
      </c>
      <c r="DA797" s="14" t="s">
        <v>537</v>
      </c>
      <c r="DB797" s="14">
        <f>INDEX(属性投放!$AN$7:$AN$58,CU797)</f>
        <v>2</v>
      </c>
      <c r="DC797" s="14">
        <f t="shared" si="1076"/>
        <v>13</v>
      </c>
      <c r="DD797" s="14">
        <f>INDEX(属性投放!$AO$7:$AO$58,DC797)</f>
        <v>50</v>
      </c>
      <c r="DE797" s="14" t="s">
        <v>538</v>
      </c>
      <c r="DF797" s="14">
        <f>INDEX(属性投放!$BK$6:$BK$85,(CV797-2)*20+CZ797)</f>
        <v>80</v>
      </c>
      <c r="DG797" s="14">
        <f>SUMIFS(DF$5:DF797,$CT$5:$CT797,"="&amp;$CT797)</f>
        <v>635</v>
      </c>
      <c r="DH797" s="14" t="s">
        <v>539</v>
      </c>
      <c r="DI797" s="14">
        <f>INDEX(属性投放!$BL$6:$BL$85,(CV797-2)*20+CZ797)</f>
        <v>40</v>
      </c>
      <c r="DJ797" s="14">
        <f>SUMIFS(DI$5:DI797,$CT$5:$CT797,"="&amp;$CT797)</f>
        <v>321</v>
      </c>
      <c r="DK797" s="14" t="s">
        <v>540</v>
      </c>
      <c r="DL797" s="14">
        <f>INDEX(属性投放!$BM$6:$BM$85,(CV797-2)*20+CZ797)</f>
        <v>640</v>
      </c>
      <c r="DM797" s="14">
        <f>SUMIFS(DL$5:DL797,$CT$5:$CT797,"="&amp;$CT797)</f>
        <v>4450</v>
      </c>
      <c r="DR797" s="30"/>
      <c r="DS797" s="30"/>
      <c r="DW797" s="30"/>
      <c r="DX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</row>
    <row r="798" spans="31:163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1077"/>
        <v>16</v>
      </c>
      <c r="CU798" s="13">
        <f t="shared" si="1078"/>
        <v>14</v>
      </c>
      <c r="CV798" s="14">
        <f t="shared" si="1079"/>
        <v>4</v>
      </c>
      <c r="CW798" s="14">
        <f t="shared" si="1080"/>
        <v>1102016</v>
      </c>
      <c r="CX798" s="14" t="str">
        <f>INDEX($O$6:$O$50,CT798)&amp;"-"&amp;INDEX(属性投放!$AB$7:$AB$50,CZ798)&amp;"-魂火-"&amp;DB798</f>
        <v>西方龙-叫唤+1-魂火-1</v>
      </c>
      <c r="CY798" s="25" t="s">
        <v>142</v>
      </c>
      <c r="CZ798" s="14">
        <f>INDEX(属性投放!$AM$7:$AM$58,CU798)</f>
        <v>8</v>
      </c>
      <c r="DA798" s="14" t="s">
        <v>537</v>
      </c>
      <c r="DB798" s="14">
        <f>INDEX(属性投放!$AN$7:$AN$58,CU798)</f>
        <v>1</v>
      </c>
      <c r="DC798" s="14">
        <f t="shared" si="1076"/>
        <v>14</v>
      </c>
      <c r="DD798" s="14">
        <f>INDEX(属性投放!$AO$7:$AO$58,DC798)</f>
        <v>53</v>
      </c>
      <c r="DE798" s="14" t="s">
        <v>538</v>
      </c>
      <c r="DF798" s="14">
        <f>INDEX(属性投放!$BK$6:$BK$85,(CV798-2)*20+CZ798)</f>
        <v>100</v>
      </c>
      <c r="DG798" s="14">
        <f>SUMIFS(DF$5:DF798,$CT$5:$CT798,"="&amp;$CT798)</f>
        <v>735</v>
      </c>
      <c r="DH798" s="14" t="s">
        <v>539</v>
      </c>
      <c r="DI798" s="14">
        <f>INDEX(属性投放!$BL$6:$BL$85,(CV798-2)*20+CZ798)</f>
        <v>50</v>
      </c>
      <c r="DJ798" s="14">
        <f>SUMIFS(DI$5:DI798,$CT$5:$CT798,"="&amp;$CT798)</f>
        <v>371</v>
      </c>
      <c r="DK798" s="14" t="s">
        <v>540</v>
      </c>
      <c r="DL798" s="14">
        <f>INDEX(属性投放!$BM$6:$BM$85,(CV798-2)*20+CZ798)</f>
        <v>800</v>
      </c>
      <c r="DM798" s="14">
        <f>SUMIFS(DL$5:DL798,$CT$5:$CT798,"="&amp;$CT798)</f>
        <v>5250</v>
      </c>
      <c r="DR798" s="30"/>
      <c r="DS798" s="30"/>
      <c r="DW798" s="30"/>
      <c r="DX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</row>
    <row r="799" spans="31:163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1077"/>
        <v>16</v>
      </c>
      <c r="CU799" s="13">
        <f t="shared" si="1078"/>
        <v>15</v>
      </c>
      <c r="CV799" s="14">
        <f t="shared" si="1079"/>
        <v>4</v>
      </c>
      <c r="CW799" s="14">
        <f t="shared" si="1080"/>
        <v>1102016</v>
      </c>
      <c r="CX799" s="14" t="str">
        <f>INDEX($O$6:$O$50,CT799)&amp;"-"&amp;INDEX(属性投放!$AB$7:$AB$50,CZ799)&amp;"-魂火-"&amp;DB799</f>
        <v>西方龙-叫唤+1-魂火-2</v>
      </c>
      <c r="CY799" s="25" t="s">
        <v>142</v>
      </c>
      <c r="CZ799" s="14">
        <f>INDEX(属性投放!$AM$7:$AM$58,CU799)</f>
        <v>8</v>
      </c>
      <c r="DA799" s="14" t="s">
        <v>537</v>
      </c>
      <c r="DB799" s="14">
        <f>INDEX(属性投放!$AN$7:$AN$58,CU799)</f>
        <v>2</v>
      </c>
      <c r="DC799" s="14">
        <f t="shared" si="1076"/>
        <v>15</v>
      </c>
      <c r="DD799" s="14">
        <f>INDEX(属性投放!$AO$7:$AO$58,DC799)</f>
        <v>55</v>
      </c>
      <c r="DE799" s="14" t="s">
        <v>538</v>
      </c>
      <c r="DF799" s="14">
        <f>INDEX(属性投放!$BK$6:$BK$85,(CV799-2)*20+CZ799)</f>
        <v>100</v>
      </c>
      <c r="DG799" s="14">
        <f>SUMIFS(DF$5:DF799,$CT$5:$CT799,"="&amp;$CT799)</f>
        <v>835</v>
      </c>
      <c r="DH799" s="14" t="s">
        <v>539</v>
      </c>
      <c r="DI799" s="14">
        <f>INDEX(属性投放!$BL$6:$BL$85,(CV799-2)*20+CZ799)</f>
        <v>50</v>
      </c>
      <c r="DJ799" s="14">
        <f>SUMIFS(DI$5:DI799,$CT$5:$CT799,"="&amp;$CT799)</f>
        <v>421</v>
      </c>
      <c r="DK799" s="14" t="s">
        <v>540</v>
      </c>
      <c r="DL799" s="14">
        <f>INDEX(属性投放!$BM$6:$BM$85,(CV799-2)*20+CZ799)</f>
        <v>800</v>
      </c>
      <c r="DM799" s="14">
        <f>SUMIFS(DL$5:DL799,$CT$5:$CT799,"="&amp;$CT799)</f>
        <v>6050</v>
      </c>
      <c r="DR799" s="30"/>
      <c r="DS799" s="30"/>
      <c r="DW799" s="30"/>
      <c r="DX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</row>
    <row r="800" spans="31:163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1077"/>
        <v>16</v>
      </c>
      <c r="CU800" s="13">
        <f t="shared" si="1078"/>
        <v>16</v>
      </c>
      <c r="CV800" s="14">
        <f t="shared" si="1079"/>
        <v>4</v>
      </c>
      <c r="CW800" s="14">
        <f t="shared" si="1080"/>
        <v>1102016</v>
      </c>
      <c r="CX800" s="14" t="str">
        <f>INDEX($O$6:$O$50,CT800)&amp;"-"&amp;INDEX(属性投放!$AB$7:$AB$50,CZ800)&amp;"-魂火-"&amp;DB800</f>
        <v>西方龙-叫唤+2-魂火-1</v>
      </c>
      <c r="CY800" s="25" t="s">
        <v>142</v>
      </c>
      <c r="CZ800" s="14">
        <f>INDEX(属性投放!$AM$7:$AM$58,CU800)</f>
        <v>9</v>
      </c>
      <c r="DA800" s="14" t="s">
        <v>537</v>
      </c>
      <c r="DB800" s="14">
        <f>INDEX(属性投放!$AN$7:$AN$58,CU800)</f>
        <v>1</v>
      </c>
      <c r="DC800" s="14">
        <f t="shared" si="1076"/>
        <v>16</v>
      </c>
      <c r="DD800" s="14">
        <f>INDEX(属性投放!$AO$7:$AO$58,DC800)</f>
        <v>58</v>
      </c>
      <c r="DE800" s="14" t="s">
        <v>538</v>
      </c>
      <c r="DF800" s="14">
        <f>INDEX(属性投放!$BK$6:$BK$85,(CV800-2)*20+CZ800)</f>
        <v>115</v>
      </c>
      <c r="DG800" s="14">
        <f>SUMIFS(DF$5:DF800,$CT$5:$CT800,"="&amp;$CT800)</f>
        <v>950</v>
      </c>
      <c r="DH800" s="14" t="s">
        <v>539</v>
      </c>
      <c r="DI800" s="14">
        <f>INDEX(属性投放!$BL$6:$BL$85,(CV800-2)*20+CZ800)</f>
        <v>58</v>
      </c>
      <c r="DJ800" s="14">
        <f>SUMIFS(DI$5:DI800,$CT$5:$CT800,"="&amp;$CT800)</f>
        <v>479</v>
      </c>
      <c r="DK800" s="14" t="s">
        <v>540</v>
      </c>
      <c r="DL800" s="14">
        <f>INDEX(属性投放!$BM$6:$BM$85,(CV800-2)*20+CZ800)</f>
        <v>920</v>
      </c>
      <c r="DM800" s="14">
        <f>SUMIFS(DL$5:DL800,$CT$5:$CT800,"="&amp;$CT800)</f>
        <v>6970</v>
      </c>
      <c r="DR800" s="30"/>
      <c r="DS800" s="30"/>
      <c r="DW800" s="30"/>
      <c r="DX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</row>
    <row r="801" spans="31:163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1077"/>
        <v>16</v>
      </c>
      <c r="CU801" s="13">
        <f t="shared" si="1078"/>
        <v>17</v>
      </c>
      <c r="CV801" s="14">
        <f t="shared" si="1079"/>
        <v>4</v>
      </c>
      <c r="CW801" s="14">
        <f t="shared" si="1080"/>
        <v>1102016</v>
      </c>
      <c r="CX801" s="14" t="str">
        <f>INDEX($O$6:$O$50,CT801)&amp;"-"&amp;INDEX(属性投放!$AB$7:$AB$50,CZ801)&amp;"-魂火-"&amp;DB801</f>
        <v>西方龙-叫唤+2-魂火-2</v>
      </c>
      <c r="CY801" s="25" t="s">
        <v>142</v>
      </c>
      <c r="CZ801" s="14">
        <f>INDEX(属性投放!$AM$7:$AM$58,CU801)</f>
        <v>9</v>
      </c>
      <c r="DA801" s="14" t="s">
        <v>537</v>
      </c>
      <c r="DB801" s="14">
        <f>INDEX(属性投放!$AN$7:$AN$58,CU801)</f>
        <v>2</v>
      </c>
      <c r="DC801" s="14">
        <f t="shared" si="1076"/>
        <v>17</v>
      </c>
      <c r="DD801" s="14">
        <f>INDEX(属性投放!$AO$7:$AO$58,DC801)</f>
        <v>60</v>
      </c>
      <c r="DE801" s="14" t="s">
        <v>538</v>
      </c>
      <c r="DF801" s="14">
        <f>INDEX(属性投放!$BK$6:$BK$85,(CV801-2)*20+CZ801)</f>
        <v>115</v>
      </c>
      <c r="DG801" s="14">
        <f>SUMIFS(DF$5:DF801,$CT$5:$CT801,"="&amp;$CT801)</f>
        <v>1065</v>
      </c>
      <c r="DH801" s="14" t="s">
        <v>539</v>
      </c>
      <c r="DI801" s="14">
        <f>INDEX(属性投放!$BL$6:$BL$85,(CV801-2)*20+CZ801)</f>
        <v>58</v>
      </c>
      <c r="DJ801" s="14">
        <f>SUMIFS(DI$5:DI801,$CT$5:$CT801,"="&amp;$CT801)</f>
        <v>537</v>
      </c>
      <c r="DK801" s="14" t="s">
        <v>540</v>
      </c>
      <c r="DL801" s="14">
        <f>INDEX(属性投放!$BM$6:$BM$85,(CV801-2)*20+CZ801)</f>
        <v>920</v>
      </c>
      <c r="DM801" s="14">
        <f>SUMIFS(DL$5:DL801,$CT$5:$CT801,"="&amp;$CT801)</f>
        <v>7890</v>
      </c>
      <c r="DR801" s="30"/>
      <c r="DS801" s="30"/>
      <c r="DW801" s="30"/>
      <c r="DX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</row>
    <row r="802" spans="31:163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1077"/>
        <v>16</v>
      </c>
      <c r="CU802" s="13">
        <f t="shared" si="1078"/>
        <v>18</v>
      </c>
      <c r="CV802" s="14">
        <f t="shared" si="1079"/>
        <v>4</v>
      </c>
      <c r="CW802" s="14">
        <f t="shared" si="1080"/>
        <v>1102016</v>
      </c>
      <c r="CX802" s="14" t="str">
        <f>INDEX($O$6:$O$50,CT802)&amp;"-"&amp;INDEX(属性投放!$AB$7:$AB$50,CZ802)&amp;"-魂火-"&amp;DB802</f>
        <v>西方龙-叫唤+2-魂火-3</v>
      </c>
      <c r="CY802" s="25" t="s">
        <v>142</v>
      </c>
      <c r="CZ802" s="14">
        <f>INDEX(属性投放!$AM$7:$AM$58,CU802)</f>
        <v>9</v>
      </c>
      <c r="DA802" s="14" t="s">
        <v>537</v>
      </c>
      <c r="DB802" s="14">
        <f>INDEX(属性投放!$AN$7:$AN$58,CU802)</f>
        <v>3</v>
      </c>
      <c r="DC802" s="14">
        <f t="shared" si="1076"/>
        <v>18</v>
      </c>
      <c r="DD802" s="14">
        <f>INDEX(属性投放!$AO$7:$AO$58,DC802)</f>
        <v>63</v>
      </c>
      <c r="DE802" s="14" t="s">
        <v>538</v>
      </c>
      <c r="DF802" s="14">
        <f>INDEX(属性投放!$BK$6:$BK$85,(CV802-2)*20+CZ802)</f>
        <v>115</v>
      </c>
      <c r="DG802" s="14">
        <f>SUMIFS(DF$5:DF802,$CT$5:$CT802,"="&amp;$CT802)</f>
        <v>1180</v>
      </c>
      <c r="DH802" s="14" t="s">
        <v>539</v>
      </c>
      <c r="DI802" s="14">
        <f>INDEX(属性投放!$BL$6:$BL$85,(CV802-2)*20+CZ802)</f>
        <v>58</v>
      </c>
      <c r="DJ802" s="14">
        <f>SUMIFS(DI$5:DI802,$CT$5:$CT802,"="&amp;$CT802)</f>
        <v>595</v>
      </c>
      <c r="DK802" s="14" t="s">
        <v>540</v>
      </c>
      <c r="DL802" s="14">
        <f>INDEX(属性投放!$BM$6:$BM$85,(CV802-2)*20+CZ802)</f>
        <v>920</v>
      </c>
      <c r="DM802" s="14">
        <f>SUMIFS(DL$5:DL802,$CT$5:$CT802,"="&amp;$CT802)</f>
        <v>8810</v>
      </c>
      <c r="DR802" s="30"/>
      <c r="DS802" s="30"/>
      <c r="DW802" s="30"/>
      <c r="DX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</row>
    <row r="803" spans="31:163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1077"/>
        <v>16</v>
      </c>
      <c r="CU803" s="13">
        <f t="shared" si="1078"/>
        <v>19</v>
      </c>
      <c r="CV803" s="14">
        <f t="shared" si="1079"/>
        <v>4</v>
      </c>
      <c r="CW803" s="14">
        <f t="shared" si="1080"/>
        <v>1102016</v>
      </c>
      <c r="CX803" s="14" t="str">
        <f>INDEX($O$6:$O$50,CT803)&amp;"-"&amp;INDEX(属性投放!$AB$7:$AB$50,CZ803)&amp;"-魂火-"&amp;DB803</f>
        <v>西方龙-大叫唤-魂火-1</v>
      </c>
      <c r="CY803" s="25" t="s">
        <v>142</v>
      </c>
      <c r="CZ803" s="14">
        <f>INDEX(属性投放!$AM$7:$AM$58,CU803)</f>
        <v>10</v>
      </c>
      <c r="DA803" s="14" t="s">
        <v>537</v>
      </c>
      <c r="DB803" s="14">
        <f>INDEX(属性投放!$AN$7:$AN$58,CU803)</f>
        <v>1</v>
      </c>
      <c r="DC803" s="14">
        <f t="shared" si="1076"/>
        <v>19</v>
      </c>
      <c r="DD803" s="14">
        <f>INDEX(属性投放!$AO$7:$AO$58,DC803)</f>
        <v>65</v>
      </c>
      <c r="DE803" s="14" t="s">
        <v>538</v>
      </c>
      <c r="DF803" s="14">
        <f>INDEX(属性投放!$BK$6:$BK$85,(CV803-2)*20+CZ803)</f>
        <v>130</v>
      </c>
      <c r="DG803" s="14">
        <f>SUMIFS(DF$5:DF803,$CT$5:$CT803,"="&amp;$CT803)</f>
        <v>1310</v>
      </c>
      <c r="DH803" s="14" t="s">
        <v>539</v>
      </c>
      <c r="DI803" s="14">
        <f>INDEX(属性投放!$BL$6:$BL$85,(CV803-2)*20+CZ803)</f>
        <v>65</v>
      </c>
      <c r="DJ803" s="14">
        <f>SUMIFS(DI$5:DI803,$CT$5:$CT803,"="&amp;$CT803)</f>
        <v>660</v>
      </c>
      <c r="DK803" s="14" t="s">
        <v>540</v>
      </c>
      <c r="DL803" s="14">
        <f>INDEX(属性投放!$BM$6:$BM$85,(CV803-2)*20+CZ803)</f>
        <v>1170</v>
      </c>
      <c r="DM803" s="14">
        <f>SUMIFS(DL$5:DL803,$CT$5:$CT803,"="&amp;$CT803)</f>
        <v>9980</v>
      </c>
      <c r="DR803" s="30"/>
      <c r="DS803" s="30"/>
      <c r="DW803" s="30"/>
      <c r="DX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</row>
    <row r="804" spans="31:163" ht="16.5" x14ac:dyDescent="0.2">
      <c r="CS804" s="13">
        <v>800</v>
      </c>
      <c r="CT804" s="13">
        <f t="shared" si="1077"/>
        <v>16</v>
      </c>
      <c r="CU804" s="13">
        <f t="shared" si="1078"/>
        <v>20</v>
      </c>
      <c r="CV804" s="14">
        <f t="shared" si="1079"/>
        <v>4</v>
      </c>
      <c r="CW804" s="14">
        <f t="shared" si="1080"/>
        <v>1102016</v>
      </c>
      <c r="CX804" s="14" t="str">
        <f>INDEX($O$6:$O$50,CT804)&amp;"-"&amp;INDEX(属性投放!$AB$7:$AB$50,CZ804)&amp;"-魂火-"&amp;DB804</f>
        <v>西方龙-大叫唤-魂火-2</v>
      </c>
      <c r="CY804" s="25" t="s">
        <v>142</v>
      </c>
      <c r="CZ804" s="14">
        <f>INDEX(属性投放!$AM$7:$AM$58,CU804)</f>
        <v>10</v>
      </c>
      <c r="DA804" s="14" t="s">
        <v>537</v>
      </c>
      <c r="DB804" s="14">
        <f>INDEX(属性投放!$AN$7:$AN$58,CU804)</f>
        <v>2</v>
      </c>
      <c r="DC804" s="14">
        <f t="shared" si="1076"/>
        <v>20</v>
      </c>
      <c r="DD804" s="14">
        <f>INDEX(属性投放!$AO$7:$AO$58,DC804)</f>
        <v>68</v>
      </c>
      <c r="DE804" s="14" t="s">
        <v>538</v>
      </c>
      <c r="DF804" s="14">
        <f>INDEX(属性投放!$BK$6:$BK$85,(CV804-2)*20+CZ804)</f>
        <v>130</v>
      </c>
      <c r="DG804" s="14">
        <f>SUMIFS(DF$5:DF804,$CT$5:$CT804,"="&amp;$CT804)</f>
        <v>1440</v>
      </c>
      <c r="DH804" s="14" t="s">
        <v>539</v>
      </c>
      <c r="DI804" s="14">
        <f>INDEX(属性投放!$BL$6:$BL$85,(CV804-2)*20+CZ804)</f>
        <v>65</v>
      </c>
      <c r="DJ804" s="14">
        <f>SUMIFS(DI$5:DI804,$CT$5:$CT804,"="&amp;$CT804)</f>
        <v>725</v>
      </c>
      <c r="DK804" s="14" t="s">
        <v>540</v>
      </c>
      <c r="DL804" s="14">
        <f>INDEX(属性投放!$BM$6:$BM$85,(CV804-2)*20+CZ804)</f>
        <v>1170</v>
      </c>
      <c r="DM804" s="14">
        <f>SUMIFS(DL$5:DL804,$CT$5:$CT804,"="&amp;$CT804)</f>
        <v>11150</v>
      </c>
      <c r="DR804" s="30"/>
      <c r="DS804" s="30"/>
      <c r="DW804" s="30"/>
      <c r="DX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</row>
    <row r="805" spans="31:163" ht="16.5" x14ac:dyDescent="0.2">
      <c r="CS805" s="13">
        <v>801</v>
      </c>
      <c r="CT805" s="13">
        <f t="shared" si="1077"/>
        <v>16</v>
      </c>
      <c r="CU805" s="13">
        <f t="shared" si="1078"/>
        <v>21</v>
      </c>
      <c r="CV805" s="14">
        <f t="shared" si="1079"/>
        <v>4</v>
      </c>
      <c r="CW805" s="14">
        <f t="shared" si="1080"/>
        <v>1102016</v>
      </c>
      <c r="CX805" s="14" t="str">
        <f>INDEX($O$6:$O$50,CT805)&amp;"-"&amp;INDEX(属性投放!$AB$7:$AB$50,CZ805)&amp;"-魂火-"&amp;DB805</f>
        <v>西方龙-大叫唤-魂火-3</v>
      </c>
      <c r="CY805" s="25" t="s">
        <v>142</v>
      </c>
      <c r="CZ805" s="14">
        <f>INDEX(属性投放!$AM$7:$AM$58,CU805)</f>
        <v>10</v>
      </c>
      <c r="DA805" s="14" t="s">
        <v>537</v>
      </c>
      <c r="DB805" s="14">
        <f>INDEX(属性投放!$AN$7:$AN$58,CU805)</f>
        <v>3</v>
      </c>
      <c r="DC805" s="14">
        <f t="shared" si="1076"/>
        <v>21</v>
      </c>
      <c r="DD805" s="14">
        <f>INDEX(属性投放!$AO$7:$AO$58,DC805)</f>
        <v>70</v>
      </c>
      <c r="DE805" s="14" t="s">
        <v>538</v>
      </c>
      <c r="DF805" s="14">
        <f>INDEX(属性投放!$BK$6:$BK$85,(CV805-2)*20+CZ805)</f>
        <v>130</v>
      </c>
      <c r="DG805" s="14">
        <f>SUMIFS(DF$5:DF805,$CT$5:$CT805,"="&amp;$CT805)</f>
        <v>1570</v>
      </c>
      <c r="DH805" s="14" t="s">
        <v>539</v>
      </c>
      <c r="DI805" s="14">
        <f>INDEX(属性投放!$BL$6:$BL$85,(CV805-2)*20+CZ805)</f>
        <v>65</v>
      </c>
      <c r="DJ805" s="14">
        <f>SUMIFS(DI$5:DI805,$CT$5:$CT805,"="&amp;$CT805)</f>
        <v>790</v>
      </c>
      <c r="DK805" s="14" t="s">
        <v>540</v>
      </c>
      <c r="DL805" s="14">
        <f>INDEX(属性投放!$BM$6:$BM$85,(CV805-2)*20+CZ805)</f>
        <v>1170</v>
      </c>
      <c r="DM805" s="14">
        <f>SUMIFS(DL$5:DL805,$CT$5:$CT805,"="&amp;$CT805)</f>
        <v>12320</v>
      </c>
      <c r="DR805" s="30"/>
      <c r="DS805" s="30"/>
      <c r="DW805" s="30"/>
      <c r="DX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</row>
    <row r="806" spans="31:163" ht="16.5" x14ac:dyDescent="0.2">
      <c r="CS806" s="13">
        <v>802</v>
      </c>
      <c r="CT806" s="13">
        <f t="shared" si="1077"/>
        <v>16</v>
      </c>
      <c r="CU806" s="13">
        <f t="shared" si="1078"/>
        <v>22</v>
      </c>
      <c r="CV806" s="14">
        <f t="shared" si="1079"/>
        <v>4</v>
      </c>
      <c r="CW806" s="14">
        <f t="shared" si="1080"/>
        <v>1102016</v>
      </c>
      <c r="CX806" s="14" t="str">
        <f>INDEX($O$6:$O$50,CT806)&amp;"-"&amp;INDEX(属性投放!$AB$7:$AB$50,CZ806)&amp;"-魂火-"&amp;DB806</f>
        <v>西方龙-大叫唤+1-魂火-1</v>
      </c>
      <c r="CY806" s="25" t="s">
        <v>142</v>
      </c>
      <c r="CZ806" s="14">
        <f>INDEX(属性投放!$AM$7:$AM$58,CU806)</f>
        <v>11</v>
      </c>
      <c r="DA806" s="14" t="s">
        <v>537</v>
      </c>
      <c r="DB806" s="14">
        <f>INDEX(属性投放!$AN$7:$AN$58,CU806)</f>
        <v>1</v>
      </c>
      <c r="DC806" s="14">
        <f t="shared" si="1076"/>
        <v>22</v>
      </c>
      <c r="DD806" s="14">
        <f>INDEX(属性投放!$AO$7:$AO$58,DC806)</f>
        <v>73</v>
      </c>
      <c r="DE806" s="14" t="s">
        <v>538</v>
      </c>
      <c r="DF806" s="14">
        <f>INDEX(属性投放!$BK$6:$BK$85,(CV806-2)*20+CZ806)</f>
        <v>170</v>
      </c>
      <c r="DG806" s="14">
        <f>SUMIFS(DF$5:DF806,$CT$5:$CT806,"="&amp;$CT806)</f>
        <v>1740</v>
      </c>
      <c r="DH806" s="14" t="s">
        <v>539</v>
      </c>
      <c r="DI806" s="14">
        <f>INDEX(属性投放!$BL$6:$BL$85,(CV806-2)*20+CZ806)</f>
        <v>85</v>
      </c>
      <c r="DJ806" s="14">
        <f>SUMIFS(DI$5:DI806,$CT$5:$CT806,"="&amp;$CT806)</f>
        <v>875</v>
      </c>
      <c r="DK806" s="14" t="s">
        <v>540</v>
      </c>
      <c r="DL806" s="14">
        <f>INDEX(属性投放!$BM$6:$BM$85,(CV806-2)*20+CZ806)</f>
        <v>1530</v>
      </c>
      <c r="DM806" s="14">
        <f>SUMIFS(DL$5:DL806,$CT$5:$CT806,"="&amp;$CT806)</f>
        <v>13850</v>
      </c>
      <c r="DR806" s="30"/>
      <c r="DS806" s="30"/>
      <c r="DW806" s="30"/>
      <c r="DX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</row>
    <row r="807" spans="31:163" ht="16.5" x14ac:dyDescent="0.2">
      <c r="CS807" s="13">
        <v>803</v>
      </c>
      <c r="CT807" s="13">
        <f t="shared" si="1077"/>
        <v>16</v>
      </c>
      <c r="CU807" s="13">
        <f t="shared" si="1078"/>
        <v>23</v>
      </c>
      <c r="CV807" s="14">
        <f t="shared" si="1079"/>
        <v>4</v>
      </c>
      <c r="CW807" s="14">
        <f t="shared" si="1080"/>
        <v>1102016</v>
      </c>
      <c r="CX807" s="14" t="str">
        <f>INDEX($O$6:$O$50,CT807)&amp;"-"&amp;INDEX(属性投放!$AB$7:$AB$50,CZ807)&amp;"-魂火-"&amp;DB807</f>
        <v>西方龙-大叫唤+1-魂火-2</v>
      </c>
      <c r="CY807" s="25" t="s">
        <v>142</v>
      </c>
      <c r="CZ807" s="14">
        <f>INDEX(属性投放!$AM$7:$AM$58,CU807)</f>
        <v>11</v>
      </c>
      <c r="DA807" s="14" t="s">
        <v>537</v>
      </c>
      <c r="DB807" s="14">
        <f>INDEX(属性投放!$AN$7:$AN$58,CU807)</f>
        <v>2</v>
      </c>
      <c r="DC807" s="14">
        <f t="shared" si="1076"/>
        <v>23</v>
      </c>
      <c r="DD807" s="14">
        <f>INDEX(属性投放!$AO$7:$AO$58,DC807)</f>
        <v>75</v>
      </c>
      <c r="DE807" s="14" t="s">
        <v>538</v>
      </c>
      <c r="DF807" s="14">
        <f>INDEX(属性投放!$BK$6:$BK$85,(CV807-2)*20+CZ807)</f>
        <v>170</v>
      </c>
      <c r="DG807" s="14">
        <f>SUMIFS(DF$5:DF807,$CT$5:$CT807,"="&amp;$CT807)</f>
        <v>1910</v>
      </c>
      <c r="DH807" s="14" t="s">
        <v>539</v>
      </c>
      <c r="DI807" s="14">
        <f>INDEX(属性投放!$BL$6:$BL$85,(CV807-2)*20+CZ807)</f>
        <v>85</v>
      </c>
      <c r="DJ807" s="14">
        <f>SUMIFS(DI$5:DI807,$CT$5:$CT807,"="&amp;$CT807)</f>
        <v>960</v>
      </c>
      <c r="DK807" s="14" t="s">
        <v>540</v>
      </c>
      <c r="DL807" s="14">
        <f>INDEX(属性投放!$BM$6:$BM$85,(CV807-2)*20+CZ807)</f>
        <v>1530</v>
      </c>
      <c r="DM807" s="14">
        <f>SUMIFS(DL$5:DL807,$CT$5:$CT807,"="&amp;$CT807)</f>
        <v>15380</v>
      </c>
      <c r="DR807" s="30"/>
      <c r="DS807" s="30"/>
      <c r="DW807" s="30"/>
      <c r="DX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</row>
    <row r="808" spans="31:163" ht="16.5" x14ac:dyDescent="0.2">
      <c r="CS808" s="13">
        <v>804</v>
      </c>
      <c r="CT808" s="13">
        <f t="shared" si="1077"/>
        <v>16</v>
      </c>
      <c r="CU808" s="13">
        <f t="shared" si="1078"/>
        <v>24</v>
      </c>
      <c r="CV808" s="14">
        <f t="shared" si="1079"/>
        <v>4</v>
      </c>
      <c r="CW808" s="14">
        <f t="shared" si="1080"/>
        <v>1102016</v>
      </c>
      <c r="CX808" s="14" t="str">
        <f>INDEX($O$6:$O$50,CT808)&amp;"-"&amp;INDEX(属性投放!$AB$7:$AB$50,CZ808)&amp;"-魂火-"&amp;DB808</f>
        <v>西方龙-大叫唤+1-魂火-3</v>
      </c>
      <c r="CY808" s="25" t="s">
        <v>142</v>
      </c>
      <c r="CZ808" s="14">
        <f>INDEX(属性投放!$AM$7:$AM$58,CU808)</f>
        <v>11</v>
      </c>
      <c r="DA808" s="14" t="s">
        <v>537</v>
      </c>
      <c r="DB808" s="14">
        <f>INDEX(属性投放!$AN$7:$AN$58,CU808)</f>
        <v>3</v>
      </c>
      <c r="DC808" s="14">
        <f t="shared" si="1076"/>
        <v>24</v>
      </c>
      <c r="DD808" s="14">
        <f>INDEX(属性投放!$AO$7:$AO$58,DC808)</f>
        <v>78</v>
      </c>
      <c r="DE808" s="14" t="s">
        <v>538</v>
      </c>
      <c r="DF808" s="14">
        <f>INDEX(属性投放!$BK$6:$BK$85,(CV808-2)*20+CZ808)</f>
        <v>170</v>
      </c>
      <c r="DG808" s="14">
        <f>SUMIFS(DF$5:DF808,$CT$5:$CT808,"="&amp;$CT808)</f>
        <v>2080</v>
      </c>
      <c r="DH808" s="14" t="s">
        <v>539</v>
      </c>
      <c r="DI808" s="14">
        <f>INDEX(属性投放!$BL$6:$BL$85,(CV808-2)*20+CZ808)</f>
        <v>85</v>
      </c>
      <c r="DJ808" s="14">
        <f>SUMIFS(DI$5:DI808,$CT$5:$CT808,"="&amp;$CT808)</f>
        <v>1045</v>
      </c>
      <c r="DK808" s="14" t="s">
        <v>540</v>
      </c>
      <c r="DL808" s="14">
        <f>INDEX(属性投放!$BM$6:$BM$85,(CV808-2)*20+CZ808)</f>
        <v>1530</v>
      </c>
      <c r="DM808" s="14">
        <f>SUMIFS(DL$5:DL808,$CT$5:$CT808,"="&amp;$CT808)</f>
        <v>16910</v>
      </c>
      <c r="DR808" s="30"/>
      <c r="DS808" s="30"/>
      <c r="DW808" s="30"/>
      <c r="DX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</row>
    <row r="809" spans="31:163" ht="16.5" x14ac:dyDescent="0.2">
      <c r="CS809" s="13">
        <v>805</v>
      </c>
      <c r="CT809" s="13">
        <f t="shared" si="1077"/>
        <v>16</v>
      </c>
      <c r="CU809" s="13">
        <f t="shared" si="1078"/>
        <v>25</v>
      </c>
      <c r="CV809" s="14">
        <f t="shared" si="1079"/>
        <v>4</v>
      </c>
      <c r="CW809" s="14">
        <f t="shared" si="1080"/>
        <v>1102016</v>
      </c>
      <c r="CX809" s="14" t="str">
        <f>INDEX($O$6:$O$50,CT809)&amp;"-"&amp;INDEX(属性投放!$AB$7:$AB$50,CZ809)&amp;"-魂火-"&amp;DB809</f>
        <v>西方龙-大叫唤+2-魂火-1</v>
      </c>
      <c r="CY809" s="25" t="s">
        <v>142</v>
      </c>
      <c r="CZ809" s="14">
        <f>INDEX(属性投放!$AM$7:$AM$58,CU809)</f>
        <v>12</v>
      </c>
      <c r="DA809" s="14" t="s">
        <v>537</v>
      </c>
      <c r="DB809" s="14">
        <f>INDEX(属性投放!$AN$7:$AN$58,CU809)</f>
        <v>1</v>
      </c>
      <c r="DC809" s="14">
        <f t="shared" si="1076"/>
        <v>25</v>
      </c>
      <c r="DD809" s="14">
        <f>INDEX(属性投放!$AO$7:$AO$58,DC809)</f>
        <v>80</v>
      </c>
      <c r="DE809" s="14" t="s">
        <v>538</v>
      </c>
      <c r="DF809" s="14">
        <f>INDEX(属性投放!$BK$6:$BK$85,(CV809-2)*20+CZ809)</f>
        <v>225</v>
      </c>
      <c r="DG809" s="14">
        <f>SUMIFS(DF$5:DF809,$CT$5:$CT809,"="&amp;$CT809)</f>
        <v>2305</v>
      </c>
      <c r="DH809" s="14" t="s">
        <v>539</v>
      </c>
      <c r="DI809" s="14">
        <f>INDEX(属性投放!$BL$6:$BL$85,(CV809-2)*20+CZ809)</f>
        <v>113</v>
      </c>
      <c r="DJ809" s="14">
        <f>SUMIFS(DI$5:DI809,$CT$5:$CT809,"="&amp;$CT809)</f>
        <v>1158</v>
      </c>
      <c r="DK809" s="14" t="s">
        <v>540</v>
      </c>
      <c r="DL809" s="14">
        <f>INDEX(属性投放!$BM$6:$BM$85,(CV809-2)*20+CZ809)</f>
        <v>2025</v>
      </c>
      <c r="DM809" s="14">
        <f>SUMIFS(DL$5:DL809,$CT$5:$CT809,"="&amp;$CT809)</f>
        <v>18935</v>
      </c>
      <c r="DR809" s="30"/>
      <c r="DS809" s="30"/>
      <c r="DW809" s="30"/>
      <c r="DX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</row>
    <row r="810" spans="31:163" ht="16.5" x14ac:dyDescent="0.2">
      <c r="CS810" s="13">
        <v>806</v>
      </c>
      <c r="CT810" s="13">
        <f t="shared" si="1077"/>
        <v>16</v>
      </c>
      <c r="CU810" s="13">
        <f t="shared" si="1078"/>
        <v>26</v>
      </c>
      <c r="CV810" s="14">
        <f t="shared" si="1079"/>
        <v>4</v>
      </c>
      <c r="CW810" s="14">
        <f t="shared" si="1080"/>
        <v>1102016</v>
      </c>
      <c r="CX810" s="14" t="str">
        <f>INDEX($O$6:$O$50,CT810)&amp;"-"&amp;INDEX(属性投放!$AB$7:$AB$50,CZ810)&amp;"-魂火-"&amp;DB810</f>
        <v>西方龙-大叫唤+2-魂火-2</v>
      </c>
      <c r="CY810" s="25" t="s">
        <v>142</v>
      </c>
      <c r="CZ810" s="14">
        <f>INDEX(属性投放!$AM$7:$AM$58,CU810)</f>
        <v>12</v>
      </c>
      <c r="DA810" s="14" t="s">
        <v>537</v>
      </c>
      <c r="DB810" s="14">
        <f>INDEX(属性投放!$AN$7:$AN$58,CU810)</f>
        <v>2</v>
      </c>
      <c r="DC810" s="14">
        <f t="shared" si="1076"/>
        <v>26</v>
      </c>
      <c r="DD810" s="14">
        <f>INDEX(属性投放!$AO$7:$AO$58,DC810)</f>
        <v>83</v>
      </c>
      <c r="DE810" s="14" t="s">
        <v>538</v>
      </c>
      <c r="DF810" s="14">
        <f>INDEX(属性投放!$BK$6:$BK$85,(CV810-2)*20+CZ810)</f>
        <v>225</v>
      </c>
      <c r="DG810" s="14">
        <f>SUMIFS(DF$5:DF810,$CT$5:$CT810,"="&amp;$CT810)</f>
        <v>2530</v>
      </c>
      <c r="DH810" s="14" t="s">
        <v>539</v>
      </c>
      <c r="DI810" s="14">
        <f>INDEX(属性投放!$BL$6:$BL$85,(CV810-2)*20+CZ810)</f>
        <v>113</v>
      </c>
      <c r="DJ810" s="14">
        <f>SUMIFS(DI$5:DI810,$CT$5:$CT810,"="&amp;$CT810)</f>
        <v>1271</v>
      </c>
      <c r="DK810" s="14" t="s">
        <v>540</v>
      </c>
      <c r="DL810" s="14">
        <f>INDEX(属性投放!$BM$6:$BM$85,(CV810-2)*20+CZ810)</f>
        <v>2025</v>
      </c>
      <c r="DM810" s="14">
        <f>SUMIFS(DL$5:DL810,$CT$5:$CT810,"="&amp;$CT810)</f>
        <v>20960</v>
      </c>
      <c r="DR810" s="30"/>
      <c r="DS810" s="30"/>
      <c r="DW810" s="30"/>
      <c r="DX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</row>
    <row r="811" spans="31:163" ht="16.5" x14ac:dyDescent="0.2">
      <c r="CS811" s="13">
        <v>807</v>
      </c>
      <c r="CT811" s="13">
        <f t="shared" si="1077"/>
        <v>16</v>
      </c>
      <c r="CU811" s="13">
        <f t="shared" si="1078"/>
        <v>27</v>
      </c>
      <c r="CV811" s="14">
        <f t="shared" si="1079"/>
        <v>4</v>
      </c>
      <c r="CW811" s="14">
        <f t="shared" si="1080"/>
        <v>1102016</v>
      </c>
      <c r="CX811" s="14" t="str">
        <f>INDEX($O$6:$O$50,CT811)&amp;"-"&amp;INDEX(属性投放!$AB$7:$AB$50,CZ811)&amp;"-魂火-"&amp;DB811</f>
        <v>西方龙-大叫唤+2-魂火-3</v>
      </c>
      <c r="CY811" s="25" t="s">
        <v>142</v>
      </c>
      <c r="CZ811" s="14">
        <f>INDEX(属性投放!$AM$7:$AM$58,CU811)</f>
        <v>12</v>
      </c>
      <c r="DA811" s="14" t="s">
        <v>537</v>
      </c>
      <c r="DB811" s="14">
        <f>INDEX(属性投放!$AN$7:$AN$58,CU811)</f>
        <v>3</v>
      </c>
      <c r="DC811" s="14">
        <f t="shared" si="1076"/>
        <v>27</v>
      </c>
      <c r="DD811" s="14">
        <f>INDEX(属性投放!$AO$7:$AO$58,DC811)</f>
        <v>85</v>
      </c>
      <c r="DE811" s="14" t="s">
        <v>538</v>
      </c>
      <c r="DF811" s="14">
        <f>INDEX(属性投放!$BK$6:$BK$85,(CV811-2)*20+CZ811)</f>
        <v>225</v>
      </c>
      <c r="DG811" s="14">
        <f>SUMIFS(DF$5:DF811,$CT$5:$CT811,"="&amp;$CT811)</f>
        <v>2755</v>
      </c>
      <c r="DH811" s="14" t="s">
        <v>539</v>
      </c>
      <c r="DI811" s="14">
        <f>INDEX(属性投放!$BL$6:$BL$85,(CV811-2)*20+CZ811)</f>
        <v>113</v>
      </c>
      <c r="DJ811" s="14">
        <f>SUMIFS(DI$5:DI811,$CT$5:$CT811,"="&amp;$CT811)</f>
        <v>1384</v>
      </c>
      <c r="DK811" s="14" t="s">
        <v>540</v>
      </c>
      <c r="DL811" s="14">
        <f>INDEX(属性投放!$BM$6:$BM$85,(CV811-2)*20+CZ811)</f>
        <v>2025</v>
      </c>
      <c r="DM811" s="14">
        <f>SUMIFS(DL$5:DL811,$CT$5:$CT811,"="&amp;$CT811)</f>
        <v>22985</v>
      </c>
      <c r="DR811" s="30"/>
      <c r="DS811" s="30"/>
      <c r="DW811" s="30"/>
      <c r="DX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</row>
    <row r="812" spans="31:163" ht="16.5" x14ac:dyDescent="0.2">
      <c r="CS812" s="13">
        <v>808</v>
      </c>
      <c r="CT812" s="13">
        <f t="shared" si="1077"/>
        <v>16</v>
      </c>
      <c r="CU812" s="13">
        <f t="shared" si="1078"/>
        <v>28</v>
      </c>
      <c r="CV812" s="14">
        <f t="shared" si="1079"/>
        <v>4</v>
      </c>
      <c r="CW812" s="14">
        <f t="shared" si="1080"/>
        <v>1102016</v>
      </c>
      <c r="CX812" s="14" t="str">
        <f>INDEX($O$6:$O$50,CT812)&amp;"-"&amp;INDEX(属性投放!$AB$7:$AB$50,CZ812)&amp;"-魂火-"&amp;DB812</f>
        <v>西方龙-焦热-魂火-1</v>
      </c>
      <c r="CY812" s="25" t="s">
        <v>142</v>
      </c>
      <c r="CZ812" s="14">
        <f>INDEX(属性投放!$AM$7:$AM$58,CU812)</f>
        <v>13</v>
      </c>
      <c r="DA812" s="14" t="s">
        <v>537</v>
      </c>
      <c r="DB812" s="14">
        <f>INDEX(属性投放!$AN$7:$AN$58,CU812)</f>
        <v>1</v>
      </c>
      <c r="DC812" s="14">
        <f t="shared" si="1076"/>
        <v>28</v>
      </c>
      <c r="DD812" s="14">
        <f>INDEX(属性投放!$AO$7:$AO$58,DC812)</f>
        <v>88</v>
      </c>
      <c r="DE812" s="14" t="s">
        <v>538</v>
      </c>
      <c r="DF812" s="14">
        <f>INDEX(属性投放!$BK$6:$BK$85,(CV812-2)*20+CZ812)</f>
        <v>275</v>
      </c>
      <c r="DG812" s="14">
        <f>SUMIFS(DF$5:DF812,$CT$5:$CT812,"="&amp;$CT812)</f>
        <v>3030</v>
      </c>
      <c r="DH812" s="14" t="s">
        <v>539</v>
      </c>
      <c r="DI812" s="14">
        <f>INDEX(属性投放!$BL$6:$BL$85,(CV812-2)*20+CZ812)</f>
        <v>138</v>
      </c>
      <c r="DJ812" s="14">
        <f>SUMIFS(DI$5:DI812,$CT$5:$CT812,"="&amp;$CT812)</f>
        <v>1522</v>
      </c>
      <c r="DK812" s="14" t="s">
        <v>540</v>
      </c>
      <c r="DL812" s="14">
        <f>INDEX(属性投放!$BM$6:$BM$85,(CV812-2)*20+CZ812)</f>
        <v>2750</v>
      </c>
      <c r="DM812" s="14">
        <f>SUMIFS(DL$5:DL812,$CT$5:$CT812,"="&amp;$CT812)</f>
        <v>25735</v>
      </c>
      <c r="DR812" s="30"/>
      <c r="DS812" s="30"/>
      <c r="DW812" s="30"/>
      <c r="DX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</row>
    <row r="813" spans="31:163" ht="16.5" x14ac:dyDescent="0.2">
      <c r="CS813" s="13">
        <v>809</v>
      </c>
      <c r="CT813" s="13">
        <f t="shared" si="1077"/>
        <v>16</v>
      </c>
      <c r="CU813" s="13">
        <f t="shared" si="1078"/>
        <v>29</v>
      </c>
      <c r="CV813" s="14">
        <f t="shared" si="1079"/>
        <v>4</v>
      </c>
      <c r="CW813" s="14">
        <f t="shared" si="1080"/>
        <v>1102016</v>
      </c>
      <c r="CX813" s="14" t="str">
        <f>INDEX($O$6:$O$50,CT813)&amp;"-"&amp;INDEX(属性投放!$AB$7:$AB$50,CZ813)&amp;"-魂火-"&amp;DB813</f>
        <v>西方龙-焦热-魂火-2</v>
      </c>
      <c r="CY813" s="25" t="s">
        <v>142</v>
      </c>
      <c r="CZ813" s="14">
        <f>INDEX(属性投放!$AM$7:$AM$58,CU813)</f>
        <v>13</v>
      </c>
      <c r="DA813" s="14" t="s">
        <v>537</v>
      </c>
      <c r="DB813" s="14">
        <f>INDEX(属性投放!$AN$7:$AN$58,CU813)</f>
        <v>2</v>
      </c>
      <c r="DC813" s="14">
        <f t="shared" si="1076"/>
        <v>29</v>
      </c>
      <c r="DD813" s="14">
        <f>INDEX(属性投放!$AO$7:$AO$58,DC813)</f>
        <v>90</v>
      </c>
      <c r="DE813" s="14" t="s">
        <v>538</v>
      </c>
      <c r="DF813" s="14">
        <f>INDEX(属性投放!$BK$6:$BK$85,(CV813-2)*20+CZ813)</f>
        <v>275</v>
      </c>
      <c r="DG813" s="14">
        <f>SUMIFS(DF$5:DF813,$CT$5:$CT813,"="&amp;$CT813)</f>
        <v>3305</v>
      </c>
      <c r="DH813" s="14" t="s">
        <v>539</v>
      </c>
      <c r="DI813" s="14">
        <f>INDEX(属性投放!$BL$6:$BL$85,(CV813-2)*20+CZ813)</f>
        <v>138</v>
      </c>
      <c r="DJ813" s="14">
        <f>SUMIFS(DI$5:DI813,$CT$5:$CT813,"="&amp;$CT813)</f>
        <v>1660</v>
      </c>
      <c r="DK813" s="14" t="s">
        <v>540</v>
      </c>
      <c r="DL813" s="14">
        <f>INDEX(属性投放!$BM$6:$BM$85,(CV813-2)*20+CZ813)</f>
        <v>2750</v>
      </c>
      <c r="DM813" s="14">
        <f>SUMIFS(DL$5:DL813,$CT$5:$CT813,"="&amp;$CT813)</f>
        <v>28485</v>
      </c>
      <c r="DR813" s="30"/>
      <c r="DS813" s="30"/>
      <c r="DW813" s="30"/>
      <c r="DX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</row>
    <row r="814" spans="31:163" ht="16.5" x14ac:dyDescent="0.2">
      <c r="CS814" s="13">
        <v>810</v>
      </c>
      <c r="CT814" s="13">
        <f t="shared" si="1077"/>
        <v>16</v>
      </c>
      <c r="CU814" s="13">
        <f t="shared" si="1078"/>
        <v>30</v>
      </c>
      <c r="CV814" s="14">
        <f t="shared" si="1079"/>
        <v>4</v>
      </c>
      <c r="CW814" s="14">
        <f t="shared" si="1080"/>
        <v>1102016</v>
      </c>
      <c r="CX814" s="14" t="str">
        <f>INDEX($O$6:$O$50,CT814)&amp;"-"&amp;INDEX(属性投放!$AB$7:$AB$50,CZ814)&amp;"-魂火-"&amp;DB814</f>
        <v>西方龙-焦热-魂火-3</v>
      </c>
      <c r="CY814" s="25" t="s">
        <v>142</v>
      </c>
      <c r="CZ814" s="14">
        <f>INDEX(属性投放!$AM$7:$AM$58,CU814)</f>
        <v>13</v>
      </c>
      <c r="DA814" s="14" t="s">
        <v>537</v>
      </c>
      <c r="DB814" s="14">
        <f>INDEX(属性投放!$AN$7:$AN$58,CU814)</f>
        <v>3</v>
      </c>
      <c r="DC814" s="14">
        <f t="shared" si="1076"/>
        <v>30</v>
      </c>
      <c r="DD814" s="14">
        <f>INDEX(属性投放!$AO$7:$AO$58,DC814)</f>
        <v>93</v>
      </c>
      <c r="DE814" s="14" t="s">
        <v>538</v>
      </c>
      <c r="DF814" s="14">
        <f>INDEX(属性投放!$BK$6:$BK$85,(CV814-2)*20+CZ814)</f>
        <v>275</v>
      </c>
      <c r="DG814" s="14">
        <f>SUMIFS(DF$5:DF814,$CT$5:$CT814,"="&amp;$CT814)</f>
        <v>3580</v>
      </c>
      <c r="DH814" s="14" t="s">
        <v>539</v>
      </c>
      <c r="DI814" s="14">
        <f>INDEX(属性投放!$BL$6:$BL$85,(CV814-2)*20+CZ814)</f>
        <v>138</v>
      </c>
      <c r="DJ814" s="14">
        <f>SUMIFS(DI$5:DI814,$CT$5:$CT814,"="&amp;$CT814)</f>
        <v>1798</v>
      </c>
      <c r="DK814" s="14" t="s">
        <v>540</v>
      </c>
      <c r="DL814" s="14">
        <f>INDEX(属性投放!$BM$6:$BM$85,(CV814-2)*20+CZ814)</f>
        <v>2750</v>
      </c>
      <c r="DM814" s="14">
        <f>SUMIFS(DL$5:DL814,$CT$5:$CT814,"="&amp;$CT814)</f>
        <v>31235</v>
      </c>
      <c r="DR814" s="30"/>
      <c r="DS814" s="30"/>
      <c r="DW814" s="30"/>
      <c r="DX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</row>
    <row r="815" spans="31:163" ht="16.5" x14ac:dyDescent="0.2">
      <c r="CS815" s="13">
        <v>811</v>
      </c>
      <c r="CT815" s="13">
        <f t="shared" si="1077"/>
        <v>16</v>
      </c>
      <c r="CU815" s="13">
        <f t="shared" si="1078"/>
        <v>31</v>
      </c>
      <c r="CV815" s="14">
        <f t="shared" si="1079"/>
        <v>4</v>
      </c>
      <c r="CW815" s="14">
        <f t="shared" si="1080"/>
        <v>1102016</v>
      </c>
      <c r="CX815" s="14" t="str">
        <f>INDEX($O$6:$O$50,CT815)&amp;"-"&amp;INDEX(属性投放!$AB$7:$AB$50,CZ815)&amp;"-魂火-"&amp;DB815</f>
        <v>西方龙-焦热+1-魂火-1</v>
      </c>
      <c r="CY815" s="25" t="s">
        <v>142</v>
      </c>
      <c r="CZ815" s="14">
        <f>INDEX(属性投放!$AM$7:$AM$58,CU815)</f>
        <v>14</v>
      </c>
      <c r="DA815" s="14" t="s">
        <v>537</v>
      </c>
      <c r="DB815" s="14">
        <f>INDEX(属性投放!$AN$7:$AN$58,CU815)</f>
        <v>1</v>
      </c>
      <c r="DC815" s="14">
        <f t="shared" si="1076"/>
        <v>31</v>
      </c>
      <c r="DD815" s="14">
        <f>INDEX(属性投放!$AO$7:$AO$58,DC815)</f>
        <v>95</v>
      </c>
      <c r="DE815" s="14" t="s">
        <v>538</v>
      </c>
      <c r="DF815" s="14">
        <f>INDEX(属性投放!$BK$6:$BK$85,(CV815-2)*20+CZ815)</f>
        <v>320</v>
      </c>
      <c r="DG815" s="14">
        <f>SUMIFS(DF$5:DF815,$CT$5:$CT815,"="&amp;$CT815)</f>
        <v>3900</v>
      </c>
      <c r="DH815" s="14" t="s">
        <v>539</v>
      </c>
      <c r="DI815" s="14">
        <f>INDEX(属性投放!$BL$6:$BL$85,(CV815-2)*20+CZ815)</f>
        <v>160</v>
      </c>
      <c r="DJ815" s="14">
        <f>SUMIFS(DI$5:DI815,$CT$5:$CT815,"="&amp;$CT815)</f>
        <v>1958</v>
      </c>
      <c r="DK815" s="14" t="s">
        <v>540</v>
      </c>
      <c r="DL815" s="14">
        <f>INDEX(属性投放!$BM$6:$BM$85,(CV815-2)*20+CZ815)</f>
        <v>3200</v>
      </c>
      <c r="DM815" s="14">
        <f>SUMIFS(DL$5:DL815,$CT$5:$CT815,"="&amp;$CT815)</f>
        <v>34435</v>
      </c>
      <c r="DR815" s="30"/>
      <c r="DS815" s="30"/>
      <c r="DW815" s="30"/>
      <c r="DX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</row>
    <row r="816" spans="31:163" ht="16.5" x14ac:dyDescent="0.2">
      <c r="CS816" s="13">
        <v>812</v>
      </c>
      <c r="CT816" s="13">
        <f t="shared" si="1077"/>
        <v>16</v>
      </c>
      <c r="CU816" s="13">
        <f t="shared" si="1078"/>
        <v>32</v>
      </c>
      <c r="CV816" s="14">
        <f t="shared" si="1079"/>
        <v>4</v>
      </c>
      <c r="CW816" s="14">
        <f t="shared" si="1080"/>
        <v>1102016</v>
      </c>
      <c r="CX816" s="14" t="str">
        <f>INDEX($O$6:$O$50,CT816)&amp;"-"&amp;INDEX(属性投放!$AB$7:$AB$50,CZ816)&amp;"-魂火-"&amp;DB816</f>
        <v>西方龙-焦热+1-魂火-2</v>
      </c>
      <c r="CY816" s="25" t="s">
        <v>142</v>
      </c>
      <c r="CZ816" s="14">
        <f>INDEX(属性投放!$AM$7:$AM$58,CU816)</f>
        <v>14</v>
      </c>
      <c r="DA816" s="14" t="s">
        <v>537</v>
      </c>
      <c r="DB816" s="14">
        <f>INDEX(属性投放!$AN$7:$AN$58,CU816)</f>
        <v>2</v>
      </c>
      <c r="DC816" s="14">
        <f t="shared" si="1076"/>
        <v>32</v>
      </c>
      <c r="DD816" s="14">
        <f>INDEX(属性投放!$AO$7:$AO$58,DC816)</f>
        <v>98</v>
      </c>
      <c r="DE816" s="14" t="s">
        <v>538</v>
      </c>
      <c r="DF816" s="14">
        <f>INDEX(属性投放!$BK$6:$BK$85,(CV816-2)*20+CZ816)</f>
        <v>320</v>
      </c>
      <c r="DG816" s="14">
        <f>SUMIFS(DF$5:DF816,$CT$5:$CT816,"="&amp;$CT816)</f>
        <v>4220</v>
      </c>
      <c r="DH816" s="14" t="s">
        <v>539</v>
      </c>
      <c r="DI816" s="14">
        <f>INDEX(属性投放!$BL$6:$BL$85,(CV816-2)*20+CZ816)</f>
        <v>160</v>
      </c>
      <c r="DJ816" s="14">
        <f>SUMIFS(DI$5:DI816,$CT$5:$CT816,"="&amp;$CT816)</f>
        <v>2118</v>
      </c>
      <c r="DK816" s="14" t="s">
        <v>540</v>
      </c>
      <c r="DL816" s="14">
        <f>INDEX(属性投放!$BM$6:$BM$85,(CV816-2)*20+CZ816)</f>
        <v>3200</v>
      </c>
      <c r="DM816" s="14">
        <f>SUMIFS(DL$5:DL816,$CT$5:$CT816,"="&amp;$CT816)</f>
        <v>37635</v>
      </c>
      <c r="DR816" s="30"/>
      <c r="DS816" s="30"/>
      <c r="DW816" s="30"/>
      <c r="DX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</row>
    <row r="817" spans="97:163" ht="16.5" x14ac:dyDescent="0.2">
      <c r="CS817" s="13">
        <v>813</v>
      </c>
      <c r="CT817" s="13">
        <f t="shared" si="1077"/>
        <v>16</v>
      </c>
      <c r="CU817" s="13">
        <f t="shared" si="1078"/>
        <v>33</v>
      </c>
      <c r="CV817" s="14">
        <f t="shared" si="1079"/>
        <v>4</v>
      </c>
      <c r="CW817" s="14">
        <f t="shared" si="1080"/>
        <v>1102016</v>
      </c>
      <c r="CX817" s="14" t="str">
        <f>INDEX($O$6:$O$50,CT817)&amp;"-"&amp;INDEX(属性投放!$AB$7:$AB$50,CZ817)&amp;"-魂火-"&amp;DB817</f>
        <v>西方龙-焦热+1-魂火-3</v>
      </c>
      <c r="CY817" s="25" t="s">
        <v>142</v>
      </c>
      <c r="CZ817" s="14">
        <f>INDEX(属性投放!$AM$7:$AM$58,CU817)</f>
        <v>14</v>
      </c>
      <c r="DA817" s="14" t="s">
        <v>537</v>
      </c>
      <c r="DB817" s="14">
        <f>INDEX(属性投放!$AN$7:$AN$58,CU817)</f>
        <v>3</v>
      </c>
      <c r="DC817" s="14">
        <f t="shared" si="1076"/>
        <v>33</v>
      </c>
      <c r="DD817" s="14">
        <f>INDEX(属性投放!$AO$7:$AO$58,DC817)</f>
        <v>100</v>
      </c>
      <c r="DE817" s="14" t="s">
        <v>538</v>
      </c>
      <c r="DF817" s="14">
        <f>INDEX(属性投放!$BK$6:$BK$85,(CV817-2)*20+CZ817)</f>
        <v>320</v>
      </c>
      <c r="DG817" s="14">
        <f>SUMIFS(DF$5:DF817,$CT$5:$CT817,"="&amp;$CT817)</f>
        <v>4540</v>
      </c>
      <c r="DH817" s="14" t="s">
        <v>539</v>
      </c>
      <c r="DI817" s="14">
        <f>INDEX(属性投放!$BL$6:$BL$85,(CV817-2)*20+CZ817)</f>
        <v>160</v>
      </c>
      <c r="DJ817" s="14">
        <f>SUMIFS(DI$5:DI817,$CT$5:$CT817,"="&amp;$CT817)</f>
        <v>2278</v>
      </c>
      <c r="DK817" s="14" t="s">
        <v>540</v>
      </c>
      <c r="DL817" s="14">
        <f>INDEX(属性投放!$BM$6:$BM$85,(CV817-2)*20+CZ817)</f>
        <v>3200</v>
      </c>
      <c r="DM817" s="14">
        <f>SUMIFS(DL$5:DL817,$CT$5:$CT817,"="&amp;$CT817)</f>
        <v>40835</v>
      </c>
      <c r="DR817" s="30"/>
      <c r="DS817" s="30"/>
      <c r="DW817" s="30"/>
      <c r="DX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</row>
    <row r="818" spans="97:163" ht="16.5" x14ac:dyDescent="0.2">
      <c r="CS818" s="13">
        <v>814</v>
      </c>
      <c r="CT818" s="13">
        <f t="shared" si="1077"/>
        <v>16</v>
      </c>
      <c r="CU818" s="13">
        <f t="shared" si="1078"/>
        <v>34</v>
      </c>
      <c r="CV818" s="14">
        <f t="shared" si="1079"/>
        <v>4</v>
      </c>
      <c r="CW818" s="14">
        <f t="shared" si="1080"/>
        <v>1102016</v>
      </c>
      <c r="CX818" s="14" t="str">
        <f>INDEX($O$6:$O$50,CT818)&amp;"-"&amp;INDEX(属性投放!$AB$7:$AB$50,CZ818)&amp;"-魂火-"&amp;DB818</f>
        <v>西方龙-焦热+2-魂火-1</v>
      </c>
      <c r="CY818" s="25" t="s">
        <v>142</v>
      </c>
      <c r="CZ818" s="14">
        <f>INDEX(属性投放!$AM$7:$AM$58,CU818)</f>
        <v>15</v>
      </c>
      <c r="DA818" s="14" t="s">
        <v>537</v>
      </c>
      <c r="DB818" s="14">
        <f>INDEX(属性投放!$AN$7:$AN$58,CU818)</f>
        <v>1</v>
      </c>
      <c r="DC818" s="14">
        <f t="shared" si="1076"/>
        <v>34</v>
      </c>
      <c r="DD818" s="14">
        <f>INDEX(属性投放!$AO$7:$AO$58,DC818)</f>
        <v>103</v>
      </c>
      <c r="DE818" s="14" t="s">
        <v>538</v>
      </c>
      <c r="DF818" s="14">
        <f>INDEX(属性投放!$BK$6:$BK$85,(CV818-2)*20+CZ818)</f>
        <v>445</v>
      </c>
      <c r="DG818" s="14">
        <f>SUMIFS(DF$5:DF818,$CT$5:$CT818,"="&amp;$CT818)</f>
        <v>4985</v>
      </c>
      <c r="DH818" s="14" t="s">
        <v>539</v>
      </c>
      <c r="DI818" s="14">
        <f>INDEX(属性投放!$BL$6:$BL$85,(CV818-2)*20+CZ818)</f>
        <v>223</v>
      </c>
      <c r="DJ818" s="14">
        <f>SUMIFS(DI$5:DI818,$CT$5:$CT818,"="&amp;$CT818)</f>
        <v>2501</v>
      </c>
      <c r="DK818" s="14" t="s">
        <v>540</v>
      </c>
      <c r="DL818" s="14">
        <f>INDEX(属性投放!$BM$6:$BM$85,(CV818-2)*20+CZ818)</f>
        <v>4450</v>
      </c>
      <c r="DM818" s="14">
        <f>SUMIFS(DL$5:DL818,$CT$5:$CT818,"="&amp;$CT818)</f>
        <v>45285</v>
      </c>
      <c r="DR818" s="30"/>
      <c r="DS818" s="30"/>
      <c r="DW818" s="30"/>
      <c r="DX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</row>
    <row r="819" spans="97:163" ht="16.5" x14ac:dyDescent="0.2">
      <c r="CS819" s="13">
        <v>815</v>
      </c>
      <c r="CT819" s="13">
        <f t="shared" si="1077"/>
        <v>16</v>
      </c>
      <c r="CU819" s="13">
        <f t="shared" si="1078"/>
        <v>35</v>
      </c>
      <c r="CV819" s="14">
        <f t="shared" si="1079"/>
        <v>4</v>
      </c>
      <c r="CW819" s="14">
        <f t="shared" si="1080"/>
        <v>1102016</v>
      </c>
      <c r="CX819" s="14" t="str">
        <f>INDEX($O$6:$O$50,CT819)&amp;"-"&amp;INDEX(属性投放!$AB$7:$AB$50,CZ819)&amp;"-魂火-"&amp;DB819</f>
        <v>西方龙-焦热+2-魂火-2</v>
      </c>
      <c r="CY819" s="25" t="s">
        <v>142</v>
      </c>
      <c r="CZ819" s="14">
        <f>INDEX(属性投放!$AM$7:$AM$58,CU819)</f>
        <v>15</v>
      </c>
      <c r="DA819" s="14" t="s">
        <v>537</v>
      </c>
      <c r="DB819" s="14">
        <f>INDEX(属性投放!$AN$7:$AN$58,CU819)</f>
        <v>2</v>
      </c>
      <c r="DC819" s="14">
        <f t="shared" si="1076"/>
        <v>35</v>
      </c>
      <c r="DD819" s="14">
        <f>INDEX(属性投放!$AO$7:$AO$58,DC819)</f>
        <v>105</v>
      </c>
      <c r="DE819" s="14" t="s">
        <v>538</v>
      </c>
      <c r="DF819" s="14">
        <f>INDEX(属性投放!$BK$6:$BK$85,(CV819-2)*20+CZ819)</f>
        <v>445</v>
      </c>
      <c r="DG819" s="14">
        <f>SUMIFS(DF$5:DF819,$CT$5:$CT819,"="&amp;$CT819)</f>
        <v>5430</v>
      </c>
      <c r="DH819" s="14" t="s">
        <v>539</v>
      </c>
      <c r="DI819" s="14">
        <f>INDEX(属性投放!$BL$6:$BL$85,(CV819-2)*20+CZ819)</f>
        <v>223</v>
      </c>
      <c r="DJ819" s="14">
        <f>SUMIFS(DI$5:DI819,$CT$5:$CT819,"="&amp;$CT819)</f>
        <v>2724</v>
      </c>
      <c r="DK819" s="14" t="s">
        <v>540</v>
      </c>
      <c r="DL819" s="14">
        <f>INDEX(属性投放!$BM$6:$BM$85,(CV819-2)*20+CZ819)</f>
        <v>4450</v>
      </c>
      <c r="DM819" s="14">
        <f>SUMIFS(DL$5:DL819,$CT$5:$CT819,"="&amp;$CT819)</f>
        <v>49735</v>
      </c>
      <c r="DR819" s="30"/>
      <c r="DS819" s="30"/>
      <c r="DW819" s="30"/>
      <c r="DX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</row>
    <row r="820" spans="97:163" ht="16.5" x14ac:dyDescent="0.2">
      <c r="CS820" s="13">
        <v>816</v>
      </c>
      <c r="CT820" s="13">
        <f t="shared" si="1077"/>
        <v>16</v>
      </c>
      <c r="CU820" s="13">
        <f t="shared" si="1078"/>
        <v>36</v>
      </c>
      <c r="CV820" s="14">
        <f t="shared" si="1079"/>
        <v>4</v>
      </c>
      <c r="CW820" s="14">
        <f t="shared" si="1080"/>
        <v>1102016</v>
      </c>
      <c r="CX820" s="14" t="str">
        <f>INDEX($O$6:$O$50,CT820)&amp;"-"&amp;INDEX(属性投放!$AB$7:$AB$50,CZ820)&amp;"-魂火-"&amp;DB820</f>
        <v>西方龙-焦热+2-魂火-3</v>
      </c>
      <c r="CY820" s="25" t="s">
        <v>142</v>
      </c>
      <c r="CZ820" s="14">
        <f>INDEX(属性投放!$AM$7:$AM$58,CU820)</f>
        <v>15</v>
      </c>
      <c r="DA820" s="14" t="s">
        <v>537</v>
      </c>
      <c r="DB820" s="14">
        <f>INDEX(属性投放!$AN$7:$AN$58,CU820)</f>
        <v>3</v>
      </c>
      <c r="DC820" s="14">
        <f t="shared" si="1076"/>
        <v>36</v>
      </c>
      <c r="DD820" s="14">
        <f>INDEX(属性投放!$AO$7:$AO$58,DC820)</f>
        <v>108</v>
      </c>
      <c r="DE820" s="14" t="s">
        <v>538</v>
      </c>
      <c r="DF820" s="14">
        <f>INDEX(属性投放!$BK$6:$BK$85,(CV820-2)*20+CZ820)</f>
        <v>445</v>
      </c>
      <c r="DG820" s="14">
        <f>SUMIFS(DF$5:DF820,$CT$5:$CT820,"="&amp;$CT820)</f>
        <v>5875</v>
      </c>
      <c r="DH820" s="14" t="s">
        <v>539</v>
      </c>
      <c r="DI820" s="14">
        <f>INDEX(属性投放!$BL$6:$BL$85,(CV820-2)*20+CZ820)</f>
        <v>223</v>
      </c>
      <c r="DJ820" s="14">
        <f>SUMIFS(DI$5:DI820,$CT$5:$CT820,"="&amp;$CT820)</f>
        <v>2947</v>
      </c>
      <c r="DK820" s="14" t="s">
        <v>540</v>
      </c>
      <c r="DL820" s="14">
        <f>INDEX(属性投放!$BM$6:$BM$85,(CV820-2)*20+CZ820)</f>
        <v>4450</v>
      </c>
      <c r="DM820" s="14">
        <f>SUMIFS(DL$5:DL820,$CT$5:$CT820,"="&amp;$CT820)</f>
        <v>54185</v>
      </c>
      <c r="DR820" s="30"/>
      <c r="DS820" s="30"/>
      <c r="DW820" s="30"/>
      <c r="DX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</row>
    <row r="821" spans="97:163" ht="16.5" x14ac:dyDescent="0.2">
      <c r="CS821" s="13">
        <v>817</v>
      </c>
      <c r="CT821" s="13">
        <f t="shared" si="1077"/>
        <v>16</v>
      </c>
      <c r="CU821" s="13">
        <f t="shared" si="1078"/>
        <v>37</v>
      </c>
      <c r="CV821" s="14">
        <f t="shared" si="1079"/>
        <v>4</v>
      </c>
      <c r="CW821" s="14">
        <f t="shared" si="1080"/>
        <v>1102016</v>
      </c>
      <c r="CX821" s="14" t="str">
        <f>INDEX($O$6:$O$50,CT821)&amp;"-"&amp;INDEX(属性投放!$AB$7:$AB$50,CZ821)&amp;"-魂火-"&amp;DB821</f>
        <v>西方龙-大焦热-魂火-1</v>
      </c>
      <c r="CY821" s="25" t="s">
        <v>142</v>
      </c>
      <c r="CZ821" s="14">
        <f>INDEX(属性投放!$AM$7:$AM$58,CU821)</f>
        <v>16</v>
      </c>
      <c r="DA821" s="14" t="s">
        <v>537</v>
      </c>
      <c r="DB821" s="14">
        <f>INDEX(属性投放!$AN$7:$AN$58,CU821)</f>
        <v>1</v>
      </c>
      <c r="DC821" s="14">
        <f t="shared" si="1076"/>
        <v>37</v>
      </c>
      <c r="DD821" s="14">
        <f>INDEX(属性投放!$AO$7:$AO$58,DC821)</f>
        <v>110</v>
      </c>
      <c r="DE821" s="14" t="s">
        <v>538</v>
      </c>
      <c r="DF821" s="14">
        <f>INDEX(属性投放!$BK$6:$BK$85,(CV821-2)*20+CZ821)</f>
        <v>520</v>
      </c>
      <c r="DG821" s="14">
        <f>SUMIFS(DF$5:DF821,$CT$5:$CT821,"="&amp;$CT821)</f>
        <v>6395</v>
      </c>
      <c r="DH821" s="14" t="s">
        <v>539</v>
      </c>
      <c r="DI821" s="14">
        <f>INDEX(属性投放!$BL$6:$BL$85,(CV821-2)*20+CZ821)</f>
        <v>260</v>
      </c>
      <c r="DJ821" s="14">
        <f>SUMIFS(DI$5:DI821,$CT$5:$CT821,"="&amp;$CT821)</f>
        <v>3207</v>
      </c>
      <c r="DK821" s="14" t="s">
        <v>540</v>
      </c>
      <c r="DL821" s="14">
        <f>INDEX(属性投放!$BM$6:$BM$85,(CV821-2)*20+CZ821)</f>
        <v>5200</v>
      </c>
      <c r="DM821" s="14">
        <f>SUMIFS(DL$5:DL821,$CT$5:$CT821,"="&amp;$CT821)</f>
        <v>59385</v>
      </c>
      <c r="DR821" s="30"/>
      <c r="DS821" s="30"/>
      <c r="DW821" s="30"/>
      <c r="DX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</row>
    <row r="822" spans="97:163" ht="16.5" x14ac:dyDescent="0.2">
      <c r="CS822" s="13">
        <v>818</v>
      </c>
      <c r="CT822" s="13">
        <f t="shared" si="1077"/>
        <v>16</v>
      </c>
      <c r="CU822" s="13">
        <f t="shared" si="1078"/>
        <v>38</v>
      </c>
      <c r="CV822" s="14">
        <f t="shared" si="1079"/>
        <v>4</v>
      </c>
      <c r="CW822" s="14">
        <f t="shared" si="1080"/>
        <v>1102016</v>
      </c>
      <c r="CX822" s="14" t="str">
        <f>INDEX($O$6:$O$50,CT822)&amp;"-"&amp;INDEX(属性投放!$AB$7:$AB$50,CZ822)&amp;"-魂火-"&amp;DB822</f>
        <v>西方龙-大焦热-魂火-2</v>
      </c>
      <c r="CY822" s="25" t="s">
        <v>142</v>
      </c>
      <c r="CZ822" s="14">
        <f>INDEX(属性投放!$AM$7:$AM$58,CU822)</f>
        <v>16</v>
      </c>
      <c r="DA822" s="14" t="s">
        <v>537</v>
      </c>
      <c r="DB822" s="14">
        <f>INDEX(属性投放!$AN$7:$AN$58,CU822)</f>
        <v>2</v>
      </c>
      <c r="DC822" s="14">
        <f t="shared" si="1076"/>
        <v>38</v>
      </c>
      <c r="DD822" s="14">
        <f>INDEX(属性投放!$AO$7:$AO$58,DC822)</f>
        <v>113</v>
      </c>
      <c r="DE822" s="14" t="s">
        <v>538</v>
      </c>
      <c r="DF822" s="14">
        <f>INDEX(属性投放!$BK$6:$BK$85,(CV822-2)*20+CZ822)</f>
        <v>520</v>
      </c>
      <c r="DG822" s="14">
        <f>SUMIFS(DF$5:DF822,$CT$5:$CT822,"="&amp;$CT822)</f>
        <v>6915</v>
      </c>
      <c r="DH822" s="14" t="s">
        <v>539</v>
      </c>
      <c r="DI822" s="14">
        <f>INDEX(属性投放!$BL$6:$BL$85,(CV822-2)*20+CZ822)</f>
        <v>260</v>
      </c>
      <c r="DJ822" s="14">
        <f>SUMIFS(DI$5:DI822,$CT$5:$CT822,"="&amp;$CT822)</f>
        <v>3467</v>
      </c>
      <c r="DK822" s="14" t="s">
        <v>540</v>
      </c>
      <c r="DL822" s="14">
        <f>INDEX(属性投放!$BM$6:$BM$85,(CV822-2)*20+CZ822)</f>
        <v>5200</v>
      </c>
      <c r="DM822" s="14">
        <f>SUMIFS(DL$5:DL822,$CT$5:$CT822,"="&amp;$CT822)</f>
        <v>64585</v>
      </c>
      <c r="DR822" s="30"/>
      <c r="DS822" s="30"/>
      <c r="DW822" s="30"/>
      <c r="DX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</row>
    <row r="823" spans="97:163" ht="16.5" x14ac:dyDescent="0.2">
      <c r="CS823" s="13">
        <v>819</v>
      </c>
      <c r="CT823" s="13">
        <f t="shared" si="1077"/>
        <v>16</v>
      </c>
      <c r="CU823" s="13">
        <f t="shared" si="1078"/>
        <v>39</v>
      </c>
      <c r="CV823" s="14">
        <f t="shared" si="1079"/>
        <v>4</v>
      </c>
      <c r="CW823" s="14">
        <f t="shared" si="1080"/>
        <v>1102016</v>
      </c>
      <c r="CX823" s="14" t="str">
        <f>INDEX($O$6:$O$50,CT823)&amp;"-"&amp;INDEX(属性投放!$AB$7:$AB$50,CZ823)&amp;"-魂火-"&amp;DB823</f>
        <v>西方龙-大焦热-魂火-3</v>
      </c>
      <c r="CY823" s="25" t="s">
        <v>142</v>
      </c>
      <c r="CZ823" s="14">
        <f>INDEX(属性投放!$AM$7:$AM$58,CU823)</f>
        <v>16</v>
      </c>
      <c r="DA823" s="14" t="s">
        <v>537</v>
      </c>
      <c r="DB823" s="14">
        <f>INDEX(属性投放!$AN$7:$AN$58,CU823)</f>
        <v>3</v>
      </c>
      <c r="DC823" s="14">
        <f t="shared" si="1076"/>
        <v>39</v>
      </c>
      <c r="DD823" s="14">
        <f>INDEX(属性投放!$AO$7:$AO$58,DC823)</f>
        <v>115</v>
      </c>
      <c r="DE823" s="14" t="s">
        <v>538</v>
      </c>
      <c r="DF823" s="14">
        <f>INDEX(属性投放!$BK$6:$BK$85,(CV823-2)*20+CZ823)</f>
        <v>520</v>
      </c>
      <c r="DG823" s="14">
        <f>SUMIFS(DF$5:DF823,$CT$5:$CT823,"="&amp;$CT823)</f>
        <v>7435</v>
      </c>
      <c r="DH823" s="14" t="s">
        <v>539</v>
      </c>
      <c r="DI823" s="14">
        <f>INDEX(属性投放!$BL$6:$BL$85,(CV823-2)*20+CZ823)</f>
        <v>260</v>
      </c>
      <c r="DJ823" s="14">
        <f>SUMIFS(DI$5:DI823,$CT$5:$CT823,"="&amp;$CT823)</f>
        <v>3727</v>
      </c>
      <c r="DK823" s="14" t="s">
        <v>540</v>
      </c>
      <c r="DL823" s="14">
        <f>INDEX(属性投放!$BM$6:$BM$85,(CV823-2)*20+CZ823)</f>
        <v>5200</v>
      </c>
      <c r="DM823" s="14">
        <f>SUMIFS(DL$5:DL823,$CT$5:$CT823,"="&amp;$CT823)</f>
        <v>69785</v>
      </c>
      <c r="DR823" s="30"/>
      <c r="DS823" s="30"/>
      <c r="DW823" s="30"/>
      <c r="DX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</row>
    <row r="824" spans="97:163" ht="16.5" x14ac:dyDescent="0.2">
      <c r="CS824" s="13">
        <v>820</v>
      </c>
      <c r="CT824" s="13">
        <f t="shared" si="1077"/>
        <v>16</v>
      </c>
      <c r="CU824" s="13">
        <f t="shared" si="1078"/>
        <v>40</v>
      </c>
      <c r="CV824" s="14">
        <f t="shared" si="1079"/>
        <v>4</v>
      </c>
      <c r="CW824" s="14">
        <f t="shared" si="1080"/>
        <v>1102016</v>
      </c>
      <c r="CX824" s="14" t="str">
        <f>INDEX($O$6:$O$50,CT824)&amp;"-"&amp;INDEX(属性投放!$AB$7:$AB$50,CZ824)&amp;"-魂火-"&amp;DB824</f>
        <v>西方龙-大焦热+1-魂火-1</v>
      </c>
      <c r="CY824" s="25" t="s">
        <v>142</v>
      </c>
      <c r="CZ824" s="14">
        <f>INDEX(属性投放!$AM$7:$AM$58,CU824)</f>
        <v>17</v>
      </c>
      <c r="DA824" s="14" t="s">
        <v>537</v>
      </c>
      <c r="DB824" s="14">
        <f>INDEX(属性投放!$AN$7:$AN$58,CU824)</f>
        <v>1</v>
      </c>
      <c r="DC824" s="14">
        <f t="shared" si="1076"/>
        <v>40</v>
      </c>
      <c r="DD824" s="14">
        <f>INDEX(属性投放!$AO$7:$AO$58,DC824)</f>
        <v>118</v>
      </c>
      <c r="DE824" s="14" t="s">
        <v>538</v>
      </c>
      <c r="DF824" s="14">
        <f>INDEX(属性投放!$BK$6:$BK$85,(CV824-2)*20+CZ824)</f>
        <v>650</v>
      </c>
      <c r="DG824" s="14">
        <f>SUMIFS(DF$5:DF824,$CT$5:$CT824,"="&amp;$CT824)</f>
        <v>8085</v>
      </c>
      <c r="DH824" s="14" t="s">
        <v>539</v>
      </c>
      <c r="DI824" s="14">
        <f>INDEX(属性投放!$BL$6:$BL$85,(CV824-2)*20+CZ824)</f>
        <v>325</v>
      </c>
      <c r="DJ824" s="14">
        <f>SUMIFS(DI$5:DI824,$CT$5:$CT824,"="&amp;$CT824)</f>
        <v>4052</v>
      </c>
      <c r="DK824" s="14" t="s">
        <v>540</v>
      </c>
      <c r="DL824" s="14">
        <f>INDEX(属性投放!$BM$6:$BM$85,(CV824-2)*20+CZ824)</f>
        <v>6500</v>
      </c>
      <c r="DM824" s="14">
        <f>SUMIFS(DL$5:DL824,$CT$5:$CT824,"="&amp;$CT824)</f>
        <v>76285</v>
      </c>
      <c r="DR824" s="30"/>
      <c r="DS824" s="30"/>
      <c r="DW824" s="30"/>
      <c r="DX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</row>
    <row r="825" spans="97:163" ht="16.5" x14ac:dyDescent="0.2">
      <c r="CS825" s="13">
        <v>821</v>
      </c>
      <c r="CT825" s="13">
        <f t="shared" si="1077"/>
        <v>16</v>
      </c>
      <c r="CU825" s="13">
        <f t="shared" si="1078"/>
        <v>41</v>
      </c>
      <c r="CV825" s="14">
        <f t="shared" si="1079"/>
        <v>4</v>
      </c>
      <c r="CW825" s="14">
        <f t="shared" si="1080"/>
        <v>1102016</v>
      </c>
      <c r="CX825" s="14" t="str">
        <f>INDEX($O$6:$O$50,CT825)&amp;"-"&amp;INDEX(属性投放!$AB$7:$AB$50,CZ825)&amp;"-魂火-"&amp;DB825</f>
        <v>西方龙-大焦热+1-魂火-2</v>
      </c>
      <c r="CY825" s="25" t="s">
        <v>142</v>
      </c>
      <c r="CZ825" s="14">
        <f>INDEX(属性投放!$AM$7:$AM$58,CU825)</f>
        <v>17</v>
      </c>
      <c r="DA825" s="14" t="s">
        <v>537</v>
      </c>
      <c r="DB825" s="14">
        <f>INDEX(属性投放!$AN$7:$AN$58,CU825)</f>
        <v>2</v>
      </c>
      <c r="DC825" s="14">
        <f t="shared" si="1076"/>
        <v>41</v>
      </c>
      <c r="DD825" s="14">
        <f>INDEX(属性投放!$AO$7:$AO$58,DC825)</f>
        <v>120</v>
      </c>
      <c r="DE825" s="14" t="s">
        <v>538</v>
      </c>
      <c r="DF825" s="14">
        <f>INDEX(属性投放!$BK$6:$BK$85,(CV825-2)*20+CZ825)</f>
        <v>650</v>
      </c>
      <c r="DG825" s="14">
        <f>SUMIFS(DF$5:DF825,$CT$5:$CT825,"="&amp;$CT825)</f>
        <v>8735</v>
      </c>
      <c r="DH825" s="14" t="s">
        <v>539</v>
      </c>
      <c r="DI825" s="14">
        <f>INDEX(属性投放!$BL$6:$BL$85,(CV825-2)*20+CZ825)</f>
        <v>325</v>
      </c>
      <c r="DJ825" s="14">
        <f>SUMIFS(DI$5:DI825,$CT$5:$CT825,"="&amp;$CT825)</f>
        <v>4377</v>
      </c>
      <c r="DK825" s="14" t="s">
        <v>540</v>
      </c>
      <c r="DL825" s="14">
        <f>INDEX(属性投放!$BM$6:$BM$85,(CV825-2)*20+CZ825)</f>
        <v>6500</v>
      </c>
      <c r="DM825" s="14">
        <f>SUMIFS(DL$5:DL825,$CT$5:$CT825,"="&amp;$CT825)</f>
        <v>82785</v>
      </c>
      <c r="DR825" s="30"/>
      <c r="DS825" s="30"/>
      <c r="DW825" s="30"/>
      <c r="DX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</row>
    <row r="826" spans="97:163" ht="16.5" x14ac:dyDescent="0.2">
      <c r="CS826" s="13">
        <v>822</v>
      </c>
      <c r="CT826" s="13">
        <f t="shared" si="1077"/>
        <v>16</v>
      </c>
      <c r="CU826" s="13">
        <f t="shared" si="1078"/>
        <v>42</v>
      </c>
      <c r="CV826" s="14">
        <f t="shared" si="1079"/>
        <v>4</v>
      </c>
      <c r="CW826" s="14">
        <f t="shared" si="1080"/>
        <v>1102016</v>
      </c>
      <c r="CX826" s="14" t="str">
        <f>INDEX($O$6:$O$50,CT826)&amp;"-"&amp;INDEX(属性投放!$AB$7:$AB$50,CZ826)&amp;"-魂火-"&amp;DB826</f>
        <v>西方龙-大焦热+1-魂火-3</v>
      </c>
      <c r="CY826" s="25" t="s">
        <v>142</v>
      </c>
      <c r="CZ826" s="14">
        <f>INDEX(属性投放!$AM$7:$AM$58,CU826)</f>
        <v>17</v>
      </c>
      <c r="DA826" s="14" t="s">
        <v>537</v>
      </c>
      <c r="DB826" s="14">
        <f>INDEX(属性投放!$AN$7:$AN$58,CU826)</f>
        <v>3</v>
      </c>
      <c r="DC826" s="14">
        <f t="shared" si="1076"/>
        <v>42</v>
      </c>
      <c r="DD826" s="14">
        <f>INDEX(属性投放!$AO$7:$AO$58,DC826)</f>
        <v>123</v>
      </c>
      <c r="DE826" s="14" t="s">
        <v>538</v>
      </c>
      <c r="DF826" s="14">
        <f>INDEX(属性投放!$BK$6:$BK$85,(CV826-2)*20+CZ826)</f>
        <v>650</v>
      </c>
      <c r="DG826" s="14">
        <f>SUMIFS(DF$5:DF826,$CT$5:$CT826,"="&amp;$CT826)</f>
        <v>9385</v>
      </c>
      <c r="DH826" s="14" t="s">
        <v>539</v>
      </c>
      <c r="DI826" s="14">
        <f>INDEX(属性投放!$BL$6:$BL$85,(CV826-2)*20+CZ826)</f>
        <v>325</v>
      </c>
      <c r="DJ826" s="14">
        <f>SUMIFS(DI$5:DI826,$CT$5:$CT826,"="&amp;$CT826)</f>
        <v>4702</v>
      </c>
      <c r="DK826" s="14" t="s">
        <v>540</v>
      </c>
      <c r="DL826" s="14">
        <f>INDEX(属性投放!$BM$6:$BM$85,(CV826-2)*20+CZ826)</f>
        <v>6500</v>
      </c>
      <c r="DM826" s="14">
        <f>SUMIFS(DL$5:DL826,$CT$5:$CT826,"="&amp;$CT826)</f>
        <v>89285</v>
      </c>
      <c r="DR826" s="30"/>
      <c r="DS826" s="30"/>
      <c r="DW826" s="30"/>
      <c r="DX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</row>
    <row r="827" spans="97:163" ht="16.5" x14ac:dyDescent="0.2">
      <c r="CS827" s="13">
        <v>823</v>
      </c>
      <c r="CT827" s="13">
        <f t="shared" si="1077"/>
        <v>16</v>
      </c>
      <c r="CU827" s="13">
        <f t="shared" si="1078"/>
        <v>43</v>
      </c>
      <c r="CV827" s="14">
        <f t="shared" si="1079"/>
        <v>4</v>
      </c>
      <c r="CW827" s="14">
        <f t="shared" si="1080"/>
        <v>1102016</v>
      </c>
      <c r="CX827" s="14" t="str">
        <f>INDEX($O$6:$O$50,CT827)&amp;"-"&amp;INDEX(属性投放!$AB$7:$AB$50,CZ827)&amp;"-魂火-"&amp;DB827</f>
        <v>西方龙-大焦热+2-魂火-1</v>
      </c>
      <c r="CY827" s="25" t="s">
        <v>142</v>
      </c>
      <c r="CZ827" s="14">
        <f>INDEX(属性投放!$AM$7:$AM$58,CU827)</f>
        <v>18</v>
      </c>
      <c r="DA827" s="14" t="s">
        <v>537</v>
      </c>
      <c r="DB827" s="14">
        <f>INDEX(属性投放!$AN$7:$AN$58,CU827)</f>
        <v>1</v>
      </c>
      <c r="DC827" s="14">
        <f t="shared" si="1076"/>
        <v>43</v>
      </c>
      <c r="DD827" s="14">
        <f>INDEX(属性投放!$AO$7:$AO$58,DC827)</f>
        <v>125</v>
      </c>
      <c r="DE827" s="14" t="s">
        <v>538</v>
      </c>
      <c r="DF827" s="14">
        <f>INDEX(属性投放!$BK$6:$BK$85,(CV827-2)*20+CZ827)</f>
        <v>750</v>
      </c>
      <c r="DG827" s="14">
        <f>SUMIFS(DF$5:DF827,$CT$5:$CT827,"="&amp;$CT827)</f>
        <v>10135</v>
      </c>
      <c r="DH827" s="14" t="s">
        <v>539</v>
      </c>
      <c r="DI827" s="14">
        <f>INDEX(属性投放!$BL$6:$BL$85,(CV827-2)*20+CZ827)</f>
        <v>375</v>
      </c>
      <c r="DJ827" s="14">
        <f>SUMIFS(DI$5:DI827,$CT$5:$CT827,"="&amp;$CT827)</f>
        <v>5077</v>
      </c>
      <c r="DK827" s="14" t="s">
        <v>540</v>
      </c>
      <c r="DL827" s="14">
        <f>INDEX(属性投放!$BM$6:$BM$85,(CV827-2)*20+CZ827)</f>
        <v>7500</v>
      </c>
      <c r="DM827" s="14">
        <f>SUMIFS(DL$5:DL827,$CT$5:$CT827,"="&amp;$CT827)</f>
        <v>96785</v>
      </c>
      <c r="DR827" s="30"/>
      <c r="DS827" s="30"/>
      <c r="DW827" s="30"/>
      <c r="DX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</row>
    <row r="828" spans="97:163" ht="16.5" x14ac:dyDescent="0.2">
      <c r="CS828" s="13">
        <v>824</v>
      </c>
      <c r="CT828" s="13">
        <f t="shared" si="1077"/>
        <v>16</v>
      </c>
      <c r="CU828" s="13">
        <f t="shared" si="1078"/>
        <v>44</v>
      </c>
      <c r="CV828" s="14">
        <f t="shared" si="1079"/>
        <v>4</v>
      </c>
      <c r="CW828" s="14">
        <f t="shared" si="1080"/>
        <v>1102016</v>
      </c>
      <c r="CX828" s="14" t="str">
        <f>INDEX($O$6:$O$50,CT828)&amp;"-"&amp;INDEX(属性投放!$AB$7:$AB$50,CZ828)&amp;"-魂火-"&amp;DB828</f>
        <v>西方龙-大焦热+2-魂火-2</v>
      </c>
      <c r="CY828" s="25" t="s">
        <v>142</v>
      </c>
      <c r="CZ828" s="14">
        <f>INDEX(属性投放!$AM$7:$AM$58,CU828)</f>
        <v>18</v>
      </c>
      <c r="DA828" s="14" t="s">
        <v>537</v>
      </c>
      <c r="DB828" s="14">
        <f>INDEX(属性投放!$AN$7:$AN$58,CU828)</f>
        <v>2</v>
      </c>
      <c r="DC828" s="14">
        <f t="shared" si="1076"/>
        <v>44</v>
      </c>
      <c r="DD828" s="14">
        <f>INDEX(属性投放!$AO$7:$AO$58,DC828)</f>
        <v>128</v>
      </c>
      <c r="DE828" s="14" t="s">
        <v>538</v>
      </c>
      <c r="DF828" s="14">
        <f>INDEX(属性投放!$BK$6:$BK$85,(CV828-2)*20+CZ828)</f>
        <v>750</v>
      </c>
      <c r="DG828" s="14">
        <f>SUMIFS(DF$5:DF828,$CT$5:$CT828,"="&amp;$CT828)</f>
        <v>10885</v>
      </c>
      <c r="DH828" s="14" t="s">
        <v>539</v>
      </c>
      <c r="DI828" s="14">
        <f>INDEX(属性投放!$BL$6:$BL$85,(CV828-2)*20+CZ828)</f>
        <v>375</v>
      </c>
      <c r="DJ828" s="14">
        <f>SUMIFS(DI$5:DI828,$CT$5:$CT828,"="&amp;$CT828)</f>
        <v>5452</v>
      </c>
      <c r="DK828" s="14" t="s">
        <v>540</v>
      </c>
      <c r="DL828" s="14">
        <f>INDEX(属性投放!$BM$6:$BM$85,(CV828-2)*20+CZ828)</f>
        <v>7500</v>
      </c>
      <c r="DM828" s="14">
        <f>SUMIFS(DL$5:DL828,$CT$5:$CT828,"="&amp;$CT828)</f>
        <v>104285</v>
      </c>
      <c r="DR828" s="30"/>
      <c r="DS828" s="30"/>
      <c r="DW828" s="30"/>
      <c r="DX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</row>
    <row r="829" spans="97:163" ht="16.5" x14ac:dyDescent="0.2">
      <c r="CS829" s="13">
        <v>825</v>
      </c>
      <c r="CT829" s="13">
        <f t="shared" si="1077"/>
        <v>16</v>
      </c>
      <c r="CU829" s="13">
        <f t="shared" si="1078"/>
        <v>45</v>
      </c>
      <c r="CV829" s="14">
        <f t="shared" si="1079"/>
        <v>4</v>
      </c>
      <c r="CW829" s="14">
        <f t="shared" si="1080"/>
        <v>1102016</v>
      </c>
      <c r="CX829" s="14" t="str">
        <f>INDEX($O$6:$O$50,CT829)&amp;"-"&amp;INDEX(属性投放!$AB$7:$AB$50,CZ829)&amp;"-魂火-"&amp;DB829</f>
        <v>西方龙-大焦热+2-魂火-3</v>
      </c>
      <c r="CY829" s="25" t="s">
        <v>142</v>
      </c>
      <c r="CZ829" s="14">
        <f>INDEX(属性投放!$AM$7:$AM$58,CU829)</f>
        <v>18</v>
      </c>
      <c r="DA829" s="14" t="s">
        <v>537</v>
      </c>
      <c r="DB829" s="14">
        <f>INDEX(属性投放!$AN$7:$AN$58,CU829)</f>
        <v>3</v>
      </c>
      <c r="DC829" s="14">
        <f t="shared" si="1076"/>
        <v>45</v>
      </c>
      <c r="DD829" s="14">
        <f>INDEX(属性投放!$AO$7:$AO$58,DC829)</f>
        <v>130</v>
      </c>
      <c r="DE829" s="14" t="s">
        <v>538</v>
      </c>
      <c r="DF829" s="14">
        <f>INDEX(属性投放!$BK$6:$BK$85,(CV829-2)*20+CZ829)</f>
        <v>750</v>
      </c>
      <c r="DG829" s="14">
        <f>SUMIFS(DF$5:DF829,$CT$5:$CT829,"="&amp;$CT829)</f>
        <v>11635</v>
      </c>
      <c r="DH829" s="14" t="s">
        <v>539</v>
      </c>
      <c r="DI829" s="14">
        <f>INDEX(属性投放!$BL$6:$BL$85,(CV829-2)*20+CZ829)</f>
        <v>375</v>
      </c>
      <c r="DJ829" s="14">
        <f>SUMIFS(DI$5:DI829,$CT$5:$CT829,"="&amp;$CT829)</f>
        <v>5827</v>
      </c>
      <c r="DK829" s="14" t="s">
        <v>540</v>
      </c>
      <c r="DL829" s="14">
        <f>INDEX(属性投放!$BM$6:$BM$85,(CV829-2)*20+CZ829)</f>
        <v>7500</v>
      </c>
      <c r="DM829" s="14">
        <f>SUMIFS(DL$5:DL829,$CT$5:$CT829,"="&amp;$CT829)</f>
        <v>111785</v>
      </c>
      <c r="DR829" s="30"/>
      <c r="DS829" s="30"/>
      <c r="DW829" s="30"/>
      <c r="DX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</row>
    <row r="830" spans="97:163" ht="16.5" x14ac:dyDescent="0.2">
      <c r="CS830" s="13">
        <v>826</v>
      </c>
      <c r="CT830" s="13">
        <f t="shared" si="1077"/>
        <v>16</v>
      </c>
      <c r="CU830" s="13">
        <f t="shared" si="1078"/>
        <v>46</v>
      </c>
      <c r="CV830" s="14">
        <f t="shared" si="1079"/>
        <v>4</v>
      </c>
      <c r="CW830" s="14">
        <f t="shared" si="1080"/>
        <v>1102016</v>
      </c>
      <c r="CX830" s="14" t="str">
        <f>INDEX($O$6:$O$50,CT830)&amp;"-"&amp;INDEX(属性投放!$AB$7:$AB$50,CZ830)&amp;"-魂火-"&amp;DB830</f>
        <v>西方龙-无间-魂火-1</v>
      </c>
      <c r="CY830" s="25" t="s">
        <v>142</v>
      </c>
      <c r="CZ830" s="14">
        <f>INDEX(属性投放!$AM$7:$AM$58,CU830)</f>
        <v>19</v>
      </c>
      <c r="DA830" s="14" t="s">
        <v>537</v>
      </c>
      <c r="DB830" s="14">
        <f>INDEX(属性投放!$AN$7:$AN$58,CU830)</f>
        <v>1</v>
      </c>
      <c r="DC830" s="14">
        <f t="shared" si="1076"/>
        <v>46</v>
      </c>
      <c r="DD830" s="14">
        <f>INDEX(属性投放!$AO$7:$AO$58,DC830)</f>
        <v>133</v>
      </c>
      <c r="DE830" s="14" t="s">
        <v>538</v>
      </c>
      <c r="DF830" s="14">
        <f>INDEX(属性投放!$BK$6:$BK$85,(CV830-2)*20+CZ830)</f>
        <v>900</v>
      </c>
      <c r="DG830" s="14">
        <f>SUMIFS(DF$5:DF830,$CT$5:$CT830,"="&amp;$CT830)</f>
        <v>12535</v>
      </c>
      <c r="DH830" s="14" t="s">
        <v>539</v>
      </c>
      <c r="DI830" s="14">
        <f>INDEX(属性投放!$BL$6:$BL$85,(CV830-2)*20+CZ830)</f>
        <v>450</v>
      </c>
      <c r="DJ830" s="14">
        <f>SUMIFS(DI$5:DI830,$CT$5:$CT830,"="&amp;$CT830)</f>
        <v>6277</v>
      </c>
      <c r="DK830" s="14" t="s">
        <v>540</v>
      </c>
      <c r="DL830" s="14">
        <f>INDEX(属性投放!$BM$6:$BM$85,(CV830-2)*20+CZ830)</f>
        <v>9000</v>
      </c>
      <c r="DM830" s="14">
        <f>SUMIFS(DL$5:DL830,$CT$5:$CT830,"="&amp;$CT830)</f>
        <v>120785</v>
      </c>
      <c r="DR830" s="30"/>
      <c r="DS830" s="30"/>
      <c r="DW830" s="30"/>
      <c r="DX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</row>
    <row r="831" spans="97:163" ht="16.5" x14ac:dyDescent="0.2">
      <c r="CS831" s="13">
        <v>827</v>
      </c>
      <c r="CT831" s="13">
        <f t="shared" si="1077"/>
        <v>16</v>
      </c>
      <c r="CU831" s="13">
        <f t="shared" si="1078"/>
        <v>47</v>
      </c>
      <c r="CV831" s="14">
        <f t="shared" si="1079"/>
        <v>4</v>
      </c>
      <c r="CW831" s="14">
        <f t="shared" si="1080"/>
        <v>1102016</v>
      </c>
      <c r="CX831" s="14" t="str">
        <f>INDEX($O$6:$O$50,CT831)&amp;"-"&amp;INDEX(属性投放!$AB$7:$AB$50,CZ831)&amp;"-魂火-"&amp;DB831</f>
        <v>西方龙-无间-魂火-2</v>
      </c>
      <c r="CY831" s="25" t="s">
        <v>142</v>
      </c>
      <c r="CZ831" s="14">
        <f>INDEX(属性投放!$AM$7:$AM$58,CU831)</f>
        <v>19</v>
      </c>
      <c r="DA831" s="14" t="s">
        <v>537</v>
      </c>
      <c r="DB831" s="14">
        <f>INDEX(属性投放!$AN$7:$AN$58,CU831)</f>
        <v>2</v>
      </c>
      <c r="DC831" s="14">
        <f t="shared" si="1076"/>
        <v>47</v>
      </c>
      <c r="DD831" s="14">
        <f>INDEX(属性投放!$AO$7:$AO$58,DC831)</f>
        <v>135</v>
      </c>
      <c r="DE831" s="14" t="s">
        <v>538</v>
      </c>
      <c r="DF831" s="14">
        <f>INDEX(属性投放!$BK$6:$BK$85,(CV831-2)*20+CZ831)</f>
        <v>900</v>
      </c>
      <c r="DG831" s="14">
        <f>SUMIFS(DF$5:DF831,$CT$5:$CT831,"="&amp;$CT831)</f>
        <v>13435</v>
      </c>
      <c r="DH831" s="14" t="s">
        <v>539</v>
      </c>
      <c r="DI831" s="14">
        <f>INDEX(属性投放!$BL$6:$BL$85,(CV831-2)*20+CZ831)</f>
        <v>450</v>
      </c>
      <c r="DJ831" s="14">
        <f>SUMIFS(DI$5:DI831,$CT$5:$CT831,"="&amp;$CT831)</f>
        <v>6727</v>
      </c>
      <c r="DK831" s="14" t="s">
        <v>540</v>
      </c>
      <c r="DL831" s="14">
        <f>INDEX(属性投放!$BM$6:$BM$85,(CV831-2)*20+CZ831)</f>
        <v>9000</v>
      </c>
      <c r="DM831" s="14">
        <f>SUMIFS(DL$5:DL831,$CT$5:$CT831,"="&amp;$CT831)</f>
        <v>129785</v>
      </c>
      <c r="DR831" s="30"/>
      <c r="DS831" s="30"/>
      <c r="DW831" s="30"/>
      <c r="DX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</row>
    <row r="832" spans="97:163" ht="16.5" x14ac:dyDescent="0.2">
      <c r="CS832" s="13">
        <v>828</v>
      </c>
      <c r="CT832" s="13">
        <f t="shared" si="1077"/>
        <v>16</v>
      </c>
      <c r="CU832" s="13">
        <f t="shared" si="1078"/>
        <v>48</v>
      </c>
      <c r="CV832" s="14">
        <f t="shared" si="1079"/>
        <v>4</v>
      </c>
      <c r="CW832" s="14">
        <f t="shared" si="1080"/>
        <v>1102016</v>
      </c>
      <c r="CX832" s="14" t="str">
        <f>INDEX($O$6:$O$50,CT832)&amp;"-"&amp;INDEX(属性投放!$AB$7:$AB$50,CZ832)&amp;"-魂火-"&amp;DB832</f>
        <v>西方龙-无间-魂火-3</v>
      </c>
      <c r="CY832" s="25" t="s">
        <v>142</v>
      </c>
      <c r="CZ832" s="14">
        <f>INDEX(属性投放!$AM$7:$AM$58,CU832)</f>
        <v>19</v>
      </c>
      <c r="DA832" s="14" t="s">
        <v>537</v>
      </c>
      <c r="DB832" s="14">
        <f>INDEX(属性投放!$AN$7:$AN$58,CU832)</f>
        <v>3</v>
      </c>
      <c r="DC832" s="14">
        <f t="shared" si="1076"/>
        <v>48</v>
      </c>
      <c r="DD832" s="14">
        <f>INDEX(属性投放!$AO$7:$AO$58,DC832)</f>
        <v>138</v>
      </c>
      <c r="DE832" s="14" t="s">
        <v>538</v>
      </c>
      <c r="DF832" s="14">
        <f>INDEX(属性投放!$BK$6:$BK$85,(CV832-2)*20+CZ832)</f>
        <v>900</v>
      </c>
      <c r="DG832" s="14">
        <f>SUMIFS(DF$5:DF832,$CT$5:$CT832,"="&amp;$CT832)</f>
        <v>14335</v>
      </c>
      <c r="DH832" s="14" t="s">
        <v>539</v>
      </c>
      <c r="DI832" s="14">
        <f>INDEX(属性投放!$BL$6:$BL$85,(CV832-2)*20+CZ832)</f>
        <v>450</v>
      </c>
      <c r="DJ832" s="14">
        <f>SUMIFS(DI$5:DI832,$CT$5:$CT832,"="&amp;$CT832)</f>
        <v>7177</v>
      </c>
      <c r="DK832" s="14" t="s">
        <v>540</v>
      </c>
      <c r="DL832" s="14">
        <f>INDEX(属性投放!$BM$6:$BM$85,(CV832-2)*20+CZ832)</f>
        <v>9000</v>
      </c>
      <c r="DM832" s="14">
        <f>SUMIFS(DL$5:DL832,$CT$5:$CT832,"="&amp;$CT832)</f>
        <v>138785</v>
      </c>
      <c r="DR832" s="30"/>
      <c r="DS832" s="30"/>
      <c r="DW832" s="30"/>
      <c r="DX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</row>
    <row r="833" spans="97:163" ht="16.5" x14ac:dyDescent="0.2">
      <c r="CS833" s="13">
        <v>829</v>
      </c>
      <c r="CT833" s="13">
        <f t="shared" si="1077"/>
        <v>16</v>
      </c>
      <c r="CU833" s="13">
        <f t="shared" si="1078"/>
        <v>49</v>
      </c>
      <c r="CV833" s="14">
        <f t="shared" si="1079"/>
        <v>4</v>
      </c>
      <c r="CW833" s="14">
        <f t="shared" si="1080"/>
        <v>1102016</v>
      </c>
      <c r="CX833" s="14" t="str">
        <f>INDEX($O$6:$O$50,CT833)&amp;"-"&amp;INDEX(属性投放!$AB$7:$AB$50,CZ833)&amp;"-魂火-"&amp;DB833</f>
        <v>西方龙-无间+1-魂火-1</v>
      </c>
      <c r="CY833" s="25" t="s">
        <v>142</v>
      </c>
      <c r="CZ833" s="14">
        <f>INDEX(属性投放!$AM$7:$AM$58,CU833)</f>
        <v>20</v>
      </c>
      <c r="DA833" s="14" t="s">
        <v>537</v>
      </c>
      <c r="DB833" s="14">
        <f>INDEX(属性投放!$AN$7:$AN$58,CU833)</f>
        <v>1</v>
      </c>
      <c r="DC833" s="14">
        <f t="shared" si="1076"/>
        <v>49</v>
      </c>
      <c r="DD833" s="14">
        <f>INDEX(属性投放!$AO$7:$AO$58,DC833)</f>
        <v>140</v>
      </c>
      <c r="DE833" s="14" t="s">
        <v>538</v>
      </c>
      <c r="DF833" s="14">
        <f>INDEX(属性投放!$BK$6:$BK$85,(CV833-2)*20+CZ833)</f>
        <v>1000</v>
      </c>
      <c r="DG833" s="14">
        <f>SUMIFS(DF$5:DF833,$CT$5:$CT833,"="&amp;$CT833)</f>
        <v>15335</v>
      </c>
      <c r="DH833" s="14" t="s">
        <v>539</v>
      </c>
      <c r="DI833" s="14">
        <f>INDEX(属性投放!$BL$6:$BL$85,(CV833-2)*20+CZ833)</f>
        <v>500</v>
      </c>
      <c r="DJ833" s="14">
        <f>SUMIFS(DI$5:DI833,$CT$5:$CT833,"="&amp;$CT833)</f>
        <v>7677</v>
      </c>
      <c r="DK833" s="14" t="s">
        <v>540</v>
      </c>
      <c r="DL833" s="14">
        <f>INDEX(属性投放!$BM$6:$BM$85,(CV833-2)*20+CZ833)</f>
        <v>10000</v>
      </c>
      <c r="DM833" s="14">
        <f>SUMIFS(DL$5:DL833,$CT$5:$CT833,"="&amp;$CT833)</f>
        <v>148785</v>
      </c>
      <c r="DR833" s="30"/>
      <c r="DS833" s="30"/>
      <c r="DW833" s="30"/>
      <c r="DX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</row>
    <row r="834" spans="97:163" ht="16.5" x14ac:dyDescent="0.2">
      <c r="CS834" s="13">
        <v>830</v>
      </c>
      <c r="CT834" s="13">
        <f t="shared" si="1077"/>
        <v>16</v>
      </c>
      <c r="CU834" s="13">
        <f t="shared" si="1078"/>
        <v>50</v>
      </c>
      <c r="CV834" s="14">
        <f t="shared" si="1079"/>
        <v>4</v>
      </c>
      <c r="CW834" s="14">
        <f t="shared" si="1080"/>
        <v>1102016</v>
      </c>
      <c r="CX834" s="14" t="str">
        <f>INDEX($O$6:$O$50,CT834)&amp;"-"&amp;INDEX(属性投放!$AB$7:$AB$50,CZ834)&amp;"-魂火-"&amp;DB834</f>
        <v>西方龙-无间+1-魂火-2</v>
      </c>
      <c r="CY834" s="25" t="s">
        <v>142</v>
      </c>
      <c r="CZ834" s="14">
        <f>INDEX(属性投放!$AM$7:$AM$58,CU834)</f>
        <v>20</v>
      </c>
      <c r="DA834" s="14" t="s">
        <v>537</v>
      </c>
      <c r="DB834" s="14">
        <f>INDEX(属性投放!$AN$7:$AN$58,CU834)</f>
        <v>2</v>
      </c>
      <c r="DC834" s="14">
        <f t="shared" si="1076"/>
        <v>50</v>
      </c>
      <c r="DD834" s="14">
        <f>INDEX(属性投放!$AO$7:$AO$58,DC834)</f>
        <v>143</v>
      </c>
      <c r="DE834" s="14" t="s">
        <v>538</v>
      </c>
      <c r="DF834" s="14">
        <f>INDEX(属性投放!$BK$6:$BK$85,(CV834-2)*20+CZ834)</f>
        <v>1000</v>
      </c>
      <c r="DG834" s="14">
        <f>SUMIFS(DF$5:DF834,$CT$5:$CT834,"="&amp;$CT834)</f>
        <v>16335</v>
      </c>
      <c r="DH834" s="14" t="s">
        <v>539</v>
      </c>
      <c r="DI834" s="14">
        <f>INDEX(属性投放!$BL$6:$BL$85,(CV834-2)*20+CZ834)</f>
        <v>500</v>
      </c>
      <c r="DJ834" s="14">
        <f>SUMIFS(DI$5:DI834,$CT$5:$CT834,"="&amp;$CT834)</f>
        <v>8177</v>
      </c>
      <c r="DK834" s="14" t="s">
        <v>540</v>
      </c>
      <c r="DL834" s="14">
        <f>INDEX(属性投放!$BM$6:$BM$85,(CV834-2)*20+CZ834)</f>
        <v>10000</v>
      </c>
      <c r="DM834" s="14">
        <f>SUMIFS(DL$5:DL834,$CT$5:$CT834,"="&amp;$CT834)</f>
        <v>158785</v>
      </c>
      <c r="DR834" s="30"/>
      <c r="DS834" s="30"/>
      <c r="DW834" s="30"/>
      <c r="DX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</row>
    <row r="835" spans="97:163" ht="16.5" x14ac:dyDescent="0.2">
      <c r="CS835" s="13">
        <v>831</v>
      </c>
      <c r="CT835" s="13">
        <f t="shared" si="1077"/>
        <v>16</v>
      </c>
      <c r="CU835" s="13">
        <f t="shared" si="1078"/>
        <v>51</v>
      </c>
      <c r="CV835" s="14">
        <f t="shared" si="1079"/>
        <v>4</v>
      </c>
      <c r="CW835" s="14">
        <f t="shared" si="1080"/>
        <v>1102016</v>
      </c>
      <c r="CX835" s="14" t="str">
        <f>INDEX($O$6:$O$50,CT835)&amp;"-"&amp;INDEX(属性投放!$AB$7:$AB$50,CZ835)&amp;"-魂火-"&amp;DB835</f>
        <v>西方龙-无间+1-魂火-3</v>
      </c>
      <c r="CY835" s="25" t="s">
        <v>142</v>
      </c>
      <c r="CZ835" s="14">
        <f>INDEX(属性投放!$AM$7:$AM$58,CU835)</f>
        <v>20</v>
      </c>
      <c r="DA835" s="14" t="s">
        <v>537</v>
      </c>
      <c r="DB835" s="14">
        <f>INDEX(属性投放!$AN$7:$AN$58,CU835)</f>
        <v>3</v>
      </c>
      <c r="DC835" s="14">
        <f t="shared" si="1076"/>
        <v>51</v>
      </c>
      <c r="DD835" s="14">
        <f>INDEX(属性投放!$AO$7:$AO$58,DC835)</f>
        <v>145</v>
      </c>
      <c r="DE835" s="14" t="s">
        <v>538</v>
      </c>
      <c r="DF835" s="14">
        <f>INDEX(属性投放!$BK$6:$BK$85,(CV835-2)*20+CZ835)</f>
        <v>1000</v>
      </c>
      <c r="DG835" s="14">
        <f>SUMIFS(DF$5:DF835,$CT$5:$CT835,"="&amp;$CT835)</f>
        <v>17335</v>
      </c>
      <c r="DH835" s="14" t="s">
        <v>539</v>
      </c>
      <c r="DI835" s="14">
        <f>INDEX(属性投放!$BL$6:$BL$85,(CV835-2)*20+CZ835)</f>
        <v>500</v>
      </c>
      <c r="DJ835" s="14">
        <f>SUMIFS(DI$5:DI835,$CT$5:$CT835,"="&amp;$CT835)</f>
        <v>8677</v>
      </c>
      <c r="DK835" s="14" t="s">
        <v>540</v>
      </c>
      <c r="DL835" s="14">
        <f>INDEX(属性投放!$BM$6:$BM$85,(CV835-2)*20+CZ835)</f>
        <v>10000</v>
      </c>
      <c r="DM835" s="14">
        <f>SUMIFS(DL$5:DL835,$CT$5:$CT835,"="&amp;$CT835)</f>
        <v>168785</v>
      </c>
      <c r="DR835" s="30"/>
      <c r="DS835" s="30"/>
      <c r="DW835" s="30"/>
      <c r="DX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</row>
    <row r="836" spans="97:163" ht="16.5" x14ac:dyDescent="0.2">
      <c r="CS836" s="13">
        <v>832</v>
      </c>
      <c r="CT836" s="13">
        <f t="shared" si="1077"/>
        <v>16</v>
      </c>
      <c r="CU836" s="13">
        <f t="shared" si="1078"/>
        <v>52</v>
      </c>
      <c r="CV836" s="14">
        <f t="shared" si="1079"/>
        <v>4</v>
      </c>
      <c r="CW836" s="14">
        <f t="shared" si="1080"/>
        <v>1102016</v>
      </c>
      <c r="CX836" s="14" t="str">
        <f>INDEX($O$6:$O$50,CT836)&amp;"-"&amp;INDEX(属性投放!$AB$7:$AB$50,CZ836)&amp;"-魂火-"&amp;DB836</f>
        <v>西方龙-无间+1-魂火-4</v>
      </c>
      <c r="CY836" s="25" t="s">
        <v>142</v>
      </c>
      <c r="CZ836" s="14">
        <f>INDEX(属性投放!$AM$7:$AM$58,CU836)</f>
        <v>20</v>
      </c>
      <c r="DA836" s="14" t="s">
        <v>537</v>
      </c>
      <c r="DB836" s="14">
        <f>INDEX(属性投放!$AN$7:$AN$58,CU836)</f>
        <v>4</v>
      </c>
      <c r="DC836" s="14">
        <f t="shared" si="1076"/>
        <v>52</v>
      </c>
      <c r="DD836" s="14">
        <f>INDEX(属性投放!$AO$7:$AO$58,DC836)</f>
        <v>148</v>
      </c>
      <c r="DE836" s="14" t="s">
        <v>538</v>
      </c>
      <c r="DF836" s="14">
        <f>INDEX(属性投放!$BK$6:$BK$85,(CV836-2)*20+CZ836)</f>
        <v>1000</v>
      </c>
      <c r="DG836" s="14">
        <f>SUMIFS(DF$5:DF836,$CT$5:$CT836,"="&amp;$CT836)</f>
        <v>18335</v>
      </c>
      <c r="DH836" s="14" t="s">
        <v>539</v>
      </c>
      <c r="DI836" s="14">
        <f>INDEX(属性投放!$BL$6:$BL$85,(CV836-2)*20+CZ836)</f>
        <v>500</v>
      </c>
      <c r="DJ836" s="14">
        <f>SUMIFS(DI$5:DI836,$CT$5:$CT836,"="&amp;$CT836)</f>
        <v>9177</v>
      </c>
      <c r="DK836" s="14" t="s">
        <v>540</v>
      </c>
      <c r="DL836" s="14">
        <f>INDEX(属性投放!$BM$6:$BM$85,(CV836-2)*20+CZ836)</f>
        <v>10000</v>
      </c>
      <c r="DM836" s="14">
        <f>SUMIFS(DL$5:DL836,$CT$5:$CT836,"="&amp;$CT836)</f>
        <v>178785</v>
      </c>
      <c r="DR836" s="30"/>
      <c r="DS836" s="30"/>
      <c r="DW836" s="30"/>
      <c r="DX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</row>
    <row r="837" spans="97:163" ht="16.5" x14ac:dyDescent="0.2">
      <c r="CS837" s="13">
        <v>833</v>
      </c>
      <c r="CT837" s="13">
        <f t="shared" si="1077"/>
        <v>17</v>
      </c>
      <c r="CU837" s="13">
        <f t="shared" si="1078"/>
        <v>1</v>
      </c>
      <c r="CV837" s="14">
        <f t="shared" si="1079"/>
        <v>3</v>
      </c>
      <c r="CW837" s="14">
        <f t="shared" si="1080"/>
        <v>1102017</v>
      </c>
      <c r="CX837" s="14" t="str">
        <f>INDEX($O$6:$O$50,CT837)&amp;"-"&amp;INDEX(属性投放!$AB$7:$AB$50,CZ837)&amp;"-魂火-"&amp;DB837</f>
        <v>飞廉-等活-魂火-1</v>
      </c>
      <c r="CY837" s="25" t="s">
        <v>142</v>
      </c>
      <c r="CZ837" s="14">
        <f>INDEX(属性投放!$AM$7:$AM$58,CU837)</f>
        <v>1</v>
      </c>
      <c r="DA837" s="14" t="s">
        <v>537</v>
      </c>
      <c r="DB837" s="14">
        <f>INDEX(属性投放!$AN$7:$AN$58,CU837)</f>
        <v>1</v>
      </c>
      <c r="DC837" s="14">
        <f t="shared" ref="DC837:DC900" si="1081">CU837</f>
        <v>1</v>
      </c>
      <c r="DD837" s="14">
        <f>INDEX(属性投放!$AO$7:$AO$58,DC837)</f>
        <v>3</v>
      </c>
      <c r="DE837" s="14" t="s">
        <v>538</v>
      </c>
      <c r="DF837" s="14">
        <f>INDEX(属性投放!$BK$6:$BK$85,(CV837-2)*20+CZ837)</f>
        <v>20</v>
      </c>
      <c r="DG837" s="14">
        <f>SUMIFS(DF$5:DF837,$CT$5:$CT837,"="&amp;$CT837)</f>
        <v>20</v>
      </c>
      <c r="DH837" s="14" t="s">
        <v>539</v>
      </c>
      <c r="DI837" s="14">
        <f>INDEX(属性投放!$BL$6:$BL$85,(CV837-2)*20+CZ837)</f>
        <v>10</v>
      </c>
      <c r="DJ837" s="14">
        <f>SUMIFS(DI$5:DI837,$CT$5:$CT837,"="&amp;$CT837)</f>
        <v>10</v>
      </c>
      <c r="DK837" s="14" t="s">
        <v>540</v>
      </c>
      <c r="DL837" s="14">
        <f>INDEX(属性投放!$BM$6:$BM$85,(CV837-2)*20+CZ837)</f>
        <v>120</v>
      </c>
      <c r="DM837" s="14">
        <f>SUMIFS(DL$5:DL837,$CT$5:$CT837,"="&amp;$CT837)</f>
        <v>120</v>
      </c>
      <c r="DR837" s="30"/>
      <c r="DS837" s="30"/>
      <c r="DW837" s="30"/>
      <c r="DX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</row>
    <row r="838" spans="97:163" ht="16.5" x14ac:dyDescent="0.2">
      <c r="CS838" s="13">
        <v>834</v>
      </c>
      <c r="CT838" s="13">
        <f t="shared" ref="CT838:CT901" si="1082">MATCH(CS838-1,$U$5:$U$36,1)</f>
        <v>17</v>
      </c>
      <c r="CU838" s="13">
        <f t="shared" ref="CU838:CU901" si="1083">CS838-(CT838-1)*52</f>
        <v>2</v>
      </c>
      <c r="CV838" s="14">
        <f t="shared" ref="CV838:CV901" si="1084">INDEX($Q$6:$Q$50,CT838)</f>
        <v>3</v>
      </c>
      <c r="CW838" s="14">
        <f t="shared" ref="CW838:CW901" si="1085">INDEX($N$6:$N$50,CT838)</f>
        <v>1102017</v>
      </c>
      <c r="CX838" s="14" t="str">
        <f>INDEX($O$6:$O$50,CT838)&amp;"-"&amp;INDEX(属性投放!$AB$7:$AB$50,CZ838)&amp;"-魂火-"&amp;DB838</f>
        <v>飞廉-黑绳-魂火-1</v>
      </c>
      <c r="CY838" s="25" t="s">
        <v>142</v>
      </c>
      <c r="CZ838" s="14">
        <f>INDEX(属性投放!$AM$7:$AM$58,CU838)</f>
        <v>2</v>
      </c>
      <c r="DA838" s="14" t="s">
        <v>537</v>
      </c>
      <c r="DB838" s="14">
        <f>INDEX(属性投放!$AN$7:$AN$58,CU838)</f>
        <v>1</v>
      </c>
      <c r="DC838" s="14">
        <f t="shared" si="1081"/>
        <v>2</v>
      </c>
      <c r="DD838" s="14">
        <f>INDEX(属性投放!$AO$7:$AO$58,DC838)</f>
        <v>8</v>
      </c>
      <c r="DE838" s="14" t="s">
        <v>538</v>
      </c>
      <c r="DF838" s="14">
        <f>INDEX(属性投放!$BK$6:$BK$85,(CV838-2)*20+CZ838)</f>
        <v>25</v>
      </c>
      <c r="DG838" s="14">
        <f>SUMIFS(DF$5:DF838,$CT$5:$CT838,"="&amp;$CT838)</f>
        <v>45</v>
      </c>
      <c r="DH838" s="14" t="s">
        <v>539</v>
      </c>
      <c r="DI838" s="14">
        <f>INDEX(属性投放!$BL$6:$BL$85,(CV838-2)*20+CZ838)</f>
        <v>13</v>
      </c>
      <c r="DJ838" s="14">
        <f>SUMIFS(DI$5:DI838,$CT$5:$CT838,"="&amp;$CT838)</f>
        <v>23</v>
      </c>
      <c r="DK838" s="14" t="s">
        <v>540</v>
      </c>
      <c r="DL838" s="14">
        <f>INDEX(属性投放!$BM$6:$BM$85,(CV838-2)*20+CZ838)</f>
        <v>150</v>
      </c>
      <c r="DM838" s="14">
        <f>SUMIFS(DL$5:DL838,$CT$5:$CT838,"="&amp;$CT838)</f>
        <v>270</v>
      </c>
      <c r="DR838" s="30"/>
      <c r="DS838" s="30"/>
      <c r="DW838" s="30"/>
      <c r="DX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</row>
    <row r="839" spans="97:163" ht="16.5" x14ac:dyDescent="0.2">
      <c r="CS839" s="13">
        <v>835</v>
      </c>
      <c r="CT839" s="13">
        <f t="shared" si="1082"/>
        <v>17</v>
      </c>
      <c r="CU839" s="13">
        <f t="shared" si="1083"/>
        <v>3</v>
      </c>
      <c r="CV839" s="14">
        <f t="shared" si="1084"/>
        <v>3</v>
      </c>
      <c r="CW839" s="14">
        <f t="shared" si="1085"/>
        <v>1102017</v>
      </c>
      <c r="CX839" s="14" t="str">
        <f>INDEX($O$6:$O$50,CT839)&amp;"-"&amp;INDEX(属性投放!$AB$7:$AB$50,CZ839)&amp;"-魂火-"&amp;DB839</f>
        <v>飞廉-黑绳-魂火-2</v>
      </c>
      <c r="CY839" s="25" t="s">
        <v>142</v>
      </c>
      <c r="CZ839" s="14">
        <f>INDEX(属性投放!$AM$7:$AM$58,CU839)</f>
        <v>2</v>
      </c>
      <c r="DA839" s="14" t="s">
        <v>537</v>
      </c>
      <c r="DB839" s="14">
        <f>INDEX(属性投放!$AN$7:$AN$58,CU839)</f>
        <v>2</v>
      </c>
      <c r="DC839" s="14">
        <f t="shared" si="1081"/>
        <v>3</v>
      </c>
      <c r="DD839" s="14">
        <f>INDEX(属性投放!$AO$7:$AO$58,DC839)</f>
        <v>13</v>
      </c>
      <c r="DE839" s="14" t="s">
        <v>538</v>
      </c>
      <c r="DF839" s="14">
        <f>INDEX(属性投放!$BK$6:$BK$85,(CV839-2)*20+CZ839)</f>
        <v>25</v>
      </c>
      <c r="DG839" s="14">
        <f>SUMIFS(DF$5:DF839,$CT$5:$CT839,"="&amp;$CT839)</f>
        <v>70</v>
      </c>
      <c r="DH839" s="14" t="s">
        <v>539</v>
      </c>
      <c r="DI839" s="14">
        <f>INDEX(属性投放!$BL$6:$BL$85,(CV839-2)*20+CZ839)</f>
        <v>13</v>
      </c>
      <c r="DJ839" s="14">
        <f>SUMIFS(DI$5:DI839,$CT$5:$CT839,"="&amp;$CT839)</f>
        <v>36</v>
      </c>
      <c r="DK839" s="14" t="s">
        <v>540</v>
      </c>
      <c r="DL839" s="14">
        <f>INDEX(属性投放!$BM$6:$BM$85,(CV839-2)*20+CZ839)</f>
        <v>150</v>
      </c>
      <c r="DM839" s="14">
        <f>SUMIFS(DL$5:DL839,$CT$5:$CT839,"="&amp;$CT839)</f>
        <v>420</v>
      </c>
      <c r="DR839" s="30"/>
      <c r="DS839" s="30"/>
      <c r="DW839" s="30"/>
      <c r="DX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</row>
    <row r="840" spans="97:163" ht="16.5" x14ac:dyDescent="0.2">
      <c r="CS840" s="13">
        <v>836</v>
      </c>
      <c r="CT840" s="13">
        <f t="shared" si="1082"/>
        <v>17</v>
      </c>
      <c r="CU840" s="13">
        <f t="shared" si="1083"/>
        <v>4</v>
      </c>
      <c r="CV840" s="14">
        <f t="shared" si="1084"/>
        <v>3</v>
      </c>
      <c r="CW840" s="14">
        <f t="shared" si="1085"/>
        <v>1102017</v>
      </c>
      <c r="CX840" s="14" t="str">
        <f>INDEX($O$6:$O$50,CT840)&amp;"-"&amp;INDEX(属性投放!$AB$7:$AB$50,CZ840)&amp;"-魂火-"&amp;DB840</f>
        <v>飞廉-黑绳+1-魂火-1</v>
      </c>
      <c r="CY840" s="25" t="s">
        <v>142</v>
      </c>
      <c r="CZ840" s="14">
        <f>INDEX(属性投放!$AM$7:$AM$58,CU840)</f>
        <v>3</v>
      </c>
      <c r="DA840" s="14" t="s">
        <v>537</v>
      </c>
      <c r="DB840" s="14">
        <f>INDEX(属性投放!$AN$7:$AN$58,CU840)</f>
        <v>1</v>
      </c>
      <c r="DC840" s="14">
        <f t="shared" si="1081"/>
        <v>4</v>
      </c>
      <c r="DD840" s="14">
        <f>INDEX(属性投放!$AO$7:$AO$58,DC840)</f>
        <v>18</v>
      </c>
      <c r="DE840" s="14" t="s">
        <v>538</v>
      </c>
      <c r="DF840" s="14">
        <f>INDEX(属性投放!$BK$6:$BK$85,(CV840-2)*20+CZ840)</f>
        <v>30</v>
      </c>
      <c r="DG840" s="14">
        <f>SUMIFS(DF$5:DF840,$CT$5:$CT840,"="&amp;$CT840)</f>
        <v>100</v>
      </c>
      <c r="DH840" s="14" t="s">
        <v>539</v>
      </c>
      <c r="DI840" s="14">
        <f>INDEX(属性投放!$BL$6:$BL$85,(CV840-2)*20+CZ840)</f>
        <v>15</v>
      </c>
      <c r="DJ840" s="14">
        <f>SUMIFS(DI$5:DI840,$CT$5:$CT840,"="&amp;$CT840)</f>
        <v>51</v>
      </c>
      <c r="DK840" s="14" t="s">
        <v>540</v>
      </c>
      <c r="DL840" s="14">
        <f>INDEX(属性投放!$BM$6:$BM$85,(CV840-2)*20+CZ840)</f>
        <v>180</v>
      </c>
      <c r="DM840" s="14">
        <f>SUMIFS(DL$5:DL840,$CT$5:$CT840,"="&amp;$CT840)</f>
        <v>600</v>
      </c>
      <c r="DR840" s="30"/>
      <c r="DS840" s="30"/>
      <c r="DW840" s="30"/>
      <c r="DX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</row>
    <row r="841" spans="97:163" ht="16.5" x14ac:dyDescent="0.2">
      <c r="CS841" s="13">
        <v>837</v>
      </c>
      <c r="CT841" s="13">
        <f t="shared" si="1082"/>
        <v>17</v>
      </c>
      <c r="CU841" s="13">
        <f t="shared" si="1083"/>
        <v>5</v>
      </c>
      <c r="CV841" s="14">
        <f t="shared" si="1084"/>
        <v>3</v>
      </c>
      <c r="CW841" s="14">
        <f t="shared" si="1085"/>
        <v>1102017</v>
      </c>
      <c r="CX841" s="14" t="str">
        <f>INDEX($O$6:$O$50,CT841)&amp;"-"&amp;INDEX(属性投放!$AB$7:$AB$50,CZ841)&amp;"-魂火-"&amp;DB841</f>
        <v>飞廉-黑绳+1-魂火-2</v>
      </c>
      <c r="CY841" s="25" t="s">
        <v>142</v>
      </c>
      <c r="CZ841" s="14">
        <f>INDEX(属性投放!$AM$7:$AM$58,CU841)</f>
        <v>3</v>
      </c>
      <c r="DA841" s="14" t="s">
        <v>537</v>
      </c>
      <c r="DB841" s="14">
        <f>INDEX(属性投放!$AN$7:$AN$58,CU841)</f>
        <v>2</v>
      </c>
      <c r="DC841" s="14">
        <f t="shared" si="1081"/>
        <v>5</v>
      </c>
      <c r="DD841" s="14">
        <f>INDEX(属性投放!$AO$7:$AO$58,DC841)</f>
        <v>23</v>
      </c>
      <c r="DE841" s="14" t="s">
        <v>538</v>
      </c>
      <c r="DF841" s="14">
        <f>INDEX(属性投放!$BK$6:$BK$85,(CV841-2)*20+CZ841)</f>
        <v>30</v>
      </c>
      <c r="DG841" s="14">
        <f>SUMIFS(DF$5:DF841,$CT$5:$CT841,"="&amp;$CT841)</f>
        <v>130</v>
      </c>
      <c r="DH841" s="14" t="s">
        <v>539</v>
      </c>
      <c r="DI841" s="14">
        <f>INDEX(属性投放!$BL$6:$BL$85,(CV841-2)*20+CZ841)</f>
        <v>15</v>
      </c>
      <c r="DJ841" s="14">
        <f>SUMIFS(DI$5:DI841,$CT$5:$CT841,"="&amp;$CT841)</f>
        <v>66</v>
      </c>
      <c r="DK841" s="14" t="s">
        <v>540</v>
      </c>
      <c r="DL841" s="14">
        <f>INDEX(属性投放!$BM$6:$BM$85,(CV841-2)*20+CZ841)</f>
        <v>180</v>
      </c>
      <c r="DM841" s="14">
        <f>SUMIFS(DL$5:DL841,$CT$5:$CT841,"="&amp;$CT841)</f>
        <v>780</v>
      </c>
      <c r="DR841" s="30"/>
      <c r="DS841" s="30"/>
      <c r="DW841" s="30"/>
      <c r="DX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</row>
    <row r="842" spans="97:163" ht="16.5" x14ac:dyDescent="0.2">
      <c r="CS842" s="13">
        <v>838</v>
      </c>
      <c r="CT842" s="13">
        <f t="shared" si="1082"/>
        <v>17</v>
      </c>
      <c r="CU842" s="13">
        <f t="shared" si="1083"/>
        <v>6</v>
      </c>
      <c r="CV842" s="14">
        <f t="shared" si="1084"/>
        <v>3</v>
      </c>
      <c r="CW842" s="14">
        <f t="shared" si="1085"/>
        <v>1102017</v>
      </c>
      <c r="CX842" s="14" t="str">
        <f>INDEX($O$6:$O$50,CT842)&amp;"-"&amp;INDEX(属性投放!$AB$7:$AB$50,CZ842)&amp;"-魂火-"&amp;DB842</f>
        <v>飞廉-众合-魂火-1</v>
      </c>
      <c r="CY842" s="25" t="s">
        <v>142</v>
      </c>
      <c r="CZ842" s="14">
        <f>INDEX(属性投放!$AM$7:$AM$58,CU842)</f>
        <v>4</v>
      </c>
      <c r="DA842" s="14" t="s">
        <v>537</v>
      </c>
      <c r="DB842" s="14">
        <f>INDEX(属性投放!$AN$7:$AN$58,CU842)</f>
        <v>1</v>
      </c>
      <c r="DC842" s="14">
        <f t="shared" si="1081"/>
        <v>6</v>
      </c>
      <c r="DD842" s="14">
        <f>INDEX(属性投放!$AO$7:$AO$58,DC842)</f>
        <v>28</v>
      </c>
      <c r="DE842" s="14" t="s">
        <v>538</v>
      </c>
      <c r="DF842" s="14">
        <f>INDEX(属性投放!$BK$6:$BK$85,(CV842-2)*20+CZ842)</f>
        <v>40</v>
      </c>
      <c r="DG842" s="14">
        <f>SUMIFS(DF$5:DF842,$CT$5:$CT842,"="&amp;$CT842)</f>
        <v>170</v>
      </c>
      <c r="DH842" s="14" t="s">
        <v>539</v>
      </c>
      <c r="DI842" s="14">
        <f>INDEX(属性投放!$BL$6:$BL$85,(CV842-2)*20+CZ842)</f>
        <v>20</v>
      </c>
      <c r="DJ842" s="14">
        <f>SUMIFS(DI$5:DI842,$CT$5:$CT842,"="&amp;$CT842)</f>
        <v>86</v>
      </c>
      <c r="DK842" s="14" t="s">
        <v>540</v>
      </c>
      <c r="DL842" s="14">
        <f>INDEX(属性投放!$BM$6:$BM$85,(CV842-2)*20+CZ842)</f>
        <v>280</v>
      </c>
      <c r="DM842" s="14">
        <f>SUMIFS(DL$5:DL842,$CT$5:$CT842,"="&amp;$CT842)</f>
        <v>1060</v>
      </c>
      <c r="DR842" s="30"/>
      <c r="DS842" s="30"/>
      <c r="DW842" s="30"/>
      <c r="DX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</row>
    <row r="843" spans="97:163" ht="16.5" x14ac:dyDescent="0.2">
      <c r="CS843" s="13">
        <v>839</v>
      </c>
      <c r="CT843" s="13">
        <f t="shared" si="1082"/>
        <v>17</v>
      </c>
      <c r="CU843" s="13">
        <f t="shared" si="1083"/>
        <v>7</v>
      </c>
      <c r="CV843" s="14">
        <f t="shared" si="1084"/>
        <v>3</v>
      </c>
      <c r="CW843" s="14">
        <f t="shared" si="1085"/>
        <v>1102017</v>
      </c>
      <c r="CX843" s="14" t="str">
        <f>INDEX($O$6:$O$50,CT843)&amp;"-"&amp;INDEX(属性投放!$AB$7:$AB$50,CZ843)&amp;"-魂火-"&amp;DB843</f>
        <v>飞廉-众合-魂火-2</v>
      </c>
      <c r="CY843" s="25" t="s">
        <v>142</v>
      </c>
      <c r="CZ843" s="14">
        <f>INDEX(属性投放!$AM$7:$AM$58,CU843)</f>
        <v>4</v>
      </c>
      <c r="DA843" s="14" t="s">
        <v>537</v>
      </c>
      <c r="DB843" s="14">
        <f>INDEX(属性投放!$AN$7:$AN$58,CU843)</f>
        <v>2</v>
      </c>
      <c r="DC843" s="14">
        <f t="shared" si="1081"/>
        <v>7</v>
      </c>
      <c r="DD843" s="14">
        <f>INDEX(属性投放!$AO$7:$AO$58,DC843)</f>
        <v>33</v>
      </c>
      <c r="DE843" s="14" t="s">
        <v>538</v>
      </c>
      <c r="DF843" s="14">
        <f>INDEX(属性投放!$BK$6:$BK$85,(CV843-2)*20+CZ843)</f>
        <v>40</v>
      </c>
      <c r="DG843" s="14">
        <f>SUMIFS(DF$5:DF843,$CT$5:$CT843,"="&amp;$CT843)</f>
        <v>210</v>
      </c>
      <c r="DH843" s="14" t="s">
        <v>539</v>
      </c>
      <c r="DI843" s="14">
        <f>INDEX(属性投放!$BL$6:$BL$85,(CV843-2)*20+CZ843)</f>
        <v>20</v>
      </c>
      <c r="DJ843" s="14">
        <f>SUMIFS(DI$5:DI843,$CT$5:$CT843,"="&amp;$CT843)</f>
        <v>106</v>
      </c>
      <c r="DK843" s="14" t="s">
        <v>540</v>
      </c>
      <c r="DL843" s="14">
        <f>INDEX(属性投放!$BM$6:$BM$85,(CV843-2)*20+CZ843)</f>
        <v>280</v>
      </c>
      <c r="DM843" s="14">
        <f>SUMIFS(DL$5:DL843,$CT$5:$CT843,"="&amp;$CT843)</f>
        <v>1340</v>
      </c>
      <c r="DR843" s="30"/>
      <c r="DS843" s="30"/>
      <c r="DW843" s="30"/>
      <c r="DX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</row>
    <row r="844" spans="97:163" ht="16.5" x14ac:dyDescent="0.2">
      <c r="CS844" s="13">
        <v>840</v>
      </c>
      <c r="CT844" s="13">
        <f t="shared" si="1082"/>
        <v>17</v>
      </c>
      <c r="CU844" s="13">
        <f t="shared" si="1083"/>
        <v>8</v>
      </c>
      <c r="CV844" s="14">
        <f t="shared" si="1084"/>
        <v>3</v>
      </c>
      <c r="CW844" s="14">
        <f t="shared" si="1085"/>
        <v>1102017</v>
      </c>
      <c r="CX844" s="14" t="str">
        <f>INDEX($O$6:$O$50,CT844)&amp;"-"&amp;INDEX(属性投放!$AB$7:$AB$50,CZ844)&amp;"-魂火-"&amp;DB844</f>
        <v>飞廉-众合+1-魂火-1</v>
      </c>
      <c r="CY844" s="25" t="s">
        <v>142</v>
      </c>
      <c r="CZ844" s="14">
        <f>INDEX(属性投放!$AM$7:$AM$58,CU844)</f>
        <v>5</v>
      </c>
      <c r="DA844" s="14" t="s">
        <v>537</v>
      </c>
      <c r="DB844" s="14">
        <f>INDEX(属性投放!$AN$7:$AN$58,CU844)</f>
        <v>1</v>
      </c>
      <c r="DC844" s="14">
        <f t="shared" si="1081"/>
        <v>8</v>
      </c>
      <c r="DD844" s="14">
        <f>INDEX(属性投放!$AO$7:$AO$58,DC844)</f>
        <v>38</v>
      </c>
      <c r="DE844" s="14" t="s">
        <v>538</v>
      </c>
      <c r="DF844" s="14">
        <f>INDEX(属性投放!$BK$6:$BK$85,(CV844-2)*20+CZ844)</f>
        <v>45</v>
      </c>
      <c r="DG844" s="14">
        <f>SUMIFS(DF$5:DF844,$CT$5:$CT844,"="&amp;$CT844)</f>
        <v>255</v>
      </c>
      <c r="DH844" s="14" t="s">
        <v>539</v>
      </c>
      <c r="DI844" s="14">
        <f>INDEX(属性投放!$BL$6:$BL$85,(CV844-2)*20+CZ844)</f>
        <v>23</v>
      </c>
      <c r="DJ844" s="14">
        <f>SUMIFS(DI$5:DI844,$CT$5:$CT844,"="&amp;$CT844)</f>
        <v>129</v>
      </c>
      <c r="DK844" s="14" t="s">
        <v>540</v>
      </c>
      <c r="DL844" s="14">
        <f>INDEX(属性投放!$BM$6:$BM$85,(CV844-2)*20+CZ844)</f>
        <v>315</v>
      </c>
      <c r="DM844" s="14">
        <f>SUMIFS(DL$5:DL844,$CT$5:$CT844,"="&amp;$CT844)</f>
        <v>1655</v>
      </c>
      <c r="DR844" s="30"/>
      <c r="DS844" s="30"/>
      <c r="DW844" s="30"/>
      <c r="DX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</row>
    <row r="845" spans="97:163" ht="16.5" x14ac:dyDescent="0.2">
      <c r="CS845" s="13">
        <v>841</v>
      </c>
      <c r="CT845" s="13">
        <f t="shared" si="1082"/>
        <v>17</v>
      </c>
      <c r="CU845" s="13">
        <f t="shared" si="1083"/>
        <v>9</v>
      </c>
      <c r="CV845" s="14">
        <f t="shared" si="1084"/>
        <v>3</v>
      </c>
      <c r="CW845" s="14">
        <f t="shared" si="1085"/>
        <v>1102017</v>
      </c>
      <c r="CX845" s="14" t="str">
        <f>INDEX($O$6:$O$50,CT845)&amp;"-"&amp;INDEX(属性投放!$AB$7:$AB$50,CZ845)&amp;"-魂火-"&amp;DB845</f>
        <v>飞廉-众合+1-魂火-2</v>
      </c>
      <c r="CY845" s="25" t="s">
        <v>142</v>
      </c>
      <c r="CZ845" s="14">
        <f>INDEX(属性投放!$AM$7:$AM$58,CU845)</f>
        <v>5</v>
      </c>
      <c r="DA845" s="14" t="s">
        <v>537</v>
      </c>
      <c r="DB845" s="14">
        <f>INDEX(属性投放!$AN$7:$AN$58,CU845)</f>
        <v>2</v>
      </c>
      <c r="DC845" s="14">
        <f t="shared" si="1081"/>
        <v>9</v>
      </c>
      <c r="DD845" s="14">
        <f>INDEX(属性投放!$AO$7:$AO$58,DC845)</f>
        <v>40</v>
      </c>
      <c r="DE845" s="14" t="s">
        <v>538</v>
      </c>
      <c r="DF845" s="14">
        <f>INDEX(属性投放!$BK$6:$BK$85,(CV845-2)*20+CZ845)</f>
        <v>45</v>
      </c>
      <c r="DG845" s="14">
        <f>SUMIFS(DF$5:DF845,$CT$5:$CT845,"="&amp;$CT845)</f>
        <v>300</v>
      </c>
      <c r="DH845" s="14" t="s">
        <v>539</v>
      </c>
      <c r="DI845" s="14">
        <f>INDEX(属性投放!$BL$6:$BL$85,(CV845-2)*20+CZ845)</f>
        <v>23</v>
      </c>
      <c r="DJ845" s="14">
        <f>SUMIFS(DI$5:DI845,$CT$5:$CT845,"="&amp;$CT845)</f>
        <v>152</v>
      </c>
      <c r="DK845" s="14" t="s">
        <v>540</v>
      </c>
      <c r="DL845" s="14">
        <f>INDEX(属性投放!$BM$6:$BM$85,(CV845-2)*20+CZ845)</f>
        <v>315</v>
      </c>
      <c r="DM845" s="14">
        <f>SUMIFS(DL$5:DL845,$CT$5:$CT845,"="&amp;$CT845)</f>
        <v>1970</v>
      </c>
      <c r="DR845" s="30"/>
      <c r="DS845" s="30"/>
      <c r="DW845" s="30"/>
      <c r="DX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</row>
    <row r="846" spans="97:163" ht="16.5" x14ac:dyDescent="0.2">
      <c r="CS846" s="13">
        <v>842</v>
      </c>
      <c r="CT846" s="13">
        <f t="shared" si="1082"/>
        <v>17</v>
      </c>
      <c r="CU846" s="13">
        <f t="shared" si="1083"/>
        <v>10</v>
      </c>
      <c r="CV846" s="14">
        <f t="shared" si="1084"/>
        <v>3</v>
      </c>
      <c r="CW846" s="14">
        <f t="shared" si="1085"/>
        <v>1102017</v>
      </c>
      <c r="CX846" s="14" t="str">
        <f>INDEX($O$6:$O$50,CT846)&amp;"-"&amp;INDEX(属性投放!$AB$7:$AB$50,CZ846)&amp;"-魂火-"&amp;DB846</f>
        <v>飞廉-众合+2-魂火-1</v>
      </c>
      <c r="CY846" s="25" t="s">
        <v>142</v>
      </c>
      <c r="CZ846" s="14">
        <f>INDEX(属性投放!$AM$7:$AM$58,CU846)</f>
        <v>6</v>
      </c>
      <c r="DA846" s="14" t="s">
        <v>537</v>
      </c>
      <c r="DB846" s="14">
        <f>INDEX(属性投放!$AN$7:$AN$58,CU846)</f>
        <v>1</v>
      </c>
      <c r="DC846" s="14">
        <f t="shared" si="1081"/>
        <v>10</v>
      </c>
      <c r="DD846" s="14">
        <f>INDEX(属性投放!$AO$7:$AO$58,DC846)</f>
        <v>43</v>
      </c>
      <c r="DE846" s="14" t="s">
        <v>538</v>
      </c>
      <c r="DF846" s="14">
        <f>INDEX(属性投放!$BK$6:$BK$85,(CV846-2)*20+CZ846)</f>
        <v>50</v>
      </c>
      <c r="DG846" s="14">
        <f>SUMIFS(DF$5:DF846,$CT$5:$CT846,"="&amp;$CT846)</f>
        <v>350</v>
      </c>
      <c r="DH846" s="14" t="s">
        <v>539</v>
      </c>
      <c r="DI846" s="14">
        <f>INDEX(属性投放!$BL$6:$BL$85,(CV846-2)*20+CZ846)</f>
        <v>25</v>
      </c>
      <c r="DJ846" s="14">
        <f>SUMIFS(DI$5:DI846,$CT$5:$CT846,"="&amp;$CT846)</f>
        <v>177</v>
      </c>
      <c r="DK846" s="14" t="s">
        <v>540</v>
      </c>
      <c r="DL846" s="14">
        <f>INDEX(属性投放!$BM$6:$BM$85,(CV846-2)*20+CZ846)</f>
        <v>350</v>
      </c>
      <c r="DM846" s="14">
        <f>SUMIFS(DL$5:DL846,$CT$5:$CT846,"="&amp;$CT846)</f>
        <v>2320</v>
      </c>
      <c r="DR846" s="30"/>
      <c r="DS846" s="30"/>
      <c r="DW846" s="30"/>
      <c r="DX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</row>
    <row r="847" spans="97:163" ht="16.5" x14ac:dyDescent="0.2">
      <c r="CS847" s="13">
        <v>843</v>
      </c>
      <c r="CT847" s="13">
        <f t="shared" si="1082"/>
        <v>17</v>
      </c>
      <c r="CU847" s="13">
        <f t="shared" si="1083"/>
        <v>11</v>
      </c>
      <c r="CV847" s="14">
        <f t="shared" si="1084"/>
        <v>3</v>
      </c>
      <c r="CW847" s="14">
        <f t="shared" si="1085"/>
        <v>1102017</v>
      </c>
      <c r="CX847" s="14" t="str">
        <f>INDEX($O$6:$O$50,CT847)&amp;"-"&amp;INDEX(属性投放!$AB$7:$AB$50,CZ847)&amp;"-魂火-"&amp;DB847</f>
        <v>飞廉-众合+2-魂火-2</v>
      </c>
      <c r="CY847" s="25" t="s">
        <v>142</v>
      </c>
      <c r="CZ847" s="14">
        <f>INDEX(属性投放!$AM$7:$AM$58,CU847)</f>
        <v>6</v>
      </c>
      <c r="DA847" s="14" t="s">
        <v>537</v>
      </c>
      <c r="DB847" s="14">
        <f>INDEX(属性投放!$AN$7:$AN$58,CU847)</f>
        <v>2</v>
      </c>
      <c r="DC847" s="14">
        <f t="shared" si="1081"/>
        <v>11</v>
      </c>
      <c r="DD847" s="14">
        <f>INDEX(属性投放!$AO$7:$AO$58,DC847)</f>
        <v>45</v>
      </c>
      <c r="DE847" s="14" t="s">
        <v>538</v>
      </c>
      <c r="DF847" s="14">
        <f>INDEX(属性投放!$BK$6:$BK$85,(CV847-2)*20+CZ847)</f>
        <v>50</v>
      </c>
      <c r="DG847" s="14">
        <f>SUMIFS(DF$5:DF847,$CT$5:$CT847,"="&amp;$CT847)</f>
        <v>400</v>
      </c>
      <c r="DH847" s="14" t="s">
        <v>539</v>
      </c>
      <c r="DI847" s="14">
        <f>INDEX(属性投放!$BL$6:$BL$85,(CV847-2)*20+CZ847)</f>
        <v>25</v>
      </c>
      <c r="DJ847" s="14">
        <f>SUMIFS(DI$5:DI847,$CT$5:$CT847,"="&amp;$CT847)</f>
        <v>202</v>
      </c>
      <c r="DK847" s="14" t="s">
        <v>540</v>
      </c>
      <c r="DL847" s="14">
        <f>INDEX(属性投放!$BM$6:$BM$85,(CV847-2)*20+CZ847)</f>
        <v>350</v>
      </c>
      <c r="DM847" s="14">
        <f>SUMIFS(DL$5:DL847,$CT$5:$CT847,"="&amp;$CT847)</f>
        <v>2670</v>
      </c>
      <c r="DR847" s="30"/>
      <c r="DS847" s="30"/>
      <c r="DW847" s="30"/>
      <c r="DX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</row>
    <row r="848" spans="97:163" ht="16.5" x14ac:dyDescent="0.2">
      <c r="CS848" s="13">
        <v>844</v>
      </c>
      <c r="CT848" s="13">
        <f t="shared" si="1082"/>
        <v>17</v>
      </c>
      <c r="CU848" s="13">
        <f t="shared" si="1083"/>
        <v>12</v>
      </c>
      <c r="CV848" s="14">
        <f t="shared" si="1084"/>
        <v>3</v>
      </c>
      <c r="CW848" s="14">
        <f t="shared" si="1085"/>
        <v>1102017</v>
      </c>
      <c r="CX848" s="14" t="str">
        <f>INDEX($O$6:$O$50,CT848)&amp;"-"&amp;INDEX(属性投放!$AB$7:$AB$50,CZ848)&amp;"-魂火-"&amp;DB848</f>
        <v>飞廉-叫唤-魂火-1</v>
      </c>
      <c r="CY848" s="25" t="s">
        <v>142</v>
      </c>
      <c r="CZ848" s="14">
        <f>INDEX(属性投放!$AM$7:$AM$58,CU848)</f>
        <v>7</v>
      </c>
      <c r="DA848" s="14" t="s">
        <v>537</v>
      </c>
      <c r="DB848" s="14">
        <f>INDEX(属性投放!$AN$7:$AN$58,CU848)</f>
        <v>1</v>
      </c>
      <c r="DC848" s="14">
        <f t="shared" si="1081"/>
        <v>12</v>
      </c>
      <c r="DD848" s="14">
        <f>INDEX(属性投放!$AO$7:$AO$58,DC848)</f>
        <v>48</v>
      </c>
      <c r="DE848" s="14" t="s">
        <v>538</v>
      </c>
      <c r="DF848" s="14">
        <f>INDEX(属性投放!$BK$6:$BK$85,(CV848-2)*20+CZ848)</f>
        <v>70</v>
      </c>
      <c r="DG848" s="14">
        <f>SUMIFS(DF$5:DF848,$CT$5:$CT848,"="&amp;$CT848)</f>
        <v>470</v>
      </c>
      <c r="DH848" s="14" t="s">
        <v>539</v>
      </c>
      <c r="DI848" s="14">
        <f>INDEX(属性投放!$BL$6:$BL$85,(CV848-2)*20+CZ848)</f>
        <v>35</v>
      </c>
      <c r="DJ848" s="14">
        <f>SUMIFS(DI$5:DI848,$CT$5:$CT848,"="&amp;$CT848)</f>
        <v>237</v>
      </c>
      <c r="DK848" s="14" t="s">
        <v>540</v>
      </c>
      <c r="DL848" s="14">
        <f>INDEX(属性投放!$BM$6:$BM$85,(CV848-2)*20+CZ848)</f>
        <v>560</v>
      </c>
      <c r="DM848" s="14">
        <f>SUMIFS(DL$5:DL848,$CT$5:$CT848,"="&amp;$CT848)</f>
        <v>3230</v>
      </c>
      <c r="DR848" s="30"/>
      <c r="DS848" s="30"/>
      <c r="DW848" s="30"/>
      <c r="DX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</row>
    <row r="849" spans="97:163" ht="16.5" x14ac:dyDescent="0.2">
      <c r="CS849" s="13">
        <v>845</v>
      </c>
      <c r="CT849" s="13">
        <f t="shared" si="1082"/>
        <v>17</v>
      </c>
      <c r="CU849" s="13">
        <f t="shared" si="1083"/>
        <v>13</v>
      </c>
      <c r="CV849" s="14">
        <f t="shared" si="1084"/>
        <v>3</v>
      </c>
      <c r="CW849" s="14">
        <f t="shared" si="1085"/>
        <v>1102017</v>
      </c>
      <c r="CX849" s="14" t="str">
        <f>INDEX($O$6:$O$50,CT849)&amp;"-"&amp;INDEX(属性投放!$AB$7:$AB$50,CZ849)&amp;"-魂火-"&amp;DB849</f>
        <v>飞廉-叫唤-魂火-2</v>
      </c>
      <c r="CY849" s="25" t="s">
        <v>142</v>
      </c>
      <c r="CZ849" s="14">
        <f>INDEX(属性投放!$AM$7:$AM$58,CU849)</f>
        <v>7</v>
      </c>
      <c r="DA849" s="14" t="s">
        <v>537</v>
      </c>
      <c r="DB849" s="14">
        <f>INDEX(属性投放!$AN$7:$AN$58,CU849)</f>
        <v>2</v>
      </c>
      <c r="DC849" s="14">
        <f t="shared" si="1081"/>
        <v>13</v>
      </c>
      <c r="DD849" s="14">
        <f>INDEX(属性投放!$AO$7:$AO$58,DC849)</f>
        <v>50</v>
      </c>
      <c r="DE849" s="14" t="s">
        <v>538</v>
      </c>
      <c r="DF849" s="14">
        <f>INDEX(属性投放!$BK$6:$BK$85,(CV849-2)*20+CZ849)</f>
        <v>70</v>
      </c>
      <c r="DG849" s="14">
        <f>SUMIFS(DF$5:DF849,$CT$5:$CT849,"="&amp;$CT849)</f>
        <v>540</v>
      </c>
      <c r="DH849" s="14" t="s">
        <v>539</v>
      </c>
      <c r="DI849" s="14">
        <f>INDEX(属性投放!$BL$6:$BL$85,(CV849-2)*20+CZ849)</f>
        <v>35</v>
      </c>
      <c r="DJ849" s="14">
        <f>SUMIFS(DI$5:DI849,$CT$5:$CT849,"="&amp;$CT849)</f>
        <v>272</v>
      </c>
      <c r="DK849" s="14" t="s">
        <v>540</v>
      </c>
      <c r="DL849" s="14">
        <f>INDEX(属性投放!$BM$6:$BM$85,(CV849-2)*20+CZ849)</f>
        <v>560</v>
      </c>
      <c r="DM849" s="14">
        <f>SUMIFS(DL$5:DL849,$CT$5:$CT849,"="&amp;$CT849)</f>
        <v>3790</v>
      </c>
      <c r="DR849" s="30"/>
      <c r="DS849" s="30"/>
      <c r="DW849" s="30"/>
      <c r="DX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</row>
    <row r="850" spans="97:163" ht="16.5" x14ac:dyDescent="0.2">
      <c r="CS850" s="13">
        <v>846</v>
      </c>
      <c r="CT850" s="13">
        <f t="shared" si="1082"/>
        <v>17</v>
      </c>
      <c r="CU850" s="13">
        <f t="shared" si="1083"/>
        <v>14</v>
      </c>
      <c r="CV850" s="14">
        <f t="shared" si="1084"/>
        <v>3</v>
      </c>
      <c r="CW850" s="14">
        <f t="shared" si="1085"/>
        <v>1102017</v>
      </c>
      <c r="CX850" s="14" t="str">
        <f>INDEX($O$6:$O$50,CT850)&amp;"-"&amp;INDEX(属性投放!$AB$7:$AB$50,CZ850)&amp;"-魂火-"&amp;DB850</f>
        <v>飞廉-叫唤+1-魂火-1</v>
      </c>
      <c r="CY850" s="25" t="s">
        <v>142</v>
      </c>
      <c r="CZ850" s="14">
        <f>INDEX(属性投放!$AM$7:$AM$58,CU850)</f>
        <v>8</v>
      </c>
      <c r="DA850" s="14" t="s">
        <v>537</v>
      </c>
      <c r="DB850" s="14">
        <f>INDEX(属性投放!$AN$7:$AN$58,CU850)</f>
        <v>1</v>
      </c>
      <c r="DC850" s="14">
        <f t="shared" si="1081"/>
        <v>14</v>
      </c>
      <c r="DD850" s="14">
        <f>INDEX(属性投放!$AO$7:$AO$58,DC850)</f>
        <v>53</v>
      </c>
      <c r="DE850" s="14" t="s">
        <v>538</v>
      </c>
      <c r="DF850" s="14">
        <f>INDEX(属性投放!$BK$6:$BK$85,(CV850-2)*20+CZ850)</f>
        <v>85</v>
      </c>
      <c r="DG850" s="14">
        <f>SUMIFS(DF$5:DF850,$CT$5:$CT850,"="&amp;$CT850)</f>
        <v>625</v>
      </c>
      <c r="DH850" s="14" t="s">
        <v>539</v>
      </c>
      <c r="DI850" s="14">
        <f>INDEX(属性投放!$BL$6:$BL$85,(CV850-2)*20+CZ850)</f>
        <v>43</v>
      </c>
      <c r="DJ850" s="14">
        <f>SUMIFS(DI$5:DI850,$CT$5:$CT850,"="&amp;$CT850)</f>
        <v>315</v>
      </c>
      <c r="DK850" s="14" t="s">
        <v>540</v>
      </c>
      <c r="DL850" s="14">
        <f>INDEX(属性投放!$BM$6:$BM$85,(CV850-2)*20+CZ850)</f>
        <v>680</v>
      </c>
      <c r="DM850" s="14">
        <f>SUMIFS(DL$5:DL850,$CT$5:$CT850,"="&amp;$CT850)</f>
        <v>4470</v>
      </c>
      <c r="DR850" s="30"/>
      <c r="DS850" s="30"/>
      <c r="DW850" s="30"/>
      <c r="DX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</row>
    <row r="851" spans="97:163" ht="16.5" x14ac:dyDescent="0.2">
      <c r="CS851" s="13">
        <v>847</v>
      </c>
      <c r="CT851" s="13">
        <f t="shared" si="1082"/>
        <v>17</v>
      </c>
      <c r="CU851" s="13">
        <f t="shared" si="1083"/>
        <v>15</v>
      </c>
      <c r="CV851" s="14">
        <f t="shared" si="1084"/>
        <v>3</v>
      </c>
      <c r="CW851" s="14">
        <f t="shared" si="1085"/>
        <v>1102017</v>
      </c>
      <c r="CX851" s="14" t="str">
        <f>INDEX($O$6:$O$50,CT851)&amp;"-"&amp;INDEX(属性投放!$AB$7:$AB$50,CZ851)&amp;"-魂火-"&amp;DB851</f>
        <v>飞廉-叫唤+1-魂火-2</v>
      </c>
      <c r="CY851" s="25" t="s">
        <v>142</v>
      </c>
      <c r="CZ851" s="14">
        <f>INDEX(属性投放!$AM$7:$AM$58,CU851)</f>
        <v>8</v>
      </c>
      <c r="DA851" s="14" t="s">
        <v>537</v>
      </c>
      <c r="DB851" s="14">
        <f>INDEX(属性投放!$AN$7:$AN$58,CU851)</f>
        <v>2</v>
      </c>
      <c r="DC851" s="14">
        <f t="shared" si="1081"/>
        <v>15</v>
      </c>
      <c r="DD851" s="14">
        <f>INDEX(属性投放!$AO$7:$AO$58,DC851)</f>
        <v>55</v>
      </c>
      <c r="DE851" s="14" t="s">
        <v>538</v>
      </c>
      <c r="DF851" s="14">
        <f>INDEX(属性投放!$BK$6:$BK$85,(CV851-2)*20+CZ851)</f>
        <v>85</v>
      </c>
      <c r="DG851" s="14">
        <f>SUMIFS(DF$5:DF851,$CT$5:$CT851,"="&amp;$CT851)</f>
        <v>710</v>
      </c>
      <c r="DH851" s="14" t="s">
        <v>539</v>
      </c>
      <c r="DI851" s="14">
        <f>INDEX(属性投放!$BL$6:$BL$85,(CV851-2)*20+CZ851)</f>
        <v>43</v>
      </c>
      <c r="DJ851" s="14">
        <f>SUMIFS(DI$5:DI851,$CT$5:$CT851,"="&amp;$CT851)</f>
        <v>358</v>
      </c>
      <c r="DK851" s="14" t="s">
        <v>540</v>
      </c>
      <c r="DL851" s="14">
        <f>INDEX(属性投放!$BM$6:$BM$85,(CV851-2)*20+CZ851)</f>
        <v>680</v>
      </c>
      <c r="DM851" s="14">
        <f>SUMIFS(DL$5:DL851,$CT$5:$CT851,"="&amp;$CT851)</f>
        <v>5150</v>
      </c>
      <c r="DR851" s="30"/>
      <c r="DS851" s="30"/>
      <c r="DW851" s="30"/>
      <c r="DX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</row>
    <row r="852" spans="97:163" ht="16.5" x14ac:dyDescent="0.2">
      <c r="CS852" s="13">
        <v>848</v>
      </c>
      <c r="CT852" s="13">
        <f t="shared" si="1082"/>
        <v>17</v>
      </c>
      <c r="CU852" s="13">
        <f t="shared" si="1083"/>
        <v>16</v>
      </c>
      <c r="CV852" s="14">
        <f t="shared" si="1084"/>
        <v>3</v>
      </c>
      <c r="CW852" s="14">
        <f t="shared" si="1085"/>
        <v>1102017</v>
      </c>
      <c r="CX852" s="14" t="str">
        <f>INDEX($O$6:$O$50,CT852)&amp;"-"&amp;INDEX(属性投放!$AB$7:$AB$50,CZ852)&amp;"-魂火-"&amp;DB852</f>
        <v>飞廉-叫唤+2-魂火-1</v>
      </c>
      <c r="CY852" s="25" t="s">
        <v>142</v>
      </c>
      <c r="CZ852" s="14">
        <f>INDEX(属性投放!$AM$7:$AM$58,CU852)</f>
        <v>9</v>
      </c>
      <c r="DA852" s="14" t="s">
        <v>537</v>
      </c>
      <c r="DB852" s="14">
        <f>INDEX(属性投放!$AN$7:$AN$58,CU852)</f>
        <v>1</v>
      </c>
      <c r="DC852" s="14">
        <f t="shared" si="1081"/>
        <v>16</v>
      </c>
      <c r="DD852" s="14">
        <f>INDEX(属性投放!$AO$7:$AO$58,DC852)</f>
        <v>58</v>
      </c>
      <c r="DE852" s="14" t="s">
        <v>538</v>
      </c>
      <c r="DF852" s="14">
        <f>INDEX(属性投放!$BK$6:$BK$85,(CV852-2)*20+CZ852)</f>
        <v>100</v>
      </c>
      <c r="DG852" s="14">
        <f>SUMIFS(DF$5:DF852,$CT$5:$CT852,"="&amp;$CT852)</f>
        <v>810</v>
      </c>
      <c r="DH852" s="14" t="s">
        <v>539</v>
      </c>
      <c r="DI852" s="14">
        <f>INDEX(属性投放!$BL$6:$BL$85,(CV852-2)*20+CZ852)</f>
        <v>50</v>
      </c>
      <c r="DJ852" s="14">
        <f>SUMIFS(DI$5:DI852,$CT$5:$CT852,"="&amp;$CT852)</f>
        <v>408</v>
      </c>
      <c r="DK852" s="14" t="s">
        <v>540</v>
      </c>
      <c r="DL852" s="14">
        <f>INDEX(属性投放!$BM$6:$BM$85,(CV852-2)*20+CZ852)</f>
        <v>800</v>
      </c>
      <c r="DM852" s="14">
        <f>SUMIFS(DL$5:DL852,$CT$5:$CT852,"="&amp;$CT852)</f>
        <v>5950</v>
      </c>
      <c r="DR852" s="30"/>
      <c r="DS852" s="30"/>
      <c r="DW852" s="30"/>
      <c r="DX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</row>
    <row r="853" spans="97:163" ht="16.5" x14ac:dyDescent="0.2">
      <c r="CS853" s="13">
        <v>849</v>
      </c>
      <c r="CT853" s="13">
        <f t="shared" si="1082"/>
        <v>17</v>
      </c>
      <c r="CU853" s="13">
        <f t="shared" si="1083"/>
        <v>17</v>
      </c>
      <c r="CV853" s="14">
        <f t="shared" si="1084"/>
        <v>3</v>
      </c>
      <c r="CW853" s="14">
        <f t="shared" si="1085"/>
        <v>1102017</v>
      </c>
      <c r="CX853" s="14" t="str">
        <f>INDEX($O$6:$O$50,CT853)&amp;"-"&amp;INDEX(属性投放!$AB$7:$AB$50,CZ853)&amp;"-魂火-"&amp;DB853</f>
        <v>飞廉-叫唤+2-魂火-2</v>
      </c>
      <c r="CY853" s="25" t="s">
        <v>142</v>
      </c>
      <c r="CZ853" s="14">
        <f>INDEX(属性投放!$AM$7:$AM$58,CU853)</f>
        <v>9</v>
      </c>
      <c r="DA853" s="14" t="s">
        <v>537</v>
      </c>
      <c r="DB853" s="14">
        <f>INDEX(属性投放!$AN$7:$AN$58,CU853)</f>
        <v>2</v>
      </c>
      <c r="DC853" s="14">
        <f t="shared" si="1081"/>
        <v>17</v>
      </c>
      <c r="DD853" s="14">
        <f>INDEX(属性投放!$AO$7:$AO$58,DC853)</f>
        <v>60</v>
      </c>
      <c r="DE853" s="14" t="s">
        <v>538</v>
      </c>
      <c r="DF853" s="14">
        <f>INDEX(属性投放!$BK$6:$BK$85,(CV853-2)*20+CZ853)</f>
        <v>100</v>
      </c>
      <c r="DG853" s="14">
        <f>SUMIFS(DF$5:DF853,$CT$5:$CT853,"="&amp;$CT853)</f>
        <v>910</v>
      </c>
      <c r="DH853" s="14" t="s">
        <v>539</v>
      </c>
      <c r="DI853" s="14">
        <f>INDEX(属性投放!$BL$6:$BL$85,(CV853-2)*20+CZ853)</f>
        <v>50</v>
      </c>
      <c r="DJ853" s="14">
        <f>SUMIFS(DI$5:DI853,$CT$5:$CT853,"="&amp;$CT853)</f>
        <v>458</v>
      </c>
      <c r="DK853" s="14" t="s">
        <v>540</v>
      </c>
      <c r="DL853" s="14">
        <f>INDEX(属性投放!$BM$6:$BM$85,(CV853-2)*20+CZ853)</f>
        <v>800</v>
      </c>
      <c r="DM853" s="14">
        <f>SUMIFS(DL$5:DL853,$CT$5:$CT853,"="&amp;$CT853)</f>
        <v>6750</v>
      </c>
      <c r="DR853" s="30"/>
      <c r="DS853" s="30"/>
      <c r="DW853" s="30"/>
      <c r="DX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</row>
    <row r="854" spans="97:163" ht="16.5" x14ac:dyDescent="0.2">
      <c r="CS854" s="13">
        <v>850</v>
      </c>
      <c r="CT854" s="13">
        <f t="shared" si="1082"/>
        <v>17</v>
      </c>
      <c r="CU854" s="13">
        <f t="shared" si="1083"/>
        <v>18</v>
      </c>
      <c r="CV854" s="14">
        <f t="shared" si="1084"/>
        <v>3</v>
      </c>
      <c r="CW854" s="14">
        <f t="shared" si="1085"/>
        <v>1102017</v>
      </c>
      <c r="CX854" s="14" t="str">
        <f>INDEX($O$6:$O$50,CT854)&amp;"-"&amp;INDEX(属性投放!$AB$7:$AB$50,CZ854)&amp;"-魂火-"&amp;DB854</f>
        <v>飞廉-叫唤+2-魂火-3</v>
      </c>
      <c r="CY854" s="25" t="s">
        <v>142</v>
      </c>
      <c r="CZ854" s="14">
        <f>INDEX(属性投放!$AM$7:$AM$58,CU854)</f>
        <v>9</v>
      </c>
      <c r="DA854" s="14" t="s">
        <v>537</v>
      </c>
      <c r="DB854" s="14">
        <f>INDEX(属性投放!$AN$7:$AN$58,CU854)</f>
        <v>3</v>
      </c>
      <c r="DC854" s="14">
        <f t="shared" si="1081"/>
        <v>18</v>
      </c>
      <c r="DD854" s="14">
        <f>INDEX(属性投放!$AO$7:$AO$58,DC854)</f>
        <v>63</v>
      </c>
      <c r="DE854" s="14" t="s">
        <v>538</v>
      </c>
      <c r="DF854" s="14">
        <f>INDEX(属性投放!$BK$6:$BK$85,(CV854-2)*20+CZ854)</f>
        <v>100</v>
      </c>
      <c r="DG854" s="14">
        <f>SUMIFS(DF$5:DF854,$CT$5:$CT854,"="&amp;$CT854)</f>
        <v>1010</v>
      </c>
      <c r="DH854" s="14" t="s">
        <v>539</v>
      </c>
      <c r="DI854" s="14">
        <f>INDEX(属性投放!$BL$6:$BL$85,(CV854-2)*20+CZ854)</f>
        <v>50</v>
      </c>
      <c r="DJ854" s="14">
        <f>SUMIFS(DI$5:DI854,$CT$5:$CT854,"="&amp;$CT854)</f>
        <v>508</v>
      </c>
      <c r="DK854" s="14" t="s">
        <v>540</v>
      </c>
      <c r="DL854" s="14">
        <f>INDEX(属性投放!$BM$6:$BM$85,(CV854-2)*20+CZ854)</f>
        <v>800</v>
      </c>
      <c r="DM854" s="14">
        <f>SUMIFS(DL$5:DL854,$CT$5:$CT854,"="&amp;$CT854)</f>
        <v>7550</v>
      </c>
      <c r="DR854" s="30"/>
      <c r="DS854" s="30"/>
      <c r="DW854" s="30"/>
      <c r="DX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</row>
    <row r="855" spans="97:163" ht="16.5" x14ac:dyDescent="0.2">
      <c r="CS855" s="13">
        <v>851</v>
      </c>
      <c r="CT855" s="13">
        <f t="shared" si="1082"/>
        <v>17</v>
      </c>
      <c r="CU855" s="13">
        <f t="shared" si="1083"/>
        <v>19</v>
      </c>
      <c r="CV855" s="14">
        <f t="shared" si="1084"/>
        <v>3</v>
      </c>
      <c r="CW855" s="14">
        <f t="shared" si="1085"/>
        <v>1102017</v>
      </c>
      <c r="CX855" s="14" t="str">
        <f>INDEX($O$6:$O$50,CT855)&amp;"-"&amp;INDEX(属性投放!$AB$7:$AB$50,CZ855)&amp;"-魂火-"&amp;DB855</f>
        <v>飞廉-大叫唤-魂火-1</v>
      </c>
      <c r="CY855" s="25" t="s">
        <v>142</v>
      </c>
      <c r="CZ855" s="14">
        <f>INDEX(属性投放!$AM$7:$AM$58,CU855)</f>
        <v>10</v>
      </c>
      <c r="DA855" s="14" t="s">
        <v>537</v>
      </c>
      <c r="DB855" s="14">
        <f>INDEX(属性投放!$AN$7:$AN$58,CU855)</f>
        <v>1</v>
      </c>
      <c r="DC855" s="14">
        <f t="shared" si="1081"/>
        <v>19</v>
      </c>
      <c r="DD855" s="14">
        <f>INDEX(属性投放!$AO$7:$AO$58,DC855)</f>
        <v>65</v>
      </c>
      <c r="DE855" s="14" t="s">
        <v>538</v>
      </c>
      <c r="DF855" s="14">
        <f>INDEX(属性投放!$BK$6:$BK$85,(CV855-2)*20+CZ855)</f>
        <v>120</v>
      </c>
      <c r="DG855" s="14">
        <f>SUMIFS(DF$5:DF855,$CT$5:$CT855,"="&amp;$CT855)</f>
        <v>1130</v>
      </c>
      <c r="DH855" s="14" t="s">
        <v>539</v>
      </c>
      <c r="DI855" s="14">
        <f>INDEX(属性投放!$BL$6:$BL$85,(CV855-2)*20+CZ855)</f>
        <v>60</v>
      </c>
      <c r="DJ855" s="14">
        <f>SUMIFS(DI$5:DI855,$CT$5:$CT855,"="&amp;$CT855)</f>
        <v>568</v>
      </c>
      <c r="DK855" s="14" t="s">
        <v>540</v>
      </c>
      <c r="DL855" s="14">
        <f>INDEX(属性投放!$BM$6:$BM$85,(CV855-2)*20+CZ855)</f>
        <v>1080</v>
      </c>
      <c r="DM855" s="14">
        <f>SUMIFS(DL$5:DL855,$CT$5:$CT855,"="&amp;$CT855)</f>
        <v>8630</v>
      </c>
      <c r="DR855" s="30"/>
      <c r="DS855" s="30"/>
      <c r="DW855" s="30"/>
      <c r="DX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</row>
    <row r="856" spans="97:163" ht="16.5" x14ac:dyDescent="0.2">
      <c r="CS856" s="13">
        <v>852</v>
      </c>
      <c r="CT856" s="13">
        <f t="shared" si="1082"/>
        <v>17</v>
      </c>
      <c r="CU856" s="13">
        <f t="shared" si="1083"/>
        <v>20</v>
      </c>
      <c r="CV856" s="14">
        <f t="shared" si="1084"/>
        <v>3</v>
      </c>
      <c r="CW856" s="14">
        <f t="shared" si="1085"/>
        <v>1102017</v>
      </c>
      <c r="CX856" s="14" t="str">
        <f>INDEX($O$6:$O$50,CT856)&amp;"-"&amp;INDEX(属性投放!$AB$7:$AB$50,CZ856)&amp;"-魂火-"&amp;DB856</f>
        <v>飞廉-大叫唤-魂火-2</v>
      </c>
      <c r="CY856" s="25" t="s">
        <v>142</v>
      </c>
      <c r="CZ856" s="14">
        <f>INDEX(属性投放!$AM$7:$AM$58,CU856)</f>
        <v>10</v>
      </c>
      <c r="DA856" s="14" t="s">
        <v>537</v>
      </c>
      <c r="DB856" s="14">
        <f>INDEX(属性投放!$AN$7:$AN$58,CU856)</f>
        <v>2</v>
      </c>
      <c r="DC856" s="14">
        <f t="shared" si="1081"/>
        <v>20</v>
      </c>
      <c r="DD856" s="14">
        <f>INDEX(属性投放!$AO$7:$AO$58,DC856)</f>
        <v>68</v>
      </c>
      <c r="DE856" s="14" t="s">
        <v>538</v>
      </c>
      <c r="DF856" s="14">
        <f>INDEX(属性投放!$BK$6:$BK$85,(CV856-2)*20+CZ856)</f>
        <v>120</v>
      </c>
      <c r="DG856" s="14">
        <f>SUMIFS(DF$5:DF856,$CT$5:$CT856,"="&amp;$CT856)</f>
        <v>1250</v>
      </c>
      <c r="DH856" s="14" t="s">
        <v>539</v>
      </c>
      <c r="DI856" s="14">
        <f>INDEX(属性投放!$BL$6:$BL$85,(CV856-2)*20+CZ856)</f>
        <v>60</v>
      </c>
      <c r="DJ856" s="14">
        <f>SUMIFS(DI$5:DI856,$CT$5:$CT856,"="&amp;$CT856)</f>
        <v>628</v>
      </c>
      <c r="DK856" s="14" t="s">
        <v>540</v>
      </c>
      <c r="DL856" s="14">
        <f>INDEX(属性投放!$BM$6:$BM$85,(CV856-2)*20+CZ856)</f>
        <v>1080</v>
      </c>
      <c r="DM856" s="14">
        <f>SUMIFS(DL$5:DL856,$CT$5:$CT856,"="&amp;$CT856)</f>
        <v>9710</v>
      </c>
      <c r="DR856" s="30"/>
      <c r="DS856" s="30"/>
      <c r="DW856" s="30"/>
      <c r="DX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</row>
    <row r="857" spans="97:163" ht="16.5" x14ac:dyDescent="0.2">
      <c r="CS857" s="13">
        <v>853</v>
      </c>
      <c r="CT857" s="13">
        <f t="shared" si="1082"/>
        <v>17</v>
      </c>
      <c r="CU857" s="13">
        <f t="shared" si="1083"/>
        <v>21</v>
      </c>
      <c r="CV857" s="14">
        <f t="shared" si="1084"/>
        <v>3</v>
      </c>
      <c r="CW857" s="14">
        <f t="shared" si="1085"/>
        <v>1102017</v>
      </c>
      <c r="CX857" s="14" t="str">
        <f>INDEX($O$6:$O$50,CT857)&amp;"-"&amp;INDEX(属性投放!$AB$7:$AB$50,CZ857)&amp;"-魂火-"&amp;DB857</f>
        <v>飞廉-大叫唤-魂火-3</v>
      </c>
      <c r="CY857" s="25" t="s">
        <v>142</v>
      </c>
      <c r="CZ857" s="14">
        <f>INDEX(属性投放!$AM$7:$AM$58,CU857)</f>
        <v>10</v>
      </c>
      <c r="DA857" s="14" t="s">
        <v>537</v>
      </c>
      <c r="DB857" s="14">
        <f>INDEX(属性投放!$AN$7:$AN$58,CU857)</f>
        <v>3</v>
      </c>
      <c r="DC857" s="14">
        <f t="shared" si="1081"/>
        <v>21</v>
      </c>
      <c r="DD857" s="14">
        <f>INDEX(属性投放!$AO$7:$AO$58,DC857)</f>
        <v>70</v>
      </c>
      <c r="DE857" s="14" t="s">
        <v>538</v>
      </c>
      <c r="DF857" s="14">
        <f>INDEX(属性投放!$BK$6:$BK$85,(CV857-2)*20+CZ857)</f>
        <v>120</v>
      </c>
      <c r="DG857" s="14">
        <f>SUMIFS(DF$5:DF857,$CT$5:$CT857,"="&amp;$CT857)</f>
        <v>1370</v>
      </c>
      <c r="DH857" s="14" t="s">
        <v>539</v>
      </c>
      <c r="DI857" s="14">
        <f>INDEX(属性投放!$BL$6:$BL$85,(CV857-2)*20+CZ857)</f>
        <v>60</v>
      </c>
      <c r="DJ857" s="14">
        <f>SUMIFS(DI$5:DI857,$CT$5:$CT857,"="&amp;$CT857)</f>
        <v>688</v>
      </c>
      <c r="DK857" s="14" t="s">
        <v>540</v>
      </c>
      <c r="DL857" s="14">
        <f>INDEX(属性投放!$BM$6:$BM$85,(CV857-2)*20+CZ857)</f>
        <v>1080</v>
      </c>
      <c r="DM857" s="14">
        <f>SUMIFS(DL$5:DL857,$CT$5:$CT857,"="&amp;$CT857)</f>
        <v>10790</v>
      </c>
      <c r="DR857" s="30"/>
      <c r="DS857" s="30"/>
      <c r="DW857" s="30"/>
      <c r="DX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</row>
    <row r="858" spans="97:163" ht="16.5" x14ac:dyDescent="0.2">
      <c r="CS858" s="13">
        <v>854</v>
      </c>
      <c r="CT858" s="13">
        <f t="shared" si="1082"/>
        <v>17</v>
      </c>
      <c r="CU858" s="13">
        <f t="shared" si="1083"/>
        <v>22</v>
      </c>
      <c r="CV858" s="14">
        <f t="shared" si="1084"/>
        <v>3</v>
      </c>
      <c r="CW858" s="14">
        <f t="shared" si="1085"/>
        <v>1102017</v>
      </c>
      <c r="CX858" s="14" t="str">
        <f>INDEX($O$6:$O$50,CT858)&amp;"-"&amp;INDEX(属性投放!$AB$7:$AB$50,CZ858)&amp;"-魂火-"&amp;DB858</f>
        <v>飞廉-大叫唤+1-魂火-1</v>
      </c>
      <c r="CY858" s="25" t="s">
        <v>142</v>
      </c>
      <c r="CZ858" s="14">
        <f>INDEX(属性投放!$AM$7:$AM$58,CU858)</f>
        <v>11</v>
      </c>
      <c r="DA858" s="14" t="s">
        <v>537</v>
      </c>
      <c r="DB858" s="14">
        <f>INDEX(属性投放!$AN$7:$AN$58,CU858)</f>
        <v>1</v>
      </c>
      <c r="DC858" s="14">
        <f t="shared" si="1081"/>
        <v>22</v>
      </c>
      <c r="DD858" s="14">
        <f>INDEX(属性投放!$AO$7:$AO$58,DC858)</f>
        <v>73</v>
      </c>
      <c r="DE858" s="14" t="s">
        <v>538</v>
      </c>
      <c r="DF858" s="14">
        <f>INDEX(属性投放!$BK$6:$BK$85,(CV858-2)*20+CZ858)</f>
        <v>150</v>
      </c>
      <c r="DG858" s="14">
        <f>SUMIFS(DF$5:DF858,$CT$5:$CT858,"="&amp;$CT858)</f>
        <v>1520</v>
      </c>
      <c r="DH858" s="14" t="s">
        <v>539</v>
      </c>
      <c r="DI858" s="14">
        <f>INDEX(属性投放!$BL$6:$BL$85,(CV858-2)*20+CZ858)</f>
        <v>75</v>
      </c>
      <c r="DJ858" s="14">
        <f>SUMIFS(DI$5:DI858,$CT$5:$CT858,"="&amp;$CT858)</f>
        <v>763</v>
      </c>
      <c r="DK858" s="14" t="s">
        <v>540</v>
      </c>
      <c r="DL858" s="14">
        <f>INDEX(属性投放!$BM$6:$BM$85,(CV858-2)*20+CZ858)</f>
        <v>1350</v>
      </c>
      <c r="DM858" s="14">
        <f>SUMIFS(DL$5:DL858,$CT$5:$CT858,"="&amp;$CT858)</f>
        <v>12140</v>
      </c>
      <c r="DR858" s="30"/>
      <c r="DS858" s="30"/>
      <c r="DW858" s="30"/>
      <c r="DX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</row>
    <row r="859" spans="97:163" ht="16.5" x14ac:dyDescent="0.2">
      <c r="CS859" s="13">
        <v>855</v>
      </c>
      <c r="CT859" s="13">
        <f t="shared" si="1082"/>
        <v>17</v>
      </c>
      <c r="CU859" s="13">
        <f t="shared" si="1083"/>
        <v>23</v>
      </c>
      <c r="CV859" s="14">
        <f t="shared" si="1084"/>
        <v>3</v>
      </c>
      <c r="CW859" s="14">
        <f t="shared" si="1085"/>
        <v>1102017</v>
      </c>
      <c r="CX859" s="14" t="str">
        <f>INDEX($O$6:$O$50,CT859)&amp;"-"&amp;INDEX(属性投放!$AB$7:$AB$50,CZ859)&amp;"-魂火-"&amp;DB859</f>
        <v>飞廉-大叫唤+1-魂火-2</v>
      </c>
      <c r="CY859" s="25" t="s">
        <v>142</v>
      </c>
      <c r="CZ859" s="14">
        <f>INDEX(属性投放!$AM$7:$AM$58,CU859)</f>
        <v>11</v>
      </c>
      <c r="DA859" s="14" t="s">
        <v>537</v>
      </c>
      <c r="DB859" s="14">
        <f>INDEX(属性投放!$AN$7:$AN$58,CU859)</f>
        <v>2</v>
      </c>
      <c r="DC859" s="14">
        <f t="shared" si="1081"/>
        <v>23</v>
      </c>
      <c r="DD859" s="14">
        <f>INDEX(属性投放!$AO$7:$AO$58,DC859)</f>
        <v>75</v>
      </c>
      <c r="DE859" s="14" t="s">
        <v>538</v>
      </c>
      <c r="DF859" s="14">
        <f>INDEX(属性投放!$BK$6:$BK$85,(CV859-2)*20+CZ859)</f>
        <v>150</v>
      </c>
      <c r="DG859" s="14">
        <f>SUMIFS(DF$5:DF859,$CT$5:$CT859,"="&amp;$CT859)</f>
        <v>1670</v>
      </c>
      <c r="DH859" s="14" t="s">
        <v>539</v>
      </c>
      <c r="DI859" s="14">
        <f>INDEX(属性投放!$BL$6:$BL$85,(CV859-2)*20+CZ859)</f>
        <v>75</v>
      </c>
      <c r="DJ859" s="14">
        <f>SUMIFS(DI$5:DI859,$CT$5:$CT859,"="&amp;$CT859)</f>
        <v>838</v>
      </c>
      <c r="DK859" s="14" t="s">
        <v>540</v>
      </c>
      <c r="DL859" s="14">
        <f>INDEX(属性投放!$BM$6:$BM$85,(CV859-2)*20+CZ859)</f>
        <v>1350</v>
      </c>
      <c r="DM859" s="14">
        <f>SUMIFS(DL$5:DL859,$CT$5:$CT859,"="&amp;$CT859)</f>
        <v>13490</v>
      </c>
      <c r="DR859" s="30"/>
      <c r="DS859" s="30"/>
      <c r="DW859" s="30"/>
      <c r="DX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</row>
    <row r="860" spans="97:163" ht="16.5" x14ac:dyDescent="0.2">
      <c r="CS860" s="13">
        <v>856</v>
      </c>
      <c r="CT860" s="13">
        <f t="shared" si="1082"/>
        <v>17</v>
      </c>
      <c r="CU860" s="13">
        <f t="shared" si="1083"/>
        <v>24</v>
      </c>
      <c r="CV860" s="14">
        <f t="shared" si="1084"/>
        <v>3</v>
      </c>
      <c r="CW860" s="14">
        <f t="shared" si="1085"/>
        <v>1102017</v>
      </c>
      <c r="CX860" s="14" t="str">
        <f>INDEX($O$6:$O$50,CT860)&amp;"-"&amp;INDEX(属性投放!$AB$7:$AB$50,CZ860)&amp;"-魂火-"&amp;DB860</f>
        <v>飞廉-大叫唤+1-魂火-3</v>
      </c>
      <c r="CY860" s="25" t="s">
        <v>142</v>
      </c>
      <c r="CZ860" s="14">
        <f>INDEX(属性投放!$AM$7:$AM$58,CU860)</f>
        <v>11</v>
      </c>
      <c r="DA860" s="14" t="s">
        <v>537</v>
      </c>
      <c r="DB860" s="14">
        <f>INDEX(属性投放!$AN$7:$AN$58,CU860)</f>
        <v>3</v>
      </c>
      <c r="DC860" s="14">
        <f t="shared" si="1081"/>
        <v>24</v>
      </c>
      <c r="DD860" s="14">
        <f>INDEX(属性投放!$AO$7:$AO$58,DC860)</f>
        <v>78</v>
      </c>
      <c r="DE860" s="14" t="s">
        <v>538</v>
      </c>
      <c r="DF860" s="14">
        <f>INDEX(属性投放!$BK$6:$BK$85,(CV860-2)*20+CZ860)</f>
        <v>150</v>
      </c>
      <c r="DG860" s="14">
        <f>SUMIFS(DF$5:DF860,$CT$5:$CT860,"="&amp;$CT860)</f>
        <v>1820</v>
      </c>
      <c r="DH860" s="14" t="s">
        <v>539</v>
      </c>
      <c r="DI860" s="14">
        <f>INDEX(属性投放!$BL$6:$BL$85,(CV860-2)*20+CZ860)</f>
        <v>75</v>
      </c>
      <c r="DJ860" s="14">
        <f>SUMIFS(DI$5:DI860,$CT$5:$CT860,"="&amp;$CT860)</f>
        <v>913</v>
      </c>
      <c r="DK860" s="14" t="s">
        <v>540</v>
      </c>
      <c r="DL860" s="14">
        <f>INDEX(属性投放!$BM$6:$BM$85,(CV860-2)*20+CZ860)</f>
        <v>1350</v>
      </c>
      <c r="DM860" s="14">
        <f>SUMIFS(DL$5:DL860,$CT$5:$CT860,"="&amp;$CT860)</f>
        <v>14840</v>
      </c>
      <c r="DR860" s="30"/>
      <c r="DS860" s="30"/>
      <c r="DW860" s="30"/>
      <c r="DX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</row>
    <row r="861" spans="97:163" ht="16.5" x14ac:dyDescent="0.2">
      <c r="CS861" s="13">
        <v>857</v>
      </c>
      <c r="CT861" s="13">
        <f t="shared" si="1082"/>
        <v>17</v>
      </c>
      <c r="CU861" s="13">
        <f t="shared" si="1083"/>
        <v>25</v>
      </c>
      <c r="CV861" s="14">
        <f t="shared" si="1084"/>
        <v>3</v>
      </c>
      <c r="CW861" s="14">
        <f t="shared" si="1085"/>
        <v>1102017</v>
      </c>
      <c r="CX861" s="14" t="str">
        <f>INDEX($O$6:$O$50,CT861)&amp;"-"&amp;INDEX(属性投放!$AB$7:$AB$50,CZ861)&amp;"-魂火-"&amp;DB861</f>
        <v>飞廉-大叫唤+2-魂火-1</v>
      </c>
      <c r="CY861" s="25" t="s">
        <v>142</v>
      </c>
      <c r="CZ861" s="14">
        <f>INDEX(属性投放!$AM$7:$AM$58,CU861)</f>
        <v>12</v>
      </c>
      <c r="DA861" s="14" t="s">
        <v>537</v>
      </c>
      <c r="DB861" s="14">
        <f>INDEX(属性投放!$AN$7:$AN$58,CU861)</f>
        <v>1</v>
      </c>
      <c r="DC861" s="14">
        <f t="shared" si="1081"/>
        <v>25</v>
      </c>
      <c r="DD861" s="14">
        <f>INDEX(属性投放!$AO$7:$AO$58,DC861)</f>
        <v>80</v>
      </c>
      <c r="DE861" s="14" t="s">
        <v>538</v>
      </c>
      <c r="DF861" s="14">
        <f>INDEX(属性投放!$BK$6:$BK$85,(CV861-2)*20+CZ861)</f>
        <v>200</v>
      </c>
      <c r="DG861" s="14">
        <f>SUMIFS(DF$5:DF861,$CT$5:$CT861,"="&amp;$CT861)</f>
        <v>2020</v>
      </c>
      <c r="DH861" s="14" t="s">
        <v>539</v>
      </c>
      <c r="DI861" s="14">
        <f>INDEX(属性投放!$BL$6:$BL$85,(CV861-2)*20+CZ861)</f>
        <v>100</v>
      </c>
      <c r="DJ861" s="14">
        <f>SUMIFS(DI$5:DI861,$CT$5:$CT861,"="&amp;$CT861)</f>
        <v>1013</v>
      </c>
      <c r="DK861" s="14" t="s">
        <v>540</v>
      </c>
      <c r="DL861" s="14">
        <f>INDEX(属性投放!$BM$6:$BM$85,(CV861-2)*20+CZ861)</f>
        <v>1800</v>
      </c>
      <c r="DM861" s="14">
        <f>SUMIFS(DL$5:DL861,$CT$5:$CT861,"="&amp;$CT861)</f>
        <v>16640</v>
      </c>
      <c r="DR861" s="30"/>
      <c r="DS861" s="30"/>
      <c r="DW861" s="30"/>
      <c r="DX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</row>
    <row r="862" spans="97:163" ht="16.5" x14ac:dyDescent="0.2">
      <c r="CS862" s="13">
        <v>858</v>
      </c>
      <c r="CT862" s="13">
        <f t="shared" si="1082"/>
        <v>17</v>
      </c>
      <c r="CU862" s="13">
        <f t="shared" si="1083"/>
        <v>26</v>
      </c>
      <c r="CV862" s="14">
        <f t="shared" si="1084"/>
        <v>3</v>
      </c>
      <c r="CW862" s="14">
        <f t="shared" si="1085"/>
        <v>1102017</v>
      </c>
      <c r="CX862" s="14" t="str">
        <f>INDEX($O$6:$O$50,CT862)&amp;"-"&amp;INDEX(属性投放!$AB$7:$AB$50,CZ862)&amp;"-魂火-"&amp;DB862</f>
        <v>飞廉-大叫唤+2-魂火-2</v>
      </c>
      <c r="CY862" s="25" t="s">
        <v>142</v>
      </c>
      <c r="CZ862" s="14">
        <f>INDEX(属性投放!$AM$7:$AM$58,CU862)</f>
        <v>12</v>
      </c>
      <c r="DA862" s="14" t="s">
        <v>537</v>
      </c>
      <c r="DB862" s="14">
        <f>INDEX(属性投放!$AN$7:$AN$58,CU862)</f>
        <v>2</v>
      </c>
      <c r="DC862" s="14">
        <f t="shared" si="1081"/>
        <v>26</v>
      </c>
      <c r="DD862" s="14">
        <f>INDEX(属性投放!$AO$7:$AO$58,DC862)</f>
        <v>83</v>
      </c>
      <c r="DE862" s="14" t="s">
        <v>538</v>
      </c>
      <c r="DF862" s="14">
        <f>INDEX(属性投放!$BK$6:$BK$85,(CV862-2)*20+CZ862)</f>
        <v>200</v>
      </c>
      <c r="DG862" s="14">
        <f>SUMIFS(DF$5:DF862,$CT$5:$CT862,"="&amp;$CT862)</f>
        <v>2220</v>
      </c>
      <c r="DH862" s="14" t="s">
        <v>539</v>
      </c>
      <c r="DI862" s="14">
        <f>INDEX(属性投放!$BL$6:$BL$85,(CV862-2)*20+CZ862)</f>
        <v>100</v>
      </c>
      <c r="DJ862" s="14">
        <f>SUMIFS(DI$5:DI862,$CT$5:$CT862,"="&amp;$CT862)</f>
        <v>1113</v>
      </c>
      <c r="DK862" s="14" t="s">
        <v>540</v>
      </c>
      <c r="DL862" s="14">
        <f>INDEX(属性投放!$BM$6:$BM$85,(CV862-2)*20+CZ862)</f>
        <v>1800</v>
      </c>
      <c r="DM862" s="14">
        <f>SUMIFS(DL$5:DL862,$CT$5:$CT862,"="&amp;$CT862)</f>
        <v>18440</v>
      </c>
      <c r="DR862" s="30"/>
      <c r="DS862" s="30"/>
      <c r="DW862" s="30"/>
      <c r="DX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</row>
    <row r="863" spans="97:163" ht="16.5" x14ac:dyDescent="0.2">
      <c r="CS863" s="13">
        <v>859</v>
      </c>
      <c r="CT863" s="13">
        <f t="shared" si="1082"/>
        <v>17</v>
      </c>
      <c r="CU863" s="13">
        <f t="shared" si="1083"/>
        <v>27</v>
      </c>
      <c r="CV863" s="14">
        <f t="shared" si="1084"/>
        <v>3</v>
      </c>
      <c r="CW863" s="14">
        <f t="shared" si="1085"/>
        <v>1102017</v>
      </c>
      <c r="CX863" s="14" t="str">
        <f>INDEX($O$6:$O$50,CT863)&amp;"-"&amp;INDEX(属性投放!$AB$7:$AB$50,CZ863)&amp;"-魂火-"&amp;DB863</f>
        <v>飞廉-大叫唤+2-魂火-3</v>
      </c>
      <c r="CY863" s="25" t="s">
        <v>142</v>
      </c>
      <c r="CZ863" s="14">
        <f>INDEX(属性投放!$AM$7:$AM$58,CU863)</f>
        <v>12</v>
      </c>
      <c r="DA863" s="14" t="s">
        <v>537</v>
      </c>
      <c r="DB863" s="14">
        <f>INDEX(属性投放!$AN$7:$AN$58,CU863)</f>
        <v>3</v>
      </c>
      <c r="DC863" s="14">
        <f t="shared" si="1081"/>
        <v>27</v>
      </c>
      <c r="DD863" s="14">
        <f>INDEX(属性投放!$AO$7:$AO$58,DC863)</f>
        <v>85</v>
      </c>
      <c r="DE863" s="14" t="s">
        <v>538</v>
      </c>
      <c r="DF863" s="14">
        <f>INDEX(属性投放!$BK$6:$BK$85,(CV863-2)*20+CZ863)</f>
        <v>200</v>
      </c>
      <c r="DG863" s="14">
        <f>SUMIFS(DF$5:DF863,$CT$5:$CT863,"="&amp;$CT863)</f>
        <v>2420</v>
      </c>
      <c r="DH863" s="14" t="s">
        <v>539</v>
      </c>
      <c r="DI863" s="14">
        <f>INDEX(属性投放!$BL$6:$BL$85,(CV863-2)*20+CZ863)</f>
        <v>100</v>
      </c>
      <c r="DJ863" s="14">
        <f>SUMIFS(DI$5:DI863,$CT$5:$CT863,"="&amp;$CT863)</f>
        <v>1213</v>
      </c>
      <c r="DK863" s="14" t="s">
        <v>540</v>
      </c>
      <c r="DL863" s="14">
        <f>INDEX(属性投放!$BM$6:$BM$85,(CV863-2)*20+CZ863)</f>
        <v>1800</v>
      </c>
      <c r="DM863" s="14">
        <f>SUMIFS(DL$5:DL863,$CT$5:$CT863,"="&amp;$CT863)</f>
        <v>20240</v>
      </c>
      <c r="DR863" s="30"/>
      <c r="DS863" s="30"/>
      <c r="DW863" s="30"/>
      <c r="DX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</row>
    <row r="864" spans="97:163" ht="16.5" x14ac:dyDescent="0.2">
      <c r="CS864" s="13">
        <v>860</v>
      </c>
      <c r="CT864" s="13">
        <f t="shared" si="1082"/>
        <v>17</v>
      </c>
      <c r="CU864" s="13">
        <f t="shared" si="1083"/>
        <v>28</v>
      </c>
      <c r="CV864" s="14">
        <f t="shared" si="1084"/>
        <v>3</v>
      </c>
      <c r="CW864" s="14">
        <f t="shared" si="1085"/>
        <v>1102017</v>
      </c>
      <c r="CX864" s="14" t="str">
        <f>INDEX($O$6:$O$50,CT864)&amp;"-"&amp;INDEX(属性投放!$AB$7:$AB$50,CZ864)&amp;"-魂火-"&amp;DB864</f>
        <v>飞廉-焦热-魂火-1</v>
      </c>
      <c r="CY864" s="25" t="s">
        <v>142</v>
      </c>
      <c r="CZ864" s="14">
        <f>INDEX(属性投放!$AM$7:$AM$58,CU864)</f>
        <v>13</v>
      </c>
      <c r="DA864" s="14" t="s">
        <v>537</v>
      </c>
      <c r="DB864" s="14">
        <f>INDEX(属性投放!$AN$7:$AN$58,CU864)</f>
        <v>1</v>
      </c>
      <c r="DC864" s="14">
        <f t="shared" si="1081"/>
        <v>28</v>
      </c>
      <c r="DD864" s="14">
        <f>INDEX(属性投放!$AO$7:$AO$58,DC864)</f>
        <v>88</v>
      </c>
      <c r="DE864" s="14" t="s">
        <v>538</v>
      </c>
      <c r="DF864" s="14">
        <f>INDEX(属性投放!$BK$6:$BK$85,(CV864-2)*20+CZ864)</f>
        <v>250</v>
      </c>
      <c r="DG864" s="14">
        <f>SUMIFS(DF$5:DF864,$CT$5:$CT864,"="&amp;$CT864)</f>
        <v>2670</v>
      </c>
      <c r="DH864" s="14" t="s">
        <v>539</v>
      </c>
      <c r="DI864" s="14">
        <f>INDEX(属性投放!$BL$6:$BL$85,(CV864-2)*20+CZ864)</f>
        <v>125</v>
      </c>
      <c r="DJ864" s="14">
        <f>SUMIFS(DI$5:DI864,$CT$5:$CT864,"="&amp;$CT864)</f>
        <v>1338</v>
      </c>
      <c r="DK864" s="14" t="s">
        <v>540</v>
      </c>
      <c r="DL864" s="14">
        <f>INDEX(属性投放!$BM$6:$BM$85,(CV864-2)*20+CZ864)</f>
        <v>2500</v>
      </c>
      <c r="DM864" s="14">
        <f>SUMIFS(DL$5:DL864,$CT$5:$CT864,"="&amp;$CT864)</f>
        <v>22740</v>
      </c>
      <c r="DR864" s="30"/>
      <c r="DS864" s="30"/>
      <c r="DW864" s="30"/>
      <c r="DX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</row>
    <row r="865" spans="97:163" ht="16.5" x14ac:dyDescent="0.2">
      <c r="CS865" s="13">
        <v>861</v>
      </c>
      <c r="CT865" s="13">
        <f t="shared" si="1082"/>
        <v>17</v>
      </c>
      <c r="CU865" s="13">
        <f t="shared" si="1083"/>
        <v>29</v>
      </c>
      <c r="CV865" s="14">
        <f t="shared" si="1084"/>
        <v>3</v>
      </c>
      <c r="CW865" s="14">
        <f t="shared" si="1085"/>
        <v>1102017</v>
      </c>
      <c r="CX865" s="14" t="str">
        <f>INDEX($O$6:$O$50,CT865)&amp;"-"&amp;INDEX(属性投放!$AB$7:$AB$50,CZ865)&amp;"-魂火-"&amp;DB865</f>
        <v>飞廉-焦热-魂火-2</v>
      </c>
      <c r="CY865" s="25" t="s">
        <v>142</v>
      </c>
      <c r="CZ865" s="14">
        <f>INDEX(属性投放!$AM$7:$AM$58,CU865)</f>
        <v>13</v>
      </c>
      <c r="DA865" s="14" t="s">
        <v>537</v>
      </c>
      <c r="DB865" s="14">
        <f>INDEX(属性投放!$AN$7:$AN$58,CU865)</f>
        <v>2</v>
      </c>
      <c r="DC865" s="14">
        <f t="shared" si="1081"/>
        <v>29</v>
      </c>
      <c r="DD865" s="14">
        <f>INDEX(属性投放!$AO$7:$AO$58,DC865)</f>
        <v>90</v>
      </c>
      <c r="DE865" s="14" t="s">
        <v>538</v>
      </c>
      <c r="DF865" s="14">
        <f>INDEX(属性投放!$BK$6:$BK$85,(CV865-2)*20+CZ865)</f>
        <v>250</v>
      </c>
      <c r="DG865" s="14">
        <f>SUMIFS(DF$5:DF865,$CT$5:$CT865,"="&amp;$CT865)</f>
        <v>2920</v>
      </c>
      <c r="DH865" s="14" t="s">
        <v>539</v>
      </c>
      <c r="DI865" s="14">
        <f>INDEX(属性投放!$BL$6:$BL$85,(CV865-2)*20+CZ865)</f>
        <v>125</v>
      </c>
      <c r="DJ865" s="14">
        <f>SUMIFS(DI$5:DI865,$CT$5:$CT865,"="&amp;$CT865)</f>
        <v>1463</v>
      </c>
      <c r="DK865" s="14" t="s">
        <v>540</v>
      </c>
      <c r="DL865" s="14">
        <f>INDEX(属性投放!$BM$6:$BM$85,(CV865-2)*20+CZ865)</f>
        <v>2500</v>
      </c>
      <c r="DM865" s="14">
        <f>SUMIFS(DL$5:DL865,$CT$5:$CT865,"="&amp;$CT865)</f>
        <v>25240</v>
      </c>
      <c r="DR865" s="30"/>
      <c r="DS865" s="30"/>
      <c r="DW865" s="30"/>
      <c r="DX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</row>
    <row r="866" spans="97:163" ht="16.5" x14ac:dyDescent="0.2">
      <c r="CS866" s="13">
        <v>862</v>
      </c>
      <c r="CT866" s="13">
        <f t="shared" si="1082"/>
        <v>17</v>
      </c>
      <c r="CU866" s="13">
        <f t="shared" si="1083"/>
        <v>30</v>
      </c>
      <c r="CV866" s="14">
        <f t="shared" si="1084"/>
        <v>3</v>
      </c>
      <c r="CW866" s="14">
        <f t="shared" si="1085"/>
        <v>1102017</v>
      </c>
      <c r="CX866" s="14" t="str">
        <f>INDEX($O$6:$O$50,CT866)&amp;"-"&amp;INDEX(属性投放!$AB$7:$AB$50,CZ866)&amp;"-魂火-"&amp;DB866</f>
        <v>飞廉-焦热-魂火-3</v>
      </c>
      <c r="CY866" s="25" t="s">
        <v>142</v>
      </c>
      <c r="CZ866" s="14">
        <f>INDEX(属性投放!$AM$7:$AM$58,CU866)</f>
        <v>13</v>
      </c>
      <c r="DA866" s="14" t="s">
        <v>537</v>
      </c>
      <c r="DB866" s="14">
        <f>INDEX(属性投放!$AN$7:$AN$58,CU866)</f>
        <v>3</v>
      </c>
      <c r="DC866" s="14">
        <f t="shared" si="1081"/>
        <v>30</v>
      </c>
      <c r="DD866" s="14">
        <f>INDEX(属性投放!$AO$7:$AO$58,DC866)</f>
        <v>93</v>
      </c>
      <c r="DE866" s="14" t="s">
        <v>538</v>
      </c>
      <c r="DF866" s="14">
        <f>INDEX(属性投放!$BK$6:$BK$85,(CV866-2)*20+CZ866)</f>
        <v>250</v>
      </c>
      <c r="DG866" s="14">
        <f>SUMIFS(DF$5:DF866,$CT$5:$CT866,"="&amp;$CT866)</f>
        <v>3170</v>
      </c>
      <c r="DH866" s="14" t="s">
        <v>539</v>
      </c>
      <c r="DI866" s="14">
        <f>INDEX(属性投放!$BL$6:$BL$85,(CV866-2)*20+CZ866)</f>
        <v>125</v>
      </c>
      <c r="DJ866" s="14">
        <f>SUMIFS(DI$5:DI866,$CT$5:$CT866,"="&amp;$CT866)</f>
        <v>1588</v>
      </c>
      <c r="DK866" s="14" t="s">
        <v>540</v>
      </c>
      <c r="DL866" s="14">
        <f>INDEX(属性投放!$BM$6:$BM$85,(CV866-2)*20+CZ866)</f>
        <v>2500</v>
      </c>
      <c r="DM866" s="14">
        <f>SUMIFS(DL$5:DL866,$CT$5:$CT866,"="&amp;$CT866)</f>
        <v>27740</v>
      </c>
      <c r="DR866" s="30"/>
      <c r="DS866" s="30"/>
      <c r="DW866" s="30"/>
      <c r="DX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</row>
    <row r="867" spans="97:163" ht="16.5" x14ac:dyDescent="0.2">
      <c r="CS867" s="13">
        <v>863</v>
      </c>
      <c r="CT867" s="13">
        <f t="shared" si="1082"/>
        <v>17</v>
      </c>
      <c r="CU867" s="13">
        <f t="shared" si="1083"/>
        <v>31</v>
      </c>
      <c r="CV867" s="14">
        <f t="shared" si="1084"/>
        <v>3</v>
      </c>
      <c r="CW867" s="14">
        <f t="shared" si="1085"/>
        <v>1102017</v>
      </c>
      <c r="CX867" s="14" t="str">
        <f>INDEX($O$6:$O$50,CT867)&amp;"-"&amp;INDEX(属性投放!$AB$7:$AB$50,CZ867)&amp;"-魂火-"&amp;DB867</f>
        <v>飞廉-焦热+1-魂火-1</v>
      </c>
      <c r="CY867" s="25" t="s">
        <v>142</v>
      </c>
      <c r="CZ867" s="14">
        <f>INDEX(属性投放!$AM$7:$AM$58,CU867)</f>
        <v>14</v>
      </c>
      <c r="DA867" s="14" t="s">
        <v>537</v>
      </c>
      <c r="DB867" s="14">
        <f>INDEX(属性投放!$AN$7:$AN$58,CU867)</f>
        <v>1</v>
      </c>
      <c r="DC867" s="14">
        <f t="shared" si="1081"/>
        <v>31</v>
      </c>
      <c r="DD867" s="14">
        <f>INDEX(属性投放!$AO$7:$AO$58,DC867)</f>
        <v>95</v>
      </c>
      <c r="DE867" s="14" t="s">
        <v>538</v>
      </c>
      <c r="DF867" s="14">
        <f>INDEX(属性投放!$BK$6:$BK$85,(CV867-2)*20+CZ867)</f>
        <v>300</v>
      </c>
      <c r="DG867" s="14">
        <f>SUMIFS(DF$5:DF867,$CT$5:$CT867,"="&amp;$CT867)</f>
        <v>3470</v>
      </c>
      <c r="DH867" s="14" t="s">
        <v>539</v>
      </c>
      <c r="DI867" s="14">
        <f>INDEX(属性投放!$BL$6:$BL$85,(CV867-2)*20+CZ867)</f>
        <v>150</v>
      </c>
      <c r="DJ867" s="14">
        <f>SUMIFS(DI$5:DI867,$CT$5:$CT867,"="&amp;$CT867)</f>
        <v>1738</v>
      </c>
      <c r="DK867" s="14" t="s">
        <v>540</v>
      </c>
      <c r="DL867" s="14">
        <f>INDEX(属性投放!$BM$6:$BM$85,(CV867-2)*20+CZ867)</f>
        <v>3000</v>
      </c>
      <c r="DM867" s="14">
        <f>SUMIFS(DL$5:DL867,$CT$5:$CT867,"="&amp;$CT867)</f>
        <v>30740</v>
      </c>
      <c r="DR867" s="30"/>
      <c r="DS867" s="30"/>
      <c r="DW867" s="30"/>
      <c r="DX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</row>
    <row r="868" spans="97:163" ht="16.5" x14ac:dyDescent="0.2">
      <c r="CS868" s="13">
        <v>864</v>
      </c>
      <c r="CT868" s="13">
        <f t="shared" si="1082"/>
        <v>17</v>
      </c>
      <c r="CU868" s="13">
        <f t="shared" si="1083"/>
        <v>32</v>
      </c>
      <c r="CV868" s="14">
        <f t="shared" si="1084"/>
        <v>3</v>
      </c>
      <c r="CW868" s="14">
        <f t="shared" si="1085"/>
        <v>1102017</v>
      </c>
      <c r="CX868" s="14" t="str">
        <f>INDEX($O$6:$O$50,CT868)&amp;"-"&amp;INDEX(属性投放!$AB$7:$AB$50,CZ868)&amp;"-魂火-"&amp;DB868</f>
        <v>飞廉-焦热+1-魂火-2</v>
      </c>
      <c r="CY868" s="25" t="s">
        <v>142</v>
      </c>
      <c r="CZ868" s="14">
        <f>INDEX(属性投放!$AM$7:$AM$58,CU868)</f>
        <v>14</v>
      </c>
      <c r="DA868" s="14" t="s">
        <v>537</v>
      </c>
      <c r="DB868" s="14">
        <f>INDEX(属性投放!$AN$7:$AN$58,CU868)</f>
        <v>2</v>
      </c>
      <c r="DC868" s="14">
        <f t="shared" si="1081"/>
        <v>32</v>
      </c>
      <c r="DD868" s="14">
        <f>INDEX(属性投放!$AO$7:$AO$58,DC868)</f>
        <v>98</v>
      </c>
      <c r="DE868" s="14" t="s">
        <v>538</v>
      </c>
      <c r="DF868" s="14">
        <f>INDEX(属性投放!$BK$6:$BK$85,(CV868-2)*20+CZ868)</f>
        <v>300</v>
      </c>
      <c r="DG868" s="14">
        <f>SUMIFS(DF$5:DF868,$CT$5:$CT868,"="&amp;$CT868)</f>
        <v>3770</v>
      </c>
      <c r="DH868" s="14" t="s">
        <v>539</v>
      </c>
      <c r="DI868" s="14">
        <f>INDEX(属性投放!$BL$6:$BL$85,(CV868-2)*20+CZ868)</f>
        <v>150</v>
      </c>
      <c r="DJ868" s="14">
        <f>SUMIFS(DI$5:DI868,$CT$5:$CT868,"="&amp;$CT868)</f>
        <v>1888</v>
      </c>
      <c r="DK868" s="14" t="s">
        <v>540</v>
      </c>
      <c r="DL868" s="14">
        <f>INDEX(属性投放!$BM$6:$BM$85,(CV868-2)*20+CZ868)</f>
        <v>3000</v>
      </c>
      <c r="DM868" s="14">
        <f>SUMIFS(DL$5:DL868,$CT$5:$CT868,"="&amp;$CT868)</f>
        <v>33740</v>
      </c>
      <c r="DR868" s="30"/>
      <c r="DS868" s="30"/>
      <c r="DW868" s="30"/>
      <c r="DX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</row>
    <row r="869" spans="97:163" ht="16.5" x14ac:dyDescent="0.2">
      <c r="CS869" s="13">
        <v>865</v>
      </c>
      <c r="CT869" s="13">
        <f t="shared" si="1082"/>
        <v>17</v>
      </c>
      <c r="CU869" s="13">
        <f t="shared" si="1083"/>
        <v>33</v>
      </c>
      <c r="CV869" s="14">
        <f t="shared" si="1084"/>
        <v>3</v>
      </c>
      <c r="CW869" s="14">
        <f t="shared" si="1085"/>
        <v>1102017</v>
      </c>
      <c r="CX869" s="14" t="str">
        <f>INDEX($O$6:$O$50,CT869)&amp;"-"&amp;INDEX(属性投放!$AB$7:$AB$50,CZ869)&amp;"-魂火-"&amp;DB869</f>
        <v>飞廉-焦热+1-魂火-3</v>
      </c>
      <c r="CY869" s="25" t="s">
        <v>142</v>
      </c>
      <c r="CZ869" s="14">
        <f>INDEX(属性投放!$AM$7:$AM$58,CU869)</f>
        <v>14</v>
      </c>
      <c r="DA869" s="14" t="s">
        <v>537</v>
      </c>
      <c r="DB869" s="14">
        <f>INDEX(属性投放!$AN$7:$AN$58,CU869)</f>
        <v>3</v>
      </c>
      <c r="DC869" s="14">
        <f t="shared" si="1081"/>
        <v>33</v>
      </c>
      <c r="DD869" s="14">
        <f>INDEX(属性投放!$AO$7:$AO$58,DC869)</f>
        <v>100</v>
      </c>
      <c r="DE869" s="14" t="s">
        <v>538</v>
      </c>
      <c r="DF869" s="14">
        <f>INDEX(属性投放!$BK$6:$BK$85,(CV869-2)*20+CZ869)</f>
        <v>300</v>
      </c>
      <c r="DG869" s="14">
        <f>SUMIFS(DF$5:DF869,$CT$5:$CT869,"="&amp;$CT869)</f>
        <v>4070</v>
      </c>
      <c r="DH869" s="14" t="s">
        <v>539</v>
      </c>
      <c r="DI869" s="14">
        <f>INDEX(属性投放!$BL$6:$BL$85,(CV869-2)*20+CZ869)</f>
        <v>150</v>
      </c>
      <c r="DJ869" s="14">
        <f>SUMIFS(DI$5:DI869,$CT$5:$CT869,"="&amp;$CT869)</f>
        <v>2038</v>
      </c>
      <c r="DK869" s="14" t="s">
        <v>540</v>
      </c>
      <c r="DL869" s="14">
        <f>INDEX(属性投放!$BM$6:$BM$85,(CV869-2)*20+CZ869)</f>
        <v>3000</v>
      </c>
      <c r="DM869" s="14">
        <f>SUMIFS(DL$5:DL869,$CT$5:$CT869,"="&amp;$CT869)</f>
        <v>36740</v>
      </c>
      <c r="DR869" s="30"/>
      <c r="DS869" s="30"/>
      <c r="DW869" s="30"/>
      <c r="DX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</row>
    <row r="870" spans="97:163" ht="16.5" x14ac:dyDescent="0.2">
      <c r="CS870" s="13">
        <v>866</v>
      </c>
      <c r="CT870" s="13">
        <f t="shared" si="1082"/>
        <v>17</v>
      </c>
      <c r="CU870" s="13">
        <f t="shared" si="1083"/>
        <v>34</v>
      </c>
      <c r="CV870" s="14">
        <f t="shared" si="1084"/>
        <v>3</v>
      </c>
      <c r="CW870" s="14">
        <f t="shared" si="1085"/>
        <v>1102017</v>
      </c>
      <c r="CX870" s="14" t="str">
        <f>INDEX($O$6:$O$50,CT870)&amp;"-"&amp;INDEX(属性投放!$AB$7:$AB$50,CZ870)&amp;"-魂火-"&amp;DB870</f>
        <v>飞廉-焦热+2-魂火-1</v>
      </c>
      <c r="CY870" s="25" t="s">
        <v>142</v>
      </c>
      <c r="CZ870" s="14">
        <f>INDEX(属性投放!$AM$7:$AM$58,CU870)</f>
        <v>15</v>
      </c>
      <c r="DA870" s="14" t="s">
        <v>537</v>
      </c>
      <c r="DB870" s="14">
        <f>INDEX(属性投放!$AN$7:$AN$58,CU870)</f>
        <v>1</v>
      </c>
      <c r="DC870" s="14">
        <f t="shared" si="1081"/>
        <v>34</v>
      </c>
      <c r="DD870" s="14">
        <f>INDEX(属性投放!$AO$7:$AO$58,DC870)</f>
        <v>103</v>
      </c>
      <c r="DE870" s="14" t="s">
        <v>538</v>
      </c>
      <c r="DF870" s="14">
        <f>INDEX(属性投放!$BK$6:$BK$85,(CV870-2)*20+CZ870)</f>
        <v>400</v>
      </c>
      <c r="DG870" s="14">
        <f>SUMIFS(DF$5:DF870,$CT$5:$CT870,"="&amp;$CT870)</f>
        <v>4470</v>
      </c>
      <c r="DH870" s="14" t="s">
        <v>539</v>
      </c>
      <c r="DI870" s="14">
        <f>INDEX(属性投放!$BL$6:$BL$85,(CV870-2)*20+CZ870)</f>
        <v>200</v>
      </c>
      <c r="DJ870" s="14">
        <f>SUMIFS(DI$5:DI870,$CT$5:$CT870,"="&amp;$CT870)</f>
        <v>2238</v>
      </c>
      <c r="DK870" s="14" t="s">
        <v>540</v>
      </c>
      <c r="DL870" s="14">
        <f>INDEX(属性投放!$BM$6:$BM$85,(CV870-2)*20+CZ870)</f>
        <v>4000</v>
      </c>
      <c r="DM870" s="14">
        <f>SUMIFS(DL$5:DL870,$CT$5:$CT870,"="&amp;$CT870)</f>
        <v>40740</v>
      </c>
      <c r="DR870" s="30"/>
      <c r="DS870" s="30"/>
      <c r="DW870" s="30"/>
      <c r="DX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</row>
    <row r="871" spans="97:163" ht="16.5" x14ac:dyDescent="0.2">
      <c r="CS871" s="13">
        <v>867</v>
      </c>
      <c r="CT871" s="13">
        <f t="shared" si="1082"/>
        <v>17</v>
      </c>
      <c r="CU871" s="13">
        <f t="shared" si="1083"/>
        <v>35</v>
      </c>
      <c r="CV871" s="14">
        <f t="shared" si="1084"/>
        <v>3</v>
      </c>
      <c r="CW871" s="14">
        <f t="shared" si="1085"/>
        <v>1102017</v>
      </c>
      <c r="CX871" s="14" t="str">
        <f>INDEX($O$6:$O$50,CT871)&amp;"-"&amp;INDEX(属性投放!$AB$7:$AB$50,CZ871)&amp;"-魂火-"&amp;DB871</f>
        <v>飞廉-焦热+2-魂火-2</v>
      </c>
      <c r="CY871" s="25" t="s">
        <v>142</v>
      </c>
      <c r="CZ871" s="14">
        <f>INDEX(属性投放!$AM$7:$AM$58,CU871)</f>
        <v>15</v>
      </c>
      <c r="DA871" s="14" t="s">
        <v>537</v>
      </c>
      <c r="DB871" s="14">
        <f>INDEX(属性投放!$AN$7:$AN$58,CU871)</f>
        <v>2</v>
      </c>
      <c r="DC871" s="14">
        <f t="shared" si="1081"/>
        <v>35</v>
      </c>
      <c r="DD871" s="14">
        <f>INDEX(属性投放!$AO$7:$AO$58,DC871)</f>
        <v>105</v>
      </c>
      <c r="DE871" s="14" t="s">
        <v>538</v>
      </c>
      <c r="DF871" s="14">
        <f>INDEX(属性投放!$BK$6:$BK$85,(CV871-2)*20+CZ871)</f>
        <v>400</v>
      </c>
      <c r="DG871" s="14">
        <f>SUMIFS(DF$5:DF871,$CT$5:$CT871,"="&amp;$CT871)</f>
        <v>4870</v>
      </c>
      <c r="DH871" s="14" t="s">
        <v>539</v>
      </c>
      <c r="DI871" s="14">
        <f>INDEX(属性投放!$BL$6:$BL$85,(CV871-2)*20+CZ871)</f>
        <v>200</v>
      </c>
      <c r="DJ871" s="14">
        <f>SUMIFS(DI$5:DI871,$CT$5:$CT871,"="&amp;$CT871)</f>
        <v>2438</v>
      </c>
      <c r="DK871" s="14" t="s">
        <v>540</v>
      </c>
      <c r="DL871" s="14">
        <f>INDEX(属性投放!$BM$6:$BM$85,(CV871-2)*20+CZ871)</f>
        <v>4000</v>
      </c>
      <c r="DM871" s="14">
        <f>SUMIFS(DL$5:DL871,$CT$5:$CT871,"="&amp;$CT871)</f>
        <v>44740</v>
      </c>
      <c r="DR871" s="30"/>
      <c r="DS871" s="30"/>
      <c r="DW871" s="30"/>
      <c r="DX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</row>
    <row r="872" spans="97:163" ht="16.5" x14ac:dyDescent="0.2">
      <c r="CS872" s="13">
        <v>868</v>
      </c>
      <c r="CT872" s="13">
        <f t="shared" si="1082"/>
        <v>17</v>
      </c>
      <c r="CU872" s="13">
        <f t="shared" si="1083"/>
        <v>36</v>
      </c>
      <c r="CV872" s="14">
        <f t="shared" si="1084"/>
        <v>3</v>
      </c>
      <c r="CW872" s="14">
        <f t="shared" si="1085"/>
        <v>1102017</v>
      </c>
      <c r="CX872" s="14" t="str">
        <f>INDEX($O$6:$O$50,CT872)&amp;"-"&amp;INDEX(属性投放!$AB$7:$AB$50,CZ872)&amp;"-魂火-"&amp;DB872</f>
        <v>飞廉-焦热+2-魂火-3</v>
      </c>
      <c r="CY872" s="25" t="s">
        <v>142</v>
      </c>
      <c r="CZ872" s="14">
        <f>INDEX(属性投放!$AM$7:$AM$58,CU872)</f>
        <v>15</v>
      </c>
      <c r="DA872" s="14" t="s">
        <v>537</v>
      </c>
      <c r="DB872" s="14">
        <f>INDEX(属性投放!$AN$7:$AN$58,CU872)</f>
        <v>3</v>
      </c>
      <c r="DC872" s="14">
        <f t="shared" si="1081"/>
        <v>36</v>
      </c>
      <c r="DD872" s="14">
        <f>INDEX(属性投放!$AO$7:$AO$58,DC872)</f>
        <v>108</v>
      </c>
      <c r="DE872" s="14" t="s">
        <v>538</v>
      </c>
      <c r="DF872" s="14">
        <f>INDEX(属性投放!$BK$6:$BK$85,(CV872-2)*20+CZ872)</f>
        <v>400</v>
      </c>
      <c r="DG872" s="14">
        <f>SUMIFS(DF$5:DF872,$CT$5:$CT872,"="&amp;$CT872)</f>
        <v>5270</v>
      </c>
      <c r="DH872" s="14" t="s">
        <v>539</v>
      </c>
      <c r="DI872" s="14">
        <f>INDEX(属性投放!$BL$6:$BL$85,(CV872-2)*20+CZ872)</f>
        <v>200</v>
      </c>
      <c r="DJ872" s="14">
        <f>SUMIFS(DI$5:DI872,$CT$5:$CT872,"="&amp;$CT872)</f>
        <v>2638</v>
      </c>
      <c r="DK872" s="14" t="s">
        <v>540</v>
      </c>
      <c r="DL872" s="14">
        <f>INDEX(属性投放!$BM$6:$BM$85,(CV872-2)*20+CZ872)</f>
        <v>4000</v>
      </c>
      <c r="DM872" s="14">
        <f>SUMIFS(DL$5:DL872,$CT$5:$CT872,"="&amp;$CT872)</f>
        <v>48740</v>
      </c>
      <c r="DR872" s="30"/>
      <c r="DS872" s="30"/>
      <c r="DW872" s="30"/>
      <c r="DX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</row>
    <row r="873" spans="97:163" ht="16.5" x14ac:dyDescent="0.2">
      <c r="CS873" s="13">
        <v>869</v>
      </c>
      <c r="CT873" s="13">
        <f t="shared" si="1082"/>
        <v>17</v>
      </c>
      <c r="CU873" s="13">
        <f t="shared" si="1083"/>
        <v>37</v>
      </c>
      <c r="CV873" s="14">
        <f t="shared" si="1084"/>
        <v>3</v>
      </c>
      <c r="CW873" s="14">
        <f t="shared" si="1085"/>
        <v>1102017</v>
      </c>
      <c r="CX873" s="14" t="str">
        <f>INDEX($O$6:$O$50,CT873)&amp;"-"&amp;INDEX(属性投放!$AB$7:$AB$50,CZ873)&amp;"-魂火-"&amp;DB873</f>
        <v>飞廉-大焦热-魂火-1</v>
      </c>
      <c r="CY873" s="25" t="s">
        <v>142</v>
      </c>
      <c r="CZ873" s="14">
        <f>INDEX(属性投放!$AM$7:$AM$58,CU873)</f>
        <v>16</v>
      </c>
      <c r="DA873" s="14" t="s">
        <v>537</v>
      </c>
      <c r="DB873" s="14">
        <f>INDEX(属性投放!$AN$7:$AN$58,CU873)</f>
        <v>1</v>
      </c>
      <c r="DC873" s="14">
        <f t="shared" si="1081"/>
        <v>37</v>
      </c>
      <c r="DD873" s="14">
        <f>INDEX(属性投放!$AO$7:$AO$58,DC873)</f>
        <v>110</v>
      </c>
      <c r="DE873" s="14" t="s">
        <v>538</v>
      </c>
      <c r="DF873" s="14">
        <f>INDEX(属性投放!$BK$6:$BK$85,(CV873-2)*20+CZ873)</f>
        <v>500</v>
      </c>
      <c r="DG873" s="14">
        <f>SUMIFS(DF$5:DF873,$CT$5:$CT873,"="&amp;$CT873)</f>
        <v>5770</v>
      </c>
      <c r="DH873" s="14" t="s">
        <v>539</v>
      </c>
      <c r="DI873" s="14">
        <f>INDEX(属性投放!$BL$6:$BL$85,(CV873-2)*20+CZ873)</f>
        <v>250</v>
      </c>
      <c r="DJ873" s="14">
        <f>SUMIFS(DI$5:DI873,$CT$5:$CT873,"="&amp;$CT873)</f>
        <v>2888</v>
      </c>
      <c r="DK873" s="14" t="s">
        <v>540</v>
      </c>
      <c r="DL873" s="14">
        <f>INDEX(属性投放!$BM$6:$BM$85,(CV873-2)*20+CZ873)</f>
        <v>5000</v>
      </c>
      <c r="DM873" s="14">
        <f>SUMIFS(DL$5:DL873,$CT$5:$CT873,"="&amp;$CT873)</f>
        <v>53740</v>
      </c>
      <c r="DR873" s="30"/>
      <c r="DS873" s="30"/>
      <c r="DW873" s="30"/>
      <c r="DX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</row>
    <row r="874" spans="97:163" ht="16.5" x14ac:dyDescent="0.2">
      <c r="CS874" s="13">
        <v>870</v>
      </c>
      <c r="CT874" s="13">
        <f t="shared" si="1082"/>
        <v>17</v>
      </c>
      <c r="CU874" s="13">
        <f t="shared" si="1083"/>
        <v>38</v>
      </c>
      <c r="CV874" s="14">
        <f t="shared" si="1084"/>
        <v>3</v>
      </c>
      <c r="CW874" s="14">
        <f t="shared" si="1085"/>
        <v>1102017</v>
      </c>
      <c r="CX874" s="14" t="str">
        <f>INDEX($O$6:$O$50,CT874)&amp;"-"&amp;INDEX(属性投放!$AB$7:$AB$50,CZ874)&amp;"-魂火-"&amp;DB874</f>
        <v>飞廉-大焦热-魂火-2</v>
      </c>
      <c r="CY874" s="25" t="s">
        <v>142</v>
      </c>
      <c r="CZ874" s="14">
        <f>INDEX(属性投放!$AM$7:$AM$58,CU874)</f>
        <v>16</v>
      </c>
      <c r="DA874" s="14" t="s">
        <v>537</v>
      </c>
      <c r="DB874" s="14">
        <f>INDEX(属性投放!$AN$7:$AN$58,CU874)</f>
        <v>2</v>
      </c>
      <c r="DC874" s="14">
        <f t="shared" si="1081"/>
        <v>38</v>
      </c>
      <c r="DD874" s="14">
        <f>INDEX(属性投放!$AO$7:$AO$58,DC874)</f>
        <v>113</v>
      </c>
      <c r="DE874" s="14" t="s">
        <v>538</v>
      </c>
      <c r="DF874" s="14">
        <f>INDEX(属性投放!$BK$6:$BK$85,(CV874-2)*20+CZ874)</f>
        <v>500</v>
      </c>
      <c r="DG874" s="14">
        <f>SUMIFS(DF$5:DF874,$CT$5:$CT874,"="&amp;$CT874)</f>
        <v>6270</v>
      </c>
      <c r="DH874" s="14" t="s">
        <v>539</v>
      </c>
      <c r="DI874" s="14">
        <f>INDEX(属性投放!$BL$6:$BL$85,(CV874-2)*20+CZ874)</f>
        <v>250</v>
      </c>
      <c r="DJ874" s="14">
        <f>SUMIFS(DI$5:DI874,$CT$5:$CT874,"="&amp;$CT874)</f>
        <v>3138</v>
      </c>
      <c r="DK874" s="14" t="s">
        <v>540</v>
      </c>
      <c r="DL874" s="14">
        <f>INDEX(属性投放!$BM$6:$BM$85,(CV874-2)*20+CZ874)</f>
        <v>5000</v>
      </c>
      <c r="DM874" s="14">
        <f>SUMIFS(DL$5:DL874,$CT$5:$CT874,"="&amp;$CT874)</f>
        <v>58740</v>
      </c>
      <c r="DR874" s="30"/>
      <c r="DS874" s="30"/>
      <c r="DW874" s="30"/>
      <c r="DX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</row>
    <row r="875" spans="97:163" ht="16.5" x14ac:dyDescent="0.2">
      <c r="CS875" s="13">
        <v>871</v>
      </c>
      <c r="CT875" s="13">
        <f t="shared" si="1082"/>
        <v>17</v>
      </c>
      <c r="CU875" s="13">
        <f t="shared" si="1083"/>
        <v>39</v>
      </c>
      <c r="CV875" s="14">
        <f t="shared" si="1084"/>
        <v>3</v>
      </c>
      <c r="CW875" s="14">
        <f t="shared" si="1085"/>
        <v>1102017</v>
      </c>
      <c r="CX875" s="14" t="str">
        <f>INDEX($O$6:$O$50,CT875)&amp;"-"&amp;INDEX(属性投放!$AB$7:$AB$50,CZ875)&amp;"-魂火-"&amp;DB875</f>
        <v>飞廉-大焦热-魂火-3</v>
      </c>
      <c r="CY875" s="25" t="s">
        <v>142</v>
      </c>
      <c r="CZ875" s="14">
        <f>INDEX(属性投放!$AM$7:$AM$58,CU875)</f>
        <v>16</v>
      </c>
      <c r="DA875" s="14" t="s">
        <v>537</v>
      </c>
      <c r="DB875" s="14">
        <f>INDEX(属性投放!$AN$7:$AN$58,CU875)</f>
        <v>3</v>
      </c>
      <c r="DC875" s="14">
        <f t="shared" si="1081"/>
        <v>39</v>
      </c>
      <c r="DD875" s="14">
        <f>INDEX(属性投放!$AO$7:$AO$58,DC875)</f>
        <v>115</v>
      </c>
      <c r="DE875" s="14" t="s">
        <v>538</v>
      </c>
      <c r="DF875" s="14">
        <f>INDEX(属性投放!$BK$6:$BK$85,(CV875-2)*20+CZ875)</f>
        <v>500</v>
      </c>
      <c r="DG875" s="14">
        <f>SUMIFS(DF$5:DF875,$CT$5:$CT875,"="&amp;$CT875)</f>
        <v>6770</v>
      </c>
      <c r="DH875" s="14" t="s">
        <v>539</v>
      </c>
      <c r="DI875" s="14">
        <f>INDEX(属性投放!$BL$6:$BL$85,(CV875-2)*20+CZ875)</f>
        <v>250</v>
      </c>
      <c r="DJ875" s="14">
        <f>SUMIFS(DI$5:DI875,$CT$5:$CT875,"="&amp;$CT875)</f>
        <v>3388</v>
      </c>
      <c r="DK875" s="14" t="s">
        <v>540</v>
      </c>
      <c r="DL875" s="14">
        <f>INDEX(属性投放!$BM$6:$BM$85,(CV875-2)*20+CZ875)</f>
        <v>5000</v>
      </c>
      <c r="DM875" s="14">
        <f>SUMIFS(DL$5:DL875,$CT$5:$CT875,"="&amp;$CT875)</f>
        <v>63740</v>
      </c>
      <c r="DR875" s="30"/>
      <c r="DS875" s="30"/>
      <c r="DW875" s="30"/>
      <c r="DX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</row>
    <row r="876" spans="97:163" ht="16.5" x14ac:dyDescent="0.2">
      <c r="CS876" s="13">
        <v>872</v>
      </c>
      <c r="CT876" s="13">
        <f t="shared" si="1082"/>
        <v>17</v>
      </c>
      <c r="CU876" s="13">
        <f t="shared" si="1083"/>
        <v>40</v>
      </c>
      <c r="CV876" s="14">
        <f t="shared" si="1084"/>
        <v>3</v>
      </c>
      <c r="CW876" s="14">
        <f t="shared" si="1085"/>
        <v>1102017</v>
      </c>
      <c r="CX876" s="14" t="str">
        <f>INDEX($O$6:$O$50,CT876)&amp;"-"&amp;INDEX(属性投放!$AB$7:$AB$50,CZ876)&amp;"-魂火-"&amp;DB876</f>
        <v>飞廉-大焦热+1-魂火-1</v>
      </c>
      <c r="CY876" s="25" t="s">
        <v>142</v>
      </c>
      <c r="CZ876" s="14">
        <f>INDEX(属性投放!$AM$7:$AM$58,CU876)</f>
        <v>17</v>
      </c>
      <c r="DA876" s="14" t="s">
        <v>537</v>
      </c>
      <c r="DB876" s="14">
        <f>INDEX(属性投放!$AN$7:$AN$58,CU876)</f>
        <v>1</v>
      </c>
      <c r="DC876" s="14">
        <f t="shared" si="1081"/>
        <v>40</v>
      </c>
      <c r="DD876" s="14">
        <f>INDEX(属性投放!$AO$7:$AO$58,DC876)</f>
        <v>118</v>
      </c>
      <c r="DE876" s="14" t="s">
        <v>538</v>
      </c>
      <c r="DF876" s="14">
        <f>INDEX(属性投放!$BK$6:$BK$85,(CV876-2)*20+CZ876)</f>
        <v>600</v>
      </c>
      <c r="DG876" s="14">
        <f>SUMIFS(DF$5:DF876,$CT$5:$CT876,"="&amp;$CT876)</f>
        <v>7370</v>
      </c>
      <c r="DH876" s="14" t="s">
        <v>539</v>
      </c>
      <c r="DI876" s="14">
        <f>INDEX(属性投放!$BL$6:$BL$85,(CV876-2)*20+CZ876)</f>
        <v>300</v>
      </c>
      <c r="DJ876" s="14">
        <f>SUMIFS(DI$5:DI876,$CT$5:$CT876,"="&amp;$CT876)</f>
        <v>3688</v>
      </c>
      <c r="DK876" s="14" t="s">
        <v>540</v>
      </c>
      <c r="DL876" s="14">
        <f>INDEX(属性投放!$BM$6:$BM$85,(CV876-2)*20+CZ876)</f>
        <v>6000</v>
      </c>
      <c r="DM876" s="14">
        <f>SUMIFS(DL$5:DL876,$CT$5:$CT876,"="&amp;$CT876)</f>
        <v>69740</v>
      </c>
      <c r="DR876" s="30"/>
      <c r="DS876" s="30"/>
      <c r="DW876" s="30"/>
      <c r="DX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</row>
    <row r="877" spans="97:163" ht="16.5" x14ac:dyDescent="0.2">
      <c r="CS877" s="13">
        <v>873</v>
      </c>
      <c r="CT877" s="13">
        <f t="shared" si="1082"/>
        <v>17</v>
      </c>
      <c r="CU877" s="13">
        <f t="shared" si="1083"/>
        <v>41</v>
      </c>
      <c r="CV877" s="14">
        <f t="shared" si="1084"/>
        <v>3</v>
      </c>
      <c r="CW877" s="14">
        <f t="shared" si="1085"/>
        <v>1102017</v>
      </c>
      <c r="CX877" s="14" t="str">
        <f>INDEX($O$6:$O$50,CT877)&amp;"-"&amp;INDEX(属性投放!$AB$7:$AB$50,CZ877)&amp;"-魂火-"&amp;DB877</f>
        <v>飞廉-大焦热+1-魂火-2</v>
      </c>
      <c r="CY877" s="25" t="s">
        <v>142</v>
      </c>
      <c r="CZ877" s="14">
        <f>INDEX(属性投放!$AM$7:$AM$58,CU877)</f>
        <v>17</v>
      </c>
      <c r="DA877" s="14" t="s">
        <v>537</v>
      </c>
      <c r="DB877" s="14">
        <f>INDEX(属性投放!$AN$7:$AN$58,CU877)</f>
        <v>2</v>
      </c>
      <c r="DC877" s="14">
        <f t="shared" si="1081"/>
        <v>41</v>
      </c>
      <c r="DD877" s="14">
        <f>INDEX(属性投放!$AO$7:$AO$58,DC877)</f>
        <v>120</v>
      </c>
      <c r="DE877" s="14" t="s">
        <v>538</v>
      </c>
      <c r="DF877" s="14">
        <f>INDEX(属性投放!$BK$6:$BK$85,(CV877-2)*20+CZ877)</f>
        <v>600</v>
      </c>
      <c r="DG877" s="14">
        <f>SUMIFS(DF$5:DF877,$CT$5:$CT877,"="&amp;$CT877)</f>
        <v>7970</v>
      </c>
      <c r="DH877" s="14" t="s">
        <v>539</v>
      </c>
      <c r="DI877" s="14">
        <f>INDEX(属性投放!$BL$6:$BL$85,(CV877-2)*20+CZ877)</f>
        <v>300</v>
      </c>
      <c r="DJ877" s="14">
        <f>SUMIFS(DI$5:DI877,$CT$5:$CT877,"="&amp;$CT877)</f>
        <v>3988</v>
      </c>
      <c r="DK877" s="14" t="s">
        <v>540</v>
      </c>
      <c r="DL877" s="14">
        <f>INDEX(属性投放!$BM$6:$BM$85,(CV877-2)*20+CZ877)</f>
        <v>6000</v>
      </c>
      <c r="DM877" s="14">
        <f>SUMIFS(DL$5:DL877,$CT$5:$CT877,"="&amp;$CT877)</f>
        <v>75740</v>
      </c>
      <c r="DR877" s="30"/>
      <c r="DS877" s="30"/>
      <c r="DW877" s="30"/>
      <c r="DX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</row>
    <row r="878" spans="97:163" ht="16.5" x14ac:dyDescent="0.2">
      <c r="CS878" s="13">
        <v>874</v>
      </c>
      <c r="CT878" s="13">
        <f t="shared" si="1082"/>
        <v>17</v>
      </c>
      <c r="CU878" s="13">
        <f t="shared" si="1083"/>
        <v>42</v>
      </c>
      <c r="CV878" s="14">
        <f t="shared" si="1084"/>
        <v>3</v>
      </c>
      <c r="CW878" s="14">
        <f t="shared" si="1085"/>
        <v>1102017</v>
      </c>
      <c r="CX878" s="14" t="str">
        <f>INDEX($O$6:$O$50,CT878)&amp;"-"&amp;INDEX(属性投放!$AB$7:$AB$50,CZ878)&amp;"-魂火-"&amp;DB878</f>
        <v>飞廉-大焦热+1-魂火-3</v>
      </c>
      <c r="CY878" s="25" t="s">
        <v>142</v>
      </c>
      <c r="CZ878" s="14">
        <f>INDEX(属性投放!$AM$7:$AM$58,CU878)</f>
        <v>17</v>
      </c>
      <c r="DA878" s="14" t="s">
        <v>537</v>
      </c>
      <c r="DB878" s="14">
        <f>INDEX(属性投放!$AN$7:$AN$58,CU878)</f>
        <v>3</v>
      </c>
      <c r="DC878" s="14">
        <f t="shared" si="1081"/>
        <v>42</v>
      </c>
      <c r="DD878" s="14">
        <f>INDEX(属性投放!$AO$7:$AO$58,DC878)</f>
        <v>123</v>
      </c>
      <c r="DE878" s="14" t="s">
        <v>538</v>
      </c>
      <c r="DF878" s="14">
        <f>INDEX(属性投放!$BK$6:$BK$85,(CV878-2)*20+CZ878)</f>
        <v>600</v>
      </c>
      <c r="DG878" s="14">
        <f>SUMIFS(DF$5:DF878,$CT$5:$CT878,"="&amp;$CT878)</f>
        <v>8570</v>
      </c>
      <c r="DH878" s="14" t="s">
        <v>539</v>
      </c>
      <c r="DI878" s="14">
        <f>INDEX(属性投放!$BL$6:$BL$85,(CV878-2)*20+CZ878)</f>
        <v>300</v>
      </c>
      <c r="DJ878" s="14">
        <f>SUMIFS(DI$5:DI878,$CT$5:$CT878,"="&amp;$CT878)</f>
        <v>4288</v>
      </c>
      <c r="DK878" s="14" t="s">
        <v>540</v>
      </c>
      <c r="DL878" s="14">
        <f>INDEX(属性投放!$BM$6:$BM$85,(CV878-2)*20+CZ878)</f>
        <v>6000</v>
      </c>
      <c r="DM878" s="14">
        <f>SUMIFS(DL$5:DL878,$CT$5:$CT878,"="&amp;$CT878)</f>
        <v>81740</v>
      </c>
      <c r="DR878" s="30"/>
      <c r="DS878" s="30"/>
      <c r="DW878" s="30"/>
      <c r="DX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</row>
    <row r="879" spans="97:163" ht="16.5" x14ac:dyDescent="0.2">
      <c r="CS879" s="13">
        <v>875</v>
      </c>
      <c r="CT879" s="13">
        <f t="shared" si="1082"/>
        <v>17</v>
      </c>
      <c r="CU879" s="13">
        <f t="shared" si="1083"/>
        <v>43</v>
      </c>
      <c r="CV879" s="14">
        <f t="shared" si="1084"/>
        <v>3</v>
      </c>
      <c r="CW879" s="14">
        <f t="shared" si="1085"/>
        <v>1102017</v>
      </c>
      <c r="CX879" s="14" t="str">
        <f>INDEX($O$6:$O$50,CT879)&amp;"-"&amp;INDEX(属性投放!$AB$7:$AB$50,CZ879)&amp;"-魂火-"&amp;DB879</f>
        <v>飞廉-大焦热+2-魂火-1</v>
      </c>
      <c r="CY879" s="25" t="s">
        <v>142</v>
      </c>
      <c r="CZ879" s="14">
        <f>INDEX(属性投放!$AM$7:$AM$58,CU879)</f>
        <v>18</v>
      </c>
      <c r="DA879" s="14" t="s">
        <v>537</v>
      </c>
      <c r="DB879" s="14">
        <f>INDEX(属性投放!$AN$7:$AN$58,CU879)</f>
        <v>1</v>
      </c>
      <c r="DC879" s="14">
        <f t="shared" si="1081"/>
        <v>43</v>
      </c>
      <c r="DD879" s="14">
        <f>INDEX(属性投放!$AO$7:$AO$58,DC879)</f>
        <v>125</v>
      </c>
      <c r="DE879" s="14" t="s">
        <v>538</v>
      </c>
      <c r="DF879" s="14">
        <f>INDEX(属性投放!$BK$6:$BK$85,(CV879-2)*20+CZ879)</f>
        <v>700</v>
      </c>
      <c r="DG879" s="14">
        <f>SUMIFS(DF$5:DF879,$CT$5:$CT879,"="&amp;$CT879)</f>
        <v>9270</v>
      </c>
      <c r="DH879" s="14" t="s">
        <v>539</v>
      </c>
      <c r="DI879" s="14">
        <f>INDEX(属性投放!$BL$6:$BL$85,(CV879-2)*20+CZ879)</f>
        <v>350</v>
      </c>
      <c r="DJ879" s="14">
        <f>SUMIFS(DI$5:DI879,$CT$5:$CT879,"="&amp;$CT879)</f>
        <v>4638</v>
      </c>
      <c r="DK879" s="14" t="s">
        <v>540</v>
      </c>
      <c r="DL879" s="14">
        <f>INDEX(属性投放!$BM$6:$BM$85,(CV879-2)*20+CZ879)</f>
        <v>7000</v>
      </c>
      <c r="DM879" s="14">
        <f>SUMIFS(DL$5:DL879,$CT$5:$CT879,"="&amp;$CT879)</f>
        <v>88740</v>
      </c>
      <c r="DR879" s="30"/>
      <c r="DS879" s="30"/>
      <c r="DW879" s="30"/>
      <c r="DX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</row>
    <row r="880" spans="97:163" ht="16.5" x14ac:dyDescent="0.2">
      <c r="CS880" s="13">
        <v>876</v>
      </c>
      <c r="CT880" s="13">
        <f t="shared" si="1082"/>
        <v>17</v>
      </c>
      <c r="CU880" s="13">
        <f t="shared" si="1083"/>
        <v>44</v>
      </c>
      <c r="CV880" s="14">
        <f t="shared" si="1084"/>
        <v>3</v>
      </c>
      <c r="CW880" s="14">
        <f t="shared" si="1085"/>
        <v>1102017</v>
      </c>
      <c r="CX880" s="14" t="str">
        <f>INDEX($O$6:$O$50,CT880)&amp;"-"&amp;INDEX(属性投放!$AB$7:$AB$50,CZ880)&amp;"-魂火-"&amp;DB880</f>
        <v>飞廉-大焦热+2-魂火-2</v>
      </c>
      <c r="CY880" s="25" t="s">
        <v>142</v>
      </c>
      <c r="CZ880" s="14">
        <f>INDEX(属性投放!$AM$7:$AM$58,CU880)</f>
        <v>18</v>
      </c>
      <c r="DA880" s="14" t="s">
        <v>537</v>
      </c>
      <c r="DB880" s="14">
        <f>INDEX(属性投放!$AN$7:$AN$58,CU880)</f>
        <v>2</v>
      </c>
      <c r="DC880" s="14">
        <f t="shared" si="1081"/>
        <v>44</v>
      </c>
      <c r="DD880" s="14">
        <f>INDEX(属性投放!$AO$7:$AO$58,DC880)</f>
        <v>128</v>
      </c>
      <c r="DE880" s="14" t="s">
        <v>538</v>
      </c>
      <c r="DF880" s="14">
        <f>INDEX(属性投放!$BK$6:$BK$85,(CV880-2)*20+CZ880)</f>
        <v>700</v>
      </c>
      <c r="DG880" s="14">
        <f>SUMIFS(DF$5:DF880,$CT$5:$CT880,"="&amp;$CT880)</f>
        <v>9970</v>
      </c>
      <c r="DH880" s="14" t="s">
        <v>539</v>
      </c>
      <c r="DI880" s="14">
        <f>INDEX(属性投放!$BL$6:$BL$85,(CV880-2)*20+CZ880)</f>
        <v>350</v>
      </c>
      <c r="DJ880" s="14">
        <f>SUMIFS(DI$5:DI880,$CT$5:$CT880,"="&amp;$CT880)</f>
        <v>4988</v>
      </c>
      <c r="DK880" s="14" t="s">
        <v>540</v>
      </c>
      <c r="DL880" s="14">
        <f>INDEX(属性投放!$BM$6:$BM$85,(CV880-2)*20+CZ880)</f>
        <v>7000</v>
      </c>
      <c r="DM880" s="14">
        <f>SUMIFS(DL$5:DL880,$CT$5:$CT880,"="&amp;$CT880)</f>
        <v>95740</v>
      </c>
      <c r="DR880" s="30"/>
      <c r="DS880" s="30"/>
      <c r="DW880" s="30"/>
      <c r="DX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</row>
    <row r="881" spans="97:163" ht="16.5" x14ac:dyDescent="0.2">
      <c r="CS881" s="13">
        <v>877</v>
      </c>
      <c r="CT881" s="13">
        <f t="shared" si="1082"/>
        <v>17</v>
      </c>
      <c r="CU881" s="13">
        <f t="shared" si="1083"/>
        <v>45</v>
      </c>
      <c r="CV881" s="14">
        <f t="shared" si="1084"/>
        <v>3</v>
      </c>
      <c r="CW881" s="14">
        <f t="shared" si="1085"/>
        <v>1102017</v>
      </c>
      <c r="CX881" s="14" t="str">
        <f>INDEX($O$6:$O$50,CT881)&amp;"-"&amp;INDEX(属性投放!$AB$7:$AB$50,CZ881)&amp;"-魂火-"&amp;DB881</f>
        <v>飞廉-大焦热+2-魂火-3</v>
      </c>
      <c r="CY881" s="25" t="s">
        <v>142</v>
      </c>
      <c r="CZ881" s="14">
        <f>INDEX(属性投放!$AM$7:$AM$58,CU881)</f>
        <v>18</v>
      </c>
      <c r="DA881" s="14" t="s">
        <v>537</v>
      </c>
      <c r="DB881" s="14">
        <f>INDEX(属性投放!$AN$7:$AN$58,CU881)</f>
        <v>3</v>
      </c>
      <c r="DC881" s="14">
        <f t="shared" si="1081"/>
        <v>45</v>
      </c>
      <c r="DD881" s="14">
        <f>INDEX(属性投放!$AO$7:$AO$58,DC881)</f>
        <v>130</v>
      </c>
      <c r="DE881" s="14" t="s">
        <v>538</v>
      </c>
      <c r="DF881" s="14">
        <f>INDEX(属性投放!$BK$6:$BK$85,(CV881-2)*20+CZ881)</f>
        <v>700</v>
      </c>
      <c r="DG881" s="14">
        <f>SUMIFS(DF$5:DF881,$CT$5:$CT881,"="&amp;$CT881)</f>
        <v>10670</v>
      </c>
      <c r="DH881" s="14" t="s">
        <v>539</v>
      </c>
      <c r="DI881" s="14">
        <f>INDEX(属性投放!$BL$6:$BL$85,(CV881-2)*20+CZ881)</f>
        <v>350</v>
      </c>
      <c r="DJ881" s="14">
        <f>SUMIFS(DI$5:DI881,$CT$5:$CT881,"="&amp;$CT881)</f>
        <v>5338</v>
      </c>
      <c r="DK881" s="14" t="s">
        <v>540</v>
      </c>
      <c r="DL881" s="14">
        <f>INDEX(属性投放!$BM$6:$BM$85,(CV881-2)*20+CZ881)</f>
        <v>7000</v>
      </c>
      <c r="DM881" s="14">
        <f>SUMIFS(DL$5:DL881,$CT$5:$CT881,"="&amp;$CT881)</f>
        <v>102740</v>
      </c>
      <c r="DR881" s="30"/>
      <c r="DS881" s="30"/>
      <c r="DW881" s="30"/>
      <c r="DX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</row>
    <row r="882" spans="97:163" ht="16.5" x14ac:dyDescent="0.2">
      <c r="CS882" s="13">
        <v>878</v>
      </c>
      <c r="CT882" s="13">
        <f t="shared" si="1082"/>
        <v>17</v>
      </c>
      <c r="CU882" s="13">
        <f t="shared" si="1083"/>
        <v>46</v>
      </c>
      <c r="CV882" s="14">
        <f t="shared" si="1084"/>
        <v>3</v>
      </c>
      <c r="CW882" s="14">
        <f t="shared" si="1085"/>
        <v>1102017</v>
      </c>
      <c r="CX882" s="14" t="str">
        <f>INDEX($O$6:$O$50,CT882)&amp;"-"&amp;INDEX(属性投放!$AB$7:$AB$50,CZ882)&amp;"-魂火-"&amp;DB882</f>
        <v>飞廉-无间-魂火-1</v>
      </c>
      <c r="CY882" s="25" t="s">
        <v>142</v>
      </c>
      <c r="CZ882" s="14">
        <f>INDEX(属性投放!$AM$7:$AM$58,CU882)</f>
        <v>19</v>
      </c>
      <c r="DA882" s="14" t="s">
        <v>537</v>
      </c>
      <c r="DB882" s="14">
        <f>INDEX(属性投放!$AN$7:$AN$58,CU882)</f>
        <v>1</v>
      </c>
      <c r="DC882" s="14">
        <f t="shared" si="1081"/>
        <v>46</v>
      </c>
      <c r="DD882" s="14">
        <f>INDEX(属性投放!$AO$7:$AO$58,DC882)</f>
        <v>133</v>
      </c>
      <c r="DE882" s="14" t="s">
        <v>538</v>
      </c>
      <c r="DF882" s="14">
        <f>INDEX(属性投放!$BK$6:$BK$85,(CV882-2)*20+CZ882)</f>
        <v>900</v>
      </c>
      <c r="DG882" s="14">
        <f>SUMIFS(DF$5:DF882,$CT$5:$CT882,"="&amp;$CT882)</f>
        <v>11570</v>
      </c>
      <c r="DH882" s="14" t="s">
        <v>539</v>
      </c>
      <c r="DI882" s="14">
        <f>INDEX(属性投放!$BL$6:$BL$85,(CV882-2)*20+CZ882)</f>
        <v>450</v>
      </c>
      <c r="DJ882" s="14">
        <f>SUMIFS(DI$5:DI882,$CT$5:$CT882,"="&amp;$CT882)</f>
        <v>5788</v>
      </c>
      <c r="DK882" s="14" t="s">
        <v>540</v>
      </c>
      <c r="DL882" s="14">
        <f>INDEX(属性投放!$BM$6:$BM$85,(CV882-2)*20+CZ882)</f>
        <v>9000</v>
      </c>
      <c r="DM882" s="14">
        <f>SUMIFS(DL$5:DL882,$CT$5:$CT882,"="&amp;$CT882)</f>
        <v>111740</v>
      </c>
      <c r="DR882" s="30"/>
      <c r="DS882" s="30"/>
      <c r="DW882" s="30"/>
      <c r="DX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</row>
    <row r="883" spans="97:163" ht="16.5" x14ac:dyDescent="0.2">
      <c r="CS883" s="13">
        <v>879</v>
      </c>
      <c r="CT883" s="13">
        <f t="shared" si="1082"/>
        <v>17</v>
      </c>
      <c r="CU883" s="13">
        <f t="shared" si="1083"/>
        <v>47</v>
      </c>
      <c r="CV883" s="14">
        <f t="shared" si="1084"/>
        <v>3</v>
      </c>
      <c r="CW883" s="14">
        <f t="shared" si="1085"/>
        <v>1102017</v>
      </c>
      <c r="CX883" s="14" t="str">
        <f>INDEX($O$6:$O$50,CT883)&amp;"-"&amp;INDEX(属性投放!$AB$7:$AB$50,CZ883)&amp;"-魂火-"&amp;DB883</f>
        <v>飞廉-无间-魂火-2</v>
      </c>
      <c r="CY883" s="25" t="s">
        <v>142</v>
      </c>
      <c r="CZ883" s="14">
        <f>INDEX(属性投放!$AM$7:$AM$58,CU883)</f>
        <v>19</v>
      </c>
      <c r="DA883" s="14" t="s">
        <v>537</v>
      </c>
      <c r="DB883" s="14">
        <f>INDEX(属性投放!$AN$7:$AN$58,CU883)</f>
        <v>2</v>
      </c>
      <c r="DC883" s="14">
        <f t="shared" si="1081"/>
        <v>47</v>
      </c>
      <c r="DD883" s="14">
        <f>INDEX(属性投放!$AO$7:$AO$58,DC883)</f>
        <v>135</v>
      </c>
      <c r="DE883" s="14" t="s">
        <v>538</v>
      </c>
      <c r="DF883" s="14">
        <f>INDEX(属性投放!$BK$6:$BK$85,(CV883-2)*20+CZ883)</f>
        <v>900</v>
      </c>
      <c r="DG883" s="14">
        <f>SUMIFS(DF$5:DF883,$CT$5:$CT883,"="&amp;$CT883)</f>
        <v>12470</v>
      </c>
      <c r="DH883" s="14" t="s">
        <v>539</v>
      </c>
      <c r="DI883" s="14">
        <f>INDEX(属性投放!$BL$6:$BL$85,(CV883-2)*20+CZ883)</f>
        <v>450</v>
      </c>
      <c r="DJ883" s="14">
        <f>SUMIFS(DI$5:DI883,$CT$5:$CT883,"="&amp;$CT883)</f>
        <v>6238</v>
      </c>
      <c r="DK883" s="14" t="s">
        <v>540</v>
      </c>
      <c r="DL883" s="14">
        <f>INDEX(属性投放!$BM$6:$BM$85,(CV883-2)*20+CZ883)</f>
        <v>9000</v>
      </c>
      <c r="DM883" s="14">
        <f>SUMIFS(DL$5:DL883,$CT$5:$CT883,"="&amp;$CT883)</f>
        <v>120740</v>
      </c>
      <c r="DR883" s="30"/>
      <c r="DS883" s="30"/>
      <c r="DW883" s="30"/>
      <c r="DX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</row>
    <row r="884" spans="97:163" ht="16.5" x14ac:dyDescent="0.2">
      <c r="CS884" s="13">
        <v>880</v>
      </c>
      <c r="CT884" s="13">
        <f t="shared" si="1082"/>
        <v>17</v>
      </c>
      <c r="CU884" s="13">
        <f t="shared" si="1083"/>
        <v>48</v>
      </c>
      <c r="CV884" s="14">
        <f t="shared" si="1084"/>
        <v>3</v>
      </c>
      <c r="CW884" s="14">
        <f t="shared" si="1085"/>
        <v>1102017</v>
      </c>
      <c r="CX884" s="14" t="str">
        <f>INDEX($O$6:$O$50,CT884)&amp;"-"&amp;INDEX(属性投放!$AB$7:$AB$50,CZ884)&amp;"-魂火-"&amp;DB884</f>
        <v>飞廉-无间-魂火-3</v>
      </c>
      <c r="CY884" s="25" t="s">
        <v>142</v>
      </c>
      <c r="CZ884" s="14">
        <f>INDEX(属性投放!$AM$7:$AM$58,CU884)</f>
        <v>19</v>
      </c>
      <c r="DA884" s="14" t="s">
        <v>537</v>
      </c>
      <c r="DB884" s="14">
        <f>INDEX(属性投放!$AN$7:$AN$58,CU884)</f>
        <v>3</v>
      </c>
      <c r="DC884" s="14">
        <f t="shared" si="1081"/>
        <v>48</v>
      </c>
      <c r="DD884" s="14">
        <f>INDEX(属性投放!$AO$7:$AO$58,DC884)</f>
        <v>138</v>
      </c>
      <c r="DE884" s="14" t="s">
        <v>538</v>
      </c>
      <c r="DF884" s="14">
        <f>INDEX(属性投放!$BK$6:$BK$85,(CV884-2)*20+CZ884)</f>
        <v>900</v>
      </c>
      <c r="DG884" s="14">
        <f>SUMIFS(DF$5:DF884,$CT$5:$CT884,"="&amp;$CT884)</f>
        <v>13370</v>
      </c>
      <c r="DH884" s="14" t="s">
        <v>539</v>
      </c>
      <c r="DI884" s="14">
        <f>INDEX(属性投放!$BL$6:$BL$85,(CV884-2)*20+CZ884)</f>
        <v>450</v>
      </c>
      <c r="DJ884" s="14">
        <f>SUMIFS(DI$5:DI884,$CT$5:$CT884,"="&amp;$CT884)</f>
        <v>6688</v>
      </c>
      <c r="DK884" s="14" t="s">
        <v>540</v>
      </c>
      <c r="DL884" s="14">
        <f>INDEX(属性投放!$BM$6:$BM$85,(CV884-2)*20+CZ884)</f>
        <v>9000</v>
      </c>
      <c r="DM884" s="14">
        <f>SUMIFS(DL$5:DL884,$CT$5:$CT884,"="&amp;$CT884)</f>
        <v>129740</v>
      </c>
      <c r="DR884" s="30"/>
      <c r="DS884" s="30"/>
      <c r="DW884" s="30"/>
      <c r="DX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</row>
    <row r="885" spans="97:163" ht="16.5" x14ac:dyDescent="0.2">
      <c r="CS885" s="13">
        <v>881</v>
      </c>
      <c r="CT885" s="13">
        <f t="shared" si="1082"/>
        <v>17</v>
      </c>
      <c r="CU885" s="13">
        <f t="shared" si="1083"/>
        <v>49</v>
      </c>
      <c r="CV885" s="14">
        <f t="shared" si="1084"/>
        <v>3</v>
      </c>
      <c r="CW885" s="14">
        <f t="shared" si="1085"/>
        <v>1102017</v>
      </c>
      <c r="CX885" s="14" t="str">
        <f>INDEX($O$6:$O$50,CT885)&amp;"-"&amp;INDEX(属性投放!$AB$7:$AB$50,CZ885)&amp;"-魂火-"&amp;DB885</f>
        <v>飞廉-无间+1-魂火-1</v>
      </c>
      <c r="CY885" s="25" t="s">
        <v>142</v>
      </c>
      <c r="CZ885" s="14">
        <f>INDEX(属性投放!$AM$7:$AM$58,CU885)</f>
        <v>20</v>
      </c>
      <c r="DA885" s="14" t="s">
        <v>537</v>
      </c>
      <c r="DB885" s="14">
        <f>INDEX(属性投放!$AN$7:$AN$58,CU885)</f>
        <v>1</v>
      </c>
      <c r="DC885" s="14">
        <f t="shared" si="1081"/>
        <v>49</v>
      </c>
      <c r="DD885" s="14">
        <f>INDEX(属性投放!$AO$7:$AO$58,DC885)</f>
        <v>140</v>
      </c>
      <c r="DE885" s="14" t="s">
        <v>538</v>
      </c>
      <c r="DF885" s="14">
        <f>INDEX(属性投放!$BK$6:$BK$85,(CV885-2)*20+CZ885)</f>
        <v>1000</v>
      </c>
      <c r="DG885" s="14">
        <f>SUMIFS(DF$5:DF885,$CT$5:$CT885,"="&amp;$CT885)</f>
        <v>14370</v>
      </c>
      <c r="DH885" s="14" t="s">
        <v>539</v>
      </c>
      <c r="DI885" s="14">
        <f>INDEX(属性投放!$BL$6:$BL$85,(CV885-2)*20+CZ885)</f>
        <v>500</v>
      </c>
      <c r="DJ885" s="14">
        <f>SUMIFS(DI$5:DI885,$CT$5:$CT885,"="&amp;$CT885)</f>
        <v>7188</v>
      </c>
      <c r="DK885" s="14" t="s">
        <v>540</v>
      </c>
      <c r="DL885" s="14">
        <f>INDEX(属性投放!$BM$6:$BM$85,(CV885-2)*20+CZ885)</f>
        <v>10000</v>
      </c>
      <c r="DM885" s="14">
        <f>SUMIFS(DL$5:DL885,$CT$5:$CT885,"="&amp;$CT885)</f>
        <v>139740</v>
      </c>
      <c r="DR885" s="30"/>
      <c r="DS885" s="30"/>
      <c r="DW885" s="30"/>
      <c r="DX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</row>
    <row r="886" spans="97:163" ht="16.5" x14ac:dyDescent="0.2">
      <c r="CS886" s="13">
        <v>882</v>
      </c>
      <c r="CT886" s="13">
        <f t="shared" si="1082"/>
        <v>17</v>
      </c>
      <c r="CU886" s="13">
        <f t="shared" si="1083"/>
        <v>50</v>
      </c>
      <c r="CV886" s="14">
        <f t="shared" si="1084"/>
        <v>3</v>
      </c>
      <c r="CW886" s="14">
        <f t="shared" si="1085"/>
        <v>1102017</v>
      </c>
      <c r="CX886" s="14" t="str">
        <f>INDEX($O$6:$O$50,CT886)&amp;"-"&amp;INDEX(属性投放!$AB$7:$AB$50,CZ886)&amp;"-魂火-"&amp;DB886</f>
        <v>飞廉-无间+1-魂火-2</v>
      </c>
      <c r="CY886" s="25" t="s">
        <v>142</v>
      </c>
      <c r="CZ886" s="14">
        <f>INDEX(属性投放!$AM$7:$AM$58,CU886)</f>
        <v>20</v>
      </c>
      <c r="DA886" s="14" t="s">
        <v>537</v>
      </c>
      <c r="DB886" s="14">
        <f>INDEX(属性投放!$AN$7:$AN$58,CU886)</f>
        <v>2</v>
      </c>
      <c r="DC886" s="14">
        <f t="shared" si="1081"/>
        <v>50</v>
      </c>
      <c r="DD886" s="14">
        <f>INDEX(属性投放!$AO$7:$AO$58,DC886)</f>
        <v>143</v>
      </c>
      <c r="DE886" s="14" t="s">
        <v>538</v>
      </c>
      <c r="DF886" s="14">
        <f>INDEX(属性投放!$BK$6:$BK$85,(CV886-2)*20+CZ886)</f>
        <v>1000</v>
      </c>
      <c r="DG886" s="14">
        <f>SUMIFS(DF$5:DF886,$CT$5:$CT886,"="&amp;$CT886)</f>
        <v>15370</v>
      </c>
      <c r="DH886" s="14" t="s">
        <v>539</v>
      </c>
      <c r="DI886" s="14">
        <f>INDEX(属性投放!$BL$6:$BL$85,(CV886-2)*20+CZ886)</f>
        <v>500</v>
      </c>
      <c r="DJ886" s="14">
        <f>SUMIFS(DI$5:DI886,$CT$5:$CT886,"="&amp;$CT886)</f>
        <v>7688</v>
      </c>
      <c r="DK886" s="14" t="s">
        <v>540</v>
      </c>
      <c r="DL886" s="14">
        <f>INDEX(属性投放!$BM$6:$BM$85,(CV886-2)*20+CZ886)</f>
        <v>10000</v>
      </c>
      <c r="DM886" s="14">
        <f>SUMIFS(DL$5:DL886,$CT$5:$CT886,"="&amp;$CT886)</f>
        <v>149740</v>
      </c>
      <c r="DR886" s="30"/>
      <c r="DS886" s="30"/>
      <c r="DW886" s="30"/>
      <c r="DX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</row>
    <row r="887" spans="97:163" ht="16.5" x14ac:dyDescent="0.2">
      <c r="CS887" s="13">
        <v>883</v>
      </c>
      <c r="CT887" s="13">
        <f t="shared" si="1082"/>
        <v>17</v>
      </c>
      <c r="CU887" s="13">
        <f t="shared" si="1083"/>
        <v>51</v>
      </c>
      <c r="CV887" s="14">
        <f t="shared" si="1084"/>
        <v>3</v>
      </c>
      <c r="CW887" s="14">
        <f t="shared" si="1085"/>
        <v>1102017</v>
      </c>
      <c r="CX887" s="14" t="str">
        <f>INDEX($O$6:$O$50,CT887)&amp;"-"&amp;INDEX(属性投放!$AB$7:$AB$50,CZ887)&amp;"-魂火-"&amp;DB887</f>
        <v>飞廉-无间+1-魂火-3</v>
      </c>
      <c r="CY887" s="25" t="s">
        <v>142</v>
      </c>
      <c r="CZ887" s="14">
        <f>INDEX(属性投放!$AM$7:$AM$58,CU887)</f>
        <v>20</v>
      </c>
      <c r="DA887" s="14" t="s">
        <v>537</v>
      </c>
      <c r="DB887" s="14">
        <f>INDEX(属性投放!$AN$7:$AN$58,CU887)</f>
        <v>3</v>
      </c>
      <c r="DC887" s="14">
        <f t="shared" si="1081"/>
        <v>51</v>
      </c>
      <c r="DD887" s="14">
        <f>INDEX(属性投放!$AO$7:$AO$58,DC887)</f>
        <v>145</v>
      </c>
      <c r="DE887" s="14" t="s">
        <v>538</v>
      </c>
      <c r="DF887" s="14">
        <f>INDEX(属性投放!$BK$6:$BK$85,(CV887-2)*20+CZ887)</f>
        <v>1000</v>
      </c>
      <c r="DG887" s="14">
        <f>SUMIFS(DF$5:DF887,$CT$5:$CT887,"="&amp;$CT887)</f>
        <v>16370</v>
      </c>
      <c r="DH887" s="14" t="s">
        <v>539</v>
      </c>
      <c r="DI887" s="14">
        <f>INDEX(属性投放!$BL$6:$BL$85,(CV887-2)*20+CZ887)</f>
        <v>500</v>
      </c>
      <c r="DJ887" s="14">
        <f>SUMIFS(DI$5:DI887,$CT$5:$CT887,"="&amp;$CT887)</f>
        <v>8188</v>
      </c>
      <c r="DK887" s="14" t="s">
        <v>540</v>
      </c>
      <c r="DL887" s="14">
        <f>INDEX(属性投放!$BM$6:$BM$85,(CV887-2)*20+CZ887)</f>
        <v>10000</v>
      </c>
      <c r="DM887" s="14">
        <f>SUMIFS(DL$5:DL887,$CT$5:$CT887,"="&amp;$CT887)</f>
        <v>159740</v>
      </c>
      <c r="DR887" s="30"/>
      <c r="DS887" s="30"/>
      <c r="DW887" s="30"/>
      <c r="DX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</row>
    <row r="888" spans="97:163" ht="16.5" x14ac:dyDescent="0.2">
      <c r="CS888" s="13">
        <v>884</v>
      </c>
      <c r="CT888" s="13">
        <f t="shared" si="1082"/>
        <v>17</v>
      </c>
      <c r="CU888" s="13">
        <f t="shared" si="1083"/>
        <v>52</v>
      </c>
      <c r="CV888" s="14">
        <f t="shared" si="1084"/>
        <v>3</v>
      </c>
      <c r="CW888" s="14">
        <f t="shared" si="1085"/>
        <v>1102017</v>
      </c>
      <c r="CX888" s="14" t="str">
        <f>INDEX($O$6:$O$50,CT888)&amp;"-"&amp;INDEX(属性投放!$AB$7:$AB$50,CZ888)&amp;"-魂火-"&amp;DB888</f>
        <v>飞廉-无间+1-魂火-4</v>
      </c>
      <c r="CY888" s="25" t="s">
        <v>142</v>
      </c>
      <c r="CZ888" s="14">
        <f>INDEX(属性投放!$AM$7:$AM$58,CU888)</f>
        <v>20</v>
      </c>
      <c r="DA888" s="14" t="s">
        <v>537</v>
      </c>
      <c r="DB888" s="14">
        <f>INDEX(属性投放!$AN$7:$AN$58,CU888)</f>
        <v>4</v>
      </c>
      <c r="DC888" s="14">
        <f t="shared" si="1081"/>
        <v>52</v>
      </c>
      <c r="DD888" s="14">
        <f>INDEX(属性投放!$AO$7:$AO$58,DC888)</f>
        <v>148</v>
      </c>
      <c r="DE888" s="14" t="s">
        <v>538</v>
      </c>
      <c r="DF888" s="14">
        <f>INDEX(属性投放!$BK$6:$BK$85,(CV888-2)*20+CZ888)</f>
        <v>1000</v>
      </c>
      <c r="DG888" s="14">
        <f>SUMIFS(DF$5:DF888,$CT$5:$CT888,"="&amp;$CT888)</f>
        <v>17370</v>
      </c>
      <c r="DH888" s="14" t="s">
        <v>539</v>
      </c>
      <c r="DI888" s="14">
        <f>INDEX(属性投放!$BL$6:$BL$85,(CV888-2)*20+CZ888)</f>
        <v>500</v>
      </c>
      <c r="DJ888" s="14">
        <f>SUMIFS(DI$5:DI888,$CT$5:$CT888,"="&amp;$CT888)</f>
        <v>8688</v>
      </c>
      <c r="DK888" s="14" t="s">
        <v>540</v>
      </c>
      <c r="DL888" s="14">
        <f>INDEX(属性投放!$BM$6:$BM$85,(CV888-2)*20+CZ888)</f>
        <v>10000</v>
      </c>
      <c r="DM888" s="14">
        <f>SUMIFS(DL$5:DL888,$CT$5:$CT888,"="&amp;$CT888)</f>
        <v>169740</v>
      </c>
      <c r="DR888" s="30"/>
      <c r="DS888" s="30"/>
      <c r="DW888" s="30"/>
      <c r="DX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</row>
    <row r="889" spans="97:163" ht="16.5" x14ac:dyDescent="0.2">
      <c r="CS889" s="13">
        <v>885</v>
      </c>
      <c r="CT889" s="13">
        <f t="shared" si="1082"/>
        <v>18</v>
      </c>
      <c r="CU889" s="13">
        <f t="shared" si="1083"/>
        <v>1</v>
      </c>
      <c r="CV889" s="14">
        <f t="shared" si="1084"/>
        <v>2</v>
      </c>
      <c r="CW889" s="14">
        <f t="shared" si="1085"/>
        <v>1102018</v>
      </c>
      <c r="CX889" s="14" t="str">
        <f>INDEX($O$6:$O$50,CT889)&amp;"-"&amp;INDEX(属性投放!$AB$7:$AB$50,CZ889)&amp;"-魂火-"&amp;DB889</f>
        <v>噬日-等活-魂火-1</v>
      </c>
      <c r="CY889" s="25" t="s">
        <v>142</v>
      </c>
      <c r="CZ889" s="14">
        <f>INDEX(属性投放!$AM$7:$AM$58,CU889)</f>
        <v>1</v>
      </c>
      <c r="DA889" s="14" t="s">
        <v>537</v>
      </c>
      <c r="DB889" s="14">
        <f>INDEX(属性投放!$AN$7:$AN$58,CU889)</f>
        <v>1</v>
      </c>
      <c r="DC889" s="14">
        <f t="shared" si="1081"/>
        <v>1</v>
      </c>
      <c r="DD889" s="14">
        <f>INDEX(属性投放!$AO$7:$AO$58,DC889)</f>
        <v>3</v>
      </c>
      <c r="DE889" s="14" t="s">
        <v>538</v>
      </c>
      <c r="DF889" s="14">
        <f>INDEX(属性投放!$BK$6:$BK$85,(CV889-2)*20+CZ889)</f>
        <v>15</v>
      </c>
      <c r="DG889" s="14">
        <f>SUMIFS(DF$5:DF889,$CT$5:$CT889,"="&amp;$CT889)</f>
        <v>15</v>
      </c>
      <c r="DH889" s="14" t="s">
        <v>539</v>
      </c>
      <c r="DI889" s="14">
        <f>INDEX(属性投放!$BL$6:$BL$85,(CV889-2)*20+CZ889)</f>
        <v>8</v>
      </c>
      <c r="DJ889" s="14">
        <f>SUMIFS(DI$5:DI889,$CT$5:$CT889,"="&amp;$CT889)</f>
        <v>8</v>
      </c>
      <c r="DK889" s="14" t="s">
        <v>540</v>
      </c>
      <c r="DL889" s="14">
        <f>INDEX(属性投放!$BM$6:$BM$85,(CV889-2)*20+CZ889)</f>
        <v>90</v>
      </c>
      <c r="DM889" s="14">
        <f>SUMIFS(DL$5:DL889,$CT$5:$CT889,"="&amp;$CT889)</f>
        <v>90</v>
      </c>
      <c r="DR889" s="30"/>
      <c r="DS889" s="30"/>
      <c r="DW889" s="30"/>
      <c r="DX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</row>
    <row r="890" spans="97:163" ht="16.5" x14ac:dyDescent="0.2">
      <c r="CS890" s="13">
        <v>886</v>
      </c>
      <c r="CT890" s="13">
        <f t="shared" si="1082"/>
        <v>18</v>
      </c>
      <c r="CU890" s="13">
        <f t="shared" si="1083"/>
        <v>2</v>
      </c>
      <c r="CV890" s="14">
        <f t="shared" si="1084"/>
        <v>2</v>
      </c>
      <c r="CW890" s="14">
        <f t="shared" si="1085"/>
        <v>1102018</v>
      </c>
      <c r="CX890" s="14" t="str">
        <f>INDEX($O$6:$O$50,CT890)&amp;"-"&amp;INDEX(属性投放!$AB$7:$AB$50,CZ890)&amp;"-魂火-"&amp;DB890</f>
        <v>噬日-黑绳-魂火-1</v>
      </c>
      <c r="CY890" s="25" t="s">
        <v>142</v>
      </c>
      <c r="CZ890" s="14">
        <f>INDEX(属性投放!$AM$7:$AM$58,CU890)</f>
        <v>2</v>
      </c>
      <c r="DA890" s="14" t="s">
        <v>537</v>
      </c>
      <c r="DB890" s="14">
        <f>INDEX(属性投放!$AN$7:$AN$58,CU890)</f>
        <v>1</v>
      </c>
      <c r="DC890" s="14">
        <f t="shared" si="1081"/>
        <v>2</v>
      </c>
      <c r="DD890" s="14">
        <f>INDEX(属性投放!$AO$7:$AO$58,DC890)</f>
        <v>8</v>
      </c>
      <c r="DE890" s="14" t="s">
        <v>538</v>
      </c>
      <c r="DF890" s="14">
        <f>INDEX(属性投放!$BK$6:$BK$85,(CV890-2)*20+CZ890)</f>
        <v>20</v>
      </c>
      <c r="DG890" s="14">
        <f>SUMIFS(DF$5:DF890,$CT$5:$CT890,"="&amp;$CT890)</f>
        <v>35</v>
      </c>
      <c r="DH890" s="14" t="s">
        <v>539</v>
      </c>
      <c r="DI890" s="14">
        <f>INDEX(属性投放!$BL$6:$BL$85,(CV890-2)*20+CZ890)</f>
        <v>10</v>
      </c>
      <c r="DJ890" s="14">
        <f>SUMIFS(DI$5:DI890,$CT$5:$CT890,"="&amp;$CT890)</f>
        <v>18</v>
      </c>
      <c r="DK890" s="14" t="s">
        <v>540</v>
      </c>
      <c r="DL890" s="14">
        <f>INDEX(属性投放!$BM$6:$BM$85,(CV890-2)*20+CZ890)</f>
        <v>120</v>
      </c>
      <c r="DM890" s="14">
        <f>SUMIFS(DL$5:DL890,$CT$5:$CT890,"="&amp;$CT890)</f>
        <v>210</v>
      </c>
      <c r="DR890" s="30"/>
      <c r="DS890" s="30"/>
      <c r="DW890" s="30"/>
      <c r="DX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</row>
    <row r="891" spans="97:163" ht="16.5" x14ac:dyDescent="0.2">
      <c r="CS891" s="13">
        <v>887</v>
      </c>
      <c r="CT891" s="13">
        <f t="shared" si="1082"/>
        <v>18</v>
      </c>
      <c r="CU891" s="13">
        <f t="shared" si="1083"/>
        <v>3</v>
      </c>
      <c r="CV891" s="14">
        <f t="shared" si="1084"/>
        <v>2</v>
      </c>
      <c r="CW891" s="14">
        <f t="shared" si="1085"/>
        <v>1102018</v>
      </c>
      <c r="CX891" s="14" t="str">
        <f>INDEX($O$6:$O$50,CT891)&amp;"-"&amp;INDEX(属性投放!$AB$7:$AB$50,CZ891)&amp;"-魂火-"&amp;DB891</f>
        <v>噬日-黑绳-魂火-2</v>
      </c>
      <c r="CY891" s="25" t="s">
        <v>142</v>
      </c>
      <c r="CZ891" s="14">
        <f>INDEX(属性投放!$AM$7:$AM$58,CU891)</f>
        <v>2</v>
      </c>
      <c r="DA891" s="14" t="s">
        <v>537</v>
      </c>
      <c r="DB891" s="14">
        <f>INDEX(属性投放!$AN$7:$AN$58,CU891)</f>
        <v>2</v>
      </c>
      <c r="DC891" s="14">
        <f t="shared" si="1081"/>
        <v>3</v>
      </c>
      <c r="DD891" s="14">
        <f>INDEX(属性投放!$AO$7:$AO$58,DC891)</f>
        <v>13</v>
      </c>
      <c r="DE891" s="14" t="s">
        <v>538</v>
      </c>
      <c r="DF891" s="14">
        <f>INDEX(属性投放!$BK$6:$BK$85,(CV891-2)*20+CZ891)</f>
        <v>20</v>
      </c>
      <c r="DG891" s="14">
        <f>SUMIFS(DF$5:DF891,$CT$5:$CT891,"="&amp;$CT891)</f>
        <v>55</v>
      </c>
      <c r="DH891" s="14" t="s">
        <v>539</v>
      </c>
      <c r="DI891" s="14">
        <f>INDEX(属性投放!$BL$6:$BL$85,(CV891-2)*20+CZ891)</f>
        <v>10</v>
      </c>
      <c r="DJ891" s="14">
        <f>SUMIFS(DI$5:DI891,$CT$5:$CT891,"="&amp;$CT891)</f>
        <v>28</v>
      </c>
      <c r="DK891" s="14" t="s">
        <v>540</v>
      </c>
      <c r="DL891" s="14">
        <f>INDEX(属性投放!$BM$6:$BM$85,(CV891-2)*20+CZ891)</f>
        <v>120</v>
      </c>
      <c r="DM891" s="14">
        <f>SUMIFS(DL$5:DL891,$CT$5:$CT891,"="&amp;$CT891)</f>
        <v>330</v>
      </c>
      <c r="DR891" s="30"/>
      <c r="DS891" s="30"/>
      <c r="DW891" s="30"/>
      <c r="DX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</row>
    <row r="892" spans="97:163" ht="16.5" x14ac:dyDescent="0.2">
      <c r="CS892" s="13">
        <v>888</v>
      </c>
      <c r="CT892" s="13">
        <f t="shared" si="1082"/>
        <v>18</v>
      </c>
      <c r="CU892" s="13">
        <f t="shared" si="1083"/>
        <v>4</v>
      </c>
      <c r="CV892" s="14">
        <f t="shared" si="1084"/>
        <v>2</v>
      </c>
      <c r="CW892" s="14">
        <f t="shared" si="1085"/>
        <v>1102018</v>
      </c>
      <c r="CX892" s="14" t="str">
        <f>INDEX($O$6:$O$50,CT892)&amp;"-"&amp;INDEX(属性投放!$AB$7:$AB$50,CZ892)&amp;"-魂火-"&amp;DB892</f>
        <v>噬日-黑绳+1-魂火-1</v>
      </c>
      <c r="CY892" s="25" t="s">
        <v>142</v>
      </c>
      <c r="CZ892" s="14">
        <f>INDEX(属性投放!$AM$7:$AM$58,CU892)</f>
        <v>3</v>
      </c>
      <c r="DA892" s="14" t="s">
        <v>537</v>
      </c>
      <c r="DB892" s="14">
        <f>INDEX(属性投放!$AN$7:$AN$58,CU892)</f>
        <v>1</v>
      </c>
      <c r="DC892" s="14">
        <f t="shared" si="1081"/>
        <v>4</v>
      </c>
      <c r="DD892" s="14">
        <f>INDEX(属性投放!$AO$7:$AO$58,DC892)</f>
        <v>18</v>
      </c>
      <c r="DE892" s="14" t="s">
        <v>538</v>
      </c>
      <c r="DF892" s="14">
        <f>INDEX(属性投放!$BK$6:$BK$85,(CV892-2)*20+CZ892)</f>
        <v>25</v>
      </c>
      <c r="DG892" s="14">
        <f>SUMIFS(DF$5:DF892,$CT$5:$CT892,"="&amp;$CT892)</f>
        <v>80</v>
      </c>
      <c r="DH892" s="14" t="s">
        <v>539</v>
      </c>
      <c r="DI892" s="14">
        <f>INDEX(属性投放!$BL$6:$BL$85,(CV892-2)*20+CZ892)</f>
        <v>13</v>
      </c>
      <c r="DJ892" s="14">
        <f>SUMIFS(DI$5:DI892,$CT$5:$CT892,"="&amp;$CT892)</f>
        <v>41</v>
      </c>
      <c r="DK892" s="14" t="s">
        <v>540</v>
      </c>
      <c r="DL892" s="14">
        <f>INDEX(属性投放!$BM$6:$BM$85,(CV892-2)*20+CZ892)</f>
        <v>150</v>
      </c>
      <c r="DM892" s="14">
        <f>SUMIFS(DL$5:DL892,$CT$5:$CT892,"="&amp;$CT892)</f>
        <v>480</v>
      </c>
    </row>
    <row r="893" spans="97:163" ht="16.5" x14ac:dyDescent="0.2">
      <c r="CS893" s="13">
        <v>889</v>
      </c>
      <c r="CT893" s="13">
        <f t="shared" si="1082"/>
        <v>18</v>
      </c>
      <c r="CU893" s="13">
        <f t="shared" si="1083"/>
        <v>5</v>
      </c>
      <c r="CV893" s="14">
        <f t="shared" si="1084"/>
        <v>2</v>
      </c>
      <c r="CW893" s="14">
        <f t="shared" si="1085"/>
        <v>1102018</v>
      </c>
      <c r="CX893" s="14" t="str">
        <f>INDEX($O$6:$O$50,CT893)&amp;"-"&amp;INDEX(属性投放!$AB$7:$AB$50,CZ893)&amp;"-魂火-"&amp;DB893</f>
        <v>噬日-黑绳+1-魂火-2</v>
      </c>
      <c r="CY893" s="25" t="s">
        <v>142</v>
      </c>
      <c r="CZ893" s="14">
        <f>INDEX(属性投放!$AM$7:$AM$58,CU893)</f>
        <v>3</v>
      </c>
      <c r="DA893" s="14" t="s">
        <v>537</v>
      </c>
      <c r="DB893" s="14">
        <f>INDEX(属性投放!$AN$7:$AN$58,CU893)</f>
        <v>2</v>
      </c>
      <c r="DC893" s="14">
        <f t="shared" si="1081"/>
        <v>5</v>
      </c>
      <c r="DD893" s="14">
        <f>INDEX(属性投放!$AO$7:$AO$58,DC893)</f>
        <v>23</v>
      </c>
      <c r="DE893" s="14" t="s">
        <v>538</v>
      </c>
      <c r="DF893" s="14">
        <f>INDEX(属性投放!$BK$6:$BK$85,(CV893-2)*20+CZ893)</f>
        <v>25</v>
      </c>
      <c r="DG893" s="14">
        <f>SUMIFS(DF$5:DF893,$CT$5:$CT893,"="&amp;$CT893)</f>
        <v>105</v>
      </c>
      <c r="DH893" s="14" t="s">
        <v>539</v>
      </c>
      <c r="DI893" s="14">
        <f>INDEX(属性投放!$BL$6:$BL$85,(CV893-2)*20+CZ893)</f>
        <v>13</v>
      </c>
      <c r="DJ893" s="14">
        <f>SUMIFS(DI$5:DI893,$CT$5:$CT893,"="&amp;$CT893)</f>
        <v>54</v>
      </c>
      <c r="DK893" s="14" t="s">
        <v>540</v>
      </c>
      <c r="DL893" s="14">
        <f>INDEX(属性投放!$BM$6:$BM$85,(CV893-2)*20+CZ893)</f>
        <v>150</v>
      </c>
      <c r="DM893" s="14">
        <f>SUMIFS(DL$5:DL893,$CT$5:$CT893,"="&amp;$CT893)</f>
        <v>630</v>
      </c>
    </row>
    <row r="894" spans="97:163" ht="16.5" x14ac:dyDescent="0.2">
      <c r="CS894" s="13">
        <v>890</v>
      </c>
      <c r="CT894" s="13">
        <f t="shared" si="1082"/>
        <v>18</v>
      </c>
      <c r="CU894" s="13">
        <f t="shared" si="1083"/>
        <v>6</v>
      </c>
      <c r="CV894" s="14">
        <f t="shared" si="1084"/>
        <v>2</v>
      </c>
      <c r="CW894" s="14">
        <f t="shared" si="1085"/>
        <v>1102018</v>
      </c>
      <c r="CX894" s="14" t="str">
        <f>INDEX($O$6:$O$50,CT894)&amp;"-"&amp;INDEX(属性投放!$AB$7:$AB$50,CZ894)&amp;"-魂火-"&amp;DB894</f>
        <v>噬日-众合-魂火-1</v>
      </c>
      <c r="CY894" s="25" t="s">
        <v>142</v>
      </c>
      <c r="CZ894" s="14">
        <f>INDEX(属性投放!$AM$7:$AM$58,CU894)</f>
        <v>4</v>
      </c>
      <c r="DA894" s="14" t="s">
        <v>537</v>
      </c>
      <c r="DB894" s="14">
        <f>INDEX(属性投放!$AN$7:$AN$58,CU894)</f>
        <v>1</v>
      </c>
      <c r="DC894" s="14">
        <f t="shared" si="1081"/>
        <v>6</v>
      </c>
      <c r="DD894" s="14">
        <f>INDEX(属性投放!$AO$7:$AO$58,DC894)</f>
        <v>28</v>
      </c>
      <c r="DE894" s="14" t="s">
        <v>538</v>
      </c>
      <c r="DF894" s="14">
        <f>INDEX(属性投放!$BK$6:$BK$85,(CV894-2)*20+CZ894)</f>
        <v>30</v>
      </c>
      <c r="DG894" s="14">
        <f>SUMIFS(DF$5:DF894,$CT$5:$CT894,"="&amp;$CT894)</f>
        <v>135</v>
      </c>
      <c r="DH894" s="14" t="s">
        <v>539</v>
      </c>
      <c r="DI894" s="14">
        <f>INDEX(属性投放!$BL$6:$BL$85,(CV894-2)*20+CZ894)</f>
        <v>15</v>
      </c>
      <c r="DJ894" s="14">
        <f>SUMIFS(DI$5:DI894,$CT$5:$CT894,"="&amp;$CT894)</f>
        <v>69</v>
      </c>
      <c r="DK894" s="14" t="s">
        <v>540</v>
      </c>
      <c r="DL894" s="14">
        <f>INDEX(属性投放!$BM$6:$BM$85,(CV894-2)*20+CZ894)</f>
        <v>210</v>
      </c>
      <c r="DM894" s="14">
        <f>SUMIFS(DL$5:DL894,$CT$5:$CT894,"="&amp;$CT894)</f>
        <v>840</v>
      </c>
    </row>
    <row r="895" spans="97:163" ht="16.5" x14ac:dyDescent="0.2">
      <c r="CS895" s="13">
        <v>891</v>
      </c>
      <c r="CT895" s="13">
        <f t="shared" si="1082"/>
        <v>18</v>
      </c>
      <c r="CU895" s="13">
        <f t="shared" si="1083"/>
        <v>7</v>
      </c>
      <c r="CV895" s="14">
        <f t="shared" si="1084"/>
        <v>2</v>
      </c>
      <c r="CW895" s="14">
        <f t="shared" si="1085"/>
        <v>1102018</v>
      </c>
      <c r="CX895" s="14" t="str">
        <f>INDEX($O$6:$O$50,CT895)&amp;"-"&amp;INDEX(属性投放!$AB$7:$AB$50,CZ895)&amp;"-魂火-"&amp;DB895</f>
        <v>噬日-众合-魂火-2</v>
      </c>
      <c r="CY895" s="25" t="s">
        <v>142</v>
      </c>
      <c r="CZ895" s="14">
        <f>INDEX(属性投放!$AM$7:$AM$58,CU895)</f>
        <v>4</v>
      </c>
      <c r="DA895" s="14" t="s">
        <v>537</v>
      </c>
      <c r="DB895" s="14">
        <f>INDEX(属性投放!$AN$7:$AN$58,CU895)</f>
        <v>2</v>
      </c>
      <c r="DC895" s="14">
        <f t="shared" si="1081"/>
        <v>7</v>
      </c>
      <c r="DD895" s="14">
        <f>INDEX(属性投放!$AO$7:$AO$58,DC895)</f>
        <v>33</v>
      </c>
      <c r="DE895" s="14" t="s">
        <v>538</v>
      </c>
      <c r="DF895" s="14">
        <f>INDEX(属性投放!$BK$6:$BK$85,(CV895-2)*20+CZ895)</f>
        <v>30</v>
      </c>
      <c r="DG895" s="14">
        <f>SUMIFS(DF$5:DF895,$CT$5:$CT895,"="&amp;$CT895)</f>
        <v>165</v>
      </c>
      <c r="DH895" s="14" t="s">
        <v>539</v>
      </c>
      <c r="DI895" s="14">
        <f>INDEX(属性投放!$BL$6:$BL$85,(CV895-2)*20+CZ895)</f>
        <v>15</v>
      </c>
      <c r="DJ895" s="14">
        <f>SUMIFS(DI$5:DI895,$CT$5:$CT895,"="&amp;$CT895)</f>
        <v>84</v>
      </c>
      <c r="DK895" s="14" t="s">
        <v>540</v>
      </c>
      <c r="DL895" s="14">
        <f>INDEX(属性投放!$BM$6:$BM$85,(CV895-2)*20+CZ895)</f>
        <v>210</v>
      </c>
      <c r="DM895" s="14">
        <f>SUMIFS(DL$5:DL895,$CT$5:$CT895,"="&amp;$CT895)</f>
        <v>1050</v>
      </c>
    </row>
    <row r="896" spans="97:163" ht="16.5" x14ac:dyDescent="0.2">
      <c r="CS896" s="13">
        <v>892</v>
      </c>
      <c r="CT896" s="13">
        <f t="shared" si="1082"/>
        <v>18</v>
      </c>
      <c r="CU896" s="13">
        <f t="shared" si="1083"/>
        <v>8</v>
      </c>
      <c r="CV896" s="14">
        <f t="shared" si="1084"/>
        <v>2</v>
      </c>
      <c r="CW896" s="14">
        <f t="shared" si="1085"/>
        <v>1102018</v>
      </c>
      <c r="CX896" s="14" t="str">
        <f>INDEX($O$6:$O$50,CT896)&amp;"-"&amp;INDEX(属性投放!$AB$7:$AB$50,CZ896)&amp;"-魂火-"&amp;DB896</f>
        <v>噬日-众合+1-魂火-1</v>
      </c>
      <c r="CY896" s="25" t="s">
        <v>142</v>
      </c>
      <c r="CZ896" s="14">
        <f>INDEX(属性投放!$AM$7:$AM$58,CU896)</f>
        <v>5</v>
      </c>
      <c r="DA896" s="14" t="s">
        <v>537</v>
      </c>
      <c r="DB896" s="14">
        <f>INDEX(属性投放!$AN$7:$AN$58,CU896)</f>
        <v>1</v>
      </c>
      <c r="DC896" s="14">
        <f t="shared" si="1081"/>
        <v>8</v>
      </c>
      <c r="DD896" s="14">
        <f>INDEX(属性投放!$AO$7:$AO$58,DC896)</f>
        <v>38</v>
      </c>
      <c r="DE896" s="14" t="s">
        <v>538</v>
      </c>
      <c r="DF896" s="14">
        <f>INDEX(属性投放!$BK$6:$BK$85,(CV896-2)*20+CZ896)</f>
        <v>35</v>
      </c>
      <c r="DG896" s="14">
        <f>SUMIFS(DF$5:DF896,$CT$5:$CT896,"="&amp;$CT896)</f>
        <v>200</v>
      </c>
      <c r="DH896" s="14" t="s">
        <v>539</v>
      </c>
      <c r="DI896" s="14">
        <f>INDEX(属性投放!$BL$6:$BL$85,(CV896-2)*20+CZ896)</f>
        <v>18</v>
      </c>
      <c r="DJ896" s="14">
        <f>SUMIFS(DI$5:DI896,$CT$5:$CT896,"="&amp;$CT896)</f>
        <v>102</v>
      </c>
      <c r="DK896" s="14" t="s">
        <v>540</v>
      </c>
      <c r="DL896" s="14">
        <f>INDEX(属性投放!$BM$6:$BM$85,(CV896-2)*20+CZ896)</f>
        <v>245</v>
      </c>
      <c r="DM896" s="14">
        <f>SUMIFS(DL$5:DL896,$CT$5:$CT896,"="&amp;$CT896)</f>
        <v>1295</v>
      </c>
    </row>
    <row r="897" spans="97:117" ht="16.5" x14ac:dyDescent="0.2">
      <c r="CS897" s="13">
        <v>893</v>
      </c>
      <c r="CT897" s="13">
        <f t="shared" si="1082"/>
        <v>18</v>
      </c>
      <c r="CU897" s="13">
        <f t="shared" si="1083"/>
        <v>9</v>
      </c>
      <c r="CV897" s="14">
        <f t="shared" si="1084"/>
        <v>2</v>
      </c>
      <c r="CW897" s="14">
        <f t="shared" si="1085"/>
        <v>1102018</v>
      </c>
      <c r="CX897" s="14" t="str">
        <f>INDEX($O$6:$O$50,CT897)&amp;"-"&amp;INDEX(属性投放!$AB$7:$AB$50,CZ897)&amp;"-魂火-"&amp;DB897</f>
        <v>噬日-众合+1-魂火-2</v>
      </c>
      <c r="CY897" s="25" t="s">
        <v>142</v>
      </c>
      <c r="CZ897" s="14">
        <f>INDEX(属性投放!$AM$7:$AM$58,CU897)</f>
        <v>5</v>
      </c>
      <c r="DA897" s="14" t="s">
        <v>537</v>
      </c>
      <c r="DB897" s="14">
        <f>INDEX(属性投放!$AN$7:$AN$58,CU897)</f>
        <v>2</v>
      </c>
      <c r="DC897" s="14">
        <f t="shared" si="1081"/>
        <v>9</v>
      </c>
      <c r="DD897" s="14">
        <f>INDEX(属性投放!$AO$7:$AO$58,DC897)</f>
        <v>40</v>
      </c>
      <c r="DE897" s="14" t="s">
        <v>538</v>
      </c>
      <c r="DF897" s="14">
        <f>INDEX(属性投放!$BK$6:$BK$85,(CV897-2)*20+CZ897)</f>
        <v>35</v>
      </c>
      <c r="DG897" s="14">
        <f>SUMIFS(DF$5:DF897,$CT$5:$CT897,"="&amp;$CT897)</f>
        <v>235</v>
      </c>
      <c r="DH897" s="14" t="s">
        <v>539</v>
      </c>
      <c r="DI897" s="14">
        <f>INDEX(属性投放!$BL$6:$BL$85,(CV897-2)*20+CZ897)</f>
        <v>18</v>
      </c>
      <c r="DJ897" s="14">
        <f>SUMIFS(DI$5:DI897,$CT$5:$CT897,"="&amp;$CT897)</f>
        <v>120</v>
      </c>
      <c r="DK897" s="14" t="s">
        <v>540</v>
      </c>
      <c r="DL897" s="14">
        <f>INDEX(属性投放!$BM$6:$BM$85,(CV897-2)*20+CZ897)</f>
        <v>245</v>
      </c>
      <c r="DM897" s="14">
        <f>SUMIFS(DL$5:DL897,$CT$5:$CT897,"="&amp;$CT897)</f>
        <v>1540</v>
      </c>
    </row>
    <row r="898" spans="97:117" ht="16.5" x14ac:dyDescent="0.2">
      <c r="CS898" s="13">
        <v>894</v>
      </c>
      <c r="CT898" s="13">
        <f t="shared" si="1082"/>
        <v>18</v>
      </c>
      <c r="CU898" s="13">
        <f t="shared" si="1083"/>
        <v>10</v>
      </c>
      <c r="CV898" s="14">
        <f t="shared" si="1084"/>
        <v>2</v>
      </c>
      <c r="CW898" s="14">
        <f t="shared" si="1085"/>
        <v>1102018</v>
      </c>
      <c r="CX898" s="14" t="str">
        <f>INDEX($O$6:$O$50,CT898)&amp;"-"&amp;INDEX(属性投放!$AB$7:$AB$50,CZ898)&amp;"-魂火-"&amp;DB898</f>
        <v>噬日-众合+2-魂火-1</v>
      </c>
      <c r="CY898" s="25" t="s">
        <v>142</v>
      </c>
      <c r="CZ898" s="14">
        <f>INDEX(属性投放!$AM$7:$AM$58,CU898)</f>
        <v>6</v>
      </c>
      <c r="DA898" s="14" t="s">
        <v>537</v>
      </c>
      <c r="DB898" s="14">
        <f>INDEX(属性投放!$AN$7:$AN$58,CU898)</f>
        <v>1</v>
      </c>
      <c r="DC898" s="14">
        <f t="shared" si="1081"/>
        <v>10</v>
      </c>
      <c r="DD898" s="14">
        <f>INDEX(属性投放!$AO$7:$AO$58,DC898)</f>
        <v>43</v>
      </c>
      <c r="DE898" s="14" t="s">
        <v>538</v>
      </c>
      <c r="DF898" s="14">
        <f>INDEX(属性投放!$BK$6:$BK$85,(CV898-2)*20+CZ898)</f>
        <v>40</v>
      </c>
      <c r="DG898" s="14">
        <f>SUMIFS(DF$5:DF898,$CT$5:$CT898,"="&amp;$CT898)</f>
        <v>275</v>
      </c>
      <c r="DH898" s="14" t="s">
        <v>539</v>
      </c>
      <c r="DI898" s="14">
        <f>INDEX(属性投放!$BL$6:$BL$85,(CV898-2)*20+CZ898)</f>
        <v>20</v>
      </c>
      <c r="DJ898" s="14">
        <f>SUMIFS(DI$5:DI898,$CT$5:$CT898,"="&amp;$CT898)</f>
        <v>140</v>
      </c>
      <c r="DK898" s="14" t="s">
        <v>540</v>
      </c>
      <c r="DL898" s="14">
        <f>INDEX(属性投放!$BM$6:$BM$85,(CV898-2)*20+CZ898)</f>
        <v>280</v>
      </c>
      <c r="DM898" s="14">
        <f>SUMIFS(DL$5:DL898,$CT$5:$CT898,"="&amp;$CT898)</f>
        <v>1820</v>
      </c>
    </row>
    <row r="899" spans="97:117" ht="16.5" x14ac:dyDescent="0.2">
      <c r="CS899" s="13">
        <v>895</v>
      </c>
      <c r="CT899" s="13">
        <f t="shared" si="1082"/>
        <v>18</v>
      </c>
      <c r="CU899" s="13">
        <f t="shared" si="1083"/>
        <v>11</v>
      </c>
      <c r="CV899" s="14">
        <f t="shared" si="1084"/>
        <v>2</v>
      </c>
      <c r="CW899" s="14">
        <f t="shared" si="1085"/>
        <v>1102018</v>
      </c>
      <c r="CX899" s="14" t="str">
        <f>INDEX($O$6:$O$50,CT899)&amp;"-"&amp;INDEX(属性投放!$AB$7:$AB$50,CZ899)&amp;"-魂火-"&amp;DB899</f>
        <v>噬日-众合+2-魂火-2</v>
      </c>
      <c r="CY899" s="25" t="s">
        <v>142</v>
      </c>
      <c r="CZ899" s="14">
        <f>INDEX(属性投放!$AM$7:$AM$58,CU899)</f>
        <v>6</v>
      </c>
      <c r="DA899" s="14" t="s">
        <v>537</v>
      </c>
      <c r="DB899" s="14">
        <f>INDEX(属性投放!$AN$7:$AN$58,CU899)</f>
        <v>2</v>
      </c>
      <c r="DC899" s="14">
        <f t="shared" si="1081"/>
        <v>11</v>
      </c>
      <c r="DD899" s="14">
        <f>INDEX(属性投放!$AO$7:$AO$58,DC899)</f>
        <v>45</v>
      </c>
      <c r="DE899" s="14" t="s">
        <v>538</v>
      </c>
      <c r="DF899" s="14">
        <f>INDEX(属性投放!$BK$6:$BK$85,(CV899-2)*20+CZ899)</f>
        <v>40</v>
      </c>
      <c r="DG899" s="14">
        <f>SUMIFS(DF$5:DF899,$CT$5:$CT899,"="&amp;$CT899)</f>
        <v>315</v>
      </c>
      <c r="DH899" s="14" t="s">
        <v>539</v>
      </c>
      <c r="DI899" s="14">
        <f>INDEX(属性投放!$BL$6:$BL$85,(CV899-2)*20+CZ899)</f>
        <v>20</v>
      </c>
      <c r="DJ899" s="14">
        <f>SUMIFS(DI$5:DI899,$CT$5:$CT899,"="&amp;$CT899)</f>
        <v>160</v>
      </c>
      <c r="DK899" s="14" t="s">
        <v>540</v>
      </c>
      <c r="DL899" s="14">
        <f>INDEX(属性投放!$BM$6:$BM$85,(CV899-2)*20+CZ899)</f>
        <v>280</v>
      </c>
      <c r="DM899" s="14">
        <f>SUMIFS(DL$5:DL899,$CT$5:$CT899,"="&amp;$CT899)</f>
        <v>2100</v>
      </c>
    </row>
    <row r="900" spans="97:117" ht="16.5" x14ac:dyDescent="0.2">
      <c r="CS900" s="13">
        <v>896</v>
      </c>
      <c r="CT900" s="13">
        <f t="shared" si="1082"/>
        <v>18</v>
      </c>
      <c r="CU900" s="13">
        <f t="shared" si="1083"/>
        <v>12</v>
      </c>
      <c r="CV900" s="14">
        <f t="shared" si="1084"/>
        <v>2</v>
      </c>
      <c r="CW900" s="14">
        <f t="shared" si="1085"/>
        <v>1102018</v>
      </c>
      <c r="CX900" s="14" t="str">
        <f>INDEX($O$6:$O$50,CT900)&amp;"-"&amp;INDEX(属性投放!$AB$7:$AB$50,CZ900)&amp;"-魂火-"&amp;DB900</f>
        <v>噬日-叫唤-魂火-1</v>
      </c>
      <c r="CY900" s="25" t="s">
        <v>142</v>
      </c>
      <c r="CZ900" s="14">
        <f>INDEX(属性投放!$AM$7:$AM$58,CU900)</f>
        <v>7</v>
      </c>
      <c r="DA900" s="14" t="s">
        <v>537</v>
      </c>
      <c r="DB900" s="14">
        <f>INDEX(属性投放!$AN$7:$AN$58,CU900)</f>
        <v>1</v>
      </c>
      <c r="DC900" s="14">
        <f t="shared" si="1081"/>
        <v>12</v>
      </c>
      <c r="DD900" s="14">
        <f>INDEX(属性投放!$AO$7:$AO$58,DC900)</f>
        <v>48</v>
      </c>
      <c r="DE900" s="14" t="s">
        <v>538</v>
      </c>
      <c r="DF900" s="14">
        <f>INDEX(属性投放!$BK$6:$BK$85,(CV900-2)*20+CZ900)</f>
        <v>55</v>
      </c>
      <c r="DG900" s="14">
        <f>SUMIFS(DF$5:DF900,$CT$5:$CT900,"="&amp;$CT900)</f>
        <v>370</v>
      </c>
      <c r="DH900" s="14" t="s">
        <v>539</v>
      </c>
      <c r="DI900" s="14">
        <f>INDEX(属性投放!$BL$6:$BL$85,(CV900-2)*20+CZ900)</f>
        <v>28</v>
      </c>
      <c r="DJ900" s="14">
        <f>SUMIFS(DI$5:DI900,$CT$5:$CT900,"="&amp;$CT900)</f>
        <v>188</v>
      </c>
      <c r="DK900" s="14" t="s">
        <v>540</v>
      </c>
      <c r="DL900" s="14">
        <f>INDEX(属性投放!$BM$6:$BM$85,(CV900-2)*20+CZ900)</f>
        <v>440</v>
      </c>
      <c r="DM900" s="14">
        <f>SUMIFS(DL$5:DL900,$CT$5:$CT900,"="&amp;$CT900)</f>
        <v>2540</v>
      </c>
    </row>
    <row r="901" spans="97:117" ht="16.5" x14ac:dyDescent="0.2">
      <c r="CS901" s="13">
        <v>897</v>
      </c>
      <c r="CT901" s="13">
        <f t="shared" si="1082"/>
        <v>18</v>
      </c>
      <c r="CU901" s="13">
        <f t="shared" si="1083"/>
        <v>13</v>
      </c>
      <c r="CV901" s="14">
        <f t="shared" si="1084"/>
        <v>2</v>
      </c>
      <c r="CW901" s="14">
        <f t="shared" si="1085"/>
        <v>1102018</v>
      </c>
      <c r="CX901" s="14" t="str">
        <f>INDEX($O$6:$O$50,CT901)&amp;"-"&amp;INDEX(属性投放!$AB$7:$AB$50,CZ901)&amp;"-魂火-"&amp;DB901</f>
        <v>噬日-叫唤-魂火-2</v>
      </c>
      <c r="CY901" s="25" t="s">
        <v>142</v>
      </c>
      <c r="CZ901" s="14">
        <f>INDEX(属性投放!$AM$7:$AM$58,CU901)</f>
        <v>7</v>
      </c>
      <c r="DA901" s="14" t="s">
        <v>537</v>
      </c>
      <c r="DB901" s="14">
        <f>INDEX(属性投放!$AN$7:$AN$58,CU901)</f>
        <v>2</v>
      </c>
      <c r="DC901" s="14">
        <f t="shared" ref="DC901:DC964" si="1086">CU901</f>
        <v>13</v>
      </c>
      <c r="DD901" s="14">
        <f>INDEX(属性投放!$AO$7:$AO$58,DC901)</f>
        <v>50</v>
      </c>
      <c r="DE901" s="14" t="s">
        <v>538</v>
      </c>
      <c r="DF901" s="14">
        <f>INDEX(属性投放!$BK$6:$BK$85,(CV901-2)*20+CZ901)</f>
        <v>55</v>
      </c>
      <c r="DG901" s="14">
        <f>SUMIFS(DF$5:DF901,$CT$5:$CT901,"="&amp;$CT901)</f>
        <v>425</v>
      </c>
      <c r="DH901" s="14" t="s">
        <v>539</v>
      </c>
      <c r="DI901" s="14">
        <f>INDEX(属性投放!$BL$6:$BL$85,(CV901-2)*20+CZ901)</f>
        <v>28</v>
      </c>
      <c r="DJ901" s="14">
        <f>SUMIFS(DI$5:DI901,$CT$5:$CT901,"="&amp;$CT901)</f>
        <v>216</v>
      </c>
      <c r="DK901" s="14" t="s">
        <v>540</v>
      </c>
      <c r="DL901" s="14">
        <f>INDEX(属性投放!$BM$6:$BM$85,(CV901-2)*20+CZ901)</f>
        <v>440</v>
      </c>
      <c r="DM901" s="14">
        <f>SUMIFS(DL$5:DL901,$CT$5:$CT901,"="&amp;$CT901)</f>
        <v>2980</v>
      </c>
    </row>
    <row r="902" spans="97:117" ht="16.5" x14ac:dyDescent="0.2">
      <c r="CS902" s="13">
        <v>898</v>
      </c>
      <c r="CT902" s="13">
        <f t="shared" ref="CT902:CT965" si="1087">MATCH(CS902-1,$U$5:$U$36,1)</f>
        <v>18</v>
      </c>
      <c r="CU902" s="13">
        <f t="shared" ref="CU902:CU965" si="1088">CS902-(CT902-1)*52</f>
        <v>14</v>
      </c>
      <c r="CV902" s="14">
        <f t="shared" ref="CV902:CV965" si="1089">INDEX($Q$6:$Q$50,CT902)</f>
        <v>2</v>
      </c>
      <c r="CW902" s="14">
        <f t="shared" ref="CW902:CW965" si="1090">INDEX($N$6:$N$50,CT902)</f>
        <v>1102018</v>
      </c>
      <c r="CX902" s="14" t="str">
        <f>INDEX($O$6:$O$50,CT902)&amp;"-"&amp;INDEX(属性投放!$AB$7:$AB$50,CZ902)&amp;"-魂火-"&amp;DB902</f>
        <v>噬日-叫唤+1-魂火-1</v>
      </c>
      <c r="CY902" s="25" t="s">
        <v>142</v>
      </c>
      <c r="CZ902" s="14">
        <f>INDEX(属性投放!$AM$7:$AM$58,CU902)</f>
        <v>8</v>
      </c>
      <c r="DA902" s="14" t="s">
        <v>537</v>
      </c>
      <c r="DB902" s="14">
        <f>INDEX(属性投放!$AN$7:$AN$58,CU902)</f>
        <v>1</v>
      </c>
      <c r="DC902" s="14">
        <f t="shared" si="1086"/>
        <v>14</v>
      </c>
      <c r="DD902" s="14">
        <f>INDEX(属性投放!$AO$7:$AO$58,DC902)</f>
        <v>53</v>
      </c>
      <c r="DE902" s="14" t="s">
        <v>538</v>
      </c>
      <c r="DF902" s="14">
        <f>INDEX(属性投放!$BK$6:$BK$85,(CV902-2)*20+CZ902)</f>
        <v>70</v>
      </c>
      <c r="DG902" s="14">
        <f>SUMIFS(DF$5:DF902,$CT$5:$CT902,"="&amp;$CT902)</f>
        <v>495</v>
      </c>
      <c r="DH902" s="14" t="s">
        <v>539</v>
      </c>
      <c r="DI902" s="14">
        <f>INDEX(属性投放!$BL$6:$BL$85,(CV902-2)*20+CZ902)</f>
        <v>35</v>
      </c>
      <c r="DJ902" s="14">
        <f>SUMIFS(DI$5:DI902,$CT$5:$CT902,"="&amp;$CT902)</f>
        <v>251</v>
      </c>
      <c r="DK902" s="14" t="s">
        <v>540</v>
      </c>
      <c r="DL902" s="14">
        <f>INDEX(属性投放!$BM$6:$BM$85,(CV902-2)*20+CZ902)</f>
        <v>560</v>
      </c>
      <c r="DM902" s="14">
        <f>SUMIFS(DL$5:DL902,$CT$5:$CT902,"="&amp;$CT902)</f>
        <v>3540</v>
      </c>
    </row>
    <row r="903" spans="97:117" ht="16.5" x14ac:dyDescent="0.2">
      <c r="CS903" s="13">
        <v>899</v>
      </c>
      <c r="CT903" s="13">
        <f t="shared" si="1087"/>
        <v>18</v>
      </c>
      <c r="CU903" s="13">
        <f t="shared" si="1088"/>
        <v>15</v>
      </c>
      <c r="CV903" s="14">
        <f t="shared" si="1089"/>
        <v>2</v>
      </c>
      <c r="CW903" s="14">
        <f t="shared" si="1090"/>
        <v>1102018</v>
      </c>
      <c r="CX903" s="14" t="str">
        <f>INDEX($O$6:$O$50,CT903)&amp;"-"&amp;INDEX(属性投放!$AB$7:$AB$50,CZ903)&amp;"-魂火-"&amp;DB903</f>
        <v>噬日-叫唤+1-魂火-2</v>
      </c>
      <c r="CY903" s="25" t="s">
        <v>142</v>
      </c>
      <c r="CZ903" s="14">
        <f>INDEX(属性投放!$AM$7:$AM$58,CU903)</f>
        <v>8</v>
      </c>
      <c r="DA903" s="14" t="s">
        <v>537</v>
      </c>
      <c r="DB903" s="14">
        <f>INDEX(属性投放!$AN$7:$AN$58,CU903)</f>
        <v>2</v>
      </c>
      <c r="DC903" s="14">
        <f t="shared" si="1086"/>
        <v>15</v>
      </c>
      <c r="DD903" s="14">
        <f>INDEX(属性投放!$AO$7:$AO$58,DC903)</f>
        <v>55</v>
      </c>
      <c r="DE903" s="14" t="s">
        <v>538</v>
      </c>
      <c r="DF903" s="14">
        <f>INDEX(属性投放!$BK$6:$BK$85,(CV903-2)*20+CZ903)</f>
        <v>70</v>
      </c>
      <c r="DG903" s="14">
        <f>SUMIFS(DF$5:DF903,$CT$5:$CT903,"="&amp;$CT903)</f>
        <v>565</v>
      </c>
      <c r="DH903" s="14" t="s">
        <v>539</v>
      </c>
      <c r="DI903" s="14">
        <f>INDEX(属性投放!$BL$6:$BL$85,(CV903-2)*20+CZ903)</f>
        <v>35</v>
      </c>
      <c r="DJ903" s="14">
        <f>SUMIFS(DI$5:DI903,$CT$5:$CT903,"="&amp;$CT903)</f>
        <v>286</v>
      </c>
      <c r="DK903" s="14" t="s">
        <v>540</v>
      </c>
      <c r="DL903" s="14">
        <f>INDEX(属性投放!$BM$6:$BM$85,(CV903-2)*20+CZ903)</f>
        <v>560</v>
      </c>
      <c r="DM903" s="14">
        <f>SUMIFS(DL$5:DL903,$CT$5:$CT903,"="&amp;$CT903)</f>
        <v>4100</v>
      </c>
    </row>
    <row r="904" spans="97:117" ht="16.5" x14ac:dyDescent="0.2">
      <c r="CS904" s="13">
        <v>900</v>
      </c>
      <c r="CT904" s="13">
        <f t="shared" si="1087"/>
        <v>18</v>
      </c>
      <c r="CU904" s="13">
        <f t="shared" si="1088"/>
        <v>16</v>
      </c>
      <c r="CV904" s="14">
        <f t="shared" si="1089"/>
        <v>2</v>
      </c>
      <c r="CW904" s="14">
        <f t="shared" si="1090"/>
        <v>1102018</v>
      </c>
      <c r="CX904" s="14" t="str">
        <f>INDEX($O$6:$O$50,CT904)&amp;"-"&amp;INDEX(属性投放!$AB$7:$AB$50,CZ904)&amp;"-魂火-"&amp;DB904</f>
        <v>噬日-叫唤+2-魂火-1</v>
      </c>
      <c r="CY904" s="25" t="s">
        <v>142</v>
      </c>
      <c r="CZ904" s="14">
        <f>INDEX(属性投放!$AM$7:$AM$58,CU904)</f>
        <v>9</v>
      </c>
      <c r="DA904" s="14" t="s">
        <v>537</v>
      </c>
      <c r="DB904" s="14">
        <f>INDEX(属性投放!$AN$7:$AN$58,CU904)</f>
        <v>1</v>
      </c>
      <c r="DC904" s="14">
        <f t="shared" si="1086"/>
        <v>16</v>
      </c>
      <c r="DD904" s="14">
        <f>INDEX(属性投放!$AO$7:$AO$58,DC904)</f>
        <v>58</v>
      </c>
      <c r="DE904" s="14" t="s">
        <v>538</v>
      </c>
      <c r="DF904" s="14">
        <f>INDEX(属性投放!$BK$6:$BK$85,(CV904-2)*20+CZ904)</f>
        <v>80</v>
      </c>
      <c r="DG904" s="14">
        <f>SUMIFS(DF$5:DF904,$CT$5:$CT904,"="&amp;$CT904)</f>
        <v>645</v>
      </c>
      <c r="DH904" s="14" t="s">
        <v>539</v>
      </c>
      <c r="DI904" s="14">
        <f>INDEX(属性投放!$BL$6:$BL$85,(CV904-2)*20+CZ904)</f>
        <v>40</v>
      </c>
      <c r="DJ904" s="14">
        <f>SUMIFS(DI$5:DI904,$CT$5:$CT904,"="&amp;$CT904)</f>
        <v>326</v>
      </c>
      <c r="DK904" s="14" t="s">
        <v>540</v>
      </c>
      <c r="DL904" s="14">
        <f>INDEX(属性投放!$BM$6:$BM$85,(CV904-2)*20+CZ904)</f>
        <v>640</v>
      </c>
      <c r="DM904" s="14">
        <f>SUMIFS(DL$5:DL904,$CT$5:$CT904,"="&amp;$CT904)</f>
        <v>4740</v>
      </c>
    </row>
    <row r="905" spans="97:117" ht="16.5" x14ac:dyDescent="0.2">
      <c r="CS905" s="13">
        <v>901</v>
      </c>
      <c r="CT905" s="13">
        <f t="shared" si="1087"/>
        <v>18</v>
      </c>
      <c r="CU905" s="13">
        <f t="shared" si="1088"/>
        <v>17</v>
      </c>
      <c r="CV905" s="14">
        <f t="shared" si="1089"/>
        <v>2</v>
      </c>
      <c r="CW905" s="14">
        <f t="shared" si="1090"/>
        <v>1102018</v>
      </c>
      <c r="CX905" s="14" t="str">
        <f>INDEX($O$6:$O$50,CT905)&amp;"-"&amp;INDEX(属性投放!$AB$7:$AB$50,CZ905)&amp;"-魂火-"&amp;DB905</f>
        <v>噬日-叫唤+2-魂火-2</v>
      </c>
      <c r="CY905" s="25" t="s">
        <v>142</v>
      </c>
      <c r="CZ905" s="14">
        <f>INDEX(属性投放!$AM$7:$AM$58,CU905)</f>
        <v>9</v>
      </c>
      <c r="DA905" s="14" t="s">
        <v>537</v>
      </c>
      <c r="DB905" s="14">
        <f>INDEX(属性投放!$AN$7:$AN$58,CU905)</f>
        <v>2</v>
      </c>
      <c r="DC905" s="14">
        <f t="shared" si="1086"/>
        <v>17</v>
      </c>
      <c r="DD905" s="14">
        <f>INDEX(属性投放!$AO$7:$AO$58,DC905)</f>
        <v>60</v>
      </c>
      <c r="DE905" s="14" t="s">
        <v>538</v>
      </c>
      <c r="DF905" s="14">
        <f>INDEX(属性投放!$BK$6:$BK$85,(CV905-2)*20+CZ905)</f>
        <v>80</v>
      </c>
      <c r="DG905" s="14">
        <f>SUMIFS(DF$5:DF905,$CT$5:$CT905,"="&amp;$CT905)</f>
        <v>725</v>
      </c>
      <c r="DH905" s="14" t="s">
        <v>539</v>
      </c>
      <c r="DI905" s="14">
        <f>INDEX(属性投放!$BL$6:$BL$85,(CV905-2)*20+CZ905)</f>
        <v>40</v>
      </c>
      <c r="DJ905" s="14">
        <f>SUMIFS(DI$5:DI905,$CT$5:$CT905,"="&amp;$CT905)</f>
        <v>366</v>
      </c>
      <c r="DK905" s="14" t="s">
        <v>540</v>
      </c>
      <c r="DL905" s="14">
        <f>INDEX(属性投放!$BM$6:$BM$85,(CV905-2)*20+CZ905)</f>
        <v>640</v>
      </c>
      <c r="DM905" s="14">
        <f>SUMIFS(DL$5:DL905,$CT$5:$CT905,"="&amp;$CT905)</f>
        <v>5380</v>
      </c>
    </row>
    <row r="906" spans="97:117" ht="16.5" x14ac:dyDescent="0.2">
      <c r="CS906" s="13">
        <v>902</v>
      </c>
      <c r="CT906" s="13">
        <f t="shared" si="1087"/>
        <v>18</v>
      </c>
      <c r="CU906" s="13">
        <f t="shared" si="1088"/>
        <v>18</v>
      </c>
      <c r="CV906" s="14">
        <f t="shared" si="1089"/>
        <v>2</v>
      </c>
      <c r="CW906" s="14">
        <f t="shared" si="1090"/>
        <v>1102018</v>
      </c>
      <c r="CX906" s="14" t="str">
        <f>INDEX($O$6:$O$50,CT906)&amp;"-"&amp;INDEX(属性投放!$AB$7:$AB$50,CZ906)&amp;"-魂火-"&amp;DB906</f>
        <v>噬日-叫唤+2-魂火-3</v>
      </c>
      <c r="CY906" s="25" t="s">
        <v>142</v>
      </c>
      <c r="CZ906" s="14">
        <f>INDEX(属性投放!$AM$7:$AM$58,CU906)</f>
        <v>9</v>
      </c>
      <c r="DA906" s="14" t="s">
        <v>537</v>
      </c>
      <c r="DB906" s="14">
        <f>INDEX(属性投放!$AN$7:$AN$58,CU906)</f>
        <v>3</v>
      </c>
      <c r="DC906" s="14">
        <f t="shared" si="1086"/>
        <v>18</v>
      </c>
      <c r="DD906" s="14">
        <f>INDEX(属性投放!$AO$7:$AO$58,DC906)</f>
        <v>63</v>
      </c>
      <c r="DE906" s="14" t="s">
        <v>538</v>
      </c>
      <c r="DF906" s="14">
        <f>INDEX(属性投放!$BK$6:$BK$85,(CV906-2)*20+CZ906)</f>
        <v>80</v>
      </c>
      <c r="DG906" s="14">
        <f>SUMIFS(DF$5:DF906,$CT$5:$CT906,"="&amp;$CT906)</f>
        <v>805</v>
      </c>
      <c r="DH906" s="14" t="s">
        <v>539</v>
      </c>
      <c r="DI906" s="14">
        <f>INDEX(属性投放!$BL$6:$BL$85,(CV906-2)*20+CZ906)</f>
        <v>40</v>
      </c>
      <c r="DJ906" s="14">
        <f>SUMIFS(DI$5:DI906,$CT$5:$CT906,"="&amp;$CT906)</f>
        <v>406</v>
      </c>
      <c r="DK906" s="14" t="s">
        <v>540</v>
      </c>
      <c r="DL906" s="14">
        <f>INDEX(属性投放!$BM$6:$BM$85,(CV906-2)*20+CZ906)</f>
        <v>640</v>
      </c>
      <c r="DM906" s="14">
        <f>SUMIFS(DL$5:DL906,$CT$5:$CT906,"="&amp;$CT906)</f>
        <v>6020</v>
      </c>
    </row>
    <row r="907" spans="97:117" ht="16.5" x14ac:dyDescent="0.2">
      <c r="CS907" s="13">
        <v>903</v>
      </c>
      <c r="CT907" s="13">
        <f t="shared" si="1087"/>
        <v>18</v>
      </c>
      <c r="CU907" s="13">
        <f t="shared" si="1088"/>
        <v>19</v>
      </c>
      <c r="CV907" s="14">
        <f t="shared" si="1089"/>
        <v>2</v>
      </c>
      <c r="CW907" s="14">
        <f t="shared" si="1090"/>
        <v>1102018</v>
      </c>
      <c r="CX907" s="14" t="str">
        <f>INDEX($O$6:$O$50,CT907)&amp;"-"&amp;INDEX(属性投放!$AB$7:$AB$50,CZ907)&amp;"-魂火-"&amp;DB907</f>
        <v>噬日-大叫唤-魂火-1</v>
      </c>
      <c r="CY907" s="25" t="s">
        <v>142</v>
      </c>
      <c r="CZ907" s="14">
        <f>INDEX(属性投放!$AM$7:$AM$58,CU907)</f>
        <v>10</v>
      </c>
      <c r="DA907" s="14" t="s">
        <v>537</v>
      </c>
      <c r="DB907" s="14">
        <f>INDEX(属性投放!$AN$7:$AN$58,CU907)</f>
        <v>1</v>
      </c>
      <c r="DC907" s="14">
        <f t="shared" si="1086"/>
        <v>19</v>
      </c>
      <c r="DD907" s="14">
        <f>INDEX(属性投放!$AO$7:$AO$58,DC907)</f>
        <v>65</v>
      </c>
      <c r="DE907" s="14" t="s">
        <v>538</v>
      </c>
      <c r="DF907" s="14">
        <f>INDEX(属性投放!$BK$6:$BK$85,(CV907-2)*20+CZ907)</f>
        <v>100</v>
      </c>
      <c r="DG907" s="14">
        <f>SUMIFS(DF$5:DF907,$CT$5:$CT907,"="&amp;$CT907)</f>
        <v>905</v>
      </c>
      <c r="DH907" s="14" t="s">
        <v>539</v>
      </c>
      <c r="DI907" s="14">
        <f>INDEX(属性投放!$BL$6:$BL$85,(CV907-2)*20+CZ907)</f>
        <v>50</v>
      </c>
      <c r="DJ907" s="14">
        <f>SUMIFS(DI$5:DI907,$CT$5:$CT907,"="&amp;$CT907)</f>
        <v>456</v>
      </c>
      <c r="DK907" s="14" t="s">
        <v>540</v>
      </c>
      <c r="DL907" s="14">
        <f>INDEX(属性投放!$BM$6:$BM$85,(CV907-2)*20+CZ907)</f>
        <v>900</v>
      </c>
      <c r="DM907" s="14">
        <f>SUMIFS(DL$5:DL907,$CT$5:$CT907,"="&amp;$CT907)</f>
        <v>6920</v>
      </c>
    </row>
    <row r="908" spans="97:117" ht="16.5" x14ac:dyDescent="0.2">
      <c r="CS908" s="13">
        <v>904</v>
      </c>
      <c r="CT908" s="13">
        <f t="shared" si="1087"/>
        <v>18</v>
      </c>
      <c r="CU908" s="13">
        <f t="shared" si="1088"/>
        <v>20</v>
      </c>
      <c r="CV908" s="14">
        <f t="shared" si="1089"/>
        <v>2</v>
      </c>
      <c r="CW908" s="14">
        <f t="shared" si="1090"/>
        <v>1102018</v>
      </c>
      <c r="CX908" s="14" t="str">
        <f>INDEX($O$6:$O$50,CT908)&amp;"-"&amp;INDEX(属性投放!$AB$7:$AB$50,CZ908)&amp;"-魂火-"&amp;DB908</f>
        <v>噬日-大叫唤-魂火-2</v>
      </c>
      <c r="CY908" s="25" t="s">
        <v>142</v>
      </c>
      <c r="CZ908" s="14">
        <f>INDEX(属性投放!$AM$7:$AM$58,CU908)</f>
        <v>10</v>
      </c>
      <c r="DA908" s="14" t="s">
        <v>537</v>
      </c>
      <c r="DB908" s="14">
        <f>INDEX(属性投放!$AN$7:$AN$58,CU908)</f>
        <v>2</v>
      </c>
      <c r="DC908" s="14">
        <f t="shared" si="1086"/>
        <v>20</v>
      </c>
      <c r="DD908" s="14">
        <f>INDEX(属性投放!$AO$7:$AO$58,DC908)</f>
        <v>68</v>
      </c>
      <c r="DE908" s="14" t="s">
        <v>538</v>
      </c>
      <c r="DF908" s="14">
        <f>INDEX(属性投放!$BK$6:$BK$85,(CV908-2)*20+CZ908)</f>
        <v>100</v>
      </c>
      <c r="DG908" s="14">
        <f>SUMIFS(DF$5:DF908,$CT$5:$CT908,"="&amp;$CT908)</f>
        <v>1005</v>
      </c>
      <c r="DH908" s="14" t="s">
        <v>539</v>
      </c>
      <c r="DI908" s="14">
        <f>INDEX(属性投放!$BL$6:$BL$85,(CV908-2)*20+CZ908)</f>
        <v>50</v>
      </c>
      <c r="DJ908" s="14">
        <f>SUMIFS(DI$5:DI908,$CT$5:$CT908,"="&amp;$CT908)</f>
        <v>506</v>
      </c>
      <c r="DK908" s="14" t="s">
        <v>540</v>
      </c>
      <c r="DL908" s="14">
        <f>INDEX(属性投放!$BM$6:$BM$85,(CV908-2)*20+CZ908)</f>
        <v>900</v>
      </c>
      <c r="DM908" s="14">
        <f>SUMIFS(DL$5:DL908,$CT$5:$CT908,"="&amp;$CT908)</f>
        <v>7820</v>
      </c>
    </row>
    <row r="909" spans="97:117" ht="16.5" x14ac:dyDescent="0.2">
      <c r="CS909" s="13">
        <v>905</v>
      </c>
      <c r="CT909" s="13">
        <f t="shared" si="1087"/>
        <v>18</v>
      </c>
      <c r="CU909" s="13">
        <f t="shared" si="1088"/>
        <v>21</v>
      </c>
      <c r="CV909" s="14">
        <f t="shared" si="1089"/>
        <v>2</v>
      </c>
      <c r="CW909" s="14">
        <f t="shared" si="1090"/>
        <v>1102018</v>
      </c>
      <c r="CX909" s="14" t="str">
        <f>INDEX($O$6:$O$50,CT909)&amp;"-"&amp;INDEX(属性投放!$AB$7:$AB$50,CZ909)&amp;"-魂火-"&amp;DB909</f>
        <v>噬日-大叫唤-魂火-3</v>
      </c>
      <c r="CY909" s="25" t="s">
        <v>142</v>
      </c>
      <c r="CZ909" s="14">
        <f>INDEX(属性投放!$AM$7:$AM$58,CU909)</f>
        <v>10</v>
      </c>
      <c r="DA909" s="14" t="s">
        <v>537</v>
      </c>
      <c r="DB909" s="14">
        <f>INDEX(属性投放!$AN$7:$AN$58,CU909)</f>
        <v>3</v>
      </c>
      <c r="DC909" s="14">
        <f t="shared" si="1086"/>
        <v>21</v>
      </c>
      <c r="DD909" s="14">
        <f>INDEX(属性投放!$AO$7:$AO$58,DC909)</f>
        <v>70</v>
      </c>
      <c r="DE909" s="14" t="s">
        <v>538</v>
      </c>
      <c r="DF909" s="14">
        <f>INDEX(属性投放!$BK$6:$BK$85,(CV909-2)*20+CZ909)</f>
        <v>100</v>
      </c>
      <c r="DG909" s="14">
        <f>SUMIFS(DF$5:DF909,$CT$5:$CT909,"="&amp;$CT909)</f>
        <v>1105</v>
      </c>
      <c r="DH909" s="14" t="s">
        <v>539</v>
      </c>
      <c r="DI909" s="14">
        <f>INDEX(属性投放!$BL$6:$BL$85,(CV909-2)*20+CZ909)</f>
        <v>50</v>
      </c>
      <c r="DJ909" s="14">
        <f>SUMIFS(DI$5:DI909,$CT$5:$CT909,"="&amp;$CT909)</f>
        <v>556</v>
      </c>
      <c r="DK909" s="14" t="s">
        <v>540</v>
      </c>
      <c r="DL909" s="14">
        <f>INDEX(属性投放!$BM$6:$BM$85,(CV909-2)*20+CZ909)</f>
        <v>900</v>
      </c>
      <c r="DM909" s="14">
        <f>SUMIFS(DL$5:DL909,$CT$5:$CT909,"="&amp;$CT909)</f>
        <v>8720</v>
      </c>
    </row>
    <row r="910" spans="97:117" ht="16.5" x14ac:dyDescent="0.2">
      <c r="CS910" s="13">
        <v>906</v>
      </c>
      <c r="CT910" s="13">
        <f t="shared" si="1087"/>
        <v>18</v>
      </c>
      <c r="CU910" s="13">
        <f t="shared" si="1088"/>
        <v>22</v>
      </c>
      <c r="CV910" s="14">
        <f t="shared" si="1089"/>
        <v>2</v>
      </c>
      <c r="CW910" s="14">
        <f t="shared" si="1090"/>
        <v>1102018</v>
      </c>
      <c r="CX910" s="14" t="str">
        <f>INDEX($O$6:$O$50,CT910)&amp;"-"&amp;INDEX(属性投放!$AB$7:$AB$50,CZ910)&amp;"-魂火-"&amp;DB910</f>
        <v>噬日-大叫唤+1-魂火-1</v>
      </c>
      <c r="CY910" s="25" t="s">
        <v>142</v>
      </c>
      <c r="CZ910" s="14">
        <f>INDEX(属性投放!$AM$7:$AM$58,CU910)</f>
        <v>11</v>
      </c>
      <c r="DA910" s="14" t="s">
        <v>537</v>
      </c>
      <c r="DB910" s="14">
        <f>INDEX(属性投放!$AN$7:$AN$58,CU910)</f>
        <v>1</v>
      </c>
      <c r="DC910" s="14">
        <f t="shared" si="1086"/>
        <v>22</v>
      </c>
      <c r="DD910" s="14">
        <f>INDEX(属性投放!$AO$7:$AO$58,DC910)</f>
        <v>73</v>
      </c>
      <c r="DE910" s="14" t="s">
        <v>538</v>
      </c>
      <c r="DF910" s="14">
        <f>INDEX(属性投放!$BK$6:$BK$85,(CV910-2)*20+CZ910)</f>
        <v>130</v>
      </c>
      <c r="DG910" s="14">
        <f>SUMIFS(DF$5:DF910,$CT$5:$CT910,"="&amp;$CT910)</f>
        <v>1235</v>
      </c>
      <c r="DH910" s="14" t="s">
        <v>539</v>
      </c>
      <c r="DI910" s="14">
        <f>INDEX(属性投放!$BL$6:$BL$85,(CV910-2)*20+CZ910)</f>
        <v>65</v>
      </c>
      <c r="DJ910" s="14">
        <f>SUMIFS(DI$5:DI910,$CT$5:$CT910,"="&amp;$CT910)</f>
        <v>621</v>
      </c>
      <c r="DK910" s="14" t="s">
        <v>540</v>
      </c>
      <c r="DL910" s="14">
        <f>INDEX(属性投放!$BM$6:$BM$85,(CV910-2)*20+CZ910)</f>
        <v>1170</v>
      </c>
      <c r="DM910" s="14">
        <f>SUMIFS(DL$5:DL910,$CT$5:$CT910,"="&amp;$CT910)</f>
        <v>9890</v>
      </c>
    </row>
    <row r="911" spans="97:117" ht="16.5" x14ac:dyDescent="0.2">
      <c r="CS911" s="13">
        <v>907</v>
      </c>
      <c r="CT911" s="13">
        <f t="shared" si="1087"/>
        <v>18</v>
      </c>
      <c r="CU911" s="13">
        <f t="shared" si="1088"/>
        <v>23</v>
      </c>
      <c r="CV911" s="14">
        <f t="shared" si="1089"/>
        <v>2</v>
      </c>
      <c r="CW911" s="14">
        <f t="shared" si="1090"/>
        <v>1102018</v>
      </c>
      <c r="CX911" s="14" t="str">
        <f>INDEX($O$6:$O$50,CT911)&amp;"-"&amp;INDEX(属性投放!$AB$7:$AB$50,CZ911)&amp;"-魂火-"&amp;DB911</f>
        <v>噬日-大叫唤+1-魂火-2</v>
      </c>
      <c r="CY911" s="25" t="s">
        <v>142</v>
      </c>
      <c r="CZ911" s="14">
        <f>INDEX(属性投放!$AM$7:$AM$58,CU911)</f>
        <v>11</v>
      </c>
      <c r="DA911" s="14" t="s">
        <v>537</v>
      </c>
      <c r="DB911" s="14">
        <f>INDEX(属性投放!$AN$7:$AN$58,CU911)</f>
        <v>2</v>
      </c>
      <c r="DC911" s="14">
        <f t="shared" si="1086"/>
        <v>23</v>
      </c>
      <c r="DD911" s="14">
        <f>INDEX(属性投放!$AO$7:$AO$58,DC911)</f>
        <v>75</v>
      </c>
      <c r="DE911" s="14" t="s">
        <v>538</v>
      </c>
      <c r="DF911" s="14">
        <f>INDEX(属性投放!$BK$6:$BK$85,(CV911-2)*20+CZ911)</f>
        <v>130</v>
      </c>
      <c r="DG911" s="14">
        <f>SUMIFS(DF$5:DF911,$CT$5:$CT911,"="&amp;$CT911)</f>
        <v>1365</v>
      </c>
      <c r="DH911" s="14" t="s">
        <v>539</v>
      </c>
      <c r="DI911" s="14">
        <f>INDEX(属性投放!$BL$6:$BL$85,(CV911-2)*20+CZ911)</f>
        <v>65</v>
      </c>
      <c r="DJ911" s="14">
        <f>SUMIFS(DI$5:DI911,$CT$5:$CT911,"="&amp;$CT911)</f>
        <v>686</v>
      </c>
      <c r="DK911" s="14" t="s">
        <v>540</v>
      </c>
      <c r="DL911" s="14">
        <f>INDEX(属性投放!$BM$6:$BM$85,(CV911-2)*20+CZ911)</f>
        <v>1170</v>
      </c>
      <c r="DM911" s="14">
        <f>SUMIFS(DL$5:DL911,$CT$5:$CT911,"="&amp;$CT911)</f>
        <v>11060</v>
      </c>
    </row>
    <row r="912" spans="97:117" ht="16.5" x14ac:dyDescent="0.2">
      <c r="CS912" s="13">
        <v>908</v>
      </c>
      <c r="CT912" s="13">
        <f t="shared" si="1087"/>
        <v>18</v>
      </c>
      <c r="CU912" s="13">
        <f t="shared" si="1088"/>
        <v>24</v>
      </c>
      <c r="CV912" s="14">
        <f t="shared" si="1089"/>
        <v>2</v>
      </c>
      <c r="CW912" s="14">
        <f t="shared" si="1090"/>
        <v>1102018</v>
      </c>
      <c r="CX912" s="14" t="str">
        <f>INDEX($O$6:$O$50,CT912)&amp;"-"&amp;INDEX(属性投放!$AB$7:$AB$50,CZ912)&amp;"-魂火-"&amp;DB912</f>
        <v>噬日-大叫唤+1-魂火-3</v>
      </c>
      <c r="CY912" s="25" t="s">
        <v>142</v>
      </c>
      <c r="CZ912" s="14">
        <f>INDEX(属性投放!$AM$7:$AM$58,CU912)</f>
        <v>11</v>
      </c>
      <c r="DA912" s="14" t="s">
        <v>537</v>
      </c>
      <c r="DB912" s="14">
        <f>INDEX(属性投放!$AN$7:$AN$58,CU912)</f>
        <v>3</v>
      </c>
      <c r="DC912" s="14">
        <f t="shared" si="1086"/>
        <v>24</v>
      </c>
      <c r="DD912" s="14">
        <f>INDEX(属性投放!$AO$7:$AO$58,DC912)</f>
        <v>78</v>
      </c>
      <c r="DE912" s="14" t="s">
        <v>538</v>
      </c>
      <c r="DF912" s="14">
        <f>INDEX(属性投放!$BK$6:$BK$85,(CV912-2)*20+CZ912)</f>
        <v>130</v>
      </c>
      <c r="DG912" s="14">
        <f>SUMIFS(DF$5:DF912,$CT$5:$CT912,"="&amp;$CT912)</f>
        <v>1495</v>
      </c>
      <c r="DH912" s="14" t="s">
        <v>539</v>
      </c>
      <c r="DI912" s="14">
        <f>INDEX(属性投放!$BL$6:$BL$85,(CV912-2)*20+CZ912)</f>
        <v>65</v>
      </c>
      <c r="DJ912" s="14">
        <f>SUMIFS(DI$5:DI912,$CT$5:$CT912,"="&amp;$CT912)</f>
        <v>751</v>
      </c>
      <c r="DK912" s="14" t="s">
        <v>540</v>
      </c>
      <c r="DL912" s="14">
        <f>INDEX(属性投放!$BM$6:$BM$85,(CV912-2)*20+CZ912)</f>
        <v>1170</v>
      </c>
      <c r="DM912" s="14">
        <f>SUMIFS(DL$5:DL912,$CT$5:$CT912,"="&amp;$CT912)</f>
        <v>12230</v>
      </c>
    </row>
    <row r="913" spans="97:117" ht="16.5" x14ac:dyDescent="0.2">
      <c r="CS913" s="13">
        <v>909</v>
      </c>
      <c r="CT913" s="13">
        <f t="shared" si="1087"/>
        <v>18</v>
      </c>
      <c r="CU913" s="13">
        <f t="shared" si="1088"/>
        <v>25</v>
      </c>
      <c r="CV913" s="14">
        <f t="shared" si="1089"/>
        <v>2</v>
      </c>
      <c r="CW913" s="14">
        <f t="shared" si="1090"/>
        <v>1102018</v>
      </c>
      <c r="CX913" s="14" t="str">
        <f>INDEX($O$6:$O$50,CT913)&amp;"-"&amp;INDEX(属性投放!$AB$7:$AB$50,CZ913)&amp;"-魂火-"&amp;DB913</f>
        <v>噬日-大叫唤+2-魂火-1</v>
      </c>
      <c r="CY913" s="25" t="s">
        <v>142</v>
      </c>
      <c r="CZ913" s="14">
        <f>INDEX(属性投放!$AM$7:$AM$58,CU913)</f>
        <v>12</v>
      </c>
      <c r="DA913" s="14" t="s">
        <v>537</v>
      </c>
      <c r="DB913" s="14">
        <f>INDEX(属性投放!$AN$7:$AN$58,CU913)</f>
        <v>1</v>
      </c>
      <c r="DC913" s="14">
        <f t="shared" si="1086"/>
        <v>25</v>
      </c>
      <c r="DD913" s="14">
        <f>INDEX(属性投放!$AO$7:$AO$58,DC913)</f>
        <v>80</v>
      </c>
      <c r="DE913" s="14" t="s">
        <v>538</v>
      </c>
      <c r="DF913" s="14">
        <f>INDEX(属性投放!$BK$6:$BK$85,(CV913-2)*20+CZ913)</f>
        <v>170</v>
      </c>
      <c r="DG913" s="14">
        <f>SUMIFS(DF$5:DF913,$CT$5:$CT913,"="&amp;$CT913)</f>
        <v>1665</v>
      </c>
      <c r="DH913" s="14" t="s">
        <v>539</v>
      </c>
      <c r="DI913" s="14">
        <f>INDEX(属性投放!$BL$6:$BL$85,(CV913-2)*20+CZ913)</f>
        <v>85</v>
      </c>
      <c r="DJ913" s="14">
        <f>SUMIFS(DI$5:DI913,$CT$5:$CT913,"="&amp;$CT913)</f>
        <v>836</v>
      </c>
      <c r="DK913" s="14" t="s">
        <v>540</v>
      </c>
      <c r="DL913" s="14">
        <f>INDEX(属性投放!$BM$6:$BM$85,(CV913-2)*20+CZ913)</f>
        <v>1530</v>
      </c>
      <c r="DM913" s="14">
        <f>SUMIFS(DL$5:DL913,$CT$5:$CT913,"="&amp;$CT913)</f>
        <v>13760</v>
      </c>
    </row>
    <row r="914" spans="97:117" ht="16.5" x14ac:dyDescent="0.2">
      <c r="CS914" s="13">
        <v>910</v>
      </c>
      <c r="CT914" s="13">
        <f t="shared" si="1087"/>
        <v>18</v>
      </c>
      <c r="CU914" s="13">
        <f t="shared" si="1088"/>
        <v>26</v>
      </c>
      <c r="CV914" s="14">
        <f t="shared" si="1089"/>
        <v>2</v>
      </c>
      <c r="CW914" s="14">
        <f t="shared" si="1090"/>
        <v>1102018</v>
      </c>
      <c r="CX914" s="14" t="str">
        <f>INDEX($O$6:$O$50,CT914)&amp;"-"&amp;INDEX(属性投放!$AB$7:$AB$50,CZ914)&amp;"-魂火-"&amp;DB914</f>
        <v>噬日-大叫唤+2-魂火-2</v>
      </c>
      <c r="CY914" s="25" t="s">
        <v>142</v>
      </c>
      <c r="CZ914" s="14">
        <f>INDEX(属性投放!$AM$7:$AM$58,CU914)</f>
        <v>12</v>
      </c>
      <c r="DA914" s="14" t="s">
        <v>537</v>
      </c>
      <c r="DB914" s="14">
        <f>INDEX(属性投放!$AN$7:$AN$58,CU914)</f>
        <v>2</v>
      </c>
      <c r="DC914" s="14">
        <f t="shared" si="1086"/>
        <v>26</v>
      </c>
      <c r="DD914" s="14">
        <f>INDEX(属性投放!$AO$7:$AO$58,DC914)</f>
        <v>83</v>
      </c>
      <c r="DE914" s="14" t="s">
        <v>538</v>
      </c>
      <c r="DF914" s="14">
        <f>INDEX(属性投放!$BK$6:$BK$85,(CV914-2)*20+CZ914)</f>
        <v>170</v>
      </c>
      <c r="DG914" s="14">
        <f>SUMIFS(DF$5:DF914,$CT$5:$CT914,"="&amp;$CT914)</f>
        <v>1835</v>
      </c>
      <c r="DH914" s="14" t="s">
        <v>539</v>
      </c>
      <c r="DI914" s="14">
        <f>INDEX(属性投放!$BL$6:$BL$85,(CV914-2)*20+CZ914)</f>
        <v>85</v>
      </c>
      <c r="DJ914" s="14">
        <f>SUMIFS(DI$5:DI914,$CT$5:$CT914,"="&amp;$CT914)</f>
        <v>921</v>
      </c>
      <c r="DK914" s="14" t="s">
        <v>540</v>
      </c>
      <c r="DL914" s="14">
        <f>INDEX(属性投放!$BM$6:$BM$85,(CV914-2)*20+CZ914)</f>
        <v>1530</v>
      </c>
      <c r="DM914" s="14">
        <f>SUMIFS(DL$5:DL914,$CT$5:$CT914,"="&amp;$CT914)</f>
        <v>15290</v>
      </c>
    </row>
    <row r="915" spans="97:117" ht="16.5" x14ac:dyDescent="0.2">
      <c r="CS915" s="13">
        <v>911</v>
      </c>
      <c r="CT915" s="13">
        <f t="shared" si="1087"/>
        <v>18</v>
      </c>
      <c r="CU915" s="13">
        <f t="shared" si="1088"/>
        <v>27</v>
      </c>
      <c r="CV915" s="14">
        <f t="shared" si="1089"/>
        <v>2</v>
      </c>
      <c r="CW915" s="14">
        <f t="shared" si="1090"/>
        <v>1102018</v>
      </c>
      <c r="CX915" s="14" t="str">
        <f>INDEX($O$6:$O$50,CT915)&amp;"-"&amp;INDEX(属性投放!$AB$7:$AB$50,CZ915)&amp;"-魂火-"&amp;DB915</f>
        <v>噬日-大叫唤+2-魂火-3</v>
      </c>
      <c r="CY915" s="25" t="s">
        <v>142</v>
      </c>
      <c r="CZ915" s="14">
        <f>INDEX(属性投放!$AM$7:$AM$58,CU915)</f>
        <v>12</v>
      </c>
      <c r="DA915" s="14" t="s">
        <v>537</v>
      </c>
      <c r="DB915" s="14">
        <f>INDEX(属性投放!$AN$7:$AN$58,CU915)</f>
        <v>3</v>
      </c>
      <c r="DC915" s="14">
        <f t="shared" si="1086"/>
        <v>27</v>
      </c>
      <c r="DD915" s="14">
        <f>INDEX(属性投放!$AO$7:$AO$58,DC915)</f>
        <v>85</v>
      </c>
      <c r="DE915" s="14" t="s">
        <v>538</v>
      </c>
      <c r="DF915" s="14">
        <f>INDEX(属性投放!$BK$6:$BK$85,(CV915-2)*20+CZ915)</f>
        <v>170</v>
      </c>
      <c r="DG915" s="14">
        <f>SUMIFS(DF$5:DF915,$CT$5:$CT915,"="&amp;$CT915)</f>
        <v>2005</v>
      </c>
      <c r="DH915" s="14" t="s">
        <v>539</v>
      </c>
      <c r="DI915" s="14">
        <f>INDEX(属性投放!$BL$6:$BL$85,(CV915-2)*20+CZ915)</f>
        <v>85</v>
      </c>
      <c r="DJ915" s="14">
        <f>SUMIFS(DI$5:DI915,$CT$5:$CT915,"="&amp;$CT915)</f>
        <v>1006</v>
      </c>
      <c r="DK915" s="14" t="s">
        <v>540</v>
      </c>
      <c r="DL915" s="14">
        <f>INDEX(属性投放!$BM$6:$BM$85,(CV915-2)*20+CZ915)</f>
        <v>1530</v>
      </c>
      <c r="DM915" s="14">
        <f>SUMIFS(DL$5:DL915,$CT$5:$CT915,"="&amp;$CT915)</f>
        <v>16820</v>
      </c>
    </row>
    <row r="916" spans="97:117" ht="16.5" x14ac:dyDescent="0.2">
      <c r="CS916" s="13">
        <v>912</v>
      </c>
      <c r="CT916" s="13">
        <f t="shared" si="1087"/>
        <v>18</v>
      </c>
      <c r="CU916" s="13">
        <f t="shared" si="1088"/>
        <v>28</v>
      </c>
      <c r="CV916" s="14">
        <f t="shared" si="1089"/>
        <v>2</v>
      </c>
      <c r="CW916" s="14">
        <f t="shared" si="1090"/>
        <v>1102018</v>
      </c>
      <c r="CX916" s="14" t="str">
        <f>INDEX($O$6:$O$50,CT916)&amp;"-"&amp;INDEX(属性投放!$AB$7:$AB$50,CZ916)&amp;"-魂火-"&amp;DB916</f>
        <v>噬日-焦热-魂火-1</v>
      </c>
      <c r="CY916" s="25" t="s">
        <v>142</v>
      </c>
      <c r="CZ916" s="14">
        <f>INDEX(属性投放!$AM$7:$AM$58,CU916)</f>
        <v>13</v>
      </c>
      <c r="DA916" s="14" t="s">
        <v>537</v>
      </c>
      <c r="DB916" s="14">
        <f>INDEX(属性投放!$AN$7:$AN$58,CU916)</f>
        <v>1</v>
      </c>
      <c r="DC916" s="14">
        <f t="shared" si="1086"/>
        <v>28</v>
      </c>
      <c r="DD916" s="14">
        <f>INDEX(属性投放!$AO$7:$AO$58,DC916)</f>
        <v>88</v>
      </c>
      <c r="DE916" s="14" t="s">
        <v>538</v>
      </c>
      <c r="DF916" s="14">
        <f>INDEX(属性投放!$BK$6:$BK$85,(CV916-2)*20+CZ916)</f>
        <v>220</v>
      </c>
      <c r="DG916" s="14">
        <f>SUMIFS(DF$5:DF916,$CT$5:$CT916,"="&amp;$CT916)</f>
        <v>2225</v>
      </c>
      <c r="DH916" s="14" t="s">
        <v>539</v>
      </c>
      <c r="DI916" s="14">
        <f>INDEX(属性投放!$BL$6:$BL$85,(CV916-2)*20+CZ916)</f>
        <v>110</v>
      </c>
      <c r="DJ916" s="14">
        <f>SUMIFS(DI$5:DI916,$CT$5:$CT916,"="&amp;$CT916)</f>
        <v>1116</v>
      </c>
      <c r="DK916" s="14" t="s">
        <v>540</v>
      </c>
      <c r="DL916" s="14">
        <f>INDEX(属性投放!$BM$6:$BM$85,(CV916-2)*20+CZ916)</f>
        <v>2200</v>
      </c>
      <c r="DM916" s="14">
        <f>SUMIFS(DL$5:DL916,$CT$5:$CT916,"="&amp;$CT916)</f>
        <v>19020</v>
      </c>
    </row>
    <row r="917" spans="97:117" ht="16.5" x14ac:dyDescent="0.2">
      <c r="CS917" s="13">
        <v>913</v>
      </c>
      <c r="CT917" s="13">
        <f t="shared" si="1087"/>
        <v>18</v>
      </c>
      <c r="CU917" s="13">
        <f t="shared" si="1088"/>
        <v>29</v>
      </c>
      <c r="CV917" s="14">
        <f t="shared" si="1089"/>
        <v>2</v>
      </c>
      <c r="CW917" s="14">
        <f t="shared" si="1090"/>
        <v>1102018</v>
      </c>
      <c r="CX917" s="14" t="str">
        <f>INDEX($O$6:$O$50,CT917)&amp;"-"&amp;INDEX(属性投放!$AB$7:$AB$50,CZ917)&amp;"-魂火-"&amp;DB917</f>
        <v>噬日-焦热-魂火-2</v>
      </c>
      <c r="CY917" s="25" t="s">
        <v>142</v>
      </c>
      <c r="CZ917" s="14">
        <f>INDEX(属性投放!$AM$7:$AM$58,CU917)</f>
        <v>13</v>
      </c>
      <c r="DA917" s="14" t="s">
        <v>537</v>
      </c>
      <c r="DB917" s="14">
        <f>INDEX(属性投放!$AN$7:$AN$58,CU917)</f>
        <v>2</v>
      </c>
      <c r="DC917" s="14">
        <f t="shared" si="1086"/>
        <v>29</v>
      </c>
      <c r="DD917" s="14">
        <f>INDEX(属性投放!$AO$7:$AO$58,DC917)</f>
        <v>90</v>
      </c>
      <c r="DE917" s="14" t="s">
        <v>538</v>
      </c>
      <c r="DF917" s="14">
        <f>INDEX(属性投放!$BK$6:$BK$85,(CV917-2)*20+CZ917)</f>
        <v>220</v>
      </c>
      <c r="DG917" s="14">
        <f>SUMIFS(DF$5:DF917,$CT$5:$CT917,"="&amp;$CT917)</f>
        <v>2445</v>
      </c>
      <c r="DH917" s="14" t="s">
        <v>539</v>
      </c>
      <c r="DI917" s="14">
        <f>INDEX(属性投放!$BL$6:$BL$85,(CV917-2)*20+CZ917)</f>
        <v>110</v>
      </c>
      <c r="DJ917" s="14">
        <f>SUMIFS(DI$5:DI917,$CT$5:$CT917,"="&amp;$CT917)</f>
        <v>1226</v>
      </c>
      <c r="DK917" s="14" t="s">
        <v>540</v>
      </c>
      <c r="DL917" s="14">
        <f>INDEX(属性投放!$BM$6:$BM$85,(CV917-2)*20+CZ917)</f>
        <v>2200</v>
      </c>
      <c r="DM917" s="14">
        <f>SUMIFS(DL$5:DL917,$CT$5:$CT917,"="&amp;$CT917)</f>
        <v>21220</v>
      </c>
    </row>
    <row r="918" spans="97:117" ht="16.5" x14ac:dyDescent="0.2">
      <c r="CS918" s="13">
        <v>914</v>
      </c>
      <c r="CT918" s="13">
        <f t="shared" si="1087"/>
        <v>18</v>
      </c>
      <c r="CU918" s="13">
        <f t="shared" si="1088"/>
        <v>30</v>
      </c>
      <c r="CV918" s="14">
        <f t="shared" si="1089"/>
        <v>2</v>
      </c>
      <c r="CW918" s="14">
        <f t="shared" si="1090"/>
        <v>1102018</v>
      </c>
      <c r="CX918" s="14" t="str">
        <f>INDEX($O$6:$O$50,CT918)&amp;"-"&amp;INDEX(属性投放!$AB$7:$AB$50,CZ918)&amp;"-魂火-"&amp;DB918</f>
        <v>噬日-焦热-魂火-3</v>
      </c>
      <c r="CY918" s="25" t="s">
        <v>142</v>
      </c>
      <c r="CZ918" s="14">
        <f>INDEX(属性投放!$AM$7:$AM$58,CU918)</f>
        <v>13</v>
      </c>
      <c r="DA918" s="14" t="s">
        <v>537</v>
      </c>
      <c r="DB918" s="14">
        <f>INDEX(属性投放!$AN$7:$AN$58,CU918)</f>
        <v>3</v>
      </c>
      <c r="DC918" s="14">
        <f t="shared" si="1086"/>
        <v>30</v>
      </c>
      <c r="DD918" s="14">
        <f>INDEX(属性投放!$AO$7:$AO$58,DC918)</f>
        <v>93</v>
      </c>
      <c r="DE918" s="14" t="s">
        <v>538</v>
      </c>
      <c r="DF918" s="14">
        <f>INDEX(属性投放!$BK$6:$BK$85,(CV918-2)*20+CZ918)</f>
        <v>220</v>
      </c>
      <c r="DG918" s="14">
        <f>SUMIFS(DF$5:DF918,$CT$5:$CT918,"="&amp;$CT918)</f>
        <v>2665</v>
      </c>
      <c r="DH918" s="14" t="s">
        <v>539</v>
      </c>
      <c r="DI918" s="14">
        <f>INDEX(属性投放!$BL$6:$BL$85,(CV918-2)*20+CZ918)</f>
        <v>110</v>
      </c>
      <c r="DJ918" s="14">
        <f>SUMIFS(DI$5:DI918,$CT$5:$CT918,"="&amp;$CT918)</f>
        <v>1336</v>
      </c>
      <c r="DK918" s="14" t="s">
        <v>540</v>
      </c>
      <c r="DL918" s="14">
        <f>INDEX(属性投放!$BM$6:$BM$85,(CV918-2)*20+CZ918)</f>
        <v>2200</v>
      </c>
      <c r="DM918" s="14">
        <f>SUMIFS(DL$5:DL918,$CT$5:$CT918,"="&amp;$CT918)</f>
        <v>23420</v>
      </c>
    </row>
    <row r="919" spans="97:117" ht="16.5" x14ac:dyDescent="0.2">
      <c r="CS919" s="13">
        <v>915</v>
      </c>
      <c r="CT919" s="13">
        <f t="shared" si="1087"/>
        <v>18</v>
      </c>
      <c r="CU919" s="13">
        <f t="shared" si="1088"/>
        <v>31</v>
      </c>
      <c r="CV919" s="14">
        <f t="shared" si="1089"/>
        <v>2</v>
      </c>
      <c r="CW919" s="14">
        <f t="shared" si="1090"/>
        <v>1102018</v>
      </c>
      <c r="CX919" s="14" t="str">
        <f>INDEX($O$6:$O$50,CT919)&amp;"-"&amp;INDEX(属性投放!$AB$7:$AB$50,CZ919)&amp;"-魂火-"&amp;DB919</f>
        <v>噬日-焦热+1-魂火-1</v>
      </c>
      <c r="CY919" s="25" t="s">
        <v>142</v>
      </c>
      <c r="CZ919" s="14">
        <f>INDEX(属性投放!$AM$7:$AM$58,CU919)</f>
        <v>14</v>
      </c>
      <c r="DA919" s="14" t="s">
        <v>537</v>
      </c>
      <c r="DB919" s="14">
        <f>INDEX(属性投放!$AN$7:$AN$58,CU919)</f>
        <v>1</v>
      </c>
      <c r="DC919" s="14">
        <f t="shared" si="1086"/>
        <v>31</v>
      </c>
      <c r="DD919" s="14">
        <f>INDEX(属性投放!$AO$7:$AO$58,DC919)</f>
        <v>95</v>
      </c>
      <c r="DE919" s="14" t="s">
        <v>538</v>
      </c>
      <c r="DF919" s="14">
        <f>INDEX(属性投放!$BK$6:$BK$85,(CV919-2)*20+CZ919)</f>
        <v>270</v>
      </c>
      <c r="DG919" s="14">
        <f>SUMIFS(DF$5:DF919,$CT$5:$CT919,"="&amp;$CT919)</f>
        <v>2935</v>
      </c>
      <c r="DH919" s="14" t="s">
        <v>539</v>
      </c>
      <c r="DI919" s="14">
        <f>INDEX(属性投放!$BL$6:$BL$85,(CV919-2)*20+CZ919)</f>
        <v>135</v>
      </c>
      <c r="DJ919" s="14">
        <f>SUMIFS(DI$5:DI919,$CT$5:$CT919,"="&amp;$CT919)</f>
        <v>1471</v>
      </c>
      <c r="DK919" s="14" t="s">
        <v>540</v>
      </c>
      <c r="DL919" s="14">
        <f>INDEX(属性投放!$BM$6:$BM$85,(CV919-2)*20+CZ919)</f>
        <v>2700</v>
      </c>
      <c r="DM919" s="14">
        <f>SUMIFS(DL$5:DL919,$CT$5:$CT919,"="&amp;$CT919)</f>
        <v>26120</v>
      </c>
    </row>
    <row r="920" spans="97:117" ht="16.5" x14ac:dyDescent="0.2">
      <c r="CS920" s="13">
        <v>916</v>
      </c>
      <c r="CT920" s="13">
        <f t="shared" si="1087"/>
        <v>18</v>
      </c>
      <c r="CU920" s="13">
        <f t="shared" si="1088"/>
        <v>32</v>
      </c>
      <c r="CV920" s="14">
        <f t="shared" si="1089"/>
        <v>2</v>
      </c>
      <c r="CW920" s="14">
        <f t="shared" si="1090"/>
        <v>1102018</v>
      </c>
      <c r="CX920" s="14" t="str">
        <f>INDEX($O$6:$O$50,CT920)&amp;"-"&amp;INDEX(属性投放!$AB$7:$AB$50,CZ920)&amp;"-魂火-"&amp;DB920</f>
        <v>噬日-焦热+1-魂火-2</v>
      </c>
      <c r="CY920" s="25" t="s">
        <v>142</v>
      </c>
      <c r="CZ920" s="14">
        <f>INDEX(属性投放!$AM$7:$AM$58,CU920)</f>
        <v>14</v>
      </c>
      <c r="DA920" s="14" t="s">
        <v>537</v>
      </c>
      <c r="DB920" s="14">
        <f>INDEX(属性投放!$AN$7:$AN$58,CU920)</f>
        <v>2</v>
      </c>
      <c r="DC920" s="14">
        <f t="shared" si="1086"/>
        <v>32</v>
      </c>
      <c r="DD920" s="14">
        <f>INDEX(属性投放!$AO$7:$AO$58,DC920)</f>
        <v>98</v>
      </c>
      <c r="DE920" s="14" t="s">
        <v>538</v>
      </c>
      <c r="DF920" s="14">
        <f>INDEX(属性投放!$BK$6:$BK$85,(CV920-2)*20+CZ920)</f>
        <v>270</v>
      </c>
      <c r="DG920" s="14">
        <f>SUMIFS(DF$5:DF920,$CT$5:$CT920,"="&amp;$CT920)</f>
        <v>3205</v>
      </c>
      <c r="DH920" s="14" t="s">
        <v>539</v>
      </c>
      <c r="DI920" s="14">
        <f>INDEX(属性投放!$BL$6:$BL$85,(CV920-2)*20+CZ920)</f>
        <v>135</v>
      </c>
      <c r="DJ920" s="14">
        <f>SUMIFS(DI$5:DI920,$CT$5:$CT920,"="&amp;$CT920)</f>
        <v>1606</v>
      </c>
      <c r="DK920" s="14" t="s">
        <v>540</v>
      </c>
      <c r="DL920" s="14">
        <f>INDEX(属性投放!$BM$6:$BM$85,(CV920-2)*20+CZ920)</f>
        <v>2700</v>
      </c>
      <c r="DM920" s="14">
        <f>SUMIFS(DL$5:DL920,$CT$5:$CT920,"="&amp;$CT920)</f>
        <v>28820</v>
      </c>
    </row>
    <row r="921" spans="97:117" ht="16.5" x14ac:dyDescent="0.2">
      <c r="CS921" s="13">
        <v>917</v>
      </c>
      <c r="CT921" s="13">
        <f t="shared" si="1087"/>
        <v>18</v>
      </c>
      <c r="CU921" s="13">
        <f t="shared" si="1088"/>
        <v>33</v>
      </c>
      <c r="CV921" s="14">
        <f t="shared" si="1089"/>
        <v>2</v>
      </c>
      <c r="CW921" s="14">
        <f t="shared" si="1090"/>
        <v>1102018</v>
      </c>
      <c r="CX921" s="14" t="str">
        <f>INDEX($O$6:$O$50,CT921)&amp;"-"&amp;INDEX(属性投放!$AB$7:$AB$50,CZ921)&amp;"-魂火-"&amp;DB921</f>
        <v>噬日-焦热+1-魂火-3</v>
      </c>
      <c r="CY921" s="25" t="s">
        <v>142</v>
      </c>
      <c r="CZ921" s="14">
        <f>INDEX(属性投放!$AM$7:$AM$58,CU921)</f>
        <v>14</v>
      </c>
      <c r="DA921" s="14" t="s">
        <v>537</v>
      </c>
      <c r="DB921" s="14">
        <f>INDEX(属性投放!$AN$7:$AN$58,CU921)</f>
        <v>3</v>
      </c>
      <c r="DC921" s="14">
        <f t="shared" si="1086"/>
        <v>33</v>
      </c>
      <c r="DD921" s="14">
        <f>INDEX(属性投放!$AO$7:$AO$58,DC921)</f>
        <v>100</v>
      </c>
      <c r="DE921" s="14" t="s">
        <v>538</v>
      </c>
      <c r="DF921" s="14">
        <f>INDEX(属性投放!$BK$6:$BK$85,(CV921-2)*20+CZ921)</f>
        <v>270</v>
      </c>
      <c r="DG921" s="14">
        <f>SUMIFS(DF$5:DF921,$CT$5:$CT921,"="&amp;$CT921)</f>
        <v>3475</v>
      </c>
      <c r="DH921" s="14" t="s">
        <v>539</v>
      </c>
      <c r="DI921" s="14">
        <f>INDEX(属性投放!$BL$6:$BL$85,(CV921-2)*20+CZ921)</f>
        <v>135</v>
      </c>
      <c r="DJ921" s="14">
        <f>SUMIFS(DI$5:DI921,$CT$5:$CT921,"="&amp;$CT921)</f>
        <v>1741</v>
      </c>
      <c r="DK921" s="14" t="s">
        <v>540</v>
      </c>
      <c r="DL921" s="14">
        <f>INDEX(属性投放!$BM$6:$BM$85,(CV921-2)*20+CZ921)</f>
        <v>2700</v>
      </c>
      <c r="DM921" s="14">
        <f>SUMIFS(DL$5:DL921,$CT$5:$CT921,"="&amp;$CT921)</f>
        <v>31520</v>
      </c>
    </row>
    <row r="922" spans="97:117" ht="16.5" x14ac:dyDescent="0.2">
      <c r="CS922" s="13">
        <v>918</v>
      </c>
      <c r="CT922" s="13">
        <f t="shared" si="1087"/>
        <v>18</v>
      </c>
      <c r="CU922" s="13">
        <f t="shared" si="1088"/>
        <v>34</v>
      </c>
      <c r="CV922" s="14">
        <f t="shared" si="1089"/>
        <v>2</v>
      </c>
      <c r="CW922" s="14">
        <f t="shared" si="1090"/>
        <v>1102018</v>
      </c>
      <c r="CX922" s="14" t="str">
        <f>INDEX($O$6:$O$50,CT922)&amp;"-"&amp;INDEX(属性投放!$AB$7:$AB$50,CZ922)&amp;"-魂火-"&amp;DB922</f>
        <v>噬日-焦热+2-魂火-1</v>
      </c>
      <c r="CY922" s="25" t="s">
        <v>142</v>
      </c>
      <c r="CZ922" s="14">
        <f>INDEX(属性投放!$AM$7:$AM$58,CU922)</f>
        <v>15</v>
      </c>
      <c r="DA922" s="14" t="s">
        <v>537</v>
      </c>
      <c r="DB922" s="14">
        <f>INDEX(属性投放!$AN$7:$AN$58,CU922)</f>
        <v>1</v>
      </c>
      <c r="DC922" s="14">
        <f t="shared" si="1086"/>
        <v>34</v>
      </c>
      <c r="DD922" s="14">
        <f>INDEX(属性投放!$AO$7:$AO$58,DC922)</f>
        <v>103</v>
      </c>
      <c r="DE922" s="14" t="s">
        <v>538</v>
      </c>
      <c r="DF922" s="14">
        <f>INDEX(属性投放!$BK$6:$BK$85,(CV922-2)*20+CZ922)</f>
        <v>350</v>
      </c>
      <c r="DG922" s="14">
        <f>SUMIFS(DF$5:DF922,$CT$5:$CT922,"="&amp;$CT922)</f>
        <v>3825</v>
      </c>
      <c r="DH922" s="14" t="s">
        <v>539</v>
      </c>
      <c r="DI922" s="14">
        <f>INDEX(属性投放!$BL$6:$BL$85,(CV922-2)*20+CZ922)</f>
        <v>175</v>
      </c>
      <c r="DJ922" s="14">
        <f>SUMIFS(DI$5:DI922,$CT$5:$CT922,"="&amp;$CT922)</f>
        <v>1916</v>
      </c>
      <c r="DK922" s="14" t="s">
        <v>540</v>
      </c>
      <c r="DL922" s="14">
        <f>INDEX(属性投放!$BM$6:$BM$85,(CV922-2)*20+CZ922)</f>
        <v>3500</v>
      </c>
      <c r="DM922" s="14">
        <f>SUMIFS(DL$5:DL922,$CT$5:$CT922,"="&amp;$CT922)</f>
        <v>35020</v>
      </c>
    </row>
    <row r="923" spans="97:117" ht="16.5" x14ac:dyDescent="0.2">
      <c r="CS923" s="13">
        <v>919</v>
      </c>
      <c r="CT923" s="13">
        <f t="shared" si="1087"/>
        <v>18</v>
      </c>
      <c r="CU923" s="13">
        <f t="shared" si="1088"/>
        <v>35</v>
      </c>
      <c r="CV923" s="14">
        <f t="shared" si="1089"/>
        <v>2</v>
      </c>
      <c r="CW923" s="14">
        <f t="shared" si="1090"/>
        <v>1102018</v>
      </c>
      <c r="CX923" s="14" t="str">
        <f>INDEX($O$6:$O$50,CT923)&amp;"-"&amp;INDEX(属性投放!$AB$7:$AB$50,CZ923)&amp;"-魂火-"&amp;DB923</f>
        <v>噬日-焦热+2-魂火-2</v>
      </c>
      <c r="CY923" s="25" t="s">
        <v>142</v>
      </c>
      <c r="CZ923" s="14">
        <f>INDEX(属性投放!$AM$7:$AM$58,CU923)</f>
        <v>15</v>
      </c>
      <c r="DA923" s="14" t="s">
        <v>537</v>
      </c>
      <c r="DB923" s="14">
        <f>INDEX(属性投放!$AN$7:$AN$58,CU923)</f>
        <v>2</v>
      </c>
      <c r="DC923" s="14">
        <f t="shared" si="1086"/>
        <v>35</v>
      </c>
      <c r="DD923" s="14">
        <f>INDEX(属性投放!$AO$7:$AO$58,DC923)</f>
        <v>105</v>
      </c>
      <c r="DE923" s="14" t="s">
        <v>538</v>
      </c>
      <c r="DF923" s="14">
        <f>INDEX(属性投放!$BK$6:$BK$85,(CV923-2)*20+CZ923)</f>
        <v>350</v>
      </c>
      <c r="DG923" s="14">
        <f>SUMIFS(DF$5:DF923,$CT$5:$CT923,"="&amp;$CT923)</f>
        <v>4175</v>
      </c>
      <c r="DH923" s="14" t="s">
        <v>539</v>
      </c>
      <c r="DI923" s="14">
        <f>INDEX(属性投放!$BL$6:$BL$85,(CV923-2)*20+CZ923)</f>
        <v>175</v>
      </c>
      <c r="DJ923" s="14">
        <f>SUMIFS(DI$5:DI923,$CT$5:$CT923,"="&amp;$CT923)</f>
        <v>2091</v>
      </c>
      <c r="DK923" s="14" t="s">
        <v>540</v>
      </c>
      <c r="DL923" s="14">
        <f>INDEX(属性投放!$BM$6:$BM$85,(CV923-2)*20+CZ923)</f>
        <v>3500</v>
      </c>
      <c r="DM923" s="14">
        <f>SUMIFS(DL$5:DL923,$CT$5:$CT923,"="&amp;$CT923)</f>
        <v>38520</v>
      </c>
    </row>
    <row r="924" spans="97:117" ht="16.5" x14ac:dyDescent="0.2">
      <c r="CS924" s="13">
        <v>920</v>
      </c>
      <c r="CT924" s="13">
        <f t="shared" si="1087"/>
        <v>18</v>
      </c>
      <c r="CU924" s="13">
        <f t="shared" si="1088"/>
        <v>36</v>
      </c>
      <c r="CV924" s="14">
        <f t="shared" si="1089"/>
        <v>2</v>
      </c>
      <c r="CW924" s="14">
        <f t="shared" si="1090"/>
        <v>1102018</v>
      </c>
      <c r="CX924" s="14" t="str">
        <f>INDEX($O$6:$O$50,CT924)&amp;"-"&amp;INDEX(属性投放!$AB$7:$AB$50,CZ924)&amp;"-魂火-"&amp;DB924</f>
        <v>噬日-焦热+2-魂火-3</v>
      </c>
      <c r="CY924" s="25" t="s">
        <v>142</v>
      </c>
      <c r="CZ924" s="14">
        <f>INDEX(属性投放!$AM$7:$AM$58,CU924)</f>
        <v>15</v>
      </c>
      <c r="DA924" s="14" t="s">
        <v>537</v>
      </c>
      <c r="DB924" s="14">
        <f>INDEX(属性投放!$AN$7:$AN$58,CU924)</f>
        <v>3</v>
      </c>
      <c r="DC924" s="14">
        <f t="shared" si="1086"/>
        <v>36</v>
      </c>
      <c r="DD924" s="14">
        <f>INDEX(属性投放!$AO$7:$AO$58,DC924)</f>
        <v>108</v>
      </c>
      <c r="DE924" s="14" t="s">
        <v>538</v>
      </c>
      <c r="DF924" s="14">
        <f>INDEX(属性投放!$BK$6:$BK$85,(CV924-2)*20+CZ924)</f>
        <v>350</v>
      </c>
      <c r="DG924" s="14">
        <f>SUMIFS(DF$5:DF924,$CT$5:$CT924,"="&amp;$CT924)</f>
        <v>4525</v>
      </c>
      <c r="DH924" s="14" t="s">
        <v>539</v>
      </c>
      <c r="DI924" s="14">
        <f>INDEX(属性投放!$BL$6:$BL$85,(CV924-2)*20+CZ924)</f>
        <v>175</v>
      </c>
      <c r="DJ924" s="14">
        <f>SUMIFS(DI$5:DI924,$CT$5:$CT924,"="&amp;$CT924)</f>
        <v>2266</v>
      </c>
      <c r="DK924" s="14" t="s">
        <v>540</v>
      </c>
      <c r="DL924" s="14">
        <f>INDEX(属性投放!$BM$6:$BM$85,(CV924-2)*20+CZ924)</f>
        <v>3500</v>
      </c>
      <c r="DM924" s="14">
        <f>SUMIFS(DL$5:DL924,$CT$5:$CT924,"="&amp;$CT924)</f>
        <v>42020</v>
      </c>
    </row>
    <row r="925" spans="97:117" ht="16.5" x14ac:dyDescent="0.2">
      <c r="CS925" s="13">
        <v>921</v>
      </c>
      <c r="CT925" s="13">
        <f t="shared" si="1087"/>
        <v>18</v>
      </c>
      <c r="CU925" s="13">
        <f t="shared" si="1088"/>
        <v>37</v>
      </c>
      <c r="CV925" s="14">
        <f t="shared" si="1089"/>
        <v>2</v>
      </c>
      <c r="CW925" s="14">
        <f t="shared" si="1090"/>
        <v>1102018</v>
      </c>
      <c r="CX925" s="14" t="str">
        <f>INDEX($O$6:$O$50,CT925)&amp;"-"&amp;INDEX(属性投放!$AB$7:$AB$50,CZ925)&amp;"-魂火-"&amp;DB925</f>
        <v>噬日-大焦热-魂火-1</v>
      </c>
      <c r="CY925" s="25" t="s">
        <v>142</v>
      </c>
      <c r="CZ925" s="14">
        <f>INDEX(属性投放!$AM$7:$AM$58,CU925)</f>
        <v>16</v>
      </c>
      <c r="DA925" s="14" t="s">
        <v>537</v>
      </c>
      <c r="DB925" s="14">
        <f>INDEX(属性投放!$AN$7:$AN$58,CU925)</f>
        <v>1</v>
      </c>
      <c r="DC925" s="14">
        <f t="shared" si="1086"/>
        <v>37</v>
      </c>
      <c r="DD925" s="14">
        <f>INDEX(属性投放!$AO$7:$AO$58,DC925)</f>
        <v>110</v>
      </c>
      <c r="DE925" s="14" t="s">
        <v>538</v>
      </c>
      <c r="DF925" s="14">
        <f>INDEX(属性投放!$BK$6:$BK$85,(CV925-2)*20+CZ925)</f>
        <v>450</v>
      </c>
      <c r="DG925" s="14">
        <f>SUMIFS(DF$5:DF925,$CT$5:$CT925,"="&amp;$CT925)</f>
        <v>4975</v>
      </c>
      <c r="DH925" s="14" t="s">
        <v>539</v>
      </c>
      <c r="DI925" s="14">
        <f>INDEX(属性投放!$BL$6:$BL$85,(CV925-2)*20+CZ925)</f>
        <v>225</v>
      </c>
      <c r="DJ925" s="14">
        <f>SUMIFS(DI$5:DI925,$CT$5:$CT925,"="&amp;$CT925)</f>
        <v>2491</v>
      </c>
      <c r="DK925" s="14" t="s">
        <v>540</v>
      </c>
      <c r="DL925" s="14">
        <f>INDEX(属性投放!$BM$6:$BM$85,(CV925-2)*20+CZ925)</f>
        <v>4500</v>
      </c>
      <c r="DM925" s="14">
        <f>SUMIFS(DL$5:DL925,$CT$5:$CT925,"="&amp;$CT925)</f>
        <v>46520</v>
      </c>
    </row>
    <row r="926" spans="97:117" ht="16.5" x14ac:dyDescent="0.2">
      <c r="CS926" s="13">
        <v>922</v>
      </c>
      <c r="CT926" s="13">
        <f t="shared" si="1087"/>
        <v>18</v>
      </c>
      <c r="CU926" s="13">
        <f t="shared" si="1088"/>
        <v>38</v>
      </c>
      <c r="CV926" s="14">
        <f t="shared" si="1089"/>
        <v>2</v>
      </c>
      <c r="CW926" s="14">
        <f t="shared" si="1090"/>
        <v>1102018</v>
      </c>
      <c r="CX926" s="14" t="str">
        <f>INDEX($O$6:$O$50,CT926)&amp;"-"&amp;INDEX(属性投放!$AB$7:$AB$50,CZ926)&amp;"-魂火-"&amp;DB926</f>
        <v>噬日-大焦热-魂火-2</v>
      </c>
      <c r="CY926" s="25" t="s">
        <v>142</v>
      </c>
      <c r="CZ926" s="14">
        <f>INDEX(属性投放!$AM$7:$AM$58,CU926)</f>
        <v>16</v>
      </c>
      <c r="DA926" s="14" t="s">
        <v>537</v>
      </c>
      <c r="DB926" s="14">
        <f>INDEX(属性投放!$AN$7:$AN$58,CU926)</f>
        <v>2</v>
      </c>
      <c r="DC926" s="14">
        <f t="shared" si="1086"/>
        <v>38</v>
      </c>
      <c r="DD926" s="14">
        <f>INDEX(属性投放!$AO$7:$AO$58,DC926)</f>
        <v>113</v>
      </c>
      <c r="DE926" s="14" t="s">
        <v>538</v>
      </c>
      <c r="DF926" s="14">
        <f>INDEX(属性投放!$BK$6:$BK$85,(CV926-2)*20+CZ926)</f>
        <v>450</v>
      </c>
      <c r="DG926" s="14">
        <f>SUMIFS(DF$5:DF926,$CT$5:$CT926,"="&amp;$CT926)</f>
        <v>5425</v>
      </c>
      <c r="DH926" s="14" t="s">
        <v>539</v>
      </c>
      <c r="DI926" s="14">
        <f>INDEX(属性投放!$BL$6:$BL$85,(CV926-2)*20+CZ926)</f>
        <v>225</v>
      </c>
      <c r="DJ926" s="14">
        <f>SUMIFS(DI$5:DI926,$CT$5:$CT926,"="&amp;$CT926)</f>
        <v>2716</v>
      </c>
      <c r="DK926" s="14" t="s">
        <v>540</v>
      </c>
      <c r="DL926" s="14">
        <f>INDEX(属性投放!$BM$6:$BM$85,(CV926-2)*20+CZ926)</f>
        <v>4500</v>
      </c>
      <c r="DM926" s="14">
        <f>SUMIFS(DL$5:DL926,$CT$5:$CT926,"="&amp;$CT926)</f>
        <v>51020</v>
      </c>
    </row>
    <row r="927" spans="97:117" ht="16.5" x14ac:dyDescent="0.2">
      <c r="CS927" s="13">
        <v>923</v>
      </c>
      <c r="CT927" s="13">
        <f t="shared" si="1087"/>
        <v>18</v>
      </c>
      <c r="CU927" s="13">
        <f t="shared" si="1088"/>
        <v>39</v>
      </c>
      <c r="CV927" s="14">
        <f t="shared" si="1089"/>
        <v>2</v>
      </c>
      <c r="CW927" s="14">
        <f t="shared" si="1090"/>
        <v>1102018</v>
      </c>
      <c r="CX927" s="14" t="str">
        <f>INDEX($O$6:$O$50,CT927)&amp;"-"&amp;INDEX(属性投放!$AB$7:$AB$50,CZ927)&amp;"-魂火-"&amp;DB927</f>
        <v>噬日-大焦热-魂火-3</v>
      </c>
      <c r="CY927" s="25" t="s">
        <v>142</v>
      </c>
      <c r="CZ927" s="14">
        <f>INDEX(属性投放!$AM$7:$AM$58,CU927)</f>
        <v>16</v>
      </c>
      <c r="DA927" s="14" t="s">
        <v>537</v>
      </c>
      <c r="DB927" s="14">
        <f>INDEX(属性投放!$AN$7:$AN$58,CU927)</f>
        <v>3</v>
      </c>
      <c r="DC927" s="14">
        <f t="shared" si="1086"/>
        <v>39</v>
      </c>
      <c r="DD927" s="14">
        <f>INDEX(属性投放!$AO$7:$AO$58,DC927)</f>
        <v>115</v>
      </c>
      <c r="DE927" s="14" t="s">
        <v>538</v>
      </c>
      <c r="DF927" s="14">
        <f>INDEX(属性投放!$BK$6:$BK$85,(CV927-2)*20+CZ927)</f>
        <v>450</v>
      </c>
      <c r="DG927" s="14">
        <f>SUMIFS(DF$5:DF927,$CT$5:$CT927,"="&amp;$CT927)</f>
        <v>5875</v>
      </c>
      <c r="DH927" s="14" t="s">
        <v>539</v>
      </c>
      <c r="DI927" s="14">
        <f>INDEX(属性投放!$BL$6:$BL$85,(CV927-2)*20+CZ927)</f>
        <v>225</v>
      </c>
      <c r="DJ927" s="14">
        <f>SUMIFS(DI$5:DI927,$CT$5:$CT927,"="&amp;$CT927)</f>
        <v>2941</v>
      </c>
      <c r="DK927" s="14" t="s">
        <v>540</v>
      </c>
      <c r="DL927" s="14">
        <f>INDEX(属性投放!$BM$6:$BM$85,(CV927-2)*20+CZ927)</f>
        <v>4500</v>
      </c>
      <c r="DM927" s="14">
        <f>SUMIFS(DL$5:DL927,$CT$5:$CT927,"="&amp;$CT927)</f>
        <v>55520</v>
      </c>
    </row>
    <row r="928" spans="97:117" ht="16.5" x14ac:dyDescent="0.2">
      <c r="CS928" s="13">
        <v>924</v>
      </c>
      <c r="CT928" s="13">
        <f t="shared" si="1087"/>
        <v>18</v>
      </c>
      <c r="CU928" s="13">
        <f t="shared" si="1088"/>
        <v>40</v>
      </c>
      <c r="CV928" s="14">
        <f t="shared" si="1089"/>
        <v>2</v>
      </c>
      <c r="CW928" s="14">
        <f t="shared" si="1090"/>
        <v>1102018</v>
      </c>
      <c r="CX928" s="14" t="str">
        <f>INDEX($O$6:$O$50,CT928)&amp;"-"&amp;INDEX(属性投放!$AB$7:$AB$50,CZ928)&amp;"-魂火-"&amp;DB928</f>
        <v>噬日-大焦热+1-魂火-1</v>
      </c>
      <c r="CY928" s="25" t="s">
        <v>142</v>
      </c>
      <c r="CZ928" s="14">
        <f>INDEX(属性投放!$AM$7:$AM$58,CU928)</f>
        <v>17</v>
      </c>
      <c r="DA928" s="14" t="s">
        <v>537</v>
      </c>
      <c r="DB928" s="14">
        <f>INDEX(属性投放!$AN$7:$AN$58,CU928)</f>
        <v>1</v>
      </c>
      <c r="DC928" s="14">
        <f t="shared" si="1086"/>
        <v>40</v>
      </c>
      <c r="DD928" s="14">
        <f>INDEX(属性投放!$AO$7:$AO$58,DC928)</f>
        <v>118</v>
      </c>
      <c r="DE928" s="14" t="s">
        <v>538</v>
      </c>
      <c r="DF928" s="14">
        <f>INDEX(属性投放!$BK$6:$BK$85,(CV928-2)*20+CZ928)</f>
        <v>550</v>
      </c>
      <c r="DG928" s="14">
        <f>SUMIFS(DF$5:DF928,$CT$5:$CT928,"="&amp;$CT928)</f>
        <v>6425</v>
      </c>
      <c r="DH928" s="14" t="s">
        <v>539</v>
      </c>
      <c r="DI928" s="14">
        <f>INDEX(属性投放!$BL$6:$BL$85,(CV928-2)*20+CZ928)</f>
        <v>275</v>
      </c>
      <c r="DJ928" s="14">
        <f>SUMIFS(DI$5:DI928,$CT$5:$CT928,"="&amp;$CT928)</f>
        <v>3216</v>
      </c>
      <c r="DK928" s="14" t="s">
        <v>540</v>
      </c>
      <c r="DL928" s="14">
        <f>INDEX(属性投放!$BM$6:$BM$85,(CV928-2)*20+CZ928)</f>
        <v>5500</v>
      </c>
      <c r="DM928" s="14">
        <f>SUMIFS(DL$5:DL928,$CT$5:$CT928,"="&amp;$CT928)</f>
        <v>61020</v>
      </c>
    </row>
    <row r="929" spans="97:117" ht="16.5" x14ac:dyDescent="0.2">
      <c r="CS929" s="13">
        <v>925</v>
      </c>
      <c r="CT929" s="13">
        <f t="shared" si="1087"/>
        <v>18</v>
      </c>
      <c r="CU929" s="13">
        <f t="shared" si="1088"/>
        <v>41</v>
      </c>
      <c r="CV929" s="14">
        <f t="shared" si="1089"/>
        <v>2</v>
      </c>
      <c r="CW929" s="14">
        <f t="shared" si="1090"/>
        <v>1102018</v>
      </c>
      <c r="CX929" s="14" t="str">
        <f>INDEX($O$6:$O$50,CT929)&amp;"-"&amp;INDEX(属性投放!$AB$7:$AB$50,CZ929)&amp;"-魂火-"&amp;DB929</f>
        <v>噬日-大焦热+1-魂火-2</v>
      </c>
      <c r="CY929" s="25" t="s">
        <v>142</v>
      </c>
      <c r="CZ929" s="14">
        <f>INDEX(属性投放!$AM$7:$AM$58,CU929)</f>
        <v>17</v>
      </c>
      <c r="DA929" s="14" t="s">
        <v>537</v>
      </c>
      <c r="DB929" s="14">
        <f>INDEX(属性投放!$AN$7:$AN$58,CU929)</f>
        <v>2</v>
      </c>
      <c r="DC929" s="14">
        <f t="shared" si="1086"/>
        <v>41</v>
      </c>
      <c r="DD929" s="14">
        <f>INDEX(属性投放!$AO$7:$AO$58,DC929)</f>
        <v>120</v>
      </c>
      <c r="DE929" s="14" t="s">
        <v>538</v>
      </c>
      <c r="DF929" s="14">
        <f>INDEX(属性投放!$BK$6:$BK$85,(CV929-2)*20+CZ929)</f>
        <v>550</v>
      </c>
      <c r="DG929" s="14">
        <f>SUMIFS(DF$5:DF929,$CT$5:$CT929,"="&amp;$CT929)</f>
        <v>6975</v>
      </c>
      <c r="DH929" s="14" t="s">
        <v>539</v>
      </c>
      <c r="DI929" s="14">
        <f>INDEX(属性投放!$BL$6:$BL$85,(CV929-2)*20+CZ929)</f>
        <v>275</v>
      </c>
      <c r="DJ929" s="14">
        <f>SUMIFS(DI$5:DI929,$CT$5:$CT929,"="&amp;$CT929)</f>
        <v>3491</v>
      </c>
      <c r="DK929" s="14" t="s">
        <v>540</v>
      </c>
      <c r="DL929" s="14">
        <f>INDEX(属性投放!$BM$6:$BM$85,(CV929-2)*20+CZ929)</f>
        <v>5500</v>
      </c>
      <c r="DM929" s="14">
        <f>SUMIFS(DL$5:DL929,$CT$5:$CT929,"="&amp;$CT929)</f>
        <v>66520</v>
      </c>
    </row>
    <row r="930" spans="97:117" ht="16.5" x14ac:dyDescent="0.2">
      <c r="CS930" s="13">
        <v>926</v>
      </c>
      <c r="CT930" s="13">
        <f t="shared" si="1087"/>
        <v>18</v>
      </c>
      <c r="CU930" s="13">
        <f t="shared" si="1088"/>
        <v>42</v>
      </c>
      <c r="CV930" s="14">
        <f t="shared" si="1089"/>
        <v>2</v>
      </c>
      <c r="CW930" s="14">
        <f t="shared" si="1090"/>
        <v>1102018</v>
      </c>
      <c r="CX930" s="14" t="str">
        <f>INDEX($O$6:$O$50,CT930)&amp;"-"&amp;INDEX(属性投放!$AB$7:$AB$50,CZ930)&amp;"-魂火-"&amp;DB930</f>
        <v>噬日-大焦热+1-魂火-3</v>
      </c>
      <c r="CY930" s="25" t="s">
        <v>142</v>
      </c>
      <c r="CZ930" s="14">
        <f>INDEX(属性投放!$AM$7:$AM$58,CU930)</f>
        <v>17</v>
      </c>
      <c r="DA930" s="14" t="s">
        <v>537</v>
      </c>
      <c r="DB930" s="14">
        <f>INDEX(属性投放!$AN$7:$AN$58,CU930)</f>
        <v>3</v>
      </c>
      <c r="DC930" s="14">
        <f t="shared" si="1086"/>
        <v>42</v>
      </c>
      <c r="DD930" s="14">
        <f>INDEX(属性投放!$AO$7:$AO$58,DC930)</f>
        <v>123</v>
      </c>
      <c r="DE930" s="14" t="s">
        <v>538</v>
      </c>
      <c r="DF930" s="14">
        <f>INDEX(属性投放!$BK$6:$BK$85,(CV930-2)*20+CZ930)</f>
        <v>550</v>
      </c>
      <c r="DG930" s="14">
        <f>SUMIFS(DF$5:DF930,$CT$5:$CT930,"="&amp;$CT930)</f>
        <v>7525</v>
      </c>
      <c r="DH930" s="14" t="s">
        <v>539</v>
      </c>
      <c r="DI930" s="14">
        <f>INDEX(属性投放!$BL$6:$BL$85,(CV930-2)*20+CZ930)</f>
        <v>275</v>
      </c>
      <c r="DJ930" s="14">
        <f>SUMIFS(DI$5:DI930,$CT$5:$CT930,"="&amp;$CT930)</f>
        <v>3766</v>
      </c>
      <c r="DK930" s="14" t="s">
        <v>540</v>
      </c>
      <c r="DL930" s="14">
        <f>INDEX(属性投放!$BM$6:$BM$85,(CV930-2)*20+CZ930)</f>
        <v>5500</v>
      </c>
      <c r="DM930" s="14">
        <f>SUMIFS(DL$5:DL930,$CT$5:$CT930,"="&amp;$CT930)</f>
        <v>72020</v>
      </c>
    </row>
    <row r="931" spans="97:117" ht="16.5" x14ac:dyDescent="0.2">
      <c r="CS931" s="13">
        <v>927</v>
      </c>
      <c r="CT931" s="13">
        <f t="shared" si="1087"/>
        <v>18</v>
      </c>
      <c r="CU931" s="13">
        <f t="shared" si="1088"/>
        <v>43</v>
      </c>
      <c r="CV931" s="14">
        <f t="shared" si="1089"/>
        <v>2</v>
      </c>
      <c r="CW931" s="14">
        <f t="shared" si="1090"/>
        <v>1102018</v>
      </c>
      <c r="CX931" s="14" t="str">
        <f>INDEX($O$6:$O$50,CT931)&amp;"-"&amp;INDEX(属性投放!$AB$7:$AB$50,CZ931)&amp;"-魂火-"&amp;DB931</f>
        <v>噬日-大焦热+2-魂火-1</v>
      </c>
      <c r="CY931" s="25" t="s">
        <v>142</v>
      </c>
      <c r="CZ931" s="14">
        <f>INDEX(属性投放!$AM$7:$AM$58,CU931)</f>
        <v>18</v>
      </c>
      <c r="DA931" s="14" t="s">
        <v>537</v>
      </c>
      <c r="DB931" s="14">
        <f>INDEX(属性投放!$AN$7:$AN$58,CU931)</f>
        <v>1</v>
      </c>
      <c r="DC931" s="14">
        <f t="shared" si="1086"/>
        <v>43</v>
      </c>
      <c r="DD931" s="14">
        <f>INDEX(属性投放!$AO$7:$AO$58,DC931)</f>
        <v>125</v>
      </c>
      <c r="DE931" s="14" t="s">
        <v>538</v>
      </c>
      <c r="DF931" s="14">
        <f>INDEX(属性投放!$BK$6:$BK$85,(CV931-2)*20+CZ931)</f>
        <v>680</v>
      </c>
      <c r="DG931" s="14">
        <f>SUMIFS(DF$5:DF931,$CT$5:$CT931,"="&amp;$CT931)</f>
        <v>8205</v>
      </c>
      <c r="DH931" s="14" t="s">
        <v>539</v>
      </c>
      <c r="DI931" s="14">
        <f>INDEX(属性投放!$BL$6:$BL$85,(CV931-2)*20+CZ931)</f>
        <v>340</v>
      </c>
      <c r="DJ931" s="14">
        <f>SUMIFS(DI$5:DI931,$CT$5:$CT931,"="&amp;$CT931)</f>
        <v>4106</v>
      </c>
      <c r="DK931" s="14" t="s">
        <v>540</v>
      </c>
      <c r="DL931" s="14">
        <f>INDEX(属性投放!$BM$6:$BM$85,(CV931-2)*20+CZ931)</f>
        <v>6800</v>
      </c>
      <c r="DM931" s="14">
        <f>SUMIFS(DL$5:DL931,$CT$5:$CT931,"="&amp;$CT931)</f>
        <v>78820</v>
      </c>
    </row>
    <row r="932" spans="97:117" ht="16.5" x14ac:dyDescent="0.2">
      <c r="CS932" s="13">
        <v>928</v>
      </c>
      <c r="CT932" s="13">
        <f t="shared" si="1087"/>
        <v>18</v>
      </c>
      <c r="CU932" s="13">
        <f t="shared" si="1088"/>
        <v>44</v>
      </c>
      <c r="CV932" s="14">
        <f t="shared" si="1089"/>
        <v>2</v>
      </c>
      <c r="CW932" s="14">
        <f t="shared" si="1090"/>
        <v>1102018</v>
      </c>
      <c r="CX932" s="14" t="str">
        <f>INDEX($O$6:$O$50,CT932)&amp;"-"&amp;INDEX(属性投放!$AB$7:$AB$50,CZ932)&amp;"-魂火-"&amp;DB932</f>
        <v>噬日-大焦热+2-魂火-2</v>
      </c>
      <c r="CY932" s="25" t="s">
        <v>142</v>
      </c>
      <c r="CZ932" s="14">
        <f>INDEX(属性投放!$AM$7:$AM$58,CU932)</f>
        <v>18</v>
      </c>
      <c r="DA932" s="14" t="s">
        <v>537</v>
      </c>
      <c r="DB932" s="14">
        <f>INDEX(属性投放!$AN$7:$AN$58,CU932)</f>
        <v>2</v>
      </c>
      <c r="DC932" s="14">
        <f t="shared" si="1086"/>
        <v>44</v>
      </c>
      <c r="DD932" s="14">
        <f>INDEX(属性投放!$AO$7:$AO$58,DC932)</f>
        <v>128</v>
      </c>
      <c r="DE932" s="14" t="s">
        <v>538</v>
      </c>
      <c r="DF932" s="14">
        <f>INDEX(属性投放!$BK$6:$BK$85,(CV932-2)*20+CZ932)</f>
        <v>680</v>
      </c>
      <c r="DG932" s="14">
        <f>SUMIFS(DF$5:DF932,$CT$5:$CT932,"="&amp;$CT932)</f>
        <v>8885</v>
      </c>
      <c r="DH932" s="14" t="s">
        <v>539</v>
      </c>
      <c r="DI932" s="14">
        <f>INDEX(属性投放!$BL$6:$BL$85,(CV932-2)*20+CZ932)</f>
        <v>340</v>
      </c>
      <c r="DJ932" s="14">
        <f>SUMIFS(DI$5:DI932,$CT$5:$CT932,"="&amp;$CT932)</f>
        <v>4446</v>
      </c>
      <c r="DK932" s="14" t="s">
        <v>540</v>
      </c>
      <c r="DL932" s="14">
        <f>INDEX(属性投放!$BM$6:$BM$85,(CV932-2)*20+CZ932)</f>
        <v>6800</v>
      </c>
      <c r="DM932" s="14">
        <f>SUMIFS(DL$5:DL932,$CT$5:$CT932,"="&amp;$CT932)</f>
        <v>85620</v>
      </c>
    </row>
    <row r="933" spans="97:117" ht="16.5" x14ac:dyDescent="0.2">
      <c r="CS933" s="13">
        <v>929</v>
      </c>
      <c r="CT933" s="13">
        <f t="shared" si="1087"/>
        <v>18</v>
      </c>
      <c r="CU933" s="13">
        <f t="shared" si="1088"/>
        <v>45</v>
      </c>
      <c r="CV933" s="14">
        <f t="shared" si="1089"/>
        <v>2</v>
      </c>
      <c r="CW933" s="14">
        <f t="shared" si="1090"/>
        <v>1102018</v>
      </c>
      <c r="CX933" s="14" t="str">
        <f>INDEX($O$6:$O$50,CT933)&amp;"-"&amp;INDEX(属性投放!$AB$7:$AB$50,CZ933)&amp;"-魂火-"&amp;DB933</f>
        <v>噬日-大焦热+2-魂火-3</v>
      </c>
      <c r="CY933" s="25" t="s">
        <v>142</v>
      </c>
      <c r="CZ933" s="14">
        <f>INDEX(属性投放!$AM$7:$AM$58,CU933)</f>
        <v>18</v>
      </c>
      <c r="DA933" s="14" t="s">
        <v>537</v>
      </c>
      <c r="DB933" s="14">
        <f>INDEX(属性投放!$AN$7:$AN$58,CU933)</f>
        <v>3</v>
      </c>
      <c r="DC933" s="14">
        <f t="shared" si="1086"/>
        <v>45</v>
      </c>
      <c r="DD933" s="14">
        <f>INDEX(属性投放!$AO$7:$AO$58,DC933)</f>
        <v>130</v>
      </c>
      <c r="DE933" s="14" t="s">
        <v>538</v>
      </c>
      <c r="DF933" s="14">
        <f>INDEX(属性投放!$BK$6:$BK$85,(CV933-2)*20+CZ933)</f>
        <v>680</v>
      </c>
      <c r="DG933" s="14">
        <f>SUMIFS(DF$5:DF933,$CT$5:$CT933,"="&amp;$CT933)</f>
        <v>9565</v>
      </c>
      <c r="DH933" s="14" t="s">
        <v>539</v>
      </c>
      <c r="DI933" s="14">
        <f>INDEX(属性投放!$BL$6:$BL$85,(CV933-2)*20+CZ933)</f>
        <v>340</v>
      </c>
      <c r="DJ933" s="14">
        <f>SUMIFS(DI$5:DI933,$CT$5:$CT933,"="&amp;$CT933)</f>
        <v>4786</v>
      </c>
      <c r="DK933" s="14" t="s">
        <v>540</v>
      </c>
      <c r="DL933" s="14">
        <f>INDEX(属性投放!$BM$6:$BM$85,(CV933-2)*20+CZ933)</f>
        <v>6800</v>
      </c>
      <c r="DM933" s="14">
        <f>SUMIFS(DL$5:DL933,$CT$5:$CT933,"="&amp;$CT933)</f>
        <v>92420</v>
      </c>
    </row>
    <row r="934" spans="97:117" ht="16.5" x14ac:dyDescent="0.2">
      <c r="CS934" s="13">
        <v>930</v>
      </c>
      <c r="CT934" s="13">
        <f t="shared" si="1087"/>
        <v>18</v>
      </c>
      <c r="CU934" s="13">
        <f t="shared" si="1088"/>
        <v>46</v>
      </c>
      <c r="CV934" s="14">
        <f t="shared" si="1089"/>
        <v>2</v>
      </c>
      <c r="CW934" s="14">
        <f t="shared" si="1090"/>
        <v>1102018</v>
      </c>
      <c r="CX934" s="14" t="str">
        <f>INDEX($O$6:$O$50,CT934)&amp;"-"&amp;INDEX(属性投放!$AB$7:$AB$50,CZ934)&amp;"-魂火-"&amp;DB934</f>
        <v>噬日-无间-魂火-1</v>
      </c>
      <c r="CY934" s="25" t="s">
        <v>142</v>
      </c>
      <c r="CZ934" s="14">
        <f>INDEX(属性投放!$AM$7:$AM$58,CU934)</f>
        <v>19</v>
      </c>
      <c r="DA934" s="14" t="s">
        <v>537</v>
      </c>
      <c r="DB934" s="14">
        <f>INDEX(属性投放!$AN$7:$AN$58,CU934)</f>
        <v>1</v>
      </c>
      <c r="DC934" s="14">
        <f t="shared" si="1086"/>
        <v>46</v>
      </c>
      <c r="DD934" s="14">
        <f>INDEX(属性投放!$AO$7:$AO$58,DC934)</f>
        <v>133</v>
      </c>
      <c r="DE934" s="14" t="s">
        <v>538</v>
      </c>
      <c r="DF934" s="14">
        <f>INDEX(属性投放!$BK$6:$BK$85,(CV934-2)*20+CZ934)</f>
        <v>850</v>
      </c>
      <c r="DG934" s="14">
        <f>SUMIFS(DF$5:DF934,$CT$5:$CT934,"="&amp;$CT934)</f>
        <v>10415</v>
      </c>
      <c r="DH934" s="14" t="s">
        <v>539</v>
      </c>
      <c r="DI934" s="14">
        <f>INDEX(属性投放!$BL$6:$BL$85,(CV934-2)*20+CZ934)</f>
        <v>425</v>
      </c>
      <c r="DJ934" s="14">
        <f>SUMIFS(DI$5:DI934,$CT$5:$CT934,"="&amp;$CT934)</f>
        <v>5211</v>
      </c>
      <c r="DK934" s="14" t="s">
        <v>540</v>
      </c>
      <c r="DL934" s="14">
        <f>INDEX(属性投放!$BM$6:$BM$85,(CV934-2)*20+CZ934)</f>
        <v>8500</v>
      </c>
      <c r="DM934" s="14">
        <f>SUMIFS(DL$5:DL934,$CT$5:$CT934,"="&amp;$CT934)</f>
        <v>100920</v>
      </c>
    </row>
    <row r="935" spans="97:117" ht="16.5" x14ac:dyDescent="0.2">
      <c r="CS935" s="13">
        <v>931</v>
      </c>
      <c r="CT935" s="13">
        <f t="shared" si="1087"/>
        <v>18</v>
      </c>
      <c r="CU935" s="13">
        <f t="shared" si="1088"/>
        <v>47</v>
      </c>
      <c r="CV935" s="14">
        <f t="shared" si="1089"/>
        <v>2</v>
      </c>
      <c r="CW935" s="14">
        <f t="shared" si="1090"/>
        <v>1102018</v>
      </c>
      <c r="CX935" s="14" t="str">
        <f>INDEX($O$6:$O$50,CT935)&amp;"-"&amp;INDEX(属性投放!$AB$7:$AB$50,CZ935)&amp;"-魂火-"&amp;DB935</f>
        <v>噬日-无间-魂火-2</v>
      </c>
      <c r="CY935" s="25" t="s">
        <v>142</v>
      </c>
      <c r="CZ935" s="14">
        <f>INDEX(属性投放!$AM$7:$AM$58,CU935)</f>
        <v>19</v>
      </c>
      <c r="DA935" s="14" t="s">
        <v>537</v>
      </c>
      <c r="DB935" s="14">
        <f>INDEX(属性投放!$AN$7:$AN$58,CU935)</f>
        <v>2</v>
      </c>
      <c r="DC935" s="14">
        <f t="shared" si="1086"/>
        <v>47</v>
      </c>
      <c r="DD935" s="14">
        <f>INDEX(属性投放!$AO$7:$AO$58,DC935)</f>
        <v>135</v>
      </c>
      <c r="DE935" s="14" t="s">
        <v>538</v>
      </c>
      <c r="DF935" s="14">
        <f>INDEX(属性投放!$BK$6:$BK$85,(CV935-2)*20+CZ935)</f>
        <v>850</v>
      </c>
      <c r="DG935" s="14">
        <f>SUMIFS(DF$5:DF935,$CT$5:$CT935,"="&amp;$CT935)</f>
        <v>11265</v>
      </c>
      <c r="DH935" s="14" t="s">
        <v>539</v>
      </c>
      <c r="DI935" s="14">
        <f>INDEX(属性投放!$BL$6:$BL$85,(CV935-2)*20+CZ935)</f>
        <v>425</v>
      </c>
      <c r="DJ935" s="14">
        <f>SUMIFS(DI$5:DI935,$CT$5:$CT935,"="&amp;$CT935)</f>
        <v>5636</v>
      </c>
      <c r="DK935" s="14" t="s">
        <v>540</v>
      </c>
      <c r="DL935" s="14">
        <f>INDEX(属性投放!$BM$6:$BM$85,(CV935-2)*20+CZ935)</f>
        <v>8500</v>
      </c>
      <c r="DM935" s="14">
        <f>SUMIFS(DL$5:DL935,$CT$5:$CT935,"="&amp;$CT935)</f>
        <v>109420</v>
      </c>
    </row>
    <row r="936" spans="97:117" ht="16.5" x14ac:dyDescent="0.2">
      <c r="CS936" s="13">
        <v>932</v>
      </c>
      <c r="CT936" s="13">
        <f t="shared" si="1087"/>
        <v>18</v>
      </c>
      <c r="CU936" s="13">
        <f t="shared" si="1088"/>
        <v>48</v>
      </c>
      <c r="CV936" s="14">
        <f t="shared" si="1089"/>
        <v>2</v>
      </c>
      <c r="CW936" s="14">
        <f t="shared" si="1090"/>
        <v>1102018</v>
      </c>
      <c r="CX936" s="14" t="str">
        <f>INDEX($O$6:$O$50,CT936)&amp;"-"&amp;INDEX(属性投放!$AB$7:$AB$50,CZ936)&amp;"-魂火-"&amp;DB936</f>
        <v>噬日-无间-魂火-3</v>
      </c>
      <c r="CY936" s="25" t="s">
        <v>142</v>
      </c>
      <c r="CZ936" s="14">
        <f>INDEX(属性投放!$AM$7:$AM$58,CU936)</f>
        <v>19</v>
      </c>
      <c r="DA936" s="14" t="s">
        <v>537</v>
      </c>
      <c r="DB936" s="14">
        <f>INDEX(属性投放!$AN$7:$AN$58,CU936)</f>
        <v>3</v>
      </c>
      <c r="DC936" s="14">
        <f t="shared" si="1086"/>
        <v>48</v>
      </c>
      <c r="DD936" s="14">
        <f>INDEX(属性投放!$AO$7:$AO$58,DC936)</f>
        <v>138</v>
      </c>
      <c r="DE936" s="14" t="s">
        <v>538</v>
      </c>
      <c r="DF936" s="14">
        <f>INDEX(属性投放!$BK$6:$BK$85,(CV936-2)*20+CZ936)</f>
        <v>850</v>
      </c>
      <c r="DG936" s="14">
        <f>SUMIFS(DF$5:DF936,$CT$5:$CT936,"="&amp;$CT936)</f>
        <v>12115</v>
      </c>
      <c r="DH936" s="14" t="s">
        <v>539</v>
      </c>
      <c r="DI936" s="14">
        <f>INDEX(属性投放!$BL$6:$BL$85,(CV936-2)*20+CZ936)</f>
        <v>425</v>
      </c>
      <c r="DJ936" s="14">
        <f>SUMIFS(DI$5:DI936,$CT$5:$CT936,"="&amp;$CT936)</f>
        <v>6061</v>
      </c>
      <c r="DK936" s="14" t="s">
        <v>540</v>
      </c>
      <c r="DL936" s="14">
        <f>INDEX(属性投放!$BM$6:$BM$85,(CV936-2)*20+CZ936)</f>
        <v>8500</v>
      </c>
      <c r="DM936" s="14">
        <f>SUMIFS(DL$5:DL936,$CT$5:$CT936,"="&amp;$CT936)</f>
        <v>117920</v>
      </c>
    </row>
    <row r="937" spans="97:117" ht="16.5" x14ac:dyDescent="0.2">
      <c r="CS937" s="13">
        <v>933</v>
      </c>
      <c r="CT937" s="13">
        <f t="shared" si="1087"/>
        <v>18</v>
      </c>
      <c r="CU937" s="13">
        <f t="shared" si="1088"/>
        <v>49</v>
      </c>
      <c r="CV937" s="14">
        <f t="shared" si="1089"/>
        <v>2</v>
      </c>
      <c r="CW937" s="14">
        <f t="shared" si="1090"/>
        <v>1102018</v>
      </c>
      <c r="CX937" s="14" t="str">
        <f>INDEX($O$6:$O$50,CT937)&amp;"-"&amp;INDEX(属性投放!$AB$7:$AB$50,CZ937)&amp;"-魂火-"&amp;DB937</f>
        <v>噬日-无间+1-魂火-1</v>
      </c>
      <c r="CY937" s="25" t="s">
        <v>142</v>
      </c>
      <c r="CZ937" s="14">
        <f>INDEX(属性投放!$AM$7:$AM$58,CU937)</f>
        <v>20</v>
      </c>
      <c r="DA937" s="14" t="s">
        <v>537</v>
      </c>
      <c r="DB937" s="14">
        <f>INDEX(属性投放!$AN$7:$AN$58,CU937)</f>
        <v>1</v>
      </c>
      <c r="DC937" s="14">
        <f t="shared" si="1086"/>
        <v>49</v>
      </c>
      <c r="DD937" s="14">
        <f>INDEX(属性投放!$AO$7:$AO$58,DC937)</f>
        <v>140</v>
      </c>
      <c r="DE937" s="14" t="s">
        <v>538</v>
      </c>
      <c r="DF937" s="14">
        <f>INDEX(属性投放!$BK$6:$BK$85,(CV937-2)*20+CZ937)</f>
        <v>1000</v>
      </c>
      <c r="DG937" s="14">
        <f>SUMIFS(DF$5:DF937,$CT$5:$CT937,"="&amp;$CT937)</f>
        <v>13115</v>
      </c>
      <c r="DH937" s="14" t="s">
        <v>539</v>
      </c>
      <c r="DI937" s="14">
        <f>INDEX(属性投放!$BL$6:$BL$85,(CV937-2)*20+CZ937)</f>
        <v>500</v>
      </c>
      <c r="DJ937" s="14">
        <f>SUMIFS(DI$5:DI937,$CT$5:$CT937,"="&amp;$CT937)</f>
        <v>6561</v>
      </c>
      <c r="DK937" s="14" t="s">
        <v>540</v>
      </c>
      <c r="DL937" s="14">
        <f>INDEX(属性投放!$BM$6:$BM$85,(CV937-2)*20+CZ937)</f>
        <v>10000</v>
      </c>
      <c r="DM937" s="14">
        <f>SUMIFS(DL$5:DL937,$CT$5:$CT937,"="&amp;$CT937)</f>
        <v>127920</v>
      </c>
    </row>
    <row r="938" spans="97:117" ht="16.5" x14ac:dyDescent="0.2">
      <c r="CS938" s="13">
        <v>934</v>
      </c>
      <c r="CT938" s="13">
        <f t="shared" si="1087"/>
        <v>18</v>
      </c>
      <c r="CU938" s="13">
        <f t="shared" si="1088"/>
        <v>50</v>
      </c>
      <c r="CV938" s="14">
        <f t="shared" si="1089"/>
        <v>2</v>
      </c>
      <c r="CW938" s="14">
        <f t="shared" si="1090"/>
        <v>1102018</v>
      </c>
      <c r="CX938" s="14" t="str">
        <f>INDEX($O$6:$O$50,CT938)&amp;"-"&amp;INDEX(属性投放!$AB$7:$AB$50,CZ938)&amp;"-魂火-"&amp;DB938</f>
        <v>噬日-无间+1-魂火-2</v>
      </c>
      <c r="CY938" s="25" t="s">
        <v>142</v>
      </c>
      <c r="CZ938" s="14">
        <f>INDEX(属性投放!$AM$7:$AM$58,CU938)</f>
        <v>20</v>
      </c>
      <c r="DA938" s="14" t="s">
        <v>537</v>
      </c>
      <c r="DB938" s="14">
        <f>INDEX(属性投放!$AN$7:$AN$58,CU938)</f>
        <v>2</v>
      </c>
      <c r="DC938" s="14">
        <f t="shared" si="1086"/>
        <v>50</v>
      </c>
      <c r="DD938" s="14">
        <f>INDEX(属性投放!$AO$7:$AO$58,DC938)</f>
        <v>143</v>
      </c>
      <c r="DE938" s="14" t="s">
        <v>538</v>
      </c>
      <c r="DF938" s="14">
        <f>INDEX(属性投放!$BK$6:$BK$85,(CV938-2)*20+CZ938)</f>
        <v>1000</v>
      </c>
      <c r="DG938" s="14">
        <f>SUMIFS(DF$5:DF938,$CT$5:$CT938,"="&amp;$CT938)</f>
        <v>14115</v>
      </c>
      <c r="DH938" s="14" t="s">
        <v>539</v>
      </c>
      <c r="DI938" s="14">
        <f>INDEX(属性投放!$BL$6:$BL$85,(CV938-2)*20+CZ938)</f>
        <v>500</v>
      </c>
      <c r="DJ938" s="14">
        <f>SUMIFS(DI$5:DI938,$CT$5:$CT938,"="&amp;$CT938)</f>
        <v>7061</v>
      </c>
      <c r="DK938" s="14" t="s">
        <v>540</v>
      </c>
      <c r="DL938" s="14">
        <f>INDEX(属性投放!$BM$6:$BM$85,(CV938-2)*20+CZ938)</f>
        <v>10000</v>
      </c>
      <c r="DM938" s="14">
        <f>SUMIFS(DL$5:DL938,$CT$5:$CT938,"="&amp;$CT938)</f>
        <v>137920</v>
      </c>
    </row>
    <row r="939" spans="97:117" ht="16.5" x14ac:dyDescent="0.2">
      <c r="CS939" s="13">
        <v>935</v>
      </c>
      <c r="CT939" s="13">
        <f t="shared" si="1087"/>
        <v>18</v>
      </c>
      <c r="CU939" s="13">
        <f t="shared" si="1088"/>
        <v>51</v>
      </c>
      <c r="CV939" s="14">
        <f t="shared" si="1089"/>
        <v>2</v>
      </c>
      <c r="CW939" s="14">
        <f t="shared" si="1090"/>
        <v>1102018</v>
      </c>
      <c r="CX939" s="14" t="str">
        <f>INDEX($O$6:$O$50,CT939)&amp;"-"&amp;INDEX(属性投放!$AB$7:$AB$50,CZ939)&amp;"-魂火-"&amp;DB939</f>
        <v>噬日-无间+1-魂火-3</v>
      </c>
      <c r="CY939" s="25" t="s">
        <v>142</v>
      </c>
      <c r="CZ939" s="14">
        <f>INDEX(属性投放!$AM$7:$AM$58,CU939)</f>
        <v>20</v>
      </c>
      <c r="DA939" s="14" t="s">
        <v>537</v>
      </c>
      <c r="DB939" s="14">
        <f>INDEX(属性投放!$AN$7:$AN$58,CU939)</f>
        <v>3</v>
      </c>
      <c r="DC939" s="14">
        <f t="shared" si="1086"/>
        <v>51</v>
      </c>
      <c r="DD939" s="14">
        <f>INDEX(属性投放!$AO$7:$AO$58,DC939)</f>
        <v>145</v>
      </c>
      <c r="DE939" s="14" t="s">
        <v>538</v>
      </c>
      <c r="DF939" s="14">
        <f>INDEX(属性投放!$BK$6:$BK$85,(CV939-2)*20+CZ939)</f>
        <v>1000</v>
      </c>
      <c r="DG939" s="14">
        <f>SUMIFS(DF$5:DF939,$CT$5:$CT939,"="&amp;$CT939)</f>
        <v>15115</v>
      </c>
      <c r="DH939" s="14" t="s">
        <v>539</v>
      </c>
      <c r="DI939" s="14">
        <f>INDEX(属性投放!$BL$6:$BL$85,(CV939-2)*20+CZ939)</f>
        <v>500</v>
      </c>
      <c r="DJ939" s="14">
        <f>SUMIFS(DI$5:DI939,$CT$5:$CT939,"="&amp;$CT939)</f>
        <v>7561</v>
      </c>
      <c r="DK939" s="14" t="s">
        <v>540</v>
      </c>
      <c r="DL939" s="14">
        <f>INDEX(属性投放!$BM$6:$BM$85,(CV939-2)*20+CZ939)</f>
        <v>10000</v>
      </c>
      <c r="DM939" s="14">
        <f>SUMIFS(DL$5:DL939,$CT$5:$CT939,"="&amp;$CT939)</f>
        <v>147920</v>
      </c>
    </row>
    <row r="940" spans="97:117" ht="16.5" x14ac:dyDescent="0.2">
      <c r="CS940" s="13">
        <v>936</v>
      </c>
      <c r="CT940" s="13">
        <f t="shared" si="1087"/>
        <v>18</v>
      </c>
      <c r="CU940" s="13">
        <f t="shared" si="1088"/>
        <v>52</v>
      </c>
      <c r="CV940" s="14">
        <f t="shared" si="1089"/>
        <v>2</v>
      </c>
      <c r="CW940" s="14">
        <f t="shared" si="1090"/>
        <v>1102018</v>
      </c>
      <c r="CX940" s="14" t="str">
        <f>INDEX($O$6:$O$50,CT940)&amp;"-"&amp;INDEX(属性投放!$AB$7:$AB$50,CZ940)&amp;"-魂火-"&amp;DB940</f>
        <v>噬日-无间+1-魂火-4</v>
      </c>
      <c r="CY940" s="25" t="s">
        <v>142</v>
      </c>
      <c r="CZ940" s="14">
        <f>INDEX(属性投放!$AM$7:$AM$58,CU940)</f>
        <v>20</v>
      </c>
      <c r="DA940" s="14" t="s">
        <v>537</v>
      </c>
      <c r="DB940" s="14">
        <f>INDEX(属性投放!$AN$7:$AN$58,CU940)</f>
        <v>4</v>
      </c>
      <c r="DC940" s="14">
        <f t="shared" si="1086"/>
        <v>52</v>
      </c>
      <c r="DD940" s="14">
        <f>INDEX(属性投放!$AO$7:$AO$58,DC940)</f>
        <v>148</v>
      </c>
      <c r="DE940" s="14" t="s">
        <v>538</v>
      </c>
      <c r="DF940" s="14">
        <f>INDEX(属性投放!$BK$6:$BK$85,(CV940-2)*20+CZ940)</f>
        <v>1000</v>
      </c>
      <c r="DG940" s="14">
        <f>SUMIFS(DF$5:DF940,$CT$5:$CT940,"="&amp;$CT940)</f>
        <v>16115</v>
      </c>
      <c r="DH940" s="14" t="s">
        <v>539</v>
      </c>
      <c r="DI940" s="14">
        <f>INDEX(属性投放!$BL$6:$BL$85,(CV940-2)*20+CZ940)</f>
        <v>500</v>
      </c>
      <c r="DJ940" s="14">
        <f>SUMIFS(DI$5:DI940,$CT$5:$CT940,"="&amp;$CT940)</f>
        <v>8061</v>
      </c>
      <c r="DK940" s="14" t="s">
        <v>540</v>
      </c>
      <c r="DL940" s="14">
        <f>INDEX(属性投放!$BM$6:$BM$85,(CV940-2)*20+CZ940)</f>
        <v>10000</v>
      </c>
      <c r="DM940" s="14">
        <f>SUMIFS(DL$5:DL940,$CT$5:$CT940,"="&amp;$CT940)</f>
        <v>157920</v>
      </c>
    </row>
    <row r="941" spans="97:117" ht="16.5" x14ac:dyDescent="0.2">
      <c r="CS941" s="13">
        <v>937</v>
      </c>
      <c r="CT941" s="13">
        <f t="shared" si="1087"/>
        <v>19</v>
      </c>
      <c r="CU941" s="13">
        <f t="shared" si="1088"/>
        <v>1</v>
      </c>
      <c r="CV941" s="14">
        <f t="shared" si="1089"/>
        <v>2</v>
      </c>
      <c r="CW941" s="14">
        <f t="shared" si="1090"/>
        <v>1102019</v>
      </c>
      <c r="CX941" s="14" t="str">
        <f>INDEX($O$6:$O$50,CT941)&amp;"-"&amp;INDEX(属性投放!$AB$7:$AB$50,CZ941)&amp;"-魂火-"&amp;DB941</f>
        <v>食火蜥-等活-魂火-1</v>
      </c>
      <c r="CY941" s="25" t="s">
        <v>142</v>
      </c>
      <c r="CZ941" s="14">
        <f>INDEX(属性投放!$AM$7:$AM$58,CU941)</f>
        <v>1</v>
      </c>
      <c r="DA941" s="14" t="s">
        <v>537</v>
      </c>
      <c r="DB941" s="14">
        <f>INDEX(属性投放!$AN$7:$AN$58,CU941)</f>
        <v>1</v>
      </c>
      <c r="DC941" s="14">
        <f t="shared" si="1086"/>
        <v>1</v>
      </c>
      <c r="DD941" s="14">
        <f>INDEX(属性投放!$AO$7:$AO$58,DC941)</f>
        <v>3</v>
      </c>
      <c r="DE941" s="14" t="s">
        <v>538</v>
      </c>
      <c r="DF941" s="14">
        <f>INDEX(属性投放!$BK$6:$BK$85,(CV941-2)*20+CZ941)</f>
        <v>15</v>
      </c>
      <c r="DG941" s="14">
        <f>SUMIFS(DF$5:DF941,$CT$5:$CT941,"="&amp;$CT941)</f>
        <v>15</v>
      </c>
      <c r="DH941" s="14" t="s">
        <v>539</v>
      </c>
      <c r="DI941" s="14">
        <f>INDEX(属性投放!$BL$6:$BL$85,(CV941-2)*20+CZ941)</f>
        <v>8</v>
      </c>
      <c r="DJ941" s="14">
        <f>SUMIFS(DI$5:DI941,$CT$5:$CT941,"="&amp;$CT941)</f>
        <v>8</v>
      </c>
      <c r="DK941" s="14" t="s">
        <v>540</v>
      </c>
      <c r="DL941" s="14">
        <f>INDEX(属性投放!$BM$6:$BM$85,(CV941-2)*20+CZ941)</f>
        <v>90</v>
      </c>
      <c r="DM941" s="14">
        <f>SUMIFS(DL$5:DL941,$CT$5:$CT941,"="&amp;$CT941)</f>
        <v>90</v>
      </c>
    </row>
    <row r="942" spans="97:117" ht="16.5" x14ac:dyDescent="0.2">
      <c r="CS942" s="13">
        <v>938</v>
      </c>
      <c r="CT942" s="13">
        <f t="shared" si="1087"/>
        <v>19</v>
      </c>
      <c r="CU942" s="13">
        <f t="shared" si="1088"/>
        <v>2</v>
      </c>
      <c r="CV942" s="14">
        <f t="shared" si="1089"/>
        <v>2</v>
      </c>
      <c r="CW942" s="14">
        <f t="shared" si="1090"/>
        <v>1102019</v>
      </c>
      <c r="CX942" s="14" t="str">
        <f>INDEX($O$6:$O$50,CT942)&amp;"-"&amp;INDEX(属性投放!$AB$7:$AB$50,CZ942)&amp;"-魂火-"&amp;DB942</f>
        <v>食火蜥-黑绳-魂火-1</v>
      </c>
      <c r="CY942" s="25" t="s">
        <v>142</v>
      </c>
      <c r="CZ942" s="14">
        <f>INDEX(属性投放!$AM$7:$AM$58,CU942)</f>
        <v>2</v>
      </c>
      <c r="DA942" s="14" t="s">
        <v>537</v>
      </c>
      <c r="DB942" s="14">
        <f>INDEX(属性投放!$AN$7:$AN$58,CU942)</f>
        <v>1</v>
      </c>
      <c r="DC942" s="14">
        <f t="shared" si="1086"/>
        <v>2</v>
      </c>
      <c r="DD942" s="14">
        <f>INDEX(属性投放!$AO$7:$AO$58,DC942)</f>
        <v>8</v>
      </c>
      <c r="DE942" s="14" t="s">
        <v>538</v>
      </c>
      <c r="DF942" s="14">
        <f>INDEX(属性投放!$BK$6:$BK$85,(CV942-2)*20+CZ942)</f>
        <v>20</v>
      </c>
      <c r="DG942" s="14">
        <f>SUMIFS(DF$5:DF942,$CT$5:$CT942,"="&amp;$CT942)</f>
        <v>35</v>
      </c>
      <c r="DH942" s="14" t="s">
        <v>539</v>
      </c>
      <c r="DI942" s="14">
        <f>INDEX(属性投放!$BL$6:$BL$85,(CV942-2)*20+CZ942)</f>
        <v>10</v>
      </c>
      <c r="DJ942" s="14">
        <f>SUMIFS(DI$5:DI942,$CT$5:$CT942,"="&amp;$CT942)</f>
        <v>18</v>
      </c>
      <c r="DK942" s="14" t="s">
        <v>540</v>
      </c>
      <c r="DL942" s="14">
        <f>INDEX(属性投放!$BM$6:$BM$85,(CV942-2)*20+CZ942)</f>
        <v>120</v>
      </c>
      <c r="DM942" s="14">
        <f>SUMIFS(DL$5:DL942,$CT$5:$CT942,"="&amp;$CT942)</f>
        <v>210</v>
      </c>
    </row>
    <row r="943" spans="97:117" ht="16.5" x14ac:dyDescent="0.2">
      <c r="CS943" s="13">
        <v>939</v>
      </c>
      <c r="CT943" s="13">
        <f t="shared" si="1087"/>
        <v>19</v>
      </c>
      <c r="CU943" s="13">
        <f t="shared" si="1088"/>
        <v>3</v>
      </c>
      <c r="CV943" s="14">
        <f t="shared" si="1089"/>
        <v>2</v>
      </c>
      <c r="CW943" s="14">
        <f t="shared" si="1090"/>
        <v>1102019</v>
      </c>
      <c r="CX943" s="14" t="str">
        <f>INDEX($O$6:$O$50,CT943)&amp;"-"&amp;INDEX(属性投放!$AB$7:$AB$50,CZ943)&amp;"-魂火-"&amp;DB943</f>
        <v>食火蜥-黑绳-魂火-2</v>
      </c>
      <c r="CY943" s="25" t="s">
        <v>142</v>
      </c>
      <c r="CZ943" s="14">
        <f>INDEX(属性投放!$AM$7:$AM$58,CU943)</f>
        <v>2</v>
      </c>
      <c r="DA943" s="14" t="s">
        <v>537</v>
      </c>
      <c r="DB943" s="14">
        <f>INDEX(属性投放!$AN$7:$AN$58,CU943)</f>
        <v>2</v>
      </c>
      <c r="DC943" s="14">
        <f t="shared" si="1086"/>
        <v>3</v>
      </c>
      <c r="DD943" s="14">
        <f>INDEX(属性投放!$AO$7:$AO$58,DC943)</f>
        <v>13</v>
      </c>
      <c r="DE943" s="14" t="s">
        <v>538</v>
      </c>
      <c r="DF943" s="14">
        <f>INDEX(属性投放!$BK$6:$BK$85,(CV943-2)*20+CZ943)</f>
        <v>20</v>
      </c>
      <c r="DG943" s="14">
        <f>SUMIFS(DF$5:DF943,$CT$5:$CT943,"="&amp;$CT943)</f>
        <v>55</v>
      </c>
      <c r="DH943" s="14" t="s">
        <v>539</v>
      </c>
      <c r="DI943" s="14">
        <f>INDEX(属性投放!$BL$6:$BL$85,(CV943-2)*20+CZ943)</f>
        <v>10</v>
      </c>
      <c r="DJ943" s="14">
        <f>SUMIFS(DI$5:DI943,$CT$5:$CT943,"="&amp;$CT943)</f>
        <v>28</v>
      </c>
      <c r="DK943" s="14" t="s">
        <v>540</v>
      </c>
      <c r="DL943" s="14">
        <f>INDEX(属性投放!$BM$6:$BM$85,(CV943-2)*20+CZ943)</f>
        <v>120</v>
      </c>
      <c r="DM943" s="14">
        <f>SUMIFS(DL$5:DL943,$CT$5:$CT943,"="&amp;$CT943)</f>
        <v>330</v>
      </c>
    </row>
    <row r="944" spans="97:117" ht="16.5" x14ac:dyDescent="0.2">
      <c r="CS944" s="13">
        <v>940</v>
      </c>
      <c r="CT944" s="13">
        <f t="shared" si="1087"/>
        <v>19</v>
      </c>
      <c r="CU944" s="13">
        <f t="shared" si="1088"/>
        <v>4</v>
      </c>
      <c r="CV944" s="14">
        <f t="shared" si="1089"/>
        <v>2</v>
      </c>
      <c r="CW944" s="14">
        <f t="shared" si="1090"/>
        <v>1102019</v>
      </c>
      <c r="CX944" s="14" t="str">
        <f>INDEX($O$6:$O$50,CT944)&amp;"-"&amp;INDEX(属性投放!$AB$7:$AB$50,CZ944)&amp;"-魂火-"&amp;DB944</f>
        <v>食火蜥-黑绳+1-魂火-1</v>
      </c>
      <c r="CY944" s="25" t="s">
        <v>142</v>
      </c>
      <c r="CZ944" s="14">
        <f>INDEX(属性投放!$AM$7:$AM$58,CU944)</f>
        <v>3</v>
      </c>
      <c r="DA944" s="14" t="s">
        <v>537</v>
      </c>
      <c r="DB944" s="14">
        <f>INDEX(属性投放!$AN$7:$AN$58,CU944)</f>
        <v>1</v>
      </c>
      <c r="DC944" s="14">
        <f t="shared" si="1086"/>
        <v>4</v>
      </c>
      <c r="DD944" s="14">
        <f>INDEX(属性投放!$AO$7:$AO$58,DC944)</f>
        <v>18</v>
      </c>
      <c r="DE944" s="14" t="s">
        <v>538</v>
      </c>
      <c r="DF944" s="14">
        <f>INDEX(属性投放!$BK$6:$BK$85,(CV944-2)*20+CZ944)</f>
        <v>25</v>
      </c>
      <c r="DG944" s="14">
        <f>SUMIFS(DF$5:DF944,$CT$5:$CT944,"="&amp;$CT944)</f>
        <v>80</v>
      </c>
      <c r="DH944" s="14" t="s">
        <v>539</v>
      </c>
      <c r="DI944" s="14">
        <f>INDEX(属性投放!$BL$6:$BL$85,(CV944-2)*20+CZ944)</f>
        <v>13</v>
      </c>
      <c r="DJ944" s="14">
        <f>SUMIFS(DI$5:DI944,$CT$5:$CT944,"="&amp;$CT944)</f>
        <v>41</v>
      </c>
      <c r="DK944" s="14" t="s">
        <v>540</v>
      </c>
      <c r="DL944" s="14">
        <f>INDEX(属性投放!$BM$6:$BM$85,(CV944-2)*20+CZ944)</f>
        <v>150</v>
      </c>
      <c r="DM944" s="14">
        <f>SUMIFS(DL$5:DL944,$CT$5:$CT944,"="&amp;$CT944)</f>
        <v>480</v>
      </c>
    </row>
    <row r="945" spans="97:117" ht="16.5" x14ac:dyDescent="0.2">
      <c r="CS945" s="13">
        <v>941</v>
      </c>
      <c r="CT945" s="13">
        <f t="shared" si="1087"/>
        <v>19</v>
      </c>
      <c r="CU945" s="13">
        <f t="shared" si="1088"/>
        <v>5</v>
      </c>
      <c r="CV945" s="14">
        <f t="shared" si="1089"/>
        <v>2</v>
      </c>
      <c r="CW945" s="14">
        <f t="shared" si="1090"/>
        <v>1102019</v>
      </c>
      <c r="CX945" s="14" t="str">
        <f>INDEX($O$6:$O$50,CT945)&amp;"-"&amp;INDEX(属性投放!$AB$7:$AB$50,CZ945)&amp;"-魂火-"&amp;DB945</f>
        <v>食火蜥-黑绳+1-魂火-2</v>
      </c>
      <c r="CY945" s="25" t="s">
        <v>142</v>
      </c>
      <c r="CZ945" s="14">
        <f>INDEX(属性投放!$AM$7:$AM$58,CU945)</f>
        <v>3</v>
      </c>
      <c r="DA945" s="14" t="s">
        <v>537</v>
      </c>
      <c r="DB945" s="14">
        <f>INDEX(属性投放!$AN$7:$AN$58,CU945)</f>
        <v>2</v>
      </c>
      <c r="DC945" s="14">
        <f t="shared" si="1086"/>
        <v>5</v>
      </c>
      <c r="DD945" s="14">
        <f>INDEX(属性投放!$AO$7:$AO$58,DC945)</f>
        <v>23</v>
      </c>
      <c r="DE945" s="14" t="s">
        <v>538</v>
      </c>
      <c r="DF945" s="14">
        <f>INDEX(属性投放!$BK$6:$BK$85,(CV945-2)*20+CZ945)</f>
        <v>25</v>
      </c>
      <c r="DG945" s="14">
        <f>SUMIFS(DF$5:DF945,$CT$5:$CT945,"="&amp;$CT945)</f>
        <v>105</v>
      </c>
      <c r="DH945" s="14" t="s">
        <v>539</v>
      </c>
      <c r="DI945" s="14">
        <f>INDEX(属性投放!$BL$6:$BL$85,(CV945-2)*20+CZ945)</f>
        <v>13</v>
      </c>
      <c r="DJ945" s="14">
        <f>SUMIFS(DI$5:DI945,$CT$5:$CT945,"="&amp;$CT945)</f>
        <v>54</v>
      </c>
      <c r="DK945" s="14" t="s">
        <v>540</v>
      </c>
      <c r="DL945" s="14">
        <f>INDEX(属性投放!$BM$6:$BM$85,(CV945-2)*20+CZ945)</f>
        <v>150</v>
      </c>
      <c r="DM945" s="14">
        <f>SUMIFS(DL$5:DL945,$CT$5:$CT945,"="&amp;$CT945)</f>
        <v>630</v>
      </c>
    </row>
    <row r="946" spans="97:117" ht="16.5" x14ac:dyDescent="0.2">
      <c r="CS946" s="13">
        <v>942</v>
      </c>
      <c r="CT946" s="13">
        <f t="shared" si="1087"/>
        <v>19</v>
      </c>
      <c r="CU946" s="13">
        <f t="shared" si="1088"/>
        <v>6</v>
      </c>
      <c r="CV946" s="14">
        <f t="shared" si="1089"/>
        <v>2</v>
      </c>
      <c r="CW946" s="14">
        <f t="shared" si="1090"/>
        <v>1102019</v>
      </c>
      <c r="CX946" s="14" t="str">
        <f>INDEX($O$6:$O$50,CT946)&amp;"-"&amp;INDEX(属性投放!$AB$7:$AB$50,CZ946)&amp;"-魂火-"&amp;DB946</f>
        <v>食火蜥-众合-魂火-1</v>
      </c>
      <c r="CY946" s="25" t="s">
        <v>142</v>
      </c>
      <c r="CZ946" s="14">
        <f>INDEX(属性投放!$AM$7:$AM$58,CU946)</f>
        <v>4</v>
      </c>
      <c r="DA946" s="14" t="s">
        <v>537</v>
      </c>
      <c r="DB946" s="14">
        <f>INDEX(属性投放!$AN$7:$AN$58,CU946)</f>
        <v>1</v>
      </c>
      <c r="DC946" s="14">
        <f t="shared" si="1086"/>
        <v>6</v>
      </c>
      <c r="DD946" s="14">
        <f>INDEX(属性投放!$AO$7:$AO$58,DC946)</f>
        <v>28</v>
      </c>
      <c r="DE946" s="14" t="s">
        <v>538</v>
      </c>
      <c r="DF946" s="14">
        <f>INDEX(属性投放!$BK$6:$BK$85,(CV946-2)*20+CZ946)</f>
        <v>30</v>
      </c>
      <c r="DG946" s="14">
        <f>SUMIFS(DF$5:DF946,$CT$5:$CT946,"="&amp;$CT946)</f>
        <v>135</v>
      </c>
      <c r="DH946" s="14" t="s">
        <v>539</v>
      </c>
      <c r="DI946" s="14">
        <f>INDEX(属性投放!$BL$6:$BL$85,(CV946-2)*20+CZ946)</f>
        <v>15</v>
      </c>
      <c r="DJ946" s="14">
        <f>SUMIFS(DI$5:DI946,$CT$5:$CT946,"="&amp;$CT946)</f>
        <v>69</v>
      </c>
      <c r="DK946" s="14" t="s">
        <v>540</v>
      </c>
      <c r="DL946" s="14">
        <f>INDEX(属性投放!$BM$6:$BM$85,(CV946-2)*20+CZ946)</f>
        <v>210</v>
      </c>
      <c r="DM946" s="14">
        <f>SUMIFS(DL$5:DL946,$CT$5:$CT946,"="&amp;$CT946)</f>
        <v>840</v>
      </c>
    </row>
    <row r="947" spans="97:117" ht="16.5" x14ac:dyDescent="0.2">
      <c r="CS947" s="13">
        <v>943</v>
      </c>
      <c r="CT947" s="13">
        <f t="shared" si="1087"/>
        <v>19</v>
      </c>
      <c r="CU947" s="13">
        <f t="shared" si="1088"/>
        <v>7</v>
      </c>
      <c r="CV947" s="14">
        <f t="shared" si="1089"/>
        <v>2</v>
      </c>
      <c r="CW947" s="14">
        <f t="shared" si="1090"/>
        <v>1102019</v>
      </c>
      <c r="CX947" s="14" t="str">
        <f>INDEX($O$6:$O$50,CT947)&amp;"-"&amp;INDEX(属性投放!$AB$7:$AB$50,CZ947)&amp;"-魂火-"&amp;DB947</f>
        <v>食火蜥-众合-魂火-2</v>
      </c>
      <c r="CY947" s="25" t="s">
        <v>142</v>
      </c>
      <c r="CZ947" s="14">
        <f>INDEX(属性投放!$AM$7:$AM$58,CU947)</f>
        <v>4</v>
      </c>
      <c r="DA947" s="14" t="s">
        <v>537</v>
      </c>
      <c r="DB947" s="14">
        <f>INDEX(属性投放!$AN$7:$AN$58,CU947)</f>
        <v>2</v>
      </c>
      <c r="DC947" s="14">
        <f t="shared" si="1086"/>
        <v>7</v>
      </c>
      <c r="DD947" s="14">
        <f>INDEX(属性投放!$AO$7:$AO$58,DC947)</f>
        <v>33</v>
      </c>
      <c r="DE947" s="14" t="s">
        <v>538</v>
      </c>
      <c r="DF947" s="14">
        <f>INDEX(属性投放!$BK$6:$BK$85,(CV947-2)*20+CZ947)</f>
        <v>30</v>
      </c>
      <c r="DG947" s="14">
        <f>SUMIFS(DF$5:DF947,$CT$5:$CT947,"="&amp;$CT947)</f>
        <v>165</v>
      </c>
      <c r="DH947" s="14" t="s">
        <v>539</v>
      </c>
      <c r="DI947" s="14">
        <f>INDEX(属性投放!$BL$6:$BL$85,(CV947-2)*20+CZ947)</f>
        <v>15</v>
      </c>
      <c r="DJ947" s="14">
        <f>SUMIFS(DI$5:DI947,$CT$5:$CT947,"="&amp;$CT947)</f>
        <v>84</v>
      </c>
      <c r="DK947" s="14" t="s">
        <v>540</v>
      </c>
      <c r="DL947" s="14">
        <f>INDEX(属性投放!$BM$6:$BM$85,(CV947-2)*20+CZ947)</f>
        <v>210</v>
      </c>
      <c r="DM947" s="14">
        <f>SUMIFS(DL$5:DL947,$CT$5:$CT947,"="&amp;$CT947)</f>
        <v>1050</v>
      </c>
    </row>
    <row r="948" spans="97:117" ht="16.5" x14ac:dyDescent="0.2">
      <c r="CS948" s="13">
        <v>944</v>
      </c>
      <c r="CT948" s="13">
        <f t="shared" si="1087"/>
        <v>19</v>
      </c>
      <c r="CU948" s="13">
        <f t="shared" si="1088"/>
        <v>8</v>
      </c>
      <c r="CV948" s="14">
        <f t="shared" si="1089"/>
        <v>2</v>
      </c>
      <c r="CW948" s="14">
        <f t="shared" si="1090"/>
        <v>1102019</v>
      </c>
      <c r="CX948" s="14" t="str">
        <f>INDEX($O$6:$O$50,CT948)&amp;"-"&amp;INDEX(属性投放!$AB$7:$AB$50,CZ948)&amp;"-魂火-"&amp;DB948</f>
        <v>食火蜥-众合+1-魂火-1</v>
      </c>
      <c r="CY948" s="25" t="s">
        <v>142</v>
      </c>
      <c r="CZ948" s="14">
        <f>INDEX(属性投放!$AM$7:$AM$58,CU948)</f>
        <v>5</v>
      </c>
      <c r="DA948" s="14" t="s">
        <v>537</v>
      </c>
      <c r="DB948" s="14">
        <f>INDEX(属性投放!$AN$7:$AN$58,CU948)</f>
        <v>1</v>
      </c>
      <c r="DC948" s="14">
        <f t="shared" si="1086"/>
        <v>8</v>
      </c>
      <c r="DD948" s="14">
        <f>INDEX(属性投放!$AO$7:$AO$58,DC948)</f>
        <v>38</v>
      </c>
      <c r="DE948" s="14" t="s">
        <v>538</v>
      </c>
      <c r="DF948" s="14">
        <f>INDEX(属性投放!$BK$6:$BK$85,(CV948-2)*20+CZ948)</f>
        <v>35</v>
      </c>
      <c r="DG948" s="14">
        <f>SUMIFS(DF$5:DF948,$CT$5:$CT948,"="&amp;$CT948)</f>
        <v>200</v>
      </c>
      <c r="DH948" s="14" t="s">
        <v>539</v>
      </c>
      <c r="DI948" s="14">
        <f>INDEX(属性投放!$BL$6:$BL$85,(CV948-2)*20+CZ948)</f>
        <v>18</v>
      </c>
      <c r="DJ948" s="14">
        <f>SUMIFS(DI$5:DI948,$CT$5:$CT948,"="&amp;$CT948)</f>
        <v>102</v>
      </c>
      <c r="DK948" s="14" t="s">
        <v>540</v>
      </c>
      <c r="DL948" s="14">
        <f>INDEX(属性投放!$BM$6:$BM$85,(CV948-2)*20+CZ948)</f>
        <v>245</v>
      </c>
      <c r="DM948" s="14">
        <f>SUMIFS(DL$5:DL948,$CT$5:$CT948,"="&amp;$CT948)</f>
        <v>1295</v>
      </c>
    </row>
    <row r="949" spans="97:117" ht="16.5" x14ac:dyDescent="0.2">
      <c r="CS949" s="13">
        <v>945</v>
      </c>
      <c r="CT949" s="13">
        <f t="shared" si="1087"/>
        <v>19</v>
      </c>
      <c r="CU949" s="13">
        <f t="shared" si="1088"/>
        <v>9</v>
      </c>
      <c r="CV949" s="14">
        <f t="shared" si="1089"/>
        <v>2</v>
      </c>
      <c r="CW949" s="14">
        <f t="shared" si="1090"/>
        <v>1102019</v>
      </c>
      <c r="CX949" s="14" t="str">
        <f>INDEX($O$6:$O$50,CT949)&amp;"-"&amp;INDEX(属性投放!$AB$7:$AB$50,CZ949)&amp;"-魂火-"&amp;DB949</f>
        <v>食火蜥-众合+1-魂火-2</v>
      </c>
      <c r="CY949" s="25" t="s">
        <v>142</v>
      </c>
      <c r="CZ949" s="14">
        <f>INDEX(属性投放!$AM$7:$AM$58,CU949)</f>
        <v>5</v>
      </c>
      <c r="DA949" s="14" t="s">
        <v>537</v>
      </c>
      <c r="DB949" s="14">
        <f>INDEX(属性投放!$AN$7:$AN$58,CU949)</f>
        <v>2</v>
      </c>
      <c r="DC949" s="14">
        <f t="shared" si="1086"/>
        <v>9</v>
      </c>
      <c r="DD949" s="14">
        <f>INDEX(属性投放!$AO$7:$AO$58,DC949)</f>
        <v>40</v>
      </c>
      <c r="DE949" s="14" t="s">
        <v>538</v>
      </c>
      <c r="DF949" s="14">
        <f>INDEX(属性投放!$BK$6:$BK$85,(CV949-2)*20+CZ949)</f>
        <v>35</v>
      </c>
      <c r="DG949" s="14">
        <f>SUMIFS(DF$5:DF949,$CT$5:$CT949,"="&amp;$CT949)</f>
        <v>235</v>
      </c>
      <c r="DH949" s="14" t="s">
        <v>539</v>
      </c>
      <c r="DI949" s="14">
        <f>INDEX(属性投放!$BL$6:$BL$85,(CV949-2)*20+CZ949)</f>
        <v>18</v>
      </c>
      <c r="DJ949" s="14">
        <f>SUMIFS(DI$5:DI949,$CT$5:$CT949,"="&amp;$CT949)</f>
        <v>120</v>
      </c>
      <c r="DK949" s="14" t="s">
        <v>540</v>
      </c>
      <c r="DL949" s="14">
        <f>INDEX(属性投放!$BM$6:$BM$85,(CV949-2)*20+CZ949)</f>
        <v>245</v>
      </c>
      <c r="DM949" s="14">
        <f>SUMIFS(DL$5:DL949,$CT$5:$CT949,"="&amp;$CT949)</f>
        <v>1540</v>
      </c>
    </row>
    <row r="950" spans="97:117" ht="16.5" x14ac:dyDescent="0.2">
      <c r="CS950" s="13">
        <v>946</v>
      </c>
      <c r="CT950" s="13">
        <f t="shared" si="1087"/>
        <v>19</v>
      </c>
      <c r="CU950" s="13">
        <f t="shared" si="1088"/>
        <v>10</v>
      </c>
      <c r="CV950" s="14">
        <f t="shared" si="1089"/>
        <v>2</v>
      </c>
      <c r="CW950" s="14">
        <f t="shared" si="1090"/>
        <v>1102019</v>
      </c>
      <c r="CX950" s="14" t="str">
        <f>INDEX($O$6:$O$50,CT950)&amp;"-"&amp;INDEX(属性投放!$AB$7:$AB$50,CZ950)&amp;"-魂火-"&amp;DB950</f>
        <v>食火蜥-众合+2-魂火-1</v>
      </c>
      <c r="CY950" s="25" t="s">
        <v>142</v>
      </c>
      <c r="CZ950" s="14">
        <f>INDEX(属性投放!$AM$7:$AM$58,CU950)</f>
        <v>6</v>
      </c>
      <c r="DA950" s="14" t="s">
        <v>537</v>
      </c>
      <c r="DB950" s="14">
        <f>INDEX(属性投放!$AN$7:$AN$58,CU950)</f>
        <v>1</v>
      </c>
      <c r="DC950" s="14">
        <f t="shared" si="1086"/>
        <v>10</v>
      </c>
      <c r="DD950" s="14">
        <f>INDEX(属性投放!$AO$7:$AO$58,DC950)</f>
        <v>43</v>
      </c>
      <c r="DE950" s="14" t="s">
        <v>538</v>
      </c>
      <c r="DF950" s="14">
        <f>INDEX(属性投放!$BK$6:$BK$85,(CV950-2)*20+CZ950)</f>
        <v>40</v>
      </c>
      <c r="DG950" s="14">
        <f>SUMIFS(DF$5:DF950,$CT$5:$CT950,"="&amp;$CT950)</f>
        <v>275</v>
      </c>
      <c r="DH950" s="14" t="s">
        <v>539</v>
      </c>
      <c r="DI950" s="14">
        <f>INDEX(属性投放!$BL$6:$BL$85,(CV950-2)*20+CZ950)</f>
        <v>20</v>
      </c>
      <c r="DJ950" s="14">
        <f>SUMIFS(DI$5:DI950,$CT$5:$CT950,"="&amp;$CT950)</f>
        <v>140</v>
      </c>
      <c r="DK950" s="14" t="s">
        <v>540</v>
      </c>
      <c r="DL950" s="14">
        <f>INDEX(属性投放!$BM$6:$BM$85,(CV950-2)*20+CZ950)</f>
        <v>280</v>
      </c>
      <c r="DM950" s="14">
        <f>SUMIFS(DL$5:DL950,$CT$5:$CT950,"="&amp;$CT950)</f>
        <v>1820</v>
      </c>
    </row>
    <row r="951" spans="97:117" ht="16.5" x14ac:dyDescent="0.2">
      <c r="CS951" s="13">
        <v>947</v>
      </c>
      <c r="CT951" s="13">
        <f t="shared" si="1087"/>
        <v>19</v>
      </c>
      <c r="CU951" s="13">
        <f t="shared" si="1088"/>
        <v>11</v>
      </c>
      <c r="CV951" s="14">
        <f t="shared" si="1089"/>
        <v>2</v>
      </c>
      <c r="CW951" s="14">
        <f t="shared" si="1090"/>
        <v>1102019</v>
      </c>
      <c r="CX951" s="14" t="str">
        <f>INDEX($O$6:$O$50,CT951)&amp;"-"&amp;INDEX(属性投放!$AB$7:$AB$50,CZ951)&amp;"-魂火-"&amp;DB951</f>
        <v>食火蜥-众合+2-魂火-2</v>
      </c>
      <c r="CY951" s="25" t="s">
        <v>142</v>
      </c>
      <c r="CZ951" s="14">
        <f>INDEX(属性投放!$AM$7:$AM$58,CU951)</f>
        <v>6</v>
      </c>
      <c r="DA951" s="14" t="s">
        <v>537</v>
      </c>
      <c r="DB951" s="14">
        <f>INDEX(属性投放!$AN$7:$AN$58,CU951)</f>
        <v>2</v>
      </c>
      <c r="DC951" s="14">
        <f t="shared" si="1086"/>
        <v>11</v>
      </c>
      <c r="DD951" s="14">
        <f>INDEX(属性投放!$AO$7:$AO$58,DC951)</f>
        <v>45</v>
      </c>
      <c r="DE951" s="14" t="s">
        <v>538</v>
      </c>
      <c r="DF951" s="14">
        <f>INDEX(属性投放!$BK$6:$BK$85,(CV951-2)*20+CZ951)</f>
        <v>40</v>
      </c>
      <c r="DG951" s="14">
        <f>SUMIFS(DF$5:DF951,$CT$5:$CT951,"="&amp;$CT951)</f>
        <v>315</v>
      </c>
      <c r="DH951" s="14" t="s">
        <v>539</v>
      </c>
      <c r="DI951" s="14">
        <f>INDEX(属性投放!$BL$6:$BL$85,(CV951-2)*20+CZ951)</f>
        <v>20</v>
      </c>
      <c r="DJ951" s="14">
        <f>SUMIFS(DI$5:DI951,$CT$5:$CT951,"="&amp;$CT951)</f>
        <v>160</v>
      </c>
      <c r="DK951" s="14" t="s">
        <v>540</v>
      </c>
      <c r="DL951" s="14">
        <f>INDEX(属性投放!$BM$6:$BM$85,(CV951-2)*20+CZ951)</f>
        <v>280</v>
      </c>
      <c r="DM951" s="14">
        <f>SUMIFS(DL$5:DL951,$CT$5:$CT951,"="&amp;$CT951)</f>
        <v>2100</v>
      </c>
    </row>
    <row r="952" spans="97:117" ht="16.5" x14ac:dyDescent="0.2">
      <c r="CS952" s="13">
        <v>948</v>
      </c>
      <c r="CT952" s="13">
        <f t="shared" si="1087"/>
        <v>19</v>
      </c>
      <c r="CU952" s="13">
        <f t="shared" si="1088"/>
        <v>12</v>
      </c>
      <c r="CV952" s="14">
        <f t="shared" si="1089"/>
        <v>2</v>
      </c>
      <c r="CW952" s="14">
        <f t="shared" si="1090"/>
        <v>1102019</v>
      </c>
      <c r="CX952" s="14" t="str">
        <f>INDEX($O$6:$O$50,CT952)&amp;"-"&amp;INDEX(属性投放!$AB$7:$AB$50,CZ952)&amp;"-魂火-"&amp;DB952</f>
        <v>食火蜥-叫唤-魂火-1</v>
      </c>
      <c r="CY952" s="25" t="s">
        <v>142</v>
      </c>
      <c r="CZ952" s="14">
        <f>INDEX(属性投放!$AM$7:$AM$58,CU952)</f>
        <v>7</v>
      </c>
      <c r="DA952" s="14" t="s">
        <v>537</v>
      </c>
      <c r="DB952" s="14">
        <f>INDEX(属性投放!$AN$7:$AN$58,CU952)</f>
        <v>1</v>
      </c>
      <c r="DC952" s="14">
        <f t="shared" si="1086"/>
        <v>12</v>
      </c>
      <c r="DD952" s="14">
        <f>INDEX(属性投放!$AO$7:$AO$58,DC952)</f>
        <v>48</v>
      </c>
      <c r="DE952" s="14" t="s">
        <v>538</v>
      </c>
      <c r="DF952" s="14">
        <f>INDEX(属性投放!$BK$6:$BK$85,(CV952-2)*20+CZ952)</f>
        <v>55</v>
      </c>
      <c r="DG952" s="14">
        <f>SUMIFS(DF$5:DF952,$CT$5:$CT952,"="&amp;$CT952)</f>
        <v>370</v>
      </c>
      <c r="DH952" s="14" t="s">
        <v>539</v>
      </c>
      <c r="DI952" s="14">
        <f>INDEX(属性投放!$BL$6:$BL$85,(CV952-2)*20+CZ952)</f>
        <v>28</v>
      </c>
      <c r="DJ952" s="14">
        <f>SUMIFS(DI$5:DI952,$CT$5:$CT952,"="&amp;$CT952)</f>
        <v>188</v>
      </c>
      <c r="DK952" s="14" t="s">
        <v>540</v>
      </c>
      <c r="DL952" s="14">
        <f>INDEX(属性投放!$BM$6:$BM$85,(CV952-2)*20+CZ952)</f>
        <v>440</v>
      </c>
      <c r="DM952" s="14">
        <f>SUMIFS(DL$5:DL952,$CT$5:$CT952,"="&amp;$CT952)</f>
        <v>2540</v>
      </c>
    </row>
    <row r="953" spans="97:117" ht="16.5" x14ac:dyDescent="0.2">
      <c r="CS953" s="13">
        <v>949</v>
      </c>
      <c r="CT953" s="13">
        <f t="shared" si="1087"/>
        <v>19</v>
      </c>
      <c r="CU953" s="13">
        <f t="shared" si="1088"/>
        <v>13</v>
      </c>
      <c r="CV953" s="14">
        <f t="shared" si="1089"/>
        <v>2</v>
      </c>
      <c r="CW953" s="14">
        <f t="shared" si="1090"/>
        <v>1102019</v>
      </c>
      <c r="CX953" s="14" t="str">
        <f>INDEX($O$6:$O$50,CT953)&amp;"-"&amp;INDEX(属性投放!$AB$7:$AB$50,CZ953)&amp;"-魂火-"&amp;DB953</f>
        <v>食火蜥-叫唤-魂火-2</v>
      </c>
      <c r="CY953" s="25" t="s">
        <v>142</v>
      </c>
      <c r="CZ953" s="14">
        <f>INDEX(属性投放!$AM$7:$AM$58,CU953)</f>
        <v>7</v>
      </c>
      <c r="DA953" s="14" t="s">
        <v>537</v>
      </c>
      <c r="DB953" s="14">
        <f>INDEX(属性投放!$AN$7:$AN$58,CU953)</f>
        <v>2</v>
      </c>
      <c r="DC953" s="14">
        <f t="shared" si="1086"/>
        <v>13</v>
      </c>
      <c r="DD953" s="14">
        <f>INDEX(属性投放!$AO$7:$AO$58,DC953)</f>
        <v>50</v>
      </c>
      <c r="DE953" s="14" t="s">
        <v>538</v>
      </c>
      <c r="DF953" s="14">
        <f>INDEX(属性投放!$BK$6:$BK$85,(CV953-2)*20+CZ953)</f>
        <v>55</v>
      </c>
      <c r="DG953" s="14">
        <f>SUMIFS(DF$5:DF953,$CT$5:$CT953,"="&amp;$CT953)</f>
        <v>425</v>
      </c>
      <c r="DH953" s="14" t="s">
        <v>539</v>
      </c>
      <c r="DI953" s="14">
        <f>INDEX(属性投放!$BL$6:$BL$85,(CV953-2)*20+CZ953)</f>
        <v>28</v>
      </c>
      <c r="DJ953" s="14">
        <f>SUMIFS(DI$5:DI953,$CT$5:$CT953,"="&amp;$CT953)</f>
        <v>216</v>
      </c>
      <c r="DK953" s="14" t="s">
        <v>540</v>
      </c>
      <c r="DL953" s="14">
        <f>INDEX(属性投放!$BM$6:$BM$85,(CV953-2)*20+CZ953)</f>
        <v>440</v>
      </c>
      <c r="DM953" s="14">
        <f>SUMIFS(DL$5:DL953,$CT$5:$CT953,"="&amp;$CT953)</f>
        <v>2980</v>
      </c>
    </row>
    <row r="954" spans="97:117" ht="16.5" x14ac:dyDescent="0.2">
      <c r="CS954" s="13">
        <v>950</v>
      </c>
      <c r="CT954" s="13">
        <f t="shared" si="1087"/>
        <v>19</v>
      </c>
      <c r="CU954" s="13">
        <f t="shared" si="1088"/>
        <v>14</v>
      </c>
      <c r="CV954" s="14">
        <f t="shared" si="1089"/>
        <v>2</v>
      </c>
      <c r="CW954" s="14">
        <f t="shared" si="1090"/>
        <v>1102019</v>
      </c>
      <c r="CX954" s="14" t="str">
        <f>INDEX($O$6:$O$50,CT954)&amp;"-"&amp;INDEX(属性投放!$AB$7:$AB$50,CZ954)&amp;"-魂火-"&amp;DB954</f>
        <v>食火蜥-叫唤+1-魂火-1</v>
      </c>
      <c r="CY954" s="25" t="s">
        <v>142</v>
      </c>
      <c r="CZ954" s="14">
        <f>INDEX(属性投放!$AM$7:$AM$58,CU954)</f>
        <v>8</v>
      </c>
      <c r="DA954" s="14" t="s">
        <v>537</v>
      </c>
      <c r="DB954" s="14">
        <f>INDEX(属性投放!$AN$7:$AN$58,CU954)</f>
        <v>1</v>
      </c>
      <c r="DC954" s="14">
        <f t="shared" si="1086"/>
        <v>14</v>
      </c>
      <c r="DD954" s="14">
        <f>INDEX(属性投放!$AO$7:$AO$58,DC954)</f>
        <v>53</v>
      </c>
      <c r="DE954" s="14" t="s">
        <v>538</v>
      </c>
      <c r="DF954" s="14">
        <f>INDEX(属性投放!$BK$6:$BK$85,(CV954-2)*20+CZ954)</f>
        <v>70</v>
      </c>
      <c r="DG954" s="14">
        <f>SUMIFS(DF$5:DF954,$CT$5:$CT954,"="&amp;$CT954)</f>
        <v>495</v>
      </c>
      <c r="DH954" s="14" t="s">
        <v>539</v>
      </c>
      <c r="DI954" s="14">
        <f>INDEX(属性投放!$BL$6:$BL$85,(CV954-2)*20+CZ954)</f>
        <v>35</v>
      </c>
      <c r="DJ954" s="14">
        <f>SUMIFS(DI$5:DI954,$CT$5:$CT954,"="&amp;$CT954)</f>
        <v>251</v>
      </c>
      <c r="DK954" s="14" t="s">
        <v>540</v>
      </c>
      <c r="DL954" s="14">
        <f>INDEX(属性投放!$BM$6:$BM$85,(CV954-2)*20+CZ954)</f>
        <v>560</v>
      </c>
      <c r="DM954" s="14">
        <f>SUMIFS(DL$5:DL954,$CT$5:$CT954,"="&amp;$CT954)</f>
        <v>3540</v>
      </c>
    </row>
    <row r="955" spans="97:117" ht="16.5" x14ac:dyDescent="0.2">
      <c r="CS955" s="13">
        <v>951</v>
      </c>
      <c r="CT955" s="13">
        <f t="shared" si="1087"/>
        <v>19</v>
      </c>
      <c r="CU955" s="13">
        <f t="shared" si="1088"/>
        <v>15</v>
      </c>
      <c r="CV955" s="14">
        <f t="shared" si="1089"/>
        <v>2</v>
      </c>
      <c r="CW955" s="14">
        <f t="shared" si="1090"/>
        <v>1102019</v>
      </c>
      <c r="CX955" s="14" t="str">
        <f>INDEX($O$6:$O$50,CT955)&amp;"-"&amp;INDEX(属性投放!$AB$7:$AB$50,CZ955)&amp;"-魂火-"&amp;DB955</f>
        <v>食火蜥-叫唤+1-魂火-2</v>
      </c>
      <c r="CY955" s="25" t="s">
        <v>142</v>
      </c>
      <c r="CZ955" s="14">
        <f>INDEX(属性投放!$AM$7:$AM$58,CU955)</f>
        <v>8</v>
      </c>
      <c r="DA955" s="14" t="s">
        <v>537</v>
      </c>
      <c r="DB955" s="14">
        <f>INDEX(属性投放!$AN$7:$AN$58,CU955)</f>
        <v>2</v>
      </c>
      <c r="DC955" s="14">
        <f t="shared" si="1086"/>
        <v>15</v>
      </c>
      <c r="DD955" s="14">
        <f>INDEX(属性投放!$AO$7:$AO$58,DC955)</f>
        <v>55</v>
      </c>
      <c r="DE955" s="14" t="s">
        <v>538</v>
      </c>
      <c r="DF955" s="14">
        <f>INDEX(属性投放!$BK$6:$BK$85,(CV955-2)*20+CZ955)</f>
        <v>70</v>
      </c>
      <c r="DG955" s="14">
        <f>SUMIFS(DF$5:DF955,$CT$5:$CT955,"="&amp;$CT955)</f>
        <v>565</v>
      </c>
      <c r="DH955" s="14" t="s">
        <v>539</v>
      </c>
      <c r="DI955" s="14">
        <f>INDEX(属性投放!$BL$6:$BL$85,(CV955-2)*20+CZ955)</f>
        <v>35</v>
      </c>
      <c r="DJ955" s="14">
        <f>SUMIFS(DI$5:DI955,$CT$5:$CT955,"="&amp;$CT955)</f>
        <v>286</v>
      </c>
      <c r="DK955" s="14" t="s">
        <v>540</v>
      </c>
      <c r="DL955" s="14">
        <f>INDEX(属性投放!$BM$6:$BM$85,(CV955-2)*20+CZ955)</f>
        <v>560</v>
      </c>
      <c r="DM955" s="14">
        <f>SUMIFS(DL$5:DL955,$CT$5:$CT955,"="&amp;$CT955)</f>
        <v>4100</v>
      </c>
    </row>
    <row r="956" spans="97:117" ht="16.5" x14ac:dyDescent="0.2">
      <c r="CS956" s="13">
        <v>952</v>
      </c>
      <c r="CT956" s="13">
        <f t="shared" si="1087"/>
        <v>19</v>
      </c>
      <c r="CU956" s="13">
        <f t="shared" si="1088"/>
        <v>16</v>
      </c>
      <c r="CV956" s="14">
        <f t="shared" si="1089"/>
        <v>2</v>
      </c>
      <c r="CW956" s="14">
        <f t="shared" si="1090"/>
        <v>1102019</v>
      </c>
      <c r="CX956" s="14" t="str">
        <f>INDEX($O$6:$O$50,CT956)&amp;"-"&amp;INDEX(属性投放!$AB$7:$AB$50,CZ956)&amp;"-魂火-"&amp;DB956</f>
        <v>食火蜥-叫唤+2-魂火-1</v>
      </c>
      <c r="CY956" s="25" t="s">
        <v>142</v>
      </c>
      <c r="CZ956" s="14">
        <f>INDEX(属性投放!$AM$7:$AM$58,CU956)</f>
        <v>9</v>
      </c>
      <c r="DA956" s="14" t="s">
        <v>537</v>
      </c>
      <c r="DB956" s="14">
        <f>INDEX(属性投放!$AN$7:$AN$58,CU956)</f>
        <v>1</v>
      </c>
      <c r="DC956" s="14">
        <f t="shared" si="1086"/>
        <v>16</v>
      </c>
      <c r="DD956" s="14">
        <f>INDEX(属性投放!$AO$7:$AO$58,DC956)</f>
        <v>58</v>
      </c>
      <c r="DE956" s="14" t="s">
        <v>538</v>
      </c>
      <c r="DF956" s="14">
        <f>INDEX(属性投放!$BK$6:$BK$85,(CV956-2)*20+CZ956)</f>
        <v>80</v>
      </c>
      <c r="DG956" s="14">
        <f>SUMIFS(DF$5:DF956,$CT$5:$CT956,"="&amp;$CT956)</f>
        <v>645</v>
      </c>
      <c r="DH956" s="14" t="s">
        <v>539</v>
      </c>
      <c r="DI956" s="14">
        <f>INDEX(属性投放!$BL$6:$BL$85,(CV956-2)*20+CZ956)</f>
        <v>40</v>
      </c>
      <c r="DJ956" s="14">
        <f>SUMIFS(DI$5:DI956,$CT$5:$CT956,"="&amp;$CT956)</f>
        <v>326</v>
      </c>
      <c r="DK956" s="14" t="s">
        <v>540</v>
      </c>
      <c r="DL956" s="14">
        <f>INDEX(属性投放!$BM$6:$BM$85,(CV956-2)*20+CZ956)</f>
        <v>640</v>
      </c>
      <c r="DM956" s="14">
        <f>SUMIFS(DL$5:DL956,$CT$5:$CT956,"="&amp;$CT956)</f>
        <v>4740</v>
      </c>
    </row>
    <row r="957" spans="97:117" ht="16.5" x14ac:dyDescent="0.2">
      <c r="CS957" s="13">
        <v>953</v>
      </c>
      <c r="CT957" s="13">
        <f t="shared" si="1087"/>
        <v>19</v>
      </c>
      <c r="CU957" s="13">
        <f t="shared" si="1088"/>
        <v>17</v>
      </c>
      <c r="CV957" s="14">
        <f t="shared" si="1089"/>
        <v>2</v>
      </c>
      <c r="CW957" s="14">
        <f t="shared" si="1090"/>
        <v>1102019</v>
      </c>
      <c r="CX957" s="14" t="str">
        <f>INDEX($O$6:$O$50,CT957)&amp;"-"&amp;INDEX(属性投放!$AB$7:$AB$50,CZ957)&amp;"-魂火-"&amp;DB957</f>
        <v>食火蜥-叫唤+2-魂火-2</v>
      </c>
      <c r="CY957" s="25" t="s">
        <v>142</v>
      </c>
      <c r="CZ957" s="14">
        <f>INDEX(属性投放!$AM$7:$AM$58,CU957)</f>
        <v>9</v>
      </c>
      <c r="DA957" s="14" t="s">
        <v>537</v>
      </c>
      <c r="DB957" s="14">
        <f>INDEX(属性投放!$AN$7:$AN$58,CU957)</f>
        <v>2</v>
      </c>
      <c r="DC957" s="14">
        <f t="shared" si="1086"/>
        <v>17</v>
      </c>
      <c r="DD957" s="14">
        <f>INDEX(属性投放!$AO$7:$AO$58,DC957)</f>
        <v>60</v>
      </c>
      <c r="DE957" s="14" t="s">
        <v>538</v>
      </c>
      <c r="DF957" s="14">
        <f>INDEX(属性投放!$BK$6:$BK$85,(CV957-2)*20+CZ957)</f>
        <v>80</v>
      </c>
      <c r="DG957" s="14">
        <f>SUMIFS(DF$5:DF957,$CT$5:$CT957,"="&amp;$CT957)</f>
        <v>725</v>
      </c>
      <c r="DH957" s="14" t="s">
        <v>539</v>
      </c>
      <c r="DI957" s="14">
        <f>INDEX(属性投放!$BL$6:$BL$85,(CV957-2)*20+CZ957)</f>
        <v>40</v>
      </c>
      <c r="DJ957" s="14">
        <f>SUMIFS(DI$5:DI957,$CT$5:$CT957,"="&amp;$CT957)</f>
        <v>366</v>
      </c>
      <c r="DK957" s="14" t="s">
        <v>540</v>
      </c>
      <c r="DL957" s="14">
        <f>INDEX(属性投放!$BM$6:$BM$85,(CV957-2)*20+CZ957)</f>
        <v>640</v>
      </c>
      <c r="DM957" s="14">
        <f>SUMIFS(DL$5:DL957,$CT$5:$CT957,"="&amp;$CT957)</f>
        <v>5380</v>
      </c>
    </row>
    <row r="958" spans="97:117" ht="16.5" x14ac:dyDescent="0.2">
      <c r="CS958" s="13">
        <v>954</v>
      </c>
      <c r="CT958" s="13">
        <f t="shared" si="1087"/>
        <v>19</v>
      </c>
      <c r="CU958" s="13">
        <f t="shared" si="1088"/>
        <v>18</v>
      </c>
      <c r="CV958" s="14">
        <f t="shared" si="1089"/>
        <v>2</v>
      </c>
      <c r="CW958" s="14">
        <f t="shared" si="1090"/>
        <v>1102019</v>
      </c>
      <c r="CX958" s="14" t="str">
        <f>INDEX($O$6:$O$50,CT958)&amp;"-"&amp;INDEX(属性投放!$AB$7:$AB$50,CZ958)&amp;"-魂火-"&amp;DB958</f>
        <v>食火蜥-叫唤+2-魂火-3</v>
      </c>
      <c r="CY958" s="25" t="s">
        <v>142</v>
      </c>
      <c r="CZ958" s="14">
        <f>INDEX(属性投放!$AM$7:$AM$58,CU958)</f>
        <v>9</v>
      </c>
      <c r="DA958" s="14" t="s">
        <v>537</v>
      </c>
      <c r="DB958" s="14">
        <f>INDEX(属性投放!$AN$7:$AN$58,CU958)</f>
        <v>3</v>
      </c>
      <c r="DC958" s="14">
        <f t="shared" si="1086"/>
        <v>18</v>
      </c>
      <c r="DD958" s="14">
        <f>INDEX(属性投放!$AO$7:$AO$58,DC958)</f>
        <v>63</v>
      </c>
      <c r="DE958" s="14" t="s">
        <v>538</v>
      </c>
      <c r="DF958" s="14">
        <f>INDEX(属性投放!$BK$6:$BK$85,(CV958-2)*20+CZ958)</f>
        <v>80</v>
      </c>
      <c r="DG958" s="14">
        <f>SUMIFS(DF$5:DF958,$CT$5:$CT958,"="&amp;$CT958)</f>
        <v>805</v>
      </c>
      <c r="DH958" s="14" t="s">
        <v>539</v>
      </c>
      <c r="DI958" s="14">
        <f>INDEX(属性投放!$BL$6:$BL$85,(CV958-2)*20+CZ958)</f>
        <v>40</v>
      </c>
      <c r="DJ958" s="14">
        <f>SUMIFS(DI$5:DI958,$CT$5:$CT958,"="&amp;$CT958)</f>
        <v>406</v>
      </c>
      <c r="DK958" s="14" t="s">
        <v>540</v>
      </c>
      <c r="DL958" s="14">
        <f>INDEX(属性投放!$BM$6:$BM$85,(CV958-2)*20+CZ958)</f>
        <v>640</v>
      </c>
      <c r="DM958" s="14">
        <f>SUMIFS(DL$5:DL958,$CT$5:$CT958,"="&amp;$CT958)</f>
        <v>6020</v>
      </c>
    </row>
    <row r="959" spans="97:117" ht="16.5" x14ac:dyDescent="0.2">
      <c r="CS959" s="13">
        <v>955</v>
      </c>
      <c r="CT959" s="13">
        <f t="shared" si="1087"/>
        <v>19</v>
      </c>
      <c r="CU959" s="13">
        <f t="shared" si="1088"/>
        <v>19</v>
      </c>
      <c r="CV959" s="14">
        <f t="shared" si="1089"/>
        <v>2</v>
      </c>
      <c r="CW959" s="14">
        <f t="shared" si="1090"/>
        <v>1102019</v>
      </c>
      <c r="CX959" s="14" t="str">
        <f>INDEX($O$6:$O$50,CT959)&amp;"-"&amp;INDEX(属性投放!$AB$7:$AB$50,CZ959)&amp;"-魂火-"&amp;DB959</f>
        <v>食火蜥-大叫唤-魂火-1</v>
      </c>
      <c r="CY959" s="25" t="s">
        <v>142</v>
      </c>
      <c r="CZ959" s="14">
        <f>INDEX(属性投放!$AM$7:$AM$58,CU959)</f>
        <v>10</v>
      </c>
      <c r="DA959" s="14" t="s">
        <v>537</v>
      </c>
      <c r="DB959" s="14">
        <f>INDEX(属性投放!$AN$7:$AN$58,CU959)</f>
        <v>1</v>
      </c>
      <c r="DC959" s="14">
        <f t="shared" si="1086"/>
        <v>19</v>
      </c>
      <c r="DD959" s="14">
        <f>INDEX(属性投放!$AO$7:$AO$58,DC959)</f>
        <v>65</v>
      </c>
      <c r="DE959" s="14" t="s">
        <v>538</v>
      </c>
      <c r="DF959" s="14">
        <f>INDEX(属性投放!$BK$6:$BK$85,(CV959-2)*20+CZ959)</f>
        <v>100</v>
      </c>
      <c r="DG959" s="14">
        <f>SUMIFS(DF$5:DF959,$CT$5:$CT959,"="&amp;$CT959)</f>
        <v>905</v>
      </c>
      <c r="DH959" s="14" t="s">
        <v>539</v>
      </c>
      <c r="DI959" s="14">
        <f>INDEX(属性投放!$BL$6:$BL$85,(CV959-2)*20+CZ959)</f>
        <v>50</v>
      </c>
      <c r="DJ959" s="14">
        <f>SUMIFS(DI$5:DI959,$CT$5:$CT959,"="&amp;$CT959)</f>
        <v>456</v>
      </c>
      <c r="DK959" s="14" t="s">
        <v>540</v>
      </c>
      <c r="DL959" s="14">
        <f>INDEX(属性投放!$BM$6:$BM$85,(CV959-2)*20+CZ959)</f>
        <v>900</v>
      </c>
      <c r="DM959" s="14">
        <f>SUMIFS(DL$5:DL959,$CT$5:$CT959,"="&amp;$CT959)</f>
        <v>6920</v>
      </c>
    </row>
    <row r="960" spans="97:117" ht="16.5" x14ac:dyDescent="0.2">
      <c r="CS960" s="13">
        <v>956</v>
      </c>
      <c r="CT960" s="13">
        <f t="shared" si="1087"/>
        <v>19</v>
      </c>
      <c r="CU960" s="13">
        <f t="shared" si="1088"/>
        <v>20</v>
      </c>
      <c r="CV960" s="14">
        <f t="shared" si="1089"/>
        <v>2</v>
      </c>
      <c r="CW960" s="14">
        <f t="shared" si="1090"/>
        <v>1102019</v>
      </c>
      <c r="CX960" s="14" t="str">
        <f>INDEX($O$6:$O$50,CT960)&amp;"-"&amp;INDEX(属性投放!$AB$7:$AB$50,CZ960)&amp;"-魂火-"&amp;DB960</f>
        <v>食火蜥-大叫唤-魂火-2</v>
      </c>
      <c r="CY960" s="25" t="s">
        <v>142</v>
      </c>
      <c r="CZ960" s="14">
        <f>INDEX(属性投放!$AM$7:$AM$58,CU960)</f>
        <v>10</v>
      </c>
      <c r="DA960" s="14" t="s">
        <v>537</v>
      </c>
      <c r="DB960" s="14">
        <f>INDEX(属性投放!$AN$7:$AN$58,CU960)</f>
        <v>2</v>
      </c>
      <c r="DC960" s="14">
        <f t="shared" si="1086"/>
        <v>20</v>
      </c>
      <c r="DD960" s="14">
        <f>INDEX(属性投放!$AO$7:$AO$58,DC960)</f>
        <v>68</v>
      </c>
      <c r="DE960" s="14" t="s">
        <v>538</v>
      </c>
      <c r="DF960" s="14">
        <f>INDEX(属性投放!$BK$6:$BK$85,(CV960-2)*20+CZ960)</f>
        <v>100</v>
      </c>
      <c r="DG960" s="14">
        <f>SUMIFS(DF$5:DF960,$CT$5:$CT960,"="&amp;$CT960)</f>
        <v>1005</v>
      </c>
      <c r="DH960" s="14" t="s">
        <v>539</v>
      </c>
      <c r="DI960" s="14">
        <f>INDEX(属性投放!$BL$6:$BL$85,(CV960-2)*20+CZ960)</f>
        <v>50</v>
      </c>
      <c r="DJ960" s="14">
        <f>SUMIFS(DI$5:DI960,$CT$5:$CT960,"="&amp;$CT960)</f>
        <v>506</v>
      </c>
      <c r="DK960" s="14" t="s">
        <v>540</v>
      </c>
      <c r="DL960" s="14">
        <f>INDEX(属性投放!$BM$6:$BM$85,(CV960-2)*20+CZ960)</f>
        <v>900</v>
      </c>
      <c r="DM960" s="14">
        <f>SUMIFS(DL$5:DL960,$CT$5:$CT960,"="&amp;$CT960)</f>
        <v>7820</v>
      </c>
    </row>
    <row r="961" spans="97:117" ht="16.5" x14ac:dyDescent="0.2">
      <c r="CS961" s="13">
        <v>957</v>
      </c>
      <c r="CT961" s="13">
        <f t="shared" si="1087"/>
        <v>19</v>
      </c>
      <c r="CU961" s="13">
        <f t="shared" si="1088"/>
        <v>21</v>
      </c>
      <c r="CV961" s="14">
        <f t="shared" si="1089"/>
        <v>2</v>
      </c>
      <c r="CW961" s="14">
        <f t="shared" si="1090"/>
        <v>1102019</v>
      </c>
      <c r="CX961" s="14" t="str">
        <f>INDEX($O$6:$O$50,CT961)&amp;"-"&amp;INDEX(属性投放!$AB$7:$AB$50,CZ961)&amp;"-魂火-"&amp;DB961</f>
        <v>食火蜥-大叫唤-魂火-3</v>
      </c>
      <c r="CY961" s="25" t="s">
        <v>142</v>
      </c>
      <c r="CZ961" s="14">
        <f>INDEX(属性投放!$AM$7:$AM$58,CU961)</f>
        <v>10</v>
      </c>
      <c r="DA961" s="14" t="s">
        <v>537</v>
      </c>
      <c r="DB961" s="14">
        <f>INDEX(属性投放!$AN$7:$AN$58,CU961)</f>
        <v>3</v>
      </c>
      <c r="DC961" s="14">
        <f t="shared" si="1086"/>
        <v>21</v>
      </c>
      <c r="DD961" s="14">
        <f>INDEX(属性投放!$AO$7:$AO$58,DC961)</f>
        <v>70</v>
      </c>
      <c r="DE961" s="14" t="s">
        <v>538</v>
      </c>
      <c r="DF961" s="14">
        <f>INDEX(属性投放!$BK$6:$BK$85,(CV961-2)*20+CZ961)</f>
        <v>100</v>
      </c>
      <c r="DG961" s="14">
        <f>SUMIFS(DF$5:DF961,$CT$5:$CT961,"="&amp;$CT961)</f>
        <v>1105</v>
      </c>
      <c r="DH961" s="14" t="s">
        <v>539</v>
      </c>
      <c r="DI961" s="14">
        <f>INDEX(属性投放!$BL$6:$BL$85,(CV961-2)*20+CZ961)</f>
        <v>50</v>
      </c>
      <c r="DJ961" s="14">
        <f>SUMIFS(DI$5:DI961,$CT$5:$CT961,"="&amp;$CT961)</f>
        <v>556</v>
      </c>
      <c r="DK961" s="14" t="s">
        <v>540</v>
      </c>
      <c r="DL961" s="14">
        <f>INDEX(属性投放!$BM$6:$BM$85,(CV961-2)*20+CZ961)</f>
        <v>900</v>
      </c>
      <c r="DM961" s="14">
        <f>SUMIFS(DL$5:DL961,$CT$5:$CT961,"="&amp;$CT961)</f>
        <v>8720</v>
      </c>
    </row>
    <row r="962" spans="97:117" ht="16.5" x14ac:dyDescent="0.2">
      <c r="CS962" s="13">
        <v>958</v>
      </c>
      <c r="CT962" s="13">
        <f t="shared" si="1087"/>
        <v>19</v>
      </c>
      <c r="CU962" s="13">
        <f t="shared" si="1088"/>
        <v>22</v>
      </c>
      <c r="CV962" s="14">
        <f t="shared" si="1089"/>
        <v>2</v>
      </c>
      <c r="CW962" s="14">
        <f t="shared" si="1090"/>
        <v>1102019</v>
      </c>
      <c r="CX962" s="14" t="str">
        <f>INDEX($O$6:$O$50,CT962)&amp;"-"&amp;INDEX(属性投放!$AB$7:$AB$50,CZ962)&amp;"-魂火-"&amp;DB962</f>
        <v>食火蜥-大叫唤+1-魂火-1</v>
      </c>
      <c r="CY962" s="25" t="s">
        <v>142</v>
      </c>
      <c r="CZ962" s="14">
        <f>INDEX(属性投放!$AM$7:$AM$58,CU962)</f>
        <v>11</v>
      </c>
      <c r="DA962" s="14" t="s">
        <v>537</v>
      </c>
      <c r="DB962" s="14">
        <f>INDEX(属性投放!$AN$7:$AN$58,CU962)</f>
        <v>1</v>
      </c>
      <c r="DC962" s="14">
        <f t="shared" si="1086"/>
        <v>22</v>
      </c>
      <c r="DD962" s="14">
        <f>INDEX(属性投放!$AO$7:$AO$58,DC962)</f>
        <v>73</v>
      </c>
      <c r="DE962" s="14" t="s">
        <v>538</v>
      </c>
      <c r="DF962" s="14">
        <f>INDEX(属性投放!$BK$6:$BK$85,(CV962-2)*20+CZ962)</f>
        <v>130</v>
      </c>
      <c r="DG962" s="14">
        <f>SUMIFS(DF$5:DF962,$CT$5:$CT962,"="&amp;$CT962)</f>
        <v>1235</v>
      </c>
      <c r="DH962" s="14" t="s">
        <v>539</v>
      </c>
      <c r="DI962" s="14">
        <f>INDEX(属性投放!$BL$6:$BL$85,(CV962-2)*20+CZ962)</f>
        <v>65</v>
      </c>
      <c r="DJ962" s="14">
        <f>SUMIFS(DI$5:DI962,$CT$5:$CT962,"="&amp;$CT962)</f>
        <v>621</v>
      </c>
      <c r="DK962" s="14" t="s">
        <v>540</v>
      </c>
      <c r="DL962" s="14">
        <f>INDEX(属性投放!$BM$6:$BM$85,(CV962-2)*20+CZ962)</f>
        <v>1170</v>
      </c>
      <c r="DM962" s="14">
        <f>SUMIFS(DL$5:DL962,$CT$5:$CT962,"="&amp;$CT962)</f>
        <v>9890</v>
      </c>
    </row>
    <row r="963" spans="97:117" ht="16.5" x14ac:dyDescent="0.2">
      <c r="CS963" s="13">
        <v>959</v>
      </c>
      <c r="CT963" s="13">
        <f t="shared" si="1087"/>
        <v>19</v>
      </c>
      <c r="CU963" s="13">
        <f t="shared" si="1088"/>
        <v>23</v>
      </c>
      <c r="CV963" s="14">
        <f t="shared" si="1089"/>
        <v>2</v>
      </c>
      <c r="CW963" s="14">
        <f t="shared" si="1090"/>
        <v>1102019</v>
      </c>
      <c r="CX963" s="14" t="str">
        <f>INDEX($O$6:$O$50,CT963)&amp;"-"&amp;INDEX(属性投放!$AB$7:$AB$50,CZ963)&amp;"-魂火-"&amp;DB963</f>
        <v>食火蜥-大叫唤+1-魂火-2</v>
      </c>
      <c r="CY963" s="25" t="s">
        <v>142</v>
      </c>
      <c r="CZ963" s="14">
        <f>INDEX(属性投放!$AM$7:$AM$58,CU963)</f>
        <v>11</v>
      </c>
      <c r="DA963" s="14" t="s">
        <v>537</v>
      </c>
      <c r="DB963" s="14">
        <f>INDEX(属性投放!$AN$7:$AN$58,CU963)</f>
        <v>2</v>
      </c>
      <c r="DC963" s="14">
        <f t="shared" si="1086"/>
        <v>23</v>
      </c>
      <c r="DD963" s="14">
        <f>INDEX(属性投放!$AO$7:$AO$58,DC963)</f>
        <v>75</v>
      </c>
      <c r="DE963" s="14" t="s">
        <v>538</v>
      </c>
      <c r="DF963" s="14">
        <f>INDEX(属性投放!$BK$6:$BK$85,(CV963-2)*20+CZ963)</f>
        <v>130</v>
      </c>
      <c r="DG963" s="14">
        <f>SUMIFS(DF$5:DF963,$CT$5:$CT963,"="&amp;$CT963)</f>
        <v>1365</v>
      </c>
      <c r="DH963" s="14" t="s">
        <v>539</v>
      </c>
      <c r="DI963" s="14">
        <f>INDEX(属性投放!$BL$6:$BL$85,(CV963-2)*20+CZ963)</f>
        <v>65</v>
      </c>
      <c r="DJ963" s="14">
        <f>SUMIFS(DI$5:DI963,$CT$5:$CT963,"="&amp;$CT963)</f>
        <v>686</v>
      </c>
      <c r="DK963" s="14" t="s">
        <v>540</v>
      </c>
      <c r="DL963" s="14">
        <f>INDEX(属性投放!$BM$6:$BM$85,(CV963-2)*20+CZ963)</f>
        <v>1170</v>
      </c>
      <c r="DM963" s="14">
        <f>SUMIFS(DL$5:DL963,$CT$5:$CT963,"="&amp;$CT963)</f>
        <v>11060</v>
      </c>
    </row>
    <row r="964" spans="97:117" ht="16.5" x14ac:dyDescent="0.2">
      <c r="CS964" s="13">
        <v>960</v>
      </c>
      <c r="CT964" s="13">
        <f t="shared" si="1087"/>
        <v>19</v>
      </c>
      <c r="CU964" s="13">
        <f t="shared" si="1088"/>
        <v>24</v>
      </c>
      <c r="CV964" s="14">
        <f t="shared" si="1089"/>
        <v>2</v>
      </c>
      <c r="CW964" s="14">
        <f t="shared" si="1090"/>
        <v>1102019</v>
      </c>
      <c r="CX964" s="14" t="str">
        <f>INDEX($O$6:$O$50,CT964)&amp;"-"&amp;INDEX(属性投放!$AB$7:$AB$50,CZ964)&amp;"-魂火-"&amp;DB964</f>
        <v>食火蜥-大叫唤+1-魂火-3</v>
      </c>
      <c r="CY964" s="25" t="s">
        <v>142</v>
      </c>
      <c r="CZ964" s="14">
        <f>INDEX(属性投放!$AM$7:$AM$58,CU964)</f>
        <v>11</v>
      </c>
      <c r="DA964" s="14" t="s">
        <v>537</v>
      </c>
      <c r="DB964" s="14">
        <f>INDEX(属性投放!$AN$7:$AN$58,CU964)</f>
        <v>3</v>
      </c>
      <c r="DC964" s="14">
        <f t="shared" si="1086"/>
        <v>24</v>
      </c>
      <c r="DD964" s="14">
        <f>INDEX(属性投放!$AO$7:$AO$58,DC964)</f>
        <v>78</v>
      </c>
      <c r="DE964" s="14" t="s">
        <v>538</v>
      </c>
      <c r="DF964" s="14">
        <f>INDEX(属性投放!$BK$6:$BK$85,(CV964-2)*20+CZ964)</f>
        <v>130</v>
      </c>
      <c r="DG964" s="14">
        <f>SUMIFS(DF$5:DF964,$CT$5:$CT964,"="&amp;$CT964)</f>
        <v>1495</v>
      </c>
      <c r="DH964" s="14" t="s">
        <v>539</v>
      </c>
      <c r="DI964" s="14">
        <f>INDEX(属性投放!$BL$6:$BL$85,(CV964-2)*20+CZ964)</f>
        <v>65</v>
      </c>
      <c r="DJ964" s="14">
        <f>SUMIFS(DI$5:DI964,$CT$5:$CT964,"="&amp;$CT964)</f>
        <v>751</v>
      </c>
      <c r="DK964" s="14" t="s">
        <v>540</v>
      </c>
      <c r="DL964" s="14">
        <f>INDEX(属性投放!$BM$6:$BM$85,(CV964-2)*20+CZ964)</f>
        <v>1170</v>
      </c>
      <c r="DM964" s="14">
        <f>SUMIFS(DL$5:DL964,$CT$5:$CT964,"="&amp;$CT964)</f>
        <v>12230</v>
      </c>
    </row>
    <row r="965" spans="97:117" ht="16.5" x14ac:dyDescent="0.2">
      <c r="CS965" s="13">
        <v>961</v>
      </c>
      <c r="CT965" s="13">
        <f t="shared" si="1087"/>
        <v>19</v>
      </c>
      <c r="CU965" s="13">
        <f t="shared" si="1088"/>
        <v>25</v>
      </c>
      <c r="CV965" s="14">
        <f t="shared" si="1089"/>
        <v>2</v>
      </c>
      <c r="CW965" s="14">
        <f t="shared" si="1090"/>
        <v>1102019</v>
      </c>
      <c r="CX965" s="14" t="str">
        <f>INDEX($O$6:$O$50,CT965)&amp;"-"&amp;INDEX(属性投放!$AB$7:$AB$50,CZ965)&amp;"-魂火-"&amp;DB965</f>
        <v>食火蜥-大叫唤+2-魂火-1</v>
      </c>
      <c r="CY965" s="25" t="s">
        <v>142</v>
      </c>
      <c r="CZ965" s="14">
        <f>INDEX(属性投放!$AM$7:$AM$58,CU965)</f>
        <v>12</v>
      </c>
      <c r="DA965" s="14" t="s">
        <v>537</v>
      </c>
      <c r="DB965" s="14">
        <f>INDEX(属性投放!$AN$7:$AN$58,CU965)</f>
        <v>1</v>
      </c>
      <c r="DC965" s="14">
        <f t="shared" ref="DC965:DC1028" si="1091">CU965</f>
        <v>25</v>
      </c>
      <c r="DD965" s="14">
        <f>INDEX(属性投放!$AO$7:$AO$58,DC965)</f>
        <v>80</v>
      </c>
      <c r="DE965" s="14" t="s">
        <v>538</v>
      </c>
      <c r="DF965" s="14">
        <f>INDEX(属性投放!$BK$6:$BK$85,(CV965-2)*20+CZ965)</f>
        <v>170</v>
      </c>
      <c r="DG965" s="14">
        <f>SUMIFS(DF$5:DF965,$CT$5:$CT965,"="&amp;$CT965)</f>
        <v>1665</v>
      </c>
      <c r="DH965" s="14" t="s">
        <v>539</v>
      </c>
      <c r="DI965" s="14">
        <f>INDEX(属性投放!$BL$6:$BL$85,(CV965-2)*20+CZ965)</f>
        <v>85</v>
      </c>
      <c r="DJ965" s="14">
        <f>SUMIFS(DI$5:DI965,$CT$5:$CT965,"="&amp;$CT965)</f>
        <v>836</v>
      </c>
      <c r="DK965" s="14" t="s">
        <v>540</v>
      </c>
      <c r="DL965" s="14">
        <f>INDEX(属性投放!$BM$6:$BM$85,(CV965-2)*20+CZ965)</f>
        <v>1530</v>
      </c>
      <c r="DM965" s="14">
        <f>SUMIFS(DL$5:DL965,$CT$5:$CT965,"="&amp;$CT965)</f>
        <v>13760</v>
      </c>
    </row>
    <row r="966" spans="97:117" ht="16.5" x14ac:dyDescent="0.2">
      <c r="CS966" s="13">
        <v>962</v>
      </c>
      <c r="CT966" s="13">
        <f t="shared" ref="CT966:CT1029" si="1092">MATCH(CS966-1,$U$5:$U$36,1)</f>
        <v>19</v>
      </c>
      <c r="CU966" s="13">
        <f t="shared" ref="CU966:CU1029" si="1093">CS966-(CT966-1)*52</f>
        <v>26</v>
      </c>
      <c r="CV966" s="14">
        <f t="shared" ref="CV966:CV1029" si="1094">INDEX($Q$6:$Q$50,CT966)</f>
        <v>2</v>
      </c>
      <c r="CW966" s="14">
        <f t="shared" ref="CW966:CW1029" si="1095">INDEX($N$6:$N$50,CT966)</f>
        <v>1102019</v>
      </c>
      <c r="CX966" s="14" t="str">
        <f>INDEX($O$6:$O$50,CT966)&amp;"-"&amp;INDEX(属性投放!$AB$7:$AB$50,CZ966)&amp;"-魂火-"&amp;DB966</f>
        <v>食火蜥-大叫唤+2-魂火-2</v>
      </c>
      <c r="CY966" s="25" t="s">
        <v>142</v>
      </c>
      <c r="CZ966" s="14">
        <f>INDEX(属性投放!$AM$7:$AM$58,CU966)</f>
        <v>12</v>
      </c>
      <c r="DA966" s="14" t="s">
        <v>537</v>
      </c>
      <c r="DB966" s="14">
        <f>INDEX(属性投放!$AN$7:$AN$58,CU966)</f>
        <v>2</v>
      </c>
      <c r="DC966" s="14">
        <f t="shared" si="1091"/>
        <v>26</v>
      </c>
      <c r="DD966" s="14">
        <f>INDEX(属性投放!$AO$7:$AO$58,DC966)</f>
        <v>83</v>
      </c>
      <c r="DE966" s="14" t="s">
        <v>538</v>
      </c>
      <c r="DF966" s="14">
        <f>INDEX(属性投放!$BK$6:$BK$85,(CV966-2)*20+CZ966)</f>
        <v>170</v>
      </c>
      <c r="DG966" s="14">
        <f>SUMIFS(DF$5:DF966,$CT$5:$CT966,"="&amp;$CT966)</f>
        <v>1835</v>
      </c>
      <c r="DH966" s="14" t="s">
        <v>539</v>
      </c>
      <c r="DI966" s="14">
        <f>INDEX(属性投放!$BL$6:$BL$85,(CV966-2)*20+CZ966)</f>
        <v>85</v>
      </c>
      <c r="DJ966" s="14">
        <f>SUMIFS(DI$5:DI966,$CT$5:$CT966,"="&amp;$CT966)</f>
        <v>921</v>
      </c>
      <c r="DK966" s="14" t="s">
        <v>540</v>
      </c>
      <c r="DL966" s="14">
        <f>INDEX(属性投放!$BM$6:$BM$85,(CV966-2)*20+CZ966)</f>
        <v>1530</v>
      </c>
      <c r="DM966" s="14">
        <f>SUMIFS(DL$5:DL966,$CT$5:$CT966,"="&amp;$CT966)</f>
        <v>15290</v>
      </c>
    </row>
    <row r="967" spans="97:117" ht="16.5" x14ac:dyDescent="0.2">
      <c r="CS967" s="13">
        <v>963</v>
      </c>
      <c r="CT967" s="13">
        <f t="shared" si="1092"/>
        <v>19</v>
      </c>
      <c r="CU967" s="13">
        <f t="shared" si="1093"/>
        <v>27</v>
      </c>
      <c r="CV967" s="14">
        <f t="shared" si="1094"/>
        <v>2</v>
      </c>
      <c r="CW967" s="14">
        <f t="shared" si="1095"/>
        <v>1102019</v>
      </c>
      <c r="CX967" s="14" t="str">
        <f>INDEX($O$6:$O$50,CT967)&amp;"-"&amp;INDEX(属性投放!$AB$7:$AB$50,CZ967)&amp;"-魂火-"&amp;DB967</f>
        <v>食火蜥-大叫唤+2-魂火-3</v>
      </c>
      <c r="CY967" s="25" t="s">
        <v>142</v>
      </c>
      <c r="CZ967" s="14">
        <f>INDEX(属性投放!$AM$7:$AM$58,CU967)</f>
        <v>12</v>
      </c>
      <c r="DA967" s="14" t="s">
        <v>537</v>
      </c>
      <c r="DB967" s="14">
        <f>INDEX(属性投放!$AN$7:$AN$58,CU967)</f>
        <v>3</v>
      </c>
      <c r="DC967" s="14">
        <f t="shared" si="1091"/>
        <v>27</v>
      </c>
      <c r="DD967" s="14">
        <f>INDEX(属性投放!$AO$7:$AO$58,DC967)</f>
        <v>85</v>
      </c>
      <c r="DE967" s="14" t="s">
        <v>538</v>
      </c>
      <c r="DF967" s="14">
        <f>INDEX(属性投放!$BK$6:$BK$85,(CV967-2)*20+CZ967)</f>
        <v>170</v>
      </c>
      <c r="DG967" s="14">
        <f>SUMIFS(DF$5:DF967,$CT$5:$CT967,"="&amp;$CT967)</f>
        <v>2005</v>
      </c>
      <c r="DH967" s="14" t="s">
        <v>539</v>
      </c>
      <c r="DI967" s="14">
        <f>INDEX(属性投放!$BL$6:$BL$85,(CV967-2)*20+CZ967)</f>
        <v>85</v>
      </c>
      <c r="DJ967" s="14">
        <f>SUMIFS(DI$5:DI967,$CT$5:$CT967,"="&amp;$CT967)</f>
        <v>1006</v>
      </c>
      <c r="DK967" s="14" t="s">
        <v>540</v>
      </c>
      <c r="DL967" s="14">
        <f>INDEX(属性投放!$BM$6:$BM$85,(CV967-2)*20+CZ967)</f>
        <v>1530</v>
      </c>
      <c r="DM967" s="14">
        <f>SUMIFS(DL$5:DL967,$CT$5:$CT967,"="&amp;$CT967)</f>
        <v>16820</v>
      </c>
    </row>
    <row r="968" spans="97:117" ht="16.5" x14ac:dyDescent="0.2">
      <c r="CS968" s="13">
        <v>964</v>
      </c>
      <c r="CT968" s="13">
        <f t="shared" si="1092"/>
        <v>19</v>
      </c>
      <c r="CU968" s="13">
        <f t="shared" si="1093"/>
        <v>28</v>
      </c>
      <c r="CV968" s="14">
        <f t="shared" si="1094"/>
        <v>2</v>
      </c>
      <c r="CW968" s="14">
        <f t="shared" si="1095"/>
        <v>1102019</v>
      </c>
      <c r="CX968" s="14" t="str">
        <f>INDEX($O$6:$O$50,CT968)&amp;"-"&amp;INDEX(属性投放!$AB$7:$AB$50,CZ968)&amp;"-魂火-"&amp;DB968</f>
        <v>食火蜥-焦热-魂火-1</v>
      </c>
      <c r="CY968" s="25" t="s">
        <v>142</v>
      </c>
      <c r="CZ968" s="14">
        <f>INDEX(属性投放!$AM$7:$AM$58,CU968)</f>
        <v>13</v>
      </c>
      <c r="DA968" s="14" t="s">
        <v>537</v>
      </c>
      <c r="DB968" s="14">
        <f>INDEX(属性投放!$AN$7:$AN$58,CU968)</f>
        <v>1</v>
      </c>
      <c r="DC968" s="14">
        <f t="shared" si="1091"/>
        <v>28</v>
      </c>
      <c r="DD968" s="14">
        <f>INDEX(属性投放!$AO$7:$AO$58,DC968)</f>
        <v>88</v>
      </c>
      <c r="DE968" s="14" t="s">
        <v>538</v>
      </c>
      <c r="DF968" s="14">
        <f>INDEX(属性投放!$BK$6:$BK$85,(CV968-2)*20+CZ968)</f>
        <v>220</v>
      </c>
      <c r="DG968" s="14">
        <f>SUMIFS(DF$5:DF968,$CT$5:$CT968,"="&amp;$CT968)</f>
        <v>2225</v>
      </c>
      <c r="DH968" s="14" t="s">
        <v>539</v>
      </c>
      <c r="DI968" s="14">
        <f>INDEX(属性投放!$BL$6:$BL$85,(CV968-2)*20+CZ968)</f>
        <v>110</v>
      </c>
      <c r="DJ968" s="14">
        <f>SUMIFS(DI$5:DI968,$CT$5:$CT968,"="&amp;$CT968)</f>
        <v>1116</v>
      </c>
      <c r="DK968" s="14" t="s">
        <v>540</v>
      </c>
      <c r="DL968" s="14">
        <f>INDEX(属性投放!$BM$6:$BM$85,(CV968-2)*20+CZ968)</f>
        <v>2200</v>
      </c>
      <c r="DM968" s="14">
        <f>SUMIFS(DL$5:DL968,$CT$5:$CT968,"="&amp;$CT968)</f>
        <v>19020</v>
      </c>
    </row>
    <row r="969" spans="97:117" ht="16.5" x14ac:dyDescent="0.2">
      <c r="CS969" s="13">
        <v>965</v>
      </c>
      <c r="CT969" s="13">
        <f t="shared" si="1092"/>
        <v>19</v>
      </c>
      <c r="CU969" s="13">
        <f t="shared" si="1093"/>
        <v>29</v>
      </c>
      <c r="CV969" s="14">
        <f t="shared" si="1094"/>
        <v>2</v>
      </c>
      <c r="CW969" s="14">
        <f t="shared" si="1095"/>
        <v>1102019</v>
      </c>
      <c r="CX969" s="14" t="str">
        <f>INDEX($O$6:$O$50,CT969)&amp;"-"&amp;INDEX(属性投放!$AB$7:$AB$50,CZ969)&amp;"-魂火-"&amp;DB969</f>
        <v>食火蜥-焦热-魂火-2</v>
      </c>
      <c r="CY969" s="25" t="s">
        <v>142</v>
      </c>
      <c r="CZ969" s="14">
        <f>INDEX(属性投放!$AM$7:$AM$58,CU969)</f>
        <v>13</v>
      </c>
      <c r="DA969" s="14" t="s">
        <v>537</v>
      </c>
      <c r="DB969" s="14">
        <f>INDEX(属性投放!$AN$7:$AN$58,CU969)</f>
        <v>2</v>
      </c>
      <c r="DC969" s="14">
        <f t="shared" si="1091"/>
        <v>29</v>
      </c>
      <c r="DD969" s="14">
        <f>INDEX(属性投放!$AO$7:$AO$58,DC969)</f>
        <v>90</v>
      </c>
      <c r="DE969" s="14" t="s">
        <v>538</v>
      </c>
      <c r="DF969" s="14">
        <f>INDEX(属性投放!$BK$6:$BK$85,(CV969-2)*20+CZ969)</f>
        <v>220</v>
      </c>
      <c r="DG969" s="14">
        <f>SUMIFS(DF$5:DF969,$CT$5:$CT969,"="&amp;$CT969)</f>
        <v>2445</v>
      </c>
      <c r="DH969" s="14" t="s">
        <v>539</v>
      </c>
      <c r="DI969" s="14">
        <f>INDEX(属性投放!$BL$6:$BL$85,(CV969-2)*20+CZ969)</f>
        <v>110</v>
      </c>
      <c r="DJ969" s="14">
        <f>SUMIFS(DI$5:DI969,$CT$5:$CT969,"="&amp;$CT969)</f>
        <v>1226</v>
      </c>
      <c r="DK969" s="14" t="s">
        <v>540</v>
      </c>
      <c r="DL969" s="14">
        <f>INDEX(属性投放!$BM$6:$BM$85,(CV969-2)*20+CZ969)</f>
        <v>2200</v>
      </c>
      <c r="DM969" s="14">
        <f>SUMIFS(DL$5:DL969,$CT$5:$CT969,"="&amp;$CT969)</f>
        <v>21220</v>
      </c>
    </row>
    <row r="970" spans="97:117" ht="16.5" x14ac:dyDescent="0.2">
      <c r="CS970" s="13">
        <v>966</v>
      </c>
      <c r="CT970" s="13">
        <f t="shared" si="1092"/>
        <v>19</v>
      </c>
      <c r="CU970" s="13">
        <f t="shared" si="1093"/>
        <v>30</v>
      </c>
      <c r="CV970" s="14">
        <f t="shared" si="1094"/>
        <v>2</v>
      </c>
      <c r="CW970" s="14">
        <f t="shared" si="1095"/>
        <v>1102019</v>
      </c>
      <c r="CX970" s="14" t="str">
        <f>INDEX($O$6:$O$50,CT970)&amp;"-"&amp;INDEX(属性投放!$AB$7:$AB$50,CZ970)&amp;"-魂火-"&amp;DB970</f>
        <v>食火蜥-焦热-魂火-3</v>
      </c>
      <c r="CY970" s="25" t="s">
        <v>142</v>
      </c>
      <c r="CZ970" s="14">
        <f>INDEX(属性投放!$AM$7:$AM$58,CU970)</f>
        <v>13</v>
      </c>
      <c r="DA970" s="14" t="s">
        <v>537</v>
      </c>
      <c r="DB970" s="14">
        <f>INDEX(属性投放!$AN$7:$AN$58,CU970)</f>
        <v>3</v>
      </c>
      <c r="DC970" s="14">
        <f t="shared" si="1091"/>
        <v>30</v>
      </c>
      <c r="DD970" s="14">
        <f>INDEX(属性投放!$AO$7:$AO$58,DC970)</f>
        <v>93</v>
      </c>
      <c r="DE970" s="14" t="s">
        <v>538</v>
      </c>
      <c r="DF970" s="14">
        <f>INDEX(属性投放!$BK$6:$BK$85,(CV970-2)*20+CZ970)</f>
        <v>220</v>
      </c>
      <c r="DG970" s="14">
        <f>SUMIFS(DF$5:DF970,$CT$5:$CT970,"="&amp;$CT970)</f>
        <v>2665</v>
      </c>
      <c r="DH970" s="14" t="s">
        <v>539</v>
      </c>
      <c r="DI970" s="14">
        <f>INDEX(属性投放!$BL$6:$BL$85,(CV970-2)*20+CZ970)</f>
        <v>110</v>
      </c>
      <c r="DJ970" s="14">
        <f>SUMIFS(DI$5:DI970,$CT$5:$CT970,"="&amp;$CT970)</f>
        <v>1336</v>
      </c>
      <c r="DK970" s="14" t="s">
        <v>540</v>
      </c>
      <c r="DL970" s="14">
        <f>INDEX(属性投放!$BM$6:$BM$85,(CV970-2)*20+CZ970)</f>
        <v>2200</v>
      </c>
      <c r="DM970" s="14">
        <f>SUMIFS(DL$5:DL970,$CT$5:$CT970,"="&amp;$CT970)</f>
        <v>23420</v>
      </c>
    </row>
    <row r="971" spans="97:117" ht="16.5" x14ac:dyDescent="0.2">
      <c r="CS971" s="13">
        <v>967</v>
      </c>
      <c r="CT971" s="13">
        <f t="shared" si="1092"/>
        <v>19</v>
      </c>
      <c r="CU971" s="13">
        <f t="shared" si="1093"/>
        <v>31</v>
      </c>
      <c r="CV971" s="14">
        <f t="shared" si="1094"/>
        <v>2</v>
      </c>
      <c r="CW971" s="14">
        <f t="shared" si="1095"/>
        <v>1102019</v>
      </c>
      <c r="CX971" s="14" t="str">
        <f>INDEX($O$6:$O$50,CT971)&amp;"-"&amp;INDEX(属性投放!$AB$7:$AB$50,CZ971)&amp;"-魂火-"&amp;DB971</f>
        <v>食火蜥-焦热+1-魂火-1</v>
      </c>
      <c r="CY971" s="25" t="s">
        <v>142</v>
      </c>
      <c r="CZ971" s="14">
        <f>INDEX(属性投放!$AM$7:$AM$58,CU971)</f>
        <v>14</v>
      </c>
      <c r="DA971" s="14" t="s">
        <v>537</v>
      </c>
      <c r="DB971" s="14">
        <f>INDEX(属性投放!$AN$7:$AN$58,CU971)</f>
        <v>1</v>
      </c>
      <c r="DC971" s="14">
        <f t="shared" si="1091"/>
        <v>31</v>
      </c>
      <c r="DD971" s="14">
        <f>INDEX(属性投放!$AO$7:$AO$58,DC971)</f>
        <v>95</v>
      </c>
      <c r="DE971" s="14" t="s">
        <v>538</v>
      </c>
      <c r="DF971" s="14">
        <f>INDEX(属性投放!$BK$6:$BK$85,(CV971-2)*20+CZ971)</f>
        <v>270</v>
      </c>
      <c r="DG971" s="14">
        <f>SUMIFS(DF$5:DF971,$CT$5:$CT971,"="&amp;$CT971)</f>
        <v>2935</v>
      </c>
      <c r="DH971" s="14" t="s">
        <v>539</v>
      </c>
      <c r="DI971" s="14">
        <f>INDEX(属性投放!$BL$6:$BL$85,(CV971-2)*20+CZ971)</f>
        <v>135</v>
      </c>
      <c r="DJ971" s="14">
        <f>SUMIFS(DI$5:DI971,$CT$5:$CT971,"="&amp;$CT971)</f>
        <v>1471</v>
      </c>
      <c r="DK971" s="14" t="s">
        <v>540</v>
      </c>
      <c r="DL971" s="14">
        <f>INDEX(属性投放!$BM$6:$BM$85,(CV971-2)*20+CZ971)</f>
        <v>2700</v>
      </c>
      <c r="DM971" s="14">
        <f>SUMIFS(DL$5:DL971,$CT$5:$CT971,"="&amp;$CT971)</f>
        <v>26120</v>
      </c>
    </row>
    <row r="972" spans="97:117" ht="16.5" x14ac:dyDescent="0.2">
      <c r="CS972" s="13">
        <v>968</v>
      </c>
      <c r="CT972" s="13">
        <f t="shared" si="1092"/>
        <v>19</v>
      </c>
      <c r="CU972" s="13">
        <f t="shared" si="1093"/>
        <v>32</v>
      </c>
      <c r="CV972" s="14">
        <f t="shared" si="1094"/>
        <v>2</v>
      </c>
      <c r="CW972" s="14">
        <f t="shared" si="1095"/>
        <v>1102019</v>
      </c>
      <c r="CX972" s="14" t="str">
        <f>INDEX($O$6:$O$50,CT972)&amp;"-"&amp;INDEX(属性投放!$AB$7:$AB$50,CZ972)&amp;"-魂火-"&amp;DB972</f>
        <v>食火蜥-焦热+1-魂火-2</v>
      </c>
      <c r="CY972" s="25" t="s">
        <v>142</v>
      </c>
      <c r="CZ972" s="14">
        <f>INDEX(属性投放!$AM$7:$AM$58,CU972)</f>
        <v>14</v>
      </c>
      <c r="DA972" s="14" t="s">
        <v>537</v>
      </c>
      <c r="DB972" s="14">
        <f>INDEX(属性投放!$AN$7:$AN$58,CU972)</f>
        <v>2</v>
      </c>
      <c r="DC972" s="14">
        <f t="shared" si="1091"/>
        <v>32</v>
      </c>
      <c r="DD972" s="14">
        <f>INDEX(属性投放!$AO$7:$AO$58,DC972)</f>
        <v>98</v>
      </c>
      <c r="DE972" s="14" t="s">
        <v>538</v>
      </c>
      <c r="DF972" s="14">
        <f>INDEX(属性投放!$BK$6:$BK$85,(CV972-2)*20+CZ972)</f>
        <v>270</v>
      </c>
      <c r="DG972" s="14">
        <f>SUMIFS(DF$5:DF972,$CT$5:$CT972,"="&amp;$CT972)</f>
        <v>3205</v>
      </c>
      <c r="DH972" s="14" t="s">
        <v>539</v>
      </c>
      <c r="DI972" s="14">
        <f>INDEX(属性投放!$BL$6:$BL$85,(CV972-2)*20+CZ972)</f>
        <v>135</v>
      </c>
      <c r="DJ972" s="14">
        <f>SUMIFS(DI$5:DI972,$CT$5:$CT972,"="&amp;$CT972)</f>
        <v>1606</v>
      </c>
      <c r="DK972" s="14" t="s">
        <v>540</v>
      </c>
      <c r="DL972" s="14">
        <f>INDEX(属性投放!$BM$6:$BM$85,(CV972-2)*20+CZ972)</f>
        <v>2700</v>
      </c>
      <c r="DM972" s="14">
        <f>SUMIFS(DL$5:DL972,$CT$5:$CT972,"="&amp;$CT972)</f>
        <v>28820</v>
      </c>
    </row>
    <row r="973" spans="97:117" ht="16.5" x14ac:dyDescent="0.2">
      <c r="CS973" s="13">
        <v>969</v>
      </c>
      <c r="CT973" s="13">
        <f t="shared" si="1092"/>
        <v>19</v>
      </c>
      <c r="CU973" s="13">
        <f t="shared" si="1093"/>
        <v>33</v>
      </c>
      <c r="CV973" s="14">
        <f t="shared" si="1094"/>
        <v>2</v>
      </c>
      <c r="CW973" s="14">
        <f t="shared" si="1095"/>
        <v>1102019</v>
      </c>
      <c r="CX973" s="14" t="str">
        <f>INDEX($O$6:$O$50,CT973)&amp;"-"&amp;INDEX(属性投放!$AB$7:$AB$50,CZ973)&amp;"-魂火-"&amp;DB973</f>
        <v>食火蜥-焦热+1-魂火-3</v>
      </c>
      <c r="CY973" s="25" t="s">
        <v>142</v>
      </c>
      <c r="CZ973" s="14">
        <f>INDEX(属性投放!$AM$7:$AM$58,CU973)</f>
        <v>14</v>
      </c>
      <c r="DA973" s="14" t="s">
        <v>537</v>
      </c>
      <c r="DB973" s="14">
        <f>INDEX(属性投放!$AN$7:$AN$58,CU973)</f>
        <v>3</v>
      </c>
      <c r="DC973" s="14">
        <f t="shared" si="1091"/>
        <v>33</v>
      </c>
      <c r="DD973" s="14">
        <f>INDEX(属性投放!$AO$7:$AO$58,DC973)</f>
        <v>100</v>
      </c>
      <c r="DE973" s="14" t="s">
        <v>538</v>
      </c>
      <c r="DF973" s="14">
        <f>INDEX(属性投放!$BK$6:$BK$85,(CV973-2)*20+CZ973)</f>
        <v>270</v>
      </c>
      <c r="DG973" s="14">
        <f>SUMIFS(DF$5:DF973,$CT$5:$CT973,"="&amp;$CT973)</f>
        <v>3475</v>
      </c>
      <c r="DH973" s="14" t="s">
        <v>539</v>
      </c>
      <c r="DI973" s="14">
        <f>INDEX(属性投放!$BL$6:$BL$85,(CV973-2)*20+CZ973)</f>
        <v>135</v>
      </c>
      <c r="DJ973" s="14">
        <f>SUMIFS(DI$5:DI973,$CT$5:$CT973,"="&amp;$CT973)</f>
        <v>1741</v>
      </c>
      <c r="DK973" s="14" t="s">
        <v>540</v>
      </c>
      <c r="DL973" s="14">
        <f>INDEX(属性投放!$BM$6:$BM$85,(CV973-2)*20+CZ973)</f>
        <v>2700</v>
      </c>
      <c r="DM973" s="14">
        <f>SUMIFS(DL$5:DL973,$CT$5:$CT973,"="&amp;$CT973)</f>
        <v>31520</v>
      </c>
    </row>
    <row r="974" spans="97:117" ht="16.5" x14ac:dyDescent="0.2">
      <c r="CS974" s="13">
        <v>970</v>
      </c>
      <c r="CT974" s="13">
        <f t="shared" si="1092"/>
        <v>19</v>
      </c>
      <c r="CU974" s="13">
        <f t="shared" si="1093"/>
        <v>34</v>
      </c>
      <c r="CV974" s="14">
        <f t="shared" si="1094"/>
        <v>2</v>
      </c>
      <c r="CW974" s="14">
        <f t="shared" si="1095"/>
        <v>1102019</v>
      </c>
      <c r="CX974" s="14" t="str">
        <f>INDEX($O$6:$O$50,CT974)&amp;"-"&amp;INDEX(属性投放!$AB$7:$AB$50,CZ974)&amp;"-魂火-"&amp;DB974</f>
        <v>食火蜥-焦热+2-魂火-1</v>
      </c>
      <c r="CY974" s="25" t="s">
        <v>142</v>
      </c>
      <c r="CZ974" s="14">
        <f>INDEX(属性投放!$AM$7:$AM$58,CU974)</f>
        <v>15</v>
      </c>
      <c r="DA974" s="14" t="s">
        <v>537</v>
      </c>
      <c r="DB974" s="14">
        <f>INDEX(属性投放!$AN$7:$AN$58,CU974)</f>
        <v>1</v>
      </c>
      <c r="DC974" s="14">
        <f t="shared" si="1091"/>
        <v>34</v>
      </c>
      <c r="DD974" s="14">
        <f>INDEX(属性投放!$AO$7:$AO$58,DC974)</f>
        <v>103</v>
      </c>
      <c r="DE974" s="14" t="s">
        <v>538</v>
      </c>
      <c r="DF974" s="14">
        <f>INDEX(属性投放!$BK$6:$BK$85,(CV974-2)*20+CZ974)</f>
        <v>350</v>
      </c>
      <c r="DG974" s="14">
        <f>SUMIFS(DF$5:DF974,$CT$5:$CT974,"="&amp;$CT974)</f>
        <v>3825</v>
      </c>
      <c r="DH974" s="14" t="s">
        <v>539</v>
      </c>
      <c r="DI974" s="14">
        <f>INDEX(属性投放!$BL$6:$BL$85,(CV974-2)*20+CZ974)</f>
        <v>175</v>
      </c>
      <c r="DJ974" s="14">
        <f>SUMIFS(DI$5:DI974,$CT$5:$CT974,"="&amp;$CT974)</f>
        <v>1916</v>
      </c>
      <c r="DK974" s="14" t="s">
        <v>540</v>
      </c>
      <c r="DL974" s="14">
        <f>INDEX(属性投放!$BM$6:$BM$85,(CV974-2)*20+CZ974)</f>
        <v>3500</v>
      </c>
      <c r="DM974" s="14">
        <f>SUMIFS(DL$5:DL974,$CT$5:$CT974,"="&amp;$CT974)</f>
        <v>35020</v>
      </c>
    </row>
    <row r="975" spans="97:117" ht="16.5" x14ac:dyDescent="0.2">
      <c r="CS975" s="13">
        <v>971</v>
      </c>
      <c r="CT975" s="13">
        <f t="shared" si="1092"/>
        <v>19</v>
      </c>
      <c r="CU975" s="13">
        <f t="shared" si="1093"/>
        <v>35</v>
      </c>
      <c r="CV975" s="14">
        <f t="shared" si="1094"/>
        <v>2</v>
      </c>
      <c r="CW975" s="14">
        <f t="shared" si="1095"/>
        <v>1102019</v>
      </c>
      <c r="CX975" s="14" t="str">
        <f>INDEX($O$6:$O$50,CT975)&amp;"-"&amp;INDEX(属性投放!$AB$7:$AB$50,CZ975)&amp;"-魂火-"&amp;DB975</f>
        <v>食火蜥-焦热+2-魂火-2</v>
      </c>
      <c r="CY975" s="25" t="s">
        <v>142</v>
      </c>
      <c r="CZ975" s="14">
        <f>INDEX(属性投放!$AM$7:$AM$58,CU975)</f>
        <v>15</v>
      </c>
      <c r="DA975" s="14" t="s">
        <v>537</v>
      </c>
      <c r="DB975" s="14">
        <f>INDEX(属性投放!$AN$7:$AN$58,CU975)</f>
        <v>2</v>
      </c>
      <c r="DC975" s="14">
        <f t="shared" si="1091"/>
        <v>35</v>
      </c>
      <c r="DD975" s="14">
        <f>INDEX(属性投放!$AO$7:$AO$58,DC975)</f>
        <v>105</v>
      </c>
      <c r="DE975" s="14" t="s">
        <v>538</v>
      </c>
      <c r="DF975" s="14">
        <f>INDEX(属性投放!$BK$6:$BK$85,(CV975-2)*20+CZ975)</f>
        <v>350</v>
      </c>
      <c r="DG975" s="14">
        <f>SUMIFS(DF$5:DF975,$CT$5:$CT975,"="&amp;$CT975)</f>
        <v>4175</v>
      </c>
      <c r="DH975" s="14" t="s">
        <v>539</v>
      </c>
      <c r="DI975" s="14">
        <f>INDEX(属性投放!$BL$6:$BL$85,(CV975-2)*20+CZ975)</f>
        <v>175</v>
      </c>
      <c r="DJ975" s="14">
        <f>SUMIFS(DI$5:DI975,$CT$5:$CT975,"="&amp;$CT975)</f>
        <v>2091</v>
      </c>
      <c r="DK975" s="14" t="s">
        <v>540</v>
      </c>
      <c r="DL975" s="14">
        <f>INDEX(属性投放!$BM$6:$BM$85,(CV975-2)*20+CZ975)</f>
        <v>3500</v>
      </c>
      <c r="DM975" s="14">
        <f>SUMIFS(DL$5:DL975,$CT$5:$CT975,"="&amp;$CT975)</f>
        <v>38520</v>
      </c>
    </row>
    <row r="976" spans="97:117" ht="16.5" x14ac:dyDescent="0.2">
      <c r="CS976" s="13">
        <v>972</v>
      </c>
      <c r="CT976" s="13">
        <f t="shared" si="1092"/>
        <v>19</v>
      </c>
      <c r="CU976" s="13">
        <f t="shared" si="1093"/>
        <v>36</v>
      </c>
      <c r="CV976" s="14">
        <f t="shared" si="1094"/>
        <v>2</v>
      </c>
      <c r="CW976" s="14">
        <f t="shared" si="1095"/>
        <v>1102019</v>
      </c>
      <c r="CX976" s="14" t="str">
        <f>INDEX($O$6:$O$50,CT976)&amp;"-"&amp;INDEX(属性投放!$AB$7:$AB$50,CZ976)&amp;"-魂火-"&amp;DB976</f>
        <v>食火蜥-焦热+2-魂火-3</v>
      </c>
      <c r="CY976" s="25" t="s">
        <v>142</v>
      </c>
      <c r="CZ976" s="14">
        <f>INDEX(属性投放!$AM$7:$AM$58,CU976)</f>
        <v>15</v>
      </c>
      <c r="DA976" s="14" t="s">
        <v>537</v>
      </c>
      <c r="DB976" s="14">
        <f>INDEX(属性投放!$AN$7:$AN$58,CU976)</f>
        <v>3</v>
      </c>
      <c r="DC976" s="14">
        <f t="shared" si="1091"/>
        <v>36</v>
      </c>
      <c r="DD976" s="14">
        <f>INDEX(属性投放!$AO$7:$AO$58,DC976)</f>
        <v>108</v>
      </c>
      <c r="DE976" s="14" t="s">
        <v>538</v>
      </c>
      <c r="DF976" s="14">
        <f>INDEX(属性投放!$BK$6:$BK$85,(CV976-2)*20+CZ976)</f>
        <v>350</v>
      </c>
      <c r="DG976" s="14">
        <f>SUMIFS(DF$5:DF976,$CT$5:$CT976,"="&amp;$CT976)</f>
        <v>4525</v>
      </c>
      <c r="DH976" s="14" t="s">
        <v>539</v>
      </c>
      <c r="DI976" s="14">
        <f>INDEX(属性投放!$BL$6:$BL$85,(CV976-2)*20+CZ976)</f>
        <v>175</v>
      </c>
      <c r="DJ976" s="14">
        <f>SUMIFS(DI$5:DI976,$CT$5:$CT976,"="&amp;$CT976)</f>
        <v>2266</v>
      </c>
      <c r="DK976" s="14" t="s">
        <v>540</v>
      </c>
      <c r="DL976" s="14">
        <f>INDEX(属性投放!$BM$6:$BM$85,(CV976-2)*20+CZ976)</f>
        <v>3500</v>
      </c>
      <c r="DM976" s="14">
        <f>SUMIFS(DL$5:DL976,$CT$5:$CT976,"="&amp;$CT976)</f>
        <v>42020</v>
      </c>
    </row>
    <row r="977" spans="97:117" ht="16.5" x14ac:dyDescent="0.2">
      <c r="CS977" s="13">
        <v>973</v>
      </c>
      <c r="CT977" s="13">
        <f t="shared" si="1092"/>
        <v>19</v>
      </c>
      <c r="CU977" s="13">
        <f t="shared" si="1093"/>
        <v>37</v>
      </c>
      <c r="CV977" s="14">
        <f t="shared" si="1094"/>
        <v>2</v>
      </c>
      <c r="CW977" s="14">
        <f t="shared" si="1095"/>
        <v>1102019</v>
      </c>
      <c r="CX977" s="14" t="str">
        <f>INDEX($O$6:$O$50,CT977)&amp;"-"&amp;INDEX(属性投放!$AB$7:$AB$50,CZ977)&amp;"-魂火-"&amp;DB977</f>
        <v>食火蜥-大焦热-魂火-1</v>
      </c>
      <c r="CY977" s="25" t="s">
        <v>142</v>
      </c>
      <c r="CZ977" s="14">
        <f>INDEX(属性投放!$AM$7:$AM$58,CU977)</f>
        <v>16</v>
      </c>
      <c r="DA977" s="14" t="s">
        <v>537</v>
      </c>
      <c r="DB977" s="14">
        <f>INDEX(属性投放!$AN$7:$AN$58,CU977)</f>
        <v>1</v>
      </c>
      <c r="DC977" s="14">
        <f t="shared" si="1091"/>
        <v>37</v>
      </c>
      <c r="DD977" s="14">
        <f>INDEX(属性投放!$AO$7:$AO$58,DC977)</f>
        <v>110</v>
      </c>
      <c r="DE977" s="14" t="s">
        <v>538</v>
      </c>
      <c r="DF977" s="14">
        <f>INDEX(属性投放!$BK$6:$BK$85,(CV977-2)*20+CZ977)</f>
        <v>450</v>
      </c>
      <c r="DG977" s="14">
        <f>SUMIFS(DF$5:DF977,$CT$5:$CT977,"="&amp;$CT977)</f>
        <v>4975</v>
      </c>
      <c r="DH977" s="14" t="s">
        <v>539</v>
      </c>
      <c r="DI977" s="14">
        <f>INDEX(属性投放!$BL$6:$BL$85,(CV977-2)*20+CZ977)</f>
        <v>225</v>
      </c>
      <c r="DJ977" s="14">
        <f>SUMIFS(DI$5:DI977,$CT$5:$CT977,"="&amp;$CT977)</f>
        <v>2491</v>
      </c>
      <c r="DK977" s="14" t="s">
        <v>540</v>
      </c>
      <c r="DL977" s="14">
        <f>INDEX(属性投放!$BM$6:$BM$85,(CV977-2)*20+CZ977)</f>
        <v>4500</v>
      </c>
      <c r="DM977" s="14">
        <f>SUMIFS(DL$5:DL977,$CT$5:$CT977,"="&amp;$CT977)</f>
        <v>46520</v>
      </c>
    </row>
    <row r="978" spans="97:117" ht="16.5" x14ac:dyDescent="0.2">
      <c r="CS978" s="13">
        <v>974</v>
      </c>
      <c r="CT978" s="13">
        <f t="shared" si="1092"/>
        <v>19</v>
      </c>
      <c r="CU978" s="13">
        <f t="shared" si="1093"/>
        <v>38</v>
      </c>
      <c r="CV978" s="14">
        <f t="shared" si="1094"/>
        <v>2</v>
      </c>
      <c r="CW978" s="14">
        <f t="shared" si="1095"/>
        <v>1102019</v>
      </c>
      <c r="CX978" s="14" t="str">
        <f>INDEX($O$6:$O$50,CT978)&amp;"-"&amp;INDEX(属性投放!$AB$7:$AB$50,CZ978)&amp;"-魂火-"&amp;DB978</f>
        <v>食火蜥-大焦热-魂火-2</v>
      </c>
      <c r="CY978" s="25" t="s">
        <v>142</v>
      </c>
      <c r="CZ978" s="14">
        <f>INDEX(属性投放!$AM$7:$AM$58,CU978)</f>
        <v>16</v>
      </c>
      <c r="DA978" s="14" t="s">
        <v>537</v>
      </c>
      <c r="DB978" s="14">
        <f>INDEX(属性投放!$AN$7:$AN$58,CU978)</f>
        <v>2</v>
      </c>
      <c r="DC978" s="14">
        <f t="shared" si="1091"/>
        <v>38</v>
      </c>
      <c r="DD978" s="14">
        <f>INDEX(属性投放!$AO$7:$AO$58,DC978)</f>
        <v>113</v>
      </c>
      <c r="DE978" s="14" t="s">
        <v>538</v>
      </c>
      <c r="DF978" s="14">
        <f>INDEX(属性投放!$BK$6:$BK$85,(CV978-2)*20+CZ978)</f>
        <v>450</v>
      </c>
      <c r="DG978" s="14">
        <f>SUMIFS(DF$5:DF978,$CT$5:$CT978,"="&amp;$CT978)</f>
        <v>5425</v>
      </c>
      <c r="DH978" s="14" t="s">
        <v>539</v>
      </c>
      <c r="DI978" s="14">
        <f>INDEX(属性投放!$BL$6:$BL$85,(CV978-2)*20+CZ978)</f>
        <v>225</v>
      </c>
      <c r="DJ978" s="14">
        <f>SUMIFS(DI$5:DI978,$CT$5:$CT978,"="&amp;$CT978)</f>
        <v>2716</v>
      </c>
      <c r="DK978" s="14" t="s">
        <v>540</v>
      </c>
      <c r="DL978" s="14">
        <f>INDEX(属性投放!$BM$6:$BM$85,(CV978-2)*20+CZ978)</f>
        <v>4500</v>
      </c>
      <c r="DM978" s="14">
        <f>SUMIFS(DL$5:DL978,$CT$5:$CT978,"="&amp;$CT978)</f>
        <v>51020</v>
      </c>
    </row>
    <row r="979" spans="97:117" ht="16.5" x14ac:dyDescent="0.2">
      <c r="CS979" s="13">
        <v>975</v>
      </c>
      <c r="CT979" s="13">
        <f t="shared" si="1092"/>
        <v>19</v>
      </c>
      <c r="CU979" s="13">
        <f t="shared" si="1093"/>
        <v>39</v>
      </c>
      <c r="CV979" s="14">
        <f t="shared" si="1094"/>
        <v>2</v>
      </c>
      <c r="CW979" s="14">
        <f t="shared" si="1095"/>
        <v>1102019</v>
      </c>
      <c r="CX979" s="14" t="str">
        <f>INDEX($O$6:$O$50,CT979)&amp;"-"&amp;INDEX(属性投放!$AB$7:$AB$50,CZ979)&amp;"-魂火-"&amp;DB979</f>
        <v>食火蜥-大焦热-魂火-3</v>
      </c>
      <c r="CY979" s="25" t="s">
        <v>142</v>
      </c>
      <c r="CZ979" s="14">
        <f>INDEX(属性投放!$AM$7:$AM$58,CU979)</f>
        <v>16</v>
      </c>
      <c r="DA979" s="14" t="s">
        <v>537</v>
      </c>
      <c r="DB979" s="14">
        <f>INDEX(属性投放!$AN$7:$AN$58,CU979)</f>
        <v>3</v>
      </c>
      <c r="DC979" s="14">
        <f t="shared" si="1091"/>
        <v>39</v>
      </c>
      <c r="DD979" s="14">
        <f>INDEX(属性投放!$AO$7:$AO$58,DC979)</f>
        <v>115</v>
      </c>
      <c r="DE979" s="14" t="s">
        <v>538</v>
      </c>
      <c r="DF979" s="14">
        <f>INDEX(属性投放!$BK$6:$BK$85,(CV979-2)*20+CZ979)</f>
        <v>450</v>
      </c>
      <c r="DG979" s="14">
        <f>SUMIFS(DF$5:DF979,$CT$5:$CT979,"="&amp;$CT979)</f>
        <v>5875</v>
      </c>
      <c r="DH979" s="14" t="s">
        <v>539</v>
      </c>
      <c r="DI979" s="14">
        <f>INDEX(属性投放!$BL$6:$BL$85,(CV979-2)*20+CZ979)</f>
        <v>225</v>
      </c>
      <c r="DJ979" s="14">
        <f>SUMIFS(DI$5:DI979,$CT$5:$CT979,"="&amp;$CT979)</f>
        <v>2941</v>
      </c>
      <c r="DK979" s="14" t="s">
        <v>540</v>
      </c>
      <c r="DL979" s="14">
        <f>INDEX(属性投放!$BM$6:$BM$85,(CV979-2)*20+CZ979)</f>
        <v>4500</v>
      </c>
      <c r="DM979" s="14">
        <f>SUMIFS(DL$5:DL979,$CT$5:$CT979,"="&amp;$CT979)</f>
        <v>55520</v>
      </c>
    </row>
    <row r="980" spans="97:117" ht="16.5" x14ac:dyDescent="0.2">
      <c r="CS980" s="13">
        <v>976</v>
      </c>
      <c r="CT980" s="13">
        <f t="shared" si="1092"/>
        <v>19</v>
      </c>
      <c r="CU980" s="13">
        <f t="shared" si="1093"/>
        <v>40</v>
      </c>
      <c r="CV980" s="14">
        <f t="shared" si="1094"/>
        <v>2</v>
      </c>
      <c r="CW980" s="14">
        <f t="shared" si="1095"/>
        <v>1102019</v>
      </c>
      <c r="CX980" s="14" t="str">
        <f>INDEX($O$6:$O$50,CT980)&amp;"-"&amp;INDEX(属性投放!$AB$7:$AB$50,CZ980)&amp;"-魂火-"&amp;DB980</f>
        <v>食火蜥-大焦热+1-魂火-1</v>
      </c>
      <c r="CY980" s="25" t="s">
        <v>142</v>
      </c>
      <c r="CZ980" s="14">
        <f>INDEX(属性投放!$AM$7:$AM$58,CU980)</f>
        <v>17</v>
      </c>
      <c r="DA980" s="14" t="s">
        <v>537</v>
      </c>
      <c r="DB980" s="14">
        <f>INDEX(属性投放!$AN$7:$AN$58,CU980)</f>
        <v>1</v>
      </c>
      <c r="DC980" s="14">
        <f t="shared" si="1091"/>
        <v>40</v>
      </c>
      <c r="DD980" s="14">
        <f>INDEX(属性投放!$AO$7:$AO$58,DC980)</f>
        <v>118</v>
      </c>
      <c r="DE980" s="14" t="s">
        <v>538</v>
      </c>
      <c r="DF980" s="14">
        <f>INDEX(属性投放!$BK$6:$BK$85,(CV980-2)*20+CZ980)</f>
        <v>550</v>
      </c>
      <c r="DG980" s="14">
        <f>SUMIFS(DF$5:DF980,$CT$5:$CT980,"="&amp;$CT980)</f>
        <v>6425</v>
      </c>
      <c r="DH980" s="14" t="s">
        <v>539</v>
      </c>
      <c r="DI980" s="14">
        <f>INDEX(属性投放!$BL$6:$BL$85,(CV980-2)*20+CZ980)</f>
        <v>275</v>
      </c>
      <c r="DJ980" s="14">
        <f>SUMIFS(DI$5:DI980,$CT$5:$CT980,"="&amp;$CT980)</f>
        <v>3216</v>
      </c>
      <c r="DK980" s="14" t="s">
        <v>540</v>
      </c>
      <c r="DL980" s="14">
        <f>INDEX(属性投放!$BM$6:$BM$85,(CV980-2)*20+CZ980)</f>
        <v>5500</v>
      </c>
      <c r="DM980" s="14">
        <f>SUMIFS(DL$5:DL980,$CT$5:$CT980,"="&amp;$CT980)</f>
        <v>61020</v>
      </c>
    </row>
    <row r="981" spans="97:117" ht="16.5" x14ac:dyDescent="0.2">
      <c r="CS981" s="13">
        <v>977</v>
      </c>
      <c r="CT981" s="13">
        <f t="shared" si="1092"/>
        <v>19</v>
      </c>
      <c r="CU981" s="13">
        <f t="shared" si="1093"/>
        <v>41</v>
      </c>
      <c r="CV981" s="14">
        <f t="shared" si="1094"/>
        <v>2</v>
      </c>
      <c r="CW981" s="14">
        <f t="shared" si="1095"/>
        <v>1102019</v>
      </c>
      <c r="CX981" s="14" t="str">
        <f>INDEX($O$6:$O$50,CT981)&amp;"-"&amp;INDEX(属性投放!$AB$7:$AB$50,CZ981)&amp;"-魂火-"&amp;DB981</f>
        <v>食火蜥-大焦热+1-魂火-2</v>
      </c>
      <c r="CY981" s="25" t="s">
        <v>142</v>
      </c>
      <c r="CZ981" s="14">
        <f>INDEX(属性投放!$AM$7:$AM$58,CU981)</f>
        <v>17</v>
      </c>
      <c r="DA981" s="14" t="s">
        <v>537</v>
      </c>
      <c r="DB981" s="14">
        <f>INDEX(属性投放!$AN$7:$AN$58,CU981)</f>
        <v>2</v>
      </c>
      <c r="DC981" s="14">
        <f t="shared" si="1091"/>
        <v>41</v>
      </c>
      <c r="DD981" s="14">
        <f>INDEX(属性投放!$AO$7:$AO$58,DC981)</f>
        <v>120</v>
      </c>
      <c r="DE981" s="14" t="s">
        <v>538</v>
      </c>
      <c r="DF981" s="14">
        <f>INDEX(属性投放!$BK$6:$BK$85,(CV981-2)*20+CZ981)</f>
        <v>550</v>
      </c>
      <c r="DG981" s="14">
        <f>SUMIFS(DF$5:DF981,$CT$5:$CT981,"="&amp;$CT981)</f>
        <v>6975</v>
      </c>
      <c r="DH981" s="14" t="s">
        <v>539</v>
      </c>
      <c r="DI981" s="14">
        <f>INDEX(属性投放!$BL$6:$BL$85,(CV981-2)*20+CZ981)</f>
        <v>275</v>
      </c>
      <c r="DJ981" s="14">
        <f>SUMIFS(DI$5:DI981,$CT$5:$CT981,"="&amp;$CT981)</f>
        <v>3491</v>
      </c>
      <c r="DK981" s="14" t="s">
        <v>540</v>
      </c>
      <c r="DL981" s="14">
        <f>INDEX(属性投放!$BM$6:$BM$85,(CV981-2)*20+CZ981)</f>
        <v>5500</v>
      </c>
      <c r="DM981" s="14">
        <f>SUMIFS(DL$5:DL981,$CT$5:$CT981,"="&amp;$CT981)</f>
        <v>66520</v>
      </c>
    </row>
    <row r="982" spans="97:117" ht="16.5" x14ac:dyDescent="0.2">
      <c r="CS982" s="13">
        <v>978</v>
      </c>
      <c r="CT982" s="13">
        <f t="shared" si="1092"/>
        <v>19</v>
      </c>
      <c r="CU982" s="13">
        <f t="shared" si="1093"/>
        <v>42</v>
      </c>
      <c r="CV982" s="14">
        <f t="shared" si="1094"/>
        <v>2</v>
      </c>
      <c r="CW982" s="14">
        <f t="shared" si="1095"/>
        <v>1102019</v>
      </c>
      <c r="CX982" s="14" t="str">
        <f>INDEX($O$6:$O$50,CT982)&amp;"-"&amp;INDEX(属性投放!$AB$7:$AB$50,CZ982)&amp;"-魂火-"&amp;DB982</f>
        <v>食火蜥-大焦热+1-魂火-3</v>
      </c>
      <c r="CY982" s="25" t="s">
        <v>142</v>
      </c>
      <c r="CZ982" s="14">
        <f>INDEX(属性投放!$AM$7:$AM$58,CU982)</f>
        <v>17</v>
      </c>
      <c r="DA982" s="14" t="s">
        <v>537</v>
      </c>
      <c r="DB982" s="14">
        <f>INDEX(属性投放!$AN$7:$AN$58,CU982)</f>
        <v>3</v>
      </c>
      <c r="DC982" s="14">
        <f t="shared" si="1091"/>
        <v>42</v>
      </c>
      <c r="DD982" s="14">
        <f>INDEX(属性投放!$AO$7:$AO$58,DC982)</f>
        <v>123</v>
      </c>
      <c r="DE982" s="14" t="s">
        <v>538</v>
      </c>
      <c r="DF982" s="14">
        <f>INDEX(属性投放!$BK$6:$BK$85,(CV982-2)*20+CZ982)</f>
        <v>550</v>
      </c>
      <c r="DG982" s="14">
        <f>SUMIFS(DF$5:DF982,$CT$5:$CT982,"="&amp;$CT982)</f>
        <v>7525</v>
      </c>
      <c r="DH982" s="14" t="s">
        <v>539</v>
      </c>
      <c r="DI982" s="14">
        <f>INDEX(属性投放!$BL$6:$BL$85,(CV982-2)*20+CZ982)</f>
        <v>275</v>
      </c>
      <c r="DJ982" s="14">
        <f>SUMIFS(DI$5:DI982,$CT$5:$CT982,"="&amp;$CT982)</f>
        <v>3766</v>
      </c>
      <c r="DK982" s="14" t="s">
        <v>540</v>
      </c>
      <c r="DL982" s="14">
        <f>INDEX(属性投放!$BM$6:$BM$85,(CV982-2)*20+CZ982)</f>
        <v>5500</v>
      </c>
      <c r="DM982" s="14">
        <f>SUMIFS(DL$5:DL982,$CT$5:$CT982,"="&amp;$CT982)</f>
        <v>72020</v>
      </c>
    </row>
    <row r="983" spans="97:117" ht="16.5" x14ac:dyDescent="0.2">
      <c r="CS983" s="13">
        <v>979</v>
      </c>
      <c r="CT983" s="13">
        <f t="shared" si="1092"/>
        <v>19</v>
      </c>
      <c r="CU983" s="13">
        <f t="shared" si="1093"/>
        <v>43</v>
      </c>
      <c r="CV983" s="14">
        <f t="shared" si="1094"/>
        <v>2</v>
      </c>
      <c r="CW983" s="14">
        <f t="shared" si="1095"/>
        <v>1102019</v>
      </c>
      <c r="CX983" s="14" t="str">
        <f>INDEX($O$6:$O$50,CT983)&amp;"-"&amp;INDEX(属性投放!$AB$7:$AB$50,CZ983)&amp;"-魂火-"&amp;DB983</f>
        <v>食火蜥-大焦热+2-魂火-1</v>
      </c>
      <c r="CY983" s="25" t="s">
        <v>142</v>
      </c>
      <c r="CZ983" s="14">
        <f>INDEX(属性投放!$AM$7:$AM$58,CU983)</f>
        <v>18</v>
      </c>
      <c r="DA983" s="14" t="s">
        <v>537</v>
      </c>
      <c r="DB983" s="14">
        <f>INDEX(属性投放!$AN$7:$AN$58,CU983)</f>
        <v>1</v>
      </c>
      <c r="DC983" s="14">
        <f t="shared" si="1091"/>
        <v>43</v>
      </c>
      <c r="DD983" s="14">
        <f>INDEX(属性投放!$AO$7:$AO$58,DC983)</f>
        <v>125</v>
      </c>
      <c r="DE983" s="14" t="s">
        <v>538</v>
      </c>
      <c r="DF983" s="14">
        <f>INDEX(属性投放!$BK$6:$BK$85,(CV983-2)*20+CZ983)</f>
        <v>680</v>
      </c>
      <c r="DG983" s="14">
        <f>SUMIFS(DF$5:DF983,$CT$5:$CT983,"="&amp;$CT983)</f>
        <v>8205</v>
      </c>
      <c r="DH983" s="14" t="s">
        <v>539</v>
      </c>
      <c r="DI983" s="14">
        <f>INDEX(属性投放!$BL$6:$BL$85,(CV983-2)*20+CZ983)</f>
        <v>340</v>
      </c>
      <c r="DJ983" s="14">
        <f>SUMIFS(DI$5:DI983,$CT$5:$CT983,"="&amp;$CT983)</f>
        <v>4106</v>
      </c>
      <c r="DK983" s="14" t="s">
        <v>540</v>
      </c>
      <c r="DL983" s="14">
        <f>INDEX(属性投放!$BM$6:$BM$85,(CV983-2)*20+CZ983)</f>
        <v>6800</v>
      </c>
      <c r="DM983" s="14">
        <f>SUMIFS(DL$5:DL983,$CT$5:$CT983,"="&amp;$CT983)</f>
        <v>78820</v>
      </c>
    </row>
    <row r="984" spans="97:117" ht="16.5" x14ac:dyDescent="0.2">
      <c r="CS984" s="13">
        <v>980</v>
      </c>
      <c r="CT984" s="13">
        <f t="shared" si="1092"/>
        <v>19</v>
      </c>
      <c r="CU984" s="13">
        <f t="shared" si="1093"/>
        <v>44</v>
      </c>
      <c r="CV984" s="14">
        <f t="shared" si="1094"/>
        <v>2</v>
      </c>
      <c r="CW984" s="14">
        <f t="shared" si="1095"/>
        <v>1102019</v>
      </c>
      <c r="CX984" s="14" t="str">
        <f>INDEX($O$6:$O$50,CT984)&amp;"-"&amp;INDEX(属性投放!$AB$7:$AB$50,CZ984)&amp;"-魂火-"&amp;DB984</f>
        <v>食火蜥-大焦热+2-魂火-2</v>
      </c>
      <c r="CY984" s="25" t="s">
        <v>142</v>
      </c>
      <c r="CZ984" s="14">
        <f>INDEX(属性投放!$AM$7:$AM$58,CU984)</f>
        <v>18</v>
      </c>
      <c r="DA984" s="14" t="s">
        <v>537</v>
      </c>
      <c r="DB984" s="14">
        <f>INDEX(属性投放!$AN$7:$AN$58,CU984)</f>
        <v>2</v>
      </c>
      <c r="DC984" s="14">
        <f t="shared" si="1091"/>
        <v>44</v>
      </c>
      <c r="DD984" s="14">
        <f>INDEX(属性投放!$AO$7:$AO$58,DC984)</f>
        <v>128</v>
      </c>
      <c r="DE984" s="14" t="s">
        <v>538</v>
      </c>
      <c r="DF984" s="14">
        <f>INDEX(属性投放!$BK$6:$BK$85,(CV984-2)*20+CZ984)</f>
        <v>680</v>
      </c>
      <c r="DG984" s="14">
        <f>SUMIFS(DF$5:DF984,$CT$5:$CT984,"="&amp;$CT984)</f>
        <v>8885</v>
      </c>
      <c r="DH984" s="14" t="s">
        <v>539</v>
      </c>
      <c r="DI984" s="14">
        <f>INDEX(属性投放!$BL$6:$BL$85,(CV984-2)*20+CZ984)</f>
        <v>340</v>
      </c>
      <c r="DJ984" s="14">
        <f>SUMIFS(DI$5:DI984,$CT$5:$CT984,"="&amp;$CT984)</f>
        <v>4446</v>
      </c>
      <c r="DK984" s="14" t="s">
        <v>540</v>
      </c>
      <c r="DL984" s="14">
        <f>INDEX(属性投放!$BM$6:$BM$85,(CV984-2)*20+CZ984)</f>
        <v>6800</v>
      </c>
      <c r="DM984" s="14">
        <f>SUMIFS(DL$5:DL984,$CT$5:$CT984,"="&amp;$CT984)</f>
        <v>85620</v>
      </c>
    </row>
    <row r="985" spans="97:117" ht="16.5" x14ac:dyDescent="0.2">
      <c r="CS985" s="13">
        <v>981</v>
      </c>
      <c r="CT985" s="13">
        <f t="shared" si="1092"/>
        <v>19</v>
      </c>
      <c r="CU985" s="13">
        <f t="shared" si="1093"/>
        <v>45</v>
      </c>
      <c r="CV985" s="14">
        <f t="shared" si="1094"/>
        <v>2</v>
      </c>
      <c r="CW985" s="14">
        <f t="shared" si="1095"/>
        <v>1102019</v>
      </c>
      <c r="CX985" s="14" t="str">
        <f>INDEX($O$6:$O$50,CT985)&amp;"-"&amp;INDEX(属性投放!$AB$7:$AB$50,CZ985)&amp;"-魂火-"&amp;DB985</f>
        <v>食火蜥-大焦热+2-魂火-3</v>
      </c>
      <c r="CY985" s="25" t="s">
        <v>142</v>
      </c>
      <c r="CZ985" s="14">
        <f>INDEX(属性投放!$AM$7:$AM$58,CU985)</f>
        <v>18</v>
      </c>
      <c r="DA985" s="14" t="s">
        <v>537</v>
      </c>
      <c r="DB985" s="14">
        <f>INDEX(属性投放!$AN$7:$AN$58,CU985)</f>
        <v>3</v>
      </c>
      <c r="DC985" s="14">
        <f t="shared" si="1091"/>
        <v>45</v>
      </c>
      <c r="DD985" s="14">
        <f>INDEX(属性投放!$AO$7:$AO$58,DC985)</f>
        <v>130</v>
      </c>
      <c r="DE985" s="14" t="s">
        <v>538</v>
      </c>
      <c r="DF985" s="14">
        <f>INDEX(属性投放!$BK$6:$BK$85,(CV985-2)*20+CZ985)</f>
        <v>680</v>
      </c>
      <c r="DG985" s="14">
        <f>SUMIFS(DF$5:DF985,$CT$5:$CT985,"="&amp;$CT985)</f>
        <v>9565</v>
      </c>
      <c r="DH985" s="14" t="s">
        <v>539</v>
      </c>
      <c r="DI985" s="14">
        <f>INDEX(属性投放!$BL$6:$BL$85,(CV985-2)*20+CZ985)</f>
        <v>340</v>
      </c>
      <c r="DJ985" s="14">
        <f>SUMIFS(DI$5:DI985,$CT$5:$CT985,"="&amp;$CT985)</f>
        <v>4786</v>
      </c>
      <c r="DK985" s="14" t="s">
        <v>540</v>
      </c>
      <c r="DL985" s="14">
        <f>INDEX(属性投放!$BM$6:$BM$85,(CV985-2)*20+CZ985)</f>
        <v>6800</v>
      </c>
      <c r="DM985" s="14">
        <f>SUMIFS(DL$5:DL985,$CT$5:$CT985,"="&amp;$CT985)</f>
        <v>92420</v>
      </c>
    </row>
    <row r="986" spans="97:117" ht="16.5" x14ac:dyDescent="0.2">
      <c r="CS986" s="13">
        <v>982</v>
      </c>
      <c r="CT986" s="13">
        <f t="shared" si="1092"/>
        <v>19</v>
      </c>
      <c r="CU986" s="13">
        <f t="shared" si="1093"/>
        <v>46</v>
      </c>
      <c r="CV986" s="14">
        <f t="shared" si="1094"/>
        <v>2</v>
      </c>
      <c r="CW986" s="14">
        <f t="shared" si="1095"/>
        <v>1102019</v>
      </c>
      <c r="CX986" s="14" t="str">
        <f>INDEX($O$6:$O$50,CT986)&amp;"-"&amp;INDEX(属性投放!$AB$7:$AB$50,CZ986)&amp;"-魂火-"&amp;DB986</f>
        <v>食火蜥-无间-魂火-1</v>
      </c>
      <c r="CY986" s="25" t="s">
        <v>142</v>
      </c>
      <c r="CZ986" s="14">
        <f>INDEX(属性投放!$AM$7:$AM$58,CU986)</f>
        <v>19</v>
      </c>
      <c r="DA986" s="14" t="s">
        <v>537</v>
      </c>
      <c r="DB986" s="14">
        <f>INDEX(属性投放!$AN$7:$AN$58,CU986)</f>
        <v>1</v>
      </c>
      <c r="DC986" s="14">
        <f t="shared" si="1091"/>
        <v>46</v>
      </c>
      <c r="DD986" s="14">
        <f>INDEX(属性投放!$AO$7:$AO$58,DC986)</f>
        <v>133</v>
      </c>
      <c r="DE986" s="14" t="s">
        <v>538</v>
      </c>
      <c r="DF986" s="14">
        <f>INDEX(属性投放!$BK$6:$BK$85,(CV986-2)*20+CZ986)</f>
        <v>850</v>
      </c>
      <c r="DG986" s="14">
        <f>SUMIFS(DF$5:DF986,$CT$5:$CT986,"="&amp;$CT986)</f>
        <v>10415</v>
      </c>
      <c r="DH986" s="14" t="s">
        <v>539</v>
      </c>
      <c r="DI986" s="14">
        <f>INDEX(属性投放!$BL$6:$BL$85,(CV986-2)*20+CZ986)</f>
        <v>425</v>
      </c>
      <c r="DJ986" s="14">
        <f>SUMIFS(DI$5:DI986,$CT$5:$CT986,"="&amp;$CT986)</f>
        <v>5211</v>
      </c>
      <c r="DK986" s="14" t="s">
        <v>540</v>
      </c>
      <c r="DL986" s="14">
        <f>INDEX(属性投放!$BM$6:$BM$85,(CV986-2)*20+CZ986)</f>
        <v>8500</v>
      </c>
      <c r="DM986" s="14">
        <f>SUMIFS(DL$5:DL986,$CT$5:$CT986,"="&amp;$CT986)</f>
        <v>100920</v>
      </c>
    </row>
    <row r="987" spans="97:117" ht="16.5" x14ac:dyDescent="0.2">
      <c r="CS987" s="13">
        <v>983</v>
      </c>
      <c r="CT987" s="13">
        <f t="shared" si="1092"/>
        <v>19</v>
      </c>
      <c r="CU987" s="13">
        <f t="shared" si="1093"/>
        <v>47</v>
      </c>
      <c r="CV987" s="14">
        <f t="shared" si="1094"/>
        <v>2</v>
      </c>
      <c r="CW987" s="14">
        <f t="shared" si="1095"/>
        <v>1102019</v>
      </c>
      <c r="CX987" s="14" t="str">
        <f>INDEX($O$6:$O$50,CT987)&amp;"-"&amp;INDEX(属性投放!$AB$7:$AB$50,CZ987)&amp;"-魂火-"&amp;DB987</f>
        <v>食火蜥-无间-魂火-2</v>
      </c>
      <c r="CY987" s="25" t="s">
        <v>142</v>
      </c>
      <c r="CZ987" s="14">
        <f>INDEX(属性投放!$AM$7:$AM$58,CU987)</f>
        <v>19</v>
      </c>
      <c r="DA987" s="14" t="s">
        <v>537</v>
      </c>
      <c r="DB987" s="14">
        <f>INDEX(属性投放!$AN$7:$AN$58,CU987)</f>
        <v>2</v>
      </c>
      <c r="DC987" s="14">
        <f t="shared" si="1091"/>
        <v>47</v>
      </c>
      <c r="DD987" s="14">
        <f>INDEX(属性投放!$AO$7:$AO$58,DC987)</f>
        <v>135</v>
      </c>
      <c r="DE987" s="14" t="s">
        <v>538</v>
      </c>
      <c r="DF987" s="14">
        <f>INDEX(属性投放!$BK$6:$BK$85,(CV987-2)*20+CZ987)</f>
        <v>850</v>
      </c>
      <c r="DG987" s="14">
        <f>SUMIFS(DF$5:DF987,$CT$5:$CT987,"="&amp;$CT987)</f>
        <v>11265</v>
      </c>
      <c r="DH987" s="14" t="s">
        <v>539</v>
      </c>
      <c r="DI987" s="14">
        <f>INDEX(属性投放!$BL$6:$BL$85,(CV987-2)*20+CZ987)</f>
        <v>425</v>
      </c>
      <c r="DJ987" s="14">
        <f>SUMIFS(DI$5:DI987,$CT$5:$CT987,"="&amp;$CT987)</f>
        <v>5636</v>
      </c>
      <c r="DK987" s="14" t="s">
        <v>540</v>
      </c>
      <c r="DL987" s="14">
        <f>INDEX(属性投放!$BM$6:$BM$85,(CV987-2)*20+CZ987)</f>
        <v>8500</v>
      </c>
      <c r="DM987" s="14">
        <f>SUMIFS(DL$5:DL987,$CT$5:$CT987,"="&amp;$CT987)</f>
        <v>109420</v>
      </c>
    </row>
    <row r="988" spans="97:117" ht="16.5" x14ac:dyDescent="0.2">
      <c r="CS988" s="13">
        <v>984</v>
      </c>
      <c r="CT988" s="13">
        <f t="shared" si="1092"/>
        <v>19</v>
      </c>
      <c r="CU988" s="13">
        <f t="shared" si="1093"/>
        <v>48</v>
      </c>
      <c r="CV988" s="14">
        <f t="shared" si="1094"/>
        <v>2</v>
      </c>
      <c r="CW988" s="14">
        <f t="shared" si="1095"/>
        <v>1102019</v>
      </c>
      <c r="CX988" s="14" t="str">
        <f>INDEX($O$6:$O$50,CT988)&amp;"-"&amp;INDEX(属性投放!$AB$7:$AB$50,CZ988)&amp;"-魂火-"&amp;DB988</f>
        <v>食火蜥-无间-魂火-3</v>
      </c>
      <c r="CY988" s="25" t="s">
        <v>142</v>
      </c>
      <c r="CZ988" s="14">
        <f>INDEX(属性投放!$AM$7:$AM$58,CU988)</f>
        <v>19</v>
      </c>
      <c r="DA988" s="14" t="s">
        <v>537</v>
      </c>
      <c r="DB988" s="14">
        <f>INDEX(属性投放!$AN$7:$AN$58,CU988)</f>
        <v>3</v>
      </c>
      <c r="DC988" s="14">
        <f t="shared" si="1091"/>
        <v>48</v>
      </c>
      <c r="DD988" s="14">
        <f>INDEX(属性投放!$AO$7:$AO$58,DC988)</f>
        <v>138</v>
      </c>
      <c r="DE988" s="14" t="s">
        <v>538</v>
      </c>
      <c r="DF988" s="14">
        <f>INDEX(属性投放!$BK$6:$BK$85,(CV988-2)*20+CZ988)</f>
        <v>850</v>
      </c>
      <c r="DG988" s="14">
        <f>SUMIFS(DF$5:DF988,$CT$5:$CT988,"="&amp;$CT988)</f>
        <v>12115</v>
      </c>
      <c r="DH988" s="14" t="s">
        <v>539</v>
      </c>
      <c r="DI988" s="14">
        <f>INDEX(属性投放!$BL$6:$BL$85,(CV988-2)*20+CZ988)</f>
        <v>425</v>
      </c>
      <c r="DJ988" s="14">
        <f>SUMIFS(DI$5:DI988,$CT$5:$CT988,"="&amp;$CT988)</f>
        <v>6061</v>
      </c>
      <c r="DK988" s="14" t="s">
        <v>540</v>
      </c>
      <c r="DL988" s="14">
        <f>INDEX(属性投放!$BM$6:$BM$85,(CV988-2)*20+CZ988)</f>
        <v>8500</v>
      </c>
      <c r="DM988" s="14">
        <f>SUMIFS(DL$5:DL988,$CT$5:$CT988,"="&amp;$CT988)</f>
        <v>117920</v>
      </c>
    </row>
    <row r="989" spans="97:117" ht="16.5" x14ac:dyDescent="0.2">
      <c r="CS989" s="13">
        <v>985</v>
      </c>
      <c r="CT989" s="13">
        <f t="shared" si="1092"/>
        <v>19</v>
      </c>
      <c r="CU989" s="13">
        <f t="shared" si="1093"/>
        <v>49</v>
      </c>
      <c r="CV989" s="14">
        <f t="shared" si="1094"/>
        <v>2</v>
      </c>
      <c r="CW989" s="14">
        <f t="shared" si="1095"/>
        <v>1102019</v>
      </c>
      <c r="CX989" s="14" t="str">
        <f>INDEX($O$6:$O$50,CT989)&amp;"-"&amp;INDEX(属性投放!$AB$7:$AB$50,CZ989)&amp;"-魂火-"&amp;DB989</f>
        <v>食火蜥-无间+1-魂火-1</v>
      </c>
      <c r="CY989" s="25" t="s">
        <v>142</v>
      </c>
      <c r="CZ989" s="14">
        <f>INDEX(属性投放!$AM$7:$AM$58,CU989)</f>
        <v>20</v>
      </c>
      <c r="DA989" s="14" t="s">
        <v>537</v>
      </c>
      <c r="DB989" s="14">
        <f>INDEX(属性投放!$AN$7:$AN$58,CU989)</f>
        <v>1</v>
      </c>
      <c r="DC989" s="14">
        <f t="shared" si="1091"/>
        <v>49</v>
      </c>
      <c r="DD989" s="14">
        <f>INDEX(属性投放!$AO$7:$AO$58,DC989)</f>
        <v>140</v>
      </c>
      <c r="DE989" s="14" t="s">
        <v>538</v>
      </c>
      <c r="DF989" s="14">
        <f>INDEX(属性投放!$BK$6:$BK$85,(CV989-2)*20+CZ989)</f>
        <v>1000</v>
      </c>
      <c r="DG989" s="14">
        <f>SUMIFS(DF$5:DF989,$CT$5:$CT989,"="&amp;$CT989)</f>
        <v>13115</v>
      </c>
      <c r="DH989" s="14" t="s">
        <v>539</v>
      </c>
      <c r="DI989" s="14">
        <f>INDEX(属性投放!$BL$6:$BL$85,(CV989-2)*20+CZ989)</f>
        <v>500</v>
      </c>
      <c r="DJ989" s="14">
        <f>SUMIFS(DI$5:DI989,$CT$5:$CT989,"="&amp;$CT989)</f>
        <v>6561</v>
      </c>
      <c r="DK989" s="14" t="s">
        <v>540</v>
      </c>
      <c r="DL989" s="14">
        <f>INDEX(属性投放!$BM$6:$BM$85,(CV989-2)*20+CZ989)</f>
        <v>10000</v>
      </c>
      <c r="DM989" s="14">
        <f>SUMIFS(DL$5:DL989,$CT$5:$CT989,"="&amp;$CT989)</f>
        <v>127920</v>
      </c>
    </row>
    <row r="990" spans="97:117" ht="16.5" x14ac:dyDescent="0.2">
      <c r="CS990" s="13">
        <v>986</v>
      </c>
      <c r="CT990" s="13">
        <f t="shared" si="1092"/>
        <v>19</v>
      </c>
      <c r="CU990" s="13">
        <f t="shared" si="1093"/>
        <v>50</v>
      </c>
      <c r="CV990" s="14">
        <f t="shared" si="1094"/>
        <v>2</v>
      </c>
      <c r="CW990" s="14">
        <f t="shared" si="1095"/>
        <v>1102019</v>
      </c>
      <c r="CX990" s="14" t="str">
        <f>INDEX($O$6:$O$50,CT990)&amp;"-"&amp;INDEX(属性投放!$AB$7:$AB$50,CZ990)&amp;"-魂火-"&amp;DB990</f>
        <v>食火蜥-无间+1-魂火-2</v>
      </c>
      <c r="CY990" s="25" t="s">
        <v>142</v>
      </c>
      <c r="CZ990" s="14">
        <f>INDEX(属性投放!$AM$7:$AM$58,CU990)</f>
        <v>20</v>
      </c>
      <c r="DA990" s="14" t="s">
        <v>537</v>
      </c>
      <c r="DB990" s="14">
        <f>INDEX(属性投放!$AN$7:$AN$58,CU990)</f>
        <v>2</v>
      </c>
      <c r="DC990" s="14">
        <f t="shared" si="1091"/>
        <v>50</v>
      </c>
      <c r="DD990" s="14">
        <f>INDEX(属性投放!$AO$7:$AO$58,DC990)</f>
        <v>143</v>
      </c>
      <c r="DE990" s="14" t="s">
        <v>538</v>
      </c>
      <c r="DF990" s="14">
        <f>INDEX(属性投放!$BK$6:$BK$85,(CV990-2)*20+CZ990)</f>
        <v>1000</v>
      </c>
      <c r="DG990" s="14">
        <f>SUMIFS(DF$5:DF990,$CT$5:$CT990,"="&amp;$CT990)</f>
        <v>14115</v>
      </c>
      <c r="DH990" s="14" t="s">
        <v>539</v>
      </c>
      <c r="DI990" s="14">
        <f>INDEX(属性投放!$BL$6:$BL$85,(CV990-2)*20+CZ990)</f>
        <v>500</v>
      </c>
      <c r="DJ990" s="14">
        <f>SUMIFS(DI$5:DI990,$CT$5:$CT990,"="&amp;$CT990)</f>
        <v>7061</v>
      </c>
      <c r="DK990" s="14" t="s">
        <v>540</v>
      </c>
      <c r="DL990" s="14">
        <f>INDEX(属性投放!$BM$6:$BM$85,(CV990-2)*20+CZ990)</f>
        <v>10000</v>
      </c>
      <c r="DM990" s="14">
        <f>SUMIFS(DL$5:DL990,$CT$5:$CT990,"="&amp;$CT990)</f>
        <v>137920</v>
      </c>
    </row>
    <row r="991" spans="97:117" ht="16.5" x14ac:dyDescent="0.2">
      <c r="CS991" s="13">
        <v>987</v>
      </c>
      <c r="CT991" s="13">
        <f t="shared" si="1092"/>
        <v>19</v>
      </c>
      <c r="CU991" s="13">
        <f t="shared" si="1093"/>
        <v>51</v>
      </c>
      <c r="CV991" s="14">
        <f t="shared" si="1094"/>
        <v>2</v>
      </c>
      <c r="CW991" s="14">
        <f t="shared" si="1095"/>
        <v>1102019</v>
      </c>
      <c r="CX991" s="14" t="str">
        <f>INDEX($O$6:$O$50,CT991)&amp;"-"&amp;INDEX(属性投放!$AB$7:$AB$50,CZ991)&amp;"-魂火-"&amp;DB991</f>
        <v>食火蜥-无间+1-魂火-3</v>
      </c>
      <c r="CY991" s="25" t="s">
        <v>142</v>
      </c>
      <c r="CZ991" s="14">
        <f>INDEX(属性投放!$AM$7:$AM$58,CU991)</f>
        <v>20</v>
      </c>
      <c r="DA991" s="14" t="s">
        <v>537</v>
      </c>
      <c r="DB991" s="14">
        <f>INDEX(属性投放!$AN$7:$AN$58,CU991)</f>
        <v>3</v>
      </c>
      <c r="DC991" s="14">
        <f t="shared" si="1091"/>
        <v>51</v>
      </c>
      <c r="DD991" s="14">
        <f>INDEX(属性投放!$AO$7:$AO$58,DC991)</f>
        <v>145</v>
      </c>
      <c r="DE991" s="14" t="s">
        <v>538</v>
      </c>
      <c r="DF991" s="14">
        <f>INDEX(属性投放!$BK$6:$BK$85,(CV991-2)*20+CZ991)</f>
        <v>1000</v>
      </c>
      <c r="DG991" s="14">
        <f>SUMIFS(DF$5:DF991,$CT$5:$CT991,"="&amp;$CT991)</f>
        <v>15115</v>
      </c>
      <c r="DH991" s="14" t="s">
        <v>539</v>
      </c>
      <c r="DI991" s="14">
        <f>INDEX(属性投放!$BL$6:$BL$85,(CV991-2)*20+CZ991)</f>
        <v>500</v>
      </c>
      <c r="DJ991" s="14">
        <f>SUMIFS(DI$5:DI991,$CT$5:$CT991,"="&amp;$CT991)</f>
        <v>7561</v>
      </c>
      <c r="DK991" s="14" t="s">
        <v>540</v>
      </c>
      <c r="DL991" s="14">
        <f>INDEX(属性投放!$BM$6:$BM$85,(CV991-2)*20+CZ991)</f>
        <v>10000</v>
      </c>
      <c r="DM991" s="14">
        <f>SUMIFS(DL$5:DL991,$CT$5:$CT991,"="&amp;$CT991)</f>
        <v>147920</v>
      </c>
    </row>
    <row r="992" spans="97:117" ht="16.5" x14ac:dyDescent="0.2">
      <c r="CS992" s="13">
        <v>988</v>
      </c>
      <c r="CT992" s="13">
        <f t="shared" si="1092"/>
        <v>19</v>
      </c>
      <c r="CU992" s="13">
        <f t="shared" si="1093"/>
        <v>52</v>
      </c>
      <c r="CV992" s="14">
        <f t="shared" si="1094"/>
        <v>2</v>
      </c>
      <c r="CW992" s="14">
        <f t="shared" si="1095"/>
        <v>1102019</v>
      </c>
      <c r="CX992" s="14" t="str">
        <f>INDEX($O$6:$O$50,CT992)&amp;"-"&amp;INDEX(属性投放!$AB$7:$AB$50,CZ992)&amp;"-魂火-"&amp;DB992</f>
        <v>食火蜥-无间+1-魂火-4</v>
      </c>
      <c r="CY992" s="25" t="s">
        <v>142</v>
      </c>
      <c r="CZ992" s="14">
        <f>INDEX(属性投放!$AM$7:$AM$58,CU992)</f>
        <v>20</v>
      </c>
      <c r="DA992" s="14" t="s">
        <v>537</v>
      </c>
      <c r="DB992" s="14">
        <f>INDEX(属性投放!$AN$7:$AN$58,CU992)</f>
        <v>4</v>
      </c>
      <c r="DC992" s="14">
        <f t="shared" si="1091"/>
        <v>52</v>
      </c>
      <c r="DD992" s="14">
        <f>INDEX(属性投放!$AO$7:$AO$58,DC992)</f>
        <v>148</v>
      </c>
      <c r="DE992" s="14" t="s">
        <v>538</v>
      </c>
      <c r="DF992" s="14">
        <f>INDEX(属性投放!$BK$6:$BK$85,(CV992-2)*20+CZ992)</f>
        <v>1000</v>
      </c>
      <c r="DG992" s="14">
        <f>SUMIFS(DF$5:DF992,$CT$5:$CT992,"="&amp;$CT992)</f>
        <v>16115</v>
      </c>
      <c r="DH992" s="14" t="s">
        <v>539</v>
      </c>
      <c r="DI992" s="14">
        <f>INDEX(属性投放!$BL$6:$BL$85,(CV992-2)*20+CZ992)</f>
        <v>500</v>
      </c>
      <c r="DJ992" s="14">
        <f>SUMIFS(DI$5:DI992,$CT$5:$CT992,"="&amp;$CT992)</f>
        <v>8061</v>
      </c>
      <c r="DK992" s="14" t="s">
        <v>540</v>
      </c>
      <c r="DL992" s="14">
        <f>INDEX(属性投放!$BM$6:$BM$85,(CV992-2)*20+CZ992)</f>
        <v>10000</v>
      </c>
      <c r="DM992" s="14">
        <f>SUMIFS(DL$5:DL992,$CT$5:$CT992,"="&amp;$CT992)</f>
        <v>157920</v>
      </c>
    </row>
    <row r="993" spans="97:117" ht="16.5" x14ac:dyDescent="0.2">
      <c r="CS993" s="13">
        <v>989</v>
      </c>
      <c r="CT993" s="13">
        <f t="shared" si="1092"/>
        <v>20</v>
      </c>
      <c r="CU993" s="13">
        <f t="shared" si="1093"/>
        <v>1</v>
      </c>
      <c r="CV993" s="14">
        <f t="shared" si="1094"/>
        <v>3</v>
      </c>
      <c r="CW993" s="14">
        <f t="shared" si="1095"/>
        <v>1102020</v>
      </c>
      <c r="CX993" s="14" t="str">
        <f>INDEX($O$6:$O$50,CT993)&amp;"-"&amp;INDEX(属性投放!$AB$7:$AB$50,CZ993)&amp;"-魂火-"&amp;DB993</f>
        <v>高顺-等活-魂火-1</v>
      </c>
      <c r="CY993" s="25" t="s">
        <v>142</v>
      </c>
      <c r="CZ993" s="14">
        <f>INDEX(属性投放!$AM$7:$AM$58,CU993)</f>
        <v>1</v>
      </c>
      <c r="DA993" s="14" t="s">
        <v>537</v>
      </c>
      <c r="DB993" s="14">
        <f>INDEX(属性投放!$AN$7:$AN$58,CU993)</f>
        <v>1</v>
      </c>
      <c r="DC993" s="14">
        <f t="shared" si="1091"/>
        <v>1</v>
      </c>
      <c r="DD993" s="14">
        <f>INDEX(属性投放!$AO$7:$AO$58,DC993)</f>
        <v>3</v>
      </c>
      <c r="DE993" s="14" t="s">
        <v>538</v>
      </c>
      <c r="DF993" s="14">
        <f>INDEX(属性投放!$BK$6:$BK$85,(CV993-2)*20+CZ993)</f>
        <v>20</v>
      </c>
      <c r="DG993" s="14">
        <f>SUMIFS(DF$5:DF993,$CT$5:$CT993,"="&amp;$CT993)</f>
        <v>20</v>
      </c>
      <c r="DH993" s="14" t="s">
        <v>539</v>
      </c>
      <c r="DI993" s="14">
        <f>INDEX(属性投放!$BL$6:$BL$85,(CV993-2)*20+CZ993)</f>
        <v>10</v>
      </c>
      <c r="DJ993" s="14">
        <f>SUMIFS(DI$5:DI993,$CT$5:$CT993,"="&amp;$CT993)</f>
        <v>10</v>
      </c>
      <c r="DK993" s="14" t="s">
        <v>540</v>
      </c>
      <c r="DL993" s="14">
        <f>INDEX(属性投放!$BM$6:$BM$85,(CV993-2)*20+CZ993)</f>
        <v>120</v>
      </c>
      <c r="DM993" s="14">
        <f>SUMIFS(DL$5:DL993,$CT$5:$CT993,"="&amp;$CT993)</f>
        <v>120</v>
      </c>
    </row>
    <row r="994" spans="97:117" ht="16.5" x14ac:dyDescent="0.2">
      <c r="CS994" s="13">
        <v>990</v>
      </c>
      <c r="CT994" s="13">
        <f t="shared" si="1092"/>
        <v>20</v>
      </c>
      <c r="CU994" s="13">
        <f t="shared" si="1093"/>
        <v>2</v>
      </c>
      <c r="CV994" s="14">
        <f t="shared" si="1094"/>
        <v>3</v>
      </c>
      <c r="CW994" s="14">
        <f t="shared" si="1095"/>
        <v>1102020</v>
      </c>
      <c r="CX994" s="14" t="str">
        <f>INDEX($O$6:$O$50,CT994)&amp;"-"&amp;INDEX(属性投放!$AB$7:$AB$50,CZ994)&amp;"-魂火-"&amp;DB994</f>
        <v>高顺-黑绳-魂火-1</v>
      </c>
      <c r="CY994" s="25" t="s">
        <v>142</v>
      </c>
      <c r="CZ994" s="14">
        <f>INDEX(属性投放!$AM$7:$AM$58,CU994)</f>
        <v>2</v>
      </c>
      <c r="DA994" s="14" t="s">
        <v>537</v>
      </c>
      <c r="DB994" s="14">
        <f>INDEX(属性投放!$AN$7:$AN$58,CU994)</f>
        <v>1</v>
      </c>
      <c r="DC994" s="14">
        <f t="shared" si="1091"/>
        <v>2</v>
      </c>
      <c r="DD994" s="14">
        <f>INDEX(属性投放!$AO$7:$AO$58,DC994)</f>
        <v>8</v>
      </c>
      <c r="DE994" s="14" t="s">
        <v>538</v>
      </c>
      <c r="DF994" s="14">
        <f>INDEX(属性投放!$BK$6:$BK$85,(CV994-2)*20+CZ994)</f>
        <v>25</v>
      </c>
      <c r="DG994" s="14">
        <f>SUMIFS(DF$5:DF994,$CT$5:$CT994,"="&amp;$CT994)</f>
        <v>45</v>
      </c>
      <c r="DH994" s="14" t="s">
        <v>539</v>
      </c>
      <c r="DI994" s="14">
        <f>INDEX(属性投放!$BL$6:$BL$85,(CV994-2)*20+CZ994)</f>
        <v>13</v>
      </c>
      <c r="DJ994" s="14">
        <f>SUMIFS(DI$5:DI994,$CT$5:$CT994,"="&amp;$CT994)</f>
        <v>23</v>
      </c>
      <c r="DK994" s="14" t="s">
        <v>540</v>
      </c>
      <c r="DL994" s="14">
        <f>INDEX(属性投放!$BM$6:$BM$85,(CV994-2)*20+CZ994)</f>
        <v>150</v>
      </c>
      <c r="DM994" s="14">
        <f>SUMIFS(DL$5:DL994,$CT$5:$CT994,"="&amp;$CT994)</f>
        <v>270</v>
      </c>
    </row>
    <row r="995" spans="97:117" ht="16.5" x14ac:dyDescent="0.2">
      <c r="CS995" s="13">
        <v>991</v>
      </c>
      <c r="CT995" s="13">
        <f t="shared" si="1092"/>
        <v>20</v>
      </c>
      <c r="CU995" s="13">
        <f t="shared" si="1093"/>
        <v>3</v>
      </c>
      <c r="CV995" s="14">
        <f t="shared" si="1094"/>
        <v>3</v>
      </c>
      <c r="CW995" s="14">
        <f t="shared" si="1095"/>
        <v>1102020</v>
      </c>
      <c r="CX995" s="14" t="str">
        <f>INDEX($O$6:$O$50,CT995)&amp;"-"&amp;INDEX(属性投放!$AB$7:$AB$50,CZ995)&amp;"-魂火-"&amp;DB995</f>
        <v>高顺-黑绳-魂火-2</v>
      </c>
      <c r="CY995" s="25" t="s">
        <v>142</v>
      </c>
      <c r="CZ995" s="14">
        <f>INDEX(属性投放!$AM$7:$AM$58,CU995)</f>
        <v>2</v>
      </c>
      <c r="DA995" s="14" t="s">
        <v>537</v>
      </c>
      <c r="DB995" s="14">
        <f>INDEX(属性投放!$AN$7:$AN$58,CU995)</f>
        <v>2</v>
      </c>
      <c r="DC995" s="14">
        <f t="shared" si="1091"/>
        <v>3</v>
      </c>
      <c r="DD995" s="14">
        <f>INDEX(属性投放!$AO$7:$AO$58,DC995)</f>
        <v>13</v>
      </c>
      <c r="DE995" s="14" t="s">
        <v>538</v>
      </c>
      <c r="DF995" s="14">
        <f>INDEX(属性投放!$BK$6:$BK$85,(CV995-2)*20+CZ995)</f>
        <v>25</v>
      </c>
      <c r="DG995" s="14">
        <f>SUMIFS(DF$5:DF995,$CT$5:$CT995,"="&amp;$CT995)</f>
        <v>70</v>
      </c>
      <c r="DH995" s="14" t="s">
        <v>539</v>
      </c>
      <c r="DI995" s="14">
        <f>INDEX(属性投放!$BL$6:$BL$85,(CV995-2)*20+CZ995)</f>
        <v>13</v>
      </c>
      <c r="DJ995" s="14">
        <f>SUMIFS(DI$5:DI995,$CT$5:$CT995,"="&amp;$CT995)</f>
        <v>36</v>
      </c>
      <c r="DK995" s="14" t="s">
        <v>540</v>
      </c>
      <c r="DL995" s="14">
        <f>INDEX(属性投放!$BM$6:$BM$85,(CV995-2)*20+CZ995)</f>
        <v>150</v>
      </c>
      <c r="DM995" s="14">
        <f>SUMIFS(DL$5:DL995,$CT$5:$CT995,"="&amp;$CT995)</f>
        <v>420</v>
      </c>
    </row>
    <row r="996" spans="97:117" ht="16.5" x14ac:dyDescent="0.2">
      <c r="CS996" s="13">
        <v>992</v>
      </c>
      <c r="CT996" s="13">
        <f t="shared" si="1092"/>
        <v>20</v>
      </c>
      <c r="CU996" s="13">
        <f t="shared" si="1093"/>
        <v>4</v>
      </c>
      <c r="CV996" s="14">
        <f t="shared" si="1094"/>
        <v>3</v>
      </c>
      <c r="CW996" s="14">
        <f t="shared" si="1095"/>
        <v>1102020</v>
      </c>
      <c r="CX996" s="14" t="str">
        <f>INDEX($O$6:$O$50,CT996)&amp;"-"&amp;INDEX(属性投放!$AB$7:$AB$50,CZ996)&amp;"-魂火-"&amp;DB996</f>
        <v>高顺-黑绳+1-魂火-1</v>
      </c>
      <c r="CY996" s="25" t="s">
        <v>142</v>
      </c>
      <c r="CZ996" s="14">
        <f>INDEX(属性投放!$AM$7:$AM$58,CU996)</f>
        <v>3</v>
      </c>
      <c r="DA996" s="14" t="s">
        <v>537</v>
      </c>
      <c r="DB996" s="14">
        <f>INDEX(属性投放!$AN$7:$AN$58,CU996)</f>
        <v>1</v>
      </c>
      <c r="DC996" s="14">
        <f t="shared" si="1091"/>
        <v>4</v>
      </c>
      <c r="DD996" s="14">
        <f>INDEX(属性投放!$AO$7:$AO$58,DC996)</f>
        <v>18</v>
      </c>
      <c r="DE996" s="14" t="s">
        <v>538</v>
      </c>
      <c r="DF996" s="14">
        <f>INDEX(属性投放!$BK$6:$BK$85,(CV996-2)*20+CZ996)</f>
        <v>30</v>
      </c>
      <c r="DG996" s="14">
        <f>SUMIFS(DF$5:DF996,$CT$5:$CT996,"="&amp;$CT996)</f>
        <v>100</v>
      </c>
      <c r="DH996" s="14" t="s">
        <v>539</v>
      </c>
      <c r="DI996" s="14">
        <f>INDEX(属性投放!$BL$6:$BL$85,(CV996-2)*20+CZ996)</f>
        <v>15</v>
      </c>
      <c r="DJ996" s="14">
        <f>SUMIFS(DI$5:DI996,$CT$5:$CT996,"="&amp;$CT996)</f>
        <v>51</v>
      </c>
      <c r="DK996" s="14" t="s">
        <v>540</v>
      </c>
      <c r="DL996" s="14">
        <f>INDEX(属性投放!$BM$6:$BM$85,(CV996-2)*20+CZ996)</f>
        <v>180</v>
      </c>
      <c r="DM996" s="14">
        <f>SUMIFS(DL$5:DL996,$CT$5:$CT996,"="&amp;$CT996)</f>
        <v>600</v>
      </c>
    </row>
    <row r="997" spans="97:117" ht="16.5" x14ac:dyDescent="0.2">
      <c r="CS997" s="13">
        <v>993</v>
      </c>
      <c r="CT997" s="13">
        <f t="shared" si="1092"/>
        <v>20</v>
      </c>
      <c r="CU997" s="13">
        <f t="shared" si="1093"/>
        <v>5</v>
      </c>
      <c r="CV997" s="14">
        <f t="shared" si="1094"/>
        <v>3</v>
      </c>
      <c r="CW997" s="14">
        <f t="shared" si="1095"/>
        <v>1102020</v>
      </c>
      <c r="CX997" s="14" t="str">
        <f>INDEX($O$6:$O$50,CT997)&amp;"-"&amp;INDEX(属性投放!$AB$7:$AB$50,CZ997)&amp;"-魂火-"&amp;DB997</f>
        <v>高顺-黑绳+1-魂火-2</v>
      </c>
      <c r="CY997" s="25" t="s">
        <v>142</v>
      </c>
      <c r="CZ997" s="14">
        <f>INDEX(属性投放!$AM$7:$AM$58,CU997)</f>
        <v>3</v>
      </c>
      <c r="DA997" s="14" t="s">
        <v>537</v>
      </c>
      <c r="DB997" s="14">
        <f>INDEX(属性投放!$AN$7:$AN$58,CU997)</f>
        <v>2</v>
      </c>
      <c r="DC997" s="14">
        <f t="shared" si="1091"/>
        <v>5</v>
      </c>
      <c r="DD997" s="14">
        <f>INDEX(属性投放!$AO$7:$AO$58,DC997)</f>
        <v>23</v>
      </c>
      <c r="DE997" s="14" t="s">
        <v>538</v>
      </c>
      <c r="DF997" s="14">
        <f>INDEX(属性投放!$BK$6:$BK$85,(CV997-2)*20+CZ997)</f>
        <v>30</v>
      </c>
      <c r="DG997" s="14">
        <f>SUMIFS(DF$5:DF997,$CT$5:$CT997,"="&amp;$CT997)</f>
        <v>130</v>
      </c>
      <c r="DH997" s="14" t="s">
        <v>539</v>
      </c>
      <c r="DI997" s="14">
        <f>INDEX(属性投放!$BL$6:$BL$85,(CV997-2)*20+CZ997)</f>
        <v>15</v>
      </c>
      <c r="DJ997" s="14">
        <f>SUMIFS(DI$5:DI997,$CT$5:$CT997,"="&amp;$CT997)</f>
        <v>66</v>
      </c>
      <c r="DK997" s="14" t="s">
        <v>540</v>
      </c>
      <c r="DL997" s="14">
        <f>INDEX(属性投放!$BM$6:$BM$85,(CV997-2)*20+CZ997)</f>
        <v>180</v>
      </c>
      <c r="DM997" s="14">
        <f>SUMIFS(DL$5:DL997,$CT$5:$CT997,"="&amp;$CT997)</f>
        <v>780</v>
      </c>
    </row>
    <row r="998" spans="97:117" ht="16.5" x14ac:dyDescent="0.2">
      <c r="CS998" s="13">
        <v>994</v>
      </c>
      <c r="CT998" s="13">
        <f t="shared" si="1092"/>
        <v>20</v>
      </c>
      <c r="CU998" s="13">
        <f t="shared" si="1093"/>
        <v>6</v>
      </c>
      <c r="CV998" s="14">
        <f t="shared" si="1094"/>
        <v>3</v>
      </c>
      <c r="CW998" s="14">
        <f t="shared" si="1095"/>
        <v>1102020</v>
      </c>
      <c r="CX998" s="14" t="str">
        <f>INDEX($O$6:$O$50,CT998)&amp;"-"&amp;INDEX(属性投放!$AB$7:$AB$50,CZ998)&amp;"-魂火-"&amp;DB998</f>
        <v>高顺-众合-魂火-1</v>
      </c>
      <c r="CY998" s="25" t="s">
        <v>142</v>
      </c>
      <c r="CZ998" s="14">
        <f>INDEX(属性投放!$AM$7:$AM$58,CU998)</f>
        <v>4</v>
      </c>
      <c r="DA998" s="14" t="s">
        <v>537</v>
      </c>
      <c r="DB998" s="14">
        <f>INDEX(属性投放!$AN$7:$AN$58,CU998)</f>
        <v>1</v>
      </c>
      <c r="DC998" s="14">
        <f t="shared" si="1091"/>
        <v>6</v>
      </c>
      <c r="DD998" s="14">
        <f>INDEX(属性投放!$AO$7:$AO$58,DC998)</f>
        <v>28</v>
      </c>
      <c r="DE998" s="14" t="s">
        <v>538</v>
      </c>
      <c r="DF998" s="14">
        <f>INDEX(属性投放!$BK$6:$BK$85,(CV998-2)*20+CZ998)</f>
        <v>40</v>
      </c>
      <c r="DG998" s="14">
        <f>SUMIFS(DF$5:DF998,$CT$5:$CT998,"="&amp;$CT998)</f>
        <v>170</v>
      </c>
      <c r="DH998" s="14" t="s">
        <v>539</v>
      </c>
      <c r="DI998" s="14">
        <f>INDEX(属性投放!$BL$6:$BL$85,(CV998-2)*20+CZ998)</f>
        <v>20</v>
      </c>
      <c r="DJ998" s="14">
        <f>SUMIFS(DI$5:DI998,$CT$5:$CT998,"="&amp;$CT998)</f>
        <v>86</v>
      </c>
      <c r="DK998" s="14" t="s">
        <v>540</v>
      </c>
      <c r="DL998" s="14">
        <f>INDEX(属性投放!$BM$6:$BM$85,(CV998-2)*20+CZ998)</f>
        <v>280</v>
      </c>
      <c r="DM998" s="14">
        <f>SUMIFS(DL$5:DL998,$CT$5:$CT998,"="&amp;$CT998)</f>
        <v>1060</v>
      </c>
    </row>
    <row r="999" spans="97:117" ht="16.5" x14ac:dyDescent="0.2">
      <c r="CS999" s="13">
        <v>995</v>
      </c>
      <c r="CT999" s="13">
        <f t="shared" si="1092"/>
        <v>20</v>
      </c>
      <c r="CU999" s="13">
        <f t="shared" si="1093"/>
        <v>7</v>
      </c>
      <c r="CV999" s="14">
        <f t="shared" si="1094"/>
        <v>3</v>
      </c>
      <c r="CW999" s="14">
        <f t="shared" si="1095"/>
        <v>1102020</v>
      </c>
      <c r="CX999" s="14" t="str">
        <f>INDEX($O$6:$O$50,CT999)&amp;"-"&amp;INDEX(属性投放!$AB$7:$AB$50,CZ999)&amp;"-魂火-"&amp;DB999</f>
        <v>高顺-众合-魂火-2</v>
      </c>
      <c r="CY999" s="25" t="s">
        <v>142</v>
      </c>
      <c r="CZ999" s="14">
        <f>INDEX(属性投放!$AM$7:$AM$58,CU999)</f>
        <v>4</v>
      </c>
      <c r="DA999" s="14" t="s">
        <v>537</v>
      </c>
      <c r="DB999" s="14">
        <f>INDEX(属性投放!$AN$7:$AN$58,CU999)</f>
        <v>2</v>
      </c>
      <c r="DC999" s="14">
        <f t="shared" si="1091"/>
        <v>7</v>
      </c>
      <c r="DD999" s="14">
        <f>INDEX(属性投放!$AO$7:$AO$58,DC999)</f>
        <v>33</v>
      </c>
      <c r="DE999" s="14" t="s">
        <v>538</v>
      </c>
      <c r="DF999" s="14">
        <f>INDEX(属性投放!$BK$6:$BK$85,(CV999-2)*20+CZ999)</f>
        <v>40</v>
      </c>
      <c r="DG999" s="14">
        <f>SUMIFS(DF$5:DF999,$CT$5:$CT999,"="&amp;$CT999)</f>
        <v>210</v>
      </c>
      <c r="DH999" s="14" t="s">
        <v>539</v>
      </c>
      <c r="DI999" s="14">
        <f>INDEX(属性投放!$BL$6:$BL$85,(CV999-2)*20+CZ999)</f>
        <v>20</v>
      </c>
      <c r="DJ999" s="14">
        <f>SUMIFS(DI$5:DI999,$CT$5:$CT999,"="&amp;$CT999)</f>
        <v>106</v>
      </c>
      <c r="DK999" s="14" t="s">
        <v>540</v>
      </c>
      <c r="DL999" s="14">
        <f>INDEX(属性投放!$BM$6:$BM$85,(CV999-2)*20+CZ999)</f>
        <v>280</v>
      </c>
      <c r="DM999" s="14">
        <f>SUMIFS(DL$5:DL999,$CT$5:$CT999,"="&amp;$CT999)</f>
        <v>1340</v>
      </c>
    </row>
    <row r="1000" spans="97:117" ht="16.5" x14ac:dyDescent="0.2">
      <c r="CS1000" s="13">
        <v>996</v>
      </c>
      <c r="CT1000" s="13">
        <f t="shared" si="1092"/>
        <v>20</v>
      </c>
      <c r="CU1000" s="13">
        <f t="shared" si="1093"/>
        <v>8</v>
      </c>
      <c r="CV1000" s="14">
        <f t="shared" si="1094"/>
        <v>3</v>
      </c>
      <c r="CW1000" s="14">
        <f t="shared" si="1095"/>
        <v>1102020</v>
      </c>
      <c r="CX1000" s="14" t="str">
        <f>INDEX($O$6:$O$50,CT1000)&amp;"-"&amp;INDEX(属性投放!$AB$7:$AB$50,CZ1000)&amp;"-魂火-"&amp;DB1000</f>
        <v>高顺-众合+1-魂火-1</v>
      </c>
      <c r="CY1000" s="25" t="s">
        <v>142</v>
      </c>
      <c r="CZ1000" s="14">
        <f>INDEX(属性投放!$AM$7:$AM$58,CU1000)</f>
        <v>5</v>
      </c>
      <c r="DA1000" s="14" t="s">
        <v>537</v>
      </c>
      <c r="DB1000" s="14">
        <f>INDEX(属性投放!$AN$7:$AN$58,CU1000)</f>
        <v>1</v>
      </c>
      <c r="DC1000" s="14">
        <f t="shared" si="1091"/>
        <v>8</v>
      </c>
      <c r="DD1000" s="14">
        <f>INDEX(属性投放!$AO$7:$AO$58,DC1000)</f>
        <v>38</v>
      </c>
      <c r="DE1000" s="14" t="s">
        <v>538</v>
      </c>
      <c r="DF1000" s="14">
        <f>INDEX(属性投放!$BK$6:$BK$85,(CV1000-2)*20+CZ1000)</f>
        <v>45</v>
      </c>
      <c r="DG1000" s="14">
        <f>SUMIFS(DF$5:DF1000,$CT$5:$CT1000,"="&amp;$CT1000)</f>
        <v>255</v>
      </c>
      <c r="DH1000" s="14" t="s">
        <v>539</v>
      </c>
      <c r="DI1000" s="14">
        <f>INDEX(属性投放!$BL$6:$BL$85,(CV1000-2)*20+CZ1000)</f>
        <v>23</v>
      </c>
      <c r="DJ1000" s="14">
        <f>SUMIFS(DI$5:DI1000,$CT$5:$CT1000,"="&amp;$CT1000)</f>
        <v>129</v>
      </c>
      <c r="DK1000" s="14" t="s">
        <v>540</v>
      </c>
      <c r="DL1000" s="14">
        <f>INDEX(属性投放!$BM$6:$BM$85,(CV1000-2)*20+CZ1000)</f>
        <v>315</v>
      </c>
      <c r="DM1000" s="14">
        <f>SUMIFS(DL$5:DL1000,$CT$5:$CT1000,"="&amp;$CT1000)</f>
        <v>1655</v>
      </c>
    </row>
    <row r="1001" spans="97:117" ht="16.5" x14ac:dyDescent="0.2">
      <c r="CS1001" s="13">
        <v>997</v>
      </c>
      <c r="CT1001" s="13">
        <f t="shared" si="1092"/>
        <v>20</v>
      </c>
      <c r="CU1001" s="13">
        <f t="shared" si="1093"/>
        <v>9</v>
      </c>
      <c r="CV1001" s="14">
        <f t="shared" si="1094"/>
        <v>3</v>
      </c>
      <c r="CW1001" s="14">
        <f t="shared" si="1095"/>
        <v>1102020</v>
      </c>
      <c r="CX1001" s="14" t="str">
        <f>INDEX($O$6:$O$50,CT1001)&amp;"-"&amp;INDEX(属性投放!$AB$7:$AB$50,CZ1001)&amp;"-魂火-"&amp;DB1001</f>
        <v>高顺-众合+1-魂火-2</v>
      </c>
      <c r="CY1001" s="25" t="s">
        <v>142</v>
      </c>
      <c r="CZ1001" s="14">
        <f>INDEX(属性投放!$AM$7:$AM$58,CU1001)</f>
        <v>5</v>
      </c>
      <c r="DA1001" s="14" t="s">
        <v>537</v>
      </c>
      <c r="DB1001" s="14">
        <f>INDEX(属性投放!$AN$7:$AN$58,CU1001)</f>
        <v>2</v>
      </c>
      <c r="DC1001" s="14">
        <f t="shared" si="1091"/>
        <v>9</v>
      </c>
      <c r="DD1001" s="14">
        <f>INDEX(属性投放!$AO$7:$AO$58,DC1001)</f>
        <v>40</v>
      </c>
      <c r="DE1001" s="14" t="s">
        <v>538</v>
      </c>
      <c r="DF1001" s="14">
        <f>INDEX(属性投放!$BK$6:$BK$85,(CV1001-2)*20+CZ1001)</f>
        <v>45</v>
      </c>
      <c r="DG1001" s="14">
        <f>SUMIFS(DF$5:DF1001,$CT$5:$CT1001,"="&amp;$CT1001)</f>
        <v>300</v>
      </c>
      <c r="DH1001" s="14" t="s">
        <v>539</v>
      </c>
      <c r="DI1001" s="14">
        <f>INDEX(属性投放!$BL$6:$BL$85,(CV1001-2)*20+CZ1001)</f>
        <v>23</v>
      </c>
      <c r="DJ1001" s="14">
        <f>SUMIFS(DI$5:DI1001,$CT$5:$CT1001,"="&amp;$CT1001)</f>
        <v>152</v>
      </c>
      <c r="DK1001" s="14" t="s">
        <v>540</v>
      </c>
      <c r="DL1001" s="14">
        <f>INDEX(属性投放!$BM$6:$BM$85,(CV1001-2)*20+CZ1001)</f>
        <v>315</v>
      </c>
      <c r="DM1001" s="14">
        <f>SUMIFS(DL$5:DL1001,$CT$5:$CT1001,"="&amp;$CT1001)</f>
        <v>1970</v>
      </c>
    </row>
    <row r="1002" spans="97:117" ht="16.5" x14ac:dyDescent="0.2">
      <c r="CS1002" s="13">
        <v>998</v>
      </c>
      <c r="CT1002" s="13">
        <f t="shared" si="1092"/>
        <v>20</v>
      </c>
      <c r="CU1002" s="13">
        <f t="shared" si="1093"/>
        <v>10</v>
      </c>
      <c r="CV1002" s="14">
        <f t="shared" si="1094"/>
        <v>3</v>
      </c>
      <c r="CW1002" s="14">
        <f t="shared" si="1095"/>
        <v>1102020</v>
      </c>
      <c r="CX1002" s="14" t="str">
        <f>INDEX($O$6:$O$50,CT1002)&amp;"-"&amp;INDEX(属性投放!$AB$7:$AB$50,CZ1002)&amp;"-魂火-"&amp;DB1002</f>
        <v>高顺-众合+2-魂火-1</v>
      </c>
      <c r="CY1002" s="25" t="s">
        <v>142</v>
      </c>
      <c r="CZ1002" s="14">
        <f>INDEX(属性投放!$AM$7:$AM$58,CU1002)</f>
        <v>6</v>
      </c>
      <c r="DA1002" s="14" t="s">
        <v>537</v>
      </c>
      <c r="DB1002" s="14">
        <f>INDEX(属性投放!$AN$7:$AN$58,CU1002)</f>
        <v>1</v>
      </c>
      <c r="DC1002" s="14">
        <f t="shared" si="1091"/>
        <v>10</v>
      </c>
      <c r="DD1002" s="14">
        <f>INDEX(属性投放!$AO$7:$AO$58,DC1002)</f>
        <v>43</v>
      </c>
      <c r="DE1002" s="14" t="s">
        <v>538</v>
      </c>
      <c r="DF1002" s="14">
        <f>INDEX(属性投放!$BK$6:$BK$85,(CV1002-2)*20+CZ1002)</f>
        <v>50</v>
      </c>
      <c r="DG1002" s="14">
        <f>SUMIFS(DF$5:DF1002,$CT$5:$CT1002,"="&amp;$CT1002)</f>
        <v>350</v>
      </c>
      <c r="DH1002" s="14" t="s">
        <v>539</v>
      </c>
      <c r="DI1002" s="14">
        <f>INDEX(属性投放!$BL$6:$BL$85,(CV1002-2)*20+CZ1002)</f>
        <v>25</v>
      </c>
      <c r="DJ1002" s="14">
        <f>SUMIFS(DI$5:DI1002,$CT$5:$CT1002,"="&amp;$CT1002)</f>
        <v>177</v>
      </c>
      <c r="DK1002" s="14" t="s">
        <v>540</v>
      </c>
      <c r="DL1002" s="14">
        <f>INDEX(属性投放!$BM$6:$BM$85,(CV1002-2)*20+CZ1002)</f>
        <v>350</v>
      </c>
      <c r="DM1002" s="14">
        <f>SUMIFS(DL$5:DL1002,$CT$5:$CT1002,"="&amp;$CT1002)</f>
        <v>2320</v>
      </c>
    </row>
    <row r="1003" spans="97:117" ht="16.5" x14ac:dyDescent="0.2">
      <c r="CS1003" s="13">
        <v>999</v>
      </c>
      <c r="CT1003" s="13">
        <f t="shared" si="1092"/>
        <v>20</v>
      </c>
      <c r="CU1003" s="13">
        <f t="shared" si="1093"/>
        <v>11</v>
      </c>
      <c r="CV1003" s="14">
        <f t="shared" si="1094"/>
        <v>3</v>
      </c>
      <c r="CW1003" s="14">
        <f t="shared" si="1095"/>
        <v>1102020</v>
      </c>
      <c r="CX1003" s="14" t="str">
        <f>INDEX($O$6:$O$50,CT1003)&amp;"-"&amp;INDEX(属性投放!$AB$7:$AB$50,CZ1003)&amp;"-魂火-"&amp;DB1003</f>
        <v>高顺-众合+2-魂火-2</v>
      </c>
      <c r="CY1003" s="25" t="s">
        <v>142</v>
      </c>
      <c r="CZ1003" s="14">
        <f>INDEX(属性投放!$AM$7:$AM$58,CU1003)</f>
        <v>6</v>
      </c>
      <c r="DA1003" s="14" t="s">
        <v>537</v>
      </c>
      <c r="DB1003" s="14">
        <f>INDEX(属性投放!$AN$7:$AN$58,CU1003)</f>
        <v>2</v>
      </c>
      <c r="DC1003" s="14">
        <f t="shared" si="1091"/>
        <v>11</v>
      </c>
      <c r="DD1003" s="14">
        <f>INDEX(属性投放!$AO$7:$AO$58,DC1003)</f>
        <v>45</v>
      </c>
      <c r="DE1003" s="14" t="s">
        <v>538</v>
      </c>
      <c r="DF1003" s="14">
        <f>INDEX(属性投放!$BK$6:$BK$85,(CV1003-2)*20+CZ1003)</f>
        <v>50</v>
      </c>
      <c r="DG1003" s="14">
        <f>SUMIFS(DF$5:DF1003,$CT$5:$CT1003,"="&amp;$CT1003)</f>
        <v>400</v>
      </c>
      <c r="DH1003" s="14" t="s">
        <v>539</v>
      </c>
      <c r="DI1003" s="14">
        <f>INDEX(属性投放!$BL$6:$BL$85,(CV1003-2)*20+CZ1003)</f>
        <v>25</v>
      </c>
      <c r="DJ1003" s="14">
        <f>SUMIFS(DI$5:DI1003,$CT$5:$CT1003,"="&amp;$CT1003)</f>
        <v>202</v>
      </c>
      <c r="DK1003" s="14" t="s">
        <v>540</v>
      </c>
      <c r="DL1003" s="14">
        <f>INDEX(属性投放!$BM$6:$BM$85,(CV1003-2)*20+CZ1003)</f>
        <v>350</v>
      </c>
      <c r="DM1003" s="14">
        <f>SUMIFS(DL$5:DL1003,$CT$5:$CT1003,"="&amp;$CT1003)</f>
        <v>2670</v>
      </c>
    </row>
    <row r="1004" spans="97:117" ht="16.5" x14ac:dyDescent="0.2">
      <c r="CS1004" s="13">
        <v>1000</v>
      </c>
      <c r="CT1004" s="13">
        <f t="shared" si="1092"/>
        <v>20</v>
      </c>
      <c r="CU1004" s="13">
        <f t="shared" si="1093"/>
        <v>12</v>
      </c>
      <c r="CV1004" s="14">
        <f t="shared" si="1094"/>
        <v>3</v>
      </c>
      <c r="CW1004" s="14">
        <f t="shared" si="1095"/>
        <v>1102020</v>
      </c>
      <c r="CX1004" s="14" t="str">
        <f>INDEX($O$6:$O$50,CT1004)&amp;"-"&amp;INDEX(属性投放!$AB$7:$AB$50,CZ1004)&amp;"-魂火-"&amp;DB1004</f>
        <v>高顺-叫唤-魂火-1</v>
      </c>
      <c r="CY1004" s="25" t="s">
        <v>142</v>
      </c>
      <c r="CZ1004" s="14">
        <f>INDEX(属性投放!$AM$7:$AM$58,CU1004)</f>
        <v>7</v>
      </c>
      <c r="DA1004" s="14" t="s">
        <v>537</v>
      </c>
      <c r="DB1004" s="14">
        <f>INDEX(属性投放!$AN$7:$AN$58,CU1004)</f>
        <v>1</v>
      </c>
      <c r="DC1004" s="14">
        <f t="shared" si="1091"/>
        <v>12</v>
      </c>
      <c r="DD1004" s="14">
        <f>INDEX(属性投放!$AO$7:$AO$58,DC1004)</f>
        <v>48</v>
      </c>
      <c r="DE1004" s="14" t="s">
        <v>538</v>
      </c>
      <c r="DF1004" s="14">
        <f>INDEX(属性投放!$BK$6:$BK$85,(CV1004-2)*20+CZ1004)</f>
        <v>70</v>
      </c>
      <c r="DG1004" s="14">
        <f>SUMIFS(DF$5:DF1004,$CT$5:$CT1004,"="&amp;$CT1004)</f>
        <v>470</v>
      </c>
      <c r="DH1004" s="14" t="s">
        <v>539</v>
      </c>
      <c r="DI1004" s="14">
        <f>INDEX(属性投放!$BL$6:$BL$85,(CV1004-2)*20+CZ1004)</f>
        <v>35</v>
      </c>
      <c r="DJ1004" s="14">
        <f>SUMIFS(DI$5:DI1004,$CT$5:$CT1004,"="&amp;$CT1004)</f>
        <v>237</v>
      </c>
      <c r="DK1004" s="14" t="s">
        <v>540</v>
      </c>
      <c r="DL1004" s="14">
        <f>INDEX(属性投放!$BM$6:$BM$85,(CV1004-2)*20+CZ1004)</f>
        <v>560</v>
      </c>
      <c r="DM1004" s="14">
        <f>SUMIFS(DL$5:DL1004,$CT$5:$CT1004,"="&amp;$CT1004)</f>
        <v>3230</v>
      </c>
    </row>
    <row r="1005" spans="97:117" ht="16.5" x14ac:dyDescent="0.2">
      <c r="CS1005" s="13">
        <v>1001</v>
      </c>
      <c r="CT1005" s="13">
        <f t="shared" si="1092"/>
        <v>20</v>
      </c>
      <c r="CU1005" s="13">
        <f t="shared" si="1093"/>
        <v>13</v>
      </c>
      <c r="CV1005" s="14">
        <f t="shared" si="1094"/>
        <v>3</v>
      </c>
      <c r="CW1005" s="14">
        <f t="shared" si="1095"/>
        <v>1102020</v>
      </c>
      <c r="CX1005" s="14" t="str">
        <f>INDEX($O$6:$O$50,CT1005)&amp;"-"&amp;INDEX(属性投放!$AB$7:$AB$50,CZ1005)&amp;"-魂火-"&amp;DB1005</f>
        <v>高顺-叫唤-魂火-2</v>
      </c>
      <c r="CY1005" s="25" t="s">
        <v>142</v>
      </c>
      <c r="CZ1005" s="14">
        <f>INDEX(属性投放!$AM$7:$AM$58,CU1005)</f>
        <v>7</v>
      </c>
      <c r="DA1005" s="14" t="s">
        <v>537</v>
      </c>
      <c r="DB1005" s="14">
        <f>INDEX(属性投放!$AN$7:$AN$58,CU1005)</f>
        <v>2</v>
      </c>
      <c r="DC1005" s="14">
        <f t="shared" si="1091"/>
        <v>13</v>
      </c>
      <c r="DD1005" s="14">
        <f>INDEX(属性投放!$AO$7:$AO$58,DC1005)</f>
        <v>50</v>
      </c>
      <c r="DE1005" s="14" t="s">
        <v>538</v>
      </c>
      <c r="DF1005" s="14">
        <f>INDEX(属性投放!$BK$6:$BK$85,(CV1005-2)*20+CZ1005)</f>
        <v>70</v>
      </c>
      <c r="DG1005" s="14">
        <f>SUMIFS(DF$5:DF1005,$CT$5:$CT1005,"="&amp;$CT1005)</f>
        <v>540</v>
      </c>
      <c r="DH1005" s="14" t="s">
        <v>539</v>
      </c>
      <c r="DI1005" s="14">
        <f>INDEX(属性投放!$BL$6:$BL$85,(CV1005-2)*20+CZ1005)</f>
        <v>35</v>
      </c>
      <c r="DJ1005" s="14">
        <f>SUMIFS(DI$5:DI1005,$CT$5:$CT1005,"="&amp;$CT1005)</f>
        <v>272</v>
      </c>
      <c r="DK1005" s="14" t="s">
        <v>540</v>
      </c>
      <c r="DL1005" s="14">
        <f>INDEX(属性投放!$BM$6:$BM$85,(CV1005-2)*20+CZ1005)</f>
        <v>560</v>
      </c>
      <c r="DM1005" s="14">
        <f>SUMIFS(DL$5:DL1005,$CT$5:$CT1005,"="&amp;$CT1005)</f>
        <v>3790</v>
      </c>
    </row>
    <row r="1006" spans="97:117" ht="16.5" x14ac:dyDescent="0.2">
      <c r="CS1006" s="13">
        <v>1002</v>
      </c>
      <c r="CT1006" s="13">
        <f t="shared" si="1092"/>
        <v>20</v>
      </c>
      <c r="CU1006" s="13">
        <f t="shared" si="1093"/>
        <v>14</v>
      </c>
      <c r="CV1006" s="14">
        <f t="shared" si="1094"/>
        <v>3</v>
      </c>
      <c r="CW1006" s="14">
        <f t="shared" si="1095"/>
        <v>1102020</v>
      </c>
      <c r="CX1006" s="14" t="str">
        <f>INDEX($O$6:$O$50,CT1006)&amp;"-"&amp;INDEX(属性投放!$AB$7:$AB$50,CZ1006)&amp;"-魂火-"&amp;DB1006</f>
        <v>高顺-叫唤+1-魂火-1</v>
      </c>
      <c r="CY1006" s="25" t="s">
        <v>142</v>
      </c>
      <c r="CZ1006" s="14">
        <f>INDEX(属性投放!$AM$7:$AM$58,CU1006)</f>
        <v>8</v>
      </c>
      <c r="DA1006" s="14" t="s">
        <v>537</v>
      </c>
      <c r="DB1006" s="14">
        <f>INDEX(属性投放!$AN$7:$AN$58,CU1006)</f>
        <v>1</v>
      </c>
      <c r="DC1006" s="14">
        <f t="shared" si="1091"/>
        <v>14</v>
      </c>
      <c r="DD1006" s="14">
        <f>INDEX(属性投放!$AO$7:$AO$58,DC1006)</f>
        <v>53</v>
      </c>
      <c r="DE1006" s="14" t="s">
        <v>538</v>
      </c>
      <c r="DF1006" s="14">
        <f>INDEX(属性投放!$BK$6:$BK$85,(CV1006-2)*20+CZ1006)</f>
        <v>85</v>
      </c>
      <c r="DG1006" s="14">
        <f>SUMIFS(DF$5:DF1006,$CT$5:$CT1006,"="&amp;$CT1006)</f>
        <v>625</v>
      </c>
      <c r="DH1006" s="14" t="s">
        <v>539</v>
      </c>
      <c r="DI1006" s="14">
        <f>INDEX(属性投放!$BL$6:$BL$85,(CV1006-2)*20+CZ1006)</f>
        <v>43</v>
      </c>
      <c r="DJ1006" s="14">
        <f>SUMIFS(DI$5:DI1006,$CT$5:$CT1006,"="&amp;$CT1006)</f>
        <v>315</v>
      </c>
      <c r="DK1006" s="14" t="s">
        <v>540</v>
      </c>
      <c r="DL1006" s="14">
        <f>INDEX(属性投放!$BM$6:$BM$85,(CV1006-2)*20+CZ1006)</f>
        <v>680</v>
      </c>
      <c r="DM1006" s="14">
        <f>SUMIFS(DL$5:DL1006,$CT$5:$CT1006,"="&amp;$CT1006)</f>
        <v>4470</v>
      </c>
    </row>
    <row r="1007" spans="97:117" ht="16.5" x14ac:dyDescent="0.2">
      <c r="CS1007" s="13">
        <v>1003</v>
      </c>
      <c r="CT1007" s="13">
        <f t="shared" si="1092"/>
        <v>20</v>
      </c>
      <c r="CU1007" s="13">
        <f t="shared" si="1093"/>
        <v>15</v>
      </c>
      <c r="CV1007" s="14">
        <f t="shared" si="1094"/>
        <v>3</v>
      </c>
      <c r="CW1007" s="14">
        <f t="shared" si="1095"/>
        <v>1102020</v>
      </c>
      <c r="CX1007" s="14" t="str">
        <f>INDEX($O$6:$O$50,CT1007)&amp;"-"&amp;INDEX(属性投放!$AB$7:$AB$50,CZ1007)&amp;"-魂火-"&amp;DB1007</f>
        <v>高顺-叫唤+1-魂火-2</v>
      </c>
      <c r="CY1007" s="25" t="s">
        <v>142</v>
      </c>
      <c r="CZ1007" s="14">
        <f>INDEX(属性投放!$AM$7:$AM$58,CU1007)</f>
        <v>8</v>
      </c>
      <c r="DA1007" s="14" t="s">
        <v>537</v>
      </c>
      <c r="DB1007" s="14">
        <f>INDEX(属性投放!$AN$7:$AN$58,CU1007)</f>
        <v>2</v>
      </c>
      <c r="DC1007" s="14">
        <f t="shared" si="1091"/>
        <v>15</v>
      </c>
      <c r="DD1007" s="14">
        <f>INDEX(属性投放!$AO$7:$AO$58,DC1007)</f>
        <v>55</v>
      </c>
      <c r="DE1007" s="14" t="s">
        <v>538</v>
      </c>
      <c r="DF1007" s="14">
        <f>INDEX(属性投放!$BK$6:$BK$85,(CV1007-2)*20+CZ1007)</f>
        <v>85</v>
      </c>
      <c r="DG1007" s="14">
        <f>SUMIFS(DF$5:DF1007,$CT$5:$CT1007,"="&amp;$CT1007)</f>
        <v>710</v>
      </c>
      <c r="DH1007" s="14" t="s">
        <v>539</v>
      </c>
      <c r="DI1007" s="14">
        <f>INDEX(属性投放!$BL$6:$BL$85,(CV1007-2)*20+CZ1007)</f>
        <v>43</v>
      </c>
      <c r="DJ1007" s="14">
        <f>SUMIFS(DI$5:DI1007,$CT$5:$CT1007,"="&amp;$CT1007)</f>
        <v>358</v>
      </c>
      <c r="DK1007" s="14" t="s">
        <v>540</v>
      </c>
      <c r="DL1007" s="14">
        <f>INDEX(属性投放!$BM$6:$BM$85,(CV1007-2)*20+CZ1007)</f>
        <v>680</v>
      </c>
      <c r="DM1007" s="14">
        <f>SUMIFS(DL$5:DL1007,$CT$5:$CT1007,"="&amp;$CT1007)</f>
        <v>5150</v>
      </c>
    </row>
    <row r="1008" spans="97:117" ht="16.5" x14ac:dyDescent="0.2">
      <c r="CS1008" s="13">
        <v>1004</v>
      </c>
      <c r="CT1008" s="13">
        <f t="shared" si="1092"/>
        <v>20</v>
      </c>
      <c r="CU1008" s="13">
        <f t="shared" si="1093"/>
        <v>16</v>
      </c>
      <c r="CV1008" s="14">
        <f t="shared" si="1094"/>
        <v>3</v>
      </c>
      <c r="CW1008" s="14">
        <f t="shared" si="1095"/>
        <v>1102020</v>
      </c>
      <c r="CX1008" s="14" t="str">
        <f>INDEX($O$6:$O$50,CT1008)&amp;"-"&amp;INDEX(属性投放!$AB$7:$AB$50,CZ1008)&amp;"-魂火-"&amp;DB1008</f>
        <v>高顺-叫唤+2-魂火-1</v>
      </c>
      <c r="CY1008" s="25" t="s">
        <v>142</v>
      </c>
      <c r="CZ1008" s="14">
        <f>INDEX(属性投放!$AM$7:$AM$58,CU1008)</f>
        <v>9</v>
      </c>
      <c r="DA1008" s="14" t="s">
        <v>537</v>
      </c>
      <c r="DB1008" s="14">
        <f>INDEX(属性投放!$AN$7:$AN$58,CU1008)</f>
        <v>1</v>
      </c>
      <c r="DC1008" s="14">
        <f t="shared" si="1091"/>
        <v>16</v>
      </c>
      <c r="DD1008" s="14">
        <f>INDEX(属性投放!$AO$7:$AO$58,DC1008)</f>
        <v>58</v>
      </c>
      <c r="DE1008" s="14" t="s">
        <v>538</v>
      </c>
      <c r="DF1008" s="14">
        <f>INDEX(属性投放!$BK$6:$BK$85,(CV1008-2)*20+CZ1008)</f>
        <v>100</v>
      </c>
      <c r="DG1008" s="14">
        <f>SUMIFS(DF$5:DF1008,$CT$5:$CT1008,"="&amp;$CT1008)</f>
        <v>810</v>
      </c>
      <c r="DH1008" s="14" t="s">
        <v>539</v>
      </c>
      <c r="DI1008" s="14">
        <f>INDEX(属性投放!$BL$6:$BL$85,(CV1008-2)*20+CZ1008)</f>
        <v>50</v>
      </c>
      <c r="DJ1008" s="14">
        <f>SUMIFS(DI$5:DI1008,$CT$5:$CT1008,"="&amp;$CT1008)</f>
        <v>408</v>
      </c>
      <c r="DK1008" s="14" t="s">
        <v>540</v>
      </c>
      <c r="DL1008" s="14">
        <f>INDEX(属性投放!$BM$6:$BM$85,(CV1008-2)*20+CZ1008)</f>
        <v>800</v>
      </c>
      <c r="DM1008" s="14">
        <f>SUMIFS(DL$5:DL1008,$CT$5:$CT1008,"="&amp;$CT1008)</f>
        <v>5950</v>
      </c>
    </row>
    <row r="1009" spans="97:117" ht="16.5" x14ac:dyDescent="0.2">
      <c r="CS1009" s="13">
        <v>1005</v>
      </c>
      <c r="CT1009" s="13">
        <f t="shared" si="1092"/>
        <v>20</v>
      </c>
      <c r="CU1009" s="13">
        <f t="shared" si="1093"/>
        <v>17</v>
      </c>
      <c r="CV1009" s="14">
        <f t="shared" si="1094"/>
        <v>3</v>
      </c>
      <c r="CW1009" s="14">
        <f t="shared" si="1095"/>
        <v>1102020</v>
      </c>
      <c r="CX1009" s="14" t="str">
        <f>INDEX($O$6:$O$50,CT1009)&amp;"-"&amp;INDEX(属性投放!$AB$7:$AB$50,CZ1009)&amp;"-魂火-"&amp;DB1009</f>
        <v>高顺-叫唤+2-魂火-2</v>
      </c>
      <c r="CY1009" s="25" t="s">
        <v>142</v>
      </c>
      <c r="CZ1009" s="14">
        <f>INDEX(属性投放!$AM$7:$AM$58,CU1009)</f>
        <v>9</v>
      </c>
      <c r="DA1009" s="14" t="s">
        <v>537</v>
      </c>
      <c r="DB1009" s="14">
        <f>INDEX(属性投放!$AN$7:$AN$58,CU1009)</f>
        <v>2</v>
      </c>
      <c r="DC1009" s="14">
        <f t="shared" si="1091"/>
        <v>17</v>
      </c>
      <c r="DD1009" s="14">
        <f>INDEX(属性投放!$AO$7:$AO$58,DC1009)</f>
        <v>60</v>
      </c>
      <c r="DE1009" s="14" t="s">
        <v>538</v>
      </c>
      <c r="DF1009" s="14">
        <f>INDEX(属性投放!$BK$6:$BK$85,(CV1009-2)*20+CZ1009)</f>
        <v>100</v>
      </c>
      <c r="DG1009" s="14">
        <f>SUMIFS(DF$5:DF1009,$CT$5:$CT1009,"="&amp;$CT1009)</f>
        <v>910</v>
      </c>
      <c r="DH1009" s="14" t="s">
        <v>539</v>
      </c>
      <c r="DI1009" s="14">
        <f>INDEX(属性投放!$BL$6:$BL$85,(CV1009-2)*20+CZ1009)</f>
        <v>50</v>
      </c>
      <c r="DJ1009" s="14">
        <f>SUMIFS(DI$5:DI1009,$CT$5:$CT1009,"="&amp;$CT1009)</f>
        <v>458</v>
      </c>
      <c r="DK1009" s="14" t="s">
        <v>540</v>
      </c>
      <c r="DL1009" s="14">
        <f>INDEX(属性投放!$BM$6:$BM$85,(CV1009-2)*20+CZ1009)</f>
        <v>800</v>
      </c>
      <c r="DM1009" s="14">
        <f>SUMIFS(DL$5:DL1009,$CT$5:$CT1009,"="&amp;$CT1009)</f>
        <v>6750</v>
      </c>
    </row>
    <row r="1010" spans="97:117" ht="16.5" x14ac:dyDescent="0.2">
      <c r="CS1010" s="13">
        <v>1006</v>
      </c>
      <c r="CT1010" s="13">
        <f t="shared" si="1092"/>
        <v>20</v>
      </c>
      <c r="CU1010" s="13">
        <f t="shared" si="1093"/>
        <v>18</v>
      </c>
      <c r="CV1010" s="14">
        <f t="shared" si="1094"/>
        <v>3</v>
      </c>
      <c r="CW1010" s="14">
        <f t="shared" si="1095"/>
        <v>1102020</v>
      </c>
      <c r="CX1010" s="14" t="str">
        <f>INDEX($O$6:$O$50,CT1010)&amp;"-"&amp;INDEX(属性投放!$AB$7:$AB$50,CZ1010)&amp;"-魂火-"&amp;DB1010</f>
        <v>高顺-叫唤+2-魂火-3</v>
      </c>
      <c r="CY1010" s="25" t="s">
        <v>142</v>
      </c>
      <c r="CZ1010" s="14">
        <f>INDEX(属性投放!$AM$7:$AM$58,CU1010)</f>
        <v>9</v>
      </c>
      <c r="DA1010" s="14" t="s">
        <v>537</v>
      </c>
      <c r="DB1010" s="14">
        <f>INDEX(属性投放!$AN$7:$AN$58,CU1010)</f>
        <v>3</v>
      </c>
      <c r="DC1010" s="14">
        <f t="shared" si="1091"/>
        <v>18</v>
      </c>
      <c r="DD1010" s="14">
        <f>INDEX(属性投放!$AO$7:$AO$58,DC1010)</f>
        <v>63</v>
      </c>
      <c r="DE1010" s="14" t="s">
        <v>538</v>
      </c>
      <c r="DF1010" s="14">
        <f>INDEX(属性投放!$BK$6:$BK$85,(CV1010-2)*20+CZ1010)</f>
        <v>100</v>
      </c>
      <c r="DG1010" s="14">
        <f>SUMIFS(DF$5:DF1010,$CT$5:$CT1010,"="&amp;$CT1010)</f>
        <v>1010</v>
      </c>
      <c r="DH1010" s="14" t="s">
        <v>539</v>
      </c>
      <c r="DI1010" s="14">
        <f>INDEX(属性投放!$BL$6:$BL$85,(CV1010-2)*20+CZ1010)</f>
        <v>50</v>
      </c>
      <c r="DJ1010" s="14">
        <f>SUMIFS(DI$5:DI1010,$CT$5:$CT1010,"="&amp;$CT1010)</f>
        <v>508</v>
      </c>
      <c r="DK1010" s="14" t="s">
        <v>540</v>
      </c>
      <c r="DL1010" s="14">
        <f>INDEX(属性投放!$BM$6:$BM$85,(CV1010-2)*20+CZ1010)</f>
        <v>800</v>
      </c>
      <c r="DM1010" s="14">
        <f>SUMIFS(DL$5:DL1010,$CT$5:$CT1010,"="&amp;$CT1010)</f>
        <v>7550</v>
      </c>
    </row>
    <row r="1011" spans="97:117" ht="16.5" x14ac:dyDescent="0.2">
      <c r="CS1011" s="13">
        <v>1007</v>
      </c>
      <c r="CT1011" s="13">
        <f t="shared" si="1092"/>
        <v>20</v>
      </c>
      <c r="CU1011" s="13">
        <f t="shared" si="1093"/>
        <v>19</v>
      </c>
      <c r="CV1011" s="14">
        <f t="shared" si="1094"/>
        <v>3</v>
      </c>
      <c r="CW1011" s="14">
        <f t="shared" si="1095"/>
        <v>1102020</v>
      </c>
      <c r="CX1011" s="14" t="str">
        <f>INDEX($O$6:$O$50,CT1011)&amp;"-"&amp;INDEX(属性投放!$AB$7:$AB$50,CZ1011)&amp;"-魂火-"&amp;DB1011</f>
        <v>高顺-大叫唤-魂火-1</v>
      </c>
      <c r="CY1011" s="25" t="s">
        <v>142</v>
      </c>
      <c r="CZ1011" s="14">
        <f>INDEX(属性投放!$AM$7:$AM$58,CU1011)</f>
        <v>10</v>
      </c>
      <c r="DA1011" s="14" t="s">
        <v>537</v>
      </c>
      <c r="DB1011" s="14">
        <f>INDEX(属性投放!$AN$7:$AN$58,CU1011)</f>
        <v>1</v>
      </c>
      <c r="DC1011" s="14">
        <f t="shared" si="1091"/>
        <v>19</v>
      </c>
      <c r="DD1011" s="14">
        <f>INDEX(属性投放!$AO$7:$AO$58,DC1011)</f>
        <v>65</v>
      </c>
      <c r="DE1011" s="14" t="s">
        <v>538</v>
      </c>
      <c r="DF1011" s="14">
        <f>INDEX(属性投放!$BK$6:$BK$85,(CV1011-2)*20+CZ1011)</f>
        <v>120</v>
      </c>
      <c r="DG1011" s="14">
        <f>SUMIFS(DF$5:DF1011,$CT$5:$CT1011,"="&amp;$CT1011)</f>
        <v>1130</v>
      </c>
      <c r="DH1011" s="14" t="s">
        <v>539</v>
      </c>
      <c r="DI1011" s="14">
        <f>INDEX(属性投放!$BL$6:$BL$85,(CV1011-2)*20+CZ1011)</f>
        <v>60</v>
      </c>
      <c r="DJ1011" s="14">
        <f>SUMIFS(DI$5:DI1011,$CT$5:$CT1011,"="&amp;$CT1011)</f>
        <v>568</v>
      </c>
      <c r="DK1011" s="14" t="s">
        <v>540</v>
      </c>
      <c r="DL1011" s="14">
        <f>INDEX(属性投放!$BM$6:$BM$85,(CV1011-2)*20+CZ1011)</f>
        <v>1080</v>
      </c>
      <c r="DM1011" s="14">
        <f>SUMIFS(DL$5:DL1011,$CT$5:$CT1011,"="&amp;$CT1011)</f>
        <v>8630</v>
      </c>
    </row>
    <row r="1012" spans="97:117" ht="16.5" x14ac:dyDescent="0.2">
      <c r="CS1012" s="13">
        <v>1008</v>
      </c>
      <c r="CT1012" s="13">
        <f t="shared" si="1092"/>
        <v>20</v>
      </c>
      <c r="CU1012" s="13">
        <f t="shared" si="1093"/>
        <v>20</v>
      </c>
      <c r="CV1012" s="14">
        <f t="shared" si="1094"/>
        <v>3</v>
      </c>
      <c r="CW1012" s="14">
        <f t="shared" si="1095"/>
        <v>1102020</v>
      </c>
      <c r="CX1012" s="14" t="str">
        <f>INDEX($O$6:$O$50,CT1012)&amp;"-"&amp;INDEX(属性投放!$AB$7:$AB$50,CZ1012)&amp;"-魂火-"&amp;DB1012</f>
        <v>高顺-大叫唤-魂火-2</v>
      </c>
      <c r="CY1012" s="25" t="s">
        <v>142</v>
      </c>
      <c r="CZ1012" s="14">
        <f>INDEX(属性投放!$AM$7:$AM$58,CU1012)</f>
        <v>10</v>
      </c>
      <c r="DA1012" s="14" t="s">
        <v>537</v>
      </c>
      <c r="DB1012" s="14">
        <f>INDEX(属性投放!$AN$7:$AN$58,CU1012)</f>
        <v>2</v>
      </c>
      <c r="DC1012" s="14">
        <f t="shared" si="1091"/>
        <v>20</v>
      </c>
      <c r="DD1012" s="14">
        <f>INDEX(属性投放!$AO$7:$AO$58,DC1012)</f>
        <v>68</v>
      </c>
      <c r="DE1012" s="14" t="s">
        <v>538</v>
      </c>
      <c r="DF1012" s="14">
        <f>INDEX(属性投放!$BK$6:$BK$85,(CV1012-2)*20+CZ1012)</f>
        <v>120</v>
      </c>
      <c r="DG1012" s="14">
        <f>SUMIFS(DF$5:DF1012,$CT$5:$CT1012,"="&amp;$CT1012)</f>
        <v>1250</v>
      </c>
      <c r="DH1012" s="14" t="s">
        <v>539</v>
      </c>
      <c r="DI1012" s="14">
        <f>INDEX(属性投放!$BL$6:$BL$85,(CV1012-2)*20+CZ1012)</f>
        <v>60</v>
      </c>
      <c r="DJ1012" s="14">
        <f>SUMIFS(DI$5:DI1012,$CT$5:$CT1012,"="&amp;$CT1012)</f>
        <v>628</v>
      </c>
      <c r="DK1012" s="14" t="s">
        <v>540</v>
      </c>
      <c r="DL1012" s="14">
        <f>INDEX(属性投放!$BM$6:$BM$85,(CV1012-2)*20+CZ1012)</f>
        <v>1080</v>
      </c>
      <c r="DM1012" s="14">
        <f>SUMIFS(DL$5:DL1012,$CT$5:$CT1012,"="&amp;$CT1012)</f>
        <v>9710</v>
      </c>
    </row>
    <row r="1013" spans="97:117" ht="16.5" x14ac:dyDescent="0.2">
      <c r="CS1013" s="13">
        <v>1009</v>
      </c>
      <c r="CT1013" s="13">
        <f t="shared" si="1092"/>
        <v>20</v>
      </c>
      <c r="CU1013" s="13">
        <f t="shared" si="1093"/>
        <v>21</v>
      </c>
      <c r="CV1013" s="14">
        <f t="shared" si="1094"/>
        <v>3</v>
      </c>
      <c r="CW1013" s="14">
        <f t="shared" si="1095"/>
        <v>1102020</v>
      </c>
      <c r="CX1013" s="14" t="str">
        <f>INDEX($O$6:$O$50,CT1013)&amp;"-"&amp;INDEX(属性投放!$AB$7:$AB$50,CZ1013)&amp;"-魂火-"&amp;DB1013</f>
        <v>高顺-大叫唤-魂火-3</v>
      </c>
      <c r="CY1013" s="25" t="s">
        <v>142</v>
      </c>
      <c r="CZ1013" s="14">
        <f>INDEX(属性投放!$AM$7:$AM$58,CU1013)</f>
        <v>10</v>
      </c>
      <c r="DA1013" s="14" t="s">
        <v>537</v>
      </c>
      <c r="DB1013" s="14">
        <f>INDEX(属性投放!$AN$7:$AN$58,CU1013)</f>
        <v>3</v>
      </c>
      <c r="DC1013" s="14">
        <f t="shared" si="1091"/>
        <v>21</v>
      </c>
      <c r="DD1013" s="14">
        <f>INDEX(属性投放!$AO$7:$AO$58,DC1013)</f>
        <v>70</v>
      </c>
      <c r="DE1013" s="14" t="s">
        <v>538</v>
      </c>
      <c r="DF1013" s="14">
        <f>INDEX(属性投放!$BK$6:$BK$85,(CV1013-2)*20+CZ1013)</f>
        <v>120</v>
      </c>
      <c r="DG1013" s="14">
        <f>SUMIFS(DF$5:DF1013,$CT$5:$CT1013,"="&amp;$CT1013)</f>
        <v>1370</v>
      </c>
      <c r="DH1013" s="14" t="s">
        <v>539</v>
      </c>
      <c r="DI1013" s="14">
        <f>INDEX(属性投放!$BL$6:$BL$85,(CV1013-2)*20+CZ1013)</f>
        <v>60</v>
      </c>
      <c r="DJ1013" s="14">
        <f>SUMIFS(DI$5:DI1013,$CT$5:$CT1013,"="&amp;$CT1013)</f>
        <v>688</v>
      </c>
      <c r="DK1013" s="14" t="s">
        <v>540</v>
      </c>
      <c r="DL1013" s="14">
        <f>INDEX(属性投放!$BM$6:$BM$85,(CV1013-2)*20+CZ1013)</f>
        <v>1080</v>
      </c>
      <c r="DM1013" s="14">
        <f>SUMIFS(DL$5:DL1013,$CT$5:$CT1013,"="&amp;$CT1013)</f>
        <v>10790</v>
      </c>
    </row>
    <row r="1014" spans="97:117" ht="16.5" x14ac:dyDescent="0.2">
      <c r="CS1014" s="13">
        <v>1010</v>
      </c>
      <c r="CT1014" s="13">
        <f t="shared" si="1092"/>
        <v>20</v>
      </c>
      <c r="CU1014" s="13">
        <f t="shared" si="1093"/>
        <v>22</v>
      </c>
      <c r="CV1014" s="14">
        <f t="shared" si="1094"/>
        <v>3</v>
      </c>
      <c r="CW1014" s="14">
        <f t="shared" si="1095"/>
        <v>1102020</v>
      </c>
      <c r="CX1014" s="14" t="str">
        <f>INDEX($O$6:$O$50,CT1014)&amp;"-"&amp;INDEX(属性投放!$AB$7:$AB$50,CZ1014)&amp;"-魂火-"&amp;DB1014</f>
        <v>高顺-大叫唤+1-魂火-1</v>
      </c>
      <c r="CY1014" s="25" t="s">
        <v>142</v>
      </c>
      <c r="CZ1014" s="14">
        <f>INDEX(属性投放!$AM$7:$AM$58,CU1014)</f>
        <v>11</v>
      </c>
      <c r="DA1014" s="14" t="s">
        <v>537</v>
      </c>
      <c r="DB1014" s="14">
        <f>INDEX(属性投放!$AN$7:$AN$58,CU1014)</f>
        <v>1</v>
      </c>
      <c r="DC1014" s="14">
        <f t="shared" si="1091"/>
        <v>22</v>
      </c>
      <c r="DD1014" s="14">
        <f>INDEX(属性投放!$AO$7:$AO$58,DC1014)</f>
        <v>73</v>
      </c>
      <c r="DE1014" s="14" t="s">
        <v>538</v>
      </c>
      <c r="DF1014" s="14">
        <f>INDEX(属性投放!$BK$6:$BK$85,(CV1014-2)*20+CZ1014)</f>
        <v>150</v>
      </c>
      <c r="DG1014" s="14">
        <f>SUMIFS(DF$5:DF1014,$CT$5:$CT1014,"="&amp;$CT1014)</f>
        <v>1520</v>
      </c>
      <c r="DH1014" s="14" t="s">
        <v>539</v>
      </c>
      <c r="DI1014" s="14">
        <f>INDEX(属性投放!$BL$6:$BL$85,(CV1014-2)*20+CZ1014)</f>
        <v>75</v>
      </c>
      <c r="DJ1014" s="14">
        <f>SUMIFS(DI$5:DI1014,$CT$5:$CT1014,"="&amp;$CT1014)</f>
        <v>763</v>
      </c>
      <c r="DK1014" s="14" t="s">
        <v>540</v>
      </c>
      <c r="DL1014" s="14">
        <f>INDEX(属性投放!$BM$6:$BM$85,(CV1014-2)*20+CZ1014)</f>
        <v>1350</v>
      </c>
      <c r="DM1014" s="14">
        <f>SUMIFS(DL$5:DL1014,$CT$5:$CT1014,"="&amp;$CT1014)</f>
        <v>12140</v>
      </c>
    </row>
    <row r="1015" spans="97:117" ht="16.5" x14ac:dyDescent="0.2">
      <c r="CS1015" s="13">
        <v>1011</v>
      </c>
      <c r="CT1015" s="13">
        <f t="shared" si="1092"/>
        <v>20</v>
      </c>
      <c r="CU1015" s="13">
        <f t="shared" si="1093"/>
        <v>23</v>
      </c>
      <c r="CV1015" s="14">
        <f t="shared" si="1094"/>
        <v>3</v>
      </c>
      <c r="CW1015" s="14">
        <f t="shared" si="1095"/>
        <v>1102020</v>
      </c>
      <c r="CX1015" s="14" t="str">
        <f>INDEX($O$6:$O$50,CT1015)&amp;"-"&amp;INDEX(属性投放!$AB$7:$AB$50,CZ1015)&amp;"-魂火-"&amp;DB1015</f>
        <v>高顺-大叫唤+1-魂火-2</v>
      </c>
      <c r="CY1015" s="25" t="s">
        <v>142</v>
      </c>
      <c r="CZ1015" s="14">
        <f>INDEX(属性投放!$AM$7:$AM$58,CU1015)</f>
        <v>11</v>
      </c>
      <c r="DA1015" s="14" t="s">
        <v>537</v>
      </c>
      <c r="DB1015" s="14">
        <f>INDEX(属性投放!$AN$7:$AN$58,CU1015)</f>
        <v>2</v>
      </c>
      <c r="DC1015" s="14">
        <f t="shared" si="1091"/>
        <v>23</v>
      </c>
      <c r="DD1015" s="14">
        <f>INDEX(属性投放!$AO$7:$AO$58,DC1015)</f>
        <v>75</v>
      </c>
      <c r="DE1015" s="14" t="s">
        <v>538</v>
      </c>
      <c r="DF1015" s="14">
        <f>INDEX(属性投放!$BK$6:$BK$85,(CV1015-2)*20+CZ1015)</f>
        <v>150</v>
      </c>
      <c r="DG1015" s="14">
        <f>SUMIFS(DF$5:DF1015,$CT$5:$CT1015,"="&amp;$CT1015)</f>
        <v>1670</v>
      </c>
      <c r="DH1015" s="14" t="s">
        <v>539</v>
      </c>
      <c r="DI1015" s="14">
        <f>INDEX(属性投放!$BL$6:$BL$85,(CV1015-2)*20+CZ1015)</f>
        <v>75</v>
      </c>
      <c r="DJ1015" s="14">
        <f>SUMIFS(DI$5:DI1015,$CT$5:$CT1015,"="&amp;$CT1015)</f>
        <v>838</v>
      </c>
      <c r="DK1015" s="14" t="s">
        <v>540</v>
      </c>
      <c r="DL1015" s="14">
        <f>INDEX(属性投放!$BM$6:$BM$85,(CV1015-2)*20+CZ1015)</f>
        <v>1350</v>
      </c>
      <c r="DM1015" s="14">
        <f>SUMIFS(DL$5:DL1015,$CT$5:$CT1015,"="&amp;$CT1015)</f>
        <v>13490</v>
      </c>
    </row>
    <row r="1016" spans="97:117" ht="16.5" x14ac:dyDescent="0.2">
      <c r="CS1016" s="13">
        <v>1012</v>
      </c>
      <c r="CT1016" s="13">
        <f t="shared" si="1092"/>
        <v>20</v>
      </c>
      <c r="CU1016" s="13">
        <f t="shared" si="1093"/>
        <v>24</v>
      </c>
      <c r="CV1016" s="14">
        <f t="shared" si="1094"/>
        <v>3</v>
      </c>
      <c r="CW1016" s="14">
        <f t="shared" si="1095"/>
        <v>1102020</v>
      </c>
      <c r="CX1016" s="14" t="str">
        <f>INDEX($O$6:$O$50,CT1016)&amp;"-"&amp;INDEX(属性投放!$AB$7:$AB$50,CZ1016)&amp;"-魂火-"&amp;DB1016</f>
        <v>高顺-大叫唤+1-魂火-3</v>
      </c>
      <c r="CY1016" s="25" t="s">
        <v>142</v>
      </c>
      <c r="CZ1016" s="14">
        <f>INDEX(属性投放!$AM$7:$AM$58,CU1016)</f>
        <v>11</v>
      </c>
      <c r="DA1016" s="14" t="s">
        <v>537</v>
      </c>
      <c r="DB1016" s="14">
        <f>INDEX(属性投放!$AN$7:$AN$58,CU1016)</f>
        <v>3</v>
      </c>
      <c r="DC1016" s="14">
        <f t="shared" si="1091"/>
        <v>24</v>
      </c>
      <c r="DD1016" s="14">
        <f>INDEX(属性投放!$AO$7:$AO$58,DC1016)</f>
        <v>78</v>
      </c>
      <c r="DE1016" s="14" t="s">
        <v>538</v>
      </c>
      <c r="DF1016" s="14">
        <f>INDEX(属性投放!$BK$6:$BK$85,(CV1016-2)*20+CZ1016)</f>
        <v>150</v>
      </c>
      <c r="DG1016" s="14">
        <f>SUMIFS(DF$5:DF1016,$CT$5:$CT1016,"="&amp;$CT1016)</f>
        <v>1820</v>
      </c>
      <c r="DH1016" s="14" t="s">
        <v>539</v>
      </c>
      <c r="DI1016" s="14">
        <f>INDEX(属性投放!$BL$6:$BL$85,(CV1016-2)*20+CZ1016)</f>
        <v>75</v>
      </c>
      <c r="DJ1016" s="14">
        <f>SUMIFS(DI$5:DI1016,$CT$5:$CT1016,"="&amp;$CT1016)</f>
        <v>913</v>
      </c>
      <c r="DK1016" s="14" t="s">
        <v>540</v>
      </c>
      <c r="DL1016" s="14">
        <f>INDEX(属性投放!$BM$6:$BM$85,(CV1016-2)*20+CZ1016)</f>
        <v>1350</v>
      </c>
      <c r="DM1016" s="14">
        <f>SUMIFS(DL$5:DL1016,$CT$5:$CT1016,"="&amp;$CT1016)</f>
        <v>14840</v>
      </c>
    </row>
    <row r="1017" spans="97:117" ht="16.5" x14ac:dyDescent="0.2">
      <c r="CS1017" s="13">
        <v>1013</v>
      </c>
      <c r="CT1017" s="13">
        <f t="shared" si="1092"/>
        <v>20</v>
      </c>
      <c r="CU1017" s="13">
        <f t="shared" si="1093"/>
        <v>25</v>
      </c>
      <c r="CV1017" s="14">
        <f t="shared" si="1094"/>
        <v>3</v>
      </c>
      <c r="CW1017" s="14">
        <f t="shared" si="1095"/>
        <v>1102020</v>
      </c>
      <c r="CX1017" s="14" t="str">
        <f>INDEX($O$6:$O$50,CT1017)&amp;"-"&amp;INDEX(属性投放!$AB$7:$AB$50,CZ1017)&amp;"-魂火-"&amp;DB1017</f>
        <v>高顺-大叫唤+2-魂火-1</v>
      </c>
      <c r="CY1017" s="25" t="s">
        <v>142</v>
      </c>
      <c r="CZ1017" s="14">
        <f>INDEX(属性投放!$AM$7:$AM$58,CU1017)</f>
        <v>12</v>
      </c>
      <c r="DA1017" s="14" t="s">
        <v>537</v>
      </c>
      <c r="DB1017" s="14">
        <f>INDEX(属性投放!$AN$7:$AN$58,CU1017)</f>
        <v>1</v>
      </c>
      <c r="DC1017" s="14">
        <f t="shared" si="1091"/>
        <v>25</v>
      </c>
      <c r="DD1017" s="14">
        <f>INDEX(属性投放!$AO$7:$AO$58,DC1017)</f>
        <v>80</v>
      </c>
      <c r="DE1017" s="14" t="s">
        <v>538</v>
      </c>
      <c r="DF1017" s="14">
        <f>INDEX(属性投放!$BK$6:$BK$85,(CV1017-2)*20+CZ1017)</f>
        <v>200</v>
      </c>
      <c r="DG1017" s="14">
        <f>SUMIFS(DF$5:DF1017,$CT$5:$CT1017,"="&amp;$CT1017)</f>
        <v>2020</v>
      </c>
      <c r="DH1017" s="14" t="s">
        <v>539</v>
      </c>
      <c r="DI1017" s="14">
        <f>INDEX(属性投放!$BL$6:$BL$85,(CV1017-2)*20+CZ1017)</f>
        <v>100</v>
      </c>
      <c r="DJ1017" s="14">
        <f>SUMIFS(DI$5:DI1017,$CT$5:$CT1017,"="&amp;$CT1017)</f>
        <v>1013</v>
      </c>
      <c r="DK1017" s="14" t="s">
        <v>540</v>
      </c>
      <c r="DL1017" s="14">
        <f>INDEX(属性投放!$BM$6:$BM$85,(CV1017-2)*20+CZ1017)</f>
        <v>1800</v>
      </c>
      <c r="DM1017" s="14">
        <f>SUMIFS(DL$5:DL1017,$CT$5:$CT1017,"="&amp;$CT1017)</f>
        <v>16640</v>
      </c>
    </row>
    <row r="1018" spans="97:117" ht="16.5" x14ac:dyDescent="0.2">
      <c r="CS1018" s="13">
        <v>1014</v>
      </c>
      <c r="CT1018" s="13">
        <f t="shared" si="1092"/>
        <v>20</v>
      </c>
      <c r="CU1018" s="13">
        <f t="shared" si="1093"/>
        <v>26</v>
      </c>
      <c r="CV1018" s="14">
        <f t="shared" si="1094"/>
        <v>3</v>
      </c>
      <c r="CW1018" s="14">
        <f t="shared" si="1095"/>
        <v>1102020</v>
      </c>
      <c r="CX1018" s="14" t="str">
        <f>INDEX($O$6:$O$50,CT1018)&amp;"-"&amp;INDEX(属性投放!$AB$7:$AB$50,CZ1018)&amp;"-魂火-"&amp;DB1018</f>
        <v>高顺-大叫唤+2-魂火-2</v>
      </c>
      <c r="CY1018" s="25" t="s">
        <v>142</v>
      </c>
      <c r="CZ1018" s="14">
        <f>INDEX(属性投放!$AM$7:$AM$58,CU1018)</f>
        <v>12</v>
      </c>
      <c r="DA1018" s="14" t="s">
        <v>537</v>
      </c>
      <c r="DB1018" s="14">
        <f>INDEX(属性投放!$AN$7:$AN$58,CU1018)</f>
        <v>2</v>
      </c>
      <c r="DC1018" s="14">
        <f t="shared" si="1091"/>
        <v>26</v>
      </c>
      <c r="DD1018" s="14">
        <f>INDEX(属性投放!$AO$7:$AO$58,DC1018)</f>
        <v>83</v>
      </c>
      <c r="DE1018" s="14" t="s">
        <v>538</v>
      </c>
      <c r="DF1018" s="14">
        <f>INDEX(属性投放!$BK$6:$BK$85,(CV1018-2)*20+CZ1018)</f>
        <v>200</v>
      </c>
      <c r="DG1018" s="14">
        <f>SUMIFS(DF$5:DF1018,$CT$5:$CT1018,"="&amp;$CT1018)</f>
        <v>2220</v>
      </c>
      <c r="DH1018" s="14" t="s">
        <v>539</v>
      </c>
      <c r="DI1018" s="14">
        <f>INDEX(属性投放!$BL$6:$BL$85,(CV1018-2)*20+CZ1018)</f>
        <v>100</v>
      </c>
      <c r="DJ1018" s="14">
        <f>SUMIFS(DI$5:DI1018,$CT$5:$CT1018,"="&amp;$CT1018)</f>
        <v>1113</v>
      </c>
      <c r="DK1018" s="14" t="s">
        <v>540</v>
      </c>
      <c r="DL1018" s="14">
        <f>INDEX(属性投放!$BM$6:$BM$85,(CV1018-2)*20+CZ1018)</f>
        <v>1800</v>
      </c>
      <c r="DM1018" s="14">
        <f>SUMIFS(DL$5:DL1018,$CT$5:$CT1018,"="&amp;$CT1018)</f>
        <v>18440</v>
      </c>
    </row>
    <row r="1019" spans="97:117" ht="16.5" x14ac:dyDescent="0.2">
      <c r="CS1019" s="13">
        <v>1015</v>
      </c>
      <c r="CT1019" s="13">
        <f t="shared" si="1092"/>
        <v>20</v>
      </c>
      <c r="CU1019" s="13">
        <f t="shared" si="1093"/>
        <v>27</v>
      </c>
      <c r="CV1019" s="14">
        <f t="shared" si="1094"/>
        <v>3</v>
      </c>
      <c r="CW1019" s="14">
        <f t="shared" si="1095"/>
        <v>1102020</v>
      </c>
      <c r="CX1019" s="14" t="str">
        <f>INDEX($O$6:$O$50,CT1019)&amp;"-"&amp;INDEX(属性投放!$AB$7:$AB$50,CZ1019)&amp;"-魂火-"&amp;DB1019</f>
        <v>高顺-大叫唤+2-魂火-3</v>
      </c>
      <c r="CY1019" s="25" t="s">
        <v>142</v>
      </c>
      <c r="CZ1019" s="14">
        <f>INDEX(属性投放!$AM$7:$AM$58,CU1019)</f>
        <v>12</v>
      </c>
      <c r="DA1019" s="14" t="s">
        <v>537</v>
      </c>
      <c r="DB1019" s="14">
        <f>INDEX(属性投放!$AN$7:$AN$58,CU1019)</f>
        <v>3</v>
      </c>
      <c r="DC1019" s="14">
        <f t="shared" si="1091"/>
        <v>27</v>
      </c>
      <c r="DD1019" s="14">
        <f>INDEX(属性投放!$AO$7:$AO$58,DC1019)</f>
        <v>85</v>
      </c>
      <c r="DE1019" s="14" t="s">
        <v>538</v>
      </c>
      <c r="DF1019" s="14">
        <f>INDEX(属性投放!$BK$6:$BK$85,(CV1019-2)*20+CZ1019)</f>
        <v>200</v>
      </c>
      <c r="DG1019" s="14">
        <f>SUMIFS(DF$5:DF1019,$CT$5:$CT1019,"="&amp;$CT1019)</f>
        <v>2420</v>
      </c>
      <c r="DH1019" s="14" t="s">
        <v>539</v>
      </c>
      <c r="DI1019" s="14">
        <f>INDEX(属性投放!$BL$6:$BL$85,(CV1019-2)*20+CZ1019)</f>
        <v>100</v>
      </c>
      <c r="DJ1019" s="14">
        <f>SUMIFS(DI$5:DI1019,$CT$5:$CT1019,"="&amp;$CT1019)</f>
        <v>1213</v>
      </c>
      <c r="DK1019" s="14" t="s">
        <v>540</v>
      </c>
      <c r="DL1019" s="14">
        <f>INDEX(属性投放!$BM$6:$BM$85,(CV1019-2)*20+CZ1019)</f>
        <v>1800</v>
      </c>
      <c r="DM1019" s="14">
        <f>SUMIFS(DL$5:DL1019,$CT$5:$CT1019,"="&amp;$CT1019)</f>
        <v>20240</v>
      </c>
    </row>
    <row r="1020" spans="97:117" ht="16.5" x14ac:dyDescent="0.2">
      <c r="CS1020" s="13">
        <v>1016</v>
      </c>
      <c r="CT1020" s="13">
        <f t="shared" si="1092"/>
        <v>20</v>
      </c>
      <c r="CU1020" s="13">
        <f t="shared" si="1093"/>
        <v>28</v>
      </c>
      <c r="CV1020" s="14">
        <f t="shared" si="1094"/>
        <v>3</v>
      </c>
      <c r="CW1020" s="14">
        <f t="shared" si="1095"/>
        <v>1102020</v>
      </c>
      <c r="CX1020" s="14" t="str">
        <f>INDEX($O$6:$O$50,CT1020)&amp;"-"&amp;INDEX(属性投放!$AB$7:$AB$50,CZ1020)&amp;"-魂火-"&amp;DB1020</f>
        <v>高顺-焦热-魂火-1</v>
      </c>
      <c r="CY1020" s="25" t="s">
        <v>142</v>
      </c>
      <c r="CZ1020" s="14">
        <f>INDEX(属性投放!$AM$7:$AM$58,CU1020)</f>
        <v>13</v>
      </c>
      <c r="DA1020" s="14" t="s">
        <v>537</v>
      </c>
      <c r="DB1020" s="14">
        <f>INDEX(属性投放!$AN$7:$AN$58,CU1020)</f>
        <v>1</v>
      </c>
      <c r="DC1020" s="14">
        <f t="shared" si="1091"/>
        <v>28</v>
      </c>
      <c r="DD1020" s="14">
        <f>INDEX(属性投放!$AO$7:$AO$58,DC1020)</f>
        <v>88</v>
      </c>
      <c r="DE1020" s="14" t="s">
        <v>538</v>
      </c>
      <c r="DF1020" s="14">
        <f>INDEX(属性投放!$BK$6:$BK$85,(CV1020-2)*20+CZ1020)</f>
        <v>250</v>
      </c>
      <c r="DG1020" s="14">
        <f>SUMIFS(DF$5:DF1020,$CT$5:$CT1020,"="&amp;$CT1020)</f>
        <v>2670</v>
      </c>
      <c r="DH1020" s="14" t="s">
        <v>539</v>
      </c>
      <c r="DI1020" s="14">
        <f>INDEX(属性投放!$BL$6:$BL$85,(CV1020-2)*20+CZ1020)</f>
        <v>125</v>
      </c>
      <c r="DJ1020" s="14">
        <f>SUMIFS(DI$5:DI1020,$CT$5:$CT1020,"="&amp;$CT1020)</f>
        <v>1338</v>
      </c>
      <c r="DK1020" s="14" t="s">
        <v>540</v>
      </c>
      <c r="DL1020" s="14">
        <f>INDEX(属性投放!$BM$6:$BM$85,(CV1020-2)*20+CZ1020)</f>
        <v>2500</v>
      </c>
      <c r="DM1020" s="14">
        <f>SUMIFS(DL$5:DL1020,$CT$5:$CT1020,"="&amp;$CT1020)</f>
        <v>22740</v>
      </c>
    </row>
    <row r="1021" spans="97:117" ht="16.5" x14ac:dyDescent="0.2">
      <c r="CS1021" s="13">
        <v>1017</v>
      </c>
      <c r="CT1021" s="13">
        <f t="shared" si="1092"/>
        <v>20</v>
      </c>
      <c r="CU1021" s="13">
        <f t="shared" si="1093"/>
        <v>29</v>
      </c>
      <c r="CV1021" s="14">
        <f t="shared" si="1094"/>
        <v>3</v>
      </c>
      <c r="CW1021" s="14">
        <f t="shared" si="1095"/>
        <v>1102020</v>
      </c>
      <c r="CX1021" s="14" t="str">
        <f>INDEX($O$6:$O$50,CT1021)&amp;"-"&amp;INDEX(属性投放!$AB$7:$AB$50,CZ1021)&amp;"-魂火-"&amp;DB1021</f>
        <v>高顺-焦热-魂火-2</v>
      </c>
      <c r="CY1021" s="25" t="s">
        <v>142</v>
      </c>
      <c r="CZ1021" s="14">
        <f>INDEX(属性投放!$AM$7:$AM$58,CU1021)</f>
        <v>13</v>
      </c>
      <c r="DA1021" s="14" t="s">
        <v>537</v>
      </c>
      <c r="DB1021" s="14">
        <f>INDEX(属性投放!$AN$7:$AN$58,CU1021)</f>
        <v>2</v>
      </c>
      <c r="DC1021" s="14">
        <f t="shared" si="1091"/>
        <v>29</v>
      </c>
      <c r="DD1021" s="14">
        <f>INDEX(属性投放!$AO$7:$AO$58,DC1021)</f>
        <v>90</v>
      </c>
      <c r="DE1021" s="14" t="s">
        <v>538</v>
      </c>
      <c r="DF1021" s="14">
        <f>INDEX(属性投放!$BK$6:$BK$85,(CV1021-2)*20+CZ1021)</f>
        <v>250</v>
      </c>
      <c r="DG1021" s="14">
        <f>SUMIFS(DF$5:DF1021,$CT$5:$CT1021,"="&amp;$CT1021)</f>
        <v>2920</v>
      </c>
      <c r="DH1021" s="14" t="s">
        <v>539</v>
      </c>
      <c r="DI1021" s="14">
        <f>INDEX(属性投放!$BL$6:$BL$85,(CV1021-2)*20+CZ1021)</f>
        <v>125</v>
      </c>
      <c r="DJ1021" s="14">
        <f>SUMIFS(DI$5:DI1021,$CT$5:$CT1021,"="&amp;$CT1021)</f>
        <v>1463</v>
      </c>
      <c r="DK1021" s="14" t="s">
        <v>540</v>
      </c>
      <c r="DL1021" s="14">
        <f>INDEX(属性投放!$BM$6:$BM$85,(CV1021-2)*20+CZ1021)</f>
        <v>2500</v>
      </c>
      <c r="DM1021" s="14">
        <f>SUMIFS(DL$5:DL1021,$CT$5:$CT1021,"="&amp;$CT1021)</f>
        <v>25240</v>
      </c>
    </row>
    <row r="1022" spans="97:117" ht="16.5" x14ac:dyDescent="0.2">
      <c r="CS1022" s="13">
        <v>1018</v>
      </c>
      <c r="CT1022" s="13">
        <f t="shared" si="1092"/>
        <v>20</v>
      </c>
      <c r="CU1022" s="13">
        <f t="shared" si="1093"/>
        <v>30</v>
      </c>
      <c r="CV1022" s="14">
        <f t="shared" si="1094"/>
        <v>3</v>
      </c>
      <c r="CW1022" s="14">
        <f t="shared" si="1095"/>
        <v>1102020</v>
      </c>
      <c r="CX1022" s="14" t="str">
        <f>INDEX($O$6:$O$50,CT1022)&amp;"-"&amp;INDEX(属性投放!$AB$7:$AB$50,CZ1022)&amp;"-魂火-"&amp;DB1022</f>
        <v>高顺-焦热-魂火-3</v>
      </c>
      <c r="CY1022" s="25" t="s">
        <v>142</v>
      </c>
      <c r="CZ1022" s="14">
        <f>INDEX(属性投放!$AM$7:$AM$58,CU1022)</f>
        <v>13</v>
      </c>
      <c r="DA1022" s="14" t="s">
        <v>537</v>
      </c>
      <c r="DB1022" s="14">
        <f>INDEX(属性投放!$AN$7:$AN$58,CU1022)</f>
        <v>3</v>
      </c>
      <c r="DC1022" s="14">
        <f t="shared" si="1091"/>
        <v>30</v>
      </c>
      <c r="DD1022" s="14">
        <f>INDEX(属性投放!$AO$7:$AO$58,DC1022)</f>
        <v>93</v>
      </c>
      <c r="DE1022" s="14" t="s">
        <v>538</v>
      </c>
      <c r="DF1022" s="14">
        <f>INDEX(属性投放!$BK$6:$BK$85,(CV1022-2)*20+CZ1022)</f>
        <v>250</v>
      </c>
      <c r="DG1022" s="14">
        <f>SUMIFS(DF$5:DF1022,$CT$5:$CT1022,"="&amp;$CT1022)</f>
        <v>3170</v>
      </c>
      <c r="DH1022" s="14" t="s">
        <v>539</v>
      </c>
      <c r="DI1022" s="14">
        <f>INDEX(属性投放!$BL$6:$BL$85,(CV1022-2)*20+CZ1022)</f>
        <v>125</v>
      </c>
      <c r="DJ1022" s="14">
        <f>SUMIFS(DI$5:DI1022,$CT$5:$CT1022,"="&amp;$CT1022)</f>
        <v>1588</v>
      </c>
      <c r="DK1022" s="14" t="s">
        <v>540</v>
      </c>
      <c r="DL1022" s="14">
        <f>INDEX(属性投放!$BM$6:$BM$85,(CV1022-2)*20+CZ1022)</f>
        <v>2500</v>
      </c>
      <c r="DM1022" s="14">
        <f>SUMIFS(DL$5:DL1022,$CT$5:$CT1022,"="&amp;$CT1022)</f>
        <v>27740</v>
      </c>
    </row>
    <row r="1023" spans="97:117" ht="16.5" x14ac:dyDescent="0.2">
      <c r="CS1023" s="13">
        <v>1019</v>
      </c>
      <c r="CT1023" s="13">
        <f t="shared" si="1092"/>
        <v>20</v>
      </c>
      <c r="CU1023" s="13">
        <f t="shared" si="1093"/>
        <v>31</v>
      </c>
      <c r="CV1023" s="14">
        <f t="shared" si="1094"/>
        <v>3</v>
      </c>
      <c r="CW1023" s="14">
        <f t="shared" si="1095"/>
        <v>1102020</v>
      </c>
      <c r="CX1023" s="14" t="str">
        <f>INDEX($O$6:$O$50,CT1023)&amp;"-"&amp;INDEX(属性投放!$AB$7:$AB$50,CZ1023)&amp;"-魂火-"&amp;DB1023</f>
        <v>高顺-焦热+1-魂火-1</v>
      </c>
      <c r="CY1023" s="25" t="s">
        <v>142</v>
      </c>
      <c r="CZ1023" s="14">
        <f>INDEX(属性投放!$AM$7:$AM$58,CU1023)</f>
        <v>14</v>
      </c>
      <c r="DA1023" s="14" t="s">
        <v>537</v>
      </c>
      <c r="DB1023" s="14">
        <f>INDEX(属性投放!$AN$7:$AN$58,CU1023)</f>
        <v>1</v>
      </c>
      <c r="DC1023" s="14">
        <f t="shared" si="1091"/>
        <v>31</v>
      </c>
      <c r="DD1023" s="14">
        <f>INDEX(属性投放!$AO$7:$AO$58,DC1023)</f>
        <v>95</v>
      </c>
      <c r="DE1023" s="14" t="s">
        <v>538</v>
      </c>
      <c r="DF1023" s="14">
        <f>INDEX(属性投放!$BK$6:$BK$85,(CV1023-2)*20+CZ1023)</f>
        <v>300</v>
      </c>
      <c r="DG1023" s="14">
        <f>SUMIFS(DF$5:DF1023,$CT$5:$CT1023,"="&amp;$CT1023)</f>
        <v>3470</v>
      </c>
      <c r="DH1023" s="14" t="s">
        <v>539</v>
      </c>
      <c r="DI1023" s="14">
        <f>INDEX(属性投放!$BL$6:$BL$85,(CV1023-2)*20+CZ1023)</f>
        <v>150</v>
      </c>
      <c r="DJ1023" s="14">
        <f>SUMIFS(DI$5:DI1023,$CT$5:$CT1023,"="&amp;$CT1023)</f>
        <v>1738</v>
      </c>
      <c r="DK1023" s="14" t="s">
        <v>540</v>
      </c>
      <c r="DL1023" s="14">
        <f>INDEX(属性投放!$BM$6:$BM$85,(CV1023-2)*20+CZ1023)</f>
        <v>3000</v>
      </c>
      <c r="DM1023" s="14">
        <f>SUMIFS(DL$5:DL1023,$CT$5:$CT1023,"="&amp;$CT1023)</f>
        <v>30740</v>
      </c>
    </row>
    <row r="1024" spans="97:117" ht="16.5" x14ac:dyDescent="0.2">
      <c r="CS1024" s="13">
        <v>1020</v>
      </c>
      <c r="CT1024" s="13">
        <f t="shared" si="1092"/>
        <v>20</v>
      </c>
      <c r="CU1024" s="13">
        <f t="shared" si="1093"/>
        <v>32</v>
      </c>
      <c r="CV1024" s="14">
        <f t="shared" si="1094"/>
        <v>3</v>
      </c>
      <c r="CW1024" s="14">
        <f t="shared" si="1095"/>
        <v>1102020</v>
      </c>
      <c r="CX1024" s="14" t="str">
        <f>INDEX($O$6:$O$50,CT1024)&amp;"-"&amp;INDEX(属性投放!$AB$7:$AB$50,CZ1024)&amp;"-魂火-"&amp;DB1024</f>
        <v>高顺-焦热+1-魂火-2</v>
      </c>
      <c r="CY1024" s="25" t="s">
        <v>142</v>
      </c>
      <c r="CZ1024" s="14">
        <f>INDEX(属性投放!$AM$7:$AM$58,CU1024)</f>
        <v>14</v>
      </c>
      <c r="DA1024" s="14" t="s">
        <v>537</v>
      </c>
      <c r="DB1024" s="14">
        <f>INDEX(属性投放!$AN$7:$AN$58,CU1024)</f>
        <v>2</v>
      </c>
      <c r="DC1024" s="14">
        <f t="shared" si="1091"/>
        <v>32</v>
      </c>
      <c r="DD1024" s="14">
        <f>INDEX(属性投放!$AO$7:$AO$58,DC1024)</f>
        <v>98</v>
      </c>
      <c r="DE1024" s="14" t="s">
        <v>538</v>
      </c>
      <c r="DF1024" s="14">
        <f>INDEX(属性投放!$BK$6:$BK$85,(CV1024-2)*20+CZ1024)</f>
        <v>300</v>
      </c>
      <c r="DG1024" s="14">
        <f>SUMIFS(DF$5:DF1024,$CT$5:$CT1024,"="&amp;$CT1024)</f>
        <v>3770</v>
      </c>
      <c r="DH1024" s="14" t="s">
        <v>539</v>
      </c>
      <c r="DI1024" s="14">
        <f>INDEX(属性投放!$BL$6:$BL$85,(CV1024-2)*20+CZ1024)</f>
        <v>150</v>
      </c>
      <c r="DJ1024" s="14">
        <f>SUMIFS(DI$5:DI1024,$CT$5:$CT1024,"="&amp;$CT1024)</f>
        <v>1888</v>
      </c>
      <c r="DK1024" s="14" t="s">
        <v>540</v>
      </c>
      <c r="DL1024" s="14">
        <f>INDEX(属性投放!$BM$6:$BM$85,(CV1024-2)*20+CZ1024)</f>
        <v>3000</v>
      </c>
      <c r="DM1024" s="14">
        <f>SUMIFS(DL$5:DL1024,$CT$5:$CT1024,"="&amp;$CT1024)</f>
        <v>33740</v>
      </c>
    </row>
    <row r="1025" spans="97:117" ht="16.5" x14ac:dyDescent="0.2">
      <c r="CS1025" s="13">
        <v>1021</v>
      </c>
      <c r="CT1025" s="13">
        <f t="shared" si="1092"/>
        <v>20</v>
      </c>
      <c r="CU1025" s="13">
        <f t="shared" si="1093"/>
        <v>33</v>
      </c>
      <c r="CV1025" s="14">
        <f t="shared" si="1094"/>
        <v>3</v>
      </c>
      <c r="CW1025" s="14">
        <f t="shared" si="1095"/>
        <v>1102020</v>
      </c>
      <c r="CX1025" s="14" t="str">
        <f>INDEX($O$6:$O$50,CT1025)&amp;"-"&amp;INDEX(属性投放!$AB$7:$AB$50,CZ1025)&amp;"-魂火-"&amp;DB1025</f>
        <v>高顺-焦热+1-魂火-3</v>
      </c>
      <c r="CY1025" s="25" t="s">
        <v>142</v>
      </c>
      <c r="CZ1025" s="14">
        <f>INDEX(属性投放!$AM$7:$AM$58,CU1025)</f>
        <v>14</v>
      </c>
      <c r="DA1025" s="14" t="s">
        <v>537</v>
      </c>
      <c r="DB1025" s="14">
        <f>INDEX(属性投放!$AN$7:$AN$58,CU1025)</f>
        <v>3</v>
      </c>
      <c r="DC1025" s="14">
        <f t="shared" si="1091"/>
        <v>33</v>
      </c>
      <c r="DD1025" s="14">
        <f>INDEX(属性投放!$AO$7:$AO$58,DC1025)</f>
        <v>100</v>
      </c>
      <c r="DE1025" s="14" t="s">
        <v>538</v>
      </c>
      <c r="DF1025" s="14">
        <f>INDEX(属性投放!$BK$6:$BK$85,(CV1025-2)*20+CZ1025)</f>
        <v>300</v>
      </c>
      <c r="DG1025" s="14">
        <f>SUMIFS(DF$5:DF1025,$CT$5:$CT1025,"="&amp;$CT1025)</f>
        <v>4070</v>
      </c>
      <c r="DH1025" s="14" t="s">
        <v>539</v>
      </c>
      <c r="DI1025" s="14">
        <f>INDEX(属性投放!$BL$6:$BL$85,(CV1025-2)*20+CZ1025)</f>
        <v>150</v>
      </c>
      <c r="DJ1025" s="14">
        <f>SUMIFS(DI$5:DI1025,$CT$5:$CT1025,"="&amp;$CT1025)</f>
        <v>2038</v>
      </c>
      <c r="DK1025" s="14" t="s">
        <v>540</v>
      </c>
      <c r="DL1025" s="14">
        <f>INDEX(属性投放!$BM$6:$BM$85,(CV1025-2)*20+CZ1025)</f>
        <v>3000</v>
      </c>
      <c r="DM1025" s="14">
        <f>SUMIFS(DL$5:DL1025,$CT$5:$CT1025,"="&amp;$CT1025)</f>
        <v>36740</v>
      </c>
    </row>
    <row r="1026" spans="97:117" ht="16.5" x14ac:dyDescent="0.2">
      <c r="CS1026" s="13">
        <v>1022</v>
      </c>
      <c r="CT1026" s="13">
        <f t="shared" si="1092"/>
        <v>20</v>
      </c>
      <c r="CU1026" s="13">
        <f t="shared" si="1093"/>
        <v>34</v>
      </c>
      <c r="CV1026" s="14">
        <f t="shared" si="1094"/>
        <v>3</v>
      </c>
      <c r="CW1026" s="14">
        <f t="shared" si="1095"/>
        <v>1102020</v>
      </c>
      <c r="CX1026" s="14" t="str">
        <f>INDEX($O$6:$O$50,CT1026)&amp;"-"&amp;INDEX(属性投放!$AB$7:$AB$50,CZ1026)&amp;"-魂火-"&amp;DB1026</f>
        <v>高顺-焦热+2-魂火-1</v>
      </c>
      <c r="CY1026" s="25" t="s">
        <v>142</v>
      </c>
      <c r="CZ1026" s="14">
        <f>INDEX(属性投放!$AM$7:$AM$58,CU1026)</f>
        <v>15</v>
      </c>
      <c r="DA1026" s="14" t="s">
        <v>537</v>
      </c>
      <c r="DB1026" s="14">
        <f>INDEX(属性投放!$AN$7:$AN$58,CU1026)</f>
        <v>1</v>
      </c>
      <c r="DC1026" s="14">
        <f t="shared" si="1091"/>
        <v>34</v>
      </c>
      <c r="DD1026" s="14">
        <f>INDEX(属性投放!$AO$7:$AO$58,DC1026)</f>
        <v>103</v>
      </c>
      <c r="DE1026" s="14" t="s">
        <v>538</v>
      </c>
      <c r="DF1026" s="14">
        <f>INDEX(属性投放!$BK$6:$BK$85,(CV1026-2)*20+CZ1026)</f>
        <v>400</v>
      </c>
      <c r="DG1026" s="14">
        <f>SUMIFS(DF$5:DF1026,$CT$5:$CT1026,"="&amp;$CT1026)</f>
        <v>4470</v>
      </c>
      <c r="DH1026" s="14" t="s">
        <v>539</v>
      </c>
      <c r="DI1026" s="14">
        <f>INDEX(属性投放!$BL$6:$BL$85,(CV1026-2)*20+CZ1026)</f>
        <v>200</v>
      </c>
      <c r="DJ1026" s="14">
        <f>SUMIFS(DI$5:DI1026,$CT$5:$CT1026,"="&amp;$CT1026)</f>
        <v>2238</v>
      </c>
      <c r="DK1026" s="14" t="s">
        <v>540</v>
      </c>
      <c r="DL1026" s="14">
        <f>INDEX(属性投放!$BM$6:$BM$85,(CV1026-2)*20+CZ1026)</f>
        <v>4000</v>
      </c>
      <c r="DM1026" s="14">
        <f>SUMIFS(DL$5:DL1026,$CT$5:$CT1026,"="&amp;$CT1026)</f>
        <v>40740</v>
      </c>
    </row>
    <row r="1027" spans="97:117" ht="16.5" x14ac:dyDescent="0.2">
      <c r="CS1027" s="13">
        <v>1023</v>
      </c>
      <c r="CT1027" s="13">
        <f t="shared" si="1092"/>
        <v>20</v>
      </c>
      <c r="CU1027" s="13">
        <f t="shared" si="1093"/>
        <v>35</v>
      </c>
      <c r="CV1027" s="14">
        <f t="shared" si="1094"/>
        <v>3</v>
      </c>
      <c r="CW1027" s="14">
        <f t="shared" si="1095"/>
        <v>1102020</v>
      </c>
      <c r="CX1027" s="14" t="str">
        <f>INDEX($O$6:$O$50,CT1027)&amp;"-"&amp;INDEX(属性投放!$AB$7:$AB$50,CZ1027)&amp;"-魂火-"&amp;DB1027</f>
        <v>高顺-焦热+2-魂火-2</v>
      </c>
      <c r="CY1027" s="25" t="s">
        <v>142</v>
      </c>
      <c r="CZ1027" s="14">
        <f>INDEX(属性投放!$AM$7:$AM$58,CU1027)</f>
        <v>15</v>
      </c>
      <c r="DA1027" s="14" t="s">
        <v>537</v>
      </c>
      <c r="DB1027" s="14">
        <f>INDEX(属性投放!$AN$7:$AN$58,CU1027)</f>
        <v>2</v>
      </c>
      <c r="DC1027" s="14">
        <f t="shared" si="1091"/>
        <v>35</v>
      </c>
      <c r="DD1027" s="14">
        <f>INDEX(属性投放!$AO$7:$AO$58,DC1027)</f>
        <v>105</v>
      </c>
      <c r="DE1027" s="14" t="s">
        <v>538</v>
      </c>
      <c r="DF1027" s="14">
        <f>INDEX(属性投放!$BK$6:$BK$85,(CV1027-2)*20+CZ1027)</f>
        <v>400</v>
      </c>
      <c r="DG1027" s="14">
        <f>SUMIFS(DF$5:DF1027,$CT$5:$CT1027,"="&amp;$CT1027)</f>
        <v>4870</v>
      </c>
      <c r="DH1027" s="14" t="s">
        <v>539</v>
      </c>
      <c r="DI1027" s="14">
        <f>INDEX(属性投放!$BL$6:$BL$85,(CV1027-2)*20+CZ1027)</f>
        <v>200</v>
      </c>
      <c r="DJ1027" s="14">
        <f>SUMIFS(DI$5:DI1027,$CT$5:$CT1027,"="&amp;$CT1027)</f>
        <v>2438</v>
      </c>
      <c r="DK1027" s="14" t="s">
        <v>540</v>
      </c>
      <c r="DL1027" s="14">
        <f>INDEX(属性投放!$BM$6:$BM$85,(CV1027-2)*20+CZ1027)</f>
        <v>4000</v>
      </c>
      <c r="DM1027" s="14">
        <f>SUMIFS(DL$5:DL1027,$CT$5:$CT1027,"="&amp;$CT1027)</f>
        <v>44740</v>
      </c>
    </row>
    <row r="1028" spans="97:117" ht="16.5" x14ac:dyDescent="0.2">
      <c r="CS1028" s="13">
        <v>1024</v>
      </c>
      <c r="CT1028" s="13">
        <f t="shared" si="1092"/>
        <v>20</v>
      </c>
      <c r="CU1028" s="13">
        <f t="shared" si="1093"/>
        <v>36</v>
      </c>
      <c r="CV1028" s="14">
        <f t="shared" si="1094"/>
        <v>3</v>
      </c>
      <c r="CW1028" s="14">
        <f t="shared" si="1095"/>
        <v>1102020</v>
      </c>
      <c r="CX1028" s="14" t="str">
        <f>INDEX($O$6:$O$50,CT1028)&amp;"-"&amp;INDEX(属性投放!$AB$7:$AB$50,CZ1028)&amp;"-魂火-"&amp;DB1028</f>
        <v>高顺-焦热+2-魂火-3</v>
      </c>
      <c r="CY1028" s="25" t="s">
        <v>142</v>
      </c>
      <c r="CZ1028" s="14">
        <f>INDEX(属性投放!$AM$7:$AM$58,CU1028)</f>
        <v>15</v>
      </c>
      <c r="DA1028" s="14" t="s">
        <v>537</v>
      </c>
      <c r="DB1028" s="14">
        <f>INDEX(属性投放!$AN$7:$AN$58,CU1028)</f>
        <v>3</v>
      </c>
      <c r="DC1028" s="14">
        <f t="shared" si="1091"/>
        <v>36</v>
      </c>
      <c r="DD1028" s="14">
        <f>INDEX(属性投放!$AO$7:$AO$58,DC1028)</f>
        <v>108</v>
      </c>
      <c r="DE1028" s="14" t="s">
        <v>538</v>
      </c>
      <c r="DF1028" s="14">
        <f>INDEX(属性投放!$BK$6:$BK$85,(CV1028-2)*20+CZ1028)</f>
        <v>400</v>
      </c>
      <c r="DG1028" s="14">
        <f>SUMIFS(DF$5:DF1028,$CT$5:$CT1028,"="&amp;$CT1028)</f>
        <v>5270</v>
      </c>
      <c r="DH1028" s="14" t="s">
        <v>539</v>
      </c>
      <c r="DI1028" s="14">
        <f>INDEX(属性投放!$BL$6:$BL$85,(CV1028-2)*20+CZ1028)</f>
        <v>200</v>
      </c>
      <c r="DJ1028" s="14">
        <f>SUMIFS(DI$5:DI1028,$CT$5:$CT1028,"="&amp;$CT1028)</f>
        <v>2638</v>
      </c>
      <c r="DK1028" s="14" t="s">
        <v>540</v>
      </c>
      <c r="DL1028" s="14">
        <f>INDEX(属性投放!$BM$6:$BM$85,(CV1028-2)*20+CZ1028)</f>
        <v>4000</v>
      </c>
      <c r="DM1028" s="14">
        <f>SUMIFS(DL$5:DL1028,$CT$5:$CT1028,"="&amp;$CT1028)</f>
        <v>48740</v>
      </c>
    </row>
    <row r="1029" spans="97:117" ht="16.5" x14ac:dyDescent="0.2">
      <c r="CS1029" s="13">
        <v>1025</v>
      </c>
      <c r="CT1029" s="13">
        <f t="shared" si="1092"/>
        <v>20</v>
      </c>
      <c r="CU1029" s="13">
        <f t="shared" si="1093"/>
        <v>37</v>
      </c>
      <c r="CV1029" s="14">
        <f t="shared" si="1094"/>
        <v>3</v>
      </c>
      <c r="CW1029" s="14">
        <f t="shared" si="1095"/>
        <v>1102020</v>
      </c>
      <c r="CX1029" s="14" t="str">
        <f>INDEX($O$6:$O$50,CT1029)&amp;"-"&amp;INDEX(属性投放!$AB$7:$AB$50,CZ1029)&amp;"-魂火-"&amp;DB1029</f>
        <v>高顺-大焦热-魂火-1</v>
      </c>
      <c r="CY1029" s="25" t="s">
        <v>142</v>
      </c>
      <c r="CZ1029" s="14">
        <f>INDEX(属性投放!$AM$7:$AM$58,CU1029)</f>
        <v>16</v>
      </c>
      <c r="DA1029" s="14" t="s">
        <v>537</v>
      </c>
      <c r="DB1029" s="14">
        <f>INDEX(属性投放!$AN$7:$AN$58,CU1029)</f>
        <v>1</v>
      </c>
      <c r="DC1029" s="14">
        <f t="shared" ref="DC1029:DC1092" si="1096">CU1029</f>
        <v>37</v>
      </c>
      <c r="DD1029" s="14">
        <f>INDEX(属性投放!$AO$7:$AO$58,DC1029)</f>
        <v>110</v>
      </c>
      <c r="DE1029" s="14" t="s">
        <v>538</v>
      </c>
      <c r="DF1029" s="14">
        <f>INDEX(属性投放!$BK$6:$BK$85,(CV1029-2)*20+CZ1029)</f>
        <v>500</v>
      </c>
      <c r="DG1029" s="14">
        <f>SUMIFS(DF$5:DF1029,$CT$5:$CT1029,"="&amp;$CT1029)</f>
        <v>5770</v>
      </c>
      <c r="DH1029" s="14" t="s">
        <v>539</v>
      </c>
      <c r="DI1029" s="14">
        <f>INDEX(属性投放!$BL$6:$BL$85,(CV1029-2)*20+CZ1029)</f>
        <v>250</v>
      </c>
      <c r="DJ1029" s="14">
        <f>SUMIFS(DI$5:DI1029,$CT$5:$CT1029,"="&amp;$CT1029)</f>
        <v>2888</v>
      </c>
      <c r="DK1029" s="14" t="s">
        <v>540</v>
      </c>
      <c r="DL1029" s="14">
        <f>INDEX(属性投放!$BM$6:$BM$85,(CV1029-2)*20+CZ1029)</f>
        <v>5000</v>
      </c>
      <c r="DM1029" s="14">
        <f>SUMIFS(DL$5:DL1029,$CT$5:$CT1029,"="&amp;$CT1029)</f>
        <v>53740</v>
      </c>
    </row>
    <row r="1030" spans="97:117" ht="16.5" x14ac:dyDescent="0.2">
      <c r="CS1030" s="13">
        <v>1026</v>
      </c>
      <c r="CT1030" s="13">
        <f t="shared" ref="CT1030:CT1093" si="1097">MATCH(CS1030-1,$U$5:$U$36,1)</f>
        <v>20</v>
      </c>
      <c r="CU1030" s="13">
        <f t="shared" ref="CU1030:CU1093" si="1098">CS1030-(CT1030-1)*52</f>
        <v>38</v>
      </c>
      <c r="CV1030" s="14">
        <f t="shared" ref="CV1030:CV1093" si="1099">INDEX($Q$6:$Q$50,CT1030)</f>
        <v>3</v>
      </c>
      <c r="CW1030" s="14">
        <f t="shared" ref="CW1030:CW1093" si="1100">INDEX($N$6:$N$50,CT1030)</f>
        <v>1102020</v>
      </c>
      <c r="CX1030" s="14" t="str">
        <f>INDEX($O$6:$O$50,CT1030)&amp;"-"&amp;INDEX(属性投放!$AB$7:$AB$50,CZ1030)&amp;"-魂火-"&amp;DB1030</f>
        <v>高顺-大焦热-魂火-2</v>
      </c>
      <c r="CY1030" s="25" t="s">
        <v>142</v>
      </c>
      <c r="CZ1030" s="14">
        <f>INDEX(属性投放!$AM$7:$AM$58,CU1030)</f>
        <v>16</v>
      </c>
      <c r="DA1030" s="14" t="s">
        <v>537</v>
      </c>
      <c r="DB1030" s="14">
        <f>INDEX(属性投放!$AN$7:$AN$58,CU1030)</f>
        <v>2</v>
      </c>
      <c r="DC1030" s="14">
        <f t="shared" si="1096"/>
        <v>38</v>
      </c>
      <c r="DD1030" s="14">
        <f>INDEX(属性投放!$AO$7:$AO$58,DC1030)</f>
        <v>113</v>
      </c>
      <c r="DE1030" s="14" t="s">
        <v>538</v>
      </c>
      <c r="DF1030" s="14">
        <f>INDEX(属性投放!$BK$6:$BK$85,(CV1030-2)*20+CZ1030)</f>
        <v>500</v>
      </c>
      <c r="DG1030" s="14">
        <f>SUMIFS(DF$5:DF1030,$CT$5:$CT1030,"="&amp;$CT1030)</f>
        <v>6270</v>
      </c>
      <c r="DH1030" s="14" t="s">
        <v>539</v>
      </c>
      <c r="DI1030" s="14">
        <f>INDEX(属性投放!$BL$6:$BL$85,(CV1030-2)*20+CZ1030)</f>
        <v>250</v>
      </c>
      <c r="DJ1030" s="14">
        <f>SUMIFS(DI$5:DI1030,$CT$5:$CT1030,"="&amp;$CT1030)</f>
        <v>3138</v>
      </c>
      <c r="DK1030" s="14" t="s">
        <v>540</v>
      </c>
      <c r="DL1030" s="14">
        <f>INDEX(属性投放!$BM$6:$BM$85,(CV1030-2)*20+CZ1030)</f>
        <v>5000</v>
      </c>
      <c r="DM1030" s="14">
        <f>SUMIFS(DL$5:DL1030,$CT$5:$CT1030,"="&amp;$CT1030)</f>
        <v>58740</v>
      </c>
    </row>
    <row r="1031" spans="97:117" ht="16.5" x14ac:dyDescent="0.2">
      <c r="CS1031" s="13">
        <v>1027</v>
      </c>
      <c r="CT1031" s="13">
        <f t="shared" si="1097"/>
        <v>20</v>
      </c>
      <c r="CU1031" s="13">
        <f t="shared" si="1098"/>
        <v>39</v>
      </c>
      <c r="CV1031" s="14">
        <f t="shared" si="1099"/>
        <v>3</v>
      </c>
      <c r="CW1031" s="14">
        <f t="shared" si="1100"/>
        <v>1102020</v>
      </c>
      <c r="CX1031" s="14" t="str">
        <f>INDEX($O$6:$O$50,CT1031)&amp;"-"&amp;INDEX(属性投放!$AB$7:$AB$50,CZ1031)&amp;"-魂火-"&amp;DB1031</f>
        <v>高顺-大焦热-魂火-3</v>
      </c>
      <c r="CY1031" s="25" t="s">
        <v>142</v>
      </c>
      <c r="CZ1031" s="14">
        <f>INDEX(属性投放!$AM$7:$AM$58,CU1031)</f>
        <v>16</v>
      </c>
      <c r="DA1031" s="14" t="s">
        <v>537</v>
      </c>
      <c r="DB1031" s="14">
        <f>INDEX(属性投放!$AN$7:$AN$58,CU1031)</f>
        <v>3</v>
      </c>
      <c r="DC1031" s="14">
        <f t="shared" si="1096"/>
        <v>39</v>
      </c>
      <c r="DD1031" s="14">
        <f>INDEX(属性投放!$AO$7:$AO$58,DC1031)</f>
        <v>115</v>
      </c>
      <c r="DE1031" s="14" t="s">
        <v>538</v>
      </c>
      <c r="DF1031" s="14">
        <f>INDEX(属性投放!$BK$6:$BK$85,(CV1031-2)*20+CZ1031)</f>
        <v>500</v>
      </c>
      <c r="DG1031" s="14">
        <f>SUMIFS(DF$5:DF1031,$CT$5:$CT1031,"="&amp;$CT1031)</f>
        <v>6770</v>
      </c>
      <c r="DH1031" s="14" t="s">
        <v>539</v>
      </c>
      <c r="DI1031" s="14">
        <f>INDEX(属性投放!$BL$6:$BL$85,(CV1031-2)*20+CZ1031)</f>
        <v>250</v>
      </c>
      <c r="DJ1031" s="14">
        <f>SUMIFS(DI$5:DI1031,$CT$5:$CT1031,"="&amp;$CT1031)</f>
        <v>3388</v>
      </c>
      <c r="DK1031" s="14" t="s">
        <v>540</v>
      </c>
      <c r="DL1031" s="14">
        <f>INDEX(属性投放!$BM$6:$BM$85,(CV1031-2)*20+CZ1031)</f>
        <v>5000</v>
      </c>
      <c r="DM1031" s="14">
        <f>SUMIFS(DL$5:DL1031,$CT$5:$CT1031,"="&amp;$CT1031)</f>
        <v>63740</v>
      </c>
    </row>
    <row r="1032" spans="97:117" ht="16.5" x14ac:dyDescent="0.2">
      <c r="CS1032" s="13">
        <v>1028</v>
      </c>
      <c r="CT1032" s="13">
        <f t="shared" si="1097"/>
        <v>20</v>
      </c>
      <c r="CU1032" s="13">
        <f t="shared" si="1098"/>
        <v>40</v>
      </c>
      <c r="CV1032" s="14">
        <f t="shared" si="1099"/>
        <v>3</v>
      </c>
      <c r="CW1032" s="14">
        <f t="shared" si="1100"/>
        <v>1102020</v>
      </c>
      <c r="CX1032" s="14" t="str">
        <f>INDEX($O$6:$O$50,CT1032)&amp;"-"&amp;INDEX(属性投放!$AB$7:$AB$50,CZ1032)&amp;"-魂火-"&amp;DB1032</f>
        <v>高顺-大焦热+1-魂火-1</v>
      </c>
      <c r="CY1032" s="25" t="s">
        <v>142</v>
      </c>
      <c r="CZ1032" s="14">
        <f>INDEX(属性投放!$AM$7:$AM$58,CU1032)</f>
        <v>17</v>
      </c>
      <c r="DA1032" s="14" t="s">
        <v>537</v>
      </c>
      <c r="DB1032" s="14">
        <f>INDEX(属性投放!$AN$7:$AN$58,CU1032)</f>
        <v>1</v>
      </c>
      <c r="DC1032" s="14">
        <f t="shared" si="1096"/>
        <v>40</v>
      </c>
      <c r="DD1032" s="14">
        <f>INDEX(属性投放!$AO$7:$AO$58,DC1032)</f>
        <v>118</v>
      </c>
      <c r="DE1032" s="14" t="s">
        <v>538</v>
      </c>
      <c r="DF1032" s="14">
        <f>INDEX(属性投放!$BK$6:$BK$85,(CV1032-2)*20+CZ1032)</f>
        <v>600</v>
      </c>
      <c r="DG1032" s="14">
        <f>SUMIFS(DF$5:DF1032,$CT$5:$CT1032,"="&amp;$CT1032)</f>
        <v>7370</v>
      </c>
      <c r="DH1032" s="14" t="s">
        <v>539</v>
      </c>
      <c r="DI1032" s="14">
        <f>INDEX(属性投放!$BL$6:$BL$85,(CV1032-2)*20+CZ1032)</f>
        <v>300</v>
      </c>
      <c r="DJ1032" s="14">
        <f>SUMIFS(DI$5:DI1032,$CT$5:$CT1032,"="&amp;$CT1032)</f>
        <v>3688</v>
      </c>
      <c r="DK1032" s="14" t="s">
        <v>540</v>
      </c>
      <c r="DL1032" s="14">
        <f>INDEX(属性投放!$BM$6:$BM$85,(CV1032-2)*20+CZ1032)</f>
        <v>6000</v>
      </c>
      <c r="DM1032" s="14">
        <f>SUMIFS(DL$5:DL1032,$CT$5:$CT1032,"="&amp;$CT1032)</f>
        <v>69740</v>
      </c>
    </row>
    <row r="1033" spans="97:117" ht="16.5" x14ac:dyDescent="0.2">
      <c r="CS1033" s="13">
        <v>1029</v>
      </c>
      <c r="CT1033" s="13">
        <f t="shared" si="1097"/>
        <v>20</v>
      </c>
      <c r="CU1033" s="13">
        <f t="shared" si="1098"/>
        <v>41</v>
      </c>
      <c r="CV1033" s="14">
        <f t="shared" si="1099"/>
        <v>3</v>
      </c>
      <c r="CW1033" s="14">
        <f t="shared" si="1100"/>
        <v>1102020</v>
      </c>
      <c r="CX1033" s="14" t="str">
        <f>INDEX($O$6:$O$50,CT1033)&amp;"-"&amp;INDEX(属性投放!$AB$7:$AB$50,CZ1033)&amp;"-魂火-"&amp;DB1033</f>
        <v>高顺-大焦热+1-魂火-2</v>
      </c>
      <c r="CY1033" s="25" t="s">
        <v>142</v>
      </c>
      <c r="CZ1033" s="14">
        <f>INDEX(属性投放!$AM$7:$AM$58,CU1033)</f>
        <v>17</v>
      </c>
      <c r="DA1033" s="14" t="s">
        <v>537</v>
      </c>
      <c r="DB1033" s="14">
        <f>INDEX(属性投放!$AN$7:$AN$58,CU1033)</f>
        <v>2</v>
      </c>
      <c r="DC1033" s="14">
        <f t="shared" si="1096"/>
        <v>41</v>
      </c>
      <c r="DD1033" s="14">
        <f>INDEX(属性投放!$AO$7:$AO$58,DC1033)</f>
        <v>120</v>
      </c>
      <c r="DE1033" s="14" t="s">
        <v>538</v>
      </c>
      <c r="DF1033" s="14">
        <f>INDEX(属性投放!$BK$6:$BK$85,(CV1033-2)*20+CZ1033)</f>
        <v>600</v>
      </c>
      <c r="DG1033" s="14">
        <f>SUMIFS(DF$5:DF1033,$CT$5:$CT1033,"="&amp;$CT1033)</f>
        <v>7970</v>
      </c>
      <c r="DH1033" s="14" t="s">
        <v>539</v>
      </c>
      <c r="DI1033" s="14">
        <f>INDEX(属性投放!$BL$6:$BL$85,(CV1033-2)*20+CZ1033)</f>
        <v>300</v>
      </c>
      <c r="DJ1033" s="14">
        <f>SUMIFS(DI$5:DI1033,$CT$5:$CT1033,"="&amp;$CT1033)</f>
        <v>3988</v>
      </c>
      <c r="DK1033" s="14" t="s">
        <v>540</v>
      </c>
      <c r="DL1033" s="14">
        <f>INDEX(属性投放!$BM$6:$BM$85,(CV1033-2)*20+CZ1033)</f>
        <v>6000</v>
      </c>
      <c r="DM1033" s="14">
        <f>SUMIFS(DL$5:DL1033,$CT$5:$CT1033,"="&amp;$CT1033)</f>
        <v>75740</v>
      </c>
    </row>
    <row r="1034" spans="97:117" ht="16.5" x14ac:dyDescent="0.2">
      <c r="CS1034" s="13">
        <v>1030</v>
      </c>
      <c r="CT1034" s="13">
        <f t="shared" si="1097"/>
        <v>20</v>
      </c>
      <c r="CU1034" s="13">
        <f t="shared" si="1098"/>
        <v>42</v>
      </c>
      <c r="CV1034" s="14">
        <f t="shared" si="1099"/>
        <v>3</v>
      </c>
      <c r="CW1034" s="14">
        <f t="shared" si="1100"/>
        <v>1102020</v>
      </c>
      <c r="CX1034" s="14" t="str">
        <f>INDEX($O$6:$O$50,CT1034)&amp;"-"&amp;INDEX(属性投放!$AB$7:$AB$50,CZ1034)&amp;"-魂火-"&amp;DB1034</f>
        <v>高顺-大焦热+1-魂火-3</v>
      </c>
      <c r="CY1034" s="25" t="s">
        <v>142</v>
      </c>
      <c r="CZ1034" s="14">
        <f>INDEX(属性投放!$AM$7:$AM$58,CU1034)</f>
        <v>17</v>
      </c>
      <c r="DA1034" s="14" t="s">
        <v>537</v>
      </c>
      <c r="DB1034" s="14">
        <f>INDEX(属性投放!$AN$7:$AN$58,CU1034)</f>
        <v>3</v>
      </c>
      <c r="DC1034" s="14">
        <f t="shared" si="1096"/>
        <v>42</v>
      </c>
      <c r="DD1034" s="14">
        <f>INDEX(属性投放!$AO$7:$AO$58,DC1034)</f>
        <v>123</v>
      </c>
      <c r="DE1034" s="14" t="s">
        <v>538</v>
      </c>
      <c r="DF1034" s="14">
        <f>INDEX(属性投放!$BK$6:$BK$85,(CV1034-2)*20+CZ1034)</f>
        <v>600</v>
      </c>
      <c r="DG1034" s="14">
        <f>SUMIFS(DF$5:DF1034,$CT$5:$CT1034,"="&amp;$CT1034)</f>
        <v>8570</v>
      </c>
      <c r="DH1034" s="14" t="s">
        <v>539</v>
      </c>
      <c r="DI1034" s="14">
        <f>INDEX(属性投放!$BL$6:$BL$85,(CV1034-2)*20+CZ1034)</f>
        <v>300</v>
      </c>
      <c r="DJ1034" s="14">
        <f>SUMIFS(DI$5:DI1034,$CT$5:$CT1034,"="&amp;$CT1034)</f>
        <v>4288</v>
      </c>
      <c r="DK1034" s="14" t="s">
        <v>540</v>
      </c>
      <c r="DL1034" s="14">
        <f>INDEX(属性投放!$BM$6:$BM$85,(CV1034-2)*20+CZ1034)</f>
        <v>6000</v>
      </c>
      <c r="DM1034" s="14">
        <f>SUMIFS(DL$5:DL1034,$CT$5:$CT1034,"="&amp;$CT1034)</f>
        <v>81740</v>
      </c>
    </row>
    <row r="1035" spans="97:117" ht="16.5" x14ac:dyDescent="0.2">
      <c r="CS1035" s="13">
        <v>1031</v>
      </c>
      <c r="CT1035" s="13">
        <f t="shared" si="1097"/>
        <v>20</v>
      </c>
      <c r="CU1035" s="13">
        <f t="shared" si="1098"/>
        <v>43</v>
      </c>
      <c r="CV1035" s="14">
        <f t="shared" si="1099"/>
        <v>3</v>
      </c>
      <c r="CW1035" s="14">
        <f t="shared" si="1100"/>
        <v>1102020</v>
      </c>
      <c r="CX1035" s="14" t="str">
        <f>INDEX($O$6:$O$50,CT1035)&amp;"-"&amp;INDEX(属性投放!$AB$7:$AB$50,CZ1035)&amp;"-魂火-"&amp;DB1035</f>
        <v>高顺-大焦热+2-魂火-1</v>
      </c>
      <c r="CY1035" s="25" t="s">
        <v>142</v>
      </c>
      <c r="CZ1035" s="14">
        <f>INDEX(属性投放!$AM$7:$AM$58,CU1035)</f>
        <v>18</v>
      </c>
      <c r="DA1035" s="14" t="s">
        <v>537</v>
      </c>
      <c r="DB1035" s="14">
        <f>INDEX(属性投放!$AN$7:$AN$58,CU1035)</f>
        <v>1</v>
      </c>
      <c r="DC1035" s="14">
        <f t="shared" si="1096"/>
        <v>43</v>
      </c>
      <c r="DD1035" s="14">
        <f>INDEX(属性投放!$AO$7:$AO$58,DC1035)</f>
        <v>125</v>
      </c>
      <c r="DE1035" s="14" t="s">
        <v>538</v>
      </c>
      <c r="DF1035" s="14">
        <f>INDEX(属性投放!$BK$6:$BK$85,(CV1035-2)*20+CZ1035)</f>
        <v>700</v>
      </c>
      <c r="DG1035" s="14">
        <f>SUMIFS(DF$5:DF1035,$CT$5:$CT1035,"="&amp;$CT1035)</f>
        <v>9270</v>
      </c>
      <c r="DH1035" s="14" t="s">
        <v>539</v>
      </c>
      <c r="DI1035" s="14">
        <f>INDEX(属性投放!$BL$6:$BL$85,(CV1035-2)*20+CZ1035)</f>
        <v>350</v>
      </c>
      <c r="DJ1035" s="14">
        <f>SUMIFS(DI$5:DI1035,$CT$5:$CT1035,"="&amp;$CT1035)</f>
        <v>4638</v>
      </c>
      <c r="DK1035" s="14" t="s">
        <v>540</v>
      </c>
      <c r="DL1035" s="14">
        <f>INDEX(属性投放!$BM$6:$BM$85,(CV1035-2)*20+CZ1035)</f>
        <v>7000</v>
      </c>
      <c r="DM1035" s="14">
        <f>SUMIFS(DL$5:DL1035,$CT$5:$CT1035,"="&amp;$CT1035)</f>
        <v>88740</v>
      </c>
    </row>
    <row r="1036" spans="97:117" ht="16.5" x14ac:dyDescent="0.2">
      <c r="CS1036" s="13">
        <v>1032</v>
      </c>
      <c r="CT1036" s="13">
        <f t="shared" si="1097"/>
        <v>20</v>
      </c>
      <c r="CU1036" s="13">
        <f t="shared" si="1098"/>
        <v>44</v>
      </c>
      <c r="CV1036" s="14">
        <f t="shared" si="1099"/>
        <v>3</v>
      </c>
      <c r="CW1036" s="14">
        <f t="shared" si="1100"/>
        <v>1102020</v>
      </c>
      <c r="CX1036" s="14" t="str">
        <f>INDEX($O$6:$O$50,CT1036)&amp;"-"&amp;INDEX(属性投放!$AB$7:$AB$50,CZ1036)&amp;"-魂火-"&amp;DB1036</f>
        <v>高顺-大焦热+2-魂火-2</v>
      </c>
      <c r="CY1036" s="25" t="s">
        <v>142</v>
      </c>
      <c r="CZ1036" s="14">
        <f>INDEX(属性投放!$AM$7:$AM$58,CU1036)</f>
        <v>18</v>
      </c>
      <c r="DA1036" s="14" t="s">
        <v>537</v>
      </c>
      <c r="DB1036" s="14">
        <f>INDEX(属性投放!$AN$7:$AN$58,CU1036)</f>
        <v>2</v>
      </c>
      <c r="DC1036" s="14">
        <f t="shared" si="1096"/>
        <v>44</v>
      </c>
      <c r="DD1036" s="14">
        <f>INDEX(属性投放!$AO$7:$AO$58,DC1036)</f>
        <v>128</v>
      </c>
      <c r="DE1036" s="14" t="s">
        <v>538</v>
      </c>
      <c r="DF1036" s="14">
        <f>INDEX(属性投放!$BK$6:$BK$85,(CV1036-2)*20+CZ1036)</f>
        <v>700</v>
      </c>
      <c r="DG1036" s="14">
        <f>SUMIFS(DF$5:DF1036,$CT$5:$CT1036,"="&amp;$CT1036)</f>
        <v>9970</v>
      </c>
      <c r="DH1036" s="14" t="s">
        <v>539</v>
      </c>
      <c r="DI1036" s="14">
        <f>INDEX(属性投放!$BL$6:$BL$85,(CV1036-2)*20+CZ1036)</f>
        <v>350</v>
      </c>
      <c r="DJ1036" s="14">
        <f>SUMIFS(DI$5:DI1036,$CT$5:$CT1036,"="&amp;$CT1036)</f>
        <v>4988</v>
      </c>
      <c r="DK1036" s="14" t="s">
        <v>540</v>
      </c>
      <c r="DL1036" s="14">
        <f>INDEX(属性投放!$BM$6:$BM$85,(CV1036-2)*20+CZ1036)</f>
        <v>7000</v>
      </c>
      <c r="DM1036" s="14">
        <f>SUMIFS(DL$5:DL1036,$CT$5:$CT1036,"="&amp;$CT1036)</f>
        <v>95740</v>
      </c>
    </row>
    <row r="1037" spans="97:117" ht="16.5" x14ac:dyDescent="0.2">
      <c r="CS1037" s="13">
        <v>1033</v>
      </c>
      <c r="CT1037" s="13">
        <f t="shared" si="1097"/>
        <v>20</v>
      </c>
      <c r="CU1037" s="13">
        <f t="shared" si="1098"/>
        <v>45</v>
      </c>
      <c r="CV1037" s="14">
        <f t="shared" si="1099"/>
        <v>3</v>
      </c>
      <c r="CW1037" s="14">
        <f t="shared" si="1100"/>
        <v>1102020</v>
      </c>
      <c r="CX1037" s="14" t="str">
        <f>INDEX($O$6:$O$50,CT1037)&amp;"-"&amp;INDEX(属性投放!$AB$7:$AB$50,CZ1037)&amp;"-魂火-"&amp;DB1037</f>
        <v>高顺-大焦热+2-魂火-3</v>
      </c>
      <c r="CY1037" s="25" t="s">
        <v>142</v>
      </c>
      <c r="CZ1037" s="14">
        <f>INDEX(属性投放!$AM$7:$AM$58,CU1037)</f>
        <v>18</v>
      </c>
      <c r="DA1037" s="14" t="s">
        <v>537</v>
      </c>
      <c r="DB1037" s="14">
        <f>INDEX(属性投放!$AN$7:$AN$58,CU1037)</f>
        <v>3</v>
      </c>
      <c r="DC1037" s="14">
        <f t="shared" si="1096"/>
        <v>45</v>
      </c>
      <c r="DD1037" s="14">
        <f>INDEX(属性投放!$AO$7:$AO$58,DC1037)</f>
        <v>130</v>
      </c>
      <c r="DE1037" s="14" t="s">
        <v>538</v>
      </c>
      <c r="DF1037" s="14">
        <f>INDEX(属性投放!$BK$6:$BK$85,(CV1037-2)*20+CZ1037)</f>
        <v>700</v>
      </c>
      <c r="DG1037" s="14">
        <f>SUMIFS(DF$5:DF1037,$CT$5:$CT1037,"="&amp;$CT1037)</f>
        <v>10670</v>
      </c>
      <c r="DH1037" s="14" t="s">
        <v>539</v>
      </c>
      <c r="DI1037" s="14">
        <f>INDEX(属性投放!$BL$6:$BL$85,(CV1037-2)*20+CZ1037)</f>
        <v>350</v>
      </c>
      <c r="DJ1037" s="14">
        <f>SUMIFS(DI$5:DI1037,$CT$5:$CT1037,"="&amp;$CT1037)</f>
        <v>5338</v>
      </c>
      <c r="DK1037" s="14" t="s">
        <v>540</v>
      </c>
      <c r="DL1037" s="14">
        <f>INDEX(属性投放!$BM$6:$BM$85,(CV1037-2)*20+CZ1037)</f>
        <v>7000</v>
      </c>
      <c r="DM1037" s="14">
        <f>SUMIFS(DL$5:DL1037,$CT$5:$CT1037,"="&amp;$CT1037)</f>
        <v>102740</v>
      </c>
    </row>
    <row r="1038" spans="97:117" ht="16.5" x14ac:dyDescent="0.2">
      <c r="CS1038" s="13">
        <v>1034</v>
      </c>
      <c r="CT1038" s="13">
        <f t="shared" si="1097"/>
        <v>20</v>
      </c>
      <c r="CU1038" s="13">
        <f t="shared" si="1098"/>
        <v>46</v>
      </c>
      <c r="CV1038" s="14">
        <f t="shared" si="1099"/>
        <v>3</v>
      </c>
      <c r="CW1038" s="14">
        <f t="shared" si="1100"/>
        <v>1102020</v>
      </c>
      <c r="CX1038" s="14" t="str">
        <f>INDEX($O$6:$O$50,CT1038)&amp;"-"&amp;INDEX(属性投放!$AB$7:$AB$50,CZ1038)&amp;"-魂火-"&amp;DB1038</f>
        <v>高顺-无间-魂火-1</v>
      </c>
      <c r="CY1038" s="25" t="s">
        <v>142</v>
      </c>
      <c r="CZ1038" s="14">
        <f>INDEX(属性投放!$AM$7:$AM$58,CU1038)</f>
        <v>19</v>
      </c>
      <c r="DA1038" s="14" t="s">
        <v>537</v>
      </c>
      <c r="DB1038" s="14">
        <f>INDEX(属性投放!$AN$7:$AN$58,CU1038)</f>
        <v>1</v>
      </c>
      <c r="DC1038" s="14">
        <f t="shared" si="1096"/>
        <v>46</v>
      </c>
      <c r="DD1038" s="14">
        <f>INDEX(属性投放!$AO$7:$AO$58,DC1038)</f>
        <v>133</v>
      </c>
      <c r="DE1038" s="14" t="s">
        <v>538</v>
      </c>
      <c r="DF1038" s="14">
        <f>INDEX(属性投放!$BK$6:$BK$85,(CV1038-2)*20+CZ1038)</f>
        <v>900</v>
      </c>
      <c r="DG1038" s="14">
        <f>SUMIFS(DF$5:DF1038,$CT$5:$CT1038,"="&amp;$CT1038)</f>
        <v>11570</v>
      </c>
      <c r="DH1038" s="14" t="s">
        <v>539</v>
      </c>
      <c r="DI1038" s="14">
        <f>INDEX(属性投放!$BL$6:$BL$85,(CV1038-2)*20+CZ1038)</f>
        <v>450</v>
      </c>
      <c r="DJ1038" s="14">
        <f>SUMIFS(DI$5:DI1038,$CT$5:$CT1038,"="&amp;$CT1038)</f>
        <v>5788</v>
      </c>
      <c r="DK1038" s="14" t="s">
        <v>540</v>
      </c>
      <c r="DL1038" s="14">
        <f>INDEX(属性投放!$BM$6:$BM$85,(CV1038-2)*20+CZ1038)</f>
        <v>9000</v>
      </c>
      <c r="DM1038" s="14">
        <f>SUMIFS(DL$5:DL1038,$CT$5:$CT1038,"="&amp;$CT1038)</f>
        <v>111740</v>
      </c>
    </row>
    <row r="1039" spans="97:117" ht="16.5" x14ac:dyDescent="0.2">
      <c r="CS1039" s="13">
        <v>1035</v>
      </c>
      <c r="CT1039" s="13">
        <f t="shared" si="1097"/>
        <v>20</v>
      </c>
      <c r="CU1039" s="13">
        <f t="shared" si="1098"/>
        <v>47</v>
      </c>
      <c r="CV1039" s="14">
        <f t="shared" si="1099"/>
        <v>3</v>
      </c>
      <c r="CW1039" s="14">
        <f t="shared" si="1100"/>
        <v>1102020</v>
      </c>
      <c r="CX1039" s="14" t="str">
        <f>INDEX($O$6:$O$50,CT1039)&amp;"-"&amp;INDEX(属性投放!$AB$7:$AB$50,CZ1039)&amp;"-魂火-"&amp;DB1039</f>
        <v>高顺-无间-魂火-2</v>
      </c>
      <c r="CY1039" s="25" t="s">
        <v>142</v>
      </c>
      <c r="CZ1039" s="14">
        <f>INDEX(属性投放!$AM$7:$AM$58,CU1039)</f>
        <v>19</v>
      </c>
      <c r="DA1039" s="14" t="s">
        <v>537</v>
      </c>
      <c r="DB1039" s="14">
        <f>INDEX(属性投放!$AN$7:$AN$58,CU1039)</f>
        <v>2</v>
      </c>
      <c r="DC1039" s="14">
        <f t="shared" si="1096"/>
        <v>47</v>
      </c>
      <c r="DD1039" s="14">
        <f>INDEX(属性投放!$AO$7:$AO$58,DC1039)</f>
        <v>135</v>
      </c>
      <c r="DE1039" s="14" t="s">
        <v>538</v>
      </c>
      <c r="DF1039" s="14">
        <f>INDEX(属性投放!$BK$6:$BK$85,(CV1039-2)*20+CZ1039)</f>
        <v>900</v>
      </c>
      <c r="DG1039" s="14">
        <f>SUMIFS(DF$5:DF1039,$CT$5:$CT1039,"="&amp;$CT1039)</f>
        <v>12470</v>
      </c>
      <c r="DH1039" s="14" t="s">
        <v>539</v>
      </c>
      <c r="DI1039" s="14">
        <f>INDEX(属性投放!$BL$6:$BL$85,(CV1039-2)*20+CZ1039)</f>
        <v>450</v>
      </c>
      <c r="DJ1039" s="14">
        <f>SUMIFS(DI$5:DI1039,$CT$5:$CT1039,"="&amp;$CT1039)</f>
        <v>6238</v>
      </c>
      <c r="DK1039" s="14" t="s">
        <v>540</v>
      </c>
      <c r="DL1039" s="14">
        <f>INDEX(属性投放!$BM$6:$BM$85,(CV1039-2)*20+CZ1039)</f>
        <v>9000</v>
      </c>
      <c r="DM1039" s="14">
        <f>SUMIFS(DL$5:DL1039,$CT$5:$CT1039,"="&amp;$CT1039)</f>
        <v>120740</v>
      </c>
    </row>
    <row r="1040" spans="97:117" ht="16.5" x14ac:dyDescent="0.2">
      <c r="CS1040" s="13">
        <v>1036</v>
      </c>
      <c r="CT1040" s="13">
        <f t="shared" si="1097"/>
        <v>20</v>
      </c>
      <c r="CU1040" s="13">
        <f t="shared" si="1098"/>
        <v>48</v>
      </c>
      <c r="CV1040" s="14">
        <f t="shared" si="1099"/>
        <v>3</v>
      </c>
      <c r="CW1040" s="14">
        <f t="shared" si="1100"/>
        <v>1102020</v>
      </c>
      <c r="CX1040" s="14" t="str">
        <f>INDEX($O$6:$O$50,CT1040)&amp;"-"&amp;INDEX(属性投放!$AB$7:$AB$50,CZ1040)&amp;"-魂火-"&amp;DB1040</f>
        <v>高顺-无间-魂火-3</v>
      </c>
      <c r="CY1040" s="25" t="s">
        <v>142</v>
      </c>
      <c r="CZ1040" s="14">
        <f>INDEX(属性投放!$AM$7:$AM$58,CU1040)</f>
        <v>19</v>
      </c>
      <c r="DA1040" s="14" t="s">
        <v>537</v>
      </c>
      <c r="DB1040" s="14">
        <f>INDEX(属性投放!$AN$7:$AN$58,CU1040)</f>
        <v>3</v>
      </c>
      <c r="DC1040" s="14">
        <f t="shared" si="1096"/>
        <v>48</v>
      </c>
      <c r="DD1040" s="14">
        <f>INDEX(属性投放!$AO$7:$AO$58,DC1040)</f>
        <v>138</v>
      </c>
      <c r="DE1040" s="14" t="s">
        <v>538</v>
      </c>
      <c r="DF1040" s="14">
        <f>INDEX(属性投放!$BK$6:$BK$85,(CV1040-2)*20+CZ1040)</f>
        <v>900</v>
      </c>
      <c r="DG1040" s="14">
        <f>SUMIFS(DF$5:DF1040,$CT$5:$CT1040,"="&amp;$CT1040)</f>
        <v>13370</v>
      </c>
      <c r="DH1040" s="14" t="s">
        <v>539</v>
      </c>
      <c r="DI1040" s="14">
        <f>INDEX(属性投放!$BL$6:$BL$85,(CV1040-2)*20+CZ1040)</f>
        <v>450</v>
      </c>
      <c r="DJ1040" s="14">
        <f>SUMIFS(DI$5:DI1040,$CT$5:$CT1040,"="&amp;$CT1040)</f>
        <v>6688</v>
      </c>
      <c r="DK1040" s="14" t="s">
        <v>540</v>
      </c>
      <c r="DL1040" s="14">
        <f>INDEX(属性投放!$BM$6:$BM$85,(CV1040-2)*20+CZ1040)</f>
        <v>9000</v>
      </c>
      <c r="DM1040" s="14">
        <f>SUMIFS(DL$5:DL1040,$CT$5:$CT1040,"="&amp;$CT1040)</f>
        <v>129740</v>
      </c>
    </row>
    <row r="1041" spans="97:117" ht="16.5" x14ac:dyDescent="0.2">
      <c r="CS1041" s="13">
        <v>1037</v>
      </c>
      <c r="CT1041" s="13">
        <f t="shared" si="1097"/>
        <v>20</v>
      </c>
      <c r="CU1041" s="13">
        <f t="shared" si="1098"/>
        <v>49</v>
      </c>
      <c r="CV1041" s="14">
        <f t="shared" si="1099"/>
        <v>3</v>
      </c>
      <c r="CW1041" s="14">
        <f t="shared" si="1100"/>
        <v>1102020</v>
      </c>
      <c r="CX1041" s="14" t="str">
        <f>INDEX($O$6:$O$50,CT1041)&amp;"-"&amp;INDEX(属性投放!$AB$7:$AB$50,CZ1041)&amp;"-魂火-"&amp;DB1041</f>
        <v>高顺-无间+1-魂火-1</v>
      </c>
      <c r="CY1041" s="25" t="s">
        <v>142</v>
      </c>
      <c r="CZ1041" s="14">
        <f>INDEX(属性投放!$AM$7:$AM$58,CU1041)</f>
        <v>20</v>
      </c>
      <c r="DA1041" s="14" t="s">
        <v>537</v>
      </c>
      <c r="DB1041" s="14">
        <f>INDEX(属性投放!$AN$7:$AN$58,CU1041)</f>
        <v>1</v>
      </c>
      <c r="DC1041" s="14">
        <f t="shared" si="1096"/>
        <v>49</v>
      </c>
      <c r="DD1041" s="14">
        <f>INDEX(属性投放!$AO$7:$AO$58,DC1041)</f>
        <v>140</v>
      </c>
      <c r="DE1041" s="14" t="s">
        <v>538</v>
      </c>
      <c r="DF1041" s="14">
        <f>INDEX(属性投放!$BK$6:$BK$85,(CV1041-2)*20+CZ1041)</f>
        <v>1000</v>
      </c>
      <c r="DG1041" s="14">
        <f>SUMIFS(DF$5:DF1041,$CT$5:$CT1041,"="&amp;$CT1041)</f>
        <v>14370</v>
      </c>
      <c r="DH1041" s="14" t="s">
        <v>539</v>
      </c>
      <c r="DI1041" s="14">
        <f>INDEX(属性投放!$BL$6:$BL$85,(CV1041-2)*20+CZ1041)</f>
        <v>500</v>
      </c>
      <c r="DJ1041" s="14">
        <f>SUMIFS(DI$5:DI1041,$CT$5:$CT1041,"="&amp;$CT1041)</f>
        <v>7188</v>
      </c>
      <c r="DK1041" s="14" t="s">
        <v>540</v>
      </c>
      <c r="DL1041" s="14">
        <f>INDEX(属性投放!$BM$6:$BM$85,(CV1041-2)*20+CZ1041)</f>
        <v>10000</v>
      </c>
      <c r="DM1041" s="14">
        <f>SUMIFS(DL$5:DL1041,$CT$5:$CT1041,"="&amp;$CT1041)</f>
        <v>139740</v>
      </c>
    </row>
    <row r="1042" spans="97:117" ht="16.5" x14ac:dyDescent="0.2">
      <c r="CS1042" s="13">
        <v>1038</v>
      </c>
      <c r="CT1042" s="13">
        <f t="shared" si="1097"/>
        <v>20</v>
      </c>
      <c r="CU1042" s="13">
        <f t="shared" si="1098"/>
        <v>50</v>
      </c>
      <c r="CV1042" s="14">
        <f t="shared" si="1099"/>
        <v>3</v>
      </c>
      <c r="CW1042" s="14">
        <f t="shared" si="1100"/>
        <v>1102020</v>
      </c>
      <c r="CX1042" s="14" t="str">
        <f>INDEX($O$6:$O$50,CT1042)&amp;"-"&amp;INDEX(属性投放!$AB$7:$AB$50,CZ1042)&amp;"-魂火-"&amp;DB1042</f>
        <v>高顺-无间+1-魂火-2</v>
      </c>
      <c r="CY1042" s="25" t="s">
        <v>142</v>
      </c>
      <c r="CZ1042" s="14">
        <f>INDEX(属性投放!$AM$7:$AM$58,CU1042)</f>
        <v>20</v>
      </c>
      <c r="DA1042" s="14" t="s">
        <v>537</v>
      </c>
      <c r="DB1042" s="14">
        <f>INDEX(属性投放!$AN$7:$AN$58,CU1042)</f>
        <v>2</v>
      </c>
      <c r="DC1042" s="14">
        <f t="shared" si="1096"/>
        <v>50</v>
      </c>
      <c r="DD1042" s="14">
        <f>INDEX(属性投放!$AO$7:$AO$58,DC1042)</f>
        <v>143</v>
      </c>
      <c r="DE1042" s="14" t="s">
        <v>538</v>
      </c>
      <c r="DF1042" s="14">
        <f>INDEX(属性投放!$BK$6:$BK$85,(CV1042-2)*20+CZ1042)</f>
        <v>1000</v>
      </c>
      <c r="DG1042" s="14">
        <f>SUMIFS(DF$5:DF1042,$CT$5:$CT1042,"="&amp;$CT1042)</f>
        <v>15370</v>
      </c>
      <c r="DH1042" s="14" t="s">
        <v>539</v>
      </c>
      <c r="DI1042" s="14">
        <f>INDEX(属性投放!$BL$6:$BL$85,(CV1042-2)*20+CZ1042)</f>
        <v>500</v>
      </c>
      <c r="DJ1042" s="14">
        <f>SUMIFS(DI$5:DI1042,$CT$5:$CT1042,"="&amp;$CT1042)</f>
        <v>7688</v>
      </c>
      <c r="DK1042" s="14" t="s">
        <v>540</v>
      </c>
      <c r="DL1042" s="14">
        <f>INDEX(属性投放!$BM$6:$BM$85,(CV1042-2)*20+CZ1042)</f>
        <v>10000</v>
      </c>
      <c r="DM1042" s="14">
        <f>SUMIFS(DL$5:DL1042,$CT$5:$CT1042,"="&amp;$CT1042)</f>
        <v>149740</v>
      </c>
    </row>
    <row r="1043" spans="97:117" ht="16.5" x14ac:dyDescent="0.2">
      <c r="CS1043" s="13">
        <v>1039</v>
      </c>
      <c r="CT1043" s="13">
        <f t="shared" si="1097"/>
        <v>20</v>
      </c>
      <c r="CU1043" s="13">
        <f t="shared" si="1098"/>
        <v>51</v>
      </c>
      <c r="CV1043" s="14">
        <f t="shared" si="1099"/>
        <v>3</v>
      </c>
      <c r="CW1043" s="14">
        <f t="shared" si="1100"/>
        <v>1102020</v>
      </c>
      <c r="CX1043" s="14" t="str">
        <f>INDEX($O$6:$O$50,CT1043)&amp;"-"&amp;INDEX(属性投放!$AB$7:$AB$50,CZ1043)&amp;"-魂火-"&amp;DB1043</f>
        <v>高顺-无间+1-魂火-3</v>
      </c>
      <c r="CY1043" s="25" t="s">
        <v>142</v>
      </c>
      <c r="CZ1043" s="14">
        <f>INDEX(属性投放!$AM$7:$AM$58,CU1043)</f>
        <v>20</v>
      </c>
      <c r="DA1043" s="14" t="s">
        <v>537</v>
      </c>
      <c r="DB1043" s="14">
        <f>INDEX(属性投放!$AN$7:$AN$58,CU1043)</f>
        <v>3</v>
      </c>
      <c r="DC1043" s="14">
        <f t="shared" si="1096"/>
        <v>51</v>
      </c>
      <c r="DD1043" s="14">
        <f>INDEX(属性投放!$AO$7:$AO$58,DC1043)</f>
        <v>145</v>
      </c>
      <c r="DE1043" s="14" t="s">
        <v>538</v>
      </c>
      <c r="DF1043" s="14">
        <f>INDEX(属性投放!$BK$6:$BK$85,(CV1043-2)*20+CZ1043)</f>
        <v>1000</v>
      </c>
      <c r="DG1043" s="14">
        <f>SUMIFS(DF$5:DF1043,$CT$5:$CT1043,"="&amp;$CT1043)</f>
        <v>16370</v>
      </c>
      <c r="DH1043" s="14" t="s">
        <v>539</v>
      </c>
      <c r="DI1043" s="14">
        <f>INDEX(属性投放!$BL$6:$BL$85,(CV1043-2)*20+CZ1043)</f>
        <v>500</v>
      </c>
      <c r="DJ1043" s="14">
        <f>SUMIFS(DI$5:DI1043,$CT$5:$CT1043,"="&amp;$CT1043)</f>
        <v>8188</v>
      </c>
      <c r="DK1043" s="14" t="s">
        <v>540</v>
      </c>
      <c r="DL1043" s="14">
        <f>INDEX(属性投放!$BM$6:$BM$85,(CV1043-2)*20+CZ1043)</f>
        <v>10000</v>
      </c>
      <c r="DM1043" s="14">
        <f>SUMIFS(DL$5:DL1043,$CT$5:$CT1043,"="&amp;$CT1043)</f>
        <v>159740</v>
      </c>
    </row>
    <row r="1044" spans="97:117" ht="16.5" x14ac:dyDescent="0.2">
      <c r="CS1044" s="13">
        <v>1040</v>
      </c>
      <c r="CT1044" s="13">
        <f t="shared" si="1097"/>
        <v>20</v>
      </c>
      <c r="CU1044" s="13">
        <f t="shared" si="1098"/>
        <v>52</v>
      </c>
      <c r="CV1044" s="14">
        <f t="shared" si="1099"/>
        <v>3</v>
      </c>
      <c r="CW1044" s="14">
        <f t="shared" si="1100"/>
        <v>1102020</v>
      </c>
      <c r="CX1044" s="14" t="str">
        <f>INDEX($O$6:$O$50,CT1044)&amp;"-"&amp;INDEX(属性投放!$AB$7:$AB$50,CZ1044)&amp;"-魂火-"&amp;DB1044</f>
        <v>高顺-无间+1-魂火-4</v>
      </c>
      <c r="CY1044" s="25" t="s">
        <v>142</v>
      </c>
      <c r="CZ1044" s="14">
        <f>INDEX(属性投放!$AM$7:$AM$58,CU1044)</f>
        <v>20</v>
      </c>
      <c r="DA1044" s="14" t="s">
        <v>537</v>
      </c>
      <c r="DB1044" s="14">
        <f>INDEX(属性投放!$AN$7:$AN$58,CU1044)</f>
        <v>4</v>
      </c>
      <c r="DC1044" s="14">
        <f t="shared" si="1096"/>
        <v>52</v>
      </c>
      <c r="DD1044" s="14">
        <f>INDEX(属性投放!$AO$7:$AO$58,DC1044)</f>
        <v>148</v>
      </c>
      <c r="DE1044" s="14" t="s">
        <v>538</v>
      </c>
      <c r="DF1044" s="14">
        <f>INDEX(属性投放!$BK$6:$BK$85,(CV1044-2)*20+CZ1044)</f>
        <v>1000</v>
      </c>
      <c r="DG1044" s="14">
        <f>SUMIFS(DF$5:DF1044,$CT$5:$CT1044,"="&amp;$CT1044)</f>
        <v>17370</v>
      </c>
      <c r="DH1044" s="14" t="s">
        <v>539</v>
      </c>
      <c r="DI1044" s="14">
        <f>INDEX(属性投放!$BL$6:$BL$85,(CV1044-2)*20+CZ1044)</f>
        <v>500</v>
      </c>
      <c r="DJ1044" s="14">
        <f>SUMIFS(DI$5:DI1044,$CT$5:$CT1044,"="&amp;$CT1044)</f>
        <v>8688</v>
      </c>
      <c r="DK1044" s="14" t="s">
        <v>540</v>
      </c>
      <c r="DL1044" s="14">
        <f>INDEX(属性投放!$BM$6:$BM$85,(CV1044-2)*20+CZ1044)</f>
        <v>10000</v>
      </c>
      <c r="DM1044" s="14">
        <f>SUMIFS(DL$5:DL1044,$CT$5:$CT1044,"="&amp;$CT1044)</f>
        <v>169740</v>
      </c>
    </row>
    <row r="1045" spans="97:117" ht="16.5" x14ac:dyDescent="0.2">
      <c r="CS1045" s="13">
        <v>1041</v>
      </c>
      <c r="CT1045" s="13">
        <f t="shared" si="1097"/>
        <v>21</v>
      </c>
      <c r="CU1045" s="13">
        <f t="shared" si="1098"/>
        <v>1</v>
      </c>
      <c r="CV1045" s="14">
        <f t="shared" si="1099"/>
        <v>3</v>
      </c>
      <c r="CW1045" s="14">
        <f t="shared" si="1100"/>
        <v>1102021</v>
      </c>
      <c r="CX1045" s="14" t="str">
        <f>INDEX($O$6:$O$50,CT1045)&amp;"-"&amp;INDEX(属性投放!$AB$7:$AB$50,CZ1045)&amp;"-魂火-"&amp;DB1045</f>
        <v>烈风螳螂-等活-魂火-1</v>
      </c>
      <c r="CY1045" s="25" t="s">
        <v>142</v>
      </c>
      <c r="CZ1045" s="14">
        <f>INDEX(属性投放!$AM$7:$AM$58,CU1045)</f>
        <v>1</v>
      </c>
      <c r="DA1045" s="14" t="s">
        <v>537</v>
      </c>
      <c r="DB1045" s="14">
        <f>INDEX(属性投放!$AN$7:$AN$58,CU1045)</f>
        <v>1</v>
      </c>
      <c r="DC1045" s="14">
        <f t="shared" si="1096"/>
        <v>1</v>
      </c>
      <c r="DD1045" s="14">
        <f>INDEX(属性投放!$AO$7:$AO$58,DC1045)</f>
        <v>3</v>
      </c>
      <c r="DE1045" s="14" t="s">
        <v>538</v>
      </c>
      <c r="DF1045" s="14">
        <f>INDEX(属性投放!$BK$6:$BK$85,(CV1045-2)*20+CZ1045)</f>
        <v>20</v>
      </c>
      <c r="DG1045" s="14">
        <f>SUMIFS(DF$5:DF1045,$CT$5:$CT1045,"="&amp;$CT1045)</f>
        <v>20</v>
      </c>
      <c r="DH1045" s="14" t="s">
        <v>539</v>
      </c>
      <c r="DI1045" s="14">
        <f>INDEX(属性投放!$BL$6:$BL$85,(CV1045-2)*20+CZ1045)</f>
        <v>10</v>
      </c>
      <c r="DJ1045" s="14">
        <f>SUMIFS(DI$5:DI1045,$CT$5:$CT1045,"="&amp;$CT1045)</f>
        <v>10</v>
      </c>
      <c r="DK1045" s="14" t="s">
        <v>540</v>
      </c>
      <c r="DL1045" s="14">
        <f>INDEX(属性投放!$BM$6:$BM$85,(CV1045-2)*20+CZ1045)</f>
        <v>120</v>
      </c>
      <c r="DM1045" s="14">
        <f>SUMIFS(DL$5:DL1045,$CT$5:$CT1045,"="&amp;$CT1045)</f>
        <v>120</v>
      </c>
    </row>
    <row r="1046" spans="97:117" ht="16.5" x14ac:dyDescent="0.2">
      <c r="CS1046" s="13">
        <v>1042</v>
      </c>
      <c r="CT1046" s="13">
        <f t="shared" si="1097"/>
        <v>21</v>
      </c>
      <c r="CU1046" s="13">
        <f t="shared" si="1098"/>
        <v>2</v>
      </c>
      <c r="CV1046" s="14">
        <f t="shared" si="1099"/>
        <v>3</v>
      </c>
      <c r="CW1046" s="14">
        <f t="shared" si="1100"/>
        <v>1102021</v>
      </c>
      <c r="CX1046" s="14" t="str">
        <f>INDEX($O$6:$O$50,CT1046)&amp;"-"&amp;INDEX(属性投放!$AB$7:$AB$50,CZ1046)&amp;"-魂火-"&amp;DB1046</f>
        <v>烈风螳螂-黑绳-魂火-1</v>
      </c>
      <c r="CY1046" s="25" t="s">
        <v>142</v>
      </c>
      <c r="CZ1046" s="14">
        <f>INDEX(属性投放!$AM$7:$AM$58,CU1046)</f>
        <v>2</v>
      </c>
      <c r="DA1046" s="14" t="s">
        <v>537</v>
      </c>
      <c r="DB1046" s="14">
        <f>INDEX(属性投放!$AN$7:$AN$58,CU1046)</f>
        <v>1</v>
      </c>
      <c r="DC1046" s="14">
        <f t="shared" si="1096"/>
        <v>2</v>
      </c>
      <c r="DD1046" s="14">
        <f>INDEX(属性投放!$AO$7:$AO$58,DC1046)</f>
        <v>8</v>
      </c>
      <c r="DE1046" s="14" t="s">
        <v>538</v>
      </c>
      <c r="DF1046" s="14">
        <f>INDEX(属性投放!$BK$6:$BK$85,(CV1046-2)*20+CZ1046)</f>
        <v>25</v>
      </c>
      <c r="DG1046" s="14">
        <f>SUMIFS(DF$5:DF1046,$CT$5:$CT1046,"="&amp;$CT1046)</f>
        <v>45</v>
      </c>
      <c r="DH1046" s="14" t="s">
        <v>539</v>
      </c>
      <c r="DI1046" s="14">
        <f>INDEX(属性投放!$BL$6:$BL$85,(CV1046-2)*20+CZ1046)</f>
        <v>13</v>
      </c>
      <c r="DJ1046" s="14">
        <f>SUMIFS(DI$5:DI1046,$CT$5:$CT1046,"="&amp;$CT1046)</f>
        <v>23</v>
      </c>
      <c r="DK1046" s="14" t="s">
        <v>540</v>
      </c>
      <c r="DL1046" s="14">
        <f>INDEX(属性投放!$BM$6:$BM$85,(CV1046-2)*20+CZ1046)</f>
        <v>150</v>
      </c>
      <c r="DM1046" s="14">
        <f>SUMIFS(DL$5:DL1046,$CT$5:$CT1046,"="&amp;$CT1046)</f>
        <v>270</v>
      </c>
    </row>
    <row r="1047" spans="97:117" ht="16.5" x14ac:dyDescent="0.2">
      <c r="CS1047" s="13">
        <v>1043</v>
      </c>
      <c r="CT1047" s="13">
        <f t="shared" si="1097"/>
        <v>21</v>
      </c>
      <c r="CU1047" s="13">
        <f t="shared" si="1098"/>
        <v>3</v>
      </c>
      <c r="CV1047" s="14">
        <f t="shared" si="1099"/>
        <v>3</v>
      </c>
      <c r="CW1047" s="14">
        <f t="shared" si="1100"/>
        <v>1102021</v>
      </c>
      <c r="CX1047" s="14" t="str">
        <f>INDEX($O$6:$O$50,CT1047)&amp;"-"&amp;INDEX(属性投放!$AB$7:$AB$50,CZ1047)&amp;"-魂火-"&amp;DB1047</f>
        <v>烈风螳螂-黑绳-魂火-2</v>
      </c>
      <c r="CY1047" s="25" t="s">
        <v>142</v>
      </c>
      <c r="CZ1047" s="14">
        <f>INDEX(属性投放!$AM$7:$AM$58,CU1047)</f>
        <v>2</v>
      </c>
      <c r="DA1047" s="14" t="s">
        <v>537</v>
      </c>
      <c r="DB1047" s="14">
        <f>INDEX(属性投放!$AN$7:$AN$58,CU1047)</f>
        <v>2</v>
      </c>
      <c r="DC1047" s="14">
        <f t="shared" si="1096"/>
        <v>3</v>
      </c>
      <c r="DD1047" s="14">
        <f>INDEX(属性投放!$AO$7:$AO$58,DC1047)</f>
        <v>13</v>
      </c>
      <c r="DE1047" s="14" t="s">
        <v>538</v>
      </c>
      <c r="DF1047" s="14">
        <f>INDEX(属性投放!$BK$6:$BK$85,(CV1047-2)*20+CZ1047)</f>
        <v>25</v>
      </c>
      <c r="DG1047" s="14">
        <f>SUMIFS(DF$5:DF1047,$CT$5:$CT1047,"="&amp;$CT1047)</f>
        <v>70</v>
      </c>
      <c r="DH1047" s="14" t="s">
        <v>539</v>
      </c>
      <c r="DI1047" s="14">
        <f>INDEX(属性投放!$BL$6:$BL$85,(CV1047-2)*20+CZ1047)</f>
        <v>13</v>
      </c>
      <c r="DJ1047" s="14">
        <f>SUMIFS(DI$5:DI1047,$CT$5:$CT1047,"="&amp;$CT1047)</f>
        <v>36</v>
      </c>
      <c r="DK1047" s="14" t="s">
        <v>540</v>
      </c>
      <c r="DL1047" s="14">
        <f>INDEX(属性投放!$BM$6:$BM$85,(CV1047-2)*20+CZ1047)</f>
        <v>150</v>
      </c>
      <c r="DM1047" s="14">
        <f>SUMIFS(DL$5:DL1047,$CT$5:$CT1047,"="&amp;$CT1047)</f>
        <v>420</v>
      </c>
    </row>
    <row r="1048" spans="97:117" ht="16.5" x14ac:dyDescent="0.2">
      <c r="CS1048" s="13">
        <v>1044</v>
      </c>
      <c r="CT1048" s="13">
        <f t="shared" si="1097"/>
        <v>21</v>
      </c>
      <c r="CU1048" s="13">
        <f t="shared" si="1098"/>
        <v>4</v>
      </c>
      <c r="CV1048" s="14">
        <f t="shared" si="1099"/>
        <v>3</v>
      </c>
      <c r="CW1048" s="14">
        <f t="shared" si="1100"/>
        <v>1102021</v>
      </c>
      <c r="CX1048" s="14" t="str">
        <f>INDEX($O$6:$O$50,CT1048)&amp;"-"&amp;INDEX(属性投放!$AB$7:$AB$50,CZ1048)&amp;"-魂火-"&amp;DB1048</f>
        <v>烈风螳螂-黑绳+1-魂火-1</v>
      </c>
      <c r="CY1048" s="25" t="s">
        <v>142</v>
      </c>
      <c r="CZ1048" s="14">
        <f>INDEX(属性投放!$AM$7:$AM$58,CU1048)</f>
        <v>3</v>
      </c>
      <c r="DA1048" s="14" t="s">
        <v>537</v>
      </c>
      <c r="DB1048" s="14">
        <f>INDEX(属性投放!$AN$7:$AN$58,CU1048)</f>
        <v>1</v>
      </c>
      <c r="DC1048" s="14">
        <f t="shared" si="1096"/>
        <v>4</v>
      </c>
      <c r="DD1048" s="14">
        <f>INDEX(属性投放!$AO$7:$AO$58,DC1048)</f>
        <v>18</v>
      </c>
      <c r="DE1048" s="14" t="s">
        <v>538</v>
      </c>
      <c r="DF1048" s="14">
        <f>INDEX(属性投放!$BK$6:$BK$85,(CV1048-2)*20+CZ1048)</f>
        <v>30</v>
      </c>
      <c r="DG1048" s="14">
        <f>SUMIFS(DF$5:DF1048,$CT$5:$CT1048,"="&amp;$CT1048)</f>
        <v>100</v>
      </c>
      <c r="DH1048" s="14" t="s">
        <v>539</v>
      </c>
      <c r="DI1048" s="14">
        <f>INDEX(属性投放!$BL$6:$BL$85,(CV1048-2)*20+CZ1048)</f>
        <v>15</v>
      </c>
      <c r="DJ1048" s="14">
        <f>SUMIFS(DI$5:DI1048,$CT$5:$CT1048,"="&amp;$CT1048)</f>
        <v>51</v>
      </c>
      <c r="DK1048" s="14" t="s">
        <v>540</v>
      </c>
      <c r="DL1048" s="14">
        <f>INDEX(属性投放!$BM$6:$BM$85,(CV1048-2)*20+CZ1048)</f>
        <v>180</v>
      </c>
      <c r="DM1048" s="14">
        <f>SUMIFS(DL$5:DL1048,$CT$5:$CT1048,"="&amp;$CT1048)</f>
        <v>600</v>
      </c>
    </row>
    <row r="1049" spans="97:117" ht="16.5" x14ac:dyDescent="0.2">
      <c r="CS1049" s="13">
        <v>1045</v>
      </c>
      <c r="CT1049" s="13">
        <f t="shared" si="1097"/>
        <v>21</v>
      </c>
      <c r="CU1049" s="13">
        <f t="shared" si="1098"/>
        <v>5</v>
      </c>
      <c r="CV1049" s="14">
        <f t="shared" si="1099"/>
        <v>3</v>
      </c>
      <c r="CW1049" s="14">
        <f t="shared" si="1100"/>
        <v>1102021</v>
      </c>
      <c r="CX1049" s="14" t="str">
        <f>INDEX($O$6:$O$50,CT1049)&amp;"-"&amp;INDEX(属性投放!$AB$7:$AB$50,CZ1049)&amp;"-魂火-"&amp;DB1049</f>
        <v>烈风螳螂-黑绳+1-魂火-2</v>
      </c>
      <c r="CY1049" s="25" t="s">
        <v>142</v>
      </c>
      <c r="CZ1049" s="14">
        <f>INDEX(属性投放!$AM$7:$AM$58,CU1049)</f>
        <v>3</v>
      </c>
      <c r="DA1049" s="14" t="s">
        <v>537</v>
      </c>
      <c r="DB1049" s="14">
        <f>INDEX(属性投放!$AN$7:$AN$58,CU1049)</f>
        <v>2</v>
      </c>
      <c r="DC1049" s="14">
        <f t="shared" si="1096"/>
        <v>5</v>
      </c>
      <c r="DD1049" s="14">
        <f>INDEX(属性投放!$AO$7:$AO$58,DC1049)</f>
        <v>23</v>
      </c>
      <c r="DE1049" s="14" t="s">
        <v>538</v>
      </c>
      <c r="DF1049" s="14">
        <f>INDEX(属性投放!$BK$6:$BK$85,(CV1049-2)*20+CZ1049)</f>
        <v>30</v>
      </c>
      <c r="DG1049" s="14">
        <f>SUMIFS(DF$5:DF1049,$CT$5:$CT1049,"="&amp;$CT1049)</f>
        <v>130</v>
      </c>
      <c r="DH1049" s="14" t="s">
        <v>539</v>
      </c>
      <c r="DI1049" s="14">
        <f>INDEX(属性投放!$BL$6:$BL$85,(CV1049-2)*20+CZ1049)</f>
        <v>15</v>
      </c>
      <c r="DJ1049" s="14">
        <f>SUMIFS(DI$5:DI1049,$CT$5:$CT1049,"="&amp;$CT1049)</f>
        <v>66</v>
      </c>
      <c r="DK1049" s="14" t="s">
        <v>540</v>
      </c>
      <c r="DL1049" s="14">
        <f>INDEX(属性投放!$BM$6:$BM$85,(CV1049-2)*20+CZ1049)</f>
        <v>180</v>
      </c>
      <c r="DM1049" s="14">
        <f>SUMIFS(DL$5:DL1049,$CT$5:$CT1049,"="&amp;$CT1049)</f>
        <v>780</v>
      </c>
    </row>
    <row r="1050" spans="97:117" ht="16.5" x14ac:dyDescent="0.2">
      <c r="CS1050" s="13">
        <v>1046</v>
      </c>
      <c r="CT1050" s="13">
        <f t="shared" si="1097"/>
        <v>21</v>
      </c>
      <c r="CU1050" s="13">
        <f t="shared" si="1098"/>
        <v>6</v>
      </c>
      <c r="CV1050" s="14">
        <f t="shared" si="1099"/>
        <v>3</v>
      </c>
      <c r="CW1050" s="14">
        <f t="shared" si="1100"/>
        <v>1102021</v>
      </c>
      <c r="CX1050" s="14" t="str">
        <f>INDEX($O$6:$O$50,CT1050)&amp;"-"&amp;INDEX(属性投放!$AB$7:$AB$50,CZ1050)&amp;"-魂火-"&amp;DB1050</f>
        <v>烈风螳螂-众合-魂火-1</v>
      </c>
      <c r="CY1050" s="25" t="s">
        <v>142</v>
      </c>
      <c r="CZ1050" s="14">
        <f>INDEX(属性投放!$AM$7:$AM$58,CU1050)</f>
        <v>4</v>
      </c>
      <c r="DA1050" s="14" t="s">
        <v>537</v>
      </c>
      <c r="DB1050" s="14">
        <f>INDEX(属性投放!$AN$7:$AN$58,CU1050)</f>
        <v>1</v>
      </c>
      <c r="DC1050" s="14">
        <f t="shared" si="1096"/>
        <v>6</v>
      </c>
      <c r="DD1050" s="14">
        <f>INDEX(属性投放!$AO$7:$AO$58,DC1050)</f>
        <v>28</v>
      </c>
      <c r="DE1050" s="14" t="s">
        <v>538</v>
      </c>
      <c r="DF1050" s="14">
        <f>INDEX(属性投放!$BK$6:$BK$85,(CV1050-2)*20+CZ1050)</f>
        <v>40</v>
      </c>
      <c r="DG1050" s="14">
        <f>SUMIFS(DF$5:DF1050,$CT$5:$CT1050,"="&amp;$CT1050)</f>
        <v>170</v>
      </c>
      <c r="DH1050" s="14" t="s">
        <v>539</v>
      </c>
      <c r="DI1050" s="14">
        <f>INDEX(属性投放!$BL$6:$BL$85,(CV1050-2)*20+CZ1050)</f>
        <v>20</v>
      </c>
      <c r="DJ1050" s="14">
        <f>SUMIFS(DI$5:DI1050,$CT$5:$CT1050,"="&amp;$CT1050)</f>
        <v>86</v>
      </c>
      <c r="DK1050" s="14" t="s">
        <v>540</v>
      </c>
      <c r="DL1050" s="14">
        <f>INDEX(属性投放!$BM$6:$BM$85,(CV1050-2)*20+CZ1050)</f>
        <v>280</v>
      </c>
      <c r="DM1050" s="14">
        <f>SUMIFS(DL$5:DL1050,$CT$5:$CT1050,"="&amp;$CT1050)</f>
        <v>1060</v>
      </c>
    </row>
    <row r="1051" spans="97:117" ht="16.5" x14ac:dyDescent="0.2">
      <c r="CS1051" s="13">
        <v>1047</v>
      </c>
      <c r="CT1051" s="13">
        <f t="shared" si="1097"/>
        <v>21</v>
      </c>
      <c r="CU1051" s="13">
        <f t="shared" si="1098"/>
        <v>7</v>
      </c>
      <c r="CV1051" s="14">
        <f t="shared" si="1099"/>
        <v>3</v>
      </c>
      <c r="CW1051" s="14">
        <f t="shared" si="1100"/>
        <v>1102021</v>
      </c>
      <c r="CX1051" s="14" t="str">
        <f>INDEX($O$6:$O$50,CT1051)&amp;"-"&amp;INDEX(属性投放!$AB$7:$AB$50,CZ1051)&amp;"-魂火-"&amp;DB1051</f>
        <v>烈风螳螂-众合-魂火-2</v>
      </c>
      <c r="CY1051" s="25" t="s">
        <v>142</v>
      </c>
      <c r="CZ1051" s="14">
        <f>INDEX(属性投放!$AM$7:$AM$58,CU1051)</f>
        <v>4</v>
      </c>
      <c r="DA1051" s="14" t="s">
        <v>537</v>
      </c>
      <c r="DB1051" s="14">
        <f>INDEX(属性投放!$AN$7:$AN$58,CU1051)</f>
        <v>2</v>
      </c>
      <c r="DC1051" s="14">
        <f t="shared" si="1096"/>
        <v>7</v>
      </c>
      <c r="DD1051" s="14">
        <f>INDEX(属性投放!$AO$7:$AO$58,DC1051)</f>
        <v>33</v>
      </c>
      <c r="DE1051" s="14" t="s">
        <v>538</v>
      </c>
      <c r="DF1051" s="14">
        <f>INDEX(属性投放!$BK$6:$BK$85,(CV1051-2)*20+CZ1051)</f>
        <v>40</v>
      </c>
      <c r="DG1051" s="14">
        <f>SUMIFS(DF$5:DF1051,$CT$5:$CT1051,"="&amp;$CT1051)</f>
        <v>210</v>
      </c>
      <c r="DH1051" s="14" t="s">
        <v>539</v>
      </c>
      <c r="DI1051" s="14">
        <f>INDEX(属性投放!$BL$6:$BL$85,(CV1051-2)*20+CZ1051)</f>
        <v>20</v>
      </c>
      <c r="DJ1051" s="14">
        <f>SUMIFS(DI$5:DI1051,$CT$5:$CT1051,"="&amp;$CT1051)</f>
        <v>106</v>
      </c>
      <c r="DK1051" s="14" t="s">
        <v>540</v>
      </c>
      <c r="DL1051" s="14">
        <f>INDEX(属性投放!$BM$6:$BM$85,(CV1051-2)*20+CZ1051)</f>
        <v>280</v>
      </c>
      <c r="DM1051" s="14">
        <f>SUMIFS(DL$5:DL1051,$CT$5:$CT1051,"="&amp;$CT1051)</f>
        <v>1340</v>
      </c>
    </row>
    <row r="1052" spans="97:117" ht="16.5" x14ac:dyDescent="0.2">
      <c r="CS1052" s="13">
        <v>1048</v>
      </c>
      <c r="CT1052" s="13">
        <f t="shared" si="1097"/>
        <v>21</v>
      </c>
      <c r="CU1052" s="13">
        <f t="shared" si="1098"/>
        <v>8</v>
      </c>
      <c r="CV1052" s="14">
        <f t="shared" si="1099"/>
        <v>3</v>
      </c>
      <c r="CW1052" s="14">
        <f t="shared" si="1100"/>
        <v>1102021</v>
      </c>
      <c r="CX1052" s="14" t="str">
        <f>INDEX($O$6:$O$50,CT1052)&amp;"-"&amp;INDEX(属性投放!$AB$7:$AB$50,CZ1052)&amp;"-魂火-"&amp;DB1052</f>
        <v>烈风螳螂-众合+1-魂火-1</v>
      </c>
      <c r="CY1052" s="25" t="s">
        <v>142</v>
      </c>
      <c r="CZ1052" s="14">
        <f>INDEX(属性投放!$AM$7:$AM$58,CU1052)</f>
        <v>5</v>
      </c>
      <c r="DA1052" s="14" t="s">
        <v>537</v>
      </c>
      <c r="DB1052" s="14">
        <f>INDEX(属性投放!$AN$7:$AN$58,CU1052)</f>
        <v>1</v>
      </c>
      <c r="DC1052" s="14">
        <f t="shared" si="1096"/>
        <v>8</v>
      </c>
      <c r="DD1052" s="14">
        <f>INDEX(属性投放!$AO$7:$AO$58,DC1052)</f>
        <v>38</v>
      </c>
      <c r="DE1052" s="14" t="s">
        <v>538</v>
      </c>
      <c r="DF1052" s="14">
        <f>INDEX(属性投放!$BK$6:$BK$85,(CV1052-2)*20+CZ1052)</f>
        <v>45</v>
      </c>
      <c r="DG1052" s="14">
        <f>SUMIFS(DF$5:DF1052,$CT$5:$CT1052,"="&amp;$CT1052)</f>
        <v>255</v>
      </c>
      <c r="DH1052" s="14" t="s">
        <v>539</v>
      </c>
      <c r="DI1052" s="14">
        <f>INDEX(属性投放!$BL$6:$BL$85,(CV1052-2)*20+CZ1052)</f>
        <v>23</v>
      </c>
      <c r="DJ1052" s="14">
        <f>SUMIFS(DI$5:DI1052,$CT$5:$CT1052,"="&amp;$CT1052)</f>
        <v>129</v>
      </c>
      <c r="DK1052" s="14" t="s">
        <v>540</v>
      </c>
      <c r="DL1052" s="14">
        <f>INDEX(属性投放!$BM$6:$BM$85,(CV1052-2)*20+CZ1052)</f>
        <v>315</v>
      </c>
      <c r="DM1052" s="14">
        <f>SUMIFS(DL$5:DL1052,$CT$5:$CT1052,"="&amp;$CT1052)</f>
        <v>1655</v>
      </c>
    </row>
    <row r="1053" spans="97:117" ht="16.5" x14ac:dyDescent="0.2">
      <c r="CS1053" s="13">
        <v>1049</v>
      </c>
      <c r="CT1053" s="13">
        <f t="shared" si="1097"/>
        <v>21</v>
      </c>
      <c r="CU1053" s="13">
        <f t="shared" si="1098"/>
        <v>9</v>
      </c>
      <c r="CV1053" s="14">
        <f t="shared" si="1099"/>
        <v>3</v>
      </c>
      <c r="CW1053" s="14">
        <f t="shared" si="1100"/>
        <v>1102021</v>
      </c>
      <c r="CX1053" s="14" t="str">
        <f>INDEX($O$6:$O$50,CT1053)&amp;"-"&amp;INDEX(属性投放!$AB$7:$AB$50,CZ1053)&amp;"-魂火-"&amp;DB1053</f>
        <v>烈风螳螂-众合+1-魂火-2</v>
      </c>
      <c r="CY1053" s="25" t="s">
        <v>142</v>
      </c>
      <c r="CZ1053" s="14">
        <f>INDEX(属性投放!$AM$7:$AM$58,CU1053)</f>
        <v>5</v>
      </c>
      <c r="DA1053" s="14" t="s">
        <v>537</v>
      </c>
      <c r="DB1053" s="14">
        <f>INDEX(属性投放!$AN$7:$AN$58,CU1053)</f>
        <v>2</v>
      </c>
      <c r="DC1053" s="14">
        <f t="shared" si="1096"/>
        <v>9</v>
      </c>
      <c r="DD1053" s="14">
        <f>INDEX(属性投放!$AO$7:$AO$58,DC1053)</f>
        <v>40</v>
      </c>
      <c r="DE1053" s="14" t="s">
        <v>538</v>
      </c>
      <c r="DF1053" s="14">
        <f>INDEX(属性投放!$BK$6:$BK$85,(CV1053-2)*20+CZ1053)</f>
        <v>45</v>
      </c>
      <c r="DG1053" s="14">
        <f>SUMIFS(DF$5:DF1053,$CT$5:$CT1053,"="&amp;$CT1053)</f>
        <v>300</v>
      </c>
      <c r="DH1053" s="14" t="s">
        <v>539</v>
      </c>
      <c r="DI1053" s="14">
        <f>INDEX(属性投放!$BL$6:$BL$85,(CV1053-2)*20+CZ1053)</f>
        <v>23</v>
      </c>
      <c r="DJ1053" s="14">
        <f>SUMIFS(DI$5:DI1053,$CT$5:$CT1053,"="&amp;$CT1053)</f>
        <v>152</v>
      </c>
      <c r="DK1053" s="14" t="s">
        <v>540</v>
      </c>
      <c r="DL1053" s="14">
        <f>INDEX(属性投放!$BM$6:$BM$85,(CV1053-2)*20+CZ1053)</f>
        <v>315</v>
      </c>
      <c r="DM1053" s="14">
        <f>SUMIFS(DL$5:DL1053,$CT$5:$CT1053,"="&amp;$CT1053)</f>
        <v>1970</v>
      </c>
    </row>
    <row r="1054" spans="97:117" ht="16.5" x14ac:dyDescent="0.2">
      <c r="CS1054" s="13">
        <v>1050</v>
      </c>
      <c r="CT1054" s="13">
        <f t="shared" si="1097"/>
        <v>21</v>
      </c>
      <c r="CU1054" s="13">
        <f t="shared" si="1098"/>
        <v>10</v>
      </c>
      <c r="CV1054" s="14">
        <f t="shared" si="1099"/>
        <v>3</v>
      </c>
      <c r="CW1054" s="14">
        <f t="shared" si="1100"/>
        <v>1102021</v>
      </c>
      <c r="CX1054" s="14" t="str">
        <f>INDEX($O$6:$O$50,CT1054)&amp;"-"&amp;INDEX(属性投放!$AB$7:$AB$50,CZ1054)&amp;"-魂火-"&amp;DB1054</f>
        <v>烈风螳螂-众合+2-魂火-1</v>
      </c>
      <c r="CY1054" s="25" t="s">
        <v>142</v>
      </c>
      <c r="CZ1054" s="14">
        <f>INDEX(属性投放!$AM$7:$AM$58,CU1054)</f>
        <v>6</v>
      </c>
      <c r="DA1054" s="14" t="s">
        <v>537</v>
      </c>
      <c r="DB1054" s="14">
        <f>INDEX(属性投放!$AN$7:$AN$58,CU1054)</f>
        <v>1</v>
      </c>
      <c r="DC1054" s="14">
        <f t="shared" si="1096"/>
        <v>10</v>
      </c>
      <c r="DD1054" s="14">
        <f>INDEX(属性投放!$AO$7:$AO$58,DC1054)</f>
        <v>43</v>
      </c>
      <c r="DE1054" s="14" t="s">
        <v>538</v>
      </c>
      <c r="DF1054" s="14">
        <f>INDEX(属性投放!$BK$6:$BK$85,(CV1054-2)*20+CZ1054)</f>
        <v>50</v>
      </c>
      <c r="DG1054" s="14">
        <f>SUMIFS(DF$5:DF1054,$CT$5:$CT1054,"="&amp;$CT1054)</f>
        <v>350</v>
      </c>
      <c r="DH1054" s="14" t="s">
        <v>539</v>
      </c>
      <c r="DI1054" s="14">
        <f>INDEX(属性投放!$BL$6:$BL$85,(CV1054-2)*20+CZ1054)</f>
        <v>25</v>
      </c>
      <c r="DJ1054" s="14">
        <f>SUMIFS(DI$5:DI1054,$CT$5:$CT1054,"="&amp;$CT1054)</f>
        <v>177</v>
      </c>
      <c r="DK1054" s="14" t="s">
        <v>540</v>
      </c>
      <c r="DL1054" s="14">
        <f>INDEX(属性投放!$BM$6:$BM$85,(CV1054-2)*20+CZ1054)</f>
        <v>350</v>
      </c>
      <c r="DM1054" s="14">
        <f>SUMIFS(DL$5:DL1054,$CT$5:$CT1054,"="&amp;$CT1054)</f>
        <v>2320</v>
      </c>
    </row>
    <row r="1055" spans="97:117" ht="16.5" x14ac:dyDescent="0.2">
      <c r="CS1055" s="13">
        <v>1051</v>
      </c>
      <c r="CT1055" s="13">
        <f t="shared" si="1097"/>
        <v>21</v>
      </c>
      <c r="CU1055" s="13">
        <f t="shared" si="1098"/>
        <v>11</v>
      </c>
      <c r="CV1055" s="14">
        <f t="shared" si="1099"/>
        <v>3</v>
      </c>
      <c r="CW1055" s="14">
        <f t="shared" si="1100"/>
        <v>1102021</v>
      </c>
      <c r="CX1055" s="14" t="str">
        <f>INDEX($O$6:$O$50,CT1055)&amp;"-"&amp;INDEX(属性投放!$AB$7:$AB$50,CZ1055)&amp;"-魂火-"&amp;DB1055</f>
        <v>烈风螳螂-众合+2-魂火-2</v>
      </c>
      <c r="CY1055" s="25" t="s">
        <v>142</v>
      </c>
      <c r="CZ1055" s="14">
        <f>INDEX(属性投放!$AM$7:$AM$58,CU1055)</f>
        <v>6</v>
      </c>
      <c r="DA1055" s="14" t="s">
        <v>537</v>
      </c>
      <c r="DB1055" s="14">
        <f>INDEX(属性投放!$AN$7:$AN$58,CU1055)</f>
        <v>2</v>
      </c>
      <c r="DC1055" s="14">
        <f t="shared" si="1096"/>
        <v>11</v>
      </c>
      <c r="DD1055" s="14">
        <f>INDEX(属性投放!$AO$7:$AO$58,DC1055)</f>
        <v>45</v>
      </c>
      <c r="DE1055" s="14" t="s">
        <v>538</v>
      </c>
      <c r="DF1055" s="14">
        <f>INDEX(属性投放!$BK$6:$BK$85,(CV1055-2)*20+CZ1055)</f>
        <v>50</v>
      </c>
      <c r="DG1055" s="14">
        <f>SUMIFS(DF$5:DF1055,$CT$5:$CT1055,"="&amp;$CT1055)</f>
        <v>400</v>
      </c>
      <c r="DH1055" s="14" t="s">
        <v>539</v>
      </c>
      <c r="DI1055" s="14">
        <f>INDEX(属性投放!$BL$6:$BL$85,(CV1055-2)*20+CZ1055)</f>
        <v>25</v>
      </c>
      <c r="DJ1055" s="14">
        <f>SUMIFS(DI$5:DI1055,$CT$5:$CT1055,"="&amp;$CT1055)</f>
        <v>202</v>
      </c>
      <c r="DK1055" s="14" t="s">
        <v>540</v>
      </c>
      <c r="DL1055" s="14">
        <f>INDEX(属性投放!$BM$6:$BM$85,(CV1055-2)*20+CZ1055)</f>
        <v>350</v>
      </c>
      <c r="DM1055" s="14">
        <f>SUMIFS(DL$5:DL1055,$CT$5:$CT1055,"="&amp;$CT1055)</f>
        <v>2670</v>
      </c>
    </row>
    <row r="1056" spans="97:117" ht="16.5" x14ac:dyDescent="0.2">
      <c r="CS1056" s="13">
        <v>1052</v>
      </c>
      <c r="CT1056" s="13">
        <f t="shared" si="1097"/>
        <v>21</v>
      </c>
      <c r="CU1056" s="13">
        <f t="shared" si="1098"/>
        <v>12</v>
      </c>
      <c r="CV1056" s="14">
        <f t="shared" si="1099"/>
        <v>3</v>
      </c>
      <c r="CW1056" s="14">
        <f t="shared" si="1100"/>
        <v>1102021</v>
      </c>
      <c r="CX1056" s="14" t="str">
        <f>INDEX($O$6:$O$50,CT1056)&amp;"-"&amp;INDEX(属性投放!$AB$7:$AB$50,CZ1056)&amp;"-魂火-"&amp;DB1056</f>
        <v>烈风螳螂-叫唤-魂火-1</v>
      </c>
      <c r="CY1056" s="25" t="s">
        <v>142</v>
      </c>
      <c r="CZ1056" s="14">
        <f>INDEX(属性投放!$AM$7:$AM$58,CU1056)</f>
        <v>7</v>
      </c>
      <c r="DA1056" s="14" t="s">
        <v>537</v>
      </c>
      <c r="DB1056" s="14">
        <f>INDEX(属性投放!$AN$7:$AN$58,CU1056)</f>
        <v>1</v>
      </c>
      <c r="DC1056" s="14">
        <f t="shared" si="1096"/>
        <v>12</v>
      </c>
      <c r="DD1056" s="14">
        <f>INDEX(属性投放!$AO$7:$AO$58,DC1056)</f>
        <v>48</v>
      </c>
      <c r="DE1056" s="14" t="s">
        <v>538</v>
      </c>
      <c r="DF1056" s="14">
        <f>INDEX(属性投放!$BK$6:$BK$85,(CV1056-2)*20+CZ1056)</f>
        <v>70</v>
      </c>
      <c r="DG1056" s="14">
        <f>SUMIFS(DF$5:DF1056,$CT$5:$CT1056,"="&amp;$CT1056)</f>
        <v>470</v>
      </c>
      <c r="DH1056" s="14" t="s">
        <v>539</v>
      </c>
      <c r="DI1056" s="14">
        <f>INDEX(属性投放!$BL$6:$BL$85,(CV1056-2)*20+CZ1056)</f>
        <v>35</v>
      </c>
      <c r="DJ1056" s="14">
        <f>SUMIFS(DI$5:DI1056,$CT$5:$CT1056,"="&amp;$CT1056)</f>
        <v>237</v>
      </c>
      <c r="DK1056" s="14" t="s">
        <v>540</v>
      </c>
      <c r="DL1056" s="14">
        <f>INDEX(属性投放!$BM$6:$BM$85,(CV1056-2)*20+CZ1056)</f>
        <v>560</v>
      </c>
      <c r="DM1056" s="14">
        <f>SUMIFS(DL$5:DL1056,$CT$5:$CT1056,"="&amp;$CT1056)</f>
        <v>3230</v>
      </c>
    </row>
    <row r="1057" spans="97:117" ht="16.5" x14ac:dyDescent="0.2">
      <c r="CS1057" s="13">
        <v>1053</v>
      </c>
      <c r="CT1057" s="13">
        <f t="shared" si="1097"/>
        <v>21</v>
      </c>
      <c r="CU1057" s="13">
        <f t="shared" si="1098"/>
        <v>13</v>
      </c>
      <c r="CV1057" s="14">
        <f t="shared" si="1099"/>
        <v>3</v>
      </c>
      <c r="CW1057" s="14">
        <f t="shared" si="1100"/>
        <v>1102021</v>
      </c>
      <c r="CX1057" s="14" t="str">
        <f>INDEX($O$6:$O$50,CT1057)&amp;"-"&amp;INDEX(属性投放!$AB$7:$AB$50,CZ1057)&amp;"-魂火-"&amp;DB1057</f>
        <v>烈风螳螂-叫唤-魂火-2</v>
      </c>
      <c r="CY1057" s="25" t="s">
        <v>142</v>
      </c>
      <c r="CZ1057" s="14">
        <f>INDEX(属性投放!$AM$7:$AM$58,CU1057)</f>
        <v>7</v>
      </c>
      <c r="DA1057" s="14" t="s">
        <v>537</v>
      </c>
      <c r="DB1057" s="14">
        <f>INDEX(属性投放!$AN$7:$AN$58,CU1057)</f>
        <v>2</v>
      </c>
      <c r="DC1057" s="14">
        <f t="shared" si="1096"/>
        <v>13</v>
      </c>
      <c r="DD1057" s="14">
        <f>INDEX(属性投放!$AO$7:$AO$58,DC1057)</f>
        <v>50</v>
      </c>
      <c r="DE1057" s="14" t="s">
        <v>538</v>
      </c>
      <c r="DF1057" s="14">
        <f>INDEX(属性投放!$BK$6:$BK$85,(CV1057-2)*20+CZ1057)</f>
        <v>70</v>
      </c>
      <c r="DG1057" s="14">
        <f>SUMIFS(DF$5:DF1057,$CT$5:$CT1057,"="&amp;$CT1057)</f>
        <v>540</v>
      </c>
      <c r="DH1057" s="14" t="s">
        <v>539</v>
      </c>
      <c r="DI1057" s="14">
        <f>INDEX(属性投放!$BL$6:$BL$85,(CV1057-2)*20+CZ1057)</f>
        <v>35</v>
      </c>
      <c r="DJ1057" s="14">
        <f>SUMIFS(DI$5:DI1057,$CT$5:$CT1057,"="&amp;$CT1057)</f>
        <v>272</v>
      </c>
      <c r="DK1057" s="14" t="s">
        <v>540</v>
      </c>
      <c r="DL1057" s="14">
        <f>INDEX(属性投放!$BM$6:$BM$85,(CV1057-2)*20+CZ1057)</f>
        <v>560</v>
      </c>
      <c r="DM1057" s="14">
        <f>SUMIFS(DL$5:DL1057,$CT$5:$CT1057,"="&amp;$CT1057)</f>
        <v>3790</v>
      </c>
    </row>
    <row r="1058" spans="97:117" ht="16.5" x14ac:dyDescent="0.2">
      <c r="CS1058" s="13">
        <v>1054</v>
      </c>
      <c r="CT1058" s="13">
        <f t="shared" si="1097"/>
        <v>21</v>
      </c>
      <c r="CU1058" s="13">
        <f t="shared" si="1098"/>
        <v>14</v>
      </c>
      <c r="CV1058" s="14">
        <f t="shared" si="1099"/>
        <v>3</v>
      </c>
      <c r="CW1058" s="14">
        <f t="shared" si="1100"/>
        <v>1102021</v>
      </c>
      <c r="CX1058" s="14" t="str">
        <f>INDEX($O$6:$O$50,CT1058)&amp;"-"&amp;INDEX(属性投放!$AB$7:$AB$50,CZ1058)&amp;"-魂火-"&amp;DB1058</f>
        <v>烈风螳螂-叫唤+1-魂火-1</v>
      </c>
      <c r="CY1058" s="25" t="s">
        <v>142</v>
      </c>
      <c r="CZ1058" s="14">
        <f>INDEX(属性投放!$AM$7:$AM$58,CU1058)</f>
        <v>8</v>
      </c>
      <c r="DA1058" s="14" t="s">
        <v>537</v>
      </c>
      <c r="DB1058" s="14">
        <f>INDEX(属性投放!$AN$7:$AN$58,CU1058)</f>
        <v>1</v>
      </c>
      <c r="DC1058" s="14">
        <f t="shared" si="1096"/>
        <v>14</v>
      </c>
      <c r="DD1058" s="14">
        <f>INDEX(属性投放!$AO$7:$AO$58,DC1058)</f>
        <v>53</v>
      </c>
      <c r="DE1058" s="14" t="s">
        <v>538</v>
      </c>
      <c r="DF1058" s="14">
        <f>INDEX(属性投放!$BK$6:$BK$85,(CV1058-2)*20+CZ1058)</f>
        <v>85</v>
      </c>
      <c r="DG1058" s="14">
        <f>SUMIFS(DF$5:DF1058,$CT$5:$CT1058,"="&amp;$CT1058)</f>
        <v>625</v>
      </c>
      <c r="DH1058" s="14" t="s">
        <v>539</v>
      </c>
      <c r="DI1058" s="14">
        <f>INDEX(属性投放!$BL$6:$BL$85,(CV1058-2)*20+CZ1058)</f>
        <v>43</v>
      </c>
      <c r="DJ1058" s="14">
        <f>SUMIFS(DI$5:DI1058,$CT$5:$CT1058,"="&amp;$CT1058)</f>
        <v>315</v>
      </c>
      <c r="DK1058" s="14" t="s">
        <v>540</v>
      </c>
      <c r="DL1058" s="14">
        <f>INDEX(属性投放!$BM$6:$BM$85,(CV1058-2)*20+CZ1058)</f>
        <v>680</v>
      </c>
      <c r="DM1058" s="14">
        <f>SUMIFS(DL$5:DL1058,$CT$5:$CT1058,"="&amp;$CT1058)</f>
        <v>4470</v>
      </c>
    </row>
    <row r="1059" spans="97:117" ht="16.5" x14ac:dyDescent="0.2">
      <c r="CS1059" s="13">
        <v>1055</v>
      </c>
      <c r="CT1059" s="13">
        <f t="shared" si="1097"/>
        <v>21</v>
      </c>
      <c r="CU1059" s="13">
        <f t="shared" si="1098"/>
        <v>15</v>
      </c>
      <c r="CV1059" s="14">
        <f t="shared" si="1099"/>
        <v>3</v>
      </c>
      <c r="CW1059" s="14">
        <f t="shared" si="1100"/>
        <v>1102021</v>
      </c>
      <c r="CX1059" s="14" t="str">
        <f>INDEX($O$6:$O$50,CT1059)&amp;"-"&amp;INDEX(属性投放!$AB$7:$AB$50,CZ1059)&amp;"-魂火-"&amp;DB1059</f>
        <v>烈风螳螂-叫唤+1-魂火-2</v>
      </c>
      <c r="CY1059" s="25" t="s">
        <v>142</v>
      </c>
      <c r="CZ1059" s="14">
        <f>INDEX(属性投放!$AM$7:$AM$58,CU1059)</f>
        <v>8</v>
      </c>
      <c r="DA1059" s="14" t="s">
        <v>537</v>
      </c>
      <c r="DB1059" s="14">
        <f>INDEX(属性投放!$AN$7:$AN$58,CU1059)</f>
        <v>2</v>
      </c>
      <c r="DC1059" s="14">
        <f t="shared" si="1096"/>
        <v>15</v>
      </c>
      <c r="DD1059" s="14">
        <f>INDEX(属性投放!$AO$7:$AO$58,DC1059)</f>
        <v>55</v>
      </c>
      <c r="DE1059" s="14" t="s">
        <v>538</v>
      </c>
      <c r="DF1059" s="14">
        <f>INDEX(属性投放!$BK$6:$BK$85,(CV1059-2)*20+CZ1059)</f>
        <v>85</v>
      </c>
      <c r="DG1059" s="14">
        <f>SUMIFS(DF$5:DF1059,$CT$5:$CT1059,"="&amp;$CT1059)</f>
        <v>710</v>
      </c>
      <c r="DH1059" s="14" t="s">
        <v>539</v>
      </c>
      <c r="DI1059" s="14">
        <f>INDEX(属性投放!$BL$6:$BL$85,(CV1059-2)*20+CZ1059)</f>
        <v>43</v>
      </c>
      <c r="DJ1059" s="14">
        <f>SUMIFS(DI$5:DI1059,$CT$5:$CT1059,"="&amp;$CT1059)</f>
        <v>358</v>
      </c>
      <c r="DK1059" s="14" t="s">
        <v>540</v>
      </c>
      <c r="DL1059" s="14">
        <f>INDEX(属性投放!$BM$6:$BM$85,(CV1059-2)*20+CZ1059)</f>
        <v>680</v>
      </c>
      <c r="DM1059" s="14">
        <f>SUMIFS(DL$5:DL1059,$CT$5:$CT1059,"="&amp;$CT1059)</f>
        <v>5150</v>
      </c>
    </row>
    <row r="1060" spans="97:117" ht="16.5" x14ac:dyDescent="0.2">
      <c r="CS1060" s="13">
        <v>1056</v>
      </c>
      <c r="CT1060" s="13">
        <f t="shared" si="1097"/>
        <v>21</v>
      </c>
      <c r="CU1060" s="13">
        <f t="shared" si="1098"/>
        <v>16</v>
      </c>
      <c r="CV1060" s="14">
        <f t="shared" si="1099"/>
        <v>3</v>
      </c>
      <c r="CW1060" s="14">
        <f t="shared" si="1100"/>
        <v>1102021</v>
      </c>
      <c r="CX1060" s="14" t="str">
        <f>INDEX($O$6:$O$50,CT1060)&amp;"-"&amp;INDEX(属性投放!$AB$7:$AB$50,CZ1060)&amp;"-魂火-"&amp;DB1060</f>
        <v>烈风螳螂-叫唤+2-魂火-1</v>
      </c>
      <c r="CY1060" s="25" t="s">
        <v>142</v>
      </c>
      <c r="CZ1060" s="14">
        <f>INDEX(属性投放!$AM$7:$AM$58,CU1060)</f>
        <v>9</v>
      </c>
      <c r="DA1060" s="14" t="s">
        <v>537</v>
      </c>
      <c r="DB1060" s="14">
        <f>INDEX(属性投放!$AN$7:$AN$58,CU1060)</f>
        <v>1</v>
      </c>
      <c r="DC1060" s="14">
        <f t="shared" si="1096"/>
        <v>16</v>
      </c>
      <c r="DD1060" s="14">
        <f>INDEX(属性投放!$AO$7:$AO$58,DC1060)</f>
        <v>58</v>
      </c>
      <c r="DE1060" s="14" t="s">
        <v>538</v>
      </c>
      <c r="DF1060" s="14">
        <f>INDEX(属性投放!$BK$6:$BK$85,(CV1060-2)*20+CZ1060)</f>
        <v>100</v>
      </c>
      <c r="DG1060" s="14">
        <f>SUMIFS(DF$5:DF1060,$CT$5:$CT1060,"="&amp;$CT1060)</f>
        <v>810</v>
      </c>
      <c r="DH1060" s="14" t="s">
        <v>539</v>
      </c>
      <c r="DI1060" s="14">
        <f>INDEX(属性投放!$BL$6:$BL$85,(CV1060-2)*20+CZ1060)</f>
        <v>50</v>
      </c>
      <c r="DJ1060" s="14">
        <f>SUMIFS(DI$5:DI1060,$CT$5:$CT1060,"="&amp;$CT1060)</f>
        <v>408</v>
      </c>
      <c r="DK1060" s="14" t="s">
        <v>540</v>
      </c>
      <c r="DL1060" s="14">
        <f>INDEX(属性投放!$BM$6:$BM$85,(CV1060-2)*20+CZ1060)</f>
        <v>800</v>
      </c>
      <c r="DM1060" s="14">
        <f>SUMIFS(DL$5:DL1060,$CT$5:$CT1060,"="&amp;$CT1060)</f>
        <v>5950</v>
      </c>
    </row>
    <row r="1061" spans="97:117" ht="16.5" x14ac:dyDescent="0.2">
      <c r="CS1061" s="13">
        <v>1057</v>
      </c>
      <c r="CT1061" s="13">
        <f t="shared" si="1097"/>
        <v>21</v>
      </c>
      <c r="CU1061" s="13">
        <f t="shared" si="1098"/>
        <v>17</v>
      </c>
      <c r="CV1061" s="14">
        <f t="shared" si="1099"/>
        <v>3</v>
      </c>
      <c r="CW1061" s="14">
        <f t="shared" si="1100"/>
        <v>1102021</v>
      </c>
      <c r="CX1061" s="14" t="str">
        <f>INDEX($O$6:$O$50,CT1061)&amp;"-"&amp;INDEX(属性投放!$AB$7:$AB$50,CZ1061)&amp;"-魂火-"&amp;DB1061</f>
        <v>烈风螳螂-叫唤+2-魂火-2</v>
      </c>
      <c r="CY1061" s="25" t="s">
        <v>142</v>
      </c>
      <c r="CZ1061" s="14">
        <f>INDEX(属性投放!$AM$7:$AM$58,CU1061)</f>
        <v>9</v>
      </c>
      <c r="DA1061" s="14" t="s">
        <v>537</v>
      </c>
      <c r="DB1061" s="14">
        <f>INDEX(属性投放!$AN$7:$AN$58,CU1061)</f>
        <v>2</v>
      </c>
      <c r="DC1061" s="14">
        <f t="shared" si="1096"/>
        <v>17</v>
      </c>
      <c r="DD1061" s="14">
        <f>INDEX(属性投放!$AO$7:$AO$58,DC1061)</f>
        <v>60</v>
      </c>
      <c r="DE1061" s="14" t="s">
        <v>538</v>
      </c>
      <c r="DF1061" s="14">
        <f>INDEX(属性投放!$BK$6:$BK$85,(CV1061-2)*20+CZ1061)</f>
        <v>100</v>
      </c>
      <c r="DG1061" s="14">
        <f>SUMIFS(DF$5:DF1061,$CT$5:$CT1061,"="&amp;$CT1061)</f>
        <v>910</v>
      </c>
      <c r="DH1061" s="14" t="s">
        <v>539</v>
      </c>
      <c r="DI1061" s="14">
        <f>INDEX(属性投放!$BL$6:$BL$85,(CV1061-2)*20+CZ1061)</f>
        <v>50</v>
      </c>
      <c r="DJ1061" s="14">
        <f>SUMIFS(DI$5:DI1061,$CT$5:$CT1061,"="&amp;$CT1061)</f>
        <v>458</v>
      </c>
      <c r="DK1061" s="14" t="s">
        <v>540</v>
      </c>
      <c r="DL1061" s="14">
        <f>INDEX(属性投放!$BM$6:$BM$85,(CV1061-2)*20+CZ1061)</f>
        <v>800</v>
      </c>
      <c r="DM1061" s="14">
        <f>SUMIFS(DL$5:DL1061,$CT$5:$CT1061,"="&amp;$CT1061)</f>
        <v>6750</v>
      </c>
    </row>
    <row r="1062" spans="97:117" ht="16.5" x14ac:dyDescent="0.2">
      <c r="CS1062" s="13">
        <v>1058</v>
      </c>
      <c r="CT1062" s="13">
        <f t="shared" si="1097"/>
        <v>21</v>
      </c>
      <c r="CU1062" s="13">
        <f t="shared" si="1098"/>
        <v>18</v>
      </c>
      <c r="CV1062" s="14">
        <f t="shared" si="1099"/>
        <v>3</v>
      </c>
      <c r="CW1062" s="14">
        <f t="shared" si="1100"/>
        <v>1102021</v>
      </c>
      <c r="CX1062" s="14" t="str">
        <f>INDEX($O$6:$O$50,CT1062)&amp;"-"&amp;INDEX(属性投放!$AB$7:$AB$50,CZ1062)&amp;"-魂火-"&amp;DB1062</f>
        <v>烈风螳螂-叫唤+2-魂火-3</v>
      </c>
      <c r="CY1062" s="25" t="s">
        <v>142</v>
      </c>
      <c r="CZ1062" s="14">
        <f>INDEX(属性投放!$AM$7:$AM$58,CU1062)</f>
        <v>9</v>
      </c>
      <c r="DA1062" s="14" t="s">
        <v>537</v>
      </c>
      <c r="DB1062" s="14">
        <f>INDEX(属性投放!$AN$7:$AN$58,CU1062)</f>
        <v>3</v>
      </c>
      <c r="DC1062" s="14">
        <f t="shared" si="1096"/>
        <v>18</v>
      </c>
      <c r="DD1062" s="14">
        <f>INDEX(属性投放!$AO$7:$AO$58,DC1062)</f>
        <v>63</v>
      </c>
      <c r="DE1062" s="14" t="s">
        <v>538</v>
      </c>
      <c r="DF1062" s="14">
        <f>INDEX(属性投放!$BK$6:$BK$85,(CV1062-2)*20+CZ1062)</f>
        <v>100</v>
      </c>
      <c r="DG1062" s="14">
        <f>SUMIFS(DF$5:DF1062,$CT$5:$CT1062,"="&amp;$CT1062)</f>
        <v>1010</v>
      </c>
      <c r="DH1062" s="14" t="s">
        <v>539</v>
      </c>
      <c r="DI1062" s="14">
        <f>INDEX(属性投放!$BL$6:$BL$85,(CV1062-2)*20+CZ1062)</f>
        <v>50</v>
      </c>
      <c r="DJ1062" s="14">
        <f>SUMIFS(DI$5:DI1062,$CT$5:$CT1062,"="&amp;$CT1062)</f>
        <v>508</v>
      </c>
      <c r="DK1062" s="14" t="s">
        <v>540</v>
      </c>
      <c r="DL1062" s="14">
        <f>INDEX(属性投放!$BM$6:$BM$85,(CV1062-2)*20+CZ1062)</f>
        <v>800</v>
      </c>
      <c r="DM1062" s="14">
        <f>SUMIFS(DL$5:DL1062,$CT$5:$CT1062,"="&amp;$CT1062)</f>
        <v>7550</v>
      </c>
    </row>
    <row r="1063" spans="97:117" ht="16.5" x14ac:dyDescent="0.2">
      <c r="CS1063" s="13">
        <v>1059</v>
      </c>
      <c r="CT1063" s="13">
        <f t="shared" si="1097"/>
        <v>21</v>
      </c>
      <c r="CU1063" s="13">
        <f t="shared" si="1098"/>
        <v>19</v>
      </c>
      <c r="CV1063" s="14">
        <f t="shared" si="1099"/>
        <v>3</v>
      </c>
      <c r="CW1063" s="14">
        <f t="shared" si="1100"/>
        <v>1102021</v>
      </c>
      <c r="CX1063" s="14" t="str">
        <f>INDEX($O$6:$O$50,CT1063)&amp;"-"&amp;INDEX(属性投放!$AB$7:$AB$50,CZ1063)&amp;"-魂火-"&amp;DB1063</f>
        <v>烈风螳螂-大叫唤-魂火-1</v>
      </c>
      <c r="CY1063" s="25" t="s">
        <v>142</v>
      </c>
      <c r="CZ1063" s="14">
        <f>INDEX(属性投放!$AM$7:$AM$58,CU1063)</f>
        <v>10</v>
      </c>
      <c r="DA1063" s="14" t="s">
        <v>537</v>
      </c>
      <c r="DB1063" s="14">
        <f>INDEX(属性投放!$AN$7:$AN$58,CU1063)</f>
        <v>1</v>
      </c>
      <c r="DC1063" s="14">
        <f t="shared" si="1096"/>
        <v>19</v>
      </c>
      <c r="DD1063" s="14">
        <f>INDEX(属性投放!$AO$7:$AO$58,DC1063)</f>
        <v>65</v>
      </c>
      <c r="DE1063" s="14" t="s">
        <v>538</v>
      </c>
      <c r="DF1063" s="14">
        <f>INDEX(属性投放!$BK$6:$BK$85,(CV1063-2)*20+CZ1063)</f>
        <v>120</v>
      </c>
      <c r="DG1063" s="14">
        <f>SUMIFS(DF$5:DF1063,$CT$5:$CT1063,"="&amp;$CT1063)</f>
        <v>1130</v>
      </c>
      <c r="DH1063" s="14" t="s">
        <v>539</v>
      </c>
      <c r="DI1063" s="14">
        <f>INDEX(属性投放!$BL$6:$BL$85,(CV1063-2)*20+CZ1063)</f>
        <v>60</v>
      </c>
      <c r="DJ1063" s="14">
        <f>SUMIFS(DI$5:DI1063,$CT$5:$CT1063,"="&amp;$CT1063)</f>
        <v>568</v>
      </c>
      <c r="DK1063" s="14" t="s">
        <v>540</v>
      </c>
      <c r="DL1063" s="14">
        <f>INDEX(属性投放!$BM$6:$BM$85,(CV1063-2)*20+CZ1063)</f>
        <v>1080</v>
      </c>
      <c r="DM1063" s="14">
        <f>SUMIFS(DL$5:DL1063,$CT$5:$CT1063,"="&amp;$CT1063)</f>
        <v>8630</v>
      </c>
    </row>
    <row r="1064" spans="97:117" ht="16.5" x14ac:dyDescent="0.2">
      <c r="CS1064" s="13">
        <v>1060</v>
      </c>
      <c r="CT1064" s="13">
        <f t="shared" si="1097"/>
        <v>21</v>
      </c>
      <c r="CU1064" s="13">
        <f t="shared" si="1098"/>
        <v>20</v>
      </c>
      <c r="CV1064" s="14">
        <f t="shared" si="1099"/>
        <v>3</v>
      </c>
      <c r="CW1064" s="14">
        <f t="shared" si="1100"/>
        <v>1102021</v>
      </c>
      <c r="CX1064" s="14" t="str">
        <f>INDEX($O$6:$O$50,CT1064)&amp;"-"&amp;INDEX(属性投放!$AB$7:$AB$50,CZ1064)&amp;"-魂火-"&amp;DB1064</f>
        <v>烈风螳螂-大叫唤-魂火-2</v>
      </c>
      <c r="CY1064" s="25" t="s">
        <v>142</v>
      </c>
      <c r="CZ1064" s="14">
        <f>INDEX(属性投放!$AM$7:$AM$58,CU1064)</f>
        <v>10</v>
      </c>
      <c r="DA1064" s="14" t="s">
        <v>537</v>
      </c>
      <c r="DB1064" s="14">
        <f>INDEX(属性投放!$AN$7:$AN$58,CU1064)</f>
        <v>2</v>
      </c>
      <c r="DC1064" s="14">
        <f t="shared" si="1096"/>
        <v>20</v>
      </c>
      <c r="DD1064" s="14">
        <f>INDEX(属性投放!$AO$7:$AO$58,DC1064)</f>
        <v>68</v>
      </c>
      <c r="DE1064" s="14" t="s">
        <v>538</v>
      </c>
      <c r="DF1064" s="14">
        <f>INDEX(属性投放!$BK$6:$BK$85,(CV1064-2)*20+CZ1064)</f>
        <v>120</v>
      </c>
      <c r="DG1064" s="14">
        <f>SUMIFS(DF$5:DF1064,$CT$5:$CT1064,"="&amp;$CT1064)</f>
        <v>1250</v>
      </c>
      <c r="DH1064" s="14" t="s">
        <v>539</v>
      </c>
      <c r="DI1064" s="14">
        <f>INDEX(属性投放!$BL$6:$BL$85,(CV1064-2)*20+CZ1064)</f>
        <v>60</v>
      </c>
      <c r="DJ1064" s="14">
        <f>SUMIFS(DI$5:DI1064,$CT$5:$CT1064,"="&amp;$CT1064)</f>
        <v>628</v>
      </c>
      <c r="DK1064" s="14" t="s">
        <v>540</v>
      </c>
      <c r="DL1064" s="14">
        <f>INDEX(属性投放!$BM$6:$BM$85,(CV1064-2)*20+CZ1064)</f>
        <v>1080</v>
      </c>
      <c r="DM1064" s="14">
        <f>SUMIFS(DL$5:DL1064,$CT$5:$CT1064,"="&amp;$CT1064)</f>
        <v>9710</v>
      </c>
    </row>
    <row r="1065" spans="97:117" ht="16.5" x14ac:dyDescent="0.2">
      <c r="CS1065" s="13">
        <v>1061</v>
      </c>
      <c r="CT1065" s="13">
        <f t="shared" si="1097"/>
        <v>21</v>
      </c>
      <c r="CU1065" s="13">
        <f t="shared" si="1098"/>
        <v>21</v>
      </c>
      <c r="CV1065" s="14">
        <f t="shared" si="1099"/>
        <v>3</v>
      </c>
      <c r="CW1065" s="14">
        <f t="shared" si="1100"/>
        <v>1102021</v>
      </c>
      <c r="CX1065" s="14" t="str">
        <f>INDEX($O$6:$O$50,CT1065)&amp;"-"&amp;INDEX(属性投放!$AB$7:$AB$50,CZ1065)&amp;"-魂火-"&amp;DB1065</f>
        <v>烈风螳螂-大叫唤-魂火-3</v>
      </c>
      <c r="CY1065" s="25" t="s">
        <v>142</v>
      </c>
      <c r="CZ1065" s="14">
        <f>INDEX(属性投放!$AM$7:$AM$58,CU1065)</f>
        <v>10</v>
      </c>
      <c r="DA1065" s="14" t="s">
        <v>537</v>
      </c>
      <c r="DB1065" s="14">
        <f>INDEX(属性投放!$AN$7:$AN$58,CU1065)</f>
        <v>3</v>
      </c>
      <c r="DC1065" s="14">
        <f t="shared" si="1096"/>
        <v>21</v>
      </c>
      <c r="DD1065" s="14">
        <f>INDEX(属性投放!$AO$7:$AO$58,DC1065)</f>
        <v>70</v>
      </c>
      <c r="DE1065" s="14" t="s">
        <v>538</v>
      </c>
      <c r="DF1065" s="14">
        <f>INDEX(属性投放!$BK$6:$BK$85,(CV1065-2)*20+CZ1065)</f>
        <v>120</v>
      </c>
      <c r="DG1065" s="14">
        <f>SUMIFS(DF$5:DF1065,$CT$5:$CT1065,"="&amp;$CT1065)</f>
        <v>1370</v>
      </c>
      <c r="DH1065" s="14" t="s">
        <v>539</v>
      </c>
      <c r="DI1065" s="14">
        <f>INDEX(属性投放!$BL$6:$BL$85,(CV1065-2)*20+CZ1065)</f>
        <v>60</v>
      </c>
      <c r="DJ1065" s="14">
        <f>SUMIFS(DI$5:DI1065,$CT$5:$CT1065,"="&amp;$CT1065)</f>
        <v>688</v>
      </c>
      <c r="DK1065" s="14" t="s">
        <v>540</v>
      </c>
      <c r="DL1065" s="14">
        <f>INDEX(属性投放!$BM$6:$BM$85,(CV1065-2)*20+CZ1065)</f>
        <v>1080</v>
      </c>
      <c r="DM1065" s="14">
        <f>SUMIFS(DL$5:DL1065,$CT$5:$CT1065,"="&amp;$CT1065)</f>
        <v>10790</v>
      </c>
    </row>
    <row r="1066" spans="97:117" ht="16.5" x14ac:dyDescent="0.2">
      <c r="CS1066" s="13">
        <v>1062</v>
      </c>
      <c r="CT1066" s="13">
        <f t="shared" si="1097"/>
        <v>21</v>
      </c>
      <c r="CU1066" s="13">
        <f t="shared" si="1098"/>
        <v>22</v>
      </c>
      <c r="CV1066" s="14">
        <f t="shared" si="1099"/>
        <v>3</v>
      </c>
      <c r="CW1066" s="14">
        <f t="shared" si="1100"/>
        <v>1102021</v>
      </c>
      <c r="CX1066" s="14" t="str">
        <f>INDEX($O$6:$O$50,CT1066)&amp;"-"&amp;INDEX(属性投放!$AB$7:$AB$50,CZ1066)&amp;"-魂火-"&amp;DB1066</f>
        <v>烈风螳螂-大叫唤+1-魂火-1</v>
      </c>
      <c r="CY1066" s="25" t="s">
        <v>142</v>
      </c>
      <c r="CZ1066" s="14">
        <f>INDEX(属性投放!$AM$7:$AM$58,CU1066)</f>
        <v>11</v>
      </c>
      <c r="DA1066" s="14" t="s">
        <v>537</v>
      </c>
      <c r="DB1066" s="14">
        <f>INDEX(属性投放!$AN$7:$AN$58,CU1066)</f>
        <v>1</v>
      </c>
      <c r="DC1066" s="14">
        <f t="shared" si="1096"/>
        <v>22</v>
      </c>
      <c r="DD1066" s="14">
        <f>INDEX(属性投放!$AO$7:$AO$58,DC1066)</f>
        <v>73</v>
      </c>
      <c r="DE1066" s="14" t="s">
        <v>538</v>
      </c>
      <c r="DF1066" s="14">
        <f>INDEX(属性投放!$BK$6:$BK$85,(CV1066-2)*20+CZ1066)</f>
        <v>150</v>
      </c>
      <c r="DG1066" s="14">
        <f>SUMIFS(DF$5:DF1066,$CT$5:$CT1066,"="&amp;$CT1066)</f>
        <v>1520</v>
      </c>
      <c r="DH1066" s="14" t="s">
        <v>539</v>
      </c>
      <c r="DI1066" s="14">
        <f>INDEX(属性投放!$BL$6:$BL$85,(CV1066-2)*20+CZ1066)</f>
        <v>75</v>
      </c>
      <c r="DJ1066" s="14">
        <f>SUMIFS(DI$5:DI1066,$CT$5:$CT1066,"="&amp;$CT1066)</f>
        <v>763</v>
      </c>
      <c r="DK1066" s="14" t="s">
        <v>540</v>
      </c>
      <c r="DL1066" s="14">
        <f>INDEX(属性投放!$BM$6:$BM$85,(CV1066-2)*20+CZ1066)</f>
        <v>1350</v>
      </c>
      <c r="DM1066" s="14">
        <f>SUMIFS(DL$5:DL1066,$CT$5:$CT1066,"="&amp;$CT1066)</f>
        <v>12140</v>
      </c>
    </row>
    <row r="1067" spans="97:117" ht="16.5" x14ac:dyDescent="0.2">
      <c r="CS1067" s="13">
        <v>1063</v>
      </c>
      <c r="CT1067" s="13">
        <f t="shared" si="1097"/>
        <v>21</v>
      </c>
      <c r="CU1067" s="13">
        <f t="shared" si="1098"/>
        <v>23</v>
      </c>
      <c r="CV1067" s="14">
        <f t="shared" si="1099"/>
        <v>3</v>
      </c>
      <c r="CW1067" s="14">
        <f t="shared" si="1100"/>
        <v>1102021</v>
      </c>
      <c r="CX1067" s="14" t="str">
        <f>INDEX($O$6:$O$50,CT1067)&amp;"-"&amp;INDEX(属性投放!$AB$7:$AB$50,CZ1067)&amp;"-魂火-"&amp;DB1067</f>
        <v>烈风螳螂-大叫唤+1-魂火-2</v>
      </c>
      <c r="CY1067" s="25" t="s">
        <v>142</v>
      </c>
      <c r="CZ1067" s="14">
        <f>INDEX(属性投放!$AM$7:$AM$58,CU1067)</f>
        <v>11</v>
      </c>
      <c r="DA1067" s="14" t="s">
        <v>537</v>
      </c>
      <c r="DB1067" s="14">
        <f>INDEX(属性投放!$AN$7:$AN$58,CU1067)</f>
        <v>2</v>
      </c>
      <c r="DC1067" s="14">
        <f t="shared" si="1096"/>
        <v>23</v>
      </c>
      <c r="DD1067" s="14">
        <f>INDEX(属性投放!$AO$7:$AO$58,DC1067)</f>
        <v>75</v>
      </c>
      <c r="DE1067" s="14" t="s">
        <v>538</v>
      </c>
      <c r="DF1067" s="14">
        <f>INDEX(属性投放!$BK$6:$BK$85,(CV1067-2)*20+CZ1067)</f>
        <v>150</v>
      </c>
      <c r="DG1067" s="14">
        <f>SUMIFS(DF$5:DF1067,$CT$5:$CT1067,"="&amp;$CT1067)</f>
        <v>1670</v>
      </c>
      <c r="DH1067" s="14" t="s">
        <v>539</v>
      </c>
      <c r="DI1067" s="14">
        <f>INDEX(属性投放!$BL$6:$BL$85,(CV1067-2)*20+CZ1067)</f>
        <v>75</v>
      </c>
      <c r="DJ1067" s="14">
        <f>SUMIFS(DI$5:DI1067,$CT$5:$CT1067,"="&amp;$CT1067)</f>
        <v>838</v>
      </c>
      <c r="DK1067" s="14" t="s">
        <v>540</v>
      </c>
      <c r="DL1067" s="14">
        <f>INDEX(属性投放!$BM$6:$BM$85,(CV1067-2)*20+CZ1067)</f>
        <v>1350</v>
      </c>
      <c r="DM1067" s="14">
        <f>SUMIFS(DL$5:DL1067,$CT$5:$CT1067,"="&amp;$CT1067)</f>
        <v>13490</v>
      </c>
    </row>
    <row r="1068" spans="97:117" ht="16.5" x14ac:dyDescent="0.2">
      <c r="CS1068" s="13">
        <v>1064</v>
      </c>
      <c r="CT1068" s="13">
        <f t="shared" si="1097"/>
        <v>21</v>
      </c>
      <c r="CU1068" s="13">
        <f t="shared" si="1098"/>
        <v>24</v>
      </c>
      <c r="CV1068" s="14">
        <f t="shared" si="1099"/>
        <v>3</v>
      </c>
      <c r="CW1068" s="14">
        <f t="shared" si="1100"/>
        <v>1102021</v>
      </c>
      <c r="CX1068" s="14" t="str">
        <f>INDEX($O$6:$O$50,CT1068)&amp;"-"&amp;INDEX(属性投放!$AB$7:$AB$50,CZ1068)&amp;"-魂火-"&amp;DB1068</f>
        <v>烈风螳螂-大叫唤+1-魂火-3</v>
      </c>
      <c r="CY1068" s="25" t="s">
        <v>142</v>
      </c>
      <c r="CZ1068" s="14">
        <f>INDEX(属性投放!$AM$7:$AM$58,CU1068)</f>
        <v>11</v>
      </c>
      <c r="DA1068" s="14" t="s">
        <v>537</v>
      </c>
      <c r="DB1068" s="14">
        <f>INDEX(属性投放!$AN$7:$AN$58,CU1068)</f>
        <v>3</v>
      </c>
      <c r="DC1068" s="14">
        <f t="shared" si="1096"/>
        <v>24</v>
      </c>
      <c r="DD1068" s="14">
        <f>INDEX(属性投放!$AO$7:$AO$58,DC1068)</f>
        <v>78</v>
      </c>
      <c r="DE1068" s="14" t="s">
        <v>538</v>
      </c>
      <c r="DF1068" s="14">
        <f>INDEX(属性投放!$BK$6:$BK$85,(CV1068-2)*20+CZ1068)</f>
        <v>150</v>
      </c>
      <c r="DG1068" s="14">
        <f>SUMIFS(DF$5:DF1068,$CT$5:$CT1068,"="&amp;$CT1068)</f>
        <v>1820</v>
      </c>
      <c r="DH1068" s="14" t="s">
        <v>539</v>
      </c>
      <c r="DI1068" s="14">
        <f>INDEX(属性投放!$BL$6:$BL$85,(CV1068-2)*20+CZ1068)</f>
        <v>75</v>
      </c>
      <c r="DJ1068" s="14">
        <f>SUMIFS(DI$5:DI1068,$CT$5:$CT1068,"="&amp;$CT1068)</f>
        <v>913</v>
      </c>
      <c r="DK1068" s="14" t="s">
        <v>540</v>
      </c>
      <c r="DL1068" s="14">
        <f>INDEX(属性投放!$BM$6:$BM$85,(CV1068-2)*20+CZ1068)</f>
        <v>1350</v>
      </c>
      <c r="DM1068" s="14">
        <f>SUMIFS(DL$5:DL1068,$CT$5:$CT1068,"="&amp;$CT1068)</f>
        <v>14840</v>
      </c>
    </row>
    <row r="1069" spans="97:117" ht="16.5" x14ac:dyDescent="0.2">
      <c r="CS1069" s="13">
        <v>1065</v>
      </c>
      <c r="CT1069" s="13">
        <f t="shared" si="1097"/>
        <v>21</v>
      </c>
      <c r="CU1069" s="13">
        <f t="shared" si="1098"/>
        <v>25</v>
      </c>
      <c r="CV1069" s="14">
        <f t="shared" si="1099"/>
        <v>3</v>
      </c>
      <c r="CW1069" s="14">
        <f t="shared" si="1100"/>
        <v>1102021</v>
      </c>
      <c r="CX1069" s="14" t="str">
        <f>INDEX($O$6:$O$50,CT1069)&amp;"-"&amp;INDEX(属性投放!$AB$7:$AB$50,CZ1069)&amp;"-魂火-"&amp;DB1069</f>
        <v>烈风螳螂-大叫唤+2-魂火-1</v>
      </c>
      <c r="CY1069" s="25" t="s">
        <v>142</v>
      </c>
      <c r="CZ1069" s="14">
        <f>INDEX(属性投放!$AM$7:$AM$58,CU1069)</f>
        <v>12</v>
      </c>
      <c r="DA1069" s="14" t="s">
        <v>537</v>
      </c>
      <c r="DB1069" s="14">
        <f>INDEX(属性投放!$AN$7:$AN$58,CU1069)</f>
        <v>1</v>
      </c>
      <c r="DC1069" s="14">
        <f t="shared" si="1096"/>
        <v>25</v>
      </c>
      <c r="DD1069" s="14">
        <f>INDEX(属性投放!$AO$7:$AO$58,DC1069)</f>
        <v>80</v>
      </c>
      <c r="DE1069" s="14" t="s">
        <v>538</v>
      </c>
      <c r="DF1069" s="14">
        <f>INDEX(属性投放!$BK$6:$BK$85,(CV1069-2)*20+CZ1069)</f>
        <v>200</v>
      </c>
      <c r="DG1069" s="14">
        <f>SUMIFS(DF$5:DF1069,$CT$5:$CT1069,"="&amp;$CT1069)</f>
        <v>2020</v>
      </c>
      <c r="DH1069" s="14" t="s">
        <v>539</v>
      </c>
      <c r="DI1069" s="14">
        <f>INDEX(属性投放!$BL$6:$BL$85,(CV1069-2)*20+CZ1069)</f>
        <v>100</v>
      </c>
      <c r="DJ1069" s="14">
        <f>SUMIFS(DI$5:DI1069,$CT$5:$CT1069,"="&amp;$CT1069)</f>
        <v>1013</v>
      </c>
      <c r="DK1069" s="14" t="s">
        <v>540</v>
      </c>
      <c r="DL1069" s="14">
        <f>INDEX(属性投放!$BM$6:$BM$85,(CV1069-2)*20+CZ1069)</f>
        <v>1800</v>
      </c>
      <c r="DM1069" s="14">
        <f>SUMIFS(DL$5:DL1069,$CT$5:$CT1069,"="&amp;$CT1069)</f>
        <v>16640</v>
      </c>
    </row>
    <row r="1070" spans="97:117" ht="16.5" x14ac:dyDescent="0.2">
      <c r="CS1070" s="13">
        <v>1066</v>
      </c>
      <c r="CT1070" s="13">
        <f t="shared" si="1097"/>
        <v>21</v>
      </c>
      <c r="CU1070" s="13">
        <f t="shared" si="1098"/>
        <v>26</v>
      </c>
      <c r="CV1070" s="14">
        <f t="shared" si="1099"/>
        <v>3</v>
      </c>
      <c r="CW1070" s="14">
        <f t="shared" si="1100"/>
        <v>1102021</v>
      </c>
      <c r="CX1070" s="14" t="str">
        <f>INDEX($O$6:$O$50,CT1070)&amp;"-"&amp;INDEX(属性投放!$AB$7:$AB$50,CZ1070)&amp;"-魂火-"&amp;DB1070</f>
        <v>烈风螳螂-大叫唤+2-魂火-2</v>
      </c>
      <c r="CY1070" s="25" t="s">
        <v>142</v>
      </c>
      <c r="CZ1070" s="14">
        <f>INDEX(属性投放!$AM$7:$AM$58,CU1070)</f>
        <v>12</v>
      </c>
      <c r="DA1070" s="14" t="s">
        <v>537</v>
      </c>
      <c r="DB1070" s="14">
        <f>INDEX(属性投放!$AN$7:$AN$58,CU1070)</f>
        <v>2</v>
      </c>
      <c r="DC1070" s="14">
        <f t="shared" si="1096"/>
        <v>26</v>
      </c>
      <c r="DD1070" s="14">
        <f>INDEX(属性投放!$AO$7:$AO$58,DC1070)</f>
        <v>83</v>
      </c>
      <c r="DE1070" s="14" t="s">
        <v>538</v>
      </c>
      <c r="DF1070" s="14">
        <f>INDEX(属性投放!$BK$6:$BK$85,(CV1070-2)*20+CZ1070)</f>
        <v>200</v>
      </c>
      <c r="DG1070" s="14">
        <f>SUMIFS(DF$5:DF1070,$CT$5:$CT1070,"="&amp;$CT1070)</f>
        <v>2220</v>
      </c>
      <c r="DH1070" s="14" t="s">
        <v>539</v>
      </c>
      <c r="DI1070" s="14">
        <f>INDEX(属性投放!$BL$6:$BL$85,(CV1070-2)*20+CZ1070)</f>
        <v>100</v>
      </c>
      <c r="DJ1070" s="14">
        <f>SUMIFS(DI$5:DI1070,$CT$5:$CT1070,"="&amp;$CT1070)</f>
        <v>1113</v>
      </c>
      <c r="DK1070" s="14" t="s">
        <v>540</v>
      </c>
      <c r="DL1070" s="14">
        <f>INDEX(属性投放!$BM$6:$BM$85,(CV1070-2)*20+CZ1070)</f>
        <v>1800</v>
      </c>
      <c r="DM1070" s="14">
        <f>SUMIFS(DL$5:DL1070,$CT$5:$CT1070,"="&amp;$CT1070)</f>
        <v>18440</v>
      </c>
    </row>
    <row r="1071" spans="97:117" ht="16.5" x14ac:dyDescent="0.2">
      <c r="CS1071" s="13">
        <v>1067</v>
      </c>
      <c r="CT1071" s="13">
        <f t="shared" si="1097"/>
        <v>21</v>
      </c>
      <c r="CU1071" s="13">
        <f t="shared" si="1098"/>
        <v>27</v>
      </c>
      <c r="CV1071" s="14">
        <f t="shared" si="1099"/>
        <v>3</v>
      </c>
      <c r="CW1071" s="14">
        <f t="shared" si="1100"/>
        <v>1102021</v>
      </c>
      <c r="CX1071" s="14" t="str">
        <f>INDEX($O$6:$O$50,CT1071)&amp;"-"&amp;INDEX(属性投放!$AB$7:$AB$50,CZ1071)&amp;"-魂火-"&amp;DB1071</f>
        <v>烈风螳螂-大叫唤+2-魂火-3</v>
      </c>
      <c r="CY1071" s="25" t="s">
        <v>142</v>
      </c>
      <c r="CZ1071" s="14">
        <f>INDEX(属性投放!$AM$7:$AM$58,CU1071)</f>
        <v>12</v>
      </c>
      <c r="DA1071" s="14" t="s">
        <v>537</v>
      </c>
      <c r="DB1071" s="14">
        <f>INDEX(属性投放!$AN$7:$AN$58,CU1071)</f>
        <v>3</v>
      </c>
      <c r="DC1071" s="14">
        <f t="shared" si="1096"/>
        <v>27</v>
      </c>
      <c r="DD1071" s="14">
        <f>INDEX(属性投放!$AO$7:$AO$58,DC1071)</f>
        <v>85</v>
      </c>
      <c r="DE1071" s="14" t="s">
        <v>538</v>
      </c>
      <c r="DF1071" s="14">
        <f>INDEX(属性投放!$BK$6:$BK$85,(CV1071-2)*20+CZ1071)</f>
        <v>200</v>
      </c>
      <c r="DG1071" s="14">
        <f>SUMIFS(DF$5:DF1071,$CT$5:$CT1071,"="&amp;$CT1071)</f>
        <v>2420</v>
      </c>
      <c r="DH1071" s="14" t="s">
        <v>539</v>
      </c>
      <c r="DI1071" s="14">
        <f>INDEX(属性投放!$BL$6:$BL$85,(CV1071-2)*20+CZ1071)</f>
        <v>100</v>
      </c>
      <c r="DJ1071" s="14">
        <f>SUMIFS(DI$5:DI1071,$CT$5:$CT1071,"="&amp;$CT1071)</f>
        <v>1213</v>
      </c>
      <c r="DK1071" s="14" t="s">
        <v>540</v>
      </c>
      <c r="DL1071" s="14">
        <f>INDEX(属性投放!$BM$6:$BM$85,(CV1071-2)*20+CZ1071)</f>
        <v>1800</v>
      </c>
      <c r="DM1071" s="14">
        <f>SUMIFS(DL$5:DL1071,$CT$5:$CT1071,"="&amp;$CT1071)</f>
        <v>20240</v>
      </c>
    </row>
    <row r="1072" spans="97:117" ht="16.5" x14ac:dyDescent="0.2">
      <c r="CS1072" s="13">
        <v>1068</v>
      </c>
      <c r="CT1072" s="13">
        <f t="shared" si="1097"/>
        <v>21</v>
      </c>
      <c r="CU1072" s="13">
        <f t="shared" si="1098"/>
        <v>28</v>
      </c>
      <c r="CV1072" s="14">
        <f t="shared" si="1099"/>
        <v>3</v>
      </c>
      <c r="CW1072" s="14">
        <f t="shared" si="1100"/>
        <v>1102021</v>
      </c>
      <c r="CX1072" s="14" t="str">
        <f>INDEX($O$6:$O$50,CT1072)&amp;"-"&amp;INDEX(属性投放!$AB$7:$AB$50,CZ1072)&amp;"-魂火-"&amp;DB1072</f>
        <v>烈风螳螂-焦热-魂火-1</v>
      </c>
      <c r="CY1072" s="25" t="s">
        <v>142</v>
      </c>
      <c r="CZ1072" s="14">
        <f>INDEX(属性投放!$AM$7:$AM$58,CU1072)</f>
        <v>13</v>
      </c>
      <c r="DA1072" s="14" t="s">
        <v>537</v>
      </c>
      <c r="DB1072" s="14">
        <f>INDEX(属性投放!$AN$7:$AN$58,CU1072)</f>
        <v>1</v>
      </c>
      <c r="DC1072" s="14">
        <f t="shared" si="1096"/>
        <v>28</v>
      </c>
      <c r="DD1072" s="14">
        <f>INDEX(属性投放!$AO$7:$AO$58,DC1072)</f>
        <v>88</v>
      </c>
      <c r="DE1072" s="14" t="s">
        <v>538</v>
      </c>
      <c r="DF1072" s="14">
        <f>INDEX(属性投放!$BK$6:$BK$85,(CV1072-2)*20+CZ1072)</f>
        <v>250</v>
      </c>
      <c r="DG1072" s="14">
        <f>SUMIFS(DF$5:DF1072,$CT$5:$CT1072,"="&amp;$CT1072)</f>
        <v>2670</v>
      </c>
      <c r="DH1072" s="14" t="s">
        <v>539</v>
      </c>
      <c r="DI1072" s="14">
        <f>INDEX(属性投放!$BL$6:$BL$85,(CV1072-2)*20+CZ1072)</f>
        <v>125</v>
      </c>
      <c r="DJ1072" s="14">
        <f>SUMIFS(DI$5:DI1072,$CT$5:$CT1072,"="&amp;$CT1072)</f>
        <v>1338</v>
      </c>
      <c r="DK1072" s="14" t="s">
        <v>540</v>
      </c>
      <c r="DL1072" s="14">
        <f>INDEX(属性投放!$BM$6:$BM$85,(CV1072-2)*20+CZ1072)</f>
        <v>2500</v>
      </c>
      <c r="DM1072" s="14">
        <f>SUMIFS(DL$5:DL1072,$CT$5:$CT1072,"="&amp;$CT1072)</f>
        <v>22740</v>
      </c>
    </row>
    <row r="1073" spans="97:117" ht="16.5" x14ac:dyDescent="0.2">
      <c r="CS1073" s="13">
        <v>1069</v>
      </c>
      <c r="CT1073" s="13">
        <f t="shared" si="1097"/>
        <v>21</v>
      </c>
      <c r="CU1073" s="13">
        <f t="shared" si="1098"/>
        <v>29</v>
      </c>
      <c r="CV1073" s="14">
        <f t="shared" si="1099"/>
        <v>3</v>
      </c>
      <c r="CW1073" s="14">
        <f t="shared" si="1100"/>
        <v>1102021</v>
      </c>
      <c r="CX1073" s="14" t="str">
        <f>INDEX($O$6:$O$50,CT1073)&amp;"-"&amp;INDEX(属性投放!$AB$7:$AB$50,CZ1073)&amp;"-魂火-"&amp;DB1073</f>
        <v>烈风螳螂-焦热-魂火-2</v>
      </c>
      <c r="CY1073" s="25" t="s">
        <v>142</v>
      </c>
      <c r="CZ1073" s="14">
        <f>INDEX(属性投放!$AM$7:$AM$58,CU1073)</f>
        <v>13</v>
      </c>
      <c r="DA1073" s="14" t="s">
        <v>537</v>
      </c>
      <c r="DB1073" s="14">
        <f>INDEX(属性投放!$AN$7:$AN$58,CU1073)</f>
        <v>2</v>
      </c>
      <c r="DC1073" s="14">
        <f t="shared" si="1096"/>
        <v>29</v>
      </c>
      <c r="DD1073" s="14">
        <f>INDEX(属性投放!$AO$7:$AO$58,DC1073)</f>
        <v>90</v>
      </c>
      <c r="DE1073" s="14" t="s">
        <v>538</v>
      </c>
      <c r="DF1073" s="14">
        <f>INDEX(属性投放!$BK$6:$BK$85,(CV1073-2)*20+CZ1073)</f>
        <v>250</v>
      </c>
      <c r="DG1073" s="14">
        <f>SUMIFS(DF$5:DF1073,$CT$5:$CT1073,"="&amp;$CT1073)</f>
        <v>2920</v>
      </c>
      <c r="DH1073" s="14" t="s">
        <v>539</v>
      </c>
      <c r="DI1073" s="14">
        <f>INDEX(属性投放!$BL$6:$BL$85,(CV1073-2)*20+CZ1073)</f>
        <v>125</v>
      </c>
      <c r="DJ1073" s="14">
        <f>SUMIFS(DI$5:DI1073,$CT$5:$CT1073,"="&amp;$CT1073)</f>
        <v>1463</v>
      </c>
      <c r="DK1073" s="14" t="s">
        <v>540</v>
      </c>
      <c r="DL1073" s="14">
        <f>INDEX(属性投放!$BM$6:$BM$85,(CV1073-2)*20+CZ1073)</f>
        <v>2500</v>
      </c>
      <c r="DM1073" s="14">
        <f>SUMIFS(DL$5:DL1073,$CT$5:$CT1073,"="&amp;$CT1073)</f>
        <v>25240</v>
      </c>
    </row>
    <row r="1074" spans="97:117" ht="16.5" x14ac:dyDescent="0.2">
      <c r="CS1074" s="13">
        <v>1070</v>
      </c>
      <c r="CT1074" s="13">
        <f t="shared" si="1097"/>
        <v>21</v>
      </c>
      <c r="CU1074" s="13">
        <f t="shared" si="1098"/>
        <v>30</v>
      </c>
      <c r="CV1074" s="14">
        <f t="shared" si="1099"/>
        <v>3</v>
      </c>
      <c r="CW1074" s="14">
        <f t="shared" si="1100"/>
        <v>1102021</v>
      </c>
      <c r="CX1074" s="14" t="str">
        <f>INDEX($O$6:$O$50,CT1074)&amp;"-"&amp;INDEX(属性投放!$AB$7:$AB$50,CZ1074)&amp;"-魂火-"&amp;DB1074</f>
        <v>烈风螳螂-焦热-魂火-3</v>
      </c>
      <c r="CY1074" s="25" t="s">
        <v>142</v>
      </c>
      <c r="CZ1074" s="14">
        <f>INDEX(属性投放!$AM$7:$AM$58,CU1074)</f>
        <v>13</v>
      </c>
      <c r="DA1074" s="14" t="s">
        <v>537</v>
      </c>
      <c r="DB1074" s="14">
        <f>INDEX(属性投放!$AN$7:$AN$58,CU1074)</f>
        <v>3</v>
      </c>
      <c r="DC1074" s="14">
        <f t="shared" si="1096"/>
        <v>30</v>
      </c>
      <c r="DD1074" s="14">
        <f>INDEX(属性投放!$AO$7:$AO$58,DC1074)</f>
        <v>93</v>
      </c>
      <c r="DE1074" s="14" t="s">
        <v>538</v>
      </c>
      <c r="DF1074" s="14">
        <f>INDEX(属性投放!$BK$6:$BK$85,(CV1074-2)*20+CZ1074)</f>
        <v>250</v>
      </c>
      <c r="DG1074" s="14">
        <f>SUMIFS(DF$5:DF1074,$CT$5:$CT1074,"="&amp;$CT1074)</f>
        <v>3170</v>
      </c>
      <c r="DH1074" s="14" t="s">
        <v>539</v>
      </c>
      <c r="DI1074" s="14">
        <f>INDEX(属性投放!$BL$6:$BL$85,(CV1074-2)*20+CZ1074)</f>
        <v>125</v>
      </c>
      <c r="DJ1074" s="14">
        <f>SUMIFS(DI$5:DI1074,$CT$5:$CT1074,"="&amp;$CT1074)</f>
        <v>1588</v>
      </c>
      <c r="DK1074" s="14" t="s">
        <v>540</v>
      </c>
      <c r="DL1074" s="14">
        <f>INDEX(属性投放!$BM$6:$BM$85,(CV1074-2)*20+CZ1074)</f>
        <v>2500</v>
      </c>
      <c r="DM1074" s="14">
        <f>SUMIFS(DL$5:DL1074,$CT$5:$CT1074,"="&amp;$CT1074)</f>
        <v>27740</v>
      </c>
    </row>
    <row r="1075" spans="97:117" ht="16.5" x14ac:dyDescent="0.2">
      <c r="CS1075" s="13">
        <v>1071</v>
      </c>
      <c r="CT1075" s="13">
        <f t="shared" si="1097"/>
        <v>21</v>
      </c>
      <c r="CU1075" s="13">
        <f t="shared" si="1098"/>
        <v>31</v>
      </c>
      <c r="CV1075" s="14">
        <f t="shared" si="1099"/>
        <v>3</v>
      </c>
      <c r="CW1075" s="14">
        <f t="shared" si="1100"/>
        <v>1102021</v>
      </c>
      <c r="CX1075" s="14" t="str">
        <f>INDEX($O$6:$O$50,CT1075)&amp;"-"&amp;INDEX(属性投放!$AB$7:$AB$50,CZ1075)&amp;"-魂火-"&amp;DB1075</f>
        <v>烈风螳螂-焦热+1-魂火-1</v>
      </c>
      <c r="CY1075" s="25" t="s">
        <v>142</v>
      </c>
      <c r="CZ1075" s="14">
        <f>INDEX(属性投放!$AM$7:$AM$58,CU1075)</f>
        <v>14</v>
      </c>
      <c r="DA1075" s="14" t="s">
        <v>537</v>
      </c>
      <c r="DB1075" s="14">
        <f>INDEX(属性投放!$AN$7:$AN$58,CU1075)</f>
        <v>1</v>
      </c>
      <c r="DC1075" s="14">
        <f t="shared" si="1096"/>
        <v>31</v>
      </c>
      <c r="DD1075" s="14">
        <f>INDEX(属性投放!$AO$7:$AO$58,DC1075)</f>
        <v>95</v>
      </c>
      <c r="DE1075" s="14" t="s">
        <v>538</v>
      </c>
      <c r="DF1075" s="14">
        <f>INDEX(属性投放!$BK$6:$BK$85,(CV1075-2)*20+CZ1075)</f>
        <v>300</v>
      </c>
      <c r="DG1075" s="14">
        <f>SUMIFS(DF$5:DF1075,$CT$5:$CT1075,"="&amp;$CT1075)</f>
        <v>3470</v>
      </c>
      <c r="DH1075" s="14" t="s">
        <v>539</v>
      </c>
      <c r="DI1075" s="14">
        <f>INDEX(属性投放!$BL$6:$BL$85,(CV1075-2)*20+CZ1075)</f>
        <v>150</v>
      </c>
      <c r="DJ1075" s="14">
        <f>SUMIFS(DI$5:DI1075,$CT$5:$CT1075,"="&amp;$CT1075)</f>
        <v>1738</v>
      </c>
      <c r="DK1075" s="14" t="s">
        <v>540</v>
      </c>
      <c r="DL1075" s="14">
        <f>INDEX(属性投放!$BM$6:$BM$85,(CV1075-2)*20+CZ1075)</f>
        <v>3000</v>
      </c>
      <c r="DM1075" s="14">
        <f>SUMIFS(DL$5:DL1075,$CT$5:$CT1075,"="&amp;$CT1075)</f>
        <v>30740</v>
      </c>
    </row>
    <row r="1076" spans="97:117" ht="16.5" x14ac:dyDescent="0.2">
      <c r="CS1076" s="13">
        <v>1072</v>
      </c>
      <c r="CT1076" s="13">
        <f t="shared" si="1097"/>
        <v>21</v>
      </c>
      <c r="CU1076" s="13">
        <f t="shared" si="1098"/>
        <v>32</v>
      </c>
      <c r="CV1076" s="14">
        <f t="shared" si="1099"/>
        <v>3</v>
      </c>
      <c r="CW1076" s="14">
        <f t="shared" si="1100"/>
        <v>1102021</v>
      </c>
      <c r="CX1076" s="14" t="str">
        <f>INDEX($O$6:$O$50,CT1076)&amp;"-"&amp;INDEX(属性投放!$AB$7:$AB$50,CZ1076)&amp;"-魂火-"&amp;DB1076</f>
        <v>烈风螳螂-焦热+1-魂火-2</v>
      </c>
      <c r="CY1076" s="25" t="s">
        <v>142</v>
      </c>
      <c r="CZ1076" s="14">
        <f>INDEX(属性投放!$AM$7:$AM$58,CU1076)</f>
        <v>14</v>
      </c>
      <c r="DA1076" s="14" t="s">
        <v>537</v>
      </c>
      <c r="DB1076" s="14">
        <f>INDEX(属性投放!$AN$7:$AN$58,CU1076)</f>
        <v>2</v>
      </c>
      <c r="DC1076" s="14">
        <f t="shared" si="1096"/>
        <v>32</v>
      </c>
      <c r="DD1076" s="14">
        <f>INDEX(属性投放!$AO$7:$AO$58,DC1076)</f>
        <v>98</v>
      </c>
      <c r="DE1076" s="14" t="s">
        <v>538</v>
      </c>
      <c r="DF1076" s="14">
        <f>INDEX(属性投放!$BK$6:$BK$85,(CV1076-2)*20+CZ1076)</f>
        <v>300</v>
      </c>
      <c r="DG1076" s="14">
        <f>SUMIFS(DF$5:DF1076,$CT$5:$CT1076,"="&amp;$CT1076)</f>
        <v>3770</v>
      </c>
      <c r="DH1076" s="14" t="s">
        <v>539</v>
      </c>
      <c r="DI1076" s="14">
        <f>INDEX(属性投放!$BL$6:$BL$85,(CV1076-2)*20+CZ1076)</f>
        <v>150</v>
      </c>
      <c r="DJ1076" s="14">
        <f>SUMIFS(DI$5:DI1076,$CT$5:$CT1076,"="&amp;$CT1076)</f>
        <v>1888</v>
      </c>
      <c r="DK1076" s="14" t="s">
        <v>540</v>
      </c>
      <c r="DL1076" s="14">
        <f>INDEX(属性投放!$BM$6:$BM$85,(CV1076-2)*20+CZ1076)</f>
        <v>3000</v>
      </c>
      <c r="DM1076" s="14">
        <f>SUMIFS(DL$5:DL1076,$CT$5:$CT1076,"="&amp;$CT1076)</f>
        <v>33740</v>
      </c>
    </row>
    <row r="1077" spans="97:117" ht="16.5" x14ac:dyDescent="0.2">
      <c r="CS1077" s="13">
        <v>1073</v>
      </c>
      <c r="CT1077" s="13">
        <f t="shared" si="1097"/>
        <v>21</v>
      </c>
      <c r="CU1077" s="13">
        <f t="shared" si="1098"/>
        <v>33</v>
      </c>
      <c r="CV1077" s="14">
        <f t="shared" si="1099"/>
        <v>3</v>
      </c>
      <c r="CW1077" s="14">
        <f t="shared" si="1100"/>
        <v>1102021</v>
      </c>
      <c r="CX1077" s="14" t="str">
        <f>INDEX($O$6:$O$50,CT1077)&amp;"-"&amp;INDEX(属性投放!$AB$7:$AB$50,CZ1077)&amp;"-魂火-"&amp;DB1077</f>
        <v>烈风螳螂-焦热+1-魂火-3</v>
      </c>
      <c r="CY1077" s="25" t="s">
        <v>142</v>
      </c>
      <c r="CZ1077" s="14">
        <f>INDEX(属性投放!$AM$7:$AM$58,CU1077)</f>
        <v>14</v>
      </c>
      <c r="DA1077" s="14" t="s">
        <v>537</v>
      </c>
      <c r="DB1077" s="14">
        <f>INDEX(属性投放!$AN$7:$AN$58,CU1077)</f>
        <v>3</v>
      </c>
      <c r="DC1077" s="14">
        <f t="shared" si="1096"/>
        <v>33</v>
      </c>
      <c r="DD1077" s="14">
        <f>INDEX(属性投放!$AO$7:$AO$58,DC1077)</f>
        <v>100</v>
      </c>
      <c r="DE1077" s="14" t="s">
        <v>538</v>
      </c>
      <c r="DF1077" s="14">
        <f>INDEX(属性投放!$BK$6:$BK$85,(CV1077-2)*20+CZ1077)</f>
        <v>300</v>
      </c>
      <c r="DG1077" s="14">
        <f>SUMIFS(DF$5:DF1077,$CT$5:$CT1077,"="&amp;$CT1077)</f>
        <v>4070</v>
      </c>
      <c r="DH1077" s="14" t="s">
        <v>539</v>
      </c>
      <c r="DI1077" s="14">
        <f>INDEX(属性投放!$BL$6:$BL$85,(CV1077-2)*20+CZ1077)</f>
        <v>150</v>
      </c>
      <c r="DJ1077" s="14">
        <f>SUMIFS(DI$5:DI1077,$CT$5:$CT1077,"="&amp;$CT1077)</f>
        <v>2038</v>
      </c>
      <c r="DK1077" s="14" t="s">
        <v>540</v>
      </c>
      <c r="DL1077" s="14">
        <f>INDEX(属性投放!$BM$6:$BM$85,(CV1077-2)*20+CZ1077)</f>
        <v>3000</v>
      </c>
      <c r="DM1077" s="14">
        <f>SUMIFS(DL$5:DL1077,$CT$5:$CT1077,"="&amp;$CT1077)</f>
        <v>36740</v>
      </c>
    </row>
    <row r="1078" spans="97:117" ht="16.5" x14ac:dyDescent="0.2">
      <c r="CS1078" s="13">
        <v>1074</v>
      </c>
      <c r="CT1078" s="13">
        <f t="shared" si="1097"/>
        <v>21</v>
      </c>
      <c r="CU1078" s="13">
        <f t="shared" si="1098"/>
        <v>34</v>
      </c>
      <c r="CV1078" s="14">
        <f t="shared" si="1099"/>
        <v>3</v>
      </c>
      <c r="CW1078" s="14">
        <f t="shared" si="1100"/>
        <v>1102021</v>
      </c>
      <c r="CX1078" s="14" t="str">
        <f>INDEX($O$6:$O$50,CT1078)&amp;"-"&amp;INDEX(属性投放!$AB$7:$AB$50,CZ1078)&amp;"-魂火-"&amp;DB1078</f>
        <v>烈风螳螂-焦热+2-魂火-1</v>
      </c>
      <c r="CY1078" s="25" t="s">
        <v>142</v>
      </c>
      <c r="CZ1078" s="14">
        <f>INDEX(属性投放!$AM$7:$AM$58,CU1078)</f>
        <v>15</v>
      </c>
      <c r="DA1078" s="14" t="s">
        <v>537</v>
      </c>
      <c r="DB1078" s="14">
        <f>INDEX(属性投放!$AN$7:$AN$58,CU1078)</f>
        <v>1</v>
      </c>
      <c r="DC1078" s="14">
        <f t="shared" si="1096"/>
        <v>34</v>
      </c>
      <c r="DD1078" s="14">
        <f>INDEX(属性投放!$AO$7:$AO$58,DC1078)</f>
        <v>103</v>
      </c>
      <c r="DE1078" s="14" t="s">
        <v>538</v>
      </c>
      <c r="DF1078" s="14">
        <f>INDEX(属性投放!$BK$6:$BK$85,(CV1078-2)*20+CZ1078)</f>
        <v>400</v>
      </c>
      <c r="DG1078" s="14">
        <f>SUMIFS(DF$5:DF1078,$CT$5:$CT1078,"="&amp;$CT1078)</f>
        <v>4470</v>
      </c>
      <c r="DH1078" s="14" t="s">
        <v>539</v>
      </c>
      <c r="DI1078" s="14">
        <f>INDEX(属性投放!$BL$6:$BL$85,(CV1078-2)*20+CZ1078)</f>
        <v>200</v>
      </c>
      <c r="DJ1078" s="14">
        <f>SUMIFS(DI$5:DI1078,$CT$5:$CT1078,"="&amp;$CT1078)</f>
        <v>2238</v>
      </c>
      <c r="DK1078" s="14" t="s">
        <v>540</v>
      </c>
      <c r="DL1078" s="14">
        <f>INDEX(属性投放!$BM$6:$BM$85,(CV1078-2)*20+CZ1078)</f>
        <v>4000</v>
      </c>
      <c r="DM1078" s="14">
        <f>SUMIFS(DL$5:DL1078,$CT$5:$CT1078,"="&amp;$CT1078)</f>
        <v>40740</v>
      </c>
    </row>
    <row r="1079" spans="97:117" ht="16.5" x14ac:dyDescent="0.2">
      <c r="CS1079" s="13">
        <v>1075</v>
      </c>
      <c r="CT1079" s="13">
        <f t="shared" si="1097"/>
        <v>21</v>
      </c>
      <c r="CU1079" s="13">
        <f t="shared" si="1098"/>
        <v>35</v>
      </c>
      <c r="CV1079" s="14">
        <f t="shared" si="1099"/>
        <v>3</v>
      </c>
      <c r="CW1079" s="14">
        <f t="shared" si="1100"/>
        <v>1102021</v>
      </c>
      <c r="CX1079" s="14" t="str">
        <f>INDEX($O$6:$O$50,CT1079)&amp;"-"&amp;INDEX(属性投放!$AB$7:$AB$50,CZ1079)&amp;"-魂火-"&amp;DB1079</f>
        <v>烈风螳螂-焦热+2-魂火-2</v>
      </c>
      <c r="CY1079" s="25" t="s">
        <v>142</v>
      </c>
      <c r="CZ1079" s="14">
        <f>INDEX(属性投放!$AM$7:$AM$58,CU1079)</f>
        <v>15</v>
      </c>
      <c r="DA1079" s="14" t="s">
        <v>537</v>
      </c>
      <c r="DB1079" s="14">
        <f>INDEX(属性投放!$AN$7:$AN$58,CU1079)</f>
        <v>2</v>
      </c>
      <c r="DC1079" s="14">
        <f t="shared" si="1096"/>
        <v>35</v>
      </c>
      <c r="DD1079" s="14">
        <f>INDEX(属性投放!$AO$7:$AO$58,DC1079)</f>
        <v>105</v>
      </c>
      <c r="DE1079" s="14" t="s">
        <v>538</v>
      </c>
      <c r="DF1079" s="14">
        <f>INDEX(属性投放!$BK$6:$BK$85,(CV1079-2)*20+CZ1079)</f>
        <v>400</v>
      </c>
      <c r="DG1079" s="14">
        <f>SUMIFS(DF$5:DF1079,$CT$5:$CT1079,"="&amp;$CT1079)</f>
        <v>4870</v>
      </c>
      <c r="DH1079" s="14" t="s">
        <v>539</v>
      </c>
      <c r="DI1079" s="14">
        <f>INDEX(属性投放!$BL$6:$BL$85,(CV1079-2)*20+CZ1079)</f>
        <v>200</v>
      </c>
      <c r="DJ1079" s="14">
        <f>SUMIFS(DI$5:DI1079,$CT$5:$CT1079,"="&amp;$CT1079)</f>
        <v>2438</v>
      </c>
      <c r="DK1079" s="14" t="s">
        <v>540</v>
      </c>
      <c r="DL1079" s="14">
        <f>INDEX(属性投放!$BM$6:$BM$85,(CV1079-2)*20+CZ1079)</f>
        <v>4000</v>
      </c>
      <c r="DM1079" s="14">
        <f>SUMIFS(DL$5:DL1079,$CT$5:$CT1079,"="&amp;$CT1079)</f>
        <v>44740</v>
      </c>
    </row>
    <row r="1080" spans="97:117" ht="16.5" x14ac:dyDescent="0.2">
      <c r="CS1080" s="13">
        <v>1076</v>
      </c>
      <c r="CT1080" s="13">
        <f t="shared" si="1097"/>
        <v>21</v>
      </c>
      <c r="CU1080" s="13">
        <f t="shared" si="1098"/>
        <v>36</v>
      </c>
      <c r="CV1080" s="14">
        <f t="shared" si="1099"/>
        <v>3</v>
      </c>
      <c r="CW1080" s="14">
        <f t="shared" si="1100"/>
        <v>1102021</v>
      </c>
      <c r="CX1080" s="14" t="str">
        <f>INDEX($O$6:$O$50,CT1080)&amp;"-"&amp;INDEX(属性投放!$AB$7:$AB$50,CZ1080)&amp;"-魂火-"&amp;DB1080</f>
        <v>烈风螳螂-焦热+2-魂火-3</v>
      </c>
      <c r="CY1080" s="25" t="s">
        <v>142</v>
      </c>
      <c r="CZ1080" s="14">
        <f>INDEX(属性投放!$AM$7:$AM$58,CU1080)</f>
        <v>15</v>
      </c>
      <c r="DA1080" s="14" t="s">
        <v>537</v>
      </c>
      <c r="DB1080" s="14">
        <f>INDEX(属性投放!$AN$7:$AN$58,CU1080)</f>
        <v>3</v>
      </c>
      <c r="DC1080" s="14">
        <f t="shared" si="1096"/>
        <v>36</v>
      </c>
      <c r="DD1080" s="14">
        <f>INDEX(属性投放!$AO$7:$AO$58,DC1080)</f>
        <v>108</v>
      </c>
      <c r="DE1080" s="14" t="s">
        <v>538</v>
      </c>
      <c r="DF1080" s="14">
        <f>INDEX(属性投放!$BK$6:$BK$85,(CV1080-2)*20+CZ1080)</f>
        <v>400</v>
      </c>
      <c r="DG1080" s="14">
        <f>SUMIFS(DF$5:DF1080,$CT$5:$CT1080,"="&amp;$CT1080)</f>
        <v>5270</v>
      </c>
      <c r="DH1080" s="14" t="s">
        <v>539</v>
      </c>
      <c r="DI1080" s="14">
        <f>INDEX(属性投放!$BL$6:$BL$85,(CV1080-2)*20+CZ1080)</f>
        <v>200</v>
      </c>
      <c r="DJ1080" s="14">
        <f>SUMIFS(DI$5:DI1080,$CT$5:$CT1080,"="&amp;$CT1080)</f>
        <v>2638</v>
      </c>
      <c r="DK1080" s="14" t="s">
        <v>540</v>
      </c>
      <c r="DL1080" s="14">
        <f>INDEX(属性投放!$BM$6:$BM$85,(CV1080-2)*20+CZ1080)</f>
        <v>4000</v>
      </c>
      <c r="DM1080" s="14">
        <f>SUMIFS(DL$5:DL1080,$CT$5:$CT1080,"="&amp;$CT1080)</f>
        <v>48740</v>
      </c>
    </row>
    <row r="1081" spans="97:117" ht="16.5" x14ac:dyDescent="0.2">
      <c r="CS1081" s="13">
        <v>1077</v>
      </c>
      <c r="CT1081" s="13">
        <f t="shared" si="1097"/>
        <v>21</v>
      </c>
      <c r="CU1081" s="13">
        <f t="shared" si="1098"/>
        <v>37</v>
      </c>
      <c r="CV1081" s="14">
        <f t="shared" si="1099"/>
        <v>3</v>
      </c>
      <c r="CW1081" s="14">
        <f t="shared" si="1100"/>
        <v>1102021</v>
      </c>
      <c r="CX1081" s="14" t="str">
        <f>INDEX($O$6:$O$50,CT1081)&amp;"-"&amp;INDEX(属性投放!$AB$7:$AB$50,CZ1081)&amp;"-魂火-"&amp;DB1081</f>
        <v>烈风螳螂-大焦热-魂火-1</v>
      </c>
      <c r="CY1081" s="25" t="s">
        <v>142</v>
      </c>
      <c r="CZ1081" s="14">
        <f>INDEX(属性投放!$AM$7:$AM$58,CU1081)</f>
        <v>16</v>
      </c>
      <c r="DA1081" s="14" t="s">
        <v>537</v>
      </c>
      <c r="DB1081" s="14">
        <f>INDEX(属性投放!$AN$7:$AN$58,CU1081)</f>
        <v>1</v>
      </c>
      <c r="DC1081" s="14">
        <f t="shared" si="1096"/>
        <v>37</v>
      </c>
      <c r="DD1081" s="14">
        <f>INDEX(属性投放!$AO$7:$AO$58,DC1081)</f>
        <v>110</v>
      </c>
      <c r="DE1081" s="14" t="s">
        <v>538</v>
      </c>
      <c r="DF1081" s="14">
        <f>INDEX(属性投放!$BK$6:$BK$85,(CV1081-2)*20+CZ1081)</f>
        <v>500</v>
      </c>
      <c r="DG1081" s="14">
        <f>SUMIFS(DF$5:DF1081,$CT$5:$CT1081,"="&amp;$CT1081)</f>
        <v>5770</v>
      </c>
      <c r="DH1081" s="14" t="s">
        <v>539</v>
      </c>
      <c r="DI1081" s="14">
        <f>INDEX(属性投放!$BL$6:$BL$85,(CV1081-2)*20+CZ1081)</f>
        <v>250</v>
      </c>
      <c r="DJ1081" s="14">
        <f>SUMIFS(DI$5:DI1081,$CT$5:$CT1081,"="&amp;$CT1081)</f>
        <v>2888</v>
      </c>
      <c r="DK1081" s="14" t="s">
        <v>540</v>
      </c>
      <c r="DL1081" s="14">
        <f>INDEX(属性投放!$BM$6:$BM$85,(CV1081-2)*20+CZ1081)</f>
        <v>5000</v>
      </c>
      <c r="DM1081" s="14">
        <f>SUMIFS(DL$5:DL1081,$CT$5:$CT1081,"="&amp;$CT1081)</f>
        <v>53740</v>
      </c>
    </row>
    <row r="1082" spans="97:117" ht="16.5" x14ac:dyDescent="0.2">
      <c r="CS1082" s="13">
        <v>1078</v>
      </c>
      <c r="CT1082" s="13">
        <f t="shared" si="1097"/>
        <v>21</v>
      </c>
      <c r="CU1082" s="13">
        <f t="shared" si="1098"/>
        <v>38</v>
      </c>
      <c r="CV1082" s="14">
        <f t="shared" si="1099"/>
        <v>3</v>
      </c>
      <c r="CW1082" s="14">
        <f t="shared" si="1100"/>
        <v>1102021</v>
      </c>
      <c r="CX1082" s="14" t="str">
        <f>INDEX($O$6:$O$50,CT1082)&amp;"-"&amp;INDEX(属性投放!$AB$7:$AB$50,CZ1082)&amp;"-魂火-"&amp;DB1082</f>
        <v>烈风螳螂-大焦热-魂火-2</v>
      </c>
      <c r="CY1082" s="25" t="s">
        <v>142</v>
      </c>
      <c r="CZ1082" s="14">
        <f>INDEX(属性投放!$AM$7:$AM$58,CU1082)</f>
        <v>16</v>
      </c>
      <c r="DA1082" s="14" t="s">
        <v>537</v>
      </c>
      <c r="DB1082" s="14">
        <f>INDEX(属性投放!$AN$7:$AN$58,CU1082)</f>
        <v>2</v>
      </c>
      <c r="DC1082" s="14">
        <f t="shared" si="1096"/>
        <v>38</v>
      </c>
      <c r="DD1082" s="14">
        <f>INDEX(属性投放!$AO$7:$AO$58,DC1082)</f>
        <v>113</v>
      </c>
      <c r="DE1082" s="14" t="s">
        <v>538</v>
      </c>
      <c r="DF1082" s="14">
        <f>INDEX(属性投放!$BK$6:$BK$85,(CV1082-2)*20+CZ1082)</f>
        <v>500</v>
      </c>
      <c r="DG1082" s="14">
        <f>SUMIFS(DF$5:DF1082,$CT$5:$CT1082,"="&amp;$CT1082)</f>
        <v>6270</v>
      </c>
      <c r="DH1082" s="14" t="s">
        <v>539</v>
      </c>
      <c r="DI1082" s="14">
        <f>INDEX(属性投放!$BL$6:$BL$85,(CV1082-2)*20+CZ1082)</f>
        <v>250</v>
      </c>
      <c r="DJ1082" s="14">
        <f>SUMIFS(DI$5:DI1082,$CT$5:$CT1082,"="&amp;$CT1082)</f>
        <v>3138</v>
      </c>
      <c r="DK1082" s="14" t="s">
        <v>540</v>
      </c>
      <c r="DL1082" s="14">
        <f>INDEX(属性投放!$BM$6:$BM$85,(CV1082-2)*20+CZ1082)</f>
        <v>5000</v>
      </c>
      <c r="DM1082" s="14">
        <f>SUMIFS(DL$5:DL1082,$CT$5:$CT1082,"="&amp;$CT1082)</f>
        <v>58740</v>
      </c>
    </row>
    <row r="1083" spans="97:117" ht="16.5" x14ac:dyDescent="0.2">
      <c r="CS1083" s="13">
        <v>1079</v>
      </c>
      <c r="CT1083" s="13">
        <f t="shared" si="1097"/>
        <v>21</v>
      </c>
      <c r="CU1083" s="13">
        <f t="shared" si="1098"/>
        <v>39</v>
      </c>
      <c r="CV1083" s="14">
        <f t="shared" si="1099"/>
        <v>3</v>
      </c>
      <c r="CW1083" s="14">
        <f t="shared" si="1100"/>
        <v>1102021</v>
      </c>
      <c r="CX1083" s="14" t="str">
        <f>INDEX($O$6:$O$50,CT1083)&amp;"-"&amp;INDEX(属性投放!$AB$7:$AB$50,CZ1083)&amp;"-魂火-"&amp;DB1083</f>
        <v>烈风螳螂-大焦热-魂火-3</v>
      </c>
      <c r="CY1083" s="25" t="s">
        <v>142</v>
      </c>
      <c r="CZ1083" s="14">
        <f>INDEX(属性投放!$AM$7:$AM$58,CU1083)</f>
        <v>16</v>
      </c>
      <c r="DA1083" s="14" t="s">
        <v>537</v>
      </c>
      <c r="DB1083" s="14">
        <f>INDEX(属性投放!$AN$7:$AN$58,CU1083)</f>
        <v>3</v>
      </c>
      <c r="DC1083" s="14">
        <f t="shared" si="1096"/>
        <v>39</v>
      </c>
      <c r="DD1083" s="14">
        <f>INDEX(属性投放!$AO$7:$AO$58,DC1083)</f>
        <v>115</v>
      </c>
      <c r="DE1083" s="14" t="s">
        <v>538</v>
      </c>
      <c r="DF1083" s="14">
        <f>INDEX(属性投放!$BK$6:$BK$85,(CV1083-2)*20+CZ1083)</f>
        <v>500</v>
      </c>
      <c r="DG1083" s="14">
        <f>SUMIFS(DF$5:DF1083,$CT$5:$CT1083,"="&amp;$CT1083)</f>
        <v>6770</v>
      </c>
      <c r="DH1083" s="14" t="s">
        <v>539</v>
      </c>
      <c r="DI1083" s="14">
        <f>INDEX(属性投放!$BL$6:$BL$85,(CV1083-2)*20+CZ1083)</f>
        <v>250</v>
      </c>
      <c r="DJ1083" s="14">
        <f>SUMIFS(DI$5:DI1083,$CT$5:$CT1083,"="&amp;$CT1083)</f>
        <v>3388</v>
      </c>
      <c r="DK1083" s="14" t="s">
        <v>540</v>
      </c>
      <c r="DL1083" s="14">
        <f>INDEX(属性投放!$BM$6:$BM$85,(CV1083-2)*20+CZ1083)</f>
        <v>5000</v>
      </c>
      <c r="DM1083" s="14">
        <f>SUMIFS(DL$5:DL1083,$CT$5:$CT1083,"="&amp;$CT1083)</f>
        <v>63740</v>
      </c>
    </row>
    <row r="1084" spans="97:117" ht="16.5" x14ac:dyDescent="0.2">
      <c r="CS1084" s="13">
        <v>1080</v>
      </c>
      <c r="CT1084" s="13">
        <f t="shared" si="1097"/>
        <v>21</v>
      </c>
      <c r="CU1084" s="13">
        <f t="shared" si="1098"/>
        <v>40</v>
      </c>
      <c r="CV1084" s="14">
        <f t="shared" si="1099"/>
        <v>3</v>
      </c>
      <c r="CW1084" s="14">
        <f t="shared" si="1100"/>
        <v>1102021</v>
      </c>
      <c r="CX1084" s="14" t="str">
        <f>INDEX($O$6:$O$50,CT1084)&amp;"-"&amp;INDEX(属性投放!$AB$7:$AB$50,CZ1084)&amp;"-魂火-"&amp;DB1084</f>
        <v>烈风螳螂-大焦热+1-魂火-1</v>
      </c>
      <c r="CY1084" s="25" t="s">
        <v>142</v>
      </c>
      <c r="CZ1084" s="14">
        <f>INDEX(属性投放!$AM$7:$AM$58,CU1084)</f>
        <v>17</v>
      </c>
      <c r="DA1084" s="14" t="s">
        <v>537</v>
      </c>
      <c r="DB1084" s="14">
        <f>INDEX(属性投放!$AN$7:$AN$58,CU1084)</f>
        <v>1</v>
      </c>
      <c r="DC1084" s="14">
        <f t="shared" si="1096"/>
        <v>40</v>
      </c>
      <c r="DD1084" s="14">
        <f>INDEX(属性投放!$AO$7:$AO$58,DC1084)</f>
        <v>118</v>
      </c>
      <c r="DE1084" s="14" t="s">
        <v>538</v>
      </c>
      <c r="DF1084" s="14">
        <f>INDEX(属性投放!$BK$6:$BK$85,(CV1084-2)*20+CZ1084)</f>
        <v>600</v>
      </c>
      <c r="DG1084" s="14">
        <f>SUMIFS(DF$5:DF1084,$CT$5:$CT1084,"="&amp;$CT1084)</f>
        <v>7370</v>
      </c>
      <c r="DH1084" s="14" t="s">
        <v>539</v>
      </c>
      <c r="DI1084" s="14">
        <f>INDEX(属性投放!$BL$6:$BL$85,(CV1084-2)*20+CZ1084)</f>
        <v>300</v>
      </c>
      <c r="DJ1084" s="14">
        <f>SUMIFS(DI$5:DI1084,$CT$5:$CT1084,"="&amp;$CT1084)</f>
        <v>3688</v>
      </c>
      <c r="DK1084" s="14" t="s">
        <v>540</v>
      </c>
      <c r="DL1084" s="14">
        <f>INDEX(属性投放!$BM$6:$BM$85,(CV1084-2)*20+CZ1084)</f>
        <v>6000</v>
      </c>
      <c r="DM1084" s="14">
        <f>SUMIFS(DL$5:DL1084,$CT$5:$CT1084,"="&amp;$CT1084)</f>
        <v>69740</v>
      </c>
    </row>
    <row r="1085" spans="97:117" ht="16.5" x14ac:dyDescent="0.2">
      <c r="CS1085" s="13">
        <v>1081</v>
      </c>
      <c r="CT1085" s="13">
        <f t="shared" si="1097"/>
        <v>21</v>
      </c>
      <c r="CU1085" s="13">
        <f t="shared" si="1098"/>
        <v>41</v>
      </c>
      <c r="CV1085" s="14">
        <f t="shared" si="1099"/>
        <v>3</v>
      </c>
      <c r="CW1085" s="14">
        <f t="shared" si="1100"/>
        <v>1102021</v>
      </c>
      <c r="CX1085" s="14" t="str">
        <f>INDEX($O$6:$O$50,CT1085)&amp;"-"&amp;INDEX(属性投放!$AB$7:$AB$50,CZ1085)&amp;"-魂火-"&amp;DB1085</f>
        <v>烈风螳螂-大焦热+1-魂火-2</v>
      </c>
      <c r="CY1085" s="25" t="s">
        <v>142</v>
      </c>
      <c r="CZ1085" s="14">
        <f>INDEX(属性投放!$AM$7:$AM$58,CU1085)</f>
        <v>17</v>
      </c>
      <c r="DA1085" s="14" t="s">
        <v>537</v>
      </c>
      <c r="DB1085" s="14">
        <f>INDEX(属性投放!$AN$7:$AN$58,CU1085)</f>
        <v>2</v>
      </c>
      <c r="DC1085" s="14">
        <f t="shared" si="1096"/>
        <v>41</v>
      </c>
      <c r="DD1085" s="14">
        <f>INDEX(属性投放!$AO$7:$AO$58,DC1085)</f>
        <v>120</v>
      </c>
      <c r="DE1085" s="14" t="s">
        <v>538</v>
      </c>
      <c r="DF1085" s="14">
        <f>INDEX(属性投放!$BK$6:$BK$85,(CV1085-2)*20+CZ1085)</f>
        <v>600</v>
      </c>
      <c r="DG1085" s="14">
        <f>SUMIFS(DF$5:DF1085,$CT$5:$CT1085,"="&amp;$CT1085)</f>
        <v>7970</v>
      </c>
      <c r="DH1085" s="14" t="s">
        <v>539</v>
      </c>
      <c r="DI1085" s="14">
        <f>INDEX(属性投放!$BL$6:$BL$85,(CV1085-2)*20+CZ1085)</f>
        <v>300</v>
      </c>
      <c r="DJ1085" s="14">
        <f>SUMIFS(DI$5:DI1085,$CT$5:$CT1085,"="&amp;$CT1085)</f>
        <v>3988</v>
      </c>
      <c r="DK1085" s="14" t="s">
        <v>540</v>
      </c>
      <c r="DL1085" s="14">
        <f>INDEX(属性投放!$BM$6:$BM$85,(CV1085-2)*20+CZ1085)</f>
        <v>6000</v>
      </c>
      <c r="DM1085" s="14">
        <f>SUMIFS(DL$5:DL1085,$CT$5:$CT1085,"="&amp;$CT1085)</f>
        <v>75740</v>
      </c>
    </row>
    <row r="1086" spans="97:117" ht="16.5" x14ac:dyDescent="0.2">
      <c r="CS1086" s="13">
        <v>1082</v>
      </c>
      <c r="CT1086" s="13">
        <f t="shared" si="1097"/>
        <v>21</v>
      </c>
      <c r="CU1086" s="13">
        <f t="shared" si="1098"/>
        <v>42</v>
      </c>
      <c r="CV1086" s="14">
        <f t="shared" si="1099"/>
        <v>3</v>
      </c>
      <c r="CW1086" s="14">
        <f t="shared" si="1100"/>
        <v>1102021</v>
      </c>
      <c r="CX1086" s="14" t="str">
        <f>INDEX($O$6:$O$50,CT1086)&amp;"-"&amp;INDEX(属性投放!$AB$7:$AB$50,CZ1086)&amp;"-魂火-"&amp;DB1086</f>
        <v>烈风螳螂-大焦热+1-魂火-3</v>
      </c>
      <c r="CY1086" s="25" t="s">
        <v>142</v>
      </c>
      <c r="CZ1086" s="14">
        <f>INDEX(属性投放!$AM$7:$AM$58,CU1086)</f>
        <v>17</v>
      </c>
      <c r="DA1086" s="14" t="s">
        <v>537</v>
      </c>
      <c r="DB1086" s="14">
        <f>INDEX(属性投放!$AN$7:$AN$58,CU1086)</f>
        <v>3</v>
      </c>
      <c r="DC1086" s="14">
        <f t="shared" si="1096"/>
        <v>42</v>
      </c>
      <c r="DD1086" s="14">
        <f>INDEX(属性投放!$AO$7:$AO$58,DC1086)</f>
        <v>123</v>
      </c>
      <c r="DE1086" s="14" t="s">
        <v>538</v>
      </c>
      <c r="DF1086" s="14">
        <f>INDEX(属性投放!$BK$6:$BK$85,(CV1086-2)*20+CZ1086)</f>
        <v>600</v>
      </c>
      <c r="DG1086" s="14">
        <f>SUMIFS(DF$5:DF1086,$CT$5:$CT1086,"="&amp;$CT1086)</f>
        <v>8570</v>
      </c>
      <c r="DH1086" s="14" t="s">
        <v>539</v>
      </c>
      <c r="DI1086" s="14">
        <f>INDEX(属性投放!$BL$6:$BL$85,(CV1086-2)*20+CZ1086)</f>
        <v>300</v>
      </c>
      <c r="DJ1086" s="14">
        <f>SUMIFS(DI$5:DI1086,$CT$5:$CT1086,"="&amp;$CT1086)</f>
        <v>4288</v>
      </c>
      <c r="DK1086" s="14" t="s">
        <v>540</v>
      </c>
      <c r="DL1086" s="14">
        <f>INDEX(属性投放!$BM$6:$BM$85,(CV1086-2)*20+CZ1086)</f>
        <v>6000</v>
      </c>
      <c r="DM1086" s="14">
        <f>SUMIFS(DL$5:DL1086,$CT$5:$CT1086,"="&amp;$CT1086)</f>
        <v>81740</v>
      </c>
    </row>
    <row r="1087" spans="97:117" ht="16.5" x14ac:dyDescent="0.2">
      <c r="CS1087" s="13">
        <v>1083</v>
      </c>
      <c r="CT1087" s="13">
        <f t="shared" si="1097"/>
        <v>21</v>
      </c>
      <c r="CU1087" s="13">
        <f t="shared" si="1098"/>
        <v>43</v>
      </c>
      <c r="CV1087" s="14">
        <f t="shared" si="1099"/>
        <v>3</v>
      </c>
      <c r="CW1087" s="14">
        <f t="shared" si="1100"/>
        <v>1102021</v>
      </c>
      <c r="CX1087" s="14" t="str">
        <f>INDEX($O$6:$O$50,CT1087)&amp;"-"&amp;INDEX(属性投放!$AB$7:$AB$50,CZ1087)&amp;"-魂火-"&amp;DB1087</f>
        <v>烈风螳螂-大焦热+2-魂火-1</v>
      </c>
      <c r="CY1087" s="25" t="s">
        <v>142</v>
      </c>
      <c r="CZ1087" s="14">
        <f>INDEX(属性投放!$AM$7:$AM$58,CU1087)</f>
        <v>18</v>
      </c>
      <c r="DA1087" s="14" t="s">
        <v>537</v>
      </c>
      <c r="DB1087" s="14">
        <f>INDEX(属性投放!$AN$7:$AN$58,CU1087)</f>
        <v>1</v>
      </c>
      <c r="DC1087" s="14">
        <f t="shared" si="1096"/>
        <v>43</v>
      </c>
      <c r="DD1087" s="14">
        <f>INDEX(属性投放!$AO$7:$AO$58,DC1087)</f>
        <v>125</v>
      </c>
      <c r="DE1087" s="14" t="s">
        <v>538</v>
      </c>
      <c r="DF1087" s="14">
        <f>INDEX(属性投放!$BK$6:$BK$85,(CV1087-2)*20+CZ1087)</f>
        <v>700</v>
      </c>
      <c r="DG1087" s="14">
        <f>SUMIFS(DF$5:DF1087,$CT$5:$CT1087,"="&amp;$CT1087)</f>
        <v>9270</v>
      </c>
      <c r="DH1087" s="14" t="s">
        <v>539</v>
      </c>
      <c r="DI1087" s="14">
        <f>INDEX(属性投放!$BL$6:$BL$85,(CV1087-2)*20+CZ1087)</f>
        <v>350</v>
      </c>
      <c r="DJ1087" s="14">
        <f>SUMIFS(DI$5:DI1087,$CT$5:$CT1087,"="&amp;$CT1087)</f>
        <v>4638</v>
      </c>
      <c r="DK1087" s="14" t="s">
        <v>540</v>
      </c>
      <c r="DL1087" s="14">
        <f>INDEX(属性投放!$BM$6:$BM$85,(CV1087-2)*20+CZ1087)</f>
        <v>7000</v>
      </c>
      <c r="DM1087" s="14">
        <f>SUMIFS(DL$5:DL1087,$CT$5:$CT1087,"="&amp;$CT1087)</f>
        <v>88740</v>
      </c>
    </row>
    <row r="1088" spans="97:117" ht="16.5" x14ac:dyDescent="0.2">
      <c r="CS1088" s="13">
        <v>1084</v>
      </c>
      <c r="CT1088" s="13">
        <f t="shared" si="1097"/>
        <v>21</v>
      </c>
      <c r="CU1088" s="13">
        <f t="shared" si="1098"/>
        <v>44</v>
      </c>
      <c r="CV1088" s="14">
        <f t="shared" si="1099"/>
        <v>3</v>
      </c>
      <c r="CW1088" s="14">
        <f t="shared" si="1100"/>
        <v>1102021</v>
      </c>
      <c r="CX1088" s="14" t="str">
        <f>INDEX($O$6:$O$50,CT1088)&amp;"-"&amp;INDEX(属性投放!$AB$7:$AB$50,CZ1088)&amp;"-魂火-"&amp;DB1088</f>
        <v>烈风螳螂-大焦热+2-魂火-2</v>
      </c>
      <c r="CY1088" s="25" t="s">
        <v>142</v>
      </c>
      <c r="CZ1088" s="14">
        <f>INDEX(属性投放!$AM$7:$AM$58,CU1088)</f>
        <v>18</v>
      </c>
      <c r="DA1088" s="14" t="s">
        <v>537</v>
      </c>
      <c r="DB1088" s="14">
        <f>INDEX(属性投放!$AN$7:$AN$58,CU1088)</f>
        <v>2</v>
      </c>
      <c r="DC1088" s="14">
        <f t="shared" si="1096"/>
        <v>44</v>
      </c>
      <c r="DD1088" s="14">
        <f>INDEX(属性投放!$AO$7:$AO$58,DC1088)</f>
        <v>128</v>
      </c>
      <c r="DE1088" s="14" t="s">
        <v>538</v>
      </c>
      <c r="DF1088" s="14">
        <f>INDEX(属性投放!$BK$6:$BK$85,(CV1088-2)*20+CZ1088)</f>
        <v>700</v>
      </c>
      <c r="DG1088" s="14">
        <f>SUMIFS(DF$5:DF1088,$CT$5:$CT1088,"="&amp;$CT1088)</f>
        <v>9970</v>
      </c>
      <c r="DH1088" s="14" t="s">
        <v>539</v>
      </c>
      <c r="DI1088" s="14">
        <f>INDEX(属性投放!$BL$6:$BL$85,(CV1088-2)*20+CZ1088)</f>
        <v>350</v>
      </c>
      <c r="DJ1088" s="14">
        <f>SUMIFS(DI$5:DI1088,$CT$5:$CT1088,"="&amp;$CT1088)</f>
        <v>4988</v>
      </c>
      <c r="DK1088" s="14" t="s">
        <v>540</v>
      </c>
      <c r="DL1088" s="14">
        <f>INDEX(属性投放!$BM$6:$BM$85,(CV1088-2)*20+CZ1088)</f>
        <v>7000</v>
      </c>
      <c r="DM1088" s="14">
        <f>SUMIFS(DL$5:DL1088,$CT$5:$CT1088,"="&amp;$CT1088)</f>
        <v>95740</v>
      </c>
    </row>
    <row r="1089" spans="97:117" ht="16.5" x14ac:dyDescent="0.2">
      <c r="CS1089" s="13">
        <v>1085</v>
      </c>
      <c r="CT1089" s="13">
        <f t="shared" si="1097"/>
        <v>21</v>
      </c>
      <c r="CU1089" s="13">
        <f t="shared" si="1098"/>
        <v>45</v>
      </c>
      <c r="CV1089" s="14">
        <f t="shared" si="1099"/>
        <v>3</v>
      </c>
      <c r="CW1089" s="14">
        <f t="shared" si="1100"/>
        <v>1102021</v>
      </c>
      <c r="CX1089" s="14" t="str">
        <f>INDEX($O$6:$O$50,CT1089)&amp;"-"&amp;INDEX(属性投放!$AB$7:$AB$50,CZ1089)&amp;"-魂火-"&amp;DB1089</f>
        <v>烈风螳螂-大焦热+2-魂火-3</v>
      </c>
      <c r="CY1089" s="25" t="s">
        <v>142</v>
      </c>
      <c r="CZ1089" s="14">
        <f>INDEX(属性投放!$AM$7:$AM$58,CU1089)</f>
        <v>18</v>
      </c>
      <c r="DA1089" s="14" t="s">
        <v>537</v>
      </c>
      <c r="DB1089" s="14">
        <f>INDEX(属性投放!$AN$7:$AN$58,CU1089)</f>
        <v>3</v>
      </c>
      <c r="DC1089" s="14">
        <f t="shared" si="1096"/>
        <v>45</v>
      </c>
      <c r="DD1089" s="14">
        <f>INDEX(属性投放!$AO$7:$AO$58,DC1089)</f>
        <v>130</v>
      </c>
      <c r="DE1089" s="14" t="s">
        <v>538</v>
      </c>
      <c r="DF1089" s="14">
        <f>INDEX(属性投放!$BK$6:$BK$85,(CV1089-2)*20+CZ1089)</f>
        <v>700</v>
      </c>
      <c r="DG1089" s="14">
        <f>SUMIFS(DF$5:DF1089,$CT$5:$CT1089,"="&amp;$CT1089)</f>
        <v>10670</v>
      </c>
      <c r="DH1089" s="14" t="s">
        <v>539</v>
      </c>
      <c r="DI1089" s="14">
        <f>INDEX(属性投放!$BL$6:$BL$85,(CV1089-2)*20+CZ1089)</f>
        <v>350</v>
      </c>
      <c r="DJ1089" s="14">
        <f>SUMIFS(DI$5:DI1089,$CT$5:$CT1089,"="&amp;$CT1089)</f>
        <v>5338</v>
      </c>
      <c r="DK1089" s="14" t="s">
        <v>540</v>
      </c>
      <c r="DL1089" s="14">
        <f>INDEX(属性投放!$BM$6:$BM$85,(CV1089-2)*20+CZ1089)</f>
        <v>7000</v>
      </c>
      <c r="DM1089" s="14">
        <f>SUMIFS(DL$5:DL1089,$CT$5:$CT1089,"="&amp;$CT1089)</f>
        <v>102740</v>
      </c>
    </row>
    <row r="1090" spans="97:117" ht="16.5" x14ac:dyDescent="0.2">
      <c r="CS1090" s="13">
        <v>1086</v>
      </c>
      <c r="CT1090" s="13">
        <f t="shared" si="1097"/>
        <v>21</v>
      </c>
      <c r="CU1090" s="13">
        <f t="shared" si="1098"/>
        <v>46</v>
      </c>
      <c r="CV1090" s="14">
        <f t="shared" si="1099"/>
        <v>3</v>
      </c>
      <c r="CW1090" s="14">
        <f t="shared" si="1100"/>
        <v>1102021</v>
      </c>
      <c r="CX1090" s="14" t="str">
        <f>INDEX($O$6:$O$50,CT1090)&amp;"-"&amp;INDEX(属性投放!$AB$7:$AB$50,CZ1090)&amp;"-魂火-"&amp;DB1090</f>
        <v>烈风螳螂-无间-魂火-1</v>
      </c>
      <c r="CY1090" s="25" t="s">
        <v>142</v>
      </c>
      <c r="CZ1090" s="14">
        <f>INDEX(属性投放!$AM$7:$AM$58,CU1090)</f>
        <v>19</v>
      </c>
      <c r="DA1090" s="14" t="s">
        <v>537</v>
      </c>
      <c r="DB1090" s="14">
        <f>INDEX(属性投放!$AN$7:$AN$58,CU1090)</f>
        <v>1</v>
      </c>
      <c r="DC1090" s="14">
        <f t="shared" si="1096"/>
        <v>46</v>
      </c>
      <c r="DD1090" s="14">
        <f>INDEX(属性投放!$AO$7:$AO$58,DC1090)</f>
        <v>133</v>
      </c>
      <c r="DE1090" s="14" t="s">
        <v>538</v>
      </c>
      <c r="DF1090" s="14">
        <f>INDEX(属性投放!$BK$6:$BK$85,(CV1090-2)*20+CZ1090)</f>
        <v>900</v>
      </c>
      <c r="DG1090" s="14">
        <f>SUMIFS(DF$5:DF1090,$CT$5:$CT1090,"="&amp;$CT1090)</f>
        <v>11570</v>
      </c>
      <c r="DH1090" s="14" t="s">
        <v>539</v>
      </c>
      <c r="DI1090" s="14">
        <f>INDEX(属性投放!$BL$6:$BL$85,(CV1090-2)*20+CZ1090)</f>
        <v>450</v>
      </c>
      <c r="DJ1090" s="14">
        <f>SUMIFS(DI$5:DI1090,$CT$5:$CT1090,"="&amp;$CT1090)</f>
        <v>5788</v>
      </c>
      <c r="DK1090" s="14" t="s">
        <v>540</v>
      </c>
      <c r="DL1090" s="14">
        <f>INDEX(属性投放!$BM$6:$BM$85,(CV1090-2)*20+CZ1090)</f>
        <v>9000</v>
      </c>
      <c r="DM1090" s="14">
        <f>SUMIFS(DL$5:DL1090,$CT$5:$CT1090,"="&amp;$CT1090)</f>
        <v>111740</v>
      </c>
    </row>
    <row r="1091" spans="97:117" ht="16.5" x14ac:dyDescent="0.2">
      <c r="CS1091" s="13">
        <v>1087</v>
      </c>
      <c r="CT1091" s="13">
        <f t="shared" si="1097"/>
        <v>21</v>
      </c>
      <c r="CU1091" s="13">
        <f t="shared" si="1098"/>
        <v>47</v>
      </c>
      <c r="CV1091" s="14">
        <f t="shared" si="1099"/>
        <v>3</v>
      </c>
      <c r="CW1091" s="14">
        <f t="shared" si="1100"/>
        <v>1102021</v>
      </c>
      <c r="CX1091" s="14" t="str">
        <f>INDEX($O$6:$O$50,CT1091)&amp;"-"&amp;INDEX(属性投放!$AB$7:$AB$50,CZ1091)&amp;"-魂火-"&amp;DB1091</f>
        <v>烈风螳螂-无间-魂火-2</v>
      </c>
      <c r="CY1091" s="25" t="s">
        <v>142</v>
      </c>
      <c r="CZ1091" s="14">
        <f>INDEX(属性投放!$AM$7:$AM$58,CU1091)</f>
        <v>19</v>
      </c>
      <c r="DA1091" s="14" t="s">
        <v>537</v>
      </c>
      <c r="DB1091" s="14">
        <f>INDEX(属性投放!$AN$7:$AN$58,CU1091)</f>
        <v>2</v>
      </c>
      <c r="DC1091" s="14">
        <f t="shared" si="1096"/>
        <v>47</v>
      </c>
      <c r="DD1091" s="14">
        <f>INDEX(属性投放!$AO$7:$AO$58,DC1091)</f>
        <v>135</v>
      </c>
      <c r="DE1091" s="14" t="s">
        <v>538</v>
      </c>
      <c r="DF1091" s="14">
        <f>INDEX(属性投放!$BK$6:$BK$85,(CV1091-2)*20+CZ1091)</f>
        <v>900</v>
      </c>
      <c r="DG1091" s="14">
        <f>SUMIFS(DF$5:DF1091,$CT$5:$CT1091,"="&amp;$CT1091)</f>
        <v>12470</v>
      </c>
      <c r="DH1091" s="14" t="s">
        <v>539</v>
      </c>
      <c r="DI1091" s="14">
        <f>INDEX(属性投放!$BL$6:$BL$85,(CV1091-2)*20+CZ1091)</f>
        <v>450</v>
      </c>
      <c r="DJ1091" s="14">
        <f>SUMIFS(DI$5:DI1091,$CT$5:$CT1091,"="&amp;$CT1091)</f>
        <v>6238</v>
      </c>
      <c r="DK1091" s="14" t="s">
        <v>540</v>
      </c>
      <c r="DL1091" s="14">
        <f>INDEX(属性投放!$BM$6:$BM$85,(CV1091-2)*20+CZ1091)</f>
        <v>9000</v>
      </c>
      <c r="DM1091" s="14">
        <f>SUMIFS(DL$5:DL1091,$CT$5:$CT1091,"="&amp;$CT1091)</f>
        <v>120740</v>
      </c>
    </row>
    <row r="1092" spans="97:117" ht="16.5" x14ac:dyDescent="0.2">
      <c r="CS1092" s="13">
        <v>1088</v>
      </c>
      <c r="CT1092" s="13">
        <f t="shared" si="1097"/>
        <v>21</v>
      </c>
      <c r="CU1092" s="13">
        <f t="shared" si="1098"/>
        <v>48</v>
      </c>
      <c r="CV1092" s="14">
        <f t="shared" si="1099"/>
        <v>3</v>
      </c>
      <c r="CW1092" s="14">
        <f t="shared" si="1100"/>
        <v>1102021</v>
      </c>
      <c r="CX1092" s="14" t="str">
        <f>INDEX($O$6:$O$50,CT1092)&amp;"-"&amp;INDEX(属性投放!$AB$7:$AB$50,CZ1092)&amp;"-魂火-"&amp;DB1092</f>
        <v>烈风螳螂-无间-魂火-3</v>
      </c>
      <c r="CY1092" s="25" t="s">
        <v>142</v>
      </c>
      <c r="CZ1092" s="14">
        <f>INDEX(属性投放!$AM$7:$AM$58,CU1092)</f>
        <v>19</v>
      </c>
      <c r="DA1092" s="14" t="s">
        <v>537</v>
      </c>
      <c r="DB1092" s="14">
        <f>INDEX(属性投放!$AN$7:$AN$58,CU1092)</f>
        <v>3</v>
      </c>
      <c r="DC1092" s="14">
        <f t="shared" si="1096"/>
        <v>48</v>
      </c>
      <c r="DD1092" s="14">
        <f>INDEX(属性投放!$AO$7:$AO$58,DC1092)</f>
        <v>138</v>
      </c>
      <c r="DE1092" s="14" t="s">
        <v>538</v>
      </c>
      <c r="DF1092" s="14">
        <f>INDEX(属性投放!$BK$6:$BK$85,(CV1092-2)*20+CZ1092)</f>
        <v>900</v>
      </c>
      <c r="DG1092" s="14">
        <f>SUMIFS(DF$5:DF1092,$CT$5:$CT1092,"="&amp;$CT1092)</f>
        <v>13370</v>
      </c>
      <c r="DH1092" s="14" t="s">
        <v>539</v>
      </c>
      <c r="DI1092" s="14">
        <f>INDEX(属性投放!$BL$6:$BL$85,(CV1092-2)*20+CZ1092)</f>
        <v>450</v>
      </c>
      <c r="DJ1092" s="14">
        <f>SUMIFS(DI$5:DI1092,$CT$5:$CT1092,"="&amp;$CT1092)</f>
        <v>6688</v>
      </c>
      <c r="DK1092" s="14" t="s">
        <v>540</v>
      </c>
      <c r="DL1092" s="14">
        <f>INDEX(属性投放!$BM$6:$BM$85,(CV1092-2)*20+CZ1092)</f>
        <v>9000</v>
      </c>
      <c r="DM1092" s="14">
        <f>SUMIFS(DL$5:DL1092,$CT$5:$CT1092,"="&amp;$CT1092)</f>
        <v>129740</v>
      </c>
    </row>
    <row r="1093" spans="97:117" ht="16.5" x14ac:dyDescent="0.2">
      <c r="CS1093" s="13">
        <v>1089</v>
      </c>
      <c r="CT1093" s="13">
        <f t="shared" si="1097"/>
        <v>21</v>
      </c>
      <c r="CU1093" s="13">
        <f t="shared" si="1098"/>
        <v>49</v>
      </c>
      <c r="CV1093" s="14">
        <f t="shared" si="1099"/>
        <v>3</v>
      </c>
      <c r="CW1093" s="14">
        <f t="shared" si="1100"/>
        <v>1102021</v>
      </c>
      <c r="CX1093" s="14" t="str">
        <f>INDEX($O$6:$O$50,CT1093)&amp;"-"&amp;INDEX(属性投放!$AB$7:$AB$50,CZ1093)&amp;"-魂火-"&amp;DB1093</f>
        <v>烈风螳螂-无间+1-魂火-1</v>
      </c>
      <c r="CY1093" s="25" t="s">
        <v>142</v>
      </c>
      <c r="CZ1093" s="14">
        <f>INDEX(属性投放!$AM$7:$AM$58,CU1093)</f>
        <v>20</v>
      </c>
      <c r="DA1093" s="14" t="s">
        <v>537</v>
      </c>
      <c r="DB1093" s="14">
        <f>INDEX(属性投放!$AN$7:$AN$58,CU1093)</f>
        <v>1</v>
      </c>
      <c r="DC1093" s="14">
        <f t="shared" ref="DC1093:DC1148" si="1101">CU1093</f>
        <v>49</v>
      </c>
      <c r="DD1093" s="14">
        <f>INDEX(属性投放!$AO$7:$AO$58,DC1093)</f>
        <v>140</v>
      </c>
      <c r="DE1093" s="14" t="s">
        <v>538</v>
      </c>
      <c r="DF1093" s="14">
        <f>INDEX(属性投放!$BK$6:$BK$85,(CV1093-2)*20+CZ1093)</f>
        <v>1000</v>
      </c>
      <c r="DG1093" s="14">
        <f>SUMIFS(DF$5:DF1093,$CT$5:$CT1093,"="&amp;$CT1093)</f>
        <v>14370</v>
      </c>
      <c r="DH1093" s="14" t="s">
        <v>539</v>
      </c>
      <c r="DI1093" s="14">
        <f>INDEX(属性投放!$BL$6:$BL$85,(CV1093-2)*20+CZ1093)</f>
        <v>500</v>
      </c>
      <c r="DJ1093" s="14">
        <f>SUMIFS(DI$5:DI1093,$CT$5:$CT1093,"="&amp;$CT1093)</f>
        <v>7188</v>
      </c>
      <c r="DK1093" s="14" t="s">
        <v>540</v>
      </c>
      <c r="DL1093" s="14">
        <f>INDEX(属性投放!$BM$6:$BM$85,(CV1093-2)*20+CZ1093)</f>
        <v>10000</v>
      </c>
      <c r="DM1093" s="14">
        <f>SUMIFS(DL$5:DL1093,$CT$5:$CT1093,"="&amp;$CT1093)</f>
        <v>139740</v>
      </c>
    </row>
    <row r="1094" spans="97:117" ht="16.5" x14ac:dyDescent="0.2">
      <c r="CS1094" s="13">
        <v>1090</v>
      </c>
      <c r="CT1094" s="13">
        <f t="shared" ref="CT1094:CT1157" si="1102">MATCH(CS1094-1,$U$5:$U$36,1)</f>
        <v>21</v>
      </c>
      <c r="CU1094" s="13">
        <f t="shared" ref="CU1094:CU1157" si="1103">CS1094-(CT1094-1)*52</f>
        <v>50</v>
      </c>
      <c r="CV1094" s="14">
        <f t="shared" ref="CV1094:CV1157" si="1104">INDEX($Q$6:$Q$50,CT1094)</f>
        <v>3</v>
      </c>
      <c r="CW1094" s="14">
        <f t="shared" ref="CW1094:CW1157" si="1105">INDEX($N$6:$N$50,CT1094)</f>
        <v>1102021</v>
      </c>
      <c r="CX1094" s="14" t="str">
        <f>INDEX($O$6:$O$50,CT1094)&amp;"-"&amp;INDEX(属性投放!$AB$7:$AB$50,CZ1094)&amp;"-魂火-"&amp;DB1094</f>
        <v>烈风螳螂-无间+1-魂火-2</v>
      </c>
      <c r="CY1094" s="25" t="s">
        <v>142</v>
      </c>
      <c r="CZ1094" s="14">
        <f>INDEX(属性投放!$AM$7:$AM$58,CU1094)</f>
        <v>20</v>
      </c>
      <c r="DA1094" s="14" t="s">
        <v>537</v>
      </c>
      <c r="DB1094" s="14">
        <f>INDEX(属性投放!$AN$7:$AN$58,CU1094)</f>
        <v>2</v>
      </c>
      <c r="DC1094" s="14">
        <f t="shared" si="1101"/>
        <v>50</v>
      </c>
      <c r="DD1094" s="14">
        <f>INDEX(属性投放!$AO$7:$AO$58,DC1094)</f>
        <v>143</v>
      </c>
      <c r="DE1094" s="14" t="s">
        <v>538</v>
      </c>
      <c r="DF1094" s="14">
        <f>INDEX(属性投放!$BK$6:$BK$85,(CV1094-2)*20+CZ1094)</f>
        <v>1000</v>
      </c>
      <c r="DG1094" s="14">
        <f>SUMIFS(DF$5:DF1094,$CT$5:$CT1094,"="&amp;$CT1094)</f>
        <v>15370</v>
      </c>
      <c r="DH1094" s="14" t="s">
        <v>539</v>
      </c>
      <c r="DI1094" s="14">
        <f>INDEX(属性投放!$BL$6:$BL$85,(CV1094-2)*20+CZ1094)</f>
        <v>500</v>
      </c>
      <c r="DJ1094" s="14">
        <f>SUMIFS(DI$5:DI1094,$CT$5:$CT1094,"="&amp;$CT1094)</f>
        <v>7688</v>
      </c>
      <c r="DK1094" s="14" t="s">
        <v>540</v>
      </c>
      <c r="DL1094" s="14">
        <f>INDEX(属性投放!$BM$6:$BM$85,(CV1094-2)*20+CZ1094)</f>
        <v>10000</v>
      </c>
      <c r="DM1094" s="14">
        <f>SUMIFS(DL$5:DL1094,$CT$5:$CT1094,"="&amp;$CT1094)</f>
        <v>149740</v>
      </c>
    </row>
    <row r="1095" spans="97:117" ht="16.5" x14ac:dyDescent="0.2">
      <c r="CS1095" s="13">
        <v>1091</v>
      </c>
      <c r="CT1095" s="13">
        <f t="shared" si="1102"/>
        <v>21</v>
      </c>
      <c r="CU1095" s="13">
        <f t="shared" si="1103"/>
        <v>51</v>
      </c>
      <c r="CV1095" s="14">
        <f t="shared" si="1104"/>
        <v>3</v>
      </c>
      <c r="CW1095" s="14">
        <f t="shared" si="1105"/>
        <v>1102021</v>
      </c>
      <c r="CX1095" s="14" t="str">
        <f>INDEX($O$6:$O$50,CT1095)&amp;"-"&amp;INDEX(属性投放!$AB$7:$AB$50,CZ1095)&amp;"-魂火-"&amp;DB1095</f>
        <v>烈风螳螂-无间+1-魂火-3</v>
      </c>
      <c r="CY1095" s="25" t="s">
        <v>142</v>
      </c>
      <c r="CZ1095" s="14">
        <f>INDEX(属性投放!$AM$7:$AM$58,CU1095)</f>
        <v>20</v>
      </c>
      <c r="DA1095" s="14" t="s">
        <v>537</v>
      </c>
      <c r="DB1095" s="14">
        <f>INDEX(属性投放!$AN$7:$AN$58,CU1095)</f>
        <v>3</v>
      </c>
      <c r="DC1095" s="14">
        <f t="shared" si="1101"/>
        <v>51</v>
      </c>
      <c r="DD1095" s="14">
        <f>INDEX(属性投放!$AO$7:$AO$58,DC1095)</f>
        <v>145</v>
      </c>
      <c r="DE1095" s="14" t="s">
        <v>538</v>
      </c>
      <c r="DF1095" s="14">
        <f>INDEX(属性投放!$BK$6:$BK$85,(CV1095-2)*20+CZ1095)</f>
        <v>1000</v>
      </c>
      <c r="DG1095" s="14">
        <f>SUMIFS(DF$5:DF1095,$CT$5:$CT1095,"="&amp;$CT1095)</f>
        <v>16370</v>
      </c>
      <c r="DH1095" s="14" t="s">
        <v>539</v>
      </c>
      <c r="DI1095" s="14">
        <f>INDEX(属性投放!$BL$6:$BL$85,(CV1095-2)*20+CZ1095)</f>
        <v>500</v>
      </c>
      <c r="DJ1095" s="14">
        <f>SUMIFS(DI$5:DI1095,$CT$5:$CT1095,"="&amp;$CT1095)</f>
        <v>8188</v>
      </c>
      <c r="DK1095" s="14" t="s">
        <v>540</v>
      </c>
      <c r="DL1095" s="14">
        <f>INDEX(属性投放!$BM$6:$BM$85,(CV1095-2)*20+CZ1095)</f>
        <v>10000</v>
      </c>
      <c r="DM1095" s="14">
        <f>SUMIFS(DL$5:DL1095,$CT$5:$CT1095,"="&amp;$CT1095)</f>
        <v>159740</v>
      </c>
    </row>
    <row r="1096" spans="97:117" ht="16.5" x14ac:dyDescent="0.2">
      <c r="CS1096" s="13">
        <v>1092</v>
      </c>
      <c r="CT1096" s="13">
        <f t="shared" si="1102"/>
        <v>21</v>
      </c>
      <c r="CU1096" s="13">
        <f t="shared" si="1103"/>
        <v>52</v>
      </c>
      <c r="CV1096" s="14">
        <f t="shared" si="1104"/>
        <v>3</v>
      </c>
      <c r="CW1096" s="14">
        <f t="shared" si="1105"/>
        <v>1102021</v>
      </c>
      <c r="CX1096" s="14" t="str">
        <f>INDEX($O$6:$O$50,CT1096)&amp;"-"&amp;INDEX(属性投放!$AB$7:$AB$50,CZ1096)&amp;"-魂火-"&amp;DB1096</f>
        <v>烈风螳螂-无间+1-魂火-4</v>
      </c>
      <c r="CY1096" s="25" t="s">
        <v>142</v>
      </c>
      <c r="CZ1096" s="14">
        <f>INDEX(属性投放!$AM$7:$AM$58,CU1096)</f>
        <v>20</v>
      </c>
      <c r="DA1096" s="14" t="s">
        <v>537</v>
      </c>
      <c r="DB1096" s="14">
        <f>INDEX(属性投放!$AN$7:$AN$58,CU1096)</f>
        <v>4</v>
      </c>
      <c r="DC1096" s="14">
        <f t="shared" si="1101"/>
        <v>52</v>
      </c>
      <c r="DD1096" s="14">
        <f>INDEX(属性投放!$AO$7:$AO$58,DC1096)</f>
        <v>148</v>
      </c>
      <c r="DE1096" s="14" t="s">
        <v>538</v>
      </c>
      <c r="DF1096" s="14">
        <f>INDEX(属性投放!$BK$6:$BK$85,(CV1096-2)*20+CZ1096)</f>
        <v>1000</v>
      </c>
      <c r="DG1096" s="14">
        <f>SUMIFS(DF$5:DF1096,$CT$5:$CT1096,"="&amp;$CT1096)</f>
        <v>17370</v>
      </c>
      <c r="DH1096" s="14" t="s">
        <v>539</v>
      </c>
      <c r="DI1096" s="14">
        <f>INDEX(属性投放!$BL$6:$BL$85,(CV1096-2)*20+CZ1096)</f>
        <v>500</v>
      </c>
      <c r="DJ1096" s="14">
        <f>SUMIFS(DI$5:DI1096,$CT$5:$CT1096,"="&amp;$CT1096)</f>
        <v>8688</v>
      </c>
      <c r="DK1096" s="14" t="s">
        <v>540</v>
      </c>
      <c r="DL1096" s="14">
        <f>INDEX(属性投放!$BM$6:$BM$85,(CV1096-2)*20+CZ1096)</f>
        <v>10000</v>
      </c>
      <c r="DM1096" s="14">
        <f>SUMIFS(DL$5:DL1096,$CT$5:$CT1096,"="&amp;$CT1096)</f>
        <v>169740</v>
      </c>
    </row>
    <row r="1097" spans="97:117" ht="16.5" x14ac:dyDescent="0.2">
      <c r="CS1097" s="13">
        <v>1093</v>
      </c>
      <c r="CT1097" s="13">
        <f t="shared" si="1102"/>
        <v>22</v>
      </c>
      <c r="CU1097" s="13">
        <f t="shared" si="1103"/>
        <v>1</v>
      </c>
      <c r="CV1097" s="14">
        <f t="shared" si="1104"/>
        <v>2</v>
      </c>
      <c r="CW1097" s="14">
        <f t="shared" si="1105"/>
        <v>1102050</v>
      </c>
      <c r="CX1097" s="14" t="str">
        <f>INDEX($O$6:$O$50,CT1097)&amp;"-"&amp;INDEX(属性投放!$AB$7:$AB$50,CZ1097)&amp;"-魂火-"&amp;DB1097</f>
        <v>柠檬精-等活-魂火-1</v>
      </c>
      <c r="CY1097" s="25" t="s">
        <v>142</v>
      </c>
      <c r="CZ1097" s="14">
        <f>INDEX(属性投放!$AM$7:$AM$58,CU1097)</f>
        <v>1</v>
      </c>
      <c r="DA1097" s="14" t="s">
        <v>537</v>
      </c>
      <c r="DB1097" s="14">
        <f>INDEX(属性投放!$AN$7:$AN$58,CU1097)</f>
        <v>1</v>
      </c>
      <c r="DC1097" s="14">
        <f t="shared" si="1101"/>
        <v>1</v>
      </c>
      <c r="DD1097" s="14">
        <f>INDEX(属性投放!$AO$7:$AO$58,DC1097)</f>
        <v>3</v>
      </c>
      <c r="DE1097" s="14" t="s">
        <v>538</v>
      </c>
      <c r="DF1097" s="14">
        <f>INDEX(属性投放!$BK$6:$BK$85,(CV1097-2)*20+CZ1097)</f>
        <v>15</v>
      </c>
      <c r="DG1097" s="14">
        <f>SUMIFS(DF$5:DF1097,$CT$5:$CT1097,"="&amp;$CT1097)</f>
        <v>15</v>
      </c>
      <c r="DH1097" s="14" t="s">
        <v>539</v>
      </c>
      <c r="DI1097" s="14">
        <f>INDEX(属性投放!$BL$6:$BL$85,(CV1097-2)*20+CZ1097)</f>
        <v>8</v>
      </c>
      <c r="DJ1097" s="14">
        <f>SUMIFS(DI$5:DI1097,$CT$5:$CT1097,"="&amp;$CT1097)</f>
        <v>8</v>
      </c>
      <c r="DK1097" s="14" t="s">
        <v>540</v>
      </c>
      <c r="DL1097" s="14">
        <f>INDEX(属性投放!$BM$6:$BM$85,(CV1097-2)*20+CZ1097)</f>
        <v>90</v>
      </c>
      <c r="DM1097" s="14">
        <f>SUMIFS(DL$5:DL1097,$CT$5:$CT1097,"="&amp;$CT1097)</f>
        <v>90</v>
      </c>
    </row>
    <row r="1098" spans="97:117" ht="16.5" x14ac:dyDescent="0.2">
      <c r="CS1098" s="13">
        <v>1094</v>
      </c>
      <c r="CT1098" s="13">
        <f t="shared" si="1102"/>
        <v>22</v>
      </c>
      <c r="CU1098" s="13">
        <f t="shared" si="1103"/>
        <v>2</v>
      </c>
      <c r="CV1098" s="14">
        <f t="shared" si="1104"/>
        <v>2</v>
      </c>
      <c r="CW1098" s="14">
        <f t="shared" si="1105"/>
        <v>1102050</v>
      </c>
      <c r="CX1098" s="14" t="str">
        <f>INDEX($O$6:$O$50,CT1098)&amp;"-"&amp;INDEX(属性投放!$AB$7:$AB$50,CZ1098)&amp;"-魂火-"&amp;DB1098</f>
        <v>柠檬精-黑绳-魂火-1</v>
      </c>
      <c r="CY1098" s="25" t="s">
        <v>142</v>
      </c>
      <c r="CZ1098" s="14">
        <f>INDEX(属性投放!$AM$7:$AM$58,CU1098)</f>
        <v>2</v>
      </c>
      <c r="DA1098" s="14" t="s">
        <v>537</v>
      </c>
      <c r="DB1098" s="14">
        <f>INDEX(属性投放!$AN$7:$AN$58,CU1098)</f>
        <v>1</v>
      </c>
      <c r="DC1098" s="14">
        <f t="shared" si="1101"/>
        <v>2</v>
      </c>
      <c r="DD1098" s="14">
        <f>INDEX(属性投放!$AO$7:$AO$58,DC1098)</f>
        <v>8</v>
      </c>
      <c r="DE1098" s="14" t="s">
        <v>538</v>
      </c>
      <c r="DF1098" s="14">
        <f>INDEX(属性投放!$BK$6:$BK$85,(CV1098-2)*20+CZ1098)</f>
        <v>20</v>
      </c>
      <c r="DG1098" s="14">
        <f>SUMIFS(DF$5:DF1098,$CT$5:$CT1098,"="&amp;$CT1098)</f>
        <v>35</v>
      </c>
      <c r="DH1098" s="14" t="s">
        <v>539</v>
      </c>
      <c r="DI1098" s="14">
        <f>INDEX(属性投放!$BL$6:$BL$85,(CV1098-2)*20+CZ1098)</f>
        <v>10</v>
      </c>
      <c r="DJ1098" s="14">
        <f>SUMIFS(DI$5:DI1098,$CT$5:$CT1098,"="&amp;$CT1098)</f>
        <v>18</v>
      </c>
      <c r="DK1098" s="14" t="s">
        <v>540</v>
      </c>
      <c r="DL1098" s="14">
        <f>INDEX(属性投放!$BM$6:$BM$85,(CV1098-2)*20+CZ1098)</f>
        <v>120</v>
      </c>
      <c r="DM1098" s="14">
        <f>SUMIFS(DL$5:DL1098,$CT$5:$CT1098,"="&amp;$CT1098)</f>
        <v>210</v>
      </c>
    </row>
    <row r="1099" spans="97:117" ht="16.5" x14ac:dyDescent="0.2">
      <c r="CS1099" s="13">
        <v>1095</v>
      </c>
      <c r="CT1099" s="13">
        <f t="shared" si="1102"/>
        <v>22</v>
      </c>
      <c r="CU1099" s="13">
        <f t="shared" si="1103"/>
        <v>3</v>
      </c>
      <c r="CV1099" s="14">
        <f t="shared" si="1104"/>
        <v>2</v>
      </c>
      <c r="CW1099" s="14">
        <f t="shared" si="1105"/>
        <v>1102050</v>
      </c>
      <c r="CX1099" s="14" t="str">
        <f>INDEX($O$6:$O$50,CT1099)&amp;"-"&amp;INDEX(属性投放!$AB$7:$AB$50,CZ1099)&amp;"-魂火-"&amp;DB1099</f>
        <v>柠檬精-黑绳-魂火-2</v>
      </c>
      <c r="CY1099" s="25" t="s">
        <v>142</v>
      </c>
      <c r="CZ1099" s="14">
        <f>INDEX(属性投放!$AM$7:$AM$58,CU1099)</f>
        <v>2</v>
      </c>
      <c r="DA1099" s="14" t="s">
        <v>537</v>
      </c>
      <c r="DB1099" s="14">
        <f>INDEX(属性投放!$AN$7:$AN$58,CU1099)</f>
        <v>2</v>
      </c>
      <c r="DC1099" s="14">
        <f t="shared" si="1101"/>
        <v>3</v>
      </c>
      <c r="DD1099" s="14">
        <f>INDEX(属性投放!$AO$7:$AO$58,DC1099)</f>
        <v>13</v>
      </c>
      <c r="DE1099" s="14" t="s">
        <v>538</v>
      </c>
      <c r="DF1099" s="14">
        <f>INDEX(属性投放!$BK$6:$BK$85,(CV1099-2)*20+CZ1099)</f>
        <v>20</v>
      </c>
      <c r="DG1099" s="14">
        <f>SUMIFS(DF$5:DF1099,$CT$5:$CT1099,"="&amp;$CT1099)</f>
        <v>55</v>
      </c>
      <c r="DH1099" s="14" t="s">
        <v>539</v>
      </c>
      <c r="DI1099" s="14">
        <f>INDEX(属性投放!$BL$6:$BL$85,(CV1099-2)*20+CZ1099)</f>
        <v>10</v>
      </c>
      <c r="DJ1099" s="14">
        <f>SUMIFS(DI$5:DI1099,$CT$5:$CT1099,"="&amp;$CT1099)</f>
        <v>28</v>
      </c>
      <c r="DK1099" s="14" t="s">
        <v>540</v>
      </c>
      <c r="DL1099" s="14">
        <f>INDEX(属性投放!$BM$6:$BM$85,(CV1099-2)*20+CZ1099)</f>
        <v>120</v>
      </c>
      <c r="DM1099" s="14">
        <f>SUMIFS(DL$5:DL1099,$CT$5:$CT1099,"="&amp;$CT1099)</f>
        <v>330</v>
      </c>
    </row>
    <row r="1100" spans="97:117" ht="16.5" x14ac:dyDescent="0.2">
      <c r="CS1100" s="13">
        <v>1096</v>
      </c>
      <c r="CT1100" s="13">
        <f t="shared" si="1102"/>
        <v>22</v>
      </c>
      <c r="CU1100" s="13">
        <f t="shared" si="1103"/>
        <v>4</v>
      </c>
      <c r="CV1100" s="14">
        <f t="shared" si="1104"/>
        <v>2</v>
      </c>
      <c r="CW1100" s="14">
        <f t="shared" si="1105"/>
        <v>1102050</v>
      </c>
      <c r="CX1100" s="14" t="str">
        <f>INDEX($O$6:$O$50,CT1100)&amp;"-"&amp;INDEX(属性投放!$AB$7:$AB$50,CZ1100)&amp;"-魂火-"&amp;DB1100</f>
        <v>柠檬精-黑绳+1-魂火-1</v>
      </c>
      <c r="CY1100" s="25" t="s">
        <v>142</v>
      </c>
      <c r="CZ1100" s="14">
        <f>INDEX(属性投放!$AM$7:$AM$58,CU1100)</f>
        <v>3</v>
      </c>
      <c r="DA1100" s="14" t="s">
        <v>537</v>
      </c>
      <c r="DB1100" s="14">
        <f>INDEX(属性投放!$AN$7:$AN$58,CU1100)</f>
        <v>1</v>
      </c>
      <c r="DC1100" s="14">
        <f t="shared" si="1101"/>
        <v>4</v>
      </c>
      <c r="DD1100" s="14">
        <f>INDEX(属性投放!$AO$7:$AO$58,DC1100)</f>
        <v>18</v>
      </c>
      <c r="DE1100" s="14" t="s">
        <v>538</v>
      </c>
      <c r="DF1100" s="14">
        <f>INDEX(属性投放!$BK$6:$BK$85,(CV1100-2)*20+CZ1100)</f>
        <v>25</v>
      </c>
      <c r="DG1100" s="14">
        <f>SUMIFS(DF$5:DF1100,$CT$5:$CT1100,"="&amp;$CT1100)</f>
        <v>80</v>
      </c>
      <c r="DH1100" s="14" t="s">
        <v>539</v>
      </c>
      <c r="DI1100" s="14">
        <f>INDEX(属性投放!$BL$6:$BL$85,(CV1100-2)*20+CZ1100)</f>
        <v>13</v>
      </c>
      <c r="DJ1100" s="14">
        <f>SUMIFS(DI$5:DI1100,$CT$5:$CT1100,"="&amp;$CT1100)</f>
        <v>41</v>
      </c>
      <c r="DK1100" s="14" t="s">
        <v>540</v>
      </c>
      <c r="DL1100" s="14">
        <f>INDEX(属性投放!$BM$6:$BM$85,(CV1100-2)*20+CZ1100)</f>
        <v>150</v>
      </c>
      <c r="DM1100" s="14">
        <f>SUMIFS(DL$5:DL1100,$CT$5:$CT1100,"="&amp;$CT1100)</f>
        <v>480</v>
      </c>
    </row>
    <row r="1101" spans="97:117" ht="16.5" x14ac:dyDescent="0.2">
      <c r="CS1101" s="13">
        <v>1097</v>
      </c>
      <c r="CT1101" s="13">
        <f t="shared" si="1102"/>
        <v>22</v>
      </c>
      <c r="CU1101" s="13">
        <f t="shared" si="1103"/>
        <v>5</v>
      </c>
      <c r="CV1101" s="14">
        <f t="shared" si="1104"/>
        <v>2</v>
      </c>
      <c r="CW1101" s="14">
        <f t="shared" si="1105"/>
        <v>1102050</v>
      </c>
      <c r="CX1101" s="14" t="str">
        <f>INDEX($O$6:$O$50,CT1101)&amp;"-"&amp;INDEX(属性投放!$AB$7:$AB$50,CZ1101)&amp;"-魂火-"&amp;DB1101</f>
        <v>柠檬精-黑绳+1-魂火-2</v>
      </c>
      <c r="CY1101" s="25" t="s">
        <v>142</v>
      </c>
      <c r="CZ1101" s="14">
        <f>INDEX(属性投放!$AM$7:$AM$58,CU1101)</f>
        <v>3</v>
      </c>
      <c r="DA1101" s="14" t="s">
        <v>537</v>
      </c>
      <c r="DB1101" s="14">
        <f>INDEX(属性投放!$AN$7:$AN$58,CU1101)</f>
        <v>2</v>
      </c>
      <c r="DC1101" s="14">
        <f t="shared" si="1101"/>
        <v>5</v>
      </c>
      <c r="DD1101" s="14">
        <f>INDEX(属性投放!$AO$7:$AO$58,DC1101)</f>
        <v>23</v>
      </c>
      <c r="DE1101" s="14" t="s">
        <v>538</v>
      </c>
      <c r="DF1101" s="14">
        <f>INDEX(属性投放!$BK$6:$BK$85,(CV1101-2)*20+CZ1101)</f>
        <v>25</v>
      </c>
      <c r="DG1101" s="14">
        <f>SUMIFS(DF$5:DF1101,$CT$5:$CT1101,"="&amp;$CT1101)</f>
        <v>105</v>
      </c>
      <c r="DH1101" s="14" t="s">
        <v>539</v>
      </c>
      <c r="DI1101" s="14">
        <f>INDEX(属性投放!$BL$6:$BL$85,(CV1101-2)*20+CZ1101)</f>
        <v>13</v>
      </c>
      <c r="DJ1101" s="14">
        <f>SUMIFS(DI$5:DI1101,$CT$5:$CT1101,"="&amp;$CT1101)</f>
        <v>54</v>
      </c>
      <c r="DK1101" s="14" t="s">
        <v>540</v>
      </c>
      <c r="DL1101" s="14">
        <f>INDEX(属性投放!$BM$6:$BM$85,(CV1101-2)*20+CZ1101)</f>
        <v>150</v>
      </c>
      <c r="DM1101" s="14">
        <f>SUMIFS(DL$5:DL1101,$CT$5:$CT1101,"="&amp;$CT1101)</f>
        <v>630</v>
      </c>
    </row>
    <row r="1102" spans="97:117" ht="16.5" x14ac:dyDescent="0.2">
      <c r="CS1102" s="13">
        <v>1098</v>
      </c>
      <c r="CT1102" s="13">
        <f t="shared" si="1102"/>
        <v>22</v>
      </c>
      <c r="CU1102" s="13">
        <f t="shared" si="1103"/>
        <v>6</v>
      </c>
      <c r="CV1102" s="14">
        <f t="shared" si="1104"/>
        <v>2</v>
      </c>
      <c r="CW1102" s="14">
        <f t="shared" si="1105"/>
        <v>1102050</v>
      </c>
      <c r="CX1102" s="14" t="str">
        <f>INDEX($O$6:$O$50,CT1102)&amp;"-"&amp;INDEX(属性投放!$AB$7:$AB$50,CZ1102)&amp;"-魂火-"&amp;DB1102</f>
        <v>柠檬精-众合-魂火-1</v>
      </c>
      <c r="CY1102" s="25" t="s">
        <v>142</v>
      </c>
      <c r="CZ1102" s="14">
        <f>INDEX(属性投放!$AM$7:$AM$58,CU1102)</f>
        <v>4</v>
      </c>
      <c r="DA1102" s="14" t="s">
        <v>537</v>
      </c>
      <c r="DB1102" s="14">
        <f>INDEX(属性投放!$AN$7:$AN$58,CU1102)</f>
        <v>1</v>
      </c>
      <c r="DC1102" s="14">
        <f t="shared" si="1101"/>
        <v>6</v>
      </c>
      <c r="DD1102" s="14">
        <f>INDEX(属性投放!$AO$7:$AO$58,DC1102)</f>
        <v>28</v>
      </c>
      <c r="DE1102" s="14" t="s">
        <v>538</v>
      </c>
      <c r="DF1102" s="14">
        <f>INDEX(属性投放!$BK$6:$BK$85,(CV1102-2)*20+CZ1102)</f>
        <v>30</v>
      </c>
      <c r="DG1102" s="14">
        <f>SUMIFS(DF$5:DF1102,$CT$5:$CT1102,"="&amp;$CT1102)</f>
        <v>135</v>
      </c>
      <c r="DH1102" s="14" t="s">
        <v>539</v>
      </c>
      <c r="DI1102" s="14">
        <f>INDEX(属性投放!$BL$6:$BL$85,(CV1102-2)*20+CZ1102)</f>
        <v>15</v>
      </c>
      <c r="DJ1102" s="14">
        <f>SUMIFS(DI$5:DI1102,$CT$5:$CT1102,"="&amp;$CT1102)</f>
        <v>69</v>
      </c>
      <c r="DK1102" s="14" t="s">
        <v>540</v>
      </c>
      <c r="DL1102" s="14">
        <f>INDEX(属性投放!$BM$6:$BM$85,(CV1102-2)*20+CZ1102)</f>
        <v>210</v>
      </c>
      <c r="DM1102" s="14">
        <f>SUMIFS(DL$5:DL1102,$CT$5:$CT1102,"="&amp;$CT1102)</f>
        <v>840</v>
      </c>
    </row>
    <row r="1103" spans="97:117" ht="16.5" x14ac:dyDescent="0.2">
      <c r="CS1103" s="13">
        <v>1099</v>
      </c>
      <c r="CT1103" s="13">
        <f t="shared" si="1102"/>
        <v>22</v>
      </c>
      <c r="CU1103" s="13">
        <f t="shared" si="1103"/>
        <v>7</v>
      </c>
      <c r="CV1103" s="14">
        <f t="shared" si="1104"/>
        <v>2</v>
      </c>
      <c r="CW1103" s="14">
        <f t="shared" si="1105"/>
        <v>1102050</v>
      </c>
      <c r="CX1103" s="14" t="str">
        <f>INDEX($O$6:$O$50,CT1103)&amp;"-"&amp;INDEX(属性投放!$AB$7:$AB$50,CZ1103)&amp;"-魂火-"&amp;DB1103</f>
        <v>柠檬精-众合-魂火-2</v>
      </c>
      <c r="CY1103" s="25" t="s">
        <v>142</v>
      </c>
      <c r="CZ1103" s="14">
        <f>INDEX(属性投放!$AM$7:$AM$58,CU1103)</f>
        <v>4</v>
      </c>
      <c r="DA1103" s="14" t="s">
        <v>537</v>
      </c>
      <c r="DB1103" s="14">
        <f>INDEX(属性投放!$AN$7:$AN$58,CU1103)</f>
        <v>2</v>
      </c>
      <c r="DC1103" s="14">
        <f t="shared" si="1101"/>
        <v>7</v>
      </c>
      <c r="DD1103" s="14">
        <f>INDEX(属性投放!$AO$7:$AO$58,DC1103)</f>
        <v>33</v>
      </c>
      <c r="DE1103" s="14" t="s">
        <v>538</v>
      </c>
      <c r="DF1103" s="14">
        <f>INDEX(属性投放!$BK$6:$BK$85,(CV1103-2)*20+CZ1103)</f>
        <v>30</v>
      </c>
      <c r="DG1103" s="14">
        <f>SUMIFS(DF$5:DF1103,$CT$5:$CT1103,"="&amp;$CT1103)</f>
        <v>165</v>
      </c>
      <c r="DH1103" s="14" t="s">
        <v>539</v>
      </c>
      <c r="DI1103" s="14">
        <f>INDEX(属性投放!$BL$6:$BL$85,(CV1103-2)*20+CZ1103)</f>
        <v>15</v>
      </c>
      <c r="DJ1103" s="14">
        <f>SUMIFS(DI$5:DI1103,$CT$5:$CT1103,"="&amp;$CT1103)</f>
        <v>84</v>
      </c>
      <c r="DK1103" s="14" t="s">
        <v>540</v>
      </c>
      <c r="DL1103" s="14">
        <f>INDEX(属性投放!$BM$6:$BM$85,(CV1103-2)*20+CZ1103)</f>
        <v>210</v>
      </c>
      <c r="DM1103" s="14">
        <f>SUMIFS(DL$5:DL1103,$CT$5:$CT1103,"="&amp;$CT1103)</f>
        <v>1050</v>
      </c>
    </row>
    <row r="1104" spans="97:117" ht="16.5" x14ac:dyDescent="0.2">
      <c r="CS1104" s="13">
        <v>1100</v>
      </c>
      <c r="CT1104" s="13">
        <f t="shared" si="1102"/>
        <v>22</v>
      </c>
      <c r="CU1104" s="13">
        <f t="shared" si="1103"/>
        <v>8</v>
      </c>
      <c r="CV1104" s="14">
        <f t="shared" si="1104"/>
        <v>2</v>
      </c>
      <c r="CW1104" s="14">
        <f t="shared" si="1105"/>
        <v>1102050</v>
      </c>
      <c r="CX1104" s="14" t="str">
        <f>INDEX($O$6:$O$50,CT1104)&amp;"-"&amp;INDEX(属性投放!$AB$7:$AB$50,CZ1104)&amp;"-魂火-"&amp;DB1104</f>
        <v>柠檬精-众合+1-魂火-1</v>
      </c>
      <c r="CY1104" s="25" t="s">
        <v>142</v>
      </c>
      <c r="CZ1104" s="14">
        <f>INDEX(属性投放!$AM$7:$AM$58,CU1104)</f>
        <v>5</v>
      </c>
      <c r="DA1104" s="14" t="s">
        <v>537</v>
      </c>
      <c r="DB1104" s="14">
        <f>INDEX(属性投放!$AN$7:$AN$58,CU1104)</f>
        <v>1</v>
      </c>
      <c r="DC1104" s="14">
        <f t="shared" si="1101"/>
        <v>8</v>
      </c>
      <c r="DD1104" s="14">
        <f>INDEX(属性投放!$AO$7:$AO$58,DC1104)</f>
        <v>38</v>
      </c>
      <c r="DE1104" s="14" t="s">
        <v>538</v>
      </c>
      <c r="DF1104" s="14">
        <f>INDEX(属性投放!$BK$6:$BK$85,(CV1104-2)*20+CZ1104)</f>
        <v>35</v>
      </c>
      <c r="DG1104" s="14">
        <f>SUMIFS(DF$5:DF1104,$CT$5:$CT1104,"="&amp;$CT1104)</f>
        <v>200</v>
      </c>
      <c r="DH1104" s="14" t="s">
        <v>539</v>
      </c>
      <c r="DI1104" s="14">
        <f>INDEX(属性投放!$BL$6:$BL$85,(CV1104-2)*20+CZ1104)</f>
        <v>18</v>
      </c>
      <c r="DJ1104" s="14">
        <f>SUMIFS(DI$5:DI1104,$CT$5:$CT1104,"="&amp;$CT1104)</f>
        <v>102</v>
      </c>
      <c r="DK1104" s="14" t="s">
        <v>540</v>
      </c>
      <c r="DL1104" s="14">
        <f>INDEX(属性投放!$BM$6:$BM$85,(CV1104-2)*20+CZ1104)</f>
        <v>245</v>
      </c>
      <c r="DM1104" s="14">
        <f>SUMIFS(DL$5:DL1104,$CT$5:$CT1104,"="&amp;$CT1104)</f>
        <v>1295</v>
      </c>
    </row>
    <row r="1105" spans="97:117" ht="16.5" x14ac:dyDescent="0.2">
      <c r="CS1105" s="13">
        <v>1101</v>
      </c>
      <c r="CT1105" s="13">
        <f t="shared" si="1102"/>
        <v>22</v>
      </c>
      <c r="CU1105" s="13">
        <f t="shared" si="1103"/>
        <v>9</v>
      </c>
      <c r="CV1105" s="14">
        <f t="shared" si="1104"/>
        <v>2</v>
      </c>
      <c r="CW1105" s="14">
        <f t="shared" si="1105"/>
        <v>1102050</v>
      </c>
      <c r="CX1105" s="14" t="str">
        <f>INDEX($O$6:$O$50,CT1105)&amp;"-"&amp;INDEX(属性投放!$AB$7:$AB$50,CZ1105)&amp;"-魂火-"&amp;DB1105</f>
        <v>柠檬精-众合+1-魂火-2</v>
      </c>
      <c r="CY1105" s="25" t="s">
        <v>142</v>
      </c>
      <c r="CZ1105" s="14">
        <f>INDEX(属性投放!$AM$7:$AM$58,CU1105)</f>
        <v>5</v>
      </c>
      <c r="DA1105" s="14" t="s">
        <v>537</v>
      </c>
      <c r="DB1105" s="14">
        <f>INDEX(属性投放!$AN$7:$AN$58,CU1105)</f>
        <v>2</v>
      </c>
      <c r="DC1105" s="14">
        <f t="shared" si="1101"/>
        <v>9</v>
      </c>
      <c r="DD1105" s="14">
        <f>INDEX(属性投放!$AO$7:$AO$58,DC1105)</f>
        <v>40</v>
      </c>
      <c r="DE1105" s="14" t="s">
        <v>538</v>
      </c>
      <c r="DF1105" s="14">
        <f>INDEX(属性投放!$BK$6:$BK$85,(CV1105-2)*20+CZ1105)</f>
        <v>35</v>
      </c>
      <c r="DG1105" s="14">
        <f>SUMIFS(DF$5:DF1105,$CT$5:$CT1105,"="&amp;$CT1105)</f>
        <v>235</v>
      </c>
      <c r="DH1105" s="14" t="s">
        <v>539</v>
      </c>
      <c r="DI1105" s="14">
        <f>INDEX(属性投放!$BL$6:$BL$85,(CV1105-2)*20+CZ1105)</f>
        <v>18</v>
      </c>
      <c r="DJ1105" s="14">
        <f>SUMIFS(DI$5:DI1105,$CT$5:$CT1105,"="&amp;$CT1105)</f>
        <v>120</v>
      </c>
      <c r="DK1105" s="14" t="s">
        <v>540</v>
      </c>
      <c r="DL1105" s="14">
        <f>INDEX(属性投放!$BM$6:$BM$85,(CV1105-2)*20+CZ1105)</f>
        <v>245</v>
      </c>
      <c r="DM1105" s="14">
        <f>SUMIFS(DL$5:DL1105,$CT$5:$CT1105,"="&amp;$CT1105)</f>
        <v>1540</v>
      </c>
    </row>
    <row r="1106" spans="97:117" ht="16.5" x14ac:dyDescent="0.2">
      <c r="CS1106" s="13">
        <v>1102</v>
      </c>
      <c r="CT1106" s="13">
        <f t="shared" si="1102"/>
        <v>22</v>
      </c>
      <c r="CU1106" s="13">
        <f t="shared" si="1103"/>
        <v>10</v>
      </c>
      <c r="CV1106" s="14">
        <f t="shared" si="1104"/>
        <v>2</v>
      </c>
      <c r="CW1106" s="14">
        <f t="shared" si="1105"/>
        <v>1102050</v>
      </c>
      <c r="CX1106" s="14" t="str">
        <f>INDEX($O$6:$O$50,CT1106)&amp;"-"&amp;INDEX(属性投放!$AB$7:$AB$50,CZ1106)&amp;"-魂火-"&amp;DB1106</f>
        <v>柠檬精-众合+2-魂火-1</v>
      </c>
      <c r="CY1106" s="25" t="s">
        <v>142</v>
      </c>
      <c r="CZ1106" s="14">
        <f>INDEX(属性投放!$AM$7:$AM$58,CU1106)</f>
        <v>6</v>
      </c>
      <c r="DA1106" s="14" t="s">
        <v>537</v>
      </c>
      <c r="DB1106" s="14">
        <f>INDEX(属性投放!$AN$7:$AN$58,CU1106)</f>
        <v>1</v>
      </c>
      <c r="DC1106" s="14">
        <f t="shared" si="1101"/>
        <v>10</v>
      </c>
      <c r="DD1106" s="14">
        <f>INDEX(属性投放!$AO$7:$AO$58,DC1106)</f>
        <v>43</v>
      </c>
      <c r="DE1106" s="14" t="s">
        <v>538</v>
      </c>
      <c r="DF1106" s="14">
        <f>INDEX(属性投放!$BK$6:$BK$85,(CV1106-2)*20+CZ1106)</f>
        <v>40</v>
      </c>
      <c r="DG1106" s="14">
        <f>SUMIFS(DF$5:DF1106,$CT$5:$CT1106,"="&amp;$CT1106)</f>
        <v>275</v>
      </c>
      <c r="DH1106" s="14" t="s">
        <v>539</v>
      </c>
      <c r="DI1106" s="14">
        <f>INDEX(属性投放!$BL$6:$BL$85,(CV1106-2)*20+CZ1106)</f>
        <v>20</v>
      </c>
      <c r="DJ1106" s="14">
        <f>SUMIFS(DI$5:DI1106,$CT$5:$CT1106,"="&amp;$CT1106)</f>
        <v>140</v>
      </c>
      <c r="DK1106" s="14" t="s">
        <v>540</v>
      </c>
      <c r="DL1106" s="14">
        <f>INDEX(属性投放!$BM$6:$BM$85,(CV1106-2)*20+CZ1106)</f>
        <v>280</v>
      </c>
      <c r="DM1106" s="14">
        <f>SUMIFS(DL$5:DL1106,$CT$5:$CT1106,"="&amp;$CT1106)</f>
        <v>1820</v>
      </c>
    </row>
    <row r="1107" spans="97:117" ht="16.5" x14ac:dyDescent="0.2">
      <c r="CS1107" s="13">
        <v>1103</v>
      </c>
      <c r="CT1107" s="13">
        <f t="shared" si="1102"/>
        <v>22</v>
      </c>
      <c r="CU1107" s="13">
        <f t="shared" si="1103"/>
        <v>11</v>
      </c>
      <c r="CV1107" s="14">
        <f t="shared" si="1104"/>
        <v>2</v>
      </c>
      <c r="CW1107" s="14">
        <f t="shared" si="1105"/>
        <v>1102050</v>
      </c>
      <c r="CX1107" s="14" t="str">
        <f>INDEX($O$6:$O$50,CT1107)&amp;"-"&amp;INDEX(属性投放!$AB$7:$AB$50,CZ1107)&amp;"-魂火-"&amp;DB1107</f>
        <v>柠檬精-众合+2-魂火-2</v>
      </c>
      <c r="CY1107" s="25" t="s">
        <v>142</v>
      </c>
      <c r="CZ1107" s="14">
        <f>INDEX(属性投放!$AM$7:$AM$58,CU1107)</f>
        <v>6</v>
      </c>
      <c r="DA1107" s="14" t="s">
        <v>537</v>
      </c>
      <c r="DB1107" s="14">
        <f>INDEX(属性投放!$AN$7:$AN$58,CU1107)</f>
        <v>2</v>
      </c>
      <c r="DC1107" s="14">
        <f t="shared" si="1101"/>
        <v>11</v>
      </c>
      <c r="DD1107" s="14">
        <f>INDEX(属性投放!$AO$7:$AO$58,DC1107)</f>
        <v>45</v>
      </c>
      <c r="DE1107" s="14" t="s">
        <v>538</v>
      </c>
      <c r="DF1107" s="14">
        <f>INDEX(属性投放!$BK$6:$BK$85,(CV1107-2)*20+CZ1107)</f>
        <v>40</v>
      </c>
      <c r="DG1107" s="14">
        <f>SUMIFS(DF$5:DF1107,$CT$5:$CT1107,"="&amp;$CT1107)</f>
        <v>315</v>
      </c>
      <c r="DH1107" s="14" t="s">
        <v>539</v>
      </c>
      <c r="DI1107" s="14">
        <f>INDEX(属性投放!$BL$6:$BL$85,(CV1107-2)*20+CZ1107)</f>
        <v>20</v>
      </c>
      <c r="DJ1107" s="14">
        <f>SUMIFS(DI$5:DI1107,$CT$5:$CT1107,"="&amp;$CT1107)</f>
        <v>160</v>
      </c>
      <c r="DK1107" s="14" t="s">
        <v>540</v>
      </c>
      <c r="DL1107" s="14">
        <f>INDEX(属性投放!$BM$6:$BM$85,(CV1107-2)*20+CZ1107)</f>
        <v>280</v>
      </c>
      <c r="DM1107" s="14">
        <f>SUMIFS(DL$5:DL1107,$CT$5:$CT1107,"="&amp;$CT1107)</f>
        <v>2100</v>
      </c>
    </row>
    <row r="1108" spans="97:117" ht="16.5" x14ac:dyDescent="0.2">
      <c r="CS1108" s="13">
        <v>1104</v>
      </c>
      <c r="CT1108" s="13">
        <f t="shared" si="1102"/>
        <v>22</v>
      </c>
      <c r="CU1108" s="13">
        <f t="shared" si="1103"/>
        <v>12</v>
      </c>
      <c r="CV1108" s="14">
        <f t="shared" si="1104"/>
        <v>2</v>
      </c>
      <c r="CW1108" s="14">
        <f t="shared" si="1105"/>
        <v>1102050</v>
      </c>
      <c r="CX1108" s="14" t="str">
        <f>INDEX($O$6:$O$50,CT1108)&amp;"-"&amp;INDEX(属性投放!$AB$7:$AB$50,CZ1108)&amp;"-魂火-"&amp;DB1108</f>
        <v>柠檬精-叫唤-魂火-1</v>
      </c>
      <c r="CY1108" s="25" t="s">
        <v>142</v>
      </c>
      <c r="CZ1108" s="14">
        <f>INDEX(属性投放!$AM$7:$AM$58,CU1108)</f>
        <v>7</v>
      </c>
      <c r="DA1108" s="14" t="s">
        <v>537</v>
      </c>
      <c r="DB1108" s="14">
        <f>INDEX(属性投放!$AN$7:$AN$58,CU1108)</f>
        <v>1</v>
      </c>
      <c r="DC1108" s="14">
        <f t="shared" si="1101"/>
        <v>12</v>
      </c>
      <c r="DD1108" s="14">
        <f>INDEX(属性投放!$AO$7:$AO$58,DC1108)</f>
        <v>48</v>
      </c>
      <c r="DE1108" s="14" t="s">
        <v>538</v>
      </c>
      <c r="DF1108" s="14">
        <f>INDEX(属性投放!$BK$6:$BK$85,(CV1108-2)*20+CZ1108)</f>
        <v>55</v>
      </c>
      <c r="DG1108" s="14">
        <f>SUMIFS(DF$5:DF1108,$CT$5:$CT1108,"="&amp;$CT1108)</f>
        <v>370</v>
      </c>
      <c r="DH1108" s="14" t="s">
        <v>539</v>
      </c>
      <c r="DI1108" s="14">
        <f>INDEX(属性投放!$BL$6:$BL$85,(CV1108-2)*20+CZ1108)</f>
        <v>28</v>
      </c>
      <c r="DJ1108" s="14">
        <f>SUMIFS(DI$5:DI1108,$CT$5:$CT1108,"="&amp;$CT1108)</f>
        <v>188</v>
      </c>
      <c r="DK1108" s="14" t="s">
        <v>540</v>
      </c>
      <c r="DL1108" s="14">
        <f>INDEX(属性投放!$BM$6:$BM$85,(CV1108-2)*20+CZ1108)</f>
        <v>440</v>
      </c>
      <c r="DM1108" s="14">
        <f>SUMIFS(DL$5:DL1108,$CT$5:$CT1108,"="&amp;$CT1108)</f>
        <v>2540</v>
      </c>
    </row>
    <row r="1109" spans="97:117" ht="16.5" x14ac:dyDescent="0.2">
      <c r="CS1109" s="13">
        <v>1105</v>
      </c>
      <c r="CT1109" s="13">
        <f t="shared" si="1102"/>
        <v>22</v>
      </c>
      <c r="CU1109" s="13">
        <f t="shared" si="1103"/>
        <v>13</v>
      </c>
      <c r="CV1109" s="14">
        <f t="shared" si="1104"/>
        <v>2</v>
      </c>
      <c r="CW1109" s="14">
        <f t="shared" si="1105"/>
        <v>1102050</v>
      </c>
      <c r="CX1109" s="14" t="str">
        <f>INDEX($O$6:$O$50,CT1109)&amp;"-"&amp;INDEX(属性投放!$AB$7:$AB$50,CZ1109)&amp;"-魂火-"&amp;DB1109</f>
        <v>柠檬精-叫唤-魂火-2</v>
      </c>
      <c r="CY1109" s="25" t="s">
        <v>142</v>
      </c>
      <c r="CZ1109" s="14">
        <f>INDEX(属性投放!$AM$7:$AM$58,CU1109)</f>
        <v>7</v>
      </c>
      <c r="DA1109" s="14" t="s">
        <v>537</v>
      </c>
      <c r="DB1109" s="14">
        <f>INDEX(属性投放!$AN$7:$AN$58,CU1109)</f>
        <v>2</v>
      </c>
      <c r="DC1109" s="14">
        <f t="shared" si="1101"/>
        <v>13</v>
      </c>
      <c r="DD1109" s="14">
        <f>INDEX(属性投放!$AO$7:$AO$58,DC1109)</f>
        <v>50</v>
      </c>
      <c r="DE1109" s="14" t="s">
        <v>538</v>
      </c>
      <c r="DF1109" s="14">
        <f>INDEX(属性投放!$BK$6:$BK$85,(CV1109-2)*20+CZ1109)</f>
        <v>55</v>
      </c>
      <c r="DG1109" s="14">
        <f>SUMIFS(DF$5:DF1109,$CT$5:$CT1109,"="&amp;$CT1109)</f>
        <v>425</v>
      </c>
      <c r="DH1109" s="14" t="s">
        <v>539</v>
      </c>
      <c r="DI1109" s="14">
        <f>INDEX(属性投放!$BL$6:$BL$85,(CV1109-2)*20+CZ1109)</f>
        <v>28</v>
      </c>
      <c r="DJ1109" s="14">
        <f>SUMIFS(DI$5:DI1109,$CT$5:$CT1109,"="&amp;$CT1109)</f>
        <v>216</v>
      </c>
      <c r="DK1109" s="14" t="s">
        <v>540</v>
      </c>
      <c r="DL1109" s="14">
        <f>INDEX(属性投放!$BM$6:$BM$85,(CV1109-2)*20+CZ1109)</f>
        <v>440</v>
      </c>
      <c r="DM1109" s="14">
        <f>SUMIFS(DL$5:DL1109,$CT$5:$CT1109,"="&amp;$CT1109)</f>
        <v>2980</v>
      </c>
    </row>
    <row r="1110" spans="97:117" ht="16.5" x14ac:dyDescent="0.2">
      <c r="CS1110" s="13">
        <v>1106</v>
      </c>
      <c r="CT1110" s="13">
        <f t="shared" si="1102"/>
        <v>22</v>
      </c>
      <c r="CU1110" s="13">
        <f t="shared" si="1103"/>
        <v>14</v>
      </c>
      <c r="CV1110" s="14">
        <f t="shared" si="1104"/>
        <v>2</v>
      </c>
      <c r="CW1110" s="14">
        <f t="shared" si="1105"/>
        <v>1102050</v>
      </c>
      <c r="CX1110" s="14" t="str">
        <f>INDEX($O$6:$O$50,CT1110)&amp;"-"&amp;INDEX(属性投放!$AB$7:$AB$50,CZ1110)&amp;"-魂火-"&amp;DB1110</f>
        <v>柠檬精-叫唤+1-魂火-1</v>
      </c>
      <c r="CY1110" s="25" t="s">
        <v>142</v>
      </c>
      <c r="CZ1110" s="14">
        <f>INDEX(属性投放!$AM$7:$AM$58,CU1110)</f>
        <v>8</v>
      </c>
      <c r="DA1110" s="14" t="s">
        <v>537</v>
      </c>
      <c r="DB1110" s="14">
        <f>INDEX(属性投放!$AN$7:$AN$58,CU1110)</f>
        <v>1</v>
      </c>
      <c r="DC1110" s="14">
        <f t="shared" si="1101"/>
        <v>14</v>
      </c>
      <c r="DD1110" s="14">
        <f>INDEX(属性投放!$AO$7:$AO$58,DC1110)</f>
        <v>53</v>
      </c>
      <c r="DE1110" s="14" t="s">
        <v>538</v>
      </c>
      <c r="DF1110" s="14">
        <f>INDEX(属性投放!$BK$6:$BK$85,(CV1110-2)*20+CZ1110)</f>
        <v>70</v>
      </c>
      <c r="DG1110" s="14">
        <f>SUMIFS(DF$5:DF1110,$CT$5:$CT1110,"="&amp;$CT1110)</f>
        <v>495</v>
      </c>
      <c r="DH1110" s="14" t="s">
        <v>539</v>
      </c>
      <c r="DI1110" s="14">
        <f>INDEX(属性投放!$BL$6:$BL$85,(CV1110-2)*20+CZ1110)</f>
        <v>35</v>
      </c>
      <c r="DJ1110" s="14">
        <f>SUMIFS(DI$5:DI1110,$CT$5:$CT1110,"="&amp;$CT1110)</f>
        <v>251</v>
      </c>
      <c r="DK1110" s="14" t="s">
        <v>540</v>
      </c>
      <c r="DL1110" s="14">
        <f>INDEX(属性投放!$BM$6:$BM$85,(CV1110-2)*20+CZ1110)</f>
        <v>560</v>
      </c>
      <c r="DM1110" s="14">
        <f>SUMIFS(DL$5:DL1110,$CT$5:$CT1110,"="&amp;$CT1110)</f>
        <v>3540</v>
      </c>
    </row>
    <row r="1111" spans="97:117" ht="16.5" x14ac:dyDescent="0.2">
      <c r="CS1111" s="13">
        <v>1107</v>
      </c>
      <c r="CT1111" s="13">
        <f t="shared" si="1102"/>
        <v>22</v>
      </c>
      <c r="CU1111" s="13">
        <f t="shared" si="1103"/>
        <v>15</v>
      </c>
      <c r="CV1111" s="14">
        <f t="shared" si="1104"/>
        <v>2</v>
      </c>
      <c r="CW1111" s="14">
        <f t="shared" si="1105"/>
        <v>1102050</v>
      </c>
      <c r="CX1111" s="14" t="str">
        <f>INDEX($O$6:$O$50,CT1111)&amp;"-"&amp;INDEX(属性投放!$AB$7:$AB$50,CZ1111)&amp;"-魂火-"&amp;DB1111</f>
        <v>柠檬精-叫唤+1-魂火-2</v>
      </c>
      <c r="CY1111" s="25" t="s">
        <v>142</v>
      </c>
      <c r="CZ1111" s="14">
        <f>INDEX(属性投放!$AM$7:$AM$58,CU1111)</f>
        <v>8</v>
      </c>
      <c r="DA1111" s="14" t="s">
        <v>537</v>
      </c>
      <c r="DB1111" s="14">
        <f>INDEX(属性投放!$AN$7:$AN$58,CU1111)</f>
        <v>2</v>
      </c>
      <c r="DC1111" s="14">
        <f t="shared" si="1101"/>
        <v>15</v>
      </c>
      <c r="DD1111" s="14">
        <f>INDEX(属性投放!$AO$7:$AO$58,DC1111)</f>
        <v>55</v>
      </c>
      <c r="DE1111" s="14" t="s">
        <v>538</v>
      </c>
      <c r="DF1111" s="14">
        <f>INDEX(属性投放!$BK$6:$BK$85,(CV1111-2)*20+CZ1111)</f>
        <v>70</v>
      </c>
      <c r="DG1111" s="14">
        <f>SUMIFS(DF$5:DF1111,$CT$5:$CT1111,"="&amp;$CT1111)</f>
        <v>565</v>
      </c>
      <c r="DH1111" s="14" t="s">
        <v>539</v>
      </c>
      <c r="DI1111" s="14">
        <f>INDEX(属性投放!$BL$6:$BL$85,(CV1111-2)*20+CZ1111)</f>
        <v>35</v>
      </c>
      <c r="DJ1111" s="14">
        <f>SUMIFS(DI$5:DI1111,$CT$5:$CT1111,"="&amp;$CT1111)</f>
        <v>286</v>
      </c>
      <c r="DK1111" s="14" t="s">
        <v>540</v>
      </c>
      <c r="DL1111" s="14">
        <f>INDEX(属性投放!$BM$6:$BM$85,(CV1111-2)*20+CZ1111)</f>
        <v>560</v>
      </c>
      <c r="DM1111" s="14">
        <f>SUMIFS(DL$5:DL1111,$CT$5:$CT1111,"="&amp;$CT1111)</f>
        <v>4100</v>
      </c>
    </row>
    <row r="1112" spans="97:117" ht="16.5" x14ac:dyDescent="0.2">
      <c r="CS1112" s="13">
        <v>1108</v>
      </c>
      <c r="CT1112" s="13">
        <f t="shared" si="1102"/>
        <v>22</v>
      </c>
      <c r="CU1112" s="13">
        <f t="shared" si="1103"/>
        <v>16</v>
      </c>
      <c r="CV1112" s="14">
        <f t="shared" si="1104"/>
        <v>2</v>
      </c>
      <c r="CW1112" s="14">
        <f t="shared" si="1105"/>
        <v>1102050</v>
      </c>
      <c r="CX1112" s="14" t="str">
        <f>INDEX($O$6:$O$50,CT1112)&amp;"-"&amp;INDEX(属性投放!$AB$7:$AB$50,CZ1112)&amp;"-魂火-"&amp;DB1112</f>
        <v>柠檬精-叫唤+2-魂火-1</v>
      </c>
      <c r="CY1112" s="25" t="s">
        <v>142</v>
      </c>
      <c r="CZ1112" s="14">
        <f>INDEX(属性投放!$AM$7:$AM$58,CU1112)</f>
        <v>9</v>
      </c>
      <c r="DA1112" s="14" t="s">
        <v>537</v>
      </c>
      <c r="DB1112" s="14">
        <f>INDEX(属性投放!$AN$7:$AN$58,CU1112)</f>
        <v>1</v>
      </c>
      <c r="DC1112" s="14">
        <f t="shared" si="1101"/>
        <v>16</v>
      </c>
      <c r="DD1112" s="14">
        <f>INDEX(属性投放!$AO$7:$AO$58,DC1112)</f>
        <v>58</v>
      </c>
      <c r="DE1112" s="14" t="s">
        <v>538</v>
      </c>
      <c r="DF1112" s="14">
        <f>INDEX(属性投放!$BK$6:$BK$85,(CV1112-2)*20+CZ1112)</f>
        <v>80</v>
      </c>
      <c r="DG1112" s="14">
        <f>SUMIFS(DF$5:DF1112,$CT$5:$CT1112,"="&amp;$CT1112)</f>
        <v>645</v>
      </c>
      <c r="DH1112" s="14" t="s">
        <v>539</v>
      </c>
      <c r="DI1112" s="14">
        <f>INDEX(属性投放!$BL$6:$BL$85,(CV1112-2)*20+CZ1112)</f>
        <v>40</v>
      </c>
      <c r="DJ1112" s="14">
        <f>SUMIFS(DI$5:DI1112,$CT$5:$CT1112,"="&amp;$CT1112)</f>
        <v>326</v>
      </c>
      <c r="DK1112" s="14" t="s">
        <v>540</v>
      </c>
      <c r="DL1112" s="14">
        <f>INDEX(属性投放!$BM$6:$BM$85,(CV1112-2)*20+CZ1112)</f>
        <v>640</v>
      </c>
      <c r="DM1112" s="14">
        <f>SUMIFS(DL$5:DL1112,$CT$5:$CT1112,"="&amp;$CT1112)</f>
        <v>4740</v>
      </c>
    </row>
    <row r="1113" spans="97:117" ht="16.5" x14ac:dyDescent="0.2">
      <c r="CS1113" s="13">
        <v>1109</v>
      </c>
      <c r="CT1113" s="13">
        <f t="shared" si="1102"/>
        <v>22</v>
      </c>
      <c r="CU1113" s="13">
        <f t="shared" si="1103"/>
        <v>17</v>
      </c>
      <c r="CV1113" s="14">
        <f t="shared" si="1104"/>
        <v>2</v>
      </c>
      <c r="CW1113" s="14">
        <f t="shared" si="1105"/>
        <v>1102050</v>
      </c>
      <c r="CX1113" s="14" t="str">
        <f>INDEX($O$6:$O$50,CT1113)&amp;"-"&amp;INDEX(属性投放!$AB$7:$AB$50,CZ1113)&amp;"-魂火-"&amp;DB1113</f>
        <v>柠檬精-叫唤+2-魂火-2</v>
      </c>
      <c r="CY1113" s="25" t="s">
        <v>142</v>
      </c>
      <c r="CZ1113" s="14">
        <f>INDEX(属性投放!$AM$7:$AM$58,CU1113)</f>
        <v>9</v>
      </c>
      <c r="DA1113" s="14" t="s">
        <v>537</v>
      </c>
      <c r="DB1113" s="14">
        <f>INDEX(属性投放!$AN$7:$AN$58,CU1113)</f>
        <v>2</v>
      </c>
      <c r="DC1113" s="14">
        <f t="shared" si="1101"/>
        <v>17</v>
      </c>
      <c r="DD1113" s="14">
        <f>INDEX(属性投放!$AO$7:$AO$58,DC1113)</f>
        <v>60</v>
      </c>
      <c r="DE1113" s="14" t="s">
        <v>538</v>
      </c>
      <c r="DF1113" s="14">
        <f>INDEX(属性投放!$BK$6:$BK$85,(CV1113-2)*20+CZ1113)</f>
        <v>80</v>
      </c>
      <c r="DG1113" s="14">
        <f>SUMIFS(DF$5:DF1113,$CT$5:$CT1113,"="&amp;$CT1113)</f>
        <v>725</v>
      </c>
      <c r="DH1113" s="14" t="s">
        <v>539</v>
      </c>
      <c r="DI1113" s="14">
        <f>INDEX(属性投放!$BL$6:$BL$85,(CV1113-2)*20+CZ1113)</f>
        <v>40</v>
      </c>
      <c r="DJ1113" s="14">
        <f>SUMIFS(DI$5:DI1113,$CT$5:$CT1113,"="&amp;$CT1113)</f>
        <v>366</v>
      </c>
      <c r="DK1113" s="14" t="s">
        <v>540</v>
      </c>
      <c r="DL1113" s="14">
        <f>INDEX(属性投放!$BM$6:$BM$85,(CV1113-2)*20+CZ1113)</f>
        <v>640</v>
      </c>
      <c r="DM1113" s="14">
        <f>SUMIFS(DL$5:DL1113,$CT$5:$CT1113,"="&amp;$CT1113)</f>
        <v>5380</v>
      </c>
    </row>
    <row r="1114" spans="97:117" ht="16.5" x14ac:dyDescent="0.2">
      <c r="CS1114" s="13">
        <v>1110</v>
      </c>
      <c r="CT1114" s="13">
        <f t="shared" si="1102"/>
        <v>22</v>
      </c>
      <c r="CU1114" s="13">
        <f t="shared" si="1103"/>
        <v>18</v>
      </c>
      <c r="CV1114" s="14">
        <f t="shared" si="1104"/>
        <v>2</v>
      </c>
      <c r="CW1114" s="14">
        <f t="shared" si="1105"/>
        <v>1102050</v>
      </c>
      <c r="CX1114" s="14" t="str">
        <f>INDEX($O$6:$O$50,CT1114)&amp;"-"&amp;INDEX(属性投放!$AB$7:$AB$50,CZ1114)&amp;"-魂火-"&amp;DB1114</f>
        <v>柠檬精-叫唤+2-魂火-3</v>
      </c>
      <c r="CY1114" s="25" t="s">
        <v>142</v>
      </c>
      <c r="CZ1114" s="14">
        <f>INDEX(属性投放!$AM$7:$AM$58,CU1114)</f>
        <v>9</v>
      </c>
      <c r="DA1114" s="14" t="s">
        <v>537</v>
      </c>
      <c r="DB1114" s="14">
        <f>INDEX(属性投放!$AN$7:$AN$58,CU1114)</f>
        <v>3</v>
      </c>
      <c r="DC1114" s="14">
        <f t="shared" si="1101"/>
        <v>18</v>
      </c>
      <c r="DD1114" s="14">
        <f>INDEX(属性投放!$AO$7:$AO$58,DC1114)</f>
        <v>63</v>
      </c>
      <c r="DE1114" s="14" t="s">
        <v>538</v>
      </c>
      <c r="DF1114" s="14">
        <f>INDEX(属性投放!$BK$6:$BK$85,(CV1114-2)*20+CZ1114)</f>
        <v>80</v>
      </c>
      <c r="DG1114" s="14">
        <f>SUMIFS(DF$5:DF1114,$CT$5:$CT1114,"="&amp;$CT1114)</f>
        <v>805</v>
      </c>
      <c r="DH1114" s="14" t="s">
        <v>539</v>
      </c>
      <c r="DI1114" s="14">
        <f>INDEX(属性投放!$BL$6:$BL$85,(CV1114-2)*20+CZ1114)</f>
        <v>40</v>
      </c>
      <c r="DJ1114" s="14">
        <f>SUMIFS(DI$5:DI1114,$CT$5:$CT1114,"="&amp;$CT1114)</f>
        <v>406</v>
      </c>
      <c r="DK1114" s="14" t="s">
        <v>540</v>
      </c>
      <c r="DL1114" s="14">
        <f>INDEX(属性投放!$BM$6:$BM$85,(CV1114-2)*20+CZ1114)</f>
        <v>640</v>
      </c>
      <c r="DM1114" s="14">
        <f>SUMIFS(DL$5:DL1114,$CT$5:$CT1114,"="&amp;$CT1114)</f>
        <v>6020</v>
      </c>
    </row>
    <row r="1115" spans="97:117" ht="16.5" x14ac:dyDescent="0.2">
      <c r="CS1115" s="13">
        <v>1111</v>
      </c>
      <c r="CT1115" s="13">
        <f t="shared" si="1102"/>
        <v>22</v>
      </c>
      <c r="CU1115" s="13">
        <f t="shared" si="1103"/>
        <v>19</v>
      </c>
      <c r="CV1115" s="14">
        <f t="shared" si="1104"/>
        <v>2</v>
      </c>
      <c r="CW1115" s="14">
        <f t="shared" si="1105"/>
        <v>1102050</v>
      </c>
      <c r="CX1115" s="14" t="str">
        <f>INDEX($O$6:$O$50,CT1115)&amp;"-"&amp;INDEX(属性投放!$AB$7:$AB$50,CZ1115)&amp;"-魂火-"&amp;DB1115</f>
        <v>柠檬精-大叫唤-魂火-1</v>
      </c>
      <c r="CY1115" s="25" t="s">
        <v>142</v>
      </c>
      <c r="CZ1115" s="14">
        <f>INDEX(属性投放!$AM$7:$AM$58,CU1115)</f>
        <v>10</v>
      </c>
      <c r="DA1115" s="14" t="s">
        <v>537</v>
      </c>
      <c r="DB1115" s="14">
        <f>INDEX(属性投放!$AN$7:$AN$58,CU1115)</f>
        <v>1</v>
      </c>
      <c r="DC1115" s="14">
        <f t="shared" si="1101"/>
        <v>19</v>
      </c>
      <c r="DD1115" s="14">
        <f>INDEX(属性投放!$AO$7:$AO$58,DC1115)</f>
        <v>65</v>
      </c>
      <c r="DE1115" s="14" t="s">
        <v>538</v>
      </c>
      <c r="DF1115" s="14">
        <f>INDEX(属性投放!$BK$6:$BK$85,(CV1115-2)*20+CZ1115)</f>
        <v>100</v>
      </c>
      <c r="DG1115" s="14">
        <f>SUMIFS(DF$5:DF1115,$CT$5:$CT1115,"="&amp;$CT1115)</f>
        <v>905</v>
      </c>
      <c r="DH1115" s="14" t="s">
        <v>539</v>
      </c>
      <c r="DI1115" s="14">
        <f>INDEX(属性投放!$BL$6:$BL$85,(CV1115-2)*20+CZ1115)</f>
        <v>50</v>
      </c>
      <c r="DJ1115" s="14">
        <f>SUMIFS(DI$5:DI1115,$CT$5:$CT1115,"="&amp;$CT1115)</f>
        <v>456</v>
      </c>
      <c r="DK1115" s="14" t="s">
        <v>540</v>
      </c>
      <c r="DL1115" s="14">
        <f>INDEX(属性投放!$BM$6:$BM$85,(CV1115-2)*20+CZ1115)</f>
        <v>900</v>
      </c>
      <c r="DM1115" s="14">
        <f>SUMIFS(DL$5:DL1115,$CT$5:$CT1115,"="&amp;$CT1115)</f>
        <v>6920</v>
      </c>
    </row>
    <row r="1116" spans="97:117" ht="16.5" x14ac:dyDescent="0.2">
      <c r="CS1116" s="13">
        <v>1112</v>
      </c>
      <c r="CT1116" s="13">
        <f t="shared" si="1102"/>
        <v>22</v>
      </c>
      <c r="CU1116" s="13">
        <f t="shared" si="1103"/>
        <v>20</v>
      </c>
      <c r="CV1116" s="14">
        <f t="shared" si="1104"/>
        <v>2</v>
      </c>
      <c r="CW1116" s="14">
        <f t="shared" si="1105"/>
        <v>1102050</v>
      </c>
      <c r="CX1116" s="14" t="str">
        <f>INDEX($O$6:$O$50,CT1116)&amp;"-"&amp;INDEX(属性投放!$AB$7:$AB$50,CZ1116)&amp;"-魂火-"&amp;DB1116</f>
        <v>柠檬精-大叫唤-魂火-2</v>
      </c>
      <c r="CY1116" s="25" t="s">
        <v>142</v>
      </c>
      <c r="CZ1116" s="14">
        <f>INDEX(属性投放!$AM$7:$AM$58,CU1116)</f>
        <v>10</v>
      </c>
      <c r="DA1116" s="14" t="s">
        <v>537</v>
      </c>
      <c r="DB1116" s="14">
        <f>INDEX(属性投放!$AN$7:$AN$58,CU1116)</f>
        <v>2</v>
      </c>
      <c r="DC1116" s="14">
        <f t="shared" si="1101"/>
        <v>20</v>
      </c>
      <c r="DD1116" s="14">
        <f>INDEX(属性投放!$AO$7:$AO$58,DC1116)</f>
        <v>68</v>
      </c>
      <c r="DE1116" s="14" t="s">
        <v>538</v>
      </c>
      <c r="DF1116" s="14">
        <f>INDEX(属性投放!$BK$6:$BK$85,(CV1116-2)*20+CZ1116)</f>
        <v>100</v>
      </c>
      <c r="DG1116" s="14">
        <f>SUMIFS(DF$5:DF1116,$CT$5:$CT1116,"="&amp;$CT1116)</f>
        <v>1005</v>
      </c>
      <c r="DH1116" s="14" t="s">
        <v>539</v>
      </c>
      <c r="DI1116" s="14">
        <f>INDEX(属性投放!$BL$6:$BL$85,(CV1116-2)*20+CZ1116)</f>
        <v>50</v>
      </c>
      <c r="DJ1116" s="14">
        <f>SUMIFS(DI$5:DI1116,$CT$5:$CT1116,"="&amp;$CT1116)</f>
        <v>506</v>
      </c>
      <c r="DK1116" s="14" t="s">
        <v>540</v>
      </c>
      <c r="DL1116" s="14">
        <f>INDEX(属性投放!$BM$6:$BM$85,(CV1116-2)*20+CZ1116)</f>
        <v>900</v>
      </c>
      <c r="DM1116" s="14">
        <f>SUMIFS(DL$5:DL1116,$CT$5:$CT1116,"="&amp;$CT1116)</f>
        <v>7820</v>
      </c>
    </row>
    <row r="1117" spans="97:117" ht="16.5" x14ac:dyDescent="0.2">
      <c r="CS1117" s="13">
        <v>1113</v>
      </c>
      <c r="CT1117" s="13">
        <f t="shared" si="1102"/>
        <v>22</v>
      </c>
      <c r="CU1117" s="13">
        <f t="shared" si="1103"/>
        <v>21</v>
      </c>
      <c r="CV1117" s="14">
        <f t="shared" si="1104"/>
        <v>2</v>
      </c>
      <c r="CW1117" s="14">
        <f t="shared" si="1105"/>
        <v>1102050</v>
      </c>
      <c r="CX1117" s="14" t="str">
        <f>INDEX($O$6:$O$50,CT1117)&amp;"-"&amp;INDEX(属性投放!$AB$7:$AB$50,CZ1117)&amp;"-魂火-"&amp;DB1117</f>
        <v>柠檬精-大叫唤-魂火-3</v>
      </c>
      <c r="CY1117" s="25" t="s">
        <v>142</v>
      </c>
      <c r="CZ1117" s="14">
        <f>INDEX(属性投放!$AM$7:$AM$58,CU1117)</f>
        <v>10</v>
      </c>
      <c r="DA1117" s="14" t="s">
        <v>537</v>
      </c>
      <c r="DB1117" s="14">
        <f>INDEX(属性投放!$AN$7:$AN$58,CU1117)</f>
        <v>3</v>
      </c>
      <c r="DC1117" s="14">
        <f t="shared" si="1101"/>
        <v>21</v>
      </c>
      <c r="DD1117" s="14">
        <f>INDEX(属性投放!$AO$7:$AO$58,DC1117)</f>
        <v>70</v>
      </c>
      <c r="DE1117" s="14" t="s">
        <v>538</v>
      </c>
      <c r="DF1117" s="14">
        <f>INDEX(属性投放!$BK$6:$BK$85,(CV1117-2)*20+CZ1117)</f>
        <v>100</v>
      </c>
      <c r="DG1117" s="14">
        <f>SUMIFS(DF$5:DF1117,$CT$5:$CT1117,"="&amp;$CT1117)</f>
        <v>1105</v>
      </c>
      <c r="DH1117" s="14" t="s">
        <v>539</v>
      </c>
      <c r="DI1117" s="14">
        <f>INDEX(属性投放!$BL$6:$BL$85,(CV1117-2)*20+CZ1117)</f>
        <v>50</v>
      </c>
      <c r="DJ1117" s="14">
        <f>SUMIFS(DI$5:DI1117,$CT$5:$CT1117,"="&amp;$CT1117)</f>
        <v>556</v>
      </c>
      <c r="DK1117" s="14" t="s">
        <v>540</v>
      </c>
      <c r="DL1117" s="14">
        <f>INDEX(属性投放!$BM$6:$BM$85,(CV1117-2)*20+CZ1117)</f>
        <v>900</v>
      </c>
      <c r="DM1117" s="14">
        <f>SUMIFS(DL$5:DL1117,$CT$5:$CT1117,"="&amp;$CT1117)</f>
        <v>8720</v>
      </c>
    </row>
    <row r="1118" spans="97:117" ht="16.5" x14ac:dyDescent="0.2">
      <c r="CS1118" s="13">
        <v>1114</v>
      </c>
      <c r="CT1118" s="13">
        <f t="shared" si="1102"/>
        <v>22</v>
      </c>
      <c r="CU1118" s="13">
        <f t="shared" si="1103"/>
        <v>22</v>
      </c>
      <c r="CV1118" s="14">
        <f t="shared" si="1104"/>
        <v>2</v>
      </c>
      <c r="CW1118" s="14">
        <f t="shared" si="1105"/>
        <v>1102050</v>
      </c>
      <c r="CX1118" s="14" t="str">
        <f>INDEX($O$6:$O$50,CT1118)&amp;"-"&amp;INDEX(属性投放!$AB$7:$AB$50,CZ1118)&amp;"-魂火-"&amp;DB1118</f>
        <v>柠檬精-大叫唤+1-魂火-1</v>
      </c>
      <c r="CY1118" s="25" t="s">
        <v>142</v>
      </c>
      <c r="CZ1118" s="14">
        <f>INDEX(属性投放!$AM$7:$AM$58,CU1118)</f>
        <v>11</v>
      </c>
      <c r="DA1118" s="14" t="s">
        <v>537</v>
      </c>
      <c r="DB1118" s="14">
        <f>INDEX(属性投放!$AN$7:$AN$58,CU1118)</f>
        <v>1</v>
      </c>
      <c r="DC1118" s="14">
        <f t="shared" si="1101"/>
        <v>22</v>
      </c>
      <c r="DD1118" s="14">
        <f>INDEX(属性投放!$AO$7:$AO$58,DC1118)</f>
        <v>73</v>
      </c>
      <c r="DE1118" s="14" t="s">
        <v>538</v>
      </c>
      <c r="DF1118" s="14">
        <f>INDEX(属性投放!$BK$6:$BK$85,(CV1118-2)*20+CZ1118)</f>
        <v>130</v>
      </c>
      <c r="DG1118" s="14">
        <f>SUMIFS(DF$5:DF1118,$CT$5:$CT1118,"="&amp;$CT1118)</f>
        <v>1235</v>
      </c>
      <c r="DH1118" s="14" t="s">
        <v>539</v>
      </c>
      <c r="DI1118" s="14">
        <f>INDEX(属性投放!$BL$6:$BL$85,(CV1118-2)*20+CZ1118)</f>
        <v>65</v>
      </c>
      <c r="DJ1118" s="14">
        <f>SUMIFS(DI$5:DI1118,$CT$5:$CT1118,"="&amp;$CT1118)</f>
        <v>621</v>
      </c>
      <c r="DK1118" s="14" t="s">
        <v>540</v>
      </c>
      <c r="DL1118" s="14">
        <f>INDEX(属性投放!$BM$6:$BM$85,(CV1118-2)*20+CZ1118)</f>
        <v>1170</v>
      </c>
      <c r="DM1118" s="14">
        <f>SUMIFS(DL$5:DL1118,$CT$5:$CT1118,"="&amp;$CT1118)</f>
        <v>9890</v>
      </c>
    </row>
    <row r="1119" spans="97:117" ht="16.5" x14ac:dyDescent="0.2">
      <c r="CS1119" s="13">
        <v>1115</v>
      </c>
      <c r="CT1119" s="13">
        <f t="shared" si="1102"/>
        <v>22</v>
      </c>
      <c r="CU1119" s="13">
        <f t="shared" si="1103"/>
        <v>23</v>
      </c>
      <c r="CV1119" s="14">
        <f t="shared" si="1104"/>
        <v>2</v>
      </c>
      <c r="CW1119" s="14">
        <f t="shared" si="1105"/>
        <v>1102050</v>
      </c>
      <c r="CX1119" s="14" t="str">
        <f>INDEX($O$6:$O$50,CT1119)&amp;"-"&amp;INDEX(属性投放!$AB$7:$AB$50,CZ1119)&amp;"-魂火-"&amp;DB1119</f>
        <v>柠檬精-大叫唤+1-魂火-2</v>
      </c>
      <c r="CY1119" s="25" t="s">
        <v>142</v>
      </c>
      <c r="CZ1119" s="14">
        <f>INDEX(属性投放!$AM$7:$AM$58,CU1119)</f>
        <v>11</v>
      </c>
      <c r="DA1119" s="14" t="s">
        <v>537</v>
      </c>
      <c r="DB1119" s="14">
        <f>INDEX(属性投放!$AN$7:$AN$58,CU1119)</f>
        <v>2</v>
      </c>
      <c r="DC1119" s="14">
        <f t="shared" si="1101"/>
        <v>23</v>
      </c>
      <c r="DD1119" s="14">
        <f>INDEX(属性投放!$AO$7:$AO$58,DC1119)</f>
        <v>75</v>
      </c>
      <c r="DE1119" s="14" t="s">
        <v>538</v>
      </c>
      <c r="DF1119" s="14">
        <f>INDEX(属性投放!$BK$6:$BK$85,(CV1119-2)*20+CZ1119)</f>
        <v>130</v>
      </c>
      <c r="DG1119" s="14">
        <f>SUMIFS(DF$5:DF1119,$CT$5:$CT1119,"="&amp;$CT1119)</f>
        <v>1365</v>
      </c>
      <c r="DH1119" s="14" t="s">
        <v>539</v>
      </c>
      <c r="DI1119" s="14">
        <f>INDEX(属性投放!$BL$6:$BL$85,(CV1119-2)*20+CZ1119)</f>
        <v>65</v>
      </c>
      <c r="DJ1119" s="14">
        <f>SUMIFS(DI$5:DI1119,$CT$5:$CT1119,"="&amp;$CT1119)</f>
        <v>686</v>
      </c>
      <c r="DK1119" s="14" t="s">
        <v>540</v>
      </c>
      <c r="DL1119" s="14">
        <f>INDEX(属性投放!$BM$6:$BM$85,(CV1119-2)*20+CZ1119)</f>
        <v>1170</v>
      </c>
      <c r="DM1119" s="14">
        <f>SUMIFS(DL$5:DL1119,$CT$5:$CT1119,"="&amp;$CT1119)</f>
        <v>11060</v>
      </c>
    </row>
    <row r="1120" spans="97:117" ht="16.5" x14ac:dyDescent="0.2">
      <c r="CS1120" s="13">
        <v>1116</v>
      </c>
      <c r="CT1120" s="13">
        <f t="shared" si="1102"/>
        <v>22</v>
      </c>
      <c r="CU1120" s="13">
        <f t="shared" si="1103"/>
        <v>24</v>
      </c>
      <c r="CV1120" s="14">
        <f t="shared" si="1104"/>
        <v>2</v>
      </c>
      <c r="CW1120" s="14">
        <f t="shared" si="1105"/>
        <v>1102050</v>
      </c>
      <c r="CX1120" s="14" t="str">
        <f>INDEX($O$6:$O$50,CT1120)&amp;"-"&amp;INDEX(属性投放!$AB$7:$AB$50,CZ1120)&amp;"-魂火-"&amp;DB1120</f>
        <v>柠檬精-大叫唤+1-魂火-3</v>
      </c>
      <c r="CY1120" s="25" t="s">
        <v>142</v>
      </c>
      <c r="CZ1120" s="14">
        <f>INDEX(属性投放!$AM$7:$AM$58,CU1120)</f>
        <v>11</v>
      </c>
      <c r="DA1120" s="14" t="s">
        <v>537</v>
      </c>
      <c r="DB1120" s="14">
        <f>INDEX(属性投放!$AN$7:$AN$58,CU1120)</f>
        <v>3</v>
      </c>
      <c r="DC1120" s="14">
        <f t="shared" si="1101"/>
        <v>24</v>
      </c>
      <c r="DD1120" s="14">
        <f>INDEX(属性投放!$AO$7:$AO$58,DC1120)</f>
        <v>78</v>
      </c>
      <c r="DE1120" s="14" t="s">
        <v>538</v>
      </c>
      <c r="DF1120" s="14">
        <f>INDEX(属性投放!$BK$6:$BK$85,(CV1120-2)*20+CZ1120)</f>
        <v>130</v>
      </c>
      <c r="DG1120" s="14">
        <f>SUMIFS(DF$5:DF1120,$CT$5:$CT1120,"="&amp;$CT1120)</f>
        <v>1495</v>
      </c>
      <c r="DH1120" s="14" t="s">
        <v>539</v>
      </c>
      <c r="DI1120" s="14">
        <f>INDEX(属性投放!$BL$6:$BL$85,(CV1120-2)*20+CZ1120)</f>
        <v>65</v>
      </c>
      <c r="DJ1120" s="14">
        <f>SUMIFS(DI$5:DI1120,$CT$5:$CT1120,"="&amp;$CT1120)</f>
        <v>751</v>
      </c>
      <c r="DK1120" s="14" t="s">
        <v>540</v>
      </c>
      <c r="DL1120" s="14">
        <f>INDEX(属性投放!$BM$6:$BM$85,(CV1120-2)*20+CZ1120)</f>
        <v>1170</v>
      </c>
      <c r="DM1120" s="14">
        <f>SUMIFS(DL$5:DL1120,$CT$5:$CT1120,"="&amp;$CT1120)</f>
        <v>12230</v>
      </c>
    </row>
    <row r="1121" spans="97:117" ht="16.5" x14ac:dyDescent="0.2">
      <c r="CS1121" s="13">
        <v>1117</v>
      </c>
      <c r="CT1121" s="13">
        <f t="shared" si="1102"/>
        <v>22</v>
      </c>
      <c r="CU1121" s="13">
        <f t="shared" si="1103"/>
        <v>25</v>
      </c>
      <c r="CV1121" s="14">
        <f t="shared" si="1104"/>
        <v>2</v>
      </c>
      <c r="CW1121" s="14">
        <f t="shared" si="1105"/>
        <v>1102050</v>
      </c>
      <c r="CX1121" s="14" t="str">
        <f>INDEX($O$6:$O$50,CT1121)&amp;"-"&amp;INDEX(属性投放!$AB$7:$AB$50,CZ1121)&amp;"-魂火-"&amp;DB1121</f>
        <v>柠檬精-大叫唤+2-魂火-1</v>
      </c>
      <c r="CY1121" s="25" t="s">
        <v>142</v>
      </c>
      <c r="CZ1121" s="14">
        <f>INDEX(属性投放!$AM$7:$AM$58,CU1121)</f>
        <v>12</v>
      </c>
      <c r="DA1121" s="14" t="s">
        <v>537</v>
      </c>
      <c r="DB1121" s="14">
        <f>INDEX(属性投放!$AN$7:$AN$58,CU1121)</f>
        <v>1</v>
      </c>
      <c r="DC1121" s="14">
        <f t="shared" si="1101"/>
        <v>25</v>
      </c>
      <c r="DD1121" s="14">
        <f>INDEX(属性投放!$AO$7:$AO$58,DC1121)</f>
        <v>80</v>
      </c>
      <c r="DE1121" s="14" t="s">
        <v>538</v>
      </c>
      <c r="DF1121" s="14">
        <f>INDEX(属性投放!$BK$6:$BK$85,(CV1121-2)*20+CZ1121)</f>
        <v>170</v>
      </c>
      <c r="DG1121" s="14">
        <f>SUMIFS(DF$5:DF1121,$CT$5:$CT1121,"="&amp;$CT1121)</f>
        <v>1665</v>
      </c>
      <c r="DH1121" s="14" t="s">
        <v>539</v>
      </c>
      <c r="DI1121" s="14">
        <f>INDEX(属性投放!$BL$6:$BL$85,(CV1121-2)*20+CZ1121)</f>
        <v>85</v>
      </c>
      <c r="DJ1121" s="14">
        <f>SUMIFS(DI$5:DI1121,$CT$5:$CT1121,"="&amp;$CT1121)</f>
        <v>836</v>
      </c>
      <c r="DK1121" s="14" t="s">
        <v>540</v>
      </c>
      <c r="DL1121" s="14">
        <f>INDEX(属性投放!$BM$6:$BM$85,(CV1121-2)*20+CZ1121)</f>
        <v>1530</v>
      </c>
      <c r="DM1121" s="14">
        <f>SUMIFS(DL$5:DL1121,$CT$5:$CT1121,"="&amp;$CT1121)</f>
        <v>13760</v>
      </c>
    </row>
    <row r="1122" spans="97:117" ht="16.5" x14ac:dyDescent="0.2">
      <c r="CS1122" s="13">
        <v>1118</v>
      </c>
      <c r="CT1122" s="13">
        <f t="shared" si="1102"/>
        <v>22</v>
      </c>
      <c r="CU1122" s="13">
        <f t="shared" si="1103"/>
        <v>26</v>
      </c>
      <c r="CV1122" s="14">
        <f t="shared" si="1104"/>
        <v>2</v>
      </c>
      <c r="CW1122" s="14">
        <f t="shared" si="1105"/>
        <v>1102050</v>
      </c>
      <c r="CX1122" s="14" t="str">
        <f>INDEX($O$6:$O$50,CT1122)&amp;"-"&amp;INDEX(属性投放!$AB$7:$AB$50,CZ1122)&amp;"-魂火-"&amp;DB1122</f>
        <v>柠檬精-大叫唤+2-魂火-2</v>
      </c>
      <c r="CY1122" s="25" t="s">
        <v>142</v>
      </c>
      <c r="CZ1122" s="14">
        <f>INDEX(属性投放!$AM$7:$AM$58,CU1122)</f>
        <v>12</v>
      </c>
      <c r="DA1122" s="14" t="s">
        <v>537</v>
      </c>
      <c r="DB1122" s="14">
        <f>INDEX(属性投放!$AN$7:$AN$58,CU1122)</f>
        <v>2</v>
      </c>
      <c r="DC1122" s="14">
        <f t="shared" si="1101"/>
        <v>26</v>
      </c>
      <c r="DD1122" s="14">
        <f>INDEX(属性投放!$AO$7:$AO$58,DC1122)</f>
        <v>83</v>
      </c>
      <c r="DE1122" s="14" t="s">
        <v>538</v>
      </c>
      <c r="DF1122" s="14">
        <f>INDEX(属性投放!$BK$6:$BK$85,(CV1122-2)*20+CZ1122)</f>
        <v>170</v>
      </c>
      <c r="DG1122" s="14">
        <f>SUMIFS(DF$5:DF1122,$CT$5:$CT1122,"="&amp;$CT1122)</f>
        <v>1835</v>
      </c>
      <c r="DH1122" s="14" t="s">
        <v>539</v>
      </c>
      <c r="DI1122" s="14">
        <f>INDEX(属性投放!$BL$6:$BL$85,(CV1122-2)*20+CZ1122)</f>
        <v>85</v>
      </c>
      <c r="DJ1122" s="14">
        <f>SUMIFS(DI$5:DI1122,$CT$5:$CT1122,"="&amp;$CT1122)</f>
        <v>921</v>
      </c>
      <c r="DK1122" s="14" t="s">
        <v>540</v>
      </c>
      <c r="DL1122" s="14">
        <f>INDEX(属性投放!$BM$6:$BM$85,(CV1122-2)*20+CZ1122)</f>
        <v>1530</v>
      </c>
      <c r="DM1122" s="14">
        <f>SUMIFS(DL$5:DL1122,$CT$5:$CT1122,"="&amp;$CT1122)</f>
        <v>15290</v>
      </c>
    </row>
    <row r="1123" spans="97:117" ht="16.5" x14ac:dyDescent="0.2">
      <c r="CS1123" s="13">
        <v>1119</v>
      </c>
      <c r="CT1123" s="13">
        <f t="shared" si="1102"/>
        <v>22</v>
      </c>
      <c r="CU1123" s="13">
        <f t="shared" si="1103"/>
        <v>27</v>
      </c>
      <c r="CV1123" s="14">
        <f t="shared" si="1104"/>
        <v>2</v>
      </c>
      <c r="CW1123" s="14">
        <f t="shared" si="1105"/>
        <v>1102050</v>
      </c>
      <c r="CX1123" s="14" t="str">
        <f>INDEX($O$6:$O$50,CT1123)&amp;"-"&amp;INDEX(属性投放!$AB$7:$AB$50,CZ1123)&amp;"-魂火-"&amp;DB1123</f>
        <v>柠檬精-大叫唤+2-魂火-3</v>
      </c>
      <c r="CY1123" s="25" t="s">
        <v>142</v>
      </c>
      <c r="CZ1123" s="14">
        <f>INDEX(属性投放!$AM$7:$AM$58,CU1123)</f>
        <v>12</v>
      </c>
      <c r="DA1123" s="14" t="s">
        <v>537</v>
      </c>
      <c r="DB1123" s="14">
        <f>INDEX(属性投放!$AN$7:$AN$58,CU1123)</f>
        <v>3</v>
      </c>
      <c r="DC1123" s="14">
        <f t="shared" si="1101"/>
        <v>27</v>
      </c>
      <c r="DD1123" s="14">
        <f>INDEX(属性投放!$AO$7:$AO$58,DC1123)</f>
        <v>85</v>
      </c>
      <c r="DE1123" s="14" t="s">
        <v>538</v>
      </c>
      <c r="DF1123" s="14">
        <f>INDEX(属性投放!$BK$6:$BK$85,(CV1123-2)*20+CZ1123)</f>
        <v>170</v>
      </c>
      <c r="DG1123" s="14">
        <f>SUMIFS(DF$5:DF1123,$CT$5:$CT1123,"="&amp;$CT1123)</f>
        <v>2005</v>
      </c>
      <c r="DH1123" s="14" t="s">
        <v>539</v>
      </c>
      <c r="DI1123" s="14">
        <f>INDEX(属性投放!$BL$6:$BL$85,(CV1123-2)*20+CZ1123)</f>
        <v>85</v>
      </c>
      <c r="DJ1123" s="14">
        <f>SUMIFS(DI$5:DI1123,$CT$5:$CT1123,"="&amp;$CT1123)</f>
        <v>1006</v>
      </c>
      <c r="DK1123" s="14" t="s">
        <v>540</v>
      </c>
      <c r="DL1123" s="14">
        <f>INDEX(属性投放!$BM$6:$BM$85,(CV1123-2)*20+CZ1123)</f>
        <v>1530</v>
      </c>
      <c r="DM1123" s="14">
        <f>SUMIFS(DL$5:DL1123,$CT$5:$CT1123,"="&amp;$CT1123)</f>
        <v>16820</v>
      </c>
    </row>
    <row r="1124" spans="97:117" ht="16.5" x14ac:dyDescent="0.2">
      <c r="CS1124" s="13">
        <v>1120</v>
      </c>
      <c r="CT1124" s="13">
        <f t="shared" si="1102"/>
        <v>22</v>
      </c>
      <c r="CU1124" s="13">
        <f t="shared" si="1103"/>
        <v>28</v>
      </c>
      <c r="CV1124" s="14">
        <f t="shared" si="1104"/>
        <v>2</v>
      </c>
      <c r="CW1124" s="14">
        <f t="shared" si="1105"/>
        <v>1102050</v>
      </c>
      <c r="CX1124" s="14" t="str">
        <f>INDEX($O$6:$O$50,CT1124)&amp;"-"&amp;INDEX(属性投放!$AB$7:$AB$50,CZ1124)&amp;"-魂火-"&amp;DB1124</f>
        <v>柠檬精-焦热-魂火-1</v>
      </c>
      <c r="CY1124" s="25" t="s">
        <v>142</v>
      </c>
      <c r="CZ1124" s="14">
        <f>INDEX(属性投放!$AM$7:$AM$58,CU1124)</f>
        <v>13</v>
      </c>
      <c r="DA1124" s="14" t="s">
        <v>537</v>
      </c>
      <c r="DB1124" s="14">
        <f>INDEX(属性投放!$AN$7:$AN$58,CU1124)</f>
        <v>1</v>
      </c>
      <c r="DC1124" s="14">
        <f t="shared" si="1101"/>
        <v>28</v>
      </c>
      <c r="DD1124" s="14">
        <f>INDEX(属性投放!$AO$7:$AO$58,DC1124)</f>
        <v>88</v>
      </c>
      <c r="DE1124" s="14" t="s">
        <v>538</v>
      </c>
      <c r="DF1124" s="14">
        <f>INDEX(属性投放!$BK$6:$BK$85,(CV1124-2)*20+CZ1124)</f>
        <v>220</v>
      </c>
      <c r="DG1124" s="14">
        <f>SUMIFS(DF$5:DF1124,$CT$5:$CT1124,"="&amp;$CT1124)</f>
        <v>2225</v>
      </c>
      <c r="DH1124" s="14" t="s">
        <v>539</v>
      </c>
      <c r="DI1124" s="14">
        <f>INDEX(属性投放!$BL$6:$BL$85,(CV1124-2)*20+CZ1124)</f>
        <v>110</v>
      </c>
      <c r="DJ1124" s="14">
        <f>SUMIFS(DI$5:DI1124,$CT$5:$CT1124,"="&amp;$CT1124)</f>
        <v>1116</v>
      </c>
      <c r="DK1124" s="14" t="s">
        <v>540</v>
      </c>
      <c r="DL1124" s="14">
        <f>INDEX(属性投放!$BM$6:$BM$85,(CV1124-2)*20+CZ1124)</f>
        <v>2200</v>
      </c>
      <c r="DM1124" s="14">
        <f>SUMIFS(DL$5:DL1124,$CT$5:$CT1124,"="&amp;$CT1124)</f>
        <v>19020</v>
      </c>
    </row>
    <row r="1125" spans="97:117" ht="16.5" x14ac:dyDescent="0.2">
      <c r="CS1125" s="13">
        <v>1121</v>
      </c>
      <c r="CT1125" s="13">
        <f t="shared" si="1102"/>
        <v>22</v>
      </c>
      <c r="CU1125" s="13">
        <f t="shared" si="1103"/>
        <v>29</v>
      </c>
      <c r="CV1125" s="14">
        <f t="shared" si="1104"/>
        <v>2</v>
      </c>
      <c r="CW1125" s="14">
        <f t="shared" si="1105"/>
        <v>1102050</v>
      </c>
      <c r="CX1125" s="14" t="str">
        <f>INDEX($O$6:$O$50,CT1125)&amp;"-"&amp;INDEX(属性投放!$AB$7:$AB$50,CZ1125)&amp;"-魂火-"&amp;DB1125</f>
        <v>柠檬精-焦热-魂火-2</v>
      </c>
      <c r="CY1125" s="25" t="s">
        <v>142</v>
      </c>
      <c r="CZ1125" s="14">
        <f>INDEX(属性投放!$AM$7:$AM$58,CU1125)</f>
        <v>13</v>
      </c>
      <c r="DA1125" s="14" t="s">
        <v>537</v>
      </c>
      <c r="DB1125" s="14">
        <f>INDEX(属性投放!$AN$7:$AN$58,CU1125)</f>
        <v>2</v>
      </c>
      <c r="DC1125" s="14">
        <f t="shared" si="1101"/>
        <v>29</v>
      </c>
      <c r="DD1125" s="14">
        <f>INDEX(属性投放!$AO$7:$AO$58,DC1125)</f>
        <v>90</v>
      </c>
      <c r="DE1125" s="14" t="s">
        <v>538</v>
      </c>
      <c r="DF1125" s="14">
        <f>INDEX(属性投放!$BK$6:$BK$85,(CV1125-2)*20+CZ1125)</f>
        <v>220</v>
      </c>
      <c r="DG1125" s="14">
        <f>SUMIFS(DF$5:DF1125,$CT$5:$CT1125,"="&amp;$CT1125)</f>
        <v>2445</v>
      </c>
      <c r="DH1125" s="14" t="s">
        <v>539</v>
      </c>
      <c r="DI1125" s="14">
        <f>INDEX(属性投放!$BL$6:$BL$85,(CV1125-2)*20+CZ1125)</f>
        <v>110</v>
      </c>
      <c r="DJ1125" s="14">
        <f>SUMIFS(DI$5:DI1125,$CT$5:$CT1125,"="&amp;$CT1125)</f>
        <v>1226</v>
      </c>
      <c r="DK1125" s="14" t="s">
        <v>540</v>
      </c>
      <c r="DL1125" s="14">
        <f>INDEX(属性投放!$BM$6:$BM$85,(CV1125-2)*20+CZ1125)</f>
        <v>2200</v>
      </c>
      <c r="DM1125" s="14">
        <f>SUMIFS(DL$5:DL1125,$CT$5:$CT1125,"="&amp;$CT1125)</f>
        <v>21220</v>
      </c>
    </row>
    <row r="1126" spans="97:117" ht="16.5" x14ac:dyDescent="0.2">
      <c r="CS1126" s="13">
        <v>1122</v>
      </c>
      <c r="CT1126" s="13">
        <f t="shared" si="1102"/>
        <v>22</v>
      </c>
      <c r="CU1126" s="13">
        <f t="shared" si="1103"/>
        <v>30</v>
      </c>
      <c r="CV1126" s="14">
        <f t="shared" si="1104"/>
        <v>2</v>
      </c>
      <c r="CW1126" s="14">
        <f t="shared" si="1105"/>
        <v>1102050</v>
      </c>
      <c r="CX1126" s="14" t="str">
        <f>INDEX($O$6:$O$50,CT1126)&amp;"-"&amp;INDEX(属性投放!$AB$7:$AB$50,CZ1126)&amp;"-魂火-"&amp;DB1126</f>
        <v>柠檬精-焦热-魂火-3</v>
      </c>
      <c r="CY1126" s="25" t="s">
        <v>142</v>
      </c>
      <c r="CZ1126" s="14">
        <f>INDEX(属性投放!$AM$7:$AM$58,CU1126)</f>
        <v>13</v>
      </c>
      <c r="DA1126" s="14" t="s">
        <v>537</v>
      </c>
      <c r="DB1126" s="14">
        <f>INDEX(属性投放!$AN$7:$AN$58,CU1126)</f>
        <v>3</v>
      </c>
      <c r="DC1126" s="14">
        <f t="shared" si="1101"/>
        <v>30</v>
      </c>
      <c r="DD1126" s="14">
        <f>INDEX(属性投放!$AO$7:$AO$58,DC1126)</f>
        <v>93</v>
      </c>
      <c r="DE1126" s="14" t="s">
        <v>538</v>
      </c>
      <c r="DF1126" s="14">
        <f>INDEX(属性投放!$BK$6:$BK$85,(CV1126-2)*20+CZ1126)</f>
        <v>220</v>
      </c>
      <c r="DG1126" s="14">
        <f>SUMIFS(DF$5:DF1126,$CT$5:$CT1126,"="&amp;$CT1126)</f>
        <v>2665</v>
      </c>
      <c r="DH1126" s="14" t="s">
        <v>539</v>
      </c>
      <c r="DI1126" s="14">
        <f>INDEX(属性投放!$BL$6:$BL$85,(CV1126-2)*20+CZ1126)</f>
        <v>110</v>
      </c>
      <c r="DJ1126" s="14">
        <f>SUMIFS(DI$5:DI1126,$CT$5:$CT1126,"="&amp;$CT1126)</f>
        <v>1336</v>
      </c>
      <c r="DK1126" s="14" t="s">
        <v>540</v>
      </c>
      <c r="DL1126" s="14">
        <f>INDEX(属性投放!$BM$6:$BM$85,(CV1126-2)*20+CZ1126)</f>
        <v>2200</v>
      </c>
      <c r="DM1126" s="14">
        <f>SUMIFS(DL$5:DL1126,$CT$5:$CT1126,"="&amp;$CT1126)</f>
        <v>23420</v>
      </c>
    </row>
    <row r="1127" spans="97:117" ht="16.5" x14ac:dyDescent="0.2">
      <c r="CS1127" s="13">
        <v>1123</v>
      </c>
      <c r="CT1127" s="13">
        <f t="shared" si="1102"/>
        <v>22</v>
      </c>
      <c r="CU1127" s="13">
        <f t="shared" si="1103"/>
        <v>31</v>
      </c>
      <c r="CV1127" s="14">
        <f t="shared" si="1104"/>
        <v>2</v>
      </c>
      <c r="CW1127" s="14">
        <f t="shared" si="1105"/>
        <v>1102050</v>
      </c>
      <c r="CX1127" s="14" t="str">
        <f>INDEX($O$6:$O$50,CT1127)&amp;"-"&amp;INDEX(属性投放!$AB$7:$AB$50,CZ1127)&amp;"-魂火-"&amp;DB1127</f>
        <v>柠檬精-焦热+1-魂火-1</v>
      </c>
      <c r="CY1127" s="25" t="s">
        <v>142</v>
      </c>
      <c r="CZ1127" s="14">
        <f>INDEX(属性投放!$AM$7:$AM$58,CU1127)</f>
        <v>14</v>
      </c>
      <c r="DA1127" s="14" t="s">
        <v>537</v>
      </c>
      <c r="DB1127" s="14">
        <f>INDEX(属性投放!$AN$7:$AN$58,CU1127)</f>
        <v>1</v>
      </c>
      <c r="DC1127" s="14">
        <f t="shared" si="1101"/>
        <v>31</v>
      </c>
      <c r="DD1127" s="14">
        <f>INDEX(属性投放!$AO$7:$AO$58,DC1127)</f>
        <v>95</v>
      </c>
      <c r="DE1127" s="14" t="s">
        <v>538</v>
      </c>
      <c r="DF1127" s="14">
        <f>INDEX(属性投放!$BK$6:$BK$85,(CV1127-2)*20+CZ1127)</f>
        <v>270</v>
      </c>
      <c r="DG1127" s="14">
        <f>SUMIFS(DF$5:DF1127,$CT$5:$CT1127,"="&amp;$CT1127)</f>
        <v>2935</v>
      </c>
      <c r="DH1127" s="14" t="s">
        <v>539</v>
      </c>
      <c r="DI1127" s="14">
        <f>INDEX(属性投放!$BL$6:$BL$85,(CV1127-2)*20+CZ1127)</f>
        <v>135</v>
      </c>
      <c r="DJ1127" s="14">
        <f>SUMIFS(DI$5:DI1127,$CT$5:$CT1127,"="&amp;$CT1127)</f>
        <v>1471</v>
      </c>
      <c r="DK1127" s="14" t="s">
        <v>540</v>
      </c>
      <c r="DL1127" s="14">
        <f>INDEX(属性投放!$BM$6:$BM$85,(CV1127-2)*20+CZ1127)</f>
        <v>2700</v>
      </c>
      <c r="DM1127" s="14">
        <f>SUMIFS(DL$5:DL1127,$CT$5:$CT1127,"="&amp;$CT1127)</f>
        <v>26120</v>
      </c>
    </row>
    <row r="1128" spans="97:117" ht="16.5" x14ac:dyDescent="0.2">
      <c r="CS1128" s="13">
        <v>1124</v>
      </c>
      <c r="CT1128" s="13">
        <f t="shared" si="1102"/>
        <v>22</v>
      </c>
      <c r="CU1128" s="13">
        <f t="shared" si="1103"/>
        <v>32</v>
      </c>
      <c r="CV1128" s="14">
        <f t="shared" si="1104"/>
        <v>2</v>
      </c>
      <c r="CW1128" s="14">
        <f t="shared" si="1105"/>
        <v>1102050</v>
      </c>
      <c r="CX1128" s="14" t="str">
        <f>INDEX($O$6:$O$50,CT1128)&amp;"-"&amp;INDEX(属性投放!$AB$7:$AB$50,CZ1128)&amp;"-魂火-"&amp;DB1128</f>
        <v>柠檬精-焦热+1-魂火-2</v>
      </c>
      <c r="CY1128" s="25" t="s">
        <v>142</v>
      </c>
      <c r="CZ1128" s="14">
        <f>INDEX(属性投放!$AM$7:$AM$58,CU1128)</f>
        <v>14</v>
      </c>
      <c r="DA1128" s="14" t="s">
        <v>537</v>
      </c>
      <c r="DB1128" s="14">
        <f>INDEX(属性投放!$AN$7:$AN$58,CU1128)</f>
        <v>2</v>
      </c>
      <c r="DC1128" s="14">
        <f t="shared" si="1101"/>
        <v>32</v>
      </c>
      <c r="DD1128" s="14">
        <f>INDEX(属性投放!$AO$7:$AO$58,DC1128)</f>
        <v>98</v>
      </c>
      <c r="DE1128" s="14" t="s">
        <v>538</v>
      </c>
      <c r="DF1128" s="14">
        <f>INDEX(属性投放!$BK$6:$BK$85,(CV1128-2)*20+CZ1128)</f>
        <v>270</v>
      </c>
      <c r="DG1128" s="14">
        <f>SUMIFS(DF$5:DF1128,$CT$5:$CT1128,"="&amp;$CT1128)</f>
        <v>3205</v>
      </c>
      <c r="DH1128" s="14" t="s">
        <v>539</v>
      </c>
      <c r="DI1128" s="14">
        <f>INDEX(属性投放!$BL$6:$BL$85,(CV1128-2)*20+CZ1128)</f>
        <v>135</v>
      </c>
      <c r="DJ1128" s="14">
        <f>SUMIFS(DI$5:DI1128,$CT$5:$CT1128,"="&amp;$CT1128)</f>
        <v>1606</v>
      </c>
      <c r="DK1128" s="14" t="s">
        <v>540</v>
      </c>
      <c r="DL1128" s="14">
        <f>INDEX(属性投放!$BM$6:$BM$85,(CV1128-2)*20+CZ1128)</f>
        <v>2700</v>
      </c>
      <c r="DM1128" s="14">
        <f>SUMIFS(DL$5:DL1128,$CT$5:$CT1128,"="&amp;$CT1128)</f>
        <v>28820</v>
      </c>
    </row>
    <row r="1129" spans="97:117" ht="16.5" x14ac:dyDescent="0.2">
      <c r="CS1129" s="13">
        <v>1125</v>
      </c>
      <c r="CT1129" s="13">
        <f t="shared" si="1102"/>
        <v>22</v>
      </c>
      <c r="CU1129" s="13">
        <f t="shared" si="1103"/>
        <v>33</v>
      </c>
      <c r="CV1129" s="14">
        <f t="shared" si="1104"/>
        <v>2</v>
      </c>
      <c r="CW1129" s="14">
        <f t="shared" si="1105"/>
        <v>1102050</v>
      </c>
      <c r="CX1129" s="14" t="str">
        <f>INDEX($O$6:$O$50,CT1129)&amp;"-"&amp;INDEX(属性投放!$AB$7:$AB$50,CZ1129)&amp;"-魂火-"&amp;DB1129</f>
        <v>柠檬精-焦热+1-魂火-3</v>
      </c>
      <c r="CY1129" s="25" t="s">
        <v>142</v>
      </c>
      <c r="CZ1129" s="14">
        <f>INDEX(属性投放!$AM$7:$AM$58,CU1129)</f>
        <v>14</v>
      </c>
      <c r="DA1129" s="14" t="s">
        <v>537</v>
      </c>
      <c r="DB1129" s="14">
        <f>INDEX(属性投放!$AN$7:$AN$58,CU1129)</f>
        <v>3</v>
      </c>
      <c r="DC1129" s="14">
        <f t="shared" si="1101"/>
        <v>33</v>
      </c>
      <c r="DD1129" s="14">
        <f>INDEX(属性投放!$AO$7:$AO$58,DC1129)</f>
        <v>100</v>
      </c>
      <c r="DE1129" s="14" t="s">
        <v>538</v>
      </c>
      <c r="DF1129" s="14">
        <f>INDEX(属性投放!$BK$6:$BK$85,(CV1129-2)*20+CZ1129)</f>
        <v>270</v>
      </c>
      <c r="DG1129" s="14">
        <f>SUMIFS(DF$5:DF1129,$CT$5:$CT1129,"="&amp;$CT1129)</f>
        <v>3475</v>
      </c>
      <c r="DH1129" s="14" t="s">
        <v>539</v>
      </c>
      <c r="DI1129" s="14">
        <f>INDEX(属性投放!$BL$6:$BL$85,(CV1129-2)*20+CZ1129)</f>
        <v>135</v>
      </c>
      <c r="DJ1129" s="14">
        <f>SUMIFS(DI$5:DI1129,$CT$5:$CT1129,"="&amp;$CT1129)</f>
        <v>1741</v>
      </c>
      <c r="DK1129" s="14" t="s">
        <v>540</v>
      </c>
      <c r="DL1129" s="14">
        <f>INDEX(属性投放!$BM$6:$BM$85,(CV1129-2)*20+CZ1129)</f>
        <v>2700</v>
      </c>
      <c r="DM1129" s="14">
        <f>SUMIFS(DL$5:DL1129,$CT$5:$CT1129,"="&amp;$CT1129)</f>
        <v>31520</v>
      </c>
    </row>
    <row r="1130" spans="97:117" ht="16.5" x14ac:dyDescent="0.2">
      <c r="CS1130" s="13">
        <v>1126</v>
      </c>
      <c r="CT1130" s="13">
        <f t="shared" si="1102"/>
        <v>22</v>
      </c>
      <c r="CU1130" s="13">
        <f t="shared" si="1103"/>
        <v>34</v>
      </c>
      <c r="CV1130" s="14">
        <f t="shared" si="1104"/>
        <v>2</v>
      </c>
      <c r="CW1130" s="14">
        <f t="shared" si="1105"/>
        <v>1102050</v>
      </c>
      <c r="CX1130" s="14" t="str">
        <f>INDEX($O$6:$O$50,CT1130)&amp;"-"&amp;INDEX(属性投放!$AB$7:$AB$50,CZ1130)&amp;"-魂火-"&amp;DB1130</f>
        <v>柠檬精-焦热+2-魂火-1</v>
      </c>
      <c r="CY1130" s="25" t="s">
        <v>142</v>
      </c>
      <c r="CZ1130" s="14">
        <f>INDEX(属性投放!$AM$7:$AM$58,CU1130)</f>
        <v>15</v>
      </c>
      <c r="DA1130" s="14" t="s">
        <v>537</v>
      </c>
      <c r="DB1130" s="14">
        <f>INDEX(属性投放!$AN$7:$AN$58,CU1130)</f>
        <v>1</v>
      </c>
      <c r="DC1130" s="14">
        <f t="shared" si="1101"/>
        <v>34</v>
      </c>
      <c r="DD1130" s="14">
        <f>INDEX(属性投放!$AO$7:$AO$58,DC1130)</f>
        <v>103</v>
      </c>
      <c r="DE1130" s="14" t="s">
        <v>538</v>
      </c>
      <c r="DF1130" s="14">
        <f>INDEX(属性投放!$BK$6:$BK$85,(CV1130-2)*20+CZ1130)</f>
        <v>350</v>
      </c>
      <c r="DG1130" s="14">
        <f>SUMIFS(DF$5:DF1130,$CT$5:$CT1130,"="&amp;$CT1130)</f>
        <v>3825</v>
      </c>
      <c r="DH1130" s="14" t="s">
        <v>539</v>
      </c>
      <c r="DI1130" s="14">
        <f>INDEX(属性投放!$BL$6:$BL$85,(CV1130-2)*20+CZ1130)</f>
        <v>175</v>
      </c>
      <c r="DJ1130" s="14">
        <f>SUMIFS(DI$5:DI1130,$CT$5:$CT1130,"="&amp;$CT1130)</f>
        <v>1916</v>
      </c>
      <c r="DK1130" s="14" t="s">
        <v>540</v>
      </c>
      <c r="DL1130" s="14">
        <f>INDEX(属性投放!$BM$6:$BM$85,(CV1130-2)*20+CZ1130)</f>
        <v>3500</v>
      </c>
      <c r="DM1130" s="14">
        <f>SUMIFS(DL$5:DL1130,$CT$5:$CT1130,"="&amp;$CT1130)</f>
        <v>35020</v>
      </c>
    </row>
    <row r="1131" spans="97:117" ht="16.5" x14ac:dyDescent="0.2">
      <c r="CS1131" s="13">
        <v>1127</v>
      </c>
      <c r="CT1131" s="13">
        <f t="shared" si="1102"/>
        <v>22</v>
      </c>
      <c r="CU1131" s="13">
        <f t="shared" si="1103"/>
        <v>35</v>
      </c>
      <c r="CV1131" s="14">
        <f t="shared" si="1104"/>
        <v>2</v>
      </c>
      <c r="CW1131" s="14">
        <f t="shared" si="1105"/>
        <v>1102050</v>
      </c>
      <c r="CX1131" s="14" t="str">
        <f>INDEX($O$6:$O$50,CT1131)&amp;"-"&amp;INDEX(属性投放!$AB$7:$AB$50,CZ1131)&amp;"-魂火-"&amp;DB1131</f>
        <v>柠檬精-焦热+2-魂火-2</v>
      </c>
      <c r="CY1131" s="25" t="s">
        <v>142</v>
      </c>
      <c r="CZ1131" s="14">
        <f>INDEX(属性投放!$AM$7:$AM$58,CU1131)</f>
        <v>15</v>
      </c>
      <c r="DA1131" s="14" t="s">
        <v>537</v>
      </c>
      <c r="DB1131" s="14">
        <f>INDEX(属性投放!$AN$7:$AN$58,CU1131)</f>
        <v>2</v>
      </c>
      <c r="DC1131" s="14">
        <f t="shared" si="1101"/>
        <v>35</v>
      </c>
      <c r="DD1131" s="14">
        <f>INDEX(属性投放!$AO$7:$AO$58,DC1131)</f>
        <v>105</v>
      </c>
      <c r="DE1131" s="14" t="s">
        <v>538</v>
      </c>
      <c r="DF1131" s="14">
        <f>INDEX(属性投放!$BK$6:$BK$85,(CV1131-2)*20+CZ1131)</f>
        <v>350</v>
      </c>
      <c r="DG1131" s="14">
        <f>SUMIFS(DF$5:DF1131,$CT$5:$CT1131,"="&amp;$CT1131)</f>
        <v>4175</v>
      </c>
      <c r="DH1131" s="14" t="s">
        <v>539</v>
      </c>
      <c r="DI1131" s="14">
        <f>INDEX(属性投放!$BL$6:$BL$85,(CV1131-2)*20+CZ1131)</f>
        <v>175</v>
      </c>
      <c r="DJ1131" s="14">
        <f>SUMIFS(DI$5:DI1131,$CT$5:$CT1131,"="&amp;$CT1131)</f>
        <v>2091</v>
      </c>
      <c r="DK1131" s="14" t="s">
        <v>540</v>
      </c>
      <c r="DL1131" s="14">
        <f>INDEX(属性投放!$BM$6:$BM$85,(CV1131-2)*20+CZ1131)</f>
        <v>3500</v>
      </c>
      <c r="DM1131" s="14">
        <f>SUMIFS(DL$5:DL1131,$CT$5:$CT1131,"="&amp;$CT1131)</f>
        <v>38520</v>
      </c>
    </row>
    <row r="1132" spans="97:117" ht="16.5" x14ac:dyDescent="0.2">
      <c r="CS1132" s="13">
        <v>1128</v>
      </c>
      <c r="CT1132" s="13">
        <f t="shared" si="1102"/>
        <v>22</v>
      </c>
      <c r="CU1132" s="13">
        <f t="shared" si="1103"/>
        <v>36</v>
      </c>
      <c r="CV1132" s="14">
        <f t="shared" si="1104"/>
        <v>2</v>
      </c>
      <c r="CW1132" s="14">
        <f t="shared" si="1105"/>
        <v>1102050</v>
      </c>
      <c r="CX1132" s="14" t="str">
        <f>INDEX($O$6:$O$50,CT1132)&amp;"-"&amp;INDEX(属性投放!$AB$7:$AB$50,CZ1132)&amp;"-魂火-"&amp;DB1132</f>
        <v>柠檬精-焦热+2-魂火-3</v>
      </c>
      <c r="CY1132" s="25" t="s">
        <v>142</v>
      </c>
      <c r="CZ1132" s="14">
        <f>INDEX(属性投放!$AM$7:$AM$58,CU1132)</f>
        <v>15</v>
      </c>
      <c r="DA1132" s="14" t="s">
        <v>537</v>
      </c>
      <c r="DB1132" s="14">
        <f>INDEX(属性投放!$AN$7:$AN$58,CU1132)</f>
        <v>3</v>
      </c>
      <c r="DC1132" s="14">
        <f t="shared" si="1101"/>
        <v>36</v>
      </c>
      <c r="DD1132" s="14">
        <f>INDEX(属性投放!$AO$7:$AO$58,DC1132)</f>
        <v>108</v>
      </c>
      <c r="DE1132" s="14" t="s">
        <v>538</v>
      </c>
      <c r="DF1132" s="14">
        <f>INDEX(属性投放!$BK$6:$BK$85,(CV1132-2)*20+CZ1132)</f>
        <v>350</v>
      </c>
      <c r="DG1132" s="14">
        <f>SUMIFS(DF$5:DF1132,$CT$5:$CT1132,"="&amp;$CT1132)</f>
        <v>4525</v>
      </c>
      <c r="DH1132" s="14" t="s">
        <v>539</v>
      </c>
      <c r="DI1132" s="14">
        <f>INDEX(属性投放!$BL$6:$BL$85,(CV1132-2)*20+CZ1132)</f>
        <v>175</v>
      </c>
      <c r="DJ1132" s="14">
        <f>SUMIFS(DI$5:DI1132,$CT$5:$CT1132,"="&amp;$CT1132)</f>
        <v>2266</v>
      </c>
      <c r="DK1132" s="14" t="s">
        <v>540</v>
      </c>
      <c r="DL1132" s="14">
        <f>INDEX(属性投放!$BM$6:$BM$85,(CV1132-2)*20+CZ1132)</f>
        <v>3500</v>
      </c>
      <c r="DM1132" s="14">
        <f>SUMIFS(DL$5:DL1132,$CT$5:$CT1132,"="&amp;$CT1132)</f>
        <v>42020</v>
      </c>
    </row>
    <row r="1133" spans="97:117" ht="16.5" x14ac:dyDescent="0.2">
      <c r="CS1133" s="13">
        <v>1129</v>
      </c>
      <c r="CT1133" s="13">
        <f t="shared" si="1102"/>
        <v>22</v>
      </c>
      <c r="CU1133" s="13">
        <f t="shared" si="1103"/>
        <v>37</v>
      </c>
      <c r="CV1133" s="14">
        <f t="shared" si="1104"/>
        <v>2</v>
      </c>
      <c r="CW1133" s="14">
        <f t="shared" si="1105"/>
        <v>1102050</v>
      </c>
      <c r="CX1133" s="14" t="str">
        <f>INDEX($O$6:$O$50,CT1133)&amp;"-"&amp;INDEX(属性投放!$AB$7:$AB$50,CZ1133)&amp;"-魂火-"&amp;DB1133</f>
        <v>柠檬精-大焦热-魂火-1</v>
      </c>
      <c r="CY1133" s="25" t="s">
        <v>142</v>
      </c>
      <c r="CZ1133" s="14">
        <f>INDEX(属性投放!$AM$7:$AM$58,CU1133)</f>
        <v>16</v>
      </c>
      <c r="DA1133" s="14" t="s">
        <v>537</v>
      </c>
      <c r="DB1133" s="14">
        <f>INDEX(属性投放!$AN$7:$AN$58,CU1133)</f>
        <v>1</v>
      </c>
      <c r="DC1133" s="14">
        <f t="shared" si="1101"/>
        <v>37</v>
      </c>
      <c r="DD1133" s="14">
        <f>INDEX(属性投放!$AO$7:$AO$58,DC1133)</f>
        <v>110</v>
      </c>
      <c r="DE1133" s="14" t="s">
        <v>538</v>
      </c>
      <c r="DF1133" s="14">
        <f>INDEX(属性投放!$BK$6:$BK$85,(CV1133-2)*20+CZ1133)</f>
        <v>450</v>
      </c>
      <c r="DG1133" s="14">
        <f>SUMIFS(DF$5:DF1133,$CT$5:$CT1133,"="&amp;$CT1133)</f>
        <v>4975</v>
      </c>
      <c r="DH1133" s="14" t="s">
        <v>539</v>
      </c>
      <c r="DI1133" s="14">
        <f>INDEX(属性投放!$BL$6:$BL$85,(CV1133-2)*20+CZ1133)</f>
        <v>225</v>
      </c>
      <c r="DJ1133" s="14">
        <f>SUMIFS(DI$5:DI1133,$CT$5:$CT1133,"="&amp;$CT1133)</f>
        <v>2491</v>
      </c>
      <c r="DK1133" s="14" t="s">
        <v>540</v>
      </c>
      <c r="DL1133" s="14">
        <f>INDEX(属性投放!$BM$6:$BM$85,(CV1133-2)*20+CZ1133)</f>
        <v>4500</v>
      </c>
      <c r="DM1133" s="14">
        <f>SUMIFS(DL$5:DL1133,$CT$5:$CT1133,"="&amp;$CT1133)</f>
        <v>46520</v>
      </c>
    </row>
    <row r="1134" spans="97:117" ht="16.5" x14ac:dyDescent="0.2">
      <c r="CS1134" s="13">
        <v>1130</v>
      </c>
      <c r="CT1134" s="13">
        <f t="shared" si="1102"/>
        <v>22</v>
      </c>
      <c r="CU1134" s="13">
        <f t="shared" si="1103"/>
        <v>38</v>
      </c>
      <c r="CV1134" s="14">
        <f t="shared" si="1104"/>
        <v>2</v>
      </c>
      <c r="CW1134" s="14">
        <f t="shared" si="1105"/>
        <v>1102050</v>
      </c>
      <c r="CX1134" s="14" t="str">
        <f>INDEX($O$6:$O$50,CT1134)&amp;"-"&amp;INDEX(属性投放!$AB$7:$AB$50,CZ1134)&amp;"-魂火-"&amp;DB1134</f>
        <v>柠檬精-大焦热-魂火-2</v>
      </c>
      <c r="CY1134" s="25" t="s">
        <v>142</v>
      </c>
      <c r="CZ1134" s="14">
        <f>INDEX(属性投放!$AM$7:$AM$58,CU1134)</f>
        <v>16</v>
      </c>
      <c r="DA1134" s="14" t="s">
        <v>537</v>
      </c>
      <c r="DB1134" s="14">
        <f>INDEX(属性投放!$AN$7:$AN$58,CU1134)</f>
        <v>2</v>
      </c>
      <c r="DC1134" s="14">
        <f t="shared" si="1101"/>
        <v>38</v>
      </c>
      <c r="DD1134" s="14">
        <f>INDEX(属性投放!$AO$7:$AO$58,DC1134)</f>
        <v>113</v>
      </c>
      <c r="DE1134" s="14" t="s">
        <v>538</v>
      </c>
      <c r="DF1134" s="14">
        <f>INDEX(属性投放!$BK$6:$BK$85,(CV1134-2)*20+CZ1134)</f>
        <v>450</v>
      </c>
      <c r="DG1134" s="14">
        <f>SUMIFS(DF$5:DF1134,$CT$5:$CT1134,"="&amp;$CT1134)</f>
        <v>5425</v>
      </c>
      <c r="DH1134" s="14" t="s">
        <v>539</v>
      </c>
      <c r="DI1134" s="14">
        <f>INDEX(属性投放!$BL$6:$BL$85,(CV1134-2)*20+CZ1134)</f>
        <v>225</v>
      </c>
      <c r="DJ1134" s="14">
        <f>SUMIFS(DI$5:DI1134,$CT$5:$CT1134,"="&amp;$CT1134)</f>
        <v>2716</v>
      </c>
      <c r="DK1134" s="14" t="s">
        <v>540</v>
      </c>
      <c r="DL1134" s="14">
        <f>INDEX(属性投放!$BM$6:$BM$85,(CV1134-2)*20+CZ1134)</f>
        <v>4500</v>
      </c>
      <c r="DM1134" s="14">
        <f>SUMIFS(DL$5:DL1134,$CT$5:$CT1134,"="&amp;$CT1134)</f>
        <v>51020</v>
      </c>
    </row>
    <row r="1135" spans="97:117" ht="16.5" x14ac:dyDescent="0.2">
      <c r="CS1135" s="13">
        <v>1131</v>
      </c>
      <c r="CT1135" s="13">
        <f t="shared" si="1102"/>
        <v>22</v>
      </c>
      <c r="CU1135" s="13">
        <f t="shared" si="1103"/>
        <v>39</v>
      </c>
      <c r="CV1135" s="14">
        <f t="shared" si="1104"/>
        <v>2</v>
      </c>
      <c r="CW1135" s="14">
        <f t="shared" si="1105"/>
        <v>1102050</v>
      </c>
      <c r="CX1135" s="14" t="str">
        <f>INDEX($O$6:$O$50,CT1135)&amp;"-"&amp;INDEX(属性投放!$AB$7:$AB$50,CZ1135)&amp;"-魂火-"&amp;DB1135</f>
        <v>柠檬精-大焦热-魂火-3</v>
      </c>
      <c r="CY1135" s="25" t="s">
        <v>142</v>
      </c>
      <c r="CZ1135" s="14">
        <f>INDEX(属性投放!$AM$7:$AM$58,CU1135)</f>
        <v>16</v>
      </c>
      <c r="DA1135" s="14" t="s">
        <v>537</v>
      </c>
      <c r="DB1135" s="14">
        <f>INDEX(属性投放!$AN$7:$AN$58,CU1135)</f>
        <v>3</v>
      </c>
      <c r="DC1135" s="14">
        <f t="shared" si="1101"/>
        <v>39</v>
      </c>
      <c r="DD1135" s="14">
        <f>INDEX(属性投放!$AO$7:$AO$58,DC1135)</f>
        <v>115</v>
      </c>
      <c r="DE1135" s="14" t="s">
        <v>538</v>
      </c>
      <c r="DF1135" s="14">
        <f>INDEX(属性投放!$BK$6:$BK$85,(CV1135-2)*20+CZ1135)</f>
        <v>450</v>
      </c>
      <c r="DG1135" s="14">
        <f>SUMIFS(DF$5:DF1135,$CT$5:$CT1135,"="&amp;$CT1135)</f>
        <v>5875</v>
      </c>
      <c r="DH1135" s="14" t="s">
        <v>539</v>
      </c>
      <c r="DI1135" s="14">
        <f>INDEX(属性投放!$BL$6:$BL$85,(CV1135-2)*20+CZ1135)</f>
        <v>225</v>
      </c>
      <c r="DJ1135" s="14">
        <f>SUMIFS(DI$5:DI1135,$CT$5:$CT1135,"="&amp;$CT1135)</f>
        <v>2941</v>
      </c>
      <c r="DK1135" s="14" t="s">
        <v>540</v>
      </c>
      <c r="DL1135" s="14">
        <f>INDEX(属性投放!$BM$6:$BM$85,(CV1135-2)*20+CZ1135)</f>
        <v>4500</v>
      </c>
      <c r="DM1135" s="14">
        <f>SUMIFS(DL$5:DL1135,$CT$5:$CT1135,"="&amp;$CT1135)</f>
        <v>55520</v>
      </c>
    </row>
    <row r="1136" spans="97:117" ht="16.5" x14ac:dyDescent="0.2">
      <c r="CS1136" s="13">
        <v>1132</v>
      </c>
      <c r="CT1136" s="13">
        <f t="shared" si="1102"/>
        <v>22</v>
      </c>
      <c r="CU1136" s="13">
        <f t="shared" si="1103"/>
        <v>40</v>
      </c>
      <c r="CV1136" s="14">
        <f t="shared" si="1104"/>
        <v>2</v>
      </c>
      <c r="CW1136" s="14">
        <f t="shared" si="1105"/>
        <v>1102050</v>
      </c>
      <c r="CX1136" s="14" t="str">
        <f>INDEX($O$6:$O$50,CT1136)&amp;"-"&amp;INDEX(属性投放!$AB$7:$AB$50,CZ1136)&amp;"-魂火-"&amp;DB1136</f>
        <v>柠檬精-大焦热+1-魂火-1</v>
      </c>
      <c r="CY1136" s="25" t="s">
        <v>142</v>
      </c>
      <c r="CZ1136" s="14">
        <f>INDEX(属性投放!$AM$7:$AM$58,CU1136)</f>
        <v>17</v>
      </c>
      <c r="DA1136" s="14" t="s">
        <v>537</v>
      </c>
      <c r="DB1136" s="14">
        <f>INDEX(属性投放!$AN$7:$AN$58,CU1136)</f>
        <v>1</v>
      </c>
      <c r="DC1136" s="14">
        <f t="shared" si="1101"/>
        <v>40</v>
      </c>
      <c r="DD1136" s="14">
        <f>INDEX(属性投放!$AO$7:$AO$58,DC1136)</f>
        <v>118</v>
      </c>
      <c r="DE1136" s="14" t="s">
        <v>538</v>
      </c>
      <c r="DF1136" s="14">
        <f>INDEX(属性投放!$BK$6:$BK$85,(CV1136-2)*20+CZ1136)</f>
        <v>550</v>
      </c>
      <c r="DG1136" s="14">
        <f>SUMIFS(DF$5:DF1136,$CT$5:$CT1136,"="&amp;$CT1136)</f>
        <v>6425</v>
      </c>
      <c r="DH1136" s="14" t="s">
        <v>539</v>
      </c>
      <c r="DI1136" s="14">
        <f>INDEX(属性投放!$BL$6:$BL$85,(CV1136-2)*20+CZ1136)</f>
        <v>275</v>
      </c>
      <c r="DJ1136" s="14">
        <f>SUMIFS(DI$5:DI1136,$CT$5:$CT1136,"="&amp;$CT1136)</f>
        <v>3216</v>
      </c>
      <c r="DK1136" s="14" t="s">
        <v>540</v>
      </c>
      <c r="DL1136" s="14">
        <f>INDEX(属性投放!$BM$6:$BM$85,(CV1136-2)*20+CZ1136)</f>
        <v>5500</v>
      </c>
      <c r="DM1136" s="14">
        <f>SUMIFS(DL$5:DL1136,$CT$5:$CT1136,"="&amp;$CT1136)</f>
        <v>61020</v>
      </c>
    </row>
    <row r="1137" spans="97:117" ht="16.5" x14ac:dyDescent="0.2">
      <c r="CS1137" s="13">
        <v>1133</v>
      </c>
      <c r="CT1137" s="13">
        <f t="shared" si="1102"/>
        <v>22</v>
      </c>
      <c r="CU1137" s="13">
        <f t="shared" si="1103"/>
        <v>41</v>
      </c>
      <c r="CV1137" s="14">
        <f t="shared" si="1104"/>
        <v>2</v>
      </c>
      <c r="CW1137" s="14">
        <f t="shared" si="1105"/>
        <v>1102050</v>
      </c>
      <c r="CX1137" s="14" t="str">
        <f>INDEX($O$6:$O$50,CT1137)&amp;"-"&amp;INDEX(属性投放!$AB$7:$AB$50,CZ1137)&amp;"-魂火-"&amp;DB1137</f>
        <v>柠檬精-大焦热+1-魂火-2</v>
      </c>
      <c r="CY1137" s="25" t="s">
        <v>142</v>
      </c>
      <c r="CZ1137" s="14">
        <f>INDEX(属性投放!$AM$7:$AM$58,CU1137)</f>
        <v>17</v>
      </c>
      <c r="DA1137" s="14" t="s">
        <v>537</v>
      </c>
      <c r="DB1137" s="14">
        <f>INDEX(属性投放!$AN$7:$AN$58,CU1137)</f>
        <v>2</v>
      </c>
      <c r="DC1137" s="14">
        <f t="shared" si="1101"/>
        <v>41</v>
      </c>
      <c r="DD1137" s="14">
        <f>INDEX(属性投放!$AO$7:$AO$58,DC1137)</f>
        <v>120</v>
      </c>
      <c r="DE1137" s="14" t="s">
        <v>538</v>
      </c>
      <c r="DF1137" s="14">
        <f>INDEX(属性投放!$BK$6:$BK$85,(CV1137-2)*20+CZ1137)</f>
        <v>550</v>
      </c>
      <c r="DG1137" s="14">
        <f>SUMIFS(DF$5:DF1137,$CT$5:$CT1137,"="&amp;$CT1137)</f>
        <v>6975</v>
      </c>
      <c r="DH1137" s="14" t="s">
        <v>539</v>
      </c>
      <c r="DI1137" s="14">
        <f>INDEX(属性投放!$BL$6:$BL$85,(CV1137-2)*20+CZ1137)</f>
        <v>275</v>
      </c>
      <c r="DJ1137" s="14">
        <f>SUMIFS(DI$5:DI1137,$CT$5:$CT1137,"="&amp;$CT1137)</f>
        <v>3491</v>
      </c>
      <c r="DK1137" s="14" t="s">
        <v>540</v>
      </c>
      <c r="DL1137" s="14">
        <f>INDEX(属性投放!$BM$6:$BM$85,(CV1137-2)*20+CZ1137)</f>
        <v>5500</v>
      </c>
      <c r="DM1137" s="14">
        <f>SUMIFS(DL$5:DL1137,$CT$5:$CT1137,"="&amp;$CT1137)</f>
        <v>66520</v>
      </c>
    </row>
    <row r="1138" spans="97:117" ht="16.5" x14ac:dyDescent="0.2">
      <c r="CS1138" s="13">
        <v>1134</v>
      </c>
      <c r="CT1138" s="13">
        <f t="shared" si="1102"/>
        <v>22</v>
      </c>
      <c r="CU1138" s="13">
        <f t="shared" si="1103"/>
        <v>42</v>
      </c>
      <c r="CV1138" s="14">
        <f t="shared" si="1104"/>
        <v>2</v>
      </c>
      <c r="CW1138" s="14">
        <f t="shared" si="1105"/>
        <v>1102050</v>
      </c>
      <c r="CX1138" s="14" t="str">
        <f>INDEX($O$6:$O$50,CT1138)&amp;"-"&amp;INDEX(属性投放!$AB$7:$AB$50,CZ1138)&amp;"-魂火-"&amp;DB1138</f>
        <v>柠檬精-大焦热+1-魂火-3</v>
      </c>
      <c r="CY1138" s="25" t="s">
        <v>142</v>
      </c>
      <c r="CZ1138" s="14">
        <f>INDEX(属性投放!$AM$7:$AM$58,CU1138)</f>
        <v>17</v>
      </c>
      <c r="DA1138" s="14" t="s">
        <v>537</v>
      </c>
      <c r="DB1138" s="14">
        <f>INDEX(属性投放!$AN$7:$AN$58,CU1138)</f>
        <v>3</v>
      </c>
      <c r="DC1138" s="14">
        <f t="shared" si="1101"/>
        <v>42</v>
      </c>
      <c r="DD1138" s="14">
        <f>INDEX(属性投放!$AO$7:$AO$58,DC1138)</f>
        <v>123</v>
      </c>
      <c r="DE1138" s="14" t="s">
        <v>538</v>
      </c>
      <c r="DF1138" s="14">
        <f>INDEX(属性投放!$BK$6:$BK$85,(CV1138-2)*20+CZ1138)</f>
        <v>550</v>
      </c>
      <c r="DG1138" s="14">
        <f>SUMIFS(DF$5:DF1138,$CT$5:$CT1138,"="&amp;$CT1138)</f>
        <v>7525</v>
      </c>
      <c r="DH1138" s="14" t="s">
        <v>539</v>
      </c>
      <c r="DI1138" s="14">
        <f>INDEX(属性投放!$BL$6:$BL$85,(CV1138-2)*20+CZ1138)</f>
        <v>275</v>
      </c>
      <c r="DJ1138" s="14">
        <f>SUMIFS(DI$5:DI1138,$CT$5:$CT1138,"="&amp;$CT1138)</f>
        <v>3766</v>
      </c>
      <c r="DK1138" s="14" t="s">
        <v>540</v>
      </c>
      <c r="DL1138" s="14">
        <f>INDEX(属性投放!$BM$6:$BM$85,(CV1138-2)*20+CZ1138)</f>
        <v>5500</v>
      </c>
      <c r="DM1138" s="14">
        <f>SUMIFS(DL$5:DL1138,$CT$5:$CT1138,"="&amp;$CT1138)</f>
        <v>72020</v>
      </c>
    </row>
    <row r="1139" spans="97:117" ht="16.5" x14ac:dyDescent="0.2">
      <c r="CS1139" s="13">
        <v>1135</v>
      </c>
      <c r="CT1139" s="13">
        <f t="shared" si="1102"/>
        <v>22</v>
      </c>
      <c r="CU1139" s="13">
        <f t="shared" si="1103"/>
        <v>43</v>
      </c>
      <c r="CV1139" s="14">
        <f t="shared" si="1104"/>
        <v>2</v>
      </c>
      <c r="CW1139" s="14">
        <f t="shared" si="1105"/>
        <v>1102050</v>
      </c>
      <c r="CX1139" s="14" t="str">
        <f>INDEX($O$6:$O$50,CT1139)&amp;"-"&amp;INDEX(属性投放!$AB$7:$AB$50,CZ1139)&amp;"-魂火-"&amp;DB1139</f>
        <v>柠檬精-大焦热+2-魂火-1</v>
      </c>
      <c r="CY1139" s="25" t="s">
        <v>142</v>
      </c>
      <c r="CZ1139" s="14">
        <f>INDEX(属性投放!$AM$7:$AM$58,CU1139)</f>
        <v>18</v>
      </c>
      <c r="DA1139" s="14" t="s">
        <v>537</v>
      </c>
      <c r="DB1139" s="14">
        <f>INDEX(属性投放!$AN$7:$AN$58,CU1139)</f>
        <v>1</v>
      </c>
      <c r="DC1139" s="14">
        <f t="shared" si="1101"/>
        <v>43</v>
      </c>
      <c r="DD1139" s="14">
        <f>INDEX(属性投放!$AO$7:$AO$58,DC1139)</f>
        <v>125</v>
      </c>
      <c r="DE1139" s="14" t="s">
        <v>538</v>
      </c>
      <c r="DF1139" s="14">
        <f>INDEX(属性投放!$BK$6:$BK$85,(CV1139-2)*20+CZ1139)</f>
        <v>680</v>
      </c>
      <c r="DG1139" s="14">
        <f>SUMIFS(DF$5:DF1139,$CT$5:$CT1139,"="&amp;$CT1139)</f>
        <v>8205</v>
      </c>
      <c r="DH1139" s="14" t="s">
        <v>539</v>
      </c>
      <c r="DI1139" s="14">
        <f>INDEX(属性投放!$BL$6:$BL$85,(CV1139-2)*20+CZ1139)</f>
        <v>340</v>
      </c>
      <c r="DJ1139" s="14">
        <f>SUMIFS(DI$5:DI1139,$CT$5:$CT1139,"="&amp;$CT1139)</f>
        <v>4106</v>
      </c>
      <c r="DK1139" s="14" t="s">
        <v>540</v>
      </c>
      <c r="DL1139" s="14">
        <f>INDEX(属性投放!$BM$6:$BM$85,(CV1139-2)*20+CZ1139)</f>
        <v>6800</v>
      </c>
      <c r="DM1139" s="14">
        <f>SUMIFS(DL$5:DL1139,$CT$5:$CT1139,"="&amp;$CT1139)</f>
        <v>78820</v>
      </c>
    </row>
    <row r="1140" spans="97:117" ht="16.5" x14ac:dyDescent="0.2">
      <c r="CS1140" s="13">
        <v>1136</v>
      </c>
      <c r="CT1140" s="13">
        <f t="shared" si="1102"/>
        <v>22</v>
      </c>
      <c r="CU1140" s="13">
        <f t="shared" si="1103"/>
        <v>44</v>
      </c>
      <c r="CV1140" s="14">
        <f t="shared" si="1104"/>
        <v>2</v>
      </c>
      <c r="CW1140" s="14">
        <f t="shared" si="1105"/>
        <v>1102050</v>
      </c>
      <c r="CX1140" s="14" t="str">
        <f>INDEX($O$6:$O$50,CT1140)&amp;"-"&amp;INDEX(属性投放!$AB$7:$AB$50,CZ1140)&amp;"-魂火-"&amp;DB1140</f>
        <v>柠檬精-大焦热+2-魂火-2</v>
      </c>
      <c r="CY1140" s="25" t="s">
        <v>142</v>
      </c>
      <c r="CZ1140" s="14">
        <f>INDEX(属性投放!$AM$7:$AM$58,CU1140)</f>
        <v>18</v>
      </c>
      <c r="DA1140" s="14" t="s">
        <v>537</v>
      </c>
      <c r="DB1140" s="14">
        <f>INDEX(属性投放!$AN$7:$AN$58,CU1140)</f>
        <v>2</v>
      </c>
      <c r="DC1140" s="14">
        <f t="shared" si="1101"/>
        <v>44</v>
      </c>
      <c r="DD1140" s="14">
        <f>INDEX(属性投放!$AO$7:$AO$58,DC1140)</f>
        <v>128</v>
      </c>
      <c r="DE1140" s="14" t="s">
        <v>538</v>
      </c>
      <c r="DF1140" s="14">
        <f>INDEX(属性投放!$BK$6:$BK$85,(CV1140-2)*20+CZ1140)</f>
        <v>680</v>
      </c>
      <c r="DG1140" s="14">
        <f>SUMIFS(DF$5:DF1140,$CT$5:$CT1140,"="&amp;$CT1140)</f>
        <v>8885</v>
      </c>
      <c r="DH1140" s="14" t="s">
        <v>539</v>
      </c>
      <c r="DI1140" s="14">
        <f>INDEX(属性投放!$BL$6:$BL$85,(CV1140-2)*20+CZ1140)</f>
        <v>340</v>
      </c>
      <c r="DJ1140" s="14">
        <f>SUMIFS(DI$5:DI1140,$CT$5:$CT1140,"="&amp;$CT1140)</f>
        <v>4446</v>
      </c>
      <c r="DK1140" s="14" t="s">
        <v>540</v>
      </c>
      <c r="DL1140" s="14">
        <f>INDEX(属性投放!$BM$6:$BM$85,(CV1140-2)*20+CZ1140)</f>
        <v>6800</v>
      </c>
      <c r="DM1140" s="14">
        <f>SUMIFS(DL$5:DL1140,$CT$5:$CT1140,"="&amp;$CT1140)</f>
        <v>85620</v>
      </c>
    </row>
    <row r="1141" spans="97:117" ht="16.5" x14ac:dyDescent="0.2">
      <c r="CS1141" s="13">
        <v>1137</v>
      </c>
      <c r="CT1141" s="13">
        <f t="shared" si="1102"/>
        <v>22</v>
      </c>
      <c r="CU1141" s="13">
        <f t="shared" si="1103"/>
        <v>45</v>
      </c>
      <c r="CV1141" s="14">
        <f t="shared" si="1104"/>
        <v>2</v>
      </c>
      <c r="CW1141" s="14">
        <f t="shared" si="1105"/>
        <v>1102050</v>
      </c>
      <c r="CX1141" s="14" t="str">
        <f>INDEX($O$6:$O$50,CT1141)&amp;"-"&amp;INDEX(属性投放!$AB$7:$AB$50,CZ1141)&amp;"-魂火-"&amp;DB1141</f>
        <v>柠檬精-大焦热+2-魂火-3</v>
      </c>
      <c r="CY1141" s="25" t="s">
        <v>142</v>
      </c>
      <c r="CZ1141" s="14">
        <f>INDEX(属性投放!$AM$7:$AM$58,CU1141)</f>
        <v>18</v>
      </c>
      <c r="DA1141" s="14" t="s">
        <v>537</v>
      </c>
      <c r="DB1141" s="14">
        <f>INDEX(属性投放!$AN$7:$AN$58,CU1141)</f>
        <v>3</v>
      </c>
      <c r="DC1141" s="14">
        <f t="shared" si="1101"/>
        <v>45</v>
      </c>
      <c r="DD1141" s="14">
        <f>INDEX(属性投放!$AO$7:$AO$58,DC1141)</f>
        <v>130</v>
      </c>
      <c r="DE1141" s="14" t="s">
        <v>538</v>
      </c>
      <c r="DF1141" s="14">
        <f>INDEX(属性投放!$BK$6:$BK$85,(CV1141-2)*20+CZ1141)</f>
        <v>680</v>
      </c>
      <c r="DG1141" s="14">
        <f>SUMIFS(DF$5:DF1141,$CT$5:$CT1141,"="&amp;$CT1141)</f>
        <v>9565</v>
      </c>
      <c r="DH1141" s="14" t="s">
        <v>539</v>
      </c>
      <c r="DI1141" s="14">
        <f>INDEX(属性投放!$BL$6:$BL$85,(CV1141-2)*20+CZ1141)</f>
        <v>340</v>
      </c>
      <c r="DJ1141" s="14">
        <f>SUMIFS(DI$5:DI1141,$CT$5:$CT1141,"="&amp;$CT1141)</f>
        <v>4786</v>
      </c>
      <c r="DK1141" s="14" t="s">
        <v>540</v>
      </c>
      <c r="DL1141" s="14">
        <f>INDEX(属性投放!$BM$6:$BM$85,(CV1141-2)*20+CZ1141)</f>
        <v>6800</v>
      </c>
      <c r="DM1141" s="14">
        <f>SUMIFS(DL$5:DL1141,$CT$5:$CT1141,"="&amp;$CT1141)</f>
        <v>92420</v>
      </c>
    </row>
    <row r="1142" spans="97:117" ht="16.5" x14ac:dyDescent="0.2">
      <c r="CS1142" s="13">
        <v>1138</v>
      </c>
      <c r="CT1142" s="13">
        <f t="shared" si="1102"/>
        <v>22</v>
      </c>
      <c r="CU1142" s="13">
        <f t="shared" si="1103"/>
        <v>46</v>
      </c>
      <c r="CV1142" s="14">
        <f t="shared" si="1104"/>
        <v>2</v>
      </c>
      <c r="CW1142" s="14">
        <f t="shared" si="1105"/>
        <v>1102050</v>
      </c>
      <c r="CX1142" s="14" t="str">
        <f>INDEX($O$6:$O$50,CT1142)&amp;"-"&amp;INDEX(属性投放!$AB$7:$AB$50,CZ1142)&amp;"-魂火-"&amp;DB1142</f>
        <v>柠檬精-无间-魂火-1</v>
      </c>
      <c r="CY1142" s="25" t="s">
        <v>142</v>
      </c>
      <c r="CZ1142" s="14">
        <f>INDEX(属性投放!$AM$7:$AM$58,CU1142)</f>
        <v>19</v>
      </c>
      <c r="DA1142" s="14" t="s">
        <v>537</v>
      </c>
      <c r="DB1142" s="14">
        <f>INDEX(属性投放!$AN$7:$AN$58,CU1142)</f>
        <v>1</v>
      </c>
      <c r="DC1142" s="14">
        <f t="shared" si="1101"/>
        <v>46</v>
      </c>
      <c r="DD1142" s="14">
        <f>INDEX(属性投放!$AO$7:$AO$58,DC1142)</f>
        <v>133</v>
      </c>
      <c r="DE1142" s="14" t="s">
        <v>538</v>
      </c>
      <c r="DF1142" s="14">
        <f>INDEX(属性投放!$BK$6:$BK$85,(CV1142-2)*20+CZ1142)</f>
        <v>850</v>
      </c>
      <c r="DG1142" s="14">
        <f>SUMIFS(DF$5:DF1142,$CT$5:$CT1142,"="&amp;$CT1142)</f>
        <v>10415</v>
      </c>
      <c r="DH1142" s="14" t="s">
        <v>539</v>
      </c>
      <c r="DI1142" s="14">
        <f>INDEX(属性投放!$BL$6:$BL$85,(CV1142-2)*20+CZ1142)</f>
        <v>425</v>
      </c>
      <c r="DJ1142" s="14">
        <f>SUMIFS(DI$5:DI1142,$CT$5:$CT1142,"="&amp;$CT1142)</f>
        <v>5211</v>
      </c>
      <c r="DK1142" s="14" t="s">
        <v>540</v>
      </c>
      <c r="DL1142" s="14">
        <f>INDEX(属性投放!$BM$6:$BM$85,(CV1142-2)*20+CZ1142)</f>
        <v>8500</v>
      </c>
      <c r="DM1142" s="14">
        <f>SUMIFS(DL$5:DL1142,$CT$5:$CT1142,"="&amp;$CT1142)</f>
        <v>100920</v>
      </c>
    </row>
    <row r="1143" spans="97:117" ht="16.5" x14ac:dyDescent="0.2">
      <c r="CS1143" s="13">
        <v>1139</v>
      </c>
      <c r="CT1143" s="13">
        <f t="shared" si="1102"/>
        <v>22</v>
      </c>
      <c r="CU1143" s="13">
        <f t="shared" si="1103"/>
        <v>47</v>
      </c>
      <c r="CV1143" s="14">
        <f t="shared" si="1104"/>
        <v>2</v>
      </c>
      <c r="CW1143" s="14">
        <f t="shared" si="1105"/>
        <v>1102050</v>
      </c>
      <c r="CX1143" s="14" t="str">
        <f>INDEX($O$6:$O$50,CT1143)&amp;"-"&amp;INDEX(属性投放!$AB$7:$AB$50,CZ1143)&amp;"-魂火-"&amp;DB1143</f>
        <v>柠檬精-无间-魂火-2</v>
      </c>
      <c r="CY1143" s="25" t="s">
        <v>142</v>
      </c>
      <c r="CZ1143" s="14">
        <f>INDEX(属性投放!$AM$7:$AM$58,CU1143)</f>
        <v>19</v>
      </c>
      <c r="DA1143" s="14" t="s">
        <v>537</v>
      </c>
      <c r="DB1143" s="14">
        <f>INDEX(属性投放!$AN$7:$AN$58,CU1143)</f>
        <v>2</v>
      </c>
      <c r="DC1143" s="14">
        <f t="shared" si="1101"/>
        <v>47</v>
      </c>
      <c r="DD1143" s="14">
        <f>INDEX(属性投放!$AO$7:$AO$58,DC1143)</f>
        <v>135</v>
      </c>
      <c r="DE1143" s="14" t="s">
        <v>538</v>
      </c>
      <c r="DF1143" s="14">
        <f>INDEX(属性投放!$BK$6:$BK$85,(CV1143-2)*20+CZ1143)</f>
        <v>850</v>
      </c>
      <c r="DG1143" s="14">
        <f>SUMIFS(DF$5:DF1143,$CT$5:$CT1143,"="&amp;$CT1143)</f>
        <v>11265</v>
      </c>
      <c r="DH1143" s="14" t="s">
        <v>539</v>
      </c>
      <c r="DI1143" s="14">
        <f>INDEX(属性投放!$BL$6:$BL$85,(CV1143-2)*20+CZ1143)</f>
        <v>425</v>
      </c>
      <c r="DJ1143" s="14">
        <f>SUMIFS(DI$5:DI1143,$CT$5:$CT1143,"="&amp;$CT1143)</f>
        <v>5636</v>
      </c>
      <c r="DK1143" s="14" t="s">
        <v>540</v>
      </c>
      <c r="DL1143" s="14">
        <f>INDEX(属性投放!$BM$6:$BM$85,(CV1143-2)*20+CZ1143)</f>
        <v>8500</v>
      </c>
      <c r="DM1143" s="14">
        <f>SUMIFS(DL$5:DL1143,$CT$5:$CT1143,"="&amp;$CT1143)</f>
        <v>109420</v>
      </c>
    </row>
    <row r="1144" spans="97:117" ht="16.5" x14ac:dyDescent="0.2">
      <c r="CS1144" s="13">
        <v>1140</v>
      </c>
      <c r="CT1144" s="13">
        <f t="shared" si="1102"/>
        <v>22</v>
      </c>
      <c r="CU1144" s="13">
        <f t="shared" si="1103"/>
        <v>48</v>
      </c>
      <c r="CV1144" s="14">
        <f t="shared" si="1104"/>
        <v>2</v>
      </c>
      <c r="CW1144" s="14">
        <f t="shared" si="1105"/>
        <v>1102050</v>
      </c>
      <c r="CX1144" s="14" t="str">
        <f>INDEX($O$6:$O$50,CT1144)&amp;"-"&amp;INDEX(属性投放!$AB$7:$AB$50,CZ1144)&amp;"-魂火-"&amp;DB1144</f>
        <v>柠檬精-无间-魂火-3</v>
      </c>
      <c r="CY1144" s="25" t="s">
        <v>142</v>
      </c>
      <c r="CZ1144" s="14">
        <f>INDEX(属性投放!$AM$7:$AM$58,CU1144)</f>
        <v>19</v>
      </c>
      <c r="DA1144" s="14" t="s">
        <v>537</v>
      </c>
      <c r="DB1144" s="14">
        <f>INDEX(属性投放!$AN$7:$AN$58,CU1144)</f>
        <v>3</v>
      </c>
      <c r="DC1144" s="14">
        <f t="shared" si="1101"/>
        <v>48</v>
      </c>
      <c r="DD1144" s="14">
        <f>INDEX(属性投放!$AO$7:$AO$58,DC1144)</f>
        <v>138</v>
      </c>
      <c r="DE1144" s="14" t="s">
        <v>538</v>
      </c>
      <c r="DF1144" s="14">
        <f>INDEX(属性投放!$BK$6:$BK$85,(CV1144-2)*20+CZ1144)</f>
        <v>850</v>
      </c>
      <c r="DG1144" s="14">
        <f>SUMIFS(DF$5:DF1144,$CT$5:$CT1144,"="&amp;$CT1144)</f>
        <v>12115</v>
      </c>
      <c r="DH1144" s="14" t="s">
        <v>539</v>
      </c>
      <c r="DI1144" s="14">
        <f>INDEX(属性投放!$BL$6:$BL$85,(CV1144-2)*20+CZ1144)</f>
        <v>425</v>
      </c>
      <c r="DJ1144" s="14">
        <f>SUMIFS(DI$5:DI1144,$CT$5:$CT1144,"="&amp;$CT1144)</f>
        <v>6061</v>
      </c>
      <c r="DK1144" s="14" t="s">
        <v>540</v>
      </c>
      <c r="DL1144" s="14">
        <f>INDEX(属性投放!$BM$6:$BM$85,(CV1144-2)*20+CZ1144)</f>
        <v>8500</v>
      </c>
      <c r="DM1144" s="14">
        <f>SUMIFS(DL$5:DL1144,$CT$5:$CT1144,"="&amp;$CT1144)</f>
        <v>117920</v>
      </c>
    </row>
    <row r="1145" spans="97:117" ht="16.5" x14ac:dyDescent="0.2">
      <c r="CS1145" s="13">
        <v>1141</v>
      </c>
      <c r="CT1145" s="13">
        <f t="shared" si="1102"/>
        <v>22</v>
      </c>
      <c r="CU1145" s="13">
        <f t="shared" si="1103"/>
        <v>49</v>
      </c>
      <c r="CV1145" s="14">
        <f t="shared" si="1104"/>
        <v>2</v>
      </c>
      <c r="CW1145" s="14">
        <f t="shared" si="1105"/>
        <v>1102050</v>
      </c>
      <c r="CX1145" s="14" t="str">
        <f>INDEX($O$6:$O$50,CT1145)&amp;"-"&amp;INDEX(属性投放!$AB$7:$AB$50,CZ1145)&amp;"-魂火-"&amp;DB1145</f>
        <v>柠檬精-无间+1-魂火-1</v>
      </c>
      <c r="CY1145" s="25" t="s">
        <v>142</v>
      </c>
      <c r="CZ1145" s="14">
        <f>INDEX(属性投放!$AM$7:$AM$58,CU1145)</f>
        <v>20</v>
      </c>
      <c r="DA1145" s="14" t="s">
        <v>537</v>
      </c>
      <c r="DB1145" s="14">
        <f>INDEX(属性投放!$AN$7:$AN$58,CU1145)</f>
        <v>1</v>
      </c>
      <c r="DC1145" s="14">
        <f t="shared" si="1101"/>
        <v>49</v>
      </c>
      <c r="DD1145" s="14">
        <f>INDEX(属性投放!$AO$7:$AO$58,DC1145)</f>
        <v>140</v>
      </c>
      <c r="DE1145" s="14" t="s">
        <v>538</v>
      </c>
      <c r="DF1145" s="14">
        <f>INDEX(属性投放!$BK$6:$BK$85,(CV1145-2)*20+CZ1145)</f>
        <v>1000</v>
      </c>
      <c r="DG1145" s="14">
        <f>SUMIFS(DF$5:DF1145,$CT$5:$CT1145,"="&amp;$CT1145)</f>
        <v>13115</v>
      </c>
      <c r="DH1145" s="14" t="s">
        <v>539</v>
      </c>
      <c r="DI1145" s="14">
        <f>INDEX(属性投放!$BL$6:$BL$85,(CV1145-2)*20+CZ1145)</f>
        <v>500</v>
      </c>
      <c r="DJ1145" s="14">
        <f>SUMIFS(DI$5:DI1145,$CT$5:$CT1145,"="&amp;$CT1145)</f>
        <v>6561</v>
      </c>
      <c r="DK1145" s="14" t="s">
        <v>540</v>
      </c>
      <c r="DL1145" s="14">
        <f>INDEX(属性投放!$BM$6:$BM$85,(CV1145-2)*20+CZ1145)</f>
        <v>10000</v>
      </c>
      <c r="DM1145" s="14">
        <f>SUMIFS(DL$5:DL1145,$CT$5:$CT1145,"="&amp;$CT1145)</f>
        <v>127920</v>
      </c>
    </row>
    <row r="1146" spans="97:117" ht="16.5" x14ac:dyDescent="0.2">
      <c r="CS1146" s="13">
        <v>1142</v>
      </c>
      <c r="CT1146" s="13">
        <f t="shared" si="1102"/>
        <v>22</v>
      </c>
      <c r="CU1146" s="13">
        <f t="shared" si="1103"/>
        <v>50</v>
      </c>
      <c r="CV1146" s="14">
        <f t="shared" si="1104"/>
        <v>2</v>
      </c>
      <c r="CW1146" s="14">
        <f t="shared" si="1105"/>
        <v>1102050</v>
      </c>
      <c r="CX1146" s="14" t="str">
        <f>INDEX($O$6:$O$50,CT1146)&amp;"-"&amp;INDEX(属性投放!$AB$7:$AB$50,CZ1146)&amp;"-魂火-"&amp;DB1146</f>
        <v>柠檬精-无间+1-魂火-2</v>
      </c>
      <c r="CY1146" s="25" t="s">
        <v>142</v>
      </c>
      <c r="CZ1146" s="14">
        <f>INDEX(属性投放!$AM$7:$AM$58,CU1146)</f>
        <v>20</v>
      </c>
      <c r="DA1146" s="14" t="s">
        <v>537</v>
      </c>
      <c r="DB1146" s="14">
        <f>INDEX(属性投放!$AN$7:$AN$58,CU1146)</f>
        <v>2</v>
      </c>
      <c r="DC1146" s="14">
        <f t="shared" si="1101"/>
        <v>50</v>
      </c>
      <c r="DD1146" s="14">
        <f>INDEX(属性投放!$AO$7:$AO$58,DC1146)</f>
        <v>143</v>
      </c>
      <c r="DE1146" s="14" t="s">
        <v>538</v>
      </c>
      <c r="DF1146" s="14">
        <f>INDEX(属性投放!$BK$6:$BK$85,(CV1146-2)*20+CZ1146)</f>
        <v>1000</v>
      </c>
      <c r="DG1146" s="14">
        <f>SUMIFS(DF$5:DF1146,$CT$5:$CT1146,"="&amp;$CT1146)</f>
        <v>14115</v>
      </c>
      <c r="DH1146" s="14" t="s">
        <v>539</v>
      </c>
      <c r="DI1146" s="14">
        <f>INDEX(属性投放!$BL$6:$BL$85,(CV1146-2)*20+CZ1146)</f>
        <v>500</v>
      </c>
      <c r="DJ1146" s="14">
        <f>SUMIFS(DI$5:DI1146,$CT$5:$CT1146,"="&amp;$CT1146)</f>
        <v>7061</v>
      </c>
      <c r="DK1146" s="14" t="s">
        <v>540</v>
      </c>
      <c r="DL1146" s="14">
        <f>INDEX(属性投放!$BM$6:$BM$85,(CV1146-2)*20+CZ1146)</f>
        <v>10000</v>
      </c>
      <c r="DM1146" s="14">
        <f>SUMIFS(DL$5:DL1146,$CT$5:$CT1146,"="&amp;$CT1146)</f>
        <v>137920</v>
      </c>
    </row>
    <row r="1147" spans="97:117" ht="16.5" x14ac:dyDescent="0.2">
      <c r="CS1147" s="13">
        <v>1143</v>
      </c>
      <c r="CT1147" s="13">
        <f t="shared" si="1102"/>
        <v>22</v>
      </c>
      <c r="CU1147" s="13">
        <f t="shared" si="1103"/>
        <v>51</v>
      </c>
      <c r="CV1147" s="14">
        <f t="shared" si="1104"/>
        <v>2</v>
      </c>
      <c r="CW1147" s="14">
        <f t="shared" si="1105"/>
        <v>1102050</v>
      </c>
      <c r="CX1147" s="14" t="str">
        <f>INDEX($O$6:$O$50,CT1147)&amp;"-"&amp;INDEX(属性投放!$AB$7:$AB$50,CZ1147)&amp;"-魂火-"&amp;DB1147</f>
        <v>柠檬精-无间+1-魂火-3</v>
      </c>
      <c r="CY1147" s="25" t="s">
        <v>142</v>
      </c>
      <c r="CZ1147" s="14">
        <f>INDEX(属性投放!$AM$7:$AM$58,CU1147)</f>
        <v>20</v>
      </c>
      <c r="DA1147" s="14" t="s">
        <v>537</v>
      </c>
      <c r="DB1147" s="14">
        <f>INDEX(属性投放!$AN$7:$AN$58,CU1147)</f>
        <v>3</v>
      </c>
      <c r="DC1147" s="14">
        <f t="shared" si="1101"/>
        <v>51</v>
      </c>
      <c r="DD1147" s="14">
        <f>INDEX(属性投放!$AO$7:$AO$58,DC1147)</f>
        <v>145</v>
      </c>
      <c r="DE1147" s="14" t="s">
        <v>538</v>
      </c>
      <c r="DF1147" s="14">
        <f>INDEX(属性投放!$BK$6:$BK$85,(CV1147-2)*20+CZ1147)</f>
        <v>1000</v>
      </c>
      <c r="DG1147" s="14">
        <f>SUMIFS(DF$5:DF1147,$CT$5:$CT1147,"="&amp;$CT1147)</f>
        <v>15115</v>
      </c>
      <c r="DH1147" s="14" t="s">
        <v>539</v>
      </c>
      <c r="DI1147" s="14">
        <f>INDEX(属性投放!$BL$6:$BL$85,(CV1147-2)*20+CZ1147)</f>
        <v>500</v>
      </c>
      <c r="DJ1147" s="14">
        <f>SUMIFS(DI$5:DI1147,$CT$5:$CT1147,"="&amp;$CT1147)</f>
        <v>7561</v>
      </c>
      <c r="DK1147" s="14" t="s">
        <v>540</v>
      </c>
      <c r="DL1147" s="14">
        <f>INDEX(属性投放!$BM$6:$BM$85,(CV1147-2)*20+CZ1147)</f>
        <v>10000</v>
      </c>
      <c r="DM1147" s="14">
        <f>SUMIFS(DL$5:DL1147,$CT$5:$CT1147,"="&amp;$CT1147)</f>
        <v>147920</v>
      </c>
    </row>
    <row r="1148" spans="97:117" ht="16.5" x14ac:dyDescent="0.2">
      <c r="CS1148" s="13">
        <v>1144</v>
      </c>
      <c r="CT1148" s="13">
        <f t="shared" si="1102"/>
        <v>22</v>
      </c>
      <c r="CU1148" s="13">
        <f t="shared" si="1103"/>
        <v>52</v>
      </c>
      <c r="CV1148" s="14">
        <f t="shared" si="1104"/>
        <v>2</v>
      </c>
      <c r="CW1148" s="14">
        <f t="shared" si="1105"/>
        <v>1102050</v>
      </c>
      <c r="CX1148" s="14" t="str">
        <f>INDEX($O$6:$O$50,CT1148)&amp;"-"&amp;INDEX(属性投放!$AB$7:$AB$50,CZ1148)&amp;"-魂火-"&amp;DB1148</f>
        <v>柠檬精-无间+1-魂火-4</v>
      </c>
      <c r="CY1148" s="25" t="s">
        <v>142</v>
      </c>
      <c r="CZ1148" s="14">
        <f>INDEX(属性投放!$AM$7:$AM$58,CU1148)</f>
        <v>20</v>
      </c>
      <c r="DA1148" s="14" t="s">
        <v>537</v>
      </c>
      <c r="DB1148" s="14">
        <f>INDEX(属性投放!$AN$7:$AN$58,CU1148)</f>
        <v>4</v>
      </c>
      <c r="DC1148" s="14">
        <f t="shared" si="1101"/>
        <v>52</v>
      </c>
      <c r="DD1148" s="14">
        <f>INDEX(属性投放!$AO$7:$AO$58,DC1148)</f>
        <v>148</v>
      </c>
      <c r="DE1148" s="14" t="s">
        <v>538</v>
      </c>
      <c r="DF1148" s="14">
        <f>INDEX(属性投放!$BK$6:$BK$85,(CV1148-2)*20+CZ1148)</f>
        <v>1000</v>
      </c>
      <c r="DG1148" s="14">
        <f>SUMIFS(DF$5:DF1148,$CT$5:$CT1148,"="&amp;$CT1148)</f>
        <v>16115</v>
      </c>
      <c r="DH1148" s="14" t="s">
        <v>539</v>
      </c>
      <c r="DI1148" s="14">
        <f>INDEX(属性投放!$BL$6:$BL$85,(CV1148-2)*20+CZ1148)</f>
        <v>500</v>
      </c>
      <c r="DJ1148" s="14">
        <f>SUMIFS(DI$5:DI1148,$CT$5:$CT1148,"="&amp;$CT1148)</f>
        <v>8061</v>
      </c>
      <c r="DK1148" s="14" t="s">
        <v>540</v>
      </c>
      <c r="DL1148" s="14">
        <f>INDEX(属性投放!$BM$6:$BM$85,(CV1148-2)*20+CZ1148)</f>
        <v>10000</v>
      </c>
      <c r="DM1148" s="14">
        <f>SUMIFS(DL$5:DL1148,$CT$5:$CT1148,"="&amp;$CT1148)</f>
        <v>157920</v>
      </c>
    </row>
    <row r="1149" spans="97:117" ht="16.5" x14ac:dyDescent="0.2">
      <c r="CS1149" s="13">
        <v>1145</v>
      </c>
      <c r="CT1149" s="13">
        <f t="shared" si="1102"/>
        <v>23</v>
      </c>
      <c r="CU1149" s="13">
        <f t="shared" si="1103"/>
        <v>1</v>
      </c>
      <c r="CV1149" s="14">
        <f t="shared" si="1104"/>
        <v>2</v>
      </c>
      <c r="CW1149" s="14">
        <f t="shared" si="1105"/>
        <v>1102023</v>
      </c>
      <c r="CX1149" s="14" t="str">
        <f>INDEX($O$6:$O$50,CT1149)&amp;"-"&amp;INDEX(属性投放!$AB$7:$AB$50,CZ1149)&amp;"-魂火-"&amp;DB1149</f>
        <v>异邦刀客-等活-魂火-1</v>
      </c>
      <c r="CY1149" s="25" t="s">
        <v>142</v>
      </c>
      <c r="CZ1149" s="14">
        <f>INDEX(属性投放!$AM$7:$AM$58,CU1149)</f>
        <v>1</v>
      </c>
      <c r="DA1149" s="14" t="s">
        <v>537</v>
      </c>
      <c r="DB1149" s="14">
        <f>INDEX(属性投放!$AN$7:$AN$58,CU1149)</f>
        <v>1</v>
      </c>
      <c r="DC1149" s="14">
        <f t="shared" ref="DC1149:DC1164" si="1106">CU1149</f>
        <v>1</v>
      </c>
      <c r="DD1149" s="14">
        <f>INDEX(属性投放!$AO$7:$AO$58,DC1149)</f>
        <v>3</v>
      </c>
      <c r="DE1149" s="14" t="s">
        <v>242</v>
      </c>
      <c r="DF1149" s="14">
        <f>INDEX(属性投放!$BK$6:$BK$85,(CV1149-2)*20+CZ1149)</f>
        <v>15</v>
      </c>
      <c r="DG1149" s="14">
        <f>SUMIFS(DF$5:DF1149,$CT$5:$CT1149,"="&amp;$CT1149)</f>
        <v>15</v>
      </c>
      <c r="DH1149" s="14" t="s">
        <v>198</v>
      </c>
      <c r="DI1149" s="14">
        <f>INDEX(属性投放!$BL$6:$BL$85,(CV1149-2)*20+CZ1149)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INDEX(属性投放!$BM$6:$BM$85,(CV1149-2)*20+CZ1149)</f>
        <v>90</v>
      </c>
      <c r="DM1149" s="14">
        <f>SUMIFS(DL$5:DL1149,$CT$5:$CT1149,"="&amp;$CT1149)</f>
        <v>90</v>
      </c>
    </row>
    <row r="1150" spans="97:117" ht="16.5" x14ac:dyDescent="0.2">
      <c r="CS1150" s="13">
        <v>1146</v>
      </c>
      <c r="CT1150" s="13">
        <f t="shared" si="1102"/>
        <v>23</v>
      </c>
      <c r="CU1150" s="13">
        <f t="shared" si="1103"/>
        <v>2</v>
      </c>
      <c r="CV1150" s="14">
        <f t="shared" si="1104"/>
        <v>2</v>
      </c>
      <c r="CW1150" s="14">
        <f t="shared" si="1105"/>
        <v>1102023</v>
      </c>
      <c r="CX1150" s="14" t="str">
        <f>INDEX($O$6:$O$50,CT1150)&amp;"-"&amp;INDEX(属性投放!$AB$7:$AB$50,CZ1150)&amp;"-魂火-"&amp;DB1150</f>
        <v>异邦刀客-黑绳-魂火-1</v>
      </c>
      <c r="CY1150" s="25" t="s">
        <v>142</v>
      </c>
      <c r="CZ1150" s="14">
        <f>INDEX(属性投放!$AM$7:$AM$58,CU1150)</f>
        <v>2</v>
      </c>
      <c r="DA1150" s="14" t="s">
        <v>537</v>
      </c>
      <c r="DB1150" s="14">
        <f>INDEX(属性投放!$AN$7:$AN$58,CU1150)</f>
        <v>1</v>
      </c>
      <c r="DC1150" s="14">
        <f t="shared" si="1106"/>
        <v>2</v>
      </c>
      <c r="DD1150" s="14">
        <f>INDEX(属性投放!$AO$7:$AO$58,DC1150)</f>
        <v>8</v>
      </c>
      <c r="DE1150" s="14" t="s">
        <v>242</v>
      </c>
      <c r="DF1150" s="14">
        <f>INDEX(属性投放!$BK$6:$BK$85,(CV1150-2)*20+CZ1150)</f>
        <v>20</v>
      </c>
      <c r="DG1150" s="14">
        <f>SUMIFS(DF$5:DF1150,$CT$5:$CT1150,"="&amp;$CT1150)</f>
        <v>35</v>
      </c>
      <c r="DH1150" s="14" t="s">
        <v>198</v>
      </c>
      <c r="DI1150" s="14">
        <f>INDEX(属性投放!$BL$6:$BL$85,(CV1150-2)*20+CZ1150)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INDEX(属性投放!$BM$6:$BM$85,(CV1150-2)*20+CZ1150)</f>
        <v>120</v>
      </c>
      <c r="DM1150" s="14">
        <f>SUMIFS(DL$5:DL1150,$CT$5:$CT1150,"="&amp;$CT1150)</f>
        <v>210</v>
      </c>
    </row>
    <row r="1151" spans="97:117" ht="16.5" x14ac:dyDescent="0.2">
      <c r="CS1151" s="13">
        <v>1147</v>
      </c>
      <c r="CT1151" s="13">
        <f t="shared" si="1102"/>
        <v>23</v>
      </c>
      <c r="CU1151" s="13">
        <f t="shared" si="1103"/>
        <v>3</v>
      </c>
      <c r="CV1151" s="14">
        <f t="shared" si="1104"/>
        <v>2</v>
      </c>
      <c r="CW1151" s="14">
        <f t="shared" si="1105"/>
        <v>1102023</v>
      </c>
      <c r="CX1151" s="14" t="str">
        <f>INDEX($O$6:$O$50,CT1151)&amp;"-"&amp;INDEX(属性投放!$AB$7:$AB$50,CZ1151)&amp;"-魂火-"&amp;DB1151</f>
        <v>异邦刀客-黑绳-魂火-2</v>
      </c>
      <c r="CY1151" s="25" t="s">
        <v>142</v>
      </c>
      <c r="CZ1151" s="14">
        <f>INDEX(属性投放!$AM$7:$AM$58,CU1151)</f>
        <v>2</v>
      </c>
      <c r="DA1151" s="14" t="s">
        <v>537</v>
      </c>
      <c r="DB1151" s="14">
        <f>INDEX(属性投放!$AN$7:$AN$58,CU1151)</f>
        <v>2</v>
      </c>
      <c r="DC1151" s="14">
        <f t="shared" si="1106"/>
        <v>3</v>
      </c>
      <c r="DD1151" s="14">
        <f>INDEX(属性投放!$AO$7:$AO$58,DC1151)</f>
        <v>13</v>
      </c>
      <c r="DE1151" s="14" t="s">
        <v>242</v>
      </c>
      <c r="DF1151" s="14">
        <f>INDEX(属性投放!$BK$6:$BK$85,(CV1151-2)*20+CZ1151)</f>
        <v>20</v>
      </c>
      <c r="DG1151" s="14">
        <f>SUMIFS(DF$5:DF1151,$CT$5:$CT1151,"="&amp;$CT1151)</f>
        <v>55</v>
      </c>
      <c r="DH1151" s="14" t="s">
        <v>198</v>
      </c>
      <c r="DI1151" s="14">
        <f>INDEX(属性投放!$BL$6:$BL$85,(CV1151-2)*20+CZ1151)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INDEX(属性投放!$BM$6:$BM$85,(CV1151-2)*20+CZ1151)</f>
        <v>120</v>
      </c>
      <c r="DM1151" s="14">
        <f>SUMIFS(DL$5:DL1151,$CT$5:$CT1151,"="&amp;$CT1151)</f>
        <v>330</v>
      </c>
    </row>
    <row r="1152" spans="97:117" ht="16.5" x14ac:dyDescent="0.2">
      <c r="CS1152" s="13">
        <v>1148</v>
      </c>
      <c r="CT1152" s="13">
        <f t="shared" si="1102"/>
        <v>23</v>
      </c>
      <c r="CU1152" s="13">
        <f t="shared" si="1103"/>
        <v>4</v>
      </c>
      <c r="CV1152" s="14">
        <f t="shared" si="1104"/>
        <v>2</v>
      </c>
      <c r="CW1152" s="14">
        <f t="shared" si="1105"/>
        <v>1102023</v>
      </c>
      <c r="CX1152" s="14" t="str">
        <f>INDEX($O$6:$O$50,CT1152)&amp;"-"&amp;INDEX(属性投放!$AB$7:$AB$50,CZ1152)&amp;"-魂火-"&amp;DB1152</f>
        <v>异邦刀客-黑绳+1-魂火-1</v>
      </c>
      <c r="CY1152" s="25" t="s">
        <v>142</v>
      </c>
      <c r="CZ1152" s="14">
        <f>INDEX(属性投放!$AM$7:$AM$58,CU1152)</f>
        <v>3</v>
      </c>
      <c r="DA1152" s="14" t="s">
        <v>537</v>
      </c>
      <c r="DB1152" s="14">
        <f>INDEX(属性投放!$AN$7:$AN$58,CU1152)</f>
        <v>1</v>
      </c>
      <c r="DC1152" s="14">
        <f t="shared" si="1106"/>
        <v>4</v>
      </c>
      <c r="DD1152" s="14">
        <f>INDEX(属性投放!$AO$7:$AO$58,DC1152)</f>
        <v>18</v>
      </c>
      <c r="DE1152" s="14" t="s">
        <v>242</v>
      </c>
      <c r="DF1152" s="14">
        <f>INDEX(属性投放!$BK$6:$BK$85,(CV1152-2)*20+CZ1152)</f>
        <v>25</v>
      </c>
      <c r="DG1152" s="14">
        <f>SUMIFS(DF$5:DF1152,$CT$5:$CT1152,"="&amp;$CT1152)</f>
        <v>80</v>
      </c>
      <c r="DH1152" s="14" t="s">
        <v>198</v>
      </c>
      <c r="DI1152" s="14">
        <f>INDEX(属性投放!$BL$6:$BL$85,(CV1152-2)*20+CZ1152)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INDEX(属性投放!$BM$6:$BM$85,(CV1152-2)*20+CZ1152)</f>
        <v>150</v>
      </c>
      <c r="DM1152" s="14">
        <f>SUMIFS(DL$5:DL1152,$CT$5:$CT1152,"="&amp;$CT1152)</f>
        <v>480</v>
      </c>
    </row>
    <row r="1153" spans="97:117" ht="16.5" x14ac:dyDescent="0.2">
      <c r="CS1153" s="13">
        <v>1149</v>
      </c>
      <c r="CT1153" s="13">
        <f t="shared" si="1102"/>
        <v>23</v>
      </c>
      <c r="CU1153" s="13">
        <f t="shared" si="1103"/>
        <v>5</v>
      </c>
      <c r="CV1153" s="14">
        <f t="shared" si="1104"/>
        <v>2</v>
      </c>
      <c r="CW1153" s="14">
        <f t="shared" si="1105"/>
        <v>1102023</v>
      </c>
      <c r="CX1153" s="14" t="str">
        <f>INDEX($O$6:$O$50,CT1153)&amp;"-"&amp;INDEX(属性投放!$AB$7:$AB$50,CZ1153)&amp;"-魂火-"&amp;DB1153</f>
        <v>异邦刀客-黑绳+1-魂火-2</v>
      </c>
      <c r="CY1153" s="25" t="s">
        <v>142</v>
      </c>
      <c r="CZ1153" s="14">
        <f>INDEX(属性投放!$AM$7:$AM$58,CU1153)</f>
        <v>3</v>
      </c>
      <c r="DA1153" s="14" t="s">
        <v>537</v>
      </c>
      <c r="DB1153" s="14">
        <f>INDEX(属性投放!$AN$7:$AN$58,CU1153)</f>
        <v>2</v>
      </c>
      <c r="DC1153" s="14">
        <f t="shared" si="1106"/>
        <v>5</v>
      </c>
      <c r="DD1153" s="14">
        <f>INDEX(属性投放!$AO$7:$AO$58,DC1153)</f>
        <v>23</v>
      </c>
      <c r="DE1153" s="14" t="s">
        <v>242</v>
      </c>
      <c r="DF1153" s="14">
        <f>INDEX(属性投放!$BK$6:$BK$85,(CV1153-2)*20+CZ1153)</f>
        <v>25</v>
      </c>
      <c r="DG1153" s="14">
        <f>SUMIFS(DF$5:DF1153,$CT$5:$CT1153,"="&amp;$CT1153)</f>
        <v>105</v>
      </c>
      <c r="DH1153" s="14" t="s">
        <v>198</v>
      </c>
      <c r="DI1153" s="14">
        <f>INDEX(属性投放!$BL$6:$BL$85,(CV1153-2)*20+CZ1153)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INDEX(属性投放!$BM$6:$BM$85,(CV1153-2)*20+CZ1153)</f>
        <v>150</v>
      </c>
      <c r="DM1153" s="14">
        <f>SUMIFS(DL$5:DL1153,$CT$5:$CT1153,"="&amp;$CT1153)</f>
        <v>630</v>
      </c>
    </row>
    <row r="1154" spans="97:117" ht="16.5" x14ac:dyDescent="0.2">
      <c r="CS1154" s="13">
        <v>1150</v>
      </c>
      <c r="CT1154" s="13">
        <f t="shared" si="1102"/>
        <v>23</v>
      </c>
      <c r="CU1154" s="13">
        <f t="shared" si="1103"/>
        <v>6</v>
      </c>
      <c r="CV1154" s="14">
        <f t="shared" si="1104"/>
        <v>2</v>
      </c>
      <c r="CW1154" s="14">
        <f t="shared" si="1105"/>
        <v>1102023</v>
      </c>
      <c r="CX1154" s="14" t="str">
        <f>INDEX($O$6:$O$50,CT1154)&amp;"-"&amp;INDEX(属性投放!$AB$7:$AB$50,CZ1154)&amp;"-魂火-"&amp;DB1154</f>
        <v>异邦刀客-众合-魂火-1</v>
      </c>
      <c r="CY1154" s="25" t="s">
        <v>142</v>
      </c>
      <c r="CZ1154" s="14">
        <f>INDEX(属性投放!$AM$7:$AM$58,CU1154)</f>
        <v>4</v>
      </c>
      <c r="DA1154" s="14" t="s">
        <v>537</v>
      </c>
      <c r="DB1154" s="14">
        <f>INDEX(属性投放!$AN$7:$AN$58,CU1154)</f>
        <v>1</v>
      </c>
      <c r="DC1154" s="14">
        <f t="shared" si="1106"/>
        <v>6</v>
      </c>
      <c r="DD1154" s="14">
        <f>INDEX(属性投放!$AO$7:$AO$58,DC1154)</f>
        <v>28</v>
      </c>
      <c r="DE1154" s="14" t="s">
        <v>242</v>
      </c>
      <c r="DF1154" s="14">
        <f>INDEX(属性投放!$BK$6:$BK$85,(CV1154-2)*20+CZ1154)</f>
        <v>30</v>
      </c>
      <c r="DG1154" s="14">
        <f>SUMIFS(DF$5:DF1154,$CT$5:$CT1154,"="&amp;$CT1154)</f>
        <v>135</v>
      </c>
      <c r="DH1154" s="14" t="s">
        <v>198</v>
      </c>
      <c r="DI1154" s="14">
        <f>INDEX(属性投放!$BL$6:$BL$85,(CV1154-2)*20+CZ1154)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INDEX(属性投放!$BM$6:$BM$85,(CV1154-2)*20+CZ1154)</f>
        <v>210</v>
      </c>
      <c r="DM1154" s="14">
        <f>SUMIFS(DL$5:DL1154,$CT$5:$CT1154,"="&amp;$CT1154)</f>
        <v>840</v>
      </c>
    </row>
    <row r="1155" spans="97:117" ht="16.5" x14ac:dyDescent="0.2">
      <c r="CS1155" s="13">
        <v>1151</v>
      </c>
      <c r="CT1155" s="13">
        <f t="shared" si="1102"/>
        <v>23</v>
      </c>
      <c r="CU1155" s="13">
        <f t="shared" si="1103"/>
        <v>7</v>
      </c>
      <c r="CV1155" s="14">
        <f t="shared" si="1104"/>
        <v>2</v>
      </c>
      <c r="CW1155" s="14">
        <f t="shared" si="1105"/>
        <v>1102023</v>
      </c>
      <c r="CX1155" s="14" t="str">
        <f>INDEX($O$6:$O$50,CT1155)&amp;"-"&amp;INDEX(属性投放!$AB$7:$AB$50,CZ1155)&amp;"-魂火-"&amp;DB1155</f>
        <v>异邦刀客-众合-魂火-2</v>
      </c>
      <c r="CY1155" s="25" t="s">
        <v>142</v>
      </c>
      <c r="CZ1155" s="14">
        <f>INDEX(属性投放!$AM$7:$AM$58,CU1155)</f>
        <v>4</v>
      </c>
      <c r="DA1155" s="14" t="s">
        <v>537</v>
      </c>
      <c r="DB1155" s="14">
        <f>INDEX(属性投放!$AN$7:$AN$58,CU1155)</f>
        <v>2</v>
      </c>
      <c r="DC1155" s="14">
        <f t="shared" si="1106"/>
        <v>7</v>
      </c>
      <c r="DD1155" s="14">
        <f>INDEX(属性投放!$AO$7:$AO$58,DC1155)</f>
        <v>33</v>
      </c>
      <c r="DE1155" s="14" t="s">
        <v>242</v>
      </c>
      <c r="DF1155" s="14">
        <f>INDEX(属性投放!$BK$6:$BK$85,(CV1155-2)*20+CZ1155)</f>
        <v>30</v>
      </c>
      <c r="DG1155" s="14">
        <f>SUMIFS(DF$5:DF1155,$CT$5:$CT1155,"="&amp;$CT1155)</f>
        <v>165</v>
      </c>
      <c r="DH1155" s="14" t="s">
        <v>198</v>
      </c>
      <c r="DI1155" s="14">
        <f>INDEX(属性投放!$BL$6:$BL$85,(CV1155-2)*20+CZ1155)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INDEX(属性投放!$BM$6:$BM$85,(CV1155-2)*20+CZ1155)</f>
        <v>210</v>
      </c>
      <c r="DM1155" s="14">
        <f>SUMIFS(DL$5:DL1155,$CT$5:$CT1155,"="&amp;$CT1155)</f>
        <v>1050</v>
      </c>
    </row>
    <row r="1156" spans="97:117" ht="16.5" x14ac:dyDescent="0.2">
      <c r="CS1156" s="13">
        <v>1152</v>
      </c>
      <c r="CT1156" s="13">
        <f t="shared" si="1102"/>
        <v>23</v>
      </c>
      <c r="CU1156" s="13">
        <f t="shared" si="1103"/>
        <v>8</v>
      </c>
      <c r="CV1156" s="14">
        <f t="shared" si="1104"/>
        <v>2</v>
      </c>
      <c r="CW1156" s="14">
        <f t="shared" si="1105"/>
        <v>1102023</v>
      </c>
      <c r="CX1156" s="14" t="str">
        <f>INDEX($O$6:$O$50,CT1156)&amp;"-"&amp;INDEX(属性投放!$AB$7:$AB$50,CZ1156)&amp;"-魂火-"&amp;DB1156</f>
        <v>异邦刀客-众合+1-魂火-1</v>
      </c>
      <c r="CY1156" s="25" t="s">
        <v>142</v>
      </c>
      <c r="CZ1156" s="14">
        <f>INDEX(属性投放!$AM$7:$AM$58,CU1156)</f>
        <v>5</v>
      </c>
      <c r="DA1156" s="14" t="s">
        <v>537</v>
      </c>
      <c r="DB1156" s="14">
        <f>INDEX(属性投放!$AN$7:$AN$58,CU1156)</f>
        <v>1</v>
      </c>
      <c r="DC1156" s="14">
        <f t="shared" si="1106"/>
        <v>8</v>
      </c>
      <c r="DD1156" s="14">
        <f>INDEX(属性投放!$AO$7:$AO$58,DC1156)</f>
        <v>38</v>
      </c>
      <c r="DE1156" s="14" t="s">
        <v>242</v>
      </c>
      <c r="DF1156" s="14">
        <f>INDEX(属性投放!$BK$6:$BK$85,(CV1156-2)*20+CZ1156)</f>
        <v>35</v>
      </c>
      <c r="DG1156" s="14">
        <f>SUMIFS(DF$5:DF1156,$CT$5:$CT1156,"="&amp;$CT1156)</f>
        <v>200</v>
      </c>
      <c r="DH1156" s="14" t="s">
        <v>198</v>
      </c>
      <c r="DI1156" s="14">
        <f>INDEX(属性投放!$BL$6:$BL$85,(CV1156-2)*20+CZ1156)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INDEX(属性投放!$BM$6:$BM$85,(CV1156-2)*20+CZ1156)</f>
        <v>245</v>
      </c>
      <c r="DM1156" s="14">
        <f>SUMIFS(DL$5:DL1156,$CT$5:$CT1156,"="&amp;$CT1156)</f>
        <v>1295</v>
      </c>
    </row>
    <row r="1157" spans="97:117" ht="16.5" x14ac:dyDescent="0.2">
      <c r="CS1157" s="13">
        <v>1153</v>
      </c>
      <c r="CT1157" s="13">
        <f t="shared" si="1102"/>
        <v>23</v>
      </c>
      <c r="CU1157" s="13">
        <f t="shared" si="1103"/>
        <v>9</v>
      </c>
      <c r="CV1157" s="14">
        <f t="shared" si="1104"/>
        <v>2</v>
      </c>
      <c r="CW1157" s="14">
        <f t="shared" si="1105"/>
        <v>1102023</v>
      </c>
      <c r="CX1157" s="14" t="str">
        <f>INDEX($O$6:$O$50,CT1157)&amp;"-"&amp;INDEX(属性投放!$AB$7:$AB$50,CZ1157)&amp;"-魂火-"&amp;DB1157</f>
        <v>异邦刀客-众合+1-魂火-2</v>
      </c>
      <c r="CY1157" s="25" t="s">
        <v>142</v>
      </c>
      <c r="CZ1157" s="14">
        <f>INDEX(属性投放!$AM$7:$AM$58,CU1157)</f>
        <v>5</v>
      </c>
      <c r="DA1157" s="14" t="s">
        <v>537</v>
      </c>
      <c r="DB1157" s="14">
        <f>INDEX(属性投放!$AN$7:$AN$58,CU1157)</f>
        <v>2</v>
      </c>
      <c r="DC1157" s="14">
        <f t="shared" si="1106"/>
        <v>9</v>
      </c>
      <c r="DD1157" s="14">
        <f>INDEX(属性投放!$AO$7:$AO$58,DC1157)</f>
        <v>40</v>
      </c>
      <c r="DE1157" s="14" t="s">
        <v>242</v>
      </c>
      <c r="DF1157" s="14">
        <f>INDEX(属性投放!$BK$6:$BK$85,(CV1157-2)*20+CZ1157)</f>
        <v>35</v>
      </c>
      <c r="DG1157" s="14">
        <f>SUMIFS(DF$5:DF1157,$CT$5:$CT1157,"="&amp;$CT1157)</f>
        <v>235</v>
      </c>
      <c r="DH1157" s="14" t="s">
        <v>198</v>
      </c>
      <c r="DI1157" s="14">
        <f>INDEX(属性投放!$BL$6:$BL$85,(CV1157-2)*20+CZ1157)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INDEX(属性投放!$BM$6:$BM$85,(CV1157-2)*20+CZ1157)</f>
        <v>245</v>
      </c>
      <c r="DM1157" s="14">
        <f>SUMIFS(DL$5:DL1157,$CT$5:$CT1157,"="&amp;$CT1157)</f>
        <v>1540</v>
      </c>
    </row>
    <row r="1158" spans="97:117" ht="16.5" x14ac:dyDescent="0.2">
      <c r="CS1158" s="13">
        <v>1154</v>
      </c>
      <c r="CT1158" s="13">
        <f t="shared" ref="CT1158:CT1221" si="1107">MATCH(CS1158-1,$U$5:$U$36,1)</f>
        <v>23</v>
      </c>
      <c r="CU1158" s="13">
        <f t="shared" ref="CU1158:CU1215" si="1108">CS1158-(CT1158-1)*52</f>
        <v>10</v>
      </c>
      <c r="CV1158" s="14">
        <f t="shared" ref="CV1158:CV1221" si="1109">INDEX($Q$6:$Q$50,CT1158)</f>
        <v>2</v>
      </c>
      <c r="CW1158" s="14">
        <f t="shared" ref="CW1158:CW1221" si="1110">INDEX($N$6:$N$50,CT1158)</f>
        <v>1102023</v>
      </c>
      <c r="CX1158" s="14" t="str">
        <f>INDEX($O$6:$O$50,CT1158)&amp;"-"&amp;INDEX(属性投放!$AB$7:$AB$50,CZ1158)&amp;"-魂火-"&amp;DB1158</f>
        <v>异邦刀客-众合+2-魂火-1</v>
      </c>
      <c r="CY1158" s="25" t="s">
        <v>142</v>
      </c>
      <c r="CZ1158" s="14">
        <f>INDEX(属性投放!$AM$7:$AM$58,CU1158)</f>
        <v>6</v>
      </c>
      <c r="DA1158" s="14" t="s">
        <v>537</v>
      </c>
      <c r="DB1158" s="14">
        <f>INDEX(属性投放!$AN$7:$AN$58,CU1158)</f>
        <v>1</v>
      </c>
      <c r="DC1158" s="14">
        <f t="shared" si="1106"/>
        <v>10</v>
      </c>
      <c r="DD1158" s="14">
        <f>INDEX(属性投放!$AO$7:$AO$58,DC1158)</f>
        <v>43</v>
      </c>
      <c r="DE1158" s="14" t="s">
        <v>242</v>
      </c>
      <c r="DF1158" s="14">
        <f>INDEX(属性投放!$BK$6:$BK$85,(CV1158-2)*20+CZ1158)</f>
        <v>40</v>
      </c>
      <c r="DG1158" s="14">
        <f>SUMIFS(DF$5:DF1158,$CT$5:$CT1158,"="&amp;$CT1158)</f>
        <v>275</v>
      </c>
      <c r="DH1158" s="14" t="s">
        <v>198</v>
      </c>
      <c r="DI1158" s="14">
        <f>INDEX(属性投放!$BL$6:$BL$85,(CV1158-2)*20+CZ1158)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INDEX(属性投放!$BM$6:$BM$85,(CV1158-2)*20+CZ1158)</f>
        <v>280</v>
      </c>
      <c r="DM1158" s="14">
        <f>SUMIFS(DL$5:DL1158,$CT$5:$CT1158,"="&amp;$CT1158)</f>
        <v>1820</v>
      </c>
    </row>
    <row r="1159" spans="97:117" ht="16.5" x14ac:dyDescent="0.2">
      <c r="CS1159" s="13">
        <v>1155</v>
      </c>
      <c r="CT1159" s="13">
        <f t="shared" si="1107"/>
        <v>23</v>
      </c>
      <c r="CU1159" s="13">
        <f t="shared" si="1108"/>
        <v>11</v>
      </c>
      <c r="CV1159" s="14">
        <f t="shared" si="1109"/>
        <v>2</v>
      </c>
      <c r="CW1159" s="14">
        <f t="shared" si="1110"/>
        <v>1102023</v>
      </c>
      <c r="CX1159" s="14" t="str">
        <f>INDEX($O$6:$O$50,CT1159)&amp;"-"&amp;INDEX(属性投放!$AB$7:$AB$50,CZ1159)&amp;"-魂火-"&amp;DB1159</f>
        <v>异邦刀客-众合+2-魂火-2</v>
      </c>
      <c r="CY1159" s="25" t="s">
        <v>142</v>
      </c>
      <c r="CZ1159" s="14">
        <f>INDEX(属性投放!$AM$7:$AM$58,CU1159)</f>
        <v>6</v>
      </c>
      <c r="DA1159" s="14" t="s">
        <v>537</v>
      </c>
      <c r="DB1159" s="14">
        <f>INDEX(属性投放!$AN$7:$AN$58,CU1159)</f>
        <v>2</v>
      </c>
      <c r="DC1159" s="14">
        <f t="shared" si="1106"/>
        <v>11</v>
      </c>
      <c r="DD1159" s="14">
        <f>INDEX(属性投放!$AO$7:$AO$58,DC1159)</f>
        <v>45</v>
      </c>
      <c r="DE1159" s="14" t="s">
        <v>242</v>
      </c>
      <c r="DF1159" s="14">
        <f>INDEX(属性投放!$BK$6:$BK$85,(CV1159-2)*20+CZ1159)</f>
        <v>40</v>
      </c>
      <c r="DG1159" s="14">
        <f>SUMIFS(DF$5:DF1159,$CT$5:$CT1159,"="&amp;$CT1159)</f>
        <v>315</v>
      </c>
      <c r="DH1159" s="14" t="s">
        <v>198</v>
      </c>
      <c r="DI1159" s="14">
        <f>INDEX(属性投放!$BL$6:$BL$85,(CV1159-2)*20+CZ1159)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INDEX(属性投放!$BM$6:$BM$85,(CV1159-2)*20+CZ1159)</f>
        <v>280</v>
      </c>
      <c r="DM1159" s="14">
        <f>SUMIFS(DL$5:DL1159,$CT$5:$CT1159,"="&amp;$CT1159)</f>
        <v>2100</v>
      </c>
    </row>
    <row r="1160" spans="97:117" ht="16.5" x14ac:dyDescent="0.2">
      <c r="CS1160" s="13">
        <v>1156</v>
      </c>
      <c r="CT1160" s="13">
        <f t="shared" si="1107"/>
        <v>23</v>
      </c>
      <c r="CU1160" s="13">
        <f t="shared" si="1108"/>
        <v>12</v>
      </c>
      <c r="CV1160" s="14">
        <f t="shared" si="1109"/>
        <v>2</v>
      </c>
      <c r="CW1160" s="14">
        <f t="shared" si="1110"/>
        <v>1102023</v>
      </c>
      <c r="CX1160" s="14" t="str">
        <f>INDEX($O$6:$O$50,CT1160)&amp;"-"&amp;INDEX(属性投放!$AB$7:$AB$50,CZ1160)&amp;"-魂火-"&amp;DB1160</f>
        <v>异邦刀客-叫唤-魂火-1</v>
      </c>
      <c r="CY1160" s="25" t="s">
        <v>142</v>
      </c>
      <c r="CZ1160" s="14">
        <f>INDEX(属性投放!$AM$7:$AM$58,CU1160)</f>
        <v>7</v>
      </c>
      <c r="DA1160" s="14" t="s">
        <v>537</v>
      </c>
      <c r="DB1160" s="14">
        <f>INDEX(属性投放!$AN$7:$AN$58,CU1160)</f>
        <v>1</v>
      </c>
      <c r="DC1160" s="14">
        <f t="shared" si="1106"/>
        <v>12</v>
      </c>
      <c r="DD1160" s="14">
        <f>INDEX(属性投放!$AO$7:$AO$58,DC1160)</f>
        <v>48</v>
      </c>
      <c r="DE1160" s="14" t="s">
        <v>242</v>
      </c>
      <c r="DF1160" s="14">
        <f>INDEX(属性投放!$BK$6:$BK$85,(CV1160-2)*20+CZ1160)</f>
        <v>55</v>
      </c>
      <c r="DG1160" s="14">
        <f>SUMIFS(DF$5:DF1160,$CT$5:$CT1160,"="&amp;$CT1160)</f>
        <v>370</v>
      </c>
      <c r="DH1160" s="14" t="s">
        <v>198</v>
      </c>
      <c r="DI1160" s="14">
        <f>INDEX(属性投放!$BL$6:$BL$85,(CV1160-2)*20+CZ1160)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INDEX(属性投放!$BM$6:$BM$85,(CV1160-2)*20+CZ1160)</f>
        <v>440</v>
      </c>
      <c r="DM1160" s="14">
        <f>SUMIFS(DL$5:DL1160,$CT$5:$CT1160,"="&amp;$CT1160)</f>
        <v>2540</v>
      </c>
    </row>
    <row r="1161" spans="97:117" ht="16.5" x14ac:dyDescent="0.2">
      <c r="CS1161" s="13">
        <v>1157</v>
      </c>
      <c r="CT1161" s="13">
        <f t="shared" si="1107"/>
        <v>23</v>
      </c>
      <c r="CU1161" s="13">
        <f t="shared" si="1108"/>
        <v>13</v>
      </c>
      <c r="CV1161" s="14">
        <f t="shared" si="1109"/>
        <v>2</v>
      </c>
      <c r="CW1161" s="14">
        <f t="shared" si="1110"/>
        <v>1102023</v>
      </c>
      <c r="CX1161" s="14" t="str">
        <f>INDEX($O$6:$O$50,CT1161)&amp;"-"&amp;INDEX(属性投放!$AB$7:$AB$50,CZ1161)&amp;"-魂火-"&amp;DB1161</f>
        <v>异邦刀客-叫唤-魂火-2</v>
      </c>
      <c r="CY1161" s="25" t="s">
        <v>142</v>
      </c>
      <c r="CZ1161" s="14">
        <f>INDEX(属性投放!$AM$7:$AM$58,CU1161)</f>
        <v>7</v>
      </c>
      <c r="DA1161" s="14" t="s">
        <v>537</v>
      </c>
      <c r="DB1161" s="14">
        <f>INDEX(属性投放!$AN$7:$AN$58,CU1161)</f>
        <v>2</v>
      </c>
      <c r="DC1161" s="14">
        <f t="shared" si="1106"/>
        <v>13</v>
      </c>
      <c r="DD1161" s="14">
        <f>INDEX(属性投放!$AO$7:$AO$58,DC1161)</f>
        <v>50</v>
      </c>
      <c r="DE1161" s="14" t="s">
        <v>242</v>
      </c>
      <c r="DF1161" s="14">
        <f>INDEX(属性投放!$BK$6:$BK$85,(CV1161-2)*20+CZ1161)</f>
        <v>55</v>
      </c>
      <c r="DG1161" s="14">
        <f>SUMIFS(DF$5:DF1161,$CT$5:$CT1161,"="&amp;$CT1161)</f>
        <v>425</v>
      </c>
      <c r="DH1161" s="14" t="s">
        <v>198</v>
      </c>
      <c r="DI1161" s="14">
        <f>INDEX(属性投放!$BL$6:$BL$85,(CV1161-2)*20+CZ1161)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INDEX(属性投放!$BM$6:$BM$85,(CV1161-2)*20+CZ1161)</f>
        <v>440</v>
      </c>
      <c r="DM1161" s="14">
        <f>SUMIFS(DL$5:DL1161,$CT$5:$CT1161,"="&amp;$CT1161)</f>
        <v>2980</v>
      </c>
    </row>
    <row r="1162" spans="97:117" ht="16.5" x14ac:dyDescent="0.2">
      <c r="CS1162" s="13">
        <v>1158</v>
      </c>
      <c r="CT1162" s="13">
        <f t="shared" si="1107"/>
        <v>23</v>
      </c>
      <c r="CU1162" s="13">
        <f t="shared" si="1108"/>
        <v>14</v>
      </c>
      <c r="CV1162" s="14">
        <f t="shared" si="1109"/>
        <v>2</v>
      </c>
      <c r="CW1162" s="14">
        <f t="shared" si="1110"/>
        <v>1102023</v>
      </c>
      <c r="CX1162" s="14" t="str">
        <f>INDEX($O$6:$O$50,CT1162)&amp;"-"&amp;INDEX(属性投放!$AB$7:$AB$50,CZ1162)&amp;"-魂火-"&amp;DB1162</f>
        <v>异邦刀客-叫唤+1-魂火-1</v>
      </c>
      <c r="CY1162" s="25" t="s">
        <v>142</v>
      </c>
      <c r="CZ1162" s="14">
        <f>INDEX(属性投放!$AM$7:$AM$58,CU1162)</f>
        <v>8</v>
      </c>
      <c r="DA1162" s="14" t="s">
        <v>537</v>
      </c>
      <c r="DB1162" s="14">
        <f>INDEX(属性投放!$AN$7:$AN$58,CU1162)</f>
        <v>1</v>
      </c>
      <c r="DC1162" s="14">
        <f t="shared" si="1106"/>
        <v>14</v>
      </c>
      <c r="DD1162" s="14">
        <f>INDEX(属性投放!$AO$7:$AO$58,DC1162)</f>
        <v>53</v>
      </c>
      <c r="DE1162" s="14" t="s">
        <v>242</v>
      </c>
      <c r="DF1162" s="14">
        <f>INDEX(属性投放!$BK$6:$BK$85,(CV1162-2)*20+CZ1162)</f>
        <v>70</v>
      </c>
      <c r="DG1162" s="14">
        <f>SUMIFS(DF$5:DF1162,$CT$5:$CT1162,"="&amp;$CT1162)</f>
        <v>495</v>
      </c>
      <c r="DH1162" s="14" t="s">
        <v>198</v>
      </c>
      <c r="DI1162" s="14">
        <f>INDEX(属性投放!$BL$6:$BL$85,(CV1162-2)*20+CZ1162)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INDEX(属性投放!$BM$6:$BM$85,(CV1162-2)*20+CZ1162)</f>
        <v>560</v>
      </c>
      <c r="DM1162" s="14">
        <f>SUMIFS(DL$5:DL1162,$CT$5:$CT1162,"="&amp;$CT1162)</f>
        <v>3540</v>
      </c>
    </row>
    <row r="1163" spans="97:117" ht="16.5" x14ac:dyDescent="0.2">
      <c r="CS1163" s="13">
        <v>1159</v>
      </c>
      <c r="CT1163" s="13">
        <f t="shared" si="1107"/>
        <v>23</v>
      </c>
      <c r="CU1163" s="13">
        <f t="shared" si="1108"/>
        <v>15</v>
      </c>
      <c r="CV1163" s="14">
        <f t="shared" si="1109"/>
        <v>2</v>
      </c>
      <c r="CW1163" s="14">
        <f t="shared" si="1110"/>
        <v>1102023</v>
      </c>
      <c r="CX1163" s="14" t="str">
        <f>INDEX($O$6:$O$50,CT1163)&amp;"-"&amp;INDEX(属性投放!$AB$7:$AB$50,CZ1163)&amp;"-魂火-"&amp;DB1163</f>
        <v>异邦刀客-叫唤+1-魂火-2</v>
      </c>
      <c r="CY1163" s="25" t="s">
        <v>142</v>
      </c>
      <c r="CZ1163" s="14">
        <f>INDEX(属性投放!$AM$7:$AM$58,CU1163)</f>
        <v>8</v>
      </c>
      <c r="DA1163" s="14" t="s">
        <v>537</v>
      </c>
      <c r="DB1163" s="14">
        <f>INDEX(属性投放!$AN$7:$AN$58,CU1163)</f>
        <v>2</v>
      </c>
      <c r="DC1163" s="14">
        <f t="shared" si="1106"/>
        <v>15</v>
      </c>
      <c r="DD1163" s="14">
        <f>INDEX(属性投放!$AO$7:$AO$58,DC1163)</f>
        <v>55</v>
      </c>
      <c r="DE1163" s="14" t="s">
        <v>242</v>
      </c>
      <c r="DF1163" s="14">
        <f>INDEX(属性投放!$BK$6:$BK$85,(CV1163-2)*20+CZ1163)</f>
        <v>70</v>
      </c>
      <c r="DG1163" s="14">
        <f>SUMIFS(DF$5:DF1163,$CT$5:$CT1163,"="&amp;$CT1163)</f>
        <v>565</v>
      </c>
      <c r="DH1163" s="14" t="s">
        <v>198</v>
      </c>
      <c r="DI1163" s="14">
        <f>INDEX(属性投放!$BL$6:$BL$85,(CV1163-2)*20+CZ1163)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INDEX(属性投放!$BM$6:$BM$85,(CV1163-2)*20+CZ1163)</f>
        <v>560</v>
      </c>
      <c r="DM1163" s="14">
        <f>SUMIFS(DL$5:DL1163,$CT$5:$CT1163,"="&amp;$CT1163)</f>
        <v>4100</v>
      </c>
    </row>
    <row r="1164" spans="97:117" ht="16.5" x14ac:dyDescent="0.2">
      <c r="CS1164" s="13">
        <v>1160</v>
      </c>
      <c r="CT1164" s="13">
        <f t="shared" si="1107"/>
        <v>23</v>
      </c>
      <c r="CU1164" s="13">
        <f t="shared" si="1108"/>
        <v>16</v>
      </c>
      <c r="CV1164" s="14">
        <f t="shared" si="1109"/>
        <v>2</v>
      </c>
      <c r="CW1164" s="14">
        <f t="shared" si="1110"/>
        <v>1102023</v>
      </c>
      <c r="CX1164" s="14" t="str">
        <f>INDEX($O$6:$O$50,CT1164)&amp;"-"&amp;INDEX(属性投放!$AB$7:$AB$50,CZ1164)&amp;"-魂火-"&amp;DB1164</f>
        <v>异邦刀客-叫唤+2-魂火-1</v>
      </c>
      <c r="CY1164" s="25" t="s">
        <v>142</v>
      </c>
      <c r="CZ1164" s="14">
        <f>INDEX(属性投放!$AM$7:$AM$58,CU1164)</f>
        <v>9</v>
      </c>
      <c r="DA1164" s="14" t="s">
        <v>537</v>
      </c>
      <c r="DB1164" s="14">
        <f>INDEX(属性投放!$AN$7:$AN$58,CU1164)</f>
        <v>1</v>
      </c>
      <c r="DC1164" s="14">
        <f t="shared" si="1106"/>
        <v>16</v>
      </c>
      <c r="DD1164" s="14">
        <f>INDEX(属性投放!$AO$7:$AO$58,DC1164)</f>
        <v>58</v>
      </c>
      <c r="DE1164" s="14" t="s">
        <v>242</v>
      </c>
      <c r="DF1164" s="14">
        <f>INDEX(属性投放!$BK$6:$BK$85,(CV1164-2)*20+CZ1164)</f>
        <v>80</v>
      </c>
      <c r="DG1164" s="14">
        <f>SUMIFS(DF$5:DF1164,$CT$5:$CT1164,"="&amp;$CT1164)</f>
        <v>645</v>
      </c>
      <c r="DH1164" s="14" t="s">
        <v>198</v>
      </c>
      <c r="DI1164" s="14">
        <f>INDEX(属性投放!$BL$6:$BL$85,(CV1164-2)*20+CZ1164)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INDEX(属性投放!$BM$6:$BM$85,(CV1164-2)*20+CZ1164)</f>
        <v>640</v>
      </c>
      <c r="DM1164" s="14">
        <f>SUMIFS(DL$5:DL1164,$CT$5:$CT1164,"="&amp;$CT1164)</f>
        <v>4740</v>
      </c>
    </row>
    <row r="1165" spans="97:117" ht="16.5" x14ac:dyDescent="0.2">
      <c r="CS1165" s="13">
        <v>1161</v>
      </c>
      <c r="CT1165" s="13">
        <f t="shared" si="1107"/>
        <v>23</v>
      </c>
      <c r="CU1165" s="13">
        <f t="shared" si="1108"/>
        <v>17</v>
      </c>
      <c r="CV1165" s="14">
        <f t="shared" si="1109"/>
        <v>2</v>
      </c>
      <c r="CW1165" s="14">
        <f t="shared" si="1110"/>
        <v>1102023</v>
      </c>
      <c r="CX1165" s="14" t="str">
        <f>INDEX($O$6:$O$50,CT1165)&amp;"-"&amp;INDEX(属性投放!$AB$7:$AB$50,CZ1165)&amp;"-魂火-"&amp;DB1165</f>
        <v>异邦刀客-叫唤+2-魂火-2</v>
      </c>
      <c r="CY1165" s="25" t="s">
        <v>142</v>
      </c>
      <c r="CZ1165" s="14">
        <f>INDEX(属性投放!$AM$7:$AM$58,CU1165)</f>
        <v>9</v>
      </c>
      <c r="DA1165" s="14" t="s">
        <v>537</v>
      </c>
      <c r="DB1165" s="14">
        <f>INDEX(属性投放!$AN$7:$AN$58,CU1165)</f>
        <v>2</v>
      </c>
      <c r="DC1165" s="14">
        <f t="shared" ref="DC1165:DC1199" si="1111">CU1165</f>
        <v>17</v>
      </c>
      <c r="DD1165" s="14">
        <f>INDEX(属性投放!$AO$7:$AO$58,DC1165)</f>
        <v>60</v>
      </c>
      <c r="DE1165" s="14" t="s">
        <v>242</v>
      </c>
      <c r="DF1165" s="14">
        <f>INDEX(属性投放!$BK$6:$BK$85,(CV1165-2)*20+CZ1165)</f>
        <v>80</v>
      </c>
      <c r="DG1165" s="14">
        <f>SUMIFS(DF$5:DF1165,$CT$5:$CT1165,"="&amp;$CT1165)</f>
        <v>725</v>
      </c>
      <c r="DH1165" s="14" t="s">
        <v>198</v>
      </c>
      <c r="DI1165" s="14">
        <f>INDEX(属性投放!$BL$6:$BL$85,(CV1165-2)*20+CZ1165)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INDEX(属性投放!$BM$6:$BM$85,(CV1165-2)*20+CZ1165)</f>
        <v>640</v>
      </c>
      <c r="DM1165" s="14">
        <f>SUMIFS(DL$5:DL1165,$CT$5:$CT1165,"="&amp;$CT1165)</f>
        <v>5380</v>
      </c>
    </row>
    <row r="1166" spans="97:117" ht="16.5" x14ac:dyDescent="0.2">
      <c r="CS1166" s="13">
        <v>1162</v>
      </c>
      <c r="CT1166" s="13">
        <f t="shared" si="1107"/>
        <v>23</v>
      </c>
      <c r="CU1166" s="13">
        <f t="shared" si="1108"/>
        <v>18</v>
      </c>
      <c r="CV1166" s="14">
        <f t="shared" si="1109"/>
        <v>2</v>
      </c>
      <c r="CW1166" s="14">
        <f t="shared" si="1110"/>
        <v>1102023</v>
      </c>
      <c r="CX1166" s="14" t="str">
        <f>INDEX($O$6:$O$50,CT1166)&amp;"-"&amp;INDEX(属性投放!$AB$7:$AB$50,CZ1166)&amp;"-魂火-"&amp;DB1166</f>
        <v>异邦刀客-叫唤+2-魂火-3</v>
      </c>
      <c r="CY1166" s="25" t="s">
        <v>142</v>
      </c>
      <c r="CZ1166" s="14">
        <f>INDEX(属性投放!$AM$7:$AM$58,CU1166)</f>
        <v>9</v>
      </c>
      <c r="DA1166" s="14" t="s">
        <v>537</v>
      </c>
      <c r="DB1166" s="14">
        <f>INDEX(属性投放!$AN$7:$AN$58,CU1166)</f>
        <v>3</v>
      </c>
      <c r="DC1166" s="14">
        <f t="shared" si="1111"/>
        <v>18</v>
      </c>
      <c r="DD1166" s="14">
        <f>INDEX(属性投放!$AO$7:$AO$58,DC1166)</f>
        <v>63</v>
      </c>
      <c r="DE1166" s="14" t="s">
        <v>242</v>
      </c>
      <c r="DF1166" s="14">
        <f>INDEX(属性投放!$BK$6:$BK$85,(CV1166-2)*20+CZ1166)</f>
        <v>80</v>
      </c>
      <c r="DG1166" s="14">
        <f>SUMIFS(DF$5:DF1166,$CT$5:$CT1166,"="&amp;$CT1166)</f>
        <v>805</v>
      </c>
      <c r="DH1166" s="14" t="s">
        <v>198</v>
      </c>
      <c r="DI1166" s="14">
        <f>INDEX(属性投放!$BL$6:$BL$85,(CV1166-2)*20+CZ1166)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INDEX(属性投放!$BM$6:$BM$85,(CV1166-2)*20+CZ1166)</f>
        <v>640</v>
      </c>
      <c r="DM1166" s="14">
        <f>SUMIFS(DL$5:DL1166,$CT$5:$CT1166,"="&amp;$CT1166)</f>
        <v>6020</v>
      </c>
    </row>
    <row r="1167" spans="97:117" ht="16.5" x14ac:dyDescent="0.2">
      <c r="CS1167" s="13">
        <v>1163</v>
      </c>
      <c r="CT1167" s="13">
        <f t="shared" si="1107"/>
        <v>23</v>
      </c>
      <c r="CU1167" s="13">
        <f t="shared" si="1108"/>
        <v>19</v>
      </c>
      <c r="CV1167" s="14">
        <f t="shared" si="1109"/>
        <v>2</v>
      </c>
      <c r="CW1167" s="14">
        <f t="shared" si="1110"/>
        <v>1102023</v>
      </c>
      <c r="CX1167" s="14" t="str">
        <f>INDEX($O$6:$O$50,CT1167)&amp;"-"&amp;INDEX(属性投放!$AB$7:$AB$50,CZ1167)&amp;"-魂火-"&amp;DB1167</f>
        <v>异邦刀客-大叫唤-魂火-1</v>
      </c>
      <c r="CY1167" s="25" t="s">
        <v>142</v>
      </c>
      <c r="CZ1167" s="14">
        <f>INDEX(属性投放!$AM$7:$AM$58,CU1167)</f>
        <v>10</v>
      </c>
      <c r="DA1167" s="14" t="s">
        <v>537</v>
      </c>
      <c r="DB1167" s="14">
        <f>INDEX(属性投放!$AN$7:$AN$58,CU1167)</f>
        <v>1</v>
      </c>
      <c r="DC1167" s="14">
        <f t="shared" si="1111"/>
        <v>19</v>
      </c>
      <c r="DD1167" s="14">
        <f>INDEX(属性投放!$AO$7:$AO$58,DC1167)</f>
        <v>65</v>
      </c>
      <c r="DE1167" s="14" t="s">
        <v>242</v>
      </c>
      <c r="DF1167" s="14">
        <f>INDEX(属性投放!$BK$6:$BK$85,(CV1167-2)*20+CZ1167)</f>
        <v>100</v>
      </c>
      <c r="DG1167" s="14">
        <f>SUMIFS(DF$5:DF1167,$CT$5:$CT1167,"="&amp;$CT1167)</f>
        <v>905</v>
      </c>
      <c r="DH1167" s="14" t="s">
        <v>198</v>
      </c>
      <c r="DI1167" s="14">
        <f>INDEX(属性投放!$BL$6:$BL$85,(CV1167-2)*20+CZ1167)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INDEX(属性投放!$BM$6:$BM$85,(CV1167-2)*20+CZ1167)</f>
        <v>900</v>
      </c>
      <c r="DM1167" s="14">
        <f>SUMIFS(DL$5:DL1167,$CT$5:$CT1167,"="&amp;$CT1167)</f>
        <v>6920</v>
      </c>
    </row>
    <row r="1168" spans="97:117" ht="16.5" x14ac:dyDescent="0.2">
      <c r="CS1168" s="13">
        <v>1164</v>
      </c>
      <c r="CT1168" s="13">
        <f t="shared" si="1107"/>
        <v>23</v>
      </c>
      <c r="CU1168" s="13">
        <f t="shared" si="1108"/>
        <v>20</v>
      </c>
      <c r="CV1168" s="14">
        <f t="shared" si="1109"/>
        <v>2</v>
      </c>
      <c r="CW1168" s="14">
        <f t="shared" si="1110"/>
        <v>1102023</v>
      </c>
      <c r="CX1168" s="14" t="str">
        <f>INDEX($O$6:$O$50,CT1168)&amp;"-"&amp;INDEX(属性投放!$AB$7:$AB$50,CZ1168)&amp;"-魂火-"&amp;DB1168</f>
        <v>异邦刀客-大叫唤-魂火-2</v>
      </c>
      <c r="CY1168" s="25" t="s">
        <v>142</v>
      </c>
      <c r="CZ1168" s="14">
        <f>INDEX(属性投放!$AM$7:$AM$58,CU1168)</f>
        <v>10</v>
      </c>
      <c r="DA1168" s="14" t="s">
        <v>537</v>
      </c>
      <c r="DB1168" s="14">
        <f>INDEX(属性投放!$AN$7:$AN$58,CU1168)</f>
        <v>2</v>
      </c>
      <c r="DC1168" s="14">
        <f t="shared" si="1111"/>
        <v>20</v>
      </c>
      <c r="DD1168" s="14">
        <f>INDEX(属性投放!$AO$7:$AO$58,DC1168)</f>
        <v>68</v>
      </c>
      <c r="DE1168" s="14" t="s">
        <v>242</v>
      </c>
      <c r="DF1168" s="14">
        <f>INDEX(属性投放!$BK$6:$BK$85,(CV1168-2)*20+CZ1168)</f>
        <v>100</v>
      </c>
      <c r="DG1168" s="14">
        <f>SUMIFS(DF$5:DF1168,$CT$5:$CT1168,"="&amp;$CT1168)</f>
        <v>1005</v>
      </c>
      <c r="DH1168" s="14" t="s">
        <v>198</v>
      </c>
      <c r="DI1168" s="14">
        <f>INDEX(属性投放!$BL$6:$BL$85,(CV1168-2)*20+CZ1168)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INDEX(属性投放!$BM$6:$BM$85,(CV1168-2)*20+CZ1168)</f>
        <v>900</v>
      </c>
      <c r="DM1168" s="14">
        <f>SUMIFS(DL$5:DL1168,$CT$5:$CT1168,"="&amp;$CT1168)</f>
        <v>7820</v>
      </c>
    </row>
    <row r="1169" spans="97:117" ht="16.5" x14ac:dyDescent="0.2">
      <c r="CS1169" s="13">
        <v>1165</v>
      </c>
      <c r="CT1169" s="13">
        <f t="shared" si="1107"/>
        <v>23</v>
      </c>
      <c r="CU1169" s="13">
        <f t="shared" si="1108"/>
        <v>21</v>
      </c>
      <c r="CV1169" s="14">
        <f t="shared" si="1109"/>
        <v>2</v>
      </c>
      <c r="CW1169" s="14">
        <f t="shared" si="1110"/>
        <v>1102023</v>
      </c>
      <c r="CX1169" s="14" t="str">
        <f>INDEX($O$6:$O$50,CT1169)&amp;"-"&amp;INDEX(属性投放!$AB$7:$AB$50,CZ1169)&amp;"-魂火-"&amp;DB1169</f>
        <v>异邦刀客-大叫唤-魂火-3</v>
      </c>
      <c r="CY1169" s="25" t="s">
        <v>142</v>
      </c>
      <c r="CZ1169" s="14">
        <f>INDEX(属性投放!$AM$7:$AM$58,CU1169)</f>
        <v>10</v>
      </c>
      <c r="DA1169" s="14" t="s">
        <v>537</v>
      </c>
      <c r="DB1169" s="14">
        <f>INDEX(属性投放!$AN$7:$AN$58,CU1169)</f>
        <v>3</v>
      </c>
      <c r="DC1169" s="14">
        <f t="shared" si="1111"/>
        <v>21</v>
      </c>
      <c r="DD1169" s="14">
        <f>INDEX(属性投放!$AO$7:$AO$58,DC1169)</f>
        <v>70</v>
      </c>
      <c r="DE1169" s="14" t="s">
        <v>242</v>
      </c>
      <c r="DF1169" s="14">
        <f>INDEX(属性投放!$BK$6:$BK$85,(CV1169-2)*20+CZ1169)</f>
        <v>100</v>
      </c>
      <c r="DG1169" s="14">
        <f>SUMIFS(DF$5:DF1169,$CT$5:$CT1169,"="&amp;$CT1169)</f>
        <v>1105</v>
      </c>
      <c r="DH1169" s="14" t="s">
        <v>198</v>
      </c>
      <c r="DI1169" s="14">
        <f>INDEX(属性投放!$BL$6:$BL$85,(CV1169-2)*20+CZ1169)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INDEX(属性投放!$BM$6:$BM$85,(CV1169-2)*20+CZ1169)</f>
        <v>900</v>
      </c>
      <c r="DM1169" s="14">
        <f>SUMIFS(DL$5:DL1169,$CT$5:$CT1169,"="&amp;$CT1169)</f>
        <v>8720</v>
      </c>
    </row>
    <row r="1170" spans="97:117" ht="16.5" x14ac:dyDescent="0.2">
      <c r="CS1170" s="13">
        <v>1166</v>
      </c>
      <c r="CT1170" s="13">
        <f t="shared" si="1107"/>
        <v>23</v>
      </c>
      <c r="CU1170" s="13">
        <f t="shared" si="1108"/>
        <v>22</v>
      </c>
      <c r="CV1170" s="14">
        <f t="shared" si="1109"/>
        <v>2</v>
      </c>
      <c r="CW1170" s="14">
        <f t="shared" si="1110"/>
        <v>1102023</v>
      </c>
      <c r="CX1170" s="14" t="str">
        <f>INDEX($O$6:$O$50,CT1170)&amp;"-"&amp;INDEX(属性投放!$AB$7:$AB$50,CZ1170)&amp;"-魂火-"&amp;DB1170</f>
        <v>异邦刀客-大叫唤+1-魂火-1</v>
      </c>
      <c r="CY1170" s="25" t="s">
        <v>142</v>
      </c>
      <c r="CZ1170" s="14">
        <f>INDEX(属性投放!$AM$7:$AM$58,CU1170)</f>
        <v>11</v>
      </c>
      <c r="DA1170" s="14" t="s">
        <v>537</v>
      </c>
      <c r="DB1170" s="14">
        <f>INDEX(属性投放!$AN$7:$AN$58,CU1170)</f>
        <v>1</v>
      </c>
      <c r="DC1170" s="14">
        <f t="shared" si="1111"/>
        <v>22</v>
      </c>
      <c r="DD1170" s="14">
        <f>INDEX(属性投放!$AO$7:$AO$58,DC1170)</f>
        <v>73</v>
      </c>
      <c r="DE1170" s="14" t="s">
        <v>242</v>
      </c>
      <c r="DF1170" s="14">
        <f>INDEX(属性投放!$BK$6:$BK$85,(CV1170-2)*20+CZ1170)</f>
        <v>130</v>
      </c>
      <c r="DG1170" s="14">
        <f>SUMIFS(DF$5:DF1170,$CT$5:$CT1170,"="&amp;$CT1170)</f>
        <v>1235</v>
      </c>
      <c r="DH1170" s="14" t="s">
        <v>198</v>
      </c>
      <c r="DI1170" s="14">
        <f>INDEX(属性投放!$BL$6:$BL$85,(CV1170-2)*20+CZ1170)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INDEX(属性投放!$BM$6:$BM$85,(CV1170-2)*20+CZ1170)</f>
        <v>1170</v>
      </c>
      <c r="DM1170" s="14">
        <f>SUMIFS(DL$5:DL1170,$CT$5:$CT1170,"="&amp;$CT1170)</f>
        <v>9890</v>
      </c>
    </row>
    <row r="1171" spans="97:117" ht="16.5" x14ac:dyDescent="0.2">
      <c r="CS1171" s="13">
        <v>1167</v>
      </c>
      <c r="CT1171" s="13">
        <f t="shared" si="1107"/>
        <v>23</v>
      </c>
      <c r="CU1171" s="13">
        <f t="shared" si="1108"/>
        <v>23</v>
      </c>
      <c r="CV1171" s="14">
        <f t="shared" si="1109"/>
        <v>2</v>
      </c>
      <c r="CW1171" s="14">
        <f t="shared" si="1110"/>
        <v>1102023</v>
      </c>
      <c r="CX1171" s="14" t="str">
        <f>INDEX($O$6:$O$50,CT1171)&amp;"-"&amp;INDEX(属性投放!$AB$7:$AB$50,CZ1171)&amp;"-魂火-"&amp;DB1171</f>
        <v>异邦刀客-大叫唤+1-魂火-2</v>
      </c>
      <c r="CY1171" s="25" t="s">
        <v>142</v>
      </c>
      <c r="CZ1171" s="14">
        <f>INDEX(属性投放!$AM$7:$AM$58,CU1171)</f>
        <v>11</v>
      </c>
      <c r="DA1171" s="14" t="s">
        <v>537</v>
      </c>
      <c r="DB1171" s="14">
        <f>INDEX(属性投放!$AN$7:$AN$58,CU1171)</f>
        <v>2</v>
      </c>
      <c r="DC1171" s="14">
        <f t="shared" si="1111"/>
        <v>23</v>
      </c>
      <c r="DD1171" s="14">
        <f>INDEX(属性投放!$AO$7:$AO$58,DC1171)</f>
        <v>75</v>
      </c>
      <c r="DE1171" s="14" t="s">
        <v>242</v>
      </c>
      <c r="DF1171" s="14">
        <f>INDEX(属性投放!$BK$6:$BK$85,(CV1171-2)*20+CZ1171)</f>
        <v>130</v>
      </c>
      <c r="DG1171" s="14">
        <f>SUMIFS(DF$5:DF1171,$CT$5:$CT1171,"="&amp;$CT1171)</f>
        <v>1365</v>
      </c>
      <c r="DH1171" s="14" t="s">
        <v>198</v>
      </c>
      <c r="DI1171" s="14">
        <f>INDEX(属性投放!$BL$6:$BL$85,(CV1171-2)*20+CZ1171)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INDEX(属性投放!$BM$6:$BM$85,(CV1171-2)*20+CZ1171)</f>
        <v>1170</v>
      </c>
      <c r="DM1171" s="14">
        <f>SUMIFS(DL$5:DL1171,$CT$5:$CT1171,"="&amp;$CT1171)</f>
        <v>11060</v>
      </c>
    </row>
    <row r="1172" spans="97:117" ht="16.5" x14ac:dyDescent="0.2">
      <c r="CS1172" s="13">
        <v>1168</v>
      </c>
      <c r="CT1172" s="13">
        <f t="shared" si="1107"/>
        <v>23</v>
      </c>
      <c r="CU1172" s="13">
        <f t="shared" si="1108"/>
        <v>24</v>
      </c>
      <c r="CV1172" s="14">
        <f t="shared" si="1109"/>
        <v>2</v>
      </c>
      <c r="CW1172" s="14">
        <f t="shared" si="1110"/>
        <v>1102023</v>
      </c>
      <c r="CX1172" s="14" t="str">
        <f>INDEX($O$6:$O$50,CT1172)&amp;"-"&amp;INDEX(属性投放!$AB$7:$AB$50,CZ1172)&amp;"-魂火-"&amp;DB1172</f>
        <v>异邦刀客-大叫唤+1-魂火-3</v>
      </c>
      <c r="CY1172" s="25" t="s">
        <v>142</v>
      </c>
      <c r="CZ1172" s="14">
        <f>INDEX(属性投放!$AM$7:$AM$58,CU1172)</f>
        <v>11</v>
      </c>
      <c r="DA1172" s="14" t="s">
        <v>537</v>
      </c>
      <c r="DB1172" s="14">
        <f>INDEX(属性投放!$AN$7:$AN$58,CU1172)</f>
        <v>3</v>
      </c>
      <c r="DC1172" s="14">
        <f t="shared" si="1111"/>
        <v>24</v>
      </c>
      <c r="DD1172" s="14">
        <f>INDEX(属性投放!$AO$7:$AO$58,DC1172)</f>
        <v>78</v>
      </c>
      <c r="DE1172" s="14" t="s">
        <v>242</v>
      </c>
      <c r="DF1172" s="14">
        <f>INDEX(属性投放!$BK$6:$BK$85,(CV1172-2)*20+CZ1172)</f>
        <v>130</v>
      </c>
      <c r="DG1172" s="14">
        <f>SUMIFS(DF$5:DF1172,$CT$5:$CT1172,"="&amp;$CT1172)</f>
        <v>1495</v>
      </c>
      <c r="DH1172" s="14" t="s">
        <v>198</v>
      </c>
      <c r="DI1172" s="14">
        <f>INDEX(属性投放!$BL$6:$BL$85,(CV1172-2)*20+CZ1172)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INDEX(属性投放!$BM$6:$BM$85,(CV1172-2)*20+CZ1172)</f>
        <v>1170</v>
      </c>
      <c r="DM1172" s="14">
        <f>SUMIFS(DL$5:DL1172,$CT$5:$CT1172,"="&amp;$CT1172)</f>
        <v>12230</v>
      </c>
    </row>
    <row r="1173" spans="97:117" ht="16.5" x14ac:dyDescent="0.2">
      <c r="CS1173" s="13">
        <v>1169</v>
      </c>
      <c r="CT1173" s="13">
        <f t="shared" si="1107"/>
        <v>23</v>
      </c>
      <c r="CU1173" s="13">
        <f t="shared" si="1108"/>
        <v>25</v>
      </c>
      <c r="CV1173" s="14">
        <f t="shared" si="1109"/>
        <v>2</v>
      </c>
      <c r="CW1173" s="14">
        <f t="shared" si="1110"/>
        <v>1102023</v>
      </c>
      <c r="CX1173" s="14" t="str">
        <f>INDEX($O$6:$O$50,CT1173)&amp;"-"&amp;INDEX(属性投放!$AB$7:$AB$50,CZ1173)&amp;"-魂火-"&amp;DB1173</f>
        <v>异邦刀客-大叫唤+2-魂火-1</v>
      </c>
      <c r="CY1173" s="25" t="s">
        <v>142</v>
      </c>
      <c r="CZ1173" s="14">
        <f>INDEX(属性投放!$AM$7:$AM$58,CU1173)</f>
        <v>12</v>
      </c>
      <c r="DA1173" s="14" t="s">
        <v>537</v>
      </c>
      <c r="DB1173" s="14">
        <f>INDEX(属性投放!$AN$7:$AN$58,CU1173)</f>
        <v>1</v>
      </c>
      <c r="DC1173" s="14">
        <f t="shared" si="1111"/>
        <v>25</v>
      </c>
      <c r="DD1173" s="14">
        <f>INDEX(属性投放!$AO$7:$AO$58,DC1173)</f>
        <v>80</v>
      </c>
      <c r="DE1173" s="14" t="s">
        <v>242</v>
      </c>
      <c r="DF1173" s="14">
        <f>INDEX(属性投放!$BK$6:$BK$85,(CV1173-2)*20+CZ1173)</f>
        <v>170</v>
      </c>
      <c r="DG1173" s="14">
        <f>SUMIFS(DF$5:DF1173,$CT$5:$CT1173,"="&amp;$CT1173)</f>
        <v>1665</v>
      </c>
      <c r="DH1173" s="14" t="s">
        <v>198</v>
      </c>
      <c r="DI1173" s="14">
        <f>INDEX(属性投放!$BL$6:$BL$85,(CV1173-2)*20+CZ1173)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INDEX(属性投放!$BM$6:$BM$85,(CV1173-2)*20+CZ1173)</f>
        <v>1530</v>
      </c>
      <c r="DM1173" s="14">
        <f>SUMIFS(DL$5:DL1173,$CT$5:$CT1173,"="&amp;$CT1173)</f>
        <v>13760</v>
      </c>
    </row>
    <row r="1174" spans="97:117" ht="16.5" x14ac:dyDescent="0.2">
      <c r="CS1174" s="13">
        <v>1170</v>
      </c>
      <c r="CT1174" s="13">
        <f t="shared" si="1107"/>
        <v>23</v>
      </c>
      <c r="CU1174" s="13">
        <f t="shared" si="1108"/>
        <v>26</v>
      </c>
      <c r="CV1174" s="14">
        <f t="shared" si="1109"/>
        <v>2</v>
      </c>
      <c r="CW1174" s="14">
        <f t="shared" si="1110"/>
        <v>1102023</v>
      </c>
      <c r="CX1174" s="14" t="str">
        <f>INDEX($O$6:$O$50,CT1174)&amp;"-"&amp;INDEX(属性投放!$AB$7:$AB$50,CZ1174)&amp;"-魂火-"&amp;DB1174</f>
        <v>异邦刀客-大叫唤+2-魂火-2</v>
      </c>
      <c r="CY1174" s="25" t="s">
        <v>142</v>
      </c>
      <c r="CZ1174" s="14">
        <f>INDEX(属性投放!$AM$7:$AM$58,CU1174)</f>
        <v>12</v>
      </c>
      <c r="DA1174" s="14" t="s">
        <v>537</v>
      </c>
      <c r="DB1174" s="14">
        <f>INDEX(属性投放!$AN$7:$AN$58,CU1174)</f>
        <v>2</v>
      </c>
      <c r="DC1174" s="14">
        <f t="shared" si="1111"/>
        <v>26</v>
      </c>
      <c r="DD1174" s="14">
        <f>INDEX(属性投放!$AO$7:$AO$58,DC1174)</f>
        <v>83</v>
      </c>
      <c r="DE1174" s="14" t="s">
        <v>242</v>
      </c>
      <c r="DF1174" s="14">
        <f>INDEX(属性投放!$BK$6:$BK$85,(CV1174-2)*20+CZ1174)</f>
        <v>170</v>
      </c>
      <c r="DG1174" s="14">
        <f>SUMIFS(DF$5:DF1174,$CT$5:$CT1174,"="&amp;$CT1174)</f>
        <v>1835</v>
      </c>
      <c r="DH1174" s="14" t="s">
        <v>198</v>
      </c>
      <c r="DI1174" s="14">
        <f>INDEX(属性投放!$BL$6:$BL$85,(CV1174-2)*20+CZ1174)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INDEX(属性投放!$BM$6:$BM$85,(CV1174-2)*20+CZ1174)</f>
        <v>1530</v>
      </c>
      <c r="DM1174" s="14">
        <f>SUMIFS(DL$5:DL1174,$CT$5:$CT1174,"="&amp;$CT1174)</f>
        <v>15290</v>
      </c>
    </row>
    <row r="1175" spans="97:117" ht="16.5" x14ac:dyDescent="0.2">
      <c r="CS1175" s="13">
        <v>1171</v>
      </c>
      <c r="CT1175" s="13">
        <f t="shared" si="1107"/>
        <v>23</v>
      </c>
      <c r="CU1175" s="13">
        <f t="shared" si="1108"/>
        <v>27</v>
      </c>
      <c r="CV1175" s="14">
        <f t="shared" si="1109"/>
        <v>2</v>
      </c>
      <c r="CW1175" s="14">
        <f t="shared" si="1110"/>
        <v>1102023</v>
      </c>
      <c r="CX1175" s="14" t="str">
        <f>INDEX($O$6:$O$50,CT1175)&amp;"-"&amp;INDEX(属性投放!$AB$7:$AB$50,CZ1175)&amp;"-魂火-"&amp;DB1175</f>
        <v>异邦刀客-大叫唤+2-魂火-3</v>
      </c>
      <c r="CY1175" s="25" t="s">
        <v>142</v>
      </c>
      <c r="CZ1175" s="14">
        <f>INDEX(属性投放!$AM$7:$AM$58,CU1175)</f>
        <v>12</v>
      </c>
      <c r="DA1175" s="14" t="s">
        <v>537</v>
      </c>
      <c r="DB1175" s="14">
        <f>INDEX(属性投放!$AN$7:$AN$58,CU1175)</f>
        <v>3</v>
      </c>
      <c r="DC1175" s="14">
        <f t="shared" si="1111"/>
        <v>27</v>
      </c>
      <c r="DD1175" s="14">
        <f>INDEX(属性投放!$AO$7:$AO$58,DC1175)</f>
        <v>85</v>
      </c>
      <c r="DE1175" s="14" t="s">
        <v>242</v>
      </c>
      <c r="DF1175" s="14">
        <f>INDEX(属性投放!$BK$6:$BK$85,(CV1175-2)*20+CZ1175)</f>
        <v>170</v>
      </c>
      <c r="DG1175" s="14">
        <f>SUMIFS(DF$5:DF1175,$CT$5:$CT1175,"="&amp;$CT1175)</f>
        <v>2005</v>
      </c>
      <c r="DH1175" s="14" t="s">
        <v>198</v>
      </c>
      <c r="DI1175" s="14">
        <f>INDEX(属性投放!$BL$6:$BL$85,(CV1175-2)*20+CZ1175)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INDEX(属性投放!$BM$6:$BM$85,(CV1175-2)*20+CZ1175)</f>
        <v>1530</v>
      </c>
      <c r="DM1175" s="14">
        <f>SUMIFS(DL$5:DL1175,$CT$5:$CT1175,"="&amp;$CT1175)</f>
        <v>16820</v>
      </c>
    </row>
    <row r="1176" spans="97:117" ht="16.5" x14ac:dyDescent="0.2">
      <c r="CS1176" s="13">
        <v>1172</v>
      </c>
      <c r="CT1176" s="13">
        <f t="shared" si="1107"/>
        <v>23</v>
      </c>
      <c r="CU1176" s="13">
        <f t="shared" si="1108"/>
        <v>28</v>
      </c>
      <c r="CV1176" s="14">
        <f t="shared" si="1109"/>
        <v>2</v>
      </c>
      <c r="CW1176" s="14">
        <f t="shared" si="1110"/>
        <v>1102023</v>
      </c>
      <c r="CX1176" s="14" t="str">
        <f>INDEX($O$6:$O$50,CT1176)&amp;"-"&amp;INDEX(属性投放!$AB$7:$AB$50,CZ1176)&amp;"-魂火-"&amp;DB1176</f>
        <v>异邦刀客-焦热-魂火-1</v>
      </c>
      <c r="CY1176" s="25" t="s">
        <v>142</v>
      </c>
      <c r="CZ1176" s="14">
        <f>INDEX(属性投放!$AM$7:$AM$58,CU1176)</f>
        <v>13</v>
      </c>
      <c r="DA1176" s="14" t="s">
        <v>537</v>
      </c>
      <c r="DB1176" s="14">
        <f>INDEX(属性投放!$AN$7:$AN$58,CU1176)</f>
        <v>1</v>
      </c>
      <c r="DC1176" s="14">
        <f t="shared" si="1111"/>
        <v>28</v>
      </c>
      <c r="DD1176" s="14">
        <f>INDEX(属性投放!$AO$7:$AO$58,DC1176)</f>
        <v>88</v>
      </c>
      <c r="DE1176" s="14" t="s">
        <v>242</v>
      </c>
      <c r="DF1176" s="14">
        <f>INDEX(属性投放!$BK$6:$BK$85,(CV1176-2)*20+CZ1176)</f>
        <v>220</v>
      </c>
      <c r="DG1176" s="14">
        <f>SUMIFS(DF$5:DF1176,$CT$5:$CT1176,"="&amp;$CT1176)</f>
        <v>2225</v>
      </c>
      <c r="DH1176" s="14" t="s">
        <v>198</v>
      </c>
      <c r="DI1176" s="14">
        <f>INDEX(属性投放!$BL$6:$BL$85,(CV1176-2)*20+CZ1176)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INDEX(属性投放!$BM$6:$BM$85,(CV1176-2)*20+CZ1176)</f>
        <v>2200</v>
      </c>
      <c r="DM1176" s="14">
        <f>SUMIFS(DL$5:DL1176,$CT$5:$CT1176,"="&amp;$CT1176)</f>
        <v>19020</v>
      </c>
    </row>
    <row r="1177" spans="97:117" ht="16.5" x14ac:dyDescent="0.2">
      <c r="CS1177" s="13">
        <v>1173</v>
      </c>
      <c r="CT1177" s="13">
        <f t="shared" si="1107"/>
        <v>23</v>
      </c>
      <c r="CU1177" s="13">
        <f t="shared" si="1108"/>
        <v>29</v>
      </c>
      <c r="CV1177" s="14">
        <f t="shared" si="1109"/>
        <v>2</v>
      </c>
      <c r="CW1177" s="14">
        <f t="shared" si="1110"/>
        <v>1102023</v>
      </c>
      <c r="CX1177" s="14" t="str">
        <f>INDEX($O$6:$O$50,CT1177)&amp;"-"&amp;INDEX(属性投放!$AB$7:$AB$50,CZ1177)&amp;"-魂火-"&amp;DB1177</f>
        <v>异邦刀客-焦热-魂火-2</v>
      </c>
      <c r="CY1177" s="25" t="s">
        <v>142</v>
      </c>
      <c r="CZ1177" s="14">
        <f>INDEX(属性投放!$AM$7:$AM$58,CU1177)</f>
        <v>13</v>
      </c>
      <c r="DA1177" s="14" t="s">
        <v>537</v>
      </c>
      <c r="DB1177" s="14">
        <f>INDEX(属性投放!$AN$7:$AN$58,CU1177)</f>
        <v>2</v>
      </c>
      <c r="DC1177" s="14">
        <f t="shared" si="1111"/>
        <v>29</v>
      </c>
      <c r="DD1177" s="14">
        <f>INDEX(属性投放!$AO$7:$AO$58,DC1177)</f>
        <v>90</v>
      </c>
      <c r="DE1177" s="14" t="s">
        <v>242</v>
      </c>
      <c r="DF1177" s="14">
        <f>INDEX(属性投放!$BK$6:$BK$85,(CV1177-2)*20+CZ1177)</f>
        <v>220</v>
      </c>
      <c r="DG1177" s="14">
        <f>SUMIFS(DF$5:DF1177,$CT$5:$CT1177,"="&amp;$CT1177)</f>
        <v>2445</v>
      </c>
      <c r="DH1177" s="14" t="s">
        <v>198</v>
      </c>
      <c r="DI1177" s="14">
        <f>INDEX(属性投放!$BL$6:$BL$85,(CV1177-2)*20+CZ1177)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INDEX(属性投放!$BM$6:$BM$85,(CV1177-2)*20+CZ1177)</f>
        <v>2200</v>
      </c>
      <c r="DM1177" s="14">
        <f>SUMIFS(DL$5:DL1177,$CT$5:$CT1177,"="&amp;$CT1177)</f>
        <v>21220</v>
      </c>
    </row>
    <row r="1178" spans="97:117" ht="16.5" x14ac:dyDescent="0.2">
      <c r="CS1178" s="13">
        <v>1174</v>
      </c>
      <c r="CT1178" s="13">
        <f t="shared" si="1107"/>
        <v>23</v>
      </c>
      <c r="CU1178" s="13">
        <f t="shared" si="1108"/>
        <v>30</v>
      </c>
      <c r="CV1178" s="14">
        <f t="shared" si="1109"/>
        <v>2</v>
      </c>
      <c r="CW1178" s="14">
        <f t="shared" si="1110"/>
        <v>1102023</v>
      </c>
      <c r="CX1178" s="14" t="str">
        <f>INDEX($O$6:$O$50,CT1178)&amp;"-"&amp;INDEX(属性投放!$AB$7:$AB$50,CZ1178)&amp;"-魂火-"&amp;DB1178</f>
        <v>异邦刀客-焦热-魂火-3</v>
      </c>
      <c r="CY1178" s="25" t="s">
        <v>142</v>
      </c>
      <c r="CZ1178" s="14">
        <f>INDEX(属性投放!$AM$7:$AM$58,CU1178)</f>
        <v>13</v>
      </c>
      <c r="DA1178" s="14" t="s">
        <v>537</v>
      </c>
      <c r="DB1178" s="14">
        <f>INDEX(属性投放!$AN$7:$AN$58,CU1178)</f>
        <v>3</v>
      </c>
      <c r="DC1178" s="14">
        <f t="shared" si="1111"/>
        <v>30</v>
      </c>
      <c r="DD1178" s="14">
        <f>INDEX(属性投放!$AO$7:$AO$58,DC1178)</f>
        <v>93</v>
      </c>
      <c r="DE1178" s="14" t="s">
        <v>242</v>
      </c>
      <c r="DF1178" s="14">
        <f>INDEX(属性投放!$BK$6:$BK$85,(CV1178-2)*20+CZ1178)</f>
        <v>220</v>
      </c>
      <c r="DG1178" s="14">
        <f>SUMIFS(DF$5:DF1178,$CT$5:$CT1178,"="&amp;$CT1178)</f>
        <v>2665</v>
      </c>
      <c r="DH1178" s="14" t="s">
        <v>198</v>
      </c>
      <c r="DI1178" s="14">
        <f>INDEX(属性投放!$BL$6:$BL$85,(CV1178-2)*20+CZ1178)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INDEX(属性投放!$BM$6:$BM$85,(CV1178-2)*20+CZ1178)</f>
        <v>2200</v>
      </c>
      <c r="DM1178" s="14">
        <f>SUMIFS(DL$5:DL1178,$CT$5:$CT1178,"="&amp;$CT1178)</f>
        <v>23420</v>
      </c>
    </row>
    <row r="1179" spans="97:117" ht="16.5" x14ac:dyDescent="0.2">
      <c r="CS1179" s="13">
        <v>1175</v>
      </c>
      <c r="CT1179" s="13">
        <f t="shared" si="1107"/>
        <v>23</v>
      </c>
      <c r="CU1179" s="13">
        <f t="shared" si="1108"/>
        <v>31</v>
      </c>
      <c r="CV1179" s="14">
        <f t="shared" si="1109"/>
        <v>2</v>
      </c>
      <c r="CW1179" s="14">
        <f t="shared" si="1110"/>
        <v>1102023</v>
      </c>
      <c r="CX1179" s="14" t="str">
        <f>INDEX($O$6:$O$50,CT1179)&amp;"-"&amp;INDEX(属性投放!$AB$7:$AB$50,CZ1179)&amp;"-魂火-"&amp;DB1179</f>
        <v>异邦刀客-焦热+1-魂火-1</v>
      </c>
      <c r="CY1179" s="25" t="s">
        <v>142</v>
      </c>
      <c r="CZ1179" s="14">
        <f>INDEX(属性投放!$AM$7:$AM$58,CU1179)</f>
        <v>14</v>
      </c>
      <c r="DA1179" s="14" t="s">
        <v>537</v>
      </c>
      <c r="DB1179" s="14">
        <f>INDEX(属性投放!$AN$7:$AN$58,CU1179)</f>
        <v>1</v>
      </c>
      <c r="DC1179" s="14">
        <f t="shared" si="1111"/>
        <v>31</v>
      </c>
      <c r="DD1179" s="14">
        <f>INDEX(属性投放!$AO$7:$AO$58,DC1179)</f>
        <v>95</v>
      </c>
      <c r="DE1179" s="14" t="s">
        <v>242</v>
      </c>
      <c r="DF1179" s="14">
        <f>INDEX(属性投放!$BK$6:$BK$85,(CV1179-2)*20+CZ1179)</f>
        <v>270</v>
      </c>
      <c r="DG1179" s="14">
        <f>SUMIFS(DF$5:DF1179,$CT$5:$CT1179,"="&amp;$CT1179)</f>
        <v>2935</v>
      </c>
      <c r="DH1179" s="14" t="s">
        <v>198</v>
      </c>
      <c r="DI1179" s="14">
        <f>INDEX(属性投放!$BL$6:$BL$85,(CV1179-2)*20+CZ1179)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INDEX(属性投放!$BM$6:$BM$85,(CV1179-2)*20+CZ1179)</f>
        <v>2700</v>
      </c>
      <c r="DM1179" s="14">
        <f>SUMIFS(DL$5:DL1179,$CT$5:$CT1179,"="&amp;$CT1179)</f>
        <v>26120</v>
      </c>
    </row>
    <row r="1180" spans="97:117" ht="16.5" x14ac:dyDescent="0.2">
      <c r="CS1180" s="13">
        <v>1176</v>
      </c>
      <c r="CT1180" s="13">
        <f t="shared" si="1107"/>
        <v>23</v>
      </c>
      <c r="CU1180" s="13">
        <f t="shared" si="1108"/>
        <v>32</v>
      </c>
      <c r="CV1180" s="14">
        <f t="shared" si="1109"/>
        <v>2</v>
      </c>
      <c r="CW1180" s="14">
        <f t="shared" si="1110"/>
        <v>1102023</v>
      </c>
      <c r="CX1180" s="14" t="str">
        <f>INDEX($O$6:$O$50,CT1180)&amp;"-"&amp;INDEX(属性投放!$AB$7:$AB$50,CZ1180)&amp;"-魂火-"&amp;DB1180</f>
        <v>异邦刀客-焦热+1-魂火-2</v>
      </c>
      <c r="CY1180" s="25" t="s">
        <v>142</v>
      </c>
      <c r="CZ1180" s="14">
        <f>INDEX(属性投放!$AM$7:$AM$58,CU1180)</f>
        <v>14</v>
      </c>
      <c r="DA1180" s="14" t="s">
        <v>537</v>
      </c>
      <c r="DB1180" s="14">
        <f>INDEX(属性投放!$AN$7:$AN$58,CU1180)</f>
        <v>2</v>
      </c>
      <c r="DC1180" s="14">
        <f t="shared" si="1111"/>
        <v>32</v>
      </c>
      <c r="DD1180" s="14">
        <f>INDEX(属性投放!$AO$7:$AO$58,DC1180)</f>
        <v>98</v>
      </c>
      <c r="DE1180" s="14" t="s">
        <v>242</v>
      </c>
      <c r="DF1180" s="14">
        <f>INDEX(属性投放!$BK$6:$BK$85,(CV1180-2)*20+CZ1180)</f>
        <v>270</v>
      </c>
      <c r="DG1180" s="14">
        <f>SUMIFS(DF$5:DF1180,$CT$5:$CT1180,"="&amp;$CT1180)</f>
        <v>3205</v>
      </c>
      <c r="DH1180" s="14" t="s">
        <v>198</v>
      </c>
      <c r="DI1180" s="14">
        <f>INDEX(属性投放!$BL$6:$BL$85,(CV1180-2)*20+CZ1180)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INDEX(属性投放!$BM$6:$BM$85,(CV1180-2)*20+CZ1180)</f>
        <v>2700</v>
      </c>
      <c r="DM1180" s="14">
        <f>SUMIFS(DL$5:DL1180,$CT$5:$CT1180,"="&amp;$CT1180)</f>
        <v>28820</v>
      </c>
    </row>
    <row r="1181" spans="97:117" ht="16.5" x14ac:dyDescent="0.2">
      <c r="CS1181" s="13">
        <v>1177</v>
      </c>
      <c r="CT1181" s="13">
        <f t="shared" si="1107"/>
        <v>23</v>
      </c>
      <c r="CU1181" s="13">
        <f t="shared" si="1108"/>
        <v>33</v>
      </c>
      <c r="CV1181" s="14">
        <f t="shared" si="1109"/>
        <v>2</v>
      </c>
      <c r="CW1181" s="14">
        <f t="shared" si="1110"/>
        <v>1102023</v>
      </c>
      <c r="CX1181" s="14" t="str">
        <f>INDEX($O$6:$O$50,CT1181)&amp;"-"&amp;INDEX(属性投放!$AB$7:$AB$50,CZ1181)&amp;"-魂火-"&amp;DB1181</f>
        <v>异邦刀客-焦热+1-魂火-3</v>
      </c>
      <c r="CY1181" s="25" t="s">
        <v>142</v>
      </c>
      <c r="CZ1181" s="14">
        <f>INDEX(属性投放!$AM$7:$AM$58,CU1181)</f>
        <v>14</v>
      </c>
      <c r="DA1181" s="14" t="s">
        <v>537</v>
      </c>
      <c r="DB1181" s="14">
        <f>INDEX(属性投放!$AN$7:$AN$58,CU1181)</f>
        <v>3</v>
      </c>
      <c r="DC1181" s="14">
        <f t="shared" si="1111"/>
        <v>33</v>
      </c>
      <c r="DD1181" s="14">
        <f>INDEX(属性投放!$AO$7:$AO$58,DC1181)</f>
        <v>100</v>
      </c>
      <c r="DE1181" s="14" t="s">
        <v>242</v>
      </c>
      <c r="DF1181" s="14">
        <f>INDEX(属性投放!$BK$6:$BK$85,(CV1181-2)*20+CZ1181)</f>
        <v>270</v>
      </c>
      <c r="DG1181" s="14">
        <f>SUMIFS(DF$5:DF1181,$CT$5:$CT1181,"="&amp;$CT1181)</f>
        <v>3475</v>
      </c>
      <c r="DH1181" s="14" t="s">
        <v>198</v>
      </c>
      <c r="DI1181" s="14">
        <f>INDEX(属性投放!$BL$6:$BL$85,(CV1181-2)*20+CZ1181)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INDEX(属性投放!$BM$6:$BM$85,(CV1181-2)*20+CZ1181)</f>
        <v>2700</v>
      </c>
      <c r="DM1181" s="14">
        <f>SUMIFS(DL$5:DL1181,$CT$5:$CT1181,"="&amp;$CT1181)</f>
        <v>31520</v>
      </c>
    </row>
    <row r="1182" spans="97:117" ht="16.5" x14ac:dyDescent="0.2">
      <c r="CS1182" s="13">
        <v>1178</v>
      </c>
      <c r="CT1182" s="13">
        <f t="shared" si="1107"/>
        <v>23</v>
      </c>
      <c r="CU1182" s="13">
        <f t="shared" si="1108"/>
        <v>34</v>
      </c>
      <c r="CV1182" s="14">
        <f t="shared" si="1109"/>
        <v>2</v>
      </c>
      <c r="CW1182" s="14">
        <f t="shared" si="1110"/>
        <v>1102023</v>
      </c>
      <c r="CX1182" s="14" t="str">
        <f>INDEX($O$6:$O$50,CT1182)&amp;"-"&amp;INDEX(属性投放!$AB$7:$AB$50,CZ1182)&amp;"-魂火-"&amp;DB1182</f>
        <v>异邦刀客-焦热+2-魂火-1</v>
      </c>
      <c r="CY1182" s="25" t="s">
        <v>142</v>
      </c>
      <c r="CZ1182" s="14">
        <f>INDEX(属性投放!$AM$7:$AM$58,CU1182)</f>
        <v>15</v>
      </c>
      <c r="DA1182" s="14" t="s">
        <v>537</v>
      </c>
      <c r="DB1182" s="14">
        <f>INDEX(属性投放!$AN$7:$AN$58,CU1182)</f>
        <v>1</v>
      </c>
      <c r="DC1182" s="14">
        <f t="shared" si="1111"/>
        <v>34</v>
      </c>
      <c r="DD1182" s="14">
        <f>INDEX(属性投放!$AO$7:$AO$58,DC1182)</f>
        <v>103</v>
      </c>
      <c r="DE1182" s="14" t="s">
        <v>242</v>
      </c>
      <c r="DF1182" s="14">
        <f>INDEX(属性投放!$BK$6:$BK$85,(CV1182-2)*20+CZ1182)</f>
        <v>350</v>
      </c>
      <c r="DG1182" s="14">
        <f>SUMIFS(DF$5:DF1182,$CT$5:$CT1182,"="&amp;$CT1182)</f>
        <v>3825</v>
      </c>
      <c r="DH1182" s="14" t="s">
        <v>198</v>
      </c>
      <c r="DI1182" s="14">
        <f>INDEX(属性投放!$BL$6:$BL$85,(CV1182-2)*20+CZ1182)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INDEX(属性投放!$BM$6:$BM$85,(CV1182-2)*20+CZ1182)</f>
        <v>3500</v>
      </c>
      <c r="DM1182" s="14">
        <f>SUMIFS(DL$5:DL1182,$CT$5:$CT1182,"="&amp;$CT1182)</f>
        <v>35020</v>
      </c>
    </row>
    <row r="1183" spans="97:117" ht="16.5" x14ac:dyDescent="0.2">
      <c r="CS1183" s="13">
        <v>1179</v>
      </c>
      <c r="CT1183" s="13">
        <f t="shared" si="1107"/>
        <v>23</v>
      </c>
      <c r="CU1183" s="13">
        <f t="shared" si="1108"/>
        <v>35</v>
      </c>
      <c r="CV1183" s="14">
        <f t="shared" si="1109"/>
        <v>2</v>
      </c>
      <c r="CW1183" s="14">
        <f t="shared" si="1110"/>
        <v>1102023</v>
      </c>
      <c r="CX1183" s="14" t="str">
        <f>INDEX($O$6:$O$50,CT1183)&amp;"-"&amp;INDEX(属性投放!$AB$7:$AB$50,CZ1183)&amp;"-魂火-"&amp;DB1183</f>
        <v>异邦刀客-焦热+2-魂火-2</v>
      </c>
      <c r="CY1183" s="25" t="s">
        <v>142</v>
      </c>
      <c r="CZ1183" s="14">
        <f>INDEX(属性投放!$AM$7:$AM$58,CU1183)</f>
        <v>15</v>
      </c>
      <c r="DA1183" s="14" t="s">
        <v>537</v>
      </c>
      <c r="DB1183" s="14">
        <f>INDEX(属性投放!$AN$7:$AN$58,CU1183)</f>
        <v>2</v>
      </c>
      <c r="DC1183" s="14">
        <f t="shared" si="1111"/>
        <v>35</v>
      </c>
      <c r="DD1183" s="14">
        <f>INDEX(属性投放!$AO$7:$AO$58,DC1183)</f>
        <v>105</v>
      </c>
      <c r="DE1183" s="14" t="s">
        <v>242</v>
      </c>
      <c r="DF1183" s="14">
        <f>INDEX(属性投放!$BK$6:$BK$85,(CV1183-2)*20+CZ1183)</f>
        <v>350</v>
      </c>
      <c r="DG1183" s="14">
        <f>SUMIFS(DF$5:DF1183,$CT$5:$CT1183,"="&amp;$CT1183)</f>
        <v>4175</v>
      </c>
      <c r="DH1183" s="14" t="s">
        <v>198</v>
      </c>
      <c r="DI1183" s="14">
        <f>INDEX(属性投放!$BL$6:$BL$85,(CV1183-2)*20+CZ1183)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INDEX(属性投放!$BM$6:$BM$85,(CV1183-2)*20+CZ1183)</f>
        <v>3500</v>
      </c>
      <c r="DM1183" s="14">
        <f>SUMIFS(DL$5:DL1183,$CT$5:$CT1183,"="&amp;$CT1183)</f>
        <v>38520</v>
      </c>
    </row>
    <row r="1184" spans="97:117" ht="16.5" x14ac:dyDescent="0.2">
      <c r="CS1184" s="13">
        <v>1180</v>
      </c>
      <c r="CT1184" s="13">
        <f t="shared" si="1107"/>
        <v>23</v>
      </c>
      <c r="CU1184" s="13">
        <f t="shared" si="1108"/>
        <v>36</v>
      </c>
      <c r="CV1184" s="14">
        <f t="shared" si="1109"/>
        <v>2</v>
      </c>
      <c r="CW1184" s="14">
        <f t="shared" si="1110"/>
        <v>1102023</v>
      </c>
      <c r="CX1184" s="14" t="str">
        <f>INDEX($O$6:$O$50,CT1184)&amp;"-"&amp;INDEX(属性投放!$AB$7:$AB$50,CZ1184)&amp;"-魂火-"&amp;DB1184</f>
        <v>异邦刀客-焦热+2-魂火-3</v>
      </c>
      <c r="CY1184" s="25" t="s">
        <v>142</v>
      </c>
      <c r="CZ1184" s="14">
        <f>INDEX(属性投放!$AM$7:$AM$58,CU1184)</f>
        <v>15</v>
      </c>
      <c r="DA1184" s="14" t="s">
        <v>537</v>
      </c>
      <c r="DB1184" s="14">
        <f>INDEX(属性投放!$AN$7:$AN$58,CU1184)</f>
        <v>3</v>
      </c>
      <c r="DC1184" s="14">
        <f t="shared" si="1111"/>
        <v>36</v>
      </c>
      <c r="DD1184" s="14">
        <f>INDEX(属性投放!$AO$7:$AO$58,DC1184)</f>
        <v>108</v>
      </c>
      <c r="DE1184" s="14" t="s">
        <v>242</v>
      </c>
      <c r="DF1184" s="14">
        <f>INDEX(属性投放!$BK$6:$BK$85,(CV1184-2)*20+CZ1184)</f>
        <v>350</v>
      </c>
      <c r="DG1184" s="14">
        <f>SUMIFS(DF$5:DF1184,$CT$5:$CT1184,"="&amp;$CT1184)</f>
        <v>4525</v>
      </c>
      <c r="DH1184" s="14" t="s">
        <v>198</v>
      </c>
      <c r="DI1184" s="14">
        <f>INDEX(属性投放!$BL$6:$BL$85,(CV1184-2)*20+CZ1184)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INDEX(属性投放!$BM$6:$BM$85,(CV1184-2)*20+CZ1184)</f>
        <v>3500</v>
      </c>
      <c r="DM1184" s="14">
        <f>SUMIFS(DL$5:DL1184,$CT$5:$CT1184,"="&amp;$CT1184)</f>
        <v>42020</v>
      </c>
    </row>
    <row r="1185" spans="97:117" ht="16.5" x14ac:dyDescent="0.2">
      <c r="CS1185" s="13">
        <v>1181</v>
      </c>
      <c r="CT1185" s="13">
        <f t="shared" si="1107"/>
        <v>23</v>
      </c>
      <c r="CU1185" s="13">
        <f t="shared" si="1108"/>
        <v>37</v>
      </c>
      <c r="CV1185" s="14">
        <f t="shared" si="1109"/>
        <v>2</v>
      </c>
      <c r="CW1185" s="14">
        <f t="shared" si="1110"/>
        <v>1102023</v>
      </c>
      <c r="CX1185" s="14" t="str">
        <f>INDEX($O$6:$O$50,CT1185)&amp;"-"&amp;INDEX(属性投放!$AB$7:$AB$50,CZ1185)&amp;"-魂火-"&amp;DB1185</f>
        <v>异邦刀客-大焦热-魂火-1</v>
      </c>
      <c r="CY1185" s="25" t="s">
        <v>142</v>
      </c>
      <c r="CZ1185" s="14">
        <f>INDEX(属性投放!$AM$7:$AM$58,CU1185)</f>
        <v>16</v>
      </c>
      <c r="DA1185" s="14" t="s">
        <v>537</v>
      </c>
      <c r="DB1185" s="14">
        <f>INDEX(属性投放!$AN$7:$AN$58,CU1185)</f>
        <v>1</v>
      </c>
      <c r="DC1185" s="14">
        <f t="shared" si="1111"/>
        <v>37</v>
      </c>
      <c r="DD1185" s="14">
        <f>INDEX(属性投放!$AO$7:$AO$58,DC1185)</f>
        <v>110</v>
      </c>
      <c r="DE1185" s="14" t="s">
        <v>242</v>
      </c>
      <c r="DF1185" s="14">
        <f>INDEX(属性投放!$BK$6:$BK$85,(CV1185-2)*20+CZ1185)</f>
        <v>450</v>
      </c>
      <c r="DG1185" s="14">
        <f>SUMIFS(DF$5:DF1185,$CT$5:$CT1185,"="&amp;$CT1185)</f>
        <v>4975</v>
      </c>
      <c r="DH1185" s="14" t="s">
        <v>198</v>
      </c>
      <c r="DI1185" s="14">
        <f>INDEX(属性投放!$BL$6:$BL$85,(CV1185-2)*20+CZ1185)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INDEX(属性投放!$BM$6:$BM$85,(CV1185-2)*20+CZ1185)</f>
        <v>4500</v>
      </c>
      <c r="DM1185" s="14">
        <f>SUMIFS(DL$5:DL1185,$CT$5:$CT1185,"="&amp;$CT1185)</f>
        <v>46520</v>
      </c>
    </row>
    <row r="1186" spans="97:117" ht="16.5" x14ac:dyDescent="0.2">
      <c r="CS1186" s="13">
        <v>1182</v>
      </c>
      <c r="CT1186" s="13">
        <f t="shared" si="1107"/>
        <v>23</v>
      </c>
      <c r="CU1186" s="13">
        <f t="shared" si="1108"/>
        <v>38</v>
      </c>
      <c r="CV1186" s="14">
        <f t="shared" si="1109"/>
        <v>2</v>
      </c>
      <c r="CW1186" s="14">
        <f t="shared" si="1110"/>
        <v>1102023</v>
      </c>
      <c r="CX1186" s="14" t="str">
        <f>INDEX($O$6:$O$50,CT1186)&amp;"-"&amp;INDEX(属性投放!$AB$7:$AB$50,CZ1186)&amp;"-魂火-"&amp;DB1186</f>
        <v>异邦刀客-大焦热-魂火-2</v>
      </c>
      <c r="CY1186" s="25" t="s">
        <v>142</v>
      </c>
      <c r="CZ1186" s="14">
        <f>INDEX(属性投放!$AM$7:$AM$58,CU1186)</f>
        <v>16</v>
      </c>
      <c r="DA1186" s="14" t="s">
        <v>537</v>
      </c>
      <c r="DB1186" s="14">
        <f>INDEX(属性投放!$AN$7:$AN$58,CU1186)</f>
        <v>2</v>
      </c>
      <c r="DC1186" s="14">
        <f t="shared" si="1111"/>
        <v>38</v>
      </c>
      <c r="DD1186" s="14">
        <f>INDEX(属性投放!$AO$7:$AO$58,DC1186)</f>
        <v>113</v>
      </c>
      <c r="DE1186" s="14" t="s">
        <v>242</v>
      </c>
      <c r="DF1186" s="14">
        <f>INDEX(属性投放!$BK$6:$BK$85,(CV1186-2)*20+CZ1186)</f>
        <v>450</v>
      </c>
      <c r="DG1186" s="14">
        <f>SUMIFS(DF$5:DF1186,$CT$5:$CT1186,"="&amp;$CT1186)</f>
        <v>5425</v>
      </c>
      <c r="DH1186" s="14" t="s">
        <v>198</v>
      </c>
      <c r="DI1186" s="14">
        <f>INDEX(属性投放!$BL$6:$BL$85,(CV1186-2)*20+CZ1186)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INDEX(属性投放!$BM$6:$BM$85,(CV1186-2)*20+CZ1186)</f>
        <v>4500</v>
      </c>
      <c r="DM1186" s="14">
        <f>SUMIFS(DL$5:DL1186,$CT$5:$CT1186,"="&amp;$CT1186)</f>
        <v>51020</v>
      </c>
    </row>
    <row r="1187" spans="97:117" ht="16.5" x14ac:dyDescent="0.2">
      <c r="CS1187" s="13">
        <v>1183</v>
      </c>
      <c r="CT1187" s="13">
        <f t="shared" si="1107"/>
        <v>23</v>
      </c>
      <c r="CU1187" s="13">
        <f t="shared" si="1108"/>
        <v>39</v>
      </c>
      <c r="CV1187" s="14">
        <f t="shared" si="1109"/>
        <v>2</v>
      </c>
      <c r="CW1187" s="14">
        <f t="shared" si="1110"/>
        <v>1102023</v>
      </c>
      <c r="CX1187" s="14" t="str">
        <f>INDEX($O$6:$O$50,CT1187)&amp;"-"&amp;INDEX(属性投放!$AB$7:$AB$50,CZ1187)&amp;"-魂火-"&amp;DB1187</f>
        <v>异邦刀客-大焦热-魂火-3</v>
      </c>
      <c r="CY1187" s="25" t="s">
        <v>142</v>
      </c>
      <c r="CZ1187" s="14">
        <f>INDEX(属性投放!$AM$7:$AM$58,CU1187)</f>
        <v>16</v>
      </c>
      <c r="DA1187" s="14" t="s">
        <v>537</v>
      </c>
      <c r="DB1187" s="14">
        <f>INDEX(属性投放!$AN$7:$AN$58,CU1187)</f>
        <v>3</v>
      </c>
      <c r="DC1187" s="14">
        <f t="shared" si="1111"/>
        <v>39</v>
      </c>
      <c r="DD1187" s="14">
        <f>INDEX(属性投放!$AO$7:$AO$58,DC1187)</f>
        <v>115</v>
      </c>
      <c r="DE1187" s="14" t="s">
        <v>242</v>
      </c>
      <c r="DF1187" s="14">
        <f>INDEX(属性投放!$BK$6:$BK$85,(CV1187-2)*20+CZ1187)</f>
        <v>450</v>
      </c>
      <c r="DG1187" s="14">
        <f>SUMIFS(DF$5:DF1187,$CT$5:$CT1187,"="&amp;$CT1187)</f>
        <v>5875</v>
      </c>
      <c r="DH1187" s="14" t="s">
        <v>198</v>
      </c>
      <c r="DI1187" s="14">
        <f>INDEX(属性投放!$BL$6:$BL$85,(CV1187-2)*20+CZ1187)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INDEX(属性投放!$BM$6:$BM$85,(CV1187-2)*20+CZ1187)</f>
        <v>4500</v>
      </c>
      <c r="DM1187" s="14">
        <f>SUMIFS(DL$5:DL1187,$CT$5:$CT1187,"="&amp;$CT1187)</f>
        <v>55520</v>
      </c>
    </row>
    <row r="1188" spans="97:117" ht="16.5" x14ac:dyDescent="0.2">
      <c r="CS1188" s="13">
        <v>1184</v>
      </c>
      <c r="CT1188" s="13">
        <f t="shared" si="1107"/>
        <v>23</v>
      </c>
      <c r="CU1188" s="13">
        <f t="shared" si="1108"/>
        <v>40</v>
      </c>
      <c r="CV1188" s="14">
        <f t="shared" si="1109"/>
        <v>2</v>
      </c>
      <c r="CW1188" s="14">
        <f t="shared" si="1110"/>
        <v>1102023</v>
      </c>
      <c r="CX1188" s="14" t="str">
        <f>INDEX($O$6:$O$50,CT1188)&amp;"-"&amp;INDEX(属性投放!$AB$7:$AB$50,CZ1188)&amp;"-魂火-"&amp;DB1188</f>
        <v>异邦刀客-大焦热+1-魂火-1</v>
      </c>
      <c r="CY1188" s="25" t="s">
        <v>142</v>
      </c>
      <c r="CZ1188" s="14">
        <f>INDEX(属性投放!$AM$7:$AM$58,CU1188)</f>
        <v>17</v>
      </c>
      <c r="DA1188" s="14" t="s">
        <v>537</v>
      </c>
      <c r="DB1188" s="14">
        <f>INDEX(属性投放!$AN$7:$AN$58,CU1188)</f>
        <v>1</v>
      </c>
      <c r="DC1188" s="14">
        <f t="shared" si="1111"/>
        <v>40</v>
      </c>
      <c r="DD1188" s="14">
        <f>INDEX(属性投放!$AO$7:$AO$58,DC1188)</f>
        <v>118</v>
      </c>
      <c r="DE1188" s="14" t="s">
        <v>242</v>
      </c>
      <c r="DF1188" s="14">
        <f>INDEX(属性投放!$BK$6:$BK$85,(CV1188-2)*20+CZ1188)</f>
        <v>550</v>
      </c>
      <c r="DG1188" s="14">
        <f>SUMIFS(DF$5:DF1188,$CT$5:$CT1188,"="&amp;$CT1188)</f>
        <v>6425</v>
      </c>
      <c r="DH1188" s="14" t="s">
        <v>198</v>
      </c>
      <c r="DI1188" s="14">
        <f>INDEX(属性投放!$BL$6:$BL$85,(CV1188-2)*20+CZ1188)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INDEX(属性投放!$BM$6:$BM$85,(CV1188-2)*20+CZ1188)</f>
        <v>5500</v>
      </c>
      <c r="DM1188" s="14">
        <f>SUMIFS(DL$5:DL1188,$CT$5:$CT1188,"="&amp;$CT1188)</f>
        <v>61020</v>
      </c>
    </row>
    <row r="1189" spans="97:117" ht="16.5" x14ac:dyDescent="0.2">
      <c r="CS1189" s="13">
        <v>1185</v>
      </c>
      <c r="CT1189" s="13">
        <f t="shared" si="1107"/>
        <v>23</v>
      </c>
      <c r="CU1189" s="13">
        <f t="shared" si="1108"/>
        <v>41</v>
      </c>
      <c r="CV1189" s="14">
        <f t="shared" si="1109"/>
        <v>2</v>
      </c>
      <c r="CW1189" s="14">
        <f t="shared" si="1110"/>
        <v>1102023</v>
      </c>
      <c r="CX1189" s="14" t="str">
        <f>INDEX($O$6:$O$50,CT1189)&amp;"-"&amp;INDEX(属性投放!$AB$7:$AB$50,CZ1189)&amp;"-魂火-"&amp;DB1189</f>
        <v>异邦刀客-大焦热+1-魂火-2</v>
      </c>
      <c r="CY1189" s="25" t="s">
        <v>142</v>
      </c>
      <c r="CZ1189" s="14">
        <f>INDEX(属性投放!$AM$7:$AM$58,CU1189)</f>
        <v>17</v>
      </c>
      <c r="DA1189" s="14" t="s">
        <v>537</v>
      </c>
      <c r="DB1189" s="14">
        <f>INDEX(属性投放!$AN$7:$AN$58,CU1189)</f>
        <v>2</v>
      </c>
      <c r="DC1189" s="14">
        <f t="shared" si="1111"/>
        <v>41</v>
      </c>
      <c r="DD1189" s="14">
        <f>INDEX(属性投放!$AO$7:$AO$58,DC1189)</f>
        <v>120</v>
      </c>
      <c r="DE1189" s="14" t="s">
        <v>242</v>
      </c>
      <c r="DF1189" s="14">
        <f>INDEX(属性投放!$BK$6:$BK$85,(CV1189-2)*20+CZ1189)</f>
        <v>550</v>
      </c>
      <c r="DG1189" s="14">
        <f>SUMIFS(DF$5:DF1189,$CT$5:$CT1189,"="&amp;$CT1189)</f>
        <v>6975</v>
      </c>
      <c r="DH1189" s="14" t="s">
        <v>198</v>
      </c>
      <c r="DI1189" s="14">
        <f>INDEX(属性投放!$BL$6:$BL$85,(CV1189-2)*20+CZ1189)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INDEX(属性投放!$BM$6:$BM$85,(CV1189-2)*20+CZ1189)</f>
        <v>5500</v>
      </c>
      <c r="DM1189" s="14">
        <f>SUMIFS(DL$5:DL1189,$CT$5:$CT1189,"="&amp;$CT1189)</f>
        <v>66520</v>
      </c>
    </row>
    <row r="1190" spans="97:117" ht="16.5" x14ac:dyDescent="0.2">
      <c r="CS1190" s="13">
        <v>1186</v>
      </c>
      <c r="CT1190" s="13">
        <f t="shared" si="1107"/>
        <v>23</v>
      </c>
      <c r="CU1190" s="13">
        <f t="shared" si="1108"/>
        <v>42</v>
      </c>
      <c r="CV1190" s="14">
        <f t="shared" si="1109"/>
        <v>2</v>
      </c>
      <c r="CW1190" s="14">
        <f t="shared" si="1110"/>
        <v>1102023</v>
      </c>
      <c r="CX1190" s="14" t="str">
        <f>INDEX($O$6:$O$50,CT1190)&amp;"-"&amp;INDEX(属性投放!$AB$7:$AB$50,CZ1190)&amp;"-魂火-"&amp;DB1190</f>
        <v>异邦刀客-大焦热+1-魂火-3</v>
      </c>
      <c r="CY1190" s="25" t="s">
        <v>142</v>
      </c>
      <c r="CZ1190" s="14">
        <f>INDEX(属性投放!$AM$7:$AM$58,CU1190)</f>
        <v>17</v>
      </c>
      <c r="DA1190" s="14" t="s">
        <v>537</v>
      </c>
      <c r="DB1190" s="14">
        <f>INDEX(属性投放!$AN$7:$AN$58,CU1190)</f>
        <v>3</v>
      </c>
      <c r="DC1190" s="14">
        <f t="shared" si="1111"/>
        <v>42</v>
      </c>
      <c r="DD1190" s="14">
        <f>INDEX(属性投放!$AO$7:$AO$58,DC1190)</f>
        <v>123</v>
      </c>
      <c r="DE1190" s="14" t="s">
        <v>242</v>
      </c>
      <c r="DF1190" s="14">
        <f>INDEX(属性投放!$BK$6:$BK$85,(CV1190-2)*20+CZ1190)</f>
        <v>550</v>
      </c>
      <c r="DG1190" s="14">
        <f>SUMIFS(DF$5:DF1190,$CT$5:$CT1190,"="&amp;$CT1190)</f>
        <v>7525</v>
      </c>
      <c r="DH1190" s="14" t="s">
        <v>198</v>
      </c>
      <c r="DI1190" s="14">
        <f>INDEX(属性投放!$BL$6:$BL$85,(CV1190-2)*20+CZ1190)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INDEX(属性投放!$BM$6:$BM$85,(CV1190-2)*20+CZ1190)</f>
        <v>5500</v>
      </c>
      <c r="DM1190" s="14">
        <f>SUMIFS(DL$5:DL1190,$CT$5:$CT1190,"="&amp;$CT1190)</f>
        <v>72020</v>
      </c>
    </row>
    <row r="1191" spans="97:117" ht="16.5" x14ac:dyDescent="0.2">
      <c r="CS1191" s="13">
        <v>1187</v>
      </c>
      <c r="CT1191" s="13">
        <f t="shared" si="1107"/>
        <v>23</v>
      </c>
      <c r="CU1191" s="13">
        <f t="shared" si="1108"/>
        <v>43</v>
      </c>
      <c r="CV1191" s="14">
        <f t="shared" si="1109"/>
        <v>2</v>
      </c>
      <c r="CW1191" s="14">
        <f t="shared" si="1110"/>
        <v>1102023</v>
      </c>
      <c r="CX1191" s="14" t="str">
        <f>INDEX($O$6:$O$50,CT1191)&amp;"-"&amp;INDEX(属性投放!$AB$7:$AB$50,CZ1191)&amp;"-魂火-"&amp;DB1191</f>
        <v>异邦刀客-大焦热+2-魂火-1</v>
      </c>
      <c r="CY1191" s="25" t="s">
        <v>142</v>
      </c>
      <c r="CZ1191" s="14">
        <f>INDEX(属性投放!$AM$7:$AM$58,CU1191)</f>
        <v>18</v>
      </c>
      <c r="DA1191" s="14" t="s">
        <v>537</v>
      </c>
      <c r="DB1191" s="14">
        <f>INDEX(属性投放!$AN$7:$AN$58,CU1191)</f>
        <v>1</v>
      </c>
      <c r="DC1191" s="14">
        <f t="shared" si="1111"/>
        <v>43</v>
      </c>
      <c r="DD1191" s="14">
        <f>INDEX(属性投放!$AO$7:$AO$58,DC1191)</f>
        <v>125</v>
      </c>
      <c r="DE1191" s="14" t="s">
        <v>242</v>
      </c>
      <c r="DF1191" s="14">
        <f>INDEX(属性投放!$BK$6:$BK$85,(CV1191-2)*20+CZ1191)</f>
        <v>680</v>
      </c>
      <c r="DG1191" s="14">
        <f>SUMIFS(DF$5:DF1191,$CT$5:$CT1191,"="&amp;$CT1191)</f>
        <v>8205</v>
      </c>
      <c r="DH1191" s="14" t="s">
        <v>198</v>
      </c>
      <c r="DI1191" s="14">
        <f>INDEX(属性投放!$BL$6:$BL$85,(CV1191-2)*20+CZ1191)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INDEX(属性投放!$BM$6:$BM$85,(CV1191-2)*20+CZ1191)</f>
        <v>6800</v>
      </c>
      <c r="DM1191" s="14">
        <f>SUMIFS(DL$5:DL1191,$CT$5:$CT1191,"="&amp;$CT1191)</f>
        <v>78820</v>
      </c>
    </row>
    <row r="1192" spans="97:117" ht="16.5" x14ac:dyDescent="0.2">
      <c r="CS1192" s="13">
        <v>1188</v>
      </c>
      <c r="CT1192" s="13">
        <f t="shared" si="1107"/>
        <v>23</v>
      </c>
      <c r="CU1192" s="13">
        <f t="shared" si="1108"/>
        <v>44</v>
      </c>
      <c r="CV1192" s="14">
        <f t="shared" si="1109"/>
        <v>2</v>
      </c>
      <c r="CW1192" s="14">
        <f t="shared" si="1110"/>
        <v>1102023</v>
      </c>
      <c r="CX1192" s="14" t="str">
        <f>INDEX($O$6:$O$50,CT1192)&amp;"-"&amp;INDEX(属性投放!$AB$7:$AB$50,CZ1192)&amp;"-魂火-"&amp;DB1192</f>
        <v>异邦刀客-大焦热+2-魂火-2</v>
      </c>
      <c r="CY1192" s="25" t="s">
        <v>142</v>
      </c>
      <c r="CZ1192" s="14">
        <f>INDEX(属性投放!$AM$7:$AM$58,CU1192)</f>
        <v>18</v>
      </c>
      <c r="DA1192" s="14" t="s">
        <v>537</v>
      </c>
      <c r="DB1192" s="14">
        <f>INDEX(属性投放!$AN$7:$AN$58,CU1192)</f>
        <v>2</v>
      </c>
      <c r="DC1192" s="14">
        <f t="shared" si="1111"/>
        <v>44</v>
      </c>
      <c r="DD1192" s="14">
        <f>INDEX(属性投放!$AO$7:$AO$58,DC1192)</f>
        <v>128</v>
      </c>
      <c r="DE1192" s="14" t="s">
        <v>242</v>
      </c>
      <c r="DF1192" s="14">
        <f>INDEX(属性投放!$BK$6:$BK$85,(CV1192-2)*20+CZ1192)</f>
        <v>680</v>
      </c>
      <c r="DG1192" s="14">
        <f>SUMIFS(DF$5:DF1192,$CT$5:$CT1192,"="&amp;$CT1192)</f>
        <v>8885</v>
      </c>
      <c r="DH1192" s="14" t="s">
        <v>198</v>
      </c>
      <c r="DI1192" s="14">
        <f>INDEX(属性投放!$BL$6:$BL$85,(CV1192-2)*20+CZ1192)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INDEX(属性投放!$BM$6:$BM$85,(CV1192-2)*20+CZ1192)</f>
        <v>6800</v>
      </c>
      <c r="DM1192" s="14">
        <f>SUMIFS(DL$5:DL1192,$CT$5:$CT1192,"="&amp;$CT1192)</f>
        <v>85620</v>
      </c>
    </row>
    <row r="1193" spans="97:117" ht="16.5" x14ac:dyDescent="0.2">
      <c r="CS1193" s="13">
        <v>1189</v>
      </c>
      <c r="CT1193" s="13">
        <f t="shared" si="1107"/>
        <v>23</v>
      </c>
      <c r="CU1193" s="13">
        <f t="shared" si="1108"/>
        <v>45</v>
      </c>
      <c r="CV1193" s="14">
        <f t="shared" si="1109"/>
        <v>2</v>
      </c>
      <c r="CW1193" s="14">
        <f t="shared" si="1110"/>
        <v>1102023</v>
      </c>
      <c r="CX1193" s="14" t="str">
        <f>INDEX($O$6:$O$50,CT1193)&amp;"-"&amp;INDEX(属性投放!$AB$7:$AB$50,CZ1193)&amp;"-魂火-"&amp;DB1193</f>
        <v>异邦刀客-大焦热+2-魂火-3</v>
      </c>
      <c r="CY1193" s="25" t="s">
        <v>142</v>
      </c>
      <c r="CZ1193" s="14">
        <f>INDEX(属性投放!$AM$7:$AM$58,CU1193)</f>
        <v>18</v>
      </c>
      <c r="DA1193" s="14" t="s">
        <v>537</v>
      </c>
      <c r="DB1193" s="14">
        <f>INDEX(属性投放!$AN$7:$AN$58,CU1193)</f>
        <v>3</v>
      </c>
      <c r="DC1193" s="14">
        <f t="shared" si="1111"/>
        <v>45</v>
      </c>
      <c r="DD1193" s="14">
        <f>INDEX(属性投放!$AO$7:$AO$58,DC1193)</f>
        <v>130</v>
      </c>
      <c r="DE1193" s="14" t="s">
        <v>242</v>
      </c>
      <c r="DF1193" s="14">
        <f>INDEX(属性投放!$BK$6:$BK$85,(CV1193-2)*20+CZ1193)</f>
        <v>680</v>
      </c>
      <c r="DG1193" s="14">
        <f>SUMIFS(DF$5:DF1193,$CT$5:$CT1193,"="&amp;$CT1193)</f>
        <v>9565</v>
      </c>
      <c r="DH1193" s="14" t="s">
        <v>198</v>
      </c>
      <c r="DI1193" s="14">
        <f>INDEX(属性投放!$BL$6:$BL$85,(CV1193-2)*20+CZ1193)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INDEX(属性投放!$BM$6:$BM$85,(CV1193-2)*20+CZ1193)</f>
        <v>6800</v>
      </c>
      <c r="DM1193" s="14">
        <f>SUMIFS(DL$5:DL1193,$CT$5:$CT1193,"="&amp;$CT1193)</f>
        <v>92420</v>
      </c>
    </row>
    <row r="1194" spans="97:117" ht="16.5" x14ac:dyDescent="0.2">
      <c r="CS1194" s="13">
        <v>1190</v>
      </c>
      <c r="CT1194" s="13">
        <f t="shared" si="1107"/>
        <v>23</v>
      </c>
      <c r="CU1194" s="13">
        <f t="shared" si="1108"/>
        <v>46</v>
      </c>
      <c r="CV1194" s="14">
        <f t="shared" si="1109"/>
        <v>2</v>
      </c>
      <c r="CW1194" s="14">
        <f t="shared" si="1110"/>
        <v>1102023</v>
      </c>
      <c r="CX1194" s="14" t="str">
        <f>INDEX($O$6:$O$50,CT1194)&amp;"-"&amp;INDEX(属性投放!$AB$7:$AB$50,CZ1194)&amp;"-魂火-"&amp;DB1194</f>
        <v>异邦刀客-无间-魂火-1</v>
      </c>
      <c r="CY1194" s="25" t="s">
        <v>142</v>
      </c>
      <c r="CZ1194" s="14">
        <f>INDEX(属性投放!$AM$7:$AM$58,CU1194)</f>
        <v>19</v>
      </c>
      <c r="DA1194" s="14" t="s">
        <v>537</v>
      </c>
      <c r="DB1194" s="14">
        <f>INDEX(属性投放!$AN$7:$AN$58,CU1194)</f>
        <v>1</v>
      </c>
      <c r="DC1194" s="14">
        <f t="shared" si="1111"/>
        <v>46</v>
      </c>
      <c r="DD1194" s="14">
        <f>INDEX(属性投放!$AO$7:$AO$58,DC1194)</f>
        <v>133</v>
      </c>
      <c r="DE1194" s="14" t="s">
        <v>242</v>
      </c>
      <c r="DF1194" s="14">
        <f>INDEX(属性投放!$BK$6:$BK$85,(CV1194-2)*20+CZ1194)</f>
        <v>850</v>
      </c>
      <c r="DG1194" s="14">
        <f>SUMIFS(DF$5:DF1194,$CT$5:$CT1194,"="&amp;$CT1194)</f>
        <v>10415</v>
      </c>
      <c r="DH1194" s="14" t="s">
        <v>198</v>
      </c>
      <c r="DI1194" s="14">
        <f>INDEX(属性投放!$BL$6:$BL$85,(CV1194-2)*20+CZ1194)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INDEX(属性投放!$BM$6:$BM$85,(CV1194-2)*20+CZ1194)</f>
        <v>8500</v>
      </c>
      <c r="DM1194" s="14">
        <f>SUMIFS(DL$5:DL1194,$CT$5:$CT1194,"="&amp;$CT1194)</f>
        <v>100920</v>
      </c>
    </row>
    <row r="1195" spans="97:117" ht="16.5" x14ac:dyDescent="0.2">
      <c r="CS1195" s="13">
        <v>1191</v>
      </c>
      <c r="CT1195" s="13">
        <f t="shared" si="1107"/>
        <v>23</v>
      </c>
      <c r="CU1195" s="13">
        <f t="shared" si="1108"/>
        <v>47</v>
      </c>
      <c r="CV1195" s="14">
        <f t="shared" si="1109"/>
        <v>2</v>
      </c>
      <c r="CW1195" s="14">
        <f t="shared" si="1110"/>
        <v>1102023</v>
      </c>
      <c r="CX1195" s="14" t="str">
        <f>INDEX($O$6:$O$50,CT1195)&amp;"-"&amp;INDEX(属性投放!$AB$7:$AB$50,CZ1195)&amp;"-魂火-"&amp;DB1195</f>
        <v>异邦刀客-无间-魂火-2</v>
      </c>
      <c r="CY1195" s="25" t="s">
        <v>142</v>
      </c>
      <c r="CZ1195" s="14">
        <f>INDEX(属性投放!$AM$7:$AM$58,CU1195)</f>
        <v>19</v>
      </c>
      <c r="DA1195" s="14" t="s">
        <v>537</v>
      </c>
      <c r="DB1195" s="14">
        <f>INDEX(属性投放!$AN$7:$AN$58,CU1195)</f>
        <v>2</v>
      </c>
      <c r="DC1195" s="14">
        <f t="shared" si="1111"/>
        <v>47</v>
      </c>
      <c r="DD1195" s="14">
        <f>INDEX(属性投放!$AO$7:$AO$58,DC1195)</f>
        <v>135</v>
      </c>
      <c r="DE1195" s="14" t="s">
        <v>242</v>
      </c>
      <c r="DF1195" s="14">
        <f>INDEX(属性投放!$BK$6:$BK$85,(CV1195-2)*20+CZ1195)</f>
        <v>850</v>
      </c>
      <c r="DG1195" s="14">
        <f>SUMIFS(DF$5:DF1195,$CT$5:$CT1195,"="&amp;$CT1195)</f>
        <v>11265</v>
      </c>
      <c r="DH1195" s="14" t="s">
        <v>198</v>
      </c>
      <c r="DI1195" s="14">
        <f>INDEX(属性投放!$BL$6:$BL$85,(CV1195-2)*20+CZ1195)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INDEX(属性投放!$BM$6:$BM$85,(CV1195-2)*20+CZ1195)</f>
        <v>8500</v>
      </c>
      <c r="DM1195" s="14">
        <f>SUMIFS(DL$5:DL1195,$CT$5:$CT1195,"="&amp;$CT1195)</f>
        <v>109420</v>
      </c>
    </row>
    <row r="1196" spans="97:117" ht="16.5" x14ac:dyDescent="0.2">
      <c r="CS1196" s="13">
        <v>1192</v>
      </c>
      <c r="CT1196" s="13">
        <f t="shared" si="1107"/>
        <v>23</v>
      </c>
      <c r="CU1196" s="13">
        <f t="shared" si="1108"/>
        <v>48</v>
      </c>
      <c r="CV1196" s="14">
        <f t="shared" si="1109"/>
        <v>2</v>
      </c>
      <c r="CW1196" s="14">
        <f t="shared" si="1110"/>
        <v>1102023</v>
      </c>
      <c r="CX1196" s="14" t="str">
        <f>INDEX($O$6:$O$50,CT1196)&amp;"-"&amp;INDEX(属性投放!$AB$7:$AB$50,CZ1196)&amp;"-魂火-"&amp;DB1196</f>
        <v>异邦刀客-无间-魂火-3</v>
      </c>
      <c r="CY1196" s="25" t="s">
        <v>142</v>
      </c>
      <c r="CZ1196" s="14">
        <f>INDEX(属性投放!$AM$7:$AM$58,CU1196)</f>
        <v>19</v>
      </c>
      <c r="DA1196" s="14" t="s">
        <v>537</v>
      </c>
      <c r="DB1196" s="14">
        <f>INDEX(属性投放!$AN$7:$AN$58,CU1196)</f>
        <v>3</v>
      </c>
      <c r="DC1196" s="14">
        <f t="shared" si="1111"/>
        <v>48</v>
      </c>
      <c r="DD1196" s="14">
        <f>INDEX(属性投放!$AO$7:$AO$58,DC1196)</f>
        <v>138</v>
      </c>
      <c r="DE1196" s="14" t="s">
        <v>242</v>
      </c>
      <c r="DF1196" s="14">
        <f>INDEX(属性投放!$BK$6:$BK$85,(CV1196-2)*20+CZ1196)</f>
        <v>850</v>
      </c>
      <c r="DG1196" s="14">
        <f>SUMIFS(DF$5:DF1196,$CT$5:$CT1196,"="&amp;$CT1196)</f>
        <v>12115</v>
      </c>
      <c r="DH1196" s="14" t="s">
        <v>198</v>
      </c>
      <c r="DI1196" s="14">
        <f>INDEX(属性投放!$BL$6:$BL$85,(CV1196-2)*20+CZ1196)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INDEX(属性投放!$BM$6:$BM$85,(CV1196-2)*20+CZ1196)</f>
        <v>8500</v>
      </c>
      <c r="DM1196" s="14">
        <f>SUMIFS(DL$5:DL1196,$CT$5:$CT1196,"="&amp;$CT1196)</f>
        <v>117920</v>
      </c>
    </row>
    <row r="1197" spans="97:117" ht="16.5" x14ac:dyDescent="0.2">
      <c r="CS1197" s="13">
        <v>1193</v>
      </c>
      <c r="CT1197" s="13">
        <f t="shared" si="1107"/>
        <v>23</v>
      </c>
      <c r="CU1197" s="13">
        <f t="shared" si="1108"/>
        <v>49</v>
      </c>
      <c r="CV1197" s="14">
        <f t="shared" si="1109"/>
        <v>2</v>
      </c>
      <c r="CW1197" s="14">
        <f t="shared" si="1110"/>
        <v>1102023</v>
      </c>
      <c r="CX1197" s="14" t="str">
        <f>INDEX($O$6:$O$50,CT1197)&amp;"-"&amp;INDEX(属性投放!$AB$7:$AB$50,CZ1197)&amp;"-魂火-"&amp;DB1197</f>
        <v>异邦刀客-无间+1-魂火-1</v>
      </c>
      <c r="CY1197" s="25" t="s">
        <v>142</v>
      </c>
      <c r="CZ1197" s="14">
        <f>INDEX(属性投放!$AM$7:$AM$58,CU1197)</f>
        <v>20</v>
      </c>
      <c r="DA1197" s="14" t="s">
        <v>537</v>
      </c>
      <c r="DB1197" s="14">
        <f>INDEX(属性投放!$AN$7:$AN$58,CU1197)</f>
        <v>1</v>
      </c>
      <c r="DC1197" s="14">
        <f t="shared" si="1111"/>
        <v>49</v>
      </c>
      <c r="DD1197" s="14">
        <f>INDEX(属性投放!$AO$7:$AO$58,DC1197)</f>
        <v>140</v>
      </c>
      <c r="DE1197" s="14" t="s">
        <v>242</v>
      </c>
      <c r="DF1197" s="14">
        <f>INDEX(属性投放!$BK$6:$BK$85,(CV1197-2)*20+CZ1197)</f>
        <v>1000</v>
      </c>
      <c r="DG1197" s="14">
        <f>SUMIFS(DF$5:DF1197,$CT$5:$CT1197,"="&amp;$CT1197)</f>
        <v>13115</v>
      </c>
      <c r="DH1197" s="14" t="s">
        <v>198</v>
      </c>
      <c r="DI1197" s="14">
        <f>INDEX(属性投放!$BL$6:$BL$85,(CV1197-2)*20+CZ1197)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INDEX(属性投放!$BM$6:$BM$85,(CV1197-2)*20+CZ1197)</f>
        <v>10000</v>
      </c>
      <c r="DM1197" s="14">
        <f>SUMIFS(DL$5:DL1197,$CT$5:$CT1197,"="&amp;$CT1197)</f>
        <v>127920</v>
      </c>
    </row>
    <row r="1198" spans="97:117" ht="16.5" x14ac:dyDescent="0.2">
      <c r="CS1198" s="13">
        <v>1194</v>
      </c>
      <c r="CT1198" s="13">
        <f t="shared" si="1107"/>
        <v>23</v>
      </c>
      <c r="CU1198" s="13">
        <f t="shared" si="1108"/>
        <v>50</v>
      </c>
      <c r="CV1198" s="14">
        <f t="shared" si="1109"/>
        <v>2</v>
      </c>
      <c r="CW1198" s="14">
        <f t="shared" si="1110"/>
        <v>1102023</v>
      </c>
      <c r="CX1198" s="14" t="str">
        <f>INDEX($O$6:$O$50,CT1198)&amp;"-"&amp;INDEX(属性投放!$AB$7:$AB$50,CZ1198)&amp;"-魂火-"&amp;DB1198</f>
        <v>异邦刀客-无间+1-魂火-2</v>
      </c>
      <c r="CY1198" s="25" t="s">
        <v>142</v>
      </c>
      <c r="CZ1198" s="14">
        <f>INDEX(属性投放!$AM$7:$AM$58,CU1198)</f>
        <v>20</v>
      </c>
      <c r="DA1198" s="14" t="s">
        <v>537</v>
      </c>
      <c r="DB1198" s="14">
        <f>INDEX(属性投放!$AN$7:$AN$58,CU1198)</f>
        <v>2</v>
      </c>
      <c r="DC1198" s="14">
        <f t="shared" si="1111"/>
        <v>50</v>
      </c>
      <c r="DD1198" s="14">
        <f>INDEX(属性投放!$AO$7:$AO$58,DC1198)</f>
        <v>143</v>
      </c>
      <c r="DE1198" s="14" t="s">
        <v>242</v>
      </c>
      <c r="DF1198" s="14">
        <f>INDEX(属性投放!$BK$6:$BK$85,(CV1198-2)*20+CZ1198)</f>
        <v>1000</v>
      </c>
      <c r="DG1198" s="14">
        <f>SUMIFS(DF$5:DF1198,$CT$5:$CT1198,"="&amp;$CT1198)</f>
        <v>14115</v>
      </c>
      <c r="DH1198" s="14" t="s">
        <v>198</v>
      </c>
      <c r="DI1198" s="14">
        <f>INDEX(属性投放!$BL$6:$BL$85,(CV1198-2)*20+CZ1198)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INDEX(属性投放!$BM$6:$BM$85,(CV1198-2)*20+CZ1198)</f>
        <v>10000</v>
      </c>
      <c r="DM1198" s="14">
        <f>SUMIFS(DL$5:DL1198,$CT$5:$CT1198,"="&amp;$CT1198)</f>
        <v>137920</v>
      </c>
    </row>
    <row r="1199" spans="97:117" ht="16.5" x14ac:dyDescent="0.2">
      <c r="CS1199" s="13">
        <v>1195</v>
      </c>
      <c r="CT1199" s="13">
        <f t="shared" si="1107"/>
        <v>23</v>
      </c>
      <c r="CU1199" s="13">
        <f t="shared" si="1108"/>
        <v>51</v>
      </c>
      <c r="CV1199" s="14">
        <f t="shared" si="1109"/>
        <v>2</v>
      </c>
      <c r="CW1199" s="14">
        <f t="shared" si="1110"/>
        <v>1102023</v>
      </c>
      <c r="CX1199" s="14" t="str">
        <f>INDEX($O$6:$O$50,CT1199)&amp;"-"&amp;INDEX(属性投放!$AB$7:$AB$50,CZ1199)&amp;"-魂火-"&amp;DB1199</f>
        <v>异邦刀客-无间+1-魂火-3</v>
      </c>
      <c r="CY1199" s="25" t="s">
        <v>142</v>
      </c>
      <c r="CZ1199" s="14">
        <f>INDEX(属性投放!$AM$7:$AM$58,CU1199)</f>
        <v>20</v>
      </c>
      <c r="DA1199" s="14" t="s">
        <v>537</v>
      </c>
      <c r="DB1199" s="14">
        <f>INDEX(属性投放!$AN$7:$AN$58,CU1199)</f>
        <v>3</v>
      </c>
      <c r="DC1199" s="14">
        <f t="shared" si="1111"/>
        <v>51</v>
      </c>
      <c r="DD1199" s="14">
        <f>INDEX(属性投放!$AO$7:$AO$58,DC1199)</f>
        <v>145</v>
      </c>
      <c r="DE1199" s="14" t="s">
        <v>242</v>
      </c>
      <c r="DF1199" s="14">
        <f>INDEX(属性投放!$BK$6:$BK$85,(CV1199-2)*20+CZ1199)</f>
        <v>1000</v>
      </c>
      <c r="DG1199" s="14">
        <f>SUMIFS(DF$5:DF1199,$CT$5:$CT1199,"="&amp;$CT1199)</f>
        <v>15115</v>
      </c>
      <c r="DH1199" s="14" t="s">
        <v>198</v>
      </c>
      <c r="DI1199" s="14">
        <f>INDEX(属性投放!$BL$6:$BL$85,(CV1199-2)*20+CZ1199)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INDEX(属性投放!$BM$6:$BM$85,(CV1199-2)*20+CZ1199)</f>
        <v>10000</v>
      </c>
      <c r="DM1199" s="14">
        <f>SUMIFS(DL$5:DL1199,$CT$5:$CT1199,"="&amp;$CT1199)</f>
        <v>147920</v>
      </c>
    </row>
    <row r="1200" spans="97:117" ht="16.5" x14ac:dyDescent="0.2">
      <c r="CS1200" s="13">
        <v>1196</v>
      </c>
      <c r="CT1200" s="13">
        <f t="shared" si="1107"/>
        <v>23</v>
      </c>
      <c r="CU1200" s="13">
        <f t="shared" si="1108"/>
        <v>52</v>
      </c>
      <c r="CV1200" s="14">
        <f t="shared" si="1109"/>
        <v>2</v>
      </c>
      <c r="CW1200" s="14">
        <f t="shared" si="1110"/>
        <v>1102023</v>
      </c>
      <c r="CX1200" s="14" t="str">
        <f>INDEX($O$6:$O$50,CT1200)&amp;"-"&amp;INDEX(属性投放!$AB$7:$AB$50,CZ1200)&amp;"-魂火-"&amp;DB1200</f>
        <v>异邦刀客-无间+1-魂火-4</v>
      </c>
      <c r="CY1200" s="25" t="s">
        <v>142</v>
      </c>
      <c r="CZ1200" s="14">
        <f>INDEX(属性投放!$AM$7:$AM$58,CU1200)</f>
        <v>20</v>
      </c>
      <c r="DA1200" s="14" t="s">
        <v>537</v>
      </c>
      <c r="DB1200" s="14">
        <f>INDEX(属性投放!$AN$7:$AN$58,CU1200)</f>
        <v>4</v>
      </c>
      <c r="DC1200" s="14">
        <f t="shared" ref="DC1200" si="1112">CU1200</f>
        <v>52</v>
      </c>
      <c r="DD1200" s="14">
        <f>INDEX(属性投放!$AO$7:$AO$58,DC1200)</f>
        <v>148</v>
      </c>
      <c r="DE1200" s="14" t="s">
        <v>242</v>
      </c>
      <c r="DF1200" s="14">
        <f>INDEX(属性投放!$BK$6:$BK$85,(CV1200-2)*20+CZ1200)</f>
        <v>1000</v>
      </c>
      <c r="DG1200" s="14">
        <f>SUMIFS(DF$5:DF1200,$CT$5:$CT1200,"="&amp;$CT1200)</f>
        <v>16115</v>
      </c>
      <c r="DH1200" s="14" t="s">
        <v>198</v>
      </c>
      <c r="DI1200" s="14">
        <f>INDEX(属性投放!$BL$6:$BL$85,(CV1200-2)*20+CZ1200)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INDEX(属性投放!$BM$6:$BM$85,(CV1200-2)*20+CZ1200)</f>
        <v>10000</v>
      </c>
      <c r="DM1200" s="14">
        <f>SUMIFS(DL$5:DL1200,$CT$5:$CT1200,"="&amp;$CT1200)</f>
        <v>157920</v>
      </c>
    </row>
    <row r="1201" spans="97:117" ht="16.5" x14ac:dyDescent="0.2">
      <c r="CS1201" s="13">
        <v>1197</v>
      </c>
      <c r="CT1201" s="13">
        <f t="shared" si="1107"/>
        <v>24</v>
      </c>
      <c r="CU1201" s="13">
        <f t="shared" si="1108"/>
        <v>1</v>
      </c>
      <c r="CV1201" s="14">
        <f t="shared" si="1109"/>
        <v>3</v>
      </c>
      <c r="CW1201" s="14">
        <f t="shared" si="1110"/>
        <v>1102024</v>
      </c>
      <c r="CX1201" s="14" t="str">
        <f>INDEX($O$6:$O$50,CT1201)&amp;"-"&amp;INDEX(属性投放!$AB$7:$AB$50,CZ1201)&amp;"-魂火-"&amp;DB1201</f>
        <v>朱仙-等活-魂火-1</v>
      </c>
      <c r="CY1201" s="25" t="s">
        <v>142</v>
      </c>
      <c r="CZ1201" s="14">
        <f>INDEX(属性投放!$AM$7:$AM$58,CU1201)</f>
        <v>1</v>
      </c>
      <c r="DA1201" s="14" t="s">
        <v>537</v>
      </c>
      <c r="DB1201" s="14">
        <f>INDEX(属性投放!$AN$7:$AN$58,CU1201)</f>
        <v>1</v>
      </c>
      <c r="DC1201" s="14">
        <f t="shared" ref="DC1201:DC1215" si="1113">CU1201</f>
        <v>1</v>
      </c>
      <c r="DD1201" s="14">
        <f>INDEX(属性投放!$AO$7:$AO$58,DC1201)</f>
        <v>3</v>
      </c>
      <c r="DE1201" s="14" t="s">
        <v>242</v>
      </c>
      <c r="DF1201" s="14">
        <f>INDEX(属性投放!$BK$6:$BK$85,(CV1201-2)*20+CZ1201)</f>
        <v>20</v>
      </c>
      <c r="DG1201" s="14">
        <f>SUMIFS(DF$5:DF1201,$CT$5:$CT1201,"="&amp;$CT1201)</f>
        <v>20</v>
      </c>
      <c r="DH1201" s="14" t="s">
        <v>198</v>
      </c>
      <c r="DI1201" s="14">
        <f>INDEX(属性投放!$BL$6:$BL$85,(CV1201-2)*20+CZ1201)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INDEX(属性投放!$BM$6:$BM$85,(CV1201-2)*20+CZ1201)</f>
        <v>120</v>
      </c>
      <c r="DM1201" s="14">
        <f>SUMIFS(DL$5:DL1201,$CT$5:$CT1201,"="&amp;$CT1201)</f>
        <v>120</v>
      </c>
    </row>
    <row r="1202" spans="97:117" ht="16.5" x14ac:dyDescent="0.2">
      <c r="CS1202" s="13">
        <v>1198</v>
      </c>
      <c r="CT1202" s="13">
        <f t="shared" si="1107"/>
        <v>24</v>
      </c>
      <c r="CU1202" s="13">
        <f t="shared" si="1108"/>
        <v>2</v>
      </c>
      <c r="CV1202" s="14">
        <f t="shared" si="1109"/>
        <v>3</v>
      </c>
      <c r="CW1202" s="14">
        <f t="shared" si="1110"/>
        <v>1102024</v>
      </c>
      <c r="CX1202" s="14" t="str">
        <f>INDEX($O$6:$O$50,CT1202)&amp;"-"&amp;INDEX(属性投放!$AB$7:$AB$50,CZ1202)&amp;"-魂火-"&amp;DB1202</f>
        <v>朱仙-黑绳-魂火-1</v>
      </c>
      <c r="CY1202" s="25" t="s">
        <v>142</v>
      </c>
      <c r="CZ1202" s="14">
        <f>INDEX(属性投放!$AM$7:$AM$58,CU1202)</f>
        <v>2</v>
      </c>
      <c r="DA1202" s="14" t="s">
        <v>537</v>
      </c>
      <c r="DB1202" s="14">
        <f>INDEX(属性投放!$AN$7:$AN$58,CU1202)</f>
        <v>1</v>
      </c>
      <c r="DC1202" s="14">
        <f t="shared" si="1113"/>
        <v>2</v>
      </c>
      <c r="DD1202" s="14">
        <f>INDEX(属性投放!$AO$7:$AO$58,DC1202)</f>
        <v>8</v>
      </c>
      <c r="DE1202" s="14" t="s">
        <v>242</v>
      </c>
      <c r="DF1202" s="14">
        <f>INDEX(属性投放!$BK$6:$BK$85,(CV1202-2)*20+CZ1202)</f>
        <v>25</v>
      </c>
      <c r="DG1202" s="14">
        <f>SUMIFS(DF$5:DF1202,$CT$5:$CT1202,"="&amp;$CT1202)</f>
        <v>45</v>
      </c>
      <c r="DH1202" s="14" t="s">
        <v>198</v>
      </c>
      <c r="DI1202" s="14">
        <f>INDEX(属性投放!$BL$6:$BL$85,(CV1202-2)*20+CZ1202)</f>
        <v>13</v>
      </c>
      <c r="DJ1202" s="14">
        <f>SUMIFS(DI$5:DI1202,$CT$5:$CT1202,"="&amp;$CT1202)</f>
        <v>23</v>
      </c>
      <c r="DK1202" s="14" t="s">
        <v>25</v>
      </c>
      <c r="DL1202" s="14">
        <f>INDEX(属性投放!$BM$6:$BM$85,(CV1202-2)*20+CZ1202)</f>
        <v>150</v>
      </c>
      <c r="DM1202" s="14">
        <f>SUMIFS(DL$5:DL1202,$CT$5:$CT1202,"="&amp;$CT1202)</f>
        <v>270</v>
      </c>
    </row>
    <row r="1203" spans="97:117" ht="16.5" x14ac:dyDescent="0.2">
      <c r="CS1203" s="13">
        <v>1199</v>
      </c>
      <c r="CT1203" s="13">
        <f t="shared" si="1107"/>
        <v>24</v>
      </c>
      <c r="CU1203" s="13">
        <f t="shared" si="1108"/>
        <v>3</v>
      </c>
      <c r="CV1203" s="14">
        <f t="shared" si="1109"/>
        <v>3</v>
      </c>
      <c r="CW1203" s="14">
        <f t="shared" si="1110"/>
        <v>1102024</v>
      </c>
      <c r="CX1203" s="14" t="str">
        <f>INDEX($O$6:$O$50,CT1203)&amp;"-"&amp;INDEX(属性投放!$AB$7:$AB$50,CZ1203)&amp;"-魂火-"&amp;DB1203</f>
        <v>朱仙-黑绳-魂火-2</v>
      </c>
      <c r="CY1203" s="25" t="s">
        <v>142</v>
      </c>
      <c r="CZ1203" s="14">
        <f>INDEX(属性投放!$AM$7:$AM$58,CU1203)</f>
        <v>2</v>
      </c>
      <c r="DA1203" s="14" t="s">
        <v>537</v>
      </c>
      <c r="DB1203" s="14">
        <f>INDEX(属性投放!$AN$7:$AN$58,CU1203)</f>
        <v>2</v>
      </c>
      <c r="DC1203" s="14">
        <f t="shared" si="1113"/>
        <v>3</v>
      </c>
      <c r="DD1203" s="14">
        <f>INDEX(属性投放!$AO$7:$AO$58,DC1203)</f>
        <v>13</v>
      </c>
      <c r="DE1203" s="14" t="s">
        <v>242</v>
      </c>
      <c r="DF1203" s="14">
        <f>INDEX(属性投放!$BK$6:$BK$85,(CV1203-2)*20+CZ1203)</f>
        <v>25</v>
      </c>
      <c r="DG1203" s="14">
        <f>SUMIFS(DF$5:DF1203,$CT$5:$CT1203,"="&amp;$CT1203)</f>
        <v>70</v>
      </c>
      <c r="DH1203" s="14" t="s">
        <v>198</v>
      </c>
      <c r="DI1203" s="14">
        <f>INDEX(属性投放!$BL$6:$BL$85,(CV1203-2)*20+CZ1203)</f>
        <v>13</v>
      </c>
      <c r="DJ1203" s="14">
        <f>SUMIFS(DI$5:DI1203,$CT$5:$CT1203,"="&amp;$CT1203)</f>
        <v>36</v>
      </c>
      <c r="DK1203" s="14" t="s">
        <v>25</v>
      </c>
      <c r="DL1203" s="14">
        <f>INDEX(属性投放!$BM$6:$BM$85,(CV1203-2)*20+CZ1203)</f>
        <v>150</v>
      </c>
      <c r="DM1203" s="14">
        <f>SUMIFS(DL$5:DL1203,$CT$5:$CT1203,"="&amp;$CT1203)</f>
        <v>420</v>
      </c>
    </row>
    <row r="1204" spans="97:117" ht="16.5" x14ac:dyDescent="0.2">
      <c r="CS1204" s="13">
        <v>1200</v>
      </c>
      <c r="CT1204" s="13">
        <f t="shared" si="1107"/>
        <v>24</v>
      </c>
      <c r="CU1204" s="13">
        <f t="shared" si="1108"/>
        <v>4</v>
      </c>
      <c r="CV1204" s="14">
        <f t="shared" si="1109"/>
        <v>3</v>
      </c>
      <c r="CW1204" s="14">
        <f t="shared" si="1110"/>
        <v>1102024</v>
      </c>
      <c r="CX1204" s="14" t="str">
        <f>INDEX($O$6:$O$50,CT1204)&amp;"-"&amp;INDEX(属性投放!$AB$7:$AB$50,CZ1204)&amp;"-魂火-"&amp;DB1204</f>
        <v>朱仙-黑绳+1-魂火-1</v>
      </c>
      <c r="CY1204" s="25" t="s">
        <v>142</v>
      </c>
      <c r="CZ1204" s="14">
        <f>INDEX(属性投放!$AM$7:$AM$58,CU1204)</f>
        <v>3</v>
      </c>
      <c r="DA1204" s="14" t="s">
        <v>537</v>
      </c>
      <c r="DB1204" s="14">
        <f>INDEX(属性投放!$AN$7:$AN$58,CU1204)</f>
        <v>1</v>
      </c>
      <c r="DC1204" s="14">
        <f t="shared" si="1113"/>
        <v>4</v>
      </c>
      <c r="DD1204" s="14">
        <f>INDEX(属性投放!$AO$7:$AO$58,DC1204)</f>
        <v>18</v>
      </c>
      <c r="DE1204" s="14" t="s">
        <v>242</v>
      </c>
      <c r="DF1204" s="14">
        <f>INDEX(属性投放!$BK$6:$BK$85,(CV1204-2)*20+CZ1204)</f>
        <v>30</v>
      </c>
      <c r="DG1204" s="14">
        <f>SUMIFS(DF$5:DF1204,$CT$5:$CT1204,"="&amp;$CT1204)</f>
        <v>100</v>
      </c>
      <c r="DH1204" s="14" t="s">
        <v>198</v>
      </c>
      <c r="DI1204" s="14">
        <f>INDEX(属性投放!$BL$6:$BL$85,(CV1204-2)*20+CZ1204)</f>
        <v>15</v>
      </c>
      <c r="DJ1204" s="14">
        <f>SUMIFS(DI$5:DI1204,$CT$5:$CT1204,"="&amp;$CT1204)</f>
        <v>51</v>
      </c>
      <c r="DK1204" s="14" t="s">
        <v>25</v>
      </c>
      <c r="DL1204" s="14">
        <f>INDEX(属性投放!$BM$6:$BM$85,(CV1204-2)*20+CZ1204)</f>
        <v>180</v>
      </c>
      <c r="DM1204" s="14">
        <f>SUMIFS(DL$5:DL1204,$CT$5:$CT1204,"="&amp;$CT1204)</f>
        <v>600</v>
      </c>
    </row>
    <row r="1205" spans="97:117" ht="16.5" x14ac:dyDescent="0.2">
      <c r="CS1205" s="13">
        <v>1201</v>
      </c>
      <c r="CT1205" s="13">
        <f t="shared" si="1107"/>
        <v>24</v>
      </c>
      <c r="CU1205" s="13">
        <f t="shared" si="1108"/>
        <v>5</v>
      </c>
      <c r="CV1205" s="14">
        <f t="shared" si="1109"/>
        <v>3</v>
      </c>
      <c r="CW1205" s="14">
        <f t="shared" si="1110"/>
        <v>1102024</v>
      </c>
      <c r="CX1205" s="14" t="str">
        <f>INDEX($O$6:$O$50,CT1205)&amp;"-"&amp;INDEX(属性投放!$AB$7:$AB$50,CZ1205)&amp;"-魂火-"&amp;DB1205</f>
        <v>朱仙-黑绳+1-魂火-2</v>
      </c>
      <c r="CY1205" s="25" t="s">
        <v>142</v>
      </c>
      <c r="CZ1205" s="14">
        <f>INDEX(属性投放!$AM$7:$AM$58,CU1205)</f>
        <v>3</v>
      </c>
      <c r="DA1205" s="14" t="s">
        <v>537</v>
      </c>
      <c r="DB1205" s="14">
        <f>INDEX(属性投放!$AN$7:$AN$58,CU1205)</f>
        <v>2</v>
      </c>
      <c r="DC1205" s="14">
        <f t="shared" si="1113"/>
        <v>5</v>
      </c>
      <c r="DD1205" s="14">
        <f>INDEX(属性投放!$AO$7:$AO$58,DC1205)</f>
        <v>23</v>
      </c>
      <c r="DE1205" s="14" t="s">
        <v>242</v>
      </c>
      <c r="DF1205" s="14">
        <f>INDEX(属性投放!$BK$6:$BK$85,(CV1205-2)*20+CZ1205)</f>
        <v>30</v>
      </c>
      <c r="DG1205" s="14">
        <f>SUMIFS(DF$5:DF1205,$CT$5:$CT1205,"="&amp;$CT1205)</f>
        <v>130</v>
      </c>
      <c r="DH1205" s="14" t="s">
        <v>198</v>
      </c>
      <c r="DI1205" s="14">
        <f>INDEX(属性投放!$BL$6:$BL$85,(CV1205-2)*20+CZ1205)</f>
        <v>15</v>
      </c>
      <c r="DJ1205" s="14">
        <f>SUMIFS(DI$5:DI1205,$CT$5:$CT1205,"="&amp;$CT1205)</f>
        <v>66</v>
      </c>
      <c r="DK1205" s="14" t="s">
        <v>25</v>
      </c>
      <c r="DL1205" s="14">
        <f>INDEX(属性投放!$BM$6:$BM$85,(CV1205-2)*20+CZ1205)</f>
        <v>180</v>
      </c>
      <c r="DM1205" s="14">
        <f>SUMIFS(DL$5:DL1205,$CT$5:$CT1205,"="&amp;$CT1205)</f>
        <v>780</v>
      </c>
    </row>
    <row r="1206" spans="97:117" ht="16.5" x14ac:dyDescent="0.2">
      <c r="CS1206" s="13">
        <v>1202</v>
      </c>
      <c r="CT1206" s="13">
        <f t="shared" si="1107"/>
        <v>24</v>
      </c>
      <c r="CU1206" s="13">
        <f t="shared" si="1108"/>
        <v>6</v>
      </c>
      <c r="CV1206" s="14">
        <f t="shared" si="1109"/>
        <v>3</v>
      </c>
      <c r="CW1206" s="14">
        <f t="shared" si="1110"/>
        <v>1102024</v>
      </c>
      <c r="CX1206" s="14" t="str">
        <f>INDEX($O$6:$O$50,CT1206)&amp;"-"&amp;INDEX(属性投放!$AB$7:$AB$50,CZ1206)&amp;"-魂火-"&amp;DB1206</f>
        <v>朱仙-众合-魂火-1</v>
      </c>
      <c r="CY1206" s="25" t="s">
        <v>142</v>
      </c>
      <c r="CZ1206" s="14">
        <f>INDEX(属性投放!$AM$7:$AM$58,CU1206)</f>
        <v>4</v>
      </c>
      <c r="DA1206" s="14" t="s">
        <v>537</v>
      </c>
      <c r="DB1206" s="14">
        <f>INDEX(属性投放!$AN$7:$AN$58,CU1206)</f>
        <v>1</v>
      </c>
      <c r="DC1206" s="14">
        <f t="shared" si="1113"/>
        <v>6</v>
      </c>
      <c r="DD1206" s="14">
        <f>INDEX(属性投放!$AO$7:$AO$58,DC1206)</f>
        <v>28</v>
      </c>
      <c r="DE1206" s="14" t="s">
        <v>242</v>
      </c>
      <c r="DF1206" s="14">
        <f>INDEX(属性投放!$BK$6:$BK$85,(CV1206-2)*20+CZ1206)</f>
        <v>40</v>
      </c>
      <c r="DG1206" s="14">
        <f>SUMIFS(DF$5:DF1206,$CT$5:$CT1206,"="&amp;$CT1206)</f>
        <v>170</v>
      </c>
      <c r="DH1206" s="14" t="s">
        <v>198</v>
      </c>
      <c r="DI1206" s="14">
        <f>INDEX(属性投放!$BL$6:$BL$85,(CV1206-2)*20+CZ1206)</f>
        <v>20</v>
      </c>
      <c r="DJ1206" s="14">
        <f>SUMIFS(DI$5:DI1206,$CT$5:$CT1206,"="&amp;$CT1206)</f>
        <v>86</v>
      </c>
      <c r="DK1206" s="14" t="s">
        <v>25</v>
      </c>
      <c r="DL1206" s="14">
        <f>INDEX(属性投放!$BM$6:$BM$85,(CV1206-2)*20+CZ1206)</f>
        <v>280</v>
      </c>
      <c r="DM1206" s="14">
        <f>SUMIFS(DL$5:DL1206,$CT$5:$CT1206,"="&amp;$CT1206)</f>
        <v>1060</v>
      </c>
    </row>
    <row r="1207" spans="97:117" ht="16.5" x14ac:dyDescent="0.2">
      <c r="CS1207" s="13">
        <v>1203</v>
      </c>
      <c r="CT1207" s="13">
        <f t="shared" si="1107"/>
        <v>24</v>
      </c>
      <c r="CU1207" s="13">
        <f t="shared" si="1108"/>
        <v>7</v>
      </c>
      <c r="CV1207" s="14">
        <f t="shared" si="1109"/>
        <v>3</v>
      </c>
      <c r="CW1207" s="14">
        <f t="shared" si="1110"/>
        <v>1102024</v>
      </c>
      <c r="CX1207" s="14" t="str">
        <f>INDEX($O$6:$O$50,CT1207)&amp;"-"&amp;INDEX(属性投放!$AB$7:$AB$50,CZ1207)&amp;"-魂火-"&amp;DB1207</f>
        <v>朱仙-众合-魂火-2</v>
      </c>
      <c r="CY1207" s="25" t="s">
        <v>142</v>
      </c>
      <c r="CZ1207" s="14">
        <f>INDEX(属性投放!$AM$7:$AM$58,CU1207)</f>
        <v>4</v>
      </c>
      <c r="DA1207" s="14" t="s">
        <v>537</v>
      </c>
      <c r="DB1207" s="14">
        <f>INDEX(属性投放!$AN$7:$AN$58,CU1207)</f>
        <v>2</v>
      </c>
      <c r="DC1207" s="14">
        <f t="shared" si="1113"/>
        <v>7</v>
      </c>
      <c r="DD1207" s="14">
        <f>INDEX(属性投放!$AO$7:$AO$58,DC1207)</f>
        <v>33</v>
      </c>
      <c r="DE1207" s="14" t="s">
        <v>242</v>
      </c>
      <c r="DF1207" s="14">
        <f>INDEX(属性投放!$BK$6:$BK$85,(CV1207-2)*20+CZ1207)</f>
        <v>40</v>
      </c>
      <c r="DG1207" s="14">
        <f>SUMIFS(DF$5:DF1207,$CT$5:$CT1207,"="&amp;$CT1207)</f>
        <v>210</v>
      </c>
      <c r="DH1207" s="14" t="s">
        <v>198</v>
      </c>
      <c r="DI1207" s="14">
        <f>INDEX(属性投放!$BL$6:$BL$85,(CV1207-2)*20+CZ1207)</f>
        <v>20</v>
      </c>
      <c r="DJ1207" s="14">
        <f>SUMIFS(DI$5:DI1207,$CT$5:$CT1207,"="&amp;$CT1207)</f>
        <v>106</v>
      </c>
      <c r="DK1207" s="14" t="s">
        <v>25</v>
      </c>
      <c r="DL1207" s="14">
        <f>INDEX(属性投放!$BM$6:$BM$85,(CV1207-2)*20+CZ1207)</f>
        <v>280</v>
      </c>
      <c r="DM1207" s="14">
        <f>SUMIFS(DL$5:DL1207,$CT$5:$CT1207,"="&amp;$CT1207)</f>
        <v>1340</v>
      </c>
    </row>
    <row r="1208" spans="97:117" ht="16.5" x14ac:dyDescent="0.2">
      <c r="CS1208" s="13">
        <v>1204</v>
      </c>
      <c r="CT1208" s="13">
        <f t="shared" si="1107"/>
        <v>24</v>
      </c>
      <c r="CU1208" s="13">
        <f t="shared" si="1108"/>
        <v>8</v>
      </c>
      <c r="CV1208" s="14">
        <f t="shared" si="1109"/>
        <v>3</v>
      </c>
      <c r="CW1208" s="14">
        <f t="shared" si="1110"/>
        <v>1102024</v>
      </c>
      <c r="CX1208" s="14" t="str">
        <f>INDEX($O$6:$O$50,CT1208)&amp;"-"&amp;INDEX(属性投放!$AB$7:$AB$50,CZ1208)&amp;"-魂火-"&amp;DB1208</f>
        <v>朱仙-众合+1-魂火-1</v>
      </c>
      <c r="CY1208" s="25" t="s">
        <v>142</v>
      </c>
      <c r="CZ1208" s="14">
        <f>INDEX(属性投放!$AM$7:$AM$58,CU1208)</f>
        <v>5</v>
      </c>
      <c r="DA1208" s="14" t="s">
        <v>537</v>
      </c>
      <c r="DB1208" s="14">
        <f>INDEX(属性投放!$AN$7:$AN$58,CU1208)</f>
        <v>1</v>
      </c>
      <c r="DC1208" s="14">
        <f t="shared" si="1113"/>
        <v>8</v>
      </c>
      <c r="DD1208" s="14">
        <f>INDEX(属性投放!$AO$7:$AO$58,DC1208)</f>
        <v>38</v>
      </c>
      <c r="DE1208" s="14" t="s">
        <v>242</v>
      </c>
      <c r="DF1208" s="14">
        <f>INDEX(属性投放!$BK$6:$BK$85,(CV1208-2)*20+CZ1208)</f>
        <v>45</v>
      </c>
      <c r="DG1208" s="14">
        <f>SUMIFS(DF$5:DF1208,$CT$5:$CT1208,"="&amp;$CT1208)</f>
        <v>255</v>
      </c>
      <c r="DH1208" s="14" t="s">
        <v>198</v>
      </c>
      <c r="DI1208" s="14">
        <f>INDEX(属性投放!$BL$6:$BL$85,(CV1208-2)*20+CZ1208)</f>
        <v>23</v>
      </c>
      <c r="DJ1208" s="14">
        <f>SUMIFS(DI$5:DI1208,$CT$5:$CT1208,"="&amp;$CT1208)</f>
        <v>129</v>
      </c>
      <c r="DK1208" s="14" t="s">
        <v>25</v>
      </c>
      <c r="DL1208" s="14">
        <f>INDEX(属性投放!$BM$6:$BM$85,(CV1208-2)*20+CZ1208)</f>
        <v>315</v>
      </c>
      <c r="DM1208" s="14">
        <f>SUMIFS(DL$5:DL1208,$CT$5:$CT1208,"="&amp;$CT1208)</f>
        <v>1655</v>
      </c>
    </row>
    <row r="1209" spans="97:117" ht="16.5" x14ac:dyDescent="0.2">
      <c r="CS1209" s="13">
        <v>1205</v>
      </c>
      <c r="CT1209" s="13">
        <f t="shared" si="1107"/>
        <v>24</v>
      </c>
      <c r="CU1209" s="13">
        <f t="shared" si="1108"/>
        <v>9</v>
      </c>
      <c r="CV1209" s="14">
        <f t="shared" si="1109"/>
        <v>3</v>
      </c>
      <c r="CW1209" s="14">
        <f t="shared" si="1110"/>
        <v>1102024</v>
      </c>
      <c r="CX1209" s="14" t="str">
        <f>INDEX($O$6:$O$50,CT1209)&amp;"-"&amp;INDEX(属性投放!$AB$7:$AB$50,CZ1209)&amp;"-魂火-"&amp;DB1209</f>
        <v>朱仙-众合+1-魂火-2</v>
      </c>
      <c r="CY1209" s="25" t="s">
        <v>142</v>
      </c>
      <c r="CZ1209" s="14">
        <f>INDEX(属性投放!$AM$7:$AM$58,CU1209)</f>
        <v>5</v>
      </c>
      <c r="DA1209" s="14" t="s">
        <v>537</v>
      </c>
      <c r="DB1209" s="14">
        <f>INDEX(属性投放!$AN$7:$AN$58,CU1209)</f>
        <v>2</v>
      </c>
      <c r="DC1209" s="14">
        <f t="shared" si="1113"/>
        <v>9</v>
      </c>
      <c r="DD1209" s="14">
        <f>INDEX(属性投放!$AO$7:$AO$58,DC1209)</f>
        <v>40</v>
      </c>
      <c r="DE1209" s="14" t="s">
        <v>242</v>
      </c>
      <c r="DF1209" s="14">
        <f>INDEX(属性投放!$BK$6:$BK$85,(CV1209-2)*20+CZ1209)</f>
        <v>45</v>
      </c>
      <c r="DG1209" s="14">
        <f>SUMIFS(DF$5:DF1209,$CT$5:$CT1209,"="&amp;$CT1209)</f>
        <v>300</v>
      </c>
      <c r="DH1209" s="14" t="s">
        <v>198</v>
      </c>
      <c r="DI1209" s="14">
        <f>INDEX(属性投放!$BL$6:$BL$85,(CV1209-2)*20+CZ1209)</f>
        <v>23</v>
      </c>
      <c r="DJ1209" s="14">
        <f>SUMIFS(DI$5:DI1209,$CT$5:$CT1209,"="&amp;$CT1209)</f>
        <v>152</v>
      </c>
      <c r="DK1209" s="14" t="s">
        <v>25</v>
      </c>
      <c r="DL1209" s="14">
        <f>INDEX(属性投放!$BM$6:$BM$85,(CV1209-2)*20+CZ1209)</f>
        <v>315</v>
      </c>
      <c r="DM1209" s="14">
        <f>SUMIFS(DL$5:DL1209,$CT$5:$CT1209,"="&amp;$CT1209)</f>
        <v>1970</v>
      </c>
    </row>
    <row r="1210" spans="97:117" ht="16.5" x14ac:dyDescent="0.2">
      <c r="CS1210" s="13">
        <v>1206</v>
      </c>
      <c r="CT1210" s="13">
        <f t="shared" si="1107"/>
        <v>24</v>
      </c>
      <c r="CU1210" s="13">
        <f t="shared" si="1108"/>
        <v>10</v>
      </c>
      <c r="CV1210" s="14">
        <f t="shared" si="1109"/>
        <v>3</v>
      </c>
      <c r="CW1210" s="14">
        <f t="shared" si="1110"/>
        <v>1102024</v>
      </c>
      <c r="CX1210" s="14" t="str">
        <f>INDEX($O$6:$O$50,CT1210)&amp;"-"&amp;INDEX(属性投放!$AB$7:$AB$50,CZ1210)&amp;"-魂火-"&amp;DB1210</f>
        <v>朱仙-众合+2-魂火-1</v>
      </c>
      <c r="CY1210" s="25" t="s">
        <v>142</v>
      </c>
      <c r="CZ1210" s="14">
        <f>INDEX(属性投放!$AM$7:$AM$58,CU1210)</f>
        <v>6</v>
      </c>
      <c r="DA1210" s="14" t="s">
        <v>537</v>
      </c>
      <c r="DB1210" s="14">
        <f>INDEX(属性投放!$AN$7:$AN$58,CU1210)</f>
        <v>1</v>
      </c>
      <c r="DC1210" s="14">
        <f t="shared" si="1113"/>
        <v>10</v>
      </c>
      <c r="DD1210" s="14">
        <f>INDEX(属性投放!$AO$7:$AO$58,DC1210)</f>
        <v>43</v>
      </c>
      <c r="DE1210" s="14" t="s">
        <v>242</v>
      </c>
      <c r="DF1210" s="14">
        <f>INDEX(属性投放!$BK$6:$BK$85,(CV1210-2)*20+CZ1210)</f>
        <v>50</v>
      </c>
      <c r="DG1210" s="14">
        <f>SUMIFS(DF$5:DF1210,$CT$5:$CT1210,"="&amp;$CT1210)</f>
        <v>350</v>
      </c>
      <c r="DH1210" s="14" t="s">
        <v>198</v>
      </c>
      <c r="DI1210" s="14">
        <f>INDEX(属性投放!$BL$6:$BL$85,(CV1210-2)*20+CZ1210)</f>
        <v>25</v>
      </c>
      <c r="DJ1210" s="14">
        <f>SUMIFS(DI$5:DI1210,$CT$5:$CT1210,"="&amp;$CT1210)</f>
        <v>177</v>
      </c>
      <c r="DK1210" s="14" t="s">
        <v>25</v>
      </c>
      <c r="DL1210" s="14">
        <f>INDEX(属性投放!$BM$6:$BM$85,(CV1210-2)*20+CZ1210)</f>
        <v>350</v>
      </c>
      <c r="DM1210" s="14">
        <f>SUMIFS(DL$5:DL1210,$CT$5:$CT1210,"="&amp;$CT1210)</f>
        <v>2320</v>
      </c>
    </row>
    <row r="1211" spans="97:117" ht="16.5" x14ac:dyDescent="0.2">
      <c r="CS1211" s="13">
        <v>1207</v>
      </c>
      <c r="CT1211" s="13">
        <f t="shared" si="1107"/>
        <v>24</v>
      </c>
      <c r="CU1211" s="13">
        <f t="shared" si="1108"/>
        <v>11</v>
      </c>
      <c r="CV1211" s="14">
        <f t="shared" si="1109"/>
        <v>3</v>
      </c>
      <c r="CW1211" s="14">
        <f t="shared" si="1110"/>
        <v>1102024</v>
      </c>
      <c r="CX1211" s="14" t="str">
        <f>INDEX($O$6:$O$50,CT1211)&amp;"-"&amp;INDEX(属性投放!$AB$7:$AB$50,CZ1211)&amp;"-魂火-"&amp;DB1211</f>
        <v>朱仙-众合+2-魂火-2</v>
      </c>
      <c r="CY1211" s="25" t="s">
        <v>142</v>
      </c>
      <c r="CZ1211" s="14">
        <f>INDEX(属性投放!$AM$7:$AM$58,CU1211)</f>
        <v>6</v>
      </c>
      <c r="DA1211" s="14" t="s">
        <v>537</v>
      </c>
      <c r="DB1211" s="14">
        <f>INDEX(属性投放!$AN$7:$AN$58,CU1211)</f>
        <v>2</v>
      </c>
      <c r="DC1211" s="14">
        <f t="shared" si="1113"/>
        <v>11</v>
      </c>
      <c r="DD1211" s="14">
        <f>INDEX(属性投放!$AO$7:$AO$58,DC1211)</f>
        <v>45</v>
      </c>
      <c r="DE1211" s="14" t="s">
        <v>242</v>
      </c>
      <c r="DF1211" s="14">
        <f>INDEX(属性投放!$BK$6:$BK$85,(CV1211-2)*20+CZ1211)</f>
        <v>50</v>
      </c>
      <c r="DG1211" s="14">
        <f>SUMIFS(DF$5:DF1211,$CT$5:$CT1211,"="&amp;$CT1211)</f>
        <v>400</v>
      </c>
      <c r="DH1211" s="14" t="s">
        <v>198</v>
      </c>
      <c r="DI1211" s="14">
        <f>INDEX(属性投放!$BL$6:$BL$85,(CV1211-2)*20+CZ1211)</f>
        <v>25</v>
      </c>
      <c r="DJ1211" s="14">
        <f>SUMIFS(DI$5:DI1211,$CT$5:$CT1211,"="&amp;$CT1211)</f>
        <v>202</v>
      </c>
      <c r="DK1211" s="14" t="s">
        <v>25</v>
      </c>
      <c r="DL1211" s="14">
        <f>INDEX(属性投放!$BM$6:$BM$85,(CV1211-2)*20+CZ1211)</f>
        <v>350</v>
      </c>
      <c r="DM1211" s="14">
        <f>SUMIFS(DL$5:DL1211,$CT$5:$CT1211,"="&amp;$CT1211)</f>
        <v>2670</v>
      </c>
    </row>
    <row r="1212" spans="97:117" ht="16.5" x14ac:dyDescent="0.2">
      <c r="CS1212" s="13">
        <v>1208</v>
      </c>
      <c r="CT1212" s="13">
        <f t="shared" si="1107"/>
        <v>24</v>
      </c>
      <c r="CU1212" s="13">
        <f t="shared" si="1108"/>
        <v>12</v>
      </c>
      <c r="CV1212" s="14">
        <f t="shared" si="1109"/>
        <v>3</v>
      </c>
      <c r="CW1212" s="14">
        <f t="shared" si="1110"/>
        <v>1102024</v>
      </c>
      <c r="CX1212" s="14" t="str">
        <f>INDEX($O$6:$O$50,CT1212)&amp;"-"&amp;INDEX(属性投放!$AB$7:$AB$50,CZ1212)&amp;"-魂火-"&amp;DB1212</f>
        <v>朱仙-叫唤-魂火-1</v>
      </c>
      <c r="CY1212" s="25" t="s">
        <v>142</v>
      </c>
      <c r="CZ1212" s="14">
        <f>INDEX(属性投放!$AM$7:$AM$58,CU1212)</f>
        <v>7</v>
      </c>
      <c r="DA1212" s="14" t="s">
        <v>537</v>
      </c>
      <c r="DB1212" s="14">
        <f>INDEX(属性投放!$AN$7:$AN$58,CU1212)</f>
        <v>1</v>
      </c>
      <c r="DC1212" s="14">
        <f t="shared" si="1113"/>
        <v>12</v>
      </c>
      <c r="DD1212" s="14">
        <f>INDEX(属性投放!$AO$7:$AO$58,DC1212)</f>
        <v>48</v>
      </c>
      <c r="DE1212" s="14" t="s">
        <v>242</v>
      </c>
      <c r="DF1212" s="14">
        <f>INDEX(属性投放!$BK$6:$BK$85,(CV1212-2)*20+CZ1212)</f>
        <v>70</v>
      </c>
      <c r="DG1212" s="14">
        <f>SUMIFS(DF$5:DF1212,$CT$5:$CT1212,"="&amp;$CT1212)</f>
        <v>470</v>
      </c>
      <c r="DH1212" s="14" t="s">
        <v>198</v>
      </c>
      <c r="DI1212" s="14">
        <f>INDEX(属性投放!$BL$6:$BL$85,(CV1212-2)*20+CZ1212)</f>
        <v>35</v>
      </c>
      <c r="DJ1212" s="14">
        <f>SUMIFS(DI$5:DI1212,$CT$5:$CT1212,"="&amp;$CT1212)</f>
        <v>237</v>
      </c>
      <c r="DK1212" s="14" t="s">
        <v>25</v>
      </c>
      <c r="DL1212" s="14">
        <f>INDEX(属性投放!$BM$6:$BM$85,(CV1212-2)*20+CZ1212)</f>
        <v>560</v>
      </c>
      <c r="DM1212" s="14">
        <f>SUMIFS(DL$5:DL1212,$CT$5:$CT1212,"="&amp;$CT1212)</f>
        <v>3230</v>
      </c>
    </row>
    <row r="1213" spans="97:117" ht="16.5" x14ac:dyDescent="0.2">
      <c r="CS1213" s="13">
        <v>1209</v>
      </c>
      <c r="CT1213" s="13">
        <f t="shared" si="1107"/>
        <v>24</v>
      </c>
      <c r="CU1213" s="13">
        <f t="shared" si="1108"/>
        <v>13</v>
      </c>
      <c r="CV1213" s="14">
        <f t="shared" si="1109"/>
        <v>3</v>
      </c>
      <c r="CW1213" s="14">
        <f t="shared" si="1110"/>
        <v>1102024</v>
      </c>
      <c r="CX1213" s="14" t="str">
        <f>INDEX($O$6:$O$50,CT1213)&amp;"-"&amp;INDEX(属性投放!$AB$7:$AB$50,CZ1213)&amp;"-魂火-"&amp;DB1213</f>
        <v>朱仙-叫唤-魂火-2</v>
      </c>
      <c r="CY1213" s="25" t="s">
        <v>142</v>
      </c>
      <c r="CZ1213" s="14">
        <f>INDEX(属性投放!$AM$7:$AM$58,CU1213)</f>
        <v>7</v>
      </c>
      <c r="DA1213" s="14" t="s">
        <v>537</v>
      </c>
      <c r="DB1213" s="14">
        <f>INDEX(属性投放!$AN$7:$AN$58,CU1213)</f>
        <v>2</v>
      </c>
      <c r="DC1213" s="14">
        <f t="shared" si="1113"/>
        <v>13</v>
      </c>
      <c r="DD1213" s="14">
        <f>INDEX(属性投放!$AO$7:$AO$58,DC1213)</f>
        <v>50</v>
      </c>
      <c r="DE1213" s="14" t="s">
        <v>242</v>
      </c>
      <c r="DF1213" s="14">
        <f>INDEX(属性投放!$BK$6:$BK$85,(CV1213-2)*20+CZ1213)</f>
        <v>70</v>
      </c>
      <c r="DG1213" s="14">
        <f>SUMIFS(DF$5:DF1213,$CT$5:$CT1213,"="&amp;$CT1213)</f>
        <v>540</v>
      </c>
      <c r="DH1213" s="14" t="s">
        <v>198</v>
      </c>
      <c r="DI1213" s="14">
        <f>INDEX(属性投放!$BL$6:$BL$85,(CV1213-2)*20+CZ1213)</f>
        <v>35</v>
      </c>
      <c r="DJ1213" s="14">
        <f>SUMIFS(DI$5:DI1213,$CT$5:$CT1213,"="&amp;$CT1213)</f>
        <v>272</v>
      </c>
      <c r="DK1213" s="14" t="s">
        <v>25</v>
      </c>
      <c r="DL1213" s="14">
        <f>INDEX(属性投放!$BM$6:$BM$85,(CV1213-2)*20+CZ1213)</f>
        <v>560</v>
      </c>
      <c r="DM1213" s="14">
        <f>SUMIFS(DL$5:DL1213,$CT$5:$CT1213,"="&amp;$CT1213)</f>
        <v>3790</v>
      </c>
    </row>
    <row r="1214" spans="97:117" ht="16.5" x14ac:dyDescent="0.2">
      <c r="CS1214" s="13">
        <v>1210</v>
      </c>
      <c r="CT1214" s="13">
        <f t="shared" si="1107"/>
        <v>24</v>
      </c>
      <c r="CU1214" s="13">
        <f t="shared" si="1108"/>
        <v>14</v>
      </c>
      <c r="CV1214" s="14">
        <f t="shared" si="1109"/>
        <v>3</v>
      </c>
      <c r="CW1214" s="14">
        <f t="shared" si="1110"/>
        <v>1102024</v>
      </c>
      <c r="CX1214" s="14" t="str">
        <f>INDEX($O$6:$O$50,CT1214)&amp;"-"&amp;INDEX(属性投放!$AB$7:$AB$50,CZ1214)&amp;"-魂火-"&amp;DB1214</f>
        <v>朱仙-叫唤+1-魂火-1</v>
      </c>
      <c r="CY1214" s="25" t="s">
        <v>142</v>
      </c>
      <c r="CZ1214" s="14">
        <f>INDEX(属性投放!$AM$7:$AM$58,CU1214)</f>
        <v>8</v>
      </c>
      <c r="DA1214" s="14" t="s">
        <v>537</v>
      </c>
      <c r="DB1214" s="14">
        <f>INDEX(属性投放!$AN$7:$AN$58,CU1214)</f>
        <v>1</v>
      </c>
      <c r="DC1214" s="14">
        <f t="shared" si="1113"/>
        <v>14</v>
      </c>
      <c r="DD1214" s="14">
        <f>INDEX(属性投放!$AO$7:$AO$58,DC1214)</f>
        <v>53</v>
      </c>
      <c r="DE1214" s="14" t="s">
        <v>242</v>
      </c>
      <c r="DF1214" s="14">
        <f>INDEX(属性投放!$BK$6:$BK$85,(CV1214-2)*20+CZ1214)</f>
        <v>85</v>
      </c>
      <c r="DG1214" s="14">
        <f>SUMIFS(DF$5:DF1214,$CT$5:$CT1214,"="&amp;$CT1214)</f>
        <v>625</v>
      </c>
      <c r="DH1214" s="14" t="s">
        <v>198</v>
      </c>
      <c r="DI1214" s="14">
        <f>INDEX(属性投放!$BL$6:$BL$85,(CV1214-2)*20+CZ1214)</f>
        <v>43</v>
      </c>
      <c r="DJ1214" s="14">
        <f>SUMIFS(DI$5:DI1214,$CT$5:$CT1214,"="&amp;$CT1214)</f>
        <v>315</v>
      </c>
      <c r="DK1214" s="14" t="s">
        <v>25</v>
      </c>
      <c r="DL1214" s="14">
        <f>INDEX(属性投放!$BM$6:$BM$85,(CV1214-2)*20+CZ1214)</f>
        <v>680</v>
      </c>
      <c r="DM1214" s="14">
        <f>SUMIFS(DL$5:DL1214,$CT$5:$CT1214,"="&amp;$CT1214)</f>
        <v>4470</v>
      </c>
    </row>
    <row r="1215" spans="97:117" ht="16.5" x14ac:dyDescent="0.2">
      <c r="CS1215" s="13">
        <v>1211</v>
      </c>
      <c r="CT1215" s="13">
        <f t="shared" si="1107"/>
        <v>24</v>
      </c>
      <c r="CU1215" s="13">
        <f t="shared" si="1108"/>
        <v>15</v>
      </c>
      <c r="CV1215" s="14">
        <f t="shared" si="1109"/>
        <v>3</v>
      </c>
      <c r="CW1215" s="14">
        <f t="shared" si="1110"/>
        <v>1102024</v>
      </c>
      <c r="CX1215" s="14" t="str">
        <f>INDEX($O$6:$O$50,CT1215)&amp;"-"&amp;INDEX(属性投放!$AB$7:$AB$50,CZ1215)&amp;"-魂火-"&amp;DB1215</f>
        <v>朱仙-叫唤+1-魂火-2</v>
      </c>
      <c r="CY1215" s="25" t="s">
        <v>142</v>
      </c>
      <c r="CZ1215" s="14">
        <f>INDEX(属性投放!$AM$7:$AM$58,CU1215)</f>
        <v>8</v>
      </c>
      <c r="DA1215" s="14" t="s">
        <v>537</v>
      </c>
      <c r="DB1215" s="14">
        <f>INDEX(属性投放!$AN$7:$AN$58,CU1215)</f>
        <v>2</v>
      </c>
      <c r="DC1215" s="14">
        <f t="shared" si="1113"/>
        <v>15</v>
      </c>
      <c r="DD1215" s="14">
        <f>INDEX(属性投放!$AO$7:$AO$58,DC1215)</f>
        <v>55</v>
      </c>
      <c r="DE1215" s="14" t="s">
        <v>242</v>
      </c>
      <c r="DF1215" s="14">
        <f>INDEX(属性投放!$BK$6:$BK$85,(CV1215-2)*20+CZ1215)</f>
        <v>85</v>
      </c>
      <c r="DG1215" s="14">
        <f>SUMIFS(DF$5:DF1215,$CT$5:$CT1215,"="&amp;$CT1215)</f>
        <v>710</v>
      </c>
      <c r="DH1215" s="14" t="s">
        <v>198</v>
      </c>
      <c r="DI1215" s="14">
        <f>INDEX(属性投放!$BL$6:$BL$85,(CV1215-2)*20+CZ1215)</f>
        <v>43</v>
      </c>
      <c r="DJ1215" s="14">
        <f>SUMIFS(DI$5:DI1215,$CT$5:$CT1215,"="&amp;$CT1215)</f>
        <v>358</v>
      </c>
      <c r="DK1215" s="14" t="s">
        <v>25</v>
      </c>
      <c r="DL1215" s="14">
        <f>INDEX(属性投放!$BM$6:$BM$85,(CV1215-2)*20+CZ1215)</f>
        <v>680</v>
      </c>
      <c r="DM1215" s="14">
        <f>SUMIFS(DL$5:DL1215,$CT$5:$CT1215,"="&amp;$CT1215)</f>
        <v>5150</v>
      </c>
    </row>
    <row r="1216" spans="97:117" ht="16.5" x14ac:dyDescent="0.2">
      <c r="CS1216" s="13">
        <v>1212</v>
      </c>
      <c r="CT1216" s="13">
        <f t="shared" si="1107"/>
        <v>24</v>
      </c>
      <c r="CU1216" s="13">
        <f t="shared" ref="CU1216:CU1279" si="1114">CS1216-(CT1216-1)*52</f>
        <v>16</v>
      </c>
      <c r="CV1216" s="14">
        <f t="shared" si="1109"/>
        <v>3</v>
      </c>
      <c r="CW1216" s="14">
        <f t="shared" si="1110"/>
        <v>1102024</v>
      </c>
      <c r="CX1216" s="14" t="str">
        <f>INDEX($O$6:$O$50,CT1216)&amp;"-"&amp;INDEX(属性投放!$AB$7:$AB$50,CZ1216)&amp;"-魂火-"&amp;DB1216</f>
        <v>朱仙-叫唤+2-魂火-1</v>
      </c>
      <c r="CY1216" s="25" t="s">
        <v>142</v>
      </c>
      <c r="CZ1216" s="14">
        <f>INDEX(属性投放!$AM$7:$AM$58,CU1216)</f>
        <v>9</v>
      </c>
      <c r="DA1216" s="14" t="s">
        <v>537</v>
      </c>
      <c r="DB1216" s="14">
        <f>INDEX(属性投放!$AN$7:$AN$58,CU1216)</f>
        <v>1</v>
      </c>
      <c r="DC1216" s="14">
        <f t="shared" ref="DC1216:DC1279" si="1115">CU1216</f>
        <v>16</v>
      </c>
      <c r="DD1216" s="14">
        <f>INDEX(属性投放!$AO$7:$AO$58,DC1216)</f>
        <v>58</v>
      </c>
      <c r="DE1216" s="14" t="s">
        <v>242</v>
      </c>
      <c r="DF1216" s="14">
        <f>INDEX(属性投放!$BK$6:$BK$85,(CV1216-2)*20+CZ1216)</f>
        <v>100</v>
      </c>
      <c r="DG1216" s="14">
        <f>SUMIFS(DF$5:DF1216,$CT$5:$CT1216,"="&amp;$CT1216)</f>
        <v>810</v>
      </c>
      <c r="DH1216" s="14" t="s">
        <v>198</v>
      </c>
      <c r="DI1216" s="14">
        <f>INDEX(属性投放!$BL$6:$BL$85,(CV1216-2)*20+CZ1216)</f>
        <v>50</v>
      </c>
      <c r="DJ1216" s="14">
        <f>SUMIFS(DI$5:DI1216,$CT$5:$CT1216,"="&amp;$CT1216)</f>
        <v>408</v>
      </c>
      <c r="DK1216" s="14" t="s">
        <v>25</v>
      </c>
      <c r="DL1216" s="14">
        <f>INDEX(属性投放!$BM$6:$BM$85,(CV1216-2)*20+CZ1216)</f>
        <v>800</v>
      </c>
      <c r="DM1216" s="14">
        <f>SUMIFS(DL$5:DL1216,$CT$5:$CT1216,"="&amp;$CT1216)</f>
        <v>5950</v>
      </c>
    </row>
    <row r="1217" spans="97:117" ht="16.5" x14ac:dyDescent="0.2">
      <c r="CS1217" s="13">
        <v>1213</v>
      </c>
      <c r="CT1217" s="13">
        <f t="shared" si="1107"/>
        <v>24</v>
      </c>
      <c r="CU1217" s="13">
        <f t="shared" si="1114"/>
        <v>17</v>
      </c>
      <c r="CV1217" s="14">
        <f t="shared" si="1109"/>
        <v>3</v>
      </c>
      <c r="CW1217" s="14">
        <f t="shared" si="1110"/>
        <v>1102024</v>
      </c>
      <c r="CX1217" s="14" t="str">
        <f>INDEX($O$6:$O$50,CT1217)&amp;"-"&amp;INDEX(属性投放!$AB$7:$AB$50,CZ1217)&amp;"-魂火-"&amp;DB1217</f>
        <v>朱仙-叫唤+2-魂火-2</v>
      </c>
      <c r="CY1217" s="25" t="s">
        <v>142</v>
      </c>
      <c r="CZ1217" s="14">
        <f>INDEX(属性投放!$AM$7:$AM$58,CU1217)</f>
        <v>9</v>
      </c>
      <c r="DA1217" s="14" t="s">
        <v>537</v>
      </c>
      <c r="DB1217" s="14">
        <f>INDEX(属性投放!$AN$7:$AN$58,CU1217)</f>
        <v>2</v>
      </c>
      <c r="DC1217" s="14">
        <f t="shared" si="1115"/>
        <v>17</v>
      </c>
      <c r="DD1217" s="14">
        <f>INDEX(属性投放!$AO$7:$AO$58,DC1217)</f>
        <v>60</v>
      </c>
      <c r="DE1217" s="14" t="s">
        <v>242</v>
      </c>
      <c r="DF1217" s="14">
        <f>INDEX(属性投放!$BK$6:$BK$85,(CV1217-2)*20+CZ1217)</f>
        <v>100</v>
      </c>
      <c r="DG1217" s="14">
        <f>SUMIFS(DF$5:DF1217,$CT$5:$CT1217,"="&amp;$CT1217)</f>
        <v>910</v>
      </c>
      <c r="DH1217" s="14" t="s">
        <v>198</v>
      </c>
      <c r="DI1217" s="14">
        <f>INDEX(属性投放!$BL$6:$BL$85,(CV1217-2)*20+CZ1217)</f>
        <v>50</v>
      </c>
      <c r="DJ1217" s="14">
        <f>SUMIFS(DI$5:DI1217,$CT$5:$CT1217,"="&amp;$CT1217)</f>
        <v>458</v>
      </c>
      <c r="DK1217" s="14" t="s">
        <v>25</v>
      </c>
      <c r="DL1217" s="14">
        <f>INDEX(属性投放!$BM$6:$BM$85,(CV1217-2)*20+CZ1217)</f>
        <v>800</v>
      </c>
      <c r="DM1217" s="14">
        <f>SUMIFS(DL$5:DL1217,$CT$5:$CT1217,"="&amp;$CT1217)</f>
        <v>6750</v>
      </c>
    </row>
    <row r="1218" spans="97:117" ht="16.5" x14ac:dyDescent="0.2">
      <c r="CS1218" s="13">
        <v>1214</v>
      </c>
      <c r="CT1218" s="13">
        <f t="shared" si="1107"/>
        <v>24</v>
      </c>
      <c r="CU1218" s="13">
        <f t="shared" si="1114"/>
        <v>18</v>
      </c>
      <c r="CV1218" s="14">
        <f t="shared" si="1109"/>
        <v>3</v>
      </c>
      <c r="CW1218" s="14">
        <f t="shared" si="1110"/>
        <v>1102024</v>
      </c>
      <c r="CX1218" s="14" t="str">
        <f>INDEX($O$6:$O$50,CT1218)&amp;"-"&amp;INDEX(属性投放!$AB$7:$AB$50,CZ1218)&amp;"-魂火-"&amp;DB1218</f>
        <v>朱仙-叫唤+2-魂火-3</v>
      </c>
      <c r="CY1218" s="25" t="s">
        <v>142</v>
      </c>
      <c r="CZ1218" s="14">
        <f>INDEX(属性投放!$AM$7:$AM$58,CU1218)</f>
        <v>9</v>
      </c>
      <c r="DA1218" s="14" t="s">
        <v>537</v>
      </c>
      <c r="DB1218" s="14">
        <f>INDEX(属性投放!$AN$7:$AN$58,CU1218)</f>
        <v>3</v>
      </c>
      <c r="DC1218" s="14">
        <f t="shared" si="1115"/>
        <v>18</v>
      </c>
      <c r="DD1218" s="14">
        <f>INDEX(属性投放!$AO$7:$AO$58,DC1218)</f>
        <v>63</v>
      </c>
      <c r="DE1218" s="14" t="s">
        <v>242</v>
      </c>
      <c r="DF1218" s="14">
        <f>INDEX(属性投放!$BK$6:$BK$85,(CV1218-2)*20+CZ1218)</f>
        <v>100</v>
      </c>
      <c r="DG1218" s="14">
        <f>SUMIFS(DF$5:DF1218,$CT$5:$CT1218,"="&amp;$CT1218)</f>
        <v>1010</v>
      </c>
      <c r="DH1218" s="14" t="s">
        <v>198</v>
      </c>
      <c r="DI1218" s="14">
        <f>INDEX(属性投放!$BL$6:$BL$85,(CV1218-2)*20+CZ1218)</f>
        <v>50</v>
      </c>
      <c r="DJ1218" s="14">
        <f>SUMIFS(DI$5:DI1218,$CT$5:$CT1218,"="&amp;$CT1218)</f>
        <v>508</v>
      </c>
      <c r="DK1218" s="14" t="s">
        <v>25</v>
      </c>
      <c r="DL1218" s="14">
        <f>INDEX(属性投放!$BM$6:$BM$85,(CV1218-2)*20+CZ1218)</f>
        <v>800</v>
      </c>
      <c r="DM1218" s="14">
        <f>SUMIFS(DL$5:DL1218,$CT$5:$CT1218,"="&amp;$CT1218)</f>
        <v>7550</v>
      </c>
    </row>
    <row r="1219" spans="97:117" ht="16.5" x14ac:dyDescent="0.2">
      <c r="CS1219" s="13">
        <v>1215</v>
      </c>
      <c r="CT1219" s="13">
        <f t="shared" si="1107"/>
        <v>24</v>
      </c>
      <c r="CU1219" s="13">
        <f t="shared" si="1114"/>
        <v>19</v>
      </c>
      <c r="CV1219" s="14">
        <f t="shared" si="1109"/>
        <v>3</v>
      </c>
      <c r="CW1219" s="14">
        <f t="shared" si="1110"/>
        <v>1102024</v>
      </c>
      <c r="CX1219" s="14" t="str">
        <f>INDEX($O$6:$O$50,CT1219)&amp;"-"&amp;INDEX(属性投放!$AB$7:$AB$50,CZ1219)&amp;"-魂火-"&amp;DB1219</f>
        <v>朱仙-大叫唤-魂火-1</v>
      </c>
      <c r="CY1219" s="25" t="s">
        <v>142</v>
      </c>
      <c r="CZ1219" s="14">
        <f>INDEX(属性投放!$AM$7:$AM$58,CU1219)</f>
        <v>10</v>
      </c>
      <c r="DA1219" s="14" t="s">
        <v>537</v>
      </c>
      <c r="DB1219" s="14">
        <f>INDEX(属性投放!$AN$7:$AN$58,CU1219)</f>
        <v>1</v>
      </c>
      <c r="DC1219" s="14">
        <f t="shared" si="1115"/>
        <v>19</v>
      </c>
      <c r="DD1219" s="14">
        <f>INDEX(属性投放!$AO$7:$AO$58,DC1219)</f>
        <v>65</v>
      </c>
      <c r="DE1219" s="14" t="s">
        <v>242</v>
      </c>
      <c r="DF1219" s="14">
        <f>INDEX(属性投放!$BK$6:$BK$85,(CV1219-2)*20+CZ1219)</f>
        <v>120</v>
      </c>
      <c r="DG1219" s="14">
        <f>SUMIFS(DF$5:DF1219,$CT$5:$CT1219,"="&amp;$CT1219)</f>
        <v>1130</v>
      </c>
      <c r="DH1219" s="14" t="s">
        <v>198</v>
      </c>
      <c r="DI1219" s="14">
        <f>INDEX(属性投放!$BL$6:$BL$85,(CV1219-2)*20+CZ1219)</f>
        <v>60</v>
      </c>
      <c r="DJ1219" s="14">
        <f>SUMIFS(DI$5:DI1219,$CT$5:$CT1219,"="&amp;$CT1219)</f>
        <v>568</v>
      </c>
      <c r="DK1219" s="14" t="s">
        <v>25</v>
      </c>
      <c r="DL1219" s="14">
        <f>INDEX(属性投放!$BM$6:$BM$85,(CV1219-2)*20+CZ1219)</f>
        <v>1080</v>
      </c>
      <c r="DM1219" s="14">
        <f>SUMIFS(DL$5:DL1219,$CT$5:$CT1219,"="&amp;$CT1219)</f>
        <v>8630</v>
      </c>
    </row>
    <row r="1220" spans="97:117" ht="16.5" x14ac:dyDescent="0.2">
      <c r="CS1220" s="13">
        <v>1216</v>
      </c>
      <c r="CT1220" s="13">
        <f t="shared" si="1107"/>
        <v>24</v>
      </c>
      <c r="CU1220" s="13">
        <f t="shared" si="1114"/>
        <v>20</v>
      </c>
      <c r="CV1220" s="14">
        <f t="shared" si="1109"/>
        <v>3</v>
      </c>
      <c r="CW1220" s="14">
        <f t="shared" si="1110"/>
        <v>1102024</v>
      </c>
      <c r="CX1220" s="14" t="str">
        <f>INDEX($O$6:$O$50,CT1220)&amp;"-"&amp;INDEX(属性投放!$AB$7:$AB$50,CZ1220)&amp;"-魂火-"&amp;DB1220</f>
        <v>朱仙-大叫唤-魂火-2</v>
      </c>
      <c r="CY1220" s="25" t="s">
        <v>142</v>
      </c>
      <c r="CZ1220" s="14">
        <f>INDEX(属性投放!$AM$7:$AM$58,CU1220)</f>
        <v>10</v>
      </c>
      <c r="DA1220" s="14" t="s">
        <v>537</v>
      </c>
      <c r="DB1220" s="14">
        <f>INDEX(属性投放!$AN$7:$AN$58,CU1220)</f>
        <v>2</v>
      </c>
      <c r="DC1220" s="14">
        <f t="shared" si="1115"/>
        <v>20</v>
      </c>
      <c r="DD1220" s="14">
        <f>INDEX(属性投放!$AO$7:$AO$58,DC1220)</f>
        <v>68</v>
      </c>
      <c r="DE1220" s="14" t="s">
        <v>242</v>
      </c>
      <c r="DF1220" s="14">
        <f>INDEX(属性投放!$BK$6:$BK$85,(CV1220-2)*20+CZ1220)</f>
        <v>120</v>
      </c>
      <c r="DG1220" s="14">
        <f>SUMIFS(DF$5:DF1220,$CT$5:$CT1220,"="&amp;$CT1220)</f>
        <v>1250</v>
      </c>
      <c r="DH1220" s="14" t="s">
        <v>198</v>
      </c>
      <c r="DI1220" s="14">
        <f>INDEX(属性投放!$BL$6:$BL$85,(CV1220-2)*20+CZ1220)</f>
        <v>60</v>
      </c>
      <c r="DJ1220" s="14">
        <f>SUMIFS(DI$5:DI1220,$CT$5:$CT1220,"="&amp;$CT1220)</f>
        <v>628</v>
      </c>
      <c r="DK1220" s="14" t="s">
        <v>25</v>
      </c>
      <c r="DL1220" s="14">
        <f>INDEX(属性投放!$BM$6:$BM$85,(CV1220-2)*20+CZ1220)</f>
        <v>1080</v>
      </c>
      <c r="DM1220" s="14">
        <f>SUMIFS(DL$5:DL1220,$CT$5:$CT1220,"="&amp;$CT1220)</f>
        <v>9710</v>
      </c>
    </row>
    <row r="1221" spans="97:117" ht="16.5" x14ac:dyDescent="0.2">
      <c r="CS1221" s="13">
        <v>1217</v>
      </c>
      <c r="CT1221" s="13">
        <f t="shared" si="1107"/>
        <v>24</v>
      </c>
      <c r="CU1221" s="13">
        <f t="shared" si="1114"/>
        <v>21</v>
      </c>
      <c r="CV1221" s="14">
        <f t="shared" si="1109"/>
        <v>3</v>
      </c>
      <c r="CW1221" s="14">
        <f t="shared" si="1110"/>
        <v>1102024</v>
      </c>
      <c r="CX1221" s="14" t="str">
        <f>INDEX($O$6:$O$50,CT1221)&amp;"-"&amp;INDEX(属性投放!$AB$7:$AB$50,CZ1221)&amp;"-魂火-"&amp;DB1221</f>
        <v>朱仙-大叫唤-魂火-3</v>
      </c>
      <c r="CY1221" s="25" t="s">
        <v>142</v>
      </c>
      <c r="CZ1221" s="14">
        <f>INDEX(属性投放!$AM$7:$AM$58,CU1221)</f>
        <v>10</v>
      </c>
      <c r="DA1221" s="14" t="s">
        <v>537</v>
      </c>
      <c r="DB1221" s="14">
        <f>INDEX(属性投放!$AN$7:$AN$58,CU1221)</f>
        <v>3</v>
      </c>
      <c r="DC1221" s="14">
        <f t="shared" si="1115"/>
        <v>21</v>
      </c>
      <c r="DD1221" s="14">
        <f>INDEX(属性投放!$AO$7:$AO$58,DC1221)</f>
        <v>70</v>
      </c>
      <c r="DE1221" s="14" t="s">
        <v>242</v>
      </c>
      <c r="DF1221" s="14">
        <f>INDEX(属性投放!$BK$6:$BK$85,(CV1221-2)*20+CZ1221)</f>
        <v>120</v>
      </c>
      <c r="DG1221" s="14">
        <f>SUMIFS(DF$5:DF1221,$CT$5:$CT1221,"="&amp;$CT1221)</f>
        <v>1370</v>
      </c>
      <c r="DH1221" s="14" t="s">
        <v>198</v>
      </c>
      <c r="DI1221" s="14">
        <f>INDEX(属性投放!$BL$6:$BL$85,(CV1221-2)*20+CZ1221)</f>
        <v>60</v>
      </c>
      <c r="DJ1221" s="14">
        <f>SUMIFS(DI$5:DI1221,$CT$5:$CT1221,"="&amp;$CT1221)</f>
        <v>688</v>
      </c>
      <c r="DK1221" s="14" t="s">
        <v>25</v>
      </c>
      <c r="DL1221" s="14">
        <f>INDEX(属性投放!$BM$6:$BM$85,(CV1221-2)*20+CZ1221)</f>
        <v>1080</v>
      </c>
      <c r="DM1221" s="14">
        <f>SUMIFS(DL$5:DL1221,$CT$5:$CT1221,"="&amp;$CT1221)</f>
        <v>10790</v>
      </c>
    </row>
    <row r="1222" spans="97:117" ht="16.5" x14ac:dyDescent="0.2">
      <c r="CS1222" s="13">
        <v>1218</v>
      </c>
      <c r="CT1222" s="13">
        <f t="shared" ref="CT1222:CT1285" si="1116">MATCH(CS1222-1,$U$5:$U$36,1)</f>
        <v>24</v>
      </c>
      <c r="CU1222" s="13">
        <f t="shared" si="1114"/>
        <v>22</v>
      </c>
      <c r="CV1222" s="14">
        <f t="shared" ref="CV1222:CV1285" si="1117">INDEX($Q$6:$Q$50,CT1222)</f>
        <v>3</v>
      </c>
      <c r="CW1222" s="14">
        <f t="shared" ref="CW1222:CW1285" si="1118">INDEX($N$6:$N$50,CT1222)</f>
        <v>1102024</v>
      </c>
      <c r="CX1222" s="14" t="str">
        <f>INDEX($O$6:$O$50,CT1222)&amp;"-"&amp;INDEX(属性投放!$AB$7:$AB$50,CZ1222)&amp;"-魂火-"&amp;DB1222</f>
        <v>朱仙-大叫唤+1-魂火-1</v>
      </c>
      <c r="CY1222" s="25" t="s">
        <v>142</v>
      </c>
      <c r="CZ1222" s="14">
        <f>INDEX(属性投放!$AM$7:$AM$58,CU1222)</f>
        <v>11</v>
      </c>
      <c r="DA1222" s="14" t="s">
        <v>537</v>
      </c>
      <c r="DB1222" s="14">
        <f>INDEX(属性投放!$AN$7:$AN$58,CU1222)</f>
        <v>1</v>
      </c>
      <c r="DC1222" s="14">
        <f t="shared" si="1115"/>
        <v>22</v>
      </c>
      <c r="DD1222" s="14">
        <f>INDEX(属性投放!$AO$7:$AO$58,DC1222)</f>
        <v>73</v>
      </c>
      <c r="DE1222" s="14" t="s">
        <v>242</v>
      </c>
      <c r="DF1222" s="14">
        <f>INDEX(属性投放!$BK$6:$BK$85,(CV1222-2)*20+CZ1222)</f>
        <v>150</v>
      </c>
      <c r="DG1222" s="14">
        <f>SUMIFS(DF$5:DF1222,$CT$5:$CT1222,"="&amp;$CT1222)</f>
        <v>1520</v>
      </c>
      <c r="DH1222" s="14" t="s">
        <v>198</v>
      </c>
      <c r="DI1222" s="14">
        <f>INDEX(属性投放!$BL$6:$BL$85,(CV1222-2)*20+CZ1222)</f>
        <v>75</v>
      </c>
      <c r="DJ1222" s="14">
        <f>SUMIFS(DI$5:DI1222,$CT$5:$CT1222,"="&amp;$CT1222)</f>
        <v>763</v>
      </c>
      <c r="DK1222" s="14" t="s">
        <v>25</v>
      </c>
      <c r="DL1222" s="14">
        <f>INDEX(属性投放!$BM$6:$BM$85,(CV1222-2)*20+CZ1222)</f>
        <v>1350</v>
      </c>
      <c r="DM1222" s="14">
        <f>SUMIFS(DL$5:DL1222,$CT$5:$CT1222,"="&amp;$CT1222)</f>
        <v>12140</v>
      </c>
    </row>
    <row r="1223" spans="97:117" ht="16.5" x14ac:dyDescent="0.2">
      <c r="CS1223" s="13">
        <v>1219</v>
      </c>
      <c r="CT1223" s="13">
        <f t="shared" si="1116"/>
        <v>24</v>
      </c>
      <c r="CU1223" s="13">
        <f t="shared" si="1114"/>
        <v>23</v>
      </c>
      <c r="CV1223" s="14">
        <f t="shared" si="1117"/>
        <v>3</v>
      </c>
      <c r="CW1223" s="14">
        <f t="shared" si="1118"/>
        <v>1102024</v>
      </c>
      <c r="CX1223" s="14" t="str">
        <f>INDEX($O$6:$O$50,CT1223)&amp;"-"&amp;INDEX(属性投放!$AB$7:$AB$50,CZ1223)&amp;"-魂火-"&amp;DB1223</f>
        <v>朱仙-大叫唤+1-魂火-2</v>
      </c>
      <c r="CY1223" s="25" t="s">
        <v>142</v>
      </c>
      <c r="CZ1223" s="14">
        <f>INDEX(属性投放!$AM$7:$AM$58,CU1223)</f>
        <v>11</v>
      </c>
      <c r="DA1223" s="14" t="s">
        <v>537</v>
      </c>
      <c r="DB1223" s="14">
        <f>INDEX(属性投放!$AN$7:$AN$58,CU1223)</f>
        <v>2</v>
      </c>
      <c r="DC1223" s="14">
        <f t="shared" si="1115"/>
        <v>23</v>
      </c>
      <c r="DD1223" s="14">
        <f>INDEX(属性投放!$AO$7:$AO$58,DC1223)</f>
        <v>75</v>
      </c>
      <c r="DE1223" s="14" t="s">
        <v>242</v>
      </c>
      <c r="DF1223" s="14">
        <f>INDEX(属性投放!$BK$6:$BK$85,(CV1223-2)*20+CZ1223)</f>
        <v>150</v>
      </c>
      <c r="DG1223" s="14">
        <f>SUMIFS(DF$5:DF1223,$CT$5:$CT1223,"="&amp;$CT1223)</f>
        <v>1670</v>
      </c>
      <c r="DH1223" s="14" t="s">
        <v>198</v>
      </c>
      <c r="DI1223" s="14">
        <f>INDEX(属性投放!$BL$6:$BL$85,(CV1223-2)*20+CZ1223)</f>
        <v>75</v>
      </c>
      <c r="DJ1223" s="14">
        <f>SUMIFS(DI$5:DI1223,$CT$5:$CT1223,"="&amp;$CT1223)</f>
        <v>838</v>
      </c>
      <c r="DK1223" s="14" t="s">
        <v>25</v>
      </c>
      <c r="DL1223" s="14">
        <f>INDEX(属性投放!$BM$6:$BM$85,(CV1223-2)*20+CZ1223)</f>
        <v>1350</v>
      </c>
      <c r="DM1223" s="14">
        <f>SUMIFS(DL$5:DL1223,$CT$5:$CT1223,"="&amp;$CT1223)</f>
        <v>13490</v>
      </c>
    </row>
    <row r="1224" spans="97:117" ht="16.5" x14ac:dyDescent="0.2">
      <c r="CS1224" s="13">
        <v>1220</v>
      </c>
      <c r="CT1224" s="13">
        <f t="shared" si="1116"/>
        <v>24</v>
      </c>
      <c r="CU1224" s="13">
        <f t="shared" si="1114"/>
        <v>24</v>
      </c>
      <c r="CV1224" s="14">
        <f t="shared" si="1117"/>
        <v>3</v>
      </c>
      <c r="CW1224" s="14">
        <f t="shared" si="1118"/>
        <v>1102024</v>
      </c>
      <c r="CX1224" s="14" t="str">
        <f>INDEX($O$6:$O$50,CT1224)&amp;"-"&amp;INDEX(属性投放!$AB$7:$AB$50,CZ1224)&amp;"-魂火-"&amp;DB1224</f>
        <v>朱仙-大叫唤+1-魂火-3</v>
      </c>
      <c r="CY1224" s="25" t="s">
        <v>142</v>
      </c>
      <c r="CZ1224" s="14">
        <f>INDEX(属性投放!$AM$7:$AM$58,CU1224)</f>
        <v>11</v>
      </c>
      <c r="DA1224" s="14" t="s">
        <v>537</v>
      </c>
      <c r="DB1224" s="14">
        <f>INDEX(属性投放!$AN$7:$AN$58,CU1224)</f>
        <v>3</v>
      </c>
      <c r="DC1224" s="14">
        <f t="shared" si="1115"/>
        <v>24</v>
      </c>
      <c r="DD1224" s="14">
        <f>INDEX(属性投放!$AO$7:$AO$58,DC1224)</f>
        <v>78</v>
      </c>
      <c r="DE1224" s="14" t="s">
        <v>242</v>
      </c>
      <c r="DF1224" s="14">
        <f>INDEX(属性投放!$BK$6:$BK$85,(CV1224-2)*20+CZ1224)</f>
        <v>150</v>
      </c>
      <c r="DG1224" s="14">
        <f>SUMIFS(DF$5:DF1224,$CT$5:$CT1224,"="&amp;$CT1224)</f>
        <v>1820</v>
      </c>
      <c r="DH1224" s="14" t="s">
        <v>198</v>
      </c>
      <c r="DI1224" s="14">
        <f>INDEX(属性投放!$BL$6:$BL$85,(CV1224-2)*20+CZ1224)</f>
        <v>75</v>
      </c>
      <c r="DJ1224" s="14">
        <f>SUMIFS(DI$5:DI1224,$CT$5:$CT1224,"="&amp;$CT1224)</f>
        <v>913</v>
      </c>
      <c r="DK1224" s="14" t="s">
        <v>25</v>
      </c>
      <c r="DL1224" s="14">
        <f>INDEX(属性投放!$BM$6:$BM$85,(CV1224-2)*20+CZ1224)</f>
        <v>1350</v>
      </c>
      <c r="DM1224" s="14">
        <f>SUMIFS(DL$5:DL1224,$CT$5:$CT1224,"="&amp;$CT1224)</f>
        <v>14840</v>
      </c>
    </row>
    <row r="1225" spans="97:117" ht="16.5" x14ac:dyDescent="0.2">
      <c r="CS1225" s="13">
        <v>1221</v>
      </c>
      <c r="CT1225" s="13">
        <f t="shared" si="1116"/>
        <v>24</v>
      </c>
      <c r="CU1225" s="13">
        <f t="shared" si="1114"/>
        <v>25</v>
      </c>
      <c r="CV1225" s="14">
        <f t="shared" si="1117"/>
        <v>3</v>
      </c>
      <c r="CW1225" s="14">
        <f t="shared" si="1118"/>
        <v>1102024</v>
      </c>
      <c r="CX1225" s="14" t="str">
        <f>INDEX($O$6:$O$50,CT1225)&amp;"-"&amp;INDEX(属性投放!$AB$7:$AB$50,CZ1225)&amp;"-魂火-"&amp;DB1225</f>
        <v>朱仙-大叫唤+2-魂火-1</v>
      </c>
      <c r="CY1225" s="25" t="s">
        <v>142</v>
      </c>
      <c r="CZ1225" s="14">
        <f>INDEX(属性投放!$AM$7:$AM$58,CU1225)</f>
        <v>12</v>
      </c>
      <c r="DA1225" s="14" t="s">
        <v>537</v>
      </c>
      <c r="DB1225" s="14">
        <f>INDEX(属性投放!$AN$7:$AN$58,CU1225)</f>
        <v>1</v>
      </c>
      <c r="DC1225" s="14">
        <f t="shared" si="1115"/>
        <v>25</v>
      </c>
      <c r="DD1225" s="14">
        <f>INDEX(属性投放!$AO$7:$AO$58,DC1225)</f>
        <v>80</v>
      </c>
      <c r="DE1225" s="14" t="s">
        <v>242</v>
      </c>
      <c r="DF1225" s="14">
        <f>INDEX(属性投放!$BK$6:$BK$85,(CV1225-2)*20+CZ1225)</f>
        <v>200</v>
      </c>
      <c r="DG1225" s="14">
        <f>SUMIFS(DF$5:DF1225,$CT$5:$CT1225,"="&amp;$CT1225)</f>
        <v>2020</v>
      </c>
      <c r="DH1225" s="14" t="s">
        <v>198</v>
      </c>
      <c r="DI1225" s="14">
        <f>INDEX(属性投放!$BL$6:$BL$85,(CV1225-2)*20+CZ1225)</f>
        <v>100</v>
      </c>
      <c r="DJ1225" s="14">
        <f>SUMIFS(DI$5:DI1225,$CT$5:$CT1225,"="&amp;$CT1225)</f>
        <v>1013</v>
      </c>
      <c r="DK1225" s="14" t="s">
        <v>25</v>
      </c>
      <c r="DL1225" s="14">
        <f>INDEX(属性投放!$BM$6:$BM$85,(CV1225-2)*20+CZ1225)</f>
        <v>1800</v>
      </c>
      <c r="DM1225" s="14">
        <f>SUMIFS(DL$5:DL1225,$CT$5:$CT1225,"="&amp;$CT1225)</f>
        <v>16640</v>
      </c>
    </row>
    <row r="1226" spans="97:117" ht="16.5" x14ac:dyDescent="0.2">
      <c r="CS1226" s="13">
        <v>1222</v>
      </c>
      <c r="CT1226" s="13">
        <f t="shared" si="1116"/>
        <v>24</v>
      </c>
      <c r="CU1226" s="13">
        <f t="shared" si="1114"/>
        <v>26</v>
      </c>
      <c r="CV1226" s="14">
        <f t="shared" si="1117"/>
        <v>3</v>
      </c>
      <c r="CW1226" s="14">
        <f t="shared" si="1118"/>
        <v>1102024</v>
      </c>
      <c r="CX1226" s="14" t="str">
        <f>INDEX($O$6:$O$50,CT1226)&amp;"-"&amp;INDEX(属性投放!$AB$7:$AB$50,CZ1226)&amp;"-魂火-"&amp;DB1226</f>
        <v>朱仙-大叫唤+2-魂火-2</v>
      </c>
      <c r="CY1226" s="25" t="s">
        <v>142</v>
      </c>
      <c r="CZ1226" s="14">
        <f>INDEX(属性投放!$AM$7:$AM$58,CU1226)</f>
        <v>12</v>
      </c>
      <c r="DA1226" s="14" t="s">
        <v>537</v>
      </c>
      <c r="DB1226" s="14">
        <f>INDEX(属性投放!$AN$7:$AN$58,CU1226)</f>
        <v>2</v>
      </c>
      <c r="DC1226" s="14">
        <f t="shared" si="1115"/>
        <v>26</v>
      </c>
      <c r="DD1226" s="14">
        <f>INDEX(属性投放!$AO$7:$AO$58,DC1226)</f>
        <v>83</v>
      </c>
      <c r="DE1226" s="14" t="s">
        <v>242</v>
      </c>
      <c r="DF1226" s="14">
        <f>INDEX(属性投放!$BK$6:$BK$85,(CV1226-2)*20+CZ1226)</f>
        <v>200</v>
      </c>
      <c r="DG1226" s="14">
        <f>SUMIFS(DF$5:DF1226,$CT$5:$CT1226,"="&amp;$CT1226)</f>
        <v>2220</v>
      </c>
      <c r="DH1226" s="14" t="s">
        <v>198</v>
      </c>
      <c r="DI1226" s="14">
        <f>INDEX(属性投放!$BL$6:$BL$85,(CV1226-2)*20+CZ1226)</f>
        <v>100</v>
      </c>
      <c r="DJ1226" s="14">
        <f>SUMIFS(DI$5:DI1226,$CT$5:$CT1226,"="&amp;$CT1226)</f>
        <v>1113</v>
      </c>
      <c r="DK1226" s="14" t="s">
        <v>25</v>
      </c>
      <c r="DL1226" s="14">
        <f>INDEX(属性投放!$BM$6:$BM$85,(CV1226-2)*20+CZ1226)</f>
        <v>1800</v>
      </c>
      <c r="DM1226" s="14">
        <f>SUMIFS(DL$5:DL1226,$CT$5:$CT1226,"="&amp;$CT1226)</f>
        <v>18440</v>
      </c>
    </row>
    <row r="1227" spans="97:117" ht="16.5" x14ac:dyDescent="0.2">
      <c r="CS1227" s="13">
        <v>1223</v>
      </c>
      <c r="CT1227" s="13">
        <f t="shared" si="1116"/>
        <v>24</v>
      </c>
      <c r="CU1227" s="13">
        <f t="shared" si="1114"/>
        <v>27</v>
      </c>
      <c r="CV1227" s="14">
        <f t="shared" si="1117"/>
        <v>3</v>
      </c>
      <c r="CW1227" s="14">
        <f t="shared" si="1118"/>
        <v>1102024</v>
      </c>
      <c r="CX1227" s="14" t="str">
        <f>INDEX($O$6:$O$50,CT1227)&amp;"-"&amp;INDEX(属性投放!$AB$7:$AB$50,CZ1227)&amp;"-魂火-"&amp;DB1227</f>
        <v>朱仙-大叫唤+2-魂火-3</v>
      </c>
      <c r="CY1227" s="25" t="s">
        <v>142</v>
      </c>
      <c r="CZ1227" s="14">
        <f>INDEX(属性投放!$AM$7:$AM$58,CU1227)</f>
        <v>12</v>
      </c>
      <c r="DA1227" s="14" t="s">
        <v>537</v>
      </c>
      <c r="DB1227" s="14">
        <f>INDEX(属性投放!$AN$7:$AN$58,CU1227)</f>
        <v>3</v>
      </c>
      <c r="DC1227" s="14">
        <f t="shared" si="1115"/>
        <v>27</v>
      </c>
      <c r="DD1227" s="14">
        <f>INDEX(属性投放!$AO$7:$AO$58,DC1227)</f>
        <v>85</v>
      </c>
      <c r="DE1227" s="14" t="s">
        <v>242</v>
      </c>
      <c r="DF1227" s="14">
        <f>INDEX(属性投放!$BK$6:$BK$85,(CV1227-2)*20+CZ1227)</f>
        <v>200</v>
      </c>
      <c r="DG1227" s="14">
        <f>SUMIFS(DF$5:DF1227,$CT$5:$CT1227,"="&amp;$CT1227)</f>
        <v>2420</v>
      </c>
      <c r="DH1227" s="14" t="s">
        <v>198</v>
      </c>
      <c r="DI1227" s="14">
        <f>INDEX(属性投放!$BL$6:$BL$85,(CV1227-2)*20+CZ1227)</f>
        <v>100</v>
      </c>
      <c r="DJ1227" s="14">
        <f>SUMIFS(DI$5:DI1227,$CT$5:$CT1227,"="&amp;$CT1227)</f>
        <v>1213</v>
      </c>
      <c r="DK1227" s="14" t="s">
        <v>25</v>
      </c>
      <c r="DL1227" s="14">
        <f>INDEX(属性投放!$BM$6:$BM$85,(CV1227-2)*20+CZ1227)</f>
        <v>1800</v>
      </c>
      <c r="DM1227" s="14">
        <f>SUMIFS(DL$5:DL1227,$CT$5:$CT1227,"="&amp;$CT1227)</f>
        <v>20240</v>
      </c>
    </row>
    <row r="1228" spans="97:117" ht="16.5" x14ac:dyDescent="0.2">
      <c r="CS1228" s="13">
        <v>1224</v>
      </c>
      <c r="CT1228" s="13">
        <f t="shared" si="1116"/>
        <v>24</v>
      </c>
      <c r="CU1228" s="13">
        <f t="shared" si="1114"/>
        <v>28</v>
      </c>
      <c r="CV1228" s="14">
        <f t="shared" si="1117"/>
        <v>3</v>
      </c>
      <c r="CW1228" s="14">
        <f t="shared" si="1118"/>
        <v>1102024</v>
      </c>
      <c r="CX1228" s="14" t="str">
        <f>INDEX($O$6:$O$50,CT1228)&amp;"-"&amp;INDEX(属性投放!$AB$7:$AB$50,CZ1228)&amp;"-魂火-"&amp;DB1228</f>
        <v>朱仙-焦热-魂火-1</v>
      </c>
      <c r="CY1228" s="25" t="s">
        <v>142</v>
      </c>
      <c r="CZ1228" s="14">
        <f>INDEX(属性投放!$AM$7:$AM$58,CU1228)</f>
        <v>13</v>
      </c>
      <c r="DA1228" s="14" t="s">
        <v>537</v>
      </c>
      <c r="DB1228" s="14">
        <f>INDEX(属性投放!$AN$7:$AN$58,CU1228)</f>
        <v>1</v>
      </c>
      <c r="DC1228" s="14">
        <f t="shared" si="1115"/>
        <v>28</v>
      </c>
      <c r="DD1228" s="14">
        <f>INDEX(属性投放!$AO$7:$AO$58,DC1228)</f>
        <v>88</v>
      </c>
      <c r="DE1228" s="14" t="s">
        <v>242</v>
      </c>
      <c r="DF1228" s="14">
        <f>INDEX(属性投放!$BK$6:$BK$85,(CV1228-2)*20+CZ1228)</f>
        <v>250</v>
      </c>
      <c r="DG1228" s="14">
        <f>SUMIFS(DF$5:DF1228,$CT$5:$CT1228,"="&amp;$CT1228)</f>
        <v>2670</v>
      </c>
      <c r="DH1228" s="14" t="s">
        <v>198</v>
      </c>
      <c r="DI1228" s="14">
        <f>INDEX(属性投放!$BL$6:$BL$85,(CV1228-2)*20+CZ1228)</f>
        <v>125</v>
      </c>
      <c r="DJ1228" s="14">
        <f>SUMIFS(DI$5:DI1228,$CT$5:$CT1228,"="&amp;$CT1228)</f>
        <v>1338</v>
      </c>
      <c r="DK1228" s="14" t="s">
        <v>25</v>
      </c>
      <c r="DL1228" s="14">
        <f>INDEX(属性投放!$BM$6:$BM$85,(CV1228-2)*20+CZ1228)</f>
        <v>2500</v>
      </c>
      <c r="DM1228" s="14">
        <f>SUMIFS(DL$5:DL1228,$CT$5:$CT1228,"="&amp;$CT1228)</f>
        <v>22740</v>
      </c>
    </row>
    <row r="1229" spans="97:117" ht="16.5" x14ac:dyDescent="0.2">
      <c r="CS1229" s="13">
        <v>1225</v>
      </c>
      <c r="CT1229" s="13">
        <f t="shared" si="1116"/>
        <v>24</v>
      </c>
      <c r="CU1229" s="13">
        <f t="shared" si="1114"/>
        <v>29</v>
      </c>
      <c r="CV1229" s="14">
        <f t="shared" si="1117"/>
        <v>3</v>
      </c>
      <c r="CW1229" s="14">
        <f t="shared" si="1118"/>
        <v>1102024</v>
      </c>
      <c r="CX1229" s="14" t="str">
        <f>INDEX($O$6:$O$50,CT1229)&amp;"-"&amp;INDEX(属性投放!$AB$7:$AB$50,CZ1229)&amp;"-魂火-"&amp;DB1229</f>
        <v>朱仙-焦热-魂火-2</v>
      </c>
      <c r="CY1229" s="25" t="s">
        <v>142</v>
      </c>
      <c r="CZ1229" s="14">
        <f>INDEX(属性投放!$AM$7:$AM$58,CU1229)</f>
        <v>13</v>
      </c>
      <c r="DA1229" s="14" t="s">
        <v>537</v>
      </c>
      <c r="DB1229" s="14">
        <f>INDEX(属性投放!$AN$7:$AN$58,CU1229)</f>
        <v>2</v>
      </c>
      <c r="DC1229" s="14">
        <f t="shared" si="1115"/>
        <v>29</v>
      </c>
      <c r="DD1229" s="14">
        <f>INDEX(属性投放!$AO$7:$AO$58,DC1229)</f>
        <v>90</v>
      </c>
      <c r="DE1229" s="14" t="s">
        <v>242</v>
      </c>
      <c r="DF1229" s="14">
        <f>INDEX(属性投放!$BK$6:$BK$85,(CV1229-2)*20+CZ1229)</f>
        <v>250</v>
      </c>
      <c r="DG1229" s="14">
        <f>SUMIFS(DF$5:DF1229,$CT$5:$CT1229,"="&amp;$CT1229)</f>
        <v>2920</v>
      </c>
      <c r="DH1229" s="14" t="s">
        <v>198</v>
      </c>
      <c r="DI1229" s="14">
        <f>INDEX(属性投放!$BL$6:$BL$85,(CV1229-2)*20+CZ1229)</f>
        <v>125</v>
      </c>
      <c r="DJ1229" s="14">
        <f>SUMIFS(DI$5:DI1229,$CT$5:$CT1229,"="&amp;$CT1229)</f>
        <v>1463</v>
      </c>
      <c r="DK1229" s="14" t="s">
        <v>25</v>
      </c>
      <c r="DL1229" s="14">
        <f>INDEX(属性投放!$BM$6:$BM$85,(CV1229-2)*20+CZ1229)</f>
        <v>2500</v>
      </c>
      <c r="DM1229" s="14">
        <f>SUMIFS(DL$5:DL1229,$CT$5:$CT1229,"="&amp;$CT1229)</f>
        <v>25240</v>
      </c>
    </row>
    <row r="1230" spans="97:117" ht="16.5" x14ac:dyDescent="0.2">
      <c r="CS1230" s="13">
        <v>1226</v>
      </c>
      <c r="CT1230" s="13">
        <f t="shared" si="1116"/>
        <v>24</v>
      </c>
      <c r="CU1230" s="13">
        <f t="shared" si="1114"/>
        <v>30</v>
      </c>
      <c r="CV1230" s="14">
        <f t="shared" si="1117"/>
        <v>3</v>
      </c>
      <c r="CW1230" s="14">
        <f t="shared" si="1118"/>
        <v>1102024</v>
      </c>
      <c r="CX1230" s="14" t="str">
        <f>INDEX($O$6:$O$50,CT1230)&amp;"-"&amp;INDEX(属性投放!$AB$7:$AB$50,CZ1230)&amp;"-魂火-"&amp;DB1230</f>
        <v>朱仙-焦热-魂火-3</v>
      </c>
      <c r="CY1230" s="25" t="s">
        <v>142</v>
      </c>
      <c r="CZ1230" s="14">
        <f>INDEX(属性投放!$AM$7:$AM$58,CU1230)</f>
        <v>13</v>
      </c>
      <c r="DA1230" s="14" t="s">
        <v>537</v>
      </c>
      <c r="DB1230" s="14">
        <f>INDEX(属性投放!$AN$7:$AN$58,CU1230)</f>
        <v>3</v>
      </c>
      <c r="DC1230" s="14">
        <f t="shared" si="1115"/>
        <v>30</v>
      </c>
      <c r="DD1230" s="14">
        <f>INDEX(属性投放!$AO$7:$AO$58,DC1230)</f>
        <v>93</v>
      </c>
      <c r="DE1230" s="14" t="s">
        <v>242</v>
      </c>
      <c r="DF1230" s="14">
        <f>INDEX(属性投放!$BK$6:$BK$85,(CV1230-2)*20+CZ1230)</f>
        <v>250</v>
      </c>
      <c r="DG1230" s="14">
        <f>SUMIFS(DF$5:DF1230,$CT$5:$CT1230,"="&amp;$CT1230)</f>
        <v>3170</v>
      </c>
      <c r="DH1230" s="14" t="s">
        <v>198</v>
      </c>
      <c r="DI1230" s="14">
        <f>INDEX(属性投放!$BL$6:$BL$85,(CV1230-2)*20+CZ1230)</f>
        <v>125</v>
      </c>
      <c r="DJ1230" s="14">
        <f>SUMIFS(DI$5:DI1230,$CT$5:$CT1230,"="&amp;$CT1230)</f>
        <v>1588</v>
      </c>
      <c r="DK1230" s="14" t="s">
        <v>25</v>
      </c>
      <c r="DL1230" s="14">
        <f>INDEX(属性投放!$BM$6:$BM$85,(CV1230-2)*20+CZ1230)</f>
        <v>2500</v>
      </c>
      <c r="DM1230" s="14">
        <f>SUMIFS(DL$5:DL1230,$CT$5:$CT1230,"="&amp;$CT1230)</f>
        <v>27740</v>
      </c>
    </row>
    <row r="1231" spans="97:117" ht="16.5" x14ac:dyDescent="0.2">
      <c r="CS1231" s="13">
        <v>1227</v>
      </c>
      <c r="CT1231" s="13">
        <f t="shared" si="1116"/>
        <v>24</v>
      </c>
      <c r="CU1231" s="13">
        <f t="shared" si="1114"/>
        <v>31</v>
      </c>
      <c r="CV1231" s="14">
        <f t="shared" si="1117"/>
        <v>3</v>
      </c>
      <c r="CW1231" s="14">
        <f t="shared" si="1118"/>
        <v>1102024</v>
      </c>
      <c r="CX1231" s="14" t="str">
        <f>INDEX($O$6:$O$50,CT1231)&amp;"-"&amp;INDEX(属性投放!$AB$7:$AB$50,CZ1231)&amp;"-魂火-"&amp;DB1231</f>
        <v>朱仙-焦热+1-魂火-1</v>
      </c>
      <c r="CY1231" s="25" t="s">
        <v>142</v>
      </c>
      <c r="CZ1231" s="14">
        <f>INDEX(属性投放!$AM$7:$AM$58,CU1231)</f>
        <v>14</v>
      </c>
      <c r="DA1231" s="14" t="s">
        <v>537</v>
      </c>
      <c r="DB1231" s="14">
        <f>INDEX(属性投放!$AN$7:$AN$58,CU1231)</f>
        <v>1</v>
      </c>
      <c r="DC1231" s="14">
        <f t="shared" si="1115"/>
        <v>31</v>
      </c>
      <c r="DD1231" s="14">
        <f>INDEX(属性投放!$AO$7:$AO$58,DC1231)</f>
        <v>95</v>
      </c>
      <c r="DE1231" s="14" t="s">
        <v>242</v>
      </c>
      <c r="DF1231" s="14">
        <f>INDEX(属性投放!$BK$6:$BK$85,(CV1231-2)*20+CZ1231)</f>
        <v>300</v>
      </c>
      <c r="DG1231" s="14">
        <f>SUMIFS(DF$5:DF1231,$CT$5:$CT1231,"="&amp;$CT1231)</f>
        <v>3470</v>
      </c>
      <c r="DH1231" s="14" t="s">
        <v>198</v>
      </c>
      <c r="DI1231" s="14">
        <f>INDEX(属性投放!$BL$6:$BL$85,(CV1231-2)*20+CZ1231)</f>
        <v>150</v>
      </c>
      <c r="DJ1231" s="14">
        <f>SUMIFS(DI$5:DI1231,$CT$5:$CT1231,"="&amp;$CT1231)</f>
        <v>1738</v>
      </c>
      <c r="DK1231" s="14" t="s">
        <v>25</v>
      </c>
      <c r="DL1231" s="14">
        <f>INDEX(属性投放!$BM$6:$BM$85,(CV1231-2)*20+CZ1231)</f>
        <v>3000</v>
      </c>
      <c r="DM1231" s="14">
        <f>SUMIFS(DL$5:DL1231,$CT$5:$CT1231,"="&amp;$CT1231)</f>
        <v>30740</v>
      </c>
    </row>
    <row r="1232" spans="97:117" ht="16.5" x14ac:dyDescent="0.2">
      <c r="CS1232" s="13">
        <v>1228</v>
      </c>
      <c r="CT1232" s="13">
        <f t="shared" si="1116"/>
        <v>24</v>
      </c>
      <c r="CU1232" s="13">
        <f t="shared" si="1114"/>
        <v>32</v>
      </c>
      <c r="CV1232" s="14">
        <f t="shared" si="1117"/>
        <v>3</v>
      </c>
      <c r="CW1232" s="14">
        <f t="shared" si="1118"/>
        <v>1102024</v>
      </c>
      <c r="CX1232" s="14" t="str">
        <f>INDEX($O$6:$O$50,CT1232)&amp;"-"&amp;INDEX(属性投放!$AB$7:$AB$50,CZ1232)&amp;"-魂火-"&amp;DB1232</f>
        <v>朱仙-焦热+1-魂火-2</v>
      </c>
      <c r="CY1232" s="25" t="s">
        <v>142</v>
      </c>
      <c r="CZ1232" s="14">
        <f>INDEX(属性投放!$AM$7:$AM$58,CU1232)</f>
        <v>14</v>
      </c>
      <c r="DA1232" s="14" t="s">
        <v>537</v>
      </c>
      <c r="DB1232" s="14">
        <f>INDEX(属性投放!$AN$7:$AN$58,CU1232)</f>
        <v>2</v>
      </c>
      <c r="DC1232" s="14">
        <f t="shared" si="1115"/>
        <v>32</v>
      </c>
      <c r="DD1232" s="14">
        <f>INDEX(属性投放!$AO$7:$AO$58,DC1232)</f>
        <v>98</v>
      </c>
      <c r="DE1232" s="14" t="s">
        <v>242</v>
      </c>
      <c r="DF1232" s="14">
        <f>INDEX(属性投放!$BK$6:$BK$85,(CV1232-2)*20+CZ1232)</f>
        <v>300</v>
      </c>
      <c r="DG1232" s="14">
        <f>SUMIFS(DF$5:DF1232,$CT$5:$CT1232,"="&amp;$CT1232)</f>
        <v>3770</v>
      </c>
      <c r="DH1232" s="14" t="s">
        <v>198</v>
      </c>
      <c r="DI1232" s="14">
        <f>INDEX(属性投放!$BL$6:$BL$85,(CV1232-2)*20+CZ1232)</f>
        <v>150</v>
      </c>
      <c r="DJ1232" s="14">
        <f>SUMIFS(DI$5:DI1232,$CT$5:$CT1232,"="&amp;$CT1232)</f>
        <v>1888</v>
      </c>
      <c r="DK1232" s="14" t="s">
        <v>25</v>
      </c>
      <c r="DL1232" s="14">
        <f>INDEX(属性投放!$BM$6:$BM$85,(CV1232-2)*20+CZ1232)</f>
        <v>3000</v>
      </c>
      <c r="DM1232" s="14">
        <f>SUMIFS(DL$5:DL1232,$CT$5:$CT1232,"="&amp;$CT1232)</f>
        <v>33740</v>
      </c>
    </row>
    <row r="1233" spans="97:117" ht="16.5" x14ac:dyDescent="0.2">
      <c r="CS1233" s="13">
        <v>1229</v>
      </c>
      <c r="CT1233" s="13">
        <f t="shared" si="1116"/>
        <v>24</v>
      </c>
      <c r="CU1233" s="13">
        <f t="shared" si="1114"/>
        <v>33</v>
      </c>
      <c r="CV1233" s="14">
        <f t="shared" si="1117"/>
        <v>3</v>
      </c>
      <c r="CW1233" s="14">
        <f t="shared" si="1118"/>
        <v>1102024</v>
      </c>
      <c r="CX1233" s="14" t="str">
        <f>INDEX($O$6:$O$50,CT1233)&amp;"-"&amp;INDEX(属性投放!$AB$7:$AB$50,CZ1233)&amp;"-魂火-"&amp;DB1233</f>
        <v>朱仙-焦热+1-魂火-3</v>
      </c>
      <c r="CY1233" s="25" t="s">
        <v>142</v>
      </c>
      <c r="CZ1233" s="14">
        <f>INDEX(属性投放!$AM$7:$AM$58,CU1233)</f>
        <v>14</v>
      </c>
      <c r="DA1233" s="14" t="s">
        <v>537</v>
      </c>
      <c r="DB1233" s="14">
        <f>INDEX(属性投放!$AN$7:$AN$58,CU1233)</f>
        <v>3</v>
      </c>
      <c r="DC1233" s="14">
        <f t="shared" si="1115"/>
        <v>33</v>
      </c>
      <c r="DD1233" s="14">
        <f>INDEX(属性投放!$AO$7:$AO$58,DC1233)</f>
        <v>100</v>
      </c>
      <c r="DE1233" s="14" t="s">
        <v>242</v>
      </c>
      <c r="DF1233" s="14">
        <f>INDEX(属性投放!$BK$6:$BK$85,(CV1233-2)*20+CZ1233)</f>
        <v>300</v>
      </c>
      <c r="DG1233" s="14">
        <f>SUMIFS(DF$5:DF1233,$CT$5:$CT1233,"="&amp;$CT1233)</f>
        <v>4070</v>
      </c>
      <c r="DH1233" s="14" t="s">
        <v>198</v>
      </c>
      <c r="DI1233" s="14">
        <f>INDEX(属性投放!$BL$6:$BL$85,(CV1233-2)*20+CZ1233)</f>
        <v>150</v>
      </c>
      <c r="DJ1233" s="14">
        <f>SUMIFS(DI$5:DI1233,$CT$5:$CT1233,"="&amp;$CT1233)</f>
        <v>2038</v>
      </c>
      <c r="DK1233" s="14" t="s">
        <v>25</v>
      </c>
      <c r="DL1233" s="14">
        <f>INDEX(属性投放!$BM$6:$BM$85,(CV1233-2)*20+CZ1233)</f>
        <v>3000</v>
      </c>
      <c r="DM1233" s="14">
        <f>SUMIFS(DL$5:DL1233,$CT$5:$CT1233,"="&amp;$CT1233)</f>
        <v>36740</v>
      </c>
    </row>
    <row r="1234" spans="97:117" ht="16.5" x14ac:dyDescent="0.2">
      <c r="CS1234" s="13">
        <v>1230</v>
      </c>
      <c r="CT1234" s="13">
        <f t="shared" si="1116"/>
        <v>24</v>
      </c>
      <c r="CU1234" s="13">
        <f t="shared" si="1114"/>
        <v>34</v>
      </c>
      <c r="CV1234" s="14">
        <f t="shared" si="1117"/>
        <v>3</v>
      </c>
      <c r="CW1234" s="14">
        <f t="shared" si="1118"/>
        <v>1102024</v>
      </c>
      <c r="CX1234" s="14" t="str">
        <f>INDEX($O$6:$O$50,CT1234)&amp;"-"&amp;INDEX(属性投放!$AB$7:$AB$50,CZ1234)&amp;"-魂火-"&amp;DB1234</f>
        <v>朱仙-焦热+2-魂火-1</v>
      </c>
      <c r="CY1234" s="25" t="s">
        <v>142</v>
      </c>
      <c r="CZ1234" s="14">
        <f>INDEX(属性投放!$AM$7:$AM$58,CU1234)</f>
        <v>15</v>
      </c>
      <c r="DA1234" s="14" t="s">
        <v>537</v>
      </c>
      <c r="DB1234" s="14">
        <f>INDEX(属性投放!$AN$7:$AN$58,CU1234)</f>
        <v>1</v>
      </c>
      <c r="DC1234" s="14">
        <f t="shared" si="1115"/>
        <v>34</v>
      </c>
      <c r="DD1234" s="14">
        <f>INDEX(属性投放!$AO$7:$AO$58,DC1234)</f>
        <v>103</v>
      </c>
      <c r="DE1234" s="14" t="s">
        <v>242</v>
      </c>
      <c r="DF1234" s="14">
        <f>INDEX(属性投放!$BK$6:$BK$85,(CV1234-2)*20+CZ1234)</f>
        <v>400</v>
      </c>
      <c r="DG1234" s="14">
        <f>SUMIFS(DF$5:DF1234,$CT$5:$CT1234,"="&amp;$CT1234)</f>
        <v>4470</v>
      </c>
      <c r="DH1234" s="14" t="s">
        <v>198</v>
      </c>
      <c r="DI1234" s="14">
        <f>INDEX(属性投放!$BL$6:$BL$85,(CV1234-2)*20+CZ1234)</f>
        <v>200</v>
      </c>
      <c r="DJ1234" s="14">
        <f>SUMIFS(DI$5:DI1234,$CT$5:$CT1234,"="&amp;$CT1234)</f>
        <v>2238</v>
      </c>
      <c r="DK1234" s="14" t="s">
        <v>25</v>
      </c>
      <c r="DL1234" s="14">
        <f>INDEX(属性投放!$BM$6:$BM$85,(CV1234-2)*20+CZ1234)</f>
        <v>4000</v>
      </c>
      <c r="DM1234" s="14">
        <f>SUMIFS(DL$5:DL1234,$CT$5:$CT1234,"="&amp;$CT1234)</f>
        <v>40740</v>
      </c>
    </row>
    <row r="1235" spans="97:117" ht="16.5" x14ac:dyDescent="0.2">
      <c r="CS1235" s="13">
        <v>1231</v>
      </c>
      <c r="CT1235" s="13">
        <f t="shared" si="1116"/>
        <v>24</v>
      </c>
      <c r="CU1235" s="13">
        <f t="shared" si="1114"/>
        <v>35</v>
      </c>
      <c r="CV1235" s="14">
        <f t="shared" si="1117"/>
        <v>3</v>
      </c>
      <c r="CW1235" s="14">
        <f t="shared" si="1118"/>
        <v>1102024</v>
      </c>
      <c r="CX1235" s="14" t="str">
        <f>INDEX($O$6:$O$50,CT1235)&amp;"-"&amp;INDEX(属性投放!$AB$7:$AB$50,CZ1235)&amp;"-魂火-"&amp;DB1235</f>
        <v>朱仙-焦热+2-魂火-2</v>
      </c>
      <c r="CY1235" s="25" t="s">
        <v>142</v>
      </c>
      <c r="CZ1235" s="14">
        <f>INDEX(属性投放!$AM$7:$AM$58,CU1235)</f>
        <v>15</v>
      </c>
      <c r="DA1235" s="14" t="s">
        <v>537</v>
      </c>
      <c r="DB1235" s="14">
        <f>INDEX(属性投放!$AN$7:$AN$58,CU1235)</f>
        <v>2</v>
      </c>
      <c r="DC1235" s="14">
        <f t="shared" si="1115"/>
        <v>35</v>
      </c>
      <c r="DD1235" s="14">
        <f>INDEX(属性投放!$AO$7:$AO$58,DC1235)</f>
        <v>105</v>
      </c>
      <c r="DE1235" s="14" t="s">
        <v>242</v>
      </c>
      <c r="DF1235" s="14">
        <f>INDEX(属性投放!$BK$6:$BK$85,(CV1235-2)*20+CZ1235)</f>
        <v>400</v>
      </c>
      <c r="DG1235" s="14">
        <f>SUMIFS(DF$5:DF1235,$CT$5:$CT1235,"="&amp;$CT1235)</f>
        <v>4870</v>
      </c>
      <c r="DH1235" s="14" t="s">
        <v>198</v>
      </c>
      <c r="DI1235" s="14">
        <f>INDEX(属性投放!$BL$6:$BL$85,(CV1235-2)*20+CZ1235)</f>
        <v>200</v>
      </c>
      <c r="DJ1235" s="14">
        <f>SUMIFS(DI$5:DI1235,$CT$5:$CT1235,"="&amp;$CT1235)</f>
        <v>2438</v>
      </c>
      <c r="DK1235" s="14" t="s">
        <v>25</v>
      </c>
      <c r="DL1235" s="14">
        <f>INDEX(属性投放!$BM$6:$BM$85,(CV1235-2)*20+CZ1235)</f>
        <v>4000</v>
      </c>
      <c r="DM1235" s="14">
        <f>SUMIFS(DL$5:DL1235,$CT$5:$CT1235,"="&amp;$CT1235)</f>
        <v>44740</v>
      </c>
    </row>
    <row r="1236" spans="97:117" ht="16.5" x14ac:dyDescent="0.2">
      <c r="CS1236" s="13">
        <v>1232</v>
      </c>
      <c r="CT1236" s="13">
        <f t="shared" si="1116"/>
        <v>24</v>
      </c>
      <c r="CU1236" s="13">
        <f t="shared" si="1114"/>
        <v>36</v>
      </c>
      <c r="CV1236" s="14">
        <f t="shared" si="1117"/>
        <v>3</v>
      </c>
      <c r="CW1236" s="14">
        <f t="shared" si="1118"/>
        <v>1102024</v>
      </c>
      <c r="CX1236" s="14" t="str">
        <f>INDEX($O$6:$O$50,CT1236)&amp;"-"&amp;INDEX(属性投放!$AB$7:$AB$50,CZ1236)&amp;"-魂火-"&amp;DB1236</f>
        <v>朱仙-焦热+2-魂火-3</v>
      </c>
      <c r="CY1236" s="25" t="s">
        <v>142</v>
      </c>
      <c r="CZ1236" s="14">
        <f>INDEX(属性投放!$AM$7:$AM$58,CU1236)</f>
        <v>15</v>
      </c>
      <c r="DA1236" s="14" t="s">
        <v>537</v>
      </c>
      <c r="DB1236" s="14">
        <f>INDEX(属性投放!$AN$7:$AN$58,CU1236)</f>
        <v>3</v>
      </c>
      <c r="DC1236" s="14">
        <f t="shared" si="1115"/>
        <v>36</v>
      </c>
      <c r="DD1236" s="14">
        <f>INDEX(属性投放!$AO$7:$AO$58,DC1236)</f>
        <v>108</v>
      </c>
      <c r="DE1236" s="14" t="s">
        <v>242</v>
      </c>
      <c r="DF1236" s="14">
        <f>INDEX(属性投放!$BK$6:$BK$85,(CV1236-2)*20+CZ1236)</f>
        <v>400</v>
      </c>
      <c r="DG1236" s="14">
        <f>SUMIFS(DF$5:DF1236,$CT$5:$CT1236,"="&amp;$CT1236)</f>
        <v>5270</v>
      </c>
      <c r="DH1236" s="14" t="s">
        <v>198</v>
      </c>
      <c r="DI1236" s="14">
        <f>INDEX(属性投放!$BL$6:$BL$85,(CV1236-2)*20+CZ1236)</f>
        <v>200</v>
      </c>
      <c r="DJ1236" s="14">
        <f>SUMIFS(DI$5:DI1236,$CT$5:$CT1236,"="&amp;$CT1236)</f>
        <v>2638</v>
      </c>
      <c r="DK1236" s="14" t="s">
        <v>25</v>
      </c>
      <c r="DL1236" s="14">
        <f>INDEX(属性投放!$BM$6:$BM$85,(CV1236-2)*20+CZ1236)</f>
        <v>4000</v>
      </c>
      <c r="DM1236" s="14">
        <f>SUMIFS(DL$5:DL1236,$CT$5:$CT1236,"="&amp;$CT1236)</f>
        <v>48740</v>
      </c>
    </row>
    <row r="1237" spans="97:117" ht="16.5" x14ac:dyDescent="0.2">
      <c r="CS1237" s="13">
        <v>1233</v>
      </c>
      <c r="CT1237" s="13">
        <f t="shared" si="1116"/>
        <v>24</v>
      </c>
      <c r="CU1237" s="13">
        <f t="shared" si="1114"/>
        <v>37</v>
      </c>
      <c r="CV1237" s="14">
        <f t="shared" si="1117"/>
        <v>3</v>
      </c>
      <c r="CW1237" s="14">
        <f t="shared" si="1118"/>
        <v>1102024</v>
      </c>
      <c r="CX1237" s="14" t="str">
        <f>INDEX($O$6:$O$50,CT1237)&amp;"-"&amp;INDEX(属性投放!$AB$7:$AB$50,CZ1237)&amp;"-魂火-"&amp;DB1237</f>
        <v>朱仙-大焦热-魂火-1</v>
      </c>
      <c r="CY1237" s="25" t="s">
        <v>142</v>
      </c>
      <c r="CZ1237" s="14">
        <f>INDEX(属性投放!$AM$7:$AM$58,CU1237)</f>
        <v>16</v>
      </c>
      <c r="DA1237" s="14" t="s">
        <v>537</v>
      </c>
      <c r="DB1237" s="14">
        <f>INDEX(属性投放!$AN$7:$AN$58,CU1237)</f>
        <v>1</v>
      </c>
      <c r="DC1237" s="14">
        <f t="shared" si="1115"/>
        <v>37</v>
      </c>
      <c r="DD1237" s="14">
        <f>INDEX(属性投放!$AO$7:$AO$58,DC1237)</f>
        <v>110</v>
      </c>
      <c r="DE1237" s="14" t="s">
        <v>242</v>
      </c>
      <c r="DF1237" s="14">
        <f>INDEX(属性投放!$BK$6:$BK$85,(CV1237-2)*20+CZ1237)</f>
        <v>500</v>
      </c>
      <c r="DG1237" s="14">
        <f>SUMIFS(DF$5:DF1237,$CT$5:$CT1237,"="&amp;$CT1237)</f>
        <v>5770</v>
      </c>
      <c r="DH1237" s="14" t="s">
        <v>198</v>
      </c>
      <c r="DI1237" s="14">
        <f>INDEX(属性投放!$BL$6:$BL$85,(CV1237-2)*20+CZ1237)</f>
        <v>250</v>
      </c>
      <c r="DJ1237" s="14">
        <f>SUMIFS(DI$5:DI1237,$CT$5:$CT1237,"="&amp;$CT1237)</f>
        <v>2888</v>
      </c>
      <c r="DK1237" s="14" t="s">
        <v>25</v>
      </c>
      <c r="DL1237" s="14">
        <f>INDEX(属性投放!$BM$6:$BM$85,(CV1237-2)*20+CZ1237)</f>
        <v>5000</v>
      </c>
      <c r="DM1237" s="14">
        <f>SUMIFS(DL$5:DL1237,$CT$5:$CT1237,"="&amp;$CT1237)</f>
        <v>53740</v>
      </c>
    </row>
    <row r="1238" spans="97:117" ht="16.5" x14ac:dyDescent="0.2">
      <c r="CS1238" s="13">
        <v>1234</v>
      </c>
      <c r="CT1238" s="13">
        <f t="shared" si="1116"/>
        <v>24</v>
      </c>
      <c r="CU1238" s="13">
        <f t="shared" si="1114"/>
        <v>38</v>
      </c>
      <c r="CV1238" s="14">
        <f t="shared" si="1117"/>
        <v>3</v>
      </c>
      <c r="CW1238" s="14">
        <f t="shared" si="1118"/>
        <v>1102024</v>
      </c>
      <c r="CX1238" s="14" t="str">
        <f>INDEX($O$6:$O$50,CT1238)&amp;"-"&amp;INDEX(属性投放!$AB$7:$AB$50,CZ1238)&amp;"-魂火-"&amp;DB1238</f>
        <v>朱仙-大焦热-魂火-2</v>
      </c>
      <c r="CY1238" s="25" t="s">
        <v>142</v>
      </c>
      <c r="CZ1238" s="14">
        <f>INDEX(属性投放!$AM$7:$AM$58,CU1238)</f>
        <v>16</v>
      </c>
      <c r="DA1238" s="14" t="s">
        <v>537</v>
      </c>
      <c r="DB1238" s="14">
        <f>INDEX(属性投放!$AN$7:$AN$58,CU1238)</f>
        <v>2</v>
      </c>
      <c r="DC1238" s="14">
        <f t="shared" si="1115"/>
        <v>38</v>
      </c>
      <c r="DD1238" s="14">
        <f>INDEX(属性投放!$AO$7:$AO$58,DC1238)</f>
        <v>113</v>
      </c>
      <c r="DE1238" s="14" t="s">
        <v>242</v>
      </c>
      <c r="DF1238" s="14">
        <f>INDEX(属性投放!$BK$6:$BK$85,(CV1238-2)*20+CZ1238)</f>
        <v>500</v>
      </c>
      <c r="DG1238" s="14">
        <f>SUMIFS(DF$5:DF1238,$CT$5:$CT1238,"="&amp;$CT1238)</f>
        <v>6270</v>
      </c>
      <c r="DH1238" s="14" t="s">
        <v>198</v>
      </c>
      <c r="DI1238" s="14">
        <f>INDEX(属性投放!$BL$6:$BL$85,(CV1238-2)*20+CZ1238)</f>
        <v>250</v>
      </c>
      <c r="DJ1238" s="14">
        <f>SUMIFS(DI$5:DI1238,$CT$5:$CT1238,"="&amp;$CT1238)</f>
        <v>3138</v>
      </c>
      <c r="DK1238" s="14" t="s">
        <v>25</v>
      </c>
      <c r="DL1238" s="14">
        <f>INDEX(属性投放!$BM$6:$BM$85,(CV1238-2)*20+CZ1238)</f>
        <v>5000</v>
      </c>
      <c r="DM1238" s="14">
        <f>SUMIFS(DL$5:DL1238,$CT$5:$CT1238,"="&amp;$CT1238)</f>
        <v>58740</v>
      </c>
    </row>
    <row r="1239" spans="97:117" ht="16.5" x14ac:dyDescent="0.2">
      <c r="CS1239" s="13">
        <v>1235</v>
      </c>
      <c r="CT1239" s="13">
        <f t="shared" si="1116"/>
        <v>24</v>
      </c>
      <c r="CU1239" s="13">
        <f t="shared" si="1114"/>
        <v>39</v>
      </c>
      <c r="CV1239" s="14">
        <f t="shared" si="1117"/>
        <v>3</v>
      </c>
      <c r="CW1239" s="14">
        <f t="shared" si="1118"/>
        <v>1102024</v>
      </c>
      <c r="CX1239" s="14" t="str">
        <f>INDEX($O$6:$O$50,CT1239)&amp;"-"&amp;INDEX(属性投放!$AB$7:$AB$50,CZ1239)&amp;"-魂火-"&amp;DB1239</f>
        <v>朱仙-大焦热-魂火-3</v>
      </c>
      <c r="CY1239" s="25" t="s">
        <v>142</v>
      </c>
      <c r="CZ1239" s="14">
        <f>INDEX(属性投放!$AM$7:$AM$58,CU1239)</f>
        <v>16</v>
      </c>
      <c r="DA1239" s="14" t="s">
        <v>537</v>
      </c>
      <c r="DB1239" s="14">
        <f>INDEX(属性投放!$AN$7:$AN$58,CU1239)</f>
        <v>3</v>
      </c>
      <c r="DC1239" s="14">
        <f t="shared" si="1115"/>
        <v>39</v>
      </c>
      <c r="DD1239" s="14">
        <f>INDEX(属性投放!$AO$7:$AO$58,DC1239)</f>
        <v>115</v>
      </c>
      <c r="DE1239" s="14" t="s">
        <v>242</v>
      </c>
      <c r="DF1239" s="14">
        <f>INDEX(属性投放!$BK$6:$BK$85,(CV1239-2)*20+CZ1239)</f>
        <v>500</v>
      </c>
      <c r="DG1239" s="14">
        <f>SUMIFS(DF$5:DF1239,$CT$5:$CT1239,"="&amp;$CT1239)</f>
        <v>6770</v>
      </c>
      <c r="DH1239" s="14" t="s">
        <v>198</v>
      </c>
      <c r="DI1239" s="14">
        <f>INDEX(属性投放!$BL$6:$BL$85,(CV1239-2)*20+CZ1239)</f>
        <v>250</v>
      </c>
      <c r="DJ1239" s="14">
        <f>SUMIFS(DI$5:DI1239,$CT$5:$CT1239,"="&amp;$CT1239)</f>
        <v>3388</v>
      </c>
      <c r="DK1239" s="14" t="s">
        <v>25</v>
      </c>
      <c r="DL1239" s="14">
        <f>INDEX(属性投放!$BM$6:$BM$85,(CV1239-2)*20+CZ1239)</f>
        <v>5000</v>
      </c>
      <c r="DM1239" s="14">
        <f>SUMIFS(DL$5:DL1239,$CT$5:$CT1239,"="&amp;$CT1239)</f>
        <v>63740</v>
      </c>
    </row>
    <row r="1240" spans="97:117" ht="16.5" x14ac:dyDescent="0.2">
      <c r="CS1240" s="13">
        <v>1236</v>
      </c>
      <c r="CT1240" s="13">
        <f t="shared" si="1116"/>
        <v>24</v>
      </c>
      <c r="CU1240" s="13">
        <f t="shared" si="1114"/>
        <v>40</v>
      </c>
      <c r="CV1240" s="14">
        <f t="shared" si="1117"/>
        <v>3</v>
      </c>
      <c r="CW1240" s="14">
        <f t="shared" si="1118"/>
        <v>1102024</v>
      </c>
      <c r="CX1240" s="14" t="str">
        <f>INDEX($O$6:$O$50,CT1240)&amp;"-"&amp;INDEX(属性投放!$AB$7:$AB$50,CZ1240)&amp;"-魂火-"&amp;DB1240</f>
        <v>朱仙-大焦热+1-魂火-1</v>
      </c>
      <c r="CY1240" s="25" t="s">
        <v>142</v>
      </c>
      <c r="CZ1240" s="14">
        <f>INDEX(属性投放!$AM$7:$AM$58,CU1240)</f>
        <v>17</v>
      </c>
      <c r="DA1240" s="14" t="s">
        <v>537</v>
      </c>
      <c r="DB1240" s="14">
        <f>INDEX(属性投放!$AN$7:$AN$58,CU1240)</f>
        <v>1</v>
      </c>
      <c r="DC1240" s="14">
        <f t="shared" si="1115"/>
        <v>40</v>
      </c>
      <c r="DD1240" s="14">
        <f>INDEX(属性投放!$AO$7:$AO$58,DC1240)</f>
        <v>118</v>
      </c>
      <c r="DE1240" s="14" t="s">
        <v>242</v>
      </c>
      <c r="DF1240" s="14">
        <f>INDEX(属性投放!$BK$6:$BK$85,(CV1240-2)*20+CZ1240)</f>
        <v>600</v>
      </c>
      <c r="DG1240" s="14">
        <f>SUMIFS(DF$5:DF1240,$CT$5:$CT1240,"="&amp;$CT1240)</f>
        <v>7370</v>
      </c>
      <c r="DH1240" s="14" t="s">
        <v>198</v>
      </c>
      <c r="DI1240" s="14">
        <f>INDEX(属性投放!$BL$6:$BL$85,(CV1240-2)*20+CZ1240)</f>
        <v>300</v>
      </c>
      <c r="DJ1240" s="14">
        <f>SUMIFS(DI$5:DI1240,$CT$5:$CT1240,"="&amp;$CT1240)</f>
        <v>3688</v>
      </c>
      <c r="DK1240" s="14" t="s">
        <v>25</v>
      </c>
      <c r="DL1240" s="14">
        <f>INDEX(属性投放!$BM$6:$BM$85,(CV1240-2)*20+CZ1240)</f>
        <v>6000</v>
      </c>
      <c r="DM1240" s="14">
        <f>SUMIFS(DL$5:DL1240,$CT$5:$CT1240,"="&amp;$CT1240)</f>
        <v>69740</v>
      </c>
    </row>
    <row r="1241" spans="97:117" ht="16.5" x14ac:dyDescent="0.2">
      <c r="CS1241" s="13">
        <v>1237</v>
      </c>
      <c r="CT1241" s="13">
        <f t="shared" si="1116"/>
        <v>24</v>
      </c>
      <c r="CU1241" s="13">
        <f t="shared" si="1114"/>
        <v>41</v>
      </c>
      <c r="CV1241" s="14">
        <f t="shared" si="1117"/>
        <v>3</v>
      </c>
      <c r="CW1241" s="14">
        <f t="shared" si="1118"/>
        <v>1102024</v>
      </c>
      <c r="CX1241" s="14" t="str">
        <f>INDEX($O$6:$O$50,CT1241)&amp;"-"&amp;INDEX(属性投放!$AB$7:$AB$50,CZ1241)&amp;"-魂火-"&amp;DB1241</f>
        <v>朱仙-大焦热+1-魂火-2</v>
      </c>
      <c r="CY1241" s="25" t="s">
        <v>142</v>
      </c>
      <c r="CZ1241" s="14">
        <f>INDEX(属性投放!$AM$7:$AM$58,CU1241)</f>
        <v>17</v>
      </c>
      <c r="DA1241" s="14" t="s">
        <v>537</v>
      </c>
      <c r="DB1241" s="14">
        <f>INDEX(属性投放!$AN$7:$AN$58,CU1241)</f>
        <v>2</v>
      </c>
      <c r="DC1241" s="14">
        <f t="shared" si="1115"/>
        <v>41</v>
      </c>
      <c r="DD1241" s="14">
        <f>INDEX(属性投放!$AO$7:$AO$58,DC1241)</f>
        <v>120</v>
      </c>
      <c r="DE1241" s="14" t="s">
        <v>242</v>
      </c>
      <c r="DF1241" s="14">
        <f>INDEX(属性投放!$BK$6:$BK$85,(CV1241-2)*20+CZ1241)</f>
        <v>600</v>
      </c>
      <c r="DG1241" s="14">
        <f>SUMIFS(DF$5:DF1241,$CT$5:$CT1241,"="&amp;$CT1241)</f>
        <v>7970</v>
      </c>
      <c r="DH1241" s="14" t="s">
        <v>198</v>
      </c>
      <c r="DI1241" s="14">
        <f>INDEX(属性投放!$BL$6:$BL$85,(CV1241-2)*20+CZ1241)</f>
        <v>300</v>
      </c>
      <c r="DJ1241" s="14">
        <f>SUMIFS(DI$5:DI1241,$CT$5:$CT1241,"="&amp;$CT1241)</f>
        <v>3988</v>
      </c>
      <c r="DK1241" s="14" t="s">
        <v>25</v>
      </c>
      <c r="DL1241" s="14">
        <f>INDEX(属性投放!$BM$6:$BM$85,(CV1241-2)*20+CZ1241)</f>
        <v>6000</v>
      </c>
      <c r="DM1241" s="14">
        <f>SUMIFS(DL$5:DL1241,$CT$5:$CT1241,"="&amp;$CT1241)</f>
        <v>75740</v>
      </c>
    </row>
    <row r="1242" spans="97:117" ht="16.5" x14ac:dyDescent="0.2">
      <c r="CS1242" s="13">
        <v>1238</v>
      </c>
      <c r="CT1242" s="13">
        <f t="shared" si="1116"/>
        <v>24</v>
      </c>
      <c r="CU1242" s="13">
        <f t="shared" si="1114"/>
        <v>42</v>
      </c>
      <c r="CV1242" s="14">
        <f t="shared" si="1117"/>
        <v>3</v>
      </c>
      <c r="CW1242" s="14">
        <f t="shared" si="1118"/>
        <v>1102024</v>
      </c>
      <c r="CX1242" s="14" t="str">
        <f>INDEX($O$6:$O$50,CT1242)&amp;"-"&amp;INDEX(属性投放!$AB$7:$AB$50,CZ1242)&amp;"-魂火-"&amp;DB1242</f>
        <v>朱仙-大焦热+1-魂火-3</v>
      </c>
      <c r="CY1242" s="25" t="s">
        <v>142</v>
      </c>
      <c r="CZ1242" s="14">
        <f>INDEX(属性投放!$AM$7:$AM$58,CU1242)</f>
        <v>17</v>
      </c>
      <c r="DA1242" s="14" t="s">
        <v>537</v>
      </c>
      <c r="DB1242" s="14">
        <f>INDEX(属性投放!$AN$7:$AN$58,CU1242)</f>
        <v>3</v>
      </c>
      <c r="DC1242" s="14">
        <f t="shared" si="1115"/>
        <v>42</v>
      </c>
      <c r="DD1242" s="14">
        <f>INDEX(属性投放!$AO$7:$AO$58,DC1242)</f>
        <v>123</v>
      </c>
      <c r="DE1242" s="14" t="s">
        <v>242</v>
      </c>
      <c r="DF1242" s="14">
        <f>INDEX(属性投放!$BK$6:$BK$85,(CV1242-2)*20+CZ1242)</f>
        <v>600</v>
      </c>
      <c r="DG1242" s="14">
        <f>SUMIFS(DF$5:DF1242,$CT$5:$CT1242,"="&amp;$CT1242)</f>
        <v>8570</v>
      </c>
      <c r="DH1242" s="14" t="s">
        <v>198</v>
      </c>
      <c r="DI1242" s="14">
        <f>INDEX(属性投放!$BL$6:$BL$85,(CV1242-2)*20+CZ1242)</f>
        <v>300</v>
      </c>
      <c r="DJ1242" s="14">
        <f>SUMIFS(DI$5:DI1242,$CT$5:$CT1242,"="&amp;$CT1242)</f>
        <v>4288</v>
      </c>
      <c r="DK1242" s="14" t="s">
        <v>25</v>
      </c>
      <c r="DL1242" s="14">
        <f>INDEX(属性投放!$BM$6:$BM$85,(CV1242-2)*20+CZ1242)</f>
        <v>6000</v>
      </c>
      <c r="DM1242" s="14">
        <f>SUMIFS(DL$5:DL1242,$CT$5:$CT1242,"="&amp;$CT1242)</f>
        <v>81740</v>
      </c>
    </row>
    <row r="1243" spans="97:117" ht="16.5" x14ac:dyDescent="0.2">
      <c r="CS1243" s="13">
        <v>1239</v>
      </c>
      <c r="CT1243" s="13">
        <f t="shared" si="1116"/>
        <v>24</v>
      </c>
      <c r="CU1243" s="13">
        <f t="shared" si="1114"/>
        <v>43</v>
      </c>
      <c r="CV1243" s="14">
        <f t="shared" si="1117"/>
        <v>3</v>
      </c>
      <c r="CW1243" s="14">
        <f t="shared" si="1118"/>
        <v>1102024</v>
      </c>
      <c r="CX1243" s="14" t="str">
        <f>INDEX($O$6:$O$50,CT1243)&amp;"-"&amp;INDEX(属性投放!$AB$7:$AB$50,CZ1243)&amp;"-魂火-"&amp;DB1243</f>
        <v>朱仙-大焦热+2-魂火-1</v>
      </c>
      <c r="CY1243" s="25" t="s">
        <v>142</v>
      </c>
      <c r="CZ1243" s="14">
        <f>INDEX(属性投放!$AM$7:$AM$58,CU1243)</f>
        <v>18</v>
      </c>
      <c r="DA1243" s="14" t="s">
        <v>537</v>
      </c>
      <c r="DB1243" s="14">
        <f>INDEX(属性投放!$AN$7:$AN$58,CU1243)</f>
        <v>1</v>
      </c>
      <c r="DC1243" s="14">
        <f t="shared" si="1115"/>
        <v>43</v>
      </c>
      <c r="DD1243" s="14">
        <f>INDEX(属性投放!$AO$7:$AO$58,DC1243)</f>
        <v>125</v>
      </c>
      <c r="DE1243" s="14" t="s">
        <v>242</v>
      </c>
      <c r="DF1243" s="14">
        <f>INDEX(属性投放!$BK$6:$BK$85,(CV1243-2)*20+CZ1243)</f>
        <v>700</v>
      </c>
      <c r="DG1243" s="14">
        <f>SUMIFS(DF$5:DF1243,$CT$5:$CT1243,"="&amp;$CT1243)</f>
        <v>9270</v>
      </c>
      <c r="DH1243" s="14" t="s">
        <v>198</v>
      </c>
      <c r="DI1243" s="14">
        <f>INDEX(属性投放!$BL$6:$BL$85,(CV1243-2)*20+CZ1243)</f>
        <v>350</v>
      </c>
      <c r="DJ1243" s="14">
        <f>SUMIFS(DI$5:DI1243,$CT$5:$CT1243,"="&amp;$CT1243)</f>
        <v>4638</v>
      </c>
      <c r="DK1243" s="14" t="s">
        <v>25</v>
      </c>
      <c r="DL1243" s="14">
        <f>INDEX(属性投放!$BM$6:$BM$85,(CV1243-2)*20+CZ1243)</f>
        <v>7000</v>
      </c>
      <c r="DM1243" s="14">
        <f>SUMIFS(DL$5:DL1243,$CT$5:$CT1243,"="&amp;$CT1243)</f>
        <v>88740</v>
      </c>
    </row>
    <row r="1244" spans="97:117" ht="16.5" x14ac:dyDescent="0.2">
      <c r="CS1244" s="13">
        <v>1240</v>
      </c>
      <c r="CT1244" s="13">
        <f t="shared" si="1116"/>
        <v>24</v>
      </c>
      <c r="CU1244" s="13">
        <f t="shared" si="1114"/>
        <v>44</v>
      </c>
      <c r="CV1244" s="14">
        <f t="shared" si="1117"/>
        <v>3</v>
      </c>
      <c r="CW1244" s="14">
        <f t="shared" si="1118"/>
        <v>1102024</v>
      </c>
      <c r="CX1244" s="14" t="str">
        <f>INDEX($O$6:$O$50,CT1244)&amp;"-"&amp;INDEX(属性投放!$AB$7:$AB$50,CZ1244)&amp;"-魂火-"&amp;DB1244</f>
        <v>朱仙-大焦热+2-魂火-2</v>
      </c>
      <c r="CY1244" s="25" t="s">
        <v>142</v>
      </c>
      <c r="CZ1244" s="14">
        <f>INDEX(属性投放!$AM$7:$AM$58,CU1244)</f>
        <v>18</v>
      </c>
      <c r="DA1244" s="14" t="s">
        <v>537</v>
      </c>
      <c r="DB1244" s="14">
        <f>INDEX(属性投放!$AN$7:$AN$58,CU1244)</f>
        <v>2</v>
      </c>
      <c r="DC1244" s="14">
        <f t="shared" si="1115"/>
        <v>44</v>
      </c>
      <c r="DD1244" s="14">
        <f>INDEX(属性投放!$AO$7:$AO$58,DC1244)</f>
        <v>128</v>
      </c>
      <c r="DE1244" s="14" t="s">
        <v>242</v>
      </c>
      <c r="DF1244" s="14">
        <f>INDEX(属性投放!$BK$6:$BK$85,(CV1244-2)*20+CZ1244)</f>
        <v>700</v>
      </c>
      <c r="DG1244" s="14">
        <f>SUMIFS(DF$5:DF1244,$CT$5:$CT1244,"="&amp;$CT1244)</f>
        <v>9970</v>
      </c>
      <c r="DH1244" s="14" t="s">
        <v>198</v>
      </c>
      <c r="DI1244" s="14">
        <f>INDEX(属性投放!$BL$6:$BL$85,(CV1244-2)*20+CZ1244)</f>
        <v>350</v>
      </c>
      <c r="DJ1244" s="14">
        <f>SUMIFS(DI$5:DI1244,$CT$5:$CT1244,"="&amp;$CT1244)</f>
        <v>4988</v>
      </c>
      <c r="DK1244" s="14" t="s">
        <v>25</v>
      </c>
      <c r="DL1244" s="14">
        <f>INDEX(属性投放!$BM$6:$BM$85,(CV1244-2)*20+CZ1244)</f>
        <v>7000</v>
      </c>
      <c r="DM1244" s="14">
        <f>SUMIFS(DL$5:DL1244,$CT$5:$CT1244,"="&amp;$CT1244)</f>
        <v>95740</v>
      </c>
    </row>
    <row r="1245" spans="97:117" ht="16.5" x14ac:dyDescent="0.2">
      <c r="CS1245" s="13">
        <v>1241</v>
      </c>
      <c r="CT1245" s="13">
        <f t="shared" si="1116"/>
        <v>24</v>
      </c>
      <c r="CU1245" s="13">
        <f t="shared" si="1114"/>
        <v>45</v>
      </c>
      <c r="CV1245" s="14">
        <f t="shared" si="1117"/>
        <v>3</v>
      </c>
      <c r="CW1245" s="14">
        <f t="shared" si="1118"/>
        <v>1102024</v>
      </c>
      <c r="CX1245" s="14" t="str">
        <f>INDEX($O$6:$O$50,CT1245)&amp;"-"&amp;INDEX(属性投放!$AB$7:$AB$50,CZ1245)&amp;"-魂火-"&amp;DB1245</f>
        <v>朱仙-大焦热+2-魂火-3</v>
      </c>
      <c r="CY1245" s="25" t="s">
        <v>142</v>
      </c>
      <c r="CZ1245" s="14">
        <f>INDEX(属性投放!$AM$7:$AM$58,CU1245)</f>
        <v>18</v>
      </c>
      <c r="DA1245" s="14" t="s">
        <v>537</v>
      </c>
      <c r="DB1245" s="14">
        <f>INDEX(属性投放!$AN$7:$AN$58,CU1245)</f>
        <v>3</v>
      </c>
      <c r="DC1245" s="14">
        <f t="shared" si="1115"/>
        <v>45</v>
      </c>
      <c r="DD1245" s="14">
        <f>INDEX(属性投放!$AO$7:$AO$58,DC1245)</f>
        <v>130</v>
      </c>
      <c r="DE1245" s="14" t="s">
        <v>242</v>
      </c>
      <c r="DF1245" s="14">
        <f>INDEX(属性投放!$BK$6:$BK$85,(CV1245-2)*20+CZ1245)</f>
        <v>700</v>
      </c>
      <c r="DG1245" s="14">
        <f>SUMIFS(DF$5:DF1245,$CT$5:$CT1245,"="&amp;$CT1245)</f>
        <v>10670</v>
      </c>
      <c r="DH1245" s="14" t="s">
        <v>198</v>
      </c>
      <c r="DI1245" s="14">
        <f>INDEX(属性投放!$BL$6:$BL$85,(CV1245-2)*20+CZ1245)</f>
        <v>350</v>
      </c>
      <c r="DJ1245" s="14">
        <f>SUMIFS(DI$5:DI1245,$CT$5:$CT1245,"="&amp;$CT1245)</f>
        <v>5338</v>
      </c>
      <c r="DK1245" s="14" t="s">
        <v>25</v>
      </c>
      <c r="DL1245" s="14">
        <f>INDEX(属性投放!$BM$6:$BM$85,(CV1245-2)*20+CZ1245)</f>
        <v>7000</v>
      </c>
      <c r="DM1245" s="14">
        <f>SUMIFS(DL$5:DL1245,$CT$5:$CT1245,"="&amp;$CT1245)</f>
        <v>102740</v>
      </c>
    </row>
    <row r="1246" spans="97:117" ht="16.5" x14ac:dyDescent="0.2">
      <c r="CS1246" s="13">
        <v>1242</v>
      </c>
      <c r="CT1246" s="13">
        <f t="shared" si="1116"/>
        <v>24</v>
      </c>
      <c r="CU1246" s="13">
        <f t="shared" si="1114"/>
        <v>46</v>
      </c>
      <c r="CV1246" s="14">
        <f t="shared" si="1117"/>
        <v>3</v>
      </c>
      <c r="CW1246" s="14">
        <f t="shared" si="1118"/>
        <v>1102024</v>
      </c>
      <c r="CX1246" s="14" t="str">
        <f>INDEX($O$6:$O$50,CT1246)&amp;"-"&amp;INDEX(属性投放!$AB$7:$AB$50,CZ1246)&amp;"-魂火-"&amp;DB1246</f>
        <v>朱仙-无间-魂火-1</v>
      </c>
      <c r="CY1246" s="25" t="s">
        <v>142</v>
      </c>
      <c r="CZ1246" s="14">
        <f>INDEX(属性投放!$AM$7:$AM$58,CU1246)</f>
        <v>19</v>
      </c>
      <c r="DA1246" s="14" t="s">
        <v>537</v>
      </c>
      <c r="DB1246" s="14">
        <f>INDEX(属性投放!$AN$7:$AN$58,CU1246)</f>
        <v>1</v>
      </c>
      <c r="DC1246" s="14">
        <f t="shared" si="1115"/>
        <v>46</v>
      </c>
      <c r="DD1246" s="14">
        <f>INDEX(属性投放!$AO$7:$AO$58,DC1246)</f>
        <v>133</v>
      </c>
      <c r="DE1246" s="14" t="s">
        <v>242</v>
      </c>
      <c r="DF1246" s="14">
        <f>INDEX(属性投放!$BK$6:$BK$85,(CV1246-2)*20+CZ1246)</f>
        <v>900</v>
      </c>
      <c r="DG1246" s="14">
        <f>SUMIFS(DF$5:DF1246,$CT$5:$CT1246,"="&amp;$CT1246)</f>
        <v>11570</v>
      </c>
      <c r="DH1246" s="14" t="s">
        <v>198</v>
      </c>
      <c r="DI1246" s="14">
        <f>INDEX(属性投放!$BL$6:$BL$85,(CV1246-2)*20+CZ1246)</f>
        <v>450</v>
      </c>
      <c r="DJ1246" s="14">
        <f>SUMIFS(DI$5:DI1246,$CT$5:$CT1246,"="&amp;$CT1246)</f>
        <v>5788</v>
      </c>
      <c r="DK1246" s="14" t="s">
        <v>25</v>
      </c>
      <c r="DL1246" s="14">
        <f>INDEX(属性投放!$BM$6:$BM$85,(CV1246-2)*20+CZ1246)</f>
        <v>9000</v>
      </c>
      <c r="DM1246" s="14">
        <f>SUMIFS(DL$5:DL1246,$CT$5:$CT1246,"="&amp;$CT1246)</f>
        <v>111740</v>
      </c>
    </row>
    <row r="1247" spans="97:117" ht="16.5" x14ac:dyDescent="0.2">
      <c r="CS1247" s="13">
        <v>1243</v>
      </c>
      <c r="CT1247" s="13">
        <f t="shared" si="1116"/>
        <v>24</v>
      </c>
      <c r="CU1247" s="13">
        <f t="shared" si="1114"/>
        <v>47</v>
      </c>
      <c r="CV1247" s="14">
        <f t="shared" si="1117"/>
        <v>3</v>
      </c>
      <c r="CW1247" s="14">
        <f t="shared" si="1118"/>
        <v>1102024</v>
      </c>
      <c r="CX1247" s="14" t="str">
        <f>INDEX($O$6:$O$50,CT1247)&amp;"-"&amp;INDEX(属性投放!$AB$7:$AB$50,CZ1247)&amp;"-魂火-"&amp;DB1247</f>
        <v>朱仙-无间-魂火-2</v>
      </c>
      <c r="CY1247" s="25" t="s">
        <v>142</v>
      </c>
      <c r="CZ1247" s="14">
        <f>INDEX(属性投放!$AM$7:$AM$58,CU1247)</f>
        <v>19</v>
      </c>
      <c r="DA1247" s="14" t="s">
        <v>537</v>
      </c>
      <c r="DB1247" s="14">
        <f>INDEX(属性投放!$AN$7:$AN$58,CU1247)</f>
        <v>2</v>
      </c>
      <c r="DC1247" s="14">
        <f t="shared" si="1115"/>
        <v>47</v>
      </c>
      <c r="DD1247" s="14">
        <f>INDEX(属性投放!$AO$7:$AO$58,DC1247)</f>
        <v>135</v>
      </c>
      <c r="DE1247" s="14" t="s">
        <v>242</v>
      </c>
      <c r="DF1247" s="14">
        <f>INDEX(属性投放!$BK$6:$BK$85,(CV1247-2)*20+CZ1247)</f>
        <v>900</v>
      </c>
      <c r="DG1247" s="14">
        <f>SUMIFS(DF$5:DF1247,$CT$5:$CT1247,"="&amp;$CT1247)</f>
        <v>12470</v>
      </c>
      <c r="DH1247" s="14" t="s">
        <v>198</v>
      </c>
      <c r="DI1247" s="14">
        <f>INDEX(属性投放!$BL$6:$BL$85,(CV1247-2)*20+CZ1247)</f>
        <v>450</v>
      </c>
      <c r="DJ1247" s="14">
        <f>SUMIFS(DI$5:DI1247,$CT$5:$CT1247,"="&amp;$CT1247)</f>
        <v>6238</v>
      </c>
      <c r="DK1247" s="14" t="s">
        <v>25</v>
      </c>
      <c r="DL1247" s="14">
        <f>INDEX(属性投放!$BM$6:$BM$85,(CV1247-2)*20+CZ1247)</f>
        <v>9000</v>
      </c>
      <c r="DM1247" s="14">
        <f>SUMIFS(DL$5:DL1247,$CT$5:$CT1247,"="&amp;$CT1247)</f>
        <v>120740</v>
      </c>
    </row>
    <row r="1248" spans="97:117" ht="16.5" x14ac:dyDescent="0.2">
      <c r="CS1248" s="13">
        <v>1244</v>
      </c>
      <c r="CT1248" s="13">
        <f t="shared" si="1116"/>
        <v>24</v>
      </c>
      <c r="CU1248" s="13">
        <f t="shared" si="1114"/>
        <v>48</v>
      </c>
      <c r="CV1248" s="14">
        <f t="shared" si="1117"/>
        <v>3</v>
      </c>
      <c r="CW1248" s="14">
        <f t="shared" si="1118"/>
        <v>1102024</v>
      </c>
      <c r="CX1248" s="14" t="str">
        <f>INDEX($O$6:$O$50,CT1248)&amp;"-"&amp;INDEX(属性投放!$AB$7:$AB$50,CZ1248)&amp;"-魂火-"&amp;DB1248</f>
        <v>朱仙-无间-魂火-3</v>
      </c>
      <c r="CY1248" s="25" t="s">
        <v>142</v>
      </c>
      <c r="CZ1248" s="14">
        <f>INDEX(属性投放!$AM$7:$AM$58,CU1248)</f>
        <v>19</v>
      </c>
      <c r="DA1248" s="14" t="s">
        <v>537</v>
      </c>
      <c r="DB1248" s="14">
        <f>INDEX(属性投放!$AN$7:$AN$58,CU1248)</f>
        <v>3</v>
      </c>
      <c r="DC1248" s="14">
        <f t="shared" si="1115"/>
        <v>48</v>
      </c>
      <c r="DD1248" s="14">
        <f>INDEX(属性投放!$AO$7:$AO$58,DC1248)</f>
        <v>138</v>
      </c>
      <c r="DE1248" s="14" t="s">
        <v>242</v>
      </c>
      <c r="DF1248" s="14">
        <f>INDEX(属性投放!$BK$6:$BK$85,(CV1248-2)*20+CZ1248)</f>
        <v>900</v>
      </c>
      <c r="DG1248" s="14">
        <f>SUMIFS(DF$5:DF1248,$CT$5:$CT1248,"="&amp;$CT1248)</f>
        <v>13370</v>
      </c>
      <c r="DH1248" s="14" t="s">
        <v>198</v>
      </c>
      <c r="DI1248" s="14">
        <f>INDEX(属性投放!$BL$6:$BL$85,(CV1248-2)*20+CZ1248)</f>
        <v>450</v>
      </c>
      <c r="DJ1248" s="14">
        <f>SUMIFS(DI$5:DI1248,$CT$5:$CT1248,"="&amp;$CT1248)</f>
        <v>6688</v>
      </c>
      <c r="DK1248" s="14" t="s">
        <v>25</v>
      </c>
      <c r="DL1248" s="14">
        <f>INDEX(属性投放!$BM$6:$BM$85,(CV1248-2)*20+CZ1248)</f>
        <v>9000</v>
      </c>
      <c r="DM1248" s="14">
        <f>SUMIFS(DL$5:DL1248,$CT$5:$CT1248,"="&amp;$CT1248)</f>
        <v>129740</v>
      </c>
    </row>
    <row r="1249" spans="97:117" ht="16.5" x14ac:dyDescent="0.2">
      <c r="CS1249" s="13">
        <v>1245</v>
      </c>
      <c r="CT1249" s="13">
        <f t="shared" si="1116"/>
        <v>24</v>
      </c>
      <c r="CU1249" s="13">
        <f t="shared" si="1114"/>
        <v>49</v>
      </c>
      <c r="CV1249" s="14">
        <f t="shared" si="1117"/>
        <v>3</v>
      </c>
      <c r="CW1249" s="14">
        <f t="shared" si="1118"/>
        <v>1102024</v>
      </c>
      <c r="CX1249" s="14" t="str">
        <f>INDEX($O$6:$O$50,CT1249)&amp;"-"&amp;INDEX(属性投放!$AB$7:$AB$50,CZ1249)&amp;"-魂火-"&amp;DB1249</f>
        <v>朱仙-无间+1-魂火-1</v>
      </c>
      <c r="CY1249" s="25" t="s">
        <v>142</v>
      </c>
      <c r="CZ1249" s="14">
        <f>INDEX(属性投放!$AM$7:$AM$58,CU1249)</f>
        <v>20</v>
      </c>
      <c r="DA1249" s="14" t="s">
        <v>537</v>
      </c>
      <c r="DB1249" s="14">
        <f>INDEX(属性投放!$AN$7:$AN$58,CU1249)</f>
        <v>1</v>
      </c>
      <c r="DC1249" s="14">
        <f t="shared" si="1115"/>
        <v>49</v>
      </c>
      <c r="DD1249" s="14">
        <f>INDEX(属性投放!$AO$7:$AO$58,DC1249)</f>
        <v>140</v>
      </c>
      <c r="DE1249" s="14" t="s">
        <v>242</v>
      </c>
      <c r="DF1249" s="14">
        <f>INDEX(属性投放!$BK$6:$BK$85,(CV1249-2)*20+CZ1249)</f>
        <v>1000</v>
      </c>
      <c r="DG1249" s="14">
        <f>SUMIFS(DF$5:DF1249,$CT$5:$CT1249,"="&amp;$CT1249)</f>
        <v>14370</v>
      </c>
      <c r="DH1249" s="14" t="s">
        <v>198</v>
      </c>
      <c r="DI1249" s="14">
        <f>INDEX(属性投放!$BL$6:$BL$85,(CV1249-2)*20+CZ1249)</f>
        <v>500</v>
      </c>
      <c r="DJ1249" s="14">
        <f>SUMIFS(DI$5:DI1249,$CT$5:$CT1249,"="&amp;$CT1249)</f>
        <v>7188</v>
      </c>
      <c r="DK1249" s="14" t="s">
        <v>25</v>
      </c>
      <c r="DL1249" s="14">
        <f>INDEX(属性投放!$BM$6:$BM$85,(CV1249-2)*20+CZ1249)</f>
        <v>10000</v>
      </c>
      <c r="DM1249" s="14">
        <f>SUMIFS(DL$5:DL1249,$CT$5:$CT1249,"="&amp;$CT1249)</f>
        <v>139740</v>
      </c>
    </row>
    <row r="1250" spans="97:117" ht="16.5" x14ac:dyDescent="0.2">
      <c r="CS1250" s="13">
        <v>1246</v>
      </c>
      <c r="CT1250" s="13">
        <f t="shared" si="1116"/>
        <v>24</v>
      </c>
      <c r="CU1250" s="13">
        <f t="shared" si="1114"/>
        <v>50</v>
      </c>
      <c r="CV1250" s="14">
        <f t="shared" si="1117"/>
        <v>3</v>
      </c>
      <c r="CW1250" s="14">
        <f t="shared" si="1118"/>
        <v>1102024</v>
      </c>
      <c r="CX1250" s="14" t="str">
        <f>INDEX($O$6:$O$50,CT1250)&amp;"-"&amp;INDEX(属性投放!$AB$7:$AB$50,CZ1250)&amp;"-魂火-"&amp;DB1250</f>
        <v>朱仙-无间+1-魂火-2</v>
      </c>
      <c r="CY1250" s="25" t="s">
        <v>142</v>
      </c>
      <c r="CZ1250" s="14">
        <f>INDEX(属性投放!$AM$7:$AM$58,CU1250)</f>
        <v>20</v>
      </c>
      <c r="DA1250" s="14" t="s">
        <v>537</v>
      </c>
      <c r="DB1250" s="14">
        <f>INDEX(属性投放!$AN$7:$AN$58,CU1250)</f>
        <v>2</v>
      </c>
      <c r="DC1250" s="14">
        <f t="shared" si="1115"/>
        <v>50</v>
      </c>
      <c r="DD1250" s="14">
        <f>INDEX(属性投放!$AO$7:$AO$58,DC1250)</f>
        <v>143</v>
      </c>
      <c r="DE1250" s="14" t="s">
        <v>242</v>
      </c>
      <c r="DF1250" s="14">
        <f>INDEX(属性投放!$BK$6:$BK$85,(CV1250-2)*20+CZ1250)</f>
        <v>1000</v>
      </c>
      <c r="DG1250" s="14">
        <f>SUMIFS(DF$5:DF1250,$CT$5:$CT1250,"="&amp;$CT1250)</f>
        <v>15370</v>
      </c>
      <c r="DH1250" s="14" t="s">
        <v>198</v>
      </c>
      <c r="DI1250" s="14">
        <f>INDEX(属性投放!$BL$6:$BL$85,(CV1250-2)*20+CZ1250)</f>
        <v>500</v>
      </c>
      <c r="DJ1250" s="14">
        <f>SUMIFS(DI$5:DI1250,$CT$5:$CT1250,"="&amp;$CT1250)</f>
        <v>7688</v>
      </c>
      <c r="DK1250" s="14" t="s">
        <v>25</v>
      </c>
      <c r="DL1250" s="14">
        <f>INDEX(属性投放!$BM$6:$BM$85,(CV1250-2)*20+CZ1250)</f>
        <v>10000</v>
      </c>
      <c r="DM1250" s="14">
        <f>SUMIFS(DL$5:DL1250,$CT$5:$CT1250,"="&amp;$CT1250)</f>
        <v>149740</v>
      </c>
    </row>
    <row r="1251" spans="97:117" ht="16.5" x14ac:dyDescent="0.2">
      <c r="CS1251" s="13">
        <v>1247</v>
      </c>
      <c r="CT1251" s="13">
        <f t="shared" si="1116"/>
        <v>24</v>
      </c>
      <c r="CU1251" s="13">
        <f t="shared" si="1114"/>
        <v>51</v>
      </c>
      <c r="CV1251" s="14">
        <f t="shared" si="1117"/>
        <v>3</v>
      </c>
      <c r="CW1251" s="14">
        <f t="shared" si="1118"/>
        <v>1102024</v>
      </c>
      <c r="CX1251" s="14" t="str">
        <f>INDEX($O$6:$O$50,CT1251)&amp;"-"&amp;INDEX(属性投放!$AB$7:$AB$50,CZ1251)&amp;"-魂火-"&amp;DB1251</f>
        <v>朱仙-无间+1-魂火-3</v>
      </c>
      <c r="CY1251" s="25" t="s">
        <v>142</v>
      </c>
      <c r="CZ1251" s="14">
        <f>INDEX(属性投放!$AM$7:$AM$58,CU1251)</f>
        <v>20</v>
      </c>
      <c r="DA1251" s="14" t="s">
        <v>537</v>
      </c>
      <c r="DB1251" s="14">
        <f>INDEX(属性投放!$AN$7:$AN$58,CU1251)</f>
        <v>3</v>
      </c>
      <c r="DC1251" s="14">
        <f t="shared" si="1115"/>
        <v>51</v>
      </c>
      <c r="DD1251" s="14">
        <f>INDEX(属性投放!$AO$7:$AO$58,DC1251)</f>
        <v>145</v>
      </c>
      <c r="DE1251" s="14" t="s">
        <v>242</v>
      </c>
      <c r="DF1251" s="14">
        <f>INDEX(属性投放!$BK$6:$BK$85,(CV1251-2)*20+CZ1251)</f>
        <v>1000</v>
      </c>
      <c r="DG1251" s="14">
        <f>SUMIFS(DF$5:DF1251,$CT$5:$CT1251,"="&amp;$CT1251)</f>
        <v>16370</v>
      </c>
      <c r="DH1251" s="14" t="s">
        <v>198</v>
      </c>
      <c r="DI1251" s="14">
        <f>INDEX(属性投放!$BL$6:$BL$85,(CV1251-2)*20+CZ1251)</f>
        <v>500</v>
      </c>
      <c r="DJ1251" s="14">
        <f>SUMIFS(DI$5:DI1251,$CT$5:$CT1251,"="&amp;$CT1251)</f>
        <v>8188</v>
      </c>
      <c r="DK1251" s="14" t="s">
        <v>25</v>
      </c>
      <c r="DL1251" s="14">
        <f>INDEX(属性投放!$BM$6:$BM$85,(CV1251-2)*20+CZ1251)</f>
        <v>10000</v>
      </c>
      <c r="DM1251" s="14">
        <f>SUMIFS(DL$5:DL1251,$CT$5:$CT1251,"="&amp;$CT1251)</f>
        <v>159740</v>
      </c>
    </row>
    <row r="1252" spans="97:117" ht="16.5" x14ac:dyDescent="0.2">
      <c r="CS1252" s="13">
        <v>1248</v>
      </c>
      <c r="CT1252" s="13">
        <f t="shared" si="1116"/>
        <v>24</v>
      </c>
      <c r="CU1252" s="13">
        <f t="shared" si="1114"/>
        <v>52</v>
      </c>
      <c r="CV1252" s="14">
        <f t="shared" si="1117"/>
        <v>3</v>
      </c>
      <c r="CW1252" s="14">
        <f t="shared" si="1118"/>
        <v>1102024</v>
      </c>
      <c r="CX1252" s="14" t="str">
        <f>INDEX($O$6:$O$50,CT1252)&amp;"-"&amp;INDEX(属性投放!$AB$7:$AB$50,CZ1252)&amp;"-魂火-"&amp;DB1252</f>
        <v>朱仙-无间+1-魂火-4</v>
      </c>
      <c r="CY1252" s="25" t="s">
        <v>142</v>
      </c>
      <c r="CZ1252" s="14">
        <f>INDEX(属性投放!$AM$7:$AM$58,CU1252)</f>
        <v>20</v>
      </c>
      <c r="DA1252" s="14" t="s">
        <v>537</v>
      </c>
      <c r="DB1252" s="14">
        <f>INDEX(属性投放!$AN$7:$AN$58,CU1252)</f>
        <v>4</v>
      </c>
      <c r="DC1252" s="14">
        <f t="shared" si="1115"/>
        <v>52</v>
      </c>
      <c r="DD1252" s="14">
        <f>INDEX(属性投放!$AO$7:$AO$58,DC1252)</f>
        <v>148</v>
      </c>
      <c r="DE1252" s="14" t="s">
        <v>242</v>
      </c>
      <c r="DF1252" s="14">
        <f>INDEX(属性投放!$BK$6:$BK$85,(CV1252-2)*20+CZ1252)</f>
        <v>1000</v>
      </c>
      <c r="DG1252" s="14">
        <f>SUMIFS(DF$5:DF1252,$CT$5:$CT1252,"="&amp;$CT1252)</f>
        <v>17370</v>
      </c>
      <c r="DH1252" s="14" t="s">
        <v>198</v>
      </c>
      <c r="DI1252" s="14">
        <f>INDEX(属性投放!$BL$6:$BL$85,(CV1252-2)*20+CZ1252)</f>
        <v>500</v>
      </c>
      <c r="DJ1252" s="14">
        <f>SUMIFS(DI$5:DI1252,$CT$5:$CT1252,"="&amp;$CT1252)</f>
        <v>8688</v>
      </c>
      <c r="DK1252" s="14" t="s">
        <v>25</v>
      </c>
      <c r="DL1252" s="14">
        <f>INDEX(属性投放!$BM$6:$BM$85,(CV1252-2)*20+CZ1252)</f>
        <v>10000</v>
      </c>
      <c r="DM1252" s="14">
        <f>SUMIFS(DL$5:DL1252,$CT$5:$CT1252,"="&amp;$CT1252)</f>
        <v>169740</v>
      </c>
    </row>
    <row r="1253" spans="97:117" ht="16.5" x14ac:dyDescent="0.2">
      <c r="CS1253" s="13">
        <v>1249</v>
      </c>
      <c r="CT1253" s="13">
        <f t="shared" si="1116"/>
        <v>25</v>
      </c>
      <c r="CU1253" s="13">
        <f t="shared" si="1114"/>
        <v>1</v>
      </c>
      <c r="CV1253" s="14">
        <f t="shared" si="1117"/>
        <v>3</v>
      </c>
      <c r="CW1253" s="14">
        <f t="shared" si="1118"/>
        <v>1102026</v>
      </c>
      <c r="CX1253" s="14" t="str">
        <f>INDEX($O$6:$O$50,CT1253)&amp;"-"&amp;INDEX(属性投放!$AB$7:$AB$50,CZ1253)&amp;"-魂火-"&amp;DB1253</f>
        <v>雷震子-等活-魂火-1</v>
      </c>
      <c r="CY1253" s="25" t="s">
        <v>142</v>
      </c>
      <c r="CZ1253" s="14">
        <f>INDEX(属性投放!$AM$7:$AM$58,CU1253)</f>
        <v>1</v>
      </c>
      <c r="DA1253" s="14" t="s">
        <v>537</v>
      </c>
      <c r="DB1253" s="14">
        <f>INDEX(属性投放!$AN$7:$AN$58,CU1253)</f>
        <v>1</v>
      </c>
      <c r="DC1253" s="14">
        <f t="shared" si="1115"/>
        <v>1</v>
      </c>
      <c r="DD1253" s="14">
        <f>INDEX(属性投放!$AO$7:$AO$58,DC1253)</f>
        <v>3</v>
      </c>
      <c r="DE1253" s="14" t="s">
        <v>242</v>
      </c>
      <c r="DF1253" s="14">
        <f>INDEX(属性投放!$BK$6:$BK$85,(CV1253-2)*20+CZ1253)</f>
        <v>20</v>
      </c>
      <c r="DG1253" s="14">
        <f>SUMIFS(DF$5:DF1253,$CT$5:$CT1253,"="&amp;$CT1253)</f>
        <v>20</v>
      </c>
      <c r="DH1253" s="14" t="s">
        <v>198</v>
      </c>
      <c r="DI1253" s="14">
        <f>INDEX(属性投放!$BL$6:$BL$85,(CV1253-2)*20+CZ1253)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INDEX(属性投放!$BM$6:$BM$85,(CV1253-2)*20+CZ1253)</f>
        <v>120</v>
      </c>
      <c r="DM1253" s="14">
        <f>SUMIFS(DL$5:DL1253,$CT$5:$CT1253,"="&amp;$CT1253)</f>
        <v>120</v>
      </c>
    </row>
    <row r="1254" spans="97:117" ht="16.5" x14ac:dyDescent="0.2">
      <c r="CS1254" s="13">
        <v>1250</v>
      </c>
      <c r="CT1254" s="13">
        <f t="shared" si="1116"/>
        <v>25</v>
      </c>
      <c r="CU1254" s="13">
        <f t="shared" si="1114"/>
        <v>2</v>
      </c>
      <c r="CV1254" s="14">
        <f t="shared" si="1117"/>
        <v>3</v>
      </c>
      <c r="CW1254" s="14">
        <f t="shared" si="1118"/>
        <v>1102026</v>
      </c>
      <c r="CX1254" s="14" t="str">
        <f>INDEX($O$6:$O$50,CT1254)&amp;"-"&amp;INDEX(属性投放!$AB$7:$AB$50,CZ1254)&amp;"-魂火-"&amp;DB1254</f>
        <v>雷震子-黑绳-魂火-1</v>
      </c>
      <c r="CY1254" s="25" t="s">
        <v>142</v>
      </c>
      <c r="CZ1254" s="14">
        <f>INDEX(属性投放!$AM$7:$AM$58,CU1254)</f>
        <v>2</v>
      </c>
      <c r="DA1254" s="14" t="s">
        <v>537</v>
      </c>
      <c r="DB1254" s="14">
        <f>INDEX(属性投放!$AN$7:$AN$58,CU1254)</f>
        <v>1</v>
      </c>
      <c r="DC1254" s="14">
        <f t="shared" si="1115"/>
        <v>2</v>
      </c>
      <c r="DD1254" s="14">
        <f>INDEX(属性投放!$AO$7:$AO$58,DC1254)</f>
        <v>8</v>
      </c>
      <c r="DE1254" s="14" t="s">
        <v>242</v>
      </c>
      <c r="DF1254" s="14">
        <f>INDEX(属性投放!$BK$6:$BK$85,(CV1254-2)*20+CZ1254)</f>
        <v>25</v>
      </c>
      <c r="DG1254" s="14">
        <f>SUMIFS(DF$5:DF1254,$CT$5:$CT1254,"="&amp;$CT1254)</f>
        <v>45</v>
      </c>
      <c r="DH1254" s="14" t="s">
        <v>198</v>
      </c>
      <c r="DI1254" s="14">
        <f>INDEX(属性投放!$BL$6:$BL$85,(CV1254-2)*20+CZ1254)</f>
        <v>13</v>
      </c>
      <c r="DJ1254" s="14">
        <f>SUMIFS(DI$5:DI1254,$CT$5:$CT1254,"="&amp;$CT1254)</f>
        <v>23</v>
      </c>
      <c r="DK1254" s="14" t="s">
        <v>25</v>
      </c>
      <c r="DL1254" s="14">
        <f>INDEX(属性投放!$BM$6:$BM$85,(CV1254-2)*20+CZ1254)</f>
        <v>150</v>
      </c>
      <c r="DM1254" s="14">
        <f>SUMIFS(DL$5:DL1254,$CT$5:$CT1254,"="&amp;$CT1254)</f>
        <v>270</v>
      </c>
    </row>
    <row r="1255" spans="97:117" ht="16.5" x14ac:dyDescent="0.2">
      <c r="CS1255" s="13">
        <v>1251</v>
      </c>
      <c r="CT1255" s="13">
        <f t="shared" si="1116"/>
        <v>25</v>
      </c>
      <c r="CU1255" s="13">
        <f t="shared" si="1114"/>
        <v>3</v>
      </c>
      <c r="CV1255" s="14">
        <f t="shared" si="1117"/>
        <v>3</v>
      </c>
      <c r="CW1255" s="14">
        <f t="shared" si="1118"/>
        <v>1102026</v>
      </c>
      <c r="CX1255" s="14" t="str">
        <f>INDEX($O$6:$O$50,CT1255)&amp;"-"&amp;INDEX(属性投放!$AB$7:$AB$50,CZ1255)&amp;"-魂火-"&amp;DB1255</f>
        <v>雷震子-黑绳-魂火-2</v>
      </c>
      <c r="CY1255" s="25" t="s">
        <v>142</v>
      </c>
      <c r="CZ1255" s="14">
        <f>INDEX(属性投放!$AM$7:$AM$58,CU1255)</f>
        <v>2</v>
      </c>
      <c r="DA1255" s="14" t="s">
        <v>537</v>
      </c>
      <c r="DB1255" s="14">
        <f>INDEX(属性投放!$AN$7:$AN$58,CU1255)</f>
        <v>2</v>
      </c>
      <c r="DC1255" s="14">
        <f t="shared" si="1115"/>
        <v>3</v>
      </c>
      <c r="DD1255" s="14">
        <f>INDEX(属性投放!$AO$7:$AO$58,DC1255)</f>
        <v>13</v>
      </c>
      <c r="DE1255" s="14" t="s">
        <v>242</v>
      </c>
      <c r="DF1255" s="14">
        <f>INDEX(属性投放!$BK$6:$BK$85,(CV1255-2)*20+CZ1255)</f>
        <v>25</v>
      </c>
      <c r="DG1255" s="14">
        <f>SUMIFS(DF$5:DF1255,$CT$5:$CT1255,"="&amp;$CT1255)</f>
        <v>70</v>
      </c>
      <c r="DH1255" s="14" t="s">
        <v>198</v>
      </c>
      <c r="DI1255" s="14">
        <f>INDEX(属性投放!$BL$6:$BL$85,(CV1255-2)*20+CZ1255)</f>
        <v>13</v>
      </c>
      <c r="DJ1255" s="14">
        <f>SUMIFS(DI$5:DI1255,$CT$5:$CT1255,"="&amp;$CT1255)</f>
        <v>36</v>
      </c>
      <c r="DK1255" s="14" t="s">
        <v>25</v>
      </c>
      <c r="DL1255" s="14">
        <f>INDEX(属性投放!$BM$6:$BM$85,(CV1255-2)*20+CZ1255)</f>
        <v>150</v>
      </c>
      <c r="DM1255" s="14">
        <f>SUMIFS(DL$5:DL1255,$CT$5:$CT1255,"="&amp;$CT1255)</f>
        <v>420</v>
      </c>
    </row>
    <row r="1256" spans="97:117" ht="16.5" x14ac:dyDescent="0.2">
      <c r="CS1256" s="13">
        <v>1252</v>
      </c>
      <c r="CT1256" s="13">
        <f t="shared" si="1116"/>
        <v>25</v>
      </c>
      <c r="CU1256" s="13">
        <f t="shared" si="1114"/>
        <v>4</v>
      </c>
      <c r="CV1256" s="14">
        <f t="shared" si="1117"/>
        <v>3</v>
      </c>
      <c r="CW1256" s="14">
        <f t="shared" si="1118"/>
        <v>1102026</v>
      </c>
      <c r="CX1256" s="14" t="str">
        <f>INDEX($O$6:$O$50,CT1256)&amp;"-"&amp;INDEX(属性投放!$AB$7:$AB$50,CZ1256)&amp;"-魂火-"&amp;DB1256</f>
        <v>雷震子-黑绳+1-魂火-1</v>
      </c>
      <c r="CY1256" s="25" t="s">
        <v>142</v>
      </c>
      <c r="CZ1256" s="14">
        <f>INDEX(属性投放!$AM$7:$AM$58,CU1256)</f>
        <v>3</v>
      </c>
      <c r="DA1256" s="14" t="s">
        <v>537</v>
      </c>
      <c r="DB1256" s="14">
        <f>INDEX(属性投放!$AN$7:$AN$58,CU1256)</f>
        <v>1</v>
      </c>
      <c r="DC1256" s="14">
        <f t="shared" si="1115"/>
        <v>4</v>
      </c>
      <c r="DD1256" s="14">
        <f>INDEX(属性投放!$AO$7:$AO$58,DC1256)</f>
        <v>18</v>
      </c>
      <c r="DE1256" s="14" t="s">
        <v>242</v>
      </c>
      <c r="DF1256" s="14">
        <f>INDEX(属性投放!$BK$6:$BK$85,(CV1256-2)*20+CZ1256)</f>
        <v>30</v>
      </c>
      <c r="DG1256" s="14">
        <f>SUMIFS(DF$5:DF1256,$CT$5:$CT1256,"="&amp;$CT1256)</f>
        <v>100</v>
      </c>
      <c r="DH1256" s="14" t="s">
        <v>198</v>
      </c>
      <c r="DI1256" s="14">
        <f>INDEX(属性投放!$BL$6:$BL$85,(CV1256-2)*20+CZ1256)</f>
        <v>15</v>
      </c>
      <c r="DJ1256" s="14">
        <f>SUMIFS(DI$5:DI1256,$CT$5:$CT1256,"="&amp;$CT1256)</f>
        <v>51</v>
      </c>
      <c r="DK1256" s="14" t="s">
        <v>25</v>
      </c>
      <c r="DL1256" s="14">
        <f>INDEX(属性投放!$BM$6:$BM$85,(CV1256-2)*20+CZ1256)</f>
        <v>180</v>
      </c>
      <c r="DM1256" s="14">
        <f>SUMIFS(DL$5:DL1256,$CT$5:$CT1256,"="&amp;$CT1256)</f>
        <v>600</v>
      </c>
    </row>
    <row r="1257" spans="97:117" ht="16.5" x14ac:dyDescent="0.2">
      <c r="CS1257" s="13">
        <v>1253</v>
      </c>
      <c r="CT1257" s="13">
        <f t="shared" si="1116"/>
        <v>25</v>
      </c>
      <c r="CU1257" s="13">
        <f t="shared" si="1114"/>
        <v>5</v>
      </c>
      <c r="CV1257" s="14">
        <f t="shared" si="1117"/>
        <v>3</v>
      </c>
      <c r="CW1257" s="14">
        <f t="shared" si="1118"/>
        <v>1102026</v>
      </c>
      <c r="CX1257" s="14" t="str">
        <f>INDEX($O$6:$O$50,CT1257)&amp;"-"&amp;INDEX(属性投放!$AB$7:$AB$50,CZ1257)&amp;"-魂火-"&amp;DB1257</f>
        <v>雷震子-黑绳+1-魂火-2</v>
      </c>
      <c r="CY1257" s="25" t="s">
        <v>142</v>
      </c>
      <c r="CZ1257" s="14">
        <f>INDEX(属性投放!$AM$7:$AM$58,CU1257)</f>
        <v>3</v>
      </c>
      <c r="DA1257" s="14" t="s">
        <v>537</v>
      </c>
      <c r="DB1257" s="14">
        <f>INDEX(属性投放!$AN$7:$AN$58,CU1257)</f>
        <v>2</v>
      </c>
      <c r="DC1257" s="14">
        <f t="shared" si="1115"/>
        <v>5</v>
      </c>
      <c r="DD1257" s="14">
        <f>INDEX(属性投放!$AO$7:$AO$58,DC1257)</f>
        <v>23</v>
      </c>
      <c r="DE1257" s="14" t="s">
        <v>242</v>
      </c>
      <c r="DF1257" s="14">
        <f>INDEX(属性投放!$BK$6:$BK$85,(CV1257-2)*20+CZ1257)</f>
        <v>30</v>
      </c>
      <c r="DG1257" s="14">
        <f>SUMIFS(DF$5:DF1257,$CT$5:$CT1257,"="&amp;$CT1257)</f>
        <v>130</v>
      </c>
      <c r="DH1257" s="14" t="s">
        <v>198</v>
      </c>
      <c r="DI1257" s="14">
        <f>INDEX(属性投放!$BL$6:$BL$85,(CV1257-2)*20+CZ1257)</f>
        <v>15</v>
      </c>
      <c r="DJ1257" s="14">
        <f>SUMIFS(DI$5:DI1257,$CT$5:$CT1257,"="&amp;$CT1257)</f>
        <v>66</v>
      </c>
      <c r="DK1257" s="14" t="s">
        <v>25</v>
      </c>
      <c r="DL1257" s="14">
        <f>INDEX(属性投放!$BM$6:$BM$85,(CV1257-2)*20+CZ1257)</f>
        <v>180</v>
      </c>
      <c r="DM1257" s="14">
        <f>SUMIFS(DL$5:DL1257,$CT$5:$CT1257,"="&amp;$CT1257)</f>
        <v>780</v>
      </c>
    </row>
    <row r="1258" spans="97:117" ht="16.5" x14ac:dyDescent="0.2">
      <c r="CS1258" s="13">
        <v>1254</v>
      </c>
      <c r="CT1258" s="13">
        <f t="shared" si="1116"/>
        <v>25</v>
      </c>
      <c r="CU1258" s="13">
        <f t="shared" si="1114"/>
        <v>6</v>
      </c>
      <c r="CV1258" s="14">
        <f t="shared" si="1117"/>
        <v>3</v>
      </c>
      <c r="CW1258" s="14">
        <f t="shared" si="1118"/>
        <v>1102026</v>
      </c>
      <c r="CX1258" s="14" t="str">
        <f>INDEX($O$6:$O$50,CT1258)&amp;"-"&amp;INDEX(属性投放!$AB$7:$AB$50,CZ1258)&amp;"-魂火-"&amp;DB1258</f>
        <v>雷震子-众合-魂火-1</v>
      </c>
      <c r="CY1258" s="25" t="s">
        <v>142</v>
      </c>
      <c r="CZ1258" s="14">
        <f>INDEX(属性投放!$AM$7:$AM$58,CU1258)</f>
        <v>4</v>
      </c>
      <c r="DA1258" s="14" t="s">
        <v>537</v>
      </c>
      <c r="DB1258" s="14">
        <f>INDEX(属性投放!$AN$7:$AN$58,CU1258)</f>
        <v>1</v>
      </c>
      <c r="DC1258" s="14">
        <f t="shared" si="1115"/>
        <v>6</v>
      </c>
      <c r="DD1258" s="14">
        <f>INDEX(属性投放!$AO$7:$AO$58,DC1258)</f>
        <v>28</v>
      </c>
      <c r="DE1258" s="14" t="s">
        <v>242</v>
      </c>
      <c r="DF1258" s="14">
        <f>INDEX(属性投放!$BK$6:$BK$85,(CV1258-2)*20+CZ1258)</f>
        <v>40</v>
      </c>
      <c r="DG1258" s="14">
        <f>SUMIFS(DF$5:DF1258,$CT$5:$CT1258,"="&amp;$CT1258)</f>
        <v>170</v>
      </c>
      <c r="DH1258" s="14" t="s">
        <v>198</v>
      </c>
      <c r="DI1258" s="14">
        <f>INDEX(属性投放!$BL$6:$BL$85,(CV1258-2)*20+CZ1258)</f>
        <v>20</v>
      </c>
      <c r="DJ1258" s="14">
        <f>SUMIFS(DI$5:DI1258,$CT$5:$CT1258,"="&amp;$CT1258)</f>
        <v>86</v>
      </c>
      <c r="DK1258" s="14" t="s">
        <v>25</v>
      </c>
      <c r="DL1258" s="14">
        <f>INDEX(属性投放!$BM$6:$BM$85,(CV1258-2)*20+CZ1258)</f>
        <v>280</v>
      </c>
      <c r="DM1258" s="14">
        <f>SUMIFS(DL$5:DL1258,$CT$5:$CT1258,"="&amp;$CT1258)</f>
        <v>1060</v>
      </c>
    </row>
    <row r="1259" spans="97:117" ht="16.5" x14ac:dyDescent="0.2">
      <c r="CS1259" s="13">
        <v>1255</v>
      </c>
      <c r="CT1259" s="13">
        <f t="shared" si="1116"/>
        <v>25</v>
      </c>
      <c r="CU1259" s="13">
        <f t="shared" si="1114"/>
        <v>7</v>
      </c>
      <c r="CV1259" s="14">
        <f t="shared" si="1117"/>
        <v>3</v>
      </c>
      <c r="CW1259" s="14">
        <f t="shared" si="1118"/>
        <v>1102026</v>
      </c>
      <c r="CX1259" s="14" t="str">
        <f>INDEX($O$6:$O$50,CT1259)&amp;"-"&amp;INDEX(属性投放!$AB$7:$AB$50,CZ1259)&amp;"-魂火-"&amp;DB1259</f>
        <v>雷震子-众合-魂火-2</v>
      </c>
      <c r="CY1259" s="25" t="s">
        <v>142</v>
      </c>
      <c r="CZ1259" s="14">
        <f>INDEX(属性投放!$AM$7:$AM$58,CU1259)</f>
        <v>4</v>
      </c>
      <c r="DA1259" s="14" t="s">
        <v>537</v>
      </c>
      <c r="DB1259" s="14">
        <f>INDEX(属性投放!$AN$7:$AN$58,CU1259)</f>
        <v>2</v>
      </c>
      <c r="DC1259" s="14">
        <f t="shared" si="1115"/>
        <v>7</v>
      </c>
      <c r="DD1259" s="14">
        <f>INDEX(属性投放!$AO$7:$AO$58,DC1259)</f>
        <v>33</v>
      </c>
      <c r="DE1259" s="14" t="s">
        <v>242</v>
      </c>
      <c r="DF1259" s="14">
        <f>INDEX(属性投放!$BK$6:$BK$85,(CV1259-2)*20+CZ1259)</f>
        <v>40</v>
      </c>
      <c r="DG1259" s="14">
        <f>SUMIFS(DF$5:DF1259,$CT$5:$CT1259,"="&amp;$CT1259)</f>
        <v>210</v>
      </c>
      <c r="DH1259" s="14" t="s">
        <v>198</v>
      </c>
      <c r="DI1259" s="14">
        <f>INDEX(属性投放!$BL$6:$BL$85,(CV1259-2)*20+CZ1259)</f>
        <v>20</v>
      </c>
      <c r="DJ1259" s="14">
        <f>SUMIFS(DI$5:DI1259,$CT$5:$CT1259,"="&amp;$CT1259)</f>
        <v>106</v>
      </c>
      <c r="DK1259" s="14" t="s">
        <v>25</v>
      </c>
      <c r="DL1259" s="14">
        <f>INDEX(属性投放!$BM$6:$BM$85,(CV1259-2)*20+CZ1259)</f>
        <v>280</v>
      </c>
      <c r="DM1259" s="14">
        <f>SUMIFS(DL$5:DL1259,$CT$5:$CT1259,"="&amp;$CT1259)</f>
        <v>1340</v>
      </c>
    </row>
    <row r="1260" spans="97:117" ht="16.5" x14ac:dyDescent="0.2">
      <c r="CS1260" s="13">
        <v>1256</v>
      </c>
      <c r="CT1260" s="13">
        <f t="shared" si="1116"/>
        <v>25</v>
      </c>
      <c r="CU1260" s="13">
        <f t="shared" si="1114"/>
        <v>8</v>
      </c>
      <c r="CV1260" s="14">
        <f t="shared" si="1117"/>
        <v>3</v>
      </c>
      <c r="CW1260" s="14">
        <f t="shared" si="1118"/>
        <v>1102026</v>
      </c>
      <c r="CX1260" s="14" t="str">
        <f>INDEX($O$6:$O$50,CT1260)&amp;"-"&amp;INDEX(属性投放!$AB$7:$AB$50,CZ1260)&amp;"-魂火-"&amp;DB1260</f>
        <v>雷震子-众合+1-魂火-1</v>
      </c>
      <c r="CY1260" s="25" t="s">
        <v>142</v>
      </c>
      <c r="CZ1260" s="14">
        <f>INDEX(属性投放!$AM$7:$AM$58,CU1260)</f>
        <v>5</v>
      </c>
      <c r="DA1260" s="14" t="s">
        <v>537</v>
      </c>
      <c r="DB1260" s="14">
        <f>INDEX(属性投放!$AN$7:$AN$58,CU1260)</f>
        <v>1</v>
      </c>
      <c r="DC1260" s="14">
        <f t="shared" si="1115"/>
        <v>8</v>
      </c>
      <c r="DD1260" s="14">
        <f>INDEX(属性投放!$AO$7:$AO$58,DC1260)</f>
        <v>38</v>
      </c>
      <c r="DE1260" s="14" t="s">
        <v>242</v>
      </c>
      <c r="DF1260" s="14">
        <f>INDEX(属性投放!$BK$6:$BK$85,(CV1260-2)*20+CZ1260)</f>
        <v>45</v>
      </c>
      <c r="DG1260" s="14">
        <f>SUMIFS(DF$5:DF1260,$CT$5:$CT1260,"="&amp;$CT1260)</f>
        <v>255</v>
      </c>
      <c r="DH1260" s="14" t="s">
        <v>198</v>
      </c>
      <c r="DI1260" s="14">
        <f>INDEX(属性投放!$BL$6:$BL$85,(CV1260-2)*20+CZ1260)</f>
        <v>23</v>
      </c>
      <c r="DJ1260" s="14">
        <f>SUMIFS(DI$5:DI1260,$CT$5:$CT1260,"="&amp;$CT1260)</f>
        <v>129</v>
      </c>
      <c r="DK1260" s="14" t="s">
        <v>25</v>
      </c>
      <c r="DL1260" s="14">
        <f>INDEX(属性投放!$BM$6:$BM$85,(CV1260-2)*20+CZ1260)</f>
        <v>315</v>
      </c>
      <c r="DM1260" s="14">
        <f>SUMIFS(DL$5:DL1260,$CT$5:$CT1260,"="&amp;$CT1260)</f>
        <v>1655</v>
      </c>
    </row>
    <row r="1261" spans="97:117" ht="16.5" x14ac:dyDescent="0.2">
      <c r="CS1261" s="13">
        <v>1257</v>
      </c>
      <c r="CT1261" s="13">
        <f t="shared" si="1116"/>
        <v>25</v>
      </c>
      <c r="CU1261" s="13">
        <f t="shared" si="1114"/>
        <v>9</v>
      </c>
      <c r="CV1261" s="14">
        <f t="shared" si="1117"/>
        <v>3</v>
      </c>
      <c r="CW1261" s="14">
        <f t="shared" si="1118"/>
        <v>1102026</v>
      </c>
      <c r="CX1261" s="14" t="str">
        <f>INDEX($O$6:$O$50,CT1261)&amp;"-"&amp;INDEX(属性投放!$AB$7:$AB$50,CZ1261)&amp;"-魂火-"&amp;DB1261</f>
        <v>雷震子-众合+1-魂火-2</v>
      </c>
      <c r="CY1261" s="25" t="s">
        <v>142</v>
      </c>
      <c r="CZ1261" s="14">
        <f>INDEX(属性投放!$AM$7:$AM$58,CU1261)</f>
        <v>5</v>
      </c>
      <c r="DA1261" s="14" t="s">
        <v>537</v>
      </c>
      <c r="DB1261" s="14">
        <f>INDEX(属性投放!$AN$7:$AN$58,CU1261)</f>
        <v>2</v>
      </c>
      <c r="DC1261" s="14">
        <f t="shared" si="1115"/>
        <v>9</v>
      </c>
      <c r="DD1261" s="14">
        <f>INDEX(属性投放!$AO$7:$AO$58,DC1261)</f>
        <v>40</v>
      </c>
      <c r="DE1261" s="14" t="s">
        <v>242</v>
      </c>
      <c r="DF1261" s="14">
        <f>INDEX(属性投放!$BK$6:$BK$85,(CV1261-2)*20+CZ1261)</f>
        <v>45</v>
      </c>
      <c r="DG1261" s="14">
        <f>SUMIFS(DF$5:DF1261,$CT$5:$CT1261,"="&amp;$CT1261)</f>
        <v>300</v>
      </c>
      <c r="DH1261" s="14" t="s">
        <v>198</v>
      </c>
      <c r="DI1261" s="14">
        <f>INDEX(属性投放!$BL$6:$BL$85,(CV1261-2)*20+CZ1261)</f>
        <v>23</v>
      </c>
      <c r="DJ1261" s="14">
        <f>SUMIFS(DI$5:DI1261,$CT$5:$CT1261,"="&amp;$CT1261)</f>
        <v>152</v>
      </c>
      <c r="DK1261" s="14" t="s">
        <v>25</v>
      </c>
      <c r="DL1261" s="14">
        <f>INDEX(属性投放!$BM$6:$BM$85,(CV1261-2)*20+CZ1261)</f>
        <v>315</v>
      </c>
      <c r="DM1261" s="14">
        <f>SUMIFS(DL$5:DL1261,$CT$5:$CT1261,"="&amp;$CT1261)</f>
        <v>1970</v>
      </c>
    </row>
    <row r="1262" spans="97:117" ht="16.5" x14ac:dyDescent="0.2">
      <c r="CS1262" s="13">
        <v>1258</v>
      </c>
      <c r="CT1262" s="13">
        <f t="shared" si="1116"/>
        <v>25</v>
      </c>
      <c r="CU1262" s="13">
        <f t="shared" si="1114"/>
        <v>10</v>
      </c>
      <c r="CV1262" s="14">
        <f t="shared" si="1117"/>
        <v>3</v>
      </c>
      <c r="CW1262" s="14">
        <f t="shared" si="1118"/>
        <v>1102026</v>
      </c>
      <c r="CX1262" s="14" t="str">
        <f>INDEX($O$6:$O$50,CT1262)&amp;"-"&amp;INDEX(属性投放!$AB$7:$AB$50,CZ1262)&amp;"-魂火-"&amp;DB1262</f>
        <v>雷震子-众合+2-魂火-1</v>
      </c>
      <c r="CY1262" s="25" t="s">
        <v>142</v>
      </c>
      <c r="CZ1262" s="14">
        <f>INDEX(属性投放!$AM$7:$AM$58,CU1262)</f>
        <v>6</v>
      </c>
      <c r="DA1262" s="14" t="s">
        <v>537</v>
      </c>
      <c r="DB1262" s="14">
        <f>INDEX(属性投放!$AN$7:$AN$58,CU1262)</f>
        <v>1</v>
      </c>
      <c r="DC1262" s="14">
        <f t="shared" si="1115"/>
        <v>10</v>
      </c>
      <c r="DD1262" s="14">
        <f>INDEX(属性投放!$AO$7:$AO$58,DC1262)</f>
        <v>43</v>
      </c>
      <c r="DE1262" s="14" t="s">
        <v>242</v>
      </c>
      <c r="DF1262" s="14">
        <f>INDEX(属性投放!$BK$6:$BK$85,(CV1262-2)*20+CZ1262)</f>
        <v>50</v>
      </c>
      <c r="DG1262" s="14">
        <f>SUMIFS(DF$5:DF1262,$CT$5:$CT1262,"="&amp;$CT1262)</f>
        <v>350</v>
      </c>
      <c r="DH1262" s="14" t="s">
        <v>198</v>
      </c>
      <c r="DI1262" s="14">
        <f>INDEX(属性投放!$BL$6:$BL$85,(CV1262-2)*20+CZ1262)</f>
        <v>25</v>
      </c>
      <c r="DJ1262" s="14">
        <f>SUMIFS(DI$5:DI1262,$CT$5:$CT1262,"="&amp;$CT1262)</f>
        <v>177</v>
      </c>
      <c r="DK1262" s="14" t="s">
        <v>25</v>
      </c>
      <c r="DL1262" s="14">
        <f>INDEX(属性投放!$BM$6:$BM$85,(CV1262-2)*20+CZ1262)</f>
        <v>350</v>
      </c>
      <c r="DM1262" s="14">
        <f>SUMIFS(DL$5:DL1262,$CT$5:$CT1262,"="&amp;$CT1262)</f>
        <v>2320</v>
      </c>
    </row>
    <row r="1263" spans="97:117" ht="16.5" x14ac:dyDescent="0.2">
      <c r="CS1263" s="13">
        <v>1259</v>
      </c>
      <c r="CT1263" s="13">
        <f t="shared" si="1116"/>
        <v>25</v>
      </c>
      <c r="CU1263" s="13">
        <f t="shared" si="1114"/>
        <v>11</v>
      </c>
      <c r="CV1263" s="14">
        <f t="shared" si="1117"/>
        <v>3</v>
      </c>
      <c r="CW1263" s="14">
        <f t="shared" si="1118"/>
        <v>1102026</v>
      </c>
      <c r="CX1263" s="14" t="str">
        <f>INDEX($O$6:$O$50,CT1263)&amp;"-"&amp;INDEX(属性投放!$AB$7:$AB$50,CZ1263)&amp;"-魂火-"&amp;DB1263</f>
        <v>雷震子-众合+2-魂火-2</v>
      </c>
      <c r="CY1263" s="25" t="s">
        <v>142</v>
      </c>
      <c r="CZ1263" s="14">
        <f>INDEX(属性投放!$AM$7:$AM$58,CU1263)</f>
        <v>6</v>
      </c>
      <c r="DA1263" s="14" t="s">
        <v>537</v>
      </c>
      <c r="DB1263" s="14">
        <f>INDEX(属性投放!$AN$7:$AN$58,CU1263)</f>
        <v>2</v>
      </c>
      <c r="DC1263" s="14">
        <f t="shared" si="1115"/>
        <v>11</v>
      </c>
      <c r="DD1263" s="14">
        <f>INDEX(属性投放!$AO$7:$AO$58,DC1263)</f>
        <v>45</v>
      </c>
      <c r="DE1263" s="14" t="s">
        <v>242</v>
      </c>
      <c r="DF1263" s="14">
        <f>INDEX(属性投放!$BK$6:$BK$85,(CV1263-2)*20+CZ1263)</f>
        <v>50</v>
      </c>
      <c r="DG1263" s="14">
        <f>SUMIFS(DF$5:DF1263,$CT$5:$CT1263,"="&amp;$CT1263)</f>
        <v>400</v>
      </c>
      <c r="DH1263" s="14" t="s">
        <v>198</v>
      </c>
      <c r="DI1263" s="14">
        <f>INDEX(属性投放!$BL$6:$BL$85,(CV1263-2)*20+CZ1263)</f>
        <v>25</v>
      </c>
      <c r="DJ1263" s="14">
        <f>SUMIFS(DI$5:DI1263,$CT$5:$CT1263,"="&amp;$CT1263)</f>
        <v>202</v>
      </c>
      <c r="DK1263" s="14" t="s">
        <v>25</v>
      </c>
      <c r="DL1263" s="14">
        <f>INDEX(属性投放!$BM$6:$BM$85,(CV1263-2)*20+CZ1263)</f>
        <v>350</v>
      </c>
      <c r="DM1263" s="14">
        <f>SUMIFS(DL$5:DL1263,$CT$5:$CT1263,"="&amp;$CT1263)</f>
        <v>2670</v>
      </c>
    </row>
    <row r="1264" spans="97:117" ht="16.5" x14ac:dyDescent="0.2">
      <c r="CS1264" s="13">
        <v>1260</v>
      </c>
      <c r="CT1264" s="13">
        <f t="shared" si="1116"/>
        <v>25</v>
      </c>
      <c r="CU1264" s="13">
        <f t="shared" si="1114"/>
        <v>12</v>
      </c>
      <c r="CV1264" s="14">
        <f t="shared" si="1117"/>
        <v>3</v>
      </c>
      <c r="CW1264" s="14">
        <f t="shared" si="1118"/>
        <v>1102026</v>
      </c>
      <c r="CX1264" s="14" t="str">
        <f>INDEX($O$6:$O$50,CT1264)&amp;"-"&amp;INDEX(属性投放!$AB$7:$AB$50,CZ1264)&amp;"-魂火-"&amp;DB1264</f>
        <v>雷震子-叫唤-魂火-1</v>
      </c>
      <c r="CY1264" s="25" t="s">
        <v>142</v>
      </c>
      <c r="CZ1264" s="14">
        <f>INDEX(属性投放!$AM$7:$AM$58,CU1264)</f>
        <v>7</v>
      </c>
      <c r="DA1264" s="14" t="s">
        <v>537</v>
      </c>
      <c r="DB1264" s="14">
        <f>INDEX(属性投放!$AN$7:$AN$58,CU1264)</f>
        <v>1</v>
      </c>
      <c r="DC1264" s="14">
        <f t="shared" si="1115"/>
        <v>12</v>
      </c>
      <c r="DD1264" s="14">
        <f>INDEX(属性投放!$AO$7:$AO$58,DC1264)</f>
        <v>48</v>
      </c>
      <c r="DE1264" s="14" t="s">
        <v>242</v>
      </c>
      <c r="DF1264" s="14">
        <f>INDEX(属性投放!$BK$6:$BK$85,(CV1264-2)*20+CZ1264)</f>
        <v>70</v>
      </c>
      <c r="DG1264" s="14">
        <f>SUMIFS(DF$5:DF1264,$CT$5:$CT1264,"="&amp;$CT1264)</f>
        <v>470</v>
      </c>
      <c r="DH1264" s="14" t="s">
        <v>198</v>
      </c>
      <c r="DI1264" s="14">
        <f>INDEX(属性投放!$BL$6:$BL$85,(CV1264-2)*20+CZ1264)</f>
        <v>35</v>
      </c>
      <c r="DJ1264" s="14">
        <f>SUMIFS(DI$5:DI1264,$CT$5:$CT1264,"="&amp;$CT1264)</f>
        <v>237</v>
      </c>
      <c r="DK1264" s="14" t="s">
        <v>25</v>
      </c>
      <c r="DL1264" s="14">
        <f>INDEX(属性投放!$BM$6:$BM$85,(CV1264-2)*20+CZ1264)</f>
        <v>560</v>
      </c>
      <c r="DM1264" s="14">
        <f>SUMIFS(DL$5:DL1264,$CT$5:$CT1264,"="&amp;$CT1264)</f>
        <v>3230</v>
      </c>
    </row>
    <row r="1265" spans="97:117" ht="16.5" x14ac:dyDescent="0.2">
      <c r="CS1265" s="13">
        <v>1261</v>
      </c>
      <c r="CT1265" s="13">
        <f t="shared" si="1116"/>
        <v>25</v>
      </c>
      <c r="CU1265" s="13">
        <f t="shared" si="1114"/>
        <v>13</v>
      </c>
      <c r="CV1265" s="14">
        <f t="shared" si="1117"/>
        <v>3</v>
      </c>
      <c r="CW1265" s="14">
        <f t="shared" si="1118"/>
        <v>1102026</v>
      </c>
      <c r="CX1265" s="14" t="str">
        <f>INDEX($O$6:$O$50,CT1265)&amp;"-"&amp;INDEX(属性投放!$AB$7:$AB$50,CZ1265)&amp;"-魂火-"&amp;DB1265</f>
        <v>雷震子-叫唤-魂火-2</v>
      </c>
      <c r="CY1265" s="25" t="s">
        <v>142</v>
      </c>
      <c r="CZ1265" s="14">
        <f>INDEX(属性投放!$AM$7:$AM$58,CU1265)</f>
        <v>7</v>
      </c>
      <c r="DA1265" s="14" t="s">
        <v>537</v>
      </c>
      <c r="DB1265" s="14">
        <f>INDEX(属性投放!$AN$7:$AN$58,CU1265)</f>
        <v>2</v>
      </c>
      <c r="DC1265" s="14">
        <f t="shared" si="1115"/>
        <v>13</v>
      </c>
      <c r="DD1265" s="14">
        <f>INDEX(属性投放!$AO$7:$AO$58,DC1265)</f>
        <v>50</v>
      </c>
      <c r="DE1265" s="14" t="s">
        <v>242</v>
      </c>
      <c r="DF1265" s="14">
        <f>INDEX(属性投放!$BK$6:$BK$85,(CV1265-2)*20+CZ1265)</f>
        <v>70</v>
      </c>
      <c r="DG1265" s="14">
        <f>SUMIFS(DF$5:DF1265,$CT$5:$CT1265,"="&amp;$CT1265)</f>
        <v>540</v>
      </c>
      <c r="DH1265" s="14" t="s">
        <v>198</v>
      </c>
      <c r="DI1265" s="14">
        <f>INDEX(属性投放!$BL$6:$BL$85,(CV1265-2)*20+CZ1265)</f>
        <v>35</v>
      </c>
      <c r="DJ1265" s="14">
        <f>SUMIFS(DI$5:DI1265,$CT$5:$CT1265,"="&amp;$CT1265)</f>
        <v>272</v>
      </c>
      <c r="DK1265" s="14" t="s">
        <v>25</v>
      </c>
      <c r="DL1265" s="14">
        <f>INDEX(属性投放!$BM$6:$BM$85,(CV1265-2)*20+CZ1265)</f>
        <v>560</v>
      </c>
      <c r="DM1265" s="14">
        <f>SUMIFS(DL$5:DL1265,$CT$5:$CT1265,"="&amp;$CT1265)</f>
        <v>3790</v>
      </c>
    </row>
    <row r="1266" spans="97:117" ht="16.5" x14ac:dyDescent="0.2">
      <c r="CS1266" s="13">
        <v>1262</v>
      </c>
      <c r="CT1266" s="13">
        <f t="shared" si="1116"/>
        <v>25</v>
      </c>
      <c r="CU1266" s="13">
        <f t="shared" si="1114"/>
        <v>14</v>
      </c>
      <c r="CV1266" s="14">
        <f t="shared" si="1117"/>
        <v>3</v>
      </c>
      <c r="CW1266" s="14">
        <f t="shared" si="1118"/>
        <v>1102026</v>
      </c>
      <c r="CX1266" s="14" t="str">
        <f>INDEX($O$6:$O$50,CT1266)&amp;"-"&amp;INDEX(属性投放!$AB$7:$AB$50,CZ1266)&amp;"-魂火-"&amp;DB1266</f>
        <v>雷震子-叫唤+1-魂火-1</v>
      </c>
      <c r="CY1266" s="25" t="s">
        <v>142</v>
      </c>
      <c r="CZ1266" s="14">
        <f>INDEX(属性投放!$AM$7:$AM$58,CU1266)</f>
        <v>8</v>
      </c>
      <c r="DA1266" s="14" t="s">
        <v>537</v>
      </c>
      <c r="DB1266" s="14">
        <f>INDEX(属性投放!$AN$7:$AN$58,CU1266)</f>
        <v>1</v>
      </c>
      <c r="DC1266" s="14">
        <f t="shared" si="1115"/>
        <v>14</v>
      </c>
      <c r="DD1266" s="14">
        <f>INDEX(属性投放!$AO$7:$AO$58,DC1266)</f>
        <v>53</v>
      </c>
      <c r="DE1266" s="14" t="s">
        <v>242</v>
      </c>
      <c r="DF1266" s="14">
        <f>INDEX(属性投放!$BK$6:$BK$85,(CV1266-2)*20+CZ1266)</f>
        <v>85</v>
      </c>
      <c r="DG1266" s="14">
        <f>SUMIFS(DF$5:DF1266,$CT$5:$CT1266,"="&amp;$CT1266)</f>
        <v>625</v>
      </c>
      <c r="DH1266" s="14" t="s">
        <v>198</v>
      </c>
      <c r="DI1266" s="14">
        <f>INDEX(属性投放!$BL$6:$BL$85,(CV1266-2)*20+CZ1266)</f>
        <v>43</v>
      </c>
      <c r="DJ1266" s="14">
        <f>SUMIFS(DI$5:DI1266,$CT$5:$CT1266,"="&amp;$CT1266)</f>
        <v>315</v>
      </c>
      <c r="DK1266" s="14" t="s">
        <v>25</v>
      </c>
      <c r="DL1266" s="14">
        <f>INDEX(属性投放!$BM$6:$BM$85,(CV1266-2)*20+CZ1266)</f>
        <v>680</v>
      </c>
      <c r="DM1266" s="14">
        <f>SUMIFS(DL$5:DL1266,$CT$5:$CT1266,"="&amp;$CT1266)</f>
        <v>4470</v>
      </c>
    </row>
    <row r="1267" spans="97:117" ht="16.5" x14ac:dyDescent="0.2">
      <c r="CS1267" s="13">
        <v>1263</v>
      </c>
      <c r="CT1267" s="13">
        <f t="shared" si="1116"/>
        <v>25</v>
      </c>
      <c r="CU1267" s="13">
        <f t="shared" si="1114"/>
        <v>15</v>
      </c>
      <c r="CV1267" s="14">
        <f t="shared" si="1117"/>
        <v>3</v>
      </c>
      <c r="CW1267" s="14">
        <f t="shared" si="1118"/>
        <v>1102026</v>
      </c>
      <c r="CX1267" s="14" t="str">
        <f>INDEX($O$6:$O$50,CT1267)&amp;"-"&amp;INDEX(属性投放!$AB$7:$AB$50,CZ1267)&amp;"-魂火-"&amp;DB1267</f>
        <v>雷震子-叫唤+1-魂火-2</v>
      </c>
      <c r="CY1267" s="25" t="s">
        <v>142</v>
      </c>
      <c r="CZ1267" s="14">
        <f>INDEX(属性投放!$AM$7:$AM$58,CU1267)</f>
        <v>8</v>
      </c>
      <c r="DA1267" s="14" t="s">
        <v>537</v>
      </c>
      <c r="DB1267" s="14">
        <f>INDEX(属性投放!$AN$7:$AN$58,CU1267)</f>
        <v>2</v>
      </c>
      <c r="DC1267" s="14">
        <f t="shared" si="1115"/>
        <v>15</v>
      </c>
      <c r="DD1267" s="14">
        <f>INDEX(属性投放!$AO$7:$AO$58,DC1267)</f>
        <v>55</v>
      </c>
      <c r="DE1267" s="14" t="s">
        <v>242</v>
      </c>
      <c r="DF1267" s="14">
        <f>INDEX(属性投放!$BK$6:$BK$85,(CV1267-2)*20+CZ1267)</f>
        <v>85</v>
      </c>
      <c r="DG1267" s="14">
        <f>SUMIFS(DF$5:DF1267,$CT$5:$CT1267,"="&amp;$CT1267)</f>
        <v>710</v>
      </c>
      <c r="DH1267" s="14" t="s">
        <v>198</v>
      </c>
      <c r="DI1267" s="14">
        <f>INDEX(属性投放!$BL$6:$BL$85,(CV1267-2)*20+CZ1267)</f>
        <v>43</v>
      </c>
      <c r="DJ1267" s="14">
        <f>SUMIFS(DI$5:DI1267,$CT$5:$CT1267,"="&amp;$CT1267)</f>
        <v>358</v>
      </c>
      <c r="DK1267" s="14" t="s">
        <v>25</v>
      </c>
      <c r="DL1267" s="14">
        <f>INDEX(属性投放!$BM$6:$BM$85,(CV1267-2)*20+CZ1267)</f>
        <v>680</v>
      </c>
      <c r="DM1267" s="14">
        <f>SUMIFS(DL$5:DL1267,$CT$5:$CT1267,"="&amp;$CT1267)</f>
        <v>5150</v>
      </c>
    </row>
    <row r="1268" spans="97:117" ht="16.5" x14ac:dyDescent="0.2">
      <c r="CS1268" s="13">
        <v>1264</v>
      </c>
      <c r="CT1268" s="13">
        <f t="shared" si="1116"/>
        <v>25</v>
      </c>
      <c r="CU1268" s="13">
        <f t="shared" si="1114"/>
        <v>16</v>
      </c>
      <c r="CV1268" s="14">
        <f t="shared" si="1117"/>
        <v>3</v>
      </c>
      <c r="CW1268" s="14">
        <f t="shared" si="1118"/>
        <v>1102026</v>
      </c>
      <c r="CX1268" s="14" t="str">
        <f>INDEX($O$6:$O$50,CT1268)&amp;"-"&amp;INDEX(属性投放!$AB$7:$AB$50,CZ1268)&amp;"-魂火-"&amp;DB1268</f>
        <v>雷震子-叫唤+2-魂火-1</v>
      </c>
      <c r="CY1268" s="25" t="s">
        <v>142</v>
      </c>
      <c r="CZ1268" s="14">
        <f>INDEX(属性投放!$AM$7:$AM$58,CU1268)</f>
        <v>9</v>
      </c>
      <c r="DA1268" s="14" t="s">
        <v>537</v>
      </c>
      <c r="DB1268" s="14">
        <f>INDEX(属性投放!$AN$7:$AN$58,CU1268)</f>
        <v>1</v>
      </c>
      <c r="DC1268" s="14">
        <f t="shared" si="1115"/>
        <v>16</v>
      </c>
      <c r="DD1268" s="14">
        <f>INDEX(属性投放!$AO$7:$AO$58,DC1268)</f>
        <v>58</v>
      </c>
      <c r="DE1268" s="14" t="s">
        <v>242</v>
      </c>
      <c r="DF1268" s="14">
        <f>INDEX(属性投放!$BK$6:$BK$85,(CV1268-2)*20+CZ1268)</f>
        <v>100</v>
      </c>
      <c r="DG1268" s="14">
        <f>SUMIFS(DF$5:DF1268,$CT$5:$CT1268,"="&amp;$CT1268)</f>
        <v>810</v>
      </c>
      <c r="DH1268" s="14" t="s">
        <v>198</v>
      </c>
      <c r="DI1268" s="14">
        <f>INDEX(属性投放!$BL$6:$BL$85,(CV1268-2)*20+CZ1268)</f>
        <v>50</v>
      </c>
      <c r="DJ1268" s="14">
        <f>SUMIFS(DI$5:DI1268,$CT$5:$CT1268,"="&amp;$CT1268)</f>
        <v>408</v>
      </c>
      <c r="DK1268" s="14" t="s">
        <v>25</v>
      </c>
      <c r="DL1268" s="14">
        <f>INDEX(属性投放!$BM$6:$BM$85,(CV1268-2)*20+CZ1268)</f>
        <v>800</v>
      </c>
      <c r="DM1268" s="14">
        <f>SUMIFS(DL$5:DL1268,$CT$5:$CT1268,"="&amp;$CT1268)</f>
        <v>5950</v>
      </c>
    </row>
    <row r="1269" spans="97:117" ht="16.5" x14ac:dyDescent="0.2">
      <c r="CS1269" s="13">
        <v>1265</v>
      </c>
      <c r="CT1269" s="13">
        <f t="shared" si="1116"/>
        <v>25</v>
      </c>
      <c r="CU1269" s="13">
        <f t="shared" si="1114"/>
        <v>17</v>
      </c>
      <c r="CV1269" s="14">
        <f t="shared" si="1117"/>
        <v>3</v>
      </c>
      <c r="CW1269" s="14">
        <f t="shared" si="1118"/>
        <v>1102026</v>
      </c>
      <c r="CX1269" s="14" t="str">
        <f>INDEX($O$6:$O$50,CT1269)&amp;"-"&amp;INDEX(属性投放!$AB$7:$AB$50,CZ1269)&amp;"-魂火-"&amp;DB1269</f>
        <v>雷震子-叫唤+2-魂火-2</v>
      </c>
      <c r="CY1269" s="25" t="s">
        <v>142</v>
      </c>
      <c r="CZ1269" s="14">
        <f>INDEX(属性投放!$AM$7:$AM$58,CU1269)</f>
        <v>9</v>
      </c>
      <c r="DA1269" s="14" t="s">
        <v>537</v>
      </c>
      <c r="DB1269" s="14">
        <f>INDEX(属性投放!$AN$7:$AN$58,CU1269)</f>
        <v>2</v>
      </c>
      <c r="DC1269" s="14">
        <f t="shared" si="1115"/>
        <v>17</v>
      </c>
      <c r="DD1269" s="14">
        <f>INDEX(属性投放!$AO$7:$AO$58,DC1269)</f>
        <v>60</v>
      </c>
      <c r="DE1269" s="14" t="s">
        <v>242</v>
      </c>
      <c r="DF1269" s="14">
        <f>INDEX(属性投放!$BK$6:$BK$85,(CV1269-2)*20+CZ1269)</f>
        <v>100</v>
      </c>
      <c r="DG1269" s="14">
        <f>SUMIFS(DF$5:DF1269,$CT$5:$CT1269,"="&amp;$CT1269)</f>
        <v>910</v>
      </c>
      <c r="DH1269" s="14" t="s">
        <v>198</v>
      </c>
      <c r="DI1269" s="14">
        <f>INDEX(属性投放!$BL$6:$BL$85,(CV1269-2)*20+CZ1269)</f>
        <v>50</v>
      </c>
      <c r="DJ1269" s="14">
        <f>SUMIFS(DI$5:DI1269,$CT$5:$CT1269,"="&amp;$CT1269)</f>
        <v>458</v>
      </c>
      <c r="DK1269" s="14" t="s">
        <v>25</v>
      </c>
      <c r="DL1269" s="14">
        <f>INDEX(属性投放!$BM$6:$BM$85,(CV1269-2)*20+CZ1269)</f>
        <v>800</v>
      </c>
      <c r="DM1269" s="14">
        <f>SUMIFS(DL$5:DL1269,$CT$5:$CT1269,"="&amp;$CT1269)</f>
        <v>6750</v>
      </c>
    </row>
    <row r="1270" spans="97:117" ht="16.5" x14ac:dyDescent="0.2">
      <c r="CS1270" s="13">
        <v>1266</v>
      </c>
      <c r="CT1270" s="13">
        <f t="shared" si="1116"/>
        <v>25</v>
      </c>
      <c r="CU1270" s="13">
        <f t="shared" si="1114"/>
        <v>18</v>
      </c>
      <c r="CV1270" s="14">
        <f t="shared" si="1117"/>
        <v>3</v>
      </c>
      <c r="CW1270" s="14">
        <f t="shared" si="1118"/>
        <v>1102026</v>
      </c>
      <c r="CX1270" s="14" t="str">
        <f>INDEX($O$6:$O$50,CT1270)&amp;"-"&amp;INDEX(属性投放!$AB$7:$AB$50,CZ1270)&amp;"-魂火-"&amp;DB1270</f>
        <v>雷震子-叫唤+2-魂火-3</v>
      </c>
      <c r="CY1270" s="25" t="s">
        <v>142</v>
      </c>
      <c r="CZ1270" s="14">
        <f>INDEX(属性投放!$AM$7:$AM$58,CU1270)</f>
        <v>9</v>
      </c>
      <c r="DA1270" s="14" t="s">
        <v>537</v>
      </c>
      <c r="DB1270" s="14">
        <f>INDEX(属性投放!$AN$7:$AN$58,CU1270)</f>
        <v>3</v>
      </c>
      <c r="DC1270" s="14">
        <f t="shared" si="1115"/>
        <v>18</v>
      </c>
      <c r="DD1270" s="14">
        <f>INDEX(属性投放!$AO$7:$AO$58,DC1270)</f>
        <v>63</v>
      </c>
      <c r="DE1270" s="14" t="s">
        <v>242</v>
      </c>
      <c r="DF1270" s="14">
        <f>INDEX(属性投放!$BK$6:$BK$85,(CV1270-2)*20+CZ1270)</f>
        <v>100</v>
      </c>
      <c r="DG1270" s="14">
        <f>SUMIFS(DF$5:DF1270,$CT$5:$CT1270,"="&amp;$CT1270)</f>
        <v>1010</v>
      </c>
      <c r="DH1270" s="14" t="s">
        <v>198</v>
      </c>
      <c r="DI1270" s="14">
        <f>INDEX(属性投放!$BL$6:$BL$85,(CV1270-2)*20+CZ1270)</f>
        <v>50</v>
      </c>
      <c r="DJ1270" s="14">
        <f>SUMIFS(DI$5:DI1270,$CT$5:$CT1270,"="&amp;$CT1270)</f>
        <v>508</v>
      </c>
      <c r="DK1270" s="14" t="s">
        <v>25</v>
      </c>
      <c r="DL1270" s="14">
        <f>INDEX(属性投放!$BM$6:$BM$85,(CV1270-2)*20+CZ1270)</f>
        <v>800</v>
      </c>
      <c r="DM1270" s="14">
        <f>SUMIFS(DL$5:DL1270,$CT$5:$CT1270,"="&amp;$CT1270)</f>
        <v>7550</v>
      </c>
    </row>
    <row r="1271" spans="97:117" ht="16.5" x14ac:dyDescent="0.2">
      <c r="CS1271" s="13">
        <v>1267</v>
      </c>
      <c r="CT1271" s="13">
        <f t="shared" si="1116"/>
        <v>25</v>
      </c>
      <c r="CU1271" s="13">
        <f t="shared" si="1114"/>
        <v>19</v>
      </c>
      <c r="CV1271" s="14">
        <f t="shared" si="1117"/>
        <v>3</v>
      </c>
      <c r="CW1271" s="14">
        <f t="shared" si="1118"/>
        <v>1102026</v>
      </c>
      <c r="CX1271" s="14" t="str">
        <f>INDEX($O$6:$O$50,CT1271)&amp;"-"&amp;INDEX(属性投放!$AB$7:$AB$50,CZ1271)&amp;"-魂火-"&amp;DB1271</f>
        <v>雷震子-大叫唤-魂火-1</v>
      </c>
      <c r="CY1271" s="25" t="s">
        <v>142</v>
      </c>
      <c r="CZ1271" s="14">
        <f>INDEX(属性投放!$AM$7:$AM$58,CU1271)</f>
        <v>10</v>
      </c>
      <c r="DA1271" s="14" t="s">
        <v>537</v>
      </c>
      <c r="DB1271" s="14">
        <f>INDEX(属性投放!$AN$7:$AN$58,CU1271)</f>
        <v>1</v>
      </c>
      <c r="DC1271" s="14">
        <f t="shared" si="1115"/>
        <v>19</v>
      </c>
      <c r="DD1271" s="14">
        <f>INDEX(属性投放!$AO$7:$AO$58,DC1271)</f>
        <v>65</v>
      </c>
      <c r="DE1271" s="14" t="s">
        <v>242</v>
      </c>
      <c r="DF1271" s="14">
        <f>INDEX(属性投放!$BK$6:$BK$85,(CV1271-2)*20+CZ1271)</f>
        <v>120</v>
      </c>
      <c r="DG1271" s="14">
        <f>SUMIFS(DF$5:DF1271,$CT$5:$CT1271,"="&amp;$CT1271)</f>
        <v>1130</v>
      </c>
      <c r="DH1271" s="14" t="s">
        <v>198</v>
      </c>
      <c r="DI1271" s="14">
        <f>INDEX(属性投放!$BL$6:$BL$85,(CV1271-2)*20+CZ1271)</f>
        <v>60</v>
      </c>
      <c r="DJ1271" s="14">
        <f>SUMIFS(DI$5:DI1271,$CT$5:$CT1271,"="&amp;$CT1271)</f>
        <v>568</v>
      </c>
      <c r="DK1271" s="14" t="s">
        <v>25</v>
      </c>
      <c r="DL1271" s="14">
        <f>INDEX(属性投放!$BM$6:$BM$85,(CV1271-2)*20+CZ1271)</f>
        <v>1080</v>
      </c>
      <c r="DM1271" s="14">
        <f>SUMIFS(DL$5:DL1271,$CT$5:$CT1271,"="&amp;$CT1271)</f>
        <v>8630</v>
      </c>
    </row>
    <row r="1272" spans="97:117" ht="16.5" x14ac:dyDescent="0.2">
      <c r="CS1272" s="13">
        <v>1268</v>
      </c>
      <c r="CT1272" s="13">
        <f t="shared" si="1116"/>
        <v>25</v>
      </c>
      <c r="CU1272" s="13">
        <f t="shared" si="1114"/>
        <v>20</v>
      </c>
      <c r="CV1272" s="14">
        <f t="shared" si="1117"/>
        <v>3</v>
      </c>
      <c r="CW1272" s="14">
        <f t="shared" si="1118"/>
        <v>1102026</v>
      </c>
      <c r="CX1272" s="14" t="str">
        <f>INDEX($O$6:$O$50,CT1272)&amp;"-"&amp;INDEX(属性投放!$AB$7:$AB$50,CZ1272)&amp;"-魂火-"&amp;DB1272</f>
        <v>雷震子-大叫唤-魂火-2</v>
      </c>
      <c r="CY1272" s="25" t="s">
        <v>142</v>
      </c>
      <c r="CZ1272" s="14">
        <f>INDEX(属性投放!$AM$7:$AM$58,CU1272)</f>
        <v>10</v>
      </c>
      <c r="DA1272" s="14" t="s">
        <v>537</v>
      </c>
      <c r="DB1272" s="14">
        <f>INDEX(属性投放!$AN$7:$AN$58,CU1272)</f>
        <v>2</v>
      </c>
      <c r="DC1272" s="14">
        <f t="shared" si="1115"/>
        <v>20</v>
      </c>
      <c r="DD1272" s="14">
        <f>INDEX(属性投放!$AO$7:$AO$58,DC1272)</f>
        <v>68</v>
      </c>
      <c r="DE1272" s="14" t="s">
        <v>242</v>
      </c>
      <c r="DF1272" s="14">
        <f>INDEX(属性投放!$BK$6:$BK$85,(CV1272-2)*20+CZ1272)</f>
        <v>120</v>
      </c>
      <c r="DG1272" s="14">
        <f>SUMIFS(DF$5:DF1272,$CT$5:$CT1272,"="&amp;$CT1272)</f>
        <v>1250</v>
      </c>
      <c r="DH1272" s="14" t="s">
        <v>198</v>
      </c>
      <c r="DI1272" s="14">
        <f>INDEX(属性投放!$BL$6:$BL$85,(CV1272-2)*20+CZ1272)</f>
        <v>60</v>
      </c>
      <c r="DJ1272" s="14">
        <f>SUMIFS(DI$5:DI1272,$CT$5:$CT1272,"="&amp;$CT1272)</f>
        <v>628</v>
      </c>
      <c r="DK1272" s="14" t="s">
        <v>25</v>
      </c>
      <c r="DL1272" s="14">
        <f>INDEX(属性投放!$BM$6:$BM$85,(CV1272-2)*20+CZ1272)</f>
        <v>1080</v>
      </c>
      <c r="DM1272" s="14">
        <f>SUMIFS(DL$5:DL1272,$CT$5:$CT1272,"="&amp;$CT1272)</f>
        <v>9710</v>
      </c>
    </row>
    <row r="1273" spans="97:117" ht="16.5" x14ac:dyDescent="0.2">
      <c r="CS1273" s="13">
        <v>1269</v>
      </c>
      <c r="CT1273" s="13">
        <f t="shared" si="1116"/>
        <v>25</v>
      </c>
      <c r="CU1273" s="13">
        <f t="shared" si="1114"/>
        <v>21</v>
      </c>
      <c r="CV1273" s="14">
        <f t="shared" si="1117"/>
        <v>3</v>
      </c>
      <c r="CW1273" s="14">
        <f t="shared" si="1118"/>
        <v>1102026</v>
      </c>
      <c r="CX1273" s="14" t="str">
        <f>INDEX($O$6:$O$50,CT1273)&amp;"-"&amp;INDEX(属性投放!$AB$7:$AB$50,CZ1273)&amp;"-魂火-"&amp;DB1273</f>
        <v>雷震子-大叫唤-魂火-3</v>
      </c>
      <c r="CY1273" s="25" t="s">
        <v>142</v>
      </c>
      <c r="CZ1273" s="14">
        <f>INDEX(属性投放!$AM$7:$AM$58,CU1273)</f>
        <v>10</v>
      </c>
      <c r="DA1273" s="14" t="s">
        <v>537</v>
      </c>
      <c r="DB1273" s="14">
        <f>INDEX(属性投放!$AN$7:$AN$58,CU1273)</f>
        <v>3</v>
      </c>
      <c r="DC1273" s="14">
        <f t="shared" si="1115"/>
        <v>21</v>
      </c>
      <c r="DD1273" s="14">
        <f>INDEX(属性投放!$AO$7:$AO$58,DC1273)</f>
        <v>70</v>
      </c>
      <c r="DE1273" s="14" t="s">
        <v>242</v>
      </c>
      <c r="DF1273" s="14">
        <f>INDEX(属性投放!$BK$6:$BK$85,(CV1273-2)*20+CZ1273)</f>
        <v>120</v>
      </c>
      <c r="DG1273" s="14">
        <f>SUMIFS(DF$5:DF1273,$CT$5:$CT1273,"="&amp;$CT1273)</f>
        <v>1370</v>
      </c>
      <c r="DH1273" s="14" t="s">
        <v>198</v>
      </c>
      <c r="DI1273" s="14">
        <f>INDEX(属性投放!$BL$6:$BL$85,(CV1273-2)*20+CZ1273)</f>
        <v>60</v>
      </c>
      <c r="DJ1273" s="14">
        <f>SUMIFS(DI$5:DI1273,$CT$5:$CT1273,"="&amp;$CT1273)</f>
        <v>688</v>
      </c>
      <c r="DK1273" s="14" t="s">
        <v>25</v>
      </c>
      <c r="DL1273" s="14">
        <f>INDEX(属性投放!$BM$6:$BM$85,(CV1273-2)*20+CZ1273)</f>
        <v>1080</v>
      </c>
      <c r="DM1273" s="14">
        <f>SUMIFS(DL$5:DL1273,$CT$5:$CT1273,"="&amp;$CT1273)</f>
        <v>10790</v>
      </c>
    </row>
    <row r="1274" spans="97:117" ht="16.5" x14ac:dyDescent="0.2">
      <c r="CS1274" s="13">
        <v>1270</v>
      </c>
      <c r="CT1274" s="13">
        <f t="shared" si="1116"/>
        <v>25</v>
      </c>
      <c r="CU1274" s="13">
        <f t="shared" si="1114"/>
        <v>22</v>
      </c>
      <c r="CV1274" s="14">
        <f t="shared" si="1117"/>
        <v>3</v>
      </c>
      <c r="CW1274" s="14">
        <f t="shared" si="1118"/>
        <v>1102026</v>
      </c>
      <c r="CX1274" s="14" t="str">
        <f>INDEX($O$6:$O$50,CT1274)&amp;"-"&amp;INDEX(属性投放!$AB$7:$AB$50,CZ1274)&amp;"-魂火-"&amp;DB1274</f>
        <v>雷震子-大叫唤+1-魂火-1</v>
      </c>
      <c r="CY1274" s="25" t="s">
        <v>142</v>
      </c>
      <c r="CZ1274" s="14">
        <f>INDEX(属性投放!$AM$7:$AM$58,CU1274)</f>
        <v>11</v>
      </c>
      <c r="DA1274" s="14" t="s">
        <v>537</v>
      </c>
      <c r="DB1274" s="14">
        <f>INDEX(属性投放!$AN$7:$AN$58,CU1274)</f>
        <v>1</v>
      </c>
      <c r="DC1274" s="14">
        <f t="shared" si="1115"/>
        <v>22</v>
      </c>
      <c r="DD1274" s="14">
        <f>INDEX(属性投放!$AO$7:$AO$58,DC1274)</f>
        <v>73</v>
      </c>
      <c r="DE1274" s="14" t="s">
        <v>242</v>
      </c>
      <c r="DF1274" s="14">
        <f>INDEX(属性投放!$BK$6:$BK$85,(CV1274-2)*20+CZ1274)</f>
        <v>150</v>
      </c>
      <c r="DG1274" s="14">
        <f>SUMIFS(DF$5:DF1274,$CT$5:$CT1274,"="&amp;$CT1274)</f>
        <v>1520</v>
      </c>
      <c r="DH1274" s="14" t="s">
        <v>198</v>
      </c>
      <c r="DI1274" s="14">
        <f>INDEX(属性投放!$BL$6:$BL$85,(CV1274-2)*20+CZ1274)</f>
        <v>75</v>
      </c>
      <c r="DJ1274" s="14">
        <f>SUMIFS(DI$5:DI1274,$CT$5:$CT1274,"="&amp;$CT1274)</f>
        <v>763</v>
      </c>
      <c r="DK1274" s="14" t="s">
        <v>25</v>
      </c>
      <c r="DL1274" s="14">
        <f>INDEX(属性投放!$BM$6:$BM$85,(CV1274-2)*20+CZ1274)</f>
        <v>1350</v>
      </c>
      <c r="DM1274" s="14">
        <f>SUMIFS(DL$5:DL1274,$CT$5:$CT1274,"="&amp;$CT1274)</f>
        <v>12140</v>
      </c>
    </row>
    <row r="1275" spans="97:117" ht="16.5" x14ac:dyDescent="0.2">
      <c r="CS1275" s="13">
        <v>1271</v>
      </c>
      <c r="CT1275" s="13">
        <f t="shared" si="1116"/>
        <v>25</v>
      </c>
      <c r="CU1275" s="13">
        <f t="shared" si="1114"/>
        <v>23</v>
      </c>
      <c r="CV1275" s="14">
        <f t="shared" si="1117"/>
        <v>3</v>
      </c>
      <c r="CW1275" s="14">
        <f t="shared" si="1118"/>
        <v>1102026</v>
      </c>
      <c r="CX1275" s="14" t="str">
        <f>INDEX($O$6:$O$50,CT1275)&amp;"-"&amp;INDEX(属性投放!$AB$7:$AB$50,CZ1275)&amp;"-魂火-"&amp;DB1275</f>
        <v>雷震子-大叫唤+1-魂火-2</v>
      </c>
      <c r="CY1275" s="25" t="s">
        <v>142</v>
      </c>
      <c r="CZ1275" s="14">
        <f>INDEX(属性投放!$AM$7:$AM$58,CU1275)</f>
        <v>11</v>
      </c>
      <c r="DA1275" s="14" t="s">
        <v>537</v>
      </c>
      <c r="DB1275" s="14">
        <f>INDEX(属性投放!$AN$7:$AN$58,CU1275)</f>
        <v>2</v>
      </c>
      <c r="DC1275" s="14">
        <f t="shared" si="1115"/>
        <v>23</v>
      </c>
      <c r="DD1275" s="14">
        <f>INDEX(属性投放!$AO$7:$AO$58,DC1275)</f>
        <v>75</v>
      </c>
      <c r="DE1275" s="14" t="s">
        <v>242</v>
      </c>
      <c r="DF1275" s="14">
        <f>INDEX(属性投放!$BK$6:$BK$85,(CV1275-2)*20+CZ1275)</f>
        <v>150</v>
      </c>
      <c r="DG1275" s="14">
        <f>SUMIFS(DF$5:DF1275,$CT$5:$CT1275,"="&amp;$CT1275)</f>
        <v>1670</v>
      </c>
      <c r="DH1275" s="14" t="s">
        <v>198</v>
      </c>
      <c r="DI1275" s="14">
        <f>INDEX(属性投放!$BL$6:$BL$85,(CV1275-2)*20+CZ1275)</f>
        <v>75</v>
      </c>
      <c r="DJ1275" s="14">
        <f>SUMIFS(DI$5:DI1275,$CT$5:$CT1275,"="&amp;$CT1275)</f>
        <v>838</v>
      </c>
      <c r="DK1275" s="14" t="s">
        <v>25</v>
      </c>
      <c r="DL1275" s="14">
        <f>INDEX(属性投放!$BM$6:$BM$85,(CV1275-2)*20+CZ1275)</f>
        <v>1350</v>
      </c>
      <c r="DM1275" s="14">
        <f>SUMIFS(DL$5:DL1275,$CT$5:$CT1275,"="&amp;$CT1275)</f>
        <v>13490</v>
      </c>
    </row>
    <row r="1276" spans="97:117" ht="16.5" x14ac:dyDescent="0.2">
      <c r="CS1276" s="13">
        <v>1272</v>
      </c>
      <c r="CT1276" s="13">
        <f t="shared" si="1116"/>
        <v>25</v>
      </c>
      <c r="CU1276" s="13">
        <f t="shared" si="1114"/>
        <v>24</v>
      </c>
      <c r="CV1276" s="14">
        <f t="shared" si="1117"/>
        <v>3</v>
      </c>
      <c r="CW1276" s="14">
        <f t="shared" si="1118"/>
        <v>1102026</v>
      </c>
      <c r="CX1276" s="14" t="str">
        <f>INDEX($O$6:$O$50,CT1276)&amp;"-"&amp;INDEX(属性投放!$AB$7:$AB$50,CZ1276)&amp;"-魂火-"&amp;DB1276</f>
        <v>雷震子-大叫唤+1-魂火-3</v>
      </c>
      <c r="CY1276" s="25" t="s">
        <v>142</v>
      </c>
      <c r="CZ1276" s="14">
        <f>INDEX(属性投放!$AM$7:$AM$58,CU1276)</f>
        <v>11</v>
      </c>
      <c r="DA1276" s="14" t="s">
        <v>537</v>
      </c>
      <c r="DB1276" s="14">
        <f>INDEX(属性投放!$AN$7:$AN$58,CU1276)</f>
        <v>3</v>
      </c>
      <c r="DC1276" s="14">
        <f t="shared" si="1115"/>
        <v>24</v>
      </c>
      <c r="DD1276" s="14">
        <f>INDEX(属性投放!$AO$7:$AO$58,DC1276)</f>
        <v>78</v>
      </c>
      <c r="DE1276" s="14" t="s">
        <v>242</v>
      </c>
      <c r="DF1276" s="14">
        <f>INDEX(属性投放!$BK$6:$BK$85,(CV1276-2)*20+CZ1276)</f>
        <v>150</v>
      </c>
      <c r="DG1276" s="14">
        <f>SUMIFS(DF$5:DF1276,$CT$5:$CT1276,"="&amp;$CT1276)</f>
        <v>1820</v>
      </c>
      <c r="DH1276" s="14" t="s">
        <v>198</v>
      </c>
      <c r="DI1276" s="14">
        <f>INDEX(属性投放!$BL$6:$BL$85,(CV1276-2)*20+CZ1276)</f>
        <v>75</v>
      </c>
      <c r="DJ1276" s="14">
        <f>SUMIFS(DI$5:DI1276,$CT$5:$CT1276,"="&amp;$CT1276)</f>
        <v>913</v>
      </c>
      <c r="DK1276" s="14" t="s">
        <v>25</v>
      </c>
      <c r="DL1276" s="14">
        <f>INDEX(属性投放!$BM$6:$BM$85,(CV1276-2)*20+CZ1276)</f>
        <v>1350</v>
      </c>
      <c r="DM1276" s="14">
        <f>SUMIFS(DL$5:DL1276,$CT$5:$CT1276,"="&amp;$CT1276)</f>
        <v>14840</v>
      </c>
    </row>
    <row r="1277" spans="97:117" ht="16.5" x14ac:dyDescent="0.2">
      <c r="CS1277" s="13">
        <v>1273</v>
      </c>
      <c r="CT1277" s="13">
        <f t="shared" si="1116"/>
        <v>25</v>
      </c>
      <c r="CU1277" s="13">
        <f t="shared" si="1114"/>
        <v>25</v>
      </c>
      <c r="CV1277" s="14">
        <f t="shared" si="1117"/>
        <v>3</v>
      </c>
      <c r="CW1277" s="14">
        <f t="shared" si="1118"/>
        <v>1102026</v>
      </c>
      <c r="CX1277" s="14" t="str">
        <f>INDEX($O$6:$O$50,CT1277)&amp;"-"&amp;INDEX(属性投放!$AB$7:$AB$50,CZ1277)&amp;"-魂火-"&amp;DB1277</f>
        <v>雷震子-大叫唤+2-魂火-1</v>
      </c>
      <c r="CY1277" s="25" t="s">
        <v>142</v>
      </c>
      <c r="CZ1277" s="14">
        <f>INDEX(属性投放!$AM$7:$AM$58,CU1277)</f>
        <v>12</v>
      </c>
      <c r="DA1277" s="14" t="s">
        <v>537</v>
      </c>
      <c r="DB1277" s="14">
        <f>INDEX(属性投放!$AN$7:$AN$58,CU1277)</f>
        <v>1</v>
      </c>
      <c r="DC1277" s="14">
        <f t="shared" si="1115"/>
        <v>25</v>
      </c>
      <c r="DD1277" s="14">
        <f>INDEX(属性投放!$AO$7:$AO$58,DC1277)</f>
        <v>80</v>
      </c>
      <c r="DE1277" s="14" t="s">
        <v>242</v>
      </c>
      <c r="DF1277" s="14">
        <f>INDEX(属性投放!$BK$6:$BK$85,(CV1277-2)*20+CZ1277)</f>
        <v>200</v>
      </c>
      <c r="DG1277" s="14">
        <f>SUMIFS(DF$5:DF1277,$CT$5:$CT1277,"="&amp;$CT1277)</f>
        <v>2020</v>
      </c>
      <c r="DH1277" s="14" t="s">
        <v>198</v>
      </c>
      <c r="DI1277" s="14">
        <f>INDEX(属性投放!$BL$6:$BL$85,(CV1277-2)*20+CZ1277)</f>
        <v>100</v>
      </c>
      <c r="DJ1277" s="14">
        <f>SUMIFS(DI$5:DI1277,$CT$5:$CT1277,"="&amp;$CT1277)</f>
        <v>1013</v>
      </c>
      <c r="DK1277" s="14" t="s">
        <v>25</v>
      </c>
      <c r="DL1277" s="14">
        <f>INDEX(属性投放!$BM$6:$BM$85,(CV1277-2)*20+CZ1277)</f>
        <v>1800</v>
      </c>
      <c r="DM1277" s="14">
        <f>SUMIFS(DL$5:DL1277,$CT$5:$CT1277,"="&amp;$CT1277)</f>
        <v>16640</v>
      </c>
    </row>
    <row r="1278" spans="97:117" ht="16.5" x14ac:dyDescent="0.2">
      <c r="CS1278" s="13">
        <v>1274</v>
      </c>
      <c r="CT1278" s="13">
        <f t="shared" si="1116"/>
        <v>25</v>
      </c>
      <c r="CU1278" s="13">
        <f t="shared" si="1114"/>
        <v>26</v>
      </c>
      <c r="CV1278" s="14">
        <f t="shared" si="1117"/>
        <v>3</v>
      </c>
      <c r="CW1278" s="14">
        <f t="shared" si="1118"/>
        <v>1102026</v>
      </c>
      <c r="CX1278" s="14" t="str">
        <f>INDEX($O$6:$O$50,CT1278)&amp;"-"&amp;INDEX(属性投放!$AB$7:$AB$50,CZ1278)&amp;"-魂火-"&amp;DB1278</f>
        <v>雷震子-大叫唤+2-魂火-2</v>
      </c>
      <c r="CY1278" s="25" t="s">
        <v>142</v>
      </c>
      <c r="CZ1278" s="14">
        <f>INDEX(属性投放!$AM$7:$AM$58,CU1278)</f>
        <v>12</v>
      </c>
      <c r="DA1278" s="14" t="s">
        <v>537</v>
      </c>
      <c r="DB1278" s="14">
        <f>INDEX(属性投放!$AN$7:$AN$58,CU1278)</f>
        <v>2</v>
      </c>
      <c r="DC1278" s="14">
        <f t="shared" si="1115"/>
        <v>26</v>
      </c>
      <c r="DD1278" s="14">
        <f>INDEX(属性投放!$AO$7:$AO$58,DC1278)</f>
        <v>83</v>
      </c>
      <c r="DE1278" s="14" t="s">
        <v>242</v>
      </c>
      <c r="DF1278" s="14">
        <f>INDEX(属性投放!$BK$6:$BK$85,(CV1278-2)*20+CZ1278)</f>
        <v>200</v>
      </c>
      <c r="DG1278" s="14">
        <f>SUMIFS(DF$5:DF1278,$CT$5:$CT1278,"="&amp;$CT1278)</f>
        <v>2220</v>
      </c>
      <c r="DH1278" s="14" t="s">
        <v>198</v>
      </c>
      <c r="DI1278" s="14">
        <f>INDEX(属性投放!$BL$6:$BL$85,(CV1278-2)*20+CZ1278)</f>
        <v>100</v>
      </c>
      <c r="DJ1278" s="14">
        <f>SUMIFS(DI$5:DI1278,$CT$5:$CT1278,"="&amp;$CT1278)</f>
        <v>1113</v>
      </c>
      <c r="DK1278" s="14" t="s">
        <v>25</v>
      </c>
      <c r="DL1278" s="14">
        <f>INDEX(属性投放!$BM$6:$BM$85,(CV1278-2)*20+CZ1278)</f>
        <v>1800</v>
      </c>
      <c r="DM1278" s="14">
        <f>SUMIFS(DL$5:DL1278,$CT$5:$CT1278,"="&amp;$CT1278)</f>
        <v>18440</v>
      </c>
    </row>
    <row r="1279" spans="97:117" ht="16.5" x14ac:dyDescent="0.2">
      <c r="CS1279" s="13">
        <v>1275</v>
      </c>
      <c r="CT1279" s="13">
        <f t="shared" si="1116"/>
        <v>25</v>
      </c>
      <c r="CU1279" s="13">
        <f t="shared" si="1114"/>
        <v>27</v>
      </c>
      <c r="CV1279" s="14">
        <f t="shared" si="1117"/>
        <v>3</v>
      </c>
      <c r="CW1279" s="14">
        <f t="shared" si="1118"/>
        <v>1102026</v>
      </c>
      <c r="CX1279" s="14" t="str">
        <f>INDEX($O$6:$O$50,CT1279)&amp;"-"&amp;INDEX(属性投放!$AB$7:$AB$50,CZ1279)&amp;"-魂火-"&amp;DB1279</f>
        <v>雷震子-大叫唤+2-魂火-3</v>
      </c>
      <c r="CY1279" s="25" t="s">
        <v>142</v>
      </c>
      <c r="CZ1279" s="14">
        <f>INDEX(属性投放!$AM$7:$AM$58,CU1279)</f>
        <v>12</v>
      </c>
      <c r="DA1279" s="14" t="s">
        <v>537</v>
      </c>
      <c r="DB1279" s="14">
        <f>INDEX(属性投放!$AN$7:$AN$58,CU1279)</f>
        <v>3</v>
      </c>
      <c r="DC1279" s="14">
        <f t="shared" si="1115"/>
        <v>27</v>
      </c>
      <c r="DD1279" s="14">
        <f>INDEX(属性投放!$AO$7:$AO$58,DC1279)</f>
        <v>85</v>
      </c>
      <c r="DE1279" s="14" t="s">
        <v>242</v>
      </c>
      <c r="DF1279" s="14">
        <f>INDEX(属性投放!$BK$6:$BK$85,(CV1279-2)*20+CZ1279)</f>
        <v>200</v>
      </c>
      <c r="DG1279" s="14">
        <f>SUMIFS(DF$5:DF1279,$CT$5:$CT1279,"="&amp;$CT1279)</f>
        <v>2420</v>
      </c>
      <c r="DH1279" s="14" t="s">
        <v>198</v>
      </c>
      <c r="DI1279" s="14">
        <f>INDEX(属性投放!$BL$6:$BL$85,(CV1279-2)*20+CZ1279)</f>
        <v>100</v>
      </c>
      <c r="DJ1279" s="14">
        <f>SUMIFS(DI$5:DI1279,$CT$5:$CT1279,"="&amp;$CT1279)</f>
        <v>1213</v>
      </c>
      <c r="DK1279" s="14" t="s">
        <v>25</v>
      </c>
      <c r="DL1279" s="14">
        <f>INDEX(属性投放!$BM$6:$BM$85,(CV1279-2)*20+CZ1279)</f>
        <v>1800</v>
      </c>
      <c r="DM1279" s="14">
        <f>SUMIFS(DL$5:DL1279,$CT$5:$CT1279,"="&amp;$CT1279)</f>
        <v>20240</v>
      </c>
    </row>
    <row r="1280" spans="97:117" ht="16.5" x14ac:dyDescent="0.2">
      <c r="CS1280" s="13">
        <v>1276</v>
      </c>
      <c r="CT1280" s="13">
        <f t="shared" si="1116"/>
        <v>25</v>
      </c>
      <c r="CU1280" s="13">
        <f t="shared" ref="CU1280:CU1343" si="1119">CS1280-(CT1280-1)*52</f>
        <v>28</v>
      </c>
      <c r="CV1280" s="14">
        <f t="shared" si="1117"/>
        <v>3</v>
      </c>
      <c r="CW1280" s="14">
        <f t="shared" si="1118"/>
        <v>1102026</v>
      </c>
      <c r="CX1280" s="14" t="str">
        <f>INDEX($O$6:$O$50,CT1280)&amp;"-"&amp;INDEX(属性投放!$AB$7:$AB$50,CZ1280)&amp;"-魂火-"&amp;DB1280</f>
        <v>雷震子-焦热-魂火-1</v>
      </c>
      <c r="CY1280" s="25" t="s">
        <v>142</v>
      </c>
      <c r="CZ1280" s="14">
        <f>INDEX(属性投放!$AM$7:$AM$58,CU1280)</f>
        <v>13</v>
      </c>
      <c r="DA1280" s="14" t="s">
        <v>537</v>
      </c>
      <c r="DB1280" s="14">
        <f>INDEX(属性投放!$AN$7:$AN$58,CU1280)</f>
        <v>1</v>
      </c>
      <c r="DC1280" s="14">
        <f t="shared" ref="DC1280:DC1343" si="1120">CU1280</f>
        <v>28</v>
      </c>
      <c r="DD1280" s="14">
        <f>INDEX(属性投放!$AO$7:$AO$58,DC1280)</f>
        <v>88</v>
      </c>
      <c r="DE1280" s="14" t="s">
        <v>242</v>
      </c>
      <c r="DF1280" s="14">
        <f>INDEX(属性投放!$BK$6:$BK$85,(CV1280-2)*20+CZ1280)</f>
        <v>250</v>
      </c>
      <c r="DG1280" s="14">
        <f>SUMIFS(DF$5:DF1280,$CT$5:$CT1280,"="&amp;$CT1280)</f>
        <v>2670</v>
      </c>
      <c r="DH1280" s="14" t="s">
        <v>198</v>
      </c>
      <c r="DI1280" s="14">
        <f>INDEX(属性投放!$BL$6:$BL$85,(CV1280-2)*20+CZ1280)</f>
        <v>125</v>
      </c>
      <c r="DJ1280" s="14">
        <f>SUMIFS(DI$5:DI1280,$CT$5:$CT1280,"="&amp;$CT1280)</f>
        <v>1338</v>
      </c>
      <c r="DK1280" s="14" t="s">
        <v>25</v>
      </c>
      <c r="DL1280" s="14">
        <f>INDEX(属性投放!$BM$6:$BM$85,(CV1280-2)*20+CZ1280)</f>
        <v>2500</v>
      </c>
      <c r="DM1280" s="14">
        <f>SUMIFS(DL$5:DL1280,$CT$5:$CT1280,"="&amp;$CT1280)</f>
        <v>22740</v>
      </c>
    </row>
    <row r="1281" spans="97:117" ht="16.5" x14ac:dyDescent="0.2">
      <c r="CS1281" s="13">
        <v>1277</v>
      </c>
      <c r="CT1281" s="13">
        <f t="shared" si="1116"/>
        <v>25</v>
      </c>
      <c r="CU1281" s="13">
        <f t="shared" si="1119"/>
        <v>29</v>
      </c>
      <c r="CV1281" s="14">
        <f t="shared" si="1117"/>
        <v>3</v>
      </c>
      <c r="CW1281" s="14">
        <f t="shared" si="1118"/>
        <v>1102026</v>
      </c>
      <c r="CX1281" s="14" t="str">
        <f>INDEX($O$6:$O$50,CT1281)&amp;"-"&amp;INDEX(属性投放!$AB$7:$AB$50,CZ1281)&amp;"-魂火-"&amp;DB1281</f>
        <v>雷震子-焦热-魂火-2</v>
      </c>
      <c r="CY1281" s="25" t="s">
        <v>142</v>
      </c>
      <c r="CZ1281" s="14">
        <f>INDEX(属性投放!$AM$7:$AM$58,CU1281)</f>
        <v>13</v>
      </c>
      <c r="DA1281" s="14" t="s">
        <v>537</v>
      </c>
      <c r="DB1281" s="14">
        <f>INDEX(属性投放!$AN$7:$AN$58,CU1281)</f>
        <v>2</v>
      </c>
      <c r="DC1281" s="14">
        <f t="shared" si="1120"/>
        <v>29</v>
      </c>
      <c r="DD1281" s="14">
        <f>INDEX(属性投放!$AO$7:$AO$58,DC1281)</f>
        <v>90</v>
      </c>
      <c r="DE1281" s="14" t="s">
        <v>242</v>
      </c>
      <c r="DF1281" s="14">
        <f>INDEX(属性投放!$BK$6:$BK$85,(CV1281-2)*20+CZ1281)</f>
        <v>250</v>
      </c>
      <c r="DG1281" s="14">
        <f>SUMIFS(DF$5:DF1281,$CT$5:$CT1281,"="&amp;$CT1281)</f>
        <v>2920</v>
      </c>
      <c r="DH1281" s="14" t="s">
        <v>198</v>
      </c>
      <c r="DI1281" s="14">
        <f>INDEX(属性投放!$BL$6:$BL$85,(CV1281-2)*20+CZ1281)</f>
        <v>125</v>
      </c>
      <c r="DJ1281" s="14">
        <f>SUMIFS(DI$5:DI1281,$CT$5:$CT1281,"="&amp;$CT1281)</f>
        <v>1463</v>
      </c>
      <c r="DK1281" s="14" t="s">
        <v>25</v>
      </c>
      <c r="DL1281" s="14">
        <f>INDEX(属性投放!$BM$6:$BM$85,(CV1281-2)*20+CZ1281)</f>
        <v>2500</v>
      </c>
      <c r="DM1281" s="14">
        <f>SUMIFS(DL$5:DL1281,$CT$5:$CT1281,"="&amp;$CT1281)</f>
        <v>25240</v>
      </c>
    </row>
    <row r="1282" spans="97:117" ht="16.5" x14ac:dyDescent="0.2">
      <c r="CS1282" s="13">
        <v>1278</v>
      </c>
      <c r="CT1282" s="13">
        <f t="shared" si="1116"/>
        <v>25</v>
      </c>
      <c r="CU1282" s="13">
        <f t="shared" si="1119"/>
        <v>30</v>
      </c>
      <c r="CV1282" s="14">
        <f t="shared" si="1117"/>
        <v>3</v>
      </c>
      <c r="CW1282" s="14">
        <f t="shared" si="1118"/>
        <v>1102026</v>
      </c>
      <c r="CX1282" s="14" t="str">
        <f>INDEX($O$6:$O$50,CT1282)&amp;"-"&amp;INDEX(属性投放!$AB$7:$AB$50,CZ1282)&amp;"-魂火-"&amp;DB1282</f>
        <v>雷震子-焦热-魂火-3</v>
      </c>
      <c r="CY1282" s="25" t="s">
        <v>142</v>
      </c>
      <c r="CZ1282" s="14">
        <f>INDEX(属性投放!$AM$7:$AM$58,CU1282)</f>
        <v>13</v>
      </c>
      <c r="DA1282" s="14" t="s">
        <v>537</v>
      </c>
      <c r="DB1282" s="14">
        <f>INDEX(属性投放!$AN$7:$AN$58,CU1282)</f>
        <v>3</v>
      </c>
      <c r="DC1282" s="14">
        <f t="shared" si="1120"/>
        <v>30</v>
      </c>
      <c r="DD1282" s="14">
        <f>INDEX(属性投放!$AO$7:$AO$58,DC1282)</f>
        <v>93</v>
      </c>
      <c r="DE1282" s="14" t="s">
        <v>242</v>
      </c>
      <c r="DF1282" s="14">
        <f>INDEX(属性投放!$BK$6:$BK$85,(CV1282-2)*20+CZ1282)</f>
        <v>250</v>
      </c>
      <c r="DG1282" s="14">
        <f>SUMIFS(DF$5:DF1282,$CT$5:$CT1282,"="&amp;$CT1282)</f>
        <v>3170</v>
      </c>
      <c r="DH1282" s="14" t="s">
        <v>198</v>
      </c>
      <c r="DI1282" s="14">
        <f>INDEX(属性投放!$BL$6:$BL$85,(CV1282-2)*20+CZ1282)</f>
        <v>125</v>
      </c>
      <c r="DJ1282" s="14">
        <f>SUMIFS(DI$5:DI1282,$CT$5:$CT1282,"="&amp;$CT1282)</f>
        <v>1588</v>
      </c>
      <c r="DK1282" s="14" t="s">
        <v>25</v>
      </c>
      <c r="DL1282" s="14">
        <f>INDEX(属性投放!$BM$6:$BM$85,(CV1282-2)*20+CZ1282)</f>
        <v>2500</v>
      </c>
      <c r="DM1282" s="14">
        <f>SUMIFS(DL$5:DL1282,$CT$5:$CT1282,"="&amp;$CT1282)</f>
        <v>27740</v>
      </c>
    </row>
    <row r="1283" spans="97:117" ht="16.5" x14ac:dyDescent="0.2">
      <c r="CS1283" s="13">
        <v>1279</v>
      </c>
      <c r="CT1283" s="13">
        <f t="shared" si="1116"/>
        <v>25</v>
      </c>
      <c r="CU1283" s="13">
        <f t="shared" si="1119"/>
        <v>31</v>
      </c>
      <c r="CV1283" s="14">
        <f t="shared" si="1117"/>
        <v>3</v>
      </c>
      <c r="CW1283" s="14">
        <f t="shared" si="1118"/>
        <v>1102026</v>
      </c>
      <c r="CX1283" s="14" t="str">
        <f>INDEX($O$6:$O$50,CT1283)&amp;"-"&amp;INDEX(属性投放!$AB$7:$AB$50,CZ1283)&amp;"-魂火-"&amp;DB1283</f>
        <v>雷震子-焦热+1-魂火-1</v>
      </c>
      <c r="CY1283" s="25" t="s">
        <v>142</v>
      </c>
      <c r="CZ1283" s="14">
        <f>INDEX(属性投放!$AM$7:$AM$58,CU1283)</f>
        <v>14</v>
      </c>
      <c r="DA1283" s="14" t="s">
        <v>537</v>
      </c>
      <c r="DB1283" s="14">
        <f>INDEX(属性投放!$AN$7:$AN$58,CU1283)</f>
        <v>1</v>
      </c>
      <c r="DC1283" s="14">
        <f t="shared" si="1120"/>
        <v>31</v>
      </c>
      <c r="DD1283" s="14">
        <f>INDEX(属性投放!$AO$7:$AO$58,DC1283)</f>
        <v>95</v>
      </c>
      <c r="DE1283" s="14" t="s">
        <v>242</v>
      </c>
      <c r="DF1283" s="14">
        <f>INDEX(属性投放!$BK$6:$BK$85,(CV1283-2)*20+CZ1283)</f>
        <v>300</v>
      </c>
      <c r="DG1283" s="14">
        <f>SUMIFS(DF$5:DF1283,$CT$5:$CT1283,"="&amp;$CT1283)</f>
        <v>3470</v>
      </c>
      <c r="DH1283" s="14" t="s">
        <v>198</v>
      </c>
      <c r="DI1283" s="14">
        <f>INDEX(属性投放!$BL$6:$BL$85,(CV1283-2)*20+CZ1283)</f>
        <v>150</v>
      </c>
      <c r="DJ1283" s="14">
        <f>SUMIFS(DI$5:DI1283,$CT$5:$CT1283,"="&amp;$CT1283)</f>
        <v>1738</v>
      </c>
      <c r="DK1283" s="14" t="s">
        <v>25</v>
      </c>
      <c r="DL1283" s="14">
        <f>INDEX(属性投放!$BM$6:$BM$85,(CV1283-2)*20+CZ1283)</f>
        <v>3000</v>
      </c>
      <c r="DM1283" s="14">
        <f>SUMIFS(DL$5:DL1283,$CT$5:$CT1283,"="&amp;$CT1283)</f>
        <v>30740</v>
      </c>
    </row>
    <row r="1284" spans="97:117" ht="16.5" x14ac:dyDescent="0.2">
      <c r="CS1284" s="13">
        <v>1280</v>
      </c>
      <c r="CT1284" s="13">
        <f t="shared" si="1116"/>
        <v>25</v>
      </c>
      <c r="CU1284" s="13">
        <f t="shared" si="1119"/>
        <v>32</v>
      </c>
      <c r="CV1284" s="14">
        <f t="shared" si="1117"/>
        <v>3</v>
      </c>
      <c r="CW1284" s="14">
        <f t="shared" si="1118"/>
        <v>1102026</v>
      </c>
      <c r="CX1284" s="14" t="str">
        <f>INDEX($O$6:$O$50,CT1284)&amp;"-"&amp;INDEX(属性投放!$AB$7:$AB$50,CZ1284)&amp;"-魂火-"&amp;DB1284</f>
        <v>雷震子-焦热+1-魂火-2</v>
      </c>
      <c r="CY1284" s="25" t="s">
        <v>142</v>
      </c>
      <c r="CZ1284" s="14">
        <f>INDEX(属性投放!$AM$7:$AM$58,CU1284)</f>
        <v>14</v>
      </c>
      <c r="DA1284" s="14" t="s">
        <v>537</v>
      </c>
      <c r="DB1284" s="14">
        <f>INDEX(属性投放!$AN$7:$AN$58,CU1284)</f>
        <v>2</v>
      </c>
      <c r="DC1284" s="14">
        <f t="shared" si="1120"/>
        <v>32</v>
      </c>
      <c r="DD1284" s="14">
        <f>INDEX(属性投放!$AO$7:$AO$58,DC1284)</f>
        <v>98</v>
      </c>
      <c r="DE1284" s="14" t="s">
        <v>242</v>
      </c>
      <c r="DF1284" s="14">
        <f>INDEX(属性投放!$BK$6:$BK$85,(CV1284-2)*20+CZ1284)</f>
        <v>300</v>
      </c>
      <c r="DG1284" s="14">
        <f>SUMIFS(DF$5:DF1284,$CT$5:$CT1284,"="&amp;$CT1284)</f>
        <v>3770</v>
      </c>
      <c r="DH1284" s="14" t="s">
        <v>198</v>
      </c>
      <c r="DI1284" s="14">
        <f>INDEX(属性投放!$BL$6:$BL$85,(CV1284-2)*20+CZ1284)</f>
        <v>150</v>
      </c>
      <c r="DJ1284" s="14">
        <f>SUMIFS(DI$5:DI1284,$CT$5:$CT1284,"="&amp;$CT1284)</f>
        <v>1888</v>
      </c>
      <c r="DK1284" s="14" t="s">
        <v>25</v>
      </c>
      <c r="DL1284" s="14">
        <f>INDEX(属性投放!$BM$6:$BM$85,(CV1284-2)*20+CZ1284)</f>
        <v>3000</v>
      </c>
      <c r="DM1284" s="14">
        <f>SUMIFS(DL$5:DL1284,$CT$5:$CT1284,"="&amp;$CT1284)</f>
        <v>33740</v>
      </c>
    </row>
    <row r="1285" spans="97:117" ht="16.5" x14ac:dyDescent="0.2">
      <c r="CS1285" s="13">
        <v>1281</v>
      </c>
      <c r="CT1285" s="13">
        <f t="shared" si="1116"/>
        <v>25</v>
      </c>
      <c r="CU1285" s="13">
        <f t="shared" si="1119"/>
        <v>33</v>
      </c>
      <c r="CV1285" s="14">
        <f t="shared" si="1117"/>
        <v>3</v>
      </c>
      <c r="CW1285" s="14">
        <f t="shared" si="1118"/>
        <v>1102026</v>
      </c>
      <c r="CX1285" s="14" t="str">
        <f>INDEX($O$6:$O$50,CT1285)&amp;"-"&amp;INDEX(属性投放!$AB$7:$AB$50,CZ1285)&amp;"-魂火-"&amp;DB1285</f>
        <v>雷震子-焦热+1-魂火-3</v>
      </c>
      <c r="CY1285" s="25" t="s">
        <v>142</v>
      </c>
      <c r="CZ1285" s="14">
        <f>INDEX(属性投放!$AM$7:$AM$58,CU1285)</f>
        <v>14</v>
      </c>
      <c r="DA1285" s="14" t="s">
        <v>537</v>
      </c>
      <c r="DB1285" s="14">
        <f>INDEX(属性投放!$AN$7:$AN$58,CU1285)</f>
        <v>3</v>
      </c>
      <c r="DC1285" s="14">
        <f t="shared" si="1120"/>
        <v>33</v>
      </c>
      <c r="DD1285" s="14">
        <f>INDEX(属性投放!$AO$7:$AO$58,DC1285)</f>
        <v>100</v>
      </c>
      <c r="DE1285" s="14" t="s">
        <v>242</v>
      </c>
      <c r="DF1285" s="14">
        <f>INDEX(属性投放!$BK$6:$BK$85,(CV1285-2)*20+CZ1285)</f>
        <v>300</v>
      </c>
      <c r="DG1285" s="14">
        <f>SUMIFS(DF$5:DF1285,$CT$5:$CT1285,"="&amp;$CT1285)</f>
        <v>4070</v>
      </c>
      <c r="DH1285" s="14" t="s">
        <v>198</v>
      </c>
      <c r="DI1285" s="14">
        <f>INDEX(属性投放!$BL$6:$BL$85,(CV1285-2)*20+CZ1285)</f>
        <v>150</v>
      </c>
      <c r="DJ1285" s="14">
        <f>SUMIFS(DI$5:DI1285,$CT$5:$CT1285,"="&amp;$CT1285)</f>
        <v>2038</v>
      </c>
      <c r="DK1285" s="14" t="s">
        <v>25</v>
      </c>
      <c r="DL1285" s="14">
        <f>INDEX(属性投放!$BM$6:$BM$85,(CV1285-2)*20+CZ1285)</f>
        <v>3000</v>
      </c>
      <c r="DM1285" s="14">
        <f>SUMIFS(DL$5:DL1285,$CT$5:$CT1285,"="&amp;$CT1285)</f>
        <v>36740</v>
      </c>
    </row>
    <row r="1286" spans="97:117" ht="16.5" x14ac:dyDescent="0.2">
      <c r="CS1286" s="13">
        <v>1282</v>
      </c>
      <c r="CT1286" s="13">
        <f t="shared" ref="CT1286:CT1349" si="1121">MATCH(CS1286-1,$U$5:$U$36,1)</f>
        <v>25</v>
      </c>
      <c r="CU1286" s="13">
        <f t="shared" si="1119"/>
        <v>34</v>
      </c>
      <c r="CV1286" s="14">
        <f t="shared" ref="CV1286:CV1349" si="1122">INDEX($Q$6:$Q$50,CT1286)</f>
        <v>3</v>
      </c>
      <c r="CW1286" s="14">
        <f t="shared" ref="CW1286:CW1349" si="1123">INDEX($N$6:$N$50,CT1286)</f>
        <v>1102026</v>
      </c>
      <c r="CX1286" s="14" t="str">
        <f>INDEX($O$6:$O$50,CT1286)&amp;"-"&amp;INDEX(属性投放!$AB$7:$AB$50,CZ1286)&amp;"-魂火-"&amp;DB1286</f>
        <v>雷震子-焦热+2-魂火-1</v>
      </c>
      <c r="CY1286" s="25" t="s">
        <v>142</v>
      </c>
      <c r="CZ1286" s="14">
        <f>INDEX(属性投放!$AM$7:$AM$58,CU1286)</f>
        <v>15</v>
      </c>
      <c r="DA1286" s="14" t="s">
        <v>537</v>
      </c>
      <c r="DB1286" s="14">
        <f>INDEX(属性投放!$AN$7:$AN$58,CU1286)</f>
        <v>1</v>
      </c>
      <c r="DC1286" s="14">
        <f t="shared" si="1120"/>
        <v>34</v>
      </c>
      <c r="DD1286" s="14">
        <f>INDEX(属性投放!$AO$7:$AO$58,DC1286)</f>
        <v>103</v>
      </c>
      <c r="DE1286" s="14" t="s">
        <v>242</v>
      </c>
      <c r="DF1286" s="14">
        <f>INDEX(属性投放!$BK$6:$BK$85,(CV1286-2)*20+CZ1286)</f>
        <v>400</v>
      </c>
      <c r="DG1286" s="14">
        <f>SUMIFS(DF$5:DF1286,$CT$5:$CT1286,"="&amp;$CT1286)</f>
        <v>4470</v>
      </c>
      <c r="DH1286" s="14" t="s">
        <v>198</v>
      </c>
      <c r="DI1286" s="14">
        <f>INDEX(属性投放!$BL$6:$BL$85,(CV1286-2)*20+CZ1286)</f>
        <v>200</v>
      </c>
      <c r="DJ1286" s="14">
        <f>SUMIFS(DI$5:DI1286,$CT$5:$CT1286,"="&amp;$CT1286)</f>
        <v>2238</v>
      </c>
      <c r="DK1286" s="14" t="s">
        <v>25</v>
      </c>
      <c r="DL1286" s="14">
        <f>INDEX(属性投放!$BM$6:$BM$85,(CV1286-2)*20+CZ1286)</f>
        <v>4000</v>
      </c>
      <c r="DM1286" s="14">
        <f>SUMIFS(DL$5:DL1286,$CT$5:$CT1286,"="&amp;$CT1286)</f>
        <v>40740</v>
      </c>
    </row>
    <row r="1287" spans="97:117" ht="16.5" x14ac:dyDescent="0.2">
      <c r="CS1287" s="13">
        <v>1283</v>
      </c>
      <c r="CT1287" s="13">
        <f t="shared" si="1121"/>
        <v>25</v>
      </c>
      <c r="CU1287" s="13">
        <f t="shared" si="1119"/>
        <v>35</v>
      </c>
      <c r="CV1287" s="14">
        <f t="shared" si="1122"/>
        <v>3</v>
      </c>
      <c r="CW1287" s="14">
        <f t="shared" si="1123"/>
        <v>1102026</v>
      </c>
      <c r="CX1287" s="14" t="str">
        <f>INDEX($O$6:$O$50,CT1287)&amp;"-"&amp;INDEX(属性投放!$AB$7:$AB$50,CZ1287)&amp;"-魂火-"&amp;DB1287</f>
        <v>雷震子-焦热+2-魂火-2</v>
      </c>
      <c r="CY1287" s="25" t="s">
        <v>142</v>
      </c>
      <c r="CZ1287" s="14">
        <f>INDEX(属性投放!$AM$7:$AM$58,CU1287)</f>
        <v>15</v>
      </c>
      <c r="DA1287" s="14" t="s">
        <v>537</v>
      </c>
      <c r="DB1287" s="14">
        <f>INDEX(属性投放!$AN$7:$AN$58,CU1287)</f>
        <v>2</v>
      </c>
      <c r="DC1287" s="14">
        <f t="shared" si="1120"/>
        <v>35</v>
      </c>
      <c r="DD1287" s="14">
        <f>INDEX(属性投放!$AO$7:$AO$58,DC1287)</f>
        <v>105</v>
      </c>
      <c r="DE1287" s="14" t="s">
        <v>242</v>
      </c>
      <c r="DF1287" s="14">
        <f>INDEX(属性投放!$BK$6:$BK$85,(CV1287-2)*20+CZ1287)</f>
        <v>400</v>
      </c>
      <c r="DG1287" s="14">
        <f>SUMIFS(DF$5:DF1287,$CT$5:$CT1287,"="&amp;$CT1287)</f>
        <v>4870</v>
      </c>
      <c r="DH1287" s="14" t="s">
        <v>198</v>
      </c>
      <c r="DI1287" s="14">
        <f>INDEX(属性投放!$BL$6:$BL$85,(CV1287-2)*20+CZ1287)</f>
        <v>200</v>
      </c>
      <c r="DJ1287" s="14">
        <f>SUMIFS(DI$5:DI1287,$CT$5:$CT1287,"="&amp;$CT1287)</f>
        <v>2438</v>
      </c>
      <c r="DK1287" s="14" t="s">
        <v>25</v>
      </c>
      <c r="DL1287" s="14">
        <f>INDEX(属性投放!$BM$6:$BM$85,(CV1287-2)*20+CZ1287)</f>
        <v>4000</v>
      </c>
      <c r="DM1287" s="14">
        <f>SUMIFS(DL$5:DL1287,$CT$5:$CT1287,"="&amp;$CT1287)</f>
        <v>44740</v>
      </c>
    </row>
    <row r="1288" spans="97:117" ht="16.5" x14ac:dyDescent="0.2">
      <c r="CS1288" s="13">
        <v>1284</v>
      </c>
      <c r="CT1288" s="13">
        <f t="shared" si="1121"/>
        <v>25</v>
      </c>
      <c r="CU1288" s="13">
        <f t="shared" si="1119"/>
        <v>36</v>
      </c>
      <c r="CV1288" s="14">
        <f t="shared" si="1122"/>
        <v>3</v>
      </c>
      <c r="CW1288" s="14">
        <f t="shared" si="1123"/>
        <v>1102026</v>
      </c>
      <c r="CX1288" s="14" t="str">
        <f>INDEX($O$6:$O$50,CT1288)&amp;"-"&amp;INDEX(属性投放!$AB$7:$AB$50,CZ1288)&amp;"-魂火-"&amp;DB1288</f>
        <v>雷震子-焦热+2-魂火-3</v>
      </c>
      <c r="CY1288" s="25" t="s">
        <v>142</v>
      </c>
      <c r="CZ1288" s="14">
        <f>INDEX(属性投放!$AM$7:$AM$58,CU1288)</f>
        <v>15</v>
      </c>
      <c r="DA1288" s="14" t="s">
        <v>537</v>
      </c>
      <c r="DB1288" s="14">
        <f>INDEX(属性投放!$AN$7:$AN$58,CU1288)</f>
        <v>3</v>
      </c>
      <c r="DC1288" s="14">
        <f t="shared" si="1120"/>
        <v>36</v>
      </c>
      <c r="DD1288" s="14">
        <f>INDEX(属性投放!$AO$7:$AO$58,DC1288)</f>
        <v>108</v>
      </c>
      <c r="DE1288" s="14" t="s">
        <v>242</v>
      </c>
      <c r="DF1288" s="14">
        <f>INDEX(属性投放!$BK$6:$BK$85,(CV1288-2)*20+CZ1288)</f>
        <v>400</v>
      </c>
      <c r="DG1288" s="14">
        <f>SUMIFS(DF$5:DF1288,$CT$5:$CT1288,"="&amp;$CT1288)</f>
        <v>5270</v>
      </c>
      <c r="DH1288" s="14" t="s">
        <v>198</v>
      </c>
      <c r="DI1288" s="14">
        <f>INDEX(属性投放!$BL$6:$BL$85,(CV1288-2)*20+CZ1288)</f>
        <v>200</v>
      </c>
      <c r="DJ1288" s="14">
        <f>SUMIFS(DI$5:DI1288,$CT$5:$CT1288,"="&amp;$CT1288)</f>
        <v>2638</v>
      </c>
      <c r="DK1288" s="14" t="s">
        <v>25</v>
      </c>
      <c r="DL1288" s="14">
        <f>INDEX(属性投放!$BM$6:$BM$85,(CV1288-2)*20+CZ1288)</f>
        <v>4000</v>
      </c>
      <c r="DM1288" s="14">
        <f>SUMIFS(DL$5:DL1288,$CT$5:$CT1288,"="&amp;$CT1288)</f>
        <v>48740</v>
      </c>
    </row>
    <row r="1289" spans="97:117" ht="16.5" x14ac:dyDescent="0.2">
      <c r="CS1289" s="13">
        <v>1285</v>
      </c>
      <c r="CT1289" s="13">
        <f t="shared" si="1121"/>
        <v>25</v>
      </c>
      <c r="CU1289" s="13">
        <f t="shared" si="1119"/>
        <v>37</v>
      </c>
      <c r="CV1289" s="14">
        <f t="shared" si="1122"/>
        <v>3</v>
      </c>
      <c r="CW1289" s="14">
        <f t="shared" si="1123"/>
        <v>1102026</v>
      </c>
      <c r="CX1289" s="14" t="str">
        <f>INDEX($O$6:$O$50,CT1289)&amp;"-"&amp;INDEX(属性投放!$AB$7:$AB$50,CZ1289)&amp;"-魂火-"&amp;DB1289</f>
        <v>雷震子-大焦热-魂火-1</v>
      </c>
      <c r="CY1289" s="25" t="s">
        <v>142</v>
      </c>
      <c r="CZ1289" s="14">
        <f>INDEX(属性投放!$AM$7:$AM$58,CU1289)</f>
        <v>16</v>
      </c>
      <c r="DA1289" s="14" t="s">
        <v>537</v>
      </c>
      <c r="DB1289" s="14">
        <f>INDEX(属性投放!$AN$7:$AN$58,CU1289)</f>
        <v>1</v>
      </c>
      <c r="DC1289" s="14">
        <f t="shared" si="1120"/>
        <v>37</v>
      </c>
      <c r="DD1289" s="14">
        <f>INDEX(属性投放!$AO$7:$AO$58,DC1289)</f>
        <v>110</v>
      </c>
      <c r="DE1289" s="14" t="s">
        <v>242</v>
      </c>
      <c r="DF1289" s="14">
        <f>INDEX(属性投放!$BK$6:$BK$85,(CV1289-2)*20+CZ1289)</f>
        <v>500</v>
      </c>
      <c r="DG1289" s="14">
        <f>SUMIFS(DF$5:DF1289,$CT$5:$CT1289,"="&amp;$CT1289)</f>
        <v>5770</v>
      </c>
      <c r="DH1289" s="14" t="s">
        <v>198</v>
      </c>
      <c r="DI1289" s="14">
        <f>INDEX(属性投放!$BL$6:$BL$85,(CV1289-2)*20+CZ1289)</f>
        <v>250</v>
      </c>
      <c r="DJ1289" s="14">
        <f>SUMIFS(DI$5:DI1289,$CT$5:$CT1289,"="&amp;$CT1289)</f>
        <v>2888</v>
      </c>
      <c r="DK1289" s="14" t="s">
        <v>25</v>
      </c>
      <c r="DL1289" s="14">
        <f>INDEX(属性投放!$BM$6:$BM$85,(CV1289-2)*20+CZ1289)</f>
        <v>5000</v>
      </c>
      <c r="DM1289" s="14">
        <f>SUMIFS(DL$5:DL1289,$CT$5:$CT1289,"="&amp;$CT1289)</f>
        <v>53740</v>
      </c>
    </row>
    <row r="1290" spans="97:117" ht="16.5" x14ac:dyDescent="0.2">
      <c r="CS1290" s="13">
        <v>1286</v>
      </c>
      <c r="CT1290" s="13">
        <f t="shared" si="1121"/>
        <v>25</v>
      </c>
      <c r="CU1290" s="13">
        <f t="shared" si="1119"/>
        <v>38</v>
      </c>
      <c r="CV1290" s="14">
        <f t="shared" si="1122"/>
        <v>3</v>
      </c>
      <c r="CW1290" s="14">
        <f t="shared" si="1123"/>
        <v>1102026</v>
      </c>
      <c r="CX1290" s="14" t="str">
        <f>INDEX($O$6:$O$50,CT1290)&amp;"-"&amp;INDEX(属性投放!$AB$7:$AB$50,CZ1290)&amp;"-魂火-"&amp;DB1290</f>
        <v>雷震子-大焦热-魂火-2</v>
      </c>
      <c r="CY1290" s="25" t="s">
        <v>142</v>
      </c>
      <c r="CZ1290" s="14">
        <f>INDEX(属性投放!$AM$7:$AM$58,CU1290)</f>
        <v>16</v>
      </c>
      <c r="DA1290" s="14" t="s">
        <v>537</v>
      </c>
      <c r="DB1290" s="14">
        <f>INDEX(属性投放!$AN$7:$AN$58,CU1290)</f>
        <v>2</v>
      </c>
      <c r="DC1290" s="14">
        <f t="shared" si="1120"/>
        <v>38</v>
      </c>
      <c r="DD1290" s="14">
        <f>INDEX(属性投放!$AO$7:$AO$58,DC1290)</f>
        <v>113</v>
      </c>
      <c r="DE1290" s="14" t="s">
        <v>242</v>
      </c>
      <c r="DF1290" s="14">
        <f>INDEX(属性投放!$BK$6:$BK$85,(CV1290-2)*20+CZ1290)</f>
        <v>500</v>
      </c>
      <c r="DG1290" s="14">
        <f>SUMIFS(DF$5:DF1290,$CT$5:$CT1290,"="&amp;$CT1290)</f>
        <v>6270</v>
      </c>
      <c r="DH1290" s="14" t="s">
        <v>198</v>
      </c>
      <c r="DI1290" s="14">
        <f>INDEX(属性投放!$BL$6:$BL$85,(CV1290-2)*20+CZ1290)</f>
        <v>250</v>
      </c>
      <c r="DJ1290" s="14">
        <f>SUMIFS(DI$5:DI1290,$CT$5:$CT1290,"="&amp;$CT1290)</f>
        <v>3138</v>
      </c>
      <c r="DK1290" s="14" t="s">
        <v>25</v>
      </c>
      <c r="DL1290" s="14">
        <f>INDEX(属性投放!$BM$6:$BM$85,(CV1290-2)*20+CZ1290)</f>
        <v>5000</v>
      </c>
      <c r="DM1290" s="14">
        <f>SUMIFS(DL$5:DL1290,$CT$5:$CT1290,"="&amp;$CT1290)</f>
        <v>58740</v>
      </c>
    </row>
    <row r="1291" spans="97:117" ht="16.5" x14ac:dyDescent="0.2">
      <c r="CS1291" s="13">
        <v>1287</v>
      </c>
      <c r="CT1291" s="13">
        <f t="shared" si="1121"/>
        <v>25</v>
      </c>
      <c r="CU1291" s="13">
        <f t="shared" si="1119"/>
        <v>39</v>
      </c>
      <c r="CV1291" s="14">
        <f t="shared" si="1122"/>
        <v>3</v>
      </c>
      <c r="CW1291" s="14">
        <f t="shared" si="1123"/>
        <v>1102026</v>
      </c>
      <c r="CX1291" s="14" t="str">
        <f>INDEX($O$6:$O$50,CT1291)&amp;"-"&amp;INDEX(属性投放!$AB$7:$AB$50,CZ1291)&amp;"-魂火-"&amp;DB1291</f>
        <v>雷震子-大焦热-魂火-3</v>
      </c>
      <c r="CY1291" s="25" t="s">
        <v>142</v>
      </c>
      <c r="CZ1291" s="14">
        <f>INDEX(属性投放!$AM$7:$AM$58,CU1291)</f>
        <v>16</v>
      </c>
      <c r="DA1291" s="14" t="s">
        <v>537</v>
      </c>
      <c r="DB1291" s="14">
        <f>INDEX(属性投放!$AN$7:$AN$58,CU1291)</f>
        <v>3</v>
      </c>
      <c r="DC1291" s="14">
        <f t="shared" si="1120"/>
        <v>39</v>
      </c>
      <c r="DD1291" s="14">
        <f>INDEX(属性投放!$AO$7:$AO$58,DC1291)</f>
        <v>115</v>
      </c>
      <c r="DE1291" s="14" t="s">
        <v>242</v>
      </c>
      <c r="DF1291" s="14">
        <f>INDEX(属性投放!$BK$6:$BK$85,(CV1291-2)*20+CZ1291)</f>
        <v>500</v>
      </c>
      <c r="DG1291" s="14">
        <f>SUMIFS(DF$5:DF1291,$CT$5:$CT1291,"="&amp;$CT1291)</f>
        <v>6770</v>
      </c>
      <c r="DH1291" s="14" t="s">
        <v>198</v>
      </c>
      <c r="DI1291" s="14">
        <f>INDEX(属性投放!$BL$6:$BL$85,(CV1291-2)*20+CZ1291)</f>
        <v>250</v>
      </c>
      <c r="DJ1291" s="14">
        <f>SUMIFS(DI$5:DI1291,$CT$5:$CT1291,"="&amp;$CT1291)</f>
        <v>3388</v>
      </c>
      <c r="DK1291" s="14" t="s">
        <v>25</v>
      </c>
      <c r="DL1291" s="14">
        <f>INDEX(属性投放!$BM$6:$BM$85,(CV1291-2)*20+CZ1291)</f>
        <v>5000</v>
      </c>
      <c r="DM1291" s="14">
        <f>SUMIFS(DL$5:DL1291,$CT$5:$CT1291,"="&amp;$CT1291)</f>
        <v>63740</v>
      </c>
    </row>
    <row r="1292" spans="97:117" ht="16.5" x14ac:dyDescent="0.2">
      <c r="CS1292" s="13">
        <v>1288</v>
      </c>
      <c r="CT1292" s="13">
        <f t="shared" si="1121"/>
        <v>25</v>
      </c>
      <c r="CU1292" s="13">
        <f t="shared" si="1119"/>
        <v>40</v>
      </c>
      <c r="CV1292" s="14">
        <f t="shared" si="1122"/>
        <v>3</v>
      </c>
      <c r="CW1292" s="14">
        <f t="shared" si="1123"/>
        <v>1102026</v>
      </c>
      <c r="CX1292" s="14" t="str">
        <f>INDEX($O$6:$O$50,CT1292)&amp;"-"&amp;INDEX(属性投放!$AB$7:$AB$50,CZ1292)&amp;"-魂火-"&amp;DB1292</f>
        <v>雷震子-大焦热+1-魂火-1</v>
      </c>
      <c r="CY1292" s="25" t="s">
        <v>142</v>
      </c>
      <c r="CZ1292" s="14">
        <f>INDEX(属性投放!$AM$7:$AM$58,CU1292)</f>
        <v>17</v>
      </c>
      <c r="DA1292" s="14" t="s">
        <v>537</v>
      </c>
      <c r="DB1292" s="14">
        <f>INDEX(属性投放!$AN$7:$AN$58,CU1292)</f>
        <v>1</v>
      </c>
      <c r="DC1292" s="14">
        <f t="shared" si="1120"/>
        <v>40</v>
      </c>
      <c r="DD1292" s="14">
        <f>INDEX(属性投放!$AO$7:$AO$58,DC1292)</f>
        <v>118</v>
      </c>
      <c r="DE1292" s="14" t="s">
        <v>242</v>
      </c>
      <c r="DF1292" s="14">
        <f>INDEX(属性投放!$BK$6:$BK$85,(CV1292-2)*20+CZ1292)</f>
        <v>600</v>
      </c>
      <c r="DG1292" s="14">
        <f>SUMIFS(DF$5:DF1292,$CT$5:$CT1292,"="&amp;$CT1292)</f>
        <v>7370</v>
      </c>
      <c r="DH1292" s="14" t="s">
        <v>198</v>
      </c>
      <c r="DI1292" s="14">
        <f>INDEX(属性投放!$BL$6:$BL$85,(CV1292-2)*20+CZ1292)</f>
        <v>300</v>
      </c>
      <c r="DJ1292" s="14">
        <f>SUMIFS(DI$5:DI1292,$CT$5:$CT1292,"="&amp;$CT1292)</f>
        <v>3688</v>
      </c>
      <c r="DK1292" s="14" t="s">
        <v>25</v>
      </c>
      <c r="DL1292" s="14">
        <f>INDEX(属性投放!$BM$6:$BM$85,(CV1292-2)*20+CZ1292)</f>
        <v>6000</v>
      </c>
      <c r="DM1292" s="14">
        <f>SUMIFS(DL$5:DL1292,$CT$5:$CT1292,"="&amp;$CT1292)</f>
        <v>69740</v>
      </c>
    </row>
    <row r="1293" spans="97:117" ht="16.5" x14ac:dyDescent="0.2">
      <c r="CS1293" s="13">
        <v>1289</v>
      </c>
      <c r="CT1293" s="13">
        <f t="shared" si="1121"/>
        <v>25</v>
      </c>
      <c r="CU1293" s="13">
        <f t="shared" si="1119"/>
        <v>41</v>
      </c>
      <c r="CV1293" s="14">
        <f t="shared" si="1122"/>
        <v>3</v>
      </c>
      <c r="CW1293" s="14">
        <f t="shared" si="1123"/>
        <v>1102026</v>
      </c>
      <c r="CX1293" s="14" t="str">
        <f>INDEX($O$6:$O$50,CT1293)&amp;"-"&amp;INDEX(属性投放!$AB$7:$AB$50,CZ1293)&amp;"-魂火-"&amp;DB1293</f>
        <v>雷震子-大焦热+1-魂火-2</v>
      </c>
      <c r="CY1293" s="25" t="s">
        <v>142</v>
      </c>
      <c r="CZ1293" s="14">
        <f>INDEX(属性投放!$AM$7:$AM$58,CU1293)</f>
        <v>17</v>
      </c>
      <c r="DA1293" s="14" t="s">
        <v>537</v>
      </c>
      <c r="DB1293" s="14">
        <f>INDEX(属性投放!$AN$7:$AN$58,CU1293)</f>
        <v>2</v>
      </c>
      <c r="DC1293" s="14">
        <f t="shared" si="1120"/>
        <v>41</v>
      </c>
      <c r="DD1293" s="14">
        <f>INDEX(属性投放!$AO$7:$AO$58,DC1293)</f>
        <v>120</v>
      </c>
      <c r="DE1293" s="14" t="s">
        <v>242</v>
      </c>
      <c r="DF1293" s="14">
        <f>INDEX(属性投放!$BK$6:$BK$85,(CV1293-2)*20+CZ1293)</f>
        <v>600</v>
      </c>
      <c r="DG1293" s="14">
        <f>SUMIFS(DF$5:DF1293,$CT$5:$CT1293,"="&amp;$CT1293)</f>
        <v>7970</v>
      </c>
      <c r="DH1293" s="14" t="s">
        <v>198</v>
      </c>
      <c r="DI1293" s="14">
        <f>INDEX(属性投放!$BL$6:$BL$85,(CV1293-2)*20+CZ1293)</f>
        <v>300</v>
      </c>
      <c r="DJ1293" s="14">
        <f>SUMIFS(DI$5:DI1293,$CT$5:$CT1293,"="&amp;$CT1293)</f>
        <v>3988</v>
      </c>
      <c r="DK1293" s="14" t="s">
        <v>25</v>
      </c>
      <c r="DL1293" s="14">
        <f>INDEX(属性投放!$BM$6:$BM$85,(CV1293-2)*20+CZ1293)</f>
        <v>6000</v>
      </c>
      <c r="DM1293" s="14">
        <f>SUMIFS(DL$5:DL1293,$CT$5:$CT1293,"="&amp;$CT1293)</f>
        <v>75740</v>
      </c>
    </row>
    <row r="1294" spans="97:117" ht="16.5" x14ac:dyDescent="0.2">
      <c r="CS1294" s="13">
        <v>1290</v>
      </c>
      <c r="CT1294" s="13">
        <f t="shared" si="1121"/>
        <v>25</v>
      </c>
      <c r="CU1294" s="13">
        <f t="shared" si="1119"/>
        <v>42</v>
      </c>
      <c r="CV1294" s="14">
        <f t="shared" si="1122"/>
        <v>3</v>
      </c>
      <c r="CW1294" s="14">
        <f t="shared" si="1123"/>
        <v>1102026</v>
      </c>
      <c r="CX1294" s="14" t="str">
        <f>INDEX($O$6:$O$50,CT1294)&amp;"-"&amp;INDEX(属性投放!$AB$7:$AB$50,CZ1294)&amp;"-魂火-"&amp;DB1294</f>
        <v>雷震子-大焦热+1-魂火-3</v>
      </c>
      <c r="CY1294" s="25" t="s">
        <v>142</v>
      </c>
      <c r="CZ1294" s="14">
        <f>INDEX(属性投放!$AM$7:$AM$58,CU1294)</f>
        <v>17</v>
      </c>
      <c r="DA1294" s="14" t="s">
        <v>537</v>
      </c>
      <c r="DB1294" s="14">
        <f>INDEX(属性投放!$AN$7:$AN$58,CU1294)</f>
        <v>3</v>
      </c>
      <c r="DC1294" s="14">
        <f t="shared" si="1120"/>
        <v>42</v>
      </c>
      <c r="DD1294" s="14">
        <f>INDEX(属性投放!$AO$7:$AO$58,DC1294)</f>
        <v>123</v>
      </c>
      <c r="DE1294" s="14" t="s">
        <v>242</v>
      </c>
      <c r="DF1294" s="14">
        <f>INDEX(属性投放!$BK$6:$BK$85,(CV1294-2)*20+CZ1294)</f>
        <v>600</v>
      </c>
      <c r="DG1294" s="14">
        <f>SUMIFS(DF$5:DF1294,$CT$5:$CT1294,"="&amp;$CT1294)</f>
        <v>8570</v>
      </c>
      <c r="DH1294" s="14" t="s">
        <v>198</v>
      </c>
      <c r="DI1294" s="14">
        <f>INDEX(属性投放!$BL$6:$BL$85,(CV1294-2)*20+CZ1294)</f>
        <v>300</v>
      </c>
      <c r="DJ1294" s="14">
        <f>SUMIFS(DI$5:DI1294,$CT$5:$CT1294,"="&amp;$CT1294)</f>
        <v>4288</v>
      </c>
      <c r="DK1294" s="14" t="s">
        <v>25</v>
      </c>
      <c r="DL1294" s="14">
        <f>INDEX(属性投放!$BM$6:$BM$85,(CV1294-2)*20+CZ1294)</f>
        <v>6000</v>
      </c>
      <c r="DM1294" s="14">
        <f>SUMIFS(DL$5:DL1294,$CT$5:$CT1294,"="&amp;$CT1294)</f>
        <v>81740</v>
      </c>
    </row>
    <row r="1295" spans="97:117" ht="16.5" x14ac:dyDescent="0.2">
      <c r="CS1295" s="13">
        <v>1291</v>
      </c>
      <c r="CT1295" s="13">
        <f t="shared" si="1121"/>
        <v>25</v>
      </c>
      <c r="CU1295" s="13">
        <f t="shared" si="1119"/>
        <v>43</v>
      </c>
      <c r="CV1295" s="14">
        <f t="shared" si="1122"/>
        <v>3</v>
      </c>
      <c r="CW1295" s="14">
        <f t="shared" si="1123"/>
        <v>1102026</v>
      </c>
      <c r="CX1295" s="14" t="str">
        <f>INDEX($O$6:$O$50,CT1295)&amp;"-"&amp;INDEX(属性投放!$AB$7:$AB$50,CZ1295)&amp;"-魂火-"&amp;DB1295</f>
        <v>雷震子-大焦热+2-魂火-1</v>
      </c>
      <c r="CY1295" s="25" t="s">
        <v>142</v>
      </c>
      <c r="CZ1295" s="14">
        <f>INDEX(属性投放!$AM$7:$AM$58,CU1295)</f>
        <v>18</v>
      </c>
      <c r="DA1295" s="14" t="s">
        <v>537</v>
      </c>
      <c r="DB1295" s="14">
        <f>INDEX(属性投放!$AN$7:$AN$58,CU1295)</f>
        <v>1</v>
      </c>
      <c r="DC1295" s="14">
        <f t="shared" si="1120"/>
        <v>43</v>
      </c>
      <c r="DD1295" s="14">
        <f>INDEX(属性投放!$AO$7:$AO$58,DC1295)</f>
        <v>125</v>
      </c>
      <c r="DE1295" s="14" t="s">
        <v>242</v>
      </c>
      <c r="DF1295" s="14">
        <f>INDEX(属性投放!$BK$6:$BK$85,(CV1295-2)*20+CZ1295)</f>
        <v>700</v>
      </c>
      <c r="DG1295" s="14">
        <f>SUMIFS(DF$5:DF1295,$CT$5:$CT1295,"="&amp;$CT1295)</f>
        <v>9270</v>
      </c>
      <c r="DH1295" s="14" t="s">
        <v>198</v>
      </c>
      <c r="DI1295" s="14">
        <f>INDEX(属性投放!$BL$6:$BL$85,(CV1295-2)*20+CZ1295)</f>
        <v>350</v>
      </c>
      <c r="DJ1295" s="14">
        <f>SUMIFS(DI$5:DI1295,$CT$5:$CT1295,"="&amp;$CT1295)</f>
        <v>4638</v>
      </c>
      <c r="DK1295" s="14" t="s">
        <v>25</v>
      </c>
      <c r="DL1295" s="14">
        <f>INDEX(属性投放!$BM$6:$BM$85,(CV1295-2)*20+CZ1295)</f>
        <v>7000</v>
      </c>
      <c r="DM1295" s="14">
        <f>SUMIFS(DL$5:DL1295,$CT$5:$CT1295,"="&amp;$CT1295)</f>
        <v>88740</v>
      </c>
    </row>
    <row r="1296" spans="97:117" ht="16.5" x14ac:dyDescent="0.2">
      <c r="CS1296" s="13">
        <v>1292</v>
      </c>
      <c r="CT1296" s="13">
        <f t="shared" si="1121"/>
        <v>25</v>
      </c>
      <c r="CU1296" s="13">
        <f t="shared" si="1119"/>
        <v>44</v>
      </c>
      <c r="CV1296" s="14">
        <f t="shared" si="1122"/>
        <v>3</v>
      </c>
      <c r="CW1296" s="14">
        <f t="shared" si="1123"/>
        <v>1102026</v>
      </c>
      <c r="CX1296" s="14" t="str">
        <f>INDEX($O$6:$O$50,CT1296)&amp;"-"&amp;INDEX(属性投放!$AB$7:$AB$50,CZ1296)&amp;"-魂火-"&amp;DB1296</f>
        <v>雷震子-大焦热+2-魂火-2</v>
      </c>
      <c r="CY1296" s="25" t="s">
        <v>142</v>
      </c>
      <c r="CZ1296" s="14">
        <f>INDEX(属性投放!$AM$7:$AM$58,CU1296)</f>
        <v>18</v>
      </c>
      <c r="DA1296" s="14" t="s">
        <v>537</v>
      </c>
      <c r="DB1296" s="14">
        <f>INDEX(属性投放!$AN$7:$AN$58,CU1296)</f>
        <v>2</v>
      </c>
      <c r="DC1296" s="14">
        <f t="shared" si="1120"/>
        <v>44</v>
      </c>
      <c r="DD1296" s="14">
        <f>INDEX(属性投放!$AO$7:$AO$58,DC1296)</f>
        <v>128</v>
      </c>
      <c r="DE1296" s="14" t="s">
        <v>242</v>
      </c>
      <c r="DF1296" s="14">
        <f>INDEX(属性投放!$BK$6:$BK$85,(CV1296-2)*20+CZ1296)</f>
        <v>700</v>
      </c>
      <c r="DG1296" s="14">
        <f>SUMIFS(DF$5:DF1296,$CT$5:$CT1296,"="&amp;$CT1296)</f>
        <v>9970</v>
      </c>
      <c r="DH1296" s="14" t="s">
        <v>198</v>
      </c>
      <c r="DI1296" s="14">
        <f>INDEX(属性投放!$BL$6:$BL$85,(CV1296-2)*20+CZ1296)</f>
        <v>350</v>
      </c>
      <c r="DJ1296" s="14">
        <f>SUMIFS(DI$5:DI1296,$CT$5:$CT1296,"="&amp;$CT1296)</f>
        <v>4988</v>
      </c>
      <c r="DK1296" s="14" t="s">
        <v>25</v>
      </c>
      <c r="DL1296" s="14">
        <f>INDEX(属性投放!$BM$6:$BM$85,(CV1296-2)*20+CZ1296)</f>
        <v>7000</v>
      </c>
      <c r="DM1296" s="14">
        <f>SUMIFS(DL$5:DL1296,$CT$5:$CT1296,"="&amp;$CT1296)</f>
        <v>95740</v>
      </c>
    </row>
    <row r="1297" spans="97:117" ht="16.5" x14ac:dyDescent="0.2">
      <c r="CS1297" s="13">
        <v>1293</v>
      </c>
      <c r="CT1297" s="13">
        <f t="shared" si="1121"/>
        <v>25</v>
      </c>
      <c r="CU1297" s="13">
        <f t="shared" si="1119"/>
        <v>45</v>
      </c>
      <c r="CV1297" s="14">
        <f t="shared" si="1122"/>
        <v>3</v>
      </c>
      <c r="CW1297" s="14">
        <f t="shared" si="1123"/>
        <v>1102026</v>
      </c>
      <c r="CX1297" s="14" t="str">
        <f>INDEX($O$6:$O$50,CT1297)&amp;"-"&amp;INDEX(属性投放!$AB$7:$AB$50,CZ1297)&amp;"-魂火-"&amp;DB1297</f>
        <v>雷震子-大焦热+2-魂火-3</v>
      </c>
      <c r="CY1297" s="25" t="s">
        <v>142</v>
      </c>
      <c r="CZ1297" s="14">
        <f>INDEX(属性投放!$AM$7:$AM$58,CU1297)</f>
        <v>18</v>
      </c>
      <c r="DA1297" s="14" t="s">
        <v>537</v>
      </c>
      <c r="DB1297" s="14">
        <f>INDEX(属性投放!$AN$7:$AN$58,CU1297)</f>
        <v>3</v>
      </c>
      <c r="DC1297" s="14">
        <f t="shared" si="1120"/>
        <v>45</v>
      </c>
      <c r="DD1297" s="14">
        <f>INDEX(属性投放!$AO$7:$AO$58,DC1297)</f>
        <v>130</v>
      </c>
      <c r="DE1297" s="14" t="s">
        <v>242</v>
      </c>
      <c r="DF1297" s="14">
        <f>INDEX(属性投放!$BK$6:$BK$85,(CV1297-2)*20+CZ1297)</f>
        <v>700</v>
      </c>
      <c r="DG1297" s="14">
        <f>SUMIFS(DF$5:DF1297,$CT$5:$CT1297,"="&amp;$CT1297)</f>
        <v>10670</v>
      </c>
      <c r="DH1297" s="14" t="s">
        <v>198</v>
      </c>
      <c r="DI1297" s="14">
        <f>INDEX(属性投放!$BL$6:$BL$85,(CV1297-2)*20+CZ1297)</f>
        <v>350</v>
      </c>
      <c r="DJ1297" s="14">
        <f>SUMIFS(DI$5:DI1297,$CT$5:$CT1297,"="&amp;$CT1297)</f>
        <v>5338</v>
      </c>
      <c r="DK1297" s="14" t="s">
        <v>25</v>
      </c>
      <c r="DL1297" s="14">
        <f>INDEX(属性投放!$BM$6:$BM$85,(CV1297-2)*20+CZ1297)</f>
        <v>7000</v>
      </c>
      <c r="DM1297" s="14">
        <f>SUMIFS(DL$5:DL1297,$CT$5:$CT1297,"="&amp;$CT1297)</f>
        <v>102740</v>
      </c>
    </row>
    <row r="1298" spans="97:117" ht="16.5" x14ac:dyDescent="0.2">
      <c r="CS1298" s="13">
        <v>1294</v>
      </c>
      <c r="CT1298" s="13">
        <f t="shared" si="1121"/>
        <v>25</v>
      </c>
      <c r="CU1298" s="13">
        <f t="shared" si="1119"/>
        <v>46</v>
      </c>
      <c r="CV1298" s="14">
        <f t="shared" si="1122"/>
        <v>3</v>
      </c>
      <c r="CW1298" s="14">
        <f t="shared" si="1123"/>
        <v>1102026</v>
      </c>
      <c r="CX1298" s="14" t="str">
        <f>INDEX($O$6:$O$50,CT1298)&amp;"-"&amp;INDEX(属性投放!$AB$7:$AB$50,CZ1298)&amp;"-魂火-"&amp;DB1298</f>
        <v>雷震子-无间-魂火-1</v>
      </c>
      <c r="CY1298" s="25" t="s">
        <v>142</v>
      </c>
      <c r="CZ1298" s="14">
        <f>INDEX(属性投放!$AM$7:$AM$58,CU1298)</f>
        <v>19</v>
      </c>
      <c r="DA1298" s="14" t="s">
        <v>537</v>
      </c>
      <c r="DB1298" s="14">
        <f>INDEX(属性投放!$AN$7:$AN$58,CU1298)</f>
        <v>1</v>
      </c>
      <c r="DC1298" s="14">
        <f t="shared" si="1120"/>
        <v>46</v>
      </c>
      <c r="DD1298" s="14">
        <f>INDEX(属性投放!$AO$7:$AO$58,DC1298)</f>
        <v>133</v>
      </c>
      <c r="DE1298" s="14" t="s">
        <v>242</v>
      </c>
      <c r="DF1298" s="14">
        <f>INDEX(属性投放!$BK$6:$BK$85,(CV1298-2)*20+CZ1298)</f>
        <v>900</v>
      </c>
      <c r="DG1298" s="14">
        <f>SUMIFS(DF$5:DF1298,$CT$5:$CT1298,"="&amp;$CT1298)</f>
        <v>11570</v>
      </c>
      <c r="DH1298" s="14" t="s">
        <v>198</v>
      </c>
      <c r="DI1298" s="14">
        <f>INDEX(属性投放!$BL$6:$BL$85,(CV1298-2)*20+CZ1298)</f>
        <v>450</v>
      </c>
      <c r="DJ1298" s="14">
        <f>SUMIFS(DI$5:DI1298,$CT$5:$CT1298,"="&amp;$CT1298)</f>
        <v>5788</v>
      </c>
      <c r="DK1298" s="14" t="s">
        <v>25</v>
      </c>
      <c r="DL1298" s="14">
        <f>INDEX(属性投放!$BM$6:$BM$85,(CV1298-2)*20+CZ1298)</f>
        <v>9000</v>
      </c>
      <c r="DM1298" s="14">
        <f>SUMIFS(DL$5:DL1298,$CT$5:$CT1298,"="&amp;$CT1298)</f>
        <v>111740</v>
      </c>
    </row>
    <row r="1299" spans="97:117" ht="16.5" x14ac:dyDescent="0.2">
      <c r="CS1299" s="13">
        <v>1295</v>
      </c>
      <c r="CT1299" s="13">
        <f t="shared" si="1121"/>
        <v>25</v>
      </c>
      <c r="CU1299" s="13">
        <f t="shared" si="1119"/>
        <v>47</v>
      </c>
      <c r="CV1299" s="14">
        <f t="shared" si="1122"/>
        <v>3</v>
      </c>
      <c r="CW1299" s="14">
        <f t="shared" si="1123"/>
        <v>1102026</v>
      </c>
      <c r="CX1299" s="14" t="str">
        <f>INDEX($O$6:$O$50,CT1299)&amp;"-"&amp;INDEX(属性投放!$AB$7:$AB$50,CZ1299)&amp;"-魂火-"&amp;DB1299</f>
        <v>雷震子-无间-魂火-2</v>
      </c>
      <c r="CY1299" s="25" t="s">
        <v>142</v>
      </c>
      <c r="CZ1299" s="14">
        <f>INDEX(属性投放!$AM$7:$AM$58,CU1299)</f>
        <v>19</v>
      </c>
      <c r="DA1299" s="14" t="s">
        <v>537</v>
      </c>
      <c r="DB1299" s="14">
        <f>INDEX(属性投放!$AN$7:$AN$58,CU1299)</f>
        <v>2</v>
      </c>
      <c r="DC1299" s="14">
        <f t="shared" si="1120"/>
        <v>47</v>
      </c>
      <c r="DD1299" s="14">
        <f>INDEX(属性投放!$AO$7:$AO$58,DC1299)</f>
        <v>135</v>
      </c>
      <c r="DE1299" s="14" t="s">
        <v>242</v>
      </c>
      <c r="DF1299" s="14">
        <f>INDEX(属性投放!$BK$6:$BK$85,(CV1299-2)*20+CZ1299)</f>
        <v>900</v>
      </c>
      <c r="DG1299" s="14">
        <f>SUMIFS(DF$5:DF1299,$CT$5:$CT1299,"="&amp;$CT1299)</f>
        <v>12470</v>
      </c>
      <c r="DH1299" s="14" t="s">
        <v>198</v>
      </c>
      <c r="DI1299" s="14">
        <f>INDEX(属性投放!$BL$6:$BL$85,(CV1299-2)*20+CZ1299)</f>
        <v>450</v>
      </c>
      <c r="DJ1299" s="14">
        <f>SUMIFS(DI$5:DI1299,$CT$5:$CT1299,"="&amp;$CT1299)</f>
        <v>6238</v>
      </c>
      <c r="DK1299" s="14" t="s">
        <v>25</v>
      </c>
      <c r="DL1299" s="14">
        <f>INDEX(属性投放!$BM$6:$BM$85,(CV1299-2)*20+CZ1299)</f>
        <v>9000</v>
      </c>
      <c r="DM1299" s="14">
        <f>SUMIFS(DL$5:DL1299,$CT$5:$CT1299,"="&amp;$CT1299)</f>
        <v>120740</v>
      </c>
    </row>
    <row r="1300" spans="97:117" ht="16.5" x14ac:dyDescent="0.2">
      <c r="CS1300" s="13">
        <v>1296</v>
      </c>
      <c r="CT1300" s="13">
        <f t="shared" si="1121"/>
        <v>25</v>
      </c>
      <c r="CU1300" s="13">
        <f t="shared" si="1119"/>
        <v>48</v>
      </c>
      <c r="CV1300" s="14">
        <f t="shared" si="1122"/>
        <v>3</v>
      </c>
      <c r="CW1300" s="14">
        <f t="shared" si="1123"/>
        <v>1102026</v>
      </c>
      <c r="CX1300" s="14" t="str">
        <f>INDEX($O$6:$O$50,CT1300)&amp;"-"&amp;INDEX(属性投放!$AB$7:$AB$50,CZ1300)&amp;"-魂火-"&amp;DB1300</f>
        <v>雷震子-无间-魂火-3</v>
      </c>
      <c r="CY1300" s="25" t="s">
        <v>142</v>
      </c>
      <c r="CZ1300" s="14">
        <f>INDEX(属性投放!$AM$7:$AM$58,CU1300)</f>
        <v>19</v>
      </c>
      <c r="DA1300" s="14" t="s">
        <v>537</v>
      </c>
      <c r="DB1300" s="14">
        <f>INDEX(属性投放!$AN$7:$AN$58,CU1300)</f>
        <v>3</v>
      </c>
      <c r="DC1300" s="14">
        <f t="shared" si="1120"/>
        <v>48</v>
      </c>
      <c r="DD1300" s="14">
        <f>INDEX(属性投放!$AO$7:$AO$58,DC1300)</f>
        <v>138</v>
      </c>
      <c r="DE1300" s="14" t="s">
        <v>242</v>
      </c>
      <c r="DF1300" s="14">
        <f>INDEX(属性投放!$BK$6:$BK$85,(CV1300-2)*20+CZ1300)</f>
        <v>900</v>
      </c>
      <c r="DG1300" s="14">
        <f>SUMIFS(DF$5:DF1300,$CT$5:$CT1300,"="&amp;$CT1300)</f>
        <v>13370</v>
      </c>
      <c r="DH1300" s="14" t="s">
        <v>198</v>
      </c>
      <c r="DI1300" s="14">
        <f>INDEX(属性投放!$BL$6:$BL$85,(CV1300-2)*20+CZ1300)</f>
        <v>450</v>
      </c>
      <c r="DJ1300" s="14">
        <f>SUMIFS(DI$5:DI1300,$CT$5:$CT1300,"="&amp;$CT1300)</f>
        <v>6688</v>
      </c>
      <c r="DK1300" s="14" t="s">
        <v>25</v>
      </c>
      <c r="DL1300" s="14">
        <f>INDEX(属性投放!$BM$6:$BM$85,(CV1300-2)*20+CZ1300)</f>
        <v>9000</v>
      </c>
      <c r="DM1300" s="14">
        <f>SUMIFS(DL$5:DL1300,$CT$5:$CT1300,"="&amp;$CT1300)</f>
        <v>129740</v>
      </c>
    </row>
    <row r="1301" spans="97:117" ht="16.5" x14ac:dyDescent="0.2">
      <c r="CS1301" s="13">
        <v>1297</v>
      </c>
      <c r="CT1301" s="13">
        <f t="shared" si="1121"/>
        <v>25</v>
      </c>
      <c r="CU1301" s="13">
        <f t="shared" si="1119"/>
        <v>49</v>
      </c>
      <c r="CV1301" s="14">
        <f t="shared" si="1122"/>
        <v>3</v>
      </c>
      <c r="CW1301" s="14">
        <f t="shared" si="1123"/>
        <v>1102026</v>
      </c>
      <c r="CX1301" s="14" t="str">
        <f>INDEX($O$6:$O$50,CT1301)&amp;"-"&amp;INDEX(属性投放!$AB$7:$AB$50,CZ1301)&amp;"-魂火-"&amp;DB1301</f>
        <v>雷震子-无间+1-魂火-1</v>
      </c>
      <c r="CY1301" s="25" t="s">
        <v>142</v>
      </c>
      <c r="CZ1301" s="14">
        <f>INDEX(属性投放!$AM$7:$AM$58,CU1301)</f>
        <v>20</v>
      </c>
      <c r="DA1301" s="14" t="s">
        <v>537</v>
      </c>
      <c r="DB1301" s="14">
        <f>INDEX(属性投放!$AN$7:$AN$58,CU1301)</f>
        <v>1</v>
      </c>
      <c r="DC1301" s="14">
        <f t="shared" si="1120"/>
        <v>49</v>
      </c>
      <c r="DD1301" s="14">
        <f>INDEX(属性投放!$AO$7:$AO$58,DC1301)</f>
        <v>140</v>
      </c>
      <c r="DE1301" s="14" t="s">
        <v>242</v>
      </c>
      <c r="DF1301" s="14">
        <f>INDEX(属性投放!$BK$6:$BK$85,(CV1301-2)*20+CZ1301)</f>
        <v>1000</v>
      </c>
      <c r="DG1301" s="14">
        <f>SUMIFS(DF$5:DF1301,$CT$5:$CT1301,"="&amp;$CT1301)</f>
        <v>14370</v>
      </c>
      <c r="DH1301" s="14" t="s">
        <v>198</v>
      </c>
      <c r="DI1301" s="14">
        <f>INDEX(属性投放!$BL$6:$BL$85,(CV1301-2)*20+CZ1301)</f>
        <v>500</v>
      </c>
      <c r="DJ1301" s="14">
        <f>SUMIFS(DI$5:DI1301,$CT$5:$CT1301,"="&amp;$CT1301)</f>
        <v>7188</v>
      </c>
      <c r="DK1301" s="14" t="s">
        <v>25</v>
      </c>
      <c r="DL1301" s="14">
        <f>INDEX(属性投放!$BM$6:$BM$85,(CV1301-2)*20+CZ1301)</f>
        <v>10000</v>
      </c>
      <c r="DM1301" s="14">
        <f>SUMIFS(DL$5:DL1301,$CT$5:$CT1301,"="&amp;$CT1301)</f>
        <v>139740</v>
      </c>
    </row>
    <row r="1302" spans="97:117" ht="16.5" x14ac:dyDescent="0.2">
      <c r="CS1302" s="13">
        <v>1298</v>
      </c>
      <c r="CT1302" s="13">
        <f t="shared" si="1121"/>
        <v>25</v>
      </c>
      <c r="CU1302" s="13">
        <f t="shared" si="1119"/>
        <v>50</v>
      </c>
      <c r="CV1302" s="14">
        <f t="shared" si="1122"/>
        <v>3</v>
      </c>
      <c r="CW1302" s="14">
        <f t="shared" si="1123"/>
        <v>1102026</v>
      </c>
      <c r="CX1302" s="14" t="str">
        <f>INDEX($O$6:$O$50,CT1302)&amp;"-"&amp;INDEX(属性投放!$AB$7:$AB$50,CZ1302)&amp;"-魂火-"&amp;DB1302</f>
        <v>雷震子-无间+1-魂火-2</v>
      </c>
      <c r="CY1302" s="25" t="s">
        <v>142</v>
      </c>
      <c r="CZ1302" s="14">
        <f>INDEX(属性投放!$AM$7:$AM$58,CU1302)</f>
        <v>20</v>
      </c>
      <c r="DA1302" s="14" t="s">
        <v>537</v>
      </c>
      <c r="DB1302" s="14">
        <f>INDEX(属性投放!$AN$7:$AN$58,CU1302)</f>
        <v>2</v>
      </c>
      <c r="DC1302" s="14">
        <f t="shared" si="1120"/>
        <v>50</v>
      </c>
      <c r="DD1302" s="14">
        <f>INDEX(属性投放!$AO$7:$AO$58,DC1302)</f>
        <v>143</v>
      </c>
      <c r="DE1302" s="14" t="s">
        <v>242</v>
      </c>
      <c r="DF1302" s="14">
        <f>INDEX(属性投放!$BK$6:$BK$85,(CV1302-2)*20+CZ1302)</f>
        <v>1000</v>
      </c>
      <c r="DG1302" s="14">
        <f>SUMIFS(DF$5:DF1302,$CT$5:$CT1302,"="&amp;$CT1302)</f>
        <v>15370</v>
      </c>
      <c r="DH1302" s="14" t="s">
        <v>198</v>
      </c>
      <c r="DI1302" s="14">
        <f>INDEX(属性投放!$BL$6:$BL$85,(CV1302-2)*20+CZ1302)</f>
        <v>500</v>
      </c>
      <c r="DJ1302" s="14">
        <f>SUMIFS(DI$5:DI1302,$CT$5:$CT1302,"="&amp;$CT1302)</f>
        <v>7688</v>
      </c>
      <c r="DK1302" s="14" t="s">
        <v>25</v>
      </c>
      <c r="DL1302" s="14">
        <f>INDEX(属性投放!$BM$6:$BM$85,(CV1302-2)*20+CZ1302)</f>
        <v>10000</v>
      </c>
      <c r="DM1302" s="14">
        <f>SUMIFS(DL$5:DL1302,$CT$5:$CT1302,"="&amp;$CT1302)</f>
        <v>149740</v>
      </c>
    </row>
    <row r="1303" spans="97:117" ht="16.5" x14ac:dyDescent="0.2">
      <c r="CS1303" s="13">
        <v>1299</v>
      </c>
      <c r="CT1303" s="13">
        <f t="shared" si="1121"/>
        <v>25</v>
      </c>
      <c r="CU1303" s="13">
        <f t="shared" si="1119"/>
        <v>51</v>
      </c>
      <c r="CV1303" s="14">
        <f t="shared" si="1122"/>
        <v>3</v>
      </c>
      <c r="CW1303" s="14">
        <f t="shared" si="1123"/>
        <v>1102026</v>
      </c>
      <c r="CX1303" s="14" t="str">
        <f>INDEX($O$6:$O$50,CT1303)&amp;"-"&amp;INDEX(属性投放!$AB$7:$AB$50,CZ1303)&amp;"-魂火-"&amp;DB1303</f>
        <v>雷震子-无间+1-魂火-3</v>
      </c>
      <c r="CY1303" s="25" t="s">
        <v>142</v>
      </c>
      <c r="CZ1303" s="14">
        <f>INDEX(属性投放!$AM$7:$AM$58,CU1303)</f>
        <v>20</v>
      </c>
      <c r="DA1303" s="14" t="s">
        <v>537</v>
      </c>
      <c r="DB1303" s="14">
        <f>INDEX(属性投放!$AN$7:$AN$58,CU1303)</f>
        <v>3</v>
      </c>
      <c r="DC1303" s="14">
        <f t="shared" si="1120"/>
        <v>51</v>
      </c>
      <c r="DD1303" s="14">
        <f>INDEX(属性投放!$AO$7:$AO$58,DC1303)</f>
        <v>145</v>
      </c>
      <c r="DE1303" s="14" t="s">
        <v>242</v>
      </c>
      <c r="DF1303" s="14">
        <f>INDEX(属性投放!$BK$6:$BK$85,(CV1303-2)*20+CZ1303)</f>
        <v>1000</v>
      </c>
      <c r="DG1303" s="14">
        <f>SUMIFS(DF$5:DF1303,$CT$5:$CT1303,"="&amp;$CT1303)</f>
        <v>16370</v>
      </c>
      <c r="DH1303" s="14" t="s">
        <v>198</v>
      </c>
      <c r="DI1303" s="14">
        <f>INDEX(属性投放!$BL$6:$BL$85,(CV1303-2)*20+CZ1303)</f>
        <v>500</v>
      </c>
      <c r="DJ1303" s="14">
        <f>SUMIFS(DI$5:DI1303,$CT$5:$CT1303,"="&amp;$CT1303)</f>
        <v>8188</v>
      </c>
      <c r="DK1303" s="14" t="s">
        <v>25</v>
      </c>
      <c r="DL1303" s="14">
        <f>INDEX(属性投放!$BM$6:$BM$85,(CV1303-2)*20+CZ1303)</f>
        <v>10000</v>
      </c>
      <c r="DM1303" s="14">
        <f>SUMIFS(DL$5:DL1303,$CT$5:$CT1303,"="&amp;$CT1303)</f>
        <v>159740</v>
      </c>
    </row>
    <row r="1304" spans="97:117" ht="16.5" x14ac:dyDescent="0.2">
      <c r="CS1304" s="13">
        <v>1300</v>
      </c>
      <c r="CT1304" s="13">
        <f t="shared" si="1121"/>
        <v>25</v>
      </c>
      <c r="CU1304" s="13">
        <f t="shared" si="1119"/>
        <v>52</v>
      </c>
      <c r="CV1304" s="14">
        <f t="shared" si="1122"/>
        <v>3</v>
      </c>
      <c r="CW1304" s="14">
        <f t="shared" si="1123"/>
        <v>1102026</v>
      </c>
      <c r="CX1304" s="14" t="str">
        <f>INDEX($O$6:$O$50,CT1304)&amp;"-"&amp;INDEX(属性投放!$AB$7:$AB$50,CZ1304)&amp;"-魂火-"&amp;DB1304</f>
        <v>雷震子-无间+1-魂火-4</v>
      </c>
      <c r="CY1304" s="25" t="s">
        <v>142</v>
      </c>
      <c r="CZ1304" s="14">
        <f>INDEX(属性投放!$AM$7:$AM$58,CU1304)</f>
        <v>20</v>
      </c>
      <c r="DA1304" s="14" t="s">
        <v>537</v>
      </c>
      <c r="DB1304" s="14">
        <f>INDEX(属性投放!$AN$7:$AN$58,CU1304)</f>
        <v>4</v>
      </c>
      <c r="DC1304" s="14">
        <f t="shared" si="1120"/>
        <v>52</v>
      </c>
      <c r="DD1304" s="14">
        <f>INDEX(属性投放!$AO$7:$AO$58,DC1304)</f>
        <v>148</v>
      </c>
      <c r="DE1304" s="14" t="s">
        <v>242</v>
      </c>
      <c r="DF1304" s="14">
        <f>INDEX(属性投放!$BK$6:$BK$85,(CV1304-2)*20+CZ1304)</f>
        <v>1000</v>
      </c>
      <c r="DG1304" s="14">
        <f>SUMIFS(DF$5:DF1304,$CT$5:$CT1304,"="&amp;$CT1304)</f>
        <v>17370</v>
      </c>
      <c r="DH1304" s="14" t="s">
        <v>198</v>
      </c>
      <c r="DI1304" s="14">
        <f>INDEX(属性投放!$BL$6:$BL$85,(CV1304-2)*20+CZ1304)</f>
        <v>500</v>
      </c>
      <c r="DJ1304" s="14">
        <f>SUMIFS(DI$5:DI1304,$CT$5:$CT1304,"="&amp;$CT1304)</f>
        <v>8688</v>
      </c>
      <c r="DK1304" s="14" t="s">
        <v>25</v>
      </c>
      <c r="DL1304" s="14">
        <f>INDEX(属性投放!$BM$6:$BM$85,(CV1304-2)*20+CZ1304)</f>
        <v>10000</v>
      </c>
      <c r="DM1304" s="14">
        <f>SUMIFS(DL$5:DL1304,$CT$5:$CT1304,"="&amp;$CT1304)</f>
        <v>169740</v>
      </c>
    </row>
    <row r="1305" spans="97:117" ht="16.5" x14ac:dyDescent="0.2">
      <c r="CS1305" s="13">
        <v>1301</v>
      </c>
      <c r="CT1305" s="13">
        <f t="shared" si="1121"/>
        <v>26</v>
      </c>
      <c r="CU1305" s="13">
        <f t="shared" si="1119"/>
        <v>1</v>
      </c>
      <c r="CV1305" s="14">
        <f t="shared" si="1122"/>
        <v>5</v>
      </c>
      <c r="CW1305" s="14">
        <f t="shared" si="1123"/>
        <v>1102028</v>
      </c>
      <c r="CX1305" s="14" t="str">
        <f>INDEX($O$6:$O$50,CT1305)&amp;"-"&amp;INDEX(属性投放!$AB$7:$AB$50,CZ1305)&amp;"-魂火-"&amp;DB1305</f>
        <v>吕布-等活-魂火-1</v>
      </c>
      <c r="CY1305" s="25" t="s">
        <v>142</v>
      </c>
      <c r="CZ1305" s="14">
        <f>INDEX(属性投放!$AM$7:$AM$58,CU1305)</f>
        <v>1</v>
      </c>
      <c r="DA1305" s="14" t="s">
        <v>537</v>
      </c>
      <c r="DB1305" s="14">
        <f>INDEX(属性投放!$AN$7:$AN$58,CU1305)</f>
        <v>1</v>
      </c>
      <c r="DC1305" s="14">
        <f t="shared" si="1120"/>
        <v>1</v>
      </c>
      <c r="DD1305" s="14">
        <f>INDEX(属性投放!$AO$7:$AO$58,DC1305)</f>
        <v>3</v>
      </c>
      <c r="DE1305" s="14" t="s">
        <v>242</v>
      </c>
      <c r="DF1305" s="14">
        <f>INDEX(属性投放!$BK$6:$BK$85,(CV1305-2)*20+CZ1305)</f>
        <v>35</v>
      </c>
      <c r="DG1305" s="14">
        <f>SUMIFS(DF$5:DF1305,$CT$5:$CT1305,"="&amp;$CT1305)</f>
        <v>35</v>
      </c>
      <c r="DH1305" s="14" t="s">
        <v>198</v>
      </c>
      <c r="DI1305" s="14">
        <f>INDEX(属性投放!$BL$6:$BL$85,(CV1305-2)*20+CZ1305)</f>
        <v>18</v>
      </c>
      <c r="DJ1305" s="14">
        <f>SUMIFS(DI$5:DI1305,$CT$5:$CT1305,"="&amp;$CT1305)</f>
        <v>18</v>
      </c>
      <c r="DK1305" s="14" t="s">
        <v>25</v>
      </c>
      <c r="DL1305" s="14">
        <f>INDEX(属性投放!$BM$6:$BM$85,(CV1305-2)*20+CZ1305)</f>
        <v>210</v>
      </c>
      <c r="DM1305" s="14">
        <f>SUMIFS(DL$5:DL1305,$CT$5:$CT1305,"="&amp;$CT1305)</f>
        <v>210</v>
      </c>
    </row>
    <row r="1306" spans="97:117" ht="16.5" x14ac:dyDescent="0.2">
      <c r="CS1306" s="13">
        <v>1302</v>
      </c>
      <c r="CT1306" s="13">
        <f t="shared" si="1121"/>
        <v>26</v>
      </c>
      <c r="CU1306" s="13">
        <f t="shared" si="1119"/>
        <v>2</v>
      </c>
      <c r="CV1306" s="14">
        <f t="shared" si="1122"/>
        <v>5</v>
      </c>
      <c r="CW1306" s="14">
        <f t="shared" si="1123"/>
        <v>1102028</v>
      </c>
      <c r="CX1306" s="14" t="str">
        <f>INDEX($O$6:$O$50,CT1306)&amp;"-"&amp;INDEX(属性投放!$AB$7:$AB$50,CZ1306)&amp;"-魂火-"&amp;DB1306</f>
        <v>吕布-黑绳-魂火-1</v>
      </c>
      <c r="CY1306" s="25" t="s">
        <v>142</v>
      </c>
      <c r="CZ1306" s="14">
        <f>INDEX(属性投放!$AM$7:$AM$58,CU1306)</f>
        <v>2</v>
      </c>
      <c r="DA1306" s="14" t="s">
        <v>537</v>
      </c>
      <c r="DB1306" s="14">
        <f>INDEX(属性投放!$AN$7:$AN$58,CU1306)</f>
        <v>1</v>
      </c>
      <c r="DC1306" s="14">
        <f t="shared" si="1120"/>
        <v>2</v>
      </c>
      <c r="DD1306" s="14">
        <f>INDEX(属性投放!$AO$7:$AO$58,DC1306)</f>
        <v>8</v>
      </c>
      <c r="DE1306" s="14" t="s">
        <v>242</v>
      </c>
      <c r="DF1306" s="14">
        <f>INDEX(属性投放!$BK$6:$BK$85,(CV1306-2)*20+CZ1306)</f>
        <v>40</v>
      </c>
      <c r="DG1306" s="14">
        <f>SUMIFS(DF$5:DF1306,$CT$5:$CT1306,"="&amp;$CT1306)</f>
        <v>75</v>
      </c>
      <c r="DH1306" s="14" t="s">
        <v>198</v>
      </c>
      <c r="DI1306" s="14">
        <f>INDEX(属性投放!$BL$6:$BL$85,(CV1306-2)*20+CZ1306)</f>
        <v>20</v>
      </c>
      <c r="DJ1306" s="14">
        <f>SUMIFS(DI$5:DI1306,$CT$5:$CT1306,"="&amp;$CT1306)</f>
        <v>38</v>
      </c>
      <c r="DK1306" s="14" t="s">
        <v>25</v>
      </c>
      <c r="DL1306" s="14">
        <f>INDEX(属性投放!$BM$6:$BM$85,(CV1306-2)*20+CZ1306)</f>
        <v>240</v>
      </c>
      <c r="DM1306" s="14">
        <f>SUMIFS(DL$5:DL1306,$CT$5:$CT1306,"="&amp;$CT1306)</f>
        <v>450</v>
      </c>
    </row>
    <row r="1307" spans="97:117" ht="16.5" x14ac:dyDescent="0.2">
      <c r="CS1307" s="13">
        <v>1303</v>
      </c>
      <c r="CT1307" s="13">
        <f t="shared" si="1121"/>
        <v>26</v>
      </c>
      <c r="CU1307" s="13">
        <f t="shared" si="1119"/>
        <v>3</v>
      </c>
      <c r="CV1307" s="14">
        <f t="shared" si="1122"/>
        <v>5</v>
      </c>
      <c r="CW1307" s="14">
        <f t="shared" si="1123"/>
        <v>1102028</v>
      </c>
      <c r="CX1307" s="14" t="str">
        <f>INDEX($O$6:$O$50,CT1307)&amp;"-"&amp;INDEX(属性投放!$AB$7:$AB$50,CZ1307)&amp;"-魂火-"&amp;DB1307</f>
        <v>吕布-黑绳-魂火-2</v>
      </c>
      <c r="CY1307" s="25" t="s">
        <v>142</v>
      </c>
      <c r="CZ1307" s="14">
        <f>INDEX(属性投放!$AM$7:$AM$58,CU1307)</f>
        <v>2</v>
      </c>
      <c r="DA1307" s="14" t="s">
        <v>537</v>
      </c>
      <c r="DB1307" s="14">
        <f>INDEX(属性投放!$AN$7:$AN$58,CU1307)</f>
        <v>2</v>
      </c>
      <c r="DC1307" s="14">
        <f t="shared" si="1120"/>
        <v>3</v>
      </c>
      <c r="DD1307" s="14">
        <f>INDEX(属性投放!$AO$7:$AO$58,DC1307)</f>
        <v>13</v>
      </c>
      <c r="DE1307" s="14" t="s">
        <v>242</v>
      </c>
      <c r="DF1307" s="14">
        <f>INDEX(属性投放!$BK$6:$BK$85,(CV1307-2)*20+CZ1307)</f>
        <v>40</v>
      </c>
      <c r="DG1307" s="14">
        <f>SUMIFS(DF$5:DF1307,$CT$5:$CT1307,"="&amp;$CT1307)</f>
        <v>115</v>
      </c>
      <c r="DH1307" s="14" t="s">
        <v>198</v>
      </c>
      <c r="DI1307" s="14">
        <f>INDEX(属性投放!$BL$6:$BL$85,(CV1307-2)*20+CZ1307)</f>
        <v>20</v>
      </c>
      <c r="DJ1307" s="14">
        <f>SUMIFS(DI$5:DI1307,$CT$5:$CT1307,"="&amp;$CT1307)</f>
        <v>58</v>
      </c>
      <c r="DK1307" s="14" t="s">
        <v>25</v>
      </c>
      <c r="DL1307" s="14">
        <f>INDEX(属性投放!$BM$6:$BM$85,(CV1307-2)*20+CZ1307)</f>
        <v>240</v>
      </c>
      <c r="DM1307" s="14">
        <f>SUMIFS(DL$5:DL1307,$CT$5:$CT1307,"="&amp;$CT1307)</f>
        <v>690</v>
      </c>
    </row>
    <row r="1308" spans="97:117" ht="16.5" x14ac:dyDescent="0.2">
      <c r="CS1308" s="13">
        <v>1304</v>
      </c>
      <c r="CT1308" s="13">
        <f t="shared" si="1121"/>
        <v>26</v>
      </c>
      <c r="CU1308" s="13">
        <f t="shared" si="1119"/>
        <v>4</v>
      </c>
      <c r="CV1308" s="14">
        <f t="shared" si="1122"/>
        <v>5</v>
      </c>
      <c r="CW1308" s="14">
        <f t="shared" si="1123"/>
        <v>1102028</v>
      </c>
      <c r="CX1308" s="14" t="str">
        <f>INDEX($O$6:$O$50,CT1308)&amp;"-"&amp;INDEX(属性投放!$AB$7:$AB$50,CZ1308)&amp;"-魂火-"&amp;DB1308</f>
        <v>吕布-黑绳+1-魂火-1</v>
      </c>
      <c r="CY1308" s="25" t="s">
        <v>142</v>
      </c>
      <c r="CZ1308" s="14">
        <f>INDEX(属性投放!$AM$7:$AM$58,CU1308)</f>
        <v>3</v>
      </c>
      <c r="DA1308" s="14" t="s">
        <v>537</v>
      </c>
      <c r="DB1308" s="14">
        <f>INDEX(属性投放!$AN$7:$AN$58,CU1308)</f>
        <v>1</v>
      </c>
      <c r="DC1308" s="14">
        <f t="shared" si="1120"/>
        <v>4</v>
      </c>
      <c r="DD1308" s="14">
        <f>INDEX(属性投放!$AO$7:$AO$58,DC1308)</f>
        <v>18</v>
      </c>
      <c r="DE1308" s="14" t="s">
        <v>242</v>
      </c>
      <c r="DF1308" s="14">
        <f>INDEX(属性投放!$BK$6:$BK$85,(CV1308-2)*20+CZ1308)</f>
        <v>45</v>
      </c>
      <c r="DG1308" s="14">
        <f>SUMIFS(DF$5:DF1308,$CT$5:$CT1308,"="&amp;$CT1308)</f>
        <v>160</v>
      </c>
      <c r="DH1308" s="14" t="s">
        <v>198</v>
      </c>
      <c r="DI1308" s="14">
        <f>INDEX(属性投放!$BL$6:$BL$85,(CV1308-2)*20+CZ1308)</f>
        <v>23</v>
      </c>
      <c r="DJ1308" s="14">
        <f>SUMIFS(DI$5:DI1308,$CT$5:$CT1308,"="&amp;$CT1308)</f>
        <v>81</v>
      </c>
      <c r="DK1308" s="14" t="s">
        <v>25</v>
      </c>
      <c r="DL1308" s="14">
        <f>INDEX(属性投放!$BM$6:$BM$85,(CV1308-2)*20+CZ1308)</f>
        <v>270</v>
      </c>
      <c r="DM1308" s="14">
        <f>SUMIFS(DL$5:DL1308,$CT$5:$CT1308,"="&amp;$CT1308)</f>
        <v>960</v>
      </c>
    </row>
    <row r="1309" spans="97:117" ht="16.5" x14ac:dyDescent="0.2">
      <c r="CS1309" s="13">
        <v>1305</v>
      </c>
      <c r="CT1309" s="13">
        <f t="shared" si="1121"/>
        <v>26</v>
      </c>
      <c r="CU1309" s="13">
        <f t="shared" si="1119"/>
        <v>5</v>
      </c>
      <c r="CV1309" s="14">
        <f t="shared" si="1122"/>
        <v>5</v>
      </c>
      <c r="CW1309" s="14">
        <f t="shared" si="1123"/>
        <v>1102028</v>
      </c>
      <c r="CX1309" s="14" t="str">
        <f>INDEX($O$6:$O$50,CT1309)&amp;"-"&amp;INDEX(属性投放!$AB$7:$AB$50,CZ1309)&amp;"-魂火-"&amp;DB1309</f>
        <v>吕布-黑绳+1-魂火-2</v>
      </c>
      <c r="CY1309" s="25" t="s">
        <v>142</v>
      </c>
      <c r="CZ1309" s="14">
        <f>INDEX(属性投放!$AM$7:$AM$58,CU1309)</f>
        <v>3</v>
      </c>
      <c r="DA1309" s="14" t="s">
        <v>537</v>
      </c>
      <c r="DB1309" s="14">
        <f>INDEX(属性投放!$AN$7:$AN$58,CU1309)</f>
        <v>2</v>
      </c>
      <c r="DC1309" s="14">
        <f t="shared" si="1120"/>
        <v>5</v>
      </c>
      <c r="DD1309" s="14">
        <f>INDEX(属性投放!$AO$7:$AO$58,DC1309)</f>
        <v>23</v>
      </c>
      <c r="DE1309" s="14" t="s">
        <v>242</v>
      </c>
      <c r="DF1309" s="14">
        <f>INDEX(属性投放!$BK$6:$BK$85,(CV1309-2)*20+CZ1309)</f>
        <v>45</v>
      </c>
      <c r="DG1309" s="14">
        <f>SUMIFS(DF$5:DF1309,$CT$5:$CT1309,"="&amp;$CT1309)</f>
        <v>205</v>
      </c>
      <c r="DH1309" s="14" t="s">
        <v>198</v>
      </c>
      <c r="DI1309" s="14">
        <f>INDEX(属性投放!$BL$6:$BL$85,(CV1309-2)*20+CZ1309)</f>
        <v>23</v>
      </c>
      <c r="DJ1309" s="14">
        <f>SUMIFS(DI$5:DI1309,$CT$5:$CT1309,"="&amp;$CT1309)</f>
        <v>104</v>
      </c>
      <c r="DK1309" s="14" t="s">
        <v>25</v>
      </c>
      <c r="DL1309" s="14">
        <f>INDEX(属性投放!$BM$6:$BM$85,(CV1309-2)*20+CZ1309)</f>
        <v>270</v>
      </c>
      <c r="DM1309" s="14">
        <f>SUMIFS(DL$5:DL1309,$CT$5:$CT1309,"="&amp;$CT1309)</f>
        <v>1230</v>
      </c>
    </row>
    <row r="1310" spans="97:117" ht="16.5" x14ac:dyDescent="0.2">
      <c r="CS1310" s="13">
        <v>1306</v>
      </c>
      <c r="CT1310" s="13">
        <f t="shared" si="1121"/>
        <v>26</v>
      </c>
      <c r="CU1310" s="13">
        <f t="shared" si="1119"/>
        <v>6</v>
      </c>
      <c r="CV1310" s="14">
        <f t="shared" si="1122"/>
        <v>5</v>
      </c>
      <c r="CW1310" s="14">
        <f t="shared" si="1123"/>
        <v>1102028</v>
      </c>
      <c r="CX1310" s="14" t="str">
        <f>INDEX($O$6:$O$50,CT1310)&amp;"-"&amp;INDEX(属性投放!$AB$7:$AB$50,CZ1310)&amp;"-魂火-"&amp;DB1310</f>
        <v>吕布-众合-魂火-1</v>
      </c>
      <c r="CY1310" s="25" t="s">
        <v>142</v>
      </c>
      <c r="CZ1310" s="14">
        <f>INDEX(属性投放!$AM$7:$AM$58,CU1310)</f>
        <v>4</v>
      </c>
      <c r="DA1310" s="14" t="s">
        <v>537</v>
      </c>
      <c r="DB1310" s="14">
        <f>INDEX(属性投放!$AN$7:$AN$58,CU1310)</f>
        <v>1</v>
      </c>
      <c r="DC1310" s="14">
        <f t="shared" si="1120"/>
        <v>6</v>
      </c>
      <c r="DD1310" s="14">
        <f>INDEX(属性投放!$AO$7:$AO$58,DC1310)</f>
        <v>28</v>
      </c>
      <c r="DE1310" s="14" t="s">
        <v>242</v>
      </c>
      <c r="DF1310" s="14">
        <f>INDEX(属性投放!$BK$6:$BK$85,(CV1310-2)*20+CZ1310)</f>
        <v>60</v>
      </c>
      <c r="DG1310" s="14">
        <f>SUMIFS(DF$5:DF1310,$CT$5:$CT1310,"="&amp;$CT1310)</f>
        <v>265</v>
      </c>
      <c r="DH1310" s="14" t="s">
        <v>198</v>
      </c>
      <c r="DI1310" s="14">
        <f>INDEX(属性投放!$BL$6:$BL$85,(CV1310-2)*20+CZ1310)</f>
        <v>30</v>
      </c>
      <c r="DJ1310" s="14">
        <f>SUMIFS(DI$5:DI1310,$CT$5:$CT1310,"="&amp;$CT1310)</f>
        <v>134</v>
      </c>
      <c r="DK1310" s="14" t="s">
        <v>25</v>
      </c>
      <c r="DL1310" s="14">
        <f>INDEX(属性投放!$BM$6:$BM$85,(CV1310-2)*20+CZ1310)</f>
        <v>420</v>
      </c>
      <c r="DM1310" s="14">
        <f>SUMIFS(DL$5:DL1310,$CT$5:$CT1310,"="&amp;$CT1310)</f>
        <v>1650</v>
      </c>
    </row>
    <row r="1311" spans="97:117" ht="16.5" x14ac:dyDescent="0.2">
      <c r="CS1311" s="13">
        <v>1307</v>
      </c>
      <c r="CT1311" s="13">
        <f t="shared" si="1121"/>
        <v>26</v>
      </c>
      <c r="CU1311" s="13">
        <f t="shared" si="1119"/>
        <v>7</v>
      </c>
      <c r="CV1311" s="14">
        <f t="shared" si="1122"/>
        <v>5</v>
      </c>
      <c r="CW1311" s="14">
        <f t="shared" si="1123"/>
        <v>1102028</v>
      </c>
      <c r="CX1311" s="14" t="str">
        <f>INDEX($O$6:$O$50,CT1311)&amp;"-"&amp;INDEX(属性投放!$AB$7:$AB$50,CZ1311)&amp;"-魂火-"&amp;DB1311</f>
        <v>吕布-众合-魂火-2</v>
      </c>
      <c r="CY1311" s="25" t="s">
        <v>142</v>
      </c>
      <c r="CZ1311" s="14">
        <f>INDEX(属性投放!$AM$7:$AM$58,CU1311)</f>
        <v>4</v>
      </c>
      <c r="DA1311" s="14" t="s">
        <v>537</v>
      </c>
      <c r="DB1311" s="14">
        <f>INDEX(属性投放!$AN$7:$AN$58,CU1311)</f>
        <v>2</v>
      </c>
      <c r="DC1311" s="14">
        <f t="shared" si="1120"/>
        <v>7</v>
      </c>
      <c r="DD1311" s="14">
        <f>INDEX(属性投放!$AO$7:$AO$58,DC1311)</f>
        <v>33</v>
      </c>
      <c r="DE1311" s="14" t="s">
        <v>242</v>
      </c>
      <c r="DF1311" s="14">
        <f>INDEX(属性投放!$BK$6:$BK$85,(CV1311-2)*20+CZ1311)</f>
        <v>60</v>
      </c>
      <c r="DG1311" s="14">
        <f>SUMIFS(DF$5:DF1311,$CT$5:$CT1311,"="&amp;$CT1311)</f>
        <v>325</v>
      </c>
      <c r="DH1311" s="14" t="s">
        <v>198</v>
      </c>
      <c r="DI1311" s="14">
        <f>INDEX(属性投放!$BL$6:$BL$85,(CV1311-2)*20+CZ1311)</f>
        <v>30</v>
      </c>
      <c r="DJ1311" s="14">
        <f>SUMIFS(DI$5:DI1311,$CT$5:$CT1311,"="&amp;$CT1311)</f>
        <v>164</v>
      </c>
      <c r="DK1311" s="14" t="s">
        <v>25</v>
      </c>
      <c r="DL1311" s="14">
        <f>INDEX(属性投放!$BM$6:$BM$85,(CV1311-2)*20+CZ1311)</f>
        <v>420</v>
      </c>
      <c r="DM1311" s="14">
        <f>SUMIFS(DL$5:DL1311,$CT$5:$CT1311,"="&amp;$CT1311)</f>
        <v>2070</v>
      </c>
    </row>
    <row r="1312" spans="97:117" ht="16.5" x14ac:dyDescent="0.2">
      <c r="CS1312" s="13">
        <v>1308</v>
      </c>
      <c r="CT1312" s="13">
        <f t="shared" si="1121"/>
        <v>26</v>
      </c>
      <c r="CU1312" s="13">
        <f t="shared" si="1119"/>
        <v>8</v>
      </c>
      <c r="CV1312" s="14">
        <f t="shared" si="1122"/>
        <v>5</v>
      </c>
      <c r="CW1312" s="14">
        <f t="shared" si="1123"/>
        <v>1102028</v>
      </c>
      <c r="CX1312" s="14" t="str">
        <f>INDEX($O$6:$O$50,CT1312)&amp;"-"&amp;INDEX(属性投放!$AB$7:$AB$50,CZ1312)&amp;"-魂火-"&amp;DB1312</f>
        <v>吕布-众合+1-魂火-1</v>
      </c>
      <c r="CY1312" s="25" t="s">
        <v>142</v>
      </c>
      <c r="CZ1312" s="14">
        <f>INDEX(属性投放!$AM$7:$AM$58,CU1312)</f>
        <v>5</v>
      </c>
      <c r="DA1312" s="14" t="s">
        <v>537</v>
      </c>
      <c r="DB1312" s="14">
        <f>INDEX(属性投放!$AN$7:$AN$58,CU1312)</f>
        <v>1</v>
      </c>
      <c r="DC1312" s="14">
        <f t="shared" si="1120"/>
        <v>8</v>
      </c>
      <c r="DD1312" s="14">
        <f>INDEX(属性投放!$AO$7:$AO$58,DC1312)</f>
        <v>38</v>
      </c>
      <c r="DE1312" s="14" t="s">
        <v>242</v>
      </c>
      <c r="DF1312" s="14">
        <f>INDEX(属性投放!$BK$6:$BK$85,(CV1312-2)*20+CZ1312)</f>
        <v>70</v>
      </c>
      <c r="DG1312" s="14">
        <f>SUMIFS(DF$5:DF1312,$CT$5:$CT1312,"="&amp;$CT1312)</f>
        <v>395</v>
      </c>
      <c r="DH1312" s="14" t="s">
        <v>198</v>
      </c>
      <c r="DI1312" s="14">
        <f>INDEX(属性投放!$BL$6:$BL$85,(CV1312-2)*20+CZ1312)</f>
        <v>35</v>
      </c>
      <c r="DJ1312" s="14">
        <f>SUMIFS(DI$5:DI1312,$CT$5:$CT1312,"="&amp;$CT1312)</f>
        <v>199</v>
      </c>
      <c r="DK1312" s="14" t="s">
        <v>25</v>
      </c>
      <c r="DL1312" s="14">
        <f>INDEX(属性投放!$BM$6:$BM$85,(CV1312-2)*20+CZ1312)</f>
        <v>490</v>
      </c>
      <c r="DM1312" s="14">
        <f>SUMIFS(DL$5:DL1312,$CT$5:$CT1312,"="&amp;$CT1312)</f>
        <v>2560</v>
      </c>
    </row>
    <row r="1313" spans="97:117" ht="16.5" x14ac:dyDescent="0.2">
      <c r="CS1313" s="13">
        <v>1309</v>
      </c>
      <c r="CT1313" s="13">
        <f t="shared" si="1121"/>
        <v>26</v>
      </c>
      <c r="CU1313" s="13">
        <f t="shared" si="1119"/>
        <v>9</v>
      </c>
      <c r="CV1313" s="14">
        <f t="shared" si="1122"/>
        <v>5</v>
      </c>
      <c r="CW1313" s="14">
        <f t="shared" si="1123"/>
        <v>1102028</v>
      </c>
      <c r="CX1313" s="14" t="str">
        <f>INDEX($O$6:$O$50,CT1313)&amp;"-"&amp;INDEX(属性投放!$AB$7:$AB$50,CZ1313)&amp;"-魂火-"&amp;DB1313</f>
        <v>吕布-众合+1-魂火-2</v>
      </c>
      <c r="CY1313" s="25" t="s">
        <v>142</v>
      </c>
      <c r="CZ1313" s="14">
        <f>INDEX(属性投放!$AM$7:$AM$58,CU1313)</f>
        <v>5</v>
      </c>
      <c r="DA1313" s="14" t="s">
        <v>537</v>
      </c>
      <c r="DB1313" s="14">
        <f>INDEX(属性投放!$AN$7:$AN$58,CU1313)</f>
        <v>2</v>
      </c>
      <c r="DC1313" s="14">
        <f t="shared" si="1120"/>
        <v>9</v>
      </c>
      <c r="DD1313" s="14">
        <f>INDEX(属性投放!$AO$7:$AO$58,DC1313)</f>
        <v>40</v>
      </c>
      <c r="DE1313" s="14" t="s">
        <v>242</v>
      </c>
      <c r="DF1313" s="14">
        <f>INDEX(属性投放!$BK$6:$BK$85,(CV1313-2)*20+CZ1313)</f>
        <v>70</v>
      </c>
      <c r="DG1313" s="14">
        <f>SUMIFS(DF$5:DF1313,$CT$5:$CT1313,"="&amp;$CT1313)</f>
        <v>465</v>
      </c>
      <c r="DH1313" s="14" t="s">
        <v>198</v>
      </c>
      <c r="DI1313" s="14">
        <f>INDEX(属性投放!$BL$6:$BL$85,(CV1313-2)*20+CZ1313)</f>
        <v>35</v>
      </c>
      <c r="DJ1313" s="14">
        <f>SUMIFS(DI$5:DI1313,$CT$5:$CT1313,"="&amp;$CT1313)</f>
        <v>234</v>
      </c>
      <c r="DK1313" s="14" t="s">
        <v>25</v>
      </c>
      <c r="DL1313" s="14">
        <f>INDEX(属性投放!$BM$6:$BM$85,(CV1313-2)*20+CZ1313)</f>
        <v>490</v>
      </c>
      <c r="DM1313" s="14">
        <f>SUMIFS(DL$5:DL1313,$CT$5:$CT1313,"="&amp;$CT1313)</f>
        <v>3050</v>
      </c>
    </row>
    <row r="1314" spans="97:117" ht="16.5" x14ac:dyDescent="0.2">
      <c r="CS1314" s="13">
        <v>1310</v>
      </c>
      <c r="CT1314" s="13">
        <f t="shared" si="1121"/>
        <v>26</v>
      </c>
      <c r="CU1314" s="13">
        <f t="shared" si="1119"/>
        <v>10</v>
      </c>
      <c r="CV1314" s="14">
        <f t="shared" si="1122"/>
        <v>5</v>
      </c>
      <c r="CW1314" s="14">
        <f t="shared" si="1123"/>
        <v>1102028</v>
      </c>
      <c r="CX1314" s="14" t="str">
        <f>INDEX($O$6:$O$50,CT1314)&amp;"-"&amp;INDEX(属性投放!$AB$7:$AB$50,CZ1314)&amp;"-魂火-"&amp;DB1314</f>
        <v>吕布-众合+2-魂火-1</v>
      </c>
      <c r="CY1314" s="25" t="s">
        <v>142</v>
      </c>
      <c r="CZ1314" s="14">
        <f>INDEX(属性投放!$AM$7:$AM$58,CU1314)</f>
        <v>6</v>
      </c>
      <c r="DA1314" s="14" t="s">
        <v>537</v>
      </c>
      <c r="DB1314" s="14">
        <f>INDEX(属性投放!$AN$7:$AN$58,CU1314)</f>
        <v>1</v>
      </c>
      <c r="DC1314" s="14">
        <f t="shared" si="1120"/>
        <v>10</v>
      </c>
      <c r="DD1314" s="14">
        <f>INDEX(属性投放!$AO$7:$AO$58,DC1314)</f>
        <v>43</v>
      </c>
      <c r="DE1314" s="14" t="s">
        <v>242</v>
      </c>
      <c r="DF1314" s="14">
        <f>INDEX(属性投放!$BK$6:$BK$85,(CV1314-2)*20+CZ1314)</f>
        <v>75</v>
      </c>
      <c r="DG1314" s="14">
        <f>SUMIFS(DF$5:DF1314,$CT$5:$CT1314,"="&amp;$CT1314)</f>
        <v>540</v>
      </c>
      <c r="DH1314" s="14" t="s">
        <v>198</v>
      </c>
      <c r="DI1314" s="14">
        <f>INDEX(属性投放!$BL$6:$BL$85,(CV1314-2)*20+CZ1314)</f>
        <v>38</v>
      </c>
      <c r="DJ1314" s="14">
        <f>SUMIFS(DI$5:DI1314,$CT$5:$CT1314,"="&amp;$CT1314)</f>
        <v>272</v>
      </c>
      <c r="DK1314" s="14" t="s">
        <v>25</v>
      </c>
      <c r="DL1314" s="14">
        <f>INDEX(属性投放!$BM$6:$BM$85,(CV1314-2)*20+CZ1314)</f>
        <v>525</v>
      </c>
      <c r="DM1314" s="14">
        <f>SUMIFS(DL$5:DL1314,$CT$5:$CT1314,"="&amp;$CT1314)</f>
        <v>3575</v>
      </c>
    </row>
    <row r="1315" spans="97:117" ht="16.5" x14ac:dyDescent="0.2">
      <c r="CS1315" s="13">
        <v>1311</v>
      </c>
      <c r="CT1315" s="13">
        <f t="shared" si="1121"/>
        <v>26</v>
      </c>
      <c r="CU1315" s="13">
        <f t="shared" si="1119"/>
        <v>11</v>
      </c>
      <c r="CV1315" s="14">
        <f t="shared" si="1122"/>
        <v>5</v>
      </c>
      <c r="CW1315" s="14">
        <f t="shared" si="1123"/>
        <v>1102028</v>
      </c>
      <c r="CX1315" s="14" t="str">
        <f>INDEX($O$6:$O$50,CT1315)&amp;"-"&amp;INDEX(属性投放!$AB$7:$AB$50,CZ1315)&amp;"-魂火-"&amp;DB1315</f>
        <v>吕布-众合+2-魂火-2</v>
      </c>
      <c r="CY1315" s="25" t="s">
        <v>142</v>
      </c>
      <c r="CZ1315" s="14">
        <f>INDEX(属性投放!$AM$7:$AM$58,CU1315)</f>
        <v>6</v>
      </c>
      <c r="DA1315" s="14" t="s">
        <v>537</v>
      </c>
      <c r="DB1315" s="14">
        <f>INDEX(属性投放!$AN$7:$AN$58,CU1315)</f>
        <v>2</v>
      </c>
      <c r="DC1315" s="14">
        <f t="shared" si="1120"/>
        <v>11</v>
      </c>
      <c r="DD1315" s="14">
        <f>INDEX(属性投放!$AO$7:$AO$58,DC1315)</f>
        <v>45</v>
      </c>
      <c r="DE1315" s="14" t="s">
        <v>242</v>
      </c>
      <c r="DF1315" s="14">
        <f>INDEX(属性投放!$BK$6:$BK$85,(CV1315-2)*20+CZ1315)</f>
        <v>75</v>
      </c>
      <c r="DG1315" s="14">
        <f>SUMIFS(DF$5:DF1315,$CT$5:$CT1315,"="&amp;$CT1315)</f>
        <v>615</v>
      </c>
      <c r="DH1315" s="14" t="s">
        <v>198</v>
      </c>
      <c r="DI1315" s="14">
        <f>INDEX(属性投放!$BL$6:$BL$85,(CV1315-2)*20+CZ1315)</f>
        <v>38</v>
      </c>
      <c r="DJ1315" s="14">
        <f>SUMIFS(DI$5:DI1315,$CT$5:$CT1315,"="&amp;$CT1315)</f>
        <v>310</v>
      </c>
      <c r="DK1315" s="14" t="s">
        <v>25</v>
      </c>
      <c r="DL1315" s="14">
        <f>INDEX(属性投放!$BM$6:$BM$85,(CV1315-2)*20+CZ1315)</f>
        <v>525</v>
      </c>
      <c r="DM1315" s="14">
        <f>SUMIFS(DL$5:DL1315,$CT$5:$CT1315,"="&amp;$CT1315)</f>
        <v>4100</v>
      </c>
    </row>
    <row r="1316" spans="97:117" ht="16.5" x14ac:dyDescent="0.2">
      <c r="CS1316" s="13">
        <v>1312</v>
      </c>
      <c r="CT1316" s="13">
        <f t="shared" si="1121"/>
        <v>26</v>
      </c>
      <c r="CU1316" s="13">
        <f t="shared" si="1119"/>
        <v>12</v>
      </c>
      <c r="CV1316" s="14">
        <f t="shared" si="1122"/>
        <v>5</v>
      </c>
      <c r="CW1316" s="14">
        <f t="shared" si="1123"/>
        <v>1102028</v>
      </c>
      <c r="CX1316" s="14" t="str">
        <f>INDEX($O$6:$O$50,CT1316)&amp;"-"&amp;INDEX(属性投放!$AB$7:$AB$50,CZ1316)&amp;"-魂火-"&amp;DB1316</f>
        <v>吕布-叫唤-魂火-1</v>
      </c>
      <c r="CY1316" s="25" t="s">
        <v>142</v>
      </c>
      <c r="CZ1316" s="14">
        <f>INDEX(属性投放!$AM$7:$AM$58,CU1316)</f>
        <v>7</v>
      </c>
      <c r="DA1316" s="14" t="s">
        <v>537</v>
      </c>
      <c r="DB1316" s="14">
        <f>INDEX(属性投放!$AN$7:$AN$58,CU1316)</f>
        <v>1</v>
      </c>
      <c r="DC1316" s="14">
        <f t="shared" si="1120"/>
        <v>12</v>
      </c>
      <c r="DD1316" s="14">
        <f>INDEX(属性投放!$AO$7:$AO$58,DC1316)</f>
        <v>48</v>
      </c>
      <c r="DE1316" s="14" t="s">
        <v>242</v>
      </c>
      <c r="DF1316" s="14">
        <f>INDEX(属性投放!$BK$6:$BK$85,(CV1316-2)*20+CZ1316)</f>
        <v>100</v>
      </c>
      <c r="DG1316" s="14">
        <f>SUMIFS(DF$5:DF1316,$CT$5:$CT1316,"="&amp;$CT1316)</f>
        <v>715</v>
      </c>
      <c r="DH1316" s="14" t="s">
        <v>198</v>
      </c>
      <c r="DI1316" s="14">
        <f>INDEX(属性投放!$BL$6:$BL$85,(CV1316-2)*20+CZ1316)</f>
        <v>50</v>
      </c>
      <c r="DJ1316" s="14">
        <f>SUMIFS(DI$5:DI1316,$CT$5:$CT1316,"="&amp;$CT1316)</f>
        <v>360</v>
      </c>
      <c r="DK1316" s="14" t="s">
        <v>25</v>
      </c>
      <c r="DL1316" s="14">
        <f>INDEX(属性投放!$BM$6:$BM$85,(CV1316-2)*20+CZ1316)</f>
        <v>800</v>
      </c>
      <c r="DM1316" s="14">
        <f>SUMIFS(DL$5:DL1316,$CT$5:$CT1316,"="&amp;$CT1316)</f>
        <v>4900</v>
      </c>
    </row>
    <row r="1317" spans="97:117" ht="16.5" x14ac:dyDescent="0.2">
      <c r="CS1317" s="13">
        <v>1313</v>
      </c>
      <c r="CT1317" s="13">
        <f t="shared" si="1121"/>
        <v>26</v>
      </c>
      <c r="CU1317" s="13">
        <f t="shared" si="1119"/>
        <v>13</v>
      </c>
      <c r="CV1317" s="14">
        <f t="shared" si="1122"/>
        <v>5</v>
      </c>
      <c r="CW1317" s="14">
        <f t="shared" si="1123"/>
        <v>1102028</v>
      </c>
      <c r="CX1317" s="14" t="str">
        <f>INDEX($O$6:$O$50,CT1317)&amp;"-"&amp;INDEX(属性投放!$AB$7:$AB$50,CZ1317)&amp;"-魂火-"&amp;DB1317</f>
        <v>吕布-叫唤-魂火-2</v>
      </c>
      <c r="CY1317" s="25" t="s">
        <v>142</v>
      </c>
      <c r="CZ1317" s="14">
        <f>INDEX(属性投放!$AM$7:$AM$58,CU1317)</f>
        <v>7</v>
      </c>
      <c r="DA1317" s="14" t="s">
        <v>537</v>
      </c>
      <c r="DB1317" s="14">
        <f>INDEX(属性投放!$AN$7:$AN$58,CU1317)</f>
        <v>2</v>
      </c>
      <c r="DC1317" s="14">
        <f t="shared" si="1120"/>
        <v>13</v>
      </c>
      <c r="DD1317" s="14">
        <f>INDEX(属性投放!$AO$7:$AO$58,DC1317)</f>
        <v>50</v>
      </c>
      <c r="DE1317" s="14" t="s">
        <v>242</v>
      </c>
      <c r="DF1317" s="14">
        <f>INDEX(属性投放!$BK$6:$BK$85,(CV1317-2)*20+CZ1317)</f>
        <v>100</v>
      </c>
      <c r="DG1317" s="14">
        <f>SUMIFS(DF$5:DF1317,$CT$5:$CT1317,"="&amp;$CT1317)</f>
        <v>815</v>
      </c>
      <c r="DH1317" s="14" t="s">
        <v>198</v>
      </c>
      <c r="DI1317" s="14">
        <f>INDEX(属性投放!$BL$6:$BL$85,(CV1317-2)*20+CZ1317)</f>
        <v>50</v>
      </c>
      <c r="DJ1317" s="14">
        <f>SUMIFS(DI$5:DI1317,$CT$5:$CT1317,"="&amp;$CT1317)</f>
        <v>410</v>
      </c>
      <c r="DK1317" s="14" t="s">
        <v>25</v>
      </c>
      <c r="DL1317" s="14">
        <f>INDEX(属性投放!$BM$6:$BM$85,(CV1317-2)*20+CZ1317)</f>
        <v>800</v>
      </c>
      <c r="DM1317" s="14">
        <f>SUMIFS(DL$5:DL1317,$CT$5:$CT1317,"="&amp;$CT1317)</f>
        <v>5700</v>
      </c>
    </row>
    <row r="1318" spans="97:117" ht="16.5" x14ac:dyDescent="0.2">
      <c r="CS1318" s="13">
        <v>1314</v>
      </c>
      <c r="CT1318" s="13">
        <f t="shared" si="1121"/>
        <v>26</v>
      </c>
      <c r="CU1318" s="13">
        <f t="shared" si="1119"/>
        <v>14</v>
      </c>
      <c r="CV1318" s="14">
        <f t="shared" si="1122"/>
        <v>5</v>
      </c>
      <c r="CW1318" s="14">
        <f t="shared" si="1123"/>
        <v>1102028</v>
      </c>
      <c r="CX1318" s="14" t="str">
        <f>INDEX($O$6:$O$50,CT1318)&amp;"-"&amp;INDEX(属性投放!$AB$7:$AB$50,CZ1318)&amp;"-魂火-"&amp;DB1318</f>
        <v>吕布-叫唤+1-魂火-1</v>
      </c>
      <c r="CY1318" s="25" t="s">
        <v>142</v>
      </c>
      <c r="CZ1318" s="14">
        <f>INDEX(属性投放!$AM$7:$AM$58,CU1318)</f>
        <v>8</v>
      </c>
      <c r="DA1318" s="14" t="s">
        <v>537</v>
      </c>
      <c r="DB1318" s="14">
        <f>INDEX(属性投放!$AN$7:$AN$58,CU1318)</f>
        <v>1</v>
      </c>
      <c r="DC1318" s="14">
        <f t="shared" si="1120"/>
        <v>14</v>
      </c>
      <c r="DD1318" s="14">
        <f>INDEX(属性投放!$AO$7:$AO$58,DC1318)</f>
        <v>53</v>
      </c>
      <c r="DE1318" s="14" t="s">
        <v>242</v>
      </c>
      <c r="DF1318" s="14">
        <f>INDEX(属性投放!$BK$6:$BK$85,(CV1318-2)*20+CZ1318)</f>
        <v>120</v>
      </c>
      <c r="DG1318" s="14">
        <f>SUMIFS(DF$5:DF1318,$CT$5:$CT1318,"="&amp;$CT1318)</f>
        <v>935</v>
      </c>
      <c r="DH1318" s="14" t="s">
        <v>198</v>
      </c>
      <c r="DI1318" s="14">
        <f>INDEX(属性投放!$BL$6:$BL$85,(CV1318-2)*20+CZ1318)</f>
        <v>60</v>
      </c>
      <c r="DJ1318" s="14">
        <f>SUMIFS(DI$5:DI1318,$CT$5:$CT1318,"="&amp;$CT1318)</f>
        <v>470</v>
      </c>
      <c r="DK1318" s="14" t="s">
        <v>25</v>
      </c>
      <c r="DL1318" s="14">
        <f>INDEX(属性投放!$BM$6:$BM$85,(CV1318-2)*20+CZ1318)</f>
        <v>960</v>
      </c>
      <c r="DM1318" s="14">
        <f>SUMIFS(DL$5:DL1318,$CT$5:$CT1318,"="&amp;$CT1318)</f>
        <v>6660</v>
      </c>
    </row>
    <row r="1319" spans="97:117" ht="16.5" x14ac:dyDescent="0.2">
      <c r="CS1319" s="13">
        <v>1315</v>
      </c>
      <c r="CT1319" s="13">
        <f t="shared" si="1121"/>
        <v>26</v>
      </c>
      <c r="CU1319" s="13">
        <f t="shared" si="1119"/>
        <v>15</v>
      </c>
      <c r="CV1319" s="14">
        <f t="shared" si="1122"/>
        <v>5</v>
      </c>
      <c r="CW1319" s="14">
        <f t="shared" si="1123"/>
        <v>1102028</v>
      </c>
      <c r="CX1319" s="14" t="str">
        <f>INDEX($O$6:$O$50,CT1319)&amp;"-"&amp;INDEX(属性投放!$AB$7:$AB$50,CZ1319)&amp;"-魂火-"&amp;DB1319</f>
        <v>吕布-叫唤+1-魂火-2</v>
      </c>
      <c r="CY1319" s="25" t="s">
        <v>142</v>
      </c>
      <c r="CZ1319" s="14">
        <f>INDEX(属性投放!$AM$7:$AM$58,CU1319)</f>
        <v>8</v>
      </c>
      <c r="DA1319" s="14" t="s">
        <v>537</v>
      </c>
      <c r="DB1319" s="14">
        <f>INDEX(属性投放!$AN$7:$AN$58,CU1319)</f>
        <v>2</v>
      </c>
      <c r="DC1319" s="14">
        <f t="shared" si="1120"/>
        <v>15</v>
      </c>
      <c r="DD1319" s="14">
        <f>INDEX(属性投放!$AO$7:$AO$58,DC1319)</f>
        <v>55</v>
      </c>
      <c r="DE1319" s="14" t="s">
        <v>242</v>
      </c>
      <c r="DF1319" s="14">
        <f>INDEX(属性投放!$BK$6:$BK$85,(CV1319-2)*20+CZ1319)</f>
        <v>120</v>
      </c>
      <c r="DG1319" s="14">
        <f>SUMIFS(DF$5:DF1319,$CT$5:$CT1319,"="&amp;$CT1319)</f>
        <v>1055</v>
      </c>
      <c r="DH1319" s="14" t="s">
        <v>198</v>
      </c>
      <c r="DI1319" s="14">
        <f>INDEX(属性投放!$BL$6:$BL$85,(CV1319-2)*20+CZ1319)</f>
        <v>60</v>
      </c>
      <c r="DJ1319" s="14">
        <f>SUMIFS(DI$5:DI1319,$CT$5:$CT1319,"="&amp;$CT1319)</f>
        <v>530</v>
      </c>
      <c r="DK1319" s="14" t="s">
        <v>25</v>
      </c>
      <c r="DL1319" s="14">
        <f>INDEX(属性投放!$BM$6:$BM$85,(CV1319-2)*20+CZ1319)</f>
        <v>960</v>
      </c>
      <c r="DM1319" s="14">
        <f>SUMIFS(DL$5:DL1319,$CT$5:$CT1319,"="&amp;$CT1319)</f>
        <v>7620</v>
      </c>
    </row>
    <row r="1320" spans="97:117" ht="16.5" x14ac:dyDescent="0.2">
      <c r="CS1320" s="13">
        <v>1316</v>
      </c>
      <c r="CT1320" s="13">
        <f t="shared" si="1121"/>
        <v>26</v>
      </c>
      <c r="CU1320" s="13">
        <f t="shared" si="1119"/>
        <v>16</v>
      </c>
      <c r="CV1320" s="14">
        <f t="shared" si="1122"/>
        <v>5</v>
      </c>
      <c r="CW1320" s="14">
        <f t="shared" si="1123"/>
        <v>1102028</v>
      </c>
      <c r="CX1320" s="14" t="str">
        <f>INDEX($O$6:$O$50,CT1320)&amp;"-"&amp;INDEX(属性投放!$AB$7:$AB$50,CZ1320)&amp;"-魂火-"&amp;DB1320</f>
        <v>吕布-叫唤+2-魂火-1</v>
      </c>
      <c r="CY1320" s="25" t="s">
        <v>142</v>
      </c>
      <c r="CZ1320" s="14">
        <f>INDEX(属性投放!$AM$7:$AM$58,CU1320)</f>
        <v>9</v>
      </c>
      <c r="DA1320" s="14" t="s">
        <v>537</v>
      </c>
      <c r="DB1320" s="14">
        <f>INDEX(属性投放!$AN$7:$AN$58,CU1320)</f>
        <v>1</v>
      </c>
      <c r="DC1320" s="14">
        <f t="shared" si="1120"/>
        <v>16</v>
      </c>
      <c r="DD1320" s="14">
        <f>INDEX(属性投放!$AO$7:$AO$58,DC1320)</f>
        <v>58</v>
      </c>
      <c r="DE1320" s="14" t="s">
        <v>242</v>
      </c>
      <c r="DF1320" s="14">
        <f>INDEX(属性投放!$BK$6:$BK$85,(CV1320-2)*20+CZ1320)</f>
        <v>138</v>
      </c>
      <c r="DG1320" s="14">
        <f>SUMIFS(DF$5:DF1320,$CT$5:$CT1320,"="&amp;$CT1320)</f>
        <v>1193</v>
      </c>
      <c r="DH1320" s="14" t="s">
        <v>198</v>
      </c>
      <c r="DI1320" s="14">
        <f>INDEX(属性投放!$BL$6:$BL$85,(CV1320-2)*20+CZ1320)</f>
        <v>69</v>
      </c>
      <c r="DJ1320" s="14">
        <f>SUMIFS(DI$5:DI1320,$CT$5:$CT1320,"="&amp;$CT1320)</f>
        <v>599</v>
      </c>
      <c r="DK1320" s="14" t="s">
        <v>25</v>
      </c>
      <c r="DL1320" s="14">
        <f>INDEX(属性投放!$BM$6:$BM$85,(CV1320-2)*20+CZ1320)</f>
        <v>1104</v>
      </c>
      <c r="DM1320" s="14">
        <f>SUMIFS(DL$5:DL1320,$CT$5:$CT1320,"="&amp;$CT1320)</f>
        <v>8724</v>
      </c>
    </row>
    <row r="1321" spans="97:117" ht="16.5" x14ac:dyDescent="0.2">
      <c r="CS1321" s="13">
        <v>1317</v>
      </c>
      <c r="CT1321" s="13">
        <f t="shared" si="1121"/>
        <v>26</v>
      </c>
      <c r="CU1321" s="13">
        <f t="shared" si="1119"/>
        <v>17</v>
      </c>
      <c r="CV1321" s="14">
        <f t="shared" si="1122"/>
        <v>5</v>
      </c>
      <c r="CW1321" s="14">
        <f t="shared" si="1123"/>
        <v>1102028</v>
      </c>
      <c r="CX1321" s="14" t="str">
        <f>INDEX($O$6:$O$50,CT1321)&amp;"-"&amp;INDEX(属性投放!$AB$7:$AB$50,CZ1321)&amp;"-魂火-"&amp;DB1321</f>
        <v>吕布-叫唤+2-魂火-2</v>
      </c>
      <c r="CY1321" s="25" t="s">
        <v>142</v>
      </c>
      <c r="CZ1321" s="14">
        <f>INDEX(属性投放!$AM$7:$AM$58,CU1321)</f>
        <v>9</v>
      </c>
      <c r="DA1321" s="14" t="s">
        <v>537</v>
      </c>
      <c r="DB1321" s="14">
        <f>INDEX(属性投放!$AN$7:$AN$58,CU1321)</f>
        <v>2</v>
      </c>
      <c r="DC1321" s="14">
        <f t="shared" si="1120"/>
        <v>17</v>
      </c>
      <c r="DD1321" s="14">
        <f>INDEX(属性投放!$AO$7:$AO$58,DC1321)</f>
        <v>60</v>
      </c>
      <c r="DE1321" s="14" t="s">
        <v>242</v>
      </c>
      <c r="DF1321" s="14">
        <f>INDEX(属性投放!$BK$6:$BK$85,(CV1321-2)*20+CZ1321)</f>
        <v>138</v>
      </c>
      <c r="DG1321" s="14">
        <f>SUMIFS(DF$5:DF1321,$CT$5:$CT1321,"="&amp;$CT1321)</f>
        <v>1331</v>
      </c>
      <c r="DH1321" s="14" t="s">
        <v>198</v>
      </c>
      <c r="DI1321" s="14">
        <f>INDEX(属性投放!$BL$6:$BL$85,(CV1321-2)*20+CZ1321)</f>
        <v>69</v>
      </c>
      <c r="DJ1321" s="14">
        <f>SUMIFS(DI$5:DI1321,$CT$5:$CT1321,"="&amp;$CT1321)</f>
        <v>668</v>
      </c>
      <c r="DK1321" s="14" t="s">
        <v>25</v>
      </c>
      <c r="DL1321" s="14">
        <f>INDEX(属性投放!$BM$6:$BM$85,(CV1321-2)*20+CZ1321)</f>
        <v>1104</v>
      </c>
      <c r="DM1321" s="14">
        <f>SUMIFS(DL$5:DL1321,$CT$5:$CT1321,"="&amp;$CT1321)</f>
        <v>9828</v>
      </c>
    </row>
    <row r="1322" spans="97:117" ht="16.5" x14ac:dyDescent="0.2">
      <c r="CS1322" s="13">
        <v>1318</v>
      </c>
      <c r="CT1322" s="13">
        <f t="shared" si="1121"/>
        <v>26</v>
      </c>
      <c r="CU1322" s="13">
        <f t="shared" si="1119"/>
        <v>18</v>
      </c>
      <c r="CV1322" s="14">
        <f t="shared" si="1122"/>
        <v>5</v>
      </c>
      <c r="CW1322" s="14">
        <f t="shared" si="1123"/>
        <v>1102028</v>
      </c>
      <c r="CX1322" s="14" t="str">
        <f>INDEX($O$6:$O$50,CT1322)&amp;"-"&amp;INDEX(属性投放!$AB$7:$AB$50,CZ1322)&amp;"-魂火-"&amp;DB1322</f>
        <v>吕布-叫唤+2-魂火-3</v>
      </c>
      <c r="CY1322" s="25" t="s">
        <v>142</v>
      </c>
      <c r="CZ1322" s="14">
        <f>INDEX(属性投放!$AM$7:$AM$58,CU1322)</f>
        <v>9</v>
      </c>
      <c r="DA1322" s="14" t="s">
        <v>537</v>
      </c>
      <c r="DB1322" s="14">
        <f>INDEX(属性投放!$AN$7:$AN$58,CU1322)</f>
        <v>3</v>
      </c>
      <c r="DC1322" s="14">
        <f t="shared" si="1120"/>
        <v>18</v>
      </c>
      <c r="DD1322" s="14">
        <f>INDEX(属性投放!$AO$7:$AO$58,DC1322)</f>
        <v>63</v>
      </c>
      <c r="DE1322" s="14" t="s">
        <v>242</v>
      </c>
      <c r="DF1322" s="14">
        <f>INDEX(属性投放!$BK$6:$BK$85,(CV1322-2)*20+CZ1322)</f>
        <v>138</v>
      </c>
      <c r="DG1322" s="14">
        <f>SUMIFS(DF$5:DF1322,$CT$5:$CT1322,"="&amp;$CT1322)</f>
        <v>1469</v>
      </c>
      <c r="DH1322" s="14" t="s">
        <v>198</v>
      </c>
      <c r="DI1322" s="14">
        <f>INDEX(属性投放!$BL$6:$BL$85,(CV1322-2)*20+CZ1322)</f>
        <v>69</v>
      </c>
      <c r="DJ1322" s="14">
        <f>SUMIFS(DI$5:DI1322,$CT$5:$CT1322,"="&amp;$CT1322)</f>
        <v>737</v>
      </c>
      <c r="DK1322" s="14" t="s">
        <v>25</v>
      </c>
      <c r="DL1322" s="14">
        <f>INDEX(属性投放!$BM$6:$BM$85,(CV1322-2)*20+CZ1322)</f>
        <v>1104</v>
      </c>
      <c r="DM1322" s="14">
        <f>SUMIFS(DL$5:DL1322,$CT$5:$CT1322,"="&amp;$CT1322)</f>
        <v>10932</v>
      </c>
    </row>
    <row r="1323" spans="97:117" ht="16.5" x14ac:dyDescent="0.2">
      <c r="CS1323" s="13">
        <v>1319</v>
      </c>
      <c r="CT1323" s="13">
        <f t="shared" si="1121"/>
        <v>26</v>
      </c>
      <c r="CU1323" s="13">
        <f t="shared" si="1119"/>
        <v>19</v>
      </c>
      <c r="CV1323" s="14">
        <f t="shared" si="1122"/>
        <v>5</v>
      </c>
      <c r="CW1323" s="14">
        <f t="shared" si="1123"/>
        <v>1102028</v>
      </c>
      <c r="CX1323" s="14" t="str">
        <f>INDEX($O$6:$O$50,CT1323)&amp;"-"&amp;INDEX(属性投放!$AB$7:$AB$50,CZ1323)&amp;"-魂火-"&amp;DB1323</f>
        <v>吕布-大叫唤-魂火-1</v>
      </c>
      <c r="CY1323" s="25" t="s">
        <v>142</v>
      </c>
      <c r="CZ1323" s="14">
        <f>INDEX(属性投放!$AM$7:$AM$58,CU1323)</f>
        <v>10</v>
      </c>
      <c r="DA1323" s="14" t="s">
        <v>537</v>
      </c>
      <c r="DB1323" s="14">
        <f>INDEX(属性投放!$AN$7:$AN$58,CU1323)</f>
        <v>1</v>
      </c>
      <c r="DC1323" s="14">
        <f t="shared" si="1120"/>
        <v>19</v>
      </c>
      <c r="DD1323" s="14">
        <f>INDEX(属性投放!$AO$7:$AO$58,DC1323)</f>
        <v>65</v>
      </c>
      <c r="DE1323" s="14" t="s">
        <v>242</v>
      </c>
      <c r="DF1323" s="14">
        <f>INDEX(属性投放!$BK$6:$BK$85,(CV1323-2)*20+CZ1323)</f>
        <v>150</v>
      </c>
      <c r="DG1323" s="14">
        <f>SUMIFS(DF$5:DF1323,$CT$5:$CT1323,"="&amp;$CT1323)</f>
        <v>1619</v>
      </c>
      <c r="DH1323" s="14" t="s">
        <v>198</v>
      </c>
      <c r="DI1323" s="14">
        <f>INDEX(属性投放!$BL$6:$BL$85,(CV1323-2)*20+CZ1323)</f>
        <v>75</v>
      </c>
      <c r="DJ1323" s="14">
        <f>SUMIFS(DI$5:DI1323,$CT$5:$CT1323,"="&amp;$CT1323)</f>
        <v>812</v>
      </c>
      <c r="DK1323" s="14" t="s">
        <v>25</v>
      </c>
      <c r="DL1323" s="14">
        <f>INDEX(属性投放!$BM$6:$BM$85,(CV1323-2)*20+CZ1323)</f>
        <v>1350</v>
      </c>
      <c r="DM1323" s="14">
        <f>SUMIFS(DL$5:DL1323,$CT$5:$CT1323,"="&amp;$CT1323)</f>
        <v>12282</v>
      </c>
    </row>
    <row r="1324" spans="97:117" ht="16.5" x14ac:dyDescent="0.2">
      <c r="CS1324" s="13">
        <v>1320</v>
      </c>
      <c r="CT1324" s="13">
        <f t="shared" si="1121"/>
        <v>26</v>
      </c>
      <c r="CU1324" s="13">
        <f t="shared" si="1119"/>
        <v>20</v>
      </c>
      <c r="CV1324" s="14">
        <f t="shared" si="1122"/>
        <v>5</v>
      </c>
      <c r="CW1324" s="14">
        <f t="shared" si="1123"/>
        <v>1102028</v>
      </c>
      <c r="CX1324" s="14" t="str">
        <f>INDEX($O$6:$O$50,CT1324)&amp;"-"&amp;INDEX(属性投放!$AB$7:$AB$50,CZ1324)&amp;"-魂火-"&amp;DB1324</f>
        <v>吕布-大叫唤-魂火-2</v>
      </c>
      <c r="CY1324" s="25" t="s">
        <v>142</v>
      </c>
      <c r="CZ1324" s="14">
        <f>INDEX(属性投放!$AM$7:$AM$58,CU1324)</f>
        <v>10</v>
      </c>
      <c r="DA1324" s="14" t="s">
        <v>537</v>
      </c>
      <c r="DB1324" s="14">
        <f>INDEX(属性投放!$AN$7:$AN$58,CU1324)</f>
        <v>2</v>
      </c>
      <c r="DC1324" s="14">
        <f t="shared" si="1120"/>
        <v>20</v>
      </c>
      <c r="DD1324" s="14">
        <f>INDEX(属性投放!$AO$7:$AO$58,DC1324)</f>
        <v>68</v>
      </c>
      <c r="DE1324" s="14" t="s">
        <v>242</v>
      </c>
      <c r="DF1324" s="14">
        <f>INDEX(属性投放!$BK$6:$BK$85,(CV1324-2)*20+CZ1324)</f>
        <v>150</v>
      </c>
      <c r="DG1324" s="14">
        <f>SUMIFS(DF$5:DF1324,$CT$5:$CT1324,"="&amp;$CT1324)</f>
        <v>1769</v>
      </c>
      <c r="DH1324" s="14" t="s">
        <v>198</v>
      </c>
      <c r="DI1324" s="14">
        <f>INDEX(属性投放!$BL$6:$BL$85,(CV1324-2)*20+CZ1324)</f>
        <v>75</v>
      </c>
      <c r="DJ1324" s="14">
        <f>SUMIFS(DI$5:DI1324,$CT$5:$CT1324,"="&amp;$CT1324)</f>
        <v>887</v>
      </c>
      <c r="DK1324" s="14" t="s">
        <v>25</v>
      </c>
      <c r="DL1324" s="14">
        <f>INDEX(属性投放!$BM$6:$BM$85,(CV1324-2)*20+CZ1324)</f>
        <v>1350</v>
      </c>
      <c r="DM1324" s="14">
        <f>SUMIFS(DL$5:DL1324,$CT$5:$CT1324,"="&amp;$CT1324)</f>
        <v>13632</v>
      </c>
    </row>
    <row r="1325" spans="97:117" ht="16.5" x14ac:dyDescent="0.2">
      <c r="CS1325" s="13">
        <v>1321</v>
      </c>
      <c r="CT1325" s="13">
        <f t="shared" si="1121"/>
        <v>26</v>
      </c>
      <c r="CU1325" s="13">
        <f t="shared" si="1119"/>
        <v>21</v>
      </c>
      <c r="CV1325" s="14">
        <f t="shared" si="1122"/>
        <v>5</v>
      </c>
      <c r="CW1325" s="14">
        <f t="shared" si="1123"/>
        <v>1102028</v>
      </c>
      <c r="CX1325" s="14" t="str">
        <f>INDEX($O$6:$O$50,CT1325)&amp;"-"&amp;INDEX(属性投放!$AB$7:$AB$50,CZ1325)&amp;"-魂火-"&amp;DB1325</f>
        <v>吕布-大叫唤-魂火-3</v>
      </c>
      <c r="CY1325" s="25" t="s">
        <v>142</v>
      </c>
      <c r="CZ1325" s="14">
        <f>INDEX(属性投放!$AM$7:$AM$58,CU1325)</f>
        <v>10</v>
      </c>
      <c r="DA1325" s="14" t="s">
        <v>537</v>
      </c>
      <c r="DB1325" s="14">
        <f>INDEX(属性投放!$AN$7:$AN$58,CU1325)</f>
        <v>3</v>
      </c>
      <c r="DC1325" s="14">
        <f t="shared" si="1120"/>
        <v>21</v>
      </c>
      <c r="DD1325" s="14">
        <f>INDEX(属性投放!$AO$7:$AO$58,DC1325)</f>
        <v>70</v>
      </c>
      <c r="DE1325" s="14" t="s">
        <v>242</v>
      </c>
      <c r="DF1325" s="14">
        <f>INDEX(属性投放!$BK$6:$BK$85,(CV1325-2)*20+CZ1325)</f>
        <v>150</v>
      </c>
      <c r="DG1325" s="14">
        <f>SUMIFS(DF$5:DF1325,$CT$5:$CT1325,"="&amp;$CT1325)</f>
        <v>1919</v>
      </c>
      <c r="DH1325" s="14" t="s">
        <v>198</v>
      </c>
      <c r="DI1325" s="14">
        <f>INDEX(属性投放!$BL$6:$BL$85,(CV1325-2)*20+CZ1325)</f>
        <v>75</v>
      </c>
      <c r="DJ1325" s="14">
        <f>SUMIFS(DI$5:DI1325,$CT$5:$CT1325,"="&amp;$CT1325)</f>
        <v>962</v>
      </c>
      <c r="DK1325" s="14" t="s">
        <v>25</v>
      </c>
      <c r="DL1325" s="14">
        <f>INDEX(属性投放!$BM$6:$BM$85,(CV1325-2)*20+CZ1325)</f>
        <v>1350</v>
      </c>
      <c r="DM1325" s="14">
        <f>SUMIFS(DL$5:DL1325,$CT$5:$CT1325,"="&amp;$CT1325)</f>
        <v>14982</v>
      </c>
    </row>
    <row r="1326" spans="97:117" ht="16.5" x14ac:dyDescent="0.2">
      <c r="CS1326" s="13">
        <v>1322</v>
      </c>
      <c r="CT1326" s="13">
        <f t="shared" si="1121"/>
        <v>26</v>
      </c>
      <c r="CU1326" s="13">
        <f t="shared" si="1119"/>
        <v>22</v>
      </c>
      <c r="CV1326" s="14">
        <f t="shared" si="1122"/>
        <v>5</v>
      </c>
      <c r="CW1326" s="14">
        <f t="shared" si="1123"/>
        <v>1102028</v>
      </c>
      <c r="CX1326" s="14" t="str">
        <f>INDEX($O$6:$O$50,CT1326)&amp;"-"&amp;INDEX(属性投放!$AB$7:$AB$50,CZ1326)&amp;"-魂火-"&amp;DB1326</f>
        <v>吕布-大叫唤+1-魂火-1</v>
      </c>
      <c r="CY1326" s="25" t="s">
        <v>142</v>
      </c>
      <c r="CZ1326" s="14">
        <f>INDEX(属性投放!$AM$7:$AM$58,CU1326)</f>
        <v>11</v>
      </c>
      <c r="DA1326" s="14" t="s">
        <v>537</v>
      </c>
      <c r="DB1326" s="14">
        <f>INDEX(属性投放!$AN$7:$AN$58,CU1326)</f>
        <v>1</v>
      </c>
      <c r="DC1326" s="14">
        <f t="shared" si="1120"/>
        <v>22</v>
      </c>
      <c r="DD1326" s="14">
        <f>INDEX(属性投放!$AO$7:$AO$58,DC1326)</f>
        <v>73</v>
      </c>
      <c r="DE1326" s="14" t="s">
        <v>242</v>
      </c>
      <c r="DF1326" s="14">
        <f>INDEX(属性投放!$BK$6:$BK$85,(CV1326-2)*20+CZ1326)</f>
        <v>200</v>
      </c>
      <c r="DG1326" s="14">
        <f>SUMIFS(DF$5:DF1326,$CT$5:$CT1326,"="&amp;$CT1326)</f>
        <v>2119</v>
      </c>
      <c r="DH1326" s="14" t="s">
        <v>198</v>
      </c>
      <c r="DI1326" s="14">
        <f>INDEX(属性投放!$BL$6:$BL$85,(CV1326-2)*20+CZ1326)</f>
        <v>100</v>
      </c>
      <c r="DJ1326" s="14">
        <f>SUMIFS(DI$5:DI1326,$CT$5:$CT1326,"="&amp;$CT1326)</f>
        <v>1062</v>
      </c>
      <c r="DK1326" s="14" t="s">
        <v>25</v>
      </c>
      <c r="DL1326" s="14">
        <f>INDEX(属性投放!$BM$6:$BM$85,(CV1326-2)*20+CZ1326)</f>
        <v>1800</v>
      </c>
      <c r="DM1326" s="14">
        <f>SUMIFS(DL$5:DL1326,$CT$5:$CT1326,"="&amp;$CT1326)</f>
        <v>16782</v>
      </c>
    </row>
    <row r="1327" spans="97:117" ht="16.5" x14ac:dyDescent="0.2">
      <c r="CS1327" s="13">
        <v>1323</v>
      </c>
      <c r="CT1327" s="13">
        <f t="shared" si="1121"/>
        <v>26</v>
      </c>
      <c r="CU1327" s="13">
        <f t="shared" si="1119"/>
        <v>23</v>
      </c>
      <c r="CV1327" s="14">
        <f t="shared" si="1122"/>
        <v>5</v>
      </c>
      <c r="CW1327" s="14">
        <f t="shared" si="1123"/>
        <v>1102028</v>
      </c>
      <c r="CX1327" s="14" t="str">
        <f>INDEX($O$6:$O$50,CT1327)&amp;"-"&amp;INDEX(属性投放!$AB$7:$AB$50,CZ1327)&amp;"-魂火-"&amp;DB1327</f>
        <v>吕布-大叫唤+1-魂火-2</v>
      </c>
      <c r="CY1327" s="25" t="s">
        <v>142</v>
      </c>
      <c r="CZ1327" s="14">
        <f>INDEX(属性投放!$AM$7:$AM$58,CU1327)</f>
        <v>11</v>
      </c>
      <c r="DA1327" s="14" t="s">
        <v>537</v>
      </c>
      <c r="DB1327" s="14">
        <f>INDEX(属性投放!$AN$7:$AN$58,CU1327)</f>
        <v>2</v>
      </c>
      <c r="DC1327" s="14">
        <f t="shared" si="1120"/>
        <v>23</v>
      </c>
      <c r="DD1327" s="14">
        <f>INDEX(属性投放!$AO$7:$AO$58,DC1327)</f>
        <v>75</v>
      </c>
      <c r="DE1327" s="14" t="s">
        <v>242</v>
      </c>
      <c r="DF1327" s="14">
        <f>INDEX(属性投放!$BK$6:$BK$85,(CV1327-2)*20+CZ1327)</f>
        <v>200</v>
      </c>
      <c r="DG1327" s="14">
        <f>SUMIFS(DF$5:DF1327,$CT$5:$CT1327,"="&amp;$CT1327)</f>
        <v>2319</v>
      </c>
      <c r="DH1327" s="14" t="s">
        <v>198</v>
      </c>
      <c r="DI1327" s="14">
        <f>INDEX(属性投放!$BL$6:$BL$85,(CV1327-2)*20+CZ1327)</f>
        <v>100</v>
      </c>
      <c r="DJ1327" s="14">
        <f>SUMIFS(DI$5:DI1327,$CT$5:$CT1327,"="&amp;$CT1327)</f>
        <v>1162</v>
      </c>
      <c r="DK1327" s="14" t="s">
        <v>25</v>
      </c>
      <c r="DL1327" s="14">
        <f>INDEX(属性投放!$BM$6:$BM$85,(CV1327-2)*20+CZ1327)</f>
        <v>1800</v>
      </c>
      <c r="DM1327" s="14">
        <f>SUMIFS(DL$5:DL1327,$CT$5:$CT1327,"="&amp;$CT1327)</f>
        <v>18582</v>
      </c>
    </row>
    <row r="1328" spans="97:117" ht="16.5" x14ac:dyDescent="0.2">
      <c r="CS1328" s="13">
        <v>1324</v>
      </c>
      <c r="CT1328" s="13">
        <f t="shared" si="1121"/>
        <v>26</v>
      </c>
      <c r="CU1328" s="13">
        <f t="shared" si="1119"/>
        <v>24</v>
      </c>
      <c r="CV1328" s="14">
        <f t="shared" si="1122"/>
        <v>5</v>
      </c>
      <c r="CW1328" s="14">
        <f t="shared" si="1123"/>
        <v>1102028</v>
      </c>
      <c r="CX1328" s="14" t="str">
        <f>INDEX($O$6:$O$50,CT1328)&amp;"-"&amp;INDEX(属性投放!$AB$7:$AB$50,CZ1328)&amp;"-魂火-"&amp;DB1328</f>
        <v>吕布-大叫唤+1-魂火-3</v>
      </c>
      <c r="CY1328" s="25" t="s">
        <v>142</v>
      </c>
      <c r="CZ1328" s="14">
        <f>INDEX(属性投放!$AM$7:$AM$58,CU1328)</f>
        <v>11</v>
      </c>
      <c r="DA1328" s="14" t="s">
        <v>537</v>
      </c>
      <c r="DB1328" s="14">
        <f>INDEX(属性投放!$AN$7:$AN$58,CU1328)</f>
        <v>3</v>
      </c>
      <c r="DC1328" s="14">
        <f t="shared" si="1120"/>
        <v>24</v>
      </c>
      <c r="DD1328" s="14">
        <f>INDEX(属性投放!$AO$7:$AO$58,DC1328)</f>
        <v>78</v>
      </c>
      <c r="DE1328" s="14" t="s">
        <v>242</v>
      </c>
      <c r="DF1328" s="14">
        <f>INDEX(属性投放!$BK$6:$BK$85,(CV1328-2)*20+CZ1328)</f>
        <v>200</v>
      </c>
      <c r="DG1328" s="14">
        <f>SUMIFS(DF$5:DF1328,$CT$5:$CT1328,"="&amp;$CT1328)</f>
        <v>2519</v>
      </c>
      <c r="DH1328" s="14" t="s">
        <v>198</v>
      </c>
      <c r="DI1328" s="14">
        <f>INDEX(属性投放!$BL$6:$BL$85,(CV1328-2)*20+CZ1328)</f>
        <v>100</v>
      </c>
      <c r="DJ1328" s="14">
        <f>SUMIFS(DI$5:DI1328,$CT$5:$CT1328,"="&amp;$CT1328)</f>
        <v>1262</v>
      </c>
      <c r="DK1328" s="14" t="s">
        <v>25</v>
      </c>
      <c r="DL1328" s="14">
        <f>INDEX(属性投放!$BM$6:$BM$85,(CV1328-2)*20+CZ1328)</f>
        <v>1800</v>
      </c>
      <c r="DM1328" s="14">
        <f>SUMIFS(DL$5:DL1328,$CT$5:$CT1328,"="&amp;$CT1328)</f>
        <v>20382</v>
      </c>
    </row>
    <row r="1329" spans="97:117" ht="16.5" x14ac:dyDescent="0.2">
      <c r="CS1329" s="13">
        <v>1325</v>
      </c>
      <c r="CT1329" s="13">
        <f t="shared" si="1121"/>
        <v>26</v>
      </c>
      <c r="CU1329" s="13">
        <f t="shared" si="1119"/>
        <v>25</v>
      </c>
      <c r="CV1329" s="14">
        <f t="shared" si="1122"/>
        <v>5</v>
      </c>
      <c r="CW1329" s="14">
        <f t="shared" si="1123"/>
        <v>1102028</v>
      </c>
      <c r="CX1329" s="14" t="str">
        <f>INDEX($O$6:$O$50,CT1329)&amp;"-"&amp;INDEX(属性投放!$AB$7:$AB$50,CZ1329)&amp;"-魂火-"&amp;DB1329</f>
        <v>吕布-大叫唤+2-魂火-1</v>
      </c>
      <c r="CY1329" s="25" t="s">
        <v>142</v>
      </c>
      <c r="CZ1329" s="14">
        <f>INDEX(属性投放!$AM$7:$AM$58,CU1329)</f>
        <v>12</v>
      </c>
      <c r="DA1329" s="14" t="s">
        <v>537</v>
      </c>
      <c r="DB1329" s="14">
        <f>INDEX(属性投放!$AN$7:$AN$58,CU1329)</f>
        <v>1</v>
      </c>
      <c r="DC1329" s="14">
        <f t="shared" si="1120"/>
        <v>25</v>
      </c>
      <c r="DD1329" s="14">
        <f>INDEX(属性投放!$AO$7:$AO$58,DC1329)</f>
        <v>80</v>
      </c>
      <c r="DE1329" s="14" t="s">
        <v>242</v>
      </c>
      <c r="DF1329" s="14">
        <f>INDEX(属性投放!$BK$6:$BK$85,(CV1329-2)*20+CZ1329)</f>
        <v>260</v>
      </c>
      <c r="DG1329" s="14">
        <f>SUMIFS(DF$5:DF1329,$CT$5:$CT1329,"="&amp;$CT1329)</f>
        <v>2779</v>
      </c>
      <c r="DH1329" s="14" t="s">
        <v>198</v>
      </c>
      <c r="DI1329" s="14">
        <f>INDEX(属性投放!$BL$6:$BL$85,(CV1329-2)*20+CZ1329)</f>
        <v>130</v>
      </c>
      <c r="DJ1329" s="14">
        <f>SUMIFS(DI$5:DI1329,$CT$5:$CT1329,"="&amp;$CT1329)</f>
        <v>1392</v>
      </c>
      <c r="DK1329" s="14" t="s">
        <v>25</v>
      </c>
      <c r="DL1329" s="14">
        <f>INDEX(属性投放!$BM$6:$BM$85,(CV1329-2)*20+CZ1329)</f>
        <v>2340</v>
      </c>
      <c r="DM1329" s="14">
        <f>SUMIFS(DL$5:DL1329,$CT$5:$CT1329,"="&amp;$CT1329)</f>
        <v>22722</v>
      </c>
    </row>
    <row r="1330" spans="97:117" ht="16.5" x14ac:dyDescent="0.2">
      <c r="CS1330" s="13">
        <v>1326</v>
      </c>
      <c r="CT1330" s="13">
        <f t="shared" si="1121"/>
        <v>26</v>
      </c>
      <c r="CU1330" s="13">
        <f t="shared" si="1119"/>
        <v>26</v>
      </c>
      <c r="CV1330" s="14">
        <f t="shared" si="1122"/>
        <v>5</v>
      </c>
      <c r="CW1330" s="14">
        <f t="shared" si="1123"/>
        <v>1102028</v>
      </c>
      <c r="CX1330" s="14" t="str">
        <f>INDEX($O$6:$O$50,CT1330)&amp;"-"&amp;INDEX(属性投放!$AB$7:$AB$50,CZ1330)&amp;"-魂火-"&amp;DB1330</f>
        <v>吕布-大叫唤+2-魂火-2</v>
      </c>
      <c r="CY1330" s="25" t="s">
        <v>142</v>
      </c>
      <c r="CZ1330" s="14">
        <f>INDEX(属性投放!$AM$7:$AM$58,CU1330)</f>
        <v>12</v>
      </c>
      <c r="DA1330" s="14" t="s">
        <v>537</v>
      </c>
      <c r="DB1330" s="14">
        <f>INDEX(属性投放!$AN$7:$AN$58,CU1330)</f>
        <v>2</v>
      </c>
      <c r="DC1330" s="14">
        <f t="shared" si="1120"/>
        <v>26</v>
      </c>
      <c r="DD1330" s="14">
        <f>INDEX(属性投放!$AO$7:$AO$58,DC1330)</f>
        <v>83</v>
      </c>
      <c r="DE1330" s="14" t="s">
        <v>242</v>
      </c>
      <c r="DF1330" s="14">
        <f>INDEX(属性投放!$BK$6:$BK$85,(CV1330-2)*20+CZ1330)</f>
        <v>260</v>
      </c>
      <c r="DG1330" s="14">
        <f>SUMIFS(DF$5:DF1330,$CT$5:$CT1330,"="&amp;$CT1330)</f>
        <v>3039</v>
      </c>
      <c r="DH1330" s="14" t="s">
        <v>198</v>
      </c>
      <c r="DI1330" s="14">
        <f>INDEX(属性投放!$BL$6:$BL$85,(CV1330-2)*20+CZ1330)</f>
        <v>130</v>
      </c>
      <c r="DJ1330" s="14">
        <f>SUMIFS(DI$5:DI1330,$CT$5:$CT1330,"="&amp;$CT1330)</f>
        <v>1522</v>
      </c>
      <c r="DK1330" s="14" t="s">
        <v>25</v>
      </c>
      <c r="DL1330" s="14">
        <f>INDEX(属性投放!$BM$6:$BM$85,(CV1330-2)*20+CZ1330)</f>
        <v>2340</v>
      </c>
      <c r="DM1330" s="14">
        <f>SUMIFS(DL$5:DL1330,$CT$5:$CT1330,"="&amp;$CT1330)</f>
        <v>25062</v>
      </c>
    </row>
    <row r="1331" spans="97:117" ht="16.5" x14ac:dyDescent="0.2">
      <c r="CS1331" s="13">
        <v>1327</v>
      </c>
      <c r="CT1331" s="13">
        <f t="shared" si="1121"/>
        <v>26</v>
      </c>
      <c r="CU1331" s="13">
        <f t="shared" si="1119"/>
        <v>27</v>
      </c>
      <c r="CV1331" s="14">
        <f t="shared" si="1122"/>
        <v>5</v>
      </c>
      <c r="CW1331" s="14">
        <f t="shared" si="1123"/>
        <v>1102028</v>
      </c>
      <c r="CX1331" s="14" t="str">
        <f>INDEX($O$6:$O$50,CT1331)&amp;"-"&amp;INDEX(属性投放!$AB$7:$AB$50,CZ1331)&amp;"-魂火-"&amp;DB1331</f>
        <v>吕布-大叫唤+2-魂火-3</v>
      </c>
      <c r="CY1331" s="25" t="s">
        <v>142</v>
      </c>
      <c r="CZ1331" s="14">
        <f>INDEX(属性投放!$AM$7:$AM$58,CU1331)</f>
        <v>12</v>
      </c>
      <c r="DA1331" s="14" t="s">
        <v>537</v>
      </c>
      <c r="DB1331" s="14">
        <f>INDEX(属性投放!$AN$7:$AN$58,CU1331)</f>
        <v>3</v>
      </c>
      <c r="DC1331" s="14">
        <f t="shared" si="1120"/>
        <v>27</v>
      </c>
      <c r="DD1331" s="14">
        <f>INDEX(属性投放!$AO$7:$AO$58,DC1331)</f>
        <v>85</v>
      </c>
      <c r="DE1331" s="14" t="s">
        <v>242</v>
      </c>
      <c r="DF1331" s="14">
        <f>INDEX(属性投放!$BK$6:$BK$85,(CV1331-2)*20+CZ1331)</f>
        <v>260</v>
      </c>
      <c r="DG1331" s="14">
        <f>SUMIFS(DF$5:DF1331,$CT$5:$CT1331,"="&amp;$CT1331)</f>
        <v>3299</v>
      </c>
      <c r="DH1331" s="14" t="s">
        <v>198</v>
      </c>
      <c r="DI1331" s="14">
        <f>INDEX(属性投放!$BL$6:$BL$85,(CV1331-2)*20+CZ1331)</f>
        <v>130</v>
      </c>
      <c r="DJ1331" s="14">
        <f>SUMIFS(DI$5:DI1331,$CT$5:$CT1331,"="&amp;$CT1331)</f>
        <v>1652</v>
      </c>
      <c r="DK1331" s="14" t="s">
        <v>25</v>
      </c>
      <c r="DL1331" s="14">
        <f>INDEX(属性投放!$BM$6:$BM$85,(CV1331-2)*20+CZ1331)</f>
        <v>2340</v>
      </c>
      <c r="DM1331" s="14">
        <f>SUMIFS(DL$5:DL1331,$CT$5:$CT1331,"="&amp;$CT1331)</f>
        <v>27402</v>
      </c>
    </row>
    <row r="1332" spans="97:117" ht="16.5" x14ac:dyDescent="0.2">
      <c r="CS1332" s="13">
        <v>1328</v>
      </c>
      <c r="CT1332" s="13">
        <f t="shared" si="1121"/>
        <v>26</v>
      </c>
      <c r="CU1332" s="13">
        <f t="shared" si="1119"/>
        <v>28</v>
      </c>
      <c r="CV1332" s="14">
        <f t="shared" si="1122"/>
        <v>5</v>
      </c>
      <c r="CW1332" s="14">
        <f t="shared" si="1123"/>
        <v>1102028</v>
      </c>
      <c r="CX1332" s="14" t="str">
        <f>INDEX($O$6:$O$50,CT1332)&amp;"-"&amp;INDEX(属性投放!$AB$7:$AB$50,CZ1332)&amp;"-魂火-"&amp;DB1332</f>
        <v>吕布-焦热-魂火-1</v>
      </c>
      <c r="CY1332" s="25" t="s">
        <v>142</v>
      </c>
      <c r="CZ1332" s="14">
        <f>INDEX(属性投放!$AM$7:$AM$58,CU1332)</f>
        <v>13</v>
      </c>
      <c r="DA1332" s="14" t="s">
        <v>537</v>
      </c>
      <c r="DB1332" s="14">
        <f>INDEX(属性投放!$AN$7:$AN$58,CU1332)</f>
        <v>1</v>
      </c>
      <c r="DC1332" s="14">
        <f t="shared" si="1120"/>
        <v>28</v>
      </c>
      <c r="DD1332" s="14">
        <f>INDEX(属性投放!$AO$7:$AO$58,DC1332)</f>
        <v>88</v>
      </c>
      <c r="DE1332" s="14" t="s">
        <v>242</v>
      </c>
      <c r="DF1332" s="14">
        <f>INDEX(属性投放!$BK$6:$BK$85,(CV1332-2)*20+CZ1332)</f>
        <v>315</v>
      </c>
      <c r="DG1332" s="14">
        <f>SUMIFS(DF$5:DF1332,$CT$5:$CT1332,"="&amp;$CT1332)</f>
        <v>3614</v>
      </c>
      <c r="DH1332" s="14" t="s">
        <v>198</v>
      </c>
      <c r="DI1332" s="14">
        <f>INDEX(属性投放!$BL$6:$BL$85,(CV1332-2)*20+CZ1332)</f>
        <v>158</v>
      </c>
      <c r="DJ1332" s="14">
        <f>SUMIFS(DI$5:DI1332,$CT$5:$CT1332,"="&amp;$CT1332)</f>
        <v>1810</v>
      </c>
      <c r="DK1332" s="14" t="s">
        <v>25</v>
      </c>
      <c r="DL1332" s="14">
        <f>INDEX(属性投放!$BM$6:$BM$85,(CV1332-2)*20+CZ1332)</f>
        <v>3150</v>
      </c>
      <c r="DM1332" s="14">
        <f>SUMIFS(DL$5:DL1332,$CT$5:$CT1332,"="&amp;$CT1332)</f>
        <v>30552</v>
      </c>
    </row>
    <row r="1333" spans="97:117" ht="16.5" x14ac:dyDescent="0.2">
      <c r="CS1333" s="13">
        <v>1329</v>
      </c>
      <c r="CT1333" s="13">
        <f t="shared" si="1121"/>
        <v>26</v>
      </c>
      <c r="CU1333" s="13">
        <f t="shared" si="1119"/>
        <v>29</v>
      </c>
      <c r="CV1333" s="14">
        <f t="shared" si="1122"/>
        <v>5</v>
      </c>
      <c r="CW1333" s="14">
        <f t="shared" si="1123"/>
        <v>1102028</v>
      </c>
      <c r="CX1333" s="14" t="str">
        <f>INDEX($O$6:$O$50,CT1333)&amp;"-"&amp;INDEX(属性投放!$AB$7:$AB$50,CZ1333)&amp;"-魂火-"&amp;DB1333</f>
        <v>吕布-焦热-魂火-2</v>
      </c>
      <c r="CY1333" s="25" t="s">
        <v>142</v>
      </c>
      <c r="CZ1333" s="14">
        <f>INDEX(属性投放!$AM$7:$AM$58,CU1333)</f>
        <v>13</v>
      </c>
      <c r="DA1333" s="14" t="s">
        <v>537</v>
      </c>
      <c r="DB1333" s="14">
        <f>INDEX(属性投放!$AN$7:$AN$58,CU1333)</f>
        <v>2</v>
      </c>
      <c r="DC1333" s="14">
        <f t="shared" si="1120"/>
        <v>29</v>
      </c>
      <c r="DD1333" s="14">
        <f>INDEX(属性投放!$AO$7:$AO$58,DC1333)</f>
        <v>90</v>
      </c>
      <c r="DE1333" s="14" t="s">
        <v>242</v>
      </c>
      <c r="DF1333" s="14">
        <f>INDEX(属性投放!$BK$6:$BK$85,(CV1333-2)*20+CZ1333)</f>
        <v>315</v>
      </c>
      <c r="DG1333" s="14">
        <f>SUMIFS(DF$5:DF1333,$CT$5:$CT1333,"="&amp;$CT1333)</f>
        <v>3929</v>
      </c>
      <c r="DH1333" s="14" t="s">
        <v>198</v>
      </c>
      <c r="DI1333" s="14">
        <f>INDEX(属性投放!$BL$6:$BL$85,(CV1333-2)*20+CZ1333)</f>
        <v>158</v>
      </c>
      <c r="DJ1333" s="14">
        <f>SUMIFS(DI$5:DI1333,$CT$5:$CT1333,"="&amp;$CT1333)</f>
        <v>1968</v>
      </c>
      <c r="DK1333" s="14" t="s">
        <v>25</v>
      </c>
      <c r="DL1333" s="14">
        <f>INDEX(属性投放!$BM$6:$BM$85,(CV1333-2)*20+CZ1333)</f>
        <v>3150</v>
      </c>
      <c r="DM1333" s="14">
        <f>SUMIFS(DL$5:DL1333,$CT$5:$CT1333,"="&amp;$CT1333)</f>
        <v>33702</v>
      </c>
    </row>
    <row r="1334" spans="97:117" ht="16.5" x14ac:dyDescent="0.2">
      <c r="CS1334" s="13">
        <v>1330</v>
      </c>
      <c r="CT1334" s="13">
        <f t="shared" si="1121"/>
        <v>26</v>
      </c>
      <c r="CU1334" s="13">
        <f t="shared" si="1119"/>
        <v>30</v>
      </c>
      <c r="CV1334" s="14">
        <f t="shared" si="1122"/>
        <v>5</v>
      </c>
      <c r="CW1334" s="14">
        <f t="shared" si="1123"/>
        <v>1102028</v>
      </c>
      <c r="CX1334" s="14" t="str">
        <f>INDEX($O$6:$O$50,CT1334)&amp;"-"&amp;INDEX(属性投放!$AB$7:$AB$50,CZ1334)&amp;"-魂火-"&amp;DB1334</f>
        <v>吕布-焦热-魂火-3</v>
      </c>
      <c r="CY1334" s="25" t="s">
        <v>142</v>
      </c>
      <c r="CZ1334" s="14">
        <f>INDEX(属性投放!$AM$7:$AM$58,CU1334)</f>
        <v>13</v>
      </c>
      <c r="DA1334" s="14" t="s">
        <v>537</v>
      </c>
      <c r="DB1334" s="14">
        <f>INDEX(属性投放!$AN$7:$AN$58,CU1334)</f>
        <v>3</v>
      </c>
      <c r="DC1334" s="14">
        <f t="shared" si="1120"/>
        <v>30</v>
      </c>
      <c r="DD1334" s="14">
        <f>INDEX(属性投放!$AO$7:$AO$58,DC1334)</f>
        <v>93</v>
      </c>
      <c r="DE1334" s="14" t="s">
        <v>242</v>
      </c>
      <c r="DF1334" s="14">
        <f>INDEX(属性投放!$BK$6:$BK$85,(CV1334-2)*20+CZ1334)</f>
        <v>315</v>
      </c>
      <c r="DG1334" s="14">
        <f>SUMIFS(DF$5:DF1334,$CT$5:$CT1334,"="&amp;$CT1334)</f>
        <v>4244</v>
      </c>
      <c r="DH1334" s="14" t="s">
        <v>198</v>
      </c>
      <c r="DI1334" s="14">
        <f>INDEX(属性投放!$BL$6:$BL$85,(CV1334-2)*20+CZ1334)</f>
        <v>158</v>
      </c>
      <c r="DJ1334" s="14">
        <f>SUMIFS(DI$5:DI1334,$CT$5:$CT1334,"="&amp;$CT1334)</f>
        <v>2126</v>
      </c>
      <c r="DK1334" s="14" t="s">
        <v>25</v>
      </c>
      <c r="DL1334" s="14">
        <f>INDEX(属性投放!$BM$6:$BM$85,(CV1334-2)*20+CZ1334)</f>
        <v>3150</v>
      </c>
      <c r="DM1334" s="14">
        <f>SUMIFS(DL$5:DL1334,$CT$5:$CT1334,"="&amp;$CT1334)</f>
        <v>36852</v>
      </c>
    </row>
    <row r="1335" spans="97:117" ht="16.5" x14ac:dyDescent="0.2">
      <c r="CS1335" s="13">
        <v>1331</v>
      </c>
      <c r="CT1335" s="13">
        <f t="shared" si="1121"/>
        <v>26</v>
      </c>
      <c r="CU1335" s="13">
        <f t="shared" si="1119"/>
        <v>31</v>
      </c>
      <c r="CV1335" s="14">
        <f t="shared" si="1122"/>
        <v>5</v>
      </c>
      <c r="CW1335" s="14">
        <f t="shared" si="1123"/>
        <v>1102028</v>
      </c>
      <c r="CX1335" s="14" t="str">
        <f>INDEX($O$6:$O$50,CT1335)&amp;"-"&amp;INDEX(属性投放!$AB$7:$AB$50,CZ1335)&amp;"-魂火-"&amp;DB1335</f>
        <v>吕布-焦热+1-魂火-1</v>
      </c>
      <c r="CY1335" s="25" t="s">
        <v>142</v>
      </c>
      <c r="CZ1335" s="14">
        <f>INDEX(属性投放!$AM$7:$AM$58,CU1335)</f>
        <v>14</v>
      </c>
      <c r="DA1335" s="14" t="s">
        <v>537</v>
      </c>
      <c r="DB1335" s="14">
        <f>INDEX(属性投放!$AN$7:$AN$58,CU1335)</f>
        <v>1</v>
      </c>
      <c r="DC1335" s="14">
        <f t="shared" si="1120"/>
        <v>31</v>
      </c>
      <c r="DD1335" s="14">
        <f>INDEX(属性投放!$AO$7:$AO$58,DC1335)</f>
        <v>95</v>
      </c>
      <c r="DE1335" s="14" t="s">
        <v>242</v>
      </c>
      <c r="DF1335" s="14">
        <f>INDEX(属性投放!$BK$6:$BK$85,(CV1335-2)*20+CZ1335)</f>
        <v>365</v>
      </c>
      <c r="DG1335" s="14">
        <f>SUMIFS(DF$5:DF1335,$CT$5:$CT1335,"="&amp;$CT1335)</f>
        <v>4609</v>
      </c>
      <c r="DH1335" s="14" t="s">
        <v>198</v>
      </c>
      <c r="DI1335" s="14">
        <f>INDEX(属性投放!$BL$6:$BL$85,(CV1335-2)*20+CZ1335)</f>
        <v>183</v>
      </c>
      <c r="DJ1335" s="14">
        <f>SUMIFS(DI$5:DI1335,$CT$5:$CT1335,"="&amp;$CT1335)</f>
        <v>2309</v>
      </c>
      <c r="DK1335" s="14" t="s">
        <v>25</v>
      </c>
      <c r="DL1335" s="14">
        <f>INDEX(属性投放!$BM$6:$BM$85,(CV1335-2)*20+CZ1335)</f>
        <v>3650</v>
      </c>
      <c r="DM1335" s="14">
        <f>SUMIFS(DL$5:DL1335,$CT$5:$CT1335,"="&amp;$CT1335)</f>
        <v>40502</v>
      </c>
    </row>
    <row r="1336" spans="97:117" ht="16.5" x14ac:dyDescent="0.2">
      <c r="CS1336" s="13">
        <v>1332</v>
      </c>
      <c r="CT1336" s="13">
        <f t="shared" si="1121"/>
        <v>26</v>
      </c>
      <c r="CU1336" s="13">
        <f t="shared" si="1119"/>
        <v>32</v>
      </c>
      <c r="CV1336" s="14">
        <f t="shared" si="1122"/>
        <v>5</v>
      </c>
      <c r="CW1336" s="14">
        <f t="shared" si="1123"/>
        <v>1102028</v>
      </c>
      <c r="CX1336" s="14" t="str">
        <f>INDEX($O$6:$O$50,CT1336)&amp;"-"&amp;INDEX(属性投放!$AB$7:$AB$50,CZ1336)&amp;"-魂火-"&amp;DB1336</f>
        <v>吕布-焦热+1-魂火-2</v>
      </c>
      <c r="CY1336" s="25" t="s">
        <v>142</v>
      </c>
      <c r="CZ1336" s="14">
        <f>INDEX(属性投放!$AM$7:$AM$58,CU1336)</f>
        <v>14</v>
      </c>
      <c r="DA1336" s="14" t="s">
        <v>537</v>
      </c>
      <c r="DB1336" s="14">
        <f>INDEX(属性投放!$AN$7:$AN$58,CU1336)</f>
        <v>2</v>
      </c>
      <c r="DC1336" s="14">
        <f t="shared" si="1120"/>
        <v>32</v>
      </c>
      <c r="DD1336" s="14">
        <f>INDEX(属性投放!$AO$7:$AO$58,DC1336)</f>
        <v>98</v>
      </c>
      <c r="DE1336" s="14" t="s">
        <v>242</v>
      </c>
      <c r="DF1336" s="14">
        <f>INDEX(属性投放!$BK$6:$BK$85,(CV1336-2)*20+CZ1336)</f>
        <v>365</v>
      </c>
      <c r="DG1336" s="14">
        <f>SUMIFS(DF$5:DF1336,$CT$5:$CT1336,"="&amp;$CT1336)</f>
        <v>4974</v>
      </c>
      <c r="DH1336" s="14" t="s">
        <v>198</v>
      </c>
      <c r="DI1336" s="14">
        <f>INDEX(属性投放!$BL$6:$BL$85,(CV1336-2)*20+CZ1336)</f>
        <v>183</v>
      </c>
      <c r="DJ1336" s="14">
        <f>SUMIFS(DI$5:DI1336,$CT$5:$CT1336,"="&amp;$CT1336)</f>
        <v>2492</v>
      </c>
      <c r="DK1336" s="14" t="s">
        <v>25</v>
      </c>
      <c r="DL1336" s="14">
        <f>INDEX(属性投放!$BM$6:$BM$85,(CV1336-2)*20+CZ1336)</f>
        <v>3650</v>
      </c>
      <c r="DM1336" s="14">
        <f>SUMIFS(DL$5:DL1336,$CT$5:$CT1336,"="&amp;$CT1336)</f>
        <v>44152</v>
      </c>
    </row>
    <row r="1337" spans="97:117" ht="16.5" x14ac:dyDescent="0.2">
      <c r="CS1337" s="13">
        <v>1333</v>
      </c>
      <c r="CT1337" s="13">
        <f t="shared" si="1121"/>
        <v>26</v>
      </c>
      <c r="CU1337" s="13">
        <f t="shared" si="1119"/>
        <v>33</v>
      </c>
      <c r="CV1337" s="14">
        <f t="shared" si="1122"/>
        <v>5</v>
      </c>
      <c r="CW1337" s="14">
        <f t="shared" si="1123"/>
        <v>1102028</v>
      </c>
      <c r="CX1337" s="14" t="str">
        <f>INDEX($O$6:$O$50,CT1337)&amp;"-"&amp;INDEX(属性投放!$AB$7:$AB$50,CZ1337)&amp;"-魂火-"&amp;DB1337</f>
        <v>吕布-焦热+1-魂火-3</v>
      </c>
      <c r="CY1337" s="25" t="s">
        <v>142</v>
      </c>
      <c r="CZ1337" s="14">
        <f>INDEX(属性投放!$AM$7:$AM$58,CU1337)</f>
        <v>14</v>
      </c>
      <c r="DA1337" s="14" t="s">
        <v>537</v>
      </c>
      <c r="DB1337" s="14">
        <f>INDEX(属性投放!$AN$7:$AN$58,CU1337)</f>
        <v>3</v>
      </c>
      <c r="DC1337" s="14">
        <f t="shared" si="1120"/>
        <v>33</v>
      </c>
      <c r="DD1337" s="14">
        <f>INDEX(属性投放!$AO$7:$AO$58,DC1337)</f>
        <v>100</v>
      </c>
      <c r="DE1337" s="14" t="s">
        <v>242</v>
      </c>
      <c r="DF1337" s="14">
        <f>INDEX(属性投放!$BK$6:$BK$85,(CV1337-2)*20+CZ1337)</f>
        <v>365</v>
      </c>
      <c r="DG1337" s="14">
        <f>SUMIFS(DF$5:DF1337,$CT$5:$CT1337,"="&amp;$CT1337)</f>
        <v>5339</v>
      </c>
      <c r="DH1337" s="14" t="s">
        <v>198</v>
      </c>
      <c r="DI1337" s="14">
        <f>INDEX(属性投放!$BL$6:$BL$85,(CV1337-2)*20+CZ1337)</f>
        <v>183</v>
      </c>
      <c r="DJ1337" s="14">
        <f>SUMIFS(DI$5:DI1337,$CT$5:$CT1337,"="&amp;$CT1337)</f>
        <v>2675</v>
      </c>
      <c r="DK1337" s="14" t="s">
        <v>25</v>
      </c>
      <c r="DL1337" s="14">
        <f>INDEX(属性投放!$BM$6:$BM$85,(CV1337-2)*20+CZ1337)</f>
        <v>3650</v>
      </c>
      <c r="DM1337" s="14">
        <f>SUMIFS(DL$5:DL1337,$CT$5:$CT1337,"="&amp;$CT1337)</f>
        <v>47802</v>
      </c>
    </row>
    <row r="1338" spans="97:117" ht="16.5" x14ac:dyDescent="0.2">
      <c r="CS1338" s="13">
        <v>1334</v>
      </c>
      <c r="CT1338" s="13">
        <f t="shared" si="1121"/>
        <v>26</v>
      </c>
      <c r="CU1338" s="13">
        <f t="shared" si="1119"/>
        <v>34</v>
      </c>
      <c r="CV1338" s="14">
        <f t="shared" si="1122"/>
        <v>5</v>
      </c>
      <c r="CW1338" s="14">
        <f t="shared" si="1123"/>
        <v>1102028</v>
      </c>
      <c r="CX1338" s="14" t="str">
        <f>INDEX($O$6:$O$50,CT1338)&amp;"-"&amp;INDEX(属性投放!$AB$7:$AB$50,CZ1338)&amp;"-魂火-"&amp;DB1338</f>
        <v>吕布-焦热+2-魂火-1</v>
      </c>
      <c r="CY1338" s="25" t="s">
        <v>142</v>
      </c>
      <c r="CZ1338" s="14">
        <f>INDEX(属性投放!$AM$7:$AM$58,CU1338)</f>
        <v>15</v>
      </c>
      <c r="DA1338" s="14" t="s">
        <v>537</v>
      </c>
      <c r="DB1338" s="14">
        <f>INDEX(属性投放!$AN$7:$AN$58,CU1338)</f>
        <v>1</v>
      </c>
      <c r="DC1338" s="14">
        <f t="shared" si="1120"/>
        <v>34</v>
      </c>
      <c r="DD1338" s="14">
        <f>INDEX(属性投放!$AO$7:$AO$58,DC1338)</f>
        <v>103</v>
      </c>
      <c r="DE1338" s="14" t="s">
        <v>242</v>
      </c>
      <c r="DF1338" s="14">
        <f>INDEX(属性投放!$BK$6:$BK$85,(CV1338-2)*20+CZ1338)</f>
        <v>500</v>
      </c>
      <c r="DG1338" s="14">
        <f>SUMIFS(DF$5:DF1338,$CT$5:$CT1338,"="&amp;$CT1338)</f>
        <v>5839</v>
      </c>
      <c r="DH1338" s="14" t="s">
        <v>198</v>
      </c>
      <c r="DI1338" s="14">
        <f>INDEX(属性投放!$BL$6:$BL$85,(CV1338-2)*20+CZ1338)</f>
        <v>250</v>
      </c>
      <c r="DJ1338" s="14">
        <f>SUMIFS(DI$5:DI1338,$CT$5:$CT1338,"="&amp;$CT1338)</f>
        <v>2925</v>
      </c>
      <c r="DK1338" s="14" t="s">
        <v>25</v>
      </c>
      <c r="DL1338" s="14">
        <f>INDEX(属性投放!$BM$6:$BM$85,(CV1338-2)*20+CZ1338)</f>
        <v>5000</v>
      </c>
      <c r="DM1338" s="14">
        <f>SUMIFS(DL$5:DL1338,$CT$5:$CT1338,"="&amp;$CT1338)</f>
        <v>52802</v>
      </c>
    </row>
    <row r="1339" spans="97:117" ht="16.5" x14ac:dyDescent="0.2">
      <c r="CS1339" s="13">
        <v>1335</v>
      </c>
      <c r="CT1339" s="13">
        <f t="shared" si="1121"/>
        <v>26</v>
      </c>
      <c r="CU1339" s="13">
        <f t="shared" si="1119"/>
        <v>35</v>
      </c>
      <c r="CV1339" s="14">
        <f t="shared" si="1122"/>
        <v>5</v>
      </c>
      <c r="CW1339" s="14">
        <f t="shared" si="1123"/>
        <v>1102028</v>
      </c>
      <c r="CX1339" s="14" t="str">
        <f>INDEX($O$6:$O$50,CT1339)&amp;"-"&amp;INDEX(属性投放!$AB$7:$AB$50,CZ1339)&amp;"-魂火-"&amp;DB1339</f>
        <v>吕布-焦热+2-魂火-2</v>
      </c>
      <c r="CY1339" s="25" t="s">
        <v>142</v>
      </c>
      <c r="CZ1339" s="14">
        <f>INDEX(属性投放!$AM$7:$AM$58,CU1339)</f>
        <v>15</v>
      </c>
      <c r="DA1339" s="14" t="s">
        <v>537</v>
      </c>
      <c r="DB1339" s="14">
        <f>INDEX(属性投放!$AN$7:$AN$58,CU1339)</f>
        <v>2</v>
      </c>
      <c r="DC1339" s="14">
        <f t="shared" si="1120"/>
        <v>35</v>
      </c>
      <c r="DD1339" s="14">
        <f>INDEX(属性投放!$AO$7:$AO$58,DC1339)</f>
        <v>105</v>
      </c>
      <c r="DE1339" s="14" t="s">
        <v>242</v>
      </c>
      <c r="DF1339" s="14">
        <f>INDEX(属性投放!$BK$6:$BK$85,(CV1339-2)*20+CZ1339)</f>
        <v>500</v>
      </c>
      <c r="DG1339" s="14">
        <f>SUMIFS(DF$5:DF1339,$CT$5:$CT1339,"="&amp;$CT1339)</f>
        <v>6339</v>
      </c>
      <c r="DH1339" s="14" t="s">
        <v>198</v>
      </c>
      <c r="DI1339" s="14">
        <f>INDEX(属性投放!$BL$6:$BL$85,(CV1339-2)*20+CZ1339)</f>
        <v>250</v>
      </c>
      <c r="DJ1339" s="14">
        <f>SUMIFS(DI$5:DI1339,$CT$5:$CT1339,"="&amp;$CT1339)</f>
        <v>3175</v>
      </c>
      <c r="DK1339" s="14" t="s">
        <v>25</v>
      </c>
      <c r="DL1339" s="14">
        <f>INDEX(属性投放!$BM$6:$BM$85,(CV1339-2)*20+CZ1339)</f>
        <v>5000</v>
      </c>
      <c r="DM1339" s="14">
        <f>SUMIFS(DL$5:DL1339,$CT$5:$CT1339,"="&amp;$CT1339)</f>
        <v>57802</v>
      </c>
    </row>
    <row r="1340" spans="97:117" ht="16.5" x14ac:dyDescent="0.2">
      <c r="CS1340" s="13">
        <v>1336</v>
      </c>
      <c r="CT1340" s="13">
        <f t="shared" si="1121"/>
        <v>26</v>
      </c>
      <c r="CU1340" s="13">
        <f t="shared" si="1119"/>
        <v>36</v>
      </c>
      <c r="CV1340" s="14">
        <f t="shared" si="1122"/>
        <v>5</v>
      </c>
      <c r="CW1340" s="14">
        <f t="shared" si="1123"/>
        <v>1102028</v>
      </c>
      <c r="CX1340" s="14" t="str">
        <f>INDEX($O$6:$O$50,CT1340)&amp;"-"&amp;INDEX(属性投放!$AB$7:$AB$50,CZ1340)&amp;"-魂火-"&amp;DB1340</f>
        <v>吕布-焦热+2-魂火-3</v>
      </c>
      <c r="CY1340" s="25" t="s">
        <v>142</v>
      </c>
      <c r="CZ1340" s="14">
        <f>INDEX(属性投放!$AM$7:$AM$58,CU1340)</f>
        <v>15</v>
      </c>
      <c r="DA1340" s="14" t="s">
        <v>537</v>
      </c>
      <c r="DB1340" s="14">
        <f>INDEX(属性投放!$AN$7:$AN$58,CU1340)</f>
        <v>3</v>
      </c>
      <c r="DC1340" s="14">
        <f t="shared" si="1120"/>
        <v>36</v>
      </c>
      <c r="DD1340" s="14">
        <f>INDEX(属性投放!$AO$7:$AO$58,DC1340)</f>
        <v>108</v>
      </c>
      <c r="DE1340" s="14" t="s">
        <v>242</v>
      </c>
      <c r="DF1340" s="14">
        <f>INDEX(属性投放!$BK$6:$BK$85,(CV1340-2)*20+CZ1340)</f>
        <v>500</v>
      </c>
      <c r="DG1340" s="14">
        <f>SUMIFS(DF$5:DF1340,$CT$5:$CT1340,"="&amp;$CT1340)</f>
        <v>6839</v>
      </c>
      <c r="DH1340" s="14" t="s">
        <v>198</v>
      </c>
      <c r="DI1340" s="14">
        <f>INDEX(属性投放!$BL$6:$BL$85,(CV1340-2)*20+CZ1340)</f>
        <v>250</v>
      </c>
      <c r="DJ1340" s="14">
        <f>SUMIFS(DI$5:DI1340,$CT$5:$CT1340,"="&amp;$CT1340)</f>
        <v>3425</v>
      </c>
      <c r="DK1340" s="14" t="s">
        <v>25</v>
      </c>
      <c r="DL1340" s="14">
        <f>INDEX(属性投放!$BM$6:$BM$85,(CV1340-2)*20+CZ1340)</f>
        <v>5000</v>
      </c>
      <c r="DM1340" s="14">
        <f>SUMIFS(DL$5:DL1340,$CT$5:$CT1340,"="&amp;$CT1340)</f>
        <v>62802</v>
      </c>
    </row>
    <row r="1341" spans="97:117" ht="16.5" x14ac:dyDescent="0.2">
      <c r="CS1341" s="13">
        <v>1337</v>
      </c>
      <c r="CT1341" s="13">
        <f t="shared" si="1121"/>
        <v>26</v>
      </c>
      <c r="CU1341" s="13">
        <f t="shared" si="1119"/>
        <v>37</v>
      </c>
      <c r="CV1341" s="14">
        <f t="shared" si="1122"/>
        <v>5</v>
      </c>
      <c r="CW1341" s="14">
        <f t="shared" si="1123"/>
        <v>1102028</v>
      </c>
      <c r="CX1341" s="14" t="str">
        <f>INDEX($O$6:$O$50,CT1341)&amp;"-"&amp;INDEX(属性投放!$AB$7:$AB$50,CZ1341)&amp;"-魂火-"&amp;DB1341</f>
        <v>吕布-大焦热-魂火-1</v>
      </c>
      <c r="CY1341" s="25" t="s">
        <v>142</v>
      </c>
      <c r="CZ1341" s="14">
        <f>INDEX(属性投放!$AM$7:$AM$58,CU1341)</f>
        <v>16</v>
      </c>
      <c r="DA1341" s="14" t="s">
        <v>537</v>
      </c>
      <c r="DB1341" s="14">
        <f>INDEX(属性投放!$AN$7:$AN$58,CU1341)</f>
        <v>1</v>
      </c>
      <c r="DC1341" s="14">
        <f t="shared" si="1120"/>
        <v>37</v>
      </c>
      <c r="DD1341" s="14">
        <f>INDEX(属性投放!$AO$7:$AO$58,DC1341)</f>
        <v>110</v>
      </c>
      <c r="DE1341" s="14" t="s">
        <v>242</v>
      </c>
      <c r="DF1341" s="14">
        <f>INDEX(属性投放!$BK$6:$BK$85,(CV1341-2)*20+CZ1341)</f>
        <v>580</v>
      </c>
      <c r="DG1341" s="14">
        <f>SUMIFS(DF$5:DF1341,$CT$5:$CT1341,"="&amp;$CT1341)</f>
        <v>7419</v>
      </c>
      <c r="DH1341" s="14" t="s">
        <v>198</v>
      </c>
      <c r="DI1341" s="14">
        <f>INDEX(属性投放!$BL$6:$BL$85,(CV1341-2)*20+CZ1341)</f>
        <v>290</v>
      </c>
      <c r="DJ1341" s="14">
        <f>SUMIFS(DI$5:DI1341,$CT$5:$CT1341,"="&amp;$CT1341)</f>
        <v>3715</v>
      </c>
      <c r="DK1341" s="14" t="s">
        <v>25</v>
      </c>
      <c r="DL1341" s="14">
        <f>INDEX(属性投放!$BM$6:$BM$85,(CV1341-2)*20+CZ1341)</f>
        <v>5800</v>
      </c>
      <c r="DM1341" s="14">
        <f>SUMIFS(DL$5:DL1341,$CT$5:$CT1341,"="&amp;$CT1341)</f>
        <v>68602</v>
      </c>
    </row>
    <row r="1342" spans="97:117" ht="16.5" x14ac:dyDescent="0.2">
      <c r="CS1342" s="13">
        <v>1338</v>
      </c>
      <c r="CT1342" s="13">
        <f t="shared" si="1121"/>
        <v>26</v>
      </c>
      <c r="CU1342" s="13">
        <f t="shared" si="1119"/>
        <v>38</v>
      </c>
      <c r="CV1342" s="14">
        <f t="shared" si="1122"/>
        <v>5</v>
      </c>
      <c r="CW1342" s="14">
        <f t="shared" si="1123"/>
        <v>1102028</v>
      </c>
      <c r="CX1342" s="14" t="str">
        <f>INDEX($O$6:$O$50,CT1342)&amp;"-"&amp;INDEX(属性投放!$AB$7:$AB$50,CZ1342)&amp;"-魂火-"&amp;DB1342</f>
        <v>吕布-大焦热-魂火-2</v>
      </c>
      <c r="CY1342" s="25" t="s">
        <v>142</v>
      </c>
      <c r="CZ1342" s="14">
        <f>INDEX(属性投放!$AM$7:$AM$58,CU1342)</f>
        <v>16</v>
      </c>
      <c r="DA1342" s="14" t="s">
        <v>537</v>
      </c>
      <c r="DB1342" s="14">
        <f>INDEX(属性投放!$AN$7:$AN$58,CU1342)</f>
        <v>2</v>
      </c>
      <c r="DC1342" s="14">
        <f t="shared" si="1120"/>
        <v>38</v>
      </c>
      <c r="DD1342" s="14">
        <f>INDEX(属性投放!$AO$7:$AO$58,DC1342)</f>
        <v>113</v>
      </c>
      <c r="DE1342" s="14" t="s">
        <v>242</v>
      </c>
      <c r="DF1342" s="14">
        <f>INDEX(属性投放!$BK$6:$BK$85,(CV1342-2)*20+CZ1342)</f>
        <v>580</v>
      </c>
      <c r="DG1342" s="14">
        <f>SUMIFS(DF$5:DF1342,$CT$5:$CT1342,"="&amp;$CT1342)</f>
        <v>7999</v>
      </c>
      <c r="DH1342" s="14" t="s">
        <v>198</v>
      </c>
      <c r="DI1342" s="14">
        <f>INDEX(属性投放!$BL$6:$BL$85,(CV1342-2)*20+CZ1342)</f>
        <v>290</v>
      </c>
      <c r="DJ1342" s="14">
        <f>SUMIFS(DI$5:DI1342,$CT$5:$CT1342,"="&amp;$CT1342)</f>
        <v>4005</v>
      </c>
      <c r="DK1342" s="14" t="s">
        <v>25</v>
      </c>
      <c r="DL1342" s="14">
        <f>INDEX(属性投放!$BM$6:$BM$85,(CV1342-2)*20+CZ1342)</f>
        <v>5800</v>
      </c>
      <c r="DM1342" s="14">
        <f>SUMIFS(DL$5:DL1342,$CT$5:$CT1342,"="&amp;$CT1342)</f>
        <v>74402</v>
      </c>
    </row>
    <row r="1343" spans="97:117" ht="16.5" x14ac:dyDescent="0.2">
      <c r="CS1343" s="13">
        <v>1339</v>
      </c>
      <c r="CT1343" s="13">
        <f t="shared" si="1121"/>
        <v>26</v>
      </c>
      <c r="CU1343" s="13">
        <f t="shared" si="1119"/>
        <v>39</v>
      </c>
      <c r="CV1343" s="14">
        <f t="shared" si="1122"/>
        <v>5</v>
      </c>
      <c r="CW1343" s="14">
        <f t="shared" si="1123"/>
        <v>1102028</v>
      </c>
      <c r="CX1343" s="14" t="str">
        <f>INDEX($O$6:$O$50,CT1343)&amp;"-"&amp;INDEX(属性投放!$AB$7:$AB$50,CZ1343)&amp;"-魂火-"&amp;DB1343</f>
        <v>吕布-大焦热-魂火-3</v>
      </c>
      <c r="CY1343" s="25" t="s">
        <v>142</v>
      </c>
      <c r="CZ1343" s="14">
        <f>INDEX(属性投放!$AM$7:$AM$58,CU1343)</f>
        <v>16</v>
      </c>
      <c r="DA1343" s="14" t="s">
        <v>537</v>
      </c>
      <c r="DB1343" s="14">
        <f>INDEX(属性投放!$AN$7:$AN$58,CU1343)</f>
        <v>3</v>
      </c>
      <c r="DC1343" s="14">
        <f t="shared" si="1120"/>
        <v>39</v>
      </c>
      <c r="DD1343" s="14">
        <f>INDEX(属性投放!$AO$7:$AO$58,DC1343)</f>
        <v>115</v>
      </c>
      <c r="DE1343" s="14" t="s">
        <v>242</v>
      </c>
      <c r="DF1343" s="14">
        <f>INDEX(属性投放!$BK$6:$BK$85,(CV1343-2)*20+CZ1343)</f>
        <v>580</v>
      </c>
      <c r="DG1343" s="14">
        <f>SUMIFS(DF$5:DF1343,$CT$5:$CT1343,"="&amp;$CT1343)</f>
        <v>8579</v>
      </c>
      <c r="DH1343" s="14" t="s">
        <v>198</v>
      </c>
      <c r="DI1343" s="14">
        <f>INDEX(属性投放!$BL$6:$BL$85,(CV1343-2)*20+CZ1343)</f>
        <v>290</v>
      </c>
      <c r="DJ1343" s="14">
        <f>SUMIFS(DI$5:DI1343,$CT$5:$CT1343,"="&amp;$CT1343)</f>
        <v>4295</v>
      </c>
      <c r="DK1343" s="14" t="s">
        <v>25</v>
      </c>
      <c r="DL1343" s="14">
        <f>INDEX(属性投放!$BM$6:$BM$85,(CV1343-2)*20+CZ1343)</f>
        <v>5800</v>
      </c>
      <c r="DM1343" s="14">
        <f>SUMIFS(DL$5:DL1343,$CT$5:$CT1343,"="&amp;$CT1343)</f>
        <v>80202</v>
      </c>
    </row>
    <row r="1344" spans="97:117" ht="16.5" x14ac:dyDescent="0.2">
      <c r="CS1344" s="13">
        <v>1340</v>
      </c>
      <c r="CT1344" s="13">
        <f t="shared" si="1121"/>
        <v>26</v>
      </c>
      <c r="CU1344" s="13">
        <f t="shared" ref="CU1344:CU1354" si="1124">CS1344-(CT1344-1)*52</f>
        <v>40</v>
      </c>
      <c r="CV1344" s="14">
        <f t="shared" si="1122"/>
        <v>5</v>
      </c>
      <c r="CW1344" s="14">
        <f t="shared" si="1123"/>
        <v>1102028</v>
      </c>
      <c r="CX1344" s="14" t="str">
        <f>INDEX($O$6:$O$50,CT1344)&amp;"-"&amp;INDEX(属性投放!$AB$7:$AB$50,CZ1344)&amp;"-魂火-"&amp;DB1344</f>
        <v>吕布-大焦热+1-魂火-1</v>
      </c>
      <c r="CY1344" s="25" t="s">
        <v>142</v>
      </c>
      <c r="CZ1344" s="14">
        <f>INDEX(属性投放!$AM$7:$AM$58,CU1344)</f>
        <v>17</v>
      </c>
      <c r="DA1344" s="14" t="s">
        <v>537</v>
      </c>
      <c r="DB1344" s="14">
        <f>INDEX(属性投放!$AN$7:$AN$58,CU1344)</f>
        <v>1</v>
      </c>
      <c r="DC1344" s="14">
        <f t="shared" ref="DC1344:DC1354" si="1125">CU1344</f>
        <v>40</v>
      </c>
      <c r="DD1344" s="14">
        <f>INDEX(属性投放!$AO$7:$AO$58,DC1344)</f>
        <v>118</v>
      </c>
      <c r="DE1344" s="14" t="s">
        <v>242</v>
      </c>
      <c r="DF1344" s="14">
        <f>INDEX(属性投放!$BK$6:$BK$85,(CV1344-2)*20+CZ1344)</f>
        <v>720</v>
      </c>
      <c r="DG1344" s="14">
        <f>SUMIFS(DF$5:DF1344,$CT$5:$CT1344,"="&amp;$CT1344)</f>
        <v>9299</v>
      </c>
      <c r="DH1344" s="14" t="s">
        <v>198</v>
      </c>
      <c r="DI1344" s="14">
        <f>INDEX(属性投放!$BL$6:$BL$85,(CV1344-2)*20+CZ1344)</f>
        <v>360</v>
      </c>
      <c r="DJ1344" s="14">
        <f>SUMIFS(DI$5:DI1344,$CT$5:$CT1344,"="&amp;$CT1344)</f>
        <v>4655</v>
      </c>
      <c r="DK1344" s="14" t="s">
        <v>25</v>
      </c>
      <c r="DL1344" s="14">
        <f>INDEX(属性投放!$BM$6:$BM$85,(CV1344-2)*20+CZ1344)</f>
        <v>7200</v>
      </c>
      <c r="DM1344" s="14">
        <f>SUMIFS(DL$5:DL1344,$CT$5:$CT1344,"="&amp;$CT1344)</f>
        <v>87402</v>
      </c>
    </row>
    <row r="1345" spans="97:117" ht="16.5" x14ac:dyDescent="0.2">
      <c r="CS1345" s="13">
        <v>1341</v>
      </c>
      <c r="CT1345" s="13">
        <f t="shared" si="1121"/>
        <v>26</v>
      </c>
      <c r="CU1345" s="13">
        <f t="shared" si="1124"/>
        <v>41</v>
      </c>
      <c r="CV1345" s="14">
        <f t="shared" si="1122"/>
        <v>5</v>
      </c>
      <c r="CW1345" s="14">
        <f t="shared" si="1123"/>
        <v>1102028</v>
      </c>
      <c r="CX1345" s="14" t="str">
        <f>INDEX($O$6:$O$50,CT1345)&amp;"-"&amp;INDEX(属性投放!$AB$7:$AB$50,CZ1345)&amp;"-魂火-"&amp;DB1345</f>
        <v>吕布-大焦热+1-魂火-2</v>
      </c>
      <c r="CY1345" s="25" t="s">
        <v>142</v>
      </c>
      <c r="CZ1345" s="14">
        <f>INDEX(属性投放!$AM$7:$AM$58,CU1345)</f>
        <v>17</v>
      </c>
      <c r="DA1345" s="14" t="s">
        <v>537</v>
      </c>
      <c r="DB1345" s="14">
        <f>INDEX(属性投放!$AN$7:$AN$58,CU1345)</f>
        <v>2</v>
      </c>
      <c r="DC1345" s="14">
        <f t="shared" si="1125"/>
        <v>41</v>
      </c>
      <c r="DD1345" s="14">
        <f>INDEX(属性投放!$AO$7:$AO$58,DC1345)</f>
        <v>120</v>
      </c>
      <c r="DE1345" s="14" t="s">
        <v>242</v>
      </c>
      <c r="DF1345" s="14">
        <f>INDEX(属性投放!$BK$6:$BK$85,(CV1345-2)*20+CZ1345)</f>
        <v>720</v>
      </c>
      <c r="DG1345" s="14">
        <f>SUMIFS(DF$5:DF1345,$CT$5:$CT1345,"="&amp;$CT1345)</f>
        <v>10019</v>
      </c>
      <c r="DH1345" s="14" t="s">
        <v>198</v>
      </c>
      <c r="DI1345" s="14">
        <f>INDEX(属性投放!$BL$6:$BL$85,(CV1345-2)*20+CZ1345)</f>
        <v>360</v>
      </c>
      <c r="DJ1345" s="14">
        <f>SUMIFS(DI$5:DI1345,$CT$5:$CT1345,"="&amp;$CT1345)</f>
        <v>5015</v>
      </c>
      <c r="DK1345" s="14" t="s">
        <v>25</v>
      </c>
      <c r="DL1345" s="14">
        <f>INDEX(属性投放!$BM$6:$BM$85,(CV1345-2)*20+CZ1345)</f>
        <v>7200</v>
      </c>
      <c r="DM1345" s="14">
        <f>SUMIFS(DL$5:DL1345,$CT$5:$CT1345,"="&amp;$CT1345)</f>
        <v>94602</v>
      </c>
    </row>
    <row r="1346" spans="97:117" ht="16.5" x14ac:dyDescent="0.2">
      <c r="CS1346" s="13">
        <v>1342</v>
      </c>
      <c r="CT1346" s="13">
        <f t="shared" si="1121"/>
        <v>26</v>
      </c>
      <c r="CU1346" s="13">
        <f t="shared" si="1124"/>
        <v>42</v>
      </c>
      <c r="CV1346" s="14">
        <f t="shared" si="1122"/>
        <v>5</v>
      </c>
      <c r="CW1346" s="14">
        <f t="shared" si="1123"/>
        <v>1102028</v>
      </c>
      <c r="CX1346" s="14" t="str">
        <f>INDEX($O$6:$O$50,CT1346)&amp;"-"&amp;INDEX(属性投放!$AB$7:$AB$50,CZ1346)&amp;"-魂火-"&amp;DB1346</f>
        <v>吕布-大焦热+1-魂火-3</v>
      </c>
      <c r="CY1346" s="25" t="s">
        <v>142</v>
      </c>
      <c r="CZ1346" s="14">
        <f>INDEX(属性投放!$AM$7:$AM$58,CU1346)</f>
        <v>17</v>
      </c>
      <c r="DA1346" s="14" t="s">
        <v>537</v>
      </c>
      <c r="DB1346" s="14">
        <f>INDEX(属性投放!$AN$7:$AN$58,CU1346)</f>
        <v>3</v>
      </c>
      <c r="DC1346" s="14">
        <f t="shared" si="1125"/>
        <v>42</v>
      </c>
      <c r="DD1346" s="14">
        <f>INDEX(属性投放!$AO$7:$AO$58,DC1346)</f>
        <v>123</v>
      </c>
      <c r="DE1346" s="14" t="s">
        <v>242</v>
      </c>
      <c r="DF1346" s="14">
        <f>INDEX(属性投放!$BK$6:$BK$85,(CV1346-2)*20+CZ1346)</f>
        <v>720</v>
      </c>
      <c r="DG1346" s="14">
        <f>SUMIFS(DF$5:DF1346,$CT$5:$CT1346,"="&amp;$CT1346)</f>
        <v>10739</v>
      </c>
      <c r="DH1346" s="14" t="s">
        <v>198</v>
      </c>
      <c r="DI1346" s="14">
        <f>INDEX(属性投放!$BL$6:$BL$85,(CV1346-2)*20+CZ1346)</f>
        <v>360</v>
      </c>
      <c r="DJ1346" s="14">
        <f>SUMIFS(DI$5:DI1346,$CT$5:$CT1346,"="&amp;$CT1346)</f>
        <v>5375</v>
      </c>
      <c r="DK1346" s="14" t="s">
        <v>25</v>
      </c>
      <c r="DL1346" s="14">
        <f>INDEX(属性投放!$BM$6:$BM$85,(CV1346-2)*20+CZ1346)</f>
        <v>7200</v>
      </c>
      <c r="DM1346" s="14">
        <f>SUMIFS(DL$5:DL1346,$CT$5:$CT1346,"="&amp;$CT1346)</f>
        <v>101802</v>
      </c>
    </row>
    <row r="1347" spans="97:117" ht="16.5" x14ac:dyDescent="0.2">
      <c r="CS1347" s="13">
        <v>1343</v>
      </c>
      <c r="CT1347" s="13">
        <f t="shared" si="1121"/>
        <v>26</v>
      </c>
      <c r="CU1347" s="13">
        <f t="shared" si="1124"/>
        <v>43</v>
      </c>
      <c r="CV1347" s="14">
        <f t="shared" si="1122"/>
        <v>5</v>
      </c>
      <c r="CW1347" s="14">
        <f t="shared" si="1123"/>
        <v>1102028</v>
      </c>
      <c r="CX1347" s="14" t="str">
        <f>INDEX($O$6:$O$50,CT1347)&amp;"-"&amp;INDEX(属性投放!$AB$7:$AB$50,CZ1347)&amp;"-魂火-"&amp;DB1347</f>
        <v>吕布-大焦热+2-魂火-1</v>
      </c>
      <c r="CY1347" s="25" t="s">
        <v>142</v>
      </c>
      <c r="CZ1347" s="14">
        <f>INDEX(属性投放!$AM$7:$AM$58,CU1347)</f>
        <v>18</v>
      </c>
      <c r="DA1347" s="14" t="s">
        <v>537</v>
      </c>
      <c r="DB1347" s="14">
        <f>INDEX(属性投放!$AN$7:$AN$58,CU1347)</f>
        <v>1</v>
      </c>
      <c r="DC1347" s="14">
        <f t="shared" si="1125"/>
        <v>43</v>
      </c>
      <c r="DD1347" s="14">
        <f>INDEX(属性投放!$AO$7:$AO$58,DC1347)</f>
        <v>125</v>
      </c>
      <c r="DE1347" s="14" t="s">
        <v>242</v>
      </c>
      <c r="DF1347" s="14">
        <f>INDEX(属性投放!$BK$6:$BK$85,(CV1347-2)*20+CZ1347)</f>
        <v>830</v>
      </c>
      <c r="DG1347" s="14">
        <f>SUMIFS(DF$5:DF1347,$CT$5:$CT1347,"="&amp;$CT1347)</f>
        <v>11569</v>
      </c>
      <c r="DH1347" s="14" t="s">
        <v>198</v>
      </c>
      <c r="DI1347" s="14">
        <f>INDEX(属性投放!$BL$6:$BL$85,(CV1347-2)*20+CZ1347)</f>
        <v>415</v>
      </c>
      <c r="DJ1347" s="14">
        <f>SUMIFS(DI$5:DI1347,$CT$5:$CT1347,"="&amp;$CT1347)</f>
        <v>5790</v>
      </c>
      <c r="DK1347" s="14" t="s">
        <v>25</v>
      </c>
      <c r="DL1347" s="14">
        <f>INDEX(属性投放!$BM$6:$BM$85,(CV1347-2)*20+CZ1347)</f>
        <v>8300</v>
      </c>
      <c r="DM1347" s="14">
        <f>SUMIFS(DL$5:DL1347,$CT$5:$CT1347,"="&amp;$CT1347)</f>
        <v>110102</v>
      </c>
    </row>
    <row r="1348" spans="97:117" ht="16.5" x14ac:dyDescent="0.2">
      <c r="CS1348" s="13">
        <v>1344</v>
      </c>
      <c r="CT1348" s="13">
        <f t="shared" si="1121"/>
        <v>26</v>
      </c>
      <c r="CU1348" s="13">
        <f t="shared" si="1124"/>
        <v>44</v>
      </c>
      <c r="CV1348" s="14">
        <f t="shared" si="1122"/>
        <v>5</v>
      </c>
      <c r="CW1348" s="14">
        <f t="shared" si="1123"/>
        <v>1102028</v>
      </c>
      <c r="CX1348" s="14" t="str">
        <f>INDEX($O$6:$O$50,CT1348)&amp;"-"&amp;INDEX(属性投放!$AB$7:$AB$50,CZ1348)&amp;"-魂火-"&amp;DB1348</f>
        <v>吕布-大焦热+2-魂火-2</v>
      </c>
      <c r="CY1348" s="25" t="s">
        <v>142</v>
      </c>
      <c r="CZ1348" s="14">
        <f>INDEX(属性投放!$AM$7:$AM$58,CU1348)</f>
        <v>18</v>
      </c>
      <c r="DA1348" s="14" t="s">
        <v>537</v>
      </c>
      <c r="DB1348" s="14">
        <f>INDEX(属性投放!$AN$7:$AN$58,CU1348)</f>
        <v>2</v>
      </c>
      <c r="DC1348" s="14">
        <f t="shared" si="1125"/>
        <v>44</v>
      </c>
      <c r="DD1348" s="14">
        <f>INDEX(属性投放!$AO$7:$AO$58,DC1348)</f>
        <v>128</v>
      </c>
      <c r="DE1348" s="14" t="s">
        <v>242</v>
      </c>
      <c r="DF1348" s="14">
        <f>INDEX(属性投放!$BK$6:$BK$85,(CV1348-2)*20+CZ1348)</f>
        <v>830</v>
      </c>
      <c r="DG1348" s="14">
        <f>SUMIFS(DF$5:DF1348,$CT$5:$CT1348,"="&amp;$CT1348)</f>
        <v>12399</v>
      </c>
      <c r="DH1348" s="14" t="s">
        <v>198</v>
      </c>
      <c r="DI1348" s="14">
        <f>INDEX(属性投放!$BL$6:$BL$85,(CV1348-2)*20+CZ1348)</f>
        <v>415</v>
      </c>
      <c r="DJ1348" s="14">
        <f>SUMIFS(DI$5:DI1348,$CT$5:$CT1348,"="&amp;$CT1348)</f>
        <v>6205</v>
      </c>
      <c r="DK1348" s="14" t="s">
        <v>25</v>
      </c>
      <c r="DL1348" s="14">
        <f>INDEX(属性投放!$BM$6:$BM$85,(CV1348-2)*20+CZ1348)</f>
        <v>8300</v>
      </c>
      <c r="DM1348" s="14">
        <f>SUMIFS(DL$5:DL1348,$CT$5:$CT1348,"="&amp;$CT1348)</f>
        <v>118402</v>
      </c>
    </row>
    <row r="1349" spans="97:117" ht="16.5" x14ac:dyDescent="0.2">
      <c r="CS1349" s="13">
        <v>1345</v>
      </c>
      <c r="CT1349" s="13">
        <f t="shared" si="1121"/>
        <v>26</v>
      </c>
      <c r="CU1349" s="13">
        <f t="shared" si="1124"/>
        <v>45</v>
      </c>
      <c r="CV1349" s="14">
        <f t="shared" si="1122"/>
        <v>5</v>
      </c>
      <c r="CW1349" s="14">
        <f t="shared" si="1123"/>
        <v>1102028</v>
      </c>
      <c r="CX1349" s="14" t="str">
        <f>INDEX($O$6:$O$50,CT1349)&amp;"-"&amp;INDEX(属性投放!$AB$7:$AB$50,CZ1349)&amp;"-魂火-"&amp;DB1349</f>
        <v>吕布-大焦热+2-魂火-3</v>
      </c>
      <c r="CY1349" s="25" t="s">
        <v>142</v>
      </c>
      <c r="CZ1349" s="14">
        <f>INDEX(属性投放!$AM$7:$AM$58,CU1349)</f>
        <v>18</v>
      </c>
      <c r="DA1349" s="14" t="s">
        <v>537</v>
      </c>
      <c r="DB1349" s="14">
        <f>INDEX(属性投放!$AN$7:$AN$58,CU1349)</f>
        <v>3</v>
      </c>
      <c r="DC1349" s="14">
        <f t="shared" si="1125"/>
        <v>45</v>
      </c>
      <c r="DD1349" s="14">
        <f>INDEX(属性投放!$AO$7:$AO$58,DC1349)</f>
        <v>130</v>
      </c>
      <c r="DE1349" s="14" t="s">
        <v>242</v>
      </c>
      <c r="DF1349" s="14">
        <f>INDEX(属性投放!$BK$6:$BK$85,(CV1349-2)*20+CZ1349)</f>
        <v>830</v>
      </c>
      <c r="DG1349" s="14">
        <f>SUMIFS(DF$5:DF1349,$CT$5:$CT1349,"="&amp;$CT1349)</f>
        <v>13229</v>
      </c>
      <c r="DH1349" s="14" t="s">
        <v>198</v>
      </c>
      <c r="DI1349" s="14">
        <f>INDEX(属性投放!$BL$6:$BL$85,(CV1349-2)*20+CZ1349)</f>
        <v>415</v>
      </c>
      <c r="DJ1349" s="14">
        <f>SUMIFS(DI$5:DI1349,$CT$5:$CT1349,"="&amp;$CT1349)</f>
        <v>6620</v>
      </c>
      <c r="DK1349" s="14" t="s">
        <v>25</v>
      </c>
      <c r="DL1349" s="14">
        <f>INDEX(属性投放!$BM$6:$BM$85,(CV1349-2)*20+CZ1349)</f>
        <v>8300</v>
      </c>
      <c r="DM1349" s="14">
        <f>SUMIFS(DL$5:DL1349,$CT$5:$CT1349,"="&amp;$CT1349)</f>
        <v>126702</v>
      </c>
    </row>
    <row r="1350" spans="97:117" ht="16.5" x14ac:dyDescent="0.2">
      <c r="CS1350" s="13">
        <v>1346</v>
      </c>
      <c r="CT1350" s="13">
        <f t="shared" ref="CT1350:CT1413" si="1126">MATCH(CS1350-1,$U$5:$U$36,1)</f>
        <v>26</v>
      </c>
      <c r="CU1350" s="13">
        <f t="shared" si="1124"/>
        <v>46</v>
      </c>
      <c r="CV1350" s="14">
        <f t="shared" ref="CV1350:CV1413" si="1127">INDEX($Q$6:$Q$50,CT1350)</f>
        <v>5</v>
      </c>
      <c r="CW1350" s="14">
        <f t="shared" ref="CW1350:CW1413" si="1128">INDEX($N$6:$N$50,CT1350)</f>
        <v>1102028</v>
      </c>
      <c r="CX1350" s="14" t="str">
        <f>INDEX($O$6:$O$50,CT1350)&amp;"-"&amp;INDEX(属性投放!$AB$7:$AB$50,CZ1350)&amp;"-魂火-"&amp;DB1350</f>
        <v>吕布-无间-魂火-1</v>
      </c>
      <c r="CY1350" s="25" t="s">
        <v>142</v>
      </c>
      <c r="CZ1350" s="14">
        <f>INDEX(属性投放!$AM$7:$AM$58,CU1350)</f>
        <v>19</v>
      </c>
      <c r="DA1350" s="14" t="s">
        <v>537</v>
      </c>
      <c r="DB1350" s="14">
        <f>INDEX(属性投放!$AN$7:$AN$58,CU1350)</f>
        <v>1</v>
      </c>
      <c r="DC1350" s="14">
        <f t="shared" si="1125"/>
        <v>46</v>
      </c>
      <c r="DD1350" s="14">
        <f>INDEX(属性投放!$AO$7:$AO$58,DC1350)</f>
        <v>133</v>
      </c>
      <c r="DE1350" s="14" t="s">
        <v>242</v>
      </c>
      <c r="DF1350" s="14">
        <f>INDEX(属性投放!$BK$6:$BK$85,(CV1350-2)*20+CZ1350)</f>
        <v>980</v>
      </c>
      <c r="DG1350" s="14">
        <f>SUMIFS(DF$5:DF1350,$CT$5:$CT1350,"="&amp;$CT1350)</f>
        <v>14209</v>
      </c>
      <c r="DH1350" s="14" t="s">
        <v>198</v>
      </c>
      <c r="DI1350" s="14">
        <f>INDEX(属性投放!$BL$6:$BL$85,(CV1350-2)*20+CZ1350)</f>
        <v>490</v>
      </c>
      <c r="DJ1350" s="14">
        <f>SUMIFS(DI$5:DI1350,$CT$5:$CT1350,"="&amp;$CT1350)</f>
        <v>7110</v>
      </c>
      <c r="DK1350" s="14" t="s">
        <v>25</v>
      </c>
      <c r="DL1350" s="14">
        <f>INDEX(属性投放!$BM$6:$BM$85,(CV1350-2)*20+CZ1350)</f>
        <v>9800</v>
      </c>
      <c r="DM1350" s="14">
        <f>SUMIFS(DL$5:DL1350,$CT$5:$CT1350,"="&amp;$CT1350)</f>
        <v>136502</v>
      </c>
    </row>
    <row r="1351" spans="97:117" ht="16.5" x14ac:dyDescent="0.2">
      <c r="CS1351" s="13">
        <v>1347</v>
      </c>
      <c r="CT1351" s="13">
        <f t="shared" si="1126"/>
        <v>26</v>
      </c>
      <c r="CU1351" s="13">
        <f t="shared" si="1124"/>
        <v>47</v>
      </c>
      <c r="CV1351" s="14">
        <f t="shared" si="1127"/>
        <v>5</v>
      </c>
      <c r="CW1351" s="14">
        <f t="shared" si="1128"/>
        <v>1102028</v>
      </c>
      <c r="CX1351" s="14" t="str">
        <f>INDEX($O$6:$O$50,CT1351)&amp;"-"&amp;INDEX(属性投放!$AB$7:$AB$50,CZ1351)&amp;"-魂火-"&amp;DB1351</f>
        <v>吕布-无间-魂火-2</v>
      </c>
      <c r="CY1351" s="25" t="s">
        <v>142</v>
      </c>
      <c r="CZ1351" s="14">
        <f>INDEX(属性投放!$AM$7:$AM$58,CU1351)</f>
        <v>19</v>
      </c>
      <c r="DA1351" s="14" t="s">
        <v>537</v>
      </c>
      <c r="DB1351" s="14">
        <f>INDEX(属性投放!$AN$7:$AN$58,CU1351)</f>
        <v>2</v>
      </c>
      <c r="DC1351" s="14">
        <f t="shared" si="1125"/>
        <v>47</v>
      </c>
      <c r="DD1351" s="14">
        <f>INDEX(属性投放!$AO$7:$AO$58,DC1351)</f>
        <v>135</v>
      </c>
      <c r="DE1351" s="14" t="s">
        <v>242</v>
      </c>
      <c r="DF1351" s="14">
        <f>INDEX(属性投放!$BK$6:$BK$85,(CV1351-2)*20+CZ1351)</f>
        <v>980</v>
      </c>
      <c r="DG1351" s="14">
        <f>SUMIFS(DF$5:DF1351,$CT$5:$CT1351,"="&amp;$CT1351)</f>
        <v>15189</v>
      </c>
      <c r="DH1351" s="14" t="s">
        <v>198</v>
      </c>
      <c r="DI1351" s="14">
        <f>INDEX(属性投放!$BL$6:$BL$85,(CV1351-2)*20+CZ1351)</f>
        <v>490</v>
      </c>
      <c r="DJ1351" s="14">
        <f>SUMIFS(DI$5:DI1351,$CT$5:$CT1351,"="&amp;$CT1351)</f>
        <v>7600</v>
      </c>
      <c r="DK1351" s="14" t="s">
        <v>25</v>
      </c>
      <c r="DL1351" s="14">
        <f>INDEX(属性投放!$BM$6:$BM$85,(CV1351-2)*20+CZ1351)</f>
        <v>9800</v>
      </c>
      <c r="DM1351" s="14">
        <f>SUMIFS(DL$5:DL1351,$CT$5:$CT1351,"="&amp;$CT1351)</f>
        <v>146302</v>
      </c>
    </row>
    <row r="1352" spans="97:117" ht="16.5" x14ac:dyDescent="0.2">
      <c r="CS1352" s="13">
        <v>1348</v>
      </c>
      <c r="CT1352" s="13">
        <f t="shared" si="1126"/>
        <v>26</v>
      </c>
      <c r="CU1352" s="13">
        <f t="shared" si="1124"/>
        <v>48</v>
      </c>
      <c r="CV1352" s="14">
        <f t="shared" si="1127"/>
        <v>5</v>
      </c>
      <c r="CW1352" s="14">
        <f t="shared" si="1128"/>
        <v>1102028</v>
      </c>
      <c r="CX1352" s="14" t="str">
        <f>INDEX($O$6:$O$50,CT1352)&amp;"-"&amp;INDEX(属性投放!$AB$7:$AB$50,CZ1352)&amp;"-魂火-"&amp;DB1352</f>
        <v>吕布-无间-魂火-3</v>
      </c>
      <c r="CY1352" s="25" t="s">
        <v>142</v>
      </c>
      <c r="CZ1352" s="14">
        <f>INDEX(属性投放!$AM$7:$AM$58,CU1352)</f>
        <v>19</v>
      </c>
      <c r="DA1352" s="14" t="s">
        <v>537</v>
      </c>
      <c r="DB1352" s="14">
        <f>INDEX(属性投放!$AN$7:$AN$58,CU1352)</f>
        <v>3</v>
      </c>
      <c r="DC1352" s="14">
        <f t="shared" si="1125"/>
        <v>48</v>
      </c>
      <c r="DD1352" s="14">
        <f>INDEX(属性投放!$AO$7:$AO$58,DC1352)</f>
        <v>138</v>
      </c>
      <c r="DE1352" s="14" t="s">
        <v>242</v>
      </c>
      <c r="DF1352" s="14">
        <f>INDEX(属性投放!$BK$6:$BK$85,(CV1352-2)*20+CZ1352)</f>
        <v>980</v>
      </c>
      <c r="DG1352" s="14">
        <f>SUMIFS(DF$5:DF1352,$CT$5:$CT1352,"="&amp;$CT1352)</f>
        <v>16169</v>
      </c>
      <c r="DH1352" s="14" t="s">
        <v>198</v>
      </c>
      <c r="DI1352" s="14">
        <f>INDEX(属性投放!$BL$6:$BL$85,(CV1352-2)*20+CZ1352)</f>
        <v>490</v>
      </c>
      <c r="DJ1352" s="14">
        <f>SUMIFS(DI$5:DI1352,$CT$5:$CT1352,"="&amp;$CT1352)</f>
        <v>8090</v>
      </c>
      <c r="DK1352" s="14" t="s">
        <v>25</v>
      </c>
      <c r="DL1352" s="14">
        <f>INDEX(属性投放!$BM$6:$BM$85,(CV1352-2)*20+CZ1352)</f>
        <v>9800</v>
      </c>
      <c r="DM1352" s="14">
        <f>SUMIFS(DL$5:DL1352,$CT$5:$CT1352,"="&amp;$CT1352)</f>
        <v>156102</v>
      </c>
    </row>
    <row r="1353" spans="97:117" ht="16.5" x14ac:dyDescent="0.2">
      <c r="CS1353" s="13">
        <v>1349</v>
      </c>
      <c r="CT1353" s="13">
        <f t="shared" si="1126"/>
        <v>26</v>
      </c>
      <c r="CU1353" s="13">
        <f t="shared" si="1124"/>
        <v>49</v>
      </c>
      <c r="CV1353" s="14">
        <f t="shared" si="1127"/>
        <v>5</v>
      </c>
      <c r="CW1353" s="14">
        <f t="shared" si="1128"/>
        <v>1102028</v>
      </c>
      <c r="CX1353" s="14" t="str">
        <f>INDEX($O$6:$O$50,CT1353)&amp;"-"&amp;INDEX(属性投放!$AB$7:$AB$50,CZ1353)&amp;"-魂火-"&amp;DB1353</f>
        <v>吕布-无间+1-魂火-1</v>
      </c>
      <c r="CY1353" s="25" t="s">
        <v>142</v>
      </c>
      <c r="CZ1353" s="14">
        <f>INDEX(属性投放!$AM$7:$AM$58,CU1353)</f>
        <v>20</v>
      </c>
      <c r="DA1353" s="14" t="s">
        <v>537</v>
      </c>
      <c r="DB1353" s="14">
        <f>INDEX(属性投放!$AN$7:$AN$58,CU1353)</f>
        <v>1</v>
      </c>
      <c r="DC1353" s="14">
        <f t="shared" si="1125"/>
        <v>49</v>
      </c>
      <c r="DD1353" s="14">
        <f>INDEX(属性投放!$AO$7:$AO$58,DC1353)</f>
        <v>140</v>
      </c>
      <c r="DE1353" s="14" t="s">
        <v>242</v>
      </c>
      <c r="DF1353" s="14">
        <f>INDEX(属性投放!$BK$6:$BK$85,(CV1353-2)*20+CZ1353)</f>
        <v>1050</v>
      </c>
      <c r="DG1353" s="14">
        <f>SUMIFS(DF$5:DF1353,$CT$5:$CT1353,"="&amp;$CT1353)</f>
        <v>17219</v>
      </c>
      <c r="DH1353" s="14" t="s">
        <v>198</v>
      </c>
      <c r="DI1353" s="14">
        <f>INDEX(属性投放!$BL$6:$BL$85,(CV1353-2)*20+CZ1353)</f>
        <v>525</v>
      </c>
      <c r="DJ1353" s="14">
        <f>SUMIFS(DI$5:DI1353,$CT$5:$CT1353,"="&amp;$CT1353)</f>
        <v>8615</v>
      </c>
      <c r="DK1353" s="14" t="s">
        <v>25</v>
      </c>
      <c r="DL1353" s="14">
        <f>INDEX(属性投放!$BM$6:$BM$85,(CV1353-2)*20+CZ1353)</f>
        <v>10500</v>
      </c>
      <c r="DM1353" s="14">
        <f>SUMIFS(DL$5:DL1353,$CT$5:$CT1353,"="&amp;$CT1353)</f>
        <v>166602</v>
      </c>
    </row>
    <row r="1354" spans="97:117" ht="16.5" x14ac:dyDescent="0.2">
      <c r="CS1354" s="13">
        <v>1350</v>
      </c>
      <c r="CT1354" s="13">
        <f t="shared" si="1126"/>
        <v>26</v>
      </c>
      <c r="CU1354" s="13">
        <f t="shared" si="1124"/>
        <v>50</v>
      </c>
      <c r="CV1354" s="14">
        <f t="shared" si="1127"/>
        <v>5</v>
      </c>
      <c r="CW1354" s="14">
        <f t="shared" si="1128"/>
        <v>1102028</v>
      </c>
      <c r="CX1354" s="14" t="str">
        <f>INDEX($O$6:$O$50,CT1354)&amp;"-"&amp;INDEX(属性投放!$AB$7:$AB$50,CZ1354)&amp;"-魂火-"&amp;DB1354</f>
        <v>吕布-无间+1-魂火-2</v>
      </c>
      <c r="CY1354" s="25" t="s">
        <v>142</v>
      </c>
      <c r="CZ1354" s="14">
        <f>INDEX(属性投放!$AM$7:$AM$58,CU1354)</f>
        <v>20</v>
      </c>
      <c r="DA1354" s="14" t="s">
        <v>537</v>
      </c>
      <c r="DB1354" s="14">
        <f>INDEX(属性投放!$AN$7:$AN$58,CU1354)</f>
        <v>2</v>
      </c>
      <c r="DC1354" s="14">
        <f t="shared" si="1125"/>
        <v>50</v>
      </c>
      <c r="DD1354" s="14">
        <f>INDEX(属性投放!$AO$7:$AO$58,DC1354)</f>
        <v>143</v>
      </c>
      <c r="DE1354" s="14" t="s">
        <v>242</v>
      </c>
      <c r="DF1354" s="14">
        <f>INDEX(属性投放!$BK$6:$BK$85,(CV1354-2)*20+CZ1354)</f>
        <v>1050</v>
      </c>
      <c r="DG1354" s="14">
        <f>SUMIFS(DF$5:DF1354,$CT$5:$CT1354,"="&amp;$CT1354)</f>
        <v>18269</v>
      </c>
      <c r="DH1354" s="14" t="s">
        <v>198</v>
      </c>
      <c r="DI1354" s="14">
        <f>INDEX(属性投放!$BL$6:$BL$85,(CV1354-2)*20+CZ1354)</f>
        <v>525</v>
      </c>
      <c r="DJ1354" s="14">
        <f>SUMIFS(DI$5:DI1354,$CT$5:$CT1354,"="&amp;$CT1354)</f>
        <v>9140</v>
      </c>
      <c r="DK1354" s="14" t="s">
        <v>25</v>
      </c>
      <c r="DL1354" s="14">
        <f>INDEX(属性投放!$BM$6:$BM$85,(CV1354-2)*20+CZ1354)</f>
        <v>10500</v>
      </c>
      <c r="DM1354" s="14">
        <f>SUMIFS(DL$5:DL1354,$CT$5:$CT1354,"="&amp;$CT1354)</f>
        <v>177102</v>
      </c>
    </row>
    <row r="1355" spans="97:117" ht="16.5" x14ac:dyDescent="0.2">
      <c r="CS1355" s="13">
        <v>1351</v>
      </c>
      <c r="CT1355" s="13">
        <f t="shared" si="1126"/>
        <v>26</v>
      </c>
      <c r="CU1355" s="13">
        <f t="shared" ref="CU1355:CU1418" si="1129">CS1355-(CT1355-1)*52</f>
        <v>51</v>
      </c>
      <c r="CV1355" s="14">
        <f t="shared" si="1127"/>
        <v>5</v>
      </c>
      <c r="CW1355" s="14">
        <f t="shared" si="1128"/>
        <v>1102028</v>
      </c>
      <c r="CX1355" s="14" t="str">
        <f>INDEX($O$6:$O$50,CT1355)&amp;"-"&amp;INDEX(属性投放!$AB$7:$AB$50,CZ1355)&amp;"-魂火-"&amp;DB1355</f>
        <v>吕布-无间+1-魂火-3</v>
      </c>
      <c r="CY1355" s="25" t="s">
        <v>142</v>
      </c>
      <c r="CZ1355" s="14">
        <f>INDEX(属性投放!$AM$7:$AM$58,CU1355)</f>
        <v>20</v>
      </c>
      <c r="DA1355" s="14" t="s">
        <v>537</v>
      </c>
      <c r="DB1355" s="14">
        <f>INDEX(属性投放!$AN$7:$AN$58,CU1355)</f>
        <v>3</v>
      </c>
      <c r="DC1355" s="14">
        <f t="shared" ref="DC1355:DC1418" si="1130">CU1355</f>
        <v>51</v>
      </c>
      <c r="DD1355" s="14">
        <f>INDEX(属性投放!$AO$7:$AO$58,DC1355)</f>
        <v>145</v>
      </c>
      <c r="DE1355" s="14" t="s">
        <v>242</v>
      </c>
      <c r="DF1355" s="14">
        <f>INDEX(属性投放!$BK$6:$BK$85,(CV1355-2)*20+CZ1355)</f>
        <v>1050</v>
      </c>
      <c r="DG1355" s="14">
        <f>SUMIFS(DF$5:DF1355,$CT$5:$CT1355,"="&amp;$CT1355)</f>
        <v>19319</v>
      </c>
      <c r="DH1355" s="14" t="s">
        <v>198</v>
      </c>
      <c r="DI1355" s="14">
        <f>INDEX(属性投放!$BL$6:$BL$85,(CV1355-2)*20+CZ1355)</f>
        <v>525</v>
      </c>
      <c r="DJ1355" s="14">
        <f>SUMIFS(DI$5:DI1355,$CT$5:$CT1355,"="&amp;$CT1355)</f>
        <v>9665</v>
      </c>
      <c r="DK1355" s="14" t="s">
        <v>25</v>
      </c>
      <c r="DL1355" s="14">
        <f>INDEX(属性投放!$BM$6:$BM$85,(CV1355-2)*20+CZ1355)</f>
        <v>10500</v>
      </c>
      <c r="DM1355" s="14">
        <f>SUMIFS(DL$5:DL1355,$CT$5:$CT1355,"="&amp;$CT1355)</f>
        <v>187602</v>
      </c>
    </row>
    <row r="1356" spans="97:117" ht="16.5" x14ac:dyDescent="0.2">
      <c r="CS1356" s="13">
        <v>1352</v>
      </c>
      <c r="CT1356" s="13">
        <f t="shared" si="1126"/>
        <v>26</v>
      </c>
      <c r="CU1356" s="13">
        <f t="shared" si="1129"/>
        <v>52</v>
      </c>
      <c r="CV1356" s="14">
        <f t="shared" si="1127"/>
        <v>5</v>
      </c>
      <c r="CW1356" s="14">
        <f t="shared" si="1128"/>
        <v>1102028</v>
      </c>
      <c r="CX1356" s="14" t="str">
        <f>INDEX($O$6:$O$50,CT1356)&amp;"-"&amp;INDEX(属性投放!$AB$7:$AB$50,CZ1356)&amp;"-魂火-"&amp;DB1356</f>
        <v>吕布-无间+1-魂火-4</v>
      </c>
      <c r="CY1356" s="25" t="s">
        <v>142</v>
      </c>
      <c r="CZ1356" s="14">
        <f>INDEX(属性投放!$AM$7:$AM$58,CU1356)</f>
        <v>20</v>
      </c>
      <c r="DA1356" s="14" t="s">
        <v>537</v>
      </c>
      <c r="DB1356" s="14">
        <f>INDEX(属性投放!$AN$7:$AN$58,CU1356)</f>
        <v>4</v>
      </c>
      <c r="DC1356" s="14">
        <f t="shared" si="1130"/>
        <v>52</v>
      </c>
      <c r="DD1356" s="14">
        <f>INDEX(属性投放!$AO$7:$AO$58,DC1356)</f>
        <v>148</v>
      </c>
      <c r="DE1356" s="14" t="s">
        <v>242</v>
      </c>
      <c r="DF1356" s="14">
        <f>INDEX(属性投放!$BK$6:$BK$85,(CV1356-2)*20+CZ1356)</f>
        <v>1050</v>
      </c>
      <c r="DG1356" s="14">
        <f>SUMIFS(DF$5:DF1356,$CT$5:$CT1356,"="&amp;$CT1356)</f>
        <v>20369</v>
      </c>
      <c r="DH1356" s="14" t="s">
        <v>198</v>
      </c>
      <c r="DI1356" s="14">
        <f>INDEX(属性投放!$BL$6:$BL$85,(CV1356-2)*20+CZ1356)</f>
        <v>525</v>
      </c>
      <c r="DJ1356" s="14">
        <f>SUMIFS(DI$5:DI1356,$CT$5:$CT1356,"="&amp;$CT1356)</f>
        <v>10190</v>
      </c>
      <c r="DK1356" s="14" t="s">
        <v>25</v>
      </c>
      <c r="DL1356" s="14">
        <f>INDEX(属性投放!$BM$6:$BM$85,(CV1356-2)*20+CZ1356)</f>
        <v>10500</v>
      </c>
      <c r="DM1356" s="14">
        <f>SUMIFS(DL$5:DL1356,$CT$5:$CT1356,"="&amp;$CT1356)</f>
        <v>198102</v>
      </c>
    </row>
    <row r="1357" spans="97:117" ht="16.5" x14ac:dyDescent="0.2">
      <c r="CS1357" s="13">
        <v>1353</v>
      </c>
      <c r="CT1357" s="13">
        <f t="shared" si="1126"/>
        <v>27</v>
      </c>
      <c r="CU1357" s="13">
        <f t="shared" si="1129"/>
        <v>1</v>
      </c>
      <c r="CV1357" s="14">
        <f t="shared" si="1127"/>
        <v>3</v>
      </c>
      <c r="CW1357" s="14">
        <f t="shared" si="1128"/>
        <v>1102030</v>
      </c>
      <c r="CX1357" s="14" t="str">
        <f>INDEX($O$6:$O$50,CT1357)&amp;"-"&amp;INDEX(属性投放!$AB$7:$AB$50,CZ1357)&amp;"-魂火-"&amp;DB1357</f>
        <v>燕青-等活-魂火-1</v>
      </c>
      <c r="CY1357" s="25" t="s">
        <v>142</v>
      </c>
      <c r="CZ1357" s="14">
        <f>INDEX(属性投放!$AM$7:$AM$58,CU1357)</f>
        <v>1</v>
      </c>
      <c r="DA1357" s="14" t="s">
        <v>537</v>
      </c>
      <c r="DB1357" s="14">
        <f>INDEX(属性投放!$AN$7:$AN$58,CU1357)</f>
        <v>1</v>
      </c>
      <c r="DC1357" s="14">
        <f t="shared" si="1130"/>
        <v>1</v>
      </c>
      <c r="DD1357" s="14">
        <f>INDEX(属性投放!$AO$7:$AO$58,DC1357)</f>
        <v>3</v>
      </c>
      <c r="DE1357" s="14" t="s">
        <v>242</v>
      </c>
      <c r="DF1357" s="14">
        <f>INDEX(属性投放!$BK$6:$BK$85,(CV1357-2)*20+CZ1357)</f>
        <v>20</v>
      </c>
      <c r="DG1357" s="14">
        <f>SUMIFS(DF$5:DF1357,$CT$5:$CT1357,"="&amp;$CT1357)</f>
        <v>20</v>
      </c>
      <c r="DH1357" s="14" t="s">
        <v>198</v>
      </c>
      <c r="DI1357" s="14">
        <f>INDEX(属性投放!$BL$6:$BL$85,(CV1357-2)*20+CZ1357)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INDEX(属性投放!$BM$6:$BM$85,(CV1357-2)*20+CZ1357)</f>
        <v>120</v>
      </c>
      <c r="DM1357" s="14">
        <f>SUMIFS(DL$5:DL1357,$CT$5:$CT1357,"="&amp;$CT1357)</f>
        <v>120</v>
      </c>
    </row>
    <row r="1358" spans="97:117" ht="16.5" x14ac:dyDescent="0.2">
      <c r="CS1358" s="13">
        <v>1354</v>
      </c>
      <c r="CT1358" s="13">
        <f t="shared" si="1126"/>
        <v>27</v>
      </c>
      <c r="CU1358" s="13">
        <f t="shared" si="1129"/>
        <v>2</v>
      </c>
      <c r="CV1358" s="14">
        <f t="shared" si="1127"/>
        <v>3</v>
      </c>
      <c r="CW1358" s="14">
        <f t="shared" si="1128"/>
        <v>1102030</v>
      </c>
      <c r="CX1358" s="14" t="str">
        <f>INDEX($O$6:$O$50,CT1358)&amp;"-"&amp;INDEX(属性投放!$AB$7:$AB$50,CZ1358)&amp;"-魂火-"&amp;DB1358</f>
        <v>燕青-黑绳-魂火-1</v>
      </c>
      <c r="CY1358" s="25" t="s">
        <v>142</v>
      </c>
      <c r="CZ1358" s="14">
        <f>INDEX(属性投放!$AM$7:$AM$58,CU1358)</f>
        <v>2</v>
      </c>
      <c r="DA1358" s="14" t="s">
        <v>537</v>
      </c>
      <c r="DB1358" s="14">
        <f>INDEX(属性投放!$AN$7:$AN$58,CU1358)</f>
        <v>1</v>
      </c>
      <c r="DC1358" s="14">
        <f t="shared" si="1130"/>
        <v>2</v>
      </c>
      <c r="DD1358" s="14">
        <f>INDEX(属性投放!$AO$7:$AO$58,DC1358)</f>
        <v>8</v>
      </c>
      <c r="DE1358" s="14" t="s">
        <v>242</v>
      </c>
      <c r="DF1358" s="14">
        <f>INDEX(属性投放!$BK$6:$BK$85,(CV1358-2)*20+CZ1358)</f>
        <v>25</v>
      </c>
      <c r="DG1358" s="14">
        <f>SUMIFS(DF$5:DF1358,$CT$5:$CT1358,"="&amp;$CT1358)</f>
        <v>45</v>
      </c>
      <c r="DH1358" s="14" t="s">
        <v>198</v>
      </c>
      <c r="DI1358" s="14">
        <f>INDEX(属性投放!$BL$6:$BL$85,(CV1358-2)*20+CZ1358)</f>
        <v>13</v>
      </c>
      <c r="DJ1358" s="14">
        <f>SUMIFS(DI$5:DI1358,$CT$5:$CT1358,"="&amp;$CT1358)</f>
        <v>23</v>
      </c>
      <c r="DK1358" s="14" t="s">
        <v>25</v>
      </c>
      <c r="DL1358" s="14">
        <f>INDEX(属性投放!$BM$6:$BM$85,(CV1358-2)*20+CZ1358)</f>
        <v>150</v>
      </c>
      <c r="DM1358" s="14">
        <f>SUMIFS(DL$5:DL1358,$CT$5:$CT1358,"="&amp;$CT1358)</f>
        <v>270</v>
      </c>
    </row>
    <row r="1359" spans="97:117" ht="16.5" x14ac:dyDescent="0.2">
      <c r="CS1359" s="13">
        <v>1355</v>
      </c>
      <c r="CT1359" s="13">
        <f t="shared" si="1126"/>
        <v>27</v>
      </c>
      <c r="CU1359" s="13">
        <f t="shared" si="1129"/>
        <v>3</v>
      </c>
      <c r="CV1359" s="14">
        <f t="shared" si="1127"/>
        <v>3</v>
      </c>
      <c r="CW1359" s="14">
        <f t="shared" si="1128"/>
        <v>1102030</v>
      </c>
      <c r="CX1359" s="14" t="str">
        <f>INDEX($O$6:$O$50,CT1359)&amp;"-"&amp;INDEX(属性投放!$AB$7:$AB$50,CZ1359)&amp;"-魂火-"&amp;DB1359</f>
        <v>燕青-黑绳-魂火-2</v>
      </c>
      <c r="CY1359" s="25" t="s">
        <v>142</v>
      </c>
      <c r="CZ1359" s="14">
        <f>INDEX(属性投放!$AM$7:$AM$58,CU1359)</f>
        <v>2</v>
      </c>
      <c r="DA1359" s="14" t="s">
        <v>537</v>
      </c>
      <c r="DB1359" s="14">
        <f>INDEX(属性投放!$AN$7:$AN$58,CU1359)</f>
        <v>2</v>
      </c>
      <c r="DC1359" s="14">
        <f t="shared" si="1130"/>
        <v>3</v>
      </c>
      <c r="DD1359" s="14">
        <f>INDEX(属性投放!$AO$7:$AO$58,DC1359)</f>
        <v>13</v>
      </c>
      <c r="DE1359" s="14" t="s">
        <v>242</v>
      </c>
      <c r="DF1359" s="14">
        <f>INDEX(属性投放!$BK$6:$BK$85,(CV1359-2)*20+CZ1359)</f>
        <v>25</v>
      </c>
      <c r="DG1359" s="14">
        <f>SUMIFS(DF$5:DF1359,$CT$5:$CT1359,"="&amp;$CT1359)</f>
        <v>70</v>
      </c>
      <c r="DH1359" s="14" t="s">
        <v>198</v>
      </c>
      <c r="DI1359" s="14">
        <f>INDEX(属性投放!$BL$6:$BL$85,(CV1359-2)*20+CZ1359)</f>
        <v>13</v>
      </c>
      <c r="DJ1359" s="14">
        <f>SUMIFS(DI$5:DI1359,$CT$5:$CT1359,"="&amp;$CT1359)</f>
        <v>36</v>
      </c>
      <c r="DK1359" s="14" t="s">
        <v>25</v>
      </c>
      <c r="DL1359" s="14">
        <f>INDEX(属性投放!$BM$6:$BM$85,(CV1359-2)*20+CZ1359)</f>
        <v>150</v>
      </c>
      <c r="DM1359" s="14">
        <f>SUMIFS(DL$5:DL1359,$CT$5:$CT1359,"="&amp;$CT1359)</f>
        <v>420</v>
      </c>
    </row>
    <row r="1360" spans="97:117" ht="16.5" x14ac:dyDescent="0.2">
      <c r="CS1360" s="13">
        <v>1356</v>
      </c>
      <c r="CT1360" s="13">
        <f t="shared" si="1126"/>
        <v>27</v>
      </c>
      <c r="CU1360" s="13">
        <f t="shared" si="1129"/>
        <v>4</v>
      </c>
      <c r="CV1360" s="14">
        <f t="shared" si="1127"/>
        <v>3</v>
      </c>
      <c r="CW1360" s="14">
        <f t="shared" si="1128"/>
        <v>1102030</v>
      </c>
      <c r="CX1360" s="14" t="str">
        <f>INDEX($O$6:$O$50,CT1360)&amp;"-"&amp;INDEX(属性投放!$AB$7:$AB$50,CZ1360)&amp;"-魂火-"&amp;DB1360</f>
        <v>燕青-黑绳+1-魂火-1</v>
      </c>
      <c r="CY1360" s="25" t="s">
        <v>142</v>
      </c>
      <c r="CZ1360" s="14">
        <f>INDEX(属性投放!$AM$7:$AM$58,CU1360)</f>
        <v>3</v>
      </c>
      <c r="DA1360" s="14" t="s">
        <v>537</v>
      </c>
      <c r="DB1360" s="14">
        <f>INDEX(属性投放!$AN$7:$AN$58,CU1360)</f>
        <v>1</v>
      </c>
      <c r="DC1360" s="14">
        <f t="shared" si="1130"/>
        <v>4</v>
      </c>
      <c r="DD1360" s="14">
        <f>INDEX(属性投放!$AO$7:$AO$58,DC1360)</f>
        <v>18</v>
      </c>
      <c r="DE1360" s="14" t="s">
        <v>242</v>
      </c>
      <c r="DF1360" s="14">
        <f>INDEX(属性投放!$BK$6:$BK$85,(CV1360-2)*20+CZ1360)</f>
        <v>30</v>
      </c>
      <c r="DG1360" s="14">
        <f>SUMIFS(DF$5:DF1360,$CT$5:$CT1360,"="&amp;$CT1360)</f>
        <v>100</v>
      </c>
      <c r="DH1360" s="14" t="s">
        <v>198</v>
      </c>
      <c r="DI1360" s="14">
        <f>INDEX(属性投放!$BL$6:$BL$85,(CV1360-2)*20+CZ1360)</f>
        <v>15</v>
      </c>
      <c r="DJ1360" s="14">
        <f>SUMIFS(DI$5:DI1360,$CT$5:$CT1360,"="&amp;$CT1360)</f>
        <v>51</v>
      </c>
      <c r="DK1360" s="14" t="s">
        <v>25</v>
      </c>
      <c r="DL1360" s="14">
        <f>INDEX(属性投放!$BM$6:$BM$85,(CV1360-2)*20+CZ1360)</f>
        <v>180</v>
      </c>
      <c r="DM1360" s="14">
        <f>SUMIFS(DL$5:DL1360,$CT$5:$CT1360,"="&amp;$CT1360)</f>
        <v>600</v>
      </c>
    </row>
    <row r="1361" spans="97:117" ht="16.5" x14ac:dyDescent="0.2">
      <c r="CS1361" s="13">
        <v>1357</v>
      </c>
      <c r="CT1361" s="13">
        <f t="shared" si="1126"/>
        <v>27</v>
      </c>
      <c r="CU1361" s="13">
        <f t="shared" si="1129"/>
        <v>5</v>
      </c>
      <c r="CV1361" s="14">
        <f t="shared" si="1127"/>
        <v>3</v>
      </c>
      <c r="CW1361" s="14">
        <f t="shared" si="1128"/>
        <v>1102030</v>
      </c>
      <c r="CX1361" s="14" t="str">
        <f>INDEX($O$6:$O$50,CT1361)&amp;"-"&amp;INDEX(属性投放!$AB$7:$AB$50,CZ1361)&amp;"-魂火-"&amp;DB1361</f>
        <v>燕青-黑绳+1-魂火-2</v>
      </c>
      <c r="CY1361" s="25" t="s">
        <v>142</v>
      </c>
      <c r="CZ1361" s="14">
        <f>INDEX(属性投放!$AM$7:$AM$58,CU1361)</f>
        <v>3</v>
      </c>
      <c r="DA1361" s="14" t="s">
        <v>537</v>
      </c>
      <c r="DB1361" s="14">
        <f>INDEX(属性投放!$AN$7:$AN$58,CU1361)</f>
        <v>2</v>
      </c>
      <c r="DC1361" s="14">
        <f t="shared" si="1130"/>
        <v>5</v>
      </c>
      <c r="DD1361" s="14">
        <f>INDEX(属性投放!$AO$7:$AO$58,DC1361)</f>
        <v>23</v>
      </c>
      <c r="DE1361" s="14" t="s">
        <v>242</v>
      </c>
      <c r="DF1361" s="14">
        <f>INDEX(属性投放!$BK$6:$BK$85,(CV1361-2)*20+CZ1361)</f>
        <v>30</v>
      </c>
      <c r="DG1361" s="14">
        <f>SUMIFS(DF$5:DF1361,$CT$5:$CT1361,"="&amp;$CT1361)</f>
        <v>130</v>
      </c>
      <c r="DH1361" s="14" t="s">
        <v>198</v>
      </c>
      <c r="DI1361" s="14">
        <f>INDEX(属性投放!$BL$6:$BL$85,(CV1361-2)*20+CZ1361)</f>
        <v>15</v>
      </c>
      <c r="DJ1361" s="14">
        <f>SUMIFS(DI$5:DI1361,$CT$5:$CT1361,"="&amp;$CT1361)</f>
        <v>66</v>
      </c>
      <c r="DK1361" s="14" t="s">
        <v>25</v>
      </c>
      <c r="DL1361" s="14">
        <f>INDEX(属性投放!$BM$6:$BM$85,(CV1361-2)*20+CZ1361)</f>
        <v>180</v>
      </c>
      <c r="DM1361" s="14">
        <f>SUMIFS(DL$5:DL1361,$CT$5:$CT1361,"="&amp;$CT1361)</f>
        <v>780</v>
      </c>
    </row>
    <row r="1362" spans="97:117" ht="16.5" x14ac:dyDescent="0.2">
      <c r="CS1362" s="13">
        <v>1358</v>
      </c>
      <c r="CT1362" s="13">
        <f t="shared" si="1126"/>
        <v>27</v>
      </c>
      <c r="CU1362" s="13">
        <f t="shared" si="1129"/>
        <v>6</v>
      </c>
      <c r="CV1362" s="14">
        <f t="shared" si="1127"/>
        <v>3</v>
      </c>
      <c r="CW1362" s="14">
        <f t="shared" si="1128"/>
        <v>1102030</v>
      </c>
      <c r="CX1362" s="14" t="str">
        <f>INDEX($O$6:$O$50,CT1362)&amp;"-"&amp;INDEX(属性投放!$AB$7:$AB$50,CZ1362)&amp;"-魂火-"&amp;DB1362</f>
        <v>燕青-众合-魂火-1</v>
      </c>
      <c r="CY1362" s="25" t="s">
        <v>142</v>
      </c>
      <c r="CZ1362" s="14">
        <f>INDEX(属性投放!$AM$7:$AM$58,CU1362)</f>
        <v>4</v>
      </c>
      <c r="DA1362" s="14" t="s">
        <v>537</v>
      </c>
      <c r="DB1362" s="14">
        <f>INDEX(属性投放!$AN$7:$AN$58,CU1362)</f>
        <v>1</v>
      </c>
      <c r="DC1362" s="14">
        <f t="shared" si="1130"/>
        <v>6</v>
      </c>
      <c r="DD1362" s="14">
        <f>INDEX(属性投放!$AO$7:$AO$58,DC1362)</f>
        <v>28</v>
      </c>
      <c r="DE1362" s="14" t="s">
        <v>242</v>
      </c>
      <c r="DF1362" s="14">
        <f>INDEX(属性投放!$BK$6:$BK$85,(CV1362-2)*20+CZ1362)</f>
        <v>40</v>
      </c>
      <c r="DG1362" s="14">
        <f>SUMIFS(DF$5:DF1362,$CT$5:$CT1362,"="&amp;$CT1362)</f>
        <v>170</v>
      </c>
      <c r="DH1362" s="14" t="s">
        <v>198</v>
      </c>
      <c r="DI1362" s="14">
        <f>INDEX(属性投放!$BL$6:$BL$85,(CV1362-2)*20+CZ1362)</f>
        <v>20</v>
      </c>
      <c r="DJ1362" s="14">
        <f>SUMIFS(DI$5:DI1362,$CT$5:$CT1362,"="&amp;$CT1362)</f>
        <v>86</v>
      </c>
      <c r="DK1362" s="14" t="s">
        <v>25</v>
      </c>
      <c r="DL1362" s="14">
        <f>INDEX(属性投放!$BM$6:$BM$85,(CV1362-2)*20+CZ1362)</f>
        <v>280</v>
      </c>
      <c r="DM1362" s="14">
        <f>SUMIFS(DL$5:DL1362,$CT$5:$CT1362,"="&amp;$CT1362)</f>
        <v>1060</v>
      </c>
    </row>
    <row r="1363" spans="97:117" ht="16.5" x14ac:dyDescent="0.2">
      <c r="CS1363" s="13">
        <v>1359</v>
      </c>
      <c r="CT1363" s="13">
        <f t="shared" si="1126"/>
        <v>27</v>
      </c>
      <c r="CU1363" s="13">
        <f t="shared" si="1129"/>
        <v>7</v>
      </c>
      <c r="CV1363" s="14">
        <f t="shared" si="1127"/>
        <v>3</v>
      </c>
      <c r="CW1363" s="14">
        <f t="shared" si="1128"/>
        <v>1102030</v>
      </c>
      <c r="CX1363" s="14" t="str">
        <f>INDEX($O$6:$O$50,CT1363)&amp;"-"&amp;INDEX(属性投放!$AB$7:$AB$50,CZ1363)&amp;"-魂火-"&amp;DB1363</f>
        <v>燕青-众合-魂火-2</v>
      </c>
      <c r="CY1363" s="25" t="s">
        <v>142</v>
      </c>
      <c r="CZ1363" s="14">
        <f>INDEX(属性投放!$AM$7:$AM$58,CU1363)</f>
        <v>4</v>
      </c>
      <c r="DA1363" s="14" t="s">
        <v>537</v>
      </c>
      <c r="DB1363" s="14">
        <f>INDEX(属性投放!$AN$7:$AN$58,CU1363)</f>
        <v>2</v>
      </c>
      <c r="DC1363" s="14">
        <f t="shared" si="1130"/>
        <v>7</v>
      </c>
      <c r="DD1363" s="14">
        <f>INDEX(属性投放!$AO$7:$AO$58,DC1363)</f>
        <v>33</v>
      </c>
      <c r="DE1363" s="14" t="s">
        <v>242</v>
      </c>
      <c r="DF1363" s="14">
        <f>INDEX(属性投放!$BK$6:$BK$85,(CV1363-2)*20+CZ1363)</f>
        <v>40</v>
      </c>
      <c r="DG1363" s="14">
        <f>SUMIFS(DF$5:DF1363,$CT$5:$CT1363,"="&amp;$CT1363)</f>
        <v>210</v>
      </c>
      <c r="DH1363" s="14" t="s">
        <v>198</v>
      </c>
      <c r="DI1363" s="14">
        <f>INDEX(属性投放!$BL$6:$BL$85,(CV1363-2)*20+CZ1363)</f>
        <v>20</v>
      </c>
      <c r="DJ1363" s="14">
        <f>SUMIFS(DI$5:DI1363,$CT$5:$CT1363,"="&amp;$CT1363)</f>
        <v>106</v>
      </c>
      <c r="DK1363" s="14" t="s">
        <v>25</v>
      </c>
      <c r="DL1363" s="14">
        <f>INDEX(属性投放!$BM$6:$BM$85,(CV1363-2)*20+CZ1363)</f>
        <v>280</v>
      </c>
      <c r="DM1363" s="14">
        <f>SUMIFS(DL$5:DL1363,$CT$5:$CT1363,"="&amp;$CT1363)</f>
        <v>1340</v>
      </c>
    </row>
    <row r="1364" spans="97:117" ht="16.5" x14ac:dyDescent="0.2">
      <c r="CS1364" s="13">
        <v>1360</v>
      </c>
      <c r="CT1364" s="13">
        <f t="shared" si="1126"/>
        <v>27</v>
      </c>
      <c r="CU1364" s="13">
        <f t="shared" si="1129"/>
        <v>8</v>
      </c>
      <c r="CV1364" s="14">
        <f t="shared" si="1127"/>
        <v>3</v>
      </c>
      <c r="CW1364" s="14">
        <f t="shared" si="1128"/>
        <v>1102030</v>
      </c>
      <c r="CX1364" s="14" t="str">
        <f>INDEX($O$6:$O$50,CT1364)&amp;"-"&amp;INDEX(属性投放!$AB$7:$AB$50,CZ1364)&amp;"-魂火-"&amp;DB1364</f>
        <v>燕青-众合+1-魂火-1</v>
      </c>
      <c r="CY1364" s="25" t="s">
        <v>142</v>
      </c>
      <c r="CZ1364" s="14">
        <f>INDEX(属性投放!$AM$7:$AM$58,CU1364)</f>
        <v>5</v>
      </c>
      <c r="DA1364" s="14" t="s">
        <v>537</v>
      </c>
      <c r="DB1364" s="14">
        <f>INDEX(属性投放!$AN$7:$AN$58,CU1364)</f>
        <v>1</v>
      </c>
      <c r="DC1364" s="14">
        <f t="shared" si="1130"/>
        <v>8</v>
      </c>
      <c r="DD1364" s="14">
        <f>INDEX(属性投放!$AO$7:$AO$58,DC1364)</f>
        <v>38</v>
      </c>
      <c r="DE1364" s="14" t="s">
        <v>242</v>
      </c>
      <c r="DF1364" s="14">
        <f>INDEX(属性投放!$BK$6:$BK$85,(CV1364-2)*20+CZ1364)</f>
        <v>45</v>
      </c>
      <c r="DG1364" s="14">
        <f>SUMIFS(DF$5:DF1364,$CT$5:$CT1364,"="&amp;$CT1364)</f>
        <v>255</v>
      </c>
      <c r="DH1364" s="14" t="s">
        <v>198</v>
      </c>
      <c r="DI1364" s="14">
        <f>INDEX(属性投放!$BL$6:$BL$85,(CV1364-2)*20+CZ1364)</f>
        <v>23</v>
      </c>
      <c r="DJ1364" s="14">
        <f>SUMIFS(DI$5:DI1364,$CT$5:$CT1364,"="&amp;$CT1364)</f>
        <v>129</v>
      </c>
      <c r="DK1364" s="14" t="s">
        <v>25</v>
      </c>
      <c r="DL1364" s="14">
        <f>INDEX(属性投放!$BM$6:$BM$85,(CV1364-2)*20+CZ1364)</f>
        <v>315</v>
      </c>
      <c r="DM1364" s="14">
        <f>SUMIFS(DL$5:DL1364,$CT$5:$CT1364,"="&amp;$CT1364)</f>
        <v>1655</v>
      </c>
    </row>
    <row r="1365" spans="97:117" ht="16.5" x14ac:dyDescent="0.2">
      <c r="CS1365" s="13">
        <v>1361</v>
      </c>
      <c r="CT1365" s="13">
        <f t="shared" si="1126"/>
        <v>27</v>
      </c>
      <c r="CU1365" s="13">
        <f t="shared" si="1129"/>
        <v>9</v>
      </c>
      <c r="CV1365" s="14">
        <f t="shared" si="1127"/>
        <v>3</v>
      </c>
      <c r="CW1365" s="14">
        <f t="shared" si="1128"/>
        <v>1102030</v>
      </c>
      <c r="CX1365" s="14" t="str">
        <f>INDEX($O$6:$O$50,CT1365)&amp;"-"&amp;INDEX(属性投放!$AB$7:$AB$50,CZ1365)&amp;"-魂火-"&amp;DB1365</f>
        <v>燕青-众合+1-魂火-2</v>
      </c>
      <c r="CY1365" s="25" t="s">
        <v>142</v>
      </c>
      <c r="CZ1365" s="14">
        <f>INDEX(属性投放!$AM$7:$AM$58,CU1365)</f>
        <v>5</v>
      </c>
      <c r="DA1365" s="14" t="s">
        <v>537</v>
      </c>
      <c r="DB1365" s="14">
        <f>INDEX(属性投放!$AN$7:$AN$58,CU1365)</f>
        <v>2</v>
      </c>
      <c r="DC1365" s="14">
        <f t="shared" si="1130"/>
        <v>9</v>
      </c>
      <c r="DD1365" s="14">
        <f>INDEX(属性投放!$AO$7:$AO$58,DC1365)</f>
        <v>40</v>
      </c>
      <c r="DE1365" s="14" t="s">
        <v>242</v>
      </c>
      <c r="DF1365" s="14">
        <f>INDEX(属性投放!$BK$6:$BK$85,(CV1365-2)*20+CZ1365)</f>
        <v>45</v>
      </c>
      <c r="DG1365" s="14">
        <f>SUMIFS(DF$5:DF1365,$CT$5:$CT1365,"="&amp;$CT1365)</f>
        <v>300</v>
      </c>
      <c r="DH1365" s="14" t="s">
        <v>198</v>
      </c>
      <c r="DI1365" s="14">
        <f>INDEX(属性投放!$BL$6:$BL$85,(CV1365-2)*20+CZ1365)</f>
        <v>23</v>
      </c>
      <c r="DJ1365" s="14">
        <f>SUMIFS(DI$5:DI1365,$CT$5:$CT1365,"="&amp;$CT1365)</f>
        <v>152</v>
      </c>
      <c r="DK1365" s="14" t="s">
        <v>25</v>
      </c>
      <c r="DL1365" s="14">
        <f>INDEX(属性投放!$BM$6:$BM$85,(CV1365-2)*20+CZ1365)</f>
        <v>315</v>
      </c>
      <c r="DM1365" s="14">
        <f>SUMIFS(DL$5:DL1365,$CT$5:$CT1365,"="&amp;$CT1365)</f>
        <v>1970</v>
      </c>
    </row>
    <row r="1366" spans="97:117" ht="16.5" x14ac:dyDescent="0.2">
      <c r="CS1366" s="13">
        <v>1362</v>
      </c>
      <c r="CT1366" s="13">
        <f t="shared" si="1126"/>
        <v>27</v>
      </c>
      <c r="CU1366" s="13">
        <f t="shared" si="1129"/>
        <v>10</v>
      </c>
      <c r="CV1366" s="14">
        <f t="shared" si="1127"/>
        <v>3</v>
      </c>
      <c r="CW1366" s="14">
        <f t="shared" si="1128"/>
        <v>1102030</v>
      </c>
      <c r="CX1366" s="14" t="str">
        <f>INDEX($O$6:$O$50,CT1366)&amp;"-"&amp;INDEX(属性投放!$AB$7:$AB$50,CZ1366)&amp;"-魂火-"&amp;DB1366</f>
        <v>燕青-众合+2-魂火-1</v>
      </c>
      <c r="CY1366" s="25" t="s">
        <v>142</v>
      </c>
      <c r="CZ1366" s="14">
        <f>INDEX(属性投放!$AM$7:$AM$58,CU1366)</f>
        <v>6</v>
      </c>
      <c r="DA1366" s="14" t="s">
        <v>537</v>
      </c>
      <c r="DB1366" s="14">
        <f>INDEX(属性投放!$AN$7:$AN$58,CU1366)</f>
        <v>1</v>
      </c>
      <c r="DC1366" s="14">
        <f t="shared" si="1130"/>
        <v>10</v>
      </c>
      <c r="DD1366" s="14">
        <f>INDEX(属性投放!$AO$7:$AO$58,DC1366)</f>
        <v>43</v>
      </c>
      <c r="DE1366" s="14" t="s">
        <v>242</v>
      </c>
      <c r="DF1366" s="14">
        <f>INDEX(属性投放!$BK$6:$BK$85,(CV1366-2)*20+CZ1366)</f>
        <v>50</v>
      </c>
      <c r="DG1366" s="14">
        <f>SUMIFS(DF$5:DF1366,$CT$5:$CT1366,"="&amp;$CT1366)</f>
        <v>350</v>
      </c>
      <c r="DH1366" s="14" t="s">
        <v>198</v>
      </c>
      <c r="DI1366" s="14">
        <f>INDEX(属性投放!$BL$6:$BL$85,(CV1366-2)*20+CZ1366)</f>
        <v>25</v>
      </c>
      <c r="DJ1366" s="14">
        <f>SUMIFS(DI$5:DI1366,$CT$5:$CT1366,"="&amp;$CT1366)</f>
        <v>177</v>
      </c>
      <c r="DK1366" s="14" t="s">
        <v>25</v>
      </c>
      <c r="DL1366" s="14">
        <f>INDEX(属性投放!$BM$6:$BM$85,(CV1366-2)*20+CZ1366)</f>
        <v>350</v>
      </c>
      <c r="DM1366" s="14">
        <f>SUMIFS(DL$5:DL1366,$CT$5:$CT1366,"="&amp;$CT1366)</f>
        <v>2320</v>
      </c>
    </row>
    <row r="1367" spans="97:117" ht="16.5" x14ac:dyDescent="0.2">
      <c r="CS1367" s="13">
        <v>1363</v>
      </c>
      <c r="CT1367" s="13">
        <f t="shared" si="1126"/>
        <v>27</v>
      </c>
      <c r="CU1367" s="13">
        <f t="shared" si="1129"/>
        <v>11</v>
      </c>
      <c r="CV1367" s="14">
        <f t="shared" si="1127"/>
        <v>3</v>
      </c>
      <c r="CW1367" s="14">
        <f t="shared" si="1128"/>
        <v>1102030</v>
      </c>
      <c r="CX1367" s="14" t="str">
        <f>INDEX($O$6:$O$50,CT1367)&amp;"-"&amp;INDEX(属性投放!$AB$7:$AB$50,CZ1367)&amp;"-魂火-"&amp;DB1367</f>
        <v>燕青-众合+2-魂火-2</v>
      </c>
      <c r="CY1367" s="25" t="s">
        <v>142</v>
      </c>
      <c r="CZ1367" s="14">
        <f>INDEX(属性投放!$AM$7:$AM$58,CU1367)</f>
        <v>6</v>
      </c>
      <c r="DA1367" s="14" t="s">
        <v>537</v>
      </c>
      <c r="DB1367" s="14">
        <f>INDEX(属性投放!$AN$7:$AN$58,CU1367)</f>
        <v>2</v>
      </c>
      <c r="DC1367" s="14">
        <f t="shared" si="1130"/>
        <v>11</v>
      </c>
      <c r="DD1367" s="14">
        <f>INDEX(属性投放!$AO$7:$AO$58,DC1367)</f>
        <v>45</v>
      </c>
      <c r="DE1367" s="14" t="s">
        <v>242</v>
      </c>
      <c r="DF1367" s="14">
        <f>INDEX(属性投放!$BK$6:$BK$85,(CV1367-2)*20+CZ1367)</f>
        <v>50</v>
      </c>
      <c r="DG1367" s="14">
        <f>SUMIFS(DF$5:DF1367,$CT$5:$CT1367,"="&amp;$CT1367)</f>
        <v>400</v>
      </c>
      <c r="DH1367" s="14" t="s">
        <v>198</v>
      </c>
      <c r="DI1367" s="14">
        <f>INDEX(属性投放!$BL$6:$BL$85,(CV1367-2)*20+CZ1367)</f>
        <v>25</v>
      </c>
      <c r="DJ1367" s="14">
        <f>SUMIFS(DI$5:DI1367,$CT$5:$CT1367,"="&amp;$CT1367)</f>
        <v>202</v>
      </c>
      <c r="DK1367" s="14" t="s">
        <v>25</v>
      </c>
      <c r="DL1367" s="14">
        <f>INDEX(属性投放!$BM$6:$BM$85,(CV1367-2)*20+CZ1367)</f>
        <v>350</v>
      </c>
      <c r="DM1367" s="14">
        <f>SUMIFS(DL$5:DL1367,$CT$5:$CT1367,"="&amp;$CT1367)</f>
        <v>2670</v>
      </c>
    </row>
    <row r="1368" spans="97:117" ht="16.5" x14ac:dyDescent="0.2">
      <c r="CS1368" s="13">
        <v>1364</v>
      </c>
      <c r="CT1368" s="13">
        <f t="shared" si="1126"/>
        <v>27</v>
      </c>
      <c r="CU1368" s="13">
        <f t="shared" si="1129"/>
        <v>12</v>
      </c>
      <c r="CV1368" s="14">
        <f t="shared" si="1127"/>
        <v>3</v>
      </c>
      <c r="CW1368" s="14">
        <f t="shared" si="1128"/>
        <v>1102030</v>
      </c>
      <c r="CX1368" s="14" t="str">
        <f>INDEX($O$6:$O$50,CT1368)&amp;"-"&amp;INDEX(属性投放!$AB$7:$AB$50,CZ1368)&amp;"-魂火-"&amp;DB1368</f>
        <v>燕青-叫唤-魂火-1</v>
      </c>
      <c r="CY1368" s="25" t="s">
        <v>142</v>
      </c>
      <c r="CZ1368" s="14">
        <f>INDEX(属性投放!$AM$7:$AM$58,CU1368)</f>
        <v>7</v>
      </c>
      <c r="DA1368" s="14" t="s">
        <v>537</v>
      </c>
      <c r="DB1368" s="14">
        <f>INDEX(属性投放!$AN$7:$AN$58,CU1368)</f>
        <v>1</v>
      </c>
      <c r="DC1368" s="14">
        <f t="shared" si="1130"/>
        <v>12</v>
      </c>
      <c r="DD1368" s="14">
        <f>INDEX(属性投放!$AO$7:$AO$58,DC1368)</f>
        <v>48</v>
      </c>
      <c r="DE1368" s="14" t="s">
        <v>242</v>
      </c>
      <c r="DF1368" s="14">
        <f>INDEX(属性投放!$BK$6:$BK$85,(CV1368-2)*20+CZ1368)</f>
        <v>70</v>
      </c>
      <c r="DG1368" s="14">
        <f>SUMIFS(DF$5:DF1368,$CT$5:$CT1368,"="&amp;$CT1368)</f>
        <v>470</v>
      </c>
      <c r="DH1368" s="14" t="s">
        <v>198</v>
      </c>
      <c r="DI1368" s="14">
        <f>INDEX(属性投放!$BL$6:$BL$85,(CV1368-2)*20+CZ1368)</f>
        <v>35</v>
      </c>
      <c r="DJ1368" s="14">
        <f>SUMIFS(DI$5:DI1368,$CT$5:$CT1368,"="&amp;$CT1368)</f>
        <v>237</v>
      </c>
      <c r="DK1368" s="14" t="s">
        <v>25</v>
      </c>
      <c r="DL1368" s="14">
        <f>INDEX(属性投放!$BM$6:$BM$85,(CV1368-2)*20+CZ1368)</f>
        <v>560</v>
      </c>
      <c r="DM1368" s="14">
        <f>SUMIFS(DL$5:DL1368,$CT$5:$CT1368,"="&amp;$CT1368)</f>
        <v>3230</v>
      </c>
    </row>
    <row r="1369" spans="97:117" ht="16.5" x14ac:dyDescent="0.2">
      <c r="CS1369" s="13">
        <v>1365</v>
      </c>
      <c r="CT1369" s="13">
        <f t="shared" si="1126"/>
        <v>27</v>
      </c>
      <c r="CU1369" s="13">
        <f t="shared" si="1129"/>
        <v>13</v>
      </c>
      <c r="CV1369" s="14">
        <f t="shared" si="1127"/>
        <v>3</v>
      </c>
      <c r="CW1369" s="14">
        <f t="shared" si="1128"/>
        <v>1102030</v>
      </c>
      <c r="CX1369" s="14" t="str">
        <f>INDEX($O$6:$O$50,CT1369)&amp;"-"&amp;INDEX(属性投放!$AB$7:$AB$50,CZ1369)&amp;"-魂火-"&amp;DB1369</f>
        <v>燕青-叫唤-魂火-2</v>
      </c>
      <c r="CY1369" s="25" t="s">
        <v>142</v>
      </c>
      <c r="CZ1369" s="14">
        <f>INDEX(属性投放!$AM$7:$AM$58,CU1369)</f>
        <v>7</v>
      </c>
      <c r="DA1369" s="14" t="s">
        <v>537</v>
      </c>
      <c r="DB1369" s="14">
        <f>INDEX(属性投放!$AN$7:$AN$58,CU1369)</f>
        <v>2</v>
      </c>
      <c r="DC1369" s="14">
        <f t="shared" si="1130"/>
        <v>13</v>
      </c>
      <c r="DD1369" s="14">
        <f>INDEX(属性投放!$AO$7:$AO$58,DC1369)</f>
        <v>50</v>
      </c>
      <c r="DE1369" s="14" t="s">
        <v>242</v>
      </c>
      <c r="DF1369" s="14">
        <f>INDEX(属性投放!$BK$6:$BK$85,(CV1369-2)*20+CZ1369)</f>
        <v>70</v>
      </c>
      <c r="DG1369" s="14">
        <f>SUMIFS(DF$5:DF1369,$CT$5:$CT1369,"="&amp;$CT1369)</f>
        <v>540</v>
      </c>
      <c r="DH1369" s="14" t="s">
        <v>198</v>
      </c>
      <c r="DI1369" s="14">
        <f>INDEX(属性投放!$BL$6:$BL$85,(CV1369-2)*20+CZ1369)</f>
        <v>35</v>
      </c>
      <c r="DJ1369" s="14">
        <f>SUMIFS(DI$5:DI1369,$CT$5:$CT1369,"="&amp;$CT1369)</f>
        <v>272</v>
      </c>
      <c r="DK1369" s="14" t="s">
        <v>25</v>
      </c>
      <c r="DL1369" s="14">
        <f>INDEX(属性投放!$BM$6:$BM$85,(CV1369-2)*20+CZ1369)</f>
        <v>560</v>
      </c>
      <c r="DM1369" s="14">
        <f>SUMIFS(DL$5:DL1369,$CT$5:$CT1369,"="&amp;$CT1369)</f>
        <v>3790</v>
      </c>
    </row>
    <row r="1370" spans="97:117" ht="16.5" x14ac:dyDescent="0.2">
      <c r="CS1370" s="13">
        <v>1366</v>
      </c>
      <c r="CT1370" s="13">
        <f t="shared" si="1126"/>
        <v>27</v>
      </c>
      <c r="CU1370" s="13">
        <f t="shared" si="1129"/>
        <v>14</v>
      </c>
      <c r="CV1370" s="14">
        <f t="shared" si="1127"/>
        <v>3</v>
      </c>
      <c r="CW1370" s="14">
        <f t="shared" si="1128"/>
        <v>1102030</v>
      </c>
      <c r="CX1370" s="14" t="str">
        <f>INDEX($O$6:$O$50,CT1370)&amp;"-"&amp;INDEX(属性投放!$AB$7:$AB$50,CZ1370)&amp;"-魂火-"&amp;DB1370</f>
        <v>燕青-叫唤+1-魂火-1</v>
      </c>
      <c r="CY1370" s="25" t="s">
        <v>142</v>
      </c>
      <c r="CZ1370" s="14">
        <f>INDEX(属性投放!$AM$7:$AM$58,CU1370)</f>
        <v>8</v>
      </c>
      <c r="DA1370" s="14" t="s">
        <v>537</v>
      </c>
      <c r="DB1370" s="14">
        <f>INDEX(属性投放!$AN$7:$AN$58,CU1370)</f>
        <v>1</v>
      </c>
      <c r="DC1370" s="14">
        <f t="shared" si="1130"/>
        <v>14</v>
      </c>
      <c r="DD1370" s="14">
        <f>INDEX(属性投放!$AO$7:$AO$58,DC1370)</f>
        <v>53</v>
      </c>
      <c r="DE1370" s="14" t="s">
        <v>242</v>
      </c>
      <c r="DF1370" s="14">
        <f>INDEX(属性投放!$BK$6:$BK$85,(CV1370-2)*20+CZ1370)</f>
        <v>85</v>
      </c>
      <c r="DG1370" s="14">
        <f>SUMIFS(DF$5:DF1370,$CT$5:$CT1370,"="&amp;$CT1370)</f>
        <v>625</v>
      </c>
      <c r="DH1370" s="14" t="s">
        <v>198</v>
      </c>
      <c r="DI1370" s="14">
        <f>INDEX(属性投放!$BL$6:$BL$85,(CV1370-2)*20+CZ1370)</f>
        <v>43</v>
      </c>
      <c r="DJ1370" s="14">
        <f>SUMIFS(DI$5:DI1370,$CT$5:$CT1370,"="&amp;$CT1370)</f>
        <v>315</v>
      </c>
      <c r="DK1370" s="14" t="s">
        <v>25</v>
      </c>
      <c r="DL1370" s="14">
        <f>INDEX(属性投放!$BM$6:$BM$85,(CV1370-2)*20+CZ1370)</f>
        <v>680</v>
      </c>
      <c r="DM1370" s="14">
        <f>SUMIFS(DL$5:DL1370,$CT$5:$CT1370,"="&amp;$CT1370)</f>
        <v>4470</v>
      </c>
    </row>
    <row r="1371" spans="97:117" ht="16.5" x14ac:dyDescent="0.2">
      <c r="CS1371" s="13">
        <v>1367</v>
      </c>
      <c r="CT1371" s="13">
        <f t="shared" si="1126"/>
        <v>27</v>
      </c>
      <c r="CU1371" s="13">
        <f t="shared" si="1129"/>
        <v>15</v>
      </c>
      <c r="CV1371" s="14">
        <f t="shared" si="1127"/>
        <v>3</v>
      </c>
      <c r="CW1371" s="14">
        <f t="shared" si="1128"/>
        <v>1102030</v>
      </c>
      <c r="CX1371" s="14" t="str">
        <f>INDEX($O$6:$O$50,CT1371)&amp;"-"&amp;INDEX(属性投放!$AB$7:$AB$50,CZ1371)&amp;"-魂火-"&amp;DB1371</f>
        <v>燕青-叫唤+1-魂火-2</v>
      </c>
      <c r="CY1371" s="25" t="s">
        <v>142</v>
      </c>
      <c r="CZ1371" s="14">
        <f>INDEX(属性投放!$AM$7:$AM$58,CU1371)</f>
        <v>8</v>
      </c>
      <c r="DA1371" s="14" t="s">
        <v>537</v>
      </c>
      <c r="DB1371" s="14">
        <f>INDEX(属性投放!$AN$7:$AN$58,CU1371)</f>
        <v>2</v>
      </c>
      <c r="DC1371" s="14">
        <f t="shared" si="1130"/>
        <v>15</v>
      </c>
      <c r="DD1371" s="14">
        <f>INDEX(属性投放!$AO$7:$AO$58,DC1371)</f>
        <v>55</v>
      </c>
      <c r="DE1371" s="14" t="s">
        <v>242</v>
      </c>
      <c r="DF1371" s="14">
        <f>INDEX(属性投放!$BK$6:$BK$85,(CV1371-2)*20+CZ1371)</f>
        <v>85</v>
      </c>
      <c r="DG1371" s="14">
        <f>SUMIFS(DF$5:DF1371,$CT$5:$CT1371,"="&amp;$CT1371)</f>
        <v>710</v>
      </c>
      <c r="DH1371" s="14" t="s">
        <v>198</v>
      </c>
      <c r="DI1371" s="14">
        <f>INDEX(属性投放!$BL$6:$BL$85,(CV1371-2)*20+CZ1371)</f>
        <v>43</v>
      </c>
      <c r="DJ1371" s="14">
        <f>SUMIFS(DI$5:DI1371,$CT$5:$CT1371,"="&amp;$CT1371)</f>
        <v>358</v>
      </c>
      <c r="DK1371" s="14" t="s">
        <v>25</v>
      </c>
      <c r="DL1371" s="14">
        <f>INDEX(属性投放!$BM$6:$BM$85,(CV1371-2)*20+CZ1371)</f>
        <v>680</v>
      </c>
      <c r="DM1371" s="14">
        <f>SUMIFS(DL$5:DL1371,$CT$5:$CT1371,"="&amp;$CT1371)</f>
        <v>5150</v>
      </c>
    </row>
    <row r="1372" spans="97:117" ht="16.5" x14ac:dyDescent="0.2">
      <c r="CS1372" s="13">
        <v>1368</v>
      </c>
      <c r="CT1372" s="13">
        <f t="shared" si="1126"/>
        <v>27</v>
      </c>
      <c r="CU1372" s="13">
        <f t="shared" si="1129"/>
        <v>16</v>
      </c>
      <c r="CV1372" s="14">
        <f t="shared" si="1127"/>
        <v>3</v>
      </c>
      <c r="CW1372" s="14">
        <f t="shared" si="1128"/>
        <v>1102030</v>
      </c>
      <c r="CX1372" s="14" t="str">
        <f>INDEX($O$6:$O$50,CT1372)&amp;"-"&amp;INDEX(属性投放!$AB$7:$AB$50,CZ1372)&amp;"-魂火-"&amp;DB1372</f>
        <v>燕青-叫唤+2-魂火-1</v>
      </c>
      <c r="CY1372" s="25" t="s">
        <v>142</v>
      </c>
      <c r="CZ1372" s="14">
        <f>INDEX(属性投放!$AM$7:$AM$58,CU1372)</f>
        <v>9</v>
      </c>
      <c r="DA1372" s="14" t="s">
        <v>537</v>
      </c>
      <c r="DB1372" s="14">
        <f>INDEX(属性投放!$AN$7:$AN$58,CU1372)</f>
        <v>1</v>
      </c>
      <c r="DC1372" s="14">
        <f t="shared" si="1130"/>
        <v>16</v>
      </c>
      <c r="DD1372" s="14">
        <f>INDEX(属性投放!$AO$7:$AO$58,DC1372)</f>
        <v>58</v>
      </c>
      <c r="DE1372" s="14" t="s">
        <v>242</v>
      </c>
      <c r="DF1372" s="14">
        <f>INDEX(属性投放!$BK$6:$BK$85,(CV1372-2)*20+CZ1372)</f>
        <v>100</v>
      </c>
      <c r="DG1372" s="14">
        <f>SUMIFS(DF$5:DF1372,$CT$5:$CT1372,"="&amp;$CT1372)</f>
        <v>810</v>
      </c>
      <c r="DH1372" s="14" t="s">
        <v>198</v>
      </c>
      <c r="DI1372" s="14">
        <f>INDEX(属性投放!$BL$6:$BL$85,(CV1372-2)*20+CZ1372)</f>
        <v>50</v>
      </c>
      <c r="DJ1372" s="14">
        <f>SUMIFS(DI$5:DI1372,$CT$5:$CT1372,"="&amp;$CT1372)</f>
        <v>408</v>
      </c>
      <c r="DK1372" s="14" t="s">
        <v>25</v>
      </c>
      <c r="DL1372" s="14">
        <f>INDEX(属性投放!$BM$6:$BM$85,(CV1372-2)*20+CZ1372)</f>
        <v>800</v>
      </c>
      <c r="DM1372" s="14">
        <f>SUMIFS(DL$5:DL1372,$CT$5:$CT1372,"="&amp;$CT1372)</f>
        <v>5950</v>
      </c>
    </row>
    <row r="1373" spans="97:117" ht="16.5" x14ac:dyDescent="0.2">
      <c r="CS1373" s="13">
        <v>1369</v>
      </c>
      <c r="CT1373" s="13">
        <f t="shared" si="1126"/>
        <v>27</v>
      </c>
      <c r="CU1373" s="13">
        <f t="shared" si="1129"/>
        <v>17</v>
      </c>
      <c r="CV1373" s="14">
        <f t="shared" si="1127"/>
        <v>3</v>
      </c>
      <c r="CW1373" s="14">
        <f t="shared" si="1128"/>
        <v>1102030</v>
      </c>
      <c r="CX1373" s="14" t="str">
        <f>INDEX($O$6:$O$50,CT1373)&amp;"-"&amp;INDEX(属性投放!$AB$7:$AB$50,CZ1373)&amp;"-魂火-"&amp;DB1373</f>
        <v>燕青-叫唤+2-魂火-2</v>
      </c>
      <c r="CY1373" s="25" t="s">
        <v>142</v>
      </c>
      <c r="CZ1373" s="14">
        <f>INDEX(属性投放!$AM$7:$AM$58,CU1373)</f>
        <v>9</v>
      </c>
      <c r="DA1373" s="14" t="s">
        <v>537</v>
      </c>
      <c r="DB1373" s="14">
        <f>INDEX(属性投放!$AN$7:$AN$58,CU1373)</f>
        <v>2</v>
      </c>
      <c r="DC1373" s="14">
        <f t="shared" si="1130"/>
        <v>17</v>
      </c>
      <c r="DD1373" s="14">
        <f>INDEX(属性投放!$AO$7:$AO$58,DC1373)</f>
        <v>60</v>
      </c>
      <c r="DE1373" s="14" t="s">
        <v>242</v>
      </c>
      <c r="DF1373" s="14">
        <f>INDEX(属性投放!$BK$6:$BK$85,(CV1373-2)*20+CZ1373)</f>
        <v>100</v>
      </c>
      <c r="DG1373" s="14">
        <f>SUMIFS(DF$5:DF1373,$CT$5:$CT1373,"="&amp;$CT1373)</f>
        <v>910</v>
      </c>
      <c r="DH1373" s="14" t="s">
        <v>198</v>
      </c>
      <c r="DI1373" s="14">
        <f>INDEX(属性投放!$BL$6:$BL$85,(CV1373-2)*20+CZ1373)</f>
        <v>50</v>
      </c>
      <c r="DJ1373" s="14">
        <f>SUMIFS(DI$5:DI1373,$CT$5:$CT1373,"="&amp;$CT1373)</f>
        <v>458</v>
      </c>
      <c r="DK1373" s="14" t="s">
        <v>25</v>
      </c>
      <c r="DL1373" s="14">
        <f>INDEX(属性投放!$BM$6:$BM$85,(CV1373-2)*20+CZ1373)</f>
        <v>800</v>
      </c>
      <c r="DM1373" s="14">
        <f>SUMIFS(DL$5:DL1373,$CT$5:$CT1373,"="&amp;$CT1373)</f>
        <v>6750</v>
      </c>
    </row>
    <row r="1374" spans="97:117" ht="16.5" x14ac:dyDescent="0.2">
      <c r="CS1374" s="13">
        <v>1370</v>
      </c>
      <c r="CT1374" s="13">
        <f t="shared" si="1126"/>
        <v>27</v>
      </c>
      <c r="CU1374" s="13">
        <f t="shared" si="1129"/>
        <v>18</v>
      </c>
      <c r="CV1374" s="14">
        <f t="shared" si="1127"/>
        <v>3</v>
      </c>
      <c r="CW1374" s="14">
        <f t="shared" si="1128"/>
        <v>1102030</v>
      </c>
      <c r="CX1374" s="14" t="str">
        <f>INDEX($O$6:$O$50,CT1374)&amp;"-"&amp;INDEX(属性投放!$AB$7:$AB$50,CZ1374)&amp;"-魂火-"&amp;DB1374</f>
        <v>燕青-叫唤+2-魂火-3</v>
      </c>
      <c r="CY1374" s="25" t="s">
        <v>142</v>
      </c>
      <c r="CZ1374" s="14">
        <f>INDEX(属性投放!$AM$7:$AM$58,CU1374)</f>
        <v>9</v>
      </c>
      <c r="DA1374" s="14" t="s">
        <v>537</v>
      </c>
      <c r="DB1374" s="14">
        <f>INDEX(属性投放!$AN$7:$AN$58,CU1374)</f>
        <v>3</v>
      </c>
      <c r="DC1374" s="14">
        <f t="shared" si="1130"/>
        <v>18</v>
      </c>
      <c r="DD1374" s="14">
        <f>INDEX(属性投放!$AO$7:$AO$58,DC1374)</f>
        <v>63</v>
      </c>
      <c r="DE1374" s="14" t="s">
        <v>242</v>
      </c>
      <c r="DF1374" s="14">
        <f>INDEX(属性投放!$BK$6:$BK$85,(CV1374-2)*20+CZ1374)</f>
        <v>100</v>
      </c>
      <c r="DG1374" s="14">
        <f>SUMIFS(DF$5:DF1374,$CT$5:$CT1374,"="&amp;$CT1374)</f>
        <v>1010</v>
      </c>
      <c r="DH1374" s="14" t="s">
        <v>198</v>
      </c>
      <c r="DI1374" s="14">
        <f>INDEX(属性投放!$BL$6:$BL$85,(CV1374-2)*20+CZ1374)</f>
        <v>50</v>
      </c>
      <c r="DJ1374" s="14">
        <f>SUMIFS(DI$5:DI1374,$CT$5:$CT1374,"="&amp;$CT1374)</f>
        <v>508</v>
      </c>
      <c r="DK1374" s="14" t="s">
        <v>25</v>
      </c>
      <c r="DL1374" s="14">
        <f>INDEX(属性投放!$BM$6:$BM$85,(CV1374-2)*20+CZ1374)</f>
        <v>800</v>
      </c>
      <c r="DM1374" s="14">
        <f>SUMIFS(DL$5:DL1374,$CT$5:$CT1374,"="&amp;$CT1374)</f>
        <v>7550</v>
      </c>
    </row>
    <row r="1375" spans="97:117" ht="16.5" x14ac:dyDescent="0.2">
      <c r="CS1375" s="13">
        <v>1371</v>
      </c>
      <c r="CT1375" s="13">
        <f t="shared" si="1126"/>
        <v>27</v>
      </c>
      <c r="CU1375" s="13">
        <f t="shared" si="1129"/>
        <v>19</v>
      </c>
      <c r="CV1375" s="14">
        <f t="shared" si="1127"/>
        <v>3</v>
      </c>
      <c r="CW1375" s="14">
        <f t="shared" si="1128"/>
        <v>1102030</v>
      </c>
      <c r="CX1375" s="14" t="str">
        <f>INDEX($O$6:$O$50,CT1375)&amp;"-"&amp;INDEX(属性投放!$AB$7:$AB$50,CZ1375)&amp;"-魂火-"&amp;DB1375</f>
        <v>燕青-大叫唤-魂火-1</v>
      </c>
      <c r="CY1375" s="25" t="s">
        <v>142</v>
      </c>
      <c r="CZ1375" s="14">
        <f>INDEX(属性投放!$AM$7:$AM$58,CU1375)</f>
        <v>10</v>
      </c>
      <c r="DA1375" s="14" t="s">
        <v>537</v>
      </c>
      <c r="DB1375" s="14">
        <f>INDEX(属性投放!$AN$7:$AN$58,CU1375)</f>
        <v>1</v>
      </c>
      <c r="DC1375" s="14">
        <f t="shared" si="1130"/>
        <v>19</v>
      </c>
      <c r="DD1375" s="14">
        <f>INDEX(属性投放!$AO$7:$AO$58,DC1375)</f>
        <v>65</v>
      </c>
      <c r="DE1375" s="14" t="s">
        <v>242</v>
      </c>
      <c r="DF1375" s="14">
        <f>INDEX(属性投放!$BK$6:$BK$85,(CV1375-2)*20+CZ1375)</f>
        <v>120</v>
      </c>
      <c r="DG1375" s="14">
        <f>SUMIFS(DF$5:DF1375,$CT$5:$CT1375,"="&amp;$CT1375)</f>
        <v>1130</v>
      </c>
      <c r="DH1375" s="14" t="s">
        <v>198</v>
      </c>
      <c r="DI1375" s="14">
        <f>INDEX(属性投放!$BL$6:$BL$85,(CV1375-2)*20+CZ1375)</f>
        <v>60</v>
      </c>
      <c r="DJ1375" s="14">
        <f>SUMIFS(DI$5:DI1375,$CT$5:$CT1375,"="&amp;$CT1375)</f>
        <v>568</v>
      </c>
      <c r="DK1375" s="14" t="s">
        <v>25</v>
      </c>
      <c r="DL1375" s="14">
        <f>INDEX(属性投放!$BM$6:$BM$85,(CV1375-2)*20+CZ1375)</f>
        <v>1080</v>
      </c>
      <c r="DM1375" s="14">
        <f>SUMIFS(DL$5:DL1375,$CT$5:$CT1375,"="&amp;$CT1375)</f>
        <v>8630</v>
      </c>
    </row>
    <row r="1376" spans="97:117" ht="16.5" x14ac:dyDescent="0.2">
      <c r="CS1376" s="13">
        <v>1372</v>
      </c>
      <c r="CT1376" s="13">
        <f t="shared" si="1126"/>
        <v>27</v>
      </c>
      <c r="CU1376" s="13">
        <f t="shared" si="1129"/>
        <v>20</v>
      </c>
      <c r="CV1376" s="14">
        <f t="shared" si="1127"/>
        <v>3</v>
      </c>
      <c r="CW1376" s="14">
        <f t="shared" si="1128"/>
        <v>1102030</v>
      </c>
      <c r="CX1376" s="14" t="str">
        <f>INDEX($O$6:$O$50,CT1376)&amp;"-"&amp;INDEX(属性投放!$AB$7:$AB$50,CZ1376)&amp;"-魂火-"&amp;DB1376</f>
        <v>燕青-大叫唤-魂火-2</v>
      </c>
      <c r="CY1376" s="25" t="s">
        <v>142</v>
      </c>
      <c r="CZ1376" s="14">
        <f>INDEX(属性投放!$AM$7:$AM$58,CU1376)</f>
        <v>10</v>
      </c>
      <c r="DA1376" s="14" t="s">
        <v>537</v>
      </c>
      <c r="DB1376" s="14">
        <f>INDEX(属性投放!$AN$7:$AN$58,CU1376)</f>
        <v>2</v>
      </c>
      <c r="DC1376" s="14">
        <f t="shared" si="1130"/>
        <v>20</v>
      </c>
      <c r="DD1376" s="14">
        <f>INDEX(属性投放!$AO$7:$AO$58,DC1376)</f>
        <v>68</v>
      </c>
      <c r="DE1376" s="14" t="s">
        <v>242</v>
      </c>
      <c r="DF1376" s="14">
        <f>INDEX(属性投放!$BK$6:$BK$85,(CV1376-2)*20+CZ1376)</f>
        <v>120</v>
      </c>
      <c r="DG1376" s="14">
        <f>SUMIFS(DF$5:DF1376,$CT$5:$CT1376,"="&amp;$CT1376)</f>
        <v>1250</v>
      </c>
      <c r="DH1376" s="14" t="s">
        <v>198</v>
      </c>
      <c r="DI1376" s="14">
        <f>INDEX(属性投放!$BL$6:$BL$85,(CV1376-2)*20+CZ1376)</f>
        <v>60</v>
      </c>
      <c r="DJ1376" s="14">
        <f>SUMIFS(DI$5:DI1376,$CT$5:$CT1376,"="&amp;$CT1376)</f>
        <v>628</v>
      </c>
      <c r="DK1376" s="14" t="s">
        <v>25</v>
      </c>
      <c r="DL1376" s="14">
        <f>INDEX(属性投放!$BM$6:$BM$85,(CV1376-2)*20+CZ1376)</f>
        <v>1080</v>
      </c>
      <c r="DM1376" s="14">
        <f>SUMIFS(DL$5:DL1376,$CT$5:$CT1376,"="&amp;$CT1376)</f>
        <v>9710</v>
      </c>
    </row>
    <row r="1377" spans="97:117" ht="16.5" x14ac:dyDescent="0.2">
      <c r="CS1377" s="13">
        <v>1373</v>
      </c>
      <c r="CT1377" s="13">
        <f t="shared" si="1126"/>
        <v>27</v>
      </c>
      <c r="CU1377" s="13">
        <f t="shared" si="1129"/>
        <v>21</v>
      </c>
      <c r="CV1377" s="14">
        <f t="shared" si="1127"/>
        <v>3</v>
      </c>
      <c r="CW1377" s="14">
        <f t="shared" si="1128"/>
        <v>1102030</v>
      </c>
      <c r="CX1377" s="14" t="str">
        <f>INDEX($O$6:$O$50,CT1377)&amp;"-"&amp;INDEX(属性投放!$AB$7:$AB$50,CZ1377)&amp;"-魂火-"&amp;DB1377</f>
        <v>燕青-大叫唤-魂火-3</v>
      </c>
      <c r="CY1377" s="25" t="s">
        <v>142</v>
      </c>
      <c r="CZ1377" s="14">
        <f>INDEX(属性投放!$AM$7:$AM$58,CU1377)</f>
        <v>10</v>
      </c>
      <c r="DA1377" s="14" t="s">
        <v>537</v>
      </c>
      <c r="DB1377" s="14">
        <f>INDEX(属性投放!$AN$7:$AN$58,CU1377)</f>
        <v>3</v>
      </c>
      <c r="DC1377" s="14">
        <f t="shared" si="1130"/>
        <v>21</v>
      </c>
      <c r="DD1377" s="14">
        <f>INDEX(属性投放!$AO$7:$AO$58,DC1377)</f>
        <v>70</v>
      </c>
      <c r="DE1377" s="14" t="s">
        <v>242</v>
      </c>
      <c r="DF1377" s="14">
        <f>INDEX(属性投放!$BK$6:$BK$85,(CV1377-2)*20+CZ1377)</f>
        <v>120</v>
      </c>
      <c r="DG1377" s="14">
        <f>SUMIFS(DF$5:DF1377,$CT$5:$CT1377,"="&amp;$CT1377)</f>
        <v>1370</v>
      </c>
      <c r="DH1377" s="14" t="s">
        <v>198</v>
      </c>
      <c r="DI1377" s="14">
        <f>INDEX(属性投放!$BL$6:$BL$85,(CV1377-2)*20+CZ1377)</f>
        <v>60</v>
      </c>
      <c r="DJ1377" s="14">
        <f>SUMIFS(DI$5:DI1377,$CT$5:$CT1377,"="&amp;$CT1377)</f>
        <v>688</v>
      </c>
      <c r="DK1377" s="14" t="s">
        <v>25</v>
      </c>
      <c r="DL1377" s="14">
        <f>INDEX(属性投放!$BM$6:$BM$85,(CV1377-2)*20+CZ1377)</f>
        <v>1080</v>
      </c>
      <c r="DM1377" s="14">
        <f>SUMIFS(DL$5:DL1377,$CT$5:$CT1377,"="&amp;$CT1377)</f>
        <v>10790</v>
      </c>
    </row>
    <row r="1378" spans="97:117" ht="16.5" x14ac:dyDescent="0.2">
      <c r="CS1378" s="13">
        <v>1374</v>
      </c>
      <c r="CT1378" s="13">
        <f t="shared" si="1126"/>
        <v>27</v>
      </c>
      <c r="CU1378" s="13">
        <f t="shared" si="1129"/>
        <v>22</v>
      </c>
      <c r="CV1378" s="14">
        <f t="shared" si="1127"/>
        <v>3</v>
      </c>
      <c r="CW1378" s="14">
        <f t="shared" si="1128"/>
        <v>1102030</v>
      </c>
      <c r="CX1378" s="14" t="str">
        <f>INDEX($O$6:$O$50,CT1378)&amp;"-"&amp;INDEX(属性投放!$AB$7:$AB$50,CZ1378)&amp;"-魂火-"&amp;DB1378</f>
        <v>燕青-大叫唤+1-魂火-1</v>
      </c>
      <c r="CY1378" s="25" t="s">
        <v>142</v>
      </c>
      <c r="CZ1378" s="14">
        <f>INDEX(属性投放!$AM$7:$AM$58,CU1378)</f>
        <v>11</v>
      </c>
      <c r="DA1378" s="14" t="s">
        <v>537</v>
      </c>
      <c r="DB1378" s="14">
        <f>INDEX(属性投放!$AN$7:$AN$58,CU1378)</f>
        <v>1</v>
      </c>
      <c r="DC1378" s="14">
        <f t="shared" si="1130"/>
        <v>22</v>
      </c>
      <c r="DD1378" s="14">
        <f>INDEX(属性投放!$AO$7:$AO$58,DC1378)</f>
        <v>73</v>
      </c>
      <c r="DE1378" s="14" t="s">
        <v>242</v>
      </c>
      <c r="DF1378" s="14">
        <f>INDEX(属性投放!$BK$6:$BK$85,(CV1378-2)*20+CZ1378)</f>
        <v>150</v>
      </c>
      <c r="DG1378" s="14">
        <f>SUMIFS(DF$5:DF1378,$CT$5:$CT1378,"="&amp;$CT1378)</f>
        <v>1520</v>
      </c>
      <c r="DH1378" s="14" t="s">
        <v>198</v>
      </c>
      <c r="DI1378" s="14">
        <f>INDEX(属性投放!$BL$6:$BL$85,(CV1378-2)*20+CZ1378)</f>
        <v>75</v>
      </c>
      <c r="DJ1378" s="14">
        <f>SUMIFS(DI$5:DI1378,$CT$5:$CT1378,"="&amp;$CT1378)</f>
        <v>763</v>
      </c>
      <c r="DK1378" s="14" t="s">
        <v>25</v>
      </c>
      <c r="DL1378" s="14">
        <f>INDEX(属性投放!$BM$6:$BM$85,(CV1378-2)*20+CZ1378)</f>
        <v>1350</v>
      </c>
      <c r="DM1378" s="14">
        <f>SUMIFS(DL$5:DL1378,$CT$5:$CT1378,"="&amp;$CT1378)</f>
        <v>12140</v>
      </c>
    </row>
    <row r="1379" spans="97:117" ht="16.5" x14ac:dyDescent="0.2">
      <c r="CS1379" s="13">
        <v>1375</v>
      </c>
      <c r="CT1379" s="13">
        <f t="shared" si="1126"/>
        <v>27</v>
      </c>
      <c r="CU1379" s="13">
        <f t="shared" si="1129"/>
        <v>23</v>
      </c>
      <c r="CV1379" s="14">
        <f t="shared" si="1127"/>
        <v>3</v>
      </c>
      <c r="CW1379" s="14">
        <f t="shared" si="1128"/>
        <v>1102030</v>
      </c>
      <c r="CX1379" s="14" t="str">
        <f>INDEX($O$6:$O$50,CT1379)&amp;"-"&amp;INDEX(属性投放!$AB$7:$AB$50,CZ1379)&amp;"-魂火-"&amp;DB1379</f>
        <v>燕青-大叫唤+1-魂火-2</v>
      </c>
      <c r="CY1379" s="25" t="s">
        <v>142</v>
      </c>
      <c r="CZ1379" s="14">
        <f>INDEX(属性投放!$AM$7:$AM$58,CU1379)</f>
        <v>11</v>
      </c>
      <c r="DA1379" s="14" t="s">
        <v>537</v>
      </c>
      <c r="DB1379" s="14">
        <f>INDEX(属性投放!$AN$7:$AN$58,CU1379)</f>
        <v>2</v>
      </c>
      <c r="DC1379" s="14">
        <f t="shared" si="1130"/>
        <v>23</v>
      </c>
      <c r="DD1379" s="14">
        <f>INDEX(属性投放!$AO$7:$AO$58,DC1379)</f>
        <v>75</v>
      </c>
      <c r="DE1379" s="14" t="s">
        <v>242</v>
      </c>
      <c r="DF1379" s="14">
        <f>INDEX(属性投放!$BK$6:$BK$85,(CV1379-2)*20+CZ1379)</f>
        <v>150</v>
      </c>
      <c r="DG1379" s="14">
        <f>SUMIFS(DF$5:DF1379,$CT$5:$CT1379,"="&amp;$CT1379)</f>
        <v>1670</v>
      </c>
      <c r="DH1379" s="14" t="s">
        <v>198</v>
      </c>
      <c r="DI1379" s="14">
        <f>INDEX(属性投放!$BL$6:$BL$85,(CV1379-2)*20+CZ1379)</f>
        <v>75</v>
      </c>
      <c r="DJ1379" s="14">
        <f>SUMIFS(DI$5:DI1379,$CT$5:$CT1379,"="&amp;$CT1379)</f>
        <v>838</v>
      </c>
      <c r="DK1379" s="14" t="s">
        <v>25</v>
      </c>
      <c r="DL1379" s="14">
        <f>INDEX(属性投放!$BM$6:$BM$85,(CV1379-2)*20+CZ1379)</f>
        <v>1350</v>
      </c>
      <c r="DM1379" s="14">
        <f>SUMIFS(DL$5:DL1379,$CT$5:$CT1379,"="&amp;$CT1379)</f>
        <v>13490</v>
      </c>
    </row>
    <row r="1380" spans="97:117" ht="16.5" x14ac:dyDescent="0.2">
      <c r="CS1380" s="13">
        <v>1376</v>
      </c>
      <c r="CT1380" s="13">
        <f t="shared" si="1126"/>
        <v>27</v>
      </c>
      <c r="CU1380" s="13">
        <f t="shared" si="1129"/>
        <v>24</v>
      </c>
      <c r="CV1380" s="14">
        <f t="shared" si="1127"/>
        <v>3</v>
      </c>
      <c r="CW1380" s="14">
        <f t="shared" si="1128"/>
        <v>1102030</v>
      </c>
      <c r="CX1380" s="14" t="str">
        <f>INDEX($O$6:$O$50,CT1380)&amp;"-"&amp;INDEX(属性投放!$AB$7:$AB$50,CZ1380)&amp;"-魂火-"&amp;DB1380</f>
        <v>燕青-大叫唤+1-魂火-3</v>
      </c>
      <c r="CY1380" s="25" t="s">
        <v>142</v>
      </c>
      <c r="CZ1380" s="14">
        <f>INDEX(属性投放!$AM$7:$AM$58,CU1380)</f>
        <v>11</v>
      </c>
      <c r="DA1380" s="14" t="s">
        <v>537</v>
      </c>
      <c r="DB1380" s="14">
        <f>INDEX(属性投放!$AN$7:$AN$58,CU1380)</f>
        <v>3</v>
      </c>
      <c r="DC1380" s="14">
        <f t="shared" si="1130"/>
        <v>24</v>
      </c>
      <c r="DD1380" s="14">
        <f>INDEX(属性投放!$AO$7:$AO$58,DC1380)</f>
        <v>78</v>
      </c>
      <c r="DE1380" s="14" t="s">
        <v>242</v>
      </c>
      <c r="DF1380" s="14">
        <f>INDEX(属性投放!$BK$6:$BK$85,(CV1380-2)*20+CZ1380)</f>
        <v>150</v>
      </c>
      <c r="DG1380" s="14">
        <f>SUMIFS(DF$5:DF1380,$CT$5:$CT1380,"="&amp;$CT1380)</f>
        <v>1820</v>
      </c>
      <c r="DH1380" s="14" t="s">
        <v>198</v>
      </c>
      <c r="DI1380" s="14">
        <f>INDEX(属性投放!$BL$6:$BL$85,(CV1380-2)*20+CZ1380)</f>
        <v>75</v>
      </c>
      <c r="DJ1380" s="14">
        <f>SUMIFS(DI$5:DI1380,$CT$5:$CT1380,"="&amp;$CT1380)</f>
        <v>913</v>
      </c>
      <c r="DK1380" s="14" t="s">
        <v>25</v>
      </c>
      <c r="DL1380" s="14">
        <f>INDEX(属性投放!$BM$6:$BM$85,(CV1380-2)*20+CZ1380)</f>
        <v>1350</v>
      </c>
      <c r="DM1380" s="14">
        <f>SUMIFS(DL$5:DL1380,$CT$5:$CT1380,"="&amp;$CT1380)</f>
        <v>14840</v>
      </c>
    </row>
    <row r="1381" spans="97:117" ht="16.5" x14ac:dyDescent="0.2">
      <c r="CS1381" s="13">
        <v>1377</v>
      </c>
      <c r="CT1381" s="13">
        <f t="shared" si="1126"/>
        <v>27</v>
      </c>
      <c r="CU1381" s="13">
        <f t="shared" si="1129"/>
        <v>25</v>
      </c>
      <c r="CV1381" s="14">
        <f t="shared" si="1127"/>
        <v>3</v>
      </c>
      <c r="CW1381" s="14">
        <f t="shared" si="1128"/>
        <v>1102030</v>
      </c>
      <c r="CX1381" s="14" t="str">
        <f>INDEX($O$6:$O$50,CT1381)&amp;"-"&amp;INDEX(属性投放!$AB$7:$AB$50,CZ1381)&amp;"-魂火-"&amp;DB1381</f>
        <v>燕青-大叫唤+2-魂火-1</v>
      </c>
      <c r="CY1381" s="25" t="s">
        <v>142</v>
      </c>
      <c r="CZ1381" s="14">
        <f>INDEX(属性投放!$AM$7:$AM$58,CU1381)</f>
        <v>12</v>
      </c>
      <c r="DA1381" s="14" t="s">
        <v>537</v>
      </c>
      <c r="DB1381" s="14">
        <f>INDEX(属性投放!$AN$7:$AN$58,CU1381)</f>
        <v>1</v>
      </c>
      <c r="DC1381" s="14">
        <f t="shared" si="1130"/>
        <v>25</v>
      </c>
      <c r="DD1381" s="14">
        <f>INDEX(属性投放!$AO$7:$AO$58,DC1381)</f>
        <v>80</v>
      </c>
      <c r="DE1381" s="14" t="s">
        <v>242</v>
      </c>
      <c r="DF1381" s="14">
        <f>INDEX(属性投放!$BK$6:$BK$85,(CV1381-2)*20+CZ1381)</f>
        <v>200</v>
      </c>
      <c r="DG1381" s="14">
        <f>SUMIFS(DF$5:DF1381,$CT$5:$CT1381,"="&amp;$CT1381)</f>
        <v>2020</v>
      </c>
      <c r="DH1381" s="14" t="s">
        <v>198</v>
      </c>
      <c r="DI1381" s="14">
        <f>INDEX(属性投放!$BL$6:$BL$85,(CV1381-2)*20+CZ1381)</f>
        <v>100</v>
      </c>
      <c r="DJ1381" s="14">
        <f>SUMIFS(DI$5:DI1381,$CT$5:$CT1381,"="&amp;$CT1381)</f>
        <v>1013</v>
      </c>
      <c r="DK1381" s="14" t="s">
        <v>25</v>
      </c>
      <c r="DL1381" s="14">
        <f>INDEX(属性投放!$BM$6:$BM$85,(CV1381-2)*20+CZ1381)</f>
        <v>1800</v>
      </c>
      <c r="DM1381" s="14">
        <f>SUMIFS(DL$5:DL1381,$CT$5:$CT1381,"="&amp;$CT1381)</f>
        <v>16640</v>
      </c>
    </row>
    <row r="1382" spans="97:117" ht="16.5" x14ac:dyDescent="0.2">
      <c r="CS1382" s="13">
        <v>1378</v>
      </c>
      <c r="CT1382" s="13">
        <f t="shared" si="1126"/>
        <v>27</v>
      </c>
      <c r="CU1382" s="13">
        <f t="shared" si="1129"/>
        <v>26</v>
      </c>
      <c r="CV1382" s="14">
        <f t="shared" si="1127"/>
        <v>3</v>
      </c>
      <c r="CW1382" s="14">
        <f t="shared" si="1128"/>
        <v>1102030</v>
      </c>
      <c r="CX1382" s="14" t="str">
        <f>INDEX($O$6:$O$50,CT1382)&amp;"-"&amp;INDEX(属性投放!$AB$7:$AB$50,CZ1382)&amp;"-魂火-"&amp;DB1382</f>
        <v>燕青-大叫唤+2-魂火-2</v>
      </c>
      <c r="CY1382" s="25" t="s">
        <v>142</v>
      </c>
      <c r="CZ1382" s="14">
        <f>INDEX(属性投放!$AM$7:$AM$58,CU1382)</f>
        <v>12</v>
      </c>
      <c r="DA1382" s="14" t="s">
        <v>537</v>
      </c>
      <c r="DB1382" s="14">
        <f>INDEX(属性投放!$AN$7:$AN$58,CU1382)</f>
        <v>2</v>
      </c>
      <c r="DC1382" s="14">
        <f t="shared" si="1130"/>
        <v>26</v>
      </c>
      <c r="DD1382" s="14">
        <f>INDEX(属性投放!$AO$7:$AO$58,DC1382)</f>
        <v>83</v>
      </c>
      <c r="DE1382" s="14" t="s">
        <v>242</v>
      </c>
      <c r="DF1382" s="14">
        <f>INDEX(属性投放!$BK$6:$BK$85,(CV1382-2)*20+CZ1382)</f>
        <v>200</v>
      </c>
      <c r="DG1382" s="14">
        <f>SUMIFS(DF$5:DF1382,$CT$5:$CT1382,"="&amp;$CT1382)</f>
        <v>2220</v>
      </c>
      <c r="DH1382" s="14" t="s">
        <v>198</v>
      </c>
      <c r="DI1382" s="14">
        <f>INDEX(属性投放!$BL$6:$BL$85,(CV1382-2)*20+CZ1382)</f>
        <v>100</v>
      </c>
      <c r="DJ1382" s="14">
        <f>SUMIFS(DI$5:DI1382,$CT$5:$CT1382,"="&amp;$CT1382)</f>
        <v>1113</v>
      </c>
      <c r="DK1382" s="14" t="s">
        <v>25</v>
      </c>
      <c r="DL1382" s="14">
        <f>INDEX(属性投放!$BM$6:$BM$85,(CV1382-2)*20+CZ1382)</f>
        <v>1800</v>
      </c>
      <c r="DM1382" s="14">
        <f>SUMIFS(DL$5:DL1382,$CT$5:$CT1382,"="&amp;$CT1382)</f>
        <v>18440</v>
      </c>
    </row>
    <row r="1383" spans="97:117" ht="16.5" x14ac:dyDescent="0.2">
      <c r="CS1383" s="13">
        <v>1379</v>
      </c>
      <c r="CT1383" s="13">
        <f t="shared" si="1126"/>
        <v>27</v>
      </c>
      <c r="CU1383" s="13">
        <f t="shared" si="1129"/>
        <v>27</v>
      </c>
      <c r="CV1383" s="14">
        <f t="shared" si="1127"/>
        <v>3</v>
      </c>
      <c r="CW1383" s="14">
        <f t="shared" si="1128"/>
        <v>1102030</v>
      </c>
      <c r="CX1383" s="14" t="str">
        <f>INDEX($O$6:$O$50,CT1383)&amp;"-"&amp;INDEX(属性投放!$AB$7:$AB$50,CZ1383)&amp;"-魂火-"&amp;DB1383</f>
        <v>燕青-大叫唤+2-魂火-3</v>
      </c>
      <c r="CY1383" s="25" t="s">
        <v>142</v>
      </c>
      <c r="CZ1383" s="14">
        <f>INDEX(属性投放!$AM$7:$AM$58,CU1383)</f>
        <v>12</v>
      </c>
      <c r="DA1383" s="14" t="s">
        <v>537</v>
      </c>
      <c r="DB1383" s="14">
        <f>INDEX(属性投放!$AN$7:$AN$58,CU1383)</f>
        <v>3</v>
      </c>
      <c r="DC1383" s="14">
        <f t="shared" si="1130"/>
        <v>27</v>
      </c>
      <c r="DD1383" s="14">
        <f>INDEX(属性投放!$AO$7:$AO$58,DC1383)</f>
        <v>85</v>
      </c>
      <c r="DE1383" s="14" t="s">
        <v>242</v>
      </c>
      <c r="DF1383" s="14">
        <f>INDEX(属性投放!$BK$6:$BK$85,(CV1383-2)*20+CZ1383)</f>
        <v>200</v>
      </c>
      <c r="DG1383" s="14">
        <f>SUMIFS(DF$5:DF1383,$CT$5:$CT1383,"="&amp;$CT1383)</f>
        <v>2420</v>
      </c>
      <c r="DH1383" s="14" t="s">
        <v>198</v>
      </c>
      <c r="DI1383" s="14">
        <f>INDEX(属性投放!$BL$6:$BL$85,(CV1383-2)*20+CZ1383)</f>
        <v>100</v>
      </c>
      <c r="DJ1383" s="14">
        <f>SUMIFS(DI$5:DI1383,$CT$5:$CT1383,"="&amp;$CT1383)</f>
        <v>1213</v>
      </c>
      <c r="DK1383" s="14" t="s">
        <v>25</v>
      </c>
      <c r="DL1383" s="14">
        <f>INDEX(属性投放!$BM$6:$BM$85,(CV1383-2)*20+CZ1383)</f>
        <v>1800</v>
      </c>
      <c r="DM1383" s="14">
        <f>SUMIFS(DL$5:DL1383,$CT$5:$CT1383,"="&amp;$CT1383)</f>
        <v>20240</v>
      </c>
    </row>
    <row r="1384" spans="97:117" ht="16.5" x14ac:dyDescent="0.2">
      <c r="CS1384" s="13">
        <v>1380</v>
      </c>
      <c r="CT1384" s="13">
        <f t="shared" si="1126"/>
        <v>27</v>
      </c>
      <c r="CU1384" s="13">
        <f t="shared" si="1129"/>
        <v>28</v>
      </c>
      <c r="CV1384" s="14">
        <f t="shared" si="1127"/>
        <v>3</v>
      </c>
      <c r="CW1384" s="14">
        <f t="shared" si="1128"/>
        <v>1102030</v>
      </c>
      <c r="CX1384" s="14" t="str">
        <f>INDEX($O$6:$O$50,CT1384)&amp;"-"&amp;INDEX(属性投放!$AB$7:$AB$50,CZ1384)&amp;"-魂火-"&amp;DB1384</f>
        <v>燕青-焦热-魂火-1</v>
      </c>
      <c r="CY1384" s="25" t="s">
        <v>142</v>
      </c>
      <c r="CZ1384" s="14">
        <f>INDEX(属性投放!$AM$7:$AM$58,CU1384)</f>
        <v>13</v>
      </c>
      <c r="DA1384" s="14" t="s">
        <v>537</v>
      </c>
      <c r="DB1384" s="14">
        <f>INDEX(属性投放!$AN$7:$AN$58,CU1384)</f>
        <v>1</v>
      </c>
      <c r="DC1384" s="14">
        <f t="shared" si="1130"/>
        <v>28</v>
      </c>
      <c r="DD1384" s="14">
        <f>INDEX(属性投放!$AO$7:$AO$58,DC1384)</f>
        <v>88</v>
      </c>
      <c r="DE1384" s="14" t="s">
        <v>242</v>
      </c>
      <c r="DF1384" s="14">
        <f>INDEX(属性投放!$BK$6:$BK$85,(CV1384-2)*20+CZ1384)</f>
        <v>250</v>
      </c>
      <c r="DG1384" s="14">
        <f>SUMIFS(DF$5:DF1384,$CT$5:$CT1384,"="&amp;$CT1384)</f>
        <v>2670</v>
      </c>
      <c r="DH1384" s="14" t="s">
        <v>198</v>
      </c>
      <c r="DI1384" s="14">
        <f>INDEX(属性投放!$BL$6:$BL$85,(CV1384-2)*20+CZ1384)</f>
        <v>125</v>
      </c>
      <c r="DJ1384" s="14">
        <f>SUMIFS(DI$5:DI1384,$CT$5:$CT1384,"="&amp;$CT1384)</f>
        <v>1338</v>
      </c>
      <c r="DK1384" s="14" t="s">
        <v>25</v>
      </c>
      <c r="DL1384" s="14">
        <f>INDEX(属性投放!$BM$6:$BM$85,(CV1384-2)*20+CZ1384)</f>
        <v>2500</v>
      </c>
      <c r="DM1384" s="14">
        <f>SUMIFS(DL$5:DL1384,$CT$5:$CT1384,"="&amp;$CT1384)</f>
        <v>22740</v>
      </c>
    </row>
    <row r="1385" spans="97:117" ht="16.5" x14ac:dyDescent="0.2">
      <c r="CS1385" s="13">
        <v>1381</v>
      </c>
      <c r="CT1385" s="13">
        <f t="shared" si="1126"/>
        <v>27</v>
      </c>
      <c r="CU1385" s="13">
        <f t="shared" si="1129"/>
        <v>29</v>
      </c>
      <c r="CV1385" s="14">
        <f t="shared" si="1127"/>
        <v>3</v>
      </c>
      <c r="CW1385" s="14">
        <f t="shared" si="1128"/>
        <v>1102030</v>
      </c>
      <c r="CX1385" s="14" t="str">
        <f>INDEX($O$6:$O$50,CT1385)&amp;"-"&amp;INDEX(属性投放!$AB$7:$AB$50,CZ1385)&amp;"-魂火-"&amp;DB1385</f>
        <v>燕青-焦热-魂火-2</v>
      </c>
      <c r="CY1385" s="25" t="s">
        <v>142</v>
      </c>
      <c r="CZ1385" s="14">
        <f>INDEX(属性投放!$AM$7:$AM$58,CU1385)</f>
        <v>13</v>
      </c>
      <c r="DA1385" s="14" t="s">
        <v>537</v>
      </c>
      <c r="DB1385" s="14">
        <f>INDEX(属性投放!$AN$7:$AN$58,CU1385)</f>
        <v>2</v>
      </c>
      <c r="DC1385" s="14">
        <f t="shared" si="1130"/>
        <v>29</v>
      </c>
      <c r="DD1385" s="14">
        <f>INDEX(属性投放!$AO$7:$AO$58,DC1385)</f>
        <v>90</v>
      </c>
      <c r="DE1385" s="14" t="s">
        <v>242</v>
      </c>
      <c r="DF1385" s="14">
        <f>INDEX(属性投放!$BK$6:$BK$85,(CV1385-2)*20+CZ1385)</f>
        <v>250</v>
      </c>
      <c r="DG1385" s="14">
        <f>SUMIFS(DF$5:DF1385,$CT$5:$CT1385,"="&amp;$CT1385)</f>
        <v>2920</v>
      </c>
      <c r="DH1385" s="14" t="s">
        <v>198</v>
      </c>
      <c r="DI1385" s="14">
        <f>INDEX(属性投放!$BL$6:$BL$85,(CV1385-2)*20+CZ1385)</f>
        <v>125</v>
      </c>
      <c r="DJ1385" s="14">
        <f>SUMIFS(DI$5:DI1385,$CT$5:$CT1385,"="&amp;$CT1385)</f>
        <v>1463</v>
      </c>
      <c r="DK1385" s="14" t="s">
        <v>25</v>
      </c>
      <c r="DL1385" s="14">
        <f>INDEX(属性投放!$BM$6:$BM$85,(CV1385-2)*20+CZ1385)</f>
        <v>2500</v>
      </c>
      <c r="DM1385" s="14">
        <f>SUMIFS(DL$5:DL1385,$CT$5:$CT1385,"="&amp;$CT1385)</f>
        <v>25240</v>
      </c>
    </row>
    <row r="1386" spans="97:117" ht="16.5" x14ac:dyDescent="0.2">
      <c r="CS1386" s="13">
        <v>1382</v>
      </c>
      <c r="CT1386" s="13">
        <f t="shared" si="1126"/>
        <v>27</v>
      </c>
      <c r="CU1386" s="13">
        <f t="shared" si="1129"/>
        <v>30</v>
      </c>
      <c r="CV1386" s="14">
        <f t="shared" si="1127"/>
        <v>3</v>
      </c>
      <c r="CW1386" s="14">
        <f t="shared" si="1128"/>
        <v>1102030</v>
      </c>
      <c r="CX1386" s="14" t="str">
        <f>INDEX($O$6:$O$50,CT1386)&amp;"-"&amp;INDEX(属性投放!$AB$7:$AB$50,CZ1386)&amp;"-魂火-"&amp;DB1386</f>
        <v>燕青-焦热-魂火-3</v>
      </c>
      <c r="CY1386" s="25" t="s">
        <v>142</v>
      </c>
      <c r="CZ1386" s="14">
        <f>INDEX(属性投放!$AM$7:$AM$58,CU1386)</f>
        <v>13</v>
      </c>
      <c r="DA1386" s="14" t="s">
        <v>537</v>
      </c>
      <c r="DB1386" s="14">
        <f>INDEX(属性投放!$AN$7:$AN$58,CU1386)</f>
        <v>3</v>
      </c>
      <c r="DC1386" s="14">
        <f t="shared" si="1130"/>
        <v>30</v>
      </c>
      <c r="DD1386" s="14">
        <f>INDEX(属性投放!$AO$7:$AO$58,DC1386)</f>
        <v>93</v>
      </c>
      <c r="DE1386" s="14" t="s">
        <v>242</v>
      </c>
      <c r="DF1386" s="14">
        <f>INDEX(属性投放!$BK$6:$BK$85,(CV1386-2)*20+CZ1386)</f>
        <v>250</v>
      </c>
      <c r="DG1386" s="14">
        <f>SUMIFS(DF$5:DF1386,$CT$5:$CT1386,"="&amp;$CT1386)</f>
        <v>3170</v>
      </c>
      <c r="DH1386" s="14" t="s">
        <v>198</v>
      </c>
      <c r="DI1386" s="14">
        <f>INDEX(属性投放!$BL$6:$BL$85,(CV1386-2)*20+CZ1386)</f>
        <v>125</v>
      </c>
      <c r="DJ1386" s="14">
        <f>SUMIFS(DI$5:DI1386,$CT$5:$CT1386,"="&amp;$CT1386)</f>
        <v>1588</v>
      </c>
      <c r="DK1386" s="14" t="s">
        <v>25</v>
      </c>
      <c r="DL1386" s="14">
        <f>INDEX(属性投放!$BM$6:$BM$85,(CV1386-2)*20+CZ1386)</f>
        <v>2500</v>
      </c>
      <c r="DM1386" s="14">
        <f>SUMIFS(DL$5:DL1386,$CT$5:$CT1386,"="&amp;$CT1386)</f>
        <v>27740</v>
      </c>
    </row>
    <row r="1387" spans="97:117" ht="16.5" x14ac:dyDescent="0.2">
      <c r="CS1387" s="13">
        <v>1383</v>
      </c>
      <c r="CT1387" s="13">
        <f t="shared" si="1126"/>
        <v>27</v>
      </c>
      <c r="CU1387" s="13">
        <f t="shared" si="1129"/>
        <v>31</v>
      </c>
      <c r="CV1387" s="14">
        <f t="shared" si="1127"/>
        <v>3</v>
      </c>
      <c r="CW1387" s="14">
        <f t="shared" si="1128"/>
        <v>1102030</v>
      </c>
      <c r="CX1387" s="14" t="str">
        <f>INDEX($O$6:$O$50,CT1387)&amp;"-"&amp;INDEX(属性投放!$AB$7:$AB$50,CZ1387)&amp;"-魂火-"&amp;DB1387</f>
        <v>燕青-焦热+1-魂火-1</v>
      </c>
      <c r="CY1387" s="25" t="s">
        <v>142</v>
      </c>
      <c r="CZ1387" s="14">
        <f>INDEX(属性投放!$AM$7:$AM$58,CU1387)</f>
        <v>14</v>
      </c>
      <c r="DA1387" s="14" t="s">
        <v>537</v>
      </c>
      <c r="DB1387" s="14">
        <f>INDEX(属性投放!$AN$7:$AN$58,CU1387)</f>
        <v>1</v>
      </c>
      <c r="DC1387" s="14">
        <f t="shared" si="1130"/>
        <v>31</v>
      </c>
      <c r="DD1387" s="14">
        <f>INDEX(属性投放!$AO$7:$AO$58,DC1387)</f>
        <v>95</v>
      </c>
      <c r="DE1387" s="14" t="s">
        <v>242</v>
      </c>
      <c r="DF1387" s="14">
        <f>INDEX(属性投放!$BK$6:$BK$85,(CV1387-2)*20+CZ1387)</f>
        <v>300</v>
      </c>
      <c r="DG1387" s="14">
        <f>SUMIFS(DF$5:DF1387,$CT$5:$CT1387,"="&amp;$CT1387)</f>
        <v>3470</v>
      </c>
      <c r="DH1387" s="14" t="s">
        <v>198</v>
      </c>
      <c r="DI1387" s="14">
        <f>INDEX(属性投放!$BL$6:$BL$85,(CV1387-2)*20+CZ1387)</f>
        <v>150</v>
      </c>
      <c r="DJ1387" s="14">
        <f>SUMIFS(DI$5:DI1387,$CT$5:$CT1387,"="&amp;$CT1387)</f>
        <v>1738</v>
      </c>
      <c r="DK1387" s="14" t="s">
        <v>25</v>
      </c>
      <c r="DL1387" s="14">
        <f>INDEX(属性投放!$BM$6:$BM$85,(CV1387-2)*20+CZ1387)</f>
        <v>3000</v>
      </c>
      <c r="DM1387" s="14">
        <f>SUMIFS(DL$5:DL1387,$CT$5:$CT1387,"="&amp;$CT1387)</f>
        <v>30740</v>
      </c>
    </row>
    <row r="1388" spans="97:117" ht="16.5" x14ac:dyDescent="0.2">
      <c r="CS1388" s="13">
        <v>1384</v>
      </c>
      <c r="CT1388" s="13">
        <f t="shared" si="1126"/>
        <v>27</v>
      </c>
      <c r="CU1388" s="13">
        <f t="shared" si="1129"/>
        <v>32</v>
      </c>
      <c r="CV1388" s="14">
        <f t="shared" si="1127"/>
        <v>3</v>
      </c>
      <c r="CW1388" s="14">
        <f t="shared" si="1128"/>
        <v>1102030</v>
      </c>
      <c r="CX1388" s="14" t="str">
        <f>INDEX($O$6:$O$50,CT1388)&amp;"-"&amp;INDEX(属性投放!$AB$7:$AB$50,CZ1388)&amp;"-魂火-"&amp;DB1388</f>
        <v>燕青-焦热+1-魂火-2</v>
      </c>
      <c r="CY1388" s="25" t="s">
        <v>142</v>
      </c>
      <c r="CZ1388" s="14">
        <f>INDEX(属性投放!$AM$7:$AM$58,CU1388)</f>
        <v>14</v>
      </c>
      <c r="DA1388" s="14" t="s">
        <v>537</v>
      </c>
      <c r="DB1388" s="14">
        <f>INDEX(属性投放!$AN$7:$AN$58,CU1388)</f>
        <v>2</v>
      </c>
      <c r="DC1388" s="14">
        <f t="shared" si="1130"/>
        <v>32</v>
      </c>
      <c r="DD1388" s="14">
        <f>INDEX(属性投放!$AO$7:$AO$58,DC1388)</f>
        <v>98</v>
      </c>
      <c r="DE1388" s="14" t="s">
        <v>242</v>
      </c>
      <c r="DF1388" s="14">
        <f>INDEX(属性投放!$BK$6:$BK$85,(CV1388-2)*20+CZ1388)</f>
        <v>300</v>
      </c>
      <c r="DG1388" s="14">
        <f>SUMIFS(DF$5:DF1388,$CT$5:$CT1388,"="&amp;$CT1388)</f>
        <v>3770</v>
      </c>
      <c r="DH1388" s="14" t="s">
        <v>198</v>
      </c>
      <c r="DI1388" s="14">
        <f>INDEX(属性投放!$BL$6:$BL$85,(CV1388-2)*20+CZ1388)</f>
        <v>150</v>
      </c>
      <c r="DJ1388" s="14">
        <f>SUMIFS(DI$5:DI1388,$CT$5:$CT1388,"="&amp;$CT1388)</f>
        <v>1888</v>
      </c>
      <c r="DK1388" s="14" t="s">
        <v>25</v>
      </c>
      <c r="DL1388" s="14">
        <f>INDEX(属性投放!$BM$6:$BM$85,(CV1388-2)*20+CZ1388)</f>
        <v>3000</v>
      </c>
      <c r="DM1388" s="14">
        <f>SUMIFS(DL$5:DL1388,$CT$5:$CT1388,"="&amp;$CT1388)</f>
        <v>33740</v>
      </c>
    </row>
    <row r="1389" spans="97:117" ht="16.5" x14ac:dyDescent="0.2">
      <c r="CS1389" s="13">
        <v>1385</v>
      </c>
      <c r="CT1389" s="13">
        <f t="shared" si="1126"/>
        <v>27</v>
      </c>
      <c r="CU1389" s="13">
        <f t="shared" si="1129"/>
        <v>33</v>
      </c>
      <c r="CV1389" s="14">
        <f t="shared" si="1127"/>
        <v>3</v>
      </c>
      <c r="CW1389" s="14">
        <f t="shared" si="1128"/>
        <v>1102030</v>
      </c>
      <c r="CX1389" s="14" t="str">
        <f>INDEX($O$6:$O$50,CT1389)&amp;"-"&amp;INDEX(属性投放!$AB$7:$AB$50,CZ1389)&amp;"-魂火-"&amp;DB1389</f>
        <v>燕青-焦热+1-魂火-3</v>
      </c>
      <c r="CY1389" s="25" t="s">
        <v>142</v>
      </c>
      <c r="CZ1389" s="14">
        <f>INDEX(属性投放!$AM$7:$AM$58,CU1389)</f>
        <v>14</v>
      </c>
      <c r="DA1389" s="14" t="s">
        <v>537</v>
      </c>
      <c r="DB1389" s="14">
        <f>INDEX(属性投放!$AN$7:$AN$58,CU1389)</f>
        <v>3</v>
      </c>
      <c r="DC1389" s="14">
        <f t="shared" si="1130"/>
        <v>33</v>
      </c>
      <c r="DD1389" s="14">
        <f>INDEX(属性投放!$AO$7:$AO$58,DC1389)</f>
        <v>100</v>
      </c>
      <c r="DE1389" s="14" t="s">
        <v>242</v>
      </c>
      <c r="DF1389" s="14">
        <f>INDEX(属性投放!$BK$6:$BK$85,(CV1389-2)*20+CZ1389)</f>
        <v>300</v>
      </c>
      <c r="DG1389" s="14">
        <f>SUMIFS(DF$5:DF1389,$CT$5:$CT1389,"="&amp;$CT1389)</f>
        <v>4070</v>
      </c>
      <c r="DH1389" s="14" t="s">
        <v>198</v>
      </c>
      <c r="DI1389" s="14">
        <f>INDEX(属性投放!$BL$6:$BL$85,(CV1389-2)*20+CZ1389)</f>
        <v>150</v>
      </c>
      <c r="DJ1389" s="14">
        <f>SUMIFS(DI$5:DI1389,$CT$5:$CT1389,"="&amp;$CT1389)</f>
        <v>2038</v>
      </c>
      <c r="DK1389" s="14" t="s">
        <v>25</v>
      </c>
      <c r="DL1389" s="14">
        <f>INDEX(属性投放!$BM$6:$BM$85,(CV1389-2)*20+CZ1389)</f>
        <v>3000</v>
      </c>
      <c r="DM1389" s="14">
        <f>SUMIFS(DL$5:DL1389,$CT$5:$CT1389,"="&amp;$CT1389)</f>
        <v>36740</v>
      </c>
    </row>
    <row r="1390" spans="97:117" ht="16.5" x14ac:dyDescent="0.2">
      <c r="CS1390" s="13">
        <v>1386</v>
      </c>
      <c r="CT1390" s="13">
        <f t="shared" si="1126"/>
        <v>27</v>
      </c>
      <c r="CU1390" s="13">
        <f t="shared" si="1129"/>
        <v>34</v>
      </c>
      <c r="CV1390" s="14">
        <f t="shared" si="1127"/>
        <v>3</v>
      </c>
      <c r="CW1390" s="14">
        <f t="shared" si="1128"/>
        <v>1102030</v>
      </c>
      <c r="CX1390" s="14" t="str">
        <f>INDEX($O$6:$O$50,CT1390)&amp;"-"&amp;INDEX(属性投放!$AB$7:$AB$50,CZ1390)&amp;"-魂火-"&amp;DB1390</f>
        <v>燕青-焦热+2-魂火-1</v>
      </c>
      <c r="CY1390" s="25" t="s">
        <v>142</v>
      </c>
      <c r="CZ1390" s="14">
        <f>INDEX(属性投放!$AM$7:$AM$58,CU1390)</f>
        <v>15</v>
      </c>
      <c r="DA1390" s="14" t="s">
        <v>537</v>
      </c>
      <c r="DB1390" s="14">
        <f>INDEX(属性投放!$AN$7:$AN$58,CU1390)</f>
        <v>1</v>
      </c>
      <c r="DC1390" s="14">
        <f t="shared" si="1130"/>
        <v>34</v>
      </c>
      <c r="DD1390" s="14">
        <f>INDEX(属性投放!$AO$7:$AO$58,DC1390)</f>
        <v>103</v>
      </c>
      <c r="DE1390" s="14" t="s">
        <v>242</v>
      </c>
      <c r="DF1390" s="14">
        <f>INDEX(属性投放!$BK$6:$BK$85,(CV1390-2)*20+CZ1390)</f>
        <v>400</v>
      </c>
      <c r="DG1390" s="14">
        <f>SUMIFS(DF$5:DF1390,$CT$5:$CT1390,"="&amp;$CT1390)</f>
        <v>4470</v>
      </c>
      <c r="DH1390" s="14" t="s">
        <v>198</v>
      </c>
      <c r="DI1390" s="14">
        <f>INDEX(属性投放!$BL$6:$BL$85,(CV1390-2)*20+CZ1390)</f>
        <v>200</v>
      </c>
      <c r="DJ1390" s="14">
        <f>SUMIFS(DI$5:DI1390,$CT$5:$CT1390,"="&amp;$CT1390)</f>
        <v>2238</v>
      </c>
      <c r="DK1390" s="14" t="s">
        <v>25</v>
      </c>
      <c r="DL1390" s="14">
        <f>INDEX(属性投放!$BM$6:$BM$85,(CV1390-2)*20+CZ1390)</f>
        <v>4000</v>
      </c>
      <c r="DM1390" s="14">
        <f>SUMIFS(DL$5:DL1390,$CT$5:$CT1390,"="&amp;$CT1390)</f>
        <v>40740</v>
      </c>
    </row>
    <row r="1391" spans="97:117" ht="16.5" x14ac:dyDescent="0.2">
      <c r="CS1391" s="13">
        <v>1387</v>
      </c>
      <c r="CT1391" s="13">
        <f t="shared" si="1126"/>
        <v>27</v>
      </c>
      <c r="CU1391" s="13">
        <f t="shared" si="1129"/>
        <v>35</v>
      </c>
      <c r="CV1391" s="14">
        <f t="shared" si="1127"/>
        <v>3</v>
      </c>
      <c r="CW1391" s="14">
        <f t="shared" si="1128"/>
        <v>1102030</v>
      </c>
      <c r="CX1391" s="14" t="str">
        <f>INDEX($O$6:$O$50,CT1391)&amp;"-"&amp;INDEX(属性投放!$AB$7:$AB$50,CZ1391)&amp;"-魂火-"&amp;DB1391</f>
        <v>燕青-焦热+2-魂火-2</v>
      </c>
      <c r="CY1391" s="25" t="s">
        <v>142</v>
      </c>
      <c r="CZ1391" s="14">
        <f>INDEX(属性投放!$AM$7:$AM$58,CU1391)</f>
        <v>15</v>
      </c>
      <c r="DA1391" s="14" t="s">
        <v>537</v>
      </c>
      <c r="DB1391" s="14">
        <f>INDEX(属性投放!$AN$7:$AN$58,CU1391)</f>
        <v>2</v>
      </c>
      <c r="DC1391" s="14">
        <f t="shared" si="1130"/>
        <v>35</v>
      </c>
      <c r="DD1391" s="14">
        <f>INDEX(属性投放!$AO$7:$AO$58,DC1391)</f>
        <v>105</v>
      </c>
      <c r="DE1391" s="14" t="s">
        <v>242</v>
      </c>
      <c r="DF1391" s="14">
        <f>INDEX(属性投放!$BK$6:$BK$85,(CV1391-2)*20+CZ1391)</f>
        <v>400</v>
      </c>
      <c r="DG1391" s="14">
        <f>SUMIFS(DF$5:DF1391,$CT$5:$CT1391,"="&amp;$CT1391)</f>
        <v>4870</v>
      </c>
      <c r="DH1391" s="14" t="s">
        <v>198</v>
      </c>
      <c r="DI1391" s="14">
        <f>INDEX(属性投放!$BL$6:$BL$85,(CV1391-2)*20+CZ1391)</f>
        <v>200</v>
      </c>
      <c r="DJ1391" s="14">
        <f>SUMIFS(DI$5:DI1391,$CT$5:$CT1391,"="&amp;$CT1391)</f>
        <v>2438</v>
      </c>
      <c r="DK1391" s="14" t="s">
        <v>25</v>
      </c>
      <c r="DL1391" s="14">
        <f>INDEX(属性投放!$BM$6:$BM$85,(CV1391-2)*20+CZ1391)</f>
        <v>4000</v>
      </c>
      <c r="DM1391" s="14">
        <f>SUMIFS(DL$5:DL1391,$CT$5:$CT1391,"="&amp;$CT1391)</f>
        <v>44740</v>
      </c>
    </row>
    <row r="1392" spans="97:117" ht="16.5" x14ac:dyDescent="0.2">
      <c r="CS1392" s="13">
        <v>1388</v>
      </c>
      <c r="CT1392" s="13">
        <f t="shared" si="1126"/>
        <v>27</v>
      </c>
      <c r="CU1392" s="13">
        <f t="shared" si="1129"/>
        <v>36</v>
      </c>
      <c r="CV1392" s="14">
        <f t="shared" si="1127"/>
        <v>3</v>
      </c>
      <c r="CW1392" s="14">
        <f t="shared" si="1128"/>
        <v>1102030</v>
      </c>
      <c r="CX1392" s="14" t="str">
        <f>INDEX($O$6:$O$50,CT1392)&amp;"-"&amp;INDEX(属性投放!$AB$7:$AB$50,CZ1392)&amp;"-魂火-"&amp;DB1392</f>
        <v>燕青-焦热+2-魂火-3</v>
      </c>
      <c r="CY1392" s="25" t="s">
        <v>142</v>
      </c>
      <c r="CZ1392" s="14">
        <f>INDEX(属性投放!$AM$7:$AM$58,CU1392)</f>
        <v>15</v>
      </c>
      <c r="DA1392" s="14" t="s">
        <v>537</v>
      </c>
      <c r="DB1392" s="14">
        <f>INDEX(属性投放!$AN$7:$AN$58,CU1392)</f>
        <v>3</v>
      </c>
      <c r="DC1392" s="14">
        <f t="shared" si="1130"/>
        <v>36</v>
      </c>
      <c r="DD1392" s="14">
        <f>INDEX(属性投放!$AO$7:$AO$58,DC1392)</f>
        <v>108</v>
      </c>
      <c r="DE1392" s="14" t="s">
        <v>242</v>
      </c>
      <c r="DF1392" s="14">
        <f>INDEX(属性投放!$BK$6:$BK$85,(CV1392-2)*20+CZ1392)</f>
        <v>400</v>
      </c>
      <c r="DG1392" s="14">
        <f>SUMIFS(DF$5:DF1392,$CT$5:$CT1392,"="&amp;$CT1392)</f>
        <v>5270</v>
      </c>
      <c r="DH1392" s="14" t="s">
        <v>198</v>
      </c>
      <c r="DI1392" s="14">
        <f>INDEX(属性投放!$BL$6:$BL$85,(CV1392-2)*20+CZ1392)</f>
        <v>200</v>
      </c>
      <c r="DJ1392" s="14">
        <f>SUMIFS(DI$5:DI1392,$CT$5:$CT1392,"="&amp;$CT1392)</f>
        <v>2638</v>
      </c>
      <c r="DK1392" s="14" t="s">
        <v>25</v>
      </c>
      <c r="DL1392" s="14">
        <f>INDEX(属性投放!$BM$6:$BM$85,(CV1392-2)*20+CZ1392)</f>
        <v>4000</v>
      </c>
      <c r="DM1392" s="14">
        <f>SUMIFS(DL$5:DL1392,$CT$5:$CT1392,"="&amp;$CT1392)</f>
        <v>48740</v>
      </c>
    </row>
    <row r="1393" spans="97:117" ht="16.5" x14ac:dyDescent="0.2">
      <c r="CS1393" s="13">
        <v>1389</v>
      </c>
      <c r="CT1393" s="13">
        <f t="shared" si="1126"/>
        <v>27</v>
      </c>
      <c r="CU1393" s="13">
        <f t="shared" si="1129"/>
        <v>37</v>
      </c>
      <c r="CV1393" s="14">
        <f t="shared" si="1127"/>
        <v>3</v>
      </c>
      <c r="CW1393" s="14">
        <f t="shared" si="1128"/>
        <v>1102030</v>
      </c>
      <c r="CX1393" s="14" t="str">
        <f>INDEX($O$6:$O$50,CT1393)&amp;"-"&amp;INDEX(属性投放!$AB$7:$AB$50,CZ1393)&amp;"-魂火-"&amp;DB1393</f>
        <v>燕青-大焦热-魂火-1</v>
      </c>
      <c r="CY1393" s="25" t="s">
        <v>142</v>
      </c>
      <c r="CZ1393" s="14">
        <f>INDEX(属性投放!$AM$7:$AM$58,CU1393)</f>
        <v>16</v>
      </c>
      <c r="DA1393" s="14" t="s">
        <v>537</v>
      </c>
      <c r="DB1393" s="14">
        <f>INDEX(属性投放!$AN$7:$AN$58,CU1393)</f>
        <v>1</v>
      </c>
      <c r="DC1393" s="14">
        <f t="shared" si="1130"/>
        <v>37</v>
      </c>
      <c r="DD1393" s="14">
        <f>INDEX(属性投放!$AO$7:$AO$58,DC1393)</f>
        <v>110</v>
      </c>
      <c r="DE1393" s="14" t="s">
        <v>242</v>
      </c>
      <c r="DF1393" s="14">
        <f>INDEX(属性投放!$BK$6:$BK$85,(CV1393-2)*20+CZ1393)</f>
        <v>500</v>
      </c>
      <c r="DG1393" s="14">
        <f>SUMIFS(DF$5:DF1393,$CT$5:$CT1393,"="&amp;$CT1393)</f>
        <v>5770</v>
      </c>
      <c r="DH1393" s="14" t="s">
        <v>198</v>
      </c>
      <c r="DI1393" s="14">
        <f>INDEX(属性投放!$BL$6:$BL$85,(CV1393-2)*20+CZ1393)</f>
        <v>250</v>
      </c>
      <c r="DJ1393" s="14">
        <f>SUMIFS(DI$5:DI1393,$CT$5:$CT1393,"="&amp;$CT1393)</f>
        <v>2888</v>
      </c>
      <c r="DK1393" s="14" t="s">
        <v>25</v>
      </c>
      <c r="DL1393" s="14">
        <f>INDEX(属性投放!$BM$6:$BM$85,(CV1393-2)*20+CZ1393)</f>
        <v>5000</v>
      </c>
      <c r="DM1393" s="14">
        <f>SUMIFS(DL$5:DL1393,$CT$5:$CT1393,"="&amp;$CT1393)</f>
        <v>53740</v>
      </c>
    </row>
    <row r="1394" spans="97:117" ht="16.5" x14ac:dyDescent="0.2">
      <c r="CS1394" s="13">
        <v>1390</v>
      </c>
      <c r="CT1394" s="13">
        <f t="shared" si="1126"/>
        <v>27</v>
      </c>
      <c r="CU1394" s="13">
        <f t="shared" si="1129"/>
        <v>38</v>
      </c>
      <c r="CV1394" s="14">
        <f t="shared" si="1127"/>
        <v>3</v>
      </c>
      <c r="CW1394" s="14">
        <f t="shared" si="1128"/>
        <v>1102030</v>
      </c>
      <c r="CX1394" s="14" t="str">
        <f>INDEX($O$6:$O$50,CT1394)&amp;"-"&amp;INDEX(属性投放!$AB$7:$AB$50,CZ1394)&amp;"-魂火-"&amp;DB1394</f>
        <v>燕青-大焦热-魂火-2</v>
      </c>
      <c r="CY1394" s="25" t="s">
        <v>142</v>
      </c>
      <c r="CZ1394" s="14">
        <f>INDEX(属性投放!$AM$7:$AM$58,CU1394)</f>
        <v>16</v>
      </c>
      <c r="DA1394" s="14" t="s">
        <v>537</v>
      </c>
      <c r="DB1394" s="14">
        <f>INDEX(属性投放!$AN$7:$AN$58,CU1394)</f>
        <v>2</v>
      </c>
      <c r="DC1394" s="14">
        <f t="shared" si="1130"/>
        <v>38</v>
      </c>
      <c r="DD1394" s="14">
        <f>INDEX(属性投放!$AO$7:$AO$58,DC1394)</f>
        <v>113</v>
      </c>
      <c r="DE1394" s="14" t="s">
        <v>242</v>
      </c>
      <c r="DF1394" s="14">
        <f>INDEX(属性投放!$BK$6:$BK$85,(CV1394-2)*20+CZ1394)</f>
        <v>500</v>
      </c>
      <c r="DG1394" s="14">
        <f>SUMIFS(DF$5:DF1394,$CT$5:$CT1394,"="&amp;$CT1394)</f>
        <v>6270</v>
      </c>
      <c r="DH1394" s="14" t="s">
        <v>198</v>
      </c>
      <c r="DI1394" s="14">
        <f>INDEX(属性投放!$BL$6:$BL$85,(CV1394-2)*20+CZ1394)</f>
        <v>250</v>
      </c>
      <c r="DJ1394" s="14">
        <f>SUMIFS(DI$5:DI1394,$CT$5:$CT1394,"="&amp;$CT1394)</f>
        <v>3138</v>
      </c>
      <c r="DK1394" s="14" t="s">
        <v>25</v>
      </c>
      <c r="DL1394" s="14">
        <f>INDEX(属性投放!$BM$6:$BM$85,(CV1394-2)*20+CZ1394)</f>
        <v>5000</v>
      </c>
      <c r="DM1394" s="14">
        <f>SUMIFS(DL$5:DL1394,$CT$5:$CT1394,"="&amp;$CT1394)</f>
        <v>58740</v>
      </c>
    </row>
    <row r="1395" spans="97:117" ht="16.5" x14ac:dyDescent="0.2">
      <c r="CS1395" s="13">
        <v>1391</v>
      </c>
      <c r="CT1395" s="13">
        <f t="shared" si="1126"/>
        <v>27</v>
      </c>
      <c r="CU1395" s="13">
        <f t="shared" si="1129"/>
        <v>39</v>
      </c>
      <c r="CV1395" s="14">
        <f t="shared" si="1127"/>
        <v>3</v>
      </c>
      <c r="CW1395" s="14">
        <f t="shared" si="1128"/>
        <v>1102030</v>
      </c>
      <c r="CX1395" s="14" t="str">
        <f>INDEX($O$6:$O$50,CT1395)&amp;"-"&amp;INDEX(属性投放!$AB$7:$AB$50,CZ1395)&amp;"-魂火-"&amp;DB1395</f>
        <v>燕青-大焦热-魂火-3</v>
      </c>
      <c r="CY1395" s="25" t="s">
        <v>142</v>
      </c>
      <c r="CZ1395" s="14">
        <f>INDEX(属性投放!$AM$7:$AM$58,CU1395)</f>
        <v>16</v>
      </c>
      <c r="DA1395" s="14" t="s">
        <v>537</v>
      </c>
      <c r="DB1395" s="14">
        <f>INDEX(属性投放!$AN$7:$AN$58,CU1395)</f>
        <v>3</v>
      </c>
      <c r="DC1395" s="14">
        <f t="shared" si="1130"/>
        <v>39</v>
      </c>
      <c r="DD1395" s="14">
        <f>INDEX(属性投放!$AO$7:$AO$58,DC1395)</f>
        <v>115</v>
      </c>
      <c r="DE1395" s="14" t="s">
        <v>242</v>
      </c>
      <c r="DF1395" s="14">
        <f>INDEX(属性投放!$BK$6:$BK$85,(CV1395-2)*20+CZ1395)</f>
        <v>500</v>
      </c>
      <c r="DG1395" s="14">
        <f>SUMIFS(DF$5:DF1395,$CT$5:$CT1395,"="&amp;$CT1395)</f>
        <v>6770</v>
      </c>
      <c r="DH1395" s="14" t="s">
        <v>198</v>
      </c>
      <c r="DI1395" s="14">
        <f>INDEX(属性投放!$BL$6:$BL$85,(CV1395-2)*20+CZ1395)</f>
        <v>250</v>
      </c>
      <c r="DJ1395" s="14">
        <f>SUMIFS(DI$5:DI1395,$CT$5:$CT1395,"="&amp;$CT1395)</f>
        <v>3388</v>
      </c>
      <c r="DK1395" s="14" t="s">
        <v>25</v>
      </c>
      <c r="DL1395" s="14">
        <f>INDEX(属性投放!$BM$6:$BM$85,(CV1395-2)*20+CZ1395)</f>
        <v>5000</v>
      </c>
      <c r="DM1395" s="14">
        <f>SUMIFS(DL$5:DL1395,$CT$5:$CT1395,"="&amp;$CT1395)</f>
        <v>63740</v>
      </c>
    </row>
    <row r="1396" spans="97:117" ht="16.5" x14ac:dyDescent="0.2">
      <c r="CS1396" s="13">
        <v>1392</v>
      </c>
      <c r="CT1396" s="13">
        <f t="shared" si="1126"/>
        <v>27</v>
      </c>
      <c r="CU1396" s="13">
        <f t="shared" si="1129"/>
        <v>40</v>
      </c>
      <c r="CV1396" s="14">
        <f t="shared" si="1127"/>
        <v>3</v>
      </c>
      <c r="CW1396" s="14">
        <f t="shared" si="1128"/>
        <v>1102030</v>
      </c>
      <c r="CX1396" s="14" t="str">
        <f>INDEX($O$6:$O$50,CT1396)&amp;"-"&amp;INDEX(属性投放!$AB$7:$AB$50,CZ1396)&amp;"-魂火-"&amp;DB1396</f>
        <v>燕青-大焦热+1-魂火-1</v>
      </c>
      <c r="CY1396" s="25" t="s">
        <v>142</v>
      </c>
      <c r="CZ1396" s="14">
        <f>INDEX(属性投放!$AM$7:$AM$58,CU1396)</f>
        <v>17</v>
      </c>
      <c r="DA1396" s="14" t="s">
        <v>537</v>
      </c>
      <c r="DB1396" s="14">
        <f>INDEX(属性投放!$AN$7:$AN$58,CU1396)</f>
        <v>1</v>
      </c>
      <c r="DC1396" s="14">
        <f t="shared" si="1130"/>
        <v>40</v>
      </c>
      <c r="DD1396" s="14">
        <f>INDEX(属性投放!$AO$7:$AO$58,DC1396)</f>
        <v>118</v>
      </c>
      <c r="DE1396" s="14" t="s">
        <v>242</v>
      </c>
      <c r="DF1396" s="14">
        <f>INDEX(属性投放!$BK$6:$BK$85,(CV1396-2)*20+CZ1396)</f>
        <v>600</v>
      </c>
      <c r="DG1396" s="14">
        <f>SUMIFS(DF$5:DF1396,$CT$5:$CT1396,"="&amp;$CT1396)</f>
        <v>7370</v>
      </c>
      <c r="DH1396" s="14" t="s">
        <v>198</v>
      </c>
      <c r="DI1396" s="14">
        <f>INDEX(属性投放!$BL$6:$BL$85,(CV1396-2)*20+CZ1396)</f>
        <v>300</v>
      </c>
      <c r="DJ1396" s="14">
        <f>SUMIFS(DI$5:DI1396,$CT$5:$CT1396,"="&amp;$CT1396)</f>
        <v>3688</v>
      </c>
      <c r="DK1396" s="14" t="s">
        <v>25</v>
      </c>
      <c r="DL1396" s="14">
        <f>INDEX(属性投放!$BM$6:$BM$85,(CV1396-2)*20+CZ1396)</f>
        <v>6000</v>
      </c>
      <c r="DM1396" s="14">
        <f>SUMIFS(DL$5:DL1396,$CT$5:$CT1396,"="&amp;$CT1396)</f>
        <v>69740</v>
      </c>
    </row>
    <row r="1397" spans="97:117" ht="16.5" x14ac:dyDescent="0.2">
      <c r="CS1397" s="13">
        <v>1393</v>
      </c>
      <c r="CT1397" s="13">
        <f t="shared" si="1126"/>
        <v>27</v>
      </c>
      <c r="CU1397" s="13">
        <f t="shared" si="1129"/>
        <v>41</v>
      </c>
      <c r="CV1397" s="14">
        <f t="shared" si="1127"/>
        <v>3</v>
      </c>
      <c r="CW1397" s="14">
        <f t="shared" si="1128"/>
        <v>1102030</v>
      </c>
      <c r="CX1397" s="14" t="str">
        <f>INDEX($O$6:$O$50,CT1397)&amp;"-"&amp;INDEX(属性投放!$AB$7:$AB$50,CZ1397)&amp;"-魂火-"&amp;DB1397</f>
        <v>燕青-大焦热+1-魂火-2</v>
      </c>
      <c r="CY1397" s="25" t="s">
        <v>142</v>
      </c>
      <c r="CZ1397" s="14">
        <f>INDEX(属性投放!$AM$7:$AM$58,CU1397)</f>
        <v>17</v>
      </c>
      <c r="DA1397" s="14" t="s">
        <v>537</v>
      </c>
      <c r="DB1397" s="14">
        <f>INDEX(属性投放!$AN$7:$AN$58,CU1397)</f>
        <v>2</v>
      </c>
      <c r="DC1397" s="14">
        <f t="shared" si="1130"/>
        <v>41</v>
      </c>
      <c r="DD1397" s="14">
        <f>INDEX(属性投放!$AO$7:$AO$58,DC1397)</f>
        <v>120</v>
      </c>
      <c r="DE1397" s="14" t="s">
        <v>242</v>
      </c>
      <c r="DF1397" s="14">
        <f>INDEX(属性投放!$BK$6:$BK$85,(CV1397-2)*20+CZ1397)</f>
        <v>600</v>
      </c>
      <c r="DG1397" s="14">
        <f>SUMIFS(DF$5:DF1397,$CT$5:$CT1397,"="&amp;$CT1397)</f>
        <v>7970</v>
      </c>
      <c r="DH1397" s="14" t="s">
        <v>198</v>
      </c>
      <c r="DI1397" s="14">
        <f>INDEX(属性投放!$BL$6:$BL$85,(CV1397-2)*20+CZ1397)</f>
        <v>300</v>
      </c>
      <c r="DJ1397" s="14">
        <f>SUMIFS(DI$5:DI1397,$CT$5:$CT1397,"="&amp;$CT1397)</f>
        <v>3988</v>
      </c>
      <c r="DK1397" s="14" t="s">
        <v>25</v>
      </c>
      <c r="DL1397" s="14">
        <f>INDEX(属性投放!$BM$6:$BM$85,(CV1397-2)*20+CZ1397)</f>
        <v>6000</v>
      </c>
      <c r="DM1397" s="14">
        <f>SUMIFS(DL$5:DL1397,$CT$5:$CT1397,"="&amp;$CT1397)</f>
        <v>75740</v>
      </c>
    </row>
    <row r="1398" spans="97:117" ht="16.5" x14ac:dyDescent="0.2">
      <c r="CS1398" s="13">
        <v>1394</v>
      </c>
      <c r="CT1398" s="13">
        <f t="shared" si="1126"/>
        <v>27</v>
      </c>
      <c r="CU1398" s="13">
        <f t="shared" si="1129"/>
        <v>42</v>
      </c>
      <c r="CV1398" s="14">
        <f t="shared" si="1127"/>
        <v>3</v>
      </c>
      <c r="CW1398" s="14">
        <f t="shared" si="1128"/>
        <v>1102030</v>
      </c>
      <c r="CX1398" s="14" t="str">
        <f>INDEX($O$6:$O$50,CT1398)&amp;"-"&amp;INDEX(属性投放!$AB$7:$AB$50,CZ1398)&amp;"-魂火-"&amp;DB1398</f>
        <v>燕青-大焦热+1-魂火-3</v>
      </c>
      <c r="CY1398" s="25" t="s">
        <v>142</v>
      </c>
      <c r="CZ1398" s="14">
        <f>INDEX(属性投放!$AM$7:$AM$58,CU1398)</f>
        <v>17</v>
      </c>
      <c r="DA1398" s="14" t="s">
        <v>537</v>
      </c>
      <c r="DB1398" s="14">
        <f>INDEX(属性投放!$AN$7:$AN$58,CU1398)</f>
        <v>3</v>
      </c>
      <c r="DC1398" s="14">
        <f t="shared" si="1130"/>
        <v>42</v>
      </c>
      <c r="DD1398" s="14">
        <f>INDEX(属性投放!$AO$7:$AO$58,DC1398)</f>
        <v>123</v>
      </c>
      <c r="DE1398" s="14" t="s">
        <v>242</v>
      </c>
      <c r="DF1398" s="14">
        <f>INDEX(属性投放!$BK$6:$BK$85,(CV1398-2)*20+CZ1398)</f>
        <v>600</v>
      </c>
      <c r="DG1398" s="14">
        <f>SUMIFS(DF$5:DF1398,$CT$5:$CT1398,"="&amp;$CT1398)</f>
        <v>8570</v>
      </c>
      <c r="DH1398" s="14" t="s">
        <v>198</v>
      </c>
      <c r="DI1398" s="14">
        <f>INDEX(属性投放!$BL$6:$BL$85,(CV1398-2)*20+CZ1398)</f>
        <v>300</v>
      </c>
      <c r="DJ1398" s="14">
        <f>SUMIFS(DI$5:DI1398,$CT$5:$CT1398,"="&amp;$CT1398)</f>
        <v>4288</v>
      </c>
      <c r="DK1398" s="14" t="s">
        <v>25</v>
      </c>
      <c r="DL1398" s="14">
        <f>INDEX(属性投放!$BM$6:$BM$85,(CV1398-2)*20+CZ1398)</f>
        <v>6000</v>
      </c>
      <c r="DM1398" s="14">
        <f>SUMIFS(DL$5:DL1398,$CT$5:$CT1398,"="&amp;$CT1398)</f>
        <v>81740</v>
      </c>
    </row>
    <row r="1399" spans="97:117" ht="16.5" x14ac:dyDescent="0.2">
      <c r="CS1399" s="13">
        <v>1395</v>
      </c>
      <c r="CT1399" s="13">
        <f t="shared" si="1126"/>
        <v>27</v>
      </c>
      <c r="CU1399" s="13">
        <f t="shared" si="1129"/>
        <v>43</v>
      </c>
      <c r="CV1399" s="14">
        <f t="shared" si="1127"/>
        <v>3</v>
      </c>
      <c r="CW1399" s="14">
        <f t="shared" si="1128"/>
        <v>1102030</v>
      </c>
      <c r="CX1399" s="14" t="str">
        <f>INDEX($O$6:$O$50,CT1399)&amp;"-"&amp;INDEX(属性投放!$AB$7:$AB$50,CZ1399)&amp;"-魂火-"&amp;DB1399</f>
        <v>燕青-大焦热+2-魂火-1</v>
      </c>
      <c r="CY1399" s="25" t="s">
        <v>142</v>
      </c>
      <c r="CZ1399" s="14">
        <f>INDEX(属性投放!$AM$7:$AM$58,CU1399)</f>
        <v>18</v>
      </c>
      <c r="DA1399" s="14" t="s">
        <v>537</v>
      </c>
      <c r="DB1399" s="14">
        <f>INDEX(属性投放!$AN$7:$AN$58,CU1399)</f>
        <v>1</v>
      </c>
      <c r="DC1399" s="14">
        <f t="shared" si="1130"/>
        <v>43</v>
      </c>
      <c r="DD1399" s="14">
        <f>INDEX(属性投放!$AO$7:$AO$58,DC1399)</f>
        <v>125</v>
      </c>
      <c r="DE1399" s="14" t="s">
        <v>242</v>
      </c>
      <c r="DF1399" s="14">
        <f>INDEX(属性投放!$BK$6:$BK$85,(CV1399-2)*20+CZ1399)</f>
        <v>700</v>
      </c>
      <c r="DG1399" s="14">
        <f>SUMIFS(DF$5:DF1399,$CT$5:$CT1399,"="&amp;$CT1399)</f>
        <v>9270</v>
      </c>
      <c r="DH1399" s="14" t="s">
        <v>198</v>
      </c>
      <c r="DI1399" s="14">
        <f>INDEX(属性投放!$BL$6:$BL$85,(CV1399-2)*20+CZ1399)</f>
        <v>350</v>
      </c>
      <c r="DJ1399" s="14">
        <f>SUMIFS(DI$5:DI1399,$CT$5:$CT1399,"="&amp;$CT1399)</f>
        <v>4638</v>
      </c>
      <c r="DK1399" s="14" t="s">
        <v>25</v>
      </c>
      <c r="DL1399" s="14">
        <f>INDEX(属性投放!$BM$6:$BM$85,(CV1399-2)*20+CZ1399)</f>
        <v>7000</v>
      </c>
      <c r="DM1399" s="14">
        <f>SUMIFS(DL$5:DL1399,$CT$5:$CT1399,"="&amp;$CT1399)</f>
        <v>88740</v>
      </c>
    </row>
    <row r="1400" spans="97:117" ht="16.5" x14ac:dyDescent="0.2">
      <c r="CS1400" s="13">
        <v>1396</v>
      </c>
      <c r="CT1400" s="13">
        <f t="shared" si="1126"/>
        <v>27</v>
      </c>
      <c r="CU1400" s="13">
        <f t="shared" si="1129"/>
        <v>44</v>
      </c>
      <c r="CV1400" s="14">
        <f t="shared" si="1127"/>
        <v>3</v>
      </c>
      <c r="CW1400" s="14">
        <f t="shared" si="1128"/>
        <v>1102030</v>
      </c>
      <c r="CX1400" s="14" t="str">
        <f>INDEX($O$6:$O$50,CT1400)&amp;"-"&amp;INDEX(属性投放!$AB$7:$AB$50,CZ1400)&amp;"-魂火-"&amp;DB1400</f>
        <v>燕青-大焦热+2-魂火-2</v>
      </c>
      <c r="CY1400" s="25" t="s">
        <v>142</v>
      </c>
      <c r="CZ1400" s="14">
        <f>INDEX(属性投放!$AM$7:$AM$58,CU1400)</f>
        <v>18</v>
      </c>
      <c r="DA1400" s="14" t="s">
        <v>537</v>
      </c>
      <c r="DB1400" s="14">
        <f>INDEX(属性投放!$AN$7:$AN$58,CU1400)</f>
        <v>2</v>
      </c>
      <c r="DC1400" s="14">
        <f t="shared" si="1130"/>
        <v>44</v>
      </c>
      <c r="DD1400" s="14">
        <f>INDEX(属性投放!$AO$7:$AO$58,DC1400)</f>
        <v>128</v>
      </c>
      <c r="DE1400" s="14" t="s">
        <v>242</v>
      </c>
      <c r="DF1400" s="14">
        <f>INDEX(属性投放!$BK$6:$BK$85,(CV1400-2)*20+CZ1400)</f>
        <v>700</v>
      </c>
      <c r="DG1400" s="14">
        <f>SUMIFS(DF$5:DF1400,$CT$5:$CT1400,"="&amp;$CT1400)</f>
        <v>9970</v>
      </c>
      <c r="DH1400" s="14" t="s">
        <v>198</v>
      </c>
      <c r="DI1400" s="14">
        <f>INDEX(属性投放!$BL$6:$BL$85,(CV1400-2)*20+CZ1400)</f>
        <v>350</v>
      </c>
      <c r="DJ1400" s="14">
        <f>SUMIFS(DI$5:DI1400,$CT$5:$CT1400,"="&amp;$CT1400)</f>
        <v>4988</v>
      </c>
      <c r="DK1400" s="14" t="s">
        <v>25</v>
      </c>
      <c r="DL1400" s="14">
        <f>INDEX(属性投放!$BM$6:$BM$85,(CV1400-2)*20+CZ1400)</f>
        <v>7000</v>
      </c>
      <c r="DM1400" s="14">
        <f>SUMIFS(DL$5:DL1400,$CT$5:$CT1400,"="&amp;$CT1400)</f>
        <v>95740</v>
      </c>
    </row>
    <row r="1401" spans="97:117" ht="16.5" x14ac:dyDescent="0.2">
      <c r="CS1401" s="13">
        <v>1397</v>
      </c>
      <c r="CT1401" s="13">
        <f t="shared" si="1126"/>
        <v>27</v>
      </c>
      <c r="CU1401" s="13">
        <f t="shared" si="1129"/>
        <v>45</v>
      </c>
      <c r="CV1401" s="14">
        <f t="shared" si="1127"/>
        <v>3</v>
      </c>
      <c r="CW1401" s="14">
        <f t="shared" si="1128"/>
        <v>1102030</v>
      </c>
      <c r="CX1401" s="14" t="str">
        <f>INDEX($O$6:$O$50,CT1401)&amp;"-"&amp;INDEX(属性投放!$AB$7:$AB$50,CZ1401)&amp;"-魂火-"&amp;DB1401</f>
        <v>燕青-大焦热+2-魂火-3</v>
      </c>
      <c r="CY1401" s="25" t="s">
        <v>142</v>
      </c>
      <c r="CZ1401" s="14">
        <f>INDEX(属性投放!$AM$7:$AM$58,CU1401)</f>
        <v>18</v>
      </c>
      <c r="DA1401" s="14" t="s">
        <v>537</v>
      </c>
      <c r="DB1401" s="14">
        <f>INDEX(属性投放!$AN$7:$AN$58,CU1401)</f>
        <v>3</v>
      </c>
      <c r="DC1401" s="14">
        <f t="shared" si="1130"/>
        <v>45</v>
      </c>
      <c r="DD1401" s="14">
        <f>INDEX(属性投放!$AO$7:$AO$58,DC1401)</f>
        <v>130</v>
      </c>
      <c r="DE1401" s="14" t="s">
        <v>242</v>
      </c>
      <c r="DF1401" s="14">
        <f>INDEX(属性投放!$BK$6:$BK$85,(CV1401-2)*20+CZ1401)</f>
        <v>700</v>
      </c>
      <c r="DG1401" s="14">
        <f>SUMIFS(DF$5:DF1401,$CT$5:$CT1401,"="&amp;$CT1401)</f>
        <v>10670</v>
      </c>
      <c r="DH1401" s="14" t="s">
        <v>198</v>
      </c>
      <c r="DI1401" s="14">
        <f>INDEX(属性投放!$BL$6:$BL$85,(CV1401-2)*20+CZ1401)</f>
        <v>350</v>
      </c>
      <c r="DJ1401" s="14">
        <f>SUMIFS(DI$5:DI1401,$CT$5:$CT1401,"="&amp;$CT1401)</f>
        <v>5338</v>
      </c>
      <c r="DK1401" s="14" t="s">
        <v>25</v>
      </c>
      <c r="DL1401" s="14">
        <f>INDEX(属性投放!$BM$6:$BM$85,(CV1401-2)*20+CZ1401)</f>
        <v>7000</v>
      </c>
      <c r="DM1401" s="14">
        <f>SUMIFS(DL$5:DL1401,$CT$5:$CT1401,"="&amp;$CT1401)</f>
        <v>102740</v>
      </c>
    </row>
    <row r="1402" spans="97:117" ht="16.5" x14ac:dyDescent="0.2">
      <c r="CS1402" s="13">
        <v>1398</v>
      </c>
      <c r="CT1402" s="13">
        <f t="shared" si="1126"/>
        <v>27</v>
      </c>
      <c r="CU1402" s="13">
        <f t="shared" si="1129"/>
        <v>46</v>
      </c>
      <c r="CV1402" s="14">
        <f t="shared" si="1127"/>
        <v>3</v>
      </c>
      <c r="CW1402" s="14">
        <f t="shared" si="1128"/>
        <v>1102030</v>
      </c>
      <c r="CX1402" s="14" t="str">
        <f>INDEX($O$6:$O$50,CT1402)&amp;"-"&amp;INDEX(属性投放!$AB$7:$AB$50,CZ1402)&amp;"-魂火-"&amp;DB1402</f>
        <v>燕青-无间-魂火-1</v>
      </c>
      <c r="CY1402" s="25" t="s">
        <v>142</v>
      </c>
      <c r="CZ1402" s="14">
        <f>INDEX(属性投放!$AM$7:$AM$58,CU1402)</f>
        <v>19</v>
      </c>
      <c r="DA1402" s="14" t="s">
        <v>537</v>
      </c>
      <c r="DB1402" s="14">
        <f>INDEX(属性投放!$AN$7:$AN$58,CU1402)</f>
        <v>1</v>
      </c>
      <c r="DC1402" s="14">
        <f t="shared" si="1130"/>
        <v>46</v>
      </c>
      <c r="DD1402" s="14">
        <f>INDEX(属性投放!$AO$7:$AO$58,DC1402)</f>
        <v>133</v>
      </c>
      <c r="DE1402" s="14" t="s">
        <v>242</v>
      </c>
      <c r="DF1402" s="14">
        <f>INDEX(属性投放!$BK$6:$BK$85,(CV1402-2)*20+CZ1402)</f>
        <v>900</v>
      </c>
      <c r="DG1402" s="14">
        <f>SUMIFS(DF$5:DF1402,$CT$5:$CT1402,"="&amp;$CT1402)</f>
        <v>11570</v>
      </c>
      <c r="DH1402" s="14" t="s">
        <v>198</v>
      </c>
      <c r="DI1402" s="14">
        <f>INDEX(属性投放!$BL$6:$BL$85,(CV1402-2)*20+CZ1402)</f>
        <v>450</v>
      </c>
      <c r="DJ1402" s="14">
        <f>SUMIFS(DI$5:DI1402,$CT$5:$CT1402,"="&amp;$CT1402)</f>
        <v>5788</v>
      </c>
      <c r="DK1402" s="14" t="s">
        <v>25</v>
      </c>
      <c r="DL1402" s="14">
        <f>INDEX(属性投放!$BM$6:$BM$85,(CV1402-2)*20+CZ1402)</f>
        <v>9000</v>
      </c>
      <c r="DM1402" s="14">
        <f>SUMIFS(DL$5:DL1402,$CT$5:$CT1402,"="&amp;$CT1402)</f>
        <v>111740</v>
      </c>
    </row>
    <row r="1403" spans="97:117" ht="16.5" x14ac:dyDescent="0.2">
      <c r="CS1403" s="13">
        <v>1399</v>
      </c>
      <c r="CT1403" s="13">
        <f t="shared" si="1126"/>
        <v>27</v>
      </c>
      <c r="CU1403" s="13">
        <f t="shared" si="1129"/>
        <v>47</v>
      </c>
      <c r="CV1403" s="14">
        <f t="shared" si="1127"/>
        <v>3</v>
      </c>
      <c r="CW1403" s="14">
        <f t="shared" si="1128"/>
        <v>1102030</v>
      </c>
      <c r="CX1403" s="14" t="str">
        <f>INDEX($O$6:$O$50,CT1403)&amp;"-"&amp;INDEX(属性投放!$AB$7:$AB$50,CZ1403)&amp;"-魂火-"&amp;DB1403</f>
        <v>燕青-无间-魂火-2</v>
      </c>
      <c r="CY1403" s="25" t="s">
        <v>142</v>
      </c>
      <c r="CZ1403" s="14">
        <f>INDEX(属性投放!$AM$7:$AM$58,CU1403)</f>
        <v>19</v>
      </c>
      <c r="DA1403" s="14" t="s">
        <v>537</v>
      </c>
      <c r="DB1403" s="14">
        <f>INDEX(属性投放!$AN$7:$AN$58,CU1403)</f>
        <v>2</v>
      </c>
      <c r="DC1403" s="14">
        <f t="shared" si="1130"/>
        <v>47</v>
      </c>
      <c r="DD1403" s="14">
        <f>INDEX(属性投放!$AO$7:$AO$58,DC1403)</f>
        <v>135</v>
      </c>
      <c r="DE1403" s="14" t="s">
        <v>242</v>
      </c>
      <c r="DF1403" s="14">
        <f>INDEX(属性投放!$BK$6:$BK$85,(CV1403-2)*20+CZ1403)</f>
        <v>900</v>
      </c>
      <c r="DG1403" s="14">
        <f>SUMIFS(DF$5:DF1403,$CT$5:$CT1403,"="&amp;$CT1403)</f>
        <v>12470</v>
      </c>
      <c r="DH1403" s="14" t="s">
        <v>198</v>
      </c>
      <c r="DI1403" s="14">
        <f>INDEX(属性投放!$BL$6:$BL$85,(CV1403-2)*20+CZ1403)</f>
        <v>450</v>
      </c>
      <c r="DJ1403" s="14">
        <f>SUMIFS(DI$5:DI1403,$CT$5:$CT1403,"="&amp;$CT1403)</f>
        <v>6238</v>
      </c>
      <c r="DK1403" s="14" t="s">
        <v>25</v>
      </c>
      <c r="DL1403" s="14">
        <f>INDEX(属性投放!$BM$6:$BM$85,(CV1403-2)*20+CZ1403)</f>
        <v>9000</v>
      </c>
      <c r="DM1403" s="14">
        <f>SUMIFS(DL$5:DL1403,$CT$5:$CT1403,"="&amp;$CT1403)</f>
        <v>120740</v>
      </c>
    </row>
    <row r="1404" spans="97:117" ht="16.5" x14ac:dyDescent="0.2">
      <c r="CS1404" s="13">
        <v>1400</v>
      </c>
      <c r="CT1404" s="13">
        <f t="shared" si="1126"/>
        <v>27</v>
      </c>
      <c r="CU1404" s="13">
        <f t="shared" si="1129"/>
        <v>48</v>
      </c>
      <c r="CV1404" s="14">
        <f t="shared" si="1127"/>
        <v>3</v>
      </c>
      <c r="CW1404" s="14">
        <f t="shared" si="1128"/>
        <v>1102030</v>
      </c>
      <c r="CX1404" s="14" t="str">
        <f>INDEX($O$6:$O$50,CT1404)&amp;"-"&amp;INDEX(属性投放!$AB$7:$AB$50,CZ1404)&amp;"-魂火-"&amp;DB1404</f>
        <v>燕青-无间-魂火-3</v>
      </c>
      <c r="CY1404" s="25" t="s">
        <v>142</v>
      </c>
      <c r="CZ1404" s="14">
        <f>INDEX(属性投放!$AM$7:$AM$58,CU1404)</f>
        <v>19</v>
      </c>
      <c r="DA1404" s="14" t="s">
        <v>537</v>
      </c>
      <c r="DB1404" s="14">
        <f>INDEX(属性投放!$AN$7:$AN$58,CU1404)</f>
        <v>3</v>
      </c>
      <c r="DC1404" s="14">
        <f t="shared" si="1130"/>
        <v>48</v>
      </c>
      <c r="DD1404" s="14">
        <f>INDEX(属性投放!$AO$7:$AO$58,DC1404)</f>
        <v>138</v>
      </c>
      <c r="DE1404" s="14" t="s">
        <v>242</v>
      </c>
      <c r="DF1404" s="14">
        <f>INDEX(属性投放!$BK$6:$BK$85,(CV1404-2)*20+CZ1404)</f>
        <v>900</v>
      </c>
      <c r="DG1404" s="14">
        <f>SUMIFS(DF$5:DF1404,$CT$5:$CT1404,"="&amp;$CT1404)</f>
        <v>13370</v>
      </c>
      <c r="DH1404" s="14" t="s">
        <v>198</v>
      </c>
      <c r="DI1404" s="14">
        <f>INDEX(属性投放!$BL$6:$BL$85,(CV1404-2)*20+CZ1404)</f>
        <v>450</v>
      </c>
      <c r="DJ1404" s="14">
        <f>SUMIFS(DI$5:DI1404,$CT$5:$CT1404,"="&amp;$CT1404)</f>
        <v>6688</v>
      </c>
      <c r="DK1404" s="14" t="s">
        <v>25</v>
      </c>
      <c r="DL1404" s="14">
        <f>INDEX(属性投放!$BM$6:$BM$85,(CV1404-2)*20+CZ1404)</f>
        <v>9000</v>
      </c>
      <c r="DM1404" s="14">
        <f>SUMIFS(DL$5:DL1404,$CT$5:$CT1404,"="&amp;$CT1404)</f>
        <v>129740</v>
      </c>
    </row>
    <row r="1405" spans="97:117" ht="16.5" x14ac:dyDescent="0.2">
      <c r="CS1405" s="13">
        <v>1401</v>
      </c>
      <c r="CT1405" s="13">
        <f t="shared" si="1126"/>
        <v>27</v>
      </c>
      <c r="CU1405" s="13">
        <f t="shared" si="1129"/>
        <v>49</v>
      </c>
      <c r="CV1405" s="14">
        <f t="shared" si="1127"/>
        <v>3</v>
      </c>
      <c r="CW1405" s="14">
        <f t="shared" si="1128"/>
        <v>1102030</v>
      </c>
      <c r="CX1405" s="14" t="str">
        <f>INDEX($O$6:$O$50,CT1405)&amp;"-"&amp;INDEX(属性投放!$AB$7:$AB$50,CZ1405)&amp;"-魂火-"&amp;DB1405</f>
        <v>燕青-无间+1-魂火-1</v>
      </c>
      <c r="CY1405" s="25" t="s">
        <v>142</v>
      </c>
      <c r="CZ1405" s="14">
        <f>INDEX(属性投放!$AM$7:$AM$58,CU1405)</f>
        <v>20</v>
      </c>
      <c r="DA1405" s="14" t="s">
        <v>537</v>
      </c>
      <c r="DB1405" s="14">
        <f>INDEX(属性投放!$AN$7:$AN$58,CU1405)</f>
        <v>1</v>
      </c>
      <c r="DC1405" s="14">
        <f t="shared" si="1130"/>
        <v>49</v>
      </c>
      <c r="DD1405" s="14">
        <f>INDEX(属性投放!$AO$7:$AO$58,DC1405)</f>
        <v>140</v>
      </c>
      <c r="DE1405" s="14" t="s">
        <v>242</v>
      </c>
      <c r="DF1405" s="14">
        <f>INDEX(属性投放!$BK$6:$BK$85,(CV1405-2)*20+CZ1405)</f>
        <v>1000</v>
      </c>
      <c r="DG1405" s="14">
        <f>SUMIFS(DF$5:DF1405,$CT$5:$CT1405,"="&amp;$CT1405)</f>
        <v>14370</v>
      </c>
      <c r="DH1405" s="14" t="s">
        <v>198</v>
      </c>
      <c r="DI1405" s="14">
        <f>INDEX(属性投放!$BL$6:$BL$85,(CV1405-2)*20+CZ1405)</f>
        <v>500</v>
      </c>
      <c r="DJ1405" s="14">
        <f>SUMIFS(DI$5:DI1405,$CT$5:$CT1405,"="&amp;$CT1405)</f>
        <v>7188</v>
      </c>
      <c r="DK1405" s="14" t="s">
        <v>25</v>
      </c>
      <c r="DL1405" s="14">
        <f>INDEX(属性投放!$BM$6:$BM$85,(CV1405-2)*20+CZ1405)</f>
        <v>10000</v>
      </c>
      <c r="DM1405" s="14">
        <f>SUMIFS(DL$5:DL1405,$CT$5:$CT1405,"="&amp;$CT1405)</f>
        <v>139740</v>
      </c>
    </row>
    <row r="1406" spans="97:117" ht="16.5" x14ac:dyDescent="0.2">
      <c r="CS1406" s="13">
        <v>1402</v>
      </c>
      <c r="CT1406" s="13">
        <f t="shared" si="1126"/>
        <v>27</v>
      </c>
      <c r="CU1406" s="13">
        <f t="shared" si="1129"/>
        <v>50</v>
      </c>
      <c r="CV1406" s="14">
        <f t="shared" si="1127"/>
        <v>3</v>
      </c>
      <c r="CW1406" s="14">
        <f t="shared" si="1128"/>
        <v>1102030</v>
      </c>
      <c r="CX1406" s="14" t="str">
        <f>INDEX($O$6:$O$50,CT1406)&amp;"-"&amp;INDEX(属性投放!$AB$7:$AB$50,CZ1406)&amp;"-魂火-"&amp;DB1406</f>
        <v>燕青-无间+1-魂火-2</v>
      </c>
      <c r="CY1406" s="25" t="s">
        <v>142</v>
      </c>
      <c r="CZ1406" s="14">
        <f>INDEX(属性投放!$AM$7:$AM$58,CU1406)</f>
        <v>20</v>
      </c>
      <c r="DA1406" s="14" t="s">
        <v>537</v>
      </c>
      <c r="DB1406" s="14">
        <f>INDEX(属性投放!$AN$7:$AN$58,CU1406)</f>
        <v>2</v>
      </c>
      <c r="DC1406" s="14">
        <f t="shared" si="1130"/>
        <v>50</v>
      </c>
      <c r="DD1406" s="14">
        <f>INDEX(属性投放!$AO$7:$AO$58,DC1406)</f>
        <v>143</v>
      </c>
      <c r="DE1406" s="14" t="s">
        <v>242</v>
      </c>
      <c r="DF1406" s="14">
        <f>INDEX(属性投放!$BK$6:$BK$85,(CV1406-2)*20+CZ1406)</f>
        <v>1000</v>
      </c>
      <c r="DG1406" s="14">
        <f>SUMIFS(DF$5:DF1406,$CT$5:$CT1406,"="&amp;$CT1406)</f>
        <v>15370</v>
      </c>
      <c r="DH1406" s="14" t="s">
        <v>198</v>
      </c>
      <c r="DI1406" s="14">
        <f>INDEX(属性投放!$BL$6:$BL$85,(CV1406-2)*20+CZ1406)</f>
        <v>500</v>
      </c>
      <c r="DJ1406" s="14">
        <f>SUMIFS(DI$5:DI1406,$CT$5:$CT1406,"="&amp;$CT1406)</f>
        <v>7688</v>
      </c>
      <c r="DK1406" s="14" t="s">
        <v>25</v>
      </c>
      <c r="DL1406" s="14">
        <f>INDEX(属性投放!$BM$6:$BM$85,(CV1406-2)*20+CZ1406)</f>
        <v>10000</v>
      </c>
      <c r="DM1406" s="14">
        <f>SUMIFS(DL$5:DL1406,$CT$5:$CT1406,"="&amp;$CT1406)</f>
        <v>149740</v>
      </c>
    </row>
    <row r="1407" spans="97:117" ht="16.5" x14ac:dyDescent="0.2">
      <c r="CS1407" s="13">
        <v>1403</v>
      </c>
      <c r="CT1407" s="13">
        <f t="shared" si="1126"/>
        <v>27</v>
      </c>
      <c r="CU1407" s="13">
        <f t="shared" si="1129"/>
        <v>51</v>
      </c>
      <c r="CV1407" s="14">
        <f t="shared" si="1127"/>
        <v>3</v>
      </c>
      <c r="CW1407" s="14">
        <f t="shared" si="1128"/>
        <v>1102030</v>
      </c>
      <c r="CX1407" s="14" t="str">
        <f>INDEX($O$6:$O$50,CT1407)&amp;"-"&amp;INDEX(属性投放!$AB$7:$AB$50,CZ1407)&amp;"-魂火-"&amp;DB1407</f>
        <v>燕青-无间+1-魂火-3</v>
      </c>
      <c r="CY1407" s="25" t="s">
        <v>142</v>
      </c>
      <c r="CZ1407" s="14">
        <f>INDEX(属性投放!$AM$7:$AM$58,CU1407)</f>
        <v>20</v>
      </c>
      <c r="DA1407" s="14" t="s">
        <v>537</v>
      </c>
      <c r="DB1407" s="14">
        <f>INDEX(属性投放!$AN$7:$AN$58,CU1407)</f>
        <v>3</v>
      </c>
      <c r="DC1407" s="14">
        <f t="shared" si="1130"/>
        <v>51</v>
      </c>
      <c r="DD1407" s="14">
        <f>INDEX(属性投放!$AO$7:$AO$58,DC1407)</f>
        <v>145</v>
      </c>
      <c r="DE1407" s="14" t="s">
        <v>242</v>
      </c>
      <c r="DF1407" s="14">
        <f>INDEX(属性投放!$BK$6:$BK$85,(CV1407-2)*20+CZ1407)</f>
        <v>1000</v>
      </c>
      <c r="DG1407" s="14">
        <f>SUMIFS(DF$5:DF1407,$CT$5:$CT1407,"="&amp;$CT1407)</f>
        <v>16370</v>
      </c>
      <c r="DH1407" s="14" t="s">
        <v>198</v>
      </c>
      <c r="DI1407" s="14">
        <f>INDEX(属性投放!$BL$6:$BL$85,(CV1407-2)*20+CZ1407)</f>
        <v>500</v>
      </c>
      <c r="DJ1407" s="14">
        <f>SUMIFS(DI$5:DI1407,$CT$5:$CT1407,"="&amp;$CT1407)</f>
        <v>8188</v>
      </c>
      <c r="DK1407" s="14" t="s">
        <v>25</v>
      </c>
      <c r="DL1407" s="14">
        <f>INDEX(属性投放!$BM$6:$BM$85,(CV1407-2)*20+CZ1407)</f>
        <v>10000</v>
      </c>
      <c r="DM1407" s="14">
        <f>SUMIFS(DL$5:DL1407,$CT$5:$CT1407,"="&amp;$CT1407)</f>
        <v>159740</v>
      </c>
    </row>
    <row r="1408" spans="97:117" ht="16.5" x14ac:dyDescent="0.2">
      <c r="CS1408" s="13">
        <v>1404</v>
      </c>
      <c r="CT1408" s="13">
        <f t="shared" si="1126"/>
        <v>27</v>
      </c>
      <c r="CU1408" s="13">
        <f t="shared" si="1129"/>
        <v>52</v>
      </c>
      <c r="CV1408" s="14">
        <f t="shared" si="1127"/>
        <v>3</v>
      </c>
      <c r="CW1408" s="14">
        <f t="shared" si="1128"/>
        <v>1102030</v>
      </c>
      <c r="CX1408" s="14" t="str">
        <f>INDEX($O$6:$O$50,CT1408)&amp;"-"&amp;INDEX(属性投放!$AB$7:$AB$50,CZ1408)&amp;"-魂火-"&amp;DB1408</f>
        <v>燕青-无间+1-魂火-4</v>
      </c>
      <c r="CY1408" s="25" t="s">
        <v>142</v>
      </c>
      <c r="CZ1408" s="14">
        <f>INDEX(属性投放!$AM$7:$AM$58,CU1408)</f>
        <v>20</v>
      </c>
      <c r="DA1408" s="14" t="s">
        <v>537</v>
      </c>
      <c r="DB1408" s="14">
        <f>INDEX(属性投放!$AN$7:$AN$58,CU1408)</f>
        <v>4</v>
      </c>
      <c r="DC1408" s="14">
        <f t="shared" si="1130"/>
        <v>52</v>
      </c>
      <c r="DD1408" s="14">
        <f>INDEX(属性投放!$AO$7:$AO$58,DC1408)</f>
        <v>148</v>
      </c>
      <c r="DE1408" s="14" t="s">
        <v>242</v>
      </c>
      <c r="DF1408" s="14">
        <f>INDEX(属性投放!$BK$6:$BK$85,(CV1408-2)*20+CZ1408)</f>
        <v>1000</v>
      </c>
      <c r="DG1408" s="14">
        <f>SUMIFS(DF$5:DF1408,$CT$5:$CT1408,"="&amp;$CT1408)</f>
        <v>17370</v>
      </c>
      <c r="DH1408" s="14" t="s">
        <v>198</v>
      </c>
      <c r="DI1408" s="14">
        <f>INDEX(属性投放!$BL$6:$BL$85,(CV1408-2)*20+CZ1408)</f>
        <v>500</v>
      </c>
      <c r="DJ1408" s="14">
        <f>SUMIFS(DI$5:DI1408,$CT$5:$CT1408,"="&amp;$CT1408)</f>
        <v>8688</v>
      </c>
      <c r="DK1408" s="14" t="s">
        <v>25</v>
      </c>
      <c r="DL1408" s="14">
        <f>INDEX(属性投放!$BM$6:$BM$85,(CV1408-2)*20+CZ1408)</f>
        <v>10000</v>
      </c>
      <c r="DM1408" s="14">
        <f>SUMIFS(DL$5:DL1408,$CT$5:$CT1408,"="&amp;$CT1408)</f>
        <v>169740</v>
      </c>
    </row>
    <row r="1409" spans="97:117" ht="16.5" x14ac:dyDescent="0.2">
      <c r="CS1409" s="13">
        <v>1405</v>
      </c>
      <c r="CT1409" s="13">
        <f t="shared" si="1126"/>
        <v>28</v>
      </c>
      <c r="CU1409" s="13">
        <f t="shared" si="1129"/>
        <v>1</v>
      </c>
      <c r="CV1409" s="14">
        <f t="shared" si="1127"/>
        <v>4</v>
      </c>
      <c r="CW1409" s="14">
        <f t="shared" si="1128"/>
        <v>1102031</v>
      </c>
      <c r="CX1409" s="14" t="str">
        <f>INDEX($O$6:$O$50,CT1409)&amp;"-"&amp;INDEX(属性投放!$AB$7:$AB$50,CZ1409)&amp;"-魂火-"&amp;DB1409</f>
        <v>秦琼-等活-魂火-1</v>
      </c>
      <c r="CY1409" s="25" t="s">
        <v>142</v>
      </c>
      <c r="CZ1409" s="14">
        <f>INDEX(属性投放!$AM$7:$AM$58,CU1409)</f>
        <v>1</v>
      </c>
      <c r="DA1409" s="14" t="s">
        <v>537</v>
      </c>
      <c r="DB1409" s="14">
        <f>INDEX(属性投放!$AN$7:$AN$58,CU1409)</f>
        <v>1</v>
      </c>
      <c r="DC1409" s="14">
        <f t="shared" si="1130"/>
        <v>1</v>
      </c>
      <c r="DD1409" s="14">
        <f>INDEX(属性投放!$AO$7:$AO$58,DC1409)</f>
        <v>3</v>
      </c>
      <c r="DE1409" s="14" t="s">
        <v>242</v>
      </c>
      <c r="DF1409" s="14">
        <f>INDEX(属性投放!$BK$6:$BK$85,(CV1409-2)*20+CZ1409)</f>
        <v>25</v>
      </c>
      <c r="DG1409" s="14">
        <f>SUMIFS(DF$5:DF1409,$CT$5:$CT1409,"="&amp;$CT1409)</f>
        <v>25</v>
      </c>
      <c r="DH1409" s="14" t="s">
        <v>198</v>
      </c>
      <c r="DI1409" s="14">
        <f>INDEX(属性投放!$BL$6:$BL$85,(CV1409-2)*20+CZ1409)</f>
        <v>13</v>
      </c>
      <c r="DJ1409" s="14">
        <f>SUMIFS(DI$5:DI1409,$CT$5:$CT1409,"="&amp;$CT1409)</f>
        <v>13</v>
      </c>
      <c r="DK1409" s="14" t="s">
        <v>25</v>
      </c>
      <c r="DL1409" s="14">
        <f>INDEX(属性投放!$BM$6:$BM$85,(CV1409-2)*20+CZ1409)</f>
        <v>150</v>
      </c>
      <c r="DM1409" s="14">
        <f>SUMIFS(DL$5:DL1409,$CT$5:$CT1409,"="&amp;$CT1409)</f>
        <v>150</v>
      </c>
    </row>
    <row r="1410" spans="97:117" ht="16.5" x14ac:dyDescent="0.2">
      <c r="CS1410" s="13">
        <v>1406</v>
      </c>
      <c r="CT1410" s="13">
        <f t="shared" si="1126"/>
        <v>28</v>
      </c>
      <c r="CU1410" s="13">
        <f t="shared" si="1129"/>
        <v>2</v>
      </c>
      <c r="CV1410" s="14">
        <f t="shared" si="1127"/>
        <v>4</v>
      </c>
      <c r="CW1410" s="14">
        <f t="shared" si="1128"/>
        <v>1102031</v>
      </c>
      <c r="CX1410" s="14" t="str">
        <f>INDEX($O$6:$O$50,CT1410)&amp;"-"&amp;INDEX(属性投放!$AB$7:$AB$50,CZ1410)&amp;"-魂火-"&amp;DB1410</f>
        <v>秦琼-黑绳-魂火-1</v>
      </c>
      <c r="CY1410" s="25" t="s">
        <v>142</v>
      </c>
      <c r="CZ1410" s="14">
        <f>INDEX(属性投放!$AM$7:$AM$58,CU1410)</f>
        <v>2</v>
      </c>
      <c r="DA1410" s="14" t="s">
        <v>537</v>
      </c>
      <c r="DB1410" s="14">
        <f>INDEX(属性投放!$AN$7:$AN$58,CU1410)</f>
        <v>1</v>
      </c>
      <c r="DC1410" s="14">
        <f t="shared" si="1130"/>
        <v>2</v>
      </c>
      <c r="DD1410" s="14">
        <f>INDEX(属性投放!$AO$7:$AO$58,DC1410)</f>
        <v>8</v>
      </c>
      <c r="DE1410" s="14" t="s">
        <v>242</v>
      </c>
      <c r="DF1410" s="14">
        <f>INDEX(属性投放!$BK$6:$BK$85,(CV1410-2)*20+CZ1410)</f>
        <v>30</v>
      </c>
      <c r="DG1410" s="14">
        <f>SUMIFS(DF$5:DF1410,$CT$5:$CT1410,"="&amp;$CT1410)</f>
        <v>55</v>
      </c>
      <c r="DH1410" s="14" t="s">
        <v>198</v>
      </c>
      <c r="DI1410" s="14">
        <f>INDEX(属性投放!$BL$6:$BL$85,(CV1410-2)*20+CZ1410)</f>
        <v>15</v>
      </c>
      <c r="DJ1410" s="14">
        <f>SUMIFS(DI$5:DI1410,$CT$5:$CT1410,"="&amp;$CT1410)</f>
        <v>28</v>
      </c>
      <c r="DK1410" s="14" t="s">
        <v>25</v>
      </c>
      <c r="DL1410" s="14">
        <f>INDEX(属性投放!$BM$6:$BM$85,(CV1410-2)*20+CZ1410)</f>
        <v>180</v>
      </c>
      <c r="DM1410" s="14">
        <f>SUMIFS(DL$5:DL1410,$CT$5:$CT1410,"="&amp;$CT1410)</f>
        <v>330</v>
      </c>
    </row>
    <row r="1411" spans="97:117" ht="16.5" x14ac:dyDescent="0.2">
      <c r="CS1411" s="13">
        <v>1407</v>
      </c>
      <c r="CT1411" s="13">
        <f t="shared" si="1126"/>
        <v>28</v>
      </c>
      <c r="CU1411" s="13">
        <f t="shared" si="1129"/>
        <v>3</v>
      </c>
      <c r="CV1411" s="14">
        <f t="shared" si="1127"/>
        <v>4</v>
      </c>
      <c r="CW1411" s="14">
        <f t="shared" si="1128"/>
        <v>1102031</v>
      </c>
      <c r="CX1411" s="14" t="str">
        <f>INDEX($O$6:$O$50,CT1411)&amp;"-"&amp;INDEX(属性投放!$AB$7:$AB$50,CZ1411)&amp;"-魂火-"&amp;DB1411</f>
        <v>秦琼-黑绳-魂火-2</v>
      </c>
      <c r="CY1411" s="25" t="s">
        <v>142</v>
      </c>
      <c r="CZ1411" s="14">
        <f>INDEX(属性投放!$AM$7:$AM$58,CU1411)</f>
        <v>2</v>
      </c>
      <c r="DA1411" s="14" t="s">
        <v>537</v>
      </c>
      <c r="DB1411" s="14">
        <f>INDEX(属性投放!$AN$7:$AN$58,CU1411)</f>
        <v>2</v>
      </c>
      <c r="DC1411" s="14">
        <f t="shared" si="1130"/>
        <v>3</v>
      </c>
      <c r="DD1411" s="14">
        <f>INDEX(属性投放!$AO$7:$AO$58,DC1411)</f>
        <v>13</v>
      </c>
      <c r="DE1411" s="14" t="s">
        <v>242</v>
      </c>
      <c r="DF1411" s="14">
        <f>INDEX(属性投放!$BK$6:$BK$85,(CV1411-2)*20+CZ1411)</f>
        <v>30</v>
      </c>
      <c r="DG1411" s="14">
        <f>SUMIFS(DF$5:DF1411,$CT$5:$CT1411,"="&amp;$CT1411)</f>
        <v>85</v>
      </c>
      <c r="DH1411" s="14" t="s">
        <v>198</v>
      </c>
      <c r="DI1411" s="14">
        <f>INDEX(属性投放!$BL$6:$BL$85,(CV1411-2)*20+CZ1411)</f>
        <v>15</v>
      </c>
      <c r="DJ1411" s="14">
        <f>SUMIFS(DI$5:DI1411,$CT$5:$CT1411,"="&amp;$CT1411)</f>
        <v>43</v>
      </c>
      <c r="DK1411" s="14" t="s">
        <v>25</v>
      </c>
      <c r="DL1411" s="14">
        <f>INDEX(属性投放!$BM$6:$BM$85,(CV1411-2)*20+CZ1411)</f>
        <v>180</v>
      </c>
      <c r="DM1411" s="14">
        <f>SUMIFS(DL$5:DL1411,$CT$5:$CT1411,"="&amp;$CT1411)</f>
        <v>510</v>
      </c>
    </row>
    <row r="1412" spans="97:117" ht="16.5" x14ac:dyDescent="0.2">
      <c r="CS1412" s="13">
        <v>1408</v>
      </c>
      <c r="CT1412" s="13">
        <f t="shared" si="1126"/>
        <v>28</v>
      </c>
      <c r="CU1412" s="13">
        <f t="shared" si="1129"/>
        <v>4</v>
      </c>
      <c r="CV1412" s="14">
        <f t="shared" si="1127"/>
        <v>4</v>
      </c>
      <c r="CW1412" s="14">
        <f t="shared" si="1128"/>
        <v>1102031</v>
      </c>
      <c r="CX1412" s="14" t="str">
        <f>INDEX($O$6:$O$50,CT1412)&amp;"-"&amp;INDEX(属性投放!$AB$7:$AB$50,CZ1412)&amp;"-魂火-"&amp;DB1412</f>
        <v>秦琼-黑绳+1-魂火-1</v>
      </c>
      <c r="CY1412" s="25" t="s">
        <v>142</v>
      </c>
      <c r="CZ1412" s="14">
        <f>INDEX(属性投放!$AM$7:$AM$58,CU1412)</f>
        <v>3</v>
      </c>
      <c r="DA1412" s="14" t="s">
        <v>537</v>
      </c>
      <c r="DB1412" s="14">
        <f>INDEX(属性投放!$AN$7:$AN$58,CU1412)</f>
        <v>1</v>
      </c>
      <c r="DC1412" s="14">
        <f t="shared" si="1130"/>
        <v>4</v>
      </c>
      <c r="DD1412" s="14">
        <f>INDEX(属性投放!$AO$7:$AO$58,DC1412)</f>
        <v>18</v>
      </c>
      <c r="DE1412" s="14" t="s">
        <v>242</v>
      </c>
      <c r="DF1412" s="14">
        <f>INDEX(属性投放!$BK$6:$BK$85,(CV1412-2)*20+CZ1412)</f>
        <v>35</v>
      </c>
      <c r="DG1412" s="14">
        <f>SUMIFS(DF$5:DF1412,$CT$5:$CT1412,"="&amp;$CT1412)</f>
        <v>120</v>
      </c>
      <c r="DH1412" s="14" t="s">
        <v>198</v>
      </c>
      <c r="DI1412" s="14">
        <f>INDEX(属性投放!$BL$6:$BL$85,(CV1412-2)*20+CZ1412)</f>
        <v>18</v>
      </c>
      <c r="DJ1412" s="14">
        <f>SUMIFS(DI$5:DI1412,$CT$5:$CT1412,"="&amp;$CT1412)</f>
        <v>61</v>
      </c>
      <c r="DK1412" s="14" t="s">
        <v>25</v>
      </c>
      <c r="DL1412" s="14">
        <f>INDEX(属性投放!$BM$6:$BM$85,(CV1412-2)*20+CZ1412)</f>
        <v>210</v>
      </c>
      <c r="DM1412" s="14">
        <f>SUMIFS(DL$5:DL1412,$CT$5:$CT1412,"="&amp;$CT1412)</f>
        <v>720</v>
      </c>
    </row>
    <row r="1413" spans="97:117" ht="16.5" x14ac:dyDescent="0.2">
      <c r="CS1413" s="13">
        <v>1409</v>
      </c>
      <c r="CT1413" s="13">
        <f t="shared" si="1126"/>
        <v>28</v>
      </c>
      <c r="CU1413" s="13">
        <f t="shared" si="1129"/>
        <v>5</v>
      </c>
      <c r="CV1413" s="14">
        <f t="shared" si="1127"/>
        <v>4</v>
      </c>
      <c r="CW1413" s="14">
        <f t="shared" si="1128"/>
        <v>1102031</v>
      </c>
      <c r="CX1413" s="14" t="str">
        <f>INDEX($O$6:$O$50,CT1413)&amp;"-"&amp;INDEX(属性投放!$AB$7:$AB$50,CZ1413)&amp;"-魂火-"&amp;DB1413</f>
        <v>秦琼-黑绳+1-魂火-2</v>
      </c>
      <c r="CY1413" s="25" t="s">
        <v>142</v>
      </c>
      <c r="CZ1413" s="14">
        <f>INDEX(属性投放!$AM$7:$AM$58,CU1413)</f>
        <v>3</v>
      </c>
      <c r="DA1413" s="14" t="s">
        <v>537</v>
      </c>
      <c r="DB1413" s="14">
        <f>INDEX(属性投放!$AN$7:$AN$58,CU1413)</f>
        <v>2</v>
      </c>
      <c r="DC1413" s="14">
        <f t="shared" si="1130"/>
        <v>5</v>
      </c>
      <c r="DD1413" s="14">
        <f>INDEX(属性投放!$AO$7:$AO$58,DC1413)</f>
        <v>23</v>
      </c>
      <c r="DE1413" s="14" t="s">
        <v>242</v>
      </c>
      <c r="DF1413" s="14">
        <f>INDEX(属性投放!$BK$6:$BK$85,(CV1413-2)*20+CZ1413)</f>
        <v>35</v>
      </c>
      <c r="DG1413" s="14">
        <f>SUMIFS(DF$5:DF1413,$CT$5:$CT1413,"="&amp;$CT1413)</f>
        <v>155</v>
      </c>
      <c r="DH1413" s="14" t="s">
        <v>198</v>
      </c>
      <c r="DI1413" s="14">
        <f>INDEX(属性投放!$BL$6:$BL$85,(CV1413-2)*20+CZ1413)</f>
        <v>18</v>
      </c>
      <c r="DJ1413" s="14">
        <f>SUMIFS(DI$5:DI1413,$CT$5:$CT1413,"="&amp;$CT1413)</f>
        <v>79</v>
      </c>
      <c r="DK1413" s="14" t="s">
        <v>25</v>
      </c>
      <c r="DL1413" s="14">
        <f>INDEX(属性投放!$BM$6:$BM$85,(CV1413-2)*20+CZ1413)</f>
        <v>210</v>
      </c>
      <c r="DM1413" s="14">
        <f>SUMIFS(DL$5:DL1413,$CT$5:$CT1413,"="&amp;$CT1413)</f>
        <v>930</v>
      </c>
    </row>
    <row r="1414" spans="97:117" ht="16.5" x14ac:dyDescent="0.2">
      <c r="CS1414" s="13">
        <v>1410</v>
      </c>
      <c r="CT1414" s="13">
        <f t="shared" ref="CT1414:CT1460" si="1131">MATCH(CS1414-1,$U$5:$U$36,1)</f>
        <v>28</v>
      </c>
      <c r="CU1414" s="13">
        <f t="shared" si="1129"/>
        <v>6</v>
      </c>
      <c r="CV1414" s="14">
        <f t="shared" ref="CV1414:CV1477" si="1132">INDEX($Q$6:$Q$50,CT1414)</f>
        <v>4</v>
      </c>
      <c r="CW1414" s="14">
        <f t="shared" ref="CW1414:CW1477" si="1133">INDEX($N$6:$N$50,CT1414)</f>
        <v>1102031</v>
      </c>
      <c r="CX1414" s="14" t="str">
        <f>INDEX($O$6:$O$50,CT1414)&amp;"-"&amp;INDEX(属性投放!$AB$7:$AB$50,CZ1414)&amp;"-魂火-"&amp;DB1414</f>
        <v>秦琼-众合-魂火-1</v>
      </c>
      <c r="CY1414" s="25" t="s">
        <v>142</v>
      </c>
      <c r="CZ1414" s="14">
        <f>INDEX(属性投放!$AM$7:$AM$58,CU1414)</f>
        <v>4</v>
      </c>
      <c r="DA1414" s="14" t="s">
        <v>537</v>
      </c>
      <c r="DB1414" s="14">
        <f>INDEX(属性投放!$AN$7:$AN$58,CU1414)</f>
        <v>1</v>
      </c>
      <c r="DC1414" s="14">
        <f t="shared" si="1130"/>
        <v>6</v>
      </c>
      <c r="DD1414" s="14">
        <f>INDEX(属性投放!$AO$7:$AO$58,DC1414)</f>
        <v>28</v>
      </c>
      <c r="DE1414" s="14" t="s">
        <v>242</v>
      </c>
      <c r="DF1414" s="14">
        <f>INDEX(属性投放!$BK$6:$BK$85,(CV1414-2)*20+CZ1414)</f>
        <v>45</v>
      </c>
      <c r="DG1414" s="14">
        <f>SUMIFS(DF$5:DF1414,$CT$5:$CT1414,"="&amp;$CT1414)</f>
        <v>200</v>
      </c>
      <c r="DH1414" s="14" t="s">
        <v>198</v>
      </c>
      <c r="DI1414" s="14">
        <f>INDEX(属性投放!$BL$6:$BL$85,(CV1414-2)*20+CZ1414)</f>
        <v>23</v>
      </c>
      <c r="DJ1414" s="14">
        <f>SUMIFS(DI$5:DI1414,$CT$5:$CT1414,"="&amp;$CT1414)</f>
        <v>102</v>
      </c>
      <c r="DK1414" s="14" t="s">
        <v>25</v>
      </c>
      <c r="DL1414" s="14">
        <f>INDEX(属性投放!$BM$6:$BM$85,(CV1414-2)*20+CZ1414)</f>
        <v>315</v>
      </c>
      <c r="DM1414" s="14">
        <f>SUMIFS(DL$5:DL1414,$CT$5:$CT1414,"="&amp;$CT1414)</f>
        <v>1245</v>
      </c>
    </row>
    <row r="1415" spans="97:117" ht="16.5" x14ac:dyDescent="0.2">
      <c r="CS1415" s="13">
        <v>1411</v>
      </c>
      <c r="CT1415" s="13">
        <f t="shared" si="1131"/>
        <v>28</v>
      </c>
      <c r="CU1415" s="13">
        <f t="shared" si="1129"/>
        <v>7</v>
      </c>
      <c r="CV1415" s="14">
        <f t="shared" si="1132"/>
        <v>4</v>
      </c>
      <c r="CW1415" s="14">
        <f t="shared" si="1133"/>
        <v>1102031</v>
      </c>
      <c r="CX1415" s="14" t="str">
        <f>INDEX($O$6:$O$50,CT1415)&amp;"-"&amp;INDEX(属性投放!$AB$7:$AB$50,CZ1415)&amp;"-魂火-"&amp;DB1415</f>
        <v>秦琼-众合-魂火-2</v>
      </c>
      <c r="CY1415" s="25" t="s">
        <v>142</v>
      </c>
      <c r="CZ1415" s="14">
        <f>INDEX(属性投放!$AM$7:$AM$58,CU1415)</f>
        <v>4</v>
      </c>
      <c r="DA1415" s="14" t="s">
        <v>537</v>
      </c>
      <c r="DB1415" s="14">
        <f>INDEX(属性投放!$AN$7:$AN$58,CU1415)</f>
        <v>2</v>
      </c>
      <c r="DC1415" s="14">
        <f t="shared" si="1130"/>
        <v>7</v>
      </c>
      <c r="DD1415" s="14">
        <f>INDEX(属性投放!$AO$7:$AO$58,DC1415)</f>
        <v>33</v>
      </c>
      <c r="DE1415" s="14" t="s">
        <v>242</v>
      </c>
      <c r="DF1415" s="14">
        <f>INDEX(属性投放!$BK$6:$BK$85,(CV1415-2)*20+CZ1415)</f>
        <v>45</v>
      </c>
      <c r="DG1415" s="14">
        <f>SUMIFS(DF$5:DF1415,$CT$5:$CT1415,"="&amp;$CT1415)</f>
        <v>245</v>
      </c>
      <c r="DH1415" s="14" t="s">
        <v>198</v>
      </c>
      <c r="DI1415" s="14">
        <f>INDEX(属性投放!$BL$6:$BL$85,(CV1415-2)*20+CZ1415)</f>
        <v>23</v>
      </c>
      <c r="DJ1415" s="14">
        <f>SUMIFS(DI$5:DI1415,$CT$5:$CT1415,"="&amp;$CT1415)</f>
        <v>125</v>
      </c>
      <c r="DK1415" s="14" t="s">
        <v>25</v>
      </c>
      <c r="DL1415" s="14">
        <f>INDEX(属性投放!$BM$6:$BM$85,(CV1415-2)*20+CZ1415)</f>
        <v>315</v>
      </c>
      <c r="DM1415" s="14">
        <f>SUMIFS(DL$5:DL1415,$CT$5:$CT1415,"="&amp;$CT1415)</f>
        <v>1560</v>
      </c>
    </row>
    <row r="1416" spans="97:117" ht="16.5" x14ac:dyDescent="0.2">
      <c r="CS1416" s="13">
        <v>1412</v>
      </c>
      <c r="CT1416" s="13">
        <f t="shared" si="1131"/>
        <v>28</v>
      </c>
      <c r="CU1416" s="13">
        <f t="shared" si="1129"/>
        <v>8</v>
      </c>
      <c r="CV1416" s="14">
        <f t="shared" si="1132"/>
        <v>4</v>
      </c>
      <c r="CW1416" s="14">
        <f t="shared" si="1133"/>
        <v>1102031</v>
      </c>
      <c r="CX1416" s="14" t="str">
        <f>INDEX($O$6:$O$50,CT1416)&amp;"-"&amp;INDEX(属性投放!$AB$7:$AB$50,CZ1416)&amp;"-魂火-"&amp;DB1416</f>
        <v>秦琼-众合+1-魂火-1</v>
      </c>
      <c r="CY1416" s="25" t="s">
        <v>142</v>
      </c>
      <c r="CZ1416" s="14">
        <f>INDEX(属性投放!$AM$7:$AM$58,CU1416)</f>
        <v>5</v>
      </c>
      <c r="DA1416" s="14" t="s">
        <v>537</v>
      </c>
      <c r="DB1416" s="14">
        <f>INDEX(属性投放!$AN$7:$AN$58,CU1416)</f>
        <v>1</v>
      </c>
      <c r="DC1416" s="14">
        <f t="shared" si="1130"/>
        <v>8</v>
      </c>
      <c r="DD1416" s="14">
        <f>INDEX(属性投放!$AO$7:$AO$58,DC1416)</f>
        <v>38</v>
      </c>
      <c r="DE1416" s="14" t="s">
        <v>242</v>
      </c>
      <c r="DF1416" s="14">
        <f>INDEX(属性投放!$BK$6:$BK$85,(CV1416-2)*20+CZ1416)</f>
        <v>55</v>
      </c>
      <c r="DG1416" s="14">
        <f>SUMIFS(DF$5:DF1416,$CT$5:$CT1416,"="&amp;$CT1416)</f>
        <v>300</v>
      </c>
      <c r="DH1416" s="14" t="s">
        <v>198</v>
      </c>
      <c r="DI1416" s="14">
        <f>INDEX(属性投放!$BL$6:$BL$85,(CV1416-2)*20+CZ1416)</f>
        <v>28</v>
      </c>
      <c r="DJ1416" s="14">
        <f>SUMIFS(DI$5:DI1416,$CT$5:$CT1416,"="&amp;$CT1416)</f>
        <v>153</v>
      </c>
      <c r="DK1416" s="14" t="s">
        <v>25</v>
      </c>
      <c r="DL1416" s="14">
        <f>INDEX(属性投放!$BM$6:$BM$85,(CV1416-2)*20+CZ1416)</f>
        <v>385</v>
      </c>
      <c r="DM1416" s="14">
        <f>SUMIFS(DL$5:DL1416,$CT$5:$CT1416,"="&amp;$CT1416)</f>
        <v>1945</v>
      </c>
    </row>
    <row r="1417" spans="97:117" ht="16.5" x14ac:dyDescent="0.2">
      <c r="CS1417" s="13">
        <v>1413</v>
      </c>
      <c r="CT1417" s="13">
        <f t="shared" si="1131"/>
        <v>28</v>
      </c>
      <c r="CU1417" s="13">
        <f t="shared" si="1129"/>
        <v>9</v>
      </c>
      <c r="CV1417" s="14">
        <f t="shared" si="1132"/>
        <v>4</v>
      </c>
      <c r="CW1417" s="14">
        <f t="shared" si="1133"/>
        <v>1102031</v>
      </c>
      <c r="CX1417" s="14" t="str">
        <f>INDEX($O$6:$O$50,CT1417)&amp;"-"&amp;INDEX(属性投放!$AB$7:$AB$50,CZ1417)&amp;"-魂火-"&amp;DB1417</f>
        <v>秦琼-众合+1-魂火-2</v>
      </c>
      <c r="CY1417" s="25" t="s">
        <v>142</v>
      </c>
      <c r="CZ1417" s="14">
        <f>INDEX(属性投放!$AM$7:$AM$58,CU1417)</f>
        <v>5</v>
      </c>
      <c r="DA1417" s="14" t="s">
        <v>537</v>
      </c>
      <c r="DB1417" s="14">
        <f>INDEX(属性投放!$AN$7:$AN$58,CU1417)</f>
        <v>2</v>
      </c>
      <c r="DC1417" s="14">
        <f t="shared" si="1130"/>
        <v>9</v>
      </c>
      <c r="DD1417" s="14">
        <f>INDEX(属性投放!$AO$7:$AO$58,DC1417)</f>
        <v>40</v>
      </c>
      <c r="DE1417" s="14" t="s">
        <v>242</v>
      </c>
      <c r="DF1417" s="14">
        <f>INDEX(属性投放!$BK$6:$BK$85,(CV1417-2)*20+CZ1417)</f>
        <v>55</v>
      </c>
      <c r="DG1417" s="14">
        <f>SUMIFS(DF$5:DF1417,$CT$5:$CT1417,"="&amp;$CT1417)</f>
        <v>355</v>
      </c>
      <c r="DH1417" s="14" t="s">
        <v>198</v>
      </c>
      <c r="DI1417" s="14">
        <f>INDEX(属性投放!$BL$6:$BL$85,(CV1417-2)*20+CZ1417)</f>
        <v>28</v>
      </c>
      <c r="DJ1417" s="14">
        <f>SUMIFS(DI$5:DI1417,$CT$5:$CT1417,"="&amp;$CT1417)</f>
        <v>181</v>
      </c>
      <c r="DK1417" s="14" t="s">
        <v>25</v>
      </c>
      <c r="DL1417" s="14">
        <f>INDEX(属性投放!$BM$6:$BM$85,(CV1417-2)*20+CZ1417)</f>
        <v>385</v>
      </c>
      <c r="DM1417" s="14">
        <f>SUMIFS(DL$5:DL1417,$CT$5:$CT1417,"="&amp;$CT1417)</f>
        <v>2330</v>
      </c>
    </row>
    <row r="1418" spans="97:117" ht="16.5" x14ac:dyDescent="0.2">
      <c r="CS1418" s="13">
        <v>1414</v>
      </c>
      <c r="CT1418" s="13">
        <f t="shared" si="1131"/>
        <v>28</v>
      </c>
      <c r="CU1418" s="13">
        <f t="shared" si="1129"/>
        <v>10</v>
      </c>
      <c r="CV1418" s="14">
        <f t="shared" si="1132"/>
        <v>4</v>
      </c>
      <c r="CW1418" s="14">
        <f t="shared" si="1133"/>
        <v>1102031</v>
      </c>
      <c r="CX1418" s="14" t="str">
        <f>INDEX($O$6:$O$50,CT1418)&amp;"-"&amp;INDEX(属性投放!$AB$7:$AB$50,CZ1418)&amp;"-魂火-"&amp;DB1418</f>
        <v>秦琼-众合+2-魂火-1</v>
      </c>
      <c r="CY1418" s="25" t="s">
        <v>142</v>
      </c>
      <c r="CZ1418" s="14">
        <f>INDEX(属性投放!$AM$7:$AM$58,CU1418)</f>
        <v>6</v>
      </c>
      <c r="DA1418" s="14" t="s">
        <v>537</v>
      </c>
      <c r="DB1418" s="14">
        <f>INDEX(属性投放!$AN$7:$AN$58,CU1418)</f>
        <v>1</v>
      </c>
      <c r="DC1418" s="14">
        <f t="shared" si="1130"/>
        <v>10</v>
      </c>
      <c r="DD1418" s="14">
        <f>INDEX(属性投放!$AO$7:$AO$58,DC1418)</f>
        <v>43</v>
      </c>
      <c r="DE1418" s="14" t="s">
        <v>242</v>
      </c>
      <c r="DF1418" s="14">
        <f>INDEX(属性投放!$BK$6:$BK$85,(CV1418-2)*20+CZ1418)</f>
        <v>60</v>
      </c>
      <c r="DG1418" s="14">
        <f>SUMIFS(DF$5:DF1418,$CT$5:$CT1418,"="&amp;$CT1418)</f>
        <v>415</v>
      </c>
      <c r="DH1418" s="14" t="s">
        <v>198</v>
      </c>
      <c r="DI1418" s="14">
        <f>INDEX(属性投放!$BL$6:$BL$85,(CV1418-2)*20+CZ1418)</f>
        <v>30</v>
      </c>
      <c r="DJ1418" s="14">
        <f>SUMIFS(DI$5:DI1418,$CT$5:$CT1418,"="&amp;$CT1418)</f>
        <v>211</v>
      </c>
      <c r="DK1418" s="14" t="s">
        <v>25</v>
      </c>
      <c r="DL1418" s="14">
        <f>INDEX(属性投放!$BM$6:$BM$85,(CV1418-2)*20+CZ1418)</f>
        <v>420</v>
      </c>
      <c r="DM1418" s="14">
        <f>SUMIFS(DL$5:DL1418,$CT$5:$CT1418,"="&amp;$CT1418)</f>
        <v>2750</v>
      </c>
    </row>
    <row r="1419" spans="97:117" ht="16.5" x14ac:dyDescent="0.2">
      <c r="CS1419" s="13">
        <v>1415</v>
      </c>
      <c r="CT1419" s="13">
        <f t="shared" si="1131"/>
        <v>28</v>
      </c>
      <c r="CU1419" s="13">
        <f t="shared" ref="CU1419:CU1460" si="1134">CS1419-(CT1419-1)*52</f>
        <v>11</v>
      </c>
      <c r="CV1419" s="14">
        <f t="shared" si="1132"/>
        <v>4</v>
      </c>
      <c r="CW1419" s="14">
        <f t="shared" si="1133"/>
        <v>1102031</v>
      </c>
      <c r="CX1419" s="14" t="str">
        <f>INDEX($O$6:$O$50,CT1419)&amp;"-"&amp;INDEX(属性投放!$AB$7:$AB$50,CZ1419)&amp;"-魂火-"&amp;DB1419</f>
        <v>秦琼-众合+2-魂火-2</v>
      </c>
      <c r="CY1419" s="25" t="s">
        <v>142</v>
      </c>
      <c r="CZ1419" s="14">
        <f>INDEX(属性投放!$AM$7:$AM$58,CU1419)</f>
        <v>6</v>
      </c>
      <c r="DA1419" s="14" t="s">
        <v>537</v>
      </c>
      <c r="DB1419" s="14">
        <f>INDEX(属性投放!$AN$7:$AN$58,CU1419)</f>
        <v>2</v>
      </c>
      <c r="DC1419" s="14">
        <f t="shared" ref="DC1419:DC1460" si="1135">CU1419</f>
        <v>11</v>
      </c>
      <c r="DD1419" s="14">
        <f>INDEX(属性投放!$AO$7:$AO$58,DC1419)</f>
        <v>45</v>
      </c>
      <c r="DE1419" s="14" t="s">
        <v>242</v>
      </c>
      <c r="DF1419" s="14">
        <f>INDEX(属性投放!$BK$6:$BK$85,(CV1419-2)*20+CZ1419)</f>
        <v>60</v>
      </c>
      <c r="DG1419" s="14">
        <f>SUMIFS(DF$5:DF1419,$CT$5:$CT1419,"="&amp;$CT1419)</f>
        <v>475</v>
      </c>
      <c r="DH1419" s="14" t="s">
        <v>198</v>
      </c>
      <c r="DI1419" s="14">
        <f>INDEX(属性投放!$BL$6:$BL$85,(CV1419-2)*20+CZ1419)</f>
        <v>30</v>
      </c>
      <c r="DJ1419" s="14">
        <f>SUMIFS(DI$5:DI1419,$CT$5:$CT1419,"="&amp;$CT1419)</f>
        <v>241</v>
      </c>
      <c r="DK1419" s="14" t="s">
        <v>25</v>
      </c>
      <c r="DL1419" s="14">
        <f>INDEX(属性投放!$BM$6:$BM$85,(CV1419-2)*20+CZ1419)</f>
        <v>420</v>
      </c>
      <c r="DM1419" s="14">
        <f>SUMIFS(DL$5:DL1419,$CT$5:$CT1419,"="&amp;$CT1419)</f>
        <v>3170</v>
      </c>
    </row>
    <row r="1420" spans="97:117" ht="16.5" x14ac:dyDescent="0.2">
      <c r="CS1420" s="13">
        <v>1416</v>
      </c>
      <c r="CT1420" s="13">
        <f t="shared" si="1131"/>
        <v>28</v>
      </c>
      <c r="CU1420" s="13">
        <f t="shared" si="1134"/>
        <v>12</v>
      </c>
      <c r="CV1420" s="14">
        <f t="shared" si="1132"/>
        <v>4</v>
      </c>
      <c r="CW1420" s="14">
        <f t="shared" si="1133"/>
        <v>1102031</v>
      </c>
      <c r="CX1420" s="14" t="str">
        <f>INDEX($O$6:$O$50,CT1420)&amp;"-"&amp;INDEX(属性投放!$AB$7:$AB$50,CZ1420)&amp;"-魂火-"&amp;DB1420</f>
        <v>秦琼-叫唤-魂火-1</v>
      </c>
      <c r="CY1420" s="25" t="s">
        <v>142</v>
      </c>
      <c r="CZ1420" s="14">
        <f>INDEX(属性投放!$AM$7:$AM$58,CU1420)</f>
        <v>7</v>
      </c>
      <c r="DA1420" s="14" t="s">
        <v>537</v>
      </c>
      <c r="DB1420" s="14">
        <f>INDEX(属性投放!$AN$7:$AN$58,CU1420)</f>
        <v>1</v>
      </c>
      <c r="DC1420" s="14">
        <f t="shared" si="1135"/>
        <v>12</v>
      </c>
      <c r="DD1420" s="14">
        <f>INDEX(属性投放!$AO$7:$AO$58,DC1420)</f>
        <v>48</v>
      </c>
      <c r="DE1420" s="14" t="s">
        <v>242</v>
      </c>
      <c r="DF1420" s="14">
        <f>INDEX(属性投放!$BK$6:$BK$85,(CV1420-2)*20+CZ1420)</f>
        <v>80</v>
      </c>
      <c r="DG1420" s="14">
        <f>SUMIFS(DF$5:DF1420,$CT$5:$CT1420,"="&amp;$CT1420)</f>
        <v>555</v>
      </c>
      <c r="DH1420" s="14" t="s">
        <v>198</v>
      </c>
      <c r="DI1420" s="14">
        <f>INDEX(属性投放!$BL$6:$BL$85,(CV1420-2)*20+CZ1420)</f>
        <v>40</v>
      </c>
      <c r="DJ1420" s="14">
        <f>SUMIFS(DI$5:DI1420,$CT$5:$CT1420,"="&amp;$CT1420)</f>
        <v>281</v>
      </c>
      <c r="DK1420" s="14" t="s">
        <v>25</v>
      </c>
      <c r="DL1420" s="14">
        <f>INDEX(属性投放!$BM$6:$BM$85,(CV1420-2)*20+CZ1420)</f>
        <v>640</v>
      </c>
      <c r="DM1420" s="14">
        <f>SUMIFS(DL$5:DL1420,$CT$5:$CT1420,"="&amp;$CT1420)</f>
        <v>3810</v>
      </c>
    </row>
    <row r="1421" spans="97:117" ht="16.5" x14ac:dyDescent="0.2">
      <c r="CS1421" s="13">
        <v>1417</v>
      </c>
      <c r="CT1421" s="13">
        <f t="shared" si="1131"/>
        <v>28</v>
      </c>
      <c r="CU1421" s="13">
        <f t="shared" si="1134"/>
        <v>13</v>
      </c>
      <c r="CV1421" s="14">
        <f t="shared" si="1132"/>
        <v>4</v>
      </c>
      <c r="CW1421" s="14">
        <f t="shared" si="1133"/>
        <v>1102031</v>
      </c>
      <c r="CX1421" s="14" t="str">
        <f>INDEX($O$6:$O$50,CT1421)&amp;"-"&amp;INDEX(属性投放!$AB$7:$AB$50,CZ1421)&amp;"-魂火-"&amp;DB1421</f>
        <v>秦琼-叫唤-魂火-2</v>
      </c>
      <c r="CY1421" s="25" t="s">
        <v>142</v>
      </c>
      <c r="CZ1421" s="14">
        <f>INDEX(属性投放!$AM$7:$AM$58,CU1421)</f>
        <v>7</v>
      </c>
      <c r="DA1421" s="14" t="s">
        <v>537</v>
      </c>
      <c r="DB1421" s="14">
        <f>INDEX(属性投放!$AN$7:$AN$58,CU1421)</f>
        <v>2</v>
      </c>
      <c r="DC1421" s="14">
        <f t="shared" si="1135"/>
        <v>13</v>
      </c>
      <c r="DD1421" s="14">
        <f>INDEX(属性投放!$AO$7:$AO$58,DC1421)</f>
        <v>50</v>
      </c>
      <c r="DE1421" s="14" t="s">
        <v>242</v>
      </c>
      <c r="DF1421" s="14">
        <f>INDEX(属性投放!$BK$6:$BK$85,(CV1421-2)*20+CZ1421)</f>
        <v>80</v>
      </c>
      <c r="DG1421" s="14">
        <f>SUMIFS(DF$5:DF1421,$CT$5:$CT1421,"="&amp;$CT1421)</f>
        <v>635</v>
      </c>
      <c r="DH1421" s="14" t="s">
        <v>198</v>
      </c>
      <c r="DI1421" s="14">
        <f>INDEX(属性投放!$BL$6:$BL$85,(CV1421-2)*20+CZ1421)</f>
        <v>40</v>
      </c>
      <c r="DJ1421" s="14">
        <f>SUMIFS(DI$5:DI1421,$CT$5:$CT1421,"="&amp;$CT1421)</f>
        <v>321</v>
      </c>
      <c r="DK1421" s="14" t="s">
        <v>25</v>
      </c>
      <c r="DL1421" s="14">
        <f>INDEX(属性投放!$BM$6:$BM$85,(CV1421-2)*20+CZ1421)</f>
        <v>640</v>
      </c>
      <c r="DM1421" s="14">
        <f>SUMIFS(DL$5:DL1421,$CT$5:$CT1421,"="&amp;$CT1421)</f>
        <v>4450</v>
      </c>
    </row>
    <row r="1422" spans="97:117" ht="16.5" x14ac:dyDescent="0.2">
      <c r="CS1422" s="13">
        <v>1418</v>
      </c>
      <c r="CT1422" s="13">
        <f t="shared" si="1131"/>
        <v>28</v>
      </c>
      <c r="CU1422" s="13">
        <f t="shared" si="1134"/>
        <v>14</v>
      </c>
      <c r="CV1422" s="14">
        <f t="shared" si="1132"/>
        <v>4</v>
      </c>
      <c r="CW1422" s="14">
        <f t="shared" si="1133"/>
        <v>1102031</v>
      </c>
      <c r="CX1422" s="14" t="str">
        <f>INDEX($O$6:$O$50,CT1422)&amp;"-"&amp;INDEX(属性投放!$AB$7:$AB$50,CZ1422)&amp;"-魂火-"&amp;DB1422</f>
        <v>秦琼-叫唤+1-魂火-1</v>
      </c>
      <c r="CY1422" s="25" t="s">
        <v>142</v>
      </c>
      <c r="CZ1422" s="14">
        <f>INDEX(属性投放!$AM$7:$AM$58,CU1422)</f>
        <v>8</v>
      </c>
      <c r="DA1422" s="14" t="s">
        <v>537</v>
      </c>
      <c r="DB1422" s="14">
        <f>INDEX(属性投放!$AN$7:$AN$58,CU1422)</f>
        <v>1</v>
      </c>
      <c r="DC1422" s="14">
        <f t="shared" si="1135"/>
        <v>14</v>
      </c>
      <c r="DD1422" s="14">
        <f>INDEX(属性投放!$AO$7:$AO$58,DC1422)</f>
        <v>53</v>
      </c>
      <c r="DE1422" s="14" t="s">
        <v>242</v>
      </c>
      <c r="DF1422" s="14">
        <f>INDEX(属性投放!$BK$6:$BK$85,(CV1422-2)*20+CZ1422)</f>
        <v>100</v>
      </c>
      <c r="DG1422" s="14">
        <f>SUMIFS(DF$5:DF1422,$CT$5:$CT1422,"="&amp;$CT1422)</f>
        <v>735</v>
      </c>
      <c r="DH1422" s="14" t="s">
        <v>198</v>
      </c>
      <c r="DI1422" s="14">
        <f>INDEX(属性投放!$BL$6:$BL$85,(CV1422-2)*20+CZ1422)</f>
        <v>50</v>
      </c>
      <c r="DJ1422" s="14">
        <f>SUMIFS(DI$5:DI1422,$CT$5:$CT1422,"="&amp;$CT1422)</f>
        <v>371</v>
      </c>
      <c r="DK1422" s="14" t="s">
        <v>25</v>
      </c>
      <c r="DL1422" s="14">
        <f>INDEX(属性投放!$BM$6:$BM$85,(CV1422-2)*20+CZ1422)</f>
        <v>800</v>
      </c>
      <c r="DM1422" s="14">
        <f>SUMIFS(DL$5:DL1422,$CT$5:$CT1422,"="&amp;$CT1422)</f>
        <v>5250</v>
      </c>
    </row>
    <row r="1423" spans="97:117" ht="16.5" x14ac:dyDescent="0.2">
      <c r="CS1423" s="13">
        <v>1419</v>
      </c>
      <c r="CT1423" s="13">
        <f t="shared" si="1131"/>
        <v>28</v>
      </c>
      <c r="CU1423" s="13">
        <f t="shared" si="1134"/>
        <v>15</v>
      </c>
      <c r="CV1423" s="14">
        <f t="shared" si="1132"/>
        <v>4</v>
      </c>
      <c r="CW1423" s="14">
        <f t="shared" si="1133"/>
        <v>1102031</v>
      </c>
      <c r="CX1423" s="14" t="str">
        <f>INDEX($O$6:$O$50,CT1423)&amp;"-"&amp;INDEX(属性投放!$AB$7:$AB$50,CZ1423)&amp;"-魂火-"&amp;DB1423</f>
        <v>秦琼-叫唤+1-魂火-2</v>
      </c>
      <c r="CY1423" s="25" t="s">
        <v>142</v>
      </c>
      <c r="CZ1423" s="14">
        <f>INDEX(属性投放!$AM$7:$AM$58,CU1423)</f>
        <v>8</v>
      </c>
      <c r="DA1423" s="14" t="s">
        <v>537</v>
      </c>
      <c r="DB1423" s="14">
        <f>INDEX(属性投放!$AN$7:$AN$58,CU1423)</f>
        <v>2</v>
      </c>
      <c r="DC1423" s="14">
        <f t="shared" si="1135"/>
        <v>15</v>
      </c>
      <c r="DD1423" s="14">
        <f>INDEX(属性投放!$AO$7:$AO$58,DC1423)</f>
        <v>55</v>
      </c>
      <c r="DE1423" s="14" t="s">
        <v>242</v>
      </c>
      <c r="DF1423" s="14">
        <f>INDEX(属性投放!$BK$6:$BK$85,(CV1423-2)*20+CZ1423)</f>
        <v>100</v>
      </c>
      <c r="DG1423" s="14">
        <f>SUMIFS(DF$5:DF1423,$CT$5:$CT1423,"="&amp;$CT1423)</f>
        <v>835</v>
      </c>
      <c r="DH1423" s="14" t="s">
        <v>198</v>
      </c>
      <c r="DI1423" s="14">
        <f>INDEX(属性投放!$BL$6:$BL$85,(CV1423-2)*20+CZ1423)</f>
        <v>50</v>
      </c>
      <c r="DJ1423" s="14">
        <f>SUMIFS(DI$5:DI1423,$CT$5:$CT1423,"="&amp;$CT1423)</f>
        <v>421</v>
      </c>
      <c r="DK1423" s="14" t="s">
        <v>25</v>
      </c>
      <c r="DL1423" s="14">
        <f>INDEX(属性投放!$BM$6:$BM$85,(CV1423-2)*20+CZ1423)</f>
        <v>800</v>
      </c>
      <c r="DM1423" s="14">
        <f>SUMIFS(DL$5:DL1423,$CT$5:$CT1423,"="&amp;$CT1423)</f>
        <v>6050</v>
      </c>
    </row>
    <row r="1424" spans="97:117" ht="16.5" x14ac:dyDescent="0.2">
      <c r="CS1424" s="13">
        <v>1420</v>
      </c>
      <c r="CT1424" s="13">
        <f t="shared" si="1131"/>
        <v>28</v>
      </c>
      <c r="CU1424" s="13">
        <f t="shared" si="1134"/>
        <v>16</v>
      </c>
      <c r="CV1424" s="14">
        <f t="shared" si="1132"/>
        <v>4</v>
      </c>
      <c r="CW1424" s="14">
        <f t="shared" si="1133"/>
        <v>1102031</v>
      </c>
      <c r="CX1424" s="14" t="str">
        <f>INDEX($O$6:$O$50,CT1424)&amp;"-"&amp;INDEX(属性投放!$AB$7:$AB$50,CZ1424)&amp;"-魂火-"&amp;DB1424</f>
        <v>秦琼-叫唤+2-魂火-1</v>
      </c>
      <c r="CY1424" s="25" t="s">
        <v>142</v>
      </c>
      <c r="CZ1424" s="14">
        <f>INDEX(属性投放!$AM$7:$AM$58,CU1424)</f>
        <v>9</v>
      </c>
      <c r="DA1424" s="14" t="s">
        <v>537</v>
      </c>
      <c r="DB1424" s="14">
        <f>INDEX(属性投放!$AN$7:$AN$58,CU1424)</f>
        <v>1</v>
      </c>
      <c r="DC1424" s="14">
        <f t="shared" si="1135"/>
        <v>16</v>
      </c>
      <c r="DD1424" s="14">
        <f>INDEX(属性投放!$AO$7:$AO$58,DC1424)</f>
        <v>58</v>
      </c>
      <c r="DE1424" s="14" t="s">
        <v>242</v>
      </c>
      <c r="DF1424" s="14">
        <f>INDEX(属性投放!$BK$6:$BK$85,(CV1424-2)*20+CZ1424)</f>
        <v>115</v>
      </c>
      <c r="DG1424" s="14">
        <f>SUMIFS(DF$5:DF1424,$CT$5:$CT1424,"="&amp;$CT1424)</f>
        <v>950</v>
      </c>
      <c r="DH1424" s="14" t="s">
        <v>198</v>
      </c>
      <c r="DI1424" s="14">
        <f>INDEX(属性投放!$BL$6:$BL$85,(CV1424-2)*20+CZ1424)</f>
        <v>58</v>
      </c>
      <c r="DJ1424" s="14">
        <f>SUMIFS(DI$5:DI1424,$CT$5:$CT1424,"="&amp;$CT1424)</f>
        <v>479</v>
      </c>
      <c r="DK1424" s="14" t="s">
        <v>25</v>
      </c>
      <c r="DL1424" s="14">
        <f>INDEX(属性投放!$BM$6:$BM$85,(CV1424-2)*20+CZ1424)</f>
        <v>920</v>
      </c>
      <c r="DM1424" s="14">
        <f>SUMIFS(DL$5:DL1424,$CT$5:$CT1424,"="&amp;$CT1424)</f>
        <v>6970</v>
      </c>
    </row>
    <row r="1425" spans="97:117" ht="16.5" x14ac:dyDescent="0.2">
      <c r="CS1425" s="13">
        <v>1421</v>
      </c>
      <c r="CT1425" s="13">
        <f t="shared" si="1131"/>
        <v>28</v>
      </c>
      <c r="CU1425" s="13">
        <f t="shared" si="1134"/>
        <v>17</v>
      </c>
      <c r="CV1425" s="14">
        <f t="shared" si="1132"/>
        <v>4</v>
      </c>
      <c r="CW1425" s="14">
        <f t="shared" si="1133"/>
        <v>1102031</v>
      </c>
      <c r="CX1425" s="14" t="str">
        <f>INDEX($O$6:$O$50,CT1425)&amp;"-"&amp;INDEX(属性投放!$AB$7:$AB$50,CZ1425)&amp;"-魂火-"&amp;DB1425</f>
        <v>秦琼-叫唤+2-魂火-2</v>
      </c>
      <c r="CY1425" s="25" t="s">
        <v>142</v>
      </c>
      <c r="CZ1425" s="14">
        <f>INDEX(属性投放!$AM$7:$AM$58,CU1425)</f>
        <v>9</v>
      </c>
      <c r="DA1425" s="14" t="s">
        <v>537</v>
      </c>
      <c r="DB1425" s="14">
        <f>INDEX(属性投放!$AN$7:$AN$58,CU1425)</f>
        <v>2</v>
      </c>
      <c r="DC1425" s="14">
        <f t="shared" si="1135"/>
        <v>17</v>
      </c>
      <c r="DD1425" s="14">
        <f>INDEX(属性投放!$AO$7:$AO$58,DC1425)</f>
        <v>60</v>
      </c>
      <c r="DE1425" s="14" t="s">
        <v>242</v>
      </c>
      <c r="DF1425" s="14">
        <f>INDEX(属性投放!$BK$6:$BK$85,(CV1425-2)*20+CZ1425)</f>
        <v>115</v>
      </c>
      <c r="DG1425" s="14">
        <f>SUMIFS(DF$5:DF1425,$CT$5:$CT1425,"="&amp;$CT1425)</f>
        <v>1065</v>
      </c>
      <c r="DH1425" s="14" t="s">
        <v>198</v>
      </c>
      <c r="DI1425" s="14">
        <f>INDEX(属性投放!$BL$6:$BL$85,(CV1425-2)*20+CZ1425)</f>
        <v>58</v>
      </c>
      <c r="DJ1425" s="14">
        <f>SUMIFS(DI$5:DI1425,$CT$5:$CT1425,"="&amp;$CT1425)</f>
        <v>537</v>
      </c>
      <c r="DK1425" s="14" t="s">
        <v>25</v>
      </c>
      <c r="DL1425" s="14">
        <f>INDEX(属性投放!$BM$6:$BM$85,(CV1425-2)*20+CZ1425)</f>
        <v>920</v>
      </c>
      <c r="DM1425" s="14">
        <f>SUMIFS(DL$5:DL1425,$CT$5:$CT1425,"="&amp;$CT1425)</f>
        <v>7890</v>
      </c>
    </row>
    <row r="1426" spans="97:117" ht="16.5" x14ac:dyDescent="0.2">
      <c r="CS1426" s="13">
        <v>1422</v>
      </c>
      <c r="CT1426" s="13">
        <f t="shared" si="1131"/>
        <v>28</v>
      </c>
      <c r="CU1426" s="13">
        <f t="shared" si="1134"/>
        <v>18</v>
      </c>
      <c r="CV1426" s="14">
        <f t="shared" si="1132"/>
        <v>4</v>
      </c>
      <c r="CW1426" s="14">
        <f t="shared" si="1133"/>
        <v>1102031</v>
      </c>
      <c r="CX1426" s="14" t="str">
        <f>INDEX($O$6:$O$50,CT1426)&amp;"-"&amp;INDEX(属性投放!$AB$7:$AB$50,CZ1426)&amp;"-魂火-"&amp;DB1426</f>
        <v>秦琼-叫唤+2-魂火-3</v>
      </c>
      <c r="CY1426" s="25" t="s">
        <v>142</v>
      </c>
      <c r="CZ1426" s="14">
        <f>INDEX(属性投放!$AM$7:$AM$58,CU1426)</f>
        <v>9</v>
      </c>
      <c r="DA1426" s="14" t="s">
        <v>537</v>
      </c>
      <c r="DB1426" s="14">
        <f>INDEX(属性投放!$AN$7:$AN$58,CU1426)</f>
        <v>3</v>
      </c>
      <c r="DC1426" s="14">
        <f t="shared" si="1135"/>
        <v>18</v>
      </c>
      <c r="DD1426" s="14">
        <f>INDEX(属性投放!$AO$7:$AO$58,DC1426)</f>
        <v>63</v>
      </c>
      <c r="DE1426" s="14" t="s">
        <v>242</v>
      </c>
      <c r="DF1426" s="14">
        <f>INDEX(属性投放!$BK$6:$BK$85,(CV1426-2)*20+CZ1426)</f>
        <v>115</v>
      </c>
      <c r="DG1426" s="14">
        <f>SUMIFS(DF$5:DF1426,$CT$5:$CT1426,"="&amp;$CT1426)</f>
        <v>1180</v>
      </c>
      <c r="DH1426" s="14" t="s">
        <v>198</v>
      </c>
      <c r="DI1426" s="14">
        <f>INDEX(属性投放!$BL$6:$BL$85,(CV1426-2)*20+CZ1426)</f>
        <v>58</v>
      </c>
      <c r="DJ1426" s="14">
        <f>SUMIFS(DI$5:DI1426,$CT$5:$CT1426,"="&amp;$CT1426)</f>
        <v>595</v>
      </c>
      <c r="DK1426" s="14" t="s">
        <v>25</v>
      </c>
      <c r="DL1426" s="14">
        <f>INDEX(属性投放!$BM$6:$BM$85,(CV1426-2)*20+CZ1426)</f>
        <v>920</v>
      </c>
      <c r="DM1426" s="14">
        <f>SUMIFS(DL$5:DL1426,$CT$5:$CT1426,"="&amp;$CT1426)</f>
        <v>8810</v>
      </c>
    </row>
    <row r="1427" spans="97:117" ht="16.5" x14ac:dyDescent="0.2">
      <c r="CS1427" s="13">
        <v>1423</v>
      </c>
      <c r="CT1427" s="13">
        <f t="shared" si="1131"/>
        <v>28</v>
      </c>
      <c r="CU1427" s="13">
        <f t="shared" si="1134"/>
        <v>19</v>
      </c>
      <c r="CV1427" s="14">
        <f t="shared" si="1132"/>
        <v>4</v>
      </c>
      <c r="CW1427" s="14">
        <f t="shared" si="1133"/>
        <v>1102031</v>
      </c>
      <c r="CX1427" s="14" t="str">
        <f>INDEX($O$6:$O$50,CT1427)&amp;"-"&amp;INDEX(属性投放!$AB$7:$AB$50,CZ1427)&amp;"-魂火-"&amp;DB1427</f>
        <v>秦琼-大叫唤-魂火-1</v>
      </c>
      <c r="CY1427" s="25" t="s">
        <v>142</v>
      </c>
      <c r="CZ1427" s="14">
        <f>INDEX(属性投放!$AM$7:$AM$58,CU1427)</f>
        <v>10</v>
      </c>
      <c r="DA1427" s="14" t="s">
        <v>537</v>
      </c>
      <c r="DB1427" s="14">
        <f>INDEX(属性投放!$AN$7:$AN$58,CU1427)</f>
        <v>1</v>
      </c>
      <c r="DC1427" s="14">
        <f t="shared" si="1135"/>
        <v>19</v>
      </c>
      <c r="DD1427" s="14">
        <f>INDEX(属性投放!$AO$7:$AO$58,DC1427)</f>
        <v>65</v>
      </c>
      <c r="DE1427" s="14" t="s">
        <v>242</v>
      </c>
      <c r="DF1427" s="14">
        <f>INDEX(属性投放!$BK$6:$BK$85,(CV1427-2)*20+CZ1427)</f>
        <v>130</v>
      </c>
      <c r="DG1427" s="14">
        <f>SUMIFS(DF$5:DF1427,$CT$5:$CT1427,"="&amp;$CT1427)</f>
        <v>1310</v>
      </c>
      <c r="DH1427" s="14" t="s">
        <v>198</v>
      </c>
      <c r="DI1427" s="14">
        <f>INDEX(属性投放!$BL$6:$BL$85,(CV1427-2)*20+CZ1427)</f>
        <v>65</v>
      </c>
      <c r="DJ1427" s="14">
        <f>SUMIFS(DI$5:DI1427,$CT$5:$CT1427,"="&amp;$CT1427)</f>
        <v>660</v>
      </c>
      <c r="DK1427" s="14" t="s">
        <v>25</v>
      </c>
      <c r="DL1427" s="14">
        <f>INDEX(属性投放!$BM$6:$BM$85,(CV1427-2)*20+CZ1427)</f>
        <v>1170</v>
      </c>
      <c r="DM1427" s="14">
        <f>SUMIFS(DL$5:DL1427,$CT$5:$CT1427,"="&amp;$CT1427)</f>
        <v>9980</v>
      </c>
    </row>
    <row r="1428" spans="97:117" ht="16.5" x14ac:dyDescent="0.2">
      <c r="CS1428" s="13">
        <v>1424</v>
      </c>
      <c r="CT1428" s="13">
        <f t="shared" si="1131"/>
        <v>28</v>
      </c>
      <c r="CU1428" s="13">
        <f t="shared" si="1134"/>
        <v>20</v>
      </c>
      <c r="CV1428" s="14">
        <f t="shared" si="1132"/>
        <v>4</v>
      </c>
      <c r="CW1428" s="14">
        <f t="shared" si="1133"/>
        <v>1102031</v>
      </c>
      <c r="CX1428" s="14" t="str">
        <f>INDEX($O$6:$O$50,CT1428)&amp;"-"&amp;INDEX(属性投放!$AB$7:$AB$50,CZ1428)&amp;"-魂火-"&amp;DB1428</f>
        <v>秦琼-大叫唤-魂火-2</v>
      </c>
      <c r="CY1428" s="25" t="s">
        <v>142</v>
      </c>
      <c r="CZ1428" s="14">
        <f>INDEX(属性投放!$AM$7:$AM$58,CU1428)</f>
        <v>10</v>
      </c>
      <c r="DA1428" s="14" t="s">
        <v>537</v>
      </c>
      <c r="DB1428" s="14">
        <f>INDEX(属性投放!$AN$7:$AN$58,CU1428)</f>
        <v>2</v>
      </c>
      <c r="DC1428" s="14">
        <f t="shared" si="1135"/>
        <v>20</v>
      </c>
      <c r="DD1428" s="14">
        <f>INDEX(属性投放!$AO$7:$AO$58,DC1428)</f>
        <v>68</v>
      </c>
      <c r="DE1428" s="14" t="s">
        <v>242</v>
      </c>
      <c r="DF1428" s="14">
        <f>INDEX(属性投放!$BK$6:$BK$85,(CV1428-2)*20+CZ1428)</f>
        <v>130</v>
      </c>
      <c r="DG1428" s="14">
        <f>SUMIFS(DF$5:DF1428,$CT$5:$CT1428,"="&amp;$CT1428)</f>
        <v>1440</v>
      </c>
      <c r="DH1428" s="14" t="s">
        <v>198</v>
      </c>
      <c r="DI1428" s="14">
        <f>INDEX(属性投放!$BL$6:$BL$85,(CV1428-2)*20+CZ1428)</f>
        <v>65</v>
      </c>
      <c r="DJ1428" s="14">
        <f>SUMIFS(DI$5:DI1428,$CT$5:$CT1428,"="&amp;$CT1428)</f>
        <v>725</v>
      </c>
      <c r="DK1428" s="14" t="s">
        <v>25</v>
      </c>
      <c r="DL1428" s="14">
        <f>INDEX(属性投放!$BM$6:$BM$85,(CV1428-2)*20+CZ1428)</f>
        <v>1170</v>
      </c>
      <c r="DM1428" s="14">
        <f>SUMIFS(DL$5:DL1428,$CT$5:$CT1428,"="&amp;$CT1428)</f>
        <v>11150</v>
      </c>
    </row>
    <row r="1429" spans="97:117" ht="16.5" x14ac:dyDescent="0.2">
      <c r="CS1429" s="13">
        <v>1425</v>
      </c>
      <c r="CT1429" s="13">
        <f t="shared" si="1131"/>
        <v>28</v>
      </c>
      <c r="CU1429" s="13">
        <f t="shared" si="1134"/>
        <v>21</v>
      </c>
      <c r="CV1429" s="14">
        <f t="shared" si="1132"/>
        <v>4</v>
      </c>
      <c r="CW1429" s="14">
        <f t="shared" si="1133"/>
        <v>1102031</v>
      </c>
      <c r="CX1429" s="14" t="str">
        <f>INDEX($O$6:$O$50,CT1429)&amp;"-"&amp;INDEX(属性投放!$AB$7:$AB$50,CZ1429)&amp;"-魂火-"&amp;DB1429</f>
        <v>秦琼-大叫唤-魂火-3</v>
      </c>
      <c r="CY1429" s="25" t="s">
        <v>142</v>
      </c>
      <c r="CZ1429" s="14">
        <f>INDEX(属性投放!$AM$7:$AM$58,CU1429)</f>
        <v>10</v>
      </c>
      <c r="DA1429" s="14" t="s">
        <v>537</v>
      </c>
      <c r="DB1429" s="14">
        <f>INDEX(属性投放!$AN$7:$AN$58,CU1429)</f>
        <v>3</v>
      </c>
      <c r="DC1429" s="14">
        <f t="shared" si="1135"/>
        <v>21</v>
      </c>
      <c r="DD1429" s="14">
        <f>INDEX(属性投放!$AO$7:$AO$58,DC1429)</f>
        <v>70</v>
      </c>
      <c r="DE1429" s="14" t="s">
        <v>242</v>
      </c>
      <c r="DF1429" s="14">
        <f>INDEX(属性投放!$BK$6:$BK$85,(CV1429-2)*20+CZ1429)</f>
        <v>130</v>
      </c>
      <c r="DG1429" s="14">
        <f>SUMIFS(DF$5:DF1429,$CT$5:$CT1429,"="&amp;$CT1429)</f>
        <v>1570</v>
      </c>
      <c r="DH1429" s="14" t="s">
        <v>198</v>
      </c>
      <c r="DI1429" s="14">
        <f>INDEX(属性投放!$BL$6:$BL$85,(CV1429-2)*20+CZ1429)</f>
        <v>65</v>
      </c>
      <c r="DJ1429" s="14">
        <f>SUMIFS(DI$5:DI1429,$CT$5:$CT1429,"="&amp;$CT1429)</f>
        <v>790</v>
      </c>
      <c r="DK1429" s="14" t="s">
        <v>25</v>
      </c>
      <c r="DL1429" s="14">
        <f>INDEX(属性投放!$BM$6:$BM$85,(CV1429-2)*20+CZ1429)</f>
        <v>1170</v>
      </c>
      <c r="DM1429" s="14">
        <f>SUMIFS(DL$5:DL1429,$CT$5:$CT1429,"="&amp;$CT1429)</f>
        <v>12320</v>
      </c>
    </row>
    <row r="1430" spans="97:117" ht="16.5" x14ac:dyDescent="0.2">
      <c r="CS1430" s="13">
        <v>1426</v>
      </c>
      <c r="CT1430" s="13">
        <f t="shared" si="1131"/>
        <v>28</v>
      </c>
      <c r="CU1430" s="13">
        <f t="shared" si="1134"/>
        <v>22</v>
      </c>
      <c r="CV1430" s="14">
        <f t="shared" si="1132"/>
        <v>4</v>
      </c>
      <c r="CW1430" s="14">
        <f t="shared" si="1133"/>
        <v>1102031</v>
      </c>
      <c r="CX1430" s="14" t="str">
        <f>INDEX($O$6:$O$50,CT1430)&amp;"-"&amp;INDEX(属性投放!$AB$7:$AB$50,CZ1430)&amp;"-魂火-"&amp;DB1430</f>
        <v>秦琼-大叫唤+1-魂火-1</v>
      </c>
      <c r="CY1430" s="25" t="s">
        <v>142</v>
      </c>
      <c r="CZ1430" s="14">
        <f>INDEX(属性投放!$AM$7:$AM$58,CU1430)</f>
        <v>11</v>
      </c>
      <c r="DA1430" s="14" t="s">
        <v>537</v>
      </c>
      <c r="DB1430" s="14">
        <f>INDEX(属性投放!$AN$7:$AN$58,CU1430)</f>
        <v>1</v>
      </c>
      <c r="DC1430" s="14">
        <f t="shared" si="1135"/>
        <v>22</v>
      </c>
      <c r="DD1430" s="14">
        <f>INDEX(属性投放!$AO$7:$AO$58,DC1430)</f>
        <v>73</v>
      </c>
      <c r="DE1430" s="14" t="s">
        <v>242</v>
      </c>
      <c r="DF1430" s="14">
        <f>INDEX(属性投放!$BK$6:$BK$85,(CV1430-2)*20+CZ1430)</f>
        <v>170</v>
      </c>
      <c r="DG1430" s="14">
        <f>SUMIFS(DF$5:DF1430,$CT$5:$CT1430,"="&amp;$CT1430)</f>
        <v>1740</v>
      </c>
      <c r="DH1430" s="14" t="s">
        <v>198</v>
      </c>
      <c r="DI1430" s="14">
        <f>INDEX(属性投放!$BL$6:$BL$85,(CV1430-2)*20+CZ1430)</f>
        <v>85</v>
      </c>
      <c r="DJ1430" s="14">
        <f>SUMIFS(DI$5:DI1430,$CT$5:$CT1430,"="&amp;$CT1430)</f>
        <v>875</v>
      </c>
      <c r="DK1430" s="14" t="s">
        <v>25</v>
      </c>
      <c r="DL1430" s="14">
        <f>INDEX(属性投放!$BM$6:$BM$85,(CV1430-2)*20+CZ1430)</f>
        <v>1530</v>
      </c>
      <c r="DM1430" s="14">
        <f>SUMIFS(DL$5:DL1430,$CT$5:$CT1430,"="&amp;$CT1430)</f>
        <v>13850</v>
      </c>
    </row>
    <row r="1431" spans="97:117" ht="16.5" x14ac:dyDescent="0.2">
      <c r="CS1431" s="13">
        <v>1427</v>
      </c>
      <c r="CT1431" s="13">
        <f t="shared" si="1131"/>
        <v>28</v>
      </c>
      <c r="CU1431" s="13">
        <f t="shared" si="1134"/>
        <v>23</v>
      </c>
      <c r="CV1431" s="14">
        <f t="shared" si="1132"/>
        <v>4</v>
      </c>
      <c r="CW1431" s="14">
        <f t="shared" si="1133"/>
        <v>1102031</v>
      </c>
      <c r="CX1431" s="14" t="str">
        <f>INDEX($O$6:$O$50,CT1431)&amp;"-"&amp;INDEX(属性投放!$AB$7:$AB$50,CZ1431)&amp;"-魂火-"&amp;DB1431</f>
        <v>秦琼-大叫唤+1-魂火-2</v>
      </c>
      <c r="CY1431" s="25" t="s">
        <v>142</v>
      </c>
      <c r="CZ1431" s="14">
        <f>INDEX(属性投放!$AM$7:$AM$58,CU1431)</f>
        <v>11</v>
      </c>
      <c r="DA1431" s="14" t="s">
        <v>537</v>
      </c>
      <c r="DB1431" s="14">
        <f>INDEX(属性投放!$AN$7:$AN$58,CU1431)</f>
        <v>2</v>
      </c>
      <c r="DC1431" s="14">
        <f t="shared" si="1135"/>
        <v>23</v>
      </c>
      <c r="DD1431" s="14">
        <f>INDEX(属性投放!$AO$7:$AO$58,DC1431)</f>
        <v>75</v>
      </c>
      <c r="DE1431" s="14" t="s">
        <v>242</v>
      </c>
      <c r="DF1431" s="14">
        <f>INDEX(属性投放!$BK$6:$BK$85,(CV1431-2)*20+CZ1431)</f>
        <v>170</v>
      </c>
      <c r="DG1431" s="14">
        <f>SUMIFS(DF$5:DF1431,$CT$5:$CT1431,"="&amp;$CT1431)</f>
        <v>1910</v>
      </c>
      <c r="DH1431" s="14" t="s">
        <v>198</v>
      </c>
      <c r="DI1431" s="14">
        <f>INDEX(属性投放!$BL$6:$BL$85,(CV1431-2)*20+CZ1431)</f>
        <v>85</v>
      </c>
      <c r="DJ1431" s="14">
        <f>SUMIFS(DI$5:DI1431,$CT$5:$CT1431,"="&amp;$CT1431)</f>
        <v>960</v>
      </c>
      <c r="DK1431" s="14" t="s">
        <v>25</v>
      </c>
      <c r="DL1431" s="14">
        <f>INDEX(属性投放!$BM$6:$BM$85,(CV1431-2)*20+CZ1431)</f>
        <v>1530</v>
      </c>
      <c r="DM1431" s="14">
        <f>SUMIFS(DL$5:DL1431,$CT$5:$CT1431,"="&amp;$CT1431)</f>
        <v>15380</v>
      </c>
    </row>
    <row r="1432" spans="97:117" ht="16.5" x14ac:dyDescent="0.2">
      <c r="CS1432" s="13">
        <v>1428</v>
      </c>
      <c r="CT1432" s="13">
        <f t="shared" si="1131"/>
        <v>28</v>
      </c>
      <c r="CU1432" s="13">
        <f t="shared" si="1134"/>
        <v>24</v>
      </c>
      <c r="CV1432" s="14">
        <f t="shared" si="1132"/>
        <v>4</v>
      </c>
      <c r="CW1432" s="14">
        <f t="shared" si="1133"/>
        <v>1102031</v>
      </c>
      <c r="CX1432" s="14" t="str">
        <f>INDEX($O$6:$O$50,CT1432)&amp;"-"&amp;INDEX(属性投放!$AB$7:$AB$50,CZ1432)&amp;"-魂火-"&amp;DB1432</f>
        <v>秦琼-大叫唤+1-魂火-3</v>
      </c>
      <c r="CY1432" s="25" t="s">
        <v>142</v>
      </c>
      <c r="CZ1432" s="14">
        <f>INDEX(属性投放!$AM$7:$AM$58,CU1432)</f>
        <v>11</v>
      </c>
      <c r="DA1432" s="14" t="s">
        <v>537</v>
      </c>
      <c r="DB1432" s="14">
        <f>INDEX(属性投放!$AN$7:$AN$58,CU1432)</f>
        <v>3</v>
      </c>
      <c r="DC1432" s="14">
        <f t="shared" si="1135"/>
        <v>24</v>
      </c>
      <c r="DD1432" s="14">
        <f>INDEX(属性投放!$AO$7:$AO$58,DC1432)</f>
        <v>78</v>
      </c>
      <c r="DE1432" s="14" t="s">
        <v>242</v>
      </c>
      <c r="DF1432" s="14">
        <f>INDEX(属性投放!$BK$6:$BK$85,(CV1432-2)*20+CZ1432)</f>
        <v>170</v>
      </c>
      <c r="DG1432" s="14">
        <f>SUMIFS(DF$5:DF1432,$CT$5:$CT1432,"="&amp;$CT1432)</f>
        <v>2080</v>
      </c>
      <c r="DH1432" s="14" t="s">
        <v>198</v>
      </c>
      <c r="DI1432" s="14">
        <f>INDEX(属性投放!$BL$6:$BL$85,(CV1432-2)*20+CZ1432)</f>
        <v>85</v>
      </c>
      <c r="DJ1432" s="14">
        <f>SUMIFS(DI$5:DI1432,$CT$5:$CT1432,"="&amp;$CT1432)</f>
        <v>1045</v>
      </c>
      <c r="DK1432" s="14" t="s">
        <v>25</v>
      </c>
      <c r="DL1432" s="14">
        <f>INDEX(属性投放!$BM$6:$BM$85,(CV1432-2)*20+CZ1432)</f>
        <v>1530</v>
      </c>
      <c r="DM1432" s="14">
        <f>SUMIFS(DL$5:DL1432,$CT$5:$CT1432,"="&amp;$CT1432)</f>
        <v>16910</v>
      </c>
    </row>
    <row r="1433" spans="97:117" ht="16.5" x14ac:dyDescent="0.2">
      <c r="CS1433" s="13">
        <v>1429</v>
      </c>
      <c r="CT1433" s="13">
        <f t="shared" si="1131"/>
        <v>28</v>
      </c>
      <c r="CU1433" s="13">
        <f t="shared" si="1134"/>
        <v>25</v>
      </c>
      <c r="CV1433" s="14">
        <f t="shared" si="1132"/>
        <v>4</v>
      </c>
      <c r="CW1433" s="14">
        <f t="shared" si="1133"/>
        <v>1102031</v>
      </c>
      <c r="CX1433" s="14" t="str">
        <f>INDEX($O$6:$O$50,CT1433)&amp;"-"&amp;INDEX(属性投放!$AB$7:$AB$50,CZ1433)&amp;"-魂火-"&amp;DB1433</f>
        <v>秦琼-大叫唤+2-魂火-1</v>
      </c>
      <c r="CY1433" s="25" t="s">
        <v>142</v>
      </c>
      <c r="CZ1433" s="14">
        <f>INDEX(属性投放!$AM$7:$AM$58,CU1433)</f>
        <v>12</v>
      </c>
      <c r="DA1433" s="14" t="s">
        <v>537</v>
      </c>
      <c r="DB1433" s="14">
        <f>INDEX(属性投放!$AN$7:$AN$58,CU1433)</f>
        <v>1</v>
      </c>
      <c r="DC1433" s="14">
        <f t="shared" si="1135"/>
        <v>25</v>
      </c>
      <c r="DD1433" s="14">
        <f>INDEX(属性投放!$AO$7:$AO$58,DC1433)</f>
        <v>80</v>
      </c>
      <c r="DE1433" s="14" t="s">
        <v>242</v>
      </c>
      <c r="DF1433" s="14">
        <f>INDEX(属性投放!$BK$6:$BK$85,(CV1433-2)*20+CZ1433)</f>
        <v>225</v>
      </c>
      <c r="DG1433" s="14">
        <f>SUMIFS(DF$5:DF1433,$CT$5:$CT1433,"="&amp;$CT1433)</f>
        <v>2305</v>
      </c>
      <c r="DH1433" s="14" t="s">
        <v>198</v>
      </c>
      <c r="DI1433" s="14">
        <f>INDEX(属性投放!$BL$6:$BL$85,(CV1433-2)*20+CZ1433)</f>
        <v>113</v>
      </c>
      <c r="DJ1433" s="14">
        <f>SUMIFS(DI$5:DI1433,$CT$5:$CT1433,"="&amp;$CT1433)</f>
        <v>1158</v>
      </c>
      <c r="DK1433" s="14" t="s">
        <v>25</v>
      </c>
      <c r="DL1433" s="14">
        <f>INDEX(属性投放!$BM$6:$BM$85,(CV1433-2)*20+CZ1433)</f>
        <v>2025</v>
      </c>
      <c r="DM1433" s="14">
        <f>SUMIFS(DL$5:DL1433,$CT$5:$CT1433,"="&amp;$CT1433)</f>
        <v>18935</v>
      </c>
    </row>
    <row r="1434" spans="97:117" ht="16.5" x14ac:dyDescent="0.2">
      <c r="CS1434" s="13">
        <v>1430</v>
      </c>
      <c r="CT1434" s="13">
        <f t="shared" si="1131"/>
        <v>28</v>
      </c>
      <c r="CU1434" s="13">
        <f t="shared" si="1134"/>
        <v>26</v>
      </c>
      <c r="CV1434" s="14">
        <f t="shared" si="1132"/>
        <v>4</v>
      </c>
      <c r="CW1434" s="14">
        <f t="shared" si="1133"/>
        <v>1102031</v>
      </c>
      <c r="CX1434" s="14" t="str">
        <f>INDEX($O$6:$O$50,CT1434)&amp;"-"&amp;INDEX(属性投放!$AB$7:$AB$50,CZ1434)&amp;"-魂火-"&amp;DB1434</f>
        <v>秦琼-大叫唤+2-魂火-2</v>
      </c>
      <c r="CY1434" s="25" t="s">
        <v>142</v>
      </c>
      <c r="CZ1434" s="14">
        <f>INDEX(属性投放!$AM$7:$AM$58,CU1434)</f>
        <v>12</v>
      </c>
      <c r="DA1434" s="14" t="s">
        <v>537</v>
      </c>
      <c r="DB1434" s="14">
        <f>INDEX(属性投放!$AN$7:$AN$58,CU1434)</f>
        <v>2</v>
      </c>
      <c r="DC1434" s="14">
        <f t="shared" si="1135"/>
        <v>26</v>
      </c>
      <c r="DD1434" s="14">
        <f>INDEX(属性投放!$AO$7:$AO$58,DC1434)</f>
        <v>83</v>
      </c>
      <c r="DE1434" s="14" t="s">
        <v>242</v>
      </c>
      <c r="DF1434" s="14">
        <f>INDEX(属性投放!$BK$6:$BK$85,(CV1434-2)*20+CZ1434)</f>
        <v>225</v>
      </c>
      <c r="DG1434" s="14">
        <f>SUMIFS(DF$5:DF1434,$CT$5:$CT1434,"="&amp;$CT1434)</f>
        <v>2530</v>
      </c>
      <c r="DH1434" s="14" t="s">
        <v>198</v>
      </c>
      <c r="DI1434" s="14">
        <f>INDEX(属性投放!$BL$6:$BL$85,(CV1434-2)*20+CZ1434)</f>
        <v>113</v>
      </c>
      <c r="DJ1434" s="14">
        <f>SUMIFS(DI$5:DI1434,$CT$5:$CT1434,"="&amp;$CT1434)</f>
        <v>1271</v>
      </c>
      <c r="DK1434" s="14" t="s">
        <v>25</v>
      </c>
      <c r="DL1434" s="14">
        <f>INDEX(属性投放!$BM$6:$BM$85,(CV1434-2)*20+CZ1434)</f>
        <v>2025</v>
      </c>
      <c r="DM1434" s="14">
        <f>SUMIFS(DL$5:DL1434,$CT$5:$CT1434,"="&amp;$CT1434)</f>
        <v>20960</v>
      </c>
    </row>
    <row r="1435" spans="97:117" ht="16.5" x14ac:dyDescent="0.2">
      <c r="CS1435" s="13">
        <v>1431</v>
      </c>
      <c r="CT1435" s="13">
        <f t="shared" si="1131"/>
        <v>28</v>
      </c>
      <c r="CU1435" s="13">
        <f t="shared" si="1134"/>
        <v>27</v>
      </c>
      <c r="CV1435" s="14">
        <f t="shared" si="1132"/>
        <v>4</v>
      </c>
      <c r="CW1435" s="14">
        <f t="shared" si="1133"/>
        <v>1102031</v>
      </c>
      <c r="CX1435" s="14" t="str">
        <f>INDEX($O$6:$O$50,CT1435)&amp;"-"&amp;INDEX(属性投放!$AB$7:$AB$50,CZ1435)&amp;"-魂火-"&amp;DB1435</f>
        <v>秦琼-大叫唤+2-魂火-3</v>
      </c>
      <c r="CY1435" s="25" t="s">
        <v>142</v>
      </c>
      <c r="CZ1435" s="14">
        <f>INDEX(属性投放!$AM$7:$AM$58,CU1435)</f>
        <v>12</v>
      </c>
      <c r="DA1435" s="14" t="s">
        <v>537</v>
      </c>
      <c r="DB1435" s="14">
        <f>INDEX(属性投放!$AN$7:$AN$58,CU1435)</f>
        <v>3</v>
      </c>
      <c r="DC1435" s="14">
        <f t="shared" si="1135"/>
        <v>27</v>
      </c>
      <c r="DD1435" s="14">
        <f>INDEX(属性投放!$AO$7:$AO$58,DC1435)</f>
        <v>85</v>
      </c>
      <c r="DE1435" s="14" t="s">
        <v>242</v>
      </c>
      <c r="DF1435" s="14">
        <f>INDEX(属性投放!$BK$6:$BK$85,(CV1435-2)*20+CZ1435)</f>
        <v>225</v>
      </c>
      <c r="DG1435" s="14">
        <f>SUMIFS(DF$5:DF1435,$CT$5:$CT1435,"="&amp;$CT1435)</f>
        <v>2755</v>
      </c>
      <c r="DH1435" s="14" t="s">
        <v>198</v>
      </c>
      <c r="DI1435" s="14">
        <f>INDEX(属性投放!$BL$6:$BL$85,(CV1435-2)*20+CZ1435)</f>
        <v>113</v>
      </c>
      <c r="DJ1435" s="14">
        <f>SUMIFS(DI$5:DI1435,$CT$5:$CT1435,"="&amp;$CT1435)</f>
        <v>1384</v>
      </c>
      <c r="DK1435" s="14" t="s">
        <v>25</v>
      </c>
      <c r="DL1435" s="14">
        <f>INDEX(属性投放!$BM$6:$BM$85,(CV1435-2)*20+CZ1435)</f>
        <v>2025</v>
      </c>
      <c r="DM1435" s="14">
        <f>SUMIFS(DL$5:DL1435,$CT$5:$CT1435,"="&amp;$CT1435)</f>
        <v>22985</v>
      </c>
    </row>
    <row r="1436" spans="97:117" ht="16.5" x14ac:dyDescent="0.2">
      <c r="CS1436" s="13">
        <v>1432</v>
      </c>
      <c r="CT1436" s="13">
        <f t="shared" si="1131"/>
        <v>28</v>
      </c>
      <c r="CU1436" s="13">
        <f t="shared" si="1134"/>
        <v>28</v>
      </c>
      <c r="CV1436" s="14">
        <f t="shared" si="1132"/>
        <v>4</v>
      </c>
      <c r="CW1436" s="14">
        <f t="shared" si="1133"/>
        <v>1102031</v>
      </c>
      <c r="CX1436" s="14" t="str">
        <f>INDEX($O$6:$O$50,CT1436)&amp;"-"&amp;INDEX(属性投放!$AB$7:$AB$50,CZ1436)&amp;"-魂火-"&amp;DB1436</f>
        <v>秦琼-焦热-魂火-1</v>
      </c>
      <c r="CY1436" s="25" t="s">
        <v>142</v>
      </c>
      <c r="CZ1436" s="14">
        <f>INDEX(属性投放!$AM$7:$AM$58,CU1436)</f>
        <v>13</v>
      </c>
      <c r="DA1436" s="14" t="s">
        <v>537</v>
      </c>
      <c r="DB1436" s="14">
        <f>INDEX(属性投放!$AN$7:$AN$58,CU1436)</f>
        <v>1</v>
      </c>
      <c r="DC1436" s="14">
        <f t="shared" si="1135"/>
        <v>28</v>
      </c>
      <c r="DD1436" s="14">
        <f>INDEX(属性投放!$AO$7:$AO$58,DC1436)</f>
        <v>88</v>
      </c>
      <c r="DE1436" s="14" t="s">
        <v>242</v>
      </c>
      <c r="DF1436" s="14">
        <f>INDEX(属性投放!$BK$6:$BK$85,(CV1436-2)*20+CZ1436)</f>
        <v>275</v>
      </c>
      <c r="DG1436" s="14">
        <f>SUMIFS(DF$5:DF1436,$CT$5:$CT1436,"="&amp;$CT1436)</f>
        <v>3030</v>
      </c>
      <c r="DH1436" s="14" t="s">
        <v>198</v>
      </c>
      <c r="DI1436" s="14">
        <f>INDEX(属性投放!$BL$6:$BL$85,(CV1436-2)*20+CZ1436)</f>
        <v>138</v>
      </c>
      <c r="DJ1436" s="14">
        <f>SUMIFS(DI$5:DI1436,$CT$5:$CT1436,"="&amp;$CT1436)</f>
        <v>1522</v>
      </c>
      <c r="DK1436" s="14" t="s">
        <v>25</v>
      </c>
      <c r="DL1436" s="14">
        <f>INDEX(属性投放!$BM$6:$BM$85,(CV1436-2)*20+CZ1436)</f>
        <v>2750</v>
      </c>
      <c r="DM1436" s="14">
        <f>SUMIFS(DL$5:DL1436,$CT$5:$CT1436,"="&amp;$CT1436)</f>
        <v>25735</v>
      </c>
    </row>
    <row r="1437" spans="97:117" ht="16.5" x14ac:dyDescent="0.2">
      <c r="CS1437" s="13">
        <v>1433</v>
      </c>
      <c r="CT1437" s="13">
        <f t="shared" si="1131"/>
        <v>28</v>
      </c>
      <c r="CU1437" s="13">
        <f t="shared" si="1134"/>
        <v>29</v>
      </c>
      <c r="CV1437" s="14">
        <f t="shared" si="1132"/>
        <v>4</v>
      </c>
      <c r="CW1437" s="14">
        <f t="shared" si="1133"/>
        <v>1102031</v>
      </c>
      <c r="CX1437" s="14" t="str">
        <f>INDEX($O$6:$O$50,CT1437)&amp;"-"&amp;INDEX(属性投放!$AB$7:$AB$50,CZ1437)&amp;"-魂火-"&amp;DB1437</f>
        <v>秦琼-焦热-魂火-2</v>
      </c>
      <c r="CY1437" s="25" t="s">
        <v>142</v>
      </c>
      <c r="CZ1437" s="14">
        <f>INDEX(属性投放!$AM$7:$AM$58,CU1437)</f>
        <v>13</v>
      </c>
      <c r="DA1437" s="14" t="s">
        <v>537</v>
      </c>
      <c r="DB1437" s="14">
        <f>INDEX(属性投放!$AN$7:$AN$58,CU1437)</f>
        <v>2</v>
      </c>
      <c r="DC1437" s="14">
        <f t="shared" si="1135"/>
        <v>29</v>
      </c>
      <c r="DD1437" s="14">
        <f>INDEX(属性投放!$AO$7:$AO$58,DC1437)</f>
        <v>90</v>
      </c>
      <c r="DE1437" s="14" t="s">
        <v>242</v>
      </c>
      <c r="DF1437" s="14">
        <f>INDEX(属性投放!$BK$6:$BK$85,(CV1437-2)*20+CZ1437)</f>
        <v>275</v>
      </c>
      <c r="DG1437" s="14">
        <f>SUMIFS(DF$5:DF1437,$CT$5:$CT1437,"="&amp;$CT1437)</f>
        <v>3305</v>
      </c>
      <c r="DH1437" s="14" t="s">
        <v>198</v>
      </c>
      <c r="DI1437" s="14">
        <f>INDEX(属性投放!$BL$6:$BL$85,(CV1437-2)*20+CZ1437)</f>
        <v>138</v>
      </c>
      <c r="DJ1437" s="14">
        <f>SUMIFS(DI$5:DI1437,$CT$5:$CT1437,"="&amp;$CT1437)</f>
        <v>1660</v>
      </c>
      <c r="DK1437" s="14" t="s">
        <v>25</v>
      </c>
      <c r="DL1437" s="14">
        <f>INDEX(属性投放!$BM$6:$BM$85,(CV1437-2)*20+CZ1437)</f>
        <v>2750</v>
      </c>
      <c r="DM1437" s="14">
        <f>SUMIFS(DL$5:DL1437,$CT$5:$CT1437,"="&amp;$CT1437)</f>
        <v>28485</v>
      </c>
    </row>
    <row r="1438" spans="97:117" ht="16.5" x14ac:dyDescent="0.2">
      <c r="CS1438" s="13">
        <v>1434</v>
      </c>
      <c r="CT1438" s="13">
        <f t="shared" si="1131"/>
        <v>28</v>
      </c>
      <c r="CU1438" s="13">
        <f t="shared" si="1134"/>
        <v>30</v>
      </c>
      <c r="CV1438" s="14">
        <f t="shared" si="1132"/>
        <v>4</v>
      </c>
      <c r="CW1438" s="14">
        <f t="shared" si="1133"/>
        <v>1102031</v>
      </c>
      <c r="CX1438" s="14" t="str">
        <f>INDEX($O$6:$O$50,CT1438)&amp;"-"&amp;INDEX(属性投放!$AB$7:$AB$50,CZ1438)&amp;"-魂火-"&amp;DB1438</f>
        <v>秦琼-焦热-魂火-3</v>
      </c>
      <c r="CY1438" s="25" t="s">
        <v>142</v>
      </c>
      <c r="CZ1438" s="14">
        <f>INDEX(属性投放!$AM$7:$AM$58,CU1438)</f>
        <v>13</v>
      </c>
      <c r="DA1438" s="14" t="s">
        <v>537</v>
      </c>
      <c r="DB1438" s="14">
        <f>INDEX(属性投放!$AN$7:$AN$58,CU1438)</f>
        <v>3</v>
      </c>
      <c r="DC1438" s="14">
        <f t="shared" si="1135"/>
        <v>30</v>
      </c>
      <c r="DD1438" s="14">
        <f>INDEX(属性投放!$AO$7:$AO$58,DC1438)</f>
        <v>93</v>
      </c>
      <c r="DE1438" s="14" t="s">
        <v>242</v>
      </c>
      <c r="DF1438" s="14">
        <f>INDEX(属性投放!$BK$6:$BK$85,(CV1438-2)*20+CZ1438)</f>
        <v>275</v>
      </c>
      <c r="DG1438" s="14">
        <f>SUMIFS(DF$5:DF1438,$CT$5:$CT1438,"="&amp;$CT1438)</f>
        <v>3580</v>
      </c>
      <c r="DH1438" s="14" t="s">
        <v>198</v>
      </c>
      <c r="DI1438" s="14">
        <f>INDEX(属性投放!$BL$6:$BL$85,(CV1438-2)*20+CZ1438)</f>
        <v>138</v>
      </c>
      <c r="DJ1438" s="14">
        <f>SUMIFS(DI$5:DI1438,$CT$5:$CT1438,"="&amp;$CT1438)</f>
        <v>1798</v>
      </c>
      <c r="DK1438" s="14" t="s">
        <v>25</v>
      </c>
      <c r="DL1438" s="14">
        <f>INDEX(属性投放!$BM$6:$BM$85,(CV1438-2)*20+CZ1438)</f>
        <v>2750</v>
      </c>
      <c r="DM1438" s="14">
        <f>SUMIFS(DL$5:DL1438,$CT$5:$CT1438,"="&amp;$CT1438)</f>
        <v>31235</v>
      </c>
    </row>
    <row r="1439" spans="97:117" ht="16.5" x14ac:dyDescent="0.2">
      <c r="CS1439" s="13">
        <v>1435</v>
      </c>
      <c r="CT1439" s="13">
        <f t="shared" si="1131"/>
        <v>28</v>
      </c>
      <c r="CU1439" s="13">
        <f t="shared" si="1134"/>
        <v>31</v>
      </c>
      <c r="CV1439" s="14">
        <f t="shared" si="1132"/>
        <v>4</v>
      </c>
      <c r="CW1439" s="14">
        <f t="shared" si="1133"/>
        <v>1102031</v>
      </c>
      <c r="CX1439" s="14" t="str">
        <f>INDEX($O$6:$O$50,CT1439)&amp;"-"&amp;INDEX(属性投放!$AB$7:$AB$50,CZ1439)&amp;"-魂火-"&amp;DB1439</f>
        <v>秦琼-焦热+1-魂火-1</v>
      </c>
      <c r="CY1439" s="25" t="s">
        <v>142</v>
      </c>
      <c r="CZ1439" s="14">
        <f>INDEX(属性投放!$AM$7:$AM$58,CU1439)</f>
        <v>14</v>
      </c>
      <c r="DA1439" s="14" t="s">
        <v>537</v>
      </c>
      <c r="DB1439" s="14">
        <f>INDEX(属性投放!$AN$7:$AN$58,CU1439)</f>
        <v>1</v>
      </c>
      <c r="DC1439" s="14">
        <f t="shared" si="1135"/>
        <v>31</v>
      </c>
      <c r="DD1439" s="14">
        <f>INDEX(属性投放!$AO$7:$AO$58,DC1439)</f>
        <v>95</v>
      </c>
      <c r="DE1439" s="14" t="s">
        <v>242</v>
      </c>
      <c r="DF1439" s="14">
        <f>INDEX(属性投放!$BK$6:$BK$85,(CV1439-2)*20+CZ1439)</f>
        <v>320</v>
      </c>
      <c r="DG1439" s="14">
        <f>SUMIFS(DF$5:DF1439,$CT$5:$CT1439,"="&amp;$CT1439)</f>
        <v>3900</v>
      </c>
      <c r="DH1439" s="14" t="s">
        <v>198</v>
      </c>
      <c r="DI1439" s="14">
        <f>INDEX(属性投放!$BL$6:$BL$85,(CV1439-2)*20+CZ1439)</f>
        <v>160</v>
      </c>
      <c r="DJ1439" s="14">
        <f>SUMIFS(DI$5:DI1439,$CT$5:$CT1439,"="&amp;$CT1439)</f>
        <v>1958</v>
      </c>
      <c r="DK1439" s="14" t="s">
        <v>25</v>
      </c>
      <c r="DL1439" s="14">
        <f>INDEX(属性投放!$BM$6:$BM$85,(CV1439-2)*20+CZ1439)</f>
        <v>3200</v>
      </c>
      <c r="DM1439" s="14">
        <f>SUMIFS(DL$5:DL1439,$CT$5:$CT1439,"="&amp;$CT1439)</f>
        <v>34435</v>
      </c>
    </row>
    <row r="1440" spans="97:117" ht="16.5" x14ac:dyDescent="0.2">
      <c r="CS1440" s="13">
        <v>1436</v>
      </c>
      <c r="CT1440" s="13">
        <f t="shared" si="1131"/>
        <v>28</v>
      </c>
      <c r="CU1440" s="13">
        <f t="shared" si="1134"/>
        <v>32</v>
      </c>
      <c r="CV1440" s="14">
        <f t="shared" si="1132"/>
        <v>4</v>
      </c>
      <c r="CW1440" s="14">
        <f t="shared" si="1133"/>
        <v>1102031</v>
      </c>
      <c r="CX1440" s="14" t="str">
        <f>INDEX($O$6:$O$50,CT1440)&amp;"-"&amp;INDEX(属性投放!$AB$7:$AB$50,CZ1440)&amp;"-魂火-"&amp;DB1440</f>
        <v>秦琼-焦热+1-魂火-2</v>
      </c>
      <c r="CY1440" s="25" t="s">
        <v>142</v>
      </c>
      <c r="CZ1440" s="14">
        <f>INDEX(属性投放!$AM$7:$AM$58,CU1440)</f>
        <v>14</v>
      </c>
      <c r="DA1440" s="14" t="s">
        <v>537</v>
      </c>
      <c r="DB1440" s="14">
        <f>INDEX(属性投放!$AN$7:$AN$58,CU1440)</f>
        <v>2</v>
      </c>
      <c r="DC1440" s="14">
        <f t="shared" si="1135"/>
        <v>32</v>
      </c>
      <c r="DD1440" s="14">
        <f>INDEX(属性投放!$AO$7:$AO$58,DC1440)</f>
        <v>98</v>
      </c>
      <c r="DE1440" s="14" t="s">
        <v>242</v>
      </c>
      <c r="DF1440" s="14">
        <f>INDEX(属性投放!$BK$6:$BK$85,(CV1440-2)*20+CZ1440)</f>
        <v>320</v>
      </c>
      <c r="DG1440" s="14">
        <f>SUMIFS(DF$5:DF1440,$CT$5:$CT1440,"="&amp;$CT1440)</f>
        <v>4220</v>
      </c>
      <c r="DH1440" s="14" t="s">
        <v>198</v>
      </c>
      <c r="DI1440" s="14">
        <f>INDEX(属性投放!$BL$6:$BL$85,(CV1440-2)*20+CZ1440)</f>
        <v>160</v>
      </c>
      <c r="DJ1440" s="14">
        <f>SUMIFS(DI$5:DI1440,$CT$5:$CT1440,"="&amp;$CT1440)</f>
        <v>2118</v>
      </c>
      <c r="DK1440" s="14" t="s">
        <v>25</v>
      </c>
      <c r="DL1440" s="14">
        <f>INDEX(属性投放!$BM$6:$BM$85,(CV1440-2)*20+CZ1440)</f>
        <v>3200</v>
      </c>
      <c r="DM1440" s="14">
        <f>SUMIFS(DL$5:DL1440,$CT$5:$CT1440,"="&amp;$CT1440)</f>
        <v>37635</v>
      </c>
    </row>
    <row r="1441" spans="97:117" ht="16.5" x14ac:dyDescent="0.2">
      <c r="CS1441" s="13">
        <v>1437</v>
      </c>
      <c r="CT1441" s="13">
        <f t="shared" si="1131"/>
        <v>28</v>
      </c>
      <c r="CU1441" s="13">
        <f t="shared" si="1134"/>
        <v>33</v>
      </c>
      <c r="CV1441" s="14">
        <f t="shared" si="1132"/>
        <v>4</v>
      </c>
      <c r="CW1441" s="14">
        <f t="shared" si="1133"/>
        <v>1102031</v>
      </c>
      <c r="CX1441" s="14" t="str">
        <f>INDEX($O$6:$O$50,CT1441)&amp;"-"&amp;INDEX(属性投放!$AB$7:$AB$50,CZ1441)&amp;"-魂火-"&amp;DB1441</f>
        <v>秦琼-焦热+1-魂火-3</v>
      </c>
      <c r="CY1441" s="25" t="s">
        <v>142</v>
      </c>
      <c r="CZ1441" s="14">
        <f>INDEX(属性投放!$AM$7:$AM$58,CU1441)</f>
        <v>14</v>
      </c>
      <c r="DA1441" s="14" t="s">
        <v>537</v>
      </c>
      <c r="DB1441" s="14">
        <f>INDEX(属性投放!$AN$7:$AN$58,CU1441)</f>
        <v>3</v>
      </c>
      <c r="DC1441" s="14">
        <f t="shared" si="1135"/>
        <v>33</v>
      </c>
      <c r="DD1441" s="14">
        <f>INDEX(属性投放!$AO$7:$AO$58,DC1441)</f>
        <v>100</v>
      </c>
      <c r="DE1441" s="14" t="s">
        <v>242</v>
      </c>
      <c r="DF1441" s="14">
        <f>INDEX(属性投放!$BK$6:$BK$85,(CV1441-2)*20+CZ1441)</f>
        <v>320</v>
      </c>
      <c r="DG1441" s="14">
        <f>SUMIFS(DF$5:DF1441,$CT$5:$CT1441,"="&amp;$CT1441)</f>
        <v>4540</v>
      </c>
      <c r="DH1441" s="14" t="s">
        <v>198</v>
      </c>
      <c r="DI1441" s="14">
        <f>INDEX(属性投放!$BL$6:$BL$85,(CV1441-2)*20+CZ1441)</f>
        <v>160</v>
      </c>
      <c r="DJ1441" s="14">
        <f>SUMIFS(DI$5:DI1441,$CT$5:$CT1441,"="&amp;$CT1441)</f>
        <v>2278</v>
      </c>
      <c r="DK1441" s="14" t="s">
        <v>25</v>
      </c>
      <c r="DL1441" s="14">
        <f>INDEX(属性投放!$BM$6:$BM$85,(CV1441-2)*20+CZ1441)</f>
        <v>3200</v>
      </c>
      <c r="DM1441" s="14">
        <f>SUMIFS(DL$5:DL1441,$CT$5:$CT1441,"="&amp;$CT1441)</f>
        <v>40835</v>
      </c>
    </row>
    <row r="1442" spans="97:117" ht="16.5" x14ac:dyDescent="0.2">
      <c r="CS1442" s="13">
        <v>1438</v>
      </c>
      <c r="CT1442" s="13">
        <f t="shared" si="1131"/>
        <v>28</v>
      </c>
      <c r="CU1442" s="13">
        <f t="shared" si="1134"/>
        <v>34</v>
      </c>
      <c r="CV1442" s="14">
        <f t="shared" si="1132"/>
        <v>4</v>
      </c>
      <c r="CW1442" s="14">
        <f t="shared" si="1133"/>
        <v>1102031</v>
      </c>
      <c r="CX1442" s="14" t="str">
        <f>INDEX($O$6:$O$50,CT1442)&amp;"-"&amp;INDEX(属性投放!$AB$7:$AB$50,CZ1442)&amp;"-魂火-"&amp;DB1442</f>
        <v>秦琼-焦热+2-魂火-1</v>
      </c>
      <c r="CY1442" s="25" t="s">
        <v>142</v>
      </c>
      <c r="CZ1442" s="14">
        <f>INDEX(属性投放!$AM$7:$AM$58,CU1442)</f>
        <v>15</v>
      </c>
      <c r="DA1442" s="14" t="s">
        <v>537</v>
      </c>
      <c r="DB1442" s="14">
        <f>INDEX(属性投放!$AN$7:$AN$58,CU1442)</f>
        <v>1</v>
      </c>
      <c r="DC1442" s="14">
        <f t="shared" si="1135"/>
        <v>34</v>
      </c>
      <c r="DD1442" s="14">
        <f>INDEX(属性投放!$AO$7:$AO$58,DC1442)</f>
        <v>103</v>
      </c>
      <c r="DE1442" s="14" t="s">
        <v>242</v>
      </c>
      <c r="DF1442" s="14">
        <f>INDEX(属性投放!$BK$6:$BK$85,(CV1442-2)*20+CZ1442)</f>
        <v>445</v>
      </c>
      <c r="DG1442" s="14">
        <f>SUMIFS(DF$5:DF1442,$CT$5:$CT1442,"="&amp;$CT1442)</f>
        <v>4985</v>
      </c>
      <c r="DH1442" s="14" t="s">
        <v>198</v>
      </c>
      <c r="DI1442" s="14">
        <f>INDEX(属性投放!$BL$6:$BL$85,(CV1442-2)*20+CZ1442)</f>
        <v>223</v>
      </c>
      <c r="DJ1442" s="14">
        <f>SUMIFS(DI$5:DI1442,$CT$5:$CT1442,"="&amp;$CT1442)</f>
        <v>2501</v>
      </c>
      <c r="DK1442" s="14" t="s">
        <v>25</v>
      </c>
      <c r="DL1442" s="14">
        <f>INDEX(属性投放!$BM$6:$BM$85,(CV1442-2)*20+CZ1442)</f>
        <v>4450</v>
      </c>
      <c r="DM1442" s="14">
        <f>SUMIFS(DL$5:DL1442,$CT$5:$CT1442,"="&amp;$CT1442)</f>
        <v>45285</v>
      </c>
    </row>
    <row r="1443" spans="97:117" ht="16.5" x14ac:dyDescent="0.2">
      <c r="CS1443" s="13">
        <v>1439</v>
      </c>
      <c r="CT1443" s="13">
        <f t="shared" si="1131"/>
        <v>28</v>
      </c>
      <c r="CU1443" s="13">
        <f t="shared" si="1134"/>
        <v>35</v>
      </c>
      <c r="CV1443" s="14">
        <f t="shared" si="1132"/>
        <v>4</v>
      </c>
      <c r="CW1443" s="14">
        <f t="shared" si="1133"/>
        <v>1102031</v>
      </c>
      <c r="CX1443" s="14" t="str">
        <f>INDEX($O$6:$O$50,CT1443)&amp;"-"&amp;INDEX(属性投放!$AB$7:$AB$50,CZ1443)&amp;"-魂火-"&amp;DB1443</f>
        <v>秦琼-焦热+2-魂火-2</v>
      </c>
      <c r="CY1443" s="25" t="s">
        <v>142</v>
      </c>
      <c r="CZ1443" s="14">
        <f>INDEX(属性投放!$AM$7:$AM$58,CU1443)</f>
        <v>15</v>
      </c>
      <c r="DA1443" s="14" t="s">
        <v>537</v>
      </c>
      <c r="DB1443" s="14">
        <f>INDEX(属性投放!$AN$7:$AN$58,CU1443)</f>
        <v>2</v>
      </c>
      <c r="DC1443" s="14">
        <f t="shared" si="1135"/>
        <v>35</v>
      </c>
      <c r="DD1443" s="14">
        <f>INDEX(属性投放!$AO$7:$AO$58,DC1443)</f>
        <v>105</v>
      </c>
      <c r="DE1443" s="14" t="s">
        <v>242</v>
      </c>
      <c r="DF1443" s="14">
        <f>INDEX(属性投放!$BK$6:$BK$85,(CV1443-2)*20+CZ1443)</f>
        <v>445</v>
      </c>
      <c r="DG1443" s="14">
        <f>SUMIFS(DF$5:DF1443,$CT$5:$CT1443,"="&amp;$CT1443)</f>
        <v>5430</v>
      </c>
      <c r="DH1443" s="14" t="s">
        <v>198</v>
      </c>
      <c r="DI1443" s="14">
        <f>INDEX(属性投放!$BL$6:$BL$85,(CV1443-2)*20+CZ1443)</f>
        <v>223</v>
      </c>
      <c r="DJ1443" s="14">
        <f>SUMIFS(DI$5:DI1443,$CT$5:$CT1443,"="&amp;$CT1443)</f>
        <v>2724</v>
      </c>
      <c r="DK1443" s="14" t="s">
        <v>25</v>
      </c>
      <c r="DL1443" s="14">
        <f>INDEX(属性投放!$BM$6:$BM$85,(CV1443-2)*20+CZ1443)</f>
        <v>4450</v>
      </c>
      <c r="DM1443" s="14">
        <f>SUMIFS(DL$5:DL1443,$CT$5:$CT1443,"="&amp;$CT1443)</f>
        <v>49735</v>
      </c>
    </row>
    <row r="1444" spans="97:117" ht="16.5" x14ac:dyDescent="0.2">
      <c r="CS1444" s="13">
        <v>1440</v>
      </c>
      <c r="CT1444" s="13">
        <f t="shared" si="1131"/>
        <v>28</v>
      </c>
      <c r="CU1444" s="13">
        <f t="shared" si="1134"/>
        <v>36</v>
      </c>
      <c r="CV1444" s="14">
        <f t="shared" si="1132"/>
        <v>4</v>
      </c>
      <c r="CW1444" s="14">
        <f t="shared" si="1133"/>
        <v>1102031</v>
      </c>
      <c r="CX1444" s="14" t="str">
        <f>INDEX($O$6:$O$50,CT1444)&amp;"-"&amp;INDEX(属性投放!$AB$7:$AB$50,CZ1444)&amp;"-魂火-"&amp;DB1444</f>
        <v>秦琼-焦热+2-魂火-3</v>
      </c>
      <c r="CY1444" s="25" t="s">
        <v>142</v>
      </c>
      <c r="CZ1444" s="14">
        <f>INDEX(属性投放!$AM$7:$AM$58,CU1444)</f>
        <v>15</v>
      </c>
      <c r="DA1444" s="14" t="s">
        <v>537</v>
      </c>
      <c r="DB1444" s="14">
        <f>INDEX(属性投放!$AN$7:$AN$58,CU1444)</f>
        <v>3</v>
      </c>
      <c r="DC1444" s="14">
        <f t="shared" si="1135"/>
        <v>36</v>
      </c>
      <c r="DD1444" s="14">
        <f>INDEX(属性投放!$AO$7:$AO$58,DC1444)</f>
        <v>108</v>
      </c>
      <c r="DE1444" s="14" t="s">
        <v>242</v>
      </c>
      <c r="DF1444" s="14">
        <f>INDEX(属性投放!$BK$6:$BK$85,(CV1444-2)*20+CZ1444)</f>
        <v>445</v>
      </c>
      <c r="DG1444" s="14">
        <f>SUMIFS(DF$5:DF1444,$CT$5:$CT1444,"="&amp;$CT1444)</f>
        <v>5875</v>
      </c>
      <c r="DH1444" s="14" t="s">
        <v>198</v>
      </c>
      <c r="DI1444" s="14">
        <f>INDEX(属性投放!$BL$6:$BL$85,(CV1444-2)*20+CZ1444)</f>
        <v>223</v>
      </c>
      <c r="DJ1444" s="14">
        <f>SUMIFS(DI$5:DI1444,$CT$5:$CT1444,"="&amp;$CT1444)</f>
        <v>2947</v>
      </c>
      <c r="DK1444" s="14" t="s">
        <v>25</v>
      </c>
      <c r="DL1444" s="14">
        <f>INDEX(属性投放!$BM$6:$BM$85,(CV1444-2)*20+CZ1444)</f>
        <v>4450</v>
      </c>
      <c r="DM1444" s="14">
        <f>SUMIFS(DL$5:DL1444,$CT$5:$CT1444,"="&amp;$CT1444)</f>
        <v>54185</v>
      </c>
    </row>
    <row r="1445" spans="97:117" ht="16.5" x14ac:dyDescent="0.2">
      <c r="CS1445" s="13">
        <v>1441</v>
      </c>
      <c r="CT1445" s="13">
        <f t="shared" si="1131"/>
        <v>28</v>
      </c>
      <c r="CU1445" s="13">
        <f t="shared" si="1134"/>
        <v>37</v>
      </c>
      <c r="CV1445" s="14">
        <f t="shared" si="1132"/>
        <v>4</v>
      </c>
      <c r="CW1445" s="14">
        <f t="shared" si="1133"/>
        <v>1102031</v>
      </c>
      <c r="CX1445" s="14" t="str">
        <f>INDEX($O$6:$O$50,CT1445)&amp;"-"&amp;INDEX(属性投放!$AB$7:$AB$50,CZ1445)&amp;"-魂火-"&amp;DB1445</f>
        <v>秦琼-大焦热-魂火-1</v>
      </c>
      <c r="CY1445" s="25" t="s">
        <v>142</v>
      </c>
      <c r="CZ1445" s="14">
        <f>INDEX(属性投放!$AM$7:$AM$58,CU1445)</f>
        <v>16</v>
      </c>
      <c r="DA1445" s="14" t="s">
        <v>537</v>
      </c>
      <c r="DB1445" s="14">
        <f>INDEX(属性投放!$AN$7:$AN$58,CU1445)</f>
        <v>1</v>
      </c>
      <c r="DC1445" s="14">
        <f t="shared" si="1135"/>
        <v>37</v>
      </c>
      <c r="DD1445" s="14">
        <f>INDEX(属性投放!$AO$7:$AO$58,DC1445)</f>
        <v>110</v>
      </c>
      <c r="DE1445" s="14" t="s">
        <v>242</v>
      </c>
      <c r="DF1445" s="14">
        <f>INDEX(属性投放!$BK$6:$BK$85,(CV1445-2)*20+CZ1445)</f>
        <v>520</v>
      </c>
      <c r="DG1445" s="14">
        <f>SUMIFS(DF$5:DF1445,$CT$5:$CT1445,"="&amp;$CT1445)</f>
        <v>6395</v>
      </c>
      <c r="DH1445" s="14" t="s">
        <v>198</v>
      </c>
      <c r="DI1445" s="14">
        <f>INDEX(属性投放!$BL$6:$BL$85,(CV1445-2)*20+CZ1445)</f>
        <v>260</v>
      </c>
      <c r="DJ1445" s="14">
        <f>SUMIFS(DI$5:DI1445,$CT$5:$CT1445,"="&amp;$CT1445)</f>
        <v>3207</v>
      </c>
      <c r="DK1445" s="14" t="s">
        <v>25</v>
      </c>
      <c r="DL1445" s="14">
        <f>INDEX(属性投放!$BM$6:$BM$85,(CV1445-2)*20+CZ1445)</f>
        <v>5200</v>
      </c>
      <c r="DM1445" s="14">
        <f>SUMIFS(DL$5:DL1445,$CT$5:$CT1445,"="&amp;$CT1445)</f>
        <v>59385</v>
      </c>
    </row>
    <row r="1446" spans="97:117" ht="16.5" x14ac:dyDescent="0.2">
      <c r="CS1446" s="13">
        <v>1442</v>
      </c>
      <c r="CT1446" s="13">
        <f t="shared" si="1131"/>
        <v>28</v>
      </c>
      <c r="CU1446" s="13">
        <f t="shared" si="1134"/>
        <v>38</v>
      </c>
      <c r="CV1446" s="14">
        <f t="shared" si="1132"/>
        <v>4</v>
      </c>
      <c r="CW1446" s="14">
        <f t="shared" si="1133"/>
        <v>1102031</v>
      </c>
      <c r="CX1446" s="14" t="str">
        <f>INDEX($O$6:$O$50,CT1446)&amp;"-"&amp;INDEX(属性投放!$AB$7:$AB$50,CZ1446)&amp;"-魂火-"&amp;DB1446</f>
        <v>秦琼-大焦热-魂火-2</v>
      </c>
      <c r="CY1446" s="25" t="s">
        <v>142</v>
      </c>
      <c r="CZ1446" s="14">
        <f>INDEX(属性投放!$AM$7:$AM$58,CU1446)</f>
        <v>16</v>
      </c>
      <c r="DA1446" s="14" t="s">
        <v>537</v>
      </c>
      <c r="DB1446" s="14">
        <f>INDEX(属性投放!$AN$7:$AN$58,CU1446)</f>
        <v>2</v>
      </c>
      <c r="DC1446" s="14">
        <f t="shared" si="1135"/>
        <v>38</v>
      </c>
      <c r="DD1446" s="14">
        <f>INDEX(属性投放!$AO$7:$AO$58,DC1446)</f>
        <v>113</v>
      </c>
      <c r="DE1446" s="14" t="s">
        <v>242</v>
      </c>
      <c r="DF1446" s="14">
        <f>INDEX(属性投放!$BK$6:$BK$85,(CV1446-2)*20+CZ1446)</f>
        <v>520</v>
      </c>
      <c r="DG1446" s="14">
        <f>SUMIFS(DF$5:DF1446,$CT$5:$CT1446,"="&amp;$CT1446)</f>
        <v>6915</v>
      </c>
      <c r="DH1446" s="14" t="s">
        <v>198</v>
      </c>
      <c r="DI1446" s="14">
        <f>INDEX(属性投放!$BL$6:$BL$85,(CV1446-2)*20+CZ1446)</f>
        <v>260</v>
      </c>
      <c r="DJ1446" s="14">
        <f>SUMIFS(DI$5:DI1446,$CT$5:$CT1446,"="&amp;$CT1446)</f>
        <v>3467</v>
      </c>
      <c r="DK1446" s="14" t="s">
        <v>25</v>
      </c>
      <c r="DL1446" s="14">
        <f>INDEX(属性投放!$BM$6:$BM$85,(CV1446-2)*20+CZ1446)</f>
        <v>5200</v>
      </c>
      <c r="DM1446" s="14">
        <f>SUMIFS(DL$5:DL1446,$CT$5:$CT1446,"="&amp;$CT1446)</f>
        <v>64585</v>
      </c>
    </row>
    <row r="1447" spans="97:117" ht="16.5" x14ac:dyDescent="0.2">
      <c r="CS1447" s="13">
        <v>1443</v>
      </c>
      <c r="CT1447" s="13">
        <f t="shared" si="1131"/>
        <v>28</v>
      </c>
      <c r="CU1447" s="13">
        <f t="shared" si="1134"/>
        <v>39</v>
      </c>
      <c r="CV1447" s="14">
        <f t="shared" si="1132"/>
        <v>4</v>
      </c>
      <c r="CW1447" s="14">
        <f t="shared" si="1133"/>
        <v>1102031</v>
      </c>
      <c r="CX1447" s="14" t="str">
        <f>INDEX($O$6:$O$50,CT1447)&amp;"-"&amp;INDEX(属性投放!$AB$7:$AB$50,CZ1447)&amp;"-魂火-"&amp;DB1447</f>
        <v>秦琼-大焦热-魂火-3</v>
      </c>
      <c r="CY1447" s="25" t="s">
        <v>142</v>
      </c>
      <c r="CZ1447" s="14">
        <f>INDEX(属性投放!$AM$7:$AM$58,CU1447)</f>
        <v>16</v>
      </c>
      <c r="DA1447" s="14" t="s">
        <v>537</v>
      </c>
      <c r="DB1447" s="14">
        <f>INDEX(属性投放!$AN$7:$AN$58,CU1447)</f>
        <v>3</v>
      </c>
      <c r="DC1447" s="14">
        <f t="shared" si="1135"/>
        <v>39</v>
      </c>
      <c r="DD1447" s="14">
        <f>INDEX(属性投放!$AO$7:$AO$58,DC1447)</f>
        <v>115</v>
      </c>
      <c r="DE1447" s="14" t="s">
        <v>242</v>
      </c>
      <c r="DF1447" s="14">
        <f>INDEX(属性投放!$BK$6:$BK$85,(CV1447-2)*20+CZ1447)</f>
        <v>520</v>
      </c>
      <c r="DG1447" s="14">
        <f>SUMIFS(DF$5:DF1447,$CT$5:$CT1447,"="&amp;$CT1447)</f>
        <v>7435</v>
      </c>
      <c r="DH1447" s="14" t="s">
        <v>198</v>
      </c>
      <c r="DI1447" s="14">
        <f>INDEX(属性投放!$BL$6:$BL$85,(CV1447-2)*20+CZ1447)</f>
        <v>260</v>
      </c>
      <c r="DJ1447" s="14">
        <f>SUMIFS(DI$5:DI1447,$CT$5:$CT1447,"="&amp;$CT1447)</f>
        <v>3727</v>
      </c>
      <c r="DK1447" s="14" t="s">
        <v>25</v>
      </c>
      <c r="DL1447" s="14">
        <f>INDEX(属性投放!$BM$6:$BM$85,(CV1447-2)*20+CZ1447)</f>
        <v>5200</v>
      </c>
      <c r="DM1447" s="14">
        <f>SUMIFS(DL$5:DL1447,$CT$5:$CT1447,"="&amp;$CT1447)</f>
        <v>69785</v>
      </c>
    </row>
    <row r="1448" spans="97:117" ht="16.5" x14ac:dyDescent="0.2">
      <c r="CS1448" s="13">
        <v>1444</v>
      </c>
      <c r="CT1448" s="13">
        <f t="shared" si="1131"/>
        <v>28</v>
      </c>
      <c r="CU1448" s="13">
        <f t="shared" si="1134"/>
        <v>40</v>
      </c>
      <c r="CV1448" s="14">
        <f t="shared" si="1132"/>
        <v>4</v>
      </c>
      <c r="CW1448" s="14">
        <f t="shared" si="1133"/>
        <v>1102031</v>
      </c>
      <c r="CX1448" s="14" t="str">
        <f>INDEX($O$6:$O$50,CT1448)&amp;"-"&amp;INDEX(属性投放!$AB$7:$AB$50,CZ1448)&amp;"-魂火-"&amp;DB1448</f>
        <v>秦琼-大焦热+1-魂火-1</v>
      </c>
      <c r="CY1448" s="25" t="s">
        <v>142</v>
      </c>
      <c r="CZ1448" s="14">
        <f>INDEX(属性投放!$AM$7:$AM$58,CU1448)</f>
        <v>17</v>
      </c>
      <c r="DA1448" s="14" t="s">
        <v>537</v>
      </c>
      <c r="DB1448" s="14">
        <f>INDEX(属性投放!$AN$7:$AN$58,CU1448)</f>
        <v>1</v>
      </c>
      <c r="DC1448" s="14">
        <f t="shared" si="1135"/>
        <v>40</v>
      </c>
      <c r="DD1448" s="14">
        <f>INDEX(属性投放!$AO$7:$AO$58,DC1448)</f>
        <v>118</v>
      </c>
      <c r="DE1448" s="14" t="s">
        <v>242</v>
      </c>
      <c r="DF1448" s="14">
        <f>INDEX(属性投放!$BK$6:$BK$85,(CV1448-2)*20+CZ1448)</f>
        <v>650</v>
      </c>
      <c r="DG1448" s="14">
        <f>SUMIFS(DF$5:DF1448,$CT$5:$CT1448,"="&amp;$CT1448)</f>
        <v>8085</v>
      </c>
      <c r="DH1448" s="14" t="s">
        <v>198</v>
      </c>
      <c r="DI1448" s="14">
        <f>INDEX(属性投放!$BL$6:$BL$85,(CV1448-2)*20+CZ1448)</f>
        <v>325</v>
      </c>
      <c r="DJ1448" s="14">
        <f>SUMIFS(DI$5:DI1448,$CT$5:$CT1448,"="&amp;$CT1448)</f>
        <v>4052</v>
      </c>
      <c r="DK1448" s="14" t="s">
        <v>25</v>
      </c>
      <c r="DL1448" s="14">
        <f>INDEX(属性投放!$BM$6:$BM$85,(CV1448-2)*20+CZ1448)</f>
        <v>6500</v>
      </c>
      <c r="DM1448" s="14">
        <f>SUMIFS(DL$5:DL1448,$CT$5:$CT1448,"="&amp;$CT1448)</f>
        <v>76285</v>
      </c>
    </row>
    <row r="1449" spans="97:117" ht="16.5" x14ac:dyDescent="0.2">
      <c r="CS1449" s="13">
        <v>1445</v>
      </c>
      <c r="CT1449" s="13">
        <f t="shared" si="1131"/>
        <v>28</v>
      </c>
      <c r="CU1449" s="13">
        <f t="shared" si="1134"/>
        <v>41</v>
      </c>
      <c r="CV1449" s="14">
        <f t="shared" si="1132"/>
        <v>4</v>
      </c>
      <c r="CW1449" s="14">
        <f t="shared" si="1133"/>
        <v>1102031</v>
      </c>
      <c r="CX1449" s="14" t="str">
        <f>INDEX($O$6:$O$50,CT1449)&amp;"-"&amp;INDEX(属性投放!$AB$7:$AB$50,CZ1449)&amp;"-魂火-"&amp;DB1449</f>
        <v>秦琼-大焦热+1-魂火-2</v>
      </c>
      <c r="CY1449" s="25" t="s">
        <v>142</v>
      </c>
      <c r="CZ1449" s="14">
        <f>INDEX(属性投放!$AM$7:$AM$58,CU1449)</f>
        <v>17</v>
      </c>
      <c r="DA1449" s="14" t="s">
        <v>537</v>
      </c>
      <c r="DB1449" s="14">
        <f>INDEX(属性投放!$AN$7:$AN$58,CU1449)</f>
        <v>2</v>
      </c>
      <c r="DC1449" s="14">
        <f t="shared" si="1135"/>
        <v>41</v>
      </c>
      <c r="DD1449" s="14">
        <f>INDEX(属性投放!$AO$7:$AO$58,DC1449)</f>
        <v>120</v>
      </c>
      <c r="DE1449" s="14" t="s">
        <v>242</v>
      </c>
      <c r="DF1449" s="14">
        <f>INDEX(属性投放!$BK$6:$BK$85,(CV1449-2)*20+CZ1449)</f>
        <v>650</v>
      </c>
      <c r="DG1449" s="14">
        <f>SUMIFS(DF$5:DF1449,$CT$5:$CT1449,"="&amp;$CT1449)</f>
        <v>8735</v>
      </c>
      <c r="DH1449" s="14" t="s">
        <v>198</v>
      </c>
      <c r="DI1449" s="14">
        <f>INDEX(属性投放!$BL$6:$BL$85,(CV1449-2)*20+CZ1449)</f>
        <v>325</v>
      </c>
      <c r="DJ1449" s="14">
        <f>SUMIFS(DI$5:DI1449,$CT$5:$CT1449,"="&amp;$CT1449)</f>
        <v>4377</v>
      </c>
      <c r="DK1449" s="14" t="s">
        <v>25</v>
      </c>
      <c r="DL1449" s="14">
        <f>INDEX(属性投放!$BM$6:$BM$85,(CV1449-2)*20+CZ1449)</f>
        <v>6500</v>
      </c>
      <c r="DM1449" s="14">
        <f>SUMIFS(DL$5:DL1449,$CT$5:$CT1449,"="&amp;$CT1449)</f>
        <v>82785</v>
      </c>
    </row>
    <row r="1450" spans="97:117" ht="16.5" x14ac:dyDescent="0.2">
      <c r="CS1450" s="13">
        <v>1446</v>
      </c>
      <c r="CT1450" s="13">
        <f t="shared" si="1131"/>
        <v>28</v>
      </c>
      <c r="CU1450" s="13">
        <f t="shared" si="1134"/>
        <v>42</v>
      </c>
      <c r="CV1450" s="14">
        <f t="shared" si="1132"/>
        <v>4</v>
      </c>
      <c r="CW1450" s="14">
        <f t="shared" si="1133"/>
        <v>1102031</v>
      </c>
      <c r="CX1450" s="14" t="str">
        <f>INDEX($O$6:$O$50,CT1450)&amp;"-"&amp;INDEX(属性投放!$AB$7:$AB$50,CZ1450)&amp;"-魂火-"&amp;DB1450</f>
        <v>秦琼-大焦热+1-魂火-3</v>
      </c>
      <c r="CY1450" s="25" t="s">
        <v>142</v>
      </c>
      <c r="CZ1450" s="14">
        <f>INDEX(属性投放!$AM$7:$AM$58,CU1450)</f>
        <v>17</v>
      </c>
      <c r="DA1450" s="14" t="s">
        <v>537</v>
      </c>
      <c r="DB1450" s="14">
        <f>INDEX(属性投放!$AN$7:$AN$58,CU1450)</f>
        <v>3</v>
      </c>
      <c r="DC1450" s="14">
        <f t="shared" si="1135"/>
        <v>42</v>
      </c>
      <c r="DD1450" s="14">
        <f>INDEX(属性投放!$AO$7:$AO$58,DC1450)</f>
        <v>123</v>
      </c>
      <c r="DE1450" s="14" t="s">
        <v>242</v>
      </c>
      <c r="DF1450" s="14">
        <f>INDEX(属性投放!$BK$6:$BK$85,(CV1450-2)*20+CZ1450)</f>
        <v>650</v>
      </c>
      <c r="DG1450" s="14">
        <f>SUMIFS(DF$5:DF1450,$CT$5:$CT1450,"="&amp;$CT1450)</f>
        <v>9385</v>
      </c>
      <c r="DH1450" s="14" t="s">
        <v>198</v>
      </c>
      <c r="DI1450" s="14">
        <f>INDEX(属性投放!$BL$6:$BL$85,(CV1450-2)*20+CZ1450)</f>
        <v>325</v>
      </c>
      <c r="DJ1450" s="14">
        <f>SUMIFS(DI$5:DI1450,$CT$5:$CT1450,"="&amp;$CT1450)</f>
        <v>4702</v>
      </c>
      <c r="DK1450" s="14" t="s">
        <v>25</v>
      </c>
      <c r="DL1450" s="14">
        <f>INDEX(属性投放!$BM$6:$BM$85,(CV1450-2)*20+CZ1450)</f>
        <v>6500</v>
      </c>
      <c r="DM1450" s="14">
        <f>SUMIFS(DL$5:DL1450,$CT$5:$CT1450,"="&amp;$CT1450)</f>
        <v>89285</v>
      </c>
    </row>
    <row r="1451" spans="97:117" ht="16.5" x14ac:dyDescent="0.2">
      <c r="CS1451" s="13">
        <v>1447</v>
      </c>
      <c r="CT1451" s="13">
        <f t="shared" si="1131"/>
        <v>28</v>
      </c>
      <c r="CU1451" s="13">
        <f t="shared" si="1134"/>
        <v>43</v>
      </c>
      <c r="CV1451" s="14">
        <f t="shared" si="1132"/>
        <v>4</v>
      </c>
      <c r="CW1451" s="14">
        <f t="shared" si="1133"/>
        <v>1102031</v>
      </c>
      <c r="CX1451" s="14" t="str">
        <f>INDEX($O$6:$O$50,CT1451)&amp;"-"&amp;INDEX(属性投放!$AB$7:$AB$50,CZ1451)&amp;"-魂火-"&amp;DB1451</f>
        <v>秦琼-大焦热+2-魂火-1</v>
      </c>
      <c r="CY1451" s="25" t="s">
        <v>142</v>
      </c>
      <c r="CZ1451" s="14">
        <f>INDEX(属性投放!$AM$7:$AM$58,CU1451)</f>
        <v>18</v>
      </c>
      <c r="DA1451" s="14" t="s">
        <v>537</v>
      </c>
      <c r="DB1451" s="14">
        <f>INDEX(属性投放!$AN$7:$AN$58,CU1451)</f>
        <v>1</v>
      </c>
      <c r="DC1451" s="14">
        <f t="shared" si="1135"/>
        <v>43</v>
      </c>
      <c r="DD1451" s="14">
        <f>INDEX(属性投放!$AO$7:$AO$58,DC1451)</f>
        <v>125</v>
      </c>
      <c r="DE1451" s="14" t="s">
        <v>242</v>
      </c>
      <c r="DF1451" s="14">
        <f>INDEX(属性投放!$BK$6:$BK$85,(CV1451-2)*20+CZ1451)</f>
        <v>750</v>
      </c>
      <c r="DG1451" s="14">
        <f>SUMIFS(DF$5:DF1451,$CT$5:$CT1451,"="&amp;$CT1451)</f>
        <v>10135</v>
      </c>
      <c r="DH1451" s="14" t="s">
        <v>198</v>
      </c>
      <c r="DI1451" s="14">
        <f>INDEX(属性投放!$BL$6:$BL$85,(CV1451-2)*20+CZ1451)</f>
        <v>375</v>
      </c>
      <c r="DJ1451" s="14">
        <f>SUMIFS(DI$5:DI1451,$CT$5:$CT1451,"="&amp;$CT1451)</f>
        <v>5077</v>
      </c>
      <c r="DK1451" s="14" t="s">
        <v>25</v>
      </c>
      <c r="DL1451" s="14">
        <f>INDEX(属性投放!$BM$6:$BM$85,(CV1451-2)*20+CZ1451)</f>
        <v>7500</v>
      </c>
      <c r="DM1451" s="14">
        <f>SUMIFS(DL$5:DL1451,$CT$5:$CT1451,"="&amp;$CT1451)</f>
        <v>96785</v>
      </c>
    </row>
    <row r="1452" spans="97:117" ht="16.5" x14ac:dyDescent="0.2">
      <c r="CS1452" s="13">
        <v>1448</v>
      </c>
      <c r="CT1452" s="13">
        <f t="shared" si="1131"/>
        <v>28</v>
      </c>
      <c r="CU1452" s="13">
        <f t="shared" si="1134"/>
        <v>44</v>
      </c>
      <c r="CV1452" s="14">
        <f t="shared" si="1132"/>
        <v>4</v>
      </c>
      <c r="CW1452" s="14">
        <f t="shared" si="1133"/>
        <v>1102031</v>
      </c>
      <c r="CX1452" s="14" t="str">
        <f>INDEX($O$6:$O$50,CT1452)&amp;"-"&amp;INDEX(属性投放!$AB$7:$AB$50,CZ1452)&amp;"-魂火-"&amp;DB1452</f>
        <v>秦琼-大焦热+2-魂火-2</v>
      </c>
      <c r="CY1452" s="25" t="s">
        <v>142</v>
      </c>
      <c r="CZ1452" s="14">
        <f>INDEX(属性投放!$AM$7:$AM$58,CU1452)</f>
        <v>18</v>
      </c>
      <c r="DA1452" s="14" t="s">
        <v>537</v>
      </c>
      <c r="DB1452" s="14">
        <f>INDEX(属性投放!$AN$7:$AN$58,CU1452)</f>
        <v>2</v>
      </c>
      <c r="DC1452" s="14">
        <f t="shared" si="1135"/>
        <v>44</v>
      </c>
      <c r="DD1452" s="14">
        <f>INDEX(属性投放!$AO$7:$AO$58,DC1452)</f>
        <v>128</v>
      </c>
      <c r="DE1452" s="14" t="s">
        <v>242</v>
      </c>
      <c r="DF1452" s="14">
        <f>INDEX(属性投放!$BK$6:$BK$85,(CV1452-2)*20+CZ1452)</f>
        <v>750</v>
      </c>
      <c r="DG1452" s="14">
        <f>SUMIFS(DF$5:DF1452,$CT$5:$CT1452,"="&amp;$CT1452)</f>
        <v>10885</v>
      </c>
      <c r="DH1452" s="14" t="s">
        <v>198</v>
      </c>
      <c r="DI1452" s="14">
        <f>INDEX(属性投放!$BL$6:$BL$85,(CV1452-2)*20+CZ1452)</f>
        <v>375</v>
      </c>
      <c r="DJ1452" s="14">
        <f>SUMIFS(DI$5:DI1452,$CT$5:$CT1452,"="&amp;$CT1452)</f>
        <v>5452</v>
      </c>
      <c r="DK1452" s="14" t="s">
        <v>25</v>
      </c>
      <c r="DL1452" s="14">
        <f>INDEX(属性投放!$BM$6:$BM$85,(CV1452-2)*20+CZ1452)</f>
        <v>7500</v>
      </c>
      <c r="DM1452" s="14">
        <f>SUMIFS(DL$5:DL1452,$CT$5:$CT1452,"="&amp;$CT1452)</f>
        <v>104285</v>
      </c>
    </row>
    <row r="1453" spans="97:117" ht="16.5" x14ac:dyDescent="0.2">
      <c r="CS1453" s="13">
        <v>1449</v>
      </c>
      <c r="CT1453" s="13">
        <f t="shared" si="1131"/>
        <v>28</v>
      </c>
      <c r="CU1453" s="13">
        <f t="shared" si="1134"/>
        <v>45</v>
      </c>
      <c r="CV1453" s="14">
        <f t="shared" si="1132"/>
        <v>4</v>
      </c>
      <c r="CW1453" s="14">
        <f t="shared" si="1133"/>
        <v>1102031</v>
      </c>
      <c r="CX1453" s="14" t="str">
        <f>INDEX($O$6:$O$50,CT1453)&amp;"-"&amp;INDEX(属性投放!$AB$7:$AB$50,CZ1453)&amp;"-魂火-"&amp;DB1453</f>
        <v>秦琼-大焦热+2-魂火-3</v>
      </c>
      <c r="CY1453" s="25" t="s">
        <v>142</v>
      </c>
      <c r="CZ1453" s="14">
        <f>INDEX(属性投放!$AM$7:$AM$58,CU1453)</f>
        <v>18</v>
      </c>
      <c r="DA1453" s="14" t="s">
        <v>537</v>
      </c>
      <c r="DB1453" s="14">
        <f>INDEX(属性投放!$AN$7:$AN$58,CU1453)</f>
        <v>3</v>
      </c>
      <c r="DC1453" s="14">
        <f t="shared" si="1135"/>
        <v>45</v>
      </c>
      <c r="DD1453" s="14">
        <f>INDEX(属性投放!$AO$7:$AO$58,DC1453)</f>
        <v>130</v>
      </c>
      <c r="DE1453" s="14" t="s">
        <v>242</v>
      </c>
      <c r="DF1453" s="14">
        <f>INDEX(属性投放!$BK$6:$BK$85,(CV1453-2)*20+CZ1453)</f>
        <v>750</v>
      </c>
      <c r="DG1453" s="14">
        <f>SUMIFS(DF$5:DF1453,$CT$5:$CT1453,"="&amp;$CT1453)</f>
        <v>11635</v>
      </c>
      <c r="DH1453" s="14" t="s">
        <v>198</v>
      </c>
      <c r="DI1453" s="14">
        <f>INDEX(属性投放!$BL$6:$BL$85,(CV1453-2)*20+CZ1453)</f>
        <v>375</v>
      </c>
      <c r="DJ1453" s="14">
        <f>SUMIFS(DI$5:DI1453,$CT$5:$CT1453,"="&amp;$CT1453)</f>
        <v>5827</v>
      </c>
      <c r="DK1453" s="14" t="s">
        <v>25</v>
      </c>
      <c r="DL1453" s="14">
        <f>INDEX(属性投放!$BM$6:$BM$85,(CV1453-2)*20+CZ1453)</f>
        <v>7500</v>
      </c>
      <c r="DM1453" s="14">
        <f>SUMIFS(DL$5:DL1453,$CT$5:$CT1453,"="&amp;$CT1453)</f>
        <v>111785</v>
      </c>
    </row>
    <row r="1454" spans="97:117" ht="16.5" x14ac:dyDescent="0.2">
      <c r="CS1454" s="13">
        <v>1450</v>
      </c>
      <c r="CT1454" s="13">
        <f t="shared" si="1131"/>
        <v>28</v>
      </c>
      <c r="CU1454" s="13">
        <f t="shared" si="1134"/>
        <v>46</v>
      </c>
      <c r="CV1454" s="14">
        <f t="shared" si="1132"/>
        <v>4</v>
      </c>
      <c r="CW1454" s="14">
        <f t="shared" si="1133"/>
        <v>1102031</v>
      </c>
      <c r="CX1454" s="14" t="str">
        <f>INDEX($O$6:$O$50,CT1454)&amp;"-"&amp;INDEX(属性投放!$AB$7:$AB$50,CZ1454)&amp;"-魂火-"&amp;DB1454</f>
        <v>秦琼-无间-魂火-1</v>
      </c>
      <c r="CY1454" s="25" t="s">
        <v>142</v>
      </c>
      <c r="CZ1454" s="14">
        <f>INDEX(属性投放!$AM$7:$AM$58,CU1454)</f>
        <v>19</v>
      </c>
      <c r="DA1454" s="14" t="s">
        <v>537</v>
      </c>
      <c r="DB1454" s="14">
        <f>INDEX(属性投放!$AN$7:$AN$58,CU1454)</f>
        <v>1</v>
      </c>
      <c r="DC1454" s="14">
        <f t="shared" si="1135"/>
        <v>46</v>
      </c>
      <c r="DD1454" s="14">
        <f>INDEX(属性投放!$AO$7:$AO$58,DC1454)</f>
        <v>133</v>
      </c>
      <c r="DE1454" s="14" t="s">
        <v>242</v>
      </c>
      <c r="DF1454" s="14">
        <f>INDEX(属性投放!$BK$6:$BK$85,(CV1454-2)*20+CZ1454)</f>
        <v>900</v>
      </c>
      <c r="DG1454" s="14">
        <f>SUMIFS(DF$5:DF1454,$CT$5:$CT1454,"="&amp;$CT1454)</f>
        <v>12535</v>
      </c>
      <c r="DH1454" s="14" t="s">
        <v>198</v>
      </c>
      <c r="DI1454" s="14">
        <f>INDEX(属性投放!$BL$6:$BL$85,(CV1454-2)*20+CZ1454)</f>
        <v>450</v>
      </c>
      <c r="DJ1454" s="14">
        <f>SUMIFS(DI$5:DI1454,$CT$5:$CT1454,"="&amp;$CT1454)</f>
        <v>6277</v>
      </c>
      <c r="DK1454" s="14" t="s">
        <v>25</v>
      </c>
      <c r="DL1454" s="14">
        <f>INDEX(属性投放!$BM$6:$BM$85,(CV1454-2)*20+CZ1454)</f>
        <v>9000</v>
      </c>
      <c r="DM1454" s="14">
        <f>SUMIFS(DL$5:DL1454,$CT$5:$CT1454,"="&amp;$CT1454)</f>
        <v>120785</v>
      </c>
    </row>
    <row r="1455" spans="97:117" ht="16.5" x14ac:dyDescent="0.2">
      <c r="CS1455" s="13">
        <v>1451</v>
      </c>
      <c r="CT1455" s="13">
        <f t="shared" si="1131"/>
        <v>28</v>
      </c>
      <c r="CU1455" s="13">
        <f t="shared" si="1134"/>
        <v>47</v>
      </c>
      <c r="CV1455" s="14">
        <f t="shared" si="1132"/>
        <v>4</v>
      </c>
      <c r="CW1455" s="14">
        <f t="shared" si="1133"/>
        <v>1102031</v>
      </c>
      <c r="CX1455" s="14" t="str">
        <f>INDEX($O$6:$O$50,CT1455)&amp;"-"&amp;INDEX(属性投放!$AB$7:$AB$50,CZ1455)&amp;"-魂火-"&amp;DB1455</f>
        <v>秦琼-无间-魂火-2</v>
      </c>
      <c r="CY1455" s="25" t="s">
        <v>142</v>
      </c>
      <c r="CZ1455" s="14">
        <f>INDEX(属性投放!$AM$7:$AM$58,CU1455)</f>
        <v>19</v>
      </c>
      <c r="DA1455" s="14" t="s">
        <v>537</v>
      </c>
      <c r="DB1455" s="14">
        <f>INDEX(属性投放!$AN$7:$AN$58,CU1455)</f>
        <v>2</v>
      </c>
      <c r="DC1455" s="14">
        <f t="shared" si="1135"/>
        <v>47</v>
      </c>
      <c r="DD1455" s="14">
        <f>INDEX(属性投放!$AO$7:$AO$58,DC1455)</f>
        <v>135</v>
      </c>
      <c r="DE1455" s="14" t="s">
        <v>242</v>
      </c>
      <c r="DF1455" s="14">
        <f>INDEX(属性投放!$BK$6:$BK$85,(CV1455-2)*20+CZ1455)</f>
        <v>900</v>
      </c>
      <c r="DG1455" s="14">
        <f>SUMIFS(DF$5:DF1455,$CT$5:$CT1455,"="&amp;$CT1455)</f>
        <v>13435</v>
      </c>
      <c r="DH1455" s="14" t="s">
        <v>198</v>
      </c>
      <c r="DI1455" s="14">
        <f>INDEX(属性投放!$BL$6:$BL$85,(CV1455-2)*20+CZ1455)</f>
        <v>450</v>
      </c>
      <c r="DJ1455" s="14">
        <f>SUMIFS(DI$5:DI1455,$CT$5:$CT1455,"="&amp;$CT1455)</f>
        <v>6727</v>
      </c>
      <c r="DK1455" s="14" t="s">
        <v>25</v>
      </c>
      <c r="DL1455" s="14">
        <f>INDEX(属性投放!$BM$6:$BM$85,(CV1455-2)*20+CZ1455)</f>
        <v>9000</v>
      </c>
      <c r="DM1455" s="14">
        <f>SUMIFS(DL$5:DL1455,$CT$5:$CT1455,"="&amp;$CT1455)</f>
        <v>129785</v>
      </c>
    </row>
    <row r="1456" spans="97:117" ht="16.5" x14ac:dyDescent="0.2">
      <c r="CS1456" s="13">
        <v>1452</v>
      </c>
      <c r="CT1456" s="13">
        <f t="shared" si="1131"/>
        <v>28</v>
      </c>
      <c r="CU1456" s="13">
        <f t="shared" si="1134"/>
        <v>48</v>
      </c>
      <c r="CV1456" s="14">
        <f t="shared" si="1132"/>
        <v>4</v>
      </c>
      <c r="CW1456" s="14">
        <f t="shared" si="1133"/>
        <v>1102031</v>
      </c>
      <c r="CX1456" s="14" t="str">
        <f>INDEX($O$6:$O$50,CT1456)&amp;"-"&amp;INDEX(属性投放!$AB$7:$AB$50,CZ1456)&amp;"-魂火-"&amp;DB1456</f>
        <v>秦琼-无间-魂火-3</v>
      </c>
      <c r="CY1456" s="25" t="s">
        <v>142</v>
      </c>
      <c r="CZ1456" s="14">
        <f>INDEX(属性投放!$AM$7:$AM$58,CU1456)</f>
        <v>19</v>
      </c>
      <c r="DA1456" s="14" t="s">
        <v>537</v>
      </c>
      <c r="DB1456" s="14">
        <f>INDEX(属性投放!$AN$7:$AN$58,CU1456)</f>
        <v>3</v>
      </c>
      <c r="DC1456" s="14">
        <f t="shared" si="1135"/>
        <v>48</v>
      </c>
      <c r="DD1456" s="14">
        <f>INDEX(属性投放!$AO$7:$AO$58,DC1456)</f>
        <v>138</v>
      </c>
      <c r="DE1456" s="14" t="s">
        <v>242</v>
      </c>
      <c r="DF1456" s="14">
        <f>INDEX(属性投放!$BK$6:$BK$85,(CV1456-2)*20+CZ1456)</f>
        <v>900</v>
      </c>
      <c r="DG1456" s="14">
        <f>SUMIFS(DF$5:DF1456,$CT$5:$CT1456,"="&amp;$CT1456)</f>
        <v>14335</v>
      </c>
      <c r="DH1456" s="14" t="s">
        <v>198</v>
      </c>
      <c r="DI1456" s="14">
        <f>INDEX(属性投放!$BL$6:$BL$85,(CV1456-2)*20+CZ1456)</f>
        <v>450</v>
      </c>
      <c r="DJ1456" s="14">
        <f>SUMIFS(DI$5:DI1456,$CT$5:$CT1456,"="&amp;$CT1456)</f>
        <v>7177</v>
      </c>
      <c r="DK1456" s="14" t="s">
        <v>25</v>
      </c>
      <c r="DL1456" s="14">
        <f>INDEX(属性投放!$BM$6:$BM$85,(CV1456-2)*20+CZ1456)</f>
        <v>9000</v>
      </c>
      <c r="DM1456" s="14">
        <f>SUMIFS(DL$5:DL1456,$CT$5:$CT1456,"="&amp;$CT1456)</f>
        <v>138785</v>
      </c>
    </row>
    <row r="1457" spans="97:117" ht="16.5" x14ac:dyDescent="0.2">
      <c r="CS1457" s="13">
        <v>1453</v>
      </c>
      <c r="CT1457" s="13">
        <f t="shared" si="1131"/>
        <v>28</v>
      </c>
      <c r="CU1457" s="13">
        <f t="shared" si="1134"/>
        <v>49</v>
      </c>
      <c r="CV1457" s="14">
        <f t="shared" si="1132"/>
        <v>4</v>
      </c>
      <c r="CW1457" s="14">
        <f t="shared" si="1133"/>
        <v>1102031</v>
      </c>
      <c r="CX1457" s="14" t="str">
        <f>INDEX($O$6:$O$50,CT1457)&amp;"-"&amp;INDEX(属性投放!$AB$7:$AB$50,CZ1457)&amp;"-魂火-"&amp;DB1457</f>
        <v>秦琼-无间+1-魂火-1</v>
      </c>
      <c r="CY1457" s="25" t="s">
        <v>142</v>
      </c>
      <c r="CZ1457" s="14">
        <f>INDEX(属性投放!$AM$7:$AM$58,CU1457)</f>
        <v>20</v>
      </c>
      <c r="DA1457" s="14" t="s">
        <v>537</v>
      </c>
      <c r="DB1457" s="14">
        <f>INDEX(属性投放!$AN$7:$AN$58,CU1457)</f>
        <v>1</v>
      </c>
      <c r="DC1457" s="14">
        <f t="shared" si="1135"/>
        <v>49</v>
      </c>
      <c r="DD1457" s="14">
        <f>INDEX(属性投放!$AO$7:$AO$58,DC1457)</f>
        <v>140</v>
      </c>
      <c r="DE1457" s="14" t="s">
        <v>242</v>
      </c>
      <c r="DF1457" s="14">
        <f>INDEX(属性投放!$BK$6:$BK$85,(CV1457-2)*20+CZ1457)</f>
        <v>1000</v>
      </c>
      <c r="DG1457" s="14">
        <f>SUMIFS(DF$5:DF1457,$CT$5:$CT1457,"="&amp;$CT1457)</f>
        <v>15335</v>
      </c>
      <c r="DH1457" s="14" t="s">
        <v>198</v>
      </c>
      <c r="DI1457" s="14">
        <f>INDEX(属性投放!$BL$6:$BL$85,(CV1457-2)*20+CZ1457)</f>
        <v>500</v>
      </c>
      <c r="DJ1457" s="14">
        <f>SUMIFS(DI$5:DI1457,$CT$5:$CT1457,"="&amp;$CT1457)</f>
        <v>7677</v>
      </c>
      <c r="DK1457" s="14" t="s">
        <v>25</v>
      </c>
      <c r="DL1457" s="14">
        <f>INDEX(属性投放!$BM$6:$BM$85,(CV1457-2)*20+CZ1457)</f>
        <v>10000</v>
      </c>
      <c r="DM1457" s="14">
        <f>SUMIFS(DL$5:DL1457,$CT$5:$CT1457,"="&amp;$CT1457)</f>
        <v>148785</v>
      </c>
    </row>
    <row r="1458" spans="97:117" ht="16.5" x14ac:dyDescent="0.2">
      <c r="CS1458" s="13">
        <v>1454</v>
      </c>
      <c r="CT1458" s="13">
        <f t="shared" si="1131"/>
        <v>28</v>
      </c>
      <c r="CU1458" s="13">
        <f t="shared" si="1134"/>
        <v>50</v>
      </c>
      <c r="CV1458" s="14">
        <f t="shared" si="1132"/>
        <v>4</v>
      </c>
      <c r="CW1458" s="14">
        <f t="shared" si="1133"/>
        <v>1102031</v>
      </c>
      <c r="CX1458" s="14" t="str">
        <f>INDEX($O$6:$O$50,CT1458)&amp;"-"&amp;INDEX(属性投放!$AB$7:$AB$50,CZ1458)&amp;"-魂火-"&amp;DB1458</f>
        <v>秦琼-无间+1-魂火-2</v>
      </c>
      <c r="CY1458" s="25" t="s">
        <v>142</v>
      </c>
      <c r="CZ1458" s="14">
        <f>INDEX(属性投放!$AM$7:$AM$58,CU1458)</f>
        <v>20</v>
      </c>
      <c r="DA1458" s="14" t="s">
        <v>537</v>
      </c>
      <c r="DB1458" s="14">
        <f>INDEX(属性投放!$AN$7:$AN$58,CU1458)</f>
        <v>2</v>
      </c>
      <c r="DC1458" s="14">
        <f t="shared" si="1135"/>
        <v>50</v>
      </c>
      <c r="DD1458" s="14">
        <f>INDEX(属性投放!$AO$7:$AO$58,DC1458)</f>
        <v>143</v>
      </c>
      <c r="DE1458" s="14" t="s">
        <v>242</v>
      </c>
      <c r="DF1458" s="14">
        <f>INDEX(属性投放!$BK$6:$BK$85,(CV1458-2)*20+CZ1458)</f>
        <v>1000</v>
      </c>
      <c r="DG1458" s="14">
        <f>SUMIFS(DF$5:DF1458,$CT$5:$CT1458,"="&amp;$CT1458)</f>
        <v>16335</v>
      </c>
      <c r="DH1458" s="14" t="s">
        <v>198</v>
      </c>
      <c r="DI1458" s="14">
        <f>INDEX(属性投放!$BL$6:$BL$85,(CV1458-2)*20+CZ1458)</f>
        <v>500</v>
      </c>
      <c r="DJ1458" s="14">
        <f>SUMIFS(DI$5:DI1458,$CT$5:$CT1458,"="&amp;$CT1458)</f>
        <v>8177</v>
      </c>
      <c r="DK1458" s="14" t="s">
        <v>25</v>
      </c>
      <c r="DL1458" s="14">
        <f>INDEX(属性投放!$BM$6:$BM$85,(CV1458-2)*20+CZ1458)</f>
        <v>10000</v>
      </c>
      <c r="DM1458" s="14">
        <f>SUMIFS(DL$5:DL1458,$CT$5:$CT1458,"="&amp;$CT1458)</f>
        <v>158785</v>
      </c>
    </row>
    <row r="1459" spans="97:117" ht="16.5" x14ac:dyDescent="0.2">
      <c r="CS1459" s="13">
        <v>1455</v>
      </c>
      <c r="CT1459" s="13">
        <f t="shared" si="1131"/>
        <v>28</v>
      </c>
      <c r="CU1459" s="13">
        <f t="shared" si="1134"/>
        <v>51</v>
      </c>
      <c r="CV1459" s="14">
        <f t="shared" si="1132"/>
        <v>4</v>
      </c>
      <c r="CW1459" s="14">
        <f t="shared" si="1133"/>
        <v>1102031</v>
      </c>
      <c r="CX1459" s="14" t="str">
        <f>INDEX($O$6:$O$50,CT1459)&amp;"-"&amp;INDEX(属性投放!$AB$7:$AB$50,CZ1459)&amp;"-魂火-"&amp;DB1459</f>
        <v>秦琼-无间+1-魂火-3</v>
      </c>
      <c r="CY1459" s="25" t="s">
        <v>142</v>
      </c>
      <c r="CZ1459" s="14">
        <f>INDEX(属性投放!$AM$7:$AM$58,CU1459)</f>
        <v>20</v>
      </c>
      <c r="DA1459" s="14" t="s">
        <v>537</v>
      </c>
      <c r="DB1459" s="14">
        <f>INDEX(属性投放!$AN$7:$AN$58,CU1459)</f>
        <v>3</v>
      </c>
      <c r="DC1459" s="14">
        <f t="shared" si="1135"/>
        <v>51</v>
      </c>
      <c r="DD1459" s="14">
        <f>INDEX(属性投放!$AO$7:$AO$58,DC1459)</f>
        <v>145</v>
      </c>
      <c r="DE1459" s="14" t="s">
        <v>242</v>
      </c>
      <c r="DF1459" s="14">
        <f>INDEX(属性投放!$BK$6:$BK$85,(CV1459-2)*20+CZ1459)</f>
        <v>1000</v>
      </c>
      <c r="DG1459" s="14">
        <f>SUMIFS(DF$5:DF1459,$CT$5:$CT1459,"="&amp;$CT1459)</f>
        <v>17335</v>
      </c>
      <c r="DH1459" s="14" t="s">
        <v>198</v>
      </c>
      <c r="DI1459" s="14">
        <f>INDEX(属性投放!$BL$6:$BL$85,(CV1459-2)*20+CZ1459)</f>
        <v>500</v>
      </c>
      <c r="DJ1459" s="14">
        <f>SUMIFS(DI$5:DI1459,$CT$5:$CT1459,"="&amp;$CT1459)</f>
        <v>8677</v>
      </c>
      <c r="DK1459" s="14" t="s">
        <v>25</v>
      </c>
      <c r="DL1459" s="14">
        <f>INDEX(属性投放!$BM$6:$BM$85,(CV1459-2)*20+CZ1459)</f>
        <v>10000</v>
      </c>
      <c r="DM1459" s="14">
        <f>SUMIFS(DL$5:DL1459,$CT$5:$CT1459,"="&amp;$CT1459)</f>
        <v>168785</v>
      </c>
    </row>
    <row r="1460" spans="97:117" ht="16.5" x14ac:dyDescent="0.2">
      <c r="CS1460" s="13">
        <v>1456</v>
      </c>
      <c r="CT1460" s="13">
        <f t="shared" si="1131"/>
        <v>28</v>
      </c>
      <c r="CU1460" s="13">
        <f t="shared" si="1134"/>
        <v>52</v>
      </c>
      <c r="CV1460" s="14">
        <f t="shared" si="1132"/>
        <v>4</v>
      </c>
      <c r="CW1460" s="14">
        <f t="shared" si="1133"/>
        <v>1102031</v>
      </c>
      <c r="CX1460" s="14" t="str">
        <f>INDEX($O$6:$O$50,CT1460)&amp;"-"&amp;INDEX(属性投放!$AB$7:$AB$50,CZ1460)&amp;"-魂火-"&amp;DB1460</f>
        <v>秦琼-无间+1-魂火-4</v>
      </c>
      <c r="CY1460" s="25" t="s">
        <v>142</v>
      </c>
      <c r="CZ1460" s="14">
        <f>INDEX(属性投放!$AM$7:$AM$58,CU1460)</f>
        <v>20</v>
      </c>
      <c r="DA1460" s="14" t="s">
        <v>537</v>
      </c>
      <c r="DB1460" s="14">
        <f>INDEX(属性投放!$AN$7:$AN$58,CU1460)</f>
        <v>4</v>
      </c>
      <c r="DC1460" s="14">
        <f t="shared" si="1135"/>
        <v>52</v>
      </c>
      <c r="DD1460" s="14">
        <f>INDEX(属性投放!$AO$7:$AO$58,DC1460)</f>
        <v>148</v>
      </c>
      <c r="DE1460" s="14" t="s">
        <v>242</v>
      </c>
      <c r="DF1460" s="14">
        <f>INDEX(属性投放!$BK$6:$BK$85,(CV1460-2)*20+CZ1460)</f>
        <v>1000</v>
      </c>
      <c r="DG1460" s="14">
        <f>SUMIFS(DF$5:DF1460,$CT$5:$CT1460,"="&amp;$CT1460)</f>
        <v>18335</v>
      </c>
      <c r="DH1460" s="14" t="s">
        <v>198</v>
      </c>
      <c r="DI1460" s="14">
        <f>INDEX(属性投放!$BL$6:$BL$85,(CV1460-2)*20+CZ1460)</f>
        <v>500</v>
      </c>
      <c r="DJ1460" s="14">
        <f>SUMIFS(DI$5:DI1460,$CT$5:$CT1460,"="&amp;$CT1460)</f>
        <v>9177</v>
      </c>
      <c r="DK1460" s="14" t="s">
        <v>25</v>
      </c>
      <c r="DL1460" s="14">
        <f>INDEX(属性投放!$BM$6:$BM$85,(CV1460-2)*20+CZ1460)</f>
        <v>10000</v>
      </c>
      <c r="DM1460" s="14">
        <f>SUMIFS(DL$5:DL1460,$CT$5:$CT1460,"="&amp;$CT1460)</f>
        <v>178785</v>
      </c>
    </row>
    <row r="1461" spans="97:117" ht="16.5" x14ac:dyDescent="0.2">
      <c r="CS1461" s="13">
        <v>1457</v>
      </c>
      <c r="CT1461" s="13">
        <f t="shared" ref="CT1461:CT1524" si="1136">MATCH(CS1461-1,$U$5:$U$36,1)</f>
        <v>29</v>
      </c>
      <c r="CU1461" s="13">
        <f t="shared" ref="CU1461:CU1524" si="1137">CS1461-(CT1461-1)*52</f>
        <v>1</v>
      </c>
      <c r="CV1461" s="14">
        <f t="shared" si="1132"/>
        <v>2</v>
      </c>
      <c r="CW1461" s="14">
        <f t="shared" si="1133"/>
        <v>1102999</v>
      </c>
      <c r="CX1461" s="14" t="str">
        <f>INDEX($O$6:$O$50,CT1461)&amp;"-"&amp;INDEX(属性投放!$AB$7:$AB$50,CZ1461)&amp;"-魂火-"&amp;DB1461</f>
        <v>R守护灵-等活-魂火-1</v>
      </c>
      <c r="CY1461" s="25" t="s">
        <v>142</v>
      </c>
      <c r="CZ1461" s="14">
        <f>INDEX(属性投放!$AM$7:$AM$58,CU1461)</f>
        <v>1</v>
      </c>
      <c r="DA1461" s="14" t="s">
        <v>537</v>
      </c>
      <c r="DB1461" s="14">
        <f>INDEX(属性投放!$AN$7:$AN$58,CU1461)</f>
        <v>1</v>
      </c>
      <c r="DC1461" s="14">
        <f t="shared" ref="DC1461:DC1524" si="1138">CU1461</f>
        <v>1</v>
      </c>
      <c r="DD1461" s="14">
        <f>INDEX(属性投放!$AO$7:$AO$58,DC1461)</f>
        <v>3</v>
      </c>
      <c r="DE1461" s="14" t="s">
        <v>242</v>
      </c>
      <c r="DF1461" s="14">
        <f>INDEX(属性投放!$BK$6:$BK$85,(CV1461-2)*20+CZ1461)</f>
        <v>15</v>
      </c>
      <c r="DG1461" s="14">
        <f>SUMIFS(DF$5:DF1461,$CT$5:$CT1461,"="&amp;$CT1461)</f>
        <v>15</v>
      </c>
      <c r="DH1461" s="14" t="s">
        <v>116</v>
      </c>
      <c r="DI1461" s="14">
        <f>INDEX(属性投放!$BL$6:$BL$85,(CV1461-2)*20+CZ1461)</f>
        <v>8</v>
      </c>
      <c r="DJ1461" s="14">
        <f>SUMIFS(DI$5:DI1461,$CT$5:$CT1461,"="&amp;$CT1461)</f>
        <v>8</v>
      </c>
      <c r="DK1461" s="14" t="s">
        <v>25</v>
      </c>
      <c r="DL1461" s="14">
        <f>INDEX(属性投放!$BM$6:$BM$85,(CV1461-2)*20+CZ1461)</f>
        <v>90</v>
      </c>
      <c r="DM1461" s="14">
        <f>SUMIFS(DL$5:DL1461,$CT$5:$CT1461,"="&amp;$CT1461)</f>
        <v>90</v>
      </c>
    </row>
    <row r="1462" spans="97:117" ht="16.5" x14ac:dyDescent="0.2">
      <c r="CS1462" s="13">
        <v>1458</v>
      </c>
      <c r="CT1462" s="13">
        <f t="shared" si="1136"/>
        <v>29</v>
      </c>
      <c r="CU1462" s="13">
        <f t="shared" si="1137"/>
        <v>2</v>
      </c>
      <c r="CV1462" s="14">
        <f t="shared" si="1132"/>
        <v>2</v>
      </c>
      <c r="CW1462" s="14">
        <f t="shared" si="1133"/>
        <v>1102999</v>
      </c>
      <c r="CX1462" s="14" t="str">
        <f>INDEX($O$6:$O$50,CT1462)&amp;"-"&amp;INDEX(属性投放!$AB$7:$AB$50,CZ1462)&amp;"-魂火-"&amp;DB1462</f>
        <v>R守护灵-黑绳-魂火-1</v>
      </c>
      <c r="CY1462" s="25" t="s">
        <v>142</v>
      </c>
      <c r="CZ1462" s="14">
        <f>INDEX(属性投放!$AM$7:$AM$58,CU1462)</f>
        <v>2</v>
      </c>
      <c r="DA1462" s="14" t="s">
        <v>537</v>
      </c>
      <c r="DB1462" s="14">
        <f>INDEX(属性投放!$AN$7:$AN$58,CU1462)</f>
        <v>1</v>
      </c>
      <c r="DC1462" s="14">
        <f t="shared" si="1138"/>
        <v>2</v>
      </c>
      <c r="DD1462" s="14">
        <f>INDEX(属性投放!$AO$7:$AO$58,DC1462)</f>
        <v>8</v>
      </c>
      <c r="DE1462" s="14" t="s">
        <v>242</v>
      </c>
      <c r="DF1462" s="14">
        <f>INDEX(属性投放!$BK$6:$BK$85,(CV1462-2)*20+CZ1462)</f>
        <v>20</v>
      </c>
      <c r="DG1462" s="14">
        <f>SUMIFS(DF$5:DF1462,$CT$5:$CT1462,"="&amp;$CT1462)</f>
        <v>35</v>
      </c>
      <c r="DH1462" s="14" t="s">
        <v>116</v>
      </c>
      <c r="DI1462" s="14">
        <f>INDEX(属性投放!$BL$6:$BL$85,(CV1462-2)*20+CZ1462)</f>
        <v>10</v>
      </c>
      <c r="DJ1462" s="14">
        <f>SUMIFS(DI$5:DI1462,$CT$5:$CT1462,"="&amp;$CT1462)</f>
        <v>18</v>
      </c>
      <c r="DK1462" s="14" t="s">
        <v>25</v>
      </c>
      <c r="DL1462" s="14">
        <f>INDEX(属性投放!$BM$6:$BM$85,(CV1462-2)*20+CZ1462)</f>
        <v>120</v>
      </c>
      <c r="DM1462" s="14">
        <f>SUMIFS(DL$5:DL1462,$CT$5:$CT1462,"="&amp;$CT1462)</f>
        <v>210</v>
      </c>
    </row>
    <row r="1463" spans="97:117" ht="16.5" x14ac:dyDescent="0.2">
      <c r="CS1463" s="13">
        <v>1459</v>
      </c>
      <c r="CT1463" s="13">
        <f t="shared" si="1136"/>
        <v>29</v>
      </c>
      <c r="CU1463" s="13">
        <f t="shared" si="1137"/>
        <v>3</v>
      </c>
      <c r="CV1463" s="14">
        <f t="shared" si="1132"/>
        <v>2</v>
      </c>
      <c r="CW1463" s="14">
        <f t="shared" si="1133"/>
        <v>1102999</v>
      </c>
      <c r="CX1463" s="14" t="str">
        <f>INDEX($O$6:$O$50,CT1463)&amp;"-"&amp;INDEX(属性投放!$AB$7:$AB$50,CZ1463)&amp;"-魂火-"&amp;DB1463</f>
        <v>R守护灵-黑绳-魂火-2</v>
      </c>
      <c r="CY1463" s="25" t="s">
        <v>142</v>
      </c>
      <c r="CZ1463" s="14">
        <f>INDEX(属性投放!$AM$7:$AM$58,CU1463)</f>
        <v>2</v>
      </c>
      <c r="DA1463" s="14" t="s">
        <v>537</v>
      </c>
      <c r="DB1463" s="14">
        <f>INDEX(属性投放!$AN$7:$AN$58,CU1463)</f>
        <v>2</v>
      </c>
      <c r="DC1463" s="14">
        <f t="shared" si="1138"/>
        <v>3</v>
      </c>
      <c r="DD1463" s="14">
        <f>INDEX(属性投放!$AO$7:$AO$58,DC1463)</f>
        <v>13</v>
      </c>
      <c r="DE1463" s="14" t="s">
        <v>242</v>
      </c>
      <c r="DF1463" s="14">
        <f>INDEX(属性投放!$BK$6:$BK$85,(CV1463-2)*20+CZ1463)</f>
        <v>20</v>
      </c>
      <c r="DG1463" s="14">
        <f>SUMIFS(DF$5:DF1463,$CT$5:$CT1463,"="&amp;$CT1463)</f>
        <v>55</v>
      </c>
      <c r="DH1463" s="14" t="s">
        <v>116</v>
      </c>
      <c r="DI1463" s="14">
        <f>INDEX(属性投放!$BL$6:$BL$85,(CV1463-2)*20+CZ1463)</f>
        <v>10</v>
      </c>
      <c r="DJ1463" s="14">
        <f>SUMIFS(DI$5:DI1463,$CT$5:$CT1463,"="&amp;$CT1463)</f>
        <v>28</v>
      </c>
      <c r="DK1463" s="14" t="s">
        <v>25</v>
      </c>
      <c r="DL1463" s="14">
        <f>INDEX(属性投放!$BM$6:$BM$85,(CV1463-2)*20+CZ1463)</f>
        <v>120</v>
      </c>
      <c r="DM1463" s="14">
        <f>SUMIFS(DL$5:DL1463,$CT$5:$CT1463,"="&amp;$CT1463)</f>
        <v>330</v>
      </c>
    </row>
    <row r="1464" spans="97:117" ht="16.5" x14ac:dyDescent="0.2">
      <c r="CS1464" s="13">
        <v>1460</v>
      </c>
      <c r="CT1464" s="13">
        <f t="shared" si="1136"/>
        <v>29</v>
      </c>
      <c r="CU1464" s="13">
        <f t="shared" si="1137"/>
        <v>4</v>
      </c>
      <c r="CV1464" s="14">
        <f t="shared" si="1132"/>
        <v>2</v>
      </c>
      <c r="CW1464" s="14">
        <f t="shared" si="1133"/>
        <v>1102999</v>
      </c>
      <c r="CX1464" s="14" t="str">
        <f>INDEX($O$6:$O$50,CT1464)&amp;"-"&amp;INDEX(属性投放!$AB$7:$AB$50,CZ1464)&amp;"-魂火-"&amp;DB1464</f>
        <v>R守护灵-黑绳+1-魂火-1</v>
      </c>
      <c r="CY1464" s="25" t="s">
        <v>142</v>
      </c>
      <c r="CZ1464" s="14">
        <f>INDEX(属性投放!$AM$7:$AM$58,CU1464)</f>
        <v>3</v>
      </c>
      <c r="DA1464" s="14" t="s">
        <v>537</v>
      </c>
      <c r="DB1464" s="14">
        <f>INDEX(属性投放!$AN$7:$AN$58,CU1464)</f>
        <v>1</v>
      </c>
      <c r="DC1464" s="14">
        <f t="shared" si="1138"/>
        <v>4</v>
      </c>
      <c r="DD1464" s="14">
        <f>INDEX(属性投放!$AO$7:$AO$58,DC1464)</f>
        <v>18</v>
      </c>
      <c r="DE1464" s="14" t="s">
        <v>242</v>
      </c>
      <c r="DF1464" s="14">
        <f>INDEX(属性投放!$BK$6:$BK$85,(CV1464-2)*20+CZ1464)</f>
        <v>25</v>
      </c>
      <c r="DG1464" s="14">
        <f>SUMIFS(DF$5:DF1464,$CT$5:$CT1464,"="&amp;$CT1464)</f>
        <v>80</v>
      </c>
      <c r="DH1464" s="14" t="s">
        <v>116</v>
      </c>
      <c r="DI1464" s="14">
        <f>INDEX(属性投放!$BL$6:$BL$85,(CV1464-2)*20+CZ1464)</f>
        <v>13</v>
      </c>
      <c r="DJ1464" s="14">
        <f>SUMIFS(DI$5:DI1464,$CT$5:$CT1464,"="&amp;$CT1464)</f>
        <v>41</v>
      </c>
      <c r="DK1464" s="14" t="s">
        <v>25</v>
      </c>
      <c r="DL1464" s="14">
        <f>INDEX(属性投放!$BM$6:$BM$85,(CV1464-2)*20+CZ1464)</f>
        <v>150</v>
      </c>
      <c r="DM1464" s="14">
        <f>SUMIFS(DL$5:DL1464,$CT$5:$CT1464,"="&amp;$CT1464)</f>
        <v>480</v>
      </c>
    </row>
    <row r="1465" spans="97:117" ht="16.5" x14ac:dyDescent="0.2">
      <c r="CS1465" s="13">
        <v>1461</v>
      </c>
      <c r="CT1465" s="13">
        <f t="shared" si="1136"/>
        <v>29</v>
      </c>
      <c r="CU1465" s="13">
        <f t="shared" si="1137"/>
        <v>5</v>
      </c>
      <c r="CV1465" s="14">
        <f t="shared" si="1132"/>
        <v>2</v>
      </c>
      <c r="CW1465" s="14">
        <f t="shared" si="1133"/>
        <v>1102999</v>
      </c>
      <c r="CX1465" s="14" t="str">
        <f>INDEX($O$6:$O$50,CT1465)&amp;"-"&amp;INDEX(属性投放!$AB$7:$AB$50,CZ1465)&amp;"-魂火-"&amp;DB1465</f>
        <v>R守护灵-黑绳+1-魂火-2</v>
      </c>
      <c r="CY1465" s="25" t="s">
        <v>142</v>
      </c>
      <c r="CZ1465" s="14">
        <f>INDEX(属性投放!$AM$7:$AM$58,CU1465)</f>
        <v>3</v>
      </c>
      <c r="DA1465" s="14" t="s">
        <v>537</v>
      </c>
      <c r="DB1465" s="14">
        <f>INDEX(属性投放!$AN$7:$AN$58,CU1465)</f>
        <v>2</v>
      </c>
      <c r="DC1465" s="14">
        <f t="shared" si="1138"/>
        <v>5</v>
      </c>
      <c r="DD1465" s="14">
        <f>INDEX(属性投放!$AO$7:$AO$58,DC1465)</f>
        <v>23</v>
      </c>
      <c r="DE1465" s="14" t="s">
        <v>242</v>
      </c>
      <c r="DF1465" s="14">
        <f>INDEX(属性投放!$BK$6:$BK$85,(CV1465-2)*20+CZ1465)</f>
        <v>25</v>
      </c>
      <c r="DG1465" s="14">
        <f>SUMIFS(DF$5:DF1465,$CT$5:$CT1465,"="&amp;$CT1465)</f>
        <v>105</v>
      </c>
      <c r="DH1465" s="14" t="s">
        <v>116</v>
      </c>
      <c r="DI1465" s="14">
        <f>INDEX(属性投放!$BL$6:$BL$85,(CV1465-2)*20+CZ1465)</f>
        <v>13</v>
      </c>
      <c r="DJ1465" s="14">
        <f>SUMIFS(DI$5:DI1465,$CT$5:$CT1465,"="&amp;$CT1465)</f>
        <v>54</v>
      </c>
      <c r="DK1465" s="14" t="s">
        <v>25</v>
      </c>
      <c r="DL1465" s="14">
        <f>INDEX(属性投放!$BM$6:$BM$85,(CV1465-2)*20+CZ1465)</f>
        <v>150</v>
      </c>
      <c r="DM1465" s="14">
        <f>SUMIFS(DL$5:DL1465,$CT$5:$CT1465,"="&amp;$CT1465)</f>
        <v>630</v>
      </c>
    </row>
    <row r="1466" spans="97:117" ht="16.5" x14ac:dyDescent="0.2">
      <c r="CS1466" s="13">
        <v>1462</v>
      </c>
      <c r="CT1466" s="13">
        <f t="shared" si="1136"/>
        <v>29</v>
      </c>
      <c r="CU1466" s="13">
        <f t="shared" si="1137"/>
        <v>6</v>
      </c>
      <c r="CV1466" s="14">
        <f t="shared" si="1132"/>
        <v>2</v>
      </c>
      <c r="CW1466" s="14">
        <f t="shared" si="1133"/>
        <v>1102999</v>
      </c>
      <c r="CX1466" s="14" t="str">
        <f>INDEX($O$6:$O$50,CT1466)&amp;"-"&amp;INDEX(属性投放!$AB$7:$AB$50,CZ1466)&amp;"-魂火-"&amp;DB1466</f>
        <v>R守护灵-众合-魂火-1</v>
      </c>
      <c r="CY1466" s="25" t="s">
        <v>142</v>
      </c>
      <c r="CZ1466" s="14">
        <f>INDEX(属性投放!$AM$7:$AM$58,CU1466)</f>
        <v>4</v>
      </c>
      <c r="DA1466" s="14" t="s">
        <v>537</v>
      </c>
      <c r="DB1466" s="14">
        <f>INDEX(属性投放!$AN$7:$AN$58,CU1466)</f>
        <v>1</v>
      </c>
      <c r="DC1466" s="14">
        <f t="shared" si="1138"/>
        <v>6</v>
      </c>
      <c r="DD1466" s="14">
        <f>INDEX(属性投放!$AO$7:$AO$58,DC1466)</f>
        <v>28</v>
      </c>
      <c r="DE1466" s="14" t="s">
        <v>242</v>
      </c>
      <c r="DF1466" s="14">
        <f>INDEX(属性投放!$BK$6:$BK$85,(CV1466-2)*20+CZ1466)</f>
        <v>30</v>
      </c>
      <c r="DG1466" s="14">
        <f>SUMIFS(DF$5:DF1466,$CT$5:$CT1466,"="&amp;$CT1466)</f>
        <v>135</v>
      </c>
      <c r="DH1466" s="14" t="s">
        <v>116</v>
      </c>
      <c r="DI1466" s="14">
        <f>INDEX(属性投放!$BL$6:$BL$85,(CV1466-2)*20+CZ1466)</f>
        <v>15</v>
      </c>
      <c r="DJ1466" s="14">
        <f>SUMIFS(DI$5:DI1466,$CT$5:$CT1466,"="&amp;$CT1466)</f>
        <v>69</v>
      </c>
      <c r="DK1466" s="14" t="s">
        <v>25</v>
      </c>
      <c r="DL1466" s="14">
        <f>INDEX(属性投放!$BM$6:$BM$85,(CV1466-2)*20+CZ1466)</f>
        <v>210</v>
      </c>
      <c r="DM1466" s="14">
        <f>SUMIFS(DL$5:DL1466,$CT$5:$CT1466,"="&amp;$CT1466)</f>
        <v>840</v>
      </c>
    </row>
    <row r="1467" spans="97:117" ht="16.5" x14ac:dyDescent="0.2">
      <c r="CS1467" s="13">
        <v>1463</v>
      </c>
      <c r="CT1467" s="13">
        <f t="shared" si="1136"/>
        <v>29</v>
      </c>
      <c r="CU1467" s="13">
        <f t="shared" si="1137"/>
        <v>7</v>
      </c>
      <c r="CV1467" s="14">
        <f t="shared" si="1132"/>
        <v>2</v>
      </c>
      <c r="CW1467" s="14">
        <f t="shared" si="1133"/>
        <v>1102999</v>
      </c>
      <c r="CX1467" s="14" t="str">
        <f>INDEX($O$6:$O$50,CT1467)&amp;"-"&amp;INDEX(属性投放!$AB$7:$AB$50,CZ1467)&amp;"-魂火-"&amp;DB1467</f>
        <v>R守护灵-众合-魂火-2</v>
      </c>
      <c r="CY1467" s="25" t="s">
        <v>142</v>
      </c>
      <c r="CZ1467" s="14">
        <f>INDEX(属性投放!$AM$7:$AM$58,CU1467)</f>
        <v>4</v>
      </c>
      <c r="DA1467" s="14" t="s">
        <v>537</v>
      </c>
      <c r="DB1467" s="14">
        <f>INDEX(属性投放!$AN$7:$AN$58,CU1467)</f>
        <v>2</v>
      </c>
      <c r="DC1467" s="14">
        <f t="shared" si="1138"/>
        <v>7</v>
      </c>
      <c r="DD1467" s="14">
        <f>INDEX(属性投放!$AO$7:$AO$58,DC1467)</f>
        <v>33</v>
      </c>
      <c r="DE1467" s="14" t="s">
        <v>242</v>
      </c>
      <c r="DF1467" s="14">
        <f>INDEX(属性投放!$BK$6:$BK$85,(CV1467-2)*20+CZ1467)</f>
        <v>30</v>
      </c>
      <c r="DG1467" s="14">
        <f>SUMIFS(DF$5:DF1467,$CT$5:$CT1467,"="&amp;$CT1467)</f>
        <v>165</v>
      </c>
      <c r="DH1467" s="14" t="s">
        <v>116</v>
      </c>
      <c r="DI1467" s="14">
        <f>INDEX(属性投放!$BL$6:$BL$85,(CV1467-2)*20+CZ1467)</f>
        <v>15</v>
      </c>
      <c r="DJ1467" s="14">
        <f>SUMIFS(DI$5:DI1467,$CT$5:$CT1467,"="&amp;$CT1467)</f>
        <v>84</v>
      </c>
      <c r="DK1467" s="14" t="s">
        <v>25</v>
      </c>
      <c r="DL1467" s="14">
        <f>INDEX(属性投放!$BM$6:$BM$85,(CV1467-2)*20+CZ1467)</f>
        <v>210</v>
      </c>
      <c r="DM1467" s="14">
        <f>SUMIFS(DL$5:DL1467,$CT$5:$CT1467,"="&amp;$CT1467)</f>
        <v>1050</v>
      </c>
    </row>
    <row r="1468" spans="97:117" ht="16.5" x14ac:dyDescent="0.2">
      <c r="CS1468" s="13">
        <v>1464</v>
      </c>
      <c r="CT1468" s="13">
        <f t="shared" si="1136"/>
        <v>29</v>
      </c>
      <c r="CU1468" s="13">
        <f t="shared" si="1137"/>
        <v>8</v>
      </c>
      <c r="CV1468" s="14">
        <f t="shared" si="1132"/>
        <v>2</v>
      </c>
      <c r="CW1468" s="14">
        <f t="shared" si="1133"/>
        <v>1102999</v>
      </c>
      <c r="CX1468" s="14" t="str">
        <f>INDEX($O$6:$O$50,CT1468)&amp;"-"&amp;INDEX(属性投放!$AB$7:$AB$50,CZ1468)&amp;"-魂火-"&amp;DB1468</f>
        <v>R守护灵-众合+1-魂火-1</v>
      </c>
      <c r="CY1468" s="25" t="s">
        <v>142</v>
      </c>
      <c r="CZ1468" s="14">
        <f>INDEX(属性投放!$AM$7:$AM$58,CU1468)</f>
        <v>5</v>
      </c>
      <c r="DA1468" s="14" t="s">
        <v>537</v>
      </c>
      <c r="DB1468" s="14">
        <f>INDEX(属性投放!$AN$7:$AN$58,CU1468)</f>
        <v>1</v>
      </c>
      <c r="DC1468" s="14">
        <f t="shared" si="1138"/>
        <v>8</v>
      </c>
      <c r="DD1468" s="14">
        <f>INDEX(属性投放!$AO$7:$AO$58,DC1468)</f>
        <v>38</v>
      </c>
      <c r="DE1468" s="14" t="s">
        <v>242</v>
      </c>
      <c r="DF1468" s="14">
        <f>INDEX(属性投放!$BK$6:$BK$85,(CV1468-2)*20+CZ1468)</f>
        <v>35</v>
      </c>
      <c r="DG1468" s="14">
        <f>SUMIFS(DF$5:DF1468,$CT$5:$CT1468,"="&amp;$CT1468)</f>
        <v>200</v>
      </c>
      <c r="DH1468" s="14" t="s">
        <v>116</v>
      </c>
      <c r="DI1468" s="14">
        <f>INDEX(属性投放!$BL$6:$BL$85,(CV1468-2)*20+CZ1468)</f>
        <v>18</v>
      </c>
      <c r="DJ1468" s="14">
        <f>SUMIFS(DI$5:DI1468,$CT$5:$CT1468,"="&amp;$CT1468)</f>
        <v>102</v>
      </c>
      <c r="DK1468" s="14" t="s">
        <v>25</v>
      </c>
      <c r="DL1468" s="14">
        <f>INDEX(属性投放!$BM$6:$BM$85,(CV1468-2)*20+CZ1468)</f>
        <v>245</v>
      </c>
      <c r="DM1468" s="14">
        <f>SUMIFS(DL$5:DL1468,$CT$5:$CT1468,"="&amp;$CT1468)</f>
        <v>1295</v>
      </c>
    </row>
    <row r="1469" spans="97:117" ht="16.5" x14ac:dyDescent="0.2">
      <c r="CS1469" s="13">
        <v>1465</v>
      </c>
      <c r="CT1469" s="13">
        <f t="shared" si="1136"/>
        <v>29</v>
      </c>
      <c r="CU1469" s="13">
        <f t="shared" si="1137"/>
        <v>9</v>
      </c>
      <c r="CV1469" s="14">
        <f t="shared" si="1132"/>
        <v>2</v>
      </c>
      <c r="CW1469" s="14">
        <f t="shared" si="1133"/>
        <v>1102999</v>
      </c>
      <c r="CX1469" s="14" t="str">
        <f>INDEX($O$6:$O$50,CT1469)&amp;"-"&amp;INDEX(属性投放!$AB$7:$AB$50,CZ1469)&amp;"-魂火-"&amp;DB1469</f>
        <v>R守护灵-众合+1-魂火-2</v>
      </c>
      <c r="CY1469" s="25" t="s">
        <v>142</v>
      </c>
      <c r="CZ1469" s="14">
        <f>INDEX(属性投放!$AM$7:$AM$58,CU1469)</f>
        <v>5</v>
      </c>
      <c r="DA1469" s="14" t="s">
        <v>537</v>
      </c>
      <c r="DB1469" s="14">
        <f>INDEX(属性投放!$AN$7:$AN$58,CU1469)</f>
        <v>2</v>
      </c>
      <c r="DC1469" s="14">
        <f t="shared" si="1138"/>
        <v>9</v>
      </c>
      <c r="DD1469" s="14">
        <f>INDEX(属性投放!$AO$7:$AO$58,DC1469)</f>
        <v>40</v>
      </c>
      <c r="DE1469" s="14" t="s">
        <v>242</v>
      </c>
      <c r="DF1469" s="14">
        <f>INDEX(属性投放!$BK$6:$BK$85,(CV1469-2)*20+CZ1469)</f>
        <v>35</v>
      </c>
      <c r="DG1469" s="14">
        <f>SUMIFS(DF$5:DF1469,$CT$5:$CT1469,"="&amp;$CT1469)</f>
        <v>235</v>
      </c>
      <c r="DH1469" s="14" t="s">
        <v>116</v>
      </c>
      <c r="DI1469" s="14">
        <f>INDEX(属性投放!$BL$6:$BL$85,(CV1469-2)*20+CZ1469)</f>
        <v>18</v>
      </c>
      <c r="DJ1469" s="14">
        <f>SUMIFS(DI$5:DI1469,$CT$5:$CT1469,"="&amp;$CT1469)</f>
        <v>120</v>
      </c>
      <c r="DK1469" s="14" t="s">
        <v>25</v>
      </c>
      <c r="DL1469" s="14">
        <f>INDEX(属性投放!$BM$6:$BM$85,(CV1469-2)*20+CZ1469)</f>
        <v>245</v>
      </c>
      <c r="DM1469" s="14">
        <f>SUMIFS(DL$5:DL1469,$CT$5:$CT1469,"="&amp;$CT1469)</f>
        <v>1540</v>
      </c>
    </row>
    <row r="1470" spans="97:117" ht="16.5" x14ac:dyDescent="0.2">
      <c r="CS1470" s="13">
        <v>1466</v>
      </c>
      <c r="CT1470" s="13">
        <f t="shared" si="1136"/>
        <v>29</v>
      </c>
      <c r="CU1470" s="13">
        <f t="shared" si="1137"/>
        <v>10</v>
      </c>
      <c r="CV1470" s="14">
        <f t="shared" si="1132"/>
        <v>2</v>
      </c>
      <c r="CW1470" s="14">
        <f t="shared" si="1133"/>
        <v>1102999</v>
      </c>
      <c r="CX1470" s="14" t="str">
        <f>INDEX($O$6:$O$50,CT1470)&amp;"-"&amp;INDEX(属性投放!$AB$7:$AB$50,CZ1470)&amp;"-魂火-"&amp;DB1470</f>
        <v>R守护灵-众合+2-魂火-1</v>
      </c>
      <c r="CY1470" s="25" t="s">
        <v>142</v>
      </c>
      <c r="CZ1470" s="14">
        <f>INDEX(属性投放!$AM$7:$AM$58,CU1470)</f>
        <v>6</v>
      </c>
      <c r="DA1470" s="14" t="s">
        <v>537</v>
      </c>
      <c r="DB1470" s="14">
        <f>INDEX(属性投放!$AN$7:$AN$58,CU1470)</f>
        <v>1</v>
      </c>
      <c r="DC1470" s="14">
        <f t="shared" si="1138"/>
        <v>10</v>
      </c>
      <c r="DD1470" s="14">
        <f>INDEX(属性投放!$AO$7:$AO$58,DC1470)</f>
        <v>43</v>
      </c>
      <c r="DE1470" s="14" t="s">
        <v>242</v>
      </c>
      <c r="DF1470" s="14">
        <f>INDEX(属性投放!$BK$6:$BK$85,(CV1470-2)*20+CZ1470)</f>
        <v>40</v>
      </c>
      <c r="DG1470" s="14">
        <f>SUMIFS(DF$5:DF1470,$CT$5:$CT1470,"="&amp;$CT1470)</f>
        <v>275</v>
      </c>
      <c r="DH1470" s="14" t="s">
        <v>116</v>
      </c>
      <c r="DI1470" s="14">
        <f>INDEX(属性投放!$BL$6:$BL$85,(CV1470-2)*20+CZ1470)</f>
        <v>20</v>
      </c>
      <c r="DJ1470" s="14">
        <f>SUMIFS(DI$5:DI1470,$CT$5:$CT1470,"="&amp;$CT1470)</f>
        <v>140</v>
      </c>
      <c r="DK1470" s="14" t="s">
        <v>25</v>
      </c>
      <c r="DL1470" s="14">
        <f>INDEX(属性投放!$BM$6:$BM$85,(CV1470-2)*20+CZ1470)</f>
        <v>280</v>
      </c>
      <c r="DM1470" s="14">
        <f>SUMIFS(DL$5:DL1470,$CT$5:$CT1470,"="&amp;$CT1470)</f>
        <v>1820</v>
      </c>
    </row>
    <row r="1471" spans="97:117" ht="16.5" x14ac:dyDescent="0.2">
      <c r="CS1471" s="13">
        <v>1467</v>
      </c>
      <c r="CT1471" s="13">
        <f t="shared" si="1136"/>
        <v>29</v>
      </c>
      <c r="CU1471" s="13">
        <f t="shared" si="1137"/>
        <v>11</v>
      </c>
      <c r="CV1471" s="14">
        <f t="shared" si="1132"/>
        <v>2</v>
      </c>
      <c r="CW1471" s="14">
        <f t="shared" si="1133"/>
        <v>1102999</v>
      </c>
      <c r="CX1471" s="14" t="str">
        <f>INDEX($O$6:$O$50,CT1471)&amp;"-"&amp;INDEX(属性投放!$AB$7:$AB$50,CZ1471)&amp;"-魂火-"&amp;DB1471</f>
        <v>R守护灵-众合+2-魂火-2</v>
      </c>
      <c r="CY1471" s="25" t="s">
        <v>142</v>
      </c>
      <c r="CZ1471" s="14">
        <f>INDEX(属性投放!$AM$7:$AM$58,CU1471)</f>
        <v>6</v>
      </c>
      <c r="DA1471" s="14" t="s">
        <v>537</v>
      </c>
      <c r="DB1471" s="14">
        <f>INDEX(属性投放!$AN$7:$AN$58,CU1471)</f>
        <v>2</v>
      </c>
      <c r="DC1471" s="14">
        <f t="shared" si="1138"/>
        <v>11</v>
      </c>
      <c r="DD1471" s="14">
        <f>INDEX(属性投放!$AO$7:$AO$58,DC1471)</f>
        <v>45</v>
      </c>
      <c r="DE1471" s="14" t="s">
        <v>242</v>
      </c>
      <c r="DF1471" s="14">
        <f>INDEX(属性投放!$BK$6:$BK$85,(CV1471-2)*20+CZ1471)</f>
        <v>40</v>
      </c>
      <c r="DG1471" s="14">
        <f>SUMIFS(DF$5:DF1471,$CT$5:$CT1471,"="&amp;$CT1471)</f>
        <v>315</v>
      </c>
      <c r="DH1471" s="14" t="s">
        <v>116</v>
      </c>
      <c r="DI1471" s="14">
        <f>INDEX(属性投放!$BL$6:$BL$85,(CV1471-2)*20+CZ1471)</f>
        <v>20</v>
      </c>
      <c r="DJ1471" s="14">
        <f>SUMIFS(DI$5:DI1471,$CT$5:$CT1471,"="&amp;$CT1471)</f>
        <v>160</v>
      </c>
      <c r="DK1471" s="14" t="s">
        <v>25</v>
      </c>
      <c r="DL1471" s="14">
        <f>INDEX(属性投放!$BM$6:$BM$85,(CV1471-2)*20+CZ1471)</f>
        <v>280</v>
      </c>
      <c r="DM1471" s="14">
        <f>SUMIFS(DL$5:DL1471,$CT$5:$CT1471,"="&amp;$CT1471)</f>
        <v>2100</v>
      </c>
    </row>
    <row r="1472" spans="97:117" ht="16.5" x14ac:dyDescent="0.2">
      <c r="CS1472" s="13">
        <v>1468</v>
      </c>
      <c r="CT1472" s="13">
        <f t="shared" si="1136"/>
        <v>29</v>
      </c>
      <c r="CU1472" s="13">
        <f t="shared" si="1137"/>
        <v>12</v>
      </c>
      <c r="CV1472" s="14">
        <f t="shared" si="1132"/>
        <v>2</v>
      </c>
      <c r="CW1472" s="14">
        <f t="shared" si="1133"/>
        <v>1102999</v>
      </c>
      <c r="CX1472" s="14" t="str">
        <f>INDEX($O$6:$O$50,CT1472)&amp;"-"&amp;INDEX(属性投放!$AB$7:$AB$50,CZ1472)&amp;"-魂火-"&amp;DB1472</f>
        <v>R守护灵-叫唤-魂火-1</v>
      </c>
      <c r="CY1472" s="25" t="s">
        <v>142</v>
      </c>
      <c r="CZ1472" s="14">
        <f>INDEX(属性投放!$AM$7:$AM$58,CU1472)</f>
        <v>7</v>
      </c>
      <c r="DA1472" s="14" t="s">
        <v>537</v>
      </c>
      <c r="DB1472" s="14">
        <f>INDEX(属性投放!$AN$7:$AN$58,CU1472)</f>
        <v>1</v>
      </c>
      <c r="DC1472" s="14">
        <f t="shared" si="1138"/>
        <v>12</v>
      </c>
      <c r="DD1472" s="14">
        <f>INDEX(属性投放!$AO$7:$AO$58,DC1472)</f>
        <v>48</v>
      </c>
      <c r="DE1472" s="14" t="s">
        <v>242</v>
      </c>
      <c r="DF1472" s="14">
        <f>INDEX(属性投放!$BK$6:$BK$85,(CV1472-2)*20+CZ1472)</f>
        <v>55</v>
      </c>
      <c r="DG1472" s="14">
        <f>SUMIFS(DF$5:DF1472,$CT$5:$CT1472,"="&amp;$CT1472)</f>
        <v>370</v>
      </c>
      <c r="DH1472" s="14" t="s">
        <v>116</v>
      </c>
      <c r="DI1472" s="14">
        <f>INDEX(属性投放!$BL$6:$BL$85,(CV1472-2)*20+CZ1472)</f>
        <v>28</v>
      </c>
      <c r="DJ1472" s="14">
        <f>SUMIFS(DI$5:DI1472,$CT$5:$CT1472,"="&amp;$CT1472)</f>
        <v>188</v>
      </c>
      <c r="DK1472" s="14" t="s">
        <v>25</v>
      </c>
      <c r="DL1472" s="14">
        <f>INDEX(属性投放!$BM$6:$BM$85,(CV1472-2)*20+CZ1472)</f>
        <v>440</v>
      </c>
      <c r="DM1472" s="14">
        <f>SUMIFS(DL$5:DL1472,$CT$5:$CT1472,"="&amp;$CT1472)</f>
        <v>2540</v>
      </c>
    </row>
    <row r="1473" spans="97:117" ht="16.5" x14ac:dyDescent="0.2">
      <c r="CS1473" s="13">
        <v>1469</v>
      </c>
      <c r="CT1473" s="13">
        <f t="shared" si="1136"/>
        <v>29</v>
      </c>
      <c r="CU1473" s="13">
        <f t="shared" si="1137"/>
        <v>13</v>
      </c>
      <c r="CV1473" s="14">
        <f t="shared" si="1132"/>
        <v>2</v>
      </c>
      <c r="CW1473" s="14">
        <f t="shared" si="1133"/>
        <v>1102999</v>
      </c>
      <c r="CX1473" s="14" t="str">
        <f>INDEX($O$6:$O$50,CT1473)&amp;"-"&amp;INDEX(属性投放!$AB$7:$AB$50,CZ1473)&amp;"-魂火-"&amp;DB1473</f>
        <v>R守护灵-叫唤-魂火-2</v>
      </c>
      <c r="CY1473" s="25" t="s">
        <v>142</v>
      </c>
      <c r="CZ1473" s="14">
        <f>INDEX(属性投放!$AM$7:$AM$58,CU1473)</f>
        <v>7</v>
      </c>
      <c r="DA1473" s="14" t="s">
        <v>537</v>
      </c>
      <c r="DB1473" s="14">
        <f>INDEX(属性投放!$AN$7:$AN$58,CU1473)</f>
        <v>2</v>
      </c>
      <c r="DC1473" s="14">
        <f t="shared" si="1138"/>
        <v>13</v>
      </c>
      <c r="DD1473" s="14">
        <f>INDEX(属性投放!$AO$7:$AO$58,DC1473)</f>
        <v>50</v>
      </c>
      <c r="DE1473" s="14" t="s">
        <v>242</v>
      </c>
      <c r="DF1473" s="14">
        <f>INDEX(属性投放!$BK$6:$BK$85,(CV1473-2)*20+CZ1473)</f>
        <v>55</v>
      </c>
      <c r="DG1473" s="14">
        <f>SUMIFS(DF$5:DF1473,$CT$5:$CT1473,"="&amp;$CT1473)</f>
        <v>425</v>
      </c>
      <c r="DH1473" s="14" t="s">
        <v>116</v>
      </c>
      <c r="DI1473" s="14">
        <f>INDEX(属性投放!$BL$6:$BL$85,(CV1473-2)*20+CZ1473)</f>
        <v>28</v>
      </c>
      <c r="DJ1473" s="14">
        <f>SUMIFS(DI$5:DI1473,$CT$5:$CT1473,"="&amp;$CT1473)</f>
        <v>216</v>
      </c>
      <c r="DK1473" s="14" t="s">
        <v>25</v>
      </c>
      <c r="DL1473" s="14">
        <f>INDEX(属性投放!$BM$6:$BM$85,(CV1473-2)*20+CZ1473)</f>
        <v>440</v>
      </c>
      <c r="DM1473" s="14">
        <f>SUMIFS(DL$5:DL1473,$CT$5:$CT1473,"="&amp;$CT1473)</f>
        <v>2980</v>
      </c>
    </row>
    <row r="1474" spans="97:117" ht="16.5" x14ac:dyDescent="0.2">
      <c r="CS1474" s="13">
        <v>1470</v>
      </c>
      <c r="CT1474" s="13">
        <f t="shared" si="1136"/>
        <v>29</v>
      </c>
      <c r="CU1474" s="13">
        <f t="shared" si="1137"/>
        <v>14</v>
      </c>
      <c r="CV1474" s="14">
        <f t="shared" si="1132"/>
        <v>2</v>
      </c>
      <c r="CW1474" s="14">
        <f t="shared" si="1133"/>
        <v>1102999</v>
      </c>
      <c r="CX1474" s="14" t="str">
        <f>INDEX($O$6:$O$50,CT1474)&amp;"-"&amp;INDEX(属性投放!$AB$7:$AB$50,CZ1474)&amp;"-魂火-"&amp;DB1474</f>
        <v>R守护灵-叫唤+1-魂火-1</v>
      </c>
      <c r="CY1474" s="25" t="s">
        <v>142</v>
      </c>
      <c r="CZ1474" s="14">
        <f>INDEX(属性投放!$AM$7:$AM$58,CU1474)</f>
        <v>8</v>
      </c>
      <c r="DA1474" s="14" t="s">
        <v>537</v>
      </c>
      <c r="DB1474" s="14">
        <f>INDEX(属性投放!$AN$7:$AN$58,CU1474)</f>
        <v>1</v>
      </c>
      <c r="DC1474" s="14">
        <f t="shared" si="1138"/>
        <v>14</v>
      </c>
      <c r="DD1474" s="14">
        <f>INDEX(属性投放!$AO$7:$AO$58,DC1474)</f>
        <v>53</v>
      </c>
      <c r="DE1474" s="14" t="s">
        <v>242</v>
      </c>
      <c r="DF1474" s="14">
        <f>INDEX(属性投放!$BK$6:$BK$85,(CV1474-2)*20+CZ1474)</f>
        <v>70</v>
      </c>
      <c r="DG1474" s="14">
        <f>SUMIFS(DF$5:DF1474,$CT$5:$CT1474,"="&amp;$CT1474)</f>
        <v>495</v>
      </c>
      <c r="DH1474" s="14" t="s">
        <v>116</v>
      </c>
      <c r="DI1474" s="14">
        <f>INDEX(属性投放!$BL$6:$BL$85,(CV1474-2)*20+CZ1474)</f>
        <v>35</v>
      </c>
      <c r="DJ1474" s="14">
        <f>SUMIFS(DI$5:DI1474,$CT$5:$CT1474,"="&amp;$CT1474)</f>
        <v>251</v>
      </c>
      <c r="DK1474" s="14" t="s">
        <v>25</v>
      </c>
      <c r="DL1474" s="14">
        <f>INDEX(属性投放!$BM$6:$BM$85,(CV1474-2)*20+CZ1474)</f>
        <v>560</v>
      </c>
      <c r="DM1474" s="14">
        <f>SUMIFS(DL$5:DL1474,$CT$5:$CT1474,"="&amp;$CT1474)</f>
        <v>3540</v>
      </c>
    </row>
    <row r="1475" spans="97:117" ht="16.5" x14ac:dyDescent="0.2">
      <c r="CS1475" s="13">
        <v>1471</v>
      </c>
      <c r="CT1475" s="13">
        <f t="shared" si="1136"/>
        <v>29</v>
      </c>
      <c r="CU1475" s="13">
        <f t="shared" si="1137"/>
        <v>15</v>
      </c>
      <c r="CV1475" s="14">
        <f t="shared" si="1132"/>
        <v>2</v>
      </c>
      <c r="CW1475" s="14">
        <f t="shared" si="1133"/>
        <v>1102999</v>
      </c>
      <c r="CX1475" s="14" t="str">
        <f>INDEX($O$6:$O$50,CT1475)&amp;"-"&amp;INDEX(属性投放!$AB$7:$AB$50,CZ1475)&amp;"-魂火-"&amp;DB1475</f>
        <v>R守护灵-叫唤+1-魂火-2</v>
      </c>
      <c r="CY1475" s="25" t="s">
        <v>142</v>
      </c>
      <c r="CZ1475" s="14">
        <f>INDEX(属性投放!$AM$7:$AM$58,CU1475)</f>
        <v>8</v>
      </c>
      <c r="DA1475" s="14" t="s">
        <v>537</v>
      </c>
      <c r="DB1475" s="14">
        <f>INDEX(属性投放!$AN$7:$AN$58,CU1475)</f>
        <v>2</v>
      </c>
      <c r="DC1475" s="14">
        <f t="shared" si="1138"/>
        <v>15</v>
      </c>
      <c r="DD1475" s="14">
        <f>INDEX(属性投放!$AO$7:$AO$58,DC1475)</f>
        <v>55</v>
      </c>
      <c r="DE1475" s="14" t="s">
        <v>242</v>
      </c>
      <c r="DF1475" s="14">
        <f>INDEX(属性投放!$BK$6:$BK$85,(CV1475-2)*20+CZ1475)</f>
        <v>70</v>
      </c>
      <c r="DG1475" s="14">
        <f>SUMIFS(DF$5:DF1475,$CT$5:$CT1475,"="&amp;$CT1475)</f>
        <v>565</v>
      </c>
      <c r="DH1475" s="14" t="s">
        <v>116</v>
      </c>
      <c r="DI1475" s="14">
        <f>INDEX(属性投放!$BL$6:$BL$85,(CV1475-2)*20+CZ1475)</f>
        <v>35</v>
      </c>
      <c r="DJ1475" s="14">
        <f>SUMIFS(DI$5:DI1475,$CT$5:$CT1475,"="&amp;$CT1475)</f>
        <v>286</v>
      </c>
      <c r="DK1475" s="14" t="s">
        <v>25</v>
      </c>
      <c r="DL1475" s="14">
        <f>INDEX(属性投放!$BM$6:$BM$85,(CV1475-2)*20+CZ1475)</f>
        <v>560</v>
      </c>
      <c r="DM1475" s="14">
        <f>SUMIFS(DL$5:DL1475,$CT$5:$CT1475,"="&amp;$CT1475)</f>
        <v>4100</v>
      </c>
    </row>
    <row r="1476" spans="97:117" ht="16.5" x14ac:dyDescent="0.2">
      <c r="CS1476" s="13">
        <v>1472</v>
      </c>
      <c r="CT1476" s="13">
        <f t="shared" si="1136"/>
        <v>29</v>
      </c>
      <c r="CU1476" s="13">
        <f t="shared" si="1137"/>
        <v>16</v>
      </c>
      <c r="CV1476" s="14">
        <f t="shared" si="1132"/>
        <v>2</v>
      </c>
      <c r="CW1476" s="14">
        <f t="shared" si="1133"/>
        <v>1102999</v>
      </c>
      <c r="CX1476" s="14" t="str">
        <f>INDEX($O$6:$O$50,CT1476)&amp;"-"&amp;INDEX(属性投放!$AB$7:$AB$50,CZ1476)&amp;"-魂火-"&amp;DB1476</f>
        <v>R守护灵-叫唤+2-魂火-1</v>
      </c>
      <c r="CY1476" s="25" t="s">
        <v>142</v>
      </c>
      <c r="CZ1476" s="14">
        <f>INDEX(属性投放!$AM$7:$AM$58,CU1476)</f>
        <v>9</v>
      </c>
      <c r="DA1476" s="14" t="s">
        <v>537</v>
      </c>
      <c r="DB1476" s="14">
        <f>INDEX(属性投放!$AN$7:$AN$58,CU1476)</f>
        <v>1</v>
      </c>
      <c r="DC1476" s="14">
        <f t="shared" si="1138"/>
        <v>16</v>
      </c>
      <c r="DD1476" s="14">
        <f>INDEX(属性投放!$AO$7:$AO$58,DC1476)</f>
        <v>58</v>
      </c>
      <c r="DE1476" s="14" t="s">
        <v>242</v>
      </c>
      <c r="DF1476" s="14">
        <f>INDEX(属性投放!$BK$6:$BK$85,(CV1476-2)*20+CZ1476)</f>
        <v>80</v>
      </c>
      <c r="DG1476" s="14">
        <f>SUMIFS(DF$5:DF1476,$CT$5:$CT1476,"="&amp;$CT1476)</f>
        <v>645</v>
      </c>
      <c r="DH1476" s="14" t="s">
        <v>116</v>
      </c>
      <c r="DI1476" s="14">
        <f>INDEX(属性投放!$BL$6:$BL$85,(CV1476-2)*20+CZ1476)</f>
        <v>40</v>
      </c>
      <c r="DJ1476" s="14">
        <f>SUMIFS(DI$5:DI1476,$CT$5:$CT1476,"="&amp;$CT1476)</f>
        <v>326</v>
      </c>
      <c r="DK1476" s="14" t="s">
        <v>25</v>
      </c>
      <c r="DL1476" s="14">
        <f>INDEX(属性投放!$BM$6:$BM$85,(CV1476-2)*20+CZ1476)</f>
        <v>640</v>
      </c>
      <c r="DM1476" s="14">
        <f>SUMIFS(DL$5:DL1476,$CT$5:$CT1476,"="&amp;$CT1476)</f>
        <v>4740</v>
      </c>
    </row>
    <row r="1477" spans="97:117" ht="16.5" x14ac:dyDescent="0.2">
      <c r="CS1477" s="13">
        <v>1473</v>
      </c>
      <c r="CT1477" s="13">
        <f t="shared" si="1136"/>
        <v>29</v>
      </c>
      <c r="CU1477" s="13">
        <f t="shared" si="1137"/>
        <v>17</v>
      </c>
      <c r="CV1477" s="14">
        <f t="shared" si="1132"/>
        <v>2</v>
      </c>
      <c r="CW1477" s="14">
        <f t="shared" si="1133"/>
        <v>1102999</v>
      </c>
      <c r="CX1477" s="14" t="str">
        <f>INDEX($O$6:$O$50,CT1477)&amp;"-"&amp;INDEX(属性投放!$AB$7:$AB$50,CZ1477)&amp;"-魂火-"&amp;DB1477</f>
        <v>R守护灵-叫唤+2-魂火-2</v>
      </c>
      <c r="CY1477" s="25" t="s">
        <v>142</v>
      </c>
      <c r="CZ1477" s="14">
        <f>INDEX(属性投放!$AM$7:$AM$58,CU1477)</f>
        <v>9</v>
      </c>
      <c r="DA1477" s="14" t="s">
        <v>537</v>
      </c>
      <c r="DB1477" s="14">
        <f>INDEX(属性投放!$AN$7:$AN$58,CU1477)</f>
        <v>2</v>
      </c>
      <c r="DC1477" s="14">
        <f t="shared" si="1138"/>
        <v>17</v>
      </c>
      <c r="DD1477" s="14">
        <f>INDEX(属性投放!$AO$7:$AO$58,DC1477)</f>
        <v>60</v>
      </c>
      <c r="DE1477" s="14" t="s">
        <v>242</v>
      </c>
      <c r="DF1477" s="14">
        <f>INDEX(属性投放!$BK$6:$BK$85,(CV1477-2)*20+CZ1477)</f>
        <v>80</v>
      </c>
      <c r="DG1477" s="14">
        <f>SUMIFS(DF$5:DF1477,$CT$5:$CT1477,"="&amp;$CT1477)</f>
        <v>725</v>
      </c>
      <c r="DH1477" s="14" t="s">
        <v>116</v>
      </c>
      <c r="DI1477" s="14">
        <f>INDEX(属性投放!$BL$6:$BL$85,(CV1477-2)*20+CZ1477)</f>
        <v>40</v>
      </c>
      <c r="DJ1477" s="14">
        <f>SUMIFS(DI$5:DI1477,$CT$5:$CT1477,"="&amp;$CT1477)</f>
        <v>366</v>
      </c>
      <c r="DK1477" s="14" t="s">
        <v>25</v>
      </c>
      <c r="DL1477" s="14">
        <f>INDEX(属性投放!$BM$6:$BM$85,(CV1477-2)*20+CZ1477)</f>
        <v>640</v>
      </c>
      <c r="DM1477" s="14">
        <f>SUMIFS(DL$5:DL1477,$CT$5:$CT1477,"="&amp;$CT1477)</f>
        <v>5380</v>
      </c>
    </row>
    <row r="1478" spans="97:117" ht="16.5" x14ac:dyDescent="0.2">
      <c r="CS1478" s="13">
        <v>1474</v>
      </c>
      <c r="CT1478" s="13">
        <f t="shared" si="1136"/>
        <v>29</v>
      </c>
      <c r="CU1478" s="13">
        <f t="shared" si="1137"/>
        <v>18</v>
      </c>
      <c r="CV1478" s="14">
        <f t="shared" ref="CV1478:CV1541" si="1139">INDEX($Q$6:$Q$50,CT1478)</f>
        <v>2</v>
      </c>
      <c r="CW1478" s="14">
        <f t="shared" ref="CW1478:CW1541" si="1140">INDEX($N$6:$N$50,CT1478)</f>
        <v>1102999</v>
      </c>
      <c r="CX1478" s="14" t="str">
        <f>INDEX($O$6:$O$50,CT1478)&amp;"-"&amp;INDEX(属性投放!$AB$7:$AB$50,CZ1478)&amp;"-魂火-"&amp;DB1478</f>
        <v>R守护灵-叫唤+2-魂火-3</v>
      </c>
      <c r="CY1478" s="25" t="s">
        <v>142</v>
      </c>
      <c r="CZ1478" s="14">
        <f>INDEX(属性投放!$AM$7:$AM$58,CU1478)</f>
        <v>9</v>
      </c>
      <c r="DA1478" s="14" t="s">
        <v>537</v>
      </c>
      <c r="DB1478" s="14">
        <f>INDEX(属性投放!$AN$7:$AN$58,CU1478)</f>
        <v>3</v>
      </c>
      <c r="DC1478" s="14">
        <f t="shared" si="1138"/>
        <v>18</v>
      </c>
      <c r="DD1478" s="14">
        <f>INDEX(属性投放!$AO$7:$AO$58,DC1478)</f>
        <v>63</v>
      </c>
      <c r="DE1478" s="14" t="s">
        <v>242</v>
      </c>
      <c r="DF1478" s="14">
        <f>INDEX(属性投放!$BK$6:$BK$85,(CV1478-2)*20+CZ1478)</f>
        <v>80</v>
      </c>
      <c r="DG1478" s="14">
        <f>SUMIFS(DF$5:DF1478,$CT$5:$CT1478,"="&amp;$CT1478)</f>
        <v>805</v>
      </c>
      <c r="DH1478" s="14" t="s">
        <v>116</v>
      </c>
      <c r="DI1478" s="14">
        <f>INDEX(属性投放!$BL$6:$BL$85,(CV1478-2)*20+CZ1478)</f>
        <v>40</v>
      </c>
      <c r="DJ1478" s="14">
        <f>SUMIFS(DI$5:DI1478,$CT$5:$CT1478,"="&amp;$CT1478)</f>
        <v>406</v>
      </c>
      <c r="DK1478" s="14" t="s">
        <v>25</v>
      </c>
      <c r="DL1478" s="14">
        <f>INDEX(属性投放!$BM$6:$BM$85,(CV1478-2)*20+CZ1478)</f>
        <v>640</v>
      </c>
      <c r="DM1478" s="14">
        <f>SUMIFS(DL$5:DL1478,$CT$5:$CT1478,"="&amp;$CT1478)</f>
        <v>6020</v>
      </c>
    </row>
    <row r="1479" spans="97:117" ht="16.5" x14ac:dyDescent="0.2">
      <c r="CS1479" s="13">
        <v>1475</v>
      </c>
      <c r="CT1479" s="13">
        <f t="shared" si="1136"/>
        <v>29</v>
      </c>
      <c r="CU1479" s="13">
        <f t="shared" si="1137"/>
        <v>19</v>
      </c>
      <c r="CV1479" s="14">
        <f t="shared" si="1139"/>
        <v>2</v>
      </c>
      <c r="CW1479" s="14">
        <f t="shared" si="1140"/>
        <v>1102999</v>
      </c>
      <c r="CX1479" s="14" t="str">
        <f>INDEX($O$6:$O$50,CT1479)&amp;"-"&amp;INDEX(属性投放!$AB$7:$AB$50,CZ1479)&amp;"-魂火-"&amp;DB1479</f>
        <v>R守护灵-大叫唤-魂火-1</v>
      </c>
      <c r="CY1479" s="25" t="s">
        <v>142</v>
      </c>
      <c r="CZ1479" s="14">
        <f>INDEX(属性投放!$AM$7:$AM$58,CU1479)</f>
        <v>10</v>
      </c>
      <c r="DA1479" s="14" t="s">
        <v>537</v>
      </c>
      <c r="DB1479" s="14">
        <f>INDEX(属性投放!$AN$7:$AN$58,CU1479)</f>
        <v>1</v>
      </c>
      <c r="DC1479" s="14">
        <f t="shared" si="1138"/>
        <v>19</v>
      </c>
      <c r="DD1479" s="14">
        <f>INDEX(属性投放!$AO$7:$AO$58,DC1479)</f>
        <v>65</v>
      </c>
      <c r="DE1479" s="14" t="s">
        <v>242</v>
      </c>
      <c r="DF1479" s="14">
        <f>INDEX(属性投放!$BK$6:$BK$85,(CV1479-2)*20+CZ1479)</f>
        <v>100</v>
      </c>
      <c r="DG1479" s="14">
        <f>SUMIFS(DF$5:DF1479,$CT$5:$CT1479,"="&amp;$CT1479)</f>
        <v>905</v>
      </c>
      <c r="DH1479" s="14" t="s">
        <v>116</v>
      </c>
      <c r="DI1479" s="14">
        <f>INDEX(属性投放!$BL$6:$BL$85,(CV1479-2)*20+CZ1479)</f>
        <v>50</v>
      </c>
      <c r="DJ1479" s="14">
        <f>SUMIFS(DI$5:DI1479,$CT$5:$CT1479,"="&amp;$CT1479)</f>
        <v>456</v>
      </c>
      <c r="DK1479" s="14" t="s">
        <v>25</v>
      </c>
      <c r="DL1479" s="14">
        <f>INDEX(属性投放!$BM$6:$BM$85,(CV1479-2)*20+CZ1479)</f>
        <v>900</v>
      </c>
      <c r="DM1479" s="14">
        <f>SUMIFS(DL$5:DL1479,$CT$5:$CT1479,"="&amp;$CT1479)</f>
        <v>6920</v>
      </c>
    </row>
    <row r="1480" spans="97:117" ht="16.5" x14ac:dyDescent="0.2">
      <c r="CS1480" s="13">
        <v>1476</v>
      </c>
      <c r="CT1480" s="13">
        <f t="shared" si="1136"/>
        <v>29</v>
      </c>
      <c r="CU1480" s="13">
        <f t="shared" si="1137"/>
        <v>20</v>
      </c>
      <c r="CV1480" s="14">
        <f t="shared" si="1139"/>
        <v>2</v>
      </c>
      <c r="CW1480" s="14">
        <f t="shared" si="1140"/>
        <v>1102999</v>
      </c>
      <c r="CX1480" s="14" t="str">
        <f>INDEX($O$6:$O$50,CT1480)&amp;"-"&amp;INDEX(属性投放!$AB$7:$AB$50,CZ1480)&amp;"-魂火-"&amp;DB1480</f>
        <v>R守护灵-大叫唤-魂火-2</v>
      </c>
      <c r="CY1480" s="25" t="s">
        <v>142</v>
      </c>
      <c r="CZ1480" s="14">
        <f>INDEX(属性投放!$AM$7:$AM$58,CU1480)</f>
        <v>10</v>
      </c>
      <c r="DA1480" s="14" t="s">
        <v>537</v>
      </c>
      <c r="DB1480" s="14">
        <f>INDEX(属性投放!$AN$7:$AN$58,CU1480)</f>
        <v>2</v>
      </c>
      <c r="DC1480" s="14">
        <f t="shared" si="1138"/>
        <v>20</v>
      </c>
      <c r="DD1480" s="14">
        <f>INDEX(属性投放!$AO$7:$AO$58,DC1480)</f>
        <v>68</v>
      </c>
      <c r="DE1480" s="14" t="s">
        <v>242</v>
      </c>
      <c r="DF1480" s="14">
        <f>INDEX(属性投放!$BK$6:$BK$85,(CV1480-2)*20+CZ1480)</f>
        <v>100</v>
      </c>
      <c r="DG1480" s="14">
        <f>SUMIFS(DF$5:DF1480,$CT$5:$CT1480,"="&amp;$CT1480)</f>
        <v>1005</v>
      </c>
      <c r="DH1480" s="14" t="s">
        <v>116</v>
      </c>
      <c r="DI1480" s="14">
        <f>INDEX(属性投放!$BL$6:$BL$85,(CV1480-2)*20+CZ1480)</f>
        <v>50</v>
      </c>
      <c r="DJ1480" s="14">
        <f>SUMIFS(DI$5:DI1480,$CT$5:$CT1480,"="&amp;$CT1480)</f>
        <v>506</v>
      </c>
      <c r="DK1480" s="14" t="s">
        <v>25</v>
      </c>
      <c r="DL1480" s="14">
        <f>INDEX(属性投放!$BM$6:$BM$85,(CV1480-2)*20+CZ1480)</f>
        <v>900</v>
      </c>
      <c r="DM1480" s="14">
        <f>SUMIFS(DL$5:DL1480,$CT$5:$CT1480,"="&amp;$CT1480)</f>
        <v>7820</v>
      </c>
    </row>
    <row r="1481" spans="97:117" ht="16.5" x14ac:dyDescent="0.2">
      <c r="CS1481" s="13">
        <v>1477</v>
      </c>
      <c r="CT1481" s="13">
        <f t="shared" si="1136"/>
        <v>29</v>
      </c>
      <c r="CU1481" s="13">
        <f t="shared" si="1137"/>
        <v>21</v>
      </c>
      <c r="CV1481" s="14">
        <f t="shared" si="1139"/>
        <v>2</v>
      </c>
      <c r="CW1481" s="14">
        <f t="shared" si="1140"/>
        <v>1102999</v>
      </c>
      <c r="CX1481" s="14" t="str">
        <f>INDEX($O$6:$O$50,CT1481)&amp;"-"&amp;INDEX(属性投放!$AB$7:$AB$50,CZ1481)&amp;"-魂火-"&amp;DB1481</f>
        <v>R守护灵-大叫唤-魂火-3</v>
      </c>
      <c r="CY1481" s="25" t="s">
        <v>142</v>
      </c>
      <c r="CZ1481" s="14">
        <f>INDEX(属性投放!$AM$7:$AM$58,CU1481)</f>
        <v>10</v>
      </c>
      <c r="DA1481" s="14" t="s">
        <v>537</v>
      </c>
      <c r="DB1481" s="14">
        <f>INDEX(属性投放!$AN$7:$AN$58,CU1481)</f>
        <v>3</v>
      </c>
      <c r="DC1481" s="14">
        <f t="shared" si="1138"/>
        <v>21</v>
      </c>
      <c r="DD1481" s="14">
        <f>INDEX(属性投放!$AO$7:$AO$58,DC1481)</f>
        <v>70</v>
      </c>
      <c r="DE1481" s="14" t="s">
        <v>242</v>
      </c>
      <c r="DF1481" s="14">
        <f>INDEX(属性投放!$BK$6:$BK$85,(CV1481-2)*20+CZ1481)</f>
        <v>100</v>
      </c>
      <c r="DG1481" s="14">
        <f>SUMIFS(DF$5:DF1481,$CT$5:$CT1481,"="&amp;$CT1481)</f>
        <v>1105</v>
      </c>
      <c r="DH1481" s="14" t="s">
        <v>116</v>
      </c>
      <c r="DI1481" s="14">
        <f>INDEX(属性投放!$BL$6:$BL$85,(CV1481-2)*20+CZ1481)</f>
        <v>50</v>
      </c>
      <c r="DJ1481" s="14">
        <f>SUMIFS(DI$5:DI1481,$CT$5:$CT1481,"="&amp;$CT1481)</f>
        <v>556</v>
      </c>
      <c r="DK1481" s="14" t="s">
        <v>25</v>
      </c>
      <c r="DL1481" s="14">
        <f>INDEX(属性投放!$BM$6:$BM$85,(CV1481-2)*20+CZ1481)</f>
        <v>900</v>
      </c>
      <c r="DM1481" s="14">
        <f>SUMIFS(DL$5:DL1481,$CT$5:$CT1481,"="&amp;$CT1481)</f>
        <v>8720</v>
      </c>
    </row>
    <row r="1482" spans="97:117" ht="16.5" x14ac:dyDescent="0.2">
      <c r="CS1482" s="13">
        <v>1478</v>
      </c>
      <c r="CT1482" s="13">
        <f t="shared" si="1136"/>
        <v>29</v>
      </c>
      <c r="CU1482" s="13">
        <f t="shared" si="1137"/>
        <v>22</v>
      </c>
      <c r="CV1482" s="14">
        <f t="shared" si="1139"/>
        <v>2</v>
      </c>
      <c r="CW1482" s="14">
        <f t="shared" si="1140"/>
        <v>1102999</v>
      </c>
      <c r="CX1482" s="14" t="str">
        <f>INDEX($O$6:$O$50,CT1482)&amp;"-"&amp;INDEX(属性投放!$AB$7:$AB$50,CZ1482)&amp;"-魂火-"&amp;DB1482</f>
        <v>R守护灵-大叫唤+1-魂火-1</v>
      </c>
      <c r="CY1482" s="25" t="s">
        <v>142</v>
      </c>
      <c r="CZ1482" s="14">
        <f>INDEX(属性投放!$AM$7:$AM$58,CU1482)</f>
        <v>11</v>
      </c>
      <c r="DA1482" s="14" t="s">
        <v>537</v>
      </c>
      <c r="DB1482" s="14">
        <f>INDEX(属性投放!$AN$7:$AN$58,CU1482)</f>
        <v>1</v>
      </c>
      <c r="DC1482" s="14">
        <f t="shared" si="1138"/>
        <v>22</v>
      </c>
      <c r="DD1482" s="14">
        <f>INDEX(属性投放!$AO$7:$AO$58,DC1482)</f>
        <v>73</v>
      </c>
      <c r="DE1482" s="14" t="s">
        <v>242</v>
      </c>
      <c r="DF1482" s="14">
        <f>INDEX(属性投放!$BK$6:$BK$85,(CV1482-2)*20+CZ1482)</f>
        <v>130</v>
      </c>
      <c r="DG1482" s="14">
        <f>SUMIFS(DF$5:DF1482,$CT$5:$CT1482,"="&amp;$CT1482)</f>
        <v>1235</v>
      </c>
      <c r="DH1482" s="14" t="s">
        <v>116</v>
      </c>
      <c r="DI1482" s="14">
        <f>INDEX(属性投放!$BL$6:$BL$85,(CV1482-2)*20+CZ1482)</f>
        <v>65</v>
      </c>
      <c r="DJ1482" s="14">
        <f>SUMIFS(DI$5:DI1482,$CT$5:$CT1482,"="&amp;$CT1482)</f>
        <v>621</v>
      </c>
      <c r="DK1482" s="14" t="s">
        <v>25</v>
      </c>
      <c r="DL1482" s="14">
        <f>INDEX(属性投放!$BM$6:$BM$85,(CV1482-2)*20+CZ1482)</f>
        <v>1170</v>
      </c>
      <c r="DM1482" s="14">
        <f>SUMIFS(DL$5:DL1482,$CT$5:$CT1482,"="&amp;$CT1482)</f>
        <v>9890</v>
      </c>
    </row>
    <row r="1483" spans="97:117" ht="16.5" x14ac:dyDescent="0.2">
      <c r="CS1483" s="13">
        <v>1479</v>
      </c>
      <c r="CT1483" s="13">
        <f t="shared" si="1136"/>
        <v>29</v>
      </c>
      <c r="CU1483" s="13">
        <f t="shared" si="1137"/>
        <v>23</v>
      </c>
      <c r="CV1483" s="14">
        <f t="shared" si="1139"/>
        <v>2</v>
      </c>
      <c r="CW1483" s="14">
        <f t="shared" si="1140"/>
        <v>1102999</v>
      </c>
      <c r="CX1483" s="14" t="str">
        <f>INDEX($O$6:$O$50,CT1483)&amp;"-"&amp;INDEX(属性投放!$AB$7:$AB$50,CZ1483)&amp;"-魂火-"&amp;DB1483</f>
        <v>R守护灵-大叫唤+1-魂火-2</v>
      </c>
      <c r="CY1483" s="25" t="s">
        <v>142</v>
      </c>
      <c r="CZ1483" s="14">
        <f>INDEX(属性投放!$AM$7:$AM$58,CU1483)</f>
        <v>11</v>
      </c>
      <c r="DA1483" s="14" t="s">
        <v>537</v>
      </c>
      <c r="DB1483" s="14">
        <f>INDEX(属性投放!$AN$7:$AN$58,CU1483)</f>
        <v>2</v>
      </c>
      <c r="DC1483" s="14">
        <f t="shared" si="1138"/>
        <v>23</v>
      </c>
      <c r="DD1483" s="14">
        <f>INDEX(属性投放!$AO$7:$AO$58,DC1483)</f>
        <v>75</v>
      </c>
      <c r="DE1483" s="14" t="s">
        <v>242</v>
      </c>
      <c r="DF1483" s="14">
        <f>INDEX(属性投放!$BK$6:$BK$85,(CV1483-2)*20+CZ1483)</f>
        <v>130</v>
      </c>
      <c r="DG1483" s="14">
        <f>SUMIFS(DF$5:DF1483,$CT$5:$CT1483,"="&amp;$CT1483)</f>
        <v>1365</v>
      </c>
      <c r="DH1483" s="14" t="s">
        <v>116</v>
      </c>
      <c r="DI1483" s="14">
        <f>INDEX(属性投放!$BL$6:$BL$85,(CV1483-2)*20+CZ1483)</f>
        <v>65</v>
      </c>
      <c r="DJ1483" s="14">
        <f>SUMIFS(DI$5:DI1483,$CT$5:$CT1483,"="&amp;$CT1483)</f>
        <v>686</v>
      </c>
      <c r="DK1483" s="14" t="s">
        <v>25</v>
      </c>
      <c r="DL1483" s="14">
        <f>INDEX(属性投放!$BM$6:$BM$85,(CV1483-2)*20+CZ1483)</f>
        <v>1170</v>
      </c>
      <c r="DM1483" s="14">
        <f>SUMIFS(DL$5:DL1483,$CT$5:$CT1483,"="&amp;$CT1483)</f>
        <v>11060</v>
      </c>
    </row>
    <row r="1484" spans="97:117" ht="16.5" x14ac:dyDescent="0.2">
      <c r="CS1484" s="13">
        <v>1480</v>
      </c>
      <c r="CT1484" s="13">
        <f t="shared" si="1136"/>
        <v>29</v>
      </c>
      <c r="CU1484" s="13">
        <f t="shared" si="1137"/>
        <v>24</v>
      </c>
      <c r="CV1484" s="14">
        <f t="shared" si="1139"/>
        <v>2</v>
      </c>
      <c r="CW1484" s="14">
        <f t="shared" si="1140"/>
        <v>1102999</v>
      </c>
      <c r="CX1484" s="14" t="str">
        <f>INDEX($O$6:$O$50,CT1484)&amp;"-"&amp;INDEX(属性投放!$AB$7:$AB$50,CZ1484)&amp;"-魂火-"&amp;DB1484</f>
        <v>R守护灵-大叫唤+1-魂火-3</v>
      </c>
      <c r="CY1484" s="25" t="s">
        <v>142</v>
      </c>
      <c r="CZ1484" s="14">
        <f>INDEX(属性投放!$AM$7:$AM$58,CU1484)</f>
        <v>11</v>
      </c>
      <c r="DA1484" s="14" t="s">
        <v>537</v>
      </c>
      <c r="DB1484" s="14">
        <f>INDEX(属性投放!$AN$7:$AN$58,CU1484)</f>
        <v>3</v>
      </c>
      <c r="DC1484" s="14">
        <f t="shared" si="1138"/>
        <v>24</v>
      </c>
      <c r="DD1484" s="14">
        <f>INDEX(属性投放!$AO$7:$AO$58,DC1484)</f>
        <v>78</v>
      </c>
      <c r="DE1484" s="14" t="s">
        <v>242</v>
      </c>
      <c r="DF1484" s="14">
        <f>INDEX(属性投放!$BK$6:$BK$85,(CV1484-2)*20+CZ1484)</f>
        <v>130</v>
      </c>
      <c r="DG1484" s="14">
        <f>SUMIFS(DF$5:DF1484,$CT$5:$CT1484,"="&amp;$CT1484)</f>
        <v>1495</v>
      </c>
      <c r="DH1484" s="14" t="s">
        <v>116</v>
      </c>
      <c r="DI1484" s="14">
        <f>INDEX(属性投放!$BL$6:$BL$85,(CV1484-2)*20+CZ1484)</f>
        <v>65</v>
      </c>
      <c r="DJ1484" s="14">
        <f>SUMIFS(DI$5:DI1484,$CT$5:$CT1484,"="&amp;$CT1484)</f>
        <v>751</v>
      </c>
      <c r="DK1484" s="14" t="s">
        <v>25</v>
      </c>
      <c r="DL1484" s="14">
        <f>INDEX(属性投放!$BM$6:$BM$85,(CV1484-2)*20+CZ1484)</f>
        <v>1170</v>
      </c>
      <c r="DM1484" s="14">
        <f>SUMIFS(DL$5:DL1484,$CT$5:$CT1484,"="&amp;$CT1484)</f>
        <v>12230</v>
      </c>
    </row>
    <row r="1485" spans="97:117" ht="16.5" x14ac:dyDescent="0.2">
      <c r="CS1485" s="13">
        <v>1481</v>
      </c>
      <c r="CT1485" s="13">
        <f t="shared" si="1136"/>
        <v>29</v>
      </c>
      <c r="CU1485" s="13">
        <f t="shared" si="1137"/>
        <v>25</v>
      </c>
      <c r="CV1485" s="14">
        <f t="shared" si="1139"/>
        <v>2</v>
      </c>
      <c r="CW1485" s="14">
        <f t="shared" si="1140"/>
        <v>1102999</v>
      </c>
      <c r="CX1485" s="14" t="str">
        <f>INDEX($O$6:$O$50,CT1485)&amp;"-"&amp;INDEX(属性投放!$AB$7:$AB$50,CZ1485)&amp;"-魂火-"&amp;DB1485</f>
        <v>R守护灵-大叫唤+2-魂火-1</v>
      </c>
      <c r="CY1485" s="25" t="s">
        <v>142</v>
      </c>
      <c r="CZ1485" s="14">
        <f>INDEX(属性投放!$AM$7:$AM$58,CU1485)</f>
        <v>12</v>
      </c>
      <c r="DA1485" s="14" t="s">
        <v>537</v>
      </c>
      <c r="DB1485" s="14">
        <f>INDEX(属性投放!$AN$7:$AN$58,CU1485)</f>
        <v>1</v>
      </c>
      <c r="DC1485" s="14">
        <f t="shared" si="1138"/>
        <v>25</v>
      </c>
      <c r="DD1485" s="14">
        <f>INDEX(属性投放!$AO$7:$AO$58,DC1485)</f>
        <v>80</v>
      </c>
      <c r="DE1485" s="14" t="s">
        <v>242</v>
      </c>
      <c r="DF1485" s="14">
        <f>INDEX(属性投放!$BK$6:$BK$85,(CV1485-2)*20+CZ1485)</f>
        <v>170</v>
      </c>
      <c r="DG1485" s="14">
        <f>SUMIFS(DF$5:DF1485,$CT$5:$CT1485,"="&amp;$CT1485)</f>
        <v>1665</v>
      </c>
      <c r="DH1485" s="14" t="s">
        <v>116</v>
      </c>
      <c r="DI1485" s="14">
        <f>INDEX(属性投放!$BL$6:$BL$85,(CV1485-2)*20+CZ1485)</f>
        <v>85</v>
      </c>
      <c r="DJ1485" s="14">
        <f>SUMIFS(DI$5:DI1485,$CT$5:$CT1485,"="&amp;$CT1485)</f>
        <v>836</v>
      </c>
      <c r="DK1485" s="14" t="s">
        <v>25</v>
      </c>
      <c r="DL1485" s="14">
        <f>INDEX(属性投放!$BM$6:$BM$85,(CV1485-2)*20+CZ1485)</f>
        <v>1530</v>
      </c>
      <c r="DM1485" s="14">
        <f>SUMIFS(DL$5:DL1485,$CT$5:$CT1485,"="&amp;$CT1485)</f>
        <v>13760</v>
      </c>
    </row>
    <row r="1486" spans="97:117" ht="16.5" x14ac:dyDescent="0.2">
      <c r="CS1486" s="13">
        <v>1482</v>
      </c>
      <c r="CT1486" s="13">
        <f t="shared" si="1136"/>
        <v>29</v>
      </c>
      <c r="CU1486" s="13">
        <f t="shared" si="1137"/>
        <v>26</v>
      </c>
      <c r="CV1486" s="14">
        <f t="shared" si="1139"/>
        <v>2</v>
      </c>
      <c r="CW1486" s="14">
        <f t="shared" si="1140"/>
        <v>1102999</v>
      </c>
      <c r="CX1486" s="14" t="str">
        <f>INDEX($O$6:$O$50,CT1486)&amp;"-"&amp;INDEX(属性投放!$AB$7:$AB$50,CZ1486)&amp;"-魂火-"&amp;DB1486</f>
        <v>R守护灵-大叫唤+2-魂火-2</v>
      </c>
      <c r="CY1486" s="25" t="s">
        <v>142</v>
      </c>
      <c r="CZ1486" s="14">
        <f>INDEX(属性投放!$AM$7:$AM$58,CU1486)</f>
        <v>12</v>
      </c>
      <c r="DA1486" s="14" t="s">
        <v>537</v>
      </c>
      <c r="DB1486" s="14">
        <f>INDEX(属性投放!$AN$7:$AN$58,CU1486)</f>
        <v>2</v>
      </c>
      <c r="DC1486" s="14">
        <f t="shared" si="1138"/>
        <v>26</v>
      </c>
      <c r="DD1486" s="14">
        <f>INDEX(属性投放!$AO$7:$AO$58,DC1486)</f>
        <v>83</v>
      </c>
      <c r="DE1486" s="14" t="s">
        <v>242</v>
      </c>
      <c r="DF1486" s="14">
        <f>INDEX(属性投放!$BK$6:$BK$85,(CV1486-2)*20+CZ1486)</f>
        <v>170</v>
      </c>
      <c r="DG1486" s="14">
        <f>SUMIFS(DF$5:DF1486,$CT$5:$CT1486,"="&amp;$CT1486)</f>
        <v>1835</v>
      </c>
      <c r="DH1486" s="14" t="s">
        <v>116</v>
      </c>
      <c r="DI1486" s="14">
        <f>INDEX(属性投放!$BL$6:$BL$85,(CV1486-2)*20+CZ1486)</f>
        <v>85</v>
      </c>
      <c r="DJ1486" s="14">
        <f>SUMIFS(DI$5:DI1486,$CT$5:$CT1486,"="&amp;$CT1486)</f>
        <v>921</v>
      </c>
      <c r="DK1486" s="14" t="s">
        <v>25</v>
      </c>
      <c r="DL1486" s="14">
        <f>INDEX(属性投放!$BM$6:$BM$85,(CV1486-2)*20+CZ1486)</f>
        <v>1530</v>
      </c>
      <c r="DM1486" s="14">
        <f>SUMIFS(DL$5:DL1486,$CT$5:$CT1486,"="&amp;$CT1486)</f>
        <v>15290</v>
      </c>
    </row>
    <row r="1487" spans="97:117" ht="16.5" x14ac:dyDescent="0.2">
      <c r="CS1487" s="13">
        <v>1483</v>
      </c>
      <c r="CT1487" s="13">
        <f t="shared" si="1136"/>
        <v>29</v>
      </c>
      <c r="CU1487" s="13">
        <f t="shared" si="1137"/>
        <v>27</v>
      </c>
      <c r="CV1487" s="14">
        <f t="shared" si="1139"/>
        <v>2</v>
      </c>
      <c r="CW1487" s="14">
        <f t="shared" si="1140"/>
        <v>1102999</v>
      </c>
      <c r="CX1487" s="14" t="str">
        <f>INDEX($O$6:$O$50,CT1487)&amp;"-"&amp;INDEX(属性投放!$AB$7:$AB$50,CZ1487)&amp;"-魂火-"&amp;DB1487</f>
        <v>R守护灵-大叫唤+2-魂火-3</v>
      </c>
      <c r="CY1487" s="25" t="s">
        <v>142</v>
      </c>
      <c r="CZ1487" s="14">
        <f>INDEX(属性投放!$AM$7:$AM$58,CU1487)</f>
        <v>12</v>
      </c>
      <c r="DA1487" s="14" t="s">
        <v>537</v>
      </c>
      <c r="DB1487" s="14">
        <f>INDEX(属性投放!$AN$7:$AN$58,CU1487)</f>
        <v>3</v>
      </c>
      <c r="DC1487" s="14">
        <f t="shared" si="1138"/>
        <v>27</v>
      </c>
      <c r="DD1487" s="14">
        <f>INDEX(属性投放!$AO$7:$AO$58,DC1487)</f>
        <v>85</v>
      </c>
      <c r="DE1487" s="14" t="s">
        <v>242</v>
      </c>
      <c r="DF1487" s="14">
        <f>INDEX(属性投放!$BK$6:$BK$85,(CV1487-2)*20+CZ1487)</f>
        <v>170</v>
      </c>
      <c r="DG1487" s="14">
        <f>SUMIFS(DF$5:DF1487,$CT$5:$CT1487,"="&amp;$CT1487)</f>
        <v>2005</v>
      </c>
      <c r="DH1487" s="14" t="s">
        <v>116</v>
      </c>
      <c r="DI1487" s="14">
        <f>INDEX(属性投放!$BL$6:$BL$85,(CV1487-2)*20+CZ1487)</f>
        <v>85</v>
      </c>
      <c r="DJ1487" s="14">
        <f>SUMIFS(DI$5:DI1487,$CT$5:$CT1487,"="&amp;$CT1487)</f>
        <v>1006</v>
      </c>
      <c r="DK1487" s="14" t="s">
        <v>25</v>
      </c>
      <c r="DL1487" s="14">
        <f>INDEX(属性投放!$BM$6:$BM$85,(CV1487-2)*20+CZ1487)</f>
        <v>1530</v>
      </c>
      <c r="DM1487" s="14">
        <f>SUMIFS(DL$5:DL1487,$CT$5:$CT1487,"="&amp;$CT1487)</f>
        <v>16820</v>
      </c>
    </row>
    <row r="1488" spans="97:117" ht="16.5" x14ac:dyDescent="0.2">
      <c r="CS1488" s="13">
        <v>1484</v>
      </c>
      <c r="CT1488" s="13">
        <f t="shared" si="1136"/>
        <v>29</v>
      </c>
      <c r="CU1488" s="13">
        <f t="shared" si="1137"/>
        <v>28</v>
      </c>
      <c r="CV1488" s="14">
        <f t="shared" si="1139"/>
        <v>2</v>
      </c>
      <c r="CW1488" s="14">
        <f t="shared" si="1140"/>
        <v>1102999</v>
      </c>
      <c r="CX1488" s="14" t="str">
        <f>INDEX($O$6:$O$50,CT1488)&amp;"-"&amp;INDEX(属性投放!$AB$7:$AB$50,CZ1488)&amp;"-魂火-"&amp;DB1488</f>
        <v>R守护灵-焦热-魂火-1</v>
      </c>
      <c r="CY1488" s="25" t="s">
        <v>142</v>
      </c>
      <c r="CZ1488" s="14">
        <f>INDEX(属性投放!$AM$7:$AM$58,CU1488)</f>
        <v>13</v>
      </c>
      <c r="DA1488" s="14" t="s">
        <v>537</v>
      </c>
      <c r="DB1488" s="14">
        <f>INDEX(属性投放!$AN$7:$AN$58,CU1488)</f>
        <v>1</v>
      </c>
      <c r="DC1488" s="14">
        <f t="shared" si="1138"/>
        <v>28</v>
      </c>
      <c r="DD1488" s="14">
        <f>INDEX(属性投放!$AO$7:$AO$58,DC1488)</f>
        <v>88</v>
      </c>
      <c r="DE1488" s="14" t="s">
        <v>242</v>
      </c>
      <c r="DF1488" s="14">
        <f>INDEX(属性投放!$BK$6:$BK$85,(CV1488-2)*20+CZ1488)</f>
        <v>220</v>
      </c>
      <c r="DG1488" s="14">
        <f>SUMIFS(DF$5:DF1488,$CT$5:$CT1488,"="&amp;$CT1488)</f>
        <v>2225</v>
      </c>
      <c r="DH1488" s="14" t="s">
        <v>116</v>
      </c>
      <c r="DI1488" s="14">
        <f>INDEX(属性投放!$BL$6:$BL$85,(CV1488-2)*20+CZ1488)</f>
        <v>110</v>
      </c>
      <c r="DJ1488" s="14">
        <f>SUMIFS(DI$5:DI1488,$CT$5:$CT1488,"="&amp;$CT1488)</f>
        <v>1116</v>
      </c>
      <c r="DK1488" s="14" t="s">
        <v>25</v>
      </c>
      <c r="DL1488" s="14">
        <f>INDEX(属性投放!$BM$6:$BM$85,(CV1488-2)*20+CZ1488)</f>
        <v>2200</v>
      </c>
      <c r="DM1488" s="14">
        <f>SUMIFS(DL$5:DL1488,$CT$5:$CT1488,"="&amp;$CT1488)</f>
        <v>19020</v>
      </c>
    </row>
    <row r="1489" spans="97:117" ht="16.5" x14ac:dyDescent="0.2">
      <c r="CS1489" s="13">
        <v>1485</v>
      </c>
      <c r="CT1489" s="13">
        <f t="shared" si="1136"/>
        <v>29</v>
      </c>
      <c r="CU1489" s="13">
        <f t="shared" si="1137"/>
        <v>29</v>
      </c>
      <c r="CV1489" s="14">
        <f t="shared" si="1139"/>
        <v>2</v>
      </c>
      <c r="CW1489" s="14">
        <f t="shared" si="1140"/>
        <v>1102999</v>
      </c>
      <c r="CX1489" s="14" t="str">
        <f>INDEX($O$6:$O$50,CT1489)&amp;"-"&amp;INDEX(属性投放!$AB$7:$AB$50,CZ1489)&amp;"-魂火-"&amp;DB1489</f>
        <v>R守护灵-焦热-魂火-2</v>
      </c>
      <c r="CY1489" s="25" t="s">
        <v>142</v>
      </c>
      <c r="CZ1489" s="14">
        <f>INDEX(属性投放!$AM$7:$AM$58,CU1489)</f>
        <v>13</v>
      </c>
      <c r="DA1489" s="14" t="s">
        <v>537</v>
      </c>
      <c r="DB1489" s="14">
        <f>INDEX(属性投放!$AN$7:$AN$58,CU1489)</f>
        <v>2</v>
      </c>
      <c r="DC1489" s="14">
        <f t="shared" si="1138"/>
        <v>29</v>
      </c>
      <c r="DD1489" s="14">
        <f>INDEX(属性投放!$AO$7:$AO$58,DC1489)</f>
        <v>90</v>
      </c>
      <c r="DE1489" s="14" t="s">
        <v>242</v>
      </c>
      <c r="DF1489" s="14">
        <f>INDEX(属性投放!$BK$6:$BK$85,(CV1489-2)*20+CZ1489)</f>
        <v>220</v>
      </c>
      <c r="DG1489" s="14">
        <f>SUMIFS(DF$5:DF1489,$CT$5:$CT1489,"="&amp;$CT1489)</f>
        <v>2445</v>
      </c>
      <c r="DH1489" s="14" t="s">
        <v>116</v>
      </c>
      <c r="DI1489" s="14">
        <f>INDEX(属性投放!$BL$6:$BL$85,(CV1489-2)*20+CZ1489)</f>
        <v>110</v>
      </c>
      <c r="DJ1489" s="14">
        <f>SUMIFS(DI$5:DI1489,$CT$5:$CT1489,"="&amp;$CT1489)</f>
        <v>1226</v>
      </c>
      <c r="DK1489" s="14" t="s">
        <v>25</v>
      </c>
      <c r="DL1489" s="14">
        <f>INDEX(属性投放!$BM$6:$BM$85,(CV1489-2)*20+CZ1489)</f>
        <v>2200</v>
      </c>
      <c r="DM1489" s="14">
        <f>SUMIFS(DL$5:DL1489,$CT$5:$CT1489,"="&amp;$CT1489)</f>
        <v>21220</v>
      </c>
    </row>
    <row r="1490" spans="97:117" ht="16.5" x14ac:dyDescent="0.2">
      <c r="CS1490" s="13">
        <v>1486</v>
      </c>
      <c r="CT1490" s="13">
        <f t="shared" si="1136"/>
        <v>29</v>
      </c>
      <c r="CU1490" s="13">
        <f t="shared" si="1137"/>
        <v>30</v>
      </c>
      <c r="CV1490" s="14">
        <f t="shared" si="1139"/>
        <v>2</v>
      </c>
      <c r="CW1490" s="14">
        <f t="shared" si="1140"/>
        <v>1102999</v>
      </c>
      <c r="CX1490" s="14" t="str">
        <f>INDEX($O$6:$O$50,CT1490)&amp;"-"&amp;INDEX(属性投放!$AB$7:$AB$50,CZ1490)&amp;"-魂火-"&amp;DB1490</f>
        <v>R守护灵-焦热-魂火-3</v>
      </c>
      <c r="CY1490" s="25" t="s">
        <v>142</v>
      </c>
      <c r="CZ1490" s="14">
        <f>INDEX(属性投放!$AM$7:$AM$58,CU1490)</f>
        <v>13</v>
      </c>
      <c r="DA1490" s="14" t="s">
        <v>537</v>
      </c>
      <c r="DB1490" s="14">
        <f>INDEX(属性投放!$AN$7:$AN$58,CU1490)</f>
        <v>3</v>
      </c>
      <c r="DC1490" s="14">
        <f t="shared" si="1138"/>
        <v>30</v>
      </c>
      <c r="DD1490" s="14">
        <f>INDEX(属性投放!$AO$7:$AO$58,DC1490)</f>
        <v>93</v>
      </c>
      <c r="DE1490" s="14" t="s">
        <v>242</v>
      </c>
      <c r="DF1490" s="14">
        <f>INDEX(属性投放!$BK$6:$BK$85,(CV1490-2)*20+CZ1490)</f>
        <v>220</v>
      </c>
      <c r="DG1490" s="14">
        <f>SUMIFS(DF$5:DF1490,$CT$5:$CT1490,"="&amp;$CT1490)</f>
        <v>2665</v>
      </c>
      <c r="DH1490" s="14" t="s">
        <v>116</v>
      </c>
      <c r="DI1490" s="14">
        <f>INDEX(属性投放!$BL$6:$BL$85,(CV1490-2)*20+CZ1490)</f>
        <v>110</v>
      </c>
      <c r="DJ1490" s="14">
        <f>SUMIFS(DI$5:DI1490,$CT$5:$CT1490,"="&amp;$CT1490)</f>
        <v>1336</v>
      </c>
      <c r="DK1490" s="14" t="s">
        <v>25</v>
      </c>
      <c r="DL1490" s="14">
        <f>INDEX(属性投放!$BM$6:$BM$85,(CV1490-2)*20+CZ1490)</f>
        <v>2200</v>
      </c>
      <c r="DM1490" s="14">
        <f>SUMIFS(DL$5:DL1490,$CT$5:$CT1490,"="&amp;$CT1490)</f>
        <v>23420</v>
      </c>
    </row>
    <row r="1491" spans="97:117" ht="16.5" x14ac:dyDescent="0.2">
      <c r="CS1491" s="13">
        <v>1487</v>
      </c>
      <c r="CT1491" s="13">
        <f t="shared" si="1136"/>
        <v>29</v>
      </c>
      <c r="CU1491" s="13">
        <f t="shared" si="1137"/>
        <v>31</v>
      </c>
      <c r="CV1491" s="14">
        <f t="shared" si="1139"/>
        <v>2</v>
      </c>
      <c r="CW1491" s="14">
        <f t="shared" si="1140"/>
        <v>1102999</v>
      </c>
      <c r="CX1491" s="14" t="str">
        <f>INDEX($O$6:$O$50,CT1491)&amp;"-"&amp;INDEX(属性投放!$AB$7:$AB$50,CZ1491)&amp;"-魂火-"&amp;DB1491</f>
        <v>R守护灵-焦热+1-魂火-1</v>
      </c>
      <c r="CY1491" s="25" t="s">
        <v>142</v>
      </c>
      <c r="CZ1491" s="14">
        <f>INDEX(属性投放!$AM$7:$AM$58,CU1491)</f>
        <v>14</v>
      </c>
      <c r="DA1491" s="14" t="s">
        <v>537</v>
      </c>
      <c r="DB1491" s="14">
        <f>INDEX(属性投放!$AN$7:$AN$58,CU1491)</f>
        <v>1</v>
      </c>
      <c r="DC1491" s="14">
        <f t="shared" si="1138"/>
        <v>31</v>
      </c>
      <c r="DD1491" s="14">
        <f>INDEX(属性投放!$AO$7:$AO$58,DC1491)</f>
        <v>95</v>
      </c>
      <c r="DE1491" s="14" t="s">
        <v>242</v>
      </c>
      <c r="DF1491" s="14">
        <f>INDEX(属性投放!$BK$6:$BK$85,(CV1491-2)*20+CZ1491)</f>
        <v>270</v>
      </c>
      <c r="DG1491" s="14">
        <f>SUMIFS(DF$5:DF1491,$CT$5:$CT1491,"="&amp;$CT1491)</f>
        <v>2935</v>
      </c>
      <c r="DH1491" s="14" t="s">
        <v>116</v>
      </c>
      <c r="DI1491" s="14">
        <f>INDEX(属性投放!$BL$6:$BL$85,(CV1491-2)*20+CZ1491)</f>
        <v>135</v>
      </c>
      <c r="DJ1491" s="14">
        <f>SUMIFS(DI$5:DI1491,$CT$5:$CT1491,"="&amp;$CT1491)</f>
        <v>1471</v>
      </c>
      <c r="DK1491" s="14" t="s">
        <v>25</v>
      </c>
      <c r="DL1491" s="14">
        <f>INDEX(属性投放!$BM$6:$BM$85,(CV1491-2)*20+CZ1491)</f>
        <v>2700</v>
      </c>
      <c r="DM1491" s="14">
        <f>SUMIFS(DL$5:DL1491,$CT$5:$CT1491,"="&amp;$CT1491)</f>
        <v>26120</v>
      </c>
    </row>
    <row r="1492" spans="97:117" ht="16.5" x14ac:dyDescent="0.2">
      <c r="CS1492" s="13">
        <v>1488</v>
      </c>
      <c r="CT1492" s="13">
        <f t="shared" si="1136"/>
        <v>29</v>
      </c>
      <c r="CU1492" s="13">
        <f t="shared" si="1137"/>
        <v>32</v>
      </c>
      <c r="CV1492" s="14">
        <f t="shared" si="1139"/>
        <v>2</v>
      </c>
      <c r="CW1492" s="14">
        <f t="shared" si="1140"/>
        <v>1102999</v>
      </c>
      <c r="CX1492" s="14" t="str">
        <f>INDEX($O$6:$O$50,CT1492)&amp;"-"&amp;INDEX(属性投放!$AB$7:$AB$50,CZ1492)&amp;"-魂火-"&amp;DB1492</f>
        <v>R守护灵-焦热+1-魂火-2</v>
      </c>
      <c r="CY1492" s="25" t="s">
        <v>142</v>
      </c>
      <c r="CZ1492" s="14">
        <f>INDEX(属性投放!$AM$7:$AM$58,CU1492)</f>
        <v>14</v>
      </c>
      <c r="DA1492" s="14" t="s">
        <v>537</v>
      </c>
      <c r="DB1492" s="14">
        <f>INDEX(属性投放!$AN$7:$AN$58,CU1492)</f>
        <v>2</v>
      </c>
      <c r="DC1492" s="14">
        <f t="shared" si="1138"/>
        <v>32</v>
      </c>
      <c r="DD1492" s="14">
        <f>INDEX(属性投放!$AO$7:$AO$58,DC1492)</f>
        <v>98</v>
      </c>
      <c r="DE1492" s="14" t="s">
        <v>242</v>
      </c>
      <c r="DF1492" s="14">
        <f>INDEX(属性投放!$BK$6:$BK$85,(CV1492-2)*20+CZ1492)</f>
        <v>270</v>
      </c>
      <c r="DG1492" s="14">
        <f>SUMIFS(DF$5:DF1492,$CT$5:$CT1492,"="&amp;$CT1492)</f>
        <v>3205</v>
      </c>
      <c r="DH1492" s="14" t="s">
        <v>116</v>
      </c>
      <c r="DI1492" s="14">
        <f>INDEX(属性投放!$BL$6:$BL$85,(CV1492-2)*20+CZ1492)</f>
        <v>135</v>
      </c>
      <c r="DJ1492" s="14">
        <f>SUMIFS(DI$5:DI1492,$CT$5:$CT1492,"="&amp;$CT1492)</f>
        <v>1606</v>
      </c>
      <c r="DK1492" s="14" t="s">
        <v>25</v>
      </c>
      <c r="DL1492" s="14">
        <f>INDEX(属性投放!$BM$6:$BM$85,(CV1492-2)*20+CZ1492)</f>
        <v>2700</v>
      </c>
      <c r="DM1492" s="14">
        <f>SUMIFS(DL$5:DL1492,$CT$5:$CT1492,"="&amp;$CT1492)</f>
        <v>28820</v>
      </c>
    </row>
    <row r="1493" spans="97:117" ht="16.5" x14ac:dyDescent="0.2">
      <c r="CS1493" s="13">
        <v>1489</v>
      </c>
      <c r="CT1493" s="13">
        <f t="shared" si="1136"/>
        <v>29</v>
      </c>
      <c r="CU1493" s="13">
        <f t="shared" si="1137"/>
        <v>33</v>
      </c>
      <c r="CV1493" s="14">
        <f t="shared" si="1139"/>
        <v>2</v>
      </c>
      <c r="CW1493" s="14">
        <f t="shared" si="1140"/>
        <v>1102999</v>
      </c>
      <c r="CX1493" s="14" t="str">
        <f>INDEX($O$6:$O$50,CT1493)&amp;"-"&amp;INDEX(属性投放!$AB$7:$AB$50,CZ1493)&amp;"-魂火-"&amp;DB1493</f>
        <v>R守护灵-焦热+1-魂火-3</v>
      </c>
      <c r="CY1493" s="25" t="s">
        <v>142</v>
      </c>
      <c r="CZ1493" s="14">
        <f>INDEX(属性投放!$AM$7:$AM$58,CU1493)</f>
        <v>14</v>
      </c>
      <c r="DA1493" s="14" t="s">
        <v>537</v>
      </c>
      <c r="DB1493" s="14">
        <f>INDEX(属性投放!$AN$7:$AN$58,CU1493)</f>
        <v>3</v>
      </c>
      <c r="DC1493" s="14">
        <f t="shared" si="1138"/>
        <v>33</v>
      </c>
      <c r="DD1493" s="14">
        <f>INDEX(属性投放!$AO$7:$AO$58,DC1493)</f>
        <v>100</v>
      </c>
      <c r="DE1493" s="14" t="s">
        <v>242</v>
      </c>
      <c r="DF1493" s="14">
        <f>INDEX(属性投放!$BK$6:$BK$85,(CV1493-2)*20+CZ1493)</f>
        <v>270</v>
      </c>
      <c r="DG1493" s="14">
        <f>SUMIFS(DF$5:DF1493,$CT$5:$CT1493,"="&amp;$CT1493)</f>
        <v>3475</v>
      </c>
      <c r="DH1493" s="14" t="s">
        <v>116</v>
      </c>
      <c r="DI1493" s="14">
        <f>INDEX(属性投放!$BL$6:$BL$85,(CV1493-2)*20+CZ1493)</f>
        <v>135</v>
      </c>
      <c r="DJ1493" s="14">
        <f>SUMIFS(DI$5:DI1493,$CT$5:$CT1493,"="&amp;$CT1493)</f>
        <v>1741</v>
      </c>
      <c r="DK1493" s="14" t="s">
        <v>25</v>
      </c>
      <c r="DL1493" s="14">
        <f>INDEX(属性投放!$BM$6:$BM$85,(CV1493-2)*20+CZ1493)</f>
        <v>2700</v>
      </c>
      <c r="DM1493" s="14">
        <f>SUMIFS(DL$5:DL1493,$CT$5:$CT1493,"="&amp;$CT1493)</f>
        <v>31520</v>
      </c>
    </row>
    <row r="1494" spans="97:117" ht="16.5" x14ac:dyDescent="0.2">
      <c r="CS1494" s="13">
        <v>1490</v>
      </c>
      <c r="CT1494" s="13">
        <f t="shared" si="1136"/>
        <v>29</v>
      </c>
      <c r="CU1494" s="13">
        <f t="shared" si="1137"/>
        <v>34</v>
      </c>
      <c r="CV1494" s="14">
        <f t="shared" si="1139"/>
        <v>2</v>
      </c>
      <c r="CW1494" s="14">
        <f t="shared" si="1140"/>
        <v>1102999</v>
      </c>
      <c r="CX1494" s="14" t="str">
        <f>INDEX($O$6:$O$50,CT1494)&amp;"-"&amp;INDEX(属性投放!$AB$7:$AB$50,CZ1494)&amp;"-魂火-"&amp;DB1494</f>
        <v>R守护灵-焦热+2-魂火-1</v>
      </c>
      <c r="CY1494" s="25" t="s">
        <v>142</v>
      </c>
      <c r="CZ1494" s="14">
        <f>INDEX(属性投放!$AM$7:$AM$58,CU1494)</f>
        <v>15</v>
      </c>
      <c r="DA1494" s="14" t="s">
        <v>537</v>
      </c>
      <c r="DB1494" s="14">
        <f>INDEX(属性投放!$AN$7:$AN$58,CU1494)</f>
        <v>1</v>
      </c>
      <c r="DC1494" s="14">
        <f t="shared" si="1138"/>
        <v>34</v>
      </c>
      <c r="DD1494" s="14">
        <f>INDEX(属性投放!$AO$7:$AO$58,DC1494)</f>
        <v>103</v>
      </c>
      <c r="DE1494" s="14" t="s">
        <v>242</v>
      </c>
      <c r="DF1494" s="14">
        <f>INDEX(属性投放!$BK$6:$BK$85,(CV1494-2)*20+CZ1494)</f>
        <v>350</v>
      </c>
      <c r="DG1494" s="14">
        <f>SUMIFS(DF$5:DF1494,$CT$5:$CT1494,"="&amp;$CT1494)</f>
        <v>3825</v>
      </c>
      <c r="DH1494" s="14" t="s">
        <v>116</v>
      </c>
      <c r="DI1494" s="14">
        <f>INDEX(属性投放!$BL$6:$BL$85,(CV1494-2)*20+CZ1494)</f>
        <v>175</v>
      </c>
      <c r="DJ1494" s="14">
        <f>SUMIFS(DI$5:DI1494,$CT$5:$CT1494,"="&amp;$CT1494)</f>
        <v>1916</v>
      </c>
      <c r="DK1494" s="14" t="s">
        <v>25</v>
      </c>
      <c r="DL1494" s="14">
        <f>INDEX(属性投放!$BM$6:$BM$85,(CV1494-2)*20+CZ1494)</f>
        <v>3500</v>
      </c>
      <c r="DM1494" s="14">
        <f>SUMIFS(DL$5:DL1494,$CT$5:$CT1494,"="&amp;$CT1494)</f>
        <v>35020</v>
      </c>
    </row>
    <row r="1495" spans="97:117" ht="16.5" x14ac:dyDescent="0.2">
      <c r="CS1495" s="13">
        <v>1491</v>
      </c>
      <c r="CT1495" s="13">
        <f t="shared" si="1136"/>
        <v>29</v>
      </c>
      <c r="CU1495" s="13">
        <f t="shared" si="1137"/>
        <v>35</v>
      </c>
      <c r="CV1495" s="14">
        <f t="shared" si="1139"/>
        <v>2</v>
      </c>
      <c r="CW1495" s="14">
        <f t="shared" si="1140"/>
        <v>1102999</v>
      </c>
      <c r="CX1495" s="14" t="str">
        <f>INDEX($O$6:$O$50,CT1495)&amp;"-"&amp;INDEX(属性投放!$AB$7:$AB$50,CZ1495)&amp;"-魂火-"&amp;DB1495</f>
        <v>R守护灵-焦热+2-魂火-2</v>
      </c>
      <c r="CY1495" s="25" t="s">
        <v>142</v>
      </c>
      <c r="CZ1495" s="14">
        <f>INDEX(属性投放!$AM$7:$AM$58,CU1495)</f>
        <v>15</v>
      </c>
      <c r="DA1495" s="14" t="s">
        <v>537</v>
      </c>
      <c r="DB1495" s="14">
        <f>INDEX(属性投放!$AN$7:$AN$58,CU1495)</f>
        <v>2</v>
      </c>
      <c r="DC1495" s="14">
        <f t="shared" si="1138"/>
        <v>35</v>
      </c>
      <c r="DD1495" s="14">
        <f>INDEX(属性投放!$AO$7:$AO$58,DC1495)</f>
        <v>105</v>
      </c>
      <c r="DE1495" s="14" t="s">
        <v>242</v>
      </c>
      <c r="DF1495" s="14">
        <f>INDEX(属性投放!$BK$6:$BK$85,(CV1495-2)*20+CZ1495)</f>
        <v>350</v>
      </c>
      <c r="DG1495" s="14">
        <f>SUMIFS(DF$5:DF1495,$CT$5:$CT1495,"="&amp;$CT1495)</f>
        <v>4175</v>
      </c>
      <c r="DH1495" s="14" t="s">
        <v>116</v>
      </c>
      <c r="DI1495" s="14">
        <f>INDEX(属性投放!$BL$6:$BL$85,(CV1495-2)*20+CZ1495)</f>
        <v>175</v>
      </c>
      <c r="DJ1495" s="14">
        <f>SUMIFS(DI$5:DI1495,$CT$5:$CT1495,"="&amp;$CT1495)</f>
        <v>2091</v>
      </c>
      <c r="DK1495" s="14" t="s">
        <v>25</v>
      </c>
      <c r="DL1495" s="14">
        <f>INDEX(属性投放!$BM$6:$BM$85,(CV1495-2)*20+CZ1495)</f>
        <v>3500</v>
      </c>
      <c r="DM1495" s="14">
        <f>SUMIFS(DL$5:DL1495,$CT$5:$CT1495,"="&amp;$CT1495)</f>
        <v>38520</v>
      </c>
    </row>
    <row r="1496" spans="97:117" ht="16.5" x14ac:dyDescent="0.2">
      <c r="CS1496" s="13">
        <v>1492</v>
      </c>
      <c r="CT1496" s="13">
        <f t="shared" si="1136"/>
        <v>29</v>
      </c>
      <c r="CU1496" s="13">
        <f t="shared" si="1137"/>
        <v>36</v>
      </c>
      <c r="CV1496" s="14">
        <f t="shared" si="1139"/>
        <v>2</v>
      </c>
      <c r="CW1496" s="14">
        <f t="shared" si="1140"/>
        <v>1102999</v>
      </c>
      <c r="CX1496" s="14" t="str">
        <f>INDEX($O$6:$O$50,CT1496)&amp;"-"&amp;INDEX(属性投放!$AB$7:$AB$50,CZ1496)&amp;"-魂火-"&amp;DB1496</f>
        <v>R守护灵-焦热+2-魂火-3</v>
      </c>
      <c r="CY1496" s="25" t="s">
        <v>142</v>
      </c>
      <c r="CZ1496" s="14">
        <f>INDEX(属性投放!$AM$7:$AM$58,CU1496)</f>
        <v>15</v>
      </c>
      <c r="DA1496" s="14" t="s">
        <v>537</v>
      </c>
      <c r="DB1496" s="14">
        <f>INDEX(属性投放!$AN$7:$AN$58,CU1496)</f>
        <v>3</v>
      </c>
      <c r="DC1496" s="14">
        <f t="shared" si="1138"/>
        <v>36</v>
      </c>
      <c r="DD1496" s="14">
        <f>INDEX(属性投放!$AO$7:$AO$58,DC1496)</f>
        <v>108</v>
      </c>
      <c r="DE1496" s="14" t="s">
        <v>242</v>
      </c>
      <c r="DF1496" s="14">
        <f>INDEX(属性投放!$BK$6:$BK$85,(CV1496-2)*20+CZ1496)</f>
        <v>350</v>
      </c>
      <c r="DG1496" s="14">
        <f>SUMIFS(DF$5:DF1496,$CT$5:$CT1496,"="&amp;$CT1496)</f>
        <v>4525</v>
      </c>
      <c r="DH1496" s="14" t="s">
        <v>116</v>
      </c>
      <c r="DI1496" s="14">
        <f>INDEX(属性投放!$BL$6:$BL$85,(CV1496-2)*20+CZ1496)</f>
        <v>175</v>
      </c>
      <c r="DJ1496" s="14">
        <f>SUMIFS(DI$5:DI1496,$CT$5:$CT1496,"="&amp;$CT1496)</f>
        <v>2266</v>
      </c>
      <c r="DK1496" s="14" t="s">
        <v>25</v>
      </c>
      <c r="DL1496" s="14">
        <f>INDEX(属性投放!$BM$6:$BM$85,(CV1496-2)*20+CZ1496)</f>
        <v>3500</v>
      </c>
      <c r="DM1496" s="14">
        <f>SUMIFS(DL$5:DL1496,$CT$5:$CT1496,"="&amp;$CT1496)</f>
        <v>42020</v>
      </c>
    </row>
    <row r="1497" spans="97:117" ht="16.5" x14ac:dyDescent="0.2">
      <c r="CS1497" s="13">
        <v>1493</v>
      </c>
      <c r="CT1497" s="13">
        <f t="shared" si="1136"/>
        <v>29</v>
      </c>
      <c r="CU1497" s="13">
        <f t="shared" si="1137"/>
        <v>37</v>
      </c>
      <c r="CV1497" s="14">
        <f t="shared" si="1139"/>
        <v>2</v>
      </c>
      <c r="CW1497" s="14">
        <f t="shared" si="1140"/>
        <v>1102999</v>
      </c>
      <c r="CX1497" s="14" t="str">
        <f>INDEX($O$6:$O$50,CT1497)&amp;"-"&amp;INDEX(属性投放!$AB$7:$AB$50,CZ1497)&amp;"-魂火-"&amp;DB1497</f>
        <v>R守护灵-大焦热-魂火-1</v>
      </c>
      <c r="CY1497" s="25" t="s">
        <v>142</v>
      </c>
      <c r="CZ1497" s="14">
        <f>INDEX(属性投放!$AM$7:$AM$58,CU1497)</f>
        <v>16</v>
      </c>
      <c r="DA1497" s="14" t="s">
        <v>537</v>
      </c>
      <c r="DB1497" s="14">
        <f>INDEX(属性投放!$AN$7:$AN$58,CU1497)</f>
        <v>1</v>
      </c>
      <c r="DC1497" s="14">
        <f t="shared" si="1138"/>
        <v>37</v>
      </c>
      <c r="DD1497" s="14">
        <f>INDEX(属性投放!$AO$7:$AO$58,DC1497)</f>
        <v>110</v>
      </c>
      <c r="DE1497" s="14" t="s">
        <v>242</v>
      </c>
      <c r="DF1497" s="14">
        <f>INDEX(属性投放!$BK$6:$BK$85,(CV1497-2)*20+CZ1497)</f>
        <v>450</v>
      </c>
      <c r="DG1497" s="14">
        <f>SUMIFS(DF$5:DF1497,$CT$5:$CT1497,"="&amp;$CT1497)</f>
        <v>4975</v>
      </c>
      <c r="DH1497" s="14" t="s">
        <v>116</v>
      </c>
      <c r="DI1497" s="14">
        <f>INDEX(属性投放!$BL$6:$BL$85,(CV1497-2)*20+CZ1497)</f>
        <v>225</v>
      </c>
      <c r="DJ1497" s="14">
        <f>SUMIFS(DI$5:DI1497,$CT$5:$CT1497,"="&amp;$CT1497)</f>
        <v>2491</v>
      </c>
      <c r="DK1497" s="14" t="s">
        <v>25</v>
      </c>
      <c r="DL1497" s="14">
        <f>INDEX(属性投放!$BM$6:$BM$85,(CV1497-2)*20+CZ1497)</f>
        <v>4500</v>
      </c>
      <c r="DM1497" s="14">
        <f>SUMIFS(DL$5:DL1497,$CT$5:$CT1497,"="&amp;$CT1497)</f>
        <v>46520</v>
      </c>
    </row>
    <row r="1498" spans="97:117" ht="16.5" x14ac:dyDescent="0.2">
      <c r="CS1498" s="13">
        <v>1494</v>
      </c>
      <c r="CT1498" s="13">
        <f t="shared" si="1136"/>
        <v>29</v>
      </c>
      <c r="CU1498" s="13">
        <f t="shared" si="1137"/>
        <v>38</v>
      </c>
      <c r="CV1498" s="14">
        <f t="shared" si="1139"/>
        <v>2</v>
      </c>
      <c r="CW1498" s="14">
        <f t="shared" si="1140"/>
        <v>1102999</v>
      </c>
      <c r="CX1498" s="14" t="str">
        <f>INDEX($O$6:$O$50,CT1498)&amp;"-"&amp;INDEX(属性投放!$AB$7:$AB$50,CZ1498)&amp;"-魂火-"&amp;DB1498</f>
        <v>R守护灵-大焦热-魂火-2</v>
      </c>
      <c r="CY1498" s="25" t="s">
        <v>142</v>
      </c>
      <c r="CZ1498" s="14">
        <f>INDEX(属性投放!$AM$7:$AM$58,CU1498)</f>
        <v>16</v>
      </c>
      <c r="DA1498" s="14" t="s">
        <v>537</v>
      </c>
      <c r="DB1498" s="14">
        <f>INDEX(属性投放!$AN$7:$AN$58,CU1498)</f>
        <v>2</v>
      </c>
      <c r="DC1498" s="14">
        <f t="shared" si="1138"/>
        <v>38</v>
      </c>
      <c r="DD1498" s="14">
        <f>INDEX(属性投放!$AO$7:$AO$58,DC1498)</f>
        <v>113</v>
      </c>
      <c r="DE1498" s="14" t="s">
        <v>242</v>
      </c>
      <c r="DF1498" s="14">
        <f>INDEX(属性投放!$BK$6:$BK$85,(CV1498-2)*20+CZ1498)</f>
        <v>450</v>
      </c>
      <c r="DG1498" s="14">
        <f>SUMIFS(DF$5:DF1498,$CT$5:$CT1498,"="&amp;$CT1498)</f>
        <v>5425</v>
      </c>
      <c r="DH1498" s="14" t="s">
        <v>116</v>
      </c>
      <c r="DI1498" s="14">
        <f>INDEX(属性投放!$BL$6:$BL$85,(CV1498-2)*20+CZ1498)</f>
        <v>225</v>
      </c>
      <c r="DJ1498" s="14">
        <f>SUMIFS(DI$5:DI1498,$CT$5:$CT1498,"="&amp;$CT1498)</f>
        <v>2716</v>
      </c>
      <c r="DK1498" s="14" t="s">
        <v>25</v>
      </c>
      <c r="DL1498" s="14">
        <f>INDEX(属性投放!$BM$6:$BM$85,(CV1498-2)*20+CZ1498)</f>
        <v>4500</v>
      </c>
      <c r="DM1498" s="14">
        <f>SUMIFS(DL$5:DL1498,$CT$5:$CT1498,"="&amp;$CT1498)</f>
        <v>51020</v>
      </c>
    </row>
    <row r="1499" spans="97:117" ht="16.5" x14ac:dyDescent="0.2">
      <c r="CS1499" s="13">
        <v>1495</v>
      </c>
      <c r="CT1499" s="13">
        <f t="shared" si="1136"/>
        <v>29</v>
      </c>
      <c r="CU1499" s="13">
        <f t="shared" si="1137"/>
        <v>39</v>
      </c>
      <c r="CV1499" s="14">
        <f t="shared" si="1139"/>
        <v>2</v>
      </c>
      <c r="CW1499" s="14">
        <f t="shared" si="1140"/>
        <v>1102999</v>
      </c>
      <c r="CX1499" s="14" t="str">
        <f>INDEX($O$6:$O$50,CT1499)&amp;"-"&amp;INDEX(属性投放!$AB$7:$AB$50,CZ1499)&amp;"-魂火-"&amp;DB1499</f>
        <v>R守护灵-大焦热-魂火-3</v>
      </c>
      <c r="CY1499" s="25" t="s">
        <v>142</v>
      </c>
      <c r="CZ1499" s="14">
        <f>INDEX(属性投放!$AM$7:$AM$58,CU1499)</f>
        <v>16</v>
      </c>
      <c r="DA1499" s="14" t="s">
        <v>537</v>
      </c>
      <c r="DB1499" s="14">
        <f>INDEX(属性投放!$AN$7:$AN$58,CU1499)</f>
        <v>3</v>
      </c>
      <c r="DC1499" s="14">
        <f t="shared" si="1138"/>
        <v>39</v>
      </c>
      <c r="DD1499" s="14">
        <f>INDEX(属性投放!$AO$7:$AO$58,DC1499)</f>
        <v>115</v>
      </c>
      <c r="DE1499" s="14" t="s">
        <v>242</v>
      </c>
      <c r="DF1499" s="14">
        <f>INDEX(属性投放!$BK$6:$BK$85,(CV1499-2)*20+CZ1499)</f>
        <v>450</v>
      </c>
      <c r="DG1499" s="14">
        <f>SUMIFS(DF$5:DF1499,$CT$5:$CT1499,"="&amp;$CT1499)</f>
        <v>5875</v>
      </c>
      <c r="DH1499" s="14" t="s">
        <v>116</v>
      </c>
      <c r="DI1499" s="14">
        <f>INDEX(属性投放!$BL$6:$BL$85,(CV1499-2)*20+CZ1499)</f>
        <v>225</v>
      </c>
      <c r="DJ1499" s="14">
        <f>SUMIFS(DI$5:DI1499,$CT$5:$CT1499,"="&amp;$CT1499)</f>
        <v>2941</v>
      </c>
      <c r="DK1499" s="14" t="s">
        <v>25</v>
      </c>
      <c r="DL1499" s="14">
        <f>INDEX(属性投放!$BM$6:$BM$85,(CV1499-2)*20+CZ1499)</f>
        <v>4500</v>
      </c>
      <c r="DM1499" s="14">
        <f>SUMIFS(DL$5:DL1499,$CT$5:$CT1499,"="&amp;$CT1499)</f>
        <v>55520</v>
      </c>
    </row>
    <row r="1500" spans="97:117" ht="16.5" x14ac:dyDescent="0.2">
      <c r="CS1500" s="13">
        <v>1496</v>
      </c>
      <c r="CT1500" s="13">
        <f t="shared" si="1136"/>
        <v>29</v>
      </c>
      <c r="CU1500" s="13">
        <f t="shared" si="1137"/>
        <v>40</v>
      </c>
      <c r="CV1500" s="14">
        <f t="shared" si="1139"/>
        <v>2</v>
      </c>
      <c r="CW1500" s="14">
        <f t="shared" si="1140"/>
        <v>1102999</v>
      </c>
      <c r="CX1500" s="14" t="str">
        <f>INDEX($O$6:$O$50,CT1500)&amp;"-"&amp;INDEX(属性投放!$AB$7:$AB$50,CZ1500)&amp;"-魂火-"&amp;DB1500</f>
        <v>R守护灵-大焦热+1-魂火-1</v>
      </c>
      <c r="CY1500" s="25" t="s">
        <v>142</v>
      </c>
      <c r="CZ1500" s="14">
        <f>INDEX(属性投放!$AM$7:$AM$58,CU1500)</f>
        <v>17</v>
      </c>
      <c r="DA1500" s="14" t="s">
        <v>537</v>
      </c>
      <c r="DB1500" s="14">
        <f>INDEX(属性投放!$AN$7:$AN$58,CU1500)</f>
        <v>1</v>
      </c>
      <c r="DC1500" s="14">
        <f t="shared" si="1138"/>
        <v>40</v>
      </c>
      <c r="DD1500" s="14">
        <f>INDEX(属性投放!$AO$7:$AO$58,DC1500)</f>
        <v>118</v>
      </c>
      <c r="DE1500" s="14" t="s">
        <v>242</v>
      </c>
      <c r="DF1500" s="14">
        <f>INDEX(属性投放!$BK$6:$BK$85,(CV1500-2)*20+CZ1500)</f>
        <v>550</v>
      </c>
      <c r="DG1500" s="14">
        <f>SUMIFS(DF$5:DF1500,$CT$5:$CT1500,"="&amp;$CT1500)</f>
        <v>6425</v>
      </c>
      <c r="DH1500" s="14" t="s">
        <v>116</v>
      </c>
      <c r="DI1500" s="14">
        <f>INDEX(属性投放!$BL$6:$BL$85,(CV1500-2)*20+CZ1500)</f>
        <v>275</v>
      </c>
      <c r="DJ1500" s="14">
        <f>SUMIFS(DI$5:DI1500,$CT$5:$CT1500,"="&amp;$CT1500)</f>
        <v>3216</v>
      </c>
      <c r="DK1500" s="14" t="s">
        <v>25</v>
      </c>
      <c r="DL1500" s="14">
        <f>INDEX(属性投放!$BM$6:$BM$85,(CV1500-2)*20+CZ1500)</f>
        <v>5500</v>
      </c>
      <c r="DM1500" s="14">
        <f>SUMIFS(DL$5:DL1500,$CT$5:$CT1500,"="&amp;$CT1500)</f>
        <v>61020</v>
      </c>
    </row>
    <row r="1501" spans="97:117" ht="16.5" x14ac:dyDescent="0.2">
      <c r="CS1501" s="13">
        <v>1497</v>
      </c>
      <c r="CT1501" s="13">
        <f t="shared" si="1136"/>
        <v>29</v>
      </c>
      <c r="CU1501" s="13">
        <f t="shared" si="1137"/>
        <v>41</v>
      </c>
      <c r="CV1501" s="14">
        <f t="shared" si="1139"/>
        <v>2</v>
      </c>
      <c r="CW1501" s="14">
        <f t="shared" si="1140"/>
        <v>1102999</v>
      </c>
      <c r="CX1501" s="14" t="str">
        <f>INDEX($O$6:$O$50,CT1501)&amp;"-"&amp;INDEX(属性投放!$AB$7:$AB$50,CZ1501)&amp;"-魂火-"&amp;DB1501</f>
        <v>R守护灵-大焦热+1-魂火-2</v>
      </c>
      <c r="CY1501" s="25" t="s">
        <v>142</v>
      </c>
      <c r="CZ1501" s="14">
        <f>INDEX(属性投放!$AM$7:$AM$58,CU1501)</f>
        <v>17</v>
      </c>
      <c r="DA1501" s="14" t="s">
        <v>537</v>
      </c>
      <c r="DB1501" s="14">
        <f>INDEX(属性投放!$AN$7:$AN$58,CU1501)</f>
        <v>2</v>
      </c>
      <c r="DC1501" s="14">
        <f t="shared" si="1138"/>
        <v>41</v>
      </c>
      <c r="DD1501" s="14">
        <f>INDEX(属性投放!$AO$7:$AO$58,DC1501)</f>
        <v>120</v>
      </c>
      <c r="DE1501" s="14" t="s">
        <v>242</v>
      </c>
      <c r="DF1501" s="14">
        <f>INDEX(属性投放!$BK$6:$BK$85,(CV1501-2)*20+CZ1501)</f>
        <v>550</v>
      </c>
      <c r="DG1501" s="14">
        <f>SUMIFS(DF$5:DF1501,$CT$5:$CT1501,"="&amp;$CT1501)</f>
        <v>6975</v>
      </c>
      <c r="DH1501" s="14" t="s">
        <v>116</v>
      </c>
      <c r="DI1501" s="14">
        <f>INDEX(属性投放!$BL$6:$BL$85,(CV1501-2)*20+CZ1501)</f>
        <v>275</v>
      </c>
      <c r="DJ1501" s="14">
        <f>SUMIFS(DI$5:DI1501,$CT$5:$CT1501,"="&amp;$CT1501)</f>
        <v>3491</v>
      </c>
      <c r="DK1501" s="14" t="s">
        <v>25</v>
      </c>
      <c r="DL1501" s="14">
        <f>INDEX(属性投放!$BM$6:$BM$85,(CV1501-2)*20+CZ1501)</f>
        <v>5500</v>
      </c>
      <c r="DM1501" s="14">
        <f>SUMIFS(DL$5:DL1501,$CT$5:$CT1501,"="&amp;$CT1501)</f>
        <v>66520</v>
      </c>
    </row>
    <row r="1502" spans="97:117" ht="16.5" x14ac:dyDescent="0.2">
      <c r="CS1502" s="13">
        <v>1498</v>
      </c>
      <c r="CT1502" s="13">
        <f t="shared" si="1136"/>
        <v>29</v>
      </c>
      <c r="CU1502" s="13">
        <f t="shared" si="1137"/>
        <v>42</v>
      </c>
      <c r="CV1502" s="14">
        <f t="shared" si="1139"/>
        <v>2</v>
      </c>
      <c r="CW1502" s="14">
        <f t="shared" si="1140"/>
        <v>1102999</v>
      </c>
      <c r="CX1502" s="14" t="str">
        <f>INDEX($O$6:$O$50,CT1502)&amp;"-"&amp;INDEX(属性投放!$AB$7:$AB$50,CZ1502)&amp;"-魂火-"&amp;DB1502</f>
        <v>R守护灵-大焦热+1-魂火-3</v>
      </c>
      <c r="CY1502" s="25" t="s">
        <v>142</v>
      </c>
      <c r="CZ1502" s="14">
        <f>INDEX(属性投放!$AM$7:$AM$58,CU1502)</f>
        <v>17</v>
      </c>
      <c r="DA1502" s="14" t="s">
        <v>537</v>
      </c>
      <c r="DB1502" s="14">
        <f>INDEX(属性投放!$AN$7:$AN$58,CU1502)</f>
        <v>3</v>
      </c>
      <c r="DC1502" s="14">
        <f t="shared" si="1138"/>
        <v>42</v>
      </c>
      <c r="DD1502" s="14">
        <f>INDEX(属性投放!$AO$7:$AO$58,DC1502)</f>
        <v>123</v>
      </c>
      <c r="DE1502" s="14" t="s">
        <v>242</v>
      </c>
      <c r="DF1502" s="14">
        <f>INDEX(属性投放!$BK$6:$BK$85,(CV1502-2)*20+CZ1502)</f>
        <v>550</v>
      </c>
      <c r="DG1502" s="14">
        <f>SUMIFS(DF$5:DF1502,$CT$5:$CT1502,"="&amp;$CT1502)</f>
        <v>7525</v>
      </c>
      <c r="DH1502" s="14" t="s">
        <v>116</v>
      </c>
      <c r="DI1502" s="14">
        <f>INDEX(属性投放!$BL$6:$BL$85,(CV1502-2)*20+CZ1502)</f>
        <v>275</v>
      </c>
      <c r="DJ1502" s="14">
        <f>SUMIFS(DI$5:DI1502,$CT$5:$CT1502,"="&amp;$CT1502)</f>
        <v>3766</v>
      </c>
      <c r="DK1502" s="14" t="s">
        <v>25</v>
      </c>
      <c r="DL1502" s="14">
        <f>INDEX(属性投放!$BM$6:$BM$85,(CV1502-2)*20+CZ1502)</f>
        <v>5500</v>
      </c>
      <c r="DM1502" s="14">
        <f>SUMIFS(DL$5:DL1502,$CT$5:$CT1502,"="&amp;$CT1502)</f>
        <v>72020</v>
      </c>
    </row>
    <row r="1503" spans="97:117" ht="16.5" x14ac:dyDescent="0.2">
      <c r="CS1503" s="13">
        <v>1499</v>
      </c>
      <c r="CT1503" s="13">
        <f t="shared" si="1136"/>
        <v>29</v>
      </c>
      <c r="CU1503" s="13">
        <f t="shared" si="1137"/>
        <v>43</v>
      </c>
      <c r="CV1503" s="14">
        <f t="shared" si="1139"/>
        <v>2</v>
      </c>
      <c r="CW1503" s="14">
        <f t="shared" si="1140"/>
        <v>1102999</v>
      </c>
      <c r="CX1503" s="14" t="str">
        <f>INDEX($O$6:$O$50,CT1503)&amp;"-"&amp;INDEX(属性投放!$AB$7:$AB$50,CZ1503)&amp;"-魂火-"&amp;DB1503</f>
        <v>R守护灵-大焦热+2-魂火-1</v>
      </c>
      <c r="CY1503" s="25" t="s">
        <v>142</v>
      </c>
      <c r="CZ1503" s="14">
        <f>INDEX(属性投放!$AM$7:$AM$58,CU1503)</f>
        <v>18</v>
      </c>
      <c r="DA1503" s="14" t="s">
        <v>537</v>
      </c>
      <c r="DB1503" s="14">
        <f>INDEX(属性投放!$AN$7:$AN$58,CU1503)</f>
        <v>1</v>
      </c>
      <c r="DC1503" s="14">
        <f t="shared" si="1138"/>
        <v>43</v>
      </c>
      <c r="DD1503" s="14">
        <f>INDEX(属性投放!$AO$7:$AO$58,DC1503)</f>
        <v>125</v>
      </c>
      <c r="DE1503" s="14" t="s">
        <v>242</v>
      </c>
      <c r="DF1503" s="14">
        <f>INDEX(属性投放!$BK$6:$BK$85,(CV1503-2)*20+CZ1503)</f>
        <v>680</v>
      </c>
      <c r="DG1503" s="14">
        <f>SUMIFS(DF$5:DF1503,$CT$5:$CT1503,"="&amp;$CT1503)</f>
        <v>8205</v>
      </c>
      <c r="DH1503" s="14" t="s">
        <v>116</v>
      </c>
      <c r="DI1503" s="14">
        <f>INDEX(属性投放!$BL$6:$BL$85,(CV1503-2)*20+CZ1503)</f>
        <v>340</v>
      </c>
      <c r="DJ1503" s="14">
        <f>SUMIFS(DI$5:DI1503,$CT$5:$CT1503,"="&amp;$CT1503)</f>
        <v>4106</v>
      </c>
      <c r="DK1503" s="14" t="s">
        <v>25</v>
      </c>
      <c r="DL1503" s="14">
        <f>INDEX(属性投放!$BM$6:$BM$85,(CV1503-2)*20+CZ1503)</f>
        <v>6800</v>
      </c>
      <c r="DM1503" s="14">
        <f>SUMIFS(DL$5:DL1503,$CT$5:$CT1503,"="&amp;$CT1503)</f>
        <v>78820</v>
      </c>
    </row>
    <row r="1504" spans="97:117" ht="16.5" x14ac:dyDescent="0.2">
      <c r="CS1504" s="13">
        <v>1500</v>
      </c>
      <c r="CT1504" s="13">
        <f t="shared" si="1136"/>
        <v>29</v>
      </c>
      <c r="CU1504" s="13">
        <f t="shared" si="1137"/>
        <v>44</v>
      </c>
      <c r="CV1504" s="14">
        <f t="shared" si="1139"/>
        <v>2</v>
      </c>
      <c r="CW1504" s="14">
        <f t="shared" si="1140"/>
        <v>1102999</v>
      </c>
      <c r="CX1504" s="14" t="str">
        <f>INDEX($O$6:$O$50,CT1504)&amp;"-"&amp;INDEX(属性投放!$AB$7:$AB$50,CZ1504)&amp;"-魂火-"&amp;DB1504</f>
        <v>R守护灵-大焦热+2-魂火-2</v>
      </c>
      <c r="CY1504" s="25" t="s">
        <v>142</v>
      </c>
      <c r="CZ1504" s="14">
        <f>INDEX(属性投放!$AM$7:$AM$58,CU1504)</f>
        <v>18</v>
      </c>
      <c r="DA1504" s="14" t="s">
        <v>537</v>
      </c>
      <c r="DB1504" s="14">
        <f>INDEX(属性投放!$AN$7:$AN$58,CU1504)</f>
        <v>2</v>
      </c>
      <c r="DC1504" s="14">
        <f t="shared" si="1138"/>
        <v>44</v>
      </c>
      <c r="DD1504" s="14">
        <f>INDEX(属性投放!$AO$7:$AO$58,DC1504)</f>
        <v>128</v>
      </c>
      <c r="DE1504" s="14" t="s">
        <v>242</v>
      </c>
      <c r="DF1504" s="14">
        <f>INDEX(属性投放!$BK$6:$BK$85,(CV1504-2)*20+CZ1504)</f>
        <v>680</v>
      </c>
      <c r="DG1504" s="14">
        <f>SUMIFS(DF$5:DF1504,$CT$5:$CT1504,"="&amp;$CT1504)</f>
        <v>8885</v>
      </c>
      <c r="DH1504" s="14" t="s">
        <v>116</v>
      </c>
      <c r="DI1504" s="14">
        <f>INDEX(属性投放!$BL$6:$BL$85,(CV1504-2)*20+CZ1504)</f>
        <v>340</v>
      </c>
      <c r="DJ1504" s="14">
        <f>SUMIFS(DI$5:DI1504,$CT$5:$CT1504,"="&amp;$CT1504)</f>
        <v>4446</v>
      </c>
      <c r="DK1504" s="14" t="s">
        <v>25</v>
      </c>
      <c r="DL1504" s="14">
        <f>INDEX(属性投放!$BM$6:$BM$85,(CV1504-2)*20+CZ1504)</f>
        <v>6800</v>
      </c>
      <c r="DM1504" s="14">
        <f>SUMIFS(DL$5:DL1504,$CT$5:$CT1504,"="&amp;$CT1504)</f>
        <v>85620</v>
      </c>
    </row>
    <row r="1505" spans="97:117" ht="16.5" x14ac:dyDescent="0.2">
      <c r="CS1505" s="13">
        <v>1501</v>
      </c>
      <c r="CT1505" s="13">
        <f t="shared" si="1136"/>
        <v>29</v>
      </c>
      <c r="CU1505" s="13">
        <f t="shared" si="1137"/>
        <v>45</v>
      </c>
      <c r="CV1505" s="14">
        <f t="shared" si="1139"/>
        <v>2</v>
      </c>
      <c r="CW1505" s="14">
        <f t="shared" si="1140"/>
        <v>1102999</v>
      </c>
      <c r="CX1505" s="14" t="str">
        <f>INDEX($O$6:$O$50,CT1505)&amp;"-"&amp;INDEX(属性投放!$AB$7:$AB$50,CZ1505)&amp;"-魂火-"&amp;DB1505</f>
        <v>R守护灵-大焦热+2-魂火-3</v>
      </c>
      <c r="CY1505" s="25" t="s">
        <v>142</v>
      </c>
      <c r="CZ1505" s="14">
        <f>INDEX(属性投放!$AM$7:$AM$58,CU1505)</f>
        <v>18</v>
      </c>
      <c r="DA1505" s="14" t="s">
        <v>537</v>
      </c>
      <c r="DB1505" s="14">
        <f>INDEX(属性投放!$AN$7:$AN$58,CU1505)</f>
        <v>3</v>
      </c>
      <c r="DC1505" s="14">
        <f t="shared" si="1138"/>
        <v>45</v>
      </c>
      <c r="DD1505" s="14">
        <f>INDEX(属性投放!$AO$7:$AO$58,DC1505)</f>
        <v>130</v>
      </c>
      <c r="DE1505" s="14" t="s">
        <v>242</v>
      </c>
      <c r="DF1505" s="14">
        <f>INDEX(属性投放!$BK$6:$BK$85,(CV1505-2)*20+CZ1505)</f>
        <v>680</v>
      </c>
      <c r="DG1505" s="14">
        <f>SUMIFS(DF$5:DF1505,$CT$5:$CT1505,"="&amp;$CT1505)</f>
        <v>9565</v>
      </c>
      <c r="DH1505" s="14" t="s">
        <v>116</v>
      </c>
      <c r="DI1505" s="14">
        <f>INDEX(属性投放!$BL$6:$BL$85,(CV1505-2)*20+CZ1505)</f>
        <v>340</v>
      </c>
      <c r="DJ1505" s="14">
        <f>SUMIFS(DI$5:DI1505,$CT$5:$CT1505,"="&amp;$CT1505)</f>
        <v>4786</v>
      </c>
      <c r="DK1505" s="14" t="s">
        <v>25</v>
      </c>
      <c r="DL1505" s="14">
        <f>INDEX(属性投放!$BM$6:$BM$85,(CV1505-2)*20+CZ1505)</f>
        <v>6800</v>
      </c>
      <c r="DM1505" s="14">
        <f>SUMIFS(DL$5:DL1505,$CT$5:$CT1505,"="&amp;$CT1505)</f>
        <v>92420</v>
      </c>
    </row>
    <row r="1506" spans="97:117" ht="16.5" x14ac:dyDescent="0.2">
      <c r="CS1506" s="13">
        <v>1502</v>
      </c>
      <c r="CT1506" s="13">
        <f t="shared" si="1136"/>
        <v>29</v>
      </c>
      <c r="CU1506" s="13">
        <f t="shared" si="1137"/>
        <v>46</v>
      </c>
      <c r="CV1506" s="14">
        <f t="shared" si="1139"/>
        <v>2</v>
      </c>
      <c r="CW1506" s="14">
        <f t="shared" si="1140"/>
        <v>1102999</v>
      </c>
      <c r="CX1506" s="14" t="str">
        <f>INDEX($O$6:$O$50,CT1506)&amp;"-"&amp;INDEX(属性投放!$AB$7:$AB$50,CZ1506)&amp;"-魂火-"&amp;DB1506</f>
        <v>R守护灵-无间-魂火-1</v>
      </c>
      <c r="CY1506" s="25" t="s">
        <v>142</v>
      </c>
      <c r="CZ1506" s="14">
        <f>INDEX(属性投放!$AM$7:$AM$58,CU1506)</f>
        <v>19</v>
      </c>
      <c r="DA1506" s="14" t="s">
        <v>537</v>
      </c>
      <c r="DB1506" s="14">
        <f>INDEX(属性投放!$AN$7:$AN$58,CU1506)</f>
        <v>1</v>
      </c>
      <c r="DC1506" s="14">
        <f t="shared" si="1138"/>
        <v>46</v>
      </c>
      <c r="DD1506" s="14">
        <f>INDEX(属性投放!$AO$7:$AO$58,DC1506)</f>
        <v>133</v>
      </c>
      <c r="DE1506" s="14" t="s">
        <v>242</v>
      </c>
      <c r="DF1506" s="14">
        <f>INDEX(属性投放!$BK$6:$BK$85,(CV1506-2)*20+CZ1506)</f>
        <v>850</v>
      </c>
      <c r="DG1506" s="14">
        <f>SUMIFS(DF$5:DF1506,$CT$5:$CT1506,"="&amp;$CT1506)</f>
        <v>10415</v>
      </c>
      <c r="DH1506" s="14" t="s">
        <v>116</v>
      </c>
      <c r="DI1506" s="14">
        <f>INDEX(属性投放!$BL$6:$BL$85,(CV1506-2)*20+CZ1506)</f>
        <v>425</v>
      </c>
      <c r="DJ1506" s="14">
        <f>SUMIFS(DI$5:DI1506,$CT$5:$CT1506,"="&amp;$CT1506)</f>
        <v>5211</v>
      </c>
      <c r="DK1506" s="14" t="s">
        <v>25</v>
      </c>
      <c r="DL1506" s="14">
        <f>INDEX(属性投放!$BM$6:$BM$85,(CV1506-2)*20+CZ1506)</f>
        <v>8500</v>
      </c>
      <c r="DM1506" s="14">
        <f>SUMIFS(DL$5:DL1506,$CT$5:$CT1506,"="&amp;$CT1506)</f>
        <v>100920</v>
      </c>
    </row>
    <row r="1507" spans="97:117" ht="16.5" x14ac:dyDescent="0.2">
      <c r="CS1507" s="13">
        <v>1503</v>
      </c>
      <c r="CT1507" s="13">
        <f t="shared" si="1136"/>
        <v>29</v>
      </c>
      <c r="CU1507" s="13">
        <f t="shared" si="1137"/>
        <v>47</v>
      </c>
      <c r="CV1507" s="14">
        <f t="shared" si="1139"/>
        <v>2</v>
      </c>
      <c r="CW1507" s="14">
        <f t="shared" si="1140"/>
        <v>1102999</v>
      </c>
      <c r="CX1507" s="14" t="str">
        <f>INDEX($O$6:$O$50,CT1507)&amp;"-"&amp;INDEX(属性投放!$AB$7:$AB$50,CZ1507)&amp;"-魂火-"&amp;DB1507</f>
        <v>R守护灵-无间-魂火-2</v>
      </c>
      <c r="CY1507" s="25" t="s">
        <v>142</v>
      </c>
      <c r="CZ1507" s="14">
        <f>INDEX(属性投放!$AM$7:$AM$58,CU1507)</f>
        <v>19</v>
      </c>
      <c r="DA1507" s="14" t="s">
        <v>537</v>
      </c>
      <c r="DB1507" s="14">
        <f>INDEX(属性投放!$AN$7:$AN$58,CU1507)</f>
        <v>2</v>
      </c>
      <c r="DC1507" s="14">
        <f t="shared" si="1138"/>
        <v>47</v>
      </c>
      <c r="DD1507" s="14">
        <f>INDEX(属性投放!$AO$7:$AO$58,DC1507)</f>
        <v>135</v>
      </c>
      <c r="DE1507" s="14" t="s">
        <v>242</v>
      </c>
      <c r="DF1507" s="14">
        <f>INDEX(属性投放!$BK$6:$BK$85,(CV1507-2)*20+CZ1507)</f>
        <v>850</v>
      </c>
      <c r="DG1507" s="14">
        <f>SUMIFS(DF$5:DF1507,$CT$5:$CT1507,"="&amp;$CT1507)</f>
        <v>11265</v>
      </c>
      <c r="DH1507" s="14" t="s">
        <v>116</v>
      </c>
      <c r="DI1507" s="14">
        <f>INDEX(属性投放!$BL$6:$BL$85,(CV1507-2)*20+CZ1507)</f>
        <v>425</v>
      </c>
      <c r="DJ1507" s="14">
        <f>SUMIFS(DI$5:DI1507,$CT$5:$CT1507,"="&amp;$CT1507)</f>
        <v>5636</v>
      </c>
      <c r="DK1507" s="14" t="s">
        <v>25</v>
      </c>
      <c r="DL1507" s="14">
        <f>INDEX(属性投放!$BM$6:$BM$85,(CV1507-2)*20+CZ1507)</f>
        <v>8500</v>
      </c>
      <c r="DM1507" s="14">
        <f>SUMIFS(DL$5:DL1507,$CT$5:$CT1507,"="&amp;$CT1507)</f>
        <v>109420</v>
      </c>
    </row>
    <row r="1508" spans="97:117" ht="16.5" x14ac:dyDescent="0.2">
      <c r="CS1508" s="13">
        <v>1504</v>
      </c>
      <c r="CT1508" s="13">
        <f t="shared" si="1136"/>
        <v>29</v>
      </c>
      <c r="CU1508" s="13">
        <f t="shared" si="1137"/>
        <v>48</v>
      </c>
      <c r="CV1508" s="14">
        <f t="shared" si="1139"/>
        <v>2</v>
      </c>
      <c r="CW1508" s="14">
        <f t="shared" si="1140"/>
        <v>1102999</v>
      </c>
      <c r="CX1508" s="14" t="str">
        <f>INDEX($O$6:$O$50,CT1508)&amp;"-"&amp;INDEX(属性投放!$AB$7:$AB$50,CZ1508)&amp;"-魂火-"&amp;DB1508</f>
        <v>R守护灵-无间-魂火-3</v>
      </c>
      <c r="CY1508" s="25" t="s">
        <v>142</v>
      </c>
      <c r="CZ1508" s="14">
        <f>INDEX(属性投放!$AM$7:$AM$58,CU1508)</f>
        <v>19</v>
      </c>
      <c r="DA1508" s="14" t="s">
        <v>537</v>
      </c>
      <c r="DB1508" s="14">
        <f>INDEX(属性投放!$AN$7:$AN$58,CU1508)</f>
        <v>3</v>
      </c>
      <c r="DC1508" s="14">
        <f t="shared" si="1138"/>
        <v>48</v>
      </c>
      <c r="DD1508" s="14">
        <f>INDEX(属性投放!$AO$7:$AO$58,DC1508)</f>
        <v>138</v>
      </c>
      <c r="DE1508" s="14" t="s">
        <v>242</v>
      </c>
      <c r="DF1508" s="14">
        <f>INDEX(属性投放!$BK$6:$BK$85,(CV1508-2)*20+CZ1508)</f>
        <v>850</v>
      </c>
      <c r="DG1508" s="14">
        <f>SUMIFS(DF$5:DF1508,$CT$5:$CT1508,"="&amp;$CT1508)</f>
        <v>12115</v>
      </c>
      <c r="DH1508" s="14" t="s">
        <v>116</v>
      </c>
      <c r="DI1508" s="14">
        <f>INDEX(属性投放!$BL$6:$BL$85,(CV1508-2)*20+CZ1508)</f>
        <v>425</v>
      </c>
      <c r="DJ1508" s="14">
        <f>SUMIFS(DI$5:DI1508,$CT$5:$CT1508,"="&amp;$CT1508)</f>
        <v>6061</v>
      </c>
      <c r="DK1508" s="14" t="s">
        <v>25</v>
      </c>
      <c r="DL1508" s="14">
        <f>INDEX(属性投放!$BM$6:$BM$85,(CV1508-2)*20+CZ1508)</f>
        <v>8500</v>
      </c>
      <c r="DM1508" s="14">
        <f>SUMIFS(DL$5:DL1508,$CT$5:$CT1508,"="&amp;$CT1508)</f>
        <v>117920</v>
      </c>
    </row>
    <row r="1509" spans="97:117" ht="16.5" x14ac:dyDescent="0.2">
      <c r="CS1509" s="13">
        <v>1505</v>
      </c>
      <c r="CT1509" s="13">
        <f t="shared" si="1136"/>
        <v>29</v>
      </c>
      <c r="CU1509" s="13">
        <f t="shared" si="1137"/>
        <v>49</v>
      </c>
      <c r="CV1509" s="14">
        <f t="shared" si="1139"/>
        <v>2</v>
      </c>
      <c r="CW1509" s="14">
        <f t="shared" si="1140"/>
        <v>1102999</v>
      </c>
      <c r="CX1509" s="14" t="str">
        <f>INDEX($O$6:$O$50,CT1509)&amp;"-"&amp;INDEX(属性投放!$AB$7:$AB$50,CZ1509)&amp;"-魂火-"&amp;DB1509</f>
        <v>R守护灵-无间+1-魂火-1</v>
      </c>
      <c r="CY1509" s="25" t="s">
        <v>142</v>
      </c>
      <c r="CZ1509" s="14">
        <f>INDEX(属性投放!$AM$7:$AM$58,CU1509)</f>
        <v>20</v>
      </c>
      <c r="DA1509" s="14" t="s">
        <v>537</v>
      </c>
      <c r="DB1509" s="14">
        <f>INDEX(属性投放!$AN$7:$AN$58,CU1509)</f>
        <v>1</v>
      </c>
      <c r="DC1509" s="14">
        <f t="shared" si="1138"/>
        <v>49</v>
      </c>
      <c r="DD1509" s="14">
        <f>INDEX(属性投放!$AO$7:$AO$58,DC1509)</f>
        <v>140</v>
      </c>
      <c r="DE1509" s="14" t="s">
        <v>242</v>
      </c>
      <c r="DF1509" s="14">
        <f>INDEX(属性投放!$BK$6:$BK$85,(CV1509-2)*20+CZ1509)</f>
        <v>1000</v>
      </c>
      <c r="DG1509" s="14">
        <f>SUMIFS(DF$5:DF1509,$CT$5:$CT1509,"="&amp;$CT1509)</f>
        <v>13115</v>
      </c>
      <c r="DH1509" s="14" t="s">
        <v>116</v>
      </c>
      <c r="DI1509" s="14">
        <f>INDEX(属性投放!$BL$6:$BL$85,(CV1509-2)*20+CZ1509)</f>
        <v>500</v>
      </c>
      <c r="DJ1509" s="14">
        <f>SUMIFS(DI$5:DI1509,$CT$5:$CT1509,"="&amp;$CT1509)</f>
        <v>6561</v>
      </c>
      <c r="DK1509" s="14" t="s">
        <v>25</v>
      </c>
      <c r="DL1509" s="14">
        <f>INDEX(属性投放!$BM$6:$BM$85,(CV1509-2)*20+CZ1509)</f>
        <v>10000</v>
      </c>
      <c r="DM1509" s="14">
        <f>SUMIFS(DL$5:DL1509,$CT$5:$CT1509,"="&amp;$CT1509)</f>
        <v>127920</v>
      </c>
    </row>
    <row r="1510" spans="97:117" ht="16.5" x14ac:dyDescent="0.2">
      <c r="CS1510" s="13">
        <v>1506</v>
      </c>
      <c r="CT1510" s="13">
        <f t="shared" si="1136"/>
        <v>29</v>
      </c>
      <c r="CU1510" s="13">
        <f t="shared" si="1137"/>
        <v>50</v>
      </c>
      <c r="CV1510" s="14">
        <f t="shared" si="1139"/>
        <v>2</v>
      </c>
      <c r="CW1510" s="14">
        <f t="shared" si="1140"/>
        <v>1102999</v>
      </c>
      <c r="CX1510" s="14" t="str">
        <f>INDEX($O$6:$O$50,CT1510)&amp;"-"&amp;INDEX(属性投放!$AB$7:$AB$50,CZ1510)&amp;"-魂火-"&amp;DB1510</f>
        <v>R守护灵-无间+1-魂火-2</v>
      </c>
      <c r="CY1510" s="25" t="s">
        <v>142</v>
      </c>
      <c r="CZ1510" s="14">
        <f>INDEX(属性投放!$AM$7:$AM$58,CU1510)</f>
        <v>20</v>
      </c>
      <c r="DA1510" s="14" t="s">
        <v>537</v>
      </c>
      <c r="DB1510" s="14">
        <f>INDEX(属性投放!$AN$7:$AN$58,CU1510)</f>
        <v>2</v>
      </c>
      <c r="DC1510" s="14">
        <f t="shared" si="1138"/>
        <v>50</v>
      </c>
      <c r="DD1510" s="14">
        <f>INDEX(属性投放!$AO$7:$AO$58,DC1510)</f>
        <v>143</v>
      </c>
      <c r="DE1510" s="14" t="s">
        <v>242</v>
      </c>
      <c r="DF1510" s="14">
        <f>INDEX(属性投放!$BK$6:$BK$85,(CV1510-2)*20+CZ1510)</f>
        <v>1000</v>
      </c>
      <c r="DG1510" s="14">
        <f>SUMIFS(DF$5:DF1510,$CT$5:$CT1510,"="&amp;$CT1510)</f>
        <v>14115</v>
      </c>
      <c r="DH1510" s="14" t="s">
        <v>116</v>
      </c>
      <c r="DI1510" s="14">
        <f>INDEX(属性投放!$BL$6:$BL$85,(CV1510-2)*20+CZ1510)</f>
        <v>500</v>
      </c>
      <c r="DJ1510" s="14">
        <f>SUMIFS(DI$5:DI1510,$CT$5:$CT1510,"="&amp;$CT1510)</f>
        <v>7061</v>
      </c>
      <c r="DK1510" s="14" t="s">
        <v>25</v>
      </c>
      <c r="DL1510" s="14">
        <f>INDEX(属性投放!$BM$6:$BM$85,(CV1510-2)*20+CZ1510)</f>
        <v>10000</v>
      </c>
      <c r="DM1510" s="14">
        <f>SUMIFS(DL$5:DL1510,$CT$5:$CT1510,"="&amp;$CT1510)</f>
        <v>137920</v>
      </c>
    </row>
    <row r="1511" spans="97:117" ht="16.5" x14ac:dyDescent="0.2">
      <c r="CS1511" s="13">
        <v>1507</v>
      </c>
      <c r="CT1511" s="13">
        <f t="shared" si="1136"/>
        <v>29</v>
      </c>
      <c r="CU1511" s="13">
        <f t="shared" si="1137"/>
        <v>51</v>
      </c>
      <c r="CV1511" s="14">
        <f t="shared" si="1139"/>
        <v>2</v>
      </c>
      <c r="CW1511" s="14">
        <f t="shared" si="1140"/>
        <v>1102999</v>
      </c>
      <c r="CX1511" s="14" t="str">
        <f>INDEX($O$6:$O$50,CT1511)&amp;"-"&amp;INDEX(属性投放!$AB$7:$AB$50,CZ1511)&amp;"-魂火-"&amp;DB1511</f>
        <v>R守护灵-无间+1-魂火-3</v>
      </c>
      <c r="CY1511" s="25" t="s">
        <v>142</v>
      </c>
      <c r="CZ1511" s="14">
        <f>INDEX(属性投放!$AM$7:$AM$58,CU1511)</f>
        <v>20</v>
      </c>
      <c r="DA1511" s="14" t="s">
        <v>537</v>
      </c>
      <c r="DB1511" s="14">
        <f>INDEX(属性投放!$AN$7:$AN$58,CU1511)</f>
        <v>3</v>
      </c>
      <c r="DC1511" s="14">
        <f t="shared" si="1138"/>
        <v>51</v>
      </c>
      <c r="DD1511" s="14">
        <f>INDEX(属性投放!$AO$7:$AO$58,DC1511)</f>
        <v>145</v>
      </c>
      <c r="DE1511" s="14" t="s">
        <v>242</v>
      </c>
      <c r="DF1511" s="14">
        <f>INDEX(属性投放!$BK$6:$BK$85,(CV1511-2)*20+CZ1511)</f>
        <v>1000</v>
      </c>
      <c r="DG1511" s="14">
        <f>SUMIFS(DF$5:DF1511,$CT$5:$CT1511,"="&amp;$CT1511)</f>
        <v>15115</v>
      </c>
      <c r="DH1511" s="14" t="s">
        <v>116</v>
      </c>
      <c r="DI1511" s="14">
        <f>INDEX(属性投放!$BL$6:$BL$85,(CV1511-2)*20+CZ1511)</f>
        <v>500</v>
      </c>
      <c r="DJ1511" s="14">
        <f>SUMIFS(DI$5:DI1511,$CT$5:$CT1511,"="&amp;$CT1511)</f>
        <v>7561</v>
      </c>
      <c r="DK1511" s="14" t="s">
        <v>25</v>
      </c>
      <c r="DL1511" s="14">
        <f>INDEX(属性投放!$BM$6:$BM$85,(CV1511-2)*20+CZ1511)</f>
        <v>10000</v>
      </c>
      <c r="DM1511" s="14">
        <f>SUMIFS(DL$5:DL1511,$CT$5:$CT1511,"="&amp;$CT1511)</f>
        <v>147920</v>
      </c>
    </row>
    <row r="1512" spans="97:117" ht="16.5" x14ac:dyDescent="0.2">
      <c r="CS1512" s="13">
        <v>1508</v>
      </c>
      <c r="CT1512" s="13">
        <f t="shared" si="1136"/>
        <v>29</v>
      </c>
      <c r="CU1512" s="13">
        <f t="shared" si="1137"/>
        <v>52</v>
      </c>
      <c r="CV1512" s="14">
        <f t="shared" si="1139"/>
        <v>2</v>
      </c>
      <c r="CW1512" s="14">
        <f t="shared" si="1140"/>
        <v>1102999</v>
      </c>
      <c r="CX1512" s="14" t="str">
        <f>INDEX($O$6:$O$50,CT1512)&amp;"-"&amp;INDEX(属性投放!$AB$7:$AB$50,CZ1512)&amp;"-魂火-"&amp;DB1512</f>
        <v>R守护灵-无间+1-魂火-4</v>
      </c>
      <c r="CY1512" s="25" t="s">
        <v>142</v>
      </c>
      <c r="CZ1512" s="14">
        <f>INDEX(属性投放!$AM$7:$AM$58,CU1512)</f>
        <v>20</v>
      </c>
      <c r="DA1512" s="14" t="s">
        <v>537</v>
      </c>
      <c r="DB1512" s="14">
        <f>INDEX(属性投放!$AN$7:$AN$58,CU1512)</f>
        <v>4</v>
      </c>
      <c r="DC1512" s="14">
        <f t="shared" si="1138"/>
        <v>52</v>
      </c>
      <c r="DD1512" s="14">
        <f>INDEX(属性投放!$AO$7:$AO$58,DC1512)</f>
        <v>148</v>
      </c>
      <c r="DE1512" s="14" t="s">
        <v>242</v>
      </c>
      <c r="DF1512" s="14">
        <f>INDEX(属性投放!$BK$6:$BK$85,(CV1512-2)*20+CZ1512)</f>
        <v>1000</v>
      </c>
      <c r="DG1512" s="14">
        <f>SUMIFS(DF$5:DF1512,$CT$5:$CT1512,"="&amp;$CT1512)</f>
        <v>16115</v>
      </c>
      <c r="DH1512" s="14" t="s">
        <v>116</v>
      </c>
      <c r="DI1512" s="14">
        <f>INDEX(属性投放!$BL$6:$BL$85,(CV1512-2)*20+CZ1512)</f>
        <v>500</v>
      </c>
      <c r="DJ1512" s="14">
        <f>SUMIFS(DI$5:DI1512,$CT$5:$CT1512,"="&amp;$CT1512)</f>
        <v>8061</v>
      </c>
      <c r="DK1512" s="14" t="s">
        <v>25</v>
      </c>
      <c r="DL1512" s="14">
        <f>INDEX(属性投放!$BM$6:$BM$85,(CV1512-2)*20+CZ1512)</f>
        <v>10000</v>
      </c>
      <c r="DM1512" s="14">
        <f>SUMIFS(DL$5:DL1512,$CT$5:$CT1512,"="&amp;$CT1512)</f>
        <v>157920</v>
      </c>
    </row>
    <row r="1513" spans="97:117" ht="16.5" x14ac:dyDescent="0.2">
      <c r="CS1513" s="13">
        <v>1509</v>
      </c>
      <c r="CT1513" s="13">
        <f t="shared" si="1136"/>
        <v>30</v>
      </c>
      <c r="CU1513" s="13">
        <f t="shared" si="1137"/>
        <v>1</v>
      </c>
      <c r="CV1513" s="14">
        <f t="shared" si="1139"/>
        <v>3</v>
      </c>
      <c r="CW1513" s="14">
        <f t="shared" si="1140"/>
        <v>1102998</v>
      </c>
      <c r="CX1513" s="14" t="str">
        <f>INDEX($O$6:$O$50,CT1513)&amp;"-"&amp;INDEX(属性投放!$AB$7:$AB$50,CZ1513)&amp;"-魂火-"&amp;DB1513</f>
        <v>SR守护灵-等活-魂火-1</v>
      </c>
      <c r="CY1513" s="25" t="s">
        <v>142</v>
      </c>
      <c r="CZ1513" s="14">
        <f>INDEX(属性投放!$AM$7:$AM$58,CU1513)</f>
        <v>1</v>
      </c>
      <c r="DA1513" s="14" t="s">
        <v>537</v>
      </c>
      <c r="DB1513" s="14">
        <f>INDEX(属性投放!$AN$7:$AN$58,CU1513)</f>
        <v>1</v>
      </c>
      <c r="DC1513" s="14">
        <f t="shared" si="1138"/>
        <v>1</v>
      </c>
      <c r="DD1513" s="14">
        <f>INDEX(属性投放!$AO$7:$AO$58,DC1513)</f>
        <v>3</v>
      </c>
      <c r="DE1513" s="14" t="s">
        <v>242</v>
      </c>
      <c r="DF1513" s="14">
        <f>INDEX(属性投放!$BK$6:$BK$85,(CV1513-2)*20+CZ1513)</f>
        <v>20</v>
      </c>
      <c r="DG1513" s="14">
        <f>SUMIFS(DF$5:DF1513,$CT$5:$CT1513,"="&amp;$CT1513)</f>
        <v>20</v>
      </c>
      <c r="DH1513" s="14" t="s">
        <v>116</v>
      </c>
      <c r="DI1513" s="14">
        <f>INDEX(属性投放!$BL$6:$BL$85,(CV1513-2)*20+CZ1513)</f>
        <v>10</v>
      </c>
      <c r="DJ1513" s="14">
        <f>SUMIFS(DI$5:DI1513,$CT$5:$CT1513,"="&amp;$CT1513)</f>
        <v>10</v>
      </c>
      <c r="DK1513" s="14" t="s">
        <v>25</v>
      </c>
      <c r="DL1513" s="14">
        <f>INDEX(属性投放!$BM$6:$BM$85,(CV1513-2)*20+CZ1513)</f>
        <v>120</v>
      </c>
      <c r="DM1513" s="14">
        <f>SUMIFS(DL$5:DL1513,$CT$5:$CT1513,"="&amp;$CT1513)</f>
        <v>120</v>
      </c>
    </row>
    <row r="1514" spans="97:117" ht="16.5" x14ac:dyDescent="0.2">
      <c r="CS1514" s="13">
        <v>1510</v>
      </c>
      <c r="CT1514" s="13">
        <f t="shared" si="1136"/>
        <v>30</v>
      </c>
      <c r="CU1514" s="13">
        <f t="shared" si="1137"/>
        <v>2</v>
      </c>
      <c r="CV1514" s="14">
        <f t="shared" si="1139"/>
        <v>3</v>
      </c>
      <c r="CW1514" s="14">
        <f t="shared" si="1140"/>
        <v>1102998</v>
      </c>
      <c r="CX1514" s="14" t="str">
        <f>INDEX($O$6:$O$50,CT1514)&amp;"-"&amp;INDEX(属性投放!$AB$7:$AB$50,CZ1514)&amp;"-魂火-"&amp;DB1514</f>
        <v>SR守护灵-黑绳-魂火-1</v>
      </c>
      <c r="CY1514" s="25" t="s">
        <v>142</v>
      </c>
      <c r="CZ1514" s="14">
        <f>INDEX(属性投放!$AM$7:$AM$58,CU1514)</f>
        <v>2</v>
      </c>
      <c r="DA1514" s="14" t="s">
        <v>537</v>
      </c>
      <c r="DB1514" s="14">
        <f>INDEX(属性投放!$AN$7:$AN$58,CU1514)</f>
        <v>1</v>
      </c>
      <c r="DC1514" s="14">
        <f t="shared" si="1138"/>
        <v>2</v>
      </c>
      <c r="DD1514" s="14">
        <f>INDEX(属性投放!$AO$7:$AO$58,DC1514)</f>
        <v>8</v>
      </c>
      <c r="DE1514" s="14" t="s">
        <v>242</v>
      </c>
      <c r="DF1514" s="14">
        <f>INDEX(属性投放!$BK$6:$BK$85,(CV1514-2)*20+CZ1514)</f>
        <v>25</v>
      </c>
      <c r="DG1514" s="14">
        <f>SUMIFS(DF$5:DF1514,$CT$5:$CT1514,"="&amp;$CT1514)</f>
        <v>45</v>
      </c>
      <c r="DH1514" s="14" t="s">
        <v>116</v>
      </c>
      <c r="DI1514" s="14">
        <f>INDEX(属性投放!$BL$6:$BL$85,(CV1514-2)*20+CZ1514)</f>
        <v>13</v>
      </c>
      <c r="DJ1514" s="14">
        <f>SUMIFS(DI$5:DI1514,$CT$5:$CT1514,"="&amp;$CT1514)</f>
        <v>23</v>
      </c>
      <c r="DK1514" s="14" t="s">
        <v>25</v>
      </c>
      <c r="DL1514" s="14">
        <f>INDEX(属性投放!$BM$6:$BM$85,(CV1514-2)*20+CZ1514)</f>
        <v>150</v>
      </c>
      <c r="DM1514" s="14">
        <f>SUMIFS(DL$5:DL1514,$CT$5:$CT1514,"="&amp;$CT1514)</f>
        <v>270</v>
      </c>
    </row>
    <row r="1515" spans="97:117" ht="16.5" x14ac:dyDescent="0.2">
      <c r="CS1515" s="13">
        <v>1511</v>
      </c>
      <c r="CT1515" s="13">
        <f t="shared" si="1136"/>
        <v>30</v>
      </c>
      <c r="CU1515" s="13">
        <f t="shared" si="1137"/>
        <v>3</v>
      </c>
      <c r="CV1515" s="14">
        <f t="shared" si="1139"/>
        <v>3</v>
      </c>
      <c r="CW1515" s="14">
        <f t="shared" si="1140"/>
        <v>1102998</v>
      </c>
      <c r="CX1515" s="14" t="str">
        <f>INDEX($O$6:$O$50,CT1515)&amp;"-"&amp;INDEX(属性投放!$AB$7:$AB$50,CZ1515)&amp;"-魂火-"&amp;DB1515</f>
        <v>SR守护灵-黑绳-魂火-2</v>
      </c>
      <c r="CY1515" s="25" t="s">
        <v>142</v>
      </c>
      <c r="CZ1515" s="14">
        <f>INDEX(属性投放!$AM$7:$AM$58,CU1515)</f>
        <v>2</v>
      </c>
      <c r="DA1515" s="14" t="s">
        <v>537</v>
      </c>
      <c r="DB1515" s="14">
        <f>INDEX(属性投放!$AN$7:$AN$58,CU1515)</f>
        <v>2</v>
      </c>
      <c r="DC1515" s="14">
        <f t="shared" si="1138"/>
        <v>3</v>
      </c>
      <c r="DD1515" s="14">
        <f>INDEX(属性投放!$AO$7:$AO$58,DC1515)</f>
        <v>13</v>
      </c>
      <c r="DE1515" s="14" t="s">
        <v>242</v>
      </c>
      <c r="DF1515" s="14">
        <f>INDEX(属性投放!$BK$6:$BK$85,(CV1515-2)*20+CZ1515)</f>
        <v>25</v>
      </c>
      <c r="DG1515" s="14">
        <f>SUMIFS(DF$5:DF1515,$CT$5:$CT1515,"="&amp;$CT1515)</f>
        <v>70</v>
      </c>
      <c r="DH1515" s="14" t="s">
        <v>116</v>
      </c>
      <c r="DI1515" s="14">
        <f>INDEX(属性投放!$BL$6:$BL$85,(CV1515-2)*20+CZ1515)</f>
        <v>13</v>
      </c>
      <c r="DJ1515" s="14">
        <f>SUMIFS(DI$5:DI1515,$CT$5:$CT1515,"="&amp;$CT1515)</f>
        <v>36</v>
      </c>
      <c r="DK1515" s="14" t="s">
        <v>25</v>
      </c>
      <c r="DL1515" s="14">
        <f>INDEX(属性投放!$BM$6:$BM$85,(CV1515-2)*20+CZ1515)</f>
        <v>150</v>
      </c>
      <c r="DM1515" s="14">
        <f>SUMIFS(DL$5:DL1515,$CT$5:$CT1515,"="&amp;$CT1515)</f>
        <v>420</v>
      </c>
    </row>
    <row r="1516" spans="97:117" ht="16.5" x14ac:dyDescent="0.2">
      <c r="CS1516" s="13">
        <v>1512</v>
      </c>
      <c r="CT1516" s="13">
        <f t="shared" si="1136"/>
        <v>30</v>
      </c>
      <c r="CU1516" s="13">
        <f t="shared" si="1137"/>
        <v>4</v>
      </c>
      <c r="CV1516" s="14">
        <f t="shared" si="1139"/>
        <v>3</v>
      </c>
      <c r="CW1516" s="14">
        <f t="shared" si="1140"/>
        <v>1102998</v>
      </c>
      <c r="CX1516" s="14" t="str">
        <f>INDEX($O$6:$O$50,CT1516)&amp;"-"&amp;INDEX(属性投放!$AB$7:$AB$50,CZ1516)&amp;"-魂火-"&amp;DB1516</f>
        <v>SR守护灵-黑绳+1-魂火-1</v>
      </c>
      <c r="CY1516" s="25" t="s">
        <v>142</v>
      </c>
      <c r="CZ1516" s="14">
        <f>INDEX(属性投放!$AM$7:$AM$58,CU1516)</f>
        <v>3</v>
      </c>
      <c r="DA1516" s="14" t="s">
        <v>537</v>
      </c>
      <c r="DB1516" s="14">
        <f>INDEX(属性投放!$AN$7:$AN$58,CU1516)</f>
        <v>1</v>
      </c>
      <c r="DC1516" s="14">
        <f t="shared" si="1138"/>
        <v>4</v>
      </c>
      <c r="DD1516" s="14">
        <f>INDEX(属性投放!$AO$7:$AO$58,DC1516)</f>
        <v>18</v>
      </c>
      <c r="DE1516" s="14" t="s">
        <v>242</v>
      </c>
      <c r="DF1516" s="14">
        <f>INDEX(属性投放!$BK$6:$BK$85,(CV1516-2)*20+CZ1516)</f>
        <v>30</v>
      </c>
      <c r="DG1516" s="14">
        <f>SUMIFS(DF$5:DF1516,$CT$5:$CT1516,"="&amp;$CT1516)</f>
        <v>100</v>
      </c>
      <c r="DH1516" s="14" t="s">
        <v>116</v>
      </c>
      <c r="DI1516" s="14">
        <f>INDEX(属性投放!$BL$6:$BL$85,(CV1516-2)*20+CZ1516)</f>
        <v>15</v>
      </c>
      <c r="DJ1516" s="14">
        <f>SUMIFS(DI$5:DI1516,$CT$5:$CT1516,"="&amp;$CT1516)</f>
        <v>51</v>
      </c>
      <c r="DK1516" s="14" t="s">
        <v>25</v>
      </c>
      <c r="DL1516" s="14">
        <f>INDEX(属性投放!$BM$6:$BM$85,(CV1516-2)*20+CZ1516)</f>
        <v>180</v>
      </c>
      <c r="DM1516" s="14">
        <f>SUMIFS(DL$5:DL1516,$CT$5:$CT1516,"="&amp;$CT1516)</f>
        <v>600</v>
      </c>
    </row>
    <row r="1517" spans="97:117" ht="16.5" x14ac:dyDescent="0.2">
      <c r="CS1517" s="13">
        <v>1513</v>
      </c>
      <c r="CT1517" s="13">
        <f t="shared" si="1136"/>
        <v>30</v>
      </c>
      <c r="CU1517" s="13">
        <f t="shared" si="1137"/>
        <v>5</v>
      </c>
      <c r="CV1517" s="14">
        <f t="shared" si="1139"/>
        <v>3</v>
      </c>
      <c r="CW1517" s="14">
        <f t="shared" si="1140"/>
        <v>1102998</v>
      </c>
      <c r="CX1517" s="14" t="str">
        <f>INDEX($O$6:$O$50,CT1517)&amp;"-"&amp;INDEX(属性投放!$AB$7:$AB$50,CZ1517)&amp;"-魂火-"&amp;DB1517</f>
        <v>SR守护灵-黑绳+1-魂火-2</v>
      </c>
      <c r="CY1517" s="25" t="s">
        <v>142</v>
      </c>
      <c r="CZ1517" s="14">
        <f>INDEX(属性投放!$AM$7:$AM$58,CU1517)</f>
        <v>3</v>
      </c>
      <c r="DA1517" s="14" t="s">
        <v>537</v>
      </c>
      <c r="DB1517" s="14">
        <f>INDEX(属性投放!$AN$7:$AN$58,CU1517)</f>
        <v>2</v>
      </c>
      <c r="DC1517" s="14">
        <f t="shared" si="1138"/>
        <v>5</v>
      </c>
      <c r="DD1517" s="14">
        <f>INDEX(属性投放!$AO$7:$AO$58,DC1517)</f>
        <v>23</v>
      </c>
      <c r="DE1517" s="14" t="s">
        <v>242</v>
      </c>
      <c r="DF1517" s="14">
        <f>INDEX(属性投放!$BK$6:$BK$85,(CV1517-2)*20+CZ1517)</f>
        <v>30</v>
      </c>
      <c r="DG1517" s="14">
        <f>SUMIFS(DF$5:DF1517,$CT$5:$CT1517,"="&amp;$CT1517)</f>
        <v>130</v>
      </c>
      <c r="DH1517" s="14" t="s">
        <v>116</v>
      </c>
      <c r="DI1517" s="14">
        <f>INDEX(属性投放!$BL$6:$BL$85,(CV1517-2)*20+CZ1517)</f>
        <v>15</v>
      </c>
      <c r="DJ1517" s="14">
        <f>SUMIFS(DI$5:DI1517,$CT$5:$CT1517,"="&amp;$CT1517)</f>
        <v>66</v>
      </c>
      <c r="DK1517" s="14" t="s">
        <v>25</v>
      </c>
      <c r="DL1517" s="14">
        <f>INDEX(属性投放!$BM$6:$BM$85,(CV1517-2)*20+CZ1517)</f>
        <v>180</v>
      </c>
      <c r="DM1517" s="14">
        <f>SUMIFS(DL$5:DL1517,$CT$5:$CT1517,"="&amp;$CT1517)</f>
        <v>780</v>
      </c>
    </row>
    <row r="1518" spans="97:117" ht="16.5" x14ac:dyDescent="0.2">
      <c r="CS1518" s="13">
        <v>1514</v>
      </c>
      <c r="CT1518" s="13">
        <f t="shared" si="1136"/>
        <v>30</v>
      </c>
      <c r="CU1518" s="13">
        <f t="shared" si="1137"/>
        <v>6</v>
      </c>
      <c r="CV1518" s="14">
        <f t="shared" si="1139"/>
        <v>3</v>
      </c>
      <c r="CW1518" s="14">
        <f t="shared" si="1140"/>
        <v>1102998</v>
      </c>
      <c r="CX1518" s="14" t="str">
        <f>INDEX($O$6:$O$50,CT1518)&amp;"-"&amp;INDEX(属性投放!$AB$7:$AB$50,CZ1518)&amp;"-魂火-"&amp;DB1518</f>
        <v>SR守护灵-众合-魂火-1</v>
      </c>
      <c r="CY1518" s="25" t="s">
        <v>142</v>
      </c>
      <c r="CZ1518" s="14">
        <f>INDEX(属性投放!$AM$7:$AM$58,CU1518)</f>
        <v>4</v>
      </c>
      <c r="DA1518" s="14" t="s">
        <v>537</v>
      </c>
      <c r="DB1518" s="14">
        <f>INDEX(属性投放!$AN$7:$AN$58,CU1518)</f>
        <v>1</v>
      </c>
      <c r="DC1518" s="14">
        <f t="shared" si="1138"/>
        <v>6</v>
      </c>
      <c r="DD1518" s="14">
        <f>INDEX(属性投放!$AO$7:$AO$58,DC1518)</f>
        <v>28</v>
      </c>
      <c r="DE1518" s="14" t="s">
        <v>242</v>
      </c>
      <c r="DF1518" s="14">
        <f>INDEX(属性投放!$BK$6:$BK$85,(CV1518-2)*20+CZ1518)</f>
        <v>40</v>
      </c>
      <c r="DG1518" s="14">
        <f>SUMIFS(DF$5:DF1518,$CT$5:$CT1518,"="&amp;$CT1518)</f>
        <v>170</v>
      </c>
      <c r="DH1518" s="14" t="s">
        <v>116</v>
      </c>
      <c r="DI1518" s="14">
        <f>INDEX(属性投放!$BL$6:$BL$85,(CV1518-2)*20+CZ1518)</f>
        <v>20</v>
      </c>
      <c r="DJ1518" s="14">
        <f>SUMIFS(DI$5:DI1518,$CT$5:$CT1518,"="&amp;$CT1518)</f>
        <v>86</v>
      </c>
      <c r="DK1518" s="14" t="s">
        <v>25</v>
      </c>
      <c r="DL1518" s="14">
        <f>INDEX(属性投放!$BM$6:$BM$85,(CV1518-2)*20+CZ1518)</f>
        <v>280</v>
      </c>
      <c r="DM1518" s="14">
        <f>SUMIFS(DL$5:DL1518,$CT$5:$CT1518,"="&amp;$CT1518)</f>
        <v>1060</v>
      </c>
    </row>
    <row r="1519" spans="97:117" ht="16.5" x14ac:dyDescent="0.2">
      <c r="CS1519" s="13">
        <v>1515</v>
      </c>
      <c r="CT1519" s="13">
        <f t="shared" si="1136"/>
        <v>30</v>
      </c>
      <c r="CU1519" s="13">
        <f t="shared" si="1137"/>
        <v>7</v>
      </c>
      <c r="CV1519" s="14">
        <f t="shared" si="1139"/>
        <v>3</v>
      </c>
      <c r="CW1519" s="14">
        <f t="shared" si="1140"/>
        <v>1102998</v>
      </c>
      <c r="CX1519" s="14" t="str">
        <f>INDEX($O$6:$O$50,CT1519)&amp;"-"&amp;INDEX(属性投放!$AB$7:$AB$50,CZ1519)&amp;"-魂火-"&amp;DB1519</f>
        <v>SR守护灵-众合-魂火-2</v>
      </c>
      <c r="CY1519" s="25" t="s">
        <v>142</v>
      </c>
      <c r="CZ1519" s="14">
        <f>INDEX(属性投放!$AM$7:$AM$58,CU1519)</f>
        <v>4</v>
      </c>
      <c r="DA1519" s="14" t="s">
        <v>537</v>
      </c>
      <c r="DB1519" s="14">
        <f>INDEX(属性投放!$AN$7:$AN$58,CU1519)</f>
        <v>2</v>
      </c>
      <c r="DC1519" s="14">
        <f t="shared" si="1138"/>
        <v>7</v>
      </c>
      <c r="DD1519" s="14">
        <f>INDEX(属性投放!$AO$7:$AO$58,DC1519)</f>
        <v>33</v>
      </c>
      <c r="DE1519" s="14" t="s">
        <v>242</v>
      </c>
      <c r="DF1519" s="14">
        <f>INDEX(属性投放!$BK$6:$BK$85,(CV1519-2)*20+CZ1519)</f>
        <v>40</v>
      </c>
      <c r="DG1519" s="14">
        <f>SUMIFS(DF$5:DF1519,$CT$5:$CT1519,"="&amp;$CT1519)</f>
        <v>210</v>
      </c>
      <c r="DH1519" s="14" t="s">
        <v>116</v>
      </c>
      <c r="DI1519" s="14">
        <f>INDEX(属性投放!$BL$6:$BL$85,(CV1519-2)*20+CZ1519)</f>
        <v>20</v>
      </c>
      <c r="DJ1519" s="14">
        <f>SUMIFS(DI$5:DI1519,$CT$5:$CT1519,"="&amp;$CT1519)</f>
        <v>106</v>
      </c>
      <c r="DK1519" s="14" t="s">
        <v>25</v>
      </c>
      <c r="DL1519" s="14">
        <f>INDEX(属性投放!$BM$6:$BM$85,(CV1519-2)*20+CZ1519)</f>
        <v>280</v>
      </c>
      <c r="DM1519" s="14">
        <f>SUMIFS(DL$5:DL1519,$CT$5:$CT1519,"="&amp;$CT1519)</f>
        <v>1340</v>
      </c>
    </row>
    <row r="1520" spans="97:117" ht="16.5" x14ac:dyDescent="0.2">
      <c r="CS1520" s="13">
        <v>1516</v>
      </c>
      <c r="CT1520" s="13">
        <f t="shared" si="1136"/>
        <v>30</v>
      </c>
      <c r="CU1520" s="13">
        <f t="shared" si="1137"/>
        <v>8</v>
      </c>
      <c r="CV1520" s="14">
        <f t="shared" si="1139"/>
        <v>3</v>
      </c>
      <c r="CW1520" s="14">
        <f t="shared" si="1140"/>
        <v>1102998</v>
      </c>
      <c r="CX1520" s="14" t="str">
        <f>INDEX($O$6:$O$50,CT1520)&amp;"-"&amp;INDEX(属性投放!$AB$7:$AB$50,CZ1520)&amp;"-魂火-"&amp;DB1520</f>
        <v>SR守护灵-众合+1-魂火-1</v>
      </c>
      <c r="CY1520" s="25" t="s">
        <v>142</v>
      </c>
      <c r="CZ1520" s="14">
        <f>INDEX(属性投放!$AM$7:$AM$58,CU1520)</f>
        <v>5</v>
      </c>
      <c r="DA1520" s="14" t="s">
        <v>537</v>
      </c>
      <c r="DB1520" s="14">
        <f>INDEX(属性投放!$AN$7:$AN$58,CU1520)</f>
        <v>1</v>
      </c>
      <c r="DC1520" s="14">
        <f t="shared" si="1138"/>
        <v>8</v>
      </c>
      <c r="DD1520" s="14">
        <f>INDEX(属性投放!$AO$7:$AO$58,DC1520)</f>
        <v>38</v>
      </c>
      <c r="DE1520" s="14" t="s">
        <v>242</v>
      </c>
      <c r="DF1520" s="14">
        <f>INDEX(属性投放!$BK$6:$BK$85,(CV1520-2)*20+CZ1520)</f>
        <v>45</v>
      </c>
      <c r="DG1520" s="14">
        <f>SUMIFS(DF$5:DF1520,$CT$5:$CT1520,"="&amp;$CT1520)</f>
        <v>255</v>
      </c>
      <c r="DH1520" s="14" t="s">
        <v>116</v>
      </c>
      <c r="DI1520" s="14">
        <f>INDEX(属性投放!$BL$6:$BL$85,(CV1520-2)*20+CZ1520)</f>
        <v>23</v>
      </c>
      <c r="DJ1520" s="14">
        <f>SUMIFS(DI$5:DI1520,$CT$5:$CT1520,"="&amp;$CT1520)</f>
        <v>129</v>
      </c>
      <c r="DK1520" s="14" t="s">
        <v>25</v>
      </c>
      <c r="DL1520" s="14">
        <f>INDEX(属性投放!$BM$6:$BM$85,(CV1520-2)*20+CZ1520)</f>
        <v>315</v>
      </c>
      <c r="DM1520" s="14">
        <f>SUMIFS(DL$5:DL1520,$CT$5:$CT1520,"="&amp;$CT1520)</f>
        <v>1655</v>
      </c>
    </row>
    <row r="1521" spans="97:117" ht="16.5" x14ac:dyDescent="0.2">
      <c r="CS1521" s="13">
        <v>1517</v>
      </c>
      <c r="CT1521" s="13">
        <f t="shared" si="1136"/>
        <v>30</v>
      </c>
      <c r="CU1521" s="13">
        <f t="shared" si="1137"/>
        <v>9</v>
      </c>
      <c r="CV1521" s="14">
        <f t="shared" si="1139"/>
        <v>3</v>
      </c>
      <c r="CW1521" s="14">
        <f t="shared" si="1140"/>
        <v>1102998</v>
      </c>
      <c r="CX1521" s="14" t="str">
        <f>INDEX($O$6:$O$50,CT1521)&amp;"-"&amp;INDEX(属性投放!$AB$7:$AB$50,CZ1521)&amp;"-魂火-"&amp;DB1521</f>
        <v>SR守护灵-众合+1-魂火-2</v>
      </c>
      <c r="CY1521" s="25" t="s">
        <v>142</v>
      </c>
      <c r="CZ1521" s="14">
        <f>INDEX(属性投放!$AM$7:$AM$58,CU1521)</f>
        <v>5</v>
      </c>
      <c r="DA1521" s="14" t="s">
        <v>537</v>
      </c>
      <c r="DB1521" s="14">
        <f>INDEX(属性投放!$AN$7:$AN$58,CU1521)</f>
        <v>2</v>
      </c>
      <c r="DC1521" s="14">
        <f t="shared" si="1138"/>
        <v>9</v>
      </c>
      <c r="DD1521" s="14">
        <f>INDEX(属性投放!$AO$7:$AO$58,DC1521)</f>
        <v>40</v>
      </c>
      <c r="DE1521" s="14" t="s">
        <v>242</v>
      </c>
      <c r="DF1521" s="14">
        <f>INDEX(属性投放!$BK$6:$BK$85,(CV1521-2)*20+CZ1521)</f>
        <v>45</v>
      </c>
      <c r="DG1521" s="14">
        <f>SUMIFS(DF$5:DF1521,$CT$5:$CT1521,"="&amp;$CT1521)</f>
        <v>300</v>
      </c>
      <c r="DH1521" s="14" t="s">
        <v>116</v>
      </c>
      <c r="DI1521" s="14">
        <f>INDEX(属性投放!$BL$6:$BL$85,(CV1521-2)*20+CZ1521)</f>
        <v>23</v>
      </c>
      <c r="DJ1521" s="14">
        <f>SUMIFS(DI$5:DI1521,$CT$5:$CT1521,"="&amp;$CT1521)</f>
        <v>152</v>
      </c>
      <c r="DK1521" s="14" t="s">
        <v>25</v>
      </c>
      <c r="DL1521" s="14">
        <f>INDEX(属性投放!$BM$6:$BM$85,(CV1521-2)*20+CZ1521)</f>
        <v>315</v>
      </c>
      <c r="DM1521" s="14">
        <f>SUMIFS(DL$5:DL1521,$CT$5:$CT1521,"="&amp;$CT1521)</f>
        <v>1970</v>
      </c>
    </row>
    <row r="1522" spans="97:117" ht="16.5" x14ac:dyDescent="0.2">
      <c r="CS1522" s="13">
        <v>1518</v>
      </c>
      <c r="CT1522" s="13">
        <f t="shared" si="1136"/>
        <v>30</v>
      </c>
      <c r="CU1522" s="13">
        <f t="shared" si="1137"/>
        <v>10</v>
      </c>
      <c r="CV1522" s="14">
        <f t="shared" si="1139"/>
        <v>3</v>
      </c>
      <c r="CW1522" s="14">
        <f t="shared" si="1140"/>
        <v>1102998</v>
      </c>
      <c r="CX1522" s="14" t="str">
        <f>INDEX($O$6:$O$50,CT1522)&amp;"-"&amp;INDEX(属性投放!$AB$7:$AB$50,CZ1522)&amp;"-魂火-"&amp;DB1522</f>
        <v>SR守护灵-众合+2-魂火-1</v>
      </c>
      <c r="CY1522" s="25" t="s">
        <v>142</v>
      </c>
      <c r="CZ1522" s="14">
        <f>INDEX(属性投放!$AM$7:$AM$58,CU1522)</f>
        <v>6</v>
      </c>
      <c r="DA1522" s="14" t="s">
        <v>537</v>
      </c>
      <c r="DB1522" s="14">
        <f>INDEX(属性投放!$AN$7:$AN$58,CU1522)</f>
        <v>1</v>
      </c>
      <c r="DC1522" s="14">
        <f t="shared" si="1138"/>
        <v>10</v>
      </c>
      <c r="DD1522" s="14">
        <f>INDEX(属性投放!$AO$7:$AO$58,DC1522)</f>
        <v>43</v>
      </c>
      <c r="DE1522" s="14" t="s">
        <v>242</v>
      </c>
      <c r="DF1522" s="14">
        <f>INDEX(属性投放!$BK$6:$BK$85,(CV1522-2)*20+CZ1522)</f>
        <v>50</v>
      </c>
      <c r="DG1522" s="14">
        <f>SUMIFS(DF$5:DF1522,$CT$5:$CT1522,"="&amp;$CT1522)</f>
        <v>350</v>
      </c>
      <c r="DH1522" s="14" t="s">
        <v>116</v>
      </c>
      <c r="DI1522" s="14">
        <f>INDEX(属性投放!$BL$6:$BL$85,(CV1522-2)*20+CZ1522)</f>
        <v>25</v>
      </c>
      <c r="DJ1522" s="14">
        <f>SUMIFS(DI$5:DI1522,$CT$5:$CT1522,"="&amp;$CT1522)</f>
        <v>177</v>
      </c>
      <c r="DK1522" s="14" t="s">
        <v>25</v>
      </c>
      <c r="DL1522" s="14">
        <f>INDEX(属性投放!$BM$6:$BM$85,(CV1522-2)*20+CZ1522)</f>
        <v>350</v>
      </c>
      <c r="DM1522" s="14">
        <f>SUMIFS(DL$5:DL1522,$CT$5:$CT1522,"="&amp;$CT1522)</f>
        <v>2320</v>
      </c>
    </row>
    <row r="1523" spans="97:117" ht="16.5" x14ac:dyDescent="0.2">
      <c r="CS1523" s="13">
        <v>1519</v>
      </c>
      <c r="CT1523" s="13">
        <f t="shared" si="1136"/>
        <v>30</v>
      </c>
      <c r="CU1523" s="13">
        <f t="shared" si="1137"/>
        <v>11</v>
      </c>
      <c r="CV1523" s="14">
        <f t="shared" si="1139"/>
        <v>3</v>
      </c>
      <c r="CW1523" s="14">
        <f t="shared" si="1140"/>
        <v>1102998</v>
      </c>
      <c r="CX1523" s="14" t="str">
        <f>INDEX($O$6:$O$50,CT1523)&amp;"-"&amp;INDEX(属性投放!$AB$7:$AB$50,CZ1523)&amp;"-魂火-"&amp;DB1523</f>
        <v>SR守护灵-众合+2-魂火-2</v>
      </c>
      <c r="CY1523" s="25" t="s">
        <v>142</v>
      </c>
      <c r="CZ1523" s="14">
        <f>INDEX(属性投放!$AM$7:$AM$58,CU1523)</f>
        <v>6</v>
      </c>
      <c r="DA1523" s="14" t="s">
        <v>537</v>
      </c>
      <c r="DB1523" s="14">
        <f>INDEX(属性投放!$AN$7:$AN$58,CU1523)</f>
        <v>2</v>
      </c>
      <c r="DC1523" s="14">
        <f t="shared" si="1138"/>
        <v>11</v>
      </c>
      <c r="DD1523" s="14">
        <f>INDEX(属性投放!$AO$7:$AO$58,DC1523)</f>
        <v>45</v>
      </c>
      <c r="DE1523" s="14" t="s">
        <v>242</v>
      </c>
      <c r="DF1523" s="14">
        <f>INDEX(属性投放!$BK$6:$BK$85,(CV1523-2)*20+CZ1523)</f>
        <v>50</v>
      </c>
      <c r="DG1523" s="14">
        <f>SUMIFS(DF$5:DF1523,$CT$5:$CT1523,"="&amp;$CT1523)</f>
        <v>400</v>
      </c>
      <c r="DH1523" s="14" t="s">
        <v>116</v>
      </c>
      <c r="DI1523" s="14">
        <f>INDEX(属性投放!$BL$6:$BL$85,(CV1523-2)*20+CZ1523)</f>
        <v>25</v>
      </c>
      <c r="DJ1523" s="14">
        <f>SUMIFS(DI$5:DI1523,$CT$5:$CT1523,"="&amp;$CT1523)</f>
        <v>202</v>
      </c>
      <c r="DK1523" s="14" t="s">
        <v>25</v>
      </c>
      <c r="DL1523" s="14">
        <f>INDEX(属性投放!$BM$6:$BM$85,(CV1523-2)*20+CZ1523)</f>
        <v>350</v>
      </c>
      <c r="DM1523" s="14">
        <f>SUMIFS(DL$5:DL1523,$CT$5:$CT1523,"="&amp;$CT1523)</f>
        <v>2670</v>
      </c>
    </row>
    <row r="1524" spans="97:117" ht="16.5" x14ac:dyDescent="0.2">
      <c r="CS1524" s="13">
        <v>1520</v>
      </c>
      <c r="CT1524" s="13">
        <f t="shared" si="1136"/>
        <v>30</v>
      </c>
      <c r="CU1524" s="13">
        <f t="shared" si="1137"/>
        <v>12</v>
      </c>
      <c r="CV1524" s="14">
        <f t="shared" si="1139"/>
        <v>3</v>
      </c>
      <c r="CW1524" s="14">
        <f t="shared" si="1140"/>
        <v>1102998</v>
      </c>
      <c r="CX1524" s="14" t="str">
        <f>INDEX($O$6:$O$50,CT1524)&amp;"-"&amp;INDEX(属性投放!$AB$7:$AB$50,CZ1524)&amp;"-魂火-"&amp;DB1524</f>
        <v>SR守护灵-叫唤-魂火-1</v>
      </c>
      <c r="CY1524" s="25" t="s">
        <v>142</v>
      </c>
      <c r="CZ1524" s="14">
        <f>INDEX(属性投放!$AM$7:$AM$58,CU1524)</f>
        <v>7</v>
      </c>
      <c r="DA1524" s="14" t="s">
        <v>537</v>
      </c>
      <c r="DB1524" s="14">
        <f>INDEX(属性投放!$AN$7:$AN$58,CU1524)</f>
        <v>1</v>
      </c>
      <c r="DC1524" s="14">
        <f t="shared" si="1138"/>
        <v>12</v>
      </c>
      <c r="DD1524" s="14">
        <f>INDEX(属性投放!$AO$7:$AO$58,DC1524)</f>
        <v>48</v>
      </c>
      <c r="DE1524" s="14" t="s">
        <v>242</v>
      </c>
      <c r="DF1524" s="14">
        <f>INDEX(属性投放!$BK$6:$BK$85,(CV1524-2)*20+CZ1524)</f>
        <v>70</v>
      </c>
      <c r="DG1524" s="14">
        <f>SUMIFS(DF$5:DF1524,$CT$5:$CT1524,"="&amp;$CT1524)</f>
        <v>470</v>
      </c>
      <c r="DH1524" s="14" t="s">
        <v>116</v>
      </c>
      <c r="DI1524" s="14">
        <f>INDEX(属性投放!$BL$6:$BL$85,(CV1524-2)*20+CZ1524)</f>
        <v>35</v>
      </c>
      <c r="DJ1524" s="14">
        <f>SUMIFS(DI$5:DI1524,$CT$5:$CT1524,"="&amp;$CT1524)</f>
        <v>237</v>
      </c>
      <c r="DK1524" s="14" t="s">
        <v>25</v>
      </c>
      <c r="DL1524" s="14">
        <f>INDEX(属性投放!$BM$6:$BM$85,(CV1524-2)*20+CZ1524)</f>
        <v>560</v>
      </c>
      <c r="DM1524" s="14">
        <f>SUMIFS(DL$5:DL1524,$CT$5:$CT1524,"="&amp;$CT1524)</f>
        <v>3230</v>
      </c>
    </row>
    <row r="1525" spans="97:117" ht="16.5" x14ac:dyDescent="0.2">
      <c r="CS1525" s="13">
        <v>1521</v>
      </c>
      <c r="CT1525" s="13">
        <f t="shared" ref="CT1525:CT1588" si="1141">MATCH(CS1525-1,$U$5:$U$36,1)</f>
        <v>30</v>
      </c>
      <c r="CU1525" s="13">
        <f t="shared" ref="CU1525:CU1588" si="1142">CS1525-(CT1525-1)*52</f>
        <v>13</v>
      </c>
      <c r="CV1525" s="14">
        <f t="shared" si="1139"/>
        <v>3</v>
      </c>
      <c r="CW1525" s="14">
        <f t="shared" si="1140"/>
        <v>1102998</v>
      </c>
      <c r="CX1525" s="14" t="str">
        <f>INDEX($O$6:$O$50,CT1525)&amp;"-"&amp;INDEX(属性投放!$AB$7:$AB$50,CZ1525)&amp;"-魂火-"&amp;DB1525</f>
        <v>SR守护灵-叫唤-魂火-2</v>
      </c>
      <c r="CY1525" s="25" t="s">
        <v>142</v>
      </c>
      <c r="CZ1525" s="14">
        <f>INDEX(属性投放!$AM$7:$AM$58,CU1525)</f>
        <v>7</v>
      </c>
      <c r="DA1525" s="14" t="s">
        <v>537</v>
      </c>
      <c r="DB1525" s="14">
        <f>INDEX(属性投放!$AN$7:$AN$58,CU1525)</f>
        <v>2</v>
      </c>
      <c r="DC1525" s="14">
        <f t="shared" ref="DC1525:DC1588" si="1143">CU1525</f>
        <v>13</v>
      </c>
      <c r="DD1525" s="14">
        <f>INDEX(属性投放!$AO$7:$AO$58,DC1525)</f>
        <v>50</v>
      </c>
      <c r="DE1525" s="14" t="s">
        <v>242</v>
      </c>
      <c r="DF1525" s="14">
        <f>INDEX(属性投放!$BK$6:$BK$85,(CV1525-2)*20+CZ1525)</f>
        <v>70</v>
      </c>
      <c r="DG1525" s="14">
        <f>SUMIFS(DF$5:DF1525,$CT$5:$CT1525,"="&amp;$CT1525)</f>
        <v>540</v>
      </c>
      <c r="DH1525" s="14" t="s">
        <v>116</v>
      </c>
      <c r="DI1525" s="14">
        <f>INDEX(属性投放!$BL$6:$BL$85,(CV1525-2)*20+CZ1525)</f>
        <v>35</v>
      </c>
      <c r="DJ1525" s="14">
        <f>SUMIFS(DI$5:DI1525,$CT$5:$CT1525,"="&amp;$CT1525)</f>
        <v>272</v>
      </c>
      <c r="DK1525" s="14" t="s">
        <v>25</v>
      </c>
      <c r="DL1525" s="14">
        <f>INDEX(属性投放!$BM$6:$BM$85,(CV1525-2)*20+CZ1525)</f>
        <v>560</v>
      </c>
      <c r="DM1525" s="14">
        <f>SUMIFS(DL$5:DL1525,$CT$5:$CT1525,"="&amp;$CT1525)</f>
        <v>3790</v>
      </c>
    </row>
    <row r="1526" spans="97:117" ht="16.5" x14ac:dyDescent="0.2">
      <c r="CS1526" s="13">
        <v>1522</v>
      </c>
      <c r="CT1526" s="13">
        <f t="shared" si="1141"/>
        <v>30</v>
      </c>
      <c r="CU1526" s="13">
        <f t="shared" si="1142"/>
        <v>14</v>
      </c>
      <c r="CV1526" s="14">
        <f t="shared" si="1139"/>
        <v>3</v>
      </c>
      <c r="CW1526" s="14">
        <f t="shared" si="1140"/>
        <v>1102998</v>
      </c>
      <c r="CX1526" s="14" t="str">
        <f>INDEX($O$6:$O$50,CT1526)&amp;"-"&amp;INDEX(属性投放!$AB$7:$AB$50,CZ1526)&amp;"-魂火-"&amp;DB1526</f>
        <v>SR守护灵-叫唤+1-魂火-1</v>
      </c>
      <c r="CY1526" s="25" t="s">
        <v>142</v>
      </c>
      <c r="CZ1526" s="14">
        <f>INDEX(属性投放!$AM$7:$AM$58,CU1526)</f>
        <v>8</v>
      </c>
      <c r="DA1526" s="14" t="s">
        <v>537</v>
      </c>
      <c r="DB1526" s="14">
        <f>INDEX(属性投放!$AN$7:$AN$58,CU1526)</f>
        <v>1</v>
      </c>
      <c r="DC1526" s="14">
        <f t="shared" si="1143"/>
        <v>14</v>
      </c>
      <c r="DD1526" s="14">
        <f>INDEX(属性投放!$AO$7:$AO$58,DC1526)</f>
        <v>53</v>
      </c>
      <c r="DE1526" s="14" t="s">
        <v>242</v>
      </c>
      <c r="DF1526" s="14">
        <f>INDEX(属性投放!$BK$6:$BK$85,(CV1526-2)*20+CZ1526)</f>
        <v>85</v>
      </c>
      <c r="DG1526" s="14">
        <f>SUMIFS(DF$5:DF1526,$CT$5:$CT1526,"="&amp;$CT1526)</f>
        <v>625</v>
      </c>
      <c r="DH1526" s="14" t="s">
        <v>116</v>
      </c>
      <c r="DI1526" s="14">
        <f>INDEX(属性投放!$BL$6:$BL$85,(CV1526-2)*20+CZ1526)</f>
        <v>43</v>
      </c>
      <c r="DJ1526" s="14">
        <f>SUMIFS(DI$5:DI1526,$CT$5:$CT1526,"="&amp;$CT1526)</f>
        <v>315</v>
      </c>
      <c r="DK1526" s="14" t="s">
        <v>25</v>
      </c>
      <c r="DL1526" s="14">
        <f>INDEX(属性投放!$BM$6:$BM$85,(CV1526-2)*20+CZ1526)</f>
        <v>680</v>
      </c>
      <c r="DM1526" s="14">
        <f>SUMIFS(DL$5:DL1526,$CT$5:$CT1526,"="&amp;$CT1526)</f>
        <v>4470</v>
      </c>
    </row>
    <row r="1527" spans="97:117" ht="16.5" x14ac:dyDescent="0.2">
      <c r="CS1527" s="13">
        <v>1523</v>
      </c>
      <c r="CT1527" s="13">
        <f t="shared" si="1141"/>
        <v>30</v>
      </c>
      <c r="CU1527" s="13">
        <f t="shared" si="1142"/>
        <v>15</v>
      </c>
      <c r="CV1527" s="14">
        <f t="shared" si="1139"/>
        <v>3</v>
      </c>
      <c r="CW1527" s="14">
        <f t="shared" si="1140"/>
        <v>1102998</v>
      </c>
      <c r="CX1527" s="14" t="str">
        <f>INDEX($O$6:$O$50,CT1527)&amp;"-"&amp;INDEX(属性投放!$AB$7:$AB$50,CZ1527)&amp;"-魂火-"&amp;DB1527</f>
        <v>SR守护灵-叫唤+1-魂火-2</v>
      </c>
      <c r="CY1527" s="25" t="s">
        <v>142</v>
      </c>
      <c r="CZ1527" s="14">
        <f>INDEX(属性投放!$AM$7:$AM$58,CU1527)</f>
        <v>8</v>
      </c>
      <c r="DA1527" s="14" t="s">
        <v>537</v>
      </c>
      <c r="DB1527" s="14">
        <f>INDEX(属性投放!$AN$7:$AN$58,CU1527)</f>
        <v>2</v>
      </c>
      <c r="DC1527" s="14">
        <f t="shared" si="1143"/>
        <v>15</v>
      </c>
      <c r="DD1527" s="14">
        <f>INDEX(属性投放!$AO$7:$AO$58,DC1527)</f>
        <v>55</v>
      </c>
      <c r="DE1527" s="14" t="s">
        <v>242</v>
      </c>
      <c r="DF1527" s="14">
        <f>INDEX(属性投放!$BK$6:$BK$85,(CV1527-2)*20+CZ1527)</f>
        <v>85</v>
      </c>
      <c r="DG1527" s="14">
        <f>SUMIFS(DF$5:DF1527,$CT$5:$CT1527,"="&amp;$CT1527)</f>
        <v>710</v>
      </c>
      <c r="DH1527" s="14" t="s">
        <v>116</v>
      </c>
      <c r="DI1527" s="14">
        <f>INDEX(属性投放!$BL$6:$BL$85,(CV1527-2)*20+CZ1527)</f>
        <v>43</v>
      </c>
      <c r="DJ1527" s="14">
        <f>SUMIFS(DI$5:DI1527,$CT$5:$CT1527,"="&amp;$CT1527)</f>
        <v>358</v>
      </c>
      <c r="DK1527" s="14" t="s">
        <v>25</v>
      </c>
      <c r="DL1527" s="14">
        <f>INDEX(属性投放!$BM$6:$BM$85,(CV1527-2)*20+CZ1527)</f>
        <v>680</v>
      </c>
      <c r="DM1527" s="14">
        <f>SUMIFS(DL$5:DL1527,$CT$5:$CT1527,"="&amp;$CT1527)</f>
        <v>5150</v>
      </c>
    </row>
    <row r="1528" spans="97:117" ht="16.5" x14ac:dyDescent="0.2">
      <c r="CS1528" s="13">
        <v>1524</v>
      </c>
      <c r="CT1528" s="13">
        <f t="shared" si="1141"/>
        <v>30</v>
      </c>
      <c r="CU1528" s="13">
        <f t="shared" si="1142"/>
        <v>16</v>
      </c>
      <c r="CV1528" s="14">
        <f t="shared" si="1139"/>
        <v>3</v>
      </c>
      <c r="CW1528" s="14">
        <f t="shared" si="1140"/>
        <v>1102998</v>
      </c>
      <c r="CX1528" s="14" t="str">
        <f>INDEX($O$6:$O$50,CT1528)&amp;"-"&amp;INDEX(属性投放!$AB$7:$AB$50,CZ1528)&amp;"-魂火-"&amp;DB1528</f>
        <v>SR守护灵-叫唤+2-魂火-1</v>
      </c>
      <c r="CY1528" s="25" t="s">
        <v>142</v>
      </c>
      <c r="CZ1528" s="14">
        <f>INDEX(属性投放!$AM$7:$AM$58,CU1528)</f>
        <v>9</v>
      </c>
      <c r="DA1528" s="14" t="s">
        <v>537</v>
      </c>
      <c r="DB1528" s="14">
        <f>INDEX(属性投放!$AN$7:$AN$58,CU1528)</f>
        <v>1</v>
      </c>
      <c r="DC1528" s="14">
        <f t="shared" si="1143"/>
        <v>16</v>
      </c>
      <c r="DD1528" s="14">
        <f>INDEX(属性投放!$AO$7:$AO$58,DC1528)</f>
        <v>58</v>
      </c>
      <c r="DE1528" s="14" t="s">
        <v>242</v>
      </c>
      <c r="DF1528" s="14">
        <f>INDEX(属性投放!$BK$6:$BK$85,(CV1528-2)*20+CZ1528)</f>
        <v>100</v>
      </c>
      <c r="DG1528" s="14">
        <f>SUMIFS(DF$5:DF1528,$CT$5:$CT1528,"="&amp;$CT1528)</f>
        <v>810</v>
      </c>
      <c r="DH1528" s="14" t="s">
        <v>116</v>
      </c>
      <c r="DI1528" s="14">
        <f>INDEX(属性投放!$BL$6:$BL$85,(CV1528-2)*20+CZ1528)</f>
        <v>50</v>
      </c>
      <c r="DJ1528" s="14">
        <f>SUMIFS(DI$5:DI1528,$CT$5:$CT1528,"="&amp;$CT1528)</f>
        <v>408</v>
      </c>
      <c r="DK1528" s="14" t="s">
        <v>25</v>
      </c>
      <c r="DL1528" s="14">
        <f>INDEX(属性投放!$BM$6:$BM$85,(CV1528-2)*20+CZ1528)</f>
        <v>800</v>
      </c>
      <c r="DM1528" s="14">
        <f>SUMIFS(DL$5:DL1528,$CT$5:$CT1528,"="&amp;$CT1528)</f>
        <v>5950</v>
      </c>
    </row>
    <row r="1529" spans="97:117" ht="16.5" x14ac:dyDescent="0.2">
      <c r="CS1529" s="13">
        <v>1525</v>
      </c>
      <c r="CT1529" s="13">
        <f t="shared" si="1141"/>
        <v>30</v>
      </c>
      <c r="CU1529" s="13">
        <f t="shared" si="1142"/>
        <v>17</v>
      </c>
      <c r="CV1529" s="14">
        <f t="shared" si="1139"/>
        <v>3</v>
      </c>
      <c r="CW1529" s="14">
        <f t="shared" si="1140"/>
        <v>1102998</v>
      </c>
      <c r="CX1529" s="14" t="str">
        <f>INDEX($O$6:$O$50,CT1529)&amp;"-"&amp;INDEX(属性投放!$AB$7:$AB$50,CZ1529)&amp;"-魂火-"&amp;DB1529</f>
        <v>SR守护灵-叫唤+2-魂火-2</v>
      </c>
      <c r="CY1529" s="25" t="s">
        <v>142</v>
      </c>
      <c r="CZ1529" s="14">
        <f>INDEX(属性投放!$AM$7:$AM$58,CU1529)</f>
        <v>9</v>
      </c>
      <c r="DA1529" s="14" t="s">
        <v>537</v>
      </c>
      <c r="DB1529" s="14">
        <f>INDEX(属性投放!$AN$7:$AN$58,CU1529)</f>
        <v>2</v>
      </c>
      <c r="DC1529" s="14">
        <f t="shared" si="1143"/>
        <v>17</v>
      </c>
      <c r="DD1529" s="14">
        <f>INDEX(属性投放!$AO$7:$AO$58,DC1529)</f>
        <v>60</v>
      </c>
      <c r="DE1529" s="14" t="s">
        <v>242</v>
      </c>
      <c r="DF1529" s="14">
        <f>INDEX(属性投放!$BK$6:$BK$85,(CV1529-2)*20+CZ1529)</f>
        <v>100</v>
      </c>
      <c r="DG1529" s="14">
        <f>SUMIFS(DF$5:DF1529,$CT$5:$CT1529,"="&amp;$CT1529)</f>
        <v>910</v>
      </c>
      <c r="DH1529" s="14" t="s">
        <v>116</v>
      </c>
      <c r="DI1529" s="14">
        <f>INDEX(属性投放!$BL$6:$BL$85,(CV1529-2)*20+CZ1529)</f>
        <v>50</v>
      </c>
      <c r="DJ1529" s="14">
        <f>SUMIFS(DI$5:DI1529,$CT$5:$CT1529,"="&amp;$CT1529)</f>
        <v>458</v>
      </c>
      <c r="DK1529" s="14" t="s">
        <v>25</v>
      </c>
      <c r="DL1529" s="14">
        <f>INDEX(属性投放!$BM$6:$BM$85,(CV1529-2)*20+CZ1529)</f>
        <v>800</v>
      </c>
      <c r="DM1529" s="14">
        <f>SUMIFS(DL$5:DL1529,$CT$5:$CT1529,"="&amp;$CT1529)</f>
        <v>6750</v>
      </c>
    </row>
    <row r="1530" spans="97:117" ht="16.5" x14ac:dyDescent="0.2">
      <c r="CS1530" s="13">
        <v>1526</v>
      </c>
      <c r="CT1530" s="13">
        <f t="shared" si="1141"/>
        <v>30</v>
      </c>
      <c r="CU1530" s="13">
        <f t="shared" si="1142"/>
        <v>18</v>
      </c>
      <c r="CV1530" s="14">
        <f t="shared" si="1139"/>
        <v>3</v>
      </c>
      <c r="CW1530" s="14">
        <f t="shared" si="1140"/>
        <v>1102998</v>
      </c>
      <c r="CX1530" s="14" t="str">
        <f>INDEX($O$6:$O$50,CT1530)&amp;"-"&amp;INDEX(属性投放!$AB$7:$AB$50,CZ1530)&amp;"-魂火-"&amp;DB1530</f>
        <v>SR守护灵-叫唤+2-魂火-3</v>
      </c>
      <c r="CY1530" s="25" t="s">
        <v>142</v>
      </c>
      <c r="CZ1530" s="14">
        <f>INDEX(属性投放!$AM$7:$AM$58,CU1530)</f>
        <v>9</v>
      </c>
      <c r="DA1530" s="14" t="s">
        <v>537</v>
      </c>
      <c r="DB1530" s="14">
        <f>INDEX(属性投放!$AN$7:$AN$58,CU1530)</f>
        <v>3</v>
      </c>
      <c r="DC1530" s="14">
        <f t="shared" si="1143"/>
        <v>18</v>
      </c>
      <c r="DD1530" s="14">
        <f>INDEX(属性投放!$AO$7:$AO$58,DC1530)</f>
        <v>63</v>
      </c>
      <c r="DE1530" s="14" t="s">
        <v>242</v>
      </c>
      <c r="DF1530" s="14">
        <f>INDEX(属性投放!$BK$6:$BK$85,(CV1530-2)*20+CZ1530)</f>
        <v>100</v>
      </c>
      <c r="DG1530" s="14">
        <f>SUMIFS(DF$5:DF1530,$CT$5:$CT1530,"="&amp;$CT1530)</f>
        <v>1010</v>
      </c>
      <c r="DH1530" s="14" t="s">
        <v>116</v>
      </c>
      <c r="DI1530" s="14">
        <f>INDEX(属性投放!$BL$6:$BL$85,(CV1530-2)*20+CZ1530)</f>
        <v>50</v>
      </c>
      <c r="DJ1530" s="14">
        <f>SUMIFS(DI$5:DI1530,$CT$5:$CT1530,"="&amp;$CT1530)</f>
        <v>508</v>
      </c>
      <c r="DK1530" s="14" t="s">
        <v>25</v>
      </c>
      <c r="DL1530" s="14">
        <f>INDEX(属性投放!$BM$6:$BM$85,(CV1530-2)*20+CZ1530)</f>
        <v>800</v>
      </c>
      <c r="DM1530" s="14">
        <f>SUMIFS(DL$5:DL1530,$CT$5:$CT1530,"="&amp;$CT1530)</f>
        <v>7550</v>
      </c>
    </row>
    <row r="1531" spans="97:117" ht="16.5" x14ac:dyDescent="0.2">
      <c r="CS1531" s="13">
        <v>1527</v>
      </c>
      <c r="CT1531" s="13">
        <f t="shared" si="1141"/>
        <v>30</v>
      </c>
      <c r="CU1531" s="13">
        <f t="shared" si="1142"/>
        <v>19</v>
      </c>
      <c r="CV1531" s="14">
        <f t="shared" si="1139"/>
        <v>3</v>
      </c>
      <c r="CW1531" s="14">
        <f t="shared" si="1140"/>
        <v>1102998</v>
      </c>
      <c r="CX1531" s="14" t="str">
        <f>INDEX($O$6:$O$50,CT1531)&amp;"-"&amp;INDEX(属性投放!$AB$7:$AB$50,CZ1531)&amp;"-魂火-"&amp;DB1531</f>
        <v>SR守护灵-大叫唤-魂火-1</v>
      </c>
      <c r="CY1531" s="25" t="s">
        <v>142</v>
      </c>
      <c r="CZ1531" s="14">
        <f>INDEX(属性投放!$AM$7:$AM$58,CU1531)</f>
        <v>10</v>
      </c>
      <c r="DA1531" s="14" t="s">
        <v>537</v>
      </c>
      <c r="DB1531" s="14">
        <f>INDEX(属性投放!$AN$7:$AN$58,CU1531)</f>
        <v>1</v>
      </c>
      <c r="DC1531" s="14">
        <f t="shared" si="1143"/>
        <v>19</v>
      </c>
      <c r="DD1531" s="14">
        <f>INDEX(属性投放!$AO$7:$AO$58,DC1531)</f>
        <v>65</v>
      </c>
      <c r="DE1531" s="14" t="s">
        <v>242</v>
      </c>
      <c r="DF1531" s="14">
        <f>INDEX(属性投放!$BK$6:$BK$85,(CV1531-2)*20+CZ1531)</f>
        <v>120</v>
      </c>
      <c r="DG1531" s="14">
        <f>SUMIFS(DF$5:DF1531,$CT$5:$CT1531,"="&amp;$CT1531)</f>
        <v>1130</v>
      </c>
      <c r="DH1531" s="14" t="s">
        <v>116</v>
      </c>
      <c r="DI1531" s="14">
        <f>INDEX(属性投放!$BL$6:$BL$85,(CV1531-2)*20+CZ1531)</f>
        <v>60</v>
      </c>
      <c r="DJ1531" s="14">
        <f>SUMIFS(DI$5:DI1531,$CT$5:$CT1531,"="&amp;$CT1531)</f>
        <v>568</v>
      </c>
      <c r="DK1531" s="14" t="s">
        <v>25</v>
      </c>
      <c r="DL1531" s="14">
        <f>INDEX(属性投放!$BM$6:$BM$85,(CV1531-2)*20+CZ1531)</f>
        <v>1080</v>
      </c>
      <c r="DM1531" s="14">
        <f>SUMIFS(DL$5:DL1531,$CT$5:$CT1531,"="&amp;$CT1531)</f>
        <v>8630</v>
      </c>
    </row>
    <row r="1532" spans="97:117" ht="16.5" x14ac:dyDescent="0.2">
      <c r="CS1532" s="13">
        <v>1528</v>
      </c>
      <c r="CT1532" s="13">
        <f t="shared" si="1141"/>
        <v>30</v>
      </c>
      <c r="CU1532" s="13">
        <f t="shared" si="1142"/>
        <v>20</v>
      </c>
      <c r="CV1532" s="14">
        <f t="shared" si="1139"/>
        <v>3</v>
      </c>
      <c r="CW1532" s="14">
        <f t="shared" si="1140"/>
        <v>1102998</v>
      </c>
      <c r="CX1532" s="14" t="str">
        <f>INDEX($O$6:$O$50,CT1532)&amp;"-"&amp;INDEX(属性投放!$AB$7:$AB$50,CZ1532)&amp;"-魂火-"&amp;DB1532</f>
        <v>SR守护灵-大叫唤-魂火-2</v>
      </c>
      <c r="CY1532" s="25" t="s">
        <v>142</v>
      </c>
      <c r="CZ1532" s="14">
        <f>INDEX(属性投放!$AM$7:$AM$58,CU1532)</f>
        <v>10</v>
      </c>
      <c r="DA1532" s="14" t="s">
        <v>537</v>
      </c>
      <c r="DB1532" s="14">
        <f>INDEX(属性投放!$AN$7:$AN$58,CU1532)</f>
        <v>2</v>
      </c>
      <c r="DC1532" s="14">
        <f t="shared" si="1143"/>
        <v>20</v>
      </c>
      <c r="DD1532" s="14">
        <f>INDEX(属性投放!$AO$7:$AO$58,DC1532)</f>
        <v>68</v>
      </c>
      <c r="DE1532" s="14" t="s">
        <v>242</v>
      </c>
      <c r="DF1532" s="14">
        <f>INDEX(属性投放!$BK$6:$BK$85,(CV1532-2)*20+CZ1532)</f>
        <v>120</v>
      </c>
      <c r="DG1532" s="14">
        <f>SUMIFS(DF$5:DF1532,$CT$5:$CT1532,"="&amp;$CT1532)</f>
        <v>1250</v>
      </c>
      <c r="DH1532" s="14" t="s">
        <v>116</v>
      </c>
      <c r="DI1532" s="14">
        <f>INDEX(属性投放!$BL$6:$BL$85,(CV1532-2)*20+CZ1532)</f>
        <v>60</v>
      </c>
      <c r="DJ1532" s="14">
        <f>SUMIFS(DI$5:DI1532,$CT$5:$CT1532,"="&amp;$CT1532)</f>
        <v>628</v>
      </c>
      <c r="DK1532" s="14" t="s">
        <v>25</v>
      </c>
      <c r="DL1532" s="14">
        <f>INDEX(属性投放!$BM$6:$BM$85,(CV1532-2)*20+CZ1532)</f>
        <v>1080</v>
      </c>
      <c r="DM1532" s="14">
        <f>SUMIFS(DL$5:DL1532,$CT$5:$CT1532,"="&amp;$CT1532)</f>
        <v>9710</v>
      </c>
    </row>
    <row r="1533" spans="97:117" ht="16.5" x14ac:dyDescent="0.2">
      <c r="CS1533" s="13">
        <v>1529</v>
      </c>
      <c r="CT1533" s="13">
        <f t="shared" si="1141"/>
        <v>30</v>
      </c>
      <c r="CU1533" s="13">
        <f t="shared" si="1142"/>
        <v>21</v>
      </c>
      <c r="CV1533" s="14">
        <f t="shared" si="1139"/>
        <v>3</v>
      </c>
      <c r="CW1533" s="14">
        <f t="shared" si="1140"/>
        <v>1102998</v>
      </c>
      <c r="CX1533" s="14" t="str">
        <f>INDEX($O$6:$O$50,CT1533)&amp;"-"&amp;INDEX(属性投放!$AB$7:$AB$50,CZ1533)&amp;"-魂火-"&amp;DB1533</f>
        <v>SR守护灵-大叫唤-魂火-3</v>
      </c>
      <c r="CY1533" s="25" t="s">
        <v>142</v>
      </c>
      <c r="CZ1533" s="14">
        <f>INDEX(属性投放!$AM$7:$AM$58,CU1533)</f>
        <v>10</v>
      </c>
      <c r="DA1533" s="14" t="s">
        <v>537</v>
      </c>
      <c r="DB1533" s="14">
        <f>INDEX(属性投放!$AN$7:$AN$58,CU1533)</f>
        <v>3</v>
      </c>
      <c r="DC1533" s="14">
        <f t="shared" si="1143"/>
        <v>21</v>
      </c>
      <c r="DD1533" s="14">
        <f>INDEX(属性投放!$AO$7:$AO$58,DC1533)</f>
        <v>70</v>
      </c>
      <c r="DE1533" s="14" t="s">
        <v>242</v>
      </c>
      <c r="DF1533" s="14">
        <f>INDEX(属性投放!$BK$6:$BK$85,(CV1533-2)*20+CZ1533)</f>
        <v>120</v>
      </c>
      <c r="DG1533" s="14">
        <f>SUMIFS(DF$5:DF1533,$CT$5:$CT1533,"="&amp;$CT1533)</f>
        <v>1370</v>
      </c>
      <c r="DH1533" s="14" t="s">
        <v>116</v>
      </c>
      <c r="DI1533" s="14">
        <f>INDEX(属性投放!$BL$6:$BL$85,(CV1533-2)*20+CZ1533)</f>
        <v>60</v>
      </c>
      <c r="DJ1533" s="14">
        <f>SUMIFS(DI$5:DI1533,$CT$5:$CT1533,"="&amp;$CT1533)</f>
        <v>688</v>
      </c>
      <c r="DK1533" s="14" t="s">
        <v>25</v>
      </c>
      <c r="DL1533" s="14">
        <f>INDEX(属性投放!$BM$6:$BM$85,(CV1533-2)*20+CZ1533)</f>
        <v>1080</v>
      </c>
      <c r="DM1533" s="14">
        <f>SUMIFS(DL$5:DL1533,$CT$5:$CT1533,"="&amp;$CT1533)</f>
        <v>10790</v>
      </c>
    </row>
    <row r="1534" spans="97:117" ht="16.5" x14ac:dyDescent="0.2">
      <c r="CS1534" s="13">
        <v>1530</v>
      </c>
      <c r="CT1534" s="13">
        <f t="shared" si="1141"/>
        <v>30</v>
      </c>
      <c r="CU1534" s="13">
        <f t="shared" si="1142"/>
        <v>22</v>
      </c>
      <c r="CV1534" s="14">
        <f t="shared" si="1139"/>
        <v>3</v>
      </c>
      <c r="CW1534" s="14">
        <f t="shared" si="1140"/>
        <v>1102998</v>
      </c>
      <c r="CX1534" s="14" t="str">
        <f>INDEX($O$6:$O$50,CT1534)&amp;"-"&amp;INDEX(属性投放!$AB$7:$AB$50,CZ1534)&amp;"-魂火-"&amp;DB1534</f>
        <v>SR守护灵-大叫唤+1-魂火-1</v>
      </c>
      <c r="CY1534" s="25" t="s">
        <v>142</v>
      </c>
      <c r="CZ1534" s="14">
        <f>INDEX(属性投放!$AM$7:$AM$58,CU1534)</f>
        <v>11</v>
      </c>
      <c r="DA1534" s="14" t="s">
        <v>537</v>
      </c>
      <c r="DB1534" s="14">
        <f>INDEX(属性投放!$AN$7:$AN$58,CU1534)</f>
        <v>1</v>
      </c>
      <c r="DC1534" s="14">
        <f t="shared" si="1143"/>
        <v>22</v>
      </c>
      <c r="DD1534" s="14">
        <f>INDEX(属性投放!$AO$7:$AO$58,DC1534)</f>
        <v>73</v>
      </c>
      <c r="DE1534" s="14" t="s">
        <v>242</v>
      </c>
      <c r="DF1534" s="14">
        <f>INDEX(属性投放!$BK$6:$BK$85,(CV1534-2)*20+CZ1534)</f>
        <v>150</v>
      </c>
      <c r="DG1534" s="14">
        <f>SUMIFS(DF$5:DF1534,$CT$5:$CT1534,"="&amp;$CT1534)</f>
        <v>1520</v>
      </c>
      <c r="DH1534" s="14" t="s">
        <v>116</v>
      </c>
      <c r="DI1534" s="14">
        <f>INDEX(属性投放!$BL$6:$BL$85,(CV1534-2)*20+CZ1534)</f>
        <v>75</v>
      </c>
      <c r="DJ1534" s="14">
        <f>SUMIFS(DI$5:DI1534,$CT$5:$CT1534,"="&amp;$CT1534)</f>
        <v>763</v>
      </c>
      <c r="DK1534" s="14" t="s">
        <v>25</v>
      </c>
      <c r="DL1534" s="14">
        <f>INDEX(属性投放!$BM$6:$BM$85,(CV1534-2)*20+CZ1534)</f>
        <v>1350</v>
      </c>
      <c r="DM1534" s="14">
        <f>SUMIFS(DL$5:DL1534,$CT$5:$CT1534,"="&amp;$CT1534)</f>
        <v>12140</v>
      </c>
    </row>
    <row r="1535" spans="97:117" ht="16.5" x14ac:dyDescent="0.2">
      <c r="CS1535" s="13">
        <v>1531</v>
      </c>
      <c r="CT1535" s="13">
        <f t="shared" si="1141"/>
        <v>30</v>
      </c>
      <c r="CU1535" s="13">
        <f t="shared" si="1142"/>
        <v>23</v>
      </c>
      <c r="CV1535" s="14">
        <f t="shared" si="1139"/>
        <v>3</v>
      </c>
      <c r="CW1535" s="14">
        <f t="shared" si="1140"/>
        <v>1102998</v>
      </c>
      <c r="CX1535" s="14" t="str">
        <f>INDEX($O$6:$O$50,CT1535)&amp;"-"&amp;INDEX(属性投放!$AB$7:$AB$50,CZ1535)&amp;"-魂火-"&amp;DB1535</f>
        <v>SR守护灵-大叫唤+1-魂火-2</v>
      </c>
      <c r="CY1535" s="25" t="s">
        <v>142</v>
      </c>
      <c r="CZ1535" s="14">
        <f>INDEX(属性投放!$AM$7:$AM$58,CU1535)</f>
        <v>11</v>
      </c>
      <c r="DA1535" s="14" t="s">
        <v>537</v>
      </c>
      <c r="DB1535" s="14">
        <f>INDEX(属性投放!$AN$7:$AN$58,CU1535)</f>
        <v>2</v>
      </c>
      <c r="DC1535" s="14">
        <f t="shared" si="1143"/>
        <v>23</v>
      </c>
      <c r="DD1535" s="14">
        <f>INDEX(属性投放!$AO$7:$AO$58,DC1535)</f>
        <v>75</v>
      </c>
      <c r="DE1535" s="14" t="s">
        <v>242</v>
      </c>
      <c r="DF1535" s="14">
        <f>INDEX(属性投放!$BK$6:$BK$85,(CV1535-2)*20+CZ1535)</f>
        <v>150</v>
      </c>
      <c r="DG1535" s="14">
        <f>SUMIFS(DF$5:DF1535,$CT$5:$CT1535,"="&amp;$CT1535)</f>
        <v>1670</v>
      </c>
      <c r="DH1535" s="14" t="s">
        <v>116</v>
      </c>
      <c r="DI1535" s="14">
        <f>INDEX(属性投放!$BL$6:$BL$85,(CV1535-2)*20+CZ1535)</f>
        <v>75</v>
      </c>
      <c r="DJ1535" s="14">
        <f>SUMIFS(DI$5:DI1535,$CT$5:$CT1535,"="&amp;$CT1535)</f>
        <v>838</v>
      </c>
      <c r="DK1535" s="14" t="s">
        <v>25</v>
      </c>
      <c r="DL1535" s="14">
        <f>INDEX(属性投放!$BM$6:$BM$85,(CV1535-2)*20+CZ1535)</f>
        <v>1350</v>
      </c>
      <c r="DM1535" s="14">
        <f>SUMIFS(DL$5:DL1535,$CT$5:$CT1535,"="&amp;$CT1535)</f>
        <v>13490</v>
      </c>
    </row>
    <row r="1536" spans="97:117" ht="16.5" x14ac:dyDescent="0.2">
      <c r="CS1536" s="13">
        <v>1532</v>
      </c>
      <c r="CT1536" s="13">
        <f t="shared" si="1141"/>
        <v>30</v>
      </c>
      <c r="CU1536" s="13">
        <f t="shared" si="1142"/>
        <v>24</v>
      </c>
      <c r="CV1536" s="14">
        <f t="shared" si="1139"/>
        <v>3</v>
      </c>
      <c r="CW1536" s="14">
        <f t="shared" si="1140"/>
        <v>1102998</v>
      </c>
      <c r="CX1536" s="14" t="str">
        <f>INDEX($O$6:$O$50,CT1536)&amp;"-"&amp;INDEX(属性投放!$AB$7:$AB$50,CZ1536)&amp;"-魂火-"&amp;DB1536</f>
        <v>SR守护灵-大叫唤+1-魂火-3</v>
      </c>
      <c r="CY1536" s="25" t="s">
        <v>142</v>
      </c>
      <c r="CZ1536" s="14">
        <f>INDEX(属性投放!$AM$7:$AM$58,CU1536)</f>
        <v>11</v>
      </c>
      <c r="DA1536" s="14" t="s">
        <v>537</v>
      </c>
      <c r="DB1536" s="14">
        <f>INDEX(属性投放!$AN$7:$AN$58,CU1536)</f>
        <v>3</v>
      </c>
      <c r="DC1536" s="14">
        <f t="shared" si="1143"/>
        <v>24</v>
      </c>
      <c r="DD1536" s="14">
        <f>INDEX(属性投放!$AO$7:$AO$58,DC1536)</f>
        <v>78</v>
      </c>
      <c r="DE1536" s="14" t="s">
        <v>242</v>
      </c>
      <c r="DF1536" s="14">
        <f>INDEX(属性投放!$BK$6:$BK$85,(CV1536-2)*20+CZ1536)</f>
        <v>150</v>
      </c>
      <c r="DG1536" s="14">
        <f>SUMIFS(DF$5:DF1536,$CT$5:$CT1536,"="&amp;$CT1536)</f>
        <v>1820</v>
      </c>
      <c r="DH1536" s="14" t="s">
        <v>116</v>
      </c>
      <c r="DI1536" s="14">
        <f>INDEX(属性投放!$BL$6:$BL$85,(CV1536-2)*20+CZ1536)</f>
        <v>75</v>
      </c>
      <c r="DJ1536" s="14">
        <f>SUMIFS(DI$5:DI1536,$CT$5:$CT1536,"="&amp;$CT1536)</f>
        <v>913</v>
      </c>
      <c r="DK1536" s="14" t="s">
        <v>25</v>
      </c>
      <c r="DL1536" s="14">
        <f>INDEX(属性投放!$BM$6:$BM$85,(CV1536-2)*20+CZ1536)</f>
        <v>1350</v>
      </c>
      <c r="DM1536" s="14">
        <f>SUMIFS(DL$5:DL1536,$CT$5:$CT1536,"="&amp;$CT1536)</f>
        <v>14840</v>
      </c>
    </row>
    <row r="1537" spans="97:117" ht="16.5" x14ac:dyDescent="0.2">
      <c r="CS1537" s="13">
        <v>1533</v>
      </c>
      <c r="CT1537" s="13">
        <f t="shared" si="1141"/>
        <v>30</v>
      </c>
      <c r="CU1537" s="13">
        <f t="shared" si="1142"/>
        <v>25</v>
      </c>
      <c r="CV1537" s="14">
        <f t="shared" si="1139"/>
        <v>3</v>
      </c>
      <c r="CW1537" s="14">
        <f t="shared" si="1140"/>
        <v>1102998</v>
      </c>
      <c r="CX1537" s="14" t="str">
        <f>INDEX($O$6:$O$50,CT1537)&amp;"-"&amp;INDEX(属性投放!$AB$7:$AB$50,CZ1537)&amp;"-魂火-"&amp;DB1537</f>
        <v>SR守护灵-大叫唤+2-魂火-1</v>
      </c>
      <c r="CY1537" s="25" t="s">
        <v>142</v>
      </c>
      <c r="CZ1537" s="14">
        <f>INDEX(属性投放!$AM$7:$AM$58,CU1537)</f>
        <v>12</v>
      </c>
      <c r="DA1537" s="14" t="s">
        <v>537</v>
      </c>
      <c r="DB1537" s="14">
        <f>INDEX(属性投放!$AN$7:$AN$58,CU1537)</f>
        <v>1</v>
      </c>
      <c r="DC1537" s="14">
        <f t="shared" si="1143"/>
        <v>25</v>
      </c>
      <c r="DD1537" s="14">
        <f>INDEX(属性投放!$AO$7:$AO$58,DC1537)</f>
        <v>80</v>
      </c>
      <c r="DE1537" s="14" t="s">
        <v>242</v>
      </c>
      <c r="DF1537" s="14">
        <f>INDEX(属性投放!$BK$6:$BK$85,(CV1537-2)*20+CZ1537)</f>
        <v>200</v>
      </c>
      <c r="DG1537" s="14">
        <f>SUMIFS(DF$5:DF1537,$CT$5:$CT1537,"="&amp;$CT1537)</f>
        <v>2020</v>
      </c>
      <c r="DH1537" s="14" t="s">
        <v>116</v>
      </c>
      <c r="DI1537" s="14">
        <f>INDEX(属性投放!$BL$6:$BL$85,(CV1537-2)*20+CZ1537)</f>
        <v>100</v>
      </c>
      <c r="DJ1537" s="14">
        <f>SUMIFS(DI$5:DI1537,$CT$5:$CT1537,"="&amp;$CT1537)</f>
        <v>1013</v>
      </c>
      <c r="DK1537" s="14" t="s">
        <v>25</v>
      </c>
      <c r="DL1537" s="14">
        <f>INDEX(属性投放!$BM$6:$BM$85,(CV1537-2)*20+CZ1537)</f>
        <v>1800</v>
      </c>
      <c r="DM1537" s="14">
        <f>SUMIFS(DL$5:DL1537,$CT$5:$CT1537,"="&amp;$CT1537)</f>
        <v>16640</v>
      </c>
    </row>
    <row r="1538" spans="97:117" ht="16.5" x14ac:dyDescent="0.2">
      <c r="CS1538" s="13">
        <v>1534</v>
      </c>
      <c r="CT1538" s="13">
        <f t="shared" si="1141"/>
        <v>30</v>
      </c>
      <c r="CU1538" s="13">
        <f t="shared" si="1142"/>
        <v>26</v>
      </c>
      <c r="CV1538" s="14">
        <f t="shared" si="1139"/>
        <v>3</v>
      </c>
      <c r="CW1538" s="14">
        <f t="shared" si="1140"/>
        <v>1102998</v>
      </c>
      <c r="CX1538" s="14" t="str">
        <f>INDEX($O$6:$O$50,CT1538)&amp;"-"&amp;INDEX(属性投放!$AB$7:$AB$50,CZ1538)&amp;"-魂火-"&amp;DB1538</f>
        <v>SR守护灵-大叫唤+2-魂火-2</v>
      </c>
      <c r="CY1538" s="25" t="s">
        <v>142</v>
      </c>
      <c r="CZ1538" s="14">
        <f>INDEX(属性投放!$AM$7:$AM$58,CU1538)</f>
        <v>12</v>
      </c>
      <c r="DA1538" s="14" t="s">
        <v>537</v>
      </c>
      <c r="DB1538" s="14">
        <f>INDEX(属性投放!$AN$7:$AN$58,CU1538)</f>
        <v>2</v>
      </c>
      <c r="DC1538" s="14">
        <f t="shared" si="1143"/>
        <v>26</v>
      </c>
      <c r="DD1538" s="14">
        <f>INDEX(属性投放!$AO$7:$AO$58,DC1538)</f>
        <v>83</v>
      </c>
      <c r="DE1538" s="14" t="s">
        <v>242</v>
      </c>
      <c r="DF1538" s="14">
        <f>INDEX(属性投放!$BK$6:$BK$85,(CV1538-2)*20+CZ1538)</f>
        <v>200</v>
      </c>
      <c r="DG1538" s="14">
        <f>SUMIFS(DF$5:DF1538,$CT$5:$CT1538,"="&amp;$CT1538)</f>
        <v>2220</v>
      </c>
      <c r="DH1538" s="14" t="s">
        <v>116</v>
      </c>
      <c r="DI1538" s="14">
        <f>INDEX(属性投放!$BL$6:$BL$85,(CV1538-2)*20+CZ1538)</f>
        <v>100</v>
      </c>
      <c r="DJ1538" s="14">
        <f>SUMIFS(DI$5:DI1538,$CT$5:$CT1538,"="&amp;$CT1538)</f>
        <v>1113</v>
      </c>
      <c r="DK1538" s="14" t="s">
        <v>25</v>
      </c>
      <c r="DL1538" s="14">
        <f>INDEX(属性投放!$BM$6:$BM$85,(CV1538-2)*20+CZ1538)</f>
        <v>1800</v>
      </c>
      <c r="DM1538" s="14">
        <f>SUMIFS(DL$5:DL1538,$CT$5:$CT1538,"="&amp;$CT1538)</f>
        <v>18440</v>
      </c>
    </row>
    <row r="1539" spans="97:117" ht="16.5" x14ac:dyDescent="0.2">
      <c r="CS1539" s="13">
        <v>1535</v>
      </c>
      <c r="CT1539" s="13">
        <f t="shared" si="1141"/>
        <v>30</v>
      </c>
      <c r="CU1539" s="13">
        <f t="shared" si="1142"/>
        <v>27</v>
      </c>
      <c r="CV1539" s="14">
        <f t="shared" si="1139"/>
        <v>3</v>
      </c>
      <c r="CW1539" s="14">
        <f t="shared" si="1140"/>
        <v>1102998</v>
      </c>
      <c r="CX1539" s="14" t="str">
        <f>INDEX($O$6:$O$50,CT1539)&amp;"-"&amp;INDEX(属性投放!$AB$7:$AB$50,CZ1539)&amp;"-魂火-"&amp;DB1539</f>
        <v>SR守护灵-大叫唤+2-魂火-3</v>
      </c>
      <c r="CY1539" s="25" t="s">
        <v>142</v>
      </c>
      <c r="CZ1539" s="14">
        <f>INDEX(属性投放!$AM$7:$AM$58,CU1539)</f>
        <v>12</v>
      </c>
      <c r="DA1539" s="14" t="s">
        <v>537</v>
      </c>
      <c r="DB1539" s="14">
        <f>INDEX(属性投放!$AN$7:$AN$58,CU1539)</f>
        <v>3</v>
      </c>
      <c r="DC1539" s="14">
        <f t="shared" si="1143"/>
        <v>27</v>
      </c>
      <c r="DD1539" s="14">
        <f>INDEX(属性投放!$AO$7:$AO$58,DC1539)</f>
        <v>85</v>
      </c>
      <c r="DE1539" s="14" t="s">
        <v>242</v>
      </c>
      <c r="DF1539" s="14">
        <f>INDEX(属性投放!$BK$6:$BK$85,(CV1539-2)*20+CZ1539)</f>
        <v>200</v>
      </c>
      <c r="DG1539" s="14">
        <f>SUMIFS(DF$5:DF1539,$CT$5:$CT1539,"="&amp;$CT1539)</f>
        <v>2420</v>
      </c>
      <c r="DH1539" s="14" t="s">
        <v>116</v>
      </c>
      <c r="DI1539" s="14">
        <f>INDEX(属性投放!$BL$6:$BL$85,(CV1539-2)*20+CZ1539)</f>
        <v>100</v>
      </c>
      <c r="DJ1539" s="14">
        <f>SUMIFS(DI$5:DI1539,$CT$5:$CT1539,"="&amp;$CT1539)</f>
        <v>1213</v>
      </c>
      <c r="DK1539" s="14" t="s">
        <v>25</v>
      </c>
      <c r="DL1539" s="14">
        <f>INDEX(属性投放!$BM$6:$BM$85,(CV1539-2)*20+CZ1539)</f>
        <v>1800</v>
      </c>
      <c r="DM1539" s="14">
        <f>SUMIFS(DL$5:DL1539,$CT$5:$CT1539,"="&amp;$CT1539)</f>
        <v>20240</v>
      </c>
    </row>
    <row r="1540" spans="97:117" ht="16.5" x14ac:dyDescent="0.2">
      <c r="CS1540" s="13">
        <v>1536</v>
      </c>
      <c r="CT1540" s="13">
        <f t="shared" si="1141"/>
        <v>30</v>
      </c>
      <c r="CU1540" s="13">
        <f t="shared" si="1142"/>
        <v>28</v>
      </c>
      <c r="CV1540" s="14">
        <f t="shared" si="1139"/>
        <v>3</v>
      </c>
      <c r="CW1540" s="14">
        <f t="shared" si="1140"/>
        <v>1102998</v>
      </c>
      <c r="CX1540" s="14" t="str">
        <f>INDEX($O$6:$O$50,CT1540)&amp;"-"&amp;INDEX(属性投放!$AB$7:$AB$50,CZ1540)&amp;"-魂火-"&amp;DB1540</f>
        <v>SR守护灵-焦热-魂火-1</v>
      </c>
      <c r="CY1540" s="25" t="s">
        <v>142</v>
      </c>
      <c r="CZ1540" s="14">
        <f>INDEX(属性投放!$AM$7:$AM$58,CU1540)</f>
        <v>13</v>
      </c>
      <c r="DA1540" s="14" t="s">
        <v>537</v>
      </c>
      <c r="DB1540" s="14">
        <f>INDEX(属性投放!$AN$7:$AN$58,CU1540)</f>
        <v>1</v>
      </c>
      <c r="DC1540" s="14">
        <f t="shared" si="1143"/>
        <v>28</v>
      </c>
      <c r="DD1540" s="14">
        <f>INDEX(属性投放!$AO$7:$AO$58,DC1540)</f>
        <v>88</v>
      </c>
      <c r="DE1540" s="14" t="s">
        <v>242</v>
      </c>
      <c r="DF1540" s="14">
        <f>INDEX(属性投放!$BK$6:$BK$85,(CV1540-2)*20+CZ1540)</f>
        <v>250</v>
      </c>
      <c r="DG1540" s="14">
        <f>SUMIFS(DF$5:DF1540,$CT$5:$CT1540,"="&amp;$CT1540)</f>
        <v>2670</v>
      </c>
      <c r="DH1540" s="14" t="s">
        <v>116</v>
      </c>
      <c r="DI1540" s="14">
        <f>INDEX(属性投放!$BL$6:$BL$85,(CV1540-2)*20+CZ1540)</f>
        <v>125</v>
      </c>
      <c r="DJ1540" s="14">
        <f>SUMIFS(DI$5:DI1540,$CT$5:$CT1540,"="&amp;$CT1540)</f>
        <v>1338</v>
      </c>
      <c r="DK1540" s="14" t="s">
        <v>25</v>
      </c>
      <c r="DL1540" s="14">
        <f>INDEX(属性投放!$BM$6:$BM$85,(CV1540-2)*20+CZ1540)</f>
        <v>2500</v>
      </c>
      <c r="DM1540" s="14">
        <f>SUMIFS(DL$5:DL1540,$CT$5:$CT1540,"="&amp;$CT1540)</f>
        <v>22740</v>
      </c>
    </row>
    <row r="1541" spans="97:117" ht="16.5" x14ac:dyDescent="0.2">
      <c r="CS1541" s="13">
        <v>1537</v>
      </c>
      <c r="CT1541" s="13">
        <f t="shared" si="1141"/>
        <v>30</v>
      </c>
      <c r="CU1541" s="13">
        <f t="shared" si="1142"/>
        <v>29</v>
      </c>
      <c r="CV1541" s="14">
        <f t="shared" si="1139"/>
        <v>3</v>
      </c>
      <c r="CW1541" s="14">
        <f t="shared" si="1140"/>
        <v>1102998</v>
      </c>
      <c r="CX1541" s="14" t="str">
        <f>INDEX($O$6:$O$50,CT1541)&amp;"-"&amp;INDEX(属性投放!$AB$7:$AB$50,CZ1541)&amp;"-魂火-"&amp;DB1541</f>
        <v>SR守护灵-焦热-魂火-2</v>
      </c>
      <c r="CY1541" s="25" t="s">
        <v>142</v>
      </c>
      <c r="CZ1541" s="14">
        <f>INDEX(属性投放!$AM$7:$AM$58,CU1541)</f>
        <v>13</v>
      </c>
      <c r="DA1541" s="14" t="s">
        <v>537</v>
      </c>
      <c r="DB1541" s="14">
        <f>INDEX(属性投放!$AN$7:$AN$58,CU1541)</f>
        <v>2</v>
      </c>
      <c r="DC1541" s="14">
        <f t="shared" si="1143"/>
        <v>29</v>
      </c>
      <c r="DD1541" s="14">
        <f>INDEX(属性投放!$AO$7:$AO$58,DC1541)</f>
        <v>90</v>
      </c>
      <c r="DE1541" s="14" t="s">
        <v>242</v>
      </c>
      <c r="DF1541" s="14">
        <f>INDEX(属性投放!$BK$6:$BK$85,(CV1541-2)*20+CZ1541)</f>
        <v>250</v>
      </c>
      <c r="DG1541" s="14">
        <f>SUMIFS(DF$5:DF1541,$CT$5:$CT1541,"="&amp;$CT1541)</f>
        <v>2920</v>
      </c>
      <c r="DH1541" s="14" t="s">
        <v>116</v>
      </c>
      <c r="DI1541" s="14">
        <f>INDEX(属性投放!$BL$6:$BL$85,(CV1541-2)*20+CZ1541)</f>
        <v>125</v>
      </c>
      <c r="DJ1541" s="14">
        <f>SUMIFS(DI$5:DI1541,$CT$5:$CT1541,"="&amp;$CT1541)</f>
        <v>1463</v>
      </c>
      <c r="DK1541" s="14" t="s">
        <v>25</v>
      </c>
      <c r="DL1541" s="14">
        <f>INDEX(属性投放!$BM$6:$BM$85,(CV1541-2)*20+CZ1541)</f>
        <v>2500</v>
      </c>
      <c r="DM1541" s="14">
        <f>SUMIFS(DL$5:DL1541,$CT$5:$CT1541,"="&amp;$CT1541)</f>
        <v>25240</v>
      </c>
    </row>
    <row r="1542" spans="97:117" ht="16.5" x14ac:dyDescent="0.2">
      <c r="CS1542" s="13">
        <v>1538</v>
      </c>
      <c r="CT1542" s="13">
        <f t="shared" si="1141"/>
        <v>30</v>
      </c>
      <c r="CU1542" s="13">
        <f t="shared" si="1142"/>
        <v>30</v>
      </c>
      <c r="CV1542" s="14">
        <f t="shared" ref="CV1542:CV1605" si="1144">INDEX($Q$6:$Q$50,CT1542)</f>
        <v>3</v>
      </c>
      <c r="CW1542" s="14">
        <f t="shared" ref="CW1542:CW1605" si="1145">INDEX($N$6:$N$50,CT1542)</f>
        <v>1102998</v>
      </c>
      <c r="CX1542" s="14" t="str">
        <f>INDEX($O$6:$O$50,CT1542)&amp;"-"&amp;INDEX(属性投放!$AB$7:$AB$50,CZ1542)&amp;"-魂火-"&amp;DB1542</f>
        <v>SR守护灵-焦热-魂火-3</v>
      </c>
      <c r="CY1542" s="25" t="s">
        <v>142</v>
      </c>
      <c r="CZ1542" s="14">
        <f>INDEX(属性投放!$AM$7:$AM$58,CU1542)</f>
        <v>13</v>
      </c>
      <c r="DA1542" s="14" t="s">
        <v>537</v>
      </c>
      <c r="DB1542" s="14">
        <f>INDEX(属性投放!$AN$7:$AN$58,CU1542)</f>
        <v>3</v>
      </c>
      <c r="DC1542" s="14">
        <f t="shared" si="1143"/>
        <v>30</v>
      </c>
      <c r="DD1542" s="14">
        <f>INDEX(属性投放!$AO$7:$AO$58,DC1542)</f>
        <v>93</v>
      </c>
      <c r="DE1542" s="14" t="s">
        <v>242</v>
      </c>
      <c r="DF1542" s="14">
        <f>INDEX(属性投放!$BK$6:$BK$85,(CV1542-2)*20+CZ1542)</f>
        <v>250</v>
      </c>
      <c r="DG1542" s="14">
        <f>SUMIFS(DF$5:DF1542,$CT$5:$CT1542,"="&amp;$CT1542)</f>
        <v>3170</v>
      </c>
      <c r="DH1542" s="14" t="s">
        <v>116</v>
      </c>
      <c r="DI1542" s="14">
        <f>INDEX(属性投放!$BL$6:$BL$85,(CV1542-2)*20+CZ1542)</f>
        <v>125</v>
      </c>
      <c r="DJ1542" s="14">
        <f>SUMIFS(DI$5:DI1542,$CT$5:$CT1542,"="&amp;$CT1542)</f>
        <v>1588</v>
      </c>
      <c r="DK1542" s="14" t="s">
        <v>25</v>
      </c>
      <c r="DL1542" s="14">
        <f>INDEX(属性投放!$BM$6:$BM$85,(CV1542-2)*20+CZ1542)</f>
        <v>2500</v>
      </c>
      <c r="DM1542" s="14">
        <f>SUMIFS(DL$5:DL1542,$CT$5:$CT1542,"="&amp;$CT1542)</f>
        <v>27740</v>
      </c>
    </row>
    <row r="1543" spans="97:117" ht="16.5" x14ac:dyDescent="0.2">
      <c r="CS1543" s="13">
        <v>1539</v>
      </c>
      <c r="CT1543" s="13">
        <f t="shared" si="1141"/>
        <v>30</v>
      </c>
      <c r="CU1543" s="13">
        <f t="shared" si="1142"/>
        <v>31</v>
      </c>
      <c r="CV1543" s="14">
        <f t="shared" si="1144"/>
        <v>3</v>
      </c>
      <c r="CW1543" s="14">
        <f t="shared" si="1145"/>
        <v>1102998</v>
      </c>
      <c r="CX1543" s="14" t="str">
        <f>INDEX($O$6:$O$50,CT1543)&amp;"-"&amp;INDEX(属性投放!$AB$7:$AB$50,CZ1543)&amp;"-魂火-"&amp;DB1543</f>
        <v>SR守护灵-焦热+1-魂火-1</v>
      </c>
      <c r="CY1543" s="25" t="s">
        <v>142</v>
      </c>
      <c r="CZ1543" s="14">
        <f>INDEX(属性投放!$AM$7:$AM$58,CU1543)</f>
        <v>14</v>
      </c>
      <c r="DA1543" s="14" t="s">
        <v>537</v>
      </c>
      <c r="DB1543" s="14">
        <f>INDEX(属性投放!$AN$7:$AN$58,CU1543)</f>
        <v>1</v>
      </c>
      <c r="DC1543" s="14">
        <f t="shared" si="1143"/>
        <v>31</v>
      </c>
      <c r="DD1543" s="14">
        <f>INDEX(属性投放!$AO$7:$AO$58,DC1543)</f>
        <v>95</v>
      </c>
      <c r="DE1543" s="14" t="s">
        <v>242</v>
      </c>
      <c r="DF1543" s="14">
        <f>INDEX(属性投放!$BK$6:$BK$85,(CV1543-2)*20+CZ1543)</f>
        <v>300</v>
      </c>
      <c r="DG1543" s="14">
        <f>SUMIFS(DF$5:DF1543,$CT$5:$CT1543,"="&amp;$CT1543)</f>
        <v>3470</v>
      </c>
      <c r="DH1543" s="14" t="s">
        <v>116</v>
      </c>
      <c r="DI1543" s="14">
        <f>INDEX(属性投放!$BL$6:$BL$85,(CV1543-2)*20+CZ1543)</f>
        <v>150</v>
      </c>
      <c r="DJ1543" s="14">
        <f>SUMIFS(DI$5:DI1543,$CT$5:$CT1543,"="&amp;$CT1543)</f>
        <v>1738</v>
      </c>
      <c r="DK1543" s="14" t="s">
        <v>25</v>
      </c>
      <c r="DL1543" s="14">
        <f>INDEX(属性投放!$BM$6:$BM$85,(CV1543-2)*20+CZ1543)</f>
        <v>3000</v>
      </c>
      <c r="DM1543" s="14">
        <f>SUMIFS(DL$5:DL1543,$CT$5:$CT1543,"="&amp;$CT1543)</f>
        <v>30740</v>
      </c>
    </row>
    <row r="1544" spans="97:117" ht="16.5" x14ac:dyDescent="0.2">
      <c r="CS1544" s="13">
        <v>1540</v>
      </c>
      <c r="CT1544" s="13">
        <f t="shared" si="1141"/>
        <v>30</v>
      </c>
      <c r="CU1544" s="13">
        <f t="shared" si="1142"/>
        <v>32</v>
      </c>
      <c r="CV1544" s="14">
        <f t="shared" si="1144"/>
        <v>3</v>
      </c>
      <c r="CW1544" s="14">
        <f t="shared" si="1145"/>
        <v>1102998</v>
      </c>
      <c r="CX1544" s="14" t="str">
        <f>INDEX($O$6:$O$50,CT1544)&amp;"-"&amp;INDEX(属性投放!$AB$7:$AB$50,CZ1544)&amp;"-魂火-"&amp;DB1544</f>
        <v>SR守护灵-焦热+1-魂火-2</v>
      </c>
      <c r="CY1544" s="25" t="s">
        <v>142</v>
      </c>
      <c r="CZ1544" s="14">
        <f>INDEX(属性投放!$AM$7:$AM$58,CU1544)</f>
        <v>14</v>
      </c>
      <c r="DA1544" s="14" t="s">
        <v>537</v>
      </c>
      <c r="DB1544" s="14">
        <f>INDEX(属性投放!$AN$7:$AN$58,CU1544)</f>
        <v>2</v>
      </c>
      <c r="DC1544" s="14">
        <f t="shared" si="1143"/>
        <v>32</v>
      </c>
      <c r="DD1544" s="14">
        <f>INDEX(属性投放!$AO$7:$AO$58,DC1544)</f>
        <v>98</v>
      </c>
      <c r="DE1544" s="14" t="s">
        <v>242</v>
      </c>
      <c r="DF1544" s="14">
        <f>INDEX(属性投放!$BK$6:$BK$85,(CV1544-2)*20+CZ1544)</f>
        <v>300</v>
      </c>
      <c r="DG1544" s="14">
        <f>SUMIFS(DF$5:DF1544,$CT$5:$CT1544,"="&amp;$CT1544)</f>
        <v>3770</v>
      </c>
      <c r="DH1544" s="14" t="s">
        <v>116</v>
      </c>
      <c r="DI1544" s="14">
        <f>INDEX(属性投放!$BL$6:$BL$85,(CV1544-2)*20+CZ1544)</f>
        <v>150</v>
      </c>
      <c r="DJ1544" s="14">
        <f>SUMIFS(DI$5:DI1544,$CT$5:$CT1544,"="&amp;$CT1544)</f>
        <v>1888</v>
      </c>
      <c r="DK1544" s="14" t="s">
        <v>25</v>
      </c>
      <c r="DL1544" s="14">
        <f>INDEX(属性投放!$BM$6:$BM$85,(CV1544-2)*20+CZ1544)</f>
        <v>3000</v>
      </c>
      <c r="DM1544" s="14">
        <f>SUMIFS(DL$5:DL1544,$CT$5:$CT1544,"="&amp;$CT1544)</f>
        <v>33740</v>
      </c>
    </row>
    <row r="1545" spans="97:117" ht="16.5" x14ac:dyDescent="0.2">
      <c r="CS1545" s="13">
        <v>1541</v>
      </c>
      <c r="CT1545" s="13">
        <f t="shared" si="1141"/>
        <v>30</v>
      </c>
      <c r="CU1545" s="13">
        <f t="shared" si="1142"/>
        <v>33</v>
      </c>
      <c r="CV1545" s="14">
        <f t="shared" si="1144"/>
        <v>3</v>
      </c>
      <c r="CW1545" s="14">
        <f t="shared" si="1145"/>
        <v>1102998</v>
      </c>
      <c r="CX1545" s="14" t="str">
        <f>INDEX($O$6:$O$50,CT1545)&amp;"-"&amp;INDEX(属性投放!$AB$7:$AB$50,CZ1545)&amp;"-魂火-"&amp;DB1545</f>
        <v>SR守护灵-焦热+1-魂火-3</v>
      </c>
      <c r="CY1545" s="25" t="s">
        <v>142</v>
      </c>
      <c r="CZ1545" s="14">
        <f>INDEX(属性投放!$AM$7:$AM$58,CU1545)</f>
        <v>14</v>
      </c>
      <c r="DA1545" s="14" t="s">
        <v>537</v>
      </c>
      <c r="DB1545" s="14">
        <f>INDEX(属性投放!$AN$7:$AN$58,CU1545)</f>
        <v>3</v>
      </c>
      <c r="DC1545" s="14">
        <f t="shared" si="1143"/>
        <v>33</v>
      </c>
      <c r="DD1545" s="14">
        <f>INDEX(属性投放!$AO$7:$AO$58,DC1545)</f>
        <v>100</v>
      </c>
      <c r="DE1545" s="14" t="s">
        <v>242</v>
      </c>
      <c r="DF1545" s="14">
        <f>INDEX(属性投放!$BK$6:$BK$85,(CV1545-2)*20+CZ1545)</f>
        <v>300</v>
      </c>
      <c r="DG1545" s="14">
        <f>SUMIFS(DF$5:DF1545,$CT$5:$CT1545,"="&amp;$CT1545)</f>
        <v>4070</v>
      </c>
      <c r="DH1545" s="14" t="s">
        <v>116</v>
      </c>
      <c r="DI1545" s="14">
        <f>INDEX(属性投放!$BL$6:$BL$85,(CV1545-2)*20+CZ1545)</f>
        <v>150</v>
      </c>
      <c r="DJ1545" s="14">
        <f>SUMIFS(DI$5:DI1545,$CT$5:$CT1545,"="&amp;$CT1545)</f>
        <v>2038</v>
      </c>
      <c r="DK1545" s="14" t="s">
        <v>25</v>
      </c>
      <c r="DL1545" s="14">
        <f>INDEX(属性投放!$BM$6:$BM$85,(CV1545-2)*20+CZ1545)</f>
        <v>3000</v>
      </c>
      <c r="DM1545" s="14">
        <f>SUMIFS(DL$5:DL1545,$CT$5:$CT1545,"="&amp;$CT1545)</f>
        <v>36740</v>
      </c>
    </row>
    <row r="1546" spans="97:117" ht="16.5" x14ac:dyDescent="0.2">
      <c r="CS1546" s="13">
        <v>1542</v>
      </c>
      <c r="CT1546" s="13">
        <f t="shared" si="1141"/>
        <v>30</v>
      </c>
      <c r="CU1546" s="13">
        <f t="shared" si="1142"/>
        <v>34</v>
      </c>
      <c r="CV1546" s="14">
        <f t="shared" si="1144"/>
        <v>3</v>
      </c>
      <c r="CW1546" s="14">
        <f t="shared" si="1145"/>
        <v>1102998</v>
      </c>
      <c r="CX1546" s="14" t="str">
        <f>INDEX($O$6:$O$50,CT1546)&amp;"-"&amp;INDEX(属性投放!$AB$7:$AB$50,CZ1546)&amp;"-魂火-"&amp;DB1546</f>
        <v>SR守护灵-焦热+2-魂火-1</v>
      </c>
      <c r="CY1546" s="25" t="s">
        <v>142</v>
      </c>
      <c r="CZ1546" s="14">
        <f>INDEX(属性投放!$AM$7:$AM$58,CU1546)</f>
        <v>15</v>
      </c>
      <c r="DA1546" s="14" t="s">
        <v>537</v>
      </c>
      <c r="DB1546" s="14">
        <f>INDEX(属性投放!$AN$7:$AN$58,CU1546)</f>
        <v>1</v>
      </c>
      <c r="DC1546" s="14">
        <f t="shared" si="1143"/>
        <v>34</v>
      </c>
      <c r="DD1546" s="14">
        <f>INDEX(属性投放!$AO$7:$AO$58,DC1546)</f>
        <v>103</v>
      </c>
      <c r="DE1546" s="14" t="s">
        <v>242</v>
      </c>
      <c r="DF1546" s="14">
        <f>INDEX(属性投放!$BK$6:$BK$85,(CV1546-2)*20+CZ1546)</f>
        <v>400</v>
      </c>
      <c r="DG1546" s="14">
        <f>SUMIFS(DF$5:DF1546,$CT$5:$CT1546,"="&amp;$CT1546)</f>
        <v>4470</v>
      </c>
      <c r="DH1546" s="14" t="s">
        <v>116</v>
      </c>
      <c r="DI1546" s="14">
        <f>INDEX(属性投放!$BL$6:$BL$85,(CV1546-2)*20+CZ1546)</f>
        <v>200</v>
      </c>
      <c r="DJ1546" s="14">
        <f>SUMIFS(DI$5:DI1546,$CT$5:$CT1546,"="&amp;$CT1546)</f>
        <v>2238</v>
      </c>
      <c r="DK1546" s="14" t="s">
        <v>25</v>
      </c>
      <c r="DL1546" s="14">
        <f>INDEX(属性投放!$BM$6:$BM$85,(CV1546-2)*20+CZ1546)</f>
        <v>4000</v>
      </c>
      <c r="DM1546" s="14">
        <f>SUMIFS(DL$5:DL1546,$CT$5:$CT1546,"="&amp;$CT1546)</f>
        <v>40740</v>
      </c>
    </row>
    <row r="1547" spans="97:117" ht="16.5" x14ac:dyDescent="0.2">
      <c r="CS1547" s="13">
        <v>1543</v>
      </c>
      <c r="CT1547" s="13">
        <f t="shared" si="1141"/>
        <v>30</v>
      </c>
      <c r="CU1547" s="13">
        <f t="shared" si="1142"/>
        <v>35</v>
      </c>
      <c r="CV1547" s="14">
        <f t="shared" si="1144"/>
        <v>3</v>
      </c>
      <c r="CW1547" s="14">
        <f t="shared" si="1145"/>
        <v>1102998</v>
      </c>
      <c r="CX1547" s="14" t="str">
        <f>INDEX($O$6:$O$50,CT1547)&amp;"-"&amp;INDEX(属性投放!$AB$7:$AB$50,CZ1547)&amp;"-魂火-"&amp;DB1547</f>
        <v>SR守护灵-焦热+2-魂火-2</v>
      </c>
      <c r="CY1547" s="25" t="s">
        <v>142</v>
      </c>
      <c r="CZ1547" s="14">
        <f>INDEX(属性投放!$AM$7:$AM$58,CU1547)</f>
        <v>15</v>
      </c>
      <c r="DA1547" s="14" t="s">
        <v>537</v>
      </c>
      <c r="DB1547" s="14">
        <f>INDEX(属性投放!$AN$7:$AN$58,CU1547)</f>
        <v>2</v>
      </c>
      <c r="DC1547" s="14">
        <f t="shared" si="1143"/>
        <v>35</v>
      </c>
      <c r="DD1547" s="14">
        <f>INDEX(属性投放!$AO$7:$AO$58,DC1547)</f>
        <v>105</v>
      </c>
      <c r="DE1547" s="14" t="s">
        <v>242</v>
      </c>
      <c r="DF1547" s="14">
        <f>INDEX(属性投放!$BK$6:$BK$85,(CV1547-2)*20+CZ1547)</f>
        <v>400</v>
      </c>
      <c r="DG1547" s="14">
        <f>SUMIFS(DF$5:DF1547,$CT$5:$CT1547,"="&amp;$CT1547)</f>
        <v>4870</v>
      </c>
      <c r="DH1547" s="14" t="s">
        <v>116</v>
      </c>
      <c r="DI1547" s="14">
        <f>INDEX(属性投放!$BL$6:$BL$85,(CV1547-2)*20+CZ1547)</f>
        <v>200</v>
      </c>
      <c r="DJ1547" s="14">
        <f>SUMIFS(DI$5:DI1547,$CT$5:$CT1547,"="&amp;$CT1547)</f>
        <v>2438</v>
      </c>
      <c r="DK1547" s="14" t="s">
        <v>25</v>
      </c>
      <c r="DL1547" s="14">
        <f>INDEX(属性投放!$BM$6:$BM$85,(CV1547-2)*20+CZ1547)</f>
        <v>4000</v>
      </c>
      <c r="DM1547" s="14">
        <f>SUMIFS(DL$5:DL1547,$CT$5:$CT1547,"="&amp;$CT1547)</f>
        <v>44740</v>
      </c>
    </row>
    <row r="1548" spans="97:117" ht="16.5" x14ac:dyDescent="0.2">
      <c r="CS1548" s="13">
        <v>1544</v>
      </c>
      <c r="CT1548" s="13">
        <f t="shared" si="1141"/>
        <v>30</v>
      </c>
      <c r="CU1548" s="13">
        <f t="shared" si="1142"/>
        <v>36</v>
      </c>
      <c r="CV1548" s="14">
        <f t="shared" si="1144"/>
        <v>3</v>
      </c>
      <c r="CW1548" s="14">
        <f t="shared" si="1145"/>
        <v>1102998</v>
      </c>
      <c r="CX1548" s="14" t="str">
        <f>INDEX($O$6:$O$50,CT1548)&amp;"-"&amp;INDEX(属性投放!$AB$7:$AB$50,CZ1548)&amp;"-魂火-"&amp;DB1548</f>
        <v>SR守护灵-焦热+2-魂火-3</v>
      </c>
      <c r="CY1548" s="25" t="s">
        <v>142</v>
      </c>
      <c r="CZ1548" s="14">
        <f>INDEX(属性投放!$AM$7:$AM$58,CU1548)</f>
        <v>15</v>
      </c>
      <c r="DA1548" s="14" t="s">
        <v>537</v>
      </c>
      <c r="DB1548" s="14">
        <f>INDEX(属性投放!$AN$7:$AN$58,CU1548)</f>
        <v>3</v>
      </c>
      <c r="DC1548" s="14">
        <f t="shared" si="1143"/>
        <v>36</v>
      </c>
      <c r="DD1548" s="14">
        <f>INDEX(属性投放!$AO$7:$AO$58,DC1548)</f>
        <v>108</v>
      </c>
      <c r="DE1548" s="14" t="s">
        <v>242</v>
      </c>
      <c r="DF1548" s="14">
        <f>INDEX(属性投放!$BK$6:$BK$85,(CV1548-2)*20+CZ1548)</f>
        <v>400</v>
      </c>
      <c r="DG1548" s="14">
        <f>SUMIFS(DF$5:DF1548,$CT$5:$CT1548,"="&amp;$CT1548)</f>
        <v>5270</v>
      </c>
      <c r="DH1548" s="14" t="s">
        <v>116</v>
      </c>
      <c r="DI1548" s="14">
        <f>INDEX(属性投放!$BL$6:$BL$85,(CV1548-2)*20+CZ1548)</f>
        <v>200</v>
      </c>
      <c r="DJ1548" s="14">
        <f>SUMIFS(DI$5:DI1548,$CT$5:$CT1548,"="&amp;$CT1548)</f>
        <v>2638</v>
      </c>
      <c r="DK1548" s="14" t="s">
        <v>25</v>
      </c>
      <c r="DL1548" s="14">
        <f>INDEX(属性投放!$BM$6:$BM$85,(CV1548-2)*20+CZ1548)</f>
        <v>4000</v>
      </c>
      <c r="DM1548" s="14">
        <f>SUMIFS(DL$5:DL1548,$CT$5:$CT1548,"="&amp;$CT1548)</f>
        <v>48740</v>
      </c>
    </row>
    <row r="1549" spans="97:117" ht="16.5" x14ac:dyDescent="0.2">
      <c r="CS1549" s="13">
        <v>1545</v>
      </c>
      <c r="CT1549" s="13">
        <f t="shared" si="1141"/>
        <v>30</v>
      </c>
      <c r="CU1549" s="13">
        <f t="shared" si="1142"/>
        <v>37</v>
      </c>
      <c r="CV1549" s="14">
        <f t="shared" si="1144"/>
        <v>3</v>
      </c>
      <c r="CW1549" s="14">
        <f t="shared" si="1145"/>
        <v>1102998</v>
      </c>
      <c r="CX1549" s="14" t="str">
        <f>INDEX($O$6:$O$50,CT1549)&amp;"-"&amp;INDEX(属性投放!$AB$7:$AB$50,CZ1549)&amp;"-魂火-"&amp;DB1549</f>
        <v>SR守护灵-大焦热-魂火-1</v>
      </c>
      <c r="CY1549" s="25" t="s">
        <v>142</v>
      </c>
      <c r="CZ1549" s="14">
        <f>INDEX(属性投放!$AM$7:$AM$58,CU1549)</f>
        <v>16</v>
      </c>
      <c r="DA1549" s="14" t="s">
        <v>537</v>
      </c>
      <c r="DB1549" s="14">
        <f>INDEX(属性投放!$AN$7:$AN$58,CU1549)</f>
        <v>1</v>
      </c>
      <c r="DC1549" s="14">
        <f t="shared" si="1143"/>
        <v>37</v>
      </c>
      <c r="DD1549" s="14">
        <f>INDEX(属性投放!$AO$7:$AO$58,DC1549)</f>
        <v>110</v>
      </c>
      <c r="DE1549" s="14" t="s">
        <v>242</v>
      </c>
      <c r="DF1549" s="14">
        <f>INDEX(属性投放!$BK$6:$BK$85,(CV1549-2)*20+CZ1549)</f>
        <v>500</v>
      </c>
      <c r="DG1549" s="14">
        <f>SUMIFS(DF$5:DF1549,$CT$5:$CT1549,"="&amp;$CT1549)</f>
        <v>5770</v>
      </c>
      <c r="DH1549" s="14" t="s">
        <v>116</v>
      </c>
      <c r="DI1549" s="14">
        <f>INDEX(属性投放!$BL$6:$BL$85,(CV1549-2)*20+CZ1549)</f>
        <v>250</v>
      </c>
      <c r="DJ1549" s="14">
        <f>SUMIFS(DI$5:DI1549,$CT$5:$CT1549,"="&amp;$CT1549)</f>
        <v>2888</v>
      </c>
      <c r="DK1549" s="14" t="s">
        <v>25</v>
      </c>
      <c r="DL1549" s="14">
        <f>INDEX(属性投放!$BM$6:$BM$85,(CV1549-2)*20+CZ1549)</f>
        <v>5000</v>
      </c>
      <c r="DM1549" s="14">
        <f>SUMIFS(DL$5:DL1549,$CT$5:$CT1549,"="&amp;$CT1549)</f>
        <v>53740</v>
      </c>
    </row>
    <row r="1550" spans="97:117" ht="16.5" x14ac:dyDescent="0.2">
      <c r="CS1550" s="13">
        <v>1546</v>
      </c>
      <c r="CT1550" s="13">
        <f t="shared" si="1141"/>
        <v>30</v>
      </c>
      <c r="CU1550" s="13">
        <f t="shared" si="1142"/>
        <v>38</v>
      </c>
      <c r="CV1550" s="14">
        <f t="shared" si="1144"/>
        <v>3</v>
      </c>
      <c r="CW1550" s="14">
        <f t="shared" si="1145"/>
        <v>1102998</v>
      </c>
      <c r="CX1550" s="14" t="str">
        <f>INDEX($O$6:$O$50,CT1550)&amp;"-"&amp;INDEX(属性投放!$AB$7:$AB$50,CZ1550)&amp;"-魂火-"&amp;DB1550</f>
        <v>SR守护灵-大焦热-魂火-2</v>
      </c>
      <c r="CY1550" s="25" t="s">
        <v>142</v>
      </c>
      <c r="CZ1550" s="14">
        <f>INDEX(属性投放!$AM$7:$AM$58,CU1550)</f>
        <v>16</v>
      </c>
      <c r="DA1550" s="14" t="s">
        <v>537</v>
      </c>
      <c r="DB1550" s="14">
        <f>INDEX(属性投放!$AN$7:$AN$58,CU1550)</f>
        <v>2</v>
      </c>
      <c r="DC1550" s="14">
        <f t="shared" si="1143"/>
        <v>38</v>
      </c>
      <c r="DD1550" s="14">
        <f>INDEX(属性投放!$AO$7:$AO$58,DC1550)</f>
        <v>113</v>
      </c>
      <c r="DE1550" s="14" t="s">
        <v>242</v>
      </c>
      <c r="DF1550" s="14">
        <f>INDEX(属性投放!$BK$6:$BK$85,(CV1550-2)*20+CZ1550)</f>
        <v>500</v>
      </c>
      <c r="DG1550" s="14">
        <f>SUMIFS(DF$5:DF1550,$CT$5:$CT1550,"="&amp;$CT1550)</f>
        <v>6270</v>
      </c>
      <c r="DH1550" s="14" t="s">
        <v>116</v>
      </c>
      <c r="DI1550" s="14">
        <f>INDEX(属性投放!$BL$6:$BL$85,(CV1550-2)*20+CZ1550)</f>
        <v>250</v>
      </c>
      <c r="DJ1550" s="14">
        <f>SUMIFS(DI$5:DI1550,$CT$5:$CT1550,"="&amp;$CT1550)</f>
        <v>3138</v>
      </c>
      <c r="DK1550" s="14" t="s">
        <v>25</v>
      </c>
      <c r="DL1550" s="14">
        <f>INDEX(属性投放!$BM$6:$BM$85,(CV1550-2)*20+CZ1550)</f>
        <v>5000</v>
      </c>
      <c r="DM1550" s="14">
        <f>SUMIFS(DL$5:DL1550,$CT$5:$CT1550,"="&amp;$CT1550)</f>
        <v>58740</v>
      </c>
    </row>
    <row r="1551" spans="97:117" ht="16.5" x14ac:dyDescent="0.2">
      <c r="CS1551" s="13">
        <v>1547</v>
      </c>
      <c r="CT1551" s="13">
        <f t="shared" si="1141"/>
        <v>30</v>
      </c>
      <c r="CU1551" s="13">
        <f t="shared" si="1142"/>
        <v>39</v>
      </c>
      <c r="CV1551" s="14">
        <f t="shared" si="1144"/>
        <v>3</v>
      </c>
      <c r="CW1551" s="14">
        <f t="shared" si="1145"/>
        <v>1102998</v>
      </c>
      <c r="CX1551" s="14" t="str">
        <f>INDEX($O$6:$O$50,CT1551)&amp;"-"&amp;INDEX(属性投放!$AB$7:$AB$50,CZ1551)&amp;"-魂火-"&amp;DB1551</f>
        <v>SR守护灵-大焦热-魂火-3</v>
      </c>
      <c r="CY1551" s="25" t="s">
        <v>142</v>
      </c>
      <c r="CZ1551" s="14">
        <f>INDEX(属性投放!$AM$7:$AM$58,CU1551)</f>
        <v>16</v>
      </c>
      <c r="DA1551" s="14" t="s">
        <v>537</v>
      </c>
      <c r="DB1551" s="14">
        <f>INDEX(属性投放!$AN$7:$AN$58,CU1551)</f>
        <v>3</v>
      </c>
      <c r="DC1551" s="14">
        <f t="shared" si="1143"/>
        <v>39</v>
      </c>
      <c r="DD1551" s="14">
        <f>INDEX(属性投放!$AO$7:$AO$58,DC1551)</f>
        <v>115</v>
      </c>
      <c r="DE1551" s="14" t="s">
        <v>242</v>
      </c>
      <c r="DF1551" s="14">
        <f>INDEX(属性投放!$BK$6:$BK$85,(CV1551-2)*20+CZ1551)</f>
        <v>500</v>
      </c>
      <c r="DG1551" s="14">
        <f>SUMIFS(DF$5:DF1551,$CT$5:$CT1551,"="&amp;$CT1551)</f>
        <v>6770</v>
      </c>
      <c r="DH1551" s="14" t="s">
        <v>116</v>
      </c>
      <c r="DI1551" s="14">
        <f>INDEX(属性投放!$BL$6:$BL$85,(CV1551-2)*20+CZ1551)</f>
        <v>250</v>
      </c>
      <c r="DJ1551" s="14">
        <f>SUMIFS(DI$5:DI1551,$CT$5:$CT1551,"="&amp;$CT1551)</f>
        <v>3388</v>
      </c>
      <c r="DK1551" s="14" t="s">
        <v>25</v>
      </c>
      <c r="DL1551" s="14">
        <f>INDEX(属性投放!$BM$6:$BM$85,(CV1551-2)*20+CZ1551)</f>
        <v>5000</v>
      </c>
      <c r="DM1551" s="14">
        <f>SUMIFS(DL$5:DL1551,$CT$5:$CT1551,"="&amp;$CT1551)</f>
        <v>63740</v>
      </c>
    </row>
    <row r="1552" spans="97:117" ht="16.5" x14ac:dyDescent="0.2">
      <c r="CS1552" s="13">
        <v>1548</v>
      </c>
      <c r="CT1552" s="13">
        <f t="shared" si="1141"/>
        <v>30</v>
      </c>
      <c r="CU1552" s="13">
        <f t="shared" si="1142"/>
        <v>40</v>
      </c>
      <c r="CV1552" s="14">
        <f t="shared" si="1144"/>
        <v>3</v>
      </c>
      <c r="CW1552" s="14">
        <f t="shared" si="1145"/>
        <v>1102998</v>
      </c>
      <c r="CX1552" s="14" t="str">
        <f>INDEX($O$6:$O$50,CT1552)&amp;"-"&amp;INDEX(属性投放!$AB$7:$AB$50,CZ1552)&amp;"-魂火-"&amp;DB1552</f>
        <v>SR守护灵-大焦热+1-魂火-1</v>
      </c>
      <c r="CY1552" s="25" t="s">
        <v>142</v>
      </c>
      <c r="CZ1552" s="14">
        <f>INDEX(属性投放!$AM$7:$AM$58,CU1552)</f>
        <v>17</v>
      </c>
      <c r="DA1552" s="14" t="s">
        <v>537</v>
      </c>
      <c r="DB1552" s="14">
        <f>INDEX(属性投放!$AN$7:$AN$58,CU1552)</f>
        <v>1</v>
      </c>
      <c r="DC1552" s="14">
        <f t="shared" si="1143"/>
        <v>40</v>
      </c>
      <c r="DD1552" s="14">
        <f>INDEX(属性投放!$AO$7:$AO$58,DC1552)</f>
        <v>118</v>
      </c>
      <c r="DE1552" s="14" t="s">
        <v>242</v>
      </c>
      <c r="DF1552" s="14">
        <f>INDEX(属性投放!$BK$6:$BK$85,(CV1552-2)*20+CZ1552)</f>
        <v>600</v>
      </c>
      <c r="DG1552" s="14">
        <f>SUMIFS(DF$5:DF1552,$CT$5:$CT1552,"="&amp;$CT1552)</f>
        <v>7370</v>
      </c>
      <c r="DH1552" s="14" t="s">
        <v>116</v>
      </c>
      <c r="DI1552" s="14">
        <f>INDEX(属性投放!$BL$6:$BL$85,(CV1552-2)*20+CZ1552)</f>
        <v>300</v>
      </c>
      <c r="DJ1552" s="14">
        <f>SUMIFS(DI$5:DI1552,$CT$5:$CT1552,"="&amp;$CT1552)</f>
        <v>3688</v>
      </c>
      <c r="DK1552" s="14" t="s">
        <v>25</v>
      </c>
      <c r="DL1552" s="14">
        <f>INDEX(属性投放!$BM$6:$BM$85,(CV1552-2)*20+CZ1552)</f>
        <v>6000</v>
      </c>
      <c r="DM1552" s="14">
        <f>SUMIFS(DL$5:DL1552,$CT$5:$CT1552,"="&amp;$CT1552)</f>
        <v>69740</v>
      </c>
    </row>
    <row r="1553" spans="97:117" ht="16.5" x14ac:dyDescent="0.2">
      <c r="CS1553" s="13">
        <v>1549</v>
      </c>
      <c r="CT1553" s="13">
        <f t="shared" si="1141"/>
        <v>30</v>
      </c>
      <c r="CU1553" s="13">
        <f t="shared" si="1142"/>
        <v>41</v>
      </c>
      <c r="CV1553" s="14">
        <f t="shared" si="1144"/>
        <v>3</v>
      </c>
      <c r="CW1553" s="14">
        <f t="shared" si="1145"/>
        <v>1102998</v>
      </c>
      <c r="CX1553" s="14" t="str">
        <f>INDEX($O$6:$O$50,CT1553)&amp;"-"&amp;INDEX(属性投放!$AB$7:$AB$50,CZ1553)&amp;"-魂火-"&amp;DB1553</f>
        <v>SR守护灵-大焦热+1-魂火-2</v>
      </c>
      <c r="CY1553" s="25" t="s">
        <v>142</v>
      </c>
      <c r="CZ1553" s="14">
        <f>INDEX(属性投放!$AM$7:$AM$58,CU1553)</f>
        <v>17</v>
      </c>
      <c r="DA1553" s="14" t="s">
        <v>537</v>
      </c>
      <c r="DB1553" s="14">
        <f>INDEX(属性投放!$AN$7:$AN$58,CU1553)</f>
        <v>2</v>
      </c>
      <c r="DC1553" s="14">
        <f t="shared" si="1143"/>
        <v>41</v>
      </c>
      <c r="DD1553" s="14">
        <f>INDEX(属性投放!$AO$7:$AO$58,DC1553)</f>
        <v>120</v>
      </c>
      <c r="DE1553" s="14" t="s">
        <v>242</v>
      </c>
      <c r="DF1553" s="14">
        <f>INDEX(属性投放!$BK$6:$BK$85,(CV1553-2)*20+CZ1553)</f>
        <v>600</v>
      </c>
      <c r="DG1553" s="14">
        <f>SUMIFS(DF$5:DF1553,$CT$5:$CT1553,"="&amp;$CT1553)</f>
        <v>7970</v>
      </c>
      <c r="DH1553" s="14" t="s">
        <v>116</v>
      </c>
      <c r="DI1553" s="14">
        <f>INDEX(属性投放!$BL$6:$BL$85,(CV1553-2)*20+CZ1553)</f>
        <v>300</v>
      </c>
      <c r="DJ1553" s="14">
        <f>SUMIFS(DI$5:DI1553,$CT$5:$CT1553,"="&amp;$CT1553)</f>
        <v>3988</v>
      </c>
      <c r="DK1553" s="14" t="s">
        <v>25</v>
      </c>
      <c r="DL1553" s="14">
        <f>INDEX(属性投放!$BM$6:$BM$85,(CV1553-2)*20+CZ1553)</f>
        <v>6000</v>
      </c>
      <c r="DM1553" s="14">
        <f>SUMIFS(DL$5:DL1553,$CT$5:$CT1553,"="&amp;$CT1553)</f>
        <v>75740</v>
      </c>
    </row>
    <row r="1554" spans="97:117" ht="16.5" x14ac:dyDescent="0.2">
      <c r="CS1554" s="13">
        <v>1550</v>
      </c>
      <c r="CT1554" s="13">
        <f t="shared" si="1141"/>
        <v>30</v>
      </c>
      <c r="CU1554" s="13">
        <f t="shared" si="1142"/>
        <v>42</v>
      </c>
      <c r="CV1554" s="14">
        <f t="shared" si="1144"/>
        <v>3</v>
      </c>
      <c r="CW1554" s="14">
        <f t="shared" si="1145"/>
        <v>1102998</v>
      </c>
      <c r="CX1554" s="14" t="str">
        <f>INDEX($O$6:$O$50,CT1554)&amp;"-"&amp;INDEX(属性投放!$AB$7:$AB$50,CZ1554)&amp;"-魂火-"&amp;DB1554</f>
        <v>SR守护灵-大焦热+1-魂火-3</v>
      </c>
      <c r="CY1554" s="25" t="s">
        <v>142</v>
      </c>
      <c r="CZ1554" s="14">
        <f>INDEX(属性投放!$AM$7:$AM$58,CU1554)</f>
        <v>17</v>
      </c>
      <c r="DA1554" s="14" t="s">
        <v>537</v>
      </c>
      <c r="DB1554" s="14">
        <f>INDEX(属性投放!$AN$7:$AN$58,CU1554)</f>
        <v>3</v>
      </c>
      <c r="DC1554" s="14">
        <f t="shared" si="1143"/>
        <v>42</v>
      </c>
      <c r="DD1554" s="14">
        <f>INDEX(属性投放!$AO$7:$AO$58,DC1554)</f>
        <v>123</v>
      </c>
      <c r="DE1554" s="14" t="s">
        <v>242</v>
      </c>
      <c r="DF1554" s="14">
        <f>INDEX(属性投放!$BK$6:$BK$85,(CV1554-2)*20+CZ1554)</f>
        <v>600</v>
      </c>
      <c r="DG1554" s="14">
        <f>SUMIFS(DF$5:DF1554,$CT$5:$CT1554,"="&amp;$CT1554)</f>
        <v>8570</v>
      </c>
      <c r="DH1554" s="14" t="s">
        <v>116</v>
      </c>
      <c r="DI1554" s="14">
        <f>INDEX(属性投放!$BL$6:$BL$85,(CV1554-2)*20+CZ1554)</f>
        <v>300</v>
      </c>
      <c r="DJ1554" s="14">
        <f>SUMIFS(DI$5:DI1554,$CT$5:$CT1554,"="&amp;$CT1554)</f>
        <v>4288</v>
      </c>
      <c r="DK1554" s="14" t="s">
        <v>25</v>
      </c>
      <c r="DL1554" s="14">
        <f>INDEX(属性投放!$BM$6:$BM$85,(CV1554-2)*20+CZ1554)</f>
        <v>6000</v>
      </c>
      <c r="DM1554" s="14">
        <f>SUMIFS(DL$5:DL1554,$CT$5:$CT1554,"="&amp;$CT1554)</f>
        <v>81740</v>
      </c>
    </row>
    <row r="1555" spans="97:117" ht="16.5" x14ac:dyDescent="0.2">
      <c r="CS1555" s="13">
        <v>1551</v>
      </c>
      <c r="CT1555" s="13">
        <f t="shared" si="1141"/>
        <v>30</v>
      </c>
      <c r="CU1555" s="13">
        <f t="shared" si="1142"/>
        <v>43</v>
      </c>
      <c r="CV1555" s="14">
        <f t="shared" si="1144"/>
        <v>3</v>
      </c>
      <c r="CW1555" s="14">
        <f t="shared" si="1145"/>
        <v>1102998</v>
      </c>
      <c r="CX1555" s="14" t="str">
        <f>INDEX($O$6:$O$50,CT1555)&amp;"-"&amp;INDEX(属性投放!$AB$7:$AB$50,CZ1555)&amp;"-魂火-"&amp;DB1555</f>
        <v>SR守护灵-大焦热+2-魂火-1</v>
      </c>
      <c r="CY1555" s="25" t="s">
        <v>142</v>
      </c>
      <c r="CZ1555" s="14">
        <f>INDEX(属性投放!$AM$7:$AM$58,CU1555)</f>
        <v>18</v>
      </c>
      <c r="DA1555" s="14" t="s">
        <v>537</v>
      </c>
      <c r="DB1555" s="14">
        <f>INDEX(属性投放!$AN$7:$AN$58,CU1555)</f>
        <v>1</v>
      </c>
      <c r="DC1555" s="14">
        <f t="shared" si="1143"/>
        <v>43</v>
      </c>
      <c r="DD1555" s="14">
        <f>INDEX(属性投放!$AO$7:$AO$58,DC1555)</f>
        <v>125</v>
      </c>
      <c r="DE1555" s="14" t="s">
        <v>242</v>
      </c>
      <c r="DF1555" s="14">
        <f>INDEX(属性投放!$BK$6:$BK$85,(CV1555-2)*20+CZ1555)</f>
        <v>700</v>
      </c>
      <c r="DG1555" s="14">
        <f>SUMIFS(DF$5:DF1555,$CT$5:$CT1555,"="&amp;$CT1555)</f>
        <v>9270</v>
      </c>
      <c r="DH1555" s="14" t="s">
        <v>116</v>
      </c>
      <c r="DI1555" s="14">
        <f>INDEX(属性投放!$BL$6:$BL$85,(CV1555-2)*20+CZ1555)</f>
        <v>350</v>
      </c>
      <c r="DJ1555" s="14">
        <f>SUMIFS(DI$5:DI1555,$CT$5:$CT1555,"="&amp;$CT1555)</f>
        <v>4638</v>
      </c>
      <c r="DK1555" s="14" t="s">
        <v>25</v>
      </c>
      <c r="DL1555" s="14">
        <f>INDEX(属性投放!$BM$6:$BM$85,(CV1555-2)*20+CZ1555)</f>
        <v>7000</v>
      </c>
      <c r="DM1555" s="14">
        <f>SUMIFS(DL$5:DL1555,$CT$5:$CT1555,"="&amp;$CT1555)</f>
        <v>88740</v>
      </c>
    </row>
    <row r="1556" spans="97:117" ht="16.5" x14ac:dyDescent="0.2">
      <c r="CS1556" s="13">
        <v>1552</v>
      </c>
      <c r="CT1556" s="13">
        <f t="shared" si="1141"/>
        <v>30</v>
      </c>
      <c r="CU1556" s="13">
        <f t="shared" si="1142"/>
        <v>44</v>
      </c>
      <c r="CV1556" s="14">
        <f t="shared" si="1144"/>
        <v>3</v>
      </c>
      <c r="CW1556" s="14">
        <f t="shared" si="1145"/>
        <v>1102998</v>
      </c>
      <c r="CX1556" s="14" t="str">
        <f>INDEX($O$6:$O$50,CT1556)&amp;"-"&amp;INDEX(属性投放!$AB$7:$AB$50,CZ1556)&amp;"-魂火-"&amp;DB1556</f>
        <v>SR守护灵-大焦热+2-魂火-2</v>
      </c>
      <c r="CY1556" s="25" t="s">
        <v>142</v>
      </c>
      <c r="CZ1556" s="14">
        <f>INDEX(属性投放!$AM$7:$AM$58,CU1556)</f>
        <v>18</v>
      </c>
      <c r="DA1556" s="14" t="s">
        <v>537</v>
      </c>
      <c r="DB1556" s="14">
        <f>INDEX(属性投放!$AN$7:$AN$58,CU1556)</f>
        <v>2</v>
      </c>
      <c r="DC1556" s="14">
        <f t="shared" si="1143"/>
        <v>44</v>
      </c>
      <c r="DD1556" s="14">
        <f>INDEX(属性投放!$AO$7:$AO$58,DC1556)</f>
        <v>128</v>
      </c>
      <c r="DE1556" s="14" t="s">
        <v>242</v>
      </c>
      <c r="DF1556" s="14">
        <f>INDEX(属性投放!$BK$6:$BK$85,(CV1556-2)*20+CZ1556)</f>
        <v>700</v>
      </c>
      <c r="DG1556" s="14">
        <f>SUMIFS(DF$5:DF1556,$CT$5:$CT1556,"="&amp;$CT1556)</f>
        <v>9970</v>
      </c>
      <c r="DH1556" s="14" t="s">
        <v>116</v>
      </c>
      <c r="DI1556" s="14">
        <f>INDEX(属性投放!$BL$6:$BL$85,(CV1556-2)*20+CZ1556)</f>
        <v>350</v>
      </c>
      <c r="DJ1556" s="14">
        <f>SUMIFS(DI$5:DI1556,$CT$5:$CT1556,"="&amp;$CT1556)</f>
        <v>4988</v>
      </c>
      <c r="DK1556" s="14" t="s">
        <v>25</v>
      </c>
      <c r="DL1556" s="14">
        <f>INDEX(属性投放!$BM$6:$BM$85,(CV1556-2)*20+CZ1556)</f>
        <v>7000</v>
      </c>
      <c r="DM1556" s="14">
        <f>SUMIFS(DL$5:DL1556,$CT$5:$CT1556,"="&amp;$CT1556)</f>
        <v>95740</v>
      </c>
    </row>
    <row r="1557" spans="97:117" ht="16.5" x14ac:dyDescent="0.2">
      <c r="CS1557" s="13">
        <v>1553</v>
      </c>
      <c r="CT1557" s="13">
        <f t="shared" si="1141"/>
        <v>30</v>
      </c>
      <c r="CU1557" s="13">
        <f t="shared" si="1142"/>
        <v>45</v>
      </c>
      <c r="CV1557" s="14">
        <f t="shared" si="1144"/>
        <v>3</v>
      </c>
      <c r="CW1557" s="14">
        <f t="shared" si="1145"/>
        <v>1102998</v>
      </c>
      <c r="CX1557" s="14" t="str">
        <f>INDEX($O$6:$O$50,CT1557)&amp;"-"&amp;INDEX(属性投放!$AB$7:$AB$50,CZ1557)&amp;"-魂火-"&amp;DB1557</f>
        <v>SR守护灵-大焦热+2-魂火-3</v>
      </c>
      <c r="CY1557" s="25" t="s">
        <v>142</v>
      </c>
      <c r="CZ1557" s="14">
        <f>INDEX(属性投放!$AM$7:$AM$58,CU1557)</f>
        <v>18</v>
      </c>
      <c r="DA1557" s="14" t="s">
        <v>537</v>
      </c>
      <c r="DB1557" s="14">
        <f>INDEX(属性投放!$AN$7:$AN$58,CU1557)</f>
        <v>3</v>
      </c>
      <c r="DC1557" s="14">
        <f t="shared" si="1143"/>
        <v>45</v>
      </c>
      <c r="DD1557" s="14">
        <f>INDEX(属性投放!$AO$7:$AO$58,DC1557)</f>
        <v>130</v>
      </c>
      <c r="DE1557" s="14" t="s">
        <v>242</v>
      </c>
      <c r="DF1557" s="14">
        <f>INDEX(属性投放!$BK$6:$BK$85,(CV1557-2)*20+CZ1557)</f>
        <v>700</v>
      </c>
      <c r="DG1557" s="14">
        <f>SUMIFS(DF$5:DF1557,$CT$5:$CT1557,"="&amp;$CT1557)</f>
        <v>10670</v>
      </c>
      <c r="DH1557" s="14" t="s">
        <v>116</v>
      </c>
      <c r="DI1557" s="14">
        <f>INDEX(属性投放!$BL$6:$BL$85,(CV1557-2)*20+CZ1557)</f>
        <v>350</v>
      </c>
      <c r="DJ1557" s="14">
        <f>SUMIFS(DI$5:DI1557,$CT$5:$CT1557,"="&amp;$CT1557)</f>
        <v>5338</v>
      </c>
      <c r="DK1557" s="14" t="s">
        <v>25</v>
      </c>
      <c r="DL1557" s="14">
        <f>INDEX(属性投放!$BM$6:$BM$85,(CV1557-2)*20+CZ1557)</f>
        <v>7000</v>
      </c>
      <c r="DM1557" s="14">
        <f>SUMIFS(DL$5:DL1557,$CT$5:$CT1557,"="&amp;$CT1557)</f>
        <v>102740</v>
      </c>
    </row>
    <row r="1558" spans="97:117" ht="16.5" x14ac:dyDescent="0.2">
      <c r="CS1558" s="13">
        <v>1554</v>
      </c>
      <c r="CT1558" s="13">
        <f t="shared" si="1141"/>
        <v>30</v>
      </c>
      <c r="CU1558" s="13">
        <f t="shared" si="1142"/>
        <v>46</v>
      </c>
      <c r="CV1558" s="14">
        <f t="shared" si="1144"/>
        <v>3</v>
      </c>
      <c r="CW1558" s="14">
        <f t="shared" si="1145"/>
        <v>1102998</v>
      </c>
      <c r="CX1558" s="14" t="str">
        <f>INDEX($O$6:$O$50,CT1558)&amp;"-"&amp;INDEX(属性投放!$AB$7:$AB$50,CZ1558)&amp;"-魂火-"&amp;DB1558</f>
        <v>SR守护灵-无间-魂火-1</v>
      </c>
      <c r="CY1558" s="25" t="s">
        <v>142</v>
      </c>
      <c r="CZ1558" s="14">
        <f>INDEX(属性投放!$AM$7:$AM$58,CU1558)</f>
        <v>19</v>
      </c>
      <c r="DA1558" s="14" t="s">
        <v>537</v>
      </c>
      <c r="DB1558" s="14">
        <f>INDEX(属性投放!$AN$7:$AN$58,CU1558)</f>
        <v>1</v>
      </c>
      <c r="DC1558" s="14">
        <f t="shared" si="1143"/>
        <v>46</v>
      </c>
      <c r="DD1558" s="14">
        <f>INDEX(属性投放!$AO$7:$AO$58,DC1558)</f>
        <v>133</v>
      </c>
      <c r="DE1558" s="14" t="s">
        <v>242</v>
      </c>
      <c r="DF1558" s="14">
        <f>INDEX(属性投放!$BK$6:$BK$85,(CV1558-2)*20+CZ1558)</f>
        <v>900</v>
      </c>
      <c r="DG1558" s="14">
        <f>SUMIFS(DF$5:DF1558,$CT$5:$CT1558,"="&amp;$CT1558)</f>
        <v>11570</v>
      </c>
      <c r="DH1558" s="14" t="s">
        <v>116</v>
      </c>
      <c r="DI1558" s="14">
        <f>INDEX(属性投放!$BL$6:$BL$85,(CV1558-2)*20+CZ1558)</f>
        <v>450</v>
      </c>
      <c r="DJ1558" s="14">
        <f>SUMIFS(DI$5:DI1558,$CT$5:$CT1558,"="&amp;$CT1558)</f>
        <v>5788</v>
      </c>
      <c r="DK1558" s="14" t="s">
        <v>25</v>
      </c>
      <c r="DL1558" s="14">
        <f>INDEX(属性投放!$BM$6:$BM$85,(CV1558-2)*20+CZ1558)</f>
        <v>9000</v>
      </c>
      <c r="DM1558" s="14">
        <f>SUMIFS(DL$5:DL1558,$CT$5:$CT1558,"="&amp;$CT1558)</f>
        <v>111740</v>
      </c>
    </row>
    <row r="1559" spans="97:117" ht="16.5" x14ac:dyDescent="0.2">
      <c r="CS1559" s="13">
        <v>1555</v>
      </c>
      <c r="CT1559" s="13">
        <f t="shared" si="1141"/>
        <v>30</v>
      </c>
      <c r="CU1559" s="13">
        <f t="shared" si="1142"/>
        <v>47</v>
      </c>
      <c r="CV1559" s="14">
        <f t="shared" si="1144"/>
        <v>3</v>
      </c>
      <c r="CW1559" s="14">
        <f t="shared" si="1145"/>
        <v>1102998</v>
      </c>
      <c r="CX1559" s="14" t="str">
        <f>INDEX($O$6:$O$50,CT1559)&amp;"-"&amp;INDEX(属性投放!$AB$7:$AB$50,CZ1559)&amp;"-魂火-"&amp;DB1559</f>
        <v>SR守护灵-无间-魂火-2</v>
      </c>
      <c r="CY1559" s="25" t="s">
        <v>142</v>
      </c>
      <c r="CZ1559" s="14">
        <f>INDEX(属性投放!$AM$7:$AM$58,CU1559)</f>
        <v>19</v>
      </c>
      <c r="DA1559" s="14" t="s">
        <v>537</v>
      </c>
      <c r="DB1559" s="14">
        <f>INDEX(属性投放!$AN$7:$AN$58,CU1559)</f>
        <v>2</v>
      </c>
      <c r="DC1559" s="14">
        <f t="shared" si="1143"/>
        <v>47</v>
      </c>
      <c r="DD1559" s="14">
        <f>INDEX(属性投放!$AO$7:$AO$58,DC1559)</f>
        <v>135</v>
      </c>
      <c r="DE1559" s="14" t="s">
        <v>242</v>
      </c>
      <c r="DF1559" s="14">
        <f>INDEX(属性投放!$BK$6:$BK$85,(CV1559-2)*20+CZ1559)</f>
        <v>900</v>
      </c>
      <c r="DG1559" s="14">
        <f>SUMIFS(DF$5:DF1559,$CT$5:$CT1559,"="&amp;$CT1559)</f>
        <v>12470</v>
      </c>
      <c r="DH1559" s="14" t="s">
        <v>116</v>
      </c>
      <c r="DI1559" s="14">
        <f>INDEX(属性投放!$BL$6:$BL$85,(CV1559-2)*20+CZ1559)</f>
        <v>450</v>
      </c>
      <c r="DJ1559" s="14">
        <f>SUMIFS(DI$5:DI1559,$CT$5:$CT1559,"="&amp;$CT1559)</f>
        <v>6238</v>
      </c>
      <c r="DK1559" s="14" t="s">
        <v>25</v>
      </c>
      <c r="DL1559" s="14">
        <f>INDEX(属性投放!$BM$6:$BM$85,(CV1559-2)*20+CZ1559)</f>
        <v>9000</v>
      </c>
      <c r="DM1559" s="14">
        <f>SUMIFS(DL$5:DL1559,$CT$5:$CT1559,"="&amp;$CT1559)</f>
        <v>120740</v>
      </c>
    </row>
    <row r="1560" spans="97:117" ht="16.5" x14ac:dyDescent="0.2">
      <c r="CS1560" s="13">
        <v>1556</v>
      </c>
      <c r="CT1560" s="13">
        <f t="shared" si="1141"/>
        <v>30</v>
      </c>
      <c r="CU1560" s="13">
        <f t="shared" si="1142"/>
        <v>48</v>
      </c>
      <c r="CV1560" s="14">
        <f t="shared" si="1144"/>
        <v>3</v>
      </c>
      <c r="CW1560" s="14">
        <f t="shared" si="1145"/>
        <v>1102998</v>
      </c>
      <c r="CX1560" s="14" t="str">
        <f>INDEX($O$6:$O$50,CT1560)&amp;"-"&amp;INDEX(属性投放!$AB$7:$AB$50,CZ1560)&amp;"-魂火-"&amp;DB1560</f>
        <v>SR守护灵-无间-魂火-3</v>
      </c>
      <c r="CY1560" s="25" t="s">
        <v>142</v>
      </c>
      <c r="CZ1560" s="14">
        <f>INDEX(属性投放!$AM$7:$AM$58,CU1560)</f>
        <v>19</v>
      </c>
      <c r="DA1560" s="14" t="s">
        <v>537</v>
      </c>
      <c r="DB1560" s="14">
        <f>INDEX(属性投放!$AN$7:$AN$58,CU1560)</f>
        <v>3</v>
      </c>
      <c r="DC1560" s="14">
        <f t="shared" si="1143"/>
        <v>48</v>
      </c>
      <c r="DD1560" s="14">
        <f>INDEX(属性投放!$AO$7:$AO$58,DC1560)</f>
        <v>138</v>
      </c>
      <c r="DE1560" s="14" t="s">
        <v>242</v>
      </c>
      <c r="DF1560" s="14">
        <f>INDEX(属性投放!$BK$6:$BK$85,(CV1560-2)*20+CZ1560)</f>
        <v>900</v>
      </c>
      <c r="DG1560" s="14">
        <f>SUMIFS(DF$5:DF1560,$CT$5:$CT1560,"="&amp;$CT1560)</f>
        <v>13370</v>
      </c>
      <c r="DH1560" s="14" t="s">
        <v>116</v>
      </c>
      <c r="DI1560" s="14">
        <f>INDEX(属性投放!$BL$6:$BL$85,(CV1560-2)*20+CZ1560)</f>
        <v>450</v>
      </c>
      <c r="DJ1560" s="14">
        <f>SUMIFS(DI$5:DI1560,$CT$5:$CT1560,"="&amp;$CT1560)</f>
        <v>6688</v>
      </c>
      <c r="DK1560" s="14" t="s">
        <v>25</v>
      </c>
      <c r="DL1560" s="14">
        <f>INDEX(属性投放!$BM$6:$BM$85,(CV1560-2)*20+CZ1560)</f>
        <v>9000</v>
      </c>
      <c r="DM1560" s="14">
        <f>SUMIFS(DL$5:DL1560,$CT$5:$CT1560,"="&amp;$CT1560)</f>
        <v>129740</v>
      </c>
    </row>
    <row r="1561" spans="97:117" ht="16.5" x14ac:dyDescent="0.2">
      <c r="CS1561" s="13">
        <v>1557</v>
      </c>
      <c r="CT1561" s="13">
        <f t="shared" si="1141"/>
        <v>30</v>
      </c>
      <c r="CU1561" s="13">
        <f t="shared" si="1142"/>
        <v>49</v>
      </c>
      <c r="CV1561" s="14">
        <f t="shared" si="1144"/>
        <v>3</v>
      </c>
      <c r="CW1561" s="14">
        <f t="shared" si="1145"/>
        <v>1102998</v>
      </c>
      <c r="CX1561" s="14" t="str">
        <f>INDEX($O$6:$O$50,CT1561)&amp;"-"&amp;INDEX(属性投放!$AB$7:$AB$50,CZ1561)&amp;"-魂火-"&amp;DB1561</f>
        <v>SR守护灵-无间+1-魂火-1</v>
      </c>
      <c r="CY1561" s="25" t="s">
        <v>142</v>
      </c>
      <c r="CZ1561" s="14">
        <f>INDEX(属性投放!$AM$7:$AM$58,CU1561)</f>
        <v>20</v>
      </c>
      <c r="DA1561" s="14" t="s">
        <v>537</v>
      </c>
      <c r="DB1561" s="14">
        <f>INDEX(属性投放!$AN$7:$AN$58,CU1561)</f>
        <v>1</v>
      </c>
      <c r="DC1561" s="14">
        <f t="shared" si="1143"/>
        <v>49</v>
      </c>
      <c r="DD1561" s="14">
        <f>INDEX(属性投放!$AO$7:$AO$58,DC1561)</f>
        <v>140</v>
      </c>
      <c r="DE1561" s="14" t="s">
        <v>242</v>
      </c>
      <c r="DF1561" s="14">
        <f>INDEX(属性投放!$BK$6:$BK$85,(CV1561-2)*20+CZ1561)</f>
        <v>1000</v>
      </c>
      <c r="DG1561" s="14">
        <f>SUMIFS(DF$5:DF1561,$CT$5:$CT1561,"="&amp;$CT1561)</f>
        <v>14370</v>
      </c>
      <c r="DH1561" s="14" t="s">
        <v>116</v>
      </c>
      <c r="DI1561" s="14">
        <f>INDEX(属性投放!$BL$6:$BL$85,(CV1561-2)*20+CZ1561)</f>
        <v>500</v>
      </c>
      <c r="DJ1561" s="14">
        <f>SUMIFS(DI$5:DI1561,$CT$5:$CT1561,"="&amp;$CT1561)</f>
        <v>7188</v>
      </c>
      <c r="DK1561" s="14" t="s">
        <v>25</v>
      </c>
      <c r="DL1561" s="14">
        <f>INDEX(属性投放!$BM$6:$BM$85,(CV1561-2)*20+CZ1561)</f>
        <v>10000</v>
      </c>
      <c r="DM1561" s="14">
        <f>SUMIFS(DL$5:DL1561,$CT$5:$CT1561,"="&amp;$CT1561)</f>
        <v>139740</v>
      </c>
    </row>
    <row r="1562" spans="97:117" ht="16.5" x14ac:dyDescent="0.2">
      <c r="CS1562" s="13">
        <v>1558</v>
      </c>
      <c r="CT1562" s="13">
        <f t="shared" si="1141"/>
        <v>30</v>
      </c>
      <c r="CU1562" s="13">
        <f t="shared" si="1142"/>
        <v>50</v>
      </c>
      <c r="CV1562" s="14">
        <f t="shared" si="1144"/>
        <v>3</v>
      </c>
      <c r="CW1562" s="14">
        <f t="shared" si="1145"/>
        <v>1102998</v>
      </c>
      <c r="CX1562" s="14" t="str">
        <f>INDEX($O$6:$O$50,CT1562)&amp;"-"&amp;INDEX(属性投放!$AB$7:$AB$50,CZ1562)&amp;"-魂火-"&amp;DB1562</f>
        <v>SR守护灵-无间+1-魂火-2</v>
      </c>
      <c r="CY1562" s="25" t="s">
        <v>142</v>
      </c>
      <c r="CZ1562" s="14">
        <f>INDEX(属性投放!$AM$7:$AM$58,CU1562)</f>
        <v>20</v>
      </c>
      <c r="DA1562" s="14" t="s">
        <v>537</v>
      </c>
      <c r="DB1562" s="14">
        <f>INDEX(属性投放!$AN$7:$AN$58,CU1562)</f>
        <v>2</v>
      </c>
      <c r="DC1562" s="14">
        <f t="shared" si="1143"/>
        <v>50</v>
      </c>
      <c r="DD1562" s="14">
        <f>INDEX(属性投放!$AO$7:$AO$58,DC1562)</f>
        <v>143</v>
      </c>
      <c r="DE1562" s="14" t="s">
        <v>242</v>
      </c>
      <c r="DF1562" s="14">
        <f>INDEX(属性投放!$BK$6:$BK$85,(CV1562-2)*20+CZ1562)</f>
        <v>1000</v>
      </c>
      <c r="DG1562" s="14">
        <f>SUMIFS(DF$5:DF1562,$CT$5:$CT1562,"="&amp;$CT1562)</f>
        <v>15370</v>
      </c>
      <c r="DH1562" s="14" t="s">
        <v>116</v>
      </c>
      <c r="DI1562" s="14">
        <f>INDEX(属性投放!$BL$6:$BL$85,(CV1562-2)*20+CZ1562)</f>
        <v>500</v>
      </c>
      <c r="DJ1562" s="14">
        <f>SUMIFS(DI$5:DI1562,$CT$5:$CT1562,"="&amp;$CT1562)</f>
        <v>7688</v>
      </c>
      <c r="DK1562" s="14" t="s">
        <v>25</v>
      </c>
      <c r="DL1562" s="14">
        <f>INDEX(属性投放!$BM$6:$BM$85,(CV1562-2)*20+CZ1562)</f>
        <v>10000</v>
      </c>
      <c r="DM1562" s="14">
        <f>SUMIFS(DL$5:DL1562,$CT$5:$CT1562,"="&amp;$CT1562)</f>
        <v>149740</v>
      </c>
    </row>
    <row r="1563" spans="97:117" ht="16.5" x14ac:dyDescent="0.2">
      <c r="CS1563" s="13">
        <v>1559</v>
      </c>
      <c r="CT1563" s="13">
        <f t="shared" si="1141"/>
        <v>30</v>
      </c>
      <c r="CU1563" s="13">
        <f t="shared" si="1142"/>
        <v>51</v>
      </c>
      <c r="CV1563" s="14">
        <f t="shared" si="1144"/>
        <v>3</v>
      </c>
      <c r="CW1563" s="14">
        <f t="shared" si="1145"/>
        <v>1102998</v>
      </c>
      <c r="CX1563" s="14" t="str">
        <f>INDEX($O$6:$O$50,CT1563)&amp;"-"&amp;INDEX(属性投放!$AB$7:$AB$50,CZ1563)&amp;"-魂火-"&amp;DB1563</f>
        <v>SR守护灵-无间+1-魂火-3</v>
      </c>
      <c r="CY1563" s="25" t="s">
        <v>142</v>
      </c>
      <c r="CZ1563" s="14">
        <f>INDEX(属性投放!$AM$7:$AM$58,CU1563)</f>
        <v>20</v>
      </c>
      <c r="DA1563" s="14" t="s">
        <v>537</v>
      </c>
      <c r="DB1563" s="14">
        <f>INDEX(属性投放!$AN$7:$AN$58,CU1563)</f>
        <v>3</v>
      </c>
      <c r="DC1563" s="14">
        <f t="shared" si="1143"/>
        <v>51</v>
      </c>
      <c r="DD1563" s="14">
        <f>INDEX(属性投放!$AO$7:$AO$58,DC1563)</f>
        <v>145</v>
      </c>
      <c r="DE1563" s="14" t="s">
        <v>242</v>
      </c>
      <c r="DF1563" s="14">
        <f>INDEX(属性投放!$BK$6:$BK$85,(CV1563-2)*20+CZ1563)</f>
        <v>1000</v>
      </c>
      <c r="DG1563" s="14">
        <f>SUMIFS(DF$5:DF1563,$CT$5:$CT1563,"="&amp;$CT1563)</f>
        <v>16370</v>
      </c>
      <c r="DH1563" s="14" t="s">
        <v>116</v>
      </c>
      <c r="DI1563" s="14">
        <f>INDEX(属性投放!$BL$6:$BL$85,(CV1563-2)*20+CZ1563)</f>
        <v>500</v>
      </c>
      <c r="DJ1563" s="14">
        <f>SUMIFS(DI$5:DI1563,$CT$5:$CT1563,"="&amp;$CT1563)</f>
        <v>8188</v>
      </c>
      <c r="DK1563" s="14" t="s">
        <v>25</v>
      </c>
      <c r="DL1563" s="14">
        <f>INDEX(属性投放!$BM$6:$BM$85,(CV1563-2)*20+CZ1563)</f>
        <v>10000</v>
      </c>
      <c r="DM1563" s="14">
        <f>SUMIFS(DL$5:DL1563,$CT$5:$CT1563,"="&amp;$CT1563)</f>
        <v>159740</v>
      </c>
    </row>
    <row r="1564" spans="97:117" ht="16.5" x14ac:dyDescent="0.2">
      <c r="CS1564" s="13">
        <v>1560</v>
      </c>
      <c r="CT1564" s="13">
        <f t="shared" si="1141"/>
        <v>30</v>
      </c>
      <c r="CU1564" s="13">
        <f t="shared" si="1142"/>
        <v>52</v>
      </c>
      <c r="CV1564" s="14">
        <f t="shared" si="1144"/>
        <v>3</v>
      </c>
      <c r="CW1564" s="14">
        <f t="shared" si="1145"/>
        <v>1102998</v>
      </c>
      <c r="CX1564" s="14" t="str">
        <f>INDEX($O$6:$O$50,CT1564)&amp;"-"&amp;INDEX(属性投放!$AB$7:$AB$50,CZ1564)&amp;"-魂火-"&amp;DB1564</f>
        <v>SR守护灵-无间+1-魂火-4</v>
      </c>
      <c r="CY1564" s="25" t="s">
        <v>142</v>
      </c>
      <c r="CZ1564" s="14">
        <f>INDEX(属性投放!$AM$7:$AM$58,CU1564)</f>
        <v>20</v>
      </c>
      <c r="DA1564" s="14" t="s">
        <v>537</v>
      </c>
      <c r="DB1564" s="14">
        <f>INDEX(属性投放!$AN$7:$AN$58,CU1564)</f>
        <v>4</v>
      </c>
      <c r="DC1564" s="14">
        <f t="shared" si="1143"/>
        <v>52</v>
      </c>
      <c r="DD1564" s="14">
        <f>INDEX(属性投放!$AO$7:$AO$58,DC1564)</f>
        <v>148</v>
      </c>
      <c r="DE1564" s="14" t="s">
        <v>242</v>
      </c>
      <c r="DF1564" s="14">
        <f>INDEX(属性投放!$BK$6:$BK$85,(CV1564-2)*20+CZ1564)</f>
        <v>1000</v>
      </c>
      <c r="DG1564" s="14">
        <f>SUMIFS(DF$5:DF1564,$CT$5:$CT1564,"="&amp;$CT1564)</f>
        <v>17370</v>
      </c>
      <c r="DH1564" s="14" t="s">
        <v>116</v>
      </c>
      <c r="DI1564" s="14">
        <f>INDEX(属性投放!$BL$6:$BL$85,(CV1564-2)*20+CZ1564)</f>
        <v>500</v>
      </c>
      <c r="DJ1564" s="14">
        <f>SUMIFS(DI$5:DI1564,$CT$5:$CT1564,"="&amp;$CT1564)</f>
        <v>8688</v>
      </c>
      <c r="DK1564" s="14" t="s">
        <v>25</v>
      </c>
      <c r="DL1564" s="14">
        <f>INDEX(属性投放!$BM$6:$BM$85,(CV1564-2)*20+CZ1564)</f>
        <v>10000</v>
      </c>
      <c r="DM1564" s="14">
        <f>SUMIFS(DL$5:DL1564,$CT$5:$CT1564,"="&amp;$CT1564)</f>
        <v>169740</v>
      </c>
    </row>
    <row r="1565" spans="97:117" ht="16.5" x14ac:dyDescent="0.2">
      <c r="CS1565" s="13">
        <v>1561</v>
      </c>
      <c r="CT1565" s="13">
        <f t="shared" si="1141"/>
        <v>31</v>
      </c>
      <c r="CU1565" s="13">
        <f t="shared" si="1142"/>
        <v>1</v>
      </c>
      <c r="CV1565" s="14">
        <f t="shared" si="1144"/>
        <v>4</v>
      </c>
      <c r="CW1565" s="14">
        <f t="shared" si="1145"/>
        <v>1102997</v>
      </c>
      <c r="CX1565" s="14" t="str">
        <f>INDEX($O$6:$O$50,CT1565)&amp;"-"&amp;INDEX(属性投放!$AB$7:$AB$50,CZ1565)&amp;"-魂火-"&amp;DB1565</f>
        <v>SSR守护灵-等活-魂火-1</v>
      </c>
      <c r="CY1565" s="25" t="s">
        <v>142</v>
      </c>
      <c r="CZ1565" s="14">
        <f>INDEX(属性投放!$AM$7:$AM$58,CU1565)</f>
        <v>1</v>
      </c>
      <c r="DA1565" s="14" t="s">
        <v>537</v>
      </c>
      <c r="DB1565" s="14">
        <f>INDEX(属性投放!$AN$7:$AN$58,CU1565)</f>
        <v>1</v>
      </c>
      <c r="DC1565" s="14">
        <f t="shared" si="1143"/>
        <v>1</v>
      </c>
      <c r="DD1565" s="14">
        <f>INDEX(属性投放!$AO$7:$AO$58,DC1565)</f>
        <v>3</v>
      </c>
      <c r="DE1565" s="14" t="s">
        <v>242</v>
      </c>
      <c r="DF1565" s="14">
        <f>INDEX(属性投放!$BK$6:$BK$85,(CV1565-2)*20+CZ1565)</f>
        <v>25</v>
      </c>
      <c r="DG1565" s="14">
        <f>SUMIFS(DF$5:DF1565,$CT$5:$CT1565,"="&amp;$CT1565)</f>
        <v>25</v>
      </c>
      <c r="DH1565" s="14" t="s">
        <v>116</v>
      </c>
      <c r="DI1565" s="14">
        <f>INDEX(属性投放!$BL$6:$BL$85,(CV1565-2)*20+CZ1565)</f>
        <v>13</v>
      </c>
      <c r="DJ1565" s="14">
        <f>SUMIFS(DI$5:DI1565,$CT$5:$CT1565,"="&amp;$CT1565)</f>
        <v>13</v>
      </c>
      <c r="DK1565" s="14" t="s">
        <v>25</v>
      </c>
      <c r="DL1565" s="14">
        <f>INDEX(属性投放!$BM$6:$BM$85,(CV1565-2)*20+CZ1565)</f>
        <v>150</v>
      </c>
      <c r="DM1565" s="14">
        <f>SUMIFS(DL$5:DL1565,$CT$5:$CT1565,"="&amp;$CT1565)</f>
        <v>150</v>
      </c>
    </row>
    <row r="1566" spans="97:117" ht="16.5" x14ac:dyDescent="0.2">
      <c r="CS1566" s="13">
        <v>1562</v>
      </c>
      <c r="CT1566" s="13">
        <f t="shared" si="1141"/>
        <v>31</v>
      </c>
      <c r="CU1566" s="13">
        <f t="shared" si="1142"/>
        <v>2</v>
      </c>
      <c r="CV1566" s="14">
        <f t="shared" si="1144"/>
        <v>4</v>
      </c>
      <c r="CW1566" s="14">
        <f t="shared" si="1145"/>
        <v>1102997</v>
      </c>
      <c r="CX1566" s="14" t="str">
        <f>INDEX($O$6:$O$50,CT1566)&amp;"-"&amp;INDEX(属性投放!$AB$7:$AB$50,CZ1566)&amp;"-魂火-"&amp;DB1566</f>
        <v>SSR守护灵-黑绳-魂火-1</v>
      </c>
      <c r="CY1566" s="25" t="s">
        <v>142</v>
      </c>
      <c r="CZ1566" s="14">
        <f>INDEX(属性投放!$AM$7:$AM$58,CU1566)</f>
        <v>2</v>
      </c>
      <c r="DA1566" s="14" t="s">
        <v>537</v>
      </c>
      <c r="DB1566" s="14">
        <f>INDEX(属性投放!$AN$7:$AN$58,CU1566)</f>
        <v>1</v>
      </c>
      <c r="DC1566" s="14">
        <f t="shared" si="1143"/>
        <v>2</v>
      </c>
      <c r="DD1566" s="14">
        <f>INDEX(属性投放!$AO$7:$AO$58,DC1566)</f>
        <v>8</v>
      </c>
      <c r="DE1566" s="14" t="s">
        <v>242</v>
      </c>
      <c r="DF1566" s="14">
        <f>INDEX(属性投放!$BK$6:$BK$85,(CV1566-2)*20+CZ1566)</f>
        <v>30</v>
      </c>
      <c r="DG1566" s="14">
        <f>SUMIFS(DF$5:DF1566,$CT$5:$CT1566,"="&amp;$CT1566)</f>
        <v>55</v>
      </c>
      <c r="DH1566" s="14" t="s">
        <v>116</v>
      </c>
      <c r="DI1566" s="14">
        <f>INDEX(属性投放!$BL$6:$BL$85,(CV1566-2)*20+CZ1566)</f>
        <v>15</v>
      </c>
      <c r="DJ1566" s="14">
        <f>SUMIFS(DI$5:DI1566,$CT$5:$CT1566,"="&amp;$CT1566)</f>
        <v>28</v>
      </c>
      <c r="DK1566" s="14" t="s">
        <v>25</v>
      </c>
      <c r="DL1566" s="14">
        <f>INDEX(属性投放!$BM$6:$BM$85,(CV1566-2)*20+CZ1566)</f>
        <v>180</v>
      </c>
      <c r="DM1566" s="14">
        <f>SUMIFS(DL$5:DL1566,$CT$5:$CT1566,"="&amp;$CT1566)</f>
        <v>330</v>
      </c>
    </row>
    <row r="1567" spans="97:117" ht="16.5" x14ac:dyDescent="0.2">
      <c r="CS1567" s="13">
        <v>1563</v>
      </c>
      <c r="CT1567" s="13">
        <f t="shared" si="1141"/>
        <v>31</v>
      </c>
      <c r="CU1567" s="13">
        <f t="shared" si="1142"/>
        <v>3</v>
      </c>
      <c r="CV1567" s="14">
        <f t="shared" si="1144"/>
        <v>4</v>
      </c>
      <c r="CW1567" s="14">
        <f t="shared" si="1145"/>
        <v>1102997</v>
      </c>
      <c r="CX1567" s="14" t="str">
        <f>INDEX($O$6:$O$50,CT1567)&amp;"-"&amp;INDEX(属性投放!$AB$7:$AB$50,CZ1567)&amp;"-魂火-"&amp;DB1567</f>
        <v>SSR守护灵-黑绳-魂火-2</v>
      </c>
      <c r="CY1567" s="25" t="s">
        <v>142</v>
      </c>
      <c r="CZ1567" s="14">
        <f>INDEX(属性投放!$AM$7:$AM$58,CU1567)</f>
        <v>2</v>
      </c>
      <c r="DA1567" s="14" t="s">
        <v>537</v>
      </c>
      <c r="DB1567" s="14">
        <f>INDEX(属性投放!$AN$7:$AN$58,CU1567)</f>
        <v>2</v>
      </c>
      <c r="DC1567" s="14">
        <f t="shared" si="1143"/>
        <v>3</v>
      </c>
      <c r="DD1567" s="14">
        <f>INDEX(属性投放!$AO$7:$AO$58,DC1567)</f>
        <v>13</v>
      </c>
      <c r="DE1567" s="14" t="s">
        <v>242</v>
      </c>
      <c r="DF1567" s="14">
        <f>INDEX(属性投放!$BK$6:$BK$85,(CV1567-2)*20+CZ1567)</f>
        <v>30</v>
      </c>
      <c r="DG1567" s="14">
        <f>SUMIFS(DF$5:DF1567,$CT$5:$CT1567,"="&amp;$CT1567)</f>
        <v>85</v>
      </c>
      <c r="DH1567" s="14" t="s">
        <v>116</v>
      </c>
      <c r="DI1567" s="14">
        <f>INDEX(属性投放!$BL$6:$BL$85,(CV1567-2)*20+CZ1567)</f>
        <v>15</v>
      </c>
      <c r="DJ1567" s="14">
        <f>SUMIFS(DI$5:DI1567,$CT$5:$CT1567,"="&amp;$CT1567)</f>
        <v>43</v>
      </c>
      <c r="DK1567" s="14" t="s">
        <v>25</v>
      </c>
      <c r="DL1567" s="14">
        <f>INDEX(属性投放!$BM$6:$BM$85,(CV1567-2)*20+CZ1567)</f>
        <v>180</v>
      </c>
      <c r="DM1567" s="14">
        <f>SUMIFS(DL$5:DL1567,$CT$5:$CT1567,"="&amp;$CT1567)</f>
        <v>510</v>
      </c>
    </row>
    <row r="1568" spans="97:117" ht="16.5" x14ac:dyDescent="0.2">
      <c r="CS1568" s="13">
        <v>1564</v>
      </c>
      <c r="CT1568" s="13">
        <f t="shared" si="1141"/>
        <v>31</v>
      </c>
      <c r="CU1568" s="13">
        <f t="shared" si="1142"/>
        <v>4</v>
      </c>
      <c r="CV1568" s="14">
        <f t="shared" si="1144"/>
        <v>4</v>
      </c>
      <c r="CW1568" s="14">
        <f t="shared" si="1145"/>
        <v>1102997</v>
      </c>
      <c r="CX1568" s="14" t="str">
        <f>INDEX($O$6:$O$50,CT1568)&amp;"-"&amp;INDEX(属性投放!$AB$7:$AB$50,CZ1568)&amp;"-魂火-"&amp;DB1568</f>
        <v>SSR守护灵-黑绳+1-魂火-1</v>
      </c>
      <c r="CY1568" s="25" t="s">
        <v>142</v>
      </c>
      <c r="CZ1568" s="14">
        <f>INDEX(属性投放!$AM$7:$AM$58,CU1568)</f>
        <v>3</v>
      </c>
      <c r="DA1568" s="14" t="s">
        <v>537</v>
      </c>
      <c r="DB1568" s="14">
        <f>INDEX(属性投放!$AN$7:$AN$58,CU1568)</f>
        <v>1</v>
      </c>
      <c r="DC1568" s="14">
        <f t="shared" si="1143"/>
        <v>4</v>
      </c>
      <c r="DD1568" s="14">
        <f>INDEX(属性投放!$AO$7:$AO$58,DC1568)</f>
        <v>18</v>
      </c>
      <c r="DE1568" s="14" t="s">
        <v>242</v>
      </c>
      <c r="DF1568" s="14">
        <f>INDEX(属性投放!$BK$6:$BK$85,(CV1568-2)*20+CZ1568)</f>
        <v>35</v>
      </c>
      <c r="DG1568" s="14">
        <f>SUMIFS(DF$5:DF1568,$CT$5:$CT1568,"="&amp;$CT1568)</f>
        <v>120</v>
      </c>
      <c r="DH1568" s="14" t="s">
        <v>116</v>
      </c>
      <c r="DI1568" s="14">
        <f>INDEX(属性投放!$BL$6:$BL$85,(CV1568-2)*20+CZ1568)</f>
        <v>18</v>
      </c>
      <c r="DJ1568" s="14">
        <f>SUMIFS(DI$5:DI1568,$CT$5:$CT1568,"="&amp;$CT1568)</f>
        <v>61</v>
      </c>
      <c r="DK1568" s="14" t="s">
        <v>25</v>
      </c>
      <c r="DL1568" s="14">
        <f>INDEX(属性投放!$BM$6:$BM$85,(CV1568-2)*20+CZ1568)</f>
        <v>210</v>
      </c>
      <c r="DM1568" s="14">
        <f>SUMIFS(DL$5:DL1568,$CT$5:$CT1568,"="&amp;$CT1568)</f>
        <v>720</v>
      </c>
    </row>
    <row r="1569" spans="97:117" ht="16.5" x14ac:dyDescent="0.2">
      <c r="CS1569" s="13">
        <v>1565</v>
      </c>
      <c r="CT1569" s="13">
        <f t="shared" si="1141"/>
        <v>31</v>
      </c>
      <c r="CU1569" s="13">
        <f t="shared" si="1142"/>
        <v>5</v>
      </c>
      <c r="CV1569" s="14">
        <f t="shared" si="1144"/>
        <v>4</v>
      </c>
      <c r="CW1569" s="14">
        <f t="shared" si="1145"/>
        <v>1102997</v>
      </c>
      <c r="CX1569" s="14" t="str">
        <f>INDEX($O$6:$O$50,CT1569)&amp;"-"&amp;INDEX(属性投放!$AB$7:$AB$50,CZ1569)&amp;"-魂火-"&amp;DB1569</f>
        <v>SSR守护灵-黑绳+1-魂火-2</v>
      </c>
      <c r="CY1569" s="25" t="s">
        <v>142</v>
      </c>
      <c r="CZ1569" s="14">
        <f>INDEX(属性投放!$AM$7:$AM$58,CU1569)</f>
        <v>3</v>
      </c>
      <c r="DA1569" s="14" t="s">
        <v>537</v>
      </c>
      <c r="DB1569" s="14">
        <f>INDEX(属性投放!$AN$7:$AN$58,CU1569)</f>
        <v>2</v>
      </c>
      <c r="DC1569" s="14">
        <f t="shared" si="1143"/>
        <v>5</v>
      </c>
      <c r="DD1569" s="14">
        <f>INDEX(属性投放!$AO$7:$AO$58,DC1569)</f>
        <v>23</v>
      </c>
      <c r="DE1569" s="14" t="s">
        <v>242</v>
      </c>
      <c r="DF1569" s="14">
        <f>INDEX(属性投放!$BK$6:$BK$85,(CV1569-2)*20+CZ1569)</f>
        <v>35</v>
      </c>
      <c r="DG1569" s="14">
        <f>SUMIFS(DF$5:DF1569,$CT$5:$CT1569,"="&amp;$CT1569)</f>
        <v>155</v>
      </c>
      <c r="DH1569" s="14" t="s">
        <v>116</v>
      </c>
      <c r="DI1569" s="14">
        <f>INDEX(属性投放!$BL$6:$BL$85,(CV1569-2)*20+CZ1569)</f>
        <v>18</v>
      </c>
      <c r="DJ1569" s="14">
        <f>SUMIFS(DI$5:DI1569,$CT$5:$CT1569,"="&amp;$CT1569)</f>
        <v>79</v>
      </c>
      <c r="DK1569" s="14" t="s">
        <v>25</v>
      </c>
      <c r="DL1569" s="14">
        <f>INDEX(属性投放!$BM$6:$BM$85,(CV1569-2)*20+CZ1569)</f>
        <v>210</v>
      </c>
      <c r="DM1569" s="14">
        <f>SUMIFS(DL$5:DL1569,$CT$5:$CT1569,"="&amp;$CT1569)</f>
        <v>930</v>
      </c>
    </row>
    <row r="1570" spans="97:117" ht="16.5" x14ac:dyDescent="0.2">
      <c r="CS1570" s="13">
        <v>1566</v>
      </c>
      <c r="CT1570" s="13">
        <f t="shared" si="1141"/>
        <v>31</v>
      </c>
      <c r="CU1570" s="13">
        <f t="shared" si="1142"/>
        <v>6</v>
      </c>
      <c r="CV1570" s="14">
        <f t="shared" si="1144"/>
        <v>4</v>
      </c>
      <c r="CW1570" s="14">
        <f t="shared" si="1145"/>
        <v>1102997</v>
      </c>
      <c r="CX1570" s="14" t="str">
        <f>INDEX($O$6:$O$50,CT1570)&amp;"-"&amp;INDEX(属性投放!$AB$7:$AB$50,CZ1570)&amp;"-魂火-"&amp;DB1570</f>
        <v>SSR守护灵-众合-魂火-1</v>
      </c>
      <c r="CY1570" s="25" t="s">
        <v>142</v>
      </c>
      <c r="CZ1570" s="14">
        <f>INDEX(属性投放!$AM$7:$AM$58,CU1570)</f>
        <v>4</v>
      </c>
      <c r="DA1570" s="14" t="s">
        <v>537</v>
      </c>
      <c r="DB1570" s="14">
        <f>INDEX(属性投放!$AN$7:$AN$58,CU1570)</f>
        <v>1</v>
      </c>
      <c r="DC1570" s="14">
        <f t="shared" si="1143"/>
        <v>6</v>
      </c>
      <c r="DD1570" s="14">
        <f>INDEX(属性投放!$AO$7:$AO$58,DC1570)</f>
        <v>28</v>
      </c>
      <c r="DE1570" s="14" t="s">
        <v>242</v>
      </c>
      <c r="DF1570" s="14">
        <f>INDEX(属性投放!$BK$6:$BK$85,(CV1570-2)*20+CZ1570)</f>
        <v>45</v>
      </c>
      <c r="DG1570" s="14">
        <f>SUMIFS(DF$5:DF1570,$CT$5:$CT1570,"="&amp;$CT1570)</f>
        <v>200</v>
      </c>
      <c r="DH1570" s="14" t="s">
        <v>116</v>
      </c>
      <c r="DI1570" s="14">
        <f>INDEX(属性投放!$BL$6:$BL$85,(CV1570-2)*20+CZ1570)</f>
        <v>23</v>
      </c>
      <c r="DJ1570" s="14">
        <f>SUMIFS(DI$5:DI1570,$CT$5:$CT1570,"="&amp;$CT1570)</f>
        <v>102</v>
      </c>
      <c r="DK1570" s="14" t="s">
        <v>25</v>
      </c>
      <c r="DL1570" s="14">
        <f>INDEX(属性投放!$BM$6:$BM$85,(CV1570-2)*20+CZ1570)</f>
        <v>315</v>
      </c>
      <c r="DM1570" s="14">
        <f>SUMIFS(DL$5:DL1570,$CT$5:$CT1570,"="&amp;$CT1570)</f>
        <v>1245</v>
      </c>
    </row>
    <row r="1571" spans="97:117" ht="16.5" x14ac:dyDescent="0.2">
      <c r="CS1571" s="13">
        <v>1567</v>
      </c>
      <c r="CT1571" s="13">
        <f t="shared" si="1141"/>
        <v>31</v>
      </c>
      <c r="CU1571" s="13">
        <f t="shared" si="1142"/>
        <v>7</v>
      </c>
      <c r="CV1571" s="14">
        <f t="shared" si="1144"/>
        <v>4</v>
      </c>
      <c r="CW1571" s="14">
        <f t="shared" si="1145"/>
        <v>1102997</v>
      </c>
      <c r="CX1571" s="14" t="str">
        <f>INDEX($O$6:$O$50,CT1571)&amp;"-"&amp;INDEX(属性投放!$AB$7:$AB$50,CZ1571)&amp;"-魂火-"&amp;DB1571</f>
        <v>SSR守护灵-众合-魂火-2</v>
      </c>
      <c r="CY1571" s="25" t="s">
        <v>142</v>
      </c>
      <c r="CZ1571" s="14">
        <f>INDEX(属性投放!$AM$7:$AM$58,CU1571)</f>
        <v>4</v>
      </c>
      <c r="DA1571" s="14" t="s">
        <v>537</v>
      </c>
      <c r="DB1571" s="14">
        <f>INDEX(属性投放!$AN$7:$AN$58,CU1571)</f>
        <v>2</v>
      </c>
      <c r="DC1571" s="14">
        <f t="shared" si="1143"/>
        <v>7</v>
      </c>
      <c r="DD1571" s="14">
        <f>INDEX(属性投放!$AO$7:$AO$58,DC1571)</f>
        <v>33</v>
      </c>
      <c r="DE1571" s="14" t="s">
        <v>242</v>
      </c>
      <c r="DF1571" s="14">
        <f>INDEX(属性投放!$BK$6:$BK$85,(CV1571-2)*20+CZ1571)</f>
        <v>45</v>
      </c>
      <c r="DG1571" s="14">
        <f>SUMIFS(DF$5:DF1571,$CT$5:$CT1571,"="&amp;$CT1571)</f>
        <v>245</v>
      </c>
      <c r="DH1571" s="14" t="s">
        <v>116</v>
      </c>
      <c r="DI1571" s="14">
        <f>INDEX(属性投放!$BL$6:$BL$85,(CV1571-2)*20+CZ1571)</f>
        <v>23</v>
      </c>
      <c r="DJ1571" s="14">
        <f>SUMIFS(DI$5:DI1571,$CT$5:$CT1571,"="&amp;$CT1571)</f>
        <v>125</v>
      </c>
      <c r="DK1571" s="14" t="s">
        <v>25</v>
      </c>
      <c r="DL1571" s="14">
        <f>INDEX(属性投放!$BM$6:$BM$85,(CV1571-2)*20+CZ1571)</f>
        <v>315</v>
      </c>
      <c r="DM1571" s="14">
        <f>SUMIFS(DL$5:DL1571,$CT$5:$CT1571,"="&amp;$CT1571)</f>
        <v>1560</v>
      </c>
    </row>
    <row r="1572" spans="97:117" ht="16.5" x14ac:dyDescent="0.2">
      <c r="CS1572" s="13">
        <v>1568</v>
      </c>
      <c r="CT1572" s="13">
        <f t="shared" si="1141"/>
        <v>31</v>
      </c>
      <c r="CU1572" s="13">
        <f t="shared" si="1142"/>
        <v>8</v>
      </c>
      <c r="CV1572" s="14">
        <f t="shared" si="1144"/>
        <v>4</v>
      </c>
      <c r="CW1572" s="14">
        <f t="shared" si="1145"/>
        <v>1102997</v>
      </c>
      <c r="CX1572" s="14" t="str">
        <f>INDEX($O$6:$O$50,CT1572)&amp;"-"&amp;INDEX(属性投放!$AB$7:$AB$50,CZ1572)&amp;"-魂火-"&amp;DB1572</f>
        <v>SSR守护灵-众合+1-魂火-1</v>
      </c>
      <c r="CY1572" s="25" t="s">
        <v>142</v>
      </c>
      <c r="CZ1572" s="14">
        <f>INDEX(属性投放!$AM$7:$AM$58,CU1572)</f>
        <v>5</v>
      </c>
      <c r="DA1572" s="14" t="s">
        <v>537</v>
      </c>
      <c r="DB1572" s="14">
        <f>INDEX(属性投放!$AN$7:$AN$58,CU1572)</f>
        <v>1</v>
      </c>
      <c r="DC1572" s="14">
        <f t="shared" si="1143"/>
        <v>8</v>
      </c>
      <c r="DD1572" s="14">
        <f>INDEX(属性投放!$AO$7:$AO$58,DC1572)</f>
        <v>38</v>
      </c>
      <c r="DE1572" s="14" t="s">
        <v>242</v>
      </c>
      <c r="DF1572" s="14">
        <f>INDEX(属性投放!$BK$6:$BK$85,(CV1572-2)*20+CZ1572)</f>
        <v>55</v>
      </c>
      <c r="DG1572" s="14">
        <f>SUMIFS(DF$5:DF1572,$CT$5:$CT1572,"="&amp;$CT1572)</f>
        <v>300</v>
      </c>
      <c r="DH1572" s="14" t="s">
        <v>116</v>
      </c>
      <c r="DI1572" s="14">
        <f>INDEX(属性投放!$BL$6:$BL$85,(CV1572-2)*20+CZ1572)</f>
        <v>28</v>
      </c>
      <c r="DJ1572" s="14">
        <f>SUMIFS(DI$5:DI1572,$CT$5:$CT1572,"="&amp;$CT1572)</f>
        <v>153</v>
      </c>
      <c r="DK1572" s="14" t="s">
        <v>25</v>
      </c>
      <c r="DL1572" s="14">
        <f>INDEX(属性投放!$BM$6:$BM$85,(CV1572-2)*20+CZ1572)</f>
        <v>385</v>
      </c>
      <c r="DM1572" s="14">
        <f>SUMIFS(DL$5:DL1572,$CT$5:$CT1572,"="&amp;$CT1572)</f>
        <v>1945</v>
      </c>
    </row>
    <row r="1573" spans="97:117" ht="16.5" x14ac:dyDescent="0.2">
      <c r="CS1573" s="13">
        <v>1569</v>
      </c>
      <c r="CT1573" s="13">
        <f t="shared" si="1141"/>
        <v>31</v>
      </c>
      <c r="CU1573" s="13">
        <f t="shared" si="1142"/>
        <v>9</v>
      </c>
      <c r="CV1573" s="14">
        <f t="shared" si="1144"/>
        <v>4</v>
      </c>
      <c r="CW1573" s="14">
        <f t="shared" si="1145"/>
        <v>1102997</v>
      </c>
      <c r="CX1573" s="14" t="str">
        <f>INDEX($O$6:$O$50,CT1573)&amp;"-"&amp;INDEX(属性投放!$AB$7:$AB$50,CZ1573)&amp;"-魂火-"&amp;DB1573</f>
        <v>SSR守护灵-众合+1-魂火-2</v>
      </c>
      <c r="CY1573" s="25" t="s">
        <v>142</v>
      </c>
      <c r="CZ1573" s="14">
        <f>INDEX(属性投放!$AM$7:$AM$58,CU1573)</f>
        <v>5</v>
      </c>
      <c r="DA1573" s="14" t="s">
        <v>537</v>
      </c>
      <c r="DB1573" s="14">
        <f>INDEX(属性投放!$AN$7:$AN$58,CU1573)</f>
        <v>2</v>
      </c>
      <c r="DC1573" s="14">
        <f t="shared" si="1143"/>
        <v>9</v>
      </c>
      <c r="DD1573" s="14">
        <f>INDEX(属性投放!$AO$7:$AO$58,DC1573)</f>
        <v>40</v>
      </c>
      <c r="DE1573" s="14" t="s">
        <v>242</v>
      </c>
      <c r="DF1573" s="14">
        <f>INDEX(属性投放!$BK$6:$BK$85,(CV1573-2)*20+CZ1573)</f>
        <v>55</v>
      </c>
      <c r="DG1573" s="14">
        <f>SUMIFS(DF$5:DF1573,$CT$5:$CT1573,"="&amp;$CT1573)</f>
        <v>355</v>
      </c>
      <c r="DH1573" s="14" t="s">
        <v>116</v>
      </c>
      <c r="DI1573" s="14">
        <f>INDEX(属性投放!$BL$6:$BL$85,(CV1573-2)*20+CZ1573)</f>
        <v>28</v>
      </c>
      <c r="DJ1573" s="14">
        <f>SUMIFS(DI$5:DI1573,$CT$5:$CT1573,"="&amp;$CT1573)</f>
        <v>181</v>
      </c>
      <c r="DK1573" s="14" t="s">
        <v>25</v>
      </c>
      <c r="DL1573" s="14">
        <f>INDEX(属性投放!$BM$6:$BM$85,(CV1573-2)*20+CZ1573)</f>
        <v>385</v>
      </c>
      <c r="DM1573" s="14">
        <f>SUMIFS(DL$5:DL1573,$CT$5:$CT1573,"="&amp;$CT1573)</f>
        <v>2330</v>
      </c>
    </row>
    <row r="1574" spans="97:117" ht="16.5" x14ac:dyDescent="0.2">
      <c r="CS1574" s="13">
        <v>1570</v>
      </c>
      <c r="CT1574" s="13">
        <f t="shared" si="1141"/>
        <v>31</v>
      </c>
      <c r="CU1574" s="13">
        <f t="shared" si="1142"/>
        <v>10</v>
      </c>
      <c r="CV1574" s="14">
        <f t="shared" si="1144"/>
        <v>4</v>
      </c>
      <c r="CW1574" s="14">
        <f t="shared" si="1145"/>
        <v>1102997</v>
      </c>
      <c r="CX1574" s="14" t="str">
        <f>INDEX($O$6:$O$50,CT1574)&amp;"-"&amp;INDEX(属性投放!$AB$7:$AB$50,CZ1574)&amp;"-魂火-"&amp;DB1574</f>
        <v>SSR守护灵-众合+2-魂火-1</v>
      </c>
      <c r="CY1574" s="25" t="s">
        <v>142</v>
      </c>
      <c r="CZ1574" s="14">
        <f>INDEX(属性投放!$AM$7:$AM$58,CU1574)</f>
        <v>6</v>
      </c>
      <c r="DA1574" s="14" t="s">
        <v>537</v>
      </c>
      <c r="DB1574" s="14">
        <f>INDEX(属性投放!$AN$7:$AN$58,CU1574)</f>
        <v>1</v>
      </c>
      <c r="DC1574" s="14">
        <f t="shared" si="1143"/>
        <v>10</v>
      </c>
      <c r="DD1574" s="14">
        <f>INDEX(属性投放!$AO$7:$AO$58,DC1574)</f>
        <v>43</v>
      </c>
      <c r="DE1574" s="14" t="s">
        <v>242</v>
      </c>
      <c r="DF1574" s="14">
        <f>INDEX(属性投放!$BK$6:$BK$85,(CV1574-2)*20+CZ1574)</f>
        <v>60</v>
      </c>
      <c r="DG1574" s="14">
        <f>SUMIFS(DF$5:DF1574,$CT$5:$CT1574,"="&amp;$CT1574)</f>
        <v>415</v>
      </c>
      <c r="DH1574" s="14" t="s">
        <v>116</v>
      </c>
      <c r="DI1574" s="14">
        <f>INDEX(属性投放!$BL$6:$BL$85,(CV1574-2)*20+CZ1574)</f>
        <v>30</v>
      </c>
      <c r="DJ1574" s="14">
        <f>SUMIFS(DI$5:DI1574,$CT$5:$CT1574,"="&amp;$CT1574)</f>
        <v>211</v>
      </c>
      <c r="DK1574" s="14" t="s">
        <v>25</v>
      </c>
      <c r="DL1574" s="14">
        <f>INDEX(属性投放!$BM$6:$BM$85,(CV1574-2)*20+CZ1574)</f>
        <v>420</v>
      </c>
      <c r="DM1574" s="14">
        <f>SUMIFS(DL$5:DL1574,$CT$5:$CT1574,"="&amp;$CT1574)</f>
        <v>2750</v>
      </c>
    </row>
    <row r="1575" spans="97:117" ht="16.5" x14ac:dyDescent="0.2">
      <c r="CS1575" s="13">
        <v>1571</v>
      </c>
      <c r="CT1575" s="13">
        <f t="shared" si="1141"/>
        <v>31</v>
      </c>
      <c r="CU1575" s="13">
        <f t="shared" si="1142"/>
        <v>11</v>
      </c>
      <c r="CV1575" s="14">
        <f t="shared" si="1144"/>
        <v>4</v>
      </c>
      <c r="CW1575" s="14">
        <f t="shared" si="1145"/>
        <v>1102997</v>
      </c>
      <c r="CX1575" s="14" t="str">
        <f>INDEX($O$6:$O$50,CT1575)&amp;"-"&amp;INDEX(属性投放!$AB$7:$AB$50,CZ1575)&amp;"-魂火-"&amp;DB1575</f>
        <v>SSR守护灵-众合+2-魂火-2</v>
      </c>
      <c r="CY1575" s="25" t="s">
        <v>142</v>
      </c>
      <c r="CZ1575" s="14">
        <f>INDEX(属性投放!$AM$7:$AM$58,CU1575)</f>
        <v>6</v>
      </c>
      <c r="DA1575" s="14" t="s">
        <v>537</v>
      </c>
      <c r="DB1575" s="14">
        <f>INDEX(属性投放!$AN$7:$AN$58,CU1575)</f>
        <v>2</v>
      </c>
      <c r="DC1575" s="14">
        <f t="shared" si="1143"/>
        <v>11</v>
      </c>
      <c r="DD1575" s="14">
        <f>INDEX(属性投放!$AO$7:$AO$58,DC1575)</f>
        <v>45</v>
      </c>
      <c r="DE1575" s="14" t="s">
        <v>242</v>
      </c>
      <c r="DF1575" s="14">
        <f>INDEX(属性投放!$BK$6:$BK$85,(CV1575-2)*20+CZ1575)</f>
        <v>60</v>
      </c>
      <c r="DG1575" s="14">
        <f>SUMIFS(DF$5:DF1575,$CT$5:$CT1575,"="&amp;$CT1575)</f>
        <v>475</v>
      </c>
      <c r="DH1575" s="14" t="s">
        <v>116</v>
      </c>
      <c r="DI1575" s="14">
        <f>INDEX(属性投放!$BL$6:$BL$85,(CV1575-2)*20+CZ1575)</f>
        <v>30</v>
      </c>
      <c r="DJ1575" s="14">
        <f>SUMIFS(DI$5:DI1575,$CT$5:$CT1575,"="&amp;$CT1575)</f>
        <v>241</v>
      </c>
      <c r="DK1575" s="14" t="s">
        <v>25</v>
      </c>
      <c r="DL1575" s="14">
        <f>INDEX(属性投放!$BM$6:$BM$85,(CV1575-2)*20+CZ1575)</f>
        <v>420</v>
      </c>
      <c r="DM1575" s="14">
        <f>SUMIFS(DL$5:DL1575,$CT$5:$CT1575,"="&amp;$CT1575)</f>
        <v>3170</v>
      </c>
    </row>
    <row r="1576" spans="97:117" ht="16.5" x14ac:dyDescent="0.2">
      <c r="CS1576" s="13">
        <v>1572</v>
      </c>
      <c r="CT1576" s="13">
        <f t="shared" si="1141"/>
        <v>31</v>
      </c>
      <c r="CU1576" s="13">
        <f t="shared" si="1142"/>
        <v>12</v>
      </c>
      <c r="CV1576" s="14">
        <f t="shared" si="1144"/>
        <v>4</v>
      </c>
      <c r="CW1576" s="14">
        <f t="shared" si="1145"/>
        <v>1102997</v>
      </c>
      <c r="CX1576" s="14" t="str">
        <f>INDEX($O$6:$O$50,CT1576)&amp;"-"&amp;INDEX(属性投放!$AB$7:$AB$50,CZ1576)&amp;"-魂火-"&amp;DB1576</f>
        <v>SSR守护灵-叫唤-魂火-1</v>
      </c>
      <c r="CY1576" s="25" t="s">
        <v>142</v>
      </c>
      <c r="CZ1576" s="14">
        <f>INDEX(属性投放!$AM$7:$AM$58,CU1576)</f>
        <v>7</v>
      </c>
      <c r="DA1576" s="14" t="s">
        <v>537</v>
      </c>
      <c r="DB1576" s="14">
        <f>INDEX(属性投放!$AN$7:$AN$58,CU1576)</f>
        <v>1</v>
      </c>
      <c r="DC1576" s="14">
        <f t="shared" si="1143"/>
        <v>12</v>
      </c>
      <c r="DD1576" s="14">
        <f>INDEX(属性投放!$AO$7:$AO$58,DC1576)</f>
        <v>48</v>
      </c>
      <c r="DE1576" s="14" t="s">
        <v>242</v>
      </c>
      <c r="DF1576" s="14">
        <f>INDEX(属性投放!$BK$6:$BK$85,(CV1576-2)*20+CZ1576)</f>
        <v>80</v>
      </c>
      <c r="DG1576" s="14">
        <f>SUMIFS(DF$5:DF1576,$CT$5:$CT1576,"="&amp;$CT1576)</f>
        <v>555</v>
      </c>
      <c r="DH1576" s="14" t="s">
        <v>116</v>
      </c>
      <c r="DI1576" s="14">
        <f>INDEX(属性投放!$BL$6:$BL$85,(CV1576-2)*20+CZ1576)</f>
        <v>40</v>
      </c>
      <c r="DJ1576" s="14">
        <f>SUMIFS(DI$5:DI1576,$CT$5:$CT1576,"="&amp;$CT1576)</f>
        <v>281</v>
      </c>
      <c r="DK1576" s="14" t="s">
        <v>25</v>
      </c>
      <c r="DL1576" s="14">
        <f>INDEX(属性投放!$BM$6:$BM$85,(CV1576-2)*20+CZ1576)</f>
        <v>640</v>
      </c>
      <c r="DM1576" s="14">
        <f>SUMIFS(DL$5:DL1576,$CT$5:$CT1576,"="&amp;$CT1576)</f>
        <v>3810</v>
      </c>
    </row>
    <row r="1577" spans="97:117" ht="16.5" x14ac:dyDescent="0.2">
      <c r="CS1577" s="13">
        <v>1573</v>
      </c>
      <c r="CT1577" s="13">
        <f t="shared" si="1141"/>
        <v>31</v>
      </c>
      <c r="CU1577" s="13">
        <f t="shared" si="1142"/>
        <v>13</v>
      </c>
      <c r="CV1577" s="14">
        <f t="shared" si="1144"/>
        <v>4</v>
      </c>
      <c r="CW1577" s="14">
        <f t="shared" si="1145"/>
        <v>1102997</v>
      </c>
      <c r="CX1577" s="14" t="str">
        <f>INDEX($O$6:$O$50,CT1577)&amp;"-"&amp;INDEX(属性投放!$AB$7:$AB$50,CZ1577)&amp;"-魂火-"&amp;DB1577</f>
        <v>SSR守护灵-叫唤-魂火-2</v>
      </c>
      <c r="CY1577" s="25" t="s">
        <v>142</v>
      </c>
      <c r="CZ1577" s="14">
        <f>INDEX(属性投放!$AM$7:$AM$58,CU1577)</f>
        <v>7</v>
      </c>
      <c r="DA1577" s="14" t="s">
        <v>537</v>
      </c>
      <c r="DB1577" s="14">
        <f>INDEX(属性投放!$AN$7:$AN$58,CU1577)</f>
        <v>2</v>
      </c>
      <c r="DC1577" s="14">
        <f t="shared" si="1143"/>
        <v>13</v>
      </c>
      <c r="DD1577" s="14">
        <f>INDEX(属性投放!$AO$7:$AO$58,DC1577)</f>
        <v>50</v>
      </c>
      <c r="DE1577" s="14" t="s">
        <v>242</v>
      </c>
      <c r="DF1577" s="14">
        <f>INDEX(属性投放!$BK$6:$BK$85,(CV1577-2)*20+CZ1577)</f>
        <v>80</v>
      </c>
      <c r="DG1577" s="14">
        <f>SUMIFS(DF$5:DF1577,$CT$5:$CT1577,"="&amp;$CT1577)</f>
        <v>635</v>
      </c>
      <c r="DH1577" s="14" t="s">
        <v>116</v>
      </c>
      <c r="DI1577" s="14">
        <f>INDEX(属性投放!$BL$6:$BL$85,(CV1577-2)*20+CZ1577)</f>
        <v>40</v>
      </c>
      <c r="DJ1577" s="14">
        <f>SUMIFS(DI$5:DI1577,$CT$5:$CT1577,"="&amp;$CT1577)</f>
        <v>321</v>
      </c>
      <c r="DK1577" s="14" t="s">
        <v>25</v>
      </c>
      <c r="DL1577" s="14">
        <f>INDEX(属性投放!$BM$6:$BM$85,(CV1577-2)*20+CZ1577)</f>
        <v>640</v>
      </c>
      <c r="DM1577" s="14">
        <f>SUMIFS(DL$5:DL1577,$CT$5:$CT1577,"="&amp;$CT1577)</f>
        <v>4450</v>
      </c>
    </row>
    <row r="1578" spans="97:117" ht="16.5" x14ac:dyDescent="0.2">
      <c r="CS1578" s="13">
        <v>1574</v>
      </c>
      <c r="CT1578" s="13">
        <f t="shared" si="1141"/>
        <v>31</v>
      </c>
      <c r="CU1578" s="13">
        <f t="shared" si="1142"/>
        <v>14</v>
      </c>
      <c r="CV1578" s="14">
        <f t="shared" si="1144"/>
        <v>4</v>
      </c>
      <c r="CW1578" s="14">
        <f t="shared" si="1145"/>
        <v>1102997</v>
      </c>
      <c r="CX1578" s="14" t="str">
        <f>INDEX($O$6:$O$50,CT1578)&amp;"-"&amp;INDEX(属性投放!$AB$7:$AB$50,CZ1578)&amp;"-魂火-"&amp;DB1578</f>
        <v>SSR守护灵-叫唤+1-魂火-1</v>
      </c>
      <c r="CY1578" s="25" t="s">
        <v>142</v>
      </c>
      <c r="CZ1578" s="14">
        <f>INDEX(属性投放!$AM$7:$AM$58,CU1578)</f>
        <v>8</v>
      </c>
      <c r="DA1578" s="14" t="s">
        <v>537</v>
      </c>
      <c r="DB1578" s="14">
        <f>INDEX(属性投放!$AN$7:$AN$58,CU1578)</f>
        <v>1</v>
      </c>
      <c r="DC1578" s="14">
        <f t="shared" si="1143"/>
        <v>14</v>
      </c>
      <c r="DD1578" s="14">
        <f>INDEX(属性投放!$AO$7:$AO$58,DC1578)</f>
        <v>53</v>
      </c>
      <c r="DE1578" s="14" t="s">
        <v>242</v>
      </c>
      <c r="DF1578" s="14">
        <f>INDEX(属性投放!$BK$6:$BK$85,(CV1578-2)*20+CZ1578)</f>
        <v>100</v>
      </c>
      <c r="DG1578" s="14">
        <f>SUMIFS(DF$5:DF1578,$CT$5:$CT1578,"="&amp;$CT1578)</f>
        <v>735</v>
      </c>
      <c r="DH1578" s="14" t="s">
        <v>116</v>
      </c>
      <c r="DI1578" s="14">
        <f>INDEX(属性投放!$BL$6:$BL$85,(CV1578-2)*20+CZ1578)</f>
        <v>50</v>
      </c>
      <c r="DJ1578" s="14">
        <f>SUMIFS(DI$5:DI1578,$CT$5:$CT1578,"="&amp;$CT1578)</f>
        <v>371</v>
      </c>
      <c r="DK1578" s="14" t="s">
        <v>25</v>
      </c>
      <c r="DL1578" s="14">
        <f>INDEX(属性投放!$BM$6:$BM$85,(CV1578-2)*20+CZ1578)</f>
        <v>800</v>
      </c>
      <c r="DM1578" s="14">
        <f>SUMIFS(DL$5:DL1578,$CT$5:$CT1578,"="&amp;$CT1578)</f>
        <v>5250</v>
      </c>
    </row>
    <row r="1579" spans="97:117" ht="16.5" x14ac:dyDescent="0.2">
      <c r="CS1579" s="13">
        <v>1575</v>
      </c>
      <c r="CT1579" s="13">
        <f t="shared" si="1141"/>
        <v>31</v>
      </c>
      <c r="CU1579" s="13">
        <f t="shared" si="1142"/>
        <v>15</v>
      </c>
      <c r="CV1579" s="14">
        <f t="shared" si="1144"/>
        <v>4</v>
      </c>
      <c r="CW1579" s="14">
        <f t="shared" si="1145"/>
        <v>1102997</v>
      </c>
      <c r="CX1579" s="14" t="str">
        <f>INDEX($O$6:$O$50,CT1579)&amp;"-"&amp;INDEX(属性投放!$AB$7:$AB$50,CZ1579)&amp;"-魂火-"&amp;DB1579</f>
        <v>SSR守护灵-叫唤+1-魂火-2</v>
      </c>
      <c r="CY1579" s="25" t="s">
        <v>142</v>
      </c>
      <c r="CZ1579" s="14">
        <f>INDEX(属性投放!$AM$7:$AM$58,CU1579)</f>
        <v>8</v>
      </c>
      <c r="DA1579" s="14" t="s">
        <v>537</v>
      </c>
      <c r="DB1579" s="14">
        <f>INDEX(属性投放!$AN$7:$AN$58,CU1579)</f>
        <v>2</v>
      </c>
      <c r="DC1579" s="14">
        <f t="shared" si="1143"/>
        <v>15</v>
      </c>
      <c r="DD1579" s="14">
        <f>INDEX(属性投放!$AO$7:$AO$58,DC1579)</f>
        <v>55</v>
      </c>
      <c r="DE1579" s="14" t="s">
        <v>242</v>
      </c>
      <c r="DF1579" s="14">
        <f>INDEX(属性投放!$BK$6:$BK$85,(CV1579-2)*20+CZ1579)</f>
        <v>100</v>
      </c>
      <c r="DG1579" s="14">
        <f>SUMIFS(DF$5:DF1579,$CT$5:$CT1579,"="&amp;$CT1579)</f>
        <v>835</v>
      </c>
      <c r="DH1579" s="14" t="s">
        <v>116</v>
      </c>
      <c r="DI1579" s="14">
        <f>INDEX(属性投放!$BL$6:$BL$85,(CV1579-2)*20+CZ1579)</f>
        <v>50</v>
      </c>
      <c r="DJ1579" s="14">
        <f>SUMIFS(DI$5:DI1579,$CT$5:$CT1579,"="&amp;$CT1579)</f>
        <v>421</v>
      </c>
      <c r="DK1579" s="14" t="s">
        <v>25</v>
      </c>
      <c r="DL1579" s="14">
        <f>INDEX(属性投放!$BM$6:$BM$85,(CV1579-2)*20+CZ1579)</f>
        <v>800</v>
      </c>
      <c r="DM1579" s="14">
        <f>SUMIFS(DL$5:DL1579,$CT$5:$CT1579,"="&amp;$CT1579)</f>
        <v>6050</v>
      </c>
    </row>
    <row r="1580" spans="97:117" ht="16.5" x14ac:dyDescent="0.2">
      <c r="CS1580" s="13">
        <v>1576</v>
      </c>
      <c r="CT1580" s="13">
        <f t="shared" si="1141"/>
        <v>31</v>
      </c>
      <c r="CU1580" s="13">
        <f t="shared" si="1142"/>
        <v>16</v>
      </c>
      <c r="CV1580" s="14">
        <f t="shared" si="1144"/>
        <v>4</v>
      </c>
      <c r="CW1580" s="14">
        <f t="shared" si="1145"/>
        <v>1102997</v>
      </c>
      <c r="CX1580" s="14" t="str">
        <f>INDEX($O$6:$O$50,CT1580)&amp;"-"&amp;INDEX(属性投放!$AB$7:$AB$50,CZ1580)&amp;"-魂火-"&amp;DB1580</f>
        <v>SSR守护灵-叫唤+2-魂火-1</v>
      </c>
      <c r="CY1580" s="25" t="s">
        <v>142</v>
      </c>
      <c r="CZ1580" s="14">
        <f>INDEX(属性投放!$AM$7:$AM$58,CU1580)</f>
        <v>9</v>
      </c>
      <c r="DA1580" s="14" t="s">
        <v>537</v>
      </c>
      <c r="DB1580" s="14">
        <f>INDEX(属性投放!$AN$7:$AN$58,CU1580)</f>
        <v>1</v>
      </c>
      <c r="DC1580" s="14">
        <f t="shared" si="1143"/>
        <v>16</v>
      </c>
      <c r="DD1580" s="14">
        <f>INDEX(属性投放!$AO$7:$AO$58,DC1580)</f>
        <v>58</v>
      </c>
      <c r="DE1580" s="14" t="s">
        <v>242</v>
      </c>
      <c r="DF1580" s="14">
        <f>INDEX(属性投放!$BK$6:$BK$85,(CV1580-2)*20+CZ1580)</f>
        <v>115</v>
      </c>
      <c r="DG1580" s="14">
        <f>SUMIFS(DF$5:DF1580,$CT$5:$CT1580,"="&amp;$CT1580)</f>
        <v>950</v>
      </c>
      <c r="DH1580" s="14" t="s">
        <v>116</v>
      </c>
      <c r="DI1580" s="14">
        <f>INDEX(属性投放!$BL$6:$BL$85,(CV1580-2)*20+CZ1580)</f>
        <v>58</v>
      </c>
      <c r="DJ1580" s="14">
        <f>SUMIFS(DI$5:DI1580,$CT$5:$CT1580,"="&amp;$CT1580)</f>
        <v>479</v>
      </c>
      <c r="DK1580" s="14" t="s">
        <v>25</v>
      </c>
      <c r="DL1580" s="14">
        <f>INDEX(属性投放!$BM$6:$BM$85,(CV1580-2)*20+CZ1580)</f>
        <v>920</v>
      </c>
      <c r="DM1580" s="14">
        <f>SUMIFS(DL$5:DL1580,$CT$5:$CT1580,"="&amp;$CT1580)</f>
        <v>6970</v>
      </c>
    </row>
    <row r="1581" spans="97:117" ht="16.5" x14ac:dyDescent="0.2">
      <c r="CS1581" s="13">
        <v>1577</v>
      </c>
      <c r="CT1581" s="13">
        <f t="shared" si="1141"/>
        <v>31</v>
      </c>
      <c r="CU1581" s="13">
        <f t="shared" si="1142"/>
        <v>17</v>
      </c>
      <c r="CV1581" s="14">
        <f t="shared" si="1144"/>
        <v>4</v>
      </c>
      <c r="CW1581" s="14">
        <f t="shared" si="1145"/>
        <v>1102997</v>
      </c>
      <c r="CX1581" s="14" t="str">
        <f>INDEX($O$6:$O$50,CT1581)&amp;"-"&amp;INDEX(属性投放!$AB$7:$AB$50,CZ1581)&amp;"-魂火-"&amp;DB1581</f>
        <v>SSR守护灵-叫唤+2-魂火-2</v>
      </c>
      <c r="CY1581" s="25" t="s">
        <v>142</v>
      </c>
      <c r="CZ1581" s="14">
        <f>INDEX(属性投放!$AM$7:$AM$58,CU1581)</f>
        <v>9</v>
      </c>
      <c r="DA1581" s="14" t="s">
        <v>537</v>
      </c>
      <c r="DB1581" s="14">
        <f>INDEX(属性投放!$AN$7:$AN$58,CU1581)</f>
        <v>2</v>
      </c>
      <c r="DC1581" s="14">
        <f t="shared" si="1143"/>
        <v>17</v>
      </c>
      <c r="DD1581" s="14">
        <f>INDEX(属性投放!$AO$7:$AO$58,DC1581)</f>
        <v>60</v>
      </c>
      <c r="DE1581" s="14" t="s">
        <v>242</v>
      </c>
      <c r="DF1581" s="14">
        <f>INDEX(属性投放!$BK$6:$BK$85,(CV1581-2)*20+CZ1581)</f>
        <v>115</v>
      </c>
      <c r="DG1581" s="14">
        <f>SUMIFS(DF$5:DF1581,$CT$5:$CT1581,"="&amp;$CT1581)</f>
        <v>1065</v>
      </c>
      <c r="DH1581" s="14" t="s">
        <v>116</v>
      </c>
      <c r="DI1581" s="14">
        <f>INDEX(属性投放!$BL$6:$BL$85,(CV1581-2)*20+CZ1581)</f>
        <v>58</v>
      </c>
      <c r="DJ1581" s="14">
        <f>SUMIFS(DI$5:DI1581,$CT$5:$CT1581,"="&amp;$CT1581)</f>
        <v>537</v>
      </c>
      <c r="DK1581" s="14" t="s">
        <v>25</v>
      </c>
      <c r="DL1581" s="14">
        <f>INDEX(属性投放!$BM$6:$BM$85,(CV1581-2)*20+CZ1581)</f>
        <v>920</v>
      </c>
      <c r="DM1581" s="14">
        <f>SUMIFS(DL$5:DL1581,$CT$5:$CT1581,"="&amp;$CT1581)</f>
        <v>7890</v>
      </c>
    </row>
    <row r="1582" spans="97:117" ht="16.5" x14ac:dyDescent="0.2">
      <c r="CS1582" s="13">
        <v>1578</v>
      </c>
      <c r="CT1582" s="13">
        <f t="shared" si="1141"/>
        <v>31</v>
      </c>
      <c r="CU1582" s="13">
        <f t="shared" si="1142"/>
        <v>18</v>
      </c>
      <c r="CV1582" s="14">
        <f t="shared" si="1144"/>
        <v>4</v>
      </c>
      <c r="CW1582" s="14">
        <f t="shared" si="1145"/>
        <v>1102997</v>
      </c>
      <c r="CX1582" s="14" t="str">
        <f>INDEX($O$6:$O$50,CT1582)&amp;"-"&amp;INDEX(属性投放!$AB$7:$AB$50,CZ1582)&amp;"-魂火-"&amp;DB1582</f>
        <v>SSR守护灵-叫唤+2-魂火-3</v>
      </c>
      <c r="CY1582" s="25" t="s">
        <v>142</v>
      </c>
      <c r="CZ1582" s="14">
        <f>INDEX(属性投放!$AM$7:$AM$58,CU1582)</f>
        <v>9</v>
      </c>
      <c r="DA1582" s="14" t="s">
        <v>537</v>
      </c>
      <c r="DB1582" s="14">
        <f>INDEX(属性投放!$AN$7:$AN$58,CU1582)</f>
        <v>3</v>
      </c>
      <c r="DC1582" s="14">
        <f t="shared" si="1143"/>
        <v>18</v>
      </c>
      <c r="DD1582" s="14">
        <f>INDEX(属性投放!$AO$7:$AO$58,DC1582)</f>
        <v>63</v>
      </c>
      <c r="DE1582" s="14" t="s">
        <v>242</v>
      </c>
      <c r="DF1582" s="14">
        <f>INDEX(属性投放!$BK$6:$BK$85,(CV1582-2)*20+CZ1582)</f>
        <v>115</v>
      </c>
      <c r="DG1582" s="14">
        <f>SUMIFS(DF$5:DF1582,$CT$5:$CT1582,"="&amp;$CT1582)</f>
        <v>1180</v>
      </c>
      <c r="DH1582" s="14" t="s">
        <v>116</v>
      </c>
      <c r="DI1582" s="14">
        <f>INDEX(属性投放!$BL$6:$BL$85,(CV1582-2)*20+CZ1582)</f>
        <v>58</v>
      </c>
      <c r="DJ1582" s="14">
        <f>SUMIFS(DI$5:DI1582,$CT$5:$CT1582,"="&amp;$CT1582)</f>
        <v>595</v>
      </c>
      <c r="DK1582" s="14" t="s">
        <v>25</v>
      </c>
      <c r="DL1582" s="14">
        <f>INDEX(属性投放!$BM$6:$BM$85,(CV1582-2)*20+CZ1582)</f>
        <v>920</v>
      </c>
      <c r="DM1582" s="14">
        <f>SUMIFS(DL$5:DL1582,$CT$5:$CT1582,"="&amp;$CT1582)</f>
        <v>8810</v>
      </c>
    </row>
    <row r="1583" spans="97:117" ht="16.5" x14ac:dyDescent="0.2">
      <c r="CS1583" s="13">
        <v>1579</v>
      </c>
      <c r="CT1583" s="13">
        <f t="shared" si="1141"/>
        <v>31</v>
      </c>
      <c r="CU1583" s="13">
        <f t="shared" si="1142"/>
        <v>19</v>
      </c>
      <c r="CV1583" s="14">
        <f t="shared" si="1144"/>
        <v>4</v>
      </c>
      <c r="CW1583" s="14">
        <f t="shared" si="1145"/>
        <v>1102997</v>
      </c>
      <c r="CX1583" s="14" t="str">
        <f>INDEX($O$6:$O$50,CT1583)&amp;"-"&amp;INDEX(属性投放!$AB$7:$AB$50,CZ1583)&amp;"-魂火-"&amp;DB1583</f>
        <v>SSR守护灵-大叫唤-魂火-1</v>
      </c>
      <c r="CY1583" s="25" t="s">
        <v>142</v>
      </c>
      <c r="CZ1583" s="14">
        <f>INDEX(属性投放!$AM$7:$AM$58,CU1583)</f>
        <v>10</v>
      </c>
      <c r="DA1583" s="14" t="s">
        <v>537</v>
      </c>
      <c r="DB1583" s="14">
        <f>INDEX(属性投放!$AN$7:$AN$58,CU1583)</f>
        <v>1</v>
      </c>
      <c r="DC1583" s="14">
        <f t="shared" si="1143"/>
        <v>19</v>
      </c>
      <c r="DD1583" s="14">
        <f>INDEX(属性投放!$AO$7:$AO$58,DC1583)</f>
        <v>65</v>
      </c>
      <c r="DE1583" s="14" t="s">
        <v>242</v>
      </c>
      <c r="DF1583" s="14">
        <f>INDEX(属性投放!$BK$6:$BK$85,(CV1583-2)*20+CZ1583)</f>
        <v>130</v>
      </c>
      <c r="DG1583" s="14">
        <f>SUMIFS(DF$5:DF1583,$CT$5:$CT1583,"="&amp;$CT1583)</f>
        <v>1310</v>
      </c>
      <c r="DH1583" s="14" t="s">
        <v>116</v>
      </c>
      <c r="DI1583" s="14">
        <f>INDEX(属性投放!$BL$6:$BL$85,(CV1583-2)*20+CZ1583)</f>
        <v>65</v>
      </c>
      <c r="DJ1583" s="14">
        <f>SUMIFS(DI$5:DI1583,$CT$5:$CT1583,"="&amp;$CT1583)</f>
        <v>660</v>
      </c>
      <c r="DK1583" s="14" t="s">
        <v>25</v>
      </c>
      <c r="DL1583" s="14">
        <f>INDEX(属性投放!$BM$6:$BM$85,(CV1583-2)*20+CZ1583)</f>
        <v>1170</v>
      </c>
      <c r="DM1583" s="14">
        <f>SUMIFS(DL$5:DL1583,$CT$5:$CT1583,"="&amp;$CT1583)</f>
        <v>9980</v>
      </c>
    </row>
    <row r="1584" spans="97:117" ht="16.5" x14ac:dyDescent="0.2">
      <c r="CS1584" s="13">
        <v>1580</v>
      </c>
      <c r="CT1584" s="13">
        <f t="shared" si="1141"/>
        <v>31</v>
      </c>
      <c r="CU1584" s="13">
        <f t="shared" si="1142"/>
        <v>20</v>
      </c>
      <c r="CV1584" s="14">
        <f t="shared" si="1144"/>
        <v>4</v>
      </c>
      <c r="CW1584" s="14">
        <f t="shared" si="1145"/>
        <v>1102997</v>
      </c>
      <c r="CX1584" s="14" t="str">
        <f>INDEX($O$6:$O$50,CT1584)&amp;"-"&amp;INDEX(属性投放!$AB$7:$AB$50,CZ1584)&amp;"-魂火-"&amp;DB1584</f>
        <v>SSR守护灵-大叫唤-魂火-2</v>
      </c>
      <c r="CY1584" s="25" t="s">
        <v>142</v>
      </c>
      <c r="CZ1584" s="14">
        <f>INDEX(属性投放!$AM$7:$AM$58,CU1584)</f>
        <v>10</v>
      </c>
      <c r="DA1584" s="14" t="s">
        <v>537</v>
      </c>
      <c r="DB1584" s="14">
        <f>INDEX(属性投放!$AN$7:$AN$58,CU1584)</f>
        <v>2</v>
      </c>
      <c r="DC1584" s="14">
        <f t="shared" si="1143"/>
        <v>20</v>
      </c>
      <c r="DD1584" s="14">
        <f>INDEX(属性投放!$AO$7:$AO$58,DC1584)</f>
        <v>68</v>
      </c>
      <c r="DE1584" s="14" t="s">
        <v>242</v>
      </c>
      <c r="DF1584" s="14">
        <f>INDEX(属性投放!$BK$6:$BK$85,(CV1584-2)*20+CZ1584)</f>
        <v>130</v>
      </c>
      <c r="DG1584" s="14">
        <f>SUMIFS(DF$5:DF1584,$CT$5:$CT1584,"="&amp;$CT1584)</f>
        <v>1440</v>
      </c>
      <c r="DH1584" s="14" t="s">
        <v>116</v>
      </c>
      <c r="DI1584" s="14">
        <f>INDEX(属性投放!$BL$6:$BL$85,(CV1584-2)*20+CZ1584)</f>
        <v>65</v>
      </c>
      <c r="DJ1584" s="14">
        <f>SUMIFS(DI$5:DI1584,$CT$5:$CT1584,"="&amp;$CT1584)</f>
        <v>725</v>
      </c>
      <c r="DK1584" s="14" t="s">
        <v>25</v>
      </c>
      <c r="DL1584" s="14">
        <f>INDEX(属性投放!$BM$6:$BM$85,(CV1584-2)*20+CZ1584)</f>
        <v>1170</v>
      </c>
      <c r="DM1584" s="14">
        <f>SUMIFS(DL$5:DL1584,$CT$5:$CT1584,"="&amp;$CT1584)</f>
        <v>11150</v>
      </c>
    </row>
    <row r="1585" spans="97:117" ht="16.5" x14ac:dyDescent="0.2">
      <c r="CS1585" s="13">
        <v>1581</v>
      </c>
      <c r="CT1585" s="13">
        <f t="shared" si="1141"/>
        <v>31</v>
      </c>
      <c r="CU1585" s="13">
        <f t="shared" si="1142"/>
        <v>21</v>
      </c>
      <c r="CV1585" s="14">
        <f t="shared" si="1144"/>
        <v>4</v>
      </c>
      <c r="CW1585" s="14">
        <f t="shared" si="1145"/>
        <v>1102997</v>
      </c>
      <c r="CX1585" s="14" t="str">
        <f>INDEX($O$6:$O$50,CT1585)&amp;"-"&amp;INDEX(属性投放!$AB$7:$AB$50,CZ1585)&amp;"-魂火-"&amp;DB1585</f>
        <v>SSR守护灵-大叫唤-魂火-3</v>
      </c>
      <c r="CY1585" s="25" t="s">
        <v>142</v>
      </c>
      <c r="CZ1585" s="14">
        <f>INDEX(属性投放!$AM$7:$AM$58,CU1585)</f>
        <v>10</v>
      </c>
      <c r="DA1585" s="14" t="s">
        <v>537</v>
      </c>
      <c r="DB1585" s="14">
        <f>INDEX(属性投放!$AN$7:$AN$58,CU1585)</f>
        <v>3</v>
      </c>
      <c r="DC1585" s="14">
        <f t="shared" si="1143"/>
        <v>21</v>
      </c>
      <c r="DD1585" s="14">
        <f>INDEX(属性投放!$AO$7:$AO$58,DC1585)</f>
        <v>70</v>
      </c>
      <c r="DE1585" s="14" t="s">
        <v>242</v>
      </c>
      <c r="DF1585" s="14">
        <f>INDEX(属性投放!$BK$6:$BK$85,(CV1585-2)*20+CZ1585)</f>
        <v>130</v>
      </c>
      <c r="DG1585" s="14">
        <f>SUMIFS(DF$5:DF1585,$CT$5:$CT1585,"="&amp;$CT1585)</f>
        <v>1570</v>
      </c>
      <c r="DH1585" s="14" t="s">
        <v>116</v>
      </c>
      <c r="DI1585" s="14">
        <f>INDEX(属性投放!$BL$6:$BL$85,(CV1585-2)*20+CZ1585)</f>
        <v>65</v>
      </c>
      <c r="DJ1585" s="14">
        <f>SUMIFS(DI$5:DI1585,$CT$5:$CT1585,"="&amp;$CT1585)</f>
        <v>790</v>
      </c>
      <c r="DK1585" s="14" t="s">
        <v>25</v>
      </c>
      <c r="DL1585" s="14">
        <f>INDEX(属性投放!$BM$6:$BM$85,(CV1585-2)*20+CZ1585)</f>
        <v>1170</v>
      </c>
      <c r="DM1585" s="14">
        <f>SUMIFS(DL$5:DL1585,$CT$5:$CT1585,"="&amp;$CT1585)</f>
        <v>12320</v>
      </c>
    </row>
    <row r="1586" spans="97:117" ht="16.5" x14ac:dyDescent="0.2">
      <c r="CS1586" s="13">
        <v>1582</v>
      </c>
      <c r="CT1586" s="13">
        <f t="shared" si="1141"/>
        <v>31</v>
      </c>
      <c r="CU1586" s="13">
        <f t="shared" si="1142"/>
        <v>22</v>
      </c>
      <c r="CV1586" s="14">
        <f t="shared" si="1144"/>
        <v>4</v>
      </c>
      <c r="CW1586" s="14">
        <f t="shared" si="1145"/>
        <v>1102997</v>
      </c>
      <c r="CX1586" s="14" t="str">
        <f>INDEX($O$6:$O$50,CT1586)&amp;"-"&amp;INDEX(属性投放!$AB$7:$AB$50,CZ1586)&amp;"-魂火-"&amp;DB1586</f>
        <v>SSR守护灵-大叫唤+1-魂火-1</v>
      </c>
      <c r="CY1586" s="25" t="s">
        <v>142</v>
      </c>
      <c r="CZ1586" s="14">
        <f>INDEX(属性投放!$AM$7:$AM$58,CU1586)</f>
        <v>11</v>
      </c>
      <c r="DA1586" s="14" t="s">
        <v>537</v>
      </c>
      <c r="DB1586" s="14">
        <f>INDEX(属性投放!$AN$7:$AN$58,CU1586)</f>
        <v>1</v>
      </c>
      <c r="DC1586" s="14">
        <f t="shared" si="1143"/>
        <v>22</v>
      </c>
      <c r="DD1586" s="14">
        <f>INDEX(属性投放!$AO$7:$AO$58,DC1586)</f>
        <v>73</v>
      </c>
      <c r="DE1586" s="14" t="s">
        <v>242</v>
      </c>
      <c r="DF1586" s="14">
        <f>INDEX(属性投放!$BK$6:$BK$85,(CV1586-2)*20+CZ1586)</f>
        <v>170</v>
      </c>
      <c r="DG1586" s="14">
        <f>SUMIFS(DF$5:DF1586,$CT$5:$CT1586,"="&amp;$CT1586)</f>
        <v>1740</v>
      </c>
      <c r="DH1586" s="14" t="s">
        <v>116</v>
      </c>
      <c r="DI1586" s="14">
        <f>INDEX(属性投放!$BL$6:$BL$85,(CV1586-2)*20+CZ1586)</f>
        <v>85</v>
      </c>
      <c r="DJ1586" s="14">
        <f>SUMIFS(DI$5:DI1586,$CT$5:$CT1586,"="&amp;$CT1586)</f>
        <v>875</v>
      </c>
      <c r="DK1586" s="14" t="s">
        <v>25</v>
      </c>
      <c r="DL1586" s="14">
        <f>INDEX(属性投放!$BM$6:$BM$85,(CV1586-2)*20+CZ1586)</f>
        <v>1530</v>
      </c>
      <c r="DM1586" s="14">
        <f>SUMIFS(DL$5:DL1586,$CT$5:$CT1586,"="&amp;$CT1586)</f>
        <v>13850</v>
      </c>
    </row>
    <row r="1587" spans="97:117" ht="16.5" x14ac:dyDescent="0.2">
      <c r="CS1587" s="13">
        <v>1583</v>
      </c>
      <c r="CT1587" s="13">
        <f t="shared" si="1141"/>
        <v>31</v>
      </c>
      <c r="CU1587" s="13">
        <f t="shared" si="1142"/>
        <v>23</v>
      </c>
      <c r="CV1587" s="14">
        <f t="shared" si="1144"/>
        <v>4</v>
      </c>
      <c r="CW1587" s="14">
        <f t="shared" si="1145"/>
        <v>1102997</v>
      </c>
      <c r="CX1587" s="14" t="str">
        <f>INDEX($O$6:$O$50,CT1587)&amp;"-"&amp;INDEX(属性投放!$AB$7:$AB$50,CZ1587)&amp;"-魂火-"&amp;DB1587</f>
        <v>SSR守护灵-大叫唤+1-魂火-2</v>
      </c>
      <c r="CY1587" s="25" t="s">
        <v>142</v>
      </c>
      <c r="CZ1587" s="14">
        <f>INDEX(属性投放!$AM$7:$AM$58,CU1587)</f>
        <v>11</v>
      </c>
      <c r="DA1587" s="14" t="s">
        <v>537</v>
      </c>
      <c r="DB1587" s="14">
        <f>INDEX(属性投放!$AN$7:$AN$58,CU1587)</f>
        <v>2</v>
      </c>
      <c r="DC1587" s="14">
        <f t="shared" si="1143"/>
        <v>23</v>
      </c>
      <c r="DD1587" s="14">
        <f>INDEX(属性投放!$AO$7:$AO$58,DC1587)</f>
        <v>75</v>
      </c>
      <c r="DE1587" s="14" t="s">
        <v>242</v>
      </c>
      <c r="DF1587" s="14">
        <f>INDEX(属性投放!$BK$6:$BK$85,(CV1587-2)*20+CZ1587)</f>
        <v>170</v>
      </c>
      <c r="DG1587" s="14">
        <f>SUMIFS(DF$5:DF1587,$CT$5:$CT1587,"="&amp;$CT1587)</f>
        <v>1910</v>
      </c>
      <c r="DH1587" s="14" t="s">
        <v>116</v>
      </c>
      <c r="DI1587" s="14">
        <f>INDEX(属性投放!$BL$6:$BL$85,(CV1587-2)*20+CZ1587)</f>
        <v>85</v>
      </c>
      <c r="DJ1587" s="14">
        <f>SUMIFS(DI$5:DI1587,$CT$5:$CT1587,"="&amp;$CT1587)</f>
        <v>960</v>
      </c>
      <c r="DK1587" s="14" t="s">
        <v>25</v>
      </c>
      <c r="DL1587" s="14">
        <f>INDEX(属性投放!$BM$6:$BM$85,(CV1587-2)*20+CZ1587)</f>
        <v>1530</v>
      </c>
      <c r="DM1587" s="14">
        <f>SUMIFS(DL$5:DL1587,$CT$5:$CT1587,"="&amp;$CT1587)</f>
        <v>15380</v>
      </c>
    </row>
    <row r="1588" spans="97:117" ht="16.5" x14ac:dyDescent="0.2">
      <c r="CS1588" s="13">
        <v>1584</v>
      </c>
      <c r="CT1588" s="13">
        <f t="shared" si="1141"/>
        <v>31</v>
      </c>
      <c r="CU1588" s="13">
        <f t="shared" si="1142"/>
        <v>24</v>
      </c>
      <c r="CV1588" s="14">
        <f t="shared" si="1144"/>
        <v>4</v>
      </c>
      <c r="CW1588" s="14">
        <f t="shared" si="1145"/>
        <v>1102997</v>
      </c>
      <c r="CX1588" s="14" t="str">
        <f>INDEX($O$6:$O$50,CT1588)&amp;"-"&amp;INDEX(属性投放!$AB$7:$AB$50,CZ1588)&amp;"-魂火-"&amp;DB1588</f>
        <v>SSR守护灵-大叫唤+1-魂火-3</v>
      </c>
      <c r="CY1588" s="25" t="s">
        <v>142</v>
      </c>
      <c r="CZ1588" s="14">
        <f>INDEX(属性投放!$AM$7:$AM$58,CU1588)</f>
        <v>11</v>
      </c>
      <c r="DA1588" s="14" t="s">
        <v>537</v>
      </c>
      <c r="DB1588" s="14">
        <f>INDEX(属性投放!$AN$7:$AN$58,CU1588)</f>
        <v>3</v>
      </c>
      <c r="DC1588" s="14">
        <f t="shared" si="1143"/>
        <v>24</v>
      </c>
      <c r="DD1588" s="14">
        <f>INDEX(属性投放!$AO$7:$AO$58,DC1588)</f>
        <v>78</v>
      </c>
      <c r="DE1588" s="14" t="s">
        <v>242</v>
      </c>
      <c r="DF1588" s="14">
        <f>INDEX(属性投放!$BK$6:$BK$85,(CV1588-2)*20+CZ1588)</f>
        <v>170</v>
      </c>
      <c r="DG1588" s="14">
        <f>SUMIFS(DF$5:DF1588,$CT$5:$CT1588,"="&amp;$CT1588)</f>
        <v>2080</v>
      </c>
      <c r="DH1588" s="14" t="s">
        <v>116</v>
      </c>
      <c r="DI1588" s="14">
        <f>INDEX(属性投放!$BL$6:$BL$85,(CV1588-2)*20+CZ1588)</f>
        <v>85</v>
      </c>
      <c r="DJ1588" s="14">
        <f>SUMIFS(DI$5:DI1588,$CT$5:$CT1588,"="&amp;$CT1588)</f>
        <v>1045</v>
      </c>
      <c r="DK1588" s="14" t="s">
        <v>25</v>
      </c>
      <c r="DL1588" s="14">
        <f>INDEX(属性投放!$BM$6:$BM$85,(CV1588-2)*20+CZ1588)</f>
        <v>1530</v>
      </c>
      <c r="DM1588" s="14">
        <f>SUMIFS(DL$5:DL1588,$CT$5:$CT1588,"="&amp;$CT1588)</f>
        <v>16910</v>
      </c>
    </row>
    <row r="1589" spans="97:117" ht="16.5" x14ac:dyDescent="0.2">
      <c r="CS1589" s="13">
        <v>1585</v>
      </c>
      <c r="CT1589" s="13">
        <f t="shared" ref="CT1589:CT1652" si="1146">MATCH(CS1589-1,$U$5:$U$36,1)</f>
        <v>31</v>
      </c>
      <c r="CU1589" s="13">
        <f t="shared" ref="CU1589:CU1652" si="1147">CS1589-(CT1589-1)*52</f>
        <v>25</v>
      </c>
      <c r="CV1589" s="14">
        <f t="shared" si="1144"/>
        <v>4</v>
      </c>
      <c r="CW1589" s="14">
        <f t="shared" si="1145"/>
        <v>1102997</v>
      </c>
      <c r="CX1589" s="14" t="str">
        <f>INDEX($O$6:$O$50,CT1589)&amp;"-"&amp;INDEX(属性投放!$AB$7:$AB$50,CZ1589)&amp;"-魂火-"&amp;DB1589</f>
        <v>SSR守护灵-大叫唤+2-魂火-1</v>
      </c>
      <c r="CY1589" s="25" t="s">
        <v>142</v>
      </c>
      <c r="CZ1589" s="14">
        <f>INDEX(属性投放!$AM$7:$AM$58,CU1589)</f>
        <v>12</v>
      </c>
      <c r="DA1589" s="14" t="s">
        <v>537</v>
      </c>
      <c r="DB1589" s="14">
        <f>INDEX(属性投放!$AN$7:$AN$58,CU1589)</f>
        <v>1</v>
      </c>
      <c r="DC1589" s="14">
        <f t="shared" ref="DC1589:DC1652" si="1148">CU1589</f>
        <v>25</v>
      </c>
      <c r="DD1589" s="14">
        <f>INDEX(属性投放!$AO$7:$AO$58,DC1589)</f>
        <v>80</v>
      </c>
      <c r="DE1589" s="14" t="s">
        <v>242</v>
      </c>
      <c r="DF1589" s="14">
        <f>INDEX(属性投放!$BK$6:$BK$85,(CV1589-2)*20+CZ1589)</f>
        <v>225</v>
      </c>
      <c r="DG1589" s="14">
        <f>SUMIFS(DF$5:DF1589,$CT$5:$CT1589,"="&amp;$CT1589)</f>
        <v>2305</v>
      </c>
      <c r="DH1589" s="14" t="s">
        <v>116</v>
      </c>
      <c r="DI1589" s="14">
        <f>INDEX(属性投放!$BL$6:$BL$85,(CV1589-2)*20+CZ1589)</f>
        <v>113</v>
      </c>
      <c r="DJ1589" s="14">
        <f>SUMIFS(DI$5:DI1589,$CT$5:$CT1589,"="&amp;$CT1589)</f>
        <v>1158</v>
      </c>
      <c r="DK1589" s="14" t="s">
        <v>25</v>
      </c>
      <c r="DL1589" s="14">
        <f>INDEX(属性投放!$BM$6:$BM$85,(CV1589-2)*20+CZ1589)</f>
        <v>2025</v>
      </c>
      <c r="DM1589" s="14">
        <f>SUMIFS(DL$5:DL1589,$CT$5:$CT1589,"="&amp;$CT1589)</f>
        <v>18935</v>
      </c>
    </row>
    <row r="1590" spans="97:117" ht="16.5" x14ac:dyDescent="0.2">
      <c r="CS1590" s="13">
        <v>1586</v>
      </c>
      <c r="CT1590" s="13">
        <f t="shared" si="1146"/>
        <v>31</v>
      </c>
      <c r="CU1590" s="13">
        <f t="shared" si="1147"/>
        <v>26</v>
      </c>
      <c r="CV1590" s="14">
        <f t="shared" si="1144"/>
        <v>4</v>
      </c>
      <c r="CW1590" s="14">
        <f t="shared" si="1145"/>
        <v>1102997</v>
      </c>
      <c r="CX1590" s="14" t="str">
        <f>INDEX($O$6:$O$50,CT1590)&amp;"-"&amp;INDEX(属性投放!$AB$7:$AB$50,CZ1590)&amp;"-魂火-"&amp;DB1590</f>
        <v>SSR守护灵-大叫唤+2-魂火-2</v>
      </c>
      <c r="CY1590" s="25" t="s">
        <v>142</v>
      </c>
      <c r="CZ1590" s="14">
        <f>INDEX(属性投放!$AM$7:$AM$58,CU1590)</f>
        <v>12</v>
      </c>
      <c r="DA1590" s="14" t="s">
        <v>537</v>
      </c>
      <c r="DB1590" s="14">
        <f>INDEX(属性投放!$AN$7:$AN$58,CU1590)</f>
        <v>2</v>
      </c>
      <c r="DC1590" s="14">
        <f t="shared" si="1148"/>
        <v>26</v>
      </c>
      <c r="DD1590" s="14">
        <f>INDEX(属性投放!$AO$7:$AO$58,DC1590)</f>
        <v>83</v>
      </c>
      <c r="DE1590" s="14" t="s">
        <v>242</v>
      </c>
      <c r="DF1590" s="14">
        <f>INDEX(属性投放!$BK$6:$BK$85,(CV1590-2)*20+CZ1590)</f>
        <v>225</v>
      </c>
      <c r="DG1590" s="14">
        <f>SUMIFS(DF$5:DF1590,$CT$5:$CT1590,"="&amp;$CT1590)</f>
        <v>2530</v>
      </c>
      <c r="DH1590" s="14" t="s">
        <v>116</v>
      </c>
      <c r="DI1590" s="14">
        <f>INDEX(属性投放!$BL$6:$BL$85,(CV1590-2)*20+CZ1590)</f>
        <v>113</v>
      </c>
      <c r="DJ1590" s="14">
        <f>SUMIFS(DI$5:DI1590,$CT$5:$CT1590,"="&amp;$CT1590)</f>
        <v>1271</v>
      </c>
      <c r="DK1590" s="14" t="s">
        <v>25</v>
      </c>
      <c r="DL1590" s="14">
        <f>INDEX(属性投放!$BM$6:$BM$85,(CV1590-2)*20+CZ1590)</f>
        <v>2025</v>
      </c>
      <c r="DM1590" s="14">
        <f>SUMIFS(DL$5:DL1590,$CT$5:$CT1590,"="&amp;$CT1590)</f>
        <v>20960</v>
      </c>
    </row>
    <row r="1591" spans="97:117" ht="16.5" x14ac:dyDescent="0.2">
      <c r="CS1591" s="13">
        <v>1587</v>
      </c>
      <c r="CT1591" s="13">
        <f t="shared" si="1146"/>
        <v>31</v>
      </c>
      <c r="CU1591" s="13">
        <f t="shared" si="1147"/>
        <v>27</v>
      </c>
      <c r="CV1591" s="14">
        <f t="shared" si="1144"/>
        <v>4</v>
      </c>
      <c r="CW1591" s="14">
        <f t="shared" si="1145"/>
        <v>1102997</v>
      </c>
      <c r="CX1591" s="14" t="str">
        <f>INDEX($O$6:$O$50,CT1591)&amp;"-"&amp;INDEX(属性投放!$AB$7:$AB$50,CZ1591)&amp;"-魂火-"&amp;DB1591</f>
        <v>SSR守护灵-大叫唤+2-魂火-3</v>
      </c>
      <c r="CY1591" s="25" t="s">
        <v>142</v>
      </c>
      <c r="CZ1591" s="14">
        <f>INDEX(属性投放!$AM$7:$AM$58,CU1591)</f>
        <v>12</v>
      </c>
      <c r="DA1591" s="14" t="s">
        <v>537</v>
      </c>
      <c r="DB1591" s="14">
        <f>INDEX(属性投放!$AN$7:$AN$58,CU1591)</f>
        <v>3</v>
      </c>
      <c r="DC1591" s="14">
        <f t="shared" si="1148"/>
        <v>27</v>
      </c>
      <c r="DD1591" s="14">
        <f>INDEX(属性投放!$AO$7:$AO$58,DC1591)</f>
        <v>85</v>
      </c>
      <c r="DE1591" s="14" t="s">
        <v>242</v>
      </c>
      <c r="DF1591" s="14">
        <f>INDEX(属性投放!$BK$6:$BK$85,(CV1591-2)*20+CZ1591)</f>
        <v>225</v>
      </c>
      <c r="DG1591" s="14">
        <f>SUMIFS(DF$5:DF1591,$CT$5:$CT1591,"="&amp;$CT1591)</f>
        <v>2755</v>
      </c>
      <c r="DH1591" s="14" t="s">
        <v>116</v>
      </c>
      <c r="DI1591" s="14">
        <f>INDEX(属性投放!$BL$6:$BL$85,(CV1591-2)*20+CZ1591)</f>
        <v>113</v>
      </c>
      <c r="DJ1591" s="14">
        <f>SUMIFS(DI$5:DI1591,$CT$5:$CT1591,"="&amp;$CT1591)</f>
        <v>1384</v>
      </c>
      <c r="DK1591" s="14" t="s">
        <v>25</v>
      </c>
      <c r="DL1591" s="14">
        <f>INDEX(属性投放!$BM$6:$BM$85,(CV1591-2)*20+CZ1591)</f>
        <v>2025</v>
      </c>
      <c r="DM1591" s="14">
        <f>SUMIFS(DL$5:DL1591,$CT$5:$CT1591,"="&amp;$CT1591)</f>
        <v>22985</v>
      </c>
    </row>
    <row r="1592" spans="97:117" ht="16.5" x14ac:dyDescent="0.2">
      <c r="CS1592" s="13">
        <v>1588</v>
      </c>
      <c r="CT1592" s="13">
        <f t="shared" si="1146"/>
        <v>31</v>
      </c>
      <c r="CU1592" s="13">
        <f t="shared" si="1147"/>
        <v>28</v>
      </c>
      <c r="CV1592" s="14">
        <f t="shared" si="1144"/>
        <v>4</v>
      </c>
      <c r="CW1592" s="14">
        <f t="shared" si="1145"/>
        <v>1102997</v>
      </c>
      <c r="CX1592" s="14" t="str">
        <f>INDEX($O$6:$O$50,CT1592)&amp;"-"&amp;INDEX(属性投放!$AB$7:$AB$50,CZ1592)&amp;"-魂火-"&amp;DB1592</f>
        <v>SSR守护灵-焦热-魂火-1</v>
      </c>
      <c r="CY1592" s="25" t="s">
        <v>142</v>
      </c>
      <c r="CZ1592" s="14">
        <f>INDEX(属性投放!$AM$7:$AM$58,CU1592)</f>
        <v>13</v>
      </c>
      <c r="DA1592" s="14" t="s">
        <v>537</v>
      </c>
      <c r="DB1592" s="14">
        <f>INDEX(属性投放!$AN$7:$AN$58,CU1592)</f>
        <v>1</v>
      </c>
      <c r="DC1592" s="14">
        <f t="shared" si="1148"/>
        <v>28</v>
      </c>
      <c r="DD1592" s="14">
        <f>INDEX(属性投放!$AO$7:$AO$58,DC1592)</f>
        <v>88</v>
      </c>
      <c r="DE1592" s="14" t="s">
        <v>242</v>
      </c>
      <c r="DF1592" s="14">
        <f>INDEX(属性投放!$BK$6:$BK$85,(CV1592-2)*20+CZ1592)</f>
        <v>275</v>
      </c>
      <c r="DG1592" s="14">
        <f>SUMIFS(DF$5:DF1592,$CT$5:$CT1592,"="&amp;$CT1592)</f>
        <v>3030</v>
      </c>
      <c r="DH1592" s="14" t="s">
        <v>116</v>
      </c>
      <c r="DI1592" s="14">
        <f>INDEX(属性投放!$BL$6:$BL$85,(CV1592-2)*20+CZ1592)</f>
        <v>138</v>
      </c>
      <c r="DJ1592" s="14">
        <f>SUMIFS(DI$5:DI1592,$CT$5:$CT1592,"="&amp;$CT1592)</f>
        <v>1522</v>
      </c>
      <c r="DK1592" s="14" t="s">
        <v>25</v>
      </c>
      <c r="DL1592" s="14">
        <f>INDEX(属性投放!$BM$6:$BM$85,(CV1592-2)*20+CZ1592)</f>
        <v>2750</v>
      </c>
      <c r="DM1592" s="14">
        <f>SUMIFS(DL$5:DL1592,$CT$5:$CT1592,"="&amp;$CT1592)</f>
        <v>25735</v>
      </c>
    </row>
    <row r="1593" spans="97:117" ht="16.5" x14ac:dyDescent="0.2">
      <c r="CS1593" s="13">
        <v>1589</v>
      </c>
      <c r="CT1593" s="13">
        <f t="shared" si="1146"/>
        <v>31</v>
      </c>
      <c r="CU1593" s="13">
        <f t="shared" si="1147"/>
        <v>29</v>
      </c>
      <c r="CV1593" s="14">
        <f t="shared" si="1144"/>
        <v>4</v>
      </c>
      <c r="CW1593" s="14">
        <f t="shared" si="1145"/>
        <v>1102997</v>
      </c>
      <c r="CX1593" s="14" t="str">
        <f>INDEX($O$6:$O$50,CT1593)&amp;"-"&amp;INDEX(属性投放!$AB$7:$AB$50,CZ1593)&amp;"-魂火-"&amp;DB1593</f>
        <v>SSR守护灵-焦热-魂火-2</v>
      </c>
      <c r="CY1593" s="25" t="s">
        <v>142</v>
      </c>
      <c r="CZ1593" s="14">
        <f>INDEX(属性投放!$AM$7:$AM$58,CU1593)</f>
        <v>13</v>
      </c>
      <c r="DA1593" s="14" t="s">
        <v>537</v>
      </c>
      <c r="DB1593" s="14">
        <f>INDEX(属性投放!$AN$7:$AN$58,CU1593)</f>
        <v>2</v>
      </c>
      <c r="DC1593" s="14">
        <f t="shared" si="1148"/>
        <v>29</v>
      </c>
      <c r="DD1593" s="14">
        <f>INDEX(属性投放!$AO$7:$AO$58,DC1593)</f>
        <v>90</v>
      </c>
      <c r="DE1593" s="14" t="s">
        <v>242</v>
      </c>
      <c r="DF1593" s="14">
        <f>INDEX(属性投放!$BK$6:$BK$85,(CV1593-2)*20+CZ1593)</f>
        <v>275</v>
      </c>
      <c r="DG1593" s="14">
        <f>SUMIFS(DF$5:DF1593,$CT$5:$CT1593,"="&amp;$CT1593)</f>
        <v>3305</v>
      </c>
      <c r="DH1593" s="14" t="s">
        <v>116</v>
      </c>
      <c r="DI1593" s="14">
        <f>INDEX(属性投放!$BL$6:$BL$85,(CV1593-2)*20+CZ1593)</f>
        <v>138</v>
      </c>
      <c r="DJ1593" s="14">
        <f>SUMIFS(DI$5:DI1593,$CT$5:$CT1593,"="&amp;$CT1593)</f>
        <v>1660</v>
      </c>
      <c r="DK1593" s="14" t="s">
        <v>25</v>
      </c>
      <c r="DL1593" s="14">
        <f>INDEX(属性投放!$BM$6:$BM$85,(CV1593-2)*20+CZ1593)</f>
        <v>2750</v>
      </c>
      <c r="DM1593" s="14">
        <f>SUMIFS(DL$5:DL1593,$CT$5:$CT1593,"="&amp;$CT1593)</f>
        <v>28485</v>
      </c>
    </row>
    <row r="1594" spans="97:117" ht="16.5" x14ac:dyDescent="0.2">
      <c r="CS1594" s="13">
        <v>1590</v>
      </c>
      <c r="CT1594" s="13">
        <f t="shared" si="1146"/>
        <v>31</v>
      </c>
      <c r="CU1594" s="13">
        <f t="shared" si="1147"/>
        <v>30</v>
      </c>
      <c r="CV1594" s="14">
        <f t="shared" si="1144"/>
        <v>4</v>
      </c>
      <c r="CW1594" s="14">
        <f t="shared" si="1145"/>
        <v>1102997</v>
      </c>
      <c r="CX1594" s="14" t="str">
        <f>INDEX($O$6:$O$50,CT1594)&amp;"-"&amp;INDEX(属性投放!$AB$7:$AB$50,CZ1594)&amp;"-魂火-"&amp;DB1594</f>
        <v>SSR守护灵-焦热-魂火-3</v>
      </c>
      <c r="CY1594" s="25" t="s">
        <v>142</v>
      </c>
      <c r="CZ1594" s="14">
        <f>INDEX(属性投放!$AM$7:$AM$58,CU1594)</f>
        <v>13</v>
      </c>
      <c r="DA1594" s="14" t="s">
        <v>537</v>
      </c>
      <c r="DB1594" s="14">
        <f>INDEX(属性投放!$AN$7:$AN$58,CU1594)</f>
        <v>3</v>
      </c>
      <c r="DC1594" s="14">
        <f t="shared" si="1148"/>
        <v>30</v>
      </c>
      <c r="DD1594" s="14">
        <f>INDEX(属性投放!$AO$7:$AO$58,DC1594)</f>
        <v>93</v>
      </c>
      <c r="DE1594" s="14" t="s">
        <v>242</v>
      </c>
      <c r="DF1594" s="14">
        <f>INDEX(属性投放!$BK$6:$BK$85,(CV1594-2)*20+CZ1594)</f>
        <v>275</v>
      </c>
      <c r="DG1594" s="14">
        <f>SUMIFS(DF$5:DF1594,$CT$5:$CT1594,"="&amp;$CT1594)</f>
        <v>3580</v>
      </c>
      <c r="DH1594" s="14" t="s">
        <v>116</v>
      </c>
      <c r="DI1594" s="14">
        <f>INDEX(属性投放!$BL$6:$BL$85,(CV1594-2)*20+CZ1594)</f>
        <v>138</v>
      </c>
      <c r="DJ1594" s="14">
        <f>SUMIFS(DI$5:DI1594,$CT$5:$CT1594,"="&amp;$CT1594)</f>
        <v>1798</v>
      </c>
      <c r="DK1594" s="14" t="s">
        <v>25</v>
      </c>
      <c r="DL1594" s="14">
        <f>INDEX(属性投放!$BM$6:$BM$85,(CV1594-2)*20+CZ1594)</f>
        <v>2750</v>
      </c>
      <c r="DM1594" s="14">
        <f>SUMIFS(DL$5:DL1594,$CT$5:$CT1594,"="&amp;$CT1594)</f>
        <v>31235</v>
      </c>
    </row>
    <row r="1595" spans="97:117" ht="16.5" x14ac:dyDescent="0.2">
      <c r="CS1595" s="13">
        <v>1591</v>
      </c>
      <c r="CT1595" s="13">
        <f t="shared" si="1146"/>
        <v>31</v>
      </c>
      <c r="CU1595" s="13">
        <f t="shared" si="1147"/>
        <v>31</v>
      </c>
      <c r="CV1595" s="14">
        <f t="shared" si="1144"/>
        <v>4</v>
      </c>
      <c r="CW1595" s="14">
        <f t="shared" si="1145"/>
        <v>1102997</v>
      </c>
      <c r="CX1595" s="14" t="str">
        <f>INDEX($O$6:$O$50,CT1595)&amp;"-"&amp;INDEX(属性投放!$AB$7:$AB$50,CZ1595)&amp;"-魂火-"&amp;DB1595</f>
        <v>SSR守护灵-焦热+1-魂火-1</v>
      </c>
      <c r="CY1595" s="25" t="s">
        <v>142</v>
      </c>
      <c r="CZ1595" s="14">
        <f>INDEX(属性投放!$AM$7:$AM$58,CU1595)</f>
        <v>14</v>
      </c>
      <c r="DA1595" s="14" t="s">
        <v>537</v>
      </c>
      <c r="DB1595" s="14">
        <f>INDEX(属性投放!$AN$7:$AN$58,CU1595)</f>
        <v>1</v>
      </c>
      <c r="DC1595" s="14">
        <f t="shared" si="1148"/>
        <v>31</v>
      </c>
      <c r="DD1595" s="14">
        <f>INDEX(属性投放!$AO$7:$AO$58,DC1595)</f>
        <v>95</v>
      </c>
      <c r="DE1595" s="14" t="s">
        <v>242</v>
      </c>
      <c r="DF1595" s="14">
        <f>INDEX(属性投放!$BK$6:$BK$85,(CV1595-2)*20+CZ1595)</f>
        <v>320</v>
      </c>
      <c r="DG1595" s="14">
        <f>SUMIFS(DF$5:DF1595,$CT$5:$CT1595,"="&amp;$CT1595)</f>
        <v>3900</v>
      </c>
      <c r="DH1595" s="14" t="s">
        <v>116</v>
      </c>
      <c r="DI1595" s="14">
        <f>INDEX(属性投放!$BL$6:$BL$85,(CV1595-2)*20+CZ1595)</f>
        <v>160</v>
      </c>
      <c r="DJ1595" s="14">
        <f>SUMIFS(DI$5:DI1595,$CT$5:$CT1595,"="&amp;$CT1595)</f>
        <v>1958</v>
      </c>
      <c r="DK1595" s="14" t="s">
        <v>25</v>
      </c>
      <c r="DL1595" s="14">
        <f>INDEX(属性投放!$BM$6:$BM$85,(CV1595-2)*20+CZ1595)</f>
        <v>3200</v>
      </c>
      <c r="DM1595" s="14">
        <f>SUMIFS(DL$5:DL1595,$CT$5:$CT1595,"="&amp;$CT1595)</f>
        <v>34435</v>
      </c>
    </row>
    <row r="1596" spans="97:117" ht="16.5" x14ac:dyDescent="0.2">
      <c r="CS1596" s="13">
        <v>1592</v>
      </c>
      <c r="CT1596" s="13">
        <f t="shared" si="1146"/>
        <v>31</v>
      </c>
      <c r="CU1596" s="13">
        <f t="shared" si="1147"/>
        <v>32</v>
      </c>
      <c r="CV1596" s="14">
        <f t="shared" si="1144"/>
        <v>4</v>
      </c>
      <c r="CW1596" s="14">
        <f t="shared" si="1145"/>
        <v>1102997</v>
      </c>
      <c r="CX1596" s="14" t="str">
        <f>INDEX($O$6:$O$50,CT1596)&amp;"-"&amp;INDEX(属性投放!$AB$7:$AB$50,CZ1596)&amp;"-魂火-"&amp;DB1596</f>
        <v>SSR守护灵-焦热+1-魂火-2</v>
      </c>
      <c r="CY1596" s="25" t="s">
        <v>142</v>
      </c>
      <c r="CZ1596" s="14">
        <f>INDEX(属性投放!$AM$7:$AM$58,CU1596)</f>
        <v>14</v>
      </c>
      <c r="DA1596" s="14" t="s">
        <v>537</v>
      </c>
      <c r="DB1596" s="14">
        <f>INDEX(属性投放!$AN$7:$AN$58,CU1596)</f>
        <v>2</v>
      </c>
      <c r="DC1596" s="14">
        <f t="shared" si="1148"/>
        <v>32</v>
      </c>
      <c r="DD1596" s="14">
        <f>INDEX(属性投放!$AO$7:$AO$58,DC1596)</f>
        <v>98</v>
      </c>
      <c r="DE1596" s="14" t="s">
        <v>242</v>
      </c>
      <c r="DF1596" s="14">
        <f>INDEX(属性投放!$BK$6:$BK$85,(CV1596-2)*20+CZ1596)</f>
        <v>320</v>
      </c>
      <c r="DG1596" s="14">
        <f>SUMIFS(DF$5:DF1596,$CT$5:$CT1596,"="&amp;$CT1596)</f>
        <v>4220</v>
      </c>
      <c r="DH1596" s="14" t="s">
        <v>116</v>
      </c>
      <c r="DI1596" s="14">
        <f>INDEX(属性投放!$BL$6:$BL$85,(CV1596-2)*20+CZ1596)</f>
        <v>160</v>
      </c>
      <c r="DJ1596" s="14">
        <f>SUMIFS(DI$5:DI1596,$CT$5:$CT1596,"="&amp;$CT1596)</f>
        <v>2118</v>
      </c>
      <c r="DK1596" s="14" t="s">
        <v>25</v>
      </c>
      <c r="DL1596" s="14">
        <f>INDEX(属性投放!$BM$6:$BM$85,(CV1596-2)*20+CZ1596)</f>
        <v>3200</v>
      </c>
      <c r="DM1596" s="14">
        <f>SUMIFS(DL$5:DL1596,$CT$5:$CT1596,"="&amp;$CT1596)</f>
        <v>37635</v>
      </c>
    </row>
    <row r="1597" spans="97:117" ht="16.5" x14ac:dyDescent="0.2">
      <c r="CS1597" s="13">
        <v>1593</v>
      </c>
      <c r="CT1597" s="13">
        <f t="shared" si="1146"/>
        <v>31</v>
      </c>
      <c r="CU1597" s="13">
        <f t="shared" si="1147"/>
        <v>33</v>
      </c>
      <c r="CV1597" s="14">
        <f t="shared" si="1144"/>
        <v>4</v>
      </c>
      <c r="CW1597" s="14">
        <f t="shared" si="1145"/>
        <v>1102997</v>
      </c>
      <c r="CX1597" s="14" t="str">
        <f>INDEX($O$6:$O$50,CT1597)&amp;"-"&amp;INDEX(属性投放!$AB$7:$AB$50,CZ1597)&amp;"-魂火-"&amp;DB1597</f>
        <v>SSR守护灵-焦热+1-魂火-3</v>
      </c>
      <c r="CY1597" s="25" t="s">
        <v>142</v>
      </c>
      <c r="CZ1597" s="14">
        <f>INDEX(属性投放!$AM$7:$AM$58,CU1597)</f>
        <v>14</v>
      </c>
      <c r="DA1597" s="14" t="s">
        <v>537</v>
      </c>
      <c r="DB1597" s="14">
        <f>INDEX(属性投放!$AN$7:$AN$58,CU1597)</f>
        <v>3</v>
      </c>
      <c r="DC1597" s="14">
        <f t="shared" si="1148"/>
        <v>33</v>
      </c>
      <c r="DD1597" s="14">
        <f>INDEX(属性投放!$AO$7:$AO$58,DC1597)</f>
        <v>100</v>
      </c>
      <c r="DE1597" s="14" t="s">
        <v>242</v>
      </c>
      <c r="DF1597" s="14">
        <f>INDEX(属性投放!$BK$6:$BK$85,(CV1597-2)*20+CZ1597)</f>
        <v>320</v>
      </c>
      <c r="DG1597" s="14">
        <f>SUMIFS(DF$5:DF1597,$CT$5:$CT1597,"="&amp;$CT1597)</f>
        <v>4540</v>
      </c>
      <c r="DH1597" s="14" t="s">
        <v>116</v>
      </c>
      <c r="DI1597" s="14">
        <f>INDEX(属性投放!$BL$6:$BL$85,(CV1597-2)*20+CZ1597)</f>
        <v>160</v>
      </c>
      <c r="DJ1597" s="14">
        <f>SUMIFS(DI$5:DI1597,$CT$5:$CT1597,"="&amp;$CT1597)</f>
        <v>2278</v>
      </c>
      <c r="DK1597" s="14" t="s">
        <v>25</v>
      </c>
      <c r="DL1597" s="14">
        <f>INDEX(属性投放!$BM$6:$BM$85,(CV1597-2)*20+CZ1597)</f>
        <v>3200</v>
      </c>
      <c r="DM1597" s="14">
        <f>SUMIFS(DL$5:DL1597,$CT$5:$CT1597,"="&amp;$CT1597)</f>
        <v>40835</v>
      </c>
    </row>
    <row r="1598" spans="97:117" ht="16.5" x14ac:dyDescent="0.2">
      <c r="CS1598" s="13">
        <v>1594</v>
      </c>
      <c r="CT1598" s="13">
        <f t="shared" si="1146"/>
        <v>31</v>
      </c>
      <c r="CU1598" s="13">
        <f t="shared" si="1147"/>
        <v>34</v>
      </c>
      <c r="CV1598" s="14">
        <f t="shared" si="1144"/>
        <v>4</v>
      </c>
      <c r="CW1598" s="14">
        <f t="shared" si="1145"/>
        <v>1102997</v>
      </c>
      <c r="CX1598" s="14" t="str">
        <f>INDEX($O$6:$O$50,CT1598)&amp;"-"&amp;INDEX(属性投放!$AB$7:$AB$50,CZ1598)&amp;"-魂火-"&amp;DB1598</f>
        <v>SSR守护灵-焦热+2-魂火-1</v>
      </c>
      <c r="CY1598" s="25" t="s">
        <v>142</v>
      </c>
      <c r="CZ1598" s="14">
        <f>INDEX(属性投放!$AM$7:$AM$58,CU1598)</f>
        <v>15</v>
      </c>
      <c r="DA1598" s="14" t="s">
        <v>537</v>
      </c>
      <c r="DB1598" s="14">
        <f>INDEX(属性投放!$AN$7:$AN$58,CU1598)</f>
        <v>1</v>
      </c>
      <c r="DC1598" s="14">
        <f t="shared" si="1148"/>
        <v>34</v>
      </c>
      <c r="DD1598" s="14">
        <f>INDEX(属性投放!$AO$7:$AO$58,DC1598)</f>
        <v>103</v>
      </c>
      <c r="DE1598" s="14" t="s">
        <v>242</v>
      </c>
      <c r="DF1598" s="14">
        <f>INDEX(属性投放!$BK$6:$BK$85,(CV1598-2)*20+CZ1598)</f>
        <v>445</v>
      </c>
      <c r="DG1598" s="14">
        <f>SUMIFS(DF$5:DF1598,$CT$5:$CT1598,"="&amp;$CT1598)</f>
        <v>4985</v>
      </c>
      <c r="DH1598" s="14" t="s">
        <v>116</v>
      </c>
      <c r="DI1598" s="14">
        <f>INDEX(属性投放!$BL$6:$BL$85,(CV1598-2)*20+CZ1598)</f>
        <v>223</v>
      </c>
      <c r="DJ1598" s="14">
        <f>SUMIFS(DI$5:DI1598,$CT$5:$CT1598,"="&amp;$CT1598)</f>
        <v>2501</v>
      </c>
      <c r="DK1598" s="14" t="s">
        <v>25</v>
      </c>
      <c r="DL1598" s="14">
        <f>INDEX(属性投放!$BM$6:$BM$85,(CV1598-2)*20+CZ1598)</f>
        <v>4450</v>
      </c>
      <c r="DM1598" s="14">
        <f>SUMIFS(DL$5:DL1598,$CT$5:$CT1598,"="&amp;$CT1598)</f>
        <v>45285</v>
      </c>
    </row>
    <row r="1599" spans="97:117" ht="16.5" x14ac:dyDescent="0.2">
      <c r="CS1599" s="13">
        <v>1595</v>
      </c>
      <c r="CT1599" s="13">
        <f t="shared" si="1146"/>
        <v>31</v>
      </c>
      <c r="CU1599" s="13">
        <f t="shared" si="1147"/>
        <v>35</v>
      </c>
      <c r="CV1599" s="14">
        <f t="shared" si="1144"/>
        <v>4</v>
      </c>
      <c r="CW1599" s="14">
        <f t="shared" si="1145"/>
        <v>1102997</v>
      </c>
      <c r="CX1599" s="14" t="str">
        <f>INDEX($O$6:$O$50,CT1599)&amp;"-"&amp;INDEX(属性投放!$AB$7:$AB$50,CZ1599)&amp;"-魂火-"&amp;DB1599</f>
        <v>SSR守护灵-焦热+2-魂火-2</v>
      </c>
      <c r="CY1599" s="25" t="s">
        <v>142</v>
      </c>
      <c r="CZ1599" s="14">
        <f>INDEX(属性投放!$AM$7:$AM$58,CU1599)</f>
        <v>15</v>
      </c>
      <c r="DA1599" s="14" t="s">
        <v>537</v>
      </c>
      <c r="DB1599" s="14">
        <f>INDEX(属性投放!$AN$7:$AN$58,CU1599)</f>
        <v>2</v>
      </c>
      <c r="DC1599" s="14">
        <f t="shared" si="1148"/>
        <v>35</v>
      </c>
      <c r="DD1599" s="14">
        <f>INDEX(属性投放!$AO$7:$AO$58,DC1599)</f>
        <v>105</v>
      </c>
      <c r="DE1599" s="14" t="s">
        <v>242</v>
      </c>
      <c r="DF1599" s="14">
        <f>INDEX(属性投放!$BK$6:$BK$85,(CV1599-2)*20+CZ1599)</f>
        <v>445</v>
      </c>
      <c r="DG1599" s="14">
        <f>SUMIFS(DF$5:DF1599,$CT$5:$CT1599,"="&amp;$CT1599)</f>
        <v>5430</v>
      </c>
      <c r="DH1599" s="14" t="s">
        <v>116</v>
      </c>
      <c r="DI1599" s="14">
        <f>INDEX(属性投放!$BL$6:$BL$85,(CV1599-2)*20+CZ1599)</f>
        <v>223</v>
      </c>
      <c r="DJ1599" s="14">
        <f>SUMIFS(DI$5:DI1599,$CT$5:$CT1599,"="&amp;$CT1599)</f>
        <v>2724</v>
      </c>
      <c r="DK1599" s="14" t="s">
        <v>25</v>
      </c>
      <c r="DL1599" s="14">
        <f>INDEX(属性投放!$BM$6:$BM$85,(CV1599-2)*20+CZ1599)</f>
        <v>4450</v>
      </c>
      <c r="DM1599" s="14">
        <f>SUMIFS(DL$5:DL1599,$CT$5:$CT1599,"="&amp;$CT1599)</f>
        <v>49735</v>
      </c>
    </row>
    <row r="1600" spans="97:117" ht="16.5" x14ac:dyDescent="0.2">
      <c r="CS1600" s="13">
        <v>1596</v>
      </c>
      <c r="CT1600" s="13">
        <f t="shared" si="1146"/>
        <v>31</v>
      </c>
      <c r="CU1600" s="13">
        <f t="shared" si="1147"/>
        <v>36</v>
      </c>
      <c r="CV1600" s="14">
        <f t="shared" si="1144"/>
        <v>4</v>
      </c>
      <c r="CW1600" s="14">
        <f t="shared" si="1145"/>
        <v>1102997</v>
      </c>
      <c r="CX1600" s="14" t="str">
        <f>INDEX($O$6:$O$50,CT1600)&amp;"-"&amp;INDEX(属性投放!$AB$7:$AB$50,CZ1600)&amp;"-魂火-"&amp;DB1600</f>
        <v>SSR守护灵-焦热+2-魂火-3</v>
      </c>
      <c r="CY1600" s="25" t="s">
        <v>142</v>
      </c>
      <c r="CZ1600" s="14">
        <f>INDEX(属性投放!$AM$7:$AM$58,CU1600)</f>
        <v>15</v>
      </c>
      <c r="DA1600" s="14" t="s">
        <v>537</v>
      </c>
      <c r="DB1600" s="14">
        <f>INDEX(属性投放!$AN$7:$AN$58,CU1600)</f>
        <v>3</v>
      </c>
      <c r="DC1600" s="14">
        <f t="shared" si="1148"/>
        <v>36</v>
      </c>
      <c r="DD1600" s="14">
        <f>INDEX(属性投放!$AO$7:$AO$58,DC1600)</f>
        <v>108</v>
      </c>
      <c r="DE1600" s="14" t="s">
        <v>242</v>
      </c>
      <c r="DF1600" s="14">
        <f>INDEX(属性投放!$BK$6:$BK$85,(CV1600-2)*20+CZ1600)</f>
        <v>445</v>
      </c>
      <c r="DG1600" s="14">
        <f>SUMIFS(DF$5:DF1600,$CT$5:$CT1600,"="&amp;$CT1600)</f>
        <v>5875</v>
      </c>
      <c r="DH1600" s="14" t="s">
        <v>116</v>
      </c>
      <c r="DI1600" s="14">
        <f>INDEX(属性投放!$BL$6:$BL$85,(CV1600-2)*20+CZ1600)</f>
        <v>223</v>
      </c>
      <c r="DJ1600" s="14">
        <f>SUMIFS(DI$5:DI1600,$CT$5:$CT1600,"="&amp;$CT1600)</f>
        <v>2947</v>
      </c>
      <c r="DK1600" s="14" t="s">
        <v>25</v>
      </c>
      <c r="DL1600" s="14">
        <f>INDEX(属性投放!$BM$6:$BM$85,(CV1600-2)*20+CZ1600)</f>
        <v>4450</v>
      </c>
      <c r="DM1600" s="14">
        <f>SUMIFS(DL$5:DL1600,$CT$5:$CT1600,"="&amp;$CT1600)</f>
        <v>54185</v>
      </c>
    </row>
    <row r="1601" spans="97:117" ht="16.5" x14ac:dyDescent="0.2">
      <c r="CS1601" s="13">
        <v>1597</v>
      </c>
      <c r="CT1601" s="13">
        <f t="shared" si="1146"/>
        <v>31</v>
      </c>
      <c r="CU1601" s="13">
        <f t="shared" si="1147"/>
        <v>37</v>
      </c>
      <c r="CV1601" s="14">
        <f t="shared" si="1144"/>
        <v>4</v>
      </c>
      <c r="CW1601" s="14">
        <f t="shared" si="1145"/>
        <v>1102997</v>
      </c>
      <c r="CX1601" s="14" t="str">
        <f>INDEX($O$6:$O$50,CT1601)&amp;"-"&amp;INDEX(属性投放!$AB$7:$AB$50,CZ1601)&amp;"-魂火-"&amp;DB1601</f>
        <v>SSR守护灵-大焦热-魂火-1</v>
      </c>
      <c r="CY1601" s="25" t="s">
        <v>142</v>
      </c>
      <c r="CZ1601" s="14">
        <f>INDEX(属性投放!$AM$7:$AM$58,CU1601)</f>
        <v>16</v>
      </c>
      <c r="DA1601" s="14" t="s">
        <v>537</v>
      </c>
      <c r="DB1601" s="14">
        <f>INDEX(属性投放!$AN$7:$AN$58,CU1601)</f>
        <v>1</v>
      </c>
      <c r="DC1601" s="14">
        <f t="shared" si="1148"/>
        <v>37</v>
      </c>
      <c r="DD1601" s="14">
        <f>INDEX(属性投放!$AO$7:$AO$58,DC1601)</f>
        <v>110</v>
      </c>
      <c r="DE1601" s="14" t="s">
        <v>242</v>
      </c>
      <c r="DF1601" s="14">
        <f>INDEX(属性投放!$BK$6:$BK$85,(CV1601-2)*20+CZ1601)</f>
        <v>520</v>
      </c>
      <c r="DG1601" s="14">
        <f>SUMIFS(DF$5:DF1601,$CT$5:$CT1601,"="&amp;$CT1601)</f>
        <v>6395</v>
      </c>
      <c r="DH1601" s="14" t="s">
        <v>116</v>
      </c>
      <c r="DI1601" s="14">
        <f>INDEX(属性投放!$BL$6:$BL$85,(CV1601-2)*20+CZ1601)</f>
        <v>260</v>
      </c>
      <c r="DJ1601" s="14">
        <f>SUMIFS(DI$5:DI1601,$CT$5:$CT1601,"="&amp;$CT1601)</f>
        <v>3207</v>
      </c>
      <c r="DK1601" s="14" t="s">
        <v>25</v>
      </c>
      <c r="DL1601" s="14">
        <f>INDEX(属性投放!$BM$6:$BM$85,(CV1601-2)*20+CZ1601)</f>
        <v>5200</v>
      </c>
      <c r="DM1601" s="14">
        <f>SUMIFS(DL$5:DL1601,$CT$5:$CT1601,"="&amp;$CT1601)</f>
        <v>59385</v>
      </c>
    </row>
    <row r="1602" spans="97:117" ht="16.5" x14ac:dyDescent="0.2">
      <c r="CS1602" s="13">
        <v>1598</v>
      </c>
      <c r="CT1602" s="13">
        <f t="shared" si="1146"/>
        <v>31</v>
      </c>
      <c r="CU1602" s="13">
        <f t="shared" si="1147"/>
        <v>38</v>
      </c>
      <c r="CV1602" s="14">
        <f t="shared" si="1144"/>
        <v>4</v>
      </c>
      <c r="CW1602" s="14">
        <f t="shared" si="1145"/>
        <v>1102997</v>
      </c>
      <c r="CX1602" s="14" t="str">
        <f>INDEX($O$6:$O$50,CT1602)&amp;"-"&amp;INDEX(属性投放!$AB$7:$AB$50,CZ1602)&amp;"-魂火-"&amp;DB1602</f>
        <v>SSR守护灵-大焦热-魂火-2</v>
      </c>
      <c r="CY1602" s="25" t="s">
        <v>142</v>
      </c>
      <c r="CZ1602" s="14">
        <f>INDEX(属性投放!$AM$7:$AM$58,CU1602)</f>
        <v>16</v>
      </c>
      <c r="DA1602" s="14" t="s">
        <v>537</v>
      </c>
      <c r="DB1602" s="14">
        <f>INDEX(属性投放!$AN$7:$AN$58,CU1602)</f>
        <v>2</v>
      </c>
      <c r="DC1602" s="14">
        <f t="shared" si="1148"/>
        <v>38</v>
      </c>
      <c r="DD1602" s="14">
        <f>INDEX(属性投放!$AO$7:$AO$58,DC1602)</f>
        <v>113</v>
      </c>
      <c r="DE1602" s="14" t="s">
        <v>242</v>
      </c>
      <c r="DF1602" s="14">
        <f>INDEX(属性投放!$BK$6:$BK$85,(CV1602-2)*20+CZ1602)</f>
        <v>520</v>
      </c>
      <c r="DG1602" s="14">
        <f>SUMIFS(DF$5:DF1602,$CT$5:$CT1602,"="&amp;$CT1602)</f>
        <v>6915</v>
      </c>
      <c r="DH1602" s="14" t="s">
        <v>116</v>
      </c>
      <c r="DI1602" s="14">
        <f>INDEX(属性投放!$BL$6:$BL$85,(CV1602-2)*20+CZ1602)</f>
        <v>260</v>
      </c>
      <c r="DJ1602" s="14">
        <f>SUMIFS(DI$5:DI1602,$CT$5:$CT1602,"="&amp;$CT1602)</f>
        <v>3467</v>
      </c>
      <c r="DK1602" s="14" t="s">
        <v>25</v>
      </c>
      <c r="DL1602" s="14">
        <f>INDEX(属性投放!$BM$6:$BM$85,(CV1602-2)*20+CZ1602)</f>
        <v>5200</v>
      </c>
      <c r="DM1602" s="14">
        <f>SUMIFS(DL$5:DL1602,$CT$5:$CT1602,"="&amp;$CT1602)</f>
        <v>64585</v>
      </c>
    </row>
    <row r="1603" spans="97:117" ht="16.5" x14ac:dyDescent="0.2">
      <c r="CS1603" s="13">
        <v>1599</v>
      </c>
      <c r="CT1603" s="13">
        <f t="shared" si="1146"/>
        <v>31</v>
      </c>
      <c r="CU1603" s="13">
        <f t="shared" si="1147"/>
        <v>39</v>
      </c>
      <c r="CV1603" s="14">
        <f t="shared" si="1144"/>
        <v>4</v>
      </c>
      <c r="CW1603" s="14">
        <f t="shared" si="1145"/>
        <v>1102997</v>
      </c>
      <c r="CX1603" s="14" t="str">
        <f>INDEX($O$6:$O$50,CT1603)&amp;"-"&amp;INDEX(属性投放!$AB$7:$AB$50,CZ1603)&amp;"-魂火-"&amp;DB1603</f>
        <v>SSR守护灵-大焦热-魂火-3</v>
      </c>
      <c r="CY1603" s="25" t="s">
        <v>142</v>
      </c>
      <c r="CZ1603" s="14">
        <f>INDEX(属性投放!$AM$7:$AM$58,CU1603)</f>
        <v>16</v>
      </c>
      <c r="DA1603" s="14" t="s">
        <v>537</v>
      </c>
      <c r="DB1603" s="14">
        <f>INDEX(属性投放!$AN$7:$AN$58,CU1603)</f>
        <v>3</v>
      </c>
      <c r="DC1603" s="14">
        <f t="shared" si="1148"/>
        <v>39</v>
      </c>
      <c r="DD1603" s="14">
        <f>INDEX(属性投放!$AO$7:$AO$58,DC1603)</f>
        <v>115</v>
      </c>
      <c r="DE1603" s="14" t="s">
        <v>242</v>
      </c>
      <c r="DF1603" s="14">
        <f>INDEX(属性投放!$BK$6:$BK$85,(CV1603-2)*20+CZ1603)</f>
        <v>520</v>
      </c>
      <c r="DG1603" s="14">
        <f>SUMIFS(DF$5:DF1603,$CT$5:$CT1603,"="&amp;$CT1603)</f>
        <v>7435</v>
      </c>
      <c r="DH1603" s="14" t="s">
        <v>116</v>
      </c>
      <c r="DI1603" s="14">
        <f>INDEX(属性投放!$BL$6:$BL$85,(CV1603-2)*20+CZ1603)</f>
        <v>260</v>
      </c>
      <c r="DJ1603" s="14">
        <f>SUMIFS(DI$5:DI1603,$CT$5:$CT1603,"="&amp;$CT1603)</f>
        <v>3727</v>
      </c>
      <c r="DK1603" s="14" t="s">
        <v>25</v>
      </c>
      <c r="DL1603" s="14">
        <f>INDEX(属性投放!$BM$6:$BM$85,(CV1603-2)*20+CZ1603)</f>
        <v>5200</v>
      </c>
      <c r="DM1603" s="14">
        <f>SUMIFS(DL$5:DL1603,$CT$5:$CT1603,"="&amp;$CT1603)</f>
        <v>69785</v>
      </c>
    </row>
    <row r="1604" spans="97:117" ht="16.5" x14ac:dyDescent="0.2">
      <c r="CS1604" s="13">
        <v>1600</v>
      </c>
      <c r="CT1604" s="13">
        <f t="shared" si="1146"/>
        <v>31</v>
      </c>
      <c r="CU1604" s="13">
        <f t="shared" si="1147"/>
        <v>40</v>
      </c>
      <c r="CV1604" s="14">
        <f t="shared" si="1144"/>
        <v>4</v>
      </c>
      <c r="CW1604" s="14">
        <f t="shared" si="1145"/>
        <v>1102997</v>
      </c>
      <c r="CX1604" s="14" t="str">
        <f>INDEX($O$6:$O$50,CT1604)&amp;"-"&amp;INDEX(属性投放!$AB$7:$AB$50,CZ1604)&amp;"-魂火-"&amp;DB1604</f>
        <v>SSR守护灵-大焦热+1-魂火-1</v>
      </c>
      <c r="CY1604" s="25" t="s">
        <v>142</v>
      </c>
      <c r="CZ1604" s="14">
        <f>INDEX(属性投放!$AM$7:$AM$58,CU1604)</f>
        <v>17</v>
      </c>
      <c r="DA1604" s="14" t="s">
        <v>537</v>
      </c>
      <c r="DB1604" s="14">
        <f>INDEX(属性投放!$AN$7:$AN$58,CU1604)</f>
        <v>1</v>
      </c>
      <c r="DC1604" s="14">
        <f t="shared" si="1148"/>
        <v>40</v>
      </c>
      <c r="DD1604" s="14">
        <f>INDEX(属性投放!$AO$7:$AO$58,DC1604)</f>
        <v>118</v>
      </c>
      <c r="DE1604" s="14" t="s">
        <v>242</v>
      </c>
      <c r="DF1604" s="14">
        <f>INDEX(属性投放!$BK$6:$BK$85,(CV1604-2)*20+CZ1604)</f>
        <v>650</v>
      </c>
      <c r="DG1604" s="14">
        <f>SUMIFS(DF$5:DF1604,$CT$5:$CT1604,"="&amp;$CT1604)</f>
        <v>8085</v>
      </c>
      <c r="DH1604" s="14" t="s">
        <v>116</v>
      </c>
      <c r="DI1604" s="14">
        <f>INDEX(属性投放!$BL$6:$BL$85,(CV1604-2)*20+CZ1604)</f>
        <v>325</v>
      </c>
      <c r="DJ1604" s="14">
        <f>SUMIFS(DI$5:DI1604,$CT$5:$CT1604,"="&amp;$CT1604)</f>
        <v>4052</v>
      </c>
      <c r="DK1604" s="14" t="s">
        <v>25</v>
      </c>
      <c r="DL1604" s="14">
        <f>INDEX(属性投放!$BM$6:$BM$85,(CV1604-2)*20+CZ1604)</f>
        <v>6500</v>
      </c>
      <c r="DM1604" s="14">
        <f>SUMIFS(DL$5:DL1604,$CT$5:$CT1604,"="&amp;$CT1604)</f>
        <v>76285</v>
      </c>
    </row>
    <row r="1605" spans="97:117" ht="16.5" x14ac:dyDescent="0.2">
      <c r="CS1605" s="13">
        <v>1601</v>
      </c>
      <c r="CT1605" s="13">
        <f t="shared" si="1146"/>
        <v>31</v>
      </c>
      <c r="CU1605" s="13">
        <f t="shared" si="1147"/>
        <v>41</v>
      </c>
      <c r="CV1605" s="14">
        <f t="shared" si="1144"/>
        <v>4</v>
      </c>
      <c r="CW1605" s="14">
        <f t="shared" si="1145"/>
        <v>1102997</v>
      </c>
      <c r="CX1605" s="14" t="str">
        <f>INDEX($O$6:$O$50,CT1605)&amp;"-"&amp;INDEX(属性投放!$AB$7:$AB$50,CZ1605)&amp;"-魂火-"&amp;DB1605</f>
        <v>SSR守护灵-大焦热+1-魂火-2</v>
      </c>
      <c r="CY1605" s="25" t="s">
        <v>142</v>
      </c>
      <c r="CZ1605" s="14">
        <f>INDEX(属性投放!$AM$7:$AM$58,CU1605)</f>
        <v>17</v>
      </c>
      <c r="DA1605" s="14" t="s">
        <v>537</v>
      </c>
      <c r="DB1605" s="14">
        <f>INDEX(属性投放!$AN$7:$AN$58,CU1605)</f>
        <v>2</v>
      </c>
      <c r="DC1605" s="14">
        <f t="shared" si="1148"/>
        <v>41</v>
      </c>
      <c r="DD1605" s="14">
        <f>INDEX(属性投放!$AO$7:$AO$58,DC1605)</f>
        <v>120</v>
      </c>
      <c r="DE1605" s="14" t="s">
        <v>242</v>
      </c>
      <c r="DF1605" s="14">
        <f>INDEX(属性投放!$BK$6:$BK$85,(CV1605-2)*20+CZ1605)</f>
        <v>650</v>
      </c>
      <c r="DG1605" s="14">
        <f>SUMIFS(DF$5:DF1605,$CT$5:$CT1605,"="&amp;$CT1605)</f>
        <v>8735</v>
      </c>
      <c r="DH1605" s="14" t="s">
        <v>116</v>
      </c>
      <c r="DI1605" s="14">
        <f>INDEX(属性投放!$BL$6:$BL$85,(CV1605-2)*20+CZ1605)</f>
        <v>325</v>
      </c>
      <c r="DJ1605" s="14">
        <f>SUMIFS(DI$5:DI1605,$CT$5:$CT1605,"="&amp;$CT1605)</f>
        <v>4377</v>
      </c>
      <c r="DK1605" s="14" t="s">
        <v>25</v>
      </c>
      <c r="DL1605" s="14">
        <f>INDEX(属性投放!$BM$6:$BM$85,(CV1605-2)*20+CZ1605)</f>
        <v>6500</v>
      </c>
      <c r="DM1605" s="14">
        <f>SUMIFS(DL$5:DL1605,$CT$5:$CT1605,"="&amp;$CT1605)</f>
        <v>82785</v>
      </c>
    </row>
    <row r="1606" spans="97:117" ht="16.5" x14ac:dyDescent="0.2">
      <c r="CS1606" s="13">
        <v>1602</v>
      </c>
      <c r="CT1606" s="13">
        <f t="shared" si="1146"/>
        <v>31</v>
      </c>
      <c r="CU1606" s="13">
        <f t="shared" si="1147"/>
        <v>42</v>
      </c>
      <c r="CV1606" s="14">
        <f t="shared" ref="CV1606:CV1668" si="1149">INDEX($Q$6:$Q$50,CT1606)</f>
        <v>4</v>
      </c>
      <c r="CW1606" s="14">
        <f t="shared" ref="CW1606:CW1668" si="1150">INDEX($N$6:$N$50,CT1606)</f>
        <v>1102997</v>
      </c>
      <c r="CX1606" s="14" t="str">
        <f>INDEX($O$6:$O$50,CT1606)&amp;"-"&amp;INDEX(属性投放!$AB$7:$AB$50,CZ1606)&amp;"-魂火-"&amp;DB1606</f>
        <v>SSR守护灵-大焦热+1-魂火-3</v>
      </c>
      <c r="CY1606" s="25" t="s">
        <v>142</v>
      </c>
      <c r="CZ1606" s="14">
        <f>INDEX(属性投放!$AM$7:$AM$58,CU1606)</f>
        <v>17</v>
      </c>
      <c r="DA1606" s="14" t="s">
        <v>537</v>
      </c>
      <c r="DB1606" s="14">
        <f>INDEX(属性投放!$AN$7:$AN$58,CU1606)</f>
        <v>3</v>
      </c>
      <c r="DC1606" s="14">
        <f t="shared" si="1148"/>
        <v>42</v>
      </c>
      <c r="DD1606" s="14">
        <f>INDEX(属性投放!$AO$7:$AO$58,DC1606)</f>
        <v>123</v>
      </c>
      <c r="DE1606" s="14" t="s">
        <v>242</v>
      </c>
      <c r="DF1606" s="14">
        <f>INDEX(属性投放!$BK$6:$BK$85,(CV1606-2)*20+CZ1606)</f>
        <v>650</v>
      </c>
      <c r="DG1606" s="14">
        <f>SUMIFS(DF$5:DF1606,$CT$5:$CT1606,"="&amp;$CT1606)</f>
        <v>9385</v>
      </c>
      <c r="DH1606" s="14" t="s">
        <v>116</v>
      </c>
      <c r="DI1606" s="14">
        <f>INDEX(属性投放!$BL$6:$BL$85,(CV1606-2)*20+CZ1606)</f>
        <v>325</v>
      </c>
      <c r="DJ1606" s="14">
        <f>SUMIFS(DI$5:DI1606,$CT$5:$CT1606,"="&amp;$CT1606)</f>
        <v>4702</v>
      </c>
      <c r="DK1606" s="14" t="s">
        <v>25</v>
      </c>
      <c r="DL1606" s="14">
        <f>INDEX(属性投放!$BM$6:$BM$85,(CV1606-2)*20+CZ1606)</f>
        <v>6500</v>
      </c>
      <c r="DM1606" s="14">
        <f>SUMIFS(DL$5:DL1606,$CT$5:$CT1606,"="&amp;$CT1606)</f>
        <v>89285</v>
      </c>
    </row>
    <row r="1607" spans="97:117" ht="16.5" x14ac:dyDescent="0.2">
      <c r="CS1607" s="13">
        <v>1603</v>
      </c>
      <c r="CT1607" s="13">
        <f t="shared" si="1146"/>
        <v>31</v>
      </c>
      <c r="CU1607" s="13">
        <f t="shared" si="1147"/>
        <v>43</v>
      </c>
      <c r="CV1607" s="14">
        <f t="shared" si="1149"/>
        <v>4</v>
      </c>
      <c r="CW1607" s="14">
        <f t="shared" si="1150"/>
        <v>1102997</v>
      </c>
      <c r="CX1607" s="14" t="str">
        <f>INDEX($O$6:$O$50,CT1607)&amp;"-"&amp;INDEX(属性投放!$AB$7:$AB$50,CZ1607)&amp;"-魂火-"&amp;DB1607</f>
        <v>SSR守护灵-大焦热+2-魂火-1</v>
      </c>
      <c r="CY1607" s="25" t="s">
        <v>142</v>
      </c>
      <c r="CZ1607" s="14">
        <f>INDEX(属性投放!$AM$7:$AM$58,CU1607)</f>
        <v>18</v>
      </c>
      <c r="DA1607" s="14" t="s">
        <v>537</v>
      </c>
      <c r="DB1607" s="14">
        <f>INDEX(属性投放!$AN$7:$AN$58,CU1607)</f>
        <v>1</v>
      </c>
      <c r="DC1607" s="14">
        <f t="shared" si="1148"/>
        <v>43</v>
      </c>
      <c r="DD1607" s="14">
        <f>INDEX(属性投放!$AO$7:$AO$58,DC1607)</f>
        <v>125</v>
      </c>
      <c r="DE1607" s="14" t="s">
        <v>242</v>
      </c>
      <c r="DF1607" s="14">
        <f>INDEX(属性投放!$BK$6:$BK$85,(CV1607-2)*20+CZ1607)</f>
        <v>750</v>
      </c>
      <c r="DG1607" s="14">
        <f>SUMIFS(DF$5:DF1607,$CT$5:$CT1607,"="&amp;$CT1607)</f>
        <v>10135</v>
      </c>
      <c r="DH1607" s="14" t="s">
        <v>116</v>
      </c>
      <c r="DI1607" s="14">
        <f>INDEX(属性投放!$BL$6:$BL$85,(CV1607-2)*20+CZ1607)</f>
        <v>375</v>
      </c>
      <c r="DJ1607" s="14">
        <f>SUMIFS(DI$5:DI1607,$CT$5:$CT1607,"="&amp;$CT1607)</f>
        <v>5077</v>
      </c>
      <c r="DK1607" s="14" t="s">
        <v>25</v>
      </c>
      <c r="DL1607" s="14">
        <f>INDEX(属性投放!$BM$6:$BM$85,(CV1607-2)*20+CZ1607)</f>
        <v>7500</v>
      </c>
      <c r="DM1607" s="14">
        <f>SUMIFS(DL$5:DL1607,$CT$5:$CT1607,"="&amp;$CT1607)</f>
        <v>96785</v>
      </c>
    </row>
    <row r="1608" spans="97:117" ht="16.5" x14ac:dyDescent="0.2">
      <c r="CS1608" s="13">
        <v>1604</v>
      </c>
      <c r="CT1608" s="13">
        <f t="shared" si="1146"/>
        <v>31</v>
      </c>
      <c r="CU1608" s="13">
        <f t="shared" si="1147"/>
        <v>44</v>
      </c>
      <c r="CV1608" s="14">
        <f t="shared" si="1149"/>
        <v>4</v>
      </c>
      <c r="CW1608" s="14">
        <f t="shared" si="1150"/>
        <v>1102997</v>
      </c>
      <c r="CX1608" s="14" t="str">
        <f>INDEX($O$6:$O$50,CT1608)&amp;"-"&amp;INDEX(属性投放!$AB$7:$AB$50,CZ1608)&amp;"-魂火-"&amp;DB1608</f>
        <v>SSR守护灵-大焦热+2-魂火-2</v>
      </c>
      <c r="CY1608" s="25" t="s">
        <v>142</v>
      </c>
      <c r="CZ1608" s="14">
        <f>INDEX(属性投放!$AM$7:$AM$58,CU1608)</f>
        <v>18</v>
      </c>
      <c r="DA1608" s="14" t="s">
        <v>537</v>
      </c>
      <c r="DB1608" s="14">
        <f>INDEX(属性投放!$AN$7:$AN$58,CU1608)</f>
        <v>2</v>
      </c>
      <c r="DC1608" s="14">
        <f t="shared" si="1148"/>
        <v>44</v>
      </c>
      <c r="DD1608" s="14">
        <f>INDEX(属性投放!$AO$7:$AO$58,DC1608)</f>
        <v>128</v>
      </c>
      <c r="DE1608" s="14" t="s">
        <v>242</v>
      </c>
      <c r="DF1608" s="14">
        <f>INDEX(属性投放!$BK$6:$BK$85,(CV1608-2)*20+CZ1608)</f>
        <v>750</v>
      </c>
      <c r="DG1608" s="14">
        <f>SUMIFS(DF$5:DF1608,$CT$5:$CT1608,"="&amp;$CT1608)</f>
        <v>10885</v>
      </c>
      <c r="DH1608" s="14" t="s">
        <v>116</v>
      </c>
      <c r="DI1608" s="14">
        <f>INDEX(属性投放!$BL$6:$BL$85,(CV1608-2)*20+CZ1608)</f>
        <v>375</v>
      </c>
      <c r="DJ1608" s="14">
        <f>SUMIFS(DI$5:DI1608,$CT$5:$CT1608,"="&amp;$CT1608)</f>
        <v>5452</v>
      </c>
      <c r="DK1608" s="14" t="s">
        <v>25</v>
      </c>
      <c r="DL1608" s="14">
        <f>INDEX(属性投放!$BM$6:$BM$85,(CV1608-2)*20+CZ1608)</f>
        <v>7500</v>
      </c>
      <c r="DM1608" s="14">
        <f>SUMIFS(DL$5:DL1608,$CT$5:$CT1608,"="&amp;$CT1608)</f>
        <v>104285</v>
      </c>
    </row>
    <row r="1609" spans="97:117" ht="16.5" x14ac:dyDescent="0.2">
      <c r="CS1609" s="13">
        <v>1605</v>
      </c>
      <c r="CT1609" s="13">
        <f t="shared" si="1146"/>
        <v>31</v>
      </c>
      <c r="CU1609" s="13">
        <f t="shared" si="1147"/>
        <v>45</v>
      </c>
      <c r="CV1609" s="14">
        <f t="shared" si="1149"/>
        <v>4</v>
      </c>
      <c r="CW1609" s="14">
        <f t="shared" si="1150"/>
        <v>1102997</v>
      </c>
      <c r="CX1609" s="14" t="str">
        <f>INDEX($O$6:$O$50,CT1609)&amp;"-"&amp;INDEX(属性投放!$AB$7:$AB$50,CZ1609)&amp;"-魂火-"&amp;DB1609</f>
        <v>SSR守护灵-大焦热+2-魂火-3</v>
      </c>
      <c r="CY1609" s="25" t="s">
        <v>142</v>
      </c>
      <c r="CZ1609" s="14">
        <f>INDEX(属性投放!$AM$7:$AM$58,CU1609)</f>
        <v>18</v>
      </c>
      <c r="DA1609" s="14" t="s">
        <v>537</v>
      </c>
      <c r="DB1609" s="14">
        <f>INDEX(属性投放!$AN$7:$AN$58,CU1609)</f>
        <v>3</v>
      </c>
      <c r="DC1609" s="14">
        <f t="shared" si="1148"/>
        <v>45</v>
      </c>
      <c r="DD1609" s="14">
        <f>INDEX(属性投放!$AO$7:$AO$58,DC1609)</f>
        <v>130</v>
      </c>
      <c r="DE1609" s="14" t="s">
        <v>242</v>
      </c>
      <c r="DF1609" s="14">
        <f>INDEX(属性投放!$BK$6:$BK$85,(CV1609-2)*20+CZ1609)</f>
        <v>750</v>
      </c>
      <c r="DG1609" s="14">
        <f>SUMIFS(DF$5:DF1609,$CT$5:$CT1609,"="&amp;$CT1609)</f>
        <v>11635</v>
      </c>
      <c r="DH1609" s="14" t="s">
        <v>116</v>
      </c>
      <c r="DI1609" s="14">
        <f>INDEX(属性投放!$BL$6:$BL$85,(CV1609-2)*20+CZ1609)</f>
        <v>375</v>
      </c>
      <c r="DJ1609" s="14">
        <f>SUMIFS(DI$5:DI1609,$CT$5:$CT1609,"="&amp;$CT1609)</f>
        <v>5827</v>
      </c>
      <c r="DK1609" s="14" t="s">
        <v>25</v>
      </c>
      <c r="DL1609" s="14">
        <f>INDEX(属性投放!$BM$6:$BM$85,(CV1609-2)*20+CZ1609)</f>
        <v>7500</v>
      </c>
      <c r="DM1609" s="14">
        <f>SUMIFS(DL$5:DL1609,$CT$5:$CT1609,"="&amp;$CT1609)</f>
        <v>111785</v>
      </c>
    </row>
    <row r="1610" spans="97:117" ht="16.5" x14ac:dyDescent="0.2">
      <c r="CS1610" s="13">
        <v>1606</v>
      </c>
      <c r="CT1610" s="13">
        <f t="shared" si="1146"/>
        <v>31</v>
      </c>
      <c r="CU1610" s="13">
        <f t="shared" si="1147"/>
        <v>46</v>
      </c>
      <c r="CV1610" s="14">
        <f t="shared" si="1149"/>
        <v>4</v>
      </c>
      <c r="CW1610" s="14">
        <f t="shared" si="1150"/>
        <v>1102997</v>
      </c>
      <c r="CX1610" s="14" t="str">
        <f>INDEX($O$6:$O$50,CT1610)&amp;"-"&amp;INDEX(属性投放!$AB$7:$AB$50,CZ1610)&amp;"-魂火-"&amp;DB1610</f>
        <v>SSR守护灵-无间-魂火-1</v>
      </c>
      <c r="CY1610" s="25" t="s">
        <v>142</v>
      </c>
      <c r="CZ1610" s="14">
        <f>INDEX(属性投放!$AM$7:$AM$58,CU1610)</f>
        <v>19</v>
      </c>
      <c r="DA1610" s="14" t="s">
        <v>537</v>
      </c>
      <c r="DB1610" s="14">
        <f>INDEX(属性投放!$AN$7:$AN$58,CU1610)</f>
        <v>1</v>
      </c>
      <c r="DC1610" s="14">
        <f t="shared" si="1148"/>
        <v>46</v>
      </c>
      <c r="DD1610" s="14">
        <f>INDEX(属性投放!$AO$7:$AO$58,DC1610)</f>
        <v>133</v>
      </c>
      <c r="DE1610" s="14" t="s">
        <v>242</v>
      </c>
      <c r="DF1610" s="14">
        <f>INDEX(属性投放!$BK$6:$BK$85,(CV1610-2)*20+CZ1610)</f>
        <v>900</v>
      </c>
      <c r="DG1610" s="14">
        <f>SUMIFS(DF$5:DF1610,$CT$5:$CT1610,"="&amp;$CT1610)</f>
        <v>12535</v>
      </c>
      <c r="DH1610" s="14" t="s">
        <v>116</v>
      </c>
      <c r="DI1610" s="14">
        <f>INDEX(属性投放!$BL$6:$BL$85,(CV1610-2)*20+CZ1610)</f>
        <v>450</v>
      </c>
      <c r="DJ1610" s="14">
        <f>SUMIFS(DI$5:DI1610,$CT$5:$CT1610,"="&amp;$CT1610)</f>
        <v>6277</v>
      </c>
      <c r="DK1610" s="14" t="s">
        <v>25</v>
      </c>
      <c r="DL1610" s="14">
        <f>INDEX(属性投放!$BM$6:$BM$85,(CV1610-2)*20+CZ1610)</f>
        <v>9000</v>
      </c>
      <c r="DM1610" s="14">
        <f>SUMIFS(DL$5:DL1610,$CT$5:$CT1610,"="&amp;$CT1610)</f>
        <v>120785</v>
      </c>
    </row>
    <row r="1611" spans="97:117" ht="16.5" x14ac:dyDescent="0.2">
      <c r="CS1611" s="13">
        <v>1607</v>
      </c>
      <c r="CT1611" s="13">
        <f t="shared" si="1146"/>
        <v>31</v>
      </c>
      <c r="CU1611" s="13">
        <f t="shared" si="1147"/>
        <v>47</v>
      </c>
      <c r="CV1611" s="14">
        <f t="shared" si="1149"/>
        <v>4</v>
      </c>
      <c r="CW1611" s="14">
        <f t="shared" si="1150"/>
        <v>1102997</v>
      </c>
      <c r="CX1611" s="14" t="str">
        <f>INDEX($O$6:$O$50,CT1611)&amp;"-"&amp;INDEX(属性投放!$AB$7:$AB$50,CZ1611)&amp;"-魂火-"&amp;DB1611</f>
        <v>SSR守护灵-无间-魂火-2</v>
      </c>
      <c r="CY1611" s="25" t="s">
        <v>142</v>
      </c>
      <c r="CZ1611" s="14">
        <f>INDEX(属性投放!$AM$7:$AM$58,CU1611)</f>
        <v>19</v>
      </c>
      <c r="DA1611" s="14" t="s">
        <v>537</v>
      </c>
      <c r="DB1611" s="14">
        <f>INDEX(属性投放!$AN$7:$AN$58,CU1611)</f>
        <v>2</v>
      </c>
      <c r="DC1611" s="14">
        <f t="shared" si="1148"/>
        <v>47</v>
      </c>
      <c r="DD1611" s="14">
        <f>INDEX(属性投放!$AO$7:$AO$58,DC1611)</f>
        <v>135</v>
      </c>
      <c r="DE1611" s="14" t="s">
        <v>242</v>
      </c>
      <c r="DF1611" s="14">
        <f>INDEX(属性投放!$BK$6:$BK$85,(CV1611-2)*20+CZ1611)</f>
        <v>900</v>
      </c>
      <c r="DG1611" s="14">
        <f>SUMIFS(DF$5:DF1611,$CT$5:$CT1611,"="&amp;$CT1611)</f>
        <v>13435</v>
      </c>
      <c r="DH1611" s="14" t="s">
        <v>116</v>
      </c>
      <c r="DI1611" s="14">
        <f>INDEX(属性投放!$BL$6:$BL$85,(CV1611-2)*20+CZ1611)</f>
        <v>450</v>
      </c>
      <c r="DJ1611" s="14">
        <f>SUMIFS(DI$5:DI1611,$CT$5:$CT1611,"="&amp;$CT1611)</f>
        <v>6727</v>
      </c>
      <c r="DK1611" s="14" t="s">
        <v>25</v>
      </c>
      <c r="DL1611" s="14">
        <f>INDEX(属性投放!$BM$6:$BM$85,(CV1611-2)*20+CZ1611)</f>
        <v>9000</v>
      </c>
      <c r="DM1611" s="14">
        <f>SUMIFS(DL$5:DL1611,$CT$5:$CT1611,"="&amp;$CT1611)</f>
        <v>129785</v>
      </c>
    </row>
    <row r="1612" spans="97:117" ht="16.5" x14ac:dyDescent="0.2">
      <c r="CS1612" s="13">
        <v>1608</v>
      </c>
      <c r="CT1612" s="13">
        <f t="shared" si="1146"/>
        <v>31</v>
      </c>
      <c r="CU1612" s="13">
        <f t="shared" si="1147"/>
        <v>48</v>
      </c>
      <c r="CV1612" s="14">
        <f t="shared" si="1149"/>
        <v>4</v>
      </c>
      <c r="CW1612" s="14">
        <f t="shared" si="1150"/>
        <v>1102997</v>
      </c>
      <c r="CX1612" s="14" t="str">
        <f>INDEX($O$6:$O$50,CT1612)&amp;"-"&amp;INDEX(属性投放!$AB$7:$AB$50,CZ1612)&amp;"-魂火-"&amp;DB1612</f>
        <v>SSR守护灵-无间-魂火-3</v>
      </c>
      <c r="CY1612" s="25" t="s">
        <v>142</v>
      </c>
      <c r="CZ1612" s="14">
        <f>INDEX(属性投放!$AM$7:$AM$58,CU1612)</f>
        <v>19</v>
      </c>
      <c r="DA1612" s="14" t="s">
        <v>537</v>
      </c>
      <c r="DB1612" s="14">
        <f>INDEX(属性投放!$AN$7:$AN$58,CU1612)</f>
        <v>3</v>
      </c>
      <c r="DC1612" s="14">
        <f t="shared" si="1148"/>
        <v>48</v>
      </c>
      <c r="DD1612" s="14">
        <f>INDEX(属性投放!$AO$7:$AO$58,DC1612)</f>
        <v>138</v>
      </c>
      <c r="DE1612" s="14" t="s">
        <v>242</v>
      </c>
      <c r="DF1612" s="14">
        <f>INDEX(属性投放!$BK$6:$BK$85,(CV1612-2)*20+CZ1612)</f>
        <v>900</v>
      </c>
      <c r="DG1612" s="14">
        <f>SUMIFS(DF$5:DF1612,$CT$5:$CT1612,"="&amp;$CT1612)</f>
        <v>14335</v>
      </c>
      <c r="DH1612" s="14" t="s">
        <v>116</v>
      </c>
      <c r="DI1612" s="14">
        <f>INDEX(属性投放!$BL$6:$BL$85,(CV1612-2)*20+CZ1612)</f>
        <v>450</v>
      </c>
      <c r="DJ1612" s="14">
        <f>SUMIFS(DI$5:DI1612,$CT$5:$CT1612,"="&amp;$CT1612)</f>
        <v>7177</v>
      </c>
      <c r="DK1612" s="14" t="s">
        <v>25</v>
      </c>
      <c r="DL1612" s="14">
        <f>INDEX(属性投放!$BM$6:$BM$85,(CV1612-2)*20+CZ1612)</f>
        <v>9000</v>
      </c>
      <c r="DM1612" s="14">
        <f>SUMIFS(DL$5:DL1612,$CT$5:$CT1612,"="&amp;$CT1612)</f>
        <v>138785</v>
      </c>
    </row>
    <row r="1613" spans="97:117" ht="16.5" x14ac:dyDescent="0.2">
      <c r="CS1613" s="13">
        <v>1609</v>
      </c>
      <c r="CT1613" s="13">
        <f t="shared" si="1146"/>
        <v>31</v>
      </c>
      <c r="CU1613" s="13">
        <f t="shared" si="1147"/>
        <v>49</v>
      </c>
      <c r="CV1613" s="14">
        <f t="shared" si="1149"/>
        <v>4</v>
      </c>
      <c r="CW1613" s="14">
        <f t="shared" si="1150"/>
        <v>1102997</v>
      </c>
      <c r="CX1613" s="14" t="str">
        <f>INDEX($O$6:$O$50,CT1613)&amp;"-"&amp;INDEX(属性投放!$AB$7:$AB$50,CZ1613)&amp;"-魂火-"&amp;DB1613</f>
        <v>SSR守护灵-无间+1-魂火-1</v>
      </c>
      <c r="CY1613" s="25" t="s">
        <v>142</v>
      </c>
      <c r="CZ1613" s="14">
        <f>INDEX(属性投放!$AM$7:$AM$58,CU1613)</f>
        <v>20</v>
      </c>
      <c r="DA1613" s="14" t="s">
        <v>537</v>
      </c>
      <c r="DB1613" s="14">
        <f>INDEX(属性投放!$AN$7:$AN$58,CU1613)</f>
        <v>1</v>
      </c>
      <c r="DC1613" s="14">
        <f t="shared" si="1148"/>
        <v>49</v>
      </c>
      <c r="DD1613" s="14">
        <f>INDEX(属性投放!$AO$7:$AO$58,DC1613)</f>
        <v>140</v>
      </c>
      <c r="DE1613" s="14" t="s">
        <v>242</v>
      </c>
      <c r="DF1613" s="14">
        <f>INDEX(属性投放!$BK$6:$BK$85,(CV1613-2)*20+CZ1613)</f>
        <v>1000</v>
      </c>
      <c r="DG1613" s="14">
        <f>SUMIFS(DF$5:DF1613,$CT$5:$CT1613,"="&amp;$CT1613)</f>
        <v>15335</v>
      </c>
      <c r="DH1613" s="14" t="s">
        <v>116</v>
      </c>
      <c r="DI1613" s="14">
        <f>INDEX(属性投放!$BL$6:$BL$85,(CV1613-2)*20+CZ1613)</f>
        <v>500</v>
      </c>
      <c r="DJ1613" s="14">
        <f>SUMIFS(DI$5:DI1613,$CT$5:$CT1613,"="&amp;$CT1613)</f>
        <v>7677</v>
      </c>
      <c r="DK1613" s="14" t="s">
        <v>25</v>
      </c>
      <c r="DL1613" s="14">
        <f>INDEX(属性投放!$BM$6:$BM$85,(CV1613-2)*20+CZ1613)</f>
        <v>10000</v>
      </c>
      <c r="DM1613" s="14">
        <f>SUMIFS(DL$5:DL1613,$CT$5:$CT1613,"="&amp;$CT1613)</f>
        <v>148785</v>
      </c>
    </row>
    <row r="1614" spans="97:117" ht="16.5" x14ac:dyDescent="0.2">
      <c r="CS1614" s="13">
        <v>1610</v>
      </c>
      <c r="CT1614" s="13">
        <f t="shared" si="1146"/>
        <v>31</v>
      </c>
      <c r="CU1614" s="13">
        <f t="shared" si="1147"/>
        <v>50</v>
      </c>
      <c r="CV1614" s="14">
        <f t="shared" si="1149"/>
        <v>4</v>
      </c>
      <c r="CW1614" s="14">
        <f t="shared" si="1150"/>
        <v>1102997</v>
      </c>
      <c r="CX1614" s="14" t="str">
        <f>INDEX($O$6:$O$50,CT1614)&amp;"-"&amp;INDEX(属性投放!$AB$7:$AB$50,CZ1614)&amp;"-魂火-"&amp;DB1614</f>
        <v>SSR守护灵-无间+1-魂火-2</v>
      </c>
      <c r="CY1614" s="25" t="s">
        <v>142</v>
      </c>
      <c r="CZ1614" s="14">
        <f>INDEX(属性投放!$AM$7:$AM$58,CU1614)</f>
        <v>20</v>
      </c>
      <c r="DA1614" s="14" t="s">
        <v>537</v>
      </c>
      <c r="DB1614" s="14">
        <f>INDEX(属性投放!$AN$7:$AN$58,CU1614)</f>
        <v>2</v>
      </c>
      <c r="DC1614" s="14">
        <f t="shared" si="1148"/>
        <v>50</v>
      </c>
      <c r="DD1614" s="14">
        <f>INDEX(属性投放!$AO$7:$AO$58,DC1614)</f>
        <v>143</v>
      </c>
      <c r="DE1614" s="14" t="s">
        <v>242</v>
      </c>
      <c r="DF1614" s="14">
        <f>INDEX(属性投放!$BK$6:$BK$85,(CV1614-2)*20+CZ1614)</f>
        <v>1000</v>
      </c>
      <c r="DG1614" s="14">
        <f>SUMIFS(DF$5:DF1614,$CT$5:$CT1614,"="&amp;$CT1614)</f>
        <v>16335</v>
      </c>
      <c r="DH1614" s="14" t="s">
        <v>116</v>
      </c>
      <c r="DI1614" s="14">
        <f>INDEX(属性投放!$BL$6:$BL$85,(CV1614-2)*20+CZ1614)</f>
        <v>500</v>
      </c>
      <c r="DJ1614" s="14">
        <f>SUMIFS(DI$5:DI1614,$CT$5:$CT1614,"="&amp;$CT1614)</f>
        <v>8177</v>
      </c>
      <c r="DK1614" s="14" t="s">
        <v>25</v>
      </c>
      <c r="DL1614" s="14">
        <f>INDEX(属性投放!$BM$6:$BM$85,(CV1614-2)*20+CZ1614)</f>
        <v>10000</v>
      </c>
      <c r="DM1614" s="14">
        <f>SUMIFS(DL$5:DL1614,$CT$5:$CT1614,"="&amp;$CT1614)</f>
        <v>158785</v>
      </c>
    </row>
    <row r="1615" spans="97:117" ht="16.5" x14ac:dyDescent="0.2">
      <c r="CS1615" s="13">
        <v>1611</v>
      </c>
      <c r="CT1615" s="13">
        <f t="shared" si="1146"/>
        <v>31</v>
      </c>
      <c r="CU1615" s="13">
        <f t="shared" si="1147"/>
        <v>51</v>
      </c>
      <c r="CV1615" s="14">
        <f t="shared" si="1149"/>
        <v>4</v>
      </c>
      <c r="CW1615" s="14">
        <f t="shared" si="1150"/>
        <v>1102997</v>
      </c>
      <c r="CX1615" s="14" t="str">
        <f>INDEX($O$6:$O$50,CT1615)&amp;"-"&amp;INDEX(属性投放!$AB$7:$AB$50,CZ1615)&amp;"-魂火-"&amp;DB1615</f>
        <v>SSR守护灵-无间+1-魂火-3</v>
      </c>
      <c r="CY1615" s="25" t="s">
        <v>142</v>
      </c>
      <c r="CZ1615" s="14">
        <f>INDEX(属性投放!$AM$7:$AM$58,CU1615)</f>
        <v>20</v>
      </c>
      <c r="DA1615" s="14" t="s">
        <v>537</v>
      </c>
      <c r="DB1615" s="14">
        <f>INDEX(属性投放!$AN$7:$AN$58,CU1615)</f>
        <v>3</v>
      </c>
      <c r="DC1615" s="14">
        <f t="shared" si="1148"/>
        <v>51</v>
      </c>
      <c r="DD1615" s="14">
        <f>INDEX(属性投放!$AO$7:$AO$58,DC1615)</f>
        <v>145</v>
      </c>
      <c r="DE1615" s="14" t="s">
        <v>242</v>
      </c>
      <c r="DF1615" s="14">
        <f>INDEX(属性投放!$BK$6:$BK$85,(CV1615-2)*20+CZ1615)</f>
        <v>1000</v>
      </c>
      <c r="DG1615" s="14">
        <f>SUMIFS(DF$5:DF1615,$CT$5:$CT1615,"="&amp;$CT1615)</f>
        <v>17335</v>
      </c>
      <c r="DH1615" s="14" t="s">
        <v>116</v>
      </c>
      <c r="DI1615" s="14">
        <f>INDEX(属性投放!$BL$6:$BL$85,(CV1615-2)*20+CZ1615)</f>
        <v>500</v>
      </c>
      <c r="DJ1615" s="14">
        <f>SUMIFS(DI$5:DI1615,$CT$5:$CT1615,"="&amp;$CT1615)</f>
        <v>8677</v>
      </c>
      <c r="DK1615" s="14" t="s">
        <v>25</v>
      </c>
      <c r="DL1615" s="14">
        <f>INDEX(属性投放!$BM$6:$BM$85,(CV1615-2)*20+CZ1615)</f>
        <v>10000</v>
      </c>
      <c r="DM1615" s="14">
        <f>SUMIFS(DL$5:DL1615,$CT$5:$CT1615,"="&amp;$CT1615)</f>
        <v>168785</v>
      </c>
    </row>
    <row r="1616" spans="97:117" ht="16.5" x14ac:dyDescent="0.2">
      <c r="CS1616" s="13">
        <v>1612</v>
      </c>
      <c r="CT1616" s="13">
        <f t="shared" si="1146"/>
        <v>31</v>
      </c>
      <c r="CU1616" s="13">
        <f t="shared" si="1147"/>
        <v>52</v>
      </c>
      <c r="CV1616" s="14">
        <f t="shared" si="1149"/>
        <v>4</v>
      </c>
      <c r="CW1616" s="14">
        <f t="shared" si="1150"/>
        <v>1102997</v>
      </c>
      <c r="CX1616" s="14" t="str">
        <f>INDEX($O$6:$O$50,CT1616)&amp;"-"&amp;INDEX(属性投放!$AB$7:$AB$50,CZ1616)&amp;"-魂火-"&amp;DB1616</f>
        <v>SSR守护灵-无间+1-魂火-4</v>
      </c>
      <c r="CY1616" s="25" t="s">
        <v>142</v>
      </c>
      <c r="CZ1616" s="14">
        <f>INDEX(属性投放!$AM$7:$AM$58,CU1616)</f>
        <v>20</v>
      </c>
      <c r="DA1616" s="14" t="s">
        <v>537</v>
      </c>
      <c r="DB1616" s="14">
        <f>INDEX(属性投放!$AN$7:$AN$58,CU1616)</f>
        <v>4</v>
      </c>
      <c r="DC1616" s="14">
        <f t="shared" si="1148"/>
        <v>52</v>
      </c>
      <c r="DD1616" s="14">
        <f>INDEX(属性投放!$AO$7:$AO$58,DC1616)</f>
        <v>148</v>
      </c>
      <c r="DE1616" s="14" t="s">
        <v>242</v>
      </c>
      <c r="DF1616" s="14">
        <f>INDEX(属性投放!$BK$6:$BK$85,(CV1616-2)*20+CZ1616)</f>
        <v>1000</v>
      </c>
      <c r="DG1616" s="14">
        <f>SUMIFS(DF$5:DF1616,$CT$5:$CT1616,"="&amp;$CT1616)</f>
        <v>18335</v>
      </c>
      <c r="DH1616" s="14" t="s">
        <v>116</v>
      </c>
      <c r="DI1616" s="14">
        <f>INDEX(属性投放!$BL$6:$BL$85,(CV1616-2)*20+CZ1616)</f>
        <v>500</v>
      </c>
      <c r="DJ1616" s="14">
        <f>SUMIFS(DI$5:DI1616,$CT$5:$CT1616,"="&amp;$CT1616)</f>
        <v>9177</v>
      </c>
      <c r="DK1616" s="14" t="s">
        <v>25</v>
      </c>
      <c r="DL1616" s="14">
        <f>INDEX(属性投放!$BM$6:$BM$85,(CV1616-2)*20+CZ1616)</f>
        <v>10000</v>
      </c>
      <c r="DM1616" s="14">
        <f>SUMIFS(DL$5:DL1616,$CT$5:$CT1616,"="&amp;$CT1616)</f>
        <v>178785</v>
      </c>
    </row>
    <row r="1617" spans="97:117" ht="16.5" x14ac:dyDescent="0.2">
      <c r="CS1617" s="13">
        <v>1613</v>
      </c>
      <c r="CT1617" s="13">
        <f t="shared" si="1146"/>
        <v>32</v>
      </c>
      <c r="CU1617" s="13">
        <f t="shared" si="1147"/>
        <v>1</v>
      </c>
      <c r="CV1617" s="14">
        <f t="shared" si="1149"/>
        <v>5</v>
      </c>
      <c r="CW1617" s="14">
        <f t="shared" si="1150"/>
        <v>1102996</v>
      </c>
      <c r="CX1617" s="14" t="str">
        <f>INDEX($O$6:$O$50,CT1617)&amp;"-"&amp;INDEX(属性投放!$AB$7:$AB$50,CZ1617)&amp;"-魂火-"&amp;DB1617</f>
        <v>UR守护灵-等活-魂火-1</v>
      </c>
      <c r="CY1617" s="25" t="s">
        <v>142</v>
      </c>
      <c r="CZ1617" s="14">
        <f>INDEX(属性投放!$AM$7:$AM$58,CU1617)</f>
        <v>1</v>
      </c>
      <c r="DA1617" s="14" t="s">
        <v>537</v>
      </c>
      <c r="DB1617" s="14">
        <f>INDEX(属性投放!$AN$7:$AN$58,CU1617)</f>
        <v>1</v>
      </c>
      <c r="DC1617" s="14">
        <f t="shared" si="1148"/>
        <v>1</v>
      </c>
      <c r="DD1617" s="14">
        <f>INDEX(属性投放!$AO$7:$AO$58,DC1617)</f>
        <v>3</v>
      </c>
      <c r="DE1617" s="14" t="s">
        <v>242</v>
      </c>
      <c r="DF1617" s="14">
        <f>INDEX(属性投放!$BK$6:$BK$85,(CV1617-2)*20+CZ1617)</f>
        <v>35</v>
      </c>
      <c r="DG1617" s="14">
        <f>SUMIFS(DF$5:DF1617,$CT$5:$CT1617,"="&amp;$CT1617)</f>
        <v>35</v>
      </c>
      <c r="DH1617" s="14" t="s">
        <v>116</v>
      </c>
      <c r="DI1617" s="14">
        <f>INDEX(属性投放!$BL$6:$BL$85,(CV1617-2)*20+CZ1617)</f>
        <v>18</v>
      </c>
      <c r="DJ1617" s="14">
        <f>SUMIFS(DI$5:DI1617,$CT$5:$CT1617,"="&amp;$CT1617)</f>
        <v>18</v>
      </c>
      <c r="DK1617" s="14" t="s">
        <v>25</v>
      </c>
      <c r="DL1617" s="14">
        <f>INDEX(属性投放!$BM$6:$BM$85,(CV1617-2)*20+CZ1617)</f>
        <v>210</v>
      </c>
      <c r="DM1617" s="14">
        <f>SUMIFS(DL$5:DL1617,$CT$5:$CT1617,"="&amp;$CT1617)</f>
        <v>210</v>
      </c>
    </row>
    <row r="1618" spans="97:117" ht="16.5" x14ac:dyDescent="0.2">
      <c r="CS1618" s="13">
        <v>1614</v>
      </c>
      <c r="CT1618" s="13">
        <f t="shared" si="1146"/>
        <v>32</v>
      </c>
      <c r="CU1618" s="13">
        <f t="shared" si="1147"/>
        <v>2</v>
      </c>
      <c r="CV1618" s="14">
        <f t="shared" si="1149"/>
        <v>5</v>
      </c>
      <c r="CW1618" s="14">
        <f t="shared" si="1150"/>
        <v>1102996</v>
      </c>
      <c r="CX1618" s="14" t="str">
        <f>INDEX($O$6:$O$50,CT1618)&amp;"-"&amp;INDEX(属性投放!$AB$7:$AB$50,CZ1618)&amp;"-魂火-"&amp;DB1618</f>
        <v>UR守护灵-黑绳-魂火-1</v>
      </c>
      <c r="CY1618" s="25" t="s">
        <v>142</v>
      </c>
      <c r="CZ1618" s="14">
        <f>INDEX(属性投放!$AM$7:$AM$58,CU1618)</f>
        <v>2</v>
      </c>
      <c r="DA1618" s="14" t="s">
        <v>537</v>
      </c>
      <c r="DB1618" s="14">
        <f>INDEX(属性投放!$AN$7:$AN$58,CU1618)</f>
        <v>1</v>
      </c>
      <c r="DC1618" s="14">
        <f t="shared" si="1148"/>
        <v>2</v>
      </c>
      <c r="DD1618" s="14">
        <f>INDEX(属性投放!$AO$7:$AO$58,DC1618)</f>
        <v>8</v>
      </c>
      <c r="DE1618" s="14" t="s">
        <v>242</v>
      </c>
      <c r="DF1618" s="14">
        <f>INDEX(属性投放!$BK$6:$BK$85,(CV1618-2)*20+CZ1618)</f>
        <v>40</v>
      </c>
      <c r="DG1618" s="14">
        <f>SUMIFS(DF$5:DF1618,$CT$5:$CT1618,"="&amp;$CT1618)</f>
        <v>75</v>
      </c>
      <c r="DH1618" s="14" t="s">
        <v>116</v>
      </c>
      <c r="DI1618" s="14">
        <f>INDEX(属性投放!$BL$6:$BL$85,(CV1618-2)*20+CZ1618)</f>
        <v>20</v>
      </c>
      <c r="DJ1618" s="14">
        <f>SUMIFS(DI$5:DI1618,$CT$5:$CT1618,"="&amp;$CT1618)</f>
        <v>38</v>
      </c>
      <c r="DK1618" s="14" t="s">
        <v>25</v>
      </c>
      <c r="DL1618" s="14">
        <f>INDEX(属性投放!$BM$6:$BM$85,(CV1618-2)*20+CZ1618)</f>
        <v>240</v>
      </c>
      <c r="DM1618" s="14">
        <f>SUMIFS(DL$5:DL1618,$CT$5:$CT1618,"="&amp;$CT1618)</f>
        <v>450</v>
      </c>
    </row>
    <row r="1619" spans="97:117" ht="16.5" x14ac:dyDescent="0.2">
      <c r="CS1619" s="13">
        <v>1615</v>
      </c>
      <c r="CT1619" s="13">
        <f t="shared" si="1146"/>
        <v>32</v>
      </c>
      <c r="CU1619" s="13">
        <f t="shared" si="1147"/>
        <v>3</v>
      </c>
      <c r="CV1619" s="14">
        <f t="shared" si="1149"/>
        <v>5</v>
      </c>
      <c r="CW1619" s="14">
        <f t="shared" si="1150"/>
        <v>1102996</v>
      </c>
      <c r="CX1619" s="14" t="str">
        <f>INDEX($O$6:$O$50,CT1619)&amp;"-"&amp;INDEX(属性投放!$AB$7:$AB$50,CZ1619)&amp;"-魂火-"&amp;DB1619</f>
        <v>UR守护灵-黑绳-魂火-2</v>
      </c>
      <c r="CY1619" s="25" t="s">
        <v>142</v>
      </c>
      <c r="CZ1619" s="14">
        <f>INDEX(属性投放!$AM$7:$AM$58,CU1619)</f>
        <v>2</v>
      </c>
      <c r="DA1619" s="14" t="s">
        <v>537</v>
      </c>
      <c r="DB1619" s="14">
        <f>INDEX(属性投放!$AN$7:$AN$58,CU1619)</f>
        <v>2</v>
      </c>
      <c r="DC1619" s="14">
        <f t="shared" si="1148"/>
        <v>3</v>
      </c>
      <c r="DD1619" s="14">
        <f>INDEX(属性投放!$AO$7:$AO$58,DC1619)</f>
        <v>13</v>
      </c>
      <c r="DE1619" s="14" t="s">
        <v>242</v>
      </c>
      <c r="DF1619" s="14">
        <f>INDEX(属性投放!$BK$6:$BK$85,(CV1619-2)*20+CZ1619)</f>
        <v>40</v>
      </c>
      <c r="DG1619" s="14">
        <f>SUMIFS(DF$5:DF1619,$CT$5:$CT1619,"="&amp;$CT1619)</f>
        <v>115</v>
      </c>
      <c r="DH1619" s="14" t="s">
        <v>116</v>
      </c>
      <c r="DI1619" s="14">
        <f>INDEX(属性投放!$BL$6:$BL$85,(CV1619-2)*20+CZ1619)</f>
        <v>20</v>
      </c>
      <c r="DJ1619" s="14">
        <f>SUMIFS(DI$5:DI1619,$CT$5:$CT1619,"="&amp;$CT1619)</f>
        <v>58</v>
      </c>
      <c r="DK1619" s="14" t="s">
        <v>25</v>
      </c>
      <c r="DL1619" s="14">
        <f>INDEX(属性投放!$BM$6:$BM$85,(CV1619-2)*20+CZ1619)</f>
        <v>240</v>
      </c>
      <c r="DM1619" s="14">
        <f>SUMIFS(DL$5:DL1619,$CT$5:$CT1619,"="&amp;$CT1619)</f>
        <v>690</v>
      </c>
    </row>
    <row r="1620" spans="97:117" ht="16.5" x14ac:dyDescent="0.2">
      <c r="CS1620" s="13">
        <v>1616</v>
      </c>
      <c r="CT1620" s="13">
        <f t="shared" si="1146"/>
        <v>32</v>
      </c>
      <c r="CU1620" s="13">
        <f t="shared" si="1147"/>
        <v>4</v>
      </c>
      <c r="CV1620" s="14">
        <f t="shared" si="1149"/>
        <v>5</v>
      </c>
      <c r="CW1620" s="14">
        <f t="shared" si="1150"/>
        <v>1102996</v>
      </c>
      <c r="CX1620" s="14" t="str">
        <f>INDEX($O$6:$O$50,CT1620)&amp;"-"&amp;INDEX(属性投放!$AB$7:$AB$50,CZ1620)&amp;"-魂火-"&amp;DB1620</f>
        <v>UR守护灵-黑绳+1-魂火-1</v>
      </c>
      <c r="CY1620" s="25" t="s">
        <v>142</v>
      </c>
      <c r="CZ1620" s="14">
        <f>INDEX(属性投放!$AM$7:$AM$58,CU1620)</f>
        <v>3</v>
      </c>
      <c r="DA1620" s="14" t="s">
        <v>537</v>
      </c>
      <c r="DB1620" s="14">
        <f>INDEX(属性投放!$AN$7:$AN$58,CU1620)</f>
        <v>1</v>
      </c>
      <c r="DC1620" s="14">
        <f t="shared" si="1148"/>
        <v>4</v>
      </c>
      <c r="DD1620" s="14">
        <f>INDEX(属性投放!$AO$7:$AO$58,DC1620)</f>
        <v>18</v>
      </c>
      <c r="DE1620" s="14" t="s">
        <v>242</v>
      </c>
      <c r="DF1620" s="14">
        <f>INDEX(属性投放!$BK$6:$BK$85,(CV1620-2)*20+CZ1620)</f>
        <v>45</v>
      </c>
      <c r="DG1620" s="14">
        <f>SUMIFS(DF$5:DF1620,$CT$5:$CT1620,"="&amp;$CT1620)</f>
        <v>160</v>
      </c>
      <c r="DH1620" s="14" t="s">
        <v>116</v>
      </c>
      <c r="DI1620" s="14">
        <f>INDEX(属性投放!$BL$6:$BL$85,(CV1620-2)*20+CZ1620)</f>
        <v>23</v>
      </c>
      <c r="DJ1620" s="14">
        <f>SUMIFS(DI$5:DI1620,$CT$5:$CT1620,"="&amp;$CT1620)</f>
        <v>81</v>
      </c>
      <c r="DK1620" s="14" t="s">
        <v>25</v>
      </c>
      <c r="DL1620" s="14">
        <f>INDEX(属性投放!$BM$6:$BM$85,(CV1620-2)*20+CZ1620)</f>
        <v>270</v>
      </c>
      <c r="DM1620" s="14">
        <f>SUMIFS(DL$5:DL1620,$CT$5:$CT1620,"="&amp;$CT1620)</f>
        <v>960</v>
      </c>
    </row>
    <row r="1621" spans="97:117" ht="16.5" x14ac:dyDescent="0.2">
      <c r="CS1621" s="13">
        <v>1617</v>
      </c>
      <c r="CT1621" s="13">
        <f t="shared" si="1146"/>
        <v>32</v>
      </c>
      <c r="CU1621" s="13">
        <f t="shared" si="1147"/>
        <v>5</v>
      </c>
      <c r="CV1621" s="14">
        <f t="shared" si="1149"/>
        <v>5</v>
      </c>
      <c r="CW1621" s="14">
        <f t="shared" si="1150"/>
        <v>1102996</v>
      </c>
      <c r="CX1621" s="14" t="str">
        <f>INDEX($O$6:$O$50,CT1621)&amp;"-"&amp;INDEX(属性投放!$AB$7:$AB$50,CZ1621)&amp;"-魂火-"&amp;DB1621</f>
        <v>UR守护灵-黑绳+1-魂火-2</v>
      </c>
      <c r="CY1621" s="25" t="s">
        <v>142</v>
      </c>
      <c r="CZ1621" s="14">
        <f>INDEX(属性投放!$AM$7:$AM$58,CU1621)</f>
        <v>3</v>
      </c>
      <c r="DA1621" s="14" t="s">
        <v>537</v>
      </c>
      <c r="DB1621" s="14">
        <f>INDEX(属性投放!$AN$7:$AN$58,CU1621)</f>
        <v>2</v>
      </c>
      <c r="DC1621" s="14">
        <f t="shared" si="1148"/>
        <v>5</v>
      </c>
      <c r="DD1621" s="14">
        <f>INDEX(属性投放!$AO$7:$AO$58,DC1621)</f>
        <v>23</v>
      </c>
      <c r="DE1621" s="14" t="s">
        <v>242</v>
      </c>
      <c r="DF1621" s="14">
        <f>INDEX(属性投放!$BK$6:$BK$85,(CV1621-2)*20+CZ1621)</f>
        <v>45</v>
      </c>
      <c r="DG1621" s="14">
        <f>SUMIFS(DF$5:DF1621,$CT$5:$CT1621,"="&amp;$CT1621)</f>
        <v>205</v>
      </c>
      <c r="DH1621" s="14" t="s">
        <v>116</v>
      </c>
      <c r="DI1621" s="14">
        <f>INDEX(属性投放!$BL$6:$BL$85,(CV1621-2)*20+CZ1621)</f>
        <v>23</v>
      </c>
      <c r="DJ1621" s="14">
        <f>SUMIFS(DI$5:DI1621,$CT$5:$CT1621,"="&amp;$CT1621)</f>
        <v>104</v>
      </c>
      <c r="DK1621" s="14" t="s">
        <v>25</v>
      </c>
      <c r="DL1621" s="14">
        <f>INDEX(属性投放!$BM$6:$BM$85,(CV1621-2)*20+CZ1621)</f>
        <v>270</v>
      </c>
      <c r="DM1621" s="14">
        <f>SUMIFS(DL$5:DL1621,$CT$5:$CT1621,"="&amp;$CT1621)</f>
        <v>1230</v>
      </c>
    </row>
    <row r="1622" spans="97:117" ht="16.5" x14ac:dyDescent="0.2">
      <c r="CS1622" s="13">
        <v>1618</v>
      </c>
      <c r="CT1622" s="13">
        <f t="shared" si="1146"/>
        <v>32</v>
      </c>
      <c r="CU1622" s="13">
        <f t="shared" si="1147"/>
        <v>6</v>
      </c>
      <c r="CV1622" s="14">
        <f t="shared" si="1149"/>
        <v>5</v>
      </c>
      <c r="CW1622" s="14">
        <f t="shared" si="1150"/>
        <v>1102996</v>
      </c>
      <c r="CX1622" s="14" t="str">
        <f>INDEX($O$6:$O$50,CT1622)&amp;"-"&amp;INDEX(属性投放!$AB$7:$AB$50,CZ1622)&amp;"-魂火-"&amp;DB1622</f>
        <v>UR守护灵-众合-魂火-1</v>
      </c>
      <c r="CY1622" s="25" t="s">
        <v>142</v>
      </c>
      <c r="CZ1622" s="14">
        <f>INDEX(属性投放!$AM$7:$AM$58,CU1622)</f>
        <v>4</v>
      </c>
      <c r="DA1622" s="14" t="s">
        <v>537</v>
      </c>
      <c r="DB1622" s="14">
        <f>INDEX(属性投放!$AN$7:$AN$58,CU1622)</f>
        <v>1</v>
      </c>
      <c r="DC1622" s="14">
        <f t="shared" si="1148"/>
        <v>6</v>
      </c>
      <c r="DD1622" s="14">
        <f>INDEX(属性投放!$AO$7:$AO$58,DC1622)</f>
        <v>28</v>
      </c>
      <c r="DE1622" s="14" t="s">
        <v>242</v>
      </c>
      <c r="DF1622" s="14">
        <f>INDEX(属性投放!$BK$6:$BK$85,(CV1622-2)*20+CZ1622)</f>
        <v>60</v>
      </c>
      <c r="DG1622" s="14">
        <f>SUMIFS(DF$5:DF1622,$CT$5:$CT1622,"="&amp;$CT1622)</f>
        <v>265</v>
      </c>
      <c r="DH1622" s="14" t="s">
        <v>116</v>
      </c>
      <c r="DI1622" s="14">
        <f>INDEX(属性投放!$BL$6:$BL$85,(CV1622-2)*20+CZ1622)</f>
        <v>30</v>
      </c>
      <c r="DJ1622" s="14">
        <f>SUMIFS(DI$5:DI1622,$CT$5:$CT1622,"="&amp;$CT1622)</f>
        <v>134</v>
      </c>
      <c r="DK1622" s="14" t="s">
        <v>25</v>
      </c>
      <c r="DL1622" s="14">
        <f>INDEX(属性投放!$BM$6:$BM$85,(CV1622-2)*20+CZ1622)</f>
        <v>420</v>
      </c>
      <c r="DM1622" s="14">
        <f>SUMIFS(DL$5:DL1622,$CT$5:$CT1622,"="&amp;$CT1622)</f>
        <v>1650</v>
      </c>
    </row>
    <row r="1623" spans="97:117" ht="16.5" x14ac:dyDescent="0.2">
      <c r="CS1623" s="13">
        <v>1619</v>
      </c>
      <c r="CT1623" s="13">
        <f t="shared" si="1146"/>
        <v>32</v>
      </c>
      <c r="CU1623" s="13">
        <f t="shared" si="1147"/>
        <v>7</v>
      </c>
      <c r="CV1623" s="14">
        <f t="shared" si="1149"/>
        <v>5</v>
      </c>
      <c r="CW1623" s="14">
        <f t="shared" si="1150"/>
        <v>1102996</v>
      </c>
      <c r="CX1623" s="14" t="str">
        <f>INDEX($O$6:$O$50,CT1623)&amp;"-"&amp;INDEX(属性投放!$AB$7:$AB$50,CZ1623)&amp;"-魂火-"&amp;DB1623</f>
        <v>UR守护灵-众合-魂火-2</v>
      </c>
      <c r="CY1623" s="25" t="s">
        <v>142</v>
      </c>
      <c r="CZ1623" s="14">
        <f>INDEX(属性投放!$AM$7:$AM$58,CU1623)</f>
        <v>4</v>
      </c>
      <c r="DA1623" s="14" t="s">
        <v>537</v>
      </c>
      <c r="DB1623" s="14">
        <f>INDEX(属性投放!$AN$7:$AN$58,CU1623)</f>
        <v>2</v>
      </c>
      <c r="DC1623" s="14">
        <f t="shared" si="1148"/>
        <v>7</v>
      </c>
      <c r="DD1623" s="14">
        <f>INDEX(属性投放!$AO$7:$AO$58,DC1623)</f>
        <v>33</v>
      </c>
      <c r="DE1623" s="14" t="s">
        <v>242</v>
      </c>
      <c r="DF1623" s="14">
        <f>INDEX(属性投放!$BK$6:$BK$85,(CV1623-2)*20+CZ1623)</f>
        <v>60</v>
      </c>
      <c r="DG1623" s="14">
        <f>SUMIFS(DF$5:DF1623,$CT$5:$CT1623,"="&amp;$CT1623)</f>
        <v>325</v>
      </c>
      <c r="DH1623" s="14" t="s">
        <v>116</v>
      </c>
      <c r="DI1623" s="14">
        <f>INDEX(属性投放!$BL$6:$BL$85,(CV1623-2)*20+CZ1623)</f>
        <v>30</v>
      </c>
      <c r="DJ1623" s="14">
        <f>SUMIFS(DI$5:DI1623,$CT$5:$CT1623,"="&amp;$CT1623)</f>
        <v>164</v>
      </c>
      <c r="DK1623" s="14" t="s">
        <v>25</v>
      </c>
      <c r="DL1623" s="14">
        <f>INDEX(属性投放!$BM$6:$BM$85,(CV1623-2)*20+CZ1623)</f>
        <v>420</v>
      </c>
      <c r="DM1623" s="14">
        <f>SUMIFS(DL$5:DL1623,$CT$5:$CT1623,"="&amp;$CT1623)</f>
        <v>2070</v>
      </c>
    </row>
    <row r="1624" spans="97:117" ht="16.5" x14ac:dyDescent="0.2">
      <c r="CS1624" s="13">
        <v>1620</v>
      </c>
      <c r="CT1624" s="13">
        <f t="shared" si="1146"/>
        <v>32</v>
      </c>
      <c r="CU1624" s="13">
        <f t="shared" si="1147"/>
        <v>8</v>
      </c>
      <c r="CV1624" s="14">
        <f t="shared" si="1149"/>
        <v>5</v>
      </c>
      <c r="CW1624" s="14">
        <f t="shared" si="1150"/>
        <v>1102996</v>
      </c>
      <c r="CX1624" s="14" t="str">
        <f>INDEX($O$6:$O$50,CT1624)&amp;"-"&amp;INDEX(属性投放!$AB$7:$AB$50,CZ1624)&amp;"-魂火-"&amp;DB1624</f>
        <v>UR守护灵-众合+1-魂火-1</v>
      </c>
      <c r="CY1624" s="25" t="s">
        <v>142</v>
      </c>
      <c r="CZ1624" s="14">
        <f>INDEX(属性投放!$AM$7:$AM$58,CU1624)</f>
        <v>5</v>
      </c>
      <c r="DA1624" s="14" t="s">
        <v>537</v>
      </c>
      <c r="DB1624" s="14">
        <f>INDEX(属性投放!$AN$7:$AN$58,CU1624)</f>
        <v>1</v>
      </c>
      <c r="DC1624" s="14">
        <f t="shared" si="1148"/>
        <v>8</v>
      </c>
      <c r="DD1624" s="14">
        <f>INDEX(属性投放!$AO$7:$AO$58,DC1624)</f>
        <v>38</v>
      </c>
      <c r="DE1624" s="14" t="s">
        <v>242</v>
      </c>
      <c r="DF1624" s="14">
        <f>INDEX(属性投放!$BK$6:$BK$85,(CV1624-2)*20+CZ1624)</f>
        <v>70</v>
      </c>
      <c r="DG1624" s="14">
        <f>SUMIFS(DF$5:DF1624,$CT$5:$CT1624,"="&amp;$CT1624)</f>
        <v>395</v>
      </c>
      <c r="DH1624" s="14" t="s">
        <v>116</v>
      </c>
      <c r="DI1624" s="14">
        <f>INDEX(属性投放!$BL$6:$BL$85,(CV1624-2)*20+CZ1624)</f>
        <v>35</v>
      </c>
      <c r="DJ1624" s="14">
        <f>SUMIFS(DI$5:DI1624,$CT$5:$CT1624,"="&amp;$CT1624)</f>
        <v>199</v>
      </c>
      <c r="DK1624" s="14" t="s">
        <v>25</v>
      </c>
      <c r="DL1624" s="14">
        <f>INDEX(属性投放!$BM$6:$BM$85,(CV1624-2)*20+CZ1624)</f>
        <v>490</v>
      </c>
      <c r="DM1624" s="14">
        <f>SUMIFS(DL$5:DL1624,$CT$5:$CT1624,"="&amp;$CT1624)</f>
        <v>2560</v>
      </c>
    </row>
    <row r="1625" spans="97:117" ht="16.5" x14ac:dyDescent="0.2">
      <c r="CS1625" s="13">
        <v>1621</v>
      </c>
      <c r="CT1625" s="13">
        <f t="shared" si="1146"/>
        <v>32</v>
      </c>
      <c r="CU1625" s="13">
        <f t="shared" si="1147"/>
        <v>9</v>
      </c>
      <c r="CV1625" s="14">
        <f t="shared" si="1149"/>
        <v>5</v>
      </c>
      <c r="CW1625" s="14">
        <f t="shared" si="1150"/>
        <v>1102996</v>
      </c>
      <c r="CX1625" s="14" t="str">
        <f>INDEX($O$6:$O$50,CT1625)&amp;"-"&amp;INDEX(属性投放!$AB$7:$AB$50,CZ1625)&amp;"-魂火-"&amp;DB1625</f>
        <v>UR守护灵-众合+1-魂火-2</v>
      </c>
      <c r="CY1625" s="25" t="s">
        <v>142</v>
      </c>
      <c r="CZ1625" s="14">
        <f>INDEX(属性投放!$AM$7:$AM$58,CU1625)</f>
        <v>5</v>
      </c>
      <c r="DA1625" s="14" t="s">
        <v>537</v>
      </c>
      <c r="DB1625" s="14">
        <f>INDEX(属性投放!$AN$7:$AN$58,CU1625)</f>
        <v>2</v>
      </c>
      <c r="DC1625" s="14">
        <f t="shared" si="1148"/>
        <v>9</v>
      </c>
      <c r="DD1625" s="14">
        <f>INDEX(属性投放!$AO$7:$AO$58,DC1625)</f>
        <v>40</v>
      </c>
      <c r="DE1625" s="14" t="s">
        <v>242</v>
      </c>
      <c r="DF1625" s="14">
        <f>INDEX(属性投放!$BK$6:$BK$85,(CV1625-2)*20+CZ1625)</f>
        <v>70</v>
      </c>
      <c r="DG1625" s="14">
        <f>SUMIFS(DF$5:DF1625,$CT$5:$CT1625,"="&amp;$CT1625)</f>
        <v>465</v>
      </c>
      <c r="DH1625" s="14" t="s">
        <v>116</v>
      </c>
      <c r="DI1625" s="14">
        <f>INDEX(属性投放!$BL$6:$BL$85,(CV1625-2)*20+CZ1625)</f>
        <v>35</v>
      </c>
      <c r="DJ1625" s="14">
        <f>SUMIFS(DI$5:DI1625,$CT$5:$CT1625,"="&amp;$CT1625)</f>
        <v>234</v>
      </c>
      <c r="DK1625" s="14" t="s">
        <v>25</v>
      </c>
      <c r="DL1625" s="14">
        <f>INDEX(属性投放!$BM$6:$BM$85,(CV1625-2)*20+CZ1625)</f>
        <v>490</v>
      </c>
      <c r="DM1625" s="14">
        <f>SUMIFS(DL$5:DL1625,$CT$5:$CT1625,"="&amp;$CT1625)</f>
        <v>3050</v>
      </c>
    </row>
    <row r="1626" spans="97:117" ht="16.5" x14ac:dyDescent="0.2">
      <c r="CS1626" s="13">
        <v>1622</v>
      </c>
      <c r="CT1626" s="13">
        <f t="shared" si="1146"/>
        <v>32</v>
      </c>
      <c r="CU1626" s="13">
        <f t="shared" si="1147"/>
        <v>10</v>
      </c>
      <c r="CV1626" s="14">
        <f t="shared" si="1149"/>
        <v>5</v>
      </c>
      <c r="CW1626" s="14">
        <f t="shared" si="1150"/>
        <v>1102996</v>
      </c>
      <c r="CX1626" s="14" t="str">
        <f>INDEX($O$6:$O$50,CT1626)&amp;"-"&amp;INDEX(属性投放!$AB$7:$AB$50,CZ1626)&amp;"-魂火-"&amp;DB1626</f>
        <v>UR守护灵-众合+2-魂火-1</v>
      </c>
      <c r="CY1626" s="25" t="s">
        <v>142</v>
      </c>
      <c r="CZ1626" s="14">
        <f>INDEX(属性投放!$AM$7:$AM$58,CU1626)</f>
        <v>6</v>
      </c>
      <c r="DA1626" s="14" t="s">
        <v>537</v>
      </c>
      <c r="DB1626" s="14">
        <f>INDEX(属性投放!$AN$7:$AN$58,CU1626)</f>
        <v>1</v>
      </c>
      <c r="DC1626" s="14">
        <f t="shared" si="1148"/>
        <v>10</v>
      </c>
      <c r="DD1626" s="14">
        <f>INDEX(属性投放!$AO$7:$AO$58,DC1626)</f>
        <v>43</v>
      </c>
      <c r="DE1626" s="14" t="s">
        <v>242</v>
      </c>
      <c r="DF1626" s="14">
        <f>INDEX(属性投放!$BK$6:$BK$85,(CV1626-2)*20+CZ1626)</f>
        <v>75</v>
      </c>
      <c r="DG1626" s="14">
        <f>SUMIFS(DF$5:DF1626,$CT$5:$CT1626,"="&amp;$CT1626)</f>
        <v>540</v>
      </c>
      <c r="DH1626" s="14" t="s">
        <v>116</v>
      </c>
      <c r="DI1626" s="14">
        <f>INDEX(属性投放!$BL$6:$BL$85,(CV1626-2)*20+CZ1626)</f>
        <v>38</v>
      </c>
      <c r="DJ1626" s="14">
        <f>SUMIFS(DI$5:DI1626,$CT$5:$CT1626,"="&amp;$CT1626)</f>
        <v>272</v>
      </c>
      <c r="DK1626" s="14" t="s">
        <v>25</v>
      </c>
      <c r="DL1626" s="14">
        <f>INDEX(属性投放!$BM$6:$BM$85,(CV1626-2)*20+CZ1626)</f>
        <v>525</v>
      </c>
      <c r="DM1626" s="14">
        <f>SUMIFS(DL$5:DL1626,$CT$5:$CT1626,"="&amp;$CT1626)</f>
        <v>3575</v>
      </c>
    </row>
    <row r="1627" spans="97:117" ht="16.5" x14ac:dyDescent="0.2">
      <c r="CS1627" s="13">
        <v>1623</v>
      </c>
      <c r="CT1627" s="13">
        <f t="shared" si="1146"/>
        <v>32</v>
      </c>
      <c r="CU1627" s="13">
        <f t="shared" si="1147"/>
        <v>11</v>
      </c>
      <c r="CV1627" s="14">
        <f t="shared" si="1149"/>
        <v>5</v>
      </c>
      <c r="CW1627" s="14">
        <f t="shared" si="1150"/>
        <v>1102996</v>
      </c>
      <c r="CX1627" s="14" t="str">
        <f>INDEX($O$6:$O$50,CT1627)&amp;"-"&amp;INDEX(属性投放!$AB$7:$AB$50,CZ1627)&amp;"-魂火-"&amp;DB1627</f>
        <v>UR守护灵-众合+2-魂火-2</v>
      </c>
      <c r="CY1627" s="25" t="s">
        <v>142</v>
      </c>
      <c r="CZ1627" s="14">
        <f>INDEX(属性投放!$AM$7:$AM$58,CU1627)</f>
        <v>6</v>
      </c>
      <c r="DA1627" s="14" t="s">
        <v>537</v>
      </c>
      <c r="DB1627" s="14">
        <f>INDEX(属性投放!$AN$7:$AN$58,CU1627)</f>
        <v>2</v>
      </c>
      <c r="DC1627" s="14">
        <f t="shared" si="1148"/>
        <v>11</v>
      </c>
      <c r="DD1627" s="14">
        <f>INDEX(属性投放!$AO$7:$AO$58,DC1627)</f>
        <v>45</v>
      </c>
      <c r="DE1627" s="14" t="s">
        <v>242</v>
      </c>
      <c r="DF1627" s="14">
        <f>INDEX(属性投放!$BK$6:$BK$85,(CV1627-2)*20+CZ1627)</f>
        <v>75</v>
      </c>
      <c r="DG1627" s="14">
        <f>SUMIFS(DF$5:DF1627,$CT$5:$CT1627,"="&amp;$CT1627)</f>
        <v>615</v>
      </c>
      <c r="DH1627" s="14" t="s">
        <v>116</v>
      </c>
      <c r="DI1627" s="14">
        <f>INDEX(属性投放!$BL$6:$BL$85,(CV1627-2)*20+CZ1627)</f>
        <v>38</v>
      </c>
      <c r="DJ1627" s="14">
        <f>SUMIFS(DI$5:DI1627,$CT$5:$CT1627,"="&amp;$CT1627)</f>
        <v>310</v>
      </c>
      <c r="DK1627" s="14" t="s">
        <v>25</v>
      </c>
      <c r="DL1627" s="14">
        <f>INDEX(属性投放!$BM$6:$BM$85,(CV1627-2)*20+CZ1627)</f>
        <v>525</v>
      </c>
      <c r="DM1627" s="14">
        <f>SUMIFS(DL$5:DL1627,$CT$5:$CT1627,"="&amp;$CT1627)</f>
        <v>4100</v>
      </c>
    </row>
    <row r="1628" spans="97:117" ht="16.5" x14ac:dyDescent="0.2">
      <c r="CS1628" s="13">
        <v>1624</v>
      </c>
      <c r="CT1628" s="13">
        <f t="shared" si="1146"/>
        <v>32</v>
      </c>
      <c r="CU1628" s="13">
        <f t="shared" si="1147"/>
        <v>12</v>
      </c>
      <c r="CV1628" s="14">
        <f t="shared" si="1149"/>
        <v>5</v>
      </c>
      <c r="CW1628" s="14">
        <f t="shared" si="1150"/>
        <v>1102996</v>
      </c>
      <c r="CX1628" s="14" t="str">
        <f>INDEX($O$6:$O$50,CT1628)&amp;"-"&amp;INDEX(属性投放!$AB$7:$AB$50,CZ1628)&amp;"-魂火-"&amp;DB1628</f>
        <v>UR守护灵-叫唤-魂火-1</v>
      </c>
      <c r="CY1628" s="25" t="s">
        <v>142</v>
      </c>
      <c r="CZ1628" s="14">
        <f>INDEX(属性投放!$AM$7:$AM$58,CU1628)</f>
        <v>7</v>
      </c>
      <c r="DA1628" s="14" t="s">
        <v>537</v>
      </c>
      <c r="DB1628" s="14">
        <f>INDEX(属性投放!$AN$7:$AN$58,CU1628)</f>
        <v>1</v>
      </c>
      <c r="DC1628" s="14">
        <f t="shared" si="1148"/>
        <v>12</v>
      </c>
      <c r="DD1628" s="14">
        <f>INDEX(属性投放!$AO$7:$AO$58,DC1628)</f>
        <v>48</v>
      </c>
      <c r="DE1628" s="14" t="s">
        <v>242</v>
      </c>
      <c r="DF1628" s="14">
        <f>INDEX(属性投放!$BK$6:$BK$85,(CV1628-2)*20+CZ1628)</f>
        <v>100</v>
      </c>
      <c r="DG1628" s="14">
        <f>SUMIFS(DF$5:DF1628,$CT$5:$CT1628,"="&amp;$CT1628)</f>
        <v>715</v>
      </c>
      <c r="DH1628" s="14" t="s">
        <v>116</v>
      </c>
      <c r="DI1628" s="14">
        <f>INDEX(属性投放!$BL$6:$BL$85,(CV1628-2)*20+CZ1628)</f>
        <v>50</v>
      </c>
      <c r="DJ1628" s="14">
        <f>SUMIFS(DI$5:DI1628,$CT$5:$CT1628,"="&amp;$CT1628)</f>
        <v>360</v>
      </c>
      <c r="DK1628" s="14" t="s">
        <v>25</v>
      </c>
      <c r="DL1628" s="14">
        <f>INDEX(属性投放!$BM$6:$BM$85,(CV1628-2)*20+CZ1628)</f>
        <v>800</v>
      </c>
      <c r="DM1628" s="14">
        <f>SUMIFS(DL$5:DL1628,$CT$5:$CT1628,"="&amp;$CT1628)</f>
        <v>4900</v>
      </c>
    </row>
    <row r="1629" spans="97:117" ht="16.5" x14ac:dyDescent="0.2">
      <c r="CS1629" s="13">
        <v>1625</v>
      </c>
      <c r="CT1629" s="13">
        <f t="shared" si="1146"/>
        <v>32</v>
      </c>
      <c r="CU1629" s="13">
        <f t="shared" si="1147"/>
        <v>13</v>
      </c>
      <c r="CV1629" s="14">
        <f t="shared" si="1149"/>
        <v>5</v>
      </c>
      <c r="CW1629" s="14">
        <f t="shared" si="1150"/>
        <v>1102996</v>
      </c>
      <c r="CX1629" s="14" t="str">
        <f>INDEX($O$6:$O$50,CT1629)&amp;"-"&amp;INDEX(属性投放!$AB$7:$AB$50,CZ1629)&amp;"-魂火-"&amp;DB1629</f>
        <v>UR守护灵-叫唤-魂火-2</v>
      </c>
      <c r="CY1629" s="25" t="s">
        <v>142</v>
      </c>
      <c r="CZ1629" s="14">
        <f>INDEX(属性投放!$AM$7:$AM$58,CU1629)</f>
        <v>7</v>
      </c>
      <c r="DA1629" s="14" t="s">
        <v>537</v>
      </c>
      <c r="DB1629" s="14">
        <f>INDEX(属性投放!$AN$7:$AN$58,CU1629)</f>
        <v>2</v>
      </c>
      <c r="DC1629" s="14">
        <f t="shared" si="1148"/>
        <v>13</v>
      </c>
      <c r="DD1629" s="14">
        <f>INDEX(属性投放!$AO$7:$AO$58,DC1629)</f>
        <v>50</v>
      </c>
      <c r="DE1629" s="14" t="s">
        <v>242</v>
      </c>
      <c r="DF1629" s="14">
        <f>INDEX(属性投放!$BK$6:$BK$85,(CV1629-2)*20+CZ1629)</f>
        <v>100</v>
      </c>
      <c r="DG1629" s="14">
        <f>SUMIFS(DF$5:DF1629,$CT$5:$CT1629,"="&amp;$CT1629)</f>
        <v>815</v>
      </c>
      <c r="DH1629" s="14" t="s">
        <v>116</v>
      </c>
      <c r="DI1629" s="14">
        <f>INDEX(属性投放!$BL$6:$BL$85,(CV1629-2)*20+CZ1629)</f>
        <v>50</v>
      </c>
      <c r="DJ1629" s="14">
        <f>SUMIFS(DI$5:DI1629,$CT$5:$CT1629,"="&amp;$CT1629)</f>
        <v>410</v>
      </c>
      <c r="DK1629" s="14" t="s">
        <v>25</v>
      </c>
      <c r="DL1629" s="14">
        <f>INDEX(属性投放!$BM$6:$BM$85,(CV1629-2)*20+CZ1629)</f>
        <v>800</v>
      </c>
      <c r="DM1629" s="14">
        <f>SUMIFS(DL$5:DL1629,$CT$5:$CT1629,"="&amp;$CT1629)</f>
        <v>5700</v>
      </c>
    </row>
    <row r="1630" spans="97:117" ht="16.5" x14ac:dyDescent="0.2">
      <c r="CS1630" s="13">
        <v>1626</v>
      </c>
      <c r="CT1630" s="13">
        <f t="shared" si="1146"/>
        <v>32</v>
      </c>
      <c r="CU1630" s="13">
        <f t="shared" si="1147"/>
        <v>14</v>
      </c>
      <c r="CV1630" s="14">
        <f t="shared" si="1149"/>
        <v>5</v>
      </c>
      <c r="CW1630" s="14">
        <f t="shared" si="1150"/>
        <v>1102996</v>
      </c>
      <c r="CX1630" s="14" t="str">
        <f>INDEX($O$6:$O$50,CT1630)&amp;"-"&amp;INDEX(属性投放!$AB$7:$AB$50,CZ1630)&amp;"-魂火-"&amp;DB1630</f>
        <v>UR守护灵-叫唤+1-魂火-1</v>
      </c>
      <c r="CY1630" s="25" t="s">
        <v>142</v>
      </c>
      <c r="CZ1630" s="14">
        <f>INDEX(属性投放!$AM$7:$AM$58,CU1630)</f>
        <v>8</v>
      </c>
      <c r="DA1630" s="14" t="s">
        <v>537</v>
      </c>
      <c r="DB1630" s="14">
        <f>INDEX(属性投放!$AN$7:$AN$58,CU1630)</f>
        <v>1</v>
      </c>
      <c r="DC1630" s="14">
        <f t="shared" si="1148"/>
        <v>14</v>
      </c>
      <c r="DD1630" s="14">
        <f>INDEX(属性投放!$AO$7:$AO$58,DC1630)</f>
        <v>53</v>
      </c>
      <c r="DE1630" s="14" t="s">
        <v>242</v>
      </c>
      <c r="DF1630" s="14">
        <f>INDEX(属性投放!$BK$6:$BK$85,(CV1630-2)*20+CZ1630)</f>
        <v>120</v>
      </c>
      <c r="DG1630" s="14">
        <f>SUMIFS(DF$5:DF1630,$CT$5:$CT1630,"="&amp;$CT1630)</f>
        <v>935</v>
      </c>
      <c r="DH1630" s="14" t="s">
        <v>116</v>
      </c>
      <c r="DI1630" s="14">
        <f>INDEX(属性投放!$BL$6:$BL$85,(CV1630-2)*20+CZ1630)</f>
        <v>60</v>
      </c>
      <c r="DJ1630" s="14">
        <f>SUMIFS(DI$5:DI1630,$CT$5:$CT1630,"="&amp;$CT1630)</f>
        <v>470</v>
      </c>
      <c r="DK1630" s="14" t="s">
        <v>25</v>
      </c>
      <c r="DL1630" s="14">
        <f>INDEX(属性投放!$BM$6:$BM$85,(CV1630-2)*20+CZ1630)</f>
        <v>960</v>
      </c>
      <c r="DM1630" s="14">
        <f>SUMIFS(DL$5:DL1630,$CT$5:$CT1630,"="&amp;$CT1630)</f>
        <v>6660</v>
      </c>
    </row>
    <row r="1631" spans="97:117" ht="16.5" x14ac:dyDescent="0.2">
      <c r="CS1631" s="13">
        <v>1627</v>
      </c>
      <c r="CT1631" s="13">
        <f t="shared" si="1146"/>
        <v>32</v>
      </c>
      <c r="CU1631" s="13">
        <f t="shared" si="1147"/>
        <v>15</v>
      </c>
      <c r="CV1631" s="14">
        <f t="shared" si="1149"/>
        <v>5</v>
      </c>
      <c r="CW1631" s="14">
        <f t="shared" si="1150"/>
        <v>1102996</v>
      </c>
      <c r="CX1631" s="14" t="str">
        <f>INDEX($O$6:$O$50,CT1631)&amp;"-"&amp;INDEX(属性投放!$AB$7:$AB$50,CZ1631)&amp;"-魂火-"&amp;DB1631</f>
        <v>UR守护灵-叫唤+1-魂火-2</v>
      </c>
      <c r="CY1631" s="25" t="s">
        <v>142</v>
      </c>
      <c r="CZ1631" s="14">
        <f>INDEX(属性投放!$AM$7:$AM$58,CU1631)</f>
        <v>8</v>
      </c>
      <c r="DA1631" s="14" t="s">
        <v>537</v>
      </c>
      <c r="DB1631" s="14">
        <f>INDEX(属性投放!$AN$7:$AN$58,CU1631)</f>
        <v>2</v>
      </c>
      <c r="DC1631" s="14">
        <f t="shared" si="1148"/>
        <v>15</v>
      </c>
      <c r="DD1631" s="14">
        <f>INDEX(属性投放!$AO$7:$AO$58,DC1631)</f>
        <v>55</v>
      </c>
      <c r="DE1631" s="14" t="s">
        <v>242</v>
      </c>
      <c r="DF1631" s="14">
        <f>INDEX(属性投放!$BK$6:$BK$85,(CV1631-2)*20+CZ1631)</f>
        <v>120</v>
      </c>
      <c r="DG1631" s="14">
        <f>SUMIFS(DF$5:DF1631,$CT$5:$CT1631,"="&amp;$CT1631)</f>
        <v>1055</v>
      </c>
      <c r="DH1631" s="14" t="s">
        <v>116</v>
      </c>
      <c r="DI1631" s="14">
        <f>INDEX(属性投放!$BL$6:$BL$85,(CV1631-2)*20+CZ1631)</f>
        <v>60</v>
      </c>
      <c r="DJ1631" s="14">
        <f>SUMIFS(DI$5:DI1631,$CT$5:$CT1631,"="&amp;$CT1631)</f>
        <v>530</v>
      </c>
      <c r="DK1631" s="14" t="s">
        <v>25</v>
      </c>
      <c r="DL1631" s="14">
        <f>INDEX(属性投放!$BM$6:$BM$85,(CV1631-2)*20+CZ1631)</f>
        <v>960</v>
      </c>
      <c r="DM1631" s="14">
        <f>SUMIFS(DL$5:DL1631,$CT$5:$CT1631,"="&amp;$CT1631)</f>
        <v>7620</v>
      </c>
    </row>
    <row r="1632" spans="97:117" ht="16.5" x14ac:dyDescent="0.2">
      <c r="CS1632" s="13">
        <v>1628</v>
      </c>
      <c r="CT1632" s="13">
        <f t="shared" si="1146"/>
        <v>32</v>
      </c>
      <c r="CU1632" s="13">
        <f t="shared" si="1147"/>
        <v>16</v>
      </c>
      <c r="CV1632" s="14">
        <f t="shared" si="1149"/>
        <v>5</v>
      </c>
      <c r="CW1632" s="14">
        <f t="shared" si="1150"/>
        <v>1102996</v>
      </c>
      <c r="CX1632" s="14" t="str">
        <f>INDEX($O$6:$O$50,CT1632)&amp;"-"&amp;INDEX(属性投放!$AB$7:$AB$50,CZ1632)&amp;"-魂火-"&amp;DB1632</f>
        <v>UR守护灵-叫唤+2-魂火-1</v>
      </c>
      <c r="CY1632" s="25" t="s">
        <v>142</v>
      </c>
      <c r="CZ1632" s="14">
        <f>INDEX(属性投放!$AM$7:$AM$58,CU1632)</f>
        <v>9</v>
      </c>
      <c r="DA1632" s="14" t="s">
        <v>537</v>
      </c>
      <c r="DB1632" s="14">
        <f>INDEX(属性投放!$AN$7:$AN$58,CU1632)</f>
        <v>1</v>
      </c>
      <c r="DC1632" s="14">
        <f t="shared" si="1148"/>
        <v>16</v>
      </c>
      <c r="DD1632" s="14">
        <f>INDEX(属性投放!$AO$7:$AO$58,DC1632)</f>
        <v>58</v>
      </c>
      <c r="DE1632" s="14" t="s">
        <v>242</v>
      </c>
      <c r="DF1632" s="14">
        <f>INDEX(属性投放!$BK$6:$BK$85,(CV1632-2)*20+CZ1632)</f>
        <v>138</v>
      </c>
      <c r="DG1632" s="14">
        <f>SUMIFS(DF$5:DF1632,$CT$5:$CT1632,"="&amp;$CT1632)</f>
        <v>1193</v>
      </c>
      <c r="DH1632" s="14" t="s">
        <v>116</v>
      </c>
      <c r="DI1632" s="14">
        <f>INDEX(属性投放!$BL$6:$BL$85,(CV1632-2)*20+CZ1632)</f>
        <v>69</v>
      </c>
      <c r="DJ1632" s="14">
        <f>SUMIFS(DI$5:DI1632,$CT$5:$CT1632,"="&amp;$CT1632)</f>
        <v>599</v>
      </c>
      <c r="DK1632" s="14" t="s">
        <v>25</v>
      </c>
      <c r="DL1632" s="14">
        <f>INDEX(属性投放!$BM$6:$BM$85,(CV1632-2)*20+CZ1632)</f>
        <v>1104</v>
      </c>
      <c r="DM1632" s="14">
        <f>SUMIFS(DL$5:DL1632,$CT$5:$CT1632,"="&amp;$CT1632)</f>
        <v>8724</v>
      </c>
    </row>
    <row r="1633" spans="97:117" ht="16.5" x14ac:dyDescent="0.2">
      <c r="CS1633" s="13">
        <v>1629</v>
      </c>
      <c r="CT1633" s="13">
        <f t="shared" si="1146"/>
        <v>32</v>
      </c>
      <c r="CU1633" s="13">
        <f t="shared" si="1147"/>
        <v>17</v>
      </c>
      <c r="CV1633" s="14">
        <f t="shared" si="1149"/>
        <v>5</v>
      </c>
      <c r="CW1633" s="14">
        <f t="shared" si="1150"/>
        <v>1102996</v>
      </c>
      <c r="CX1633" s="14" t="str">
        <f>INDEX($O$6:$O$50,CT1633)&amp;"-"&amp;INDEX(属性投放!$AB$7:$AB$50,CZ1633)&amp;"-魂火-"&amp;DB1633</f>
        <v>UR守护灵-叫唤+2-魂火-2</v>
      </c>
      <c r="CY1633" s="25" t="s">
        <v>142</v>
      </c>
      <c r="CZ1633" s="14">
        <f>INDEX(属性投放!$AM$7:$AM$58,CU1633)</f>
        <v>9</v>
      </c>
      <c r="DA1633" s="14" t="s">
        <v>537</v>
      </c>
      <c r="DB1633" s="14">
        <f>INDEX(属性投放!$AN$7:$AN$58,CU1633)</f>
        <v>2</v>
      </c>
      <c r="DC1633" s="14">
        <f t="shared" si="1148"/>
        <v>17</v>
      </c>
      <c r="DD1633" s="14">
        <f>INDEX(属性投放!$AO$7:$AO$58,DC1633)</f>
        <v>60</v>
      </c>
      <c r="DE1633" s="14" t="s">
        <v>242</v>
      </c>
      <c r="DF1633" s="14">
        <f>INDEX(属性投放!$BK$6:$BK$85,(CV1633-2)*20+CZ1633)</f>
        <v>138</v>
      </c>
      <c r="DG1633" s="14">
        <f>SUMIFS(DF$5:DF1633,$CT$5:$CT1633,"="&amp;$CT1633)</f>
        <v>1331</v>
      </c>
      <c r="DH1633" s="14" t="s">
        <v>116</v>
      </c>
      <c r="DI1633" s="14">
        <f>INDEX(属性投放!$BL$6:$BL$85,(CV1633-2)*20+CZ1633)</f>
        <v>69</v>
      </c>
      <c r="DJ1633" s="14">
        <f>SUMIFS(DI$5:DI1633,$CT$5:$CT1633,"="&amp;$CT1633)</f>
        <v>668</v>
      </c>
      <c r="DK1633" s="14" t="s">
        <v>25</v>
      </c>
      <c r="DL1633" s="14">
        <f>INDEX(属性投放!$BM$6:$BM$85,(CV1633-2)*20+CZ1633)</f>
        <v>1104</v>
      </c>
      <c r="DM1633" s="14">
        <f>SUMIFS(DL$5:DL1633,$CT$5:$CT1633,"="&amp;$CT1633)</f>
        <v>9828</v>
      </c>
    </row>
    <row r="1634" spans="97:117" ht="16.5" x14ac:dyDescent="0.2">
      <c r="CS1634" s="13">
        <v>1630</v>
      </c>
      <c r="CT1634" s="13">
        <f t="shared" si="1146"/>
        <v>32</v>
      </c>
      <c r="CU1634" s="13">
        <f t="shared" si="1147"/>
        <v>18</v>
      </c>
      <c r="CV1634" s="14">
        <f t="shared" si="1149"/>
        <v>5</v>
      </c>
      <c r="CW1634" s="14">
        <f t="shared" si="1150"/>
        <v>1102996</v>
      </c>
      <c r="CX1634" s="14" t="str">
        <f>INDEX($O$6:$O$50,CT1634)&amp;"-"&amp;INDEX(属性投放!$AB$7:$AB$50,CZ1634)&amp;"-魂火-"&amp;DB1634</f>
        <v>UR守护灵-叫唤+2-魂火-3</v>
      </c>
      <c r="CY1634" s="25" t="s">
        <v>142</v>
      </c>
      <c r="CZ1634" s="14">
        <f>INDEX(属性投放!$AM$7:$AM$58,CU1634)</f>
        <v>9</v>
      </c>
      <c r="DA1634" s="14" t="s">
        <v>537</v>
      </c>
      <c r="DB1634" s="14">
        <f>INDEX(属性投放!$AN$7:$AN$58,CU1634)</f>
        <v>3</v>
      </c>
      <c r="DC1634" s="14">
        <f t="shared" si="1148"/>
        <v>18</v>
      </c>
      <c r="DD1634" s="14">
        <f>INDEX(属性投放!$AO$7:$AO$58,DC1634)</f>
        <v>63</v>
      </c>
      <c r="DE1634" s="14" t="s">
        <v>242</v>
      </c>
      <c r="DF1634" s="14">
        <f>INDEX(属性投放!$BK$6:$BK$85,(CV1634-2)*20+CZ1634)</f>
        <v>138</v>
      </c>
      <c r="DG1634" s="14">
        <f>SUMIFS(DF$5:DF1634,$CT$5:$CT1634,"="&amp;$CT1634)</f>
        <v>1469</v>
      </c>
      <c r="DH1634" s="14" t="s">
        <v>116</v>
      </c>
      <c r="DI1634" s="14">
        <f>INDEX(属性投放!$BL$6:$BL$85,(CV1634-2)*20+CZ1634)</f>
        <v>69</v>
      </c>
      <c r="DJ1634" s="14">
        <f>SUMIFS(DI$5:DI1634,$CT$5:$CT1634,"="&amp;$CT1634)</f>
        <v>737</v>
      </c>
      <c r="DK1634" s="14" t="s">
        <v>25</v>
      </c>
      <c r="DL1634" s="14">
        <f>INDEX(属性投放!$BM$6:$BM$85,(CV1634-2)*20+CZ1634)</f>
        <v>1104</v>
      </c>
      <c r="DM1634" s="14">
        <f>SUMIFS(DL$5:DL1634,$CT$5:$CT1634,"="&amp;$CT1634)</f>
        <v>10932</v>
      </c>
    </row>
    <row r="1635" spans="97:117" ht="16.5" x14ac:dyDescent="0.2">
      <c r="CS1635" s="13">
        <v>1631</v>
      </c>
      <c r="CT1635" s="13">
        <f t="shared" si="1146"/>
        <v>32</v>
      </c>
      <c r="CU1635" s="13">
        <f t="shared" si="1147"/>
        <v>19</v>
      </c>
      <c r="CV1635" s="14">
        <f t="shared" si="1149"/>
        <v>5</v>
      </c>
      <c r="CW1635" s="14">
        <f t="shared" si="1150"/>
        <v>1102996</v>
      </c>
      <c r="CX1635" s="14" t="str">
        <f>INDEX($O$6:$O$50,CT1635)&amp;"-"&amp;INDEX(属性投放!$AB$7:$AB$50,CZ1635)&amp;"-魂火-"&amp;DB1635</f>
        <v>UR守护灵-大叫唤-魂火-1</v>
      </c>
      <c r="CY1635" s="25" t="s">
        <v>142</v>
      </c>
      <c r="CZ1635" s="14">
        <f>INDEX(属性投放!$AM$7:$AM$58,CU1635)</f>
        <v>10</v>
      </c>
      <c r="DA1635" s="14" t="s">
        <v>537</v>
      </c>
      <c r="DB1635" s="14">
        <f>INDEX(属性投放!$AN$7:$AN$58,CU1635)</f>
        <v>1</v>
      </c>
      <c r="DC1635" s="14">
        <f t="shared" si="1148"/>
        <v>19</v>
      </c>
      <c r="DD1635" s="14">
        <f>INDEX(属性投放!$AO$7:$AO$58,DC1635)</f>
        <v>65</v>
      </c>
      <c r="DE1635" s="14" t="s">
        <v>242</v>
      </c>
      <c r="DF1635" s="14">
        <f>INDEX(属性投放!$BK$6:$BK$85,(CV1635-2)*20+CZ1635)</f>
        <v>150</v>
      </c>
      <c r="DG1635" s="14">
        <f>SUMIFS(DF$5:DF1635,$CT$5:$CT1635,"="&amp;$CT1635)</f>
        <v>1619</v>
      </c>
      <c r="DH1635" s="14" t="s">
        <v>116</v>
      </c>
      <c r="DI1635" s="14">
        <f>INDEX(属性投放!$BL$6:$BL$85,(CV1635-2)*20+CZ1635)</f>
        <v>75</v>
      </c>
      <c r="DJ1635" s="14">
        <f>SUMIFS(DI$5:DI1635,$CT$5:$CT1635,"="&amp;$CT1635)</f>
        <v>812</v>
      </c>
      <c r="DK1635" s="14" t="s">
        <v>25</v>
      </c>
      <c r="DL1635" s="14">
        <f>INDEX(属性投放!$BM$6:$BM$85,(CV1635-2)*20+CZ1635)</f>
        <v>1350</v>
      </c>
      <c r="DM1635" s="14">
        <f>SUMIFS(DL$5:DL1635,$CT$5:$CT1635,"="&amp;$CT1635)</f>
        <v>12282</v>
      </c>
    </row>
    <row r="1636" spans="97:117" ht="16.5" x14ac:dyDescent="0.2">
      <c r="CS1636" s="13">
        <v>1632</v>
      </c>
      <c r="CT1636" s="13">
        <f t="shared" si="1146"/>
        <v>32</v>
      </c>
      <c r="CU1636" s="13">
        <f t="shared" si="1147"/>
        <v>20</v>
      </c>
      <c r="CV1636" s="14">
        <f t="shared" si="1149"/>
        <v>5</v>
      </c>
      <c r="CW1636" s="14">
        <f t="shared" si="1150"/>
        <v>1102996</v>
      </c>
      <c r="CX1636" s="14" t="str">
        <f>INDEX($O$6:$O$50,CT1636)&amp;"-"&amp;INDEX(属性投放!$AB$7:$AB$50,CZ1636)&amp;"-魂火-"&amp;DB1636</f>
        <v>UR守护灵-大叫唤-魂火-2</v>
      </c>
      <c r="CY1636" s="25" t="s">
        <v>142</v>
      </c>
      <c r="CZ1636" s="14">
        <f>INDEX(属性投放!$AM$7:$AM$58,CU1636)</f>
        <v>10</v>
      </c>
      <c r="DA1636" s="14" t="s">
        <v>537</v>
      </c>
      <c r="DB1636" s="14">
        <f>INDEX(属性投放!$AN$7:$AN$58,CU1636)</f>
        <v>2</v>
      </c>
      <c r="DC1636" s="14">
        <f t="shared" si="1148"/>
        <v>20</v>
      </c>
      <c r="DD1636" s="14">
        <f>INDEX(属性投放!$AO$7:$AO$58,DC1636)</f>
        <v>68</v>
      </c>
      <c r="DE1636" s="14" t="s">
        <v>242</v>
      </c>
      <c r="DF1636" s="14">
        <f>INDEX(属性投放!$BK$6:$BK$85,(CV1636-2)*20+CZ1636)</f>
        <v>150</v>
      </c>
      <c r="DG1636" s="14">
        <f>SUMIFS(DF$5:DF1636,$CT$5:$CT1636,"="&amp;$CT1636)</f>
        <v>1769</v>
      </c>
      <c r="DH1636" s="14" t="s">
        <v>116</v>
      </c>
      <c r="DI1636" s="14">
        <f>INDEX(属性投放!$BL$6:$BL$85,(CV1636-2)*20+CZ1636)</f>
        <v>75</v>
      </c>
      <c r="DJ1636" s="14">
        <f>SUMIFS(DI$5:DI1636,$CT$5:$CT1636,"="&amp;$CT1636)</f>
        <v>887</v>
      </c>
      <c r="DK1636" s="14" t="s">
        <v>25</v>
      </c>
      <c r="DL1636" s="14">
        <f>INDEX(属性投放!$BM$6:$BM$85,(CV1636-2)*20+CZ1636)</f>
        <v>1350</v>
      </c>
      <c r="DM1636" s="14">
        <f>SUMIFS(DL$5:DL1636,$CT$5:$CT1636,"="&amp;$CT1636)</f>
        <v>13632</v>
      </c>
    </row>
    <row r="1637" spans="97:117" ht="16.5" x14ac:dyDescent="0.2">
      <c r="CS1637" s="13">
        <v>1633</v>
      </c>
      <c r="CT1637" s="13">
        <f t="shared" si="1146"/>
        <v>32</v>
      </c>
      <c r="CU1637" s="13">
        <f t="shared" si="1147"/>
        <v>21</v>
      </c>
      <c r="CV1637" s="14">
        <f t="shared" si="1149"/>
        <v>5</v>
      </c>
      <c r="CW1637" s="14">
        <f t="shared" si="1150"/>
        <v>1102996</v>
      </c>
      <c r="CX1637" s="14" t="str">
        <f>INDEX($O$6:$O$50,CT1637)&amp;"-"&amp;INDEX(属性投放!$AB$7:$AB$50,CZ1637)&amp;"-魂火-"&amp;DB1637</f>
        <v>UR守护灵-大叫唤-魂火-3</v>
      </c>
      <c r="CY1637" s="25" t="s">
        <v>142</v>
      </c>
      <c r="CZ1637" s="14">
        <f>INDEX(属性投放!$AM$7:$AM$58,CU1637)</f>
        <v>10</v>
      </c>
      <c r="DA1637" s="14" t="s">
        <v>537</v>
      </c>
      <c r="DB1637" s="14">
        <f>INDEX(属性投放!$AN$7:$AN$58,CU1637)</f>
        <v>3</v>
      </c>
      <c r="DC1637" s="14">
        <f t="shared" si="1148"/>
        <v>21</v>
      </c>
      <c r="DD1637" s="14">
        <f>INDEX(属性投放!$AO$7:$AO$58,DC1637)</f>
        <v>70</v>
      </c>
      <c r="DE1637" s="14" t="s">
        <v>242</v>
      </c>
      <c r="DF1637" s="14">
        <f>INDEX(属性投放!$BK$6:$BK$85,(CV1637-2)*20+CZ1637)</f>
        <v>150</v>
      </c>
      <c r="DG1637" s="14">
        <f>SUMIFS(DF$5:DF1637,$CT$5:$CT1637,"="&amp;$CT1637)</f>
        <v>1919</v>
      </c>
      <c r="DH1637" s="14" t="s">
        <v>116</v>
      </c>
      <c r="DI1637" s="14">
        <f>INDEX(属性投放!$BL$6:$BL$85,(CV1637-2)*20+CZ1637)</f>
        <v>75</v>
      </c>
      <c r="DJ1637" s="14">
        <f>SUMIFS(DI$5:DI1637,$CT$5:$CT1637,"="&amp;$CT1637)</f>
        <v>962</v>
      </c>
      <c r="DK1637" s="14" t="s">
        <v>25</v>
      </c>
      <c r="DL1637" s="14">
        <f>INDEX(属性投放!$BM$6:$BM$85,(CV1637-2)*20+CZ1637)</f>
        <v>1350</v>
      </c>
      <c r="DM1637" s="14">
        <f>SUMIFS(DL$5:DL1637,$CT$5:$CT1637,"="&amp;$CT1637)</f>
        <v>14982</v>
      </c>
    </row>
    <row r="1638" spans="97:117" ht="16.5" x14ac:dyDescent="0.2">
      <c r="CS1638" s="13">
        <v>1634</v>
      </c>
      <c r="CT1638" s="13">
        <f t="shared" si="1146"/>
        <v>32</v>
      </c>
      <c r="CU1638" s="13">
        <f t="shared" si="1147"/>
        <v>22</v>
      </c>
      <c r="CV1638" s="14">
        <f t="shared" si="1149"/>
        <v>5</v>
      </c>
      <c r="CW1638" s="14">
        <f t="shared" si="1150"/>
        <v>1102996</v>
      </c>
      <c r="CX1638" s="14" t="str">
        <f>INDEX($O$6:$O$50,CT1638)&amp;"-"&amp;INDEX(属性投放!$AB$7:$AB$50,CZ1638)&amp;"-魂火-"&amp;DB1638</f>
        <v>UR守护灵-大叫唤+1-魂火-1</v>
      </c>
      <c r="CY1638" s="25" t="s">
        <v>142</v>
      </c>
      <c r="CZ1638" s="14">
        <f>INDEX(属性投放!$AM$7:$AM$58,CU1638)</f>
        <v>11</v>
      </c>
      <c r="DA1638" s="14" t="s">
        <v>537</v>
      </c>
      <c r="DB1638" s="14">
        <f>INDEX(属性投放!$AN$7:$AN$58,CU1638)</f>
        <v>1</v>
      </c>
      <c r="DC1638" s="14">
        <f t="shared" si="1148"/>
        <v>22</v>
      </c>
      <c r="DD1638" s="14">
        <f>INDEX(属性投放!$AO$7:$AO$58,DC1638)</f>
        <v>73</v>
      </c>
      <c r="DE1638" s="14" t="s">
        <v>242</v>
      </c>
      <c r="DF1638" s="14">
        <f>INDEX(属性投放!$BK$6:$BK$85,(CV1638-2)*20+CZ1638)</f>
        <v>200</v>
      </c>
      <c r="DG1638" s="14">
        <f>SUMIFS(DF$5:DF1638,$CT$5:$CT1638,"="&amp;$CT1638)</f>
        <v>2119</v>
      </c>
      <c r="DH1638" s="14" t="s">
        <v>116</v>
      </c>
      <c r="DI1638" s="14">
        <f>INDEX(属性投放!$BL$6:$BL$85,(CV1638-2)*20+CZ1638)</f>
        <v>100</v>
      </c>
      <c r="DJ1638" s="14">
        <f>SUMIFS(DI$5:DI1638,$CT$5:$CT1638,"="&amp;$CT1638)</f>
        <v>1062</v>
      </c>
      <c r="DK1638" s="14" t="s">
        <v>25</v>
      </c>
      <c r="DL1638" s="14">
        <f>INDEX(属性投放!$BM$6:$BM$85,(CV1638-2)*20+CZ1638)</f>
        <v>1800</v>
      </c>
      <c r="DM1638" s="14">
        <f>SUMIFS(DL$5:DL1638,$CT$5:$CT1638,"="&amp;$CT1638)</f>
        <v>16782</v>
      </c>
    </row>
    <row r="1639" spans="97:117" ht="16.5" x14ac:dyDescent="0.2">
      <c r="CS1639" s="13">
        <v>1635</v>
      </c>
      <c r="CT1639" s="13">
        <f t="shared" si="1146"/>
        <v>32</v>
      </c>
      <c r="CU1639" s="13">
        <f t="shared" si="1147"/>
        <v>23</v>
      </c>
      <c r="CV1639" s="14">
        <f t="shared" si="1149"/>
        <v>5</v>
      </c>
      <c r="CW1639" s="14">
        <f t="shared" si="1150"/>
        <v>1102996</v>
      </c>
      <c r="CX1639" s="14" t="str">
        <f>INDEX($O$6:$O$50,CT1639)&amp;"-"&amp;INDEX(属性投放!$AB$7:$AB$50,CZ1639)&amp;"-魂火-"&amp;DB1639</f>
        <v>UR守护灵-大叫唤+1-魂火-2</v>
      </c>
      <c r="CY1639" s="25" t="s">
        <v>142</v>
      </c>
      <c r="CZ1639" s="14">
        <f>INDEX(属性投放!$AM$7:$AM$58,CU1639)</f>
        <v>11</v>
      </c>
      <c r="DA1639" s="14" t="s">
        <v>537</v>
      </c>
      <c r="DB1639" s="14">
        <f>INDEX(属性投放!$AN$7:$AN$58,CU1639)</f>
        <v>2</v>
      </c>
      <c r="DC1639" s="14">
        <f t="shared" si="1148"/>
        <v>23</v>
      </c>
      <c r="DD1639" s="14">
        <f>INDEX(属性投放!$AO$7:$AO$58,DC1639)</f>
        <v>75</v>
      </c>
      <c r="DE1639" s="14" t="s">
        <v>242</v>
      </c>
      <c r="DF1639" s="14">
        <f>INDEX(属性投放!$BK$6:$BK$85,(CV1639-2)*20+CZ1639)</f>
        <v>200</v>
      </c>
      <c r="DG1639" s="14">
        <f>SUMIFS(DF$5:DF1639,$CT$5:$CT1639,"="&amp;$CT1639)</f>
        <v>2319</v>
      </c>
      <c r="DH1639" s="14" t="s">
        <v>116</v>
      </c>
      <c r="DI1639" s="14">
        <f>INDEX(属性投放!$BL$6:$BL$85,(CV1639-2)*20+CZ1639)</f>
        <v>100</v>
      </c>
      <c r="DJ1639" s="14">
        <f>SUMIFS(DI$5:DI1639,$CT$5:$CT1639,"="&amp;$CT1639)</f>
        <v>1162</v>
      </c>
      <c r="DK1639" s="14" t="s">
        <v>25</v>
      </c>
      <c r="DL1639" s="14">
        <f>INDEX(属性投放!$BM$6:$BM$85,(CV1639-2)*20+CZ1639)</f>
        <v>1800</v>
      </c>
      <c r="DM1639" s="14">
        <f>SUMIFS(DL$5:DL1639,$CT$5:$CT1639,"="&amp;$CT1639)</f>
        <v>18582</v>
      </c>
    </row>
    <row r="1640" spans="97:117" ht="16.5" x14ac:dyDescent="0.2">
      <c r="CS1640" s="13">
        <v>1636</v>
      </c>
      <c r="CT1640" s="13">
        <f t="shared" si="1146"/>
        <v>32</v>
      </c>
      <c r="CU1640" s="13">
        <f t="shared" si="1147"/>
        <v>24</v>
      </c>
      <c r="CV1640" s="14">
        <f t="shared" si="1149"/>
        <v>5</v>
      </c>
      <c r="CW1640" s="14">
        <f t="shared" si="1150"/>
        <v>1102996</v>
      </c>
      <c r="CX1640" s="14" t="str">
        <f>INDEX($O$6:$O$50,CT1640)&amp;"-"&amp;INDEX(属性投放!$AB$7:$AB$50,CZ1640)&amp;"-魂火-"&amp;DB1640</f>
        <v>UR守护灵-大叫唤+1-魂火-3</v>
      </c>
      <c r="CY1640" s="25" t="s">
        <v>142</v>
      </c>
      <c r="CZ1640" s="14">
        <f>INDEX(属性投放!$AM$7:$AM$58,CU1640)</f>
        <v>11</v>
      </c>
      <c r="DA1640" s="14" t="s">
        <v>537</v>
      </c>
      <c r="DB1640" s="14">
        <f>INDEX(属性投放!$AN$7:$AN$58,CU1640)</f>
        <v>3</v>
      </c>
      <c r="DC1640" s="14">
        <f t="shared" si="1148"/>
        <v>24</v>
      </c>
      <c r="DD1640" s="14">
        <f>INDEX(属性投放!$AO$7:$AO$58,DC1640)</f>
        <v>78</v>
      </c>
      <c r="DE1640" s="14" t="s">
        <v>242</v>
      </c>
      <c r="DF1640" s="14">
        <f>INDEX(属性投放!$BK$6:$BK$85,(CV1640-2)*20+CZ1640)</f>
        <v>200</v>
      </c>
      <c r="DG1640" s="14">
        <f>SUMIFS(DF$5:DF1640,$CT$5:$CT1640,"="&amp;$CT1640)</f>
        <v>2519</v>
      </c>
      <c r="DH1640" s="14" t="s">
        <v>116</v>
      </c>
      <c r="DI1640" s="14">
        <f>INDEX(属性投放!$BL$6:$BL$85,(CV1640-2)*20+CZ1640)</f>
        <v>100</v>
      </c>
      <c r="DJ1640" s="14">
        <f>SUMIFS(DI$5:DI1640,$CT$5:$CT1640,"="&amp;$CT1640)</f>
        <v>1262</v>
      </c>
      <c r="DK1640" s="14" t="s">
        <v>25</v>
      </c>
      <c r="DL1640" s="14">
        <f>INDEX(属性投放!$BM$6:$BM$85,(CV1640-2)*20+CZ1640)</f>
        <v>1800</v>
      </c>
      <c r="DM1640" s="14">
        <f>SUMIFS(DL$5:DL1640,$CT$5:$CT1640,"="&amp;$CT1640)</f>
        <v>20382</v>
      </c>
    </row>
    <row r="1641" spans="97:117" ht="16.5" x14ac:dyDescent="0.2">
      <c r="CS1641" s="13">
        <v>1637</v>
      </c>
      <c r="CT1641" s="13">
        <f t="shared" si="1146"/>
        <v>32</v>
      </c>
      <c r="CU1641" s="13">
        <f t="shared" si="1147"/>
        <v>25</v>
      </c>
      <c r="CV1641" s="14">
        <f t="shared" si="1149"/>
        <v>5</v>
      </c>
      <c r="CW1641" s="14">
        <f t="shared" si="1150"/>
        <v>1102996</v>
      </c>
      <c r="CX1641" s="14" t="str">
        <f>INDEX($O$6:$O$50,CT1641)&amp;"-"&amp;INDEX(属性投放!$AB$7:$AB$50,CZ1641)&amp;"-魂火-"&amp;DB1641</f>
        <v>UR守护灵-大叫唤+2-魂火-1</v>
      </c>
      <c r="CY1641" s="25" t="s">
        <v>142</v>
      </c>
      <c r="CZ1641" s="14">
        <f>INDEX(属性投放!$AM$7:$AM$58,CU1641)</f>
        <v>12</v>
      </c>
      <c r="DA1641" s="14" t="s">
        <v>537</v>
      </c>
      <c r="DB1641" s="14">
        <f>INDEX(属性投放!$AN$7:$AN$58,CU1641)</f>
        <v>1</v>
      </c>
      <c r="DC1641" s="14">
        <f t="shared" si="1148"/>
        <v>25</v>
      </c>
      <c r="DD1641" s="14">
        <f>INDEX(属性投放!$AO$7:$AO$58,DC1641)</f>
        <v>80</v>
      </c>
      <c r="DE1641" s="14" t="s">
        <v>242</v>
      </c>
      <c r="DF1641" s="14">
        <f>INDEX(属性投放!$BK$6:$BK$85,(CV1641-2)*20+CZ1641)</f>
        <v>260</v>
      </c>
      <c r="DG1641" s="14">
        <f>SUMIFS(DF$5:DF1641,$CT$5:$CT1641,"="&amp;$CT1641)</f>
        <v>2779</v>
      </c>
      <c r="DH1641" s="14" t="s">
        <v>116</v>
      </c>
      <c r="DI1641" s="14">
        <f>INDEX(属性投放!$BL$6:$BL$85,(CV1641-2)*20+CZ1641)</f>
        <v>130</v>
      </c>
      <c r="DJ1641" s="14">
        <f>SUMIFS(DI$5:DI1641,$CT$5:$CT1641,"="&amp;$CT1641)</f>
        <v>1392</v>
      </c>
      <c r="DK1641" s="14" t="s">
        <v>25</v>
      </c>
      <c r="DL1641" s="14">
        <f>INDEX(属性投放!$BM$6:$BM$85,(CV1641-2)*20+CZ1641)</f>
        <v>2340</v>
      </c>
      <c r="DM1641" s="14">
        <f>SUMIFS(DL$5:DL1641,$CT$5:$CT1641,"="&amp;$CT1641)</f>
        <v>22722</v>
      </c>
    </row>
    <row r="1642" spans="97:117" ht="16.5" x14ac:dyDescent="0.2">
      <c r="CS1642" s="13">
        <v>1638</v>
      </c>
      <c r="CT1642" s="13">
        <f t="shared" si="1146"/>
        <v>32</v>
      </c>
      <c r="CU1642" s="13">
        <f t="shared" si="1147"/>
        <v>26</v>
      </c>
      <c r="CV1642" s="14">
        <f t="shared" si="1149"/>
        <v>5</v>
      </c>
      <c r="CW1642" s="14">
        <f t="shared" si="1150"/>
        <v>1102996</v>
      </c>
      <c r="CX1642" s="14" t="str">
        <f>INDEX($O$6:$O$50,CT1642)&amp;"-"&amp;INDEX(属性投放!$AB$7:$AB$50,CZ1642)&amp;"-魂火-"&amp;DB1642</f>
        <v>UR守护灵-大叫唤+2-魂火-2</v>
      </c>
      <c r="CY1642" s="25" t="s">
        <v>142</v>
      </c>
      <c r="CZ1642" s="14">
        <f>INDEX(属性投放!$AM$7:$AM$58,CU1642)</f>
        <v>12</v>
      </c>
      <c r="DA1642" s="14" t="s">
        <v>537</v>
      </c>
      <c r="DB1642" s="14">
        <f>INDEX(属性投放!$AN$7:$AN$58,CU1642)</f>
        <v>2</v>
      </c>
      <c r="DC1642" s="14">
        <f t="shared" si="1148"/>
        <v>26</v>
      </c>
      <c r="DD1642" s="14">
        <f>INDEX(属性投放!$AO$7:$AO$58,DC1642)</f>
        <v>83</v>
      </c>
      <c r="DE1642" s="14" t="s">
        <v>242</v>
      </c>
      <c r="DF1642" s="14">
        <f>INDEX(属性投放!$BK$6:$BK$85,(CV1642-2)*20+CZ1642)</f>
        <v>260</v>
      </c>
      <c r="DG1642" s="14">
        <f>SUMIFS(DF$5:DF1642,$CT$5:$CT1642,"="&amp;$CT1642)</f>
        <v>3039</v>
      </c>
      <c r="DH1642" s="14" t="s">
        <v>116</v>
      </c>
      <c r="DI1642" s="14">
        <f>INDEX(属性投放!$BL$6:$BL$85,(CV1642-2)*20+CZ1642)</f>
        <v>130</v>
      </c>
      <c r="DJ1642" s="14">
        <f>SUMIFS(DI$5:DI1642,$CT$5:$CT1642,"="&amp;$CT1642)</f>
        <v>1522</v>
      </c>
      <c r="DK1642" s="14" t="s">
        <v>25</v>
      </c>
      <c r="DL1642" s="14">
        <f>INDEX(属性投放!$BM$6:$BM$85,(CV1642-2)*20+CZ1642)</f>
        <v>2340</v>
      </c>
      <c r="DM1642" s="14">
        <f>SUMIFS(DL$5:DL1642,$CT$5:$CT1642,"="&amp;$CT1642)</f>
        <v>25062</v>
      </c>
    </row>
    <row r="1643" spans="97:117" ht="16.5" x14ac:dyDescent="0.2">
      <c r="CS1643" s="13">
        <v>1639</v>
      </c>
      <c r="CT1643" s="13">
        <f t="shared" si="1146"/>
        <v>32</v>
      </c>
      <c r="CU1643" s="13">
        <f t="shared" si="1147"/>
        <v>27</v>
      </c>
      <c r="CV1643" s="14">
        <f t="shared" si="1149"/>
        <v>5</v>
      </c>
      <c r="CW1643" s="14">
        <f t="shared" si="1150"/>
        <v>1102996</v>
      </c>
      <c r="CX1643" s="14" t="str">
        <f>INDEX($O$6:$O$50,CT1643)&amp;"-"&amp;INDEX(属性投放!$AB$7:$AB$50,CZ1643)&amp;"-魂火-"&amp;DB1643</f>
        <v>UR守护灵-大叫唤+2-魂火-3</v>
      </c>
      <c r="CY1643" s="25" t="s">
        <v>142</v>
      </c>
      <c r="CZ1643" s="14">
        <f>INDEX(属性投放!$AM$7:$AM$58,CU1643)</f>
        <v>12</v>
      </c>
      <c r="DA1643" s="14" t="s">
        <v>537</v>
      </c>
      <c r="DB1643" s="14">
        <f>INDEX(属性投放!$AN$7:$AN$58,CU1643)</f>
        <v>3</v>
      </c>
      <c r="DC1643" s="14">
        <f t="shared" si="1148"/>
        <v>27</v>
      </c>
      <c r="DD1643" s="14">
        <f>INDEX(属性投放!$AO$7:$AO$58,DC1643)</f>
        <v>85</v>
      </c>
      <c r="DE1643" s="14" t="s">
        <v>242</v>
      </c>
      <c r="DF1643" s="14">
        <f>INDEX(属性投放!$BK$6:$BK$85,(CV1643-2)*20+CZ1643)</f>
        <v>260</v>
      </c>
      <c r="DG1643" s="14">
        <f>SUMIFS(DF$5:DF1643,$CT$5:$CT1643,"="&amp;$CT1643)</f>
        <v>3299</v>
      </c>
      <c r="DH1643" s="14" t="s">
        <v>116</v>
      </c>
      <c r="DI1643" s="14">
        <f>INDEX(属性投放!$BL$6:$BL$85,(CV1643-2)*20+CZ1643)</f>
        <v>130</v>
      </c>
      <c r="DJ1643" s="14">
        <f>SUMIFS(DI$5:DI1643,$CT$5:$CT1643,"="&amp;$CT1643)</f>
        <v>1652</v>
      </c>
      <c r="DK1643" s="14" t="s">
        <v>25</v>
      </c>
      <c r="DL1643" s="14">
        <f>INDEX(属性投放!$BM$6:$BM$85,(CV1643-2)*20+CZ1643)</f>
        <v>2340</v>
      </c>
      <c r="DM1643" s="14">
        <f>SUMIFS(DL$5:DL1643,$CT$5:$CT1643,"="&amp;$CT1643)</f>
        <v>27402</v>
      </c>
    </row>
    <row r="1644" spans="97:117" ht="16.5" x14ac:dyDescent="0.2">
      <c r="CS1644" s="13">
        <v>1640</v>
      </c>
      <c r="CT1644" s="13">
        <f t="shared" si="1146"/>
        <v>32</v>
      </c>
      <c r="CU1644" s="13">
        <f t="shared" si="1147"/>
        <v>28</v>
      </c>
      <c r="CV1644" s="14">
        <f t="shared" si="1149"/>
        <v>5</v>
      </c>
      <c r="CW1644" s="14">
        <f t="shared" si="1150"/>
        <v>1102996</v>
      </c>
      <c r="CX1644" s="14" t="str">
        <f>INDEX($O$6:$O$50,CT1644)&amp;"-"&amp;INDEX(属性投放!$AB$7:$AB$50,CZ1644)&amp;"-魂火-"&amp;DB1644</f>
        <v>UR守护灵-焦热-魂火-1</v>
      </c>
      <c r="CY1644" s="25" t="s">
        <v>142</v>
      </c>
      <c r="CZ1644" s="14">
        <f>INDEX(属性投放!$AM$7:$AM$58,CU1644)</f>
        <v>13</v>
      </c>
      <c r="DA1644" s="14" t="s">
        <v>537</v>
      </c>
      <c r="DB1644" s="14">
        <f>INDEX(属性投放!$AN$7:$AN$58,CU1644)</f>
        <v>1</v>
      </c>
      <c r="DC1644" s="14">
        <f t="shared" si="1148"/>
        <v>28</v>
      </c>
      <c r="DD1644" s="14">
        <f>INDEX(属性投放!$AO$7:$AO$58,DC1644)</f>
        <v>88</v>
      </c>
      <c r="DE1644" s="14" t="s">
        <v>242</v>
      </c>
      <c r="DF1644" s="14">
        <f>INDEX(属性投放!$BK$6:$BK$85,(CV1644-2)*20+CZ1644)</f>
        <v>315</v>
      </c>
      <c r="DG1644" s="14">
        <f>SUMIFS(DF$5:DF1644,$CT$5:$CT1644,"="&amp;$CT1644)</f>
        <v>3614</v>
      </c>
      <c r="DH1644" s="14" t="s">
        <v>116</v>
      </c>
      <c r="DI1644" s="14">
        <f>INDEX(属性投放!$BL$6:$BL$85,(CV1644-2)*20+CZ1644)</f>
        <v>158</v>
      </c>
      <c r="DJ1644" s="14">
        <f>SUMIFS(DI$5:DI1644,$CT$5:$CT1644,"="&amp;$CT1644)</f>
        <v>1810</v>
      </c>
      <c r="DK1644" s="14" t="s">
        <v>25</v>
      </c>
      <c r="DL1644" s="14">
        <f>INDEX(属性投放!$BM$6:$BM$85,(CV1644-2)*20+CZ1644)</f>
        <v>3150</v>
      </c>
      <c r="DM1644" s="14">
        <f>SUMIFS(DL$5:DL1644,$CT$5:$CT1644,"="&amp;$CT1644)</f>
        <v>30552</v>
      </c>
    </row>
    <row r="1645" spans="97:117" ht="16.5" x14ac:dyDescent="0.2">
      <c r="CS1645" s="13">
        <v>1641</v>
      </c>
      <c r="CT1645" s="13">
        <f t="shared" si="1146"/>
        <v>32</v>
      </c>
      <c r="CU1645" s="13">
        <f t="shared" si="1147"/>
        <v>29</v>
      </c>
      <c r="CV1645" s="14">
        <f t="shared" si="1149"/>
        <v>5</v>
      </c>
      <c r="CW1645" s="14">
        <f t="shared" si="1150"/>
        <v>1102996</v>
      </c>
      <c r="CX1645" s="14" t="str">
        <f>INDEX($O$6:$O$50,CT1645)&amp;"-"&amp;INDEX(属性投放!$AB$7:$AB$50,CZ1645)&amp;"-魂火-"&amp;DB1645</f>
        <v>UR守护灵-焦热-魂火-2</v>
      </c>
      <c r="CY1645" s="25" t="s">
        <v>142</v>
      </c>
      <c r="CZ1645" s="14">
        <f>INDEX(属性投放!$AM$7:$AM$58,CU1645)</f>
        <v>13</v>
      </c>
      <c r="DA1645" s="14" t="s">
        <v>537</v>
      </c>
      <c r="DB1645" s="14">
        <f>INDEX(属性投放!$AN$7:$AN$58,CU1645)</f>
        <v>2</v>
      </c>
      <c r="DC1645" s="14">
        <f t="shared" si="1148"/>
        <v>29</v>
      </c>
      <c r="DD1645" s="14">
        <f>INDEX(属性投放!$AO$7:$AO$58,DC1645)</f>
        <v>90</v>
      </c>
      <c r="DE1645" s="14" t="s">
        <v>242</v>
      </c>
      <c r="DF1645" s="14">
        <f>INDEX(属性投放!$BK$6:$BK$85,(CV1645-2)*20+CZ1645)</f>
        <v>315</v>
      </c>
      <c r="DG1645" s="14">
        <f>SUMIFS(DF$5:DF1645,$CT$5:$CT1645,"="&amp;$CT1645)</f>
        <v>3929</v>
      </c>
      <c r="DH1645" s="14" t="s">
        <v>116</v>
      </c>
      <c r="DI1645" s="14">
        <f>INDEX(属性投放!$BL$6:$BL$85,(CV1645-2)*20+CZ1645)</f>
        <v>158</v>
      </c>
      <c r="DJ1645" s="14">
        <f>SUMIFS(DI$5:DI1645,$CT$5:$CT1645,"="&amp;$CT1645)</f>
        <v>1968</v>
      </c>
      <c r="DK1645" s="14" t="s">
        <v>25</v>
      </c>
      <c r="DL1645" s="14">
        <f>INDEX(属性投放!$BM$6:$BM$85,(CV1645-2)*20+CZ1645)</f>
        <v>3150</v>
      </c>
      <c r="DM1645" s="14">
        <f>SUMIFS(DL$5:DL1645,$CT$5:$CT1645,"="&amp;$CT1645)</f>
        <v>33702</v>
      </c>
    </row>
    <row r="1646" spans="97:117" ht="16.5" x14ac:dyDescent="0.2">
      <c r="CS1646" s="13">
        <v>1642</v>
      </c>
      <c r="CT1646" s="13">
        <f t="shared" si="1146"/>
        <v>32</v>
      </c>
      <c r="CU1646" s="13">
        <f t="shared" si="1147"/>
        <v>30</v>
      </c>
      <c r="CV1646" s="14">
        <f t="shared" si="1149"/>
        <v>5</v>
      </c>
      <c r="CW1646" s="14">
        <f t="shared" si="1150"/>
        <v>1102996</v>
      </c>
      <c r="CX1646" s="14" t="str">
        <f>INDEX($O$6:$O$50,CT1646)&amp;"-"&amp;INDEX(属性投放!$AB$7:$AB$50,CZ1646)&amp;"-魂火-"&amp;DB1646</f>
        <v>UR守护灵-焦热-魂火-3</v>
      </c>
      <c r="CY1646" s="25" t="s">
        <v>142</v>
      </c>
      <c r="CZ1646" s="14">
        <f>INDEX(属性投放!$AM$7:$AM$58,CU1646)</f>
        <v>13</v>
      </c>
      <c r="DA1646" s="14" t="s">
        <v>537</v>
      </c>
      <c r="DB1646" s="14">
        <f>INDEX(属性投放!$AN$7:$AN$58,CU1646)</f>
        <v>3</v>
      </c>
      <c r="DC1646" s="14">
        <f t="shared" si="1148"/>
        <v>30</v>
      </c>
      <c r="DD1646" s="14">
        <f>INDEX(属性投放!$AO$7:$AO$58,DC1646)</f>
        <v>93</v>
      </c>
      <c r="DE1646" s="14" t="s">
        <v>242</v>
      </c>
      <c r="DF1646" s="14">
        <f>INDEX(属性投放!$BK$6:$BK$85,(CV1646-2)*20+CZ1646)</f>
        <v>315</v>
      </c>
      <c r="DG1646" s="14">
        <f>SUMIFS(DF$5:DF1646,$CT$5:$CT1646,"="&amp;$CT1646)</f>
        <v>4244</v>
      </c>
      <c r="DH1646" s="14" t="s">
        <v>116</v>
      </c>
      <c r="DI1646" s="14">
        <f>INDEX(属性投放!$BL$6:$BL$85,(CV1646-2)*20+CZ1646)</f>
        <v>158</v>
      </c>
      <c r="DJ1646" s="14">
        <f>SUMIFS(DI$5:DI1646,$CT$5:$CT1646,"="&amp;$CT1646)</f>
        <v>2126</v>
      </c>
      <c r="DK1646" s="14" t="s">
        <v>25</v>
      </c>
      <c r="DL1646" s="14">
        <f>INDEX(属性投放!$BM$6:$BM$85,(CV1646-2)*20+CZ1646)</f>
        <v>3150</v>
      </c>
      <c r="DM1646" s="14">
        <f>SUMIFS(DL$5:DL1646,$CT$5:$CT1646,"="&amp;$CT1646)</f>
        <v>36852</v>
      </c>
    </row>
    <row r="1647" spans="97:117" ht="16.5" x14ac:dyDescent="0.2">
      <c r="CS1647" s="13">
        <v>1643</v>
      </c>
      <c r="CT1647" s="13">
        <f t="shared" si="1146"/>
        <v>32</v>
      </c>
      <c r="CU1647" s="13">
        <f t="shared" si="1147"/>
        <v>31</v>
      </c>
      <c r="CV1647" s="14">
        <f t="shared" si="1149"/>
        <v>5</v>
      </c>
      <c r="CW1647" s="14">
        <f t="shared" si="1150"/>
        <v>1102996</v>
      </c>
      <c r="CX1647" s="14" t="str">
        <f>INDEX($O$6:$O$50,CT1647)&amp;"-"&amp;INDEX(属性投放!$AB$7:$AB$50,CZ1647)&amp;"-魂火-"&amp;DB1647</f>
        <v>UR守护灵-焦热+1-魂火-1</v>
      </c>
      <c r="CY1647" s="25" t="s">
        <v>142</v>
      </c>
      <c r="CZ1647" s="14">
        <f>INDEX(属性投放!$AM$7:$AM$58,CU1647)</f>
        <v>14</v>
      </c>
      <c r="DA1647" s="14" t="s">
        <v>537</v>
      </c>
      <c r="DB1647" s="14">
        <f>INDEX(属性投放!$AN$7:$AN$58,CU1647)</f>
        <v>1</v>
      </c>
      <c r="DC1647" s="14">
        <f t="shared" si="1148"/>
        <v>31</v>
      </c>
      <c r="DD1647" s="14">
        <f>INDEX(属性投放!$AO$7:$AO$58,DC1647)</f>
        <v>95</v>
      </c>
      <c r="DE1647" s="14" t="s">
        <v>242</v>
      </c>
      <c r="DF1647" s="14">
        <f>INDEX(属性投放!$BK$6:$BK$85,(CV1647-2)*20+CZ1647)</f>
        <v>365</v>
      </c>
      <c r="DG1647" s="14">
        <f>SUMIFS(DF$5:DF1647,$CT$5:$CT1647,"="&amp;$CT1647)</f>
        <v>4609</v>
      </c>
      <c r="DH1647" s="14" t="s">
        <v>116</v>
      </c>
      <c r="DI1647" s="14">
        <f>INDEX(属性投放!$BL$6:$BL$85,(CV1647-2)*20+CZ1647)</f>
        <v>183</v>
      </c>
      <c r="DJ1647" s="14">
        <f>SUMIFS(DI$5:DI1647,$CT$5:$CT1647,"="&amp;$CT1647)</f>
        <v>2309</v>
      </c>
      <c r="DK1647" s="14" t="s">
        <v>25</v>
      </c>
      <c r="DL1647" s="14">
        <f>INDEX(属性投放!$BM$6:$BM$85,(CV1647-2)*20+CZ1647)</f>
        <v>3650</v>
      </c>
      <c r="DM1647" s="14">
        <f>SUMIFS(DL$5:DL1647,$CT$5:$CT1647,"="&amp;$CT1647)</f>
        <v>40502</v>
      </c>
    </row>
    <row r="1648" spans="97:117" ht="16.5" x14ac:dyDescent="0.2">
      <c r="CS1648" s="13">
        <v>1644</v>
      </c>
      <c r="CT1648" s="13">
        <f t="shared" si="1146"/>
        <v>32</v>
      </c>
      <c r="CU1648" s="13">
        <f t="shared" si="1147"/>
        <v>32</v>
      </c>
      <c r="CV1648" s="14">
        <f t="shared" si="1149"/>
        <v>5</v>
      </c>
      <c r="CW1648" s="14">
        <f t="shared" si="1150"/>
        <v>1102996</v>
      </c>
      <c r="CX1648" s="14" t="str">
        <f>INDEX($O$6:$O$50,CT1648)&amp;"-"&amp;INDEX(属性投放!$AB$7:$AB$50,CZ1648)&amp;"-魂火-"&amp;DB1648</f>
        <v>UR守护灵-焦热+1-魂火-2</v>
      </c>
      <c r="CY1648" s="25" t="s">
        <v>142</v>
      </c>
      <c r="CZ1648" s="14">
        <f>INDEX(属性投放!$AM$7:$AM$58,CU1648)</f>
        <v>14</v>
      </c>
      <c r="DA1648" s="14" t="s">
        <v>537</v>
      </c>
      <c r="DB1648" s="14">
        <f>INDEX(属性投放!$AN$7:$AN$58,CU1648)</f>
        <v>2</v>
      </c>
      <c r="DC1648" s="14">
        <f t="shared" si="1148"/>
        <v>32</v>
      </c>
      <c r="DD1648" s="14">
        <f>INDEX(属性投放!$AO$7:$AO$58,DC1648)</f>
        <v>98</v>
      </c>
      <c r="DE1648" s="14" t="s">
        <v>242</v>
      </c>
      <c r="DF1648" s="14">
        <f>INDEX(属性投放!$BK$6:$BK$85,(CV1648-2)*20+CZ1648)</f>
        <v>365</v>
      </c>
      <c r="DG1648" s="14">
        <f>SUMIFS(DF$5:DF1648,$CT$5:$CT1648,"="&amp;$CT1648)</f>
        <v>4974</v>
      </c>
      <c r="DH1648" s="14" t="s">
        <v>116</v>
      </c>
      <c r="DI1648" s="14">
        <f>INDEX(属性投放!$BL$6:$BL$85,(CV1648-2)*20+CZ1648)</f>
        <v>183</v>
      </c>
      <c r="DJ1648" s="14">
        <f>SUMIFS(DI$5:DI1648,$CT$5:$CT1648,"="&amp;$CT1648)</f>
        <v>2492</v>
      </c>
      <c r="DK1648" s="14" t="s">
        <v>25</v>
      </c>
      <c r="DL1648" s="14">
        <f>INDEX(属性投放!$BM$6:$BM$85,(CV1648-2)*20+CZ1648)</f>
        <v>3650</v>
      </c>
      <c r="DM1648" s="14">
        <f>SUMIFS(DL$5:DL1648,$CT$5:$CT1648,"="&amp;$CT1648)</f>
        <v>44152</v>
      </c>
    </row>
    <row r="1649" spans="97:117" ht="16.5" x14ac:dyDescent="0.2">
      <c r="CS1649" s="13">
        <v>1645</v>
      </c>
      <c r="CT1649" s="13">
        <f t="shared" si="1146"/>
        <v>32</v>
      </c>
      <c r="CU1649" s="13">
        <f t="shared" si="1147"/>
        <v>33</v>
      </c>
      <c r="CV1649" s="14">
        <f t="shared" si="1149"/>
        <v>5</v>
      </c>
      <c r="CW1649" s="14">
        <f t="shared" si="1150"/>
        <v>1102996</v>
      </c>
      <c r="CX1649" s="14" t="str">
        <f>INDEX($O$6:$O$50,CT1649)&amp;"-"&amp;INDEX(属性投放!$AB$7:$AB$50,CZ1649)&amp;"-魂火-"&amp;DB1649</f>
        <v>UR守护灵-焦热+1-魂火-3</v>
      </c>
      <c r="CY1649" s="25" t="s">
        <v>142</v>
      </c>
      <c r="CZ1649" s="14">
        <f>INDEX(属性投放!$AM$7:$AM$58,CU1649)</f>
        <v>14</v>
      </c>
      <c r="DA1649" s="14" t="s">
        <v>537</v>
      </c>
      <c r="DB1649" s="14">
        <f>INDEX(属性投放!$AN$7:$AN$58,CU1649)</f>
        <v>3</v>
      </c>
      <c r="DC1649" s="14">
        <f t="shared" si="1148"/>
        <v>33</v>
      </c>
      <c r="DD1649" s="14">
        <f>INDEX(属性投放!$AO$7:$AO$58,DC1649)</f>
        <v>100</v>
      </c>
      <c r="DE1649" s="14" t="s">
        <v>242</v>
      </c>
      <c r="DF1649" s="14">
        <f>INDEX(属性投放!$BK$6:$BK$85,(CV1649-2)*20+CZ1649)</f>
        <v>365</v>
      </c>
      <c r="DG1649" s="14">
        <f>SUMIFS(DF$5:DF1649,$CT$5:$CT1649,"="&amp;$CT1649)</f>
        <v>5339</v>
      </c>
      <c r="DH1649" s="14" t="s">
        <v>116</v>
      </c>
      <c r="DI1649" s="14">
        <f>INDEX(属性投放!$BL$6:$BL$85,(CV1649-2)*20+CZ1649)</f>
        <v>183</v>
      </c>
      <c r="DJ1649" s="14">
        <f>SUMIFS(DI$5:DI1649,$CT$5:$CT1649,"="&amp;$CT1649)</f>
        <v>2675</v>
      </c>
      <c r="DK1649" s="14" t="s">
        <v>25</v>
      </c>
      <c r="DL1649" s="14">
        <f>INDEX(属性投放!$BM$6:$BM$85,(CV1649-2)*20+CZ1649)</f>
        <v>3650</v>
      </c>
      <c r="DM1649" s="14">
        <f>SUMIFS(DL$5:DL1649,$CT$5:$CT1649,"="&amp;$CT1649)</f>
        <v>47802</v>
      </c>
    </row>
    <row r="1650" spans="97:117" ht="16.5" x14ac:dyDescent="0.2">
      <c r="CS1650" s="13">
        <v>1646</v>
      </c>
      <c r="CT1650" s="13">
        <f t="shared" si="1146"/>
        <v>32</v>
      </c>
      <c r="CU1650" s="13">
        <f t="shared" si="1147"/>
        <v>34</v>
      </c>
      <c r="CV1650" s="14">
        <f t="shared" si="1149"/>
        <v>5</v>
      </c>
      <c r="CW1650" s="14">
        <f t="shared" si="1150"/>
        <v>1102996</v>
      </c>
      <c r="CX1650" s="14" t="str">
        <f>INDEX($O$6:$O$50,CT1650)&amp;"-"&amp;INDEX(属性投放!$AB$7:$AB$50,CZ1650)&amp;"-魂火-"&amp;DB1650</f>
        <v>UR守护灵-焦热+2-魂火-1</v>
      </c>
      <c r="CY1650" s="25" t="s">
        <v>142</v>
      </c>
      <c r="CZ1650" s="14">
        <f>INDEX(属性投放!$AM$7:$AM$58,CU1650)</f>
        <v>15</v>
      </c>
      <c r="DA1650" s="14" t="s">
        <v>537</v>
      </c>
      <c r="DB1650" s="14">
        <f>INDEX(属性投放!$AN$7:$AN$58,CU1650)</f>
        <v>1</v>
      </c>
      <c r="DC1650" s="14">
        <f t="shared" si="1148"/>
        <v>34</v>
      </c>
      <c r="DD1650" s="14">
        <f>INDEX(属性投放!$AO$7:$AO$58,DC1650)</f>
        <v>103</v>
      </c>
      <c r="DE1650" s="14" t="s">
        <v>242</v>
      </c>
      <c r="DF1650" s="14">
        <f>INDEX(属性投放!$BK$6:$BK$85,(CV1650-2)*20+CZ1650)</f>
        <v>500</v>
      </c>
      <c r="DG1650" s="14">
        <f>SUMIFS(DF$5:DF1650,$CT$5:$CT1650,"="&amp;$CT1650)</f>
        <v>5839</v>
      </c>
      <c r="DH1650" s="14" t="s">
        <v>116</v>
      </c>
      <c r="DI1650" s="14">
        <f>INDEX(属性投放!$BL$6:$BL$85,(CV1650-2)*20+CZ1650)</f>
        <v>250</v>
      </c>
      <c r="DJ1650" s="14">
        <f>SUMIFS(DI$5:DI1650,$CT$5:$CT1650,"="&amp;$CT1650)</f>
        <v>2925</v>
      </c>
      <c r="DK1650" s="14" t="s">
        <v>25</v>
      </c>
      <c r="DL1650" s="14">
        <f>INDEX(属性投放!$BM$6:$BM$85,(CV1650-2)*20+CZ1650)</f>
        <v>5000</v>
      </c>
      <c r="DM1650" s="14">
        <f>SUMIFS(DL$5:DL1650,$CT$5:$CT1650,"="&amp;$CT1650)</f>
        <v>52802</v>
      </c>
    </row>
    <row r="1651" spans="97:117" ht="16.5" x14ac:dyDescent="0.2">
      <c r="CS1651" s="13">
        <v>1647</v>
      </c>
      <c r="CT1651" s="13">
        <f t="shared" si="1146"/>
        <v>32</v>
      </c>
      <c r="CU1651" s="13">
        <f t="shared" si="1147"/>
        <v>35</v>
      </c>
      <c r="CV1651" s="14">
        <f t="shared" si="1149"/>
        <v>5</v>
      </c>
      <c r="CW1651" s="14">
        <f t="shared" si="1150"/>
        <v>1102996</v>
      </c>
      <c r="CX1651" s="14" t="str">
        <f>INDEX($O$6:$O$50,CT1651)&amp;"-"&amp;INDEX(属性投放!$AB$7:$AB$50,CZ1651)&amp;"-魂火-"&amp;DB1651</f>
        <v>UR守护灵-焦热+2-魂火-2</v>
      </c>
      <c r="CY1651" s="25" t="s">
        <v>142</v>
      </c>
      <c r="CZ1651" s="14">
        <f>INDEX(属性投放!$AM$7:$AM$58,CU1651)</f>
        <v>15</v>
      </c>
      <c r="DA1651" s="14" t="s">
        <v>537</v>
      </c>
      <c r="DB1651" s="14">
        <f>INDEX(属性投放!$AN$7:$AN$58,CU1651)</f>
        <v>2</v>
      </c>
      <c r="DC1651" s="14">
        <f t="shared" si="1148"/>
        <v>35</v>
      </c>
      <c r="DD1651" s="14">
        <f>INDEX(属性投放!$AO$7:$AO$58,DC1651)</f>
        <v>105</v>
      </c>
      <c r="DE1651" s="14" t="s">
        <v>242</v>
      </c>
      <c r="DF1651" s="14">
        <f>INDEX(属性投放!$BK$6:$BK$85,(CV1651-2)*20+CZ1651)</f>
        <v>500</v>
      </c>
      <c r="DG1651" s="14">
        <f>SUMIFS(DF$5:DF1651,$CT$5:$CT1651,"="&amp;$CT1651)</f>
        <v>6339</v>
      </c>
      <c r="DH1651" s="14" t="s">
        <v>116</v>
      </c>
      <c r="DI1651" s="14">
        <f>INDEX(属性投放!$BL$6:$BL$85,(CV1651-2)*20+CZ1651)</f>
        <v>250</v>
      </c>
      <c r="DJ1651" s="14">
        <f>SUMIFS(DI$5:DI1651,$CT$5:$CT1651,"="&amp;$CT1651)</f>
        <v>3175</v>
      </c>
      <c r="DK1651" s="14" t="s">
        <v>25</v>
      </c>
      <c r="DL1651" s="14">
        <f>INDEX(属性投放!$BM$6:$BM$85,(CV1651-2)*20+CZ1651)</f>
        <v>5000</v>
      </c>
      <c r="DM1651" s="14">
        <f>SUMIFS(DL$5:DL1651,$CT$5:$CT1651,"="&amp;$CT1651)</f>
        <v>57802</v>
      </c>
    </row>
    <row r="1652" spans="97:117" ht="16.5" x14ac:dyDescent="0.2">
      <c r="CS1652" s="13">
        <v>1648</v>
      </c>
      <c r="CT1652" s="13">
        <f t="shared" si="1146"/>
        <v>32</v>
      </c>
      <c r="CU1652" s="13">
        <f t="shared" si="1147"/>
        <v>36</v>
      </c>
      <c r="CV1652" s="14">
        <f t="shared" si="1149"/>
        <v>5</v>
      </c>
      <c r="CW1652" s="14">
        <f t="shared" si="1150"/>
        <v>1102996</v>
      </c>
      <c r="CX1652" s="14" t="str">
        <f>INDEX($O$6:$O$50,CT1652)&amp;"-"&amp;INDEX(属性投放!$AB$7:$AB$50,CZ1652)&amp;"-魂火-"&amp;DB1652</f>
        <v>UR守护灵-焦热+2-魂火-3</v>
      </c>
      <c r="CY1652" s="25" t="s">
        <v>142</v>
      </c>
      <c r="CZ1652" s="14">
        <f>INDEX(属性投放!$AM$7:$AM$58,CU1652)</f>
        <v>15</v>
      </c>
      <c r="DA1652" s="14" t="s">
        <v>537</v>
      </c>
      <c r="DB1652" s="14">
        <f>INDEX(属性投放!$AN$7:$AN$58,CU1652)</f>
        <v>3</v>
      </c>
      <c r="DC1652" s="14">
        <f t="shared" si="1148"/>
        <v>36</v>
      </c>
      <c r="DD1652" s="14">
        <f>INDEX(属性投放!$AO$7:$AO$58,DC1652)</f>
        <v>108</v>
      </c>
      <c r="DE1652" s="14" t="s">
        <v>242</v>
      </c>
      <c r="DF1652" s="14">
        <f>INDEX(属性投放!$BK$6:$BK$85,(CV1652-2)*20+CZ1652)</f>
        <v>500</v>
      </c>
      <c r="DG1652" s="14">
        <f>SUMIFS(DF$5:DF1652,$CT$5:$CT1652,"="&amp;$CT1652)</f>
        <v>6839</v>
      </c>
      <c r="DH1652" s="14" t="s">
        <v>116</v>
      </c>
      <c r="DI1652" s="14">
        <f>INDEX(属性投放!$BL$6:$BL$85,(CV1652-2)*20+CZ1652)</f>
        <v>250</v>
      </c>
      <c r="DJ1652" s="14">
        <f>SUMIFS(DI$5:DI1652,$CT$5:$CT1652,"="&amp;$CT1652)</f>
        <v>3425</v>
      </c>
      <c r="DK1652" s="14" t="s">
        <v>25</v>
      </c>
      <c r="DL1652" s="14">
        <f>INDEX(属性投放!$BM$6:$BM$85,(CV1652-2)*20+CZ1652)</f>
        <v>5000</v>
      </c>
      <c r="DM1652" s="14">
        <f>SUMIFS(DL$5:DL1652,$CT$5:$CT1652,"="&amp;$CT1652)</f>
        <v>62802</v>
      </c>
    </row>
    <row r="1653" spans="97:117" ht="16.5" x14ac:dyDescent="0.2">
      <c r="CS1653" s="13">
        <v>1649</v>
      </c>
      <c r="CT1653" s="13">
        <f t="shared" ref="CT1653:CT1668" si="1151">MATCH(CS1653-1,$U$5:$U$36,1)</f>
        <v>32</v>
      </c>
      <c r="CU1653" s="13">
        <f t="shared" ref="CU1653:CU1668" si="1152">CS1653-(CT1653-1)*52</f>
        <v>37</v>
      </c>
      <c r="CV1653" s="14">
        <f t="shared" si="1149"/>
        <v>5</v>
      </c>
      <c r="CW1653" s="14">
        <f t="shared" si="1150"/>
        <v>1102996</v>
      </c>
      <c r="CX1653" s="14" t="str">
        <f>INDEX($O$6:$O$50,CT1653)&amp;"-"&amp;INDEX(属性投放!$AB$7:$AB$50,CZ1653)&amp;"-魂火-"&amp;DB1653</f>
        <v>UR守护灵-大焦热-魂火-1</v>
      </c>
      <c r="CY1653" s="25" t="s">
        <v>142</v>
      </c>
      <c r="CZ1653" s="14">
        <f>INDEX(属性投放!$AM$7:$AM$58,CU1653)</f>
        <v>16</v>
      </c>
      <c r="DA1653" s="14" t="s">
        <v>537</v>
      </c>
      <c r="DB1653" s="14">
        <f>INDEX(属性投放!$AN$7:$AN$58,CU1653)</f>
        <v>1</v>
      </c>
      <c r="DC1653" s="14">
        <f t="shared" ref="DC1653:DC1668" si="1153">CU1653</f>
        <v>37</v>
      </c>
      <c r="DD1653" s="14">
        <f>INDEX(属性投放!$AO$7:$AO$58,DC1653)</f>
        <v>110</v>
      </c>
      <c r="DE1653" s="14" t="s">
        <v>242</v>
      </c>
      <c r="DF1653" s="14">
        <f>INDEX(属性投放!$BK$6:$BK$85,(CV1653-2)*20+CZ1653)</f>
        <v>580</v>
      </c>
      <c r="DG1653" s="14">
        <f>SUMIFS(DF$5:DF1653,$CT$5:$CT1653,"="&amp;$CT1653)</f>
        <v>7419</v>
      </c>
      <c r="DH1653" s="14" t="s">
        <v>116</v>
      </c>
      <c r="DI1653" s="14">
        <f>INDEX(属性投放!$BL$6:$BL$85,(CV1653-2)*20+CZ1653)</f>
        <v>290</v>
      </c>
      <c r="DJ1653" s="14">
        <f>SUMIFS(DI$5:DI1653,$CT$5:$CT1653,"="&amp;$CT1653)</f>
        <v>3715</v>
      </c>
      <c r="DK1653" s="14" t="s">
        <v>25</v>
      </c>
      <c r="DL1653" s="14">
        <f>INDEX(属性投放!$BM$6:$BM$85,(CV1653-2)*20+CZ1653)</f>
        <v>5800</v>
      </c>
      <c r="DM1653" s="14">
        <f>SUMIFS(DL$5:DL1653,$CT$5:$CT1653,"="&amp;$CT1653)</f>
        <v>68602</v>
      </c>
    </row>
    <row r="1654" spans="97:117" ht="16.5" x14ac:dyDescent="0.2">
      <c r="CS1654" s="13">
        <v>1650</v>
      </c>
      <c r="CT1654" s="13">
        <f t="shared" si="1151"/>
        <v>32</v>
      </c>
      <c r="CU1654" s="13">
        <f t="shared" si="1152"/>
        <v>38</v>
      </c>
      <c r="CV1654" s="14">
        <f t="shared" si="1149"/>
        <v>5</v>
      </c>
      <c r="CW1654" s="14">
        <f t="shared" si="1150"/>
        <v>1102996</v>
      </c>
      <c r="CX1654" s="14" t="str">
        <f>INDEX($O$6:$O$50,CT1654)&amp;"-"&amp;INDEX(属性投放!$AB$7:$AB$50,CZ1654)&amp;"-魂火-"&amp;DB1654</f>
        <v>UR守护灵-大焦热-魂火-2</v>
      </c>
      <c r="CY1654" s="25" t="s">
        <v>142</v>
      </c>
      <c r="CZ1654" s="14">
        <f>INDEX(属性投放!$AM$7:$AM$58,CU1654)</f>
        <v>16</v>
      </c>
      <c r="DA1654" s="14" t="s">
        <v>537</v>
      </c>
      <c r="DB1654" s="14">
        <f>INDEX(属性投放!$AN$7:$AN$58,CU1654)</f>
        <v>2</v>
      </c>
      <c r="DC1654" s="14">
        <f t="shared" si="1153"/>
        <v>38</v>
      </c>
      <c r="DD1654" s="14">
        <f>INDEX(属性投放!$AO$7:$AO$58,DC1654)</f>
        <v>113</v>
      </c>
      <c r="DE1654" s="14" t="s">
        <v>242</v>
      </c>
      <c r="DF1654" s="14">
        <f>INDEX(属性投放!$BK$6:$BK$85,(CV1654-2)*20+CZ1654)</f>
        <v>580</v>
      </c>
      <c r="DG1654" s="14">
        <f>SUMIFS(DF$5:DF1654,$CT$5:$CT1654,"="&amp;$CT1654)</f>
        <v>7999</v>
      </c>
      <c r="DH1654" s="14" t="s">
        <v>116</v>
      </c>
      <c r="DI1654" s="14">
        <f>INDEX(属性投放!$BL$6:$BL$85,(CV1654-2)*20+CZ1654)</f>
        <v>290</v>
      </c>
      <c r="DJ1654" s="14">
        <f>SUMIFS(DI$5:DI1654,$CT$5:$CT1654,"="&amp;$CT1654)</f>
        <v>4005</v>
      </c>
      <c r="DK1654" s="14" t="s">
        <v>25</v>
      </c>
      <c r="DL1654" s="14">
        <f>INDEX(属性投放!$BM$6:$BM$85,(CV1654-2)*20+CZ1654)</f>
        <v>5800</v>
      </c>
      <c r="DM1654" s="14">
        <f>SUMIFS(DL$5:DL1654,$CT$5:$CT1654,"="&amp;$CT1654)</f>
        <v>74402</v>
      </c>
    </row>
    <row r="1655" spans="97:117" ht="16.5" x14ac:dyDescent="0.2">
      <c r="CS1655" s="13">
        <v>1651</v>
      </c>
      <c r="CT1655" s="13">
        <f t="shared" si="1151"/>
        <v>32</v>
      </c>
      <c r="CU1655" s="13">
        <f t="shared" si="1152"/>
        <v>39</v>
      </c>
      <c r="CV1655" s="14">
        <f t="shared" si="1149"/>
        <v>5</v>
      </c>
      <c r="CW1655" s="14">
        <f t="shared" si="1150"/>
        <v>1102996</v>
      </c>
      <c r="CX1655" s="14" t="str">
        <f>INDEX($O$6:$O$50,CT1655)&amp;"-"&amp;INDEX(属性投放!$AB$7:$AB$50,CZ1655)&amp;"-魂火-"&amp;DB1655</f>
        <v>UR守护灵-大焦热-魂火-3</v>
      </c>
      <c r="CY1655" s="25" t="s">
        <v>142</v>
      </c>
      <c r="CZ1655" s="14">
        <f>INDEX(属性投放!$AM$7:$AM$58,CU1655)</f>
        <v>16</v>
      </c>
      <c r="DA1655" s="14" t="s">
        <v>537</v>
      </c>
      <c r="DB1655" s="14">
        <f>INDEX(属性投放!$AN$7:$AN$58,CU1655)</f>
        <v>3</v>
      </c>
      <c r="DC1655" s="14">
        <f t="shared" si="1153"/>
        <v>39</v>
      </c>
      <c r="DD1655" s="14">
        <f>INDEX(属性投放!$AO$7:$AO$58,DC1655)</f>
        <v>115</v>
      </c>
      <c r="DE1655" s="14" t="s">
        <v>242</v>
      </c>
      <c r="DF1655" s="14">
        <f>INDEX(属性投放!$BK$6:$BK$85,(CV1655-2)*20+CZ1655)</f>
        <v>580</v>
      </c>
      <c r="DG1655" s="14">
        <f>SUMIFS(DF$5:DF1655,$CT$5:$CT1655,"="&amp;$CT1655)</f>
        <v>8579</v>
      </c>
      <c r="DH1655" s="14" t="s">
        <v>116</v>
      </c>
      <c r="DI1655" s="14">
        <f>INDEX(属性投放!$BL$6:$BL$85,(CV1655-2)*20+CZ1655)</f>
        <v>290</v>
      </c>
      <c r="DJ1655" s="14">
        <f>SUMIFS(DI$5:DI1655,$CT$5:$CT1655,"="&amp;$CT1655)</f>
        <v>4295</v>
      </c>
      <c r="DK1655" s="14" t="s">
        <v>25</v>
      </c>
      <c r="DL1655" s="14">
        <f>INDEX(属性投放!$BM$6:$BM$85,(CV1655-2)*20+CZ1655)</f>
        <v>5800</v>
      </c>
      <c r="DM1655" s="14">
        <f>SUMIFS(DL$5:DL1655,$CT$5:$CT1655,"="&amp;$CT1655)</f>
        <v>80202</v>
      </c>
    </row>
    <row r="1656" spans="97:117" ht="16.5" x14ac:dyDescent="0.2">
      <c r="CS1656" s="13">
        <v>1652</v>
      </c>
      <c r="CT1656" s="13">
        <f t="shared" si="1151"/>
        <v>32</v>
      </c>
      <c r="CU1656" s="13">
        <f t="shared" si="1152"/>
        <v>40</v>
      </c>
      <c r="CV1656" s="14">
        <f t="shared" si="1149"/>
        <v>5</v>
      </c>
      <c r="CW1656" s="14">
        <f t="shared" si="1150"/>
        <v>1102996</v>
      </c>
      <c r="CX1656" s="14" t="str">
        <f>INDEX($O$6:$O$50,CT1656)&amp;"-"&amp;INDEX(属性投放!$AB$7:$AB$50,CZ1656)&amp;"-魂火-"&amp;DB1656</f>
        <v>UR守护灵-大焦热+1-魂火-1</v>
      </c>
      <c r="CY1656" s="25" t="s">
        <v>142</v>
      </c>
      <c r="CZ1656" s="14">
        <f>INDEX(属性投放!$AM$7:$AM$58,CU1656)</f>
        <v>17</v>
      </c>
      <c r="DA1656" s="14" t="s">
        <v>537</v>
      </c>
      <c r="DB1656" s="14">
        <f>INDEX(属性投放!$AN$7:$AN$58,CU1656)</f>
        <v>1</v>
      </c>
      <c r="DC1656" s="14">
        <f t="shared" si="1153"/>
        <v>40</v>
      </c>
      <c r="DD1656" s="14">
        <f>INDEX(属性投放!$AO$7:$AO$58,DC1656)</f>
        <v>118</v>
      </c>
      <c r="DE1656" s="14" t="s">
        <v>242</v>
      </c>
      <c r="DF1656" s="14">
        <f>INDEX(属性投放!$BK$6:$BK$85,(CV1656-2)*20+CZ1656)</f>
        <v>720</v>
      </c>
      <c r="DG1656" s="14">
        <f>SUMIFS(DF$5:DF1656,$CT$5:$CT1656,"="&amp;$CT1656)</f>
        <v>9299</v>
      </c>
      <c r="DH1656" s="14" t="s">
        <v>116</v>
      </c>
      <c r="DI1656" s="14">
        <f>INDEX(属性投放!$BL$6:$BL$85,(CV1656-2)*20+CZ1656)</f>
        <v>360</v>
      </c>
      <c r="DJ1656" s="14">
        <f>SUMIFS(DI$5:DI1656,$CT$5:$CT1656,"="&amp;$CT1656)</f>
        <v>4655</v>
      </c>
      <c r="DK1656" s="14" t="s">
        <v>25</v>
      </c>
      <c r="DL1656" s="14">
        <f>INDEX(属性投放!$BM$6:$BM$85,(CV1656-2)*20+CZ1656)</f>
        <v>7200</v>
      </c>
      <c r="DM1656" s="14">
        <f>SUMIFS(DL$5:DL1656,$CT$5:$CT1656,"="&amp;$CT1656)</f>
        <v>87402</v>
      </c>
    </row>
    <row r="1657" spans="97:117" ht="16.5" x14ac:dyDescent="0.2">
      <c r="CS1657" s="13">
        <v>1653</v>
      </c>
      <c r="CT1657" s="13">
        <f t="shared" si="1151"/>
        <v>32</v>
      </c>
      <c r="CU1657" s="13">
        <f t="shared" si="1152"/>
        <v>41</v>
      </c>
      <c r="CV1657" s="14">
        <f t="shared" si="1149"/>
        <v>5</v>
      </c>
      <c r="CW1657" s="14">
        <f t="shared" si="1150"/>
        <v>1102996</v>
      </c>
      <c r="CX1657" s="14" t="str">
        <f>INDEX($O$6:$O$50,CT1657)&amp;"-"&amp;INDEX(属性投放!$AB$7:$AB$50,CZ1657)&amp;"-魂火-"&amp;DB1657</f>
        <v>UR守护灵-大焦热+1-魂火-2</v>
      </c>
      <c r="CY1657" s="25" t="s">
        <v>142</v>
      </c>
      <c r="CZ1657" s="14">
        <f>INDEX(属性投放!$AM$7:$AM$58,CU1657)</f>
        <v>17</v>
      </c>
      <c r="DA1657" s="14" t="s">
        <v>537</v>
      </c>
      <c r="DB1657" s="14">
        <f>INDEX(属性投放!$AN$7:$AN$58,CU1657)</f>
        <v>2</v>
      </c>
      <c r="DC1657" s="14">
        <f t="shared" si="1153"/>
        <v>41</v>
      </c>
      <c r="DD1657" s="14">
        <f>INDEX(属性投放!$AO$7:$AO$58,DC1657)</f>
        <v>120</v>
      </c>
      <c r="DE1657" s="14" t="s">
        <v>242</v>
      </c>
      <c r="DF1657" s="14">
        <f>INDEX(属性投放!$BK$6:$BK$85,(CV1657-2)*20+CZ1657)</f>
        <v>720</v>
      </c>
      <c r="DG1657" s="14">
        <f>SUMIFS(DF$5:DF1657,$CT$5:$CT1657,"="&amp;$CT1657)</f>
        <v>10019</v>
      </c>
      <c r="DH1657" s="14" t="s">
        <v>116</v>
      </c>
      <c r="DI1657" s="14">
        <f>INDEX(属性投放!$BL$6:$BL$85,(CV1657-2)*20+CZ1657)</f>
        <v>360</v>
      </c>
      <c r="DJ1657" s="14">
        <f>SUMIFS(DI$5:DI1657,$CT$5:$CT1657,"="&amp;$CT1657)</f>
        <v>5015</v>
      </c>
      <c r="DK1657" s="14" t="s">
        <v>25</v>
      </c>
      <c r="DL1657" s="14">
        <f>INDEX(属性投放!$BM$6:$BM$85,(CV1657-2)*20+CZ1657)</f>
        <v>7200</v>
      </c>
      <c r="DM1657" s="14">
        <f>SUMIFS(DL$5:DL1657,$CT$5:$CT1657,"="&amp;$CT1657)</f>
        <v>94602</v>
      </c>
    </row>
    <row r="1658" spans="97:117" ht="16.5" x14ac:dyDescent="0.2">
      <c r="CS1658" s="13">
        <v>1654</v>
      </c>
      <c r="CT1658" s="13">
        <f t="shared" si="1151"/>
        <v>32</v>
      </c>
      <c r="CU1658" s="13">
        <f t="shared" si="1152"/>
        <v>42</v>
      </c>
      <c r="CV1658" s="14">
        <f t="shared" si="1149"/>
        <v>5</v>
      </c>
      <c r="CW1658" s="14">
        <f t="shared" si="1150"/>
        <v>1102996</v>
      </c>
      <c r="CX1658" s="14" t="str">
        <f>INDEX($O$6:$O$50,CT1658)&amp;"-"&amp;INDEX(属性投放!$AB$7:$AB$50,CZ1658)&amp;"-魂火-"&amp;DB1658</f>
        <v>UR守护灵-大焦热+1-魂火-3</v>
      </c>
      <c r="CY1658" s="25" t="s">
        <v>142</v>
      </c>
      <c r="CZ1658" s="14">
        <f>INDEX(属性投放!$AM$7:$AM$58,CU1658)</f>
        <v>17</v>
      </c>
      <c r="DA1658" s="14" t="s">
        <v>537</v>
      </c>
      <c r="DB1658" s="14">
        <f>INDEX(属性投放!$AN$7:$AN$58,CU1658)</f>
        <v>3</v>
      </c>
      <c r="DC1658" s="14">
        <f t="shared" si="1153"/>
        <v>42</v>
      </c>
      <c r="DD1658" s="14">
        <f>INDEX(属性投放!$AO$7:$AO$58,DC1658)</f>
        <v>123</v>
      </c>
      <c r="DE1658" s="14" t="s">
        <v>242</v>
      </c>
      <c r="DF1658" s="14">
        <f>INDEX(属性投放!$BK$6:$BK$85,(CV1658-2)*20+CZ1658)</f>
        <v>720</v>
      </c>
      <c r="DG1658" s="14">
        <f>SUMIFS(DF$5:DF1658,$CT$5:$CT1658,"="&amp;$CT1658)</f>
        <v>10739</v>
      </c>
      <c r="DH1658" s="14" t="s">
        <v>116</v>
      </c>
      <c r="DI1658" s="14">
        <f>INDEX(属性投放!$BL$6:$BL$85,(CV1658-2)*20+CZ1658)</f>
        <v>360</v>
      </c>
      <c r="DJ1658" s="14">
        <f>SUMIFS(DI$5:DI1658,$CT$5:$CT1658,"="&amp;$CT1658)</f>
        <v>5375</v>
      </c>
      <c r="DK1658" s="14" t="s">
        <v>25</v>
      </c>
      <c r="DL1658" s="14">
        <f>INDEX(属性投放!$BM$6:$BM$85,(CV1658-2)*20+CZ1658)</f>
        <v>7200</v>
      </c>
      <c r="DM1658" s="14">
        <f>SUMIFS(DL$5:DL1658,$CT$5:$CT1658,"="&amp;$CT1658)</f>
        <v>101802</v>
      </c>
    </row>
    <row r="1659" spans="97:117" ht="16.5" x14ac:dyDescent="0.2">
      <c r="CS1659" s="13">
        <v>1655</v>
      </c>
      <c r="CT1659" s="13">
        <f t="shared" si="1151"/>
        <v>32</v>
      </c>
      <c r="CU1659" s="13">
        <f t="shared" si="1152"/>
        <v>43</v>
      </c>
      <c r="CV1659" s="14">
        <f t="shared" si="1149"/>
        <v>5</v>
      </c>
      <c r="CW1659" s="14">
        <f t="shared" si="1150"/>
        <v>1102996</v>
      </c>
      <c r="CX1659" s="14" t="str">
        <f>INDEX($O$6:$O$50,CT1659)&amp;"-"&amp;INDEX(属性投放!$AB$7:$AB$50,CZ1659)&amp;"-魂火-"&amp;DB1659</f>
        <v>UR守护灵-大焦热+2-魂火-1</v>
      </c>
      <c r="CY1659" s="25" t="s">
        <v>142</v>
      </c>
      <c r="CZ1659" s="14">
        <f>INDEX(属性投放!$AM$7:$AM$58,CU1659)</f>
        <v>18</v>
      </c>
      <c r="DA1659" s="14" t="s">
        <v>537</v>
      </c>
      <c r="DB1659" s="14">
        <f>INDEX(属性投放!$AN$7:$AN$58,CU1659)</f>
        <v>1</v>
      </c>
      <c r="DC1659" s="14">
        <f t="shared" si="1153"/>
        <v>43</v>
      </c>
      <c r="DD1659" s="14">
        <f>INDEX(属性投放!$AO$7:$AO$58,DC1659)</f>
        <v>125</v>
      </c>
      <c r="DE1659" s="14" t="s">
        <v>242</v>
      </c>
      <c r="DF1659" s="14">
        <f>INDEX(属性投放!$BK$6:$BK$85,(CV1659-2)*20+CZ1659)</f>
        <v>830</v>
      </c>
      <c r="DG1659" s="14">
        <f>SUMIFS(DF$5:DF1659,$CT$5:$CT1659,"="&amp;$CT1659)</f>
        <v>11569</v>
      </c>
      <c r="DH1659" s="14" t="s">
        <v>116</v>
      </c>
      <c r="DI1659" s="14">
        <f>INDEX(属性投放!$BL$6:$BL$85,(CV1659-2)*20+CZ1659)</f>
        <v>415</v>
      </c>
      <c r="DJ1659" s="14">
        <f>SUMIFS(DI$5:DI1659,$CT$5:$CT1659,"="&amp;$CT1659)</f>
        <v>5790</v>
      </c>
      <c r="DK1659" s="14" t="s">
        <v>25</v>
      </c>
      <c r="DL1659" s="14">
        <f>INDEX(属性投放!$BM$6:$BM$85,(CV1659-2)*20+CZ1659)</f>
        <v>8300</v>
      </c>
      <c r="DM1659" s="14">
        <f>SUMIFS(DL$5:DL1659,$CT$5:$CT1659,"="&amp;$CT1659)</f>
        <v>110102</v>
      </c>
    </row>
    <row r="1660" spans="97:117" ht="16.5" x14ac:dyDescent="0.2">
      <c r="CS1660" s="13">
        <v>1656</v>
      </c>
      <c r="CT1660" s="13">
        <f t="shared" si="1151"/>
        <v>32</v>
      </c>
      <c r="CU1660" s="13">
        <f t="shared" si="1152"/>
        <v>44</v>
      </c>
      <c r="CV1660" s="14">
        <f t="shared" si="1149"/>
        <v>5</v>
      </c>
      <c r="CW1660" s="14">
        <f t="shared" si="1150"/>
        <v>1102996</v>
      </c>
      <c r="CX1660" s="14" t="str">
        <f>INDEX($O$6:$O$50,CT1660)&amp;"-"&amp;INDEX(属性投放!$AB$7:$AB$50,CZ1660)&amp;"-魂火-"&amp;DB1660</f>
        <v>UR守护灵-大焦热+2-魂火-2</v>
      </c>
      <c r="CY1660" s="25" t="s">
        <v>142</v>
      </c>
      <c r="CZ1660" s="14">
        <f>INDEX(属性投放!$AM$7:$AM$58,CU1660)</f>
        <v>18</v>
      </c>
      <c r="DA1660" s="14" t="s">
        <v>537</v>
      </c>
      <c r="DB1660" s="14">
        <f>INDEX(属性投放!$AN$7:$AN$58,CU1660)</f>
        <v>2</v>
      </c>
      <c r="DC1660" s="14">
        <f t="shared" si="1153"/>
        <v>44</v>
      </c>
      <c r="DD1660" s="14">
        <f>INDEX(属性投放!$AO$7:$AO$58,DC1660)</f>
        <v>128</v>
      </c>
      <c r="DE1660" s="14" t="s">
        <v>242</v>
      </c>
      <c r="DF1660" s="14">
        <f>INDEX(属性投放!$BK$6:$BK$85,(CV1660-2)*20+CZ1660)</f>
        <v>830</v>
      </c>
      <c r="DG1660" s="14">
        <f>SUMIFS(DF$5:DF1660,$CT$5:$CT1660,"="&amp;$CT1660)</f>
        <v>12399</v>
      </c>
      <c r="DH1660" s="14" t="s">
        <v>116</v>
      </c>
      <c r="DI1660" s="14">
        <f>INDEX(属性投放!$BL$6:$BL$85,(CV1660-2)*20+CZ1660)</f>
        <v>415</v>
      </c>
      <c r="DJ1660" s="14">
        <f>SUMIFS(DI$5:DI1660,$CT$5:$CT1660,"="&amp;$CT1660)</f>
        <v>6205</v>
      </c>
      <c r="DK1660" s="14" t="s">
        <v>25</v>
      </c>
      <c r="DL1660" s="14">
        <f>INDEX(属性投放!$BM$6:$BM$85,(CV1660-2)*20+CZ1660)</f>
        <v>8300</v>
      </c>
      <c r="DM1660" s="14">
        <f>SUMIFS(DL$5:DL1660,$CT$5:$CT1660,"="&amp;$CT1660)</f>
        <v>118402</v>
      </c>
    </row>
    <row r="1661" spans="97:117" ht="16.5" x14ac:dyDescent="0.2">
      <c r="CS1661" s="13">
        <v>1657</v>
      </c>
      <c r="CT1661" s="13">
        <f t="shared" si="1151"/>
        <v>32</v>
      </c>
      <c r="CU1661" s="13">
        <f t="shared" si="1152"/>
        <v>45</v>
      </c>
      <c r="CV1661" s="14">
        <f t="shared" si="1149"/>
        <v>5</v>
      </c>
      <c r="CW1661" s="14">
        <f t="shared" si="1150"/>
        <v>1102996</v>
      </c>
      <c r="CX1661" s="14" t="str">
        <f>INDEX($O$6:$O$50,CT1661)&amp;"-"&amp;INDEX(属性投放!$AB$7:$AB$50,CZ1661)&amp;"-魂火-"&amp;DB1661</f>
        <v>UR守护灵-大焦热+2-魂火-3</v>
      </c>
      <c r="CY1661" s="25" t="s">
        <v>142</v>
      </c>
      <c r="CZ1661" s="14">
        <f>INDEX(属性投放!$AM$7:$AM$58,CU1661)</f>
        <v>18</v>
      </c>
      <c r="DA1661" s="14" t="s">
        <v>537</v>
      </c>
      <c r="DB1661" s="14">
        <f>INDEX(属性投放!$AN$7:$AN$58,CU1661)</f>
        <v>3</v>
      </c>
      <c r="DC1661" s="14">
        <f t="shared" si="1153"/>
        <v>45</v>
      </c>
      <c r="DD1661" s="14">
        <f>INDEX(属性投放!$AO$7:$AO$58,DC1661)</f>
        <v>130</v>
      </c>
      <c r="DE1661" s="14" t="s">
        <v>242</v>
      </c>
      <c r="DF1661" s="14">
        <f>INDEX(属性投放!$BK$6:$BK$85,(CV1661-2)*20+CZ1661)</f>
        <v>830</v>
      </c>
      <c r="DG1661" s="14">
        <f>SUMIFS(DF$5:DF1661,$CT$5:$CT1661,"="&amp;$CT1661)</f>
        <v>13229</v>
      </c>
      <c r="DH1661" s="14" t="s">
        <v>116</v>
      </c>
      <c r="DI1661" s="14">
        <f>INDEX(属性投放!$BL$6:$BL$85,(CV1661-2)*20+CZ1661)</f>
        <v>415</v>
      </c>
      <c r="DJ1661" s="14">
        <f>SUMIFS(DI$5:DI1661,$CT$5:$CT1661,"="&amp;$CT1661)</f>
        <v>6620</v>
      </c>
      <c r="DK1661" s="14" t="s">
        <v>25</v>
      </c>
      <c r="DL1661" s="14">
        <f>INDEX(属性投放!$BM$6:$BM$85,(CV1661-2)*20+CZ1661)</f>
        <v>8300</v>
      </c>
      <c r="DM1661" s="14">
        <f>SUMIFS(DL$5:DL1661,$CT$5:$CT1661,"="&amp;$CT1661)</f>
        <v>126702</v>
      </c>
    </row>
    <row r="1662" spans="97:117" ht="16.5" x14ac:dyDescent="0.2">
      <c r="CS1662" s="13">
        <v>1658</v>
      </c>
      <c r="CT1662" s="13">
        <f t="shared" si="1151"/>
        <v>32</v>
      </c>
      <c r="CU1662" s="13">
        <f t="shared" si="1152"/>
        <v>46</v>
      </c>
      <c r="CV1662" s="14">
        <f t="shared" si="1149"/>
        <v>5</v>
      </c>
      <c r="CW1662" s="14">
        <f t="shared" si="1150"/>
        <v>1102996</v>
      </c>
      <c r="CX1662" s="14" t="str">
        <f>INDEX($O$6:$O$50,CT1662)&amp;"-"&amp;INDEX(属性投放!$AB$7:$AB$50,CZ1662)&amp;"-魂火-"&amp;DB1662</f>
        <v>UR守护灵-无间-魂火-1</v>
      </c>
      <c r="CY1662" s="25" t="s">
        <v>142</v>
      </c>
      <c r="CZ1662" s="14">
        <f>INDEX(属性投放!$AM$7:$AM$58,CU1662)</f>
        <v>19</v>
      </c>
      <c r="DA1662" s="14" t="s">
        <v>537</v>
      </c>
      <c r="DB1662" s="14">
        <f>INDEX(属性投放!$AN$7:$AN$58,CU1662)</f>
        <v>1</v>
      </c>
      <c r="DC1662" s="14">
        <f t="shared" si="1153"/>
        <v>46</v>
      </c>
      <c r="DD1662" s="14">
        <f>INDEX(属性投放!$AO$7:$AO$58,DC1662)</f>
        <v>133</v>
      </c>
      <c r="DE1662" s="14" t="s">
        <v>242</v>
      </c>
      <c r="DF1662" s="14">
        <f>INDEX(属性投放!$BK$6:$BK$85,(CV1662-2)*20+CZ1662)</f>
        <v>980</v>
      </c>
      <c r="DG1662" s="14">
        <f>SUMIFS(DF$5:DF1662,$CT$5:$CT1662,"="&amp;$CT1662)</f>
        <v>14209</v>
      </c>
      <c r="DH1662" s="14" t="s">
        <v>116</v>
      </c>
      <c r="DI1662" s="14">
        <f>INDEX(属性投放!$BL$6:$BL$85,(CV1662-2)*20+CZ1662)</f>
        <v>490</v>
      </c>
      <c r="DJ1662" s="14">
        <f>SUMIFS(DI$5:DI1662,$CT$5:$CT1662,"="&amp;$CT1662)</f>
        <v>7110</v>
      </c>
      <c r="DK1662" s="14" t="s">
        <v>25</v>
      </c>
      <c r="DL1662" s="14">
        <f>INDEX(属性投放!$BM$6:$BM$85,(CV1662-2)*20+CZ1662)</f>
        <v>9800</v>
      </c>
      <c r="DM1662" s="14">
        <f>SUMIFS(DL$5:DL1662,$CT$5:$CT1662,"="&amp;$CT1662)</f>
        <v>136502</v>
      </c>
    </row>
    <row r="1663" spans="97:117" ht="16.5" x14ac:dyDescent="0.2">
      <c r="CS1663" s="13">
        <v>1659</v>
      </c>
      <c r="CT1663" s="13">
        <f t="shared" si="1151"/>
        <v>32</v>
      </c>
      <c r="CU1663" s="13">
        <f t="shared" si="1152"/>
        <v>47</v>
      </c>
      <c r="CV1663" s="14">
        <f t="shared" si="1149"/>
        <v>5</v>
      </c>
      <c r="CW1663" s="14">
        <f t="shared" si="1150"/>
        <v>1102996</v>
      </c>
      <c r="CX1663" s="14" t="str">
        <f>INDEX($O$6:$O$50,CT1663)&amp;"-"&amp;INDEX(属性投放!$AB$7:$AB$50,CZ1663)&amp;"-魂火-"&amp;DB1663</f>
        <v>UR守护灵-无间-魂火-2</v>
      </c>
      <c r="CY1663" s="25" t="s">
        <v>142</v>
      </c>
      <c r="CZ1663" s="14">
        <f>INDEX(属性投放!$AM$7:$AM$58,CU1663)</f>
        <v>19</v>
      </c>
      <c r="DA1663" s="14" t="s">
        <v>537</v>
      </c>
      <c r="DB1663" s="14">
        <f>INDEX(属性投放!$AN$7:$AN$58,CU1663)</f>
        <v>2</v>
      </c>
      <c r="DC1663" s="14">
        <f t="shared" si="1153"/>
        <v>47</v>
      </c>
      <c r="DD1663" s="14">
        <f>INDEX(属性投放!$AO$7:$AO$58,DC1663)</f>
        <v>135</v>
      </c>
      <c r="DE1663" s="14" t="s">
        <v>242</v>
      </c>
      <c r="DF1663" s="14">
        <f>INDEX(属性投放!$BK$6:$BK$85,(CV1663-2)*20+CZ1663)</f>
        <v>980</v>
      </c>
      <c r="DG1663" s="14">
        <f>SUMIFS(DF$5:DF1663,$CT$5:$CT1663,"="&amp;$CT1663)</f>
        <v>15189</v>
      </c>
      <c r="DH1663" s="14" t="s">
        <v>116</v>
      </c>
      <c r="DI1663" s="14">
        <f>INDEX(属性投放!$BL$6:$BL$85,(CV1663-2)*20+CZ1663)</f>
        <v>490</v>
      </c>
      <c r="DJ1663" s="14">
        <f>SUMIFS(DI$5:DI1663,$CT$5:$CT1663,"="&amp;$CT1663)</f>
        <v>7600</v>
      </c>
      <c r="DK1663" s="14" t="s">
        <v>25</v>
      </c>
      <c r="DL1663" s="14">
        <f>INDEX(属性投放!$BM$6:$BM$85,(CV1663-2)*20+CZ1663)</f>
        <v>9800</v>
      </c>
      <c r="DM1663" s="14">
        <f>SUMIFS(DL$5:DL1663,$CT$5:$CT1663,"="&amp;$CT1663)</f>
        <v>146302</v>
      </c>
    </row>
    <row r="1664" spans="97:117" ht="16.5" x14ac:dyDescent="0.2">
      <c r="CS1664" s="13">
        <v>1660</v>
      </c>
      <c r="CT1664" s="13">
        <f t="shared" si="1151"/>
        <v>32</v>
      </c>
      <c r="CU1664" s="13">
        <f t="shared" si="1152"/>
        <v>48</v>
      </c>
      <c r="CV1664" s="14">
        <f t="shared" si="1149"/>
        <v>5</v>
      </c>
      <c r="CW1664" s="14">
        <f t="shared" si="1150"/>
        <v>1102996</v>
      </c>
      <c r="CX1664" s="14" t="str">
        <f>INDEX($O$6:$O$50,CT1664)&amp;"-"&amp;INDEX(属性投放!$AB$7:$AB$50,CZ1664)&amp;"-魂火-"&amp;DB1664</f>
        <v>UR守护灵-无间-魂火-3</v>
      </c>
      <c r="CY1664" s="25" t="s">
        <v>142</v>
      </c>
      <c r="CZ1664" s="14">
        <f>INDEX(属性投放!$AM$7:$AM$58,CU1664)</f>
        <v>19</v>
      </c>
      <c r="DA1664" s="14" t="s">
        <v>537</v>
      </c>
      <c r="DB1664" s="14">
        <f>INDEX(属性投放!$AN$7:$AN$58,CU1664)</f>
        <v>3</v>
      </c>
      <c r="DC1664" s="14">
        <f t="shared" si="1153"/>
        <v>48</v>
      </c>
      <c r="DD1664" s="14">
        <f>INDEX(属性投放!$AO$7:$AO$58,DC1664)</f>
        <v>138</v>
      </c>
      <c r="DE1664" s="14" t="s">
        <v>242</v>
      </c>
      <c r="DF1664" s="14">
        <f>INDEX(属性投放!$BK$6:$BK$85,(CV1664-2)*20+CZ1664)</f>
        <v>980</v>
      </c>
      <c r="DG1664" s="14">
        <f>SUMIFS(DF$5:DF1664,$CT$5:$CT1664,"="&amp;$CT1664)</f>
        <v>16169</v>
      </c>
      <c r="DH1664" s="14" t="s">
        <v>116</v>
      </c>
      <c r="DI1664" s="14">
        <f>INDEX(属性投放!$BL$6:$BL$85,(CV1664-2)*20+CZ1664)</f>
        <v>490</v>
      </c>
      <c r="DJ1664" s="14">
        <f>SUMIFS(DI$5:DI1664,$CT$5:$CT1664,"="&amp;$CT1664)</f>
        <v>8090</v>
      </c>
      <c r="DK1664" s="14" t="s">
        <v>25</v>
      </c>
      <c r="DL1664" s="14">
        <f>INDEX(属性投放!$BM$6:$BM$85,(CV1664-2)*20+CZ1664)</f>
        <v>9800</v>
      </c>
      <c r="DM1664" s="14">
        <f>SUMIFS(DL$5:DL1664,$CT$5:$CT1664,"="&amp;$CT1664)</f>
        <v>156102</v>
      </c>
    </row>
    <row r="1665" spans="97:117" ht="16.5" x14ac:dyDescent="0.2">
      <c r="CS1665" s="13">
        <v>1661</v>
      </c>
      <c r="CT1665" s="13">
        <f t="shared" si="1151"/>
        <v>32</v>
      </c>
      <c r="CU1665" s="13">
        <f t="shared" si="1152"/>
        <v>49</v>
      </c>
      <c r="CV1665" s="14">
        <f t="shared" si="1149"/>
        <v>5</v>
      </c>
      <c r="CW1665" s="14">
        <f t="shared" si="1150"/>
        <v>1102996</v>
      </c>
      <c r="CX1665" s="14" t="str">
        <f>INDEX($O$6:$O$50,CT1665)&amp;"-"&amp;INDEX(属性投放!$AB$7:$AB$50,CZ1665)&amp;"-魂火-"&amp;DB1665</f>
        <v>UR守护灵-无间+1-魂火-1</v>
      </c>
      <c r="CY1665" s="25" t="s">
        <v>142</v>
      </c>
      <c r="CZ1665" s="14">
        <f>INDEX(属性投放!$AM$7:$AM$58,CU1665)</f>
        <v>20</v>
      </c>
      <c r="DA1665" s="14" t="s">
        <v>537</v>
      </c>
      <c r="DB1665" s="14">
        <f>INDEX(属性投放!$AN$7:$AN$58,CU1665)</f>
        <v>1</v>
      </c>
      <c r="DC1665" s="14">
        <f t="shared" si="1153"/>
        <v>49</v>
      </c>
      <c r="DD1665" s="14">
        <f>INDEX(属性投放!$AO$7:$AO$58,DC1665)</f>
        <v>140</v>
      </c>
      <c r="DE1665" s="14" t="s">
        <v>242</v>
      </c>
      <c r="DF1665" s="14">
        <f>INDEX(属性投放!$BK$6:$BK$85,(CV1665-2)*20+CZ1665)</f>
        <v>1050</v>
      </c>
      <c r="DG1665" s="14">
        <f>SUMIFS(DF$5:DF1665,$CT$5:$CT1665,"="&amp;$CT1665)</f>
        <v>17219</v>
      </c>
      <c r="DH1665" s="14" t="s">
        <v>116</v>
      </c>
      <c r="DI1665" s="14">
        <f>INDEX(属性投放!$BL$6:$BL$85,(CV1665-2)*20+CZ1665)</f>
        <v>525</v>
      </c>
      <c r="DJ1665" s="14">
        <f>SUMIFS(DI$5:DI1665,$CT$5:$CT1665,"="&amp;$CT1665)</f>
        <v>8615</v>
      </c>
      <c r="DK1665" s="14" t="s">
        <v>25</v>
      </c>
      <c r="DL1665" s="14">
        <f>INDEX(属性投放!$BM$6:$BM$85,(CV1665-2)*20+CZ1665)</f>
        <v>10500</v>
      </c>
      <c r="DM1665" s="14">
        <f>SUMIFS(DL$5:DL1665,$CT$5:$CT1665,"="&amp;$CT1665)</f>
        <v>166602</v>
      </c>
    </row>
    <row r="1666" spans="97:117" ht="16.5" x14ac:dyDescent="0.2">
      <c r="CS1666" s="13">
        <v>1662</v>
      </c>
      <c r="CT1666" s="13">
        <f t="shared" si="1151"/>
        <v>32</v>
      </c>
      <c r="CU1666" s="13">
        <f t="shared" si="1152"/>
        <v>50</v>
      </c>
      <c r="CV1666" s="14">
        <f t="shared" si="1149"/>
        <v>5</v>
      </c>
      <c r="CW1666" s="14">
        <f t="shared" si="1150"/>
        <v>1102996</v>
      </c>
      <c r="CX1666" s="14" t="str">
        <f>INDEX($O$6:$O$50,CT1666)&amp;"-"&amp;INDEX(属性投放!$AB$7:$AB$50,CZ1666)&amp;"-魂火-"&amp;DB1666</f>
        <v>UR守护灵-无间+1-魂火-2</v>
      </c>
      <c r="CY1666" s="25" t="s">
        <v>142</v>
      </c>
      <c r="CZ1666" s="14">
        <f>INDEX(属性投放!$AM$7:$AM$58,CU1666)</f>
        <v>20</v>
      </c>
      <c r="DA1666" s="14" t="s">
        <v>537</v>
      </c>
      <c r="DB1666" s="14">
        <f>INDEX(属性投放!$AN$7:$AN$58,CU1666)</f>
        <v>2</v>
      </c>
      <c r="DC1666" s="14">
        <f t="shared" si="1153"/>
        <v>50</v>
      </c>
      <c r="DD1666" s="14">
        <f>INDEX(属性投放!$AO$7:$AO$58,DC1666)</f>
        <v>143</v>
      </c>
      <c r="DE1666" s="14" t="s">
        <v>242</v>
      </c>
      <c r="DF1666" s="14">
        <f>INDEX(属性投放!$BK$6:$BK$85,(CV1666-2)*20+CZ1666)</f>
        <v>1050</v>
      </c>
      <c r="DG1666" s="14">
        <f>SUMIFS(DF$5:DF1666,$CT$5:$CT1666,"="&amp;$CT1666)</f>
        <v>18269</v>
      </c>
      <c r="DH1666" s="14" t="s">
        <v>116</v>
      </c>
      <c r="DI1666" s="14">
        <f>INDEX(属性投放!$BL$6:$BL$85,(CV1666-2)*20+CZ1666)</f>
        <v>525</v>
      </c>
      <c r="DJ1666" s="14">
        <f>SUMIFS(DI$5:DI1666,$CT$5:$CT1666,"="&amp;$CT1666)</f>
        <v>9140</v>
      </c>
      <c r="DK1666" s="14" t="s">
        <v>25</v>
      </c>
      <c r="DL1666" s="14">
        <f>INDEX(属性投放!$BM$6:$BM$85,(CV1666-2)*20+CZ1666)</f>
        <v>10500</v>
      </c>
      <c r="DM1666" s="14">
        <f>SUMIFS(DL$5:DL1666,$CT$5:$CT1666,"="&amp;$CT1666)</f>
        <v>177102</v>
      </c>
    </row>
    <row r="1667" spans="97:117" ht="16.5" x14ac:dyDescent="0.2">
      <c r="CS1667" s="13">
        <v>1663</v>
      </c>
      <c r="CT1667" s="13">
        <f t="shared" si="1151"/>
        <v>32</v>
      </c>
      <c r="CU1667" s="13">
        <f t="shared" si="1152"/>
        <v>51</v>
      </c>
      <c r="CV1667" s="14">
        <f t="shared" si="1149"/>
        <v>5</v>
      </c>
      <c r="CW1667" s="14">
        <f t="shared" si="1150"/>
        <v>1102996</v>
      </c>
      <c r="CX1667" s="14" t="str">
        <f>INDEX($O$6:$O$50,CT1667)&amp;"-"&amp;INDEX(属性投放!$AB$7:$AB$50,CZ1667)&amp;"-魂火-"&amp;DB1667</f>
        <v>UR守护灵-无间+1-魂火-3</v>
      </c>
      <c r="CY1667" s="25" t="s">
        <v>142</v>
      </c>
      <c r="CZ1667" s="14">
        <f>INDEX(属性投放!$AM$7:$AM$58,CU1667)</f>
        <v>20</v>
      </c>
      <c r="DA1667" s="14" t="s">
        <v>537</v>
      </c>
      <c r="DB1667" s="14">
        <f>INDEX(属性投放!$AN$7:$AN$58,CU1667)</f>
        <v>3</v>
      </c>
      <c r="DC1667" s="14">
        <f t="shared" si="1153"/>
        <v>51</v>
      </c>
      <c r="DD1667" s="14">
        <f>INDEX(属性投放!$AO$7:$AO$58,DC1667)</f>
        <v>145</v>
      </c>
      <c r="DE1667" s="14" t="s">
        <v>242</v>
      </c>
      <c r="DF1667" s="14">
        <f>INDEX(属性投放!$BK$6:$BK$85,(CV1667-2)*20+CZ1667)</f>
        <v>1050</v>
      </c>
      <c r="DG1667" s="14">
        <f>SUMIFS(DF$5:DF1667,$CT$5:$CT1667,"="&amp;$CT1667)</f>
        <v>19319</v>
      </c>
      <c r="DH1667" s="14" t="s">
        <v>116</v>
      </c>
      <c r="DI1667" s="14">
        <f>INDEX(属性投放!$BL$6:$BL$85,(CV1667-2)*20+CZ1667)</f>
        <v>525</v>
      </c>
      <c r="DJ1667" s="14">
        <f>SUMIFS(DI$5:DI1667,$CT$5:$CT1667,"="&amp;$CT1667)</f>
        <v>9665</v>
      </c>
      <c r="DK1667" s="14" t="s">
        <v>25</v>
      </c>
      <c r="DL1667" s="14">
        <f>INDEX(属性投放!$BM$6:$BM$85,(CV1667-2)*20+CZ1667)</f>
        <v>10500</v>
      </c>
      <c r="DM1667" s="14">
        <f>SUMIFS(DL$5:DL1667,$CT$5:$CT1667,"="&amp;$CT1667)</f>
        <v>187602</v>
      </c>
    </row>
    <row r="1668" spans="97:117" ht="16.5" x14ac:dyDescent="0.2">
      <c r="CS1668" s="13">
        <v>1664</v>
      </c>
      <c r="CT1668" s="13">
        <f t="shared" si="1151"/>
        <v>32</v>
      </c>
      <c r="CU1668" s="13">
        <f t="shared" si="1152"/>
        <v>52</v>
      </c>
      <c r="CV1668" s="14">
        <f t="shared" si="1149"/>
        <v>5</v>
      </c>
      <c r="CW1668" s="14">
        <f t="shared" si="1150"/>
        <v>1102996</v>
      </c>
      <c r="CX1668" s="14" t="str">
        <f>INDEX($O$6:$O$50,CT1668)&amp;"-"&amp;INDEX(属性投放!$AB$7:$AB$50,CZ1668)&amp;"-魂火-"&amp;DB1668</f>
        <v>UR守护灵-无间+1-魂火-4</v>
      </c>
      <c r="CY1668" s="25" t="s">
        <v>142</v>
      </c>
      <c r="CZ1668" s="14">
        <f>INDEX(属性投放!$AM$7:$AM$58,CU1668)</f>
        <v>20</v>
      </c>
      <c r="DA1668" s="14" t="s">
        <v>537</v>
      </c>
      <c r="DB1668" s="14">
        <f>INDEX(属性投放!$AN$7:$AN$58,CU1668)</f>
        <v>4</v>
      </c>
      <c r="DC1668" s="14">
        <f t="shared" si="1153"/>
        <v>52</v>
      </c>
      <c r="DD1668" s="14">
        <f>INDEX(属性投放!$AO$7:$AO$58,DC1668)</f>
        <v>148</v>
      </c>
      <c r="DE1668" s="14" t="s">
        <v>242</v>
      </c>
      <c r="DF1668" s="14">
        <f>INDEX(属性投放!$BK$6:$BK$85,(CV1668-2)*20+CZ1668)</f>
        <v>1050</v>
      </c>
      <c r="DG1668" s="14">
        <f>SUMIFS(DF$5:DF1668,$CT$5:$CT1668,"="&amp;$CT1668)</f>
        <v>20369</v>
      </c>
      <c r="DH1668" s="14" t="s">
        <v>116</v>
      </c>
      <c r="DI1668" s="14">
        <f>INDEX(属性投放!$BL$6:$BL$85,(CV1668-2)*20+CZ1668)</f>
        <v>525</v>
      </c>
      <c r="DJ1668" s="14">
        <f>SUMIFS(DI$5:DI1668,$CT$5:$CT1668,"="&amp;$CT1668)</f>
        <v>10190</v>
      </c>
      <c r="DK1668" s="14" t="s">
        <v>25</v>
      </c>
      <c r="DL1668" s="14">
        <f>INDEX(属性投放!$BM$6:$BM$85,(CV1668-2)*20+CZ1668)</f>
        <v>10500</v>
      </c>
      <c r="DM1668" s="14">
        <f>SUMIFS(DL$5:DL1668,$CT$5:$CT1668,"="&amp;$CT1668)</f>
        <v>198102</v>
      </c>
    </row>
    <row r="1669" spans="97:117" x14ac:dyDescent="0.2">
      <c r="CS1669" s="16"/>
      <c r="CT1669" s="16"/>
      <c r="CU1669" s="16"/>
      <c r="CV1669" s="16"/>
      <c r="CW1669" s="16"/>
      <c r="CX1669" s="16"/>
      <c r="CY1669" s="16"/>
      <c r="CZ1669" s="16"/>
      <c r="DA1669" s="16"/>
      <c r="DB1669" s="16"/>
      <c r="DC1669" s="16"/>
      <c r="DD1669" s="16"/>
      <c r="DE1669" s="16"/>
      <c r="DF1669" s="16"/>
      <c r="DG1669" s="16"/>
      <c r="DH1669" s="16"/>
      <c r="DI1669" s="16"/>
      <c r="DJ1669" s="16"/>
      <c r="DK1669" s="16"/>
      <c r="DL1669" s="16"/>
      <c r="DM1669" s="16"/>
    </row>
    <row r="1670" spans="97:117" x14ac:dyDescent="0.2"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/>
      <c r="DC1670" s="16"/>
      <c r="DD1670" s="16"/>
      <c r="DE1670" s="16"/>
      <c r="DF1670" s="16"/>
      <c r="DG1670" s="16"/>
      <c r="DH1670" s="16"/>
      <c r="DI1670" s="16"/>
      <c r="DJ1670" s="16"/>
      <c r="DK1670" s="16"/>
      <c r="DL1670" s="16"/>
      <c r="DM1670" s="16"/>
    </row>
    <row r="1671" spans="97:117" x14ac:dyDescent="0.2"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</row>
    <row r="1672" spans="97:117" x14ac:dyDescent="0.2"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</row>
    <row r="1673" spans="97:117" x14ac:dyDescent="0.2"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</row>
    <row r="1674" spans="97:117" x14ac:dyDescent="0.2"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</row>
    <row r="1675" spans="97:117" x14ac:dyDescent="0.2"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</row>
    <row r="1676" spans="97:117" x14ac:dyDescent="0.2"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</row>
    <row r="1677" spans="97:117" x14ac:dyDescent="0.2"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</row>
    <row r="1678" spans="97:117" x14ac:dyDescent="0.2"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</row>
    <row r="1679" spans="97:117" x14ac:dyDescent="0.2"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</row>
    <row r="1680" spans="97:117" x14ac:dyDescent="0.2"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</row>
    <row r="1681" spans="97:117" x14ac:dyDescent="0.2"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</row>
    <row r="1682" spans="97:117" x14ac:dyDescent="0.2"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/>
      <c r="DC1682" s="16"/>
      <c r="DD1682" s="16"/>
      <c r="DE1682" s="16"/>
      <c r="DF1682" s="16"/>
      <c r="DG1682" s="16"/>
      <c r="DH1682" s="16"/>
      <c r="DI1682" s="16"/>
      <c r="DJ1682" s="16"/>
      <c r="DK1682" s="16"/>
      <c r="DL1682" s="16"/>
      <c r="DM1682" s="16"/>
    </row>
    <row r="1683" spans="97:117" x14ac:dyDescent="0.2"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/>
      <c r="DC1683" s="16"/>
      <c r="DD1683" s="16"/>
      <c r="DE1683" s="16"/>
      <c r="DF1683" s="16"/>
      <c r="DG1683" s="16"/>
      <c r="DH1683" s="16"/>
      <c r="DI1683" s="16"/>
      <c r="DJ1683" s="16"/>
      <c r="DK1683" s="16"/>
      <c r="DL1683" s="16"/>
      <c r="DM1683" s="16"/>
    </row>
    <row r="1684" spans="97:117" x14ac:dyDescent="0.2">
      <c r="CS1684" s="16"/>
      <c r="CT1684" s="16"/>
      <c r="CU1684" s="16"/>
      <c r="CV1684" s="16"/>
      <c r="CW1684" s="16"/>
      <c r="CX1684" s="16"/>
      <c r="CY1684" s="16"/>
      <c r="CZ1684" s="16"/>
      <c r="DA1684" s="16"/>
      <c r="DB1684" s="16"/>
      <c r="DC1684" s="16"/>
      <c r="DD1684" s="16"/>
      <c r="DE1684" s="16"/>
      <c r="DF1684" s="16"/>
      <c r="DG1684" s="16"/>
      <c r="DH1684" s="16"/>
      <c r="DI1684" s="16"/>
      <c r="DJ1684" s="16"/>
      <c r="DK1684" s="16"/>
      <c r="DL1684" s="16"/>
      <c r="DM1684" s="16"/>
    </row>
    <row r="1685" spans="97:117" x14ac:dyDescent="0.2">
      <c r="CS1685" s="16"/>
      <c r="CT1685" s="16"/>
      <c r="CU1685" s="16"/>
      <c r="CV1685" s="16"/>
      <c r="CW1685" s="16"/>
      <c r="CX1685" s="16"/>
      <c r="CY1685" s="16"/>
      <c r="CZ1685" s="16"/>
      <c r="DA1685" s="16"/>
      <c r="DB1685" s="16"/>
      <c r="DC1685" s="16"/>
      <c r="DD1685" s="16"/>
      <c r="DE1685" s="16"/>
      <c r="DF1685" s="16"/>
      <c r="DG1685" s="16"/>
      <c r="DH1685" s="16"/>
      <c r="DI1685" s="16"/>
      <c r="DJ1685" s="16"/>
      <c r="DK1685" s="16"/>
      <c r="DL1685" s="16"/>
      <c r="DM1685" s="16"/>
    </row>
    <row r="1686" spans="97:117" x14ac:dyDescent="0.2">
      <c r="CS1686" s="16"/>
      <c r="CT1686" s="16"/>
      <c r="CU1686" s="16"/>
      <c r="CV1686" s="16"/>
      <c r="CW1686" s="16"/>
      <c r="CX1686" s="16"/>
      <c r="CY1686" s="16"/>
      <c r="CZ1686" s="16"/>
      <c r="DA1686" s="16"/>
      <c r="DB1686" s="16"/>
      <c r="DC1686" s="16"/>
      <c r="DD1686" s="16"/>
      <c r="DE1686" s="16"/>
      <c r="DF1686" s="16"/>
      <c r="DG1686" s="16"/>
      <c r="DH1686" s="16"/>
      <c r="DI1686" s="16"/>
      <c r="DJ1686" s="16"/>
      <c r="DK1686" s="16"/>
      <c r="DL1686" s="16"/>
      <c r="DM1686" s="16"/>
    </row>
    <row r="1687" spans="97:117" x14ac:dyDescent="0.2"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/>
      <c r="DC1687" s="16"/>
      <c r="DD1687" s="16"/>
      <c r="DE1687" s="16"/>
      <c r="DF1687" s="16"/>
      <c r="DG1687" s="16"/>
      <c r="DH1687" s="16"/>
      <c r="DI1687" s="16"/>
      <c r="DJ1687" s="16"/>
      <c r="DK1687" s="16"/>
      <c r="DL1687" s="16"/>
      <c r="DM1687" s="16"/>
    </row>
    <row r="1688" spans="97:117" x14ac:dyDescent="0.2"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/>
      <c r="DC1688" s="16"/>
      <c r="DD1688" s="16"/>
      <c r="DE1688" s="16"/>
      <c r="DF1688" s="16"/>
      <c r="DG1688" s="16"/>
      <c r="DH1688" s="16"/>
      <c r="DI1688" s="16"/>
      <c r="DJ1688" s="16"/>
      <c r="DK1688" s="16"/>
      <c r="DL1688" s="16"/>
      <c r="DM1688" s="16"/>
    </row>
    <row r="1689" spans="97:117" x14ac:dyDescent="0.2"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/>
      <c r="DC1689" s="16"/>
      <c r="DD1689" s="16"/>
      <c r="DE1689" s="16"/>
      <c r="DF1689" s="16"/>
      <c r="DG1689" s="16"/>
      <c r="DH1689" s="16"/>
      <c r="DI1689" s="16"/>
      <c r="DJ1689" s="16"/>
      <c r="DK1689" s="16"/>
      <c r="DL1689" s="16"/>
      <c r="DM1689" s="16"/>
    </row>
    <row r="1690" spans="97:117" x14ac:dyDescent="0.2">
      <c r="CS1690" s="16"/>
      <c r="CT1690" s="16"/>
      <c r="CU1690" s="16"/>
      <c r="CV1690" s="16"/>
      <c r="CW1690" s="16"/>
      <c r="CX1690" s="16"/>
      <c r="CY1690" s="16"/>
      <c r="CZ1690" s="16"/>
      <c r="DA1690" s="16"/>
      <c r="DB1690" s="16"/>
      <c r="DC1690" s="16"/>
      <c r="DD1690" s="16"/>
      <c r="DE1690" s="16"/>
      <c r="DF1690" s="16"/>
      <c r="DG1690" s="16"/>
      <c r="DH1690" s="16"/>
      <c r="DI1690" s="16"/>
      <c r="DJ1690" s="16"/>
      <c r="DK1690" s="16"/>
      <c r="DL1690" s="16"/>
      <c r="DM1690" s="16"/>
    </row>
    <row r="1691" spans="97:117" x14ac:dyDescent="0.2"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/>
      <c r="DC1691" s="16"/>
      <c r="DD1691" s="16"/>
      <c r="DE1691" s="16"/>
      <c r="DF1691" s="16"/>
      <c r="DG1691" s="16"/>
      <c r="DH1691" s="16"/>
      <c r="DI1691" s="16"/>
      <c r="DJ1691" s="16"/>
      <c r="DK1691" s="16"/>
      <c r="DL1691" s="16"/>
      <c r="DM1691" s="16"/>
    </row>
    <row r="1692" spans="97:117" x14ac:dyDescent="0.2">
      <c r="CS1692" s="16"/>
      <c r="CT1692" s="16"/>
      <c r="CU1692" s="16"/>
      <c r="CV1692" s="16"/>
      <c r="CW1692" s="16"/>
      <c r="CX1692" s="16"/>
      <c r="CY1692" s="16"/>
      <c r="CZ1692" s="16"/>
      <c r="DA1692" s="16"/>
      <c r="DB1692" s="16"/>
      <c r="DC1692" s="16"/>
      <c r="DD1692" s="16"/>
      <c r="DE1692" s="16"/>
      <c r="DF1692" s="16"/>
      <c r="DG1692" s="16"/>
      <c r="DH1692" s="16"/>
      <c r="DI1692" s="16"/>
      <c r="DJ1692" s="16"/>
      <c r="DK1692" s="16"/>
      <c r="DL1692" s="16"/>
      <c r="DM1692" s="16"/>
    </row>
    <row r="1693" spans="97:117" x14ac:dyDescent="0.2">
      <c r="CS1693" s="16"/>
      <c r="CT1693" s="16"/>
      <c r="CU1693" s="16"/>
      <c r="CV1693" s="16"/>
      <c r="CW1693" s="16"/>
      <c r="CX1693" s="16"/>
      <c r="CY1693" s="16"/>
      <c r="CZ1693" s="16"/>
      <c r="DA1693" s="16"/>
      <c r="DB1693" s="16"/>
      <c r="DC1693" s="16"/>
      <c r="DD1693" s="16"/>
      <c r="DE1693" s="16"/>
      <c r="DF1693" s="16"/>
      <c r="DG1693" s="16"/>
      <c r="DH1693" s="16"/>
      <c r="DI1693" s="16"/>
      <c r="DJ1693" s="16"/>
      <c r="DK1693" s="16"/>
      <c r="DL1693" s="16"/>
      <c r="DM1693" s="16"/>
    </row>
    <row r="1694" spans="97:117" x14ac:dyDescent="0.2"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/>
      <c r="DC1694" s="16"/>
      <c r="DD1694" s="16"/>
      <c r="DE1694" s="16"/>
      <c r="DF1694" s="16"/>
      <c r="DG1694" s="16"/>
      <c r="DH1694" s="16"/>
      <c r="DI1694" s="16"/>
      <c r="DJ1694" s="16"/>
      <c r="DK1694" s="16"/>
      <c r="DL1694" s="16"/>
      <c r="DM1694" s="16"/>
    </row>
    <row r="1695" spans="97:117" x14ac:dyDescent="0.2">
      <c r="CS1695" s="16"/>
      <c r="CT1695" s="16"/>
      <c r="CU1695" s="16"/>
      <c r="CV1695" s="16"/>
      <c r="CW1695" s="16"/>
      <c r="CX1695" s="16"/>
      <c r="CY1695" s="16"/>
      <c r="CZ1695" s="16"/>
      <c r="DA1695" s="16"/>
      <c r="DB1695" s="16"/>
      <c r="DC1695" s="16"/>
      <c r="DD1695" s="16"/>
      <c r="DE1695" s="16"/>
      <c r="DF1695" s="16"/>
      <c r="DG1695" s="16"/>
      <c r="DH1695" s="16"/>
      <c r="DI1695" s="16"/>
      <c r="DJ1695" s="16"/>
      <c r="DK1695" s="16"/>
      <c r="DL1695" s="16"/>
      <c r="DM1695" s="16"/>
    </row>
    <row r="1696" spans="97:117" x14ac:dyDescent="0.2"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/>
      <c r="DC1696" s="16"/>
      <c r="DD1696" s="16"/>
      <c r="DE1696" s="16"/>
      <c r="DF1696" s="16"/>
      <c r="DG1696" s="16"/>
      <c r="DH1696" s="16"/>
      <c r="DI1696" s="16"/>
      <c r="DJ1696" s="16"/>
      <c r="DK1696" s="16"/>
      <c r="DL1696" s="16"/>
      <c r="DM1696" s="16"/>
    </row>
    <row r="1697" spans="97:117" x14ac:dyDescent="0.2">
      <c r="CS1697" s="16"/>
      <c r="CT1697" s="16"/>
      <c r="CU1697" s="16"/>
      <c r="CV1697" s="16"/>
      <c r="CW1697" s="16"/>
      <c r="CX1697" s="16"/>
      <c r="CY1697" s="16"/>
      <c r="CZ1697" s="16"/>
      <c r="DA1697" s="16"/>
      <c r="DB1697" s="16"/>
      <c r="DC1697" s="16"/>
      <c r="DD1697" s="16"/>
      <c r="DE1697" s="16"/>
      <c r="DF1697" s="16"/>
      <c r="DG1697" s="16"/>
      <c r="DH1697" s="16"/>
      <c r="DI1697" s="16"/>
      <c r="DJ1697" s="16"/>
      <c r="DK1697" s="16"/>
      <c r="DL1697" s="16"/>
      <c r="DM1697" s="16"/>
    </row>
    <row r="1698" spans="97:117" x14ac:dyDescent="0.2"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/>
      <c r="DC1698" s="16"/>
      <c r="DD1698" s="16"/>
      <c r="DE1698" s="16"/>
      <c r="DF1698" s="16"/>
      <c r="DG1698" s="16"/>
      <c r="DH1698" s="16"/>
      <c r="DI1698" s="16"/>
      <c r="DJ1698" s="16"/>
      <c r="DK1698" s="16"/>
      <c r="DL1698" s="16"/>
      <c r="DM1698" s="16"/>
    </row>
    <row r="1699" spans="97:117" x14ac:dyDescent="0.2"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/>
      <c r="DC1699" s="16"/>
      <c r="DD1699" s="16"/>
      <c r="DE1699" s="16"/>
      <c r="DF1699" s="16"/>
      <c r="DG1699" s="16"/>
      <c r="DH1699" s="16"/>
      <c r="DI1699" s="16"/>
      <c r="DJ1699" s="16"/>
      <c r="DK1699" s="16"/>
      <c r="DL1699" s="16"/>
      <c r="DM1699" s="16"/>
    </row>
    <row r="1700" spans="97:117" x14ac:dyDescent="0.2"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</row>
    <row r="1701" spans="97:117" x14ac:dyDescent="0.2"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</row>
    <row r="1702" spans="97:117" x14ac:dyDescent="0.2"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</row>
    <row r="1703" spans="97:117" x14ac:dyDescent="0.2"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</row>
    <row r="1704" spans="97:117" x14ac:dyDescent="0.2"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</row>
    <row r="1705" spans="97:117" x14ac:dyDescent="0.2"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</row>
    <row r="1706" spans="97:117" x14ac:dyDescent="0.2">
      <c r="CS1706" s="16"/>
      <c r="CT1706" s="16"/>
      <c r="CU1706" s="16"/>
      <c r="CV1706" s="16"/>
      <c r="CW1706" s="16"/>
      <c r="CX1706" s="16"/>
      <c r="CY1706" s="16"/>
      <c r="CZ1706" s="16"/>
      <c r="DA1706" s="16"/>
      <c r="DB1706" s="16"/>
      <c r="DC1706" s="16"/>
      <c r="DD1706" s="16"/>
      <c r="DE1706" s="16"/>
      <c r="DF1706" s="16"/>
      <c r="DG1706" s="16"/>
      <c r="DH1706" s="16"/>
      <c r="DI1706" s="16"/>
      <c r="DJ1706" s="16"/>
      <c r="DK1706" s="16"/>
      <c r="DL1706" s="16"/>
      <c r="DM1706" s="16"/>
    </row>
    <row r="1707" spans="97:117" x14ac:dyDescent="0.2">
      <c r="CS1707" s="16"/>
      <c r="CT1707" s="16"/>
      <c r="CU1707" s="16"/>
      <c r="CV1707" s="16"/>
      <c r="CW1707" s="16"/>
      <c r="CX1707" s="16"/>
      <c r="CY1707" s="16"/>
      <c r="CZ1707" s="16"/>
      <c r="DA1707" s="16"/>
      <c r="DB1707" s="16"/>
      <c r="DC1707" s="16"/>
      <c r="DD1707" s="16"/>
      <c r="DE1707" s="16"/>
      <c r="DF1707" s="16"/>
      <c r="DG1707" s="16"/>
      <c r="DH1707" s="16"/>
      <c r="DI1707" s="16"/>
      <c r="DJ1707" s="16"/>
      <c r="DK1707" s="16"/>
      <c r="DL1707" s="16"/>
      <c r="DM1707" s="16"/>
    </row>
    <row r="1708" spans="97:117" x14ac:dyDescent="0.2"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</row>
    <row r="1709" spans="97:117" x14ac:dyDescent="0.2"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</row>
    <row r="1710" spans="97:117" x14ac:dyDescent="0.2"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</row>
    <row r="1711" spans="97:117" x14ac:dyDescent="0.2"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</row>
    <row r="1712" spans="97:117" x14ac:dyDescent="0.2"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</row>
    <row r="1713" spans="97:117" x14ac:dyDescent="0.2"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</row>
    <row r="1714" spans="97:117" x14ac:dyDescent="0.2">
      <c r="CS1714" s="16"/>
      <c r="CT1714" s="16"/>
      <c r="CU1714" s="16"/>
      <c r="CV1714" s="16"/>
      <c r="CW1714" s="16"/>
      <c r="CX1714" s="16"/>
      <c r="CY1714" s="16"/>
      <c r="CZ1714" s="16"/>
      <c r="DA1714" s="16"/>
      <c r="DB1714" s="16"/>
      <c r="DC1714" s="16"/>
      <c r="DD1714" s="16"/>
      <c r="DE1714" s="16"/>
      <c r="DF1714" s="16"/>
      <c r="DG1714" s="16"/>
      <c r="DH1714" s="16"/>
      <c r="DI1714" s="16"/>
      <c r="DJ1714" s="16"/>
      <c r="DK1714" s="16"/>
      <c r="DL1714" s="16"/>
      <c r="DM1714" s="16"/>
    </row>
    <row r="1715" spans="97:117" x14ac:dyDescent="0.2">
      <c r="CS1715" s="16"/>
      <c r="CT1715" s="16"/>
      <c r="CU1715" s="16"/>
      <c r="CV1715" s="16"/>
      <c r="CW1715" s="16"/>
      <c r="CX1715" s="16"/>
      <c r="CY1715" s="16"/>
      <c r="CZ1715" s="16"/>
      <c r="DA1715" s="16"/>
      <c r="DB1715" s="16"/>
      <c r="DC1715" s="16"/>
      <c r="DD1715" s="16"/>
      <c r="DE1715" s="16"/>
      <c r="DF1715" s="16"/>
      <c r="DG1715" s="16"/>
      <c r="DH1715" s="16"/>
      <c r="DI1715" s="16"/>
      <c r="DJ1715" s="16"/>
      <c r="DK1715" s="16"/>
      <c r="DL1715" s="16"/>
      <c r="DM1715" s="16"/>
    </row>
    <row r="1716" spans="97:117" x14ac:dyDescent="0.2"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</row>
    <row r="1717" spans="97:117" x14ac:dyDescent="0.2"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</row>
    <row r="1718" spans="97:117" x14ac:dyDescent="0.2"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</row>
    <row r="1719" spans="97:117" x14ac:dyDescent="0.2"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</row>
    <row r="1720" spans="97:117" x14ac:dyDescent="0.2"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</row>
    <row r="1721" spans="97:117" x14ac:dyDescent="0.2"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</row>
    <row r="1722" spans="97:117" x14ac:dyDescent="0.2"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/>
      <c r="DC1722" s="16"/>
      <c r="DD1722" s="16"/>
      <c r="DE1722" s="16"/>
      <c r="DF1722" s="16"/>
      <c r="DG1722" s="16"/>
      <c r="DH1722" s="16"/>
      <c r="DI1722" s="16"/>
      <c r="DJ1722" s="16"/>
      <c r="DK1722" s="16"/>
      <c r="DL1722" s="16"/>
      <c r="DM1722" s="16"/>
    </row>
    <row r="1723" spans="97:117" x14ac:dyDescent="0.2">
      <c r="CS1723" s="16"/>
      <c r="CT1723" s="16"/>
      <c r="CU1723" s="16"/>
      <c r="CV1723" s="16"/>
      <c r="CW1723" s="16"/>
      <c r="CX1723" s="16"/>
      <c r="CY1723" s="16"/>
      <c r="CZ1723" s="16"/>
      <c r="DA1723" s="16"/>
      <c r="DB1723" s="16"/>
      <c r="DC1723" s="16"/>
      <c r="DD1723" s="16"/>
      <c r="DE1723" s="16"/>
      <c r="DF1723" s="16"/>
      <c r="DG1723" s="16"/>
      <c r="DH1723" s="16"/>
      <c r="DI1723" s="16"/>
      <c r="DJ1723" s="16"/>
      <c r="DK1723" s="16"/>
      <c r="DL1723" s="16"/>
      <c r="DM1723" s="16"/>
    </row>
    <row r="1724" spans="97:117" x14ac:dyDescent="0.2"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</row>
    <row r="1725" spans="97:117" x14ac:dyDescent="0.2"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</row>
    <row r="1726" spans="97:117" x14ac:dyDescent="0.2"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</row>
    <row r="1727" spans="97:117" x14ac:dyDescent="0.2"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</row>
    <row r="1728" spans="97:117" x14ac:dyDescent="0.2"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</row>
    <row r="1729" spans="97:117" x14ac:dyDescent="0.2"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</row>
    <row r="1730" spans="97:117" x14ac:dyDescent="0.2">
      <c r="CS1730" s="16"/>
      <c r="CT1730" s="16"/>
      <c r="CU1730" s="16"/>
      <c r="CV1730" s="16"/>
      <c r="CW1730" s="16"/>
      <c r="CX1730" s="16"/>
      <c r="CY1730" s="16"/>
      <c r="CZ1730" s="16"/>
      <c r="DA1730" s="16"/>
      <c r="DB1730" s="16"/>
      <c r="DC1730" s="16"/>
      <c r="DD1730" s="16"/>
      <c r="DE1730" s="16"/>
      <c r="DF1730" s="16"/>
      <c r="DG1730" s="16"/>
      <c r="DH1730" s="16"/>
      <c r="DI1730" s="16"/>
      <c r="DJ1730" s="16"/>
      <c r="DK1730" s="16"/>
      <c r="DL1730" s="16"/>
      <c r="DM1730" s="16"/>
    </row>
    <row r="1731" spans="97:117" x14ac:dyDescent="0.2">
      <c r="CS1731" s="16"/>
      <c r="CT1731" s="16"/>
      <c r="CU1731" s="16"/>
      <c r="CV1731" s="16"/>
      <c r="CW1731" s="16"/>
      <c r="CX1731" s="16"/>
      <c r="CY1731" s="16"/>
      <c r="CZ1731" s="16"/>
      <c r="DA1731" s="16"/>
      <c r="DB1731" s="16"/>
      <c r="DC1731" s="16"/>
      <c r="DD1731" s="16"/>
      <c r="DE1731" s="16"/>
      <c r="DF1731" s="16"/>
      <c r="DG1731" s="16"/>
      <c r="DH1731" s="16"/>
      <c r="DI1731" s="16"/>
      <c r="DJ1731" s="16"/>
      <c r="DK1731" s="16"/>
      <c r="DL1731" s="16"/>
      <c r="DM1731" s="16"/>
    </row>
    <row r="1732" spans="97:117" x14ac:dyDescent="0.2"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</row>
    <row r="1733" spans="97:117" x14ac:dyDescent="0.2"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</row>
    <row r="1734" spans="97:117" x14ac:dyDescent="0.2"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</row>
    <row r="1735" spans="97:117" x14ac:dyDescent="0.2"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</row>
    <row r="1736" spans="97:117" x14ac:dyDescent="0.2"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</row>
    <row r="1737" spans="97:117" x14ac:dyDescent="0.2"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</row>
    <row r="1738" spans="97:117" x14ac:dyDescent="0.2">
      <c r="CS1738" s="16"/>
      <c r="CT1738" s="16"/>
      <c r="CU1738" s="16"/>
      <c r="CV1738" s="16"/>
      <c r="CW1738" s="16"/>
      <c r="CX1738" s="16"/>
      <c r="CY1738" s="16"/>
      <c r="CZ1738" s="16"/>
      <c r="DA1738" s="16"/>
      <c r="DB1738" s="16"/>
      <c r="DC1738" s="16"/>
      <c r="DD1738" s="16"/>
      <c r="DE1738" s="16"/>
      <c r="DF1738" s="16"/>
      <c r="DG1738" s="16"/>
      <c r="DH1738" s="16"/>
      <c r="DI1738" s="16"/>
      <c r="DJ1738" s="16"/>
      <c r="DK1738" s="16"/>
      <c r="DL1738" s="16"/>
      <c r="DM1738" s="16"/>
    </row>
    <row r="1739" spans="97:117" x14ac:dyDescent="0.2"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/>
      <c r="DC1739" s="16"/>
      <c r="DD1739" s="16"/>
      <c r="DE1739" s="16"/>
      <c r="DF1739" s="16"/>
      <c r="DG1739" s="16"/>
      <c r="DH1739" s="16"/>
      <c r="DI1739" s="16"/>
      <c r="DJ1739" s="16"/>
      <c r="DK1739" s="16"/>
      <c r="DL1739" s="16"/>
      <c r="DM1739" s="16"/>
    </row>
    <row r="1740" spans="97:117" x14ac:dyDescent="0.2"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</row>
    <row r="1741" spans="97:117" x14ac:dyDescent="0.2"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</row>
    <row r="1742" spans="97:117" x14ac:dyDescent="0.2"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</row>
    <row r="1743" spans="97:117" x14ac:dyDescent="0.2"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</row>
    <row r="1744" spans="97:117" x14ac:dyDescent="0.2"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</row>
    <row r="1745" spans="97:117" x14ac:dyDescent="0.2"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</row>
    <row r="1746" spans="97:117" x14ac:dyDescent="0.2">
      <c r="CS1746" s="16"/>
      <c r="CT1746" s="16"/>
      <c r="CU1746" s="16"/>
      <c r="CV1746" s="16"/>
      <c r="CW1746" s="16"/>
      <c r="CX1746" s="16"/>
      <c r="CY1746" s="16"/>
      <c r="CZ1746" s="16"/>
      <c r="DA1746" s="16"/>
      <c r="DB1746" s="16"/>
      <c r="DC1746" s="16"/>
      <c r="DD1746" s="16"/>
      <c r="DE1746" s="16"/>
      <c r="DF1746" s="16"/>
      <c r="DG1746" s="16"/>
      <c r="DH1746" s="16"/>
      <c r="DI1746" s="16"/>
      <c r="DJ1746" s="16"/>
      <c r="DK1746" s="16"/>
      <c r="DL1746" s="16"/>
      <c r="DM1746" s="16"/>
    </row>
    <row r="1747" spans="97:117" x14ac:dyDescent="0.2">
      <c r="CS1747" s="16"/>
      <c r="CT1747" s="16"/>
      <c r="CU1747" s="16"/>
      <c r="CV1747" s="16"/>
      <c r="CW1747" s="16"/>
      <c r="CX1747" s="16"/>
      <c r="CY1747" s="16"/>
      <c r="CZ1747" s="16"/>
      <c r="DA1747" s="16"/>
      <c r="DB1747" s="16"/>
      <c r="DC1747" s="16"/>
      <c r="DD1747" s="16"/>
      <c r="DE1747" s="16"/>
      <c r="DF1747" s="16"/>
      <c r="DG1747" s="16"/>
      <c r="DH1747" s="16"/>
      <c r="DI1747" s="16"/>
      <c r="DJ1747" s="16"/>
      <c r="DK1747" s="16"/>
      <c r="DL1747" s="16"/>
      <c r="DM1747" s="16"/>
    </row>
    <row r="1748" spans="97:117" x14ac:dyDescent="0.2"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</row>
    <row r="1749" spans="97:117" x14ac:dyDescent="0.2"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</row>
    <row r="1750" spans="97:117" x14ac:dyDescent="0.2"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</row>
    <row r="1751" spans="97:117" x14ac:dyDescent="0.2"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</row>
    <row r="1752" spans="97:117" x14ac:dyDescent="0.2"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</row>
    <row r="1753" spans="97:117" x14ac:dyDescent="0.2"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</row>
    <row r="1754" spans="97:117" x14ac:dyDescent="0.2">
      <c r="CS1754" s="16"/>
      <c r="CT1754" s="16"/>
      <c r="CU1754" s="16"/>
      <c r="CV1754" s="16"/>
      <c r="CW1754" s="16"/>
      <c r="CX1754" s="16"/>
      <c r="CY1754" s="16"/>
      <c r="CZ1754" s="16"/>
      <c r="DA1754" s="16"/>
      <c r="DB1754" s="16"/>
      <c r="DC1754" s="16"/>
      <c r="DD1754" s="16"/>
      <c r="DE1754" s="16"/>
      <c r="DF1754" s="16"/>
      <c r="DG1754" s="16"/>
      <c r="DH1754" s="16"/>
      <c r="DI1754" s="16"/>
      <c r="DJ1754" s="16"/>
      <c r="DK1754" s="16"/>
      <c r="DL1754" s="16"/>
      <c r="DM1754" s="16"/>
    </row>
    <row r="1755" spans="97:117" x14ac:dyDescent="0.2">
      <c r="CS1755" s="16"/>
      <c r="CT1755" s="16"/>
      <c r="CU1755" s="16"/>
      <c r="CV1755" s="16"/>
      <c r="CW1755" s="16"/>
      <c r="CX1755" s="16"/>
      <c r="CY1755" s="16"/>
      <c r="CZ1755" s="16"/>
      <c r="DA1755" s="16"/>
      <c r="DB1755" s="16"/>
      <c r="DC1755" s="16"/>
      <c r="DD1755" s="16"/>
      <c r="DE1755" s="16"/>
      <c r="DF1755" s="16"/>
      <c r="DG1755" s="16"/>
      <c r="DH1755" s="16"/>
      <c r="DI1755" s="16"/>
      <c r="DJ1755" s="16"/>
      <c r="DK1755" s="16"/>
      <c r="DL1755" s="16"/>
      <c r="DM1755" s="16"/>
    </row>
    <row r="1756" spans="97:117" x14ac:dyDescent="0.2"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</row>
    <row r="1757" spans="97:117" x14ac:dyDescent="0.2"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</row>
    <row r="1758" spans="97:117" x14ac:dyDescent="0.2"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</row>
    <row r="1759" spans="97:117" x14ac:dyDescent="0.2"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</row>
    <row r="1760" spans="97:117" x14ac:dyDescent="0.2"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</row>
    <row r="1761" spans="97:117" x14ac:dyDescent="0.2"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</row>
    <row r="1762" spans="97:117" x14ac:dyDescent="0.2">
      <c r="CS1762" s="16"/>
      <c r="CT1762" s="16"/>
      <c r="CU1762" s="16"/>
      <c r="CV1762" s="16"/>
      <c r="CW1762" s="16"/>
      <c r="CX1762" s="16"/>
      <c r="CY1762" s="16"/>
      <c r="CZ1762" s="16"/>
      <c r="DA1762" s="16"/>
      <c r="DB1762" s="16"/>
      <c r="DC1762" s="16"/>
      <c r="DD1762" s="16"/>
      <c r="DE1762" s="16"/>
      <c r="DF1762" s="16"/>
      <c r="DG1762" s="16"/>
      <c r="DH1762" s="16"/>
      <c r="DI1762" s="16"/>
      <c r="DJ1762" s="16"/>
      <c r="DK1762" s="16"/>
      <c r="DL1762" s="16"/>
      <c r="DM1762" s="16"/>
    </row>
    <row r="1763" spans="97:117" x14ac:dyDescent="0.2">
      <c r="CS1763" s="16"/>
      <c r="CT1763" s="16"/>
      <c r="CU1763" s="16"/>
      <c r="CV1763" s="16"/>
      <c r="CW1763" s="16"/>
      <c r="CX1763" s="16"/>
      <c r="CY1763" s="16"/>
      <c r="CZ1763" s="16"/>
      <c r="DA1763" s="16"/>
      <c r="DB1763" s="16"/>
      <c r="DC1763" s="16"/>
      <c r="DD1763" s="16"/>
      <c r="DE1763" s="16"/>
      <c r="DF1763" s="16"/>
      <c r="DG1763" s="16"/>
      <c r="DH1763" s="16"/>
      <c r="DI1763" s="16"/>
      <c r="DJ1763" s="16"/>
      <c r="DK1763" s="16"/>
      <c r="DL1763" s="16"/>
      <c r="DM1763" s="16"/>
    </row>
    <row r="1764" spans="97:117" x14ac:dyDescent="0.2"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</row>
    <row r="1765" spans="97:117" x14ac:dyDescent="0.2"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</row>
    <row r="1766" spans="97:117" x14ac:dyDescent="0.2"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</row>
    <row r="1767" spans="97:117" x14ac:dyDescent="0.2"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</row>
    <row r="1768" spans="97:117" x14ac:dyDescent="0.2"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</row>
    <row r="1769" spans="97:117" x14ac:dyDescent="0.2"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</row>
    <row r="1770" spans="97:117" x14ac:dyDescent="0.2"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/>
      <c r="DC1770" s="16"/>
      <c r="DD1770" s="16"/>
      <c r="DE1770" s="16"/>
      <c r="DF1770" s="16"/>
      <c r="DG1770" s="16"/>
      <c r="DH1770" s="16"/>
      <c r="DI1770" s="16"/>
      <c r="DJ1770" s="16"/>
      <c r="DK1770" s="16"/>
      <c r="DL1770" s="16"/>
      <c r="DM1770" s="16"/>
    </row>
    <row r="1771" spans="97:117" x14ac:dyDescent="0.2">
      <c r="CS1771" s="16"/>
      <c r="CT1771" s="16"/>
      <c r="CU1771" s="16"/>
      <c r="CV1771" s="16"/>
      <c r="CW1771" s="16"/>
      <c r="CX1771" s="16"/>
      <c r="CY1771" s="16"/>
      <c r="CZ1771" s="16"/>
      <c r="DA1771" s="16"/>
      <c r="DB1771" s="16"/>
      <c r="DC1771" s="16"/>
      <c r="DD1771" s="16"/>
      <c r="DE1771" s="16"/>
      <c r="DF1771" s="16"/>
      <c r="DG1771" s="16"/>
      <c r="DH1771" s="16"/>
      <c r="DI1771" s="16"/>
      <c r="DJ1771" s="16"/>
      <c r="DK1771" s="16"/>
      <c r="DL1771" s="16"/>
      <c r="DM1771" s="16"/>
    </row>
    <row r="1772" spans="97:117" x14ac:dyDescent="0.2"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</row>
    <row r="1773" spans="97:117" x14ac:dyDescent="0.2"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</row>
    <row r="1774" spans="97:117" x14ac:dyDescent="0.2"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</row>
    <row r="1775" spans="97:117" x14ac:dyDescent="0.2"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</row>
    <row r="1776" spans="97:117" x14ac:dyDescent="0.2"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</row>
    <row r="1777" spans="97:117" x14ac:dyDescent="0.2"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</row>
    <row r="1778" spans="97:117" x14ac:dyDescent="0.2">
      <c r="CS1778" s="16"/>
      <c r="CT1778" s="16"/>
      <c r="CU1778" s="16"/>
      <c r="CV1778" s="16"/>
      <c r="CW1778" s="16"/>
      <c r="CX1778" s="16"/>
      <c r="CY1778" s="16"/>
      <c r="CZ1778" s="16"/>
      <c r="DA1778" s="16"/>
      <c r="DB1778" s="16"/>
      <c r="DC1778" s="16"/>
      <c r="DD1778" s="16"/>
      <c r="DE1778" s="16"/>
      <c r="DF1778" s="16"/>
      <c r="DG1778" s="16"/>
      <c r="DH1778" s="16"/>
      <c r="DI1778" s="16"/>
      <c r="DJ1778" s="16"/>
      <c r="DK1778" s="16"/>
      <c r="DL1778" s="16"/>
      <c r="DM1778" s="16"/>
    </row>
    <row r="1779" spans="97:117" x14ac:dyDescent="0.2"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/>
      <c r="DC1779" s="16"/>
      <c r="DD1779" s="16"/>
      <c r="DE1779" s="16"/>
      <c r="DF1779" s="16"/>
      <c r="DG1779" s="16"/>
      <c r="DH1779" s="16"/>
      <c r="DI1779" s="16"/>
      <c r="DJ1779" s="16"/>
      <c r="DK1779" s="16"/>
      <c r="DL1779" s="16"/>
      <c r="DM1779" s="16"/>
    </row>
    <row r="1780" spans="97:117" x14ac:dyDescent="0.2"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</row>
    <row r="1781" spans="97:117" x14ac:dyDescent="0.2"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</row>
    <row r="1782" spans="97:117" x14ac:dyDescent="0.2"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</row>
    <row r="1783" spans="97:117" x14ac:dyDescent="0.2"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</row>
    <row r="1784" spans="97:117" x14ac:dyDescent="0.2"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</row>
    <row r="1785" spans="97:117" x14ac:dyDescent="0.2"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</row>
    <row r="1786" spans="97:117" x14ac:dyDescent="0.2">
      <c r="CS1786" s="16"/>
      <c r="CT1786" s="16"/>
      <c r="CU1786" s="16"/>
      <c r="CV1786" s="16"/>
      <c r="CW1786" s="16"/>
      <c r="CX1786" s="16"/>
      <c r="CY1786" s="16"/>
      <c r="CZ1786" s="16"/>
      <c r="DA1786" s="16"/>
      <c r="DB1786" s="16"/>
      <c r="DC1786" s="16"/>
      <c r="DD1786" s="16"/>
      <c r="DE1786" s="16"/>
      <c r="DF1786" s="16"/>
      <c r="DG1786" s="16"/>
      <c r="DH1786" s="16"/>
      <c r="DI1786" s="16"/>
      <c r="DJ1786" s="16"/>
      <c r="DK1786" s="16"/>
      <c r="DL1786" s="16"/>
      <c r="DM1786" s="16"/>
    </row>
    <row r="1787" spans="97:117" x14ac:dyDescent="0.2">
      <c r="CS1787" s="16"/>
      <c r="CT1787" s="16"/>
      <c r="CU1787" s="16"/>
      <c r="CV1787" s="16"/>
      <c r="CW1787" s="16"/>
      <c r="CX1787" s="16"/>
      <c r="CY1787" s="16"/>
      <c r="CZ1787" s="16"/>
      <c r="DA1787" s="16"/>
      <c r="DB1787" s="16"/>
      <c r="DC1787" s="16"/>
      <c r="DD1787" s="16"/>
      <c r="DE1787" s="16"/>
      <c r="DF1787" s="16"/>
      <c r="DG1787" s="16"/>
      <c r="DH1787" s="16"/>
      <c r="DI1787" s="16"/>
      <c r="DJ1787" s="16"/>
      <c r="DK1787" s="16"/>
      <c r="DL1787" s="16"/>
      <c r="DM1787" s="16"/>
    </row>
    <row r="1788" spans="97:117" x14ac:dyDescent="0.2"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</row>
    <row r="1789" spans="97:117" x14ac:dyDescent="0.2"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</row>
    <row r="1790" spans="97:117" x14ac:dyDescent="0.2"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</row>
    <row r="1791" spans="97:117" x14ac:dyDescent="0.2"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</row>
    <row r="1792" spans="97:117" x14ac:dyDescent="0.2"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</row>
    <row r="1793" spans="97:117" x14ac:dyDescent="0.2"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</row>
    <row r="1794" spans="97:117" x14ac:dyDescent="0.2">
      <c r="CS1794" s="16"/>
      <c r="CT1794" s="16"/>
      <c r="CU1794" s="16"/>
      <c r="CV1794" s="16"/>
      <c r="CW1794" s="16"/>
      <c r="CX1794" s="16"/>
      <c r="CY1794" s="16"/>
      <c r="CZ1794" s="16"/>
      <c r="DA1794" s="16"/>
      <c r="DB1794" s="16"/>
      <c r="DC1794" s="16"/>
      <c r="DD1794" s="16"/>
      <c r="DE1794" s="16"/>
      <c r="DF1794" s="16"/>
      <c r="DG1794" s="16"/>
      <c r="DH1794" s="16"/>
      <c r="DI1794" s="16"/>
      <c r="DJ1794" s="16"/>
      <c r="DK1794" s="16"/>
      <c r="DL1794" s="16"/>
      <c r="DM1794" s="16"/>
    </row>
    <row r="1795" spans="97:117" x14ac:dyDescent="0.2">
      <c r="CS1795" s="16"/>
      <c r="CT1795" s="16"/>
      <c r="CU1795" s="16"/>
      <c r="CV1795" s="16"/>
      <c r="CW1795" s="16"/>
      <c r="CX1795" s="16"/>
      <c r="CY1795" s="16"/>
      <c r="CZ1795" s="16"/>
      <c r="DA1795" s="16"/>
      <c r="DB1795" s="16"/>
      <c r="DC1795" s="16"/>
      <c r="DD1795" s="16"/>
      <c r="DE1795" s="16"/>
      <c r="DF1795" s="16"/>
      <c r="DG1795" s="16"/>
      <c r="DH1795" s="16"/>
      <c r="DI1795" s="16"/>
      <c r="DJ1795" s="16"/>
      <c r="DK1795" s="16"/>
      <c r="DL1795" s="16"/>
      <c r="DM1795" s="16"/>
    </row>
    <row r="1796" spans="97:117" x14ac:dyDescent="0.2"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</row>
    <row r="1797" spans="97:117" x14ac:dyDescent="0.2"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</row>
    <row r="1798" spans="97:117" x14ac:dyDescent="0.2"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</row>
    <row r="1799" spans="97:117" x14ac:dyDescent="0.2"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</row>
    <row r="1800" spans="97:117" x14ac:dyDescent="0.2"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</row>
    <row r="1801" spans="97:117" x14ac:dyDescent="0.2"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</row>
    <row r="1802" spans="97:117" x14ac:dyDescent="0.2"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/>
      <c r="DC1802" s="16"/>
      <c r="DD1802" s="16"/>
      <c r="DE1802" s="16"/>
      <c r="DF1802" s="16"/>
      <c r="DG1802" s="16"/>
      <c r="DH1802" s="16"/>
      <c r="DI1802" s="16"/>
      <c r="DJ1802" s="16"/>
      <c r="DK1802" s="16"/>
      <c r="DL1802" s="16"/>
      <c r="DM1802" s="16"/>
    </row>
    <row r="1803" spans="97:117" x14ac:dyDescent="0.2"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/>
      <c r="DC1803" s="16"/>
      <c r="DD1803" s="16"/>
      <c r="DE1803" s="16"/>
      <c r="DF1803" s="16"/>
      <c r="DG1803" s="16"/>
      <c r="DH1803" s="16"/>
      <c r="DI1803" s="16"/>
      <c r="DJ1803" s="16"/>
      <c r="DK1803" s="16"/>
      <c r="DL1803" s="16"/>
      <c r="DM1803" s="16"/>
    </row>
    <row r="1804" spans="97:117" x14ac:dyDescent="0.2"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</row>
    <row r="1805" spans="97:117" x14ac:dyDescent="0.2"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</row>
    <row r="1806" spans="97:117" x14ac:dyDescent="0.2"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</row>
    <row r="1807" spans="97:117" x14ac:dyDescent="0.2"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</row>
    <row r="1808" spans="97:117" x14ac:dyDescent="0.2"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</row>
    <row r="1809" spans="97:117" x14ac:dyDescent="0.2"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</row>
    <row r="1810" spans="97:117" x14ac:dyDescent="0.2">
      <c r="CS1810" s="16"/>
      <c r="CT1810" s="16"/>
      <c r="CU1810" s="16"/>
      <c r="CV1810" s="16"/>
      <c r="CW1810" s="16"/>
      <c r="CX1810" s="16"/>
      <c r="CY1810" s="16"/>
      <c r="CZ1810" s="16"/>
      <c r="DA1810" s="16"/>
      <c r="DB1810" s="16"/>
      <c r="DC1810" s="16"/>
      <c r="DD1810" s="16"/>
      <c r="DE1810" s="16"/>
      <c r="DF1810" s="16"/>
      <c r="DG1810" s="16"/>
      <c r="DH1810" s="16"/>
      <c r="DI1810" s="16"/>
      <c r="DJ1810" s="16"/>
      <c r="DK1810" s="16"/>
      <c r="DL1810" s="16"/>
      <c r="DM1810" s="16"/>
    </row>
    <row r="1811" spans="97:117" x14ac:dyDescent="0.2">
      <c r="CS1811" s="16"/>
      <c r="CT1811" s="16"/>
      <c r="CU1811" s="16"/>
      <c r="CV1811" s="16"/>
      <c r="CW1811" s="16"/>
      <c r="CX1811" s="16"/>
      <c r="CY1811" s="16"/>
      <c r="CZ1811" s="16"/>
      <c r="DA1811" s="16"/>
      <c r="DB1811" s="16"/>
      <c r="DC1811" s="16"/>
      <c r="DD1811" s="16"/>
      <c r="DE1811" s="16"/>
      <c r="DF1811" s="16"/>
      <c r="DG1811" s="16"/>
      <c r="DH1811" s="16"/>
      <c r="DI1811" s="16"/>
      <c r="DJ1811" s="16"/>
      <c r="DK1811" s="16"/>
      <c r="DL1811" s="16"/>
      <c r="DM1811" s="16"/>
    </row>
    <row r="1812" spans="97:117" x14ac:dyDescent="0.2"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</row>
    <row r="1813" spans="97:117" x14ac:dyDescent="0.2"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</row>
    <row r="1814" spans="97:117" x14ac:dyDescent="0.2"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</row>
    <row r="1815" spans="97:117" x14ac:dyDescent="0.2"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</row>
    <row r="1816" spans="97:117" x14ac:dyDescent="0.2"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</row>
    <row r="1817" spans="97:117" x14ac:dyDescent="0.2"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</row>
    <row r="1818" spans="97:117" x14ac:dyDescent="0.2"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/>
      <c r="DC1818" s="16"/>
      <c r="DD1818" s="16"/>
      <c r="DE1818" s="16"/>
      <c r="DF1818" s="16"/>
      <c r="DG1818" s="16"/>
      <c r="DH1818" s="16"/>
      <c r="DI1818" s="16"/>
      <c r="DJ1818" s="16"/>
      <c r="DK1818" s="16"/>
      <c r="DL1818" s="16"/>
      <c r="DM1818" s="16"/>
    </row>
    <row r="1819" spans="97:117" x14ac:dyDescent="0.2">
      <c r="CS1819" s="16"/>
      <c r="CT1819" s="16"/>
      <c r="CU1819" s="16"/>
      <c r="CV1819" s="16"/>
      <c r="CW1819" s="16"/>
      <c r="CX1819" s="16"/>
      <c r="CY1819" s="16"/>
      <c r="CZ1819" s="16"/>
      <c r="DA1819" s="16"/>
      <c r="DB1819" s="16"/>
      <c r="DC1819" s="16"/>
      <c r="DD1819" s="16"/>
      <c r="DE1819" s="16"/>
      <c r="DF1819" s="16"/>
      <c r="DG1819" s="16"/>
      <c r="DH1819" s="16"/>
      <c r="DI1819" s="16"/>
      <c r="DJ1819" s="16"/>
      <c r="DK1819" s="16"/>
      <c r="DL1819" s="16"/>
      <c r="DM1819" s="16"/>
    </row>
    <row r="1820" spans="97:117" x14ac:dyDescent="0.2"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</row>
    <row r="1821" spans="97:117" x14ac:dyDescent="0.2"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</row>
    <row r="1822" spans="97:117" x14ac:dyDescent="0.2"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</row>
    <row r="1823" spans="97:117" x14ac:dyDescent="0.2"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</row>
    <row r="1824" spans="97:117" x14ac:dyDescent="0.2"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</row>
    <row r="1825" spans="97:117" x14ac:dyDescent="0.2"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</row>
    <row r="1826" spans="97:117" x14ac:dyDescent="0.2">
      <c r="CS1826" s="16"/>
      <c r="CT1826" s="16"/>
      <c r="CU1826" s="16"/>
      <c r="CV1826" s="16"/>
      <c r="CW1826" s="16"/>
      <c r="CX1826" s="16"/>
      <c r="CY1826" s="16"/>
      <c r="CZ1826" s="16"/>
      <c r="DA1826" s="16"/>
      <c r="DB1826" s="16"/>
      <c r="DC1826" s="16"/>
      <c r="DD1826" s="16"/>
      <c r="DE1826" s="16"/>
      <c r="DF1826" s="16"/>
      <c r="DG1826" s="16"/>
      <c r="DH1826" s="16"/>
      <c r="DI1826" s="16"/>
      <c r="DJ1826" s="16"/>
      <c r="DK1826" s="16"/>
      <c r="DL1826" s="16"/>
      <c r="DM1826" s="16"/>
    </row>
    <row r="1827" spans="97:117" x14ac:dyDescent="0.2"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/>
      <c r="DC1827" s="16"/>
      <c r="DD1827" s="16"/>
      <c r="DE1827" s="16"/>
      <c r="DF1827" s="16"/>
      <c r="DG1827" s="16"/>
      <c r="DH1827" s="16"/>
      <c r="DI1827" s="16"/>
      <c r="DJ1827" s="16"/>
      <c r="DK1827" s="16"/>
      <c r="DL1827" s="16"/>
      <c r="DM1827" s="16"/>
    </row>
    <row r="1828" spans="97:117" x14ac:dyDescent="0.2"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</row>
    <row r="1829" spans="97:117" x14ac:dyDescent="0.2"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</row>
    <row r="1830" spans="97:117" x14ac:dyDescent="0.2"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</row>
    <row r="1831" spans="97:117" x14ac:dyDescent="0.2"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</row>
    <row r="1832" spans="97:117" x14ac:dyDescent="0.2"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</row>
    <row r="1833" spans="97:117" x14ac:dyDescent="0.2"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</row>
    <row r="1834" spans="97:117" x14ac:dyDescent="0.2">
      <c r="CS1834" s="16"/>
      <c r="CT1834" s="16"/>
      <c r="CU1834" s="16"/>
      <c r="CV1834" s="16"/>
      <c r="CW1834" s="16"/>
      <c r="CX1834" s="16"/>
      <c r="CY1834" s="16"/>
      <c r="CZ1834" s="16"/>
      <c r="DA1834" s="16"/>
      <c r="DB1834" s="16"/>
      <c r="DC1834" s="16"/>
      <c r="DD1834" s="16"/>
      <c r="DE1834" s="16"/>
      <c r="DF1834" s="16"/>
      <c r="DG1834" s="16"/>
      <c r="DH1834" s="16"/>
      <c r="DI1834" s="16"/>
      <c r="DJ1834" s="16"/>
      <c r="DK1834" s="16"/>
      <c r="DL1834" s="16"/>
      <c r="DM1834" s="16"/>
    </row>
    <row r="1835" spans="97:117" x14ac:dyDescent="0.2">
      <c r="CS1835" s="16"/>
      <c r="CT1835" s="16"/>
      <c r="CU1835" s="16"/>
      <c r="CV1835" s="16"/>
      <c r="CW1835" s="16"/>
      <c r="CX1835" s="16"/>
      <c r="CY1835" s="16"/>
      <c r="CZ1835" s="16"/>
      <c r="DA1835" s="16"/>
      <c r="DB1835" s="16"/>
      <c r="DC1835" s="16"/>
      <c r="DD1835" s="16"/>
      <c r="DE1835" s="16"/>
      <c r="DF1835" s="16"/>
      <c r="DG1835" s="16"/>
      <c r="DH1835" s="16"/>
      <c r="DI1835" s="16"/>
      <c r="DJ1835" s="16"/>
      <c r="DK1835" s="16"/>
      <c r="DL1835" s="16"/>
      <c r="DM1835" s="16"/>
    </row>
    <row r="1836" spans="97:117" x14ac:dyDescent="0.2"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</row>
    <row r="1837" spans="97:117" x14ac:dyDescent="0.2"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</row>
    <row r="1838" spans="97:117" x14ac:dyDescent="0.2">
      <c r="CS1838" s="16"/>
      <c r="CT1838" s="16"/>
      <c r="CU1838" s="16"/>
      <c r="CV1838" s="16"/>
      <c r="CW1838" s="16"/>
      <c r="CX1838" s="16"/>
      <c r="CY1838" s="16"/>
      <c r="CZ1838" s="16"/>
      <c r="DA1838" s="16"/>
      <c r="DB1838" s="16"/>
      <c r="DC1838" s="16"/>
      <c r="DD1838" s="16"/>
      <c r="DE1838" s="16"/>
      <c r="DF1838" s="16"/>
      <c r="DG1838" s="16"/>
      <c r="DH1838" s="16"/>
      <c r="DI1838" s="16"/>
      <c r="DJ1838" s="16"/>
      <c r="DK1838" s="16"/>
      <c r="DL1838" s="16"/>
      <c r="DM1838" s="16"/>
    </row>
    <row r="1839" spans="97:117" x14ac:dyDescent="0.2">
      <c r="CS1839" s="16"/>
      <c r="CT1839" s="16"/>
      <c r="CU1839" s="16"/>
      <c r="CV1839" s="16"/>
      <c r="CW1839" s="16"/>
      <c r="CX1839" s="16"/>
      <c r="CY1839" s="16"/>
      <c r="CZ1839" s="16"/>
      <c r="DA1839" s="16"/>
      <c r="DB1839" s="16"/>
      <c r="DC1839" s="16"/>
      <c r="DD1839" s="16"/>
      <c r="DE1839" s="16"/>
      <c r="DF1839" s="16"/>
      <c r="DG1839" s="16"/>
      <c r="DH1839" s="16"/>
      <c r="DI1839" s="16"/>
      <c r="DJ1839" s="16"/>
      <c r="DK1839" s="16"/>
      <c r="DL1839" s="16"/>
      <c r="DM1839" s="16"/>
    </row>
    <row r="1840" spans="97:117" x14ac:dyDescent="0.2"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/>
      <c r="DC1840" s="16"/>
      <c r="DD1840" s="16"/>
      <c r="DE1840" s="16"/>
      <c r="DF1840" s="16"/>
      <c r="DG1840" s="16"/>
      <c r="DH1840" s="16"/>
      <c r="DI1840" s="16"/>
      <c r="DJ1840" s="16"/>
      <c r="DK1840" s="16"/>
      <c r="DL1840" s="16"/>
      <c r="DM1840" s="16"/>
    </row>
    <row r="1841" spans="97:117" x14ac:dyDescent="0.2">
      <c r="CS1841" s="16"/>
      <c r="CT1841" s="16"/>
      <c r="CU1841" s="16"/>
      <c r="CV1841" s="16"/>
      <c r="CW1841" s="16"/>
      <c r="CX1841" s="16"/>
      <c r="CY1841" s="16"/>
      <c r="CZ1841" s="16"/>
      <c r="DA1841" s="16"/>
      <c r="DB1841" s="16"/>
      <c r="DC1841" s="16"/>
      <c r="DD1841" s="16"/>
      <c r="DE1841" s="16"/>
      <c r="DF1841" s="16"/>
      <c r="DG1841" s="16"/>
      <c r="DH1841" s="16"/>
      <c r="DI1841" s="16"/>
      <c r="DJ1841" s="16"/>
      <c r="DK1841" s="16"/>
      <c r="DL1841" s="16"/>
      <c r="DM1841" s="16"/>
    </row>
    <row r="1842" spans="97:117" x14ac:dyDescent="0.2">
      <c r="CS1842" s="16"/>
      <c r="CT1842" s="16"/>
      <c r="CU1842" s="16"/>
      <c r="CV1842" s="16"/>
      <c r="CW1842" s="16"/>
      <c r="CX1842" s="16"/>
      <c r="CY1842" s="16"/>
      <c r="CZ1842" s="16"/>
      <c r="DA1842" s="16"/>
      <c r="DB1842" s="16"/>
      <c r="DC1842" s="16"/>
      <c r="DD1842" s="16"/>
      <c r="DE1842" s="16"/>
      <c r="DF1842" s="16"/>
      <c r="DG1842" s="16"/>
      <c r="DH1842" s="16"/>
      <c r="DI1842" s="16"/>
      <c r="DJ1842" s="16"/>
      <c r="DK1842" s="16"/>
      <c r="DL1842" s="16"/>
      <c r="DM1842" s="16"/>
    </row>
    <row r="1843" spans="97:117" x14ac:dyDescent="0.2">
      <c r="CS1843" s="16"/>
      <c r="CT1843" s="16"/>
      <c r="CU1843" s="16"/>
      <c r="CV1843" s="16"/>
      <c r="CW1843" s="16"/>
      <c r="CX1843" s="16"/>
      <c r="CY1843" s="16"/>
      <c r="CZ1843" s="16"/>
      <c r="DA1843" s="16"/>
      <c r="DB1843" s="16"/>
      <c r="DC1843" s="16"/>
      <c r="DD1843" s="16"/>
      <c r="DE1843" s="16"/>
      <c r="DF1843" s="16"/>
      <c r="DG1843" s="16"/>
      <c r="DH1843" s="16"/>
      <c r="DI1843" s="16"/>
      <c r="DJ1843" s="16"/>
      <c r="DK1843" s="16"/>
      <c r="DL1843" s="16"/>
      <c r="DM1843" s="16"/>
    </row>
    <row r="1844" spans="97:117" x14ac:dyDescent="0.2">
      <c r="CS1844" s="16"/>
      <c r="CT1844" s="16"/>
      <c r="CU1844" s="16"/>
      <c r="CV1844" s="16"/>
      <c r="CW1844" s="16"/>
      <c r="CX1844" s="16"/>
      <c r="CY1844" s="16"/>
      <c r="CZ1844" s="16"/>
      <c r="DA1844" s="16"/>
      <c r="DB1844" s="16"/>
      <c r="DC1844" s="16"/>
      <c r="DD1844" s="16"/>
      <c r="DE1844" s="16"/>
      <c r="DF1844" s="16"/>
      <c r="DG1844" s="16"/>
      <c r="DH1844" s="16"/>
      <c r="DI1844" s="16"/>
      <c r="DJ1844" s="16"/>
      <c r="DK1844" s="16"/>
      <c r="DL1844" s="16"/>
      <c r="DM1844" s="16"/>
    </row>
    <row r="1845" spans="97:117" x14ac:dyDescent="0.2">
      <c r="CS1845" s="16"/>
      <c r="CT1845" s="16"/>
      <c r="CU1845" s="16"/>
      <c r="CV1845" s="16"/>
      <c r="CW1845" s="16"/>
      <c r="CX1845" s="16"/>
      <c r="CY1845" s="16"/>
      <c r="CZ1845" s="16"/>
      <c r="DA1845" s="16"/>
      <c r="DB1845" s="16"/>
      <c r="DC1845" s="16"/>
      <c r="DD1845" s="16"/>
      <c r="DE1845" s="16"/>
      <c r="DF1845" s="16"/>
      <c r="DG1845" s="16"/>
      <c r="DH1845" s="16"/>
      <c r="DI1845" s="16"/>
      <c r="DJ1845" s="16"/>
      <c r="DK1845" s="16"/>
      <c r="DL1845" s="16"/>
      <c r="DM1845" s="16"/>
    </row>
    <row r="1846" spans="97:117" x14ac:dyDescent="0.2"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/>
      <c r="DC1846" s="16"/>
      <c r="DD1846" s="16"/>
      <c r="DE1846" s="16"/>
      <c r="DF1846" s="16"/>
      <c r="DG1846" s="16"/>
      <c r="DH1846" s="16"/>
      <c r="DI1846" s="16"/>
      <c r="DJ1846" s="16"/>
      <c r="DK1846" s="16"/>
      <c r="DL1846" s="16"/>
      <c r="DM1846" s="16"/>
    </row>
    <row r="1847" spans="97:117" x14ac:dyDescent="0.2">
      <c r="CS1847" s="16"/>
      <c r="CT1847" s="16"/>
      <c r="CU1847" s="16"/>
      <c r="CV1847" s="16"/>
      <c r="CW1847" s="16"/>
      <c r="CX1847" s="16"/>
      <c r="CY1847" s="16"/>
      <c r="CZ1847" s="16"/>
      <c r="DA1847" s="16"/>
      <c r="DB1847" s="16"/>
      <c r="DC1847" s="16"/>
      <c r="DD1847" s="16"/>
      <c r="DE1847" s="16"/>
      <c r="DF1847" s="16"/>
      <c r="DG1847" s="16"/>
      <c r="DH1847" s="16"/>
      <c r="DI1847" s="16"/>
      <c r="DJ1847" s="16"/>
      <c r="DK1847" s="16"/>
      <c r="DL1847" s="16"/>
      <c r="DM1847" s="16"/>
    </row>
    <row r="1848" spans="97:117" x14ac:dyDescent="0.2"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/>
      <c r="DC1848" s="16"/>
      <c r="DD1848" s="16"/>
      <c r="DE1848" s="16"/>
      <c r="DF1848" s="16"/>
      <c r="DG1848" s="16"/>
      <c r="DH1848" s="16"/>
      <c r="DI1848" s="16"/>
      <c r="DJ1848" s="16"/>
      <c r="DK1848" s="16"/>
      <c r="DL1848" s="16"/>
      <c r="DM1848" s="16"/>
    </row>
    <row r="1849" spans="97:117" x14ac:dyDescent="0.2">
      <c r="CS1849" s="16"/>
      <c r="CT1849" s="16"/>
      <c r="CU1849" s="16"/>
      <c r="CV1849" s="16"/>
      <c r="CW1849" s="16"/>
      <c r="CX1849" s="16"/>
      <c r="CY1849" s="16"/>
      <c r="CZ1849" s="16"/>
      <c r="DA1849" s="16"/>
      <c r="DB1849" s="16"/>
      <c r="DC1849" s="16"/>
      <c r="DD1849" s="16"/>
      <c r="DE1849" s="16"/>
      <c r="DF1849" s="16"/>
      <c r="DG1849" s="16"/>
      <c r="DH1849" s="16"/>
      <c r="DI1849" s="16"/>
      <c r="DJ1849" s="16"/>
      <c r="DK1849" s="16"/>
      <c r="DL1849" s="16"/>
      <c r="DM1849" s="16"/>
    </row>
    <row r="1850" spans="97:117" x14ac:dyDescent="0.2">
      <c r="CS1850" s="16"/>
      <c r="CT1850" s="16"/>
      <c r="CU1850" s="16"/>
      <c r="CV1850" s="16"/>
      <c r="CW1850" s="16"/>
      <c r="CX1850" s="16"/>
      <c r="CY1850" s="16"/>
      <c r="CZ1850" s="16"/>
      <c r="DA1850" s="16"/>
      <c r="DB1850" s="16"/>
      <c r="DC1850" s="16"/>
      <c r="DD1850" s="16"/>
      <c r="DE1850" s="16"/>
      <c r="DF1850" s="16"/>
      <c r="DG1850" s="16"/>
      <c r="DH1850" s="16"/>
      <c r="DI1850" s="16"/>
      <c r="DJ1850" s="16"/>
      <c r="DK1850" s="16"/>
      <c r="DL1850" s="16"/>
      <c r="DM1850" s="16"/>
    </row>
    <row r="1851" spans="97:117" x14ac:dyDescent="0.2">
      <c r="CS1851" s="16"/>
      <c r="CT1851" s="16"/>
      <c r="CU1851" s="16"/>
      <c r="CV1851" s="16"/>
      <c r="CW1851" s="16"/>
      <c r="CX1851" s="16"/>
      <c r="CY1851" s="16"/>
      <c r="CZ1851" s="16"/>
      <c r="DA1851" s="16"/>
      <c r="DB1851" s="16"/>
      <c r="DC1851" s="16"/>
      <c r="DD1851" s="16"/>
      <c r="DE1851" s="16"/>
      <c r="DF1851" s="16"/>
      <c r="DG1851" s="16"/>
      <c r="DH1851" s="16"/>
      <c r="DI1851" s="16"/>
      <c r="DJ1851" s="16"/>
      <c r="DK1851" s="16"/>
      <c r="DL1851" s="16"/>
      <c r="DM1851" s="16"/>
    </row>
    <row r="1852" spans="97:117" x14ac:dyDescent="0.2">
      <c r="CS1852" s="16"/>
      <c r="CT1852" s="16"/>
      <c r="CU1852" s="16"/>
      <c r="CV1852" s="16"/>
      <c r="CW1852" s="16"/>
      <c r="CX1852" s="16"/>
      <c r="CY1852" s="16"/>
      <c r="CZ1852" s="16"/>
      <c r="DA1852" s="16"/>
      <c r="DB1852" s="16"/>
      <c r="DC1852" s="16"/>
      <c r="DD1852" s="16"/>
      <c r="DE1852" s="16"/>
      <c r="DF1852" s="16"/>
      <c r="DG1852" s="16"/>
      <c r="DH1852" s="16"/>
      <c r="DI1852" s="16"/>
      <c r="DJ1852" s="16"/>
      <c r="DK1852" s="16"/>
      <c r="DL1852" s="16"/>
      <c r="DM1852" s="16"/>
    </row>
    <row r="1853" spans="97:117" x14ac:dyDescent="0.2">
      <c r="CS1853" s="16"/>
      <c r="CT1853" s="16"/>
      <c r="CU1853" s="16"/>
      <c r="CV1853" s="16"/>
      <c r="CW1853" s="16"/>
      <c r="CX1853" s="16"/>
      <c r="CY1853" s="16"/>
      <c r="CZ1853" s="16"/>
      <c r="DA1853" s="16"/>
      <c r="DB1853" s="16"/>
      <c r="DC1853" s="16"/>
      <c r="DD1853" s="16"/>
      <c r="DE1853" s="16"/>
      <c r="DF1853" s="16"/>
      <c r="DG1853" s="16"/>
      <c r="DH1853" s="16"/>
      <c r="DI1853" s="16"/>
      <c r="DJ1853" s="16"/>
      <c r="DK1853" s="16"/>
      <c r="DL1853" s="16"/>
      <c r="DM1853" s="16"/>
    </row>
    <row r="1854" spans="97:117" x14ac:dyDescent="0.2">
      <c r="CS1854" s="16"/>
      <c r="CT1854" s="16"/>
      <c r="CU1854" s="16"/>
      <c r="CV1854" s="16"/>
      <c r="CW1854" s="16"/>
      <c r="CX1854" s="16"/>
      <c r="CY1854" s="16"/>
      <c r="CZ1854" s="16"/>
      <c r="DA1854" s="16"/>
      <c r="DB1854" s="16"/>
      <c r="DC1854" s="16"/>
      <c r="DD1854" s="16"/>
      <c r="DE1854" s="16"/>
      <c r="DF1854" s="16"/>
      <c r="DG1854" s="16"/>
      <c r="DH1854" s="16"/>
      <c r="DI1854" s="16"/>
      <c r="DJ1854" s="16"/>
      <c r="DK1854" s="16"/>
      <c r="DL1854" s="16"/>
      <c r="DM1854" s="16"/>
    </row>
    <row r="1855" spans="97:117" x14ac:dyDescent="0.2"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/>
      <c r="DC1855" s="16"/>
      <c r="DD1855" s="16"/>
      <c r="DE1855" s="16"/>
      <c r="DF1855" s="16"/>
      <c r="DG1855" s="16"/>
      <c r="DH1855" s="16"/>
      <c r="DI1855" s="16"/>
      <c r="DJ1855" s="16"/>
      <c r="DK1855" s="16"/>
      <c r="DL1855" s="16"/>
      <c r="DM1855" s="16"/>
    </row>
    <row r="1856" spans="97:117" x14ac:dyDescent="0.2">
      <c r="CS1856" s="16"/>
      <c r="CT1856" s="16"/>
      <c r="CU1856" s="16"/>
      <c r="CV1856" s="16"/>
      <c r="CW1856" s="16"/>
      <c r="CX1856" s="16"/>
      <c r="CY1856" s="16"/>
      <c r="CZ1856" s="16"/>
      <c r="DA1856" s="16"/>
      <c r="DB1856" s="16"/>
      <c r="DC1856" s="16"/>
      <c r="DD1856" s="16"/>
      <c r="DE1856" s="16"/>
      <c r="DF1856" s="16"/>
      <c r="DG1856" s="16"/>
      <c r="DH1856" s="16"/>
      <c r="DI1856" s="16"/>
      <c r="DJ1856" s="16"/>
      <c r="DK1856" s="16"/>
      <c r="DL1856" s="16"/>
      <c r="DM1856" s="16"/>
    </row>
    <row r="1857" spans="97:117" x14ac:dyDescent="0.2"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</row>
    <row r="1858" spans="97:117" x14ac:dyDescent="0.2">
      <c r="CS1858" s="16"/>
      <c r="CT1858" s="16"/>
      <c r="CU1858" s="16"/>
      <c r="CV1858" s="16"/>
      <c r="CW1858" s="16"/>
      <c r="CX1858" s="16"/>
      <c r="CY1858" s="16"/>
      <c r="CZ1858" s="16"/>
      <c r="DA1858" s="16"/>
      <c r="DB1858" s="16"/>
      <c r="DC1858" s="16"/>
      <c r="DD1858" s="16"/>
      <c r="DE1858" s="16"/>
      <c r="DF1858" s="16"/>
      <c r="DG1858" s="16"/>
      <c r="DH1858" s="16"/>
      <c r="DI1858" s="16"/>
      <c r="DJ1858" s="16"/>
      <c r="DK1858" s="16"/>
      <c r="DL1858" s="16"/>
      <c r="DM1858" s="16"/>
    </row>
    <row r="1859" spans="97:117" x14ac:dyDescent="0.2">
      <c r="CS1859" s="16"/>
      <c r="CT1859" s="16"/>
      <c r="CU1859" s="16"/>
      <c r="CV1859" s="16"/>
      <c r="CW1859" s="16"/>
      <c r="CX1859" s="16"/>
      <c r="CY1859" s="16"/>
      <c r="CZ1859" s="16"/>
      <c r="DA1859" s="16"/>
      <c r="DB1859" s="16"/>
      <c r="DC1859" s="16"/>
      <c r="DD1859" s="16"/>
      <c r="DE1859" s="16"/>
      <c r="DF1859" s="16"/>
      <c r="DG1859" s="16"/>
      <c r="DH1859" s="16"/>
      <c r="DI1859" s="16"/>
      <c r="DJ1859" s="16"/>
      <c r="DK1859" s="16"/>
      <c r="DL1859" s="16"/>
      <c r="DM1859" s="16"/>
    </row>
    <row r="1860" spans="97:117" x14ac:dyDescent="0.2">
      <c r="CS1860" s="16"/>
      <c r="CT1860" s="16"/>
      <c r="CU1860" s="16"/>
      <c r="CV1860" s="16"/>
      <c r="CW1860" s="16"/>
      <c r="CX1860" s="16"/>
      <c r="CY1860" s="16"/>
      <c r="CZ1860" s="16"/>
      <c r="DA1860" s="16"/>
      <c r="DB1860" s="16"/>
      <c r="DC1860" s="16"/>
      <c r="DD1860" s="16"/>
      <c r="DE1860" s="16"/>
      <c r="DF1860" s="16"/>
      <c r="DG1860" s="16"/>
      <c r="DH1860" s="16"/>
      <c r="DI1860" s="16"/>
      <c r="DJ1860" s="16"/>
      <c r="DK1860" s="16"/>
      <c r="DL1860" s="16"/>
      <c r="DM1860" s="16"/>
    </row>
    <row r="1861" spans="97:117" x14ac:dyDescent="0.2">
      <c r="CS1861" s="16"/>
      <c r="CT1861" s="16"/>
      <c r="CU1861" s="16"/>
      <c r="CV1861" s="16"/>
      <c r="CW1861" s="16"/>
      <c r="CX1861" s="16"/>
      <c r="CY1861" s="16"/>
      <c r="CZ1861" s="16"/>
      <c r="DA1861" s="16"/>
      <c r="DB1861" s="16"/>
      <c r="DC1861" s="16"/>
      <c r="DD1861" s="16"/>
      <c r="DE1861" s="16"/>
      <c r="DF1861" s="16"/>
      <c r="DG1861" s="16"/>
      <c r="DH1861" s="16"/>
      <c r="DI1861" s="16"/>
      <c r="DJ1861" s="16"/>
      <c r="DK1861" s="16"/>
      <c r="DL1861" s="16"/>
      <c r="DM1861" s="16"/>
    </row>
    <row r="1862" spans="97:117" x14ac:dyDescent="0.2">
      <c r="CS1862" s="16"/>
      <c r="CT1862" s="16"/>
      <c r="CU1862" s="16"/>
      <c r="CV1862" s="16"/>
      <c r="CW1862" s="16"/>
      <c r="CX1862" s="16"/>
      <c r="CY1862" s="16"/>
      <c r="CZ1862" s="16"/>
      <c r="DA1862" s="16"/>
      <c r="DB1862" s="16"/>
      <c r="DC1862" s="16"/>
      <c r="DD1862" s="16"/>
      <c r="DE1862" s="16"/>
      <c r="DF1862" s="16"/>
      <c r="DG1862" s="16"/>
      <c r="DH1862" s="16"/>
      <c r="DI1862" s="16"/>
      <c r="DJ1862" s="16"/>
      <c r="DK1862" s="16"/>
      <c r="DL1862" s="16"/>
      <c r="DM1862" s="16"/>
    </row>
    <row r="1863" spans="97:117" x14ac:dyDescent="0.2">
      <c r="CS1863" s="16"/>
      <c r="CT1863" s="16"/>
      <c r="CU1863" s="16"/>
      <c r="CV1863" s="16"/>
      <c r="CW1863" s="16"/>
      <c r="CX1863" s="16"/>
      <c r="CY1863" s="16"/>
      <c r="CZ1863" s="16"/>
      <c r="DA1863" s="16"/>
      <c r="DB1863" s="16"/>
      <c r="DC1863" s="16"/>
      <c r="DD1863" s="16"/>
      <c r="DE1863" s="16"/>
      <c r="DF1863" s="16"/>
      <c r="DG1863" s="16"/>
      <c r="DH1863" s="16"/>
      <c r="DI1863" s="16"/>
      <c r="DJ1863" s="16"/>
      <c r="DK1863" s="16"/>
      <c r="DL1863" s="16"/>
      <c r="DM1863" s="16"/>
    </row>
    <row r="1864" spans="97:117" x14ac:dyDescent="0.2">
      <c r="CS1864" s="16"/>
      <c r="CT1864" s="16"/>
      <c r="CU1864" s="16"/>
      <c r="CV1864" s="16"/>
      <c r="CW1864" s="16"/>
      <c r="CX1864" s="16"/>
      <c r="CY1864" s="16"/>
      <c r="CZ1864" s="16"/>
      <c r="DA1864" s="16"/>
      <c r="DB1864" s="16"/>
      <c r="DC1864" s="16"/>
      <c r="DD1864" s="16"/>
      <c r="DE1864" s="16"/>
      <c r="DF1864" s="16"/>
      <c r="DG1864" s="16"/>
      <c r="DH1864" s="16"/>
      <c r="DI1864" s="16"/>
      <c r="DJ1864" s="16"/>
      <c r="DK1864" s="16"/>
      <c r="DL1864" s="16"/>
      <c r="DM1864" s="16"/>
    </row>
    <row r="1865" spans="97:117" x14ac:dyDescent="0.2"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/>
      <c r="DC1865" s="16"/>
      <c r="DD1865" s="16"/>
      <c r="DE1865" s="16"/>
      <c r="DF1865" s="16"/>
      <c r="DG1865" s="16"/>
      <c r="DH1865" s="16"/>
      <c r="DI1865" s="16"/>
      <c r="DJ1865" s="16"/>
      <c r="DK1865" s="16"/>
      <c r="DL1865" s="16"/>
      <c r="DM1865" s="16"/>
    </row>
    <row r="1866" spans="97:117" x14ac:dyDescent="0.2">
      <c r="CS1866" s="16"/>
      <c r="CT1866" s="16"/>
      <c r="CU1866" s="16"/>
      <c r="CV1866" s="16"/>
      <c r="CW1866" s="16"/>
      <c r="CX1866" s="16"/>
      <c r="CY1866" s="16"/>
      <c r="CZ1866" s="16"/>
      <c r="DA1866" s="16"/>
      <c r="DB1866" s="16"/>
      <c r="DC1866" s="16"/>
      <c r="DD1866" s="16"/>
      <c r="DE1866" s="16"/>
      <c r="DF1866" s="16"/>
      <c r="DG1866" s="16"/>
      <c r="DH1866" s="16"/>
      <c r="DI1866" s="16"/>
      <c r="DJ1866" s="16"/>
      <c r="DK1866" s="16"/>
      <c r="DL1866" s="16"/>
      <c r="DM1866" s="16"/>
    </row>
    <row r="1867" spans="97:117" x14ac:dyDescent="0.2">
      <c r="CS1867" s="16"/>
      <c r="CT1867" s="16"/>
      <c r="CU1867" s="16"/>
      <c r="CV1867" s="16"/>
      <c r="CW1867" s="16"/>
      <c r="CX1867" s="16"/>
      <c r="CY1867" s="16"/>
      <c r="CZ1867" s="16"/>
      <c r="DA1867" s="16"/>
      <c r="DB1867" s="16"/>
      <c r="DC1867" s="16"/>
      <c r="DD1867" s="16"/>
      <c r="DE1867" s="16"/>
      <c r="DF1867" s="16"/>
      <c r="DG1867" s="16"/>
      <c r="DH1867" s="16"/>
      <c r="DI1867" s="16"/>
      <c r="DJ1867" s="16"/>
      <c r="DK1867" s="16"/>
      <c r="DL1867" s="16"/>
      <c r="DM1867" s="16"/>
    </row>
    <row r="1868" spans="97:117" x14ac:dyDescent="0.2">
      <c r="CS1868" s="16"/>
      <c r="CT1868" s="16"/>
      <c r="CU1868" s="16"/>
      <c r="CV1868" s="16"/>
      <c r="CW1868" s="16"/>
      <c r="CX1868" s="16"/>
      <c r="CY1868" s="16"/>
      <c r="CZ1868" s="16"/>
      <c r="DA1868" s="16"/>
      <c r="DB1868" s="16"/>
      <c r="DC1868" s="16"/>
      <c r="DD1868" s="16"/>
      <c r="DE1868" s="16"/>
      <c r="DF1868" s="16"/>
      <c r="DG1868" s="16"/>
      <c r="DH1868" s="16"/>
      <c r="DI1868" s="16"/>
      <c r="DJ1868" s="16"/>
      <c r="DK1868" s="16"/>
      <c r="DL1868" s="16"/>
      <c r="DM1868" s="16"/>
    </row>
    <row r="1869" spans="97:117" x14ac:dyDescent="0.2"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/>
      <c r="DC1869" s="16"/>
      <c r="DD1869" s="16"/>
      <c r="DE1869" s="16"/>
      <c r="DF1869" s="16"/>
      <c r="DG1869" s="16"/>
      <c r="DH1869" s="16"/>
      <c r="DI1869" s="16"/>
      <c r="DJ1869" s="16"/>
      <c r="DK1869" s="16"/>
      <c r="DL1869" s="16"/>
      <c r="DM1869" s="16"/>
    </row>
    <row r="1870" spans="97:117" x14ac:dyDescent="0.2">
      <c r="CS1870" s="16"/>
      <c r="CT1870" s="16"/>
      <c r="CU1870" s="16"/>
      <c r="CV1870" s="16"/>
      <c r="CW1870" s="16"/>
      <c r="CX1870" s="16"/>
      <c r="CY1870" s="16"/>
      <c r="CZ1870" s="16"/>
      <c r="DA1870" s="16"/>
      <c r="DB1870" s="16"/>
      <c r="DC1870" s="16"/>
      <c r="DD1870" s="16"/>
      <c r="DE1870" s="16"/>
      <c r="DF1870" s="16"/>
      <c r="DG1870" s="16"/>
      <c r="DH1870" s="16"/>
      <c r="DI1870" s="16"/>
      <c r="DJ1870" s="16"/>
      <c r="DK1870" s="16"/>
      <c r="DL1870" s="16"/>
      <c r="DM1870" s="16"/>
    </row>
    <row r="1871" spans="97:117" x14ac:dyDescent="0.2">
      <c r="CS1871" s="16"/>
      <c r="CT1871" s="16"/>
      <c r="CU1871" s="16"/>
      <c r="CV1871" s="16"/>
      <c r="CW1871" s="16"/>
      <c r="CX1871" s="16"/>
      <c r="CY1871" s="16"/>
      <c r="CZ1871" s="16"/>
      <c r="DA1871" s="16"/>
      <c r="DB1871" s="16"/>
      <c r="DC1871" s="16"/>
      <c r="DD1871" s="16"/>
      <c r="DE1871" s="16"/>
      <c r="DF1871" s="16"/>
      <c r="DG1871" s="16"/>
      <c r="DH1871" s="16"/>
      <c r="DI1871" s="16"/>
      <c r="DJ1871" s="16"/>
      <c r="DK1871" s="16"/>
      <c r="DL1871" s="16"/>
      <c r="DM1871" s="16"/>
    </row>
    <row r="1872" spans="97:117" x14ac:dyDescent="0.2"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/>
      <c r="DC1872" s="16"/>
      <c r="DD1872" s="16"/>
      <c r="DE1872" s="16"/>
      <c r="DF1872" s="16"/>
      <c r="DG1872" s="16"/>
      <c r="DH1872" s="16"/>
      <c r="DI1872" s="16"/>
      <c r="DJ1872" s="16"/>
      <c r="DK1872" s="16"/>
      <c r="DL1872" s="16"/>
      <c r="DM1872" s="16"/>
    </row>
    <row r="1873" spans="97:117" x14ac:dyDescent="0.2"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/>
      <c r="DC1873" s="16"/>
      <c r="DD1873" s="16"/>
      <c r="DE1873" s="16"/>
      <c r="DF1873" s="16"/>
      <c r="DG1873" s="16"/>
      <c r="DH1873" s="16"/>
      <c r="DI1873" s="16"/>
      <c r="DJ1873" s="16"/>
      <c r="DK1873" s="16"/>
      <c r="DL1873" s="16"/>
      <c r="DM1873" s="16"/>
    </row>
    <row r="1874" spans="97:117" x14ac:dyDescent="0.2"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/>
      <c r="DC1874" s="16"/>
      <c r="DD1874" s="16"/>
      <c r="DE1874" s="16"/>
      <c r="DF1874" s="16"/>
      <c r="DG1874" s="16"/>
      <c r="DH1874" s="16"/>
      <c r="DI1874" s="16"/>
      <c r="DJ1874" s="16"/>
      <c r="DK1874" s="16"/>
      <c r="DL1874" s="16"/>
      <c r="DM1874" s="16"/>
    </row>
    <row r="1875" spans="97:117" x14ac:dyDescent="0.2">
      <c r="CS1875" s="16"/>
      <c r="CT1875" s="16"/>
      <c r="CU1875" s="16"/>
      <c r="CV1875" s="16"/>
      <c r="CW1875" s="16"/>
      <c r="CX1875" s="16"/>
      <c r="CY1875" s="16"/>
      <c r="CZ1875" s="16"/>
      <c r="DA1875" s="16"/>
      <c r="DB1875" s="16"/>
      <c r="DC1875" s="16"/>
      <c r="DD1875" s="16"/>
      <c r="DE1875" s="16"/>
      <c r="DF1875" s="16"/>
      <c r="DG1875" s="16"/>
      <c r="DH1875" s="16"/>
      <c r="DI1875" s="16"/>
      <c r="DJ1875" s="16"/>
      <c r="DK1875" s="16"/>
      <c r="DL1875" s="16"/>
      <c r="DM1875" s="16"/>
    </row>
    <row r="1876" spans="97:117" x14ac:dyDescent="0.2">
      <c r="CS1876" s="16"/>
      <c r="CT1876" s="16"/>
      <c r="CU1876" s="16"/>
      <c r="CV1876" s="16"/>
      <c r="CW1876" s="16"/>
      <c r="CX1876" s="16"/>
      <c r="CY1876" s="16"/>
      <c r="CZ1876" s="16"/>
      <c r="DA1876" s="16"/>
      <c r="DB1876" s="16"/>
      <c r="DC1876" s="16"/>
      <c r="DD1876" s="16"/>
      <c r="DE1876" s="16"/>
      <c r="DF1876" s="16"/>
      <c r="DG1876" s="16"/>
      <c r="DH1876" s="16"/>
      <c r="DI1876" s="16"/>
      <c r="DJ1876" s="16"/>
      <c r="DK1876" s="16"/>
      <c r="DL1876" s="16"/>
      <c r="DM1876" s="16"/>
    </row>
    <row r="1877" spans="97:117" x14ac:dyDescent="0.2">
      <c r="CS1877" s="16"/>
      <c r="CT1877" s="16"/>
      <c r="CU1877" s="16"/>
      <c r="CV1877" s="16"/>
      <c r="CW1877" s="16"/>
      <c r="CX1877" s="16"/>
      <c r="CY1877" s="16"/>
      <c r="CZ1877" s="16"/>
      <c r="DA1877" s="16"/>
      <c r="DB1877" s="16"/>
      <c r="DC1877" s="16"/>
      <c r="DD1877" s="16"/>
      <c r="DE1877" s="16"/>
      <c r="DF1877" s="16"/>
      <c r="DG1877" s="16"/>
      <c r="DH1877" s="16"/>
      <c r="DI1877" s="16"/>
      <c r="DJ1877" s="16"/>
      <c r="DK1877" s="16"/>
      <c r="DL1877" s="16"/>
      <c r="DM1877" s="16"/>
    </row>
    <row r="1878" spans="97:117" x14ac:dyDescent="0.2">
      <c r="CS1878" s="16"/>
      <c r="CT1878" s="16"/>
      <c r="CU1878" s="16"/>
      <c r="CV1878" s="16"/>
      <c r="CW1878" s="16"/>
      <c r="CX1878" s="16"/>
      <c r="CY1878" s="16"/>
      <c r="CZ1878" s="16"/>
      <c r="DA1878" s="16"/>
      <c r="DB1878" s="16"/>
      <c r="DC1878" s="16"/>
      <c r="DD1878" s="16"/>
      <c r="DE1878" s="16"/>
      <c r="DF1878" s="16"/>
      <c r="DG1878" s="16"/>
      <c r="DH1878" s="16"/>
      <c r="DI1878" s="16"/>
      <c r="DJ1878" s="16"/>
      <c r="DK1878" s="16"/>
      <c r="DL1878" s="16"/>
      <c r="DM1878" s="16"/>
    </row>
    <row r="1879" spans="97:117" x14ac:dyDescent="0.2"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/>
      <c r="DC1879" s="16"/>
      <c r="DD1879" s="16"/>
      <c r="DE1879" s="16"/>
      <c r="DF1879" s="16"/>
      <c r="DG1879" s="16"/>
      <c r="DH1879" s="16"/>
      <c r="DI1879" s="16"/>
      <c r="DJ1879" s="16"/>
      <c r="DK1879" s="16"/>
      <c r="DL1879" s="16"/>
      <c r="DM1879" s="16"/>
    </row>
    <row r="1880" spans="97:117" x14ac:dyDescent="0.2"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/>
      <c r="DC1880" s="16"/>
      <c r="DD1880" s="16"/>
      <c r="DE1880" s="16"/>
      <c r="DF1880" s="16"/>
      <c r="DG1880" s="16"/>
      <c r="DH1880" s="16"/>
      <c r="DI1880" s="16"/>
      <c r="DJ1880" s="16"/>
      <c r="DK1880" s="16"/>
      <c r="DL1880" s="16"/>
      <c r="DM1880" s="16"/>
    </row>
    <row r="1881" spans="97:117" x14ac:dyDescent="0.2"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/>
      <c r="DC1881" s="16"/>
      <c r="DD1881" s="16"/>
      <c r="DE1881" s="16"/>
      <c r="DF1881" s="16"/>
      <c r="DG1881" s="16"/>
      <c r="DH1881" s="16"/>
      <c r="DI1881" s="16"/>
      <c r="DJ1881" s="16"/>
      <c r="DK1881" s="16"/>
      <c r="DL1881" s="16"/>
      <c r="DM1881" s="16"/>
    </row>
    <row r="1882" spans="97:117" x14ac:dyDescent="0.2">
      <c r="CS1882" s="16"/>
      <c r="CT1882" s="16"/>
      <c r="CU1882" s="16"/>
      <c r="CV1882" s="16"/>
      <c r="CW1882" s="16"/>
      <c r="CX1882" s="16"/>
      <c r="CY1882" s="16"/>
      <c r="CZ1882" s="16"/>
      <c r="DA1882" s="16"/>
      <c r="DB1882" s="16"/>
      <c r="DC1882" s="16"/>
      <c r="DD1882" s="16"/>
      <c r="DE1882" s="16"/>
      <c r="DF1882" s="16"/>
      <c r="DG1882" s="16"/>
      <c r="DH1882" s="16"/>
      <c r="DI1882" s="16"/>
      <c r="DJ1882" s="16"/>
      <c r="DK1882" s="16"/>
      <c r="DL1882" s="16"/>
      <c r="DM1882" s="16"/>
    </row>
    <row r="1883" spans="97:117" x14ac:dyDescent="0.2"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/>
      <c r="DC1883" s="16"/>
      <c r="DD1883" s="16"/>
      <c r="DE1883" s="16"/>
      <c r="DF1883" s="16"/>
      <c r="DG1883" s="16"/>
      <c r="DH1883" s="16"/>
      <c r="DI1883" s="16"/>
      <c r="DJ1883" s="16"/>
      <c r="DK1883" s="16"/>
      <c r="DL1883" s="16"/>
      <c r="DM1883" s="16"/>
    </row>
    <row r="1884" spans="97:117" x14ac:dyDescent="0.2">
      <c r="CS1884" s="16"/>
      <c r="CT1884" s="16"/>
      <c r="CU1884" s="16"/>
      <c r="CV1884" s="16"/>
      <c r="CW1884" s="16"/>
      <c r="CX1884" s="16"/>
      <c r="CY1884" s="16"/>
      <c r="CZ1884" s="16"/>
      <c r="DA1884" s="16"/>
      <c r="DB1884" s="16"/>
      <c r="DC1884" s="16"/>
      <c r="DD1884" s="16"/>
      <c r="DE1884" s="16"/>
      <c r="DF1884" s="16"/>
      <c r="DG1884" s="16"/>
      <c r="DH1884" s="16"/>
      <c r="DI1884" s="16"/>
      <c r="DJ1884" s="16"/>
      <c r="DK1884" s="16"/>
      <c r="DL1884" s="16"/>
      <c r="DM1884" s="16"/>
    </row>
    <row r="1885" spans="97:117" x14ac:dyDescent="0.2"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/>
      <c r="DC1885" s="16"/>
      <c r="DD1885" s="16"/>
      <c r="DE1885" s="16"/>
      <c r="DF1885" s="16"/>
      <c r="DG1885" s="16"/>
      <c r="DH1885" s="16"/>
      <c r="DI1885" s="16"/>
      <c r="DJ1885" s="16"/>
      <c r="DK1885" s="16"/>
      <c r="DL1885" s="16"/>
      <c r="DM1885" s="16"/>
    </row>
    <row r="1886" spans="97:117" x14ac:dyDescent="0.2">
      <c r="CS1886" s="16"/>
      <c r="CT1886" s="16"/>
      <c r="CU1886" s="16"/>
      <c r="CV1886" s="16"/>
      <c r="CW1886" s="16"/>
      <c r="CX1886" s="16"/>
      <c r="CY1886" s="16"/>
      <c r="CZ1886" s="16"/>
      <c r="DA1886" s="16"/>
      <c r="DB1886" s="16"/>
      <c r="DC1886" s="16"/>
      <c r="DD1886" s="16"/>
      <c r="DE1886" s="16"/>
      <c r="DF1886" s="16"/>
      <c r="DG1886" s="16"/>
      <c r="DH1886" s="16"/>
      <c r="DI1886" s="16"/>
      <c r="DJ1886" s="16"/>
      <c r="DK1886" s="16"/>
      <c r="DL1886" s="16"/>
      <c r="DM1886" s="16"/>
    </row>
    <row r="1887" spans="97:117" x14ac:dyDescent="0.2"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/>
      <c r="DC1887" s="16"/>
      <c r="DD1887" s="16"/>
      <c r="DE1887" s="16"/>
      <c r="DF1887" s="16"/>
      <c r="DG1887" s="16"/>
      <c r="DH1887" s="16"/>
      <c r="DI1887" s="16"/>
      <c r="DJ1887" s="16"/>
      <c r="DK1887" s="16"/>
      <c r="DL1887" s="16"/>
      <c r="DM1887" s="16"/>
    </row>
    <row r="1888" spans="97:117" x14ac:dyDescent="0.2">
      <c r="CS1888" s="16"/>
      <c r="CT1888" s="16"/>
      <c r="CU1888" s="16"/>
      <c r="CV1888" s="16"/>
      <c r="CW1888" s="16"/>
      <c r="CX1888" s="16"/>
      <c r="CY1888" s="16"/>
      <c r="CZ1888" s="16"/>
      <c r="DA1888" s="16"/>
      <c r="DB1888" s="16"/>
      <c r="DC1888" s="16"/>
      <c r="DD1888" s="16"/>
      <c r="DE1888" s="16"/>
      <c r="DF1888" s="16"/>
      <c r="DG1888" s="16"/>
      <c r="DH1888" s="16"/>
      <c r="DI1888" s="16"/>
      <c r="DJ1888" s="16"/>
      <c r="DK1888" s="16"/>
      <c r="DL1888" s="16"/>
      <c r="DM1888" s="16"/>
    </row>
    <row r="1889" spans="97:117" x14ac:dyDescent="0.2">
      <c r="CS1889" s="16"/>
      <c r="CT1889" s="16"/>
      <c r="CU1889" s="16"/>
      <c r="CV1889" s="16"/>
      <c r="CW1889" s="16"/>
      <c r="CX1889" s="16"/>
      <c r="CY1889" s="16"/>
      <c r="CZ1889" s="16"/>
      <c r="DA1889" s="16"/>
      <c r="DB1889" s="16"/>
      <c r="DC1889" s="16"/>
      <c r="DD1889" s="16"/>
      <c r="DE1889" s="16"/>
      <c r="DF1889" s="16"/>
      <c r="DG1889" s="16"/>
      <c r="DH1889" s="16"/>
      <c r="DI1889" s="16"/>
      <c r="DJ1889" s="16"/>
      <c r="DK1889" s="16"/>
      <c r="DL1889" s="16"/>
      <c r="DM1889" s="16"/>
    </row>
    <row r="1890" spans="97:117" x14ac:dyDescent="0.2">
      <c r="CS1890" s="16"/>
      <c r="CT1890" s="16"/>
      <c r="CU1890" s="16"/>
      <c r="CV1890" s="16"/>
      <c r="CW1890" s="16"/>
      <c r="CX1890" s="16"/>
      <c r="CY1890" s="16"/>
      <c r="CZ1890" s="16"/>
      <c r="DA1890" s="16"/>
      <c r="DB1890" s="16"/>
      <c r="DC1890" s="16"/>
      <c r="DD1890" s="16"/>
      <c r="DE1890" s="16"/>
      <c r="DF1890" s="16"/>
      <c r="DG1890" s="16"/>
      <c r="DH1890" s="16"/>
      <c r="DI1890" s="16"/>
      <c r="DJ1890" s="16"/>
      <c r="DK1890" s="16"/>
      <c r="DL1890" s="16"/>
      <c r="DM1890" s="16"/>
    </row>
    <row r="1891" spans="97:117" x14ac:dyDescent="0.2">
      <c r="CS1891" s="16"/>
      <c r="CT1891" s="16"/>
      <c r="CU1891" s="16"/>
      <c r="CV1891" s="16"/>
      <c r="CW1891" s="16"/>
      <c r="CX1891" s="16"/>
      <c r="CY1891" s="16"/>
      <c r="CZ1891" s="16"/>
      <c r="DA1891" s="16"/>
      <c r="DB1891" s="16"/>
      <c r="DC1891" s="16"/>
      <c r="DD1891" s="16"/>
      <c r="DE1891" s="16"/>
      <c r="DF1891" s="16"/>
      <c r="DG1891" s="16"/>
      <c r="DH1891" s="16"/>
      <c r="DI1891" s="16"/>
      <c r="DJ1891" s="16"/>
      <c r="DK1891" s="16"/>
      <c r="DL1891" s="16"/>
      <c r="DM1891" s="16"/>
    </row>
    <row r="1892" spans="97:117" x14ac:dyDescent="0.2">
      <c r="CS1892" s="16"/>
      <c r="CT1892" s="16"/>
      <c r="CU1892" s="16"/>
      <c r="CV1892" s="16"/>
      <c r="CW1892" s="16"/>
      <c r="CX1892" s="16"/>
      <c r="CY1892" s="16"/>
      <c r="CZ1892" s="16"/>
      <c r="DA1892" s="16"/>
      <c r="DB1892" s="16"/>
      <c r="DC1892" s="16"/>
      <c r="DD1892" s="16"/>
      <c r="DE1892" s="16"/>
      <c r="DF1892" s="16"/>
      <c r="DG1892" s="16"/>
      <c r="DH1892" s="16"/>
      <c r="DI1892" s="16"/>
      <c r="DJ1892" s="16"/>
      <c r="DK1892" s="16"/>
      <c r="DL1892" s="16"/>
      <c r="DM1892" s="16"/>
    </row>
    <row r="1893" spans="97:117" x14ac:dyDescent="0.2">
      <c r="CS1893" s="16"/>
      <c r="CT1893" s="16"/>
      <c r="CU1893" s="16"/>
      <c r="CV1893" s="16"/>
      <c r="CW1893" s="16"/>
      <c r="CX1893" s="16"/>
      <c r="CY1893" s="16"/>
      <c r="CZ1893" s="16"/>
      <c r="DA1893" s="16"/>
      <c r="DB1893" s="16"/>
      <c r="DC1893" s="16"/>
      <c r="DD1893" s="16"/>
      <c r="DE1893" s="16"/>
      <c r="DF1893" s="16"/>
      <c r="DG1893" s="16"/>
      <c r="DH1893" s="16"/>
      <c r="DI1893" s="16"/>
      <c r="DJ1893" s="16"/>
      <c r="DK1893" s="16"/>
      <c r="DL1893" s="16"/>
      <c r="DM1893" s="16"/>
    </row>
    <row r="1894" spans="97:117" x14ac:dyDescent="0.2">
      <c r="CS1894" s="16"/>
      <c r="CT1894" s="16"/>
      <c r="CU1894" s="16"/>
      <c r="CV1894" s="16"/>
      <c r="CW1894" s="16"/>
      <c r="CX1894" s="16"/>
      <c r="CY1894" s="16"/>
      <c r="CZ1894" s="16"/>
      <c r="DA1894" s="16"/>
      <c r="DB1894" s="16"/>
      <c r="DC1894" s="16"/>
      <c r="DD1894" s="16"/>
      <c r="DE1894" s="16"/>
      <c r="DF1894" s="16"/>
      <c r="DG1894" s="16"/>
      <c r="DH1894" s="16"/>
      <c r="DI1894" s="16"/>
      <c r="DJ1894" s="16"/>
      <c r="DK1894" s="16"/>
      <c r="DL1894" s="16"/>
      <c r="DM1894" s="16"/>
    </row>
    <row r="1895" spans="97:117" x14ac:dyDescent="0.2">
      <c r="CS1895" s="16"/>
      <c r="CT1895" s="16"/>
      <c r="CU1895" s="16"/>
      <c r="CV1895" s="16"/>
      <c r="CW1895" s="16"/>
      <c r="CX1895" s="16"/>
      <c r="CY1895" s="16"/>
      <c r="CZ1895" s="16"/>
      <c r="DA1895" s="16"/>
      <c r="DB1895" s="16"/>
      <c r="DC1895" s="16"/>
      <c r="DD1895" s="16"/>
      <c r="DE1895" s="16"/>
      <c r="DF1895" s="16"/>
      <c r="DG1895" s="16"/>
      <c r="DH1895" s="16"/>
      <c r="DI1895" s="16"/>
      <c r="DJ1895" s="16"/>
      <c r="DK1895" s="16"/>
      <c r="DL1895" s="16"/>
      <c r="DM1895" s="16"/>
    </row>
    <row r="1896" spans="97:117" x14ac:dyDescent="0.2"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</row>
    <row r="1897" spans="97:117" x14ac:dyDescent="0.2">
      <c r="CS1897" s="16"/>
      <c r="CT1897" s="16"/>
      <c r="CU1897" s="16"/>
      <c r="CV1897" s="16"/>
      <c r="CW1897" s="16"/>
      <c r="CX1897" s="16"/>
      <c r="CY1897" s="16"/>
      <c r="CZ1897" s="16"/>
      <c r="DA1897" s="16"/>
      <c r="DB1897" s="16"/>
      <c r="DC1897" s="16"/>
      <c r="DD1897" s="16"/>
      <c r="DE1897" s="16"/>
      <c r="DF1897" s="16"/>
      <c r="DG1897" s="16"/>
      <c r="DH1897" s="16"/>
      <c r="DI1897" s="16"/>
      <c r="DJ1897" s="16"/>
      <c r="DK1897" s="16"/>
      <c r="DL1897" s="16"/>
      <c r="DM1897" s="16"/>
    </row>
    <row r="1898" spans="97:117" x14ac:dyDescent="0.2">
      <c r="CS1898" s="16"/>
      <c r="CT1898" s="16"/>
      <c r="CU1898" s="16"/>
      <c r="CV1898" s="16"/>
      <c r="CW1898" s="16"/>
      <c r="CX1898" s="16"/>
      <c r="CY1898" s="16"/>
      <c r="CZ1898" s="16"/>
      <c r="DA1898" s="16"/>
      <c r="DB1898" s="16"/>
      <c r="DC1898" s="16"/>
      <c r="DD1898" s="16"/>
      <c r="DE1898" s="16"/>
      <c r="DF1898" s="16"/>
      <c r="DG1898" s="16"/>
      <c r="DH1898" s="16"/>
      <c r="DI1898" s="16"/>
      <c r="DJ1898" s="16"/>
      <c r="DK1898" s="16"/>
      <c r="DL1898" s="16"/>
      <c r="DM1898" s="16"/>
    </row>
    <row r="1899" spans="97:117" x14ac:dyDescent="0.2">
      <c r="CS1899" s="16"/>
      <c r="CT1899" s="16"/>
      <c r="CU1899" s="16"/>
      <c r="CV1899" s="16"/>
      <c r="CW1899" s="16"/>
      <c r="CX1899" s="16"/>
      <c r="CY1899" s="16"/>
      <c r="CZ1899" s="16"/>
      <c r="DA1899" s="16"/>
      <c r="DB1899" s="16"/>
      <c r="DC1899" s="16"/>
      <c r="DD1899" s="16"/>
      <c r="DE1899" s="16"/>
      <c r="DF1899" s="16"/>
      <c r="DG1899" s="16"/>
      <c r="DH1899" s="16"/>
      <c r="DI1899" s="16"/>
      <c r="DJ1899" s="16"/>
      <c r="DK1899" s="16"/>
      <c r="DL1899" s="16"/>
      <c r="DM1899" s="16"/>
    </row>
    <row r="1900" spans="97:117" x14ac:dyDescent="0.2">
      <c r="CS1900" s="16"/>
      <c r="CT1900" s="16"/>
      <c r="CU1900" s="16"/>
      <c r="CV1900" s="16"/>
      <c r="CW1900" s="16"/>
      <c r="CX1900" s="16"/>
      <c r="CY1900" s="16"/>
      <c r="CZ1900" s="16"/>
      <c r="DA1900" s="16"/>
      <c r="DB1900" s="16"/>
      <c r="DC1900" s="16"/>
      <c r="DD1900" s="16"/>
      <c r="DE1900" s="16"/>
      <c r="DF1900" s="16"/>
      <c r="DG1900" s="16"/>
      <c r="DH1900" s="16"/>
      <c r="DI1900" s="16"/>
      <c r="DJ1900" s="16"/>
      <c r="DK1900" s="16"/>
      <c r="DL1900" s="16"/>
      <c r="DM1900" s="16"/>
    </row>
    <row r="1901" spans="97:117" x14ac:dyDescent="0.2">
      <c r="CS1901" s="16"/>
      <c r="CT1901" s="16"/>
      <c r="CU1901" s="16"/>
      <c r="CV1901" s="16"/>
      <c r="CW1901" s="16"/>
      <c r="CX1901" s="16"/>
      <c r="CY1901" s="16"/>
      <c r="CZ1901" s="16"/>
      <c r="DA1901" s="16"/>
      <c r="DB1901" s="16"/>
      <c r="DC1901" s="16"/>
      <c r="DD1901" s="16"/>
      <c r="DE1901" s="16"/>
      <c r="DF1901" s="16"/>
      <c r="DG1901" s="16"/>
      <c r="DH1901" s="16"/>
      <c r="DI1901" s="16"/>
      <c r="DJ1901" s="16"/>
      <c r="DK1901" s="16"/>
      <c r="DL1901" s="16"/>
      <c r="DM1901" s="16"/>
    </row>
    <row r="1902" spans="97:117" x14ac:dyDescent="0.2">
      <c r="CS1902" s="16"/>
      <c r="CT1902" s="16"/>
      <c r="CU1902" s="16"/>
      <c r="CV1902" s="16"/>
      <c r="CW1902" s="16"/>
      <c r="CX1902" s="16"/>
      <c r="CY1902" s="16"/>
      <c r="CZ1902" s="16"/>
      <c r="DA1902" s="16"/>
      <c r="DB1902" s="16"/>
      <c r="DC1902" s="16"/>
      <c r="DD1902" s="16"/>
      <c r="DE1902" s="16"/>
      <c r="DF1902" s="16"/>
      <c r="DG1902" s="16"/>
      <c r="DH1902" s="16"/>
      <c r="DI1902" s="16"/>
      <c r="DJ1902" s="16"/>
      <c r="DK1902" s="16"/>
      <c r="DL1902" s="16"/>
      <c r="DM1902" s="16"/>
    </row>
    <row r="1903" spans="97:117" x14ac:dyDescent="0.2">
      <c r="CS1903" s="16"/>
      <c r="CT1903" s="16"/>
      <c r="CU1903" s="16"/>
      <c r="CV1903" s="16"/>
      <c r="CW1903" s="16"/>
      <c r="CX1903" s="16"/>
      <c r="CY1903" s="16"/>
      <c r="CZ1903" s="16"/>
      <c r="DA1903" s="16"/>
      <c r="DB1903" s="16"/>
      <c r="DC1903" s="16"/>
      <c r="DD1903" s="16"/>
      <c r="DE1903" s="16"/>
      <c r="DF1903" s="16"/>
      <c r="DG1903" s="16"/>
      <c r="DH1903" s="16"/>
      <c r="DI1903" s="16"/>
      <c r="DJ1903" s="16"/>
      <c r="DK1903" s="16"/>
      <c r="DL1903" s="16"/>
      <c r="DM1903" s="16"/>
    </row>
    <row r="1904" spans="97:117" x14ac:dyDescent="0.2">
      <c r="CS1904" s="16"/>
      <c r="CT1904" s="16"/>
      <c r="CU1904" s="16"/>
      <c r="CV1904" s="16"/>
      <c r="CW1904" s="16"/>
      <c r="CX1904" s="16"/>
      <c r="CY1904" s="16"/>
      <c r="CZ1904" s="16"/>
      <c r="DA1904" s="16"/>
      <c r="DB1904" s="16"/>
      <c r="DC1904" s="16"/>
      <c r="DD1904" s="16"/>
      <c r="DE1904" s="16"/>
      <c r="DF1904" s="16"/>
      <c r="DG1904" s="16"/>
      <c r="DH1904" s="16"/>
      <c r="DI1904" s="16"/>
      <c r="DJ1904" s="16"/>
      <c r="DK1904" s="16"/>
      <c r="DL1904" s="16"/>
      <c r="DM1904" s="16"/>
    </row>
    <row r="1905" spans="97:117" x14ac:dyDescent="0.2"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</row>
    <row r="1906" spans="97:117" x14ac:dyDescent="0.2"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</row>
    <row r="1907" spans="97:117" x14ac:dyDescent="0.2"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</row>
    <row r="1908" spans="97:117" x14ac:dyDescent="0.2"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</row>
    <row r="1909" spans="97:117" x14ac:dyDescent="0.2"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</row>
    <row r="1910" spans="97:117" x14ac:dyDescent="0.2"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</row>
    <row r="1911" spans="97:117" x14ac:dyDescent="0.2">
      <c r="CS1911" s="16"/>
      <c r="CT1911" s="16"/>
      <c r="CU1911" s="16"/>
      <c r="CV1911" s="16"/>
      <c r="CW1911" s="16"/>
      <c r="CX1911" s="16"/>
      <c r="CY1911" s="16"/>
      <c r="CZ1911" s="16"/>
      <c r="DA1911" s="16"/>
      <c r="DB1911" s="16"/>
      <c r="DC1911" s="16"/>
      <c r="DD1911" s="16"/>
      <c r="DE1911" s="16"/>
      <c r="DF1911" s="16"/>
      <c r="DG1911" s="16"/>
      <c r="DH1911" s="16"/>
      <c r="DI1911" s="16"/>
      <c r="DJ1911" s="16"/>
      <c r="DK1911" s="16"/>
      <c r="DL1911" s="16"/>
      <c r="DM1911" s="16"/>
    </row>
    <row r="1912" spans="97:117" x14ac:dyDescent="0.2">
      <c r="CS1912" s="16"/>
      <c r="CT1912" s="16"/>
      <c r="CU1912" s="16"/>
      <c r="CV1912" s="16"/>
      <c r="CW1912" s="16"/>
      <c r="CX1912" s="16"/>
      <c r="CY1912" s="16"/>
      <c r="CZ1912" s="16"/>
      <c r="DA1912" s="16"/>
      <c r="DB1912" s="16"/>
      <c r="DC1912" s="16"/>
      <c r="DD1912" s="16"/>
      <c r="DE1912" s="16"/>
      <c r="DF1912" s="16"/>
      <c r="DG1912" s="16"/>
      <c r="DH1912" s="16"/>
      <c r="DI1912" s="16"/>
      <c r="DJ1912" s="16"/>
      <c r="DK1912" s="16"/>
      <c r="DL1912" s="16"/>
      <c r="DM1912" s="16"/>
    </row>
    <row r="1913" spans="97:117" x14ac:dyDescent="0.2"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</row>
    <row r="1914" spans="97:117" x14ac:dyDescent="0.2"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</row>
    <row r="1915" spans="97:117" x14ac:dyDescent="0.2"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</row>
    <row r="1916" spans="97:117" x14ac:dyDescent="0.2"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</row>
    <row r="1917" spans="97:117" x14ac:dyDescent="0.2"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</row>
    <row r="1918" spans="97:117" x14ac:dyDescent="0.2"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</row>
    <row r="1919" spans="97:117" x14ac:dyDescent="0.2">
      <c r="CS1919" s="16"/>
      <c r="CT1919" s="16"/>
      <c r="CU1919" s="16"/>
      <c r="CV1919" s="16"/>
      <c r="CW1919" s="16"/>
      <c r="CX1919" s="16"/>
      <c r="CY1919" s="16"/>
      <c r="CZ1919" s="16"/>
      <c r="DA1919" s="16"/>
      <c r="DB1919" s="16"/>
      <c r="DC1919" s="16"/>
      <c r="DD1919" s="16"/>
      <c r="DE1919" s="16"/>
      <c r="DF1919" s="16"/>
      <c r="DG1919" s="16"/>
      <c r="DH1919" s="16"/>
      <c r="DI1919" s="16"/>
      <c r="DJ1919" s="16"/>
      <c r="DK1919" s="16"/>
      <c r="DL1919" s="16"/>
      <c r="DM1919" s="16"/>
    </row>
    <row r="1920" spans="97:117" x14ac:dyDescent="0.2">
      <c r="CS1920" s="16"/>
      <c r="CT1920" s="16"/>
      <c r="CU1920" s="16"/>
      <c r="CV1920" s="16"/>
      <c r="CW1920" s="16"/>
      <c r="CX1920" s="16"/>
      <c r="CY1920" s="16"/>
      <c r="CZ1920" s="16"/>
      <c r="DA1920" s="16"/>
      <c r="DB1920" s="16"/>
      <c r="DC1920" s="16"/>
      <c r="DD1920" s="16"/>
      <c r="DE1920" s="16"/>
      <c r="DF1920" s="16"/>
      <c r="DG1920" s="16"/>
      <c r="DH1920" s="16"/>
      <c r="DI1920" s="16"/>
      <c r="DJ1920" s="16"/>
      <c r="DK1920" s="16"/>
      <c r="DL1920" s="16"/>
      <c r="DM1920" s="16"/>
    </row>
    <row r="1921" spans="97:117" x14ac:dyDescent="0.2"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</row>
    <row r="1922" spans="97:117" x14ac:dyDescent="0.2"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</row>
    <row r="1923" spans="97:117" x14ac:dyDescent="0.2"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</row>
    <row r="1924" spans="97:117" x14ac:dyDescent="0.2"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</row>
    <row r="1925" spans="97:117" x14ac:dyDescent="0.2"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</row>
    <row r="1926" spans="97:117" x14ac:dyDescent="0.2"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</row>
    <row r="1927" spans="97:117" x14ac:dyDescent="0.2">
      <c r="CS1927" s="16"/>
      <c r="CT1927" s="16"/>
      <c r="CU1927" s="16"/>
      <c r="CV1927" s="16"/>
      <c r="CW1927" s="16"/>
      <c r="CX1927" s="16"/>
      <c r="CY1927" s="16"/>
      <c r="CZ1927" s="16"/>
      <c r="DA1927" s="16"/>
      <c r="DB1927" s="16"/>
      <c r="DC1927" s="16"/>
      <c r="DD1927" s="16"/>
      <c r="DE1927" s="16"/>
      <c r="DF1927" s="16"/>
      <c r="DG1927" s="16"/>
      <c r="DH1927" s="16"/>
      <c r="DI1927" s="16"/>
      <c r="DJ1927" s="16"/>
      <c r="DK1927" s="16"/>
      <c r="DL1927" s="16"/>
      <c r="DM1927" s="16"/>
    </row>
    <row r="1928" spans="97:117" x14ac:dyDescent="0.2">
      <c r="CS1928" s="16"/>
      <c r="CT1928" s="16"/>
      <c r="CU1928" s="16"/>
      <c r="CV1928" s="16"/>
      <c r="CW1928" s="16"/>
      <c r="CX1928" s="16"/>
      <c r="CY1928" s="16"/>
      <c r="CZ1928" s="16"/>
      <c r="DA1928" s="16"/>
      <c r="DB1928" s="16"/>
      <c r="DC1928" s="16"/>
      <c r="DD1928" s="16"/>
      <c r="DE1928" s="16"/>
      <c r="DF1928" s="16"/>
      <c r="DG1928" s="16"/>
      <c r="DH1928" s="16"/>
      <c r="DI1928" s="16"/>
      <c r="DJ1928" s="16"/>
      <c r="DK1928" s="16"/>
      <c r="DL1928" s="16"/>
      <c r="DM1928" s="16"/>
    </row>
    <row r="1929" spans="97:117" x14ac:dyDescent="0.2"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</row>
    <row r="1930" spans="97:117" x14ac:dyDescent="0.2"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</row>
    <row r="1931" spans="97:117" x14ac:dyDescent="0.2"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</row>
    <row r="1932" spans="97:117" x14ac:dyDescent="0.2"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</row>
    <row r="1933" spans="97:117" x14ac:dyDescent="0.2"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</row>
    <row r="1934" spans="97:117" x14ac:dyDescent="0.2"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</row>
    <row r="1935" spans="97:117" x14ac:dyDescent="0.2">
      <c r="CS1935" s="16"/>
      <c r="CT1935" s="16"/>
      <c r="CU1935" s="16"/>
      <c r="CV1935" s="16"/>
      <c r="CW1935" s="16"/>
      <c r="CX1935" s="16"/>
      <c r="CY1935" s="16"/>
      <c r="CZ1935" s="16"/>
      <c r="DA1935" s="16"/>
      <c r="DB1935" s="16"/>
      <c r="DC1935" s="16"/>
      <c r="DD1935" s="16"/>
      <c r="DE1935" s="16"/>
      <c r="DF1935" s="16"/>
      <c r="DG1935" s="16"/>
      <c r="DH1935" s="16"/>
      <c r="DI1935" s="16"/>
      <c r="DJ1935" s="16"/>
      <c r="DK1935" s="16"/>
      <c r="DL1935" s="16"/>
      <c r="DM1935" s="16"/>
    </row>
    <row r="1936" spans="97:117" x14ac:dyDescent="0.2">
      <c r="CS1936" s="16"/>
      <c r="CT1936" s="16"/>
      <c r="CU1936" s="16"/>
      <c r="CV1936" s="16"/>
      <c r="CW1936" s="16"/>
      <c r="CX1936" s="16"/>
      <c r="CY1936" s="16"/>
      <c r="CZ1936" s="16"/>
      <c r="DA1936" s="16"/>
      <c r="DB1936" s="16"/>
      <c r="DC1936" s="16"/>
      <c r="DD1936" s="16"/>
      <c r="DE1936" s="16"/>
      <c r="DF1936" s="16"/>
      <c r="DG1936" s="16"/>
      <c r="DH1936" s="16"/>
      <c r="DI1936" s="16"/>
      <c r="DJ1936" s="16"/>
      <c r="DK1936" s="16"/>
      <c r="DL1936" s="16"/>
      <c r="DM1936" s="16"/>
    </row>
    <row r="1937" spans="97:117" x14ac:dyDescent="0.2"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</row>
    <row r="1938" spans="97:117" x14ac:dyDescent="0.2"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</row>
    <row r="1939" spans="97:117" x14ac:dyDescent="0.2"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</row>
    <row r="1940" spans="97:117" x14ac:dyDescent="0.2"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</row>
    <row r="1941" spans="97:117" x14ac:dyDescent="0.2"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</row>
    <row r="1942" spans="97:117" x14ac:dyDescent="0.2"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</row>
    <row r="1943" spans="97:117" x14ac:dyDescent="0.2">
      <c r="CS1943" s="16"/>
      <c r="CT1943" s="16"/>
      <c r="CU1943" s="16"/>
      <c r="CV1943" s="16"/>
      <c r="CW1943" s="16"/>
      <c r="CX1943" s="16"/>
      <c r="CY1943" s="16"/>
      <c r="CZ1943" s="16"/>
      <c r="DA1943" s="16"/>
      <c r="DB1943" s="16"/>
      <c r="DC1943" s="16"/>
      <c r="DD1943" s="16"/>
      <c r="DE1943" s="16"/>
      <c r="DF1943" s="16"/>
      <c r="DG1943" s="16"/>
      <c r="DH1943" s="16"/>
      <c r="DI1943" s="16"/>
      <c r="DJ1943" s="16"/>
      <c r="DK1943" s="16"/>
      <c r="DL1943" s="16"/>
      <c r="DM1943" s="16"/>
    </row>
    <row r="1944" spans="97:117" x14ac:dyDescent="0.2">
      <c r="CS1944" s="16"/>
      <c r="CT1944" s="16"/>
      <c r="CU1944" s="16"/>
      <c r="CV1944" s="16"/>
      <c r="CW1944" s="16"/>
      <c r="CX1944" s="16"/>
      <c r="CY1944" s="16"/>
      <c r="CZ1944" s="16"/>
      <c r="DA1944" s="16"/>
      <c r="DB1944" s="16"/>
      <c r="DC1944" s="16"/>
      <c r="DD1944" s="16"/>
      <c r="DE1944" s="16"/>
      <c r="DF1944" s="16"/>
      <c r="DG1944" s="16"/>
      <c r="DH1944" s="16"/>
      <c r="DI1944" s="16"/>
      <c r="DJ1944" s="16"/>
      <c r="DK1944" s="16"/>
      <c r="DL1944" s="16"/>
      <c r="DM1944" s="16"/>
    </row>
    <row r="1945" spans="97:117" x14ac:dyDescent="0.2"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</row>
    <row r="1946" spans="97:117" x14ac:dyDescent="0.2"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</row>
    <row r="1947" spans="97:117" x14ac:dyDescent="0.2"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</row>
    <row r="1948" spans="97:117" x14ac:dyDescent="0.2"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</row>
    <row r="1949" spans="97:117" x14ac:dyDescent="0.2"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</row>
    <row r="1950" spans="97:117" x14ac:dyDescent="0.2"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</row>
    <row r="1951" spans="97:117" x14ac:dyDescent="0.2">
      <c r="CS1951" s="16"/>
      <c r="CT1951" s="16"/>
      <c r="CU1951" s="16"/>
      <c r="CV1951" s="16"/>
      <c r="CW1951" s="16"/>
      <c r="CX1951" s="16"/>
      <c r="CY1951" s="16"/>
      <c r="CZ1951" s="16"/>
      <c r="DA1951" s="16"/>
      <c r="DB1951" s="16"/>
      <c r="DC1951" s="16"/>
      <c r="DD1951" s="16"/>
      <c r="DE1951" s="16"/>
      <c r="DF1951" s="16"/>
      <c r="DG1951" s="16"/>
      <c r="DH1951" s="16"/>
      <c r="DI1951" s="16"/>
      <c r="DJ1951" s="16"/>
      <c r="DK1951" s="16"/>
      <c r="DL1951" s="16"/>
      <c r="DM1951" s="16"/>
    </row>
    <row r="1952" spans="97:117" x14ac:dyDescent="0.2">
      <c r="CS1952" s="16"/>
      <c r="CT1952" s="16"/>
      <c r="CU1952" s="16"/>
      <c r="CV1952" s="16"/>
      <c r="CW1952" s="16"/>
      <c r="CX1952" s="16"/>
      <c r="CY1952" s="16"/>
      <c r="CZ1952" s="16"/>
      <c r="DA1952" s="16"/>
      <c r="DB1952" s="16"/>
      <c r="DC1952" s="16"/>
      <c r="DD1952" s="16"/>
      <c r="DE1952" s="16"/>
      <c r="DF1952" s="16"/>
      <c r="DG1952" s="16"/>
      <c r="DH1952" s="16"/>
      <c r="DI1952" s="16"/>
      <c r="DJ1952" s="16"/>
      <c r="DK1952" s="16"/>
      <c r="DL1952" s="16"/>
      <c r="DM1952" s="16"/>
    </row>
    <row r="1953" spans="97:117" x14ac:dyDescent="0.2"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</row>
    <row r="1954" spans="97:117" x14ac:dyDescent="0.2"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</row>
    <row r="1955" spans="97:117" x14ac:dyDescent="0.2"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</row>
    <row r="1956" spans="97:117" x14ac:dyDescent="0.2"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</row>
    <row r="1957" spans="97:117" x14ac:dyDescent="0.2"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</row>
    <row r="1958" spans="97:117" x14ac:dyDescent="0.2"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</row>
    <row r="1959" spans="97:117" x14ac:dyDescent="0.2">
      <c r="CS1959" s="16"/>
      <c r="CT1959" s="16"/>
      <c r="CU1959" s="16"/>
      <c r="CV1959" s="16"/>
      <c r="CW1959" s="16"/>
      <c r="CX1959" s="16"/>
      <c r="CY1959" s="16"/>
      <c r="CZ1959" s="16"/>
      <c r="DA1959" s="16"/>
      <c r="DB1959" s="16"/>
      <c r="DC1959" s="16"/>
      <c r="DD1959" s="16"/>
      <c r="DE1959" s="16"/>
      <c r="DF1959" s="16"/>
      <c r="DG1959" s="16"/>
      <c r="DH1959" s="16"/>
      <c r="DI1959" s="16"/>
      <c r="DJ1959" s="16"/>
      <c r="DK1959" s="16"/>
      <c r="DL1959" s="16"/>
      <c r="DM1959" s="16"/>
    </row>
    <row r="1960" spans="97:117" x14ac:dyDescent="0.2">
      <c r="CS1960" s="16"/>
      <c r="CT1960" s="16"/>
      <c r="CU1960" s="16"/>
      <c r="CV1960" s="16"/>
      <c r="CW1960" s="16"/>
      <c r="CX1960" s="16"/>
      <c r="CY1960" s="16"/>
      <c r="CZ1960" s="16"/>
      <c r="DA1960" s="16"/>
      <c r="DB1960" s="16"/>
      <c r="DC1960" s="16"/>
      <c r="DD1960" s="16"/>
      <c r="DE1960" s="16"/>
      <c r="DF1960" s="16"/>
      <c r="DG1960" s="16"/>
      <c r="DH1960" s="16"/>
      <c r="DI1960" s="16"/>
      <c r="DJ1960" s="16"/>
      <c r="DK1960" s="16"/>
      <c r="DL1960" s="16"/>
      <c r="DM1960" s="16"/>
    </row>
    <row r="1961" spans="97:117" x14ac:dyDescent="0.2"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</row>
    <row r="1962" spans="97:117" x14ac:dyDescent="0.2"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</row>
    <row r="1963" spans="97:117" x14ac:dyDescent="0.2"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</row>
    <row r="1964" spans="97:117" x14ac:dyDescent="0.2"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</row>
    <row r="1965" spans="97:117" x14ac:dyDescent="0.2"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</row>
    <row r="1966" spans="97:117" x14ac:dyDescent="0.2"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</row>
    <row r="1967" spans="97:117" x14ac:dyDescent="0.2">
      <c r="CS1967" s="16"/>
      <c r="CT1967" s="16"/>
      <c r="CU1967" s="16"/>
      <c r="CV1967" s="16"/>
      <c r="CW1967" s="16"/>
      <c r="CX1967" s="16"/>
      <c r="CY1967" s="16"/>
      <c r="CZ1967" s="16"/>
      <c r="DA1967" s="16"/>
      <c r="DB1967" s="16"/>
      <c r="DC1967" s="16"/>
      <c r="DD1967" s="16"/>
      <c r="DE1967" s="16"/>
      <c r="DF1967" s="16"/>
      <c r="DG1967" s="16"/>
      <c r="DH1967" s="16"/>
      <c r="DI1967" s="16"/>
      <c r="DJ1967" s="16"/>
      <c r="DK1967" s="16"/>
      <c r="DL1967" s="16"/>
      <c r="DM1967" s="16"/>
    </row>
    <row r="1968" spans="97:117" x14ac:dyDescent="0.2">
      <c r="CS1968" s="16"/>
      <c r="CT1968" s="16"/>
      <c r="CU1968" s="16"/>
      <c r="CV1968" s="16"/>
      <c r="CW1968" s="16"/>
      <c r="CX1968" s="16"/>
      <c r="CY1968" s="16"/>
      <c r="CZ1968" s="16"/>
      <c r="DA1968" s="16"/>
      <c r="DB1968" s="16"/>
      <c r="DC1968" s="16"/>
      <c r="DD1968" s="16"/>
      <c r="DE1968" s="16"/>
      <c r="DF1968" s="16"/>
      <c r="DG1968" s="16"/>
      <c r="DH1968" s="16"/>
      <c r="DI1968" s="16"/>
      <c r="DJ1968" s="16"/>
      <c r="DK1968" s="16"/>
      <c r="DL1968" s="16"/>
      <c r="DM1968" s="16"/>
    </row>
    <row r="1969" spans="97:117" x14ac:dyDescent="0.2"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</row>
    <row r="1970" spans="97:117" x14ac:dyDescent="0.2"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</row>
    <row r="1971" spans="97:117" x14ac:dyDescent="0.2"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</row>
    <row r="1972" spans="97:117" x14ac:dyDescent="0.2"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</row>
    <row r="1973" spans="97:117" x14ac:dyDescent="0.2"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</row>
    <row r="1974" spans="97:117" x14ac:dyDescent="0.2"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</row>
    <row r="1975" spans="97:117" x14ac:dyDescent="0.2">
      <c r="CS1975" s="16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</row>
    <row r="1976" spans="97:117" x14ac:dyDescent="0.2">
      <c r="CS1976" s="16"/>
      <c r="CT1976" s="16"/>
      <c r="CU1976" s="16"/>
      <c r="CV1976" s="16"/>
      <c r="CW1976" s="16"/>
      <c r="CX1976" s="16"/>
      <c r="CY1976" s="16"/>
      <c r="CZ1976" s="16"/>
      <c r="DA1976" s="16"/>
      <c r="DB1976" s="16"/>
      <c r="DC1976" s="16"/>
      <c r="DD1976" s="16"/>
      <c r="DE1976" s="16"/>
      <c r="DF1976" s="16"/>
      <c r="DG1976" s="16"/>
      <c r="DH1976" s="16"/>
      <c r="DI1976" s="16"/>
      <c r="DJ1976" s="16"/>
      <c r="DK1976" s="16"/>
      <c r="DL1976" s="16"/>
      <c r="DM1976" s="16"/>
    </row>
    <row r="1977" spans="97:117" x14ac:dyDescent="0.2"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</row>
    <row r="1978" spans="97:117" x14ac:dyDescent="0.2"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</row>
    <row r="1979" spans="97:117" x14ac:dyDescent="0.2"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</row>
    <row r="1980" spans="97:117" x14ac:dyDescent="0.2"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</row>
    <row r="1981" spans="97:117" x14ac:dyDescent="0.2"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</row>
    <row r="1982" spans="97:117" x14ac:dyDescent="0.2"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</row>
    <row r="1983" spans="97:117" x14ac:dyDescent="0.2">
      <c r="CS1983" s="16"/>
      <c r="CT1983" s="16"/>
      <c r="CU1983" s="16"/>
      <c r="CV1983" s="16"/>
      <c r="CW1983" s="16"/>
      <c r="CX1983" s="16"/>
      <c r="CY1983" s="16"/>
      <c r="CZ1983" s="16"/>
      <c r="DA1983" s="16"/>
      <c r="DB1983" s="16"/>
      <c r="DC1983" s="16"/>
      <c r="DD1983" s="16"/>
      <c r="DE1983" s="16"/>
      <c r="DF1983" s="16"/>
      <c r="DG1983" s="16"/>
      <c r="DH1983" s="16"/>
      <c r="DI1983" s="16"/>
      <c r="DJ1983" s="16"/>
      <c r="DK1983" s="16"/>
      <c r="DL1983" s="16"/>
      <c r="DM1983" s="16"/>
    </row>
    <row r="1984" spans="97:117" x14ac:dyDescent="0.2">
      <c r="CS1984" s="16"/>
      <c r="CT1984" s="16"/>
      <c r="CU1984" s="16"/>
      <c r="CV1984" s="16"/>
      <c r="CW1984" s="16"/>
      <c r="CX1984" s="16"/>
      <c r="CY1984" s="16"/>
      <c r="CZ1984" s="16"/>
      <c r="DA1984" s="16"/>
      <c r="DB1984" s="16"/>
      <c r="DC1984" s="16"/>
      <c r="DD1984" s="16"/>
      <c r="DE1984" s="16"/>
      <c r="DF1984" s="16"/>
      <c r="DG1984" s="16"/>
      <c r="DH1984" s="16"/>
      <c r="DI1984" s="16"/>
      <c r="DJ1984" s="16"/>
      <c r="DK1984" s="16"/>
      <c r="DL1984" s="16"/>
      <c r="DM1984" s="16"/>
    </row>
    <row r="1985" spans="97:117" x14ac:dyDescent="0.2"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</row>
    <row r="1986" spans="97:117" x14ac:dyDescent="0.2"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</row>
    <row r="1987" spans="97:117" x14ac:dyDescent="0.2"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</row>
    <row r="1988" spans="97:117" x14ac:dyDescent="0.2"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</row>
    <row r="1989" spans="97:117" x14ac:dyDescent="0.2"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</row>
    <row r="1990" spans="97:117" x14ac:dyDescent="0.2"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</row>
    <row r="1991" spans="97:117" x14ac:dyDescent="0.2">
      <c r="CS1991" s="16"/>
      <c r="CT1991" s="16"/>
      <c r="CU1991" s="16"/>
      <c r="CV1991" s="16"/>
      <c r="CW1991" s="16"/>
      <c r="CX1991" s="16"/>
      <c r="CY1991" s="16"/>
      <c r="CZ1991" s="16"/>
      <c r="DA1991" s="16"/>
      <c r="DB1991" s="16"/>
      <c r="DC1991" s="16"/>
      <c r="DD1991" s="16"/>
      <c r="DE1991" s="16"/>
      <c r="DF1991" s="16"/>
      <c r="DG1991" s="16"/>
      <c r="DH1991" s="16"/>
      <c r="DI1991" s="16"/>
      <c r="DJ1991" s="16"/>
      <c r="DK1991" s="16"/>
      <c r="DL1991" s="16"/>
      <c r="DM1991" s="16"/>
    </row>
    <row r="1992" spans="97:117" x14ac:dyDescent="0.2">
      <c r="CS1992" s="16"/>
      <c r="CT1992" s="16"/>
      <c r="CU1992" s="16"/>
      <c r="CV1992" s="16"/>
      <c r="CW1992" s="16"/>
      <c r="CX1992" s="16"/>
      <c r="CY1992" s="16"/>
      <c r="CZ1992" s="16"/>
      <c r="DA1992" s="16"/>
      <c r="DB1992" s="16"/>
      <c r="DC1992" s="16"/>
      <c r="DD1992" s="16"/>
      <c r="DE1992" s="16"/>
      <c r="DF1992" s="16"/>
      <c r="DG1992" s="16"/>
      <c r="DH1992" s="16"/>
      <c r="DI1992" s="16"/>
      <c r="DJ1992" s="16"/>
      <c r="DK1992" s="16"/>
      <c r="DL1992" s="16"/>
      <c r="DM1992" s="16"/>
    </row>
    <row r="1993" spans="97:117" x14ac:dyDescent="0.2"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</row>
    <row r="1994" spans="97:117" x14ac:dyDescent="0.2"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</row>
    <row r="1995" spans="97:117" x14ac:dyDescent="0.2"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23" activePane="bottomRight" state="frozen"/>
      <selection pane="topRight" activeCell="C1" sqref="C1"/>
      <selection pane="bottomLeft" activeCell="A5" sqref="A5"/>
      <selection pane="bottomRight" activeCell="K44" sqref="K44"/>
    </sheetView>
  </sheetViews>
  <sheetFormatPr defaultRowHeight="14.25" x14ac:dyDescent="0.2"/>
  <cols>
    <col min="2" max="2" width="9" style="30"/>
    <col min="4" max="4" width="10.375" customWidth="1"/>
    <col min="5" max="7" width="10.375" style="30" customWidth="1"/>
    <col min="8" max="8" width="10.75" customWidth="1"/>
    <col min="9" max="9" width="10.75" style="30" customWidth="1"/>
    <col min="10" max="10" width="13.5" style="30" customWidth="1"/>
    <col min="12" max="13" width="9" style="30"/>
    <col min="14" max="14" width="10.75" style="30" customWidth="1"/>
    <col min="15" max="15" width="13.625" style="30" customWidth="1"/>
    <col min="16" max="21" width="12.125" style="30" customWidth="1"/>
    <col min="22" max="22" width="11" style="30" customWidth="1"/>
    <col min="23" max="23" width="12.125" style="30" customWidth="1"/>
    <col min="24" max="25" width="9" style="30"/>
    <col min="28" max="28" width="9" style="30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123</v>
      </c>
      <c r="B4" s="12" t="s">
        <v>1032</v>
      </c>
      <c r="C4" s="12" t="s">
        <v>1027</v>
      </c>
      <c r="D4" s="12" t="s">
        <v>1028</v>
      </c>
      <c r="E4" s="12" t="s">
        <v>1160</v>
      </c>
      <c r="F4" s="12" t="s">
        <v>1033</v>
      </c>
      <c r="G4" s="12" t="s">
        <v>1034</v>
      </c>
      <c r="H4" s="12" t="s">
        <v>1029</v>
      </c>
      <c r="I4" s="12" t="s">
        <v>1161</v>
      </c>
      <c r="J4" s="12" t="s">
        <v>1162</v>
      </c>
      <c r="K4" s="12" t="s">
        <v>1185</v>
      </c>
      <c r="L4" s="12" t="s">
        <v>1199</v>
      </c>
      <c r="M4" s="12" t="s">
        <v>1405</v>
      </c>
      <c r="O4" s="12" t="s">
        <v>1171</v>
      </c>
      <c r="P4" s="12" t="s">
        <v>1163</v>
      </c>
      <c r="Q4" s="12" t="s">
        <v>1164</v>
      </c>
      <c r="R4" s="12" t="s">
        <v>1165</v>
      </c>
      <c r="S4" s="12" t="s">
        <v>1166</v>
      </c>
      <c r="T4" s="12" t="s">
        <v>1167</v>
      </c>
      <c r="U4" s="12" t="s">
        <v>1168</v>
      </c>
      <c r="V4" s="12" t="s">
        <v>1169</v>
      </c>
      <c r="W4" s="12" t="s">
        <v>1170</v>
      </c>
      <c r="AA4" s="12" t="s">
        <v>1036</v>
      </c>
      <c r="AB4" s="12" t="s">
        <v>1080</v>
      </c>
      <c r="AC4" s="12" t="s">
        <v>1033</v>
      </c>
      <c r="AD4" s="12" t="s">
        <v>1034</v>
      </c>
      <c r="AE4" s="12" t="s">
        <v>1029</v>
      </c>
      <c r="AF4" s="12" t="s">
        <v>1030</v>
      </c>
      <c r="AG4" s="12" t="s">
        <v>1031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MATCH(A5,属性投放!$AO$6:$AO$58,1)-1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IF(COUNTIF(属性投放!$AO$6:$AO$58,"="&amp;A5)&gt;0,C5,0)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4" t="s">
        <v>1037</v>
      </c>
      <c r="AD5" s="34" t="s">
        <v>1038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MATCH(A6,属性投放!$AO$6:$AO$58,1)-1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IF(COUNTIF(属性投放!$AO$6:$AO$58,"="&amp;A6)&gt;0,C6,0)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1039</v>
      </c>
      <c r="AD6" s="13" t="s">
        <v>1040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MATCH(A7,属性投放!$AO$6:$AO$58,1)-1</f>
        <v>1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IF(COUNTIF(属性投放!$AO$6:$AO$58,"="&amp;A7)&gt;0,C7,0)</f>
        <v>1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1041</v>
      </c>
      <c r="AD7" s="34" t="s">
        <v>1042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MATCH(A8,属性投放!$AO$6:$AO$58,1)-1</f>
        <v>1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IF(COUNTIF(属性投放!$AO$6:$AO$58,"="&amp;A8)&gt;0,C8,0)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1043</v>
      </c>
      <c r="AD8" s="34" t="s">
        <v>1044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MATCH(A9,属性投放!$AO$6:$AO$58,1)-1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IF(COUNTIF(属性投放!$AO$6:$AO$58,"="&amp;A9)&gt;0,C9,0)</f>
        <v>0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4" t="s">
        <v>1045</v>
      </c>
      <c r="AD9" s="34" t="s">
        <v>1046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MATCH(A10,属性投放!$AO$6:$AO$58,1)-1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IF(COUNTIF(属性投放!$AO$6:$AO$58,"="&amp;A10)&gt;0,C10,0)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1047</v>
      </c>
      <c r="AD10" s="34" t="s">
        <v>1081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MATCH(A11,属性投放!$AO$6:$AO$58,1)-1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IF(COUNTIF(属性投放!$AO$6:$AO$58,"="&amp;A11)&gt;0,C11,0)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4" t="s">
        <v>1048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MATCH(A12,属性投放!$AO$6:$AO$58,1)-1</f>
        <v>2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IF(COUNTIF(属性投放!$AO$6:$AO$58,"="&amp;A12)&gt;0,C12,0)</f>
        <v>2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4" t="s">
        <v>1049</v>
      </c>
      <c r="AD12" s="34" t="s">
        <v>1082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MATCH(A13,属性投放!$AO$6:$AO$58,1)-1</f>
        <v>2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IF(COUNTIF(属性投放!$AO$6:$AO$58,"="&amp;A13)&gt;0,C13,0)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1050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MATCH(A14,属性投放!$AO$6:$AO$58,1)-1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IF(COUNTIF(属性投放!$AO$6:$AO$58,"="&amp;A14)&gt;0,C14,0)</f>
        <v>0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4" t="s">
        <v>1051</v>
      </c>
      <c r="AD14" s="34" t="s">
        <v>1083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MATCH(A15,属性投放!$AO$6:$AO$58,1)-1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IF(COUNTIF(属性投放!$AO$6:$AO$58,"="&amp;A15)&gt;0,C15,0)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4" t="s">
        <v>1052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MATCH(A16,属性投放!$AO$6:$AO$58,1)-1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IF(COUNTIF(属性投放!$AO$6:$AO$58,"="&amp;A16)&gt;0,C16,0)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4" t="s">
        <v>1053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MATCH(A17,属性投放!$AO$6:$AO$58,1)-1</f>
        <v>3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IF(COUNTIF(属性投放!$AO$6:$AO$58,"="&amp;A17)&gt;0,C17,0)</f>
        <v>3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4" t="s">
        <v>1054</v>
      </c>
      <c r="AD17" s="34" t="s">
        <v>1084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MATCH(A18,属性投放!$AO$6:$AO$58,1)-1</f>
        <v>3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IF(COUNTIF(属性投放!$AO$6:$AO$58,"="&amp;A18)&gt;0,C18,0)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4" t="s">
        <v>1055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MATCH(A19,属性投放!$AO$6:$AO$58,1)-1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IF(COUNTIF(属性投放!$AO$6:$AO$58,"="&amp;A19)&gt;0,C19,0)</f>
        <v>0</v>
      </c>
      <c r="G19" s="44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4" t="s">
        <v>1056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MATCH(A20,属性投放!$AO$6:$AO$58,1)-1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IF(COUNTIF(属性投放!$AO$6:$AO$58,"="&amp;A20)&gt;0,C20,0)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4" t="s">
        <v>1057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MATCH(A21,属性投放!$AO$6:$AO$58,1)-1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IF(COUNTIF(属性投放!$AO$6:$AO$58,"="&amp;A21)&gt;0,C21,0)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4" t="s">
        <v>1058</v>
      </c>
      <c r="AD21" s="34" t="s">
        <v>1085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MATCH(A22,属性投放!$AO$6:$AO$58,1)-1</f>
        <v>4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IF(COUNTIF(属性投放!$AO$6:$AO$58,"="&amp;A22)&gt;0,C22,0)</f>
        <v>4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MATCH(A23,属性投放!$AO$6:$AO$58,1)-1</f>
        <v>4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IF(COUNTIF(属性投放!$AO$6:$AO$58,"="&amp;A23)&gt;0,C23,0)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4" t="s">
        <v>1059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MATCH(A24,属性投放!$AO$6:$AO$58,1)-1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IF(COUNTIF(属性投放!$AO$6:$AO$58,"="&amp;A24)&gt;0,C24,0)</f>
        <v>0</v>
      </c>
      <c r="G24" s="43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4" t="s">
        <v>1060</v>
      </c>
      <c r="AD24" s="34" t="s">
        <v>1086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MATCH(A25,属性投放!$AO$6:$AO$58,1)-1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IF(COUNTIF(属性投放!$AO$6:$AO$58,"="&amp;A25)&gt;0,C25,0)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4" t="s">
        <v>1061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MATCH(A26,属性投放!$AO$6:$AO$58,1)-1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IF(COUNTIF(属性投放!$AO$6:$AO$58,"="&amp;A26)&gt;0,C26,0)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4" t="s">
        <v>1062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MATCH(A27,属性投放!$AO$6:$AO$58,1)-1</f>
        <v>5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IF(COUNTIF(属性投放!$AO$6:$AO$58,"="&amp;A27)&gt;0,C27,0)</f>
        <v>5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4" t="s">
        <v>1063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MATCH(A28,属性投放!$AO$6:$AO$58,1)-1</f>
        <v>5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IF(COUNTIF(属性投放!$AO$6:$AO$58,"="&amp;A28)&gt;0,C28,0)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4"/>
      <c r="AD28" s="34" t="s">
        <v>1087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MATCH(A29,属性投放!$AO$6:$AO$58,1)-1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IF(COUNTIF(属性投放!$AO$6:$AO$58,"="&amp;A29)&gt;0,C29,0)</f>
        <v>0</v>
      </c>
      <c r="G29" s="14">
        <f>IF(COUNTIF(属性投放!$AC$6:$AC$26,"="&amp;开启等级!A29)&gt;0,D29,0)</f>
        <v>0</v>
      </c>
      <c r="H29" s="42">
        <v>1</v>
      </c>
      <c r="I29" s="42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4" t="s">
        <v>1064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MATCH(A30,属性投放!$AO$6:$AO$58,1)-1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IF(COUNTIF(属性投放!$AO$6:$AO$58,"="&amp;A30)&gt;0,C30,0)</f>
        <v>0</v>
      </c>
      <c r="G30" s="14">
        <f>IF(COUNTIF(属性投放!$AC$6:$AC$26,"="&amp;开启等级!A30)&gt;0,D30,0)</f>
        <v>0</v>
      </c>
      <c r="H30" s="45"/>
      <c r="I30" s="45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4" t="s">
        <v>1065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MATCH(A31,属性投放!$AO$6:$AO$58,1)-1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IF(COUNTIF(属性投放!$AO$6:$AO$58,"="&amp;A31)&gt;0,C31,0)</f>
        <v>0</v>
      </c>
      <c r="G31" s="14">
        <f>IF(COUNTIF(属性投放!$AC$6:$AC$26,"="&amp;开启等级!A31)&gt;0,D31,0)</f>
        <v>0</v>
      </c>
      <c r="H31" s="45"/>
      <c r="I31" s="45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MATCH(A32,属性投放!$AO$6:$AO$58,1)-1</f>
        <v>6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IF(COUNTIF(属性投放!$AO$6:$AO$58,"="&amp;A32)&gt;0,C32,0)</f>
        <v>6</v>
      </c>
      <c r="G32" s="14">
        <f>IF(COUNTIF(属性投放!$AC$6:$AC$26,"="&amp;开启等级!A32)&gt;0,D32,0)</f>
        <v>0</v>
      </c>
      <c r="H32" s="45"/>
      <c r="I32" s="45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4" t="s">
        <v>1066</v>
      </c>
      <c r="AD32" s="34" t="s">
        <v>1088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MATCH(A33,属性投放!$AO$6:$AO$58,1)-1</f>
        <v>6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IF(COUNTIF(属性投放!$AO$6:$AO$58,"="&amp;A33)&gt;0,C33,0)</f>
        <v>0</v>
      </c>
      <c r="G33" s="14">
        <f>IF(COUNTIF(属性投放!$AC$6:$AC$26,"="&amp;开启等级!A33)&gt;0,D33,0)</f>
        <v>0</v>
      </c>
      <c r="H33" s="45"/>
      <c r="I33" s="45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MATCH(A34,属性投放!$AO$6:$AO$58,1)-1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IF(COUNTIF(属性投放!$AO$6:$AO$58,"="&amp;A34)&gt;0,C34,0)</f>
        <v>0</v>
      </c>
      <c r="G34" s="43">
        <f>IF(COUNTIF(属性投放!$AC$6:$AC$26,"="&amp;开启等级!A34)&gt;0,D34,0)</f>
        <v>6</v>
      </c>
      <c r="H34" s="45"/>
      <c r="I34" s="45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4" t="s">
        <v>1067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MATCH(A35,属性投放!$AO$6:$AO$58,1)-1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IF(COUNTIF(属性投放!$AO$6:$AO$58,"="&amp;A35)&gt;0,C35,0)</f>
        <v>0</v>
      </c>
      <c r="G35" s="14">
        <f>IF(COUNTIF(属性投放!$AC$6:$AC$26,"="&amp;开启等级!A35)&gt;0,D35,0)</f>
        <v>0</v>
      </c>
      <c r="H35" s="45"/>
      <c r="I35" s="45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4" t="s">
        <v>1068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MATCH(A36,属性投放!$AO$6:$AO$58,1)-1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IF(COUNTIF(属性投放!$AO$6:$AO$58,"="&amp;A36)&gt;0,C36,0)</f>
        <v>0</v>
      </c>
      <c r="G36" s="14">
        <f>IF(COUNTIF(属性投放!$AC$6:$AC$26,"="&amp;开启等级!A36)&gt;0,D36,0)</f>
        <v>0</v>
      </c>
      <c r="H36" s="45"/>
      <c r="I36" s="45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4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MATCH(A37,属性投放!$AO$6:$AO$58,1)-1</f>
        <v>7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IF(COUNTIF(属性投放!$AO$6:$AO$58,"="&amp;A37)&gt;0,C37,0)</f>
        <v>7</v>
      </c>
      <c r="G37" s="14">
        <f>IF(COUNTIF(属性投放!$AC$6:$AC$26,"="&amp;开启等级!A37)&gt;0,D37,0)</f>
        <v>0</v>
      </c>
      <c r="H37" s="45"/>
      <c r="I37" s="45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4" t="s">
        <v>1070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MATCH(A38,属性投放!$AO$6:$AO$58,1)-1</f>
        <v>7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IF(COUNTIF(属性投放!$AO$6:$AO$58,"="&amp;A38)&gt;0,C38,0)</f>
        <v>0</v>
      </c>
      <c r="G38" s="14">
        <f>IF(COUNTIF(属性投放!$AC$6:$AC$26,"="&amp;开启等级!A38)&gt;0,D38,0)</f>
        <v>0</v>
      </c>
      <c r="H38" s="45"/>
      <c r="I38" s="45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4"/>
      <c r="AD38" s="34" t="s">
        <v>1089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MATCH(A39,属性投放!$AO$6:$AO$58,1)-1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IF(COUNTIF(属性投放!$AO$6:$AO$58,"="&amp;A39)&gt;0,C39,0)</f>
        <v>0</v>
      </c>
      <c r="G39" s="14">
        <f>IF(COUNTIF(属性投放!$AC$6:$AC$26,"="&amp;开启等级!A39)&gt;0,D39,0)</f>
        <v>0</v>
      </c>
      <c r="H39" s="45"/>
      <c r="I39" s="45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4" t="s">
        <v>1069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MATCH(A40,属性投放!$AO$6:$AO$58,1)-1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IF(COUNTIF(属性投放!$AO$6:$AO$58,"="&amp;A40)&gt;0,C40,0)</f>
        <v>0</v>
      </c>
      <c r="G40" s="14">
        <f>IF(COUNTIF(属性投放!$AC$6:$AC$26,"="&amp;开启等级!A40)&gt;0,D40,0)</f>
        <v>0</v>
      </c>
      <c r="H40" s="45"/>
      <c r="I40" s="45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MATCH(A41,属性投放!$AO$6:$AO$58,1)-1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IF(COUNTIF(属性投放!$AO$6:$AO$58,"="&amp;A41)&gt;0,C41,0)</f>
        <v>0</v>
      </c>
      <c r="G41" s="14">
        <f>IF(COUNTIF(属性投放!$AC$6:$AC$26,"="&amp;开启等级!A41)&gt;0,D41,0)</f>
        <v>0</v>
      </c>
      <c r="H41" s="45"/>
      <c r="I41" s="45"/>
      <c r="J41" s="42">
        <v>1</v>
      </c>
      <c r="K41" s="13"/>
      <c r="L41" s="13"/>
      <c r="M41" s="13"/>
      <c r="O41" s="13" t="s">
        <v>1172</v>
      </c>
      <c r="P41" s="34" t="s">
        <v>1038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4" t="s">
        <v>1071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MATCH(A42,属性投放!$AO$6:$AO$58,1)-1</f>
        <v>8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IF(COUNTIF(属性投放!$AO$6:$AO$58,"="&amp;A42)&gt;0,C42,0)</f>
        <v>8</v>
      </c>
      <c r="G42" s="14">
        <f>IF(COUNTIF(属性投放!$AC$6:$AC$26,"="&amp;开启等级!A42)&gt;0,D42,0)</f>
        <v>0</v>
      </c>
      <c r="H42" s="45"/>
      <c r="I42" s="45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MATCH(A43,属性投放!$AO$6:$AO$58,1)-1</f>
        <v>8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IF(COUNTIF(属性投放!$AO$6:$AO$58,"="&amp;A43)&gt;0,C43,0)</f>
        <v>0</v>
      </c>
      <c r="G43" s="14">
        <f>IF(COUNTIF(属性投放!$AC$6:$AC$26,"="&amp;开启等级!A43)&gt;0,D43,0)</f>
        <v>0</v>
      </c>
      <c r="H43" s="45"/>
      <c r="I43" s="45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4" t="s">
        <v>1072</v>
      </c>
      <c r="AD43" s="34" t="s">
        <v>1090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MATCH(A44,属性投放!$AO$6:$AO$58,1)-1</f>
        <v>9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IF(COUNTIF(属性投放!$AO$6:$AO$58,"="&amp;A44)&gt;0,C44,0)</f>
        <v>9</v>
      </c>
      <c r="G44" s="44">
        <f>IF(COUNTIF(属性投放!$AC$6:$AC$26,"="&amp;开启等级!A44)&gt;0,D44,0)</f>
        <v>7</v>
      </c>
      <c r="H44" s="42">
        <v>2</v>
      </c>
      <c r="I44" s="42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MATCH(A45,属性投放!$AO$6:$AO$58,1)-1</f>
        <v>9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IF(COUNTIF(属性投放!$AO$6:$AO$58,"="&amp;A45)&gt;0,C45,0)</f>
        <v>0</v>
      </c>
      <c r="G45" s="14">
        <f>IF(COUNTIF(属性投放!$AC$6:$AC$26,"="&amp;开启等级!A45)&gt;0,D45,0)</f>
        <v>0</v>
      </c>
      <c r="H45" s="45"/>
      <c r="I45" s="45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MATCH(A46,属性投放!$AO$6:$AO$58,1)-1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IF(COUNTIF(属性投放!$AO$6:$AO$58,"="&amp;A46)&gt;0,C46,0)</f>
        <v>0</v>
      </c>
      <c r="G46" s="14">
        <f>IF(COUNTIF(属性投放!$AC$6:$AC$26,"="&amp;开启等级!A46)&gt;0,D46,0)</f>
        <v>0</v>
      </c>
      <c r="H46" s="45"/>
      <c r="I46" s="45"/>
      <c r="J46" s="13"/>
      <c r="K46" s="13"/>
      <c r="L46" s="13"/>
      <c r="M46" s="13"/>
      <c r="O46" s="13"/>
      <c r="P46" s="34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4" t="s">
        <v>1073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MATCH(A47,属性投放!$AO$6:$AO$58,1)-1</f>
        <v>10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IF(COUNTIF(属性投放!$AO$6:$AO$58,"="&amp;A47)&gt;0,C47,0)</f>
        <v>10</v>
      </c>
      <c r="G47" s="14">
        <f>IF(COUNTIF(属性投放!$AC$6:$AC$26,"="&amp;开启等级!A47)&gt;0,D47,0)</f>
        <v>0</v>
      </c>
      <c r="H47" s="45"/>
      <c r="I47" s="45"/>
      <c r="J47" s="13"/>
      <c r="K47" s="42">
        <v>1</v>
      </c>
      <c r="L47" s="42">
        <v>1</v>
      </c>
      <c r="M47" s="13"/>
      <c r="O47" s="13"/>
      <c r="P47" s="13" t="s">
        <v>1040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MATCH(A48,属性投放!$AO$6:$AO$58,1)-1</f>
        <v>10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IF(COUNTIF(属性投放!$AO$6:$AO$58,"="&amp;A48)&gt;0,C48,0)</f>
        <v>0</v>
      </c>
      <c r="G48" s="14">
        <f>IF(COUNTIF(属性投放!$AC$6:$AC$26,"="&amp;开启等级!A48)&gt;0,D48,0)</f>
        <v>0</v>
      </c>
      <c r="H48" s="45"/>
      <c r="I48" s="45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MATCH(A49,属性投放!$AO$6:$AO$58,1)-1</f>
        <v>11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IF(COUNTIF(属性投放!$AO$6:$AO$58,"="&amp;A49)&gt;0,C49,0)</f>
        <v>11</v>
      </c>
      <c r="G49" s="43">
        <f>IF(COUNTIF(属性投放!$AC$6:$AC$26,"="&amp;开启等级!A49)&gt;0,D49,0)</f>
        <v>8</v>
      </c>
      <c r="H49" s="45"/>
      <c r="I49" s="45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4" t="s">
        <v>1075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MATCH(A50,属性投放!$AO$6:$AO$58,1)-1</f>
        <v>11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IF(COUNTIF(属性投放!$AO$6:$AO$58,"="&amp;A50)&gt;0,C50,0)</f>
        <v>0</v>
      </c>
      <c r="G50" s="14">
        <f>IF(COUNTIF(属性投放!$AC$6:$AC$26,"="&amp;开启等级!A50)&gt;0,D50,0)</f>
        <v>0</v>
      </c>
      <c r="H50" s="45"/>
      <c r="I50" s="45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MATCH(A51,属性投放!$AO$6:$AO$58,1)-1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IF(COUNTIF(属性投放!$AO$6:$AO$58,"="&amp;A51)&gt;0,C51,0)</f>
        <v>0</v>
      </c>
      <c r="G51" s="14">
        <f>IF(COUNTIF(属性投放!$AC$6:$AC$26,"="&amp;开启等级!A51)&gt;0,D51,0)</f>
        <v>0</v>
      </c>
      <c r="H51" s="45"/>
      <c r="I51" s="45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MATCH(A52,属性投放!$AO$6:$AO$58,1)-1</f>
        <v>12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IF(COUNTIF(属性投放!$AO$6:$AO$58,"="&amp;A52)&gt;0,C52,0)</f>
        <v>12</v>
      </c>
      <c r="G52" s="14">
        <f>IF(COUNTIF(属性投放!$AC$6:$AC$26,"="&amp;开启等级!A52)&gt;0,D52,0)</f>
        <v>0</v>
      </c>
      <c r="H52" s="45"/>
      <c r="I52" s="45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4" t="s">
        <v>1074</v>
      </c>
      <c r="AD52" s="34" t="s">
        <v>1091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MATCH(A53,属性投放!$AO$6:$AO$58,1)-1</f>
        <v>12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IF(COUNTIF(属性投放!$AO$6:$AO$58,"="&amp;A53)&gt;0,C53,0)</f>
        <v>0</v>
      </c>
      <c r="G53" s="14">
        <f>IF(COUNTIF(属性投放!$AC$6:$AC$26,"="&amp;开启等级!A53)&gt;0,D53,0)</f>
        <v>0</v>
      </c>
      <c r="H53" s="45"/>
      <c r="I53" s="45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MATCH(A54,属性投放!$AO$6:$AO$58,1)-1</f>
        <v>13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IF(COUNTIF(属性投放!$AO$6:$AO$58,"="&amp;A54)&gt;0,C54,0)</f>
        <v>13</v>
      </c>
      <c r="G54" s="43">
        <f>IF(COUNTIF(属性投放!$AC$6:$AC$26,"="&amp;开启等级!A54)&gt;0,D54,0)</f>
        <v>9</v>
      </c>
      <c r="H54" s="45"/>
      <c r="I54" s="45"/>
      <c r="J54" s="13"/>
      <c r="K54" s="13"/>
      <c r="L54" s="13"/>
      <c r="M54" s="13"/>
      <c r="O54" s="13" t="s">
        <v>1173</v>
      </c>
      <c r="P54" s="13"/>
      <c r="Q54" s="34" t="s">
        <v>1181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4" t="s">
        <v>1077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MATCH(A55,属性投放!$AO$6:$AO$58,1)-1</f>
        <v>13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IF(COUNTIF(属性投放!$AO$6:$AO$58,"="&amp;A55)&gt;0,C55,0)</f>
        <v>0</v>
      </c>
      <c r="G55" s="14">
        <f>IF(COUNTIF(属性投放!$AC$6:$AC$26,"="&amp;开启等级!A55)&gt;0,D55,0)</f>
        <v>0</v>
      </c>
      <c r="H55" s="45"/>
      <c r="I55" s="45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MATCH(A56,属性投放!$AO$6:$AO$58,1)-1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IF(COUNTIF(属性投放!$AO$6:$AO$58,"="&amp;A56)&gt;0,C56,0)</f>
        <v>0</v>
      </c>
      <c r="G56" s="14">
        <f>IF(COUNTIF(属性投放!$AC$6:$AC$26,"="&amp;开启等级!A56)&gt;0,D56,0)</f>
        <v>0</v>
      </c>
      <c r="H56" s="45"/>
      <c r="I56" s="45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MATCH(A57,属性投放!$AO$6:$AO$58,1)-1</f>
        <v>14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IF(COUNTIF(属性投放!$AO$6:$AO$58,"="&amp;A57)&gt;0,C57,0)</f>
        <v>14</v>
      </c>
      <c r="G57" s="14">
        <f>IF(COUNTIF(属性投放!$AC$6:$AC$26,"="&amp;开启等级!A57)&gt;0,D57,0)</f>
        <v>0</v>
      </c>
      <c r="H57" s="45"/>
      <c r="I57" s="45"/>
      <c r="J57" s="42">
        <v>2</v>
      </c>
      <c r="K57" s="42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MATCH(A58,属性投放!$AO$6:$AO$58,1)-1</f>
        <v>14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IF(COUNTIF(属性投放!$AO$6:$AO$58,"="&amp;A58)&gt;0,C58,0)</f>
        <v>0</v>
      </c>
      <c r="G58" s="14">
        <f>IF(COUNTIF(属性投放!$AC$6:$AC$26,"="&amp;开启等级!A58)&gt;0,D58,0)</f>
        <v>0</v>
      </c>
      <c r="H58" s="45"/>
      <c r="I58" s="45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4" t="s">
        <v>1076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MATCH(A59,属性投放!$AO$6:$AO$58,1)-1</f>
        <v>15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IF(COUNTIF(属性投放!$AO$6:$AO$58,"="&amp;A59)&gt;0,C59,0)</f>
        <v>15</v>
      </c>
      <c r="G59" s="14">
        <f>IF(COUNTIF(属性投放!$AC$6:$AC$26,"="&amp;开启等级!A59)&gt;0,D59,0)</f>
        <v>0</v>
      </c>
      <c r="H59" s="45"/>
      <c r="I59" s="45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MATCH(A60,属性投放!$AO$6:$AO$58,1)-1</f>
        <v>15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IF(COUNTIF(属性投放!$AO$6:$AO$58,"="&amp;A60)&gt;0,C60,0)</f>
        <v>0</v>
      </c>
      <c r="G60" s="14">
        <f>IF(COUNTIF(属性投放!$AC$6:$AC$26,"="&amp;开启等级!A60)&gt;0,D60,0)</f>
        <v>0</v>
      </c>
      <c r="H60" s="45"/>
      <c r="I60" s="45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4" t="s">
        <v>1078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MATCH(A61,属性投放!$AO$6:$AO$58,1)-1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IF(COUNTIF(属性投放!$AO$6:$AO$58,"="&amp;A61)&gt;0,C61,0)</f>
        <v>0</v>
      </c>
      <c r="G61" s="14">
        <f>IF(COUNTIF(属性投放!$AC$6:$AC$26,"="&amp;开启等级!A61)&gt;0,D61,0)</f>
        <v>0</v>
      </c>
      <c r="H61" s="45"/>
      <c r="I61" s="45"/>
      <c r="J61" s="13"/>
      <c r="K61" s="13"/>
      <c r="L61" s="13"/>
      <c r="M61" s="13"/>
      <c r="O61" s="13"/>
      <c r="P61" s="13"/>
      <c r="Q61" s="34" t="s">
        <v>1182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MATCH(A62,属性投放!$AO$6:$AO$58,1)-1</f>
        <v>16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IF(COUNTIF(属性投放!$AO$6:$AO$58,"="&amp;A62)&gt;0,C62,0)</f>
        <v>16</v>
      </c>
      <c r="G62" s="14">
        <f>IF(COUNTIF(属性投放!$AC$6:$AC$26,"="&amp;开启等级!A62)&gt;0,D62,0)</f>
        <v>0</v>
      </c>
      <c r="H62" s="45"/>
      <c r="I62" s="45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MATCH(A63,属性投放!$AO$6:$AO$58,1)-1</f>
        <v>16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IF(COUNTIF(属性投放!$AO$6:$AO$58,"="&amp;A63)&gt;0,C63,0)</f>
        <v>0</v>
      </c>
      <c r="G63" s="14">
        <f>IF(COUNTIF(属性投放!$AC$6:$AC$26,"="&amp;开启等级!A63)&gt;0,D63,0)</f>
        <v>0</v>
      </c>
      <c r="H63" s="45"/>
      <c r="I63" s="45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MATCH(A64,属性投放!$AO$6:$AO$58,1)-1</f>
        <v>17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IF(COUNTIF(属性投放!$AO$6:$AO$58,"="&amp;A64)&gt;0,C64,0)</f>
        <v>17</v>
      </c>
      <c r="G64" s="44">
        <f>IF(COUNTIF(属性投放!$AC$6:$AC$26,"="&amp;开启等级!A64)&gt;0,D64,0)</f>
        <v>10</v>
      </c>
      <c r="H64" s="42">
        <v>3</v>
      </c>
      <c r="I64" s="42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4" t="s">
        <v>1079</v>
      </c>
      <c r="AD64" s="34" t="s">
        <v>1092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MATCH(A65,属性投放!$AO$6:$AO$58,1)-1</f>
        <v>17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IF(COUNTIF(属性投放!$AO$6:$AO$58,"="&amp;A65)&gt;0,C65,0)</f>
        <v>0</v>
      </c>
      <c r="G65" s="14">
        <f>IF(COUNTIF(属性投放!$AC$6:$AC$26,"="&amp;开启等级!A65)&gt;0,D65,0)</f>
        <v>0</v>
      </c>
      <c r="H65" s="45"/>
      <c r="I65" s="45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MATCH(A66,属性投放!$AO$6:$AO$58,1)-1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IF(COUNTIF(属性投放!$AO$6:$AO$58,"="&amp;A66)&gt;0,C66,0)</f>
        <v>0</v>
      </c>
      <c r="G66" s="14">
        <f>IF(COUNTIF(属性投放!$AC$6:$AC$26,"="&amp;开启等级!A66)&gt;0,D66,0)</f>
        <v>0</v>
      </c>
      <c r="H66" s="45"/>
      <c r="I66" s="45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MATCH(A67,属性投放!$AO$6:$AO$58,1)-1</f>
        <v>18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IF(COUNTIF(属性投放!$AO$6:$AO$58,"="&amp;A67)&gt;0,C67,0)</f>
        <v>18</v>
      </c>
      <c r="G67" s="14">
        <f>IF(COUNTIF(属性投放!$AC$6:$AC$26,"="&amp;开启等级!A67)&gt;0,D67,0)</f>
        <v>0</v>
      </c>
      <c r="H67" s="45"/>
      <c r="I67" s="45"/>
      <c r="J67" s="13"/>
      <c r="K67" s="42">
        <v>3</v>
      </c>
      <c r="L67" s="42">
        <v>2</v>
      </c>
      <c r="M67" s="42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MATCH(A68,属性投放!$AO$6:$AO$58,1)-1</f>
        <v>18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IF(COUNTIF(属性投放!$AO$6:$AO$58,"="&amp;A68)&gt;0,C68,0)</f>
        <v>0</v>
      </c>
      <c r="G68" s="14">
        <f>IF(COUNTIF(属性投放!$AC$6:$AC$26,"="&amp;开启等级!A68)&gt;0,D68,0)</f>
        <v>0</v>
      </c>
      <c r="H68" s="45"/>
      <c r="I68" s="45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MATCH(A69,属性投放!$AO$6:$AO$58,1)-1</f>
        <v>19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IF(COUNTIF(属性投放!$AO$6:$AO$58,"="&amp;A69)&gt;0,C69,0)</f>
        <v>19</v>
      </c>
      <c r="G69" s="43">
        <f>IF(COUNTIF(属性投放!$AC$6:$AC$26,"="&amp;开启等级!A69)&gt;0,D69,0)</f>
        <v>11</v>
      </c>
      <c r="H69" s="45"/>
      <c r="I69" s="45"/>
      <c r="J69" s="47"/>
      <c r="K69" s="13"/>
      <c r="L69" s="13"/>
      <c r="M69" s="13"/>
      <c r="O69" s="13" t="s">
        <v>1174</v>
      </c>
      <c r="P69" s="13">
        <v>6</v>
      </c>
      <c r="Q69" s="34" t="s">
        <v>1183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MATCH(A70,属性投放!$AO$6:$AO$58,1)-1</f>
        <v>19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IF(COUNTIF(属性投放!$AO$6:$AO$58,"="&amp;A70)&gt;0,C70,0)</f>
        <v>0</v>
      </c>
      <c r="G70" s="14">
        <f>IF(COUNTIF(属性投放!$AC$6:$AC$26,"="&amp;开启等级!A70)&gt;0,D70,0)</f>
        <v>0</v>
      </c>
      <c r="H70" s="45"/>
      <c r="I70" s="45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MATCH(A71,属性投放!$AO$6:$AO$58,1)-1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IF(COUNTIF(属性投放!$AO$6:$AO$58,"="&amp;A71)&gt;0,C71,0)</f>
        <v>0</v>
      </c>
      <c r="G71" s="14">
        <f>IF(COUNTIF(属性投放!$AC$6:$AC$26,"="&amp;开启等级!A71)&gt;0,D71,0)</f>
        <v>0</v>
      </c>
      <c r="H71" s="45"/>
      <c r="I71" s="45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MATCH(A72,属性投放!$AO$6:$AO$58,1)-1</f>
        <v>20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IF(COUNTIF(属性投放!$AO$6:$AO$58,"="&amp;A72)&gt;0,C72,0)</f>
        <v>20</v>
      </c>
      <c r="G72" s="14">
        <f>IF(COUNTIF(属性投放!$AC$6:$AC$26,"="&amp;开启等级!A72)&gt;0,D72,0)</f>
        <v>0</v>
      </c>
      <c r="H72" s="45"/>
      <c r="I72" s="45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MATCH(A73,属性投放!$AO$6:$AO$58,1)-1</f>
        <v>20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IF(COUNTIF(属性投放!$AO$6:$AO$58,"="&amp;A73)&gt;0,C73,0)</f>
        <v>0</v>
      </c>
      <c r="G73" s="14">
        <f>IF(COUNTIF(属性投放!$AC$6:$AC$26,"="&amp;开启等级!A73)&gt;0,D73,0)</f>
        <v>0</v>
      </c>
      <c r="H73" s="45"/>
      <c r="I73" s="45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MATCH(A74,属性投放!$AO$6:$AO$58,1)-1</f>
        <v>21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IF(COUNTIF(属性投放!$AO$6:$AO$58,"="&amp;A74)&gt;0,C74,0)</f>
        <v>21</v>
      </c>
      <c r="G74" s="43">
        <f>IF(COUNTIF(属性投放!$AC$6:$AC$26,"="&amp;开启等级!A74)&gt;0,D74,0)</f>
        <v>12</v>
      </c>
      <c r="H74" s="45"/>
      <c r="I74" s="45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MATCH(A75,属性投放!$AO$6:$AO$58,1)-1</f>
        <v>21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IF(COUNTIF(属性投放!$AO$6:$AO$58,"="&amp;A75)&gt;0,C75,0)</f>
        <v>0</v>
      </c>
      <c r="G75" s="14">
        <f>IF(COUNTIF(属性投放!$AC$6:$AC$26,"="&amp;开启等级!A75)&gt;0,D75,0)</f>
        <v>0</v>
      </c>
      <c r="H75" s="45"/>
      <c r="I75" s="45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MATCH(A76,属性投放!$AO$6:$AO$58,1)-1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IF(COUNTIF(属性投放!$AO$6:$AO$58,"="&amp;A76)&gt;0,C76,0)</f>
        <v>0</v>
      </c>
      <c r="G76" s="14">
        <f>IF(COUNTIF(属性投放!$AC$6:$AC$26,"="&amp;开启等级!A76)&gt;0,D76,0)</f>
        <v>0</v>
      </c>
      <c r="H76" s="45"/>
      <c r="I76" s="45"/>
      <c r="J76" s="13"/>
      <c r="K76" s="13"/>
      <c r="L76" s="13"/>
      <c r="M76" s="13"/>
      <c r="O76" s="13"/>
      <c r="P76" s="13"/>
      <c r="Q76" s="34" t="s">
        <v>1184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MATCH(A77,属性投放!$AO$6:$AO$58,1)-1</f>
        <v>22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IF(COUNTIF(属性投放!$AO$6:$AO$58,"="&amp;A77)&gt;0,C77,0)</f>
        <v>22</v>
      </c>
      <c r="G77" s="14">
        <f>IF(COUNTIF(属性投放!$AC$6:$AC$26,"="&amp;开启等级!A77)&gt;0,D77,0)</f>
        <v>0</v>
      </c>
      <c r="H77" s="45"/>
      <c r="I77" s="45"/>
      <c r="K77" s="42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MATCH(A78,属性投放!$AO$6:$AO$58,1)-1</f>
        <v>22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IF(COUNTIF(属性投放!$AO$6:$AO$58,"="&amp;A78)&gt;0,C78,0)</f>
        <v>0</v>
      </c>
      <c r="G78" s="14">
        <f>IF(COUNTIF(属性投放!$AC$6:$AC$26,"="&amp;开启等级!A78)&gt;0,D78,0)</f>
        <v>0</v>
      </c>
      <c r="H78" s="45"/>
      <c r="I78" s="45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MATCH(A79,属性投放!$AO$6:$AO$58,1)-1</f>
        <v>23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IF(COUNTIF(属性投放!$AO$6:$AO$58,"="&amp;A79)&gt;0,C79,0)</f>
        <v>23</v>
      </c>
      <c r="G79" s="14">
        <f>IF(COUNTIF(属性投放!$AC$6:$AC$26,"="&amp;开启等级!A79)&gt;0,D79,0)</f>
        <v>0</v>
      </c>
      <c r="H79" s="45"/>
      <c r="I79" s="45"/>
      <c r="J79" s="13"/>
      <c r="K79" s="13"/>
      <c r="L79" s="13"/>
      <c r="M79" s="13"/>
      <c r="O79" s="13"/>
      <c r="P79" s="13"/>
      <c r="Q79" s="34"/>
      <c r="R79" s="34" t="s">
        <v>1038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MATCH(A80,属性投放!$AO$6:$AO$58,1)-1</f>
        <v>23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IF(COUNTIF(属性投放!$AO$6:$AO$58,"="&amp;A80)&gt;0,C80,0)</f>
        <v>0</v>
      </c>
      <c r="G80" s="14">
        <f>IF(COUNTIF(属性投放!$AC$6:$AC$26,"="&amp;开启等级!A80)&gt;0,D80,0)</f>
        <v>0</v>
      </c>
      <c r="H80" s="45"/>
      <c r="I80" s="45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MATCH(A81,属性投放!$AO$6:$AO$58,1)-1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IF(COUNTIF(属性投放!$AO$6:$AO$58,"="&amp;A81)&gt;0,C81,0)</f>
        <v>0</v>
      </c>
      <c r="G81" s="14">
        <f>IF(COUNTIF(属性投放!$AC$6:$AC$26,"="&amp;开启等级!A81)&gt;0,D81,0)</f>
        <v>0</v>
      </c>
      <c r="H81" s="45"/>
      <c r="I81" s="45"/>
      <c r="J81" s="42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MATCH(A82,属性投放!$AO$6:$AO$58,1)-1</f>
        <v>24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IF(COUNTIF(属性投放!$AO$6:$AO$58,"="&amp;A82)&gt;0,C82,0)</f>
        <v>24</v>
      </c>
      <c r="G82" s="14">
        <f>IF(COUNTIF(属性投放!$AC$6:$AC$26,"="&amp;开启等级!A82)&gt;0,D82,0)</f>
        <v>0</v>
      </c>
      <c r="H82" s="45"/>
      <c r="I82" s="45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MATCH(A83,属性投放!$AO$6:$AO$58,1)-1</f>
        <v>24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IF(COUNTIF(属性投放!$AO$6:$AO$58,"="&amp;A83)&gt;0,C83,0)</f>
        <v>0</v>
      </c>
      <c r="G83" s="14">
        <f>IF(COUNTIF(属性投放!$AC$6:$AC$26,"="&amp;开启等级!A83)&gt;0,D83,0)</f>
        <v>0</v>
      </c>
      <c r="H83" s="45"/>
      <c r="I83" s="45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MATCH(A84,属性投放!$AO$6:$AO$58,1)-1</f>
        <v>25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IF(COUNTIF(属性投放!$AO$6:$AO$58,"="&amp;A84)&gt;0,C84,0)</f>
        <v>25</v>
      </c>
      <c r="G84" s="44">
        <f>IF(COUNTIF(属性投放!$AC$6:$AC$26,"="&amp;开启等级!A84)&gt;0,D84,0)</f>
        <v>13</v>
      </c>
      <c r="H84" s="42">
        <v>4</v>
      </c>
      <c r="I84" s="42"/>
      <c r="J84" s="47"/>
      <c r="K84" s="13"/>
      <c r="L84" s="13"/>
      <c r="M84" s="13"/>
      <c r="O84" s="13" t="s">
        <v>1175</v>
      </c>
      <c r="P84" s="13"/>
      <c r="Q84" s="13"/>
      <c r="R84" s="34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MATCH(A85,属性投放!$AO$6:$AO$58,1)-1</f>
        <v>25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IF(COUNTIF(属性投放!$AO$6:$AO$58,"="&amp;A85)&gt;0,C85,0)</f>
        <v>0</v>
      </c>
      <c r="G85" s="14">
        <f>IF(COUNTIF(属性投放!$AC$6:$AC$26,"="&amp;开启等级!A85)&gt;0,D85,0)</f>
        <v>0</v>
      </c>
      <c r="H85" s="45"/>
      <c r="I85" s="45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MATCH(A86,属性投放!$AO$6:$AO$58,1)-1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IF(COUNTIF(属性投放!$AO$6:$AO$58,"="&amp;A86)&gt;0,C86,0)</f>
        <v>0</v>
      </c>
      <c r="G86" s="14">
        <f>IF(COUNTIF(属性投放!$AC$6:$AC$26,"="&amp;开启等级!A86)&gt;0,D86,0)</f>
        <v>0</v>
      </c>
      <c r="H86" s="45"/>
      <c r="I86" s="45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MATCH(A87,属性投放!$AO$6:$AO$58,1)-1</f>
        <v>26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IF(COUNTIF(属性投放!$AO$6:$AO$58,"="&amp;A87)&gt;0,C87,0)</f>
        <v>26</v>
      </c>
      <c r="G87" s="14">
        <f>IF(COUNTIF(属性投放!$AC$6:$AC$26,"="&amp;开启等级!A87)&gt;0,D87,0)</f>
        <v>0</v>
      </c>
      <c r="H87" s="45"/>
      <c r="I87" s="45"/>
      <c r="J87" s="13"/>
      <c r="K87" s="42">
        <v>5</v>
      </c>
      <c r="L87" s="42">
        <v>3</v>
      </c>
      <c r="M87" s="42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MATCH(A88,属性投放!$AO$6:$AO$58,1)-1</f>
        <v>26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IF(COUNTIF(属性投放!$AO$6:$AO$58,"="&amp;A88)&gt;0,C88,0)</f>
        <v>0</v>
      </c>
      <c r="G88" s="14">
        <f>IF(COUNTIF(属性投放!$AC$6:$AC$26,"="&amp;开启等级!A88)&gt;0,D88,0)</f>
        <v>0</v>
      </c>
      <c r="H88" s="45"/>
      <c r="I88" s="45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MATCH(A89,属性投放!$AO$6:$AO$58,1)-1</f>
        <v>27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IF(COUNTIF(属性投放!$AO$6:$AO$58,"="&amp;A89)&gt;0,C89,0)</f>
        <v>27</v>
      </c>
      <c r="G89" s="43">
        <f>IF(COUNTIF(属性投放!$AC$6:$AC$26,"="&amp;开启等级!A89)&gt;0,D89,0)</f>
        <v>14</v>
      </c>
      <c r="H89" s="45"/>
      <c r="I89" s="45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MATCH(A90,属性投放!$AO$6:$AO$58,1)-1</f>
        <v>27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IF(COUNTIF(属性投放!$AO$6:$AO$58,"="&amp;A90)&gt;0,C90,0)</f>
        <v>0</v>
      </c>
      <c r="G90" s="14">
        <f>IF(COUNTIF(属性投放!$AC$6:$AC$26,"="&amp;开启等级!A90)&gt;0,D90,0)</f>
        <v>0</v>
      </c>
      <c r="H90" s="45"/>
      <c r="I90" s="45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MATCH(A91,属性投放!$AO$6:$AO$58,1)-1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IF(COUNTIF(属性投放!$AO$6:$AO$58,"="&amp;A91)&gt;0,C91,0)</f>
        <v>0</v>
      </c>
      <c r="G91" s="14">
        <f>IF(COUNTIF(属性投放!$AC$6:$AC$26,"="&amp;开启等级!A91)&gt;0,D91,0)</f>
        <v>0</v>
      </c>
      <c r="H91" s="45"/>
      <c r="I91" s="45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MATCH(A92,属性投放!$AO$6:$AO$58,1)-1</f>
        <v>28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IF(COUNTIF(属性投放!$AO$6:$AO$58,"="&amp;A92)&gt;0,C92,0)</f>
        <v>28</v>
      </c>
      <c r="G92" s="14">
        <f>IF(COUNTIF(属性投放!$AC$6:$AC$26,"="&amp;开启等级!A92)&gt;0,D92,0)</f>
        <v>0</v>
      </c>
      <c r="H92" s="45"/>
      <c r="I92" s="45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MATCH(A93,属性投放!$AO$6:$AO$58,1)-1</f>
        <v>28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IF(COUNTIF(属性投放!$AO$6:$AO$58,"="&amp;A93)&gt;0,C93,0)</f>
        <v>0</v>
      </c>
      <c r="G93" s="14">
        <f>IF(COUNTIF(属性投放!$AC$6:$AC$26,"="&amp;开启等级!A93)&gt;0,D93,0)</f>
        <v>0</v>
      </c>
      <c r="H93" s="45"/>
      <c r="I93" s="45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MATCH(A94,属性投放!$AO$6:$AO$58,1)-1</f>
        <v>29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IF(COUNTIF(属性投放!$AO$6:$AO$58,"="&amp;A94)&gt;0,C94,0)</f>
        <v>29</v>
      </c>
      <c r="G94" s="43">
        <f>IF(COUNTIF(属性投放!$AC$6:$AC$26,"="&amp;开启等级!A94)&gt;0,D94,0)</f>
        <v>15</v>
      </c>
      <c r="H94" s="42">
        <v>5</v>
      </c>
      <c r="I94" s="42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MATCH(A95,属性投放!$AO$6:$AO$58,1)-1</f>
        <v>29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IF(COUNTIF(属性投放!$AO$6:$AO$58,"="&amp;A95)&gt;0,C95,0)</f>
        <v>0</v>
      </c>
      <c r="G95" s="14">
        <f>IF(COUNTIF(属性投放!$AC$6:$AC$26,"="&amp;开启等级!A95)&gt;0,D95,0)</f>
        <v>0</v>
      </c>
      <c r="H95" s="45"/>
      <c r="I95" s="45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MATCH(A96,属性投放!$AO$6:$AO$58,1)-1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IF(COUNTIF(属性投放!$AO$6:$AO$58,"="&amp;A96)&gt;0,C96,0)</f>
        <v>0</v>
      </c>
      <c r="G96" s="14">
        <f>IF(COUNTIF(属性投放!$AC$6:$AC$26,"="&amp;开启等级!A96)&gt;0,D96,0)</f>
        <v>0</v>
      </c>
      <c r="H96" s="45"/>
      <c r="I96" s="45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MATCH(A97,属性投放!$AO$6:$AO$58,1)-1</f>
        <v>30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IF(COUNTIF(属性投放!$AO$6:$AO$58,"="&amp;A97)&gt;0,C97,0)</f>
        <v>30</v>
      </c>
      <c r="G97" s="14">
        <f>IF(COUNTIF(属性投放!$AC$6:$AC$26,"="&amp;开启等级!A97)&gt;0,D97,0)</f>
        <v>0</v>
      </c>
      <c r="H97" s="45"/>
      <c r="I97" s="45"/>
      <c r="K97" s="42">
        <v>6</v>
      </c>
      <c r="L97" s="42">
        <v>4</v>
      </c>
      <c r="M97" s="42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MATCH(A98,属性投放!$AO$6:$AO$58,1)-1</f>
        <v>30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IF(COUNTIF(属性投放!$AO$6:$AO$58,"="&amp;A98)&gt;0,C98,0)</f>
        <v>0</v>
      </c>
      <c r="G98" s="14">
        <f>IF(COUNTIF(属性投放!$AC$6:$AC$26,"="&amp;开启等级!A98)&gt;0,D98,0)</f>
        <v>0</v>
      </c>
      <c r="H98" s="45"/>
      <c r="I98" s="45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MATCH(A99,属性投放!$AO$6:$AO$58,1)-1</f>
        <v>31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IF(COUNTIF(属性投放!$AO$6:$AO$58,"="&amp;A99)&gt;0,C99,0)</f>
        <v>31</v>
      </c>
      <c r="G99" s="14">
        <f>IF(COUNTIF(属性投放!$AC$6:$AC$26,"="&amp;开启等级!A99)&gt;0,D99,0)</f>
        <v>0</v>
      </c>
      <c r="H99" s="45"/>
      <c r="I99" s="45"/>
      <c r="J99" s="47"/>
      <c r="K99" s="13"/>
      <c r="L99" s="13"/>
      <c r="M99" s="13"/>
      <c r="O99" s="13" t="s">
        <v>1176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MATCH(A100,属性投放!$AO$6:$AO$58,1)-1</f>
        <v>31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IF(COUNTIF(属性投放!$AO$6:$AO$58,"="&amp;A100)&gt;0,C100,0)</f>
        <v>0</v>
      </c>
      <c r="G100" s="14">
        <f>IF(COUNTIF(属性投放!$AC$6:$AC$26,"="&amp;开启等级!A100)&gt;0,D100,0)</f>
        <v>0</v>
      </c>
      <c r="H100" s="45"/>
      <c r="I100" s="45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MATCH(A101,属性投放!$AO$6:$AO$58,1)-1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IF(COUNTIF(属性投放!$AO$6:$AO$58,"="&amp;A101)&gt;0,C101,0)</f>
        <v>0</v>
      </c>
      <c r="G101" s="14">
        <f>IF(COUNTIF(属性投放!$AC$6:$AC$26,"="&amp;开启等级!A101)&gt;0,D101,0)</f>
        <v>0</v>
      </c>
      <c r="H101" s="45"/>
      <c r="I101" s="45"/>
      <c r="J101" s="42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MATCH(A102,属性投放!$AO$6:$AO$58,1)-1</f>
        <v>32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IF(COUNTIF(属性投放!$AO$6:$AO$58,"="&amp;A102)&gt;0,C102,0)</f>
        <v>32</v>
      </c>
      <c r="G102" s="14">
        <f>IF(COUNTIF(属性投放!$AC$6:$AC$26,"="&amp;开启等级!A102)&gt;0,D102,0)</f>
        <v>0</v>
      </c>
      <c r="H102" s="45"/>
      <c r="I102" s="45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MATCH(A103,属性投放!$AO$6:$AO$58,1)-1</f>
        <v>32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IF(COUNTIF(属性投放!$AO$6:$AO$58,"="&amp;A103)&gt;0,C103,0)</f>
        <v>0</v>
      </c>
      <c r="G103" s="14">
        <f>IF(COUNTIF(属性投放!$AC$6:$AC$26,"="&amp;开启等级!A103)&gt;0,D103,0)</f>
        <v>0</v>
      </c>
      <c r="H103" s="45"/>
      <c r="I103" s="45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MATCH(A104,属性投放!$AO$6:$AO$58,1)-1</f>
        <v>33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IF(COUNTIF(属性投放!$AO$6:$AO$58,"="&amp;A104)&gt;0,C104,0)</f>
        <v>33</v>
      </c>
      <c r="G104" s="44">
        <f>IF(COUNTIF(属性投放!$AC$6:$AC$26,"="&amp;开启等级!A104)&gt;0,D104,0)</f>
        <v>16</v>
      </c>
      <c r="H104" s="42">
        <v>6</v>
      </c>
      <c r="I104" s="42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MATCH(A105,属性投放!$AO$6:$AO$58,1)-1</f>
        <v>33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IF(COUNTIF(属性投放!$AO$6:$AO$58,"="&amp;A105)&gt;0,C105,0)</f>
        <v>0</v>
      </c>
      <c r="G105" s="14">
        <f>IF(COUNTIF(属性投放!$AC$6:$AC$26,"="&amp;开启等级!A105)&gt;0,D105,0)</f>
        <v>0</v>
      </c>
      <c r="H105" s="45"/>
      <c r="I105" s="45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MATCH(A106,属性投放!$AO$6:$AO$58,1)-1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IF(COUNTIF(属性投放!$AO$6:$AO$58,"="&amp;A106)&gt;0,C106,0)</f>
        <v>0</v>
      </c>
      <c r="G106" s="14">
        <f>IF(COUNTIF(属性投放!$AC$6:$AC$26,"="&amp;开启等级!A106)&gt;0,D106,0)</f>
        <v>0</v>
      </c>
      <c r="H106" s="45"/>
      <c r="I106" s="45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MATCH(A107,属性投放!$AO$6:$AO$58,1)-1</f>
        <v>34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IF(COUNTIF(属性投放!$AO$6:$AO$58,"="&amp;A107)&gt;0,C107,0)</f>
        <v>34</v>
      </c>
      <c r="G107" s="14">
        <f>IF(COUNTIF(属性投放!$AC$6:$AC$26,"="&amp;开启等级!A107)&gt;0,D107,0)</f>
        <v>0</v>
      </c>
      <c r="H107" s="45"/>
      <c r="I107" s="45"/>
      <c r="J107" s="13"/>
      <c r="K107" s="42">
        <v>7</v>
      </c>
      <c r="L107" s="42">
        <v>5</v>
      </c>
      <c r="M107" s="42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MATCH(A108,属性投放!$AO$6:$AO$58,1)-1</f>
        <v>34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IF(COUNTIF(属性投放!$AO$6:$AO$58,"="&amp;A108)&gt;0,C108,0)</f>
        <v>0</v>
      </c>
      <c r="G108" s="14">
        <f>IF(COUNTIF(属性投放!$AC$6:$AC$26,"="&amp;开启等级!A108)&gt;0,D108,0)</f>
        <v>0</v>
      </c>
      <c r="H108" s="45"/>
      <c r="I108" s="45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MATCH(A109,属性投放!$AO$6:$AO$58,1)-1</f>
        <v>35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IF(COUNTIF(属性投放!$AO$6:$AO$58,"="&amp;A109)&gt;0,C109,0)</f>
        <v>35</v>
      </c>
      <c r="G109" s="14">
        <f>IF(COUNTIF(属性投放!$AC$6:$AC$26,"="&amp;开启等级!A109)&gt;0,D109,0)</f>
        <v>0</v>
      </c>
      <c r="H109" s="45"/>
      <c r="I109" s="45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MATCH(A110,属性投放!$AO$6:$AO$58,1)-1</f>
        <v>35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IF(COUNTIF(属性投放!$AO$6:$AO$58,"="&amp;A110)&gt;0,C110,0)</f>
        <v>0</v>
      </c>
      <c r="G110" s="14">
        <f>IF(COUNTIF(属性投放!$AC$6:$AC$26,"="&amp;开启等级!A110)&gt;0,D110,0)</f>
        <v>0</v>
      </c>
      <c r="H110" s="45"/>
      <c r="I110" s="45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MATCH(A111,属性投放!$AO$6:$AO$58,1)-1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IF(COUNTIF(属性投放!$AO$6:$AO$58,"="&amp;A111)&gt;0,C111,0)</f>
        <v>0</v>
      </c>
      <c r="G111" s="14">
        <f>IF(COUNTIF(属性投放!$AC$6:$AC$26,"="&amp;开启等级!A111)&gt;0,D111,0)</f>
        <v>0</v>
      </c>
      <c r="H111" s="45"/>
      <c r="I111" s="45"/>
      <c r="J111" s="42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MATCH(A112,属性投放!$AO$6:$AO$58,1)-1</f>
        <v>36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IF(COUNTIF(属性投放!$AO$6:$AO$58,"="&amp;A112)&gt;0,C112,0)</f>
        <v>36</v>
      </c>
      <c r="G112" s="14">
        <f>IF(COUNTIF(属性投放!$AC$6:$AC$26,"="&amp;开启等级!A112)&gt;0,D112,0)</f>
        <v>0</v>
      </c>
      <c r="H112" s="45"/>
      <c r="I112" s="45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MATCH(A113,属性投放!$AO$6:$AO$58,1)-1</f>
        <v>36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IF(COUNTIF(属性投放!$AO$6:$AO$58,"="&amp;A113)&gt;0,C113,0)</f>
        <v>0</v>
      </c>
      <c r="G113" s="14">
        <f>IF(COUNTIF(属性投放!$AC$6:$AC$26,"="&amp;开启等级!A113)&gt;0,D113,0)</f>
        <v>0</v>
      </c>
      <c r="H113" s="45"/>
      <c r="I113" s="45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MATCH(A114,属性投放!$AO$6:$AO$58,1)-1</f>
        <v>37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IF(COUNTIF(属性投放!$AO$6:$AO$58,"="&amp;A114)&gt;0,C114,0)</f>
        <v>37</v>
      </c>
      <c r="G114" s="43">
        <f>IF(COUNTIF(属性投放!$AC$6:$AC$26,"="&amp;开启等级!A114)&gt;0,D114,0)</f>
        <v>17</v>
      </c>
      <c r="H114" s="42">
        <v>7</v>
      </c>
      <c r="I114" s="42"/>
      <c r="J114" s="47"/>
      <c r="K114" s="13"/>
      <c r="L114" s="13"/>
      <c r="M114" s="13"/>
      <c r="O114" s="13" t="s">
        <v>1177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MATCH(A115,属性投放!$AO$6:$AO$58,1)-1</f>
        <v>37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IF(COUNTIF(属性投放!$AO$6:$AO$58,"="&amp;A115)&gt;0,C115,0)</f>
        <v>0</v>
      </c>
      <c r="G115" s="14">
        <f>IF(COUNTIF(属性投放!$AC$6:$AC$26,"="&amp;开启等级!A115)&gt;0,D115,0)</f>
        <v>0</v>
      </c>
      <c r="H115" s="45"/>
      <c r="I115" s="45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MATCH(A116,属性投放!$AO$6:$AO$58,1)-1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IF(COUNTIF(属性投放!$AO$6:$AO$58,"="&amp;A116)&gt;0,C116,0)</f>
        <v>0</v>
      </c>
      <c r="G116" s="14">
        <f>IF(COUNTIF(属性投放!$AC$6:$AC$26,"="&amp;开启等级!A116)&gt;0,D116,0)</f>
        <v>0</v>
      </c>
      <c r="H116" s="45"/>
      <c r="I116" s="45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MATCH(A117,属性投放!$AO$6:$AO$58,1)-1</f>
        <v>38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IF(COUNTIF(属性投放!$AO$6:$AO$58,"="&amp;A117)&gt;0,C117,0)</f>
        <v>38</v>
      </c>
      <c r="G117" s="14">
        <f>IF(COUNTIF(属性投放!$AC$6:$AC$26,"="&amp;开启等级!A117)&gt;0,D117,0)</f>
        <v>0</v>
      </c>
      <c r="H117" s="45"/>
      <c r="I117" s="45"/>
      <c r="J117" s="13"/>
      <c r="K117" s="42">
        <v>8</v>
      </c>
      <c r="L117" s="42">
        <v>6</v>
      </c>
      <c r="M117" s="42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MATCH(A118,属性投放!$AO$6:$AO$58,1)-1</f>
        <v>38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IF(COUNTIF(属性投放!$AO$6:$AO$58,"="&amp;A118)&gt;0,C118,0)</f>
        <v>0</v>
      </c>
      <c r="G118" s="14">
        <f>IF(COUNTIF(属性投放!$AC$6:$AC$26,"="&amp;开启等级!A118)&gt;0,D118,0)</f>
        <v>0</v>
      </c>
      <c r="H118" s="45"/>
      <c r="I118" s="45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MATCH(A119,属性投放!$AO$6:$AO$58,1)-1</f>
        <v>39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IF(COUNTIF(属性投放!$AO$6:$AO$58,"="&amp;A119)&gt;0,C119,0)</f>
        <v>39</v>
      </c>
      <c r="G119" s="14">
        <f>IF(COUNTIF(属性投放!$AC$6:$AC$26,"="&amp;开启等级!A119)&gt;0,D119,0)</f>
        <v>0</v>
      </c>
      <c r="H119" s="45"/>
      <c r="I119" s="45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MATCH(A120,属性投放!$AO$6:$AO$58,1)-1</f>
        <v>39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IF(COUNTIF(属性投放!$AO$6:$AO$58,"="&amp;A120)&gt;0,C120,0)</f>
        <v>0</v>
      </c>
      <c r="G120" s="14">
        <f>IF(COUNTIF(属性投放!$AC$6:$AC$26,"="&amp;开启等级!A120)&gt;0,D120,0)</f>
        <v>0</v>
      </c>
      <c r="H120" s="45"/>
      <c r="I120" s="45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MATCH(A121,属性投放!$AO$6:$AO$58,1)-1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IF(COUNTIF(属性投放!$AO$6:$AO$58,"="&amp;A121)&gt;0,C121,0)</f>
        <v>0</v>
      </c>
      <c r="G121" s="14">
        <f>IF(COUNTIF(属性投放!$AC$6:$AC$26,"="&amp;开启等级!A121)&gt;0,D121,0)</f>
        <v>0</v>
      </c>
      <c r="H121" s="45"/>
      <c r="I121" s="45"/>
      <c r="J121" s="42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MATCH(A122,属性投放!$AO$6:$AO$58,1)-1</f>
        <v>40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IF(COUNTIF(属性投放!$AO$6:$AO$58,"="&amp;A122)&gt;0,C122,0)</f>
        <v>40</v>
      </c>
      <c r="G122" s="14">
        <f>IF(COUNTIF(属性投放!$AC$6:$AC$26,"="&amp;开启等级!A122)&gt;0,D122,0)</f>
        <v>0</v>
      </c>
      <c r="H122" s="45"/>
      <c r="I122" s="45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MATCH(A123,属性投放!$AO$6:$AO$58,1)-1</f>
        <v>40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IF(COUNTIF(属性投放!$AO$6:$AO$58,"="&amp;A123)&gt;0,C123,0)</f>
        <v>0</v>
      </c>
      <c r="G123" s="14">
        <f>IF(COUNTIF(属性投放!$AC$6:$AC$26,"="&amp;开启等级!A123)&gt;0,D123,0)</f>
        <v>0</v>
      </c>
      <c r="H123" s="45"/>
      <c r="I123" s="45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MATCH(A124,属性投放!$AO$6:$AO$58,1)-1</f>
        <v>41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IF(COUNTIF(属性投放!$AO$6:$AO$58,"="&amp;A124)&gt;0,C124,0)</f>
        <v>41</v>
      </c>
      <c r="G124" s="43">
        <f>IF(COUNTIF(属性投放!$AC$6:$AC$26,"="&amp;开启等级!A124)&gt;0,D124,0)</f>
        <v>18</v>
      </c>
      <c r="H124" s="42">
        <v>8</v>
      </c>
      <c r="I124" s="42"/>
      <c r="J124" s="47"/>
      <c r="K124" s="13"/>
      <c r="L124" s="13"/>
      <c r="M124" s="13"/>
      <c r="O124" s="13" t="s">
        <v>1178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MATCH(A125,属性投放!$AO$6:$AO$58,1)-1</f>
        <v>41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IF(COUNTIF(属性投放!$AO$6:$AO$58,"="&amp;A125)&gt;0,C125,0)</f>
        <v>0</v>
      </c>
      <c r="G125" s="14">
        <f>IF(COUNTIF(属性投放!$AC$6:$AC$26,"="&amp;开启等级!A125)&gt;0,D125,0)</f>
        <v>0</v>
      </c>
      <c r="H125" s="45"/>
      <c r="I125" s="45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MATCH(A126,属性投放!$AO$6:$AO$58,1)-1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IF(COUNTIF(属性投放!$AO$6:$AO$58,"="&amp;A126)&gt;0,C126,0)</f>
        <v>0</v>
      </c>
      <c r="G126" s="14">
        <f>IF(COUNTIF(属性投放!$AC$6:$AC$26,"="&amp;开启等级!A126)&gt;0,D126,0)</f>
        <v>0</v>
      </c>
      <c r="H126" s="45"/>
      <c r="I126" s="45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MATCH(A127,属性投放!$AO$6:$AO$58,1)-1</f>
        <v>42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IF(COUNTIF(属性投放!$AO$6:$AO$58,"="&amp;A127)&gt;0,C127,0)</f>
        <v>42</v>
      </c>
      <c r="G127" s="14">
        <f>IF(COUNTIF(属性投放!$AC$6:$AC$26,"="&amp;开启等级!A127)&gt;0,D127,0)</f>
        <v>0</v>
      </c>
      <c r="H127" s="45"/>
      <c r="I127" s="45"/>
      <c r="J127" s="13"/>
      <c r="K127" s="42">
        <v>9</v>
      </c>
      <c r="L127" s="42">
        <v>7</v>
      </c>
      <c r="M127" s="42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MATCH(A128,属性投放!$AO$6:$AO$58,1)-1</f>
        <v>42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IF(COUNTIF(属性投放!$AO$6:$AO$58,"="&amp;A128)&gt;0,C128,0)</f>
        <v>0</v>
      </c>
      <c r="G128" s="14">
        <f>IF(COUNTIF(属性投放!$AC$6:$AC$26,"="&amp;开启等级!A128)&gt;0,D128,0)</f>
        <v>0</v>
      </c>
      <c r="H128" s="45"/>
      <c r="I128" s="45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MATCH(A129,属性投放!$AO$6:$AO$58,1)-1</f>
        <v>43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IF(COUNTIF(属性投放!$AO$6:$AO$58,"="&amp;A129)&gt;0,C129,0)</f>
        <v>43</v>
      </c>
      <c r="G129" s="14">
        <f>IF(COUNTIF(属性投放!$AC$6:$AC$26,"="&amp;开启等级!A129)&gt;0,D129,0)</f>
        <v>0</v>
      </c>
      <c r="H129" s="45"/>
      <c r="I129" s="45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MATCH(A130,属性投放!$AO$6:$AO$58,1)-1</f>
        <v>43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IF(COUNTIF(属性投放!$AO$6:$AO$58,"="&amp;A130)&gt;0,C130,0)</f>
        <v>0</v>
      </c>
      <c r="G130" s="14">
        <f>IF(COUNTIF(属性投放!$AC$6:$AC$26,"="&amp;开启等级!A130)&gt;0,D130,0)</f>
        <v>0</v>
      </c>
      <c r="H130" s="45"/>
      <c r="I130" s="45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MATCH(A131,属性投放!$AO$6:$AO$58,1)-1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IF(COUNTIF(属性投放!$AO$6:$AO$58,"="&amp;A131)&gt;0,C131,0)</f>
        <v>0</v>
      </c>
      <c r="G131" s="14">
        <f>IF(COUNTIF(属性投放!$AC$6:$AC$26,"="&amp;开启等级!A131)&gt;0,D131,0)</f>
        <v>0</v>
      </c>
      <c r="H131" s="45"/>
      <c r="I131" s="45"/>
      <c r="J131" s="42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MATCH(A132,属性投放!$AO$6:$AO$58,1)-1</f>
        <v>44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IF(COUNTIF(属性投放!$AO$6:$AO$58,"="&amp;A132)&gt;0,C132,0)</f>
        <v>44</v>
      </c>
      <c r="G132" s="14">
        <f>IF(COUNTIF(属性投放!$AC$6:$AC$26,"="&amp;开启等级!A132)&gt;0,D132,0)</f>
        <v>0</v>
      </c>
      <c r="H132" s="45"/>
      <c r="I132" s="45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MATCH(A133,属性投放!$AO$6:$AO$58,1)-1</f>
        <v>44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IF(COUNTIF(属性投放!$AO$6:$AO$58,"="&amp;A133)&gt;0,C133,0)</f>
        <v>0</v>
      </c>
      <c r="G133" s="14">
        <f>IF(COUNTIF(属性投放!$AC$6:$AC$26,"="&amp;开启等级!A133)&gt;0,D133,0)</f>
        <v>0</v>
      </c>
      <c r="H133" s="45"/>
      <c r="I133" s="45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MATCH(A134,属性投放!$AO$6:$AO$58,1)-1</f>
        <v>45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IF(COUNTIF(属性投放!$AO$6:$AO$58,"="&amp;A134)&gt;0,C134,0)</f>
        <v>45</v>
      </c>
      <c r="G134" s="44">
        <f>IF(COUNTIF(属性投放!$AC$6:$AC$26,"="&amp;开启等级!A134)&gt;0,D134,0)</f>
        <v>19</v>
      </c>
      <c r="H134" s="42">
        <v>9</v>
      </c>
      <c r="I134" s="42"/>
      <c r="J134" s="47"/>
      <c r="K134" s="13"/>
      <c r="L134" s="13"/>
      <c r="M134" s="13"/>
      <c r="O134" s="13" t="s">
        <v>1179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MATCH(A135,属性投放!$AO$6:$AO$58,1)-1</f>
        <v>45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IF(COUNTIF(属性投放!$AO$6:$AO$58,"="&amp;A135)&gt;0,C135,0)</f>
        <v>0</v>
      </c>
      <c r="G135" s="14">
        <f>IF(COUNTIF(属性投放!$AC$6:$AC$26,"="&amp;开启等级!A135)&gt;0,D135,0)</f>
        <v>0</v>
      </c>
      <c r="H135" s="45"/>
      <c r="I135" s="45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MATCH(A136,属性投放!$AO$6:$AO$58,1)-1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IF(COUNTIF(属性投放!$AO$6:$AO$58,"="&amp;A136)&gt;0,C136,0)</f>
        <v>0</v>
      </c>
      <c r="G136" s="14">
        <f>IF(COUNTIF(属性投放!$AC$6:$AC$26,"="&amp;开启等级!A136)&gt;0,D136,0)</f>
        <v>0</v>
      </c>
      <c r="H136" s="45"/>
      <c r="I136" s="45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MATCH(A137,属性投放!$AO$6:$AO$58,1)-1</f>
        <v>46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IF(COUNTIF(属性投放!$AO$6:$AO$58,"="&amp;A137)&gt;0,C137,0)</f>
        <v>46</v>
      </c>
      <c r="G137" s="14">
        <f>IF(COUNTIF(属性投放!$AC$6:$AC$26,"="&amp;开启等级!A137)&gt;0,D137,0)</f>
        <v>0</v>
      </c>
      <c r="H137" s="45"/>
      <c r="I137" s="45"/>
      <c r="J137" s="13"/>
      <c r="K137" s="42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MATCH(A138,属性投放!$AO$6:$AO$58,1)-1</f>
        <v>46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IF(COUNTIF(属性投放!$AO$6:$AO$58,"="&amp;A138)&gt;0,C138,0)</f>
        <v>0</v>
      </c>
      <c r="G138" s="14">
        <f>IF(COUNTIF(属性投放!$AC$6:$AC$26,"="&amp;开启等级!A138)&gt;0,D138,0)</f>
        <v>0</v>
      </c>
      <c r="H138" s="45"/>
      <c r="I138" s="45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MATCH(A139,属性投放!$AO$6:$AO$58,1)-1</f>
        <v>47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IF(COUNTIF(属性投放!$AO$6:$AO$58,"="&amp;A139)&gt;0,C139,0)</f>
        <v>47</v>
      </c>
      <c r="G139" s="43">
        <f>IF(COUNTIF(属性投放!$AC$6:$AC$26,"="&amp;开启等级!A139)&gt;0,D139,0)</f>
        <v>20</v>
      </c>
      <c r="H139" s="46"/>
      <c r="I139" s="46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MATCH(A140,属性投放!$AO$6:$AO$58,1)-1</f>
        <v>47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IF(COUNTIF(属性投放!$AO$6:$AO$58,"="&amp;A140)&gt;0,C140,0)</f>
        <v>0</v>
      </c>
      <c r="G140" s="14">
        <f>IF(COUNTIF(属性投放!$AC$6:$AC$26,"="&amp;开启等级!A140)&gt;0,D140,0)</f>
        <v>0</v>
      </c>
      <c r="H140" s="46"/>
      <c r="I140" s="46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MATCH(A141,属性投放!$AO$6:$AO$58,1)-1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IF(COUNTIF(属性投放!$AO$6:$AO$58,"="&amp;A141)&gt;0,C141,0)</f>
        <v>0</v>
      </c>
      <c r="G141" s="14">
        <f>IF(COUNTIF(属性投放!$AC$6:$AC$26,"="&amp;开启等级!A141)&gt;0,D141,0)</f>
        <v>0</v>
      </c>
      <c r="H141" s="46"/>
      <c r="I141" s="46"/>
      <c r="J141" s="42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MATCH(A142,属性投放!$AO$6:$AO$58,1)-1</f>
        <v>48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IF(COUNTIF(属性投放!$AO$6:$AO$58,"="&amp;A142)&gt;0,C142,0)</f>
        <v>48</v>
      </c>
      <c r="G142" s="14">
        <f>IF(COUNTIF(属性投放!$AC$6:$AC$26,"="&amp;开启等级!A142)&gt;0,D142,0)</f>
        <v>0</v>
      </c>
      <c r="H142" s="46"/>
      <c r="I142" s="46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MATCH(A143,属性投放!$AO$6:$AO$58,1)-1</f>
        <v>48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IF(COUNTIF(属性投放!$AO$6:$AO$58,"="&amp;A143)&gt;0,C143,0)</f>
        <v>0</v>
      </c>
      <c r="G143" s="14">
        <f>IF(COUNTIF(属性投放!$AC$6:$AC$26,"="&amp;开启等级!A143)&gt;0,D143,0)</f>
        <v>0</v>
      </c>
      <c r="H143" s="46"/>
      <c r="I143" s="46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MATCH(A144,属性投放!$AO$6:$AO$58,1)-1</f>
        <v>49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IF(COUNTIF(属性投放!$AO$6:$AO$58,"="&amp;A144)&gt;0,C144,0)</f>
        <v>49</v>
      </c>
      <c r="G144" s="14">
        <f>IF(COUNTIF(属性投放!$AC$6:$AC$26,"="&amp;开启等级!A144)&gt;0,D144,0)</f>
        <v>0</v>
      </c>
      <c r="H144" s="42">
        <v>10</v>
      </c>
      <c r="I144" s="42"/>
      <c r="J144" s="47"/>
      <c r="K144" s="13"/>
      <c r="L144" s="13"/>
      <c r="M144" s="13"/>
      <c r="O144" s="13" t="s">
        <v>1180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MATCH(A145,属性投放!$AO$6:$AO$58,1)-1</f>
        <v>49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IF(COUNTIF(属性投放!$AO$6:$AO$58,"="&amp;A145)&gt;0,C145,0)</f>
        <v>0</v>
      </c>
      <c r="G145" s="14">
        <f>IF(COUNTIF(属性投放!$AC$6:$AC$26,"="&amp;开启等级!A145)&gt;0,D145,0)</f>
        <v>0</v>
      </c>
      <c r="H145" s="45"/>
      <c r="I145" s="45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MATCH(A146,属性投放!$AO$6:$AO$58,1)-1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IF(COUNTIF(属性投放!$AO$6:$AO$58,"="&amp;A146)&gt;0,C146,0)</f>
        <v>0</v>
      </c>
      <c r="G146" s="14">
        <f>IF(COUNTIF(属性投放!$AC$6:$AC$26,"="&amp;开启等级!A146)&gt;0,D146,0)</f>
        <v>0</v>
      </c>
      <c r="H146" s="45"/>
      <c r="I146" s="45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MATCH(A147,属性投放!$AO$6:$AO$58,1)-1</f>
        <v>50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IF(COUNTIF(属性投放!$AO$6:$AO$58,"="&amp;A147)&gt;0,C147,0)</f>
        <v>50</v>
      </c>
      <c r="G147" s="14">
        <f>IF(COUNTIF(属性投放!$AC$6:$AC$26,"="&amp;开启等级!A147)&gt;0,D147,0)</f>
        <v>0</v>
      </c>
      <c r="H147" s="45"/>
      <c r="I147" s="45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MATCH(A148,属性投放!$AO$6:$AO$58,1)-1</f>
        <v>50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IF(COUNTIF(属性投放!$AO$6:$AO$58,"="&amp;A148)&gt;0,C148,0)</f>
        <v>0</v>
      </c>
      <c r="G148" s="14">
        <f>IF(COUNTIF(属性投放!$AC$6:$AC$26,"="&amp;开启等级!A148)&gt;0,D148,0)</f>
        <v>0</v>
      </c>
      <c r="H148" s="45"/>
      <c r="I148" s="45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MATCH(A149,属性投放!$AO$6:$AO$58,1)-1</f>
        <v>51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IF(COUNTIF(属性投放!$AO$6:$AO$58,"="&amp;A149)&gt;0,C149,0)</f>
        <v>51</v>
      </c>
      <c r="G149" s="14">
        <f>IF(COUNTIF(属性投放!$AC$6:$AC$26,"="&amp;开启等级!A149)&gt;0,D149,0)</f>
        <v>0</v>
      </c>
      <c r="H149" s="46"/>
      <c r="I149" s="46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MATCH(A150,属性投放!$AO$6:$AO$58,1)-1</f>
        <v>51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IF(COUNTIF(属性投放!$AO$6:$AO$58,"="&amp;A150)&gt;0,C150,0)</f>
        <v>0</v>
      </c>
      <c r="G150" s="14">
        <f>IF(COUNTIF(属性投放!$AC$6:$AC$26,"="&amp;开启等级!A150)&gt;0,D150,0)</f>
        <v>0</v>
      </c>
      <c r="H150" s="46"/>
      <c r="I150" s="46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MATCH(A151,属性投放!$AO$6:$AO$58,1)-1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IF(COUNTIF(属性投放!$AO$6:$AO$58,"="&amp;A151)&gt;0,C151,0)</f>
        <v>0</v>
      </c>
      <c r="G151" s="14">
        <f>IF(COUNTIF(属性投放!$AC$6:$AC$26,"="&amp;开启等级!A151)&gt;0,D151,0)</f>
        <v>0</v>
      </c>
      <c r="H151" s="46"/>
      <c r="I151" s="46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MATCH(A152,属性投放!$AO$6:$AO$58,1)-1</f>
        <v>52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IF(COUNTIF(属性投放!$AO$6:$AO$58,"="&amp;A152)&gt;0,C152,0)</f>
        <v>52</v>
      </c>
      <c r="G152" s="14">
        <f>IF(COUNTIF(属性投放!$AC$6:$AC$26,"="&amp;开启等级!A152)&gt;0,D152,0)</f>
        <v>0</v>
      </c>
      <c r="H152" s="46"/>
      <c r="I152" s="46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MATCH(A153,属性投放!$AO$6:$AO$58,1)-1</f>
        <v>52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IF(COUNTIF(属性投放!$AO$6:$AO$58,"="&amp;A153)&gt;0,C153,0)</f>
        <v>0</v>
      </c>
      <c r="G153" s="14">
        <f>IF(COUNTIF(属性投放!$AC$6:$AC$26,"="&amp;开启等级!A153)&gt;0,D153,0)</f>
        <v>0</v>
      </c>
      <c r="H153" s="46"/>
      <c r="I153" s="46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MATCH(A154,属性投放!$AO$6:$AO$58,1)-1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IF(COUNTIF(属性投放!$AO$6:$AO$58,"="&amp;A154)&gt;0,C154,0)</f>
        <v>0</v>
      </c>
      <c r="G154" s="14">
        <f>IF(COUNTIF(属性投放!$AC$6:$AC$26,"="&amp;开启等级!A154)&gt;0,D154,0)</f>
        <v>0</v>
      </c>
      <c r="H154" s="42">
        <v>11</v>
      </c>
      <c r="I154" s="42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2088"/>
  <sheetViews>
    <sheetView workbookViewId="0">
      <selection activeCell="L13" sqref="L13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1023</v>
      </c>
      <c r="B2" s="13">
        <v>4</v>
      </c>
      <c r="C2" s="15" t="s">
        <v>1025</v>
      </c>
      <c r="D2" s="13">
        <v>2</v>
      </c>
      <c r="E2" s="15" t="s">
        <v>1024</v>
      </c>
      <c r="F2" s="13">
        <v>1</v>
      </c>
      <c r="I2" s="30"/>
      <c r="J2" s="30"/>
    </row>
    <row r="3" spans="1:63" ht="17.25" x14ac:dyDescent="0.2">
      <c r="A3" s="12" t="s">
        <v>1026</v>
      </c>
      <c r="B3" s="12" t="s">
        <v>1035</v>
      </c>
      <c r="C3" s="12" t="s">
        <v>395</v>
      </c>
      <c r="D3" s="37" t="s">
        <v>1093</v>
      </c>
      <c r="E3" s="37" t="s">
        <v>1094</v>
      </c>
      <c r="F3" s="37" t="s">
        <v>1095</v>
      </c>
      <c r="G3" s="12" t="s">
        <v>1096</v>
      </c>
      <c r="H3" s="12" t="s">
        <v>1097</v>
      </c>
      <c r="I3" s="12" t="s">
        <v>1098</v>
      </c>
      <c r="J3" s="12" t="s">
        <v>1128</v>
      </c>
      <c r="K3" s="12" t="s">
        <v>1129</v>
      </c>
      <c r="L3" s="12" t="s">
        <v>1130</v>
      </c>
      <c r="N3" s="12" t="s">
        <v>1143</v>
      </c>
      <c r="O3" s="12" t="s">
        <v>1131</v>
      </c>
      <c r="P3" s="12" t="s">
        <v>1132</v>
      </c>
      <c r="Q3" s="12" t="s">
        <v>1144</v>
      </c>
      <c r="R3" s="12" t="s">
        <v>1145</v>
      </c>
      <c r="S3" s="12" t="s">
        <v>1146</v>
      </c>
      <c r="V3" s="12" t="s">
        <v>13</v>
      </c>
      <c r="W3" s="12" t="s">
        <v>1235</v>
      </c>
      <c r="X3" s="12" t="s">
        <v>111</v>
      </c>
      <c r="Y3" s="12" t="s">
        <v>396</v>
      </c>
      <c r="Z3" s="12" t="s">
        <v>835</v>
      </c>
      <c r="AA3" s="12" t="s">
        <v>836</v>
      </c>
      <c r="AB3" s="12" t="s">
        <v>837</v>
      </c>
      <c r="AC3" s="12" t="s">
        <v>397</v>
      </c>
      <c r="AD3" s="12" t="s">
        <v>886</v>
      </c>
      <c r="AE3" s="12" t="s">
        <v>398</v>
      </c>
      <c r="AH3" s="12" t="s">
        <v>1118</v>
      </c>
      <c r="AI3" s="12" t="s">
        <v>1125</v>
      </c>
      <c r="AJ3" s="12" t="s">
        <v>1401</v>
      </c>
      <c r="AK3" s="12" t="s">
        <v>1119</v>
      </c>
      <c r="AL3" s="12" t="s">
        <v>1120</v>
      </c>
      <c r="AM3" s="12" t="s">
        <v>1121</v>
      </c>
      <c r="AN3" s="12" t="s">
        <v>1126</v>
      </c>
      <c r="AO3" s="12" t="s">
        <v>1122</v>
      </c>
      <c r="AP3" s="12" t="s">
        <v>1123</v>
      </c>
      <c r="AQ3" s="12" t="s">
        <v>1124</v>
      </c>
      <c r="AT3" s="12" t="s">
        <v>1118</v>
      </c>
      <c r="AU3" s="12" t="s">
        <v>920</v>
      </c>
      <c r="AV3" s="12" t="s">
        <v>1402</v>
      </c>
      <c r="AW3" s="12" t="s">
        <v>1119</v>
      </c>
      <c r="AX3" s="12" t="s">
        <v>1120</v>
      </c>
      <c r="AY3" s="12" t="s">
        <v>1121</v>
      </c>
      <c r="AZ3" s="12" t="s">
        <v>1147</v>
      </c>
      <c r="BA3" s="12" t="s">
        <v>1149</v>
      </c>
      <c r="BB3" s="12" t="s">
        <v>1126</v>
      </c>
      <c r="BC3" s="12" t="s">
        <v>1150</v>
      </c>
      <c r="BD3" s="12" t="s">
        <v>1151</v>
      </c>
      <c r="BE3" s="12" t="s">
        <v>643</v>
      </c>
      <c r="BF3" s="12" t="s">
        <v>1152</v>
      </c>
      <c r="BG3" s="12" t="s">
        <v>1153</v>
      </c>
      <c r="BH3" s="12" t="s">
        <v>1233</v>
      </c>
      <c r="BI3" s="12" t="s">
        <v>1154</v>
      </c>
      <c r="BJ3" s="12" t="s">
        <v>1155</v>
      </c>
      <c r="BK3" s="12" t="s">
        <v>1234</v>
      </c>
    </row>
    <row r="4" spans="1:63" ht="16.5" x14ac:dyDescent="0.2">
      <c r="A4" s="13">
        <v>37</v>
      </c>
      <c r="B4" s="13"/>
      <c r="C4" s="13"/>
      <c r="D4" s="13">
        <f>SUMIFS(属性投放!$BY$6:$BY$85,属性投放!$AT$6:$AT$85,"="&amp;专属武器!$B$2,属性投放!$AW$6:$AW$85,"&lt;="&amp;专属武器!J4)*INDEX(属性投放!$DX$6:$DX$10,专属武器!$D$2)*$F$2</f>
        <v>1559.8000000000002</v>
      </c>
      <c r="E4" s="13">
        <f>SUMIFS(属性投放!$BZ$6:$BZ$85,属性投放!$AT$6:$AT$85,"="&amp;专属武器!$B$2,属性投放!$AW$6:$AW$85,"&lt;="&amp;专属武器!J4)*INDEX(属性投放!$DX$6:$DX$10,专属武器!$D$2)*$F$2</f>
        <v>795.30000000000007</v>
      </c>
      <c r="F4" s="13">
        <f>SUMIFS(属性投放!$CA$6:$CA$85,属性投放!$AT$6:$AT$85,"="&amp;专属武器!$B$2,属性投放!$AW$6:$AW$85,"&lt;="&amp;专属武器!J4)*INDEX(属性投放!$DX$6:$DX$10,专属武器!$D$2)*$F$2</f>
        <v>10194.800000000001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INDEX($W$4:$W$28,AI4)</f>
        <v>1102001</v>
      </c>
      <c r="AL4" s="13" t="s">
        <v>1127</v>
      </c>
      <c r="AM4" s="13">
        <f>AH4-(AI4-1)*8</f>
        <v>1</v>
      </c>
      <c r="AN4" s="13" t="str">
        <f>INDEX($X$4:$X$28,AI4)&amp;"专属武器魂珠-"&amp;AM4</f>
        <v>关羽专属武器魂珠-1</v>
      </c>
      <c r="AO4" s="13">
        <f t="shared" ref="AO4" si="0">INDEX(J$4:J$11,$AM4)</f>
        <v>40</v>
      </c>
      <c r="AP4" s="13">
        <f t="shared" ref="AP4" si="1">INDEX(K$4:K$11,$AM4)</f>
        <v>0</v>
      </c>
      <c r="AQ4" s="13">
        <f t="shared" ref="AQ4" si="2">INDEX(L$4:L$11,$AM4)</f>
        <v>0</v>
      </c>
      <c r="AT4" s="13">
        <v>1</v>
      </c>
      <c r="AU4" s="13">
        <f>INT((AT4-1)/80)+1</f>
        <v>1</v>
      </c>
      <c r="AV4" s="14">
        <f>INDEX($AJ$4:$AJ$203,(AU4-1)*8+AY4)</f>
        <v>200101</v>
      </c>
      <c r="AW4" s="14">
        <f>INDEX($W$4:$W$28,AU4)</f>
        <v>1102001</v>
      </c>
      <c r="AX4" s="13" t="s">
        <v>1127</v>
      </c>
      <c r="AY4" s="13">
        <f>INT(((AT4-(AU4-1)*80)-1)/10)+1</f>
        <v>1</v>
      </c>
      <c r="AZ4" s="13" t="s">
        <v>1148</v>
      </c>
      <c r="BA4" s="14">
        <f>AT4-(AU4-1)*80-(AY4-1)*10-1</f>
        <v>0</v>
      </c>
      <c r="BB4" s="14" t="str">
        <f>INDEX($X$4:$X$28,AU4)&amp;"魂珠-"&amp;AY4&amp;" 等级-"&amp;BA4</f>
        <v>关羽魂珠-1 等级-0</v>
      </c>
      <c r="BC4" s="25" t="s">
        <v>1156</v>
      </c>
      <c r="BD4" s="14">
        <f>ROUND(INDEX(Q$4:Q$83,($AY4-1)*10+$BA4+1)*INDEX(AC$4:AC$28,$AU4),0)</f>
        <v>0</v>
      </c>
      <c r="BE4" s="14">
        <f>SUMIFS(BD$4:BD4,$AU$4:$AU4,"="&amp;$AU4,$AY$4:$AY4,"="&amp;$AY4)</f>
        <v>0</v>
      </c>
      <c r="BF4" s="25" t="s">
        <v>1157</v>
      </c>
      <c r="BG4" s="14">
        <f>ROUND(INDEX(R$4:R$83,($AY4-1)*10+$BA4+1)*INDEX(AD$4:AD$28,$AU4),0)</f>
        <v>0</v>
      </c>
      <c r="BH4" s="14">
        <f>SUMIFS(BG$4:BG4,$AU$4:$AU4,"="&amp;$AU4,$AY$4:$AY4,"="&amp;$AY4)</f>
        <v>0</v>
      </c>
      <c r="BI4" s="25" t="s">
        <v>1158</v>
      </c>
      <c r="BJ4" s="14">
        <f>ROUND(INDEX(S$4:S$83,($AY4-1)*10+$BA4+1)*INDEX(AE$4:AE$28,$AU4),0)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SUMIFS(属性投放!$BY$6:$BY$85,属性投放!$AT$6:$AT$85,"="&amp;专属武器!$B$2,属性投放!$AW$6:$AW$85,"&lt;="&amp;专属武器!J5,属性投放!$AW$6:$AW$85,"&gt;"&amp;J4)*INDEX(属性投放!$DX$6:$DX$10,专属武器!$D$2)*$F$2</f>
        <v>1408</v>
      </c>
      <c r="E5" s="13">
        <f>SUMIFS(属性投放!$BZ$6:$BZ$85,属性投放!$AT$6:$AT$85,"="&amp;专属武器!$B$2,属性投放!$AW$6:$AW$85,"&lt;="&amp;专属武器!J5,属性投放!$AW$6:$AW$85,"&gt;"&amp;J4)*INDEX(属性投放!$DX$6:$DX$10,专属武器!$D$2)*$F$2</f>
        <v>710.6</v>
      </c>
      <c r="F5" s="13">
        <f>SUMIFS(属性投放!$CA$6:$CA$85,属性投放!$AT$6:$AT$85,"="&amp;专属武器!$B$2,属性投放!$AW$6:$AW$85,"&lt;="&amp;专属武器!J5)*INDEX(属性投放!$DX$6:$DX$10,专属武器!$D$2)*$F$2</f>
        <v>21040.800000000003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INDEX($W$4:$W$28,AI5)</f>
        <v>1102001</v>
      </c>
      <c r="AL5" s="13" t="s">
        <v>1127</v>
      </c>
      <c r="AM5" s="13">
        <f t="shared" ref="AM5:AM68" si="12">AH5-(AI5-1)*8</f>
        <v>2</v>
      </c>
      <c r="AN5" s="13" t="str">
        <f t="shared" ref="AN5:AN68" si="13">INDEX($X$4:$X$28,AI5)&amp;"专属武器魂珠-"&amp;AM5</f>
        <v>关羽专属武器魂珠-2</v>
      </c>
      <c r="AO5" s="13">
        <f t="shared" ref="AO5:AO68" si="14">INDEX(J$4:J$11,$AM5)</f>
        <v>55</v>
      </c>
      <c r="AP5" s="13">
        <f t="shared" ref="AP5:AP68" si="15">INDEX(K$4:K$11,$AM5)</f>
        <v>3</v>
      </c>
      <c r="AQ5" s="13">
        <f t="shared" ref="AQ5:AQ68" si="16">INDEX(L$4:L$11,$AM5)</f>
        <v>0</v>
      </c>
      <c r="AT5" s="13">
        <v>2</v>
      </c>
      <c r="AU5" s="13">
        <f t="shared" ref="AU5:AU68" si="17">INT((AT5-1)/80)+1</f>
        <v>1</v>
      </c>
      <c r="AV5" s="14">
        <f t="shared" ref="AV5:AV68" si="18">INDEX($AJ$4:$AJ$203,(AU5-1)*8+AY5)</f>
        <v>200101</v>
      </c>
      <c r="AW5" s="14">
        <f t="shared" ref="AW5:AW68" si="19">INDEX($W$4:$W$28,AU5)</f>
        <v>1102001</v>
      </c>
      <c r="AX5" s="13" t="s">
        <v>1127</v>
      </c>
      <c r="AY5" s="13">
        <f t="shared" ref="AY5:AY68" si="20">INT(((AT5-(AU5-1)*80)-1)/10)+1</f>
        <v>1</v>
      </c>
      <c r="AZ5" s="13" t="s">
        <v>1148</v>
      </c>
      <c r="BA5" s="14">
        <f t="shared" ref="BA5:BA68" si="21">AT5-(AU5-1)*80-(AY5-1)*10-1</f>
        <v>1</v>
      </c>
      <c r="BB5" s="14" t="str">
        <f t="shared" ref="BB5:BB68" si="22">INDEX($X$4:$X$28,AU5)&amp;"魂珠-"&amp;AY5&amp;" 等级-"&amp;BA5</f>
        <v>关羽魂珠-1 等级-1</v>
      </c>
      <c r="BC5" s="25" t="s">
        <v>1156</v>
      </c>
      <c r="BD5" s="14">
        <f t="shared" ref="BD5:BD68" si="23">ROUND(INDEX(Q$4:Q$83,($AY5-1)*10+$BA5+1)*INDEX(AC$4:AC$28,$AU5),0)</f>
        <v>60</v>
      </c>
      <c r="BE5" s="14">
        <f>SUMIFS(BD$4:BD5,$AU$4:$AU5,"="&amp;$AU5,$AY$4:$AY5,"="&amp;$AY5)</f>
        <v>60</v>
      </c>
      <c r="BF5" s="25" t="s">
        <v>1157</v>
      </c>
      <c r="BG5" s="14">
        <f t="shared" ref="BG5:BG68" si="24">ROUND(INDEX(R$4:R$83,($AY5-1)*10+$BA5+1)*INDEX(AD$4:AD$28,$AU5),0)</f>
        <v>24</v>
      </c>
      <c r="BH5" s="14">
        <f>SUMIFS(BG$4:BG5,AU$4:AU5,"="&amp;AU5,AY$4:AY5,"="&amp;AY5)</f>
        <v>24</v>
      </c>
      <c r="BI5" s="25" t="s">
        <v>1158</v>
      </c>
      <c r="BJ5" s="14">
        <f t="shared" ref="BJ5:BJ68" si="25">ROUND(INDEX(S$4:S$83,($AY5-1)*10+$BA5+1)*INDEX(AE$4:AE$28,$AU5),0)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>
        <f>SUMIFS(属性投放!$BY$6:$BY$85,属性投放!$AT$6:$AT$85,"="&amp;专属武器!$B$2,属性投放!$AW$6:$AW$85,"&lt;="&amp;专属武器!J6,属性投放!$AW$6:$AW$85,"&gt;"&amp;J5)*INDEX(属性投放!$DX$6:$DX$10,专属武器!$D$2)*$F$2</f>
        <v>2854.5000000000005</v>
      </c>
      <c r="E6" s="13">
        <f>SUMIFS(属性投放!$BZ$6:$BZ$85,属性投放!$AT$6:$AT$85,"="&amp;专属武器!$B$2,属性投放!$AW$6:$AW$85,"&lt;="&amp;专属武器!J6,属性投放!$AW$6:$AW$85,"&gt;"&amp;J5)*INDEX(属性投放!$DX$6:$DX$10,专属武器!$D$2)*$F$2</f>
        <v>1433.3000000000002</v>
      </c>
      <c r="F6" s="13">
        <f>SUMIFS(属性投放!$CA$6:$CA$85,属性投放!$AT$6:$AT$85,"="&amp;专属武器!$B$2,属性投放!$AW$6:$AW$85,"&lt;="&amp;专属武器!J6)*INDEX(属性投放!$DX$6:$DX$10,专属武器!$D$2)*$F$2</f>
        <v>45911.8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6">G18</f>
        <v>60</v>
      </c>
      <c r="R6" s="13">
        <f t="shared" ref="R6:R13" si="27">H18</f>
        <v>30</v>
      </c>
      <c r="S6" s="13">
        <f t="shared" ref="S6:S13" si="28">I18</f>
        <v>1200</v>
      </c>
      <c r="V6" s="13">
        <v>1102003</v>
      </c>
      <c r="W6" s="13">
        <f t="shared" si="8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1127</v>
      </c>
      <c r="AM6" s="13">
        <f t="shared" si="12"/>
        <v>3</v>
      </c>
      <c r="AN6" s="13" t="str">
        <f t="shared" si="13"/>
        <v>关羽专属武器魂珠-3</v>
      </c>
      <c r="AO6" s="13">
        <f t="shared" si="14"/>
        <v>75</v>
      </c>
      <c r="AP6" s="13">
        <f t="shared" si="15"/>
        <v>3</v>
      </c>
      <c r="AQ6" s="13">
        <f t="shared" si="16"/>
        <v>0</v>
      </c>
      <c r="AT6" s="13">
        <v>3</v>
      </c>
      <c r="AU6" s="13">
        <f t="shared" si="17"/>
        <v>1</v>
      </c>
      <c r="AV6" s="14">
        <f t="shared" si="18"/>
        <v>200101</v>
      </c>
      <c r="AW6" s="14">
        <f t="shared" si="19"/>
        <v>1102001</v>
      </c>
      <c r="AX6" s="13" t="s">
        <v>1127</v>
      </c>
      <c r="AY6" s="13">
        <f t="shared" si="20"/>
        <v>1</v>
      </c>
      <c r="AZ6" s="13" t="s">
        <v>1148</v>
      </c>
      <c r="BA6" s="14">
        <f t="shared" si="21"/>
        <v>2</v>
      </c>
      <c r="BB6" s="14" t="str">
        <f t="shared" si="22"/>
        <v>关羽魂珠-1 等级-2</v>
      </c>
      <c r="BC6" s="25" t="s">
        <v>1156</v>
      </c>
      <c r="BD6" s="14">
        <f t="shared" si="23"/>
        <v>90</v>
      </c>
      <c r="BE6" s="14">
        <f>SUMIFS(BD$4:BD6,$AU$4:$AU6,"="&amp;$AU6,$AY$4:$AY6,"="&amp;$AY6)</f>
        <v>150</v>
      </c>
      <c r="BF6" s="25" t="s">
        <v>1157</v>
      </c>
      <c r="BG6" s="14">
        <f t="shared" si="24"/>
        <v>36</v>
      </c>
      <c r="BH6" s="14">
        <f>SUMIFS(BG$4:BG6,AU$4:AU6,"="&amp;AU6,AY$4:AY6,"="&amp;AY6)</f>
        <v>60</v>
      </c>
      <c r="BI6" s="25" t="s">
        <v>1158</v>
      </c>
      <c r="BJ6" s="14">
        <f t="shared" si="25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SUMIFS(属性投放!$BY$6:$BY$85,属性投放!$AT$6:$AT$85,"="&amp;专属武器!$B$2,属性投放!$AW$6:$AW$85,"&lt;="&amp;专属武器!J7,属性投放!$AW$6:$AW$85,"&gt;"&amp;J6)*INDEX(属性投放!$DX$6:$DX$10,专属武器!$D$2)*$F$2</f>
        <v>1413.5000000000002</v>
      </c>
      <c r="E7" s="13">
        <f>SUMIFS(属性投放!$BZ$6:$BZ$85,属性投放!$AT$6:$AT$85,"="&amp;专属武器!$B$2,属性投放!$AW$6:$AW$85,"&lt;="&amp;专属武器!J7,属性投放!$AW$6:$AW$85,"&gt;"&amp;J6)*INDEX(属性投放!$DX$6:$DX$10,专属武器!$D$2)*$F$2</f>
        <v>708.40000000000009</v>
      </c>
      <c r="F7" s="13">
        <f>SUMIFS(属性投放!$CA$6:$CA$85,属性投放!$AT$6:$AT$85,"="&amp;专属武器!$B$2,属性投放!$AW$6:$AW$85,"&lt;="&amp;专属武器!J7)*INDEX(属性投放!$DX$6:$DX$10,专属武器!$D$2)*$F$2</f>
        <v>58633.3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6"/>
        <v>80</v>
      </c>
      <c r="R7" s="13">
        <f t="shared" si="27"/>
        <v>40</v>
      </c>
      <c r="S7" s="13">
        <f t="shared" si="28"/>
        <v>1600</v>
      </c>
      <c r="T7" s="30"/>
      <c r="U7" s="30"/>
      <c r="V7" s="13">
        <v>1102005</v>
      </c>
      <c r="W7" s="13">
        <f t="shared" si="8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1127</v>
      </c>
      <c r="AM7" s="13">
        <f t="shared" si="12"/>
        <v>4</v>
      </c>
      <c r="AN7" s="13" t="str">
        <f t="shared" si="13"/>
        <v>关羽专属武器魂珠-4</v>
      </c>
      <c r="AO7" s="13">
        <f t="shared" si="14"/>
        <v>85</v>
      </c>
      <c r="AP7" s="13">
        <f t="shared" si="15"/>
        <v>3</v>
      </c>
      <c r="AQ7" s="13">
        <f t="shared" si="16"/>
        <v>1</v>
      </c>
      <c r="AT7" s="13">
        <v>4</v>
      </c>
      <c r="AU7" s="13">
        <f t="shared" si="17"/>
        <v>1</v>
      </c>
      <c r="AV7" s="14">
        <f t="shared" si="18"/>
        <v>200101</v>
      </c>
      <c r="AW7" s="14">
        <f t="shared" si="19"/>
        <v>1102001</v>
      </c>
      <c r="AX7" s="13" t="s">
        <v>1127</v>
      </c>
      <c r="AY7" s="13">
        <f t="shared" si="20"/>
        <v>1</v>
      </c>
      <c r="AZ7" s="13" t="s">
        <v>1148</v>
      </c>
      <c r="BA7" s="14">
        <f t="shared" si="21"/>
        <v>3</v>
      </c>
      <c r="BB7" s="14" t="str">
        <f t="shared" si="22"/>
        <v>关羽魂珠-1 等级-3</v>
      </c>
      <c r="BC7" s="25" t="s">
        <v>1156</v>
      </c>
      <c r="BD7" s="14">
        <f t="shared" si="23"/>
        <v>120</v>
      </c>
      <c r="BE7" s="14">
        <f>SUMIFS(BD$4:BD7,$AU$4:$AU7,"="&amp;$AU7,$AY$4:$AY7,"="&amp;$AY7)</f>
        <v>270</v>
      </c>
      <c r="BF7" s="25" t="s">
        <v>1157</v>
      </c>
      <c r="BG7" s="14">
        <f t="shared" si="24"/>
        <v>48</v>
      </c>
      <c r="BH7" s="14">
        <f>SUMIFS(BG$4:BG7,AU$4:AU7,"="&amp;AU7,AY$4:AY7,"="&amp;AY7)</f>
        <v>108</v>
      </c>
      <c r="BI7" s="25" t="s">
        <v>1158</v>
      </c>
      <c r="BJ7" s="14">
        <f t="shared" si="25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SUMIFS(属性投放!$BY$6:$BY$85,属性投放!$AT$6:$AT$85,"="&amp;专属武器!$B$2,属性投放!$AW$6:$AW$85,"&lt;="&amp;专属武器!J8,属性投放!$AW$6:$AW$85,"&gt;"&amp;J7)*INDEX(属性投放!$DX$6:$DX$10,专属武器!$D$2)*$F$2</f>
        <v>9405</v>
      </c>
      <c r="E8" s="13">
        <f>SUMIFS(属性投放!$BZ$6:$BZ$85,属性投放!$AT$6:$AT$85,"="&amp;专属武器!$B$2,属性投放!$AW$6:$AW$85,"&lt;="&amp;专属武器!J8,属性投放!$AW$6:$AW$85,"&gt;"&amp;J7)*INDEX(属性投放!$DX$6:$DX$10,专属武器!$D$2)*$F$2</f>
        <v>4705.8</v>
      </c>
      <c r="F8" s="13">
        <f>SUMIFS(属性投放!$CA$6:$CA$85,属性投放!$AT$6:$AT$85,"="&amp;专属武器!$B$2,属性投放!$AW$6:$AW$85,"&lt;="&amp;专属武器!J8)*INDEX(属性投放!$DX$6:$DX$10,专属武器!$D$2)*$F$2</f>
        <v>152683.30000000002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6"/>
        <v>120</v>
      </c>
      <c r="R8" s="13">
        <f t="shared" si="27"/>
        <v>60</v>
      </c>
      <c r="S8" s="13">
        <f t="shared" si="28"/>
        <v>2400</v>
      </c>
      <c r="T8" s="30"/>
      <c r="U8" s="30"/>
      <c r="V8" s="13">
        <v>1102006</v>
      </c>
      <c r="W8" s="13">
        <f t="shared" si="8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1127</v>
      </c>
      <c r="AM8" s="13">
        <f t="shared" si="12"/>
        <v>5</v>
      </c>
      <c r="AN8" s="13" t="str">
        <f t="shared" si="13"/>
        <v>关羽专属武器魂珠-5</v>
      </c>
      <c r="AO8" s="13">
        <f t="shared" si="14"/>
        <v>110</v>
      </c>
      <c r="AP8" s="13">
        <f t="shared" si="15"/>
        <v>3</v>
      </c>
      <c r="AQ8" s="13">
        <f t="shared" si="16"/>
        <v>2</v>
      </c>
      <c r="AT8" s="13">
        <v>5</v>
      </c>
      <c r="AU8" s="13">
        <f t="shared" si="17"/>
        <v>1</v>
      </c>
      <c r="AV8" s="14">
        <f t="shared" si="18"/>
        <v>200101</v>
      </c>
      <c r="AW8" s="14">
        <f t="shared" si="19"/>
        <v>1102001</v>
      </c>
      <c r="AX8" s="13" t="s">
        <v>1127</v>
      </c>
      <c r="AY8" s="13">
        <f t="shared" si="20"/>
        <v>1</v>
      </c>
      <c r="AZ8" s="13" t="s">
        <v>1148</v>
      </c>
      <c r="BA8" s="14">
        <f t="shared" si="21"/>
        <v>4</v>
      </c>
      <c r="BB8" s="14" t="str">
        <f t="shared" si="22"/>
        <v>关羽魂珠-1 等级-4</v>
      </c>
      <c r="BC8" s="25" t="s">
        <v>1156</v>
      </c>
      <c r="BD8" s="14">
        <f t="shared" si="23"/>
        <v>180</v>
      </c>
      <c r="BE8" s="14">
        <f>SUMIFS(BD$4:BD8,$AU$4:$AU8,"="&amp;$AU8,$AY$4:$AY8,"="&amp;$AY8)</f>
        <v>450</v>
      </c>
      <c r="BF8" s="25" t="s">
        <v>1157</v>
      </c>
      <c r="BG8" s="14">
        <f t="shared" si="24"/>
        <v>72</v>
      </c>
      <c r="BH8" s="14">
        <f>SUMIFS(BG$4:BG8,AU$4:AU8,"="&amp;AU8,AY$4:AY8,"="&amp;AY8)</f>
        <v>180</v>
      </c>
      <c r="BI8" s="25" t="s">
        <v>1158</v>
      </c>
      <c r="BJ8" s="14">
        <f t="shared" si="25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SUMIFS(属性投放!$BY$6:$BY$85,属性投放!$AT$6:$AT$85,"="&amp;专属武器!$B$2,属性投放!$AW$6:$AW$85,"&lt;="&amp;专属武器!J9,属性投放!$AW$6:$AW$85,"&gt;"&amp;J8)*INDEX(属性投放!$DX$6:$DX$10,专属武器!$D$2)*$F$2</f>
        <v>8140.0000000000009</v>
      </c>
      <c r="E9" s="13">
        <f>SUMIFS(属性投放!$BZ$6:$BZ$85,属性投放!$AT$6:$AT$85,"="&amp;专属武器!$B$2,属性投放!$AW$6:$AW$85,"&lt;="&amp;专属武器!J9,属性投放!$AW$6:$AW$85,"&gt;"&amp;J8)*INDEX(属性投放!$DX$6:$DX$10,专属武器!$D$2)*$F$2</f>
        <v>4070.0000000000005</v>
      </c>
      <c r="F9" s="13">
        <f>SUMIFS(属性投放!$CA$6:$CA$85,属性投放!$AT$6:$AT$85,"="&amp;专属武器!$B$2,属性投放!$AW$6:$AW$85,"&lt;="&amp;专属武器!J9)*INDEX(属性投放!$DX$6:$DX$10,专属武器!$D$2)*$F$2</f>
        <v>234083.30000000002</v>
      </c>
      <c r="G9" s="13">
        <v>7000</v>
      </c>
      <c r="H9" s="13">
        <f t="shared" si="3"/>
        <v>3500</v>
      </c>
      <c r="I9" s="13">
        <f t="shared" si="4"/>
        <v>70000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6"/>
        <v>160</v>
      </c>
      <c r="R9" s="13">
        <f t="shared" si="27"/>
        <v>80</v>
      </c>
      <c r="S9" s="13">
        <f t="shared" si="28"/>
        <v>3200</v>
      </c>
      <c r="T9" s="16"/>
      <c r="U9" s="16"/>
      <c r="V9" s="13">
        <v>1102007</v>
      </c>
      <c r="W9" s="13">
        <f t="shared" si="8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1127</v>
      </c>
      <c r="AM9" s="13">
        <f t="shared" si="12"/>
        <v>6</v>
      </c>
      <c r="AN9" s="13" t="str">
        <f t="shared" si="13"/>
        <v>关羽专属武器魂珠-6</v>
      </c>
      <c r="AO9" s="13">
        <f t="shared" si="14"/>
        <v>125</v>
      </c>
      <c r="AP9" s="13">
        <f t="shared" si="15"/>
        <v>3</v>
      </c>
      <c r="AQ9" s="13">
        <f t="shared" si="16"/>
        <v>3</v>
      </c>
      <c r="AT9" s="13">
        <v>6</v>
      </c>
      <c r="AU9" s="13">
        <f t="shared" si="17"/>
        <v>1</v>
      </c>
      <c r="AV9" s="14">
        <f t="shared" si="18"/>
        <v>200101</v>
      </c>
      <c r="AW9" s="14">
        <f t="shared" si="19"/>
        <v>1102001</v>
      </c>
      <c r="AX9" s="13" t="s">
        <v>1127</v>
      </c>
      <c r="AY9" s="13">
        <f t="shared" si="20"/>
        <v>1</v>
      </c>
      <c r="AZ9" s="13" t="s">
        <v>1148</v>
      </c>
      <c r="BA9" s="14">
        <f t="shared" si="21"/>
        <v>5</v>
      </c>
      <c r="BB9" s="14" t="str">
        <f t="shared" si="22"/>
        <v>关羽魂珠-1 等级-5</v>
      </c>
      <c r="BC9" s="25" t="s">
        <v>1156</v>
      </c>
      <c r="BD9" s="14">
        <f t="shared" si="23"/>
        <v>240</v>
      </c>
      <c r="BE9" s="14">
        <f>SUMIFS(BD$4:BD9,$AU$4:$AU9,"="&amp;$AU9,$AY$4:$AY9,"="&amp;$AY9)</f>
        <v>690</v>
      </c>
      <c r="BF9" s="25" t="s">
        <v>1157</v>
      </c>
      <c r="BG9" s="14">
        <f t="shared" si="24"/>
        <v>96</v>
      </c>
      <c r="BH9" s="14">
        <f>SUMIFS(BG$4:BG9,AU$4:AU9,"="&amp;AU9,AY$4:AY9,"="&amp;AY9)</f>
        <v>276</v>
      </c>
      <c r="BI9" s="25" t="s">
        <v>1158</v>
      </c>
      <c r="BJ9" s="14">
        <f t="shared" si="25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>
        <f>SUMIFS(属性投放!$BY$6:$BY$85,属性投放!$AT$6:$AT$85,"="&amp;专属武器!$B$2,属性投放!$AW$6:$AW$85,"&lt;="&amp;专属武器!J10,属性投放!$AW$6:$AW$85,"&gt;"&amp;J9)*INDEX(属性投放!$DX$6:$DX$10,专属武器!$D$2)*$F$2</f>
        <v>5280</v>
      </c>
      <c r="E10" s="13">
        <f>SUMIFS(属性投放!$BZ$6:$BZ$85,属性投放!$AT$6:$AT$85,"="&amp;专属武器!$B$2,属性投放!$AW$6:$AW$85,"&lt;="&amp;专属武器!J10,属性投放!$AW$6:$AW$85,"&gt;"&amp;J9)*INDEX(属性投放!$DX$6:$DX$10,专属武器!$D$2)*$F$2</f>
        <v>2644.4</v>
      </c>
      <c r="F10" s="13">
        <f>SUMIFS(属性投放!$CA$6:$CA$85,属性投放!$AT$6:$AT$85,"="&amp;专属武器!$B$2,属性投放!$AW$6:$AW$85,"&lt;="&amp;专属武器!J10)*INDEX(属性投放!$DX$6:$DX$10,专属武器!$D$2)*$F$2</f>
        <v>286883.30000000005</v>
      </c>
      <c r="G10" s="13">
        <v>9000</v>
      </c>
      <c r="H10" s="13">
        <f t="shared" si="3"/>
        <v>4500</v>
      </c>
      <c r="I10" s="13">
        <f t="shared" si="4"/>
        <v>90000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6"/>
        <v>200</v>
      </c>
      <c r="R10" s="13">
        <f t="shared" si="27"/>
        <v>100</v>
      </c>
      <c r="S10" s="13">
        <f t="shared" si="28"/>
        <v>4000</v>
      </c>
      <c r="T10" s="16"/>
      <c r="U10" s="16"/>
      <c r="V10" s="13">
        <v>1102008</v>
      </c>
      <c r="W10" s="13">
        <f t="shared" si="8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1127</v>
      </c>
      <c r="AM10" s="13">
        <f t="shared" si="12"/>
        <v>7</v>
      </c>
      <c r="AN10" s="13" t="str">
        <f t="shared" si="13"/>
        <v>关羽专属武器魂珠-7</v>
      </c>
      <c r="AO10" s="13">
        <f t="shared" si="14"/>
        <v>135</v>
      </c>
      <c r="AP10" s="13">
        <f t="shared" si="15"/>
        <v>3</v>
      </c>
      <c r="AQ10" s="13">
        <f t="shared" si="16"/>
        <v>4</v>
      </c>
      <c r="AT10" s="13">
        <v>7</v>
      </c>
      <c r="AU10" s="13">
        <f t="shared" si="17"/>
        <v>1</v>
      </c>
      <c r="AV10" s="14">
        <f t="shared" si="18"/>
        <v>200101</v>
      </c>
      <c r="AW10" s="14">
        <f t="shared" si="19"/>
        <v>1102001</v>
      </c>
      <c r="AX10" s="13" t="s">
        <v>1127</v>
      </c>
      <c r="AY10" s="13">
        <f t="shared" si="20"/>
        <v>1</v>
      </c>
      <c r="AZ10" s="13" t="s">
        <v>1148</v>
      </c>
      <c r="BA10" s="14">
        <f t="shared" si="21"/>
        <v>6</v>
      </c>
      <c r="BB10" s="14" t="str">
        <f t="shared" si="22"/>
        <v>关羽魂珠-1 等级-6</v>
      </c>
      <c r="BC10" s="25" t="s">
        <v>1156</v>
      </c>
      <c r="BD10" s="14">
        <f t="shared" si="23"/>
        <v>300</v>
      </c>
      <c r="BE10" s="14">
        <f>SUMIFS(BD$4:BD10,$AU$4:$AU10,"="&amp;$AU10,$AY$4:$AY10,"="&amp;$AY10)</f>
        <v>990</v>
      </c>
      <c r="BF10" s="25" t="s">
        <v>1157</v>
      </c>
      <c r="BG10" s="14">
        <f t="shared" si="24"/>
        <v>120</v>
      </c>
      <c r="BH10" s="14">
        <f>SUMIFS(BG$4:BG10,AU$4:AU10,"="&amp;AU10,AY$4:AY10,"="&amp;AY10)</f>
        <v>396</v>
      </c>
      <c r="BI10" s="25" t="s">
        <v>1158</v>
      </c>
      <c r="BJ10" s="14">
        <f t="shared" si="25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SUMIFS(属性投放!$BY$6:$BY$85,属性投放!$AT$6:$AT$85,"="&amp;专属武器!$B$2,属性投放!$AW$6:$AW$85,"&lt;="&amp;专属武器!J11,属性投放!$AW$6:$AW$85,"&gt;"&amp;J10)*INDEX(属性投放!$DX$6:$DX$10,专属武器!$D$2)*$F$2</f>
        <v>6875.0000000000009</v>
      </c>
      <c r="E11" s="13">
        <f>SUMIFS(属性投放!$BZ$6:$BZ$85,属性投放!$AT$6:$AT$85,"="&amp;专属武器!$B$2,属性投放!$AW$6:$AW$85,"&lt;="&amp;专属武器!J11,属性投放!$AW$6:$AW$85,"&gt;"&amp;J10)*INDEX(属性投放!$DX$6:$DX$10,专属武器!$D$2)*$F$2</f>
        <v>3443.0000000000005</v>
      </c>
      <c r="F11" s="13">
        <f>SUMIFS(属性投放!$CA$6:$CA$85,属性投放!$AT$6:$AT$85,"="&amp;专属武器!$B$2,属性投放!$AW$6:$AW$85,"&lt;="&amp;专属武器!J11)*INDEX(属性投放!$DX$6:$DX$10,专属武器!$D$2)*$F$2</f>
        <v>355633.30000000005</v>
      </c>
      <c r="G11" s="13">
        <v>12000</v>
      </c>
      <c r="H11" s="13">
        <f t="shared" si="3"/>
        <v>6000</v>
      </c>
      <c r="I11" s="13">
        <f t="shared" si="4"/>
        <v>120000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6"/>
        <v>240</v>
      </c>
      <c r="R11" s="13">
        <f t="shared" si="27"/>
        <v>120</v>
      </c>
      <c r="S11" s="13">
        <f t="shared" si="28"/>
        <v>4800</v>
      </c>
      <c r="T11" s="16"/>
      <c r="U11" s="16"/>
      <c r="V11" s="13">
        <v>1102009</v>
      </c>
      <c r="W11" s="13">
        <f t="shared" si="8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1127</v>
      </c>
      <c r="AM11" s="13">
        <f t="shared" si="12"/>
        <v>8</v>
      </c>
      <c r="AN11" s="13" t="str">
        <f t="shared" si="13"/>
        <v>关羽专属武器魂珠-8</v>
      </c>
      <c r="AO11" s="13">
        <f t="shared" si="14"/>
        <v>150</v>
      </c>
      <c r="AP11" s="13">
        <f t="shared" si="15"/>
        <v>3</v>
      </c>
      <c r="AQ11" s="13">
        <f t="shared" si="16"/>
        <v>5</v>
      </c>
      <c r="AT11" s="13">
        <v>8</v>
      </c>
      <c r="AU11" s="13">
        <f t="shared" si="17"/>
        <v>1</v>
      </c>
      <c r="AV11" s="14">
        <f t="shared" si="18"/>
        <v>200101</v>
      </c>
      <c r="AW11" s="14">
        <f t="shared" si="19"/>
        <v>1102001</v>
      </c>
      <c r="AX11" s="13" t="s">
        <v>1127</v>
      </c>
      <c r="AY11" s="13">
        <f t="shared" si="20"/>
        <v>1</v>
      </c>
      <c r="AZ11" s="13" t="s">
        <v>1148</v>
      </c>
      <c r="BA11" s="14">
        <f t="shared" si="21"/>
        <v>7</v>
      </c>
      <c r="BB11" s="14" t="str">
        <f t="shared" si="22"/>
        <v>关羽魂珠-1 等级-7</v>
      </c>
      <c r="BC11" s="25" t="s">
        <v>1156</v>
      </c>
      <c r="BD11" s="14">
        <f t="shared" si="23"/>
        <v>360</v>
      </c>
      <c r="BE11" s="14">
        <f>SUMIFS(BD$4:BD11,$AU$4:$AU11,"="&amp;$AU11,$AY$4:$AY11,"="&amp;$AY11)</f>
        <v>1350</v>
      </c>
      <c r="BF11" s="25" t="s">
        <v>1157</v>
      </c>
      <c r="BG11" s="14">
        <f t="shared" si="24"/>
        <v>144</v>
      </c>
      <c r="BH11" s="14">
        <f>SUMIFS(BG$4:BG11,AU$4:AU11,"="&amp;AU11,AY$4:AY11,"="&amp;AY11)</f>
        <v>540</v>
      </c>
      <c r="BI11" s="25" t="s">
        <v>1158</v>
      </c>
      <c r="BJ11" s="14">
        <f t="shared" si="25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6"/>
        <v>280</v>
      </c>
      <c r="R12" s="13">
        <f t="shared" si="27"/>
        <v>140</v>
      </c>
      <c r="S12" s="13">
        <f t="shared" si="28"/>
        <v>5600</v>
      </c>
      <c r="T12" s="16"/>
      <c r="U12" s="16"/>
      <c r="V12" s="13">
        <v>1102010</v>
      </c>
      <c r="W12" s="13">
        <f t="shared" si="8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1127</v>
      </c>
      <c r="AM12" s="13">
        <f t="shared" si="12"/>
        <v>1</v>
      </c>
      <c r="AN12" s="13" t="str">
        <f t="shared" si="13"/>
        <v>许褚专属武器魂珠-1</v>
      </c>
      <c r="AO12" s="13">
        <f t="shared" si="14"/>
        <v>40</v>
      </c>
      <c r="AP12" s="13">
        <f t="shared" si="15"/>
        <v>0</v>
      </c>
      <c r="AQ12" s="13">
        <f t="shared" si="16"/>
        <v>0</v>
      </c>
      <c r="AT12" s="13">
        <v>9</v>
      </c>
      <c r="AU12" s="13">
        <f t="shared" si="17"/>
        <v>1</v>
      </c>
      <c r="AV12" s="14">
        <f t="shared" si="18"/>
        <v>200101</v>
      </c>
      <c r="AW12" s="14">
        <f t="shared" si="19"/>
        <v>1102001</v>
      </c>
      <c r="AX12" s="13" t="s">
        <v>1127</v>
      </c>
      <c r="AY12" s="13">
        <f t="shared" si="20"/>
        <v>1</v>
      </c>
      <c r="AZ12" s="13" t="s">
        <v>1148</v>
      </c>
      <c r="BA12" s="14">
        <f t="shared" si="21"/>
        <v>8</v>
      </c>
      <c r="BB12" s="14" t="str">
        <f t="shared" si="22"/>
        <v>关羽魂珠-1 等级-8</v>
      </c>
      <c r="BC12" s="25" t="s">
        <v>1156</v>
      </c>
      <c r="BD12" s="14">
        <f t="shared" si="23"/>
        <v>420</v>
      </c>
      <c r="BE12" s="14">
        <f>SUMIFS(BD$4:BD12,$AU$4:$AU12,"="&amp;$AU12,$AY$4:$AY12,"="&amp;$AY12)</f>
        <v>1770</v>
      </c>
      <c r="BF12" s="25" t="s">
        <v>1157</v>
      </c>
      <c r="BG12" s="14">
        <f t="shared" si="24"/>
        <v>168</v>
      </c>
      <c r="BH12" s="14">
        <f>SUMIFS(BG$4:BG12,AU$4:AU12,"="&amp;AU12,AY$4:AY12,"="&amp;AY12)</f>
        <v>708</v>
      </c>
      <c r="BI12" s="25" t="s">
        <v>1158</v>
      </c>
      <c r="BJ12" s="14">
        <f t="shared" si="25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6"/>
        <v>320</v>
      </c>
      <c r="R13" s="13">
        <f t="shared" si="27"/>
        <v>160</v>
      </c>
      <c r="S13" s="13">
        <f t="shared" si="28"/>
        <v>6400</v>
      </c>
      <c r="T13" s="16"/>
      <c r="U13" s="16"/>
      <c r="V13" s="13">
        <v>1102011</v>
      </c>
      <c r="W13" s="13">
        <f t="shared" si="8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1127</v>
      </c>
      <c r="AM13" s="13">
        <f t="shared" si="12"/>
        <v>2</v>
      </c>
      <c r="AN13" s="13" t="str">
        <f t="shared" si="13"/>
        <v>许褚专属武器魂珠-2</v>
      </c>
      <c r="AO13" s="13">
        <f t="shared" si="14"/>
        <v>55</v>
      </c>
      <c r="AP13" s="13">
        <f t="shared" si="15"/>
        <v>3</v>
      </c>
      <c r="AQ13" s="13">
        <f t="shared" si="16"/>
        <v>0</v>
      </c>
      <c r="AT13" s="13">
        <v>10</v>
      </c>
      <c r="AU13" s="13">
        <f t="shared" si="17"/>
        <v>1</v>
      </c>
      <c r="AV13" s="14">
        <f t="shared" si="18"/>
        <v>200101</v>
      </c>
      <c r="AW13" s="14">
        <f t="shared" si="19"/>
        <v>1102001</v>
      </c>
      <c r="AX13" s="13" t="s">
        <v>1127</v>
      </c>
      <c r="AY13" s="13">
        <f t="shared" si="20"/>
        <v>1</v>
      </c>
      <c r="AZ13" s="13" t="s">
        <v>1148</v>
      </c>
      <c r="BA13" s="14">
        <f t="shared" si="21"/>
        <v>9</v>
      </c>
      <c r="BB13" s="14" t="str">
        <f t="shared" si="22"/>
        <v>关羽魂珠-1 等级-9</v>
      </c>
      <c r="BC13" s="25" t="s">
        <v>1156</v>
      </c>
      <c r="BD13" s="14">
        <f t="shared" si="23"/>
        <v>480</v>
      </c>
      <c r="BE13" s="14">
        <f>SUMIFS(BD$4:BD13,$AU$4:$AU13,"="&amp;$AU13,$AY$4:$AY13,"="&amp;$AY13)</f>
        <v>2250</v>
      </c>
      <c r="BF13" s="25" t="s">
        <v>1157</v>
      </c>
      <c r="BG13" s="14">
        <f t="shared" si="24"/>
        <v>192</v>
      </c>
      <c r="BH13" s="14">
        <f>SUMIFS(BG$4:BG13,AU$4:AU13,"="&amp;AU13,AY$4:AY13,"="&amp;AY13)</f>
        <v>900</v>
      </c>
      <c r="BI13" s="25" t="s">
        <v>1158</v>
      </c>
      <c r="BJ13" s="14">
        <f t="shared" si="25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71" t="s">
        <v>1099</v>
      </c>
      <c r="B14" s="71"/>
      <c r="C14" s="71"/>
      <c r="D14" s="71"/>
      <c r="E14" s="71"/>
      <c r="F14" s="71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1127</v>
      </c>
      <c r="AM14" s="13">
        <f t="shared" si="12"/>
        <v>3</v>
      </c>
      <c r="AN14" s="13" t="str">
        <f t="shared" si="13"/>
        <v>许褚专属武器魂珠-3</v>
      </c>
      <c r="AO14" s="13">
        <f t="shared" si="14"/>
        <v>75</v>
      </c>
      <c r="AP14" s="13">
        <f t="shared" si="15"/>
        <v>3</v>
      </c>
      <c r="AQ14" s="13">
        <f t="shared" si="16"/>
        <v>0</v>
      </c>
      <c r="AT14" s="13">
        <v>11</v>
      </c>
      <c r="AU14" s="13">
        <f t="shared" si="17"/>
        <v>1</v>
      </c>
      <c r="AV14" s="14">
        <f t="shared" si="18"/>
        <v>200102</v>
      </c>
      <c r="AW14" s="14">
        <f t="shared" si="19"/>
        <v>1102001</v>
      </c>
      <c r="AX14" s="13" t="s">
        <v>1127</v>
      </c>
      <c r="AY14" s="13">
        <f t="shared" si="20"/>
        <v>2</v>
      </c>
      <c r="AZ14" s="13" t="s">
        <v>1148</v>
      </c>
      <c r="BA14" s="14">
        <f t="shared" si="21"/>
        <v>0</v>
      </c>
      <c r="BB14" s="14" t="str">
        <f t="shared" si="22"/>
        <v>关羽魂珠-2 等级-0</v>
      </c>
      <c r="BC14" s="25" t="s">
        <v>1156</v>
      </c>
      <c r="BD14" s="14">
        <f t="shared" si="23"/>
        <v>0</v>
      </c>
      <c r="BE14" s="14">
        <f>SUMIFS(BD$4:BD14,$AU$4:$AU14,"="&amp;$AU14,$AY$4:$AY14,"="&amp;$AY14)</f>
        <v>0</v>
      </c>
      <c r="BF14" s="25" t="s">
        <v>1157</v>
      </c>
      <c r="BG14" s="14">
        <f t="shared" si="24"/>
        <v>0</v>
      </c>
      <c r="BH14" s="14">
        <f>SUMIFS(BG$4:BG14,AU$4:AU14,"="&amp;AU14,AY$4:AY14,"="&amp;AY14)</f>
        <v>0</v>
      </c>
      <c r="BI14" s="25" t="s">
        <v>1158</v>
      </c>
      <c r="BJ14" s="14">
        <f t="shared" si="25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9">H31</f>
        <v>25</v>
      </c>
      <c r="S15" s="13">
        <f t="shared" si="29"/>
        <v>1000</v>
      </c>
      <c r="T15" s="16"/>
      <c r="U15" s="16"/>
      <c r="V15" s="13">
        <v>1102014</v>
      </c>
      <c r="W15" s="13">
        <f t="shared" si="8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1127</v>
      </c>
      <c r="AM15" s="13">
        <f t="shared" si="12"/>
        <v>4</v>
      </c>
      <c r="AN15" s="13" t="str">
        <f t="shared" si="13"/>
        <v>许褚专属武器魂珠-4</v>
      </c>
      <c r="AO15" s="13">
        <f t="shared" si="14"/>
        <v>85</v>
      </c>
      <c r="AP15" s="13">
        <f t="shared" si="15"/>
        <v>3</v>
      </c>
      <c r="AQ15" s="13">
        <f t="shared" si="16"/>
        <v>1</v>
      </c>
      <c r="AT15" s="13">
        <v>12</v>
      </c>
      <c r="AU15" s="13">
        <f t="shared" si="17"/>
        <v>1</v>
      </c>
      <c r="AV15" s="14">
        <f t="shared" si="18"/>
        <v>200102</v>
      </c>
      <c r="AW15" s="14">
        <f t="shared" si="19"/>
        <v>1102001</v>
      </c>
      <c r="AX15" s="13" t="s">
        <v>1127</v>
      </c>
      <c r="AY15" s="13">
        <f t="shared" si="20"/>
        <v>2</v>
      </c>
      <c r="AZ15" s="13" t="s">
        <v>1148</v>
      </c>
      <c r="BA15" s="14">
        <f t="shared" si="21"/>
        <v>1</v>
      </c>
      <c r="BB15" s="14" t="str">
        <f t="shared" si="22"/>
        <v>关羽魂珠-2 等级-1</v>
      </c>
      <c r="BC15" s="25" t="s">
        <v>1156</v>
      </c>
      <c r="BD15" s="14">
        <f t="shared" si="23"/>
        <v>75</v>
      </c>
      <c r="BE15" s="14">
        <f>SUMIFS(BD$4:BD15,$AU$4:$AU15,"="&amp;$AU15,$AY$4:$AY15,"="&amp;$AY15)</f>
        <v>75</v>
      </c>
      <c r="BF15" s="25" t="s">
        <v>1157</v>
      </c>
      <c r="BG15" s="14">
        <f t="shared" si="24"/>
        <v>30</v>
      </c>
      <c r="BH15" s="14">
        <f>SUMIFS(BG$4:BG15,AU$4:AU15,"="&amp;AU15,AY$4:AY15,"="&amp;AY15)</f>
        <v>30</v>
      </c>
      <c r="BI15" s="25" t="s">
        <v>1158</v>
      </c>
      <c r="BJ15" s="14">
        <f t="shared" si="25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1100</v>
      </c>
      <c r="B16" s="12" t="s">
        <v>1102</v>
      </c>
      <c r="C16" s="12" t="s">
        <v>1101</v>
      </c>
      <c r="D16" s="12" t="s">
        <v>1112</v>
      </c>
      <c r="E16" s="12" t="s">
        <v>1104</v>
      </c>
      <c r="F16" s="12" t="s">
        <v>1105</v>
      </c>
      <c r="G16" s="12" t="s">
        <v>1116</v>
      </c>
      <c r="H16" s="12" t="s">
        <v>1114</v>
      </c>
      <c r="I16" s="12" t="s">
        <v>1115</v>
      </c>
      <c r="J16" s="12" t="s">
        <v>1133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30">G32</f>
        <v>80</v>
      </c>
      <c r="R16" s="13">
        <f t="shared" ref="R16:R23" si="31">H32</f>
        <v>40</v>
      </c>
      <c r="S16" s="13">
        <f t="shared" ref="S16:S23" si="32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1127</v>
      </c>
      <c r="AM16" s="13">
        <f t="shared" si="12"/>
        <v>5</v>
      </c>
      <c r="AN16" s="13" t="str">
        <f t="shared" si="13"/>
        <v>许褚专属武器魂珠-5</v>
      </c>
      <c r="AO16" s="13">
        <f t="shared" si="14"/>
        <v>110</v>
      </c>
      <c r="AP16" s="13">
        <f t="shared" si="15"/>
        <v>3</v>
      </c>
      <c r="AQ16" s="13">
        <f t="shared" si="16"/>
        <v>2</v>
      </c>
      <c r="AT16" s="13">
        <v>13</v>
      </c>
      <c r="AU16" s="13">
        <f t="shared" si="17"/>
        <v>1</v>
      </c>
      <c r="AV16" s="14">
        <f t="shared" si="18"/>
        <v>200102</v>
      </c>
      <c r="AW16" s="14">
        <f t="shared" si="19"/>
        <v>1102001</v>
      </c>
      <c r="AX16" s="13" t="s">
        <v>1127</v>
      </c>
      <c r="AY16" s="13">
        <f t="shared" si="20"/>
        <v>2</v>
      </c>
      <c r="AZ16" s="13" t="s">
        <v>1148</v>
      </c>
      <c r="BA16" s="14">
        <f t="shared" si="21"/>
        <v>2</v>
      </c>
      <c r="BB16" s="14" t="str">
        <f t="shared" si="22"/>
        <v>关羽魂珠-2 等级-2</v>
      </c>
      <c r="BC16" s="25" t="s">
        <v>1156</v>
      </c>
      <c r="BD16" s="14">
        <f t="shared" si="23"/>
        <v>120</v>
      </c>
      <c r="BE16" s="14">
        <f>SUMIFS(BD$4:BD16,$AU$4:$AU16,"="&amp;$AU16,$AY$4:$AY16,"="&amp;$AY16)</f>
        <v>195</v>
      </c>
      <c r="BF16" s="25" t="s">
        <v>1157</v>
      </c>
      <c r="BG16" s="14">
        <f t="shared" si="24"/>
        <v>48</v>
      </c>
      <c r="BH16" s="14">
        <f>SUMIFS(BG$4:BG16,AU$4:AU16,"="&amp;AU16,AY$4:AY16,"="&amp;AY16)</f>
        <v>78</v>
      </c>
      <c r="BI16" s="25" t="s">
        <v>1158</v>
      </c>
      <c r="BJ16" s="14">
        <f t="shared" si="25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3">ROUND(H$4*$C17,0)</f>
        <v>20</v>
      </c>
      <c r="F17" s="14">
        <f t="shared" si="33"/>
        <v>400</v>
      </c>
      <c r="G17" s="13">
        <v>40</v>
      </c>
      <c r="H17" s="13">
        <v>20</v>
      </c>
      <c r="I17" s="13">
        <v>800</v>
      </c>
      <c r="J17" s="13" t="s">
        <v>1134</v>
      </c>
      <c r="K17" s="16"/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30"/>
        <v>100</v>
      </c>
      <c r="R17" s="13">
        <f t="shared" si="31"/>
        <v>50</v>
      </c>
      <c r="S17" s="13">
        <f t="shared" si="32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1127</v>
      </c>
      <c r="AM17" s="13">
        <f t="shared" si="12"/>
        <v>6</v>
      </c>
      <c r="AN17" s="13" t="str">
        <f t="shared" si="13"/>
        <v>许褚专属武器魂珠-6</v>
      </c>
      <c r="AO17" s="13">
        <f t="shared" si="14"/>
        <v>125</v>
      </c>
      <c r="AP17" s="13">
        <f t="shared" si="15"/>
        <v>3</v>
      </c>
      <c r="AQ17" s="13">
        <f t="shared" si="16"/>
        <v>3</v>
      </c>
      <c r="AT17" s="13">
        <v>14</v>
      </c>
      <c r="AU17" s="13">
        <f t="shared" si="17"/>
        <v>1</v>
      </c>
      <c r="AV17" s="14">
        <f t="shared" si="18"/>
        <v>200102</v>
      </c>
      <c r="AW17" s="14">
        <f t="shared" si="19"/>
        <v>1102001</v>
      </c>
      <c r="AX17" s="13" t="s">
        <v>1127</v>
      </c>
      <c r="AY17" s="13">
        <f t="shared" si="20"/>
        <v>2</v>
      </c>
      <c r="AZ17" s="13" t="s">
        <v>1148</v>
      </c>
      <c r="BA17" s="14">
        <f t="shared" si="21"/>
        <v>3</v>
      </c>
      <c r="BB17" s="14" t="str">
        <f t="shared" si="22"/>
        <v>关羽魂珠-2 等级-3</v>
      </c>
      <c r="BC17" s="25" t="s">
        <v>1156</v>
      </c>
      <c r="BD17" s="14">
        <f t="shared" si="23"/>
        <v>150</v>
      </c>
      <c r="BE17" s="14">
        <f>SUMIFS(BD$4:BD17,$AU$4:$AU17,"="&amp;$AU17,$AY$4:$AY17,"="&amp;$AY17)</f>
        <v>345</v>
      </c>
      <c r="BF17" s="25" t="s">
        <v>1157</v>
      </c>
      <c r="BG17" s="14">
        <f t="shared" si="24"/>
        <v>60</v>
      </c>
      <c r="BH17" s="14">
        <f>SUMIFS(BG$4:BG17,AU$4:AU17,"="&amp;AU17,AY$4:AY17,"="&amp;AY17)</f>
        <v>138</v>
      </c>
      <c r="BI17" s="25" t="s">
        <v>1158</v>
      </c>
      <c r="BJ17" s="14">
        <f t="shared" si="25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60</v>
      </c>
      <c r="E18" s="14">
        <f t="shared" ref="E18:E25" si="36">ROUND(H$4*$C18,0)</f>
        <v>30</v>
      </c>
      <c r="F18" s="14">
        <f t="shared" ref="F18:F25" si="37">ROUND(I$4*$C18,0)</f>
        <v>600</v>
      </c>
      <c r="G18" s="13">
        <v>60</v>
      </c>
      <c r="H18" s="13">
        <v>30</v>
      </c>
      <c r="I18" s="13">
        <v>1200</v>
      </c>
      <c r="J18" s="13" t="s">
        <v>1135</v>
      </c>
      <c r="K18" s="16"/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30"/>
        <v>160</v>
      </c>
      <c r="R18" s="13">
        <f t="shared" si="31"/>
        <v>80</v>
      </c>
      <c r="S18" s="13">
        <f t="shared" si="32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1127</v>
      </c>
      <c r="AM18" s="13">
        <f t="shared" si="12"/>
        <v>7</v>
      </c>
      <c r="AN18" s="13" t="str">
        <f t="shared" si="13"/>
        <v>许褚专属武器魂珠-7</v>
      </c>
      <c r="AO18" s="13">
        <f t="shared" si="14"/>
        <v>135</v>
      </c>
      <c r="AP18" s="13">
        <f t="shared" si="15"/>
        <v>3</v>
      </c>
      <c r="AQ18" s="13">
        <f t="shared" si="16"/>
        <v>4</v>
      </c>
      <c r="AT18" s="13">
        <v>15</v>
      </c>
      <c r="AU18" s="13">
        <f t="shared" si="17"/>
        <v>1</v>
      </c>
      <c r="AV18" s="14">
        <f t="shared" si="18"/>
        <v>200102</v>
      </c>
      <c r="AW18" s="14">
        <f t="shared" si="19"/>
        <v>1102001</v>
      </c>
      <c r="AX18" s="13" t="s">
        <v>1127</v>
      </c>
      <c r="AY18" s="13">
        <f t="shared" si="20"/>
        <v>2</v>
      </c>
      <c r="AZ18" s="13" t="s">
        <v>1148</v>
      </c>
      <c r="BA18" s="14">
        <f t="shared" si="21"/>
        <v>4</v>
      </c>
      <c r="BB18" s="14" t="str">
        <f t="shared" si="22"/>
        <v>关羽魂珠-2 等级-4</v>
      </c>
      <c r="BC18" s="25" t="s">
        <v>1156</v>
      </c>
      <c r="BD18" s="14">
        <f t="shared" si="23"/>
        <v>240</v>
      </c>
      <c r="BE18" s="14">
        <f>SUMIFS(BD$4:BD18,$AU$4:$AU18,"="&amp;$AU18,$AY$4:$AY18,"="&amp;$AY18)</f>
        <v>585</v>
      </c>
      <c r="BF18" s="25" t="s">
        <v>1157</v>
      </c>
      <c r="BG18" s="14">
        <f t="shared" si="24"/>
        <v>96</v>
      </c>
      <c r="BH18" s="14">
        <f>SUMIFS(BG$4:BG18,AU$4:AU18,"="&amp;AU18,AY$4:AY18,"="&amp;AY18)</f>
        <v>234</v>
      </c>
      <c r="BI18" s="25" t="s">
        <v>1158</v>
      </c>
      <c r="BJ18" s="14">
        <f t="shared" si="25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80</v>
      </c>
      <c r="E19" s="14">
        <f t="shared" si="36"/>
        <v>40</v>
      </c>
      <c r="F19" s="14">
        <f t="shared" si="37"/>
        <v>800</v>
      </c>
      <c r="G19" s="13">
        <v>80</v>
      </c>
      <c r="H19" s="13">
        <v>40</v>
      </c>
      <c r="I19" s="13">
        <v>1600</v>
      </c>
      <c r="J19" s="13" t="s">
        <v>1136</v>
      </c>
      <c r="K19" s="16"/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30"/>
        <v>220</v>
      </c>
      <c r="R19" s="13">
        <f t="shared" si="31"/>
        <v>110</v>
      </c>
      <c r="S19" s="13">
        <f t="shared" si="32"/>
        <v>4400</v>
      </c>
      <c r="T19" s="16"/>
      <c r="U19" s="16"/>
      <c r="V19" s="13">
        <v>1102021</v>
      </c>
      <c r="W19" s="13">
        <f t="shared" si="8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1127</v>
      </c>
      <c r="AM19" s="13">
        <f t="shared" si="12"/>
        <v>8</v>
      </c>
      <c r="AN19" s="13" t="str">
        <f t="shared" si="13"/>
        <v>许褚专属武器魂珠-8</v>
      </c>
      <c r="AO19" s="13">
        <f t="shared" si="14"/>
        <v>150</v>
      </c>
      <c r="AP19" s="13">
        <f t="shared" si="15"/>
        <v>3</v>
      </c>
      <c r="AQ19" s="13">
        <f t="shared" si="16"/>
        <v>5</v>
      </c>
      <c r="AT19" s="13">
        <v>16</v>
      </c>
      <c r="AU19" s="13">
        <f t="shared" si="17"/>
        <v>1</v>
      </c>
      <c r="AV19" s="14">
        <f t="shared" si="18"/>
        <v>200102</v>
      </c>
      <c r="AW19" s="14">
        <f t="shared" si="19"/>
        <v>1102001</v>
      </c>
      <c r="AX19" s="13" t="s">
        <v>1127</v>
      </c>
      <c r="AY19" s="13">
        <f t="shared" si="20"/>
        <v>2</v>
      </c>
      <c r="AZ19" s="13" t="s">
        <v>1148</v>
      </c>
      <c r="BA19" s="14">
        <f t="shared" si="21"/>
        <v>5</v>
      </c>
      <c r="BB19" s="14" t="str">
        <f t="shared" si="22"/>
        <v>关羽魂珠-2 等级-5</v>
      </c>
      <c r="BC19" s="25" t="s">
        <v>1156</v>
      </c>
      <c r="BD19" s="14">
        <f t="shared" si="23"/>
        <v>330</v>
      </c>
      <c r="BE19" s="14">
        <f>SUMIFS(BD$4:BD19,$AU$4:$AU19,"="&amp;$AU19,$AY$4:$AY19,"="&amp;$AY19)</f>
        <v>915</v>
      </c>
      <c r="BF19" s="25" t="s">
        <v>1157</v>
      </c>
      <c r="BG19" s="14">
        <f t="shared" si="24"/>
        <v>132</v>
      </c>
      <c r="BH19" s="14">
        <f>SUMIFS(BG$4:BG19,AU$4:AU19,"="&amp;AU19,AY$4:AY19,"="&amp;AY19)</f>
        <v>366</v>
      </c>
      <c r="BI19" s="25" t="s">
        <v>1158</v>
      </c>
      <c r="BJ19" s="14">
        <f t="shared" si="25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120</v>
      </c>
      <c r="E20" s="14">
        <f t="shared" si="36"/>
        <v>60</v>
      </c>
      <c r="F20" s="14">
        <f t="shared" si="37"/>
        <v>1200</v>
      </c>
      <c r="G20" s="13">
        <v>120</v>
      </c>
      <c r="H20" s="13">
        <v>60</v>
      </c>
      <c r="I20" s="13">
        <v>2400</v>
      </c>
      <c r="J20" s="13" t="s">
        <v>1137</v>
      </c>
      <c r="K20" s="16"/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30"/>
        <v>280</v>
      </c>
      <c r="R20" s="13">
        <f t="shared" si="31"/>
        <v>140</v>
      </c>
      <c r="S20" s="13">
        <f t="shared" si="32"/>
        <v>5600</v>
      </c>
      <c r="T20" s="16"/>
      <c r="U20" s="16"/>
      <c r="V20" s="13">
        <v>1102024</v>
      </c>
      <c r="W20" s="13">
        <f t="shared" si="8"/>
        <v>1102024</v>
      </c>
      <c r="X20" s="13" t="s">
        <v>1011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1127</v>
      </c>
      <c r="AM20" s="13">
        <f t="shared" si="12"/>
        <v>1</v>
      </c>
      <c r="AN20" s="13" t="str">
        <f t="shared" si="13"/>
        <v>典韦专属武器魂珠-1</v>
      </c>
      <c r="AO20" s="13">
        <f t="shared" si="14"/>
        <v>40</v>
      </c>
      <c r="AP20" s="13">
        <f t="shared" si="15"/>
        <v>0</v>
      </c>
      <c r="AQ20" s="13">
        <f t="shared" si="16"/>
        <v>0</v>
      </c>
      <c r="AT20" s="13">
        <v>17</v>
      </c>
      <c r="AU20" s="13">
        <f t="shared" si="17"/>
        <v>1</v>
      </c>
      <c r="AV20" s="14">
        <f t="shared" si="18"/>
        <v>200102</v>
      </c>
      <c r="AW20" s="14">
        <f t="shared" si="19"/>
        <v>1102001</v>
      </c>
      <c r="AX20" s="13" t="s">
        <v>1127</v>
      </c>
      <c r="AY20" s="13">
        <f t="shared" si="20"/>
        <v>2</v>
      </c>
      <c r="AZ20" s="13" t="s">
        <v>1148</v>
      </c>
      <c r="BA20" s="14">
        <f t="shared" si="21"/>
        <v>6</v>
      </c>
      <c r="BB20" s="14" t="str">
        <f t="shared" si="22"/>
        <v>关羽魂珠-2 等级-6</v>
      </c>
      <c r="BC20" s="25" t="s">
        <v>1156</v>
      </c>
      <c r="BD20" s="14">
        <f t="shared" si="23"/>
        <v>420</v>
      </c>
      <c r="BE20" s="14">
        <f>SUMIFS(BD$4:BD20,$AU$4:$AU20,"="&amp;$AU20,$AY$4:$AY20,"="&amp;$AY20)</f>
        <v>1335</v>
      </c>
      <c r="BF20" s="25" t="s">
        <v>1157</v>
      </c>
      <c r="BG20" s="14">
        <f t="shared" si="24"/>
        <v>168</v>
      </c>
      <c r="BH20" s="14">
        <f>SUMIFS(BG$4:BG20,AU$4:AU20,"="&amp;AU20,AY$4:AY20,"="&amp;AY20)</f>
        <v>534</v>
      </c>
      <c r="BI20" s="25" t="s">
        <v>1158</v>
      </c>
      <c r="BJ20" s="14">
        <f t="shared" si="25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160</v>
      </c>
      <c r="E21" s="14">
        <f t="shared" si="36"/>
        <v>80</v>
      </c>
      <c r="F21" s="14">
        <f t="shared" si="37"/>
        <v>1600</v>
      </c>
      <c r="G21" s="13">
        <v>160</v>
      </c>
      <c r="H21" s="13">
        <v>80</v>
      </c>
      <c r="I21" s="13">
        <v>3200</v>
      </c>
      <c r="J21" s="13" t="s">
        <v>1138</v>
      </c>
      <c r="K21" s="16"/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30"/>
        <v>320</v>
      </c>
      <c r="R21" s="13">
        <f t="shared" si="31"/>
        <v>160</v>
      </c>
      <c r="S21" s="13">
        <f t="shared" si="32"/>
        <v>6400</v>
      </c>
      <c r="T21" s="16"/>
      <c r="U21" s="16"/>
      <c r="V21" s="13">
        <v>1102026</v>
      </c>
      <c r="W21" s="13">
        <f t="shared" si="8"/>
        <v>1102026</v>
      </c>
      <c r="X21" s="13" t="s">
        <v>1012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1127</v>
      </c>
      <c r="AM21" s="13">
        <f t="shared" si="12"/>
        <v>2</v>
      </c>
      <c r="AN21" s="13" t="str">
        <f t="shared" si="13"/>
        <v>典韦专属武器魂珠-2</v>
      </c>
      <c r="AO21" s="13">
        <f t="shared" si="14"/>
        <v>55</v>
      </c>
      <c r="AP21" s="13">
        <f t="shared" si="15"/>
        <v>3</v>
      </c>
      <c r="AQ21" s="13">
        <f t="shared" si="16"/>
        <v>0</v>
      </c>
      <c r="AT21" s="13">
        <v>18</v>
      </c>
      <c r="AU21" s="13">
        <f t="shared" si="17"/>
        <v>1</v>
      </c>
      <c r="AV21" s="14">
        <f t="shared" si="18"/>
        <v>200102</v>
      </c>
      <c r="AW21" s="14">
        <f t="shared" si="19"/>
        <v>1102001</v>
      </c>
      <c r="AX21" s="13" t="s">
        <v>1127</v>
      </c>
      <c r="AY21" s="13">
        <f t="shared" si="20"/>
        <v>2</v>
      </c>
      <c r="AZ21" s="13" t="s">
        <v>1148</v>
      </c>
      <c r="BA21" s="14">
        <f t="shared" si="21"/>
        <v>7</v>
      </c>
      <c r="BB21" s="14" t="str">
        <f t="shared" si="22"/>
        <v>关羽魂珠-2 等级-7</v>
      </c>
      <c r="BC21" s="25" t="s">
        <v>1156</v>
      </c>
      <c r="BD21" s="14">
        <f t="shared" si="23"/>
        <v>480</v>
      </c>
      <c r="BE21" s="14">
        <f>SUMIFS(BD$4:BD21,$AU$4:$AU21,"="&amp;$AU21,$AY$4:$AY21,"="&amp;$AY21)</f>
        <v>1815</v>
      </c>
      <c r="BF21" s="25" t="s">
        <v>1157</v>
      </c>
      <c r="BG21" s="14">
        <f t="shared" si="24"/>
        <v>192</v>
      </c>
      <c r="BH21" s="14">
        <f>SUMIFS(BG$4:BG21,AU$4:AU21,"="&amp;AU21,AY$4:AY21,"="&amp;AY21)</f>
        <v>726</v>
      </c>
      <c r="BI21" s="25" t="s">
        <v>1158</v>
      </c>
      <c r="BJ21" s="14">
        <f t="shared" si="25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200</v>
      </c>
      <c r="E22" s="14">
        <f t="shared" si="36"/>
        <v>100</v>
      </c>
      <c r="F22" s="14">
        <f t="shared" si="37"/>
        <v>2000</v>
      </c>
      <c r="G22" s="13">
        <v>200</v>
      </c>
      <c r="H22" s="13">
        <v>100</v>
      </c>
      <c r="I22" s="13">
        <v>4000</v>
      </c>
      <c r="J22" s="13" t="s">
        <v>1139</v>
      </c>
      <c r="K22" s="16"/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30"/>
        <v>380</v>
      </c>
      <c r="R22" s="13">
        <f t="shared" si="31"/>
        <v>190</v>
      </c>
      <c r="S22" s="13">
        <f t="shared" si="32"/>
        <v>7600</v>
      </c>
      <c r="T22" s="16"/>
      <c r="U22" s="16"/>
      <c r="V22" s="13">
        <v>1102028</v>
      </c>
      <c r="W22" s="13">
        <f t="shared" si="8"/>
        <v>1102028</v>
      </c>
      <c r="X22" s="13" t="s">
        <v>1015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1127</v>
      </c>
      <c r="AM22" s="13">
        <f t="shared" si="12"/>
        <v>3</v>
      </c>
      <c r="AN22" s="13" t="str">
        <f t="shared" si="13"/>
        <v>典韦专属武器魂珠-3</v>
      </c>
      <c r="AO22" s="13">
        <f t="shared" si="14"/>
        <v>75</v>
      </c>
      <c r="AP22" s="13">
        <f t="shared" si="15"/>
        <v>3</v>
      </c>
      <c r="AQ22" s="13">
        <f t="shared" si="16"/>
        <v>0</v>
      </c>
      <c r="AT22" s="13">
        <v>19</v>
      </c>
      <c r="AU22" s="13">
        <f t="shared" si="17"/>
        <v>1</v>
      </c>
      <c r="AV22" s="14">
        <f t="shared" si="18"/>
        <v>200102</v>
      </c>
      <c r="AW22" s="14">
        <f t="shared" si="19"/>
        <v>1102001</v>
      </c>
      <c r="AX22" s="13" t="s">
        <v>1127</v>
      </c>
      <c r="AY22" s="13">
        <f t="shared" si="20"/>
        <v>2</v>
      </c>
      <c r="AZ22" s="13" t="s">
        <v>1148</v>
      </c>
      <c r="BA22" s="14">
        <f t="shared" si="21"/>
        <v>8</v>
      </c>
      <c r="BB22" s="14" t="str">
        <f t="shared" si="22"/>
        <v>关羽魂珠-2 等级-8</v>
      </c>
      <c r="BC22" s="25" t="s">
        <v>1156</v>
      </c>
      <c r="BD22" s="14">
        <f t="shared" si="23"/>
        <v>570</v>
      </c>
      <c r="BE22" s="14">
        <f>SUMIFS(BD$4:BD22,$AU$4:$AU22,"="&amp;$AU22,$AY$4:$AY22,"="&amp;$AY22)</f>
        <v>2385</v>
      </c>
      <c r="BF22" s="25" t="s">
        <v>1157</v>
      </c>
      <c r="BG22" s="14">
        <f t="shared" si="24"/>
        <v>228</v>
      </c>
      <c r="BH22" s="14">
        <f>SUMIFS(BG$4:BG22,AU$4:AU22,"="&amp;AU22,AY$4:AY22,"="&amp;AY22)</f>
        <v>954</v>
      </c>
      <c r="BI22" s="25" t="s">
        <v>1158</v>
      </c>
      <c r="BJ22" s="14">
        <f t="shared" si="25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240</v>
      </c>
      <c r="E23" s="14">
        <f t="shared" si="36"/>
        <v>120</v>
      </c>
      <c r="F23" s="14">
        <f t="shared" si="37"/>
        <v>2400</v>
      </c>
      <c r="G23" s="13">
        <v>240</v>
      </c>
      <c r="H23" s="13">
        <v>120</v>
      </c>
      <c r="I23" s="13">
        <v>4800</v>
      </c>
      <c r="J23" s="13" t="s">
        <v>1140</v>
      </c>
      <c r="K23" s="16"/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30"/>
        <v>450</v>
      </c>
      <c r="R23" s="13">
        <f t="shared" si="31"/>
        <v>225</v>
      </c>
      <c r="S23" s="13">
        <f t="shared" si="32"/>
        <v>9000</v>
      </c>
      <c r="T23" s="16"/>
      <c r="U23" s="16"/>
      <c r="V23" s="13">
        <v>1102030</v>
      </c>
      <c r="W23" s="13">
        <f t="shared" si="8"/>
        <v>1102030</v>
      </c>
      <c r="X23" s="13" t="s">
        <v>1016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1127</v>
      </c>
      <c r="AM23" s="13">
        <f t="shared" si="12"/>
        <v>4</v>
      </c>
      <c r="AN23" s="13" t="str">
        <f t="shared" si="13"/>
        <v>典韦专属武器魂珠-4</v>
      </c>
      <c r="AO23" s="13">
        <f t="shared" si="14"/>
        <v>85</v>
      </c>
      <c r="AP23" s="13">
        <f t="shared" si="15"/>
        <v>3</v>
      </c>
      <c r="AQ23" s="13">
        <f t="shared" si="16"/>
        <v>1</v>
      </c>
      <c r="AT23" s="13">
        <v>20</v>
      </c>
      <c r="AU23" s="13">
        <f t="shared" si="17"/>
        <v>1</v>
      </c>
      <c r="AV23" s="14">
        <f t="shared" si="18"/>
        <v>200102</v>
      </c>
      <c r="AW23" s="14">
        <f t="shared" si="19"/>
        <v>1102001</v>
      </c>
      <c r="AX23" s="13" t="s">
        <v>1127</v>
      </c>
      <c r="AY23" s="13">
        <f t="shared" si="20"/>
        <v>2</v>
      </c>
      <c r="AZ23" s="13" t="s">
        <v>1148</v>
      </c>
      <c r="BA23" s="14">
        <f t="shared" si="21"/>
        <v>9</v>
      </c>
      <c r="BB23" s="14" t="str">
        <f t="shared" si="22"/>
        <v>关羽魂珠-2 等级-9</v>
      </c>
      <c r="BC23" s="25" t="s">
        <v>1156</v>
      </c>
      <c r="BD23" s="14">
        <f t="shared" si="23"/>
        <v>675</v>
      </c>
      <c r="BE23" s="14">
        <f>SUMIFS(BD$4:BD23,$AU$4:$AU23,"="&amp;$AU23,$AY$4:$AY23,"="&amp;$AY23)</f>
        <v>3060</v>
      </c>
      <c r="BF23" s="25" t="s">
        <v>1157</v>
      </c>
      <c r="BG23" s="14">
        <f t="shared" si="24"/>
        <v>270</v>
      </c>
      <c r="BH23" s="14">
        <f>SUMIFS(BG$4:BG23,AU$4:AU23,"="&amp;AU23,AY$4:AY23,"="&amp;AY23)</f>
        <v>1224</v>
      </c>
      <c r="BI23" s="25" t="s">
        <v>1158</v>
      </c>
      <c r="BJ23" s="14">
        <f t="shared" si="25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280</v>
      </c>
      <c r="E24" s="14">
        <f t="shared" si="36"/>
        <v>140</v>
      </c>
      <c r="F24" s="14">
        <f t="shared" si="37"/>
        <v>2800</v>
      </c>
      <c r="G24" s="13">
        <v>280</v>
      </c>
      <c r="H24" s="13">
        <v>140</v>
      </c>
      <c r="I24" s="13">
        <v>5600</v>
      </c>
      <c r="J24" s="13" t="s">
        <v>1142</v>
      </c>
      <c r="K24" s="16"/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1013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1127</v>
      </c>
      <c r="AM24" s="13">
        <f t="shared" si="12"/>
        <v>5</v>
      </c>
      <c r="AN24" s="13" t="str">
        <f t="shared" si="13"/>
        <v>典韦专属武器魂珠-5</v>
      </c>
      <c r="AO24" s="13">
        <f t="shared" si="14"/>
        <v>110</v>
      </c>
      <c r="AP24" s="13">
        <f t="shared" si="15"/>
        <v>3</v>
      </c>
      <c r="AQ24" s="13">
        <f t="shared" si="16"/>
        <v>2</v>
      </c>
      <c r="AT24" s="13">
        <v>21</v>
      </c>
      <c r="AU24" s="13">
        <f t="shared" si="17"/>
        <v>1</v>
      </c>
      <c r="AV24" s="14">
        <f t="shared" si="18"/>
        <v>200103</v>
      </c>
      <c r="AW24" s="14">
        <f t="shared" si="19"/>
        <v>1102001</v>
      </c>
      <c r="AX24" s="13" t="s">
        <v>1127</v>
      </c>
      <c r="AY24" s="13">
        <f t="shared" si="20"/>
        <v>3</v>
      </c>
      <c r="AZ24" s="13" t="s">
        <v>1148</v>
      </c>
      <c r="BA24" s="14">
        <f t="shared" si="21"/>
        <v>0</v>
      </c>
      <c r="BB24" s="14" t="str">
        <f t="shared" si="22"/>
        <v>关羽魂珠-3 等级-0</v>
      </c>
      <c r="BC24" s="25" t="s">
        <v>1156</v>
      </c>
      <c r="BD24" s="14">
        <f t="shared" si="23"/>
        <v>0</v>
      </c>
      <c r="BE24" s="14">
        <f>SUMIFS(BD$4:BD24,$AU$4:$AU24,"="&amp;$AU24,$AY$4:$AY24,"="&amp;$AY24)</f>
        <v>0</v>
      </c>
      <c r="BF24" s="25" t="s">
        <v>1157</v>
      </c>
      <c r="BG24" s="14">
        <f t="shared" si="24"/>
        <v>0</v>
      </c>
      <c r="BH24" s="14">
        <f>SUMIFS(BG$4:BG24,AU$4:AU24,"="&amp;AU24,AY$4:AY24,"="&amp;AY24)</f>
        <v>0</v>
      </c>
      <c r="BI24" s="25" t="s">
        <v>1158</v>
      </c>
      <c r="BJ24" s="14">
        <f t="shared" si="25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320</v>
      </c>
      <c r="E25" s="14">
        <f t="shared" si="36"/>
        <v>160</v>
      </c>
      <c r="F25" s="14">
        <f t="shared" si="37"/>
        <v>3200</v>
      </c>
      <c r="G25" s="13">
        <v>320</v>
      </c>
      <c r="H25" s="13">
        <v>160</v>
      </c>
      <c r="I25" s="13">
        <v>6400</v>
      </c>
      <c r="J25" s="13" t="s">
        <v>1141</v>
      </c>
      <c r="K25" s="16"/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8">H45</f>
        <v>40</v>
      </c>
      <c r="S25" s="13">
        <f t="shared" si="38"/>
        <v>1600</v>
      </c>
      <c r="T25" s="16"/>
      <c r="U25" s="16"/>
      <c r="V25" s="13">
        <v>1102999</v>
      </c>
      <c r="W25" s="13">
        <v>1102999</v>
      </c>
      <c r="X25" s="13" t="s">
        <v>1466</v>
      </c>
      <c r="Y25" s="13">
        <v>2</v>
      </c>
      <c r="Z25" s="13">
        <v>3</v>
      </c>
      <c r="AA25" s="13">
        <v>3</v>
      </c>
      <c r="AB25" s="13">
        <v>3</v>
      </c>
      <c r="AC25" s="14">
        <f>INDEX(属性偏向!$L$4:$L$15,Z25)</f>
        <v>0.8</v>
      </c>
      <c r="AD25" s="14">
        <f>INDEX(属性偏向!$L$4:$L$15,AA25)</f>
        <v>0.8</v>
      </c>
      <c r="AE25" s="14">
        <f>INDEX(属性偏向!$L$4:$L$15,AB25)</f>
        <v>0.8</v>
      </c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1127</v>
      </c>
      <c r="AM25" s="13">
        <f t="shared" si="12"/>
        <v>6</v>
      </c>
      <c r="AN25" s="13" t="str">
        <f t="shared" si="13"/>
        <v>典韦专属武器魂珠-6</v>
      </c>
      <c r="AO25" s="13">
        <f t="shared" si="14"/>
        <v>125</v>
      </c>
      <c r="AP25" s="13">
        <f t="shared" si="15"/>
        <v>3</v>
      </c>
      <c r="AQ25" s="13">
        <f t="shared" si="16"/>
        <v>3</v>
      </c>
      <c r="AT25" s="13">
        <v>22</v>
      </c>
      <c r="AU25" s="13">
        <f t="shared" si="17"/>
        <v>1</v>
      </c>
      <c r="AV25" s="14">
        <f t="shared" si="18"/>
        <v>200103</v>
      </c>
      <c r="AW25" s="14">
        <f t="shared" si="19"/>
        <v>1102001</v>
      </c>
      <c r="AX25" s="13" t="s">
        <v>1127</v>
      </c>
      <c r="AY25" s="13">
        <f t="shared" si="20"/>
        <v>3</v>
      </c>
      <c r="AZ25" s="13" t="s">
        <v>1148</v>
      </c>
      <c r="BA25" s="14">
        <f t="shared" si="21"/>
        <v>1</v>
      </c>
      <c r="BB25" s="14" t="str">
        <f t="shared" si="22"/>
        <v>关羽魂珠-3 等级-1</v>
      </c>
      <c r="BC25" s="25" t="s">
        <v>1156</v>
      </c>
      <c r="BD25" s="14">
        <f t="shared" si="23"/>
        <v>120</v>
      </c>
      <c r="BE25" s="14">
        <f>SUMIFS(BD$4:BD25,$AU$4:$AU25,"="&amp;$AU25,$AY$4:$AY25,"="&amp;$AY25)</f>
        <v>120</v>
      </c>
      <c r="BF25" s="25" t="s">
        <v>1157</v>
      </c>
      <c r="BG25" s="14">
        <f t="shared" si="24"/>
        <v>48</v>
      </c>
      <c r="BH25" s="14">
        <f>SUMIFS(BG$4:BG25,AU$4:AU25,"="&amp;AU25,AY$4:AY25,"="&amp;AY25)</f>
        <v>48</v>
      </c>
      <c r="BI25" s="25" t="s">
        <v>1158</v>
      </c>
      <c r="BJ25" s="14">
        <f t="shared" si="25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39">G46</f>
        <v>120</v>
      </c>
      <c r="R26" s="13">
        <f t="shared" ref="R26:R33" si="40">H46</f>
        <v>60</v>
      </c>
      <c r="S26" s="13">
        <f t="shared" ref="S26:S33" si="41">I46</f>
        <v>2400</v>
      </c>
      <c r="T26" s="16"/>
      <c r="U26" s="16"/>
      <c r="V26" s="13">
        <v>1102998</v>
      </c>
      <c r="W26" s="13">
        <v>1102998</v>
      </c>
      <c r="X26" s="13" t="s">
        <v>1467</v>
      </c>
      <c r="Y26" s="13">
        <v>3</v>
      </c>
      <c r="Z26" s="13">
        <v>5</v>
      </c>
      <c r="AA26" s="13">
        <v>5</v>
      </c>
      <c r="AB26" s="13">
        <v>5</v>
      </c>
      <c r="AC26" s="14">
        <f>INDEX(属性偏向!$L$4:$L$15,Z26)</f>
        <v>1</v>
      </c>
      <c r="AD26" s="14">
        <f>INDEX(属性偏向!$L$4:$L$15,AA26)</f>
        <v>1</v>
      </c>
      <c r="AE26" s="14">
        <f>INDEX(属性偏向!$L$4:$L$15,AB26)</f>
        <v>1</v>
      </c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1127</v>
      </c>
      <c r="AM26" s="13">
        <f t="shared" si="12"/>
        <v>7</v>
      </c>
      <c r="AN26" s="13" t="str">
        <f t="shared" si="13"/>
        <v>典韦专属武器魂珠-7</v>
      </c>
      <c r="AO26" s="13">
        <f t="shared" si="14"/>
        <v>135</v>
      </c>
      <c r="AP26" s="13">
        <f t="shared" si="15"/>
        <v>3</v>
      </c>
      <c r="AQ26" s="13">
        <f t="shared" si="16"/>
        <v>4</v>
      </c>
      <c r="AT26" s="13">
        <v>23</v>
      </c>
      <c r="AU26" s="13">
        <f t="shared" si="17"/>
        <v>1</v>
      </c>
      <c r="AV26" s="14">
        <f t="shared" si="18"/>
        <v>200103</v>
      </c>
      <c r="AW26" s="14">
        <f t="shared" si="19"/>
        <v>1102001</v>
      </c>
      <c r="AX26" s="13" t="s">
        <v>1127</v>
      </c>
      <c r="AY26" s="13">
        <f t="shared" si="20"/>
        <v>3</v>
      </c>
      <c r="AZ26" s="13" t="s">
        <v>1148</v>
      </c>
      <c r="BA26" s="14">
        <f t="shared" si="21"/>
        <v>2</v>
      </c>
      <c r="BB26" s="14" t="str">
        <f t="shared" si="22"/>
        <v>关羽魂珠-3 等级-2</v>
      </c>
      <c r="BC26" s="25" t="s">
        <v>1156</v>
      </c>
      <c r="BD26" s="14">
        <f t="shared" si="23"/>
        <v>180</v>
      </c>
      <c r="BE26" s="14">
        <f>SUMIFS(BD$4:BD26,$AU$4:$AU26,"="&amp;$AU26,$AY$4:$AY26,"="&amp;$AY26)</f>
        <v>300</v>
      </c>
      <c r="BF26" s="25" t="s">
        <v>1157</v>
      </c>
      <c r="BG26" s="14">
        <f t="shared" si="24"/>
        <v>72</v>
      </c>
      <c r="BH26" s="14">
        <f>SUMIFS(BG$4:BG26,AU$4:AU26,"="&amp;AU26,AY$4:AY26,"="&amp;AY26)</f>
        <v>120</v>
      </c>
      <c r="BI26" s="25" t="s">
        <v>1158</v>
      </c>
      <c r="BJ26" s="14">
        <f t="shared" si="25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39"/>
        <v>160</v>
      </c>
      <c r="R27" s="13">
        <f t="shared" si="40"/>
        <v>80</v>
      </c>
      <c r="S27" s="13">
        <f t="shared" si="41"/>
        <v>3200</v>
      </c>
      <c r="T27" s="16"/>
      <c r="U27" s="16"/>
      <c r="V27" s="13">
        <v>1102997</v>
      </c>
      <c r="W27" s="13">
        <v>1102997</v>
      </c>
      <c r="X27" s="13" t="s">
        <v>1468</v>
      </c>
      <c r="Y27" s="13">
        <v>4</v>
      </c>
      <c r="Z27" s="13">
        <v>7</v>
      </c>
      <c r="AA27" s="13">
        <v>6</v>
      </c>
      <c r="AB27" s="13">
        <v>6</v>
      </c>
      <c r="AC27" s="14">
        <f>INDEX(属性偏向!$L$4:$L$15,Z27)</f>
        <v>1.2</v>
      </c>
      <c r="AD27" s="14">
        <f>INDEX(属性偏向!$L$4:$L$15,AA27)</f>
        <v>1.1000000000000001</v>
      </c>
      <c r="AE27" s="14">
        <f>INDEX(属性偏向!$L$4:$L$15,AB27)</f>
        <v>1.1000000000000001</v>
      </c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1127</v>
      </c>
      <c r="AM27" s="13">
        <f t="shared" si="12"/>
        <v>8</v>
      </c>
      <c r="AN27" s="13" t="str">
        <f t="shared" si="13"/>
        <v>典韦专属武器魂珠-8</v>
      </c>
      <c r="AO27" s="13">
        <f t="shared" si="14"/>
        <v>150</v>
      </c>
      <c r="AP27" s="13">
        <f t="shared" si="15"/>
        <v>3</v>
      </c>
      <c r="AQ27" s="13">
        <f t="shared" si="16"/>
        <v>5</v>
      </c>
      <c r="AT27" s="13">
        <v>24</v>
      </c>
      <c r="AU27" s="13">
        <f t="shared" si="17"/>
        <v>1</v>
      </c>
      <c r="AV27" s="14">
        <f t="shared" si="18"/>
        <v>200103</v>
      </c>
      <c r="AW27" s="14">
        <f t="shared" si="19"/>
        <v>1102001</v>
      </c>
      <c r="AX27" s="13" t="s">
        <v>1127</v>
      </c>
      <c r="AY27" s="13">
        <f t="shared" si="20"/>
        <v>3</v>
      </c>
      <c r="AZ27" s="13" t="s">
        <v>1148</v>
      </c>
      <c r="BA27" s="14">
        <f t="shared" si="21"/>
        <v>3</v>
      </c>
      <c r="BB27" s="14" t="str">
        <f t="shared" si="22"/>
        <v>关羽魂珠-3 等级-3</v>
      </c>
      <c r="BC27" s="25" t="s">
        <v>1156</v>
      </c>
      <c r="BD27" s="14">
        <f t="shared" si="23"/>
        <v>240</v>
      </c>
      <c r="BE27" s="14">
        <f>SUMIFS(BD$4:BD27,$AU$4:$AU27,"="&amp;$AU27,$AY$4:$AY27,"="&amp;$AY27)</f>
        <v>540</v>
      </c>
      <c r="BF27" s="25" t="s">
        <v>1157</v>
      </c>
      <c r="BG27" s="14">
        <f t="shared" si="24"/>
        <v>96</v>
      </c>
      <c r="BH27" s="14">
        <f>SUMIFS(BG$4:BG27,AU$4:AU27,"="&amp;AU27,AY$4:AY27,"="&amp;AY27)</f>
        <v>216</v>
      </c>
      <c r="BI27" s="25" t="s">
        <v>1158</v>
      </c>
      <c r="BJ27" s="14">
        <f t="shared" si="25"/>
        <v>3840</v>
      </c>
      <c r="BK27" s="14">
        <f>SUMIFS(BJ$4:BJ27,$AU$4:$AU27,"="&amp;$AU27,$AY$4:$AY27,"="&amp;$AY27)</f>
        <v>8640</v>
      </c>
    </row>
    <row r="28" spans="1:63" ht="20.25" x14ac:dyDescent="0.2">
      <c r="A28" s="71" t="s">
        <v>1106</v>
      </c>
      <c r="B28" s="71"/>
      <c r="C28" s="71"/>
      <c r="D28" s="71"/>
      <c r="E28" s="71"/>
      <c r="F28" s="71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39"/>
        <v>240</v>
      </c>
      <c r="R28" s="13">
        <f t="shared" si="40"/>
        <v>120</v>
      </c>
      <c r="S28" s="13">
        <f t="shared" si="41"/>
        <v>4800</v>
      </c>
      <c r="T28" s="16"/>
      <c r="U28" s="16"/>
      <c r="V28" s="13">
        <v>1102996</v>
      </c>
      <c r="W28" s="13">
        <v>1102996</v>
      </c>
      <c r="X28" s="13" t="s">
        <v>1469</v>
      </c>
      <c r="Y28" s="13">
        <v>5</v>
      </c>
      <c r="Z28" s="13">
        <v>9</v>
      </c>
      <c r="AA28" s="13">
        <v>7</v>
      </c>
      <c r="AB28" s="13">
        <v>7</v>
      </c>
      <c r="AC28" s="14">
        <f>INDEX(属性偏向!$L$4:$L$15,Z28)</f>
        <v>1.5</v>
      </c>
      <c r="AD28" s="14">
        <f>INDEX(属性偏向!$L$4:$L$15,AA28)</f>
        <v>1.2</v>
      </c>
      <c r="AE28" s="14">
        <f>INDEX(属性偏向!$L$4:$L$15,AB28)</f>
        <v>1.2</v>
      </c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1127</v>
      </c>
      <c r="AM28" s="13">
        <f t="shared" si="12"/>
        <v>1</v>
      </c>
      <c r="AN28" s="13" t="str">
        <f t="shared" si="13"/>
        <v>李轩辕专属武器魂珠-1</v>
      </c>
      <c r="AO28" s="13">
        <f t="shared" si="14"/>
        <v>40</v>
      </c>
      <c r="AP28" s="13">
        <f t="shared" si="15"/>
        <v>0</v>
      </c>
      <c r="AQ28" s="13">
        <f t="shared" si="16"/>
        <v>0</v>
      </c>
      <c r="AT28" s="13">
        <v>25</v>
      </c>
      <c r="AU28" s="13">
        <f t="shared" si="17"/>
        <v>1</v>
      </c>
      <c r="AV28" s="14">
        <f t="shared" si="18"/>
        <v>200103</v>
      </c>
      <c r="AW28" s="14">
        <f t="shared" si="19"/>
        <v>1102001</v>
      </c>
      <c r="AX28" s="13" t="s">
        <v>1127</v>
      </c>
      <c r="AY28" s="13">
        <f t="shared" si="20"/>
        <v>3</v>
      </c>
      <c r="AZ28" s="13" t="s">
        <v>1148</v>
      </c>
      <c r="BA28" s="14">
        <f t="shared" si="21"/>
        <v>4</v>
      </c>
      <c r="BB28" s="14" t="str">
        <f t="shared" si="22"/>
        <v>关羽魂珠-3 等级-4</v>
      </c>
      <c r="BC28" s="25" t="s">
        <v>1156</v>
      </c>
      <c r="BD28" s="14">
        <f t="shared" si="23"/>
        <v>360</v>
      </c>
      <c r="BE28" s="14">
        <f>SUMIFS(BD$4:BD28,$AU$4:$AU28,"="&amp;$AU28,$AY$4:$AY28,"="&amp;$AY28)</f>
        <v>900</v>
      </c>
      <c r="BF28" s="25" t="s">
        <v>1157</v>
      </c>
      <c r="BG28" s="14">
        <f t="shared" si="24"/>
        <v>144</v>
      </c>
      <c r="BH28" s="14">
        <f>SUMIFS(BG$4:BG28,AU$4:AU28,"="&amp;AU28,AY$4:AY28,"="&amp;AY28)</f>
        <v>360</v>
      </c>
      <c r="BI28" s="25" t="s">
        <v>1158</v>
      </c>
      <c r="BJ28" s="14">
        <f t="shared" si="25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39"/>
        <v>320</v>
      </c>
      <c r="R29" s="13">
        <f t="shared" si="40"/>
        <v>160</v>
      </c>
      <c r="S29" s="13">
        <f t="shared" si="41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1127</v>
      </c>
      <c r="AM29" s="13">
        <f t="shared" si="12"/>
        <v>2</v>
      </c>
      <c r="AN29" s="13" t="str">
        <f t="shared" si="13"/>
        <v>李轩辕专属武器魂珠-2</v>
      </c>
      <c r="AO29" s="13">
        <f t="shared" si="14"/>
        <v>55</v>
      </c>
      <c r="AP29" s="13">
        <f t="shared" si="15"/>
        <v>3</v>
      </c>
      <c r="AQ29" s="13">
        <f t="shared" si="16"/>
        <v>0</v>
      </c>
      <c r="AT29" s="13">
        <v>26</v>
      </c>
      <c r="AU29" s="13">
        <f t="shared" si="17"/>
        <v>1</v>
      </c>
      <c r="AV29" s="14">
        <f t="shared" si="18"/>
        <v>200103</v>
      </c>
      <c r="AW29" s="14">
        <f t="shared" si="19"/>
        <v>1102001</v>
      </c>
      <c r="AX29" s="13" t="s">
        <v>1127</v>
      </c>
      <c r="AY29" s="13">
        <f t="shared" si="20"/>
        <v>3</v>
      </c>
      <c r="AZ29" s="13" t="s">
        <v>1148</v>
      </c>
      <c r="BA29" s="14">
        <f t="shared" si="21"/>
        <v>5</v>
      </c>
      <c r="BB29" s="14" t="str">
        <f t="shared" si="22"/>
        <v>关羽魂珠-3 等级-5</v>
      </c>
      <c r="BC29" s="25" t="s">
        <v>1156</v>
      </c>
      <c r="BD29" s="14">
        <f t="shared" si="23"/>
        <v>480</v>
      </c>
      <c r="BE29" s="14">
        <f>SUMIFS(BD$4:BD29,$AU$4:$AU29,"="&amp;$AU29,$AY$4:$AY29,"="&amp;$AY29)</f>
        <v>1380</v>
      </c>
      <c r="BF29" s="25" t="s">
        <v>1157</v>
      </c>
      <c r="BG29" s="14">
        <f t="shared" si="24"/>
        <v>192</v>
      </c>
      <c r="BH29" s="14">
        <f>SUMIFS(BG$4:BG29,AU$4:AU29,"="&amp;AU29,AY$4:AY29,"="&amp;AY29)</f>
        <v>552</v>
      </c>
      <c r="BI29" s="25" t="s">
        <v>1158</v>
      </c>
      <c r="BJ29" s="14">
        <f t="shared" si="25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1100</v>
      </c>
      <c r="B30" s="12" t="s">
        <v>1102</v>
      </c>
      <c r="C30" s="12" t="s">
        <v>1101</v>
      </c>
      <c r="D30" s="12" t="s">
        <v>1103</v>
      </c>
      <c r="E30" s="12" t="s">
        <v>1104</v>
      </c>
      <c r="F30" s="12" t="s">
        <v>1105</v>
      </c>
      <c r="G30" s="12" t="s">
        <v>1113</v>
      </c>
      <c r="H30" s="12" t="s">
        <v>1114</v>
      </c>
      <c r="I30" s="12" t="s">
        <v>1117</v>
      </c>
      <c r="J30" s="12" t="s">
        <v>1133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39"/>
        <v>400</v>
      </c>
      <c r="R30" s="13">
        <f t="shared" si="40"/>
        <v>200</v>
      </c>
      <c r="S30" s="13">
        <f t="shared" si="41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1127</v>
      </c>
      <c r="AM30" s="13">
        <f t="shared" si="12"/>
        <v>3</v>
      </c>
      <c r="AN30" s="13" t="str">
        <f t="shared" si="13"/>
        <v>李轩辕专属武器魂珠-3</v>
      </c>
      <c r="AO30" s="13">
        <f t="shared" si="14"/>
        <v>75</v>
      </c>
      <c r="AP30" s="13">
        <f t="shared" si="15"/>
        <v>3</v>
      </c>
      <c r="AQ30" s="13">
        <f t="shared" si="16"/>
        <v>0</v>
      </c>
      <c r="AT30" s="13">
        <v>27</v>
      </c>
      <c r="AU30" s="13">
        <f t="shared" si="17"/>
        <v>1</v>
      </c>
      <c r="AV30" s="14">
        <f t="shared" si="18"/>
        <v>200103</v>
      </c>
      <c r="AW30" s="14">
        <f t="shared" si="19"/>
        <v>1102001</v>
      </c>
      <c r="AX30" s="13" t="s">
        <v>1127</v>
      </c>
      <c r="AY30" s="13">
        <f t="shared" si="20"/>
        <v>3</v>
      </c>
      <c r="AZ30" s="13" t="s">
        <v>1148</v>
      </c>
      <c r="BA30" s="14">
        <f t="shared" si="21"/>
        <v>6</v>
      </c>
      <c r="BB30" s="14" t="str">
        <f t="shared" si="22"/>
        <v>关羽魂珠-3 等级-6</v>
      </c>
      <c r="BC30" s="25" t="s">
        <v>1156</v>
      </c>
      <c r="BD30" s="14">
        <f t="shared" si="23"/>
        <v>600</v>
      </c>
      <c r="BE30" s="14">
        <f>SUMIFS(BD$4:BD30,$AU$4:$AU30,"="&amp;$AU30,$AY$4:$AY30,"="&amp;$AY30)</f>
        <v>1980</v>
      </c>
      <c r="BF30" s="25" t="s">
        <v>1157</v>
      </c>
      <c r="BG30" s="14">
        <f t="shared" si="24"/>
        <v>240</v>
      </c>
      <c r="BH30" s="14">
        <f>SUMIFS(BG$4:BG30,AU$4:AU30,"="&amp;AU30,AY$4:AY30,"="&amp;AY30)</f>
        <v>792</v>
      </c>
      <c r="BI30" s="25" t="s">
        <v>1158</v>
      </c>
      <c r="BJ30" s="14">
        <f t="shared" si="25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42">ROUND(H$5*$C31,0)</f>
        <v>27</v>
      </c>
      <c r="F31" s="14">
        <f t="shared" si="42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1134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39"/>
        <v>480</v>
      </c>
      <c r="R31" s="13">
        <f t="shared" si="40"/>
        <v>240</v>
      </c>
      <c r="S31" s="13">
        <f t="shared" si="41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1127</v>
      </c>
      <c r="AM31" s="13">
        <f t="shared" si="12"/>
        <v>4</v>
      </c>
      <c r="AN31" s="13" t="str">
        <f t="shared" si="13"/>
        <v>李轩辕专属武器魂珠-4</v>
      </c>
      <c r="AO31" s="13">
        <f t="shared" si="14"/>
        <v>85</v>
      </c>
      <c r="AP31" s="13">
        <f t="shared" si="15"/>
        <v>3</v>
      </c>
      <c r="AQ31" s="13">
        <f t="shared" si="16"/>
        <v>1</v>
      </c>
      <c r="AT31" s="13">
        <v>28</v>
      </c>
      <c r="AU31" s="13">
        <f t="shared" si="17"/>
        <v>1</v>
      </c>
      <c r="AV31" s="14">
        <f t="shared" si="18"/>
        <v>200103</v>
      </c>
      <c r="AW31" s="14">
        <f t="shared" si="19"/>
        <v>1102001</v>
      </c>
      <c r="AX31" s="13" t="s">
        <v>1127</v>
      </c>
      <c r="AY31" s="13">
        <f t="shared" si="20"/>
        <v>3</v>
      </c>
      <c r="AZ31" s="13" t="s">
        <v>1148</v>
      </c>
      <c r="BA31" s="14">
        <f t="shared" si="21"/>
        <v>7</v>
      </c>
      <c r="BB31" s="14" t="str">
        <f t="shared" si="22"/>
        <v>关羽魂珠-3 等级-7</v>
      </c>
      <c r="BC31" s="25" t="s">
        <v>1156</v>
      </c>
      <c r="BD31" s="14">
        <f t="shared" si="23"/>
        <v>720</v>
      </c>
      <c r="BE31" s="14">
        <f>SUMIFS(BD$4:BD31,$AU$4:$AU31,"="&amp;$AU31,$AY$4:$AY31,"="&amp;$AY31)</f>
        <v>2700</v>
      </c>
      <c r="BF31" s="25" t="s">
        <v>1157</v>
      </c>
      <c r="BG31" s="14">
        <f t="shared" si="24"/>
        <v>288</v>
      </c>
      <c r="BH31" s="14">
        <f>SUMIFS(BG$4:BG31,AU$4:AU31,"="&amp;AU31,AY$4:AY31,"="&amp;AY31)</f>
        <v>1080</v>
      </c>
      <c r="BI31" s="25" t="s">
        <v>1158</v>
      </c>
      <c r="BJ31" s="14">
        <f t="shared" si="25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3">B32/$B$15</f>
        <v>0.04</v>
      </c>
      <c r="D32" s="14">
        <f t="shared" ref="D32:D39" si="44">ROUND(G$5*$C32,0)</f>
        <v>80</v>
      </c>
      <c r="E32" s="14">
        <f t="shared" ref="E32:E39" si="45">ROUND(H$5*$C32,0)</f>
        <v>40</v>
      </c>
      <c r="F32" s="14">
        <f t="shared" ref="F32:F39" si="46">ROUND(I$5*$C32,0)</f>
        <v>800</v>
      </c>
      <c r="G32" s="13">
        <v>80</v>
      </c>
      <c r="H32" s="13">
        <f t="shared" ref="H32:H39" si="47">G32/2</f>
        <v>40</v>
      </c>
      <c r="I32" s="13">
        <f t="shared" ref="I32:I39" si="48">G32*20</f>
        <v>1600</v>
      </c>
      <c r="J32" s="13" t="s">
        <v>1135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39"/>
        <v>560</v>
      </c>
      <c r="R32" s="13">
        <f t="shared" si="40"/>
        <v>280</v>
      </c>
      <c r="S32" s="13">
        <f t="shared" si="41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1127</v>
      </c>
      <c r="AM32" s="13">
        <f t="shared" si="12"/>
        <v>5</v>
      </c>
      <c r="AN32" s="13" t="str">
        <f t="shared" si="13"/>
        <v>李轩辕专属武器魂珠-5</v>
      </c>
      <c r="AO32" s="13">
        <f t="shared" si="14"/>
        <v>110</v>
      </c>
      <c r="AP32" s="13">
        <f t="shared" si="15"/>
        <v>3</v>
      </c>
      <c r="AQ32" s="13">
        <f t="shared" si="16"/>
        <v>2</v>
      </c>
      <c r="AT32" s="13">
        <v>29</v>
      </c>
      <c r="AU32" s="13">
        <f t="shared" si="17"/>
        <v>1</v>
      </c>
      <c r="AV32" s="14">
        <f t="shared" si="18"/>
        <v>200103</v>
      </c>
      <c r="AW32" s="14">
        <f t="shared" si="19"/>
        <v>1102001</v>
      </c>
      <c r="AX32" s="13" t="s">
        <v>1127</v>
      </c>
      <c r="AY32" s="13">
        <f t="shared" si="20"/>
        <v>3</v>
      </c>
      <c r="AZ32" s="13" t="s">
        <v>1148</v>
      </c>
      <c r="BA32" s="14">
        <f t="shared" si="21"/>
        <v>8</v>
      </c>
      <c r="BB32" s="14" t="str">
        <f t="shared" si="22"/>
        <v>关羽魂珠-3 等级-8</v>
      </c>
      <c r="BC32" s="25" t="s">
        <v>1156</v>
      </c>
      <c r="BD32" s="14">
        <f t="shared" si="23"/>
        <v>840</v>
      </c>
      <c r="BE32" s="14">
        <f>SUMIFS(BD$4:BD32,$AU$4:$AU32,"="&amp;$AU32,$AY$4:$AY32,"="&amp;$AY32)</f>
        <v>3540</v>
      </c>
      <c r="BF32" s="25" t="s">
        <v>1157</v>
      </c>
      <c r="BG32" s="14">
        <f t="shared" si="24"/>
        <v>336</v>
      </c>
      <c r="BH32" s="14">
        <f>SUMIFS(BG$4:BG32,AU$4:AU32,"="&amp;AU32,AY$4:AY32,"="&amp;AY32)</f>
        <v>1416</v>
      </c>
      <c r="BI32" s="25" t="s">
        <v>1158</v>
      </c>
      <c r="BJ32" s="14">
        <f t="shared" si="25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3"/>
        <v>5.3333333333333337E-2</v>
      </c>
      <c r="D33" s="14">
        <f t="shared" si="44"/>
        <v>107</v>
      </c>
      <c r="E33" s="14">
        <f t="shared" si="45"/>
        <v>53</v>
      </c>
      <c r="F33" s="14">
        <f t="shared" si="46"/>
        <v>1067</v>
      </c>
      <c r="G33" s="13">
        <v>100</v>
      </c>
      <c r="H33" s="13">
        <f t="shared" si="47"/>
        <v>50</v>
      </c>
      <c r="I33" s="13">
        <f t="shared" si="48"/>
        <v>2000</v>
      </c>
      <c r="J33" s="13" t="s">
        <v>1136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39"/>
        <v>640</v>
      </c>
      <c r="R33" s="13">
        <f t="shared" si="40"/>
        <v>320</v>
      </c>
      <c r="S33" s="13">
        <f t="shared" si="41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1127</v>
      </c>
      <c r="AM33" s="13">
        <f t="shared" si="12"/>
        <v>6</v>
      </c>
      <c r="AN33" s="13" t="str">
        <f t="shared" si="13"/>
        <v>李轩辕专属武器魂珠-6</v>
      </c>
      <c r="AO33" s="13">
        <f t="shared" si="14"/>
        <v>125</v>
      </c>
      <c r="AP33" s="13">
        <f t="shared" si="15"/>
        <v>3</v>
      </c>
      <c r="AQ33" s="13">
        <f t="shared" si="16"/>
        <v>3</v>
      </c>
      <c r="AT33" s="13">
        <v>30</v>
      </c>
      <c r="AU33" s="13">
        <f t="shared" si="17"/>
        <v>1</v>
      </c>
      <c r="AV33" s="14">
        <f t="shared" si="18"/>
        <v>200103</v>
      </c>
      <c r="AW33" s="14">
        <f t="shared" si="19"/>
        <v>1102001</v>
      </c>
      <c r="AX33" s="13" t="s">
        <v>1127</v>
      </c>
      <c r="AY33" s="13">
        <f t="shared" si="20"/>
        <v>3</v>
      </c>
      <c r="AZ33" s="13" t="s">
        <v>1148</v>
      </c>
      <c r="BA33" s="14">
        <f t="shared" si="21"/>
        <v>9</v>
      </c>
      <c r="BB33" s="14" t="str">
        <f t="shared" si="22"/>
        <v>关羽魂珠-3 等级-9</v>
      </c>
      <c r="BC33" s="25" t="s">
        <v>1156</v>
      </c>
      <c r="BD33" s="14">
        <f t="shared" si="23"/>
        <v>960</v>
      </c>
      <c r="BE33" s="14">
        <f>SUMIFS(BD$4:BD33,$AU$4:$AU33,"="&amp;$AU33,$AY$4:$AY33,"="&amp;$AY33)</f>
        <v>4500</v>
      </c>
      <c r="BF33" s="25" t="s">
        <v>1157</v>
      </c>
      <c r="BG33" s="14">
        <f t="shared" si="24"/>
        <v>384</v>
      </c>
      <c r="BH33" s="14">
        <f>SUMIFS(BG$4:BG33,AU$4:AU33,"="&amp;AU33,AY$4:AY33,"="&amp;AY33)</f>
        <v>1800</v>
      </c>
      <c r="BI33" s="25" t="s">
        <v>1158</v>
      </c>
      <c r="BJ33" s="14">
        <f t="shared" si="25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3"/>
        <v>0.08</v>
      </c>
      <c r="D34" s="14">
        <f t="shared" si="44"/>
        <v>160</v>
      </c>
      <c r="E34" s="14">
        <f t="shared" si="45"/>
        <v>80</v>
      </c>
      <c r="F34" s="14">
        <f t="shared" si="46"/>
        <v>1600</v>
      </c>
      <c r="G34" s="13">
        <v>160</v>
      </c>
      <c r="H34" s="13">
        <f t="shared" si="47"/>
        <v>80</v>
      </c>
      <c r="I34" s="13">
        <f t="shared" si="48"/>
        <v>3200</v>
      </c>
      <c r="J34" s="13" t="s">
        <v>1137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1127</v>
      </c>
      <c r="AM34" s="13">
        <f t="shared" si="12"/>
        <v>7</v>
      </c>
      <c r="AN34" s="13" t="str">
        <f t="shared" si="13"/>
        <v>李轩辕专属武器魂珠-7</v>
      </c>
      <c r="AO34" s="13">
        <f t="shared" si="14"/>
        <v>135</v>
      </c>
      <c r="AP34" s="13">
        <f t="shared" si="15"/>
        <v>3</v>
      </c>
      <c r="AQ34" s="13">
        <f t="shared" si="16"/>
        <v>4</v>
      </c>
      <c r="AT34" s="13">
        <v>31</v>
      </c>
      <c r="AU34" s="13">
        <f t="shared" si="17"/>
        <v>1</v>
      </c>
      <c r="AV34" s="14">
        <f t="shared" si="18"/>
        <v>200104</v>
      </c>
      <c r="AW34" s="14">
        <f t="shared" si="19"/>
        <v>1102001</v>
      </c>
      <c r="AX34" s="13" t="s">
        <v>1127</v>
      </c>
      <c r="AY34" s="13">
        <f t="shared" si="20"/>
        <v>4</v>
      </c>
      <c r="AZ34" s="13" t="s">
        <v>1148</v>
      </c>
      <c r="BA34" s="14">
        <f t="shared" si="21"/>
        <v>0</v>
      </c>
      <c r="BB34" s="14" t="str">
        <f t="shared" si="22"/>
        <v>关羽魂珠-4 等级-0</v>
      </c>
      <c r="BC34" s="25" t="s">
        <v>1156</v>
      </c>
      <c r="BD34" s="14">
        <f t="shared" si="23"/>
        <v>0</v>
      </c>
      <c r="BE34" s="14">
        <f>SUMIFS(BD$4:BD34,$AU$4:$AU34,"="&amp;$AU34,$AY$4:$AY34,"="&amp;$AY34)</f>
        <v>0</v>
      </c>
      <c r="BF34" s="25" t="s">
        <v>1157</v>
      </c>
      <c r="BG34" s="14">
        <f t="shared" si="24"/>
        <v>0</v>
      </c>
      <c r="BH34" s="14">
        <f>SUMIFS(BG$4:BG34,AU$4:AU34,"="&amp;AU34,AY$4:AY34,"="&amp;AY34)</f>
        <v>0</v>
      </c>
      <c r="BI34" s="25" t="s">
        <v>1158</v>
      </c>
      <c r="BJ34" s="14">
        <f t="shared" si="25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3"/>
        <v>0.10666666666666667</v>
      </c>
      <c r="D35" s="14">
        <f t="shared" si="44"/>
        <v>213</v>
      </c>
      <c r="E35" s="14">
        <f t="shared" si="45"/>
        <v>107</v>
      </c>
      <c r="F35" s="14">
        <f t="shared" si="46"/>
        <v>2133</v>
      </c>
      <c r="G35" s="13">
        <v>220</v>
      </c>
      <c r="H35" s="13">
        <f t="shared" si="47"/>
        <v>110</v>
      </c>
      <c r="I35" s="13">
        <f t="shared" si="48"/>
        <v>4400</v>
      </c>
      <c r="J35" s="13" t="s">
        <v>1138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49">H59</f>
        <v>50</v>
      </c>
      <c r="S35" s="13">
        <f t="shared" si="49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1127</v>
      </c>
      <c r="AM35" s="13">
        <f t="shared" si="12"/>
        <v>8</v>
      </c>
      <c r="AN35" s="13" t="str">
        <f t="shared" si="13"/>
        <v>李轩辕专属武器魂珠-8</v>
      </c>
      <c r="AO35" s="13">
        <f t="shared" si="14"/>
        <v>150</v>
      </c>
      <c r="AP35" s="13">
        <f t="shared" si="15"/>
        <v>3</v>
      </c>
      <c r="AQ35" s="13">
        <f t="shared" si="16"/>
        <v>5</v>
      </c>
      <c r="AT35" s="13">
        <v>32</v>
      </c>
      <c r="AU35" s="13">
        <f t="shared" si="17"/>
        <v>1</v>
      </c>
      <c r="AV35" s="14">
        <f t="shared" si="18"/>
        <v>200104</v>
      </c>
      <c r="AW35" s="14">
        <f t="shared" si="19"/>
        <v>1102001</v>
      </c>
      <c r="AX35" s="13" t="s">
        <v>1127</v>
      </c>
      <c r="AY35" s="13">
        <f t="shared" si="20"/>
        <v>4</v>
      </c>
      <c r="AZ35" s="13" t="s">
        <v>1148</v>
      </c>
      <c r="BA35" s="14">
        <f t="shared" si="21"/>
        <v>1</v>
      </c>
      <c r="BB35" s="14" t="str">
        <f t="shared" si="22"/>
        <v>关羽魂珠-4 等级-1</v>
      </c>
      <c r="BC35" s="25" t="s">
        <v>1156</v>
      </c>
      <c r="BD35" s="14">
        <f t="shared" si="23"/>
        <v>150</v>
      </c>
      <c r="BE35" s="14">
        <f>SUMIFS(BD$4:BD35,$AU$4:$AU35,"="&amp;$AU35,$AY$4:$AY35,"="&amp;$AY35)</f>
        <v>150</v>
      </c>
      <c r="BF35" s="25" t="s">
        <v>1157</v>
      </c>
      <c r="BG35" s="14">
        <f t="shared" si="24"/>
        <v>60</v>
      </c>
      <c r="BH35" s="14">
        <f>SUMIFS(BG$4:BG35,AU$4:AU35,"="&amp;AU35,AY$4:AY35,"="&amp;AY35)</f>
        <v>60</v>
      </c>
      <c r="BI35" s="25" t="s">
        <v>1158</v>
      </c>
      <c r="BJ35" s="14">
        <f t="shared" si="25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3"/>
        <v>0.13333333333333333</v>
      </c>
      <c r="D36" s="14">
        <f t="shared" si="44"/>
        <v>267</v>
      </c>
      <c r="E36" s="14">
        <f t="shared" si="45"/>
        <v>133</v>
      </c>
      <c r="F36" s="14">
        <f t="shared" si="46"/>
        <v>2667</v>
      </c>
      <c r="G36" s="13">
        <v>280</v>
      </c>
      <c r="H36" s="13">
        <f t="shared" si="47"/>
        <v>140</v>
      </c>
      <c r="I36" s="13">
        <f t="shared" si="48"/>
        <v>5600</v>
      </c>
      <c r="J36" s="13" t="s">
        <v>1139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50">G60</f>
        <v>160</v>
      </c>
      <c r="R36" s="13">
        <f t="shared" ref="R36:R43" si="51">H60</f>
        <v>80</v>
      </c>
      <c r="S36" s="13">
        <f t="shared" ref="S36:S43" si="52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1127</v>
      </c>
      <c r="AM36" s="13">
        <f t="shared" si="12"/>
        <v>1</v>
      </c>
      <c r="AN36" s="13" t="str">
        <f t="shared" si="13"/>
        <v>项羽专属武器魂珠-1</v>
      </c>
      <c r="AO36" s="13">
        <f t="shared" si="14"/>
        <v>40</v>
      </c>
      <c r="AP36" s="13">
        <f t="shared" si="15"/>
        <v>0</v>
      </c>
      <c r="AQ36" s="13">
        <f t="shared" si="16"/>
        <v>0</v>
      </c>
      <c r="AT36" s="13">
        <v>33</v>
      </c>
      <c r="AU36" s="13">
        <f t="shared" si="17"/>
        <v>1</v>
      </c>
      <c r="AV36" s="14">
        <f t="shared" si="18"/>
        <v>200104</v>
      </c>
      <c r="AW36" s="14">
        <f t="shared" si="19"/>
        <v>1102001</v>
      </c>
      <c r="AX36" s="13" t="s">
        <v>1127</v>
      </c>
      <c r="AY36" s="13">
        <f t="shared" si="20"/>
        <v>4</v>
      </c>
      <c r="AZ36" s="13" t="s">
        <v>1148</v>
      </c>
      <c r="BA36" s="14">
        <f t="shared" si="21"/>
        <v>2</v>
      </c>
      <c r="BB36" s="14" t="str">
        <f t="shared" si="22"/>
        <v>关羽魂珠-4 等级-2</v>
      </c>
      <c r="BC36" s="25" t="s">
        <v>1156</v>
      </c>
      <c r="BD36" s="14">
        <f t="shared" si="23"/>
        <v>240</v>
      </c>
      <c r="BE36" s="14">
        <f>SUMIFS(BD$4:BD36,$AU$4:$AU36,"="&amp;$AU36,$AY$4:$AY36,"="&amp;$AY36)</f>
        <v>390</v>
      </c>
      <c r="BF36" s="25" t="s">
        <v>1157</v>
      </c>
      <c r="BG36" s="14">
        <f t="shared" si="24"/>
        <v>96</v>
      </c>
      <c r="BH36" s="14">
        <f>SUMIFS(BG$4:BG36,AU$4:AU36,"="&amp;AU36,AY$4:AY36,"="&amp;AY36)</f>
        <v>156</v>
      </c>
      <c r="BI36" s="25" t="s">
        <v>1158</v>
      </c>
      <c r="BJ36" s="14">
        <f t="shared" si="25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3"/>
        <v>0.16</v>
      </c>
      <c r="D37" s="14">
        <f t="shared" si="44"/>
        <v>320</v>
      </c>
      <c r="E37" s="14">
        <f t="shared" si="45"/>
        <v>160</v>
      </c>
      <c r="F37" s="14">
        <f t="shared" si="46"/>
        <v>3200</v>
      </c>
      <c r="G37" s="13">
        <v>320</v>
      </c>
      <c r="H37" s="13">
        <f t="shared" si="47"/>
        <v>160</v>
      </c>
      <c r="I37" s="13">
        <f t="shared" si="48"/>
        <v>6400</v>
      </c>
      <c r="J37" s="13" t="s">
        <v>1140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50"/>
        <v>220</v>
      </c>
      <c r="R37" s="13">
        <f t="shared" si="51"/>
        <v>110</v>
      </c>
      <c r="S37" s="13">
        <f t="shared" si="52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1127</v>
      </c>
      <c r="AM37" s="13">
        <f t="shared" si="12"/>
        <v>2</v>
      </c>
      <c r="AN37" s="13" t="str">
        <f t="shared" si="13"/>
        <v>项羽专属武器魂珠-2</v>
      </c>
      <c r="AO37" s="13">
        <f t="shared" si="14"/>
        <v>55</v>
      </c>
      <c r="AP37" s="13">
        <f t="shared" si="15"/>
        <v>3</v>
      </c>
      <c r="AQ37" s="13">
        <f t="shared" si="16"/>
        <v>0</v>
      </c>
      <c r="AT37" s="13">
        <v>34</v>
      </c>
      <c r="AU37" s="13">
        <f t="shared" si="17"/>
        <v>1</v>
      </c>
      <c r="AV37" s="14">
        <f t="shared" si="18"/>
        <v>200104</v>
      </c>
      <c r="AW37" s="14">
        <f t="shared" si="19"/>
        <v>1102001</v>
      </c>
      <c r="AX37" s="13" t="s">
        <v>1127</v>
      </c>
      <c r="AY37" s="13">
        <f t="shared" si="20"/>
        <v>4</v>
      </c>
      <c r="AZ37" s="13" t="s">
        <v>1148</v>
      </c>
      <c r="BA37" s="14">
        <f t="shared" si="21"/>
        <v>3</v>
      </c>
      <c r="BB37" s="14" t="str">
        <f t="shared" si="22"/>
        <v>关羽魂珠-4 等级-3</v>
      </c>
      <c r="BC37" s="25" t="s">
        <v>1156</v>
      </c>
      <c r="BD37" s="14">
        <f t="shared" si="23"/>
        <v>330</v>
      </c>
      <c r="BE37" s="14">
        <f>SUMIFS(BD$4:BD37,$AU$4:$AU37,"="&amp;$AU37,$AY$4:$AY37,"="&amp;$AY37)</f>
        <v>720</v>
      </c>
      <c r="BF37" s="25" t="s">
        <v>1157</v>
      </c>
      <c r="BG37" s="14">
        <f t="shared" si="24"/>
        <v>132</v>
      </c>
      <c r="BH37" s="14">
        <f>SUMIFS(BG$4:BG37,AU$4:AU37,"="&amp;AU37,AY$4:AY37,"="&amp;AY37)</f>
        <v>288</v>
      </c>
      <c r="BI37" s="25" t="s">
        <v>1158</v>
      </c>
      <c r="BJ37" s="14">
        <f t="shared" si="25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3"/>
        <v>0.18666666666666668</v>
      </c>
      <c r="D38" s="14">
        <f t="shared" si="44"/>
        <v>373</v>
      </c>
      <c r="E38" s="14">
        <f t="shared" si="45"/>
        <v>187</v>
      </c>
      <c r="F38" s="14">
        <f t="shared" si="46"/>
        <v>3733</v>
      </c>
      <c r="G38" s="13">
        <v>380</v>
      </c>
      <c r="H38" s="13">
        <f t="shared" si="47"/>
        <v>190</v>
      </c>
      <c r="I38" s="13">
        <f t="shared" si="48"/>
        <v>7600</v>
      </c>
      <c r="J38" s="13" t="s">
        <v>1142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50"/>
        <v>320</v>
      </c>
      <c r="R38" s="13">
        <f t="shared" si="51"/>
        <v>160</v>
      </c>
      <c r="S38" s="13">
        <f t="shared" si="52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1127</v>
      </c>
      <c r="AM38" s="13">
        <f t="shared" si="12"/>
        <v>3</v>
      </c>
      <c r="AN38" s="13" t="str">
        <f t="shared" si="13"/>
        <v>项羽专属武器魂珠-3</v>
      </c>
      <c r="AO38" s="13">
        <f t="shared" si="14"/>
        <v>75</v>
      </c>
      <c r="AP38" s="13">
        <f t="shared" si="15"/>
        <v>3</v>
      </c>
      <c r="AQ38" s="13">
        <f t="shared" si="16"/>
        <v>0</v>
      </c>
      <c r="AT38" s="13">
        <v>35</v>
      </c>
      <c r="AU38" s="13">
        <f t="shared" si="17"/>
        <v>1</v>
      </c>
      <c r="AV38" s="14">
        <f t="shared" si="18"/>
        <v>200104</v>
      </c>
      <c r="AW38" s="14">
        <f t="shared" si="19"/>
        <v>1102001</v>
      </c>
      <c r="AX38" s="13" t="s">
        <v>1127</v>
      </c>
      <c r="AY38" s="13">
        <f t="shared" si="20"/>
        <v>4</v>
      </c>
      <c r="AZ38" s="13" t="s">
        <v>1148</v>
      </c>
      <c r="BA38" s="14">
        <f t="shared" si="21"/>
        <v>4</v>
      </c>
      <c r="BB38" s="14" t="str">
        <f t="shared" si="22"/>
        <v>关羽魂珠-4 等级-4</v>
      </c>
      <c r="BC38" s="25" t="s">
        <v>1156</v>
      </c>
      <c r="BD38" s="14">
        <f t="shared" si="23"/>
        <v>480</v>
      </c>
      <c r="BE38" s="14">
        <f>SUMIFS(BD$4:BD38,$AU$4:$AU38,"="&amp;$AU38,$AY$4:$AY38,"="&amp;$AY38)</f>
        <v>1200</v>
      </c>
      <c r="BF38" s="25" t="s">
        <v>1157</v>
      </c>
      <c r="BG38" s="14">
        <f t="shared" si="24"/>
        <v>192</v>
      </c>
      <c r="BH38" s="14">
        <f>SUMIFS(BG$4:BG38,AU$4:AU38,"="&amp;AU38,AY$4:AY38,"="&amp;AY38)</f>
        <v>480</v>
      </c>
      <c r="BI38" s="25" t="s">
        <v>1158</v>
      </c>
      <c r="BJ38" s="14">
        <f t="shared" si="25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3"/>
        <v>0.21333333333333335</v>
      </c>
      <c r="D39" s="14">
        <f t="shared" si="44"/>
        <v>427</v>
      </c>
      <c r="E39" s="14">
        <f t="shared" si="45"/>
        <v>213</v>
      </c>
      <c r="F39" s="14">
        <f t="shared" si="46"/>
        <v>4267</v>
      </c>
      <c r="G39" s="13">
        <v>450</v>
      </c>
      <c r="H39" s="13">
        <f t="shared" si="47"/>
        <v>225</v>
      </c>
      <c r="I39" s="13">
        <f t="shared" si="48"/>
        <v>9000</v>
      </c>
      <c r="J39" s="13" t="s">
        <v>1141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50"/>
        <v>420</v>
      </c>
      <c r="R39" s="13">
        <f t="shared" si="51"/>
        <v>210</v>
      </c>
      <c r="S39" s="13">
        <f t="shared" si="52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1127</v>
      </c>
      <c r="AM39" s="13">
        <f t="shared" si="12"/>
        <v>4</v>
      </c>
      <c r="AN39" s="13" t="str">
        <f t="shared" si="13"/>
        <v>项羽专属武器魂珠-4</v>
      </c>
      <c r="AO39" s="13">
        <f t="shared" si="14"/>
        <v>85</v>
      </c>
      <c r="AP39" s="13">
        <f t="shared" si="15"/>
        <v>3</v>
      </c>
      <c r="AQ39" s="13">
        <f t="shared" si="16"/>
        <v>1</v>
      </c>
      <c r="AT39" s="13">
        <v>36</v>
      </c>
      <c r="AU39" s="13">
        <f t="shared" si="17"/>
        <v>1</v>
      </c>
      <c r="AV39" s="14">
        <f t="shared" si="18"/>
        <v>200104</v>
      </c>
      <c r="AW39" s="14">
        <f t="shared" si="19"/>
        <v>1102001</v>
      </c>
      <c r="AX39" s="13" t="s">
        <v>1127</v>
      </c>
      <c r="AY39" s="13">
        <f t="shared" si="20"/>
        <v>4</v>
      </c>
      <c r="AZ39" s="13" t="s">
        <v>1148</v>
      </c>
      <c r="BA39" s="14">
        <f t="shared" si="21"/>
        <v>5</v>
      </c>
      <c r="BB39" s="14" t="str">
        <f t="shared" si="22"/>
        <v>关羽魂珠-4 等级-5</v>
      </c>
      <c r="BC39" s="25" t="s">
        <v>1156</v>
      </c>
      <c r="BD39" s="14">
        <f t="shared" si="23"/>
        <v>630</v>
      </c>
      <c r="BE39" s="14">
        <f>SUMIFS(BD$4:BD39,$AU$4:$AU39,"="&amp;$AU39,$AY$4:$AY39,"="&amp;$AY39)</f>
        <v>1830</v>
      </c>
      <c r="BF39" s="25" t="s">
        <v>1157</v>
      </c>
      <c r="BG39" s="14">
        <f t="shared" si="24"/>
        <v>252</v>
      </c>
      <c r="BH39" s="14">
        <f>SUMIFS(BG$4:BG39,AU$4:AU39,"="&amp;AU39,AY$4:AY39,"="&amp;AY39)</f>
        <v>732</v>
      </c>
      <c r="BI39" s="25" t="s">
        <v>1158</v>
      </c>
      <c r="BJ39" s="14">
        <f t="shared" si="25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50"/>
        <v>550</v>
      </c>
      <c r="R40" s="13">
        <f t="shared" si="51"/>
        <v>275</v>
      </c>
      <c r="S40" s="13">
        <f t="shared" si="52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1127</v>
      </c>
      <c r="AM40" s="13">
        <f t="shared" si="12"/>
        <v>5</v>
      </c>
      <c r="AN40" s="13" t="str">
        <f t="shared" si="13"/>
        <v>项羽专属武器魂珠-5</v>
      </c>
      <c r="AO40" s="13">
        <f t="shared" si="14"/>
        <v>110</v>
      </c>
      <c r="AP40" s="13">
        <f t="shared" si="15"/>
        <v>3</v>
      </c>
      <c r="AQ40" s="13">
        <f t="shared" si="16"/>
        <v>2</v>
      </c>
      <c r="AT40" s="13">
        <v>37</v>
      </c>
      <c r="AU40" s="13">
        <f t="shared" si="17"/>
        <v>1</v>
      </c>
      <c r="AV40" s="14">
        <f t="shared" si="18"/>
        <v>200104</v>
      </c>
      <c r="AW40" s="14">
        <f t="shared" si="19"/>
        <v>1102001</v>
      </c>
      <c r="AX40" s="13" t="s">
        <v>1127</v>
      </c>
      <c r="AY40" s="13">
        <f t="shared" si="20"/>
        <v>4</v>
      </c>
      <c r="AZ40" s="13" t="s">
        <v>1148</v>
      </c>
      <c r="BA40" s="14">
        <f t="shared" si="21"/>
        <v>6</v>
      </c>
      <c r="BB40" s="14" t="str">
        <f t="shared" si="22"/>
        <v>关羽魂珠-4 等级-6</v>
      </c>
      <c r="BC40" s="25" t="s">
        <v>1156</v>
      </c>
      <c r="BD40" s="14">
        <f t="shared" si="23"/>
        <v>825</v>
      </c>
      <c r="BE40" s="14">
        <f>SUMIFS(BD$4:BD40,$AU$4:$AU40,"="&amp;$AU40,$AY$4:$AY40,"="&amp;$AY40)</f>
        <v>2655</v>
      </c>
      <c r="BF40" s="25" t="s">
        <v>1157</v>
      </c>
      <c r="BG40" s="14">
        <f t="shared" si="24"/>
        <v>330</v>
      </c>
      <c r="BH40" s="14">
        <f>SUMIFS(BG$4:BG40,AU$4:AU40,"="&amp;AU40,AY$4:AY40,"="&amp;AY40)</f>
        <v>1062</v>
      </c>
      <c r="BI40" s="25" t="s">
        <v>1158</v>
      </c>
      <c r="BJ40" s="14">
        <f t="shared" si="25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50"/>
        <v>650</v>
      </c>
      <c r="R41" s="13">
        <f t="shared" si="51"/>
        <v>325</v>
      </c>
      <c r="S41" s="13">
        <f t="shared" si="52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1127</v>
      </c>
      <c r="AM41" s="13">
        <f t="shared" si="12"/>
        <v>6</v>
      </c>
      <c r="AN41" s="13" t="str">
        <f t="shared" si="13"/>
        <v>项羽专属武器魂珠-6</v>
      </c>
      <c r="AO41" s="13">
        <f t="shared" si="14"/>
        <v>125</v>
      </c>
      <c r="AP41" s="13">
        <f t="shared" si="15"/>
        <v>3</v>
      </c>
      <c r="AQ41" s="13">
        <f t="shared" si="16"/>
        <v>3</v>
      </c>
      <c r="AT41" s="13">
        <v>38</v>
      </c>
      <c r="AU41" s="13">
        <f t="shared" si="17"/>
        <v>1</v>
      </c>
      <c r="AV41" s="14">
        <f t="shared" si="18"/>
        <v>200104</v>
      </c>
      <c r="AW41" s="14">
        <f t="shared" si="19"/>
        <v>1102001</v>
      </c>
      <c r="AX41" s="13" t="s">
        <v>1127</v>
      </c>
      <c r="AY41" s="13">
        <f t="shared" si="20"/>
        <v>4</v>
      </c>
      <c r="AZ41" s="13" t="s">
        <v>1148</v>
      </c>
      <c r="BA41" s="14">
        <f t="shared" si="21"/>
        <v>7</v>
      </c>
      <c r="BB41" s="14" t="str">
        <f t="shared" si="22"/>
        <v>关羽魂珠-4 等级-7</v>
      </c>
      <c r="BC41" s="25" t="s">
        <v>1156</v>
      </c>
      <c r="BD41" s="14">
        <f t="shared" si="23"/>
        <v>975</v>
      </c>
      <c r="BE41" s="14">
        <f>SUMIFS(BD$4:BD41,$AU$4:$AU41,"="&amp;$AU41,$AY$4:$AY41,"="&amp;$AY41)</f>
        <v>3630</v>
      </c>
      <c r="BF41" s="25" t="s">
        <v>1157</v>
      </c>
      <c r="BG41" s="14">
        <f t="shared" si="24"/>
        <v>390</v>
      </c>
      <c r="BH41" s="14">
        <f>SUMIFS(BG$4:BG41,AU$4:AU41,"="&amp;AU41,AY$4:AY41,"="&amp;AY41)</f>
        <v>1452</v>
      </c>
      <c r="BI41" s="25" t="s">
        <v>1158</v>
      </c>
      <c r="BJ41" s="14">
        <f t="shared" si="25"/>
        <v>15600</v>
      </c>
      <c r="BK41" s="14">
        <f>SUMIFS(BJ$4:BJ41,$AU$4:$AU41,"="&amp;$AU41,$AY$4:$AY41,"="&amp;$AY41)</f>
        <v>58080</v>
      </c>
    </row>
    <row r="42" spans="1:63" ht="20.25" x14ac:dyDescent="0.2">
      <c r="A42" s="71" t="s">
        <v>1107</v>
      </c>
      <c r="B42" s="71"/>
      <c r="C42" s="71"/>
      <c r="D42" s="71"/>
      <c r="E42" s="71"/>
      <c r="F42" s="71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50"/>
        <v>750</v>
      </c>
      <c r="R42" s="13">
        <f t="shared" si="51"/>
        <v>375</v>
      </c>
      <c r="S42" s="13">
        <f t="shared" si="52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1127</v>
      </c>
      <c r="AM42" s="13">
        <f t="shared" si="12"/>
        <v>7</v>
      </c>
      <c r="AN42" s="13" t="str">
        <f t="shared" si="13"/>
        <v>项羽专属武器魂珠-7</v>
      </c>
      <c r="AO42" s="13">
        <f t="shared" si="14"/>
        <v>135</v>
      </c>
      <c r="AP42" s="13">
        <f t="shared" si="15"/>
        <v>3</v>
      </c>
      <c r="AQ42" s="13">
        <f t="shared" si="16"/>
        <v>4</v>
      </c>
      <c r="AT42" s="13">
        <v>39</v>
      </c>
      <c r="AU42" s="13">
        <f t="shared" si="17"/>
        <v>1</v>
      </c>
      <c r="AV42" s="14">
        <f t="shared" si="18"/>
        <v>200104</v>
      </c>
      <c r="AW42" s="14">
        <f t="shared" si="19"/>
        <v>1102001</v>
      </c>
      <c r="AX42" s="13" t="s">
        <v>1127</v>
      </c>
      <c r="AY42" s="13">
        <f t="shared" si="20"/>
        <v>4</v>
      </c>
      <c r="AZ42" s="13" t="s">
        <v>1148</v>
      </c>
      <c r="BA42" s="14">
        <f t="shared" si="21"/>
        <v>8</v>
      </c>
      <c r="BB42" s="14" t="str">
        <f t="shared" si="22"/>
        <v>关羽魂珠-4 等级-8</v>
      </c>
      <c r="BC42" s="25" t="s">
        <v>1156</v>
      </c>
      <c r="BD42" s="14">
        <f t="shared" si="23"/>
        <v>1125</v>
      </c>
      <c r="BE42" s="14">
        <f>SUMIFS(BD$4:BD42,$AU$4:$AU42,"="&amp;$AU42,$AY$4:$AY42,"="&amp;$AY42)</f>
        <v>4755</v>
      </c>
      <c r="BF42" s="25" t="s">
        <v>1157</v>
      </c>
      <c r="BG42" s="14">
        <f t="shared" si="24"/>
        <v>450</v>
      </c>
      <c r="BH42" s="14">
        <f>SUMIFS(BG$4:BG42,AU$4:AU42,"="&amp;AU42,AY$4:AY42,"="&amp;AY42)</f>
        <v>1902</v>
      </c>
      <c r="BI42" s="25" t="s">
        <v>1158</v>
      </c>
      <c r="BJ42" s="14">
        <f t="shared" si="25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50"/>
        <v>850</v>
      </c>
      <c r="R43" s="13">
        <f t="shared" si="51"/>
        <v>425</v>
      </c>
      <c r="S43" s="13">
        <f t="shared" si="52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1127</v>
      </c>
      <c r="AM43" s="13">
        <f t="shared" si="12"/>
        <v>8</v>
      </c>
      <c r="AN43" s="13" t="str">
        <f t="shared" si="13"/>
        <v>项羽专属武器魂珠-8</v>
      </c>
      <c r="AO43" s="13">
        <f t="shared" si="14"/>
        <v>150</v>
      </c>
      <c r="AP43" s="13">
        <f t="shared" si="15"/>
        <v>3</v>
      </c>
      <c r="AQ43" s="13">
        <f t="shared" si="16"/>
        <v>5</v>
      </c>
      <c r="AT43" s="13">
        <v>40</v>
      </c>
      <c r="AU43" s="13">
        <f t="shared" si="17"/>
        <v>1</v>
      </c>
      <c r="AV43" s="14">
        <f t="shared" si="18"/>
        <v>200104</v>
      </c>
      <c r="AW43" s="14">
        <f t="shared" si="19"/>
        <v>1102001</v>
      </c>
      <c r="AX43" s="13" t="s">
        <v>1127</v>
      </c>
      <c r="AY43" s="13">
        <f t="shared" si="20"/>
        <v>4</v>
      </c>
      <c r="AZ43" s="13" t="s">
        <v>1148</v>
      </c>
      <c r="BA43" s="14">
        <f t="shared" si="21"/>
        <v>9</v>
      </c>
      <c r="BB43" s="14" t="str">
        <f t="shared" si="22"/>
        <v>关羽魂珠-4 等级-9</v>
      </c>
      <c r="BC43" s="25" t="s">
        <v>1156</v>
      </c>
      <c r="BD43" s="14">
        <f t="shared" si="23"/>
        <v>1275</v>
      </c>
      <c r="BE43" s="14">
        <f>SUMIFS(BD$4:BD43,$AU$4:$AU43,"="&amp;$AU43,$AY$4:$AY43,"="&amp;$AY43)</f>
        <v>6030</v>
      </c>
      <c r="BF43" s="25" t="s">
        <v>1157</v>
      </c>
      <c r="BG43" s="14">
        <f t="shared" si="24"/>
        <v>510</v>
      </c>
      <c r="BH43" s="14">
        <f>SUMIFS(BG$4:BG43,AU$4:AU43,"="&amp;AU43,AY$4:AY43,"="&amp;AY43)</f>
        <v>2412</v>
      </c>
      <c r="BI43" s="25" t="s">
        <v>1158</v>
      </c>
      <c r="BJ43" s="14">
        <f t="shared" si="25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1100</v>
      </c>
      <c r="B44" s="12" t="s">
        <v>1102</v>
      </c>
      <c r="C44" s="12" t="s">
        <v>1101</v>
      </c>
      <c r="D44" s="12" t="s">
        <v>1103</v>
      </c>
      <c r="E44" s="12" t="s">
        <v>1104</v>
      </c>
      <c r="F44" s="12" t="s">
        <v>1105</v>
      </c>
      <c r="G44" s="12" t="s">
        <v>1113</v>
      </c>
      <c r="H44" s="12" t="s">
        <v>1114</v>
      </c>
      <c r="I44" s="12" t="s">
        <v>1117</v>
      </c>
      <c r="J44" s="12" t="s">
        <v>1133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1127</v>
      </c>
      <c r="AM44" s="13">
        <f t="shared" si="12"/>
        <v>1</v>
      </c>
      <c r="AN44" s="13" t="str">
        <f t="shared" si="13"/>
        <v>天使缇娜专属武器魂珠-1</v>
      </c>
      <c r="AO44" s="13">
        <f t="shared" si="14"/>
        <v>40</v>
      </c>
      <c r="AP44" s="13">
        <f t="shared" si="15"/>
        <v>0</v>
      </c>
      <c r="AQ44" s="13">
        <f t="shared" si="16"/>
        <v>0</v>
      </c>
      <c r="AT44" s="13">
        <v>41</v>
      </c>
      <c r="AU44" s="13">
        <f t="shared" si="17"/>
        <v>1</v>
      </c>
      <c r="AV44" s="14">
        <f t="shared" si="18"/>
        <v>200105</v>
      </c>
      <c r="AW44" s="14">
        <f t="shared" si="19"/>
        <v>1102001</v>
      </c>
      <c r="AX44" s="13" t="s">
        <v>1127</v>
      </c>
      <c r="AY44" s="13">
        <f t="shared" si="20"/>
        <v>5</v>
      </c>
      <c r="AZ44" s="13" t="s">
        <v>1148</v>
      </c>
      <c r="BA44" s="14">
        <f t="shared" si="21"/>
        <v>0</v>
      </c>
      <c r="BB44" s="14" t="str">
        <f t="shared" si="22"/>
        <v>关羽魂珠-5 等级-0</v>
      </c>
      <c r="BC44" s="25" t="s">
        <v>1156</v>
      </c>
      <c r="BD44" s="14">
        <f t="shared" si="23"/>
        <v>0</v>
      </c>
      <c r="BE44" s="14">
        <f>SUMIFS(BD$4:BD44,$AU$4:$AU44,"="&amp;$AU44,$AY$4:$AY44,"="&amp;$AY44)</f>
        <v>0</v>
      </c>
      <c r="BF44" s="25" t="s">
        <v>1157</v>
      </c>
      <c r="BG44" s="14">
        <f t="shared" si="24"/>
        <v>0</v>
      </c>
      <c r="BH44" s="14">
        <f>SUMIFS(BG$4:BG44,AU$4:AU44,"="&amp;AU44,AY$4:AY44,"="&amp;AY44)</f>
        <v>0</v>
      </c>
      <c r="BI44" s="25" t="s">
        <v>1158</v>
      </c>
      <c r="BJ44" s="14">
        <f t="shared" si="25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3">ROUND(H$6*$C45,0)</f>
        <v>40</v>
      </c>
      <c r="F45" s="14">
        <f t="shared" si="53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1134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4">H73</f>
        <v>70</v>
      </c>
      <c r="S45" s="13">
        <f t="shared" si="54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1127</v>
      </c>
      <c r="AM45" s="13">
        <f t="shared" si="12"/>
        <v>2</v>
      </c>
      <c r="AN45" s="13" t="str">
        <f t="shared" si="13"/>
        <v>天使缇娜专属武器魂珠-2</v>
      </c>
      <c r="AO45" s="13">
        <f t="shared" si="14"/>
        <v>55</v>
      </c>
      <c r="AP45" s="13">
        <f t="shared" si="15"/>
        <v>3</v>
      </c>
      <c r="AQ45" s="13">
        <f t="shared" si="16"/>
        <v>0</v>
      </c>
      <c r="AT45" s="13">
        <v>42</v>
      </c>
      <c r="AU45" s="13">
        <f t="shared" si="17"/>
        <v>1</v>
      </c>
      <c r="AV45" s="14">
        <f t="shared" si="18"/>
        <v>200105</v>
      </c>
      <c r="AW45" s="14">
        <f t="shared" si="19"/>
        <v>1102001</v>
      </c>
      <c r="AX45" s="13" t="s">
        <v>1127</v>
      </c>
      <c r="AY45" s="13">
        <f t="shared" si="20"/>
        <v>5</v>
      </c>
      <c r="AZ45" s="13" t="s">
        <v>1148</v>
      </c>
      <c r="BA45" s="14">
        <f t="shared" si="21"/>
        <v>1</v>
      </c>
      <c r="BB45" s="14" t="str">
        <f t="shared" si="22"/>
        <v>关羽魂珠-5 等级-1</v>
      </c>
      <c r="BC45" s="25" t="s">
        <v>1156</v>
      </c>
      <c r="BD45" s="14">
        <f t="shared" si="23"/>
        <v>210</v>
      </c>
      <c r="BE45" s="14">
        <f>SUMIFS(BD$4:BD45,$AU$4:$AU45,"="&amp;$AU45,$AY$4:$AY45,"="&amp;$AY45)</f>
        <v>210</v>
      </c>
      <c r="BF45" s="25" t="s">
        <v>1157</v>
      </c>
      <c r="BG45" s="14">
        <f t="shared" si="24"/>
        <v>84</v>
      </c>
      <c r="BH45" s="14">
        <f>SUMIFS(BG$4:BG45,AU$4:AU45,"="&amp;AU45,AY$4:AY45,"="&amp;AY45)</f>
        <v>84</v>
      </c>
      <c r="BI45" s="25" t="s">
        <v>1158</v>
      </c>
      <c r="BJ45" s="14">
        <f t="shared" si="25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5">B46/$B$15</f>
        <v>0.04</v>
      </c>
      <c r="D46" s="14">
        <f t="shared" ref="D46:D53" si="56">ROUND(G$6*$C46,0)</f>
        <v>120</v>
      </c>
      <c r="E46" s="14">
        <f t="shared" ref="E46:E53" si="57">ROUND(H$6*$C46,0)</f>
        <v>60</v>
      </c>
      <c r="F46" s="14">
        <f t="shared" ref="F46:F53" si="58">ROUND(I$6*$C46,0)</f>
        <v>1200</v>
      </c>
      <c r="G46" s="13">
        <v>120</v>
      </c>
      <c r="H46" s="13">
        <f t="shared" ref="H46:H53" si="59">G46/2</f>
        <v>60</v>
      </c>
      <c r="I46" s="13">
        <f t="shared" ref="I46:I53" si="60">G46*20</f>
        <v>2400</v>
      </c>
      <c r="J46" s="13" t="s">
        <v>1135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1">G74</f>
        <v>200</v>
      </c>
      <c r="R46" s="13">
        <f t="shared" ref="R46:R53" si="62">H74</f>
        <v>100</v>
      </c>
      <c r="S46" s="13">
        <f t="shared" ref="S46:S53" si="63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1127</v>
      </c>
      <c r="AM46" s="13">
        <f t="shared" si="12"/>
        <v>3</v>
      </c>
      <c r="AN46" s="13" t="str">
        <f t="shared" si="13"/>
        <v>天使缇娜专属武器魂珠-3</v>
      </c>
      <c r="AO46" s="13">
        <f t="shared" si="14"/>
        <v>75</v>
      </c>
      <c r="AP46" s="13">
        <f t="shared" si="15"/>
        <v>3</v>
      </c>
      <c r="AQ46" s="13">
        <f t="shared" si="16"/>
        <v>0</v>
      </c>
      <c r="AT46" s="13">
        <v>43</v>
      </c>
      <c r="AU46" s="13">
        <f t="shared" si="17"/>
        <v>1</v>
      </c>
      <c r="AV46" s="14">
        <f t="shared" si="18"/>
        <v>200105</v>
      </c>
      <c r="AW46" s="14">
        <f t="shared" si="19"/>
        <v>1102001</v>
      </c>
      <c r="AX46" s="13" t="s">
        <v>1127</v>
      </c>
      <c r="AY46" s="13">
        <f t="shared" si="20"/>
        <v>5</v>
      </c>
      <c r="AZ46" s="13" t="s">
        <v>1148</v>
      </c>
      <c r="BA46" s="14">
        <f t="shared" si="21"/>
        <v>2</v>
      </c>
      <c r="BB46" s="14" t="str">
        <f t="shared" si="22"/>
        <v>关羽魂珠-5 等级-2</v>
      </c>
      <c r="BC46" s="25" t="s">
        <v>1156</v>
      </c>
      <c r="BD46" s="14">
        <f t="shared" si="23"/>
        <v>300</v>
      </c>
      <c r="BE46" s="14">
        <f>SUMIFS(BD$4:BD46,$AU$4:$AU46,"="&amp;$AU46,$AY$4:$AY46,"="&amp;$AY46)</f>
        <v>510</v>
      </c>
      <c r="BF46" s="25" t="s">
        <v>1157</v>
      </c>
      <c r="BG46" s="14">
        <f t="shared" si="24"/>
        <v>120</v>
      </c>
      <c r="BH46" s="14">
        <f>SUMIFS(BG$4:BG46,AU$4:AU46,"="&amp;AU46,AY$4:AY46,"="&amp;AY46)</f>
        <v>204</v>
      </c>
      <c r="BI46" s="25" t="s">
        <v>1158</v>
      </c>
      <c r="BJ46" s="14">
        <f t="shared" si="25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5"/>
        <v>5.3333333333333337E-2</v>
      </c>
      <c r="D47" s="14">
        <f t="shared" si="56"/>
        <v>160</v>
      </c>
      <c r="E47" s="14">
        <f t="shared" si="57"/>
        <v>80</v>
      </c>
      <c r="F47" s="14">
        <f t="shared" si="58"/>
        <v>1600</v>
      </c>
      <c r="G47" s="13">
        <v>160</v>
      </c>
      <c r="H47" s="13">
        <f t="shared" si="59"/>
        <v>80</v>
      </c>
      <c r="I47" s="13">
        <f t="shared" si="60"/>
        <v>3200</v>
      </c>
      <c r="J47" s="13" t="s">
        <v>1136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1"/>
        <v>260</v>
      </c>
      <c r="R47" s="13">
        <f t="shared" si="62"/>
        <v>130</v>
      </c>
      <c r="S47" s="13">
        <f t="shared" si="63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1127</v>
      </c>
      <c r="AM47" s="13">
        <f t="shared" si="12"/>
        <v>4</v>
      </c>
      <c r="AN47" s="13" t="str">
        <f t="shared" si="13"/>
        <v>天使缇娜专属武器魂珠-4</v>
      </c>
      <c r="AO47" s="13">
        <f t="shared" si="14"/>
        <v>85</v>
      </c>
      <c r="AP47" s="13">
        <f t="shared" si="15"/>
        <v>3</v>
      </c>
      <c r="AQ47" s="13">
        <f t="shared" si="16"/>
        <v>1</v>
      </c>
      <c r="AT47" s="13">
        <v>44</v>
      </c>
      <c r="AU47" s="13">
        <f t="shared" si="17"/>
        <v>1</v>
      </c>
      <c r="AV47" s="14">
        <f t="shared" si="18"/>
        <v>200105</v>
      </c>
      <c r="AW47" s="14">
        <f t="shared" si="19"/>
        <v>1102001</v>
      </c>
      <c r="AX47" s="13" t="s">
        <v>1127</v>
      </c>
      <c r="AY47" s="13">
        <f t="shared" si="20"/>
        <v>5</v>
      </c>
      <c r="AZ47" s="13" t="s">
        <v>1148</v>
      </c>
      <c r="BA47" s="14">
        <f t="shared" si="21"/>
        <v>3</v>
      </c>
      <c r="BB47" s="14" t="str">
        <f t="shared" si="22"/>
        <v>关羽魂珠-5 等级-3</v>
      </c>
      <c r="BC47" s="25" t="s">
        <v>1156</v>
      </c>
      <c r="BD47" s="14">
        <f t="shared" si="23"/>
        <v>390</v>
      </c>
      <c r="BE47" s="14">
        <f>SUMIFS(BD$4:BD47,$AU$4:$AU47,"="&amp;$AU47,$AY$4:$AY47,"="&amp;$AY47)</f>
        <v>900</v>
      </c>
      <c r="BF47" s="25" t="s">
        <v>1157</v>
      </c>
      <c r="BG47" s="14">
        <f t="shared" si="24"/>
        <v>156</v>
      </c>
      <c r="BH47" s="14">
        <f>SUMIFS(BG$4:BG47,AU$4:AU47,"="&amp;AU47,AY$4:AY47,"="&amp;AY47)</f>
        <v>360</v>
      </c>
      <c r="BI47" s="25" t="s">
        <v>1158</v>
      </c>
      <c r="BJ47" s="14">
        <f t="shared" si="25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5"/>
        <v>0.08</v>
      </c>
      <c r="D48" s="14">
        <f t="shared" si="56"/>
        <v>240</v>
      </c>
      <c r="E48" s="14">
        <f t="shared" si="57"/>
        <v>120</v>
      </c>
      <c r="F48" s="14">
        <f t="shared" si="58"/>
        <v>2400</v>
      </c>
      <c r="G48" s="13">
        <v>240</v>
      </c>
      <c r="H48" s="13">
        <f t="shared" si="59"/>
        <v>120</v>
      </c>
      <c r="I48" s="13">
        <f t="shared" si="60"/>
        <v>4800</v>
      </c>
      <c r="J48" s="13" t="s">
        <v>1137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1"/>
        <v>400</v>
      </c>
      <c r="R48" s="13">
        <f t="shared" si="62"/>
        <v>200</v>
      </c>
      <c r="S48" s="13">
        <f t="shared" si="63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1127</v>
      </c>
      <c r="AM48" s="13">
        <f t="shared" si="12"/>
        <v>5</v>
      </c>
      <c r="AN48" s="13" t="str">
        <f t="shared" si="13"/>
        <v>天使缇娜专属武器魂珠-5</v>
      </c>
      <c r="AO48" s="13">
        <f t="shared" si="14"/>
        <v>110</v>
      </c>
      <c r="AP48" s="13">
        <f t="shared" si="15"/>
        <v>3</v>
      </c>
      <c r="AQ48" s="13">
        <f t="shared" si="16"/>
        <v>2</v>
      </c>
      <c r="AT48" s="13">
        <v>45</v>
      </c>
      <c r="AU48" s="13">
        <f t="shared" si="17"/>
        <v>1</v>
      </c>
      <c r="AV48" s="14">
        <f t="shared" si="18"/>
        <v>200105</v>
      </c>
      <c r="AW48" s="14">
        <f t="shared" si="19"/>
        <v>1102001</v>
      </c>
      <c r="AX48" s="13" t="s">
        <v>1127</v>
      </c>
      <c r="AY48" s="13">
        <f t="shared" si="20"/>
        <v>5</v>
      </c>
      <c r="AZ48" s="13" t="s">
        <v>1148</v>
      </c>
      <c r="BA48" s="14">
        <f t="shared" si="21"/>
        <v>4</v>
      </c>
      <c r="BB48" s="14" t="str">
        <f t="shared" si="22"/>
        <v>关羽魂珠-5 等级-4</v>
      </c>
      <c r="BC48" s="25" t="s">
        <v>1156</v>
      </c>
      <c r="BD48" s="14">
        <f t="shared" si="23"/>
        <v>600</v>
      </c>
      <c r="BE48" s="14">
        <f>SUMIFS(BD$4:BD48,$AU$4:$AU48,"="&amp;$AU48,$AY$4:$AY48,"="&amp;$AY48)</f>
        <v>1500</v>
      </c>
      <c r="BF48" s="25" t="s">
        <v>1157</v>
      </c>
      <c r="BG48" s="14">
        <f t="shared" si="24"/>
        <v>240</v>
      </c>
      <c r="BH48" s="14">
        <f>SUMIFS(BG$4:BG48,AU$4:AU48,"="&amp;AU48,AY$4:AY48,"="&amp;AY48)</f>
        <v>600</v>
      </c>
      <c r="BI48" s="25" t="s">
        <v>1158</v>
      </c>
      <c r="BJ48" s="14">
        <f t="shared" si="25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5"/>
        <v>0.10666666666666667</v>
      </c>
      <c r="D49" s="14">
        <f t="shared" si="56"/>
        <v>320</v>
      </c>
      <c r="E49" s="14">
        <f t="shared" si="57"/>
        <v>160</v>
      </c>
      <c r="F49" s="14">
        <f t="shared" si="58"/>
        <v>3200</v>
      </c>
      <c r="G49" s="13">
        <v>320</v>
      </c>
      <c r="H49" s="13">
        <f t="shared" si="59"/>
        <v>160</v>
      </c>
      <c r="I49" s="13">
        <f t="shared" si="60"/>
        <v>6400</v>
      </c>
      <c r="J49" s="13" t="s">
        <v>1138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1"/>
        <v>520</v>
      </c>
      <c r="R49" s="13">
        <f t="shared" si="62"/>
        <v>260</v>
      </c>
      <c r="S49" s="13">
        <f t="shared" si="63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1127</v>
      </c>
      <c r="AM49" s="13">
        <f t="shared" si="12"/>
        <v>6</v>
      </c>
      <c r="AN49" s="13" t="str">
        <f t="shared" si="13"/>
        <v>天使缇娜专属武器魂珠-6</v>
      </c>
      <c r="AO49" s="13">
        <f t="shared" si="14"/>
        <v>125</v>
      </c>
      <c r="AP49" s="13">
        <f t="shared" si="15"/>
        <v>3</v>
      </c>
      <c r="AQ49" s="13">
        <f t="shared" si="16"/>
        <v>3</v>
      </c>
      <c r="AT49" s="13">
        <v>46</v>
      </c>
      <c r="AU49" s="13">
        <f t="shared" si="17"/>
        <v>1</v>
      </c>
      <c r="AV49" s="14">
        <f t="shared" si="18"/>
        <v>200105</v>
      </c>
      <c r="AW49" s="14">
        <f t="shared" si="19"/>
        <v>1102001</v>
      </c>
      <c r="AX49" s="13" t="s">
        <v>1127</v>
      </c>
      <c r="AY49" s="13">
        <f t="shared" si="20"/>
        <v>5</v>
      </c>
      <c r="AZ49" s="13" t="s">
        <v>1148</v>
      </c>
      <c r="BA49" s="14">
        <f t="shared" si="21"/>
        <v>5</v>
      </c>
      <c r="BB49" s="14" t="str">
        <f t="shared" si="22"/>
        <v>关羽魂珠-5 等级-5</v>
      </c>
      <c r="BC49" s="25" t="s">
        <v>1156</v>
      </c>
      <c r="BD49" s="14">
        <f t="shared" si="23"/>
        <v>780</v>
      </c>
      <c r="BE49" s="14">
        <f>SUMIFS(BD$4:BD49,$AU$4:$AU49,"="&amp;$AU49,$AY$4:$AY49,"="&amp;$AY49)</f>
        <v>2280</v>
      </c>
      <c r="BF49" s="25" t="s">
        <v>1157</v>
      </c>
      <c r="BG49" s="14">
        <f t="shared" si="24"/>
        <v>312</v>
      </c>
      <c r="BH49" s="14">
        <f>SUMIFS(BG$4:BG49,AU$4:AU49,"="&amp;AU49,AY$4:AY49,"="&amp;AY49)</f>
        <v>912</v>
      </c>
      <c r="BI49" s="25" t="s">
        <v>1158</v>
      </c>
      <c r="BJ49" s="14">
        <f t="shared" si="25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5"/>
        <v>0.13333333333333333</v>
      </c>
      <c r="D50" s="14">
        <f t="shared" si="56"/>
        <v>400</v>
      </c>
      <c r="E50" s="14">
        <f t="shared" si="57"/>
        <v>200</v>
      </c>
      <c r="F50" s="14">
        <f t="shared" si="58"/>
        <v>4000</v>
      </c>
      <c r="G50" s="13">
        <v>400</v>
      </c>
      <c r="H50" s="13">
        <f t="shared" si="59"/>
        <v>200</v>
      </c>
      <c r="I50" s="13">
        <f t="shared" si="60"/>
        <v>8000</v>
      </c>
      <c r="J50" s="13" t="s">
        <v>1139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1"/>
        <v>650</v>
      </c>
      <c r="R50" s="13">
        <f t="shared" si="62"/>
        <v>325</v>
      </c>
      <c r="S50" s="13">
        <f t="shared" si="63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1127</v>
      </c>
      <c r="AM50" s="13">
        <f t="shared" si="12"/>
        <v>7</v>
      </c>
      <c r="AN50" s="13" t="str">
        <f t="shared" si="13"/>
        <v>天使缇娜专属武器魂珠-7</v>
      </c>
      <c r="AO50" s="13">
        <f t="shared" si="14"/>
        <v>135</v>
      </c>
      <c r="AP50" s="13">
        <f t="shared" si="15"/>
        <v>3</v>
      </c>
      <c r="AQ50" s="13">
        <f t="shared" si="16"/>
        <v>4</v>
      </c>
      <c r="AT50" s="13">
        <v>47</v>
      </c>
      <c r="AU50" s="13">
        <f t="shared" si="17"/>
        <v>1</v>
      </c>
      <c r="AV50" s="14">
        <f t="shared" si="18"/>
        <v>200105</v>
      </c>
      <c r="AW50" s="14">
        <f t="shared" si="19"/>
        <v>1102001</v>
      </c>
      <c r="AX50" s="13" t="s">
        <v>1127</v>
      </c>
      <c r="AY50" s="13">
        <f t="shared" si="20"/>
        <v>5</v>
      </c>
      <c r="AZ50" s="13" t="s">
        <v>1148</v>
      </c>
      <c r="BA50" s="14">
        <f t="shared" si="21"/>
        <v>6</v>
      </c>
      <c r="BB50" s="14" t="str">
        <f t="shared" si="22"/>
        <v>关羽魂珠-5 等级-6</v>
      </c>
      <c r="BC50" s="25" t="s">
        <v>1156</v>
      </c>
      <c r="BD50" s="14">
        <f t="shared" si="23"/>
        <v>975</v>
      </c>
      <c r="BE50" s="14">
        <f>SUMIFS(BD$4:BD50,$AU$4:$AU50,"="&amp;$AU50,$AY$4:$AY50,"="&amp;$AY50)</f>
        <v>3255</v>
      </c>
      <c r="BF50" s="25" t="s">
        <v>1157</v>
      </c>
      <c r="BG50" s="14">
        <f t="shared" si="24"/>
        <v>390</v>
      </c>
      <c r="BH50" s="14">
        <f>SUMIFS(BG$4:BG50,AU$4:AU50,"="&amp;AU50,AY$4:AY50,"="&amp;AY50)</f>
        <v>1302</v>
      </c>
      <c r="BI50" s="25" t="s">
        <v>1158</v>
      </c>
      <c r="BJ50" s="14">
        <f t="shared" si="25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5"/>
        <v>0.16</v>
      </c>
      <c r="D51" s="14">
        <f t="shared" si="56"/>
        <v>480</v>
      </c>
      <c r="E51" s="14">
        <f t="shared" si="57"/>
        <v>240</v>
      </c>
      <c r="F51" s="14">
        <f t="shared" si="58"/>
        <v>4800</v>
      </c>
      <c r="G51" s="13">
        <v>480</v>
      </c>
      <c r="H51" s="13">
        <f t="shared" si="59"/>
        <v>240</v>
      </c>
      <c r="I51" s="13">
        <f t="shared" si="60"/>
        <v>9600</v>
      </c>
      <c r="J51" s="13" t="s">
        <v>1140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1"/>
        <v>800</v>
      </c>
      <c r="R51" s="13">
        <f t="shared" si="62"/>
        <v>400</v>
      </c>
      <c r="S51" s="13">
        <f t="shared" si="63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1127</v>
      </c>
      <c r="AM51" s="13">
        <f t="shared" si="12"/>
        <v>8</v>
      </c>
      <c r="AN51" s="13" t="str">
        <f t="shared" si="13"/>
        <v>天使缇娜专属武器魂珠-8</v>
      </c>
      <c r="AO51" s="13">
        <f t="shared" si="14"/>
        <v>150</v>
      </c>
      <c r="AP51" s="13">
        <f t="shared" si="15"/>
        <v>3</v>
      </c>
      <c r="AQ51" s="13">
        <f t="shared" si="16"/>
        <v>5</v>
      </c>
      <c r="AT51" s="13">
        <v>48</v>
      </c>
      <c r="AU51" s="13">
        <f t="shared" si="17"/>
        <v>1</v>
      </c>
      <c r="AV51" s="14">
        <f t="shared" si="18"/>
        <v>200105</v>
      </c>
      <c r="AW51" s="14">
        <f t="shared" si="19"/>
        <v>1102001</v>
      </c>
      <c r="AX51" s="13" t="s">
        <v>1127</v>
      </c>
      <c r="AY51" s="13">
        <f t="shared" si="20"/>
        <v>5</v>
      </c>
      <c r="AZ51" s="13" t="s">
        <v>1148</v>
      </c>
      <c r="BA51" s="14">
        <f t="shared" si="21"/>
        <v>7</v>
      </c>
      <c r="BB51" s="14" t="str">
        <f t="shared" si="22"/>
        <v>关羽魂珠-5 等级-7</v>
      </c>
      <c r="BC51" s="25" t="s">
        <v>1156</v>
      </c>
      <c r="BD51" s="14">
        <f t="shared" si="23"/>
        <v>1200</v>
      </c>
      <c r="BE51" s="14">
        <f>SUMIFS(BD$4:BD51,$AU$4:$AU51,"="&amp;$AU51,$AY$4:$AY51,"="&amp;$AY51)</f>
        <v>4455</v>
      </c>
      <c r="BF51" s="25" t="s">
        <v>1157</v>
      </c>
      <c r="BG51" s="14">
        <f t="shared" si="24"/>
        <v>480</v>
      </c>
      <c r="BH51" s="14">
        <f>SUMIFS(BG$4:BG51,AU$4:AU51,"="&amp;AU51,AY$4:AY51,"="&amp;AY51)</f>
        <v>1782</v>
      </c>
      <c r="BI51" s="25" t="s">
        <v>1158</v>
      </c>
      <c r="BJ51" s="14">
        <f t="shared" si="25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5"/>
        <v>0.18666666666666668</v>
      </c>
      <c r="D52" s="14">
        <f t="shared" si="56"/>
        <v>560</v>
      </c>
      <c r="E52" s="14">
        <f t="shared" si="57"/>
        <v>280</v>
      </c>
      <c r="F52" s="14">
        <f t="shared" si="58"/>
        <v>5600</v>
      </c>
      <c r="G52" s="13">
        <v>560</v>
      </c>
      <c r="H52" s="13">
        <f t="shared" si="59"/>
        <v>280</v>
      </c>
      <c r="I52" s="13">
        <f t="shared" si="60"/>
        <v>11200</v>
      </c>
      <c r="J52" s="13" t="s">
        <v>1142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1"/>
        <v>950</v>
      </c>
      <c r="R52" s="13">
        <f t="shared" si="62"/>
        <v>475</v>
      </c>
      <c r="S52" s="13">
        <f t="shared" si="63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1127</v>
      </c>
      <c r="AM52" s="13">
        <f t="shared" si="12"/>
        <v>1</v>
      </c>
      <c r="AN52" s="13" t="str">
        <f t="shared" si="13"/>
        <v>夏侯渊专属武器魂珠-1</v>
      </c>
      <c r="AO52" s="13">
        <f t="shared" si="14"/>
        <v>40</v>
      </c>
      <c r="AP52" s="13">
        <f t="shared" si="15"/>
        <v>0</v>
      </c>
      <c r="AQ52" s="13">
        <f t="shared" si="16"/>
        <v>0</v>
      </c>
      <c r="AT52" s="13">
        <v>49</v>
      </c>
      <c r="AU52" s="13">
        <f t="shared" si="17"/>
        <v>1</v>
      </c>
      <c r="AV52" s="14">
        <f t="shared" si="18"/>
        <v>200105</v>
      </c>
      <c r="AW52" s="14">
        <f t="shared" si="19"/>
        <v>1102001</v>
      </c>
      <c r="AX52" s="13" t="s">
        <v>1127</v>
      </c>
      <c r="AY52" s="13">
        <f t="shared" si="20"/>
        <v>5</v>
      </c>
      <c r="AZ52" s="13" t="s">
        <v>1148</v>
      </c>
      <c r="BA52" s="14">
        <f t="shared" si="21"/>
        <v>8</v>
      </c>
      <c r="BB52" s="14" t="str">
        <f t="shared" si="22"/>
        <v>关羽魂珠-5 等级-8</v>
      </c>
      <c r="BC52" s="25" t="s">
        <v>1156</v>
      </c>
      <c r="BD52" s="14">
        <f t="shared" si="23"/>
        <v>1425</v>
      </c>
      <c r="BE52" s="14">
        <f>SUMIFS(BD$4:BD52,$AU$4:$AU52,"="&amp;$AU52,$AY$4:$AY52,"="&amp;$AY52)</f>
        <v>5880</v>
      </c>
      <c r="BF52" s="25" t="s">
        <v>1157</v>
      </c>
      <c r="BG52" s="14">
        <f t="shared" si="24"/>
        <v>570</v>
      </c>
      <c r="BH52" s="14">
        <f>SUMIFS(BG$4:BG52,AU$4:AU52,"="&amp;AU52,AY$4:AY52,"="&amp;AY52)</f>
        <v>2352</v>
      </c>
      <c r="BI52" s="25" t="s">
        <v>1158</v>
      </c>
      <c r="BJ52" s="14">
        <f t="shared" si="25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5"/>
        <v>0.21333333333333335</v>
      </c>
      <c r="D53" s="14">
        <f t="shared" si="56"/>
        <v>640</v>
      </c>
      <c r="E53" s="14">
        <f t="shared" si="57"/>
        <v>320</v>
      </c>
      <c r="F53" s="14">
        <f t="shared" si="58"/>
        <v>6400</v>
      </c>
      <c r="G53" s="13">
        <v>640</v>
      </c>
      <c r="H53" s="13">
        <f t="shared" si="59"/>
        <v>320</v>
      </c>
      <c r="I53" s="13">
        <f t="shared" si="60"/>
        <v>12800</v>
      </c>
      <c r="J53" s="13" t="s">
        <v>1141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1"/>
        <v>1100</v>
      </c>
      <c r="R53" s="13">
        <f t="shared" si="62"/>
        <v>550</v>
      </c>
      <c r="S53" s="13">
        <f t="shared" si="63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1127</v>
      </c>
      <c r="AM53" s="13">
        <f t="shared" si="12"/>
        <v>2</v>
      </c>
      <c r="AN53" s="13" t="str">
        <f t="shared" si="13"/>
        <v>夏侯渊专属武器魂珠-2</v>
      </c>
      <c r="AO53" s="13">
        <f t="shared" si="14"/>
        <v>55</v>
      </c>
      <c r="AP53" s="13">
        <f t="shared" si="15"/>
        <v>3</v>
      </c>
      <c r="AQ53" s="13">
        <f t="shared" si="16"/>
        <v>0</v>
      </c>
      <c r="AT53" s="13">
        <v>50</v>
      </c>
      <c r="AU53" s="13">
        <f t="shared" si="17"/>
        <v>1</v>
      </c>
      <c r="AV53" s="14">
        <f t="shared" si="18"/>
        <v>200105</v>
      </c>
      <c r="AW53" s="14">
        <f t="shared" si="19"/>
        <v>1102001</v>
      </c>
      <c r="AX53" s="13" t="s">
        <v>1127</v>
      </c>
      <c r="AY53" s="13">
        <f t="shared" si="20"/>
        <v>5</v>
      </c>
      <c r="AZ53" s="13" t="s">
        <v>1148</v>
      </c>
      <c r="BA53" s="14">
        <f t="shared" si="21"/>
        <v>9</v>
      </c>
      <c r="BB53" s="14" t="str">
        <f t="shared" si="22"/>
        <v>关羽魂珠-5 等级-9</v>
      </c>
      <c r="BC53" s="25" t="s">
        <v>1156</v>
      </c>
      <c r="BD53" s="14">
        <f t="shared" si="23"/>
        <v>1650</v>
      </c>
      <c r="BE53" s="14">
        <f>SUMIFS(BD$4:BD53,$AU$4:$AU53,"="&amp;$AU53,$AY$4:$AY53,"="&amp;$AY53)</f>
        <v>7530</v>
      </c>
      <c r="BF53" s="25" t="s">
        <v>1157</v>
      </c>
      <c r="BG53" s="14">
        <f t="shared" si="24"/>
        <v>660</v>
      </c>
      <c r="BH53" s="14">
        <f>SUMIFS(BG$4:BG53,AU$4:AU53,"="&amp;AU53,AY$4:AY53,"="&amp;AY53)</f>
        <v>3012</v>
      </c>
      <c r="BI53" s="25" t="s">
        <v>1158</v>
      </c>
      <c r="BJ53" s="14">
        <f t="shared" si="25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1127</v>
      </c>
      <c r="AM54" s="13">
        <f t="shared" si="12"/>
        <v>3</v>
      </c>
      <c r="AN54" s="13" t="str">
        <f t="shared" si="13"/>
        <v>夏侯渊专属武器魂珠-3</v>
      </c>
      <c r="AO54" s="13">
        <f t="shared" si="14"/>
        <v>75</v>
      </c>
      <c r="AP54" s="13">
        <f t="shared" si="15"/>
        <v>3</v>
      </c>
      <c r="AQ54" s="13">
        <f t="shared" si="16"/>
        <v>0</v>
      </c>
      <c r="AT54" s="13">
        <v>51</v>
      </c>
      <c r="AU54" s="13">
        <f t="shared" si="17"/>
        <v>1</v>
      </c>
      <c r="AV54" s="14">
        <f t="shared" si="18"/>
        <v>200106</v>
      </c>
      <c r="AW54" s="14">
        <f t="shared" si="19"/>
        <v>1102001</v>
      </c>
      <c r="AX54" s="13" t="s">
        <v>1127</v>
      </c>
      <c r="AY54" s="13">
        <f t="shared" si="20"/>
        <v>6</v>
      </c>
      <c r="AZ54" s="13" t="s">
        <v>1148</v>
      </c>
      <c r="BA54" s="14">
        <f t="shared" si="21"/>
        <v>0</v>
      </c>
      <c r="BB54" s="14" t="str">
        <f t="shared" si="22"/>
        <v>关羽魂珠-6 等级-0</v>
      </c>
      <c r="BC54" s="25" t="s">
        <v>1156</v>
      </c>
      <c r="BD54" s="14">
        <f t="shared" si="23"/>
        <v>0</v>
      </c>
      <c r="BE54" s="14">
        <f>SUMIFS(BD$4:BD54,$AU$4:$AU54,"="&amp;$AU54,$AY$4:$AY54,"="&amp;$AY54)</f>
        <v>0</v>
      </c>
      <c r="BF54" s="25" t="s">
        <v>1157</v>
      </c>
      <c r="BG54" s="14">
        <f t="shared" si="24"/>
        <v>0</v>
      </c>
      <c r="BH54" s="14">
        <f>SUMIFS(BG$4:BG54,AU$4:AU54,"="&amp;AU54,AY$4:AY54,"="&amp;AY54)</f>
        <v>0</v>
      </c>
      <c r="BI54" s="25" t="s">
        <v>1158</v>
      </c>
      <c r="BJ54" s="14">
        <f t="shared" si="25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180</v>
      </c>
      <c r="R55" s="13">
        <f t="shared" ref="R55:S55" si="64">H87</f>
        <v>90</v>
      </c>
      <c r="S55" s="13">
        <f t="shared" si="64"/>
        <v>3600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1127</v>
      </c>
      <c r="AM55" s="13">
        <f t="shared" si="12"/>
        <v>4</v>
      </c>
      <c r="AN55" s="13" t="str">
        <f t="shared" si="13"/>
        <v>夏侯渊专属武器魂珠-4</v>
      </c>
      <c r="AO55" s="13">
        <f t="shared" si="14"/>
        <v>85</v>
      </c>
      <c r="AP55" s="13">
        <f t="shared" si="15"/>
        <v>3</v>
      </c>
      <c r="AQ55" s="13">
        <f t="shared" si="16"/>
        <v>1</v>
      </c>
      <c r="AT55" s="13">
        <v>52</v>
      </c>
      <c r="AU55" s="13">
        <f t="shared" si="17"/>
        <v>1</v>
      </c>
      <c r="AV55" s="14">
        <f t="shared" si="18"/>
        <v>200106</v>
      </c>
      <c r="AW55" s="14">
        <f t="shared" si="19"/>
        <v>1102001</v>
      </c>
      <c r="AX55" s="13" t="s">
        <v>1127</v>
      </c>
      <c r="AY55" s="13">
        <f t="shared" si="20"/>
        <v>6</v>
      </c>
      <c r="AZ55" s="13" t="s">
        <v>1148</v>
      </c>
      <c r="BA55" s="14">
        <f t="shared" si="21"/>
        <v>1</v>
      </c>
      <c r="BB55" s="14" t="str">
        <f t="shared" si="22"/>
        <v>关羽魂珠-6 等级-1</v>
      </c>
      <c r="BC55" s="25" t="s">
        <v>1156</v>
      </c>
      <c r="BD55" s="14">
        <f t="shared" si="23"/>
        <v>270</v>
      </c>
      <c r="BE55" s="14">
        <f>SUMIFS(BD$4:BD55,$AU$4:$AU55,"="&amp;$AU55,$AY$4:$AY55,"="&amp;$AY55)</f>
        <v>270</v>
      </c>
      <c r="BF55" s="25" t="s">
        <v>1157</v>
      </c>
      <c r="BG55" s="14">
        <f t="shared" si="24"/>
        <v>108</v>
      </c>
      <c r="BH55" s="14">
        <f>SUMIFS(BG$4:BG55,AU$4:AU55,"="&amp;AU55,AY$4:AY55,"="&amp;AY55)</f>
        <v>108</v>
      </c>
      <c r="BI55" s="25" t="s">
        <v>1158</v>
      </c>
      <c r="BJ55" s="14">
        <f t="shared" si="25"/>
        <v>4320</v>
      </c>
      <c r="BK55" s="14">
        <f>SUMIFS(BJ$4:BJ55,$AU$4:$AU55,"="&amp;$AU55,$AY$4:$AY55,"="&amp;$AY55)</f>
        <v>4320</v>
      </c>
    </row>
    <row r="56" spans="1:63" ht="20.25" x14ac:dyDescent="0.2">
      <c r="A56" s="71" t="s">
        <v>1108</v>
      </c>
      <c r="B56" s="71"/>
      <c r="C56" s="71"/>
      <c r="D56" s="71"/>
      <c r="E56" s="71"/>
      <c r="F56" s="71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5">G88</f>
        <v>280</v>
      </c>
      <c r="R56" s="13">
        <f t="shared" ref="R56:R63" si="66">H88</f>
        <v>140</v>
      </c>
      <c r="S56" s="13">
        <f t="shared" ref="S56:S63" si="67">I88</f>
        <v>5600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1127</v>
      </c>
      <c r="AM56" s="13">
        <f t="shared" si="12"/>
        <v>5</v>
      </c>
      <c r="AN56" s="13" t="str">
        <f t="shared" si="13"/>
        <v>夏侯渊专属武器魂珠-5</v>
      </c>
      <c r="AO56" s="13">
        <f t="shared" si="14"/>
        <v>110</v>
      </c>
      <c r="AP56" s="13">
        <f t="shared" si="15"/>
        <v>3</v>
      </c>
      <c r="AQ56" s="13">
        <f t="shared" si="16"/>
        <v>2</v>
      </c>
      <c r="AT56" s="13">
        <v>53</v>
      </c>
      <c r="AU56" s="13">
        <f t="shared" si="17"/>
        <v>1</v>
      </c>
      <c r="AV56" s="14">
        <f t="shared" si="18"/>
        <v>200106</v>
      </c>
      <c r="AW56" s="14">
        <f t="shared" si="19"/>
        <v>1102001</v>
      </c>
      <c r="AX56" s="13" t="s">
        <v>1127</v>
      </c>
      <c r="AY56" s="13">
        <f t="shared" si="20"/>
        <v>6</v>
      </c>
      <c r="AZ56" s="13" t="s">
        <v>1148</v>
      </c>
      <c r="BA56" s="14">
        <f t="shared" si="21"/>
        <v>2</v>
      </c>
      <c r="BB56" s="14" t="str">
        <f t="shared" si="22"/>
        <v>关羽魂珠-6 等级-2</v>
      </c>
      <c r="BC56" s="25" t="s">
        <v>1156</v>
      </c>
      <c r="BD56" s="14">
        <f t="shared" si="23"/>
        <v>420</v>
      </c>
      <c r="BE56" s="14">
        <f>SUMIFS(BD$4:BD56,$AU$4:$AU56,"="&amp;$AU56,$AY$4:$AY56,"="&amp;$AY56)</f>
        <v>690</v>
      </c>
      <c r="BF56" s="25" t="s">
        <v>1157</v>
      </c>
      <c r="BG56" s="14">
        <f t="shared" si="24"/>
        <v>168</v>
      </c>
      <c r="BH56" s="14">
        <f>SUMIFS(BG$4:BG56,AU$4:AU56,"="&amp;AU56,AY$4:AY56,"="&amp;AY56)</f>
        <v>276</v>
      </c>
      <c r="BI56" s="25" t="s">
        <v>1158</v>
      </c>
      <c r="BJ56" s="14">
        <f t="shared" si="25"/>
        <v>6720</v>
      </c>
      <c r="BK56" s="14">
        <f>SUMIFS(BJ$4:BJ56,$AU$4:$AU56,"="&amp;$AU56,$AY$4:$AY56,"="&amp;$AY56)</f>
        <v>11040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5"/>
        <v>375</v>
      </c>
      <c r="R57" s="13">
        <f t="shared" si="66"/>
        <v>187.5</v>
      </c>
      <c r="S57" s="13">
        <f t="shared" si="67"/>
        <v>7500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1127</v>
      </c>
      <c r="AM57" s="13">
        <f t="shared" si="12"/>
        <v>6</v>
      </c>
      <c r="AN57" s="13" t="str">
        <f t="shared" si="13"/>
        <v>夏侯渊专属武器魂珠-6</v>
      </c>
      <c r="AO57" s="13">
        <f t="shared" si="14"/>
        <v>125</v>
      </c>
      <c r="AP57" s="13">
        <f t="shared" si="15"/>
        <v>3</v>
      </c>
      <c r="AQ57" s="13">
        <f t="shared" si="16"/>
        <v>3</v>
      </c>
      <c r="AT57" s="13">
        <v>54</v>
      </c>
      <c r="AU57" s="13">
        <f t="shared" si="17"/>
        <v>1</v>
      </c>
      <c r="AV57" s="14">
        <f t="shared" si="18"/>
        <v>200106</v>
      </c>
      <c r="AW57" s="14">
        <f t="shared" si="19"/>
        <v>1102001</v>
      </c>
      <c r="AX57" s="13" t="s">
        <v>1127</v>
      </c>
      <c r="AY57" s="13">
        <f t="shared" si="20"/>
        <v>6</v>
      </c>
      <c r="AZ57" s="13" t="s">
        <v>1148</v>
      </c>
      <c r="BA57" s="14">
        <f t="shared" si="21"/>
        <v>3</v>
      </c>
      <c r="BB57" s="14" t="str">
        <f t="shared" si="22"/>
        <v>关羽魂珠-6 等级-3</v>
      </c>
      <c r="BC57" s="25" t="s">
        <v>1156</v>
      </c>
      <c r="BD57" s="14">
        <f t="shared" si="23"/>
        <v>563</v>
      </c>
      <c r="BE57" s="14">
        <f>SUMIFS(BD$4:BD57,$AU$4:$AU57,"="&amp;$AU57,$AY$4:$AY57,"="&amp;$AY57)</f>
        <v>1253</v>
      </c>
      <c r="BF57" s="25" t="s">
        <v>1157</v>
      </c>
      <c r="BG57" s="14">
        <f t="shared" si="24"/>
        <v>225</v>
      </c>
      <c r="BH57" s="14">
        <f>SUMIFS(BG$4:BG57,AU$4:AU57,"="&amp;AU57,AY$4:AY57,"="&amp;AY57)</f>
        <v>501</v>
      </c>
      <c r="BI57" s="25" t="s">
        <v>1158</v>
      </c>
      <c r="BJ57" s="14">
        <f t="shared" si="25"/>
        <v>9000</v>
      </c>
      <c r="BK57" s="14">
        <f>SUMIFS(BJ$4:BJ57,$AU$4:$AU57,"="&amp;$AU57,$AY$4:$AY57,"="&amp;$AY57)</f>
        <v>20040</v>
      </c>
    </row>
    <row r="58" spans="1:63" ht="17.25" x14ac:dyDescent="0.2">
      <c r="A58" s="12" t="s">
        <v>1100</v>
      </c>
      <c r="B58" s="12" t="s">
        <v>1102</v>
      </c>
      <c r="C58" s="12" t="s">
        <v>1101</v>
      </c>
      <c r="D58" s="12" t="s">
        <v>1103</v>
      </c>
      <c r="E58" s="12" t="s">
        <v>1104</v>
      </c>
      <c r="F58" s="12" t="s">
        <v>1105</v>
      </c>
      <c r="G58" s="12" t="s">
        <v>1113</v>
      </c>
      <c r="H58" s="12" t="s">
        <v>1114</v>
      </c>
      <c r="I58" s="12" t="s">
        <v>1117</v>
      </c>
      <c r="J58" s="12" t="s">
        <v>1133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5"/>
        <v>560</v>
      </c>
      <c r="R58" s="13">
        <f t="shared" si="66"/>
        <v>280</v>
      </c>
      <c r="S58" s="13">
        <f t="shared" si="67"/>
        <v>11200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1127</v>
      </c>
      <c r="AM58" s="13">
        <f t="shared" si="12"/>
        <v>7</v>
      </c>
      <c r="AN58" s="13" t="str">
        <f t="shared" si="13"/>
        <v>夏侯渊专属武器魂珠-7</v>
      </c>
      <c r="AO58" s="13">
        <f t="shared" si="14"/>
        <v>135</v>
      </c>
      <c r="AP58" s="13">
        <f t="shared" si="15"/>
        <v>3</v>
      </c>
      <c r="AQ58" s="13">
        <f t="shared" si="16"/>
        <v>4</v>
      </c>
      <c r="AT58" s="13">
        <v>55</v>
      </c>
      <c r="AU58" s="13">
        <f t="shared" si="17"/>
        <v>1</v>
      </c>
      <c r="AV58" s="14">
        <f t="shared" si="18"/>
        <v>200106</v>
      </c>
      <c r="AW58" s="14">
        <f t="shared" si="19"/>
        <v>1102001</v>
      </c>
      <c r="AX58" s="13" t="s">
        <v>1127</v>
      </c>
      <c r="AY58" s="13">
        <f t="shared" si="20"/>
        <v>6</v>
      </c>
      <c r="AZ58" s="13" t="s">
        <v>1148</v>
      </c>
      <c r="BA58" s="14">
        <f t="shared" si="21"/>
        <v>4</v>
      </c>
      <c r="BB58" s="14" t="str">
        <f t="shared" si="22"/>
        <v>关羽魂珠-6 等级-4</v>
      </c>
      <c r="BC58" s="25" t="s">
        <v>1156</v>
      </c>
      <c r="BD58" s="14">
        <f t="shared" si="23"/>
        <v>840</v>
      </c>
      <c r="BE58" s="14">
        <f>SUMIFS(BD$4:BD58,$AU$4:$AU58,"="&amp;$AU58,$AY$4:$AY58,"="&amp;$AY58)</f>
        <v>2093</v>
      </c>
      <c r="BF58" s="25" t="s">
        <v>1157</v>
      </c>
      <c r="BG58" s="14">
        <f t="shared" si="24"/>
        <v>336</v>
      </c>
      <c r="BH58" s="14">
        <f>SUMIFS(BG$4:BG58,AU$4:AU58,"="&amp;AU58,AY$4:AY58,"="&amp;AY58)</f>
        <v>837</v>
      </c>
      <c r="BI58" s="25" t="s">
        <v>1158</v>
      </c>
      <c r="BJ58" s="14">
        <f t="shared" si="25"/>
        <v>13440</v>
      </c>
      <c r="BK58" s="14">
        <f>SUMIFS(BJ$4:BJ58,$AU$4:$AU58,"="&amp;$AU58,$AY$4:$AY58,"="&amp;$AY58)</f>
        <v>33480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8">ROUND(H$7*$C59,0)</f>
        <v>53</v>
      </c>
      <c r="F59" s="14">
        <f t="shared" si="68"/>
        <v>1067</v>
      </c>
      <c r="G59" s="13">
        <v>100</v>
      </c>
      <c r="H59" s="13">
        <f t="shared" ref="H59:H67" si="69">G59/2</f>
        <v>50</v>
      </c>
      <c r="I59" s="13">
        <f t="shared" ref="I59" si="70">G59*20</f>
        <v>2000</v>
      </c>
      <c r="J59" s="13" t="s">
        <v>1134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5"/>
        <v>750</v>
      </c>
      <c r="R59" s="13">
        <f t="shared" si="66"/>
        <v>375</v>
      </c>
      <c r="S59" s="13">
        <f t="shared" si="67"/>
        <v>15000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1127</v>
      </c>
      <c r="AM59" s="13">
        <f t="shared" si="12"/>
        <v>8</v>
      </c>
      <c r="AN59" s="13" t="str">
        <f t="shared" si="13"/>
        <v>夏侯渊专属武器魂珠-8</v>
      </c>
      <c r="AO59" s="13">
        <f t="shared" si="14"/>
        <v>150</v>
      </c>
      <c r="AP59" s="13">
        <f t="shared" si="15"/>
        <v>3</v>
      </c>
      <c r="AQ59" s="13">
        <f t="shared" si="16"/>
        <v>5</v>
      </c>
      <c r="AT59" s="13">
        <v>56</v>
      </c>
      <c r="AU59" s="13">
        <f t="shared" si="17"/>
        <v>1</v>
      </c>
      <c r="AV59" s="14">
        <f t="shared" si="18"/>
        <v>200106</v>
      </c>
      <c r="AW59" s="14">
        <f t="shared" si="19"/>
        <v>1102001</v>
      </c>
      <c r="AX59" s="13" t="s">
        <v>1127</v>
      </c>
      <c r="AY59" s="13">
        <f t="shared" si="20"/>
        <v>6</v>
      </c>
      <c r="AZ59" s="13" t="s">
        <v>1148</v>
      </c>
      <c r="BA59" s="14">
        <f t="shared" si="21"/>
        <v>5</v>
      </c>
      <c r="BB59" s="14" t="str">
        <f t="shared" si="22"/>
        <v>关羽魂珠-6 等级-5</v>
      </c>
      <c r="BC59" s="25" t="s">
        <v>1156</v>
      </c>
      <c r="BD59" s="14">
        <f t="shared" si="23"/>
        <v>1125</v>
      </c>
      <c r="BE59" s="14">
        <f>SUMIFS(BD$4:BD59,$AU$4:$AU59,"="&amp;$AU59,$AY$4:$AY59,"="&amp;$AY59)</f>
        <v>3218</v>
      </c>
      <c r="BF59" s="25" t="s">
        <v>1157</v>
      </c>
      <c r="BG59" s="14">
        <f t="shared" si="24"/>
        <v>450</v>
      </c>
      <c r="BH59" s="14">
        <f>SUMIFS(BG$4:BG59,AU$4:AU59,"="&amp;AU59,AY$4:AY59,"="&amp;AY59)</f>
        <v>1287</v>
      </c>
      <c r="BI59" s="25" t="s">
        <v>1158</v>
      </c>
      <c r="BJ59" s="14">
        <f t="shared" si="25"/>
        <v>18000</v>
      </c>
      <c r="BK59" s="14">
        <f>SUMIFS(BJ$4:BJ59,$AU$4:$AU59,"="&amp;$AU59,$AY$4:$AY59,"="&amp;$AY59)</f>
        <v>51480</v>
      </c>
    </row>
    <row r="60" spans="1:63" ht="16.5" x14ac:dyDescent="0.2">
      <c r="A60" s="13">
        <v>2</v>
      </c>
      <c r="B60" s="13">
        <v>1.5</v>
      </c>
      <c r="C60" s="26">
        <f t="shared" ref="C60:C67" si="71">B60/$B$15</f>
        <v>0.04</v>
      </c>
      <c r="D60" s="14">
        <f t="shared" ref="D60:D67" si="72">ROUND(G$7*$C60,0)</f>
        <v>160</v>
      </c>
      <c r="E60" s="14">
        <f t="shared" ref="E60:E67" si="73">ROUND(H$7*$C60,0)</f>
        <v>80</v>
      </c>
      <c r="F60" s="14">
        <f t="shared" ref="F60:F67" si="74">ROUND(I$7*$C60,0)</f>
        <v>1600</v>
      </c>
      <c r="G60" s="13">
        <v>160</v>
      </c>
      <c r="H60" s="13">
        <f t="shared" si="69"/>
        <v>80</v>
      </c>
      <c r="I60" s="13">
        <f t="shared" ref="I60:I67" si="75">G60*20</f>
        <v>3200</v>
      </c>
      <c r="J60" s="13" t="s">
        <v>1135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5"/>
        <v>950</v>
      </c>
      <c r="R60" s="13">
        <f t="shared" si="66"/>
        <v>475</v>
      </c>
      <c r="S60" s="13">
        <f t="shared" si="67"/>
        <v>19000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1127</v>
      </c>
      <c r="AM60" s="13">
        <f t="shared" si="12"/>
        <v>1</v>
      </c>
      <c r="AN60" s="13" t="str">
        <f t="shared" si="13"/>
        <v>徐晃专属武器魂珠-1</v>
      </c>
      <c r="AO60" s="13">
        <f t="shared" si="14"/>
        <v>40</v>
      </c>
      <c r="AP60" s="13">
        <f t="shared" si="15"/>
        <v>0</v>
      </c>
      <c r="AQ60" s="13">
        <f t="shared" si="16"/>
        <v>0</v>
      </c>
      <c r="AT60" s="13">
        <v>57</v>
      </c>
      <c r="AU60" s="13">
        <f t="shared" si="17"/>
        <v>1</v>
      </c>
      <c r="AV60" s="14">
        <f t="shared" si="18"/>
        <v>200106</v>
      </c>
      <c r="AW60" s="14">
        <f t="shared" si="19"/>
        <v>1102001</v>
      </c>
      <c r="AX60" s="13" t="s">
        <v>1127</v>
      </c>
      <c r="AY60" s="13">
        <f t="shared" si="20"/>
        <v>6</v>
      </c>
      <c r="AZ60" s="13" t="s">
        <v>1148</v>
      </c>
      <c r="BA60" s="14">
        <f t="shared" si="21"/>
        <v>6</v>
      </c>
      <c r="BB60" s="14" t="str">
        <f t="shared" si="22"/>
        <v>关羽魂珠-6 等级-6</v>
      </c>
      <c r="BC60" s="25" t="s">
        <v>1156</v>
      </c>
      <c r="BD60" s="14">
        <f t="shared" si="23"/>
        <v>1425</v>
      </c>
      <c r="BE60" s="14">
        <f>SUMIFS(BD$4:BD60,$AU$4:$AU60,"="&amp;$AU60,$AY$4:$AY60,"="&amp;$AY60)</f>
        <v>4643</v>
      </c>
      <c r="BF60" s="25" t="s">
        <v>1157</v>
      </c>
      <c r="BG60" s="14">
        <f t="shared" si="24"/>
        <v>570</v>
      </c>
      <c r="BH60" s="14">
        <f>SUMIFS(BG$4:BG60,AU$4:AU60,"="&amp;AU60,AY$4:AY60,"="&amp;AY60)</f>
        <v>1857</v>
      </c>
      <c r="BI60" s="25" t="s">
        <v>1158</v>
      </c>
      <c r="BJ60" s="14">
        <f t="shared" si="25"/>
        <v>22800</v>
      </c>
      <c r="BK60" s="14">
        <f>SUMIFS(BJ$4:BJ60,$AU$4:$AU60,"="&amp;$AU60,$AY$4:$AY60,"="&amp;$AY60)</f>
        <v>74280</v>
      </c>
    </row>
    <row r="61" spans="1:63" ht="16.5" x14ac:dyDescent="0.2">
      <c r="A61" s="13">
        <v>3</v>
      </c>
      <c r="B61" s="13">
        <v>2</v>
      </c>
      <c r="C61" s="26">
        <f t="shared" si="71"/>
        <v>5.3333333333333337E-2</v>
      </c>
      <c r="D61" s="14">
        <f t="shared" si="72"/>
        <v>213</v>
      </c>
      <c r="E61" s="14">
        <f t="shared" si="73"/>
        <v>107</v>
      </c>
      <c r="F61" s="14">
        <f t="shared" si="74"/>
        <v>2133</v>
      </c>
      <c r="G61" s="13">
        <v>220</v>
      </c>
      <c r="H61" s="13">
        <f t="shared" si="69"/>
        <v>110</v>
      </c>
      <c r="I61" s="13">
        <f t="shared" si="75"/>
        <v>4400</v>
      </c>
      <c r="J61" s="13" t="s">
        <v>1136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5"/>
        <v>1150</v>
      </c>
      <c r="R61" s="13">
        <f t="shared" si="66"/>
        <v>575</v>
      </c>
      <c r="S61" s="13">
        <f t="shared" si="67"/>
        <v>23000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1127</v>
      </c>
      <c r="AM61" s="13">
        <f t="shared" si="12"/>
        <v>2</v>
      </c>
      <c r="AN61" s="13" t="str">
        <f t="shared" si="13"/>
        <v>徐晃专属武器魂珠-2</v>
      </c>
      <c r="AO61" s="13">
        <f t="shared" si="14"/>
        <v>55</v>
      </c>
      <c r="AP61" s="13">
        <f t="shared" si="15"/>
        <v>3</v>
      </c>
      <c r="AQ61" s="13">
        <f t="shared" si="16"/>
        <v>0</v>
      </c>
      <c r="AT61" s="13">
        <v>58</v>
      </c>
      <c r="AU61" s="13">
        <f t="shared" si="17"/>
        <v>1</v>
      </c>
      <c r="AV61" s="14">
        <f t="shared" si="18"/>
        <v>200106</v>
      </c>
      <c r="AW61" s="14">
        <f t="shared" si="19"/>
        <v>1102001</v>
      </c>
      <c r="AX61" s="13" t="s">
        <v>1127</v>
      </c>
      <c r="AY61" s="13">
        <f t="shared" si="20"/>
        <v>6</v>
      </c>
      <c r="AZ61" s="13" t="s">
        <v>1148</v>
      </c>
      <c r="BA61" s="14">
        <f t="shared" si="21"/>
        <v>7</v>
      </c>
      <c r="BB61" s="14" t="str">
        <f t="shared" si="22"/>
        <v>关羽魂珠-6 等级-7</v>
      </c>
      <c r="BC61" s="25" t="s">
        <v>1156</v>
      </c>
      <c r="BD61" s="14">
        <f t="shared" si="23"/>
        <v>1725</v>
      </c>
      <c r="BE61" s="14">
        <f>SUMIFS(BD$4:BD61,$AU$4:$AU61,"="&amp;$AU61,$AY$4:$AY61,"="&amp;$AY61)</f>
        <v>6368</v>
      </c>
      <c r="BF61" s="25" t="s">
        <v>1157</v>
      </c>
      <c r="BG61" s="14">
        <f t="shared" si="24"/>
        <v>690</v>
      </c>
      <c r="BH61" s="14">
        <f>SUMIFS(BG$4:BG61,AU$4:AU61,"="&amp;AU61,AY$4:AY61,"="&amp;AY61)</f>
        <v>2547</v>
      </c>
      <c r="BI61" s="25" t="s">
        <v>1158</v>
      </c>
      <c r="BJ61" s="14">
        <f t="shared" si="25"/>
        <v>27600</v>
      </c>
      <c r="BK61" s="14">
        <f>SUMIFS(BJ$4:BJ61,$AU$4:$AU61,"="&amp;$AU61,$AY$4:$AY61,"="&amp;$AY61)</f>
        <v>101880</v>
      </c>
    </row>
    <row r="62" spans="1:63" ht="16.5" x14ac:dyDescent="0.2">
      <c r="A62" s="13">
        <v>4</v>
      </c>
      <c r="B62" s="13">
        <v>3</v>
      </c>
      <c r="C62" s="26">
        <f t="shared" si="71"/>
        <v>0.08</v>
      </c>
      <c r="D62" s="14">
        <f t="shared" si="72"/>
        <v>320</v>
      </c>
      <c r="E62" s="14">
        <f t="shared" si="73"/>
        <v>160</v>
      </c>
      <c r="F62" s="14">
        <f t="shared" si="74"/>
        <v>3200</v>
      </c>
      <c r="G62" s="13">
        <v>320</v>
      </c>
      <c r="H62" s="13">
        <f t="shared" si="69"/>
        <v>160</v>
      </c>
      <c r="I62" s="13">
        <f t="shared" si="75"/>
        <v>6400</v>
      </c>
      <c r="J62" s="13" t="s">
        <v>1137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5"/>
        <v>1300</v>
      </c>
      <c r="R62" s="13">
        <f t="shared" si="66"/>
        <v>650</v>
      </c>
      <c r="S62" s="13">
        <f t="shared" si="67"/>
        <v>26000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1127</v>
      </c>
      <c r="AM62" s="13">
        <f t="shared" si="12"/>
        <v>3</v>
      </c>
      <c r="AN62" s="13" t="str">
        <f t="shared" si="13"/>
        <v>徐晃专属武器魂珠-3</v>
      </c>
      <c r="AO62" s="13">
        <f t="shared" si="14"/>
        <v>75</v>
      </c>
      <c r="AP62" s="13">
        <f t="shared" si="15"/>
        <v>3</v>
      </c>
      <c r="AQ62" s="13">
        <f t="shared" si="16"/>
        <v>0</v>
      </c>
      <c r="AT62" s="13">
        <v>59</v>
      </c>
      <c r="AU62" s="13">
        <f t="shared" si="17"/>
        <v>1</v>
      </c>
      <c r="AV62" s="14">
        <f t="shared" si="18"/>
        <v>200106</v>
      </c>
      <c r="AW62" s="14">
        <f t="shared" si="19"/>
        <v>1102001</v>
      </c>
      <c r="AX62" s="13" t="s">
        <v>1127</v>
      </c>
      <c r="AY62" s="13">
        <f t="shared" si="20"/>
        <v>6</v>
      </c>
      <c r="AZ62" s="13" t="s">
        <v>1148</v>
      </c>
      <c r="BA62" s="14">
        <f t="shared" si="21"/>
        <v>8</v>
      </c>
      <c r="BB62" s="14" t="str">
        <f t="shared" si="22"/>
        <v>关羽魂珠-6 等级-8</v>
      </c>
      <c r="BC62" s="25" t="s">
        <v>1156</v>
      </c>
      <c r="BD62" s="14">
        <f t="shared" si="23"/>
        <v>1950</v>
      </c>
      <c r="BE62" s="14">
        <f>SUMIFS(BD$4:BD62,$AU$4:$AU62,"="&amp;$AU62,$AY$4:$AY62,"="&amp;$AY62)</f>
        <v>8318</v>
      </c>
      <c r="BF62" s="25" t="s">
        <v>1157</v>
      </c>
      <c r="BG62" s="14">
        <f t="shared" si="24"/>
        <v>780</v>
      </c>
      <c r="BH62" s="14">
        <f>SUMIFS(BG$4:BG62,AU$4:AU62,"="&amp;AU62,AY$4:AY62,"="&amp;AY62)</f>
        <v>3327</v>
      </c>
      <c r="BI62" s="25" t="s">
        <v>1158</v>
      </c>
      <c r="BJ62" s="14">
        <f t="shared" si="25"/>
        <v>31200</v>
      </c>
      <c r="BK62" s="14">
        <f>SUMIFS(BJ$4:BJ62,$AU$4:$AU62,"="&amp;$AU62,$AY$4:$AY62,"="&amp;$AY62)</f>
        <v>133080</v>
      </c>
    </row>
    <row r="63" spans="1:63" ht="16.5" x14ac:dyDescent="0.2">
      <c r="A63" s="13">
        <v>5</v>
      </c>
      <c r="B63" s="13">
        <v>4</v>
      </c>
      <c r="C63" s="26">
        <f t="shared" si="71"/>
        <v>0.10666666666666667</v>
      </c>
      <c r="D63" s="14">
        <f t="shared" si="72"/>
        <v>427</v>
      </c>
      <c r="E63" s="14">
        <f t="shared" si="73"/>
        <v>213</v>
      </c>
      <c r="F63" s="14">
        <f t="shared" si="74"/>
        <v>4267</v>
      </c>
      <c r="G63" s="13">
        <v>420</v>
      </c>
      <c r="H63" s="13">
        <f t="shared" si="69"/>
        <v>210</v>
      </c>
      <c r="I63" s="13">
        <f t="shared" si="75"/>
        <v>8400</v>
      </c>
      <c r="J63" s="13" t="s">
        <v>1138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5"/>
        <v>1500</v>
      </c>
      <c r="R63" s="13">
        <f t="shared" si="66"/>
        <v>750</v>
      </c>
      <c r="S63" s="13">
        <f t="shared" si="67"/>
        <v>30000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1127</v>
      </c>
      <c r="AM63" s="13">
        <f t="shared" si="12"/>
        <v>4</v>
      </c>
      <c r="AN63" s="13" t="str">
        <f t="shared" si="13"/>
        <v>徐晃专属武器魂珠-4</v>
      </c>
      <c r="AO63" s="13">
        <f t="shared" si="14"/>
        <v>85</v>
      </c>
      <c r="AP63" s="13">
        <f t="shared" si="15"/>
        <v>3</v>
      </c>
      <c r="AQ63" s="13">
        <f t="shared" si="16"/>
        <v>1</v>
      </c>
      <c r="AT63" s="13">
        <v>60</v>
      </c>
      <c r="AU63" s="13">
        <f t="shared" si="17"/>
        <v>1</v>
      </c>
      <c r="AV63" s="14">
        <f t="shared" si="18"/>
        <v>200106</v>
      </c>
      <c r="AW63" s="14">
        <f t="shared" si="19"/>
        <v>1102001</v>
      </c>
      <c r="AX63" s="13" t="s">
        <v>1127</v>
      </c>
      <c r="AY63" s="13">
        <f t="shared" si="20"/>
        <v>6</v>
      </c>
      <c r="AZ63" s="13" t="s">
        <v>1148</v>
      </c>
      <c r="BA63" s="14">
        <f t="shared" si="21"/>
        <v>9</v>
      </c>
      <c r="BB63" s="14" t="str">
        <f t="shared" si="22"/>
        <v>关羽魂珠-6 等级-9</v>
      </c>
      <c r="BC63" s="25" t="s">
        <v>1156</v>
      </c>
      <c r="BD63" s="14">
        <f t="shared" si="23"/>
        <v>2250</v>
      </c>
      <c r="BE63" s="14">
        <f>SUMIFS(BD$4:BD63,$AU$4:$AU63,"="&amp;$AU63,$AY$4:$AY63,"="&amp;$AY63)</f>
        <v>10568</v>
      </c>
      <c r="BF63" s="25" t="s">
        <v>1157</v>
      </c>
      <c r="BG63" s="14">
        <f t="shared" si="24"/>
        <v>900</v>
      </c>
      <c r="BH63" s="14">
        <f>SUMIFS(BG$4:BG63,AU$4:AU63,"="&amp;AU63,AY$4:AY63,"="&amp;AY63)</f>
        <v>4227</v>
      </c>
      <c r="BI63" s="25" t="s">
        <v>1158</v>
      </c>
      <c r="BJ63" s="14">
        <f t="shared" si="25"/>
        <v>36000</v>
      </c>
      <c r="BK63" s="14">
        <f>SUMIFS(BJ$4:BJ63,$AU$4:$AU63,"="&amp;$AU63,$AY$4:$AY63,"="&amp;$AY63)</f>
        <v>169080</v>
      </c>
    </row>
    <row r="64" spans="1:63" ht="16.5" x14ac:dyDescent="0.2">
      <c r="A64" s="13">
        <v>6</v>
      </c>
      <c r="B64" s="13">
        <v>5</v>
      </c>
      <c r="C64" s="26">
        <f t="shared" si="71"/>
        <v>0.13333333333333333</v>
      </c>
      <c r="D64" s="14">
        <f t="shared" si="72"/>
        <v>533</v>
      </c>
      <c r="E64" s="14">
        <f t="shared" si="73"/>
        <v>267</v>
      </c>
      <c r="F64" s="14">
        <f t="shared" si="74"/>
        <v>5333</v>
      </c>
      <c r="G64" s="13">
        <v>550</v>
      </c>
      <c r="H64" s="13">
        <f t="shared" si="69"/>
        <v>275</v>
      </c>
      <c r="I64" s="13">
        <f t="shared" si="75"/>
        <v>11000</v>
      </c>
      <c r="J64" s="13" t="s">
        <v>1139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1127</v>
      </c>
      <c r="AM64" s="13">
        <f t="shared" si="12"/>
        <v>5</v>
      </c>
      <c r="AN64" s="13" t="str">
        <f t="shared" si="13"/>
        <v>徐晃专属武器魂珠-5</v>
      </c>
      <c r="AO64" s="13">
        <f t="shared" si="14"/>
        <v>110</v>
      </c>
      <c r="AP64" s="13">
        <f t="shared" si="15"/>
        <v>3</v>
      </c>
      <c r="AQ64" s="13">
        <f t="shared" si="16"/>
        <v>2</v>
      </c>
      <c r="AT64" s="13">
        <v>61</v>
      </c>
      <c r="AU64" s="13">
        <f t="shared" si="17"/>
        <v>1</v>
      </c>
      <c r="AV64" s="14">
        <f t="shared" si="18"/>
        <v>200107</v>
      </c>
      <c r="AW64" s="14">
        <f t="shared" si="19"/>
        <v>1102001</v>
      </c>
      <c r="AX64" s="13" t="s">
        <v>1127</v>
      </c>
      <c r="AY64" s="13">
        <f t="shared" si="20"/>
        <v>7</v>
      </c>
      <c r="AZ64" s="13" t="s">
        <v>1148</v>
      </c>
      <c r="BA64" s="14">
        <f t="shared" si="21"/>
        <v>0</v>
      </c>
      <c r="BB64" s="14" t="str">
        <f t="shared" si="22"/>
        <v>关羽魂珠-7 等级-0</v>
      </c>
      <c r="BC64" s="25" t="s">
        <v>1156</v>
      </c>
      <c r="BD64" s="14">
        <f t="shared" si="23"/>
        <v>0</v>
      </c>
      <c r="BE64" s="14">
        <f>SUMIFS(BD$4:BD64,$AU$4:$AU64,"="&amp;$AU64,$AY$4:$AY64,"="&amp;$AY64)</f>
        <v>0</v>
      </c>
      <c r="BF64" s="25" t="s">
        <v>1157</v>
      </c>
      <c r="BG64" s="14">
        <f t="shared" si="24"/>
        <v>0</v>
      </c>
      <c r="BH64" s="14">
        <f>SUMIFS(BG$4:BG64,AU$4:AU64,"="&amp;AU64,AY$4:AY64,"="&amp;AY64)</f>
        <v>0</v>
      </c>
      <c r="BI64" s="25" t="s">
        <v>1158</v>
      </c>
      <c r="BJ64" s="14">
        <f t="shared" si="25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1"/>
        <v>0.16</v>
      </c>
      <c r="D65" s="14">
        <f t="shared" si="72"/>
        <v>640</v>
      </c>
      <c r="E65" s="14">
        <f t="shared" si="73"/>
        <v>320</v>
      </c>
      <c r="F65" s="14">
        <f t="shared" si="74"/>
        <v>6400</v>
      </c>
      <c r="G65" s="13">
        <v>650</v>
      </c>
      <c r="H65" s="13">
        <f t="shared" si="69"/>
        <v>325</v>
      </c>
      <c r="I65" s="13">
        <f t="shared" si="75"/>
        <v>13000</v>
      </c>
      <c r="J65" s="13" t="s">
        <v>1140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240</v>
      </c>
      <c r="R65" s="13">
        <f t="shared" ref="R65:S65" si="76">H101</f>
        <v>120</v>
      </c>
      <c r="S65" s="13">
        <f t="shared" si="76"/>
        <v>4800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1127</v>
      </c>
      <c r="AM65" s="13">
        <f t="shared" si="12"/>
        <v>6</v>
      </c>
      <c r="AN65" s="13" t="str">
        <f t="shared" si="13"/>
        <v>徐晃专属武器魂珠-6</v>
      </c>
      <c r="AO65" s="13">
        <f t="shared" si="14"/>
        <v>125</v>
      </c>
      <c r="AP65" s="13">
        <f t="shared" si="15"/>
        <v>3</v>
      </c>
      <c r="AQ65" s="13">
        <f t="shared" si="16"/>
        <v>3</v>
      </c>
      <c r="AT65" s="13">
        <v>62</v>
      </c>
      <c r="AU65" s="13">
        <f t="shared" si="17"/>
        <v>1</v>
      </c>
      <c r="AV65" s="14">
        <f t="shared" si="18"/>
        <v>200107</v>
      </c>
      <c r="AW65" s="14">
        <f t="shared" si="19"/>
        <v>1102001</v>
      </c>
      <c r="AX65" s="13" t="s">
        <v>1127</v>
      </c>
      <c r="AY65" s="13">
        <f t="shared" si="20"/>
        <v>7</v>
      </c>
      <c r="AZ65" s="13" t="s">
        <v>1148</v>
      </c>
      <c r="BA65" s="14">
        <f t="shared" si="21"/>
        <v>1</v>
      </c>
      <c r="BB65" s="14" t="str">
        <f t="shared" si="22"/>
        <v>关羽魂珠-7 等级-1</v>
      </c>
      <c r="BC65" s="25" t="s">
        <v>1156</v>
      </c>
      <c r="BD65" s="14">
        <f t="shared" si="23"/>
        <v>360</v>
      </c>
      <c r="BE65" s="14">
        <f>SUMIFS(BD$4:BD65,$AU$4:$AU65,"="&amp;$AU65,$AY$4:$AY65,"="&amp;$AY65)</f>
        <v>360</v>
      </c>
      <c r="BF65" s="25" t="s">
        <v>1157</v>
      </c>
      <c r="BG65" s="14">
        <f t="shared" si="24"/>
        <v>144</v>
      </c>
      <c r="BH65" s="14">
        <f>SUMIFS(BG$4:BG65,AU$4:AU65,"="&amp;AU65,AY$4:AY65,"="&amp;AY65)</f>
        <v>144</v>
      </c>
      <c r="BI65" s="25" t="s">
        <v>1158</v>
      </c>
      <c r="BJ65" s="14">
        <f t="shared" si="25"/>
        <v>5760</v>
      </c>
      <c r="BK65" s="14">
        <f>SUMIFS(BJ$4:BJ65,$AU$4:$AU65,"="&amp;$AU65,$AY$4:$AY65,"="&amp;$AY65)</f>
        <v>5760</v>
      </c>
    </row>
    <row r="66" spans="1:63" ht="16.5" x14ac:dyDescent="0.2">
      <c r="A66" s="13">
        <v>8</v>
      </c>
      <c r="B66" s="13">
        <v>7</v>
      </c>
      <c r="C66" s="26">
        <f t="shared" si="71"/>
        <v>0.18666666666666668</v>
      </c>
      <c r="D66" s="14">
        <f t="shared" si="72"/>
        <v>747</v>
      </c>
      <c r="E66" s="14">
        <f t="shared" si="73"/>
        <v>373</v>
      </c>
      <c r="F66" s="14">
        <f t="shared" si="74"/>
        <v>7467</v>
      </c>
      <c r="G66" s="13">
        <v>750</v>
      </c>
      <c r="H66" s="13">
        <f t="shared" si="69"/>
        <v>375</v>
      </c>
      <c r="I66" s="13">
        <f t="shared" si="75"/>
        <v>15000</v>
      </c>
      <c r="J66" s="13" t="s">
        <v>1142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7">G102</f>
        <v>360</v>
      </c>
      <c r="R66" s="13">
        <f t="shared" ref="R66:R73" si="78">H102</f>
        <v>180</v>
      </c>
      <c r="S66" s="13">
        <f t="shared" ref="S66:S73" si="79">I102</f>
        <v>7200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1127</v>
      </c>
      <c r="AM66" s="13">
        <f t="shared" si="12"/>
        <v>7</v>
      </c>
      <c r="AN66" s="13" t="str">
        <f t="shared" si="13"/>
        <v>徐晃专属武器魂珠-7</v>
      </c>
      <c r="AO66" s="13">
        <f t="shared" si="14"/>
        <v>135</v>
      </c>
      <c r="AP66" s="13">
        <f t="shared" si="15"/>
        <v>3</v>
      </c>
      <c r="AQ66" s="13">
        <f t="shared" si="16"/>
        <v>4</v>
      </c>
      <c r="AT66" s="13">
        <v>63</v>
      </c>
      <c r="AU66" s="13">
        <f t="shared" si="17"/>
        <v>1</v>
      </c>
      <c r="AV66" s="14">
        <f t="shared" si="18"/>
        <v>200107</v>
      </c>
      <c r="AW66" s="14">
        <f t="shared" si="19"/>
        <v>1102001</v>
      </c>
      <c r="AX66" s="13" t="s">
        <v>1127</v>
      </c>
      <c r="AY66" s="13">
        <f t="shared" si="20"/>
        <v>7</v>
      </c>
      <c r="AZ66" s="13" t="s">
        <v>1148</v>
      </c>
      <c r="BA66" s="14">
        <f t="shared" si="21"/>
        <v>2</v>
      </c>
      <c r="BB66" s="14" t="str">
        <f t="shared" si="22"/>
        <v>关羽魂珠-7 等级-2</v>
      </c>
      <c r="BC66" s="25" t="s">
        <v>1156</v>
      </c>
      <c r="BD66" s="14">
        <f t="shared" si="23"/>
        <v>540</v>
      </c>
      <c r="BE66" s="14">
        <f>SUMIFS(BD$4:BD66,$AU$4:$AU66,"="&amp;$AU66,$AY$4:$AY66,"="&amp;$AY66)</f>
        <v>900</v>
      </c>
      <c r="BF66" s="25" t="s">
        <v>1157</v>
      </c>
      <c r="BG66" s="14">
        <f t="shared" si="24"/>
        <v>216</v>
      </c>
      <c r="BH66" s="14">
        <f>SUMIFS(BG$4:BG66,AU$4:AU66,"="&amp;AU66,AY$4:AY66,"="&amp;AY66)</f>
        <v>360</v>
      </c>
      <c r="BI66" s="25" t="s">
        <v>1158</v>
      </c>
      <c r="BJ66" s="14">
        <f t="shared" si="25"/>
        <v>8640</v>
      </c>
      <c r="BK66" s="14">
        <f>SUMIFS(BJ$4:BJ66,$AU$4:$AU66,"="&amp;$AU66,$AY$4:$AY66,"="&amp;$AY66)</f>
        <v>14400</v>
      </c>
    </row>
    <row r="67" spans="1:63" ht="16.5" x14ac:dyDescent="0.2">
      <c r="A67" s="13">
        <v>9</v>
      </c>
      <c r="B67" s="13">
        <v>8</v>
      </c>
      <c r="C67" s="26">
        <f t="shared" si="71"/>
        <v>0.21333333333333335</v>
      </c>
      <c r="D67" s="14">
        <f t="shared" si="72"/>
        <v>853</v>
      </c>
      <c r="E67" s="14">
        <f t="shared" si="73"/>
        <v>427</v>
      </c>
      <c r="F67" s="14">
        <f t="shared" si="74"/>
        <v>8533</v>
      </c>
      <c r="G67" s="13">
        <v>850</v>
      </c>
      <c r="H67" s="13">
        <f t="shared" si="69"/>
        <v>425</v>
      </c>
      <c r="I67" s="13">
        <f t="shared" si="75"/>
        <v>17000</v>
      </c>
      <c r="J67" s="13" t="s">
        <v>1141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7"/>
        <v>480</v>
      </c>
      <c r="R67" s="13">
        <f t="shared" si="78"/>
        <v>240</v>
      </c>
      <c r="S67" s="13">
        <f t="shared" si="79"/>
        <v>9600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1127</v>
      </c>
      <c r="AM67" s="13">
        <f t="shared" si="12"/>
        <v>8</v>
      </c>
      <c r="AN67" s="13" t="str">
        <f t="shared" si="13"/>
        <v>徐晃专属武器魂珠-8</v>
      </c>
      <c r="AO67" s="13">
        <f t="shared" si="14"/>
        <v>150</v>
      </c>
      <c r="AP67" s="13">
        <f t="shared" si="15"/>
        <v>3</v>
      </c>
      <c r="AQ67" s="13">
        <f t="shared" si="16"/>
        <v>5</v>
      </c>
      <c r="AT67" s="13">
        <v>64</v>
      </c>
      <c r="AU67" s="13">
        <f t="shared" si="17"/>
        <v>1</v>
      </c>
      <c r="AV67" s="14">
        <f t="shared" si="18"/>
        <v>200107</v>
      </c>
      <c r="AW67" s="14">
        <f t="shared" si="19"/>
        <v>1102001</v>
      </c>
      <c r="AX67" s="13" t="s">
        <v>1127</v>
      </c>
      <c r="AY67" s="13">
        <f t="shared" si="20"/>
        <v>7</v>
      </c>
      <c r="AZ67" s="13" t="s">
        <v>1148</v>
      </c>
      <c r="BA67" s="14">
        <f t="shared" si="21"/>
        <v>3</v>
      </c>
      <c r="BB67" s="14" t="str">
        <f t="shared" si="22"/>
        <v>关羽魂珠-7 等级-3</v>
      </c>
      <c r="BC67" s="25" t="s">
        <v>1156</v>
      </c>
      <c r="BD67" s="14">
        <f t="shared" si="23"/>
        <v>720</v>
      </c>
      <c r="BE67" s="14">
        <f>SUMIFS(BD$4:BD67,$AU$4:$AU67,"="&amp;$AU67,$AY$4:$AY67,"="&amp;$AY67)</f>
        <v>1620</v>
      </c>
      <c r="BF67" s="25" t="s">
        <v>1157</v>
      </c>
      <c r="BG67" s="14">
        <f t="shared" si="24"/>
        <v>288</v>
      </c>
      <c r="BH67" s="14">
        <f>SUMIFS(BG$4:BG67,AU$4:AU67,"="&amp;AU67,AY$4:AY67,"="&amp;AY67)</f>
        <v>648</v>
      </c>
      <c r="BI67" s="25" t="s">
        <v>1158</v>
      </c>
      <c r="BJ67" s="14">
        <f t="shared" si="25"/>
        <v>11520</v>
      </c>
      <c r="BK67" s="14">
        <f>SUMIFS(BJ$4:BJ67,$AU$4:$AU67,"="&amp;$AU67,$AY$4:$AY67,"="&amp;$AY67)</f>
        <v>25920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7"/>
        <v>720</v>
      </c>
      <c r="R68" s="13">
        <f t="shared" si="78"/>
        <v>360</v>
      </c>
      <c r="S68" s="13">
        <f t="shared" si="79"/>
        <v>14400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1127</v>
      </c>
      <c r="AM68" s="13">
        <f t="shared" si="12"/>
        <v>1</v>
      </c>
      <c r="AN68" s="13" t="str">
        <f t="shared" si="13"/>
        <v>张郃专属武器魂珠-1</v>
      </c>
      <c r="AO68" s="13">
        <f t="shared" si="14"/>
        <v>40</v>
      </c>
      <c r="AP68" s="13">
        <f t="shared" si="15"/>
        <v>0</v>
      </c>
      <c r="AQ68" s="13">
        <f t="shared" si="16"/>
        <v>0</v>
      </c>
      <c r="AT68" s="13">
        <v>65</v>
      </c>
      <c r="AU68" s="13">
        <f t="shared" si="17"/>
        <v>1</v>
      </c>
      <c r="AV68" s="14">
        <f t="shared" si="18"/>
        <v>200107</v>
      </c>
      <c r="AW68" s="14">
        <f t="shared" si="19"/>
        <v>1102001</v>
      </c>
      <c r="AX68" s="13" t="s">
        <v>1127</v>
      </c>
      <c r="AY68" s="13">
        <f t="shared" si="20"/>
        <v>7</v>
      </c>
      <c r="AZ68" s="13" t="s">
        <v>1148</v>
      </c>
      <c r="BA68" s="14">
        <f t="shared" si="21"/>
        <v>4</v>
      </c>
      <c r="BB68" s="14" t="str">
        <f t="shared" si="22"/>
        <v>关羽魂珠-7 等级-4</v>
      </c>
      <c r="BC68" s="25" t="s">
        <v>1156</v>
      </c>
      <c r="BD68" s="14">
        <f t="shared" si="23"/>
        <v>1080</v>
      </c>
      <c r="BE68" s="14">
        <f>SUMIFS(BD$4:BD68,$AU$4:$AU68,"="&amp;$AU68,$AY$4:$AY68,"="&amp;$AY68)</f>
        <v>2700</v>
      </c>
      <c r="BF68" s="25" t="s">
        <v>1157</v>
      </c>
      <c r="BG68" s="14">
        <f t="shared" si="24"/>
        <v>432</v>
      </c>
      <c r="BH68" s="14">
        <f>SUMIFS(BG$4:BG68,AU$4:AU68,"="&amp;AU68,AY$4:AY68,"="&amp;AY68)</f>
        <v>1080</v>
      </c>
      <c r="BI68" s="25" t="s">
        <v>1158</v>
      </c>
      <c r="BJ68" s="14">
        <f t="shared" si="25"/>
        <v>17280</v>
      </c>
      <c r="BK68" s="14">
        <f>SUMIFS(BJ$4:BJ68,$AU$4:$AU68,"="&amp;$AU68,$AY$4:$AY68,"="&amp;$AY68)</f>
        <v>43200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0">INT((N69-1)/10)+1</f>
        <v>7</v>
      </c>
      <c r="P69" s="13">
        <f t="shared" ref="P69:P83" si="81">N69-(O69-1)*10-1</f>
        <v>5</v>
      </c>
      <c r="Q69" s="13">
        <f t="shared" si="77"/>
        <v>960</v>
      </c>
      <c r="R69" s="13">
        <f t="shared" si="78"/>
        <v>480</v>
      </c>
      <c r="S69" s="13">
        <f t="shared" si="79"/>
        <v>19200</v>
      </c>
      <c r="T69" s="16"/>
      <c r="U69" s="16"/>
      <c r="AH69" s="13">
        <v>66</v>
      </c>
      <c r="AI69" s="13">
        <f t="shared" ref="AI69:AI132" si="82">INT((AH69-1)/8)+1</f>
        <v>9</v>
      </c>
      <c r="AJ69" s="13">
        <f t="shared" ref="AJ69:AJ132" si="83">(AK69-1100000)*100+AM69</f>
        <v>201002</v>
      </c>
      <c r="AK69" s="13">
        <f t="shared" ref="AK69:AK132" si="84">INDEX($W$4:$W$28,AI69)</f>
        <v>1102010</v>
      </c>
      <c r="AL69" s="13" t="s">
        <v>1127</v>
      </c>
      <c r="AM69" s="13">
        <f t="shared" ref="AM69:AM132" si="85">AH69-(AI69-1)*8</f>
        <v>2</v>
      </c>
      <c r="AN69" s="13" t="str">
        <f t="shared" ref="AN69:AN132" si="86">INDEX($X$4:$X$28,AI69)&amp;"专属武器魂珠-"&amp;AM69</f>
        <v>张郃专属武器魂珠-2</v>
      </c>
      <c r="AO69" s="13">
        <f t="shared" ref="AO69:AO132" si="87">INDEX(J$4:J$11,$AM69)</f>
        <v>55</v>
      </c>
      <c r="AP69" s="13">
        <f t="shared" ref="AP69:AP132" si="88">INDEX(K$4:K$11,$AM69)</f>
        <v>3</v>
      </c>
      <c r="AQ69" s="13">
        <f t="shared" ref="AQ69:AQ132" si="89">INDEX(L$4:L$11,$AM69)</f>
        <v>0</v>
      </c>
      <c r="AT69" s="13">
        <v>66</v>
      </c>
      <c r="AU69" s="13">
        <f t="shared" ref="AU69:AU132" si="90">INT((AT69-1)/80)+1</f>
        <v>1</v>
      </c>
      <c r="AV69" s="14">
        <f t="shared" ref="AV69:AV132" si="91">INDEX($AJ$4:$AJ$203,(AU69-1)*8+AY69)</f>
        <v>200107</v>
      </c>
      <c r="AW69" s="14">
        <f t="shared" ref="AW69:AW132" si="92">INDEX($W$4:$W$28,AU69)</f>
        <v>1102001</v>
      </c>
      <c r="AX69" s="13" t="s">
        <v>1127</v>
      </c>
      <c r="AY69" s="13">
        <f t="shared" ref="AY69:AY132" si="93">INT(((AT69-(AU69-1)*80)-1)/10)+1</f>
        <v>7</v>
      </c>
      <c r="AZ69" s="13" t="s">
        <v>1148</v>
      </c>
      <c r="BA69" s="14">
        <f t="shared" ref="BA69:BA132" si="94">AT69-(AU69-1)*80-(AY69-1)*10-1</f>
        <v>5</v>
      </c>
      <c r="BB69" s="14" t="str">
        <f t="shared" ref="BB69:BB132" si="95">INDEX($X$4:$X$28,AU69)&amp;"魂珠-"&amp;AY69&amp;" 等级-"&amp;BA69</f>
        <v>关羽魂珠-7 等级-5</v>
      </c>
      <c r="BC69" s="25" t="s">
        <v>1156</v>
      </c>
      <c r="BD69" s="14">
        <f t="shared" ref="BD69:BD132" si="96">ROUND(INDEX(Q$4:Q$83,($AY69-1)*10+$BA69+1)*INDEX(AC$4:AC$28,$AU69),0)</f>
        <v>1440</v>
      </c>
      <c r="BE69" s="14">
        <f>SUMIFS(BD$4:BD69,$AU$4:$AU69,"="&amp;$AU69,$AY$4:$AY69,"="&amp;$AY69)</f>
        <v>4140</v>
      </c>
      <c r="BF69" s="25" t="s">
        <v>1157</v>
      </c>
      <c r="BG69" s="14">
        <f t="shared" ref="BG69:BG132" si="97">ROUND(INDEX(R$4:R$83,($AY69-1)*10+$BA69+1)*INDEX(AD$4:AD$28,$AU69),0)</f>
        <v>576</v>
      </c>
      <c r="BH69" s="14">
        <f>SUMIFS(BG$4:BG69,AU$4:AU69,"="&amp;AU69,AY$4:AY69,"="&amp;AY69)</f>
        <v>1656</v>
      </c>
      <c r="BI69" s="25" t="s">
        <v>1158</v>
      </c>
      <c r="BJ69" s="14">
        <f t="shared" ref="BJ69:BJ132" si="98">ROUND(INDEX(S$4:S$83,($AY69-1)*10+$BA69+1)*INDEX(AE$4:AE$28,$AU69),0)</f>
        <v>23040</v>
      </c>
      <c r="BK69" s="14">
        <f>SUMIFS(BJ$4:BJ69,$AU$4:$AU69,"="&amp;$AU69,$AY$4:$AY69,"="&amp;$AY69)</f>
        <v>66240</v>
      </c>
    </row>
    <row r="70" spans="1:63" ht="20.25" x14ac:dyDescent="0.2">
      <c r="A70" s="71" t="s">
        <v>1109</v>
      </c>
      <c r="B70" s="71"/>
      <c r="C70" s="71"/>
      <c r="D70" s="71"/>
      <c r="E70" s="71"/>
      <c r="F70" s="71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0"/>
        <v>7</v>
      </c>
      <c r="P70" s="13">
        <f t="shared" si="81"/>
        <v>6</v>
      </c>
      <c r="Q70" s="13">
        <f t="shared" si="77"/>
        <v>1200</v>
      </c>
      <c r="R70" s="13">
        <f t="shared" si="78"/>
        <v>600</v>
      </c>
      <c r="S70" s="13">
        <f t="shared" si="79"/>
        <v>24000</v>
      </c>
      <c r="T70" s="16"/>
      <c r="U70" s="16"/>
      <c r="AH70" s="13">
        <v>67</v>
      </c>
      <c r="AI70" s="13">
        <f t="shared" si="82"/>
        <v>9</v>
      </c>
      <c r="AJ70" s="13">
        <f t="shared" si="83"/>
        <v>201003</v>
      </c>
      <c r="AK70" s="13">
        <f t="shared" si="84"/>
        <v>1102010</v>
      </c>
      <c r="AL70" s="13" t="s">
        <v>1127</v>
      </c>
      <c r="AM70" s="13">
        <f t="shared" si="85"/>
        <v>3</v>
      </c>
      <c r="AN70" s="13" t="str">
        <f t="shared" si="86"/>
        <v>张郃专属武器魂珠-3</v>
      </c>
      <c r="AO70" s="13">
        <f t="shared" si="87"/>
        <v>75</v>
      </c>
      <c r="AP70" s="13">
        <f t="shared" si="88"/>
        <v>3</v>
      </c>
      <c r="AQ70" s="13">
        <f t="shared" si="89"/>
        <v>0</v>
      </c>
      <c r="AT70" s="13">
        <v>67</v>
      </c>
      <c r="AU70" s="13">
        <f t="shared" si="90"/>
        <v>1</v>
      </c>
      <c r="AV70" s="14">
        <f t="shared" si="91"/>
        <v>200107</v>
      </c>
      <c r="AW70" s="14">
        <f t="shared" si="92"/>
        <v>1102001</v>
      </c>
      <c r="AX70" s="13" t="s">
        <v>1127</v>
      </c>
      <c r="AY70" s="13">
        <f t="shared" si="93"/>
        <v>7</v>
      </c>
      <c r="AZ70" s="13" t="s">
        <v>1148</v>
      </c>
      <c r="BA70" s="14">
        <f t="shared" si="94"/>
        <v>6</v>
      </c>
      <c r="BB70" s="14" t="str">
        <f t="shared" si="95"/>
        <v>关羽魂珠-7 等级-6</v>
      </c>
      <c r="BC70" s="25" t="s">
        <v>1156</v>
      </c>
      <c r="BD70" s="14">
        <f t="shared" si="96"/>
        <v>1800</v>
      </c>
      <c r="BE70" s="14">
        <f>SUMIFS(BD$4:BD70,$AU$4:$AU70,"="&amp;$AU70,$AY$4:$AY70,"="&amp;$AY70)</f>
        <v>5940</v>
      </c>
      <c r="BF70" s="25" t="s">
        <v>1157</v>
      </c>
      <c r="BG70" s="14">
        <f t="shared" si="97"/>
        <v>720</v>
      </c>
      <c r="BH70" s="14">
        <f>SUMIFS(BG$4:BG70,AU$4:AU70,"="&amp;AU70,AY$4:AY70,"="&amp;AY70)</f>
        <v>2376</v>
      </c>
      <c r="BI70" s="25" t="s">
        <v>1158</v>
      </c>
      <c r="BJ70" s="14">
        <f t="shared" si="98"/>
        <v>28800</v>
      </c>
      <c r="BK70" s="14">
        <f>SUMIFS(BJ$4:BJ70,$AU$4:$AU70,"="&amp;$AU70,$AY$4:$AY70,"="&amp;$AY70)</f>
        <v>95040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0"/>
        <v>7</v>
      </c>
      <c r="P71" s="13">
        <f t="shared" si="81"/>
        <v>7</v>
      </c>
      <c r="Q71" s="13">
        <f t="shared" si="77"/>
        <v>1440</v>
      </c>
      <c r="R71" s="13">
        <f t="shared" si="78"/>
        <v>720</v>
      </c>
      <c r="S71" s="13">
        <f t="shared" si="79"/>
        <v>28800</v>
      </c>
      <c r="T71" s="16"/>
      <c r="U71" s="16"/>
      <c r="AH71" s="13">
        <v>68</v>
      </c>
      <c r="AI71" s="13">
        <f t="shared" si="82"/>
        <v>9</v>
      </c>
      <c r="AJ71" s="13">
        <f t="shared" si="83"/>
        <v>201004</v>
      </c>
      <c r="AK71" s="13">
        <f t="shared" si="84"/>
        <v>1102010</v>
      </c>
      <c r="AL71" s="13" t="s">
        <v>1127</v>
      </c>
      <c r="AM71" s="13">
        <f t="shared" si="85"/>
        <v>4</v>
      </c>
      <c r="AN71" s="13" t="str">
        <f t="shared" si="86"/>
        <v>张郃专属武器魂珠-4</v>
      </c>
      <c r="AO71" s="13">
        <f t="shared" si="87"/>
        <v>85</v>
      </c>
      <c r="AP71" s="13">
        <f t="shared" si="88"/>
        <v>3</v>
      </c>
      <c r="AQ71" s="13">
        <f t="shared" si="89"/>
        <v>1</v>
      </c>
      <c r="AT71" s="13">
        <v>68</v>
      </c>
      <c r="AU71" s="13">
        <f t="shared" si="90"/>
        <v>1</v>
      </c>
      <c r="AV71" s="14">
        <f t="shared" si="91"/>
        <v>200107</v>
      </c>
      <c r="AW71" s="14">
        <f t="shared" si="92"/>
        <v>1102001</v>
      </c>
      <c r="AX71" s="13" t="s">
        <v>1127</v>
      </c>
      <c r="AY71" s="13">
        <f t="shared" si="93"/>
        <v>7</v>
      </c>
      <c r="AZ71" s="13" t="s">
        <v>1148</v>
      </c>
      <c r="BA71" s="14">
        <f t="shared" si="94"/>
        <v>7</v>
      </c>
      <c r="BB71" s="14" t="str">
        <f t="shared" si="95"/>
        <v>关羽魂珠-7 等级-7</v>
      </c>
      <c r="BC71" s="25" t="s">
        <v>1156</v>
      </c>
      <c r="BD71" s="14">
        <f t="shared" si="96"/>
        <v>2160</v>
      </c>
      <c r="BE71" s="14">
        <f>SUMIFS(BD$4:BD71,$AU$4:$AU71,"="&amp;$AU71,$AY$4:$AY71,"="&amp;$AY71)</f>
        <v>8100</v>
      </c>
      <c r="BF71" s="25" t="s">
        <v>1157</v>
      </c>
      <c r="BG71" s="14">
        <f t="shared" si="97"/>
        <v>864</v>
      </c>
      <c r="BH71" s="14">
        <f>SUMIFS(BG$4:BG71,AU$4:AU71,"="&amp;AU71,AY$4:AY71,"="&amp;AY71)</f>
        <v>3240</v>
      </c>
      <c r="BI71" s="25" t="s">
        <v>1158</v>
      </c>
      <c r="BJ71" s="14">
        <f t="shared" si="98"/>
        <v>34560</v>
      </c>
      <c r="BK71" s="14">
        <f>SUMIFS(BJ$4:BJ71,$AU$4:$AU71,"="&amp;$AU71,$AY$4:$AY71,"="&amp;$AY71)</f>
        <v>129600</v>
      </c>
    </row>
    <row r="72" spans="1:63" ht="17.25" x14ac:dyDescent="0.2">
      <c r="A72" s="12" t="s">
        <v>1100</v>
      </c>
      <c r="B72" s="12" t="s">
        <v>1102</v>
      </c>
      <c r="C72" s="12" t="s">
        <v>1101</v>
      </c>
      <c r="D72" s="12" t="s">
        <v>1103</v>
      </c>
      <c r="E72" s="12" t="s">
        <v>1104</v>
      </c>
      <c r="F72" s="12" t="s">
        <v>1105</v>
      </c>
      <c r="G72" s="12" t="s">
        <v>1113</v>
      </c>
      <c r="H72" s="12" t="s">
        <v>1114</v>
      </c>
      <c r="I72" s="12" t="s">
        <v>1117</v>
      </c>
      <c r="J72" s="12" t="s">
        <v>1133</v>
      </c>
      <c r="K72" s="16"/>
      <c r="L72" s="16"/>
      <c r="M72" s="16"/>
      <c r="N72" s="13">
        <v>69</v>
      </c>
      <c r="O72" s="13">
        <f t="shared" si="80"/>
        <v>7</v>
      </c>
      <c r="P72" s="13">
        <f t="shared" si="81"/>
        <v>8</v>
      </c>
      <c r="Q72" s="13">
        <f t="shared" si="77"/>
        <v>1680</v>
      </c>
      <c r="R72" s="13">
        <f t="shared" si="78"/>
        <v>840</v>
      </c>
      <c r="S72" s="13">
        <f t="shared" si="79"/>
        <v>33600</v>
      </c>
      <c r="T72" s="16"/>
      <c r="U72" s="16"/>
      <c r="AH72" s="13">
        <v>69</v>
      </c>
      <c r="AI72" s="13">
        <f t="shared" si="82"/>
        <v>9</v>
      </c>
      <c r="AJ72" s="13">
        <f t="shared" si="83"/>
        <v>201005</v>
      </c>
      <c r="AK72" s="13">
        <f t="shared" si="84"/>
        <v>1102010</v>
      </c>
      <c r="AL72" s="13" t="s">
        <v>1127</v>
      </c>
      <c r="AM72" s="13">
        <f t="shared" si="85"/>
        <v>5</v>
      </c>
      <c r="AN72" s="13" t="str">
        <f t="shared" si="86"/>
        <v>张郃专属武器魂珠-5</v>
      </c>
      <c r="AO72" s="13">
        <f t="shared" si="87"/>
        <v>110</v>
      </c>
      <c r="AP72" s="13">
        <f t="shared" si="88"/>
        <v>3</v>
      </c>
      <c r="AQ72" s="13">
        <f t="shared" si="89"/>
        <v>2</v>
      </c>
      <c r="AT72" s="13">
        <v>69</v>
      </c>
      <c r="AU72" s="13">
        <f t="shared" si="90"/>
        <v>1</v>
      </c>
      <c r="AV72" s="14">
        <f t="shared" si="91"/>
        <v>200107</v>
      </c>
      <c r="AW72" s="14">
        <f t="shared" si="92"/>
        <v>1102001</v>
      </c>
      <c r="AX72" s="13" t="s">
        <v>1127</v>
      </c>
      <c r="AY72" s="13">
        <f t="shared" si="93"/>
        <v>7</v>
      </c>
      <c r="AZ72" s="13" t="s">
        <v>1148</v>
      </c>
      <c r="BA72" s="14">
        <f t="shared" si="94"/>
        <v>8</v>
      </c>
      <c r="BB72" s="14" t="str">
        <f t="shared" si="95"/>
        <v>关羽魂珠-7 等级-8</v>
      </c>
      <c r="BC72" s="25" t="s">
        <v>1156</v>
      </c>
      <c r="BD72" s="14">
        <f t="shared" si="96"/>
        <v>2520</v>
      </c>
      <c r="BE72" s="14">
        <f>SUMIFS(BD$4:BD72,$AU$4:$AU72,"="&amp;$AU72,$AY$4:$AY72,"="&amp;$AY72)</f>
        <v>10620</v>
      </c>
      <c r="BF72" s="25" t="s">
        <v>1157</v>
      </c>
      <c r="BG72" s="14">
        <f t="shared" si="97"/>
        <v>1008</v>
      </c>
      <c r="BH72" s="14">
        <f>SUMIFS(BG$4:BG72,AU$4:AU72,"="&amp;AU72,AY$4:AY72,"="&amp;AY72)</f>
        <v>4248</v>
      </c>
      <c r="BI72" s="25" t="s">
        <v>1158</v>
      </c>
      <c r="BJ72" s="14">
        <f t="shared" si="98"/>
        <v>40320</v>
      </c>
      <c r="BK72" s="14">
        <f>SUMIFS(BJ$4:BJ72,$AU$4:$AU72,"="&amp;$AU72,$AY$4:$AY72,"="&amp;$AY72)</f>
        <v>169920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99">ROUND(H$8*$C73,0)</f>
        <v>67</v>
      </c>
      <c r="F73" s="14">
        <f t="shared" si="99"/>
        <v>1333</v>
      </c>
      <c r="G73" s="13">
        <v>140</v>
      </c>
      <c r="H73" s="13">
        <f t="shared" ref="H73:H81" si="100">G73/2</f>
        <v>70</v>
      </c>
      <c r="I73" s="13">
        <f t="shared" ref="I73" si="101">G73*20</f>
        <v>2800</v>
      </c>
      <c r="J73" s="13" t="s">
        <v>1134</v>
      </c>
      <c r="K73" s="16"/>
      <c r="L73" s="16"/>
      <c r="M73" s="16"/>
      <c r="N73" s="13">
        <v>70</v>
      </c>
      <c r="O73" s="13">
        <f t="shared" si="80"/>
        <v>7</v>
      </c>
      <c r="P73" s="13">
        <f t="shared" si="81"/>
        <v>9</v>
      </c>
      <c r="Q73" s="13">
        <f t="shared" si="77"/>
        <v>1920</v>
      </c>
      <c r="R73" s="13">
        <f t="shared" si="78"/>
        <v>960</v>
      </c>
      <c r="S73" s="13">
        <f t="shared" si="79"/>
        <v>38400</v>
      </c>
      <c r="T73" s="16"/>
      <c r="U73" s="16"/>
      <c r="AH73" s="13">
        <v>70</v>
      </c>
      <c r="AI73" s="13">
        <f t="shared" si="82"/>
        <v>9</v>
      </c>
      <c r="AJ73" s="13">
        <f t="shared" si="83"/>
        <v>201006</v>
      </c>
      <c r="AK73" s="13">
        <f t="shared" si="84"/>
        <v>1102010</v>
      </c>
      <c r="AL73" s="13" t="s">
        <v>1127</v>
      </c>
      <c r="AM73" s="13">
        <f t="shared" si="85"/>
        <v>6</v>
      </c>
      <c r="AN73" s="13" t="str">
        <f t="shared" si="86"/>
        <v>张郃专属武器魂珠-6</v>
      </c>
      <c r="AO73" s="13">
        <f t="shared" si="87"/>
        <v>125</v>
      </c>
      <c r="AP73" s="13">
        <f t="shared" si="88"/>
        <v>3</v>
      </c>
      <c r="AQ73" s="13">
        <f t="shared" si="89"/>
        <v>3</v>
      </c>
      <c r="AT73" s="13">
        <v>70</v>
      </c>
      <c r="AU73" s="13">
        <f t="shared" si="90"/>
        <v>1</v>
      </c>
      <c r="AV73" s="14">
        <f t="shared" si="91"/>
        <v>200107</v>
      </c>
      <c r="AW73" s="14">
        <f t="shared" si="92"/>
        <v>1102001</v>
      </c>
      <c r="AX73" s="13" t="s">
        <v>1127</v>
      </c>
      <c r="AY73" s="13">
        <f t="shared" si="93"/>
        <v>7</v>
      </c>
      <c r="AZ73" s="13" t="s">
        <v>1148</v>
      </c>
      <c r="BA73" s="14">
        <f t="shared" si="94"/>
        <v>9</v>
      </c>
      <c r="BB73" s="14" t="str">
        <f t="shared" si="95"/>
        <v>关羽魂珠-7 等级-9</v>
      </c>
      <c r="BC73" s="25" t="s">
        <v>1156</v>
      </c>
      <c r="BD73" s="14">
        <f t="shared" si="96"/>
        <v>2880</v>
      </c>
      <c r="BE73" s="14">
        <f>SUMIFS(BD$4:BD73,$AU$4:$AU73,"="&amp;$AU73,$AY$4:$AY73,"="&amp;$AY73)</f>
        <v>13500</v>
      </c>
      <c r="BF73" s="25" t="s">
        <v>1157</v>
      </c>
      <c r="BG73" s="14">
        <f t="shared" si="97"/>
        <v>1152</v>
      </c>
      <c r="BH73" s="14">
        <f>SUMIFS(BG$4:BG73,AU$4:AU73,"="&amp;AU73,AY$4:AY73,"="&amp;AY73)</f>
        <v>5400</v>
      </c>
      <c r="BI73" s="25" t="s">
        <v>1158</v>
      </c>
      <c r="BJ73" s="14">
        <f t="shared" si="98"/>
        <v>46080</v>
      </c>
      <c r="BK73" s="14">
        <f>SUMIFS(BJ$4:BJ73,$AU$4:$AU73,"="&amp;$AU73,$AY$4:$AY73,"="&amp;$AY73)</f>
        <v>216000</v>
      </c>
    </row>
    <row r="74" spans="1:63" ht="16.5" x14ac:dyDescent="0.2">
      <c r="A74" s="13">
        <v>2</v>
      </c>
      <c r="B74" s="13">
        <v>1.5</v>
      </c>
      <c r="C74" s="26">
        <f t="shared" ref="C74:C81" si="102">B74/$B$15</f>
        <v>0.04</v>
      </c>
      <c r="D74" s="14">
        <f t="shared" ref="D74:D81" si="103">ROUND(G$8*$C74,0)</f>
        <v>200</v>
      </c>
      <c r="E74" s="14">
        <f t="shared" ref="E74:E81" si="104">ROUND(H$8*$C74,0)</f>
        <v>100</v>
      </c>
      <c r="F74" s="14">
        <f t="shared" ref="F74:F81" si="105">ROUND(I$8*$C74,0)</f>
        <v>2000</v>
      </c>
      <c r="G74" s="13">
        <v>200</v>
      </c>
      <c r="H74" s="13">
        <f t="shared" si="100"/>
        <v>100</v>
      </c>
      <c r="I74" s="13">
        <f t="shared" ref="I74:I81" si="106">G74*20</f>
        <v>4000</v>
      </c>
      <c r="J74" s="13" t="s">
        <v>1135</v>
      </c>
      <c r="K74" s="16"/>
      <c r="L74" s="16"/>
      <c r="M74" s="16"/>
      <c r="N74" s="13">
        <v>71</v>
      </c>
      <c r="O74" s="13">
        <f t="shared" si="80"/>
        <v>8</v>
      </c>
      <c r="P74" s="13">
        <f t="shared" si="81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2"/>
        <v>9</v>
      </c>
      <c r="AJ74" s="13">
        <f t="shared" si="83"/>
        <v>201007</v>
      </c>
      <c r="AK74" s="13">
        <f t="shared" si="84"/>
        <v>1102010</v>
      </c>
      <c r="AL74" s="13" t="s">
        <v>1127</v>
      </c>
      <c r="AM74" s="13">
        <f t="shared" si="85"/>
        <v>7</v>
      </c>
      <c r="AN74" s="13" t="str">
        <f t="shared" si="86"/>
        <v>张郃专属武器魂珠-7</v>
      </c>
      <c r="AO74" s="13">
        <f t="shared" si="87"/>
        <v>135</v>
      </c>
      <c r="AP74" s="13">
        <f t="shared" si="88"/>
        <v>3</v>
      </c>
      <c r="AQ74" s="13">
        <f t="shared" si="89"/>
        <v>4</v>
      </c>
      <c r="AT74" s="13">
        <v>71</v>
      </c>
      <c r="AU74" s="13">
        <f t="shared" si="90"/>
        <v>1</v>
      </c>
      <c r="AV74" s="14">
        <f t="shared" si="91"/>
        <v>200108</v>
      </c>
      <c r="AW74" s="14">
        <f t="shared" si="92"/>
        <v>1102001</v>
      </c>
      <c r="AX74" s="13" t="s">
        <v>1127</v>
      </c>
      <c r="AY74" s="13">
        <f t="shared" si="93"/>
        <v>8</v>
      </c>
      <c r="AZ74" s="13" t="s">
        <v>1148</v>
      </c>
      <c r="BA74" s="14">
        <f t="shared" si="94"/>
        <v>0</v>
      </c>
      <c r="BB74" s="14" t="str">
        <f t="shared" si="95"/>
        <v>关羽魂珠-8 等级-0</v>
      </c>
      <c r="BC74" s="25" t="s">
        <v>1156</v>
      </c>
      <c r="BD74" s="14">
        <f t="shared" si="96"/>
        <v>0</v>
      </c>
      <c r="BE74" s="14">
        <f>SUMIFS(BD$4:BD74,$AU$4:$AU74,"="&amp;$AU74,$AY$4:$AY74,"="&amp;$AY74)</f>
        <v>0</v>
      </c>
      <c r="BF74" s="25" t="s">
        <v>1157</v>
      </c>
      <c r="BG74" s="14">
        <f t="shared" si="97"/>
        <v>0</v>
      </c>
      <c r="BH74" s="14">
        <f>SUMIFS(BG$4:BG74,AU$4:AU74,"="&amp;AU74,AY$4:AY74,"="&amp;AY74)</f>
        <v>0</v>
      </c>
      <c r="BI74" s="25" t="s">
        <v>1158</v>
      </c>
      <c r="BJ74" s="14">
        <f t="shared" si="98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2"/>
        <v>5.3333333333333337E-2</v>
      </c>
      <c r="D75" s="14">
        <f t="shared" si="103"/>
        <v>267</v>
      </c>
      <c r="E75" s="14">
        <f t="shared" si="104"/>
        <v>133</v>
      </c>
      <c r="F75" s="14">
        <f t="shared" si="105"/>
        <v>2667</v>
      </c>
      <c r="G75" s="13">
        <v>260</v>
      </c>
      <c r="H75" s="13">
        <f t="shared" si="100"/>
        <v>130</v>
      </c>
      <c r="I75" s="13">
        <f t="shared" si="106"/>
        <v>5200</v>
      </c>
      <c r="J75" s="13" t="s">
        <v>1136</v>
      </c>
      <c r="K75" s="16"/>
      <c r="L75" s="16"/>
      <c r="M75" s="16"/>
      <c r="N75" s="13">
        <v>72</v>
      </c>
      <c r="O75" s="13">
        <f t="shared" si="80"/>
        <v>8</v>
      </c>
      <c r="P75" s="13">
        <f t="shared" si="81"/>
        <v>1</v>
      </c>
      <c r="Q75" s="13">
        <f>G115</f>
        <v>320</v>
      </c>
      <c r="R75" s="13">
        <f t="shared" ref="R75:S75" si="107">H115</f>
        <v>160</v>
      </c>
      <c r="S75" s="13">
        <f t="shared" si="107"/>
        <v>6400</v>
      </c>
      <c r="T75" s="16"/>
      <c r="U75" s="16"/>
      <c r="AH75" s="13">
        <v>72</v>
      </c>
      <c r="AI75" s="13">
        <f t="shared" si="82"/>
        <v>9</v>
      </c>
      <c r="AJ75" s="13">
        <f t="shared" si="83"/>
        <v>201008</v>
      </c>
      <c r="AK75" s="13">
        <f t="shared" si="84"/>
        <v>1102010</v>
      </c>
      <c r="AL75" s="13" t="s">
        <v>1127</v>
      </c>
      <c r="AM75" s="13">
        <f t="shared" si="85"/>
        <v>8</v>
      </c>
      <c r="AN75" s="13" t="str">
        <f t="shared" si="86"/>
        <v>张郃专属武器魂珠-8</v>
      </c>
      <c r="AO75" s="13">
        <f t="shared" si="87"/>
        <v>150</v>
      </c>
      <c r="AP75" s="13">
        <f t="shared" si="88"/>
        <v>3</v>
      </c>
      <c r="AQ75" s="13">
        <f t="shared" si="89"/>
        <v>5</v>
      </c>
      <c r="AT75" s="13">
        <v>72</v>
      </c>
      <c r="AU75" s="13">
        <f t="shared" si="90"/>
        <v>1</v>
      </c>
      <c r="AV75" s="14">
        <f t="shared" si="91"/>
        <v>200108</v>
      </c>
      <c r="AW75" s="14">
        <f t="shared" si="92"/>
        <v>1102001</v>
      </c>
      <c r="AX75" s="13" t="s">
        <v>1127</v>
      </c>
      <c r="AY75" s="13">
        <f t="shared" si="93"/>
        <v>8</v>
      </c>
      <c r="AZ75" s="13" t="s">
        <v>1148</v>
      </c>
      <c r="BA75" s="14">
        <f t="shared" si="94"/>
        <v>1</v>
      </c>
      <c r="BB75" s="14" t="str">
        <f t="shared" si="95"/>
        <v>关羽魂珠-8 等级-1</v>
      </c>
      <c r="BC75" s="25" t="s">
        <v>1156</v>
      </c>
      <c r="BD75" s="14">
        <f t="shared" si="96"/>
        <v>480</v>
      </c>
      <c r="BE75" s="14">
        <f>SUMIFS(BD$4:BD75,$AU$4:$AU75,"="&amp;$AU75,$AY$4:$AY75,"="&amp;$AY75)</f>
        <v>480</v>
      </c>
      <c r="BF75" s="25" t="s">
        <v>1157</v>
      </c>
      <c r="BG75" s="14">
        <f t="shared" si="97"/>
        <v>192</v>
      </c>
      <c r="BH75" s="14">
        <f>SUMIFS(BG$4:BG75,AU$4:AU75,"="&amp;AU75,AY$4:AY75,"="&amp;AY75)</f>
        <v>192</v>
      </c>
      <c r="BI75" s="25" t="s">
        <v>1158</v>
      </c>
      <c r="BJ75" s="14">
        <f t="shared" si="98"/>
        <v>7680</v>
      </c>
      <c r="BK75" s="14">
        <f>SUMIFS(BJ$4:BJ75,$AU$4:$AU75,"="&amp;$AU75,$AY$4:$AY75,"="&amp;$AY75)</f>
        <v>7680</v>
      </c>
    </row>
    <row r="76" spans="1:63" ht="16.5" x14ac:dyDescent="0.2">
      <c r="A76" s="13">
        <v>4</v>
      </c>
      <c r="B76" s="13">
        <v>3</v>
      </c>
      <c r="C76" s="26">
        <f t="shared" si="102"/>
        <v>0.08</v>
      </c>
      <c r="D76" s="14">
        <f t="shared" si="103"/>
        <v>400</v>
      </c>
      <c r="E76" s="14">
        <f t="shared" si="104"/>
        <v>200</v>
      </c>
      <c r="F76" s="14">
        <f t="shared" si="105"/>
        <v>4000</v>
      </c>
      <c r="G76" s="13">
        <v>400</v>
      </c>
      <c r="H76" s="13">
        <f t="shared" si="100"/>
        <v>200</v>
      </c>
      <c r="I76" s="13">
        <f t="shared" si="106"/>
        <v>8000</v>
      </c>
      <c r="J76" s="13" t="s">
        <v>1137</v>
      </c>
      <c r="K76" s="16"/>
      <c r="L76" s="16"/>
      <c r="M76" s="16"/>
      <c r="N76" s="13">
        <v>73</v>
      </c>
      <c r="O76" s="13">
        <f t="shared" si="80"/>
        <v>8</v>
      </c>
      <c r="P76" s="13">
        <f t="shared" si="81"/>
        <v>2</v>
      </c>
      <c r="Q76" s="13">
        <f t="shared" ref="Q76:Q83" si="108">G116</f>
        <v>480</v>
      </c>
      <c r="R76" s="13">
        <f t="shared" ref="R76:R83" si="109">H116</f>
        <v>240</v>
      </c>
      <c r="S76" s="13">
        <f t="shared" ref="S76:S83" si="110">I116</f>
        <v>9600</v>
      </c>
      <c r="T76" s="16"/>
      <c r="U76" s="16"/>
      <c r="AH76" s="13">
        <v>73</v>
      </c>
      <c r="AI76" s="13">
        <f t="shared" si="82"/>
        <v>10</v>
      </c>
      <c r="AJ76" s="13">
        <f t="shared" si="83"/>
        <v>201101</v>
      </c>
      <c r="AK76" s="13">
        <f t="shared" si="84"/>
        <v>1102011</v>
      </c>
      <c r="AL76" s="13" t="s">
        <v>1127</v>
      </c>
      <c r="AM76" s="13">
        <f t="shared" si="85"/>
        <v>1</v>
      </c>
      <c r="AN76" s="13" t="str">
        <f t="shared" si="86"/>
        <v>张飞专属武器魂珠-1</v>
      </c>
      <c r="AO76" s="13">
        <f t="shared" si="87"/>
        <v>40</v>
      </c>
      <c r="AP76" s="13">
        <f t="shared" si="88"/>
        <v>0</v>
      </c>
      <c r="AQ76" s="13">
        <f t="shared" si="89"/>
        <v>0</v>
      </c>
      <c r="AT76" s="13">
        <v>73</v>
      </c>
      <c r="AU76" s="13">
        <f t="shared" si="90"/>
        <v>1</v>
      </c>
      <c r="AV76" s="14">
        <f t="shared" si="91"/>
        <v>200108</v>
      </c>
      <c r="AW76" s="14">
        <f t="shared" si="92"/>
        <v>1102001</v>
      </c>
      <c r="AX76" s="13" t="s">
        <v>1127</v>
      </c>
      <c r="AY76" s="13">
        <f t="shared" si="93"/>
        <v>8</v>
      </c>
      <c r="AZ76" s="13" t="s">
        <v>1148</v>
      </c>
      <c r="BA76" s="14">
        <f t="shared" si="94"/>
        <v>2</v>
      </c>
      <c r="BB76" s="14" t="str">
        <f t="shared" si="95"/>
        <v>关羽魂珠-8 等级-2</v>
      </c>
      <c r="BC76" s="25" t="s">
        <v>1156</v>
      </c>
      <c r="BD76" s="14">
        <f t="shared" si="96"/>
        <v>720</v>
      </c>
      <c r="BE76" s="14">
        <f>SUMIFS(BD$4:BD76,$AU$4:$AU76,"="&amp;$AU76,$AY$4:$AY76,"="&amp;$AY76)</f>
        <v>1200</v>
      </c>
      <c r="BF76" s="25" t="s">
        <v>1157</v>
      </c>
      <c r="BG76" s="14">
        <f t="shared" si="97"/>
        <v>288</v>
      </c>
      <c r="BH76" s="14">
        <f>SUMIFS(BG$4:BG76,AU$4:AU76,"="&amp;AU76,AY$4:AY76,"="&amp;AY76)</f>
        <v>480</v>
      </c>
      <c r="BI76" s="25" t="s">
        <v>1158</v>
      </c>
      <c r="BJ76" s="14">
        <f t="shared" si="98"/>
        <v>11520</v>
      </c>
      <c r="BK76" s="14">
        <f>SUMIFS(BJ$4:BJ76,$AU$4:$AU76,"="&amp;$AU76,$AY$4:$AY76,"="&amp;$AY76)</f>
        <v>19200</v>
      </c>
    </row>
    <row r="77" spans="1:63" ht="16.5" x14ac:dyDescent="0.2">
      <c r="A77" s="13">
        <v>5</v>
      </c>
      <c r="B77" s="13">
        <v>4</v>
      </c>
      <c r="C77" s="26">
        <f t="shared" si="102"/>
        <v>0.10666666666666667</v>
      </c>
      <c r="D77" s="14">
        <f t="shared" si="103"/>
        <v>533</v>
      </c>
      <c r="E77" s="14">
        <f t="shared" si="104"/>
        <v>267</v>
      </c>
      <c r="F77" s="14">
        <f t="shared" si="105"/>
        <v>5333</v>
      </c>
      <c r="G77" s="13">
        <v>520</v>
      </c>
      <c r="H77" s="13">
        <f t="shared" si="100"/>
        <v>260</v>
      </c>
      <c r="I77" s="13">
        <f t="shared" si="106"/>
        <v>10400</v>
      </c>
      <c r="J77" s="13" t="s">
        <v>1138</v>
      </c>
      <c r="K77" s="16"/>
      <c r="L77" s="16"/>
      <c r="M77" s="16"/>
      <c r="N77" s="13">
        <v>74</v>
      </c>
      <c r="O77" s="13">
        <f t="shared" si="80"/>
        <v>8</v>
      </c>
      <c r="P77" s="13">
        <f t="shared" si="81"/>
        <v>3</v>
      </c>
      <c r="Q77" s="13">
        <f t="shared" si="108"/>
        <v>640</v>
      </c>
      <c r="R77" s="13">
        <f t="shared" si="109"/>
        <v>320</v>
      </c>
      <c r="S77" s="13">
        <f t="shared" si="110"/>
        <v>12800</v>
      </c>
      <c r="T77" s="16"/>
      <c r="U77" s="16"/>
      <c r="AH77" s="13">
        <v>74</v>
      </c>
      <c r="AI77" s="13">
        <f t="shared" si="82"/>
        <v>10</v>
      </c>
      <c r="AJ77" s="13">
        <f t="shared" si="83"/>
        <v>201102</v>
      </c>
      <c r="AK77" s="13">
        <f t="shared" si="84"/>
        <v>1102011</v>
      </c>
      <c r="AL77" s="13" t="s">
        <v>1127</v>
      </c>
      <c r="AM77" s="13">
        <f t="shared" si="85"/>
        <v>2</v>
      </c>
      <c r="AN77" s="13" t="str">
        <f t="shared" si="86"/>
        <v>张飞专属武器魂珠-2</v>
      </c>
      <c r="AO77" s="13">
        <f t="shared" si="87"/>
        <v>55</v>
      </c>
      <c r="AP77" s="13">
        <f t="shared" si="88"/>
        <v>3</v>
      </c>
      <c r="AQ77" s="13">
        <f t="shared" si="89"/>
        <v>0</v>
      </c>
      <c r="AT77" s="13">
        <v>74</v>
      </c>
      <c r="AU77" s="13">
        <f t="shared" si="90"/>
        <v>1</v>
      </c>
      <c r="AV77" s="14">
        <f t="shared" si="91"/>
        <v>200108</v>
      </c>
      <c r="AW77" s="14">
        <f t="shared" si="92"/>
        <v>1102001</v>
      </c>
      <c r="AX77" s="13" t="s">
        <v>1127</v>
      </c>
      <c r="AY77" s="13">
        <f t="shared" si="93"/>
        <v>8</v>
      </c>
      <c r="AZ77" s="13" t="s">
        <v>1148</v>
      </c>
      <c r="BA77" s="14">
        <f t="shared" si="94"/>
        <v>3</v>
      </c>
      <c r="BB77" s="14" t="str">
        <f t="shared" si="95"/>
        <v>关羽魂珠-8 等级-3</v>
      </c>
      <c r="BC77" s="25" t="s">
        <v>1156</v>
      </c>
      <c r="BD77" s="14">
        <f t="shared" si="96"/>
        <v>960</v>
      </c>
      <c r="BE77" s="14">
        <f>SUMIFS(BD$4:BD77,$AU$4:$AU77,"="&amp;$AU77,$AY$4:$AY77,"="&amp;$AY77)</f>
        <v>2160</v>
      </c>
      <c r="BF77" s="25" t="s">
        <v>1157</v>
      </c>
      <c r="BG77" s="14">
        <f t="shared" si="97"/>
        <v>384</v>
      </c>
      <c r="BH77" s="14">
        <f>SUMIFS(BG$4:BG77,AU$4:AU77,"="&amp;AU77,AY$4:AY77,"="&amp;AY77)</f>
        <v>864</v>
      </c>
      <c r="BI77" s="25" t="s">
        <v>1158</v>
      </c>
      <c r="BJ77" s="14">
        <f t="shared" si="98"/>
        <v>15360</v>
      </c>
      <c r="BK77" s="14">
        <f>SUMIFS(BJ$4:BJ77,$AU$4:$AU77,"="&amp;$AU77,$AY$4:$AY77,"="&amp;$AY77)</f>
        <v>34560</v>
      </c>
    </row>
    <row r="78" spans="1:63" ht="16.5" x14ac:dyDescent="0.2">
      <c r="A78" s="13">
        <v>6</v>
      </c>
      <c r="B78" s="13">
        <v>5</v>
      </c>
      <c r="C78" s="26">
        <f t="shared" si="102"/>
        <v>0.13333333333333333</v>
      </c>
      <c r="D78" s="14">
        <f t="shared" si="103"/>
        <v>667</v>
      </c>
      <c r="E78" s="14">
        <f t="shared" si="104"/>
        <v>333</v>
      </c>
      <c r="F78" s="14">
        <f t="shared" si="105"/>
        <v>6667</v>
      </c>
      <c r="G78" s="13">
        <v>650</v>
      </c>
      <c r="H78" s="13">
        <f t="shared" si="100"/>
        <v>325</v>
      </c>
      <c r="I78" s="13">
        <f t="shared" si="106"/>
        <v>13000</v>
      </c>
      <c r="J78" s="13" t="s">
        <v>1139</v>
      </c>
      <c r="K78" s="16"/>
      <c r="L78" s="16"/>
      <c r="M78" s="16"/>
      <c r="N78" s="13">
        <v>75</v>
      </c>
      <c r="O78" s="13">
        <f t="shared" si="80"/>
        <v>8</v>
      </c>
      <c r="P78" s="13">
        <f t="shared" si="81"/>
        <v>4</v>
      </c>
      <c r="Q78" s="13">
        <f t="shared" si="108"/>
        <v>960</v>
      </c>
      <c r="R78" s="13">
        <f t="shared" si="109"/>
        <v>480</v>
      </c>
      <c r="S78" s="13">
        <f t="shared" si="110"/>
        <v>19200</v>
      </c>
      <c r="T78" s="16"/>
      <c r="U78" s="16"/>
      <c r="AH78" s="13">
        <v>75</v>
      </c>
      <c r="AI78" s="13">
        <f t="shared" si="82"/>
        <v>10</v>
      </c>
      <c r="AJ78" s="13">
        <f t="shared" si="83"/>
        <v>201103</v>
      </c>
      <c r="AK78" s="13">
        <f t="shared" si="84"/>
        <v>1102011</v>
      </c>
      <c r="AL78" s="13" t="s">
        <v>1127</v>
      </c>
      <c r="AM78" s="13">
        <f t="shared" si="85"/>
        <v>3</v>
      </c>
      <c r="AN78" s="13" t="str">
        <f t="shared" si="86"/>
        <v>张飞专属武器魂珠-3</v>
      </c>
      <c r="AO78" s="13">
        <f t="shared" si="87"/>
        <v>75</v>
      </c>
      <c r="AP78" s="13">
        <f t="shared" si="88"/>
        <v>3</v>
      </c>
      <c r="AQ78" s="13">
        <f t="shared" si="89"/>
        <v>0</v>
      </c>
      <c r="AT78" s="13">
        <v>75</v>
      </c>
      <c r="AU78" s="13">
        <f t="shared" si="90"/>
        <v>1</v>
      </c>
      <c r="AV78" s="14">
        <f t="shared" si="91"/>
        <v>200108</v>
      </c>
      <c r="AW78" s="14">
        <f t="shared" si="92"/>
        <v>1102001</v>
      </c>
      <c r="AX78" s="13" t="s">
        <v>1127</v>
      </c>
      <c r="AY78" s="13">
        <f t="shared" si="93"/>
        <v>8</v>
      </c>
      <c r="AZ78" s="13" t="s">
        <v>1148</v>
      </c>
      <c r="BA78" s="14">
        <f t="shared" si="94"/>
        <v>4</v>
      </c>
      <c r="BB78" s="14" t="str">
        <f t="shared" si="95"/>
        <v>关羽魂珠-8 等级-4</v>
      </c>
      <c r="BC78" s="25" t="s">
        <v>1156</v>
      </c>
      <c r="BD78" s="14">
        <f t="shared" si="96"/>
        <v>1440</v>
      </c>
      <c r="BE78" s="14">
        <f>SUMIFS(BD$4:BD78,$AU$4:$AU78,"="&amp;$AU78,$AY$4:$AY78,"="&amp;$AY78)</f>
        <v>3600</v>
      </c>
      <c r="BF78" s="25" t="s">
        <v>1157</v>
      </c>
      <c r="BG78" s="14">
        <f t="shared" si="97"/>
        <v>576</v>
      </c>
      <c r="BH78" s="14">
        <f>SUMIFS(BG$4:BG78,AU$4:AU78,"="&amp;AU78,AY$4:AY78,"="&amp;AY78)</f>
        <v>1440</v>
      </c>
      <c r="BI78" s="25" t="s">
        <v>1158</v>
      </c>
      <c r="BJ78" s="14">
        <f t="shared" si="98"/>
        <v>23040</v>
      </c>
      <c r="BK78" s="14">
        <f>SUMIFS(BJ$4:BJ78,$AU$4:$AU78,"="&amp;$AU78,$AY$4:$AY78,"="&amp;$AY78)</f>
        <v>57600</v>
      </c>
    </row>
    <row r="79" spans="1:63" ht="16.5" x14ac:dyDescent="0.2">
      <c r="A79" s="13">
        <v>7</v>
      </c>
      <c r="B79" s="13">
        <v>6</v>
      </c>
      <c r="C79" s="26">
        <f t="shared" si="102"/>
        <v>0.16</v>
      </c>
      <c r="D79" s="14">
        <f t="shared" si="103"/>
        <v>800</v>
      </c>
      <c r="E79" s="14">
        <f t="shared" si="104"/>
        <v>400</v>
      </c>
      <c r="F79" s="14">
        <f t="shared" si="105"/>
        <v>8000</v>
      </c>
      <c r="G79" s="13">
        <v>800</v>
      </c>
      <c r="H79" s="13">
        <f t="shared" si="100"/>
        <v>400</v>
      </c>
      <c r="I79" s="13">
        <f t="shared" si="106"/>
        <v>16000</v>
      </c>
      <c r="J79" s="13" t="s">
        <v>1140</v>
      </c>
      <c r="K79" s="16"/>
      <c r="L79" s="16"/>
      <c r="M79" s="16"/>
      <c r="N79" s="13">
        <v>76</v>
      </c>
      <c r="O79" s="13">
        <f t="shared" si="80"/>
        <v>8</v>
      </c>
      <c r="P79" s="13">
        <f t="shared" si="81"/>
        <v>5</v>
      </c>
      <c r="Q79" s="13">
        <f t="shared" si="108"/>
        <v>1280</v>
      </c>
      <c r="R79" s="13">
        <f t="shared" si="109"/>
        <v>640</v>
      </c>
      <c r="S79" s="13">
        <f t="shared" si="110"/>
        <v>25600</v>
      </c>
      <c r="T79" s="16"/>
      <c r="U79" s="16"/>
      <c r="AH79" s="13">
        <v>76</v>
      </c>
      <c r="AI79" s="13">
        <f t="shared" si="82"/>
        <v>10</v>
      </c>
      <c r="AJ79" s="13">
        <f t="shared" si="83"/>
        <v>201104</v>
      </c>
      <c r="AK79" s="13">
        <f t="shared" si="84"/>
        <v>1102011</v>
      </c>
      <c r="AL79" s="13" t="s">
        <v>1127</v>
      </c>
      <c r="AM79" s="13">
        <f t="shared" si="85"/>
        <v>4</v>
      </c>
      <c r="AN79" s="13" t="str">
        <f t="shared" si="86"/>
        <v>张飞专属武器魂珠-4</v>
      </c>
      <c r="AO79" s="13">
        <f t="shared" si="87"/>
        <v>85</v>
      </c>
      <c r="AP79" s="13">
        <f t="shared" si="88"/>
        <v>3</v>
      </c>
      <c r="AQ79" s="13">
        <f t="shared" si="89"/>
        <v>1</v>
      </c>
      <c r="AT79" s="13">
        <v>76</v>
      </c>
      <c r="AU79" s="13">
        <f t="shared" si="90"/>
        <v>1</v>
      </c>
      <c r="AV79" s="14">
        <f t="shared" si="91"/>
        <v>200108</v>
      </c>
      <c r="AW79" s="14">
        <f t="shared" si="92"/>
        <v>1102001</v>
      </c>
      <c r="AX79" s="13" t="s">
        <v>1127</v>
      </c>
      <c r="AY79" s="13">
        <f t="shared" si="93"/>
        <v>8</v>
      </c>
      <c r="AZ79" s="13" t="s">
        <v>1148</v>
      </c>
      <c r="BA79" s="14">
        <f t="shared" si="94"/>
        <v>5</v>
      </c>
      <c r="BB79" s="14" t="str">
        <f t="shared" si="95"/>
        <v>关羽魂珠-8 等级-5</v>
      </c>
      <c r="BC79" s="25" t="s">
        <v>1156</v>
      </c>
      <c r="BD79" s="14">
        <f t="shared" si="96"/>
        <v>1920</v>
      </c>
      <c r="BE79" s="14">
        <f>SUMIFS(BD$4:BD79,$AU$4:$AU79,"="&amp;$AU79,$AY$4:$AY79,"="&amp;$AY79)</f>
        <v>5520</v>
      </c>
      <c r="BF79" s="25" t="s">
        <v>1157</v>
      </c>
      <c r="BG79" s="14">
        <f t="shared" si="97"/>
        <v>768</v>
      </c>
      <c r="BH79" s="14">
        <f>SUMIFS(BG$4:BG79,AU$4:AU79,"="&amp;AU79,AY$4:AY79,"="&amp;AY79)</f>
        <v>2208</v>
      </c>
      <c r="BI79" s="25" t="s">
        <v>1158</v>
      </c>
      <c r="BJ79" s="14">
        <f t="shared" si="98"/>
        <v>30720</v>
      </c>
      <c r="BK79" s="14">
        <f>SUMIFS(BJ$4:BJ79,$AU$4:$AU79,"="&amp;$AU79,$AY$4:$AY79,"="&amp;$AY79)</f>
        <v>88320</v>
      </c>
    </row>
    <row r="80" spans="1:63" ht="16.5" x14ac:dyDescent="0.2">
      <c r="A80" s="13">
        <v>8</v>
      </c>
      <c r="B80" s="13">
        <v>7</v>
      </c>
      <c r="C80" s="26">
        <f t="shared" si="102"/>
        <v>0.18666666666666668</v>
      </c>
      <c r="D80" s="14">
        <f t="shared" si="103"/>
        <v>933</v>
      </c>
      <c r="E80" s="14">
        <f t="shared" si="104"/>
        <v>467</v>
      </c>
      <c r="F80" s="14">
        <f t="shared" si="105"/>
        <v>9333</v>
      </c>
      <c r="G80" s="13">
        <v>950</v>
      </c>
      <c r="H80" s="13">
        <f t="shared" si="100"/>
        <v>475</v>
      </c>
      <c r="I80" s="13">
        <f t="shared" si="106"/>
        <v>19000</v>
      </c>
      <c r="J80" s="13" t="s">
        <v>1142</v>
      </c>
      <c r="K80" s="16"/>
      <c r="L80" s="16"/>
      <c r="M80" s="16"/>
      <c r="N80" s="13">
        <v>77</v>
      </c>
      <c r="O80" s="13">
        <f t="shared" si="80"/>
        <v>8</v>
      </c>
      <c r="P80" s="13">
        <f t="shared" si="81"/>
        <v>6</v>
      </c>
      <c r="Q80" s="13">
        <f t="shared" si="108"/>
        <v>1600</v>
      </c>
      <c r="R80" s="13">
        <f t="shared" si="109"/>
        <v>800</v>
      </c>
      <c r="S80" s="13">
        <f t="shared" si="110"/>
        <v>32000</v>
      </c>
      <c r="T80" s="16"/>
      <c r="U80" s="16"/>
      <c r="AH80" s="13">
        <v>77</v>
      </c>
      <c r="AI80" s="13">
        <f t="shared" si="82"/>
        <v>10</v>
      </c>
      <c r="AJ80" s="13">
        <f t="shared" si="83"/>
        <v>201105</v>
      </c>
      <c r="AK80" s="13">
        <f t="shared" si="84"/>
        <v>1102011</v>
      </c>
      <c r="AL80" s="13" t="s">
        <v>1127</v>
      </c>
      <c r="AM80" s="13">
        <f t="shared" si="85"/>
        <v>5</v>
      </c>
      <c r="AN80" s="13" t="str">
        <f t="shared" si="86"/>
        <v>张飞专属武器魂珠-5</v>
      </c>
      <c r="AO80" s="13">
        <f t="shared" si="87"/>
        <v>110</v>
      </c>
      <c r="AP80" s="13">
        <f t="shared" si="88"/>
        <v>3</v>
      </c>
      <c r="AQ80" s="13">
        <f t="shared" si="89"/>
        <v>2</v>
      </c>
      <c r="AT80" s="13">
        <v>77</v>
      </c>
      <c r="AU80" s="13">
        <f t="shared" si="90"/>
        <v>1</v>
      </c>
      <c r="AV80" s="14">
        <f t="shared" si="91"/>
        <v>200108</v>
      </c>
      <c r="AW80" s="14">
        <f t="shared" si="92"/>
        <v>1102001</v>
      </c>
      <c r="AX80" s="13" t="s">
        <v>1127</v>
      </c>
      <c r="AY80" s="13">
        <f t="shared" si="93"/>
        <v>8</v>
      </c>
      <c r="AZ80" s="13" t="s">
        <v>1148</v>
      </c>
      <c r="BA80" s="14">
        <f t="shared" si="94"/>
        <v>6</v>
      </c>
      <c r="BB80" s="14" t="str">
        <f t="shared" si="95"/>
        <v>关羽魂珠-8 等级-6</v>
      </c>
      <c r="BC80" s="25" t="s">
        <v>1156</v>
      </c>
      <c r="BD80" s="14">
        <f t="shared" si="96"/>
        <v>2400</v>
      </c>
      <c r="BE80" s="14">
        <f>SUMIFS(BD$4:BD80,$AU$4:$AU80,"="&amp;$AU80,$AY$4:$AY80,"="&amp;$AY80)</f>
        <v>7920</v>
      </c>
      <c r="BF80" s="25" t="s">
        <v>1157</v>
      </c>
      <c r="BG80" s="14">
        <f t="shared" si="97"/>
        <v>960</v>
      </c>
      <c r="BH80" s="14">
        <f>SUMIFS(BG$4:BG80,AU$4:AU80,"="&amp;AU80,AY$4:AY80,"="&amp;AY80)</f>
        <v>3168</v>
      </c>
      <c r="BI80" s="25" t="s">
        <v>1158</v>
      </c>
      <c r="BJ80" s="14">
        <f t="shared" si="98"/>
        <v>38400</v>
      </c>
      <c r="BK80" s="14">
        <f>SUMIFS(BJ$4:BJ80,$AU$4:$AU80,"="&amp;$AU80,$AY$4:$AY80,"="&amp;$AY80)</f>
        <v>126720</v>
      </c>
    </row>
    <row r="81" spans="1:63" ht="16.5" x14ac:dyDescent="0.2">
      <c r="A81" s="13">
        <v>9</v>
      </c>
      <c r="B81" s="13">
        <v>8</v>
      </c>
      <c r="C81" s="26">
        <f t="shared" si="102"/>
        <v>0.21333333333333335</v>
      </c>
      <c r="D81" s="14">
        <f t="shared" si="103"/>
        <v>1067</v>
      </c>
      <c r="E81" s="14">
        <f t="shared" si="104"/>
        <v>533</v>
      </c>
      <c r="F81" s="14">
        <f t="shared" si="105"/>
        <v>10667</v>
      </c>
      <c r="G81" s="13">
        <v>1100</v>
      </c>
      <c r="H81" s="13">
        <f t="shared" si="100"/>
        <v>550</v>
      </c>
      <c r="I81" s="13">
        <f t="shared" si="106"/>
        <v>22000</v>
      </c>
      <c r="J81" s="13" t="s">
        <v>1141</v>
      </c>
      <c r="K81" s="16"/>
      <c r="L81" s="16"/>
      <c r="M81" s="16"/>
      <c r="N81" s="13">
        <v>78</v>
      </c>
      <c r="O81" s="13">
        <f t="shared" si="80"/>
        <v>8</v>
      </c>
      <c r="P81" s="13">
        <f t="shared" si="81"/>
        <v>7</v>
      </c>
      <c r="Q81" s="13">
        <f t="shared" si="108"/>
        <v>1920</v>
      </c>
      <c r="R81" s="13">
        <f t="shared" si="109"/>
        <v>960</v>
      </c>
      <c r="S81" s="13">
        <f t="shared" si="110"/>
        <v>38400</v>
      </c>
      <c r="T81" s="16"/>
      <c r="U81" s="16"/>
      <c r="AH81" s="13">
        <v>78</v>
      </c>
      <c r="AI81" s="13">
        <f t="shared" si="82"/>
        <v>10</v>
      </c>
      <c r="AJ81" s="13">
        <f t="shared" si="83"/>
        <v>201106</v>
      </c>
      <c r="AK81" s="13">
        <f t="shared" si="84"/>
        <v>1102011</v>
      </c>
      <c r="AL81" s="13" t="s">
        <v>1127</v>
      </c>
      <c r="AM81" s="13">
        <f t="shared" si="85"/>
        <v>6</v>
      </c>
      <c r="AN81" s="13" t="str">
        <f t="shared" si="86"/>
        <v>张飞专属武器魂珠-6</v>
      </c>
      <c r="AO81" s="13">
        <f t="shared" si="87"/>
        <v>125</v>
      </c>
      <c r="AP81" s="13">
        <f t="shared" si="88"/>
        <v>3</v>
      </c>
      <c r="AQ81" s="13">
        <f t="shared" si="89"/>
        <v>3</v>
      </c>
      <c r="AT81" s="13">
        <v>78</v>
      </c>
      <c r="AU81" s="13">
        <f t="shared" si="90"/>
        <v>1</v>
      </c>
      <c r="AV81" s="14">
        <f t="shared" si="91"/>
        <v>200108</v>
      </c>
      <c r="AW81" s="14">
        <f t="shared" si="92"/>
        <v>1102001</v>
      </c>
      <c r="AX81" s="13" t="s">
        <v>1127</v>
      </c>
      <c r="AY81" s="13">
        <f t="shared" si="93"/>
        <v>8</v>
      </c>
      <c r="AZ81" s="13" t="s">
        <v>1148</v>
      </c>
      <c r="BA81" s="14">
        <f t="shared" si="94"/>
        <v>7</v>
      </c>
      <c r="BB81" s="14" t="str">
        <f t="shared" si="95"/>
        <v>关羽魂珠-8 等级-7</v>
      </c>
      <c r="BC81" s="25" t="s">
        <v>1156</v>
      </c>
      <c r="BD81" s="14">
        <f t="shared" si="96"/>
        <v>2880</v>
      </c>
      <c r="BE81" s="14">
        <f>SUMIFS(BD$4:BD81,$AU$4:$AU81,"="&amp;$AU81,$AY$4:$AY81,"="&amp;$AY81)</f>
        <v>10800</v>
      </c>
      <c r="BF81" s="25" t="s">
        <v>1157</v>
      </c>
      <c r="BG81" s="14">
        <f t="shared" si="97"/>
        <v>1152</v>
      </c>
      <c r="BH81" s="14">
        <f>SUMIFS(BG$4:BG81,AU$4:AU81,"="&amp;AU81,AY$4:AY81,"="&amp;AY81)</f>
        <v>4320</v>
      </c>
      <c r="BI81" s="25" t="s">
        <v>1158</v>
      </c>
      <c r="BJ81" s="14">
        <f t="shared" si="98"/>
        <v>46080</v>
      </c>
      <c r="BK81" s="14">
        <f>SUMIFS(BJ$4:BJ81,$AU$4:$AU81,"="&amp;$AU81,$AY$4:$AY81,"="&amp;$AY81)</f>
        <v>172800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0"/>
        <v>8</v>
      </c>
      <c r="P82" s="13">
        <f t="shared" si="81"/>
        <v>8</v>
      </c>
      <c r="Q82" s="13">
        <f t="shared" si="108"/>
        <v>2240</v>
      </c>
      <c r="R82" s="13">
        <f t="shared" si="109"/>
        <v>1120</v>
      </c>
      <c r="S82" s="13">
        <f t="shared" si="110"/>
        <v>44800</v>
      </c>
      <c r="T82" s="16"/>
      <c r="U82" s="16"/>
      <c r="AH82" s="13">
        <v>79</v>
      </c>
      <c r="AI82" s="13">
        <f t="shared" si="82"/>
        <v>10</v>
      </c>
      <c r="AJ82" s="13">
        <f t="shared" si="83"/>
        <v>201107</v>
      </c>
      <c r="AK82" s="13">
        <f t="shared" si="84"/>
        <v>1102011</v>
      </c>
      <c r="AL82" s="13" t="s">
        <v>1127</v>
      </c>
      <c r="AM82" s="13">
        <f t="shared" si="85"/>
        <v>7</v>
      </c>
      <c r="AN82" s="13" t="str">
        <f t="shared" si="86"/>
        <v>张飞专属武器魂珠-7</v>
      </c>
      <c r="AO82" s="13">
        <f t="shared" si="87"/>
        <v>135</v>
      </c>
      <c r="AP82" s="13">
        <f t="shared" si="88"/>
        <v>3</v>
      </c>
      <c r="AQ82" s="13">
        <f t="shared" si="89"/>
        <v>4</v>
      </c>
      <c r="AT82" s="13">
        <v>79</v>
      </c>
      <c r="AU82" s="13">
        <f t="shared" si="90"/>
        <v>1</v>
      </c>
      <c r="AV82" s="14">
        <f t="shared" si="91"/>
        <v>200108</v>
      </c>
      <c r="AW82" s="14">
        <f t="shared" si="92"/>
        <v>1102001</v>
      </c>
      <c r="AX82" s="13" t="s">
        <v>1127</v>
      </c>
      <c r="AY82" s="13">
        <f t="shared" si="93"/>
        <v>8</v>
      </c>
      <c r="AZ82" s="13" t="s">
        <v>1148</v>
      </c>
      <c r="BA82" s="14">
        <f t="shared" si="94"/>
        <v>8</v>
      </c>
      <c r="BB82" s="14" t="str">
        <f t="shared" si="95"/>
        <v>关羽魂珠-8 等级-8</v>
      </c>
      <c r="BC82" s="25" t="s">
        <v>1156</v>
      </c>
      <c r="BD82" s="14">
        <f t="shared" si="96"/>
        <v>3360</v>
      </c>
      <c r="BE82" s="14">
        <f>SUMIFS(BD$4:BD82,$AU$4:$AU82,"="&amp;$AU82,$AY$4:$AY82,"="&amp;$AY82)</f>
        <v>14160</v>
      </c>
      <c r="BF82" s="25" t="s">
        <v>1157</v>
      </c>
      <c r="BG82" s="14">
        <f t="shared" si="97"/>
        <v>1344</v>
      </c>
      <c r="BH82" s="14">
        <f>SUMIFS(BG$4:BG82,AU$4:AU82,"="&amp;AU82,AY$4:AY82,"="&amp;AY82)</f>
        <v>5664</v>
      </c>
      <c r="BI82" s="25" t="s">
        <v>1158</v>
      </c>
      <c r="BJ82" s="14">
        <f t="shared" si="98"/>
        <v>53760</v>
      </c>
      <c r="BK82" s="14">
        <f>SUMIFS(BJ$4:BJ82,$AU$4:$AU82,"="&amp;$AU82,$AY$4:$AY82,"="&amp;$AY82)</f>
        <v>226560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0"/>
        <v>8</v>
      </c>
      <c r="P83" s="13">
        <f t="shared" si="81"/>
        <v>9</v>
      </c>
      <c r="Q83" s="13">
        <f t="shared" si="108"/>
        <v>2560</v>
      </c>
      <c r="R83" s="13">
        <f t="shared" si="109"/>
        <v>1280</v>
      </c>
      <c r="S83" s="13">
        <f t="shared" si="110"/>
        <v>51200</v>
      </c>
      <c r="T83" s="16"/>
      <c r="U83" s="16"/>
      <c r="AH83" s="13">
        <v>80</v>
      </c>
      <c r="AI83" s="13">
        <f t="shared" si="82"/>
        <v>10</v>
      </c>
      <c r="AJ83" s="13">
        <f t="shared" si="83"/>
        <v>201108</v>
      </c>
      <c r="AK83" s="13">
        <f t="shared" si="84"/>
        <v>1102011</v>
      </c>
      <c r="AL83" s="13" t="s">
        <v>1127</v>
      </c>
      <c r="AM83" s="13">
        <f t="shared" si="85"/>
        <v>8</v>
      </c>
      <c r="AN83" s="13" t="str">
        <f t="shared" si="86"/>
        <v>张飞专属武器魂珠-8</v>
      </c>
      <c r="AO83" s="13">
        <f t="shared" si="87"/>
        <v>150</v>
      </c>
      <c r="AP83" s="13">
        <f t="shared" si="88"/>
        <v>3</v>
      </c>
      <c r="AQ83" s="13">
        <f t="shared" si="89"/>
        <v>5</v>
      </c>
      <c r="AT83" s="13">
        <v>80</v>
      </c>
      <c r="AU83" s="13">
        <f t="shared" si="90"/>
        <v>1</v>
      </c>
      <c r="AV83" s="14">
        <f t="shared" si="91"/>
        <v>200108</v>
      </c>
      <c r="AW83" s="14">
        <f t="shared" si="92"/>
        <v>1102001</v>
      </c>
      <c r="AX83" s="13" t="s">
        <v>1127</v>
      </c>
      <c r="AY83" s="13">
        <f t="shared" si="93"/>
        <v>8</v>
      </c>
      <c r="AZ83" s="13" t="s">
        <v>1148</v>
      </c>
      <c r="BA83" s="14">
        <f t="shared" si="94"/>
        <v>9</v>
      </c>
      <c r="BB83" s="14" t="str">
        <f t="shared" si="95"/>
        <v>关羽魂珠-8 等级-9</v>
      </c>
      <c r="BC83" s="25" t="s">
        <v>1156</v>
      </c>
      <c r="BD83" s="14">
        <f t="shared" si="96"/>
        <v>3840</v>
      </c>
      <c r="BE83" s="14">
        <f>SUMIFS(BD$4:BD83,$AU$4:$AU83,"="&amp;$AU83,$AY$4:$AY83,"="&amp;$AY83)</f>
        <v>18000</v>
      </c>
      <c r="BF83" s="25" t="s">
        <v>1157</v>
      </c>
      <c r="BG83" s="14">
        <f t="shared" si="97"/>
        <v>1536</v>
      </c>
      <c r="BH83" s="14">
        <f>SUMIFS(BG$4:BG83,AU$4:AU83,"="&amp;AU83,AY$4:AY83,"="&amp;AY83)</f>
        <v>7200</v>
      </c>
      <c r="BI83" s="25" t="s">
        <v>1158</v>
      </c>
      <c r="BJ83" s="14">
        <f t="shared" si="98"/>
        <v>61440</v>
      </c>
      <c r="BK83" s="14">
        <f>SUMIFS(BJ$4:BJ83,$AU$4:$AU83,"="&amp;$AU83,$AY$4:$AY83,"="&amp;$AY83)</f>
        <v>288000</v>
      </c>
    </row>
    <row r="84" spans="1:63" ht="20.25" x14ac:dyDescent="0.2">
      <c r="A84" s="71" t="s">
        <v>1110</v>
      </c>
      <c r="B84" s="71"/>
      <c r="C84" s="71"/>
      <c r="D84" s="71"/>
      <c r="E84" s="71"/>
      <c r="F84" s="71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2"/>
        <v>11</v>
      </c>
      <c r="AJ84" s="13">
        <f t="shared" si="83"/>
        <v>201201</v>
      </c>
      <c r="AK84" s="13">
        <f t="shared" si="84"/>
        <v>1102012</v>
      </c>
      <c r="AL84" s="13" t="s">
        <v>1127</v>
      </c>
      <c r="AM84" s="13">
        <f t="shared" si="85"/>
        <v>1</v>
      </c>
      <c r="AN84" s="13" t="str">
        <f t="shared" si="86"/>
        <v>夏侯惇专属武器魂珠-1</v>
      </c>
      <c r="AO84" s="13">
        <f t="shared" si="87"/>
        <v>40</v>
      </c>
      <c r="AP84" s="13">
        <f t="shared" si="88"/>
        <v>0</v>
      </c>
      <c r="AQ84" s="13">
        <f t="shared" si="89"/>
        <v>0</v>
      </c>
      <c r="AT84" s="13">
        <v>81</v>
      </c>
      <c r="AU84" s="13">
        <f t="shared" si="90"/>
        <v>2</v>
      </c>
      <c r="AV84" s="14">
        <f t="shared" si="91"/>
        <v>200201</v>
      </c>
      <c r="AW84" s="14">
        <f t="shared" si="92"/>
        <v>1102002</v>
      </c>
      <c r="AX84" s="13" t="s">
        <v>1127</v>
      </c>
      <c r="AY84" s="13">
        <f t="shared" si="93"/>
        <v>1</v>
      </c>
      <c r="AZ84" s="13" t="s">
        <v>1148</v>
      </c>
      <c r="BA84" s="14">
        <f t="shared" si="94"/>
        <v>0</v>
      </c>
      <c r="BB84" s="14" t="str">
        <f t="shared" si="95"/>
        <v>许褚魂珠-1 等级-0</v>
      </c>
      <c r="BC84" s="25" t="s">
        <v>1156</v>
      </c>
      <c r="BD84" s="14">
        <f t="shared" si="96"/>
        <v>0</v>
      </c>
      <c r="BE84" s="14">
        <f>SUMIFS(BD$4:BD84,$AU$4:$AU84,"="&amp;$AU84,$AY$4:$AY84,"="&amp;$AY84)</f>
        <v>0</v>
      </c>
      <c r="BF84" s="25" t="s">
        <v>1157</v>
      </c>
      <c r="BG84" s="14">
        <f t="shared" si="97"/>
        <v>0</v>
      </c>
      <c r="BH84" s="14">
        <f>SUMIFS(BG$4:BG84,AU$4:AU84,"="&amp;AU84,AY$4:AY84,"="&amp;AY84)</f>
        <v>0</v>
      </c>
      <c r="BI84" s="25" t="s">
        <v>1158</v>
      </c>
      <c r="BJ84" s="14">
        <f t="shared" si="98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2"/>
        <v>11</v>
      </c>
      <c r="AJ85" s="13">
        <f t="shared" si="83"/>
        <v>201202</v>
      </c>
      <c r="AK85" s="13">
        <f t="shared" si="84"/>
        <v>1102012</v>
      </c>
      <c r="AL85" s="13" t="s">
        <v>1127</v>
      </c>
      <c r="AM85" s="13">
        <f t="shared" si="85"/>
        <v>2</v>
      </c>
      <c r="AN85" s="13" t="str">
        <f t="shared" si="86"/>
        <v>夏侯惇专属武器魂珠-2</v>
      </c>
      <c r="AO85" s="13">
        <f t="shared" si="87"/>
        <v>55</v>
      </c>
      <c r="AP85" s="13">
        <f t="shared" si="88"/>
        <v>3</v>
      </c>
      <c r="AQ85" s="13">
        <f t="shared" si="89"/>
        <v>0</v>
      </c>
      <c r="AT85" s="13">
        <v>82</v>
      </c>
      <c r="AU85" s="13">
        <f t="shared" si="90"/>
        <v>2</v>
      </c>
      <c r="AV85" s="14">
        <f t="shared" si="91"/>
        <v>200201</v>
      </c>
      <c r="AW85" s="14">
        <f t="shared" si="92"/>
        <v>1102002</v>
      </c>
      <c r="AX85" s="13" t="s">
        <v>1127</v>
      </c>
      <c r="AY85" s="13">
        <f t="shared" si="93"/>
        <v>1</v>
      </c>
      <c r="AZ85" s="13" t="s">
        <v>1148</v>
      </c>
      <c r="BA85" s="14">
        <f t="shared" si="94"/>
        <v>1</v>
      </c>
      <c r="BB85" s="14" t="str">
        <f t="shared" si="95"/>
        <v>许褚魂珠-1 等级-1</v>
      </c>
      <c r="BC85" s="25" t="s">
        <v>1156</v>
      </c>
      <c r="BD85" s="14">
        <f t="shared" si="96"/>
        <v>36</v>
      </c>
      <c r="BE85" s="14">
        <f>SUMIFS(BD$4:BD85,$AU$4:$AU85,"="&amp;$AU85,$AY$4:$AY85,"="&amp;$AY85)</f>
        <v>36</v>
      </c>
      <c r="BF85" s="25" t="s">
        <v>1157</v>
      </c>
      <c r="BG85" s="14">
        <f t="shared" si="97"/>
        <v>20</v>
      </c>
      <c r="BH85" s="14">
        <f>SUMIFS(BG$4:BG85,AU$4:AU85,"="&amp;AU85,AY$4:AY85,"="&amp;AY85)</f>
        <v>20</v>
      </c>
      <c r="BI85" s="25" t="s">
        <v>1158</v>
      </c>
      <c r="BJ85" s="14">
        <f t="shared" si="98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1100</v>
      </c>
      <c r="B86" s="12" t="s">
        <v>1102</v>
      </c>
      <c r="C86" s="12" t="s">
        <v>1101</v>
      </c>
      <c r="D86" s="12" t="s">
        <v>1103</v>
      </c>
      <c r="E86" s="12" t="s">
        <v>1104</v>
      </c>
      <c r="F86" s="12" t="s">
        <v>1105</v>
      </c>
      <c r="G86" s="12" t="s">
        <v>1113</v>
      </c>
      <c r="H86" s="12" t="s">
        <v>1114</v>
      </c>
      <c r="I86" s="12" t="s">
        <v>1117</v>
      </c>
      <c r="J86" s="12" t="s">
        <v>1133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2"/>
        <v>11</v>
      </c>
      <c r="AJ86" s="13">
        <f t="shared" si="83"/>
        <v>201203</v>
      </c>
      <c r="AK86" s="13">
        <f t="shared" si="84"/>
        <v>1102012</v>
      </c>
      <c r="AL86" s="13" t="s">
        <v>1127</v>
      </c>
      <c r="AM86" s="13">
        <f t="shared" si="85"/>
        <v>3</v>
      </c>
      <c r="AN86" s="13" t="str">
        <f t="shared" si="86"/>
        <v>夏侯惇专属武器魂珠-3</v>
      </c>
      <c r="AO86" s="13">
        <f t="shared" si="87"/>
        <v>75</v>
      </c>
      <c r="AP86" s="13">
        <f t="shared" si="88"/>
        <v>3</v>
      </c>
      <c r="AQ86" s="13">
        <f t="shared" si="89"/>
        <v>0</v>
      </c>
      <c r="AT86" s="13">
        <v>83</v>
      </c>
      <c r="AU86" s="13">
        <f t="shared" si="90"/>
        <v>2</v>
      </c>
      <c r="AV86" s="14">
        <f t="shared" si="91"/>
        <v>200201</v>
      </c>
      <c r="AW86" s="14">
        <f t="shared" si="92"/>
        <v>1102002</v>
      </c>
      <c r="AX86" s="13" t="s">
        <v>1127</v>
      </c>
      <c r="AY86" s="13">
        <f t="shared" si="93"/>
        <v>1</v>
      </c>
      <c r="AZ86" s="13" t="s">
        <v>1148</v>
      </c>
      <c r="BA86" s="14">
        <f t="shared" si="94"/>
        <v>2</v>
      </c>
      <c r="BB86" s="14" t="str">
        <f t="shared" si="95"/>
        <v>许褚魂珠-1 等级-2</v>
      </c>
      <c r="BC86" s="25" t="s">
        <v>1156</v>
      </c>
      <c r="BD86" s="14">
        <f t="shared" si="96"/>
        <v>54</v>
      </c>
      <c r="BE86" s="14">
        <f>SUMIFS(BD$4:BD86,$AU$4:$AU86,"="&amp;$AU86,$AY$4:$AY86,"="&amp;$AY86)</f>
        <v>90</v>
      </c>
      <c r="BF86" s="25" t="s">
        <v>1157</v>
      </c>
      <c r="BG86" s="14">
        <f t="shared" si="97"/>
        <v>30</v>
      </c>
      <c r="BH86" s="14">
        <f>SUMIFS(BG$4:BG86,AU$4:AU86,"="&amp;AU86,AY$4:AY86,"="&amp;AY86)</f>
        <v>50</v>
      </c>
      <c r="BI86" s="25" t="s">
        <v>1158</v>
      </c>
      <c r="BJ86" s="14">
        <f t="shared" si="98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187</v>
      </c>
      <c r="E87" s="14">
        <f t="shared" ref="E87:F87" si="111">ROUND(H$9*$C87,0)</f>
        <v>93</v>
      </c>
      <c r="F87" s="14">
        <f t="shared" si="111"/>
        <v>1867</v>
      </c>
      <c r="G87" s="13">
        <v>180</v>
      </c>
      <c r="H87" s="13">
        <f t="shared" ref="H87:H95" si="112">G87/2</f>
        <v>90</v>
      </c>
      <c r="I87" s="13">
        <f t="shared" ref="I87" si="113">G87*20</f>
        <v>3600</v>
      </c>
      <c r="J87" s="13" t="s">
        <v>1134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2"/>
        <v>11</v>
      </c>
      <c r="AJ87" s="13">
        <f t="shared" si="83"/>
        <v>201204</v>
      </c>
      <c r="AK87" s="13">
        <f t="shared" si="84"/>
        <v>1102012</v>
      </c>
      <c r="AL87" s="13" t="s">
        <v>1127</v>
      </c>
      <c r="AM87" s="13">
        <f t="shared" si="85"/>
        <v>4</v>
      </c>
      <c r="AN87" s="13" t="str">
        <f t="shared" si="86"/>
        <v>夏侯惇专属武器魂珠-4</v>
      </c>
      <c r="AO87" s="13">
        <f t="shared" si="87"/>
        <v>85</v>
      </c>
      <c r="AP87" s="13">
        <f t="shared" si="88"/>
        <v>3</v>
      </c>
      <c r="AQ87" s="13">
        <f t="shared" si="89"/>
        <v>1</v>
      </c>
      <c r="AT87" s="13">
        <v>84</v>
      </c>
      <c r="AU87" s="13">
        <f t="shared" si="90"/>
        <v>2</v>
      </c>
      <c r="AV87" s="14">
        <f t="shared" si="91"/>
        <v>200201</v>
      </c>
      <c r="AW87" s="14">
        <f t="shared" si="92"/>
        <v>1102002</v>
      </c>
      <c r="AX87" s="13" t="s">
        <v>1127</v>
      </c>
      <c r="AY87" s="13">
        <f t="shared" si="93"/>
        <v>1</v>
      </c>
      <c r="AZ87" s="13" t="s">
        <v>1148</v>
      </c>
      <c r="BA87" s="14">
        <f t="shared" si="94"/>
        <v>3</v>
      </c>
      <c r="BB87" s="14" t="str">
        <f t="shared" si="95"/>
        <v>许褚魂珠-1 等级-3</v>
      </c>
      <c r="BC87" s="25" t="s">
        <v>1156</v>
      </c>
      <c r="BD87" s="14">
        <f t="shared" si="96"/>
        <v>72</v>
      </c>
      <c r="BE87" s="14">
        <f>SUMIFS(BD$4:BD87,$AU$4:$AU87,"="&amp;$AU87,$AY$4:$AY87,"="&amp;$AY87)</f>
        <v>162</v>
      </c>
      <c r="BF87" s="25" t="s">
        <v>1157</v>
      </c>
      <c r="BG87" s="14">
        <f t="shared" si="97"/>
        <v>40</v>
      </c>
      <c r="BH87" s="14">
        <f>SUMIFS(BG$4:BG87,AU$4:AU87,"="&amp;AU87,AY$4:AY87,"="&amp;AY87)</f>
        <v>90</v>
      </c>
      <c r="BI87" s="25" t="s">
        <v>1158</v>
      </c>
      <c r="BJ87" s="14">
        <f t="shared" si="98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4">B88/$B$15</f>
        <v>0.04</v>
      </c>
      <c r="D88" s="14">
        <f t="shared" ref="D88:D95" si="115">ROUND(G$9*$C88,0)</f>
        <v>280</v>
      </c>
      <c r="E88" s="14">
        <f t="shared" ref="E88:E95" si="116">ROUND(H$9*$C88,0)</f>
        <v>140</v>
      </c>
      <c r="F88" s="14">
        <f t="shared" ref="F88:F95" si="117">ROUND(I$9*$C88,0)</f>
        <v>2800</v>
      </c>
      <c r="G88" s="13">
        <v>280</v>
      </c>
      <c r="H88" s="13">
        <f t="shared" si="112"/>
        <v>140</v>
      </c>
      <c r="I88" s="13">
        <f t="shared" ref="I88:I95" si="118">G88*20</f>
        <v>5600</v>
      </c>
      <c r="J88" s="13" t="s">
        <v>1135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2"/>
        <v>11</v>
      </c>
      <c r="AJ88" s="13">
        <f t="shared" si="83"/>
        <v>201205</v>
      </c>
      <c r="AK88" s="13">
        <f t="shared" si="84"/>
        <v>1102012</v>
      </c>
      <c r="AL88" s="13" t="s">
        <v>1127</v>
      </c>
      <c r="AM88" s="13">
        <f t="shared" si="85"/>
        <v>5</v>
      </c>
      <c r="AN88" s="13" t="str">
        <f t="shared" si="86"/>
        <v>夏侯惇专属武器魂珠-5</v>
      </c>
      <c r="AO88" s="13">
        <f t="shared" si="87"/>
        <v>110</v>
      </c>
      <c r="AP88" s="13">
        <f t="shared" si="88"/>
        <v>3</v>
      </c>
      <c r="AQ88" s="13">
        <f t="shared" si="89"/>
        <v>2</v>
      </c>
      <c r="AT88" s="13">
        <v>85</v>
      </c>
      <c r="AU88" s="13">
        <f t="shared" si="90"/>
        <v>2</v>
      </c>
      <c r="AV88" s="14">
        <f t="shared" si="91"/>
        <v>200201</v>
      </c>
      <c r="AW88" s="14">
        <f t="shared" si="92"/>
        <v>1102002</v>
      </c>
      <c r="AX88" s="13" t="s">
        <v>1127</v>
      </c>
      <c r="AY88" s="13">
        <f t="shared" si="93"/>
        <v>1</v>
      </c>
      <c r="AZ88" s="13" t="s">
        <v>1148</v>
      </c>
      <c r="BA88" s="14">
        <f t="shared" si="94"/>
        <v>4</v>
      </c>
      <c r="BB88" s="14" t="str">
        <f t="shared" si="95"/>
        <v>许褚魂珠-1 等级-4</v>
      </c>
      <c r="BC88" s="25" t="s">
        <v>1156</v>
      </c>
      <c r="BD88" s="14">
        <f t="shared" si="96"/>
        <v>108</v>
      </c>
      <c r="BE88" s="14">
        <f>SUMIFS(BD$4:BD88,$AU$4:$AU88,"="&amp;$AU88,$AY$4:$AY88,"="&amp;$AY88)</f>
        <v>270</v>
      </c>
      <c r="BF88" s="25" t="s">
        <v>1157</v>
      </c>
      <c r="BG88" s="14">
        <f t="shared" si="97"/>
        <v>60</v>
      </c>
      <c r="BH88" s="14">
        <f>SUMIFS(BG$4:BG88,AU$4:AU88,"="&amp;AU88,AY$4:AY88,"="&amp;AY88)</f>
        <v>150</v>
      </c>
      <c r="BI88" s="25" t="s">
        <v>1158</v>
      </c>
      <c r="BJ88" s="14">
        <f t="shared" si="98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4"/>
        <v>5.3333333333333337E-2</v>
      </c>
      <c r="D89" s="14">
        <f t="shared" si="115"/>
        <v>373</v>
      </c>
      <c r="E89" s="14">
        <f t="shared" si="116"/>
        <v>187</v>
      </c>
      <c r="F89" s="14">
        <f t="shared" si="117"/>
        <v>3733</v>
      </c>
      <c r="G89" s="13">
        <v>375</v>
      </c>
      <c r="H89" s="13">
        <f t="shared" si="112"/>
        <v>187.5</v>
      </c>
      <c r="I89" s="13">
        <f t="shared" si="118"/>
        <v>7500</v>
      </c>
      <c r="J89" s="13" t="s">
        <v>1136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2"/>
        <v>11</v>
      </c>
      <c r="AJ89" s="13">
        <f t="shared" si="83"/>
        <v>201206</v>
      </c>
      <c r="AK89" s="13">
        <f t="shared" si="84"/>
        <v>1102012</v>
      </c>
      <c r="AL89" s="13" t="s">
        <v>1127</v>
      </c>
      <c r="AM89" s="13">
        <f t="shared" si="85"/>
        <v>6</v>
      </c>
      <c r="AN89" s="13" t="str">
        <f t="shared" si="86"/>
        <v>夏侯惇专属武器魂珠-6</v>
      </c>
      <c r="AO89" s="13">
        <f t="shared" si="87"/>
        <v>125</v>
      </c>
      <c r="AP89" s="13">
        <f t="shared" si="88"/>
        <v>3</v>
      </c>
      <c r="AQ89" s="13">
        <f t="shared" si="89"/>
        <v>3</v>
      </c>
      <c r="AT89" s="13">
        <v>86</v>
      </c>
      <c r="AU89" s="13">
        <f t="shared" si="90"/>
        <v>2</v>
      </c>
      <c r="AV89" s="14">
        <f t="shared" si="91"/>
        <v>200201</v>
      </c>
      <c r="AW89" s="14">
        <f t="shared" si="92"/>
        <v>1102002</v>
      </c>
      <c r="AX89" s="13" t="s">
        <v>1127</v>
      </c>
      <c r="AY89" s="13">
        <f t="shared" si="93"/>
        <v>1</v>
      </c>
      <c r="AZ89" s="13" t="s">
        <v>1148</v>
      </c>
      <c r="BA89" s="14">
        <f t="shared" si="94"/>
        <v>5</v>
      </c>
      <c r="BB89" s="14" t="str">
        <f t="shared" si="95"/>
        <v>许褚魂珠-1 等级-5</v>
      </c>
      <c r="BC89" s="25" t="s">
        <v>1156</v>
      </c>
      <c r="BD89" s="14">
        <f t="shared" si="96"/>
        <v>144</v>
      </c>
      <c r="BE89" s="14">
        <f>SUMIFS(BD$4:BD89,$AU$4:$AU89,"="&amp;$AU89,$AY$4:$AY89,"="&amp;$AY89)</f>
        <v>414</v>
      </c>
      <c r="BF89" s="25" t="s">
        <v>1157</v>
      </c>
      <c r="BG89" s="14">
        <f t="shared" si="97"/>
        <v>80</v>
      </c>
      <c r="BH89" s="14">
        <f>SUMIFS(BG$4:BG89,AU$4:AU89,"="&amp;AU89,AY$4:AY89,"="&amp;AY89)</f>
        <v>230</v>
      </c>
      <c r="BI89" s="25" t="s">
        <v>1158</v>
      </c>
      <c r="BJ89" s="14">
        <f t="shared" si="98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4"/>
        <v>0.08</v>
      </c>
      <c r="D90" s="14">
        <f t="shared" si="115"/>
        <v>560</v>
      </c>
      <c r="E90" s="14">
        <f t="shared" si="116"/>
        <v>280</v>
      </c>
      <c r="F90" s="14">
        <f t="shared" si="117"/>
        <v>5600</v>
      </c>
      <c r="G90" s="13">
        <v>560</v>
      </c>
      <c r="H90" s="13">
        <f t="shared" si="112"/>
        <v>280</v>
      </c>
      <c r="I90" s="13">
        <f t="shared" si="118"/>
        <v>11200</v>
      </c>
      <c r="J90" s="13" t="s">
        <v>1137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2"/>
        <v>11</v>
      </c>
      <c r="AJ90" s="13">
        <f t="shared" si="83"/>
        <v>201207</v>
      </c>
      <c r="AK90" s="13">
        <f t="shared" si="84"/>
        <v>1102012</v>
      </c>
      <c r="AL90" s="13" t="s">
        <v>1127</v>
      </c>
      <c r="AM90" s="13">
        <f t="shared" si="85"/>
        <v>7</v>
      </c>
      <c r="AN90" s="13" t="str">
        <f t="shared" si="86"/>
        <v>夏侯惇专属武器魂珠-7</v>
      </c>
      <c r="AO90" s="13">
        <f t="shared" si="87"/>
        <v>135</v>
      </c>
      <c r="AP90" s="13">
        <f t="shared" si="88"/>
        <v>3</v>
      </c>
      <c r="AQ90" s="13">
        <f t="shared" si="89"/>
        <v>4</v>
      </c>
      <c r="AT90" s="13">
        <v>87</v>
      </c>
      <c r="AU90" s="13">
        <f t="shared" si="90"/>
        <v>2</v>
      </c>
      <c r="AV90" s="14">
        <f t="shared" si="91"/>
        <v>200201</v>
      </c>
      <c r="AW90" s="14">
        <f t="shared" si="92"/>
        <v>1102002</v>
      </c>
      <c r="AX90" s="13" t="s">
        <v>1127</v>
      </c>
      <c r="AY90" s="13">
        <f t="shared" si="93"/>
        <v>1</v>
      </c>
      <c r="AZ90" s="13" t="s">
        <v>1148</v>
      </c>
      <c r="BA90" s="14">
        <f t="shared" si="94"/>
        <v>6</v>
      </c>
      <c r="BB90" s="14" t="str">
        <f t="shared" si="95"/>
        <v>许褚魂珠-1 等级-6</v>
      </c>
      <c r="BC90" s="25" t="s">
        <v>1156</v>
      </c>
      <c r="BD90" s="14">
        <f t="shared" si="96"/>
        <v>180</v>
      </c>
      <c r="BE90" s="14">
        <f>SUMIFS(BD$4:BD90,$AU$4:$AU90,"="&amp;$AU90,$AY$4:$AY90,"="&amp;$AY90)</f>
        <v>594</v>
      </c>
      <c r="BF90" s="25" t="s">
        <v>1157</v>
      </c>
      <c r="BG90" s="14">
        <f t="shared" si="97"/>
        <v>100</v>
      </c>
      <c r="BH90" s="14">
        <f>SUMIFS(BG$4:BG90,AU$4:AU90,"="&amp;AU90,AY$4:AY90,"="&amp;AY90)</f>
        <v>330</v>
      </c>
      <c r="BI90" s="25" t="s">
        <v>1158</v>
      </c>
      <c r="BJ90" s="14">
        <f t="shared" si="98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4"/>
        <v>0.10666666666666667</v>
      </c>
      <c r="D91" s="14">
        <f t="shared" si="115"/>
        <v>747</v>
      </c>
      <c r="E91" s="14">
        <f t="shared" si="116"/>
        <v>373</v>
      </c>
      <c r="F91" s="14">
        <f t="shared" si="117"/>
        <v>7467</v>
      </c>
      <c r="G91" s="13">
        <v>750</v>
      </c>
      <c r="H91" s="13">
        <f t="shared" si="112"/>
        <v>375</v>
      </c>
      <c r="I91" s="13">
        <f t="shared" si="118"/>
        <v>15000</v>
      </c>
      <c r="J91" s="13" t="s">
        <v>1138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2"/>
        <v>11</v>
      </c>
      <c r="AJ91" s="13">
        <f t="shared" si="83"/>
        <v>201208</v>
      </c>
      <c r="AK91" s="13">
        <f t="shared" si="84"/>
        <v>1102012</v>
      </c>
      <c r="AL91" s="13" t="s">
        <v>1127</v>
      </c>
      <c r="AM91" s="13">
        <f t="shared" si="85"/>
        <v>8</v>
      </c>
      <c r="AN91" s="13" t="str">
        <f t="shared" si="86"/>
        <v>夏侯惇专属武器魂珠-8</v>
      </c>
      <c r="AO91" s="13">
        <f t="shared" si="87"/>
        <v>150</v>
      </c>
      <c r="AP91" s="13">
        <f t="shared" si="88"/>
        <v>3</v>
      </c>
      <c r="AQ91" s="13">
        <f t="shared" si="89"/>
        <v>5</v>
      </c>
      <c r="AT91" s="13">
        <v>88</v>
      </c>
      <c r="AU91" s="13">
        <f t="shared" si="90"/>
        <v>2</v>
      </c>
      <c r="AV91" s="14">
        <f t="shared" si="91"/>
        <v>200201</v>
      </c>
      <c r="AW91" s="14">
        <f t="shared" si="92"/>
        <v>1102002</v>
      </c>
      <c r="AX91" s="13" t="s">
        <v>1127</v>
      </c>
      <c r="AY91" s="13">
        <f t="shared" si="93"/>
        <v>1</v>
      </c>
      <c r="AZ91" s="13" t="s">
        <v>1148</v>
      </c>
      <c r="BA91" s="14">
        <f t="shared" si="94"/>
        <v>7</v>
      </c>
      <c r="BB91" s="14" t="str">
        <f t="shared" si="95"/>
        <v>许褚魂珠-1 等级-7</v>
      </c>
      <c r="BC91" s="25" t="s">
        <v>1156</v>
      </c>
      <c r="BD91" s="14">
        <f t="shared" si="96"/>
        <v>216</v>
      </c>
      <c r="BE91" s="14">
        <f>SUMIFS(BD$4:BD91,$AU$4:$AU91,"="&amp;$AU91,$AY$4:$AY91,"="&amp;$AY91)</f>
        <v>810</v>
      </c>
      <c r="BF91" s="25" t="s">
        <v>1157</v>
      </c>
      <c r="BG91" s="14">
        <f t="shared" si="97"/>
        <v>120</v>
      </c>
      <c r="BH91" s="14">
        <f>SUMIFS(BG$4:BG91,AU$4:AU91,"="&amp;AU91,AY$4:AY91,"="&amp;AY91)</f>
        <v>450</v>
      </c>
      <c r="BI91" s="25" t="s">
        <v>1158</v>
      </c>
      <c r="BJ91" s="14">
        <f t="shared" si="98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4"/>
        <v>0.13333333333333333</v>
      </c>
      <c r="D92" s="14">
        <f t="shared" si="115"/>
        <v>933</v>
      </c>
      <c r="E92" s="14">
        <f t="shared" si="116"/>
        <v>467</v>
      </c>
      <c r="F92" s="14">
        <f t="shared" si="117"/>
        <v>9333</v>
      </c>
      <c r="G92" s="13">
        <v>950</v>
      </c>
      <c r="H92" s="13">
        <f t="shared" si="112"/>
        <v>475</v>
      </c>
      <c r="I92" s="13">
        <f t="shared" si="118"/>
        <v>19000</v>
      </c>
      <c r="J92" s="13" t="s">
        <v>1139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2"/>
        <v>12</v>
      </c>
      <c r="AJ92" s="13">
        <f t="shared" si="83"/>
        <v>201401</v>
      </c>
      <c r="AK92" s="13">
        <f t="shared" si="84"/>
        <v>1102014</v>
      </c>
      <c r="AL92" s="13" t="s">
        <v>1127</v>
      </c>
      <c r="AM92" s="13">
        <f t="shared" si="85"/>
        <v>1</v>
      </c>
      <c r="AN92" s="13" t="str">
        <f t="shared" si="86"/>
        <v>石灵明专属武器魂珠-1</v>
      </c>
      <c r="AO92" s="13">
        <f t="shared" si="87"/>
        <v>40</v>
      </c>
      <c r="AP92" s="13">
        <f t="shared" si="88"/>
        <v>0</v>
      </c>
      <c r="AQ92" s="13">
        <f t="shared" si="89"/>
        <v>0</v>
      </c>
      <c r="AT92" s="13">
        <v>89</v>
      </c>
      <c r="AU92" s="13">
        <f t="shared" si="90"/>
        <v>2</v>
      </c>
      <c r="AV92" s="14">
        <f t="shared" si="91"/>
        <v>200201</v>
      </c>
      <c r="AW92" s="14">
        <f t="shared" si="92"/>
        <v>1102002</v>
      </c>
      <c r="AX92" s="13" t="s">
        <v>1127</v>
      </c>
      <c r="AY92" s="13">
        <f t="shared" si="93"/>
        <v>1</v>
      </c>
      <c r="AZ92" s="13" t="s">
        <v>1148</v>
      </c>
      <c r="BA92" s="14">
        <f t="shared" si="94"/>
        <v>8</v>
      </c>
      <c r="BB92" s="14" t="str">
        <f t="shared" si="95"/>
        <v>许褚魂珠-1 等级-8</v>
      </c>
      <c r="BC92" s="25" t="s">
        <v>1156</v>
      </c>
      <c r="BD92" s="14">
        <f t="shared" si="96"/>
        <v>252</v>
      </c>
      <c r="BE92" s="14">
        <f>SUMIFS(BD$4:BD92,$AU$4:$AU92,"="&amp;$AU92,$AY$4:$AY92,"="&amp;$AY92)</f>
        <v>1062</v>
      </c>
      <c r="BF92" s="25" t="s">
        <v>1157</v>
      </c>
      <c r="BG92" s="14">
        <f t="shared" si="97"/>
        <v>140</v>
      </c>
      <c r="BH92" s="14">
        <f>SUMIFS(BG$4:BG92,AU$4:AU92,"="&amp;AU92,AY$4:AY92,"="&amp;AY92)</f>
        <v>590</v>
      </c>
      <c r="BI92" s="25" t="s">
        <v>1158</v>
      </c>
      <c r="BJ92" s="14">
        <f t="shared" si="98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4"/>
        <v>0.16</v>
      </c>
      <c r="D93" s="14">
        <f t="shared" si="115"/>
        <v>1120</v>
      </c>
      <c r="E93" s="14">
        <f t="shared" si="116"/>
        <v>560</v>
      </c>
      <c r="F93" s="14">
        <f t="shared" si="117"/>
        <v>11200</v>
      </c>
      <c r="G93" s="13">
        <v>1150</v>
      </c>
      <c r="H93" s="13">
        <f t="shared" si="112"/>
        <v>575</v>
      </c>
      <c r="I93" s="13">
        <f t="shared" si="118"/>
        <v>23000</v>
      </c>
      <c r="J93" s="13" t="s">
        <v>1140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2"/>
        <v>12</v>
      </c>
      <c r="AJ93" s="13">
        <f t="shared" si="83"/>
        <v>201402</v>
      </c>
      <c r="AK93" s="13">
        <f t="shared" si="84"/>
        <v>1102014</v>
      </c>
      <c r="AL93" s="13" t="s">
        <v>1127</v>
      </c>
      <c r="AM93" s="13">
        <f t="shared" si="85"/>
        <v>2</v>
      </c>
      <c r="AN93" s="13" t="str">
        <f t="shared" si="86"/>
        <v>石灵明专属武器魂珠-2</v>
      </c>
      <c r="AO93" s="13">
        <f t="shared" si="87"/>
        <v>55</v>
      </c>
      <c r="AP93" s="13">
        <f t="shared" si="88"/>
        <v>3</v>
      </c>
      <c r="AQ93" s="13">
        <f t="shared" si="89"/>
        <v>0</v>
      </c>
      <c r="AT93" s="13">
        <v>90</v>
      </c>
      <c r="AU93" s="13">
        <f t="shared" si="90"/>
        <v>2</v>
      </c>
      <c r="AV93" s="14">
        <f t="shared" si="91"/>
        <v>200201</v>
      </c>
      <c r="AW93" s="14">
        <f t="shared" si="92"/>
        <v>1102002</v>
      </c>
      <c r="AX93" s="13" t="s">
        <v>1127</v>
      </c>
      <c r="AY93" s="13">
        <f t="shared" si="93"/>
        <v>1</v>
      </c>
      <c r="AZ93" s="13" t="s">
        <v>1148</v>
      </c>
      <c r="BA93" s="14">
        <f t="shared" si="94"/>
        <v>9</v>
      </c>
      <c r="BB93" s="14" t="str">
        <f t="shared" si="95"/>
        <v>许褚魂珠-1 等级-9</v>
      </c>
      <c r="BC93" s="25" t="s">
        <v>1156</v>
      </c>
      <c r="BD93" s="14">
        <f t="shared" si="96"/>
        <v>288</v>
      </c>
      <c r="BE93" s="14">
        <f>SUMIFS(BD$4:BD93,$AU$4:$AU93,"="&amp;$AU93,$AY$4:$AY93,"="&amp;$AY93)</f>
        <v>1350</v>
      </c>
      <c r="BF93" s="25" t="s">
        <v>1157</v>
      </c>
      <c r="BG93" s="14">
        <f t="shared" si="97"/>
        <v>160</v>
      </c>
      <c r="BH93" s="14">
        <f>SUMIFS(BG$4:BG93,AU$4:AU93,"="&amp;AU93,AY$4:AY93,"="&amp;AY93)</f>
        <v>750</v>
      </c>
      <c r="BI93" s="25" t="s">
        <v>1158</v>
      </c>
      <c r="BJ93" s="14">
        <f t="shared" si="98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4"/>
        <v>0.18666666666666668</v>
      </c>
      <c r="D94" s="14">
        <f t="shared" si="115"/>
        <v>1307</v>
      </c>
      <c r="E94" s="14">
        <f t="shared" si="116"/>
        <v>653</v>
      </c>
      <c r="F94" s="14">
        <f t="shared" si="117"/>
        <v>13067</v>
      </c>
      <c r="G94" s="13">
        <v>1300</v>
      </c>
      <c r="H94" s="13">
        <f t="shared" si="112"/>
        <v>650</v>
      </c>
      <c r="I94" s="13">
        <f t="shared" si="118"/>
        <v>26000</v>
      </c>
      <c r="J94" s="13" t="s">
        <v>1142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2"/>
        <v>12</v>
      </c>
      <c r="AJ94" s="13">
        <f t="shared" si="83"/>
        <v>201403</v>
      </c>
      <c r="AK94" s="13">
        <f t="shared" si="84"/>
        <v>1102014</v>
      </c>
      <c r="AL94" s="13" t="s">
        <v>1127</v>
      </c>
      <c r="AM94" s="13">
        <f t="shared" si="85"/>
        <v>3</v>
      </c>
      <c r="AN94" s="13" t="str">
        <f t="shared" si="86"/>
        <v>石灵明专属武器魂珠-3</v>
      </c>
      <c r="AO94" s="13">
        <f t="shared" si="87"/>
        <v>75</v>
      </c>
      <c r="AP94" s="13">
        <f t="shared" si="88"/>
        <v>3</v>
      </c>
      <c r="AQ94" s="13">
        <f t="shared" si="89"/>
        <v>0</v>
      </c>
      <c r="AT94" s="13">
        <v>91</v>
      </c>
      <c r="AU94" s="13">
        <f t="shared" si="90"/>
        <v>2</v>
      </c>
      <c r="AV94" s="14">
        <f t="shared" si="91"/>
        <v>200202</v>
      </c>
      <c r="AW94" s="14">
        <f t="shared" si="92"/>
        <v>1102002</v>
      </c>
      <c r="AX94" s="13" t="s">
        <v>1127</v>
      </c>
      <c r="AY94" s="13">
        <f t="shared" si="93"/>
        <v>2</v>
      </c>
      <c r="AZ94" s="13" t="s">
        <v>1148</v>
      </c>
      <c r="BA94" s="14">
        <f t="shared" si="94"/>
        <v>0</v>
      </c>
      <c r="BB94" s="14" t="str">
        <f t="shared" si="95"/>
        <v>许褚魂珠-2 等级-0</v>
      </c>
      <c r="BC94" s="25" t="s">
        <v>1156</v>
      </c>
      <c r="BD94" s="14">
        <f t="shared" si="96"/>
        <v>0</v>
      </c>
      <c r="BE94" s="14">
        <f>SUMIFS(BD$4:BD94,$AU$4:$AU94,"="&amp;$AU94,$AY$4:$AY94,"="&amp;$AY94)</f>
        <v>0</v>
      </c>
      <c r="BF94" s="25" t="s">
        <v>1157</v>
      </c>
      <c r="BG94" s="14">
        <f t="shared" si="97"/>
        <v>0</v>
      </c>
      <c r="BH94" s="14">
        <f>SUMIFS(BG$4:BG94,AU$4:AU94,"="&amp;AU94,AY$4:AY94,"="&amp;AY94)</f>
        <v>0</v>
      </c>
      <c r="BI94" s="25" t="s">
        <v>1158</v>
      </c>
      <c r="BJ94" s="14">
        <f t="shared" si="98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4"/>
        <v>0.21333333333333335</v>
      </c>
      <c r="D95" s="14">
        <f t="shared" si="115"/>
        <v>1493</v>
      </c>
      <c r="E95" s="14">
        <f t="shared" si="116"/>
        <v>747</v>
      </c>
      <c r="F95" s="14">
        <f t="shared" si="117"/>
        <v>14933</v>
      </c>
      <c r="G95" s="13">
        <v>1500</v>
      </c>
      <c r="H95" s="13">
        <f t="shared" si="112"/>
        <v>750</v>
      </c>
      <c r="I95" s="13">
        <f t="shared" si="118"/>
        <v>30000</v>
      </c>
      <c r="J95" s="13" t="s">
        <v>1141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2"/>
        <v>12</v>
      </c>
      <c r="AJ95" s="13">
        <f t="shared" si="83"/>
        <v>201404</v>
      </c>
      <c r="AK95" s="13">
        <f t="shared" si="84"/>
        <v>1102014</v>
      </c>
      <c r="AL95" s="13" t="s">
        <v>1127</v>
      </c>
      <c r="AM95" s="13">
        <f t="shared" si="85"/>
        <v>4</v>
      </c>
      <c r="AN95" s="13" t="str">
        <f t="shared" si="86"/>
        <v>石灵明专属武器魂珠-4</v>
      </c>
      <c r="AO95" s="13">
        <f t="shared" si="87"/>
        <v>85</v>
      </c>
      <c r="AP95" s="13">
        <f t="shared" si="88"/>
        <v>3</v>
      </c>
      <c r="AQ95" s="13">
        <f t="shared" si="89"/>
        <v>1</v>
      </c>
      <c r="AT95" s="13">
        <v>92</v>
      </c>
      <c r="AU95" s="13">
        <f t="shared" si="90"/>
        <v>2</v>
      </c>
      <c r="AV95" s="14">
        <f t="shared" si="91"/>
        <v>200202</v>
      </c>
      <c r="AW95" s="14">
        <f t="shared" si="92"/>
        <v>1102002</v>
      </c>
      <c r="AX95" s="13" t="s">
        <v>1127</v>
      </c>
      <c r="AY95" s="13">
        <f t="shared" si="93"/>
        <v>2</v>
      </c>
      <c r="AZ95" s="13" t="s">
        <v>1148</v>
      </c>
      <c r="BA95" s="14">
        <f t="shared" si="94"/>
        <v>1</v>
      </c>
      <c r="BB95" s="14" t="str">
        <f t="shared" si="95"/>
        <v>许褚魂珠-2 等级-1</v>
      </c>
      <c r="BC95" s="25" t="s">
        <v>1156</v>
      </c>
      <c r="BD95" s="14">
        <f t="shared" si="96"/>
        <v>45</v>
      </c>
      <c r="BE95" s="14">
        <f>SUMIFS(BD$4:BD95,$AU$4:$AU95,"="&amp;$AU95,$AY$4:$AY95,"="&amp;$AY95)</f>
        <v>45</v>
      </c>
      <c r="BF95" s="25" t="s">
        <v>1157</v>
      </c>
      <c r="BG95" s="14">
        <f t="shared" si="97"/>
        <v>25</v>
      </c>
      <c r="BH95" s="14">
        <f>SUMIFS(BG$4:BG95,AU$4:AU95,"="&amp;AU95,AY$4:AY95,"="&amp;AY95)</f>
        <v>25</v>
      </c>
      <c r="BI95" s="25" t="s">
        <v>1158</v>
      </c>
      <c r="BJ95" s="14">
        <f t="shared" si="98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2"/>
        <v>12</v>
      </c>
      <c r="AJ96" s="13">
        <f t="shared" si="83"/>
        <v>201405</v>
      </c>
      <c r="AK96" s="13">
        <f t="shared" si="84"/>
        <v>1102014</v>
      </c>
      <c r="AL96" s="13" t="s">
        <v>1127</v>
      </c>
      <c r="AM96" s="13">
        <f t="shared" si="85"/>
        <v>5</v>
      </c>
      <c r="AN96" s="13" t="str">
        <f t="shared" si="86"/>
        <v>石灵明专属武器魂珠-5</v>
      </c>
      <c r="AO96" s="13">
        <f t="shared" si="87"/>
        <v>110</v>
      </c>
      <c r="AP96" s="13">
        <f t="shared" si="88"/>
        <v>3</v>
      </c>
      <c r="AQ96" s="13">
        <f t="shared" si="89"/>
        <v>2</v>
      </c>
      <c r="AT96" s="13">
        <v>93</v>
      </c>
      <c r="AU96" s="13">
        <f t="shared" si="90"/>
        <v>2</v>
      </c>
      <c r="AV96" s="14">
        <f t="shared" si="91"/>
        <v>200202</v>
      </c>
      <c r="AW96" s="14">
        <f t="shared" si="92"/>
        <v>1102002</v>
      </c>
      <c r="AX96" s="13" t="s">
        <v>1127</v>
      </c>
      <c r="AY96" s="13">
        <f t="shared" si="93"/>
        <v>2</v>
      </c>
      <c r="AZ96" s="13" t="s">
        <v>1148</v>
      </c>
      <c r="BA96" s="14">
        <f t="shared" si="94"/>
        <v>2</v>
      </c>
      <c r="BB96" s="14" t="str">
        <f t="shared" si="95"/>
        <v>许褚魂珠-2 等级-2</v>
      </c>
      <c r="BC96" s="25" t="s">
        <v>1156</v>
      </c>
      <c r="BD96" s="14">
        <f t="shared" si="96"/>
        <v>72</v>
      </c>
      <c r="BE96" s="14">
        <f>SUMIFS(BD$4:BD96,$AU$4:$AU96,"="&amp;$AU96,$AY$4:$AY96,"="&amp;$AY96)</f>
        <v>117</v>
      </c>
      <c r="BF96" s="25" t="s">
        <v>1157</v>
      </c>
      <c r="BG96" s="14">
        <f t="shared" si="97"/>
        <v>40</v>
      </c>
      <c r="BH96" s="14">
        <f>SUMIFS(BG$4:BG96,AU$4:AU96,"="&amp;AU96,AY$4:AY96,"="&amp;AY96)</f>
        <v>65</v>
      </c>
      <c r="BI96" s="25" t="s">
        <v>1158</v>
      </c>
      <c r="BJ96" s="14">
        <f t="shared" si="98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2"/>
        <v>12</v>
      </c>
      <c r="AJ97" s="13">
        <f t="shared" si="83"/>
        <v>201406</v>
      </c>
      <c r="AK97" s="13">
        <f t="shared" si="84"/>
        <v>1102014</v>
      </c>
      <c r="AL97" s="13" t="s">
        <v>1127</v>
      </c>
      <c r="AM97" s="13">
        <f t="shared" si="85"/>
        <v>6</v>
      </c>
      <c r="AN97" s="13" t="str">
        <f t="shared" si="86"/>
        <v>石灵明专属武器魂珠-6</v>
      </c>
      <c r="AO97" s="13">
        <f t="shared" si="87"/>
        <v>125</v>
      </c>
      <c r="AP97" s="13">
        <f t="shared" si="88"/>
        <v>3</v>
      </c>
      <c r="AQ97" s="13">
        <f t="shared" si="89"/>
        <v>3</v>
      </c>
      <c r="AT97" s="13">
        <v>94</v>
      </c>
      <c r="AU97" s="13">
        <f t="shared" si="90"/>
        <v>2</v>
      </c>
      <c r="AV97" s="14">
        <f t="shared" si="91"/>
        <v>200202</v>
      </c>
      <c r="AW97" s="14">
        <f t="shared" si="92"/>
        <v>1102002</v>
      </c>
      <c r="AX97" s="13" t="s">
        <v>1127</v>
      </c>
      <c r="AY97" s="13">
        <f t="shared" si="93"/>
        <v>2</v>
      </c>
      <c r="AZ97" s="13" t="s">
        <v>1148</v>
      </c>
      <c r="BA97" s="14">
        <f t="shared" si="94"/>
        <v>3</v>
      </c>
      <c r="BB97" s="14" t="str">
        <f t="shared" si="95"/>
        <v>许褚魂珠-2 等级-3</v>
      </c>
      <c r="BC97" s="25" t="s">
        <v>1156</v>
      </c>
      <c r="BD97" s="14">
        <f t="shared" si="96"/>
        <v>90</v>
      </c>
      <c r="BE97" s="14">
        <f>SUMIFS(BD$4:BD97,$AU$4:$AU97,"="&amp;$AU97,$AY$4:$AY97,"="&amp;$AY97)</f>
        <v>207</v>
      </c>
      <c r="BF97" s="25" t="s">
        <v>1157</v>
      </c>
      <c r="BG97" s="14">
        <f t="shared" si="97"/>
        <v>50</v>
      </c>
      <c r="BH97" s="14">
        <f>SUMIFS(BG$4:BG97,AU$4:AU97,"="&amp;AU97,AY$4:AY97,"="&amp;AY97)</f>
        <v>115</v>
      </c>
      <c r="BI97" s="25" t="s">
        <v>1158</v>
      </c>
      <c r="BJ97" s="14">
        <f t="shared" si="98"/>
        <v>2200</v>
      </c>
      <c r="BK97" s="14">
        <f>SUMIFS(BJ$4:BJ97,$AU$4:$AU97,"="&amp;$AU97,$AY$4:$AY97,"="&amp;$AY97)</f>
        <v>5060</v>
      </c>
    </row>
    <row r="98" spans="1:63" ht="20.25" x14ac:dyDescent="0.2">
      <c r="A98" s="71" t="s">
        <v>1111</v>
      </c>
      <c r="B98" s="71"/>
      <c r="C98" s="71"/>
      <c r="D98" s="71"/>
      <c r="E98" s="71"/>
      <c r="F98" s="71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2"/>
        <v>12</v>
      </c>
      <c r="AJ98" s="13">
        <f t="shared" si="83"/>
        <v>201407</v>
      </c>
      <c r="AK98" s="13">
        <f t="shared" si="84"/>
        <v>1102014</v>
      </c>
      <c r="AL98" s="13" t="s">
        <v>1127</v>
      </c>
      <c r="AM98" s="13">
        <f t="shared" si="85"/>
        <v>7</v>
      </c>
      <c r="AN98" s="13" t="str">
        <f t="shared" si="86"/>
        <v>石灵明专属武器魂珠-7</v>
      </c>
      <c r="AO98" s="13">
        <f t="shared" si="87"/>
        <v>135</v>
      </c>
      <c r="AP98" s="13">
        <f t="shared" si="88"/>
        <v>3</v>
      </c>
      <c r="AQ98" s="13">
        <f t="shared" si="89"/>
        <v>4</v>
      </c>
      <c r="AT98" s="13">
        <v>95</v>
      </c>
      <c r="AU98" s="13">
        <f t="shared" si="90"/>
        <v>2</v>
      </c>
      <c r="AV98" s="14">
        <f t="shared" si="91"/>
        <v>200202</v>
      </c>
      <c r="AW98" s="14">
        <f t="shared" si="92"/>
        <v>1102002</v>
      </c>
      <c r="AX98" s="13" t="s">
        <v>1127</v>
      </c>
      <c r="AY98" s="13">
        <f t="shared" si="93"/>
        <v>2</v>
      </c>
      <c r="AZ98" s="13" t="s">
        <v>1148</v>
      </c>
      <c r="BA98" s="14">
        <f t="shared" si="94"/>
        <v>4</v>
      </c>
      <c r="BB98" s="14" t="str">
        <f t="shared" si="95"/>
        <v>许褚魂珠-2 等级-4</v>
      </c>
      <c r="BC98" s="25" t="s">
        <v>1156</v>
      </c>
      <c r="BD98" s="14">
        <f t="shared" si="96"/>
        <v>144</v>
      </c>
      <c r="BE98" s="14">
        <f>SUMIFS(BD$4:BD98,$AU$4:$AU98,"="&amp;$AU98,$AY$4:$AY98,"="&amp;$AY98)</f>
        <v>351</v>
      </c>
      <c r="BF98" s="25" t="s">
        <v>1157</v>
      </c>
      <c r="BG98" s="14">
        <f t="shared" si="97"/>
        <v>80</v>
      </c>
      <c r="BH98" s="14">
        <f>SUMIFS(BG$4:BG98,AU$4:AU98,"="&amp;AU98,AY$4:AY98,"="&amp;AY98)</f>
        <v>195</v>
      </c>
      <c r="BI98" s="25" t="s">
        <v>1158</v>
      </c>
      <c r="BJ98" s="14">
        <f t="shared" si="98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2"/>
        <v>12</v>
      </c>
      <c r="AJ99" s="13">
        <f t="shared" si="83"/>
        <v>201408</v>
      </c>
      <c r="AK99" s="13">
        <f t="shared" si="84"/>
        <v>1102014</v>
      </c>
      <c r="AL99" s="13" t="s">
        <v>1127</v>
      </c>
      <c r="AM99" s="13">
        <f t="shared" si="85"/>
        <v>8</v>
      </c>
      <c r="AN99" s="13" t="str">
        <f t="shared" si="86"/>
        <v>石灵明专属武器魂珠-8</v>
      </c>
      <c r="AO99" s="13">
        <f t="shared" si="87"/>
        <v>150</v>
      </c>
      <c r="AP99" s="13">
        <f t="shared" si="88"/>
        <v>3</v>
      </c>
      <c r="AQ99" s="13">
        <f t="shared" si="89"/>
        <v>5</v>
      </c>
      <c r="AT99" s="13">
        <v>96</v>
      </c>
      <c r="AU99" s="13">
        <f t="shared" si="90"/>
        <v>2</v>
      </c>
      <c r="AV99" s="14">
        <f t="shared" si="91"/>
        <v>200202</v>
      </c>
      <c r="AW99" s="14">
        <f t="shared" si="92"/>
        <v>1102002</v>
      </c>
      <c r="AX99" s="13" t="s">
        <v>1127</v>
      </c>
      <c r="AY99" s="13">
        <f t="shared" si="93"/>
        <v>2</v>
      </c>
      <c r="AZ99" s="13" t="s">
        <v>1148</v>
      </c>
      <c r="BA99" s="14">
        <f t="shared" si="94"/>
        <v>5</v>
      </c>
      <c r="BB99" s="14" t="str">
        <f t="shared" si="95"/>
        <v>许褚魂珠-2 等级-5</v>
      </c>
      <c r="BC99" s="25" t="s">
        <v>1156</v>
      </c>
      <c r="BD99" s="14">
        <f t="shared" si="96"/>
        <v>198</v>
      </c>
      <c r="BE99" s="14">
        <f>SUMIFS(BD$4:BD99,$AU$4:$AU99,"="&amp;$AU99,$AY$4:$AY99,"="&amp;$AY99)</f>
        <v>549</v>
      </c>
      <c r="BF99" s="25" t="s">
        <v>1157</v>
      </c>
      <c r="BG99" s="14">
        <f t="shared" si="97"/>
        <v>110</v>
      </c>
      <c r="BH99" s="14">
        <f>SUMIFS(BG$4:BG99,AU$4:AU99,"="&amp;AU99,AY$4:AY99,"="&amp;AY99)</f>
        <v>305</v>
      </c>
      <c r="BI99" s="25" t="s">
        <v>1158</v>
      </c>
      <c r="BJ99" s="14">
        <f t="shared" si="98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1100</v>
      </c>
      <c r="B100" s="12" t="s">
        <v>1102</v>
      </c>
      <c r="C100" s="12" t="s">
        <v>1101</v>
      </c>
      <c r="D100" s="12" t="s">
        <v>1103</v>
      </c>
      <c r="E100" s="12" t="s">
        <v>1104</v>
      </c>
      <c r="F100" s="12" t="s">
        <v>1105</v>
      </c>
      <c r="G100" s="12" t="s">
        <v>1113</v>
      </c>
      <c r="H100" s="12" t="s">
        <v>1114</v>
      </c>
      <c r="I100" s="12" t="s">
        <v>1117</v>
      </c>
      <c r="J100" s="12" t="s">
        <v>1133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2"/>
        <v>13</v>
      </c>
      <c r="AJ100" s="13">
        <f t="shared" si="83"/>
        <v>201601</v>
      </c>
      <c r="AK100" s="13">
        <f t="shared" si="84"/>
        <v>1102016</v>
      </c>
      <c r="AL100" s="13" t="s">
        <v>1127</v>
      </c>
      <c r="AM100" s="13">
        <f t="shared" si="85"/>
        <v>1</v>
      </c>
      <c r="AN100" s="13" t="str">
        <f t="shared" si="86"/>
        <v>西方龙专属武器魂珠-1</v>
      </c>
      <c r="AO100" s="13">
        <f t="shared" si="87"/>
        <v>40</v>
      </c>
      <c r="AP100" s="13">
        <f t="shared" si="88"/>
        <v>0</v>
      </c>
      <c r="AQ100" s="13">
        <f t="shared" si="89"/>
        <v>0</v>
      </c>
      <c r="AT100" s="13">
        <v>97</v>
      </c>
      <c r="AU100" s="13">
        <f t="shared" si="90"/>
        <v>2</v>
      </c>
      <c r="AV100" s="14">
        <f t="shared" si="91"/>
        <v>200202</v>
      </c>
      <c r="AW100" s="14">
        <f t="shared" si="92"/>
        <v>1102002</v>
      </c>
      <c r="AX100" s="13" t="s">
        <v>1127</v>
      </c>
      <c r="AY100" s="13">
        <f t="shared" si="93"/>
        <v>2</v>
      </c>
      <c r="AZ100" s="13" t="s">
        <v>1148</v>
      </c>
      <c r="BA100" s="14">
        <f t="shared" si="94"/>
        <v>6</v>
      </c>
      <c r="BB100" s="14" t="str">
        <f t="shared" si="95"/>
        <v>许褚魂珠-2 等级-6</v>
      </c>
      <c r="BC100" s="25" t="s">
        <v>1156</v>
      </c>
      <c r="BD100" s="14">
        <f t="shared" si="96"/>
        <v>252</v>
      </c>
      <c r="BE100" s="14">
        <f>SUMIFS(BD$4:BD100,$AU$4:$AU100,"="&amp;$AU100,$AY$4:$AY100,"="&amp;$AY100)</f>
        <v>801</v>
      </c>
      <c r="BF100" s="25" t="s">
        <v>1157</v>
      </c>
      <c r="BG100" s="14">
        <f t="shared" si="97"/>
        <v>140</v>
      </c>
      <c r="BH100" s="14">
        <f>SUMIFS(BG$4:BG100,AU$4:AU100,"="&amp;AU100,AY$4:AY100,"="&amp;AY100)</f>
        <v>445</v>
      </c>
      <c r="BI100" s="25" t="s">
        <v>1158</v>
      </c>
      <c r="BJ100" s="14">
        <f t="shared" si="98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240</v>
      </c>
      <c r="E101" s="14">
        <f t="shared" ref="E101:F101" si="119">ROUND(H$10*$C101,0)</f>
        <v>120</v>
      </c>
      <c r="F101" s="14">
        <f t="shared" si="119"/>
        <v>2400</v>
      </c>
      <c r="G101" s="13">
        <v>240</v>
      </c>
      <c r="H101" s="13">
        <f t="shared" ref="H101:H109" si="120">G101/2</f>
        <v>120</v>
      </c>
      <c r="I101" s="13">
        <f t="shared" ref="I101" si="121">G101*20</f>
        <v>4800</v>
      </c>
      <c r="J101" s="13" t="s">
        <v>1134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2"/>
        <v>13</v>
      </c>
      <c r="AJ101" s="13">
        <f t="shared" si="83"/>
        <v>201602</v>
      </c>
      <c r="AK101" s="13">
        <f t="shared" si="84"/>
        <v>1102016</v>
      </c>
      <c r="AL101" s="13" t="s">
        <v>1127</v>
      </c>
      <c r="AM101" s="13">
        <f t="shared" si="85"/>
        <v>2</v>
      </c>
      <c r="AN101" s="13" t="str">
        <f t="shared" si="86"/>
        <v>西方龙专属武器魂珠-2</v>
      </c>
      <c r="AO101" s="13">
        <f t="shared" si="87"/>
        <v>55</v>
      </c>
      <c r="AP101" s="13">
        <f t="shared" si="88"/>
        <v>3</v>
      </c>
      <c r="AQ101" s="13">
        <f t="shared" si="89"/>
        <v>0</v>
      </c>
      <c r="AT101" s="13">
        <v>98</v>
      </c>
      <c r="AU101" s="13">
        <f t="shared" si="90"/>
        <v>2</v>
      </c>
      <c r="AV101" s="14">
        <f t="shared" si="91"/>
        <v>200202</v>
      </c>
      <c r="AW101" s="14">
        <f t="shared" si="92"/>
        <v>1102002</v>
      </c>
      <c r="AX101" s="13" t="s">
        <v>1127</v>
      </c>
      <c r="AY101" s="13">
        <f t="shared" si="93"/>
        <v>2</v>
      </c>
      <c r="AZ101" s="13" t="s">
        <v>1148</v>
      </c>
      <c r="BA101" s="14">
        <f t="shared" si="94"/>
        <v>7</v>
      </c>
      <c r="BB101" s="14" t="str">
        <f t="shared" si="95"/>
        <v>许褚魂珠-2 等级-7</v>
      </c>
      <c r="BC101" s="25" t="s">
        <v>1156</v>
      </c>
      <c r="BD101" s="14">
        <f t="shared" si="96"/>
        <v>288</v>
      </c>
      <c r="BE101" s="14">
        <f>SUMIFS(BD$4:BD101,$AU$4:$AU101,"="&amp;$AU101,$AY$4:$AY101,"="&amp;$AY101)</f>
        <v>1089</v>
      </c>
      <c r="BF101" s="25" t="s">
        <v>1157</v>
      </c>
      <c r="BG101" s="14">
        <f t="shared" si="97"/>
        <v>160</v>
      </c>
      <c r="BH101" s="14">
        <f>SUMIFS(BG$4:BG101,AU$4:AU101,"="&amp;AU101,AY$4:AY101,"="&amp;AY101)</f>
        <v>605</v>
      </c>
      <c r="BI101" s="25" t="s">
        <v>1158</v>
      </c>
      <c r="BJ101" s="14">
        <f t="shared" si="98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2">B102/$B$15</f>
        <v>0.04</v>
      </c>
      <c r="D102" s="14">
        <f t="shared" ref="D102:D109" si="123">ROUND(G$10*$C102,0)</f>
        <v>360</v>
      </c>
      <c r="E102" s="14">
        <f t="shared" ref="E102:E109" si="124">ROUND(H$10*$C102,0)</f>
        <v>180</v>
      </c>
      <c r="F102" s="14">
        <f t="shared" ref="F102:F109" si="125">ROUND(I$10*$C102,0)</f>
        <v>3600</v>
      </c>
      <c r="G102" s="13">
        <v>360</v>
      </c>
      <c r="H102" s="13">
        <f t="shared" si="120"/>
        <v>180</v>
      </c>
      <c r="I102" s="13">
        <f t="shared" ref="I102:I109" si="126">G102*20</f>
        <v>7200</v>
      </c>
      <c r="J102" s="13" t="s">
        <v>1135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2"/>
        <v>13</v>
      </c>
      <c r="AJ102" s="13">
        <f t="shared" si="83"/>
        <v>201603</v>
      </c>
      <c r="AK102" s="13">
        <f t="shared" si="84"/>
        <v>1102016</v>
      </c>
      <c r="AL102" s="13" t="s">
        <v>1127</v>
      </c>
      <c r="AM102" s="13">
        <f t="shared" si="85"/>
        <v>3</v>
      </c>
      <c r="AN102" s="13" t="str">
        <f t="shared" si="86"/>
        <v>西方龙专属武器魂珠-3</v>
      </c>
      <c r="AO102" s="13">
        <f t="shared" si="87"/>
        <v>75</v>
      </c>
      <c r="AP102" s="13">
        <f t="shared" si="88"/>
        <v>3</v>
      </c>
      <c r="AQ102" s="13">
        <f t="shared" si="89"/>
        <v>0</v>
      </c>
      <c r="AT102" s="13">
        <v>99</v>
      </c>
      <c r="AU102" s="13">
        <f t="shared" si="90"/>
        <v>2</v>
      </c>
      <c r="AV102" s="14">
        <f t="shared" si="91"/>
        <v>200202</v>
      </c>
      <c r="AW102" s="14">
        <f t="shared" si="92"/>
        <v>1102002</v>
      </c>
      <c r="AX102" s="13" t="s">
        <v>1127</v>
      </c>
      <c r="AY102" s="13">
        <f t="shared" si="93"/>
        <v>2</v>
      </c>
      <c r="AZ102" s="13" t="s">
        <v>1148</v>
      </c>
      <c r="BA102" s="14">
        <f t="shared" si="94"/>
        <v>8</v>
      </c>
      <c r="BB102" s="14" t="str">
        <f t="shared" si="95"/>
        <v>许褚魂珠-2 等级-8</v>
      </c>
      <c r="BC102" s="25" t="s">
        <v>1156</v>
      </c>
      <c r="BD102" s="14">
        <f t="shared" si="96"/>
        <v>342</v>
      </c>
      <c r="BE102" s="14">
        <f>SUMIFS(BD$4:BD102,$AU$4:$AU102,"="&amp;$AU102,$AY$4:$AY102,"="&amp;$AY102)</f>
        <v>1431</v>
      </c>
      <c r="BF102" s="25" t="s">
        <v>1157</v>
      </c>
      <c r="BG102" s="14">
        <f t="shared" si="97"/>
        <v>190</v>
      </c>
      <c r="BH102" s="14">
        <f>SUMIFS(BG$4:BG102,AU$4:AU102,"="&amp;AU102,AY$4:AY102,"="&amp;AY102)</f>
        <v>795</v>
      </c>
      <c r="BI102" s="25" t="s">
        <v>1158</v>
      </c>
      <c r="BJ102" s="14">
        <f t="shared" si="98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2"/>
        <v>5.3333333333333337E-2</v>
      </c>
      <c r="D103" s="14">
        <f t="shared" si="123"/>
        <v>480</v>
      </c>
      <c r="E103" s="14">
        <f t="shared" si="124"/>
        <v>240</v>
      </c>
      <c r="F103" s="14">
        <f t="shared" si="125"/>
        <v>4800</v>
      </c>
      <c r="G103" s="13">
        <v>480</v>
      </c>
      <c r="H103" s="13">
        <f t="shared" si="120"/>
        <v>240</v>
      </c>
      <c r="I103" s="13">
        <f t="shared" si="126"/>
        <v>9600</v>
      </c>
      <c r="J103" s="13" t="s">
        <v>1136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2"/>
        <v>13</v>
      </c>
      <c r="AJ103" s="13">
        <f t="shared" si="83"/>
        <v>201604</v>
      </c>
      <c r="AK103" s="13">
        <f t="shared" si="84"/>
        <v>1102016</v>
      </c>
      <c r="AL103" s="13" t="s">
        <v>1127</v>
      </c>
      <c r="AM103" s="13">
        <f t="shared" si="85"/>
        <v>4</v>
      </c>
      <c r="AN103" s="13" t="str">
        <f t="shared" si="86"/>
        <v>西方龙专属武器魂珠-4</v>
      </c>
      <c r="AO103" s="13">
        <f t="shared" si="87"/>
        <v>85</v>
      </c>
      <c r="AP103" s="13">
        <f t="shared" si="88"/>
        <v>3</v>
      </c>
      <c r="AQ103" s="13">
        <f t="shared" si="89"/>
        <v>1</v>
      </c>
      <c r="AT103" s="13">
        <v>100</v>
      </c>
      <c r="AU103" s="13">
        <f t="shared" si="90"/>
        <v>2</v>
      </c>
      <c r="AV103" s="14">
        <f t="shared" si="91"/>
        <v>200202</v>
      </c>
      <c r="AW103" s="14">
        <f t="shared" si="92"/>
        <v>1102002</v>
      </c>
      <c r="AX103" s="13" t="s">
        <v>1127</v>
      </c>
      <c r="AY103" s="13">
        <f t="shared" si="93"/>
        <v>2</v>
      </c>
      <c r="AZ103" s="13" t="s">
        <v>1148</v>
      </c>
      <c r="BA103" s="14">
        <f t="shared" si="94"/>
        <v>9</v>
      </c>
      <c r="BB103" s="14" t="str">
        <f t="shared" si="95"/>
        <v>许褚魂珠-2 等级-9</v>
      </c>
      <c r="BC103" s="25" t="s">
        <v>1156</v>
      </c>
      <c r="BD103" s="14">
        <f t="shared" si="96"/>
        <v>405</v>
      </c>
      <c r="BE103" s="14">
        <f>SUMIFS(BD$4:BD103,$AU$4:$AU103,"="&amp;$AU103,$AY$4:$AY103,"="&amp;$AY103)</f>
        <v>1836</v>
      </c>
      <c r="BF103" s="25" t="s">
        <v>1157</v>
      </c>
      <c r="BG103" s="14">
        <f t="shared" si="97"/>
        <v>225</v>
      </c>
      <c r="BH103" s="14">
        <f>SUMIFS(BG$4:BG103,AU$4:AU103,"="&amp;AU103,AY$4:AY103,"="&amp;AY103)</f>
        <v>1020</v>
      </c>
      <c r="BI103" s="25" t="s">
        <v>1158</v>
      </c>
      <c r="BJ103" s="14">
        <f t="shared" si="98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2"/>
        <v>0.08</v>
      </c>
      <c r="D104" s="14">
        <f t="shared" si="123"/>
        <v>720</v>
      </c>
      <c r="E104" s="14">
        <f t="shared" si="124"/>
        <v>360</v>
      </c>
      <c r="F104" s="14">
        <f t="shared" si="125"/>
        <v>7200</v>
      </c>
      <c r="G104" s="13">
        <v>720</v>
      </c>
      <c r="H104" s="13">
        <f t="shared" si="120"/>
        <v>360</v>
      </c>
      <c r="I104" s="13">
        <f t="shared" si="126"/>
        <v>14400</v>
      </c>
      <c r="J104" s="13" t="s">
        <v>1137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2"/>
        <v>13</v>
      </c>
      <c r="AJ104" s="13">
        <f t="shared" si="83"/>
        <v>201605</v>
      </c>
      <c r="AK104" s="13">
        <f t="shared" si="84"/>
        <v>1102016</v>
      </c>
      <c r="AL104" s="13" t="s">
        <v>1127</v>
      </c>
      <c r="AM104" s="13">
        <f t="shared" si="85"/>
        <v>5</v>
      </c>
      <c r="AN104" s="13" t="str">
        <f t="shared" si="86"/>
        <v>西方龙专属武器魂珠-5</v>
      </c>
      <c r="AO104" s="13">
        <f t="shared" si="87"/>
        <v>110</v>
      </c>
      <c r="AP104" s="13">
        <f t="shared" si="88"/>
        <v>3</v>
      </c>
      <c r="AQ104" s="13">
        <f t="shared" si="89"/>
        <v>2</v>
      </c>
      <c r="AT104" s="13">
        <v>101</v>
      </c>
      <c r="AU104" s="13">
        <f t="shared" si="90"/>
        <v>2</v>
      </c>
      <c r="AV104" s="14">
        <f t="shared" si="91"/>
        <v>200203</v>
      </c>
      <c r="AW104" s="14">
        <f t="shared" si="92"/>
        <v>1102002</v>
      </c>
      <c r="AX104" s="13" t="s">
        <v>1127</v>
      </c>
      <c r="AY104" s="13">
        <f t="shared" si="93"/>
        <v>3</v>
      </c>
      <c r="AZ104" s="13" t="s">
        <v>1148</v>
      </c>
      <c r="BA104" s="14">
        <f t="shared" si="94"/>
        <v>0</v>
      </c>
      <c r="BB104" s="14" t="str">
        <f t="shared" si="95"/>
        <v>许褚魂珠-3 等级-0</v>
      </c>
      <c r="BC104" s="25" t="s">
        <v>1156</v>
      </c>
      <c r="BD104" s="14">
        <f t="shared" si="96"/>
        <v>0</v>
      </c>
      <c r="BE104" s="14">
        <f>SUMIFS(BD$4:BD104,$AU$4:$AU104,"="&amp;$AU104,$AY$4:$AY104,"="&amp;$AY104)</f>
        <v>0</v>
      </c>
      <c r="BF104" s="25" t="s">
        <v>1157</v>
      </c>
      <c r="BG104" s="14">
        <f t="shared" si="97"/>
        <v>0</v>
      </c>
      <c r="BH104" s="14">
        <f>SUMIFS(BG$4:BG104,AU$4:AU104,"="&amp;AU104,AY$4:AY104,"="&amp;AY104)</f>
        <v>0</v>
      </c>
      <c r="BI104" s="25" t="s">
        <v>1158</v>
      </c>
      <c r="BJ104" s="14">
        <f t="shared" si="98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2"/>
        <v>0.10666666666666667</v>
      </c>
      <c r="D105" s="14">
        <f t="shared" si="123"/>
        <v>960</v>
      </c>
      <c r="E105" s="14">
        <f t="shared" si="124"/>
        <v>480</v>
      </c>
      <c r="F105" s="14">
        <f t="shared" si="125"/>
        <v>9600</v>
      </c>
      <c r="G105" s="13">
        <v>960</v>
      </c>
      <c r="H105" s="13">
        <f t="shared" si="120"/>
        <v>480</v>
      </c>
      <c r="I105" s="13">
        <f t="shared" si="126"/>
        <v>19200</v>
      </c>
      <c r="J105" s="13" t="s">
        <v>1138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2"/>
        <v>13</v>
      </c>
      <c r="AJ105" s="13">
        <f t="shared" si="83"/>
        <v>201606</v>
      </c>
      <c r="AK105" s="13">
        <f t="shared" si="84"/>
        <v>1102016</v>
      </c>
      <c r="AL105" s="13" t="s">
        <v>1127</v>
      </c>
      <c r="AM105" s="13">
        <f t="shared" si="85"/>
        <v>6</v>
      </c>
      <c r="AN105" s="13" t="str">
        <f t="shared" si="86"/>
        <v>西方龙专属武器魂珠-6</v>
      </c>
      <c r="AO105" s="13">
        <f t="shared" si="87"/>
        <v>125</v>
      </c>
      <c r="AP105" s="13">
        <f t="shared" si="88"/>
        <v>3</v>
      </c>
      <c r="AQ105" s="13">
        <f t="shared" si="89"/>
        <v>3</v>
      </c>
      <c r="AT105" s="13">
        <v>102</v>
      </c>
      <c r="AU105" s="13">
        <f t="shared" si="90"/>
        <v>2</v>
      </c>
      <c r="AV105" s="14">
        <f t="shared" si="91"/>
        <v>200203</v>
      </c>
      <c r="AW105" s="14">
        <f t="shared" si="92"/>
        <v>1102002</v>
      </c>
      <c r="AX105" s="13" t="s">
        <v>1127</v>
      </c>
      <c r="AY105" s="13">
        <f t="shared" si="93"/>
        <v>3</v>
      </c>
      <c r="AZ105" s="13" t="s">
        <v>1148</v>
      </c>
      <c r="BA105" s="14">
        <f t="shared" si="94"/>
        <v>1</v>
      </c>
      <c r="BB105" s="14" t="str">
        <f t="shared" si="95"/>
        <v>许褚魂珠-3 等级-1</v>
      </c>
      <c r="BC105" s="25" t="s">
        <v>1156</v>
      </c>
      <c r="BD105" s="14">
        <f t="shared" si="96"/>
        <v>72</v>
      </c>
      <c r="BE105" s="14">
        <f>SUMIFS(BD$4:BD105,$AU$4:$AU105,"="&amp;$AU105,$AY$4:$AY105,"="&amp;$AY105)</f>
        <v>72</v>
      </c>
      <c r="BF105" s="25" t="s">
        <v>1157</v>
      </c>
      <c r="BG105" s="14">
        <f t="shared" si="97"/>
        <v>40</v>
      </c>
      <c r="BH105" s="14">
        <f>SUMIFS(BG$4:BG105,AU$4:AU105,"="&amp;AU105,AY$4:AY105,"="&amp;AY105)</f>
        <v>40</v>
      </c>
      <c r="BI105" s="25" t="s">
        <v>1158</v>
      </c>
      <c r="BJ105" s="14">
        <f t="shared" si="98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2"/>
        <v>0.13333333333333333</v>
      </c>
      <c r="D106" s="14">
        <f t="shared" si="123"/>
        <v>1200</v>
      </c>
      <c r="E106" s="14">
        <f t="shared" si="124"/>
        <v>600</v>
      </c>
      <c r="F106" s="14">
        <f t="shared" si="125"/>
        <v>12000</v>
      </c>
      <c r="G106" s="13">
        <v>1200</v>
      </c>
      <c r="H106" s="13">
        <f t="shared" si="120"/>
        <v>600</v>
      </c>
      <c r="I106" s="13">
        <f t="shared" si="126"/>
        <v>24000</v>
      </c>
      <c r="J106" s="13" t="s">
        <v>1139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2"/>
        <v>13</v>
      </c>
      <c r="AJ106" s="13">
        <f t="shared" si="83"/>
        <v>201607</v>
      </c>
      <c r="AK106" s="13">
        <f t="shared" si="84"/>
        <v>1102016</v>
      </c>
      <c r="AL106" s="13" t="s">
        <v>1127</v>
      </c>
      <c r="AM106" s="13">
        <f t="shared" si="85"/>
        <v>7</v>
      </c>
      <c r="AN106" s="13" t="str">
        <f t="shared" si="86"/>
        <v>西方龙专属武器魂珠-7</v>
      </c>
      <c r="AO106" s="13">
        <f t="shared" si="87"/>
        <v>135</v>
      </c>
      <c r="AP106" s="13">
        <f t="shared" si="88"/>
        <v>3</v>
      </c>
      <c r="AQ106" s="13">
        <f t="shared" si="89"/>
        <v>4</v>
      </c>
      <c r="AT106" s="13">
        <v>103</v>
      </c>
      <c r="AU106" s="13">
        <f t="shared" si="90"/>
        <v>2</v>
      </c>
      <c r="AV106" s="14">
        <f t="shared" si="91"/>
        <v>200203</v>
      </c>
      <c r="AW106" s="14">
        <f t="shared" si="92"/>
        <v>1102002</v>
      </c>
      <c r="AX106" s="13" t="s">
        <v>1127</v>
      </c>
      <c r="AY106" s="13">
        <f t="shared" si="93"/>
        <v>3</v>
      </c>
      <c r="AZ106" s="13" t="s">
        <v>1148</v>
      </c>
      <c r="BA106" s="14">
        <f t="shared" si="94"/>
        <v>2</v>
      </c>
      <c r="BB106" s="14" t="str">
        <f t="shared" si="95"/>
        <v>许褚魂珠-3 等级-2</v>
      </c>
      <c r="BC106" s="25" t="s">
        <v>1156</v>
      </c>
      <c r="BD106" s="14">
        <f t="shared" si="96"/>
        <v>108</v>
      </c>
      <c r="BE106" s="14">
        <f>SUMIFS(BD$4:BD106,$AU$4:$AU106,"="&amp;$AU106,$AY$4:$AY106,"="&amp;$AY106)</f>
        <v>180</v>
      </c>
      <c r="BF106" s="25" t="s">
        <v>1157</v>
      </c>
      <c r="BG106" s="14">
        <f t="shared" si="97"/>
        <v>60</v>
      </c>
      <c r="BH106" s="14">
        <f>SUMIFS(BG$4:BG106,AU$4:AU106,"="&amp;AU106,AY$4:AY106,"="&amp;AY106)</f>
        <v>100</v>
      </c>
      <c r="BI106" s="25" t="s">
        <v>1158</v>
      </c>
      <c r="BJ106" s="14">
        <f t="shared" si="98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2"/>
        <v>0.16</v>
      </c>
      <c r="D107" s="14">
        <f t="shared" si="123"/>
        <v>1440</v>
      </c>
      <c r="E107" s="14">
        <f t="shared" si="124"/>
        <v>720</v>
      </c>
      <c r="F107" s="14">
        <f t="shared" si="125"/>
        <v>14400</v>
      </c>
      <c r="G107" s="13">
        <v>1440</v>
      </c>
      <c r="H107" s="13">
        <f t="shared" si="120"/>
        <v>720</v>
      </c>
      <c r="I107" s="13">
        <f t="shared" si="126"/>
        <v>28800</v>
      </c>
      <c r="J107" s="13" t="s">
        <v>1140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2"/>
        <v>13</v>
      </c>
      <c r="AJ107" s="13">
        <f t="shared" si="83"/>
        <v>201608</v>
      </c>
      <c r="AK107" s="13">
        <f t="shared" si="84"/>
        <v>1102016</v>
      </c>
      <c r="AL107" s="13" t="s">
        <v>1127</v>
      </c>
      <c r="AM107" s="13">
        <f t="shared" si="85"/>
        <v>8</v>
      </c>
      <c r="AN107" s="13" t="str">
        <f t="shared" si="86"/>
        <v>西方龙专属武器魂珠-8</v>
      </c>
      <c r="AO107" s="13">
        <f t="shared" si="87"/>
        <v>150</v>
      </c>
      <c r="AP107" s="13">
        <f t="shared" si="88"/>
        <v>3</v>
      </c>
      <c r="AQ107" s="13">
        <f t="shared" si="89"/>
        <v>5</v>
      </c>
      <c r="AT107" s="13">
        <v>104</v>
      </c>
      <c r="AU107" s="13">
        <f t="shared" si="90"/>
        <v>2</v>
      </c>
      <c r="AV107" s="14">
        <f t="shared" si="91"/>
        <v>200203</v>
      </c>
      <c r="AW107" s="14">
        <f t="shared" si="92"/>
        <v>1102002</v>
      </c>
      <c r="AX107" s="13" t="s">
        <v>1127</v>
      </c>
      <c r="AY107" s="13">
        <f t="shared" si="93"/>
        <v>3</v>
      </c>
      <c r="AZ107" s="13" t="s">
        <v>1148</v>
      </c>
      <c r="BA107" s="14">
        <f t="shared" si="94"/>
        <v>3</v>
      </c>
      <c r="BB107" s="14" t="str">
        <f t="shared" si="95"/>
        <v>许褚魂珠-3 等级-3</v>
      </c>
      <c r="BC107" s="25" t="s">
        <v>1156</v>
      </c>
      <c r="BD107" s="14">
        <f t="shared" si="96"/>
        <v>144</v>
      </c>
      <c r="BE107" s="14">
        <f>SUMIFS(BD$4:BD107,$AU$4:$AU107,"="&amp;$AU107,$AY$4:$AY107,"="&amp;$AY107)</f>
        <v>324</v>
      </c>
      <c r="BF107" s="25" t="s">
        <v>1157</v>
      </c>
      <c r="BG107" s="14">
        <f t="shared" si="97"/>
        <v>80</v>
      </c>
      <c r="BH107" s="14">
        <f>SUMIFS(BG$4:BG107,AU$4:AU107,"="&amp;AU107,AY$4:AY107,"="&amp;AY107)</f>
        <v>180</v>
      </c>
      <c r="BI107" s="25" t="s">
        <v>1158</v>
      </c>
      <c r="BJ107" s="14">
        <f t="shared" si="98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2"/>
        <v>0.18666666666666668</v>
      </c>
      <c r="D108" s="14">
        <f t="shared" si="123"/>
        <v>1680</v>
      </c>
      <c r="E108" s="14">
        <f t="shared" si="124"/>
        <v>840</v>
      </c>
      <c r="F108" s="14">
        <f t="shared" si="125"/>
        <v>16800</v>
      </c>
      <c r="G108" s="13">
        <v>1680</v>
      </c>
      <c r="H108" s="13">
        <f t="shared" si="120"/>
        <v>840</v>
      </c>
      <c r="I108" s="13">
        <f t="shared" si="126"/>
        <v>33600</v>
      </c>
      <c r="J108" s="13" t="s">
        <v>1142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2"/>
        <v>14</v>
      </c>
      <c r="AJ108" s="13">
        <f t="shared" si="83"/>
        <v>201701</v>
      </c>
      <c r="AK108" s="13">
        <f t="shared" si="84"/>
        <v>1102017</v>
      </c>
      <c r="AL108" s="13" t="s">
        <v>1127</v>
      </c>
      <c r="AM108" s="13">
        <f t="shared" si="85"/>
        <v>1</v>
      </c>
      <c r="AN108" s="13" t="str">
        <f t="shared" si="86"/>
        <v>飞廉专属武器魂珠-1</v>
      </c>
      <c r="AO108" s="13">
        <f t="shared" si="87"/>
        <v>40</v>
      </c>
      <c r="AP108" s="13">
        <f t="shared" si="88"/>
        <v>0</v>
      </c>
      <c r="AQ108" s="13">
        <f t="shared" si="89"/>
        <v>0</v>
      </c>
      <c r="AT108" s="13">
        <v>105</v>
      </c>
      <c r="AU108" s="13">
        <f t="shared" si="90"/>
        <v>2</v>
      </c>
      <c r="AV108" s="14">
        <f t="shared" si="91"/>
        <v>200203</v>
      </c>
      <c r="AW108" s="14">
        <f t="shared" si="92"/>
        <v>1102002</v>
      </c>
      <c r="AX108" s="13" t="s">
        <v>1127</v>
      </c>
      <c r="AY108" s="13">
        <f t="shared" si="93"/>
        <v>3</v>
      </c>
      <c r="AZ108" s="13" t="s">
        <v>1148</v>
      </c>
      <c r="BA108" s="14">
        <f t="shared" si="94"/>
        <v>4</v>
      </c>
      <c r="BB108" s="14" t="str">
        <f t="shared" si="95"/>
        <v>许褚魂珠-3 等级-4</v>
      </c>
      <c r="BC108" s="25" t="s">
        <v>1156</v>
      </c>
      <c r="BD108" s="14">
        <f t="shared" si="96"/>
        <v>216</v>
      </c>
      <c r="BE108" s="14">
        <f>SUMIFS(BD$4:BD108,$AU$4:$AU108,"="&amp;$AU108,$AY$4:$AY108,"="&amp;$AY108)</f>
        <v>540</v>
      </c>
      <c r="BF108" s="25" t="s">
        <v>1157</v>
      </c>
      <c r="BG108" s="14">
        <f t="shared" si="97"/>
        <v>120</v>
      </c>
      <c r="BH108" s="14">
        <f>SUMIFS(BG$4:BG108,AU$4:AU108,"="&amp;AU108,AY$4:AY108,"="&amp;AY108)</f>
        <v>300</v>
      </c>
      <c r="BI108" s="25" t="s">
        <v>1158</v>
      </c>
      <c r="BJ108" s="14">
        <f t="shared" si="98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2"/>
        <v>0.21333333333333335</v>
      </c>
      <c r="D109" s="14">
        <f t="shared" si="123"/>
        <v>1920</v>
      </c>
      <c r="E109" s="14">
        <f t="shared" si="124"/>
        <v>960</v>
      </c>
      <c r="F109" s="14">
        <f t="shared" si="125"/>
        <v>19200</v>
      </c>
      <c r="G109" s="13">
        <v>1920</v>
      </c>
      <c r="H109" s="13">
        <f t="shared" si="120"/>
        <v>960</v>
      </c>
      <c r="I109" s="13">
        <f t="shared" si="126"/>
        <v>38400</v>
      </c>
      <c r="J109" s="13" t="s">
        <v>1141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2"/>
        <v>14</v>
      </c>
      <c r="AJ109" s="13">
        <f t="shared" si="83"/>
        <v>201702</v>
      </c>
      <c r="AK109" s="13">
        <f t="shared" si="84"/>
        <v>1102017</v>
      </c>
      <c r="AL109" s="13" t="s">
        <v>1127</v>
      </c>
      <c r="AM109" s="13">
        <f t="shared" si="85"/>
        <v>2</v>
      </c>
      <c r="AN109" s="13" t="str">
        <f t="shared" si="86"/>
        <v>飞廉专属武器魂珠-2</v>
      </c>
      <c r="AO109" s="13">
        <f t="shared" si="87"/>
        <v>55</v>
      </c>
      <c r="AP109" s="13">
        <f t="shared" si="88"/>
        <v>3</v>
      </c>
      <c r="AQ109" s="13">
        <f t="shared" si="89"/>
        <v>0</v>
      </c>
      <c r="AT109" s="13">
        <v>106</v>
      </c>
      <c r="AU109" s="13">
        <f t="shared" si="90"/>
        <v>2</v>
      </c>
      <c r="AV109" s="14">
        <f t="shared" si="91"/>
        <v>200203</v>
      </c>
      <c r="AW109" s="14">
        <f t="shared" si="92"/>
        <v>1102002</v>
      </c>
      <c r="AX109" s="13" t="s">
        <v>1127</v>
      </c>
      <c r="AY109" s="13">
        <f t="shared" si="93"/>
        <v>3</v>
      </c>
      <c r="AZ109" s="13" t="s">
        <v>1148</v>
      </c>
      <c r="BA109" s="14">
        <f t="shared" si="94"/>
        <v>5</v>
      </c>
      <c r="BB109" s="14" t="str">
        <f t="shared" si="95"/>
        <v>许褚魂珠-3 等级-5</v>
      </c>
      <c r="BC109" s="25" t="s">
        <v>1156</v>
      </c>
      <c r="BD109" s="14">
        <f t="shared" si="96"/>
        <v>288</v>
      </c>
      <c r="BE109" s="14">
        <f>SUMIFS(BD$4:BD109,$AU$4:$AU109,"="&amp;$AU109,$AY$4:$AY109,"="&amp;$AY109)</f>
        <v>828</v>
      </c>
      <c r="BF109" s="25" t="s">
        <v>1157</v>
      </c>
      <c r="BG109" s="14">
        <f t="shared" si="97"/>
        <v>160</v>
      </c>
      <c r="BH109" s="14">
        <f>SUMIFS(BG$4:BG109,AU$4:AU109,"="&amp;AU109,AY$4:AY109,"="&amp;AY109)</f>
        <v>460</v>
      </c>
      <c r="BI109" s="25" t="s">
        <v>1158</v>
      </c>
      <c r="BJ109" s="14">
        <f t="shared" si="98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2"/>
        <v>14</v>
      </c>
      <c r="AJ110" s="13">
        <f t="shared" si="83"/>
        <v>201703</v>
      </c>
      <c r="AK110" s="13">
        <f t="shared" si="84"/>
        <v>1102017</v>
      </c>
      <c r="AL110" s="13" t="s">
        <v>1127</v>
      </c>
      <c r="AM110" s="13">
        <f t="shared" si="85"/>
        <v>3</v>
      </c>
      <c r="AN110" s="13" t="str">
        <f t="shared" si="86"/>
        <v>飞廉专属武器魂珠-3</v>
      </c>
      <c r="AO110" s="13">
        <f t="shared" si="87"/>
        <v>75</v>
      </c>
      <c r="AP110" s="13">
        <f t="shared" si="88"/>
        <v>3</v>
      </c>
      <c r="AQ110" s="13">
        <f t="shared" si="89"/>
        <v>0</v>
      </c>
      <c r="AT110" s="13">
        <v>107</v>
      </c>
      <c r="AU110" s="13">
        <f t="shared" si="90"/>
        <v>2</v>
      </c>
      <c r="AV110" s="14">
        <f t="shared" si="91"/>
        <v>200203</v>
      </c>
      <c r="AW110" s="14">
        <f t="shared" si="92"/>
        <v>1102002</v>
      </c>
      <c r="AX110" s="13" t="s">
        <v>1127</v>
      </c>
      <c r="AY110" s="13">
        <f t="shared" si="93"/>
        <v>3</v>
      </c>
      <c r="AZ110" s="13" t="s">
        <v>1148</v>
      </c>
      <c r="BA110" s="14">
        <f t="shared" si="94"/>
        <v>6</v>
      </c>
      <c r="BB110" s="14" t="str">
        <f t="shared" si="95"/>
        <v>许褚魂珠-3 等级-6</v>
      </c>
      <c r="BC110" s="25" t="s">
        <v>1156</v>
      </c>
      <c r="BD110" s="14">
        <f t="shared" si="96"/>
        <v>360</v>
      </c>
      <c r="BE110" s="14">
        <f>SUMIFS(BD$4:BD110,$AU$4:$AU110,"="&amp;$AU110,$AY$4:$AY110,"="&amp;$AY110)</f>
        <v>1188</v>
      </c>
      <c r="BF110" s="25" t="s">
        <v>1157</v>
      </c>
      <c r="BG110" s="14">
        <f t="shared" si="97"/>
        <v>200</v>
      </c>
      <c r="BH110" s="14">
        <f>SUMIFS(BG$4:BG110,AU$4:AU110,"="&amp;AU110,AY$4:AY110,"="&amp;AY110)</f>
        <v>660</v>
      </c>
      <c r="BI110" s="25" t="s">
        <v>1158</v>
      </c>
      <c r="BJ110" s="14">
        <f t="shared" si="98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2"/>
        <v>14</v>
      </c>
      <c r="AJ111" s="13">
        <f t="shared" si="83"/>
        <v>201704</v>
      </c>
      <c r="AK111" s="13">
        <f t="shared" si="84"/>
        <v>1102017</v>
      </c>
      <c r="AL111" s="13" t="s">
        <v>1127</v>
      </c>
      <c r="AM111" s="13">
        <f t="shared" si="85"/>
        <v>4</v>
      </c>
      <c r="AN111" s="13" t="str">
        <f t="shared" si="86"/>
        <v>飞廉专属武器魂珠-4</v>
      </c>
      <c r="AO111" s="13">
        <f t="shared" si="87"/>
        <v>85</v>
      </c>
      <c r="AP111" s="13">
        <f t="shared" si="88"/>
        <v>3</v>
      </c>
      <c r="AQ111" s="13">
        <f t="shared" si="89"/>
        <v>1</v>
      </c>
      <c r="AT111" s="13">
        <v>108</v>
      </c>
      <c r="AU111" s="13">
        <f t="shared" si="90"/>
        <v>2</v>
      </c>
      <c r="AV111" s="14">
        <f t="shared" si="91"/>
        <v>200203</v>
      </c>
      <c r="AW111" s="14">
        <f t="shared" si="92"/>
        <v>1102002</v>
      </c>
      <c r="AX111" s="13" t="s">
        <v>1127</v>
      </c>
      <c r="AY111" s="13">
        <f t="shared" si="93"/>
        <v>3</v>
      </c>
      <c r="AZ111" s="13" t="s">
        <v>1148</v>
      </c>
      <c r="BA111" s="14">
        <f t="shared" si="94"/>
        <v>7</v>
      </c>
      <c r="BB111" s="14" t="str">
        <f t="shared" si="95"/>
        <v>许褚魂珠-3 等级-7</v>
      </c>
      <c r="BC111" s="25" t="s">
        <v>1156</v>
      </c>
      <c r="BD111" s="14">
        <f t="shared" si="96"/>
        <v>432</v>
      </c>
      <c r="BE111" s="14">
        <f>SUMIFS(BD$4:BD111,$AU$4:$AU111,"="&amp;$AU111,$AY$4:$AY111,"="&amp;$AY111)</f>
        <v>1620</v>
      </c>
      <c r="BF111" s="25" t="s">
        <v>1157</v>
      </c>
      <c r="BG111" s="14">
        <f t="shared" si="97"/>
        <v>240</v>
      </c>
      <c r="BH111" s="14">
        <f>SUMIFS(BG$4:BG111,AU$4:AU111,"="&amp;AU111,AY$4:AY111,"="&amp;AY111)</f>
        <v>900</v>
      </c>
      <c r="BI111" s="25" t="s">
        <v>1158</v>
      </c>
      <c r="BJ111" s="14">
        <f t="shared" si="98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71" t="s">
        <v>1232</v>
      </c>
      <c r="B112" s="71"/>
      <c r="C112" s="71"/>
      <c r="D112" s="71"/>
      <c r="E112" s="71"/>
      <c r="F112" s="71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2"/>
        <v>14</v>
      </c>
      <c r="AJ112" s="13">
        <f t="shared" si="83"/>
        <v>201705</v>
      </c>
      <c r="AK112" s="13">
        <f t="shared" si="84"/>
        <v>1102017</v>
      </c>
      <c r="AL112" s="13" t="s">
        <v>1127</v>
      </c>
      <c r="AM112" s="13">
        <f t="shared" si="85"/>
        <v>5</v>
      </c>
      <c r="AN112" s="13" t="str">
        <f t="shared" si="86"/>
        <v>飞廉专属武器魂珠-5</v>
      </c>
      <c r="AO112" s="13">
        <f t="shared" si="87"/>
        <v>110</v>
      </c>
      <c r="AP112" s="13">
        <f t="shared" si="88"/>
        <v>3</v>
      </c>
      <c r="AQ112" s="13">
        <f t="shared" si="89"/>
        <v>2</v>
      </c>
      <c r="AT112" s="13">
        <v>109</v>
      </c>
      <c r="AU112" s="13">
        <f t="shared" si="90"/>
        <v>2</v>
      </c>
      <c r="AV112" s="14">
        <f t="shared" si="91"/>
        <v>200203</v>
      </c>
      <c r="AW112" s="14">
        <f t="shared" si="92"/>
        <v>1102002</v>
      </c>
      <c r="AX112" s="13" t="s">
        <v>1127</v>
      </c>
      <c r="AY112" s="13">
        <f t="shared" si="93"/>
        <v>3</v>
      </c>
      <c r="AZ112" s="13" t="s">
        <v>1148</v>
      </c>
      <c r="BA112" s="14">
        <f t="shared" si="94"/>
        <v>8</v>
      </c>
      <c r="BB112" s="14" t="str">
        <f t="shared" si="95"/>
        <v>许褚魂珠-3 等级-8</v>
      </c>
      <c r="BC112" s="25" t="s">
        <v>1156</v>
      </c>
      <c r="BD112" s="14">
        <f t="shared" si="96"/>
        <v>504</v>
      </c>
      <c r="BE112" s="14">
        <f>SUMIFS(BD$4:BD112,$AU$4:$AU112,"="&amp;$AU112,$AY$4:$AY112,"="&amp;$AY112)</f>
        <v>2124</v>
      </c>
      <c r="BF112" s="25" t="s">
        <v>1157</v>
      </c>
      <c r="BG112" s="14">
        <f t="shared" si="97"/>
        <v>280</v>
      </c>
      <c r="BH112" s="14">
        <f>SUMIFS(BG$4:BG112,AU$4:AU112,"="&amp;AU112,AY$4:AY112,"="&amp;AY112)</f>
        <v>1180</v>
      </c>
      <c r="BI112" s="25" t="s">
        <v>1158</v>
      </c>
      <c r="BJ112" s="14">
        <f t="shared" si="98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2"/>
        <v>14</v>
      </c>
      <c r="AJ113" s="13">
        <f t="shared" si="83"/>
        <v>201706</v>
      </c>
      <c r="AK113" s="13">
        <f t="shared" si="84"/>
        <v>1102017</v>
      </c>
      <c r="AL113" s="13" t="s">
        <v>1127</v>
      </c>
      <c r="AM113" s="13">
        <f t="shared" si="85"/>
        <v>6</v>
      </c>
      <c r="AN113" s="13" t="str">
        <f t="shared" si="86"/>
        <v>飞廉专属武器魂珠-6</v>
      </c>
      <c r="AO113" s="13">
        <f t="shared" si="87"/>
        <v>125</v>
      </c>
      <c r="AP113" s="13">
        <f t="shared" si="88"/>
        <v>3</v>
      </c>
      <c r="AQ113" s="13">
        <f t="shared" si="89"/>
        <v>3</v>
      </c>
      <c r="AT113" s="13">
        <v>110</v>
      </c>
      <c r="AU113" s="13">
        <f t="shared" si="90"/>
        <v>2</v>
      </c>
      <c r="AV113" s="14">
        <f t="shared" si="91"/>
        <v>200203</v>
      </c>
      <c r="AW113" s="14">
        <f t="shared" si="92"/>
        <v>1102002</v>
      </c>
      <c r="AX113" s="13" t="s">
        <v>1127</v>
      </c>
      <c r="AY113" s="13">
        <f t="shared" si="93"/>
        <v>3</v>
      </c>
      <c r="AZ113" s="13" t="s">
        <v>1148</v>
      </c>
      <c r="BA113" s="14">
        <f t="shared" si="94"/>
        <v>9</v>
      </c>
      <c r="BB113" s="14" t="str">
        <f t="shared" si="95"/>
        <v>许褚魂珠-3 等级-9</v>
      </c>
      <c r="BC113" s="25" t="s">
        <v>1156</v>
      </c>
      <c r="BD113" s="14">
        <f t="shared" si="96"/>
        <v>576</v>
      </c>
      <c r="BE113" s="14">
        <f>SUMIFS(BD$4:BD113,$AU$4:$AU113,"="&amp;$AU113,$AY$4:$AY113,"="&amp;$AY113)</f>
        <v>2700</v>
      </c>
      <c r="BF113" s="25" t="s">
        <v>1157</v>
      </c>
      <c r="BG113" s="14">
        <f t="shared" si="97"/>
        <v>320</v>
      </c>
      <c r="BH113" s="14">
        <f>SUMIFS(BG$4:BG113,AU$4:AU113,"="&amp;AU113,AY$4:AY113,"="&amp;AY113)</f>
        <v>1500</v>
      </c>
      <c r="BI113" s="25" t="s">
        <v>1158</v>
      </c>
      <c r="BJ113" s="14">
        <f t="shared" si="98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123</v>
      </c>
      <c r="B114" s="12" t="s">
        <v>119</v>
      </c>
      <c r="C114" s="12" t="s">
        <v>1101</v>
      </c>
      <c r="D114" s="12" t="s">
        <v>1103</v>
      </c>
      <c r="E114" s="12" t="s">
        <v>283</v>
      </c>
      <c r="F114" s="12" t="s">
        <v>573</v>
      </c>
      <c r="G114" s="12" t="s">
        <v>1113</v>
      </c>
      <c r="H114" s="12" t="s">
        <v>1114</v>
      </c>
      <c r="I114" s="12" t="s">
        <v>1115</v>
      </c>
      <c r="J114" s="12" t="s">
        <v>1133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2"/>
        <v>14</v>
      </c>
      <c r="AJ114" s="13">
        <f t="shared" si="83"/>
        <v>201707</v>
      </c>
      <c r="AK114" s="13">
        <f t="shared" si="84"/>
        <v>1102017</v>
      </c>
      <c r="AL114" s="13" t="s">
        <v>1127</v>
      </c>
      <c r="AM114" s="13">
        <f t="shared" si="85"/>
        <v>7</v>
      </c>
      <c r="AN114" s="13" t="str">
        <f t="shared" si="86"/>
        <v>飞廉专属武器魂珠-7</v>
      </c>
      <c r="AO114" s="13">
        <f t="shared" si="87"/>
        <v>135</v>
      </c>
      <c r="AP114" s="13">
        <f t="shared" si="88"/>
        <v>3</v>
      </c>
      <c r="AQ114" s="13">
        <f t="shared" si="89"/>
        <v>4</v>
      </c>
      <c r="AT114" s="13">
        <v>111</v>
      </c>
      <c r="AU114" s="13">
        <f t="shared" si="90"/>
        <v>2</v>
      </c>
      <c r="AV114" s="14">
        <f t="shared" si="91"/>
        <v>200204</v>
      </c>
      <c r="AW114" s="14">
        <f t="shared" si="92"/>
        <v>1102002</v>
      </c>
      <c r="AX114" s="13" t="s">
        <v>1127</v>
      </c>
      <c r="AY114" s="13">
        <f t="shared" si="93"/>
        <v>4</v>
      </c>
      <c r="AZ114" s="13" t="s">
        <v>1148</v>
      </c>
      <c r="BA114" s="14">
        <f t="shared" si="94"/>
        <v>0</v>
      </c>
      <c r="BB114" s="14" t="str">
        <f t="shared" si="95"/>
        <v>许褚魂珠-4 等级-0</v>
      </c>
      <c r="BC114" s="25" t="s">
        <v>1156</v>
      </c>
      <c r="BD114" s="14">
        <f t="shared" si="96"/>
        <v>0</v>
      </c>
      <c r="BE114" s="14">
        <f>SUMIFS(BD$4:BD114,$AU$4:$AU114,"="&amp;$AU114,$AY$4:$AY114,"="&amp;$AY114)</f>
        <v>0</v>
      </c>
      <c r="BF114" s="25" t="s">
        <v>1157</v>
      </c>
      <c r="BG114" s="14">
        <f t="shared" si="97"/>
        <v>0</v>
      </c>
      <c r="BH114" s="14">
        <f>SUMIFS(BG$4:BG114,AU$4:AU114,"="&amp;AU114,AY$4:AY114,"="&amp;AY114)</f>
        <v>0</v>
      </c>
      <c r="BI114" s="25" t="s">
        <v>1158</v>
      </c>
      <c r="BJ114" s="14">
        <f t="shared" si="98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320</v>
      </c>
      <c r="E115" s="14">
        <f t="shared" ref="E115:E123" si="127">ROUND(H$11*$C115,0)</f>
        <v>160</v>
      </c>
      <c r="F115" s="14">
        <f t="shared" ref="F115:F123" si="128">ROUND(I$11*$C115,0)</f>
        <v>3200</v>
      </c>
      <c r="G115" s="13">
        <v>320</v>
      </c>
      <c r="H115" s="13">
        <f t="shared" ref="H115:H123" si="129">G115/2</f>
        <v>160</v>
      </c>
      <c r="I115" s="13">
        <f t="shared" ref="I115" si="130">G115*20</f>
        <v>6400</v>
      </c>
      <c r="J115" s="13" t="s">
        <v>1134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2"/>
        <v>14</v>
      </c>
      <c r="AJ115" s="13">
        <f t="shared" si="83"/>
        <v>201708</v>
      </c>
      <c r="AK115" s="13">
        <f t="shared" si="84"/>
        <v>1102017</v>
      </c>
      <c r="AL115" s="13" t="s">
        <v>1127</v>
      </c>
      <c r="AM115" s="13">
        <f t="shared" si="85"/>
        <v>8</v>
      </c>
      <c r="AN115" s="13" t="str">
        <f t="shared" si="86"/>
        <v>飞廉专属武器魂珠-8</v>
      </c>
      <c r="AO115" s="13">
        <f t="shared" si="87"/>
        <v>150</v>
      </c>
      <c r="AP115" s="13">
        <f t="shared" si="88"/>
        <v>3</v>
      </c>
      <c r="AQ115" s="13">
        <f t="shared" si="89"/>
        <v>5</v>
      </c>
      <c r="AT115" s="13">
        <v>112</v>
      </c>
      <c r="AU115" s="13">
        <f t="shared" si="90"/>
        <v>2</v>
      </c>
      <c r="AV115" s="14">
        <f t="shared" si="91"/>
        <v>200204</v>
      </c>
      <c r="AW115" s="14">
        <f t="shared" si="92"/>
        <v>1102002</v>
      </c>
      <c r="AX115" s="13" t="s">
        <v>1127</v>
      </c>
      <c r="AY115" s="13">
        <f t="shared" si="93"/>
        <v>4</v>
      </c>
      <c r="AZ115" s="13" t="s">
        <v>1148</v>
      </c>
      <c r="BA115" s="14">
        <f t="shared" si="94"/>
        <v>1</v>
      </c>
      <c r="BB115" s="14" t="str">
        <f t="shared" si="95"/>
        <v>许褚魂珠-4 等级-1</v>
      </c>
      <c r="BC115" s="25" t="s">
        <v>1156</v>
      </c>
      <c r="BD115" s="14">
        <f t="shared" si="96"/>
        <v>90</v>
      </c>
      <c r="BE115" s="14">
        <f>SUMIFS(BD$4:BD115,$AU$4:$AU115,"="&amp;$AU115,$AY$4:$AY115,"="&amp;$AY115)</f>
        <v>90</v>
      </c>
      <c r="BF115" s="25" t="s">
        <v>1157</v>
      </c>
      <c r="BG115" s="14">
        <f t="shared" si="97"/>
        <v>50</v>
      </c>
      <c r="BH115" s="14">
        <f>SUMIFS(BG$4:BG115,AU$4:AU115,"="&amp;AU115,AY$4:AY115,"="&amp;AY115)</f>
        <v>50</v>
      </c>
      <c r="BI115" s="25" t="s">
        <v>1158</v>
      </c>
      <c r="BJ115" s="14">
        <f t="shared" si="98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1">B116/$B$15</f>
        <v>0.04</v>
      </c>
      <c r="D116" s="14">
        <f t="shared" ref="D116:D123" si="132">ROUND(G$11*$C116,0)</f>
        <v>480</v>
      </c>
      <c r="E116" s="14">
        <f t="shared" si="127"/>
        <v>240</v>
      </c>
      <c r="F116" s="14">
        <f t="shared" si="128"/>
        <v>4800</v>
      </c>
      <c r="G116" s="13">
        <v>480</v>
      </c>
      <c r="H116" s="13">
        <f t="shared" si="129"/>
        <v>240</v>
      </c>
      <c r="I116" s="13">
        <f t="shared" ref="I116:I123" si="133">G116*20</f>
        <v>9600</v>
      </c>
      <c r="J116" s="13" t="s">
        <v>1135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2"/>
        <v>15</v>
      </c>
      <c r="AJ116" s="13">
        <f t="shared" si="83"/>
        <v>202001</v>
      </c>
      <c r="AK116" s="13">
        <f t="shared" si="84"/>
        <v>1102020</v>
      </c>
      <c r="AL116" s="13" t="s">
        <v>1127</v>
      </c>
      <c r="AM116" s="13">
        <f t="shared" si="85"/>
        <v>1</v>
      </c>
      <c r="AN116" s="13" t="str">
        <f t="shared" si="86"/>
        <v>高顺专属武器魂珠-1</v>
      </c>
      <c r="AO116" s="13">
        <f t="shared" si="87"/>
        <v>40</v>
      </c>
      <c r="AP116" s="13">
        <f t="shared" si="88"/>
        <v>0</v>
      </c>
      <c r="AQ116" s="13">
        <f t="shared" si="89"/>
        <v>0</v>
      </c>
      <c r="AT116" s="13">
        <v>113</v>
      </c>
      <c r="AU116" s="13">
        <f t="shared" si="90"/>
        <v>2</v>
      </c>
      <c r="AV116" s="14">
        <f t="shared" si="91"/>
        <v>200204</v>
      </c>
      <c r="AW116" s="14">
        <f t="shared" si="92"/>
        <v>1102002</v>
      </c>
      <c r="AX116" s="13" t="s">
        <v>1127</v>
      </c>
      <c r="AY116" s="13">
        <f t="shared" si="93"/>
        <v>4</v>
      </c>
      <c r="AZ116" s="13" t="s">
        <v>1148</v>
      </c>
      <c r="BA116" s="14">
        <f t="shared" si="94"/>
        <v>2</v>
      </c>
      <c r="BB116" s="14" t="str">
        <f t="shared" si="95"/>
        <v>许褚魂珠-4 等级-2</v>
      </c>
      <c r="BC116" s="25" t="s">
        <v>1156</v>
      </c>
      <c r="BD116" s="14">
        <f t="shared" si="96"/>
        <v>144</v>
      </c>
      <c r="BE116" s="14">
        <f>SUMIFS(BD$4:BD116,$AU$4:$AU116,"="&amp;$AU116,$AY$4:$AY116,"="&amp;$AY116)</f>
        <v>234</v>
      </c>
      <c r="BF116" s="25" t="s">
        <v>1157</v>
      </c>
      <c r="BG116" s="14">
        <f t="shared" si="97"/>
        <v>80</v>
      </c>
      <c r="BH116" s="14">
        <f>SUMIFS(BG$4:BG116,AU$4:AU116,"="&amp;AU116,AY$4:AY116,"="&amp;AY116)</f>
        <v>130</v>
      </c>
      <c r="BI116" s="25" t="s">
        <v>1158</v>
      </c>
      <c r="BJ116" s="14">
        <f t="shared" si="98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1"/>
        <v>5.3333333333333337E-2</v>
      </c>
      <c r="D117" s="14">
        <f t="shared" si="132"/>
        <v>640</v>
      </c>
      <c r="E117" s="14">
        <f t="shared" si="127"/>
        <v>320</v>
      </c>
      <c r="F117" s="14">
        <f t="shared" si="128"/>
        <v>6400</v>
      </c>
      <c r="G117" s="13">
        <v>640</v>
      </c>
      <c r="H117" s="13">
        <f t="shared" si="129"/>
        <v>320</v>
      </c>
      <c r="I117" s="13">
        <f t="shared" si="133"/>
        <v>12800</v>
      </c>
      <c r="J117" s="13" t="s">
        <v>214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2"/>
        <v>15</v>
      </c>
      <c r="AJ117" s="13">
        <f t="shared" si="83"/>
        <v>202002</v>
      </c>
      <c r="AK117" s="13">
        <f t="shared" si="84"/>
        <v>1102020</v>
      </c>
      <c r="AL117" s="13" t="s">
        <v>1127</v>
      </c>
      <c r="AM117" s="13">
        <f t="shared" si="85"/>
        <v>2</v>
      </c>
      <c r="AN117" s="13" t="str">
        <f t="shared" si="86"/>
        <v>高顺专属武器魂珠-2</v>
      </c>
      <c r="AO117" s="13">
        <f t="shared" si="87"/>
        <v>55</v>
      </c>
      <c r="AP117" s="13">
        <f t="shared" si="88"/>
        <v>3</v>
      </c>
      <c r="AQ117" s="13">
        <f t="shared" si="89"/>
        <v>0</v>
      </c>
      <c r="AT117" s="13">
        <v>114</v>
      </c>
      <c r="AU117" s="13">
        <f t="shared" si="90"/>
        <v>2</v>
      </c>
      <c r="AV117" s="14">
        <f t="shared" si="91"/>
        <v>200204</v>
      </c>
      <c r="AW117" s="14">
        <f t="shared" si="92"/>
        <v>1102002</v>
      </c>
      <c r="AX117" s="13" t="s">
        <v>1127</v>
      </c>
      <c r="AY117" s="13">
        <f t="shared" si="93"/>
        <v>4</v>
      </c>
      <c r="AZ117" s="13" t="s">
        <v>1148</v>
      </c>
      <c r="BA117" s="14">
        <f t="shared" si="94"/>
        <v>3</v>
      </c>
      <c r="BB117" s="14" t="str">
        <f t="shared" si="95"/>
        <v>许褚魂珠-4 等级-3</v>
      </c>
      <c r="BC117" s="25" t="s">
        <v>1156</v>
      </c>
      <c r="BD117" s="14">
        <f t="shared" si="96"/>
        <v>198</v>
      </c>
      <c r="BE117" s="14">
        <f>SUMIFS(BD$4:BD117,$AU$4:$AU117,"="&amp;$AU117,$AY$4:$AY117,"="&amp;$AY117)</f>
        <v>432</v>
      </c>
      <c r="BF117" s="25" t="s">
        <v>1157</v>
      </c>
      <c r="BG117" s="14">
        <f t="shared" si="97"/>
        <v>110</v>
      </c>
      <c r="BH117" s="14">
        <f>SUMIFS(BG$4:BG117,AU$4:AU117,"="&amp;AU117,AY$4:AY117,"="&amp;AY117)</f>
        <v>240</v>
      </c>
      <c r="BI117" s="25" t="s">
        <v>1158</v>
      </c>
      <c r="BJ117" s="14">
        <f t="shared" si="98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1"/>
        <v>0.08</v>
      </c>
      <c r="D118" s="14">
        <f t="shared" si="132"/>
        <v>960</v>
      </c>
      <c r="E118" s="14">
        <f t="shared" si="127"/>
        <v>480</v>
      </c>
      <c r="F118" s="14">
        <f t="shared" si="128"/>
        <v>9600</v>
      </c>
      <c r="G118" s="13">
        <v>960</v>
      </c>
      <c r="H118" s="13">
        <f t="shared" si="129"/>
        <v>480</v>
      </c>
      <c r="I118" s="13">
        <f t="shared" si="133"/>
        <v>19200</v>
      </c>
      <c r="J118" s="13" t="s">
        <v>1137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2"/>
        <v>15</v>
      </c>
      <c r="AJ118" s="13">
        <f t="shared" si="83"/>
        <v>202003</v>
      </c>
      <c r="AK118" s="13">
        <f t="shared" si="84"/>
        <v>1102020</v>
      </c>
      <c r="AL118" s="13" t="s">
        <v>1127</v>
      </c>
      <c r="AM118" s="13">
        <f t="shared" si="85"/>
        <v>3</v>
      </c>
      <c r="AN118" s="13" t="str">
        <f t="shared" si="86"/>
        <v>高顺专属武器魂珠-3</v>
      </c>
      <c r="AO118" s="13">
        <f t="shared" si="87"/>
        <v>75</v>
      </c>
      <c r="AP118" s="13">
        <f t="shared" si="88"/>
        <v>3</v>
      </c>
      <c r="AQ118" s="13">
        <f t="shared" si="89"/>
        <v>0</v>
      </c>
      <c r="AT118" s="13">
        <v>115</v>
      </c>
      <c r="AU118" s="13">
        <f t="shared" si="90"/>
        <v>2</v>
      </c>
      <c r="AV118" s="14">
        <f t="shared" si="91"/>
        <v>200204</v>
      </c>
      <c r="AW118" s="14">
        <f t="shared" si="92"/>
        <v>1102002</v>
      </c>
      <c r="AX118" s="13" t="s">
        <v>1127</v>
      </c>
      <c r="AY118" s="13">
        <f t="shared" si="93"/>
        <v>4</v>
      </c>
      <c r="AZ118" s="13" t="s">
        <v>1148</v>
      </c>
      <c r="BA118" s="14">
        <f t="shared" si="94"/>
        <v>4</v>
      </c>
      <c r="BB118" s="14" t="str">
        <f t="shared" si="95"/>
        <v>许褚魂珠-4 等级-4</v>
      </c>
      <c r="BC118" s="25" t="s">
        <v>1156</v>
      </c>
      <c r="BD118" s="14">
        <f t="shared" si="96"/>
        <v>288</v>
      </c>
      <c r="BE118" s="14">
        <f>SUMIFS(BD$4:BD118,$AU$4:$AU118,"="&amp;$AU118,$AY$4:$AY118,"="&amp;$AY118)</f>
        <v>720</v>
      </c>
      <c r="BF118" s="25" t="s">
        <v>1157</v>
      </c>
      <c r="BG118" s="14">
        <f t="shared" si="97"/>
        <v>160</v>
      </c>
      <c r="BH118" s="14">
        <f>SUMIFS(BG$4:BG118,AU$4:AU118,"="&amp;AU118,AY$4:AY118,"="&amp;AY118)</f>
        <v>400</v>
      </c>
      <c r="BI118" s="25" t="s">
        <v>1158</v>
      </c>
      <c r="BJ118" s="14">
        <f t="shared" si="98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1"/>
        <v>0.10666666666666667</v>
      </c>
      <c r="D119" s="14">
        <f t="shared" si="132"/>
        <v>1280</v>
      </c>
      <c r="E119" s="14">
        <f t="shared" si="127"/>
        <v>640</v>
      </c>
      <c r="F119" s="14">
        <f t="shared" si="128"/>
        <v>12800</v>
      </c>
      <c r="G119" s="13">
        <v>1280</v>
      </c>
      <c r="H119" s="13">
        <f t="shared" si="129"/>
        <v>640</v>
      </c>
      <c r="I119" s="13">
        <f t="shared" si="133"/>
        <v>25600</v>
      </c>
      <c r="J119" s="13" t="s">
        <v>217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2"/>
        <v>15</v>
      </c>
      <c r="AJ119" s="13">
        <f t="shared" si="83"/>
        <v>202004</v>
      </c>
      <c r="AK119" s="13">
        <f t="shared" si="84"/>
        <v>1102020</v>
      </c>
      <c r="AL119" s="13" t="s">
        <v>1127</v>
      </c>
      <c r="AM119" s="13">
        <f t="shared" si="85"/>
        <v>4</v>
      </c>
      <c r="AN119" s="13" t="str">
        <f t="shared" si="86"/>
        <v>高顺专属武器魂珠-4</v>
      </c>
      <c r="AO119" s="13">
        <f t="shared" si="87"/>
        <v>85</v>
      </c>
      <c r="AP119" s="13">
        <f t="shared" si="88"/>
        <v>3</v>
      </c>
      <c r="AQ119" s="13">
        <f t="shared" si="89"/>
        <v>1</v>
      </c>
      <c r="AT119" s="13">
        <v>116</v>
      </c>
      <c r="AU119" s="13">
        <f t="shared" si="90"/>
        <v>2</v>
      </c>
      <c r="AV119" s="14">
        <f t="shared" si="91"/>
        <v>200204</v>
      </c>
      <c r="AW119" s="14">
        <f t="shared" si="92"/>
        <v>1102002</v>
      </c>
      <c r="AX119" s="13" t="s">
        <v>1127</v>
      </c>
      <c r="AY119" s="13">
        <f t="shared" si="93"/>
        <v>4</v>
      </c>
      <c r="AZ119" s="13" t="s">
        <v>1148</v>
      </c>
      <c r="BA119" s="14">
        <f t="shared" si="94"/>
        <v>5</v>
      </c>
      <c r="BB119" s="14" t="str">
        <f t="shared" si="95"/>
        <v>许褚魂珠-4 等级-5</v>
      </c>
      <c r="BC119" s="25" t="s">
        <v>1156</v>
      </c>
      <c r="BD119" s="14">
        <f t="shared" si="96"/>
        <v>378</v>
      </c>
      <c r="BE119" s="14">
        <f>SUMIFS(BD$4:BD119,$AU$4:$AU119,"="&amp;$AU119,$AY$4:$AY119,"="&amp;$AY119)</f>
        <v>1098</v>
      </c>
      <c r="BF119" s="25" t="s">
        <v>1157</v>
      </c>
      <c r="BG119" s="14">
        <f t="shared" si="97"/>
        <v>210</v>
      </c>
      <c r="BH119" s="14">
        <f>SUMIFS(BG$4:BG119,AU$4:AU119,"="&amp;AU119,AY$4:AY119,"="&amp;AY119)</f>
        <v>610</v>
      </c>
      <c r="BI119" s="25" t="s">
        <v>1158</v>
      </c>
      <c r="BJ119" s="14">
        <f t="shared" si="98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1"/>
        <v>0.13333333333333333</v>
      </c>
      <c r="D120" s="14">
        <f t="shared" si="132"/>
        <v>1600</v>
      </c>
      <c r="E120" s="14">
        <f t="shared" si="127"/>
        <v>800</v>
      </c>
      <c r="F120" s="14">
        <f t="shared" si="128"/>
        <v>16000</v>
      </c>
      <c r="G120" s="13">
        <v>1600</v>
      </c>
      <c r="H120" s="13">
        <f t="shared" si="129"/>
        <v>800</v>
      </c>
      <c r="I120" s="13">
        <f t="shared" si="133"/>
        <v>32000</v>
      </c>
      <c r="J120" s="13" t="s">
        <v>1139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2"/>
        <v>15</v>
      </c>
      <c r="AJ120" s="13">
        <f t="shared" si="83"/>
        <v>202005</v>
      </c>
      <c r="AK120" s="13">
        <f t="shared" si="84"/>
        <v>1102020</v>
      </c>
      <c r="AL120" s="13" t="s">
        <v>1127</v>
      </c>
      <c r="AM120" s="13">
        <f t="shared" si="85"/>
        <v>5</v>
      </c>
      <c r="AN120" s="13" t="str">
        <f t="shared" si="86"/>
        <v>高顺专属武器魂珠-5</v>
      </c>
      <c r="AO120" s="13">
        <f t="shared" si="87"/>
        <v>110</v>
      </c>
      <c r="AP120" s="13">
        <f t="shared" si="88"/>
        <v>3</v>
      </c>
      <c r="AQ120" s="13">
        <f t="shared" si="89"/>
        <v>2</v>
      </c>
      <c r="AT120" s="13">
        <v>117</v>
      </c>
      <c r="AU120" s="13">
        <f t="shared" si="90"/>
        <v>2</v>
      </c>
      <c r="AV120" s="14">
        <f t="shared" si="91"/>
        <v>200204</v>
      </c>
      <c r="AW120" s="14">
        <f t="shared" si="92"/>
        <v>1102002</v>
      </c>
      <c r="AX120" s="13" t="s">
        <v>1127</v>
      </c>
      <c r="AY120" s="13">
        <f t="shared" si="93"/>
        <v>4</v>
      </c>
      <c r="AZ120" s="13" t="s">
        <v>1148</v>
      </c>
      <c r="BA120" s="14">
        <f t="shared" si="94"/>
        <v>6</v>
      </c>
      <c r="BB120" s="14" t="str">
        <f t="shared" si="95"/>
        <v>许褚魂珠-4 等级-6</v>
      </c>
      <c r="BC120" s="25" t="s">
        <v>1156</v>
      </c>
      <c r="BD120" s="14">
        <f t="shared" si="96"/>
        <v>495</v>
      </c>
      <c r="BE120" s="14">
        <f>SUMIFS(BD$4:BD120,$AU$4:$AU120,"="&amp;$AU120,$AY$4:$AY120,"="&amp;$AY120)</f>
        <v>1593</v>
      </c>
      <c r="BF120" s="25" t="s">
        <v>1157</v>
      </c>
      <c r="BG120" s="14">
        <f t="shared" si="97"/>
        <v>275</v>
      </c>
      <c r="BH120" s="14">
        <f>SUMIFS(BG$4:BG120,AU$4:AU120,"="&amp;AU120,AY$4:AY120,"="&amp;AY120)</f>
        <v>885</v>
      </c>
      <c r="BI120" s="25" t="s">
        <v>1158</v>
      </c>
      <c r="BJ120" s="14">
        <f t="shared" si="98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1"/>
        <v>0.16</v>
      </c>
      <c r="D121" s="14">
        <f t="shared" si="132"/>
        <v>1920</v>
      </c>
      <c r="E121" s="14">
        <f t="shared" si="127"/>
        <v>960</v>
      </c>
      <c r="F121" s="14">
        <f t="shared" si="128"/>
        <v>19200</v>
      </c>
      <c r="G121" s="13">
        <v>1920</v>
      </c>
      <c r="H121" s="13">
        <f t="shared" si="129"/>
        <v>960</v>
      </c>
      <c r="I121" s="13">
        <f t="shared" si="133"/>
        <v>38400</v>
      </c>
      <c r="J121" s="13" t="s">
        <v>1140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2"/>
        <v>15</v>
      </c>
      <c r="AJ121" s="13">
        <f t="shared" si="83"/>
        <v>202006</v>
      </c>
      <c r="AK121" s="13">
        <f t="shared" si="84"/>
        <v>1102020</v>
      </c>
      <c r="AL121" s="13" t="s">
        <v>1127</v>
      </c>
      <c r="AM121" s="13">
        <f t="shared" si="85"/>
        <v>6</v>
      </c>
      <c r="AN121" s="13" t="str">
        <f t="shared" si="86"/>
        <v>高顺专属武器魂珠-6</v>
      </c>
      <c r="AO121" s="13">
        <f t="shared" si="87"/>
        <v>125</v>
      </c>
      <c r="AP121" s="13">
        <f t="shared" si="88"/>
        <v>3</v>
      </c>
      <c r="AQ121" s="13">
        <f t="shared" si="89"/>
        <v>3</v>
      </c>
      <c r="AT121" s="13">
        <v>118</v>
      </c>
      <c r="AU121" s="13">
        <f t="shared" si="90"/>
        <v>2</v>
      </c>
      <c r="AV121" s="14">
        <f t="shared" si="91"/>
        <v>200204</v>
      </c>
      <c r="AW121" s="14">
        <f t="shared" si="92"/>
        <v>1102002</v>
      </c>
      <c r="AX121" s="13" t="s">
        <v>1127</v>
      </c>
      <c r="AY121" s="13">
        <f t="shared" si="93"/>
        <v>4</v>
      </c>
      <c r="AZ121" s="13" t="s">
        <v>1148</v>
      </c>
      <c r="BA121" s="14">
        <f t="shared" si="94"/>
        <v>7</v>
      </c>
      <c r="BB121" s="14" t="str">
        <f t="shared" si="95"/>
        <v>许褚魂珠-4 等级-7</v>
      </c>
      <c r="BC121" s="25" t="s">
        <v>1156</v>
      </c>
      <c r="BD121" s="14">
        <f t="shared" si="96"/>
        <v>585</v>
      </c>
      <c r="BE121" s="14">
        <f>SUMIFS(BD$4:BD121,$AU$4:$AU121,"="&amp;$AU121,$AY$4:$AY121,"="&amp;$AY121)</f>
        <v>2178</v>
      </c>
      <c r="BF121" s="25" t="s">
        <v>1157</v>
      </c>
      <c r="BG121" s="14">
        <f t="shared" si="97"/>
        <v>325</v>
      </c>
      <c r="BH121" s="14">
        <f>SUMIFS(BG$4:BG121,AU$4:AU121,"="&amp;AU121,AY$4:AY121,"="&amp;AY121)</f>
        <v>1210</v>
      </c>
      <c r="BI121" s="25" t="s">
        <v>1158</v>
      </c>
      <c r="BJ121" s="14">
        <f t="shared" si="98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1"/>
        <v>0.18666666666666668</v>
      </c>
      <c r="D122" s="14">
        <f t="shared" si="132"/>
        <v>2240</v>
      </c>
      <c r="E122" s="14">
        <f t="shared" si="127"/>
        <v>1120</v>
      </c>
      <c r="F122" s="14">
        <f t="shared" si="128"/>
        <v>22400</v>
      </c>
      <c r="G122" s="13">
        <v>2240</v>
      </c>
      <c r="H122" s="13">
        <f t="shared" si="129"/>
        <v>1120</v>
      </c>
      <c r="I122" s="13">
        <f t="shared" si="133"/>
        <v>44800</v>
      </c>
      <c r="J122" s="13" t="s">
        <v>1142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2"/>
        <v>15</v>
      </c>
      <c r="AJ122" s="13">
        <f t="shared" si="83"/>
        <v>202007</v>
      </c>
      <c r="AK122" s="13">
        <f t="shared" si="84"/>
        <v>1102020</v>
      </c>
      <c r="AL122" s="13" t="s">
        <v>1127</v>
      </c>
      <c r="AM122" s="13">
        <f t="shared" si="85"/>
        <v>7</v>
      </c>
      <c r="AN122" s="13" t="str">
        <f t="shared" si="86"/>
        <v>高顺专属武器魂珠-7</v>
      </c>
      <c r="AO122" s="13">
        <f t="shared" si="87"/>
        <v>135</v>
      </c>
      <c r="AP122" s="13">
        <f t="shared" si="88"/>
        <v>3</v>
      </c>
      <c r="AQ122" s="13">
        <f t="shared" si="89"/>
        <v>4</v>
      </c>
      <c r="AT122" s="13">
        <v>119</v>
      </c>
      <c r="AU122" s="13">
        <f t="shared" si="90"/>
        <v>2</v>
      </c>
      <c r="AV122" s="14">
        <f t="shared" si="91"/>
        <v>200204</v>
      </c>
      <c r="AW122" s="14">
        <f t="shared" si="92"/>
        <v>1102002</v>
      </c>
      <c r="AX122" s="13" t="s">
        <v>1127</v>
      </c>
      <c r="AY122" s="13">
        <f t="shared" si="93"/>
        <v>4</v>
      </c>
      <c r="AZ122" s="13" t="s">
        <v>1148</v>
      </c>
      <c r="BA122" s="14">
        <f t="shared" si="94"/>
        <v>8</v>
      </c>
      <c r="BB122" s="14" t="str">
        <f t="shared" si="95"/>
        <v>许褚魂珠-4 等级-8</v>
      </c>
      <c r="BC122" s="25" t="s">
        <v>1156</v>
      </c>
      <c r="BD122" s="14">
        <f t="shared" si="96"/>
        <v>675</v>
      </c>
      <c r="BE122" s="14">
        <f>SUMIFS(BD$4:BD122,$AU$4:$AU122,"="&amp;$AU122,$AY$4:$AY122,"="&amp;$AY122)</f>
        <v>2853</v>
      </c>
      <c r="BF122" s="25" t="s">
        <v>1157</v>
      </c>
      <c r="BG122" s="14">
        <f t="shared" si="97"/>
        <v>375</v>
      </c>
      <c r="BH122" s="14">
        <f>SUMIFS(BG$4:BG122,AU$4:AU122,"="&amp;AU122,AY$4:AY122,"="&amp;AY122)</f>
        <v>1585</v>
      </c>
      <c r="BI122" s="25" t="s">
        <v>1158</v>
      </c>
      <c r="BJ122" s="14">
        <f t="shared" si="98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1"/>
        <v>0.21333333333333335</v>
      </c>
      <c r="D123" s="14">
        <f t="shared" si="132"/>
        <v>2560</v>
      </c>
      <c r="E123" s="14">
        <f t="shared" si="127"/>
        <v>1280</v>
      </c>
      <c r="F123" s="14">
        <f t="shared" si="128"/>
        <v>25600</v>
      </c>
      <c r="G123" s="13">
        <v>2560</v>
      </c>
      <c r="H123" s="13">
        <f t="shared" si="129"/>
        <v>1280</v>
      </c>
      <c r="I123" s="13">
        <f t="shared" si="133"/>
        <v>51200</v>
      </c>
      <c r="J123" s="13" t="s">
        <v>1141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2"/>
        <v>15</v>
      </c>
      <c r="AJ123" s="13">
        <f t="shared" si="83"/>
        <v>202008</v>
      </c>
      <c r="AK123" s="13">
        <f t="shared" si="84"/>
        <v>1102020</v>
      </c>
      <c r="AL123" s="13" t="s">
        <v>1127</v>
      </c>
      <c r="AM123" s="13">
        <f t="shared" si="85"/>
        <v>8</v>
      </c>
      <c r="AN123" s="13" t="str">
        <f t="shared" si="86"/>
        <v>高顺专属武器魂珠-8</v>
      </c>
      <c r="AO123" s="13">
        <f t="shared" si="87"/>
        <v>150</v>
      </c>
      <c r="AP123" s="13">
        <f t="shared" si="88"/>
        <v>3</v>
      </c>
      <c r="AQ123" s="13">
        <f t="shared" si="89"/>
        <v>5</v>
      </c>
      <c r="AT123" s="13">
        <v>120</v>
      </c>
      <c r="AU123" s="13">
        <f t="shared" si="90"/>
        <v>2</v>
      </c>
      <c r="AV123" s="14">
        <f t="shared" si="91"/>
        <v>200204</v>
      </c>
      <c r="AW123" s="14">
        <f t="shared" si="92"/>
        <v>1102002</v>
      </c>
      <c r="AX123" s="13" t="s">
        <v>1127</v>
      </c>
      <c r="AY123" s="13">
        <f t="shared" si="93"/>
        <v>4</v>
      </c>
      <c r="AZ123" s="13" t="s">
        <v>1148</v>
      </c>
      <c r="BA123" s="14">
        <f t="shared" si="94"/>
        <v>9</v>
      </c>
      <c r="BB123" s="14" t="str">
        <f t="shared" si="95"/>
        <v>许褚魂珠-4 等级-9</v>
      </c>
      <c r="BC123" s="25" t="s">
        <v>1156</v>
      </c>
      <c r="BD123" s="14">
        <f t="shared" si="96"/>
        <v>765</v>
      </c>
      <c r="BE123" s="14">
        <f>SUMIFS(BD$4:BD123,$AU$4:$AU123,"="&amp;$AU123,$AY$4:$AY123,"="&amp;$AY123)</f>
        <v>3618</v>
      </c>
      <c r="BF123" s="25" t="s">
        <v>1157</v>
      </c>
      <c r="BG123" s="14">
        <f t="shared" si="97"/>
        <v>425</v>
      </c>
      <c r="BH123" s="14">
        <f>SUMIFS(BG$4:BG123,AU$4:AU123,"="&amp;AU123,AY$4:AY123,"="&amp;AY123)</f>
        <v>2010</v>
      </c>
      <c r="BI123" s="25" t="s">
        <v>1158</v>
      </c>
      <c r="BJ123" s="14">
        <f t="shared" si="98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2"/>
        <v>16</v>
      </c>
      <c r="AJ124" s="13">
        <f t="shared" si="83"/>
        <v>202101</v>
      </c>
      <c r="AK124" s="13">
        <f t="shared" si="84"/>
        <v>1102021</v>
      </c>
      <c r="AL124" s="13" t="s">
        <v>1127</v>
      </c>
      <c r="AM124" s="13">
        <f t="shared" si="85"/>
        <v>1</v>
      </c>
      <c r="AN124" s="13" t="str">
        <f t="shared" si="86"/>
        <v>烈风螳螂专属武器魂珠-1</v>
      </c>
      <c r="AO124" s="13">
        <f t="shared" si="87"/>
        <v>40</v>
      </c>
      <c r="AP124" s="13">
        <f t="shared" si="88"/>
        <v>0</v>
      </c>
      <c r="AQ124" s="13">
        <f t="shared" si="89"/>
        <v>0</v>
      </c>
      <c r="AT124" s="13">
        <v>121</v>
      </c>
      <c r="AU124" s="13">
        <f t="shared" si="90"/>
        <v>2</v>
      </c>
      <c r="AV124" s="14">
        <f t="shared" si="91"/>
        <v>200205</v>
      </c>
      <c r="AW124" s="14">
        <f t="shared" si="92"/>
        <v>1102002</v>
      </c>
      <c r="AX124" s="13" t="s">
        <v>1127</v>
      </c>
      <c r="AY124" s="13">
        <f t="shared" si="93"/>
        <v>5</v>
      </c>
      <c r="AZ124" s="13" t="s">
        <v>1148</v>
      </c>
      <c r="BA124" s="14">
        <f t="shared" si="94"/>
        <v>0</v>
      </c>
      <c r="BB124" s="14" t="str">
        <f t="shared" si="95"/>
        <v>许褚魂珠-5 等级-0</v>
      </c>
      <c r="BC124" s="25" t="s">
        <v>1156</v>
      </c>
      <c r="BD124" s="14">
        <f t="shared" si="96"/>
        <v>0</v>
      </c>
      <c r="BE124" s="14">
        <f>SUMIFS(BD$4:BD124,$AU$4:$AU124,"="&amp;$AU124,$AY$4:$AY124,"="&amp;$AY124)</f>
        <v>0</v>
      </c>
      <c r="BF124" s="25" t="s">
        <v>1157</v>
      </c>
      <c r="BG124" s="14">
        <f t="shared" si="97"/>
        <v>0</v>
      </c>
      <c r="BH124" s="14">
        <f>SUMIFS(BG$4:BG124,AU$4:AU124,"="&amp;AU124,AY$4:AY124,"="&amp;AY124)</f>
        <v>0</v>
      </c>
      <c r="BI124" s="25" t="s">
        <v>1158</v>
      </c>
      <c r="BJ124" s="14">
        <f t="shared" si="98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2"/>
        <v>16</v>
      </c>
      <c r="AJ125" s="13">
        <f t="shared" si="83"/>
        <v>202102</v>
      </c>
      <c r="AK125" s="13">
        <f t="shared" si="84"/>
        <v>1102021</v>
      </c>
      <c r="AL125" s="13" t="s">
        <v>1127</v>
      </c>
      <c r="AM125" s="13">
        <f t="shared" si="85"/>
        <v>2</v>
      </c>
      <c r="AN125" s="13" t="str">
        <f t="shared" si="86"/>
        <v>烈风螳螂专属武器魂珠-2</v>
      </c>
      <c r="AO125" s="13">
        <f t="shared" si="87"/>
        <v>55</v>
      </c>
      <c r="AP125" s="13">
        <f t="shared" si="88"/>
        <v>3</v>
      </c>
      <c r="AQ125" s="13">
        <f t="shared" si="89"/>
        <v>0</v>
      </c>
      <c r="AT125" s="13">
        <v>122</v>
      </c>
      <c r="AU125" s="13">
        <f t="shared" si="90"/>
        <v>2</v>
      </c>
      <c r="AV125" s="14">
        <f t="shared" si="91"/>
        <v>200205</v>
      </c>
      <c r="AW125" s="14">
        <f t="shared" si="92"/>
        <v>1102002</v>
      </c>
      <c r="AX125" s="13" t="s">
        <v>1127</v>
      </c>
      <c r="AY125" s="13">
        <f t="shared" si="93"/>
        <v>5</v>
      </c>
      <c r="AZ125" s="13" t="s">
        <v>1148</v>
      </c>
      <c r="BA125" s="14">
        <f t="shared" si="94"/>
        <v>1</v>
      </c>
      <c r="BB125" s="14" t="str">
        <f t="shared" si="95"/>
        <v>许褚魂珠-5 等级-1</v>
      </c>
      <c r="BC125" s="25" t="s">
        <v>1156</v>
      </c>
      <c r="BD125" s="14">
        <f t="shared" si="96"/>
        <v>126</v>
      </c>
      <c r="BE125" s="14">
        <f>SUMIFS(BD$4:BD125,$AU$4:$AU125,"="&amp;$AU125,$AY$4:$AY125,"="&amp;$AY125)</f>
        <v>126</v>
      </c>
      <c r="BF125" s="25" t="s">
        <v>1157</v>
      </c>
      <c r="BG125" s="14">
        <f t="shared" si="97"/>
        <v>70</v>
      </c>
      <c r="BH125" s="14">
        <f>SUMIFS(BG$4:BG125,AU$4:AU125,"="&amp;AU125,AY$4:AY125,"="&amp;AY125)</f>
        <v>70</v>
      </c>
      <c r="BI125" s="25" t="s">
        <v>1158</v>
      </c>
      <c r="BJ125" s="14">
        <f t="shared" si="98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2"/>
        <v>16</v>
      </c>
      <c r="AJ126" s="13">
        <f t="shared" si="83"/>
        <v>202103</v>
      </c>
      <c r="AK126" s="13">
        <f t="shared" si="84"/>
        <v>1102021</v>
      </c>
      <c r="AL126" s="13" t="s">
        <v>1127</v>
      </c>
      <c r="AM126" s="13">
        <f t="shared" si="85"/>
        <v>3</v>
      </c>
      <c r="AN126" s="13" t="str">
        <f t="shared" si="86"/>
        <v>烈风螳螂专属武器魂珠-3</v>
      </c>
      <c r="AO126" s="13">
        <f t="shared" si="87"/>
        <v>75</v>
      </c>
      <c r="AP126" s="13">
        <f t="shared" si="88"/>
        <v>3</v>
      </c>
      <c r="AQ126" s="13">
        <f t="shared" si="89"/>
        <v>0</v>
      </c>
      <c r="AT126" s="13">
        <v>123</v>
      </c>
      <c r="AU126" s="13">
        <f t="shared" si="90"/>
        <v>2</v>
      </c>
      <c r="AV126" s="14">
        <f t="shared" si="91"/>
        <v>200205</v>
      </c>
      <c r="AW126" s="14">
        <f t="shared" si="92"/>
        <v>1102002</v>
      </c>
      <c r="AX126" s="13" t="s">
        <v>1127</v>
      </c>
      <c r="AY126" s="13">
        <f t="shared" si="93"/>
        <v>5</v>
      </c>
      <c r="AZ126" s="13" t="s">
        <v>1148</v>
      </c>
      <c r="BA126" s="14">
        <f t="shared" si="94"/>
        <v>2</v>
      </c>
      <c r="BB126" s="14" t="str">
        <f t="shared" si="95"/>
        <v>许褚魂珠-5 等级-2</v>
      </c>
      <c r="BC126" s="25" t="s">
        <v>1156</v>
      </c>
      <c r="BD126" s="14">
        <f t="shared" si="96"/>
        <v>180</v>
      </c>
      <c r="BE126" s="14">
        <f>SUMIFS(BD$4:BD126,$AU$4:$AU126,"="&amp;$AU126,$AY$4:$AY126,"="&amp;$AY126)</f>
        <v>306</v>
      </c>
      <c r="BF126" s="25" t="s">
        <v>1157</v>
      </c>
      <c r="BG126" s="14">
        <f t="shared" si="97"/>
        <v>100</v>
      </c>
      <c r="BH126" s="14">
        <f>SUMIFS(BG$4:BG126,AU$4:AU126,"="&amp;AU126,AY$4:AY126,"="&amp;AY126)</f>
        <v>170</v>
      </c>
      <c r="BI126" s="25" t="s">
        <v>1158</v>
      </c>
      <c r="BJ126" s="14">
        <f t="shared" si="98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2"/>
        <v>16</v>
      </c>
      <c r="AJ127" s="13">
        <f t="shared" si="83"/>
        <v>202104</v>
      </c>
      <c r="AK127" s="13">
        <f t="shared" si="84"/>
        <v>1102021</v>
      </c>
      <c r="AL127" s="13" t="s">
        <v>1127</v>
      </c>
      <c r="AM127" s="13">
        <f t="shared" si="85"/>
        <v>4</v>
      </c>
      <c r="AN127" s="13" t="str">
        <f t="shared" si="86"/>
        <v>烈风螳螂专属武器魂珠-4</v>
      </c>
      <c r="AO127" s="13">
        <f t="shared" si="87"/>
        <v>85</v>
      </c>
      <c r="AP127" s="13">
        <f t="shared" si="88"/>
        <v>3</v>
      </c>
      <c r="AQ127" s="13">
        <f t="shared" si="89"/>
        <v>1</v>
      </c>
      <c r="AT127" s="13">
        <v>124</v>
      </c>
      <c r="AU127" s="13">
        <f t="shared" si="90"/>
        <v>2</v>
      </c>
      <c r="AV127" s="14">
        <f t="shared" si="91"/>
        <v>200205</v>
      </c>
      <c r="AW127" s="14">
        <f t="shared" si="92"/>
        <v>1102002</v>
      </c>
      <c r="AX127" s="13" t="s">
        <v>1127</v>
      </c>
      <c r="AY127" s="13">
        <f t="shared" si="93"/>
        <v>5</v>
      </c>
      <c r="AZ127" s="13" t="s">
        <v>1148</v>
      </c>
      <c r="BA127" s="14">
        <f t="shared" si="94"/>
        <v>3</v>
      </c>
      <c r="BB127" s="14" t="str">
        <f t="shared" si="95"/>
        <v>许褚魂珠-5 等级-3</v>
      </c>
      <c r="BC127" s="25" t="s">
        <v>1156</v>
      </c>
      <c r="BD127" s="14">
        <f t="shared" si="96"/>
        <v>234</v>
      </c>
      <c r="BE127" s="14">
        <f>SUMIFS(BD$4:BD127,$AU$4:$AU127,"="&amp;$AU127,$AY$4:$AY127,"="&amp;$AY127)</f>
        <v>540</v>
      </c>
      <c r="BF127" s="25" t="s">
        <v>1157</v>
      </c>
      <c r="BG127" s="14">
        <f t="shared" si="97"/>
        <v>130</v>
      </c>
      <c r="BH127" s="14">
        <f>SUMIFS(BG$4:BG127,AU$4:AU127,"="&amp;AU127,AY$4:AY127,"="&amp;AY127)</f>
        <v>300</v>
      </c>
      <c r="BI127" s="25" t="s">
        <v>1158</v>
      </c>
      <c r="BJ127" s="14">
        <f t="shared" si="98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2"/>
        <v>16</v>
      </c>
      <c r="AJ128" s="13">
        <f t="shared" si="83"/>
        <v>202105</v>
      </c>
      <c r="AK128" s="13">
        <f t="shared" si="84"/>
        <v>1102021</v>
      </c>
      <c r="AL128" s="13" t="s">
        <v>1127</v>
      </c>
      <c r="AM128" s="13">
        <f t="shared" si="85"/>
        <v>5</v>
      </c>
      <c r="AN128" s="13" t="str">
        <f t="shared" si="86"/>
        <v>烈风螳螂专属武器魂珠-5</v>
      </c>
      <c r="AO128" s="13">
        <f t="shared" si="87"/>
        <v>110</v>
      </c>
      <c r="AP128" s="13">
        <f t="shared" si="88"/>
        <v>3</v>
      </c>
      <c r="AQ128" s="13">
        <f t="shared" si="89"/>
        <v>2</v>
      </c>
      <c r="AT128" s="13">
        <v>125</v>
      </c>
      <c r="AU128" s="13">
        <f t="shared" si="90"/>
        <v>2</v>
      </c>
      <c r="AV128" s="14">
        <f t="shared" si="91"/>
        <v>200205</v>
      </c>
      <c r="AW128" s="14">
        <f t="shared" si="92"/>
        <v>1102002</v>
      </c>
      <c r="AX128" s="13" t="s">
        <v>1127</v>
      </c>
      <c r="AY128" s="13">
        <f t="shared" si="93"/>
        <v>5</v>
      </c>
      <c r="AZ128" s="13" t="s">
        <v>1148</v>
      </c>
      <c r="BA128" s="14">
        <f t="shared" si="94"/>
        <v>4</v>
      </c>
      <c r="BB128" s="14" t="str">
        <f t="shared" si="95"/>
        <v>许褚魂珠-5 等级-4</v>
      </c>
      <c r="BC128" s="25" t="s">
        <v>1156</v>
      </c>
      <c r="BD128" s="14">
        <f t="shared" si="96"/>
        <v>360</v>
      </c>
      <c r="BE128" s="14">
        <f>SUMIFS(BD$4:BD128,$AU$4:$AU128,"="&amp;$AU128,$AY$4:$AY128,"="&amp;$AY128)</f>
        <v>900</v>
      </c>
      <c r="BF128" s="25" t="s">
        <v>1157</v>
      </c>
      <c r="BG128" s="14">
        <f t="shared" si="97"/>
        <v>200</v>
      </c>
      <c r="BH128" s="14">
        <f>SUMIFS(BG$4:BG128,AU$4:AU128,"="&amp;AU128,AY$4:AY128,"="&amp;AY128)</f>
        <v>500</v>
      </c>
      <c r="BI128" s="25" t="s">
        <v>1158</v>
      </c>
      <c r="BJ128" s="14">
        <f t="shared" si="98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2"/>
        <v>16</v>
      </c>
      <c r="AJ129" s="13">
        <f t="shared" si="83"/>
        <v>202106</v>
      </c>
      <c r="AK129" s="13">
        <f t="shared" si="84"/>
        <v>1102021</v>
      </c>
      <c r="AL129" s="13" t="s">
        <v>1127</v>
      </c>
      <c r="AM129" s="13">
        <f t="shared" si="85"/>
        <v>6</v>
      </c>
      <c r="AN129" s="13" t="str">
        <f t="shared" si="86"/>
        <v>烈风螳螂专属武器魂珠-6</v>
      </c>
      <c r="AO129" s="13">
        <f t="shared" si="87"/>
        <v>125</v>
      </c>
      <c r="AP129" s="13">
        <f t="shared" si="88"/>
        <v>3</v>
      </c>
      <c r="AQ129" s="13">
        <f t="shared" si="89"/>
        <v>3</v>
      </c>
      <c r="AT129" s="13">
        <v>126</v>
      </c>
      <c r="AU129" s="13">
        <f t="shared" si="90"/>
        <v>2</v>
      </c>
      <c r="AV129" s="14">
        <f t="shared" si="91"/>
        <v>200205</v>
      </c>
      <c r="AW129" s="14">
        <f t="shared" si="92"/>
        <v>1102002</v>
      </c>
      <c r="AX129" s="13" t="s">
        <v>1127</v>
      </c>
      <c r="AY129" s="13">
        <f t="shared" si="93"/>
        <v>5</v>
      </c>
      <c r="AZ129" s="13" t="s">
        <v>1148</v>
      </c>
      <c r="BA129" s="14">
        <f t="shared" si="94"/>
        <v>5</v>
      </c>
      <c r="BB129" s="14" t="str">
        <f t="shared" si="95"/>
        <v>许褚魂珠-5 等级-5</v>
      </c>
      <c r="BC129" s="25" t="s">
        <v>1156</v>
      </c>
      <c r="BD129" s="14">
        <f t="shared" si="96"/>
        <v>468</v>
      </c>
      <c r="BE129" s="14">
        <f>SUMIFS(BD$4:BD129,$AU$4:$AU129,"="&amp;$AU129,$AY$4:$AY129,"="&amp;$AY129)</f>
        <v>1368</v>
      </c>
      <c r="BF129" s="25" t="s">
        <v>1157</v>
      </c>
      <c r="BG129" s="14">
        <f t="shared" si="97"/>
        <v>260</v>
      </c>
      <c r="BH129" s="14">
        <f>SUMIFS(BG$4:BG129,AU$4:AU129,"="&amp;AU129,AY$4:AY129,"="&amp;AY129)</f>
        <v>760</v>
      </c>
      <c r="BI129" s="25" t="s">
        <v>1158</v>
      </c>
      <c r="BJ129" s="14">
        <f t="shared" si="98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2"/>
        <v>16</v>
      </c>
      <c r="AJ130" s="13">
        <f t="shared" si="83"/>
        <v>202107</v>
      </c>
      <c r="AK130" s="13">
        <f t="shared" si="84"/>
        <v>1102021</v>
      </c>
      <c r="AL130" s="13" t="s">
        <v>1127</v>
      </c>
      <c r="AM130" s="13">
        <f t="shared" si="85"/>
        <v>7</v>
      </c>
      <c r="AN130" s="13" t="str">
        <f t="shared" si="86"/>
        <v>烈风螳螂专属武器魂珠-7</v>
      </c>
      <c r="AO130" s="13">
        <f t="shared" si="87"/>
        <v>135</v>
      </c>
      <c r="AP130" s="13">
        <f t="shared" si="88"/>
        <v>3</v>
      </c>
      <c r="AQ130" s="13">
        <f t="shared" si="89"/>
        <v>4</v>
      </c>
      <c r="AT130" s="13">
        <v>127</v>
      </c>
      <c r="AU130" s="13">
        <f t="shared" si="90"/>
        <v>2</v>
      </c>
      <c r="AV130" s="14">
        <f t="shared" si="91"/>
        <v>200205</v>
      </c>
      <c r="AW130" s="14">
        <f t="shared" si="92"/>
        <v>1102002</v>
      </c>
      <c r="AX130" s="13" t="s">
        <v>1127</v>
      </c>
      <c r="AY130" s="13">
        <f t="shared" si="93"/>
        <v>5</v>
      </c>
      <c r="AZ130" s="13" t="s">
        <v>1148</v>
      </c>
      <c r="BA130" s="14">
        <f t="shared" si="94"/>
        <v>6</v>
      </c>
      <c r="BB130" s="14" t="str">
        <f t="shared" si="95"/>
        <v>许褚魂珠-5 等级-6</v>
      </c>
      <c r="BC130" s="25" t="s">
        <v>1156</v>
      </c>
      <c r="BD130" s="14">
        <f t="shared" si="96"/>
        <v>585</v>
      </c>
      <c r="BE130" s="14">
        <f>SUMIFS(BD$4:BD130,$AU$4:$AU130,"="&amp;$AU130,$AY$4:$AY130,"="&amp;$AY130)</f>
        <v>1953</v>
      </c>
      <c r="BF130" s="25" t="s">
        <v>1157</v>
      </c>
      <c r="BG130" s="14">
        <f t="shared" si="97"/>
        <v>325</v>
      </c>
      <c r="BH130" s="14">
        <f>SUMIFS(BG$4:BG130,AU$4:AU130,"="&amp;AU130,AY$4:AY130,"="&amp;AY130)</f>
        <v>1085</v>
      </c>
      <c r="BI130" s="25" t="s">
        <v>1158</v>
      </c>
      <c r="BJ130" s="14">
        <f t="shared" si="98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2"/>
        <v>16</v>
      </c>
      <c r="AJ131" s="13">
        <f t="shared" si="83"/>
        <v>202108</v>
      </c>
      <c r="AK131" s="13">
        <f t="shared" si="84"/>
        <v>1102021</v>
      </c>
      <c r="AL131" s="13" t="s">
        <v>1127</v>
      </c>
      <c r="AM131" s="13">
        <f t="shared" si="85"/>
        <v>8</v>
      </c>
      <c r="AN131" s="13" t="str">
        <f t="shared" si="86"/>
        <v>烈风螳螂专属武器魂珠-8</v>
      </c>
      <c r="AO131" s="13">
        <f t="shared" si="87"/>
        <v>150</v>
      </c>
      <c r="AP131" s="13">
        <f t="shared" si="88"/>
        <v>3</v>
      </c>
      <c r="AQ131" s="13">
        <f t="shared" si="89"/>
        <v>5</v>
      </c>
      <c r="AT131" s="13">
        <v>128</v>
      </c>
      <c r="AU131" s="13">
        <f t="shared" si="90"/>
        <v>2</v>
      </c>
      <c r="AV131" s="14">
        <f t="shared" si="91"/>
        <v>200205</v>
      </c>
      <c r="AW131" s="14">
        <f t="shared" si="92"/>
        <v>1102002</v>
      </c>
      <c r="AX131" s="13" t="s">
        <v>1127</v>
      </c>
      <c r="AY131" s="13">
        <f t="shared" si="93"/>
        <v>5</v>
      </c>
      <c r="AZ131" s="13" t="s">
        <v>1148</v>
      </c>
      <c r="BA131" s="14">
        <f t="shared" si="94"/>
        <v>7</v>
      </c>
      <c r="BB131" s="14" t="str">
        <f t="shared" si="95"/>
        <v>许褚魂珠-5 等级-7</v>
      </c>
      <c r="BC131" s="25" t="s">
        <v>1156</v>
      </c>
      <c r="BD131" s="14">
        <f t="shared" si="96"/>
        <v>720</v>
      </c>
      <c r="BE131" s="14">
        <f>SUMIFS(BD$4:BD131,$AU$4:$AU131,"="&amp;$AU131,$AY$4:$AY131,"="&amp;$AY131)</f>
        <v>2673</v>
      </c>
      <c r="BF131" s="25" t="s">
        <v>1157</v>
      </c>
      <c r="BG131" s="14">
        <f t="shared" si="97"/>
        <v>400</v>
      </c>
      <c r="BH131" s="14">
        <f>SUMIFS(BG$4:BG131,AU$4:AU131,"="&amp;AU131,AY$4:AY131,"="&amp;AY131)</f>
        <v>1485</v>
      </c>
      <c r="BI131" s="25" t="s">
        <v>1158</v>
      </c>
      <c r="BJ131" s="14">
        <f t="shared" si="98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2"/>
        <v>17</v>
      </c>
      <c r="AJ132" s="13">
        <f t="shared" si="83"/>
        <v>202401</v>
      </c>
      <c r="AK132" s="13">
        <f t="shared" si="84"/>
        <v>1102024</v>
      </c>
      <c r="AL132" s="13" t="s">
        <v>1127</v>
      </c>
      <c r="AM132" s="13">
        <f t="shared" si="85"/>
        <v>1</v>
      </c>
      <c r="AN132" s="13" t="str">
        <f t="shared" si="86"/>
        <v>朱仙专属武器魂珠-1</v>
      </c>
      <c r="AO132" s="13">
        <f t="shared" si="87"/>
        <v>40</v>
      </c>
      <c r="AP132" s="13">
        <f t="shared" si="88"/>
        <v>0</v>
      </c>
      <c r="AQ132" s="13">
        <f t="shared" si="89"/>
        <v>0</v>
      </c>
      <c r="AT132" s="13">
        <v>129</v>
      </c>
      <c r="AU132" s="13">
        <f t="shared" si="90"/>
        <v>2</v>
      </c>
      <c r="AV132" s="14">
        <f t="shared" si="91"/>
        <v>200205</v>
      </c>
      <c r="AW132" s="14">
        <f t="shared" si="92"/>
        <v>1102002</v>
      </c>
      <c r="AX132" s="13" t="s">
        <v>1127</v>
      </c>
      <c r="AY132" s="13">
        <f t="shared" si="93"/>
        <v>5</v>
      </c>
      <c r="AZ132" s="13" t="s">
        <v>1148</v>
      </c>
      <c r="BA132" s="14">
        <f t="shared" si="94"/>
        <v>8</v>
      </c>
      <c r="BB132" s="14" t="str">
        <f t="shared" si="95"/>
        <v>许褚魂珠-5 等级-8</v>
      </c>
      <c r="BC132" s="25" t="s">
        <v>1156</v>
      </c>
      <c r="BD132" s="14">
        <f t="shared" si="96"/>
        <v>855</v>
      </c>
      <c r="BE132" s="14">
        <f>SUMIFS(BD$4:BD132,$AU$4:$AU132,"="&amp;$AU132,$AY$4:$AY132,"="&amp;$AY132)</f>
        <v>3528</v>
      </c>
      <c r="BF132" s="25" t="s">
        <v>1157</v>
      </c>
      <c r="BG132" s="14">
        <f t="shared" si="97"/>
        <v>475</v>
      </c>
      <c r="BH132" s="14">
        <f>SUMIFS(BG$4:BG132,AU$4:AU132,"="&amp;AU132,AY$4:AY132,"="&amp;AY132)</f>
        <v>1960</v>
      </c>
      <c r="BI132" s="25" t="s">
        <v>1158</v>
      </c>
      <c r="BJ132" s="14">
        <f t="shared" si="98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96" si="134">INT((AH133-1)/8)+1</f>
        <v>17</v>
      </c>
      <c r="AJ133" s="13">
        <f t="shared" ref="AJ133:AJ171" si="135">(AK133-1100000)*100+AM133</f>
        <v>202402</v>
      </c>
      <c r="AK133" s="13">
        <f t="shared" ref="AK133:AK171" si="136">INDEX($W$4:$W$28,AI133)</f>
        <v>1102024</v>
      </c>
      <c r="AL133" s="13" t="s">
        <v>1127</v>
      </c>
      <c r="AM133" s="13">
        <f t="shared" ref="AM133:AM171" si="137">AH133-(AI133-1)*8</f>
        <v>2</v>
      </c>
      <c r="AN133" s="13" t="str">
        <f t="shared" ref="AN133:AN171" si="138">INDEX($X$4:$X$28,AI133)&amp;"专属武器魂珠-"&amp;AM133</f>
        <v>朱仙专属武器魂珠-2</v>
      </c>
      <c r="AO133" s="13">
        <f t="shared" ref="AO133:AO171" si="139">INDEX(J$4:J$11,$AM133)</f>
        <v>55</v>
      </c>
      <c r="AP133" s="13">
        <f t="shared" ref="AP133:AP171" si="140">INDEX(K$4:K$11,$AM133)</f>
        <v>3</v>
      </c>
      <c r="AQ133" s="13">
        <f t="shared" ref="AQ133:AQ171" si="141">INDEX(L$4:L$11,$AM133)</f>
        <v>0</v>
      </c>
      <c r="AT133" s="13">
        <v>130</v>
      </c>
      <c r="AU133" s="13">
        <f t="shared" ref="AU133:AU196" si="142">INT((AT133-1)/80)+1</f>
        <v>2</v>
      </c>
      <c r="AV133" s="14">
        <f t="shared" ref="AV133:AV196" si="143">INDEX($AJ$4:$AJ$203,(AU133-1)*8+AY133)</f>
        <v>200205</v>
      </c>
      <c r="AW133" s="14">
        <f t="shared" ref="AW133:AW196" si="144">INDEX($W$4:$W$28,AU133)</f>
        <v>1102002</v>
      </c>
      <c r="AX133" s="13" t="s">
        <v>1127</v>
      </c>
      <c r="AY133" s="13">
        <f t="shared" ref="AY133:AY196" si="145">INT(((AT133-(AU133-1)*80)-1)/10)+1</f>
        <v>5</v>
      </c>
      <c r="AZ133" s="13" t="s">
        <v>1148</v>
      </c>
      <c r="BA133" s="14">
        <f t="shared" ref="BA133:BA196" si="146">AT133-(AU133-1)*80-(AY133-1)*10-1</f>
        <v>9</v>
      </c>
      <c r="BB133" s="14" t="str">
        <f t="shared" ref="BB133:BB196" si="147">INDEX($X$4:$X$28,AU133)&amp;"魂珠-"&amp;AY133&amp;" 等级-"&amp;BA133</f>
        <v>许褚魂珠-5 等级-9</v>
      </c>
      <c r="BC133" s="25" t="s">
        <v>1156</v>
      </c>
      <c r="BD133" s="14">
        <f t="shared" ref="BD133:BD196" si="148">ROUND(INDEX(Q$4:Q$83,($AY133-1)*10+$BA133+1)*INDEX(AC$4:AC$28,$AU133),0)</f>
        <v>990</v>
      </c>
      <c r="BE133" s="14">
        <f>SUMIFS(BD$4:BD133,$AU$4:$AU133,"="&amp;$AU133,$AY$4:$AY133,"="&amp;$AY133)</f>
        <v>4518</v>
      </c>
      <c r="BF133" s="25" t="s">
        <v>1157</v>
      </c>
      <c r="BG133" s="14">
        <f t="shared" ref="BG133:BG196" si="149">ROUND(INDEX(R$4:R$83,($AY133-1)*10+$BA133+1)*INDEX(AD$4:AD$28,$AU133),0)</f>
        <v>550</v>
      </c>
      <c r="BH133" s="14">
        <f>SUMIFS(BG$4:BG133,AU$4:AU133,"="&amp;AU133,AY$4:AY133,"="&amp;AY133)</f>
        <v>2510</v>
      </c>
      <c r="BI133" s="25" t="s">
        <v>1158</v>
      </c>
      <c r="BJ133" s="14">
        <f t="shared" ref="BJ133:BJ196" si="150">ROUND(INDEX(S$4:S$83,($AY133-1)*10+$BA133+1)*INDEX(AE$4:AE$28,$AU133),0)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34"/>
        <v>17</v>
      </c>
      <c r="AJ134" s="13">
        <f t="shared" si="135"/>
        <v>202403</v>
      </c>
      <c r="AK134" s="13">
        <f t="shared" si="136"/>
        <v>1102024</v>
      </c>
      <c r="AL134" s="13" t="s">
        <v>1127</v>
      </c>
      <c r="AM134" s="13">
        <f t="shared" si="137"/>
        <v>3</v>
      </c>
      <c r="AN134" s="13" t="str">
        <f t="shared" si="138"/>
        <v>朱仙专属武器魂珠-3</v>
      </c>
      <c r="AO134" s="13">
        <f t="shared" si="139"/>
        <v>75</v>
      </c>
      <c r="AP134" s="13">
        <f t="shared" si="140"/>
        <v>3</v>
      </c>
      <c r="AQ134" s="13">
        <f t="shared" si="141"/>
        <v>0</v>
      </c>
      <c r="AT134" s="13">
        <v>131</v>
      </c>
      <c r="AU134" s="13">
        <f t="shared" si="142"/>
        <v>2</v>
      </c>
      <c r="AV134" s="14">
        <f t="shared" si="143"/>
        <v>200206</v>
      </c>
      <c r="AW134" s="14">
        <f t="shared" si="144"/>
        <v>1102002</v>
      </c>
      <c r="AX134" s="13" t="s">
        <v>1127</v>
      </c>
      <c r="AY134" s="13">
        <f t="shared" si="145"/>
        <v>6</v>
      </c>
      <c r="AZ134" s="13" t="s">
        <v>1148</v>
      </c>
      <c r="BA134" s="14">
        <f t="shared" si="146"/>
        <v>0</v>
      </c>
      <c r="BB134" s="14" t="str">
        <f t="shared" si="147"/>
        <v>许褚魂珠-6 等级-0</v>
      </c>
      <c r="BC134" s="25" t="s">
        <v>1156</v>
      </c>
      <c r="BD134" s="14">
        <f t="shared" si="148"/>
        <v>0</v>
      </c>
      <c r="BE134" s="14">
        <f>SUMIFS(BD$4:BD134,$AU$4:$AU134,"="&amp;$AU134,$AY$4:$AY134,"="&amp;$AY134)</f>
        <v>0</v>
      </c>
      <c r="BF134" s="25" t="s">
        <v>1157</v>
      </c>
      <c r="BG134" s="14">
        <f t="shared" si="149"/>
        <v>0</v>
      </c>
      <c r="BH134" s="14">
        <f>SUMIFS(BG$4:BG134,AU$4:AU134,"="&amp;AU134,AY$4:AY134,"="&amp;AY134)</f>
        <v>0</v>
      </c>
      <c r="BI134" s="25" t="s">
        <v>1158</v>
      </c>
      <c r="BJ134" s="14">
        <f t="shared" si="150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34"/>
        <v>17</v>
      </c>
      <c r="AJ135" s="13">
        <f t="shared" si="135"/>
        <v>202404</v>
      </c>
      <c r="AK135" s="13">
        <f t="shared" si="136"/>
        <v>1102024</v>
      </c>
      <c r="AL135" s="13" t="s">
        <v>1127</v>
      </c>
      <c r="AM135" s="13">
        <f t="shared" si="137"/>
        <v>4</v>
      </c>
      <c r="AN135" s="13" t="str">
        <f t="shared" si="138"/>
        <v>朱仙专属武器魂珠-4</v>
      </c>
      <c r="AO135" s="13">
        <f t="shared" si="139"/>
        <v>85</v>
      </c>
      <c r="AP135" s="13">
        <f t="shared" si="140"/>
        <v>3</v>
      </c>
      <c r="AQ135" s="13">
        <f t="shared" si="141"/>
        <v>1</v>
      </c>
      <c r="AT135" s="13">
        <v>132</v>
      </c>
      <c r="AU135" s="13">
        <f t="shared" si="142"/>
        <v>2</v>
      </c>
      <c r="AV135" s="14">
        <f t="shared" si="143"/>
        <v>200206</v>
      </c>
      <c r="AW135" s="14">
        <f t="shared" si="144"/>
        <v>1102002</v>
      </c>
      <c r="AX135" s="13" t="s">
        <v>1127</v>
      </c>
      <c r="AY135" s="13">
        <f t="shared" si="145"/>
        <v>6</v>
      </c>
      <c r="AZ135" s="13" t="s">
        <v>1148</v>
      </c>
      <c r="BA135" s="14">
        <f t="shared" si="146"/>
        <v>1</v>
      </c>
      <c r="BB135" s="14" t="str">
        <f t="shared" si="147"/>
        <v>许褚魂珠-6 等级-1</v>
      </c>
      <c r="BC135" s="25" t="s">
        <v>1156</v>
      </c>
      <c r="BD135" s="14">
        <f t="shared" si="148"/>
        <v>162</v>
      </c>
      <c r="BE135" s="14">
        <f>SUMIFS(BD$4:BD135,$AU$4:$AU135,"="&amp;$AU135,$AY$4:$AY135,"="&amp;$AY135)</f>
        <v>162</v>
      </c>
      <c r="BF135" s="25" t="s">
        <v>1157</v>
      </c>
      <c r="BG135" s="14">
        <f t="shared" si="149"/>
        <v>90</v>
      </c>
      <c r="BH135" s="14">
        <f>SUMIFS(BG$4:BG135,AU$4:AU135,"="&amp;AU135,AY$4:AY135,"="&amp;AY135)</f>
        <v>90</v>
      </c>
      <c r="BI135" s="25" t="s">
        <v>1158</v>
      </c>
      <c r="BJ135" s="14">
        <f t="shared" si="150"/>
        <v>3960</v>
      </c>
      <c r="BK135" s="14">
        <f>SUMIFS(BJ$4:BJ135,$AU$4:$AU135,"="&amp;$AU135,$AY$4:$AY135,"="&amp;$AY135)</f>
        <v>3960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34"/>
        <v>17</v>
      </c>
      <c r="AJ136" s="13">
        <f t="shared" si="135"/>
        <v>202405</v>
      </c>
      <c r="AK136" s="13">
        <f t="shared" si="136"/>
        <v>1102024</v>
      </c>
      <c r="AL136" s="13" t="s">
        <v>1127</v>
      </c>
      <c r="AM136" s="13">
        <f t="shared" si="137"/>
        <v>5</v>
      </c>
      <c r="AN136" s="13" t="str">
        <f t="shared" si="138"/>
        <v>朱仙专属武器魂珠-5</v>
      </c>
      <c r="AO136" s="13">
        <f t="shared" si="139"/>
        <v>110</v>
      </c>
      <c r="AP136" s="13">
        <f t="shared" si="140"/>
        <v>3</v>
      </c>
      <c r="AQ136" s="13">
        <f t="shared" si="141"/>
        <v>2</v>
      </c>
      <c r="AT136" s="13">
        <v>133</v>
      </c>
      <c r="AU136" s="13">
        <f t="shared" si="142"/>
        <v>2</v>
      </c>
      <c r="AV136" s="14">
        <f t="shared" si="143"/>
        <v>200206</v>
      </c>
      <c r="AW136" s="14">
        <f t="shared" si="144"/>
        <v>1102002</v>
      </c>
      <c r="AX136" s="13" t="s">
        <v>1127</v>
      </c>
      <c r="AY136" s="13">
        <f t="shared" si="145"/>
        <v>6</v>
      </c>
      <c r="AZ136" s="13" t="s">
        <v>1148</v>
      </c>
      <c r="BA136" s="14">
        <f t="shared" si="146"/>
        <v>2</v>
      </c>
      <c r="BB136" s="14" t="str">
        <f t="shared" si="147"/>
        <v>许褚魂珠-6 等级-2</v>
      </c>
      <c r="BC136" s="25" t="s">
        <v>1156</v>
      </c>
      <c r="BD136" s="14">
        <f t="shared" si="148"/>
        <v>252</v>
      </c>
      <c r="BE136" s="14">
        <f>SUMIFS(BD$4:BD136,$AU$4:$AU136,"="&amp;$AU136,$AY$4:$AY136,"="&amp;$AY136)</f>
        <v>414</v>
      </c>
      <c r="BF136" s="25" t="s">
        <v>1157</v>
      </c>
      <c r="BG136" s="14">
        <f t="shared" si="149"/>
        <v>140</v>
      </c>
      <c r="BH136" s="14">
        <f>SUMIFS(BG$4:BG136,AU$4:AU136,"="&amp;AU136,AY$4:AY136,"="&amp;AY136)</f>
        <v>230</v>
      </c>
      <c r="BI136" s="25" t="s">
        <v>1158</v>
      </c>
      <c r="BJ136" s="14">
        <f t="shared" si="150"/>
        <v>6160</v>
      </c>
      <c r="BK136" s="14">
        <f>SUMIFS(BJ$4:BJ136,$AU$4:$AU136,"="&amp;$AU136,$AY$4:$AY136,"="&amp;$AY136)</f>
        <v>10120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34"/>
        <v>17</v>
      </c>
      <c r="AJ137" s="13">
        <f t="shared" si="135"/>
        <v>202406</v>
      </c>
      <c r="AK137" s="13">
        <f t="shared" si="136"/>
        <v>1102024</v>
      </c>
      <c r="AL137" s="13" t="s">
        <v>1127</v>
      </c>
      <c r="AM137" s="13">
        <f t="shared" si="137"/>
        <v>6</v>
      </c>
      <c r="AN137" s="13" t="str">
        <f t="shared" si="138"/>
        <v>朱仙专属武器魂珠-6</v>
      </c>
      <c r="AO137" s="13">
        <f t="shared" si="139"/>
        <v>125</v>
      </c>
      <c r="AP137" s="13">
        <f t="shared" si="140"/>
        <v>3</v>
      </c>
      <c r="AQ137" s="13">
        <f t="shared" si="141"/>
        <v>3</v>
      </c>
      <c r="AT137" s="13">
        <v>134</v>
      </c>
      <c r="AU137" s="13">
        <f t="shared" si="142"/>
        <v>2</v>
      </c>
      <c r="AV137" s="14">
        <f t="shared" si="143"/>
        <v>200206</v>
      </c>
      <c r="AW137" s="14">
        <f t="shared" si="144"/>
        <v>1102002</v>
      </c>
      <c r="AX137" s="13" t="s">
        <v>1127</v>
      </c>
      <c r="AY137" s="13">
        <f t="shared" si="145"/>
        <v>6</v>
      </c>
      <c r="AZ137" s="13" t="s">
        <v>1148</v>
      </c>
      <c r="BA137" s="14">
        <f t="shared" si="146"/>
        <v>3</v>
      </c>
      <c r="BB137" s="14" t="str">
        <f t="shared" si="147"/>
        <v>许褚魂珠-6 等级-3</v>
      </c>
      <c r="BC137" s="25" t="s">
        <v>1156</v>
      </c>
      <c r="BD137" s="14">
        <f t="shared" si="148"/>
        <v>338</v>
      </c>
      <c r="BE137" s="14">
        <f>SUMIFS(BD$4:BD137,$AU$4:$AU137,"="&amp;$AU137,$AY$4:$AY137,"="&amp;$AY137)</f>
        <v>752</v>
      </c>
      <c r="BF137" s="25" t="s">
        <v>1157</v>
      </c>
      <c r="BG137" s="14">
        <f t="shared" si="149"/>
        <v>188</v>
      </c>
      <c r="BH137" s="14">
        <f>SUMIFS(BG$4:BG137,AU$4:AU137,"="&amp;AU137,AY$4:AY137,"="&amp;AY137)</f>
        <v>418</v>
      </c>
      <c r="BI137" s="25" t="s">
        <v>1158</v>
      </c>
      <c r="BJ137" s="14">
        <f t="shared" si="150"/>
        <v>8250</v>
      </c>
      <c r="BK137" s="14">
        <f>SUMIFS(BJ$4:BJ137,$AU$4:$AU137,"="&amp;$AU137,$AY$4:$AY137,"="&amp;$AY137)</f>
        <v>18370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34"/>
        <v>17</v>
      </c>
      <c r="AJ138" s="13">
        <f t="shared" si="135"/>
        <v>202407</v>
      </c>
      <c r="AK138" s="13">
        <f t="shared" si="136"/>
        <v>1102024</v>
      </c>
      <c r="AL138" s="13" t="s">
        <v>1127</v>
      </c>
      <c r="AM138" s="13">
        <f t="shared" si="137"/>
        <v>7</v>
      </c>
      <c r="AN138" s="13" t="str">
        <f t="shared" si="138"/>
        <v>朱仙专属武器魂珠-7</v>
      </c>
      <c r="AO138" s="13">
        <f t="shared" si="139"/>
        <v>135</v>
      </c>
      <c r="AP138" s="13">
        <f t="shared" si="140"/>
        <v>3</v>
      </c>
      <c r="AQ138" s="13">
        <f t="shared" si="141"/>
        <v>4</v>
      </c>
      <c r="AT138" s="13">
        <v>135</v>
      </c>
      <c r="AU138" s="13">
        <f t="shared" si="142"/>
        <v>2</v>
      </c>
      <c r="AV138" s="14">
        <f t="shared" si="143"/>
        <v>200206</v>
      </c>
      <c r="AW138" s="14">
        <f t="shared" si="144"/>
        <v>1102002</v>
      </c>
      <c r="AX138" s="13" t="s">
        <v>1127</v>
      </c>
      <c r="AY138" s="13">
        <f t="shared" si="145"/>
        <v>6</v>
      </c>
      <c r="AZ138" s="13" t="s">
        <v>1148</v>
      </c>
      <c r="BA138" s="14">
        <f t="shared" si="146"/>
        <v>4</v>
      </c>
      <c r="BB138" s="14" t="str">
        <f t="shared" si="147"/>
        <v>许褚魂珠-6 等级-4</v>
      </c>
      <c r="BC138" s="25" t="s">
        <v>1156</v>
      </c>
      <c r="BD138" s="14">
        <f t="shared" si="148"/>
        <v>504</v>
      </c>
      <c r="BE138" s="14">
        <f>SUMIFS(BD$4:BD138,$AU$4:$AU138,"="&amp;$AU138,$AY$4:$AY138,"="&amp;$AY138)</f>
        <v>1256</v>
      </c>
      <c r="BF138" s="25" t="s">
        <v>1157</v>
      </c>
      <c r="BG138" s="14">
        <f t="shared" si="149"/>
        <v>280</v>
      </c>
      <c r="BH138" s="14">
        <f>SUMIFS(BG$4:BG138,AU$4:AU138,"="&amp;AU138,AY$4:AY138,"="&amp;AY138)</f>
        <v>698</v>
      </c>
      <c r="BI138" s="25" t="s">
        <v>1158</v>
      </c>
      <c r="BJ138" s="14">
        <f t="shared" si="150"/>
        <v>12320</v>
      </c>
      <c r="BK138" s="14">
        <f>SUMIFS(BJ$4:BJ138,$AU$4:$AU138,"="&amp;$AU138,$AY$4:$AY138,"="&amp;$AY138)</f>
        <v>30690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34"/>
        <v>17</v>
      </c>
      <c r="AJ139" s="13">
        <f t="shared" si="135"/>
        <v>202408</v>
      </c>
      <c r="AK139" s="13">
        <f t="shared" si="136"/>
        <v>1102024</v>
      </c>
      <c r="AL139" s="13" t="s">
        <v>1127</v>
      </c>
      <c r="AM139" s="13">
        <f t="shared" si="137"/>
        <v>8</v>
      </c>
      <c r="AN139" s="13" t="str">
        <f t="shared" si="138"/>
        <v>朱仙专属武器魂珠-8</v>
      </c>
      <c r="AO139" s="13">
        <f t="shared" si="139"/>
        <v>150</v>
      </c>
      <c r="AP139" s="13">
        <f t="shared" si="140"/>
        <v>3</v>
      </c>
      <c r="AQ139" s="13">
        <f t="shared" si="141"/>
        <v>5</v>
      </c>
      <c r="AT139" s="13">
        <v>136</v>
      </c>
      <c r="AU139" s="13">
        <f t="shared" si="142"/>
        <v>2</v>
      </c>
      <c r="AV139" s="14">
        <f t="shared" si="143"/>
        <v>200206</v>
      </c>
      <c r="AW139" s="14">
        <f t="shared" si="144"/>
        <v>1102002</v>
      </c>
      <c r="AX139" s="13" t="s">
        <v>1127</v>
      </c>
      <c r="AY139" s="13">
        <f t="shared" si="145"/>
        <v>6</v>
      </c>
      <c r="AZ139" s="13" t="s">
        <v>1148</v>
      </c>
      <c r="BA139" s="14">
        <f t="shared" si="146"/>
        <v>5</v>
      </c>
      <c r="BB139" s="14" t="str">
        <f t="shared" si="147"/>
        <v>许褚魂珠-6 等级-5</v>
      </c>
      <c r="BC139" s="25" t="s">
        <v>1156</v>
      </c>
      <c r="BD139" s="14">
        <f t="shared" si="148"/>
        <v>675</v>
      </c>
      <c r="BE139" s="14">
        <f>SUMIFS(BD$4:BD139,$AU$4:$AU139,"="&amp;$AU139,$AY$4:$AY139,"="&amp;$AY139)</f>
        <v>1931</v>
      </c>
      <c r="BF139" s="25" t="s">
        <v>1157</v>
      </c>
      <c r="BG139" s="14">
        <f t="shared" si="149"/>
        <v>375</v>
      </c>
      <c r="BH139" s="14">
        <f>SUMIFS(BG$4:BG139,AU$4:AU139,"="&amp;AU139,AY$4:AY139,"="&amp;AY139)</f>
        <v>1073</v>
      </c>
      <c r="BI139" s="25" t="s">
        <v>1158</v>
      </c>
      <c r="BJ139" s="14">
        <f t="shared" si="150"/>
        <v>16500</v>
      </c>
      <c r="BK139" s="14">
        <f>SUMIFS(BJ$4:BJ139,$AU$4:$AU139,"="&amp;$AU139,$AY$4:$AY139,"="&amp;$AY139)</f>
        <v>47190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34"/>
        <v>18</v>
      </c>
      <c r="AJ140" s="13">
        <f t="shared" si="135"/>
        <v>202601</v>
      </c>
      <c r="AK140" s="13">
        <f t="shared" si="136"/>
        <v>1102026</v>
      </c>
      <c r="AL140" s="13" t="s">
        <v>1127</v>
      </c>
      <c r="AM140" s="13">
        <f t="shared" si="137"/>
        <v>1</v>
      </c>
      <c r="AN140" s="13" t="str">
        <f t="shared" si="138"/>
        <v>雷震子专属武器魂珠-1</v>
      </c>
      <c r="AO140" s="13">
        <f t="shared" si="139"/>
        <v>40</v>
      </c>
      <c r="AP140" s="13">
        <f t="shared" si="140"/>
        <v>0</v>
      </c>
      <c r="AQ140" s="13">
        <f t="shared" si="141"/>
        <v>0</v>
      </c>
      <c r="AT140" s="13">
        <v>137</v>
      </c>
      <c r="AU140" s="13">
        <f t="shared" si="142"/>
        <v>2</v>
      </c>
      <c r="AV140" s="14">
        <f t="shared" si="143"/>
        <v>200206</v>
      </c>
      <c r="AW140" s="14">
        <f t="shared" si="144"/>
        <v>1102002</v>
      </c>
      <c r="AX140" s="13" t="s">
        <v>1127</v>
      </c>
      <c r="AY140" s="13">
        <f t="shared" si="145"/>
        <v>6</v>
      </c>
      <c r="AZ140" s="13" t="s">
        <v>1148</v>
      </c>
      <c r="BA140" s="14">
        <f t="shared" si="146"/>
        <v>6</v>
      </c>
      <c r="BB140" s="14" t="str">
        <f t="shared" si="147"/>
        <v>许褚魂珠-6 等级-6</v>
      </c>
      <c r="BC140" s="25" t="s">
        <v>1156</v>
      </c>
      <c r="BD140" s="14">
        <f t="shared" si="148"/>
        <v>855</v>
      </c>
      <c r="BE140" s="14">
        <f>SUMIFS(BD$4:BD140,$AU$4:$AU140,"="&amp;$AU140,$AY$4:$AY140,"="&amp;$AY140)</f>
        <v>2786</v>
      </c>
      <c r="BF140" s="25" t="s">
        <v>1157</v>
      </c>
      <c r="BG140" s="14">
        <f t="shared" si="149"/>
        <v>475</v>
      </c>
      <c r="BH140" s="14">
        <f>SUMIFS(BG$4:BG140,AU$4:AU140,"="&amp;AU140,AY$4:AY140,"="&amp;AY140)</f>
        <v>1548</v>
      </c>
      <c r="BI140" s="25" t="s">
        <v>1158</v>
      </c>
      <c r="BJ140" s="14">
        <f t="shared" si="150"/>
        <v>20900</v>
      </c>
      <c r="BK140" s="14">
        <f>SUMIFS(BJ$4:BJ140,$AU$4:$AU140,"="&amp;$AU140,$AY$4:$AY140,"="&amp;$AY140)</f>
        <v>68090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34"/>
        <v>18</v>
      </c>
      <c r="AJ141" s="13">
        <f t="shared" si="135"/>
        <v>202602</v>
      </c>
      <c r="AK141" s="13">
        <f t="shared" si="136"/>
        <v>1102026</v>
      </c>
      <c r="AL141" s="13" t="s">
        <v>1127</v>
      </c>
      <c r="AM141" s="13">
        <f t="shared" si="137"/>
        <v>2</v>
      </c>
      <c r="AN141" s="13" t="str">
        <f t="shared" si="138"/>
        <v>雷震子专属武器魂珠-2</v>
      </c>
      <c r="AO141" s="13">
        <f t="shared" si="139"/>
        <v>55</v>
      </c>
      <c r="AP141" s="13">
        <f t="shared" si="140"/>
        <v>3</v>
      </c>
      <c r="AQ141" s="13">
        <f t="shared" si="141"/>
        <v>0</v>
      </c>
      <c r="AT141" s="13">
        <v>138</v>
      </c>
      <c r="AU141" s="13">
        <f t="shared" si="142"/>
        <v>2</v>
      </c>
      <c r="AV141" s="14">
        <f t="shared" si="143"/>
        <v>200206</v>
      </c>
      <c r="AW141" s="14">
        <f t="shared" si="144"/>
        <v>1102002</v>
      </c>
      <c r="AX141" s="13" t="s">
        <v>1127</v>
      </c>
      <c r="AY141" s="13">
        <f t="shared" si="145"/>
        <v>6</v>
      </c>
      <c r="AZ141" s="13" t="s">
        <v>1148</v>
      </c>
      <c r="BA141" s="14">
        <f t="shared" si="146"/>
        <v>7</v>
      </c>
      <c r="BB141" s="14" t="str">
        <f t="shared" si="147"/>
        <v>许褚魂珠-6 等级-7</v>
      </c>
      <c r="BC141" s="25" t="s">
        <v>1156</v>
      </c>
      <c r="BD141" s="14">
        <f t="shared" si="148"/>
        <v>1035</v>
      </c>
      <c r="BE141" s="14">
        <f>SUMIFS(BD$4:BD141,$AU$4:$AU141,"="&amp;$AU141,$AY$4:$AY141,"="&amp;$AY141)</f>
        <v>3821</v>
      </c>
      <c r="BF141" s="25" t="s">
        <v>1157</v>
      </c>
      <c r="BG141" s="14">
        <f t="shared" si="149"/>
        <v>575</v>
      </c>
      <c r="BH141" s="14">
        <f>SUMIFS(BG$4:BG141,AU$4:AU141,"="&amp;AU141,AY$4:AY141,"="&amp;AY141)</f>
        <v>2123</v>
      </c>
      <c r="BI141" s="25" t="s">
        <v>1158</v>
      </c>
      <c r="BJ141" s="14">
        <f t="shared" si="150"/>
        <v>25300</v>
      </c>
      <c r="BK141" s="14">
        <f>SUMIFS(BJ$4:BJ141,$AU$4:$AU141,"="&amp;$AU141,$AY$4:$AY141,"="&amp;$AY141)</f>
        <v>93390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34"/>
        <v>18</v>
      </c>
      <c r="AJ142" s="13">
        <f t="shared" si="135"/>
        <v>202603</v>
      </c>
      <c r="AK142" s="13">
        <f t="shared" si="136"/>
        <v>1102026</v>
      </c>
      <c r="AL142" s="13" t="s">
        <v>1127</v>
      </c>
      <c r="AM142" s="13">
        <f t="shared" si="137"/>
        <v>3</v>
      </c>
      <c r="AN142" s="13" t="str">
        <f t="shared" si="138"/>
        <v>雷震子专属武器魂珠-3</v>
      </c>
      <c r="AO142" s="13">
        <f t="shared" si="139"/>
        <v>75</v>
      </c>
      <c r="AP142" s="13">
        <f t="shared" si="140"/>
        <v>3</v>
      </c>
      <c r="AQ142" s="13">
        <f t="shared" si="141"/>
        <v>0</v>
      </c>
      <c r="AT142" s="13">
        <v>139</v>
      </c>
      <c r="AU142" s="13">
        <f t="shared" si="142"/>
        <v>2</v>
      </c>
      <c r="AV142" s="14">
        <f t="shared" si="143"/>
        <v>200206</v>
      </c>
      <c r="AW142" s="14">
        <f t="shared" si="144"/>
        <v>1102002</v>
      </c>
      <c r="AX142" s="13" t="s">
        <v>1127</v>
      </c>
      <c r="AY142" s="13">
        <f t="shared" si="145"/>
        <v>6</v>
      </c>
      <c r="AZ142" s="13" t="s">
        <v>1148</v>
      </c>
      <c r="BA142" s="14">
        <f t="shared" si="146"/>
        <v>8</v>
      </c>
      <c r="BB142" s="14" t="str">
        <f t="shared" si="147"/>
        <v>许褚魂珠-6 等级-8</v>
      </c>
      <c r="BC142" s="25" t="s">
        <v>1156</v>
      </c>
      <c r="BD142" s="14">
        <f t="shared" si="148"/>
        <v>1170</v>
      </c>
      <c r="BE142" s="14">
        <f>SUMIFS(BD$4:BD142,$AU$4:$AU142,"="&amp;$AU142,$AY$4:$AY142,"="&amp;$AY142)</f>
        <v>4991</v>
      </c>
      <c r="BF142" s="25" t="s">
        <v>1157</v>
      </c>
      <c r="BG142" s="14">
        <f t="shared" si="149"/>
        <v>650</v>
      </c>
      <c r="BH142" s="14">
        <f>SUMIFS(BG$4:BG142,AU$4:AU142,"="&amp;AU142,AY$4:AY142,"="&amp;AY142)</f>
        <v>2773</v>
      </c>
      <c r="BI142" s="25" t="s">
        <v>1158</v>
      </c>
      <c r="BJ142" s="14">
        <f t="shared" si="150"/>
        <v>28600</v>
      </c>
      <c r="BK142" s="14">
        <f>SUMIFS(BJ$4:BJ142,$AU$4:$AU142,"="&amp;$AU142,$AY$4:$AY142,"="&amp;$AY142)</f>
        <v>121990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34"/>
        <v>18</v>
      </c>
      <c r="AJ143" s="13">
        <f t="shared" si="135"/>
        <v>202604</v>
      </c>
      <c r="AK143" s="13">
        <f t="shared" si="136"/>
        <v>1102026</v>
      </c>
      <c r="AL143" s="13" t="s">
        <v>1127</v>
      </c>
      <c r="AM143" s="13">
        <f t="shared" si="137"/>
        <v>4</v>
      </c>
      <c r="AN143" s="13" t="str">
        <f t="shared" si="138"/>
        <v>雷震子专属武器魂珠-4</v>
      </c>
      <c r="AO143" s="13">
        <f t="shared" si="139"/>
        <v>85</v>
      </c>
      <c r="AP143" s="13">
        <f t="shared" si="140"/>
        <v>3</v>
      </c>
      <c r="AQ143" s="13">
        <f t="shared" si="141"/>
        <v>1</v>
      </c>
      <c r="AT143" s="13">
        <v>140</v>
      </c>
      <c r="AU143" s="13">
        <f t="shared" si="142"/>
        <v>2</v>
      </c>
      <c r="AV143" s="14">
        <f t="shared" si="143"/>
        <v>200206</v>
      </c>
      <c r="AW143" s="14">
        <f t="shared" si="144"/>
        <v>1102002</v>
      </c>
      <c r="AX143" s="13" t="s">
        <v>1127</v>
      </c>
      <c r="AY143" s="13">
        <f t="shared" si="145"/>
        <v>6</v>
      </c>
      <c r="AZ143" s="13" t="s">
        <v>1148</v>
      </c>
      <c r="BA143" s="14">
        <f t="shared" si="146"/>
        <v>9</v>
      </c>
      <c r="BB143" s="14" t="str">
        <f t="shared" si="147"/>
        <v>许褚魂珠-6 等级-9</v>
      </c>
      <c r="BC143" s="25" t="s">
        <v>1156</v>
      </c>
      <c r="BD143" s="14">
        <f t="shared" si="148"/>
        <v>1350</v>
      </c>
      <c r="BE143" s="14">
        <f>SUMIFS(BD$4:BD143,$AU$4:$AU143,"="&amp;$AU143,$AY$4:$AY143,"="&amp;$AY143)</f>
        <v>6341</v>
      </c>
      <c r="BF143" s="25" t="s">
        <v>1157</v>
      </c>
      <c r="BG143" s="14">
        <f t="shared" si="149"/>
        <v>750</v>
      </c>
      <c r="BH143" s="14">
        <f>SUMIFS(BG$4:BG143,AU$4:AU143,"="&amp;AU143,AY$4:AY143,"="&amp;AY143)</f>
        <v>3523</v>
      </c>
      <c r="BI143" s="25" t="s">
        <v>1158</v>
      </c>
      <c r="BJ143" s="14">
        <f t="shared" si="150"/>
        <v>33000</v>
      </c>
      <c r="BK143" s="14">
        <f>SUMIFS(BJ$4:BJ143,$AU$4:$AU143,"="&amp;$AU143,$AY$4:$AY143,"="&amp;$AY143)</f>
        <v>154990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34"/>
        <v>18</v>
      </c>
      <c r="AJ144" s="13">
        <f t="shared" si="135"/>
        <v>202605</v>
      </c>
      <c r="AK144" s="13">
        <f t="shared" si="136"/>
        <v>1102026</v>
      </c>
      <c r="AL144" s="13" t="s">
        <v>1127</v>
      </c>
      <c r="AM144" s="13">
        <f t="shared" si="137"/>
        <v>5</v>
      </c>
      <c r="AN144" s="13" t="str">
        <f t="shared" si="138"/>
        <v>雷震子专属武器魂珠-5</v>
      </c>
      <c r="AO144" s="13">
        <f t="shared" si="139"/>
        <v>110</v>
      </c>
      <c r="AP144" s="13">
        <f t="shared" si="140"/>
        <v>3</v>
      </c>
      <c r="AQ144" s="13">
        <f t="shared" si="141"/>
        <v>2</v>
      </c>
      <c r="AT144" s="13">
        <v>141</v>
      </c>
      <c r="AU144" s="13">
        <f t="shared" si="142"/>
        <v>2</v>
      </c>
      <c r="AV144" s="14">
        <f t="shared" si="143"/>
        <v>200207</v>
      </c>
      <c r="AW144" s="14">
        <f t="shared" si="144"/>
        <v>1102002</v>
      </c>
      <c r="AX144" s="13" t="s">
        <v>1127</v>
      </c>
      <c r="AY144" s="13">
        <f t="shared" si="145"/>
        <v>7</v>
      </c>
      <c r="AZ144" s="13" t="s">
        <v>1148</v>
      </c>
      <c r="BA144" s="14">
        <f t="shared" si="146"/>
        <v>0</v>
      </c>
      <c r="BB144" s="14" t="str">
        <f t="shared" si="147"/>
        <v>许褚魂珠-7 等级-0</v>
      </c>
      <c r="BC144" s="25" t="s">
        <v>1156</v>
      </c>
      <c r="BD144" s="14">
        <f t="shared" si="148"/>
        <v>0</v>
      </c>
      <c r="BE144" s="14">
        <f>SUMIFS(BD$4:BD144,$AU$4:$AU144,"="&amp;$AU144,$AY$4:$AY144,"="&amp;$AY144)</f>
        <v>0</v>
      </c>
      <c r="BF144" s="25" t="s">
        <v>1157</v>
      </c>
      <c r="BG144" s="14">
        <f t="shared" si="149"/>
        <v>0</v>
      </c>
      <c r="BH144" s="14">
        <f>SUMIFS(BG$4:BG144,AU$4:AU144,"="&amp;AU144,AY$4:AY144,"="&amp;AY144)</f>
        <v>0</v>
      </c>
      <c r="BI144" s="25" t="s">
        <v>1158</v>
      </c>
      <c r="BJ144" s="14">
        <f t="shared" si="150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34"/>
        <v>18</v>
      </c>
      <c r="AJ145" s="13">
        <f t="shared" si="135"/>
        <v>202606</v>
      </c>
      <c r="AK145" s="13">
        <f t="shared" si="136"/>
        <v>1102026</v>
      </c>
      <c r="AL145" s="13" t="s">
        <v>1127</v>
      </c>
      <c r="AM145" s="13">
        <f t="shared" si="137"/>
        <v>6</v>
      </c>
      <c r="AN145" s="13" t="str">
        <f t="shared" si="138"/>
        <v>雷震子专属武器魂珠-6</v>
      </c>
      <c r="AO145" s="13">
        <f t="shared" si="139"/>
        <v>125</v>
      </c>
      <c r="AP145" s="13">
        <f t="shared" si="140"/>
        <v>3</v>
      </c>
      <c r="AQ145" s="13">
        <f t="shared" si="141"/>
        <v>3</v>
      </c>
      <c r="AT145" s="13">
        <v>142</v>
      </c>
      <c r="AU145" s="13">
        <f t="shared" si="142"/>
        <v>2</v>
      </c>
      <c r="AV145" s="14">
        <f t="shared" si="143"/>
        <v>200207</v>
      </c>
      <c r="AW145" s="14">
        <f t="shared" si="144"/>
        <v>1102002</v>
      </c>
      <c r="AX145" s="13" t="s">
        <v>1127</v>
      </c>
      <c r="AY145" s="13">
        <f t="shared" si="145"/>
        <v>7</v>
      </c>
      <c r="AZ145" s="13" t="s">
        <v>1148</v>
      </c>
      <c r="BA145" s="14">
        <f t="shared" si="146"/>
        <v>1</v>
      </c>
      <c r="BB145" s="14" t="str">
        <f t="shared" si="147"/>
        <v>许褚魂珠-7 等级-1</v>
      </c>
      <c r="BC145" s="25" t="s">
        <v>1156</v>
      </c>
      <c r="BD145" s="14">
        <f t="shared" si="148"/>
        <v>216</v>
      </c>
      <c r="BE145" s="14">
        <f>SUMIFS(BD$4:BD145,$AU$4:$AU145,"="&amp;$AU145,$AY$4:$AY145,"="&amp;$AY145)</f>
        <v>216</v>
      </c>
      <c r="BF145" s="25" t="s">
        <v>1157</v>
      </c>
      <c r="BG145" s="14">
        <f t="shared" si="149"/>
        <v>120</v>
      </c>
      <c r="BH145" s="14">
        <f>SUMIFS(BG$4:BG145,AU$4:AU145,"="&amp;AU145,AY$4:AY145,"="&amp;AY145)</f>
        <v>120</v>
      </c>
      <c r="BI145" s="25" t="s">
        <v>1158</v>
      </c>
      <c r="BJ145" s="14">
        <f t="shared" si="150"/>
        <v>5280</v>
      </c>
      <c r="BK145" s="14">
        <f>SUMIFS(BJ$4:BJ145,$AU$4:$AU145,"="&amp;$AU145,$AY$4:$AY145,"="&amp;$AY145)</f>
        <v>5280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34"/>
        <v>18</v>
      </c>
      <c r="AJ146" s="13">
        <f t="shared" si="135"/>
        <v>202607</v>
      </c>
      <c r="AK146" s="13">
        <f t="shared" si="136"/>
        <v>1102026</v>
      </c>
      <c r="AL146" s="13" t="s">
        <v>1127</v>
      </c>
      <c r="AM146" s="13">
        <f t="shared" si="137"/>
        <v>7</v>
      </c>
      <c r="AN146" s="13" t="str">
        <f t="shared" si="138"/>
        <v>雷震子专属武器魂珠-7</v>
      </c>
      <c r="AO146" s="13">
        <f t="shared" si="139"/>
        <v>135</v>
      </c>
      <c r="AP146" s="13">
        <f t="shared" si="140"/>
        <v>3</v>
      </c>
      <c r="AQ146" s="13">
        <f t="shared" si="141"/>
        <v>4</v>
      </c>
      <c r="AT146" s="13">
        <v>143</v>
      </c>
      <c r="AU146" s="13">
        <f t="shared" si="142"/>
        <v>2</v>
      </c>
      <c r="AV146" s="14">
        <f t="shared" si="143"/>
        <v>200207</v>
      </c>
      <c r="AW146" s="14">
        <f t="shared" si="144"/>
        <v>1102002</v>
      </c>
      <c r="AX146" s="13" t="s">
        <v>1127</v>
      </c>
      <c r="AY146" s="13">
        <f t="shared" si="145"/>
        <v>7</v>
      </c>
      <c r="AZ146" s="13" t="s">
        <v>1148</v>
      </c>
      <c r="BA146" s="14">
        <f t="shared" si="146"/>
        <v>2</v>
      </c>
      <c r="BB146" s="14" t="str">
        <f t="shared" si="147"/>
        <v>许褚魂珠-7 等级-2</v>
      </c>
      <c r="BC146" s="25" t="s">
        <v>1156</v>
      </c>
      <c r="BD146" s="14">
        <f t="shared" si="148"/>
        <v>324</v>
      </c>
      <c r="BE146" s="14">
        <f>SUMIFS(BD$4:BD146,$AU$4:$AU146,"="&amp;$AU146,$AY$4:$AY146,"="&amp;$AY146)</f>
        <v>540</v>
      </c>
      <c r="BF146" s="25" t="s">
        <v>1157</v>
      </c>
      <c r="BG146" s="14">
        <f t="shared" si="149"/>
        <v>180</v>
      </c>
      <c r="BH146" s="14">
        <f>SUMIFS(BG$4:BG146,AU$4:AU146,"="&amp;AU146,AY$4:AY146,"="&amp;AY146)</f>
        <v>300</v>
      </c>
      <c r="BI146" s="25" t="s">
        <v>1158</v>
      </c>
      <c r="BJ146" s="14">
        <f t="shared" si="150"/>
        <v>7920</v>
      </c>
      <c r="BK146" s="14">
        <f>SUMIFS(BJ$4:BJ146,$AU$4:$AU146,"="&amp;$AU146,$AY$4:$AY146,"="&amp;$AY146)</f>
        <v>13200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34"/>
        <v>18</v>
      </c>
      <c r="AJ147" s="13">
        <f t="shared" si="135"/>
        <v>202608</v>
      </c>
      <c r="AK147" s="13">
        <f t="shared" si="136"/>
        <v>1102026</v>
      </c>
      <c r="AL147" s="13" t="s">
        <v>1127</v>
      </c>
      <c r="AM147" s="13">
        <f t="shared" si="137"/>
        <v>8</v>
      </c>
      <c r="AN147" s="13" t="str">
        <f t="shared" si="138"/>
        <v>雷震子专属武器魂珠-8</v>
      </c>
      <c r="AO147" s="13">
        <f t="shared" si="139"/>
        <v>150</v>
      </c>
      <c r="AP147" s="13">
        <f t="shared" si="140"/>
        <v>3</v>
      </c>
      <c r="AQ147" s="13">
        <f t="shared" si="141"/>
        <v>5</v>
      </c>
      <c r="AT147" s="13">
        <v>144</v>
      </c>
      <c r="AU147" s="13">
        <f t="shared" si="142"/>
        <v>2</v>
      </c>
      <c r="AV147" s="14">
        <f t="shared" si="143"/>
        <v>200207</v>
      </c>
      <c r="AW147" s="14">
        <f t="shared" si="144"/>
        <v>1102002</v>
      </c>
      <c r="AX147" s="13" t="s">
        <v>1127</v>
      </c>
      <c r="AY147" s="13">
        <f t="shared" si="145"/>
        <v>7</v>
      </c>
      <c r="AZ147" s="13" t="s">
        <v>1148</v>
      </c>
      <c r="BA147" s="14">
        <f t="shared" si="146"/>
        <v>3</v>
      </c>
      <c r="BB147" s="14" t="str">
        <f t="shared" si="147"/>
        <v>许褚魂珠-7 等级-3</v>
      </c>
      <c r="BC147" s="25" t="s">
        <v>1156</v>
      </c>
      <c r="BD147" s="14">
        <f t="shared" si="148"/>
        <v>432</v>
      </c>
      <c r="BE147" s="14">
        <f>SUMIFS(BD$4:BD147,$AU$4:$AU147,"="&amp;$AU147,$AY$4:$AY147,"="&amp;$AY147)</f>
        <v>972</v>
      </c>
      <c r="BF147" s="25" t="s">
        <v>1157</v>
      </c>
      <c r="BG147" s="14">
        <f t="shared" si="149"/>
        <v>240</v>
      </c>
      <c r="BH147" s="14">
        <f>SUMIFS(BG$4:BG147,AU$4:AU147,"="&amp;AU147,AY$4:AY147,"="&amp;AY147)</f>
        <v>540</v>
      </c>
      <c r="BI147" s="25" t="s">
        <v>1158</v>
      </c>
      <c r="BJ147" s="14">
        <f t="shared" si="150"/>
        <v>10560</v>
      </c>
      <c r="BK147" s="14">
        <f>SUMIFS(BJ$4:BJ147,$AU$4:$AU147,"="&amp;$AU147,$AY$4:$AY147,"="&amp;$AY147)</f>
        <v>23760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34"/>
        <v>19</v>
      </c>
      <c r="AJ148" s="13">
        <f t="shared" si="135"/>
        <v>202801</v>
      </c>
      <c r="AK148" s="13">
        <f t="shared" si="136"/>
        <v>1102028</v>
      </c>
      <c r="AL148" s="13" t="s">
        <v>1127</v>
      </c>
      <c r="AM148" s="13">
        <f t="shared" si="137"/>
        <v>1</v>
      </c>
      <c r="AN148" s="13" t="str">
        <f t="shared" si="138"/>
        <v>吕布专属武器魂珠-1</v>
      </c>
      <c r="AO148" s="13">
        <f t="shared" si="139"/>
        <v>40</v>
      </c>
      <c r="AP148" s="13">
        <f t="shared" si="140"/>
        <v>0</v>
      </c>
      <c r="AQ148" s="13">
        <f t="shared" si="141"/>
        <v>0</v>
      </c>
      <c r="AT148" s="13">
        <v>145</v>
      </c>
      <c r="AU148" s="13">
        <f t="shared" si="142"/>
        <v>2</v>
      </c>
      <c r="AV148" s="14">
        <f t="shared" si="143"/>
        <v>200207</v>
      </c>
      <c r="AW148" s="14">
        <f t="shared" si="144"/>
        <v>1102002</v>
      </c>
      <c r="AX148" s="13" t="s">
        <v>1127</v>
      </c>
      <c r="AY148" s="13">
        <f t="shared" si="145"/>
        <v>7</v>
      </c>
      <c r="AZ148" s="13" t="s">
        <v>1148</v>
      </c>
      <c r="BA148" s="14">
        <f t="shared" si="146"/>
        <v>4</v>
      </c>
      <c r="BB148" s="14" t="str">
        <f t="shared" si="147"/>
        <v>许褚魂珠-7 等级-4</v>
      </c>
      <c r="BC148" s="25" t="s">
        <v>1156</v>
      </c>
      <c r="BD148" s="14">
        <f t="shared" si="148"/>
        <v>648</v>
      </c>
      <c r="BE148" s="14">
        <f>SUMIFS(BD$4:BD148,$AU$4:$AU148,"="&amp;$AU148,$AY$4:$AY148,"="&amp;$AY148)</f>
        <v>1620</v>
      </c>
      <c r="BF148" s="25" t="s">
        <v>1157</v>
      </c>
      <c r="BG148" s="14">
        <f t="shared" si="149"/>
        <v>360</v>
      </c>
      <c r="BH148" s="14">
        <f>SUMIFS(BG$4:BG148,AU$4:AU148,"="&amp;AU148,AY$4:AY148,"="&amp;AY148)</f>
        <v>900</v>
      </c>
      <c r="BI148" s="25" t="s">
        <v>1158</v>
      </c>
      <c r="BJ148" s="14">
        <f t="shared" si="150"/>
        <v>15840</v>
      </c>
      <c r="BK148" s="14">
        <f>SUMIFS(BJ$4:BJ148,$AU$4:$AU148,"="&amp;$AU148,$AY$4:$AY148,"="&amp;$AY148)</f>
        <v>39600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34"/>
        <v>19</v>
      </c>
      <c r="AJ149" s="13">
        <f t="shared" si="135"/>
        <v>202802</v>
      </c>
      <c r="AK149" s="13">
        <f t="shared" si="136"/>
        <v>1102028</v>
      </c>
      <c r="AL149" s="13" t="s">
        <v>1127</v>
      </c>
      <c r="AM149" s="13">
        <f t="shared" si="137"/>
        <v>2</v>
      </c>
      <c r="AN149" s="13" t="str">
        <f t="shared" si="138"/>
        <v>吕布专属武器魂珠-2</v>
      </c>
      <c r="AO149" s="13">
        <f t="shared" si="139"/>
        <v>55</v>
      </c>
      <c r="AP149" s="13">
        <f t="shared" si="140"/>
        <v>3</v>
      </c>
      <c r="AQ149" s="13">
        <f t="shared" si="141"/>
        <v>0</v>
      </c>
      <c r="AT149" s="13">
        <v>146</v>
      </c>
      <c r="AU149" s="13">
        <f t="shared" si="142"/>
        <v>2</v>
      </c>
      <c r="AV149" s="14">
        <f t="shared" si="143"/>
        <v>200207</v>
      </c>
      <c r="AW149" s="14">
        <f t="shared" si="144"/>
        <v>1102002</v>
      </c>
      <c r="AX149" s="13" t="s">
        <v>1127</v>
      </c>
      <c r="AY149" s="13">
        <f t="shared" si="145"/>
        <v>7</v>
      </c>
      <c r="AZ149" s="13" t="s">
        <v>1148</v>
      </c>
      <c r="BA149" s="14">
        <f t="shared" si="146"/>
        <v>5</v>
      </c>
      <c r="BB149" s="14" t="str">
        <f t="shared" si="147"/>
        <v>许褚魂珠-7 等级-5</v>
      </c>
      <c r="BC149" s="25" t="s">
        <v>1156</v>
      </c>
      <c r="BD149" s="14">
        <f t="shared" si="148"/>
        <v>864</v>
      </c>
      <c r="BE149" s="14">
        <f>SUMIFS(BD$4:BD149,$AU$4:$AU149,"="&amp;$AU149,$AY$4:$AY149,"="&amp;$AY149)</f>
        <v>2484</v>
      </c>
      <c r="BF149" s="25" t="s">
        <v>1157</v>
      </c>
      <c r="BG149" s="14">
        <f t="shared" si="149"/>
        <v>480</v>
      </c>
      <c r="BH149" s="14">
        <f>SUMIFS(BG$4:BG149,AU$4:AU149,"="&amp;AU149,AY$4:AY149,"="&amp;AY149)</f>
        <v>1380</v>
      </c>
      <c r="BI149" s="25" t="s">
        <v>1158</v>
      </c>
      <c r="BJ149" s="14">
        <f t="shared" si="150"/>
        <v>21120</v>
      </c>
      <c r="BK149" s="14">
        <f>SUMIFS(BJ$4:BJ149,$AU$4:$AU149,"="&amp;$AU149,$AY$4:$AY149,"="&amp;$AY149)</f>
        <v>60720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34"/>
        <v>19</v>
      </c>
      <c r="AJ150" s="13">
        <f t="shared" si="135"/>
        <v>202803</v>
      </c>
      <c r="AK150" s="13">
        <f t="shared" si="136"/>
        <v>1102028</v>
      </c>
      <c r="AL150" s="13" t="s">
        <v>1127</v>
      </c>
      <c r="AM150" s="13">
        <f t="shared" si="137"/>
        <v>3</v>
      </c>
      <c r="AN150" s="13" t="str">
        <f t="shared" si="138"/>
        <v>吕布专属武器魂珠-3</v>
      </c>
      <c r="AO150" s="13">
        <f t="shared" si="139"/>
        <v>75</v>
      </c>
      <c r="AP150" s="13">
        <f t="shared" si="140"/>
        <v>3</v>
      </c>
      <c r="AQ150" s="13">
        <f t="shared" si="141"/>
        <v>0</v>
      </c>
      <c r="AT150" s="13">
        <v>147</v>
      </c>
      <c r="AU150" s="13">
        <f t="shared" si="142"/>
        <v>2</v>
      </c>
      <c r="AV150" s="14">
        <f t="shared" si="143"/>
        <v>200207</v>
      </c>
      <c r="AW150" s="14">
        <f t="shared" si="144"/>
        <v>1102002</v>
      </c>
      <c r="AX150" s="13" t="s">
        <v>1127</v>
      </c>
      <c r="AY150" s="13">
        <f t="shared" si="145"/>
        <v>7</v>
      </c>
      <c r="AZ150" s="13" t="s">
        <v>1148</v>
      </c>
      <c r="BA150" s="14">
        <f t="shared" si="146"/>
        <v>6</v>
      </c>
      <c r="BB150" s="14" t="str">
        <f t="shared" si="147"/>
        <v>许褚魂珠-7 等级-6</v>
      </c>
      <c r="BC150" s="25" t="s">
        <v>1156</v>
      </c>
      <c r="BD150" s="14">
        <f t="shared" si="148"/>
        <v>1080</v>
      </c>
      <c r="BE150" s="14">
        <f>SUMIFS(BD$4:BD150,$AU$4:$AU150,"="&amp;$AU150,$AY$4:$AY150,"="&amp;$AY150)</f>
        <v>3564</v>
      </c>
      <c r="BF150" s="25" t="s">
        <v>1157</v>
      </c>
      <c r="BG150" s="14">
        <f t="shared" si="149"/>
        <v>600</v>
      </c>
      <c r="BH150" s="14">
        <f>SUMIFS(BG$4:BG150,AU$4:AU150,"="&amp;AU150,AY$4:AY150,"="&amp;AY150)</f>
        <v>1980</v>
      </c>
      <c r="BI150" s="25" t="s">
        <v>1158</v>
      </c>
      <c r="BJ150" s="14">
        <f t="shared" si="150"/>
        <v>26400</v>
      </c>
      <c r="BK150" s="14">
        <f>SUMIFS(BJ$4:BJ150,$AU$4:$AU150,"="&amp;$AU150,$AY$4:$AY150,"="&amp;$AY150)</f>
        <v>87120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34"/>
        <v>19</v>
      </c>
      <c r="AJ151" s="13">
        <f t="shared" si="135"/>
        <v>202804</v>
      </c>
      <c r="AK151" s="13">
        <f t="shared" si="136"/>
        <v>1102028</v>
      </c>
      <c r="AL151" s="13" t="s">
        <v>1127</v>
      </c>
      <c r="AM151" s="13">
        <f t="shared" si="137"/>
        <v>4</v>
      </c>
      <c r="AN151" s="13" t="str">
        <f t="shared" si="138"/>
        <v>吕布专属武器魂珠-4</v>
      </c>
      <c r="AO151" s="13">
        <f t="shared" si="139"/>
        <v>85</v>
      </c>
      <c r="AP151" s="13">
        <f t="shared" si="140"/>
        <v>3</v>
      </c>
      <c r="AQ151" s="13">
        <f t="shared" si="141"/>
        <v>1</v>
      </c>
      <c r="AT151" s="13">
        <v>148</v>
      </c>
      <c r="AU151" s="13">
        <f t="shared" si="142"/>
        <v>2</v>
      </c>
      <c r="AV151" s="14">
        <f t="shared" si="143"/>
        <v>200207</v>
      </c>
      <c r="AW151" s="14">
        <f t="shared" si="144"/>
        <v>1102002</v>
      </c>
      <c r="AX151" s="13" t="s">
        <v>1127</v>
      </c>
      <c r="AY151" s="13">
        <f t="shared" si="145"/>
        <v>7</v>
      </c>
      <c r="AZ151" s="13" t="s">
        <v>1148</v>
      </c>
      <c r="BA151" s="14">
        <f t="shared" si="146"/>
        <v>7</v>
      </c>
      <c r="BB151" s="14" t="str">
        <f t="shared" si="147"/>
        <v>许褚魂珠-7 等级-7</v>
      </c>
      <c r="BC151" s="25" t="s">
        <v>1156</v>
      </c>
      <c r="BD151" s="14">
        <f t="shared" si="148"/>
        <v>1296</v>
      </c>
      <c r="BE151" s="14">
        <f>SUMIFS(BD$4:BD151,$AU$4:$AU151,"="&amp;$AU151,$AY$4:$AY151,"="&amp;$AY151)</f>
        <v>4860</v>
      </c>
      <c r="BF151" s="25" t="s">
        <v>1157</v>
      </c>
      <c r="BG151" s="14">
        <f t="shared" si="149"/>
        <v>720</v>
      </c>
      <c r="BH151" s="14">
        <f>SUMIFS(BG$4:BG151,AU$4:AU151,"="&amp;AU151,AY$4:AY151,"="&amp;AY151)</f>
        <v>2700</v>
      </c>
      <c r="BI151" s="25" t="s">
        <v>1158</v>
      </c>
      <c r="BJ151" s="14">
        <f t="shared" si="150"/>
        <v>31680</v>
      </c>
      <c r="BK151" s="14">
        <f>SUMIFS(BJ$4:BJ151,$AU$4:$AU151,"="&amp;$AU151,$AY$4:$AY151,"="&amp;$AY151)</f>
        <v>118800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34"/>
        <v>19</v>
      </c>
      <c r="AJ152" s="13">
        <f t="shared" si="135"/>
        <v>202805</v>
      </c>
      <c r="AK152" s="13">
        <f t="shared" si="136"/>
        <v>1102028</v>
      </c>
      <c r="AL152" s="13" t="s">
        <v>1127</v>
      </c>
      <c r="AM152" s="13">
        <f t="shared" si="137"/>
        <v>5</v>
      </c>
      <c r="AN152" s="13" t="str">
        <f t="shared" si="138"/>
        <v>吕布专属武器魂珠-5</v>
      </c>
      <c r="AO152" s="13">
        <f t="shared" si="139"/>
        <v>110</v>
      </c>
      <c r="AP152" s="13">
        <f t="shared" si="140"/>
        <v>3</v>
      </c>
      <c r="AQ152" s="13">
        <f t="shared" si="141"/>
        <v>2</v>
      </c>
      <c r="AT152" s="13">
        <v>149</v>
      </c>
      <c r="AU152" s="13">
        <f t="shared" si="142"/>
        <v>2</v>
      </c>
      <c r="AV152" s="14">
        <f t="shared" si="143"/>
        <v>200207</v>
      </c>
      <c r="AW152" s="14">
        <f t="shared" si="144"/>
        <v>1102002</v>
      </c>
      <c r="AX152" s="13" t="s">
        <v>1127</v>
      </c>
      <c r="AY152" s="13">
        <f t="shared" si="145"/>
        <v>7</v>
      </c>
      <c r="AZ152" s="13" t="s">
        <v>1148</v>
      </c>
      <c r="BA152" s="14">
        <f t="shared" si="146"/>
        <v>8</v>
      </c>
      <c r="BB152" s="14" t="str">
        <f t="shared" si="147"/>
        <v>许褚魂珠-7 等级-8</v>
      </c>
      <c r="BC152" s="25" t="s">
        <v>1156</v>
      </c>
      <c r="BD152" s="14">
        <f t="shared" si="148"/>
        <v>1512</v>
      </c>
      <c r="BE152" s="14">
        <f>SUMIFS(BD$4:BD152,$AU$4:$AU152,"="&amp;$AU152,$AY$4:$AY152,"="&amp;$AY152)</f>
        <v>6372</v>
      </c>
      <c r="BF152" s="25" t="s">
        <v>1157</v>
      </c>
      <c r="BG152" s="14">
        <f t="shared" si="149"/>
        <v>840</v>
      </c>
      <c r="BH152" s="14">
        <f>SUMIFS(BG$4:BG152,AU$4:AU152,"="&amp;AU152,AY$4:AY152,"="&amp;AY152)</f>
        <v>3540</v>
      </c>
      <c r="BI152" s="25" t="s">
        <v>1158</v>
      </c>
      <c r="BJ152" s="14">
        <f t="shared" si="150"/>
        <v>36960</v>
      </c>
      <c r="BK152" s="14">
        <f>SUMIFS(BJ$4:BJ152,$AU$4:$AU152,"="&amp;$AU152,$AY$4:$AY152,"="&amp;$AY152)</f>
        <v>155760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34"/>
        <v>19</v>
      </c>
      <c r="AJ153" s="13">
        <f t="shared" si="135"/>
        <v>202806</v>
      </c>
      <c r="AK153" s="13">
        <f t="shared" si="136"/>
        <v>1102028</v>
      </c>
      <c r="AL153" s="13" t="s">
        <v>1127</v>
      </c>
      <c r="AM153" s="13">
        <f t="shared" si="137"/>
        <v>6</v>
      </c>
      <c r="AN153" s="13" t="str">
        <f t="shared" si="138"/>
        <v>吕布专属武器魂珠-6</v>
      </c>
      <c r="AO153" s="13">
        <f t="shared" si="139"/>
        <v>125</v>
      </c>
      <c r="AP153" s="13">
        <f t="shared" si="140"/>
        <v>3</v>
      </c>
      <c r="AQ153" s="13">
        <f t="shared" si="141"/>
        <v>3</v>
      </c>
      <c r="AT153" s="13">
        <v>150</v>
      </c>
      <c r="AU153" s="13">
        <f t="shared" si="142"/>
        <v>2</v>
      </c>
      <c r="AV153" s="14">
        <f t="shared" si="143"/>
        <v>200207</v>
      </c>
      <c r="AW153" s="14">
        <f t="shared" si="144"/>
        <v>1102002</v>
      </c>
      <c r="AX153" s="13" t="s">
        <v>1127</v>
      </c>
      <c r="AY153" s="13">
        <f t="shared" si="145"/>
        <v>7</v>
      </c>
      <c r="AZ153" s="13" t="s">
        <v>1148</v>
      </c>
      <c r="BA153" s="14">
        <f t="shared" si="146"/>
        <v>9</v>
      </c>
      <c r="BB153" s="14" t="str">
        <f t="shared" si="147"/>
        <v>许褚魂珠-7 等级-9</v>
      </c>
      <c r="BC153" s="25" t="s">
        <v>1156</v>
      </c>
      <c r="BD153" s="14">
        <f t="shared" si="148"/>
        <v>1728</v>
      </c>
      <c r="BE153" s="14">
        <f>SUMIFS(BD$4:BD153,$AU$4:$AU153,"="&amp;$AU153,$AY$4:$AY153,"="&amp;$AY153)</f>
        <v>8100</v>
      </c>
      <c r="BF153" s="25" t="s">
        <v>1157</v>
      </c>
      <c r="BG153" s="14">
        <f t="shared" si="149"/>
        <v>960</v>
      </c>
      <c r="BH153" s="14">
        <f>SUMIFS(BG$4:BG153,AU$4:AU153,"="&amp;AU153,AY$4:AY153,"="&amp;AY153)</f>
        <v>4500</v>
      </c>
      <c r="BI153" s="25" t="s">
        <v>1158</v>
      </c>
      <c r="BJ153" s="14">
        <f t="shared" si="150"/>
        <v>42240</v>
      </c>
      <c r="BK153" s="14">
        <f>SUMIFS(BJ$4:BJ153,$AU$4:$AU153,"="&amp;$AU153,$AY$4:$AY153,"="&amp;$AY153)</f>
        <v>198000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34"/>
        <v>19</v>
      </c>
      <c r="AJ154" s="13">
        <f t="shared" si="135"/>
        <v>202807</v>
      </c>
      <c r="AK154" s="13">
        <f t="shared" si="136"/>
        <v>1102028</v>
      </c>
      <c r="AL154" s="13" t="s">
        <v>1127</v>
      </c>
      <c r="AM154" s="13">
        <f t="shared" si="137"/>
        <v>7</v>
      </c>
      <c r="AN154" s="13" t="str">
        <f t="shared" si="138"/>
        <v>吕布专属武器魂珠-7</v>
      </c>
      <c r="AO154" s="13">
        <f t="shared" si="139"/>
        <v>135</v>
      </c>
      <c r="AP154" s="13">
        <f t="shared" si="140"/>
        <v>3</v>
      </c>
      <c r="AQ154" s="13">
        <f t="shared" si="141"/>
        <v>4</v>
      </c>
      <c r="AT154" s="13">
        <v>151</v>
      </c>
      <c r="AU154" s="13">
        <f t="shared" si="142"/>
        <v>2</v>
      </c>
      <c r="AV154" s="14">
        <f t="shared" si="143"/>
        <v>200208</v>
      </c>
      <c r="AW154" s="14">
        <f t="shared" si="144"/>
        <v>1102002</v>
      </c>
      <c r="AX154" s="13" t="s">
        <v>1127</v>
      </c>
      <c r="AY154" s="13">
        <f t="shared" si="145"/>
        <v>8</v>
      </c>
      <c r="AZ154" s="13" t="s">
        <v>1148</v>
      </c>
      <c r="BA154" s="14">
        <f t="shared" si="146"/>
        <v>0</v>
      </c>
      <c r="BB154" s="14" t="str">
        <f t="shared" si="147"/>
        <v>许褚魂珠-8 等级-0</v>
      </c>
      <c r="BC154" s="25" t="s">
        <v>1156</v>
      </c>
      <c r="BD154" s="14">
        <f t="shared" si="148"/>
        <v>0</v>
      </c>
      <c r="BE154" s="14">
        <f>SUMIFS(BD$4:BD154,$AU$4:$AU154,"="&amp;$AU154,$AY$4:$AY154,"="&amp;$AY154)</f>
        <v>0</v>
      </c>
      <c r="BF154" s="25" t="s">
        <v>1157</v>
      </c>
      <c r="BG154" s="14">
        <f t="shared" si="149"/>
        <v>0</v>
      </c>
      <c r="BH154" s="14">
        <f>SUMIFS(BG$4:BG154,AU$4:AU154,"="&amp;AU154,AY$4:AY154,"="&amp;AY154)</f>
        <v>0</v>
      </c>
      <c r="BI154" s="25" t="s">
        <v>1158</v>
      </c>
      <c r="BJ154" s="14">
        <f t="shared" si="150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34"/>
        <v>19</v>
      </c>
      <c r="AJ155" s="13">
        <f t="shared" si="135"/>
        <v>202808</v>
      </c>
      <c r="AK155" s="13">
        <f t="shared" si="136"/>
        <v>1102028</v>
      </c>
      <c r="AL155" s="13" t="s">
        <v>1127</v>
      </c>
      <c r="AM155" s="13">
        <f t="shared" si="137"/>
        <v>8</v>
      </c>
      <c r="AN155" s="13" t="str">
        <f t="shared" si="138"/>
        <v>吕布专属武器魂珠-8</v>
      </c>
      <c r="AO155" s="13">
        <f t="shared" si="139"/>
        <v>150</v>
      </c>
      <c r="AP155" s="13">
        <f t="shared" si="140"/>
        <v>3</v>
      </c>
      <c r="AQ155" s="13">
        <f t="shared" si="141"/>
        <v>5</v>
      </c>
      <c r="AT155" s="13">
        <v>152</v>
      </c>
      <c r="AU155" s="13">
        <f t="shared" si="142"/>
        <v>2</v>
      </c>
      <c r="AV155" s="14">
        <f t="shared" si="143"/>
        <v>200208</v>
      </c>
      <c r="AW155" s="14">
        <f t="shared" si="144"/>
        <v>1102002</v>
      </c>
      <c r="AX155" s="13" t="s">
        <v>1127</v>
      </c>
      <c r="AY155" s="13">
        <f t="shared" si="145"/>
        <v>8</v>
      </c>
      <c r="AZ155" s="13" t="s">
        <v>1148</v>
      </c>
      <c r="BA155" s="14">
        <f t="shared" si="146"/>
        <v>1</v>
      </c>
      <c r="BB155" s="14" t="str">
        <f t="shared" si="147"/>
        <v>许褚魂珠-8 等级-1</v>
      </c>
      <c r="BC155" s="25" t="s">
        <v>1156</v>
      </c>
      <c r="BD155" s="14">
        <f t="shared" si="148"/>
        <v>288</v>
      </c>
      <c r="BE155" s="14">
        <f>SUMIFS(BD$4:BD155,$AU$4:$AU155,"="&amp;$AU155,$AY$4:$AY155,"="&amp;$AY155)</f>
        <v>288</v>
      </c>
      <c r="BF155" s="25" t="s">
        <v>1157</v>
      </c>
      <c r="BG155" s="14">
        <f t="shared" si="149"/>
        <v>160</v>
      </c>
      <c r="BH155" s="14">
        <f>SUMIFS(BG$4:BG155,AU$4:AU155,"="&amp;AU155,AY$4:AY155,"="&amp;AY155)</f>
        <v>160</v>
      </c>
      <c r="BI155" s="25" t="s">
        <v>1158</v>
      </c>
      <c r="BJ155" s="14">
        <f t="shared" si="150"/>
        <v>7040</v>
      </c>
      <c r="BK155" s="14">
        <f>SUMIFS(BJ$4:BJ155,$AU$4:$AU155,"="&amp;$AU155,$AY$4:$AY155,"="&amp;$AY155)</f>
        <v>7040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34"/>
        <v>20</v>
      </c>
      <c r="AJ156" s="13">
        <f t="shared" si="135"/>
        <v>203001</v>
      </c>
      <c r="AK156" s="13">
        <f t="shared" si="136"/>
        <v>1102030</v>
      </c>
      <c r="AL156" s="13" t="s">
        <v>1127</v>
      </c>
      <c r="AM156" s="13">
        <f t="shared" si="137"/>
        <v>1</v>
      </c>
      <c r="AN156" s="13" t="str">
        <f t="shared" si="138"/>
        <v>燕青专属武器魂珠-1</v>
      </c>
      <c r="AO156" s="13">
        <f t="shared" si="139"/>
        <v>40</v>
      </c>
      <c r="AP156" s="13">
        <f t="shared" si="140"/>
        <v>0</v>
      </c>
      <c r="AQ156" s="13">
        <f t="shared" si="141"/>
        <v>0</v>
      </c>
      <c r="AT156" s="13">
        <v>153</v>
      </c>
      <c r="AU156" s="13">
        <f t="shared" si="142"/>
        <v>2</v>
      </c>
      <c r="AV156" s="14">
        <f t="shared" si="143"/>
        <v>200208</v>
      </c>
      <c r="AW156" s="14">
        <f t="shared" si="144"/>
        <v>1102002</v>
      </c>
      <c r="AX156" s="13" t="s">
        <v>1127</v>
      </c>
      <c r="AY156" s="13">
        <f t="shared" si="145"/>
        <v>8</v>
      </c>
      <c r="AZ156" s="13" t="s">
        <v>1148</v>
      </c>
      <c r="BA156" s="14">
        <f t="shared" si="146"/>
        <v>2</v>
      </c>
      <c r="BB156" s="14" t="str">
        <f t="shared" si="147"/>
        <v>许褚魂珠-8 等级-2</v>
      </c>
      <c r="BC156" s="25" t="s">
        <v>1156</v>
      </c>
      <c r="BD156" s="14">
        <f t="shared" si="148"/>
        <v>432</v>
      </c>
      <c r="BE156" s="14">
        <f>SUMIFS(BD$4:BD156,$AU$4:$AU156,"="&amp;$AU156,$AY$4:$AY156,"="&amp;$AY156)</f>
        <v>720</v>
      </c>
      <c r="BF156" s="25" t="s">
        <v>1157</v>
      </c>
      <c r="BG156" s="14">
        <f t="shared" si="149"/>
        <v>240</v>
      </c>
      <c r="BH156" s="14">
        <f>SUMIFS(BG$4:BG156,AU$4:AU156,"="&amp;AU156,AY$4:AY156,"="&amp;AY156)</f>
        <v>400</v>
      </c>
      <c r="BI156" s="25" t="s">
        <v>1158</v>
      </c>
      <c r="BJ156" s="14">
        <f t="shared" si="150"/>
        <v>10560</v>
      </c>
      <c r="BK156" s="14">
        <f>SUMIFS(BJ$4:BJ156,$AU$4:$AU156,"="&amp;$AU156,$AY$4:$AY156,"="&amp;$AY156)</f>
        <v>17600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34"/>
        <v>20</v>
      </c>
      <c r="AJ157" s="13">
        <f t="shared" si="135"/>
        <v>203002</v>
      </c>
      <c r="AK157" s="13">
        <f t="shared" si="136"/>
        <v>1102030</v>
      </c>
      <c r="AL157" s="13" t="s">
        <v>1127</v>
      </c>
      <c r="AM157" s="13">
        <f t="shared" si="137"/>
        <v>2</v>
      </c>
      <c r="AN157" s="13" t="str">
        <f t="shared" si="138"/>
        <v>燕青专属武器魂珠-2</v>
      </c>
      <c r="AO157" s="13">
        <f t="shared" si="139"/>
        <v>55</v>
      </c>
      <c r="AP157" s="13">
        <f t="shared" si="140"/>
        <v>3</v>
      </c>
      <c r="AQ157" s="13">
        <f t="shared" si="141"/>
        <v>0</v>
      </c>
      <c r="AT157" s="13">
        <v>154</v>
      </c>
      <c r="AU157" s="13">
        <f t="shared" si="142"/>
        <v>2</v>
      </c>
      <c r="AV157" s="14">
        <f t="shared" si="143"/>
        <v>200208</v>
      </c>
      <c r="AW157" s="14">
        <f t="shared" si="144"/>
        <v>1102002</v>
      </c>
      <c r="AX157" s="13" t="s">
        <v>1127</v>
      </c>
      <c r="AY157" s="13">
        <f t="shared" si="145"/>
        <v>8</v>
      </c>
      <c r="AZ157" s="13" t="s">
        <v>1148</v>
      </c>
      <c r="BA157" s="14">
        <f t="shared" si="146"/>
        <v>3</v>
      </c>
      <c r="BB157" s="14" t="str">
        <f t="shared" si="147"/>
        <v>许褚魂珠-8 等级-3</v>
      </c>
      <c r="BC157" s="25" t="s">
        <v>1156</v>
      </c>
      <c r="BD157" s="14">
        <f t="shared" si="148"/>
        <v>576</v>
      </c>
      <c r="BE157" s="14">
        <f>SUMIFS(BD$4:BD157,$AU$4:$AU157,"="&amp;$AU157,$AY$4:$AY157,"="&amp;$AY157)</f>
        <v>1296</v>
      </c>
      <c r="BF157" s="25" t="s">
        <v>1157</v>
      </c>
      <c r="BG157" s="14">
        <f t="shared" si="149"/>
        <v>320</v>
      </c>
      <c r="BH157" s="14">
        <f>SUMIFS(BG$4:BG157,AU$4:AU157,"="&amp;AU157,AY$4:AY157,"="&amp;AY157)</f>
        <v>720</v>
      </c>
      <c r="BI157" s="25" t="s">
        <v>1158</v>
      </c>
      <c r="BJ157" s="14">
        <f t="shared" si="150"/>
        <v>14080</v>
      </c>
      <c r="BK157" s="14">
        <f>SUMIFS(BJ$4:BJ157,$AU$4:$AU157,"="&amp;$AU157,$AY$4:$AY157,"="&amp;$AY157)</f>
        <v>31680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34"/>
        <v>20</v>
      </c>
      <c r="AJ158" s="13">
        <f t="shared" si="135"/>
        <v>203003</v>
      </c>
      <c r="AK158" s="13">
        <f t="shared" si="136"/>
        <v>1102030</v>
      </c>
      <c r="AL158" s="13" t="s">
        <v>1127</v>
      </c>
      <c r="AM158" s="13">
        <f t="shared" si="137"/>
        <v>3</v>
      </c>
      <c r="AN158" s="13" t="str">
        <f t="shared" si="138"/>
        <v>燕青专属武器魂珠-3</v>
      </c>
      <c r="AO158" s="13">
        <f t="shared" si="139"/>
        <v>75</v>
      </c>
      <c r="AP158" s="13">
        <f t="shared" si="140"/>
        <v>3</v>
      </c>
      <c r="AQ158" s="13">
        <f t="shared" si="141"/>
        <v>0</v>
      </c>
      <c r="AT158" s="13">
        <v>155</v>
      </c>
      <c r="AU158" s="13">
        <f t="shared" si="142"/>
        <v>2</v>
      </c>
      <c r="AV158" s="14">
        <f t="shared" si="143"/>
        <v>200208</v>
      </c>
      <c r="AW158" s="14">
        <f t="shared" si="144"/>
        <v>1102002</v>
      </c>
      <c r="AX158" s="13" t="s">
        <v>1127</v>
      </c>
      <c r="AY158" s="13">
        <f t="shared" si="145"/>
        <v>8</v>
      </c>
      <c r="AZ158" s="13" t="s">
        <v>1148</v>
      </c>
      <c r="BA158" s="14">
        <f t="shared" si="146"/>
        <v>4</v>
      </c>
      <c r="BB158" s="14" t="str">
        <f t="shared" si="147"/>
        <v>许褚魂珠-8 等级-4</v>
      </c>
      <c r="BC158" s="25" t="s">
        <v>1156</v>
      </c>
      <c r="BD158" s="14">
        <f t="shared" si="148"/>
        <v>864</v>
      </c>
      <c r="BE158" s="14">
        <f>SUMIFS(BD$4:BD158,$AU$4:$AU158,"="&amp;$AU158,$AY$4:$AY158,"="&amp;$AY158)</f>
        <v>2160</v>
      </c>
      <c r="BF158" s="25" t="s">
        <v>1157</v>
      </c>
      <c r="BG158" s="14">
        <f t="shared" si="149"/>
        <v>480</v>
      </c>
      <c r="BH158" s="14">
        <f>SUMIFS(BG$4:BG158,AU$4:AU158,"="&amp;AU158,AY$4:AY158,"="&amp;AY158)</f>
        <v>1200</v>
      </c>
      <c r="BI158" s="25" t="s">
        <v>1158</v>
      </c>
      <c r="BJ158" s="14">
        <f t="shared" si="150"/>
        <v>21120</v>
      </c>
      <c r="BK158" s="14">
        <f>SUMIFS(BJ$4:BJ158,$AU$4:$AU158,"="&amp;$AU158,$AY$4:$AY158,"="&amp;$AY158)</f>
        <v>52800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34"/>
        <v>20</v>
      </c>
      <c r="AJ159" s="13">
        <f t="shared" si="135"/>
        <v>203004</v>
      </c>
      <c r="AK159" s="13">
        <f t="shared" si="136"/>
        <v>1102030</v>
      </c>
      <c r="AL159" s="13" t="s">
        <v>1127</v>
      </c>
      <c r="AM159" s="13">
        <f t="shared" si="137"/>
        <v>4</v>
      </c>
      <c r="AN159" s="13" t="str">
        <f t="shared" si="138"/>
        <v>燕青专属武器魂珠-4</v>
      </c>
      <c r="AO159" s="13">
        <f t="shared" si="139"/>
        <v>85</v>
      </c>
      <c r="AP159" s="13">
        <f t="shared" si="140"/>
        <v>3</v>
      </c>
      <c r="AQ159" s="13">
        <f t="shared" si="141"/>
        <v>1</v>
      </c>
      <c r="AT159" s="13">
        <v>156</v>
      </c>
      <c r="AU159" s="13">
        <f t="shared" si="142"/>
        <v>2</v>
      </c>
      <c r="AV159" s="14">
        <f t="shared" si="143"/>
        <v>200208</v>
      </c>
      <c r="AW159" s="14">
        <f t="shared" si="144"/>
        <v>1102002</v>
      </c>
      <c r="AX159" s="13" t="s">
        <v>1127</v>
      </c>
      <c r="AY159" s="13">
        <f t="shared" si="145"/>
        <v>8</v>
      </c>
      <c r="AZ159" s="13" t="s">
        <v>1148</v>
      </c>
      <c r="BA159" s="14">
        <f t="shared" si="146"/>
        <v>5</v>
      </c>
      <c r="BB159" s="14" t="str">
        <f t="shared" si="147"/>
        <v>许褚魂珠-8 等级-5</v>
      </c>
      <c r="BC159" s="25" t="s">
        <v>1156</v>
      </c>
      <c r="BD159" s="14">
        <f t="shared" si="148"/>
        <v>1152</v>
      </c>
      <c r="BE159" s="14">
        <f>SUMIFS(BD$4:BD159,$AU$4:$AU159,"="&amp;$AU159,$AY$4:$AY159,"="&amp;$AY159)</f>
        <v>3312</v>
      </c>
      <c r="BF159" s="25" t="s">
        <v>1157</v>
      </c>
      <c r="BG159" s="14">
        <f t="shared" si="149"/>
        <v>640</v>
      </c>
      <c r="BH159" s="14">
        <f>SUMIFS(BG$4:BG159,AU$4:AU159,"="&amp;AU159,AY$4:AY159,"="&amp;AY159)</f>
        <v>1840</v>
      </c>
      <c r="BI159" s="25" t="s">
        <v>1158</v>
      </c>
      <c r="BJ159" s="14">
        <f t="shared" si="150"/>
        <v>28160</v>
      </c>
      <c r="BK159" s="14">
        <f>SUMIFS(BJ$4:BJ159,$AU$4:$AU159,"="&amp;$AU159,$AY$4:$AY159,"="&amp;$AY159)</f>
        <v>80960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34"/>
        <v>20</v>
      </c>
      <c r="AJ160" s="13">
        <f t="shared" si="135"/>
        <v>203005</v>
      </c>
      <c r="AK160" s="13">
        <f t="shared" si="136"/>
        <v>1102030</v>
      </c>
      <c r="AL160" s="13" t="s">
        <v>1127</v>
      </c>
      <c r="AM160" s="13">
        <f t="shared" si="137"/>
        <v>5</v>
      </c>
      <c r="AN160" s="13" t="str">
        <f t="shared" si="138"/>
        <v>燕青专属武器魂珠-5</v>
      </c>
      <c r="AO160" s="13">
        <f t="shared" si="139"/>
        <v>110</v>
      </c>
      <c r="AP160" s="13">
        <f t="shared" si="140"/>
        <v>3</v>
      </c>
      <c r="AQ160" s="13">
        <f t="shared" si="141"/>
        <v>2</v>
      </c>
      <c r="AT160" s="13">
        <v>157</v>
      </c>
      <c r="AU160" s="13">
        <f t="shared" si="142"/>
        <v>2</v>
      </c>
      <c r="AV160" s="14">
        <f t="shared" si="143"/>
        <v>200208</v>
      </c>
      <c r="AW160" s="14">
        <f t="shared" si="144"/>
        <v>1102002</v>
      </c>
      <c r="AX160" s="13" t="s">
        <v>1127</v>
      </c>
      <c r="AY160" s="13">
        <f t="shared" si="145"/>
        <v>8</v>
      </c>
      <c r="AZ160" s="13" t="s">
        <v>1148</v>
      </c>
      <c r="BA160" s="14">
        <f t="shared" si="146"/>
        <v>6</v>
      </c>
      <c r="BB160" s="14" t="str">
        <f t="shared" si="147"/>
        <v>许褚魂珠-8 等级-6</v>
      </c>
      <c r="BC160" s="25" t="s">
        <v>1156</v>
      </c>
      <c r="BD160" s="14">
        <f t="shared" si="148"/>
        <v>1440</v>
      </c>
      <c r="BE160" s="14">
        <f>SUMIFS(BD$4:BD160,$AU$4:$AU160,"="&amp;$AU160,$AY$4:$AY160,"="&amp;$AY160)</f>
        <v>4752</v>
      </c>
      <c r="BF160" s="25" t="s">
        <v>1157</v>
      </c>
      <c r="BG160" s="14">
        <f t="shared" si="149"/>
        <v>800</v>
      </c>
      <c r="BH160" s="14">
        <f>SUMIFS(BG$4:BG160,AU$4:AU160,"="&amp;AU160,AY$4:AY160,"="&amp;AY160)</f>
        <v>2640</v>
      </c>
      <c r="BI160" s="25" t="s">
        <v>1158</v>
      </c>
      <c r="BJ160" s="14">
        <f t="shared" si="150"/>
        <v>35200</v>
      </c>
      <c r="BK160" s="14">
        <f>SUMIFS(BJ$4:BJ160,$AU$4:$AU160,"="&amp;$AU160,$AY$4:$AY160,"="&amp;$AY160)</f>
        <v>116160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34"/>
        <v>20</v>
      </c>
      <c r="AJ161" s="13">
        <f t="shared" si="135"/>
        <v>203006</v>
      </c>
      <c r="AK161" s="13">
        <f t="shared" si="136"/>
        <v>1102030</v>
      </c>
      <c r="AL161" s="13" t="s">
        <v>1127</v>
      </c>
      <c r="AM161" s="13">
        <f t="shared" si="137"/>
        <v>6</v>
      </c>
      <c r="AN161" s="13" t="str">
        <f t="shared" si="138"/>
        <v>燕青专属武器魂珠-6</v>
      </c>
      <c r="AO161" s="13">
        <f t="shared" si="139"/>
        <v>125</v>
      </c>
      <c r="AP161" s="13">
        <f t="shared" si="140"/>
        <v>3</v>
      </c>
      <c r="AQ161" s="13">
        <f t="shared" si="141"/>
        <v>3</v>
      </c>
      <c r="AT161" s="13">
        <v>158</v>
      </c>
      <c r="AU161" s="13">
        <f t="shared" si="142"/>
        <v>2</v>
      </c>
      <c r="AV161" s="14">
        <f t="shared" si="143"/>
        <v>200208</v>
      </c>
      <c r="AW161" s="14">
        <f t="shared" si="144"/>
        <v>1102002</v>
      </c>
      <c r="AX161" s="13" t="s">
        <v>1127</v>
      </c>
      <c r="AY161" s="13">
        <f t="shared" si="145"/>
        <v>8</v>
      </c>
      <c r="AZ161" s="13" t="s">
        <v>1148</v>
      </c>
      <c r="BA161" s="14">
        <f t="shared" si="146"/>
        <v>7</v>
      </c>
      <c r="BB161" s="14" t="str">
        <f t="shared" si="147"/>
        <v>许褚魂珠-8 等级-7</v>
      </c>
      <c r="BC161" s="25" t="s">
        <v>1156</v>
      </c>
      <c r="BD161" s="14">
        <f t="shared" si="148"/>
        <v>1728</v>
      </c>
      <c r="BE161" s="14">
        <f>SUMIFS(BD$4:BD161,$AU$4:$AU161,"="&amp;$AU161,$AY$4:$AY161,"="&amp;$AY161)</f>
        <v>6480</v>
      </c>
      <c r="BF161" s="25" t="s">
        <v>1157</v>
      </c>
      <c r="BG161" s="14">
        <f t="shared" si="149"/>
        <v>960</v>
      </c>
      <c r="BH161" s="14">
        <f>SUMIFS(BG$4:BG161,AU$4:AU161,"="&amp;AU161,AY$4:AY161,"="&amp;AY161)</f>
        <v>3600</v>
      </c>
      <c r="BI161" s="25" t="s">
        <v>1158</v>
      </c>
      <c r="BJ161" s="14">
        <f t="shared" si="150"/>
        <v>42240</v>
      </c>
      <c r="BK161" s="14">
        <f>SUMIFS(BJ$4:BJ161,$AU$4:$AU161,"="&amp;$AU161,$AY$4:$AY161,"="&amp;$AY161)</f>
        <v>158400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34"/>
        <v>20</v>
      </c>
      <c r="AJ162" s="13">
        <f t="shared" si="135"/>
        <v>203007</v>
      </c>
      <c r="AK162" s="13">
        <f t="shared" si="136"/>
        <v>1102030</v>
      </c>
      <c r="AL162" s="13" t="s">
        <v>1127</v>
      </c>
      <c r="AM162" s="13">
        <f t="shared" si="137"/>
        <v>7</v>
      </c>
      <c r="AN162" s="13" t="str">
        <f t="shared" si="138"/>
        <v>燕青专属武器魂珠-7</v>
      </c>
      <c r="AO162" s="13">
        <f t="shared" si="139"/>
        <v>135</v>
      </c>
      <c r="AP162" s="13">
        <f t="shared" si="140"/>
        <v>3</v>
      </c>
      <c r="AQ162" s="13">
        <f t="shared" si="141"/>
        <v>4</v>
      </c>
      <c r="AT162" s="13">
        <v>159</v>
      </c>
      <c r="AU162" s="13">
        <f t="shared" si="142"/>
        <v>2</v>
      </c>
      <c r="AV162" s="14">
        <f t="shared" si="143"/>
        <v>200208</v>
      </c>
      <c r="AW162" s="14">
        <f t="shared" si="144"/>
        <v>1102002</v>
      </c>
      <c r="AX162" s="13" t="s">
        <v>1127</v>
      </c>
      <c r="AY162" s="13">
        <f t="shared" si="145"/>
        <v>8</v>
      </c>
      <c r="AZ162" s="13" t="s">
        <v>1148</v>
      </c>
      <c r="BA162" s="14">
        <f t="shared" si="146"/>
        <v>8</v>
      </c>
      <c r="BB162" s="14" t="str">
        <f t="shared" si="147"/>
        <v>许褚魂珠-8 等级-8</v>
      </c>
      <c r="BC162" s="25" t="s">
        <v>1156</v>
      </c>
      <c r="BD162" s="14">
        <f t="shared" si="148"/>
        <v>2016</v>
      </c>
      <c r="BE162" s="14">
        <f>SUMIFS(BD$4:BD162,$AU$4:$AU162,"="&amp;$AU162,$AY$4:$AY162,"="&amp;$AY162)</f>
        <v>8496</v>
      </c>
      <c r="BF162" s="25" t="s">
        <v>1157</v>
      </c>
      <c r="BG162" s="14">
        <f t="shared" si="149"/>
        <v>1120</v>
      </c>
      <c r="BH162" s="14">
        <f>SUMIFS(BG$4:BG162,AU$4:AU162,"="&amp;AU162,AY$4:AY162,"="&amp;AY162)</f>
        <v>4720</v>
      </c>
      <c r="BI162" s="25" t="s">
        <v>1158</v>
      </c>
      <c r="BJ162" s="14">
        <f t="shared" si="150"/>
        <v>49280</v>
      </c>
      <c r="BK162" s="14">
        <f>SUMIFS(BJ$4:BJ162,$AU$4:$AU162,"="&amp;$AU162,$AY$4:$AY162,"="&amp;$AY162)</f>
        <v>207680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34"/>
        <v>20</v>
      </c>
      <c r="AJ163" s="13">
        <f t="shared" si="135"/>
        <v>203008</v>
      </c>
      <c r="AK163" s="13">
        <f t="shared" si="136"/>
        <v>1102030</v>
      </c>
      <c r="AL163" s="13" t="s">
        <v>1127</v>
      </c>
      <c r="AM163" s="13">
        <f t="shared" si="137"/>
        <v>8</v>
      </c>
      <c r="AN163" s="13" t="str">
        <f t="shared" si="138"/>
        <v>燕青专属武器魂珠-8</v>
      </c>
      <c r="AO163" s="13">
        <f t="shared" si="139"/>
        <v>150</v>
      </c>
      <c r="AP163" s="13">
        <f t="shared" si="140"/>
        <v>3</v>
      </c>
      <c r="AQ163" s="13">
        <f t="shared" si="141"/>
        <v>5</v>
      </c>
      <c r="AT163" s="13">
        <v>160</v>
      </c>
      <c r="AU163" s="13">
        <f t="shared" si="142"/>
        <v>2</v>
      </c>
      <c r="AV163" s="14">
        <f t="shared" si="143"/>
        <v>200208</v>
      </c>
      <c r="AW163" s="14">
        <f t="shared" si="144"/>
        <v>1102002</v>
      </c>
      <c r="AX163" s="13" t="s">
        <v>1127</v>
      </c>
      <c r="AY163" s="13">
        <f t="shared" si="145"/>
        <v>8</v>
      </c>
      <c r="AZ163" s="13" t="s">
        <v>1148</v>
      </c>
      <c r="BA163" s="14">
        <f t="shared" si="146"/>
        <v>9</v>
      </c>
      <c r="BB163" s="14" t="str">
        <f t="shared" si="147"/>
        <v>许褚魂珠-8 等级-9</v>
      </c>
      <c r="BC163" s="25" t="s">
        <v>1156</v>
      </c>
      <c r="BD163" s="14">
        <f t="shared" si="148"/>
        <v>2304</v>
      </c>
      <c r="BE163" s="14">
        <f>SUMIFS(BD$4:BD163,$AU$4:$AU163,"="&amp;$AU163,$AY$4:$AY163,"="&amp;$AY163)</f>
        <v>10800</v>
      </c>
      <c r="BF163" s="25" t="s">
        <v>1157</v>
      </c>
      <c r="BG163" s="14">
        <f t="shared" si="149"/>
        <v>1280</v>
      </c>
      <c r="BH163" s="14">
        <f>SUMIFS(BG$4:BG163,AU$4:AU163,"="&amp;AU163,AY$4:AY163,"="&amp;AY163)</f>
        <v>6000</v>
      </c>
      <c r="BI163" s="25" t="s">
        <v>1158</v>
      </c>
      <c r="BJ163" s="14">
        <f t="shared" si="150"/>
        <v>56320</v>
      </c>
      <c r="BK163" s="14">
        <f>SUMIFS(BJ$4:BJ163,$AU$4:$AU163,"="&amp;$AU163,$AY$4:$AY163,"="&amp;$AY163)</f>
        <v>264000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34"/>
        <v>21</v>
      </c>
      <c r="AJ164" s="13">
        <f t="shared" si="135"/>
        <v>203101</v>
      </c>
      <c r="AK164" s="13">
        <f t="shared" si="136"/>
        <v>1102031</v>
      </c>
      <c r="AL164" s="13" t="s">
        <v>1127</v>
      </c>
      <c r="AM164" s="13">
        <f t="shared" si="137"/>
        <v>1</v>
      </c>
      <c r="AN164" s="13" t="str">
        <f t="shared" si="138"/>
        <v>秦琼专属武器魂珠-1</v>
      </c>
      <c r="AO164" s="13">
        <f t="shared" si="139"/>
        <v>40</v>
      </c>
      <c r="AP164" s="13">
        <f t="shared" si="140"/>
        <v>0</v>
      </c>
      <c r="AQ164" s="13">
        <f t="shared" si="141"/>
        <v>0</v>
      </c>
      <c r="AT164" s="13">
        <v>161</v>
      </c>
      <c r="AU164" s="13">
        <f t="shared" si="142"/>
        <v>3</v>
      </c>
      <c r="AV164" s="14">
        <f t="shared" si="143"/>
        <v>200301</v>
      </c>
      <c r="AW164" s="14">
        <f t="shared" si="144"/>
        <v>1102003</v>
      </c>
      <c r="AX164" s="13" t="s">
        <v>1127</v>
      </c>
      <c r="AY164" s="13">
        <f t="shared" si="145"/>
        <v>1</v>
      </c>
      <c r="AZ164" s="13" t="s">
        <v>1148</v>
      </c>
      <c r="BA164" s="14">
        <f t="shared" si="146"/>
        <v>0</v>
      </c>
      <c r="BB164" s="14" t="str">
        <f t="shared" si="147"/>
        <v>典韦魂珠-1 等级-0</v>
      </c>
      <c r="BC164" s="25" t="s">
        <v>1156</v>
      </c>
      <c r="BD164" s="14">
        <f t="shared" si="148"/>
        <v>0</v>
      </c>
      <c r="BE164" s="14">
        <f>SUMIFS(BD$4:BD164,$AU$4:$AU164,"="&amp;$AU164,$AY$4:$AY164,"="&amp;$AY164)</f>
        <v>0</v>
      </c>
      <c r="BF164" s="25" t="s">
        <v>1157</v>
      </c>
      <c r="BG164" s="14">
        <f t="shared" si="149"/>
        <v>0</v>
      </c>
      <c r="BH164" s="14">
        <f>SUMIFS(BG$4:BG164,AU$4:AU164,"="&amp;AU164,AY$4:AY164,"="&amp;AY164)</f>
        <v>0</v>
      </c>
      <c r="BI164" s="25" t="s">
        <v>1158</v>
      </c>
      <c r="BJ164" s="14">
        <f t="shared" si="150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34"/>
        <v>21</v>
      </c>
      <c r="AJ165" s="13">
        <f t="shared" si="135"/>
        <v>203102</v>
      </c>
      <c r="AK165" s="13">
        <f t="shared" si="136"/>
        <v>1102031</v>
      </c>
      <c r="AL165" s="13" t="s">
        <v>1127</v>
      </c>
      <c r="AM165" s="13">
        <f t="shared" si="137"/>
        <v>2</v>
      </c>
      <c r="AN165" s="13" t="str">
        <f t="shared" si="138"/>
        <v>秦琼专属武器魂珠-2</v>
      </c>
      <c r="AO165" s="13">
        <f t="shared" si="139"/>
        <v>55</v>
      </c>
      <c r="AP165" s="13">
        <f t="shared" si="140"/>
        <v>3</v>
      </c>
      <c r="AQ165" s="13">
        <f t="shared" si="141"/>
        <v>0</v>
      </c>
      <c r="AT165" s="13">
        <v>162</v>
      </c>
      <c r="AU165" s="13">
        <f t="shared" si="142"/>
        <v>3</v>
      </c>
      <c r="AV165" s="14">
        <f t="shared" si="143"/>
        <v>200301</v>
      </c>
      <c r="AW165" s="14">
        <f t="shared" si="144"/>
        <v>1102003</v>
      </c>
      <c r="AX165" s="13" t="s">
        <v>1127</v>
      </c>
      <c r="AY165" s="13">
        <f t="shared" si="145"/>
        <v>1</v>
      </c>
      <c r="AZ165" s="13" t="s">
        <v>1148</v>
      </c>
      <c r="BA165" s="14">
        <f t="shared" si="146"/>
        <v>1</v>
      </c>
      <c r="BB165" s="14" t="str">
        <f t="shared" si="147"/>
        <v>典韦魂珠-1 等级-1</v>
      </c>
      <c r="BC165" s="25" t="s">
        <v>1156</v>
      </c>
      <c r="BD165" s="14">
        <f t="shared" si="148"/>
        <v>48</v>
      </c>
      <c r="BE165" s="14">
        <f>SUMIFS(BD$4:BD165,$AU$4:$AU165,"="&amp;$AU165,$AY$4:$AY165,"="&amp;$AY165)</f>
        <v>48</v>
      </c>
      <c r="BF165" s="25" t="s">
        <v>1157</v>
      </c>
      <c r="BG165" s="14">
        <f t="shared" si="149"/>
        <v>22</v>
      </c>
      <c r="BH165" s="14">
        <f>SUMIFS(BG$4:BG165,AU$4:AU165,"="&amp;AU165,AY$4:AY165,"="&amp;AY165)</f>
        <v>22</v>
      </c>
      <c r="BI165" s="25" t="s">
        <v>1158</v>
      </c>
      <c r="BJ165" s="14">
        <f t="shared" si="150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34"/>
        <v>21</v>
      </c>
      <c r="AJ166" s="13">
        <f t="shared" si="135"/>
        <v>203103</v>
      </c>
      <c r="AK166" s="13">
        <f t="shared" si="136"/>
        <v>1102031</v>
      </c>
      <c r="AL166" s="13" t="s">
        <v>1127</v>
      </c>
      <c r="AM166" s="13">
        <f t="shared" si="137"/>
        <v>3</v>
      </c>
      <c r="AN166" s="13" t="str">
        <f t="shared" si="138"/>
        <v>秦琼专属武器魂珠-3</v>
      </c>
      <c r="AO166" s="13">
        <f t="shared" si="139"/>
        <v>75</v>
      </c>
      <c r="AP166" s="13">
        <f t="shared" si="140"/>
        <v>3</v>
      </c>
      <c r="AQ166" s="13">
        <f t="shared" si="141"/>
        <v>0</v>
      </c>
      <c r="AT166" s="13">
        <v>163</v>
      </c>
      <c r="AU166" s="13">
        <f t="shared" si="142"/>
        <v>3</v>
      </c>
      <c r="AV166" s="14">
        <f t="shared" si="143"/>
        <v>200301</v>
      </c>
      <c r="AW166" s="14">
        <f t="shared" si="144"/>
        <v>1102003</v>
      </c>
      <c r="AX166" s="13" t="s">
        <v>1127</v>
      </c>
      <c r="AY166" s="13">
        <f t="shared" si="145"/>
        <v>1</v>
      </c>
      <c r="AZ166" s="13" t="s">
        <v>1148</v>
      </c>
      <c r="BA166" s="14">
        <f t="shared" si="146"/>
        <v>2</v>
      </c>
      <c r="BB166" s="14" t="str">
        <f t="shared" si="147"/>
        <v>典韦魂珠-1 等级-2</v>
      </c>
      <c r="BC166" s="25" t="s">
        <v>1156</v>
      </c>
      <c r="BD166" s="14">
        <f t="shared" si="148"/>
        <v>72</v>
      </c>
      <c r="BE166" s="14">
        <f>SUMIFS(BD$4:BD166,$AU$4:$AU166,"="&amp;$AU166,$AY$4:$AY166,"="&amp;$AY166)</f>
        <v>120</v>
      </c>
      <c r="BF166" s="25" t="s">
        <v>1157</v>
      </c>
      <c r="BG166" s="14">
        <f t="shared" si="149"/>
        <v>33</v>
      </c>
      <c r="BH166" s="14">
        <f>SUMIFS(BG$4:BG166,AU$4:AU166,"="&amp;AU166,AY$4:AY166,"="&amp;AY166)</f>
        <v>55</v>
      </c>
      <c r="BI166" s="25" t="s">
        <v>1158</v>
      </c>
      <c r="BJ166" s="14">
        <f t="shared" si="150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34"/>
        <v>21</v>
      </c>
      <c r="AJ167" s="13">
        <f t="shared" si="135"/>
        <v>203104</v>
      </c>
      <c r="AK167" s="13">
        <f t="shared" si="136"/>
        <v>1102031</v>
      </c>
      <c r="AL167" s="13" t="s">
        <v>1127</v>
      </c>
      <c r="AM167" s="13">
        <f t="shared" si="137"/>
        <v>4</v>
      </c>
      <c r="AN167" s="13" t="str">
        <f t="shared" si="138"/>
        <v>秦琼专属武器魂珠-4</v>
      </c>
      <c r="AO167" s="13">
        <f t="shared" si="139"/>
        <v>85</v>
      </c>
      <c r="AP167" s="13">
        <f t="shared" si="140"/>
        <v>3</v>
      </c>
      <c r="AQ167" s="13">
        <f t="shared" si="141"/>
        <v>1</v>
      </c>
      <c r="AT167" s="13">
        <v>164</v>
      </c>
      <c r="AU167" s="13">
        <f t="shared" si="142"/>
        <v>3</v>
      </c>
      <c r="AV167" s="14">
        <f t="shared" si="143"/>
        <v>200301</v>
      </c>
      <c r="AW167" s="14">
        <f t="shared" si="144"/>
        <v>1102003</v>
      </c>
      <c r="AX167" s="13" t="s">
        <v>1127</v>
      </c>
      <c r="AY167" s="13">
        <f t="shared" si="145"/>
        <v>1</v>
      </c>
      <c r="AZ167" s="13" t="s">
        <v>1148</v>
      </c>
      <c r="BA167" s="14">
        <f t="shared" si="146"/>
        <v>3</v>
      </c>
      <c r="BB167" s="14" t="str">
        <f t="shared" si="147"/>
        <v>典韦魂珠-1 等级-3</v>
      </c>
      <c r="BC167" s="25" t="s">
        <v>1156</v>
      </c>
      <c r="BD167" s="14">
        <f t="shared" si="148"/>
        <v>96</v>
      </c>
      <c r="BE167" s="14">
        <f>SUMIFS(BD$4:BD167,$AU$4:$AU167,"="&amp;$AU167,$AY$4:$AY167,"="&amp;$AY167)</f>
        <v>216</v>
      </c>
      <c r="BF167" s="25" t="s">
        <v>1157</v>
      </c>
      <c r="BG167" s="14">
        <f t="shared" si="149"/>
        <v>44</v>
      </c>
      <c r="BH167" s="14">
        <f>SUMIFS(BG$4:BG167,AU$4:AU167,"="&amp;AU167,AY$4:AY167,"="&amp;AY167)</f>
        <v>99</v>
      </c>
      <c r="BI167" s="25" t="s">
        <v>1158</v>
      </c>
      <c r="BJ167" s="14">
        <f t="shared" si="150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34"/>
        <v>21</v>
      </c>
      <c r="AJ168" s="13">
        <f t="shared" si="135"/>
        <v>203105</v>
      </c>
      <c r="AK168" s="13">
        <f t="shared" si="136"/>
        <v>1102031</v>
      </c>
      <c r="AL168" s="13" t="s">
        <v>1127</v>
      </c>
      <c r="AM168" s="13">
        <f t="shared" si="137"/>
        <v>5</v>
      </c>
      <c r="AN168" s="13" t="str">
        <f t="shared" si="138"/>
        <v>秦琼专属武器魂珠-5</v>
      </c>
      <c r="AO168" s="13">
        <f t="shared" si="139"/>
        <v>110</v>
      </c>
      <c r="AP168" s="13">
        <f t="shared" si="140"/>
        <v>3</v>
      </c>
      <c r="AQ168" s="13">
        <f t="shared" si="141"/>
        <v>2</v>
      </c>
      <c r="AT168" s="13">
        <v>165</v>
      </c>
      <c r="AU168" s="13">
        <f t="shared" si="142"/>
        <v>3</v>
      </c>
      <c r="AV168" s="14">
        <f t="shared" si="143"/>
        <v>200301</v>
      </c>
      <c r="AW168" s="14">
        <f t="shared" si="144"/>
        <v>1102003</v>
      </c>
      <c r="AX168" s="13" t="s">
        <v>1127</v>
      </c>
      <c r="AY168" s="13">
        <f t="shared" si="145"/>
        <v>1</v>
      </c>
      <c r="AZ168" s="13" t="s">
        <v>1148</v>
      </c>
      <c r="BA168" s="14">
        <f t="shared" si="146"/>
        <v>4</v>
      </c>
      <c r="BB168" s="14" t="str">
        <f t="shared" si="147"/>
        <v>典韦魂珠-1 等级-4</v>
      </c>
      <c r="BC168" s="25" t="s">
        <v>1156</v>
      </c>
      <c r="BD168" s="14">
        <f t="shared" si="148"/>
        <v>144</v>
      </c>
      <c r="BE168" s="14">
        <f>SUMIFS(BD$4:BD168,$AU$4:$AU168,"="&amp;$AU168,$AY$4:$AY168,"="&amp;$AY168)</f>
        <v>360</v>
      </c>
      <c r="BF168" s="25" t="s">
        <v>1157</v>
      </c>
      <c r="BG168" s="14">
        <f t="shared" si="149"/>
        <v>66</v>
      </c>
      <c r="BH168" s="14">
        <f>SUMIFS(BG$4:BG168,AU$4:AU168,"="&amp;AU168,AY$4:AY168,"="&amp;AY168)</f>
        <v>165</v>
      </c>
      <c r="BI168" s="25" t="s">
        <v>1158</v>
      </c>
      <c r="BJ168" s="14">
        <f t="shared" si="150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34"/>
        <v>21</v>
      </c>
      <c r="AJ169" s="13">
        <f t="shared" si="135"/>
        <v>203106</v>
      </c>
      <c r="AK169" s="13">
        <f t="shared" si="136"/>
        <v>1102031</v>
      </c>
      <c r="AL169" s="13" t="s">
        <v>1127</v>
      </c>
      <c r="AM169" s="13">
        <f t="shared" si="137"/>
        <v>6</v>
      </c>
      <c r="AN169" s="13" t="str">
        <f t="shared" si="138"/>
        <v>秦琼专属武器魂珠-6</v>
      </c>
      <c r="AO169" s="13">
        <f t="shared" si="139"/>
        <v>125</v>
      </c>
      <c r="AP169" s="13">
        <f t="shared" si="140"/>
        <v>3</v>
      </c>
      <c r="AQ169" s="13">
        <f t="shared" si="141"/>
        <v>3</v>
      </c>
      <c r="AT169" s="13">
        <v>166</v>
      </c>
      <c r="AU169" s="13">
        <f t="shared" si="142"/>
        <v>3</v>
      </c>
      <c r="AV169" s="14">
        <f t="shared" si="143"/>
        <v>200301</v>
      </c>
      <c r="AW169" s="14">
        <f t="shared" si="144"/>
        <v>1102003</v>
      </c>
      <c r="AX169" s="13" t="s">
        <v>1127</v>
      </c>
      <c r="AY169" s="13">
        <f t="shared" si="145"/>
        <v>1</v>
      </c>
      <c r="AZ169" s="13" t="s">
        <v>1148</v>
      </c>
      <c r="BA169" s="14">
        <f t="shared" si="146"/>
        <v>5</v>
      </c>
      <c r="BB169" s="14" t="str">
        <f t="shared" si="147"/>
        <v>典韦魂珠-1 等级-5</v>
      </c>
      <c r="BC169" s="25" t="s">
        <v>1156</v>
      </c>
      <c r="BD169" s="14">
        <f t="shared" si="148"/>
        <v>192</v>
      </c>
      <c r="BE169" s="14">
        <f>SUMIFS(BD$4:BD169,$AU$4:$AU169,"="&amp;$AU169,$AY$4:$AY169,"="&amp;$AY169)</f>
        <v>552</v>
      </c>
      <c r="BF169" s="25" t="s">
        <v>1157</v>
      </c>
      <c r="BG169" s="14">
        <f t="shared" si="149"/>
        <v>88</v>
      </c>
      <c r="BH169" s="14">
        <f>SUMIFS(BG$4:BG169,AU$4:AU169,"="&amp;AU169,AY$4:AY169,"="&amp;AY169)</f>
        <v>253</v>
      </c>
      <c r="BI169" s="25" t="s">
        <v>1158</v>
      </c>
      <c r="BJ169" s="14">
        <f t="shared" si="150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34"/>
        <v>21</v>
      </c>
      <c r="AJ170" s="13">
        <f t="shared" si="135"/>
        <v>203107</v>
      </c>
      <c r="AK170" s="13">
        <f t="shared" si="136"/>
        <v>1102031</v>
      </c>
      <c r="AL170" s="13" t="s">
        <v>1127</v>
      </c>
      <c r="AM170" s="13">
        <f t="shared" si="137"/>
        <v>7</v>
      </c>
      <c r="AN170" s="13" t="str">
        <f t="shared" si="138"/>
        <v>秦琼专属武器魂珠-7</v>
      </c>
      <c r="AO170" s="13">
        <f t="shared" si="139"/>
        <v>135</v>
      </c>
      <c r="AP170" s="13">
        <f t="shared" si="140"/>
        <v>3</v>
      </c>
      <c r="AQ170" s="13">
        <f t="shared" si="141"/>
        <v>4</v>
      </c>
      <c r="AT170" s="13">
        <v>167</v>
      </c>
      <c r="AU170" s="13">
        <f t="shared" si="142"/>
        <v>3</v>
      </c>
      <c r="AV170" s="14">
        <f t="shared" si="143"/>
        <v>200301</v>
      </c>
      <c r="AW170" s="14">
        <f t="shared" si="144"/>
        <v>1102003</v>
      </c>
      <c r="AX170" s="13" t="s">
        <v>1127</v>
      </c>
      <c r="AY170" s="13">
        <f t="shared" si="145"/>
        <v>1</v>
      </c>
      <c r="AZ170" s="13" t="s">
        <v>1148</v>
      </c>
      <c r="BA170" s="14">
        <f t="shared" si="146"/>
        <v>6</v>
      </c>
      <c r="BB170" s="14" t="str">
        <f t="shared" si="147"/>
        <v>典韦魂珠-1 等级-6</v>
      </c>
      <c r="BC170" s="25" t="s">
        <v>1156</v>
      </c>
      <c r="BD170" s="14">
        <f t="shared" si="148"/>
        <v>240</v>
      </c>
      <c r="BE170" s="14">
        <f>SUMIFS(BD$4:BD170,$AU$4:$AU170,"="&amp;$AU170,$AY$4:$AY170,"="&amp;$AY170)</f>
        <v>792</v>
      </c>
      <c r="BF170" s="25" t="s">
        <v>1157</v>
      </c>
      <c r="BG170" s="14">
        <f t="shared" si="149"/>
        <v>110</v>
      </c>
      <c r="BH170" s="14">
        <f>SUMIFS(BG$4:BG170,AU$4:AU170,"="&amp;AU170,AY$4:AY170,"="&amp;AY170)</f>
        <v>363</v>
      </c>
      <c r="BI170" s="25" t="s">
        <v>1158</v>
      </c>
      <c r="BJ170" s="14">
        <f t="shared" si="150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34"/>
        <v>21</v>
      </c>
      <c r="AJ171" s="13">
        <f t="shared" si="135"/>
        <v>203108</v>
      </c>
      <c r="AK171" s="13">
        <f t="shared" si="136"/>
        <v>1102031</v>
      </c>
      <c r="AL171" s="13" t="s">
        <v>1127</v>
      </c>
      <c r="AM171" s="13">
        <f t="shared" si="137"/>
        <v>8</v>
      </c>
      <c r="AN171" s="13" t="str">
        <f t="shared" si="138"/>
        <v>秦琼专属武器魂珠-8</v>
      </c>
      <c r="AO171" s="13">
        <f t="shared" si="139"/>
        <v>150</v>
      </c>
      <c r="AP171" s="13">
        <f t="shared" si="140"/>
        <v>3</v>
      </c>
      <c r="AQ171" s="13">
        <f t="shared" si="141"/>
        <v>5</v>
      </c>
      <c r="AT171" s="13">
        <v>168</v>
      </c>
      <c r="AU171" s="13">
        <f t="shared" si="142"/>
        <v>3</v>
      </c>
      <c r="AV171" s="14">
        <f t="shared" si="143"/>
        <v>200301</v>
      </c>
      <c r="AW171" s="14">
        <f t="shared" si="144"/>
        <v>1102003</v>
      </c>
      <c r="AX171" s="13" t="s">
        <v>1127</v>
      </c>
      <c r="AY171" s="13">
        <f t="shared" si="145"/>
        <v>1</v>
      </c>
      <c r="AZ171" s="13" t="s">
        <v>1148</v>
      </c>
      <c r="BA171" s="14">
        <f t="shared" si="146"/>
        <v>7</v>
      </c>
      <c r="BB171" s="14" t="str">
        <f t="shared" si="147"/>
        <v>典韦魂珠-1 等级-7</v>
      </c>
      <c r="BC171" s="25" t="s">
        <v>1156</v>
      </c>
      <c r="BD171" s="14">
        <f t="shared" si="148"/>
        <v>288</v>
      </c>
      <c r="BE171" s="14">
        <f>SUMIFS(BD$4:BD171,$AU$4:$AU171,"="&amp;$AU171,$AY$4:$AY171,"="&amp;$AY171)</f>
        <v>1080</v>
      </c>
      <c r="BF171" s="25" t="s">
        <v>1157</v>
      </c>
      <c r="BG171" s="14">
        <f t="shared" si="149"/>
        <v>132</v>
      </c>
      <c r="BH171" s="14">
        <f>SUMIFS(BG$4:BG171,AU$4:AU171,"="&amp;AU171,AY$4:AY171,"="&amp;AY171)</f>
        <v>495</v>
      </c>
      <c r="BI171" s="25" t="s">
        <v>1158</v>
      </c>
      <c r="BJ171" s="14">
        <f t="shared" si="150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3">
        <v>169</v>
      </c>
      <c r="AI172" s="13">
        <f t="shared" si="134"/>
        <v>22</v>
      </c>
      <c r="AJ172" s="13">
        <f t="shared" ref="AJ172:AJ203" si="151">(AK172-1100000)*100+AM172</f>
        <v>299901</v>
      </c>
      <c r="AK172" s="13">
        <f t="shared" ref="AK172:AK203" si="152">INDEX($W$4:$W$28,AI172)</f>
        <v>1102999</v>
      </c>
      <c r="AL172" s="13" t="s">
        <v>1127</v>
      </c>
      <c r="AM172" s="13">
        <f t="shared" ref="AM172:AM203" si="153">AH172-(AI172-1)*8</f>
        <v>1</v>
      </c>
      <c r="AN172" s="13" t="str">
        <f t="shared" ref="AN172:AN203" si="154">INDEX($X$4:$X$28,AI172)&amp;"专属武器魂珠-"&amp;AM172</f>
        <v>R守护灵专属武器魂珠-1</v>
      </c>
      <c r="AO172" s="13">
        <f t="shared" ref="AO172:AO203" si="155">INDEX(J$4:J$11,$AM172)</f>
        <v>40</v>
      </c>
      <c r="AP172" s="13">
        <f t="shared" ref="AP172:AP203" si="156">INDEX(K$4:K$11,$AM172)</f>
        <v>0</v>
      </c>
      <c r="AQ172" s="13">
        <f t="shared" ref="AQ172:AQ203" si="157">INDEX(L$4:L$11,$AM172)</f>
        <v>0</v>
      </c>
      <c r="AT172" s="13">
        <v>169</v>
      </c>
      <c r="AU172" s="13">
        <f t="shared" si="142"/>
        <v>3</v>
      </c>
      <c r="AV172" s="14">
        <f t="shared" si="143"/>
        <v>200301</v>
      </c>
      <c r="AW172" s="14">
        <f t="shared" si="144"/>
        <v>1102003</v>
      </c>
      <c r="AX172" s="13" t="s">
        <v>1127</v>
      </c>
      <c r="AY172" s="13">
        <f t="shared" si="145"/>
        <v>1</v>
      </c>
      <c r="AZ172" s="13" t="s">
        <v>1148</v>
      </c>
      <c r="BA172" s="14">
        <f t="shared" si="146"/>
        <v>8</v>
      </c>
      <c r="BB172" s="14" t="str">
        <f t="shared" si="147"/>
        <v>典韦魂珠-1 等级-8</v>
      </c>
      <c r="BC172" s="25" t="s">
        <v>1156</v>
      </c>
      <c r="BD172" s="14">
        <f t="shared" si="148"/>
        <v>336</v>
      </c>
      <c r="BE172" s="14">
        <f>SUMIFS(BD$4:BD172,$AU$4:$AU172,"="&amp;$AU172,$AY$4:$AY172,"="&amp;$AY172)</f>
        <v>1416</v>
      </c>
      <c r="BF172" s="25" t="s">
        <v>1157</v>
      </c>
      <c r="BG172" s="14">
        <f t="shared" si="149"/>
        <v>154</v>
      </c>
      <c r="BH172" s="14">
        <f>SUMIFS(BG$4:BG172,AU$4:AU172,"="&amp;AU172,AY$4:AY172,"="&amp;AY172)</f>
        <v>649</v>
      </c>
      <c r="BI172" s="25" t="s">
        <v>1158</v>
      </c>
      <c r="BJ172" s="14">
        <f t="shared" si="150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3">
        <v>170</v>
      </c>
      <c r="AI173" s="13">
        <f t="shared" si="134"/>
        <v>22</v>
      </c>
      <c r="AJ173" s="13">
        <f t="shared" si="151"/>
        <v>299902</v>
      </c>
      <c r="AK173" s="13">
        <f t="shared" si="152"/>
        <v>1102999</v>
      </c>
      <c r="AL173" s="13" t="s">
        <v>1127</v>
      </c>
      <c r="AM173" s="13">
        <f t="shared" si="153"/>
        <v>2</v>
      </c>
      <c r="AN173" s="13" t="str">
        <f t="shared" si="154"/>
        <v>R守护灵专属武器魂珠-2</v>
      </c>
      <c r="AO173" s="13">
        <f t="shared" si="155"/>
        <v>55</v>
      </c>
      <c r="AP173" s="13">
        <f t="shared" si="156"/>
        <v>3</v>
      </c>
      <c r="AQ173" s="13">
        <f t="shared" si="157"/>
        <v>0</v>
      </c>
      <c r="AT173" s="13">
        <v>170</v>
      </c>
      <c r="AU173" s="13">
        <f t="shared" si="142"/>
        <v>3</v>
      </c>
      <c r="AV173" s="14">
        <f t="shared" si="143"/>
        <v>200301</v>
      </c>
      <c r="AW173" s="14">
        <f t="shared" si="144"/>
        <v>1102003</v>
      </c>
      <c r="AX173" s="13" t="s">
        <v>1127</v>
      </c>
      <c r="AY173" s="13">
        <f t="shared" si="145"/>
        <v>1</v>
      </c>
      <c r="AZ173" s="13" t="s">
        <v>1148</v>
      </c>
      <c r="BA173" s="14">
        <f t="shared" si="146"/>
        <v>9</v>
      </c>
      <c r="BB173" s="14" t="str">
        <f t="shared" si="147"/>
        <v>典韦魂珠-1 等级-9</v>
      </c>
      <c r="BC173" s="25" t="s">
        <v>1156</v>
      </c>
      <c r="BD173" s="14">
        <f t="shared" si="148"/>
        <v>384</v>
      </c>
      <c r="BE173" s="14">
        <f>SUMIFS(BD$4:BD173,$AU$4:$AU173,"="&amp;$AU173,$AY$4:$AY173,"="&amp;$AY173)</f>
        <v>1800</v>
      </c>
      <c r="BF173" s="25" t="s">
        <v>1157</v>
      </c>
      <c r="BG173" s="14">
        <f t="shared" si="149"/>
        <v>176</v>
      </c>
      <c r="BH173" s="14">
        <f>SUMIFS(BG$4:BG173,AU$4:AU173,"="&amp;AU173,AY$4:AY173,"="&amp;AY173)</f>
        <v>825</v>
      </c>
      <c r="BI173" s="25" t="s">
        <v>1158</v>
      </c>
      <c r="BJ173" s="14">
        <f t="shared" si="150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3">
        <v>171</v>
      </c>
      <c r="AI174" s="13">
        <f t="shared" si="134"/>
        <v>22</v>
      </c>
      <c r="AJ174" s="13">
        <f t="shared" si="151"/>
        <v>299903</v>
      </c>
      <c r="AK174" s="13">
        <f t="shared" si="152"/>
        <v>1102999</v>
      </c>
      <c r="AL174" s="13" t="s">
        <v>1127</v>
      </c>
      <c r="AM174" s="13">
        <f t="shared" si="153"/>
        <v>3</v>
      </c>
      <c r="AN174" s="13" t="str">
        <f t="shared" si="154"/>
        <v>R守护灵专属武器魂珠-3</v>
      </c>
      <c r="AO174" s="13">
        <f t="shared" si="155"/>
        <v>75</v>
      </c>
      <c r="AP174" s="13">
        <f t="shared" si="156"/>
        <v>3</v>
      </c>
      <c r="AQ174" s="13">
        <f t="shared" si="157"/>
        <v>0</v>
      </c>
      <c r="AT174" s="13">
        <v>171</v>
      </c>
      <c r="AU174" s="13">
        <f t="shared" si="142"/>
        <v>3</v>
      </c>
      <c r="AV174" s="14">
        <f t="shared" si="143"/>
        <v>200302</v>
      </c>
      <c r="AW174" s="14">
        <f t="shared" si="144"/>
        <v>1102003</v>
      </c>
      <c r="AX174" s="13" t="s">
        <v>1127</v>
      </c>
      <c r="AY174" s="13">
        <f t="shared" si="145"/>
        <v>2</v>
      </c>
      <c r="AZ174" s="13" t="s">
        <v>1148</v>
      </c>
      <c r="BA174" s="14">
        <f t="shared" si="146"/>
        <v>0</v>
      </c>
      <c r="BB174" s="14" t="str">
        <f t="shared" si="147"/>
        <v>典韦魂珠-2 等级-0</v>
      </c>
      <c r="BC174" s="25" t="s">
        <v>1156</v>
      </c>
      <c r="BD174" s="14">
        <f t="shared" si="148"/>
        <v>0</v>
      </c>
      <c r="BE174" s="14">
        <f>SUMIFS(BD$4:BD174,$AU$4:$AU174,"="&amp;$AU174,$AY$4:$AY174,"="&amp;$AY174)</f>
        <v>0</v>
      </c>
      <c r="BF174" s="25" t="s">
        <v>1157</v>
      </c>
      <c r="BG174" s="14">
        <f t="shared" si="149"/>
        <v>0</v>
      </c>
      <c r="BH174" s="14">
        <f>SUMIFS(BG$4:BG174,AU$4:AU174,"="&amp;AU174,AY$4:AY174,"="&amp;AY174)</f>
        <v>0</v>
      </c>
      <c r="BI174" s="25" t="s">
        <v>1158</v>
      </c>
      <c r="BJ174" s="14">
        <f t="shared" si="150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3">
        <v>172</v>
      </c>
      <c r="AI175" s="13">
        <f t="shared" si="134"/>
        <v>22</v>
      </c>
      <c r="AJ175" s="13">
        <f t="shared" si="151"/>
        <v>299904</v>
      </c>
      <c r="AK175" s="13">
        <f t="shared" si="152"/>
        <v>1102999</v>
      </c>
      <c r="AL175" s="13" t="s">
        <v>1127</v>
      </c>
      <c r="AM175" s="13">
        <f t="shared" si="153"/>
        <v>4</v>
      </c>
      <c r="AN175" s="13" t="str">
        <f t="shared" si="154"/>
        <v>R守护灵专属武器魂珠-4</v>
      </c>
      <c r="AO175" s="13">
        <f t="shared" si="155"/>
        <v>85</v>
      </c>
      <c r="AP175" s="13">
        <f t="shared" si="156"/>
        <v>3</v>
      </c>
      <c r="AQ175" s="13">
        <f t="shared" si="157"/>
        <v>1</v>
      </c>
      <c r="AT175" s="13">
        <v>172</v>
      </c>
      <c r="AU175" s="13">
        <f t="shared" si="142"/>
        <v>3</v>
      </c>
      <c r="AV175" s="14">
        <f t="shared" si="143"/>
        <v>200302</v>
      </c>
      <c r="AW175" s="14">
        <f t="shared" si="144"/>
        <v>1102003</v>
      </c>
      <c r="AX175" s="13" t="s">
        <v>1127</v>
      </c>
      <c r="AY175" s="13">
        <f t="shared" si="145"/>
        <v>2</v>
      </c>
      <c r="AZ175" s="13" t="s">
        <v>1148</v>
      </c>
      <c r="BA175" s="14">
        <f t="shared" si="146"/>
        <v>1</v>
      </c>
      <c r="BB175" s="14" t="str">
        <f t="shared" si="147"/>
        <v>典韦魂珠-2 等级-1</v>
      </c>
      <c r="BC175" s="25" t="s">
        <v>1156</v>
      </c>
      <c r="BD175" s="14">
        <f t="shared" si="148"/>
        <v>60</v>
      </c>
      <c r="BE175" s="14">
        <f>SUMIFS(BD$4:BD175,$AU$4:$AU175,"="&amp;$AU175,$AY$4:$AY175,"="&amp;$AY175)</f>
        <v>60</v>
      </c>
      <c r="BF175" s="25" t="s">
        <v>1157</v>
      </c>
      <c r="BG175" s="14">
        <f t="shared" si="149"/>
        <v>28</v>
      </c>
      <c r="BH175" s="14">
        <f>SUMIFS(BG$4:BG175,AU$4:AU175,"="&amp;AU175,AY$4:AY175,"="&amp;AY175)</f>
        <v>28</v>
      </c>
      <c r="BI175" s="25" t="s">
        <v>1158</v>
      </c>
      <c r="BJ175" s="14">
        <f t="shared" si="150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3">
        <v>173</v>
      </c>
      <c r="AI176" s="13">
        <f t="shared" si="134"/>
        <v>22</v>
      </c>
      <c r="AJ176" s="13">
        <f t="shared" si="151"/>
        <v>299905</v>
      </c>
      <c r="AK176" s="13">
        <f t="shared" si="152"/>
        <v>1102999</v>
      </c>
      <c r="AL176" s="13" t="s">
        <v>1127</v>
      </c>
      <c r="AM176" s="13">
        <f t="shared" si="153"/>
        <v>5</v>
      </c>
      <c r="AN176" s="13" t="str">
        <f t="shared" si="154"/>
        <v>R守护灵专属武器魂珠-5</v>
      </c>
      <c r="AO176" s="13">
        <f t="shared" si="155"/>
        <v>110</v>
      </c>
      <c r="AP176" s="13">
        <f t="shared" si="156"/>
        <v>3</v>
      </c>
      <c r="AQ176" s="13">
        <f t="shared" si="157"/>
        <v>2</v>
      </c>
      <c r="AT176" s="13">
        <v>173</v>
      </c>
      <c r="AU176" s="13">
        <f t="shared" si="142"/>
        <v>3</v>
      </c>
      <c r="AV176" s="14">
        <f t="shared" si="143"/>
        <v>200302</v>
      </c>
      <c r="AW176" s="14">
        <f t="shared" si="144"/>
        <v>1102003</v>
      </c>
      <c r="AX176" s="13" t="s">
        <v>1127</v>
      </c>
      <c r="AY176" s="13">
        <f t="shared" si="145"/>
        <v>2</v>
      </c>
      <c r="AZ176" s="13" t="s">
        <v>1148</v>
      </c>
      <c r="BA176" s="14">
        <f t="shared" si="146"/>
        <v>2</v>
      </c>
      <c r="BB176" s="14" t="str">
        <f t="shared" si="147"/>
        <v>典韦魂珠-2 等级-2</v>
      </c>
      <c r="BC176" s="25" t="s">
        <v>1156</v>
      </c>
      <c r="BD176" s="14">
        <f t="shared" si="148"/>
        <v>96</v>
      </c>
      <c r="BE176" s="14">
        <f>SUMIFS(BD$4:BD176,$AU$4:$AU176,"="&amp;$AU176,$AY$4:$AY176,"="&amp;$AY176)</f>
        <v>156</v>
      </c>
      <c r="BF176" s="25" t="s">
        <v>1157</v>
      </c>
      <c r="BG176" s="14">
        <f t="shared" si="149"/>
        <v>44</v>
      </c>
      <c r="BH176" s="14">
        <f>SUMIFS(BG$4:BG176,AU$4:AU176,"="&amp;AU176,AY$4:AY176,"="&amp;AY176)</f>
        <v>72</v>
      </c>
      <c r="BI176" s="25" t="s">
        <v>1158</v>
      </c>
      <c r="BJ176" s="14">
        <f t="shared" si="150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3">
        <v>174</v>
      </c>
      <c r="AI177" s="13">
        <f t="shared" si="134"/>
        <v>22</v>
      </c>
      <c r="AJ177" s="13">
        <f t="shared" si="151"/>
        <v>299906</v>
      </c>
      <c r="AK177" s="13">
        <f t="shared" si="152"/>
        <v>1102999</v>
      </c>
      <c r="AL177" s="13" t="s">
        <v>1127</v>
      </c>
      <c r="AM177" s="13">
        <f t="shared" si="153"/>
        <v>6</v>
      </c>
      <c r="AN177" s="13" t="str">
        <f t="shared" si="154"/>
        <v>R守护灵专属武器魂珠-6</v>
      </c>
      <c r="AO177" s="13">
        <f t="shared" si="155"/>
        <v>125</v>
      </c>
      <c r="AP177" s="13">
        <f t="shared" si="156"/>
        <v>3</v>
      </c>
      <c r="AQ177" s="13">
        <f t="shared" si="157"/>
        <v>3</v>
      </c>
      <c r="AT177" s="13">
        <v>174</v>
      </c>
      <c r="AU177" s="13">
        <f t="shared" si="142"/>
        <v>3</v>
      </c>
      <c r="AV177" s="14">
        <f t="shared" si="143"/>
        <v>200302</v>
      </c>
      <c r="AW177" s="14">
        <f t="shared" si="144"/>
        <v>1102003</v>
      </c>
      <c r="AX177" s="13" t="s">
        <v>1127</v>
      </c>
      <c r="AY177" s="13">
        <f t="shared" si="145"/>
        <v>2</v>
      </c>
      <c r="AZ177" s="13" t="s">
        <v>1148</v>
      </c>
      <c r="BA177" s="14">
        <f t="shared" si="146"/>
        <v>3</v>
      </c>
      <c r="BB177" s="14" t="str">
        <f t="shared" si="147"/>
        <v>典韦魂珠-2 等级-3</v>
      </c>
      <c r="BC177" s="25" t="s">
        <v>1156</v>
      </c>
      <c r="BD177" s="14">
        <f t="shared" si="148"/>
        <v>120</v>
      </c>
      <c r="BE177" s="14">
        <f>SUMIFS(BD$4:BD177,$AU$4:$AU177,"="&amp;$AU177,$AY$4:$AY177,"="&amp;$AY177)</f>
        <v>276</v>
      </c>
      <c r="BF177" s="25" t="s">
        <v>1157</v>
      </c>
      <c r="BG177" s="14">
        <f t="shared" si="149"/>
        <v>55</v>
      </c>
      <c r="BH177" s="14">
        <f>SUMIFS(BG$4:BG177,AU$4:AU177,"="&amp;AU177,AY$4:AY177,"="&amp;AY177)</f>
        <v>127</v>
      </c>
      <c r="BI177" s="25" t="s">
        <v>1158</v>
      </c>
      <c r="BJ177" s="14">
        <f t="shared" si="150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3">
        <v>175</v>
      </c>
      <c r="AI178" s="13">
        <f t="shared" si="134"/>
        <v>22</v>
      </c>
      <c r="AJ178" s="13">
        <f t="shared" si="151"/>
        <v>299907</v>
      </c>
      <c r="AK178" s="13">
        <f t="shared" si="152"/>
        <v>1102999</v>
      </c>
      <c r="AL178" s="13" t="s">
        <v>1127</v>
      </c>
      <c r="AM178" s="13">
        <f t="shared" si="153"/>
        <v>7</v>
      </c>
      <c r="AN178" s="13" t="str">
        <f t="shared" si="154"/>
        <v>R守护灵专属武器魂珠-7</v>
      </c>
      <c r="AO178" s="13">
        <f t="shared" si="155"/>
        <v>135</v>
      </c>
      <c r="AP178" s="13">
        <f t="shared" si="156"/>
        <v>3</v>
      </c>
      <c r="AQ178" s="13">
        <f t="shared" si="157"/>
        <v>4</v>
      </c>
      <c r="AT178" s="13">
        <v>175</v>
      </c>
      <c r="AU178" s="13">
        <f t="shared" si="142"/>
        <v>3</v>
      </c>
      <c r="AV178" s="14">
        <f t="shared" si="143"/>
        <v>200302</v>
      </c>
      <c r="AW178" s="14">
        <f t="shared" si="144"/>
        <v>1102003</v>
      </c>
      <c r="AX178" s="13" t="s">
        <v>1127</v>
      </c>
      <c r="AY178" s="13">
        <f t="shared" si="145"/>
        <v>2</v>
      </c>
      <c r="AZ178" s="13" t="s">
        <v>1148</v>
      </c>
      <c r="BA178" s="14">
        <f t="shared" si="146"/>
        <v>4</v>
      </c>
      <c r="BB178" s="14" t="str">
        <f t="shared" si="147"/>
        <v>典韦魂珠-2 等级-4</v>
      </c>
      <c r="BC178" s="25" t="s">
        <v>1156</v>
      </c>
      <c r="BD178" s="14">
        <f t="shared" si="148"/>
        <v>192</v>
      </c>
      <c r="BE178" s="14">
        <f>SUMIFS(BD$4:BD178,$AU$4:$AU178,"="&amp;$AU178,$AY$4:$AY178,"="&amp;$AY178)</f>
        <v>468</v>
      </c>
      <c r="BF178" s="25" t="s">
        <v>1157</v>
      </c>
      <c r="BG178" s="14">
        <f t="shared" si="149"/>
        <v>88</v>
      </c>
      <c r="BH178" s="14">
        <f>SUMIFS(BG$4:BG178,AU$4:AU178,"="&amp;AU178,AY$4:AY178,"="&amp;AY178)</f>
        <v>215</v>
      </c>
      <c r="BI178" s="25" t="s">
        <v>1158</v>
      </c>
      <c r="BJ178" s="14">
        <f t="shared" si="150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3">
        <v>176</v>
      </c>
      <c r="AI179" s="13">
        <f t="shared" si="134"/>
        <v>22</v>
      </c>
      <c r="AJ179" s="13">
        <f t="shared" si="151"/>
        <v>299908</v>
      </c>
      <c r="AK179" s="13">
        <f t="shared" si="152"/>
        <v>1102999</v>
      </c>
      <c r="AL179" s="13" t="s">
        <v>1127</v>
      </c>
      <c r="AM179" s="13">
        <f t="shared" si="153"/>
        <v>8</v>
      </c>
      <c r="AN179" s="13" t="str">
        <f t="shared" si="154"/>
        <v>R守护灵专属武器魂珠-8</v>
      </c>
      <c r="AO179" s="13">
        <f t="shared" si="155"/>
        <v>150</v>
      </c>
      <c r="AP179" s="13">
        <f t="shared" si="156"/>
        <v>3</v>
      </c>
      <c r="AQ179" s="13">
        <f t="shared" si="157"/>
        <v>5</v>
      </c>
      <c r="AT179" s="13">
        <v>176</v>
      </c>
      <c r="AU179" s="13">
        <f t="shared" si="142"/>
        <v>3</v>
      </c>
      <c r="AV179" s="14">
        <f t="shared" si="143"/>
        <v>200302</v>
      </c>
      <c r="AW179" s="14">
        <f t="shared" si="144"/>
        <v>1102003</v>
      </c>
      <c r="AX179" s="13" t="s">
        <v>1127</v>
      </c>
      <c r="AY179" s="13">
        <f t="shared" si="145"/>
        <v>2</v>
      </c>
      <c r="AZ179" s="13" t="s">
        <v>1148</v>
      </c>
      <c r="BA179" s="14">
        <f t="shared" si="146"/>
        <v>5</v>
      </c>
      <c r="BB179" s="14" t="str">
        <f t="shared" si="147"/>
        <v>典韦魂珠-2 等级-5</v>
      </c>
      <c r="BC179" s="25" t="s">
        <v>1156</v>
      </c>
      <c r="BD179" s="14">
        <f t="shared" si="148"/>
        <v>264</v>
      </c>
      <c r="BE179" s="14">
        <f>SUMIFS(BD$4:BD179,$AU$4:$AU179,"="&amp;$AU179,$AY$4:$AY179,"="&amp;$AY179)</f>
        <v>732</v>
      </c>
      <c r="BF179" s="25" t="s">
        <v>1157</v>
      </c>
      <c r="BG179" s="14">
        <f t="shared" si="149"/>
        <v>121</v>
      </c>
      <c r="BH179" s="14">
        <f>SUMIFS(BG$4:BG179,AU$4:AU179,"="&amp;AU179,AY$4:AY179,"="&amp;AY179)</f>
        <v>336</v>
      </c>
      <c r="BI179" s="25" t="s">
        <v>1158</v>
      </c>
      <c r="BJ179" s="14">
        <f t="shared" si="150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3">
        <v>177</v>
      </c>
      <c r="AI180" s="13">
        <f t="shared" si="134"/>
        <v>23</v>
      </c>
      <c r="AJ180" s="13">
        <f t="shared" si="151"/>
        <v>299801</v>
      </c>
      <c r="AK180" s="13">
        <f t="shared" si="152"/>
        <v>1102998</v>
      </c>
      <c r="AL180" s="13" t="s">
        <v>1127</v>
      </c>
      <c r="AM180" s="13">
        <f t="shared" si="153"/>
        <v>1</v>
      </c>
      <c r="AN180" s="13" t="str">
        <f t="shared" si="154"/>
        <v>SR守护灵专属武器魂珠-1</v>
      </c>
      <c r="AO180" s="13">
        <f t="shared" si="155"/>
        <v>40</v>
      </c>
      <c r="AP180" s="13">
        <f t="shared" si="156"/>
        <v>0</v>
      </c>
      <c r="AQ180" s="13">
        <f t="shared" si="157"/>
        <v>0</v>
      </c>
      <c r="AT180" s="13">
        <v>177</v>
      </c>
      <c r="AU180" s="13">
        <f t="shared" si="142"/>
        <v>3</v>
      </c>
      <c r="AV180" s="14">
        <f t="shared" si="143"/>
        <v>200302</v>
      </c>
      <c r="AW180" s="14">
        <f t="shared" si="144"/>
        <v>1102003</v>
      </c>
      <c r="AX180" s="13" t="s">
        <v>1127</v>
      </c>
      <c r="AY180" s="13">
        <f t="shared" si="145"/>
        <v>2</v>
      </c>
      <c r="AZ180" s="13" t="s">
        <v>1148</v>
      </c>
      <c r="BA180" s="14">
        <f t="shared" si="146"/>
        <v>6</v>
      </c>
      <c r="BB180" s="14" t="str">
        <f t="shared" si="147"/>
        <v>典韦魂珠-2 等级-6</v>
      </c>
      <c r="BC180" s="25" t="s">
        <v>1156</v>
      </c>
      <c r="BD180" s="14">
        <f t="shared" si="148"/>
        <v>336</v>
      </c>
      <c r="BE180" s="14">
        <f>SUMIFS(BD$4:BD180,$AU$4:$AU180,"="&amp;$AU180,$AY$4:$AY180,"="&amp;$AY180)</f>
        <v>1068</v>
      </c>
      <c r="BF180" s="25" t="s">
        <v>1157</v>
      </c>
      <c r="BG180" s="14">
        <f t="shared" si="149"/>
        <v>154</v>
      </c>
      <c r="BH180" s="14">
        <f>SUMIFS(BG$4:BG180,AU$4:AU180,"="&amp;AU180,AY$4:AY180,"="&amp;AY180)</f>
        <v>490</v>
      </c>
      <c r="BI180" s="25" t="s">
        <v>1158</v>
      </c>
      <c r="BJ180" s="14">
        <f t="shared" si="150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3">
        <v>178</v>
      </c>
      <c r="AI181" s="13">
        <f t="shared" si="134"/>
        <v>23</v>
      </c>
      <c r="AJ181" s="13">
        <f t="shared" si="151"/>
        <v>299802</v>
      </c>
      <c r="AK181" s="13">
        <f t="shared" si="152"/>
        <v>1102998</v>
      </c>
      <c r="AL181" s="13" t="s">
        <v>1127</v>
      </c>
      <c r="AM181" s="13">
        <f t="shared" si="153"/>
        <v>2</v>
      </c>
      <c r="AN181" s="13" t="str">
        <f t="shared" si="154"/>
        <v>SR守护灵专属武器魂珠-2</v>
      </c>
      <c r="AO181" s="13">
        <f t="shared" si="155"/>
        <v>55</v>
      </c>
      <c r="AP181" s="13">
        <f t="shared" si="156"/>
        <v>3</v>
      </c>
      <c r="AQ181" s="13">
        <f t="shared" si="157"/>
        <v>0</v>
      </c>
      <c r="AT181" s="13">
        <v>178</v>
      </c>
      <c r="AU181" s="13">
        <f t="shared" si="142"/>
        <v>3</v>
      </c>
      <c r="AV181" s="14">
        <f t="shared" si="143"/>
        <v>200302</v>
      </c>
      <c r="AW181" s="14">
        <f t="shared" si="144"/>
        <v>1102003</v>
      </c>
      <c r="AX181" s="13" t="s">
        <v>1127</v>
      </c>
      <c r="AY181" s="13">
        <f t="shared" si="145"/>
        <v>2</v>
      </c>
      <c r="AZ181" s="13" t="s">
        <v>1148</v>
      </c>
      <c r="BA181" s="14">
        <f t="shared" si="146"/>
        <v>7</v>
      </c>
      <c r="BB181" s="14" t="str">
        <f t="shared" si="147"/>
        <v>典韦魂珠-2 等级-7</v>
      </c>
      <c r="BC181" s="25" t="s">
        <v>1156</v>
      </c>
      <c r="BD181" s="14">
        <f t="shared" si="148"/>
        <v>384</v>
      </c>
      <c r="BE181" s="14">
        <f>SUMIFS(BD$4:BD181,$AU$4:$AU181,"="&amp;$AU181,$AY$4:$AY181,"="&amp;$AY181)</f>
        <v>1452</v>
      </c>
      <c r="BF181" s="25" t="s">
        <v>1157</v>
      </c>
      <c r="BG181" s="14">
        <f t="shared" si="149"/>
        <v>176</v>
      </c>
      <c r="BH181" s="14">
        <f>SUMIFS(BG$4:BG181,AU$4:AU181,"="&amp;AU181,AY$4:AY181,"="&amp;AY181)</f>
        <v>666</v>
      </c>
      <c r="BI181" s="25" t="s">
        <v>1158</v>
      </c>
      <c r="BJ181" s="14">
        <f t="shared" si="150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3">
        <v>179</v>
      </c>
      <c r="AI182" s="13">
        <f t="shared" si="134"/>
        <v>23</v>
      </c>
      <c r="AJ182" s="13">
        <f t="shared" si="151"/>
        <v>299803</v>
      </c>
      <c r="AK182" s="13">
        <f t="shared" si="152"/>
        <v>1102998</v>
      </c>
      <c r="AL182" s="13" t="s">
        <v>1127</v>
      </c>
      <c r="AM182" s="13">
        <f t="shared" si="153"/>
        <v>3</v>
      </c>
      <c r="AN182" s="13" t="str">
        <f t="shared" si="154"/>
        <v>SR守护灵专属武器魂珠-3</v>
      </c>
      <c r="AO182" s="13">
        <f t="shared" si="155"/>
        <v>75</v>
      </c>
      <c r="AP182" s="13">
        <f t="shared" si="156"/>
        <v>3</v>
      </c>
      <c r="AQ182" s="13">
        <f t="shared" si="157"/>
        <v>0</v>
      </c>
      <c r="AT182" s="13">
        <v>179</v>
      </c>
      <c r="AU182" s="13">
        <f t="shared" si="142"/>
        <v>3</v>
      </c>
      <c r="AV182" s="14">
        <f t="shared" si="143"/>
        <v>200302</v>
      </c>
      <c r="AW182" s="14">
        <f t="shared" si="144"/>
        <v>1102003</v>
      </c>
      <c r="AX182" s="13" t="s">
        <v>1127</v>
      </c>
      <c r="AY182" s="13">
        <f t="shared" si="145"/>
        <v>2</v>
      </c>
      <c r="AZ182" s="13" t="s">
        <v>1148</v>
      </c>
      <c r="BA182" s="14">
        <f t="shared" si="146"/>
        <v>8</v>
      </c>
      <c r="BB182" s="14" t="str">
        <f t="shared" si="147"/>
        <v>典韦魂珠-2 等级-8</v>
      </c>
      <c r="BC182" s="25" t="s">
        <v>1156</v>
      </c>
      <c r="BD182" s="14">
        <f t="shared" si="148"/>
        <v>456</v>
      </c>
      <c r="BE182" s="14">
        <f>SUMIFS(BD$4:BD182,$AU$4:$AU182,"="&amp;$AU182,$AY$4:$AY182,"="&amp;$AY182)</f>
        <v>1908</v>
      </c>
      <c r="BF182" s="25" t="s">
        <v>1157</v>
      </c>
      <c r="BG182" s="14">
        <f t="shared" si="149"/>
        <v>209</v>
      </c>
      <c r="BH182" s="14">
        <f>SUMIFS(BG$4:BG182,AU$4:AU182,"="&amp;AU182,AY$4:AY182,"="&amp;AY182)</f>
        <v>875</v>
      </c>
      <c r="BI182" s="25" t="s">
        <v>1158</v>
      </c>
      <c r="BJ182" s="14">
        <f t="shared" si="150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3">
        <v>180</v>
      </c>
      <c r="AI183" s="13">
        <f t="shared" si="134"/>
        <v>23</v>
      </c>
      <c r="AJ183" s="13">
        <f t="shared" si="151"/>
        <v>299804</v>
      </c>
      <c r="AK183" s="13">
        <f t="shared" si="152"/>
        <v>1102998</v>
      </c>
      <c r="AL183" s="13" t="s">
        <v>1127</v>
      </c>
      <c r="AM183" s="13">
        <f t="shared" si="153"/>
        <v>4</v>
      </c>
      <c r="AN183" s="13" t="str">
        <f t="shared" si="154"/>
        <v>SR守护灵专属武器魂珠-4</v>
      </c>
      <c r="AO183" s="13">
        <f t="shared" si="155"/>
        <v>85</v>
      </c>
      <c r="AP183" s="13">
        <f t="shared" si="156"/>
        <v>3</v>
      </c>
      <c r="AQ183" s="13">
        <f t="shared" si="157"/>
        <v>1</v>
      </c>
      <c r="AT183" s="13">
        <v>180</v>
      </c>
      <c r="AU183" s="13">
        <f t="shared" si="142"/>
        <v>3</v>
      </c>
      <c r="AV183" s="14">
        <f t="shared" si="143"/>
        <v>200302</v>
      </c>
      <c r="AW183" s="14">
        <f t="shared" si="144"/>
        <v>1102003</v>
      </c>
      <c r="AX183" s="13" t="s">
        <v>1127</v>
      </c>
      <c r="AY183" s="13">
        <f t="shared" si="145"/>
        <v>2</v>
      </c>
      <c r="AZ183" s="13" t="s">
        <v>1148</v>
      </c>
      <c r="BA183" s="14">
        <f t="shared" si="146"/>
        <v>9</v>
      </c>
      <c r="BB183" s="14" t="str">
        <f t="shared" si="147"/>
        <v>典韦魂珠-2 等级-9</v>
      </c>
      <c r="BC183" s="25" t="s">
        <v>1156</v>
      </c>
      <c r="BD183" s="14">
        <f t="shared" si="148"/>
        <v>540</v>
      </c>
      <c r="BE183" s="14">
        <f>SUMIFS(BD$4:BD183,$AU$4:$AU183,"="&amp;$AU183,$AY$4:$AY183,"="&amp;$AY183)</f>
        <v>2448</v>
      </c>
      <c r="BF183" s="25" t="s">
        <v>1157</v>
      </c>
      <c r="BG183" s="14">
        <f t="shared" si="149"/>
        <v>248</v>
      </c>
      <c r="BH183" s="14">
        <f>SUMIFS(BG$4:BG183,AU$4:AU183,"="&amp;AU183,AY$4:AY183,"="&amp;AY183)</f>
        <v>1123</v>
      </c>
      <c r="BI183" s="25" t="s">
        <v>1158</v>
      </c>
      <c r="BJ183" s="14">
        <f t="shared" si="150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3">
        <v>181</v>
      </c>
      <c r="AI184" s="13">
        <f t="shared" si="134"/>
        <v>23</v>
      </c>
      <c r="AJ184" s="13">
        <f t="shared" si="151"/>
        <v>299805</v>
      </c>
      <c r="AK184" s="13">
        <f t="shared" si="152"/>
        <v>1102998</v>
      </c>
      <c r="AL184" s="13" t="s">
        <v>1127</v>
      </c>
      <c r="AM184" s="13">
        <f t="shared" si="153"/>
        <v>5</v>
      </c>
      <c r="AN184" s="13" t="str">
        <f t="shared" si="154"/>
        <v>SR守护灵专属武器魂珠-5</v>
      </c>
      <c r="AO184" s="13">
        <f t="shared" si="155"/>
        <v>110</v>
      </c>
      <c r="AP184" s="13">
        <f t="shared" si="156"/>
        <v>3</v>
      </c>
      <c r="AQ184" s="13">
        <f t="shared" si="157"/>
        <v>2</v>
      </c>
      <c r="AT184" s="13">
        <v>181</v>
      </c>
      <c r="AU184" s="13">
        <f t="shared" si="142"/>
        <v>3</v>
      </c>
      <c r="AV184" s="14">
        <f t="shared" si="143"/>
        <v>200303</v>
      </c>
      <c r="AW184" s="14">
        <f t="shared" si="144"/>
        <v>1102003</v>
      </c>
      <c r="AX184" s="13" t="s">
        <v>1127</v>
      </c>
      <c r="AY184" s="13">
        <f t="shared" si="145"/>
        <v>3</v>
      </c>
      <c r="AZ184" s="13" t="s">
        <v>1148</v>
      </c>
      <c r="BA184" s="14">
        <f t="shared" si="146"/>
        <v>0</v>
      </c>
      <c r="BB184" s="14" t="str">
        <f t="shared" si="147"/>
        <v>典韦魂珠-3 等级-0</v>
      </c>
      <c r="BC184" s="25" t="s">
        <v>1156</v>
      </c>
      <c r="BD184" s="14">
        <f t="shared" si="148"/>
        <v>0</v>
      </c>
      <c r="BE184" s="14">
        <f>SUMIFS(BD$4:BD184,$AU$4:$AU184,"="&amp;$AU184,$AY$4:$AY184,"="&amp;$AY184)</f>
        <v>0</v>
      </c>
      <c r="BF184" s="25" t="s">
        <v>1157</v>
      </c>
      <c r="BG184" s="14">
        <f t="shared" si="149"/>
        <v>0</v>
      </c>
      <c r="BH184" s="14">
        <f>SUMIFS(BG$4:BG184,AU$4:AU184,"="&amp;AU184,AY$4:AY184,"="&amp;AY184)</f>
        <v>0</v>
      </c>
      <c r="BI184" s="25" t="s">
        <v>1158</v>
      </c>
      <c r="BJ184" s="14">
        <f t="shared" si="150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3">
        <v>182</v>
      </c>
      <c r="AI185" s="13">
        <f t="shared" si="134"/>
        <v>23</v>
      </c>
      <c r="AJ185" s="13">
        <f t="shared" si="151"/>
        <v>299806</v>
      </c>
      <c r="AK185" s="13">
        <f t="shared" si="152"/>
        <v>1102998</v>
      </c>
      <c r="AL185" s="13" t="s">
        <v>1127</v>
      </c>
      <c r="AM185" s="13">
        <f t="shared" si="153"/>
        <v>6</v>
      </c>
      <c r="AN185" s="13" t="str">
        <f t="shared" si="154"/>
        <v>SR守护灵专属武器魂珠-6</v>
      </c>
      <c r="AO185" s="13">
        <f t="shared" si="155"/>
        <v>125</v>
      </c>
      <c r="AP185" s="13">
        <f t="shared" si="156"/>
        <v>3</v>
      </c>
      <c r="AQ185" s="13">
        <f t="shared" si="157"/>
        <v>3</v>
      </c>
      <c r="AT185" s="13">
        <v>182</v>
      </c>
      <c r="AU185" s="13">
        <f t="shared" si="142"/>
        <v>3</v>
      </c>
      <c r="AV185" s="14">
        <f t="shared" si="143"/>
        <v>200303</v>
      </c>
      <c r="AW185" s="14">
        <f t="shared" si="144"/>
        <v>1102003</v>
      </c>
      <c r="AX185" s="13" t="s">
        <v>1127</v>
      </c>
      <c r="AY185" s="13">
        <f t="shared" si="145"/>
        <v>3</v>
      </c>
      <c r="AZ185" s="13" t="s">
        <v>1148</v>
      </c>
      <c r="BA185" s="14">
        <f t="shared" si="146"/>
        <v>1</v>
      </c>
      <c r="BB185" s="14" t="str">
        <f t="shared" si="147"/>
        <v>典韦魂珠-3 等级-1</v>
      </c>
      <c r="BC185" s="25" t="s">
        <v>1156</v>
      </c>
      <c r="BD185" s="14">
        <f t="shared" si="148"/>
        <v>96</v>
      </c>
      <c r="BE185" s="14">
        <f>SUMIFS(BD$4:BD185,$AU$4:$AU185,"="&amp;$AU185,$AY$4:$AY185,"="&amp;$AY185)</f>
        <v>96</v>
      </c>
      <c r="BF185" s="25" t="s">
        <v>1157</v>
      </c>
      <c r="BG185" s="14">
        <f t="shared" si="149"/>
        <v>44</v>
      </c>
      <c r="BH185" s="14">
        <f>SUMIFS(BG$4:BG185,AU$4:AU185,"="&amp;AU185,AY$4:AY185,"="&amp;AY185)</f>
        <v>44</v>
      </c>
      <c r="BI185" s="25" t="s">
        <v>1158</v>
      </c>
      <c r="BJ185" s="14">
        <f t="shared" si="150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3">
        <v>183</v>
      </c>
      <c r="AI186" s="13">
        <f t="shared" si="134"/>
        <v>23</v>
      </c>
      <c r="AJ186" s="13">
        <f t="shared" si="151"/>
        <v>299807</v>
      </c>
      <c r="AK186" s="13">
        <f t="shared" si="152"/>
        <v>1102998</v>
      </c>
      <c r="AL186" s="13" t="s">
        <v>1127</v>
      </c>
      <c r="AM186" s="13">
        <f t="shared" si="153"/>
        <v>7</v>
      </c>
      <c r="AN186" s="13" t="str">
        <f t="shared" si="154"/>
        <v>SR守护灵专属武器魂珠-7</v>
      </c>
      <c r="AO186" s="13">
        <f t="shared" si="155"/>
        <v>135</v>
      </c>
      <c r="AP186" s="13">
        <f t="shared" si="156"/>
        <v>3</v>
      </c>
      <c r="AQ186" s="13">
        <f t="shared" si="157"/>
        <v>4</v>
      </c>
      <c r="AT186" s="13">
        <v>183</v>
      </c>
      <c r="AU186" s="13">
        <f t="shared" si="142"/>
        <v>3</v>
      </c>
      <c r="AV186" s="14">
        <f t="shared" si="143"/>
        <v>200303</v>
      </c>
      <c r="AW186" s="14">
        <f t="shared" si="144"/>
        <v>1102003</v>
      </c>
      <c r="AX186" s="13" t="s">
        <v>1127</v>
      </c>
      <c r="AY186" s="13">
        <f t="shared" si="145"/>
        <v>3</v>
      </c>
      <c r="AZ186" s="13" t="s">
        <v>1148</v>
      </c>
      <c r="BA186" s="14">
        <f t="shared" si="146"/>
        <v>2</v>
      </c>
      <c r="BB186" s="14" t="str">
        <f t="shared" si="147"/>
        <v>典韦魂珠-3 等级-2</v>
      </c>
      <c r="BC186" s="25" t="s">
        <v>1156</v>
      </c>
      <c r="BD186" s="14">
        <f t="shared" si="148"/>
        <v>144</v>
      </c>
      <c r="BE186" s="14">
        <f>SUMIFS(BD$4:BD186,$AU$4:$AU186,"="&amp;$AU186,$AY$4:$AY186,"="&amp;$AY186)</f>
        <v>240</v>
      </c>
      <c r="BF186" s="25" t="s">
        <v>1157</v>
      </c>
      <c r="BG186" s="14">
        <f t="shared" si="149"/>
        <v>66</v>
      </c>
      <c r="BH186" s="14">
        <f>SUMIFS(BG$4:BG186,AU$4:AU186,"="&amp;AU186,AY$4:AY186,"="&amp;AY186)</f>
        <v>110</v>
      </c>
      <c r="BI186" s="25" t="s">
        <v>1158</v>
      </c>
      <c r="BJ186" s="14">
        <f t="shared" si="150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3">
        <v>184</v>
      </c>
      <c r="AI187" s="13">
        <f t="shared" si="134"/>
        <v>23</v>
      </c>
      <c r="AJ187" s="13">
        <f t="shared" si="151"/>
        <v>299808</v>
      </c>
      <c r="AK187" s="13">
        <f t="shared" si="152"/>
        <v>1102998</v>
      </c>
      <c r="AL187" s="13" t="s">
        <v>1127</v>
      </c>
      <c r="AM187" s="13">
        <f t="shared" si="153"/>
        <v>8</v>
      </c>
      <c r="AN187" s="13" t="str">
        <f t="shared" si="154"/>
        <v>SR守护灵专属武器魂珠-8</v>
      </c>
      <c r="AO187" s="13">
        <f t="shared" si="155"/>
        <v>150</v>
      </c>
      <c r="AP187" s="13">
        <f t="shared" si="156"/>
        <v>3</v>
      </c>
      <c r="AQ187" s="13">
        <f t="shared" si="157"/>
        <v>5</v>
      </c>
      <c r="AT187" s="13">
        <v>184</v>
      </c>
      <c r="AU187" s="13">
        <f t="shared" si="142"/>
        <v>3</v>
      </c>
      <c r="AV187" s="14">
        <f t="shared" si="143"/>
        <v>200303</v>
      </c>
      <c r="AW187" s="14">
        <f t="shared" si="144"/>
        <v>1102003</v>
      </c>
      <c r="AX187" s="13" t="s">
        <v>1127</v>
      </c>
      <c r="AY187" s="13">
        <f t="shared" si="145"/>
        <v>3</v>
      </c>
      <c r="AZ187" s="13" t="s">
        <v>1148</v>
      </c>
      <c r="BA187" s="14">
        <f t="shared" si="146"/>
        <v>3</v>
      </c>
      <c r="BB187" s="14" t="str">
        <f t="shared" si="147"/>
        <v>典韦魂珠-3 等级-3</v>
      </c>
      <c r="BC187" s="25" t="s">
        <v>1156</v>
      </c>
      <c r="BD187" s="14">
        <f t="shared" si="148"/>
        <v>192</v>
      </c>
      <c r="BE187" s="14">
        <f>SUMIFS(BD$4:BD187,$AU$4:$AU187,"="&amp;$AU187,$AY$4:$AY187,"="&amp;$AY187)</f>
        <v>432</v>
      </c>
      <c r="BF187" s="25" t="s">
        <v>1157</v>
      </c>
      <c r="BG187" s="14">
        <f t="shared" si="149"/>
        <v>88</v>
      </c>
      <c r="BH187" s="14">
        <f>SUMIFS(BG$4:BG187,AU$4:AU187,"="&amp;AU187,AY$4:AY187,"="&amp;AY187)</f>
        <v>198</v>
      </c>
      <c r="BI187" s="25" t="s">
        <v>1158</v>
      </c>
      <c r="BJ187" s="14">
        <f t="shared" si="150"/>
        <v>3520</v>
      </c>
      <c r="BK187" s="14">
        <f>SUMIFS(BJ$4:BJ187,$AU$4:$AU187,"="&amp;$AU187,$AY$4:$AY187,"="&amp;$AY187)</f>
        <v>7920</v>
      </c>
    </row>
    <row r="188" spans="1:63" ht="33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3">
        <v>185</v>
      </c>
      <c r="AI188" s="13">
        <f t="shared" si="134"/>
        <v>24</v>
      </c>
      <c r="AJ188" s="13">
        <f t="shared" si="151"/>
        <v>299701</v>
      </c>
      <c r="AK188" s="13">
        <f t="shared" si="152"/>
        <v>1102997</v>
      </c>
      <c r="AL188" s="13" t="s">
        <v>1127</v>
      </c>
      <c r="AM188" s="13">
        <f t="shared" si="153"/>
        <v>1</v>
      </c>
      <c r="AN188" s="13" t="str">
        <f t="shared" si="154"/>
        <v>SSR守护灵专属武器魂珠-1</v>
      </c>
      <c r="AO188" s="13">
        <f t="shared" si="155"/>
        <v>40</v>
      </c>
      <c r="AP188" s="13">
        <f t="shared" si="156"/>
        <v>0</v>
      </c>
      <c r="AQ188" s="13">
        <f t="shared" si="157"/>
        <v>0</v>
      </c>
      <c r="AT188" s="13">
        <v>185</v>
      </c>
      <c r="AU188" s="13">
        <f t="shared" si="142"/>
        <v>3</v>
      </c>
      <c r="AV188" s="14">
        <f t="shared" si="143"/>
        <v>200303</v>
      </c>
      <c r="AW188" s="14">
        <f t="shared" si="144"/>
        <v>1102003</v>
      </c>
      <c r="AX188" s="13" t="s">
        <v>1127</v>
      </c>
      <c r="AY188" s="13">
        <f t="shared" si="145"/>
        <v>3</v>
      </c>
      <c r="AZ188" s="13" t="s">
        <v>1148</v>
      </c>
      <c r="BA188" s="14">
        <f t="shared" si="146"/>
        <v>4</v>
      </c>
      <c r="BB188" s="14" t="str">
        <f t="shared" si="147"/>
        <v>典韦魂珠-3 等级-4</v>
      </c>
      <c r="BC188" s="25" t="s">
        <v>1156</v>
      </c>
      <c r="BD188" s="14">
        <f t="shared" si="148"/>
        <v>288</v>
      </c>
      <c r="BE188" s="14">
        <f>SUMIFS(BD$4:BD188,$AU$4:$AU188,"="&amp;$AU188,$AY$4:$AY188,"="&amp;$AY188)</f>
        <v>720</v>
      </c>
      <c r="BF188" s="25" t="s">
        <v>1157</v>
      </c>
      <c r="BG188" s="14">
        <f t="shared" si="149"/>
        <v>132</v>
      </c>
      <c r="BH188" s="14">
        <f>SUMIFS(BG$4:BG188,AU$4:AU188,"="&amp;AU188,AY$4:AY188,"="&amp;AY188)</f>
        <v>330</v>
      </c>
      <c r="BI188" s="25" t="s">
        <v>1158</v>
      </c>
      <c r="BJ188" s="14">
        <f t="shared" si="150"/>
        <v>5280</v>
      </c>
      <c r="BK188" s="14">
        <f>SUMIFS(BJ$4:BJ188,$AU$4:$AU188,"="&amp;$AU188,$AY$4:$AY188,"="&amp;$AY188)</f>
        <v>13200</v>
      </c>
    </row>
    <row r="189" spans="1:63" ht="33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3">
        <v>186</v>
      </c>
      <c r="AI189" s="13">
        <f t="shared" si="134"/>
        <v>24</v>
      </c>
      <c r="AJ189" s="13">
        <f t="shared" si="151"/>
        <v>299702</v>
      </c>
      <c r="AK189" s="13">
        <f t="shared" si="152"/>
        <v>1102997</v>
      </c>
      <c r="AL189" s="13" t="s">
        <v>1127</v>
      </c>
      <c r="AM189" s="13">
        <f t="shared" si="153"/>
        <v>2</v>
      </c>
      <c r="AN189" s="13" t="str">
        <f t="shared" si="154"/>
        <v>SSR守护灵专属武器魂珠-2</v>
      </c>
      <c r="AO189" s="13">
        <f t="shared" si="155"/>
        <v>55</v>
      </c>
      <c r="AP189" s="13">
        <f t="shared" si="156"/>
        <v>3</v>
      </c>
      <c r="AQ189" s="13">
        <f t="shared" si="157"/>
        <v>0</v>
      </c>
      <c r="AT189" s="13">
        <v>186</v>
      </c>
      <c r="AU189" s="13">
        <f t="shared" si="142"/>
        <v>3</v>
      </c>
      <c r="AV189" s="14">
        <f t="shared" si="143"/>
        <v>200303</v>
      </c>
      <c r="AW189" s="14">
        <f t="shared" si="144"/>
        <v>1102003</v>
      </c>
      <c r="AX189" s="13" t="s">
        <v>1127</v>
      </c>
      <c r="AY189" s="13">
        <f t="shared" si="145"/>
        <v>3</v>
      </c>
      <c r="AZ189" s="13" t="s">
        <v>1148</v>
      </c>
      <c r="BA189" s="14">
        <f t="shared" si="146"/>
        <v>5</v>
      </c>
      <c r="BB189" s="14" t="str">
        <f t="shared" si="147"/>
        <v>典韦魂珠-3 等级-5</v>
      </c>
      <c r="BC189" s="25" t="s">
        <v>1156</v>
      </c>
      <c r="BD189" s="14">
        <f t="shared" si="148"/>
        <v>384</v>
      </c>
      <c r="BE189" s="14">
        <f>SUMIFS(BD$4:BD189,$AU$4:$AU189,"="&amp;$AU189,$AY$4:$AY189,"="&amp;$AY189)</f>
        <v>1104</v>
      </c>
      <c r="BF189" s="25" t="s">
        <v>1157</v>
      </c>
      <c r="BG189" s="14">
        <f t="shared" si="149"/>
        <v>176</v>
      </c>
      <c r="BH189" s="14">
        <f>SUMIFS(BG$4:BG189,AU$4:AU189,"="&amp;AU189,AY$4:AY189,"="&amp;AY189)</f>
        <v>506</v>
      </c>
      <c r="BI189" s="25" t="s">
        <v>1158</v>
      </c>
      <c r="BJ189" s="14">
        <f t="shared" si="150"/>
        <v>7040</v>
      </c>
      <c r="BK189" s="14">
        <f>SUMIFS(BJ$4:BJ189,$AU$4:$AU189,"="&amp;$AU189,$AY$4:$AY189,"="&amp;$AY189)</f>
        <v>20240</v>
      </c>
    </row>
    <row r="190" spans="1:63" ht="33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3">
        <v>187</v>
      </c>
      <c r="AI190" s="13">
        <f t="shared" si="134"/>
        <v>24</v>
      </c>
      <c r="AJ190" s="13">
        <f t="shared" si="151"/>
        <v>299703</v>
      </c>
      <c r="AK190" s="13">
        <f t="shared" si="152"/>
        <v>1102997</v>
      </c>
      <c r="AL190" s="13" t="s">
        <v>1127</v>
      </c>
      <c r="AM190" s="13">
        <f t="shared" si="153"/>
        <v>3</v>
      </c>
      <c r="AN190" s="13" t="str">
        <f t="shared" si="154"/>
        <v>SSR守护灵专属武器魂珠-3</v>
      </c>
      <c r="AO190" s="13">
        <f t="shared" si="155"/>
        <v>75</v>
      </c>
      <c r="AP190" s="13">
        <f t="shared" si="156"/>
        <v>3</v>
      </c>
      <c r="AQ190" s="13">
        <f t="shared" si="157"/>
        <v>0</v>
      </c>
      <c r="AT190" s="13">
        <v>187</v>
      </c>
      <c r="AU190" s="13">
        <f t="shared" si="142"/>
        <v>3</v>
      </c>
      <c r="AV190" s="14">
        <f t="shared" si="143"/>
        <v>200303</v>
      </c>
      <c r="AW190" s="14">
        <f t="shared" si="144"/>
        <v>1102003</v>
      </c>
      <c r="AX190" s="13" t="s">
        <v>1127</v>
      </c>
      <c r="AY190" s="13">
        <f t="shared" si="145"/>
        <v>3</v>
      </c>
      <c r="AZ190" s="13" t="s">
        <v>1148</v>
      </c>
      <c r="BA190" s="14">
        <f t="shared" si="146"/>
        <v>6</v>
      </c>
      <c r="BB190" s="14" t="str">
        <f t="shared" si="147"/>
        <v>典韦魂珠-3 等级-6</v>
      </c>
      <c r="BC190" s="25" t="s">
        <v>1156</v>
      </c>
      <c r="BD190" s="14">
        <f t="shared" si="148"/>
        <v>480</v>
      </c>
      <c r="BE190" s="14">
        <f>SUMIFS(BD$4:BD190,$AU$4:$AU190,"="&amp;$AU190,$AY$4:$AY190,"="&amp;$AY190)</f>
        <v>1584</v>
      </c>
      <c r="BF190" s="25" t="s">
        <v>1157</v>
      </c>
      <c r="BG190" s="14">
        <f t="shared" si="149"/>
        <v>220</v>
      </c>
      <c r="BH190" s="14">
        <f>SUMIFS(BG$4:BG190,AU$4:AU190,"="&amp;AU190,AY$4:AY190,"="&amp;AY190)</f>
        <v>726</v>
      </c>
      <c r="BI190" s="25" t="s">
        <v>1158</v>
      </c>
      <c r="BJ190" s="14">
        <f t="shared" si="150"/>
        <v>8800</v>
      </c>
      <c r="BK190" s="14">
        <f>SUMIFS(BJ$4:BJ190,$AU$4:$AU190,"="&amp;$AU190,$AY$4:$AY190,"="&amp;$AY190)</f>
        <v>29040</v>
      </c>
    </row>
    <row r="191" spans="1:63" ht="33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3">
        <v>188</v>
      </c>
      <c r="AI191" s="13">
        <f t="shared" si="134"/>
        <v>24</v>
      </c>
      <c r="AJ191" s="13">
        <f t="shared" si="151"/>
        <v>299704</v>
      </c>
      <c r="AK191" s="13">
        <f t="shared" si="152"/>
        <v>1102997</v>
      </c>
      <c r="AL191" s="13" t="s">
        <v>1127</v>
      </c>
      <c r="AM191" s="13">
        <f t="shared" si="153"/>
        <v>4</v>
      </c>
      <c r="AN191" s="13" t="str">
        <f t="shared" si="154"/>
        <v>SSR守护灵专属武器魂珠-4</v>
      </c>
      <c r="AO191" s="13">
        <f t="shared" si="155"/>
        <v>85</v>
      </c>
      <c r="AP191" s="13">
        <f t="shared" si="156"/>
        <v>3</v>
      </c>
      <c r="AQ191" s="13">
        <f t="shared" si="157"/>
        <v>1</v>
      </c>
      <c r="AT191" s="13">
        <v>188</v>
      </c>
      <c r="AU191" s="13">
        <f t="shared" si="142"/>
        <v>3</v>
      </c>
      <c r="AV191" s="14">
        <f t="shared" si="143"/>
        <v>200303</v>
      </c>
      <c r="AW191" s="14">
        <f t="shared" si="144"/>
        <v>1102003</v>
      </c>
      <c r="AX191" s="13" t="s">
        <v>1127</v>
      </c>
      <c r="AY191" s="13">
        <f t="shared" si="145"/>
        <v>3</v>
      </c>
      <c r="AZ191" s="13" t="s">
        <v>1148</v>
      </c>
      <c r="BA191" s="14">
        <f t="shared" si="146"/>
        <v>7</v>
      </c>
      <c r="BB191" s="14" t="str">
        <f t="shared" si="147"/>
        <v>典韦魂珠-3 等级-7</v>
      </c>
      <c r="BC191" s="25" t="s">
        <v>1156</v>
      </c>
      <c r="BD191" s="14">
        <f t="shared" si="148"/>
        <v>576</v>
      </c>
      <c r="BE191" s="14">
        <f>SUMIFS(BD$4:BD191,$AU$4:$AU191,"="&amp;$AU191,$AY$4:$AY191,"="&amp;$AY191)</f>
        <v>2160</v>
      </c>
      <c r="BF191" s="25" t="s">
        <v>1157</v>
      </c>
      <c r="BG191" s="14">
        <f t="shared" si="149"/>
        <v>264</v>
      </c>
      <c r="BH191" s="14">
        <f>SUMIFS(BG$4:BG191,AU$4:AU191,"="&amp;AU191,AY$4:AY191,"="&amp;AY191)</f>
        <v>990</v>
      </c>
      <c r="BI191" s="25" t="s">
        <v>1158</v>
      </c>
      <c r="BJ191" s="14">
        <f t="shared" si="150"/>
        <v>10560</v>
      </c>
      <c r="BK191" s="14">
        <f>SUMIFS(BJ$4:BJ191,$AU$4:$AU191,"="&amp;$AU191,$AY$4:$AY191,"="&amp;$AY191)</f>
        <v>39600</v>
      </c>
    </row>
    <row r="192" spans="1:63" ht="33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3">
        <v>189</v>
      </c>
      <c r="AI192" s="13">
        <f t="shared" si="134"/>
        <v>24</v>
      </c>
      <c r="AJ192" s="13">
        <f t="shared" si="151"/>
        <v>299705</v>
      </c>
      <c r="AK192" s="13">
        <f t="shared" si="152"/>
        <v>1102997</v>
      </c>
      <c r="AL192" s="13" t="s">
        <v>1127</v>
      </c>
      <c r="AM192" s="13">
        <f t="shared" si="153"/>
        <v>5</v>
      </c>
      <c r="AN192" s="13" t="str">
        <f t="shared" si="154"/>
        <v>SSR守护灵专属武器魂珠-5</v>
      </c>
      <c r="AO192" s="13">
        <f t="shared" si="155"/>
        <v>110</v>
      </c>
      <c r="AP192" s="13">
        <f t="shared" si="156"/>
        <v>3</v>
      </c>
      <c r="AQ192" s="13">
        <f t="shared" si="157"/>
        <v>2</v>
      </c>
      <c r="AT192" s="13">
        <v>189</v>
      </c>
      <c r="AU192" s="13">
        <f t="shared" si="142"/>
        <v>3</v>
      </c>
      <c r="AV192" s="14">
        <f t="shared" si="143"/>
        <v>200303</v>
      </c>
      <c r="AW192" s="14">
        <f t="shared" si="144"/>
        <v>1102003</v>
      </c>
      <c r="AX192" s="13" t="s">
        <v>1127</v>
      </c>
      <c r="AY192" s="13">
        <f t="shared" si="145"/>
        <v>3</v>
      </c>
      <c r="AZ192" s="13" t="s">
        <v>1148</v>
      </c>
      <c r="BA192" s="14">
        <f t="shared" si="146"/>
        <v>8</v>
      </c>
      <c r="BB192" s="14" t="str">
        <f t="shared" si="147"/>
        <v>典韦魂珠-3 等级-8</v>
      </c>
      <c r="BC192" s="25" t="s">
        <v>1156</v>
      </c>
      <c r="BD192" s="14">
        <f t="shared" si="148"/>
        <v>672</v>
      </c>
      <c r="BE192" s="14">
        <f>SUMIFS(BD$4:BD192,$AU$4:$AU192,"="&amp;$AU192,$AY$4:$AY192,"="&amp;$AY192)</f>
        <v>2832</v>
      </c>
      <c r="BF192" s="25" t="s">
        <v>1157</v>
      </c>
      <c r="BG192" s="14">
        <f t="shared" si="149"/>
        <v>308</v>
      </c>
      <c r="BH192" s="14">
        <f>SUMIFS(BG$4:BG192,AU$4:AU192,"="&amp;AU192,AY$4:AY192,"="&amp;AY192)</f>
        <v>1298</v>
      </c>
      <c r="BI192" s="25" t="s">
        <v>1158</v>
      </c>
      <c r="BJ192" s="14">
        <f t="shared" si="150"/>
        <v>12320</v>
      </c>
      <c r="BK192" s="14">
        <f>SUMIFS(BJ$4:BJ192,$AU$4:$AU192,"="&amp;$AU192,$AY$4:$AY192,"="&amp;$AY192)</f>
        <v>51920</v>
      </c>
    </row>
    <row r="193" spans="1:63" ht="33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3">
        <v>190</v>
      </c>
      <c r="AI193" s="13">
        <f t="shared" si="134"/>
        <v>24</v>
      </c>
      <c r="AJ193" s="13">
        <f t="shared" si="151"/>
        <v>299706</v>
      </c>
      <c r="AK193" s="13">
        <f t="shared" si="152"/>
        <v>1102997</v>
      </c>
      <c r="AL193" s="13" t="s">
        <v>1127</v>
      </c>
      <c r="AM193" s="13">
        <f t="shared" si="153"/>
        <v>6</v>
      </c>
      <c r="AN193" s="13" t="str">
        <f t="shared" si="154"/>
        <v>SSR守护灵专属武器魂珠-6</v>
      </c>
      <c r="AO193" s="13">
        <f t="shared" si="155"/>
        <v>125</v>
      </c>
      <c r="AP193" s="13">
        <f t="shared" si="156"/>
        <v>3</v>
      </c>
      <c r="AQ193" s="13">
        <f t="shared" si="157"/>
        <v>3</v>
      </c>
      <c r="AT193" s="13">
        <v>190</v>
      </c>
      <c r="AU193" s="13">
        <f t="shared" si="142"/>
        <v>3</v>
      </c>
      <c r="AV193" s="14">
        <f t="shared" si="143"/>
        <v>200303</v>
      </c>
      <c r="AW193" s="14">
        <f t="shared" si="144"/>
        <v>1102003</v>
      </c>
      <c r="AX193" s="13" t="s">
        <v>1127</v>
      </c>
      <c r="AY193" s="13">
        <f t="shared" si="145"/>
        <v>3</v>
      </c>
      <c r="AZ193" s="13" t="s">
        <v>1148</v>
      </c>
      <c r="BA193" s="14">
        <f t="shared" si="146"/>
        <v>9</v>
      </c>
      <c r="BB193" s="14" t="str">
        <f t="shared" si="147"/>
        <v>典韦魂珠-3 等级-9</v>
      </c>
      <c r="BC193" s="25" t="s">
        <v>1156</v>
      </c>
      <c r="BD193" s="14">
        <f t="shared" si="148"/>
        <v>768</v>
      </c>
      <c r="BE193" s="14">
        <f>SUMIFS(BD$4:BD193,$AU$4:$AU193,"="&amp;$AU193,$AY$4:$AY193,"="&amp;$AY193)</f>
        <v>3600</v>
      </c>
      <c r="BF193" s="25" t="s">
        <v>1157</v>
      </c>
      <c r="BG193" s="14">
        <f t="shared" si="149"/>
        <v>352</v>
      </c>
      <c r="BH193" s="14">
        <f>SUMIFS(BG$4:BG193,AU$4:AU193,"="&amp;AU193,AY$4:AY193,"="&amp;AY193)</f>
        <v>1650</v>
      </c>
      <c r="BI193" s="25" t="s">
        <v>1158</v>
      </c>
      <c r="BJ193" s="14">
        <f t="shared" si="150"/>
        <v>14080</v>
      </c>
      <c r="BK193" s="14">
        <f>SUMIFS(BJ$4:BJ193,$AU$4:$AU193,"="&amp;$AU193,$AY$4:$AY193,"="&amp;$AY193)</f>
        <v>66000</v>
      </c>
    </row>
    <row r="194" spans="1:63" ht="33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3">
        <v>191</v>
      </c>
      <c r="AI194" s="13">
        <f t="shared" si="134"/>
        <v>24</v>
      </c>
      <c r="AJ194" s="13">
        <f t="shared" si="151"/>
        <v>299707</v>
      </c>
      <c r="AK194" s="13">
        <f t="shared" si="152"/>
        <v>1102997</v>
      </c>
      <c r="AL194" s="13" t="s">
        <v>1127</v>
      </c>
      <c r="AM194" s="13">
        <f t="shared" si="153"/>
        <v>7</v>
      </c>
      <c r="AN194" s="13" t="str">
        <f t="shared" si="154"/>
        <v>SSR守护灵专属武器魂珠-7</v>
      </c>
      <c r="AO194" s="13">
        <f t="shared" si="155"/>
        <v>135</v>
      </c>
      <c r="AP194" s="13">
        <f t="shared" si="156"/>
        <v>3</v>
      </c>
      <c r="AQ194" s="13">
        <f t="shared" si="157"/>
        <v>4</v>
      </c>
      <c r="AT194" s="13">
        <v>191</v>
      </c>
      <c r="AU194" s="13">
        <f t="shared" si="142"/>
        <v>3</v>
      </c>
      <c r="AV194" s="14">
        <f t="shared" si="143"/>
        <v>200304</v>
      </c>
      <c r="AW194" s="14">
        <f t="shared" si="144"/>
        <v>1102003</v>
      </c>
      <c r="AX194" s="13" t="s">
        <v>1127</v>
      </c>
      <c r="AY194" s="13">
        <f t="shared" si="145"/>
        <v>4</v>
      </c>
      <c r="AZ194" s="13" t="s">
        <v>1148</v>
      </c>
      <c r="BA194" s="14">
        <f t="shared" si="146"/>
        <v>0</v>
      </c>
      <c r="BB194" s="14" t="str">
        <f t="shared" si="147"/>
        <v>典韦魂珠-4 等级-0</v>
      </c>
      <c r="BC194" s="25" t="s">
        <v>1156</v>
      </c>
      <c r="BD194" s="14">
        <f t="shared" si="148"/>
        <v>0</v>
      </c>
      <c r="BE194" s="14">
        <f>SUMIFS(BD$4:BD194,$AU$4:$AU194,"="&amp;$AU194,$AY$4:$AY194,"="&amp;$AY194)</f>
        <v>0</v>
      </c>
      <c r="BF194" s="25" t="s">
        <v>1157</v>
      </c>
      <c r="BG194" s="14">
        <f t="shared" si="149"/>
        <v>0</v>
      </c>
      <c r="BH194" s="14">
        <f>SUMIFS(BG$4:BG194,AU$4:AU194,"="&amp;AU194,AY$4:AY194,"="&amp;AY194)</f>
        <v>0</v>
      </c>
      <c r="BI194" s="25" t="s">
        <v>1158</v>
      </c>
      <c r="BJ194" s="14">
        <f t="shared" si="150"/>
        <v>0</v>
      </c>
      <c r="BK194" s="14">
        <f>SUMIFS(BJ$4:BJ194,$AU$4:$AU194,"="&amp;$AU194,$AY$4:$AY194,"="&amp;$AY194)</f>
        <v>0</v>
      </c>
    </row>
    <row r="195" spans="1:63" ht="33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3">
        <v>192</v>
      </c>
      <c r="AI195" s="13">
        <f t="shared" si="134"/>
        <v>24</v>
      </c>
      <c r="AJ195" s="13">
        <f t="shared" si="151"/>
        <v>299708</v>
      </c>
      <c r="AK195" s="13">
        <f t="shared" si="152"/>
        <v>1102997</v>
      </c>
      <c r="AL195" s="13" t="s">
        <v>1127</v>
      </c>
      <c r="AM195" s="13">
        <f t="shared" si="153"/>
        <v>8</v>
      </c>
      <c r="AN195" s="13" t="str">
        <f t="shared" si="154"/>
        <v>SSR守护灵专属武器魂珠-8</v>
      </c>
      <c r="AO195" s="13">
        <f t="shared" si="155"/>
        <v>150</v>
      </c>
      <c r="AP195" s="13">
        <f t="shared" si="156"/>
        <v>3</v>
      </c>
      <c r="AQ195" s="13">
        <f t="shared" si="157"/>
        <v>5</v>
      </c>
      <c r="AT195" s="13">
        <v>192</v>
      </c>
      <c r="AU195" s="13">
        <f t="shared" si="142"/>
        <v>3</v>
      </c>
      <c r="AV195" s="14">
        <f t="shared" si="143"/>
        <v>200304</v>
      </c>
      <c r="AW195" s="14">
        <f t="shared" si="144"/>
        <v>1102003</v>
      </c>
      <c r="AX195" s="13" t="s">
        <v>1127</v>
      </c>
      <c r="AY195" s="13">
        <f t="shared" si="145"/>
        <v>4</v>
      </c>
      <c r="AZ195" s="13" t="s">
        <v>1148</v>
      </c>
      <c r="BA195" s="14">
        <f t="shared" si="146"/>
        <v>1</v>
      </c>
      <c r="BB195" s="14" t="str">
        <f t="shared" si="147"/>
        <v>典韦魂珠-4 等级-1</v>
      </c>
      <c r="BC195" s="25" t="s">
        <v>1156</v>
      </c>
      <c r="BD195" s="14">
        <f t="shared" si="148"/>
        <v>120</v>
      </c>
      <c r="BE195" s="14">
        <f>SUMIFS(BD$4:BD195,$AU$4:$AU195,"="&amp;$AU195,$AY$4:$AY195,"="&amp;$AY195)</f>
        <v>120</v>
      </c>
      <c r="BF195" s="25" t="s">
        <v>1157</v>
      </c>
      <c r="BG195" s="14">
        <f t="shared" si="149"/>
        <v>55</v>
      </c>
      <c r="BH195" s="14">
        <f>SUMIFS(BG$4:BG195,AU$4:AU195,"="&amp;AU195,AY$4:AY195,"="&amp;AY195)</f>
        <v>55</v>
      </c>
      <c r="BI195" s="25" t="s">
        <v>1158</v>
      </c>
      <c r="BJ195" s="14">
        <f t="shared" si="150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3">
        <v>193</v>
      </c>
      <c r="AI196" s="13">
        <f t="shared" si="134"/>
        <v>25</v>
      </c>
      <c r="AJ196" s="13">
        <f t="shared" si="151"/>
        <v>299601</v>
      </c>
      <c r="AK196" s="13">
        <f t="shared" si="152"/>
        <v>1102996</v>
      </c>
      <c r="AL196" s="13" t="s">
        <v>1127</v>
      </c>
      <c r="AM196" s="13">
        <f t="shared" si="153"/>
        <v>1</v>
      </c>
      <c r="AN196" s="13" t="str">
        <f t="shared" si="154"/>
        <v>UR守护灵专属武器魂珠-1</v>
      </c>
      <c r="AO196" s="13">
        <f t="shared" si="155"/>
        <v>40</v>
      </c>
      <c r="AP196" s="13">
        <f t="shared" si="156"/>
        <v>0</v>
      </c>
      <c r="AQ196" s="13">
        <f t="shared" si="157"/>
        <v>0</v>
      </c>
      <c r="AT196" s="13">
        <v>193</v>
      </c>
      <c r="AU196" s="13">
        <f t="shared" si="142"/>
        <v>3</v>
      </c>
      <c r="AV196" s="14">
        <f t="shared" si="143"/>
        <v>200304</v>
      </c>
      <c r="AW196" s="14">
        <f t="shared" si="144"/>
        <v>1102003</v>
      </c>
      <c r="AX196" s="13" t="s">
        <v>1127</v>
      </c>
      <c r="AY196" s="13">
        <f t="shared" si="145"/>
        <v>4</v>
      </c>
      <c r="AZ196" s="13" t="s">
        <v>1148</v>
      </c>
      <c r="BA196" s="14">
        <f t="shared" si="146"/>
        <v>2</v>
      </c>
      <c r="BB196" s="14" t="str">
        <f t="shared" si="147"/>
        <v>典韦魂珠-4 等级-2</v>
      </c>
      <c r="BC196" s="25" t="s">
        <v>1156</v>
      </c>
      <c r="BD196" s="14">
        <f t="shared" si="148"/>
        <v>192</v>
      </c>
      <c r="BE196" s="14">
        <f>SUMIFS(BD$4:BD196,$AU$4:$AU196,"="&amp;$AU196,$AY$4:$AY196,"="&amp;$AY196)</f>
        <v>312</v>
      </c>
      <c r="BF196" s="25" t="s">
        <v>1157</v>
      </c>
      <c r="BG196" s="14">
        <f t="shared" si="149"/>
        <v>88</v>
      </c>
      <c r="BH196" s="14">
        <f>SUMIFS(BG$4:BG196,AU$4:AU196,"="&amp;AU196,AY$4:AY196,"="&amp;AY196)</f>
        <v>143</v>
      </c>
      <c r="BI196" s="25" t="s">
        <v>1158</v>
      </c>
      <c r="BJ196" s="14">
        <f t="shared" si="150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3">
        <v>194</v>
      </c>
      <c r="AI197" s="13">
        <f t="shared" ref="AI197:AI203" si="158">INT((AH197-1)/8)+1</f>
        <v>25</v>
      </c>
      <c r="AJ197" s="13">
        <f t="shared" si="151"/>
        <v>299602</v>
      </c>
      <c r="AK197" s="13">
        <f t="shared" si="152"/>
        <v>1102996</v>
      </c>
      <c r="AL197" s="13" t="s">
        <v>1127</v>
      </c>
      <c r="AM197" s="13">
        <f t="shared" si="153"/>
        <v>2</v>
      </c>
      <c r="AN197" s="13" t="str">
        <f t="shared" si="154"/>
        <v>UR守护灵专属武器魂珠-2</v>
      </c>
      <c r="AO197" s="13">
        <f t="shared" si="155"/>
        <v>55</v>
      </c>
      <c r="AP197" s="13">
        <f t="shared" si="156"/>
        <v>3</v>
      </c>
      <c r="AQ197" s="13">
        <f t="shared" si="157"/>
        <v>0</v>
      </c>
      <c r="AT197" s="13">
        <v>194</v>
      </c>
      <c r="AU197" s="13">
        <f t="shared" ref="AU197:AU260" si="159">INT((AT197-1)/80)+1</f>
        <v>3</v>
      </c>
      <c r="AV197" s="14">
        <f t="shared" ref="AV197:AV260" si="160">INDEX($AJ$4:$AJ$203,(AU197-1)*8+AY197)</f>
        <v>200304</v>
      </c>
      <c r="AW197" s="14">
        <f t="shared" ref="AW197:AW260" si="161">INDEX($W$4:$W$28,AU197)</f>
        <v>1102003</v>
      </c>
      <c r="AX197" s="13" t="s">
        <v>1127</v>
      </c>
      <c r="AY197" s="13">
        <f t="shared" ref="AY197:AY260" si="162">INT(((AT197-(AU197-1)*80)-1)/10)+1</f>
        <v>4</v>
      </c>
      <c r="AZ197" s="13" t="s">
        <v>1148</v>
      </c>
      <c r="BA197" s="14">
        <f t="shared" ref="BA197:BA260" si="163">AT197-(AU197-1)*80-(AY197-1)*10-1</f>
        <v>3</v>
      </c>
      <c r="BB197" s="14" t="str">
        <f t="shared" ref="BB197:BB260" si="164">INDEX($X$4:$X$28,AU197)&amp;"魂珠-"&amp;AY197&amp;" 等级-"&amp;BA197</f>
        <v>典韦魂珠-4 等级-3</v>
      </c>
      <c r="BC197" s="25" t="s">
        <v>1156</v>
      </c>
      <c r="BD197" s="14">
        <f t="shared" ref="BD197:BD260" si="165">ROUND(INDEX(Q$4:Q$83,($AY197-1)*10+$BA197+1)*INDEX(AC$4:AC$28,$AU197),0)</f>
        <v>264</v>
      </c>
      <c r="BE197" s="14">
        <f>SUMIFS(BD$4:BD197,$AU$4:$AU197,"="&amp;$AU197,$AY$4:$AY197,"="&amp;$AY197)</f>
        <v>576</v>
      </c>
      <c r="BF197" s="25" t="s">
        <v>1157</v>
      </c>
      <c r="BG197" s="14">
        <f t="shared" ref="BG197:BG260" si="166">ROUND(INDEX(R$4:R$83,($AY197-1)*10+$BA197+1)*INDEX(AD$4:AD$28,$AU197),0)</f>
        <v>121</v>
      </c>
      <c r="BH197" s="14">
        <f>SUMIFS(BG$4:BG197,AU$4:AU197,"="&amp;AU197,AY$4:AY197,"="&amp;AY197)</f>
        <v>264</v>
      </c>
      <c r="BI197" s="25" t="s">
        <v>1158</v>
      </c>
      <c r="BJ197" s="14">
        <f t="shared" ref="BJ197:BJ260" si="167">ROUND(INDEX(S$4:S$83,($AY197-1)*10+$BA197+1)*INDEX(AE$4:AE$28,$AU197),0)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3">
        <v>195</v>
      </c>
      <c r="AI198" s="13">
        <f t="shared" si="158"/>
        <v>25</v>
      </c>
      <c r="AJ198" s="13">
        <f t="shared" si="151"/>
        <v>299603</v>
      </c>
      <c r="AK198" s="13">
        <f t="shared" si="152"/>
        <v>1102996</v>
      </c>
      <c r="AL198" s="13" t="s">
        <v>1127</v>
      </c>
      <c r="AM198" s="13">
        <f t="shared" si="153"/>
        <v>3</v>
      </c>
      <c r="AN198" s="13" t="str">
        <f t="shared" si="154"/>
        <v>UR守护灵专属武器魂珠-3</v>
      </c>
      <c r="AO198" s="13">
        <f t="shared" si="155"/>
        <v>75</v>
      </c>
      <c r="AP198" s="13">
        <f t="shared" si="156"/>
        <v>3</v>
      </c>
      <c r="AQ198" s="13">
        <f t="shared" si="157"/>
        <v>0</v>
      </c>
      <c r="AT198" s="13">
        <v>195</v>
      </c>
      <c r="AU198" s="13">
        <f t="shared" si="159"/>
        <v>3</v>
      </c>
      <c r="AV198" s="14">
        <f t="shared" si="160"/>
        <v>200304</v>
      </c>
      <c r="AW198" s="14">
        <f t="shared" si="161"/>
        <v>1102003</v>
      </c>
      <c r="AX198" s="13" t="s">
        <v>1127</v>
      </c>
      <c r="AY198" s="13">
        <f t="shared" si="162"/>
        <v>4</v>
      </c>
      <c r="AZ198" s="13" t="s">
        <v>1148</v>
      </c>
      <c r="BA198" s="14">
        <f t="shared" si="163"/>
        <v>4</v>
      </c>
      <c r="BB198" s="14" t="str">
        <f t="shared" si="164"/>
        <v>典韦魂珠-4 等级-4</v>
      </c>
      <c r="BC198" s="25" t="s">
        <v>1156</v>
      </c>
      <c r="BD198" s="14">
        <f t="shared" si="165"/>
        <v>384</v>
      </c>
      <c r="BE198" s="14">
        <f>SUMIFS(BD$4:BD198,$AU$4:$AU198,"="&amp;$AU198,$AY$4:$AY198,"="&amp;$AY198)</f>
        <v>960</v>
      </c>
      <c r="BF198" s="25" t="s">
        <v>1157</v>
      </c>
      <c r="BG198" s="14">
        <f t="shared" si="166"/>
        <v>176</v>
      </c>
      <c r="BH198" s="14">
        <f>SUMIFS(BG$4:BG198,AU$4:AU198,"="&amp;AU198,AY$4:AY198,"="&amp;AY198)</f>
        <v>440</v>
      </c>
      <c r="BI198" s="25" t="s">
        <v>1158</v>
      </c>
      <c r="BJ198" s="14">
        <f t="shared" si="167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H199" s="13">
        <v>196</v>
      </c>
      <c r="AI199" s="13">
        <f t="shared" si="158"/>
        <v>25</v>
      </c>
      <c r="AJ199" s="13">
        <f t="shared" si="151"/>
        <v>299604</v>
      </c>
      <c r="AK199" s="13">
        <f t="shared" si="152"/>
        <v>1102996</v>
      </c>
      <c r="AL199" s="13" t="s">
        <v>1127</v>
      </c>
      <c r="AM199" s="13">
        <f t="shared" si="153"/>
        <v>4</v>
      </c>
      <c r="AN199" s="13" t="str">
        <f t="shared" si="154"/>
        <v>UR守护灵专属武器魂珠-4</v>
      </c>
      <c r="AO199" s="13">
        <f t="shared" si="155"/>
        <v>85</v>
      </c>
      <c r="AP199" s="13">
        <f t="shared" si="156"/>
        <v>3</v>
      </c>
      <c r="AQ199" s="13">
        <f t="shared" si="157"/>
        <v>1</v>
      </c>
      <c r="AT199" s="13">
        <v>196</v>
      </c>
      <c r="AU199" s="13">
        <f t="shared" si="159"/>
        <v>3</v>
      </c>
      <c r="AV199" s="14">
        <f t="shared" si="160"/>
        <v>200304</v>
      </c>
      <c r="AW199" s="14">
        <f t="shared" si="161"/>
        <v>1102003</v>
      </c>
      <c r="AX199" s="13" t="s">
        <v>1127</v>
      </c>
      <c r="AY199" s="13">
        <f t="shared" si="162"/>
        <v>4</v>
      </c>
      <c r="AZ199" s="13" t="s">
        <v>1148</v>
      </c>
      <c r="BA199" s="14">
        <f t="shared" si="163"/>
        <v>5</v>
      </c>
      <c r="BB199" s="14" t="str">
        <f t="shared" si="164"/>
        <v>典韦魂珠-4 等级-5</v>
      </c>
      <c r="BC199" s="25" t="s">
        <v>1156</v>
      </c>
      <c r="BD199" s="14">
        <f t="shared" si="165"/>
        <v>504</v>
      </c>
      <c r="BE199" s="14">
        <f>SUMIFS(BD$4:BD199,$AU$4:$AU199,"="&amp;$AU199,$AY$4:$AY199,"="&amp;$AY199)</f>
        <v>1464</v>
      </c>
      <c r="BF199" s="25" t="s">
        <v>1157</v>
      </c>
      <c r="BG199" s="14">
        <f t="shared" si="166"/>
        <v>231</v>
      </c>
      <c r="BH199" s="14">
        <f>SUMIFS(BG$4:BG199,AU$4:AU199,"="&amp;AU199,AY$4:AY199,"="&amp;AY199)</f>
        <v>671</v>
      </c>
      <c r="BI199" s="25" t="s">
        <v>1158</v>
      </c>
      <c r="BJ199" s="14">
        <f t="shared" si="167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H200" s="13">
        <v>197</v>
      </c>
      <c r="AI200" s="13">
        <f t="shared" si="158"/>
        <v>25</v>
      </c>
      <c r="AJ200" s="13">
        <f t="shared" si="151"/>
        <v>299605</v>
      </c>
      <c r="AK200" s="13">
        <f t="shared" si="152"/>
        <v>1102996</v>
      </c>
      <c r="AL200" s="13" t="s">
        <v>1127</v>
      </c>
      <c r="AM200" s="13">
        <f t="shared" si="153"/>
        <v>5</v>
      </c>
      <c r="AN200" s="13" t="str">
        <f t="shared" si="154"/>
        <v>UR守护灵专属武器魂珠-5</v>
      </c>
      <c r="AO200" s="13">
        <f t="shared" si="155"/>
        <v>110</v>
      </c>
      <c r="AP200" s="13">
        <f t="shared" si="156"/>
        <v>3</v>
      </c>
      <c r="AQ200" s="13">
        <f t="shared" si="157"/>
        <v>2</v>
      </c>
      <c r="AT200" s="13">
        <v>197</v>
      </c>
      <c r="AU200" s="13">
        <f t="shared" si="159"/>
        <v>3</v>
      </c>
      <c r="AV200" s="14">
        <f t="shared" si="160"/>
        <v>200304</v>
      </c>
      <c r="AW200" s="14">
        <f t="shared" si="161"/>
        <v>1102003</v>
      </c>
      <c r="AX200" s="13" t="s">
        <v>1127</v>
      </c>
      <c r="AY200" s="13">
        <f t="shared" si="162"/>
        <v>4</v>
      </c>
      <c r="AZ200" s="13" t="s">
        <v>1148</v>
      </c>
      <c r="BA200" s="14">
        <f t="shared" si="163"/>
        <v>6</v>
      </c>
      <c r="BB200" s="14" t="str">
        <f t="shared" si="164"/>
        <v>典韦魂珠-4 等级-6</v>
      </c>
      <c r="BC200" s="25" t="s">
        <v>1156</v>
      </c>
      <c r="BD200" s="14">
        <f t="shared" si="165"/>
        <v>660</v>
      </c>
      <c r="BE200" s="14">
        <f>SUMIFS(BD$4:BD200,$AU$4:$AU200,"="&amp;$AU200,$AY$4:$AY200,"="&amp;$AY200)</f>
        <v>2124</v>
      </c>
      <c r="BF200" s="25" t="s">
        <v>1157</v>
      </c>
      <c r="BG200" s="14">
        <f t="shared" si="166"/>
        <v>303</v>
      </c>
      <c r="BH200" s="14">
        <f>SUMIFS(BG$4:BG200,AU$4:AU200,"="&amp;AU200,AY$4:AY200,"="&amp;AY200)</f>
        <v>974</v>
      </c>
      <c r="BI200" s="25" t="s">
        <v>1158</v>
      </c>
      <c r="BJ200" s="14">
        <f t="shared" si="167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H201" s="13">
        <v>198</v>
      </c>
      <c r="AI201" s="13">
        <f t="shared" si="158"/>
        <v>25</v>
      </c>
      <c r="AJ201" s="13">
        <f t="shared" si="151"/>
        <v>299606</v>
      </c>
      <c r="AK201" s="13">
        <f t="shared" si="152"/>
        <v>1102996</v>
      </c>
      <c r="AL201" s="13" t="s">
        <v>1127</v>
      </c>
      <c r="AM201" s="13">
        <f t="shared" si="153"/>
        <v>6</v>
      </c>
      <c r="AN201" s="13" t="str">
        <f t="shared" si="154"/>
        <v>UR守护灵专属武器魂珠-6</v>
      </c>
      <c r="AO201" s="13">
        <f t="shared" si="155"/>
        <v>125</v>
      </c>
      <c r="AP201" s="13">
        <f t="shared" si="156"/>
        <v>3</v>
      </c>
      <c r="AQ201" s="13">
        <f t="shared" si="157"/>
        <v>3</v>
      </c>
      <c r="AT201" s="13">
        <v>198</v>
      </c>
      <c r="AU201" s="13">
        <f t="shared" si="159"/>
        <v>3</v>
      </c>
      <c r="AV201" s="14">
        <f t="shared" si="160"/>
        <v>200304</v>
      </c>
      <c r="AW201" s="14">
        <f t="shared" si="161"/>
        <v>1102003</v>
      </c>
      <c r="AX201" s="13" t="s">
        <v>1127</v>
      </c>
      <c r="AY201" s="13">
        <f t="shared" si="162"/>
        <v>4</v>
      </c>
      <c r="AZ201" s="13" t="s">
        <v>1148</v>
      </c>
      <c r="BA201" s="14">
        <f t="shared" si="163"/>
        <v>7</v>
      </c>
      <c r="BB201" s="14" t="str">
        <f t="shared" si="164"/>
        <v>典韦魂珠-4 等级-7</v>
      </c>
      <c r="BC201" s="25" t="s">
        <v>1156</v>
      </c>
      <c r="BD201" s="14">
        <f t="shared" si="165"/>
        <v>780</v>
      </c>
      <c r="BE201" s="14">
        <f>SUMIFS(BD$4:BD201,$AU$4:$AU201,"="&amp;$AU201,$AY$4:$AY201,"="&amp;$AY201)</f>
        <v>2904</v>
      </c>
      <c r="BF201" s="25" t="s">
        <v>1157</v>
      </c>
      <c r="BG201" s="14">
        <f t="shared" si="166"/>
        <v>358</v>
      </c>
      <c r="BH201" s="14">
        <f>SUMIFS(BG$4:BG201,AU$4:AU201,"="&amp;AU201,AY$4:AY201,"="&amp;AY201)</f>
        <v>1332</v>
      </c>
      <c r="BI201" s="25" t="s">
        <v>1158</v>
      </c>
      <c r="BJ201" s="14">
        <f t="shared" si="167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H202" s="13">
        <v>199</v>
      </c>
      <c r="AI202" s="13">
        <f t="shared" si="158"/>
        <v>25</v>
      </c>
      <c r="AJ202" s="13">
        <f t="shared" si="151"/>
        <v>299607</v>
      </c>
      <c r="AK202" s="13">
        <f t="shared" si="152"/>
        <v>1102996</v>
      </c>
      <c r="AL202" s="13" t="s">
        <v>1127</v>
      </c>
      <c r="AM202" s="13">
        <f t="shared" si="153"/>
        <v>7</v>
      </c>
      <c r="AN202" s="13" t="str">
        <f t="shared" si="154"/>
        <v>UR守护灵专属武器魂珠-7</v>
      </c>
      <c r="AO202" s="13">
        <f t="shared" si="155"/>
        <v>135</v>
      </c>
      <c r="AP202" s="13">
        <f t="shared" si="156"/>
        <v>3</v>
      </c>
      <c r="AQ202" s="13">
        <f t="shared" si="157"/>
        <v>4</v>
      </c>
      <c r="AT202" s="13">
        <v>199</v>
      </c>
      <c r="AU202" s="13">
        <f t="shared" si="159"/>
        <v>3</v>
      </c>
      <c r="AV202" s="14">
        <f t="shared" si="160"/>
        <v>200304</v>
      </c>
      <c r="AW202" s="14">
        <f t="shared" si="161"/>
        <v>1102003</v>
      </c>
      <c r="AX202" s="13" t="s">
        <v>1127</v>
      </c>
      <c r="AY202" s="13">
        <f t="shared" si="162"/>
        <v>4</v>
      </c>
      <c r="AZ202" s="13" t="s">
        <v>1148</v>
      </c>
      <c r="BA202" s="14">
        <f t="shared" si="163"/>
        <v>8</v>
      </c>
      <c r="BB202" s="14" t="str">
        <f t="shared" si="164"/>
        <v>典韦魂珠-4 等级-8</v>
      </c>
      <c r="BC202" s="25" t="s">
        <v>1156</v>
      </c>
      <c r="BD202" s="14">
        <f t="shared" si="165"/>
        <v>900</v>
      </c>
      <c r="BE202" s="14">
        <f>SUMIFS(BD$4:BD202,$AU$4:$AU202,"="&amp;$AU202,$AY$4:$AY202,"="&amp;$AY202)</f>
        <v>3804</v>
      </c>
      <c r="BF202" s="25" t="s">
        <v>1157</v>
      </c>
      <c r="BG202" s="14">
        <f t="shared" si="166"/>
        <v>413</v>
      </c>
      <c r="BH202" s="14">
        <f>SUMIFS(BG$4:BG202,AU$4:AU202,"="&amp;AU202,AY$4:AY202,"="&amp;AY202)</f>
        <v>1745</v>
      </c>
      <c r="BI202" s="25" t="s">
        <v>1158</v>
      </c>
      <c r="BJ202" s="14">
        <f t="shared" si="167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H203" s="13">
        <v>200</v>
      </c>
      <c r="AI203" s="13">
        <f t="shared" si="158"/>
        <v>25</v>
      </c>
      <c r="AJ203" s="13">
        <f t="shared" si="151"/>
        <v>299608</v>
      </c>
      <c r="AK203" s="13">
        <f t="shared" si="152"/>
        <v>1102996</v>
      </c>
      <c r="AL203" s="13" t="s">
        <v>1127</v>
      </c>
      <c r="AM203" s="13">
        <f t="shared" si="153"/>
        <v>8</v>
      </c>
      <c r="AN203" s="13" t="str">
        <f t="shared" si="154"/>
        <v>UR守护灵专属武器魂珠-8</v>
      </c>
      <c r="AO203" s="13">
        <f t="shared" si="155"/>
        <v>150</v>
      </c>
      <c r="AP203" s="13">
        <f t="shared" si="156"/>
        <v>3</v>
      </c>
      <c r="AQ203" s="13">
        <f t="shared" si="157"/>
        <v>5</v>
      </c>
      <c r="AT203" s="13">
        <v>200</v>
      </c>
      <c r="AU203" s="13">
        <f t="shared" si="159"/>
        <v>3</v>
      </c>
      <c r="AV203" s="14">
        <f t="shared" si="160"/>
        <v>200304</v>
      </c>
      <c r="AW203" s="14">
        <f t="shared" si="161"/>
        <v>1102003</v>
      </c>
      <c r="AX203" s="13" t="s">
        <v>1127</v>
      </c>
      <c r="AY203" s="13">
        <f t="shared" si="162"/>
        <v>4</v>
      </c>
      <c r="AZ203" s="13" t="s">
        <v>1148</v>
      </c>
      <c r="BA203" s="14">
        <f t="shared" si="163"/>
        <v>9</v>
      </c>
      <c r="BB203" s="14" t="str">
        <f t="shared" si="164"/>
        <v>典韦魂珠-4 等级-9</v>
      </c>
      <c r="BC203" s="25" t="s">
        <v>1156</v>
      </c>
      <c r="BD203" s="14">
        <f t="shared" si="165"/>
        <v>1020</v>
      </c>
      <c r="BE203" s="14">
        <f>SUMIFS(BD$4:BD203,$AU$4:$AU203,"="&amp;$AU203,$AY$4:$AY203,"="&amp;$AY203)</f>
        <v>4824</v>
      </c>
      <c r="BF203" s="25" t="s">
        <v>1157</v>
      </c>
      <c r="BG203" s="14">
        <f t="shared" si="166"/>
        <v>468</v>
      </c>
      <c r="BH203" s="14">
        <f>SUMIFS(BG$4:BG203,AU$4:AU203,"="&amp;AU203,AY$4:AY203,"="&amp;AY203)</f>
        <v>2213</v>
      </c>
      <c r="BI203" s="25" t="s">
        <v>1158</v>
      </c>
      <c r="BJ203" s="14">
        <f t="shared" si="167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T204" s="13">
        <v>201</v>
      </c>
      <c r="AU204" s="13">
        <f t="shared" si="159"/>
        <v>3</v>
      </c>
      <c r="AV204" s="14">
        <f t="shared" si="160"/>
        <v>200305</v>
      </c>
      <c r="AW204" s="14">
        <f t="shared" si="161"/>
        <v>1102003</v>
      </c>
      <c r="AX204" s="13" t="s">
        <v>1127</v>
      </c>
      <c r="AY204" s="13">
        <f t="shared" si="162"/>
        <v>5</v>
      </c>
      <c r="AZ204" s="13" t="s">
        <v>1148</v>
      </c>
      <c r="BA204" s="14">
        <f t="shared" si="163"/>
        <v>0</v>
      </c>
      <c r="BB204" s="14" t="str">
        <f t="shared" si="164"/>
        <v>典韦魂珠-5 等级-0</v>
      </c>
      <c r="BC204" s="25" t="s">
        <v>1156</v>
      </c>
      <c r="BD204" s="14">
        <f t="shared" si="165"/>
        <v>0</v>
      </c>
      <c r="BE204" s="14">
        <f>SUMIFS(BD$4:BD204,$AU$4:$AU204,"="&amp;$AU204,$AY$4:$AY204,"="&amp;$AY204)</f>
        <v>0</v>
      </c>
      <c r="BF204" s="25" t="s">
        <v>1157</v>
      </c>
      <c r="BG204" s="14">
        <f t="shared" si="166"/>
        <v>0</v>
      </c>
      <c r="BH204" s="14">
        <f>SUMIFS(BG$4:BG204,AU$4:AU204,"="&amp;AU204,AY$4:AY204,"="&amp;AY204)</f>
        <v>0</v>
      </c>
      <c r="BI204" s="25" t="s">
        <v>1158</v>
      </c>
      <c r="BJ204" s="14">
        <f t="shared" si="167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T205" s="13">
        <v>202</v>
      </c>
      <c r="AU205" s="13">
        <f t="shared" si="159"/>
        <v>3</v>
      </c>
      <c r="AV205" s="14">
        <f t="shared" si="160"/>
        <v>200305</v>
      </c>
      <c r="AW205" s="14">
        <f t="shared" si="161"/>
        <v>1102003</v>
      </c>
      <c r="AX205" s="13" t="s">
        <v>1127</v>
      </c>
      <c r="AY205" s="13">
        <f t="shared" si="162"/>
        <v>5</v>
      </c>
      <c r="AZ205" s="13" t="s">
        <v>1148</v>
      </c>
      <c r="BA205" s="14">
        <f t="shared" si="163"/>
        <v>1</v>
      </c>
      <c r="BB205" s="14" t="str">
        <f t="shared" si="164"/>
        <v>典韦魂珠-5 等级-1</v>
      </c>
      <c r="BC205" s="25" t="s">
        <v>1156</v>
      </c>
      <c r="BD205" s="14">
        <f t="shared" si="165"/>
        <v>168</v>
      </c>
      <c r="BE205" s="14">
        <f>SUMIFS(BD$4:BD205,$AU$4:$AU205,"="&amp;$AU205,$AY$4:$AY205,"="&amp;$AY205)</f>
        <v>168</v>
      </c>
      <c r="BF205" s="25" t="s">
        <v>1157</v>
      </c>
      <c r="BG205" s="14">
        <f t="shared" si="166"/>
        <v>77</v>
      </c>
      <c r="BH205" s="14">
        <f>SUMIFS(BG$4:BG205,AU$4:AU205,"="&amp;AU205,AY$4:AY205,"="&amp;AY205)</f>
        <v>77</v>
      </c>
      <c r="BI205" s="25" t="s">
        <v>1158</v>
      </c>
      <c r="BJ205" s="14">
        <f t="shared" si="167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T206" s="13">
        <v>203</v>
      </c>
      <c r="AU206" s="13">
        <f t="shared" si="159"/>
        <v>3</v>
      </c>
      <c r="AV206" s="14">
        <f t="shared" si="160"/>
        <v>200305</v>
      </c>
      <c r="AW206" s="14">
        <f t="shared" si="161"/>
        <v>1102003</v>
      </c>
      <c r="AX206" s="13" t="s">
        <v>1127</v>
      </c>
      <c r="AY206" s="13">
        <f t="shared" si="162"/>
        <v>5</v>
      </c>
      <c r="AZ206" s="13" t="s">
        <v>1148</v>
      </c>
      <c r="BA206" s="14">
        <f t="shared" si="163"/>
        <v>2</v>
      </c>
      <c r="BB206" s="14" t="str">
        <f t="shared" si="164"/>
        <v>典韦魂珠-5 等级-2</v>
      </c>
      <c r="BC206" s="25" t="s">
        <v>1156</v>
      </c>
      <c r="BD206" s="14">
        <f t="shared" si="165"/>
        <v>240</v>
      </c>
      <c r="BE206" s="14">
        <f>SUMIFS(BD$4:BD206,$AU$4:$AU206,"="&amp;$AU206,$AY$4:$AY206,"="&amp;$AY206)</f>
        <v>408</v>
      </c>
      <c r="BF206" s="25" t="s">
        <v>1157</v>
      </c>
      <c r="BG206" s="14">
        <f t="shared" si="166"/>
        <v>110</v>
      </c>
      <c r="BH206" s="14">
        <f>SUMIFS(BG$4:BG206,AU$4:AU206,"="&amp;AU206,AY$4:AY206,"="&amp;AY206)</f>
        <v>187</v>
      </c>
      <c r="BI206" s="25" t="s">
        <v>1158</v>
      </c>
      <c r="BJ206" s="14">
        <f t="shared" si="167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T207" s="13">
        <v>204</v>
      </c>
      <c r="AU207" s="13">
        <f t="shared" si="159"/>
        <v>3</v>
      </c>
      <c r="AV207" s="14">
        <f t="shared" si="160"/>
        <v>200305</v>
      </c>
      <c r="AW207" s="14">
        <f t="shared" si="161"/>
        <v>1102003</v>
      </c>
      <c r="AX207" s="13" t="s">
        <v>1127</v>
      </c>
      <c r="AY207" s="13">
        <f t="shared" si="162"/>
        <v>5</v>
      </c>
      <c r="AZ207" s="13" t="s">
        <v>1148</v>
      </c>
      <c r="BA207" s="14">
        <f t="shared" si="163"/>
        <v>3</v>
      </c>
      <c r="BB207" s="14" t="str">
        <f t="shared" si="164"/>
        <v>典韦魂珠-5 等级-3</v>
      </c>
      <c r="BC207" s="25" t="s">
        <v>1156</v>
      </c>
      <c r="BD207" s="14">
        <f t="shared" si="165"/>
        <v>312</v>
      </c>
      <c r="BE207" s="14">
        <f>SUMIFS(BD$4:BD207,$AU$4:$AU207,"="&amp;$AU207,$AY$4:$AY207,"="&amp;$AY207)</f>
        <v>720</v>
      </c>
      <c r="BF207" s="25" t="s">
        <v>1157</v>
      </c>
      <c r="BG207" s="14">
        <f t="shared" si="166"/>
        <v>143</v>
      </c>
      <c r="BH207" s="14">
        <f>SUMIFS(BG$4:BG207,AU$4:AU207,"="&amp;AU207,AY$4:AY207,"="&amp;AY207)</f>
        <v>330</v>
      </c>
      <c r="BI207" s="25" t="s">
        <v>1158</v>
      </c>
      <c r="BJ207" s="14">
        <f t="shared" si="167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T208" s="13">
        <v>205</v>
      </c>
      <c r="AU208" s="13">
        <f t="shared" si="159"/>
        <v>3</v>
      </c>
      <c r="AV208" s="14">
        <f t="shared" si="160"/>
        <v>200305</v>
      </c>
      <c r="AW208" s="14">
        <f t="shared" si="161"/>
        <v>1102003</v>
      </c>
      <c r="AX208" s="13" t="s">
        <v>1127</v>
      </c>
      <c r="AY208" s="13">
        <f t="shared" si="162"/>
        <v>5</v>
      </c>
      <c r="AZ208" s="13" t="s">
        <v>1148</v>
      </c>
      <c r="BA208" s="14">
        <f t="shared" si="163"/>
        <v>4</v>
      </c>
      <c r="BB208" s="14" t="str">
        <f t="shared" si="164"/>
        <v>典韦魂珠-5 等级-4</v>
      </c>
      <c r="BC208" s="25" t="s">
        <v>1156</v>
      </c>
      <c r="BD208" s="14">
        <f t="shared" si="165"/>
        <v>480</v>
      </c>
      <c r="BE208" s="14">
        <f>SUMIFS(BD$4:BD208,$AU$4:$AU208,"="&amp;$AU208,$AY$4:$AY208,"="&amp;$AY208)</f>
        <v>1200</v>
      </c>
      <c r="BF208" s="25" t="s">
        <v>1157</v>
      </c>
      <c r="BG208" s="14">
        <f t="shared" si="166"/>
        <v>220</v>
      </c>
      <c r="BH208" s="14">
        <f>SUMIFS(BG$4:BG208,AU$4:AU208,"="&amp;AU208,AY$4:AY208,"="&amp;AY208)</f>
        <v>550</v>
      </c>
      <c r="BI208" s="25" t="s">
        <v>1158</v>
      </c>
      <c r="BJ208" s="14">
        <f t="shared" si="167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3">
        <v>206</v>
      </c>
      <c r="AU209" s="13">
        <f t="shared" si="159"/>
        <v>3</v>
      </c>
      <c r="AV209" s="14">
        <f t="shared" si="160"/>
        <v>200305</v>
      </c>
      <c r="AW209" s="14">
        <f t="shared" si="161"/>
        <v>1102003</v>
      </c>
      <c r="AX209" s="13" t="s">
        <v>1127</v>
      </c>
      <c r="AY209" s="13">
        <f t="shared" si="162"/>
        <v>5</v>
      </c>
      <c r="AZ209" s="13" t="s">
        <v>1148</v>
      </c>
      <c r="BA209" s="14">
        <f t="shared" si="163"/>
        <v>5</v>
      </c>
      <c r="BB209" s="14" t="str">
        <f t="shared" si="164"/>
        <v>典韦魂珠-5 等级-5</v>
      </c>
      <c r="BC209" s="25" t="s">
        <v>1156</v>
      </c>
      <c r="BD209" s="14">
        <f t="shared" si="165"/>
        <v>624</v>
      </c>
      <c r="BE209" s="14">
        <f>SUMIFS(BD$4:BD209,$AU$4:$AU209,"="&amp;$AU209,$AY$4:$AY209,"="&amp;$AY209)</f>
        <v>1824</v>
      </c>
      <c r="BF209" s="25" t="s">
        <v>1157</v>
      </c>
      <c r="BG209" s="14">
        <f t="shared" si="166"/>
        <v>286</v>
      </c>
      <c r="BH209" s="14">
        <f>SUMIFS(BG$4:BG209,AU$4:AU209,"="&amp;AU209,AY$4:AY209,"="&amp;AY209)</f>
        <v>836</v>
      </c>
      <c r="BI209" s="25" t="s">
        <v>1158</v>
      </c>
      <c r="BJ209" s="14">
        <f t="shared" si="167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T210" s="13">
        <v>207</v>
      </c>
      <c r="AU210" s="13">
        <f t="shared" si="159"/>
        <v>3</v>
      </c>
      <c r="AV210" s="14">
        <f t="shared" si="160"/>
        <v>200305</v>
      </c>
      <c r="AW210" s="14">
        <f t="shared" si="161"/>
        <v>1102003</v>
      </c>
      <c r="AX210" s="13" t="s">
        <v>1127</v>
      </c>
      <c r="AY210" s="13">
        <f t="shared" si="162"/>
        <v>5</v>
      </c>
      <c r="AZ210" s="13" t="s">
        <v>1148</v>
      </c>
      <c r="BA210" s="14">
        <f t="shared" si="163"/>
        <v>6</v>
      </c>
      <c r="BB210" s="14" t="str">
        <f t="shared" si="164"/>
        <v>典韦魂珠-5 等级-6</v>
      </c>
      <c r="BC210" s="25" t="s">
        <v>1156</v>
      </c>
      <c r="BD210" s="14">
        <f t="shared" si="165"/>
        <v>780</v>
      </c>
      <c r="BE210" s="14">
        <f>SUMIFS(BD$4:BD210,$AU$4:$AU210,"="&amp;$AU210,$AY$4:$AY210,"="&amp;$AY210)</f>
        <v>2604</v>
      </c>
      <c r="BF210" s="25" t="s">
        <v>1157</v>
      </c>
      <c r="BG210" s="14">
        <f t="shared" si="166"/>
        <v>358</v>
      </c>
      <c r="BH210" s="14">
        <f>SUMIFS(BG$4:BG210,AU$4:AU210,"="&amp;AU210,AY$4:AY210,"="&amp;AY210)</f>
        <v>1194</v>
      </c>
      <c r="BI210" s="25" t="s">
        <v>1158</v>
      </c>
      <c r="BJ210" s="14">
        <f t="shared" si="167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T211" s="13">
        <v>208</v>
      </c>
      <c r="AU211" s="13">
        <f t="shared" si="159"/>
        <v>3</v>
      </c>
      <c r="AV211" s="14">
        <f t="shared" si="160"/>
        <v>200305</v>
      </c>
      <c r="AW211" s="14">
        <f t="shared" si="161"/>
        <v>1102003</v>
      </c>
      <c r="AX211" s="13" t="s">
        <v>1127</v>
      </c>
      <c r="AY211" s="13">
        <f t="shared" si="162"/>
        <v>5</v>
      </c>
      <c r="AZ211" s="13" t="s">
        <v>1148</v>
      </c>
      <c r="BA211" s="14">
        <f t="shared" si="163"/>
        <v>7</v>
      </c>
      <c r="BB211" s="14" t="str">
        <f t="shared" si="164"/>
        <v>典韦魂珠-5 等级-7</v>
      </c>
      <c r="BC211" s="25" t="s">
        <v>1156</v>
      </c>
      <c r="BD211" s="14">
        <f t="shared" si="165"/>
        <v>960</v>
      </c>
      <c r="BE211" s="14">
        <f>SUMIFS(BD$4:BD211,$AU$4:$AU211,"="&amp;$AU211,$AY$4:$AY211,"="&amp;$AY211)</f>
        <v>3564</v>
      </c>
      <c r="BF211" s="25" t="s">
        <v>1157</v>
      </c>
      <c r="BG211" s="14">
        <f t="shared" si="166"/>
        <v>440</v>
      </c>
      <c r="BH211" s="14">
        <f>SUMIFS(BG$4:BG211,AU$4:AU211,"="&amp;AU211,AY$4:AY211,"="&amp;AY211)</f>
        <v>1634</v>
      </c>
      <c r="BI211" s="25" t="s">
        <v>1158</v>
      </c>
      <c r="BJ211" s="14">
        <f t="shared" si="167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T212" s="13">
        <v>209</v>
      </c>
      <c r="AU212" s="13">
        <f t="shared" si="159"/>
        <v>3</v>
      </c>
      <c r="AV212" s="14">
        <f t="shared" si="160"/>
        <v>200305</v>
      </c>
      <c r="AW212" s="14">
        <f t="shared" si="161"/>
        <v>1102003</v>
      </c>
      <c r="AX212" s="13" t="s">
        <v>1127</v>
      </c>
      <c r="AY212" s="13">
        <f t="shared" si="162"/>
        <v>5</v>
      </c>
      <c r="AZ212" s="13" t="s">
        <v>1148</v>
      </c>
      <c r="BA212" s="14">
        <f t="shared" si="163"/>
        <v>8</v>
      </c>
      <c r="BB212" s="14" t="str">
        <f t="shared" si="164"/>
        <v>典韦魂珠-5 等级-8</v>
      </c>
      <c r="BC212" s="25" t="s">
        <v>1156</v>
      </c>
      <c r="BD212" s="14">
        <f t="shared" si="165"/>
        <v>1140</v>
      </c>
      <c r="BE212" s="14">
        <f>SUMIFS(BD$4:BD212,$AU$4:$AU212,"="&amp;$AU212,$AY$4:$AY212,"="&amp;$AY212)</f>
        <v>4704</v>
      </c>
      <c r="BF212" s="25" t="s">
        <v>1157</v>
      </c>
      <c r="BG212" s="14">
        <f t="shared" si="166"/>
        <v>523</v>
      </c>
      <c r="BH212" s="14">
        <f>SUMIFS(BG$4:BG212,AU$4:AU212,"="&amp;AU212,AY$4:AY212,"="&amp;AY212)</f>
        <v>2157</v>
      </c>
      <c r="BI212" s="25" t="s">
        <v>1158</v>
      </c>
      <c r="BJ212" s="14">
        <f t="shared" si="167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T213" s="13">
        <v>210</v>
      </c>
      <c r="AU213" s="13">
        <f t="shared" si="159"/>
        <v>3</v>
      </c>
      <c r="AV213" s="14">
        <f t="shared" si="160"/>
        <v>200305</v>
      </c>
      <c r="AW213" s="14">
        <f t="shared" si="161"/>
        <v>1102003</v>
      </c>
      <c r="AX213" s="13" t="s">
        <v>1127</v>
      </c>
      <c r="AY213" s="13">
        <f t="shared" si="162"/>
        <v>5</v>
      </c>
      <c r="AZ213" s="13" t="s">
        <v>1148</v>
      </c>
      <c r="BA213" s="14">
        <f t="shared" si="163"/>
        <v>9</v>
      </c>
      <c r="BB213" s="14" t="str">
        <f t="shared" si="164"/>
        <v>典韦魂珠-5 等级-9</v>
      </c>
      <c r="BC213" s="25" t="s">
        <v>1156</v>
      </c>
      <c r="BD213" s="14">
        <f t="shared" si="165"/>
        <v>1320</v>
      </c>
      <c r="BE213" s="14">
        <f>SUMIFS(BD$4:BD213,$AU$4:$AU213,"="&amp;$AU213,$AY$4:$AY213,"="&amp;$AY213)</f>
        <v>6024</v>
      </c>
      <c r="BF213" s="25" t="s">
        <v>1157</v>
      </c>
      <c r="BG213" s="14">
        <f t="shared" si="166"/>
        <v>605</v>
      </c>
      <c r="BH213" s="14">
        <f>SUMIFS(BG$4:BG213,AU$4:AU213,"="&amp;AU213,AY$4:AY213,"="&amp;AY213)</f>
        <v>2762</v>
      </c>
      <c r="BI213" s="25" t="s">
        <v>1158</v>
      </c>
      <c r="BJ213" s="14">
        <f t="shared" si="167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T214" s="13">
        <v>211</v>
      </c>
      <c r="AU214" s="13">
        <f t="shared" si="159"/>
        <v>3</v>
      </c>
      <c r="AV214" s="14">
        <f t="shared" si="160"/>
        <v>200306</v>
      </c>
      <c r="AW214" s="14">
        <f t="shared" si="161"/>
        <v>1102003</v>
      </c>
      <c r="AX214" s="13" t="s">
        <v>1127</v>
      </c>
      <c r="AY214" s="13">
        <f t="shared" si="162"/>
        <v>6</v>
      </c>
      <c r="AZ214" s="13" t="s">
        <v>1148</v>
      </c>
      <c r="BA214" s="14">
        <f t="shared" si="163"/>
        <v>0</v>
      </c>
      <c r="BB214" s="14" t="str">
        <f t="shared" si="164"/>
        <v>典韦魂珠-6 等级-0</v>
      </c>
      <c r="BC214" s="25" t="s">
        <v>1156</v>
      </c>
      <c r="BD214" s="14">
        <f t="shared" si="165"/>
        <v>0</v>
      </c>
      <c r="BE214" s="14">
        <f>SUMIFS(BD$4:BD214,$AU$4:$AU214,"="&amp;$AU214,$AY$4:$AY214,"="&amp;$AY214)</f>
        <v>0</v>
      </c>
      <c r="BF214" s="25" t="s">
        <v>1157</v>
      </c>
      <c r="BG214" s="14">
        <f t="shared" si="166"/>
        <v>0</v>
      </c>
      <c r="BH214" s="14">
        <f>SUMIFS(BG$4:BG214,AU$4:AU214,"="&amp;AU214,AY$4:AY214,"="&amp;AY214)</f>
        <v>0</v>
      </c>
      <c r="BI214" s="25" t="s">
        <v>1158</v>
      </c>
      <c r="BJ214" s="14">
        <f t="shared" si="167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T215" s="13">
        <v>212</v>
      </c>
      <c r="AU215" s="13">
        <f t="shared" si="159"/>
        <v>3</v>
      </c>
      <c r="AV215" s="14">
        <f t="shared" si="160"/>
        <v>200306</v>
      </c>
      <c r="AW215" s="14">
        <f t="shared" si="161"/>
        <v>1102003</v>
      </c>
      <c r="AX215" s="13" t="s">
        <v>1127</v>
      </c>
      <c r="AY215" s="13">
        <f t="shared" si="162"/>
        <v>6</v>
      </c>
      <c r="AZ215" s="13" t="s">
        <v>1148</v>
      </c>
      <c r="BA215" s="14">
        <f t="shared" si="163"/>
        <v>1</v>
      </c>
      <c r="BB215" s="14" t="str">
        <f t="shared" si="164"/>
        <v>典韦魂珠-6 等级-1</v>
      </c>
      <c r="BC215" s="25" t="s">
        <v>1156</v>
      </c>
      <c r="BD215" s="14">
        <f t="shared" si="165"/>
        <v>216</v>
      </c>
      <c r="BE215" s="14">
        <f>SUMIFS(BD$4:BD215,$AU$4:$AU215,"="&amp;$AU215,$AY$4:$AY215,"="&amp;$AY215)</f>
        <v>216</v>
      </c>
      <c r="BF215" s="25" t="s">
        <v>1157</v>
      </c>
      <c r="BG215" s="14">
        <f t="shared" si="166"/>
        <v>99</v>
      </c>
      <c r="BH215" s="14">
        <f>SUMIFS(BG$4:BG215,AU$4:AU215,"="&amp;AU215,AY$4:AY215,"="&amp;AY215)</f>
        <v>99</v>
      </c>
      <c r="BI215" s="25" t="s">
        <v>1158</v>
      </c>
      <c r="BJ215" s="14">
        <f t="shared" si="167"/>
        <v>3960</v>
      </c>
      <c r="BK215" s="14">
        <f>SUMIFS(BJ$4:BJ215,$AU$4:$AU215,"="&amp;$AU215,$AY$4:$AY215,"="&amp;$AY215)</f>
        <v>3960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T216" s="13">
        <v>213</v>
      </c>
      <c r="AU216" s="13">
        <f t="shared" si="159"/>
        <v>3</v>
      </c>
      <c r="AV216" s="14">
        <f t="shared" si="160"/>
        <v>200306</v>
      </c>
      <c r="AW216" s="14">
        <f t="shared" si="161"/>
        <v>1102003</v>
      </c>
      <c r="AX216" s="13" t="s">
        <v>1127</v>
      </c>
      <c r="AY216" s="13">
        <f t="shared" si="162"/>
        <v>6</v>
      </c>
      <c r="AZ216" s="13" t="s">
        <v>1148</v>
      </c>
      <c r="BA216" s="14">
        <f t="shared" si="163"/>
        <v>2</v>
      </c>
      <c r="BB216" s="14" t="str">
        <f t="shared" si="164"/>
        <v>典韦魂珠-6 等级-2</v>
      </c>
      <c r="BC216" s="25" t="s">
        <v>1156</v>
      </c>
      <c r="BD216" s="14">
        <f t="shared" si="165"/>
        <v>336</v>
      </c>
      <c r="BE216" s="14">
        <f>SUMIFS(BD$4:BD216,$AU$4:$AU216,"="&amp;$AU216,$AY$4:$AY216,"="&amp;$AY216)</f>
        <v>552</v>
      </c>
      <c r="BF216" s="25" t="s">
        <v>1157</v>
      </c>
      <c r="BG216" s="14">
        <f t="shared" si="166"/>
        <v>154</v>
      </c>
      <c r="BH216" s="14">
        <f>SUMIFS(BG$4:BG216,AU$4:AU216,"="&amp;AU216,AY$4:AY216,"="&amp;AY216)</f>
        <v>253</v>
      </c>
      <c r="BI216" s="25" t="s">
        <v>1158</v>
      </c>
      <c r="BJ216" s="14">
        <f t="shared" si="167"/>
        <v>6160</v>
      </c>
      <c r="BK216" s="14">
        <f>SUMIFS(BJ$4:BJ216,$AU$4:$AU216,"="&amp;$AU216,$AY$4:$AY216,"="&amp;$AY216)</f>
        <v>10120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T217" s="13">
        <v>214</v>
      </c>
      <c r="AU217" s="13">
        <f t="shared" si="159"/>
        <v>3</v>
      </c>
      <c r="AV217" s="14">
        <f t="shared" si="160"/>
        <v>200306</v>
      </c>
      <c r="AW217" s="14">
        <f t="shared" si="161"/>
        <v>1102003</v>
      </c>
      <c r="AX217" s="13" t="s">
        <v>1127</v>
      </c>
      <c r="AY217" s="13">
        <f t="shared" si="162"/>
        <v>6</v>
      </c>
      <c r="AZ217" s="13" t="s">
        <v>1148</v>
      </c>
      <c r="BA217" s="14">
        <f t="shared" si="163"/>
        <v>3</v>
      </c>
      <c r="BB217" s="14" t="str">
        <f t="shared" si="164"/>
        <v>典韦魂珠-6 等级-3</v>
      </c>
      <c r="BC217" s="25" t="s">
        <v>1156</v>
      </c>
      <c r="BD217" s="14">
        <f t="shared" si="165"/>
        <v>450</v>
      </c>
      <c r="BE217" s="14">
        <f>SUMIFS(BD$4:BD217,$AU$4:$AU217,"="&amp;$AU217,$AY$4:$AY217,"="&amp;$AY217)</f>
        <v>1002</v>
      </c>
      <c r="BF217" s="25" t="s">
        <v>1157</v>
      </c>
      <c r="BG217" s="14">
        <f t="shared" si="166"/>
        <v>206</v>
      </c>
      <c r="BH217" s="14">
        <f>SUMIFS(BG$4:BG217,AU$4:AU217,"="&amp;AU217,AY$4:AY217,"="&amp;AY217)</f>
        <v>459</v>
      </c>
      <c r="BI217" s="25" t="s">
        <v>1158</v>
      </c>
      <c r="BJ217" s="14">
        <f t="shared" si="167"/>
        <v>8250</v>
      </c>
      <c r="BK217" s="14">
        <f>SUMIFS(BJ$4:BJ217,$AU$4:$AU217,"="&amp;$AU217,$AY$4:$AY217,"="&amp;$AY217)</f>
        <v>18370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T218" s="13">
        <v>215</v>
      </c>
      <c r="AU218" s="13">
        <f t="shared" si="159"/>
        <v>3</v>
      </c>
      <c r="AV218" s="14">
        <f t="shared" si="160"/>
        <v>200306</v>
      </c>
      <c r="AW218" s="14">
        <f t="shared" si="161"/>
        <v>1102003</v>
      </c>
      <c r="AX218" s="13" t="s">
        <v>1127</v>
      </c>
      <c r="AY218" s="13">
        <f t="shared" si="162"/>
        <v>6</v>
      </c>
      <c r="AZ218" s="13" t="s">
        <v>1148</v>
      </c>
      <c r="BA218" s="14">
        <f t="shared" si="163"/>
        <v>4</v>
      </c>
      <c r="BB218" s="14" t="str">
        <f t="shared" si="164"/>
        <v>典韦魂珠-6 等级-4</v>
      </c>
      <c r="BC218" s="25" t="s">
        <v>1156</v>
      </c>
      <c r="BD218" s="14">
        <f t="shared" si="165"/>
        <v>672</v>
      </c>
      <c r="BE218" s="14">
        <f>SUMIFS(BD$4:BD218,$AU$4:$AU218,"="&amp;$AU218,$AY$4:$AY218,"="&amp;$AY218)</f>
        <v>1674</v>
      </c>
      <c r="BF218" s="25" t="s">
        <v>1157</v>
      </c>
      <c r="BG218" s="14">
        <f t="shared" si="166"/>
        <v>308</v>
      </c>
      <c r="BH218" s="14">
        <f>SUMIFS(BG$4:BG218,AU$4:AU218,"="&amp;AU218,AY$4:AY218,"="&amp;AY218)</f>
        <v>767</v>
      </c>
      <c r="BI218" s="25" t="s">
        <v>1158</v>
      </c>
      <c r="BJ218" s="14">
        <f t="shared" si="167"/>
        <v>12320</v>
      </c>
      <c r="BK218" s="14">
        <f>SUMIFS(BJ$4:BJ218,$AU$4:$AU218,"="&amp;$AU218,$AY$4:$AY218,"="&amp;$AY218)</f>
        <v>30690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T219" s="13">
        <v>216</v>
      </c>
      <c r="AU219" s="13">
        <f t="shared" si="159"/>
        <v>3</v>
      </c>
      <c r="AV219" s="14">
        <f t="shared" si="160"/>
        <v>200306</v>
      </c>
      <c r="AW219" s="14">
        <f t="shared" si="161"/>
        <v>1102003</v>
      </c>
      <c r="AX219" s="13" t="s">
        <v>1127</v>
      </c>
      <c r="AY219" s="13">
        <f t="shared" si="162"/>
        <v>6</v>
      </c>
      <c r="AZ219" s="13" t="s">
        <v>1148</v>
      </c>
      <c r="BA219" s="14">
        <f t="shared" si="163"/>
        <v>5</v>
      </c>
      <c r="BB219" s="14" t="str">
        <f t="shared" si="164"/>
        <v>典韦魂珠-6 等级-5</v>
      </c>
      <c r="BC219" s="25" t="s">
        <v>1156</v>
      </c>
      <c r="BD219" s="14">
        <f t="shared" si="165"/>
        <v>900</v>
      </c>
      <c r="BE219" s="14">
        <f>SUMIFS(BD$4:BD219,$AU$4:$AU219,"="&amp;$AU219,$AY$4:$AY219,"="&amp;$AY219)</f>
        <v>2574</v>
      </c>
      <c r="BF219" s="25" t="s">
        <v>1157</v>
      </c>
      <c r="BG219" s="14">
        <f t="shared" si="166"/>
        <v>413</v>
      </c>
      <c r="BH219" s="14">
        <f>SUMIFS(BG$4:BG219,AU$4:AU219,"="&amp;AU219,AY$4:AY219,"="&amp;AY219)</f>
        <v>1180</v>
      </c>
      <c r="BI219" s="25" t="s">
        <v>1158</v>
      </c>
      <c r="BJ219" s="14">
        <f t="shared" si="167"/>
        <v>16500</v>
      </c>
      <c r="BK219" s="14">
        <f>SUMIFS(BJ$4:BJ219,$AU$4:$AU219,"="&amp;$AU219,$AY$4:$AY219,"="&amp;$AY219)</f>
        <v>47190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T220" s="13">
        <v>217</v>
      </c>
      <c r="AU220" s="13">
        <f t="shared" si="159"/>
        <v>3</v>
      </c>
      <c r="AV220" s="14">
        <f t="shared" si="160"/>
        <v>200306</v>
      </c>
      <c r="AW220" s="14">
        <f t="shared" si="161"/>
        <v>1102003</v>
      </c>
      <c r="AX220" s="13" t="s">
        <v>1127</v>
      </c>
      <c r="AY220" s="13">
        <f t="shared" si="162"/>
        <v>6</v>
      </c>
      <c r="AZ220" s="13" t="s">
        <v>1148</v>
      </c>
      <c r="BA220" s="14">
        <f t="shared" si="163"/>
        <v>6</v>
      </c>
      <c r="BB220" s="14" t="str">
        <f t="shared" si="164"/>
        <v>典韦魂珠-6 等级-6</v>
      </c>
      <c r="BC220" s="25" t="s">
        <v>1156</v>
      </c>
      <c r="BD220" s="14">
        <f t="shared" si="165"/>
        <v>1140</v>
      </c>
      <c r="BE220" s="14">
        <f>SUMIFS(BD$4:BD220,$AU$4:$AU220,"="&amp;$AU220,$AY$4:$AY220,"="&amp;$AY220)</f>
        <v>3714</v>
      </c>
      <c r="BF220" s="25" t="s">
        <v>1157</v>
      </c>
      <c r="BG220" s="14">
        <f t="shared" si="166"/>
        <v>523</v>
      </c>
      <c r="BH220" s="14">
        <f>SUMIFS(BG$4:BG220,AU$4:AU220,"="&amp;AU220,AY$4:AY220,"="&amp;AY220)</f>
        <v>1703</v>
      </c>
      <c r="BI220" s="25" t="s">
        <v>1158</v>
      </c>
      <c r="BJ220" s="14">
        <f t="shared" si="167"/>
        <v>20900</v>
      </c>
      <c r="BK220" s="14">
        <f>SUMIFS(BJ$4:BJ220,$AU$4:$AU220,"="&amp;$AU220,$AY$4:$AY220,"="&amp;$AY220)</f>
        <v>68090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T221" s="13">
        <v>218</v>
      </c>
      <c r="AU221" s="13">
        <f t="shared" si="159"/>
        <v>3</v>
      </c>
      <c r="AV221" s="14">
        <f t="shared" si="160"/>
        <v>200306</v>
      </c>
      <c r="AW221" s="14">
        <f t="shared" si="161"/>
        <v>1102003</v>
      </c>
      <c r="AX221" s="13" t="s">
        <v>1127</v>
      </c>
      <c r="AY221" s="13">
        <f t="shared" si="162"/>
        <v>6</v>
      </c>
      <c r="AZ221" s="13" t="s">
        <v>1148</v>
      </c>
      <c r="BA221" s="14">
        <f t="shared" si="163"/>
        <v>7</v>
      </c>
      <c r="BB221" s="14" t="str">
        <f t="shared" si="164"/>
        <v>典韦魂珠-6 等级-7</v>
      </c>
      <c r="BC221" s="25" t="s">
        <v>1156</v>
      </c>
      <c r="BD221" s="14">
        <f t="shared" si="165"/>
        <v>1380</v>
      </c>
      <c r="BE221" s="14">
        <f>SUMIFS(BD$4:BD221,$AU$4:$AU221,"="&amp;$AU221,$AY$4:$AY221,"="&amp;$AY221)</f>
        <v>5094</v>
      </c>
      <c r="BF221" s="25" t="s">
        <v>1157</v>
      </c>
      <c r="BG221" s="14">
        <f t="shared" si="166"/>
        <v>633</v>
      </c>
      <c r="BH221" s="14">
        <f>SUMIFS(BG$4:BG221,AU$4:AU221,"="&amp;AU221,AY$4:AY221,"="&amp;AY221)</f>
        <v>2336</v>
      </c>
      <c r="BI221" s="25" t="s">
        <v>1158</v>
      </c>
      <c r="BJ221" s="14">
        <f t="shared" si="167"/>
        <v>25300</v>
      </c>
      <c r="BK221" s="14">
        <f>SUMIFS(BJ$4:BJ221,$AU$4:$AU221,"="&amp;$AU221,$AY$4:$AY221,"="&amp;$AY221)</f>
        <v>93390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T222" s="13">
        <v>219</v>
      </c>
      <c r="AU222" s="13">
        <f t="shared" si="159"/>
        <v>3</v>
      </c>
      <c r="AV222" s="14">
        <f t="shared" si="160"/>
        <v>200306</v>
      </c>
      <c r="AW222" s="14">
        <f t="shared" si="161"/>
        <v>1102003</v>
      </c>
      <c r="AX222" s="13" t="s">
        <v>1127</v>
      </c>
      <c r="AY222" s="13">
        <f t="shared" si="162"/>
        <v>6</v>
      </c>
      <c r="AZ222" s="13" t="s">
        <v>1148</v>
      </c>
      <c r="BA222" s="14">
        <f t="shared" si="163"/>
        <v>8</v>
      </c>
      <c r="BB222" s="14" t="str">
        <f t="shared" si="164"/>
        <v>典韦魂珠-6 等级-8</v>
      </c>
      <c r="BC222" s="25" t="s">
        <v>1156</v>
      </c>
      <c r="BD222" s="14">
        <f t="shared" si="165"/>
        <v>1560</v>
      </c>
      <c r="BE222" s="14">
        <f>SUMIFS(BD$4:BD222,$AU$4:$AU222,"="&amp;$AU222,$AY$4:$AY222,"="&amp;$AY222)</f>
        <v>6654</v>
      </c>
      <c r="BF222" s="25" t="s">
        <v>1157</v>
      </c>
      <c r="BG222" s="14">
        <f t="shared" si="166"/>
        <v>715</v>
      </c>
      <c r="BH222" s="14">
        <f>SUMIFS(BG$4:BG222,AU$4:AU222,"="&amp;AU222,AY$4:AY222,"="&amp;AY222)</f>
        <v>3051</v>
      </c>
      <c r="BI222" s="25" t="s">
        <v>1158</v>
      </c>
      <c r="BJ222" s="14">
        <f t="shared" si="167"/>
        <v>28600</v>
      </c>
      <c r="BK222" s="14">
        <f>SUMIFS(BJ$4:BJ222,$AU$4:$AU222,"="&amp;$AU222,$AY$4:$AY222,"="&amp;$AY222)</f>
        <v>121990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T223" s="13">
        <v>220</v>
      </c>
      <c r="AU223" s="13">
        <f t="shared" si="159"/>
        <v>3</v>
      </c>
      <c r="AV223" s="14">
        <f t="shared" si="160"/>
        <v>200306</v>
      </c>
      <c r="AW223" s="14">
        <f t="shared" si="161"/>
        <v>1102003</v>
      </c>
      <c r="AX223" s="13" t="s">
        <v>1127</v>
      </c>
      <c r="AY223" s="13">
        <f t="shared" si="162"/>
        <v>6</v>
      </c>
      <c r="AZ223" s="13" t="s">
        <v>1148</v>
      </c>
      <c r="BA223" s="14">
        <f t="shared" si="163"/>
        <v>9</v>
      </c>
      <c r="BB223" s="14" t="str">
        <f t="shared" si="164"/>
        <v>典韦魂珠-6 等级-9</v>
      </c>
      <c r="BC223" s="25" t="s">
        <v>1156</v>
      </c>
      <c r="BD223" s="14">
        <f t="shared" si="165"/>
        <v>1800</v>
      </c>
      <c r="BE223" s="14">
        <f>SUMIFS(BD$4:BD223,$AU$4:$AU223,"="&amp;$AU223,$AY$4:$AY223,"="&amp;$AY223)</f>
        <v>8454</v>
      </c>
      <c r="BF223" s="25" t="s">
        <v>1157</v>
      </c>
      <c r="BG223" s="14">
        <f t="shared" si="166"/>
        <v>825</v>
      </c>
      <c r="BH223" s="14">
        <f>SUMIFS(BG$4:BG223,AU$4:AU223,"="&amp;AU223,AY$4:AY223,"="&amp;AY223)</f>
        <v>3876</v>
      </c>
      <c r="BI223" s="25" t="s">
        <v>1158</v>
      </c>
      <c r="BJ223" s="14">
        <f t="shared" si="167"/>
        <v>33000</v>
      </c>
      <c r="BK223" s="14">
        <f>SUMIFS(BJ$4:BJ223,$AU$4:$AU223,"="&amp;$AU223,$AY$4:$AY223,"="&amp;$AY223)</f>
        <v>154990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T224" s="13">
        <v>221</v>
      </c>
      <c r="AU224" s="13">
        <f t="shared" si="159"/>
        <v>3</v>
      </c>
      <c r="AV224" s="14">
        <f t="shared" si="160"/>
        <v>200307</v>
      </c>
      <c r="AW224" s="14">
        <f t="shared" si="161"/>
        <v>1102003</v>
      </c>
      <c r="AX224" s="13" t="s">
        <v>1127</v>
      </c>
      <c r="AY224" s="13">
        <f t="shared" si="162"/>
        <v>7</v>
      </c>
      <c r="AZ224" s="13" t="s">
        <v>1148</v>
      </c>
      <c r="BA224" s="14">
        <f t="shared" si="163"/>
        <v>0</v>
      </c>
      <c r="BB224" s="14" t="str">
        <f t="shared" si="164"/>
        <v>典韦魂珠-7 等级-0</v>
      </c>
      <c r="BC224" s="25" t="s">
        <v>1156</v>
      </c>
      <c r="BD224" s="14">
        <f t="shared" si="165"/>
        <v>0</v>
      </c>
      <c r="BE224" s="14">
        <f>SUMIFS(BD$4:BD224,$AU$4:$AU224,"="&amp;$AU224,$AY$4:$AY224,"="&amp;$AY224)</f>
        <v>0</v>
      </c>
      <c r="BF224" s="25" t="s">
        <v>1157</v>
      </c>
      <c r="BG224" s="14">
        <f t="shared" si="166"/>
        <v>0</v>
      </c>
      <c r="BH224" s="14">
        <f>SUMIFS(BG$4:BG224,AU$4:AU224,"="&amp;AU224,AY$4:AY224,"="&amp;AY224)</f>
        <v>0</v>
      </c>
      <c r="BI224" s="25" t="s">
        <v>1158</v>
      </c>
      <c r="BJ224" s="14">
        <f t="shared" si="167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T225" s="13">
        <v>222</v>
      </c>
      <c r="AU225" s="13">
        <f t="shared" si="159"/>
        <v>3</v>
      </c>
      <c r="AV225" s="14">
        <f t="shared" si="160"/>
        <v>200307</v>
      </c>
      <c r="AW225" s="14">
        <f t="shared" si="161"/>
        <v>1102003</v>
      </c>
      <c r="AX225" s="13" t="s">
        <v>1127</v>
      </c>
      <c r="AY225" s="13">
        <f t="shared" si="162"/>
        <v>7</v>
      </c>
      <c r="AZ225" s="13" t="s">
        <v>1148</v>
      </c>
      <c r="BA225" s="14">
        <f t="shared" si="163"/>
        <v>1</v>
      </c>
      <c r="BB225" s="14" t="str">
        <f t="shared" si="164"/>
        <v>典韦魂珠-7 等级-1</v>
      </c>
      <c r="BC225" s="25" t="s">
        <v>1156</v>
      </c>
      <c r="BD225" s="14">
        <f t="shared" si="165"/>
        <v>288</v>
      </c>
      <c r="BE225" s="14">
        <f>SUMIFS(BD$4:BD225,$AU$4:$AU225,"="&amp;$AU225,$AY$4:$AY225,"="&amp;$AY225)</f>
        <v>288</v>
      </c>
      <c r="BF225" s="25" t="s">
        <v>1157</v>
      </c>
      <c r="BG225" s="14">
        <f t="shared" si="166"/>
        <v>132</v>
      </c>
      <c r="BH225" s="14">
        <f>SUMIFS(BG$4:BG225,AU$4:AU225,"="&amp;AU225,AY$4:AY225,"="&amp;AY225)</f>
        <v>132</v>
      </c>
      <c r="BI225" s="25" t="s">
        <v>1158</v>
      </c>
      <c r="BJ225" s="14">
        <f t="shared" si="167"/>
        <v>5280</v>
      </c>
      <c r="BK225" s="14">
        <f>SUMIFS(BJ$4:BJ225,$AU$4:$AU225,"="&amp;$AU225,$AY$4:$AY225,"="&amp;$AY225)</f>
        <v>5280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T226" s="13">
        <v>223</v>
      </c>
      <c r="AU226" s="13">
        <f t="shared" si="159"/>
        <v>3</v>
      </c>
      <c r="AV226" s="14">
        <f t="shared" si="160"/>
        <v>200307</v>
      </c>
      <c r="AW226" s="14">
        <f t="shared" si="161"/>
        <v>1102003</v>
      </c>
      <c r="AX226" s="13" t="s">
        <v>1127</v>
      </c>
      <c r="AY226" s="13">
        <f t="shared" si="162"/>
        <v>7</v>
      </c>
      <c r="AZ226" s="13" t="s">
        <v>1148</v>
      </c>
      <c r="BA226" s="14">
        <f t="shared" si="163"/>
        <v>2</v>
      </c>
      <c r="BB226" s="14" t="str">
        <f t="shared" si="164"/>
        <v>典韦魂珠-7 等级-2</v>
      </c>
      <c r="BC226" s="25" t="s">
        <v>1156</v>
      </c>
      <c r="BD226" s="14">
        <f t="shared" si="165"/>
        <v>432</v>
      </c>
      <c r="BE226" s="14">
        <f>SUMIFS(BD$4:BD226,$AU$4:$AU226,"="&amp;$AU226,$AY$4:$AY226,"="&amp;$AY226)</f>
        <v>720</v>
      </c>
      <c r="BF226" s="25" t="s">
        <v>1157</v>
      </c>
      <c r="BG226" s="14">
        <f t="shared" si="166"/>
        <v>198</v>
      </c>
      <c r="BH226" s="14">
        <f>SUMIFS(BG$4:BG226,AU$4:AU226,"="&amp;AU226,AY$4:AY226,"="&amp;AY226)</f>
        <v>330</v>
      </c>
      <c r="BI226" s="25" t="s">
        <v>1158</v>
      </c>
      <c r="BJ226" s="14">
        <f t="shared" si="167"/>
        <v>7920</v>
      </c>
      <c r="BK226" s="14">
        <f>SUMIFS(BJ$4:BJ226,$AU$4:$AU226,"="&amp;$AU226,$AY$4:$AY226,"="&amp;$AY226)</f>
        <v>13200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T227" s="13">
        <v>224</v>
      </c>
      <c r="AU227" s="13">
        <f t="shared" si="159"/>
        <v>3</v>
      </c>
      <c r="AV227" s="14">
        <f t="shared" si="160"/>
        <v>200307</v>
      </c>
      <c r="AW227" s="14">
        <f t="shared" si="161"/>
        <v>1102003</v>
      </c>
      <c r="AX227" s="13" t="s">
        <v>1127</v>
      </c>
      <c r="AY227" s="13">
        <f t="shared" si="162"/>
        <v>7</v>
      </c>
      <c r="AZ227" s="13" t="s">
        <v>1148</v>
      </c>
      <c r="BA227" s="14">
        <f t="shared" si="163"/>
        <v>3</v>
      </c>
      <c r="BB227" s="14" t="str">
        <f t="shared" si="164"/>
        <v>典韦魂珠-7 等级-3</v>
      </c>
      <c r="BC227" s="25" t="s">
        <v>1156</v>
      </c>
      <c r="BD227" s="14">
        <f t="shared" si="165"/>
        <v>576</v>
      </c>
      <c r="BE227" s="14">
        <f>SUMIFS(BD$4:BD227,$AU$4:$AU227,"="&amp;$AU227,$AY$4:$AY227,"="&amp;$AY227)</f>
        <v>1296</v>
      </c>
      <c r="BF227" s="25" t="s">
        <v>1157</v>
      </c>
      <c r="BG227" s="14">
        <f t="shared" si="166"/>
        <v>264</v>
      </c>
      <c r="BH227" s="14">
        <f>SUMIFS(BG$4:BG227,AU$4:AU227,"="&amp;AU227,AY$4:AY227,"="&amp;AY227)</f>
        <v>594</v>
      </c>
      <c r="BI227" s="25" t="s">
        <v>1158</v>
      </c>
      <c r="BJ227" s="14">
        <f t="shared" si="167"/>
        <v>10560</v>
      </c>
      <c r="BK227" s="14">
        <f>SUMIFS(BJ$4:BJ227,$AU$4:$AU227,"="&amp;$AU227,$AY$4:$AY227,"="&amp;$AY227)</f>
        <v>23760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T228" s="13">
        <v>225</v>
      </c>
      <c r="AU228" s="13">
        <f t="shared" si="159"/>
        <v>3</v>
      </c>
      <c r="AV228" s="14">
        <f t="shared" si="160"/>
        <v>200307</v>
      </c>
      <c r="AW228" s="14">
        <f t="shared" si="161"/>
        <v>1102003</v>
      </c>
      <c r="AX228" s="13" t="s">
        <v>1127</v>
      </c>
      <c r="AY228" s="13">
        <f t="shared" si="162"/>
        <v>7</v>
      </c>
      <c r="AZ228" s="13" t="s">
        <v>1148</v>
      </c>
      <c r="BA228" s="14">
        <f t="shared" si="163"/>
        <v>4</v>
      </c>
      <c r="BB228" s="14" t="str">
        <f t="shared" si="164"/>
        <v>典韦魂珠-7 等级-4</v>
      </c>
      <c r="BC228" s="25" t="s">
        <v>1156</v>
      </c>
      <c r="BD228" s="14">
        <f t="shared" si="165"/>
        <v>864</v>
      </c>
      <c r="BE228" s="14">
        <f>SUMIFS(BD$4:BD228,$AU$4:$AU228,"="&amp;$AU228,$AY$4:$AY228,"="&amp;$AY228)</f>
        <v>2160</v>
      </c>
      <c r="BF228" s="25" t="s">
        <v>1157</v>
      </c>
      <c r="BG228" s="14">
        <f t="shared" si="166"/>
        <v>396</v>
      </c>
      <c r="BH228" s="14">
        <f>SUMIFS(BG$4:BG228,AU$4:AU228,"="&amp;AU228,AY$4:AY228,"="&amp;AY228)</f>
        <v>990</v>
      </c>
      <c r="BI228" s="25" t="s">
        <v>1158</v>
      </c>
      <c r="BJ228" s="14">
        <f t="shared" si="167"/>
        <v>15840</v>
      </c>
      <c r="BK228" s="14">
        <f>SUMIFS(BJ$4:BJ228,$AU$4:$AU228,"="&amp;$AU228,$AY$4:$AY228,"="&amp;$AY228)</f>
        <v>39600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T229" s="13">
        <v>226</v>
      </c>
      <c r="AU229" s="13">
        <f t="shared" si="159"/>
        <v>3</v>
      </c>
      <c r="AV229" s="14">
        <f t="shared" si="160"/>
        <v>200307</v>
      </c>
      <c r="AW229" s="14">
        <f t="shared" si="161"/>
        <v>1102003</v>
      </c>
      <c r="AX229" s="13" t="s">
        <v>1127</v>
      </c>
      <c r="AY229" s="13">
        <f t="shared" si="162"/>
        <v>7</v>
      </c>
      <c r="AZ229" s="13" t="s">
        <v>1148</v>
      </c>
      <c r="BA229" s="14">
        <f t="shared" si="163"/>
        <v>5</v>
      </c>
      <c r="BB229" s="14" t="str">
        <f t="shared" si="164"/>
        <v>典韦魂珠-7 等级-5</v>
      </c>
      <c r="BC229" s="25" t="s">
        <v>1156</v>
      </c>
      <c r="BD229" s="14">
        <f t="shared" si="165"/>
        <v>1152</v>
      </c>
      <c r="BE229" s="14">
        <f>SUMIFS(BD$4:BD229,$AU$4:$AU229,"="&amp;$AU229,$AY$4:$AY229,"="&amp;$AY229)</f>
        <v>3312</v>
      </c>
      <c r="BF229" s="25" t="s">
        <v>1157</v>
      </c>
      <c r="BG229" s="14">
        <f t="shared" si="166"/>
        <v>528</v>
      </c>
      <c r="BH229" s="14">
        <f>SUMIFS(BG$4:BG229,AU$4:AU229,"="&amp;AU229,AY$4:AY229,"="&amp;AY229)</f>
        <v>1518</v>
      </c>
      <c r="BI229" s="25" t="s">
        <v>1158</v>
      </c>
      <c r="BJ229" s="14">
        <f t="shared" si="167"/>
        <v>21120</v>
      </c>
      <c r="BK229" s="14">
        <f>SUMIFS(BJ$4:BJ229,$AU$4:$AU229,"="&amp;$AU229,$AY$4:$AY229,"="&amp;$AY229)</f>
        <v>60720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T230" s="13">
        <v>227</v>
      </c>
      <c r="AU230" s="13">
        <f t="shared" si="159"/>
        <v>3</v>
      </c>
      <c r="AV230" s="14">
        <f t="shared" si="160"/>
        <v>200307</v>
      </c>
      <c r="AW230" s="14">
        <f t="shared" si="161"/>
        <v>1102003</v>
      </c>
      <c r="AX230" s="13" t="s">
        <v>1127</v>
      </c>
      <c r="AY230" s="13">
        <f t="shared" si="162"/>
        <v>7</v>
      </c>
      <c r="AZ230" s="13" t="s">
        <v>1148</v>
      </c>
      <c r="BA230" s="14">
        <f t="shared" si="163"/>
        <v>6</v>
      </c>
      <c r="BB230" s="14" t="str">
        <f t="shared" si="164"/>
        <v>典韦魂珠-7 等级-6</v>
      </c>
      <c r="BC230" s="25" t="s">
        <v>1156</v>
      </c>
      <c r="BD230" s="14">
        <f t="shared" si="165"/>
        <v>1440</v>
      </c>
      <c r="BE230" s="14">
        <f>SUMIFS(BD$4:BD230,$AU$4:$AU230,"="&amp;$AU230,$AY$4:$AY230,"="&amp;$AY230)</f>
        <v>4752</v>
      </c>
      <c r="BF230" s="25" t="s">
        <v>1157</v>
      </c>
      <c r="BG230" s="14">
        <f t="shared" si="166"/>
        <v>660</v>
      </c>
      <c r="BH230" s="14">
        <f>SUMIFS(BG$4:BG230,AU$4:AU230,"="&amp;AU230,AY$4:AY230,"="&amp;AY230)</f>
        <v>2178</v>
      </c>
      <c r="BI230" s="25" t="s">
        <v>1158</v>
      </c>
      <c r="BJ230" s="14">
        <f t="shared" si="167"/>
        <v>26400</v>
      </c>
      <c r="BK230" s="14">
        <f>SUMIFS(BJ$4:BJ230,$AU$4:$AU230,"="&amp;$AU230,$AY$4:$AY230,"="&amp;$AY230)</f>
        <v>87120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T231" s="13">
        <v>228</v>
      </c>
      <c r="AU231" s="13">
        <f t="shared" si="159"/>
        <v>3</v>
      </c>
      <c r="AV231" s="14">
        <f t="shared" si="160"/>
        <v>200307</v>
      </c>
      <c r="AW231" s="14">
        <f t="shared" si="161"/>
        <v>1102003</v>
      </c>
      <c r="AX231" s="13" t="s">
        <v>1127</v>
      </c>
      <c r="AY231" s="13">
        <f t="shared" si="162"/>
        <v>7</v>
      </c>
      <c r="AZ231" s="13" t="s">
        <v>1148</v>
      </c>
      <c r="BA231" s="14">
        <f t="shared" si="163"/>
        <v>7</v>
      </c>
      <c r="BB231" s="14" t="str">
        <f t="shared" si="164"/>
        <v>典韦魂珠-7 等级-7</v>
      </c>
      <c r="BC231" s="25" t="s">
        <v>1156</v>
      </c>
      <c r="BD231" s="14">
        <f t="shared" si="165"/>
        <v>1728</v>
      </c>
      <c r="BE231" s="14">
        <f>SUMIFS(BD$4:BD231,$AU$4:$AU231,"="&amp;$AU231,$AY$4:$AY231,"="&amp;$AY231)</f>
        <v>6480</v>
      </c>
      <c r="BF231" s="25" t="s">
        <v>1157</v>
      </c>
      <c r="BG231" s="14">
        <f t="shared" si="166"/>
        <v>792</v>
      </c>
      <c r="BH231" s="14">
        <f>SUMIFS(BG$4:BG231,AU$4:AU231,"="&amp;AU231,AY$4:AY231,"="&amp;AY231)</f>
        <v>2970</v>
      </c>
      <c r="BI231" s="25" t="s">
        <v>1158</v>
      </c>
      <c r="BJ231" s="14">
        <f t="shared" si="167"/>
        <v>31680</v>
      </c>
      <c r="BK231" s="14">
        <f>SUMIFS(BJ$4:BJ231,$AU$4:$AU231,"="&amp;$AU231,$AY$4:$AY231,"="&amp;$AY231)</f>
        <v>118800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T232" s="13">
        <v>229</v>
      </c>
      <c r="AU232" s="13">
        <f t="shared" si="159"/>
        <v>3</v>
      </c>
      <c r="AV232" s="14">
        <f t="shared" si="160"/>
        <v>200307</v>
      </c>
      <c r="AW232" s="14">
        <f t="shared" si="161"/>
        <v>1102003</v>
      </c>
      <c r="AX232" s="13" t="s">
        <v>1127</v>
      </c>
      <c r="AY232" s="13">
        <f t="shared" si="162"/>
        <v>7</v>
      </c>
      <c r="AZ232" s="13" t="s">
        <v>1148</v>
      </c>
      <c r="BA232" s="14">
        <f t="shared" si="163"/>
        <v>8</v>
      </c>
      <c r="BB232" s="14" t="str">
        <f t="shared" si="164"/>
        <v>典韦魂珠-7 等级-8</v>
      </c>
      <c r="BC232" s="25" t="s">
        <v>1156</v>
      </c>
      <c r="BD232" s="14">
        <f t="shared" si="165"/>
        <v>2016</v>
      </c>
      <c r="BE232" s="14">
        <f>SUMIFS(BD$4:BD232,$AU$4:$AU232,"="&amp;$AU232,$AY$4:$AY232,"="&amp;$AY232)</f>
        <v>8496</v>
      </c>
      <c r="BF232" s="25" t="s">
        <v>1157</v>
      </c>
      <c r="BG232" s="14">
        <f t="shared" si="166"/>
        <v>924</v>
      </c>
      <c r="BH232" s="14">
        <f>SUMIFS(BG$4:BG232,AU$4:AU232,"="&amp;AU232,AY$4:AY232,"="&amp;AY232)</f>
        <v>3894</v>
      </c>
      <c r="BI232" s="25" t="s">
        <v>1158</v>
      </c>
      <c r="BJ232" s="14">
        <f t="shared" si="167"/>
        <v>36960</v>
      </c>
      <c r="BK232" s="14">
        <f>SUMIFS(BJ$4:BJ232,$AU$4:$AU232,"="&amp;$AU232,$AY$4:$AY232,"="&amp;$AY232)</f>
        <v>155760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T233" s="13">
        <v>230</v>
      </c>
      <c r="AU233" s="13">
        <f t="shared" si="159"/>
        <v>3</v>
      </c>
      <c r="AV233" s="14">
        <f t="shared" si="160"/>
        <v>200307</v>
      </c>
      <c r="AW233" s="14">
        <f t="shared" si="161"/>
        <v>1102003</v>
      </c>
      <c r="AX233" s="13" t="s">
        <v>1127</v>
      </c>
      <c r="AY233" s="13">
        <f t="shared" si="162"/>
        <v>7</v>
      </c>
      <c r="AZ233" s="13" t="s">
        <v>1148</v>
      </c>
      <c r="BA233" s="14">
        <f t="shared" si="163"/>
        <v>9</v>
      </c>
      <c r="BB233" s="14" t="str">
        <f t="shared" si="164"/>
        <v>典韦魂珠-7 等级-9</v>
      </c>
      <c r="BC233" s="25" t="s">
        <v>1156</v>
      </c>
      <c r="BD233" s="14">
        <f t="shared" si="165"/>
        <v>2304</v>
      </c>
      <c r="BE233" s="14">
        <f>SUMIFS(BD$4:BD233,$AU$4:$AU233,"="&amp;$AU233,$AY$4:$AY233,"="&amp;$AY233)</f>
        <v>10800</v>
      </c>
      <c r="BF233" s="25" t="s">
        <v>1157</v>
      </c>
      <c r="BG233" s="14">
        <f t="shared" si="166"/>
        <v>1056</v>
      </c>
      <c r="BH233" s="14">
        <f>SUMIFS(BG$4:BG233,AU$4:AU233,"="&amp;AU233,AY$4:AY233,"="&amp;AY233)</f>
        <v>4950</v>
      </c>
      <c r="BI233" s="25" t="s">
        <v>1158</v>
      </c>
      <c r="BJ233" s="14">
        <f t="shared" si="167"/>
        <v>42240</v>
      </c>
      <c r="BK233" s="14">
        <f>SUMIFS(BJ$4:BJ233,$AU$4:$AU233,"="&amp;$AU233,$AY$4:$AY233,"="&amp;$AY233)</f>
        <v>198000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T234" s="13">
        <v>231</v>
      </c>
      <c r="AU234" s="13">
        <f t="shared" si="159"/>
        <v>3</v>
      </c>
      <c r="AV234" s="14">
        <f t="shared" si="160"/>
        <v>200308</v>
      </c>
      <c r="AW234" s="14">
        <f t="shared" si="161"/>
        <v>1102003</v>
      </c>
      <c r="AX234" s="13" t="s">
        <v>1127</v>
      </c>
      <c r="AY234" s="13">
        <f t="shared" si="162"/>
        <v>8</v>
      </c>
      <c r="AZ234" s="13" t="s">
        <v>1148</v>
      </c>
      <c r="BA234" s="14">
        <f t="shared" si="163"/>
        <v>0</v>
      </c>
      <c r="BB234" s="14" t="str">
        <f t="shared" si="164"/>
        <v>典韦魂珠-8 等级-0</v>
      </c>
      <c r="BC234" s="25" t="s">
        <v>1156</v>
      </c>
      <c r="BD234" s="14">
        <f t="shared" si="165"/>
        <v>0</v>
      </c>
      <c r="BE234" s="14">
        <f>SUMIFS(BD$4:BD234,$AU$4:$AU234,"="&amp;$AU234,$AY$4:$AY234,"="&amp;$AY234)</f>
        <v>0</v>
      </c>
      <c r="BF234" s="25" t="s">
        <v>1157</v>
      </c>
      <c r="BG234" s="14">
        <f t="shared" si="166"/>
        <v>0</v>
      </c>
      <c r="BH234" s="14">
        <f>SUMIFS(BG$4:BG234,AU$4:AU234,"="&amp;AU234,AY$4:AY234,"="&amp;AY234)</f>
        <v>0</v>
      </c>
      <c r="BI234" s="25" t="s">
        <v>1158</v>
      </c>
      <c r="BJ234" s="14">
        <f t="shared" si="167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T235" s="13">
        <v>232</v>
      </c>
      <c r="AU235" s="13">
        <f t="shared" si="159"/>
        <v>3</v>
      </c>
      <c r="AV235" s="14">
        <f t="shared" si="160"/>
        <v>200308</v>
      </c>
      <c r="AW235" s="14">
        <f t="shared" si="161"/>
        <v>1102003</v>
      </c>
      <c r="AX235" s="13" t="s">
        <v>1127</v>
      </c>
      <c r="AY235" s="13">
        <f t="shared" si="162"/>
        <v>8</v>
      </c>
      <c r="AZ235" s="13" t="s">
        <v>1148</v>
      </c>
      <c r="BA235" s="14">
        <f t="shared" si="163"/>
        <v>1</v>
      </c>
      <c r="BB235" s="14" t="str">
        <f t="shared" si="164"/>
        <v>典韦魂珠-8 等级-1</v>
      </c>
      <c r="BC235" s="25" t="s">
        <v>1156</v>
      </c>
      <c r="BD235" s="14">
        <f t="shared" si="165"/>
        <v>384</v>
      </c>
      <c r="BE235" s="14">
        <f>SUMIFS(BD$4:BD235,$AU$4:$AU235,"="&amp;$AU235,$AY$4:$AY235,"="&amp;$AY235)</f>
        <v>384</v>
      </c>
      <c r="BF235" s="25" t="s">
        <v>1157</v>
      </c>
      <c r="BG235" s="14">
        <f t="shared" si="166"/>
        <v>176</v>
      </c>
      <c r="BH235" s="14">
        <f>SUMIFS(BG$4:BG235,AU$4:AU235,"="&amp;AU235,AY$4:AY235,"="&amp;AY235)</f>
        <v>176</v>
      </c>
      <c r="BI235" s="25" t="s">
        <v>1158</v>
      </c>
      <c r="BJ235" s="14">
        <f t="shared" si="167"/>
        <v>7040</v>
      </c>
      <c r="BK235" s="14">
        <f>SUMIFS(BJ$4:BJ235,$AU$4:$AU235,"="&amp;$AU235,$AY$4:$AY235,"="&amp;$AY235)</f>
        <v>7040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T236" s="13">
        <v>233</v>
      </c>
      <c r="AU236" s="13">
        <f t="shared" si="159"/>
        <v>3</v>
      </c>
      <c r="AV236" s="14">
        <f t="shared" si="160"/>
        <v>200308</v>
      </c>
      <c r="AW236" s="14">
        <f t="shared" si="161"/>
        <v>1102003</v>
      </c>
      <c r="AX236" s="13" t="s">
        <v>1127</v>
      </c>
      <c r="AY236" s="13">
        <f t="shared" si="162"/>
        <v>8</v>
      </c>
      <c r="AZ236" s="13" t="s">
        <v>1148</v>
      </c>
      <c r="BA236" s="14">
        <f t="shared" si="163"/>
        <v>2</v>
      </c>
      <c r="BB236" s="14" t="str">
        <f t="shared" si="164"/>
        <v>典韦魂珠-8 等级-2</v>
      </c>
      <c r="BC236" s="25" t="s">
        <v>1156</v>
      </c>
      <c r="BD236" s="14">
        <f t="shared" si="165"/>
        <v>576</v>
      </c>
      <c r="BE236" s="14">
        <f>SUMIFS(BD$4:BD236,$AU$4:$AU236,"="&amp;$AU236,$AY$4:$AY236,"="&amp;$AY236)</f>
        <v>960</v>
      </c>
      <c r="BF236" s="25" t="s">
        <v>1157</v>
      </c>
      <c r="BG236" s="14">
        <f t="shared" si="166"/>
        <v>264</v>
      </c>
      <c r="BH236" s="14">
        <f>SUMIFS(BG$4:BG236,AU$4:AU236,"="&amp;AU236,AY$4:AY236,"="&amp;AY236)</f>
        <v>440</v>
      </c>
      <c r="BI236" s="25" t="s">
        <v>1158</v>
      </c>
      <c r="BJ236" s="14">
        <f t="shared" si="167"/>
        <v>10560</v>
      </c>
      <c r="BK236" s="14">
        <f>SUMIFS(BJ$4:BJ236,$AU$4:$AU236,"="&amp;$AU236,$AY$4:$AY236,"="&amp;$AY236)</f>
        <v>17600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T237" s="13">
        <v>234</v>
      </c>
      <c r="AU237" s="13">
        <f t="shared" si="159"/>
        <v>3</v>
      </c>
      <c r="AV237" s="14">
        <f t="shared" si="160"/>
        <v>200308</v>
      </c>
      <c r="AW237" s="14">
        <f t="shared" si="161"/>
        <v>1102003</v>
      </c>
      <c r="AX237" s="13" t="s">
        <v>1127</v>
      </c>
      <c r="AY237" s="13">
        <f t="shared" si="162"/>
        <v>8</v>
      </c>
      <c r="AZ237" s="13" t="s">
        <v>1148</v>
      </c>
      <c r="BA237" s="14">
        <f t="shared" si="163"/>
        <v>3</v>
      </c>
      <c r="BB237" s="14" t="str">
        <f t="shared" si="164"/>
        <v>典韦魂珠-8 等级-3</v>
      </c>
      <c r="BC237" s="25" t="s">
        <v>1156</v>
      </c>
      <c r="BD237" s="14">
        <f t="shared" si="165"/>
        <v>768</v>
      </c>
      <c r="BE237" s="14">
        <f>SUMIFS(BD$4:BD237,$AU$4:$AU237,"="&amp;$AU237,$AY$4:$AY237,"="&amp;$AY237)</f>
        <v>1728</v>
      </c>
      <c r="BF237" s="25" t="s">
        <v>1157</v>
      </c>
      <c r="BG237" s="14">
        <f t="shared" si="166"/>
        <v>352</v>
      </c>
      <c r="BH237" s="14">
        <f>SUMIFS(BG$4:BG237,AU$4:AU237,"="&amp;AU237,AY$4:AY237,"="&amp;AY237)</f>
        <v>792</v>
      </c>
      <c r="BI237" s="25" t="s">
        <v>1158</v>
      </c>
      <c r="BJ237" s="14">
        <f t="shared" si="167"/>
        <v>14080</v>
      </c>
      <c r="BK237" s="14">
        <f>SUMIFS(BJ$4:BJ237,$AU$4:$AU237,"="&amp;$AU237,$AY$4:$AY237,"="&amp;$AY237)</f>
        <v>31680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T238" s="13">
        <v>235</v>
      </c>
      <c r="AU238" s="13">
        <f t="shared" si="159"/>
        <v>3</v>
      </c>
      <c r="AV238" s="14">
        <f t="shared" si="160"/>
        <v>200308</v>
      </c>
      <c r="AW238" s="14">
        <f t="shared" si="161"/>
        <v>1102003</v>
      </c>
      <c r="AX238" s="13" t="s">
        <v>1127</v>
      </c>
      <c r="AY238" s="13">
        <f t="shared" si="162"/>
        <v>8</v>
      </c>
      <c r="AZ238" s="13" t="s">
        <v>1148</v>
      </c>
      <c r="BA238" s="14">
        <f t="shared" si="163"/>
        <v>4</v>
      </c>
      <c r="BB238" s="14" t="str">
        <f t="shared" si="164"/>
        <v>典韦魂珠-8 等级-4</v>
      </c>
      <c r="BC238" s="25" t="s">
        <v>1156</v>
      </c>
      <c r="BD238" s="14">
        <f t="shared" si="165"/>
        <v>1152</v>
      </c>
      <c r="BE238" s="14">
        <f>SUMIFS(BD$4:BD238,$AU$4:$AU238,"="&amp;$AU238,$AY$4:$AY238,"="&amp;$AY238)</f>
        <v>2880</v>
      </c>
      <c r="BF238" s="25" t="s">
        <v>1157</v>
      </c>
      <c r="BG238" s="14">
        <f t="shared" si="166"/>
        <v>528</v>
      </c>
      <c r="BH238" s="14">
        <f>SUMIFS(BG$4:BG238,AU$4:AU238,"="&amp;AU238,AY$4:AY238,"="&amp;AY238)</f>
        <v>1320</v>
      </c>
      <c r="BI238" s="25" t="s">
        <v>1158</v>
      </c>
      <c r="BJ238" s="14">
        <f t="shared" si="167"/>
        <v>21120</v>
      </c>
      <c r="BK238" s="14">
        <f>SUMIFS(BJ$4:BJ238,$AU$4:$AU238,"="&amp;$AU238,$AY$4:$AY238,"="&amp;$AY238)</f>
        <v>52800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T239" s="13">
        <v>236</v>
      </c>
      <c r="AU239" s="13">
        <f t="shared" si="159"/>
        <v>3</v>
      </c>
      <c r="AV239" s="14">
        <f t="shared" si="160"/>
        <v>200308</v>
      </c>
      <c r="AW239" s="14">
        <f t="shared" si="161"/>
        <v>1102003</v>
      </c>
      <c r="AX239" s="13" t="s">
        <v>1127</v>
      </c>
      <c r="AY239" s="13">
        <f t="shared" si="162"/>
        <v>8</v>
      </c>
      <c r="AZ239" s="13" t="s">
        <v>1148</v>
      </c>
      <c r="BA239" s="14">
        <f t="shared" si="163"/>
        <v>5</v>
      </c>
      <c r="BB239" s="14" t="str">
        <f t="shared" si="164"/>
        <v>典韦魂珠-8 等级-5</v>
      </c>
      <c r="BC239" s="25" t="s">
        <v>1156</v>
      </c>
      <c r="BD239" s="14">
        <f t="shared" si="165"/>
        <v>1536</v>
      </c>
      <c r="BE239" s="14">
        <f>SUMIFS(BD$4:BD239,$AU$4:$AU239,"="&amp;$AU239,$AY$4:$AY239,"="&amp;$AY239)</f>
        <v>4416</v>
      </c>
      <c r="BF239" s="25" t="s">
        <v>1157</v>
      </c>
      <c r="BG239" s="14">
        <f t="shared" si="166"/>
        <v>704</v>
      </c>
      <c r="BH239" s="14">
        <f>SUMIFS(BG$4:BG239,AU$4:AU239,"="&amp;AU239,AY$4:AY239,"="&amp;AY239)</f>
        <v>2024</v>
      </c>
      <c r="BI239" s="25" t="s">
        <v>1158</v>
      </c>
      <c r="BJ239" s="14">
        <f t="shared" si="167"/>
        <v>28160</v>
      </c>
      <c r="BK239" s="14">
        <f>SUMIFS(BJ$4:BJ239,$AU$4:$AU239,"="&amp;$AU239,$AY$4:$AY239,"="&amp;$AY239)</f>
        <v>80960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T240" s="13">
        <v>237</v>
      </c>
      <c r="AU240" s="13">
        <f t="shared" si="159"/>
        <v>3</v>
      </c>
      <c r="AV240" s="14">
        <f t="shared" si="160"/>
        <v>200308</v>
      </c>
      <c r="AW240" s="14">
        <f t="shared" si="161"/>
        <v>1102003</v>
      </c>
      <c r="AX240" s="13" t="s">
        <v>1127</v>
      </c>
      <c r="AY240" s="13">
        <f t="shared" si="162"/>
        <v>8</v>
      </c>
      <c r="AZ240" s="13" t="s">
        <v>1148</v>
      </c>
      <c r="BA240" s="14">
        <f t="shared" si="163"/>
        <v>6</v>
      </c>
      <c r="BB240" s="14" t="str">
        <f t="shared" si="164"/>
        <v>典韦魂珠-8 等级-6</v>
      </c>
      <c r="BC240" s="25" t="s">
        <v>1156</v>
      </c>
      <c r="BD240" s="14">
        <f t="shared" si="165"/>
        <v>1920</v>
      </c>
      <c r="BE240" s="14">
        <f>SUMIFS(BD$4:BD240,$AU$4:$AU240,"="&amp;$AU240,$AY$4:$AY240,"="&amp;$AY240)</f>
        <v>6336</v>
      </c>
      <c r="BF240" s="25" t="s">
        <v>1157</v>
      </c>
      <c r="BG240" s="14">
        <f t="shared" si="166"/>
        <v>880</v>
      </c>
      <c r="BH240" s="14">
        <f>SUMIFS(BG$4:BG240,AU$4:AU240,"="&amp;AU240,AY$4:AY240,"="&amp;AY240)</f>
        <v>2904</v>
      </c>
      <c r="BI240" s="25" t="s">
        <v>1158</v>
      </c>
      <c r="BJ240" s="14">
        <f t="shared" si="167"/>
        <v>35200</v>
      </c>
      <c r="BK240" s="14">
        <f>SUMIFS(BJ$4:BJ240,$AU$4:$AU240,"="&amp;$AU240,$AY$4:$AY240,"="&amp;$AY240)</f>
        <v>116160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T241" s="13">
        <v>238</v>
      </c>
      <c r="AU241" s="13">
        <f t="shared" si="159"/>
        <v>3</v>
      </c>
      <c r="AV241" s="14">
        <f t="shared" si="160"/>
        <v>200308</v>
      </c>
      <c r="AW241" s="14">
        <f t="shared" si="161"/>
        <v>1102003</v>
      </c>
      <c r="AX241" s="13" t="s">
        <v>1127</v>
      </c>
      <c r="AY241" s="13">
        <f t="shared" si="162"/>
        <v>8</v>
      </c>
      <c r="AZ241" s="13" t="s">
        <v>1148</v>
      </c>
      <c r="BA241" s="14">
        <f t="shared" si="163"/>
        <v>7</v>
      </c>
      <c r="BB241" s="14" t="str">
        <f t="shared" si="164"/>
        <v>典韦魂珠-8 等级-7</v>
      </c>
      <c r="BC241" s="25" t="s">
        <v>1156</v>
      </c>
      <c r="BD241" s="14">
        <f t="shared" si="165"/>
        <v>2304</v>
      </c>
      <c r="BE241" s="14">
        <f>SUMIFS(BD$4:BD241,$AU$4:$AU241,"="&amp;$AU241,$AY$4:$AY241,"="&amp;$AY241)</f>
        <v>8640</v>
      </c>
      <c r="BF241" s="25" t="s">
        <v>1157</v>
      </c>
      <c r="BG241" s="14">
        <f t="shared" si="166"/>
        <v>1056</v>
      </c>
      <c r="BH241" s="14">
        <f>SUMIFS(BG$4:BG241,AU$4:AU241,"="&amp;AU241,AY$4:AY241,"="&amp;AY241)</f>
        <v>3960</v>
      </c>
      <c r="BI241" s="25" t="s">
        <v>1158</v>
      </c>
      <c r="BJ241" s="14">
        <f t="shared" si="167"/>
        <v>42240</v>
      </c>
      <c r="BK241" s="14">
        <f>SUMIFS(BJ$4:BJ241,$AU$4:$AU241,"="&amp;$AU241,$AY$4:$AY241,"="&amp;$AY241)</f>
        <v>158400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T242" s="13">
        <v>239</v>
      </c>
      <c r="AU242" s="13">
        <f t="shared" si="159"/>
        <v>3</v>
      </c>
      <c r="AV242" s="14">
        <f t="shared" si="160"/>
        <v>200308</v>
      </c>
      <c r="AW242" s="14">
        <f t="shared" si="161"/>
        <v>1102003</v>
      </c>
      <c r="AX242" s="13" t="s">
        <v>1127</v>
      </c>
      <c r="AY242" s="13">
        <f t="shared" si="162"/>
        <v>8</v>
      </c>
      <c r="AZ242" s="13" t="s">
        <v>1148</v>
      </c>
      <c r="BA242" s="14">
        <f t="shared" si="163"/>
        <v>8</v>
      </c>
      <c r="BB242" s="14" t="str">
        <f t="shared" si="164"/>
        <v>典韦魂珠-8 等级-8</v>
      </c>
      <c r="BC242" s="25" t="s">
        <v>1156</v>
      </c>
      <c r="BD242" s="14">
        <f t="shared" si="165"/>
        <v>2688</v>
      </c>
      <c r="BE242" s="14">
        <f>SUMIFS(BD$4:BD242,$AU$4:$AU242,"="&amp;$AU242,$AY$4:$AY242,"="&amp;$AY242)</f>
        <v>11328</v>
      </c>
      <c r="BF242" s="25" t="s">
        <v>1157</v>
      </c>
      <c r="BG242" s="14">
        <f t="shared" si="166"/>
        <v>1232</v>
      </c>
      <c r="BH242" s="14">
        <f>SUMIFS(BG$4:BG242,AU$4:AU242,"="&amp;AU242,AY$4:AY242,"="&amp;AY242)</f>
        <v>5192</v>
      </c>
      <c r="BI242" s="25" t="s">
        <v>1158</v>
      </c>
      <c r="BJ242" s="14">
        <f t="shared" si="167"/>
        <v>49280</v>
      </c>
      <c r="BK242" s="14">
        <f>SUMIFS(BJ$4:BJ242,$AU$4:$AU242,"="&amp;$AU242,$AY$4:$AY242,"="&amp;$AY242)</f>
        <v>207680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T243" s="13">
        <v>240</v>
      </c>
      <c r="AU243" s="13">
        <f t="shared" si="159"/>
        <v>3</v>
      </c>
      <c r="AV243" s="14">
        <f t="shared" si="160"/>
        <v>200308</v>
      </c>
      <c r="AW243" s="14">
        <f t="shared" si="161"/>
        <v>1102003</v>
      </c>
      <c r="AX243" s="13" t="s">
        <v>1127</v>
      </c>
      <c r="AY243" s="13">
        <f t="shared" si="162"/>
        <v>8</v>
      </c>
      <c r="AZ243" s="13" t="s">
        <v>1148</v>
      </c>
      <c r="BA243" s="14">
        <f t="shared" si="163"/>
        <v>9</v>
      </c>
      <c r="BB243" s="14" t="str">
        <f t="shared" si="164"/>
        <v>典韦魂珠-8 等级-9</v>
      </c>
      <c r="BC243" s="25" t="s">
        <v>1156</v>
      </c>
      <c r="BD243" s="14">
        <f t="shared" si="165"/>
        <v>3072</v>
      </c>
      <c r="BE243" s="14">
        <f>SUMIFS(BD$4:BD243,$AU$4:$AU243,"="&amp;$AU243,$AY$4:$AY243,"="&amp;$AY243)</f>
        <v>14400</v>
      </c>
      <c r="BF243" s="25" t="s">
        <v>1157</v>
      </c>
      <c r="BG243" s="14">
        <f t="shared" si="166"/>
        <v>1408</v>
      </c>
      <c r="BH243" s="14">
        <f>SUMIFS(BG$4:BG243,AU$4:AU243,"="&amp;AU243,AY$4:AY243,"="&amp;AY243)</f>
        <v>6600</v>
      </c>
      <c r="BI243" s="25" t="s">
        <v>1158</v>
      </c>
      <c r="BJ243" s="14">
        <f t="shared" si="167"/>
        <v>56320</v>
      </c>
      <c r="BK243" s="14">
        <f>SUMIFS(BJ$4:BJ243,$AU$4:$AU243,"="&amp;$AU243,$AY$4:$AY243,"="&amp;$AY243)</f>
        <v>264000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T244" s="13">
        <v>241</v>
      </c>
      <c r="AU244" s="13">
        <f t="shared" si="159"/>
        <v>4</v>
      </c>
      <c r="AV244" s="14">
        <f t="shared" si="160"/>
        <v>200501</v>
      </c>
      <c r="AW244" s="14">
        <f t="shared" si="161"/>
        <v>1102005</v>
      </c>
      <c r="AX244" s="13" t="s">
        <v>1127</v>
      </c>
      <c r="AY244" s="13">
        <f t="shared" si="162"/>
        <v>1</v>
      </c>
      <c r="AZ244" s="13" t="s">
        <v>1148</v>
      </c>
      <c r="BA244" s="14">
        <f t="shared" si="163"/>
        <v>0</v>
      </c>
      <c r="BB244" s="14" t="str">
        <f t="shared" si="164"/>
        <v>李轩辕魂珠-1 等级-0</v>
      </c>
      <c r="BC244" s="25" t="s">
        <v>1156</v>
      </c>
      <c r="BD244" s="14">
        <f t="shared" si="165"/>
        <v>0</v>
      </c>
      <c r="BE244" s="14">
        <f>SUMIFS(BD$4:BD244,$AU$4:$AU244,"="&amp;$AU244,$AY$4:$AY244,"="&amp;$AY244)</f>
        <v>0</v>
      </c>
      <c r="BF244" s="25" t="s">
        <v>1157</v>
      </c>
      <c r="BG244" s="14">
        <f t="shared" si="166"/>
        <v>0</v>
      </c>
      <c r="BH244" s="14">
        <f>SUMIFS(BG$4:BG244,AU$4:AU244,"="&amp;AU244,AY$4:AY244,"="&amp;AY244)</f>
        <v>0</v>
      </c>
      <c r="BI244" s="25" t="s">
        <v>1158</v>
      </c>
      <c r="BJ244" s="14">
        <f t="shared" si="167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T245" s="13">
        <v>242</v>
      </c>
      <c r="AU245" s="13">
        <f t="shared" si="159"/>
        <v>4</v>
      </c>
      <c r="AV245" s="14">
        <f t="shared" si="160"/>
        <v>200501</v>
      </c>
      <c r="AW245" s="14">
        <f t="shared" si="161"/>
        <v>1102005</v>
      </c>
      <c r="AX245" s="13" t="s">
        <v>1127</v>
      </c>
      <c r="AY245" s="13">
        <f t="shared" si="162"/>
        <v>1</v>
      </c>
      <c r="AZ245" s="13" t="s">
        <v>1148</v>
      </c>
      <c r="BA245" s="14">
        <f t="shared" si="163"/>
        <v>1</v>
      </c>
      <c r="BB245" s="14" t="str">
        <f t="shared" si="164"/>
        <v>李轩辕魂珠-1 等级-1</v>
      </c>
      <c r="BC245" s="25" t="s">
        <v>1156</v>
      </c>
      <c r="BD245" s="14">
        <f t="shared" si="165"/>
        <v>36</v>
      </c>
      <c r="BE245" s="14">
        <f>SUMIFS(BD$4:BD245,$AU$4:$AU245,"="&amp;$AU245,$AY$4:$AY245,"="&amp;$AY245)</f>
        <v>36</v>
      </c>
      <c r="BF245" s="25" t="s">
        <v>1157</v>
      </c>
      <c r="BG245" s="14">
        <f t="shared" si="166"/>
        <v>20</v>
      </c>
      <c r="BH245" s="14">
        <f>SUMIFS(BG$4:BG245,AU$4:AU245,"="&amp;AU245,AY$4:AY245,"="&amp;AY245)</f>
        <v>20</v>
      </c>
      <c r="BI245" s="25" t="s">
        <v>1158</v>
      </c>
      <c r="BJ245" s="14">
        <f t="shared" si="167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T246" s="13">
        <v>243</v>
      </c>
      <c r="AU246" s="13">
        <f t="shared" si="159"/>
        <v>4</v>
      </c>
      <c r="AV246" s="14">
        <f t="shared" si="160"/>
        <v>200501</v>
      </c>
      <c r="AW246" s="14">
        <f t="shared" si="161"/>
        <v>1102005</v>
      </c>
      <c r="AX246" s="13" t="s">
        <v>1127</v>
      </c>
      <c r="AY246" s="13">
        <f t="shared" si="162"/>
        <v>1</v>
      </c>
      <c r="AZ246" s="13" t="s">
        <v>1148</v>
      </c>
      <c r="BA246" s="14">
        <f t="shared" si="163"/>
        <v>2</v>
      </c>
      <c r="BB246" s="14" t="str">
        <f t="shared" si="164"/>
        <v>李轩辕魂珠-1 等级-2</v>
      </c>
      <c r="BC246" s="25" t="s">
        <v>1156</v>
      </c>
      <c r="BD246" s="14">
        <f t="shared" si="165"/>
        <v>54</v>
      </c>
      <c r="BE246" s="14">
        <f>SUMIFS(BD$4:BD246,$AU$4:$AU246,"="&amp;$AU246,$AY$4:$AY246,"="&amp;$AY246)</f>
        <v>90</v>
      </c>
      <c r="BF246" s="25" t="s">
        <v>1157</v>
      </c>
      <c r="BG246" s="14">
        <f t="shared" si="166"/>
        <v>30</v>
      </c>
      <c r="BH246" s="14">
        <f>SUMIFS(BG$4:BG246,AU$4:AU246,"="&amp;AU246,AY$4:AY246,"="&amp;AY246)</f>
        <v>50</v>
      </c>
      <c r="BI246" s="25" t="s">
        <v>1158</v>
      </c>
      <c r="BJ246" s="14">
        <f t="shared" si="167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T247" s="13">
        <v>244</v>
      </c>
      <c r="AU247" s="13">
        <f t="shared" si="159"/>
        <v>4</v>
      </c>
      <c r="AV247" s="14">
        <f t="shared" si="160"/>
        <v>200501</v>
      </c>
      <c r="AW247" s="14">
        <f t="shared" si="161"/>
        <v>1102005</v>
      </c>
      <c r="AX247" s="13" t="s">
        <v>1127</v>
      </c>
      <c r="AY247" s="13">
        <f t="shared" si="162"/>
        <v>1</v>
      </c>
      <c r="AZ247" s="13" t="s">
        <v>1148</v>
      </c>
      <c r="BA247" s="14">
        <f t="shared" si="163"/>
        <v>3</v>
      </c>
      <c r="BB247" s="14" t="str">
        <f t="shared" si="164"/>
        <v>李轩辕魂珠-1 等级-3</v>
      </c>
      <c r="BC247" s="25" t="s">
        <v>1156</v>
      </c>
      <c r="BD247" s="14">
        <f t="shared" si="165"/>
        <v>72</v>
      </c>
      <c r="BE247" s="14">
        <f>SUMIFS(BD$4:BD247,$AU$4:$AU247,"="&amp;$AU247,$AY$4:$AY247,"="&amp;$AY247)</f>
        <v>162</v>
      </c>
      <c r="BF247" s="25" t="s">
        <v>1157</v>
      </c>
      <c r="BG247" s="14">
        <f t="shared" si="166"/>
        <v>40</v>
      </c>
      <c r="BH247" s="14">
        <f>SUMIFS(BG$4:BG247,AU$4:AU247,"="&amp;AU247,AY$4:AY247,"="&amp;AY247)</f>
        <v>90</v>
      </c>
      <c r="BI247" s="25" t="s">
        <v>1158</v>
      </c>
      <c r="BJ247" s="14">
        <f t="shared" si="167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T248" s="13">
        <v>245</v>
      </c>
      <c r="AU248" s="13">
        <f t="shared" si="159"/>
        <v>4</v>
      </c>
      <c r="AV248" s="14">
        <f t="shared" si="160"/>
        <v>200501</v>
      </c>
      <c r="AW248" s="14">
        <f t="shared" si="161"/>
        <v>1102005</v>
      </c>
      <c r="AX248" s="13" t="s">
        <v>1127</v>
      </c>
      <c r="AY248" s="13">
        <f t="shared" si="162"/>
        <v>1</v>
      </c>
      <c r="AZ248" s="13" t="s">
        <v>1148</v>
      </c>
      <c r="BA248" s="14">
        <f t="shared" si="163"/>
        <v>4</v>
      </c>
      <c r="BB248" s="14" t="str">
        <f t="shared" si="164"/>
        <v>李轩辕魂珠-1 等级-4</v>
      </c>
      <c r="BC248" s="25" t="s">
        <v>1156</v>
      </c>
      <c r="BD248" s="14">
        <f t="shared" si="165"/>
        <v>108</v>
      </c>
      <c r="BE248" s="14">
        <f>SUMIFS(BD$4:BD248,$AU$4:$AU248,"="&amp;$AU248,$AY$4:$AY248,"="&amp;$AY248)</f>
        <v>270</v>
      </c>
      <c r="BF248" s="25" t="s">
        <v>1157</v>
      </c>
      <c r="BG248" s="14">
        <f t="shared" si="166"/>
        <v>60</v>
      </c>
      <c r="BH248" s="14">
        <f>SUMIFS(BG$4:BG248,AU$4:AU248,"="&amp;AU248,AY$4:AY248,"="&amp;AY248)</f>
        <v>150</v>
      </c>
      <c r="BI248" s="25" t="s">
        <v>1158</v>
      </c>
      <c r="BJ248" s="14">
        <f t="shared" si="167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T249" s="13">
        <v>246</v>
      </c>
      <c r="AU249" s="13">
        <f t="shared" si="159"/>
        <v>4</v>
      </c>
      <c r="AV249" s="14">
        <f t="shared" si="160"/>
        <v>200501</v>
      </c>
      <c r="AW249" s="14">
        <f t="shared" si="161"/>
        <v>1102005</v>
      </c>
      <c r="AX249" s="13" t="s">
        <v>1127</v>
      </c>
      <c r="AY249" s="13">
        <f t="shared" si="162"/>
        <v>1</v>
      </c>
      <c r="AZ249" s="13" t="s">
        <v>1148</v>
      </c>
      <c r="BA249" s="14">
        <f t="shared" si="163"/>
        <v>5</v>
      </c>
      <c r="BB249" s="14" t="str">
        <f t="shared" si="164"/>
        <v>李轩辕魂珠-1 等级-5</v>
      </c>
      <c r="BC249" s="25" t="s">
        <v>1156</v>
      </c>
      <c r="BD249" s="14">
        <f t="shared" si="165"/>
        <v>144</v>
      </c>
      <c r="BE249" s="14">
        <f>SUMIFS(BD$4:BD249,$AU$4:$AU249,"="&amp;$AU249,$AY$4:$AY249,"="&amp;$AY249)</f>
        <v>414</v>
      </c>
      <c r="BF249" s="25" t="s">
        <v>1157</v>
      </c>
      <c r="BG249" s="14">
        <f t="shared" si="166"/>
        <v>80</v>
      </c>
      <c r="BH249" s="14">
        <f>SUMIFS(BG$4:BG249,AU$4:AU249,"="&amp;AU249,AY$4:AY249,"="&amp;AY249)</f>
        <v>230</v>
      </c>
      <c r="BI249" s="25" t="s">
        <v>1158</v>
      </c>
      <c r="BJ249" s="14">
        <f t="shared" si="167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T250" s="13">
        <v>247</v>
      </c>
      <c r="AU250" s="13">
        <f t="shared" si="159"/>
        <v>4</v>
      </c>
      <c r="AV250" s="14">
        <f t="shared" si="160"/>
        <v>200501</v>
      </c>
      <c r="AW250" s="14">
        <f t="shared" si="161"/>
        <v>1102005</v>
      </c>
      <c r="AX250" s="13" t="s">
        <v>1127</v>
      </c>
      <c r="AY250" s="13">
        <f t="shared" si="162"/>
        <v>1</v>
      </c>
      <c r="AZ250" s="13" t="s">
        <v>1148</v>
      </c>
      <c r="BA250" s="14">
        <f t="shared" si="163"/>
        <v>6</v>
      </c>
      <c r="BB250" s="14" t="str">
        <f t="shared" si="164"/>
        <v>李轩辕魂珠-1 等级-6</v>
      </c>
      <c r="BC250" s="25" t="s">
        <v>1156</v>
      </c>
      <c r="BD250" s="14">
        <f t="shared" si="165"/>
        <v>180</v>
      </c>
      <c r="BE250" s="14">
        <f>SUMIFS(BD$4:BD250,$AU$4:$AU250,"="&amp;$AU250,$AY$4:$AY250,"="&amp;$AY250)</f>
        <v>594</v>
      </c>
      <c r="BF250" s="25" t="s">
        <v>1157</v>
      </c>
      <c r="BG250" s="14">
        <f t="shared" si="166"/>
        <v>100</v>
      </c>
      <c r="BH250" s="14">
        <f>SUMIFS(BG$4:BG250,AU$4:AU250,"="&amp;AU250,AY$4:AY250,"="&amp;AY250)</f>
        <v>330</v>
      </c>
      <c r="BI250" s="25" t="s">
        <v>1158</v>
      </c>
      <c r="BJ250" s="14">
        <f t="shared" si="167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T251" s="13">
        <v>248</v>
      </c>
      <c r="AU251" s="13">
        <f t="shared" si="159"/>
        <v>4</v>
      </c>
      <c r="AV251" s="14">
        <f t="shared" si="160"/>
        <v>200501</v>
      </c>
      <c r="AW251" s="14">
        <f t="shared" si="161"/>
        <v>1102005</v>
      </c>
      <c r="AX251" s="13" t="s">
        <v>1127</v>
      </c>
      <c r="AY251" s="13">
        <f t="shared" si="162"/>
        <v>1</v>
      </c>
      <c r="AZ251" s="13" t="s">
        <v>1148</v>
      </c>
      <c r="BA251" s="14">
        <f t="shared" si="163"/>
        <v>7</v>
      </c>
      <c r="BB251" s="14" t="str">
        <f t="shared" si="164"/>
        <v>李轩辕魂珠-1 等级-7</v>
      </c>
      <c r="BC251" s="25" t="s">
        <v>1156</v>
      </c>
      <c r="BD251" s="14">
        <f t="shared" si="165"/>
        <v>216</v>
      </c>
      <c r="BE251" s="14">
        <f>SUMIFS(BD$4:BD251,$AU$4:$AU251,"="&amp;$AU251,$AY$4:$AY251,"="&amp;$AY251)</f>
        <v>810</v>
      </c>
      <c r="BF251" s="25" t="s">
        <v>1157</v>
      </c>
      <c r="BG251" s="14">
        <f t="shared" si="166"/>
        <v>120</v>
      </c>
      <c r="BH251" s="14">
        <f>SUMIFS(BG$4:BG251,AU$4:AU251,"="&amp;AU251,AY$4:AY251,"="&amp;AY251)</f>
        <v>450</v>
      </c>
      <c r="BI251" s="25" t="s">
        <v>1158</v>
      </c>
      <c r="BJ251" s="14">
        <f t="shared" si="167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T252" s="13">
        <v>249</v>
      </c>
      <c r="AU252" s="13">
        <f t="shared" si="159"/>
        <v>4</v>
      </c>
      <c r="AV252" s="14">
        <f t="shared" si="160"/>
        <v>200501</v>
      </c>
      <c r="AW252" s="14">
        <f t="shared" si="161"/>
        <v>1102005</v>
      </c>
      <c r="AX252" s="13" t="s">
        <v>1127</v>
      </c>
      <c r="AY252" s="13">
        <f t="shared" si="162"/>
        <v>1</v>
      </c>
      <c r="AZ252" s="13" t="s">
        <v>1148</v>
      </c>
      <c r="BA252" s="14">
        <f t="shared" si="163"/>
        <v>8</v>
      </c>
      <c r="BB252" s="14" t="str">
        <f t="shared" si="164"/>
        <v>李轩辕魂珠-1 等级-8</v>
      </c>
      <c r="BC252" s="25" t="s">
        <v>1156</v>
      </c>
      <c r="BD252" s="14">
        <f t="shared" si="165"/>
        <v>252</v>
      </c>
      <c r="BE252" s="14">
        <f>SUMIFS(BD$4:BD252,$AU$4:$AU252,"="&amp;$AU252,$AY$4:$AY252,"="&amp;$AY252)</f>
        <v>1062</v>
      </c>
      <c r="BF252" s="25" t="s">
        <v>1157</v>
      </c>
      <c r="BG252" s="14">
        <f t="shared" si="166"/>
        <v>140</v>
      </c>
      <c r="BH252" s="14">
        <f>SUMIFS(BG$4:BG252,AU$4:AU252,"="&amp;AU252,AY$4:AY252,"="&amp;AY252)</f>
        <v>590</v>
      </c>
      <c r="BI252" s="25" t="s">
        <v>1158</v>
      </c>
      <c r="BJ252" s="14">
        <f t="shared" si="167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T253" s="13">
        <v>250</v>
      </c>
      <c r="AU253" s="13">
        <f t="shared" si="159"/>
        <v>4</v>
      </c>
      <c r="AV253" s="14">
        <f t="shared" si="160"/>
        <v>200501</v>
      </c>
      <c r="AW253" s="14">
        <f t="shared" si="161"/>
        <v>1102005</v>
      </c>
      <c r="AX253" s="13" t="s">
        <v>1127</v>
      </c>
      <c r="AY253" s="13">
        <f t="shared" si="162"/>
        <v>1</v>
      </c>
      <c r="AZ253" s="13" t="s">
        <v>1148</v>
      </c>
      <c r="BA253" s="14">
        <f t="shared" si="163"/>
        <v>9</v>
      </c>
      <c r="BB253" s="14" t="str">
        <f t="shared" si="164"/>
        <v>李轩辕魂珠-1 等级-9</v>
      </c>
      <c r="BC253" s="25" t="s">
        <v>1156</v>
      </c>
      <c r="BD253" s="14">
        <f t="shared" si="165"/>
        <v>288</v>
      </c>
      <c r="BE253" s="14">
        <f>SUMIFS(BD$4:BD253,$AU$4:$AU253,"="&amp;$AU253,$AY$4:$AY253,"="&amp;$AY253)</f>
        <v>1350</v>
      </c>
      <c r="BF253" s="25" t="s">
        <v>1157</v>
      </c>
      <c r="BG253" s="14">
        <f t="shared" si="166"/>
        <v>160</v>
      </c>
      <c r="BH253" s="14">
        <f>SUMIFS(BG$4:BG253,AU$4:AU253,"="&amp;AU253,AY$4:AY253,"="&amp;AY253)</f>
        <v>750</v>
      </c>
      <c r="BI253" s="25" t="s">
        <v>1158</v>
      </c>
      <c r="BJ253" s="14">
        <f t="shared" si="167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T254" s="13">
        <v>251</v>
      </c>
      <c r="AU254" s="13">
        <f t="shared" si="159"/>
        <v>4</v>
      </c>
      <c r="AV254" s="14">
        <f t="shared" si="160"/>
        <v>200502</v>
      </c>
      <c r="AW254" s="14">
        <f t="shared" si="161"/>
        <v>1102005</v>
      </c>
      <c r="AX254" s="13" t="s">
        <v>1127</v>
      </c>
      <c r="AY254" s="13">
        <f t="shared" si="162"/>
        <v>2</v>
      </c>
      <c r="AZ254" s="13" t="s">
        <v>1148</v>
      </c>
      <c r="BA254" s="14">
        <f t="shared" si="163"/>
        <v>0</v>
      </c>
      <c r="BB254" s="14" t="str">
        <f t="shared" si="164"/>
        <v>李轩辕魂珠-2 等级-0</v>
      </c>
      <c r="BC254" s="25" t="s">
        <v>1156</v>
      </c>
      <c r="BD254" s="14">
        <f t="shared" si="165"/>
        <v>0</v>
      </c>
      <c r="BE254" s="14">
        <f>SUMIFS(BD$4:BD254,$AU$4:$AU254,"="&amp;$AU254,$AY$4:$AY254,"="&amp;$AY254)</f>
        <v>0</v>
      </c>
      <c r="BF254" s="25" t="s">
        <v>1157</v>
      </c>
      <c r="BG254" s="14">
        <f t="shared" si="166"/>
        <v>0</v>
      </c>
      <c r="BH254" s="14">
        <f>SUMIFS(BG$4:BG254,AU$4:AU254,"="&amp;AU254,AY$4:AY254,"="&amp;AY254)</f>
        <v>0</v>
      </c>
      <c r="BI254" s="25" t="s">
        <v>1158</v>
      </c>
      <c r="BJ254" s="14">
        <f t="shared" si="167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T255" s="13">
        <v>252</v>
      </c>
      <c r="AU255" s="13">
        <f t="shared" si="159"/>
        <v>4</v>
      </c>
      <c r="AV255" s="14">
        <f t="shared" si="160"/>
        <v>200502</v>
      </c>
      <c r="AW255" s="14">
        <f t="shared" si="161"/>
        <v>1102005</v>
      </c>
      <c r="AX255" s="13" t="s">
        <v>1127</v>
      </c>
      <c r="AY255" s="13">
        <f t="shared" si="162"/>
        <v>2</v>
      </c>
      <c r="AZ255" s="13" t="s">
        <v>1148</v>
      </c>
      <c r="BA255" s="14">
        <f t="shared" si="163"/>
        <v>1</v>
      </c>
      <c r="BB255" s="14" t="str">
        <f t="shared" si="164"/>
        <v>李轩辕魂珠-2 等级-1</v>
      </c>
      <c r="BC255" s="25" t="s">
        <v>1156</v>
      </c>
      <c r="BD255" s="14">
        <f t="shared" si="165"/>
        <v>45</v>
      </c>
      <c r="BE255" s="14">
        <f>SUMIFS(BD$4:BD255,$AU$4:$AU255,"="&amp;$AU255,$AY$4:$AY255,"="&amp;$AY255)</f>
        <v>45</v>
      </c>
      <c r="BF255" s="25" t="s">
        <v>1157</v>
      </c>
      <c r="BG255" s="14">
        <f t="shared" si="166"/>
        <v>25</v>
      </c>
      <c r="BH255" s="14">
        <f>SUMIFS(BG$4:BG255,AU$4:AU255,"="&amp;AU255,AY$4:AY255,"="&amp;AY255)</f>
        <v>25</v>
      </c>
      <c r="BI255" s="25" t="s">
        <v>1158</v>
      </c>
      <c r="BJ255" s="14">
        <f t="shared" si="167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59"/>
        <v>4</v>
      </c>
      <c r="AV256" s="14">
        <f t="shared" si="160"/>
        <v>200502</v>
      </c>
      <c r="AW256" s="14">
        <f t="shared" si="161"/>
        <v>1102005</v>
      </c>
      <c r="AX256" s="13" t="s">
        <v>1127</v>
      </c>
      <c r="AY256" s="13">
        <f t="shared" si="162"/>
        <v>2</v>
      </c>
      <c r="AZ256" s="13" t="s">
        <v>1148</v>
      </c>
      <c r="BA256" s="14">
        <f t="shared" si="163"/>
        <v>2</v>
      </c>
      <c r="BB256" s="14" t="str">
        <f t="shared" si="164"/>
        <v>李轩辕魂珠-2 等级-2</v>
      </c>
      <c r="BC256" s="25" t="s">
        <v>1156</v>
      </c>
      <c r="BD256" s="14">
        <f t="shared" si="165"/>
        <v>72</v>
      </c>
      <c r="BE256" s="14">
        <f>SUMIFS(BD$4:BD256,$AU$4:$AU256,"="&amp;$AU256,$AY$4:$AY256,"="&amp;$AY256)</f>
        <v>117</v>
      </c>
      <c r="BF256" s="25" t="s">
        <v>1157</v>
      </c>
      <c r="BG256" s="14">
        <f t="shared" si="166"/>
        <v>40</v>
      </c>
      <c r="BH256" s="14">
        <f>SUMIFS(BG$4:BG256,AU$4:AU256,"="&amp;AU256,AY$4:AY256,"="&amp;AY256)</f>
        <v>65</v>
      </c>
      <c r="BI256" s="25" t="s">
        <v>1158</v>
      </c>
      <c r="BJ256" s="14">
        <f t="shared" si="167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59"/>
        <v>4</v>
      </c>
      <c r="AV257" s="14">
        <f t="shared" si="160"/>
        <v>200502</v>
      </c>
      <c r="AW257" s="14">
        <f t="shared" si="161"/>
        <v>1102005</v>
      </c>
      <c r="AX257" s="13" t="s">
        <v>1127</v>
      </c>
      <c r="AY257" s="13">
        <f t="shared" si="162"/>
        <v>2</v>
      </c>
      <c r="AZ257" s="13" t="s">
        <v>1148</v>
      </c>
      <c r="BA257" s="14">
        <f t="shared" si="163"/>
        <v>3</v>
      </c>
      <c r="BB257" s="14" t="str">
        <f t="shared" si="164"/>
        <v>李轩辕魂珠-2 等级-3</v>
      </c>
      <c r="BC257" s="25" t="s">
        <v>1156</v>
      </c>
      <c r="BD257" s="14">
        <f t="shared" si="165"/>
        <v>90</v>
      </c>
      <c r="BE257" s="14">
        <f>SUMIFS(BD$4:BD257,$AU$4:$AU257,"="&amp;$AU257,$AY$4:$AY257,"="&amp;$AY257)</f>
        <v>207</v>
      </c>
      <c r="BF257" s="25" t="s">
        <v>1157</v>
      </c>
      <c r="BG257" s="14">
        <f t="shared" si="166"/>
        <v>50</v>
      </c>
      <c r="BH257" s="14">
        <f>SUMIFS(BG$4:BG257,AU$4:AU257,"="&amp;AU257,AY$4:AY257,"="&amp;AY257)</f>
        <v>115</v>
      </c>
      <c r="BI257" s="25" t="s">
        <v>1158</v>
      </c>
      <c r="BJ257" s="14">
        <f t="shared" si="167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59"/>
        <v>4</v>
      </c>
      <c r="AV258" s="14">
        <f t="shared" si="160"/>
        <v>200502</v>
      </c>
      <c r="AW258" s="14">
        <f t="shared" si="161"/>
        <v>1102005</v>
      </c>
      <c r="AX258" s="13" t="s">
        <v>1127</v>
      </c>
      <c r="AY258" s="13">
        <f t="shared" si="162"/>
        <v>2</v>
      </c>
      <c r="AZ258" s="13" t="s">
        <v>1148</v>
      </c>
      <c r="BA258" s="14">
        <f t="shared" si="163"/>
        <v>4</v>
      </c>
      <c r="BB258" s="14" t="str">
        <f t="shared" si="164"/>
        <v>李轩辕魂珠-2 等级-4</v>
      </c>
      <c r="BC258" s="25" t="s">
        <v>1156</v>
      </c>
      <c r="BD258" s="14">
        <f t="shared" si="165"/>
        <v>144</v>
      </c>
      <c r="BE258" s="14">
        <f>SUMIFS(BD$4:BD258,$AU$4:$AU258,"="&amp;$AU258,$AY$4:$AY258,"="&amp;$AY258)</f>
        <v>351</v>
      </c>
      <c r="BF258" s="25" t="s">
        <v>1157</v>
      </c>
      <c r="BG258" s="14">
        <f t="shared" si="166"/>
        <v>80</v>
      </c>
      <c r="BH258" s="14">
        <f>SUMIFS(BG$4:BG258,AU$4:AU258,"="&amp;AU258,AY$4:AY258,"="&amp;AY258)</f>
        <v>195</v>
      </c>
      <c r="BI258" s="25" t="s">
        <v>1158</v>
      </c>
      <c r="BJ258" s="14">
        <f t="shared" si="167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59"/>
        <v>4</v>
      </c>
      <c r="AV259" s="14">
        <f t="shared" si="160"/>
        <v>200502</v>
      </c>
      <c r="AW259" s="14">
        <f t="shared" si="161"/>
        <v>1102005</v>
      </c>
      <c r="AX259" s="13" t="s">
        <v>1127</v>
      </c>
      <c r="AY259" s="13">
        <f t="shared" si="162"/>
        <v>2</v>
      </c>
      <c r="AZ259" s="13" t="s">
        <v>1148</v>
      </c>
      <c r="BA259" s="14">
        <f t="shared" si="163"/>
        <v>5</v>
      </c>
      <c r="BB259" s="14" t="str">
        <f t="shared" si="164"/>
        <v>李轩辕魂珠-2 等级-5</v>
      </c>
      <c r="BC259" s="25" t="s">
        <v>1156</v>
      </c>
      <c r="BD259" s="14">
        <f t="shared" si="165"/>
        <v>198</v>
      </c>
      <c r="BE259" s="14">
        <f>SUMIFS(BD$4:BD259,$AU$4:$AU259,"="&amp;$AU259,$AY$4:$AY259,"="&amp;$AY259)</f>
        <v>549</v>
      </c>
      <c r="BF259" s="25" t="s">
        <v>1157</v>
      </c>
      <c r="BG259" s="14">
        <f t="shared" si="166"/>
        <v>110</v>
      </c>
      <c r="BH259" s="14">
        <f>SUMIFS(BG$4:BG259,AU$4:AU259,"="&amp;AU259,AY$4:AY259,"="&amp;AY259)</f>
        <v>305</v>
      </c>
      <c r="BI259" s="25" t="s">
        <v>1158</v>
      </c>
      <c r="BJ259" s="14">
        <f t="shared" si="167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59"/>
        <v>4</v>
      </c>
      <c r="AV260" s="14">
        <f t="shared" si="160"/>
        <v>200502</v>
      </c>
      <c r="AW260" s="14">
        <f t="shared" si="161"/>
        <v>1102005</v>
      </c>
      <c r="AX260" s="13" t="s">
        <v>1127</v>
      </c>
      <c r="AY260" s="13">
        <f t="shared" si="162"/>
        <v>2</v>
      </c>
      <c r="AZ260" s="13" t="s">
        <v>1148</v>
      </c>
      <c r="BA260" s="14">
        <f t="shared" si="163"/>
        <v>6</v>
      </c>
      <c r="BB260" s="14" t="str">
        <f t="shared" si="164"/>
        <v>李轩辕魂珠-2 等级-6</v>
      </c>
      <c r="BC260" s="25" t="s">
        <v>1156</v>
      </c>
      <c r="BD260" s="14">
        <f t="shared" si="165"/>
        <v>252</v>
      </c>
      <c r="BE260" s="14">
        <f>SUMIFS(BD$4:BD260,$AU$4:$AU260,"="&amp;$AU260,$AY$4:$AY260,"="&amp;$AY260)</f>
        <v>801</v>
      </c>
      <c r="BF260" s="25" t="s">
        <v>1157</v>
      </c>
      <c r="BG260" s="14">
        <f t="shared" si="166"/>
        <v>140</v>
      </c>
      <c r="BH260" s="14">
        <f>SUMIFS(BG$4:BG260,AU$4:AU260,"="&amp;AU260,AY$4:AY260,"="&amp;AY260)</f>
        <v>445</v>
      </c>
      <c r="BI260" s="25" t="s">
        <v>1158</v>
      </c>
      <c r="BJ260" s="14">
        <f t="shared" si="167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8">INT((AT261-1)/80)+1</f>
        <v>4</v>
      </c>
      <c r="AV261" s="14">
        <f t="shared" ref="AV261:AV324" si="169">INDEX($AJ$4:$AJ$203,(AU261-1)*8+AY261)</f>
        <v>200502</v>
      </c>
      <c r="AW261" s="14">
        <f t="shared" ref="AW261:AW324" si="170">INDEX($W$4:$W$28,AU261)</f>
        <v>1102005</v>
      </c>
      <c r="AX261" s="13" t="s">
        <v>1127</v>
      </c>
      <c r="AY261" s="13">
        <f t="shared" ref="AY261:AY324" si="171">INT(((AT261-(AU261-1)*80)-1)/10)+1</f>
        <v>2</v>
      </c>
      <c r="AZ261" s="13" t="s">
        <v>1148</v>
      </c>
      <c r="BA261" s="14">
        <f t="shared" ref="BA261:BA324" si="172">AT261-(AU261-1)*80-(AY261-1)*10-1</f>
        <v>7</v>
      </c>
      <c r="BB261" s="14" t="str">
        <f t="shared" ref="BB261:BB324" si="173">INDEX($X$4:$X$28,AU261)&amp;"魂珠-"&amp;AY261&amp;" 等级-"&amp;BA261</f>
        <v>李轩辕魂珠-2 等级-7</v>
      </c>
      <c r="BC261" s="25" t="s">
        <v>1156</v>
      </c>
      <c r="BD261" s="14">
        <f t="shared" ref="BD261:BD324" si="174">ROUND(INDEX(Q$4:Q$83,($AY261-1)*10+$BA261+1)*INDEX(AC$4:AC$28,$AU261),0)</f>
        <v>288</v>
      </c>
      <c r="BE261" s="14">
        <f>SUMIFS(BD$4:BD261,$AU$4:$AU261,"="&amp;$AU261,$AY$4:$AY261,"="&amp;$AY261)</f>
        <v>1089</v>
      </c>
      <c r="BF261" s="25" t="s">
        <v>1157</v>
      </c>
      <c r="BG261" s="14">
        <f t="shared" ref="BG261:BG324" si="175">ROUND(INDEX(R$4:R$83,($AY261-1)*10+$BA261+1)*INDEX(AD$4:AD$28,$AU261),0)</f>
        <v>160</v>
      </c>
      <c r="BH261" s="14">
        <f>SUMIFS(BG$4:BG261,AU$4:AU261,"="&amp;AU261,AY$4:AY261,"="&amp;AY261)</f>
        <v>605</v>
      </c>
      <c r="BI261" s="25" t="s">
        <v>1158</v>
      </c>
      <c r="BJ261" s="14">
        <f t="shared" ref="BJ261:BJ324" si="176">ROUND(INDEX(S$4:S$83,($AY261-1)*10+$BA261+1)*INDEX(AE$4:AE$28,$AU261),0)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8"/>
        <v>4</v>
      </c>
      <c r="AV262" s="14">
        <f t="shared" si="169"/>
        <v>200502</v>
      </c>
      <c r="AW262" s="14">
        <f t="shared" si="170"/>
        <v>1102005</v>
      </c>
      <c r="AX262" s="13" t="s">
        <v>1127</v>
      </c>
      <c r="AY262" s="13">
        <f t="shared" si="171"/>
        <v>2</v>
      </c>
      <c r="AZ262" s="13" t="s">
        <v>1148</v>
      </c>
      <c r="BA262" s="14">
        <f t="shared" si="172"/>
        <v>8</v>
      </c>
      <c r="BB262" s="14" t="str">
        <f t="shared" si="173"/>
        <v>李轩辕魂珠-2 等级-8</v>
      </c>
      <c r="BC262" s="25" t="s">
        <v>1156</v>
      </c>
      <c r="BD262" s="14">
        <f t="shared" si="174"/>
        <v>342</v>
      </c>
      <c r="BE262" s="14">
        <f>SUMIFS(BD$4:BD262,$AU$4:$AU262,"="&amp;$AU262,$AY$4:$AY262,"="&amp;$AY262)</f>
        <v>1431</v>
      </c>
      <c r="BF262" s="25" t="s">
        <v>1157</v>
      </c>
      <c r="BG262" s="14">
        <f t="shared" si="175"/>
        <v>190</v>
      </c>
      <c r="BH262" s="14">
        <f>SUMIFS(BG$4:BG262,AU$4:AU262,"="&amp;AU262,AY$4:AY262,"="&amp;AY262)</f>
        <v>795</v>
      </c>
      <c r="BI262" s="25" t="s">
        <v>1158</v>
      </c>
      <c r="BJ262" s="14">
        <f t="shared" si="176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8"/>
        <v>4</v>
      </c>
      <c r="AV263" s="14">
        <f t="shared" si="169"/>
        <v>200502</v>
      </c>
      <c r="AW263" s="14">
        <f t="shared" si="170"/>
        <v>1102005</v>
      </c>
      <c r="AX263" s="13" t="s">
        <v>1127</v>
      </c>
      <c r="AY263" s="13">
        <f t="shared" si="171"/>
        <v>2</v>
      </c>
      <c r="AZ263" s="13" t="s">
        <v>1148</v>
      </c>
      <c r="BA263" s="14">
        <f t="shared" si="172"/>
        <v>9</v>
      </c>
      <c r="BB263" s="14" t="str">
        <f t="shared" si="173"/>
        <v>李轩辕魂珠-2 等级-9</v>
      </c>
      <c r="BC263" s="25" t="s">
        <v>1156</v>
      </c>
      <c r="BD263" s="14">
        <f t="shared" si="174"/>
        <v>405</v>
      </c>
      <c r="BE263" s="14">
        <f>SUMIFS(BD$4:BD263,$AU$4:$AU263,"="&amp;$AU263,$AY$4:$AY263,"="&amp;$AY263)</f>
        <v>1836</v>
      </c>
      <c r="BF263" s="25" t="s">
        <v>1157</v>
      </c>
      <c r="BG263" s="14">
        <f t="shared" si="175"/>
        <v>225</v>
      </c>
      <c r="BH263" s="14">
        <f>SUMIFS(BG$4:BG263,AU$4:AU263,"="&amp;AU263,AY$4:AY263,"="&amp;AY263)</f>
        <v>1020</v>
      </c>
      <c r="BI263" s="25" t="s">
        <v>1158</v>
      </c>
      <c r="BJ263" s="14">
        <f t="shared" si="176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8"/>
        <v>4</v>
      </c>
      <c r="AV264" s="14">
        <f t="shared" si="169"/>
        <v>200503</v>
      </c>
      <c r="AW264" s="14">
        <f t="shared" si="170"/>
        <v>1102005</v>
      </c>
      <c r="AX264" s="13" t="s">
        <v>1127</v>
      </c>
      <c r="AY264" s="13">
        <f t="shared" si="171"/>
        <v>3</v>
      </c>
      <c r="AZ264" s="13" t="s">
        <v>1148</v>
      </c>
      <c r="BA264" s="14">
        <f t="shared" si="172"/>
        <v>0</v>
      </c>
      <c r="BB264" s="14" t="str">
        <f t="shared" si="173"/>
        <v>李轩辕魂珠-3 等级-0</v>
      </c>
      <c r="BC264" s="25" t="s">
        <v>1156</v>
      </c>
      <c r="BD264" s="14">
        <f t="shared" si="174"/>
        <v>0</v>
      </c>
      <c r="BE264" s="14">
        <f>SUMIFS(BD$4:BD264,$AU$4:$AU264,"="&amp;$AU264,$AY$4:$AY264,"="&amp;$AY264)</f>
        <v>0</v>
      </c>
      <c r="BF264" s="25" t="s">
        <v>1157</v>
      </c>
      <c r="BG264" s="14">
        <f t="shared" si="175"/>
        <v>0</v>
      </c>
      <c r="BH264" s="14">
        <f>SUMIFS(BG$4:BG264,AU$4:AU264,"="&amp;AU264,AY$4:AY264,"="&amp;AY264)</f>
        <v>0</v>
      </c>
      <c r="BI264" s="25" t="s">
        <v>1158</v>
      </c>
      <c r="BJ264" s="14">
        <f t="shared" si="176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8"/>
        <v>4</v>
      </c>
      <c r="AV265" s="14">
        <f t="shared" si="169"/>
        <v>200503</v>
      </c>
      <c r="AW265" s="14">
        <f t="shared" si="170"/>
        <v>1102005</v>
      </c>
      <c r="AX265" s="13" t="s">
        <v>1127</v>
      </c>
      <c r="AY265" s="13">
        <f t="shared" si="171"/>
        <v>3</v>
      </c>
      <c r="AZ265" s="13" t="s">
        <v>1148</v>
      </c>
      <c r="BA265" s="14">
        <f t="shared" si="172"/>
        <v>1</v>
      </c>
      <c r="BB265" s="14" t="str">
        <f t="shared" si="173"/>
        <v>李轩辕魂珠-3 等级-1</v>
      </c>
      <c r="BC265" s="25" t="s">
        <v>1156</v>
      </c>
      <c r="BD265" s="14">
        <f t="shared" si="174"/>
        <v>72</v>
      </c>
      <c r="BE265" s="14">
        <f>SUMIFS(BD$4:BD265,$AU$4:$AU265,"="&amp;$AU265,$AY$4:$AY265,"="&amp;$AY265)</f>
        <v>72</v>
      </c>
      <c r="BF265" s="25" t="s">
        <v>1157</v>
      </c>
      <c r="BG265" s="14">
        <f t="shared" si="175"/>
        <v>40</v>
      </c>
      <c r="BH265" s="14">
        <f>SUMIFS(BG$4:BG265,AU$4:AU265,"="&amp;AU265,AY$4:AY265,"="&amp;AY265)</f>
        <v>40</v>
      </c>
      <c r="BI265" s="25" t="s">
        <v>1158</v>
      </c>
      <c r="BJ265" s="14">
        <f t="shared" si="176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8"/>
        <v>4</v>
      </c>
      <c r="AV266" s="14">
        <f t="shared" si="169"/>
        <v>200503</v>
      </c>
      <c r="AW266" s="14">
        <f t="shared" si="170"/>
        <v>1102005</v>
      </c>
      <c r="AX266" s="13" t="s">
        <v>1127</v>
      </c>
      <c r="AY266" s="13">
        <f t="shared" si="171"/>
        <v>3</v>
      </c>
      <c r="AZ266" s="13" t="s">
        <v>1148</v>
      </c>
      <c r="BA266" s="14">
        <f t="shared" si="172"/>
        <v>2</v>
      </c>
      <c r="BB266" s="14" t="str">
        <f t="shared" si="173"/>
        <v>李轩辕魂珠-3 等级-2</v>
      </c>
      <c r="BC266" s="25" t="s">
        <v>1156</v>
      </c>
      <c r="BD266" s="14">
        <f t="shared" si="174"/>
        <v>108</v>
      </c>
      <c r="BE266" s="14">
        <f>SUMIFS(BD$4:BD266,$AU$4:$AU266,"="&amp;$AU266,$AY$4:$AY266,"="&amp;$AY266)</f>
        <v>180</v>
      </c>
      <c r="BF266" s="25" t="s">
        <v>1157</v>
      </c>
      <c r="BG266" s="14">
        <f t="shared" si="175"/>
        <v>60</v>
      </c>
      <c r="BH266" s="14">
        <f>SUMIFS(BG$4:BG266,AU$4:AU266,"="&amp;AU266,AY$4:AY266,"="&amp;AY266)</f>
        <v>100</v>
      </c>
      <c r="BI266" s="25" t="s">
        <v>1158</v>
      </c>
      <c r="BJ266" s="14">
        <f t="shared" si="176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8"/>
        <v>4</v>
      </c>
      <c r="AV267" s="14">
        <f t="shared" si="169"/>
        <v>200503</v>
      </c>
      <c r="AW267" s="14">
        <f t="shared" si="170"/>
        <v>1102005</v>
      </c>
      <c r="AX267" s="13" t="s">
        <v>1127</v>
      </c>
      <c r="AY267" s="13">
        <f t="shared" si="171"/>
        <v>3</v>
      </c>
      <c r="AZ267" s="13" t="s">
        <v>1148</v>
      </c>
      <c r="BA267" s="14">
        <f t="shared" si="172"/>
        <v>3</v>
      </c>
      <c r="BB267" s="14" t="str">
        <f t="shared" si="173"/>
        <v>李轩辕魂珠-3 等级-3</v>
      </c>
      <c r="BC267" s="25" t="s">
        <v>1156</v>
      </c>
      <c r="BD267" s="14">
        <f t="shared" si="174"/>
        <v>144</v>
      </c>
      <c r="BE267" s="14">
        <f>SUMIFS(BD$4:BD267,$AU$4:$AU267,"="&amp;$AU267,$AY$4:$AY267,"="&amp;$AY267)</f>
        <v>324</v>
      </c>
      <c r="BF267" s="25" t="s">
        <v>1157</v>
      </c>
      <c r="BG267" s="14">
        <f t="shared" si="175"/>
        <v>80</v>
      </c>
      <c r="BH267" s="14">
        <f>SUMIFS(BG$4:BG267,AU$4:AU267,"="&amp;AU267,AY$4:AY267,"="&amp;AY267)</f>
        <v>180</v>
      </c>
      <c r="BI267" s="25" t="s">
        <v>1158</v>
      </c>
      <c r="BJ267" s="14">
        <f t="shared" si="176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8"/>
        <v>4</v>
      </c>
      <c r="AV268" s="14">
        <f t="shared" si="169"/>
        <v>200503</v>
      </c>
      <c r="AW268" s="14">
        <f t="shared" si="170"/>
        <v>1102005</v>
      </c>
      <c r="AX268" s="13" t="s">
        <v>1127</v>
      </c>
      <c r="AY268" s="13">
        <f t="shared" si="171"/>
        <v>3</v>
      </c>
      <c r="AZ268" s="13" t="s">
        <v>1148</v>
      </c>
      <c r="BA268" s="14">
        <f t="shared" si="172"/>
        <v>4</v>
      </c>
      <c r="BB268" s="14" t="str">
        <f t="shared" si="173"/>
        <v>李轩辕魂珠-3 等级-4</v>
      </c>
      <c r="BC268" s="25" t="s">
        <v>1156</v>
      </c>
      <c r="BD268" s="14">
        <f t="shared" si="174"/>
        <v>216</v>
      </c>
      <c r="BE268" s="14">
        <f>SUMIFS(BD$4:BD268,$AU$4:$AU268,"="&amp;$AU268,$AY$4:$AY268,"="&amp;$AY268)</f>
        <v>540</v>
      </c>
      <c r="BF268" s="25" t="s">
        <v>1157</v>
      </c>
      <c r="BG268" s="14">
        <f t="shared" si="175"/>
        <v>120</v>
      </c>
      <c r="BH268" s="14">
        <f>SUMIFS(BG$4:BG268,AU$4:AU268,"="&amp;AU268,AY$4:AY268,"="&amp;AY268)</f>
        <v>300</v>
      </c>
      <c r="BI268" s="25" t="s">
        <v>1158</v>
      </c>
      <c r="BJ268" s="14">
        <f t="shared" si="176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8"/>
        <v>4</v>
      </c>
      <c r="AV269" s="14">
        <f t="shared" si="169"/>
        <v>200503</v>
      </c>
      <c r="AW269" s="14">
        <f t="shared" si="170"/>
        <v>1102005</v>
      </c>
      <c r="AX269" s="13" t="s">
        <v>1127</v>
      </c>
      <c r="AY269" s="13">
        <f t="shared" si="171"/>
        <v>3</v>
      </c>
      <c r="AZ269" s="13" t="s">
        <v>1148</v>
      </c>
      <c r="BA269" s="14">
        <f t="shared" si="172"/>
        <v>5</v>
      </c>
      <c r="BB269" s="14" t="str">
        <f t="shared" si="173"/>
        <v>李轩辕魂珠-3 等级-5</v>
      </c>
      <c r="BC269" s="25" t="s">
        <v>1156</v>
      </c>
      <c r="BD269" s="14">
        <f t="shared" si="174"/>
        <v>288</v>
      </c>
      <c r="BE269" s="14">
        <f>SUMIFS(BD$4:BD269,$AU$4:$AU269,"="&amp;$AU269,$AY$4:$AY269,"="&amp;$AY269)</f>
        <v>828</v>
      </c>
      <c r="BF269" s="25" t="s">
        <v>1157</v>
      </c>
      <c r="BG269" s="14">
        <f t="shared" si="175"/>
        <v>160</v>
      </c>
      <c r="BH269" s="14">
        <f>SUMIFS(BG$4:BG269,AU$4:AU269,"="&amp;AU269,AY$4:AY269,"="&amp;AY269)</f>
        <v>460</v>
      </c>
      <c r="BI269" s="25" t="s">
        <v>1158</v>
      </c>
      <c r="BJ269" s="14">
        <f t="shared" si="176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8"/>
        <v>4</v>
      </c>
      <c r="AV270" s="14">
        <f t="shared" si="169"/>
        <v>200503</v>
      </c>
      <c r="AW270" s="14">
        <f t="shared" si="170"/>
        <v>1102005</v>
      </c>
      <c r="AX270" s="13" t="s">
        <v>1127</v>
      </c>
      <c r="AY270" s="13">
        <f t="shared" si="171"/>
        <v>3</v>
      </c>
      <c r="AZ270" s="13" t="s">
        <v>1148</v>
      </c>
      <c r="BA270" s="14">
        <f t="shared" si="172"/>
        <v>6</v>
      </c>
      <c r="BB270" s="14" t="str">
        <f t="shared" si="173"/>
        <v>李轩辕魂珠-3 等级-6</v>
      </c>
      <c r="BC270" s="25" t="s">
        <v>1156</v>
      </c>
      <c r="BD270" s="14">
        <f t="shared" si="174"/>
        <v>360</v>
      </c>
      <c r="BE270" s="14">
        <f>SUMIFS(BD$4:BD270,$AU$4:$AU270,"="&amp;$AU270,$AY$4:$AY270,"="&amp;$AY270)</f>
        <v>1188</v>
      </c>
      <c r="BF270" s="25" t="s">
        <v>1157</v>
      </c>
      <c r="BG270" s="14">
        <f t="shared" si="175"/>
        <v>200</v>
      </c>
      <c r="BH270" s="14">
        <f>SUMIFS(BG$4:BG270,AU$4:AU270,"="&amp;AU270,AY$4:AY270,"="&amp;AY270)</f>
        <v>660</v>
      </c>
      <c r="BI270" s="25" t="s">
        <v>1158</v>
      </c>
      <c r="BJ270" s="14">
        <f t="shared" si="176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8"/>
        <v>4</v>
      </c>
      <c r="AV271" s="14">
        <f t="shared" si="169"/>
        <v>200503</v>
      </c>
      <c r="AW271" s="14">
        <f t="shared" si="170"/>
        <v>1102005</v>
      </c>
      <c r="AX271" s="13" t="s">
        <v>1127</v>
      </c>
      <c r="AY271" s="13">
        <f t="shared" si="171"/>
        <v>3</v>
      </c>
      <c r="AZ271" s="13" t="s">
        <v>1148</v>
      </c>
      <c r="BA271" s="14">
        <f t="shared" si="172"/>
        <v>7</v>
      </c>
      <c r="BB271" s="14" t="str">
        <f t="shared" si="173"/>
        <v>李轩辕魂珠-3 等级-7</v>
      </c>
      <c r="BC271" s="25" t="s">
        <v>1156</v>
      </c>
      <c r="BD271" s="14">
        <f t="shared" si="174"/>
        <v>432</v>
      </c>
      <c r="BE271" s="14">
        <f>SUMIFS(BD$4:BD271,$AU$4:$AU271,"="&amp;$AU271,$AY$4:$AY271,"="&amp;$AY271)</f>
        <v>1620</v>
      </c>
      <c r="BF271" s="25" t="s">
        <v>1157</v>
      </c>
      <c r="BG271" s="14">
        <f t="shared" si="175"/>
        <v>240</v>
      </c>
      <c r="BH271" s="14">
        <f>SUMIFS(BG$4:BG271,AU$4:AU271,"="&amp;AU271,AY$4:AY271,"="&amp;AY271)</f>
        <v>900</v>
      </c>
      <c r="BI271" s="25" t="s">
        <v>1158</v>
      </c>
      <c r="BJ271" s="14">
        <f t="shared" si="176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8"/>
        <v>4</v>
      </c>
      <c r="AV272" s="14">
        <f t="shared" si="169"/>
        <v>200503</v>
      </c>
      <c r="AW272" s="14">
        <f t="shared" si="170"/>
        <v>1102005</v>
      </c>
      <c r="AX272" s="13" t="s">
        <v>1127</v>
      </c>
      <c r="AY272" s="13">
        <f t="shared" si="171"/>
        <v>3</v>
      </c>
      <c r="AZ272" s="13" t="s">
        <v>1148</v>
      </c>
      <c r="BA272" s="14">
        <f t="shared" si="172"/>
        <v>8</v>
      </c>
      <c r="BB272" s="14" t="str">
        <f t="shared" si="173"/>
        <v>李轩辕魂珠-3 等级-8</v>
      </c>
      <c r="BC272" s="25" t="s">
        <v>1156</v>
      </c>
      <c r="BD272" s="14">
        <f t="shared" si="174"/>
        <v>504</v>
      </c>
      <c r="BE272" s="14">
        <f>SUMIFS(BD$4:BD272,$AU$4:$AU272,"="&amp;$AU272,$AY$4:$AY272,"="&amp;$AY272)</f>
        <v>2124</v>
      </c>
      <c r="BF272" s="25" t="s">
        <v>1157</v>
      </c>
      <c r="BG272" s="14">
        <f t="shared" si="175"/>
        <v>280</v>
      </c>
      <c r="BH272" s="14">
        <f>SUMIFS(BG$4:BG272,AU$4:AU272,"="&amp;AU272,AY$4:AY272,"="&amp;AY272)</f>
        <v>1180</v>
      </c>
      <c r="BI272" s="25" t="s">
        <v>1158</v>
      </c>
      <c r="BJ272" s="14">
        <f t="shared" si="176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8"/>
        <v>4</v>
      </c>
      <c r="AV273" s="14">
        <f t="shared" si="169"/>
        <v>200503</v>
      </c>
      <c r="AW273" s="14">
        <f t="shared" si="170"/>
        <v>1102005</v>
      </c>
      <c r="AX273" s="13" t="s">
        <v>1127</v>
      </c>
      <c r="AY273" s="13">
        <f t="shared" si="171"/>
        <v>3</v>
      </c>
      <c r="AZ273" s="13" t="s">
        <v>1148</v>
      </c>
      <c r="BA273" s="14">
        <f t="shared" si="172"/>
        <v>9</v>
      </c>
      <c r="BB273" s="14" t="str">
        <f t="shared" si="173"/>
        <v>李轩辕魂珠-3 等级-9</v>
      </c>
      <c r="BC273" s="25" t="s">
        <v>1156</v>
      </c>
      <c r="BD273" s="14">
        <f t="shared" si="174"/>
        <v>576</v>
      </c>
      <c r="BE273" s="14">
        <f>SUMIFS(BD$4:BD273,$AU$4:$AU273,"="&amp;$AU273,$AY$4:$AY273,"="&amp;$AY273)</f>
        <v>2700</v>
      </c>
      <c r="BF273" s="25" t="s">
        <v>1157</v>
      </c>
      <c r="BG273" s="14">
        <f t="shared" si="175"/>
        <v>320</v>
      </c>
      <c r="BH273" s="14">
        <f>SUMIFS(BG$4:BG273,AU$4:AU273,"="&amp;AU273,AY$4:AY273,"="&amp;AY273)</f>
        <v>1500</v>
      </c>
      <c r="BI273" s="25" t="s">
        <v>1158</v>
      </c>
      <c r="BJ273" s="14">
        <f t="shared" si="176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8"/>
        <v>4</v>
      </c>
      <c r="AV274" s="14">
        <f t="shared" si="169"/>
        <v>200504</v>
      </c>
      <c r="AW274" s="14">
        <f t="shared" si="170"/>
        <v>1102005</v>
      </c>
      <c r="AX274" s="13" t="s">
        <v>1127</v>
      </c>
      <c r="AY274" s="13">
        <f t="shared" si="171"/>
        <v>4</v>
      </c>
      <c r="AZ274" s="13" t="s">
        <v>1148</v>
      </c>
      <c r="BA274" s="14">
        <f t="shared" si="172"/>
        <v>0</v>
      </c>
      <c r="BB274" s="14" t="str">
        <f t="shared" si="173"/>
        <v>李轩辕魂珠-4 等级-0</v>
      </c>
      <c r="BC274" s="25" t="s">
        <v>1156</v>
      </c>
      <c r="BD274" s="14">
        <f t="shared" si="174"/>
        <v>0</v>
      </c>
      <c r="BE274" s="14">
        <f>SUMIFS(BD$4:BD274,$AU$4:$AU274,"="&amp;$AU274,$AY$4:$AY274,"="&amp;$AY274)</f>
        <v>0</v>
      </c>
      <c r="BF274" s="25" t="s">
        <v>1157</v>
      </c>
      <c r="BG274" s="14">
        <f t="shared" si="175"/>
        <v>0</v>
      </c>
      <c r="BH274" s="14">
        <f>SUMIFS(BG$4:BG274,AU$4:AU274,"="&amp;AU274,AY$4:AY274,"="&amp;AY274)</f>
        <v>0</v>
      </c>
      <c r="BI274" s="25" t="s">
        <v>1158</v>
      </c>
      <c r="BJ274" s="14">
        <f t="shared" si="176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8"/>
        <v>4</v>
      </c>
      <c r="AV275" s="14">
        <f t="shared" si="169"/>
        <v>200504</v>
      </c>
      <c r="AW275" s="14">
        <f t="shared" si="170"/>
        <v>1102005</v>
      </c>
      <c r="AX275" s="13" t="s">
        <v>1127</v>
      </c>
      <c r="AY275" s="13">
        <f t="shared" si="171"/>
        <v>4</v>
      </c>
      <c r="AZ275" s="13" t="s">
        <v>1148</v>
      </c>
      <c r="BA275" s="14">
        <f t="shared" si="172"/>
        <v>1</v>
      </c>
      <c r="BB275" s="14" t="str">
        <f t="shared" si="173"/>
        <v>李轩辕魂珠-4 等级-1</v>
      </c>
      <c r="BC275" s="25" t="s">
        <v>1156</v>
      </c>
      <c r="BD275" s="14">
        <f t="shared" si="174"/>
        <v>90</v>
      </c>
      <c r="BE275" s="14">
        <f>SUMIFS(BD$4:BD275,$AU$4:$AU275,"="&amp;$AU275,$AY$4:$AY275,"="&amp;$AY275)</f>
        <v>90</v>
      </c>
      <c r="BF275" s="25" t="s">
        <v>1157</v>
      </c>
      <c r="BG275" s="14">
        <f t="shared" si="175"/>
        <v>50</v>
      </c>
      <c r="BH275" s="14">
        <f>SUMIFS(BG$4:BG275,AU$4:AU275,"="&amp;AU275,AY$4:AY275,"="&amp;AY275)</f>
        <v>50</v>
      </c>
      <c r="BI275" s="25" t="s">
        <v>1158</v>
      </c>
      <c r="BJ275" s="14">
        <f t="shared" si="176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8"/>
        <v>4</v>
      </c>
      <c r="AV276" s="14">
        <f t="shared" si="169"/>
        <v>200504</v>
      </c>
      <c r="AW276" s="14">
        <f t="shared" si="170"/>
        <v>1102005</v>
      </c>
      <c r="AX276" s="13" t="s">
        <v>1127</v>
      </c>
      <c r="AY276" s="13">
        <f t="shared" si="171"/>
        <v>4</v>
      </c>
      <c r="AZ276" s="13" t="s">
        <v>1148</v>
      </c>
      <c r="BA276" s="14">
        <f t="shared" si="172"/>
        <v>2</v>
      </c>
      <c r="BB276" s="14" t="str">
        <f t="shared" si="173"/>
        <v>李轩辕魂珠-4 等级-2</v>
      </c>
      <c r="BC276" s="25" t="s">
        <v>1156</v>
      </c>
      <c r="BD276" s="14">
        <f t="shared" si="174"/>
        <v>144</v>
      </c>
      <c r="BE276" s="14">
        <f>SUMIFS(BD$4:BD276,$AU$4:$AU276,"="&amp;$AU276,$AY$4:$AY276,"="&amp;$AY276)</f>
        <v>234</v>
      </c>
      <c r="BF276" s="25" t="s">
        <v>1157</v>
      </c>
      <c r="BG276" s="14">
        <f t="shared" si="175"/>
        <v>80</v>
      </c>
      <c r="BH276" s="14">
        <f>SUMIFS(BG$4:BG276,AU$4:AU276,"="&amp;AU276,AY$4:AY276,"="&amp;AY276)</f>
        <v>130</v>
      </c>
      <c r="BI276" s="25" t="s">
        <v>1158</v>
      </c>
      <c r="BJ276" s="14">
        <f t="shared" si="176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8"/>
        <v>4</v>
      </c>
      <c r="AV277" s="14">
        <f t="shared" si="169"/>
        <v>200504</v>
      </c>
      <c r="AW277" s="14">
        <f t="shared" si="170"/>
        <v>1102005</v>
      </c>
      <c r="AX277" s="13" t="s">
        <v>1127</v>
      </c>
      <c r="AY277" s="13">
        <f t="shared" si="171"/>
        <v>4</v>
      </c>
      <c r="AZ277" s="13" t="s">
        <v>1148</v>
      </c>
      <c r="BA277" s="14">
        <f t="shared" si="172"/>
        <v>3</v>
      </c>
      <c r="BB277" s="14" t="str">
        <f t="shared" si="173"/>
        <v>李轩辕魂珠-4 等级-3</v>
      </c>
      <c r="BC277" s="25" t="s">
        <v>1156</v>
      </c>
      <c r="BD277" s="14">
        <f t="shared" si="174"/>
        <v>198</v>
      </c>
      <c r="BE277" s="14">
        <f>SUMIFS(BD$4:BD277,$AU$4:$AU277,"="&amp;$AU277,$AY$4:$AY277,"="&amp;$AY277)</f>
        <v>432</v>
      </c>
      <c r="BF277" s="25" t="s">
        <v>1157</v>
      </c>
      <c r="BG277" s="14">
        <f t="shared" si="175"/>
        <v>110</v>
      </c>
      <c r="BH277" s="14">
        <f>SUMIFS(BG$4:BG277,AU$4:AU277,"="&amp;AU277,AY$4:AY277,"="&amp;AY277)</f>
        <v>240</v>
      </c>
      <c r="BI277" s="25" t="s">
        <v>1158</v>
      </c>
      <c r="BJ277" s="14">
        <f t="shared" si="176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8"/>
        <v>4</v>
      </c>
      <c r="AV278" s="14">
        <f t="shared" si="169"/>
        <v>200504</v>
      </c>
      <c r="AW278" s="14">
        <f t="shared" si="170"/>
        <v>1102005</v>
      </c>
      <c r="AX278" s="13" t="s">
        <v>1127</v>
      </c>
      <c r="AY278" s="13">
        <f t="shared" si="171"/>
        <v>4</v>
      </c>
      <c r="AZ278" s="13" t="s">
        <v>1148</v>
      </c>
      <c r="BA278" s="14">
        <f t="shared" si="172"/>
        <v>4</v>
      </c>
      <c r="BB278" s="14" t="str">
        <f t="shared" si="173"/>
        <v>李轩辕魂珠-4 等级-4</v>
      </c>
      <c r="BC278" s="25" t="s">
        <v>1156</v>
      </c>
      <c r="BD278" s="14">
        <f t="shared" si="174"/>
        <v>288</v>
      </c>
      <c r="BE278" s="14">
        <f>SUMIFS(BD$4:BD278,$AU$4:$AU278,"="&amp;$AU278,$AY$4:$AY278,"="&amp;$AY278)</f>
        <v>720</v>
      </c>
      <c r="BF278" s="25" t="s">
        <v>1157</v>
      </c>
      <c r="BG278" s="14">
        <f t="shared" si="175"/>
        <v>160</v>
      </c>
      <c r="BH278" s="14">
        <f>SUMIFS(BG$4:BG278,AU$4:AU278,"="&amp;AU278,AY$4:AY278,"="&amp;AY278)</f>
        <v>400</v>
      </c>
      <c r="BI278" s="25" t="s">
        <v>1158</v>
      </c>
      <c r="BJ278" s="14">
        <f t="shared" si="176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8"/>
        <v>4</v>
      </c>
      <c r="AV279" s="14">
        <f t="shared" si="169"/>
        <v>200504</v>
      </c>
      <c r="AW279" s="14">
        <f t="shared" si="170"/>
        <v>1102005</v>
      </c>
      <c r="AX279" s="13" t="s">
        <v>1127</v>
      </c>
      <c r="AY279" s="13">
        <f t="shared" si="171"/>
        <v>4</v>
      </c>
      <c r="AZ279" s="13" t="s">
        <v>1148</v>
      </c>
      <c r="BA279" s="14">
        <f t="shared" si="172"/>
        <v>5</v>
      </c>
      <c r="BB279" s="14" t="str">
        <f t="shared" si="173"/>
        <v>李轩辕魂珠-4 等级-5</v>
      </c>
      <c r="BC279" s="25" t="s">
        <v>1156</v>
      </c>
      <c r="BD279" s="14">
        <f t="shared" si="174"/>
        <v>378</v>
      </c>
      <c r="BE279" s="14">
        <f>SUMIFS(BD$4:BD279,$AU$4:$AU279,"="&amp;$AU279,$AY$4:$AY279,"="&amp;$AY279)</f>
        <v>1098</v>
      </c>
      <c r="BF279" s="25" t="s">
        <v>1157</v>
      </c>
      <c r="BG279" s="14">
        <f t="shared" si="175"/>
        <v>210</v>
      </c>
      <c r="BH279" s="14">
        <f>SUMIFS(BG$4:BG279,AU$4:AU279,"="&amp;AU279,AY$4:AY279,"="&amp;AY279)</f>
        <v>610</v>
      </c>
      <c r="BI279" s="25" t="s">
        <v>1158</v>
      </c>
      <c r="BJ279" s="14">
        <f t="shared" si="176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8"/>
        <v>4</v>
      </c>
      <c r="AV280" s="14">
        <f t="shared" si="169"/>
        <v>200504</v>
      </c>
      <c r="AW280" s="14">
        <f t="shared" si="170"/>
        <v>1102005</v>
      </c>
      <c r="AX280" s="13" t="s">
        <v>1127</v>
      </c>
      <c r="AY280" s="13">
        <f t="shared" si="171"/>
        <v>4</v>
      </c>
      <c r="AZ280" s="13" t="s">
        <v>1148</v>
      </c>
      <c r="BA280" s="14">
        <f t="shared" si="172"/>
        <v>6</v>
      </c>
      <c r="BB280" s="14" t="str">
        <f t="shared" si="173"/>
        <v>李轩辕魂珠-4 等级-6</v>
      </c>
      <c r="BC280" s="25" t="s">
        <v>1156</v>
      </c>
      <c r="BD280" s="14">
        <f t="shared" si="174"/>
        <v>495</v>
      </c>
      <c r="BE280" s="14">
        <f>SUMIFS(BD$4:BD280,$AU$4:$AU280,"="&amp;$AU280,$AY$4:$AY280,"="&amp;$AY280)</f>
        <v>1593</v>
      </c>
      <c r="BF280" s="25" t="s">
        <v>1157</v>
      </c>
      <c r="BG280" s="14">
        <f t="shared" si="175"/>
        <v>275</v>
      </c>
      <c r="BH280" s="14">
        <f>SUMIFS(BG$4:BG280,AU$4:AU280,"="&amp;AU280,AY$4:AY280,"="&amp;AY280)</f>
        <v>885</v>
      </c>
      <c r="BI280" s="25" t="s">
        <v>1158</v>
      </c>
      <c r="BJ280" s="14">
        <f t="shared" si="176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8"/>
        <v>4</v>
      </c>
      <c r="AV281" s="14">
        <f t="shared" si="169"/>
        <v>200504</v>
      </c>
      <c r="AW281" s="14">
        <f t="shared" si="170"/>
        <v>1102005</v>
      </c>
      <c r="AX281" s="13" t="s">
        <v>1127</v>
      </c>
      <c r="AY281" s="13">
        <f t="shared" si="171"/>
        <v>4</v>
      </c>
      <c r="AZ281" s="13" t="s">
        <v>1148</v>
      </c>
      <c r="BA281" s="14">
        <f t="shared" si="172"/>
        <v>7</v>
      </c>
      <c r="BB281" s="14" t="str">
        <f t="shared" si="173"/>
        <v>李轩辕魂珠-4 等级-7</v>
      </c>
      <c r="BC281" s="25" t="s">
        <v>1156</v>
      </c>
      <c r="BD281" s="14">
        <f t="shared" si="174"/>
        <v>585</v>
      </c>
      <c r="BE281" s="14">
        <f>SUMIFS(BD$4:BD281,$AU$4:$AU281,"="&amp;$AU281,$AY$4:$AY281,"="&amp;$AY281)</f>
        <v>2178</v>
      </c>
      <c r="BF281" s="25" t="s">
        <v>1157</v>
      </c>
      <c r="BG281" s="14">
        <f t="shared" si="175"/>
        <v>325</v>
      </c>
      <c r="BH281" s="14">
        <f>SUMIFS(BG$4:BG281,AU$4:AU281,"="&amp;AU281,AY$4:AY281,"="&amp;AY281)</f>
        <v>1210</v>
      </c>
      <c r="BI281" s="25" t="s">
        <v>1158</v>
      </c>
      <c r="BJ281" s="14">
        <f t="shared" si="176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8"/>
        <v>4</v>
      </c>
      <c r="AV282" s="14">
        <f t="shared" si="169"/>
        <v>200504</v>
      </c>
      <c r="AW282" s="14">
        <f t="shared" si="170"/>
        <v>1102005</v>
      </c>
      <c r="AX282" s="13" t="s">
        <v>1127</v>
      </c>
      <c r="AY282" s="13">
        <f t="shared" si="171"/>
        <v>4</v>
      </c>
      <c r="AZ282" s="13" t="s">
        <v>1148</v>
      </c>
      <c r="BA282" s="14">
        <f t="shared" si="172"/>
        <v>8</v>
      </c>
      <c r="BB282" s="14" t="str">
        <f t="shared" si="173"/>
        <v>李轩辕魂珠-4 等级-8</v>
      </c>
      <c r="BC282" s="25" t="s">
        <v>1156</v>
      </c>
      <c r="BD282" s="14">
        <f t="shared" si="174"/>
        <v>675</v>
      </c>
      <c r="BE282" s="14">
        <f>SUMIFS(BD$4:BD282,$AU$4:$AU282,"="&amp;$AU282,$AY$4:$AY282,"="&amp;$AY282)</f>
        <v>2853</v>
      </c>
      <c r="BF282" s="25" t="s">
        <v>1157</v>
      </c>
      <c r="BG282" s="14">
        <f t="shared" si="175"/>
        <v>375</v>
      </c>
      <c r="BH282" s="14">
        <f>SUMIFS(BG$4:BG282,AU$4:AU282,"="&amp;AU282,AY$4:AY282,"="&amp;AY282)</f>
        <v>1585</v>
      </c>
      <c r="BI282" s="25" t="s">
        <v>1158</v>
      </c>
      <c r="BJ282" s="14">
        <f t="shared" si="176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8"/>
        <v>4</v>
      </c>
      <c r="AV283" s="14">
        <f t="shared" si="169"/>
        <v>200504</v>
      </c>
      <c r="AW283" s="14">
        <f t="shared" si="170"/>
        <v>1102005</v>
      </c>
      <c r="AX283" s="13" t="s">
        <v>1127</v>
      </c>
      <c r="AY283" s="13">
        <f t="shared" si="171"/>
        <v>4</v>
      </c>
      <c r="AZ283" s="13" t="s">
        <v>1148</v>
      </c>
      <c r="BA283" s="14">
        <f t="shared" si="172"/>
        <v>9</v>
      </c>
      <c r="BB283" s="14" t="str">
        <f t="shared" si="173"/>
        <v>李轩辕魂珠-4 等级-9</v>
      </c>
      <c r="BC283" s="25" t="s">
        <v>1156</v>
      </c>
      <c r="BD283" s="14">
        <f t="shared" si="174"/>
        <v>765</v>
      </c>
      <c r="BE283" s="14">
        <f>SUMIFS(BD$4:BD283,$AU$4:$AU283,"="&amp;$AU283,$AY$4:$AY283,"="&amp;$AY283)</f>
        <v>3618</v>
      </c>
      <c r="BF283" s="25" t="s">
        <v>1157</v>
      </c>
      <c r="BG283" s="14">
        <f t="shared" si="175"/>
        <v>425</v>
      </c>
      <c r="BH283" s="14">
        <f>SUMIFS(BG$4:BG283,AU$4:AU283,"="&amp;AU283,AY$4:AY283,"="&amp;AY283)</f>
        <v>2010</v>
      </c>
      <c r="BI283" s="25" t="s">
        <v>1158</v>
      </c>
      <c r="BJ283" s="14">
        <f t="shared" si="176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8"/>
        <v>4</v>
      </c>
      <c r="AV284" s="14">
        <f t="shared" si="169"/>
        <v>200505</v>
      </c>
      <c r="AW284" s="14">
        <f t="shared" si="170"/>
        <v>1102005</v>
      </c>
      <c r="AX284" s="13" t="s">
        <v>1127</v>
      </c>
      <c r="AY284" s="13">
        <f t="shared" si="171"/>
        <v>5</v>
      </c>
      <c r="AZ284" s="13" t="s">
        <v>1148</v>
      </c>
      <c r="BA284" s="14">
        <f t="shared" si="172"/>
        <v>0</v>
      </c>
      <c r="BB284" s="14" t="str">
        <f t="shared" si="173"/>
        <v>李轩辕魂珠-5 等级-0</v>
      </c>
      <c r="BC284" s="25" t="s">
        <v>1156</v>
      </c>
      <c r="BD284" s="14">
        <f t="shared" si="174"/>
        <v>0</v>
      </c>
      <c r="BE284" s="14">
        <f>SUMIFS(BD$4:BD284,$AU$4:$AU284,"="&amp;$AU284,$AY$4:$AY284,"="&amp;$AY284)</f>
        <v>0</v>
      </c>
      <c r="BF284" s="25" t="s">
        <v>1157</v>
      </c>
      <c r="BG284" s="14">
        <f t="shared" si="175"/>
        <v>0</v>
      </c>
      <c r="BH284" s="14">
        <f>SUMIFS(BG$4:BG284,AU$4:AU284,"="&amp;AU284,AY$4:AY284,"="&amp;AY284)</f>
        <v>0</v>
      </c>
      <c r="BI284" s="25" t="s">
        <v>1158</v>
      </c>
      <c r="BJ284" s="14">
        <f t="shared" si="176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8"/>
        <v>4</v>
      </c>
      <c r="AV285" s="14">
        <f t="shared" si="169"/>
        <v>200505</v>
      </c>
      <c r="AW285" s="14">
        <f t="shared" si="170"/>
        <v>1102005</v>
      </c>
      <c r="AX285" s="13" t="s">
        <v>1127</v>
      </c>
      <c r="AY285" s="13">
        <f t="shared" si="171"/>
        <v>5</v>
      </c>
      <c r="AZ285" s="13" t="s">
        <v>1148</v>
      </c>
      <c r="BA285" s="14">
        <f t="shared" si="172"/>
        <v>1</v>
      </c>
      <c r="BB285" s="14" t="str">
        <f t="shared" si="173"/>
        <v>李轩辕魂珠-5 等级-1</v>
      </c>
      <c r="BC285" s="25" t="s">
        <v>1156</v>
      </c>
      <c r="BD285" s="14">
        <f t="shared" si="174"/>
        <v>126</v>
      </c>
      <c r="BE285" s="14">
        <f>SUMIFS(BD$4:BD285,$AU$4:$AU285,"="&amp;$AU285,$AY$4:$AY285,"="&amp;$AY285)</f>
        <v>126</v>
      </c>
      <c r="BF285" s="25" t="s">
        <v>1157</v>
      </c>
      <c r="BG285" s="14">
        <f t="shared" si="175"/>
        <v>70</v>
      </c>
      <c r="BH285" s="14">
        <f>SUMIFS(BG$4:BG285,AU$4:AU285,"="&amp;AU285,AY$4:AY285,"="&amp;AY285)</f>
        <v>70</v>
      </c>
      <c r="BI285" s="25" t="s">
        <v>1158</v>
      </c>
      <c r="BJ285" s="14">
        <f t="shared" si="176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8"/>
        <v>4</v>
      </c>
      <c r="AV286" s="14">
        <f t="shared" si="169"/>
        <v>200505</v>
      </c>
      <c r="AW286" s="14">
        <f t="shared" si="170"/>
        <v>1102005</v>
      </c>
      <c r="AX286" s="13" t="s">
        <v>1127</v>
      </c>
      <c r="AY286" s="13">
        <f t="shared" si="171"/>
        <v>5</v>
      </c>
      <c r="AZ286" s="13" t="s">
        <v>1148</v>
      </c>
      <c r="BA286" s="14">
        <f t="shared" si="172"/>
        <v>2</v>
      </c>
      <c r="BB286" s="14" t="str">
        <f t="shared" si="173"/>
        <v>李轩辕魂珠-5 等级-2</v>
      </c>
      <c r="BC286" s="25" t="s">
        <v>1156</v>
      </c>
      <c r="BD286" s="14">
        <f t="shared" si="174"/>
        <v>180</v>
      </c>
      <c r="BE286" s="14">
        <f>SUMIFS(BD$4:BD286,$AU$4:$AU286,"="&amp;$AU286,$AY$4:$AY286,"="&amp;$AY286)</f>
        <v>306</v>
      </c>
      <c r="BF286" s="25" t="s">
        <v>1157</v>
      </c>
      <c r="BG286" s="14">
        <f t="shared" si="175"/>
        <v>100</v>
      </c>
      <c r="BH286" s="14">
        <f>SUMIFS(BG$4:BG286,AU$4:AU286,"="&amp;AU286,AY$4:AY286,"="&amp;AY286)</f>
        <v>170</v>
      </c>
      <c r="BI286" s="25" t="s">
        <v>1158</v>
      </c>
      <c r="BJ286" s="14">
        <f t="shared" si="176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8"/>
        <v>4</v>
      </c>
      <c r="AV287" s="14">
        <f t="shared" si="169"/>
        <v>200505</v>
      </c>
      <c r="AW287" s="14">
        <f t="shared" si="170"/>
        <v>1102005</v>
      </c>
      <c r="AX287" s="13" t="s">
        <v>1127</v>
      </c>
      <c r="AY287" s="13">
        <f t="shared" si="171"/>
        <v>5</v>
      </c>
      <c r="AZ287" s="13" t="s">
        <v>1148</v>
      </c>
      <c r="BA287" s="14">
        <f t="shared" si="172"/>
        <v>3</v>
      </c>
      <c r="BB287" s="14" t="str">
        <f t="shared" si="173"/>
        <v>李轩辕魂珠-5 等级-3</v>
      </c>
      <c r="BC287" s="25" t="s">
        <v>1156</v>
      </c>
      <c r="BD287" s="14">
        <f t="shared" si="174"/>
        <v>234</v>
      </c>
      <c r="BE287" s="14">
        <f>SUMIFS(BD$4:BD287,$AU$4:$AU287,"="&amp;$AU287,$AY$4:$AY287,"="&amp;$AY287)</f>
        <v>540</v>
      </c>
      <c r="BF287" s="25" t="s">
        <v>1157</v>
      </c>
      <c r="BG287" s="14">
        <f t="shared" si="175"/>
        <v>130</v>
      </c>
      <c r="BH287" s="14">
        <f>SUMIFS(BG$4:BG287,AU$4:AU287,"="&amp;AU287,AY$4:AY287,"="&amp;AY287)</f>
        <v>300</v>
      </c>
      <c r="BI287" s="25" t="s">
        <v>1158</v>
      </c>
      <c r="BJ287" s="14">
        <f t="shared" si="176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8"/>
        <v>4</v>
      </c>
      <c r="AV288" s="14">
        <f t="shared" si="169"/>
        <v>200505</v>
      </c>
      <c r="AW288" s="14">
        <f t="shared" si="170"/>
        <v>1102005</v>
      </c>
      <c r="AX288" s="13" t="s">
        <v>1127</v>
      </c>
      <c r="AY288" s="13">
        <f t="shared" si="171"/>
        <v>5</v>
      </c>
      <c r="AZ288" s="13" t="s">
        <v>1148</v>
      </c>
      <c r="BA288" s="14">
        <f t="shared" si="172"/>
        <v>4</v>
      </c>
      <c r="BB288" s="14" t="str">
        <f t="shared" si="173"/>
        <v>李轩辕魂珠-5 等级-4</v>
      </c>
      <c r="BC288" s="25" t="s">
        <v>1156</v>
      </c>
      <c r="BD288" s="14">
        <f t="shared" si="174"/>
        <v>360</v>
      </c>
      <c r="BE288" s="14">
        <f>SUMIFS(BD$4:BD288,$AU$4:$AU288,"="&amp;$AU288,$AY$4:$AY288,"="&amp;$AY288)</f>
        <v>900</v>
      </c>
      <c r="BF288" s="25" t="s">
        <v>1157</v>
      </c>
      <c r="BG288" s="14">
        <f t="shared" si="175"/>
        <v>200</v>
      </c>
      <c r="BH288" s="14">
        <f>SUMIFS(BG$4:BG288,AU$4:AU288,"="&amp;AU288,AY$4:AY288,"="&amp;AY288)</f>
        <v>500</v>
      </c>
      <c r="BI288" s="25" t="s">
        <v>1158</v>
      </c>
      <c r="BJ288" s="14">
        <f t="shared" si="176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8"/>
        <v>4</v>
      </c>
      <c r="AV289" s="14">
        <f t="shared" si="169"/>
        <v>200505</v>
      </c>
      <c r="AW289" s="14">
        <f t="shared" si="170"/>
        <v>1102005</v>
      </c>
      <c r="AX289" s="13" t="s">
        <v>1127</v>
      </c>
      <c r="AY289" s="13">
        <f t="shared" si="171"/>
        <v>5</v>
      </c>
      <c r="AZ289" s="13" t="s">
        <v>1148</v>
      </c>
      <c r="BA289" s="14">
        <f t="shared" si="172"/>
        <v>5</v>
      </c>
      <c r="BB289" s="14" t="str">
        <f t="shared" si="173"/>
        <v>李轩辕魂珠-5 等级-5</v>
      </c>
      <c r="BC289" s="25" t="s">
        <v>1156</v>
      </c>
      <c r="BD289" s="14">
        <f t="shared" si="174"/>
        <v>468</v>
      </c>
      <c r="BE289" s="14">
        <f>SUMIFS(BD$4:BD289,$AU$4:$AU289,"="&amp;$AU289,$AY$4:$AY289,"="&amp;$AY289)</f>
        <v>1368</v>
      </c>
      <c r="BF289" s="25" t="s">
        <v>1157</v>
      </c>
      <c r="BG289" s="14">
        <f t="shared" si="175"/>
        <v>260</v>
      </c>
      <c r="BH289" s="14">
        <f>SUMIFS(BG$4:BG289,AU$4:AU289,"="&amp;AU289,AY$4:AY289,"="&amp;AY289)</f>
        <v>760</v>
      </c>
      <c r="BI289" s="25" t="s">
        <v>1158</v>
      </c>
      <c r="BJ289" s="14">
        <f t="shared" si="176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8"/>
        <v>4</v>
      </c>
      <c r="AV290" s="14">
        <f t="shared" si="169"/>
        <v>200505</v>
      </c>
      <c r="AW290" s="14">
        <f t="shared" si="170"/>
        <v>1102005</v>
      </c>
      <c r="AX290" s="13" t="s">
        <v>1127</v>
      </c>
      <c r="AY290" s="13">
        <f t="shared" si="171"/>
        <v>5</v>
      </c>
      <c r="AZ290" s="13" t="s">
        <v>1148</v>
      </c>
      <c r="BA290" s="14">
        <f t="shared" si="172"/>
        <v>6</v>
      </c>
      <c r="BB290" s="14" t="str">
        <f t="shared" si="173"/>
        <v>李轩辕魂珠-5 等级-6</v>
      </c>
      <c r="BC290" s="25" t="s">
        <v>1156</v>
      </c>
      <c r="BD290" s="14">
        <f t="shared" si="174"/>
        <v>585</v>
      </c>
      <c r="BE290" s="14">
        <f>SUMIFS(BD$4:BD290,$AU$4:$AU290,"="&amp;$AU290,$AY$4:$AY290,"="&amp;$AY290)</f>
        <v>1953</v>
      </c>
      <c r="BF290" s="25" t="s">
        <v>1157</v>
      </c>
      <c r="BG290" s="14">
        <f t="shared" si="175"/>
        <v>325</v>
      </c>
      <c r="BH290" s="14">
        <f>SUMIFS(BG$4:BG290,AU$4:AU290,"="&amp;AU290,AY$4:AY290,"="&amp;AY290)</f>
        <v>1085</v>
      </c>
      <c r="BI290" s="25" t="s">
        <v>1158</v>
      </c>
      <c r="BJ290" s="14">
        <f t="shared" si="176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8"/>
        <v>4</v>
      </c>
      <c r="AV291" s="14">
        <f t="shared" si="169"/>
        <v>200505</v>
      </c>
      <c r="AW291" s="14">
        <f t="shared" si="170"/>
        <v>1102005</v>
      </c>
      <c r="AX291" s="13" t="s">
        <v>1127</v>
      </c>
      <c r="AY291" s="13">
        <f t="shared" si="171"/>
        <v>5</v>
      </c>
      <c r="AZ291" s="13" t="s">
        <v>1148</v>
      </c>
      <c r="BA291" s="14">
        <f t="shared" si="172"/>
        <v>7</v>
      </c>
      <c r="BB291" s="14" t="str">
        <f t="shared" si="173"/>
        <v>李轩辕魂珠-5 等级-7</v>
      </c>
      <c r="BC291" s="25" t="s">
        <v>1156</v>
      </c>
      <c r="BD291" s="14">
        <f t="shared" si="174"/>
        <v>720</v>
      </c>
      <c r="BE291" s="14">
        <f>SUMIFS(BD$4:BD291,$AU$4:$AU291,"="&amp;$AU291,$AY$4:$AY291,"="&amp;$AY291)</f>
        <v>2673</v>
      </c>
      <c r="BF291" s="25" t="s">
        <v>1157</v>
      </c>
      <c r="BG291" s="14">
        <f t="shared" si="175"/>
        <v>400</v>
      </c>
      <c r="BH291" s="14">
        <f>SUMIFS(BG$4:BG291,AU$4:AU291,"="&amp;AU291,AY$4:AY291,"="&amp;AY291)</f>
        <v>1485</v>
      </c>
      <c r="BI291" s="25" t="s">
        <v>1158</v>
      </c>
      <c r="BJ291" s="14">
        <f t="shared" si="176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8"/>
        <v>4</v>
      </c>
      <c r="AV292" s="14">
        <f t="shared" si="169"/>
        <v>200505</v>
      </c>
      <c r="AW292" s="14">
        <f t="shared" si="170"/>
        <v>1102005</v>
      </c>
      <c r="AX292" s="13" t="s">
        <v>1127</v>
      </c>
      <c r="AY292" s="13">
        <f t="shared" si="171"/>
        <v>5</v>
      </c>
      <c r="AZ292" s="13" t="s">
        <v>1148</v>
      </c>
      <c r="BA292" s="14">
        <f t="shared" si="172"/>
        <v>8</v>
      </c>
      <c r="BB292" s="14" t="str">
        <f t="shared" si="173"/>
        <v>李轩辕魂珠-5 等级-8</v>
      </c>
      <c r="BC292" s="25" t="s">
        <v>1156</v>
      </c>
      <c r="BD292" s="14">
        <f t="shared" si="174"/>
        <v>855</v>
      </c>
      <c r="BE292" s="14">
        <f>SUMIFS(BD$4:BD292,$AU$4:$AU292,"="&amp;$AU292,$AY$4:$AY292,"="&amp;$AY292)</f>
        <v>3528</v>
      </c>
      <c r="BF292" s="25" t="s">
        <v>1157</v>
      </c>
      <c r="BG292" s="14">
        <f t="shared" si="175"/>
        <v>475</v>
      </c>
      <c r="BH292" s="14">
        <f>SUMIFS(BG$4:BG292,AU$4:AU292,"="&amp;AU292,AY$4:AY292,"="&amp;AY292)</f>
        <v>1960</v>
      </c>
      <c r="BI292" s="25" t="s">
        <v>1158</v>
      </c>
      <c r="BJ292" s="14">
        <f t="shared" si="176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8"/>
        <v>4</v>
      </c>
      <c r="AV293" s="14">
        <f t="shared" si="169"/>
        <v>200505</v>
      </c>
      <c r="AW293" s="14">
        <f t="shared" si="170"/>
        <v>1102005</v>
      </c>
      <c r="AX293" s="13" t="s">
        <v>1127</v>
      </c>
      <c r="AY293" s="13">
        <f t="shared" si="171"/>
        <v>5</v>
      </c>
      <c r="AZ293" s="13" t="s">
        <v>1148</v>
      </c>
      <c r="BA293" s="14">
        <f t="shared" si="172"/>
        <v>9</v>
      </c>
      <c r="BB293" s="14" t="str">
        <f t="shared" si="173"/>
        <v>李轩辕魂珠-5 等级-9</v>
      </c>
      <c r="BC293" s="25" t="s">
        <v>1156</v>
      </c>
      <c r="BD293" s="14">
        <f t="shared" si="174"/>
        <v>990</v>
      </c>
      <c r="BE293" s="14">
        <f>SUMIFS(BD$4:BD293,$AU$4:$AU293,"="&amp;$AU293,$AY$4:$AY293,"="&amp;$AY293)</f>
        <v>4518</v>
      </c>
      <c r="BF293" s="25" t="s">
        <v>1157</v>
      </c>
      <c r="BG293" s="14">
        <f t="shared" si="175"/>
        <v>550</v>
      </c>
      <c r="BH293" s="14">
        <f>SUMIFS(BG$4:BG293,AU$4:AU293,"="&amp;AU293,AY$4:AY293,"="&amp;AY293)</f>
        <v>2510</v>
      </c>
      <c r="BI293" s="25" t="s">
        <v>1158</v>
      </c>
      <c r="BJ293" s="14">
        <f t="shared" si="176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8"/>
        <v>4</v>
      </c>
      <c r="AV294" s="14">
        <f t="shared" si="169"/>
        <v>200506</v>
      </c>
      <c r="AW294" s="14">
        <f t="shared" si="170"/>
        <v>1102005</v>
      </c>
      <c r="AX294" s="13" t="s">
        <v>1127</v>
      </c>
      <c r="AY294" s="13">
        <f t="shared" si="171"/>
        <v>6</v>
      </c>
      <c r="AZ294" s="13" t="s">
        <v>1148</v>
      </c>
      <c r="BA294" s="14">
        <f t="shared" si="172"/>
        <v>0</v>
      </c>
      <c r="BB294" s="14" t="str">
        <f t="shared" si="173"/>
        <v>李轩辕魂珠-6 等级-0</v>
      </c>
      <c r="BC294" s="25" t="s">
        <v>1156</v>
      </c>
      <c r="BD294" s="14">
        <f t="shared" si="174"/>
        <v>0</v>
      </c>
      <c r="BE294" s="14">
        <f>SUMIFS(BD$4:BD294,$AU$4:$AU294,"="&amp;$AU294,$AY$4:$AY294,"="&amp;$AY294)</f>
        <v>0</v>
      </c>
      <c r="BF294" s="25" t="s">
        <v>1157</v>
      </c>
      <c r="BG294" s="14">
        <f t="shared" si="175"/>
        <v>0</v>
      </c>
      <c r="BH294" s="14">
        <f>SUMIFS(BG$4:BG294,AU$4:AU294,"="&amp;AU294,AY$4:AY294,"="&amp;AY294)</f>
        <v>0</v>
      </c>
      <c r="BI294" s="25" t="s">
        <v>1158</v>
      </c>
      <c r="BJ294" s="14">
        <f t="shared" si="176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8"/>
        <v>4</v>
      </c>
      <c r="AV295" s="14">
        <f t="shared" si="169"/>
        <v>200506</v>
      </c>
      <c r="AW295" s="14">
        <f t="shared" si="170"/>
        <v>1102005</v>
      </c>
      <c r="AX295" s="13" t="s">
        <v>1127</v>
      </c>
      <c r="AY295" s="13">
        <f t="shared" si="171"/>
        <v>6</v>
      </c>
      <c r="AZ295" s="13" t="s">
        <v>1148</v>
      </c>
      <c r="BA295" s="14">
        <f t="shared" si="172"/>
        <v>1</v>
      </c>
      <c r="BB295" s="14" t="str">
        <f t="shared" si="173"/>
        <v>李轩辕魂珠-6 等级-1</v>
      </c>
      <c r="BC295" s="25" t="s">
        <v>1156</v>
      </c>
      <c r="BD295" s="14">
        <f t="shared" si="174"/>
        <v>162</v>
      </c>
      <c r="BE295" s="14">
        <f>SUMIFS(BD$4:BD295,$AU$4:$AU295,"="&amp;$AU295,$AY$4:$AY295,"="&amp;$AY295)</f>
        <v>162</v>
      </c>
      <c r="BF295" s="25" t="s">
        <v>1157</v>
      </c>
      <c r="BG295" s="14">
        <f t="shared" si="175"/>
        <v>90</v>
      </c>
      <c r="BH295" s="14">
        <f>SUMIFS(BG$4:BG295,AU$4:AU295,"="&amp;AU295,AY$4:AY295,"="&amp;AY295)</f>
        <v>90</v>
      </c>
      <c r="BI295" s="25" t="s">
        <v>1158</v>
      </c>
      <c r="BJ295" s="14">
        <f t="shared" si="176"/>
        <v>3960</v>
      </c>
      <c r="BK295" s="14">
        <f>SUMIFS(BJ$4:BJ295,$AU$4:$AU295,"="&amp;$AU295,$AY$4:$AY295,"="&amp;$AY295)</f>
        <v>3960</v>
      </c>
    </row>
    <row r="296" spans="46:63" ht="16.5" x14ac:dyDescent="0.2">
      <c r="AT296" s="13">
        <v>293</v>
      </c>
      <c r="AU296" s="13">
        <f t="shared" si="168"/>
        <v>4</v>
      </c>
      <c r="AV296" s="14">
        <f t="shared" si="169"/>
        <v>200506</v>
      </c>
      <c r="AW296" s="14">
        <f t="shared" si="170"/>
        <v>1102005</v>
      </c>
      <c r="AX296" s="13" t="s">
        <v>1127</v>
      </c>
      <c r="AY296" s="13">
        <f t="shared" si="171"/>
        <v>6</v>
      </c>
      <c r="AZ296" s="13" t="s">
        <v>1148</v>
      </c>
      <c r="BA296" s="14">
        <f t="shared" si="172"/>
        <v>2</v>
      </c>
      <c r="BB296" s="14" t="str">
        <f t="shared" si="173"/>
        <v>李轩辕魂珠-6 等级-2</v>
      </c>
      <c r="BC296" s="25" t="s">
        <v>1156</v>
      </c>
      <c r="BD296" s="14">
        <f t="shared" si="174"/>
        <v>252</v>
      </c>
      <c r="BE296" s="14">
        <f>SUMIFS(BD$4:BD296,$AU$4:$AU296,"="&amp;$AU296,$AY$4:$AY296,"="&amp;$AY296)</f>
        <v>414</v>
      </c>
      <c r="BF296" s="25" t="s">
        <v>1157</v>
      </c>
      <c r="BG296" s="14">
        <f t="shared" si="175"/>
        <v>140</v>
      </c>
      <c r="BH296" s="14">
        <f>SUMIFS(BG$4:BG296,AU$4:AU296,"="&amp;AU296,AY$4:AY296,"="&amp;AY296)</f>
        <v>230</v>
      </c>
      <c r="BI296" s="25" t="s">
        <v>1158</v>
      </c>
      <c r="BJ296" s="14">
        <f t="shared" si="176"/>
        <v>6160</v>
      </c>
      <c r="BK296" s="14">
        <f>SUMIFS(BJ$4:BJ296,$AU$4:$AU296,"="&amp;$AU296,$AY$4:$AY296,"="&amp;$AY296)</f>
        <v>10120</v>
      </c>
    </row>
    <row r="297" spans="46:63" ht="16.5" x14ac:dyDescent="0.2">
      <c r="AT297" s="13">
        <v>294</v>
      </c>
      <c r="AU297" s="13">
        <f t="shared" si="168"/>
        <v>4</v>
      </c>
      <c r="AV297" s="14">
        <f t="shared" si="169"/>
        <v>200506</v>
      </c>
      <c r="AW297" s="14">
        <f t="shared" si="170"/>
        <v>1102005</v>
      </c>
      <c r="AX297" s="13" t="s">
        <v>1127</v>
      </c>
      <c r="AY297" s="13">
        <f t="shared" si="171"/>
        <v>6</v>
      </c>
      <c r="AZ297" s="13" t="s">
        <v>1148</v>
      </c>
      <c r="BA297" s="14">
        <f t="shared" si="172"/>
        <v>3</v>
      </c>
      <c r="BB297" s="14" t="str">
        <f t="shared" si="173"/>
        <v>李轩辕魂珠-6 等级-3</v>
      </c>
      <c r="BC297" s="25" t="s">
        <v>1156</v>
      </c>
      <c r="BD297" s="14">
        <f t="shared" si="174"/>
        <v>338</v>
      </c>
      <c r="BE297" s="14">
        <f>SUMIFS(BD$4:BD297,$AU$4:$AU297,"="&amp;$AU297,$AY$4:$AY297,"="&amp;$AY297)</f>
        <v>752</v>
      </c>
      <c r="BF297" s="25" t="s">
        <v>1157</v>
      </c>
      <c r="BG297" s="14">
        <f t="shared" si="175"/>
        <v>188</v>
      </c>
      <c r="BH297" s="14">
        <f>SUMIFS(BG$4:BG297,AU$4:AU297,"="&amp;AU297,AY$4:AY297,"="&amp;AY297)</f>
        <v>418</v>
      </c>
      <c r="BI297" s="25" t="s">
        <v>1158</v>
      </c>
      <c r="BJ297" s="14">
        <f t="shared" si="176"/>
        <v>8250</v>
      </c>
      <c r="BK297" s="14">
        <f>SUMIFS(BJ$4:BJ297,$AU$4:$AU297,"="&amp;$AU297,$AY$4:$AY297,"="&amp;$AY297)</f>
        <v>18370</v>
      </c>
    </row>
    <row r="298" spans="46:63" ht="16.5" x14ac:dyDescent="0.2">
      <c r="AT298" s="13">
        <v>295</v>
      </c>
      <c r="AU298" s="13">
        <f t="shared" si="168"/>
        <v>4</v>
      </c>
      <c r="AV298" s="14">
        <f t="shared" si="169"/>
        <v>200506</v>
      </c>
      <c r="AW298" s="14">
        <f t="shared" si="170"/>
        <v>1102005</v>
      </c>
      <c r="AX298" s="13" t="s">
        <v>1127</v>
      </c>
      <c r="AY298" s="13">
        <f t="shared" si="171"/>
        <v>6</v>
      </c>
      <c r="AZ298" s="13" t="s">
        <v>1148</v>
      </c>
      <c r="BA298" s="14">
        <f t="shared" si="172"/>
        <v>4</v>
      </c>
      <c r="BB298" s="14" t="str">
        <f t="shared" si="173"/>
        <v>李轩辕魂珠-6 等级-4</v>
      </c>
      <c r="BC298" s="25" t="s">
        <v>1156</v>
      </c>
      <c r="BD298" s="14">
        <f t="shared" si="174"/>
        <v>504</v>
      </c>
      <c r="BE298" s="14">
        <f>SUMIFS(BD$4:BD298,$AU$4:$AU298,"="&amp;$AU298,$AY$4:$AY298,"="&amp;$AY298)</f>
        <v>1256</v>
      </c>
      <c r="BF298" s="25" t="s">
        <v>1157</v>
      </c>
      <c r="BG298" s="14">
        <f t="shared" si="175"/>
        <v>280</v>
      </c>
      <c r="BH298" s="14">
        <f>SUMIFS(BG$4:BG298,AU$4:AU298,"="&amp;AU298,AY$4:AY298,"="&amp;AY298)</f>
        <v>698</v>
      </c>
      <c r="BI298" s="25" t="s">
        <v>1158</v>
      </c>
      <c r="BJ298" s="14">
        <f t="shared" si="176"/>
        <v>12320</v>
      </c>
      <c r="BK298" s="14">
        <f>SUMIFS(BJ$4:BJ298,$AU$4:$AU298,"="&amp;$AU298,$AY$4:$AY298,"="&amp;$AY298)</f>
        <v>30690</v>
      </c>
    </row>
    <row r="299" spans="46:63" ht="16.5" x14ac:dyDescent="0.2">
      <c r="AT299" s="13">
        <v>296</v>
      </c>
      <c r="AU299" s="13">
        <f t="shared" si="168"/>
        <v>4</v>
      </c>
      <c r="AV299" s="14">
        <f t="shared" si="169"/>
        <v>200506</v>
      </c>
      <c r="AW299" s="14">
        <f t="shared" si="170"/>
        <v>1102005</v>
      </c>
      <c r="AX299" s="13" t="s">
        <v>1127</v>
      </c>
      <c r="AY299" s="13">
        <f t="shared" si="171"/>
        <v>6</v>
      </c>
      <c r="AZ299" s="13" t="s">
        <v>1148</v>
      </c>
      <c r="BA299" s="14">
        <f t="shared" si="172"/>
        <v>5</v>
      </c>
      <c r="BB299" s="14" t="str">
        <f t="shared" si="173"/>
        <v>李轩辕魂珠-6 等级-5</v>
      </c>
      <c r="BC299" s="25" t="s">
        <v>1156</v>
      </c>
      <c r="BD299" s="14">
        <f t="shared" si="174"/>
        <v>675</v>
      </c>
      <c r="BE299" s="14">
        <f>SUMIFS(BD$4:BD299,$AU$4:$AU299,"="&amp;$AU299,$AY$4:$AY299,"="&amp;$AY299)</f>
        <v>1931</v>
      </c>
      <c r="BF299" s="25" t="s">
        <v>1157</v>
      </c>
      <c r="BG299" s="14">
        <f t="shared" si="175"/>
        <v>375</v>
      </c>
      <c r="BH299" s="14">
        <f>SUMIFS(BG$4:BG299,AU$4:AU299,"="&amp;AU299,AY$4:AY299,"="&amp;AY299)</f>
        <v>1073</v>
      </c>
      <c r="BI299" s="25" t="s">
        <v>1158</v>
      </c>
      <c r="BJ299" s="14">
        <f t="shared" si="176"/>
        <v>16500</v>
      </c>
      <c r="BK299" s="14">
        <f>SUMIFS(BJ$4:BJ299,$AU$4:$AU299,"="&amp;$AU299,$AY$4:$AY299,"="&amp;$AY299)</f>
        <v>47190</v>
      </c>
    </row>
    <row r="300" spans="46:63" ht="16.5" x14ac:dyDescent="0.2">
      <c r="AT300" s="13">
        <v>297</v>
      </c>
      <c r="AU300" s="13">
        <f t="shared" si="168"/>
        <v>4</v>
      </c>
      <c r="AV300" s="14">
        <f t="shared" si="169"/>
        <v>200506</v>
      </c>
      <c r="AW300" s="14">
        <f t="shared" si="170"/>
        <v>1102005</v>
      </c>
      <c r="AX300" s="13" t="s">
        <v>1127</v>
      </c>
      <c r="AY300" s="13">
        <f t="shared" si="171"/>
        <v>6</v>
      </c>
      <c r="AZ300" s="13" t="s">
        <v>1148</v>
      </c>
      <c r="BA300" s="14">
        <f t="shared" si="172"/>
        <v>6</v>
      </c>
      <c r="BB300" s="14" t="str">
        <f t="shared" si="173"/>
        <v>李轩辕魂珠-6 等级-6</v>
      </c>
      <c r="BC300" s="25" t="s">
        <v>1156</v>
      </c>
      <c r="BD300" s="14">
        <f t="shared" si="174"/>
        <v>855</v>
      </c>
      <c r="BE300" s="14">
        <f>SUMIFS(BD$4:BD300,$AU$4:$AU300,"="&amp;$AU300,$AY$4:$AY300,"="&amp;$AY300)</f>
        <v>2786</v>
      </c>
      <c r="BF300" s="25" t="s">
        <v>1157</v>
      </c>
      <c r="BG300" s="14">
        <f t="shared" si="175"/>
        <v>475</v>
      </c>
      <c r="BH300" s="14">
        <f>SUMIFS(BG$4:BG300,AU$4:AU300,"="&amp;AU300,AY$4:AY300,"="&amp;AY300)</f>
        <v>1548</v>
      </c>
      <c r="BI300" s="25" t="s">
        <v>1158</v>
      </c>
      <c r="BJ300" s="14">
        <f t="shared" si="176"/>
        <v>20900</v>
      </c>
      <c r="BK300" s="14">
        <f>SUMIFS(BJ$4:BJ300,$AU$4:$AU300,"="&amp;$AU300,$AY$4:$AY300,"="&amp;$AY300)</f>
        <v>68090</v>
      </c>
    </row>
    <row r="301" spans="46:63" ht="16.5" x14ac:dyDescent="0.2">
      <c r="AT301" s="13">
        <v>298</v>
      </c>
      <c r="AU301" s="13">
        <f t="shared" si="168"/>
        <v>4</v>
      </c>
      <c r="AV301" s="14">
        <f t="shared" si="169"/>
        <v>200506</v>
      </c>
      <c r="AW301" s="14">
        <f t="shared" si="170"/>
        <v>1102005</v>
      </c>
      <c r="AX301" s="13" t="s">
        <v>1127</v>
      </c>
      <c r="AY301" s="13">
        <f t="shared" si="171"/>
        <v>6</v>
      </c>
      <c r="AZ301" s="13" t="s">
        <v>1148</v>
      </c>
      <c r="BA301" s="14">
        <f t="shared" si="172"/>
        <v>7</v>
      </c>
      <c r="BB301" s="14" t="str">
        <f t="shared" si="173"/>
        <v>李轩辕魂珠-6 等级-7</v>
      </c>
      <c r="BC301" s="25" t="s">
        <v>1156</v>
      </c>
      <c r="BD301" s="14">
        <f t="shared" si="174"/>
        <v>1035</v>
      </c>
      <c r="BE301" s="14">
        <f>SUMIFS(BD$4:BD301,$AU$4:$AU301,"="&amp;$AU301,$AY$4:$AY301,"="&amp;$AY301)</f>
        <v>3821</v>
      </c>
      <c r="BF301" s="25" t="s">
        <v>1157</v>
      </c>
      <c r="BG301" s="14">
        <f t="shared" si="175"/>
        <v>575</v>
      </c>
      <c r="BH301" s="14">
        <f>SUMIFS(BG$4:BG301,AU$4:AU301,"="&amp;AU301,AY$4:AY301,"="&amp;AY301)</f>
        <v>2123</v>
      </c>
      <c r="BI301" s="25" t="s">
        <v>1158</v>
      </c>
      <c r="BJ301" s="14">
        <f t="shared" si="176"/>
        <v>25300</v>
      </c>
      <c r="BK301" s="14">
        <f>SUMIFS(BJ$4:BJ301,$AU$4:$AU301,"="&amp;$AU301,$AY$4:$AY301,"="&amp;$AY301)</f>
        <v>93390</v>
      </c>
    </row>
    <row r="302" spans="46:63" ht="16.5" x14ac:dyDescent="0.2">
      <c r="AT302" s="13">
        <v>299</v>
      </c>
      <c r="AU302" s="13">
        <f t="shared" si="168"/>
        <v>4</v>
      </c>
      <c r="AV302" s="14">
        <f t="shared" si="169"/>
        <v>200506</v>
      </c>
      <c r="AW302" s="14">
        <f t="shared" si="170"/>
        <v>1102005</v>
      </c>
      <c r="AX302" s="13" t="s">
        <v>1127</v>
      </c>
      <c r="AY302" s="13">
        <f t="shared" si="171"/>
        <v>6</v>
      </c>
      <c r="AZ302" s="13" t="s">
        <v>1148</v>
      </c>
      <c r="BA302" s="14">
        <f t="shared" si="172"/>
        <v>8</v>
      </c>
      <c r="BB302" s="14" t="str">
        <f t="shared" si="173"/>
        <v>李轩辕魂珠-6 等级-8</v>
      </c>
      <c r="BC302" s="25" t="s">
        <v>1156</v>
      </c>
      <c r="BD302" s="14">
        <f t="shared" si="174"/>
        <v>1170</v>
      </c>
      <c r="BE302" s="14">
        <f>SUMIFS(BD$4:BD302,$AU$4:$AU302,"="&amp;$AU302,$AY$4:$AY302,"="&amp;$AY302)</f>
        <v>4991</v>
      </c>
      <c r="BF302" s="25" t="s">
        <v>1157</v>
      </c>
      <c r="BG302" s="14">
        <f t="shared" si="175"/>
        <v>650</v>
      </c>
      <c r="BH302" s="14">
        <f>SUMIFS(BG$4:BG302,AU$4:AU302,"="&amp;AU302,AY$4:AY302,"="&amp;AY302)</f>
        <v>2773</v>
      </c>
      <c r="BI302" s="25" t="s">
        <v>1158</v>
      </c>
      <c r="BJ302" s="14">
        <f t="shared" si="176"/>
        <v>28600</v>
      </c>
      <c r="BK302" s="14">
        <f>SUMIFS(BJ$4:BJ302,$AU$4:$AU302,"="&amp;$AU302,$AY$4:$AY302,"="&amp;$AY302)</f>
        <v>121990</v>
      </c>
    </row>
    <row r="303" spans="46:63" ht="16.5" x14ac:dyDescent="0.2">
      <c r="AT303" s="13">
        <v>300</v>
      </c>
      <c r="AU303" s="13">
        <f t="shared" si="168"/>
        <v>4</v>
      </c>
      <c r="AV303" s="14">
        <f t="shared" si="169"/>
        <v>200506</v>
      </c>
      <c r="AW303" s="14">
        <f t="shared" si="170"/>
        <v>1102005</v>
      </c>
      <c r="AX303" s="13" t="s">
        <v>1127</v>
      </c>
      <c r="AY303" s="13">
        <f t="shared" si="171"/>
        <v>6</v>
      </c>
      <c r="AZ303" s="13" t="s">
        <v>1148</v>
      </c>
      <c r="BA303" s="14">
        <f t="shared" si="172"/>
        <v>9</v>
      </c>
      <c r="BB303" s="14" t="str">
        <f t="shared" si="173"/>
        <v>李轩辕魂珠-6 等级-9</v>
      </c>
      <c r="BC303" s="25" t="s">
        <v>1156</v>
      </c>
      <c r="BD303" s="14">
        <f t="shared" si="174"/>
        <v>1350</v>
      </c>
      <c r="BE303" s="14">
        <f>SUMIFS(BD$4:BD303,$AU$4:$AU303,"="&amp;$AU303,$AY$4:$AY303,"="&amp;$AY303)</f>
        <v>6341</v>
      </c>
      <c r="BF303" s="25" t="s">
        <v>1157</v>
      </c>
      <c r="BG303" s="14">
        <f t="shared" si="175"/>
        <v>750</v>
      </c>
      <c r="BH303" s="14">
        <f>SUMIFS(BG$4:BG303,AU$4:AU303,"="&amp;AU303,AY$4:AY303,"="&amp;AY303)</f>
        <v>3523</v>
      </c>
      <c r="BI303" s="25" t="s">
        <v>1158</v>
      </c>
      <c r="BJ303" s="14">
        <f t="shared" si="176"/>
        <v>33000</v>
      </c>
      <c r="BK303" s="14">
        <f>SUMIFS(BJ$4:BJ303,$AU$4:$AU303,"="&amp;$AU303,$AY$4:$AY303,"="&amp;$AY303)</f>
        <v>154990</v>
      </c>
    </row>
    <row r="304" spans="46:63" ht="16.5" x14ac:dyDescent="0.2">
      <c r="AT304" s="13">
        <v>301</v>
      </c>
      <c r="AU304" s="13">
        <f t="shared" si="168"/>
        <v>4</v>
      </c>
      <c r="AV304" s="14">
        <f t="shared" si="169"/>
        <v>200507</v>
      </c>
      <c r="AW304" s="14">
        <f t="shared" si="170"/>
        <v>1102005</v>
      </c>
      <c r="AX304" s="13" t="s">
        <v>1127</v>
      </c>
      <c r="AY304" s="13">
        <f t="shared" si="171"/>
        <v>7</v>
      </c>
      <c r="AZ304" s="13" t="s">
        <v>1148</v>
      </c>
      <c r="BA304" s="14">
        <f t="shared" si="172"/>
        <v>0</v>
      </c>
      <c r="BB304" s="14" t="str">
        <f t="shared" si="173"/>
        <v>李轩辕魂珠-7 等级-0</v>
      </c>
      <c r="BC304" s="25" t="s">
        <v>1156</v>
      </c>
      <c r="BD304" s="14">
        <f t="shared" si="174"/>
        <v>0</v>
      </c>
      <c r="BE304" s="14">
        <f>SUMIFS(BD$4:BD304,$AU$4:$AU304,"="&amp;$AU304,$AY$4:$AY304,"="&amp;$AY304)</f>
        <v>0</v>
      </c>
      <c r="BF304" s="25" t="s">
        <v>1157</v>
      </c>
      <c r="BG304" s="14">
        <f t="shared" si="175"/>
        <v>0</v>
      </c>
      <c r="BH304" s="14">
        <f>SUMIFS(BG$4:BG304,AU$4:AU304,"="&amp;AU304,AY$4:AY304,"="&amp;AY304)</f>
        <v>0</v>
      </c>
      <c r="BI304" s="25" t="s">
        <v>1158</v>
      </c>
      <c r="BJ304" s="14">
        <f t="shared" si="176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8"/>
        <v>4</v>
      </c>
      <c r="AV305" s="14">
        <f t="shared" si="169"/>
        <v>200507</v>
      </c>
      <c r="AW305" s="14">
        <f t="shared" si="170"/>
        <v>1102005</v>
      </c>
      <c r="AX305" s="13" t="s">
        <v>1127</v>
      </c>
      <c r="AY305" s="13">
        <f t="shared" si="171"/>
        <v>7</v>
      </c>
      <c r="AZ305" s="13" t="s">
        <v>1148</v>
      </c>
      <c r="BA305" s="14">
        <f t="shared" si="172"/>
        <v>1</v>
      </c>
      <c r="BB305" s="14" t="str">
        <f t="shared" si="173"/>
        <v>李轩辕魂珠-7 等级-1</v>
      </c>
      <c r="BC305" s="25" t="s">
        <v>1156</v>
      </c>
      <c r="BD305" s="14">
        <f t="shared" si="174"/>
        <v>216</v>
      </c>
      <c r="BE305" s="14">
        <f>SUMIFS(BD$4:BD305,$AU$4:$AU305,"="&amp;$AU305,$AY$4:$AY305,"="&amp;$AY305)</f>
        <v>216</v>
      </c>
      <c r="BF305" s="25" t="s">
        <v>1157</v>
      </c>
      <c r="BG305" s="14">
        <f t="shared" si="175"/>
        <v>120</v>
      </c>
      <c r="BH305" s="14">
        <f>SUMIFS(BG$4:BG305,AU$4:AU305,"="&amp;AU305,AY$4:AY305,"="&amp;AY305)</f>
        <v>120</v>
      </c>
      <c r="BI305" s="25" t="s">
        <v>1158</v>
      </c>
      <c r="BJ305" s="14">
        <f t="shared" si="176"/>
        <v>5280</v>
      </c>
      <c r="BK305" s="14">
        <f>SUMIFS(BJ$4:BJ305,$AU$4:$AU305,"="&amp;$AU305,$AY$4:$AY305,"="&amp;$AY305)</f>
        <v>5280</v>
      </c>
    </row>
    <row r="306" spans="46:63" ht="16.5" x14ac:dyDescent="0.2">
      <c r="AT306" s="13">
        <v>303</v>
      </c>
      <c r="AU306" s="13">
        <f t="shared" si="168"/>
        <v>4</v>
      </c>
      <c r="AV306" s="14">
        <f t="shared" si="169"/>
        <v>200507</v>
      </c>
      <c r="AW306" s="14">
        <f t="shared" si="170"/>
        <v>1102005</v>
      </c>
      <c r="AX306" s="13" t="s">
        <v>1127</v>
      </c>
      <c r="AY306" s="13">
        <f t="shared" si="171"/>
        <v>7</v>
      </c>
      <c r="AZ306" s="13" t="s">
        <v>1148</v>
      </c>
      <c r="BA306" s="14">
        <f t="shared" si="172"/>
        <v>2</v>
      </c>
      <c r="BB306" s="14" t="str">
        <f t="shared" si="173"/>
        <v>李轩辕魂珠-7 等级-2</v>
      </c>
      <c r="BC306" s="25" t="s">
        <v>1156</v>
      </c>
      <c r="BD306" s="14">
        <f t="shared" si="174"/>
        <v>324</v>
      </c>
      <c r="BE306" s="14">
        <f>SUMIFS(BD$4:BD306,$AU$4:$AU306,"="&amp;$AU306,$AY$4:$AY306,"="&amp;$AY306)</f>
        <v>540</v>
      </c>
      <c r="BF306" s="25" t="s">
        <v>1157</v>
      </c>
      <c r="BG306" s="14">
        <f t="shared" si="175"/>
        <v>180</v>
      </c>
      <c r="BH306" s="14">
        <f>SUMIFS(BG$4:BG306,AU$4:AU306,"="&amp;AU306,AY$4:AY306,"="&amp;AY306)</f>
        <v>300</v>
      </c>
      <c r="BI306" s="25" t="s">
        <v>1158</v>
      </c>
      <c r="BJ306" s="14">
        <f t="shared" si="176"/>
        <v>7920</v>
      </c>
      <c r="BK306" s="14">
        <f>SUMIFS(BJ$4:BJ306,$AU$4:$AU306,"="&amp;$AU306,$AY$4:$AY306,"="&amp;$AY306)</f>
        <v>13200</v>
      </c>
    </row>
    <row r="307" spans="46:63" ht="16.5" x14ac:dyDescent="0.2">
      <c r="AT307" s="13">
        <v>304</v>
      </c>
      <c r="AU307" s="13">
        <f t="shared" si="168"/>
        <v>4</v>
      </c>
      <c r="AV307" s="14">
        <f t="shared" si="169"/>
        <v>200507</v>
      </c>
      <c r="AW307" s="14">
        <f t="shared" si="170"/>
        <v>1102005</v>
      </c>
      <c r="AX307" s="13" t="s">
        <v>1127</v>
      </c>
      <c r="AY307" s="13">
        <f t="shared" si="171"/>
        <v>7</v>
      </c>
      <c r="AZ307" s="13" t="s">
        <v>1148</v>
      </c>
      <c r="BA307" s="14">
        <f t="shared" si="172"/>
        <v>3</v>
      </c>
      <c r="BB307" s="14" t="str">
        <f t="shared" si="173"/>
        <v>李轩辕魂珠-7 等级-3</v>
      </c>
      <c r="BC307" s="25" t="s">
        <v>1156</v>
      </c>
      <c r="BD307" s="14">
        <f t="shared" si="174"/>
        <v>432</v>
      </c>
      <c r="BE307" s="14">
        <f>SUMIFS(BD$4:BD307,$AU$4:$AU307,"="&amp;$AU307,$AY$4:$AY307,"="&amp;$AY307)</f>
        <v>972</v>
      </c>
      <c r="BF307" s="25" t="s">
        <v>1157</v>
      </c>
      <c r="BG307" s="14">
        <f t="shared" si="175"/>
        <v>240</v>
      </c>
      <c r="BH307" s="14">
        <f>SUMIFS(BG$4:BG307,AU$4:AU307,"="&amp;AU307,AY$4:AY307,"="&amp;AY307)</f>
        <v>540</v>
      </c>
      <c r="BI307" s="25" t="s">
        <v>1158</v>
      </c>
      <c r="BJ307" s="14">
        <f t="shared" si="176"/>
        <v>10560</v>
      </c>
      <c r="BK307" s="14">
        <f>SUMIFS(BJ$4:BJ307,$AU$4:$AU307,"="&amp;$AU307,$AY$4:$AY307,"="&amp;$AY307)</f>
        <v>23760</v>
      </c>
    </row>
    <row r="308" spans="46:63" ht="16.5" x14ac:dyDescent="0.2">
      <c r="AT308" s="13">
        <v>305</v>
      </c>
      <c r="AU308" s="13">
        <f t="shared" si="168"/>
        <v>4</v>
      </c>
      <c r="AV308" s="14">
        <f t="shared" si="169"/>
        <v>200507</v>
      </c>
      <c r="AW308" s="14">
        <f t="shared" si="170"/>
        <v>1102005</v>
      </c>
      <c r="AX308" s="13" t="s">
        <v>1127</v>
      </c>
      <c r="AY308" s="13">
        <f t="shared" si="171"/>
        <v>7</v>
      </c>
      <c r="AZ308" s="13" t="s">
        <v>1148</v>
      </c>
      <c r="BA308" s="14">
        <f t="shared" si="172"/>
        <v>4</v>
      </c>
      <c r="BB308" s="14" t="str">
        <f t="shared" si="173"/>
        <v>李轩辕魂珠-7 等级-4</v>
      </c>
      <c r="BC308" s="25" t="s">
        <v>1156</v>
      </c>
      <c r="BD308" s="14">
        <f t="shared" si="174"/>
        <v>648</v>
      </c>
      <c r="BE308" s="14">
        <f>SUMIFS(BD$4:BD308,$AU$4:$AU308,"="&amp;$AU308,$AY$4:$AY308,"="&amp;$AY308)</f>
        <v>1620</v>
      </c>
      <c r="BF308" s="25" t="s">
        <v>1157</v>
      </c>
      <c r="BG308" s="14">
        <f t="shared" si="175"/>
        <v>360</v>
      </c>
      <c r="BH308" s="14">
        <f>SUMIFS(BG$4:BG308,AU$4:AU308,"="&amp;AU308,AY$4:AY308,"="&amp;AY308)</f>
        <v>900</v>
      </c>
      <c r="BI308" s="25" t="s">
        <v>1158</v>
      </c>
      <c r="BJ308" s="14">
        <f t="shared" si="176"/>
        <v>15840</v>
      </c>
      <c r="BK308" s="14">
        <f>SUMIFS(BJ$4:BJ308,$AU$4:$AU308,"="&amp;$AU308,$AY$4:$AY308,"="&amp;$AY308)</f>
        <v>39600</v>
      </c>
    </row>
    <row r="309" spans="46:63" ht="16.5" x14ac:dyDescent="0.2">
      <c r="AT309" s="13">
        <v>306</v>
      </c>
      <c r="AU309" s="13">
        <f t="shared" si="168"/>
        <v>4</v>
      </c>
      <c r="AV309" s="14">
        <f t="shared" si="169"/>
        <v>200507</v>
      </c>
      <c r="AW309" s="14">
        <f t="shared" si="170"/>
        <v>1102005</v>
      </c>
      <c r="AX309" s="13" t="s">
        <v>1127</v>
      </c>
      <c r="AY309" s="13">
        <f t="shared" si="171"/>
        <v>7</v>
      </c>
      <c r="AZ309" s="13" t="s">
        <v>1148</v>
      </c>
      <c r="BA309" s="14">
        <f t="shared" si="172"/>
        <v>5</v>
      </c>
      <c r="BB309" s="14" t="str">
        <f t="shared" si="173"/>
        <v>李轩辕魂珠-7 等级-5</v>
      </c>
      <c r="BC309" s="25" t="s">
        <v>1156</v>
      </c>
      <c r="BD309" s="14">
        <f t="shared" si="174"/>
        <v>864</v>
      </c>
      <c r="BE309" s="14">
        <f>SUMIFS(BD$4:BD309,$AU$4:$AU309,"="&amp;$AU309,$AY$4:$AY309,"="&amp;$AY309)</f>
        <v>2484</v>
      </c>
      <c r="BF309" s="25" t="s">
        <v>1157</v>
      </c>
      <c r="BG309" s="14">
        <f t="shared" si="175"/>
        <v>480</v>
      </c>
      <c r="BH309" s="14">
        <f>SUMIFS(BG$4:BG309,AU$4:AU309,"="&amp;AU309,AY$4:AY309,"="&amp;AY309)</f>
        <v>1380</v>
      </c>
      <c r="BI309" s="25" t="s">
        <v>1158</v>
      </c>
      <c r="BJ309" s="14">
        <f t="shared" si="176"/>
        <v>21120</v>
      </c>
      <c r="BK309" s="14">
        <f>SUMIFS(BJ$4:BJ309,$AU$4:$AU309,"="&amp;$AU309,$AY$4:$AY309,"="&amp;$AY309)</f>
        <v>60720</v>
      </c>
    </row>
    <row r="310" spans="46:63" ht="16.5" x14ac:dyDescent="0.2">
      <c r="AT310" s="13">
        <v>307</v>
      </c>
      <c r="AU310" s="13">
        <f t="shared" si="168"/>
        <v>4</v>
      </c>
      <c r="AV310" s="14">
        <f t="shared" si="169"/>
        <v>200507</v>
      </c>
      <c r="AW310" s="14">
        <f t="shared" si="170"/>
        <v>1102005</v>
      </c>
      <c r="AX310" s="13" t="s">
        <v>1127</v>
      </c>
      <c r="AY310" s="13">
        <f t="shared" si="171"/>
        <v>7</v>
      </c>
      <c r="AZ310" s="13" t="s">
        <v>1148</v>
      </c>
      <c r="BA310" s="14">
        <f t="shared" si="172"/>
        <v>6</v>
      </c>
      <c r="BB310" s="14" t="str">
        <f t="shared" si="173"/>
        <v>李轩辕魂珠-7 等级-6</v>
      </c>
      <c r="BC310" s="25" t="s">
        <v>1156</v>
      </c>
      <c r="BD310" s="14">
        <f t="shared" si="174"/>
        <v>1080</v>
      </c>
      <c r="BE310" s="14">
        <f>SUMIFS(BD$4:BD310,$AU$4:$AU310,"="&amp;$AU310,$AY$4:$AY310,"="&amp;$AY310)</f>
        <v>3564</v>
      </c>
      <c r="BF310" s="25" t="s">
        <v>1157</v>
      </c>
      <c r="BG310" s="14">
        <f t="shared" si="175"/>
        <v>600</v>
      </c>
      <c r="BH310" s="14">
        <f>SUMIFS(BG$4:BG310,AU$4:AU310,"="&amp;AU310,AY$4:AY310,"="&amp;AY310)</f>
        <v>1980</v>
      </c>
      <c r="BI310" s="25" t="s">
        <v>1158</v>
      </c>
      <c r="BJ310" s="14">
        <f t="shared" si="176"/>
        <v>26400</v>
      </c>
      <c r="BK310" s="14">
        <f>SUMIFS(BJ$4:BJ310,$AU$4:$AU310,"="&amp;$AU310,$AY$4:$AY310,"="&amp;$AY310)</f>
        <v>87120</v>
      </c>
    </row>
    <row r="311" spans="46:63" ht="16.5" x14ac:dyDescent="0.2">
      <c r="AT311" s="13">
        <v>308</v>
      </c>
      <c r="AU311" s="13">
        <f t="shared" si="168"/>
        <v>4</v>
      </c>
      <c r="AV311" s="14">
        <f t="shared" si="169"/>
        <v>200507</v>
      </c>
      <c r="AW311" s="14">
        <f t="shared" si="170"/>
        <v>1102005</v>
      </c>
      <c r="AX311" s="13" t="s">
        <v>1127</v>
      </c>
      <c r="AY311" s="13">
        <f t="shared" si="171"/>
        <v>7</v>
      </c>
      <c r="AZ311" s="13" t="s">
        <v>1148</v>
      </c>
      <c r="BA311" s="14">
        <f t="shared" si="172"/>
        <v>7</v>
      </c>
      <c r="BB311" s="14" t="str">
        <f t="shared" si="173"/>
        <v>李轩辕魂珠-7 等级-7</v>
      </c>
      <c r="BC311" s="25" t="s">
        <v>1156</v>
      </c>
      <c r="BD311" s="14">
        <f t="shared" si="174"/>
        <v>1296</v>
      </c>
      <c r="BE311" s="14">
        <f>SUMIFS(BD$4:BD311,$AU$4:$AU311,"="&amp;$AU311,$AY$4:$AY311,"="&amp;$AY311)</f>
        <v>4860</v>
      </c>
      <c r="BF311" s="25" t="s">
        <v>1157</v>
      </c>
      <c r="BG311" s="14">
        <f t="shared" si="175"/>
        <v>720</v>
      </c>
      <c r="BH311" s="14">
        <f>SUMIFS(BG$4:BG311,AU$4:AU311,"="&amp;AU311,AY$4:AY311,"="&amp;AY311)</f>
        <v>2700</v>
      </c>
      <c r="BI311" s="25" t="s">
        <v>1158</v>
      </c>
      <c r="BJ311" s="14">
        <f t="shared" si="176"/>
        <v>31680</v>
      </c>
      <c r="BK311" s="14">
        <f>SUMIFS(BJ$4:BJ311,$AU$4:$AU311,"="&amp;$AU311,$AY$4:$AY311,"="&amp;$AY311)</f>
        <v>118800</v>
      </c>
    </row>
    <row r="312" spans="46:63" ht="16.5" x14ac:dyDescent="0.2">
      <c r="AT312" s="13">
        <v>309</v>
      </c>
      <c r="AU312" s="13">
        <f t="shared" si="168"/>
        <v>4</v>
      </c>
      <c r="AV312" s="14">
        <f t="shared" si="169"/>
        <v>200507</v>
      </c>
      <c r="AW312" s="14">
        <f t="shared" si="170"/>
        <v>1102005</v>
      </c>
      <c r="AX312" s="13" t="s">
        <v>1127</v>
      </c>
      <c r="AY312" s="13">
        <f t="shared" si="171"/>
        <v>7</v>
      </c>
      <c r="AZ312" s="13" t="s">
        <v>1148</v>
      </c>
      <c r="BA312" s="14">
        <f t="shared" si="172"/>
        <v>8</v>
      </c>
      <c r="BB312" s="14" t="str">
        <f t="shared" si="173"/>
        <v>李轩辕魂珠-7 等级-8</v>
      </c>
      <c r="BC312" s="25" t="s">
        <v>1156</v>
      </c>
      <c r="BD312" s="14">
        <f t="shared" si="174"/>
        <v>1512</v>
      </c>
      <c r="BE312" s="14">
        <f>SUMIFS(BD$4:BD312,$AU$4:$AU312,"="&amp;$AU312,$AY$4:$AY312,"="&amp;$AY312)</f>
        <v>6372</v>
      </c>
      <c r="BF312" s="25" t="s">
        <v>1157</v>
      </c>
      <c r="BG312" s="14">
        <f t="shared" si="175"/>
        <v>840</v>
      </c>
      <c r="BH312" s="14">
        <f>SUMIFS(BG$4:BG312,AU$4:AU312,"="&amp;AU312,AY$4:AY312,"="&amp;AY312)</f>
        <v>3540</v>
      </c>
      <c r="BI312" s="25" t="s">
        <v>1158</v>
      </c>
      <c r="BJ312" s="14">
        <f t="shared" si="176"/>
        <v>36960</v>
      </c>
      <c r="BK312" s="14">
        <f>SUMIFS(BJ$4:BJ312,$AU$4:$AU312,"="&amp;$AU312,$AY$4:$AY312,"="&amp;$AY312)</f>
        <v>155760</v>
      </c>
    </row>
    <row r="313" spans="46:63" ht="16.5" x14ac:dyDescent="0.2">
      <c r="AT313" s="13">
        <v>310</v>
      </c>
      <c r="AU313" s="13">
        <f t="shared" si="168"/>
        <v>4</v>
      </c>
      <c r="AV313" s="14">
        <f t="shared" si="169"/>
        <v>200507</v>
      </c>
      <c r="AW313" s="14">
        <f t="shared" si="170"/>
        <v>1102005</v>
      </c>
      <c r="AX313" s="13" t="s">
        <v>1127</v>
      </c>
      <c r="AY313" s="13">
        <f t="shared" si="171"/>
        <v>7</v>
      </c>
      <c r="AZ313" s="13" t="s">
        <v>1148</v>
      </c>
      <c r="BA313" s="14">
        <f t="shared" si="172"/>
        <v>9</v>
      </c>
      <c r="BB313" s="14" t="str">
        <f t="shared" si="173"/>
        <v>李轩辕魂珠-7 等级-9</v>
      </c>
      <c r="BC313" s="25" t="s">
        <v>1156</v>
      </c>
      <c r="BD313" s="14">
        <f t="shared" si="174"/>
        <v>1728</v>
      </c>
      <c r="BE313" s="14">
        <f>SUMIFS(BD$4:BD313,$AU$4:$AU313,"="&amp;$AU313,$AY$4:$AY313,"="&amp;$AY313)</f>
        <v>8100</v>
      </c>
      <c r="BF313" s="25" t="s">
        <v>1157</v>
      </c>
      <c r="BG313" s="14">
        <f t="shared" si="175"/>
        <v>960</v>
      </c>
      <c r="BH313" s="14">
        <f>SUMIFS(BG$4:BG313,AU$4:AU313,"="&amp;AU313,AY$4:AY313,"="&amp;AY313)</f>
        <v>4500</v>
      </c>
      <c r="BI313" s="25" t="s">
        <v>1158</v>
      </c>
      <c r="BJ313" s="14">
        <f t="shared" si="176"/>
        <v>42240</v>
      </c>
      <c r="BK313" s="14">
        <f>SUMIFS(BJ$4:BJ313,$AU$4:$AU313,"="&amp;$AU313,$AY$4:$AY313,"="&amp;$AY313)</f>
        <v>198000</v>
      </c>
    </row>
    <row r="314" spans="46:63" ht="16.5" x14ac:dyDescent="0.2">
      <c r="AT314" s="13">
        <v>311</v>
      </c>
      <c r="AU314" s="13">
        <f t="shared" si="168"/>
        <v>4</v>
      </c>
      <c r="AV314" s="14">
        <f t="shared" si="169"/>
        <v>200508</v>
      </c>
      <c r="AW314" s="14">
        <f t="shared" si="170"/>
        <v>1102005</v>
      </c>
      <c r="AX314" s="13" t="s">
        <v>1127</v>
      </c>
      <c r="AY314" s="13">
        <f t="shared" si="171"/>
        <v>8</v>
      </c>
      <c r="AZ314" s="13" t="s">
        <v>1148</v>
      </c>
      <c r="BA314" s="14">
        <f t="shared" si="172"/>
        <v>0</v>
      </c>
      <c r="BB314" s="14" t="str">
        <f t="shared" si="173"/>
        <v>李轩辕魂珠-8 等级-0</v>
      </c>
      <c r="BC314" s="25" t="s">
        <v>1156</v>
      </c>
      <c r="BD314" s="14">
        <f t="shared" si="174"/>
        <v>0</v>
      </c>
      <c r="BE314" s="14">
        <f>SUMIFS(BD$4:BD314,$AU$4:$AU314,"="&amp;$AU314,$AY$4:$AY314,"="&amp;$AY314)</f>
        <v>0</v>
      </c>
      <c r="BF314" s="25" t="s">
        <v>1157</v>
      </c>
      <c r="BG314" s="14">
        <f t="shared" si="175"/>
        <v>0</v>
      </c>
      <c r="BH314" s="14">
        <f>SUMIFS(BG$4:BG314,AU$4:AU314,"="&amp;AU314,AY$4:AY314,"="&amp;AY314)</f>
        <v>0</v>
      </c>
      <c r="BI314" s="25" t="s">
        <v>1158</v>
      </c>
      <c r="BJ314" s="14">
        <f t="shared" si="176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8"/>
        <v>4</v>
      </c>
      <c r="AV315" s="14">
        <f t="shared" si="169"/>
        <v>200508</v>
      </c>
      <c r="AW315" s="14">
        <f t="shared" si="170"/>
        <v>1102005</v>
      </c>
      <c r="AX315" s="13" t="s">
        <v>1127</v>
      </c>
      <c r="AY315" s="13">
        <f t="shared" si="171"/>
        <v>8</v>
      </c>
      <c r="AZ315" s="13" t="s">
        <v>1148</v>
      </c>
      <c r="BA315" s="14">
        <f t="shared" si="172"/>
        <v>1</v>
      </c>
      <c r="BB315" s="14" t="str">
        <f t="shared" si="173"/>
        <v>李轩辕魂珠-8 等级-1</v>
      </c>
      <c r="BC315" s="25" t="s">
        <v>1156</v>
      </c>
      <c r="BD315" s="14">
        <f t="shared" si="174"/>
        <v>288</v>
      </c>
      <c r="BE315" s="14">
        <f>SUMIFS(BD$4:BD315,$AU$4:$AU315,"="&amp;$AU315,$AY$4:$AY315,"="&amp;$AY315)</f>
        <v>288</v>
      </c>
      <c r="BF315" s="25" t="s">
        <v>1157</v>
      </c>
      <c r="BG315" s="14">
        <f t="shared" si="175"/>
        <v>160</v>
      </c>
      <c r="BH315" s="14">
        <f>SUMIFS(BG$4:BG315,AU$4:AU315,"="&amp;AU315,AY$4:AY315,"="&amp;AY315)</f>
        <v>160</v>
      </c>
      <c r="BI315" s="25" t="s">
        <v>1158</v>
      </c>
      <c r="BJ315" s="14">
        <f t="shared" si="176"/>
        <v>7040</v>
      </c>
      <c r="BK315" s="14">
        <f>SUMIFS(BJ$4:BJ315,$AU$4:$AU315,"="&amp;$AU315,$AY$4:$AY315,"="&amp;$AY315)</f>
        <v>7040</v>
      </c>
    </row>
    <row r="316" spans="46:63" ht="16.5" x14ac:dyDescent="0.2">
      <c r="AT316" s="13">
        <v>313</v>
      </c>
      <c r="AU316" s="13">
        <f t="shared" si="168"/>
        <v>4</v>
      </c>
      <c r="AV316" s="14">
        <f t="shared" si="169"/>
        <v>200508</v>
      </c>
      <c r="AW316" s="14">
        <f t="shared" si="170"/>
        <v>1102005</v>
      </c>
      <c r="AX316" s="13" t="s">
        <v>1127</v>
      </c>
      <c r="AY316" s="13">
        <f t="shared" si="171"/>
        <v>8</v>
      </c>
      <c r="AZ316" s="13" t="s">
        <v>1148</v>
      </c>
      <c r="BA316" s="14">
        <f t="shared" si="172"/>
        <v>2</v>
      </c>
      <c r="BB316" s="14" t="str">
        <f t="shared" si="173"/>
        <v>李轩辕魂珠-8 等级-2</v>
      </c>
      <c r="BC316" s="25" t="s">
        <v>1156</v>
      </c>
      <c r="BD316" s="14">
        <f t="shared" si="174"/>
        <v>432</v>
      </c>
      <c r="BE316" s="14">
        <f>SUMIFS(BD$4:BD316,$AU$4:$AU316,"="&amp;$AU316,$AY$4:$AY316,"="&amp;$AY316)</f>
        <v>720</v>
      </c>
      <c r="BF316" s="25" t="s">
        <v>1157</v>
      </c>
      <c r="BG316" s="14">
        <f t="shared" si="175"/>
        <v>240</v>
      </c>
      <c r="BH316" s="14">
        <f>SUMIFS(BG$4:BG316,AU$4:AU316,"="&amp;AU316,AY$4:AY316,"="&amp;AY316)</f>
        <v>400</v>
      </c>
      <c r="BI316" s="25" t="s">
        <v>1158</v>
      </c>
      <c r="BJ316" s="14">
        <f t="shared" si="176"/>
        <v>10560</v>
      </c>
      <c r="BK316" s="14">
        <f>SUMIFS(BJ$4:BJ316,$AU$4:$AU316,"="&amp;$AU316,$AY$4:$AY316,"="&amp;$AY316)</f>
        <v>17600</v>
      </c>
    </row>
    <row r="317" spans="46:63" ht="16.5" x14ac:dyDescent="0.2">
      <c r="AT317" s="13">
        <v>314</v>
      </c>
      <c r="AU317" s="13">
        <f t="shared" si="168"/>
        <v>4</v>
      </c>
      <c r="AV317" s="14">
        <f t="shared" si="169"/>
        <v>200508</v>
      </c>
      <c r="AW317" s="14">
        <f t="shared" si="170"/>
        <v>1102005</v>
      </c>
      <c r="AX317" s="13" t="s">
        <v>1127</v>
      </c>
      <c r="AY317" s="13">
        <f t="shared" si="171"/>
        <v>8</v>
      </c>
      <c r="AZ317" s="13" t="s">
        <v>1148</v>
      </c>
      <c r="BA317" s="14">
        <f t="shared" si="172"/>
        <v>3</v>
      </c>
      <c r="BB317" s="14" t="str">
        <f t="shared" si="173"/>
        <v>李轩辕魂珠-8 等级-3</v>
      </c>
      <c r="BC317" s="25" t="s">
        <v>1156</v>
      </c>
      <c r="BD317" s="14">
        <f t="shared" si="174"/>
        <v>576</v>
      </c>
      <c r="BE317" s="14">
        <f>SUMIFS(BD$4:BD317,$AU$4:$AU317,"="&amp;$AU317,$AY$4:$AY317,"="&amp;$AY317)</f>
        <v>1296</v>
      </c>
      <c r="BF317" s="25" t="s">
        <v>1157</v>
      </c>
      <c r="BG317" s="14">
        <f t="shared" si="175"/>
        <v>320</v>
      </c>
      <c r="BH317" s="14">
        <f>SUMIFS(BG$4:BG317,AU$4:AU317,"="&amp;AU317,AY$4:AY317,"="&amp;AY317)</f>
        <v>720</v>
      </c>
      <c r="BI317" s="25" t="s">
        <v>1158</v>
      </c>
      <c r="BJ317" s="14">
        <f t="shared" si="176"/>
        <v>14080</v>
      </c>
      <c r="BK317" s="14">
        <f>SUMIFS(BJ$4:BJ317,$AU$4:$AU317,"="&amp;$AU317,$AY$4:$AY317,"="&amp;$AY317)</f>
        <v>31680</v>
      </c>
    </row>
    <row r="318" spans="46:63" ht="16.5" x14ac:dyDescent="0.2">
      <c r="AT318" s="13">
        <v>315</v>
      </c>
      <c r="AU318" s="13">
        <f t="shared" si="168"/>
        <v>4</v>
      </c>
      <c r="AV318" s="14">
        <f t="shared" si="169"/>
        <v>200508</v>
      </c>
      <c r="AW318" s="14">
        <f t="shared" si="170"/>
        <v>1102005</v>
      </c>
      <c r="AX318" s="13" t="s">
        <v>1127</v>
      </c>
      <c r="AY318" s="13">
        <f t="shared" si="171"/>
        <v>8</v>
      </c>
      <c r="AZ318" s="13" t="s">
        <v>1148</v>
      </c>
      <c r="BA318" s="14">
        <f t="shared" si="172"/>
        <v>4</v>
      </c>
      <c r="BB318" s="14" t="str">
        <f t="shared" si="173"/>
        <v>李轩辕魂珠-8 等级-4</v>
      </c>
      <c r="BC318" s="25" t="s">
        <v>1156</v>
      </c>
      <c r="BD318" s="14">
        <f t="shared" si="174"/>
        <v>864</v>
      </c>
      <c r="BE318" s="14">
        <f>SUMIFS(BD$4:BD318,$AU$4:$AU318,"="&amp;$AU318,$AY$4:$AY318,"="&amp;$AY318)</f>
        <v>2160</v>
      </c>
      <c r="BF318" s="25" t="s">
        <v>1157</v>
      </c>
      <c r="BG318" s="14">
        <f t="shared" si="175"/>
        <v>480</v>
      </c>
      <c r="BH318" s="14">
        <f>SUMIFS(BG$4:BG318,AU$4:AU318,"="&amp;AU318,AY$4:AY318,"="&amp;AY318)</f>
        <v>1200</v>
      </c>
      <c r="BI318" s="25" t="s">
        <v>1158</v>
      </c>
      <c r="BJ318" s="14">
        <f t="shared" si="176"/>
        <v>21120</v>
      </c>
      <c r="BK318" s="14">
        <f>SUMIFS(BJ$4:BJ318,$AU$4:$AU318,"="&amp;$AU318,$AY$4:$AY318,"="&amp;$AY318)</f>
        <v>52800</v>
      </c>
    </row>
    <row r="319" spans="46:63" ht="16.5" x14ac:dyDescent="0.2">
      <c r="AT319" s="13">
        <v>316</v>
      </c>
      <c r="AU319" s="13">
        <f t="shared" si="168"/>
        <v>4</v>
      </c>
      <c r="AV319" s="14">
        <f t="shared" si="169"/>
        <v>200508</v>
      </c>
      <c r="AW319" s="14">
        <f t="shared" si="170"/>
        <v>1102005</v>
      </c>
      <c r="AX319" s="13" t="s">
        <v>1127</v>
      </c>
      <c r="AY319" s="13">
        <f t="shared" si="171"/>
        <v>8</v>
      </c>
      <c r="AZ319" s="13" t="s">
        <v>1148</v>
      </c>
      <c r="BA319" s="14">
        <f t="shared" si="172"/>
        <v>5</v>
      </c>
      <c r="BB319" s="14" t="str">
        <f t="shared" si="173"/>
        <v>李轩辕魂珠-8 等级-5</v>
      </c>
      <c r="BC319" s="25" t="s">
        <v>1156</v>
      </c>
      <c r="BD319" s="14">
        <f t="shared" si="174"/>
        <v>1152</v>
      </c>
      <c r="BE319" s="14">
        <f>SUMIFS(BD$4:BD319,$AU$4:$AU319,"="&amp;$AU319,$AY$4:$AY319,"="&amp;$AY319)</f>
        <v>3312</v>
      </c>
      <c r="BF319" s="25" t="s">
        <v>1157</v>
      </c>
      <c r="BG319" s="14">
        <f t="shared" si="175"/>
        <v>640</v>
      </c>
      <c r="BH319" s="14">
        <f>SUMIFS(BG$4:BG319,AU$4:AU319,"="&amp;AU319,AY$4:AY319,"="&amp;AY319)</f>
        <v>1840</v>
      </c>
      <c r="BI319" s="25" t="s">
        <v>1158</v>
      </c>
      <c r="BJ319" s="14">
        <f t="shared" si="176"/>
        <v>28160</v>
      </c>
      <c r="BK319" s="14">
        <f>SUMIFS(BJ$4:BJ319,$AU$4:$AU319,"="&amp;$AU319,$AY$4:$AY319,"="&amp;$AY319)</f>
        <v>80960</v>
      </c>
    </row>
    <row r="320" spans="46:63" ht="16.5" x14ac:dyDescent="0.2">
      <c r="AT320" s="13">
        <v>317</v>
      </c>
      <c r="AU320" s="13">
        <f t="shared" si="168"/>
        <v>4</v>
      </c>
      <c r="AV320" s="14">
        <f t="shared" si="169"/>
        <v>200508</v>
      </c>
      <c r="AW320" s="14">
        <f t="shared" si="170"/>
        <v>1102005</v>
      </c>
      <c r="AX320" s="13" t="s">
        <v>1127</v>
      </c>
      <c r="AY320" s="13">
        <f t="shared" si="171"/>
        <v>8</v>
      </c>
      <c r="AZ320" s="13" t="s">
        <v>1148</v>
      </c>
      <c r="BA320" s="14">
        <f t="shared" si="172"/>
        <v>6</v>
      </c>
      <c r="BB320" s="14" t="str">
        <f t="shared" si="173"/>
        <v>李轩辕魂珠-8 等级-6</v>
      </c>
      <c r="BC320" s="25" t="s">
        <v>1156</v>
      </c>
      <c r="BD320" s="14">
        <f t="shared" si="174"/>
        <v>1440</v>
      </c>
      <c r="BE320" s="14">
        <f>SUMIFS(BD$4:BD320,$AU$4:$AU320,"="&amp;$AU320,$AY$4:$AY320,"="&amp;$AY320)</f>
        <v>4752</v>
      </c>
      <c r="BF320" s="25" t="s">
        <v>1157</v>
      </c>
      <c r="BG320" s="14">
        <f t="shared" si="175"/>
        <v>800</v>
      </c>
      <c r="BH320" s="14">
        <f>SUMIFS(BG$4:BG320,AU$4:AU320,"="&amp;AU320,AY$4:AY320,"="&amp;AY320)</f>
        <v>2640</v>
      </c>
      <c r="BI320" s="25" t="s">
        <v>1158</v>
      </c>
      <c r="BJ320" s="14">
        <f t="shared" si="176"/>
        <v>35200</v>
      </c>
      <c r="BK320" s="14">
        <f>SUMIFS(BJ$4:BJ320,$AU$4:$AU320,"="&amp;$AU320,$AY$4:$AY320,"="&amp;$AY320)</f>
        <v>116160</v>
      </c>
    </row>
    <row r="321" spans="46:63" ht="16.5" x14ac:dyDescent="0.2">
      <c r="AT321" s="13">
        <v>318</v>
      </c>
      <c r="AU321" s="13">
        <f t="shared" si="168"/>
        <v>4</v>
      </c>
      <c r="AV321" s="14">
        <f t="shared" si="169"/>
        <v>200508</v>
      </c>
      <c r="AW321" s="14">
        <f t="shared" si="170"/>
        <v>1102005</v>
      </c>
      <c r="AX321" s="13" t="s">
        <v>1127</v>
      </c>
      <c r="AY321" s="13">
        <f t="shared" si="171"/>
        <v>8</v>
      </c>
      <c r="AZ321" s="13" t="s">
        <v>1148</v>
      </c>
      <c r="BA321" s="14">
        <f t="shared" si="172"/>
        <v>7</v>
      </c>
      <c r="BB321" s="14" t="str">
        <f t="shared" si="173"/>
        <v>李轩辕魂珠-8 等级-7</v>
      </c>
      <c r="BC321" s="25" t="s">
        <v>1156</v>
      </c>
      <c r="BD321" s="14">
        <f t="shared" si="174"/>
        <v>1728</v>
      </c>
      <c r="BE321" s="14">
        <f>SUMIFS(BD$4:BD321,$AU$4:$AU321,"="&amp;$AU321,$AY$4:$AY321,"="&amp;$AY321)</f>
        <v>6480</v>
      </c>
      <c r="BF321" s="25" t="s">
        <v>1157</v>
      </c>
      <c r="BG321" s="14">
        <f t="shared" si="175"/>
        <v>960</v>
      </c>
      <c r="BH321" s="14">
        <f>SUMIFS(BG$4:BG321,AU$4:AU321,"="&amp;AU321,AY$4:AY321,"="&amp;AY321)</f>
        <v>3600</v>
      </c>
      <c r="BI321" s="25" t="s">
        <v>1158</v>
      </c>
      <c r="BJ321" s="14">
        <f t="shared" si="176"/>
        <v>42240</v>
      </c>
      <c r="BK321" s="14">
        <f>SUMIFS(BJ$4:BJ321,$AU$4:$AU321,"="&amp;$AU321,$AY$4:$AY321,"="&amp;$AY321)</f>
        <v>158400</v>
      </c>
    </row>
    <row r="322" spans="46:63" ht="16.5" x14ac:dyDescent="0.2">
      <c r="AT322" s="13">
        <v>319</v>
      </c>
      <c r="AU322" s="13">
        <f t="shared" si="168"/>
        <v>4</v>
      </c>
      <c r="AV322" s="14">
        <f t="shared" si="169"/>
        <v>200508</v>
      </c>
      <c r="AW322" s="14">
        <f t="shared" si="170"/>
        <v>1102005</v>
      </c>
      <c r="AX322" s="13" t="s">
        <v>1127</v>
      </c>
      <c r="AY322" s="13">
        <f t="shared" si="171"/>
        <v>8</v>
      </c>
      <c r="AZ322" s="13" t="s">
        <v>1148</v>
      </c>
      <c r="BA322" s="14">
        <f t="shared" si="172"/>
        <v>8</v>
      </c>
      <c r="BB322" s="14" t="str">
        <f t="shared" si="173"/>
        <v>李轩辕魂珠-8 等级-8</v>
      </c>
      <c r="BC322" s="25" t="s">
        <v>1156</v>
      </c>
      <c r="BD322" s="14">
        <f t="shared" si="174"/>
        <v>2016</v>
      </c>
      <c r="BE322" s="14">
        <f>SUMIFS(BD$4:BD322,$AU$4:$AU322,"="&amp;$AU322,$AY$4:$AY322,"="&amp;$AY322)</f>
        <v>8496</v>
      </c>
      <c r="BF322" s="25" t="s">
        <v>1157</v>
      </c>
      <c r="BG322" s="14">
        <f t="shared" si="175"/>
        <v>1120</v>
      </c>
      <c r="BH322" s="14">
        <f>SUMIFS(BG$4:BG322,AU$4:AU322,"="&amp;AU322,AY$4:AY322,"="&amp;AY322)</f>
        <v>4720</v>
      </c>
      <c r="BI322" s="25" t="s">
        <v>1158</v>
      </c>
      <c r="BJ322" s="14">
        <f t="shared" si="176"/>
        <v>49280</v>
      </c>
      <c r="BK322" s="14">
        <f>SUMIFS(BJ$4:BJ322,$AU$4:$AU322,"="&amp;$AU322,$AY$4:$AY322,"="&amp;$AY322)</f>
        <v>207680</v>
      </c>
    </row>
    <row r="323" spans="46:63" ht="16.5" x14ac:dyDescent="0.2">
      <c r="AT323" s="13">
        <v>320</v>
      </c>
      <c r="AU323" s="13">
        <f t="shared" si="168"/>
        <v>4</v>
      </c>
      <c r="AV323" s="14">
        <f t="shared" si="169"/>
        <v>200508</v>
      </c>
      <c r="AW323" s="14">
        <f t="shared" si="170"/>
        <v>1102005</v>
      </c>
      <c r="AX323" s="13" t="s">
        <v>1127</v>
      </c>
      <c r="AY323" s="13">
        <f t="shared" si="171"/>
        <v>8</v>
      </c>
      <c r="AZ323" s="13" t="s">
        <v>1148</v>
      </c>
      <c r="BA323" s="14">
        <f t="shared" si="172"/>
        <v>9</v>
      </c>
      <c r="BB323" s="14" t="str">
        <f t="shared" si="173"/>
        <v>李轩辕魂珠-8 等级-9</v>
      </c>
      <c r="BC323" s="25" t="s">
        <v>1156</v>
      </c>
      <c r="BD323" s="14">
        <f t="shared" si="174"/>
        <v>2304</v>
      </c>
      <c r="BE323" s="14">
        <f>SUMIFS(BD$4:BD323,$AU$4:$AU323,"="&amp;$AU323,$AY$4:$AY323,"="&amp;$AY323)</f>
        <v>10800</v>
      </c>
      <c r="BF323" s="25" t="s">
        <v>1157</v>
      </c>
      <c r="BG323" s="14">
        <f t="shared" si="175"/>
        <v>1280</v>
      </c>
      <c r="BH323" s="14">
        <f>SUMIFS(BG$4:BG323,AU$4:AU323,"="&amp;AU323,AY$4:AY323,"="&amp;AY323)</f>
        <v>6000</v>
      </c>
      <c r="BI323" s="25" t="s">
        <v>1158</v>
      </c>
      <c r="BJ323" s="14">
        <f t="shared" si="176"/>
        <v>56320</v>
      </c>
      <c r="BK323" s="14">
        <f>SUMIFS(BJ$4:BJ323,$AU$4:$AU323,"="&amp;$AU323,$AY$4:$AY323,"="&amp;$AY323)</f>
        <v>264000</v>
      </c>
    </row>
    <row r="324" spans="46:63" ht="16.5" x14ac:dyDescent="0.2">
      <c r="AT324" s="13">
        <v>321</v>
      </c>
      <c r="AU324" s="13">
        <f t="shared" si="168"/>
        <v>5</v>
      </c>
      <c r="AV324" s="14">
        <f t="shared" si="169"/>
        <v>200601</v>
      </c>
      <c r="AW324" s="14">
        <f t="shared" si="170"/>
        <v>1102006</v>
      </c>
      <c r="AX324" s="13" t="s">
        <v>1127</v>
      </c>
      <c r="AY324" s="13">
        <f t="shared" si="171"/>
        <v>1</v>
      </c>
      <c r="AZ324" s="13" t="s">
        <v>1148</v>
      </c>
      <c r="BA324" s="14">
        <f t="shared" si="172"/>
        <v>0</v>
      </c>
      <c r="BB324" s="14" t="str">
        <f t="shared" si="173"/>
        <v>项羽魂珠-1 等级-0</v>
      </c>
      <c r="BC324" s="25" t="s">
        <v>1156</v>
      </c>
      <c r="BD324" s="14">
        <f t="shared" si="174"/>
        <v>0</v>
      </c>
      <c r="BE324" s="14">
        <f>SUMIFS(BD$4:BD324,$AU$4:$AU324,"="&amp;$AU324,$AY$4:$AY324,"="&amp;$AY324)</f>
        <v>0</v>
      </c>
      <c r="BF324" s="25" t="s">
        <v>1157</v>
      </c>
      <c r="BG324" s="14">
        <f t="shared" si="175"/>
        <v>0</v>
      </c>
      <c r="BH324" s="14">
        <f>SUMIFS(BG$4:BG324,AU$4:AU324,"="&amp;AU324,AY$4:AY324,"="&amp;AY324)</f>
        <v>0</v>
      </c>
      <c r="BI324" s="25" t="s">
        <v>1158</v>
      </c>
      <c r="BJ324" s="14">
        <f t="shared" si="176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7">INT((AT325-1)/80)+1</f>
        <v>5</v>
      </c>
      <c r="AV325" s="14">
        <f t="shared" ref="AV325:AV388" si="178">INDEX($AJ$4:$AJ$203,(AU325-1)*8+AY325)</f>
        <v>200601</v>
      </c>
      <c r="AW325" s="14">
        <f t="shared" ref="AW325:AW388" si="179">INDEX($W$4:$W$28,AU325)</f>
        <v>1102006</v>
      </c>
      <c r="AX325" s="13" t="s">
        <v>1127</v>
      </c>
      <c r="AY325" s="13">
        <f t="shared" ref="AY325:AY388" si="180">INT(((AT325-(AU325-1)*80)-1)/10)+1</f>
        <v>1</v>
      </c>
      <c r="AZ325" s="13" t="s">
        <v>1148</v>
      </c>
      <c r="BA325" s="14">
        <f t="shared" ref="BA325:BA388" si="181">AT325-(AU325-1)*80-(AY325-1)*10-1</f>
        <v>1</v>
      </c>
      <c r="BB325" s="14" t="str">
        <f t="shared" ref="BB325:BB388" si="182">INDEX($X$4:$X$28,AU325)&amp;"魂珠-"&amp;AY325&amp;" 等级-"&amp;BA325</f>
        <v>项羽魂珠-1 等级-1</v>
      </c>
      <c r="BC325" s="25" t="s">
        <v>1156</v>
      </c>
      <c r="BD325" s="14">
        <f t="shared" ref="BD325:BD388" si="183">ROUND(INDEX(Q$4:Q$83,($AY325-1)*10+$BA325+1)*INDEX(AC$4:AC$28,$AU325),0)</f>
        <v>54</v>
      </c>
      <c r="BE325" s="14">
        <f>SUMIFS(BD$4:BD325,$AU$4:$AU325,"="&amp;$AU325,$AY$4:$AY325,"="&amp;$AY325)</f>
        <v>54</v>
      </c>
      <c r="BF325" s="25" t="s">
        <v>1157</v>
      </c>
      <c r="BG325" s="14">
        <f t="shared" ref="BG325:BG388" si="184">ROUND(INDEX(R$4:R$83,($AY325-1)*10+$BA325+1)*INDEX(AD$4:AD$28,$AU325),0)</f>
        <v>30</v>
      </c>
      <c r="BH325" s="14">
        <f>SUMIFS(BG$4:BG325,AU$4:AU325,"="&amp;AU325,AY$4:AY325,"="&amp;AY325)</f>
        <v>30</v>
      </c>
      <c r="BI325" s="25" t="s">
        <v>1158</v>
      </c>
      <c r="BJ325" s="14">
        <f t="shared" ref="BJ325:BJ388" si="185">ROUND(INDEX(S$4:S$83,($AY325-1)*10+$BA325+1)*INDEX(AE$4:AE$28,$AU325),0)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7"/>
        <v>5</v>
      </c>
      <c r="AV326" s="14">
        <f t="shared" si="178"/>
        <v>200601</v>
      </c>
      <c r="AW326" s="14">
        <f t="shared" si="179"/>
        <v>1102006</v>
      </c>
      <c r="AX326" s="13" t="s">
        <v>1127</v>
      </c>
      <c r="AY326" s="13">
        <f t="shared" si="180"/>
        <v>1</v>
      </c>
      <c r="AZ326" s="13" t="s">
        <v>1148</v>
      </c>
      <c r="BA326" s="14">
        <f t="shared" si="181"/>
        <v>2</v>
      </c>
      <c r="BB326" s="14" t="str">
        <f t="shared" si="182"/>
        <v>项羽魂珠-1 等级-2</v>
      </c>
      <c r="BC326" s="25" t="s">
        <v>1156</v>
      </c>
      <c r="BD326" s="14">
        <f t="shared" si="183"/>
        <v>81</v>
      </c>
      <c r="BE326" s="14">
        <f>SUMIFS(BD$4:BD326,$AU$4:$AU326,"="&amp;$AU326,$AY$4:$AY326,"="&amp;$AY326)</f>
        <v>135</v>
      </c>
      <c r="BF326" s="25" t="s">
        <v>1157</v>
      </c>
      <c r="BG326" s="14">
        <f t="shared" si="184"/>
        <v>45</v>
      </c>
      <c r="BH326" s="14">
        <f>SUMIFS(BG$4:BG326,AU$4:AU326,"="&amp;AU326,AY$4:AY326,"="&amp;AY326)</f>
        <v>75</v>
      </c>
      <c r="BI326" s="25" t="s">
        <v>1158</v>
      </c>
      <c r="BJ326" s="14">
        <f t="shared" si="185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7"/>
        <v>5</v>
      </c>
      <c r="AV327" s="14">
        <f t="shared" si="178"/>
        <v>200601</v>
      </c>
      <c r="AW327" s="14">
        <f t="shared" si="179"/>
        <v>1102006</v>
      </c>
      <c r="AX327" s="13" t="s">
        <v>1127</v>
      </c>
      <c r="AY327" s="13">
        <f t="shared" si="180"/>
        <v>1</v>
      </c>
      <c r="AZ327" s="13" t="s">
        <v>1148</v>
      </c>
      <c r="BA327" s="14">
        <f t="shared" si="181"/>
        <v>3</v>
      </c>
      <c r="BB327" s="14" t="str">
        <f t="shared" si="182"/>
        <v>项羽魂珠-1 等级-3</v>
      </c>
      <c r="BC327" s="25" t="s">
        <v>1156</v>
      </c>
      <c r="BD327" s="14">
        <f t="shared" si="183"/>
        <v>108</v>
      </c>
      <c r="BE327" s="14">
        <f>SUMIFS(BD$4:BD327,$AU$4:$AU327,"="&amp;$AU327,$AY$4:$AY327,"="&amp;$AY327)</f>
        <v>243</v>
      </c>
      <c r="BF327" s="25" t="s">
        <v>1157</v>
      </c>
      <c r="BG327" s="14">
        <f t="shared" si="184"/>
        <v>60</v>
      </c>
      <c r="BH327" s="14">
        <f>SUMIFS(BG$4:BG327,AU$4:AU327,"="&amp;AU327,AY$4:AY327,"="&amp;AY327)</f>
        <v>135</v>
      </c>
      <c r="BI327" s="25" t="s">
        <v>1158</v>
      </c>
      <c r="BJ327" s="14">
        <f t="shared" si="185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7"/>
        <v>5</v>
      </c>
      <c r="AV328" s="14">
        <f t="shared" si="178"/>
        <v>200601</v>
      </c>
      <c r="AW328" s="14">
        <f t="shared" si="179"/>
        <v>1102006</v>
      </c>
      <c r="AX328" s="13" t="s">
        <v>1127</v>
      </c>
      <c r="AY328" s="13">
        <f t="shared" si="180"/>
        <v>1</v>
      </c>
      <c r="AZ328" s="13" t="s">
        <v>1148</v>
      </c>
      <c r="BA328" s="14">
        <f t="shared" si="181"/>
        <v>4</v>
      </c>
      <c r="BB328" s="14" t="str">
        <f t="shared" si="182"/>
        <v>项羽魂珠-1 等级-4</v>
      </c>
      <c r="BC328" s="25" t="s">
        <v>1156</v>
      </c>
      <c r="BD328" s="14">
        <f t="shared" si="183"/>
        <v>162</v>
      </c>
      <c r="BE328" s="14">
        <f>SUMIFS(BD$4:BD328,$AU$4:$AU328,"="&amp;$AU328,$AY$4:$AY328,"="&amp;$AY328)</f>
        <v>405</v>
      </c>
      <c r="BF328" s="25" t="s">
        <v>1157</v>
      </c>
      <c r="BG328" s="14">
        <f t="shared" si="184"/>
        <v>90</v>
      </c>
      <c r="BH328" s="14">
        <f>SUMIFS(BG$4:BG328,AU$4:AU328,"="&amp;AU328,AY$4:AY328,"="&amp;AY328)</f>
        <v>225</v>
      </c>
      <c r="BI328" s="25" t="s">
        <v>1158</v>
      </c>
      <c r="BJ328" s="14">
        <f t="shared" si="185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7"/>
        <v>5</v>
      </c>
      <c r="AV329" s="14">
        <f t="shared" si="178"/>
        <v>200601</v>
      </c>
      <c r="AW329" s="14">
        <f t="shared" si="179"/>
        <v>1102006</v>
      </c>
      <c r="AX329" s="13" t="s">
        <v>1127</v>
      </c>
      <c r="AY329" s="13">
        <f t="shared" si="180"/>
        <v>1</v>
      </c>
      <c r="AZ329" s="13" t="s">
        <v>1148</v>
      </c>
      <c r="BA329" s="14">
        <f t="shared" si="181"/>
        <v>5</v>
      </c>
      <c r="BB329" s="14" t="str">
        <f t="shared" si="182"/>
        <v>项羽魂珠-1 等级-5</v>
      </c>
      <c r="BC329" s="25" t="s">
        <v>1156</v>
      </c>
      <c r="BD329" s="14">
        <f t="shared" si="183"/>
        <v>216</v>
      </c>
      <c r="BE329" s="14">
        <f>SUMIFS(BD$4:BD329,$AU$4:$AU329,"="&amp;$AU329,$AY$4:$AY329,"="&amp;$AY329)</f>
        <v>621</v>
      </c>
      <c r="BF329" s="25" t="s">
        <v>1157</v>
      </c>
      <c r="BG329" s="14">
        <f t="shared" si="184"/>
        <v>120</v>
      </c>
      <c r="BH329" s="14">
        <f>SUMIFS(BG$4:BG329,AU$4:AU329,"="&amp;AU329,AY$4:AY329,"="&amp;AY329)</f>
        <v>345</v>
      </c>
      <c r="BI329" s="25" t="s">
        <v>1158</v>
      </c>
      <c r="BJ329" s="14">
        <f t="shared" si="185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7"/>
        <v>5</v>
      </c>
      <c r="AV330" s="14">
        <f t="shared" si="178"/>
        <v>200601</v>
      </c>
      <c r="AW330" s="14">
        <f t="shared" si="179"/>
        <v>1102006</v>
      </c>
      <c r="AX330" s="13" t="s">
        <v>1127</v>
      </c>
      <c r="AY330" s="13">
        <f t="shared" si="180"/>
        <v>1</v>
      </c>
      <c r="AZ330" s="13" t="s">
        <v>1148</v>
      </c>
      <c r="BA330" s="14">
        <f t="shared" si="181"/>
        <v>6</v>
      </c>
      <c r="BB330" s="14" t="str">
        <f t="shared" si="182"/>
        <v>项羽魂珠-1 等级-6</v>
      </c>
      <c r="BC330" s="25" t="s">
        <v>1156</v>
      </c>
      <c r="BD330" s="14">
        <f t="shared" si="183"/>
        <v>270</v>
      </c>
      <c r="BE330" s="14">
        <f>SUMIFS(BD$4:BD330,$AU$4:$AU330,"="&amp;$AU330,$AY$4:$AY330,"="&amp;$AY330)</f>
        <v>891</v>
      </c>
      <c r="BF330" s="25" t="s">
        <v>1157</v>
      </c>
      <c r="BG330" s="14">
        <f t="shared" si="184"/>
        <v>150</v>
      </c>
      <c r="BH330" s="14">
        <f>SUMIFS(BG$4:BG330,AU$4:AU330,"="&amp;AU330,AY$4:AY330,"="&amp;AY330)</f>
        <v>495</v>
      </c>
      <c r="BI330" s="25" t="s">
        <v>1158</v>
      </c>
      <c r="BJ330" s="14">
        <f t="shared" si="185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7"/>
        <v>5</v>
      </c>
      <c r="AV331" s="14">
        <f t="shared" si="178"/>
        <v>200601</v>
      </c>
      <c r="AW331" s="14">
        <f t="shared" si="179"/>
        <v>1102006</v>
      </c>
      <c r="AX331" s="13" t="s">
        <v>1127</v>
      </c>
      <c r="AY331" s="13">
        <f t="shared" si="180"/>
        <v>1</v>
      </c>
      <c r="AZ331" s="13" t="s">
        <v>1148</v>
      </c>
      <c r="BA331" s="14">
        <f t="shared" si="181"/>
        <v>7</v>
      </c>
      <c r="BB331" s="14" t="str">
        <f t="shared" si="182"/>
        <v>项羽魂珠-1 等级-7</v>
      </c>
      <c r="BC331" s="25" t="s">
        <v>1156</v>
      </c>
      <c r="BD331" s="14">
        <f t="shared" si="183"/>
        <v>324</v>
      </c>
      <c r="BE331" s="14">
        <f>SUMIFS(BD$4:BD331,$AU$4:$AU331,"="&amp;$AU331,$AY$4:$AY331,"="&amp;$AY331)</f>
        <v>1215</v>
      </c>
      <c r="BF331" s="25" t="s">
        <v>1157</v>
      </c>
      <c r="BG331" s="14">
        <f t="shared" si="184"/>
        <v>180</v>
      </c>
      <c r="BH331" s="14">
        <f>SUMIFS(BG$4:BG331,AU$4:AU331,"="&amp;AU331,AY$4:AY331,"="&amp;AY331)</f>
        <v>675</v>
      </c>
      <c r="BI331" s="25" t="s">
        <v>1158</v>
      </c>
      <c r="BJ331" s="14">
        <f t="shared" si="185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7"/>
        <v>5</v>
      </c>
      <c r="AV332" s="14">
        <f t="shared" si="178"/>
        <v>200601</v>
      </c>
      <c r="AW332" s="14">
        <f t="shared" si="179"/>
        <v>1102006</v>
      </c>
      <c r="AX332" s="13" t="s">
        <v>1127</v>
      </c>
      <c r="AY332" s="13">
        <f t="shared" si="180"/>
        <v>1</v>
      </c>
      <c r="AZ332" s="13" t="s">
        <v>1148</v>
      </c>
      <c r="BA332" s="14">
        <f t="shared" si="181"/>
        <v>8</v>
      </c>
      <c r="BB332" s="14" t="str">
        <f t="shared" si="182"/>
        <v>项羽魂珠-1 等级-8</v>
      </c>
      <c r="BC332" s="25" t="s">
        <v>1156</v>
      </c>
      <c r="BD332" s="14">
        <f t="shared" si="183"/>
        <v>378</v>
      </c>
      <c r="BE332" s="14">
        <f>SUMIFS(BD$4:BD332,$AU$4:$AU332,"="&amp;$AU332,$AY$4:$AY332,"="&amp;$AY332)</f>
        <v>1593</v>
      </c>
      <c r="BF332" s="25" t="s">
        <v>1157</v>
      </c>
      <c r="BG332" s="14">
        <f t="shared" si="184"/>
        <v>210</v>
      </c>
      <c r="BH332" s="14">
        <f>SUMIFS(BG$4:BG332,AU$4:AU332,"="&amp;AU332,AY$4:AY332,"="&amp;AY332)</f>
        <v>885</v>
      </c>
      <c r="BI332" s="25" t="s">
        <v>1158</v>
      </c>
      <c r="BJ332" s="14">
        <f t="shared" si="185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7"/>
        <v>5</v>
      </c>
      <c r="AV333" s="14">
        <f t="shared" si="178"/>
        <v>200601</v>
      </c>
      <c r="AW333" s="14">
        <f t="shared" si="179"/>
        <v>1102006</v>
      </c>
      <c r="AX333" s="13" t="s">
        <v>1127</v>
      </c>
      <c r="AY333" s="13">
        <f t="shared" si="180"/>
        <v>1</v>
      </c>
      <c r="AZ333" s="13" t="s">
        <v>1148</v>
      </c>
      <c r="BA333" s="14">
        <f t="shared" si="181"/>
        <v>9</v>
      </c>
      <c r="BB333" s="14" t="str">
        <f t="shared" si="182"/>
        <v>项羽魂珠-1 等级-9</v>
      </c>
      <c r="BC333" s="25" t="s">
        <v>1156</v>
      </c>
      <c r="BD333" s="14">
        <f t="shared" si="183"/>
        <v>432</v>
      </c>
      <c r="BE333" s="14">
        <f>SUMIFS(BD$4:BD333,$AU$4:$AU333,"="&amp;$AU333,$AY$4:$AY333,"="&amp;$AY333)</f>
        <v>2025</v>
      </c>
      <c r="BF333" s="25" t="s">
        <v>1157</v>
      </c>
      <c r="BG333" s="14">
        <f t="shared" si="184"/>
        <v>240</v>
      </c>
      <c r="BH333" s="14">
        <f>SUMIFS(BG$4:BG333,AU$4:AU333,"="&amp;AU333,AY$4:AY333,"="&amp;AY333)</f>
        <v>1125</v>
      </c>
      <c r="BI333" s="25" t="s">
        <v>1158</v>
      </c>
      <c r="BJ333" s="14">
        <f t="shared" si="185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7"/>
        <v>5</v>
      </c>
      <c r="AV334" s="14">
        <f t="shared" si="178"/>
        <v>200602</v>
      </c>
      <c r="AW334" s="14">
        <f t="shared" si="179"/>
        <v>1102006</v>
      </c>
      <c r="AX334" s="13" t="s">
        <v>1127</v>
      </c>
      <c r="AY334" s="13">
        <f t="shared" si="180"/>
        <v>2</v>
      </c>
      <c r="AZ334" s="13" t="s">
        <v>1148</v>
      </c>
      <c r="BA334" s="14">
        <f t="shared" si="181"/>
        <v>0</v>
      </c>
      <c r="BB334" s="14" t="str">
        <f t="shared" si="182"/>
        <v>项羽魂珠-2 等级-0</v>
      </c>
      <c r="BC334" s="25" t="s">
        <v>1156</v>
      </c>
      <c r="BD334" s="14">
        <f t="shared" si="183"/>
        <v>0</v>
      </c>
      <c r="BE334" s="14">
        <f>SUMIFS(BD$4:BD334,$AU$4:$AU334,"="&amp;$AU334,$AY$4:$AY334,"="&amp;$AY334)</f>
        <v>0</v>
      </c>
      <c r="BF334" s="25" t="s">
        <v>1157</v>
      </c>
      <c r="BG334" s="14">
        <f t="shared" si="184"/>
        <v>0</v>
      </c>
      <c r="BH334" s="14">
        <f>SUMIFS(BG$4:BG334,AU$4:AU334,"="&amp;AU334,AY$4:AY334,"="&amp;AY334)</f>
        <v>0</v>
      </c>
      <c r="BI334" s="25" t="s">
        <v>1158</v>
      </c>
      <c r="BJ334" s="14">
        <f t="shared" si="185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7"/>
        <v>5</v>
      </c>
      <c r="AV335" s="14">
        <f t="shared" si="178"/>
        <v>200602</v>
      </c>
      <c r="AW335" s="14">
        <f t="shared" si="179"/>
        <v>1102006</v>
      </c>
      <c r="AX335" s="13" t="s">
        <v>1127</v>
      </c>
      <c r="AY335" s="13">
        <f t="shared" si="180"/>
        <v>2</v>
      </c>
      <c r="AZ335" s="13" t="s">
        <v>1148</v>
      </c>
      <c r="BA335" s="14">
        <f t="shared" si="181"/>
        <v>1</v>
      </c>
      <c r="BB335" s="14" t="str">
        <f t="shared" si="182"/>
        <v>项羽魂珠-2 等级-1</v>
      </c>
      <c r="BC335" s="25" t="s">
        <v>1156</v>
      </c>
      <c r="BD335" s="14">
        <f t="shared" si="183"/>
        <v>68</v>
      </c>
      <c r="BE335" s="14">
        <f>SUMIFS(BD$4:BD335,$AU$4:$AU335,"="&amp;$AU335,$AY$4:$AY335,"="&amp;$AY335)</f>
        <v>68</v>
      </c>
      <c r="BF335" s="25" t="s">
        <v>1157</v>
      </c>
      <c r="BG335" s="14">
        <f t="shared" si="184"/>
        <v>38</v>
      </c>
      <c r="BH335" s="14">
        <f>SUMIFS(BG$4:BG335,AU$4:AU335,"="&amp;AU335,AY$4:AY335,"="&amp;AY335)</f>
        <v>38</v>
      </c>
      <c r="BI335" s="25" t="s">
        <v>1158</v>
      </c>
      <c r="BJ335" s="14">
        <f t="shared" si="185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7"/>
        <v>5</v>
      </c>
      <c r="AV336" s="14">
        <f t="shared" si="178"/>
        <v>200602</v>
      </c>
      <c r="AW336" s="14">
        <f t="shared" si="179"/>
        <v>1102006</v>
      </c>
      <c r="AX336" s="13" t="s">
        <v>1127</v>
      </c>
      <c r="AY336" s="13">
        <f t="shared" si="180"/>
        <v>2</v>
      </c>
      <c r="AZ336" s="13" t="s">
        <v>1148</v>
      </c>
      <c r="BA336" s="14">
        <f t="shared" si="181"/>
        <v>2</v>
      </c>
      <c r="BB336" s="14" t="str">
        <f t="shared" si="182"/>
        <v>项羽魂珠-2 等级-2</v>
      </c>
      <c r="BC336" s="25" t="s">
        <v>1156</v>
      </c>
      <c r="BD336" s="14">
        <f t="shared" si="183"/>
        <v>108</v>
      </c>
      <c r="BE336" s="14">
        <f>SUMIFS(BD$4:BD336,$AU$4:$AU336,"="&amp;$AU336,$AY$4:$AY336,"="&amp;$AY336)</f>
        <v>176</v>
      </c>
      <c r="BF336" s="25" t="s">
        <v>1157</v>
      </c>
      <c r="BG336" s="14">
        <f t="shared" si="184"/>
        <v>60</v>
      </c>
      <c r="BH336" s="14">
        <f>SUMIFS(BG$4:BG336,AU$4:AU336,"="&amp;AU336,AY$4:AY336,"="&amp;AY336)</f>
        <v>98</v>
      </c>
      <c r="BI336" s="25" t="s">
        <v>1158</v>
      </c>
      <c r="BJ336" s="14">
        <f t="shared" si="185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7"/>
        <v>5</v>
      </c>
      <c r="AV337" s="14">
        <f t="shared" si="178"/>
        <v>200602</v>
      </c>
      <c r="AW337" s="14">
        <f t="shared" si="179"/>
        <v>1102006</v>
      </c>
      <c r="AX337" s="13" t="s">
        <v>1127</v>
      </c>
      <c r="AY337" s="13">
        <f t="shared" si="180"/>
        <v>2</v>
      </c>
      <c r="AZ337" s="13" t="s">
        <v>1148</v>
      </c>
      <c r="BA337" s="14">
        <f t="shared" si="181"/>
        <v>3</v>
      </c>
      <c r="BB337" s="14" t="str">
        <f t="shared" si="182"/>
        <v>项羽魂珠-2 等级-3</v>
      </c>
      <c r="BC337" s="25" t="s">
        <v>1156</v>
      </c>
      <c r="BD337" s="14">
        <f t="shared" si="183"/>
        <v>135</v>
      </c>
      <c r="BE337" s="14">
        <f>SUMIFS(BD$4:BD337,$AU$4:$AU337,"="&amp;$AU337,$AY$4:$AY337,"="&amp;$AY337)</f>
        <v>311</v>
      </c>
      <c r="BF337" s="25" t="s">
        <v>1157</v>
      </c>
      <c r="BG337" s="14">
        <f t="shared" si="184"/>
        <v>75</v>
      </c>
      <c r="BH337" s="14">
        <f>SUMIFS(BG$4:BG337,AU$4:AU337,"="&amp;AU337,AY$4:AY337,"="&amp;AY337)</f>
        <v>173</v>
      </c>
      <c r="BI337" s="25" t="s">
        <v>1158</v>
      </c>
      <c r="BJ337" s="14">
        <f t="shared" si="185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7"/>
        <v>5</v>
      </c>
      <c r="AV338" s="14">
        <f t="shared" si="178"/>
        <v>200602</v>
      </c>
      <c r="AW338" s="14">
        <f t="shared" si="179"/>
        <v>1102006</v>
      </c>
      <c r="AX338" s="13" t="s">
        <v>1127</v>
      </c>
      <c r="AY338" s="13">
        <f t="shared" si="180"/>
        <v>2</v>
      </c>
      <c r="AZ338" s="13" t="s">
        <v>1148</v>
      </c>
      <c r="BA338" s="14">
        <f t="shared" si="181"/>
        <v>4</v>
      </c>
      <c r="BB338" s="14" t="str">
        <f t="shared" si="182"/>
        <v>项羽魂珠-2 等级-4</v>
      </c>
      <c r="BC338" s="25" t="s">
        <v>1156</v>
      </c>
      <c r="BD338" s="14">
        <f t="shared" si="183"/>
        <v>216</v>
      </c>
      <c r="BE338" s="14">
        <f>SUMIFS(BD$4:BD338,$AU$4:$AU338,"="&amp;$AU338,$AY$4:$AY338,"="&amp;$AY338)</f>
        <v>527</v>
      </c>
      <c r="BF338" s="25" t="s">
        <v>1157</v>
      </c>
      <c r="BG338" s="14">
        <f t="shared" si="184"/>
        <v>120</v>
      </c>
      <c r="BH338" s="14">
        <f>SUMIFS(BG$4:BG338,AU$4:AU338,"="&amp;AU338,AY$4:AY338,"="&amp;AY338)</f>
        <v>293</v>
      </c>
      <c r="BI338" s="25" t="s">
        <v>1158</v>
      </c>
      <c r="BJ338" s="14">
        <f t="shared" si="185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7"/>
        <v>5</v>
      </c>
      <c r="AV339" s="14">
        <f t="shared" si="178"/>
        <v>200602</v>
      </c>
      <c r="AW339" s="14">
        <f t="shared" si="179"/>
        <v>1102006</v>
      </c>
      <c r="AX339" s="13" t="s">
        <v>1127</v>
      </c>
      <c r="AY339" s="13">
        <f t="shared" si="180"/>
        <v>2</v>
      </c>
      <c r="AZ339" s="13" t="s">
        <v>1148</v>
      </c>
      <c r="BA339" s="14">
        <f t="shared" si="181"/>
        <v>5</v>
      </c>
      <c r="BB339" s="14" t="str">
        <f t="shared" si="182"/>
        <v>项羽魂珠-2 等级-5</v>
      </c>
      <c r="BC339" s="25" t="s">
        <v>1156</v>
      </c>
      <c r="BD339" s="14">
        <f t="shared" si="183"/>
        <v>297</v>
      </c>
      <c r="BE339" s="14">
        <f>SUMIFS(BD$4:BD339,$AU$4:$AU339,"="&amp;$AU339,$AY$4:$AY339,"="&amp;$AY339)</f>
        <v>824</v>
      </c>
      <c r="BF339" s="25" t="s">
        <v>1157</v>
      </c>
      <c r="BG339" s="14">
        <f t="shared" si="184"/>
        <v>165</v>
      </c>
      <c r="BH339" s="14">
        <f>SUMIFS(BG$4:BG339,AU$4:AU339,"="&amp;AU339,AY$4:AY339,"="&amp;AY339)</f>
        <v>458</v>
      </c>
      <c r="BI339" s="25" t="s">
        <v>1158</v>
      </c>
      <c r="BJ339" s="14">
        <f t="shared" si="185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7"/>
        <v>5</v>
      </c>
      <c r="AV340" s="14">
        <f t="shared" si="178"/>
        <v>200602</v>
      </c>
      <c r="AW340" s="14">
        <f t="shared" si="179"/>
        <v>1102006</v>
      </c>
      <c r="AX340" s="13" t="s">
        <v>1127</v>
      </c>
      <c r="AY340" s="13">
        <f t="shared" si="180"/>
        <v>2</v>
      </c>
      <c r="AZ340" s="13" t="s">
        <v>1148</v>
      </c>
      <c r="BA340" s="14">
        <f t="shared" si="181"/>
        <v>6</v>
      </c>
      <c r="BB340" s="14" t="str">
        <f t="shared" si="182"/>
        <v>项羽魂珠-2 等级-6</v>
      </c>
      <c r="BC340" s="25" t="s">
        <v>1156</v>
      </c>
      <c r="BD340" s="14">
        <f t="shared" si="183"/>
        <v>378</v>
      </c>
      <c r="BE340" s="14">
        <f>SUMIFS(BD$4:BD340,$AU$4:$AU340,"="&amp;$AU340,$AY$4:$AY340,"="&amp;$AY340)</f>
        <v>1202</v>
      </c>
      <c r="BF340" s="25" t="s">
        <v>1157</v>
      </c>
      <c r="BG340" s="14">
        <f t="shared" si="184"/>
        <v>210</v>
      </c>
      <c r="BH340" s="14">
        <f>SUMIFS(BG$4:BG340,AU$4:AU340,"="&amp;AU340,AY$4:AY340,"="&amp;AY340)</f>
        <v>668</v>
      </c>
      <c r="BI340" s="25" t="s">
        <v>1158</v>
      </c>
      <c r="BJ340" s="14">
        <f t="shared" si="185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7"/>
        <v>5</v>
      </c>
      <c r="AV341" s="14">
        <f t="shared" si="178"/>
        <v>200602</v>
      </c>
      <c r="AW341" s="14">
        <f t="shared" si="179"/>
        <v>1102006</v>
      </c>
      <c r="AX341" s="13" t="s">
        <v>1127</v>
      </c>
      <c r="AY341" s="13">
        <f t="shared" si="180"/>
        <v>2</v>
      </c>
      <c r="AZ341" s="13" t="s">
        <v>1148</v>
      </c>
      <c r="BA341" s="14">
        <f t="shared" si="181"/>
        <v>7</v>
      </c>
      <c r="BB341" s="14" t="str">
        <f t="shared" si="182"/>
        <v>项羽魂珠-2 等级-7</v>
      </c>
      <c r="BC341" s="25" t="s">
        <v>1156</v>
      </c>
      <c r="BD341" s="14">
        <f t="shared" si="183"/>
        <v>432</v>
      </c>
      <c r="BE341" s="14">
        <f>SUMIFS(BD$4:BD341,$AU$4:$AU341,"="&amp;$AU341,$AY$4:$AY341,"="&amp;$AY341)</f>
        <v>1634</v>
      </c>
      <c r="BF341" s="25" t="s">
        <v>1157</v>
      </c>
      <c r="BG341" s="14">
        <f t="shared" si="184"/>
        <v>240</v>
      </c>
      <c r="BH341" s="14">
        <f>SUMIFS(BG$4:BG341,AU$4:AU341,"="&amp;AU341,AY$4:AY341,"="&amp;AY341)</f>
        <v>908</v>
      </c>
      <c r="BI341" s="25" t="s">
        <v>1158</v>
      </c>
      <c r="BJ341" s="14">
        <f t="shared" si="185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7"/>
        <v>5</v>
      </c>
      <c r="AV342" s="14">
        <f t="shared" si="178"/>
        <v>200602</v>
      </c>
      <c r="AW342" s="14">
        <f t="shared" si="179"/>
        <v>1102006</v>
      </c>
      <c r="AX342" s="13" t="s">
        <v>1127</v>
      </c>
      <c r="AY342" s="13">
        <f t="shared" si="180"/>
        <v>2</v>
      </c>
      <c r="AZ342" s="13" t="s">
        <v>1148</v>
      </c>
      <c r="BA342" s="14">
        <f t="shared" si="181"/>
        <v>8</v>
      </c>
      <c r="BB342" s="14" t="str">
        <f t="shared" si="182"/>
        <v>项羽魂珠-2 等级-8</v>
      </c>
      <c r="BC342" s="25" t="s">
        <v>1156</v>
      </c>
      <c r="BD342" s="14">
        <f t="shared" si="183"/>
        <v>513</v>
      </c>
      <c r="BE342" s="14">
        <f>SUMIFS(BD$4:BD342,$AU$4:$AU342,"="&amp;$AU342,$AY$4:$AY342,"="&amp;$AY342)</f>
        <v>2147</v>
      </c>
      <c r="BF342" s="25" t="s">
        <v>1157</v>
      </c>
      <c r="BG342" s="14">
        <f t="shared" si="184"/>
        <v>285</v>
      </c>
      <c r="BH342" s="14">
        <f>SUMIFS(BG$4:BG342,AU$4:AU342,"="&amp;AU342,AY$4:AY342,"="&amp;AY342)</f>
        <v>1193</v>
      </c>
      <c r="BI342" s="25" t="s">
        <v>1158</v>
      </c>
      <c r="BJ342" s="14">
        <f t="shared" si="185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7"/>
        <v>5</v>
      </c>
      <c r="AV343" s="14">
        <f t="shared" si="178"/>
        <v>200602</v>
      </c>
      <c r="AW343" s="14">
        <f t="shared" si="179"/>
        <v>1102006</v>
      </c>
      <c r="AX343" s="13" t="s">
        <v>1127</v>
      </c>
      <c r="AY343" s="13">
        <f t="shared" si="180"/>
        <v>2</v>
      </c>
      <c r="AZ343" s="13" t="s">
        <v>1148</v>
      </c>
      <c r="BA343" s="14">
        <f t="shared" si="181"/>
        <v>9</v>
      </c>
      <c r="BB343" s="14" t="str">
        <f t="shared" si="182"/>
        <v>项羽魂珠-2 等级-9</v>
      </c>
      <c r="BC343" s="25" t="s">
        <v>1156</v>
      </c>
      <c r="BD343" s="14">
        <f t="shared" si="183"/>
        <v>608</v>
      </c>
      <c r="BE343" s="14">
        <f>SUMIFS(BD$4:BD343,$AU$4:$AU343,"="&amp;$AU343,$AY$4:$AY343,"="&amp;$AY343)</f>
        <v>2755</v>
      </c>
      <c r="BF343" s="25" t="s">
        <v>1157</v>
      </c>
      <c r="BG343" s="14">
        <f t="shared" si="184"/>
        <v>338</v>
      </c>
      <c r="BH343" s="14">
        <f>SUMIFS(BG$4:BG343,AU$4:AU343,"="&amp;AU343,AY$4:AY343,"="&amp;AY343)</f>
        <v>1531</v>
      </c>
      <c r="BI343" s="25" t="s">
        <v>1158</v>
      </c>
      <c r="BJ343" s="14">
        <f t="shared" si="185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7"/>
        <v>5</v>
      </c>
      <c r="AV344" s="14">
        <f t="shared" si="178"/>
        <v>200603</v>
      </c>
      <c r="AW344" s="14">
        <f t="shared" si="179"/>
        <v>1102006</v>
      </c>
      <c r="AX344" s="13" t="s">
        <v>1127</v>
      </c>
      <c r="AY344" s="13">
        <f t="shared" si="180"/>
        <v>3</v>
      </c>
      <c r="AZ344" s="13" t="s">
        <v>1148</v>
      </c>
      <c r="BA344" s="14">
        <f t="shared" si="181"/>
        <v>0</v>
      </c>
      <c r="BB344" s="14" t="str">
        <f t="shared" si="182"/>
        <v>项羽魂珠-3 等级-0</v>
      </c>
      <c r="BC344" s="25" t="s">
        <v>1156</v>
      </c>
      <c r="BD344" s="14">
        <f t="shared" si="183"/>
        <v>0</v>
      </c>
      <c r="BE344" s="14">
        <f>SUMIFS(BD$4:BD344,$AU$4:$AU344,"="&amp;$AU344,$AY$4:$AY344,"="&amp;$AY344)</f>
        <v>0</v>
      </c>
      <c r="BF344" s="25" t="s">
        <v>1157</v>
      </c>
      <c r="BG344" s="14">
        <f t="shared" si="184"/>
        <v>0</v>
      </c>
      <c r="BH344" s="14">
        <f>SUMIFS(BG$4:BG344,AU$4:AU344,"="&amp;AU344,AY$4:AY344,"="&amp;AY344)</f>
        <v>0</v>
      </c>
      <c r="BI344" s="25" t="s">
        <v>1158</v>
      </c>
      <c r="BJ344" s="14">
        <f t="shared" si="185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7"/>
        <v>5</v>
      </c>
      <c r="AV345" s="14">
        <f t="shared" si="178"/>
        <v>200603</v>
      </c>
      <c r="AW345" s="14">
        <f t="shared" si="179"/>
        <v>1102006</v>
      </c>
      <c r="AX345" s="13" t="s">
        <v>1127</v>
      </c>
      <c r="AY345" s="13">
        <f t="shared" si="180"/>
        <v>3</v>
      </c>
      <c r="AZ345" s="13" t="s">
        <v>1148</v>
      </c>
      <c r="BA345" s="14">
        <f t="shared" si="181"/>
        <v>1</v>
      </c>
      <c r="BB345" s="14" t="str">
        <f t="shared" si="182"/>
        <v>项羽魂珠-3 等级-1</v>
      </c>
      <c r="BC345" s="25" t="s">
        <v>1156</v>
      </c>
      <c r="BD345" s="14">
        <f t="shared" si="183"/>
        <v>108</v>
      </c>
      <c r="BE345" s="14">
        <f>SUMIFS(BD$4:BD345,$AU$4:$AU345,"="&amp;$AU345,$AY$4:$AY345,"="&amp;$AY345)</f>
        <v>108</v>
      </c>
      <c r="BF345" s="25" t="s">
        <v>1157</v>
      </c>
      <c r="BG345" s="14">
        <f t="shared" si="184"/>
        <v>60</v>
      </c>
      <c r="BH345" s="14">
        <f>SUMIFS(BG$4:BG345,AU$4:AU345,"="&amp;AU345,AY$4:AY345,"="&amp;AY345)</f>
        <v>60</v>
      </c>
      <c r="BI345" s="25" t="s">
        <v>1158</v>
      </c>
      <c r="BJ345" s="14">
        <f t="shared" si="185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7"/>
        <v>5</v>
      </c>
      <c r="AV346" s="14">
        <f t="shared" si="178"/>
        <v>200603</v>
      </c>
      <c r="AW346" s="14">
        <f t="shared" si="179"/>
        <v>1102006</v>
      </c>
      <c r="AX346" s="13" t="s">
        <v>1127</v>
      </c>
      <c r="AY346" s="13">
        <f t="shared" si="180"/>
        <v>3</v>
      </c>
      <c r="AZ346" s="13" t="s">
        <v>1148</v>
      </c>
      <c r="BA346" s="14">
        <f t="shared" si="181"/>
        <v>2</v>
      </c>
      <c r="BB346" s="14" t="str">
        <f t="shared" si="182"/>
        <v>项羽魂珠-3 等级-2</v>
      </c>
      <c r="BC346" s="25" t="s">
        <v>1156</v>
      </c>
      <c r="BD346" s="14">
        <f t="shared" si="183"/>
        <v>162</v>
      </c>
      <c r="BE346" s="14">
        <f>SUMIFS(BD$4:BD346,$AU$4:$AU346,"="&amp;$AU346,$AY$4:$AY346,"="&amp;$AY346)</f>
        <v>270</v>
      </c>
      <c r="BF346" s="25" t="s">
        <v>1157</v>
      </c>
      <c r="BG346" s="14">
        <f t="shared" si="184"/>
        <v>90</v>
      </c>
      <c r="BH346" s="14">
        <f>SUMIFS(BG$4:BG346,AU$4:AU346,"="&amp;AU346,AY$4:AY346,"="&amp;AY346)</f>
        <v>150</v>
      </c>
      <c r="BI346" s="25" t="s">
        <v>1158</v>
      </c>
      <c r="BJ346" s="14">
        <f t="shared" si="185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7"/>
        <v>5</v>
      </c>
      <c r="AV347" s="14">
        <f t="shared" si="178"/>
        <v>200603</v>
      </c>
      <c r="AW347" s="14">
        <f t="shared" si="179"/>
        <v>1102006</v>
      </c>
      <c r="AX347" s="13" t="s">
        <v>1127</v>
      </c>
      <c r="AY347" s="13">
        <f t="shared" si="180"/>
        <v>3</v>
      </c>
      <c r="AZ347" s="13" t="s">
        <v>1148</v>
      </c>
      <c r="BA347" s="14">
        <f t="shared" si="181"/>
        <v>3</v>
      </c>
      <c r="BB347" s="14" t="str">
        <f t="shared" si="182"/>
        <v>项羽魂珠-3 等级-3</v>
      </c>
      <c r="BC347" s="25" t="s">
        <v>1156</v>
      </c>
      <c r="BD347" s="14">
        <f t="shared" si="183"/>
        <v>216</v>
      </c>
      <c r="BE347" s="14">
        <f>SUMIFS(BD$4:BD347,$AU$4:$AU347,"="&amp;$AU347,$AY$4:$AY347,"="&amp;$AY347)</f>
        <v>486</v>
      </c>
      <c r="BF347" s="25" t="s">
        <v>1157</v>
      </c>
      <c r="BG347" s="14">
        <f t="shared" si="184"/>
        <v>120</v>
      </c>
      <c r="BH347" s="14">
        <f>SUMIFS(BG$4:BG347,AU$4:AU347,"="&amp;AU347,AY$4:AY347,"="&amp;AY347)</f>
        <v>270</v>
      </c>
      <c r="BI347" s="25" t="s">
        <v>1158</v>
      </c>
      <c r="BJ347" s="14">
        <f t="shared" si="185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7"/>
        <v>5</v>
      </c>
      <c r="AV348" s="14">
        <f t="shared" si="178"/>
        <v>200603</v>
      </c>
      <c r="AW348" s="14">
        <f t="shared" si="179"/>
        <v>1102006</v>
      </c>
      <c r="AX348" s="13" t="s">
        <v>1127</v>
      </c>
      <c r="AY348" s="13">
        <f t="shared" si="180"/>
        <v>3</v>
      </c>
      <c r="AZ348" s="13" t="s">
        <v>1148</v>
      </c>
      <c r="BA348" s="14">
        <f t="shared" si="181"/>
        <v>4</v>
      </c>
      <c r="BB348" s="14" t="str">
        <f t="shared" si="182"/>
        <v>项羽魂珠-3 等级-4</v>
      </c>
      <c r="BC348" s="25" t="s">
        <v>1156</v>
      </c>
      <c r="BD348" s="14">
        <f t="shared" si="183"/>
        <v>324</v>
      </c>
      <c r="BE348" s="14">
        <f>SUMIFS(BD$4:BD348,$AU$4:$AU348,"="&amp;$AU348,$AY$4:$AY348,"="&amp;$AY348)</f>
        <v>810</v>
      </c>
      <c r="BF348" s="25" t="s">
        <v>1157</v>
      </c>
      <c r="BG348" s="14">
        <f t="shared" si="184"/>
        <v>180</v>
      </c>
      <c r="BH348" s="14">
        <f>SUMIFS(BG$4:BG348,AU$4:AU348,"="&amp;AU348,AY$4:AY348,"="&amp;AY348)</f>
        <v>450</v>
      </c>
      <c r="BI348" s="25" t="s">
        <v>1158</v>
      </c>
      <c r="BJ348" s="14">
        <f t="shared" si="185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7"/>
        <v>5</v>
      </c>
      <c r="AV349" s="14">
        <f t="shared" si="178"/>
        <v>200603</v>
      </c>
      <c r="AW349" s="14">
        <f t="shared" si="179"/>
        <v>1102006</v>
      </c>
      <c r="AX349" s="13" t="s">
        <v>1127</v>
      </c>
      <c r="AY349" s="13">
        <f t="shared" si="180"/>
        <v>3</v>
      </c>
      <c r="AZ349" s="13" t="s">
        <v>1148</v>
      </c>
      <c r="BA349" s="14">
        <f t="shared" si="181"/>
        <v>5</v>
      </c>
      <c r="BB349" s="14" t="str">
        <f t="shared" si="182"/>
        <v>项羽魂珠-3 等级-5</v>
      </c>
      <c r="BC349" s="25" t="s">
        <v>1156</v>
      </c>
      <c r="BD349" s="14">
        <f t="shared" si="183"/>
        <v>432</v>
      </c>
      <c r="BE349" s="14">
        <f>SUMIFS(BD$4:BD349,$AU$4:$AU349,"="&amp;$AU349,$AY$4:$AY349,"="&amp;$AY349)</f>
        <v>1242</v>
      </c>
      <c r="BF349" s="25" t="s">
        <v>1157</v>
      </c>
      <c r="BG349" s="14">
        <f t="shared" si="184"/>
        <v>240</v>
      </c>
      <c r="BH349" s="14">
        <f>SUMIFS(BG$4:BG349,AU$4:AU349,"="&amp;AU349,AY$4:AY349,"="&amp;AY349)</f>
        <v>690</v>
      </c>
      <c r="BI349" s="25" t="s">
        <v>1158</v>
      </c>
      <c r="BJ349" s="14">
        <f t="shared" si="185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7"/>
        <v>5</v>
      </c>
      <c r="AV350" s="14">
        <f t="shared" si="178"/>
        <v>200603</v>
      </c>
      <c r="AW350" s="14">
        <f t="shared" si="179"/>
        <v>1102006</v>
      </c>
      <c r="AX350" s="13" t="s">
        <v>1127</v>
      </c>
      <c r="AY350" s="13">
        <f t="shared" si="180"/>
        <v>3</v>
      </c>
      <c r="AZ350" s="13" t="s">
        <v>1148</v>
      </c>
      <c r="BA350" s="14">
        <f t="shared" si="181"/>
        <v>6</v>
      </c>
      <c r="BB350" s="14" t="str">
        <f t="shared" si="182"/>
        <v>项羽魂珠-3 等级-6</v>
      </c>
      <c r="BC350" s="25" t="s">
        <v>1156</v>
      </c>
      <c r="BD350" s="14">
        <f t="shared" si="183"/>
        <v>540</v>
      </c>
      <c r="BE350" s="14">
        <f>SUMIFS(BD$4:BD350,$AU$4:$AU350,"="&amp;$AU350,$AY$4:$AY350,"="&amp;$AY350)</f>
        <v>1782</v>
      </c>
      <c r="BF350" s="25" t="s">
        <v>1157</v>
      </c>
      <c r="BG350" s="14">
        <f t="shared" si="184"/>
        <v>300</v>
      </c>
      <c r="BH350" s="14">
        <f>SUMIFS(BG$4:BG350,AU$4:AU350,"="&amp;AU350,AY$4:AY350,"="&amp;AY350)</f>
        <v>990</v>
      </c>
      <c r="BI350" s="25" t="s">
        <v>1158</v>
      </c>
      <c r="BJ350" s="14">
        <f t="shared" si="185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7"/>
        <v>5</v>
      </c>
      <c r="AV351" s="14">
        <f t="shared" si="178"/>
        <v>200603</v>
      </c>
      <c r="AW351" s="14">
        <f t="shared" si="179"/>
        <v>1102006</v>
      </c>
      <c r="AX351" s="13" t="s">
        <v>1127</v>
      </c>
      <c r="AY351" s="13">
        <f t="shared" si="180"/>
        <v>3</v>
      </c>
      <c r="AZ351" s="13" t="s">
        <v>1148</v>
      </c>
      <c r="BA351" s="14">
        <f t="shared" si="181"/>
        <v>7</v>
      </c>
      <c r="BB351" s="14" t="str">
        <f t="shared" si="182"/>
        <v>项羽魂珠-3 等级-7</v>
      </c>
      <c r="BC351" s="25" t="s">
        <v>1156</v>
      </c>
      <c r="BD351" s="14">
        <f t="shared" si="183"/>
        <v>648</v>
      </c>
      <c r="BE351" s="14">
        <f>SUMIFS(BD$4:BD351,$AU$4:$AU351,"="&amp;$AU351,$AY$4:$AY351,"="&amp;$AY351)</f>
        <v>2430</v>
      </c>
      <c r="BF351" s="25" t="s">
        <v>1157</v>
      </c>
      <c r="BG351" s="14">
        <f t="shared" si="184"/>
        <v>360</v>
      </c>
      <c r="BH351" s="14">
        <f>SUMIFS(BG$4:BG351,AU$4:AU351,"="&amp;AU351,AY$4:AY351,"="&amp;AY351)</f>
        <v>1350</v>
      </c>
      <c r="BI351" s="25" t="s">
        <v>1158</v>
      </c>
      <c r="BJ351" s="14">
        <f t="shared" si="185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7"/>
        <v>5</v>
      </c>
      <c r="AV352" s="14">
        <f t="shared" si="178"/>
        <v>200603</v>
      </c>
      <c r="AW352" s="14">
        <f t="shared" si="179"/>
        <v>1102006</v>
      </c>
      <c r="AX352" s="13" t="s">
        <v>1127</v>
      </c>
      <c r="AY352" s="13">
        <f t="shared" si="180"/>
        <v>3</v>
      </c>
      <c r="AZ352" s="13" t="s">
        <v>1148</v>
      </c>
      <c r="BA352" s="14">
        <f t="shared" si="181"/>
        <v>8</v>
      </c>
      <c r="BB352" s="14" t="str">
        <f t="shared" si="182"/>
        <v>项羽魂珠-3 等级-8</v>
      </c>
      <c r="BC352" s="25" t="s">
        <v>1156</v>
      </c>
      <c r="BD352" s="14">
        <f t="shared" si="183"/>
        <v>756</v>
      </c>
      <c r="BE352" s="14">
        <f>SUMIFS(BD$4:BD352,$AU$4:$AU352,"="&amp;$AU352,$AY$4:$AY352,"="&amp;$AY352)</f>
        <v>3186</v>
      </c>
      <c r="BF352" s="25" t="s">
        <v>1157</v>
      </c>
      <c r="BG352" s="14">
        <f t="shared" si="184"/>
        <v>420</v>
      </c>
      <c r="BH352" s="14">
        <f>SUMIFS(BG$4:BG352,AU$4:AU352,"="&amp;AU352,AY$4:AY352,"="&amp;AY352)</f>
        <v>1770</v>
      </c>
      <c r="BI352" s="25" t="s">
        <v>1158</v>
      </c>
      <c r="BJ352" s="14">
        <f t="shared" si="185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7"/>
        <v>5</v>
      </c>
      <c r="AV353" s="14">
        <f t="shared" si="178"/>
        <v>200603</v>
      </c>
      <c r="AW353" s="14">
        <f t="shared" si="179"/>
        <v>1102006</v>
      </c>
      <c r="AX353" s="13" t="s">
        <v>1127</v>
      </c>
      <c r="AY353" s="13">
        <f t="shared" si="180"/>
        <v>3</v>
      </c>
      <c r="AZ353" s="13" t="s">
        <v>1148</v>
      </c>
      <c r="BA353" s="14">
        <f t="shared" si="181"/>
        <v>9</v>
      </c>
      <c r="BB353" s="14" t="str">
        <f t="shared" si="182"/>
        <v>项羽魂珠-3 等级-9</v>
      </c>
      <c r="BC353" s="25" t="s">
        <v>1156</v>
      </c>
      <c r="BD353" s="14">
        <f t="shared" si="183"/>
        <v>864</v>
      </c>
      <c r="BE353" s="14">
        <f>SUMIFS(BD$4:BD353,$AU$4:$AU353,"="&amp;$AU353,$AY$4:$AY353,"="&amp;$AY353)</f>
        <v>4050</v>
      </c>
      <c r="BF353" s="25" t="s">
        <v>1157</v>
      </c>
      <c r="BG353" s="14">
        <f t="shared" si="184"/>
        <v>480</v>
      </c>
      <c r="BH353" s="14">
        <f>SUMIFS(BG$4:BG353,AU$4:AU353,"="&amp;AU353,AY$4:AY353,"="&amp;AY353)</f>
        <v>2250</v>
      </c>
      <c r="BI353" s="25" t="s">
        <v>1158</v>
      </c>
      <c r="BJ353" s="14">
        <f t="shared" si="185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7"/>
        <v>5</v>
      </c>
      <c r="AV354" s="14">
        <f t="shared" si="178"/>
        <v>200604</v>
      </c>
      <c r="AW354" s="14">
        <f t="shared" si="179"/>
        <v>1102006</v>
      </c>
      <c r="AX354" s="13" t="s">
        <v>1127</v>
      </c>
      <c r="AY354" s="13">
        <f t="shared" si="180"/>
        <v>4</v>
      </c>
      <c r="AZ354" s="13" t="s">
        <v>1148</v>
      </c>
      <c r="BA354" s="14">
        <f t="shared" si="181"/>
        <v>0</v>
      </c>
      <c r="BB354" s="14" t="str">
        <f t="shared" si="182"/>
        <v>项羽魂珠-4 等级-0</v>
      </c>
      <c r="BC354" s="25" t="s">
        <v>1156</v>
      </c>
      <c r="BD354" s="14">
        <f t="shared" si="183"/>
        <v>0</v>
      </c>
      <c r="BE354" s="14">
        <f>SUMIFS(BD$4:BD354,$AU$4:$AU354,"="&amp;$AU354,$AY$4:$AY354,"="&amp;$AY354)</f>
        <v>0</v>
      </c>
      <c r="BF354" s="25" t="s">
        <v>1157</v>
      </c>
      <c r="BG354" s="14">
        <f t="shared" si="184"/>
        <v>0</v>
      </c>
      <c r="BH354" s="14">
        <f>SUMIFS(BG$4:BG354,AU$4:AU354,"="&amp;AU354,AY$4:AY354,"="&amp;AY354)</f>
        <v>0</v>
      </c>
      <c r="BI354" s="25" t="s">
        <v>1158</v>
      </c>
      <c r="BJ354" s="14">
        <f t="shared" si="185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7"/>
        <v>5</v>
      </c>
      <c r="AV355" s="14">
        <f t="shared" si="178"/>
        <v>200604</v>
      </c>
      <c r="AW355" s="14">
        <f t="shared" si="179"/>
        <v>1102006</v>
      </c>
      <c r="AX355" s="13" t="s">
        <v>1127</v>
      </c>
      <c r="AY355" s="13">
        <f t="shared" si="180"/>
        <v>4</v>
      </c>
      <c r="AZ355" s="13" t="s">
        <v>1148</v>
      </c>
      <c r="BA355" s="14">
        <f t="shared" si="181"/>
        <v>1</v>
      </c>
      <c r="BB355" s="14" t="str">
        <f t="shared" si="182"/>
        <v>项羽魂珠-4 等级-1</v>
      </c>
      <c r="BC355" s="25" t="s">
        <v>1156</v>
      </c>
      <c r="BD355" s="14">
        <f t="shared" si="183"/>
        <v>135</v>
      </c>
      <c r="BE355" s="14">
        <f>SUMIFS(BD$4:BD355,$AU$4:$AU355,"="&amp;$AU355,$AY$4:$AY355,"="&amp;$AY355)</f>
        <v>135</v>
      </c>
      <c r="BF355" s="25" t="s">
        <v>1157</v>
      </c>
      <c r="BG355" s="14">
        <f t="shared" si="184"/>
        <v>75</v>
      </c>
      <c r="BH355" s="14">
        <f>SUMIFS(BG$4:BG355,AU$4:AU355,"="&amp;AU355,AY$4:AY355,"="&amp;AY355)</f>
        <v>75</v>
      </c>
      <c r="BI355" s="25" t="s">
        <v>1158</v>
      </c>
      <c r="BJ355" s="14">
        <f t="shared" si="185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7"/>
        <v>5</v>
      </c>
      <c r="AV356" s="14">
        <f t="shared" si="178"/>
        <v>200604</v>
      </c>
      <c r="AW356" s="14">
        <f t="shared" si="179"/>
        <v>1102006</v>
      </c>
      <c r="AX356" s="13" t="s">
        <v>1127</v>
      </c>
      <c r="AY356" s="13">
        <f t="shared" si="180"/>
        <v>4</v>
      </c>
      <c r="AZ356" s="13" t="s">
        <v>1148</v>
      </c>
      <c r="BA356" s="14">
        <f t="shared" si="181"/>
        <v>2</v>
      </c>
      <c r="BB356" s="14" t="str">
        <f t="shared" si="182"/>
        <v>项羽魂珠-4 等级-2</v>
      </c>
      <c r="BC356" s="25" t="s">
        <v>1156</v>
      </c>
      <c r="BD356" s="14">
        <f t="shared" si="183"/>
        <v>216</v>
      </c>
      <c r="BE356" s="14">
        <f>SUMIFS(BD$4:BD356,$AU$4:$AU356,"="&amp;$AU356,$AY$4:$AY356,"="&amp;$AY356)</f>
        <v>351</v>
      </c>
      <c r="BF356" s="25" t="s">
        <v>1157</v>
      </c>
      <c r="BG356" s="14">
        <f t="shared" si="184"/>
        <v>120</v>
      </c>
      <c r="BH356" s="14">
        <f>SUMIFS(BG$4:BG356,AU$4:AU356,"="&amp;AU356,AY$4:AY356,"="&amp;AY356)</f>
        <v>195</v>
      </c>
      <c r="BI356" s="25" t="s">
        <v>1158</v>
      </c>
      <c r="BJ356" s="14">
        <f t="shared" si="185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7"/>
        <v>5</v>
      </c>
      <c r="AV357" s="14">
        <f t="shared" si="178"/>
        <v>200604</v>
      </c>
      <c r="AW357" s="14">
        <f t="shared" si="179"/>
        <v>1102006</v>
      </c>
      <c r="AX357" s="13" t="s">
        <v>1127</v>
      </c>
      <c r="AY357" s="13">
        <f t="shared" si="180"/>
        <v>4</v>
      </c>
      <c r="AZ357" s="13" t="s">
        <v>1148</v>
      </c>
      <c r="BA357" s="14">
        <f t="shared" si="181"/>
        <v>3</v>
      </c>
      <c r="BB357" s="14" t="str">
        <f t="shared" si="182"/>
        <v>项羽魂珠-4 等级-3</v>
      </c>
      <c r="BC357" s="25" t="s">
        <v>1156</v>
      </c>
      <c r="BD357" s="14">
        <f t="shared" si="183"/>
        <v>297</v>
      </c>
      <c r="BE357" s="14">
        <f>SUMIFS(BD$4:BD357,$AU$4:$AU357,"="&amp;$AU357,$AY$4:$AY357,"="&amp;$AY357)</f>
        <v>648</v>
      </c>
      <c r="BF357" s="25" t="s">
        <v>1157</v>
      </c>
      <c r="BG357" s="14">
        <f t="shared" si="184"/>
        <v>165</v>
      </c>
      <c r="BH357" s="14">
        <f>SUMIFS(BG$4:BG357,AU$4:AU357,"="&amp;AU357,AY$4:AY357,"="&amp;AY357)</f>
        <v>360</v>
      </c>
      <c r="BI357" s="25" t="s">
        <v>1158</v>
      </c>
      <c r="BJ357" s="14">
        <f t="shared" si="185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7"/>
        <v>5</v>
      </c>
      <c r="AV358" s="14">
        <f t="shared" si="178"/>
        <v>200604</v>
      </c>
      <c r="AW358" s="14">
        <f t="shared" si="179"/>
        <v>1102006</v>
      </c>
      <c r="AX358" s="13" t="s">
        <v>1127</v>
      </c>
      <c r="AY358" s="13">
        <f t="shared" si="180"/>
        <v>4</v>
      </c>
      <c r="AZ358" s="13" t="s">
        <v>1148</v>
      </c>
      <c r="BA358" s="14">
        <f t="shared" si="181"/>
        <v>4</v>
      </c>
      <c r="BB358" s="14" t="str">
        <f t="shared" si="182"/>
        <v>项羽魂珠-4 等级-4</v>
      </c>
      <c r="BC358" s="25" t="s">
        <v>1156</v>
      </c>
      <c r="BD358" s="14">
        <f t="shared" si="183"/>
        <v>432</v>
      </c>
      <c r="BE358" s="14">
        <f>SUMIFS(BD$4:BD358,$AU$4:$AU358,"="&amp;$AU358,$AY$4:$AY358,"="&amp;$AY358)</f>
        <v>1080</v>
      </c>
      <c r="BF358" s="25" t="s">
        <v>1157</v>
      </c>
      <c r="BG358" s="14">
        <f t="shared" si="184"/>
        <v>240</v>
      </c>
      <c r="BH358" s="14">
        <f>SUMIFS(BG$4:BG358,AU$4:AU358,"="&amp;AU358,AY$4:AY358,"="&amp;AY358)</f>
        <v>600</v>
      </c>
      <c r="BI358" s="25" t="s">
        <v>1158</v>
      </c>
      <c r="BJ358" s="14">
        <f t="shared" si="185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7"/>
        <v>5</v>
      </c>
      <c r="AV359" s="14">
        <f t="shared" si="178"/>
        <v>200604</v>
      </c>
      <c r="AW359" s="14">
        <f t="shared" si="179"/>
        <v>1102006</v>
      </c>
      <c r="AX359" s="13" t="s">
        <v>1127</v>
      </c>
      <c r="AY359" s="13">
        <f t="shared" si="180"/>
        <v>4</v>
      </c>
      <c r="AZ359" s="13" t="s">
        <v>1148</v>
      </c>
      <c r="BA359" s="14">
        <f t="shared" si="181"/>
        <v>5</v>
      </c>
      <c r="BB359" s="14" t="str">
        <f t="shared" si="182"/>
        <v>项羽魂珠-4 等级-5</v>
      </c>
      <c r="BC359" s="25" t="s">
        <v>1156</v>
      </c>
      <c r="BD359" s="14">
        <f t="shared" si="183"/>
        <v>567</v>
      </c>
      <c r="BE359" s="14">
        <f>SUMIFS(BD$4:BD359,$AU$4:$AU359,"="&amp;$AU359,$AY$4:$AY359,"="&amp;$AY359)</f>
        <v>1647</v>
      </c>
      <c r="BF359" s="25" t="s">
        <v>1157</v>
      </c>
      <c r="BG359" s="14">
        <f t="shared" si="184"/>
        <v>315</v>
      </c>
      <c r="BH359" s="14">
        <f>SUMIFS(BG$4:BG359,AU$4:AU359,"="&amp;AU359,AY$4:AY359,"="&amp;AY359)</f>
        <v>915</v>
      </c>
      <c r="BI359" s="25" t="s">
        <v>1158</v>
      </c>
      <c r="BJ359" s="14">
        <f t="shared" si="185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7"/>
        <v>5</v>
      </c>
      <c r="AV360" s="14">
        <f t="shared" si="178"/>
        <v>200604</v>
      </c>
      <c r="AW360" s="14">
        <f t="shared" si="179"/>
        <v>1102006</v>
      </c>
      <c r="AX360" s="13" t="s">
        <v>1127</v>
      </c>
      <c r="AY360" s="13">
        <f t="shared" si="180"/>
        <v>4</v>
      </c>
      <c r="AZ360" s="13" t="s">
        <v>1148</v>
      </c>
      <c r="BA360" s="14">
        <f t="shared" si="181"/>
        <v>6</v>
      </c>
      <c r="BB360" s="14" t="str">
        <f t="shared" si="182"/>
        <v>项羽魂珠-4 等级-6</v>
      </c>
      <c r="BC360" s="25" t="s">
        <v>1156</v>
      </c>
      <c r="BD360" s="14">
        <f t="shared" si="183"/>
        <v>743</v>
      </c>
      <c r="BE360" s="14">
        <f>SUMIFS(BD$4:BD360,$AU$4:$AU360,"="&amp;$AU360,$AY$4:$AY360,"="&amp;$AY360)</f>
        <v>2390</v>
      </c>
      <c r="BF360" s="25" t="s">
        <v>1157</v>
      </c>
      <c r="BG360" s="14">
        <f t="shared" si="184"/>
        <v>413</v>
      </c>
      <c r="BH360" s="14">
        <f>SUMIFS(BG$4:BG360,AU$4:AU360,"="&amp;AU360,AY$4:AY360,"="&amp;AY360)</f>
        <v>1328</v>
      </c>
      <c r="BI360" s="25" t="s">
        <v>1158</v>
      </c>
      <c r="BJ360" s="14">
        <f t="shared" si="185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7"/>
        <v>5</v>
      </c>
      <c r="AV361" s="14">
        <f t="shared" si="178"/>
        <v>200604</v>
      </c>
      <c r="AW361" s="14">
        <f t="shared" si="179"/>
        <v>1102006</v>
      </c>
      <c r="AX361" s="13" t="s">
        <v>1127</v>
      </c>
      <c r="AY361" s="13">
        <f t="shared" si="180"/>
        <v>4</v>
      </c>
      <c r="AZ361" s="13" t="s">
        <v>1148</v>
      </c>
      <c r="BA361" s="14">
        <f t="shared" si="181"/>
        <v>7</v>
      </c>
      <c r="BB361" s="14" t="str">
        <f t="shared" si="182"/>
        <v>项羽魂珠-4 等级-7</v>
      </c>
      <c r="BC361" s="25" t="s">
        <v>1156</v>
      </c>
      <c r="BD361" s="14">
        <f t="shared" si="183"/>
        <v>878</v>
      </c>
      <c r="BE361" s="14">
        <f>SUMIFS(BD$4:BD361,$AU$4:$AU361,"="&amp;$AU361,$AY$4:$AY361,"="&amp;$AY361)</f>
        <v>3268</v>
      </c>
      <c r="BF361" s="25" t="s">
        <v>1157</v>
      </c>
      <c r="BG361" s="14">
        <f t="shared" si="184"/>
        <v>488</v>
      </c>
      <c r="BH361" s="14">
        <f>SUMIFS(BG$4:BG361,AU$4:AU361,"="&amp;AU361,AY$4:AY361,"="&amp;AY361)</f>
        <v>1816</v>
      </c>
      <c r="BI361" s="25" t="s">
        <v>1158</v>
      </c>
      <c r="BJ361" s="14">
        <f t="shared" si="185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7"/>
        <v>5</v>
      </c>
      <c r="AV362" s="14">
        <f t="shared" si="178"/>
        <v>200604</v>
      </c>
      <c r="AW362" s="14">
        <f t="shared" si="179"/>
        <v>1102006</v>
      </c>
      <c r="AX362" s="13" t="s">
        <v>1127</v>
      </c>
      <c r="AY362" s="13">
        <f t="shared" si="180"/>
        <v>4</v>
      </c>
      <c r="AZ362" s="13" t="s">
        <v>1148</v>
      </c>
      <c r="BA362" s="14">
        <f t="shared" si="181"/>
        <v>8</v>
      </c>
      <c r="BB362" s="14" t="str">
        <f t="shared" si="182"/>
        <v>项羽魂珠-4 等级-8</v>
      </c>
      <c r="BC362" s="25" t="s">
        <v>1156</v>
      </c>
      <c r="BD362" s="14">
        <f t="shared" si="183"/>
        <v>1013</v>
      </c>
      <c r="BE362" s="14">
        <f>SUMIFS(BD$4:BD362,$AU$4:$AU362,"="&amp;$AU362,$AY$4:$AY362,"="&amp;$AY362)</f>
        <v>4281</v>
      </c>
      <c r="BF362" s="25" t="s">
        <v>1157</v>
      </c>
      <c r="BG362" s="14">
        <f t="shared" si="184"/>
        <v>563</v>
      </c>
      <c r="BH362" s="14">
        <f>SUMIFS(BG$4:BG362,AU$4:AU362,"="&amp;AU362,AY$4:AY362,"="&amp;AY362)</f>
        <v>2379</v>
      </c>
      <c r="BI362" s="25" t="s">
        <v>1158</v>
      </c>
      <c r="BJ362" s="14">
        <f t="shared" si="185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7"/>
        <v>5</v>
      </c>
      <c r="AV363" s="14">
        <f t="shared" si="178"/>
        <v>200604</v>
      </c>
      <c r="AW363" s="14">
        <f t="shared" si="179"/>
        <v>1102006</v>
      </c>
      <c r="AX363" s="13" t="s">
        <v>1127</v>
      </c>
      <c r="AY363" s="13">
        <f t="shared" si="180"/>
        <v>4</v>
      </c>
      <c r="AZ363" s="13" t="s">
        <v>1148</v>
      </c>
      <c r="BA363" s="14">
        <f t="shared" si="181"/>
        <v>9</v>
      </c>
      <c r="BB363" s="14" t="str">
        <f t="shared" si="182"/>
        <v>项羽魂珠-4 等级-9</v>
      </c>
      <c r="BC363" s="25" t="s">
        <v>1156</v>
      </c>
      <c r="BD363" s="14">
        <f t="shared" si="183"/>
        <v>1148</v>
      </c>
      <c r="BE363" s="14">
        <f>SUMIFS(BD$4:BD363,$AU$4:$AU363,"="&amp;$AU363,$AY$4:$AY363,"="&amp;$AY363)</f>
        <v>5429</v>
      </c>
      <c r="BF363" s="25" t="s">
        <v>1157</v>
      </c>
      <c r="BG363" s="14">
        <f t="shared" si="184"/>
        <v>638</v>
      </c>
      <c r="BH363" s="14">
        <f>SUMIFS(BG$4:BG363,AU$4:AU363,"="&amp;AU363,AY$4:AY363,"="&amp;AY363)</f>
        <v>3017</v>
      </c>
      <c r="BI363" s="25" t="s">
        <v>1158</v>
      </c>
      <c r="BJ363" s="14">
        <f t="shared" si="185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7"/>
        <v>5</v>
      </c>
      <c r="AV364" s="14">
        <f t="shared" si="178"/>
        <v>200605</v>
      </c>
      <c r="AW364" s="14">
        <f t="shared" si="179"/>
        <v>1102006</v>
      </c>
      <c r="AX364" s="13" t="s">
        <v>1127</v>
      </c>
      <c r="AY364" s="13">
        <f t="shared" si="180"/>
        <v>5</v>
      </c>
      <c r="AZ364" s="13" t="s">
        <v>1148</v>
      </c>
      <c r="BA364" s="14">
        <f t="shared" si="181"/>
        <v>0</v>
      </c>
      <c r="BB364" s="14" t="str">
        <f t="shared" si="182"/>
        <v>项羽魂珠-5 等级-0</v>
      </c>
      <c r="BC364" s="25" t="s">
        <v>1156</v>
      </c>
      <c r="BD364" s="14">
        <f t="shared" si="183"/>
        <v>0</v>
      </c>
      <c r="BE364" s="14">
        <f>SUMIFS(BD$4:BD364,$AU$4:$AU364,"="&amp;$AU364,$AY$4:$AY364,"="&amp;$AY364)</f>
        <v>0</v>
      </c>
      <c r="BF364" s="25" t="s">
        <v>1157</v>
      </c>
      <c r="BG364" s="14">
        <f t="shared" si="184"/>
        <v>0</v>
      </c>
      <c r="BH364" s="14">
        <f>SUMIFS(BG$4:BG364,AU$4:AU364,"="&amp;AU364,AY$4:AY364,"="&amp;AY364)</f>
        <v>0</v>
      </c>
      <c r="BI364" s="25" t="s">
        <v>1158</v>
      </c>
      <c r="BJ364" s="14">
        <f t="shared" si="185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7"/>
        <v>5</v>
      </c>
      <c r="AV365" s="14">
        <f t="shared" si="178"/>
        <v>200605</v>
      </c>
      <c r="AW365" s="14">
        <f t="shared" si="179"/>
        <v>1102006</v>
      </c>
      <c r="AX365" s="13" t="s">
        <v>1127</v>
      </c>
      <c r="AY365" s="13">
        <f t="shared" si="180"/>
        <v>5</v>
      </c>
      <c r="AZ365" s="13" t="s">
        <v>1148</v>
      </c>
      <c r="BA365" s="14">
        <f t="shared" si="181"/>
        <v>1</v>
      </c>
      <c r="BB365" s="14" t="str">
        <f t="shared" si="182"/>
        <v>项羽魂珠-5 等级-1</v>
      </c>
      <c r="BC365" s="25" t="s">
        <v>1156</v>
      </c>
      <c r="BD365" s="14">
        <f t="shared" si="183"/>
        <v>189</v>
      </c>
      <c r="BE365" s="14">
        <f>SUMIFS(BD$4:BD365,$AU$4:$AU365,"="&amp;$AU365,$AY$4:$AY365,"="&amp;$AY365)</f>
        <v>189</v>
      </c>
      <c r="BF365" s="25" t="s">
        <v>1157</v>
      </c>
      <c r="BG365" s="14">
        <f t="shared" si="184"/>
        <v>105</v>
      </c>
      <c r="BH365" s="14">
        <f>SUMIFS(BG$4:BG365,AU$4:AU365,"="&amp;AU365,AY$4:AY365,"="&amp;AY365)</f>
        <v>105</v>
      </c>
      <c r="BI365" s="25" t="s">
        <v>1158</v>
      </c>
      <c r="BJ365" s="14">
        <f t="shared" si="185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7"/>
        <v>5</v>
      </c>
      <c r="AV366" s="14">
        <f t="shared" si="178"/>
        <v>200605</v>
      </c>
      <c r="AW366" s="14">
        <f t="shared" si="179"/>
        <v>1102006</v>
      </c>
      <c r="AX366" s="13" t="s">
        <v>1127</v>
      </c>
      <c r="AY366" s="13">
        <f t="shared" si="180"/>
        <v>5</v>
      </c>
      <c r="AZ366" s="13" t="s">
        <v>1148</v>
      </c>
      <c r="BA366" s="14">
        <f t="shared" si="181"/>
        <v>2</v>
      </c>
      <c r="BB366" s="14" t="str">
        <f t="shared" si="182"/>
        <v>项羽魂珠-5 等级-2</v>
      </c>
      <c r="BC366" s="25" t="s">
        <v>1156</v>
      </c>
      <c r="BD366" s="14">
        <f t="shared" si="183"/>
        <v>270</v>
      </c>
      <c r="BE366" s="14">
        <f>SUMIFS(BD$4:BD366,$AU$4:$AU366,"="&amp;$AU366,$AY$4:$AY366,"="&amp;$AY366)</f>
        <v>459</v>
      </c>
      <c r="BF366" s="25" t="s">
        <v>1157</v>
      </c>
      <c r="BG366" s="14">
        <f t="shared" si="184"/>
        <v>150</v>
      </c>
      <c r="BH366" s="14">
        <f>SUMIFS(BG$4:BG366,AU$4:AU366,"="&amp;AU366,AY$4:AY366,"="&amp;AY366)</f>
        <v>255</v>
      </c>
      <c r="BI366" s="25" t="s">
        <v>1158</v>
      </c>
      <c r="BJ366" s="14">
        <f t="shared" si="185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7"/>
        <v>5</v>
      </c>
      <c r="AV367" s="14">
        <f t="shared" si="178"/>
        <v>200605</v>
      </c>
      <c r="AW367" s="14">
        <f t="shared" si="179"/>
        <v>1102006</v>
      </c>
      <c r="AX367" s="13" t="s">
        <v>1127</v>
      </c>
      <c r="AY367" s="13">
        <f t="shared" si="180"/>
        <v>5</v>
      </c>
      <c r="AZ367" s="13" t="s">
        <v>1148</v>
      </c>
      <c r="BA367" s="14">
        <f t="shared" si="181"/>
        <v>3</v>
      </c>
      <c r="BB367" s="14" t="str">
        <f t="shared" si="182"/>
        <v>项羽魂珠-5 等级-3</v>
      </c>
      <c r="BC367" s="25" t="s">
        <v>1156</v>
      </c>
      <c r="BD367" s="14">
        <f t="shared" si="183"/>
        <v>351</v>
      </c>
      <c r="BE367" s="14">
        <f>SUMIFS(BD$4:BD367,$AU$4:$AU367,"="&amp;$AU367,$AY$4:$AY367,"="&amp;$AY367)</f>
        <v>810</v>
      </c>
      <c r="BF367" s="25" t="s">
        <v>1157</v>
      </c>
      <c r="BG367" s="14">
        <f t="shared" si="184"/>
        <v>195</v>
      </c>
      <c r="BH367" s="14">
        <f>SUMIFS(BG$4:BG367,AU$4:AU367,"="&amp;AU367,AY$4:AY367,"="&amp;AY367)</f>
        <v>450</v>
      </c>
      <c r="BI367" s="25" t="s">
        <v>1158</v>
      </c>
      <c r="BJ367" s="14">
        <f t="shared" si="185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7"/>
        <v>5</v>
      </c>
      <c r="AV368" s="14">
        <f t="shared" si="178"/>
        <v>200605</v>
      </c>
      <c r="AW368" s="14">
        <f t="shared" si="179"/>
        <v>1102006</v>
      </c>
      <c r="AX368" s="13" t="s">
        <v>1127</v>
      </c>
      <c r="AY368" s="13">
        <f t="shared" si="180"/>
        <v>5</v>
      </c>
      <c r="AZ368" s="13" t="s">
        <v>1148</v>
      </c>
      <c r="BA368" s="14">
        <f t="shared" si="181"/>
        <v>4</v>
      </c>
      <c r="BB368" s="14" t="str">
        <f t="shared" si="182"/>
        <v>项羽魂珠-5 等级-4</v>
      </c>
      <c r="BC368" s="25" t="s">
        <v>1156</v>
      </c>
      <c r="BD368" s="14">
        <f t="shared" si="183"/>
        <v>540</v>
      </c>
      <c r="BE368" s="14">
        <f>SUMIFS(BD$4:BD368,$AU$4:$AU368,"="&amp;$AU368,$AY$4:$AY368,"="&amp;$AY368)</f>
        <v>1350</v>
      </c>
      <c r="BF368" s="25" t="s">
        <v>1157</v>
      </c>
      <c r="BG368" s="14">
        <f t="shared" si="184"/>
        <v>300</v>
      </c>
      <c r="BH368" s="14">
        <f>SUMIFS(BG$4:BG368,AU$4:AU368,"="&amp;AU368,AY$4:AY368,"="&amp;AY368)</f>
        <v>750</v>
      </c>
      <c r="BI368" s="25" t="s">
        <v>1158</v>
      </c>
      <c r="BJ368" s="14">
        <f t="shared" si="185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7"/>
        <v>5</v>
      </c>
      <c r="AV369" s="14">
        <f t="shared" si="178"/>
        <v>200605</v>
      </c>
      <c r="AW369" s="14">
        <f t="shared" si="179"/>
        <v>1102006</v>
      </c>
      <c r="AX369" s="13" t="s">
        <v>1127</v>
      </c>
      <c r="AY369" s="13">
        <f t="shared" si="180"/>
        <v>5</v>
      </c>
      <c r="AZ369" s="13" t="s">
        <v>1148</v>
      </c>
      <c r="BA369" s="14">
        <f t="shared" si="181"/>
        <v>5</v>
      </c>
      <c r="BB369" s="14" t="str">
        <f t="shared" si="182"/>
        <v>项羽魂珠-5 等级-5</v>
      </c>
      <c r="BC369" s="25" t="s">
        <v>1156</v>
      </c>
      <c r="BD369" s="14">
        <f t="shared" si="183"/>
        <v>702</v>
      </c>
      <c r="BE369" s="14">
        <f>SUMIFS(BD$4:BD369,$AU$4:$AU369,"="&amp;$AU369,$AY$4:$AY369,"="&amp;$AY369)</f>
        <v>2052</v>
      </c>
      <c r="BF369" s="25" t="s">
        <v>1157</v>
      </c>
      <c r="BG369" s="14">
        <f t="shared" si="184"/>
        <v>390</v>
      </c>
      <c r="BH369" s="14">
        <f>SUMIFS(BG$4:BG369,AU$4:AU369,"="&amp;AU369,AY$4:AY369,"="&amp;AY369)</f>
        <v>1140</v>
      </c>
      <c r="BI369" s="25" t="s">
        <v>1158</v>
      </c>
      <c r="BJ369" s="14">
        <f t="shared" si="185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7"/>
        <v>5</v>
      </c>
      <c r="AV370" s="14">
        <f t="shared" si="178"/>
        <v>200605</v>
      </c>
      <c r="AW370" s="14">
        <f t="shared" si="179"/>
        <v>1102006</v>
      </c>
      <c r="AX370" s="13" t="s">
        <v>1127</v>
      </c>
      <c r="AY370" s="13">
        <f t="shared" si="180"/>
        <v>5</v>
      </c>
      <c r="AZ370" s="13" t="s">
        <v>1148</v>
      </c>
      <c r="BA370" s="14">
        <f t="shared" si="181"/>
        <v>6</v>
      </c>
      <c r="BB370" s="14" t="str">
        <f t="shared" si="182"/>
        <v>项羽魂珠-5 等级-6</v>
      </c>
      <c r="BC370" s="25" t="s">
        <v>1156</v>
      </c>
      <c r="BD370" s="14">
        <f t="shared" si="183"/>
        <v>878</v>
      </c>
      <c r="BE370" s="14">
        <f>SUMIFS(BD$4:BD370,$AU$4:$AU370,"="&amp;$AU370,$AY$4:$AY370,"="&amp;$AY370)</f>
        <v>2930</v>
      </c>
      <c r="BF370" s="25" t="s">
        <v>1157</v>
      </c>
      <c r="BG370" s="14">
        <f t="shared" si="184"/>
        <v>488</v>
      </c>
      <c r="BH370" s="14">
        <f>SUMIFS(BG$4:BG370,AU$4:AU370,"="&amp;AU370,AY$4:AY370,"="&amp;AY370)</f>
        <v>1628</v>
      </c>
      <c r="BI370" s="25" t="s">
        <v>1158</v>
      </c>
      <c r="BJ370" s="14">
        <f t="shared" si="185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7"/>
        <v>5</v>
      </c>
      <c r="AV371" s="14">
        <f t="shared" si="178"/>
        <v>200605</v>
      </c>
      <c r="AW371" s="14">
        <f t="shared" si="179"/>
        <v>1102006</v>
      </c>
      <c r="AX371" s="13" t="s">
        <v>1127</v>
      </c>
      <c r="AY371" s="13">
        <f t="shared" si="180"/>
        <v>5</v>
      </c>
      <c r="AZ371" s="13" t="s">
        <v>1148</v>
      </c>
      <c r="BA371" s="14">
        <f t="shared" si="181"/>
        <v>7</v>
      </c>
      <c r="BB371" s="14" t="str">
        <f t="shared" si="182"/>
        <v>项羽魂珠-5 等级-7</v>
      </c>
      <c r="BC371" s="25" t="s">
        <v>1156</v>
      </c>
      <c r="BD371" s="14">
        <f t="shared" si="183"/>
        <v>1080</v>
      </c>
      <c r="BE371" s="14">
        <f>SUMIFS(BD$4:BD371,$AU$4:$AU371,"="&amp;$AU371,$AY$4:$AY371,"="&amp;$AY371)</f>
        <v>4010</v>
      </c>
      <c r="BF371" s="25" t="s">
        <v>1157</v>
      </c>
      <c r="BG371" s="14">
        <f t="shared" si="184"/>
        <v>600</v>
      </c>
      <c r="BH371" s="14">
        <f>SUMIFS(BG$4:BG371,AU$4:AU371,"="&amp;AU371,AY$4:AY371,"="&amp;AY371)</f>
        <v>2228</v>
      </c>
      <c r="BI371" s="25" t="s">
        <v>1158</v>
      </c>
      <c r="BJ371" s="14">
        <f t="shared" si="185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7"/>
        <v>5</v>
      </c>
      <c r="AV372" s="14">
        <f t="shared" si="178"/>
        <v>200605</v>
      </c>
      <c r="AW372" s="14">
        <f t="shared" si="179"/>
        <v>1102006</v>
      </c>
      <c r="AX372" s="13" t="s">
        <v>1127</v>
      </c>
      <c r="AY372" s="13">
        <f t="shared" si="180"/>
        <v>5</v>
      </c>
      <c r="AZ372" s="13" t="s">
        <v>1148</v>
      </c>
      <c r="BA372" s="14">
        <f t="shared" si="181"/>
        <v>8</v>
      </c>
      <c r="BB372" s="14" t="str">
        <f t="shared" si="182"/>
        <v>项羽魂珠-5 等级-8</v>
      </c>
      <c r="BC372" s="25" t="s">
        <v>1156</v>
      </c>
      <c r="BD372" s="14">
        <f t="shared" si="183"/>
        <v>1283</v>
      </c>
      <c r="BE372" s="14">
        <f>SUMIFS(BD$4:BD372,$AU$4:$AU372,"="&amp;$AU372,$AY$4:$AY372,"="&amp;$AY372)</f>
        <v>5293</v>
      </c>
      <c r="BF372" s="25" t="s">
        <v>1157</v>
      </c>
      <c r="BG372" s="14">
        <f t="shared" si="184"/>
        <v>713</v>
      </c>
      <c r="BH372" s="14">
        <f>SUMIFS(BG$4:BG372,AU$4:AU372,"="&amp;AU372,AY$4:AY372,"="&amp;AY372)</f>
        <v>2941</v>
      </c>
      <c r="BI372" s="25" t="s">
        <v>1158</v>
      </c>
      <c r="BJ372" s="14">
        <f t="shared" si="185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7"/>
        <v>5</v>
      </c>
      <c r="AV373" s="14">
        <f t="shared" si="178"/>
        <v>200605</v>
      </c>
      <c r="AW373" s="14">
        <f t="shared" si="179"/>
        <v>1102006</v>
      </c>
      <c r="AX373" s="13" t="s">
        <v>1127</v>
      </c>
      <c r="AY373" s="13">
        <f t="shared" si="180"/>
        <v>5</v>
      </c>
      <c r="AZ373" s="13" t="s">
        <v>1148</v>
      </c>
      <c r="BA373" s="14">
        <f t="shared" si="181"/>
        <v>9</v>
      </c>
      <c r="BB373" s="14" t="str">
        <f t="shared" si="182"/>
        <v>项羽魂珠-5 等级-9</v>
      </c>
      <c r="BC373" s="25" t="s">
        <v>1156</v>
      </c>
      <c r="BD373" s="14">
        <f t="shared" si="183"/>
        <v>1485</v>
      </c>
      <c r="BE373" s="14">
        <f>SUMIFS(BD$4:BD373,$AU$4:$AU373,"="&amp;$AU373,$AY$4:$AY373,"="&amp;$AY373)</f>
        <v>6778</v>
      </c>
      <c r="BF373" s="25" t="s">
        <v>1157</v>
      </c>
      <c r="BG373" s="14">
        <f t="shared" si="184"/>
        <v>825</v>
      </c>
      <c r="BH373" s="14">
        <f>SUMIFS(BG$4:BG373,AU$4:AU373,"="&amp;AU373,AY$4:AY373,"="&amp;AY373)</f>
        <v>3766</v>
      </c>
      <c r="BI373" s="25" t="s">
        <v>1158</v>
      </c>
      <c r="BJ373" s="14">
        <f t="shared" si="185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7"/>
        <v>5</v>
      </c>
      <c r="AV374" s="14">
        <f t="shared" si="178"/>
        <v>200606</v>
      </c>
      <c r="AW374" s="14">
        <f t="shared" si="179"/>
        <v>1102006</v>
      </c>
      <c r="AX374" s="13" t="s">
        <v>1127</v>
      </c>
      <c r="AY374" s="13">
        <f t="shared" si="180"/>
        <v>6</v>
      </c>
      <c r="AZ374" s="13" t="s">
        <v>1148</v>
      </c>
      <c r="BA374" s="14">
        <f t="shared" si="181"/>
        <v>0</v>
      </c>
      <c r="BB374" s="14" t="str">
        <f t="shared" si="182"/>
        <v>项羽魂珠-6 等级-0</v>
      </c>
      <c r="BC374" s="25" t="s">
        <v>1156</v>
      </c>
      <c r="BD374" s="14">
        <f t="shared" si="183"/>
        <v>0</v>
      </c>
      <c r="BE374" s="14">
        <f>SUMIFS(BD$4:BD374,$AU$4:$AU374,"="&amp;$AU374,$AY$4:$AY374,"="&amp;$AY374)</f>
        <v>0</v>
      </c>
      <c r="BF374" s="25" t="s">
        <v>1157</v>
      </c>
      <c r="BG374" s="14">
        <f t="shared" si="184"/>
        <v>0</v>
      </c>
      <c r="BH374" s="14">
        <f>SUMIFS(BG$4:BG374,AU$4:AU374,"="&amp;AU374,AY$4:AY374,"="&amp;AY374)</f>
        <v>0</v>
      </c>
      <c r="BI374" s="25" t="s">
        <v>1158</v>
      </c>
      <c r="BJ374" s="14">
        <f t="shared" si="185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7"/>
        <v>5</v>
      </c>
      <c r="AV375" s="14">
        <f t="shared" si="178"/>
        <v>200606</v>
      </c>
      <c r="AW375" s="14">
        <f t="shared" si="179"/>
        <v>1102006</v>
      </c>
      <c r="AX375" s="13" t="s">
        <v>1127</v>
      </c>
      <c r="AY375" s="13">
        <f t="shared" si="180"/>
        <v>6</v>
      </c>
      <c r="AZ375" s="13" t="s">
        <v>1148</v>
      </c>
      <c r="BA375" s="14">
        <f t="shared" si="181"/>
        <v>1</v>
      </c>
      <c r="BB375" s="14" t="str">
        <f t="shared" si="182"/>
        <v>项羽魂珠-6 等级-1</v>
      </c>
      <c r="BC375" s="25" t="s">
        <v>1156</v>
      </c>
      <c r="BD375" s="14">
        <f t="shared" si="183"/>
        <v>243</v>
      </c>
      <c r="BE375" s="14">
        <f>SUMIFS(BD$4:BD375,$AU$4:$AU375,"="&amp;$AU375,$AY$4:$AY375,"="&amp;$AY375)</f>
        <v>243</v>
      </c>
      <c r="BF375" s="25" t="s">
        <v>1157</v>
      </c>
      <c r="BG375" s="14">
        <f t="shared" si="184"/>
        <v>135</v>
      </c>
      <c r="BH375" s="14">
        <f>SUMIFS(BG$4:BG375,AU$4:AU375,"="&amp;AU375,AY$4:AY375,"="&amp;AY375)</f>
        <v>135</v>
      </c>
      <c r="BI375" s="25" t="s">
        <v>1158</v>
      </c>
      <c r="BJ375" s="14">
        <f t="shared" si="185"/>
        <v>4860</v>
      </c>
      <c r="BK375" s="14">
        <f>SUMIFS(BJ$4:BJ375,$AU$4:$AU375,"="&amp;$AU375,$AY$4:$AY375,"="&amp;$AY375)</f>
        <v>4860</v>
      </c>
    </row>
    <row r="376" spans="46:63" ht="16.5" x14ac:dyDescent="0.2">
      <c r="AT376" s="13">
        <v>373</v>
      </c>
      <c r="AU376" s="13">
        <f t="shared" si="177"/>
        <v>5</v>
      </c>
      <c r="AV376" s="14">
        <f t="shared" si="178"/>
        <v>200606</v>
      </c>
      <c r="AW376" s="14">
        <f t="shared" si="179"/>
        <v>1102006</v>
      </c>
      <c r="AX376" s="13" t="s">
        <v>1127</v>
      </c>
      <c r="AY376" s="13">
        <f t="shared" si="180"/>
        <v>6</v>
      </c>
      <c r="AZ376" s="13" t="s">
        <v>1148</v>
      </c>
      <c r="BA376" s="14">
        <f t="shared" si="181"/>
        <v>2</v>
      </c>
      <c r="BB376" s="14" t="str">
        <f t="shared" si="182"/>
        <v>项羽魂珠-6 等级-2</v>
      </c>
      <c r="BC376" s="25" t="s">
        <v>1156</v>
      </c>
      <c r="BD376" s="14">
        <f t="shared" si="183"/>
        <v>378</v>
      </c>
      <c r="BE376" s="14">
        <f>SUMIFS(BD$4:BD376,$AU$4:$AU376,"="&amp;$AU376,$AY$4:$AY376,"="&amp;$AY376)</f>
        <v>621</v>
      </c>
      <c r="BF376" s="25" t="s">
        <v>1157</v>
      </c>
      <c r="BG376" s="14">
        <f t="shared" si="184"/>
        <v>210</v>
      </c>
      <c r="BH376" s="14">
        <f>SUMIFS(BG$4:BG376,AU$4:AU376,"="&amp;AU376,AY$4:AY376,"="&amp;AY376)</f>
        <v>345</v>
      </c>
      <c r="BI376" s="25" t="s">
        <v>1158</v>
      </c>
      <c r="BJ376" s="14">
        <f t="shared" si="185"/>
        <v>7560</v>
      </c>
      <c r="BK376" s="14">
        <f>SUMIFS(BJ$4:BJ376,$AU$4:$AU376,"="&amp;$AU376,$AY$4:$AY376,"="&amp;$AY376)</f>
        <v>12420</v>
      </c>
    </row>
    <row r="377" spans="46:63" ht="16.5" x14ac:dyDescent="0.2">
      <c r="AT377" s="13">
        <v>374</v>
      </c>
      <c r="AU377" s="13">
        <f t="shared" si="177"/>
        <v>5</v>
      </c>
      <c r="AV377" s="14">
        <f t="shared" si="178"/>
        <v>200606</v>
      </c>
      <c r="AW377" s="14">
        <f t="shared" si="179"/>
        <v>1102006</v>
      </c>
      <c r="AX377" s="13" t="s">
        <v>1127</v>
      </c>
      <c r="AY377" s="13">
        <f t="shared" si="180"/>
        <v>6</v>
      </c>
      <c r="AZ377" s="13" t="s">
        <v>1148</v>
      </c>
      <c r="BA377" s="14">
        <f t="shared" si="181"/>
        <v>3</v>
      </c>
      <c r="BB377" s="14" t="str">
        <f t="shared" si="182"/>
        <v>项羽魂珠-6 等级-3</v>
      </c>
      <c r="BC377" s="25" t="s">
        <v>1156</v>
      </c>
      <c r="BD377" s="14">
        <f t="shared" si="183"/>
        <v>506</v>
      </c>
      <c r="BE377" s="14">
        <f>SUMIFS(BD$4:BD377,$AU$4:$AU377,"="&amp;$AU377,$AY$4:$AY377,"="&amp;$AY377)</f>
        <v>1127</v>
      </c>
      <c r="BF377" s="25" t="s">
        <v>1157</v>
      </c>
      <c r="BG377" s="14">
        <f t="shared" si="184"/>
        <v>281</v>
      </c>
      <c r="BH377" s="14">
        <f>SUMIFS(BG$4:BG377,AU$4:AU377,"="&amp;AU377,AY$4:AY377,"="&amp;AY377)</f>
        <v>626</v>
      </c>
      <c r="BI377" s="25" t="s">
        <v>1158</v>
      </c>
      <c r="BJ377" s="14">
        <f t="shared" si="185"/>
        <v>10125</v>
      </c>
      <c r="BK377" s="14">
        <f>SUMIFS(BJ$4:BJ377,$AU$4:$AU377,"="&amp;$AU377,$AY$4:$AY377,"="&amp;$AY377)</f>
        <v>22545</v>
      </c>
    </row>
    <row r="378" spans="46:63" ht="16.5" x14ac:dyDescent="0.2">
      <c r="AT378" s="13">
        <v>375</v>
      </c>
      <c r="AU378" s="13">
        <f t="shared" si="177"/>
        <v>5</v>
      </c>
      <c r="AV378" s="14">
        <f t="shared" si="178"/>
        <v>200606</v>
      </c>
      <c r="AW378" s="14">
        <f t="shared" si="179"/>
        <v>1102006</v>
      </c>
      <c r="AX378" s="13" t="s">
        <v>1127</v>
      </c>
      <c r="AY378" s="13">
        <f t="shared" si="180"/>
        <v>6</v>
      </c>
      <c r="AZ378" s="13" t="s">
        <v>1148</v>
      </c>
      <c r="BA378" s="14">
        <f t="shared" si="181"/>
        <v>4</v>
      </c>
      <c r="BB378" s="14" t="str">
        <f t="shared" si="182"/>
        <v>项羽魂珠-6 等级-4</v>
      </c>
      <c r="BC378" s="25" t="s">
        <v>1156</v>
      </c>
      <c r="BD378" s="14">
        <f t="shared" si="183"/>
        <v>756</v>
      </c>
      <c r="BE378" s="14">
        <f>SUMIFS(BD$4:BD378,$AU$4:$AU378,"="&amp;$AU378,$AY$4:$AY378,"="&amp;$AY378)</f>
        <v>1883</v>
      </c>
      <c r="BF378" s="25" t="s">
        <v>1157</v>
      </c>
      <c r="BG378" s="14">
        <f t="shared" si="184"/>
        <v>420</v>
      </c>
      <c r="BH378" s="14">
        <f>SUMIFS(BG$4:BG378,AU$4:AU378,"="&amp;AU378,AY$4:AY378,"="&amp;AY378)</f>
        <v>1046</v>
      </c>
      <c r="BI378" s="25" t="s">
        <v>1158</v>
      </c>
      <c r="BJ378" s="14">
        <f t="shared" si="185"/>
        <v>15120</v>
      </c>
      <c r="BK378" s="14">
        <f>SUMIFS(BJ$4:BJ378,$AU$4:$AU378,"="&amp;$AU378,$AY$4:$AY378,"="&amp;$AY378)</f>
        <v>37665</v>
      </c>
    </row>
    <row r="379" spans="46:63" ht="16.5" x14ac:dyDescent="0.2">
      <c r="AT379" s="13">
        <v>376</v>
      </c>
      <c r="AU379" s="13">
        <f t="shared" si="177"/>
        <v>5</v>
      </c>
      <c r="AV379" s="14">
        <f t="shared" si="178"/>
        <v>200606</v>
      </c>
      <c r="AW379" s="14">
        <f t="shared" si="179"/>
        <v>1102006</v>
      </c>
      <c r="AX379" s="13" t="s">
        <v>1127</v>
      </c>
      <c r="AY379" s="13">
        <f t="shared" si="180"/>
        <v>6</v>
      </c>
      <c r="AZ379" s="13" t="s">
        <v>1148</v>
      </c>
      <c r="BA379" s="14">
        <f t="shared" si="181"/>
        <v>5</v>
      </c>
      <c r="BB379" s="14" t="str">
        <f t="shared" si="182"/>
        <v>项羽魂珠-6 等级-5</v>
      </c>
      <c r="BC379" s="25" t="s">
        <v>1156</v>
      </c>
      <c r="BD379" s="14">
        <f t="shared" si="183"/>
        <v>1013</v>
      </c>
      <c r="BE379" s="14">
        <f>SUMIFS(BD$4:BD379,$AU$4:$AU379,"="&amp;$AU379,$AY$4:$AY379,"="&amp;$AY379)</f>
        <v>2896</v>
      </c>
      <c r="BF379" s="25" t="s">
        <v>1157</v>
      </c>
      <c r="BG379" s="14">
        <f t="shared" si="184"/>
        <v>563</v>
      </c>
      <c r="BH379" s="14">
        <f>SUMIFS(BG$4:BG379,AU$4:AU379,"="&amp;AU379,AY$4:AY379,"="&amp;AY379)</f>
        <v>1609</v>
      </c>
      <c r="BI379" s="25" t="s">
        <v>1158</v>
      </c>
      <c r="BJ379" s="14">
        <f t="shared" si="185"/>
        <v>20250</v>
      </c>
      <c r="BK379" s="14">
        <f>SUMIFS(BJ$4:BJ379,$AU$4:$AU379,"="&amp;$AU379,$AY$4:$AY379,"="&amp;$AY379)</f>
        <v>57915</v>
      </c>
    </row>
    <row r="380" spans="46:63" ht="16.5" x14ac:dyDescent="0.2">
      <c r="AT380" s="13">
        <v>377</v>
      </c>
      <c r="AU380" s="13">
        <f t="shared" si="177"/>
        <v>5</v>
      </c>
      <c r="AV380" s="14">
        <f t="shared" si="178"/>
        <v>200606</v>
      </c>
      <c r="AW380" s="14">
        <f t="shared" si="179"/>
        <v>1102006</v>
      </c>
      <c r="AX380" s="13" t="s">
        <v>1127</v>
      </c>
      <c r="AY380" s="13">
        <f t="shared" si="180"/>
        <v>6</v>
      </c>
      <c r="AZ380" s="13" t="s">
        <v>1148</v>
      </c>
      <c r="BA380" s="14">
        <f t="shared" si="181"/>
        <v>6</v>
      </c>
      <c r="BB380" s="14" t="str">
        <f t="shared" si="182"/>
        <v>项羽魂珠-6 等级-6</v>
      </c>
      <c r="BC380" s="25" t="s">
        <v>1156</v>
      </c>
      <c r="BD380" s="14">
        <f t="shared" si="183"/>
        <v>1283</v>
      </c>
      <c r="BE380" s="14">
        <f>SUMIFS(BD$4:BD380,$AU$4:$AU380,"="&amp;$AU380,$AY$4:$AY380,"="&amp;$AY380)</f>
        <v>4179</v>
      </c>
      <c r="BF380" s="25" t="s">
        <v>1157</v>
      </c>
      <c r="BG380" s="14">
        <f t="shared" si="184"/>
        <v>713</v>
      </c>
      <c r="BH380" s="14">
        <f>SUMIFS(BG$4:BG380,AU$4:AU380,"="&amp;AU380,AY$4:AY380,"="&amp;AY380)</f>
        <v>2322</v>
      </c>
      <c r="BI380" s="25" t="s">
        <v>1158</v>
      </c>
      <c r="BJ380" s="14">
        <f t="shared" si="185"/>
        <v>25650</v>
      </c>
      <c r="BK380" s="14">
        <f>SUMIFS(BJ$4:BJ380,$AU$4:$AU380,"="&amp;$AU380,$AY$4:$AY380,"="&amp;$AY380)</f>
        <v>83565</v>
      </c>
    </row>
    <row r="381" spans="46:63" ht="16.5" x14ac:dyDescent="0.2">
      <c r="AT381" s="13">
        <v>378</v>
      </c>
      <c r="AU381" s="13">
        <f t="shared" si="177"/>
        <v>5</v>
      </c>
      <c r="AV381" s="14">
        <f t="shared" si="178"/>
        <v>200606</v>
      </c>
      <c r="AW381" s="14">
        <f t="shared" si="179"/>
        <v>1102006</v>
      </c>
      <c r="AX381" s="13" t="s">
        <v>1127</v>
      </c>
      <c r="AY381" s="13">
        <f t="shared" si="180"/>
        <v>6</v>
      </c>
      <c r="AZ381" s="13" t="s">
        <v>1148</v>
      </c>
      <c r="BA381" s="14">
        <f t="shared" si="181"/>
        <v>7</v>
      </c>
      <c r="BB381" s="14" t="str">
        <f t="shared" si="182"/>
        <v>项羽魂珠-6 等级-7</v>
      </c>
      <c r="BC381" s="25" t="s">
        <v>1156</v>
      </c>
      <c r="BD381" s="14">
        <f t="shared" si="183"/>
        <v>1553</v>
      </c>
      <c r="BE381" s="14">
        <f>SUMIFS(BD$4:BD381,$AU$4:$AU381,"="&amp;$AU381,$AY$4:$AY381,"="&amp;$AY381)</f>
        <v>5732</v>
      </c>
      <c r="BF381" s="25" t="s">
        <v>1157</v>
      </c>
      <c r="BG381" s="14">
        <f t="shared" si="184"/>
        <v>863</v>
      </c>
      <c r="BH381" s="14">
        <f>SUMIFS(BG$4:BG381,AU$4:AU381,"="&amp;AU381,AY$4:AY381,"="&amp;AY381)</f>
        <v>3185</v>
      </c>
      <c r="BI381" s="25" t="s">
        <v>1158</v>
      </c>
      <c r="BJ381" s="14">
        <f t="shared" si="185"/>
        <v>31050</v>
      </c>
      <c r="BK381" s="14">
        <f>SUMIFS(BJ$4:BJ381,$AU$4:$AU381,"="&amp;$AU381,$AY$4:$AY381,"="&amp;$AY381)</f>
        <v>114615</v>
      </c>
    </row>
    <row r="382" spans="46:63" ht="16.5" x14ac:dyDescent="0.2">
      <c r="AT382" s="13">
        <v>379</v>
      </c>
      <c r="AU382" s="13">
        <f t="shared" si="177"/>
        <v>5</v>
      </c>
      <c r="AV382" s="14">
        <f t="shared" si="178"/>
        <v>200606</v>
      </c>
      <c r="AW382" s="14">
        <f t="shared" si="179"/>
        <v>1102006</v>
      </c>
      <c r="AX382" s="13" t="s">
        <v>1127</v>
      </c>
      <c r="AY382" s="13">
        <f t="shared" si="180"/>
        <v>6</v>
      </c>
      <c r="AZ382" s="13" t="s">
        <v>1148</v>
      </c>
      <c r="BA382" s="14">
        <f t="shared" si="181"/>
        <v>8</v>
      </c>
      <c r="BB382" s="14" t="str">
        <f t="shared" si="182"/>
        <v>项羽魂珠-6 等级-8</v>
      </c>
      <c r="BC382" s="25" t="s">
        <v>1156</v>
      </c>
      <c r="BD382" s="14">
        <f t="shared" si="183"/>
        <v>1755</v>
      </c>
      <c r="BE382" s="14">
        <f>SUMIFS(BD$4:BD382,$AU$4:$AU382,"="&amp;$AU382,$AY$4:$AY382,"="&amp;$AY382)</f>
        <v>7487</v>
      </c>
      <c r="BF382" s="25" t="s">
        <v>1157</v>
      </c>
      <c r="BG382" s="14">
        <f t="shared" si="184"/>
        <v>975</v>
      </c>
      <c r="BH382" s="14">
        <f>SUMIFS(BG$4:BG382,AU$4:AU382,"="&amp;AU382,AY$4:AY382,"="&amp;AY382)</f>
        <v>4160</v>
      </c>
      <c r="BI382" s="25" t="s">
        <v>1158</v>
      </c>
      <c r="BJ382" s="14">
        <f t="shared" si="185"/>
        <v>35100</v>
      </c>
      <c r="BK382" s="14">
        <f>SUMIFS(BJ$4:BJ382,$AU$4:$AU382,"="&amp;$AU382,$AY$4:$AY382,"="&amp;$AY382)</f>
        <v>149715</v>
      </c>
    </row>
    <row r="383" spans="46:63" ht="16.5" x14ac:dyDescent="0.2">
      <c r="AT383" s="13">
        <v>380</v>
      </c>
      <c r="AU383" s="13">
        <f t="shared" si="177"/>
        <v>5</v>
      </c>
      <c r="AV383" s="14">
        <f t="shared" si="178"/>
        <v>200606</v>
      </c>
      <c r="AW383" s="14">
        <f t="shared" si="179"/>
        <v>1102006</v>
      </c>
      <c r="AX383" s="13" t="s">
        <v>1127</v>
      </c>
      <c r="AY383" s="13">
        <f t="shared" si="180"/>
        <v>6</v>
      </c>
      <c r="AZ383" s="13" t="s">
        <v>1148</v>
      </c>
      <c r="BA383" s="14">
        <f t="shared" si="181"/>
        <v>9</v>
      </c>
      <c r="BB383" s="14" t="str">
        <f t="shared" si="182"/>
        <v>项羽魂珠-6 等级-9</v>
      </c>
      <c r="BC383" s="25" t="s">
        <v>1156</v>
      </c>
      <c r="BD383" s="14">
        <f t="shared" si="183"/>
        <v>2025</v>
      </c>
      <c r="BE383" s="14">
        <f>SUMIFS(BD$4:BD383,$AU$4:$AU383,"="&amp;$AU383,$AY$4:$AY383,"="&amp;$AY383)</f>
        <v>9512</v>
      </c>
      <c r="BF383" s="25" t="s">
        <v>1157</v>
      </c>
      <c r="BG383" s="14">
        <f t="shared" si="184"/>
        <v>1125</v>
      </c>
      <c r="BH383" s="14">
        <f>SUMIFS(BG$4:BG383,AU$4:AU383,"="&amp;AU383,AY$4:AY383,"="&amp;AY383)</f>
        <v>5285</v>
      </c>
      <c r="BI383" s="25" t="s">
        <v>1158</v>
      </c>
      <c r="BJ383" s="14">
        <f t="shared" si="185"/>
        <v>40500</v>
      </c>
      <c r="BK383" s="14">
        <f>SUMIFS(BJ$4:BJ383,$AU$4:$AU383,"="&amp;$AU383,$AY$4:$AY383,"="&amp;$AY383)</f>
        <v>190215</v>
      </c>
    </row>
    <row r="384" spans="46:63" ht="16.5" x14ac:dyDescent="0.2">
      <c r="AT384" s="13">
        <v>381</v>
      </c>
      <c r="AU384" s="13">
        <f t="shared" si="177"/>
        <v>5</v>
      </c>
      <c r="AV384" s="14">
        <f t="shared" si="178"/>
        <v>200607</v>
      </c>
      <c r="AW384" s="14">
        <f t="shared" si="179"/>
        <v>1102006</v>
      </c>
      <c r="AX384" s="13" t="s">
        <v>1127</v>
      </c>
      <c r="AY384" s="13">
        <f t="shared" si="180"/>
        <v>7</v>
      </c>
      <c r="AZ384" s="13" t="s">
        <v>1148</v>
      </c>
      <c r="BA384" s="14">
        <f t="shared" si="181"/>
        <v>0</v>
      </c>
      <c r="BB384" s="14" t="str">
        <f t="shared" si="182"/>
        <v>项羽魂珠-7 等级-0</v>
      </c>
      <c r="BC384" s="25" t="s">
        <v>1156</v>
      </c>
      <c r="BD384" s="14">
        <f t="shared" si="183"/>
        <v>0</v>
      </c>
      <c r="BE384" s="14">
        <f>SUMIFS(BD$4:BD384,$AU$4:$AU384,"="&amp;$AU384,$AY$4:$AY384,"="&amp;$AY384)</f>
        <v>0</v>
      </c>
      <c r="BF384" s="25" t="s">
        <v>1157</v>
      </c>
      <c r="BG384" s="14">
        <f t="shared" si="184"/>
        <v>0</v>
      </c>
      <c r="BH384" s="14">
        <f>SUMIFS(BG$4:BG384,AU$4:AU384,"="&amp;AU384,AY$4:AY384,"="&amp;AY384)</f>
        <v>0</v>
      </c>
      <c r="BI384" s="25" t="s">
        <v>1158</v>
      </c>
      <c r="BJ384" s="14">
        <f t="shared" si="185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7"/>
        <v>5</v>
      </c>
      <c r="AV385" s="14">
        <f t="shared" si="178"/>
        <v>200607</v>
      </c>
      <c r="AW385" s="14">
        <f t="shared" si="179"/>
        <v>1102006</v>
      </c>
      <c r="AX385" s="13" t="s">
        <v>1127</v>
      </c>
      <c r="AY385" s="13">
        <f t="shared" si="180"/>
        <v>7</v>
      </c>
      <c r="AZ385" s="13" t="s">
        <v>1148</v>
      </c>
      <c r="BA385" s="14">
        <f t="shared" si="181"/>
        <v>1</v>
      </c>
      <c r="BB385" s="14" t="str">
        <f t="shared" si="182"/>
        <v>项羽魂珠-7 等级-1</v>
      </c>
      <c r="BC385" s="25" t="s">
        <v>1156</v>
      </c>
      <c r="BD385" s="14">
        <f t="shared" si="183"/>
        <v>324</v>
      </c>
      <c r="BE385" s="14">
        <f>SUMIFS(BD$4:BD385,$AU$4:$AU385,"="&amp;$AU385,$AY$4:$AY385,"="&amp;$AY385)</f>
        <v>324</v>
      </c>
      <c r="BF385" s="25" t="s">
        <v>1157</v>
      </c>
      <c r="BG385" s="14">
        <f t="shared" si="184"/>
        <v>180</v>
      </c>
      <c r="BH385" s="14">
        <f>SUMIFS(BG$4:BG385,AU$4:AU385,"="&amp;AU385,AY$4:AY385,"="&amp;AY385)</f>
        <v>180</v>
      </c>
      <c r="BI385" s="25" t="s">
        <v>1158</v>
      </c>
      <c r="BJ385" s="14">
        <f t="shared" si="185"/>
        <v>6480</v>
      </c>
      <c r="BK385" s="14">
        <f>SUMIFS(BJ$4:BJ385,$AU$4:$AU385,"="&amp;$AU385,$AY$4:$AY385,"="&amp;$AY385)</f>
        <v>6480</v>
      </c>
    </row>
    <row r="386" spans="46:63" ht="16.5" x14ac:dyDescent="0.2">
      <c r="AT386" s="13">
        <v>383</v>
      </c>
      <c r="AU386" s="13">
        <f t="shared" si="177"/>
        <v>5</v>
      </c>
      <c r="AV386" s="14">
        <f t="shared" si="178"/>
        <v>200607</v>
      </c>
      <c r="AW386" s="14">
        <f t="shared" si="179"/>
        <v>1102006</v>
      </c>
      <c r="AX386" s="13" t="s">
        <v>1127</v>
      </c>
      <c r="AY386" s="13">
        <f t="shared" si="180"/>
        <v>7</v>
      </c>
      <c r="AZ386" s="13" t="s">
        <v>1148</v>
      </c>
      <c r="BA386" s="14">
        <f t="shared" si="181"/>
        <v>2</v>
      </c>
      <c r="BB386" s="14" t="str">
        <f t="shared" si="182"/>
        <v>项羽魂珠-7 等级-2</v>
      </c>
      <c r="BC386" s="25" t="s">
        <v>1156</v>
      </c>
      <c r="BD386" s="14">
        <f t="shared" si="183"/>
        <v>486</v>
      </c>
      <c r="BE386" s="14">
        <f>SUMIFS(BD$4:BD386,$AU$4:$AU386,"="&amp;$AU386,$AY$4:$AY386,"="&amp;$AY386)</f>
        <v>810</v>
      </c>
      <c r="BF386" s="25" t="s">
        <v>1157</v>
      </c>
      <c r="BG386" s="14">
        <f t="shared" si="184"/>
        <v>270</v>
      </c>
      <c r="BH386" s="14">
        <f>SUMIFS(BG$4:BG386,AU$4:AU386,"="&amp;AU386,AY$4:AY386,"="&amp;AY386)</f>
        <v>450</v>
      </c>
      <c r="BI386" s="25" t="s">
        <v>1158</v>
      </c>
      <c r="BJ386" s="14">
        <f t="shared" si="185"/>
        <v>9720</v>
      </c>
      <c r="BK386" s="14">
        <f>SUMIFS(BJ$4:BJ386,$AU$4:$AU386,"="&amp;$AU386,$AY$4:$AY386,"="&amp;$AY386)</f>
        <v>16200</v>
      </c>
    </row>
    <row r="387" spans="46:63" ht="16.5" x14ac:dyDescent="0.2">
      <c r="AT387" s="13">
        <v>384</v>
      </c>
      <c r="AU387" s="13">
        <f t="shared" si="177"/>
        <v>5</v>
      </c>
      <c r="AV387" s="14">
        <f t="shared" si="178"/>
        <v>200607</v>
      </c>
      <c r="AW387" s="14">
        <f t="shared" si="179"/>
        <v>1102006</v>
      </c>
      <c r="AX387" s="13" t="s">
        <v>1127</v>
      </c>
      <c r="AY387" s="13">
        <f t="shared" si="180"/>
        <v>7</v>
      </c>
      <c r="AZ387" s="13" t="s">
        <v>1148</v>
      </c>
      <c r="BA387" s="14">
        <f t="shared" si="181"/>
        <v>3</v>
      </c>
      <c r="BB387" s="14" t="str">
        <f t="shared" si="182"/>
        <v>项羽魂珠-7 等级-3</v>
      </c>
      <c r="BC387" s="25" t="s">
        <v>1156</v>
      </c>
      <c r="BD387" s="14">
        <f t="shared" si="183"/>
        <v>648</v>
      </c>
      <c r="BE387" s="14">
        <f>SUMIFS(BD$4:BD387,$AU$4:$AU387,"="&amp;$AU387,$AY$4:$AY387,"="&amp;$AY387)</f>
        <v>1458</v>
      </c>
      <c r="BF387" s="25" t="s">
        <v>1157</v>
      </c>
      <c r="BG387" s="14">
        <f t="shared" si="184"/>
        <v>360</v>
      </c>
      <c r="BH387" s="14">
        <f>SUMIFS(BG$4:BG387,AU$4:AU387,"="&amp;AU387,AY$4:AY387,"="&amp;AY387)</f>
        <v>810</v>
      </c>
      <c r="BI387" s="25" t="s">
        <v>1158</v>
      </c>
      <c r="BJ387" s="14">
        <f t="shared" si="185"/>
        <v>12960</v>
      </c>
      <c r="BK387" s="14">
        <f>SUMIFS(BJ$4:BJ387,$AU$4:$AU387,"="&amp;$AU387,$AY$4:$AY387,"="&amp;$AY387)</f>
        <v>29160</v>
      </c>
    </row>
    <row r="388" spans="46:63" ht="16.5" x14ac:dyDescent="0.2">
      <c r="AT388" s="13">
        <v>385</v>
      </c>
      <c r="AU388" s="13">
        <f t="shared" si="177"/>
        <v>5</v>
      </c>
      <c r="AV388" s="14">
        <f t="shared" si="178"/>
        <v>200607</v>
      </c>
      <c r="AW388" s="14">
        <f t="shared" si="179"/>
        <v>1102006</v>
      </c>
      <c r="AX388" s="13" t="s">
        <v>1127</v>
      </c>
      <c r="AY388" s="13">
        <f t="shared" si="180"/>
        <v>7</v>
      </c>
      <c r="AZ388" s="13" t="s">
        <v>1148</v>
      </c>
      <c r="BA388" s="14">
        <f t="shared" si="181"/>
        <v>4</v>
      </c>
      <c r="BB388" s="14" t="str">
        <f t="shared" si="182"/>
        <v>项羽魂珠-7 等级-4</v>
      </c>
      <c r="BC388" s="25" t="s">
        <v>1156</v>
      </c>
      <c r="BD388" s="14">
        <f t="shared" si="183"/>
        <v>972</v>
      </c>
      <c r="BE388" s="14">
        <f>SUMIFS(BD$4:BD388,$AU$4:$AU388,"="&amp;$AU388,$AY$4:$AY388,"="&amp;$AY388)</f>
        <v>2430</v>
      </c>
      <c r="BF388" s="25" t="s">
        <v>1157</v>
      </c>
      <c r="BG388" s="14">
        <f t="shared" si="184"/>
        <v>540</v>
      </c>
      <c r="BH388" s="14">
        <f>SUMIFS(BG$4:BG388,AU$4:AU388,"="&amp;AU388,AY$4:AY388,"="&amp;AY388)</f>
        <v>1350</v>
      </c>
      <c r="BI388" s="25" t="s">
        <v>1158</v>
      </c>
      <c r="BJ388" s="14">
        <f t="shared" si="185"/>
        <v>19440</v>
      </c>
      <c r="BK388" s="14">
        <f>SUMIFS(BJ$4:BJ388,$AU$4:$AU388,"="&amp;$AU388,$AY$4:$AY388,"="&amp;$AY388)</f>
        <v>48600</v>
      </c>
    </row>
    <row r="389" spans="46:63" ht="16.5" x14ac:dyDescent="0.2">
      <c r="AT389" s="13">
        <v>386</v>
      </c>
      <c r="AU389" s="13">
        <f t="shared" ref="AU389:AU452" si="186">INT((AT389-1)/80)+1</f>
        <v>5</v>
      </c>
      <c r="AV389" s="14">
        <f t="shared" ref="AV389:AV452" si="187">INDEX($AJ$4:$AJ$203,(AU389-1)*8+AY389)</f>
        <v>200607</v>
      </c>
      <c r="AW389" s="14">
        <f t="shared" ref="AW389:AW452" si="188">INDEX($W$4:$W$28,AU389)</f>
        <v>1102006</v>
      </c>
      <c r="AX389" s="13" t="s">
        <v>1127</v>
      </c>
      <c r="AY389" s="13">
        <f t="shared" ref="AY389:AY452" si="189">INT(((AT389-(AU389-1)*80)-1)/10)+1</f>
        <v>7</v>
      </c>
      <c r="AZ389" s="13" t="s">
        <v>1148</v>
      </c>
      <c r="BA389" s="14">
        <f t="shared" ref="BA389:BA452" si="190">AT389-(AU389-1)*80-(AY389-1)*10-1</f>
        <v>5</v>
      </c>
      <c r="BB389" s="14" t="str">
        <f t="shared" ref="BB389:BB452" si="191">INDEX($X$4:$X$28,AU389)&amp;"魂珠-"&amp;AY389&amp;" 等级-"&amp;BA389</f>
        <v>项羽魂珠-7 等级-5</v>
      </c>
      <c r="BC389" s="25" t="s">
        <v>1156</v>
      </c>
      <c r="BD389" s="14">
        <f t="shared" ref="BD389:BD452" si="192">ROUND(INDEX(Q$4:Q$83,($AY389-1)*10+$BA389+1)*INDEX(AC$4:AC$28,$AU389),0)</f>
        <v>1296</v>
      </c>
      <c r="BE389" s="14">
        <f>SUMIFS(BD$4:BD389,$AU$4:$AU389,"="&amp;$AU389,$AY$4:$AY389,"="&amp;$AY389)</f>
        <v>3726</v>
      </c>
      <c r="BF389" s="25" t="s">
        <v>1157</v>
      </c>
      <c r="BG389" s="14">
        <f t="shared" ref="BG389:BG452" si="193">ROUND(INDEX(R$4:R$83,($AY389-1)*10+$BA389+1)*INDEX(AD$4:AD$28,$AU389),0)</f>
        <v>720</v>
      </c>
      <c r="BH389" s="14">
        <f>SUMIFS(BG$4:BG389,AU$4:AU389,"="&amp;AU389,AY$4:AY389,"="&amp;AY389)</f>
        <v>2070</v>
      </c>
      <c r="BI389" s="25" t="s">
        <v>1158</v>
      </c>
      <c r="BJ389" s="14">
        <f t="shared" ref="BJ389:BJ452" si="194">ROUND(INDEX(S$4:S$83,($AY389-1)*10+$BA389+1)*INDEX(AE$4:AE$28,$AU389),0)</f>
        <v>25920</v>
      </c>
      <c r="BK389" s="14">
        <f>SUMIFS(BJ$4:BJ389,$AU$4:$AU389,"="&amp;$AU389,$AY$4:$AY389,"="&amp;$AY389)</f>
        <v>74520</v>
      </c>
    </row>
    <row r="390" spans="46:63" ht="16.5" x14ac:dyDescent="0.2">
      <c r="AT390" s="13">
        <v>387</v>
      </c>
      <c r="AU390" s="13">
        <f t="shared" si="186"/>
        <v>5</v>
      </c>
      <c r="AV390" s="14">
        <f t="shared" si="187"/>
        <v>200607</v>
      </c>
      <c r="AW390" s="14">
        <f t="shared" si="188"/>
        <v>1102006</v>
      </c>
      <c r="AX390" s="13" t="s">
        <v>1127</v>
      </c>
      <c r="AY390" s="13">
        <f t="shared" si="189"/>
        <v>7</v>
      </c>
      <c r="AZ390" s="13" t="s">
        <v>1148</v>
      </c>
      <c r="BA390" s="14">
        <f t="shared" si="190"/>
        <v>6</v>
      </c>
      <c r="BB390" s="14" t="str">
        <f t="shared" si="191"/>
        <v>项羽魂珠-7 等级-6</v>
      </c>
      <c r="BC390" s="25" t="s">
        <v>1156</v>
      </c>
      <c r="BD390" s="14">
        <f t="shared" si="192"/>
        <v>1620</v>
      </c>
      <c r="BE390" s="14">
        <f>SUMIFS(BD$4:BD390,$AU$4:$AU390,"="&amp;$AU390,$AY$4:$AY390,"="&amp;$AY390)</f>
        <v>5346</v>
      </c>
      <c r="BF390" s="25" t="s">
        <v>1157</v>
      </c>
      <c r="BG390" s="14">
        <f t="shared" si="193"/>
        <v>900</v>
      </c>
      <c r="BH390" s="14">
        <f>SUMIFS(BG$4:BG390,AU$4:AU390,"="&amp;AU390,AY$4:AY390,"="&amp;AY390)</f>
        <v>2970</v>
      </c>
      <c r="BI390" s="25" t="s">
        <v>1158</v>
      </c>
      <c r="BJ390" s="14">
        <f t="shared" si="194"/>
        <v>32400</v>
      </c>
      <c r="BK390" s="14">
        <f>SUMIFS(BJ$4:BJ390,$AU$4:$AU390,"="&amp;$AU390,$AY$4:$AY390,"="&amp;$AY390)</f>
        <v>106920</v>
      </c>
    </row>
    <row r="391" spans="46:63" ht="16.5" x14ac:dyDescent="0.2">
      <c r="AT391" s="13">
        <v>388</v>
      </c>
      <c r="AU391" s="13">
        <f t="shared" si="186"/>
        <v>5</v>
      </c>
      <c r="AV391" s="14">
        <f t="shared" si="187"/>
        <v>200607</v>
      </c>
      <c r="AW391" s="14">
        <f t="shared" si="188"/>
        <v>1102006</v>
      </c>
      <c r="AX391" s="13" t="s">
        <v>1127</v>
      </c>
      <c r="AY391" s="13">
        <f t="shared" si="189"/>
        <v>7</v>
      </c>
      <c r="AZ391" s="13" t="s">
        <v>1148</v>
      </c>
      <c r="BA391" s="14">
        <f t="shared" si="190"/>
        <v>7</v>
      </c>
      <c r="BB391" s="14" t="str">
        <f t="shared" si="191"/>
        <v>项羽魂珠-7 等级-7</v>
      </c>
      <c r="BC391" s="25" t="s">
        <v>1156</v>
      </c>
      <c r="BD391" s="14">
        <f t="shared" si="192"/>
        <v>1944</v>
      </c>
      <c r="BE391" s="14">
        <f>SUMIFS(BD$4:BD391,$AU$4:$AU391,"="&amp;$AU391,$AY$4:$AY391,"="&amp;$AY391)</f>
        <v>7290</v>
      </c>
      <c r="BF391" s="25" t="s">
        <v>1157</v>
      </c>
      <c r="BG391" s="14">
        <f t="shared" si="193"/>
        <v>1080</v>
      </c>
      <c r="BH391" s="14">
        <f>SUMIFS(BG$4:BG391,AU$4:AU391,"="&amp;AU391,AY$4:AY391,"="&amp;AY391)</f>
        <v>4050</v>
      </c>
      <c r="BI391" s="25" t="s">
        <v>1158</v>
      </c>
      <c r="BJ391" s="14">
        <f t="shared" si="194"/>
        <v>38880</v>
      </c>
      <c r="BK391" s="14">
        <f>SUMIFS(BJ$4:BJ391,$AU$4:$AU391,"="&amp;$AU391,$AY$4:$AY391,"="&amp;$AY391)</f>
        <v>145800</v>
      </c>
    </row>
    <row r="392" spans="46:63" ht="16.5" x14ac:dyDescent="0.2">
      <c r="AT392" s="13">
        <v>389</v>
      </c>
      <c r="AU392" s="13">
        <f t="shared" si="186"/>
        <v>5</v>
      </c>
      <c r="AV392" s="14">
        <f t="shared" si="187"/>
        <v>200607</v>
      </c>
      <c r="AW392" s="14">
        <f t="shared" si="188"/>
        <v>1102006</v>
      </c>
      <c r="AX392" s="13" t="s">
        <v>1127</v>
      </c>
      <c r="AY392" s="13">
        <f t="shared" si="189"/>
        <v>7</v>
      </c>
      <c r="AZ392" s="13" t="s">
        <v>1148</v>
      </c>
      <c r="BA392" s="14">
        <f t="shared" si="190"/>
        <v>8</v>
      </c>
      <c r="BB392" s="14" t="str">
        <f t="shared" si="191"/>
        <v>项羽魂珠-7 等级-8</v>
      </c>
      <c r="BC392" s="25" t="s">
        <v>1156</v>
      </c>
      <c r="BD392" s="14">
        <f t="shared" si="192"/>
        <v>2268</v>
      </c>
      <c r="BE392" s="14">
        <f>SUMIFS(BD$4:BD392,$AU$4:$AU392,"="&amp;$AU392,$AY$4:$AY392,"="&amp;$AY392)</f>
        <v>9558</v>
      </c>
      <c r="BF392" s="25" t="s">
        <v>1157</v>
      </c>
      <c r="BG392" s="14">
        <f t="shared" si="193"/>
        <v>1260</v>
      </c>
      <c r="BH392" s="14">
        <f>SUMIFS(BG$4:BG392,AU$4:AU392,"="&amp;AU392,AY$4:AY392,"="&amp;AY392)</f>
        <v>5310</v>
      </c>
      <c r="BI392" s="25" t="s">
        <v>1158</v>
      </c>
      <c r="BJ392" s="14">
        <f t="shared" si="194"/>
        <v>45360</v>
      </c>
      <c r="BK392" s="14">
        <f>SUMIFS(BJ$4:BJ392,$AU$4:$AU392,"="&amp;$AU392,$AY$4:$AY392,"="&amp;$AY392)</f>
        <v>191160</v>
      </c>
    </row>
    <row r="393" spans="46:63" ht="16.5" x14ac:dyDescent="0.2">
      <c r="AT393" s="13">
        <v>390</v>
      </c>
      <c r="AU393" s="13">
        <f t="shared" si="186"/>
        <v>5</v>
      </c>
      <c r="AV393" s="14">
        <f t="shared" si="187"/>
        <v>200607</v>
      </c>
      <c r="AW393" s="14">
        <f t="shared" si="188"/>
        <v>1102006</v>
      </c>
      <c r="AX393" s="13" t="s">
        <v>1127</v>
      </c>
      <c r="AY393" s="13">
        <f t="shared" si="189"/>
        <v>7</v>
      </c>
      <c r="AZ393" s="13" t="s">
        <v>1148</v>
      </c>
      <c r="BA393" s="14">
        <f t="shared" si="190"/>
        <v>9</v>
      </c>
      <c r="BB393" s="14" t="str">
        <f t="shared" si="191"/>
        <v>项羽魂珠-7 等级-9</v>
      </c>
      <c r="BC393" s="25" t="s">
        <v>1156</v>
      </c>
      <c r="BD393" s="14">
        <f t="shared" si="192"/>
        <v>2592</v>
      </c>
      <c r="BE393" s="14">
        <f>SUMIFS(BD$4:BD393,$AU$4:$AU393,"="&amp;$AU393,$AY$4:$AY393,"="&amp;$AY393)</f>
        <v>12150</v>
      </c>
      <c r="BF393" s="25" t="s">
        <v>1157</v>
      </c>
      <c r="BG393" s="14">
        <f t="shared" si="193"/>
        <v>1440</v>
      </c>
      <c r="BH393" s="14">
        <f>SUMIFS(BG$4:BG393,AU$4:AU393,"="&amp;AU393,AY$4:AY393,"="&amp;AY393)</f>
        <v>6750</v>
      </c>
      <c r="BI393" s="25" t="s">
        <v>1158</v>
      </c>
      <c r="BJ393" s="14">
        <f t="shared" si="194"/>
        <v>51840</v>
      </c>
      <c r="BK393" s="14">
        <f>SUMIFS(BJ$4:BJ393,$AU$4:$AU393,"="&amp;$AU393,$AY$4:$AY393,"="&amp;$AY393)</f>
        <v>243000</v>
      </c>
    </row>
    <row r="394" spans="46:63" ht="16.5" x14ac:dyDescent="0.2">
      <c r="AT394" s="13">
        <v>391</v>
      </c>
      <c r="AU394" s="13">
        <f t="shared" si="186"/>
        <v>5</v>
      </c>
      <c r="AV394" s="14">
        <f t="shared" si="187"/>
        <v>200608</v>
      </c>
      <c r="AW394" s="14">
        <f t="shared" si="188"/>
        <v>1102006</v>
      </c>
      <c r="AX394" s="13" t="s">
        <v>1127</v>
      </c>
      <c r="AY394" s="13">
        <f t="shared" si="189"/>
        <v>8</v>
      </c>
      <c r="AZ394" s="13" t="s">
        <v>1148</v>
      </c>
      <c r="BA394" s="14">
        <f t="shared" si="190"/>
        <v>0</v>
      </c>
      <c r="BB394" s="14" t="str">
        <f t="shared" si="191"/>
        <v>项羽魂珠-8 等级-0</v>
      </c>
      <c r="BC394" s="25" t="s">
        <v>1156</v>
      </c>
      <c r="BD394" s="14">
        <f t="shared" si="192"/>
        <v>0</v>
      </c>
      <c r="BE394" s="14">
        <f>SUMIFS(BD$4:BD394,$AU$4:$AU394,"="&amp;$AU394,$AY$4:$AY394,"="&amp;$AY394)</f>
        <v>0</v>
      </c>
      <c r="BF394" s="25" t="s">
        <v>1157</v>
      </c>
      <c r="BG394" s="14">
        <f t="shared" si="193"/>
        <v>0</v>
      </c>
      <c r="BH394" s="14">
        <f>SUMIFS(BG$4:BG394,AU$4:AU394,"="&amp;AU394,AY$4:AY394,"="&amp;AY394)</f>
        <v>0</v>
      </c>
      <c r="BI394" s="25" t="s">
        <v>1158</v>
      </c>
      <c r="BJ394" s="14">
        <f t="shared" si="194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6"/>
        <v>5</v>
      </c>
      <c r="AV395" s="14">
        <f t="shared" si="187"/>
        <v>200608</v>
      </c>
      <c r="AW395" s="14">
        <f t="shared" si="188"/>
        <v>1102006</v>
      </c>
      <c r="AX395" s="13" t="s">
        <v>1127</v>
      </c>
      <c r="AY395" s="13">
        <f t="shared" si="189"/>
        <v>8</v>
      </c>
      <c r="AZ395" s="13" t="s">
        <v>1148</v>
      </c>
      <c r="BA395" s="14">
        <f t="shared" si="190"/>
        <v>1</v>
      </c>
      <c r="BB395" s="14" t="str">
        <f t="shared" si="191"/>
        <v>项羽魂珠-8 等级-1</v>
      </c>
      <c r="BC395" s="25" t="s">
        <v>1156</v>
      </c>
      <c r="BD395" s="14">
        <f t="shared" si="192"/>
        <v>432</v>
      </c>
      <c r="BE395" s="14">
        <f>SUMIFS(BD$4:BD395,$AU$4:$AU395,"="&amp;$AU395,$AY$4:$AY395,"="&amp;$AY395)</f>
        <v>432</v>
      </c>
      <c r="BF395" s="25" t="s">
        <v>1157</v>
      </c>
      <c r="BG395" s="14">
        <f t="shared" si="193"/>
        <v>240</v>
      </c>
      <c r="BH395" s="14">
        <f>SUMIFS(BG$4:BG395,AU$4:AU395,"="&amp;AU395,AY$4:AY395,"="&amp;AY395)</f>
        <v>240</v>
      </c>
      <c r="BI395" s="25" t="s">
        <v>1158</v>
      </c>
      <c r="BJ395" s="14">
        <f t="shared" si="194"/>
        <v>8640</v>
      </c>
      <c r="BK395" s="14">
        <f>SUMIFS(BJ$4:BJ395,$AU$4:$AU395,"="&amp;$AU395,$AY$4:$AY395,"="&amp;$AY395)</f>
        <v>8640</v>
      </c>
    </row>
    <row r="396" spans="46:63" ht="16.5" x14ac:dyDescent="0.2">
      <c r="AT396" s="13">
        <v>393</v>
      </c>
      <c r="AU396" s="13">
        <f t="shared" si="186"/>
        <v>5</v>
      </c>
      <c r="AV396" s="14">
        <f t="shared" si="187"/>
        <v>200608</v>
      </c>
      <c r="AW396" s="14">
        <f t="shared" si="188"/>
        <v>1102006</v>
      </c>
      <c r="AX396" s="13" t="s">
        <v>1127</v>
      </c>
      <c r="AY396" s="13">
        <f t="shared" si="189"/>
        <v>8</v>
      </c>
      <c r="AZ396" s="13" t="s">
        <v>1148</v>
      </c>
      <c r="BA396" s="14">
        <f t="shared" si="190"/>
        <v>2</v>
      </c>
      <c r="BB396" s="14" t="str">
        <f t="shared" si="191"/>
        <v>项羽魂珠-8 等级-2</v>
      </c>
      <c r="BC396" s="25" t="s">
        <v>1156</v>
      </c>
      <c r="BD396" s="14">
        <f t="shared" si="192"/>
        <v>648</v>
      </c>
      <c r="BE396" s="14">
        <f>SUMIFS(BD$4:BD396,$AU$4:$AU396,"="&amp;$AU396,$AY$4:$AY396,"="&amp;$AY396)</f>
        <v>1080</v>
      </c>
      <c r="BF396" s="25" t="s">
        <v>1157</v>
      </c>
      <c r="BG396" s="14">
        <f t="shared" si="193"/>
        <v>360</v>
      </c>
      <c r="BH396" s="14">
        <f>SUMIFS(BG$4:BG396,AU$4:AU396,"="&amp;AU396,AY$4:AY396,"="&amp;AY396)</f>
        <v>600</v>
      </c>
      <c r="BI396" s="25" t="s">
        <v>1158</v>
      </c>
      <c r="BJ396" s="14">
        <f t="shared" si="194"/>
        <v>12960</v>
      </c>
      <c r="BK396" s="14">
        <f>SUMIFS(BJ$4:BJ396,$AU$4:$AU396,"="&amp;$AU396,$AY$4:$AY396,"="&amp;$AY396)</f>
        <v>21600</v>
      </c>
    </row>
    <row r="397" spans="46:63" ht="16.5" x14ac:dyDescent="0.2">
      <c r="AT397" s="13">
        <v>394</v>
      </c>
      <c r="AU397" s="13">
        <f t="shared" si="186"/>
        <v>5</v>
      </c>
      <c r="AV397" s="14">
        <f t="shared" si="187"/>
        <v>200608</v>
      </c>
      <c r="AW397" s="14">
        <f t="shared" si="188"/>
        <v>1102006</v>
      </c>
      <c r="AX397" s="13" t="s">
        <v>1127</v>
      </c>
      <c r="AY397" s="13">
        <f t="shared" si="189"/>
        <v>8</v>
      </c>
      <c r="AZ397" s="13" t="s">
        <v>1148</v>
      </c>
      <c r="BA397" s="14">
        <f t="shared" si="190"/>
        <v>3</v>
      </c>
      <c r="BB397" s="14" t="str">
        <f t="shared" si="191"/>
        <v>项羽魂珠-8 等级-3</v>
      </c>
      <c r="BC397" s="25" t="s">
        <v>1156</v>
      </c>
      <c r="BD397" s="14">
        <f t="shared" si="192"/>
        <v>864</v>
      </c>
      <c r="BE397" s="14">
        <f>SUMIFS(BD$4:BD397,$AU$4:$AU397,"="&amp;$AU397,$AY$4:$AY397,"="&amp;$AY397)</f>
        <v>1944</v>
      </c>
      <c r="BF397" s="25" t="s">
        <v>1157</v>
      </c>
      <c r="BG397" s="14">
        <f t="shared" si="193"/>
        <v>480</v>
      </c>
      <c r="BH397" s="14">
        <f>SUMIFS(BG$4:BG397,AU$4:AU397,"="&amp;AU397,AY$4:AY397,"="&amp;AY397)</f>
        <v>1080</v>
      </c>
      <c r="BI397" s="25" t="s">
        <v>1158</v>
      </c>
      <c r="BJ397" s="14">
        <f t="shared" si="194"/>
        <v>17280</v>
      </c>
      <c r="BK397" s="14">
        <f>SUMIFS(BJ$4:BJ397,$AU$4:$AU397,"="&amp;$AU397,$AY$4:$AY397,"="&amp;$AY397)</f>
        <v>38880</v>
      </c>
    </row>
    <row r="398" spans="46:63" ht="16.5" x14ac:dyDescent="0.2">
      <c r="AT398" s="13">
        <v>395</v>
      </c>
      <c r="AU398" s="13">
        <f t="shared" si="186"/>
        <v>5</v>
      </c>
      <c r="AV398" s="14">
        <f t="shared" si="187"/>
        <v>200608</v>
      </c>
      <c r="AW398" s="14">
        <f t="shared" si="188"/>
        <v>1102006</v>
      </c>
      <c r="AX398" s="13" t="s">
        <v>1127</v>
      </c>
      <c r="AY398" s="13">
        <f t="shared" si="189"/>
        <v>8</v>
      </c>
      <c r="AZ398" s="13" t="s">
        <v>1148</v>
      </c>
      <c r="BA398" s="14">
        <f t="shared" si="190"/>
        <v>4</v>
      </c>
      <c r="BB398" s="14" t="str">
        <f t="shared" si="191"/>
        <v>项羽魂珠-8 等级-4</v>
      </c>
      <c r="BC398" s="25" t="s">
        <v>1156</v>
      </c>
      <c r="BD398" s="14">
        <f t="shared" si="192"/>
        <v>1296</v>
      </c>
      <c r="BE398" s="14">
        <f>SUMIFS(BD$4:BD398,$AU$4:$AU398,"="&amp;$AU398,$AY$4:$AY398,"="&amp;$AY398)</f>
        <v>3240</v>
      </c>
      <c r="BF398" s="25" t="s">
        <v>1157</v>
      </c>
      <c r="BG398" s="14">
        <f t="shared" si="193"/>
        <v>720</v>
      </c>
      <c r="BH398" s="14">
        <f>SUMIFS(BG$4:BG398,AU$4:AU398,"="&amp;AU398,AY$4:AY398,"="&amp;AY398)</f>
        <v>1800</v>
      </c>
      <c r="BI398" s="25" t="s">
        <v>1158</v>
      </c>
      <c r="BJ398" s="14">
        <f t="shared" si="194"/>
        <v>25920</v>
      </c>
      <c r="BK398" s="14">
        <f>SUMIFS(BJ$4:BJ398,$AU$4:$AU398,"="&amp;$AU398,$AY$4:$AY398,"="&amp;$AY398)</f>
        <v>64800</v>
      </c>
    </row>
    <row r="399" spans="46:63" ht="16.5" x14ac:dyDescent="0.2">
      <c r="AT399" s="13">
        <v>396</v>
      </c>
      <c r="AU399" s="13">
        <f t="shared" si="186"/>
        <v>5</v>
      </c>
      <c r="AV399" s="14">
        <f t="shared" si="187"/>
        <v>200608</v>
      </c>
      <c r="AW399" s="14">
        <f t="shared" si="188"/>
        <v>1102006</v>
      </c>
      <c r="AX399" s="13" t="s">
        <v>1127</v>
      </c>
      <c r="AY399" s="13">
        <f t="shared" si="189"/>
        <v>8</v>
      </c>
      <c r="AZ399" s="13" t="s">
        <v>1148</v>
      </c>
      <c r="BA399" s="14">
        <f t="shared" si="190"/>
        <v>5</v>
      </c>
      <c r="BB399" s="14" t="str">
        <f t="shared" si="191"/>
        <v>项羽魂珠-8 等级-5</v>
      </c>
      <c r="BC399" s="25" t="s">
        <v>1156</v>
      </c>
      <c r="BD399" s="14">
        <f t="shared" si="192"/>
        <v>1728</v>
      </c>
      <c r="BE399" s="14">
        <f>SUMIFS(BD$4:BD399,$AU$4:$AU399,"="&amp;$AU399,$AY$4:$AY399,"="&amp;$AY399)</f>
        <v>4968</v>
      </c>
      <c r="BF399" s="25" t="s">
        <v>1157</v>
      </c>
      <c r="BG399" s="14">
        <f t="shared" si="193"/>
        <v>960</v>
      </c>
      <c r="BH399" s="14">
        <f>SUMIFS(BG$4:BG399,AU$4:AU399,"="&amp;AU399,AY$4:AY399,"="&amp;AY399)</f>
        <v>2760</v>
      </c>
      <c r="BI399" s="25" t="s">
        <v>1158</v>
      </c>
      <c r="BJ399" s="14">
        <f t="shared" si="194"/>
        <v>34560</v>
      </c>
      <c r="BK399" s="14">
        <f>SUMIFS(BJ$4:BJ399,$AU$4:$AU399,"="&amp;$AU399,$AY$4:$AY399,"="&amp;$AY399)</f>
        <v>99360</v>
      </c>
    </row>
    <row r="400" spans="46:63" ht="16.5" x14ac:dyDescent="0.2">
      <c r="AT400" s="13">
        <v>397</v>
      </c>
      <c r="AU400" s="13">
        <f t="shared" si="186"/>
        <v>5</v>
      </c>
      <c r="AV400" s="14">
        <f t="shared" si="187"/>
        <v>200608</v>
      </c>
      <c r="AW400" s="14">
        <f t="shared" si="188"/>
        <v>1102006</v>
      </c>
      <c r="AX400" s="13" t="s">
        <v>1127</v>
      </c>
      <c r="AY400" s="13">
        <f t="shared" si="189"/>
        <v>8</v>
      </c>
      <c r="AZ400" s="13" t="s">
        <v>1148</v>
      </c>
      <c r="BA400" s="14">
        <f t="shared" si="190"/>
        <v>6</v>
      </c>
      <c r="BB400" s="14" t="str">
        <f t="shared" si="191"/>
        <v>项羽魂珠-8 等级-6</v>
      </c>
      <c r="BC400" s="25" t="s">
        <v>1156</v>
      </c>
      <c r="BD400" s="14">
        <f t="shared" si="192"/>
        <v>2160</v>
      </c>
      <c r="BE400" s="14">
        <f>SUMIFS(BD$4:BD400,$AU$4:$AU400,"="&amp;$AU400,$AY$4:$AY400,"="&amp;$AY400)</f>
        <v>7128</v>
      </c>
      <c r="BF400" s="25" t="s">
        <v>1157</v>
      </c>
      <c r="BG400" s="14">
        <f t="shared" si="193"/>
        <v>1200</v>
      </c>
      <c r="BH400" s="14">
        <f>SUMIFS(BG$4:BG400,AU$4:AU400,"="&amp;AU400,AY$4:AY400,"="&amp;AY400)</f>
        <v>3960</v>
      </c>
      <c r="BI400" s="25" t="s">
        <v>1158</v>
      </c>
      <c r="BJ400" s="14">
        <f t="shared" si="194"/>
        <v>43200</v>
      </c>
      <c r="BK400" s="14">
        <f>SUMIFS(BJ$4:BJ400,$AU$4:$AU400,"="&amp;$AU400,$AY$4:$AY400,"="&amp;$AY400)</f>
        <v>142560</v>
      </c>
    </row>
    <row r="401" spans="46:63" ht="16.5" x14ac:dyDescent="0.2">
      <c r="AT401" s="13">
        <v>398</v>
      </c>
      <c r="AU401" s="13">
        <f t="shared" si="186"/>
        <v>5</v>
      </c>
      <c r="AV401" s="14">
        <f t="shared" si="187"/>
        <v>200608</v>
      </c>
      <c r="AW401" s="14">
        <f t="shared" si="188"/>
        <v>1102006</v>
      </c>
      <c r="AX401" s="13" t="s">
        <v>1127</v>
      </c>
      <c r="AY401" s="13">
        <f t="shared" si="189"/>
        <v>8</v>
      </c>
      <c r="AZ401" s="13" t="s">
        <v>1148</v>
      </c>
      <c r="BA401" s="14">
        <f t="shared" si="190"/>
        <v>7</v>
      </c>
      <c r="BB401" s="14" t="str">
        <f t="shared" si="191"/>
        <v>项羽魂珠-8 等级-7</v>
      </c>
      <c r="BC401" s="25" t="s">
        <v>1156</v>
      </c>
      <c r="BD401" s="14">
        <f t="shared" si="192"/>
        <v>2592</v>
      </c>
      <c r="BE401" s="14">
        <f>SUMIFS(BD$4:BD401,$AU$4:$AU401,"="&amp;$AU401,$AY$4:$AY401,"="&amp;$AY401)</f>
        <v>9720</v>
      </c>
      <c r="BF401" s="25" t="s">
        <v>1157</v>
      </c>
      <c r="BG401" s="14">
        <f t="shared" si="193"/>
        <v>1440</v>
      </c>
      <c r="BH401" s="14">
        <f>SUMIFS(BG$4:BG401,AU$4:AU401,"="&amp;AU401,AY$4:AY401,"="&amp;AY401)</f>
        <v>5400</v>
      </c>
      <c r="BI401" s="25" t="s">
        <v>1158</v>
      </c>
      <c r="BJ401" s="14">
        <f t="shared" si="194"/>
        <v>51840</v>
      </c>
      <c r="BK401" s="14">
        <f>SUMIFS(BJ$4:BJ401,$AU$4:$AU401,"="&amp;$AU401,$AY$4:$AY401,"="&amp;$AY401)</f>
        <v>194400</v>
      </c>
    </row>
    <row r="402" spans="46:63" ht="16.5" x14ac:dyDescent="0.2">
      <c r="AT402" s="13">
        <v>399</v>
      </c>
      <c r="AU402" s="13">
        <f t="shared" si="186"/>
        <v>5</v>
      </c>
      <c r="AV402" s="14">
        <f t="shared" si="187"/>
        <v>200608</v>
      </c>
      <c r="AW402" s="14">
        <f t="shared" si="188"/>
        <v>1102006</v>
      </c>
      <c r="AX402" s="13" t="s">
        <v>1127</v>
      </c>
      <c r="AY402" s="13">
        <f t="shared" si="189"/>
        <v>8</v>
      </c>
      <c r="AZ402" s="13" t="s">
        <v>1148</v>
      </c>
      <c r="BA402" s="14">
        <f t="shared" si="190"/>
        <v>8</v>
      </c>
      <c r="BB402" s="14" t="str">
        <f t="shared" si="191"/>
        <v>项羽魂珠-8 等级-8</v>
      </c>
      <c r="BC402" s="25" t="s">
        <v>1156</v>
      </c>
      <c r="BD402" s="14">
        <f t="shared" si="192"/>
        <v>3024</v>
      </c>
      <c r="BE402" s="14">
        <f>SUMIFS(BD$4:BD402,$AU$4:$AU402,"="&amp;$AU402,$AY$4:$AY402,"="&amp;$AY402)</f>
        <v>12744</v>
      </c>
      <c r="BF402" s="25" t="s">
        <v>1157</v>
      </c>
      <c r="BG402" s="14">
        <f t="shared" si="193"/>
        <v>1680</v>
      </c>
      <c r="BH402" s="14">
        <f>SUMIFS(BG$4:BG402,AU$4:AU402,"="&amp;AU402,AY$4:AY402,"="&amp;AY402)</f>
        <v>7080</v>
      </c>
      <c r="BI402" s="25" t="s">
        <v>1158</v>
      </c>
      <c r="BJ402" s="14">
        <f t="shared" si="194"/>
        <v>60480</v>
      </c>
      <c r="BK402" s="14">
        <f>SUMIFS(BJ$4:BJ402,$AU$4:$AU402,"="&amp;$AU402,$AY$4:$AY402,"="&amp;$AY402)</f>
        <v>254880</v>
      </c>
    </row>
    <row r="403" spans="46:63" ht="16.5" x14ac:dyDescent="0.2">
      <c r="AT403" s="13">
        <v>400</v>
      </c>
      <c r="AU403" s="13">
        <f t="shared" si="186"/>
        <v>5</v>
      </c>
      <c r="AV403" s="14">
        <f t="shared" si="187"/>
        <v>200608</v>
      </c>
      <c r="AW403" s="14">
        <f t="shared" si="188"/>
        <v>1102006</v>
      </c>
      <c r="AX403" s="13" t="s">
        <v>1127</v>
      </c>
      <c r="AY403" s="13">
        <f t="shared" si="189"/>
        <v>8</v>
      </c>
      <c r="AZ403" s="13" t="s">
        <v>1148</v>
      </c>
      <c r="BA403" s="14">
        <f t="shared" si="190"/>
        <v>9</v>
      </c>
      <c r="BB403" s="14" t="str">
        <f t="shared" si="191"/>
        <v>项羽魂珠-8 等级-9</v>
      </c>
      <c r="BC403" s="25" t="s">
        <v>1156</v>
      </c>
      <c r="BD403" s="14">
        <f t="shared" si="192"/>
        <v>3456</v>
      </c>
      <c r="BE403" s="14">
        <f>SUMIFS(BD$4:BD403,$AU$4:$AU403,"="&amp;$AU403,$AY$4:$AY403,"="&amp;$AY403)</f>
        <v>16200</v>
      </c>
      <c r="BF403" s="25" t="s">
        <v>1157</v>
      </c>
      <c r="BG403" s="14">
        <f t="shared" si="193"/>
        <v>1920</v>
      </c>
      <c r="BH403" s="14">
        <f>SUMIFS(BG$4:BG403,AU$4:AU403,"="&amp;AU403,AY$4:AY403,"="&amp;AY403)</f>
        <v>9000</v>
      </c>
      <c r="BI403" s="25" t="s">
        <v>1158</v>
      </c>
      <c r="BJ403" s="14">
        <f t="shared" si="194"/>
        <v>69120</v>
      </c>
      <c r="BK403" s="14">
        <f>SUMIFS(BJ$4:BJ403,$AU$4:$AU403,"="&amp;$AU403,$AY$4:$AY403,"="&amp;$AY403)</f>
        <v>324000</v>
      </c>
    </row>
    <row r="404" spans="46:63" ht="16.5" x14ac:dyDescent="0.2">
      <c r="AT404" s="13">
        <v>401</v>
      </c>
      <c r="AU404" s="13">
        <f t="shared" si="186"/>
        <v>6</v>
      </c>
      <c r="AV404" s="14">
        <f t="shared" si="187"/>
        <v>200701</v>
      </c>
      <c r="AW404" s="14">
        <f t="shared" si="188"/>
        <v>1102007</v>
      </c>
      <c r="AX404" s="13" t="s">
        <v>1127</v>
      </c>
      <c r="AY404" s="13">
        <f t="shared" si="189"/>
        <v>1</v>
      </c>
      <c r="AZ404" s="13" t="s">
        <v>1148</v>
      </c>
      <c r="BA404" s="14">
        <f t="shared" si="190"/>
        <v>0</v>
      </c>
      <c r="BB404" s="14" t="str">
        <f t="shared" si="191"/>
        <v>天使缇娜魂珠-1 等级-0</v>
      </c>
      <c r="BC404" s="25" t="s">
        <v>1156</v>
      </c>
      <c r="BD404" s="14">
        <f t="shared" si="192"/>
        <v>0</v>
      </c>
      <c r="BE404" s="14">
        <f>SUMIFS(BD$4:BD404,$AU$4:$AU404,"="&amp;$AU404,$AY$4:$AY404,"="&amp;$AY404)</f>
        <v>0</v>
      </c>
      <c r="BF404" s="25" t="s">
        <v>1157</v>
      </c>
      <c r="BG404" s="14">
        <f t="shared" si="193"/>
        <v>0</v>
      </c>
      <c r="BH404" s="14">
        <f>SUMIFS(BG$4:BG404,AU$4:AU404,"="&amp;AU404,AY$4:AY404,"="&amp;AY404)</f>
        <v>0</v>
      </c>
      <c r="BI404" s="25" t="s">
        <v>1158</v>
      </c>
      <c r="BJ404" s="14">
        <f t="shared" si="194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6"/>
        <v>6</v>
      </c>
      <c r="AV405" s="14">
        <f t="shared" si="187"/>
        <v>200701</v>
      </c>
      <c r="AW405" s="14">
        <f t="shared" si="188"/>
        <v>1102007</v>
      </c>
      <c r="AX405" s="13" t="s">
        <v>1127</v>
      </c>
      <c r="AY405" s="13">
        <f t="shared" si="189"/>
        <v>1</v>
      </c>
      <c r="AZ405" s="13" t="s">
        <v>1148</v>
      </c>
      <c r="BA405" s="14">
        <f t="shared" si="190"/>
        <v>1</v>
      </c>
      <c r="BB405" s="14" t="str">
        <f t="shared" si="191"/>
        <v>天使缇娜魂珠-1 等级-1</v>
      </c>
      <c r="BC405" s="25" t="s">
        <v>1156</v>
      </c>
      <c r="BD405" s="14">
        <f t="shared" si="192"/>
        <v>48</v>
      </c>
      <c r="BE405" s="14">
        <f>SUMIFS(BD$4:BD405,$AU$4:$AU405,"="&amp;$AU405,$AY$4:$AY405,"="&amp;$AY405)</f>
        <v>48</v>
      </c>
      <c r="BF405" s="25" t="s">
        <v>1157</v>
      </c>
      <c r="BG405" s="14">
        <f t="shared" si="193"/>
        <v>22</v>
      </c>
      <c r="BH405" s="14">
        <f>SUMIFS(BG$4:BG405,AU$4:AU405,"="&amp;AU405,AY$4:AY405,"="&amp;AY405)</f>
        <v>22</v>
      </c>
      <c r="BI405" s="25" t="s">
        <v>1158</v>
      </c>
      <c r="BJ405" s="14">
        <f t="shared" si="194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6"/>
        <v>6</v>
      </c>
      <c r="AV406" s="14">
        <f t="shared" si="187"/>
        <v>200701</v>
      </c>
      <c r="AW406" s="14">
        <f t="shared" si="188"/>
        <v>1102007</v>
      </c>
      <c r="AX406" s="13" t="s">
        <v>1127</v>
      </c>
      <c r="AY406" s="13">
        <f t="shared" si="189"/>
        <v>1</v>
      </c>
      <c r="AZ406" s="13" t="s">
        <v>1148</v>
      </c>
      <c r="BA406" s="14">
        <f t="shared" si="190"/>
        <v>2</v>
      </c>
      <c r="BB406" s="14" t="str">
        <f t="shared" si="191"/>
        <v>天使缇娜魂珠-1 等级-2</v>
      </c>
      <c r="BC406" s="25" t="s">
        <v>1156</v>
      </c>
      <c r="BD406" s="14">
        <f t="shared" si="192"/>
        <v>72</v>
      </c>
      <c r="BE406" s="14">
        <f>SUMIFS(BD$4:BD406,$AU$4:$AU406,"="&amp;$AU406,$AY$4:$AY406,"="&amp;$AY406)</f>
        <v>120</v>
      </c>
      <c r="BF406" s="25" t="s">
        <v>1157</v>
      </c>
      <c r="BG406" s="14">
        <f t="shared" si="193"/>
        <v>33</v>
      </c>
      <c r="BH406" s="14">
        <f>SUMIFS(BG$4:BG406,AU$4:AU406,"="&amp;AU406,AY$4:AY406,"="&amp;AY406)</f>
        <v>55</v>
      </c>
      <c r="BI406" s="25" t="s">
        <v>1158</v>
      </c>
      <c r="BJ406" s="14">
        <f t="shared" si="194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6"/>
        <v>6</v>
      </c>
      <c r="AV407" s="14">
        <f t="shared" si="187"/>
        <v>200701</v>
      </c>
      <c r="AW407" s="14">
        <f t="shared" si="188"/>
        <v>1102007</v>
      </c>
      <c r="AX407" s="13" t="s">
        <v>1127</v>
      </c>
      <c r="AY407" s="13">
        <f t="shared" si="189"/>
        <v>1</v>
      </c>
      <c r="AZ407" s="13" t="s">
        <v>1148</v>
      </c>
      <c r="BA407" s="14">
        <f t="shared" si="190"/>
        <v>3</v>
      </c>
      <c r="BB407" s="14" t="str">
        <f t="shared" si="191"/>
        <v>天使缇娜魂珠-1 等级-3</v>
      </c>
      <c r="BC407" s="25" t="s">
        <v>1156</v>
      </c>
      <c r="BD407" s="14">
        <f t="shared" si="192"/>
        <v>96</v>
      </c>
      <c r="BE407" s="14">
        <f>SUMIFS(BD$4:BD407,$AU$4:$AU407,"="&amp;$AU407,$AY$4:$AY407,"="&amp;$AY407)</f>
        <v>216</v>
      </c>
      <c r="BF407" s="25" t="s">
        <v>1157</v>
      </c>
      <c r="BG407" s="14">
        <f t="shared" si="193"/>
        <v>44</v>
      </c>
      <c r="BH407" s="14">
        <f>SUMIFS(BG$4:BG407,AU$4:AU407,"="&amp;AU407,AY$4:AY407,"="&amp;AY407)</f>
        <v>99</v>
      </c>
      <c r="BI407" s="25" t="s">
        <v>1158</v>
      </c>
      <c r="BJ407" s="14">
        <f t="shared" si="194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6"/>
        <v>6</v>
      </c>
      <c r="AV408" s="14">
        <f t="shared" si="187"/>
        <v>200701</v>
      </c>
      <c r="AW408" s="14">
        <f t="shared" si="188"/>
        <v>1102007</v>
      </c>
      <c r="AX408" s="13" t="s">
        <v>1127</v>
      </c>
      <c r="AY408" s="13">
        <f t="shared" si="189"/>
        <v>1</v>
      </c>
      <c r="AZ408" s="13" t="s">
        <v>1148</v>
      </c>
      <c r="BA408" s="14">
        <f t="shared" si="190"/>
        <v>4</v>
      </c>
      <c r="BB408" s="14" t="str">
        <f t="shared" si="191"/>
        <v>天使缇娜魂珠-1 等级-4</v>
      </c>
      <c r="BC408" s="25" t="s">
        <v>1156</v>
      </c>
      <c r="BD408" s="14">
        <f t="shared" si="192"/>
        <v>144</v>
      </c>
      <c r="BE408" s="14">
        <f>SUMIFS(BD$4:BD408,$AU$4:$AU408,"="&amp;$AU408,$AY$4:$AY408,"="&amp;$AY408)</f>
        <v>360</v>
      </c>
      <c r="BF408" s="25" t="s">
        <v>1157</v>
      </c>
      <c r="BG408" s="14">
        <f t="shared" si="193"/>
        <v>66</v>
      </c>
      <c r="BH408" s="14">
        <f>SUMIFS(BG$4:BG408,AU$4:AU408,"="&amp;AU408,AY$4:AY408,"="&amp;AY408)</f>
        <v>165</v>
      </c>
      <c r="BI408" s="25" t="s">
        <v>1158</v>
      </c>
      <c r="BJ408" s="14">
        <f t="shared" si="194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6"/>
        <v>6</v>
      </c>
      <c r="AV409" s="14">
        <f t="shared" si="187"/>
        <v>200701</v>
      </c>
      <c r="AW409" s="14">
        <f t="shared" si="188"/>
        <v>1102007</v>
      </c>
      <c r="AX409" s="13" t="s">
        <v>1127</v>
      </c>
      <c r="AY409" s="13">
        <f t="shared" si="189"/>
        <v>1</v>
      </c>
      <c r="AZ409" s="13" t="s">
        <v>1148</v>
      </c>
      <c r="BA409" s="14">
        <f t="shared" si="190"/>
        <v>5</v>
      </c>
      <c r="BB409" s="14" t="str">
        <f t="shared" si="191"/>
        <v>天使缇娜魂珠-1 等级-5</v>
      </c>
      <c r="BC409" s="25" t="s">
        <v>1156</v>
      </c>
      <c r="BD409" s="14">
        <f t="shared" si="192"/>
        <v>192</v>
      </c>
      <c r="BE409" s="14">
        <f>SUMIFS(BD$4:BD409,$AU$4:$AU409,"="&amp;$AU409,$AY$4:$AY409,"="&amp;$AY409)</f>
        <v>552</v>
      </c>
      <c r="BF409" s="25" t="s">
        <v>1157</v>
      </c>
      <c r="BG409" s="14">
        <f t="shared" si="193"/>
        <v>88</v>
      </c>
      <c r="BH409" s="14">
        <f>SUMIFS(BG$4:BG409,AU$4:AU409,"="&amp;AU409,AY$4:AY409,"="&amp;AY409)</f>
        <v>253</v>
      </c>
      <c r="BI409" s="25" t="s">
        <v>1158</v>
      </c>
      <c r="BJ409" s="14">
        <f t="shared" si="194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6"/>
        <v>6</v>
      </c>
      <c r="AV410" s="14">
        <f t="shared" si="187"/>
        <v>200701</v>
      </c>
      <c r="AW410" s="14">
        <f t="shared" si="188"/>
        <v>1102007</v>
      </c>
      <c r="AX410" s="13" t="s">
        <v>1127</v>
      </c>
      <c r="AY410" s="13">
        <f t="shared" si="189"/>
        <v>1</v>
      </c>
      <c r="AZ410" s="13" t="s">
        <v>1148</v>
      </c>
      <c r="BA410" s="14">
        <f t="shared" si="190"/>
        <v>6</v>
      </c>
      <c r="BB410" s="14" t="str">
        <f t="shared" si="191"/>
        <v>天使缇娜魂珠-1 等级-6</v>
      </c>
      <c r="BC410" s="25" t="s">
        <v>1156</v>
      </c>
      <c r="BD410" s="14">
        <f t="shared" si="192"/>
        <v>240</v>
      </c>
      <c r="BE410" s="14">
        <f>SUMIFS(BD$4:BD410,$AU$4:$AU410,"="&amp;$AU410,$AY$4:$AY410,"="&amp;$AY410)</f>
        <v>792</v>
      </c>
      <c r="BF410" s="25" t="s">
        <v>1157</v>
      </c>
      <c r="BG410" s="14">
        <f t="shared" si="193"/>
        <v>110</v>
      </c>
      <c r="BH410" s="14">
        <f>SUMIFS(BG$4:BG410,AU$4:AU410,"="&amp;AU410,AY$4:AY410,"="&amp;AY410)</f>
        <v>363</v>
      </c>
      <c r="BI410" s="25" t="s">
        <v>1158</v>
      </c>
      <c r="BJ410" s="14">
        <f t="shared" si="194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6"/>
        <v>6</v>
      </c>
      <c r="AV411" s="14">
        <f t="shared" si="187"/>
        <v>200701</v>
      </c>
      <c r="AW411" s="14">
        <f t="shared" si="188"/>
        <v>1102007</v>
      </c>
      <c r="AX411" s="13" t="s">
        <v>1127</v>
      </c>
      <c r="AY411" s="13">
        <f t="shared" si="189"/>
        <v>1</v>
      </c>
      <c r="AZ411" s="13" t="s">
        <v>1148</v>
      </c>
      <c r="BA411" s="14">
        <f t="shared" si="190"/>
        <v>7</v>
      </c>
      <c r="BB411" s="14" t="str">
        <f t="shared" si="191"/>
        <v>天使缇娜魂珠-1 等级-7</v>
      </c>
      <c r="BC411" s="25" t="s">
        <v>1156</v>
      </c>
      <c r="BD411" s="14">
        <f t="shared" si="192"/>
        <v>288</v>
      </c>
      <c r="BE411" s="14">
        <f>SUMIFS(BD$4:BD411,$AU$4:$AU411,"="&amp;$AU411,$AY$4:$AY411,"="&amp;$AY411)</f>
        <v>1080</v>
      </c>
      <c r="BF411" s="25" t="s">
        <v>1157</v>
      </c>
      <c r="BG411" s="14">
        <f t="shared" si="193"/>
        <v>132</v>
      </c>
      <c r="BH411" s="14">
        <f>SUMIFS(BG$4:BG411,AU$4:AU411,"="&amp;AU411,AY$4:AY411,"="&amp;AY411)</f>
        <v>495</v>
      </c>
      <c r="BI411" s="25" t="s">
        <v>1158</v>
      </c>
      <c r="BJ411" s="14">
        <f t="shared" si="194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6"/>
        <v>6</v>
      </c>
      <c r="AV412" s="14">
        <f t="shared" si="187"/>
        <v>200701</v>
      </c>
      <c r="AW412" s="14">
        <f t="shared" si="188"/>
        <v>1102007</v>
      </c>
      <c r="AX412" s="13" t="s">
        <v>1127</v>
      </c>
      <c r="AY412" s="13">
        <f t="shared" si="189"/>
        <v>1</v>
      </c>
      <c r="AZ412" s="13" t="s">
        <v>1148</v>
      </c>
      <c r="BA412" s="14">
        <f t="shared" si="190"/>
        <v>8</v>
      </c>
      <c r="BB412" s="14" t="str">
        <f t="shared" si="191"/>
        <v>天使缇娜魂珠-1 等级-8</v>
      </c>
      <c r="BC412" s="25" t="s">
        <v>1156</v>
      </c>
      <c r="BD412" s="14">
        <f t="shared" si="192"/>
        <v>336</v>
      </c>
      <c r="BE412" s="14">
        <f>SUMIFS(BD$4:BD412,$AU$4:$AU412,"="&amp;$AU412,$AY$4:$AY412,"="&amp;$AY412)</f>
        <v>1416</v>
      </c>
      <c r="BF412" s="25" t="s">
        <v>1157</v>
      </c>
      <c r="BG412" s="14">
        <f t="shared" si="193"/>
        <v>154</v>
      </c>
      <c r="BH412" s="14">
        <f>SUMIFS(BG$4:BG412,AU$4:AU412,"="&amp;AU412,AY$4:AY412,"="&amp;AY412)</f>
        <v>649</v>
      </c>
      <c r="BI412" s="25" t="s">
        <v>1158</v>
      </c>
      <c r="BJ412" s="14">
        <f t="shared" si="194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6"/>
        <v>6</v>
      </c>
      <c r="AV413" s="14">
        <f t="shared" si="187"/>
        <v>200701</v>
      </c>
      <c r="AW413" s="14">
        <f t="shared" si="188"/>
        <v>1102007</v>
      </c>
      <c r="AX413" s="13" t="s">
        <v>1127</v>
      </c>
      <c r="AY413" s="13">
        <f t="shared" si="189"/>
        <v>1</v>
      </c>
      <c r="AZ413" s="13" t="s">
        <v>1148</v>
      </c>
      <c r="BA413" s="14">
        <f t="shared" si="190"/>
        <v>9</v>
      </c>
      <c r="BB413" s="14" t="str">
        <f t="shared" si="191"/>
        <v>天使缇娜魂珠-1 等级-9</v>
      </c>
      <c r="BC413" s="25" t="s">
        <v>1156</v>
      </c>
      <c r="BD413" s="14">
        <f t="shared" si="192"/>
        <v>384</v>
      </c>
      <c r="BE413" s="14">
        <f>SUMIFS(BD$4:BD413,$AU$4:$AU413,"="&amp;$AU413,$AY$4:$AY413,"="&amp;$AY413)</f>
        <v>1800</v>
      </c>
      <c r="BF413" s="25" t="s">
        <v>1157</v>
      </c>
      <c r="BG413" s="14">
        <f t="shared" si="193"/>
        <v>176</v>
      </c>
      <c r="BH413" s="14">
        <f>SUMIFS(BG$4:BG413,AU$4:AU413,"="&amp;AU413,AY$4:AY413,"="&amp;AY413)</f>
        <v>825</v>
      </c>
      <c r="BI413" s="25" t="s">
        <v>1158</v>
      </c>
      <c r="BJ413" s="14">
        <f t="shared" si="194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6"/>
        <v>6</v>
      </c>
      <c r="AV414" s="14">
        <f t="shared" si="187"/>
        <v>200702</v>
      </c>
      <c r="AW414" s="14">
        <f t="shared" si="188"/>
        <v>1102007</v>
      </c>
      <c r="AX414" s="13" t="s">
        <v>1127</v>
      </c>
      <c r="AY414" s="13">
        <f t="shared" si="189"/>
        <v>2</v>
      </c>
      <c r="AZ414" s="13" t="s">
        <v>1148</v>
      </c>
      <c r="BA414" s="14">
        <f t="shared" si="190"/>
        <v>0</v>
      </c>
      <c r="BB414" s="14" t="str">
        <f t="shared" si="191"/>
        <v>天使缇娜魂珠-2 等级-0</v>
      </c>
      <c r="BC414" s="25" t="s">
        <v>1156</v>
      </c>
      <c r="BD414" s="14">
        <f t="shared" si="192"/>
        <v>0</v>
      </c>
      <c r="BE414" s="14">
        <f>SUMIFS(BD$4:BD414,$AU$4:$AU414,"="&amp;$AU414,$AY$4:$AY414,"="&amp;$AY414)</f>
        <v>0</v>
      </c>
      <c r="BF414" s="25" t="s">
        <v>1157</v>
      </c>
      <c r="BG414" s="14">
        <f t="shared" si="193"/>
        <v>0</v>
      </c>
      <c r="BH414" s="14">
        <f>SUMIFS(BG$4:BG414,AU$4:AU414,"="&amp;AU414,AY$4:AY414,"="&amp;AY414)</f>
        <v>0</v>
      </c>
      <c r="BI414" s="25" t="s">
        <v>1158</v>
      </c>
      <c r="BJ414" s="14">
        <f t="shared" si="194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6"/>
        <v>6</v>
      </c>
      <c r="AV415" s="14">
        <f t="shared" si="187"/>
        <v>200702</v>
      </c>
      <c r="AW415" s="14">
        <f t="shared" si="188"/>
        <v>1102007</v>
      </c>
      <c r="AX415" s="13" t="s">
        <v>1127</v>
      </c>
      <c r="AY415" s="13">
        <f t="shared" si="189"/>
        <v>2</v>
      </c>
      <c r="AZ415" s="13" t="s">
        <v>1148</v>
      </c>
      <c r="BA415" s="14">
        <f t="shared" si="190"/>
        <v>1</v>
      </c>
      <c r="BB415" s="14" t="str">
        <f t="shared" si="191"/>
        <v>天使缇娜魂珠-2 等级-1</v>
      </c>
      <c r="BC415" s="25" t="s">
        <v>1156</v>
      </c>
      <c r="BD415" s="14">
        <f t="shared" si="192"/>
        <v>60</v>
      </c>
      <c r="BE415" s="14">
        <f>SUMIFS(BD$4:BD415,$AU$4:$AU415,"="&amp;$AU415,$AY$4:$AY415,"="&amp;$AY415)</f>
        <v>60</v>
      </c>
      <c r="BF415" s="25" t="s">
        <v>1157</v>
      </c>
      <c r="BG415" s="14">
        <f t="shared" si="193"/>
        <v>28</v>
      </c>
      <c r="BH415" s="14">
        <f>SUMIFS(BG$4:BG415,AU$4:AU415,"="&amp;AU415,AY$4:AY415,"="&amp;AY415)</f>
        <v>28</v>
      </c>
      <c r="BI415" s="25" t="s">
        <v>1158</v>
      </c>
      <c r="BJ415" s="14">
        <f t="shared" si="194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6"/>
        <v>6</v>
      </c>
      <c r="AV416" s="14">
        <f t="shared" si="187"/>
        <v>200702</v>
      </c>
      <c r="AW416" s="14">
        <f t="shared" si="188"/>
        <v>1102007</v>
      </c>
      <c r="AX416" s="13" t="s">
        <v>1127</v>
      </c>
      <c r="AY416" s="13">
        <f t="shared" si="189"/>
        <v>2</v>
      </c>
      <c r="AZ416" s="13" t="s">
        <v>1148</v>
      </c>
      <c r="BA416" s="14">
        <f t="shared" si="190"/>
        <v>2</v>
      </c>
      <c r="BB416" s="14" t="str">
        <f t="shared" si="191"/>
        <v>天使缇娜魂珠-2 等级-2</v>
      </c>
      <c r="BC416" s="25" t="s">
        <v>1156</v>
      </c>
      <c r="BD416" s="14">
        <f t="shared" si="192"/>
        <v>96</v>
      </c>
      <c r="BE416" s="14">
        <f>SUMIFS(BD$4:BD416,$AU$4:$AU416,"="&amp;$AU416,$AY$4:$AY416,"="&amp;$AY416)</f>
        <v>156</v>
      </c>
      <c r="BF416" s="25" t="s">
        <v>1157</v>
      </c>
      <c r="BG416" s="14">
        <f t="shared" si="193"/>
        <v>44</v>
      </c>
      <c r="BH416" s="14">
        <f>SUMIFS(BG$4:BG416,AU$4:AU416,"="&amp;AU416,AY$4:AY416,"="&amp;AY416)</f>
        <v>72</v>
      </c>
      <c r="BI416" s="25" t="s">
        <v>1158</v>
      </c>
      <c r="BJ416" s="14">
        <f t="shared" si="194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6"/>
        <v>6</v>
      </c>
      <c r="AV417" s="14">
        <f t="shared" si="187"/>
        <v>200702</v>
      </c>
      <c r="AW417" s="14">
        <f t="shared" si="188"/>
        <v>1102007</v>
      </c>
      <c r="AX417" s="13" t="s">
        <v>1127</v>
      </c>
      <c r="AY417" s="13">
        <f t="shared" si="189"/>
        <v>2</v>
      </c>
      <c r="AZ417" s="13" t="s">
        <v>1148</v>
      </c>
      <c r="BA417" s="14">
        <f t="shared" si="190"/>
        <v>3</v>
      </c>
      <c r="BB417" s="14" t="str">
        <f t="shared" si="191"/>
        <v>天使缇娜魂珠-2 等级-3</v>
      </c>
      <c r="BC417" s="25" t="s">
        <v>1156</v>
      </c>
      <c r="BD417" s="14">
        <f t="shared" si="192"/>
        <v>120</v>
      </c>
      <c r="BE417" s="14">
        <f>SUMIFS(BD$4:BD417,$AU$4:$AU417,"="&amp;$AU417,$AY$4:$AY417,"="&amp;$AY417)</f>
        <v>276</v>
      </c>
      <c r="BF417" s="25" t="s">
        <v>1157</v>
      </c>
      <c r="BG417" s="14">
        <f t="shared" si="193"/>
        <v>55</v>
      </c>
      <c r="BH417" s="14">
        <f>SUMIFS(BG$4:BG417,AU$4:AU417,"="&amp;AU417,AY$4:AY417,"="&amp;AY417)</f>
        <v>127</v>
      </c>
      <c r="BI417" s="25" t="s">
        <v>1158</v>
      </c>
      <c r="BJ417" s="14">
        <f t="shared" si="194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6"/>
        <v>6</v>
      </c>
      <c r="AV418" s="14">
        <f t="shared" si="187"/>
        <v>200702</v>
      </c>
      <c r="AW418" s="14">
        <f t="shared" si="188"/>
        <v>1102007</v>
      </c>
      <c r="AX418" s="13" t="s">
        <v>1127</v>
      </c>
      <c r="AY418" s="13">
        <f t="shared" si="189"/>
        <v>2</v>
      </c>
      <c r="AZ418" s="13" t="s">
        <v>1148</v>
      </c>
      <c r="BA418" s="14">
        <f t="shared" si="190"/>
        <v>4</v>
      </c>
      <c r="BB418" s="14" t="str">
        <f t="shared" si="191"/>
        <v>天使缇娜魂珠-2 等级-4</v>
      </c>
      <c r="BC418" s="25" t="s">
        <v>1156</v>
      </c>
      <c r="BD418" s="14">
        <f t="shared" si="192"/>
        <v>192</v>
      </c>
      <c r="BE418" s="14">
        <f>SUMIFS(BD$4:BD418,$AU$4:$AU418,"="&amp;$AU418,$AY$4:$AY418,"="&amp;$AY418)</f>
        <v>468</v>
      </c>
      <c r="BF418" s="25" t="s">
        <v>1157</v>
      </c>
      <c r="BG418" s="14">
        <f t="shared" si="193"/>
        <v>88</v>
      </c>
      <c r="BH418" s="14">
        <f>SUMIFS(BG$4:BG418,AU$4:AU418,"="&amp;AU418,AY$4:AY418,"="&amp;AY418)</f>
        <v>215</v>
      </c>
      <c r="BI418" s="25" t="s">
        <v>1158</v>
      </c>
      <c r="BJ418" s="14">
        <f t="shared" si="194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6"/>
        <v>6</v>
      </c>
      <c r="AV419" s="14">
        <f t="shared" si="187"/>
        <v>200702</v>
      </c>
      <c r="AW419" s="14">
        <f t="shared" si="188"/>
        <v>1102007</v>
      </c>
      <c r="AX419" s="13" t="s">
        <v>1127</v>
      </c>
      <c r="AY419" s="13">
        <f t="shared" si="189"/>
        <v>2</v>
      </c>
      <c r="AZ419" s="13" t="s">
        <v>1148</v>
      </c>
      <c r="BA419" s="14">
        <f t="shared" si="190"/>
        <v>5</v>
      </c>
      <c r="BB419" s="14" t="str">
        <f t="shared" si="191"/>
        <v>天使缇娜魂珠-2 等级-5</v>
      </c>
      <c r="BC419" s="25" t="s">
        <v>1156</v>
      </c>
      <c r="BD419" s="14">
        <f t="shared" si="192"/>
        <v>264</v>
      </c>
      <c r="BE419" s="14">
        <f>SUMIFS(BD$4:BD419,$AU$4:$AU419,"="&amp;$AU419,$AY$4:$AY419,"="&amp;$AY419)</f>
        <v>732</v>
      </c>
      <c r="BF419" s="25" t="s">
        <v>1157</v>
      </c>
      <c r="BG419" s="14">
        <f t="shared" si="193"/>
        <v>121</v>
      </c>
      <c r="BH419" s="14">
        <f>SUMIFS(BG$4:BG419,AU$4:AU419,"="&amp;AU419,AY$4:AY419,"="&amp;AY419)</f>
        <v>336</v>
      </c>
      <c r="BI419" s="25" t="s">
        <v>1158</v>
      </c>
      <c r="BJ419" s="14">
        <f t="shared" si="194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6"/>
        <v>6</v>
      </c>
      <c r="AV420" s="14">
        <f t="shared" si="187"/>
        <v>200702</v>
      </c>
      <c r="AW420" s="14">
        <f t="shared" si="188"/>
        <v>1102007</v>
      </c>
      <c r="AX420" s="13" t="s">
        <v>1127</v>
      </c>
      <c r="AY420" s="13">
        <f t="shared" si="189"/>
        <v>2</v>
      </c>
      <c r="AZ420" s="13" t="s">
        <v>1148</v>
      </c>
      <c r="BA420" s="14">
        <f t="shared" si="190"/>
        <v>6</v>
      </c>
      <c r="BB420" s="14" t="str">
        <f t="shared" si="191"/>
        <v>天使缇娜魂珠-2 等级-6</v>
      </c>
      <c r="BC420" s="25" t="s">
        <v>1156</v>
      </c>
      <c r="BD420" s="14">
        <f t="shared" si="192"/>
        <v>336</v>
      </c>
      <c r="BE420" s="14">
        <f>SUMIFS(BD$4:BD420,$AU$4:$AU420,"="&amp;$AU420,$AY$4:$AY420,"="&amp;$AY420)</f>
        <v>1068</v>
      </c>
      <c r="BF420" s="25" t="s">
        <v>1157</v>
      </c>
      <c r="BG420" s="14">
        <f t="shared" si="193"/>
        <v>154</v>
      </c>
      <c r="BH420" s="14">
        <f>SUMIFS(BG$4:BG420,AU$4:AU420,"="&amp;AU420,AY$4:AY420,"="&amp;AY420)</f>
        <v>490</v>
      </c>
      <c r="BI420" s="25" t="s">
        <v>1158</v>
      </c>
      <c r="BJ420" s="14">
        <f t="shared" si="194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6"/>
        <v>6</v>
      </c>
      <c r="AV421" s="14">
        <f t="shared" si="187"/>
        <v>200702</v>
      </c>
      <c r="AW421" s="14">
        <f t="shared" si="188"/>
        <v>1102007</v>
      </c>
      <c r="AX421" s="13" t="s">
        <v>1127</v>
      </c>
      <c r="AY421" s="13">
        <f t="shared" si="189"/>
        <v>2</v>
      </c>
      <c r="AZ421" s="13" t="s">
        <v>1148</v>
      </c>
      <c r="BA421" s="14">
        <f t="shared" si="190"/>
        <v>7</v>
      </c>
      <c r="BB421" s="14" t="str">
        <f t="shared" si="191"/>
        <v>天使缇娜魂珠-2 等级-7</v>
      </c>
      <c r="BC421" s="25" t="s">
        <v>1156</v>
      </c>
      <c r="BD421" s="14">
        <f t="shared" si="192"/>
        <v>384</v>
      </c>
      <c r="BE421" s="14">
        <f>SUMIFS(BD$4:BD421,$AU$4:$AU421,"="&amp;$AU421,$AY$4:$AY421,"="&amp;$AY421)</f>
        <v>1452</v>
      </c>
      <c r="BF421" s="25" t="s">
        <v>1157</v>
      </c>
      <c r="BG421" s="14">
        <f t="shared" si="193"/>
        <v>176</v>
      </c>
      <c r="BH421" s="14">
        <f>SUMIFS(BG$4:BG421,AU$4:AU421,"="&amp;AU421,AY$4:AY421,"="&amp;AY421)</f>
        <v>666</v>
      </c>
      <c r="BI421" s="25" t="s">
        <v>1158</v>
      </c>
      <c r="BJ421" s="14">
        <f t="shared" si="194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6"/>
        <v>6</v>
      </c>
      <c r="AV422" s="14">
        <f t="shared" si="187"/>
        <v>200702</v>
      </c>
      <c r="AW422" s="14">
        <f t="shared" si="188"/>
        <v>1102007</v>
      </c>
      <c r="AX422" s="13" t="s">
        <v>1127</v>
      </c>
      <c r="AY422" s="13">
        <f t="shared" si="189"/>
        <v>2</v>
      </c>
      <c r="AZ422" s="13" t="s">
        <v>1148</v>
      </c>
      <c r="BA422" s="14">
        <f t="shared" si="190"/>
        <v>8</v>
      </c>
      <c r="BB422" s="14" t="str">
        <f t="shared" si="191"/>
        <v>天使缇娜魂珠-2 等级-8</v>
      </c>
      <c r="BC422" s="25" t="s">
        <v>1156</v>
      </c>
      <c r="BD422" s="14">
        <f t="shared" si="192"/>
        <v>456</v>
      </c>
      <c r="BE422" s="14">
        <f>SUMIFS(BD$4:BD422,$AU$4:$AU422,"="&amp;$AU422,$AY$4:$AY422,"="&amp;$AY422)</f>
        <v>1908</v>
      </c>
      <c r="BF422" s="25" t="s">
        <v>1157</v>
      </c>
      <c r="BG422" s="14">
        <f t="shared" si="193"/>
        <v>209</v>
      </c>
      <c r="BH422" s="14">
        <f>SUMIFS(BG$4:BG422,AU$4:AU422,"="&amp;AU422,AY$4:AY422,"="&amp;AY422)</f>
        <v>875</v>
      </c>
      <c r="BI422" s="25" t="s">
        <v>1158</v>
      </c>
      <c r="BJ422" s="14">
        <f t="shared" si="194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6"/>
        <v>6</v>
      </c>
      <c r="AV423" s="14">
        <f t="shared" si="187"/>
        <v>200702</v>
      </c>
      <c r="AW423" s="14">
        <f t="shared" si="188"/>
        <v>1102007</v>
      </c>
      <c r="AX423" s="13" t="s">
        <v>1127</v>
      </c>
      <c r="AY423" s="13">
        <f t="shared" si="189"/>
        <v>2</v>
      </c>
      <c r="AZ423" s="13" t="s">
        <v>1148</v>
      </c>
      <c r="BA423" s="14">
        <f t="shared" si="190"/>
        <v>9</v>
      </c>
      <c r="BB423" s="14" t="str">
        <f t="shared" si="191"/>
        <v>天使缇娜魂珠-2 等级-9</v>
      </c>
      <c r="BC423" s="25" t="s">
        <v>1156</v>
      </c>
      <c r="BD423" s="14">
        <f t="shared" si="192"/>
        <v>540</v>
      </c>
      <c r="BE423" s="14">
        <f>SUMIFS(BD$4:BD423,$AU$4:$AU423,"="&amp;$AU423,$AY$4:$AY423,"="&amp;$AY423)</f>
        <v>2448</v>
      </c>
      <c r="BF423" s="25" t="s">
        <v>1157</v>
      </c>
      <c r="BG423" s="14">
        <f t="shared" si="193"/>
        <v>248</v>
      </c>
      <c r="BH423" s="14">
        <f>SUMIFS(BG$4:BG423,AU$4:AU423,"="&amp;AU423,AY$4:AY423,"="&amp;AY423)</f>
        <v>1123</v>
      </c>
      <c r="BI423" s="25" t="s">
        <v>1158</v>
      </c>
      <c r="BJ423" s="14">
        <f t="shared" si="194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6"/>
        <v>6</v>
      </c>
      <c r="AV424" s="14">
        <f t="shared" si="187"/>
        <v>200703</v>
      </c>
      <c r="AW424" s="14">
        <f t="shared" si="188"/>
        <v>1102007</v>
      </c>
      <c r="AX424" s="13" t="s">
        <v>1127</v>
      </c>
      <c r="AY424" s="13">
        <f t="shared" si="189"/>
        <v>3</v>
      </c>
      <c r="AZ424" s="13" t="s">
        <v>1148</v>
      </c>
      <c r="BA424" s="14">
        <f t="shared" si="190"/>
        <v>0</v>
      </c>
      <c r="BB424" s="14" t="str">
        <f t="shared" si="191"/>
        <v>天使缇娜魂珠-3 等级-0</v>
      </c>
      <c r="BC424" s="25" t="s">
        <v>1156</v>
      </c>
      <c r="BD424" s="14">
        <f t="shared" si="192"/>
        <v>0</v>
      </c>
      <c r="BE424" s="14">
        <f>SUMIFS(BD$4:BD424,$AU$4:$AU424,"="&amp;$AU424,$AY$4:$AY424,"="&amp;$AY424)</f>
        <v>0</v>
      </c>
      <c r="BF424" s="25" t="s">
        <v>1157</v>
      </c>
      <c r="BG424" s="14">
        <f t="shared" si="193"/>
        <v>0</v>
      </c>
      <c r="BH424" s="14">
        <f>SUMIFS(BG$4:BG424,AU$4:AU424,"="&amp;AU424,AY$4:AY424,"="&amp;AY424)</f>
        <v>0</v>
      </c>
      <c r="BI424" s="25" t="s">
        <v>1158</v>
      </c>
      <c r="BJ424" s="14">
        <f t="shared" si="194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6"/>
        <v>6</v>
      </c>
      <c r="AV425" s="14">
        <f t="shared" si="187"/>
        <v>200703</v>
      </c>
      <c r="AW425" s="14">
        <f t="shared" si="188"/>
        <v>1102007</v>
      </c>
      <c r="AX425" s="13" t="s">
        <v>1127</v>
      </c>
      <c r="AY425" s="13">
        <f t="shared" si="189"/>
        <v>3</v>
      </c>
      <c r="AZ425" s="13" t="s">
        <v>1148</v>
      </c>
      <c r="BA425" s="14">
        <f t="shared" si="190"/>
        <v>1</v>
      </c>
      <c r="BB425" s="14" t="str">
        <f t="shared" si="191"/>
        <v>天使缇娜魂珠-3 等级-1</v>
      </c>
      <c r="BC425" s="25" t="s">
        <v>1156</v>
      </c>
      <c r="BD425" s="14">
        <f t="shared" si="192"/>
        <v>96</v>
      </c>
      <c r="BE425" s="14">
        <f>SUMIFS(BD$4:BD425,$AU$4:$AU425,"="&amp;$AU425,$AY$4:$AY425,"="&amp;$AY425)</f>
        <v>96</v>
      </c>
      <c r="BF425" s="25" t="s">
        <v>1157</v>
      </c>
      <c r="BG425" s="14">
        <f t="shared" si="193"/>
        <v>44</v>
      </c>
      <c r="BH425" s="14">
        <f>SUMIFS(BG$4:BG425,AU$4:AU425,"="&amp;AU425,AY$4:AY425,"="&amp;AY425)</f>
        <v>44</v>
      </c>
      <c r="BI425" s="25" t="s">
        <v>1158</v>
      </c>
      <c r="BJ425" s="14">
        <f t="shared" si="194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6"/>
        <v>6</v>
      </c>
      <c r="AV426" s="14">
        <f t="shared" si="187"/>
        <v>200703</v>
      </c>
      <c r="AW426" s="14">
        <f t="shared" si="188"/>
        <v>1102007</v>
      </c>
      <c r="AX426" s="13" t="s">
        <v>1127</v>
      </c>
      <c r="AY426" s="13">
        <f t="shared" si="189"/>
        <v>3</v>
      </c>
      <c r="AZ426" s="13" t="s">
        <v>1148</v>
      </c>
      <c r="BA426" s="14">
        <f t="shared" si="190"/>
        <v>2</v>
      </c>
      <c r="BB426" s="14" t="str">
        <f t="shared" si="191"/>
        <v>天使缇娜魂珠-3 等级-2</v>
      </c>
      <c r="BC426" s="25" t="s">
        <v>1156</v>
      </c>
      <c r="BD426" s="14">
        <f t="shared" si="192"/>
        <v>144</v>
      </c>
      <c r="BE426" s="14">
        <f>SUMIFS(BD$4:BD426,$AU$4:$AU426,"="&amp;$AU426,$AY$4:$AY426,"="&amp;$AY426)</f>
        <v>240</v>
      </c>
      <c r="BF426" s="25" t="s">
        <v>1157</v>
      </c>
      <c r="BG426" s="14">
        <f t="shared" si="193"/>
        <v>66</v>
      </c>
      <c r="BH426" s="14">
        <f>SUMIFS(BG$4:BG426,AU$4:AU426,"="&amp;AU426,AY$4:AY426,"="&amp;AY426)</f>
        <v>110</v>
      </c>
      <c r="BI426" s="25" t="s">
        <v>1158</v>
      </c>
      <c r="BJ426" s="14">
        <f t="shared" si="194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6"/>
        <v>6</v>
      </c>
      <c r="AV427" s="14">
        <f t="shared" si="187"/>
        <v>200703</v>
      </c>
      <c r="AW427" s="14">
        <f t="shared" si="188"/>
        <v>1102007</v>
      </c>
      <c r="AX427" s="13" t="s">
        <v>1127</v>
      </c>
      <c r="AY427" s="13">
        <f t="shared" si="189"/>
        <v>3</v>
      </c>
      <c r="AZ427" s="13" t="s">
        <v>1148</v>
      </c>
      <c r="BA427" s="14">
        <f t="shared" si="190"/>
        <v>3</v>
      </c>
      <c r="BB427" s="14" t="str">
        <f t="shared" si="191"/>
        <v>天使缇娜魂珠-3 等级-3</v>
      </c>
      <c r="BC427" s="25" t="s">
        <v>1156</v>
      </c>
      <c r="BD427" s="14">
        <f t="shared" si="192"/>
        <v>192</v>
      </c>
      <c r="BE427" s="14">
        <f>SUMIFS(BD$4:BD427,$AU$4:$AU427,"="&amp;$AU427,$AY$4:$AY427,"="&amp;$AY427)</f>
        <v>432</v>
      </c>
      <c r="BF427" s="25" t="s">
        <v>1157</v>
      </c>
      <c r="BG427" s="14">
        <f t="shared" si="193"/>
        <v>88</v>
      </c>
      <c r="BH427" s="14">
        <f>SUMIFS(BG$4:BG427,AU$4:AU427,"="&amp;AU427,AY$4:AY427,"="&amp;AY427)</f>
        <v>198</v>
      </c>
      <c r="BI427" s="25" t="s">
        <v>1158</v>
      </c>
      <c r="BJ427" s="14">
        <f t="shared" si="194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6"/>
        <v>6</v>
      </c>
      <c r="AV428" s="14">
        <f t="shared" si="187"/>
        <v>200703</v>
      </c>
      <c r="AW428" s="14">
        <f t="shared" si="188"/>
        <v>1102007</v>
      </c>
      <c r="AX428" s="13" t="s">
        <v>1127</v>
      </c>
      <c r="AY428" s="13">
        <f t="shared" si="189"/>
        <v>3</v>
      </c>
      <c r="AZ428" s="13" t="s">
        <v>1148</v>
      </c>
      <c r="BA428" s="14">
        <f t="shared" si="190"/>
        <v>4</v>
      </c>
      <c r="BB428" s="14" t="str">
        <f t="shared" si="191"/>
        <v>天使缇娜魂珠-3 等级-4</v>
      </c>
      <c r="BC428" s="25" t="s">
        <v>1156</v>
      </c>
      <c r="BD428" s="14">
        <f t="shared" si="192"/>
        <v>288</v>
      </c>
      <c r="BE428" s="14">
        <f>SUMIFS(BD$4:BD428,$AU$4:$AU428,"="&amp;$AU428,$AY$4:$AY428,"="&amp;$AY428)</f>
        <v>720</v>
      </c>
      <c r="BF428" s="25" t="s">
        <v>1157</v>
      </c>
      <c r="BG428" s="14">
        <f t="shared" si="193"/>
        <v>132</v>
      </c>
      <c r="BH428" s="14">
        <f>SUMIFS(BG$4:BG428,AU$4:AU428,"="&amp;AU428,AY$4:AY428,"="&amp;AY428)</f>
        <v>330</v>
      </c>
      <c r="BI428" s="25" t="s">
        <v>1158</v>
      </c>
      <c r="BJ428" s="14">
        <f t="shared" si="194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6"/>
        <v>6</v>
      </c>
      <c r="AV429" s="14">
        <f t="shared" si="187"/>
        <v>200703</v>
      </c>
      <c r="AW429" s="14">
        <f t="shared" si="188"/>
        <v>1102007</v>
      </c>
      <c r="AX429" s="13" t="s">
        <v>1127</v>
      </c>
      <c r="AY429" s="13">
        <f t="shared" si="189"/>
        <v>3</v>
      </c>
      <c r="AZ429" s="13" t="s">
        <v>1148</v>
      </c>
      <c r="BA429" s="14">
        <f t="shared" si="190"/>
        <v>5</v>
      </c>
      <c r="BB429" s="14" t="str">
        <f t="shared" si="191"/>
        <v>天使缇娜魂珠-3 等级-5</v>
      </c>
      <c r="BC429" s="25" t="s">
        <v>1156</v>
      </c>
      <c r="BD429" s="14">
        <f t="shared" si="192"/>
        <v>384</v>
      </c>
      <c r="BE429" s="14">
        <f>SUMIFS(BD$4:BD429,$AU$4:$AU429,"="&amp;$AU429,$AY$4:$AY429,"="&amp;$AY429)</f>
        <v>1104</v>
      </c>
      <c r="BF429" s="25" t="s">
        <v>1157</v>
      </c>
      <c r="BG429" s="14">
        <f t="shared" si="193"/>
        <v>176</v>
      </c>
      <c r="BH429" s="14">
        <f>SUMIFS(BG$4:BG429,AU$4:AU429,"="&amp;AU429,AY$4:AY429,"="&amp;AY429)</f>
        <v>506</v>
      </c>
      <c r="BI429" s="25" t="s">
        <v>1158</v>
      </c>
      <c r="BJ429" s="14">
        <f t="shared" si="194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6"/>
        <v>6</v>
      </c>
      <c r="AV430" s="14">
        <f t="shared" si="187"/>
        <v>200703</v>
      </c>
      <c r="AW430" s="14">
        <f t="shared" si="188"/>
        <v>1102007</v>
      </c>
      <c r="AX430" s="13" t="s">
        <v>1127</v>
      </c>
      <c r="AY430" s="13">
        <f t="shared" si="189"/>
        <v>3</v>
      </c>
      <c r="AZ430" s="13" t="s">
        <v>1148</v>
      </c>
      <c r="BA430" s="14">
        <f t="shared" si="190"/>
        <v>6</v>
      </c>
      <c r="BB430" s="14" t="str">
        <f t="shared" si="191"/>
        <v>天使缇娜魂珠-3 等级-6</v>
      </c>
      <c r="BC430" s="25" t="s">
        <v>1156</v>
      </c>
      <c r="BD430" s="14">
        <f t="shared" si="192"/>
        <v>480</v>
      </c>
      <c r="BE430" s="14">
        <f>SUMIFS(BD$4:BD430,$AU$4:$AU430,"="&amp;$AU430,$AY$4:$AY430,"="&amp;$AY430)</f>
        <v>1584</v>
      </c>
      <c r="BF430" s="25" t="s">
        <v>1157</v>
      </c>
      <c r="BG430" s="14">
        <f t="shared" si="193"/>
        <v>220</v>
      </c>
      <c r="BH430" s="14">
        <f>SUMIFS(BG$4:BG430,AU$4:AU430,"="&amp;AU430,AY$4:AY430,"="&amp;AY430)</f>
        <v>726</v>
      </c>
      <c r="BI430" s="25" t="s">
        <v>1158</v>
      </c>
      <c r="BJ430" s="14">
        <f t="shared" si="194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6"/>
        <v>6</v>
      </c>
      <c r="AV431" s="14">
        <f t="shared" si="187"/>
        <v>200703</v>
      </c>
      <c r="AW431" s="14">
        <f t="shared" si="188"/>
        <v>1102007</v>
      </c>
      <c r="AX431" s="13" t="s">
        <v>1127</v>
      </c>
      <c r="AY431" s="13">
        <f t="shared" si="189"/>
        <v>3</v>
      </c>
      <c r="AZ431" s="13" t="s">
        <v>1148</v>
      </c>
      <c r="BA431" s="14">
        <f t="shared" si="190"/>
        <v>7</v>
      </c>
      <c r="BB431" s="14" t="str">
        <f t="shared" si="191"/>
        <v>天使缇娜魂珠-3 等级-7</v>
      </c>
      <c r="BC431" s="25" t="s">
        <v>1156</v>
      </c>
      <c r="BD431" s="14">
        <f t="shared" si="192"/>
        <v>576</v>
      </c>
      <c r="BE431" s="14">
        <f>SUMIFS(BD$4:BD431,$AU$4:$AU431,"="&amp;$AU431,$AY$4:$AY431,"="&amp;$AY431)</f>
        <v>2160</v>
      </c>
      <c r="BF431" s="25" t="s">
        <v>1157</v>
      </c>
      <c r="BG431" s="14">
        <f t="shared" si="193"/>
        <v>264</v>
      </c>
      <c r="BH431" s="14">
        <f>SUMIFS(BG$4:BG431,AU$4:AU431,"="&amp;AU431,AY$4:AY431,"="&amp;AY431)</f>
        <v>990</v>
      </c>
      <c r="BI431" s="25" t="s">
        <v>1158</v>
      </c>
      <c r="BJ431" s="14">
        <f t="shared" si="194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6"/>
        <v>6</v>
      </c>
      <c r="AV432" s="14">
        <f t="shared" si="187"/>
        <v>200703</v>
      </c>
      <c r="AW432" s="14">
        <f t="shared" si="188"/>
        <v>1102007</v>
      </c>
      <c r="AX432" s="13" t="s">
        <v>1127</v>
      </c>
      <c r="AY432" s="13">
        <f t="shared" si="189"/>
        <v>3</v>
      </c>
      <c r="AZ432" s="13" t="s">
        <v>1148</v>
      </c>
      <c r="BA432" s="14">
        <f t="shared" si="190"/>
        <v>8</v>
      </c>
      <c r="BB432" s="14" t="str">
        <f t="shared" si="191"/>
        <v>天使缇娜魂珠-3 等级-8</v>
      </c>
      <c r="BC432" s="25" t="s">
        <v>1156</v>
      </c>
      <c r="BD432" s="14">
        <f t="shared" si="192"/>
        <v>672</v>
      </c>
      <c r="BE432" s="14">
        <f>SUMIFS(BD$4:BD432,$AU$4:$AU432,"="&amp;$AU432,$AY$4:$AY432,"="&amp;$AY432)</f>
        <v>2832</v>
      </c>
      <c r="BF432" s="25" t="s">
        <v>1157</v>
      </c>
      <c r="BG432" s="14">
        <f t="shared" si="193"/>
        <v>308</v>
      </c>
      <c r="BH432" s="14">
        <f>SUMIFS(BG$4:BG432,AU$4:AU432,"="&amp;AU432,AY$4:AY432,"="&amp;AY432)</f>
        <v>1298</v>
      </c>
      <c r="BI432" s="25" t="s">
        <v>1158</v>
      </c>
      <c r="BJ432" s="14">
        <f t="shared" si="194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6"/>
        <v>6</v>
      </c>
      <c r="AV433" s="14">
        <f t="shared" si="187"/>
        <v>200703</v>
      </c>
      <c r="AW433" s="14">
        <f t="shared" si="188"/>
        <v>1102007</v>
      </c>
      <c r="AX433" s="13" t="s">
        <v>1127</v>
      </c>
      <c r="AY433" s="13">
        <f t="shared" si="189"/>
        <v>3</v>
      </c>
      <c r="AZ433" s="13" t="s">
        <v>1148</v>
      </c>
      <c r="BA433" s="14">
        <f t="shared" si="190"/>
        <v>9</v>
      </c>
      <c r="BB433" s="14" t="str">
        <f t="shared" si="191"/>
        <v>天使缇娜魂珠-3 等级-9</v>
      </c>
      <c r="BC433" s="25" t="s">
        <v>1156</v>
      </c>
      <c r="BD433" s="14">
        <f t="shared" si="192"/>
        <v>768</v>
      </c>
      <c r="BE433" s="14">
        <f>SUMIFS(BD$4:BD433,$AU$4:$AU433,"="&amp;$AU433,$AY$4:$AY433,"="&amp;$AY433)</f>
        <v>3600</v>
      </c>
      <c r="BF433" s="25" t="s">
        <v>1157</v>
      </c>
      <c r="BG433" s="14">
        <f t="shared" si="193"/>
        <v>352</v>
      </c>
      <c r="BH433" s="14">
        <f>SUMIFS(BG$4:BG433,AU$4:AU433,"="&amp;AU433,AY$4:AY433,"="&amp;AY433)</f>
        <v>1650</v>
      </c>
      <c r="BI433" s="25" t="s">
        <v>1158</v>
      </c>
      <c r="BJ433" s="14">
        <f t="shared" si="194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6"/>
        <v>6</v>
      </c>
      <c r="AV434" s="14">
        <f t="shared" si="187"/>
        <v>200704</v>
      </c>
      <c r="AW434" s="14">
        <f t="shared" si="188"/>
        <v>1102007</v>
      </c>
      <c r="AX434" s="13" t="s">
        <v>1127</v>
      </c>
      <c r="AY434" s="13">
        <f t="shared" si="189"/>
        <v>4</v>
      </c>
      <c r="AZ434" s="13" t="s">
        <v>1148</v>
      </c>
      <c r="BA434" s="14">
        <f t="shared" si="190"/>
        <v>0</v>
      </c>
      <c r="BB434" s="14" t="str">
        <f t="shared" si="191"/>
        <v>天使缇娜魂珠-4 等级-0</v>
      </c>
      <c r="BC434" s="25" t="s">
        <v>1156</v>
      </c>
      <c r="BD434" s="14">
        <f t="shared" si="192"/>
        <v>0</v>
      </c>
      <c r="BE434" s="14">
        <f>SUMIFS(BD$4:BD434,$AU$4:$AU434,"="&amp;$AU434,$AY$4:$AY434,"="&amp;$AY434)</f>
        <v>0</v>
      </c>
      <c r="BF434" s="25" t="s">
        <v>1157</v>
      </c>
      <c r="BG434" s="14">
        <f t="shared" si="193"/>
        <v>0</v>
      </c>
      <c r="BH434" s="14">
        <f>SUMIFS(BG$4:BG434,AU$4:AU434,"="&amp;AU434,AY$4:AY434,"="&amp;AY434)</f>
        <v>0</v>
      </c>
      <c r="BI434" s="25" t="s">
        <v>1158</v>
      </c>
      <c r="BJ434" s="14">
        <f t="shared" si="194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6"/>
        <v>6</v>
      </c>
      <c r="AV435" s="14">
        <f t="shared" si="187"/>
        <v>200704</v>
      </c>
      <c r="AW435" s="14">
        <f t="shared" si="188"/>
        <v>1102007</v>
      </c>
      <c r="AX435" s="13" t="s">
        <v>1127</v>
      </c>
      <c r="AY435" s="13">
        <f t="shared" si="189"/>
        <v>4</v>
      </c>
      <c r="AZ435" s="13" t="s">
        <v>1148</v>
      </c>
      <c r="BA435" s="14">
        <f t="shared" si="190"/>
        <v>1</v>
      </c>
      <c r="BB435" s="14" t="str">
        <f t="shared" si="191"/>
        <v>天使缇娜魂珠-4 等级-1</v>
      </c>
      <c r="BC435" s="25" t="s">
        <v>1156</v>
      </c>
      <c r="BD435" s="14">
        <f t="shared" si="192"/>
        <v>120</v>
      </c>
      <c r="BE435" s="14">
        <f>SUMIFS(BD$4:BD435,$AU$4:$AU435,"="&amp;$AU435,$AY$4:$AY435,"="&amp;$AY435)</f>
        <v>120</v>
      </c>
      <c r="BF435" s="25" t="s">
        <v>1157</v>
      </c>
      <c r="BG435" s="14">
        <f t="shared" si="193"/>
        <v>55</v>
      </c>
      <c r="BH435" s="14">
        <f>SUMIFS(BG$4:BG435,AU$4:AU435,"="&amp;AU435,AY$4:AY435,"="&amp;AY435)</f>
        <v>55</v>
      </c>
      <c r="BI435" s="25" t="s">
        <v>1158</v>
      </c>
      <c r="BJ435" s="14">
        <f t="shared" si="194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6"/>
        <v>6</v>
      </c>
      <c r="AV436" s="14">
        <f t="shared" si="187"/>
        <v>200704</v>
      </c>
      <c r="AW436" s="14">
        <f t="shared" si="188"/>
        <v>1102007</v>
      </c>
      <c r="AX436" s="13" t="s">
        <v>1127</v>
      </c>
      <c r="AY436" s="13">
        <f t="shared" si="189"/>
        <v>4</v>
      </c>
      <c r="AZ436" s="13" t="s">
        <v>1148</v>
      </c>
      <c r="BA436" s="14">
        <f t="shared" si="190"/>
        <v>2</v>
      </c>
      <c r="BB436" s="14" t="str">
        <f t="shared" si="191"/>
        <v>天使缇娜魂珠-4 等级-2</v>
      </c>
      <c r="BC436" s="25" t="s">
        <v>1156</v>
      </c>
      <c r="BD436" s="14">
        <f t="shared" si="192"/>
        <v>192</v>
      </c>
      <c r="BE436" s="14">
        <f>SUMIFS(BD$4:BD436,$AU$4:$AU436,"="&amp;$AU436,$AY$4:$AY436,"="&amp;$AY436)</f>
        <v>312</v>
      </c>
      <c r="BF436" s="25" t="s">
        <v>1157</v>
      </c>
      <c r="BG436" s="14">
        <f t="shared" si="193"/>
        <v>88</v>
      </c>
      <c r="BH436" s="14">
        <f>SUMIFS(BG$4:BG436,AU$4:AU436,"="&amp;AU436,AY$4:AY436,"="&amp;AY436)</f>
        <v>143</v>
      </c>
      <c r="BI436" s="25" t="s">
        <v>1158</v>
      </c>
      <c r="BJ436" s="14">
        <f t="shared" si="194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6"/>
        <v>6</v>
      </c>
      <c r="AV437" s="14">
        <f t="shared" si="187"/>
        <v>200704</v>
      </c>
      <c r="AW437" s="14">
        <f t="shared" si="188"/>
        <v>1102007</v>
      </c>
      <c r="AX437" s="13" t="s">
        <v>1127</v>
      </c>
      <c r="AY437" s="13">
        <f t="shared" si="189"/>
        <v>4</v>
      </c>
      <c r="AZ437" s="13" t="s">
        <v>1148</v>
      </c>
      <c r="BA437" s="14">
        <f t="shared" si="190"/>
        <v>3</v>
      </c>
      <c r="BB437" s="14" t="str">
        <f t="shared" si="191"/>
        <v>天使缇娜魂珠-4 等级-3</v>
      </c>
      <c r="BC437" s="25" t="s">
        <v>1156</v>
      </c>
      <c r="BD437" s="14">
        <f t="shared" si="192"/>
        <v>264</v>
      </c>
      <c r="BE437" s="14">
        <f>SUMIFS(BD$4:BD437,$AU$4:$AU437,"="&amp;$AU437,$AY$4:$AY437,"="&amp;$AY437)</f>
        <v>576</v>
      </c>
      <c r="BF437" s="25" t="s">
        <v>1157</v>
      </c>
      <c r="BG437" s="14">
        <f t="shared" si="193"/>
        <v>121</v>
      </c>
      <c r="BH437" s="14">
        <f>SUMIFS(BG$4:BG437,AU$4:AU437,"="&amp;AU437,AY$4:AY437,"="&amp;AY437)</f>
        <v>264</v>
      </c>
      <c r="BI437" s="25" t="s">
        <v>1158</v>
      </c>
      <c r="BJ437" s="14">
        <f t="shared" si="194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6"/>
        <v>6</v>
      </c>
      <c r="AV438" s="14">
        <f t="shared" si="187"/>
        <v>200704</v>
      </c>
      <c r="AW438" s="14">
        <f t="shared" si="188"/>
        <v>1102007</v>
      </c>
      <c r="AX438" s="13" t="s">
        <v>1127</v>
      </c>
      <c r="AY438" s="13">
        <f t="shared" si="189"/>
        <v>4</v>
      </c>
      <c r="AZ438" s="13" t="s">
        <v>1148</v>
      </c>
      <c r="BA438" s="14">
        <f t="shared" si="190"/>
        <v>4</v>
      </c>
      <c r="BB438" s="14" t="str">
        <f t="shared" si="191"/>
        <v>天使缇娜魂珠-4 等级-4</v>
      </c>
      <c r="BC438" s="25" t="s">
        <v>1156</v>
      </c>
      <c r="BD438" s="14">
        <f t="shared" si="192"/>
        <v>384</v>
      </c>
      <c r="BE438" s="14">
        <f>SUMIFS(BD$4:BD438,$AU$4:$AU438,"="&amp;$AU438,$AY$4:$AY438,"="&amp;$AY438)</f>
        <v>960</v>
      </c>
      <c r="BF438" s="25" t="s">
        <v>1157</v>
      </c>
      <c r="BG438" s="14">
        <f t="shared" si="193"/>
        <v>176</v>
      </c>
      <c r="BH438" s="14">
        <f>SUMIFS(BG$4:BG438,AU$4:AU438,"="&amp;AU438,AY$4:AY438,"="&amp;AY438)</f>
        <v>440</v>
      </c>
      <c r="BI438" s="25" t="s">
        <v>1158</v>
      </c>
      <c r="BJ438" s="14">
        <f t="shared" si="194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6"/>
        <v>6</v>
      </c>
      <c r="AV439" s="14">
        <f t="shared" si="187"/>
        <v>200704</v>
      </c>
      <c r="AW439" s="14">
        <f t="shared" si="188"/>
        <v>1102007</v>
      </c>
      <c r="AX439" s="13" t="s">
        <v>1127</v>
      </c>
      <c r="AY439" s="13">
        <f t="shared" si="189"/>
        <v>4</v>
      </c>
      <c r="AZ439" s="13" t="s">
        <v>1148</v>
      </c>
      <c r="BA439" s="14">
        <f t="shared" si="190"/>
        <v>5</v>
      </c>
      <c r="BB439" s="14" t="str">
        <f t="shared" si="191"/>
        <v>天使缇娜魂珠-4 等级-5</v>
      </c>
      <c r="BC439" s="25" t="s">
        <v>1156</v>
      </c>
      <c r="BD439" s="14">
        <f t="shared" si="192"/>
        <v>504</v>
      </c>
      <c r="BE439" s="14">
        <f>SUMIFS(BD$4:BD439,$AU$4:$AU439,"="&amp;$AU439,$AY$4:$AY439,"="&amp;$AY439)</f>
        <v>1464</v>
      </c>
      <c r="BF439" s="25" t="s">
        <v>1157</v>
      </c>
      <c r="BG439" s="14">
        <f t="shared" si="193"/>
        <v>231</v>
      </c>
      <c r="BH439" s="14">
        <f>SUMIFS(BG$4:BG439,AU$4:AU439,"="&amp;AU439,AY$4:AY439,"="&amp;AY439)</f>
        <v>671</v>
      </c>
      <c r="BI439" s="25" t="s">
        <v>1158</v>
      </c>
      <c r="BJ439" s="14">
        <f t="shared" si="194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6"/>
        <v>6</v>
      </c>
      <c r="AV440" s="14">
        <f t="shared" si="187"/>
        <v>200704</v>
      </c>
      <c r="AW440" s="14">
        <f t="shared" si="188"/>
        <v>1102007</v>
      </c>
      <c r="AX440" s="13" t="s">
        <v>1127</v>
      </c>
      <c r="AY440" s="13">
        <f t="shared" si="189"/>
        <v>4</v>
      </c>
      <c r="AZ440" s="13" t="s">
        <v>1148</v>
      </c>
      <c r="BA440" s="14">
        <f t="shared" si="190"/>
        <v>6</v>
      </c>
      <c r="BB440" s="14" t="str">
        <f t="shared" si="191"/>
        <v>天使缇娜魂珠-4 等级-6</v>
      </c>
      <c r="BC440" s="25" t="s">
        <v>1156</v>
      </c>
      <c r="BD440" s="14">
        <f t="shared" si="192"/>
        <v>660</v>
      </c>
      <c r="BE440" s="14">
        <f>SUMIFS(BD$4:BD440,$AU$4:$AU440,"="&amp;$AU440,$AY$4:$AY440,"="&amp;$AY440)</f>
        <v>2124</v>
      </c>
      <c r="BF440" s="25" t="s">
        <v>1157</v>
      </c>
      <c r="BG440" s="14">
        <f t="shared" si="193"/>
        <v>303</v>
      </c>
      <c r="BH440" s="14">
        <f>SUMIFS(BG$4:BG440,AU$4:AU440,"="&amp;AU440,AY$4:AY440,"="&amp;AY440)</f>
        <v>974</v>
      </c>
      <c r="BI440" s="25" t="s">
        <v>1158</v>
      </c>
      <c r="BJ440" s="14">
        <f t="shared" si="194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6"/>
        <v>6</v>
      </c>
      <c r="AV441" s="14">
        <f t="shared" si="187"/>
        <v>200704</v>
      </c>
      <c r="AW441" s="14">
        <f t="shared" si="188"/>
        <v>1102007</v>
      </c>
      <c r="AX441" s="13" t="s">
        <v>1127</v>
      </c>
      <c r="AY441" s="13">
        <f t="shared" si="189"/>
        <v>4</v>
      </c>
      <c r="AZ441" s="13" t="s">
        <v>1148</v>
      </c>
      <c r="BA441" s="14">
        <f t="shared" si="190"/>
        <v>7</v>
      </c>
      <c r="BB441" s="14" t="str">
        <f t="shared" si="191"/>
        <v>天使缇娜魂珠-4 等级-7</v>
      </c>
      <c r="BC441" s="25" t="s">
        <v>1156</v>
      </c>
      <c r="BD441" s="14">
        <f t="shared" si="192"/>
        <v>780</v>
      </c>
      <c r="BE441" s="14">
        <f>SUMIFS(BD$4:BD441,$AU$4:$AU441,"="&amp;$AU441,$AY$4:$AY441,"="&amp;$AY441)</f>
        <v>2904</v>
      </c>
      <c r="BF441" s="25" t="s">
        <v>1157</v>
      </c>
      <c r="BG441" s="14">
        <f t="shared" si="193"/>
        <v>358</v>
      </c>
      <c r="BH441" s="14">
        <f>SUMIFS(BG$4:BG441,AU$4:AU441,"="&amp;AU441,AY$4:AY441,"="&amp;AY441)</f>
        <v>1332</v>
      </c>
      <c r="BI441" s="25" t="s">
        <v>1158</v>
      </c>
      <c r="BJ441" s="14">
        <f t="shared" si="194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6"/>
        <v>6</v>
      </c>
      <c r="AV442" s="14">
        <f t="shared" si="187"/>
        <v>200704</v>
      </c>
      <c r="AW442" s="14">
        <f t="shared" si="188"/>
        <v>1102007</v>
      </c>
      <c r="AX442" s="13" t="s">
        <v>1127</v>
      </c>
      <c r="AY442" s="13">
        <f t="shared" si="189"/>
        <v>4</v>
      </c>
      <c r="AZ442" s="13" t="s">
        <v>1148</v>
      </c>
      <c r="BA442" s="14">
        <f t="shared" si="190"/>
        <v>8</v>
      </c>
      <c r="BB442" s="14" t="str">
        <f t="shared" si="191"/>
        <v>天使缇娜魂珠-4 等级-8</v>
      </c>
      <c r="BC442" s="25" t="s">
        <v>1156</v>
      </c>
      <c r="BD442" s="14">
        <f t="shared" si="192"/>
        <v>900</v>
      </c>
      <c r="BE442" s="14">
        <f>SUMIFS(BD$4:BD442,$AU$4:$AU442,"="&amp;$AU442,$AY$4:$AY442,"="&amp;$AY442)</f>
        <v>3804</v>
      </c>
      <c r="BF442" s="25" t="s">
        <v>1157</v>
      </c>
      <c r="BG442" s="14">
        <f t="shared" si="193"/>
        <v>413</v>
      </c>
      <c r="BH442" s="14">
        <f>SUMIFS(BG$4:BG442,AU$4:AU442,"="&amp;AU442,AY$4:AY442,"="&amp;AY442)</f>
        <v>1745</v>
      </c>
      <c r="BI442" s="25" t="s">
        <v>1158</v>
      </c>
      <c r="BJ442" s="14">
        <f t="shared" si="194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6"/>
        <v>6</v>
      </c>
      <c r="AV443" s="14">
        <f t="shared" si="187"/>
        <v>200704</v>
      </c>
      <c r="AW443" s="14">
        <f t="shared" si="188"/>
        <v>1102007</v>
      </c>
      <c r="AX443" s="13" t="s">
        <v>1127</v>
      </c>
      <c r="AY443" s="13">
        <f t="shared" si="189"/>
        <v>4</v>
      </c>
      <c r="AZ443" s="13" t="s">
        <v>1148</v>
      </c>
      <c r="BA443" s="14">
        <f t="shared" si="190"/>
        <v>9</v>
      </c>
      <c r="BB443" s="14" t="str">
        <f t="shared" si="191"/>
        <v>天使缇娜魂珠-4 等级-9</v>
      </c>
      <c r="BC443" s="25" t="s">
        <v>1156</v>
      </c>
      <c r="BD443" s="14">
        <f t="shared" si="192"/>
        <v>1020</v>
      </c>
      <c r="BE443" s="14">
        <f>SUMIFS(BD$4:BD443,$AU$4:$AU443,"="&amp;$AU443,$AY$4:$AY443,"="&amp;$AY443)</f>
        <v>4824</v>
      </c>
      <c r="BF443" s="25" t="s">
        <v>1157</v>
      </c>
      <c r="BG443" s="14">
        <f t="shared" si="193"/>
        <v>468</v>
      </c>
      <c r="BH443" s="14">
        <f>SUMIFS(BG$4:BG443,AU$4:AU443,"="&amp;AU443,AY$4:AY443,"="&amp;AY443)</f>
        <v>2213</v>
      </c>
      <c r="BI443" s="25" t="s">
        <v>1158</v>
      </c>
      <c r="BJ443" s="14">
        <f t="shared" si="194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6"/>
        <v>6</v>
      </c>
      <c r="AV444" s="14">
        <f t="shared" si="187"/>
        <v>200705</v>
      </c>
      <c r="AW444" s="14">
        <f t="shared" si="188"/>
        <v>1102007</v>
      </c>
      <c r="AX444" s="13" t="s">
        <v>1127</v>
      </c>
      <c r="AY444" s="13">
        <f t="shared" si="189"/>
        <v>5</v>
      </c>
      <c r="AZ444" s="13" t="s">
        <v>1148</v>
      </c>
      <c r="BA444" s="14">
        <f t="shared" si="190"/>
        <v>0</v>
      </c>
      <c r="BB444" s="14" t="str">
        <f t="shared" si="191"/>
        <v>天使缇娜魂珠-5 等级-0</v>
      </c>
      <c r="BC444" s="25" t="s">
        <v>1156</v>
      </c>
      <c r="BD444" s="14">
        <f t="shared" si="192"/>
        <v>0</v>
      </c>
      <c r="BE444" s="14">
        <f>SUMIFS(BD$4:BD444,$AU$4:$AU444,"="&amp;$AU444,$AY$4:$AY444,"="&amp;$AY444)</f>
        <v>0</v>
      </c>
      <c r="BF444" s="25" t="s">
        <v>1157</v>
      </c>
      <c r="BG444" s="14">
        <f t="shared" si="193"/>
        <v>0</v>
      </c>
      <c r="BH444" s="14">
        <f>SUMIFS(BG$4:BG444,AU$4:AU444,"="&amp;AU444,AY$4:AY444,"="&amp;AY444)</f>
        <v>0</v>
      </c>
      <c r="BI444" s="25" t="s">
        <v>1158</v>
      </c>
      <c r="BJ444" s="14">
        <f t="shared" si="194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6"/>
        <v>6</v>
      </c>
      <c r="AV445" s="14">
        <f t="shared" si="187"/>
        <v>200705</v>
      </c>
      <c r="AW445" s="14">
        <f t="shared" si="188"/>
        <v>1102007</v>
      </c>
      <c r="AX445" s="13" t="s">
        <v>1127</v>
      </c>
      <c r="AY445" s="13">
        <f t="shared" si="189"/>
        <v>5</v>
      </c>
      <c r="AZ445" s="13" t="s">
        <v>1148</v>
      </c>
      <c r="BA445" s="14">
        <f t="shared" si="190"/>
        <v>1</v>
      </c>
      <c r="BB445" s="14" t="str">
        <f t="shared" si="191"/>
        <v>天使缇娜魂珠-5 等级-1</v>
      </c>
      <c r="BC445" s="25" t="s">
        <v>1156</v>
      </c>
      <c r="BD445" s="14">
        <f t="shared" si="192"/>
        <v>168</v>
      </c>
      <c r="BE445" s="14">
        <f>SUMIFS(BD$4:BD445,$AU$4:$AU445,"="&amp;$AU445,$AY$4:$AY445,"="&amp;$AY445)</f>
        <v>168</v>
      </c>
      <c r="BF445" s="25" t="s">
        <v>1157</v>
      </c>
      <c r="BG445" s="14">
        <f t="shared" si="193"/>
        <v>77</v>
      </c>
      <c r="BH445" s="14">
        <f>SUMIFS(BG$4:BG445,AU$4:AU445,"="&amp;AU445,AY$4:AY445,"="&amp;AY445)</f>
        <v>77</v>
      </c>
      <c r="BI445" s="25" t="s">
        <v>1158</v>
      </c>
      <c r="BJ445" s="14">
        <f t="shared" si="194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6"/>
        <v>6</v>
      </c>
      <c r="AV446" s="14">
        <f t="shared" si="187"/>
        <v>200705</v>
      </c>
      <c r="AW446" s="14">
        <f t="shared" si="188"/>
        <v>1102007</v>
      </c>
      <c r="AX446" s="13" t="s">
        <v>1127</v>
      </c>
      <c r="AY446" s="13">
        <f t="shared" si="189"/>
        <v>5</v>
      </c>
      <c r="AZ446" s="13" t="s">
        <v>1148</v>
      </c>
      <c r="BA446" s="14">
        <f t="shared" si="190"/>
        <v>2</v>
      </c>
      <c r="BB446" s="14" t="str">
        <f t="shared" si="191"/>
        <v>天使缇娜魂珠-5 等级-2</v>
      </c>
      <c r="BC446" s="25" t="s">
        <v>1156</v>
      </c>
      <c r="BD446" s="14">
        <f t="shared" si="192"/>
        <v>240</v>
      </c>
      <c r="BE446" s="14">
        <f>SUMIFS(BD$4:BD446,$AU$4:$AU446,"="&amp;$AU446,$AY$4:$AY446,"="&amp;$AY446)</f>
        <v>408</v>
      </c>
      <c r="BF446" s="25" t="s">
        <v>1157</v>
      </c>
      <c r="BG446" s="14">
        <f t="shared" si="193"/>
        <v>110</v>
      </c>
      <c r="BH446" s="14">
        <f>SUMIFS(BG$4:BG446,AU$4:AU446,"="&amp;AU446,AY$4:AY446,"="&amp;AY446)</f>
        <v>187</v>
      </c>
      <c r="BI446" s="25" t="s">
        <v>1158</v>
      </c>
      <c r="BJ446" s="14">
        <f t="shared" si="194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6"/>
        <v>6</v>
      </c>
      <c r="AV447" s="14">
        <f t="shared" si="187"/>
        <v>200705</v>
      </c>
      <c r="AW447" s="14">
        <f t="shared" si="188"/>
        <v>1102007</v>
      </c>
      <c r="AX447" s="13" t="s">
        <v>1127</v>
      </c>
      <c r="AY447" s="13">
        <f t="shared" si="189"/>
        <v>5</v>
      </c>
      <c r="AZ447" s="13" t="s">
        <v>1148</v>
      </c>
      <c r="BA447" s="14">
        <f t="shared" si="190"/>
        <v>3</v>
      </c>
      <c r="BB447" s="14" t="str">
        <f t="shared" si="191"/>
        <v>天使缇娜魂珠-5 等级-3</v>
      </c>
      <c r="BC447" s="25" t="s">
        <v>1156</v>
      </c>
      <c r="BD447" s="14">
        <f t="shared" si="192"/>
        <v>312</v>
      </c>
      <c r="BE447" s="14">
        <f>SUMIFS(BD$4:BD447,$AU$4:$AU447,"="&amp;$AU447,$AY$4:$AY447,"="&amp;$AY447)</f>
        <v>720</v>
      </c>
      <c r="BF447" s="25" t="s">
        <v>1157</v>
      </c>
      <c r="BG447" s="14">
        <f t="shared" si="193"/>
        <v>143</v>
      </c>
      <c r="BH447" s="14">
        <f>SUMIFS(BG$4:BG447,AU$4:AU447,"="&amp;AU447,AY$4:AY447,"="&amp;AY447)</f>
        <v>330</v>
      </c>
      <c r="BI447" s="25" t="s">
        <v>1158</v>
      </c>
      <c r="BJ447" s="14">
        <f t="shared" si="194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6"/>
        <v>6</v>
      </c>
      <c r="AV448" s="14">
        <f t="shared" si="187"/>
        <v>200705</v>
      </c>
      <c r="AW448" s="14">
        <f t="shared" si="188"/>
        <v>1102007</v>
      </c>
      <c r="AX448" s="13" t="s">
        <v>1127</v>
      </c>
      <c r="AY448" s="13">
        <f t="shared" si="189"/>
        <v>5</v>
      </c>
      <c r="AZ448" s="13" t="s">
        <v>1148</v>
      </c>
      <c r="BA448" s="14">
        <f t="shared" si="190"/>
        <v>4</v>
      </c>
      <c r="BB448" s="14" t="str">
        <f t="shared" si="191"/>
        <v>天使缇娜魂珠-5 等级-4</v>
      </c>
      <c r="BC448" s="25" t="s">
        <v>1156</v>
      </c>
      <c r="BD448" s="14">
        <f t="shared" si="192"/>
        <v>480</v>
      </c>
      <c r="BE448" s="14">
        <f>SUMIFS(BD$4:BD448,$AU$4:$AU448,"="&amp;$AU448,$AY$4:$AY448,"="&amp;$AY448)</f>
        <v>1200</v>
      </c>
      <c r="BF448" s="25" t="s">
        <v>1157</v>
      </c>
      <c r="BG448" s="14">
        <f t="shared" si="193"/>
        <v>220</v>
      </c>
      <c r="BH448" s="14">
        <f>SUMIFS(BG$4:BG448,AU$4:AU448,"="&amp;AU448,AY$4:AY448,"="&amp;AY448)</f>
        <v>550</v>
      </c>
      <c r="BI448" s="25" t="s">
        <v>1158</v>
      </c>
      <c r="BJ448" s="14">
        <f t="shared" si="194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6"/>
        <v>6</v>
      </c>
      <c r="AV449" s="14">
        <f t="shared" si="187"/>
        <v>200705</v>
      </c>
      <c r="AW449" s="14">
        <f t="shared" si="188"/>
        <v>1102007</v>
      </c>
      <c r="AX449" s="13" t="s">
        <v>1127</v>
      </c>
      <c r="AY449" s="13">
        <f t="shared" si="189"/>
        <v>5</v>
      </c>
      <c r="AZ449" s="13" t="s">
        <v>1148</v>
      </c>
      <c r="BA449" s="14">
        <f t="shared" si="190"/>
        <v>5</v>
      </c>
      <c r="BB449" s="14" t="str">
        <f t="shared" si="191"/>
        <v>天使缇娜魂珠-5 等级-5</v>
      </c>
      <c r="BC449" s="25" t="s">
        <v>1156</v>
      </c>
      <c r="BD449" s="14">
        <f t="shared" si="192"/>
        <v>624</v>
      </c>
      <c r="BE449" s="14">
        <f>SUMIFS(BD$4:BD449,$AU$4:$AU449,"="&amp;$AU449,$AY$4:$AY449,"="&amp;$AY449)</f>
        <v>1824</v>
      </c>
      <c r="BF449" s="25" t="s">
        <v>1157</v>
      </c>
      <c r="BG449" s="14">
        <f t="shared" si="193"/>
        <v>286</v>
      </c>
      <c r="BH449" s="14">
        <f>SUMIFS(BG$4:BG449,AU$4:AU449,"="&amp;AU449,AY$4:AY449,"="&amp;AY449)</f>
        <v>836</v>
      </c>
      <c r="BI449" s="25" t="s">
        <v>1158</v>
      </c>
      <c r="BJ449" s="14">
        <f t="shared" si="194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6"/>
        <v>6</v>
      </c>
      <c r="AV450" s="14">
        <f t="shared" si="187"/>
        <v>200705</v>
      </c>
      <c r="AW450" s="14">
        <f t="shared" si="188"/>
        <v>1102007</v>
      </c>
      <c r="AX450" s="13" t="s">
        <v>1127</v>
      </c>
      <c r="AY450" s="13">
        <f t="shared" si="189"/>
        <v>5</v>
      </c>
      <c r="AZ450" s="13" t="s">
        <v>1148</v>
      </c>
      <c r="BA450" s="14">
        <f t="shared" si="190"/>
        <v>6</v>
      </c>
      <c r="BB450" s="14" t="str">
        <f t="shared" si="191"/>
        <v>天使缇娜魂珠-5 等级-6</v>
      </c>
      <c r="BC450" s="25" t="s">
        <v>1156</v>
      </c>
      <c r="BD450" s="14">
        <f t="shared" si="192"/>
        <v>780</v>
      </c>
      <c r="BE450" s="14">
        <f>SUMIFS(BD$4:BD450,$AU$4:$AU450,"="&amp;$AU450,$AY$4:$AY450,"="&amp;$AY450)</f>
        <v>2604</v>
      </c>
      <c r="BF450" s="25" t="s">
        <v>1157</v>
      </c>
      <c r="BG450" s="14">
        <f t="shared" si="193"/>
        <v>358</v>
      </c>
      <c r="BH450" s="14">
        <f>SUMIFS(BG$4:BG450,AU$4:AU450,"="&amp;AU450,AY$4:AY450,"="&amp;AY450)</f>
        <v>1194</v>
      </c>
      <c r="BI450" s="25" t="s">
        <v>1158</v>
      </c>
      <c r="BJ450" s="14">
        <f t="shared" si="194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6"/>
        <v>6</v>
      </c>
      <c r="AV451" s="14">
        <f t="shared" si="187"/>
        <v>200705</v>
      </c>
      <c r="AW451" s="14">
        <f t="shared" si="188"/>
        <v>1102007</v>
      </c>
      <c r="AX451" s="13" t="s">
        <v>1127</v>
      </c>
      <c r="AY451" s="13">
        <f t="shared" si="189"/>
        <v>5</v>
      </c>
      <c r="AZ451" s="13" t="s">
        <v>1148</v>
      </c>
      <c r="BA451" s="14">
        <f t="shared" si="190"/>
        <v>7</v>
      </c>
      <c r="BB451" s="14" t="str">
        <f t="shared" si="191"/>
        <v>天使缇娜魂珠-5 等级-7</v>
      </c>
      <c r="BC451" s="25" t="s">
        <v>1156</v>
      </c>
      <c r="BD451" s="14">
        <f t="shared" si="192"/>
        <v>960</v>
      </c>
      <c r="BE451" s="14">
        <f>SUMIFS(BD$4:BD451,$AU$4:$AU451,"="&amp;$AU451,$AY$4:$AY451,"="&amp;$AY451)</f>
        <v>3564</v>
      </c>
      <c r="BF451" s="25" t="s">
        <v>1157</v>
      </c>
      <c r="BG451" s="14">
        <f t="shared" si="193"/>
        <v>440</v>
      </c>
      <c r="BH451" s="14">
        <f>SUMIFS(BG$4:BG451,AU$4:AU451,"="&amp;AU451,AY$4:AY451,"="&amp;AY451)</f>
        <v>1634</v>
      </c>
      <c r="BI451" s="25" t="s">
        <v>1158</v>
      </c>
      <c r="BJ451" s="14">
        <f t="shared" si="194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6"/>
        <v>6</v>
      </c>
      <c r="AV452" s="14">
        <f t="shared" si="187"/>
        <v>200705</v>
      </c>
      <c r="AW452" s="14">
        <f t="shared" si="188"/>
        <v>1102007</v>
      </c>
      <c r="AX452" s="13" t="s">
        <v>1127</v>
      </c>
      <c r="AY452" s="13">
        <f t="shared" si="189"/>
        <v>5</v>
      </c>
      <c r="AZ452" s="13" t="s">
        <v>1148</v>
      </c>
      <c r="BA452" s="14">
        <f t="shared" si="190"/>
        <v>8</v>
      </c>
      <c r="BB452" s="14" t="str">
        <f t="shared" si="191"/>
        <v>天使缇娜魂珠-5 等级-8</v>
      </c>
      <c r="BC452" s="25" t="s">
        <v>1156</v>
      </c>
      <c r="BD452" s="14">
        <f t="shared" si="192"/>
        <v>1140</v>
      </c>
      <c r="BE452" s="14">
        <f>SUMIFS(BD$4:BD452,$AU$4:$AU452,"="&amp;$AU452,$AY$4:$AY452,"="&amp;$AY452)</f>
        <v>4704</v>
      </c>
      <c r="BF452" s="25" t="s">
        <v>1157</v>
      </c>
      <c r="BG452" s="14">
        <f t="shared" si="193"/>
        <v>523</v>
      </c>
      <c r="BH452" s="14">
        <f>SUMIFS(BG$4:BG452,AU$4:AU452,"="&amp;AU452,AY$4:AY452,"="&amp;AY452)</f>
        <v>2157</v>
      </c>
      <c r="BI452" s="25" t="s">
        <v>1158</v>
      </c>
      <c r="BJ452" s="14">
        <f t="shared" si="194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5">INT((AT453-1)/80)+1</f>
        <v>6</v>
      </c>
      <c r="AV453" s="14">
        <f t="shared" ref="AV453:AV516" si="196">INDEX($AJ$4:$AJ$203,(AU453-1)*8+AY453)</f>
        <v>200705</v>
      </c>
      <c r="AW453" s="14">
        <f t="shared" ref="AW453:AW516" si="197">INDEX($W$4:$W$28,AU453)</f>
        <v>1102007</v>
      </c>
      <c r="AX453" s="13" t="s">
        <v>1127</v>
      </c>
      <c r="AY453" s="13">
        <f t="shared" ref="AY453:AY516" si="198">INT(((AT453-(AU453-1)*80)-1)/10)+1</f>
        <v>5</v>
      </c>
      <c r="AZ453" s="13" t="s">
        <v>1148</v>
      </c>
      <c r="BA453" s="14">
        <f t="shared" ref="BA453:BA516" si="199">AT453-(AU453-1)*80-(AY453-1)*10-1</f>
        <v>9</v>
      </c>
      <c r="BB453" s="14" t="str">
        <f t="shared" ref="BB453:BB516" si="200">INDEX($X$4:$X$28,AU453)&amp;"魂珠-"&amp;AY453&amp;" 等级-"&amp;BA453</f>
        <v>天使缇娜魂珠-5 等级-9</v>
      </c>
      <c r="BC453" s="25" t="s">
        <v>1156</v>
      </c>
      <c r="BD453" s="14">
        <f t="shared" ref="BD453:BD516" si="201">ROUND(INDEX(Q$4:Q$83,($AY453-1)*10+$BA453+1)*INDEX(AC$4:AC$28,$AU453),0)</f>
        <v>1320</v>
      </c>
      <c r="BE453" s="14">
        <f>SUMIFS(BD$4:BD453,$AU$4:$AU453,"="&amp;$AU453,$AY$4:$AY453,"="&amp;$AY453)</f>
        <v>6024</v>
      </c>
      <c r="BF453" s="25" t="s">
        <v>1157</v>
      </c>
      <c r="BG453" s="14">
        <f t="shared" ref="BG453:BG516" si="202">ROUND(INDEX(R$4:R$83,($AY453-1)*10+$BA453+1)*INDEX(AD$4:AD$28,$AU453),0)</f>
        <v>605</v>
      </c>
      <c r="BH453" s="14">
        <f>SUMIFS(BG$4:BG453,AU$4:AU453,"="&amp;AU453,AY$4:AY453,"="&amp;AY453)</f>
        <v>2762</v>
      </c>
      <c r="BI453" s="25" t="s">
        <v>1158</v>
      </c>
      <c r="BJ453" s="14">
        <f t="shared" ref="BJ453:BJ516" si="203">ROUND(INDEX(S$4:S$83,($AY453-1)*10+$BA453+1)*INDEX(AE$4:AE$28,$AU453),0)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5"/>
        <v>6</v>
      </c>
      <c r="AV454" s="14">
        <f t="shared" si="196"/>
        <v>200706</v>
      </c>
      <c r="AW454" s="14">
        <f t="shared" si="197"/>
        <v>1102007</v>
      </c>
      <c r="AX454" s="13" t="s">
        <v>1127</v>
      </c>
      <c r="AY454" s="13">
        <f t="shared" si="198"/>
        <v>6</v>
      </c>
      <c r="AZ454" s="13" t="s">
        <v>1148</v>
      </c>
      <c r="BA454" s="14">
        <f t="shared" si="199"/>
        <v>0</v>
      </c>
      <c r="BB454" s="14" t="str">
        <f t="shared" si="200"/>
        <v>天使缇娜魂珠-6 等级-0</v>
      </c>
      <c r="BC454" s="25" t="s">
        <v>1156</v>
      </c>
      <c r="BD454" s="14">
        <f t="shared" si="201"/>
        <v>0</v>
      </c>
      <c r="BE454" s="14">
        <f>SUMIFS(BD$4:BD454,$AU$4:$AU454,"="&amp;$AU454,$AY$4:$AY454,"="&amp;$AY454)</f>
        <v>0</v>
      </c>
      <c r="BF454" s="25" t="s">
        <v>1157</v>
      </c>
      <c r="BG454" s="14">
        <f t="shared" si="202"/>
        <v>0</v>
      </c>
      <c r="BH454" s="14">
        <f>SUMIFS(BG$4:BG454,AU$4:AU454,"="&amp;AU454,AY$4:AY454,"="&amp;AY454)</f>
        <v>0</v>
      </c>
      <c r="BI454" s="25" t="s">
        <v>1158</v>
      </c>
      <c r="BJ454" s="14">
        <f t="shared" si="203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5"/>
        <v>6</v>
      </c>
      <c r="AV455" s="14">
        <f t="shared" si="196"/>
        <v>200706</v>
      </c>
      <c r="AW455" s="14">
        <f t="shared" si="197"/>
        <v>1102007</v>
      </c>
      <c r="AX455" s="13" t="s">
        <v>1127</v>
      </c>
      <c r="AY455" s="13">
        <f t="shared" si="198"/>
        <v>6</v>
      </c>
      <c r="AZ455" s="13" t="s">
        <v>1148</v>
      </c>
      <c r="BA455" s="14">
        <f t="shared" si="199"/>
        <v>1</v>
      </c>
      <c r="BB455" s="14" t="str">
        <f t="shared" si="200"/>
        <v>天使缇娜魂珠-6 等级-1</v>
      </c>
      <c r="BC455" s="25" t="s">
        <v>1156</v>
      </c>
      <c r="BD455" s="14">
        <f t="shared" si="201"/>
        <v>216</v>
      </c>
      <c r="BE455" s="14">
        <f>SUMIFS(BD$4:BD455,$AU$4:$AU455,"="&amp;$AU455,$AY$4:$AY455,"="&amp;$AY455)</f>
        <v>216</v>
      </c>
      <c r="BF455" s="25" t="s">
        <v>1157</v>
      </c>
      <c r="BG455" s="14">
        <f t="shared" si="202"/>
        <v>99</v>
      </c>
      <c r="BH455" s="14">
        <f>SUMIFS(BG$4:BG455,AU$4:AU455,"="&amp;AU455,AY$4:AY455,"="&amp;AY455)</f>
        <v>99</v>
      </c>
      <c r="BI455" s="25" t="s">
        <v>1158</v>
      </c>
      <c r="BJ455" s="14">
        <f t="shared" si="203"/>
        <v>3960</v>
      </c>
      <c r="BK455" s="14">
        <f>SUMIFS(BJ$4:BJ455,$AU$4:$AU455,"="&amp;$AU455,$AY$4:$AY455,"="&amp;$AY455)</f>
        <v>3960</v>
      </c>
    </row>
    <row r="456" spans="46:63" ht="16.5" x14ac:dyDescent="0.2">
      <c r="AT456" s="13">
        <v>453</v>
      </c>
      <c r="AU456" s="13">
        <f t="shared" si="195"/>
        <v>6</v>
      </c>
      <c r="AV456" s="14">
        <f t="shared" si="196"/>
        <v>200706</v>
      </c>
      <c r="AW456" s="14">
        <f t="shared" si="197"/>
        <v>1102007</v>
      </c>
      <c r="AX456" s="13" t="s">
        <v>1127</v>
      </c>
      <c r="AY456" s="13">
        <f t="shared" si="198"/>
        <v>6</v>
      </c>
      <c r="AZ456" s="13" t="s">
        <v>1148</v>
      </c>
      <c r="BA456" s="14">
        <f t="shared" si="199"/>
        <v>2</v>
      </c>
      <c r="BB456" s="14" t="str">
        <f t="shared" si="200"/>
        <v>天使缇娜魂珠-6 等级-2</v>
      </c>
      <c r="BC456" s="25" t="s">
        <v>1156</v>
      </c>
      <c r="BD456" s="14">
        <f t="shared" si="201"/>
        <v>336</v>
      </c>
      <c r="BE456" s="14">
        <f>SUMIFS(BD$4:BD456,$AU$4:$AU456,"="&amp;$AU456,$AY$4:$AY456,"="&amp;$AY456)</f>
        <v>552</v>
      </c>
      <c r="BF456" s="25" t="s">
        <v>1157</v>
      </c>
      <c r="BG456" s="14">
        <f t="shared" si="202"/>
        <v>154</v>
      </c>
      <c r="BH456" s="14">
        <f>SUMIFS(BG$4:BG456,AU$4:AU456,"="&amp;AU456,AY$4:AY456,"="&amp;AY456)</f>
        <v>253</v>
      </c>
      <c r="BI456" s="25" t="s">
        <v>1158</v>
      </c>
      <c r="BJ456" s="14">
        <f t="shared" si="203"/>
        <v>6160</v>
      </c>
      <c r="BK456" s="14">
        <f>SUMIFS(BJ$4:BJ456,$AU$4:$AU456,"="&amp;$AU456,$AY$4:$AY456,"="&amp;$AY456)</f>
        <v>10120</v>
      </c>
    </row>
    <row r="457" spans="46:63" ht="16.5" x14ac:dyDescent="0.2">
      <c r="AT457" s="13">
        <v>454</v>
      </c>
      <c r="AU457" s="13">
        <f t="shared" si="195"/>
        <v>6</v>
      </c>
      <c r="AV457" s="14">
        <f t="shared" si="196"/>
        <v>200706</v>
      </c>
      <c r="AW457" s="14">
        <f t="shared" si="197"/>
        <v>1102007</v>
      </c>
      <c r="AX457" s="13" t="s">
        <v>1127</v>
      </c>
      <c r="AY457" s="13">
        <f t="shared" si="198"/>
        <v>6</v>
      </c>
      <c r="AZ457" s="13" t="s">
        <v>1148</v>
      </c>
      <c r="BA457" s="14">
        <f t="shared" si="199"/>
        <v>3</v>
      </c>
      <c r="BB457" s="14" t="str">
        <f t="shared" si="200"/>
        <v>天使缇娜魂珠-6 等级-3</v>
      </c>
      <c r="BC457" s="25" t="s">
        <v>1156</v>
      </c>
      <c r="BD457" s="14">
        <f t="shared" si="201"/>
        <v>450</v>
      </c>
      <c r="BE457" s="14">
        <f>SUMIFS(BD$4:BD457,$AU$4:$AU457,"="&amp;$AU457,$AY$4:$AY457,"="&amp;$AY457)</f>
        <v>1002</v>
      </c>
      <c r="BF457" s="25" t="s">
        <v>1157</v>
      </c>
      <c r="BG457" s="14">
        <f t="shared" si="202"/>
        <v>206</v>
      </c>
      <c r="BH457" s="14">
        <f>SUMIFS(BG$4:BG457,AU$4:AU457,"="&amp;AU457,AY$4:AY457,"="&amp;AY457)</f>
        <v>459</v>
      </c>
      <c r="BI457" s="25" t="s">
        <v>1158</v>
      </c>
      <c r="BJ457" s="14">
        <f t="shared" si="203"/>
        <v>8250</v>
      </c>
      <c r="BK457" s="14">
        <f>SUMIFS(BJ$4:BJ457,$AU$4:$AU457,"="&amp;$AU457,$AY$4:$AY457,"="&amp;$AY457)</f>
        <v>18370</v>
      </c>
    </row>
    <row r="458" spans="46:63" ht="16.5" x14ac:dyDescent="0.2">
      <c r="AT458" s="13">
        <v>455</v>
      </c>
      <c r="AU458" s="13">
        <f t="shared" si="195"/>
        <v>6</v>
      </c>
      <c r="AV458" s="14">
        <f t="shared" si="196"/>
        <v>200706</v>
      </c>
      <c r="AW458" s="14">
        <f t="shared" si="197"/>
        <v>1102007</v>
      </c>
      <c r="AX458" s="13" t="s">
        <v>1127</v>
      </c>
      <c r="AY458" s="13">
        <f t="shared" si="198"/>
        <v>6</v>
      </c>
      <c r="AZ458" s="13" t="s">
        <v>1148</v>
      </c>
      <c r="BA458" s="14">
        <f t="shared" si="199"/>
        <v>4</v>
      </c>
      <c r="BB458" s="14" t="str">
        <f t="shared" si="200"/>
        <v>天使缇娜魂珠-6 等级-4</v>
      </c>
      <c r="BC458" s="25" t="s">
        <v>1156</v>
      </c>
      <c r="BD458" s="14">
        <f t="shared" si="201"/>
        <v>672</v>
      </c>
      <c r="BE458" s="14">
        <f>SUMIFS(BD$4:BD458,$AU$4:$AU458,"="&amp;$AU458,$AY$4:$AY458,"="&amp;$AY458)</f>
        <v>1674</v>
      </c>
      <c r="BF458" s="25" t="s">
        <v>1157</v>
      </c>
      <c r="BG458" s="14">
        <f t="shared" si="202"/>
        <v>308</v>
      </c>
      <c r="BH458" s="14">
        <f>SUMIFS(BG$4:BG458,AU$4:AU458,"="&amp;AU458,AY$4:AY458,"="&amp;AY458)</f>
        <v>767</v>
      </c>
      <c r="BI458" s="25" t="s">
        <v>1158</v>
      </c>
      <c r="BJ458" s="14">
        <f t="shared" si="203"/>
        <v>12320</v>
      </c>
      <c r="BK458" s="14">
        <f>SUMIFS(BJ$4:BJ458,$AU$4:$AU458,"="&amp;$AU458,$AY$4:$AY458,"="&amp;$AY458)</f>
        <v>30690</v>
      </c>
    </row>
    <row r="459" spans="46:63" ht="16.5" x14ac:dyDescent="0.2">
      <c r="AT459" s="13">
        <v>456</v>
      </c>
      <c r="AU459" s="13">
        <f t="shared" si="195"/>
        <v>6</v>
      </c>
      <c r="AV459" s="14">
        <f t="shared" si="196"/>
        <v>200706</v>
      </c>
      <c r="AW459" s="14">
        <f t="shared" si="197"/>
        <v>1102007</v>
      </c>
      <c r="AX459" s="13" t="s">
        <v>1127</v>
      </c>
      <c r="AY459" s="13">
        <f t="shared" si="198"/>
        <v>6</v>
      </c>
      <c r="AZ459" s="13" t="s">
        <v>1148</v>
      </c>
      <c r="BA459" s="14">
        <f t="shared" si="199"/>
        <v>5</v>
      </c>
      <c r="BB459" s="14" t="str">
        <f t="shared" si="200"/>
        <v>天使缇娜魂珠-6 等级-5</v>
      </c>
      <c r="BC459" s="25" t="s">
        <v>1156</v>
      </c>
      <c r="BD459" s="14">
        <f t="shared" si="201"/>
        <v>900</v>
      </c>
      <c r="BE459" s="14">
        <f>SUMIFS(BD$4:BD459,$AU$4:$AU459,"="&amp;$AU459,$AY$4:$AY459,"="&amp;$AY459)</f>
        <v>2574</v>
      </c>
      <c r="BF459" s="25" t="s">
        <v>1157</v>
      </c>
      <c r="BG459" s="14">
        <f t="shared" si="202"/>
        <v>413</v>
      </c>
      <c r="BH459" s="14">
        <f>SUMIFS(BG$4:BG459,AU$4:AU459,"="&amp;AU459,AY$4:AY459,"="&amp;AY459)</f>
        <v>1180</v>
      </c>
      <c r="BI459" s="25" t="s">
        <v>1158</v>
      </c>
      <c r="BJ459" s="14">
        <f t="shared" si="203"/>
        <v>16500</v>
      </c>
      <c r="BK459" s="14">
        <f>SUMIFS(BJ$4:BJ459,$AU$4:$AU459,"="&amp;$AU459,$AY$4:$AY459,"="&amp;$AY459)</f>
        <v>47190</v>
      </c>
    </row>
    <row r="460" spans="46:63" ht="16.5" x14ac:dyDescent="0.2">
      <c r="AT460" s="13">
        <v>457</v>
      </c>
      <c r="AU460" s="13">
        <f t="shared" si="195"/>
        <v>6</v>
      </c>
      <c r="AV460" s="14">
        <f t="shared" si="196"/>
        <v>200706</v>
      </c>
      <c r="AW460" s="14">
        <f t="shared" si="197"/>
        <v>1102007</v>
      </c>
      <c r="AX460" s="13" t="s">
        <v>1127</v>
      </c>
      <c r="AY460" s="13">
        <f t="shared" si="198"/>
        <v>6</v>
      </c>
      <c r="AZ460" s="13" t="s">
        <v>1148</v>
      </c>
      <c r="BA460" s="14">
        <f t="shared" si="199"/>
        <v>6</v>
      </c>
      <c r="BB460" s="14" t="str">
        <f t="shared" si="200"/>
        <v>天使缇娜魂珠-6 等级-6</v>
      </c>
      <c r="BC460" s="25" t="s">
        <v>1156</v>
      </c>
      <c r="BD460" s="14">
        <f t="shared" si="201"/>
        <v>1140</v>
      </c>
      <c r="BE460" s="14">
        <f>SUMIFS(BD$4:BD460,$AU$4:$AU460,"="&amp;$AU460,$AY$4:$AY460,"="&amp;$AY460)</f>
        <v>3714</v>
      </c>
      <c r="BF460" s="25" t="s">
        <v>1157</v>
      </c>
      <c r="BG460" s="14">
        <f t="shared" si="202"/>
        <v>523</v>
      </c>
      <c r="BH460" s="14">
        <f>SUMIFS(BG$4:BG460,AU$4:AU460,"="&amp;AU460,AY$4:AY460,"="&amp;AY460)</f>
        <v>1703</v>
      </c>
      <c r="BI460" s="25" t="s">
        <v>1158</v>
      </c>
      <c r="BJ460" s="14">
        <f t="shared" si="203"/>
        <v>20900</v>
      </c>
      <c r="BK460" s="14">
        <f>SUMIFS(BJ$4:BJ460,$AU$4:$AU460,"="&amp;$AU460,$AY$4:$AY460,"="&amp;$AY460)</f>
        <v>68090</v>
      </c>
    </row>
    <row r="461" spans="46:63" ht="16.5" x14ac:dyDescent="0.2">
      <c r="AT461" s="13">
        <v>458</v>
      </c>
      <c r="AU461" s="13">
        <f t="shared" si="195"/>
        <v>6</v>
      </c>
      <c r="AV461" s="14">
        <f t="shared" si="196"/>
        <v>200706</v>
      </c>
      <c r="AW461" s="14">
        <f t="shared" si="197"/>
        <v>1102007</v>
      </c>
      <c r="AX461" s="13" t="s">
        <v>1127</v>
      </c>
      <c r="AY461" s="13">
        <f t="shared" si="198"/>
        <v>6</v>
      </c>
      <c r="AZ461" s="13" t="s">
        <v>1148</v>
      </c>
      <c r="BA461" s="14">
        <f t="shared" si="199"/>
        <v>7</v>
      </c>
      <c r="BB461" s="14" t="str">
        <f t="shared" si="200"/>
        <v>天使缇娜魂珠-6 等级-7</v>
      </c>
      <c r="BC461" s="25" t="s">
        <v>1156</v>
      </c>
      <c r="BD461" s="14">
        <f t="shared" si="201"/>
        <v>1380</v>
      </c>
      <c r="BE461" s="14">
        <f>SUMIFS(BD$4:BD461,$AU$4:$AU461,"="&amp;$AU461,$AY$4:$AY461,"="&amp;$AY461)</f>
        <v>5094</v>
      </c>
      <c r="BF461" s="25" t="s">
        <v>1157</v>
      </c>
      <c r="BG461" s="14">
        <f t="shared" si="202"/>
        <v>633</v>
      </c>
      <c r="BH461" s="14">
        <f>SUMIFS(BG$4:BG461,AU$4:AU461,"="&amp;AU461,AY$4:AY461,"="&amp;AY461)</f>
        <v>2336</v>
      </c>
      <c r="BI461" s="25" t="s">
        <v>1158</v>
      </c>
      <c r="BJ461" s="14">
        <f t="shared" si="203"/>
        <v>25300</v>
      </c>
      <c r="BK461" s="14">
        <f>SUMIFS(BJ$4:BJ461,$AU$4:$AU461,"="&amp;$AU461,$AY$4:$AY461,"="&amp;$AY461)</f>
        <v>93390</v>
      </c>
    </row>
    <row r="462" spans="46:63" ht="16.5" x14ac:dyDescent="0.2">
      <c r="AT462" s="13">
        <v>459</v>
      </c>
      <c r="AU462" s="13">
        <f t="shared" si="195"/>
        <v>6</v>
      </c>
      <c r="AV462" s="14">
        <f t="shared" si="196"/>
        <v>200706</v>
      </c>
      <c r="AW462" s="14">
        <f t="shared" si="197"/>
        <v>1102007</v>
      </c>
      <c r="AX462" s="13" t="s">
        <v>1127</v>
      </c>
      <c r="AY462" s="13">
        <f t="shared" si="198"/>
        <v>6</v>
      </c>
      <c r="AZ462" s="13" t="s">
        <v>1148</v>
      </c>
      <c r="BA462" s="14">
        <f t="shared" si="199"/>
        <v>8</v>
      </c>
      <c r="BB462" s="14" t="str">
        <f t="shared" si="200"/>
        <v>天使缇娜魂珠-6 等级-8</v>
      </c>
      <c r="BC462" s="25" t="s">
        <v>1156</v>
      </c>
      <c r="BD462" s="14">
        <f t="shared" si="201"/>
        <v>1560</v>
      </c>
      <c r="BE462" s="14">
        <f>SUMIFS(BD$4:BD462,$AU$4:$AU462,"="&amp;$AU462,$AY$4:$AY462,"="&amp;$AY462)</f>
        <v>6654</v>
      </c>
      <c r="BF462" s="25" t="s">
        <v>1157</v>
      </c>
      <c r="BG462" s="14">
        <f t="shared" si="202"/>
        <v>715</v>
      </c>
      <c r="BH462" s="14">
        <f>SUMIFS(BG$4:BG462,AU$4:AU462,"="&amp;AU462,AY$4:AY462,"="&amp;AY462)</f>
        <v>3051</v>
      </c>
      <c r="BI462" s="25" t="s">
        <v>1158</v>
      </c>
      <c r="BJ462" s="14">
        <f t="shared" si="203"/>
        <v>28600</v>
      </c>
      <c r="BK462" s="14">
        <f>SUMIFS(BJ$4:BJ462,$AU$4:$AU462,"="&amp;$AU462,$AY$4:$AY462,"="&amp;$AY462)</f>
        <v>121990</v>
      </c>
    </row>
    <row r="463" spans="46:63" ht="16.5" x14ac:dyDescent="0.2">
      <c r="AT463" s="13">
        <v>460</v>
      </c>
      <c r="AU463" s="13">
        <f t="shared" si="195"/>
        <v>6</v>
      </c>
      <c r="AV463" s="14">
        <f t="shared" si="196"/>
        <v>200706</v>
      </c>
      <c r="AW463" s="14">
        <f t="shared" si="197"/>
        <v>1102007</v>
      </c>
      <c r="AX463" s="13" t="s">
        <v>1127</v>
      </c>
      <c r="AY463" s="13">
        <f t="shared" si="198"/>
        <v>6</v>
      </c>
      <c r="AZ463" s="13" t="s">
        <v>1148</v>
      </c>
      <c r="BA463" s="14">
        <f t="shared" si="199"/>
        <v>9</v>
      </c>
      <c r="BB463" s="14" t="str">
        <f t="shared" si="200"/>
        <v>天使缇娜魂珠-6 等级-9</v>
      </c>
      <c r="BC463" s="25" t="s">
        <v>1156</v>
      </c>
      <c r="BD463" s="14">
        <f t="shared" si="201"/>
        <v>1800</v>
      </c>
      <c r="BE463" s="14">
        <f>SUMIFS(BD$4:BD463,$AU$4:$AU463,"="&amp;$AU463,$AY$4:$AY463,"="&amp;$AY463)</f>
        <v>8454</v>
      </c>
      <c r="BF463" s="25" t="s">
        <v>1157</v>
      </c>
      <c r="BG463" s="14">
        <f t="shared" si="202"/>
        <v>825</v>
      </c>
      <c r="BH463" s="14">
        <f>SUMIFS(BG$4:BG463,AU$4:AU463,"="&amp;AU463,AY$4:AY463,"="&amp;AY463)</f>
        <v>3876</v>
      </c>
      <c r="BI463" s="25" t="s">
        <v>1158</v>
      </c>
      <c r="BJ463" s="14">
        <f t="shared" si="203"/>
        <v>33000</v>
      </c>
      <c r="BK463" s="14">
        <f>SUMIFS(BJ$4:BJ463,$AU$4:$AU463,"="&amp;$AU463,$AY$4:$AY463,"="&amp;$AY463)</f>
        <v>154990</v>
      </c>
    </row>
    <row r="464" spans="46:63" ht="16.5" x14ac:dyDescent="0.2">
      <c r="AT464" s="13">
        <v>461</v>
      </c>
      <c r="AU464" s="13">
        <f t="shared" si="195"/>
        <v>6</v>
      </c>
      <c r="AV464" s="14">
        <f t="shared" si="196"/>
        <v>200707</v>
      </c>
      <c r="AW464" s="14">
        <f t="shared" si="197"/>
        <v>1102007</v>
      </c>
      <c r="AX464" s="13" t="s">
        <v>1127</v>
      </c>
      <c r="AY464" s="13">
        <f t="shared" si="198"/>
        <v>7</v>
      </c>
      <c r="AZ464" s="13" t="s">
        <v>1148</v>
      </c>
      <c r="BA464" s="14">
        <f t="shared" si="199"/>
        <v>0</v>
      </c>
      <c r="BB464" s="14" t="str">
        <f t="shared" si="200"/>
        <v>天使缇娜魂珠-7 等级-0</v>
      </c>
      <c r="BC464" s="25" t="s">
        <v>1156</v>
      </c>
      <c r="BD464" s="14">
        <f t="shared" si="201"/>
        <v>0</v>
      </c>
      <c r="BE464" s="14">
        <f>SUMIFS(BD$4:BD464,$AU$4:$AU464,"="&amp;$AU464,$AY$4:$AY464,"="&amp;$AY464)</f>
        <v>0</v>
      </c>
      <c r="BF464" s="25" t="s">
        <v>1157</v>
      </c>
      <c r="BG464" s="14">
        <f t="shared" si="202"/>
        <v>0</v>
      </c>
      <c r="BH464" s="14">
        <f>SUMIFS(BG$4:BG464,AU$4:AU464,"="&amp;AU464,AY$4:AY464,"="&amp;AY464)</f>
        <v>0</v>
      </c>
      <c r="BI464" s="25" t="s">
        <v>1158</v>
      </c>
      <c r="BJ464" s="14">
        <f t="shared" si="203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5"/>
        <v>6</v>
      </c>
      <c r="AV465" s="14">
        <f t="shared" si="196"/>
        <v>200707</v>
      </c>
      <c r="AW465" s="14">
        <f t="shared" si="197"/>
        <v>1102007</v>
      </c>
      <c r="AX465" s="13" t="s">
        <v>1127</v>
      </c>
      <c r="AY465" s="13">
        <f t="shared" si="198"/>
        <v>7</v>
      </c>
      <c r="AZ465" s="13" t="s">
        <v>1148</v>
      </c>
      <c r="BA465" s="14">
        <f t="shared" si="199"/>
        <v>1</v>
      </c>
      <c r="BB465" s="14" t="str">
        <f t="shared" si="200"/>
        <v>天使缇娜魂珠-7 等级-1</v>
      </c>
      <c r="BC465" s="25" t="s">
        <v>1156</v>
      </c>
      <c r="BD465" s="14">
        <f t="shared" si="201"/>
        <v>288</v>
      </c>
      <c r="BE465" s="14">
        <f>SUMIFS(BD$4:BD465,$AU$4:$AU465,"="&amp;$AU465,$AY$4:$AY465,"="&amp;$AY465)</f>
        <v>288</v>
      </c>
      <c r="BF465" s="25" t="s">
        <v>1157</v>
      </c>
      <c r="BG465" s="14">
        <f t="shared" si="202"/>
        <v>132</v>
      </c>
      <c r="BH465" s="14">
        <f>SUMIFS(BG$4:BG465,AU$4:AU465,"="&amp;AU465,AY$4:AY465,"="&amp;AY465)</f>
        <v>132</v>
      </c>
      <c r="BI465" s="25" t="s">
        <v>1158</v>
      </c>
      <c r="BJ465" s="14">
        <f t="shared" si="203"/>
        <v>5280</v>
      </c>
      <c r="BK465" s="14">
        <f>SUMIFS(BJ$4:BJ465,$AU$4:$AU465,"="&amp;$AU465,$AY$4:$AY465,"="&amp;$AY465)</f>
        <v>5280</v>
      </c>
    </row>
    <row r="466" spans="46:63" ht="16.5" x14ac:dyDescent="0.2">
      <c r="AT466" s="13">
        <v>463</v>
      </c>
      <c r="AU466" s="13">
        <f t="shared" si="195"/>
        <v>6</v>
      </c>
      <c r="AV466" s="14">
        <f t="shared" si="196"/>
        <v>200707</v>
      </c>
      <c r="AW466" s="14">
        <f t="shared" si="197"/>
        <v>1102007</v>
      </c>
      <c r="AX466" s="13" t="s">
        <v>1127</v>
      </c>
      <c r="AY466" s="13">
        <f t="shared" si="198"/>
        <v>7</v>
      </c>
      <c r="AZ466" s="13" t="s">
        <v>1148</v>
      </c>
      <c r="BA466" s="14">
        <f t="shared" si="199"/>
        <v>2</v>
      </c>
      <c r="BB466" s="14" t="str">
        <f t="shared" si="200"/>
        <v>天使缇娜魂珠-7 等级-2</v>
      </c>
      <c r="BC466" s="25" t="s">
        <v>1156</v>
      </c>
      <c r="BD466" s="14">
        <f t="shared" si="201"/>
        <v>432</v>
      </c>
      <c r="BE466" s="14">
        <f>SUMIFS(BD$4:BD466,$AU$4:$AU466,"="&amp;$AU466,$AY$4:$AY466,"="&amp;$AY466)</f>
        <v>720</v>
      </c>
      <c r="BF466" s="25" t="s">
        <v>1157</v>
      </c>
      <c r="BG466" s="14">
        <f t="shared" si="202"/>
        <v>198</v>
      </c>
      <c r="BH466" s="14">
        <f>SUMIFS(BG$4:BG466,AU$4:AU466,"="&amp;AU466,AY$4:AY466,"="&amp;AY466)</f>
        <v>330</v>
      </c>
      <c r="BI466" s="25" t="s">
        <v>1158</v>
      </c>
      <c r="BJ466" s="14">
        <f t="shared" si="203"/>
        <v>7920</v>
      </c>
      <c r="BK466" s="14">
        <f>SUMIFS(BJ$4:BJ466,$AU$4:$AU466,"="&amp;$AU466,$AY$4:$AY466,"="&amp;$AY466)</f>
        <v>13200</v>
      </c>
    </row>
    <row r="467" spans="46:63" ht="16.5" x14ac:dyDescent="0.2">
      <c r="AT467" s="13">
        <v>464</v>
      </c>
      <c r="AU467" s="13">
        <f t="shared" si="195"/>
        <v>6</v>
      </c>
      <c r="AV467" s="14">
        <f t="shared" si="196"/>
        <v>200707</v>
      </c>
      <c r="AW467" s="14">
        <f t="shared" si="197"/>
        <v>1102007</v>
      </c>
      <c r="AX467" s="13" t="s">
        <v>1127</v>
      </c>
      <c r="AY467" s="13">
        <f t="shared" si="198"/>
        <v>7</v>
      </c>
      <c r="AZ467" s="13" t="s">
        <v>1148</v>
      </c>
      <c r="BA467" s="14">
        <f t="shared" si="199"/>
        <v>3</v>
      </c>
      <c r="BB467" s="14" t="str">
        <f t="shared" si="200"/>
        <v>天使缇娜魂珠-7 等级-3</v>
      </c>
      <c r="BC467" s="25" t="s">
        <v>1156</v>
      </c>
      <c r="BD467" s="14">
        <f t="shared" si="201"/>
        <v>576</v>
      </c>
      <c r="BE467" s="14">
        <f>SUMIFS(BD$4:BD467,$AU$4:$AU467,"="&amp;$AU467,$AY$4:$AY467,"="&amp;$AY467)</f>
        <v>1296</v>
      </c>
      <c r="BF467" s="25" t="s">
        <v>1157</v>
      </c>
      <c r="BG467" s="14">
        <f t="shared" si="202"/>
        <v>264</v>
      </c>
      <c r="BH467" s="14">
        <f>SUMIFS(BG$4:BG467,AU$4:AU467,"="&amp;AU467,AY$4:AY467,"="&amp;AY467)</f>
        <v>594</v>
      </c>
      <c r="BI467" s="25" t="s">
        <v>1158</v>
      </c>
      <c r="BJ467" s="14">
        <f t="shared" si="203"/>
        <v>10560</v>
      </c>
      <c r="BK467" s="14">
        <f>SUMIFS(BJ$4:BJ467,$AU$4:$AU467,"="&amp;$AU467,$AY$4:$AY467,"="&amp;$AY467)</f>
        <v>23760</v>
      </c>
    </row>
    <row r="468" spans="46:63" ht="16.5" x14ac:dyDescent="0.2">
      <c r="AT468" s="13">
        <v>465</v>
      </c>
      <c r="AU468" s="13">
        <f t="shared" si="195"/>
        <v>6</v>
      </c>
      <c r="AV468" s="14">
        <f t="shared" si="196"/>
        <v>200707</v>
      </c>
      <c r="AW468" s="14">
        <f t="shared" si="197"/>
        <v>1102007</v>
      </c>
      <c r="AX468" s="13" t="s">
        <v>1127</v>
      </c>
      <c r="AY468" s="13">
        <f t="shared" si="198"/>
        <v>7</v>
      </c>
      <c r="AZ468" s="13" t="s">
        <v>1148</v>
      </c>
      <c r="BA468" s="14">
        <f t="shared" si="199"/>
        <v>4</v>
      </c>
      <c r="BB468" s="14" t="str">
        <f t="shared" si="200"/>
        <v>天使缇娜魂珠-7 等级-4</v>
      </c>
      <c r="BC468" s="25" t="s">
        <v>1156</v>
      </c>
      <c r="BD468" s="14">
        <f t="shared" si="201"/>
        <v>864</v>
      </c>
      <c r="BE468" s="14">
        <f>SUMIFS(BD$4:BD468,$AU$4:$AU468,"="&amp;$AU468,$AY$4:$AY468,"="&amp;$AY468)</f>
        <v>2160</v>
      </c>
      <c r="BF468" s="25" t="s">
        <v>1157</v>
      </c>
      <c r="BG468" s="14">
        <f t="shared" si="202"/>
        <v>396</v>
      </c>
      <c r="BH468" s="14">
        <f>SUMIFS(BG$4:BG468,AU$4:AU468,"="&amp;AU468,AY$4:AY468,"="&amp;AY468)</f>
        <v>990</v>
      </c>
      <c r="BI468" s="25" t="s">
        <v>1158</v>
      </c>
      <c r="BJ468" s="14">
        <f t="shared" si="203"/>
        <v>15840</v>
      </c>
      <c r="BK468" s="14">
        <f>SUMIFS(BJ$4:BJ468,$AU$4:$AU468,"="&amp;$AU468,$AY$4:$AY468,"="&amp;$AY468)</f>
        <v>39600</v>
      </c>
    </row>
    <row r="469" spans="46:63" ht="16.5" x14ac:dyDescent="0.2">
      <c r="AT469" s="13">
        <v>466</v>
      </c>
      <c r="AU469" s="13">
        <f t="shared" si="195"/>
        <v>6</v>
      </c>
      <c r="AV469" s="14">
        <f t="shared" si="196"/>
        <v>200707</v>
      </c>
      <c r="AW469" s="14">
        <f t="shared" si="197"/>
        <v>1102007</v>
      </c>
      <c r="AX469" s="13" t="s">
        <v>1127</v>
      </c>
      <c r="AY469" s="13">
        <f t="shared" si="198"/>
        <v>7</v>
      </c>
      <c r="AZ469" s="13" t="s">
        <v>1148</v>
      </c>
      <c r="BA469" s="14">
        <f t="shared" si="199"/>
        <v>5</v>
      </c>
      <c r="BB469" s="14" t="str">
        <f t="shared" si="200"/>
        <v>天使缇娜魂珠-7 等级-5</v>
      </c>
      <c r="BC469" s="25" t="s">
        <v>1156</v>
      </c>
      <c r="BD469" s="14">
        <f t="shared" si="201"/>
        <v>1152</v>
      </c>
      <c r="BE469" s="14">
        <f>SUMIFS(BD$4:BD469,$AU$4:$AU469,"="&amp;$AU469,$AY$4:$AY469,"="&amp;$AY469)</f>
        <v>3312</v>
      </c>
      <c r="BF469" s="25" t="s">
        <v>1157</v>
      </c>
      <c r="BG469" s="14">
        <f t="shared" si="202"/>
        <v>528</v>
      </c>
      <c r="BH469" s="14">
        <f>SUMIFS(BG$4:BG469,AU$4:AU469,"="&amp;AU469,AY$4:AY469,"="&amp;AY469)</f>
        <v>1518</v>
      </c>
      <c r="BI469" s="25" t="s">
        <v>1158</v>
      </c>
      <c r="BJ469" s="14">
        <f t="shared" si="203"/>
        <v>21120</v>
      </c>
      <c r="BK469" s="14">
        <f>SUMIFS(BJ$4:BJ469,$AU$4:$AU469,"="&amp;$AU469,$AY$4:$AY469,"="&amp;$AY469)</f>
        <v>60720</v>
      </c>
    </row>
    <row r="470" spans="46:63" ht="16.5" x14ac:dyDescent="0.2">
      <c r="AT470" s="13">
        <v>467</v>
      </c>
      <c r="AU470" s="13">
        <f t="shared" si="195"/>
        <v>6</v>
      </c>
      <c r="AV470" s="14">
        <f t="shared" si="196"/>
        <v>200707</v>
      </c>
      <c r="AW470" s="14">
        <f t="shared" si="197"/>
        <v>1102007</v>
      </c>
      <c r="AX470" s="13" t="s">
        <v>1127</v>
      </c>
      <c r="AY470" s="13">
        <f t="shared" si="198"/>
        <v>7</v>
      </c>
      <c r="AZ470" s="13" t="s">
        <v>1148</v>
      </c>
      <c r="BA470" s="14">
        <f t="shared" si="199"/>
        <v>6</v>
      </c>
      <c r="BB470" s="14" t="str">
        <f t="shared" si="200"/>
        <v>天使缇娜魂珠-7 等级-6</v>
      </c>
      <c r="BC470" s="25" t="s">
        <v>1156</v>
      </c>
      <c r="BD470" s="14">
        <f t="shared" si="201"/>
        <v>1440</v>
      </c>
      <c r="BE470" s="14">
        <f>SUMIFS(BD$4:BD470,$AU$4:$AU470,"="&amp;$AU470,$AY$4:$AY470,"="&amp;$AY470)</f>
        <v>4752</v>
      </c>
      <c r="BF470" s="25" t="s">
        <v>1157</v>
      </c>
      <c r="BG470" s="14">
        <f t="shared" si="202"/>
        <v>660</v>
      </c>
      <c r="BH470" s="14">
        <f>SUMIFS(BG$4:BG470,AU$4:AU470,"="&amp;AU470,AY$4:AY470,"="&amp;AY470)</f>
        <v>2178</v>
      </c>
      <c r="BI470" s="25" t="s">
        <v>1158</v>
      </c>
      <c r="BJ470" s="14">
        <f t="shared" si="203"/>
        <v>26400</v>
      </c>
      <c r="BK470" s="14">
        <f>SUMIFS(BJ$4:BJ470,$AU$4:$AU470,"="&amp;$AU470,$AY$4:$AY470,"="&amp;$AY470)</f>
        <v>87120</v>
      </c>
    </row>
    <row r="471" spans="46:63" ht="16.5" x14ac:dyDescent="0.2">
      <c r="AT471" s="13">
        <v>468</v>
      </c>
      <c r="AU471" s="13">
        <f t="shared" si="195"/>
        <v>6</v>
      </c>
      <c r="AV471" s="14">
        <f t="shared" si="196"/>
        <v>200707</v>
      </c>
      <c r="AW471" s="14">
        <f t="shared" si="197"/>
        <v>1102007</v>
      </c>
      <c r="AX471" s="13" t="s">
        <v>1127</v>
      </c>
      <c r="AY471" s="13">
        <f t="shared" si="198"/>
        <v>7</v>
      </c>
      <c r="AZ471" s="13" t="s">
        <v>1148</v>
      </c>
      <c r="BA471" s="14">
        <f t="shared" si="199"/>
        <v>7</v>
      </c>
      <c r="BB471" s="14" t="str">
        <f t="shared" si="200"/>
        <v>天使缇娜魂珠-7 等级-7</v>
      </c>
      <c r="BC471" s="25" t="s">
        <v>1156</v>
      </c>
      <c r="BD471" s="14">
        <f t="shared" si="201"/>
        <v>1728</v>
      </c>
      <c r="BE471" s="14">
        <f>SUMIFS(BD$4:BD471,$AU$4:$AU471,"="&amp;$AU471,$AY$4:$AY471,"="&amp;$AY471)</f>
        <v>6480</v>
      </c>
      <c r="BF471" s="25" t="s">
        <v>1157</v>
      </c>
      <c r="BG471" s="14">
        <f t="shared" si="202"/>
        <v>792</v>
      </c>
      <c r="BH471" s="14">
        <f>SUMIFS(BG$4:BG471,AU$4:AU471,"="&amp;AU471,AY$4:AY471,"="&amp;AY471)</f>
        <v>2970</v>
      </c>
      <c r="BI471" s="25" t="s">
        <v>1158</v>
      </c>
      <c r="BJ471" s="14">
        <f t="shared" si="203"/>
        <v>31680</v>
      </c>
      <c r="BK471" s="14">
        <f>SUMIFS(BJ$4:BJ471,$AU$4:$AU471,"="&amp;$AU471,$AY$4:$AY471,"="&amp;$AY471)</f>
        <v>118800</v>
      </c>
    </row>
    <row r="472" spans="46:63" ht="16.5" x14ac:dyDescent="0.2">
      <c r="AT472" s="13">
        <v>469</v>
      </c>
      <c r="AU472" s="13">
        <f t="shared" si="195"/>
        <v>6</v>
      </c>
      <c r="AV472" s="14">
        <f t="shared" si="196"/>
        <v>200707</v>
      </c>
      <c r="AW472" s="14">
        <f t="shared" si="197"/>
        <v>1102007</v>
      </c>
      <c r="AX472" s="13" t="s">
        <v>1127</v>
      </c>
      <c r="AY472" s="13">
        <f t="shared" si="198"/>
        <v>7</v>
      </c>
      <c r="AZ472" s="13" t="s">
        <v>1148</v>
      </c>
      <c r="BA472" s="14">
        <f t="shared" si="199"/>
        <v>8</v>
      </c>
      <c r="BB472" s="14" t="str">
        <f t="shared" si="200"/>
        <v>天使缇娜魂珠-7 等级-8</v>
      </c>
      <c r="BC472" s="25" t="s">
        <v>1156</v>
      </c>
      <c r="BD472" s="14">
        <f t="shared" si="201"/>
        <v>2016</v>
      </c>
      <c r="BE472" s="14">
        <f>SUMIFS(BD$4:BD472,$AU$4:$AU472,"="&amp;$AU472,$AY$4:$AY472,"="&amp;$AY472)</f>
        <v>8496</v>
      </c>
      <c r="BF472" s="25" t="s">
        <v>1157</v>
      </c>
      <c r="BG472" s="14">
        <f t="shared" si="202"/>
        <v>924</v>
      </c>
      <c r="BH472" s="14">
        <f>SUMIFS(BG$4:BG472,AU$4:AU472,"="&amp;AU472,AY$4:AY472,"="&amp;AY472)</f>
        <v>3894</v>
      </c>
      <c r="BI472" s="25" t="s">
        <v>1158</v>
      </c>
      <c r="BJ472" s="14">
        <f t="shared" si="203"/>
        <v>36960</v>
      </c>
      <c r="BK472" s="14">
        <f>SUMIFS(BJ$4:BJ472,$AU$4:$AU472,"="&amp;$AU472,$AY$4:$AY472,"="&amp;$AY472)</f>
        <v>155760</v>
      </c>
    </row>
    <row r="473" spans="46:63" ht="16.5" x14ac:dyDescent="0.2">
      <c r="AT473" s="13">
        <v>470</v>
      </c>
      <c r="AU473" s="13">
        <f t="shared" si="195"/>
        <v>6</v>
      </c>
      <c r="AV473" s="14">
        <f t="shared" si="196"/>
        <v>200707</v>
      </c>
      <c r="AW473" s="14">
        <f t="shared" si="197"/>
        <v>1102007</v>
      </c>
      <c r="AX473" s="13" t="s">
        <v>1127</v>
      </c>
      <c r="AY473" s="13">
        <f t="shared" si="198"/>
        <v>7</v>
      </c>
      <c r="AZ473" s="13" t="s">
        <v>1148</v>
      </c>
      <c r="BA473" s="14">
        <f t="shared" si="199"/>
        <v>9</v>
      </c>
      <c r="BB473" s="14" t="str">
        <f t="shared" si="200"/>
        <v>天使缇娜魂珠-7 等级-9</v>
      </c>
      <c r="BC473" s="25" t="s">
        <v>1156</v>
      </c>
      <c r="BD473" s="14">
        <f t="shared" si="201"/>
        <v>2304</v>
      </c>
      <c r="BE473" s="14">
        <f>SUMIFS(BD$4:BD473,$AU$4:$AU473,"="&amp;$AU473,$AY$4:$AY473,"="&amp;$AY473)</f>
        <v>10800</v>
      </c>
      <c r="BF473" s="25" t="s">
        <v>1157</v>
      </c>
      <c r="BG473" s="14">
        <f t="shared" si="202"/>
        <v>1056</v>
      </c>
      <c r="BH473" s="14">
        <f>SUMIFS(BG$4:BG473,AU$4:AU473,"="&amp;AU473,AY$4:AY473,"="&amp;AY473)</f>
        <v>4950</v>
      </c>
      <c r="BI473" s="25" t="s">
        <v>1158</v>
      </c>
      <c r="BJ473" s="14">
        <f t="shared" si="203"/>
        <v>42240</v>
      </c>
      <c r="BK473" s="14">
        <f>SUMIFS(BJ$4:BJ473,$AU$4:$AU473,"="&amp;$AU473,$AY$4:$AY473,"="&amp;$AY473)</f>
        <v>198000</v>
      </c>
    </row>
    <row r="474" spans="46:63" ht="16.5" x14ac:dyDescent="0.2">
      <c r="AT474" s="13">
        <v>471</v>
      </c>
      <c r="AU474" s="13">
        <f t="shared" si="195"/>
        <v>6</v>
      </c>
      <c r="AV474" s="14">
        <f t="shared" si="196"/>
        <v>200708</v>
      </c>
      <c r="AW474" s="14">
        <f t="shared" si="197"/>
        <v>1102007</v>
      </c>
      <c r="AX474" s="13" t="s">
        <v>1127</v>
      </c>
      <c r="AY474" s="13">
        <f t="shared" si="198"/>
        <v>8</v>
      </c>
      <c r="AZ474" s="13" t="s">
        <v>1148</v>
      </c>
      <c r="BA474" s="14">
        <f t="shared" si="199"/>
        <v>0</v>
      </c>
      <c r="BB474" s="14" t="str">
        <f t="shared" si="200"/>
        <v>天使缇娜魂珠-8 等级-0</v>
      </c>
      <c r="BC474" s="25" t="s">
        <v>1156</v>
      </c>
      <c r="BD474" s="14">
        <f t="shared" si="201"/>
        <v>0</v>
      </c>
      <c r="BE474" s="14">
        <f>SUMIFS(BD$4:BD474,$AU$4:$AU474,"="&amp;$AU474,$AY$4:$AY474,"="&amp;$AY474)</f>
        <v>0</v>
      </c>
      <c r="BF474" s="25" t="s">
        <v>1157</v>
      </c>
      <c r="BG474" s="14">
        <f t="shared" si="202"/>
        <v>0</v>
      </c>
      <c r="BH474" s="14">
        <f>SUMIFS(BG$4:BG474,AU$4:AU474,"="&amp;AU474,AY$4:AY474,"="&amp;AY474)</f>
        <v>0</v>
      </c>
      <c r="BI474" s="25" t="s">
        <v>1158</v>
      </c>
      <c r="BJ474" s="14">
        <f t="shared" si="203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5"/>
        <v>6</v>
      </c>
      <c r="AV475" s="14">
        <f t="shared" si="196"/>
        <v>200708</v>
      </c>
      <c r="AW475" s="14">
        <f t="shared" si="197"/>
        <v>1102007</v>
      </c>
      <c r="AX475" s="13" t="s">
        <v>1127</v>
      </c>
      <c r="AY475" s="13">
        <f t="shared" si="198"/>
        <v>8</v>
      </c>
      <c r="AZ475" s="13" t="s">
        <v>1148</v>
      </c>
      <c r="BA475" s="14">
        <f t="shared" si="199"/>
        <v>1</v>
      </c>
      <c r="BB475" s="14" t="str">
        <f t="shared" si="200"/>
        <v>天使缇娜魂珠-8 等级-1</v>
      </c>
      <c r="BC475" s="25" t="s">
        <v>1156</v>
      </c>
      <c r="BD475" s="14">
        <f t="shared" si="201"/>
        <v>384</v>
      </c>
      <c r="BE475" s="14">
        <f>SUMIFS(BD$4:BD475,$AU$4:$AU475,"="&amp;$AU475,$AY$4:$AY475,"="&amp;$AY475)</f>
        <v>384</v>
      </c>
      <c r="BF475" s="25" t="s">
        <v>1157</v>
      </c>
      <c r="BG475" s="14">
        <f t="shared" si="202"/>
        <v>176</v>
      </c>
      <c r="BH475" s="14">
        <f>SUMIFS(BG$4:BG475,AU$4:AU475,"="&amp;AU475,AY$4:AY475,"="&amp;AY475)</f>
        <v>176</v>
      </c>
      <c r="BI475" s="25" t="s">
        <v>1158</v>
      </c>
      <c r="BJ475" s="14">
        <f t="shared" si="203"/>
        <v>7040</v>
      </c>
      <c r="BK475" s="14">
        <f>SUMIFS(BJ$4:BJ475,$AU$4:$AU475,"="&amp;$AU475,$AY$4:$AY475,"="&amp;$AY475)</f>
        <v>7040</v>
      </c>
    </row>
    <row r="476" spans="46:63" ht="16.5" x14ac:dyDescent="0.2">
      <c r="AT476" s="13">
        <v>473</v>
      </c>
      <c r="AU476" s="13">
        <f t="shared" si="195"/>
        <v>6</v>
      </c>
      <c r="AV476" s="14">
        <f t="shared" si="196"/>
        <v>200708</v>
      </c>
      <c r="AW476" s="14">
        <f t="shared" si="197"/>
        <v>1102007</v>
      </c>
      <c r="AX476" s="13" t="s">
        <v>1127</v>
      </c>
      <c r="AY476" s="13">
        <f t="shared" si="198"/>
        <v>8</v>
      </c>
      <c r="AZ476" s="13" t="s">
        <v>1148</v>
      </c>
      <c r="BA476" s="14">
        <f t="shared" si="199"/>
        <v>2</v>
      </c>
      <c r="BB476" s="14" t="str">
        <f t="shared" si="200"/>
        <v>天使缇娜魂珠-8 等级-2</v>
      </c>
      <c r="BC476" s="25" t="s">
        <v>1156</v>
      </c>
      <c r="BD476" s="14">
        <f t="shared" si="201"/>
        <v>576</v>
      </c>
      <c r="BE476" s="14">
        <f>SUMIFS(BD$4:BD476,$AU$4:$AU476,"="&amp;$AU476,$AY$4:$AY476,"="&amp;$AY476)</f>
        <v>960</v>
      </c>
      <c r="BF476" s="25" t="s">
        <v>1157</v>
      </c>
      <c r="BG476" s="14">
        <f t="shared" si="202"/>
        <v>264</v>
      </c>
      <c r="BH476" s="14">
        <f>SUMIFS(BG$4:BG476,AU$4:AU476,"="&amp;AU476,AY$4:AY476,"="&amp;AY476)</f>
        <v>440</v>
      </c>
      <c r="BI476" s="25" t="s">
        <v>1158</v>
      </c>
      <c r="BJ476" s="14">
        <f t="shared" si="203"/>
        <v>10560</v>
      </c>
      <c r="BK476" s="14">
        <f>SUMIFS(BJ$4:BJ476,$AU$4:$AU476,"="&amp;$AU476,$AY$4:$AY476,"="&amp;$AY476)</f>
        <v>17600</v>
      </c>
    </row>
    <row r="477" spans="46:63" ht="16.5" x14ac:dyDescent="0.2">
      <c r="AT477" s="13">
        <v>474</v>
      </c>
      <c r="AU477" s="13">
        <f t="shared" si="195"/>
        <v>6</v>
      </c>
      <c r="AV477" s="14">
        <f t="shared" si="196"/>
        <v>200708</v>
      </c>
      <c r="AW477" s="14">
        <f t="shared" si="197"/>
        <v>1102007</v>
      </c>
      <c r="AX477" s="13" t="s">
        <v>1127</v>
      </c>
      <c r="AY477" s="13">
        <f t="shared" si="198"/>
        <v>8</v>
      </c>
      <c r="AZ477" s="13" t="s">
        <v>1148</v>
      </c>
      <c r="BA477" s="14">
        <f t="shared" si="199"/>
        <v>3</v>
      </c>
      <c r="BB477" s="14" t="str">
        <f t="shared" si="200"/>
        <v>天使缇娜魂珠-8 等级-3</v>
      </c>
      <c r="BC477" s="25" t="s">
        <v>1156</v>
      </c>
      <c r="BD477" s="14">
        <f t="shared" si="201"/>
        <v>768</v>
      </c>
      <c r="BE477" s="14">
        <f>SUMIFS(BD$4:BD477,$AU$4:$AU477,"="&amp;$AU477,$AY$4:$AY477,"="&amp;$AY477)</f>
        <v>1728</v>
      </c>
      <c r="BF477" s="25" t="s">
        <v>1157</v>
      </c>
      <c r="BG477" s="14">
        <f t="shared" si="202"/>
        <v>352</v>
      </c>
      <c r="BH477" s="14">
        <f>SUMIFS(BG$4:BG477,AU$4:AU477,"="&amp;AU477,AY$4:AY477,"="&amp;AY477)</f>
        <v>792</v>
      </c>
      <c r="BI477" s="25" t="s">
        <v>1158</v>
      </c>
      <c r="BJ477" s="14">
        <f t="shared" si="203"/>
        <v>14080</v>
      </c>
      <c r="BK477" s="14">
        <f>SUMIFS(BJ$4:BJ477,$AU$4:$AU477,"="&amp;$AU477,$AY$4:$AY477,"="&amp;$AY477)</f>
        <v>31680</v>
      </c>
    </row>
    <row r="478" spans="46:63" ht="16.5" x14ac:dyDescent="0.2">
      <c r="AT478" s="13">
        <v>475</v>
      </c>
      <c r="AU478" s="13">
        <f t="shared" si="195"/>
        <v>6</v>
      </c>
      <c r="AV478" s="14">
        <f t="shared" si="196"/>
        <v>200708</v>
      </c>
      <c r="AW478" s="14">
        <f t="shared" si="197"/>
        <v>1102007</v>
      </c>
      <c r="AX478" s="13" t="s">
        <v>1127</v>
      </c>
      <c r="AY478" s="13">
        <f t="shared" si="198"/>
        <v>8</v>
      </c>
      <c r="AZ478" s="13" t="s">
        <v>1148</v>
      </c>
      <c r="BA478" s="14">
        <f t="shared" si="199"/>
        <v>4</v>
      </c>
      <c r="BB478" s="14" t="str">
        <f t="shared" si="200"/>
        <v>天使缇娜魂珠-8 等级-4</v>
      </c>
      <c r="BC478" s="25" t="s">
        <v>1156</v>
      </c>
      <c r="BD478" s="14">
        <f t="shared" si="201"/>
        <v>1152</v>
      </c>
      <c r="BE478" s="14">
        <f>SUMIFS(BD$4:BD478,$AU$4:$AU478,"="&amp;$AU478,$AY$4:$AY478,"="&amp;$AY478)</f>
        <v>2880</v>
      </c>
      <c r="BF478" s="25" t="s">
        <v>1157</v>
      </c>
      <c r="BG478" s="14">
        <f t="shared" si="202"/>
        <v>528</v>
      </c>
      <c r="BH478" s="14">
        <f>SUMIFS(BG$4:BG478,AU$4:AU478,"="&amp;AU478,AY$4:AY478,"="&amp;AY478)</f>
        <v>1320</v>
      </c>
      <c r="BI478" s="25" t="s">
        <v>1158</v>
      </c>
      <c r="BJ478" s="14">
        <f t="shared" si="203"/>
        <v>21120</v>
      </c>
      <c r="BK478" s="14">
        <f>SUMIFS(BJ$4:BJ478,$AU$4:$AU478,"="&amp;$AU478,$AY$4:$AY478,"="&amp;$AY478)</f>
        <v>52800</v>
      </c>
    </row>
    <row r="479" spans="46:63" ht="16.5" x14ac:dyDescent="0.2">
      <c r="AT479" s="13">
        <v>476</v>
      </c>
      <c r="AU479" s="13">
        <f t="shared" si="195"/>
        <v>6</v>
      </c>
      <c r="AV479" s="14">
        <f t="shared" si="196"/>
        <v>200708</v>
      </c>
      <c r="AW479" s="14">
        <f t="shared" si="197"/>
        <v>1102007</v>
      </c>
      <c r="AX479" s="13" t="s">
        <v>1127</v>
      </c>
      <c r="AY479" s="13">
        <f t="shared" si="198"/>
        <v>8</v>
      </c>
      <c r="AZ479" s="13" t="s">
        <v>1148</v>
      </c>
      <c r="BA479" s="14">
        <f t="shared" si="199"/>
        <v>5</v>
      </c>
      <c r="BB479" s="14" t="str">
        <f t="shared" si="200"/>
        <v>天使缇娜魂珠-8 等级-5</v>
      </c>
      <c r="BC479" s="25" t="s">
        <v>1156</v>
      </c>
      <c r="BD479" s="14">
        <f t="shared" si="201"/>
        <v>1536</v>
      </c>
      <c r="BE479" s="14">
        <f>SUMIFS(BD$4:BD479,$AU$4:$AU479,"="&amp;$AU479,$AY$4:$AY479,"="&amp;$AY479)</f>
        <v>4416</v>
      </c>
      <c r="BF479" s="25" t="s">
        <v>1157</v>
      </c>
      <c r="BG479" s="14">
        <f t="shared" si="202"/>
        <v>704</v>
      </c>
      <c r="BH479" s="14">
        <f>SUMIFS(BG$4:BG479,AU$4:AU479,"="&amp;AU479,AY$4:AY479,"="&amp;AY479)</f>
        <v>2024</v>
      </c>
      <c r="BI479" s="25" t="s">
        <v>1158</v>
      </c>
      <c r="BJ479" s="14">
        <f t="shared" si="203"/>
        <v>28160</v>
      </c>
      <c r="BK479" s="14">
        <f>SUMIFS(BJ$4:BJ479,$AU$4:$AU479,"="&amp;$AU479,$AY$4:$AY479,"="&amp;$AY479)</f>
        <v>80960</v>
      </c>
    </row>
    <row r="480" spans="46:63" ht="16.5" x14ac:dyDescent="0.2">
      <c r="AT480" s="13">
        <v>477</v>
      </c>
      <c r="AU480" s="13">
        <f t="shared" si="195"/>
        <v>6</v>
      </c>
      <c r="AV480" s="14">
        <f t="shared" si="196"/>
        <v>200708</v>
      </c>
      <c r="AW480" s="14">
        <f t="shared" si="197"/>
        <v>1102007</v>
      </c>
      <c r="AX480" s="13" t="s">
        <v>1127</v>
      </c>
      <c r="AY480" s="13">
        <f t="shared" si="198"/>
        <v>8</v>
      </c>
      <c r="AZ480" s="13" t="s">
        <v>1148</v>
      </c>
      <c r="BA480" s="14">
        <f t="shared" si="199"/>
        <v>6</v>
      </c>
      <c r="BB480" s="14" t="str">
        <f t="shared" si="200"/>
        <v>天使缇娜魂珠-8 等级-6</v>
      </c>
      <c r="BC480" s="25" t="s">
        <v>1156</v>
      </c>
      <c r="BD480" s="14">
        <f t="shared" si="201"/>
        <v>1920</v>
      </c>
      <c r="BE480" s="14">
        <f>SUMIFS(BD$4:BD480,$AU$4:$AU480,"="&amp;$AU480,$AY$4:$AY480,"="&amp;$AY480)</f>
        <v>6336</v>
      </c>
      <c r="BF480" s="25" t="s">
        <v>1157</v>
      </c>
      <c r="BG480" s="14">
        <f t="shared" si="202"/>
        <v>880</v>
      </c>
      <c r="BH480" s="14">
        <f>SUMIFS(BG$4:BG480,AU$4:AU480,"="&amp;AU480,AY$4:AY480,"="&amp;AY480)</f>
        <v>2904</v>
      </c>
      <c r="BI480" s="25" t="s">
        <v>1158</v>
      </c>
      <c r="BJ480" s="14">
        <f t="shared" si="203"/>
        <v>35200</v>
      </c>
      <c r="BK480" s="14">
        <f>SUMIFS(BJ$4:BJ480,$AU$4:$AU480,"="&amp;$AU480,$AY$4:$AY480,"="&amp;$AY480)</f>
        <v>116160</v>
      </c>
    </row>
    <row r="481" spans="46:63" ht="16.5" x14ac:dyDescent="0.2">
      <c r="AT481" s="13">
        <v>478</v>
      </c>
      <c r="AU481" s="13">
        <f t="shared" si="195"/>
        <v>6</v>
      </c>
      <c r="AV481" s="14">
        <f t="shared" si="196"/>
        <v>200708</v>
      </c>
      <c r="AW481" s="14">
        <f t="shared" si="197"/>
        <v>1102007</v>
      </c>
      <c r="AX481" s="13" t="s">
        <v>1127</v>
      </c>
      <c r="AY481" s="13">
        <f t="shared" si="198"/>
        <v>8</v>
      </c>
      <c r="AZ481" s="13" t="s">
        <v>1148</v>
      </c>
      <c r="BA481" s="14">
        <f t="shared" si="199"/>
        <v>7</v>
      </c>
      <c r="BB481" s="14" t="str">
        <f t="shared" si="200"/>
        <v>天使缇娜魂珠-8 等级-7</v>
      </c>
      <c r="BC481" s="25" t="s">
        <v>1156</v>
      </c>
      <c r="BD481" s="14">
        <f t="shared" si="201"/>
        <v>2304</v>
      </c>
      <c r="BE481" s="14">
        <f>SUMIFS(BD$4:BD481,$AU$4:$AU481,"="&amp;$AU481,$AY$4:$AY481,"="&amp;$AY481)</f>
        <v>8640</v>
      </c>
      <c r="BF481" s="25" t="s">
        <v>1157</v>
      </c>
      <c r="BG481" s="14">
        <f t="shared" si="202"/>
        <v>1056</v>
      </c>
      <c r="BH481" s="14">
        <f>SUMIFS(BG$4:BG481,AU$4:AU481,"="&amp;AU481,AY$4:AY481,"="&amp;AY481)</f>
        <v>3960</v>
      </c>
      <c r="BI481" s="25" t="s">
        <v>1158</v>
      </c>
      <c r="BJ481" s="14">
        <f t="shared" si="203"/>
        <v>42240</v>
      </c>
      <c r="BK481" s="14">
        <f>SUMIFS(BJ$4:BJ481,$AU$4:$AU481,"="&amp;$AU481,$AY$4:$AY481,"="&amp;$AY481)</f>
        <v>158400</v>
      </c>
    </row>
    <row r="482" spans="46:63" ht="16.5" x14ac:dyDescent="0.2">
      <c r="AT482" s="13">
        <v>479</v>
      </c>
      <c r="AU482" s="13">
        <f t="shared" si="195"/>
        <v>6</v>
      </c>
      <c r="AV482" s="14">
        <f t="shared" si="196"/>
        <v>200708</v>
      </c>
      <c r="AW482" s="14">
        <f t="shared" si="197"/>
        <v>1102007</v>
      </c>
      <c r="AX482" s="13" t="s">
        <v>1127</v>
      </c>
      <c r="AY482" s="13">
        <f t="shared" si="198"/>
        <v>8</v>
      </c>
      <c r="AZ482" s="13" t="s">
        <v>1148</v>
      </c>
      <c r="BA482" s="14">
        <f t="shared" si="199"/>
        <v>8</v>
      </c>
      <c r="BB482" s="14" t="str">
        <f t="shared" si="200"/>
        <v>天使缇娜魂珠-8 等级-8</v>
      </c>
      <c r="BC482" s="25" t="s">
        <v>1156</v>
      </c>
      <c r="BD482" s="14">
        <f t="shared" si="201"/>
        <v>2688</v>
      </c>
      <c r="BE482" s="14">
        <f>SUMIFS(BD$4:BD482,$AU$4:$AU482,"="&amp;$AU482,$AY$4:$AY482,"="&amp;$AY482)</f>
        <v>11328</v>
      </c>
      <c r="BF482" s="25" t="s">
        <v>1157</v>
      </c>
      <c r="BG482" s="14">
        <f t="shared" si="202"/>
        <v>1232</v>
      </c>
      <c r="BH482" s="14">
        <f>SUMIFS(BG$4:BG482,AU$4:AU482,"="&amp;AU482,AY$4:AY482,"="&amp;AY482)</f>
        <v>5192</v>
      </c>
      <c r="BI482" s="25" t="s">
        <v>1158</v>
      </c>
      <c r="BJ482" s="14">
        <f t="shared" si="203"/>
        <v>49280</v>
      </c>
      <c r="BK482" s="14">
        <f>SUMIFS(BJ$4:BJ482,$AU$4:$AU482,"="&amp;$AU482,$AY$4:$AY482,"="&amp;$AY482)</f>
        <v>207680</v>
      </c>
    </row>
    <row r="483" spans="46:63" ht="16.5" x14ac:dyDescent="0.2">
      <c r="AT483" s="13">
        <v>480</v>
      </c>
      <c r="AU483" s="13">
        <f t="shared" si="195"/>
        <v>6</v>
      </c>
      <c r="AV483" s="14">
        <f t="shared" si="196"/>
        <v>200708</v>
      </c>
      <c r="AW483" s="14">
        <f t="shared" si="197"/>
        <v>1102007</v>
      </c>
      <c r="AX483" s="13" t="s">
        <v>1127</v>
      </c>
      <c r="AY483" s="13">
        <f t="shared" si="198"/>
        <v>8</v>
      </c>
      <c r="AZ483" s="13" t="s">
        <v>1148</v>
      </c>
      <c r="BA483" s="14">
        <f t="shared" si="199"/>
        <v>9</v>
      </c>
      <c r="BB483" s="14" t="str">
        <f t="shared" si="200"/>
        <v>天使缇娜魂珠-8 等级-9</v>
      </c>
      <c r="BC483" s="25" t="s">
        <v>1156</v>
      </c>
      <c r="BD483" s="14">
        <f t="shared" si="201"/>
        <v>3072</v>
      </c>
      <c r="BE483" s="14">
        <f>SUMIFS(BD$4:BD483,$AU$4:$AU483,"="&amp;$AU483,$AY$4:$AY483,"="&amp;$AY483)</f>
        <v>14400</v>
      </c>
      <c r="BF483" s="25" t="s">
        <v>1157</v>
      </c>
      <c r="BG483" s="14">
        <f t="shared" si="202"/>
        <v>1408</v>
      </c>
      <c r="BH483" s="14">
        <f>SUMIFS(BG$4:BG483,AU$4:AU483,"="&amp;AU483,AY$4:AY483,"="&amp;AY483)</f>
        <v>6600</v>
      </c>
      <c r="BI483" s="25" t="s">
        <v>1158</v>
      </c>
      <c r="BJ483" s="14">
        <f t="shared" si="203"/>
        <v>56320</v>
      </c>
      <c r="BK483" s="14">
        <f>SUMIFS(BJ$4:BJ483,$AU$4:$AU483,"="&amp;$AU483,$AY$4:$AY483,"="&amp;$AY483)</f>
        <v>264000</v>
      </c>
    </row>
    <row r="484" spans="46:63" ht="16.5" x14ac:dyDescent="0.2">
      <c r="AT484" s="13">
        <v>481</v>
      </c>
      <c r="AU484" s="13">
        <f t="shared" si="195"/>
        <v>7</v>
      </c>
      <c r="AV484" s="14">
        <f t="shared" si="196"/>
        <v>200801</v>
      </c>
      <c r="AW484" s="14">
        <f t="shared" si="197"/>
        <v>1102008</v>
      </c>
      <c r="AX484" s="13" t="s">
        <v>1127</v>
      </c>
      <c r="AY484" s="13">
        <f t="shared" si="198"/>
        <v>1</v>
      </c>
      <c r="AZ484" s="13" t="s">
        <v>1148</v>
      </c>
      <c r="BA484" s="14">
        <f t="shared" si="199"/>
        <v>0</v>
      </c>
      <c r="BB484" s="14" t="str">
        <f t="shared" si="200"/>
        <v>夏侯渊魂珠-1 等级-0</v>
      </c>
      <c r="BC484" s="25" t="s">
        <v>1156</v>
      </c>
      <c r="BD484" s="14">
        <f t="shared" si="201"/>
        <v>0</v>
      </c>
      <c r="BE484" s="14">
        <f>SUMIFS(BD$4:BD484,$AU$4:$AU484,"="&amp;$AU484,$AY$4:$AY484,"="&amp;$AY484)</f>
        <v>0</v>
      </c>
      <c r="BF484" s="25" t="s">
        <v>1157</v>
      </c>
      <c r="BG484" s="14">
        <f t="shared" si="202"/>
        <v>0</v>
      </c>
      <c r="BH484" s="14">
        <f>SUMIFS(BG$4:BG484,AU$4:AU484,"="&amp;AU484,AY$4:AY484,"="&amp;AY484)</f>
        <v>0</v>
      </c>
      <c r="BI484" s="25" t="s">
        <v>1158</v>
      </c>
      <c r="BJ484" s="14">
        <f t="shared" si="203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5"/>
        <v>7</v>
      </c>
      <c r="AV485" s="14">
        <f t="shared" si="196"/>
        <v>200801</v>
      </c>
      <c r="AW485" s="14">
        <f t="shared" si="197"/>
        <v>1102008</v>
      </c>
      <c r="AX485" s="13" t="s">
        <v>1127</v>
      </c>
      <c r="AY485" s="13">
        <f t="shared" si="198"/>
        <v>1</v>
      </c>
      <c r="AZ485" s="13" t="s">
        <v>1148</v>
      </c>
      <c r="BA485" s="14">
        <f t="shared" si="199"/>
        <v>1</v>
      </c>
      <c r="BB485" s="14" t="str">
        <f t="shared" si="200"/>
        <v>夏侯渊魂珠-1 等级-1</v>
      </c>
      <c r="BC485" s="25" t="s">
        <v>1156</v>
      </c>
      <c r="BD485" s="14">
        <f t="shared" si="201"/>
        <v>48</v>
      </c>
      <c r="BE485" s="14">
        <f>SUMIFS(BD$4:BD485,$AU$4:$AU485,"="&amp;$AU485,$AY$4:$AY485,"="&amp;$AY485)</f>
        <v>48</v>
      </c>
      <c r="BF485" s="25" t="s">
        <v>1157</v>
      </c>
      <c r="BG485" s="14">
        <f t="shared" si="202"/>
        <v>20</v>
      </c>
      <c r="BH485" s="14">
        <f>SUMIFS(BG$4:BG485,AU$4:AU485,"="&amp;AU485,AY$4:AY485,"="&amp;AY485)</f>
        <v>20</v>
      </c>
      <c r="BI485" s="25" t="s">
        <v>1158</v>
      </c>
      <c r="BJ485" s="14">
        <f t="shared" si="203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5"/>
        <v>7</v>
      </c>
      <c r="AV486" s="14">
        <f t="shared" si="196"/>
        <v>200801</v>
      </c>
      <c r="AW486" s="14">
        <f t="shared" si="197"/>
        <v>1102008</v>
      </c>
      <c r="AX486" s="13" t="s">
        <v>1127</v>
      </c>
      <c r="AY486" s="13">
        <f t="shared" si="198"/>
        <v>1</v>
      </c>
      <c r="AZ486" s="13" t="s">
        <v>1148</v>
      </c>
      <c r="BA486" s="14">
        <f t="shared" si="199"/>
        <v>2</v>
      </c>
      <c r="BB486" s="14" t="str">
        <f t="shared" si="200"/>
        <v>夏侯渊魂珠-1 等级-2</v>
      </c>
      <c r="BC486" s="25" t="s">
        <v>1156</v>
      </c>
      <c r="BD486" s="14">
        <f t="shared" si="201"/>
        <v>72</v>
      </c>
      <c r="BE486" s="14">
        <f>SUMIFS(BD$4:BD486,$AU$4:$AU486,"="&amp;$AU486,$AY$4:$AY486,"="&amp;$AY486)</f>
        <v>120</v>
      </c>
      <c r="BF486" s="25" t="s">
        <v>1157</v>
      </c>
      <c r="BG486" s="14">
        <f t="shared" si="202"/>
        <v>30</v>
      </c>
      <c r="BH486" s="14">
        <f>SUMIFS(BG$4:BG486,AU$4:AU486,"="&amp;AU486,AY$4:AY486,"="&amp;AY486)</f>
        <v>50</v>
      </c>
      <c r="BI486" s="25" t="s">
        <v>1158</v>
      </c>
      <c r="BJ486" s="14">
        <f t="shared" si="203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5"/>
        <v>7</v>
      </c>
      <c r="AV487" s="14">
        <f t="shared" si="196"/>
        <v>200801</v>
      </c>
      <c r="AW487" s="14">
        <f t="shared" si="197"/>
        <v>1102008</v>
      </c>
      <c r="AX487" s="13" t="s">
        <v>1127</v>
      </c>
      <c r="AY487" s="13">
        <f t="shared" si="198"/>
        <v>1</v>
      </c>
      <c r="AZ487" s="13" t="s">
        <v>1148</v>
      </c>
      <c r="BA487" s="14">
        <f t="shared" si="199"/>
        <v>3</v>
      </c>
      <c r="BB487" s="14" t="str">
        <f t="shared" si="200"/>
        <v>夏侯渊魂珠-1 等级-3</v>
      </c>
      <c r="BC487" s="25" t="s">
        <v>1156</v>
      </c>
      <c r="BD487" s="14">
        <f t="shared" si="201"/>
        <v>96</v>
      </c>
      <c r="BE487" s="14">
        <f>SUMIFS(BD$4:BD487,$AU$4:$AU487,"="&amp;$AU487,$AY$4:$AY487,"="&amp;$AY487)</f>
        <v>216</v>
      </c>
      <c r="BF487" s="25" t="s">
        <v>1157</v>
      </c>
      <c r="BG487" s="14">
        <f t="shared" si="202"/>
        <v>40</v>
      </c>
      <c r="BH487" s="14">
        <f>SUMIFS(BG$4:BG487,AU$4:AU487,"="&amp;AU487,AY$4:AY487,"="&amp;AY487)</f>
        <v>90</v>
      </c>
      <c r="BI487" s="25" t="s">
        <v>1158</v>
      </c>
      <c r="BJ487" s="14">
        <f t="shared" si="203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5"/>
        <v>7</v>
      </c>
      <c r="AV488" s="14">
        <f t="shared" si="196"/>
        <v>200801</v>
      </c>
      <c r="AW488" s="14">
        <f t="shared" si="197"/>
        <v>1102008</v>
      </c>
      <c r="AX488" s="13" t="s">
        <v>1127</v>
      </c>
      <c r="AY488" s="13">
        <f t="shared" si="198"/>
        <v>1</v>
      </c>
      <c r="AZ488" s="13" t="s">
        <v>1148</v>
      </c>
      <c r="BA488" s="14">
        <f t="shared" si="199"/>
        <v>4</v>
      </c>
      <c r="BB488" s="14" t="str">
        <f t="shared" si="200"/>
        <v>夏侯渊魂珠-1 等级-4</v>
      </c>
      <c r="BC488" s="25" t="s">
        <v>1156</v>
      </c>
      <c r="BD488" s="14">
        <f t="shared" si="201"/>
        <v>144</v>
      </c>
      <c r="BE488" s="14">
        <f>SUMIFS(BD$4:BD488,$AU$4:$AU488,"="&amp;$AU488,$AY$4:$AY488,"="&amp;$AY488)</f>
        <v>360</v>
      </c>
      <c r="BF488" s="25" t="s">
        <v>1157</v>
      </c>
      <c r="BG488" s="14">
        <f t="shared" si="202"/>
        <v>60</v>
      </c>
      <c r="BH488" s="14">
        <f>SUMIFS(BG$4:BG488,AU$4:AU488,"="&amp;AU488,AY$4:AY488,"="&amp;AY488)</f>
        <v>150</v>
      </c>
      <c r="BI488" s="25" t="s">
        <v>1158</v>
      </c>
      <c r="BJ488" s="14">
        <f t="shared" si="203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5"/>
        <v>7</v>
      </c>
      <c r="AV489" s="14">
        <f t="shared" si="196"/>
        <v>200801</v>
      </c>
      <c r="AW489" s="14">
        <f t="shared" si="197"/>
        <v>1102008</v>
      </c>
      <c r="AX489" s="13" t="s">
        <v>1127</v>
      </c>
      <c r="AY489" s="13">
        <f t="shared" si="198"/>
        <v>1</v>
      </c>
      <c r="AZ489" s="13" t="s">
        <v>1148</v>
      </c>
      <c r="BA489" s="14">
        <f t="shared" si="199"/>
        <v>5</v>
      </c>
      <c r="BB489" s="14" t="str">
        <f t="shared" si="200"/>
        <v>夏侯渊魂珠-1 等级-5</v>
      </c>
      <c r="BC489" s="25" t="s">
        <v>1156</v>
      </c>
      <c r="BD489" s="14">
        <f t="shared" si="201"/>
        <v>192</v>
      </c>
      <c r="BE489" s="14">
        <f>SUMIFS(BD$4:BD489,$AU$4:$AU489,"="&amp;$AU489,$AY$4:$AY489,"="&amp;$AY489)</f>
        <v>552</v>
      </c>
      <c r="BF489" s="25" t="s">
        <v>1157</v>
      </c>
      <c r="BG489" s="14">
        <f t="shared" si="202"/>
        <v>80</v>
      </c>
      <c r="BH489" s="14">
        <f>SUMIFS(BG$4:BG489,AU$4:AU489,"="&amp;AU489,AY$4:AY489,"="&amp;AY489)</f>
        <v>230</v>
      </c>
      <c r="BI489" s="25" t="s">
        <v>1158</v>
      </c>
      <c r="BJ489" s="14">
        <f t="shared" si="203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5"/>
        <v>7</v>
      </c>
      <c r="AV490" s="14">
        <f t="shared" si="196"/>
        <v>200801</v>
      </c>
      <c r="AW490" s="14">
        <f t="shared" si="197"/>
        <v>1102008</v>
      </c>
      <c r="AX490" s="13" t="s">
        <v>1127</v>
      </c>
      <c r="AY490" s="13">
        <f t="shared" si="198"/>
        <v>1</v>
      </c>
      <c r="AZ490" s="13" t="s">
        <v>1148</v>
      </c>
      <c r="BA490" s="14">
        <f t="shared" si="199"/>
        <v>6</v>
      </c>
      <c r="BB490" s="14" t="str">
        <f t="shared" si="200"/>
        <v>夏侯渊魂珠-1 等级-6</v>
      </c>
      <c r="BC490" s="25" t="s">
        <v>1156</v>
      </c>
      <c r="BD490" s="14">
        <f t="shared" si="201"/>
        <v>240</v>
      </c>
      <c r="BE490" s="14">
        <f>SUMIFS(BD$4:BD490,$AU$4:$AU490,"="&amp;$AU490,$AY$4:$AY490,"="&amp;$AY490)</f>
        <v>792</v>
      </c>
      <c r="BF490" s="25" t="s">
        <v>1157</v>
      </c>
      <c r="BG490" s="14">
        <f t="shared" si="202"/>
        <v>100</v>
      </c>
      <c r="BH490" s="14">
        <f>SUMIFS(BG$4:BG490,AU$4:AU490,"="&amp;AU490,AY$4:AY490,"="&amp;AY490)</f>
        <v>330</v>
      </c>
      <c r="BI490" s="25" t="s">
        <v>1158</v>
      </c>
      <c r="BJ490" s="14">
        <f t="shared" si="203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5"/>
        <v>7</v>
      </c>
      <c r="AV491" s="14">
        <f t="shared" si="196"/>
        <v>200801</v>
      </c>
      <c r="AW491" s="14">
        <f t="shared" si="197"/>
        <v>1102008</v>
      </c>
      <c r="AX491" s="13" t="s">
        <v>1127</v>
      </c>
      <c r="AY491" s="13">
        <f t="shared" si="198"/>
        <v>1</v>
      </c>
      <c r="AZ491" s="13" t="s">
        <v>1148</v>
      </c>
      <c r="BA491" s="14">
        <f t="shared" si="199"/>
        <v>7</v>
      </c>
      <c r="BB491" s="14" t="str">
        <f t="shared" si="200"/>
        <v>夏侯渊魂珠-1 等级-7</v>
      </c>
      <c r="BC491" s="25" t="s">
        <v>1156</v>
      </c>
      <c r="BD491" s="14">
        <f t="shared" si="201"/>
        <v>288</v>
      </c>
      <c r="BE491" s="14">
        <f>SUMIFS(BD$4:BD491,$AU$4:$AU491,"="&amp;$AU491,$AY$4:$AY491,"="&amp;$AY491)</f>
        <v>1080</v>
      </c>
      <c r="BF491" s="25" t="s">
        <v>1157</v>
      </c>
      <c r="BG491" s="14">
        <f t="shared" si="202"/>
        <v>120</v>
      </c>
      <c r="BH491" s="14">
        <f>SUMIFS(BG$4:BG491,AU$4:AU491,"="&amp;AU491,AY$4:AY491,"="&amp;AY491)</f>
        <v>450</v>
      </c>
      <c r="BI491" s="25" t="s">
        <v>1158</v>
      </c>
      <c r="BJ491" s="14">
        <f t="shared" si="203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5"/>
        <v>7</v>
      </c>
      <c r="AV492" s="14">
        <f t="shared" si="196"/>
        <v>200801</v>
      </c>
      <c r="AW492" s="14">
        <f t="shared" si="197"/>
        <v>1102008</v>
      </c>
      <c r="AX492" s="13" t="s">
        <v>1127</v>
      </c>
      <c r="AY492" s="13">
        <f t="shared" si="198"/>
        <v>1</v>
      </c>
      <c r="AZ492" s="13" t="s">
        <v>1148</v>
      </c>
      <c r="BA492" s="14">
        <f t="shared" si="199"/>
        <v>8</v>
      </c>
      <c r="BB492" s="14" t="str">
        <f t="shared" si="200"/>
        <v>夏侯渊魂珠-1 等级-8</v>
      </c>
      <c r="BC492" s="25" t="s">
        <v>1156</v>
      </c>
      <c r="BD492" s="14">
        <f t="shared" si="201"/>
        <v>336</v>
      </c>
      <c r="BE492" s="14">
        <f>SUMIFS(BD$4:BD492,$AU$4:$AU492,"="&amp;$AU492,$AY$4:$AY492,"="&amp;$AY492)</f>
        <v>1416</v>
      </c>
      <c r="BF492" s="25" t="s">
        <v>1157</v>
      </c>
      <c r="BG492" s="14">
        <f t="shared" si="202"/>
        <v>140</v>
      </c>
      <c r="BH492" s="14">
        <f>SUMIFS(BG$4:BG492,AU$4:AU492,"="&amp;AU492,AY$4:AY492,"="&amp;AY492)</f>
        <v>590</v>
      </c>
      <c r="BI492" s="25" t="s">
        <v>1158</v>
      </c>
      <c r="BJ492" s="14">
        <f t="shared" si="203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5"/>
        <v>7</v>
      </c>
      <c r="AV493" s="14">
        <f t="shared" si="196"/>
        <v>200801</v>
      </c>
      <c r="AW493" s="14">
        <f t="shared" si="197"/>
        <v>1102008</v>
      </c>
      <c r="AX493" s="13" t="s">
        <v>1127</v>
      </c>
      <c r="AY493" s="13">
        <f t="shared" si="198"/>
        <v>1</v>
      </c>
      <c r="AZ493" s="13" t="s">
        <v>1148</v>
      </c>
      <c r="BA493" s="14">
        <f t="shared" si="199"/>
        <v>9</v>
      </c>
      <c r="BB493" s="14" t="str">
        <f t="shared" si="200"/>
        <v>夏侯渊魂珠-1 等级-9</v>
      </c>
      <c r="BC493" s="25" t="s">
        <v>1156</v>
      </c>
      <c r="BD493" s="14">
        <f t="shared" si="201"/>
        <v>384</v>
      </c>
      <c r="BE493" s="14">
        <f>SUMIFS(BD$4:BD493,$AU$4:$AU493,"="&amp;$AU493,$AY$4:$AY493,"="&amp;$AY493)</f>
        <v>1800</v>
      </c>
      <c r="BF493" s="25" t="s">
        <v>1157</v>
      </c>
      <c r="BG493" s="14">
        <f t="shared" si="202"/>
        <v>160</v>
      </c>
      <c r="BH493" s="14">
        <f>SUMIFS(BG$4:BG493,AU$4:AU493,"="&amp;AU493,AY$4:AY493,"="&amp;AY493)</f>
        <v>750</v>
      </c>
      <c r="BI493" s="25" t="s">
        <v>1158</v>
      </c>
      <c r="BJ493" s="14">
        <f t="shared" si="203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5"/>
        <v>7</v>
      </c>
      <c r="AV494" s="14">
        <f t="shared" si="196"/>
        <v>200802</v>
      </c>
      <c r="AW494" s="14">
        <f t="shared" si="197"/>
        <v>1102008</v>
      </c>
      <c r="AX494" s="13" t="s">
        <v>1127</v>
      </c>
      <c r="AY494" s="13">
        <f t="shared" si="198"/>
        <v>2</v>
      </c>
      <c r="AZ494" s="13" t="s">
        <v>1148</v>
      </c>
      <c r="BA494" s="14">
        <f t="shared" si="199"/>
        <v>0</v>
      </c>
      <c r="BB494" s="14" t="str">
        <f t="shared" si="200"/>
        <v>夏侯渊魂珠-2 等级-0</v>
      </c>
      <c r="BC494" s="25" t="s">
        <v>1156</v>
      </c>
      <c r="BD494" s="14">
        <f t="shared" si="201"/>
        <v>0</v>
      </c>
      <c r="BE494" s="14">
        <f>SUMIFS(BD$4:BD494,$AU$4:$AU494,"="&amp;$AU494,$AY$4:$AY494,"="&amp;$AY494)</f>
        <v>0</v>
      </c>
      <c r="BF494" s="25" t="s">
        <v>1157</v>
      </c>
      <c r="BG494" s="14">
        <f t="shared" si="202"/>
        <v>0</v>
      </c>
      <c r="BH494" s="14">
        <f>SUMIFS(BG$4:BG494,AU$4:AU494,"="&amp;AU494,AY$4:AY494,"="&amp;AY494)</f>
        <v>0</v>
      </c>
      <c r="BI494" s="25" t="s">
        <v>1158</v>
      </c>
      <c r="BJ494" s="14">
        <f t="shared" si="203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5"/>
        <v>7</v>
      </c>
      <c r="AV495" s="14">
        <f t="shared" si="196"/>
        <v>200802</v>
      </c>
      <c r="AW495" s="14">
        <f t="shared" si="197"/>
        <v>1102008</v>
      </c>
      <c r="AX495" s="13" t="s">
        <v>1127</v>
      </c>
      <c r="AY495" s="13">
        <f t="shared" si="198"/>
        <v>2</v>
      </c>
      <c r="AZ495" s="13" t="s">
        <v>1148</v>
      </c>
      <c r="BA495" s="14">
        <f t="shared" si="199"/>
        <v>1</v>
      </c>
      <c r="BB495" s="14" t="str">
        <f t="shared" si="200"/>
        <v>夏侯渊魂珠-2 等级-1</v>
      </c>
      <c r="BC495" s="25" t="s">
        <v>1156</v>
      </c>
      <c r="BD495" s="14">
        <f t="shared" si="201"/>
        <v>60</v>
      </c>
      <c r="BE495" s="14">
        <f>SUMIFS(BD$4:BD495,$AU$4:$AU495,"="&amp;$AU495,$AY$4:$AY495,"="&amp;$AY495)</f>
        <v>60</v>
      </c>
      <c r="BF495" s="25" t="s">
        <v>1157</v>
      </c>
      <c r="BG495" s="14">
        <f t="shared" si="202"/>
        <v>25</v>
      </c>
      <c r="BH495" s="14">
        <f>SUMIFS(BG$4:BG495,AU$4:AU495,"="&amp;AU495,AY$4:AY495,"="&amp;AY495)</f>
        <v>25</v>
      </c>
      <c r="BI495" s="25" t="s">
        <v>1158</v>
      </c>
      <c r="BJ495" s="14">
        <f t="shared" si="203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5"/>
        <v>7</v>
      </c>
      <c r="AV496" s="14">
        <f t="shared" si="196"/>
        <v>200802</v>
      </c>
      <c r="AW496" s="14">
        <f t="shared" si="197"/>
        <v>1102008</v>
      </c>
      <c r="AX496" s="13" t="s">
        <v>1127</v>
      </c>
      <c r="AY496" s="13">
        <f t="shared" si="198"/>
        <v>2</v>
      </c>
      <c r="AZ496" s="13" t="s">
        <v>1148</v>
      </c>
      <c r="BA496" s="14">
        <f t="shared" si="199"/>
        <v>2</v>
      </c>
      <c r="BB496" s="14" t="str">
        <f t="shared" si="200"/>
        <v>夏侯渊魂珠-2 等级-2</v>
      </c>
      <c r="BC496" s="25" t="s">
        <v>1156</v>
      </c>
      <c r="BD496" s="14">
        <f t="shared" si="201"/>
        <v>96</v>
      </c>
      <c r="BE496" s="14">
        <f>SUMIFS(BD$4:BD496,$AU$4:$AU496,"="&amp;$AU496,$AY$4:$AY496,"="&amp;$AY496)</f>
        <v>156</v>
      </c>
      <c r="BF496" s="25" t="s">
        <v>1157</v>
      </c>
      <c r="BG496" s="14">
        <f t="shared" si="202"/>
        <v>40</v>
      </c>
      <c r="BH496" s="14">
        <f>SUMIFS(BG$4:BG496,AU$4:AU496,"="&amp;AU496,AY$4:AY496,"="&amp;AY496)</f>
        <v>65</v>
      </c>
      <c r="BI496" s="25" t="s">
        <v>1158</v>
      </c>
      <c r="BJ496" s="14">
        <f t="shared" si="203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5"/>
        <v>7</v>
      </c>
      <c r="AV497" s="14">
        <f t="shared" si="196"/>
        <v>200802</v>
      </c>
      <c r="AW497" s="14">
        <f t="shared" si="197"/>
        <v>1102008</v>
      </c>
      <c r="AX497" s="13" t="s">
        <v>1127</v>
      </c>
      <c r="AY497" s="13">
        <f t="shared" si="198"/>
        <v>2</v>
      </c>
      <c r="AZ497" s="13" t="s">
        <v>1148</v>
      </c>
      <c r="BA497" s="14">
        <f t="shared" si="199"/>
        <v>3</v>
      </c>
      <c r="BB497" s="14" t="str">
        <f t="shared" si="200"/>
        <v>夏侯渊魂珠-2 等级-3</v>
      </c>
      <c r="BC497" s="25" t="s">
        <v>1156</v>
      </c>
      <c r="BD497" s="14">
        <f t="shared" si="201"/>
        <v>120</v>
      </c>
      <c r="BE497" s="14">
        <f>SUMIFS(BD$4:BD497,$AU$4:$AU497,"="&amp;$AU497,$AY$4:$AY497,"="&amp;$AY497)</f>
        <v>276</v>
      </c>
      <c r="BF497" s="25" t="s">
        <v>1157</v>
      </c>
      <c r="BG497" s="14">
        <f t="shared" si="202"/>
        <v>50</v>
      </c>
      <c r="BH497" s="14">
        <f>SUMIFS(BG$4:BG497,AU$4:AU497,"="&amp;AU497,AY$4:AY497,"="&amp;AY497)</f>
        <v>115</v>
      </c>
      <c r="BI497" s="25" t="s">
        <v>1158</v>
      </c>
      <c r="BJ497" s="14">
        <f t="shared" si="203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5"/>
        <v>7</v>
      </c>
      <c r="AV498" s="14">
        <f t="shared" si="196"/>
        <v>200802</v>
      </c>
      <c r="AW498" s="14">
        <f t="shared" si="197"/>
        <v>1102008</v>
      </c>
      <c r="AX498" s="13" t="s">
        <v>1127</v>
      </c>
      <c r="AY498" s="13">
        <f t="shared" si="198"/>
        <v>2</v>
      </c>
      <c r="AZ498" s="13" t="s">
        <v>1148</v>
      </c>
      <c r="BA498" s="14">
        <f t="shared" si="199"/>
        <v>4</v>
      </c>
      <c r="BB498" s="14" t="str">
        <f t="shared" si="200"/>
        <v>夏侯渊魂珠-2 等级-4</v>
      </c>
      <c r="BC498" s="25" t="s">
        <v>1156</v>
      </c>
      <c r="BD498" s="14">
        <f t="shared" si="201"/>
        <v>192</v>
      </c>
      <c r="BE498" s="14">
        <f>SUMIFS(BD$4:BD498,$AU$4:$AU498,"="&amp;$AU498,$AY$4:$AY498,"="&amp;$AY498)</f>
        <v>468</v>
      </c>
      <c r="BF498" s="25" t="s">
        <v>1157</v>
      </c>
      <c r="BG498" s="14">
        <f t="shared" si="202"/>
        <v>80</v>
      </c>
      <c r="BH498" s="14">
        <f>SUMIFS(BG$4:BG498,AU$4:AU498,"="&amp;AU498,AY$4:AY498,"="&amp;AY498)</f>
        <v>195</v>
      </c>
      <c r="BI498" s="25" t="s">
        <v>1158</v>
      </c>
      <c r="BJ498" s="14">
        <f t="shared" si="203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5"/>
        <v>7</v>
      </c>
      <c r="AV499" s="14">
        <f t="shared" si="196"/>
        <v>200802</v>
      </c>
      <c r="AW499" s="14">
        <f t="shared" si="197"/>
        <v>1102008</v>
      </c>
      <c r="AX499" s="13" t="s">
        <v>1127</v>
      </c>
      <c r="AY499" s="13">
        <f t="shared" si="198"/>
        <v>2</v>
      </c>
      <c r="AZ499" s="13" t="s">
        <v>1148</v>
      </c>
      <c r="BA499" s="14">
        <f t="shared" si="199"/>
        <v>5</v>
      </c>
      <c r="BB499" s="14" t="str">
        <f t="shared" si="200"/>
        <v>夏侯渊魂珠-2 等级-5</v>
      </c>
      <c r="BC499" s="25" t="s">
        <v>1156</v>
      </c>
      <c r="BD499" s="14">
        <f t="shared" si="201"/>
        <v>264</v>
      </c>
      <c r="BE499" s="14">
        <f>SUMIFS(BD$4:BD499,$AU$4:$AU499,"="&amp;$AU499,$AY$4:$AY499,"="&amp;$AY499)</f>
        <v>732</v>
      </c>
      <c r="BF499" s="25" t="s">
        <v>1157</v>
      </c>
      <c r="BG499" s="14">
        <f t="shared" si="202"/>
        <v>110</v>
      </c>
      <c r="BH499" s="14">
        <f>SUMIFS(BG$4:BG499,AU$4:AU499,"="&amp;AU499,AY$4:AY499,"="&amp;AY499)</f>
        <v>305</v>
      </c>
      <c r="BI499" s="25" t="s">
        <v>1158</v>
      </c>
      <c r="BJ499" s="14">
        <f t="shared" si="203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5"/>
        <v>7</v>
      </c>
      <c r="AV500" s="14">
        <f t="shared" si="196"/>
        <v>200802</v>
      </c>
      <c r="AW500" s="14">
        <f t="shared" si="197"/>
        <v>1102008</v>
      </c>
      <c r="AX500" s="13" t="s">
        <v>1127</v>
      </c>
      <c r="AY500" s="13">
        <f t="shared" si="198"/>
        <v>2</v>
      </c>
      <c r="AZ500" s="13" t="s">
        <v>1148</v>
      </c>
      <c r="BA500" s="14">
        <f t="shared" si="199"/>
        <v>6</v>
      </c>
      <c r="BB500" s="14" t="str">
        <f t="shared" si="200"/>
        <v>夏侯渊魂珠-2 等级-6</v>
      </c>
      <c r="BC500" s="25" t="s">
        <v>1156</v>
      </c>
      <c r="BD500" s="14">
        <f t="shared" si="201"/>
        <v>336</v>
      </c>
      <c r="BE500" s="14">
        <f>SUMIFS(BD$4:BD500,$AU$4:$AU500,"="&amp;$AU500,$AY$4:$AY500,"="&amp;$AY500)</f>
        <v>1068</v>
      </c>
      <c r="BF500" s="25" t="s">
        <v>1157</v>
      </c>
      <c r="BG500" s="14">
        <f t="shared" si="202"/>
        <v>140</v>
      </c>
      <c r="BH500" s="14">
        <f>SUMIFS(BG$4:BG500,AU$4:AU500,"="&amp;AU500,AY$4:AY500,"="&amp;AY500)</f>
        <v>445</v>
      </c>
      <c r="BI500" s="25" t="s">
        <v>1158</v>
      </c>
      <c r="BJ500" s="14">
        <f t="shared" si="203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5"/>
        <v>7</v>
      </c>
      <c r="AV501" s="14">
        <f t="shared" si="196"/>
        <v>200802</v>
      </c>
      <c r="AW501" s="14">
        <f t="shared" si="197"/>
        <v>1102008</v>
      </c>
      <c r="AX501" s="13" t="s">
        <v>1127</v>
      </c>
      <c r="AY501" s="13">
        <f t="shared" si="198"/>
        <v>2</v>
      </c>
      <c r="AZ501" s="13" t="s">
        <v>1148</v>
      </c>
      <c r="BA501" s="14">
        <f t="shared" si="199"/>
        <v>7</v>
      </c>
      <c r="BB501" s="14" t="str">
        <f t="shared" si="200"/>
        <v>夏侯渊魂珠-2 等级-7</v>
      </c>
      <c r="BC501" s="25" t="s">
        <v>1156</v>
      </c>
      <c r="BD501" s="14">
        <f t="shared" si="201"/>
        <v>384</v>
      </c>
      <c r="BE501" s="14">
        <f>SUMIFS(BD$4:BD501,$AU$4:$AU501,"="&amp;$AU501,$AY$4:$AY501,"="&amp;$AY501)</f>
        <v>1452</v>
      </c>
      <c r="BF501" s="25" t="s">
        <v>1157</v>
      </c>
      <c r="BG501" s="14">
        <f t="shared" si="202"/>
        <v>160</v>
      </c>
      <c r="BH501" s="14">
        <f>SUMIFS(BG$4:BG501,AU$4:AU501,"="&amp;AU501,AY$4:AY501,"="&amp;AY501)</f>
        <v>605</v>
      </c>
      <c r="BI501" s="25" t="s">
        <v>1158</v>
      </c>
      <c r="BJ501" s="14">
        <f t="shared" si="203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5"/>
        <v>7</v>
      </c>
      <c r="AV502" s="14">
        <f t="shared" si="196"/>
        <v>200802</v>
      </c>
      <c r="AW502" s="14">
        <f t="shared" si="197"/>
        <v>1102008</v>
      </c>
      <c r="AX502" s="13" t="s">
        <v>1127</v>
      </c>
      <c r="AY502" s="13">
        <f t="shared" si="198"/>
        <v>2</v>
      </c>
      <c r="AZ502" s="13" t="s">
        <v>1148</v>
      </c>
      <c r="BA502" s="14">
        <f t="shared" si="199"/>
        <v>8</v>
      </c>
      <c r="BB502" s="14" t="str">
        <f t="shared" si="200"/>
        <v>夏侯渊魂珠-2 等级-8</v>
      </c>
      <c r="BC502" s="25" t="s">
        <v>1156</v>
      </c>
      <c r="BD502" s="14">
        <f t="shared" si="201"/>
        <v>456</v>
      </c>
      <c r="BE502" s="14">
        <f>SUMIFS(BD$4:BD502,$AU$4:$AU502,"="&amp;$AU502,$AY$4:$AY502,"="&amp;$AY502)</f>
        <v>1908</v>
      </c>
      <c r="BF502" s="25" t="s">
        <v>1157</v>
      </c>
      <c r="BG502" s="14">
        <f t="shared" si="202"/>
        <v>190</v>
      </c>
      <c r="BH502" s="14">
        <f>SUMIFS(BG$4:BG502,AU$4:AU502,"="&amp;AU502,AY$4:AY502,"="&amp;AY502)</f>
        <v>795</v>
      </c>
      <c r="BI502" s="25" t="s">
        <v>1158</v>
      </c>
      <c r="BJ502" s="14">
        <f t="shared" si="203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5"/>
        <v>7</v>
      </c>
      <c r="AV503" s="14">
        <f t="shared" si="196"/>
        <v>200802</v>
      </c>
      <c r="AW503" s="14">
        <f t="shared" si="197"/>
        <v>1102008</v>
      </c>
      <c r="AX503" s="13" t="s">
        <v>1127</v>
      </c>
      <c r="AY503" s="13">
        <f t="shared" si="198"/>
        <v>2</v>
      </c>
      <c r="AZ503" s="13" t="s">
        <v>1148</v>
      </c>
      <c r="BA503" s="14">
        <f t="shared" si="199"/>
        <v>9</v>
      </c>
      <c r="BB503" s="14" t="str">
        <f t="shared" si="200"/>
        <v>夏侯渊魂珠-2 等级-9</v>
      </c>
      <c r="BC503" s="25" t="s">
        <v>1156</v>
      </c>
      <c r="BD503" s="14">
        <f t="shared" si="201"/>
        <v>540</v>
      </c>
      <c r="BE503" s="14">
        <f>SUMIFS(BD$4:BD503,$AU$4:$AU503,"="&amp;$AU503,$AY$4:$AY503,"="&amp;$AY503)</f>
        <v>2448</v>
      </c>
      <c r="BF503" s="25" t="s">
        <v>1157</v>
      </c>
      <c r="BG503" s="14">
        <f t="shared" si="202"/>
        <v>225</v>
      </c>
      <c r="BH503" s="14">
        <f>SUMIFS(BG$4:BG503,AU$4:AU503,"="&amp;AU503,AY$4:AY503,"="&amp;AY503)</f>
        <v>1020</v>
      </c>
      <c r="BI503" s="25" t="s">
        <v>1158</v>
      </c>
      <c r="BJ503" s="14">
        <f t="shared" si="203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5"/>
        <v>7</v>
      </c>
      <c r="AV504" s="14">
        <f t="shared" si="196"/>
        <v>200803</v>
      </c>
      <c r="AW504" s="14">
        <f t="shared" si="197"/>
        <v>1102008</v>
      </c>
      <c r="AX504" s="13" t="s">
        <v>1127</v>
      </c>
      <c r="AY504" s="13">
        <f t="shared" si="198"/>
        <v>3</v>
      </c>
      <c r="AZ504" s="13" t="s">
        <v>1148</v>
      </c>
      <c r="BA504" s="14">
        <f t="shared" si="199"/>
        <v>0</v>
      </c>
      <c r="BB504" s="14" t="str">
        <f t="shared" si="200"/>
        <v>夏侯渊魂珠-3 等级-0</v>
      </c>
      <c r="BC504" s="25" t="s">
        <v>1156</v>
      </c>
      <c r="BD504" s="14">
        <f t="shared" si="201"/>
        <v>0</v>
      </c>
      <c r="BE504" s="14">
        <f>SUMIFS(BD$4:BD504,$AU$4:$AU504,"="&amp;$AU504,$AY$4:$AY504,"="&amp;$AY504)</f>
        <v>0</v>
      </c>
      <c r="BF504" s="25" t="s">
        <v>1157</v>
      </c>
      <c r="BG504" s="14">
        <f t="shared" si="202"/>
        <v>0</v>
      </c>
      <c r="BH504" s="14">
        <f>SUMIFS(BG$4:BG504,AU$4:AU504,"="&amp;AU504,AY$4:AY504,"="&amp;AY504)</f>
        <v>0</v>
      </c>
      <c r="BI504" s="25" t="s">
        <v>1158</v>
      </c>
      <c r="BJ504" s="14">
        <f t="shared" si="203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5"/>
        <v>7</v>
      </c>
      <c r="AV505" s="14">
        <f t="shared" si="196"/>
        <v>200803</v>
      </c>
      <c r="AW505" s="14">
        <f t="shared" si="197"/>
        <v>1102008</v>
      </c>
      <c r="AX505" s="13" t="s">
        <v>1127</v>
      </c>
      <c r="AY505" s="13">
        <f t="shared" si="198"/>
        <v>3</v>
      </c>
      <c r="AZ505" s="13" t="s">
        <v>1148</v>
      </c>
      <c r="BA505" s="14">
        <f t="shared" si="199"/>
        <v>1</v>
      </c>
      <c r="BB505" s="14" t="str">
        <f t="shared" si="200"/>
        <v>夏侯渊魂珠-3 等级-1</v>
      </c>
      <c r="BC505" s="25" t="s">
        <v>1156</v>
      </c>
      <c r="BD505" s="14">
        <f t="shared" si="201"/>
        <v>96</v>
      </c>
      <c r="BE505" s="14">
        <f>SUMIFS(BD$4:BD505,$AU$4:$AU505,"="&amp;$AU505,$AY$4:$AY505,"="&amp;$AY505)</f>
        <v>96</v>
      </c>
      <c r="BF505" s="25" t="s">
        <v>1157</v>
      </c>
      <c r="BG505" s="14">
        <f t="shared" si="202"/>
        <v>40</v>
      </c>
      <c r="BH505" s="14">
        <f>SUMIFS(BG$4:BG505,AU$4:AU505,"="&amp;AU505,AY$4:AY505,"="&amp;AY505)</f>
        <v>40</v>
      </c>
      <c r="BI505" s="25" t="s">
        <v>1158</v>
      </c>
      <c r="BJ505" s="14">
        <f t="shared" si="203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5"/>
        <v>7</v>
      </c>
      <c r="AV506" s="14">
        <f t="shared" si="196"/>
        <v>200803</v>
      </c>
      <c r="AW506" s="14">
        <f t="shared" si="197"/>
        <v>1102008</v>
      </c>
      <c r="AX506" s="13" t="s">
        <v>1127</v>
      </c>
      <c r="AY506" s="13">
        <f t="shared" si="198"/>
        <v>3</v>
      </c>
      <c r="AZ506" s="13" t="s">
        <v>1148</v>
      </c>
      <c r="BA506" s="14">
        <f t="shared" si="199"/>
        <v>2</v>
      </c>
      <c r="BB506" s="14" t="str">
        <f t="shared" si="200"/>
        <v>夏侯渊魂珠-3 等级-2</v>
      </c>
      <c r="BC506" s="25" t="s">
        <v>1156</v>
      </c>
      <c r="BD506" s="14">
        <f t="shared" si="201"/>
        <v>144</v>
      </c>
      <c r="BE506" s="14">
        <f>SUMIFS(BD$4:BD506,$AU$4:$AU506,"="&amp;$AU506,$AY$4:$AY506,"="&amp;$AY506)</f>
        <v>240</v>
      </c>
      <c r="BF506" s="25" t="s">
        <v>1157</v>
      </c>
      <c r="BG506" s="14">
        <f t="shared" si="202"/>
        <v>60</v>
      </c>
      <c r="BH506" s="14">
        <f>SUMIFS(BG$4:BG506,AU$4:AU506,"="&amp;AU506,AY$4:AY506,"="&amp;AY506)</f>
        <v>100</v>
      </c>
      <c r="BI506" s="25" t="s">
        <v>1158</v>
      </c>
      <c r="BJ506" s="14">
        <f t="shared" si="203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5"/>
        <v>7</v>
      </c>
      <c r="AV507" s="14">
        <f t="shared" si="196"/>
        <v>200803</v>
      </c>
      <c r="AW507" s="14">
        <f t="shared" si="197"/>
        <v>1102008</v>
      </c>
      <c r="AX507" s="13" t="s">
        <v>1127</v>
      </c>
      <c r="AY507" s="13">
        <f t="shared" si="198"/>
        <v>3</v>
      </c>
      <c r="AZ507" s="13" t="s">
        <v>1148</v>
      </c>
      <c r="BA507" s="14">
        <f t="shared" si="199"/>
        <v>3</v>
      </c>
      <c r="BB507" s="14" t="str">
        <f t="shared" si="200"/>
        <v>夏侯渊魂珠-3 等级-3</v>
      </c>
      <c r="BC507" s="25" t="s">
        <v>1156</v>
      </c>
      <c r="BD507" s="14">
        <f t="shared" si="201"/>
        <v>192</v>
      </c>
      <c r="BE507" s="14">
        <f>SUMIFS(BD$4:BD507,$AU$4:$AU507,"="&amp;$AU507,$AY$4:$AY507,"="&amp;$AY507)</f>
        <v>432</v>
      </c>
      <c r="BF507" s="25" t="s">
        <v>1157</v>
      </c>
      <c r="BG507" s="14">
        <f t="shared" si="202"/>
        <v>80</v>
      </c>
      <c r="BH507" s="14">
        <f>SUMIFS(BG$4:BG507,AU$4:AU507,"="&amp;AU507,AY$4:AY507,"="&amp;AY507)</f>
        <v>180</v>
      </c>
      <c r="BI507" s="25" t="s">
        <v>1158</v>
      </c>
      <c r="BJ507" s="14">
        <f t="shared" si="203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5"/>
        <v>7</v>
      </c>
      <c r="AV508" s="14">
        <f t="shared" si="196"/>
        <v>200803</v>
      </c>
      <c r="AW508" s="14">
        <f t="shared" si="197"/>
        <v>1102008</v>
      </c>
      <c r="AX508" s="13" t="s">
        <v>1127</v>
      </c>
      <c r="AY508" s="13">
        <f t="shared" si="198"/>
        <v>3</v>
      </c>
      <c r="AZ508" s="13" t="s">
        <v>1148</v>
      </c>
      <c r="BA508" s="14">
        <f t="shared" si="199"/>
        <v>4</v>
      </c>
      <c r="BB508" s="14" t="str">
        <f t="shared" si="200"/>
        <v>夏侯渊魂珠-3 等级-4</v>
      </c>
      <c r="BC508" s="25" t="s">
        <v>1156</v>
      </c>
      <c r="BD508" s="14">
        <f t="shared" si="201"/>
        <v>288</v>
      </c>
      <c r="BE508" s="14">
        <f>SUMIFS(BD$4:BD508,$AU$4:$AU508,"="&amp;$AU508,$AY$4:$AY508,"="&amp;$AY508)</f>
        <v>720</v>
      </c>
      <c r="BF508" s="25" t="s">
        <v>1157</v>
      </c>
      <c r="BG508" s="14">
        <f t="shared" si="202"/>
        <v>120</v>
      </c>
      <c r="BH508" s="14">
        <f>SUMIFS(BG$4:BG508,AU$4:AU508,"="&amp;AU508,AY$4:AY508,"="&amp;AY508)</f>
        <v>300</v>
      </c>
      <c r="BI508" s="25" t="s">
        <v>1158</v>
      </c>
      <c r="BJ508" s="14">
        <f t="shared" si="203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5"/>
        <v>7</v>
      </c>
      <c r="AV509" s="14">
        <f t="shared" si="196"/>
        <v>200803</v>
      </c>
      <c r="AW509" s="14">
        <f t="shared" si="197"/>
        <v>1102008</v>
      </c>
      <c r="AX509" s="13" t="s">
        <v>1127</v>
      </c>
      <c r="AY509" s="13">
        <f t="shared" si="198"/>
        <v>3</v>
      </c>
      <c r="AZ509" s="13" t="s">
        <v>1148</v>
      </c>
      <c r="BA509" s="14">
        <f t="shared" si="199"/>
        <v>5</v>
      </c>
      <c r="BB509" s="14" t="str">
        <f t="shared" si="200"/>
        <v>夏侯渊魂珠-3 等级-5</v>
      </c>
      <c r="BC509" s="25" t="s">
        <v>1156</v>
      </c>
      <c r="BD509" s="14">
        <f t="shared" si="201"/>
        <v>384</v>
      </c>
      <c r="BE509" s="14">
        <f>SUMIFS(BD$4:BD509,$AU$4:$AU509,"="&amp;$AU509,$AY$4:$AY509,"="&amp;$AY509)</f>
        <v>1104</v>
      </c>
      <c r="BF509" s="25" t="s">
        <v>1157</v>
      </c>
      <c r="BG509" s="14">
        <f t="shared" si="202"/>
        <v>160</v>
      </c>
      <c r="BH509" s="14">
        <f>SUMIFS(BG$4:BG509,AU$4:AU509,"="&amp;AU509,AY$4:AY509,"="&amp;AY509)</f>
        <v>460</v>
      </c>
      <c r="BI509" s="25" t="s">
        <v>1158</v>
      </c>
      <c r="BJ509" s="14">
        <f t="shared" si="203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5"/>
        <v>7</v>
      </c>
      <c r="AV510" s="14">
        <f t="shared" si="196"/>
        <v>200803</v>
      </c>
      <c r="AW510" s="14">
        <f t="shared" si="197"/>
        <v>1102008</v>
      </c>
      <c r="AX510" s="13" t="s">
        <v>1127</v>
      </c>
      <c r="AY510" s="13">
        <f t="shared" si="198"/>
        <v>3</v>
      </c>
      <c r="AZ510" s="13" t="s">
        <v>1148</v>
      </c>
      <c r="BA510" s="14">
        <f t="shared" si="199"/>
        <v>6</v>
      </c>
      <c r="BB510" s="14" t="str">
        <f t="shared" si="200"/>
        <v>夏侯渊魂珠-3 等级-6</v>
      </c>
      <c r="BC510" s="25" t="s">
        <v>1156</v>
      </c>
      <c r="BD510" s="14">
        <f t="shared" si="201"/>
        <v>480</v>
      </c>
      <c r="BE510" s="14">
        <f>SUMIFS(BD$4:BD510,$AU$4:$AU510,"="&amp;$AU510,$AY$4:$AY510,"="&amp;$AY510)</f>
        <v>1584</v>
      </c>
      <c r="BF510" s="25" t="s">
        <v>1157</v>
      </c>
      <c r="BG510" s="14">
        <f t="shared" si="202"/>
        <v>200</v>
      </c>
      <c r="BH510" s="14">
        <f>SUMIFS(BG$4:BG510,AU$4:AU510,"="&amp;AU510,AY$4:AY510,"="&amp;AY510)</f>
        <v>660</v>
      </c>
      <c r="BI510" s="25" t="s">
        <v>1158</v>
      </c>
      <c r="BJ510" s="14">
        <f t="shared" si="203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5"/>
        <v>7</v>
      </c>
      <c r="AV511" s="14">
        <f t="shared" si="196"/>
        <v>200803</v>
      </c>
      <c r="AW511" s="14">
        <f t="shared" si="197"/>
        <v>1102008</v>
      </c>
      <c r="AX511" s="13" t="s">
        <v>1127</v>
      </c>
      <c r="AY511" s="13">
        <f t="shared" si="198"/>
        <v>3</v>
      </c>
      <c r="AZ511" s="13" t="s">
        <v>1148</v>
      </c>
      <c r="BA511" s="14">
        <f t="shared" si="199"/>
        <v>7</v>
      </c>
      <c r="BB511" s="14" t="str">
        <f t="shared" si="200"/>
        <v>夏侯渊魂珠-3 等级-7</v>
      </c>
      <c r="BC511" s="25" t="s">
        <v>1156</v>
      </c>
      <c r="BD511" s="14">
        <f t="shared" si="201"/>
        <v>576</v>
      </c>
      <c r="BE511" s="14">
        <f>SUMIFS(BD$4:BD511,$AU$4:$AU511,"="&amp;$AU511,$AY$4:$AY511,"="&amp;$AY511)</f>
        <v>2160</v>
      </c>
      <c r="BF511" s="25" t="s">
        <v>1157</v>
      </c>
      <c r="BG511" s="14">
        <f t="shared" si="202"/>
        <v>240</v>
      </c>
      <c r="BH511" s="14">
        <f>SUMIFS(BG$4:BG511,AU$4:AU511,"="&amp;AU511,AY$4:AY511,"="&amp;AY511)</f>
        <v>900</v>
      </c>
      <c r="BI511" s="25" t="s">
        <v>1158</v>
      </c>
      <c r="BJ511" s="14">
        <f t="shared" si="203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5"/>
        <v>7</v>
      </c>
      <c r="AV512" s="14">
        <f t="shared" si="196"/>
        <v>200803</v>
      </c>
      <c r="AW512" s="14">
        <f t="shared" si="197"/>
        <v>1102008</v>
      </c>
      <c r="AX512" s="13" t="s">
        <v>1127</v>
      </c>
      <c r="AY512" s="13">
        <f t="shared" si="198"/>
        <v>3</v>
      </c>
      <c r="AZ512" s="13" t="s">
        <v>1148</v>
      </c>
      <c r="BA512" s="14">
        <f t="shared" si="199"/>
        <v>8</v>
      </c>
      <c r="BB512" s="14" t="str">
        <f t="shared" si="200"/>
        <v>夏侯渊魂珠-3 等级-8</v>
      </c>
      <c r="BC512" s="25" t="s">
        <v>1156</v>
      </c>
      <c r="BD512" s="14">
        <f t="shared" si="201"/>
        <v>672</v>
      </c>
      <c r="BE512" s="14">
        <f>SUMIFS(BD$4:BD512,$AU$4:$AU512,"="&amp;$AU512,$AY$4:$AY512,"="&amp;$AY512)</f>
        <v>2832</v>
      </c>
      <c r="BF512" s="25" t="s">
        <v>1157</v>
      </c>
      <c r="BG512" s="14">
        <f t="shared" si="202"/>
        <v>280</v>
      </c>
      <c r="BH512" s="14">
        <f>SUMIFS(BG$4:BG512,AU$4:AU512,"="&amp;AU512,AY$4:AY512,"="&amp;AY512)</f>
        <v>1180</v>
      </c>
      <c r="BI512" s="25" t="s">
        <v>1158</v>
      </c>
      <c r="BJ512" s="14">
        <f t="shared" si="203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5"/>
        <v>7</v>
      </c>
      <c r="AV513" s="14">
        <f t="shared" si="196"/>
        <v>200803</v>
      </c>
      <c r="AW513" s="14">
        <f t="shared" si="197"/>
        <v>1102008</v>
      </c>
      <c r="AX513" s="13" t="s">
        <v>1127</v>
      </c>
      <c r="AY513" s="13">
        <f t="shared" si="198"/>
        <v>3</v>
      </c>
      <c r="AZ513" s="13" t="s">
        <v>1148</v>
      </c>
      <c r="BA513" s="14">
        <f t="shared" si="199"/>
        <v>9</v>
      </c>
      <c r="BB513" s="14" t="str">
        <f t="shared" si="200"/>
        <v>夏侯渊魂珠-3 等级-9</v>
      </c>
      <c r="BC513" s="25" t="s">
        <v>1156</v>
      </c>
      <c r="BD513" s="14">
        <f t="shared" si="201"/>
        <v>768</v>
      </c>
      <c r="BE513" s="14">
        <f>SUMIFS(BD$4:BD513,$AU$4:$AU513,"="&amp;$AU513,$AY$4:$AY513,"="&amp;$AY513)</f>
        <v>3600</v>
      </c>
      <c r="BF513" s="25" t="s">
        <v>1157</v>
      </c>
      <c r="BG513" s="14">
        <f t="shared" si="202"/>
        <v>320</v>
      </c>
      <c r="BH513" s="14">
        <f>SUMIFS(BG$4:BG513,AU$4:AU513,"="&amp;AU513,AY$4:AY513,"="&amp;AY513)</f>
        <v>1500</v>
      </c>
      <c r="BI513" s="25" t="s">
        <v>1158</v>
      </c>
      <c r="BJ513" s="14">
        <f t="shared" si="203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5"/>
        <v>7</v>
      </c>
      <c r="AV514" s="14">
        <f t="shared" si="196"/>
        <v>200804</v>
      </c>
      <c r="AW514" s="14">
        <f t="shared" si="197"/>
        <v>1102008</v>
      </c>
      <c r="AX514" s="13" t="s">
        <v>1127</v>
      </c>
      <c r="AY514" s="13">
        <f t="shared" si="198"/>
        <v>4</v>
      </c>
      <c r="AZ514" s="13" t="s">
        <v>1148</v>
      </c>
      <c r="BA514" s="14">
        <f t="shared" si="199"/>
        <v>0</v>
      </c>
      <c r="BB514" s="14" t="str">
        <f t="shared" si="200"/>
        <v>夏侯渊魂珠-4 等级-0</v>
      </c>
      <c r="BC514" s="25" t="s">
        <v>1156</v>
      </c>
      <c r="BD514" s="14">
        <f t="shared" si="201"/>
        <v>0</v>
      </c>
      <c r="BE514" s="14">
        <f>SUMIFS(BD$4:BD514,$AU$4:$AU514,"="&amp;$AU514,$AY$4:$AY514,"="&amp;$AY514)</f>
        <v>0</v>
      </c>
      <c r="BF514" s="25" t="s">
        <v>1157</v>
      </c>
      <c r="BG514" s="14">
        <f t="shared" si="202"/>
        <v>0</v>
      </c>
      <c r="BH514" s="14">
        <f>SUMIFS(BG$4:BG514,AU$4:AU514,"="&amp;AU514,AY$4:AY514,"="&amp;AY514)</f>
        <v>0</v>
      </c>
      <c r="BI514" s="25" t="s">
        <v>1158</v>
      </c>
      <c r="BJ514" s="14">
        <f t="shared" si="203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5"/>
        <v>7</v>
      </c>
      <c r="AV515" s="14">
        <f t="shared" si="196"/>
        <v>200804</v>
      </c>
      <c r="AW515" s="14">
        <f t="shared" si="197"/>
        <v>1102008</v>
      </c>
      <c r="AX515" s="13" t="s">
        <v>1127</v>
      </c>
      <c r="AY515" s="13">
        <f t="shared" si="198"/>
        <v>4</v>
      </c>
      <c r="AZ515" s="13" t="s">
        <v>1148</v>
      </c>
      <c r="BA515" s="14">
        <f t="shared" si="199"/>
        <v>1</v>
      </c>
      <c r="BB515" s="14" t="str">
        <f t="shared" si="200"/>
        <v>夏侯渊魂珠-4 等级-1</v>
      </c>
      <c r="BC515" s="25" t="s">
        <v>1156</v>
      </c>
      <c r="BD515" s="14">
        <f t="shared" si="201"/>
        <v>120</v>
      </c>
      <c r="BE515" s="14">
        <f>SUMIFS(BD$4:BD515,$AU$4:$AU515,"="&amp;$AU515,$AY$4:$AY515,"="&amp;$AY515)</f>
        <v>120</v>
      </c>
      <c r="BF515" s="25" t="s">
        <v>1157</v>
      </c>
      <c r="BG515" s="14">
        <f t="shared" si="202"/>
        <v>50</v>
      </c>
      <c r="BH515" s="14">
        <f>SUMIFS(BG$4:BG515,AU$4:AU515,"="&amp;AU515,AY$4:AY515,"="&amp;AY515)</f>
        <v>50</v>
      </c>
      <c r="BI515" s="25" t="s">
        <v>1158</v>
      </c>
      <c r="BJ515" s="14">
        <f t="shared" si="203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5"/>
        <v>7</v>
      </c>
      <c r="AV516" s="14">
        <f t="shared" si="196"/>
        <v>200804</v>
      </c>
      <c r="AW516" s="14">
        <f t="shared" si="197"/>
        <v>1102008</v>
      </c>
      <c r="AX516" s="13" t="s">
        <v>1127</v>
      </c>
      <c r="AY516" s="13">
        <f t="shared" si="198"/>
        <v>4</v>
      </c>
      <c r="AZ516" s="13" t="s">
        <v>1148</v>
      </c>
      <c r="BA516" s="14">
        <f t="shared" si="199"/>
        <v>2</v>
      </c>
      <c r="BB516" s="14" t="str">
        <f t="shared" si="200"/>
        <v>夏侯渊魂珠-4 等级-2</v>
      </c>
      <c r="BC516" s="25" t="s">
        <v>1156</v>
      </c>
      <c r="BD516" s="14">
        <f t="shared" si="201"/>
        <v>192</v>
      </c>
      <c r="BE516" s="14">
        <f>SUMIFS(BD$4:BD516,$AU$4:$AU516,"="&amp;$AU516,$AY$4:$AY516,"="&amp;$AY516)</f>
        <v>312</v>
      </c>
      <c r="BF516" s="25" t="s">
        <v>1157</v>
      </c>
      <c r="BG516" s="14">
        <f t="shared" si="202"/>
        <v>80</v>
      </c>
      <c r="BH516" s="14">
        <f>SUMIFS(BG$4:BG516,AU$4:AU516,"="&amp;AU516,AY$4:AY516,"="&amp;AY516)</f>
        <v>130</v>
      </c>
      <c r="BI516" s="25" t="s">
        <v>1158</v>
      </c>
      <c r="BJ516" s="14">
        <f t="shared" si="203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4">INT((AT517-1)/80)+1</f>
        <v>7</v>
      </c>
      <c r="AV517" s="14">
        <f t="shared" ref="AV517:AV580" si="205">INDEX($AJ$4:$AJ$203,(AU517-1)*8+AY517)</f>
        <v>200804</v>
      </c>
      <c r="AW517" s="14">
        <f t="shared" ref="AW517:AW580" si="206">INDEX($W$4:$W$28,AU517)</f>
        <v>1102008</v>
      </c>
      <c r="AX517" s="13" t="s">
        <v>1127</v>
      </c>
      <c r="AY517" s="13">
        <f t="shared" ref="AY517:AY580" si="207">INT(((AT517-(AU517-1)*80)-1)/10)+1</f>
        <v>4</v>
      </c>
      <c r="AZ517" s="13" t="s">
        <v>1148</v>
      </c>
      <c r="BA517" s="14">
        <f t="shared" ref="BA517:BA580" si="208">AT517-(AU517-1)*80-(AY517-1)*10-1</f>
        <v>3</v>
      </c>
      <c r="BB517" s="14" t="str">
        <f t="shared" ref="BB517:BB580" si="209">INDEX($X$4:$X$28,AU517)&amp;"魂珠-"&amp;AY517&amp;" 等级-"&amp;BA517</f>
        <v>夏侯渊魂珠-4 等级-3</v>
      </c>
      <c r="BC517" s="25" t="s">
        <v>1156</v>
      </c>
      <c r="BD517" s="14">
        <f t="shared" ref="BD517:BD580" si="210">ROUND(INDEX(Q$4:Q$83,($AY517-1)*10+$BA517+1)*INDEX(AC$4:AC$28,$AU517),0)</f>
        <v>264</v>
      </c>
      <c r="BE517" s="14">
        <f>SUMIFS(BD$4:BD517,$AU$4:$AU517,"="&amp;$AU517,$AY$4:$AY517,"="&amp;$AY517)</f>
        <v>576</v>
      </c>
      <c r="BF517" s="25" t="s">
        <v>1157</v>
      </c>
      <c r="BG517" s="14">
        <f t="shared" ref="BG517:BG580" si="211">ROUND(INDEX(R$4:R$83,($AY517-1)*10+$BA517+1)*INDEX(AD$4:AD$28,$AU517),0)</f>
        <v>110</v>
      </c>
      <c r="BH517" s="14">
        <f>SUMIFS(BG$4:BG517,AU$4:AU517,"="&amp;AU517,AY$4:AY517,"="&amp;AY517)</f>
        <v>240</v>
      </c>
      <c r="BI517" s="25" t="s">
        <v>1158</v>
      </c>
      <c r="BJ517" s="14">
        <f t="shared" ref="BJ517:BJ580" si="212">ROUND(INDEX(S$4:S$83,($AY517-1)*10+$BA517+1)*INDEX(AE$4:AE$28,$AU517),0)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4"/>
        <v>7</v>
      </c>
      <c r="AV518" s="14">
        <f t="shared" si="205"/>
        <v>200804</v>
      </c>
      <c r="AW518" s="14">
        <f t="shared" si="206"/>
        <v>1102008</v>
      </c>
      <c r="AX518" s="13" t="s">
        <v>1127</v>
      </c>
      <c r="AY518" s="13">
        <f t="shared" si="207"/>
        <v>4</v>
      </c>
      <c r="AZ518" s="13" t="s">
        <v>1148</v>
      </c>
      <c r="BA518" s="14">
        <f t="shared" si="208"/>
        <v>4</v>
      </c>
      <c r="BB518" s="14" t="str">
        <f t="shared" si="209"/>
        <v>夏侯渊魂珠-4 等级-4</v>
      </c>
      <c r="BC518" s="25" t="s">
        <v>1156</v>
      </c>
      <c r="BD518" s="14">
        <f t="shared" si="210"/>
        <v>384</v>
      </c>
      <c r="BE518" s="14">
        <f>SUMIFS(BD$4:BD518,$AU$4:$AU518,"="&amp;$AU518,$AY$4:$AY518,"="&amp;$AY518)</f>
        <v>960</v>
      </c>
      <c r="BF518" s="25" t="s">
        <v>1157</v>
      </c>
      <c r="BG518" s="14">
        <f t="shared" si="211"/>
        <v>160</v>
      </c>
      <c r="BH518" s="14">
        <f>SUMIFS(BG$4:BG518,AU$4:AU518,"="&amp;AU518,AY$4:AY518,"="&amp;AY518)</f>
        <v>400</v>
      </c>
      <c r="BI518" s="25" t="s">
        <v>1158</v>
      </c>
      <c r="BJ518" s="14">
        <f t="shared" si="212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4"/>
        <v>7</v>
      </c>
      <c r="AV519" s="14">
        <f t="shared" si="205"/>
        <v>200804</v>
      </c>
      <c r="AW519" s="14">
        <f t="shared" si="206"/>
        <v>1102008</v>
      </c>
      <c r="AX519" s="13" t="s">
        <v>1127</v>
      </c>
      <c r="AY519" s="13">
        <f t="shared" si="207"/>
        <v>4</v>
      </c>
      <c r="AZ519" s="13" t="s">
        <v>1148</v>
      </c>
      <c r="BA519" s="14">
        <f t="shared" si="208"/>
        <v>5</v>
      </c>
      <c r="BB519" s="14" t="str">
        <f t="shared" si="209"/>
        <v>夏侯渊魂珠-4 等级-5</v>
      </c>
      <c r="BC519" s="25" t="s">
        <v>1156</v>
      </c>
      <c r="BD519" s="14">
        <f t="shared" si="210"/>
        <v>504</v>
      </c>
      <c r="BE519" s="14">
        <f>SUMIFS(BD$4:BD519,$AU$4:$AU519,"="&amp;$AU519,$AY$4:$AY519,"="&amp;$AY519)</f>
        <v>1464</v>
      </c>
      <c r="BF519" s="25" t="s">
        <v>1157</v>
      </c>
      <c r="BG519" s="14">
        <f t="shared" si="211"/>
        <v>210</v>
      </c>
      <c r="BH519" s="14">
        <f>SUMIFS(BG$4:BG519,AU$4:AU519,"="&amp;AU519,AY$4:AY519,"="&amp;AY519)</f>
        <v>610</v>
      </c>
      <c r="BI519" s="25" t="s">
        <v>1158</v>
      </c>
      <c r="BJ519" s="14">
        <f t="shared" si="212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4"/>
        <v>7</v>
      </c>
      <c r="AV520" s="14">
        <f t="shared" si="205"/>
        <v>200804</v>
      </c>
      <c r="AW520" s="14">
        <f t="shared" si="206"/>
        <v>1102008</v>
      </c>
      <c r="AX520" s="13" t="s">
        <v>1127</v>
      </c>
      <c r="AY520" s="13">
        <f t="shared" si="207"/>
        <v>4</v>
      </c>
      <c r="AZ520" s="13" t="s">
        <v>1148</v>
      </c>
      <c r="BA520" s="14">
        <f t="shared" si="208"/>
        <v>6</v>
      </c>
      <c r="BB520" s="14" t="str">
        <f t="shared" si="209"/>
        <v>夏侯渊魂珠-4 等级-6</v>
      </c>
      <c r="BC520" s="25" t="s">
        <v>1156</v>
      </c>
      <c r="BD520" s="14">
        <f t="shared" si="210"/>
        <v>660</v>
      </c>
      <c r="BE520" s="14">
        <f>SUMIFS(BD$4:BD520,$AU$4:$AU520,"="&amp;$AU520,$AY$4:$AY520,"="&amp;$AY520)</f>
        <v>2124</v>
      </c>
      <c r="BF520" s="25" t="s">
        <v>1157</v>
      </c>
      <c r="BG520" s="14">
        <f t="shared" si="211"/>
        <v>275</v>
      </c>
      <c r="BH520" s="14">
        <f>SUMIFS(BG$4:BG520,AU$4:AU520,"="&amp;AU520,AY$4:AY520,"="&amp;AY520)</f>
        <v>885</v>
      </c>
      <c r="BI520" s="25" t="s">
        <v>1158</v>
      </c>
      <c r="BJ520" s="14">
        <f t="shared" si="212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4"/>
        <v>7</v>
      </c>
      <c r="AV521" s="14">
        <f t="shared" si="205"/>
        <v>200804</v>
      </c>
      <c r="AW521" s="14">
        <f t="shared" si="206"/>
        <v>1102008</v>
      </c>
      <c r="AX521" s="13" t="s">
        <v>1127</v>
      </c>
      <c r="AY521" s="13">
        <f t="shared" si="207"/>
        <v>4</v>
      </c>
      <c r="AZ521" s="13" t="s">
        <v>1148</v>
      </c>
      <c r="BA521" s="14">
        <f t="shared" si="208"/>
        <v>7</v>
      </c>
      <c r="BB521" s="14" t="str">
        <f t="shared" si="209"/>
        <v>夏侯渊魂珠-4 等级-7</v>
      </c>
      <c r="BC521" s="25" t="s">
        <v>1156</v>
      </c>
      <c r="BD521" s="14">
        <f t="shared" si="210"/>
        <v>780</v>
      </c>
      <c r="BE521" s="14">
        <f>SUMIFS(BD$4:BD521,$AU$4:$AU521,"="&amp;$AU521,$AY$4:$AY521,"="&amp;$AY521)</f>
        <v>2904</v>
      </c>
      <c r="BF521" s="25" t="s">
        <v>1157</v>
      </c>
      <c r="BG521" s="14">
        <f t="shared" si="211"/>
        <v>325</v>
      </c>
      <c r="BH521" s="14">
        <f>SUMIFS(BG$4:BG521,AU$4:AU521,"="&amp;AU521,AY$4:AY521,"="&amp;AY521)</f>
        <v>1210</v>
      </c>
      <c r="BI521" s="25" t="s">
        <v>1158</v>
      </c>
      <c r="BJ521" s="14">
        <f t="shared" si="212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4"/>
        <v>7</v>
      </c>
      <c r="AV522" s="14">
        <f t="shared" si="205"/>
        <v>200804</v>
      </c>
      <c r="AW522" s="14">
        <f t="shared" si="206"/>
        <v>1102008</v>
      </c>
      <c r="AX522" s="13" t="s">
        <v>1127</v>
      </c>
      <c r="AY522" s="13">
        <f t="shared" si="207"/>
        <v>4</v>
      </c>
      <c r="AZ522" s="13" t="s">
        <v>1148</v>
      </c>
      <c r="BA522" s="14">
        <f t="shared" si="208"/>
        <v>8</v>
      </c>
      <c r="BB522" s="14" t="str">
        <f t="shared" si="209"/>
        <v>夏侯渊魂珠-4 等级-8</v>
      </c>
      <c r="BC522" s="25" t="s">
        <v>1156</v>
      </c>
      <c r="BD522" s="14">
        <f t="shared" si="210"/>
        <v>900</v>
      </c>
      <c r="BE522" s="14">
        <f>SUMIFS(BD$4:BD522,$AU$4:$AU522,"="&amp;$AU522,$AY$4:$AY522,"="&amp;$AY522)</f>
        <v>3804</v>
      </c>
      <c r="BF522" s="25" t="s">
        <v>1157</v>
      </c>
      <c r="BG522" s="14">
        <f t="shared" si="211"/>
        <v>375</v>
      </c>
      <c r="BH522" s="14">
        <f>SUMIFS(BG$4:BG522,AU$4:AU522,"="&amp;AU522,AY$4:AY522,"="&amp;AY522)</f>
        <v>1585</v>
      </c>
      <c r="BI522" s="25" t="s">
        <v>1158</v>
      </c>
      <c r="BJ522" s="14">
        <f t="shared" si="212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4"/>
        <v>7</v>
      </c>
      <c r="AV523" s="14">
        <f t="shared" si="205"/>
        <v>200804</v>
      </c>
      <c r="AW523" s="14">
        <f t="shared" si="206"/>
        <v>1102008</v>
      </c>
      <c r="AX523" s="13" t="s">
        <v>1127</v>
      </c>
      <c r="AY523" s="13">
        <f t="shared" si="207"/>
        <v>4</v>
      </c>
      <c r="AZ523" s="13" t="s">
        <v>1148</v>
      </c>
      <c r="BA523" s="14">
        <f t="shared" si="208"/>
        <v>9</v>
      </c>
      <c r="BB523" s="14" t="str">
        <f t="shared" si="209"/>
        <v>夏侯渊魂珠-4 等级-9</v>
      </c>
      <c r="BC523" s="25" t="s">
        <v>1156</v>
      </c>
      <c r="BD523" s="14">
        <f t="shared" si="210"/>
        <v>1020</v>
      </c>
      <c r="BE523" s="14">
        <f>SUMIFS(BD$4:BD523,$AU$4:$AU523,"="&amp;$AU523,$AY$4:$AY523,"="&amp;$AY523)</f>
        <v>4824</v>
      </c>
      <c r="BF523" s="25" t="s">
        <v>1157</v>
      </c>
      <c r="BG523" s="14">
        <f t="shared" si="211"/>
        <v>425</v>
      </c>
      <c r="BH523" s="14">
        <f>SUMIFS(BG$4:BG523,AU$4:AU523,"="&amp;AU523,AY$4:AY523,"="&amp;AY523)</f>
        <v>2010</v>
      </c>
      <c r="BI523" s="25" t="s">
        <v>1158</v>
      </c>
      <c r="BJ523" s="14">
        <f t="shared" si="212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4"/>
        <v>7</v>
      </c>
      <c r="AV524" s="14">
        <f t="shared" si="205"/>
        <v>200805</v>
      </c>
      <c r="AW524" s="14">
        <f t="shared" si="206"/>
        <v>1102008</v>
      </c>
      <c r="AX524" s="13" t="s">
        <v>1127</v>
      </c>
      <c r="AY524" s="13">
        <f t="shared" si="207"/>
        <v>5</v>
      </c>
      <c r="AZ524" s="13" t="s">
        <v>1148</v>
      </c>
      <c r="BA524" s="14">
        <f t="shared" si="208"/>
        <v>0</v>
      </c>
      <c r="BB524" s="14" t="str">
        <f t="shared" si="209"/>
        <v>夏侯渊魂珠-5 等级-0</v>
      </c>
      <c r="BC524" s="25" t="s">
        <v>1156</v>
      </c>
      <c r="BD524" s="14">
        <f t="shared" si="210"/>
        <v>0</v>
      </c>
      <c r="BE524" s="14">
        <f>SUMIFS(BD$4:BD524,$AU$4:$AU524,"="&amp;$AU524,$AY$4:$AY524,"="&amp;$AY524)</f>
        <v>0</v>
      </c>
      <c r="BF524" s="25" t="s">
        <v>1157</v>
      </c>
      <c r="BG524" s="14">
        <f t="shared" si="211"/>
        <v>0</v>
      </c>
      <c r="BH524" s="14">
        <f>SUMIFS(BG$4:BG524,AU$4:AU524,"="&amp;AU524,AY$4:AY524,"="&amp;AY524)</f>
        <v>0</v>
      </c>
      <c r="BI524" s="25" t="s">
        <v>1158</v>
      </c>
      <c r="BJ524" s="14">
        <f t="shared" si="212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4"/>
        <v>7</v>
      </c>
      <c r="AV525" s="14">
        <f t="shared" si="205"/>
        <v>200805</v>
      </c>
      <c r="AW525" s="14">
        <f t="shared" si="206"/>
        <v>1102008</v>
      </c>
      <c r="AX525" s="13" t="s">
        <v>1127</v>
      </c>
      <c r="AY525" s="13">
        <f t="shared" si="207"/>
        <v>5</v>
      </c>
      <c r="AZ525" s="13" t="s">
        <v>1148</v>
      </c>
      <c r="BA525" s="14">
        <f t="shared" si="208"/>
        <v>1</v>
      </c>
      <c r="BB525" s="14" t="str">
        <f t="shared" si="209"/>
        <v>夏侯渊魂珠-5 等级-1</v>
      </c>
      <c r="BC525" s="25" t="s">
        <v>1156</v>
      </c>
      <c r="BD525" s="14">
        <f t="shared" si="210"/>
        <v>168</v>
      </c>
      <c r="BE525" s="14">
        <f>SUMIFS(BD$4:BD525,$AU$4:$AU525,"="&amp;$AU525,$AY$4:$AY525,"="&amp;$AY525)</f>
        <v>168</v>
      </c>
      <c r="BF525" s="25" t="s">
        <v>1157</v>
      </c>
      <c r="BG525" s="14">
        <f t="shared" si="211"/>
        <v>70</v>
      </c>
      <c r="BH525" s="14">
        <f>SUMIFS(BG$4:BG525,AU$4:AU525,"="&amp;AU525,AY$4:AY525,"="&amp;AY525)</f>
        <v>70</v>
      </c>
      <c r="BI525" s="25" t="s">
        <v>1158</v>
      </c>
      <c r="BJ525" s="14">
        <f t="shared" si="212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4"/>
        <v>7</v>
      </c>
      <c r="AV526" s="14">
        <f t="shared" si="205"/>
        <v>200805</v>
      </c>
      <c r="AW526" s="14">
        <f t="shared" si="206"/>
        <v>1102008</v>
      </c>
      <c r="AX526" s="13" t="s">
        <v>1127</v>
      </c>
      <c r="AY526" s="13">
        <f t="shared" si="207"/>
        <v>5</v>
      </c>
      <c r="AZ526" s="13" t="s">
        <v>1148</v>
      </c>
      <c r="BA526" s="14">
        <f t="shared" si="208"/>
        <v>2</v>
      </c>
      <c r="BB526" s="14" t="str">
        <f t="shared" si="209"/>
        <v>夏侯渊魂珠-5 等级-2</v>
      </c>
      <c r="BC526" s="25" t="s">
        <v>1156</v>
      </c>
      <c r="BD526" s="14">
        <f t="shared" si="210"/>
        <v>240</v>
      </c>
      <c r="BE526" s="14">
        <f>SUMIFS(BD$4:BD526,$AU$4:$AU526,"="&amp;$AU526,$AY$4:$AY526,"="&amp;$AY526)</f>
        <v>408</v>
      </c>
      <c r="BF526" s="25" t="s">
        <v>1157</v>
      </c>
      <c r="BG526" s="14">
        <f t="shared" si="211"/>
        <v>100</v>
      </c>
      <c r="BH526" s="14">
        <f>SUMIFS(BG$4:BG526,AU$4:AU526,"="&amp;AU526,AY$4:AY526,"="&amp;AY526)</f>
        <v>170</v>
      </c>
      <c r="BI526" s="25" t="s">
        <v>1158</v>
      </c>
      <c r="BJ526" s="14">
        <f t="shared" si="212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4"/>
        <v>7</v>
      </c>
      <c r="AV527" s="14">
        <f t="shared" si="205"/>
        <v>200805</v>
      </c>
      <c r="AW527" s="14">
        <f t="shared" si="206"/>
        <v>1102008</v>
      </c>
      <c r="AX527" s="13" t="s">
        <v>1127</v>
      </c>
      <c r="AY527" s="13">
        <f t="shared" si="207"/>
        <v>5</v>
      </c>
      <c r="AZ527" s="13" t="s">
        <v>1148</v>
      </c>
      <c r="BA527" s="14">
        <f t="shared" si="208"/>
        <v>3</v>
      </c>
      <c r="BB527" s="14" t="str">
        <f t="shared" si="209"/>
        <v>夏侯渊魂珠-5 等级-3</v>
      </c>
      <c r="BC527" s="25" t="s">
        <v>1156</v>
      </c>
      <c r="BD527" s="14">
        <f t="shared" si="210"/>
        <v>312</v>
      </c>
      <c r="BE527" s="14">
        <f>SUMIFS(BD$4:BD527,$AU$4:$AU527,"="&amp;$AU527,$AY$4:$AY527,"="&amp;$AY527)</f>
        <v>720</v>
      </c>
      <c r="BF527" s="25" t="s">
        <v>1157</v>
      </c>
      <c r="BG527" s="14">
        <f t="shared" si="211"/>
        <v>130</v>
      </c>
      <c r="BH527" s="14">
        <f>SUMIFS(BG$4:BG527,AU$4:AU527,"="&amp;AU527,AY$4:AY527,"="&amp;AY527)</f>
        <v>300</v>
      </c>
      <c r="BI527" s="25" t="s">
        <v>1158</v>
      </c>
      <c r="BJ527" s="14">
        <f t="shared" si="212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4"/>
        <v>7</v>
      </c>
      <c r="AV528" s="14">
        <f t="shared" si="205"/>
        <v>200805</v>
      </c>
      <c r="AW528" s="14">
        <f t="shared" si="206"/>
        <v>1102008</v>
      </c>
      <c r="AX528" s="13" t="s">
        <v>1127</v>
      </c>
      <c r="AY528" s="13">
        <f t="shared" si="207"/>
        <v>5</v>
      </c>
      <c r="AZ528" s="13" t="s">
        <v>1148</v>
      </c>
      <c r="BA528" s="14">
        <f t="shared" si="208"/>
        <v>4</v>
      </c>
      <c r="BB528" s="14" t="str">
        <f t="shared" si="209"/>
        <v>夏侯渊魂珠-5 等级-4</v>
      </c>
      <c r="BC528" s="25" t="s">
        <v>1156</v>
      </c>
      <c r="BD528" s="14">
        <f t="shared" si="210"/>
        <v>480</v>
      </c>
      <c r="BE528" s="14">
        <f>SUMIFS(BD$4:BD528,$AU$4:$AU528,"="&amp;$AU528,$AY$4:$AY528,"="&amp;$AY528)</f>
        <v>1200</v>
      </c>
      <c r="BF528" s="25" t="s">
        <v>1157</v>
      </c>
      <c r="BG528" s="14">
        <f t="shared" si="211"/>
        <v>200</v>
      </c>
      <c r="BH528" s="14">
        <f>SUMIFS(BG$4:BG528,AU$4:AU528,"="&amp;AU528,AY$4:AY528,"="&amp;AY528)</f>
        <v>500</v>
      </c>
      <c r="BI528" s="25" t="s">
        <v>1158</v>
      </c>
      <c r="BJ528" s="14">
        <f t="shared" si="212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4"/>
        <v>7</v>
      </c>
      <c r="AV529" s="14">
        <f t="shared" si="205"/>
        <v>200805</v>
      </c>
      <c r="AW529" s="14">
        <f t="shared" si="206"/>
        <v>1102008</v>
      </c>
      <c r="AX529" s="13" t="s">
        <v>1127</v>
      </c>
      <c r="AY529" s="13">
        <f t="shared" si="207"/>
        <v>5</v>
      </c>
      <c r="AZ529" s="13" t="s">
        <v>1148</v>
      </c>
      <c r="BA529" s="14">
        <f t="shared" si="208"/>
        <v>5</v>
      </c>
      <c r="BB529" s="14" t="str">
        <f t="shared" si="209"/>
        <v>夏侯渊魂珠-5 等级-5</v>
      </c>
      <c r="BC529" s="25" t="s">
        <v>1156</v>
      </c>
      <c r="BD529" s="14">
        <f t="shared" si="210"/>
        <v>624</v>
      </c>
      <c r="BE529" s="14">
        <f>SUMIFS(BD$4:BD529,$AU$4:$AU529,"="&amp;$AU529,$AY$4:$AY529,"="&amp;$AY529)</f>
        <v>1824</v>
      </c>
      <c r="BF529" s="25" t="s">
        <v>1157</v>
      </c>
      <c r="BG529" s="14">
        <f t="shared" si="211"/>
        <v>260</v>
      </c>
      <c r="BH529" s="14">
        <f>SUMIFS(BG$4:BG529,AU$4:AU529,"="&amp;AU529,AY$4:AY529,"="&amp;AY529)</f>
        <v>760</v>
      </c>
      <c r="BI529" s="25" t="s">
        <v>1158</v>
      </c>
      <c r="BJ529" s="14">
        <f t="shared" si="212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4"/>
        <v>7</v>
      </c>
      <c r="AV530" s="14">
        <f t="shared" si="205"/>
        <v>200805</v>
      </c>
      <c r="AW530" s="14">
        <f t="shared" si="206"/>
        <v>1102008</v>
      </c>
      <c r="AX530" s="13" t="s">
        <v>1127</v>
      </c>
      <c r="AY530" s="13">
        <f t="shared" si="207"/>
        <v>5</v>
      </c>
      <c r="AZ530" s="13" t="s">
        <v>1148</v>
      </c>
      <c r="BA530" s="14">
        <f t="shared" si="208"/>
        <v>6</v>
      </c>
      <c r="BB530" s="14" t="str">
        <f t="shared" si="209"/>
        <v>夏侯渊魂珠-5 等级-6</v>
      </c>
      <c r="BC530" s="25" t="s">
        <v>1156</v>
      </c>
      <c r="BD530" s="14">
        <f t="shared" si="210"/>
        <v>780</v>
      </c>
      <c r="BE530" s="14">
        <f>SUMIFS(BD$4:BD530,$AU$4:$AU530,"="&amp;$AU530,$AY$4:$AY530,"="&amp;$AY530)</f>
        <v>2604</v>
      </c>
      <c r="BF530" s="25" t="s">
        <v>1157</v>
      </c>
      <c r="BG530" s="14">
        <f t="shared" si="211"/>
        <v>325</v>
      </c>
      <c r="BH530" s="14">
        <f>SUMIFS(BG$4:BG530,AU$4:AU530,"="&amp;AU530,AY$4:AY530,"="&amp;AY530)</f>
        <v>1085</v>
      </c>
      <c r="BI530" s="25" t="s">
        <v>1158</v>
      </c>
      <c r="BJ530" s="14">
        <f t="shared" si="212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4"/>
        <v>7</v>
      </c>
      <c r="AV531" s="14">
        <f t="shared" si="205"/>
        <v>200805</v>
      </c>
      <c r="AW531" s="14">
        <f t="shared" si="206"/>
        <v>1102008</v>
      </c>
      <c r="AX531" s="13" t="s">
        <v>1127</v>
      </c>
      <c r="AY531" s="13">
        <f t="shared" si="207"/>
        <v>5</v>
      </c>
      <c r="AZ531" s="13" t="s">
        <v>1148</v>
      </c>
      <c r="BA531" s="14">
        <f t="shared" si="208"/>
        <v>7</v>
      </c>
      <c r="BB531" s="14" t="str">
        <f t="shared" si="209"/>
        <v>夏侯渊魂珠-5 等级-7</v>
      </c>
      <c r="BC531" s="25" t="s">
        <v>1156</v>
      </c>
      <c r="BD531" s="14">
        <f t="shared" si="210"/>
        <v>960</v>
      </c>
      <c r="BE531" s="14">
        <f>SUMIFS(BD$4:BD531,$AU$4:$AU531,"="&amp;$AU531,$AY$4:$AY531,"="&amp;$AY531)</f>
        <v>3564</v>
      </c>
      <c r="BF531" s="25" t="s">
        <v>1157</v>
      </c>
      <c r="BG531" s="14">
        <f t="shared" si="211"/>
        <v>400</v>
      </c>
      <c r="BH531" s="14">
        <f>SUMIFS(BG$4:BG531,AU$4:AU531,"="&amp;AU531,AY$4:AY531,"="&amp;AY531)</f>
        <v>1485</v>
      </c>
      <c r="BI531" s="25" t="s">
        <v>1158</v>
      </c>
      <c r="BJ531" s="14">
        <f t="shared" si="212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4"/>
        <v>7</v>
      </c>
      <c r="AV532" s="14">
        <f t="shared" si="205"/>
        <v>200805</v>
      </c>
      <c r="AW532" s="14">
        <f t="shared" si="206"/>
        <v>1102008</v>
      </c>
      <c r="AX532" s="13" t="s">
        <v>1127</v>
      </c>
      <c r="AY532" s="13">
        <f t="shared" si="207"/>
        <v>5</v>
      </c>
      <c r="AZ532" s="13" t="s">
        <v>1148</v>
      </c>
      <c r="BA532" s="14">
        <f t="shared" si="208"/>
        <v>8</v>
      </c>
      <c r="BB532" s="14" t="str">
        <f t="shared" si="209"/>
        <v>夏侯渊魂珠-5 等级-8</v>
      </c>
      <c r="BC532" s="25" t="s">
        <v>1156</v>
      </c>
      <c r="BD532" s="14">
        <f t="shared" si="210"/>
        <v>1140</v>
      </c>
      <c r="BE532" s="14">
        <f>SUMIFS(BD$4:BD532,$AU$4:$AU532,"="&amp;$AU532,$AY$4:$AY532,"="&amp;$AY532)</f>
        <v>4704</v>
      </c>
      <c r="BF532" s="25" t="s">
        <v>1157</v>
      </c>
      <c r="BG532" s="14">
        <f t="shared" si="211"/>
        <v>475</v>
      </c>
      <c r="BH532" s="14">
        <f>SUMIFS(BG$4:BG532,AU$4:AU532,"="&amp;AU532,AY$4:AY532,"="&amp;AY532)</f>
        <v>1960</v>
      </c>
      <c r="BI532" s="25" t="s">
        <v>1158</v>
      </c>
      <c r="BJ532" s="14">
        <f t="shared" si="212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4"/>
        <v>7</v>
      </c>
      <c r="AV533" s="14">
        <f t="shared" si="205"/>
        <v>200805</v>
      </c>
      <c r="AW533" s="14">
        <f t="shared" si="206"/>
        <v>1102008</v>
      </c>
      <c r="AX533" s="13" t="s">
        <v>1127</v>
      </c>
      <c r="AY533" s="13">
        <f t="shared" si="207"/>
        <v>5</v>
      </c>
      <c r="AZ533" s="13" t="s">
        <v>1148</v>
      </c>
      <c r="BA533" s="14">
        <f t="shared" si="208"/>
        <v>9</v>
      </c>
      <c r="BB533" s="14" t="str">
        <f t="shared" si="209"/>
        <v>夏侯渊魂珠-5 等级-9</v>
      </c>
      <c r="BC533" s="25" t="s">
        <v>1156</v>
      </c>
      <c r="BD533" s="14">
        <f t="shared" si="210"/>
        <v>1320</v>
      </c>
      <c r="BE533" s="14">
        <f>SUMIFS(BD$4:BD533,$AU$4:$AU533,"="&amp;$AU533,$AY$4:$AY533,"="&amp;$AY533)</f>
        <v>6024</v>
      </c>
      <c r="BF533" s="25" t="s">
        <v>1157</v>
      </c>
      <c r="BG533" s="14">
        <f t="shared" si="211"/>
        <v>550</v>
      </c>
      <c r="BH533" s="14">
        <f>SUMIFS(BG$4:BG533,AU$4:AU533,"="&amp;AU533,AY$4:AY533,"="&amp;AY533)</f>
        <v>2510</v>
      </c>
      <c r="BI533" s="25" t="s">
        <v>1158</v>
      </c>
      <c r="BJ533" s="14">
        <f t="shared" si="212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4"/>
        <v>7</v>
      </c>
      <c r="AV534" s="14">
        <f t="shared" si="205"/>
        <v>200806</v>
      </c>
      <c r="AW534" s="14">
        <f t="shared" si="206"/>
        <v>1102008</v>
      </c>
      <c r="AX534" s="13" t="s">
        <v>1127</v>
      </c>
      <c r="AY534" s="13">
        <f t="shared" si="207"/>
        <v>6</v>
      </c>
      <c r="AZ534" s="13" t="s">
        <v>1148</v>
      </c>
      <c r="BA534" s="14">
        <f t="shared" si="208"/>
        <v>0</v>
      </c>
      <c r="BB534" s="14" t="str">
        <f t="shared" si="209"/>
        <v>夏侯渊魂珠-6 等级-0</v>
      </c>
      <c r="BC534" s="25" t="s">
        <v>1156</v>
      </c>
      <c r="BD534" s="14">
        <f t="shared" si="210"/>
        <v>0</v>
      </c>
      <c r="BE534" s="14">
        <f>SUMIFS(BD$4:BD534,$AU$4:$AU534,"="&amp;$AU534,$AY$4:$AY534,"="&amp;$AY534)</f>
        <v>0</v>
      </c>
      <c r="BF534" s="25" t="s">
        <v>1157</v>
      </c>
      <c r="BG534" s="14">
        <f t="shared" si="211"/>
        <v>0</v>
      </c>
      <c r="BH534" s="14">
        <f>SUMIFS(BG$4:BG534,AU$4:AU534,"="&amp;AU534,AY$4:AY534,"="&amp;AY534)</f>
        <v>0</v>
      </c>
      <c r="BI534" s="25" t="s">
        <v>1158</v>
      </c>
      <c r="BJ534" s="14">
        <f t="shared" si="212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4"/>
        <v>7</v>
      </c>
      <c r="AV535" s="14">
        <f t="shared" si="205"/>
        <v>200806</v>
      </c>
      <c r="AW535" s="14">
        <f t="shared" si="206"/>
        <v>1102008</v>
      </c>
      <c r="AX535" s="13" t="s">
        <v>1127</v>
      </c>
      <c r="AY535" s="13">
        <f t="shared" si="207"/>
        <v>6</v>
      </c>
      <c r="AZ535" s="13" t="s">
        <v>1148</v>
      </c>
      <c r="BA535" s="14">
        <f t="shared" si="208"/>
        <v>1</v>
      </c>
      <c r="BB535" s="14" t="str">
        <f t="shared" si="209"/>
        <v>夏侯渊魂珠-6 等级-1</v>
      </c>
      <c r="BC535" s="25" t="s">
        <v>1156</v>
      </c>
      <c r="BD535" s="14">
        <f t="shared" si="210"/>
        <v>216</v>
      </c>
      <c r="BE535" s="14">
        <f>SUMIFS(BD$4:BD535,$AU$4:$AU535,"="&amp;$AU535,$AY$4:$AY535,"="&amp;$AY535)</f>
        <v>216</v>
      </c>
      <c r="BF535" s="25" t="s">
        <v>1157</v>
      </c>
      <c r="BG535" s="14">
        <f t="shared" si="211"/>
        <v>90</v>
      </c>
      <c r="BH535" s="14">
        <f>SUMIFS(BG$4:BG535,AU$4:AU535,"="&amp;AU535,AY$4:AY535,"="&amp;AY535)</f>
        <v>90</v>
      </c>
      <c r="BI535" s="25" t="s">
        <v>1158</v>
      </c>
      <c r="BJ535" s="14">
        <f t="shared" si="212"/>
        <v>5400</v>
      </c>
      <c r="BK535" s="14">
        <f>SUMIFS(BJ$4:BJ535,$AU$4:$AU535,"="&amp;$AU535,$AY$4:$AY535,"="&amp;$AY535)</f>
        <v>5400</v>
      </c>
    </row>
    <row r="536" spans="46:63" ht="16.5" x14ac:dyDescent="0.2">
      <c r="AT536" s="13">
        <v>533</v>
      </c>
      <c r="AU536" s="13">
        <f t="shared" si="204"/>
        <v>7</v>
      </c>
      <c r="AV536" s="14">
        <f t="shared" si="205"/>
        <v>200806</v>
      </c>
      <c r="AW536" s="14">
        <f t="shared" si="206"/>
        <v>1102008</v>
      </c>
      <c r="AX536" s="13" t="s">
        <v>1127</v>
      </c>
      <c r="AY536" s="13">
        <f t="shared" si="207"/>
        <v>6</v>
      </c>
      <c r="AZ536" s="13" t="s">
        <v>1148</v>
      </c>
      <c r="BA536" s="14">
        <f t="shared" si="208"/>
        <v>2</v>
      </c>
      <c r="BB536" s="14" t="str">
        <f t="shared" si="209"/>
        <v>夏侯渊魂珠-6 等级-2</v>
      </c>
      <c r="BC536" s="25" t="s">
        <v>1156</v>
      </c>
      <c r="BD536" s="14">
        <f t="shared" si="210"/>
        <v>336</v>
      </c>
      <c r="BE536" s="14">
        <f>SUMIFS(BD$4:BD536,$AU$4:$AU536,"="&amp;$AU536,$AY$4:$AY536,"="&amp;$AY536)</f>
        <v>552</v>
      </c>
      <c r="BF536" s="25" t="s">
        <v>1157</v>
      </c>
      <c r="BG536" s="14">
        <f t="shared" si="211"/>
        <v>140</v>
      </c>
      <c r="BH536" s="14">
        <f>SUMIFS(BG$4:BG536,AU$4:AU536,"="&amp;AU536,AY$4:AY536,"="&amp;AY536)</f>
        <v>230</v>
      </c>
      <c r="BI536" s="25" t="s">
        <v>1158</v>
      </c>
      <c r="BJ536" s="14">
        <f t="shared" si="212"/>
        <v>8400</v>
      </c>
      <c r="BK536" s="14">
        <f>SUMIFS(BJ$4:BJ536,$AU$4:$AU536,"="&amp;$AU536,$AY$4:$AY536,"="&amp;$AY536)</f>
        <v>13800</v>
      </c>
    </row>
    <row r="537" spans="46:63" ht="16.5" x14ac:dyDescent="0.2">
      <c r="AT537" s="13">
        <v>534</v>
      </c>
      <c r="AU537" s="13">
        <f t="shared" si="204"/>
        <v>7</v>
      </c>
      <c r="AV537" s="14">
        <f t="shared" si="205"/>
        <v>200806</v>
      </c>
      <c r="AW537" s="14">
        <f t="shared" si="206"/>
        <v>1102008</v>
      </c>
      <c r="AX537" s="13" t="s">
        <v>1127</v>
      </c>
      <c r="AY537" s="13">
        <f t="shared" si="207"/>
        <v>6</v>
      </c>
      <c r="AZ537" s="13" t="s">
        <v>1148</v>
      </c>
      <c r="BA537" s="14">
        <f t="shared" si="208"/>
        <v>3</v>
      </c>
      <c r="BB537" s="14" t="str">
        <f t="shared" si="209"/>
        <v>夏侯渊魂珠-6 等级-3</v>
      </c>
      <c r="BC537" s="25" t="s">
        <v>1156</v>
      </c>
      <c r="BD537" s="14">
        <f t="shared" si="210"/>
        <v>450</v>
      </c>
      <c r="BE537" s="14">
        <f>SUMIFS(BD$4:BD537,$AU$4:$AU537,"="&amp;$AU537,$AY$4:$AY537,"="&amp;$AY537)</f>
        <v>1002</v>
      </c>
      <c r="BF537" s="25" t="s">
        <v>1157</v>
      </c>
      <c r="BG537" s="14">
        <f t="shared" si="211"/>
        <v>188</v>
      </c>
      <c r="BH537" s="14">
        <f>SUMIFS(BG$4:BG537,AU$4:AU537,"="&amp;AU537,AY$4:AY537,"="&amp;AY537)</f>
        <v>418</v>
      </c>
      <c r="BI537" s="25" t="s">
        <v>1158</v>
      </c>
      <c r="BJ537" s="14">
        <f t="shared" si="212"/>
        <v>11250</v>
      </c>
      <c r="BK537" s="14">
        <f>SUMIFS(BJ$4:BJ537,$AU$4:$AU537,"="&amp;$AU537,$AY$4:$AY537,"="&amp;$AY537)</f>
        <v>25050</v>
      </c>
    </row>
    <row r="538" spans="46:63" ht="16.5" x14ac:dyDescent="0.2">
      <c r="AT538" s="13">
        <v>535</v>
      </c>
      <c r="AU538" s="13">
        <f t="shared" si="204"/>
        <v>7</v>
      </c>
      <c r="AV538" s="14">
        <f t="shared" si="205"/>
        <v>200806</v>
      </c>
      <c r="AW538" s="14">
        <f t="shared" si="206"/>
        <v>1102008</v>
      </c>
      <c r="AX538" s="13" t="s">
        <v>1127</v>
      </c>
      <c r="AY538" s="13">
        <f t="shared" si="207"/>
        <v>6</v>
      </c>
      <c r="AZ538" s="13" t="s">
        <v>1148</v>
      </c>
      <c r="BA538" s="14">
        <f t="shared" si="208"/>
        <v>4</v>
      </c>
      <c r="BB538" s="14" t="str">
        <f t="shared" si="209"/>
        <v>夏侯渊魂珠-6 等级-4</v>
      </c>
      <c r="BC538" s="25" t="s">
        <v>1156</v>
      </c>
      <c r="BD538" s="14">
        <f t="shared" si="210"/>
        <v>672</v>
      </c>
      <c r="BE538" s="14">
        <f>SUMIFS(BD$4:BD538,$AU$4:$AU538,"="&amp;$AU538,$AY$4:$AY538,"="&amp;$AY538)</f>
        <v>1674</v>
      </c>
      <c r="BF538" s="25" t="s">
        <v>1157</v>
      </c>
      <c r="BG538" s="14">
        <f t="shared" si="211"/>
        <v>280</v>
      </c>
      <c r="BH538" s="14">
        <f>SUMIFS(BG$4:BG538,AU$4:AU538,"="&amp;AU538,AY$4:AY538,"="&amp;AY538)</f>
        <v>698</v>
      </c>
      <c r="BI538" s="25" t="s">
        <v>1158</v>
      </c>
      <c r="BJ538" s="14">
        <f t="shared" si="212"/>
        <v>16800</v>
      </c>
      <c r="BK538" s="14">
        <f>SUMIFS(BJ$4:BJ538,$AU$4:$AU538,"="&amp;$AU538,$AY$4:$AY538,"="&amp;$AY538)</f>
        <v>41850</v>
      </c>
    </row>
    <row r="539" spans="46:63" ht="16.5" x14ac:dyDescent="0.2">
      <c r="AT539" s="13">
        <v>536</v>
      </c>
      <c r="AU539" s="13">
        <f t="shared" si="204"/>
        <v>7</v>
      </c>
      <c r="AV539" s="14">
        <f t="shared" si="205"/>
        <v>200806</v>
      </c>
      <c r="AW539" s="14">
        <f t="shared" si="206"/>
        <v>1102008</v>
      </c>
      <c r="AX539" s="13" t="s">
        <v>1127</v>
      </c>
      <c r="AY539" s="13">
        <f t="shared" si="207"/>
        <v>6</v>
      </c>
      <c r="AZ539" s="13" t="s">
        <v>1148</v>
      </c>
      <c r="BA539" s="14">
        <f t="shared" si="208"/>
        <v>5</v>
      </c>
      <c r="BB539" s="14" t="str">
        <f t="shared" si="209"/>
        <v>夏侯渊魂珠-6 等级-5</v>
      </c>
      <c r="BC539" s="25" t="s">
        <v>1156</v>
      </c>
      <c r="BD539" s="14">
        <f t="shared" si="210"/>
        <v>900</v>
      </c>
      <c r="BE539" s="14">
        <f>SUMIFS(BD$4:BD539,$AU$4:$AU539,"="&amp;$AU539,$AY$4:$AY539,"="&amp;$AY539)</f>
        <v>2574</v>
      </c>
      <c r="BF539" s="25" t="s">
        <v>1157</v>
      </c>
      <c r="BG539" s="14">
        <f t="shared" si="211"/>
        <v>375</v>
      </c>
      <c r="BH539" s="14">
        <f>SUMIFS(BG$4:BG539,AU$4:AU539,"="&amp;AU539,AY$4:AY539,"="&amp;AY539)</f>
        <v>1073</v>
      </c>
      <c r="BI539" s="25" t="s">
        <v>1158</v>
      </c>
      <c r="BJ539" s="14">
        <f t="shared" si="212"/>
        <v>22500</v>
      </c>
      <c r="BK539" s="14">
        <f>SUMIFS(BJ$4:BJ539,$AU$4:$AU539,"="&amp;$AU539,$AY$4:$AY539,"="&amp;$AY539)</f>
        <v>64350</v>
      </c>
    </row>
    <row r="540" spans="46:63" ht="16.5" x14ac:dyDescent="0.2">
      <c r="AT540" s="13">
        <v>537</v>
      </c>
      <c r="AU540" s="13">
        <f t="shared" si="204"/>
        <v>7</v>
      </c>
      <c r="AV540" s="14">
        <f t="shared" si="205"/>
        <v>200806</v>
      </c>
      <c r="AW540" s="14">
        <f t="shared" si="206"/>
        <v>1102008</v>
      </c>
      <c r="AX540" s="13" t="s">
        <v>1127</v>
      </c>
      <c r="AY540" s="13">
        <f t="shared" si="207"/>
        <v>6</v>
      </c>
      <c r="AZ540" s="13" t="s">
        <v>1148</v>
      </c>
      <c r="BA540" s="14">
        <f t="shared" si="208"/>
        <v>6</v>
      </c>
      <c r="BB540" s="14" t="str">
        <f t="shared" si="209"/>
        <v>夏侯渊魂珠-6 等级-6</v>
      </c>
      <c r="BC540" s="25" t="s">
        <v>1156</v>
      </c>
      <c r="BD540" s="14">
        <f t="shared" si="210"/>
        <v>1140</v>
      </c>
      <c r="BE540" s="14">
        <f>SUMIFS(BD$4:BD540,$AU$4:$AU540,"="&amp;$AU540,$AY$4:$AY540,"="&amp;$AY540)</f>
        <v>3714</v>
      </c>
      <c r="BF540" s="25" t="s">
        <v>1157</v>
      </c>
      <c r="BG540" s="14">
        <f t="shared" si="211"/>
        <v>475</v>
      </c>
      <c r="BH540" s="14">
        <f>SUMIFS(BG$4:BG540,AU$4:AU540,"="&amp;AU540,AY$4:AY540,"="&amp;AY540)</f>
        <v>1548</v>
      </c>
      <c r="BI540" s="25" t="s">
        <v>1158</v>
      </c>
      <c r="BJ540" s="14">
        <f t="shared" si="212"/>
        <v>28500</v>
      </c>
      <c r="BK540" s="14">
        <f>SUMIFS(BJ$4:BJ540,$AU$4:$AU540,"="&amp;$AU540,$AY$4:$AY540,"="&amp;$AY540)</f>
        <v>92850</v>
      </c>
    </row>
    <row r="541" spans="46:63" ht="16.5" x14ac:dyDescent="0.2">
      <c r="AT541" s="13">
        <v>538</v>
      </c>
      <c r="AU541" s="13">
        <f t="shared" si="204"/>
        <v>7</v>
      </c>
      <c r="AV541" s="14">
        <f t="shared" si="205"/>
        <v>200806</v>
      </c>
      <c r="AW541" s="14">
        <f t="shared" si="206"/>
        <v>1102008</v>
      </c>
      <c r="AX541" s="13" t="s">
        <v>1127</v>
      </c>
      <c r="AY541" s="13">
        <f t="shared" si="207"/>
        <v>6</v>
      </c>
      <c r="AZ541" s="13" t="s">
        <v>1148</v>
      </c>
      <c r="BA541" s="14">
        <f t="shared" si="208"/>
        <v>7</v>
      </c>
      <c r="BB541" s="14" t="str">
        <f t="shared" si="209"/>
        <v>夏侯渊魂珠-6 等级-7</v>
      </c>
      <c r="BC541" s="25" t="s">
        <v>1156</v>
      </c>
      <c r="BD541" s="14">
        <f t="shared" si="210"/>
        <v>1380</v>
      </c>
      <c r="BE541" s="14">
        <f>SUMIFS(BD$4:BD541,$AU$4:$AU541,"="&amp;$AU541,$AY$4:$AY541,"="&amp;$AY541)</f>
        <v>5094</v>
      </c>
      <c r="BF541" s="25" t="s">
        <v>1157</v>
      </c>
      <c r="BG541" s="14">
        <f t="shared" si="211"/>
        <v>575</v>
      </c>
      <c r="BH541" s="14">
        <f>SUMIFS(BG$4:BG541,AU$4:AU541,"="&amp;AU541,AY$4:AY541,"="&amp;AY541)</f>
        <v>2123</v>
      </c>
      <c r="BI541" s="25" t="s">
        <v>1158</v>
      </c>
      <c r="BJ541" s="14">
        <f t="shared" si="212"/>
        <v>34500</v>
      </c>
      <c r="BK541" s="14">
        <f>SUMIFS(BJ$4:BJ541,$AU$4:$AU541,"="&amp;$AU541,$AY$4:$AY541,"="&amp;$AY541)</f>
        <v>127350</v>
      </c>
    </row>
    <row r="542" spans="46:63" ht="16.5" x14ac:dyDescent="0.2">
      <c r="AT542" s="13">
        <v>539</v>
      </c>
      <c r="AU542" s="13">
        <f t="shared" si="204"/>
        <v>7</v>
      </c>
      <c r="AV542" s="14">
        <f t="shared" si="205"/>
        <v>200806</v>
      </c>
      <c r="AW542" s="14">
        <f t="shared" si="206"/>
        <v>1102008</v>
      </c>
      <c r="AX542" s="13" t="s">
        <v>1127</v>
      </c>
      <c r="AY542" s="13">
        <f t="shared" si="207"/>
        <v>6</v>
      </c>
      <c r="AZ542" s="13" t="s">
        <v>1148</v>
      </c>
      <c r="BA542" s="14">
        <f t="shared" si="208"/>
        <v>8</v>
      </c>
      <c r="BB542" s="14" t="str">
        <f t="shared" si="209"/>
        <v>夏侯渊魂珠-6 等级-8</v>
      </c>
      <c r="BC542" s="25" t="s">
        <v>1156</v>
      </c>
      <c r="BD542" s="14">
        <f t="shared" si="210"/>
        <v>1560</v>
      </c>
      <c r="BE542" s="14">
        <f>SUMIFS(BD$4:BD542,$AU$4:$AU542,"="&amp;$AU542,$AY$4:$AY542,"="&amp;$AY542)</f>
        <v>6654</v>
      </c>
      <c r="BF542" s="25" t="s">
        <v>1157</v>
      </c>
      <c r="BG542" s="14">
        <f t="shared" si="211"/>
        <v>650</v>
      </c>
      <c r="BH542" s="14">
        <f>SUMIFS(BG$4:BG542,AU$4:AU542,"="&amp;AU542,AY$4:AY542,"="&amp;AY542)</f>
        <v>2773</v>
      </c>
      <c r="BI542" s="25" t="s">
        <v>1158</v>
      </c>
      <c r="BJ542" s="14">
        <f t="shared" si="212"/>
        <v>39000</v>
      </c>
      <c r="BK542" s="14">
        <f>SUMIFS(BJ$4:BJ542,$AU$4:$AU542,"="&amp;$AU542,$AY$4:$AY542,"="&amp;$AY542)</f>
        <v>166350</v>
      </c>
    </row>
    <row r="543" spans="46:63" ht="16.5" x14ac:dyDescent="0.2">
      <c r="AT543" s="13">
        <v>540</v>
      </c>
      <c r="AU543" s="13">
        <f t="shared" si="204"/>
        <v>7</v>
      </c>
      <c r="AV543" s="14">
        <f t="shared" si="205"/>
        <v>200806</v>
      </c>
      <c r="AW543" s="14">
        <f t="shared" si="206"/>
        <v>1102008</v>
      </c>
      <c r="AX543" s="13" t="s">
        <v>1127</v>
      </c>
      <c r="AY543" s="13">
        <f t="shared" si="207"/>
        <v>6</v>
      </c>
      <c r="AZ543" s="13" t="s">
        <v>1148</v>
      </c>
      <c r="BA543" s="14">
        <f t="shared" si="208"/>
        <v>9</v>
      </c>
      <c r="BB543" s="14" t="str">
        <f t="shared" si="209"/>
        <v>夏侯渊魂珠-6 等级-9</v>
      </c>
      <c r="BC543" s="25" t="s">
        <v>1156</v>
      </c>
      <c r="BD543" s="14">
        <f t="shared" si="210"/>
        <v>1800</v>
      </c>
      <c r="BE543" s="14">
        <f>SUMIFS(BD$4:BD543,$AU$4:$AU543,"="&amp;$AU543,$AY$4:$AY543,"="&amp;$AY543)</f>
        <v>8454</v>
      </c>
      <c r="BF543" s="25" t="s">
        <v>1157</v>
      </c>
      <c r="BG543" s="14">
        <f t="shared" si="211"/>
        <v>750</v>
      </c>
      <c r="BH543" s="14">
        <f>SUMIFS(BG$4:BG543,AU$4:AU543,"="&amp;AU543,AY$4:AY543,"="&amp;AY543)</f>
        <v>3523</v>
      </c>
      <c r="BI543" s="25" t="s">
        <v>1158</v>
      </c>
      <c r="BJ543" s="14">
        <f t="shared" si="212"/>
        <v>45000</v>
      </c>
      <c r="BK543" s="14">
        <f>SUMIFS(BJ$4:BJ543,$AU$4:$AU543,"="&amp;$AU543,$AY$4:$AY543,"="&amp;$AY543)</f>
        <v>211350</v>
      </c>
    </row>
    <row r="544" spans="46:63" ht="16.5" x14ac:dyDescent="0.2">
      <c r="AT544" s="13">
        <v>541</v>
      </c>
      <c r="AU544" s="13">
        <f t="shared" si="204"/>
        <v>7</v>
      </c>
      <c r="AV544" s="14">
        <f t="shared" si="205"/>
        <v>200807</v>
      </c>
      <c r="AW544" s="14">
        <f t="shared" si="206"/>
        <v>1102008</v>
      </c>
      <c r="AX544" s="13" t="s">
        <v>1127</v>
      </c>
      <c r="AY544" s="13">
        <f t="shared" si="207"/>
        <v>7</v>
      </c>
      <c r="AZ544" s="13" t="s">
        <v>1148</v>
      </c>
      <c r="BA544" s="14">
        <f t="shared" si="208"/>
        <v>0</v>
      </c>
      <c r="BB544" s="14" t="str">
        <f t="shared" si="209"/>
        <v>夏侯渊魂珠-7 等级-0</v>
      </c>
      <c r="BC544" s="25" t="s">
        <v>1156</v>
      </c>
      <c r="BD544" s="14">
        <f t="shared" si="210"/>
        <v>0</v>
      </c>
      <c r="BE544" s="14">
        <f>SUMIFS(BD$4:BD544,$AU$4:$AU544,"="&amp;$AU544,$AY$4:$AY544,"="&amp;$AY544)</f>
        <v>0</v>
      </c>
      <c r="BF544" s="25" t="s">
        <v>1157</v>
      </c>
      <c r="BG544" s="14">
        <f t="shared" si="211"/>
        <v>0</v>
      </c>
      <c r="BH544" s="14">
        <f>SUMIFS(BG$4:BG544,AU$4:AU544,"="&amp;AU544,AY$4:AY544,"="&amp;AY544)</f>
        <v>0</v>
      </c>
      <c r="BI544" s="25" t="s">
        <v>1158</v>
      </c>
      <c r="BJ544" s="14">
        <f t="shared" si="212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4"/>
        <v>7</v>
      </c>
      <c r="AV545" s="14">
        <f t="shared" si="205"/>
        <v>200807</v>
      </c>
      <c r="AW545" s="14">
        <f t="shared" si="206"/>
        <v>1102008</v>
      </c>
      <c r="AX545" s="13" t="s">
        <v>1127</v>
      </c>
      <c r="AY545" s="13">
        <f t="shared" si="207"/>
        <v>7</v>
      </c>
      <c r="AZ545" s="13" t="s">
        <v>1148</v>
      </c>
      <c r="BA545" s="14">
        <f t="shared" si="208"/>
        <v>1</v>
      </c>
      <c r="BB545" s="14" t="str">
        <f t="shared" si="209"/>
        <v>夏侯渊魂珠-7 等级-1</v>
      </c>
      <c r="BC545" s="25" t="s">
        <v>1156</v>
      </c>
      <c r="BD545" s="14">
        <f t="shared" si="210"/>
        <v>288</v>
      </c>
      <c r="BE545" s="14">
        <f>SUMIFS(BD$4:BD545,$AU$4:$AU545,"="&amp;$AU545,$AY$4:$AY545,"="&amp;$AY545)</f>
        <v>288</v>
      </c>
      <c r="BF545" s="25" t="s">
        <v>1157</v>
      </c>
      <c r="BG545" s="14">
        <f t="shared" si="211"/>
        <v>120</v>
      </c>
      <c r="BH545" s="14">
        <f>SUMIFS(BG$4:BG545,AU$4:AU545,"="&amp;AU545,AY$4:AY545,"="&amp;AY545)</f>
        <v>120</v>
      </c>
      <c r="BI545" s="25" t="s">
        <v>1158</v>
      </c>
      <c r="BJ545" s="14">
        <f t="shared" si="212"/>
        <v>7200</v>
      </c>
      <c r="BK545" s="14">
        <f>SUMIFS(BJ$4:BJ545,$AU$4:$AU545,"="&amp;$AU545,$AY$4:$AY545,"="&amp;$AY545)</f>
        <v>7200</v>
      </c>
    </row>
    <row r="546" spans="46:63" ht="16.5" x14ac:dyDescent="0.2">
      <c r="AT546" s="13">
        <v>543</v>
      </c>
      <c r="AU546" s="13">
        <f t="shared" si="204"/>
        <v>7</v>
      </c>
      <c r="AV546" s="14">
        <f t="shared" si="205"/>
        <v>200807</v>
      </c>
      <c r="AW546" s="14">
        <f t="shared" si="206"/>
        <v>1102008</v>
      </c>
      <c r="AX546" s="13" t="s">
        <v>1127</v>
      </c>
      <c r="AY546" s="13">
        <f t="shared" si="207"/>
        <v>7</v>
      </c>
      <c r="AZ546" s="13" t="s">
        <v>1148</v>
      </c>
      <c r="BA546" s="14">
        <f t="shared" si="208"/>
        <v>2</v>
      </c>
      <c r="BB546" s="14" t="str">
        <f t="shared" si="209"/>
        <v>夏侯渊魂珠-7 等级-2</v>
      </c>
      <c r="BC546" s="25" t="s">
        <v>1156</v>
      </c>
      <c r="BD546" s="14">
        <f t="shared" si="210"/>
        <v>432</v>
      </c>
      <c r="BE546" s="14">
        <f>SUMIFS(BD$4:BD546,$AU$4:$AU546,"="&amp;$AU546,$AY$4:$AY546,"="&amp;$AY546)</f>
        <v>720</v>
      </c>
      <c r="BF546" s="25" t="s">
        <v>1157</v>
      </c>
      <c r="BG546" s="14">
        <f t="shared" si="211"/>
        <v>180</v>
      </c>
      <c r="BH546" s="14">
        <f>SUMIFS(BG$4:BG546,AU$4:AU546,"="&amp;AU546,AY$4:AY546,"="&amp;AY546)</f>
        <v>300</v>
      </c>
      <c r="BI546" s="25" t="s">
        <v>1158</v>
      </c>
      <c r="BJ546" s="14">
        <f t="shared" si="212"/>
        <v>10800</v>
      </c>
      <c r="BK546" s="14">
        <f>SUMIFS(BJ$4:BJ546,$AU$4:$AU546,"="&amp;$AU546,$AY$4:$AY546,"="&amp;$AY546)</f>
        <v>18000</v>
      </c>
    </row>
    <row r="547" spans="46:63" ht="16.5" x14ac:dyDescent="0.2">
      <c r="AT547" s="13">
        <v>544</v>
      </c>
      <c r="AU547" s="13">
        <f t="shared" si="204"/>
        <v>7</v>
      </c>
      <c r="AV547" s="14">
        <f t="shared" si="205"/>
        <v>200807</v>
      </c>
      <c r="AW547" s="14">
        <f t="shared" si="206"/>
        <v>1102008</v>
      </c>
      <c r="AX547" s="13" t="s">
        <v>1127</v>
      </c>
      <c r="AY547" s="13">
        <f t="shared" si="207"/>
        <v>7</v>
      </c>
      <c r="AZ547" s="13" t="s">
        <v>1148</v>
      </c>
      <c r="BA547" s="14">
        <f t="shared" si="208"/>
        <v>3</v>
      </c>
      <c r="BB547" s="14" t="str">
        <f t="shared" si="209"/>
        <v>夏侯渊魂珠-7 等级-3</v>
      </c>
      <c r="BC547" s="25" t="s">
        <v>1156</v>
      </c>
      <c r="BD547" s="14">
        <f t="shared" si="210"/>
        <v>576</v>
      </c>
      <c r="BE547" s="14">
        <f>SUMIFS(BD$4:BD547,$AU$4:$AU547,"="&amp;$AU547,$AY$4:$AY547,"="&amp;$AY547)</f>
        <v>1296</v>
      </c>
      <c r="BF547" s="25" t="s">
        <v>1157</v>
      </c>
      <c r="BG547" s="14">
        <f t="shared" si="211"/>
        <v>240</v>
      </c>
      <c r="BH547" s="14">
        <f>SUMIFS(BG$4:BG547,AU$4:AU547,"="&amp;AU547,AY$4:AY547,"="&amp;AY547)</f>
        <v>540</v>
      </c>
      <c r="BI547" s="25" t="s">
        <v>1158</v>
      </c>
      <c r="BJ547" s="14">
        <f t="shared" si="212"/>
        <v>14400</v>
      </c>
      <c r="BK547" s="14">
        <f>SUMIFS(BJ$4:BJ547,$AU$4:$AU547,"="&amp;$AU547,$AY$4:$AY547,"="&amp;$AY547)</f>
        <v>32400</v>
      </c>
    </row>
    <row r="548" spans="46:63" ht="16.5" x14ac:dyDescent="0.2">
      <c r="AT548" s="13">
        <v>545</v>
      </c>
      <c r="AU548" s="13">
        <f t="shared" si="204"/>
        <v>7</v>
      </c>
      <c r="AV548" s="14">
        <f t="shared" si="205"/>
        <v>200807</v>
      </c>
      <c r="AW548" s="14">
        <f t="shared" si="206"/>
        <v>1102008</v>
      </c>
      <c r="AX548" s="13" t="s">
        <v>1127</v>
      </c>
      <c r="AY548" s="13">
        <f t="shared" si="207"/>
        <v>7</v>
      </c>
      <c r="AZ548" s="13" t="s">
        <v>1148</v>
      </c>
      <c r="BA548" s="14">
        <f t="shared" si="208"/>
        <v>4</v>
      </c>
      <c r="BB548" s="14" t="str">
        <f t="shared" si="209"/>
        <v>夏侯渊魂珠-7 等级-4</v>
      </c>
      <c r="BC548" s="25" t="s">
        <v>1156</v>
      </c>
      <c r="BD548" s="14">
        <f t="shared" si="210"/>
        <v>864</v>
      </c>
      <c r="BE548" s="14">
        <f>SUMIFS(BD$4:BD548,$AU$4:$AU548,"="&amp;$AU548,$AY$4:$AY548,"="&amp;$AY548)</f>
        <v>2160</v>
      </c>
      <c r="BF548" s="25" t="s">
        <v>1157</v>
      </c>
      <c r="BG548" s="14">
        <f t="shared" si="211"/>
        <v>360</v>
      </c>
      <c r="BH548" s="14">
        <f>SUMIFS(BG$4:BG548,AU$4:AU548,"="&amp;AU548,AY$4:AY548,"="&amp;AY548)</f>
        <v>900</v>
      </c>
      <c r="BI548" s="25" t="s">
        <v>1158</v>
      </c>
      <c r="BJ548" s="14">
        <f t="shared" si="212"/>
        <v>21600</v>
      </c>
      <c r="BK548" s="14">
        <f>SUMIFS(BJ$4:BJ548,$AU$4:$AU548,"="&amp;$AU548,$AY$4:$AY548,"="&amp;$AY548)</f>
        <v>54000</v>
      </c>
    </row>
    <row r="549" spans="46:63" ht="16.5" x14ac:dyDescent="0.2">
      <c r="AT549" s="13">
        <v>546</v>
      </c>
      <c r="AU549" s="13">
        <f t="shared" si="204"/>
        <v>7</v>
      </c>
      <c r="AV549" s="14">
        <f t="shared" si="205"/>
        <v>200807</v>
      </c>
      <c r="AW549" s="14">
        <f t="shared" si="206"/>
        <v>1102008</v>
      </c>
      <c r="AX549" s="13" t="s">
        <v>1127</v>
      </c>
      <c r="AY549" s="13">
        <f t="shared" si="207"/>
        <v>7</v>
      </c>
      <c r="AZ549" s="13" t="s">
        <v>1148</v>
      </c>
      <c r="BA549" s="14">
        <f t="shared" si="208"/>
        <v>5</v>
      </c>
      <c r="BB549" s="14" t="str">
        <f t="shared" si="209"/>
        <v>夏侯渊魂珠-7 等级-5</v>
      </c>
      <c r="BC549" s="25" t="s">
        <v>1156</v>
      </c>
      <c r="BD549" s="14">
        <f t="shared" si="210"/>
        <v>1152</v>
      </c>
      <c r="BE549" s="14">
        <f>SUMIFS(BD$4:BD549,$AU$4:$AU549,"="&amp;$AU549,$AY$4:$AY549,"="&amp;$AY549)</f>
        <v>3312</v>
      </c>
      <c r="BF549" s="25" t="s">
        <v>1157</v>
      </c>
      <c r="BG549" s="14">
        <f t="shared" si="211"/>
        <v>480</v>
      </c>
      <c r="BH549" s="14">
        <f>SUMIFS(BG$4:BG549,AU$4:AU549,"="&amp;AU549,AY$4:AY549,"="&amp;AY549)</f>
        <v>1380</v>
      </c>
      <c r="BI549" s="25" t="s">
        <v>1158</v>
      </c>
      <c r="BJ549" s="14">
        <f t="shared" si="212"/>
        <v>28800</v>
      </c>
      <c r="BK549" s="14">
        <f>SUMIFS(BJ$4:BJ549,$AU$4:$AU549,"="&amp;$AU549,$AY$4:$AY549,"="&amp;$AY549)</f>
        <v>82800</v>
      </c>
    </row>
    <row r="550" spans="46:63" ht="16.5" x14ac:dyDescent="0.2">
      <c r="AT550" s="13">
        <v>547</v>
      </c>
      <c r="AU550" s="13">
        <f t="shared" si="204"/>
        <v>7</v>
      </c>
      <c r="AV550" s="14">
        <f t="shared" si="205"/>
        <v>200807</v>
      </c>
      <c r="AW550" s="14">
        <f t="shared" si="206"/>
        <v>1102008</v>
      </c>
      <c r="AX550" s="13" t="s">
        <v>1127</v>
      </c>
      <c r="AY550" s="13">
        <f t="shared" si="207"/>
        <v>7</v>
      </c>
      <c r="AZ550" s="13" t="s">
        <v>1148</v>
      </c>
      <c r="BA550" s="14">
        <f t="shared" si="208"/>
        <v>6</v>
      </c>
      <c r="BB550" s="14" t="str">
        <f t="shared" si="209"/>
        <v>夏侯渊魂珠-7 等级-6</v>
      </c>
      <c r="BC550" s="25" t="s">
        <v>1156</v>
      </c>
      <c r="BD550" s="14">
        <f t="shared" si="210"/>
        <v>1440</v>
      </c>
      <c r="BE550" s="14">
        <f>SUMIFS(BD$4:BD550,$AU$4:$AU550,"="&amp;$AU550,$AY$4:$AY550,"="&amp;$AY550)</f>
        <v>4752</v>
      </c>
      <c r="BF550" s="25" t="s">
        <v>1157</v>
      </c>
      <c r="BG550" s="14">
        <f t="shared" si="211"/>
        <v>600</v>
      </c>
      <c r="BH550" s="14">
        <f>SUMIFS(BG$4:BG550,AU$4:AU550,"="&amp;AU550,AY$4:AY550,"="&amp;AY550)</f>
        <v>1980</v>
      </c>
      <c r="BI550" s="25" t="s">
        <v>1158</v>
      </c>
      <c r="BJ550" s="14">
        <f t="shared" si="212"/>
        <v>36000</v>
      </c>
      <c r="BK550" s="14">
        <f>SUMIFS(BJ$4:BJ550,$AU$4:$AU550,"="&amp;$AU550,$AY$4:$AY550,"="&amp;$AY550)</f>
        <v>118800</v>
      </c>
    </row>
    <row r="551" spans="46:63" ht="16.5" x14ac:dyDescent="0.2">
      <c r="AT551" s="13">
        <v>548</v>
      </c>
      <c r="AU551" s="13">
        <f t="shared" si="204"/>
        <v>7</v>
      </c>
      <c r="AV551" s="14">
        <f t="shared" si="205"/>
        <v>200807</v>
      </c>
      <c r="AW551" s="14">
        <f t="shared" si="206"/>
        <v>1102008</v>
      </c>
      <c r="AX551" s="13" t="s">
        <v>1127</v>
      </c>
      <c r="AY551" s="13">
        <f t="shared" si="207"/>
        <v>7</v>
      </c>
      <c r="AZ551" s="13" t="s">
        <v>1148</v>
      </c>
      <c r="BA551" s="14">
        <f t="shared" si="208"/>
        <v>7</v>
      </c>
      <c r="BB551" s="14" t="str">
        <f t="shared" si="209"/>
        <v>夏侯渊魂珠-7 等级-7</v>
      </c>
      <c r="BC551" s="25" t="s">
        <v>1156</v>
      </c>
      <c r="BD551" s="14">
        <f t="shared" si="210"/>
        <v>1728</v>
      </c>
      <c r="BE551" s="14">
        <f>SUMIFS(BD$4:BD551,$AU$4:$AU551,"="&amp;$AU551,$AY$4:$AY551,"="&amp;$AY551)</f>
        <v>6480</v>
      </c>
      <c r="BF551" s="25" t="s">
        <v>1157</v>
      </c>
      <c r="BG551" s="14">
        <f t="shared" si="211"/>
        <v>720</v>
      </c>
      <c r="BH551" s="14">
        <f>SUMIFS(BG$4:BG551,AU$4:AU551,"="&amp;AU551,AY$4:AY551,"="&amp;AY551)</f>
        <v>2700</v>
      </c>
      <c r="BI551" s="25" t="s">
        <v>1158</v>
      </c>
      <c r="BJ551" s="14">
        <f t="shared" si="212"/>
        <v>43200</v>
      </c>
      <c r="BK551" s="14">
        <f>SUMIFS(BJ$4:BJ551,$AU$4:$AU551,"="&amp;$AU551,$AY$4:$AY551,"="&amp;$AY551)</f>
        <v>162000</v>
      </c>
    </row>
    <row r="552" spans="46:63" ht="16.5" x14ac:dyDescent="0.2">
      <c r="AT552" s="13">
        <v>549</v>
      </c>
      <c r="AU552" s="13">
        <f t="shared" si="204"/>
        <v>7</v>
      </c>
      <c r="AV552" s="14">
        <f t="shared" si="205"/>
        <v>200807</v>
      </c>
      <c r="AW552" s="14">
        <f t="shared" si="206"/>
        <v>1102008</v>
      </c>
      <c r="AX552" s="13" t="s">
        <v>1127</v>
      </c>
      <c r="AY552" s="13">
        <f t="shared" si="207"/>
        <v>7</v>
      </c>
      <c r="AZ552" s="13" t="s">
        <v>1148</v>
      </c>
      <c r="BA552" s="14">
        <f t="shared" si="208"/>
        <v>8</v>
      </c>
      <c r="BB552" s="14" t="str">
        <f t="shared" si="209"/>
        <v>夏侯渊魂珠-7 等级-8</v>
      </c>
      <c r="BC552" s="25" t="s">
        <v>1156</v>
      </c>
      <c r="BD552" s="14">
        <f t="shared" si="210"/>
        <v>2016</v>
      </c>
      <c r="BE552" s="14">
        <f>SUMIFS(BD$4:BD552,$AU$4:$AU552,"="&amp;$AU552,$AY$4:$AY552,"="&amp;$AY552)</f>
        <v>8496</v>
      </c>
      <c r="BF552" s="25" t="s">
        <v>1157</v>
      </c>
      <c r="BG552" s="14">
        <f t="shared" si="211"/>
        <v>840</v>
      </c>
      <c r="BH552" s="14">
        <f>SUMIFS(BG$4:BG552,AU$4:AU552,"="&amp;AU552,AY$4:AY552,"="&amp;AY552)</f>
        <v>3540</v>
      </c>
      <c r="BI552" s="25" t="s">
        <v>1158</v>
      </c>
      <c r="BJ552" s="14">
        <f t="shared" si="212"/>
        <v>50400</v>
      </c>
      <c r="BK552" s="14">
        <f>SUMIFS(BJ$4:BJ552,$AU$4:$AU552,"="&amp;$AU552,$AY$4:$AY552,"="&amp;$AY552)</f>
        <v>212400</v>
      </c>
    </row>
    <row r="553" spans="46:63" ht="16.5" x14ac:dyDescent="0.2">
      <c r="AT553" s="13">
        <v>550</v>
      </c>
      <c r="AU553" s="13">
        <f t="shared" si="204"/>
        <v>7</v>
      </c>
      <c r="AV553" s="14">
        <f t="shared" si="205"/>
        <v>200807</v>
      </c>
      <c r="AW553" s="14">
        <f t="shared" si="206"/>
        <v>1102008</v>
      </c>
      <c r="AX553" s="13" t="s">
        <v>1127</v>
      </c>
      <c r="AY553" s="13">
        <f t="shared" si="207"/>
        <v>7</v>
      </c>
      <c r="AZ553" s="13" t="s">
        <v>1148</v>
      </c>
      <c r="BA553" s="14">
        <f t="shared" si="208"/>
        <v>9</v>
      </c>
      <c r="BB553" s="14" t="str">
        <f t="shared" si="209"/>
        <v>夏侯渊魂珠-7 等级-9</v>
      </c>
      <c r="BC553" s="25" t="s">
        <v>1156</v>
      </c>
      <c r="BD553" s="14">
        <f t="shared" si="210"/>
        <v>2304</v>
      </c>
      <c r="BE553" s="14">
        <f>SUMIFS(BD$4:BD553,$AU$4:$AU553,"="&amp;$AU553,$AY$4:$AY553,"="&amp;$AY553)</f>
        <v>10800</v>
      </c>
      <c r="BF553" s="25" t="s">
        <v>1157</v>
      </c>
      <c r="BG553" s="14">
        <f t="shared" si="211"/>
        <v>960</v>
      </c>
      <c r="BH553" s="14">
        <f>SUMIFS(BG$4:BG553,AU$4:AU553,"="&amp;AU553,AY$4:AY553,"="&amp;AY553)</f>
        <v>4500</v>
      </c>
      <c r="BI553" s="25" t="s">
        <v>1158</v>
      </c>
      <c r="BJ553" s="14">
        <f t="shared" si="212"/>
        <v>57600</v>
      </c>
      <c r="BK553" s="14">
        <f>SUMIFS(BJ$4:BJ553,$AU$4:$AU553,"="&amp;$AU553,$AY$4:$AY553,"="&amp;$AY553)</f>
        <v>270000</v>
      </c>
    </row>
    <row r="554" spans="46:63" ht="16.5" x14ac:dyDescent="0.2">
      <c r="AT554" s="13">
        <v>551</v>
      </c>
      <c r="AU554" s="13">
        <f t="shared" si="204"/>
        <v>7</v>
      </c>
      <c r="AV554" s="14">
        <f t="shared" si="205"/>
        <v>200808</v>
      </c>
      <c r="AW554" s="14">
        <f t="shared" si="206"/>
        <v>1102008</v>
      </c>
      <c r="AX554" s="13" t="s">
        <v>1127</v>
      </c>
      <c r="AY554" s="13">
        <f t="shared" si="207"/>
        <v>8</v>
      </c>
      <c r="AZ554" s="13" t="s">
        <v>1148</v>
      </c>
      <c r="BA554" s="14">
        <f t="shared" si="208"/>
        <v>0</v>
      </c>
      <c r="BB554" s="14" t="str">
        <f t="shared" si="209"/>
        <v>夏侯渊魂珠-8 等级-0</v>
      </c>
      <c r="BC554" s="25" t="s">
        <v>1156</v>
      </c>
      <c r="BD554" s="14">
        <f t="shared" si="210"/>
        <v>0</v>
      </c>
      <c r="BE554" s="14">
        <f>SUMIFS(BD$4:BD554,$AU$4:$AU554,"="&amp;$AU554,$AY$4:$AY554,"="&amp;$AY554)</f>
        <v>0</v>
      </c>
      <c r="BF554" s="25" t="s">
        <v>1157</v>
      </c>
      <c r="BG554" s="14">
        <f t="shared" si="211"/>
        <v>0</v>
      </c>
      <c r="BH554" s="14">
        <f>SUMIFS(BG$4:BG554,AU$4:AU554,"="&amp;AU554,AY$4:AY554,"="&amp;AY554)</f>
        <v>0</v>
      </c>
      <c r="BI554" s="25" t="s">
        <v>1158</v>
      </c>
      <c r="BJ554" s="14">
        <f t="shared" si="212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4"/>
        <v>7</v>
      </c>
      <c r="AV555" s="14">
        <f t="shared" si="205"/>
        <v>200808</v>
      </c>
      <c r="AW555" s="14">
        <f t="shared" si="206"/>
        <v>1102008</v>
      </c>
      <c r="AX555" s="13" t="s">
        <v>1127</v>
      </c>
      <c r="AY555" s="13">
        <f t="shared" si="207"/>
        <v>8</v>
      </c>
      <c r="AZ555" s="13" t="s">
        <v>1148</v>
      </c>
      <c r="BA555" s="14">
        <f t="shared" si="208"/>
        <v>1</v>
      </c>
      <c r="BB555" s="14" t="str">
        <f t="shared" si="209"/>
        <v>夏侯渊魂珠-8 等级-1</v>
      </c>
      <c r="BC555" s="25" t="s">
        <v>1156</v>
      </c>
      <c r="BD555" s="14">
        <f t="shared" si="210"/>
        <v>384</v>
      </c>
      <c r="BE555" s="14">
        <f>SUMIFS(BD$4:BD555,$AU$4:$AU555,"="&amp;$AU555,$AY$4:$AY555,"="&amp;$AY555)</f>
        <v>384</v>
      </c>
      <c r="BF555" s="25" t="s">
        <v>1157</v>
      </c>
      <c r="BG555" s="14">
        <f t="shared" si="211"/>
        <v>160</v>
      </c>
      <c r="BH555" s="14">
        <f>SUMIFS(BG$4:BG555,AU$4:AU555,"="&amp;AU555,AY$4:AY555,"="&amp;AY555)</f>
        <v>160</v>
      </c>
      <c r="BI555" s="25" t="s">
        <v>1158</v>
      </c>
      <c r="BJ555" s="14">
        <f t="shared" si="212"/>
        <v>9600</v>
      </c>
      <c r="BK555" s="14">
        <f>SUMIFS(BJ$4:BJ555,$AU$4:$AU555,"="&amp;$AU555,$AY$4:$AY555,"="&amp;$AY555)</f>
        <v>9600</v>
      </c>
    </row>
    <row r="556" spans="46:63" ht="16.5" x14ac:dyDescent="0.2">
      <c r="AT556" s="13">
        <v>553</v>
      </c>
      <c r="AU556" s="13">
        <f t="shared" si="204"/>
        <v>7</v>
      </c>
      <c r="AV556" s="14">
        <f t="shared" si="205"/>
        <v>200808</v>
      </c>
      <c r="AW556" s="14">
        <f t="shared" si="206"/>
        <v>1102008</v>
      </c>
      <c r="AX556" s="13" t="s">
        <v>1127</v>
      </c>
      <c r="AY556" s="13">
        <f t="shared" si="207"/>
        <v>8</v>
      </c>
      <c r="AZ556" s="13" t="s">
        <v>1148</v>
      </c>
      <c r="BA556" s="14">
        <f t="shared" si="208"/>
        <v>2</v>
      </c>
      <c r="BB556" s="14" t="str">
        <f t="shared" si="209"/>
        <v>夏侯渊魂珠-8 等级-2</v>
      </c>
      <c r="BC556" s="25" t="s">
        <v>1156</v>
      </c>
      <c r="BD556" s="14">
        <f t="shared" si="210"/>
        <v>576</v>
      </c>
      <c r="BE556" s="14">
        <f>SUMIFS(BD$4:BD556,$AU$4:$AU556,"="&amp;$AU556,$AY$4:$AY556,"="&amp;$AY556)</f>
        <v>960</v>
      </c>
      <c r="BF556" s="25" t="s">
        <v>1157</v>
      </c>
      <c r="BG556" s="14">
        <f t="shared" si="211"/>
        <v>240</v>
      </c>
      <c r="BH556" s="14">
        <f>SUMIFS(BG$4:BG556,AU$4:AU556,"="&amp;AU556,AY$4:AY556,"="&amp;AY556)</f>
        <v>400</v>
      </c>
      <c r="BI556" s="25" t="s">
        <v>1158</v>
      </c>
      <c r="BJ556" s="14">
        <f t="shared" si="212"/>
        <v>14400</v>
      </c>
      <c r="BK556" s="14">
        <f>SUMIFS(BJ$4:BJ556,$AU$4:$AU556,"="&amp;$AU556,$AY$4:$AY556,"="&amp;$AY556)</f>
        <v>24000</v>
      </c>
    </row>
    <row r="557" spans="46:63" ht="16.5" x14ac:dyDescent="0.2">
      <c r="AT557" s="13">
        <v>554</v>
      </c>
      <c r="AU557" s="13">
        <f t="shared" si="204"/>
        <v>7</v>
      </c>
      <c r="AV557" s="14">
        <f t="shared" si="205"/>
        <v>200808</v>
      </c>
      <c r="AW557" s="14">
        <f t="shared" si="206"/>
        <v>1102008</v>
      </c>
      <c r="AX557" s="13" t="s">
        <v>1127</v>
      </c>
      <c r="AY557" s="13">
        <f t="shared" si="207"/>
        <v>8</v>
      </c>
      <c r="AZ557" s="13" t="s">
        <v>1148</v>
      </c>
      <c r="BA557" s="14">
        <f t="shared" si="208"/>
        <v>3</v>
      </c>
      <c r="BB557" s="14" t="str">
        <f t="shared" si="209"/>
        <v>夏侯渊魂珠-8 等级-3</v>
      </c>
      <c r="BC557" s="25" t="s">
        <v>1156</v>
      </c>
      <c r="BD557" s="14">
        <f t="shared" si="210"/>
        <v>768</v>
      </c>
      <c r="BE557" s="14">
        <f>SUMIFS(BD$4:BD557,$AU$4:$AU557,"="&amp;$AU557,$AY$4:$AY557,"="&amp;$AY557)</f>
        <v>1728</v>
      </c>
      <c r="BF557" s="25" t="s">
        <v>1157</v>
      </c>
      <c r="BG557" s="14">
        <f t="shared" si="211"/>
        <v>320</v>
      </c>
      <c r="BH557" s="14">
        <f>SUMIFS(BG$4:BG557,AU$4:AU557,"="&amp;AU557,AY$4:AY557,"="&amp;AY557)</f>
        <v>720</v>
      </c>
      <c r="BI557" s="25" t="s">
        <v>1158</v>
      </c>
      <c r="BJ557" s="14">
        <f t="shared" si="212"/>
        <v>19200</v>
      </c>
      <c r="BK557" s="14">
        <f>SUMIFS(BJ$4:BJ557,$AU$4:$AU557,"="&amp;$AU557,$AY$4:$AY557,"="&amp;$AY557)</f>
        <v>43200</v>
      </c>
    </row>
    <row r="558" spans="46:63" ht="16.5" x14ac:dyDescent="0.2">
      <c r="AT558" s="13">
        <v>555</v>
      </c>
      <c r="AU558" s="13">
        <f t="shared" si="204"/>
        <v>7</v>
      </c>
      <c r="AV558" s="14">
        <f t="shared" si="205"/>
        <v>200808</v>
      </c>
      <c r="AW558" s="14">
        <f t="shared" si="206"/>
        <v>1102008</v>
      </c>
      <c r="AX558" s="13" t="s">
        <v>1127</v>
      </c>
      <c r="AY558" s="13">
        <f t="shared" si="207"/>
        <v>8</v>
      </c>
      <c r="AZ558" s="13" t="s">
        <v>1148</v>
      </c>
      <c r="BA558" s="14">
        <f t="shared" si="208"/>
        <v>4</v>
      </c>
      <c r="BB558" s="14" t="str">
        <f t="shared" si="209"/>
        <v>夏侯渊魂珠-8 等级-4</v>
      </c>
      <c r="BC558" s="25" t="s">
        <v>1156</v>
      </c>
      <c r="BD558" s="14">
        <f t="shared" si="210"/>
        <v>1152</v>
      </c>
      <c r="BE558" s="14">
        <f>SUMIFS(BD$4:BD558,$AU$4:$AU558,"="&amp;$AU558,$AY$4:$AY558,"="&amp;$AY558)</f>
        <v>2880</v>
      </c>
      <c r="BF558" s="25" t="s">
        <v>1157</v>
      </c>
      <c r="BG558" s="14">
        <f t="shared" si="211"/>
        <v>480</v>
      </c>
      <c r="BH558" s="14">
        <f>SUMIFS(BG$4:BG558,AU$4:AU558,"="&amp;AU558,AY$4:AY558,"="&amp;AY558)</f>
        <v>1200</v>
      </c>
      <c r="BI558" s="25" t="s">
        <v>1158</v>
      </c>
      <c r="BJ558" s="14">
        <f t="shared" si="212"/>
        <v>28800</v>
      </c>
      <c r="BK558" s="14">
        <f>SUMIFS(BJ$4:BJ558,$AU$4:$AU558,"="&amp;$AU558,$AY$4:$AY558,"="&amp;$AY558)</f>
        <v>72000</v>
      </c>
    </row>
    <row r="559" spans="46:63" ht="16.5" x14ac:dyDescent="0.2">
      <c r="AT559" s="13">
        <v>556</v>
      </c>
      <c r="AU559" s="13">
        <f t="shared" si="204"/>
        <v>7</v>
      </c>
      <c r="AV559" s="14">
        <f t="shared" si="205"/>
        <v>200808</v>
      </c>
      <c r="AW559" s="14">
        <f t="shared" si="206"/>
        <v>1102008</v>
      </c>
      <c r="AX559" s="13" t="s">
        <v>1127</v>
      </c>
      <c r="AY559" s="13">
        <f t="shared" si="207"/>
        <v>8</v>
      </c>
      <c r="AZ559" s="13" t="s">
        <v>1148</v>
      </c>
      <c r="BA559" s="14">
        <f t="shared" si="208"/>
        <v>5</v>
      </c>
      <c r="BB559" s="14" t="str">
        <f t="shared" si="209"/>
        <v>夏侯渊魂珠-8 等级-5</v>
      </c>
      <c r="BC559" s="25" t="s">
        <v>1156</v>
      </c>
      <c r="BD559" s="14">
        <f t="shared" si="210"/>
        <v>1536</v>
      </c>
      <c r="BE559" s="14">
        <f>SUMIFS(BD$4:BD559,$AU$4:$AU559,"="&amp;$AU559,$AY$4:$AY559,"="&amp;$AY559)</f>
        <v>4416</v>
      </c>
      <c r="BF559" s="25" t="s">
        <v>1157</v>
      </c>
      <c r="BG559" s="14">
        <f t="shared" si="211"/>
        <v>640</v>
      </c>
      <c r="BH559" s="14">
        <f>SUMIFS(BG$4:BG559,AU$4:AU559,"="&amp;AU559,AY$4:AY559,"="&amp;AY559)</f>
        <v>1840</v>
      </c>
      <c r="BI559" s="25" t="s">
        <v>1158</v>
      </c>
      <c r="BJ559" s="14">
        <f t="shared" si="212"/>
        <v>38400</v>
      </c>
      <c r="BK559" s="14">
        <f>SUMIFS(BJ$4:BJ559,$AU$4:$AU559,"="&amp;$AU559,$AY$4:$AY559,"="&amp;$AY559)</f>
        <v>110400</v>
      </c>
    </row>
    <row r="560" spans="46:63" ht="16.5" x14ac:dyDescent="0.2">
      <c r="AT560" s="13">
        <v>557</v>
      </c>
      <c r="AU560" s="13">
        <f t="shared" si="204"/>
        <v>7</v>
      </c>
      <c r="AV560" s="14">
        <f t="shared" si="205"/>
        <v>200808</v>
      </c>
      <c r="AW560" s="14">
        <f t="shared" si="206"/>
        <v>1102008</v>
      </c>
      <c r="AX560" s="13" t="s">
        <v>1127</v>
      </c>
      <c r="AY560" s="13">
        <f t="shared" si="207"/>
        <v>8</v>
      </c>
      <c r="AZ560" s="13" t="s">
        <v>1148</v>
      </c>
      <c r="BA560" s="14">
        <f t="shared" si="208"/>
        <v>6</v>
      </c>
      <c r="BB560" s="14" t="str">
        <f t="shared" si="209"/>
        <v>夏侯渊魂珠-8 等级-6</v>
      </c>
      <c r="BC560" s="25" t="s">
        <v>1156</v>
      </c>
      <c r="BD560" s="14">
        <f t="shared" si="210"/>
        <v>1920</v>
      </c>
      <c r="BE560" s="14">
        <f>SUMIFS(BD$4:BD560,$AU$4:$AU560,"="&amp;$AU560,$AY$4:$AY560,"="&amp;$AY560)</f>
        <v>6336</v>
      </c>
      <c r="BF560" s="25" t="s">
        <v>1157</v>
      </c>
      <c r="BG560" s="14">
        <f t="shared" si="211"/>
        <v>800</v>
      </c>
      <c r="BH560" s="14">
        <f>SUMIFS(BG$4:BG560,AU$4:AU560,"="&amp;AU560,AY$4:AY560,"="&amp;AY560)</f>
        <v>2640</v>
      </c>
      <c r="BI560" s="25" t="s">
        <v>1158</v>
      </c>
      <c r="BJ560" s="14">
        <f t="shared" si="212"/>
        <v>48000</v>
      </c>
      <c r="BK560" s="14">
        <f>SUMIFS(BJ$4:BJ560,$AU$4:$AU560,"="&amp;$AU560,$AY$4:$AY560,"="&amp;$AY560)</f>
        <v>158400</v>
      </c>
    </row>
    <row r="561" spans="46:63" ht="16.5" x14ac:dyDescent="0.2">
      <c r="AT561" s="13">
        <v>558</v>
      </c>
      <c r="AU561" s="13">
        <f t="shared" si="204"/>
        <v>7</v>
      </c>
      <c r="AV561" s="14">
        <f t="shared" si="205"/>
        <v>200808</v>
      </c>
      <c r="AW561" s="14">
        <f t="shared" si="206"/>
        <v>1102008</v>
      </c>
      <c r="AX561" s="13" t="s">
        <v>1127</v>
      </c>
      <c r="AY561" s="13">
        <f t="shared" si="207"/>
        <v>8</v>
      </c>
      <c r="AZ561" s="13" t="s">
        <v>1148</v>
      </c>
      <c r="BA561" s="14">
        <f t="shared" si="208"/>
        <v>7</v>
      </c>
      <c r="BB561" s="14" t="str">
        <f t="shared" si="209"/>
        <v>夏侯渊魂珠-8 等级-7</v>
      </c>
      <c r="BC561" s="25" t="s">
        <v>1156</v>
      </c>
      <c r="BD561" s="14">
        <f t="shared" si="210"/>
        <v>2304</v>
      </c>
      <c r="BE561" s="14">
        <f>SUMIFS(BD$4:BD561,$AU$4:$AU561,"="&amp;$AU561,$AY$4:$AY561,"="&amp;$AY561)</f>
        <v>8640</v>
      </c>
      <c r="BF561" s="25" t="s">
        <v>1157</v>
      </c>
      <c r="BG561" s="14">
        <f t="shared" si="211"/>
        <v>960</v>
      </c>
      <c r="BH561" s="14">
        <f>SUMIFS(BG$4:BG561,AU$4:AU561,"="&amp;AU561,AY$4:AY561,"="&amp;AY561)</f>
        <v>3600</v>
      </c>
      <c r="BI561" s="25" t="s">
        <v>1158</v>
      </c>
      <c r="BJ561" s="14">
        <f t="shared" si="212"/>
        <v>57600</v>
      </c>
      <c r="BK561" s="14">
        <f>SUMIFS(BJ$4:BJ561,$AU$4:$AU561,"="&amp;$AU561,$AY$4:$AY561,"="&amp;$AY561)</f>
        <v>216000</v>
      </c>
    </row>
    <row r="562" spans="46:63" ht="16.5" x14ac:dyDescent="0.2">
      <c r="AT562" s="13">
        <v>559</v>
      </c>
      <c r="AU562" s="13">
        <f t="shared" si="204"/>
        <v>7</v>
      </c>
      <c r="AV562" s="14">
        <f t="shared" si="205"/>
        <v>200808</v>
      </c>
      <c r="AW562" s="14">
        <f t="shared" si="206"/>
        <v>1102008</v>
      </c>
      <c r="AX562" s="13" t="s">
        <v>1127</v>
      </c>
      <c r="AY562" s="13">
        <f t="shared" si="207"/>
        <v>8</v>
      </c>
      <c r="AZ562" s="13" t="s">
        <v>1148</v>
      </c>
      <c r="BA562" s="14">
        <f t="shared" si="208"/>
        <v>8</v>
      </c>
      <c r="BB562" s="14" t="str">
        <f t="shared" si="209"/>
        <v>夏侯渊魂珠-8 等级-8</v>
      </c>
      <c r="BC562" s="25" t="s">
        <v>1156</v>
      </c>
      <c r="BD562" s="14">
        <f t="shared" si="210"/>
        <v>2688</v>
      </c>
      <c r="BE562" s="14">
        <f>SUMIFS(BD$4:BD562,$AU$4:$AU562,"="&amp;$AU562,$AY$4:$AY562,"="&amp;$AY562)</f>
        <v>11328</v>
      </c>
      <c r="BF562" s="25" t="s">
        <v>1157</v>
      </c>
      <c r="BG562" s="14">
        <f t="shared" si="211"/>
        <v>1120</v>
      </c>
      <c r="BH562" s="14">
        <f>SUMIFS(BG$4:BG562,AU$4:AU562,"="&amp;AU562,AY$4:AY562,"="&amp;AY562)</f>
        <v>4720</v>
      </c>
      <c r="BI562" s="25" t="s">
        <v>1158</v>
      </c>
      <c r="BJ562" s="14">
        <f t="shared" si="212"/>
        <v>67200</v>
      </c>
      <c r="BK562" s="14">
        <f>SUMIFS(BJ$4:BJ562,$AU$4:$AU562,"="&amp;$AU562,$AY$4:$AY562,"="&amp;$AY562)</f>
        <v>283200</v>
      </c>
    </row>
    <row r="563" spans="46:63" ht="16.5" x14ac:dyDescent="0.2">
      <c r="AT563" s="13">
        <v>560</v>
      </c>
      <c r="AU563" s="13">
        <f t="shared" si="204"/>
        <v>7</v>
      </c>
      <c r="AV563" s="14">
        <f t="shared" si="205"/>
        <v>200808</v>
      </c>
      <c r="AW563" s="14">
        <f t="shared" si="206"/>
        <v>1102008</v>
      </c>
      <c r="AX563" s="13" t="s">
        <v>1127</v>
      </c>
      <c r="AY563" s="13">
        <f t="shared" si="207"/>
        <v>8</v>
      </c>
      <c r="AZ563" s="13" t="s">
        <v>1148</v>
      </c>
      <c r="BA563" s="14">
        <f t="shared" si="208"/>
        <v>9</v>
      </c>
      <c r="BB563" s="14" t="str">
        <f t="shared" si="209"/>
        <v>夏侯渊魂珠-8 等级-9</v>
      </c>
      <c r="BC563" s="25" t="s">
        <v>1156</v>
      </c>
      <c r="BD563" s="14">
        <f t="shared" si="210"/>
        <v>3072</v>
      </c>
      <c r="BE563" s="14">
        <f>SUMIFS(BD$4:BD563,$AU$4:$AU563,"="&amp;$AU563,$AY$4:$AY563,"="&amp;$AY563)</f>
        <v>14400</v>
      </c>
      <c r="BF563" s="25" t="s">
        <v>1157</v>
      </c>
      <c r="BG563" s="14">
        <f t="shared" si="211"/>
        <v>1280</v>
      </c>
      <c r="BH563" s="14">
        <f>SUMIFS(BG$4:BG563,AU$4:AU563,"="&amp;AU563,AY$4:AY563,"="&amp;AY563)</f>
        <v>6000</v>
      </c>
      <c r="BI563" s="25" t="s">
        <v>1158</v>
      </c>
      <c r="BJ563" s="14">
        <f t="shared" si="212"/>
        <v>76800</v>
      </c>
      <c r="BK563" s="14">
        <f>SUMIFS(BJ$4:BJ563,$AU$4:$AU563,"="&amp;$AU563,$AY$4:$AY563,"="&amp;$AY563)</f>
        <v>360000</v>
      </c>
    </row>
    <row r="564" spans="46:63" ht="16.5" x14ac:dyDescent="0.2">
      <c r="AT564" s="13">
        <v>561</v>
      </c>
      <c r="AU564" s="13">
        <f t="shared" si="204"/>
        <v>8</v>
      </c>
      <c r="AV564" s="14">
        <f t="shared" si="205"/>
        <v>200901</v>
      </c>
      <c r="AW564" s="14">
        <f t="shared" si="206"/>
        <v>1102009</v>
      </c>
      <c r="AX564" s="13" t="s">
        <v>1127</v>
      </c>
      <c r="AY564" s="13">
        <f t="shared" si="207"/>
        <v>1</v>
      </c>
      <c r="AZ564" s="13" t="s">
        <v>1148</v>
      </c>
      <c r="BA564" s="14">
        <f t="shared" si="208"/>
        <v>0</v>
      </c>
      <c r="BB564" s="14" t="str">
        <f t="shared" si="209"/>
        <v>徐晃魂珠-1 等级-0</v>
      </c>
      <c r="BC564" s="25" t="s">
        <v>1156</v>
      </c>
      <c r="BD564" s="14">
        <f t="shared" si="210"/>
        <v>0</v>
      </c>
      <c r="BE564" s="14">
        <f>SUMIFS(BD$4:BD564,$AU$4:$AU564,"="&amp;$AU564,$AY$4:$AY564,"="&amp;$AY564)</f>
        <v>0</v>
      </c>
      <c r="BF564" s="25" t="s">
        <v>1157</v>
      </c>
      <c r="BG564" s="14">
        <f t="shared" si="211"/>
        <v>0</v>
      </c>
      <c r="BH564" s="14">
        <f>SUMIFS(BG$4:BG564,AU$4:AU564,"="&amp;AU564,AY$4:AY564,"="&amp;AY564)</f>
        <v>0</v>
      </c>
      <c r="BI564" s="25" t="s">
        <v>1158</v>
      </c>
      <c r="BJ564" s="14">
        <f t="shared" si="212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4"/>
        <v>8</v>
      </c>
      <c r="AV565" s="14">
        <f t="shared" si="205"/>
        <v>200901</v>
      </c>
      <c r="AW565" s="14">
        <f t="shared" si="206"/>
        <v>1102009</v>
      </c>
      <c r="AX565" s="13" t="s">
        <v>1127</v>
      </c>
      <c r="AY565" s="13">
        <f t="shared" si="207"/>
        <v>1</v>
      </c>
      <c r="AZ565" s="13" t="s">
        <v>1148</v>
      </c>
      <c r="BA565" s="14">
        <f t="shared" si="208"/>
        <v>1</v>
      </c>
      <c r="BB565" s="14" t="str">
        <f t="shared" si="209"/>
        <v>徐晃魂珠-1 等级-1</v>
      </c>
      <c r="BC565" s="25" t="s">
        <v>1156</v>
      </c>
      <c r="BD565" s="14">
        <f t="shared" si="210"/>
        <v>36</v>
      </c>
      <c r="BE565" s="14">
        <f>SUMIFS(BD$4:BD565,$AU$4:$AU565,"="&amp;$AU565,$AY$4:$AY565,"="&amp;$AY565)</f>
        <v>36</v>
      </c>
      <c r="BF565" s="25" t="s">
        <v>1157</v>
      </c>
      <c r="BG565" s="14">
        <f t="shared" si="211"/>
        <v>20</v>
      </c>
      <c r="BH565" s="14">
        <f>SUMIFS(BG$4:BG565,AU$4:AU565,"="&amp;AU565,AY$4:AY565,"="&amp;AY565)</f>
        <v>20</v>
      </c>
      <c r="BI565" s="25" t="s">
        <v>1158</v>
      </c>
      <c r="BJ565" s="14">
        <f t="shared" si="212"/>
        <v>960</v>
      </c>
      <c r="BK565" s="14">
        <f>SUMIFS(BJ$4:BJ565,$AU$4:$AU565,"="&amp;$AU565,$AY$4:$AY565,"="&amp;$AY565)</f>
        <v>960</v>
      </c>
    </row>
    <row r="566" spans="46:63" ht="16.5" x14ac:dyDescent="0.2">
      <c r="AT566" s="13">
        <v>563</v>
      </c>
      <c r="AU566" s="13">
        <f t="shared" si="204"/>
        <v>8</v>
      </c>
      <c r="AV566" s="14">
        <f t="shared" si="205"/>
        <v>200901</v>
      </c>
      <c r="AW566" s="14">
        <f t="shared" si="206"/>
        <v>1102009</v>
      </c>
      <c r="AX566" s="13" t="s">
        <v>1127</v>
      </c>
      <c r="AY566" s="13">
        <f t="shared" si="207"/>
        <v>1</v>
      </c>
      <c r="AZ566" s="13" t="s">
        <v>1148</v>
      </c>
      <c r="BA566" s="14">
        <f t="shared" si="208"/>
        <v>2</v>
      </c>
      <c r="BB566" s="14" t="str">
        <f t="shared" si="209"/>
        <v>徐晃魂珠-1 等级-2</v>
      </c>
      <c r="BC566" s="25" t="s">
        <v>1156</v>
      </c>
      <c r="BD566" s="14">
        <f t="shared" si="210"/>
        <v>54</v>
      </c>
      <c r="BE566" s="14">
        <f>SUMIFS(BD$4:BD566,$AU$4:$AU566,"="&amp;$AU566,$AY$4:$AY566,"="&amp;$AY566)</f>
        <v>90</v>
      </c>
      <c r="BF566" s="25" t="s">
        <v>1157</v>
      </c>
      <c r="BG566" s="14">
        <f t="shared" si="211"/>
        <v>30</v>
      </c>
      <c r="BH566" s="14">
        <f>SUMIFS(BG$4:BG566,AU$4:AU566,"="&amp;AU566,AY$4:AY566,"="&amp;AY566)</f>
        <v>50</v>
      </c>
      <c r="BI566" s="25" t="s">
        <v>1158</v>
      </c>
      <c r="BJ566" s="14">
        <f t="shared" si="212"/>
        <v>1440</v>
      </c>
      <c r="BK566" s="14">
        <f>SUMIFS(BJ$4:BJ566,$AU$4:$AU566,"="&amp;$AU566,$AY$4:$AY566,"="&amp;$AY566)</f>
        <v>2400</v>
      </c>
    </row>
    <row r="567" spans="46:63" ht="16.5" x14ac:dyDescent="0.2">
      <c r="AT567" s="13">
        <v>564</v>
      </c>
      <c r="AU567" s="13">
        <f t="shared" si="204"/>
        <v>8</v>
      </c>
      <c r="AV567" s="14">
        <f t="shared" si="205"/>
        <v>200901</v>
      </c>
      <c r="AW567" s="14">
        <f t="shared" si="206"/>
        <v>1102009</v>
      </c>
      <c r="AX567" s="13" t="s">
        <v>1127</v>
      </c>
      <c r="AY567" s="13">
        <f t="shared" si="207"/>
        <v>1</v>
      </c>
      <c r="AZ567" s="13" t="s">
        <v>1148</v>
      </c>
      <c r="BA567" s="14">
        <f t="shared" si="208"/>
        <v>3</v>
      </c>
      <c r="BB567" s="14" t="str">
        <f t="shared" si="209"/>
        <v>徐晃魂珠-1 等级-3</v>
      </c>
      <c r="BC567" s="25" t="s">
        <v>1156</v>
      </c>
      <c r="BD567" s="14">
        <f t="shared" si="210"/>
        <v>72</v>
      </c>
      <c r="BE567" s="14">
        <f>SUMIFS(BD$4:BD567,$AU$4:$AU567,"="&amp;$AU567,$AY$4:$AY567,"="&amp;$AY567)</f>
        <v>162</v>
      </c>
      <c r="BF567" s="25" t="s">
        <v>1157</v>
      </c>
      <c r="BG567" s="14">
        <f t="shared" si="211"/>
        <v>40</v>
      </c>
      <c r="BH567" s="14">
        <f>SUMIFS(BG$4:BG567,AU$4:AU567,"="&amp;AU567,AY$4:AY567,"="&amp;AY567)</f>
        <v>90</v>
      </c>
      <c r="BI567" s="25" t="s">
        <v>1158</v>
      </c>
      <c r="BJ567" s="14">
        <f t="shared" si="212"/>
        <v>1920</v>
      </c>
      <c r="BK567" s="14">
        <f>SUMIFS(BJ$4:BJ567,$AU$4:$AU567,"="&amp;$AU567,$AY$4:$AY567,"="&amp;$AY567)</f>
        <v>4320</v>
      </c>
    </row>
    <row r="568" spans="46:63" ht="16.5" x14ac:dyDescent="0.2">
      <c r="AT568" s="13">
        <v>565</v>
      </c>
      <c r="AU568" s="13">
        <f t="shared" si="204"/>
        <v>8</v>
      </c>
      <c r="AV568" s="14">
        <f t="shared" si="205"/>
        <v>200901</v>
      </c>
      <c r="AW568" s="14">
        <f t="shared" si="206"/>
        <v>1102009</v>
      </c>
      <c r="AX568" s="13" t="s">
        <v>1127</v>
      </c>
      <c r="AY568" s="13">
        <f t="shared" si="207"/>
        <v>1</v>
      </c>
      <c r="AZ568" s="13" t="s">
        <v>1148</v>
      </c>
      <c r="BA568" s="14">
        <f t="shared" si="208"/>
        <v>4</v>
      </c>
      <c r="BB568" s="14" t="str">
        <f t="shared" si="209"/>
        <v>徐晃魂珠-1 等级-4</v>
      </c>
      <c r="BC568" s="25" t="s">
        <v>1156</v>
      </c>
      <c r="BD568" s="14">
        <f t="shared" si="210"/>
        <v>108</v>
      </c>
      <c r="BE568" s="14">
        <f>SUMIFS(BD$4:BD568,$AU$4:$AU568,"="&amp;$AU568,$AY$4:$AY568,"="&amp;$AY568)</f>
        <v>270</v>
      </c>
      <c r="BF568" s="25" t="s">
        <v>1157</v>
      </c>
      <c r="BG568" s="14">
        <f t="shared" si="211"/>
        <v>60</v>
      </c>
      <c r="BH568" s="14">
        <f>SUMIFS(BG$4:BG568,AU$4:AU568,"="&amp;AU568,AY$4:AY568,"="&amp;AY568)</f>
        <v>150</v>
      </c>
      <c r="BI568" s="25" t="s">
        <v>1158</v>
      </c>
      <c r="BJ568" s="14">
        <f t="shared" si="212"/>
        <v>2880</v>
      </c>
      <c r="BK568" s="14">
        <f>SUMIFS(BJ$4:BJ568,$AU$4:$AU568,"="&amp;$AU568,$AY$4:$AY568,"="&amp;$AY568)</f>
        <v>7200</v>
      </c>
    </row>
    <row r="569" spans="46:63" ht="16.5" x14ac:dyDescent="0.2">
      <c r="AT569" s="13">
        <v>566</v>
      </c>
      <c r="AU569" s="13">
        <f t="shared" si="204"/>
        <v>8</v>
      </c>
      <c r="AV569" s="14">
        <f t="shared" si="205"/>
        <v>200901</v>
      </c>
      <c r="AW569" s="14">
        <f t="shared" si="206"/>
        <v>1102009</v>
      </c>
      <c r="AX569" s="13" t="s">
        <v>1127</v>
      </c>
      <c r="AY569" s="13">
        <f t="shared" si="207"/>
        <v>1</v>
      </c>
      <c r="AZ569" s="13" t="s">
        <v>1148</v>
      </c>
      <c r="BA569" s="14">
        <f t="shared" si="208"/>
        <v>5</v>
      </c>
      <c r="BB569" s="14" t="str">
        <f t="shared" si="209"/>
        <v>徐晃魂珠-1 等级-5</v>
      </c>
      <c r="BC569" s="25" t="s">
        <v>1156</v>
      </c>
      <c r="BD569" s="14">
        <f t="shared" si="210"/>
        <v>144</v>
      </c>
      <c r="BE569" s="14">
        <f>SUMIFS(BD$4:BD569,$AU$4:$AU569,"="&amp;$AU569,$AY$4:$AY569,"="&amp;$AY569)</f>
        <v>414</v>
      </c>
      <c r="BF569" s="25" t="s">
        <v>1157</v>
      </c>
      <c r="BG569" s="14">
        <f t="shared" si="211"/>
        <v>80</v>
      </c>
      <c r="BH569" s="14">
        <f>SUMIFS(BG$4:BG569,AU$4:AU569,"="&amp;AU569,AY$4:AY569,"="&amp;AY569)</f>
        <v>230</v>
      </c>
      <c r="BI569" s="25" t="s">
        <v>1158</v>
      </c>
      <c r="BJ569" s="14">
        <f t="shared" si="212"/>
        <v>3840</v>
      </c>
      <c r="BK569" s="14">
        <f>SUMIFS(BJ$4:BJ569,$AU$4:$AU569,"="&amp;$AU569,$AY$4:$AY569,"="&amp;$AY569)</f>
        <v>11040</v>
      </c>
    </row>
    <row r="570" spans="46:63" ht="16.5" x14ac:dyDescent="0.2">
      <c r="AT570" s="13">
        <v>567</v>
      </c>
      <c r="AU570" s="13">
        <f t="shared" si="204"/>
        <v>8</v>
      </c>
      <c r="AV570" s="14">
        <f t="shared" si="205"/>
        <v>200901</v>
      </c>
      <c r="AW570" s="14">
        <f t="shared" si="206"/>
        <v>1102009</v>
      </c>
      <c r="AX570" s="13" t="s">
        <v>1127</v>
      </c>
      <c r="AY570" s="13">
        <f t="shared" si="207"/>
        <v>1</v>
      </c>
      <c r="AZ570" s="13" t="s">
        <v>1148</v>
      </c>
      <c r="BA570" s="14">
        <f t="shared" si="208"/>
        <v>6</v>
      </c>
      <c r="BB570" s="14" t="str">
        <f t="shared" si="209"/>
        <v>徐晃魂珠-1 等级-6</v>
      </c>
      <c r="BC570" s="25" t="s">
        <v>1156</v>
      </c>
      <c r="BD570" s="14">
        <f t="shared" si="210"/>
        <v>180</v>
      </c>
      <c r="BE570" s="14">
        <f>SUMIFS(BD$4:BD570,$AU$4:$AU570,"="&amp;$AU570,$AY$4:$AY570,"="&amp;$AY570)</f>
        <v>594</v>
      </c>
      <c r="BF570" s="25" t="s">
        <v>1157</v>
      </c>
      <c r="BG570" s="14">
        <f t="shared" si="211"/>
        <v>100</v>
      </c>
      <c r="BH570" s="14">
        <f>SUMIFS(BG$4:BG570,AU$4:AU570,"="&amp;AU570,AY$4:AY570,"="&amp;AY570)</f>
        <v>330</v>
      </c>
      <c r="BI570" s="25" t="s">
        <v>1158</v>
      </c>
      <c r="BJ570" s="14">
        <f t="shared" si="212"/>
        <v>4800</v>
      </c>
      <c r="BK570" s="14">
        <f>SUMIFS(BJ$4:BJ570,$AU$4:$AU570,"="&amp;$AU570,$AY$4:$AY570,"="&amp;$AY570)</f>
        <v>15840</v>
      </c>
    </row>
    <row r="571" spans="46:63" ht="16.5" x14ac:dyDescent="0.2">
      <c r="AT571" s="13">
        <v>568</v>
      </c>
      <c r="AU571" s="13">
        <f t="shared" si="204"/>
        <v>8</v>
      </c>
      <c r="AV571" s="14">
        <f t="shared" si="205"/>
        <v>200901</v>
      </c>
      <c r="AW571" s="14">
        <f t="shared" si="206"/>
        <v>1102009</v>
      </c>
      <c r="AX571" s="13" t="s">
        <v>1127</v>
      </c>
      <c r="AY571" s="13">
        <f t="shared" si="207"/>
        <v>1</v>
      </c>
      <c r="AZ571" s="13" t="s">
        <v>1148</v>
      </c>
      <c r="BA571" s="14">
        <f t="shared" si="208"/>
        <v>7</v>
      </c>
      <c r="BB571" s="14" t="str">
        <f t="shared" si="209"/>
        <v>徐晃魂珠-1 等级-7</v>
      </c>
      <c r="BC571" s="25" t="s">
        <v>1156</v>
      </c>
      <c r="BD571" s="14">
        <f t="shared" si="210"/>
        <v>216</v>
      </c>
      <c r="BE571" s="14">
        <f>SUMIFS(BD$4:BD571,$AU$4:$AU571,"="&amp;$AU571,$AY$4:$AY571,"="&amp;$AY571)</f>
        <v>810</v>
      </c>
      <c r="BF571" s="25" t="s">
        <v>1157</v>
      </c>
      <c r="BG571" s="14">
        <f t="shared" si="211"/>
        <v>120</v>
      </c>
      <c r="BH571" s="14">
        <f>SUMIFS(BG$4:BG571,AU$4:AU571,"="&amp;AU571,AY$4:AY571,"="&amp;AY571)</f>
        <v>450</v>
      </c>
      <c r="BI571" s="25" t="s">
        <v>1158</v>
      </c>
      <c r="BJ571" s="14">
        <f t="shared" si="212"/>
        <v>5760</v>
      </c>
      <c r="BK571" s="14">
        <f>SUMIFS(BJ$4:BJ571,$AU$4:$AU571,"="&amp;$AU571,$AY$4:$AY571,"="&amp;$AY571)</f>
        <v>21600</v>
      </c>
    </row>
    <row r="572" spans="46:63" ht="16.5" x14ac:dyDescent="0.2">
      <c r="AT572" s="13">
        <v>569</v>
      </c>
      <c r="AU572" s="13">
        <f t="shared" si="204"/>
        <v>8</v>
      </c>
      <c r="AV572" s="14">
        <f t="shared" si="205"/>
        <v>200901</v>
      </c>
      <c r="AW572" s="14">
        <f t="shared" si="206"/>
        <v>1102009</v>
      </c>
      <c r="AX572" s="13" t="s">
        <v>1127</v>
      </c>
      <c r="AY572" s="13">
        <f t="shared" si="207"/>
        <v>1</v>
      </c>
      <c r="AZ572" s="13" t="s">
        <v>1148</v>
      </c>
      <c r="BA572" s="14">
        <f t="shared" si="208"/>
        <v>8</v>
      </c>
      <c r="BB572" s="14" t="str">
        <f t="shared" si="209"/>
        <v>徐晃魂珠-1 等级-8</v>
      </c>
      <c r="BC572" s="25" t="s">
        <v>1156</v>
      </c>
      <c r="BD572" s="14">
        <f t="shared" si="210"/>
        <v>252</v>
      </c>
      <c r="BE572" s="14">
        <f>SUMIFS(BD$4:BD572,$AU$4:$AU572,"="&amp;$AU572,$AY$4:$AY572,"="&amp;$AY572)</f>
        <v>1062</v>
      </c>
      <c r="BF572" s="25" t="s">
        <v>1157</v>
      </c>
      <c r="BG572" s="14">
        <f t="shared" si="211"/>
        <v>140</v>
      </c>
      <c r="BH572" s="14">
        <f>SUMIFS(BG$4:BG572,AU$4:AU572,"="&amp;AU572,AY$4:AY572,"="&amp;AY572)</f>
        <v>590</v>
      </c>
      <c r="BI572" s="25" t="s">
        <v>1158</v>
      </c>
      <c r="BJ572" s="14">
        <f t="shared" si="212"/>
        <v>6720</v>
      </c>
      <c r="BK572" s="14">
        <f>SUMIFS(BJ$4:BJ572,$AU$4:$AU572,"="&amp;$AU572,$AY$4:$AY572,"="&amp;$AY572)</f>
        <v>28320</v>
      </c>
    </row>
    <row r="573" spans="46:63" ht="16.5" x14ac:dyDescent="0.2">
      <c r="AT573" s="13">
        <v>570</v>
      </c>
      <c r="AU573" s="13">
        <f t="shared" si="204"/>
        <v>8</v>
      </c>
      <c r="AV573" s="14">
        <f t="shared" si="205"/>
        <v>200901</v>
      </c>
      <c r="AW573" s="14">
        <f t="shared" si="206"/>
        <v>1102009</v>
      </c>
      <c r="AX573" s="13" t="s">
        <v>1127</v>
      </c>
      <c r="AY573" s="13">
        <f t="shared" si="207"/>
        <v>1</v>
      </c>
      <c r="AZ573" s="13" t="s">
        <v>1148</v>
      </c>
      <c r="BA573" s="14">
        <f t="shared" si="208"/>
        <v>9</v>
      </c>
      <c r="BB573" s="14" t="str">
        <f t="shared" si="209"/>
        <v>徐晃魂珠-1 等级-9</v>
      </c>
      <c r="BC573" s="25" t="s">
        <v>1156</v>
      </c>
      <c r="BD573" s="14">
        <f t="shared" si="210"/>
        <v>288</v>
      </c>
      <c r="BE573" s="14">
        <f>SUMIFS(BD$4:BD573,$AU$4:$AU573,"="&amp;$AU573,$AY$4:$AY573,"="&amp;$AY573)</f>
        <v>1350</v>
      </c>
      <c r="BF573" s="25" t="s">
        <v>1157</v>
      </c>
      <c r="BG573" s="14">
        <f t="shared" si="211"/>
        <v>160</v>
      </c>
      <c r="BH573" s="14">
        <f>SUMIFS(BG$4:BG573,AU$4:AU573,"="&amp;AU573,AY$4:AY573,"="&amp;AY573)</f>
        <v>750</v>
      </c>
      <c r="BI573" s="25" t="s">
        <v>1158</v>
      </c>
      <c r="BJ573" s="14">
        <f t="shared" si="212"/>
        <v>7680</v>
      </c>
      <c r="BK573" s="14">
        <f>SUMIFS(BJ$4:BJ573,$AU$4:$AU573,"="&amp;$AU573,$AY$4:$AY573,"="&amp;$AY573)</f>
        <v>36000</v>
      </c>
    </row>
    <row r="574" spans="46:63" ht="16.5" x14ac:dyDescent="0.2">
      <c r="AT574" s="13">
        <v>571</v>
      </c>
      <c r="AU574" s="13">
        <f t="shared" si="204"/>
        <v>8</v>
      </c>
      <c r="AV574" s="14">
        <f t="shared" si="205"/>
        <v>200902</v>
      </c>
      <c r="AW574" s="14">
        <f t="shared" si="206"/>
        <v>1102009</v>
      </c>
      <c r="AX574" s="13" t="s">
        <v>1127</v>
      </c>
      <c r="AY574" s="13">
        <f t="shared" si="207"/>
        <v>2</v>
      </c>
      <c r="AZ574" s="13" t="s">
        <v>1148</v>
      </c>
      <c r="BA574" s="14">
        <f t="shared" si="208"/>
        <v>0</v>
      </c>
      <c r="BB574" s="14" t="str">
        <f t="shared" si="209"/>
        <v>徐晃魂珠-2 等级-0</v>
      </c>
      <c r="BC574" s="25" t="s">
        <v>1156</v>
      </c>
      <c r="BD574" s="14">
        <f t="shared" si="210"/>
        <v>0</v>
      </c>
      <c r="BE574" s="14">
        <f>SUMIFS(BD$4:BD574,$AU$4:$AU574,"="&amp;$AU574,$AY$4:$AY574,"="&amp;$AY574)</f>
        <v>0</v>
      </c>
      <c r="BF574" s="25" t="s">
        <v>1157</v>
      </c>
      <c r="BG574" s="14">
        <f t="shared" si="211"/>
        <v>0</v>
      </c>
      <c r="BH574" s="14">
        <f>SUMIFS(BG$4:BG574,AU$4:AU574,"="&amp;AU574,AY$4:AY574,"="&amp;AY574)</f>
        <v>0</v>
      </c>
      <c r="BI574" s="25" t="s">
        <v>1158</v>
      </c>
      <c r="BJ574" s="14">
        <f t="shared" si="212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4"/>
        <v>8</v>
      </c>
      <c r="AV575" s="14">
        <f t="shared" si="205"/>
        <v>200902</v>
      </c>
      <c r="AW575" s="14">
        <f t="shared" si="206"/>
        <v>1102009</v>
      </c>
      <c r="AX575" s="13" t="s">
        <v>1127</v>
      </c>
      <c r="AY575" s="13">
        <f t="shared" si="207"/>
        <v>2</v>
      </c>
      <c r="AZ575" s="13" t="s">
        <v>1148</v>
      </c>
      <c r="BA575" s="14">
        <f t="shared" si="208"/>
        <v>1</v>
      </c>
      <c r="BB575" s="14" t="str">
        <f t="shared" si="209"/>
        <v>徐晃魂珠-2 等级-1</v>
      </c>
      <c r="BC575" s="25" t="s">
        <v>1156</v>
      </c>
      <c r="BD575" s="14">
        <f t="shared" si="210"/>
        <v>45</v>
      </c>
      <c r="BE575" s="14">
        <f>SUMIFS(BD$4:BD575,$AU$4:$AU575,"="&amp;$AU575,$AY$4:$AY575,"="&amp;$AY575)</f>
        <v>45</v>
      </c>
      <c r="BF575" s="25" t="s">
        <v>1157</v>
      </c>
      <c r="BG575" s="14">
        <f t="shared" si="211"/>
        <v>25</v>
      </c>
      <c r="BH575" s="14">
        <f>SUMIFS(BG$4:BG575,AU$4:AU575,"="&amp;AU575,AY$4:AY575,"="&amp;AY575)</f>
        <v>25</v>
      </c>
      <c r="BI575" s="25" t="s">
        <v>1158</v>
      </c>
      <c r="BJ575" s="14">
        <f t="shared" si="212"/>
        <v>1200</v>
      </c>
      <c r="BK575" s="14">
        <f>SUMIFS(BJ$4:BJ575,$AU$4:$AU575,"="&amp;$AU575,$AY$4:$AY575,"="&amp;$AY575)</f>
        <v>1200</v>
      </c>
    </row>
    <row r="576" spans="46:63" ht="16.5" x14ac:dyDescent="0.2">
      <c r="AT576" s="13">
        <v>573</v>
      </c>
      <c r="AU576" s="13">
        <f t="shared" si="204"/>
        <v>8</v>
      </c>
      <c r="AV576" s="14">
        <f t="shared" si="205"/>
        <v>200902</v>
      </c>
      <c r="AW576" s="14">
        <f t="shared" si="206"/>
        <v>1102009</v>
      </c>
      <c r="AX576" s="13" t="s">
        <v>1127</v>
      </c>
      <c r="AY576" s="13">
        <f t="shared" si="207"/>
        <v>2</v>
      </c>
      <c r="AZ576" s="13" t="s">
        <v>1148</v>
      </c>
      <c r="BA576" s="14">
        <f t="shared" si="208"/>
        <v>2</v>
      </c>
      <c r="BB576" s="14" t="str">
        <f t="shared" si="209"/>
        <v>徐晃魂珠-2 等级-2</v>
      </c>
      <c r="BC576" s="25" t="s">
        <v>1156</v>
      </c>
      <c r="BD576" s="14">
        <f t="shared" si="210"/>
        <v>72</v>
      </c>
      <c r="BE576" s="14">
        <f>SUMIFS(BD$4:BD576,$AU$4:$AU576,"="&amp;$AU576,$AY$4:$AY576,"="&amp;$AY576)</f>
        <v>117</v>
      </c>
      <c r="BF576" s="25" t="s">
        <v>1157</v>
      </c>
      <c r="BG576" s="14">
        <f t="shared" si="211"/>
        <v>40</v>
      </c>
      <c r="BH576" s="14">
        <f>SUMIFS(BG$4:BG576,AU$4:AU576,"="&amp;AU576,AY$4:AY576,"="&amp;AY576)</f>
        <v>65</v>
      </c>
      <c r="BI576" s="25" t="s">
        <v>1158</v>
      </c>
      <c r="BJ576" s="14">
        <f t="shared" si="212"/>
        <v>1920</v>
      </c>
      <c r="BK576" s="14">
        <f>SUMIFS(BJ$4:BJ576,$AU$4:$AU576,"="&amp;$AU576,$AY$4:$AY576,"="&amp;$AY576)</f>
        <v>3120</v>
      </c>
    </row>
    <row r="577" spans="46:63" ht="16.5" x14ac:dyDescent="0.2">
      <c r="AT577" s="13">
        <v>574</v>
      </c>
      <c r="AU577" s="13">
        <f t="shared" si="204"/>
        <v>8</v>
      </c>
      <c r="AV577" s="14">
        <f t="shared" si="205"/>
        <v>200902</v>
      </c>
      <c r="AW577" s="14">
        <f t="shared" si="206"/>
        <v>1102009</v>
      </c>
      <c r="AX577" s="13" t="s">
        <v>1127</v>
      </c>
      <c r="AY577" s="13">
        <f t="shared" si="207"/>
        <v>2</v>
      </c>
      <c r="AZ577" s="13" t="s">
        <v>1148</v>
      </c>
      <c r="BA577" s="14">
        <f t="shared" si="208"/>
        <v>3</v>
      </c>
      <c r="BB577" s="14" t="str">
        <f t="shared" si="209"/>
        <v>徐晃魂珠-2 等级-3</v>
      </c>
      <c r="BC577" s="25" t="s">
        <v>1156</v>
      </c>
      <c r="BD577" s="14">
        <f t="shared" si="210"/>
        <v>90</v>
      </c>
      <c r="BE577" s="14">
        <f>SUMIFS(BD$4:BD577,$AU$4:$AU577,"="&amp;$AU577,$AY$4:$AY577,"="&amp;$AY577)</f>
        <v>207</v>
      </c>
      <c r="BF577" s="25" t="s">
        <v>1157</v>
      </c>
      <c r="BG577" s="14">
        <f t="shared" si="211"/>
        <v>50</v>
      </c>
      <c r="BH577" s="14">
        <f>SUMIFS(BG$4:BG577,AU$4:AU577,"="&amp;AU577,AY$4:AY577,"="&amp;AY577)</f>
        <v>115</v>
      </c>
      <c r="BI577" s="25" t="s">
        <v>1158</v>
      </c>
      <c r="BJ577" s="14">
        <f t="shared" si="212"/>
        <v>2400</v>
      </c>
      <c r="BK577" s="14">
        <f>SUMIFS(BJ$4:BJ577,$AU$4:$AU577,"="&amp;$AU577,$AY$4:$AY577,"="&amp;$AY577)</f>
        <v>5520</v>
      </c>
    </row>
    <row r="578" spans="46:63" ht="16.5" x14ac:dyDescent="0.2">
      <c r="AT578" s="13">
        <v>575</v>
      </c>
      <c r="AU578" s="13">
        <f t="shared" si="204"/>
        <v>8</v>
      </c>
      <c r="AV578" s="14">
        <f t="shared" si="205"/>
        <v>200902</v>
      </c>
      <c r="AW578" s="14">
        <f t="shared" si="206"/>
        <v>1102009</v>
      </c>
      <c r="AX578" s="13" t="s">
        <v>1127</v>
      </c>
      <c r="AY578" s="13">
        <f t="shared" si="207"/>
        <v>2</v>
      </c>
      <c r="AZ578" s="13" t="s">
        <v>1148</v>
      </c>
      <c r="BA578" s="14">
        <f t="shared" si="208"/>
        <v>4</v>
      </c>
      <c r="BB578" s="14" t="str">
        <f t="shared" si="209"/>
        <v>徐晃魂珠-2 等级-4</v>
      </c>
      <c r="BC578" s="25" t="s">
        <v>1156</v>
      </c>
      <c r="BD578" s="14">
        <f t="shared" si="210"/>
        <v>144</v>
      </c>
      <c r="BE578" s="14">
        <f>SUMIFS(BD$4:BD578,$AU$4:$AU578,"="&amp;$AU578,$AY$4:$AY578,"="&amp;$AY578)</f>
        <v>351</v>
      </c>
      <c r="BF578" s="25" t="s">
        <v>1157</v>
      </c>
      <c r="BG578" s="14">
        <f t="shared" si="211"/>
        <v>80</v>
      </c>
      <c r="BH578" s="14">
        <f>SUMIFS(BG$4:BG578,AU$4:AU578,"="&amp;AU578,AY$4:AY578,"="&amp;AY578)</f>
        <v>195</v>
      </c>
      <c r="BI578" s="25" t="s">
        <v>1158</v>
      </c>
      <c r="BJ578" s="14">
        <f t="shared" si="212"/>
        <v>3840</v>
      </c>
      <c r="BK578" s="14">
        <f>SUMIFS(BJ$4:BJ578,$AU$4:$AU578,"="&amp;$AU578,$AY$4:$AY578,"="&amp;$AY578)</f>
        <v>9360</v>
      </c>
    </row>
    <row r="579" spans="46:63" ht="16.5" x14ac:dyDescent="0.2">
      <c r="AT579" s="13">
        <v>576</v>
      </c>
      <c r="AU579" s="13">
        <f t="shared" si="204"/>
        <v>8</v>
      </c>
      <c r="AV579" s="14">
        <f t="shared" si="205"/>
        <v>200902</v>
      </c>
      <c r="AW579" s="14">
        <f t="shared" si="206"/>
        <v>1102009</v>
      </c>
      <c r="AX579" s="13" t="s">
        <v>1127</v>
      </c>
      <c r="AY579" s="13">
        <f t="shared" si="207"/>
        <v>2</v>
      </c>
      <c r="AZ579" s="13" t="s">
        <v>1148</v>
      </c>
      <c r="BA579" s="14">
        <f t="shared" si="208"/>
        <v>5</v>
      </c>
      <c r="BB579" s="14" t="str">
        <f t="shared" si="209"/>
        <v>徐晃魂珠-2 等级-5</v>
      </c>
      <c r="BC579" s="25" t="s">
        <v>1156</v>
      </c>
      <c r="BD579" s="14">
        <f t="shared" si="210"/>
        <v>198</v>
      </c>
      <c r="BE579" s="14">
        <f>SUMIFS(BD$4:BD579,$AU$4:$AU579,"="&amp;$AU579,$AY$4:$AY579,"="&amp;$AY579)</f>
        <v>549</v>
      </c>
      <c r="BF579" s="25" t="s">
        <v>1157</v>
      </c>
      <c r="BG579" s="14">
        <f t="shared" si="211"/>
        <v>110</v>
      </c>
      <c r="BH579" s="14">
        <f>SUMIFS(BG$4:BG579,AU$4:AU579,"="&amp;AU579,AY$4:AY579,"="&amp;AY579)</f>
        <v>305</v>
      </c>
      <c r="BI579" s="25" t="s">
        <v>1158</v>
      </c>
      <c r="BJ579" s="14">
        <f t="shared" si="212"/>
        <v>5280</v>
      </c>
      <c r="BK579" s="14">
        <f>SUMIFS(BJ$4:BJ579,$AU$4:$AU579,"="&amp;$AU579,$AY$4:$AY579,"="&amp;$AY579)</f>
        <v>14640</v>
      </c>
    </row>
    <row r="580" spans="46:63" ht="16.5" x14ac:dyDescent="0.2">
      <c r="AT580" s="13">
        <v>577</v>
      </c>
      <c r="AU580" s="13">
        <f t="shared" si="204"/>
        <v>8</v>
      </c>
      <c r="AV580" s="14">
        <f t="shared" si="205"/>
        <v>200902</v>
      </c>
      <c r="AW580" s="14">
        <f t="shared" si="206"/>
        <v>1102009</v>
      </c>
      <c r="AX580" s="13" t="s">
        <v>1127</v>
      </c>
      <c r="AY580" s="13">
        <f t="shared" si="207"/>
        <v>2</v>
      </c>
      <c r="AZ580" s="13" t="s">
        <v>1148</v>
      </c>
      <c r="BA580" s="14">
        <f t="shared" si="208"/>
        <v>6</v>
      </c>
      <c r="BB580" s="14" t="str">
        <f t="shared" si="209"/>
        <v>徐晃魂珠-2 等级-6</v>
      </c>
      <c r="BC580" s="25" t="s">
        <v>1156</v>
      </c>
      <c r="BD580" s="14">
        <f t="shared" si="210"/>
        <v>252</v>
      </c>
      <c r="BE580" s="14">
        <f>SUMIFS(BD$4:BD580,$AU$4:$AU580,"="&amp;$AU580,$AY$4:$AY580,"="&amp;$AY580)</f>
        <v>801</v>
      </c>
      <c r="BF580" s="25" t="s">
        <v>1157</v>
      </c>
      <c r="BG580" s="14">
        <f t="shared" si="211"/>
        <v>140</v>
      </c>
      <c r="BH580" s="14">
        <f>SUMIFS(BG$4:BG580,AU$4:AU580,"="&amp;AU580,AY$4:AY580,"="&amp;AY580)</f>
        <v>445</v>
      </c>
      <c r="BI580" s="25" t="s">
        <v>1158</v>
      </c>
      <c r="BJ580" s="14">
        <f t="shared" si="212"/>
        <v>6720</v>
      </c>
      <c r="BK580" s="14">
        <f>SUMIFS(BJ$4:BJ580,$AU$4:$AU580,"="&amp;$AU580,$AY$4:$AY580,"="&amp;$AY580)</f>
        <v>21360</v>
      </c>
    </row>
    <row r="581" spans="46:63" ht="16.5" x14ac:dyDescent="0.2">
      <c r="AT581" s="13">
        <v>578</v>
      </c>
      <c r="AU581" s="13">
        <f t="shared" ref="AU581:AU644" si="213">INT((AT581-1)/80)+1</f>
        <v>8</v>
      </c>
      <c r="AV581" s="14">
        <f t="shared" ref="AV581:AV644" si="214">INDEX($AJ$4:$AJ$203,(AU581-1)*8+AY581)</f>
        <v>200902</v>
      </c>
      <c r="AW581" s="14">
        <f t="shared" ref="AW581:AW644" si="215">INDEX($W$4:$W$28,AU581)</f>
        <v>1102009</v>
      </c>
      <c r="AX581" s="13" t="s">
        <v>1127</v>
      </c>
      <c r="AY581" s="13">
        <f t="shared" ref="AY581:AY644" si="216">INT(((AT581-(AU581-1)*80)-1)/10)+1</f>
        <v>2</v>
      </c>
      <c r="AZ581" s="13" t="s">
        <v>1148</v>
      </c>
      <c r="BA581" s="14">
        <f t="shared" ref="BA581:BA644" si="217">AT581-(AU581-1)*80-(AY581-1)*10-1</f>
        <v>7</v>
      </c>
      <c r="BB581" s="14" t="str">
        <f t="shared" ref="BB581:BB644" si="218">INDEX($X$4:$X$28,AU581)&amp;"魂珠-"&amp;AY581&amp;" 等级-"&amp;BA581</f>
        <v>徐晃魂珠-2 等级-7</v>
      </c>
      <c r="BC581" s="25" t="s">
        <v>1156</v>
      </c>
      <c r="BD581" s="14">
        <f t="shared" ref="BD581:BD644" si="219">ROUND(INDEX(Q$4:Q$83,($AY581-1)*10+$BA581+1)*INDEX(AC$4:AC$28,$AU581),0)</f>
        <v>288</v>
      </c>
      <c r="BE581" s="14">
        <f>SUMIFS(BD$4:BD581,$AU$4:$AU581,"="&amp;$AU581,$AY$4:$AY581,"="&amp;$AY581)</f>
        <v>1089</v>
      </c>
      <c r="BF581" s="25" t="s">
        <v>1157</v>
      </c>
      <c r="BG581" s="14">
        <f t="shared" ref="BG581:BG644" si="220">ROUND(INDEX(R$4:R$83,($AY581-1)*10+$BA581+1)*INDEX(AD$4:AD$28,$AU581),0)</f>
        <v>160</v>
      </c>
      <c r="BH581" s="14">
        <f>SUMIFS(BG$4:BG581,AU$4:AU581,"="&amp;AU581,AY$4:AY581,"="&amp;AY581)</f>
        <v>605</v>
      </c>
      <c r="BI581" s="25" t="s">
        <v>1158</v>
      </c>
      <c r="BJ581" s="14">
        <f t="shared" ref="BJ581:BJ644" si="221">ROUND(INDEX(S$4:S$83,($AY581-1)*10+$BA581+1)*INDEX(AE$4:AE$28,$AU581),0)</f>
        <v>7680</v>
      </c>
      <c r="BK581" s="14">
        <f>SUMIFS(BJ$4:BJ581,$AU$4:$AU581,"="&amp;$AU581,$AY$4:$AY581,"="&amp;$AY581)</f>
        <v>29040</v>
      </c>
    </row>
    <row r="582" spans="46:63" ht="16.5" x14ac:dyDescent="0.2">
      <c r="AT582" s="13">
        <v>579</v>
      </c>
      <c r="AU582" s="13">
        <f t="shared" si="213"/>
        <v>8</v>
      </c>
      <c r="AV582" s="14">
        <f t="shared" si="214"/>
        <v>200902</v>
      </c>
      <c r="AW582" s="14">
        <f t="shared" si="215"/>
        <v>1102009</v>
      </c>
      <c r="AX582" s="13" t="s">
        <v>1127</v>
      </c>
      <c r="AY582" s="13">
        <f t="shared" si="216"/>
        <v>2</v>
      </c>
      <c r="AZ582" s="13" t="s">
        <v>1148</v>
      </c>
      <c r="BA582" s="14">
        <f t="shared" si="217"/>
        <v>8</v>
      </c>
      <c r="BB582" s="14" t="str">
        <f t="shared" si="218"/>
        <v>徐晃魂珠-2 等级-8</v>
      </c>
      <c r="BC582" s="25" t="s">
        <v>1156</v>
      </c>
      <c r="BD582" s="14">
        <f t="shared" si="219"/>
        <v>342</v>
      </c>
      <c r="BE582" s="14">
        <f>SUMIFS(BD$4:BD582,$AU$4:$AU582,"="&amp;$AU582,$AY$4:$AY582,"="&amp;$AY582)</f>
        <v>1431</v>
      </c>
      <c r="BF582" s="25" t="s">
        <v>1157</v>
      </c>
      <c r="BG582" s="14">
        <f t="shared" si="220"/>
        <v>190</v>
      </c>
      <c r="BH582" s="14">
        <f>SUMIFS(BG$4:BG582,AU$4:AU582,"="&amp;AU582,AY$4:AY582,"="&amp;AY582)</f>
        <v>795</v>
      </c>
      <c r="BI582" s="25" t="s">
        <v>1158</v>
      </c>
      <c r="BJ582" s="14">
        <f t="shared" si="221"/>
        <v>9120</v>
      </c>
      <c r="BK582" s="14">
        <f>SUMIFS(BJ$4:BJ582,$AU$4:$AU582,"="&amp;$AU582,$AY$4:$AY582,"="&amp;$AY582)</f>
        <v>38160</v>
      </c>
    </row>
    <row r="583" spans="46:63" ht="16.5" x14ac:dyDescent="0.2">
      <c r="AT583" s="13">
        <v>580</v>
      </c>
      <c r="AU583" s="13">
        <f t="shared" si="213"/>
        <v>8</v>
      </c>
      <c r="AV583" s="14">
        <f t="shared" si="214"/>
        <v>200902</v>
      </c>
      <c r="AW583" s="14">
        <f t="shared" si="215"/>
        <v>1102009</v>
      </c>
      <c r="AX583" s="13" t="s">
        <v>1127</v>
      </c>
      <c r="AY583" s="13">
        <f t="shared" si="216"/>
        <v>2</v>
      </c>
      <c r="AZ583" s="13" t="s">
        <v>1148</v>
      </c>
      <c r="BA583" s="14">
        <f t="shared" si="217"/>
        <v>9</v>
      </c>
      <c r="BB583" s="14" t="str">
        <f t="shared" si="218"/>
        <v>徐晃魂珠-2 等级-9</v>
      </c>
      <c r="BC583" s="25" t="s">
        <v>1156</v>
      </c>
      <c r="BD583" s="14">
        <f t="shared" si="219"/>
        <v>405</v>
      </c>
      <c r="BE583" s="14">
        <f>SUMIFS(BD$4:BD583,$AU$4:$AU583,"="&amp;$AU583,$AY$4:$AY583,"="&amp;$AY583)</f>
        <v>1836</v>
      </c>
      <c r="BF583" s="25" t="s">
        <v>1157</v>
      </c>
      <c r="BG583" s="14">
        <f t="shared" si="220"/>
        <v>225</v>
      </c>
      <c r="BH583" s="14">
        <f>SUMIFS(BG$4:BG583,AU$4:AU583,"="&amp;AU583,AY$4:AY583,"="&amp;AY583)</f>
        <v>1020</v>
      </c>
      <c r="BI583" s="25" t="s">
        <v>1158</v>
      </c>
      <c r="BJ583" s="14">
        <f t="shared" si="221"/>
        <v>10800</v>
      </c>
      <c r="BK583" s="14">
        <f>SUMIFS(BJ$4:BJ583,$AU$4:$AU583,"="&amp;$AU583,$AY$4:$AY583,"="&amp;$AY583)</f>
        <v>48960</v>
      </c>
    </row>
    <row r="584" spans="46:63" ht="16.5" x14ac:dyDescent="0.2">
      <c r="AT584" s="13">
        <v>581</v>
      </c>
      <c r="AU584" s="13">
        <f t="shared" si="213"/>
        <v>8</v>
      </c>
      <c r="AV584" s="14">
        <f t="shared" si="214"/>
        <v>200903</v>
      </c>
      <c r="AW584" s="14">
        <f t="shared" si="215"/>
        <v>1102009</v>
      </c>
      <c r="AX584" s="13" t="s">
        <v>1127</v>
      </c>
      <c r="AY584" s="13">
        <f t="shared" si="216"/>
        <v>3</v>
      </c>
      <c r="AZ584" s="13" t="s">
        <v>1148</v>
      </c>
      <c r="BA584" s="14">
        <f t="shared" si="217"/>
        <v>0</v>
      </c>
      <c r="BB584" s="14" t="str">
        <f t="shared" si="218"/>
        <v>徐晃魂珠-3 等级-0</v>
      </c>
      <c r="BC584" s="25" t="s">
        <v>1156</v>
      </c>
      <c r="BD584" s="14">
        <f t="shared" si="219"/>
        <v>0</v>
      </c>
      <c r="BE584" s="14">
        <f>SUMIFS(BD$4:BD584,$AU$4:$AU584,"="&amp;$AU584,$AY$4:$AY584,"="&amp;$AY584)</f>
        <v>0</v>
      </c>
      <c r="BF584" s="25" t="s">
        <v>1157</v>
      </c>
      <c r="BG584" s="14">
        <f t="shared" si="220"/>
        <v>0</v>
      </c>
      <c r="BH584" s="14">
        <f>SUMIFS(BG$4:BG584,AU$4:AU584,"="&amp;AU584,AY$4:AY584,"="&amp;AY584)</f>
        <v>0</v>
      </c>
      <c r="BI584" s="25" t="s">
        <v>1158</v>
      </c>
      <c r="BJ584" s="14">
        <f t="shared" si="221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3"/>
        <v>8</v>
      </c>
      <c r="AV585" s="14">
        <f t="shared" si="214"/>
        <v>200903</v>
      </c>
      <c r="AW585" s="14">
        <f t="shared" si="215"/>
        <v>1102009</v>
      </c>
      <c r="AX585" s="13" t="s">
        <v>1127</v>
      </c>
      <c r="AY585" s="13">
        <f t="shared" si="216"/>
        <v>3</v>
      </c>
      <c r="AZ585" s="13" t="s">
        <v>1148</v>
      </c>
      <c r="BA585" s="14">
        <f t="shared" si="217"/>
        <v>1</v>
      </c>
      <c r="BB585" s="14" t="str">
        <f t="shared" si="218"/>
        <v>徐晃魂珠-3 等级-1</v>
      </c>
      <c r="BC585" s="25" t="s">
        <v>1156</v>
      </c>
      <c r="BD585" s="14">
        <f t="shared" si="219"/>
        <v>72</v>
      </c>
      <c r="BE585" s="14">
        <f>SUMIFS(BD$4:BD585,$AU$4:$AU585,"="&amp;$AU585,$AY$4:$AY585,"="&amp;$AY585)</f>
        <v>72</v>
      </c>
      <c r="BF585" s="25" t="s">
        <v>1157</v>
      </c>
      <c r="BG585" s="14">
        <f t="shared" si="220"/>
        <v>40</v>
      </c>
      <c r="BH585" s="14">
        <f>SUMIFS(BG$4:BG585,AU$4:AU585,"="&amp;AU585,AY$4:AY585,"="&amp;AY585)</f>
        <v>40</v>
      </c>
      <c r="BI585" s="25" t="s">
        <v>1158</v>
      </c>
      <c r="BJ585" s="14">
        <f t="shared" si="221"/>
        <v>1920</v>
      </c>
      <c r="BK585" s="14">
        <f>SUMIFS(BJ$4:BJ585,$AU$4:$AU585,"="&amp;$AU585,$AY$4:$AY585,"="&amp;$AY585)</f>
        <v>1920</v>
      </c>
    </row>
    <row r="586" spans="46:63" ht="16.5" x14ac:dyDescent="0.2">
      <c r="AT586" s="13">
        <v>583</v>
      </c>
      <c r="AU586" s="13">
        <f t="shared" si="213"/>
        <v>8</v>
      </c>
      <c r="AV586" s="14">
        <f t="shared" si="214"/>
        <v>200903</v>
      </c>
      <c r="AW586" s="14">
        <f t="shared" si="215"/>
        <v>1102009</v>
      </c>
      <c r="AX586" s="13" t="s">
        <v>1127</v>
      </c>
      <c r="AY586" s="13">
        <f t="shared" si="216"/>
        <v>3</v>
      </c>
      <c r="AZ586" s="13" t="s">
        <v>1148</v>
      </c>
      <c r="BA586" s="14">
        <f t="shared" si="217"/>
        <v>2</v>
      </c>
      <c r="BB586" s="14" t="str">
        <f t="shared" si="218"/>
        <v>徐晃魂珠-3 等级-2</v>
      </c>
      <c r="BC586" s="25" t="s">
        <v>1156</v>
      </c>
      <c r="BD586" s="14">
        <f t="shared" si="219"/>
        <v>108</v>
      </c>
      <c r="BE586" s="14">
        <f>SUMIFS(BD$4:BD586,$AU$4:$AU586,"="&amp;$AU586,$AY$4:$AY586,"="&amp;$AY586)</f>
        <v>180</v>
      </c>
      <c r="BF586" s="25" t="s">
        <v>1157</v>
      </c>
      <c r="BG586" s="14">
        <f t="shared" si="220"/>
        <v>60</v>
      </c>
      <c r="BH586" s="14">
        <f>SUMIFS(BG$4:BG586,AU$4:AU586,"="&amp;AU586,AY$4:AY586,"="&amp;AY586)</f>
        <v>100</v>
      </c>
      <c r="BI586" s="25" t="s">
        <v>1158</v>
      </c>
      <c r="BJ586" s="14">
        <f t="shared" si="221"/>
        <v>2880</v>
      </c>
      <c r="BK586" s="14">
        <f>SUMIFS(BJ$4:BJ586,$AU$4:$AU586,"="&amp;$AU586,$AY$4:$AY586,"="&amp;$AY586)</f>
        <v>4800</v>
      </c>
    </row>
    <row r="587" spans="46:63" ht="16.5" x14ac:dyDescent="0.2">
      <c r="AT587" s="13">
        <v>584</v>
      </c>
      <c r="AU587" s="13">
        <f t="shared" si="213"/>
        <v>8</v>
      </c>
      <c r="AV587" s="14">
        <f t="shared" si="214"/>
        <v>200903</v>
      </c>
      <c r="AW587" s="14">
        <f t="shared" si="215"/>
        <v>1102009</v>
      </c>
      <c r="AX587" s="13" t="s">
        <v>1127</v>
      </c>
      <c r="AY587" s="13">
        <f t="shared" si="216"/>
        <v>3</v>
      </c>
      <c r="AZ587" s="13" t="s">
        <v>1148</v>
      </c>
      <c r="BA587" s="14">
        <f t="shared" si="217"/>
        <v>3</v>
      </c>
      <c r="BB587" s="14" t="str">
        <f t="shared" si="218"/>
        <v>徐晃魂珠-3 等级-3</v>
      </c>
      <c r="BC587" s="25" t="s">
        <v>1156</v>
      </c>
      <c r="BD587" s="14">
        <f t="shared" si="219"/>
        <v>144</v>
      </c>
      <c r="BE587" s="14">
        <f>SUMIFS(BD$4:BD587,$AU$4:$AU587,"="&amp;$AU587,$AY$4:$AY587,"="&amp;$AY587)</f>
        <v>324</v>
      </c>
      <c r="BF587" s="25" t="s">
        <v>1157</v>
      </c>
      <c r="BG587" s="14">
        <f t="shared" si="220"/>
        <v>80</v>
      </c>
      <c r="BH587" s="14">
        <f>SUMIFS(BG$4:BG587,AU$4:AU587,"="&amp;AU587,AY$4:AY587,"="&amp;AY587)</f>
        <v>180</v>
      </c>
      <c r="BI587" s="25" t="s">
        <v>1158</v>
      </c>
      <c r="BJ587" s="14">
        <f t="shared" si="221"/>
        <v>3840</v>
      </c>
      <c r="BK587" s="14">
        <f>SUMIFS(BJ$4:BJ587,$AU$4:$AU587,"="&amp;$AU587,$AY$4:$AY587,"="&amp;$AY587)</f>
        <v>8640</v>
      </c>
    </row>
    <row r="588" spans="46:63" ht="16.5" x14ac:dyDescent="0.2">
      <c r="AT588" s="13">
        <v>585</v>
      </c>
      <c r="AU588" s="13">
        <f t="shared" si="213"/>
        <v>8</v>
      </c>
      <c r="AV588" s="14">
        <f t="shared" si="214"/>
        <v>200903</v>
      </c>
      <c r="AW588" s="14">
        <f t="shared" si="215"/>
        <v>1102009</v>
      </c>
      <c r="AX588" s="13" t="s">
        <v>1127</v>
      </c>
      <c r="AY588" s="13">
        <f t="shared" si="216"/>
        <v>3</v>
      </c>
      <c r="AZ588" s="13" t="s">
        <v>1148</v>
      </c>
      <c r="BA588" s="14">
        <f t="shared" si="217"/>
        <v>4</v>
      </c>
      <c r="BB588" s="14" t="str">
        <f t="shared" si="218"/>
        <v>徐晃魂珠-3 等级-4</v>
      </c>
      <c r="BC588" s="25" t="s">
        <v>1156</v>
      </c>
      <c r="BD588" s="14">
        <f t="shared" si="219"/>
        <v>216</v>
      </c>
      <c r="BE588" s="14">
        <f>SUMIFS(BD$4:BD588,$AU$4:$AU588,"="&amp;$AU588,$AY$4:$AY588,"="&amp;$AY588)</f>
        <v>540</v>
      </c>
      <c r="BF588" s="25" t="s">
        <v>1157</v>
      </c>
      <c r="BG588" s="14">
        <f t="shared" si="220"/>
        <v>120</v>
      </c>
      <c r="BH588" s="14">
        <f>SUMIFS(BG$4:BG588,AU$4:AU588,"="&amp;AU588,AY$4:AY588,"="&amp;AY588)</f>
        <v>300</v>
      </c>
      <c r="BI588" s="25" t="s">
        <v>1158</v>
      </c>
      <c r="BJ588" s="14">
        <f t="shared" si="221"/>
        <v>5760</v>
      </c>
      <c r="BK588" s="14">
        <f>SUMIFS(BJ$4:BJ588,$AU$4:$AU588,"="&amp;$AU588,$AY$4:$AY588,"="&amp;$AY588)</f>
        <v>14400</v>
      </c>
    </row>
    <row r="589" spans="46:63" ht="16.5" x14ac:dyDescent="0.2">
      <c r="AT589" s="13">
        <v>586</v>
      </c>
      <c r="AU589" s="13">
        <f t="shared" si="213"/>
        <v>8</v>
      </c>
      <c r="AV589" s="14">
        <f t="shared" si="214"/>
        <v>200903</v>
      </c>
      <c r="AW589" s="14">
        <f t="shared" si="215"/>
        <v>1102009</v>
      </c>
      <c r="AX589" s="13" t="s">
        <v>1127</v>
      </c>
      <c r="AY589" s="13">
        <f t="shared" si="216"/>
        <v>3</v>
      </c>
      <c r="AZ589" s="13" t="s">
        <v>1148</v>
      </c>
      <c r="BA589" s="14">
        <f t="shared" si="217"/>
        <v>5</v>
      </c>
      <c r="BB589" s="14" t="str">
        <f t="shared" si="218"/>
        <v>徐晃魂珠-3 等级-5</v>
      </c>
      <c r="BC589" s="25" t="s">
        <v>1156</v>
      </c>
      <c r="BD589" s="14">
        <f t="shared" si="219"/>
        <v>288</v>
      </c>
      <c r="BE589" s="14">
        <f>SUMIFS(BD$4:BD589,$AU$4:$AU589,"="&amp;$AU589,$AY$4:$AY589,"="&amp;$AY589)</f>
        <v>828</v>
      </c>
      <c r="BF589" s="25" t="s">
        <v>1157</v>
      </c>
      <c r="BG589" s="14">
        <f t="shared" si="220"/>
        <v>160</v>
      </c>
      <c r="BH589" s="14">
        <f>SUMIFS(BG$4:BG589,AU$4:AU589,"="&amp;AU589,AY$4:AY589,"="&amp;AY589)</f>
        <v>460</v>
      </c>
      <c r="BI589" s="25" t="s">
        <v>1158</v>
      </c>
      <c r="BJ589" s="14">
        <f t="shared" si="221"/>
        <v>7680</v>
      </c>
      <c r="BK589" s="14">
        <f>SUMIFS(BJ$4:BJ589,$AU$4:$AU589,"="&amp;$AU589,$AY$4:$AY589,"="&amp;$AY589)</f>
        <v>22080</v>
      </c>
    </row>
    <row r="590" spans="46:63" ht="16.5" x14ac:dyDescent="0.2">
      <c r="AT590" s="13">
        <v>587</v>
      </c>
      <c r="AU590" s="13">
        <f t="shared" si="213"/>
        <v>8</v>
      </c>
      <c r="AV590" s="14">
        <f t="shared" si="214"/>
        <v>200903</v>
      </c>
      <c r="AW590" s="14">
        <f t="shared" si="215"/>
        <v>1102009</v>
      </c>
      <c r="AX590" s="13" t="s">
        <v>1127</v>
      </c>
      <c r="AY590" s="13">
        <f t="shared" si="216"/>
        <v>3</v>
      </c>
      <c r="AZ590" s="13" t="s">
        <v>1148</v>
      </c>
      <c r="BA590" s="14">
        <f t="shared" si="217"/>
        <v>6</v>
      </c>
      <c r="BB590" s="14" t="str">
        <f t="shared" si="218"/>
        <v>徐晃魂珠-3 等级-6</v>
      </c>
      <c r="BC590" s="25" t="s">
        <v>1156</v>
      </c>
      <c r="BD590" s="14">
        <f t="shared" si="219"/>
        <v>360</v>
      </c>
      <c r="BE590" s="14">
        <f>SUMIFS(BD$4:BD590,$AU$4:$AU590,"="&amp;$AU590,$AY$4:$AY590,"="&amp;$AY590)</f>
        <v>1188</v>
      </c>
      <c r="BF590" s="25" t="s">
        <v>1157</v>
      </c>
      <c r="BG590" s="14">
        <f t="shared" si="220"/>
        <v>200</v>
      </c>
      <c r="BH590" s="14">
        <f>SUMIFS(BG$4:BG590,AU$4:AU590,"="&amp;AU590,AY$4:AY590,"="&amp;AY590)</f>
        <v>660</v>
      </c>
      <c r="BI590" s="25" t="s">
        <v>1158</v>
      </c>
      <c r="BJ590" s="14">
        <f t="shared" si="221"/>
        <v>9600</v>
      </c>
      <c r="BK590" s="14">
        <f>SUMIFS(BJ$4:BJ590,$AU$4:$AU590,"="&amp;$AU590,$AY$4:$AY590,"="&amp;$AY590)</f>
        <v>31680</v>
      </c>
    </row>
    <row r="591" spans="46:63" ht="16.5" x14ac:dyDescent="0.2">
      <c r="AT591" s="13">
        <v>588</v>
      </c>
      <c r="AU591" s="13">
        <f t="shared" si="213"/>
        <v>8</v>
      </c>
      <c r="AV591" s="14">
        <f t="shared" si="214"/>
        <v>200903</v>
      </c>
      <c r="AW591" s="14">
        <f t="shared" si="215"/>
        <v>1102009</v>
      </c>
      <c r="AX591" s="13" t="s">
        <v>1127</v>
      </c>
      <c r="AY591" s="13">
        <f t="shared" si="216"/>
        <v>3</v>
      </c>
      <c r="AZ591" s="13" t="s">
        <v>1148</v>
      </c>
      <c r="BA591" s="14">
        <f t="shared" si="217"/>
        <v>7</v>
      </c>
      <c r="BB591" s="14" t="str">
        <f t="shared" si="218"/>
        <v>徐晃魂珠-3 等级-7</v>
      </c>
      <c r="BC591" s="25" t="s">
        <v>1156</v>
      </c>
      <c r="BD591" s="14">
        <f t="shared" si="219"/>
        <v>432</v>
      </c>
      <c r="BE591" s="14">
        <f>SUMIFS(BD$4:BD591,$AU$4:$AU591,"="&amp;$AU591,$AY$4:$AY591,"="&amp;$AY591)</f>
        <v>1620</v>
      </c>
      <c r="BF591" s="25" t="s">
        <v>1157</v>
      </c>
      <c r="BG591" s="14">
        <f t="shared" si="220"/>
        <v>240</v>
      </c>
      <c r="BH591" s="14">
        <f>SUMIFS(BG$4:BG591,AU$4:AU591,"="&amp;AU591,AY$4:AY591,"="&amp;AY591)</f>
        <v>900</v>
      </c>
      <c r="BI591" s="25" t="s">
        <v>1158</v>
      </c>
      <c r="BJ591" s="14">
        <f t="shared" si="221"/>
        <v>11520</v>
      </c>
      <c r="BK591" s="14">
        <f>SUMIFS(BJ$4:BJ591,$AU$4:$AU591,"="&amp;$AU591,$AY$4:$AY591,"="&amp;$AY591)</f>
        <v>43200</v>
      </c>
    </row>
    <row r="592" spans="46:63" ht="16.5" x14ac:dyDescent="0.2">
      <c r="AT592" s="13">
        <v>589</v>
      </c>
      <c r="AU592" s="13">
        <f t="shared" si="213"/>
        <v>8</v>
      </c>
      <c r="AV592" s="14">
        <f t="shared" si="214"/>
        <v>200903</v>
      </c>
      <c r="AW592" s="14">
        <f t="shared" si="215"/>
        <v>1102009</v>
      </c>
      <c r="AX592" s="13" t="s">
        <v>1127</v>
      </c>
      <c r="AY592" s="13">
        <f t="shared" si="216"/>
        <v>3</v>
      </c>
      <c r="AZ592" s="13" t="s">
        <v>1148</v>
      </c>
      <c r="BA592" s="14">
        <f t="shared" si="217"/>
        <v>8</v>
      </c>
      <c r="BB592" s="14" t="str">
        <f t="shared" si="218"/>
        <v>徐晃魂珠-3 等级-8</v>
      </c>
      <c r="BC592" s="25" t="s">
        <v>1156</v>
      </c>
      <c r="BD592" s="14">
        <f t="shared" si="219"/>
        <v>504</v>
      </c>
      <c r="BE592" s="14">
        <f>SUMIFS(BD$4:BD592,$AU$4:$AU592,"="&amp;$AU592,$AY$4:$AY592,"="&amp;$AY592)</f>
        <v>2124</v>
      </c>
      <c r="BF592" s="25" t="s">
        <v>1157</v>
      </c>
      <c r="BG592" s="14">
        <f t="shared" si="220"/>
        <v>280</v>
      </c>
      <c r="BH592" s="14">
        <f>SUMIFS(BG$4:BG592,AU$4:AU592,"="&amp;AU592,AY$4:AY592,"="&amp;AY592)</f>
        <v>1180</v>
      </c>
      <c r="BI592" s="25" t="s">
        <v>1158</v>
      </c>
      <c r="BJ592" s="14">
        <f t="shared" si="221"/>
        <v>13440</v>
      </c>
      <c r="BK592" s="14">
        <f>SUMIFS(BJ$4:BJ592,$AU$4:$AU592,"="&amp;$AU592,$AY$4:$AY592,"="&amp;$AY592)</f>
        <v>56640</v>
      </c>
    </row>
    <row r="593" spans="46:63" ht="16.5" x14ac:dyDescent="0.2">
      <c r="AT593" s="13">
        <v>590</v>
      </c>
      <c r="AU593" s="13">
        <f t="shared" si="213"/>
        <v>8</v>
      </c>
      <c r="AV593" s="14">
        <f t="shared" si="214"/>
        <v>200903</v>
      </c>
      <c r="AW593" s="14">
        <f t="shared" si="215"/>
        <v>1102009</v>
      </c>
      <c r="AX593" s="13" t="s">
        <v>1127</v>
      </c>
      <c r="AY593" s="13">
        <f t="shared" si="216"/>
        <v>3</v>
      </c>
      <c r="AZ593" s="13" t="s">
        <v>1148</v>
      </c>
      <c r="BA593" s="14">
        <f t="shared" si="217"/>
        <v>9</v>
      </c>
      <c r="BB593" s="14" t="str">
        <f t="shared" si="218"/>
        <v>徐晃魂珠-3 等级-9</v>
      </c>
      <c r="BC593" s="25" t="s">
        <v>1156</v>
      </c>
      <c r="BD593" s="14">
        <f t="shared" si="219"/>
        <v>576</v>
      </c>
      <c r="BE593" s="14">
        <f>SUMIFS(BD$4:BD593,$AU$4:$AU593,"="&amp;$AU593,$AY$4:$AY593,"="&amp;$AY593)</f>
        <v>2700</v>
      </c>
      <c r="BF593" s="25" t="s">
        <v>1157</v>
      </c>
      <c r="BG593" s="14">
        <f t="shared" si="220"/>
        <v>320</v>
      </c>
      <c r="BH593" s="14">
        <f>SUMIFS(BG$4:BG593,AU$4:AU593,"="&amp;AU593,AY$4:AY593,"="&amp;AY593)</f>
        <v>1500</v>
      </c>
      <c r="BI593" s="25" t="s">
        <v>1158</v>
      </c>
      <c r="BJ593" s="14">
        <f t="shared" si="221"/>
        <v>15360</v>
      </c>
      <c r="BK593" s="14">
        <f>SUMIFS(BJ$4:BJ593,$AU$4:$AU593,"="&amp;$AU593,$AY$4:$AY593,"="&amp;$AY593)</f>
        <v>72000</v>
      </c>
    </row>
    <row r="594" spans="46:63" ht="16.5" x14ac:dyDescent="0.2">
      <c r="AT594" s="13">
        <v>591</v>
      </c>
      <c r="AU594" s="13">
        <f t="shared" si="213"/>
        <v>8</v>
      </c>
      <c r="AV594" s="14">
        <f t="shared" si="214"/>
        <v>200904</v>
      </c>
      <c r="AW594" s="14">
        <f t="shared" si="215"/>
        <v>1102009</v>
      </c>
      <c r="AX594" s="13" t="s">
        <v>1127</v>
      </c>
      <c r="AY594" s="13">
        <f t="shared" si="216"/>
        <v>4</v>
      </c>
      <c r="AZ594" s="13" t="s">
        <v>1148</v>
      </c>
      <c r="BA594" s="14">
        <f t="shared" si="217"/>
        <v>0</v>
      </c>
      <c r="BB594" s="14" t="str">
        <f t="shared" si="218"/>
        <v>徐晃魂珠-4 等级-0</v>
      </c>
      <c r="BC594" s="25" t="s">
        <v>1156</v>
      </c>
      <c r="BD594" s="14">
        <f t="shared" si="219"/>
        <v>0</v>
      </c>
      <c r="BE594" s="14">
        <f>SUMIFS(BD$4:BD594,$AU$4:$AU594,"="&amp;$AU594,$AY$4:$AY594,"="&amp;$AY594)</f>
        <v>0</v>
      </c>
      <c r="BF594" s="25" t="s">
        <v>1157</v>
      </c>
      <c r="BG594" s="14">
        <f t="shared" si="220"/>
        <v>0</v>
      </c>
      <c r="BH594" s="14">
        <f>SUMIFS(BG$4:BG594,AU$4:AU594,"="&amp;AU594,AY$4:AY594,"="&amp;AY594)</f>
        <v>0</v>
      </c>
      <c r="BI594" s="25" t="s">
        <v>1158</v>
      </c>
      <c r="BJ594" s="14">
        <f t="shared" si="221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3"/>
        <v>8</v>
      </c>
      <c r="AV595" s="14">
        <f t="shared" si="214"/>
        <v>200904</v>
      </c>
      <c r="AW595" s="14">
        <f t="shared" si="215"/>
        <v>1102009</v>
      </c>
      <c r="AX595" s="13" t="s">
        <v>1127</v>
      </c>
      <c r="AY595" s="13">
        <f t="shared" si="216"/>
        <v>4</v>
      </c>
      <c r="AZ595" s="13" t="s">
        <v>1148</v>
      </c>
      <c r="BA595" s="14">
        <f t="shared" si="217"/>
        <v>1</v>
      </c>
      <c r="BB595" s="14" t="str">
        <f t="shared" si="218"/>
        <v>徐晃魂珠-4 等级-1</v>
      </c>
      <c r="BC595" s="25" t="s">
        <v>1156</v>
      </c>
      <c r="BD595" s="14">
        <f t="shared" si="219"/>
        <v>90</v>
      </c>
      <c r="BE595" s="14">
        <f>SUMIFS(BD$4:BD595,$AU$4:$AU595,"="&amp;$AU595,$AY$4:$AY595,"="&amp;$AY595)</f>
        <v>90</v>
      </c>
      <c r="BF595" s="25" t="s">
        <v>1157</v>
      </c>
      <c r="BG595" s="14">
        <f t="shared" si="220"/>
        <v>50</v>
      </c>
      <c r="BH595" s="14">
        <f>SUMIFS(BG$4:BG595,AU$4:AU595,"="&amp;AU595,AY$4:AY595,"="&amp;AY595)</f>
        <v>50</v>
      </c>
      <c r="BI595" s="25" t="s">
        <v>1158</v>
      </c>
      <c r="BJ595" s="14">
        <f t="shared" si="221"/>
        <v>2400</v>
      </c>
      <c r="BK595" s="14">
        <f>SUMIFS(BJ$4:BJ595,$AU$4:$AU595,"="&amp;$AU595,$AY$4:$AY595,"="&amp;$AY595)</f>
        <v>2400</v>
      </c>
    </row>
    <row r="596" spans="46:63" ht="16.5" x14ac:dyDescent="0.2">
      <c r="AT596" s="13">
        <v>593</v>
      </c>
      <c r="AU596" s="13">
        <f t="shared" si="213"/>
        <v>8</v>
      </c>
      <c r="AV596" s="14">
        <f t="shared" si="214"/>
        <v>200904</v>
      </c>
      <c r="AW596" s="14">
        <f t="shared" si="215"/>
        <v>1102009</v>
      </c>
      <c r="AX596" s="13" t="s">
        <v>1127</v>
      </c>
      <c r="AY596" s="13">
        <f t="shared" si="216"/>
        <v>4</v>
      </c>
      <c r="AZ596" s="13" t="s">
        <v>1148</v>
      </c>
      <c r="BA596" s="14">
        <f t="shared" si="217"/>
        <v>2</v>
      </c>
      <c r="BB596" s="14" t="str">
        <f t="shared" si="218"/>
        <v>徐晃魂珠-4 等级-2</v>
      </c>
      <c r="BC596" s="25" t="s">
        <v>1156</v>
      </c>
      <c r="BD596" s="14">
        <f t="shared" si="219"/>
        <v>144</v>
      </c>
      <c r="BE596" s="14">
        <f>SUMIFS(BD$4:BD596,$AU$4:$AU596,"="&amp;$AU596,$AY$4:$AY596,"="&amp;$AY596)</f>
        <v>234</v>
      </c>
      <c r="BF596" s="25" t="s">
        <v>1157</v>
      </c>
      <c r="BG596" s="14">
        <f t="shared" si="220"/>
        <v>80</v>
      </c>
      <c r="BH596" s="14">
        <f>SUMIFS(BG$4:BG596,AU$4:AU596,"="&amp;AU596,AY$4:AY596,"="&amp;AY596)</f>
        <v>130</v>
      </c>
      <c r="BI596" s="25" t="s">
        <v>1158</v>
      </c>
      <c r="BJ596" s="14">
        <f t="shared" si="221"/>
        <v>3840</v>
      </c>
      <c r="BK596" s="14">
        <f>SUMIFS(BJ$4:BJ596,$AU$4:$AU596,"="&amp;$AU596,$AY$4:$AY596,"="&amp;$AY596)</f>
        <v>6240</v>
      </c>
    </row>
    <row r="597" spans="46:63" ht="16.5" x14ac:dyDescent="0.2">
      <c r="AT597" s="13">
        <v>594</v>
      </c>
      <c r="AU597" s="13">
        <f t="shared" si="213"/>
        <v>8</v>
      </c>
      <c r="AV597" s="14">
        <f t="shared" si="214"/>
        <v>200904</v>
      </c>
      <c r="AW597" s="14">
        <f t="shared" si="215"/>
        <v>1102009</v>
      </c>
      <c r="AX597" s="13" t="s">
        <v>1127</v>
      </c>
      <c r="AY597" s="13">
        <f t="shared" si="216"/>
        <v>4</v>
      </c>
      <c r="AZ597" s="13" t="s">
        <v>1148</v>
      </c>
      <c r="BA597" s="14">
        <f t="shared" si="217"/>
        <v>3</v>
      </c>
      <c r="BB597" s="14" t="str">
        <f t="shared" si="218"/>
        <v>徐晃魂珠-4 等级-3</v>
      </c>
      <c r="BC597" s="25" t="s">
        <v>1156</v>
      </c>
      <c r="BD597" s="14">
        <f t="shared" si="219"/>
        <v>198</v>
      </c>
      <c r="BE597" s="14">
        <f>SUMIFS(BD$4:BD597,$AU$4:$AU597,"="&amp;$AU597,$AY$4:$AY597,"="&amp;$AY597)</f>
        <v>432</v>
      </c>
      <c r="BF597" s="25" t="s">
        <v>1157</v>
      </c>
      <c r="BG597" s="14">
        <f t="shared" si="220"/>
        <v>110</v>
      </c>
      <c r="BH597" s="14">
        <f>SUMIFS(BG$4:BG597,AU$4:AU597,"="&amp;AU597,AY$4:AY597,"="&amp;AY597)</f>
        <v>240</v>
      </c>
      <c r="BI597" s="25" t="s">
        <v>1158</v>
      </c>
      <c r="BJ597" s="14">
        <f t="shared" si="221"/>
        <v>5280</v>
      </c>
      <c r="BK597" s="14">
        <f>SUMIFS(BJ$4:BJ597,$AU$4:$AU597,"="&amp;$AU597,$AY$4:$AY597,"="&amp;$AY597)</f>
        <v>11520</v>
      </c>
    </row>
    <row r="598" spans="46:63" ht="16.5" x14ac:dyDescent="0.2">
      <c r="AT598" s="13">
        <v>595</v>
      </c>
      <c r="AU598" s="13">
        <f t="shared" si="213"/>
        <v>8</v>
      </c>
      <c r="AV598" s="14">
        <f t="shared" si="214"/>
        <v>200904</v>
      </c>
      <c r="AW598" s="14">
        <f t="shared" si="215"/>
        <v>1102009</v>
      </c>
      <c r="AX598" s="13" t="s">
        <v>1127</v>
      </c>
      <c r="AY598" s="13">
        <f t="shared" si="216"/>
        <v>4</v>
      </c>
      <c r="AZ598" s="13" t="s">
        <v>1148</v>
      </c>
      <c r="BA598" s="14">
        <f t="shared" si="217"/>
        <v>4</v>
      </c>
      <c r="BB598" s="14" t="str">
        <f t="shared" si="218"/>
        <v>徐晃魂珠-4 等级-4</v>
      </c>
      <c r="BC598" s="25" t="s">
        <v>1156</v>
      </c>
      <c r="BD598" s="14">
        <f t="shared" si="219"/>
        <v>288</v>
      </c>
      <c r="BE598" s="14">
        <f>SUMIFS(BD$4:BD598,$AU$4:$AU598,"="&amp;$AU598,$AY$4:$AY598,"="&amp;$AY598)</f>
        <v>720</v>
      </c>
      <c r="BF598" s="25" t="s">
        <v>1157</v>
      </c>
      <c r="BG598" s="14">
        <f t="shared" si="220"/>
        <v>160</v>
      </c>
      <c r="BH598" s="14">
        <f>SUMIFS(BG$4:BG598,AU$4:AU598,"="&amp;AU598,AY$4:AY598,"="&amp;AY598)</f>
        <v>400</v>
      </c>
      <c r="BI598" s="25" t="s">
        <v>1158</v>
      </c>
      <c r="BJ598" s="14">
        <f t="shared" si="221"/>
        <v>7680</v>
      </c>
      <c r="BK598" s="14">
        <f>SUMIFS(BJ$4:BJ598,$AU$4:$AU598,"="&amp;$AU598,$AY$4:$AY598,"="&amp;$AY598)</f>
        <v>19200</v>
      </c>
    </row>
    <row r="599" spans="46:63" ht="16.5" x14ac:dyDescent="0.2">
      <c r="AT599" s="13">
        <v>596</v>
      </c>
      <c r="AU599" s="13">
        <f t="shared" si="213"/>
        <v>8</v>
      </c>
      <c r="AV599" s="14">
        <f t="shared" si="214"/>
        <v>200904</v>
      </c>
      <c r="AW599" s="14">
        <f t="shared" si="215"/>
        <v>1102009</v>
      </c>
      <c r="AX599" s="13" t="s">
        <v>1127</v>
      </c>
      <c r="AY599" s="13">
        <f t="shared" si="216"/>
        <v>4</v>
      </c>
      <c r="AZ599" s="13" t="s">
        <v>1148</v>
      </c>
      <c r="BA599" s="14">
        <f t="shared" si="217"/>
        <v>5</v>
      </c>
      <c r="BB599" s="14" t="str">
        <f t="shared" si="218"/>
        <v>徐晃魂珠-4 等级-5</v>
      </c>
      <c r="BC599" s="25" t="s">
        <v>1156</v>
      </c>
      <c r="BD599" s="14">
        <f t="shared" si="219"/>
        <v>378</v>
      </c>
      <c r="BE599" s="14">
        <f>SUMIFS(BD$4:BD599,$AU$4:$AU599,"="&amp;$AU599,$AY$4:$AY599,"="&amp;$AY599)</f>
        <v>1098</v>
      </c>
      <c r="BF599" s="25" t="s">
        <v>1157</v>
      </c>
      <c r="BG599" s="14">
        <f t="shared" si="220"/>
        <v>210</v>
      </c>
      <c r="BH599" s="14">
        <f>SUMIFS(BG$4:BG599,AU$4:AU599,"="&amp;AU599,AY$4:AY599,"="&amp;AY599)</f>
        <v>610</v>
      </c>
      <c r="BI599" s="25" t="s">
        <v>1158</v>
      </c>
      <c r="BJ599" s="14">
        <f t="shared" si="221"/>
        <v>10080</v>
      </c>
      <c r="BK599" s="14">
        <f>SUMIFS(BJ$4:BJ599,$AU$4:$AU599,"="&amp;$AU599,$AY$4:$AY599,"="&amp;$AY599)</f>
        <v>29280</v>
      </c>
    </row>
    <row r="600" spans="46:63" ht="16.5" x14ac:dyDescent="0.2">
      <c r="AT600" s="13">
        <v>597</v>
      </c>
      <c r="AU600" s="13">
        <f t="shared" si="213"/>
        <v>8</v>
      </c>
      <c r="AV600" s="14">
        <f t="shared" si="214"/>
        <v>200904</v>
      </c>
      <c r="AW600" s="14">
        <f t="shared" si="215"/>
        <v>1102009</v>
      </c>
      <c r="AX600" s="13" t="s">
        <v>1127</v>
      </c>
      <c r="AY600" s="13">
        <f t="shared" si="216"/>
        <v>4</v>
      </c>
      <c r="AZ600" s="13" t="s">
        <v>1148</v>
      </c>
      <c r="BA600" s="14">
        <f t="shared" si="217"/>
        <v>6</v>
      </c>
      <c r="BB600" s="14" t="str">
        <f t="shared" si="218"/>
        <v>徐晃魂珠-4 等级-6</v>
      </c>
      <c r="BC600" s="25" t="s">
        <v>1156</v>
      </c>
      <c r="BD600" s="14">
        <f t="shared" si="219"/>
        <v>495</v>
      </c>
      <c r="BE600" s="14">
        <f>SUMIFS(BD$4:BD600,$AU$4:$AU600,"="&amp;$AU600,$AY$4:$AY600,"="&amp;$AY600)</f>
        <v>1593</v>
      </c>
      <c r="BF600" s="25" t="s">
        <v>1157</v>
      </c>
      <c r="BG600" s="14">
        <f t="shared" si="220"/>
        <v>275</v>
      </c>
      <c r="BH600" s="14">
        <f>SUMIFS(BG$4:BG600,AU$4:AU600,"="&amp;AU600,AY$4:AY600,"="&amp;AY600)</f>
        <v>885</v>
      </c>
      <c r="BI600" s="25" t="s">
        <v>1158</v>
      </c>
      <c r="BJ600" s="14">
        <f t="shared" si="221"/>
        <v>13200</v>
      </c>
      <c r="BK600" s="14">
        <f>SUMIFS(BJ$4:BJ600,$AU$4:$AU600,"="&amp;$AU600,$AY$4:$AY600,"="&amp;$AY600)</f>
        <v>42480</v>
      </c>
    </row>
    <row r="601" spans="46:63" ht="16.5" x14ac:dyDescent="0.2">
      <c r="AT601" s="13">
        <v>598</v>
      </c>
      <c r="AU601" s="13">
        <f t="shared" si="213"/>
        <v>8</v>
      </c>
      <c r="AV601" s="14">
        <f t="shared" si="214"/>
        <v>200904</v>
      </c>
      <c r="AW601" s="14">
        <f t="shared" si="215"/>
        <v>1102009</v>
      </c>
      <c r="AX601" s="13" t="s">
        <v>1127</v>
      </c>
      <c r="AY601" s="13">
        <f t="shared" si="216"/>
        <v>4</v>
      </c>
      <c r="AZ601" s="13" t="s">
        <v>1148</v>
      </c>
      <c r="BA601" s="14">
        <f t="shared" si="217"/>
        <v>7</v>
      </c>
      <c r="BB601" s="14" t="str">
        <f t="shared" si="218"/>
        <v>徐晃魂珠-4 等级-7</v>
      </c>
      <c r="BC601" s="25" t="s">
        <v>1156</v>
      </c>
      <c r="BD601" s="14">
        <f t="shared" si="219"/>
        <v>585</v>
      </c>
      <c r="BE601" s="14">
        <f>SUMIFS(BD$4:BD601,$AU$4:$AU601,"="&amp;$AU601,$AY$4:$AY601,"="&amp;$AY601)</f>
        <v>2178</v>
      </c>
      <c r="BF601" s="25" t="s">
        <v>1157</v>
      </c>
      <c r="BG601" s="14">
        <f t="shared" si="220"/>
        <v>325</v>
      </c>
      <c r="BH601" s="14">
        <f>SUMIFS(BG$4:BG601,AU$4:AU601,"="&amp;AU601,AY$4:AY601,"="&amp;AY601)</f>
        <v>1210</v>
      </c>
      <c r="BI601" s="25" t="s">
        <v>1158</v>
      </c>
      <c r="BJ601" s="14">
        <f t="shared" si="221"/>
        <v>15600</v>
      </c>
      <c r="BK601" s="14">
        <f>SUMIFS(BJ$4:BJ601,$AU$4:$AU601,"="&amp;$AU601,$AY$4:$AY601,"="&amp;$AY601)</f>
        <v>58080</v>
      </c>
    </row>
    <row r="602" spans="46:63" ht="16.5" x14ac:dyDescent="0.2">
      <c r="AT602" s="13">
        <v>599</v>
      </c>
      <c r="AU602" s="13">
        <f t="shared" si="213"/>
        <v>8</v>
      </c>
      <c r="AV602" s="14">
        <f t="shared" si="214"/>
        <v>200904</v>
      </c>
      <c r="AW602" s="14">
        <f t="shared" si="215"/>
        <v>1102009</v>
      </c>
      <c r="AX602" s="13" t="s">
        <v>1127</v>
      </c>
      <c r="AY602" s="13">
        <f t="shared" si="216"/>
        <v>4</v>
      </c>
      <c r="AZ602" s="13" t="s">
        <v>1148</v>
      </c>
      <c r="BA602" s="14">
        <f t="shared" si="217"/>
        <v>8</v>
      </c>
      <c r="BB602" s="14" t="str">
        <f t="shared" si="218"/>
        <v>徐晃魂珠-4 等级-8</v>
      </c>
      <c r="BC602" s="25" t="s">
        <v>1156</v>
      </c>
      <c r="BD602" s="14">
        <f t="shared" si="219"/>
        <v>675</v>
      </c>
      <c r="BE602" s="14">
        <f>SUMIFS(BD$4:BD602,$AU$4:$AU602,"="&amp;$AU602,$AY$4:$AY602,"="&amp;$AY602)</f>
        <v>2853</v>
      </c>
      <c r="BF602" s="25" t="s">
        <v>1157</v>
      </c>
      <c r="BG602" s="14">
        <f t="shared" si="220"/>
        <v>375</v>
      </c>
      <c r="BH602" s="14">
        <f>SUMIFS(BG$4:BG602,AU$4:AU602,"="&amp;AU602,AY$4:AY602,"="&amp;AY602)</f>
        <v>1585</v>
      </c>
      <c r="BI602" s="25" t="s">
        <v>1158</v>
      </c>
      <c r="BJ602" s="14">
        <f t="shared" si="221"/>
        <v>18000</v>
      </c>
      <c r="BK602" s="14">
        <f>SUMIFS(BJ$4:BJ602,$AU$4:$AU602,"="&amp;$AU602,$AY$4:$AY602,"="&amp;$AY602)</f>
        <v>76080</v>
      </c>
    </row>
    <row r="603" spans="46:63" ht="16.5" x14ac:dyDescent="0.2">
      <c r="AT603" s="13">
        <v>600</v>
      </c>
      <c r="AU603" s="13">
        <f t="shared" si="213"/>
        <v>8</v>
      </c>
      <c r="AV603" s="14">
        <f t="shared" si="214"/>
        <v>200904</v>
      </c>
      <c r="AW603" s="14">
        <f t="shared" si="215"/>
        <v>1102009</v>
      </c>
      <c r="AX603" s="13" t="s">
        <v>1127</v>
      </c>
      <c r="AY603" s="13">
        <f t="shared" si="216"/>
        <v>4</v>
      </c>
      <c r="AZ603" s="13" t="s">
        <v>1148</v>
      </c>
      <c r="BA603" s="14">
        <f t="shared" si="217"/>
        <v>9</v>
      </c>
      <c r="BB603" s="14" t="str">
        <f t="shared" si="218"/>
        <v>徐晃魂珠-4 等级-9</v>
      </c>
      <c r="BC603" s="25" t="s">
        <v>1156</v>
      </c>
      <c r="BD603" s="14">
        <f t="shared" si="219"/>
        <v>765</v>
      </c>
      <c r="BE603" s="14">
        <f>SUMIFS(BD$4:BD603,$AU$4:$AU603,"="&amp;$AU603,$AY$4:$AY603,"="&amp;$AY603)</f>
        <v>3618</v>
      </c>
      <c r="BF603" s="25" t="s">
        <v>1157</v>
      </c>
      <c r="BG603" s="14">
        <f t="shared" si="220"/>
        <v>425</v>
      </c>
      <c r="BH603" s="14">
        <f>SUMIFS(BG$4:BG603,AU$4:AU603,"="&amp;AU603,AY$4:AY603,"="&amp;AY603)</f>
        <v>2010</v>
      </c>
      <c r="BI603" s="25" t="s">
        <v>1158</v>
      </c>
      <c r="BJ603" s="14">
        <f t="shared" si="221"/>
        <v>20400</v>
      </c>
      <c r="BK603" s="14">
        <f>SUMIFS(BJ$4:BJ603,$AU$4:$AU603,"="&amp;$AU603,$AY$4:$AY603,"="&amp;$AY603)</f>
        <v>96480</v>
      </c>
    </row>
    <row r="604" spans="46:63" ht="16.5" x14ac:dyDescent="0.2">
      <c r="AT604" s="13">
        <v>601</v>
      </c>
      <c r="AU604" s="13">
        <f t="shared" si="213"/>
        <v>8</v>
      </c>
      <c r="AV604" s="14">
        <f t="shared" si="214"/>
        <v>200905</v>
      </c>
      <c r="AW604" s="14">
        <f t="shared" si="215"/>
        <v>1102009</v>
      </c>
      <c r="AX604" s="13" t="s">
        <v>1127</v>
      </c>
      <c r="AY604" s="13">
        <f t="shared" si="216"/>
        <v>5</v>
      </c>
      <c r="AZ604" s="13" t="s">
        <v>1148</v>
      </c>
      <c r="BA604" s="14">
        <f t="shared" si="217"/>
        <v>0</v>
      </c>
      <c r="BB604" s="14" t="str">
        <f t="shared" si="218"/>
        <v>徐晃魂珠-5 等级-0</v>
      </c>
      <c r="BC604" s="25" t="s">
        <v>1156</v>
      </c>
      <c r="BD604" s="14">
        <f t="shared" si="219"/>
        <v>0</v>
      </c>
      <c r="BE604" s="14">
        <f>SUMIFS(BD$4:BD604,$AU$4:$AU604,"="&amp;$AU604,$AY$4:$AY604,"="&amp;$AY604)</f>
        <v>0</v>
      </c>
      <c r="BF604" s="25" t="s">
        <v>1157</v>
      </c>
      <c r="BG604" s="14">
        <f t="shared" si="220"/>
        <v>0</v>
      </c>
      <c r="BH604" s="14">
        <f>SUMIFS(BG$4:BG604,AU$4:AU604,"="&amp;AU604,AY$4:AY604,"="&amp;AY604)</f>
        <v>0</v>
      </c>
      <c r="BI604" s="25" t="s">
        <v>1158</v>
      </c>
      <c r="BJ604" s="14">
        <f t="shared" si="221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3"/>
        <v>8</v>
      </c>
      <c r="AV605" s="14">
        <f t="shared" si="214"/>
        <v>200905</v>
      </c>
      <c r="AW605" s="14">
        <f t="shared" si="215"/>
        <v>1102009</v>
      </c>
      <c r="AX605" s="13" t="s">
        <v>1127</v>
      </c>
      <c r="AY605" s="13">
        <f t="shared" si="216"/>
        <v>5</v>
      </c>
      <c r="AZ605" s="13" t="s">
        <v>1148</v>
      </c>
      <c r="BA605" s="14">
        <f t="shared" si="217"/>
        <v>1</v>
      </c>
      <c r="BB605" s="14" t="str">
        <f t="shared" si="218"/>
        <v>徐晃魂珠-5 等级-1</v>
      </c>
      <c r="BC605" s="25" t="s">
        <v>1156</v>
      </c>
      <c r="BD605" s="14">
        <f t="shared" si="219"/>
        <v>126</v>
      </c>
      <c r="BE605" s="14">
        <f>SUMIFS(BD$4:BD605,$AU$4:$AU605,"="&amp;$AU605,$AY$4:$AY605,"="&amp;$AY605)</f>
        <v>126</v>
      </c>
      <c r="BF605" s="25" t="s">
        <v>1157</v>
      </c>
      <c r="BG605" s="14">
        <f t="shared" si="220"/>
        <v>70</v>
      </c>
      <c r="BH605" s="14">
        <f>SUMIFS(BG$4:BG605,AU$4:AU605,"="&amp;AU605,AY$4:AY605,"="&amp;AY605)</f>
        <v>70</v>
      </c>
      <c r="BI605" s="25" t="s">
        <v>1158</v>
      </c>
      <c r="BJ605" s="14">
        <f t="shared" si="221"/>
        <v>3360</v>
      </c>
      <c r="BK605" s="14">
        <f>SUMIFS(BJ$4:BJ605,$AU$4:$AU605,"="&amp;$AU605,$AY$4:$AY605,"="&amp;$AY605)</f>
        <v>3360</v>
      </c>
    </row>
    <row r="606" spans="46:63" ht="16.5" x14ac:dyDescent="0.2">
      <c r="AT606" s="13">
        <v>603</v>
      </c>
      <c r="AU606" s="13">
        <f t="shared" si="213"/>
        <v>8</v>
      </c>
      <c r="AV606" s="14">
        <f t="shared" si="214"/>
        <v>200905</v>
      </c>
      <c r="AW606" s="14">
        <f t="shared" si="215"/>
        <v>1102009</v>
      </c>
      <c r="AX606" s="13" t="s">
        <v>1127</v>
      </c>
      <c r="AY606" s="13">
        <f t="shared" si="216"/>
        <v>5</v>
      </c>
      <c r="AZ606" s="13" t="s">
        <v>1148</v>
      </c>
      <c r="BA606" s="14">
        <f t="shared" si="217"/>
        <v>2</v>
      </c>
      <c r="BB606" s="14" t="str">
        <f t="shared" si="218"/>
        <v>徐晃魂珠-5 等级-2</v>
      </c>
      <c r="BC606" s="25" t="s">
        <v>1156</v>
      </c>
      <c r="BD606" s="14">
        <f t="shared" si="219"/>
        <v>180</v>
      </c>
      <c r="BE606" s="14">
        <f>SUMIFS(BD$4:BD606,$AU$4:$AU606,"="&amp;$AU606,$AY$4:$AY606,"="&amp;$AY606)</f>
        <v>306</v>
      </c>
      <c r="BF606" s="25" t="s">
        <v>1157</v>
      </c>
      <c r="BG606" s="14">
        <f t="shared" si="220"/>
        <v>100</v>
      </c>
      <c r="BH606" s="14">
        <f>SUMIFS(BG$4:BG606,AU$4:AU606,"="&amp;AU606,AY$4:AY606,"="&amp;AY606)</f>
        <v>170</v>
      </c>
      <c r="BI606" s="25" t="s">
        <v>1158</v>
      </c>
      <c r="BJ606" s="14">
        <f t="shared" si="221"/>
        <v>4800</v>
      </c>
      <c r="BK606" s="14">
        <f>SUMIFS(BJ$4:BJ606,$AU$4:$AU606,"="&amp;$AU606,$AY$4:$AY606,"="&amp;$AY606)</f>
        <v>8160</v>
      </c>
    </row>
    <row r="607" spans="46:63" ht="16.5" x14ac:dyDescent="0.2">
      <c r="AT607" s="13">
        <v>604</v>
      </c>
      <c r="AU607" s="13">
        <f t="shared" si="213"/>
        <v>8</v>
      </c>
      <c r="AV607" s="14">
        <f t="shared" si="214"/>
        <v>200905</v>
      </c>
      <c r="AW607" s="14">
        <f t="shared" si="215"/>
        <v>1102009</v>
      </c>
      <c r="AX607" s="13" t="s">
        <v>1127</v>
      </c>
      <c r="AY607" s="13">
        <f t="shared" si="216"/>
        <v>5</v>
      </c>
      <c r="AZ607" s="13" t="s">
        <v>1148</v>
      </c>
      <c r="BA607" s="14">
        <f t="shared" si="217"/>
        <v>3</v>
      </c>
      <c r="BB607" s="14" t="str">
        <f t="shared" si="218"/>
        <v>徐晃魂珠-5 等级-3</v>
      </c>
      <c r="BC607" s="25" t="s">
        <v>1156</v>
      </c>
      <c r="BD607" s="14">
        <f t="shared" si="219"/>
        <v>234</v>
      </c>
      <c r="BE607" s="14">
        <f>SUMIFS(BD$4:BD607,$AU$4:$AU607,"="&amp;$AU607,$AY$4:$AY607,"="&amp;$AY607)</f>
        <v>540</v>
      </c>
      <c r="BF607" s="25" t="s">
        <v>1157</v>
      </c>
      <c r="BG607" s="14">
        <f t="shared" si="220"/>
        <v>130</v>
      </c>
      <c r="BH607" s="14">
        <f>SUMIFS(BG$4:BG607,AU$4:AU607,"="&amp;AU607,AY$4:AY607,"="&amp;AY607)</f>
        <v>300</v>
      </c>
      <c r="BI607" s="25" t="s">
        <v>1158</v>
      </c>
      <c r="BJ607" s="14">
        <f t="shared" si="221"/>
        <v>6240</v>
      </c>
      <c r="BK607" s="14">
        <f>SUMIFS(BJ$4:BJ607,$AU$4:$AU607,"="&amp;$AU607,$AY$4:$AY607,"="&amp;$AY607)</f>
        <v>14400</v>
      </c>
    </row>
    <row r="608" spans="46:63" ht="16.5" x14ac:dyDescent="0.2">
      <c r="AT608" s="13">
        <v>605</v>
      </c>
      <c r="AU608" s="13">
        <f t="shared" si="213"/>
        <v>8</v>
      </c>
      <c r="AV608" s="14">
        <f t="shared" si="214"/>
        <v>200905</v>
      </c>
      <c r="AW608" s="14">
        <f t="shared" si="215"/>
        <v>1102009</v>
      </c>
      <c r="AX608" s="13" t="s">
        <v>1127</v>
      </c>
      <c r="AY608" s="13">
        <f t="shared" si="216"/>
        <v>5</v>
      </c>
      <c r="AZ608" s="13" t="s">
        <v>1148</v>
      </c>
      <c r="BA608" s="14">
        <f t="shared" si="217"/>
        <v>4</v>
      </c>
      <c r="BB608" s="14" t="str">
        <f t="shared" si="218"/>
        <v>徐晃魂珠-5 等级-4</v>
      </c>
      <c r="BC608" s="25" t="s">
        <v>1156</v>
      </c>
      <c r="BD608" s="14">
        <f t="shared" si="219"/>
        <v>360</v>
      </c>
      <c r="BE608" s="14">
        <f>SUMIFS(BD$4:BD608,$AU$4:$AU608,"="&amp;$AU608,$AY$4:$AY608,"="&amp;$AY608)</f>
        <v>900</v>
      </c>
      <c r="BF608" s="25" t="s">
        <v>1157</v>
      </c>
      <c r="BG608" s="14">
        <f t="shared" si="220"/>
        <v>200</v>
      </c>
      <c r="BH608" s="14">
        <f>SUMIFS(BG$4:BG608,AU$4:AU608,"="&amp;AU608,AY$4:AY608,"="&amp;AY608)</f>
        <v>500</v>
      </c>
      <c r="BI608" s="25" t="s">
        <v>1158</v>
      </c>
      <c r="BJ608" s="14">
        <f t="shared" si="221"/>
        <v>9600</v>
      </c>
      <c r="BK608" s="14">
        <f>SUMIFS(BJ$4:BJ608,$AU$4:$AU608,"="&amp;$AU608,$AY$4:$AY608,"="&amp;$AY608)</f>
        <v>24000</v>
      </c>
    </row>
    <row r="609" spans="46:63" ht="16.5" x14ac:dyDescent="0.2">
      <c r="AT609" s="13">
        <v>606</v>
      </c>
      <c r="AU609" s="13">
        <f t="shared" si="213"/>
        <v>8</v>
      </c>
      <c r="AV609" s="14">
        <f t="shared" si="214"/>
        <v>200905</v>
      </c>
      <c r="AW609" s="14">
        <f t="shared" si="215"/>
        <v>1102009</v>
      </c>
      <c r="AX609" s="13" t="s">
        <v>1127</v>
      </c>
      <c r="AY609" s="13">
        <f t="shared" si="216"/>
        <v>5</v>
      </c>
      <c r="AZ609" s="13" t="s">
        <v>1148</v>
      </c>
      <c r="BA609" s="14">
        <f t="shared" si="217"/>
        <v>5</v>
      </c>
      <c r="BB609" s="14" t="str">
        <f t="shared" si="218"/>
        <v>徐晃魂珠-5 等级-5</v>
      </c>
      <c r="BC609" s="25" t="s">
        <v>1156</v>
      </c>
      <c r="BD609" s="14">
        <f t="shared" si="219"/>
        <v>468</v>
      </c>
      <c r="BE609" s="14">
        <f>SUMIFS(BD$4:BD609,$AU$4:$AU609,"="&amp;$AU609,$AY$4:$AY609,"="&amp;$AY609)</f>
        <v>1368</v>
      </c>
      <c r="BF609" s="25" t="s">
        <v>1157</v>
      </c>
      <c r="BG609" s="14">
        <f t="shared" si="220"/>
        <v>260</v>
      </c>
      <c r="BH609" s="14">
        <f>SUMIFS(BG$4:BG609,AU$4:AU609,"="&amp;AU609,AY$4:AY609,"="&amp;AY609)</f>
        <v>760</v>
      </c>
      <c r="BI609" s="25" t="s">
        <v>1158</v>
      </c>
      <c r="BJ609" s="14">
        <f t="shared" si="221"/>
        <v>12480</v>
      </c>
      <c r="BK609" s="14">
        <f>SUMIFS(BJ$4:BJ609,$AU$4:$AU609,"="&amp;$AU609,$AY$4:$AY609,"="&amp;$AY609)</f>
        <v>36480</v>
      </c>
    </row>
    <row r="610" spans="46:63" ht="16.5" x14ac:dyDescent="0.2">
      <c r="AT610" s="13">
        <v>607</v>
      </c>
      <c r="AU610" s="13">
        <f t="shared" si="213"/>
        <v>8</v>
      </c>
      <c r="AV610" s="14">
        <f t="shared" si="214"/>
        <v>200905</v>
      </c>
      <c r="AW610" s="14">
        <f t="shared" si="215"/>
        <v>1102009</v>
      </c>
      <c r="AX610" s="13" t="s">
        <v>1127</v>
      </c>
      <c r="AY610" s="13">
        <f t="shared" si="216"/>
        <v>5</v>
      </c>
      <c r="AZ610" s="13" t="s">
        <v>1148</v>
      </c>
      <c r="BA610" s="14">
        <f t="shared" si="217"/>
        <v>6</v>
      </c>
      <c r="BB610" s="14" t="str">
        <f t="shared" si="218"/>
        <v>徐晃魂珠-5 等级-6</v>
      </c>
      <c r="BC610" s="25" t="s">
        <v>1156</v>
      </c>
      <c r="BD610" s="14">
        <f t="shared" si="219"/>
        <v>585</v>
      </c>
      <c r="BE610" s="14">
        <f>SUMIFS(BD$4:BD610,$AU$4:$AU610,"="&amp;$AU610,$AY$4:$AY610,"="&amp;$AY610)</f>
        <v>1953</v>
      </c>
      <c r="BF610" s="25" t="s">
        <v>1157</v>
      </c>
      <c r="BG610" s="14">
        <f t="shared" si="220"/>
        <v>325</v>
      </c>
      <c r="BH610" s="14">
        <f>SUMIFS(BG$4:BG610,AU$4:AU610,"="&amp;AU610,AY$4:AY610,"="&amp;AY610)</f>
        <v>1085</v>
      </c>
      <c r="BI610" s="25" t="s">
        <v>1158</v>
      </c>
      <c r="BJ610" s="14">
        <f t="shared" si="221"/>
        <v>15600</v>
      </c>
      <c r="BK610" s="14">
        <f>SUMIFS(BJ$4:BJ610,$AU$4:$AU610,"="&amp;$AU610,$AY$4:$AY610,"="&amp;$AY610)</f>
        <v>52080</v>
      </c>
    </row>
    <row r="611" spans="46:63" ht="16.5" x14ac:dyDescent="0.2">
      <c r="AT611" s="13">
        <v>608</v>
      </c>
      <c r="AU611" s="13">
        <f t="shared" si="213"/>
        <v>8</v>
      </c>
      <c r="AV611" s="14">
        <f t="shared" si="214"/>
        <v>200905</v>
      </c>
      <c r="AW611" s="14">
        <f t="shared" si="215"/>
        <v>1102009</v>
      </c>
      <c r="AX611" s="13" t="s">
        <v>1127</v>
      </c>
      <c r="AY611" s="13">
        <f t="shared" si="216"/>
        <v>5</v>
      </c>
      <c r="AZ611" s="13" t="s">
        <v>1148</v>
      </c>
      <c r="BA611" s="14">
        <f t="shared" si="217"/>
        <v>7</v>
      </c>
      <c r="BB611" s="14" t="str">
        <f t="shared" si="218"/>
        <v>徐晃魂珠-5 等级-7</v>
      </c>
      <c r="BC611" s="25" t="s">
        <v>1156</v>
      </c>
      <c r="BD611" s="14">
        <f t="shared" si="219"/>
        <v>720</v>
      </c>
      <c r="BE611" s="14">
        <f>SUMIFS(BD$4:BD611,$AU$4:$AU611,"="&amp;$AU611,$AY$4:$AY611,"="&amp;$AY611)</f>
        <v>2673</v>
      </c>
      <c r="BF611" s="25" t="s">
        <v>1157</v>
      </c>
      <c r="BG611" s="14">
        <f t="shared" si="220"/>
        <v>400</v>
      </c>
      <c r="BH611" s="14">
        <f>SUMIFS(BG$4:BG611,AU$4:AU611,"="&amp;AU611,AY$4:AY611,"="&amp;AY611)</f>
        <v>1485</v>
      </c>
      <c r="BI611" s="25" t="s">
        <v>1158</v>
      </c>
      <c r="BJ611" s="14">
        <f t="shared" si="221"/>
        <v>19200</v>
      </c>
      <c r="BK611" s="14">
        <f>SUMIFS(BJ$4:BJ611,$AU$4:$AU611,"="&amp;$AU611,$AY$4:$AY611,"="&amp;$AY611)</f>
        <v>71280</v>
      </c>
    </row>
    <row r="612" spans="46:63" ht="16.5" x14ac:dyDescent="0.2">
      <c r="AT612" s="13">
        <v>609</v>
      </c>
      <c r="AU612" s="13">
        <f t="shared" si="213"/>
        <v>8</v>
      </c>
      <c r="AV612" s="14">
        <f t="shared" si="214"/>
        <v>200905</v>
      </c>
      <c r="AW612" s="14">
        <f t="shared" si="215"/>
        <v>1102009</v>
      </c>
      <c r="AX612" s="13" t="s">
        <v>1127</v>
      </c>
      <c r="AY612" s="13">
        <f t="shared" si="216"/>
        <v>5</v>
      </c>
      <c r="AZ612" s="13" t="s">
        <v>1148</v>
      </c>
      <c r="BA612" s="14">
        <f t="shared" si="217"/>
        <v>8</v>
      </c>
      <c r="BB612" s="14" t="str">
        <f t="shared" si="218"/>
        <v>徐晃魂珠-5 等级-8</v>
      </c>
      <c r="BC612" s="25" t="s">
        <v>1156</v>
      </c>
      <c r="BD612" s="14">
        <f t="shared" si="219"/>
        <v>855</v>
      </c>
      <c r="BE612" s="14">
        <f>SUMIFS(BD$4:BD612,$AU$4:$AU612,"="&amp;$AU612,$AY$4:$AY612,"="&amp;$AY612)</f>
        <v>3528</v>
      </c>
      <c r="BF612" s="25" t="s">
        <v>1157</v>
      </c>
      <c r="BG612" s="14">
        <f t="shared" si="220"/>
        <v>475</v>
      </c>
      <c r="BH612" s="14">
        <f>SUMIFS(BG$4:BG612,AU$4:AU612,"="&amp;AU612,AY$4:AY612,"="&amp;AY612)</f>
        <v>1960</v>
      </c>
      <c r="BI612" s="25" t="s">
        <v>1158</v>
      </c>
      <c r="BJ612" s="14">
        <f t="shared" si="221"/>
        <v>22800</v>
      </c>
      <c r="BK612" s="14">
        <f>SUMIFS(BJ$4:BJ612,$AU$4:$AU612,"="&amp;$AU612,$AY$4:$AY612,"="&amp;$AY612)</f>
        <v>94080</v>
      </c>
    </row>
    <row r="613" spans="46:63" ht="16.5" x14ac:dyDescent="0.2">
      <c r="AT613" s="13">
        <v>610</v>
      </c>
      <c r="AU613" s="13">
        <f t="shared" si="213"/>
        <v>8</v>
      </c>
      <c r="AV613" s="14">
        <f t="shared" si="214"/>
        <v>200905</v>
      </c>
      <c r="AW613" s="14">
        <f t="shared" si="215"/>
        <v>1102009</v>
      </c>
      <c r="AX613" s="13" t="s">
        <v>1127</v>
      </c>
      <c r="AY613" s="13">
        <f t="shared" si="216"/>
        <v>5</v>
      </c>
      <c r="AZ613" s="13" t="s">
        <v>1148</v>
      </c>
      <c r="BA613" s="14">
        <f t="shared" si="217"/>
        <v>9</v>
      </c>
      <c r="BB613" s="14" t="str">
        <f t="shared" si="218"/>
        <v>徐晃魂珠-5 等级-9</v>
      </c>
      <c r="BC613" s="25" t="s">
        <v>1156</v>
      </c>
      <c r="BD613" s="14">
        <f t="shared" si="219"/>
        <v>990</v>
      </c>
      <c r="BE613" s="14">
        <f>SUMIFS(BD$4:BD613,$AU$4:$AU613,"="&amp;$AU613,$AY$4:$AY613,"="&amp;$AY613)</f>
        <v>4518</v>
      </c>
      <c r="BF613" s="25" t="s">
        <v>1157</v>
      </c>
      <c r="BG613" s="14">
        <f t="shared" si="220"/>
        <v>550</v>
      </c>
      <c r="BH613" s="14">
        <f>SUMIFS(BG$4:BG613,AU$4:AU613,"="&amp;AU613,AY$4:AY613,"="&amp;AY613)</f>
        <v>2510</v>
      </c>
      <c r="BI613" s="25" t="s">
        <v>1158</v>
      </c>
      <c r="BJ613" s="14">
        <f t="shared" si="221"/>
        <v>26400</v>
      </c>
      <c r="BK613" s="14">
        <f>SUMIFS(BJ$4:BJ613,$AU$4:$AU613,"="&amp;$AU613,$AY$4:$AY613,"="&amp;$AY613)</f>
        <v>120480</v>
      </c>
    </row>
    <row r="614" spans="46:63" ht="16.5" x14ac:dyDescent="0.2">
      <c r="AT614" s="13">
        <v>611</v>
      </c>
      <c r="AU614" s="13">
        <f t="shared" si="213"/>
        <v>8</v>
      </c>
      <c r="AV614" s="14">
        <f t="shared" si="214"/>
        <v>200906</v>
      </c>
      <c r="AW614" s="14">
        <f t="shared" si="215"/>
        <v>1102009</v>
      </c>
      <c r="AX614" s="13" t="s">
        <v>1127</v>
      </c>
      <c r="AY614" s="13">
        <f t="shared" si="216"/>
        <v>6</v>
      </c>
      <c r="AZ614" s="13" t="s">
        <v>1148</v>
      </c>
      <c r="BA614" s="14">
        <f t="shared" si="217"/>
        <v>0</v>
      </c>
      <c r="BB614" s="14" t="str">
        <f t="shared" si="218"/>
        <v>徐晃魂珠-6 等级-0</v>
      </c>
      <c r="BC614" s="25" t="s">
        <v>1156</v>
      </c>
      <c r="BD614" s="14">
        <f t="shared" si="219"/>
        <v>0</v>
      </c>
      <c r="BE614" s="14">
        <f>SUMIFS(BD$4:BD614,$AU$4:$AU614,"="&amp;$AU614,$AY$4:$AY614,"="&amp;$AY614)</f>
        <v>0</v>
      </c>
      <c r="BF614" s="25" t="s">
        <v>1157</v>
      </c>
      <c r="BG614" s="14">
        <f t="shared" si="220"/>
        <v>0</v>
      </c>
      <c r="BH614" s="14">
        <f>SUMIFS(BG$4:BG614,AU$4:AU614,"="&amp;AU614,AY$4:AY614,"="&amp;AY614)</f>
        <v>0</v>
      </c>
      <c r="BI614" s="25" t="s">
        <v>1158</v>
      </c>
      <c r="BJ614" s="14">
        <f t="shared" si="221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3"/>
        <v>8</v>
      </c>
      <c r="AV615" s="14">
        <f t="shared" si="214"/>
        <v>200906</v>
      </c>
      <c r="AW615" s="14">
        <f t="shared" si="215"/>
        <v>1102009</v>
      </c>
      <c r="AX615" s="13" t="s">
        <v>1127</v>
      </c>
      <c r="AY615" s="13">
        <f t="shared" si="216"/>
        <v>6</v>
      </c>
      <c r="AZ615" s="13" t="s">
        <v>1148</v>
      </c>
      <c r="BA615" s="14">
        <f t="shared" si="217"/>
        <v>1</v>
      </c>
      <c r="BB615" s="14" t="str">
        <f t="shared" si="218"/>
        <v>徐晃魂珠-6 等级-1</v>
      </c>
      <c r="BC615" s="25" t="s">
        <v>1156</v>
      </c>
      <c r="BD615" s="14">
        <f t="shared" si="219"/>
        <v>162</v>
      </c>
      <c r="BE615" s="14">
        <f>SUMIFS(BD$4:BD615,$AU$4:$AU615,"="&amp;$AU615,$AY$4:$AY615,"="&amp;$AY615)</f>
        <v>162</v>
      </c>
      <c r="BF615" s="25" t="s">
        <v>1157</v>
      </c>
      <c r="BG615" s="14">
        <f t="shared" si="220"/>
        <v>90</v>
      </c>
      <c r="BH615" s="14">
        <f>SUMIFS(BG$4:BG615,AU$4:AU615,"="&amp;AU615,AY$4:AY615,"="&amp;AY615)</f>
        <v>90</v>
      </c>
      <c r="BI615" s="25" t="s">
        <v>1158</v>
      </c>
      <c r="BJ615" s="14">
        <f t="shared" si="221"/>
        <v>4320</v>
      </c>
      <c r="BK615" s="14">
        <f>SUMIFS(BJ$4:BJ615,$AU$4:$AU615,"="&amp;$AU615,$AY$4:$AY615,"="&amp;$AY615)</f>
        <v>4320</v>
      </c>
    </row>
    <row r="616" spans="46:63" ht="16.5" x14ac:dyDescent="0.2">
      <c r="AT616" s="13">
        <v>613</v>
      </c>
      <c r="AU616" s="13">
        <f t="shared" si="213"/>
        <v>8</v>
      </c>
      <c r="AV616" s="14">
        <f t="shared" si="214"/>
        <v>200906</v>
      </c>
      <c r="AW616" s="14">
        <f t="shared" si="215"/>
        <v>1102009</v>
      </c>
      <c r="AX616" s="13" t="s">
        <v>1127</v>
      </c>
      <c r="AY616" s="13">
        <f t="shared" si="216"/>
        <v>6</v>
      </c>
      <c r="AZ616" s="13" t="s">
        <v>1148</v>
      </c>
      <c r="BA616" s="14">
        <f t="shared" si="217"/>
        <v>2</v>
      </c>
      <c r="BB616" s="14" t="str">
        <f t="shared" si="218"/>
        <v>徐晃魂珠-6 等级-2</v>
      </c>
      <c r="BC616" s="25" t="s">
        <v>1156</v>
      </c>
      <c r="BD616" s="14">
        <f t="shared" si="219"/>
        <v>252</v>
      </c>
      <c r="BE616" s="14">
        <f>SUMIFS(BD$4:BD616,$AU$4:$AU616,"="&amp;$AU616,$AY$4:$AY616,"="&amp;$AY616)</f>
        <v>414</v>
      </c>
      <c r="BF616" s="25" t="s">
        <v>1157</v>
      </c>
      <c r="BG616" s="14">
        <f t="shared" si="220"/>
        <v>140</v>
      </c>
      <c r="BH616" s="14">
        <f>SUMIFS(BG$4:BG616,AU$4:AU616,"="&amp;AU616,AY$4:AY616,"="&amp;AY616)</f>
        <v>230</v>
      </c>
      <c r="BI616" s="25" t="s">
        <v>1158</v>
      </c>
      <c r="BJ616" s="14">
        <f t="shared" si="221"/>
        <v>6720</v>
      </c>
      <c r="BK616" s="14">
        <f>SUMIFS(BJ$4:BJ616,$AU$4:$AU616,"="&amp;$AU616,$AY$4:$AY616,"="&amp;$AY616)</f>
        <v>11040</v>
      </c>
    </row>
    <row r="617" spans="46:63" ht="16.5" x14ac:dyDescent="0.2">
      <c r="AT617" s="13">
        <v>614</v>
      </c>
      <c r="AU617" s="13">
        <f t="shared" si="213"/>
        <v>8</v>
      </c>
      <c r="AV617" s="14">
        <f t="shared" si="214"/>
        <v>200906</v>
      </c>
      <c r="AW617" s="14">
        <f t="shared" si="215"/>
        <v>1102009</v>
      </c>
      <c r="AX617" s="13" t="s">
        <v>1127</v>
      </c>
      <c r="AY617" s="13">
        <f t="shared" si="216"/>
        <v>6</v>
      </c>
      <c r="AZ617" s="13" t="s">
        <v>1148</v>
      </c>
      <c r="BA617" s="14">
        <f t="shared" si="217"/>
        <v>3</v>
      </c>
      <c r="BB617" s="14" t="str">
        <f t="shared" si="218"/>
        <v>徐晃魂珠-6 等级-3</v>
      </c>
      <c r="BC617" s="25" t="s">
        <v>1156</v>
      </c>
      <c r="BD617" s="14">
        <f t="shared" si="219"/>
        <v>338</v>
      </c>
      <c r="BE617" s="14">
        <f>SUMIFS(BD$4:BD617,$AU$4:$AU617,"="&amp;$AU617,$AY$4:$AY617,"="&amp;$AY617)</f>
        <v>752</v>
      </c>
      <c r="BF617" s="25" t="s">
        <v>1157</v>
      </c>
      <c r="BG617" s="14">
        <f t="shared" si="220"/>
        <v>188</v>
      </c>
      <c r="BH617" s="14">
        <f>SUMIFS(BG$4:BG617,AU$4:AU617,"="&amp;AU617,AY$4:AY617,"="&amp;AY617)</f>
        <v>418</v>
      </c>
      <c r="BI617" s="25" t="s">
        <v>1158</v>
      </c>
      <c r="BJ617" s="14">
        <f t="shared" si="221"/>
        <v>9000</v>
      </c>
      <c r="BK617" s="14">
        <f>SUMIFS(BJ$4:BJ617,$AU$4:$AU617,"="&amp;$AU617,$AY$4:$AY617,"="&amp;$AY617)</f>
        <v>20040</v>
      </c>
    </row>
    <row r="618" spans="46:63" ht="16.5" x14ac:dyDescent="0.2">
      <c r="AT618" s="13">
        <v>615</v>
      </c>
      <c r="AU618" s="13">
        <f t="shared" si="213"/>
        <v>8</v>
      </c>
      <c r="AV618" s="14">
        <f t="shared" si="214"/>
        <v>200906</v>
      </c>
      <c r="AW618" s="14">
        <f t="shared" si="215"/>
        <v>1102009</v>
      </c>
      <c r="AX618" s="13" t="s">
        <v>1127</v>
      </c>
      <c r="AY618" s="13">
        <f t="shared" si="216"/>
        <v>6</v>
      </c>
      <c r="AZ618" s="13" t="s">
        <v>1148</v>
      </c>
      <c r="BA618" s="14">
        <f t="shared" si="217"/>
        <v>4</v>
      </c>
      <c r="BB618" s="14" t="str">
        <f t="shared" si="218"/>
        <v>徐晃魂珠-6 等级-4</v>
      </c>
      <c r="BC618" s="25" t="s">
        <v>1156</v>
      </c>
      <c r="BD618" s="14">
        <f t="shared" si="219"/>
        <v>504</v>
      </c>
      <c r="BE618" s="14">
        <f>SUMIFS(BD$4:BD618,$AU$4:$AU618,"="&amp;$AU618,$AY$4:$AY618,"="&amp;$AY618)</f>
        <v>1256</v>
      </c>
      <c r="BF618" s="25" t="s">
        <v>1157</v>
      </c>
      <c r="BG618" s="14">
        <f t="shared" si="220"/>
        <v>280</v>
      </c>
      <c r="BH618" s="14">
        <f>SUMIFS(BG$4:BG618,AU$4:AU618,"="&amp;AU618,AY$4:AY618,"="&amp;AY618)</f>
        <v>698</v>
      </c>
      <c r="BI618" s="25" t="s">
        <v>1158</v>
      </c>
      <c r="BJ618" s="14">
        <f t="shared" si="221"/>
        <v>13440</v>
      </c>
      <c r="BK618" s="14">
        <f>SUMIFS(BJ$4:BJ618,$AU$4:$AU618,"="&amp;$AU618,$AY$4:$AY618,"="&amp;$AY618)</f>
        <v>33480</v>
      </c>
    </row>
    <row r="619" spans="46:63" ht="16.5" x14ac:dyDescent="0.2">
      <c r="AT619" s="13">
        <v>616</v>
      </c>
      <c r="AU619" s="13">
        <f t="shared" si="213"/>
        <v>8</v>
      </c>
      <c r="AV619" s="14">
        <f t="shared" si="214"/>
        <v>200906</v>
      </c>
      <c r="AW619" s="14">
        <f t="shared" si="215"/>
        <v>1102009</v>
      </c>
      <c r="AX619" s="13" t="s">
        <v>1127</v>
      </c>
      <c r="AY619" s="13">
        <f t="shared" si="216"/>
        <v>6</v>
      </c>
      <c r="AZ619" s="13" t="s">
        <v>1148</v>
      </c>
      <c r="BA619" s="14">
        <f t="shared" si="217"/>
        <v>5</v>
      </c>
      <c r="BB619" s="14" t="str">
        <f t="shared" si="218"/>
        <v>徐晃魂珠-6 等级-5</v>
      </c>
      <c r="BC619" s="25" t="s">
        <v>1156</v>
      </c>
      <c r="BD619" s="14">
        <f t="shared" si="219"/>
        <v>675</v>
      </c>
      <c r="BE619" s="14">
        <f>SUMIFS(BD$4:BD619,$AU$4:$AU619,"="&amp;$AU619,$AY$4:$AY619,"="&amp;$AY619)</f>
        <v>1931</v>
      </c>
      <c r="BF619" s="25" t="s">
        <v>1157</v>
      </c>
      <c r="BG619" s="14">
        <f t="shared" si="220"/>
        <v>375</v>
      </c>
      <c r="BH619" s="14">
        <f>SUMIFS(BG$4:BG619,AU$4:AU619,"="&amp;AU619,AY$4:AY619,"="&amp;AY619)</f>
        <v>1073</v>
      </c>
      <c r="BI619" s="25" t="s">
        <v>1158</v>
      </c>
      <c r="BJ619" s="14">
        <f t="shared" si="221"/>
        <v>18000</v>
      </c>
      <c r="BK619" s="14">
        <f>SUMIFS(BJ$4:BJ619,$AU$4:$AU619,"="&amp;$AU619,$AY$4:$AY619,"="&amp;$AY619)</f>
        <v>51480</v>
      </c>
    </row>
    <row r="620" spans="46:63" ht="16.5" x14ac:dyDescent="0.2">
      <c r="AT620" s="13">
        <v>617</v>
      </c>
      <c r="AU620" s="13">
        <f t="shared" si="213"/>
        <v>8</v>
      </c>
      <c r="AV620" s="14">
        <f t="shared" si="214"/>
        <v>200906</v>
      </c>
      <c r="AW620" s="14">
        <f t="shared" si="215"/>
        <v>1102009</v>
      </c>
      <c r="AX620" s="13" t="s">
        <v>1127</v>
      </c>
      <c r="AY620" s="13">
        <f t="shared" si="216"/>
        <v>6</v>
      </c>
      <c r="AZ620" s="13" t="s">
        <v>1148</v>
      </c>
      <c r="BA620" s="14">
        <f t="shared" si="217"/>
        <v>6</v>
      </c>
      <c r="BB620" s="14" t="str">
        <f t="shared" si="218"/>
        <v>徐晃魂珠-6 等级-6</v>
      </c>
      <c r="BC620" s="25" t="s">
        <v>1156</v>
      </c>
      <c r="BD620" s="14">
        <f t="shared" si="219"/>
        <v>855</v>
      </c>
      <c r="BE620" s="14">
        <f>SUMIFS(BD$4:BD620,$AU$4:$AU620,"="&amp;$AU620,$AY$4:$AY620,"="&amp;$AY620)</f>
        <v>2786</v>
      </c>
      <c r="BF620" s="25" t="s">
        <v>1157</v>
      </c>
      <c r="BG620" s="14">
        <f t="shared" si="220"/>
        <v>475</v>
      </c>
      <c r="BH620" s="14">
        <f>SUMIFS(BG$4:BG620,AU$4:AU620,"="&amp;AU620,AY$4:AY620,"="&amp;AY620)</f>
        <v>1548</v>
      </c>
      <c r="BI620" s="25" t="s">
        <v>1158</v>
      </c>
      <c r="BJ620" s="14">
        <f t="shared" si="221"/>
        <v>22800</v>
      </c>
      <c r="BK620" s="14">
        <f>SUMIFS(BJ$4:BJ620,$AU$4:$AU620,"="&amp;$AU620,$AY$4:$AY620,"="&amp;$AY620)</f>
        <v>74280</v>
      </c>
    </row>
    <row r="621" spans="46:63" ht="16.5" x14ac:dyDescent="0.2">
      <c r="AT621" s="13">
        <v>618</v>
      </c>
      <c r="AU621" s="13">
        <f t="shared" si="213"/>
        <v>8</v>
      </c>
      <c r="AV621" s="14">
        <f t="shared" si="214"/>
        <v>200906</v>
      </c>
      <c r="AW621" s="14">
        <f t="shared" si="215"/>
        <v>1102009</v>
      </c>
      <c r="AX621" s="13" t="s">
        <v>1127</v>
      </c>
      <c r="AY621" s="13">
        <f t="shared" si="216"/>
        <v>6</v>
      </c>
      <c r="AZ621" s="13" t="s">
        <v>1148</v>
      </c>
      <c r="BA621" s="14">
        <f t="shared" si="217"/>
        <v>7</v>
      </c>
      <c r="BB621" s="14" t="str">
        <f t="shared" si="218"/>
        <v>徐晃魂珠-6 等级-7</v>
      </c>
      <c r="BC621" s="25" t="s">
        <v>1156</v>
      </c>
      <c r="BD621" s="14">
        <f t="shared" si="219"/>
        <v>1035</v>
      </c>
      <c r="BE621" s="14">
        <f>SUMIFS(BD$4:BD621,$AU$4:$AU621,"="&amp;$AU621,$AY$4:$AY621,"="&amp;$AY621)</f>
        <v>3821</v>
      </c>
      <c r="BF621" s="25" t="s">
        <v>1157</v>
      </c>
      <c r="BG621" s="14">
        <f t="shared" si="220"/>
        <v>575</v>
      </c>
      <c r="BH621" s="14">
        <f>SUMIFS(BG$4:BG621,AU$4:AU621,"="&amp;AU621,AY$4:AY621,"="&amp;AY621)</f>
        <v>2123</v>
      </c>
      <c r="BI621" s="25" t="s">
        <v>1158</v>
      </c>
      <c r="BJ621" s="14">
        <f t="shared" si="221"/>
        <v>27600</v>
      </c>
      <c r="BK621" s="14">
        <f>SUMIFS(BJ$4:BJ621,$AU$4:$AU621,"="&amp;$AU621,$AY$4:$AY621,"="&amp;$AY621)</f>
        <v>101880</v>
      </c>
    </row>
    <row r="622" spans="46:63" ht="16.5" x14ac:dyDescent="0.2">
      <c r="AT622" s="13">
        <v>619</v>
      </c>
      <c r="AU622" s="13">
        <f t="shared" si="213"/>
        <v>8</v>
      </c>
      <c r="AV622" s="14">
        <f t="shared" si="214"/>
        <v>200906</v>
      </c>
      <c r="AW622" s="14">
        <f t="shared" si="215"/>
        <v>1102009</v>
      </c>
      <c r="AX622" s="13" t="s">
        <v>1127</v>
      </c>
      <c r="AY622" s="13">
        <f t="shared" si="216"/>
        <v>6</v>
      </c>
      <c r="AZ622" s="13" t="s">
        <v>1148</v>
      </c>
      <c r="BA622" s="14">
        <f t="shared" si="217"/>
        <v>8</v>
      </c>
      <c r="BB622" s="14" t="str">
        <f t="shared" si="218"/>
        <v>徐晃魂珠-6 等级-8</v>
      </c>
      <c r="BC622" s="25" t="s">
        <v>1156</v>
      </c>
      <c r="BD622" s="14">
        <f t="shared" si="219"/>
        <v>1170</v>
      </c>
      <c r="BE622" s="14">
        <f>SUMIFS(BD$4:BD622,$AU$4:$AU622,"="&amp;$AU622,$AY$4:$AY622,"="&amp;$AY622)</f>
        <v>4991</v>
      </c>
      <c r="BF622" s="25" t="s">
        <v>1157</v>
      </c>
      <c r="BG622" s="14">
        <f t="shared" si="220"/>
        <v>650</v>
      </c>
      <c r="BH622" s="14">
        <f>SUMIFS(BG$4:BG622,AU$4:AU622,"="&amp;AU622,AY$4:AY622,"="&amp;AY622)</f>
        <v>2773</v>
      </c>
      <c r="BI622" s="25" t="s">
        <v>1158</v>
      </c>
      <c r="BJ622" s="14">
        <f t="shared" si="221"/>
        <v>31200</v>
      </c>
      <c r="BK622" s="14">
        <f>SUMIFS(BJ$4:BJ622,$AU$4:$AU622,"="&amp;$AU622,$AY$4:$AY622,"="&amp;$AY622)</f>
        <v>133080</v>
      </c>
    </row>
    <row r="623" spans="46:63" ht="16.5" x14ac:dyDescent="0.2">
      <c r="AT623" s="13">
        <v>620</v>
      </c>
      <c r="AU623" s="13">
        <f t="shared" si="213"/>
        <v>8</v>
      </c>
      <c r="AV623" s="14">
        <f t="shared" si="214"/>
        <v>200906</v>
      </c>
      <c r="AW623" s="14">
        <f t="shared" si="215"/>
        <v>1102009</v>
      </c>
      <c r="AX623" s="13" t="s">
        <v>1127</v>
      </c>
      <c r="AY623" s="13">
        <f t="shared" si="216"/>
        <v>6</v>
      </c>
      <c r="AZ623" s="13" t="s">
        <v>1148</v>
      </c>
      <c r="BA623" s="14">
        <f t="shared" si="217"/>
        <v>9</v>
      </c>
      <c r="BB623" s="14" t="str">
        <f t="shared" si="218"/>
        <v>徐晃魂珠-6 等级-9</v>
      </c>
      <c r="BC623" s="25" t="s">
        <v>1156</v>
      </c>
      <c r="BD623" s="14">
        <f t="shared" si="219"/>
        <v>1350</v>
      </c>
      <c r="BE623" s="14">
        <f>SUMIFS(BD$4:BD623,$AU$4:$AU623,"="&amp;$AU623,$AY$4:$AY623,"="&amp;$AY623)</f>
        <v>6341</v>
      </c>
      <c r="BF623" s="25" t="s">
        <v>1157</v>
      </c>
      <c r="BG623" s="14">
        <f t="shared" si="220"/>
        <v>750</v>
      </c>
      <c r="BH623" s="14">
        <f>SUMIFS(BG$4:BG623,AU$4:AU623,"="&amp;AU623,AY$4:AY623,"="&amp;AY623)</f>
        <v>3523</v>
      </c>
      <c r="BI623" s="25" t="s">
        <v>1158</v>
      </c>
      <c r="BJ623" s="14">
        <f t="shared" si="221"/>
        <v>36000</v>
      </c>
      <c r="BK623" s="14">
        <f>SUMIFS(BJ$4:BJ623,$AU$4:$AU623,"="&amp;$AU623,$AY$4:$AY623,"="&amp;$AY623)</f>
        <v>169080</v>
      </c>
    </row>
    <row r="624" spans="46:63" ht="16.5" x14ac:dyDescent="0.2">
      <c r="AT624" s="13">
        <v>621</v>
      </c>
      <c r="AU624" s="13">
        <f t="shared" si="213"/>
        <v>8</v>
      </c>
      <c r="AV624" s="14">
        <f t="shared" si="214"/>
        <v>200907</v>
      </c>
      <c r="AW624" s="14">
        <f t="shared" si="215"/>
        <v>1102009</v>
      </c>
      <c r="AX624" s="13" t="s">
        <v>1127</v>
      </c>
      <c r="AY624" s="13">
        <f t="shared" si="216"/>
        <v>7</v>
      </c>
      <c r="AZ624" s="13" t="s">
        <v>1148</v>
      </c>
      <c r="BA624" s="14">
        <f t="shared" si="217"/>
        <v>0</v>
      </c>
      <c r="BB624" s="14" t="str">
        <f t="shared" si="218"/>
        <v>徐晃魂珠-7 等级-0</v>
      </c>
      <c r="BC624" s="25" t="s">
        <v>1156</v>
      </c>
      <c r="BD624" s="14">
        <f t="shared" si="219"/>
        <v>0</v>
      </c>
      <c r="BE624" s="14">
        <f>SUMIFS(BD$4:BD624,$AU$4:$AU624,"="&amp;$AU624,$AY$4:$AY624,"="&amp;$AY624)</f>
        <v>0</v>
      </c>
      <c r="BF624" s="25" t="s">
        <v>1157</v>
      </c>
      <c r="BG624" s="14">
        <f t="shared" si="220"/>
        <v>0</v>
      </c>
      <c r="BH624" s="14">
        <f>SUMIFS(BG$4:BG624,AU$4:AU624,"="&amp;AU624,AY$4:AY624,"="&amp;AY624)</f>
        <v>0</v>
      </c>
      <c r="BI624" s="25" t="s">
        <v>1158</v>
      </c>
      <c r="BJ624" s="14">
        <f t="shared" si="221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3"/>
        <v>8</v>
      </c>
      <c r="AV625" s="14">
        <f t="shared" si="214"/>
        <v>200907</v>
      </c>
      <c r="AW625" s="14">
        <f t="shared" si="215"/>
        <v>1102009</v>
      </c>
      <c r="AX625" s="13" t="s">
        <v>1127</v>
      </c>
      <c r="AY625" s="13">
        <f t="shared" si="216"/>
        <v>7</v>
      </c>
      <c r="AZ625" s="13" t="s">
        <v>1148</v>
      </c>
      <c r="BA625" s="14">
        <f t="shared" si="217"/>
        <v>1</v>
      </c>
      <c r="BB625" s="14" t="str">
        <f t="shared" si="218"/>
        <v>徐晃魂珠-7 等级-1</v>
      </c>
      <c r="BC625" s="25" t="s">
        <v>1156</v>
      </c>
      <c r="BD625" s="14">
        <f t="shared" si="219"/>
        <v>216</v>
      </c>
      <c r="BE625" s="14">
        <f>SUMIFS(BD$4:BD625,$AU$4:$AU625,"="&amp;$AU625,$AY$4:$AY625,"="&amp;$AY625)</f>
        <v>216</v>
      </c>
      <c r="BF625" s="25" t="s">
        <v>1157</v>
      </c>
      <c r="BG625" s="14">
        <f t="shared" si="220"/>
        <v>120</v>
      </c>
      <c r="BH625" s="14">
        <f>SUMIFS(BG$4:BG625,AU$4:AU625,"="&amp;AU625,AY$4:AY625,"="&amp;AY625)</f>
        <v>120</v>
      </c>
      <c r="BI625" s="25" t="s">
        <v>1158</v>
      </c>
      <c r="BJ625" s="14">
        <f t="shared" si="221"/>
        <v>5760</v>
      </c>
      <c r="BK625" s="14">
        <f>SUMIFS(BJ$4:BJ625,$AU$4:$AU625,"="&amp;$AU625,$AY$4:$AY625,"="&amp;$AY625)</f>
        <v>5760</v>
      </c>
    </row>
    <row r="626" spans="46:63" ht="16.5" x14ac:dyDescent="0.2">
      <c r="AT626" s="13">
        <v>623</v>
      </c>
      <c r="AU626" s="13">
        <f t="shared" si="213"/>
        <v>8</v>
      </c>
      <c r="AV626" s="14">
        <f t="shared" si="214"/>
        <v>200907</v>
      </c>
      <c r="AW626" s="14">
        <f t="shared" si="215"/>
        <v>1102009</v>
      </c>
      <c r="AX626" s="13" t="s">
        <v>1127</v>
      </c>
      <c r="AY626" s="13">
        <f t="shared" si="216"/>
        <v>7</v>
      </c>
      <c r="AZ626" s="13" t="s">
        <v>1148</v>
      </c>
      <c r="BA626" s="14">
        <f t="shared" si="217"/>
        <v>2</v>
      </c>
      <c r="BB626" s="14" t="str">
        <f t="shared" si="218"/>
        <v>徐晃魂珠-7 等级-2</v>
      </c>
      <c r="BC626" s="25" t="s">
        <v>1156</v>
      </c>
      <c r="BD626" s="14">
        <f t="shared" si="219"/>
        <v>324</v>
      </c>
      <c r="BE626" s="14">
        <f>SUMIFS(BD$4:BD626,$AU$4:$AU626,"="&amp;$AU626,$AY$4:$AY626,"="&amp;$AY626)</f>
        <v>540</v>
      </c>
      <c r="BF626" s="25" t="s">
        <v>1157</v>
      </c>
      <c r="BG626" s="14">
        <f t="shared" si="220"/>
        <v>180</v>
      </c>
      <c r="BH626" s="14">
        <f>SUMIFS(BG$4:BG626,AU$4:AU626,"="&amp;AU626,AY$4:AY626,"="&amp;AY626)</f>
        <v>300</v>
      </c>
      <c r="BI626" s="25" t="s">
        <v>1158</v>
      </c>
      <c r="BJ626" s="14">
        <f t="shared" si="221"/>
        <v>8640</v>
      </c>
      <c r="BK626" s="14">
        <f>SUMIFS(BJ$4:BJ626,$AU$4:$AU626,"="&amp;$AU626,$AY$4:$AY626,"="&amp;$AY626)</f>
        <v>14400</v>
      </c>
    </row>
    <row r="627" spans="46:63" ht="16.5" x14ac:dyDescent="0.2">
      <c r="AT627" s="13">
        <v>624</v>
      </c>
      <c r="AU627" s="13">
        <f t="shared" si="213"/>
        <v>8</v>
      </c>
      <c r="AV627" s="14">
        <f t="shared" si="214"/>
        <v>200907</v>
      </c>
      <c r="AW627" s="14">
        <f t="shared" si="215"/>
        <v>1102009</v>
      </c>
      <c r="AX627" s="13" t="s">
        <v>1127</v>
      </c>
      <c r="AY627" s="13">
        <f t="shared" si="216"/>
        <v>7</v>
      </c>
      <c r="AZ627" s="13" t="s">
        <v>1148</v>
      </c>
      <c r="BA627" s="14">
        <f t="shared" si="217"/>
        <v>3</v>
      </c>
      <c r="BB627" s="14" t="str">
        <f t="shared" si="218"/>
        <v>徐晃魂珠-7 等级-3</v>
      </c>
      <c r="BC627" s="25" t="s">
        <v>1156</v>
      </c>
      <c r="BD627" s="14">
        <f t="shared" si="219"/>
        <v>432</v>
      </c>
      <c r="BE627" s="14">
        <f>SUMIFS(BD$4:BD627,$AU$4:$AU627,"="&amp;$AU627,$AY$4:$AY627,"="&amp;$AY627)</f>
        <v>972</v>
      </c>
      <c r="BF627" s="25" t="s">
        <v>1157</v>
      </c>
      <c r="BG627" s="14">
        <f t="shared" si="220"/>
        <v>240</v>
      </c>
      <c r="BH627" s="14">
        <f>SUMIFS(BG$4:BG627,AU$4:AU627,"="&amp;AU627,AY$4:AY627,"="&amp;AY627)</f>
        <v>540</v>
      </c>
      <c r="BI627" s="25" t="s">
        <v>1158</v>
      </c>
      <c r="BJ627" s="14">
        <f t="shared" si="221"/>
        <v>11520</v>
      </c>
      <c r="BK627" s="14">
        <f>SUMIFS(BJ$4:BJ627,$AU$4:$AU627,"="&amp;$AU627,$AY$4:$AY627,"="&amp;$AY627)</f>
        <v>25920</v>
      </c>
    </row>
    <row r="628" spans="46:63" ht="16.5" x14ac:dyDescent="0.2">
      <c r="AT628" s="13">
        <v>625</v>
      </c>
      <c r="AU628" s="13">
        <f t="shared" si="213"/>
        <v>8</v>
      </c>
      <c r="AV628" s="14">
        <f t="shared" si="214"/>
        <v>200907</v>
      </c>
      <c r="AW628" s="14">
        <f t="shared" si="215"/>
        <v>1102009</v>
      </c>
      <c r="AX628" s="13" t="s">
        <v>1127</v>
      </c>
      <c r="AY628" s="13">
        <f t="shared" si="216"/>
        <v>7</v>
      </c>
      <c r="AZ628" s="13" t="s">
        <v>1148</v>
      </c>
      <c r="BA628" s="14">
        <f t="shared" si="217"/>
        <v>4</v>
      </c>
      <c r="BB628" s="14" t="str">
        <f t="shared" si="218"/>
        <v>徐晃魂珠-7 等级-4</v>
      </c>
      <c r="BC628" s="25" t="s">
        <v>1156</v>
      </c>
      <c r="BD628" s="14">
        <f t="shared" si="219"/>
        <v>648</v>
      </c>
      <c r="BE628" s="14">
        <f>SUMIFS(BD$4:BD628,$AU$4:$AU628,"="&amp;$AU628,$AY$4:$AY628,"="&amp;$AY628)</f>
        <v>1620</v>
      </c>
      <c r="BF628" s="25" t="s">
        <v>1157</v>
      </c>
      <c r="BG628" s="14">
        <f t="shared" si="220"/>
        <v>360</v>
      </c>
      <c r="BH628" s="14">
        <f>SUMIFS(BG$4:BG628,AU$4:AU628,"="&amp;AU628,AY$4:AY628,"="&amp;AY628)</f>
        <v>900</v>
      </c>
      <c r="BI628" s="25" t="s">
        <v>1158</v>
      </c>
      <c r="BJ628" s="14">
        <f t="shared" si="221"/>
        <v>17280</v>
      </c>
      <c r="BK628" s="14">
        <f>SUMIFS(BJ$4:BJ628,$AU$4:$AU628,"="&amp;$AU628,$AY$4:$AY628,"="&amp;$AY628)</f>
        <v>43200</v>
      </c>
    </row>
    <row r="629" spans="46:63" ht="16.5" x14ac:dyDescent="0.2">
      <c r="AT629" s="13">
        <v>626</v>
      </c>
      <c r="AU629" s="13">
        <f t="shared" si="213"/>
        <v>8</v>
      </c>
      <c r="AV629" s="14">
        <f t="shared" si="214"/>
        <v>200907</v>
      </c>
      <c r="AW629" s="14">
        <f t="shared" si="215"/>
        <v>1102009</v>
      </c>
      <c r="AX629" s="13" t="s">
        <v>1127</v>
      </c>
      <c r="AY629" s="13">
        <f t="shared" si="216"/>
        <v>7</v>
      </c>
      <c r="AZ629" s="13" t="s">
        <v>1148</v>
      </c>
      <c r="BA629" s="14">
        <f t="shared" si="217"/>
        <v>5</v>
      </c>
      <c r="BB629" s="14" t="str">
        <f t="shared" si="218"/>
        <v>徐晃魂珠-7 等级-5</v>
      </c>
      <c r="BC629" s="25" t="s">
        <v>1156</v>
      </c>
      <c r="BD629" s="14">
        <f t="shared" si="219"/>
        <v>864</v>
      </c>
      <c r="BE629" s="14">
        <f>SUMIFS(BD$4:BD629,$AU$4:$AU629,"="&amp;$AU629,$AY$4:$AY629,"="&amp;$AY629)</f>
        <v>2484</v>
      </c>
      <c r="BF629" s="25" t="s">
        <v>1157</v>
      </c>
      <c r="BG629" s="14">
        <f t="shared" si="220"/>
        <v>480</v>
      </c>
      <c r="BH629" s="14">
        <f>SUMIFS(BG$4:BG629,AU$4:AU629,"="&amp;AU629,AY$4:AY629,"="&amp;AY629)</f>
        <v>1380</v>
      </c>
      <c r="BI629" s="25" t="s">
        <v>1158</v>
      </c>
      <c r="BJ629" s="14">
        <f t="shared" si="221"/>
        <v>23040</v>
      </c>
      <c r="BK629" s="14">
        <f>SUMIFS(BJ$4:BJ629,$AU$4:$AU629,"="&amp;$AU629,$AY$4:$AY629,"="&amp;$AY629)</f>
        <v>66240</v>
      </c>
    </row>
    <row r="630" spans="46:63" ht="16.5" x14ac:dyDescent="0.2">
      <c r="AT630" s="13">
        <v>627</v>
      </c>
      <c r="AU630" s="13">
        <f t="shared" si="213"/>
        <v>8</v>
      </c>
      <c r="AV630" s="14">
        <f t="shared" si="214"/>
        <v>200907</v>
      </c>
      <c r="AW630" s="14">
        <f t="shared" si="215"/>
        <v>1102009</v>
      </c>
      <c r="AX630" s="13" t="s">
        <v>1127</v>
      </c>
      <c r="AY630" s="13">
        <f t="shared" si="216"/>
        <v>7</v>
      </c>
      <c r="AZ630" s="13" t="s">
        <v>1148</v>
      </c>
      <c r="BA630" s="14">
        <f t="shared" si="217"/>
        <v>6</v>
      </c>
      <c r="BB630" s="14" t="str">
        <f t="shared" si="218"/>
        <v>徐晃魂珠-7 等级-6</v>
      </c>
      <c r="BC630" s="25" t="s">
        <v>1156</v>
      </c>
      <c r="BD630" s="14">
        <f t="shared" si="219"/>
        <v>1080</v>
      </c>
      <c r="BE630" s="14">
        <f>SUMIFS(BD$4:BD630,$AU$4:$AU630,"="&amp;$AU630,$AY$4:$AY630,"="&amp;$AY630)</f>
        <v>3564</v>
      </c>
      <c r="BF630" s="25" t="s">
        <v>1157</v>
      </c>
      <c r="BG630" s="14">
        <f t="shared" si="220"/>
        <v>600</v>
      </c>
      <c r="BH630" s="14">
        <f>SUMIFS(BG$4:BG630,AU$4:AU630,"="&amp;AU630,AY$4:AY630,"="&amp;AY630)</f>
        <v>1980</v>
      </c>
      <c r="BI630" s="25" t="s">
        <v>1158</v>
      </c>
      <c r="BJ630" s="14">
        <f t="shared" si="221"/>
        <v>28800</v>
      </c>
      <c r="BK630" s="14">
        <f>SUMIFS(BJ$4:BJ630,$AU$4:$AU630,"="&amp;$AU630,$AY$4:$AY630,"="&amp;$AY630)</f>
        <v>95040</v>
      </c>
    </row>
    <row r="631" spans="46:63" ht="16.5" x14ac:dyDescent="0.2">
      <c r="AT631" s="13">
        <v>628</v>
      </c>
      <c r="AU631" s="13">
        <f t="shared" si="213"/>
        <v>8</v>
      </c>
      <c r="AV631" s="14">
        <f t="shared" si="214"/>
        <v>200907</v>
      </c>
      <c r="AW631" s="14">
        <f t="shared" si="215"/>
        <v>1102009</v>
      </c>
      <c r="AX631" s="13" t="s">
        <v>1127</v>
      </c>
      <c r="AY631" s="13">
        <f t="shared" si="216"/>
        <v>7</v>
      </c>
      <c r="AZ631" s="13" t="s">
        <v>1148</v>
      </c>
      <c r="BA631" s="14">
        <f t="shared" si="217"/>
        <v>7</v>
      </c>
      <c r="BB631" s="14" t="str">
        <f t="shared" si="218"/>
        <v>徐晃魂珠-7 等级-7</v>
      </c>
      <c r="BC631" s="25" t="s">
        <v>1156</v>
      </c>
      <c r="BD631" s="14">
        <f t="shared" si="219"/>
        <v>1296</v>
      </c>
      <c r="BE631" s="14">
        <f>SUMIFS(BD$4:BD631,$AU$4:$AU631,"="&amp;$AU631,$AY$4:$AY631,"="&amp;$AY631)</f>
        <v>4860</v>
      </c>
      <c r="BF631" s="25" t="s">
        <v>1157</v>
      </c>
      <c r="BG631" s="14">
        <f t="shared" si="220"/>
        <v>720</v>
      </c>
      <c r="BH631" s="14">
        <f>SUMIFS(BG$4:BG631,AU$4:AU631,"="&amp;AU631,AY$4:AY631,"="&amp;AY631)</f>
        <v>2700</v>
      </c>
      <c r="BI631" s="25" t="s">
        <v>1158</v>
      </c>
      <c r="BJ631" s="14">
        <f t="shared" si="221"/>
        <v>34560</v>
      </c>
      <c r="BK631" s="14">
        <f>SUMIFS(BJ$4:BJ631,$AU$4:$AU631,"="&amp;$AU631,$AY$4:$AY631,"="&amp;$AY631)</f>
        <v>129600</v>
      </c>
    </row>
    <row r="632" spans="46:63" ht="16.5" x14ac:dyDescent="0.2">
      <c r="AT632" s="13">
        <v>629</v>
      </c>
      <c r="AU632" s="13">
        <f t="shared" si="213"/>
        <v>8</v>
      </c>
      <c r="AV632" s="14">
        <f t="shared" si="214"/>
        <v>200907</v>
      </c>
      <c r="AW632" s="14">
        <f t="shared" si="215"/>
        <v>1102009</v>
      </c>
      <c r="AX632" s="13" t="s">
        <v>1127</v>
      </c>
      <c r="AY632" s="13">
        <f t="shared" si="216"/>
        <v>7</v>
      </c>
      <c r="AZ632" s="13" t="s">
        <v>1148</v>
      </c>
      <c r="BA632" s="14">
        <f t="shared" si="217"/>
        <v>8</v>
      </c>
      <c r="BB632" s="14" t="str">
        <f t="shared" si="218"/>
        <v>徐晃魂珠-7 等级-8</v>
      </c>
      <c r="BC632" s="25" t="s">
        <v>1156</v>
      </c>
      <c r="BD632" s="14">
        <f t="shared" si="219"/>
        <v>1512</v>
      </c>
      <c r="BE632" s="14">
        <f>SUMIFS(BD$4:BD632,$AU$4:$AU632,"="&amp;$AU632,$AY$4:$AY632,"="&amp;$AY632)</f>
        <v>6372</v>
      </c>
      <c r="BF632" s="25" t="s">
        <v>1157</v>
      </c>
      <c r="BG632" s="14">
        <f t="shared" si="220"/>
        <v>840</v>
      </c>
      <c r="BH632" s="14">
        <f>SUMIFS(BG$4:BG632,AU$4:AU632,"="&amp;AU632,AY$4:AY632,"="&amp;AY632)</f>
        <v>3540</v>
      </c>
      <c r="BI632" s="25" t="s">
        <v>1158</v>
      </c>
      <c r="BJ632" s="14">
        <f t="shared" si="221"/>
        <v>40320</v>
      </c>
      <c r="BK632" s="14">
        <f>SUMIFS(BJ$4:BJ632,$AU$4:$AU632,"="&amp;$AU632,$AY$4:$AY632,"="&amp;$AY632)</f>
        <v>169920</v>
      </c>
    </row>
    <row r="633" spans="46:63" ht="16.5" x14ac:dyDescent="0.2">
      <c r="AT633" s="13">
        <v>630</v>
      </c>
      <c r="AU633" s="13">
        <f t="shared" si="213"/>
        <v>8</v>
      </c>
      <c r="AV633" s="14">
        <f t="shared" si="214"/>
        <v>200907</v>
      </c>
      <c r="AW633" s="14">
        <f t="shared" si="215"/>
        <v>1102009</v>
      </c>
      <c r="AX633" s="13" t="s">
        <v>1127</v>
      </c>
      <c r="AY633" s="13">
        <f t="shared" si="216"/>
        <v>7</v>
      </c>
      <c r="AZ633" s="13" t="s">
        <v>1148</v>
      </c>
      <c r="BA633" s="14">
        <f t="shared" si="217"/>
        <v>9</v>
      </c>
      <c r="BB633" s="14" t="str">
        <f t="shared" si="218"/>
        <v>徐晃魂珠-7 等级-9</v>
      </c>
      <c r="BC633" s="25" t="s">
        <v>1156</v>
      </c>
      <c r="BD633" s="14">
        <f t="shared" si="219"/>
        <v>1728</v>
      </c>
      <c r="BE633" s="14">
        <f>SUMIFS(BD$4:BD633,$AU$4:$AU633,"="&amp;$AU633,$AY$4:$AY633,"="&amp;$AY633)</f>
        <v>8100</v>
      </c>
      <c r="BF633" s="25" t="s">
        <v>1157</v>
      </c>
      <c r="BG633" s="14">
        <f t="shared" si="220"/>
        <v>960</v>
      </c>
      <c r="BH633" s="14">
        <f>SUMIFS(BG$4:BG633,AU$4:AU633,"="&amp;AU633,AY$4:AY633,"="&amp;AY633)</f>
        <v>4500</v>
      </c>
      <c r="BI633" s="25" t="s">
        <v>1158</v>
      </c>
      <c r="BJ633" s="14">
        <f t="shared" si="221"/>
        <v>46080</v>
      </c>
      <c r="BK633" s="14">
        <f>SUMIFS(BJ$4:BJ633,$AU$4:$AU633,"="&amp;$AU633,$AY$4:$AY633,"="&amp;$AY633)</f>
        <v>216000</v>
      </c>
    </row>
    <row r="634" spans="46:63" ht="16.5" x14ac:dyDescent="0.2">
      <c r="AT634" s="13">
        <v>631</v>
      </c>
      <c r="AU634" s="13">
        <f t="shared" si="213"/>
        <v>8</v>
      </c>
      <c r="AV634" s="14">
        <f t="shared" si="214"/>
        <v>200908</v>
      </c>
      <c r="AW634" s="14">
        <f t="shared" si="215"/>
        <v>1102009</v>
      </c>
      <c r="AX634" s="13" t="s">
        <v>1127</v>
      </c>
      <c r="AY634" s="13">
        <f t="shared" si="216"/>
        <v>8</v>
      </c>
      <c r="AZ634" s="13" t="s">
        <v>1148</v>
      </c>
      <c r="BA634" s="14">
        <f t="shared" si="217"/>
        <v>0</v>
      </c>
      <c r="BB634" s="14" t="str">
        <f t="shared" si="218"/>
        <v>徐晃魂珠-8 等级-0</v>
      </c>
      <c r="BC634" s="25" t="s">
        <v>1156</v>
      </c>
      <c r="BD634" s="14">
        <f t="shared" si="219"/>
        <v>0</v>
      </c>
      <c r="BE634" s="14">
        <f>SUMIFS(BD$4:BD634,$AU$4:$AU634,"="&amp;$AU634,$AY$4:$AY634,"="&amp;$AY634)</f>
        <v>0</v>
      </c>
      <c r="BF634" s="25" t="s">
        <v>1157</v>
      </c>
      <c r="BG634" s="14">
        <f t="shared" si="220"/>
        <v>0</v>
      </c>
      <c r="BH634" s="14">
        <f>SUMIFS(BG$4:BG634,AU$4:AU634,"="&amp;AU634,AY$4:AY634,"="&amp;AY634)</f>
        <v>0</v>
      </c>
      <c r="BI634" s="25" t="s">
        <v>1158</v>
      </c>
      <c r="BJ634" s="14">
        <f t="shared" si="221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3"/>
        <v>8</v>
      </c>
      <c r="AV635" s="14">
        <f t="shared" si="214"/>
        <v>200908</v>
      </c>
      <c r="AW635" s="14">
        <f t="shared" si="215"/>
        <v>1102009</v>
      </c>
      <c r="AX635" s="13" t="s">
        <v>1127</v>
      </c>
      <c r="AY635" s="13">
        <f t="shared" si="216"/>
        <v>8</v>
      </c>
      <c r="AZ635" s="13" t="s">
        <v>1148</v>
      </c>
      <c r="BA635" s="14">
        <f t="shared" si="217"/>
        <v>1</v>
      </c>
      <c r="BB635" s="14" t="str">
        <f t="shared" si="218"/>
        <v>徐晃魂珠-8 等级-1</v>
      </c>
      <c r="BC635" s="25" t="s">
        <v>1156</v>
      </c>
      <c r="BD635" s="14">
        <f t="shared" si="219"/>
        <v>288</v>
      </c>
      <c r="BE635" s="14">
        <f>SUMIFS(BD$4:BD635,$AU$4:$AU635,"="&amp;$AU635,$AY$4:$AY635,"="&amp;$AY635)</f>
        <v>288</v>
      </c>
      <c r="BF635" s="25" t="s">
        <v>1157</v>
      </c>
      <c r="BG635" s="14">
        <f t="shared" si="220"/>
        <v>160</v>
      </c>
      <c r="BH635" s="14">
        <f>SUMIFS(BG$4:BG635,AU$4:AU635,"="&amp;AU635,AY$4:AY635,"="&amp;AY635)</f>
        <v>160</v>
      </c>
      <c r="BI635" s="25" t="s">
        <v>1158</v>
      </c>
      <c r="BJ635" s="14">
        <f t="shared" si="221"/>
        <v>7680</v>
      </c>
      <c r="BK635" s="14">
        <f>SUMIFS(BJ$4:BJ635,$AU$4:$AU635,"="&amp;$AU635,$AY$4:$AY635,"="&amp;$AY635)</f>
        <v>7680</v>
      </c>
    </row>
    <row r="636" spans="46:63" ht="16.5" x14ac:dyDescent="0.2">
      <c r="AT636" s="13">
        <v>633</v>
      </c>
      <c r="AU636" s="13">
        <f t="shared" si="213"/>
        <v>8</v>
      </c>
      <c r="AV636" s="14">
        <f t="shared" si="214"/>
        <v>200908</v>
      </c>
      <c r="AW636" s="14">
        <f t="shared" si="215"/>
        <v>1102009</v>
      </c>
      <c r="AX636" s="13" t="s">
        <v>1127</v>
      </c>
      <c r="AY636" s="13">
        <f t="shared" si="216"/>
        <v>8</v>
      </c>
      <c r="AZ636" s="13" t="s">
        <v>1148</v>
      </c>
      <c r="BA636" s="14">
        <f t="shared" si="217"/>
        <v>2</v>
      </c>
      <c r="BB636" s="14" t="str">
        <f t="shared" si="218"/>
        <v>徐晃魂珠-8 等级-2</v>
      </c>
      <c r="BC636" s="25" t="s">
        <v>1156</v>
      </c>
      <c r="BD636" s="14">
        <f t="shared" si="219"/>
        <v>432</v>
      </c>
      <c r="BE636" s="14">
        <f>SUMIFS(BD$4:BD636,$AU$4:$AU636,"="&amp;$AU636,$AY$4:$AY636,"="&amp;$AY636)</f>
        <v>720</v>
      </c>
      <c r="BF636" s="25" t="s">
        <v>1157</v>
      </c>
      <c r="BG636" s="14">
        <f t="shared" si="220"/>
        <v>240</v>
      </c>
      <c r="BH636" s="14">
        <f>SUMIFS(BG$4:BG636,AU$4:AU636,"="&amp;AU636,AY$4:AY636,"="&amp;AY636)</f>
        <v>400</v>
      </c>
      <c r="BI636" s="25" t="s">
        <v>1158</v>
      </c>
      <c r="BJ636" s="14">
        <f t="shared" si="221"/>
        <v>11520</v>
      </c>
      <c r="BK636" s="14">
        <f>SUMIFS(BJ$4:BJ636,$AU$4:$AU636,"="&amp;$AU636,$AY$4:$AY636,"="&amp;$AY636)</f>
        <v>19200</v>
      </c>
    </row>
    <row r="637" spans="46:63" ht="16.5" x14ac:dyDescent="0.2">
      <c r="AT637" s="13">
        <v>634</v>
      </c>
      <c r="AU637" s="13">
        <f t="shared" si="213"/>
        <v>8</v>
      </c>
      <c r="AV637" s="14">
        <f t="shared" si="214"/>
        <v>200908</v>
      </c>
      <c r="AW637" s="14">
        <f t="shared" si="215"/>
        <v>1102009</v>
      </c>
      <c r="AX637" s="13" t="s">
        <v>1127</v>
      </c>
      <c r="AY637" s="13">
        <f t="shared" si="216"/>
        <v>8</v>
      </c>
      <c r="AZ637" s="13" t="s">
        <v>1148</v>
      </c>
      <c r="BA637" s="14">
        <f t="shared" si="217"/>
        <v>3</v>
      </c>
      <c r="BB637" s="14" t="str">
        <f t="shared" si="218"/>
        <v>徐晃魂珠-8 等级-3</v>
      </c>
      <c r="BC637" s="25" t="s">
        <v>1156</v>
      </c>
      <c r="BD637" s="14">
        <f t="shared" si="219"/>
        <v>576</v>
      </c>
      <c r="BE637" s="14">
        <f>SUMIFS(BD$4:BD637,$AU$4:$AU637,"="&amp;$AU637,$AY$4:$AY637,"="&amp;$AY637)</f>
        <v>1296</v>
      </c>
      <c r="BF637" s="25" t="s">
        <v>1157</v>
      </c>
      <c r="BG637" s="14">
        <f t="shared" si="220"/>
        <v>320</v>
      </c>
      <c r="BH637" s="14">
        <f>SUMIFS(BG$4:BG637,AU$4:AU637,"="&amp;AU637,AY$4:AY637,"="&amp;AY637)</f>
        <v>720</v>
      </c>
      <c r="BI637" s="25" t="s">
        <v>1158</v>
      </c>
      <c r="BJ637" s="14">
        <f t="shared" si="221"/>
        <v>15360</v>
      </c>
      <c r="BK637" s="14">
        <f>SUMIFS(BJ$4:BJ637,$AU$4:$AU637,"="&amp;$AU637,$AY$4:$AY637,"="&amp;$AY637)</f>
        <v>34560</v>
      </c>
    </row>
    <row r="638" spans="46:63" ht="16.5" x14ac:dyDescent="0.2">
      <c r="AT638" s="13">
        <v>635</v>
      </c>
      <c r="AU638" s="13">
        <f t="shared" si="213"/>
        <v>8</v>
      </c>
      <c r="AV638" s="14">
        <f t="shared" si="214"/>
        <v>200908</v>
      </c>
      <c r="AW638" s="14">
        <f t="shared" si="215"/>
        <v>1102009</v>
      </c>
      <c r="AX638" s="13" t="s">
        <v>1127</v>
      </c>
      <c r="AY638" s="13">
        <f t="shared" si="216"/>
        <v>8</v>
      </c>
      <c r="AZ638" s="13" t="s">
        <v>1148</v>
      </c>
      <c r="BA638" s="14">
        <f t="shared" si="217"/>
        <v>4</v>
      </c>
      <c r="BB638" s="14" t="str">
        <f t="shared" si="218"/>
        <v>徐晃魂珠-8 等级-4</v>
      </c>
      <c r="BC638" s="25" t="s">
        <v>1156</v>
      </c>
      <c r="BD638" s="14">
        <f t="shared" si="219"/>
        <v>864</v>
      </c>
      <c r="BE638" s="14">
        <f>SUMIFS(BD$4:BD638,$AU$4:$AU638,"="&amp;$AU638,$AY$4:$AY638,"="&amp;$AY638)</f>
        <v>2160</v>
      </c>
      <c r="BF638" s="25" t="s">
        <v>1157</v>
      </c>
      <c r="BG638" s="14">
        <f t="shared" si="220"/>
        <v>480</v>
      </c>
      <c r="BH638" s="14">
        <f>SUMIFS(BG$4:BG638,AU$4:AU638,"="&amp;AU638,AY$4:AY638,"="&amp;AY638)</f>
        <v>1200</v>
      </c>
      <c r="BI638" s="25" t="s">
        <v>1158</v>
      </c>
      <c r="BJ638" s="14">
        <f t="shared" si="221"/>
        <v>23040</v>
      </c>
      <c r="BK638" s="14">
        <f>SUMIFS(BJ$4:BJ638,$AU$4:$AU638,"="&amp;$AU638,$AY$4:$AY638,"="&amp;$AY638)</f>
        <v>57600</v>
      </c>
    </row>
    <row r="639" spans="46:63" ht="16.5" x14ac:dyDescent="0.2">
      <c r="AT639" s="13">
        <v>636</v>
      </c>
      <c r="AU639" s="13">
        <f t="shared" si="213"/>
        <v>8</v>
      </c>
      <c r="AV639" s="14">
        <f t="shared" si="214"/>
        <v>200908</v>
      </c>
      <c r="AW639" s="14">
        <f t="shared" si="215"/>
        <v>1102009</v>
      </c>
      <c r="AX639" s="13" t="s">
        <v>1127</v>
      </c>
      <c r="AY639" s="13">
        <f t="shared" si="216"/>
        <v>8</v>
      </c>
      <c r="AZ639" s="13" t="s">
        <v>1148</v>
      </c>
      <c r="BA639" s="14">
        <f t="shared" si="217"/>
        <v>5</v>
      </c>
      <c r="BB639" s="14" t="str">
        <f t="shared" si="218"/>
        <v>徐晃魂珠-8 等级-5</v>
      </c>
      <c r="BC639" s="25" t="s">
        <v>1156</v>
      </c>
      <c r="BD639" s="14">
        <f t="shared" si="219"/>
        <v>1152</v>
      </c>
      <c r="BE639" s="14">
        <f>SUMIFS(BD$4:BD639,$AU$4:$AU639,"="&amp;$AU639,$AY$4:$AY639,"="&amp;$AY639)</f>
        <v>3312</v>
      </c>
      <c r="BF639" s="25" t="s">
        <v>1157</v>
      </c>
      <c r="BG639" s="14">
        <f t="shared" si="220"/>
        <v>640</v>
      </c>
      <c r="BH639" s="14">
        <f>SUMIFS(BG$4:BG639,AU$4:AU639,"="&amp;AU639,AY$4:AY639,"="&amp;AY639)</f>
        <v>1840</v>
      </c>
      <c r="BI639" s="25" t="s">
        <v>1158</v>
      </c>
      <c r="BJ639" s="14">
        <f t="shared" si="221"/>
        <v>30720</v>
      </c>
      <c r="BK639" s="14">
        <f>SUMIFS(BJ$4:BJ639,$AU$4:$AU639,"="&amp;$AU639,$AY$4:$AY639,"="&amp;$AY639)</f>
        <v>88320</v>
      </c>
    </row>
    <row r="640" spans="46:63" ht="16.5" x14ac:dyDescent="0.2">
      <c r="AT640" s="13">
        <v>637</v>
      </c>
      <c r="AU640" s="13">
        <f t="shared" si="213"/>
        <v>8</v>
      </c>
      <c r="AV640" s="14">
        <f t="shared" si="214"/>
        <v>200908</v>
      </c>
      <c r="AW640" s="14">
        <f t="shared" si="215"/>
        <v>1102009</v>
      </c>
      <c r="AX640" s="13" t="s">
        <v>1127</v>
      </c>
      <c r="AY640" s="13">
        <f t="shared" si="216"/>
        <v>8</v>
      </c>
      <c r="AZ640" s="13" t="s">
        <v>1148</v>
      </c>
      <c r="BA640" s="14">
        <f t="shared" si="217"/>
        <v>6</v>
      </c>
      <c r="BB640" s="14" t="str">
        <f t="shared" si="218"/>
        <v>徐晃魂珠-8 等级-6</v>
      </c>
      <c r="BC640" s="25" t="s">
        <v>1156</v>
      </c>
      <c r="BD640" s="14">
        <f t="shared" si="219"/>
        <v>1440</v>
      </c>
      <c r="BE640" s="14">
        <f>SUMIFS(BD$4:BD640,$AU$4:$AU640,"="&amp;$AU640,$AY$4:$AY640,"="&amp;$AY640)</f>
        <v>4752</v>
      </c>
      <c r="BF640" s="25" t="s">
        <v>1157</v>
      </c>
      <c r="BG640" s="14">
        <f t="shared" si="220"/>
        <v>800</v>
      </c>
      <c r="BH640" s="14">
        <f>SUMIFS(BG$4:BG640,AU$4:AU640,"="&amp;AU640,AY$4:AY640,"="&amp;AY640)</f>
        <v>2640</v>
      </c>
      <c r="BI640" s="25" t="s">
        <v>1158</v>
      </c>
      <c r="BJ640" s="14">
        <f t="shared" si="221"/>
        <v>38400</v>
      </c>
      <c r="BK640" s="14">
        <f>SUMIFS(BJ$4:BJ640,$AU$4:$AU640,"="&amp;$AU640,$AY$4:$AY640,"="&amp;$AY640)</f>
        <v>126720</v>
      </c>
    </row>
    <row r="641" spans="46:63" ht="16.5" x14ac:dyDescent="0.2">
      <c r="AT641" s="13">
        <v>638</v>
      </c>
      <c r="AU641" s="13">
        <f t="shared" si="213"/>
        <v>8</v>
      </c>
      <c r="AV641" s="14">
        <f t="shared" si="214"/>
        <v>200908</v>
      </c>
      <c r="AW641" s="14">
        <f t="shared" si="215"/>
        <v>1102009</v>
      </c>
      <c r="AX641" s="13" t="s">
        <v>1127</v>
      </c>
      <c r="AY641" s="13">
        <f t="shared" si="216"/>
        <v>8</v>
      </c>
      <c r="AZ641" s="13" t="s">
        <v>1148</v>
      </c>
      <c r="BA641" s="14">
        <f t="shared" si="217"/>
        <v>7</v>
      </c>
      <c r="BB641" s="14" t="str">
        <f t="shared" si="218"/>
        <v>徐晃魂珠-8 等级-7</v>
      </c>
      <c r="BC641" s="25" t="s">
        <v>1156</v>
      </c>
      <c r="BD641" s="14">
        <f t="shared" si="219"/>
        <v>1728</v>
      </c>
      <c r="BE641" s="14">
        <f>SUMIFS(BD$4:BD641,$AU$4:$AU641,"="&amp;$AU641,$AY$4:$AY641,"="&amp;$AY641)</f>
        <v>6480</v>
      </c>
      <c r="BF641" s="25" t="s">
        <v>1157</v>
      </c>
      <c r="BG641" s="14">
        <f t="shared" si="220"/>
        <v>960</v>
      </c>
      <c r="BH641" s="14">
        <f>SUMIFS(BG$4:BG641,AU$4:AU641,"="&amp;AU641,AY$4:AY641,"="&amp;AY641)</f>
        <v>3600</v>
      </c>
      <c r="BI641" s="25" t="s">
        <v>1158</v>
      </c>
      <c r="BJ641" s="14">
        <f t="shared" si="221"/>
        <v>46080</v>
      </c>
      <c r="BK641" s="14">
        <f>SUMIFS(BJ$4:BJ641,$AU$4:$AU641,"="&amp;$AU641,$AY$4:$AY641,"="&amp;$AY641)</f>
        <v>172800</v>
      </c>
    </row>
    <row r="642" spans="46:63" ht="16.5" x14ac:dyDescent="0.2">
      <c r="AT642" s="13">
        <v>639</v>
      </c>
      <c r="AU642" s="13">
        <f t="shared" si="213"/>
        <v>8</v>
      </c>
      <c r="AV642" s="14">
        <f t="shared" si="214"/>
        <v>200908</v>
      </c>
      <c r="AW642" s="14">
        <f t="shared" si="215"/>
        <v>1102009</v>
      </c>
      <c r="AX642" s="13" t="s">
        <v>1127</v>
      </c>
      <c r="AY642" s="13">
        <f t="shared" si="216"/>
        <v>8</v>
      </c>
      <c r="AZ642" s="13" t="s">
        <v>1148</v>
      </c>
      <c r="BA642" s="14">
        <f t="shared" si="217"/>
        <v>8</v>
      </c>
      <c r="BB642" s="14" t="str">
        <f t="shared" si="218"/>
        <v>徐晃魂珠-8 等级-8</v>
      </c>
      <c r="BC642" s="25" t="s">
        <v>1156</v>
      </c>
      <c r="BD642" s="14">
        <f t="shared" si="219"/>
        <v>2016</v>
      </c>
      <c r="BE642" s="14">
        <f>SUMIFS(BD$4:BD642,$AU$4:$AU642,"="&amp;$AU642,$AY$4:$AY642,"="&amp;$AY642)</f>
        <v>8496</v>
      </c>
      <c r="BF642" s="25" t="s">
        <v>1157</v>
      </c>
      <c r="BG642" s="14">
        <f t="shared" si="220"/>
        <v>1120</v>
      </c>
      <c r="BH642" s="14">
        <f>SUMIFS(BG$4:BG642,AU$4:AU642,"="&amp;AU642,AY$4:AY642,"="&amp;AY642)</f>
        <v>4720</v>
      </c>
      <c r="BI642" s="25" t="s">
        <v>1158</v>
      </c>
      <c r="BJ642" s="14">
        <f t="shared" si="221"/>
        <v>53760</v>
      </c>
      <c r="BK642" s="14">
        <f>SUMIFS(BJ$4:BJ642,$AU$4:$AU642,"="&amp;$AU642,$AY$4:$AY642,"="&amp;$AY642)</f>
        <v>226560</v>
      </c>
    </row>
    <row r="643" spans="46:63" ht="16.5" x14ac:dyDescent="0.2">
      <c r="AT643" s="13">
        <v>640</v>
      </c>
      <c r="AU643" s="13">
        <f t="shared" si="213"/>
        <v>8</v>
      </c>
      <c r="AV643" s="14">
        <f t="shared" si="214"/>
        <v>200908</v>
      </c>
      <c r="AW643" s="14">
        <f t="shared" si="215"/>
        <v>1102009</v>
      </c>
      <c r="AX643" s="13" t="s">
        <v>1127</v>
      </c>
      <c r="AY643" s="13">
        <f t="shared" si="216"/>
        <v>8</v>
      </c>
      <c r="AZ643" s="13" t="s">
        <v>1148</v>
      </c>
      <c r="BA643" s="14">
        <f t="shared" si="217"/>
        <v>9</v>
      </c>
      <c r="BB643" s="14" t="str">
        <f t="shared" si="218"/>
        <v>徐晃魂珠-8 等级-9</v>
      </c>
      <c r="BC643" s="25" t="s">
        <v>1156</v>
      </c>
      <c r="BD643" s="14">
        <f t="shared" si="219"/>
        <v>2304</v>
      </c>
      <c r="BE643" s="14">
        <f>SUMIFS(BD$4:BD643,$AU$4:$AU643,"="&amp;$AU643,$AY$4:$AY643,"="&amp;$AY643)</f>
        <v>10800</v>
      </c>
      <c r="BF643" s="25" t="s">
        <v>1157</v>
      </c>
      <c r="BG643" s="14">
        <f t="shared" si="220"/>
        <v>1280</v>
      </c>
      <c r="BH643" s="14">
        <f>SUMIFS(BG$4:BG643,AU$4:AU643,"="&amp;AU643,AY$4:AY643,"="&amp;AY643)</f>
        <v>6000</v>
      </c>
      <c r="BI643" s="25" t="s">
        <v>1158</v>
      </c>
      <c r="BJ643" s="14">
        <f t="shared" si="221"/>
        <v>61440</v>
      </c>
      <c r="BK643" s="14">
        <f>SUMIFS(BJ$4:BJ643,$AU$4:$AU643,"="&amp;$AU643,$AY$4:$AY643,"="&amp;$AY643)</f>
        <v>288000</v>
      </c>
    </row>
    <row r="644" spans="46:63" ht="16.5" x14ac:dyDescent="0.2">
      <c r="AT644" s="13">
        <v>641</v>
      </c>
      <c r="AU644" s="13">
        <f t="shared" si="213"/>
        <v>9</v>
      </c>
      <c r="AV644" s="14">
        <f t="shared" si="214"/>
        <v>201001</v>
      </c>
      <c r="AW644" s="14">
        <f t="shared" si="215"/>
        <v>1102010</v>
      </c>
      <c r="AX644" s="13" t="s">
        <v>1127</v>
      </c>
      <c r="AY644" s="13">
        <f t="shared" si="216"/>
        <v>1</v>
      </c>
      <c r="AZ644" s="13" t="s">
        <v>1148</v>
      </c>
      <c r="BA644" s="14">
        <f t="shared" si="217"/>
        <v>0</v>
      </c>
      <c r="BB644" s="14" t="str">
        <f t="shared" si="218"/>
        <v>张郃魂珠-1 等级-0</v>
      </c>
      <c r="BC644" s="25" t="s">
        <v>1156</v>
      </c>
      <c r="BD644" s="14">
        <f t="shared" si="219"/>
        <v>0</v>
      </c>
      <c r="BE644" s="14">
        <f>SUMIFS(BD$4:BD644,$AU$4:$AU644,"="&amp;$AU644,$AY$4:$AY644,"="&amp;$AY644)</f>
        <v>0</v>
      </c>
      <c r="BF644" s="25" t="s">
        <v>1157</v>
      </c>
      <c r="BG644" s="14">
        <f t="shared" si="220"/>
        <v>0</v>
      </c>
      <c r="BH644" s="14">
        <f>SUMIFS(BG$4:BG644,AU$4:AU644,"="&amp;AU644,AY$4:AY644,"="&amp;AY644)</f>
        <v>0</v>
      </c>
      <c r="BI644" s="25" t="s">
        <v>1158</v>
      </c>
      <c r="BJ644" s="14">
        <f t="shared" si="221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2">INT((AT645-1)/80)+1</f>
        <v>9</v>
      </c>
      <c r="AV645" s="14">
        <f t="shared" ref="AV645:AV708" si="223">INDEX($AJ$4:$AJ$203,(AU645-1)*8+AY645)</f>
        <v>201001</v>
      </c>
      <c r="AW645" s="14">
        <f t="shared" ref="AW645:AW708" si="224">INDEX($W$4:$W$28,AU645)</f>
        <v>1102010</v>
      </c>
      <c r="AX645" s="13" t="s">
        <v>1127</v>
      </c>
      <c r="AY645" s="13">
        <f t="shared" ref="AY645:AY708" si="225">INT(((AT645-(AU645-1)*80)-1)/10)+1</f>
        <v>1</v>
      </c>
      <c r="AZ645" s="13" t="s">
        <v>1148</v>
      </c>
      <c r="BA645" s="14">
        <f t="shared" ref="BA645:BA708" si="226">AT645-(AU645-1)*80-(AY645-1)*10-1</f>
        <v>1</v>
      </c>
      <c r="BB645" s="14" t="str">
        <f t="shared" ref="BB645:BB708" si="227">INDEX($X$4:$X$28,AU645)&amp;"魂珠-"&amp;AY645&amp;" 等级-"&amp;BA645</f>
        <v>张郃魂珠-1 等级-1</v>
      </c>
      <c r="BC645" s="25" t="s">
        <v>1156</v>
      </c>
      <c r="BD645" s="14">
        <f t="shared" ref="BD645:BD708" si="228">ROUND(INDEX(Q$4:Q$83,($AY645-1)*10+$BA645+1)*INDEX(AC$4:AC$28,$AU645),0)</f>
        <v>54</v>
      </c>
      <c r="BE645" s="14">
        <f>SUMIFS(BD$4:BD645,$AU$4:$AU645,"="&amp;$AU645,$AY$4:$AY645,"="&amp;$AY645)</f>
        <v>54</v>
      </c>
      <c r="BF645" s="25" t="s">
        <v>1157</v>
      </c>
      <c r="BG645" s="14">
        <f t="shared" ref="BG645:BG708" si="229">ROUND(INDEX(R$4:R$83,($AY645-1)*10+$BA645+1)*INDEX(AD$4:AD$28,$AU645),0)</f>
        <v>22</v>
      </c>
      <c r="BH645" s="14">
        <f>SUMIFS(BG$4:BG645,AU$4:AU645,"="&amp;AU645,AY$4:AY645,"="&amp;AY645)</f>
        <v>22</v>
      </c>
      <c r="BI645" s="25" t="s">
        <v>1158</v>
      </c>
      <c r="BJ645" s="14">
        <f t="shared" ref="BJ645:BJ708" si="230">ROUND(INDEX(S$4:S$83,($AY645-1)*10+$BA645+1)*INDEX(AE$4:AE$28,$AU645),0)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2"/>
        <v>9</v>
      </c>
      <c r="AV646" s="14">
        <f t="shared" si="223"/>
        <v>201001</v>
      </c>
      <c r="AW646" s="14">
        <f t="shared" si="224"/>
        <v>1102010</v>
      </c>
      <c r="AX646" s="13" t="s">
        <v>1127</v>
      </c>
      <c r="AY646" s="13">
        <f t="shared" si="225"/>
        <v>1</v>
      </c>
      <c r="AZ646" s="13" t="s">
        <v>1148</v>
      </c>
      <c r="BA646" s="14">
        <f t="shared" si="226"/>
        <v>2</v>
      </c>
      <c r="BB646" s="14" t="str">
        <f t="shared" si="227"/>
        <v>张郃魂珠-1 等级-2</v>
      </c>
      <c r="BC646" s="25" t="s">
        <v>1156</v>
      </c>
      <c r="BD646" s="14">
        <f t="shared" si="228"/>
        <v>81</v>
      </c>
      <c r="BE646" s="14">
        <f>SUMIFS(BD$4:BD646,$AU$4:$AU646,"="&amp;$AU646,$AY$4:$AY646,"="&amp;$AY646)</f>
        <v>135</v>
      </c>
      <c r="BF646" s="25" t="s">
        <v>1157</v>
      </c>
      <c r="BG646" s="14">
        <f t="shared" si="229"/>
        <v>33</v>
      </c>
      <c r="BH646" s="14">
        <f>SUMIFS(BG$4:BG646,AU$4:AU646,"="&amp;AU646,AY$4:AY646,"="&amp;AY646)</f>
        <v>55</v>
      </c>
      <c r="BI646" s="25" t="s">
        <v>1158</v>
      </c>
      <c r="BJ646" s="14">
        <f t="shared" si="230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2"/>
        <v>9</v>
      </c>
      <c r="AV647" s="14">
        <f t="shared" si="223"/>
        <v>201001</v>
      </c>
      <c r="AW647" s="14">
        <f t="shared" si="224"/>
        <v>1102010</v>
      </c>
      <c r="AX647" s="13" t="s">
        <v>1127</v>
      </c>
      <c r="AY647" s="13">
        <f t="shared" si="225"/>
        <v>1</v>
      </c>
      <c r="AZ647" s="13" t="s">
        <v>1148</v>
      </c>
      <c r="BA647" s="14">
        <f t="shared" si="226"/>
        <v>3</v>
      </c>
      <c r="BB647" s="14" t="str">
        <f t="shared" si="227"/>
        <v>张郃魂珠-1 等级-3</v>
      </c>
      <c r="BC647" s="25" t="s">
        <v>1156</v>
      </c>
      <c r="BD647" s="14">
        <f t="shared" si="228"/>
        <v>108</v>
      </c>
      <c r="BE647" s="14">
        <f>SUMIFS(BD$4:BD647,$AU$4:$AU647,"="&amp;$AU647,$AY$4:$AY647,"="&amp;$AY647)</f>
        <v>243</v>
      </c>
      <c r="BF647" s="25" t="s">
        <v>1157</v>
      </c>
      <c r="BG647" s="14">
        <f t="shared" si="229"/>
        <v>44</v>
      </c>
      <c r="BH647" s="14">
        <f>SUMIFS(BG$4:BG647,AU$4:AU647,"="&amp;AU647,AY$4:AY647,"="&amp;AY647)</f>
        <v>99</v>
      </c>
      <c r="BI647" s="25" t="s">
        <v>1158</v>
      </c>
      <c r="BJ647" s="14">
        <f t="shared" si="230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2"/>
        <v>9</v>
      </c>
      <c r="AV648" s="14">
        <f t="shared" si="223"/>
        <v>201001</v>
      </c>
      <c r="AW648" s="14">
        <f t="shared" si="224"/>
        <v>1102010</v>
      </c>
      <c r="AX648" s="13" t="s">
        <v>1127</v>
      </c>
      <c r="AY648" s="13">
        <f t="shared" si="225"/>
        <v>1</v>
      </c>
      <c r="AZ648" s="13" t="s">
        <v>1148</v>
      </c>
      <c r="BA648" s="14">
        <f t="shared" si="226"/>
        <v>4</v>
      </c>
      <c r="BB648" s="14" t="str">
        <f t="shared" si="227"/>
        <v>张郃魂珠-1 等级-4</v>
      </c>
      <c r="BC648" s="25" t="s">
        <v>1156</v>
      </c>
      <c r="BD648" s="14">
        <f t="shared" si="228"/>
        <v>162</v>
      </c>
      <c r="BE648" s="14">
        <f>SUMIFS(BD$4:BD648,$AU$4:$AU648,"="&amp;$AU648,$AY$4:$AY648,"="&amp;$AY648)</f>
        <v>405</v>
      </c>
      <c r="BF648" s="25" t="s">
        <v>1157</v>
      </c>
      <c r="BG648" s="14">
        <f t="shared" si="229"/>
        <v>66</v>
      </c>
      <c r="BH648" s="14">
        <f>SUMIFS(BG$4:BG648,AU$4:AU648,"="&amp;AU648,AY$4:AY648,"="&amp;AY648)</f>
        <v>165</v>
      </c>
      <c r="BI648" s="25" t="s">
        <v>1158</v>
      </c>
      <c r="BJ648" s="14">
        <f t="shared" si="230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2"/>
        <v>9</v>
      </c>
      <c r="AV649" s="14">
        <f t="shared" si="223"/>
        <v>201001</v>
      </c>
      <c r="AW649" s="14">
        <f t="shared" si="224"/>
        <v>1102010</v>
      </c>
      <c r="AX649" s="13" t="s">
        <v>1127</v>
      </c>
      <c r="AY649" s="13">
        <f t="shared" si="225"/>
        <v>1</v>
      </c>
      <c r="AZ649" s="13" t="s">
        <v>1148</v>
      </c>
      <c r="BA649" s="14">
        <f t="shared" si="226"/>
        <v>5</v>
      </c>
      <c r="BB649" s="14" t="str">
        <f t="shared" si="227"/>
        <v>张郃魂珠-1 等级-5</v>
      </c>
      <c r="BC649" s="25" t="s">
        <v>1156</v>
      </c>
      <c r="BD649" s="14">
        <f t="shared" si="228"/>
        <v>216</v>
      </c>
      <c r="BE649" s="14">
        <f>SUMIFS(BD$4:BD649,$AU$4:$AU649,"="&amp;$AU649,$AY$4:$AY649,"="&amp;$AY649)</f>
        <v>621</v>
      </c>
      <c r="BF649" s="25" t="s">
        <v>1157</v>
      </c>
      <c r="BG649" s="14">
        <f t="shared" si="229"/>
        <v>88</v>
      </c>
      <c r="BH649" s="14">
        <f>SUMIFS(BG$4:BG649,AU$4:AU649,"="&amp;AU649,AY$4:AY649,"="&amp;AY649)</f>
        <v>253</v>
      </c>
      <c r="BI649" s="25" t="s">
        <v>1158</v>
      </c>
      <c r="BJ649" s="14">
        <f t="shared" si="230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2"/>
        <v>9</v>
      </c>
      <c r="AV650" s="14">
        <f t="shared" si="223"/>
        <v>201001</v>
      </c>
      <c r="AW650" s="14">
        <f t="shared" si="224"/>
        <v>1102010</v>
      </c>
      <c r="AX650" s="13" t="s">
        <v>1127</v>
      </c>
      <c r="AY650" s="13">
        <f t="shared" si="225"/>
        <v>1</v>
      </c>
      <c r="AZ650" s="13" t="s">
        <v>1148</v>
      </c>
      <c r="BA650" s="14">
        <f t="shared" si="226"/>
        <v>6</v>
      </c>
      <c r="BB650" s="14" t="str">
        <f t="shared" si="227"/>
        <v>张郃魂珠-1 等级-6</v>
      </c>
      <c r="BC650" s="25" t="s">
        <v>1156</v>
      </c>
      <c r="BD650" s="14">
        <f t="shared" si="228"/>
        <v>270</v>
      </c>
      <c r="BE650" s="14">
        <f>SUMIFS(BD$4:BD650,$AU$4:$AU650,"="&amp;$AU650,$AY$4:$AY650,"="&amp;$AY650)</f>
        <v>891</v>
      </c>
      <c r="BF650" s="25" t="s">
        <v>1157</v>
      </c>
      <c r="BG650" s="14">
        <f t="shared" si="229"/>
        <v>110</v>
      </c>
      <c r="BH650" s="14">
        <f>SUMIFS(BG$4:BG650,AU$4:AU650,"="&amp;AU650,AY$4:AY650,"="&amp;AY650)</f>
        <v>363</v>
      </c>
      <c r="BI650" s="25" t="s">
        <v>1158</v>
      </c>
      <c r="BJ650" s="14">
        <f t="shared" si="230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2"/>
        <v>9</v>
      </c>
      <c r="AV651" s="14">
        <f t="shared" si="223"/>
        <v>201001</v>
      </c>
      <c r="AW651" s="14">
        <f t="shared" si="224"/>
        <v>1102010</v>
      </c>
      <c r="AX651" s="13" t="s">
        <v>1127</v>
      </c>
      <c r="AY651" s="13">
        <f t="shared" si="225"/>
        <v>1</v>
      </c>
      <c r="AZ651" s="13" t="s">
        <v>1148</v>
      </c>
      <c r="BA651" s="14">
        <f t="shared" si="226"/>
        <v>7</v>
      </c>
      <c r="BB651" s="14" t="str">
        <f t="shared" si="227"/>
        <v>张郃魂珠-1 等级-7</v>
      </c>
      <c r="BC651" s="25" t="s">
        <v>1156</v>
      </c>
      <c r="BD651" s="14">
        <f t="shared" si="228"/>
        <v>324</v>
      </c>
      <c r="BE651" s="14">
        <f>SUMIFS(BD$4:BD651,$AU$4:$AU651,"="&amp;$AU651,$AY$4:$AY651,"="&amp;$AY651)</f>
        <v>1215</v>
      </c>
      <c r="BF651" s="25" t="s">
        <v>1157</v>
      </c>
      <c r="BG651" s="14">
        <f t="shared" si="229"/>
        <v>132</v>
      </c>
      <c r="BH651" s="14">
        <f>SUMIFS(BG$4:BG651,AU$4:AU651,"="&amp;AU651,AY$4:AY651,"="&amp;AY651)</f>
        <v>495</v>
      </c>
      <c r="BI651" s="25" t="s">
        <v>1158</v>
      </c>
      <c r="BJ651" s="14">
        <f t="shared" si="230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2"/>
        <v>9</v>
      </c>
      <c r="AV652" s="14">
        <f t="shared" si="223"/>
        <v>201001</v>
      </c>
      <c r="AW652" s="14">
        <f t="shared" si="224"/>
        <v>1102010</v>
      </c>
      <c r="AX652" s="13" t="s">
        <v>1127</v>
      </c>
      <c r="AY652" s="13">
        <f t="shared" si="225"/>
        <v>1</v>
      </c>
      <c r="AZ652" s="13" t="s">
        <v>1148</v>
      </c>
      <c r="BA652" s="14">
        <f t="shared" si="226"/>
        <v>8</v>
      </c>
      <c r="BB652" s="14" t="str">
        <f t="shared" si="227"/>
        <v>张郃魂珠-1 等级-8</v>
      </c>
      <c r="BC652" s="25" t="s">
        <v>1156</v>
      </c>
      <c r="BD652" s="14">
        <f t="shared" si="228"/>
        <v>378</v>
      </c>
      <c r="BE652" s="14">
        <f>SUMIFS(BD$4:BD652,$AU$4:$AU652,"="&amp;$AU652,$AY$4:$AY652,"="&amp;$AY652)</f>
        <v>1593</v>
      </c>
      <c r="BF652" s="25" t="s">
        <v>1157</v>
      </c>
      <c r="BG652" s="14">
        <f t="shared" si="229"/>
        <v>154</v>
      </c>
      <c r="BH652" s="14">
        <f>SUMIFS(BG$4:BG652,AU$4:AU652,"="&amp;AU652,AY$4:AY652,"="&amp;AY652)</f>
        <v>649</v>
      </c>
      <c r="BI652" s="25" t="s">
        <v>1158</v>
      </c>
      <c r="BJ652" s="14">
        <f t="shared" si="230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2"/>
        <v>9</v>
      </c>
      <c r="AV653" s="14">
        <f t="shared" si="223"/>
        <v>201001</v>
      </c>
      <c r="AW653" s="14">
        <f t="shared" si="224"/>
        <v>1102010</v>
      </c>
      <c r="AX653" s="13" t="s">
        <v>1127</v>
      </c>
      <c r="AY653" s="13">
        <f t="shared" si="225"/>
        <v>1</v>
      </c>
      <c r="AZ653" s="13" t="s">
        <v>1148</v>
      </c>
      <c r="BA653" s="14">
        <f t="shared" si="226"/>
        <v>9</v>
      </c>
      <c r="BB653" s="14" t="str">
        <f t="shared" si="227"/>
        <v>张郃魂珠-1 等级-9</v>
      </c>
      <c r="BC653" s="25" t="s">
        <v>1156</v>
      </c>
      <c r="BD653" s="14">
        <f t="shared" si="228"/>
        <v>432</v>
      </c>
      <c r="BE653" s="14">
        <f>SUMIFS(BD$4:BD653,$AU$4:$AU653,"="&amp;$AU653,$AY$4:$AY653,"="&amp;$AY653)</f>
        <v>2025</v>
      </c>
      <c r="BF653" s="25" t="s">
        <v>1157</v>
      </c>
      <c r="BG653" s="14">
        <f t="shared" si="229"/>
        <v>176</v>
      </c>
      <c r="BH653" s="14">
        <f>SUMIFS(BG$4:BG653,AU$4:AU653,"="&amp;AU653,AY$4:AY653,"="&amp;AY653)</f>
        <v>825</v>
      </c>
      <c r="BI653" s="25" t="s">
        <v>1158</v>
      </c>
      <c r="BJ653" s="14">
        <f t="shared" si="230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2"/>
        <v>9</v>
      </c>
      <c r="AV654" s="14">
        <f t="shared" si="223"/>
        <v>201002</v>
      </c>
      <c r="AW654" s="14">
        <f t="shared" si="224"/>
        <v>1102010</v>
      </c>
      <c r="AX654" s="13" t="s">
        <v>1127</v>
      </c>
      <c r="AY654" s="13">
        <f t="shared" si="225"/>
        <v>2</v>
      </c>
      <c r="AZ654" s="13" t="s">
        <v>1148</v>
      </c>
      <c r="BA654" s="14">
        <f t="shared" si="226"/>
        <v>0</v>
      </c>
      <c r="BB654" s="14" t="str">
        <f t="shared" si="227"/>
        <v>张郃魂珠-2 等级-0</v>
      </c>
      <c r="BC654" s="25" t="s">
        <v>1156</v>
      </c>
      <c r="BD654" s="14">
        <f t="shared" si="228"/>
        <v>0</v>
      </c>
      <c r="BE654" s="14">
        <f>SUMIFS(BD$4:BD654,$AU$4:$AU654,"="&amp;$AU654,$AY$4:$AY654,"="&amp;$AY654)</f>
        <v>0</v>
      </c>
      <c r="BF654" s="25" t="s">
        <v>1157</v>
      </c>
      <c r="BG654" s="14">
        <f t="shared" si="229"/>
        <v>0</v>
      </c>
      <c r="BH654" s="14">
        <f>SUMIFS(BG$4:BG654,AU$4:AU654,"="&amp;AU654,AY$4:AY654,"="&amp;AY654)</f>
        <v>0</v>
      </c>
      <c r="BI654" s="25" t="s">
        <v>1158</v>
      </c>
      <c r="BJ654" s="14">
        <f t="shared" si="230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2"/>
        <v>9</v>
      </c>
      <c r="AV655" s="14">
        <f t="shared" si="223"/>
        <v>201002</v>
      </c>
      <c r="AW655" s="14">
        <f t="shared" si="224"/>
        <v>1102010</v>
      </c>
      <c r="AX655" s="13" t="s">
        <v>1127</v>
      </c>
      <c r="AY655" s="13">
        <f t="shared" si="225"/>
        <v>2</v>
      </c>
      <c r="AZ655" s="13" t="s">
        <v>1148</v>
      </c>
      <c r="BA655" s="14">
        <f t="shared" si="226"/>
        <v>1</v>
      </c>
      <c r="BB655" s="14" t="str">
        <f t="shared" si="227"/>
        <v>张郃魂珠-2 等级-1</v>
      </c>
      <c r="BC655" s="25" t="s">
        <v>1156</v>
      </c>
      <c r="BD655" s="14">
        <f t="shared" si="228"/>
        <v>68</v>
      </c>
      <c r="BE655" s="14">
        <f>SUMIFS(BD$4:BD655,$AU$4:$AU655,"="&amp;$AU655,$AY$4:$AY655,"="&amp;$AY655)</f>
        <v>68</v>
      </c>
      <c r="BF655" s="25" t="s">
        <v>1157</v>
      </c>
      <c r="BG655" s="14">
        <f t="shared" si="229"/>
        <v>28</v>
      </c>
      <c r="BH655" s="14">
        <f>SUMIFS(BG$4:BG655,AU$4:AU655,"="&amp;AU655,AY$4:AY655,"="&amp;AY655)</f>
        <v>28</v>
      </c>
      <c r="BI655" s="25" t="s">
        <v>1158</v>
      </c>
      <c r="BJ655" s="14">
        <f t="shared" si="230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2"/>
        <v>9</v>
      </c>
      <c r="AV656" s="14">
        <f t="shared" si="223"/>
        <v>201002</v>
      </c>
      <c r="AW656" s="14">
        <f t="shared" si="224"/>
        <v>1102010</v>
      </c>
      <c r="AX656" s="13" t="s">
        <v>1127</v>
      </c>
      <c r="AY656" s="13">
        <f t="shared" si="225"/>
        <v>2</v>
      </c>
      <c r="AZ656" s="13" t="s">
        <v>1148</v>
      </c>
      <c r="BA656" s="14">
        <f t="shared" si="226"/>
        <v>2</v>
      </c>
      <c r="BB656" s="14" t="str">
        <f t="shared" si="227"/>
        <v>张郃魂珠-2 等级-2</v>
      </c>
      <c r="BC656" s="25" t="s">
        <v>1156</v>
      </c>
      <c r="BD656" s="14">
        <f t="shared" si="228"/>
        <v>108</v>
      </c>
      <c r="BE656" s="14">
        <f>SUMIFS(BD$4:BD656,$AU$4:$AU656,"="&amp;$AU656,$AY$4:$AY656,"="&amp;$AY656)</f>
        <v>176</v>
      </c>
      <c r="BF656" s="25" t="s">
        <v>1157</v>
      </c>
      <c r="BG656" s="14">
        <f t="shared" si="229"/>
        <v>44</v>
      </c>
      <c r="BH656" s="14">
        <f>SUMIFS(BG$4:BG656,AU$4:AU656,"="&amp;AU656,AY$4:AY656,"="&amp;AY656)</f>
        <v>72</v>
      </c>
      <c r="BI656" s="25" t="s">
        <v>1158</v>
      </c>
      <c r="BJ656" s="14">
        <f t="shared" si="230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2"/>
        <v>9</v>
      </c>
      <c r="AV657" s="14">
        <f t="shared" si="223"/>
        <v>201002</v>
      </c>
      <c r="AW657" s="14">
        <f t="shared" si="224"/>
        <v>1102010</v>
      </c>
      <c r="AX657" s="13" t="s">
        <v>1127</v>
      </c>
      <c r="AY657" s="13">
        <f t="shared" si="225"/>
        <v>2</v>
      </c>
      <c r="AZ657" s="13" t="s">
        <v>1148</v>
      </c>
      <c r="BA657" s="14">
        <f t="shared" si="226"/>
        <v>3</v>
      </c>
      <c r="BB657" s="14" t="str">
        <f t="shared" si="227"/>
        <v>张郃魂珠-2 等级-3</v>
      </c>
      <c r="BC657" s="25" t="s">
        <v>1156</v>
      </c>
      <c r="BD657" s="14">
        <f t="shared" si="228"/>
        <v>135</v>
      </c>
      <c r="BE657" s="14">
        <f>SUMIFS(BD$4:BD657,$AU$4:$AU657,"="&amp;$AU657,$AY$4:$AY657,"="&amp;$AY657)</f>
        <v>311</v>
      </c>
      <c r="BF657" s="25" t="s">
        <v>1157</v>
      </c>
      <c r="BG657" s="14">
        <f t="shared" si="229"/>
        <v>55</v>
      </c>
      <c r="BH657" s="14">
        <f>SUMIFS(BG$4:BG657,AU$4:AU657,"="&amp;AU657,AY$4:AY657,"="&amp;AY657)</f>
        <v>127</v>
      </c>
      <c r="BI657" s="25" t="s">
        <v>1158</v>
      </c>
      <c r="BJ657" s="14">
        <f t="shared" si="230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2"/>
        <v>9</v>
      </c>
      <c r="AV658" s="14">
        <f t="shared" si="223"/>
        <v>201002</v>
      </c>
      <c r="AW658" s="14">
        <f t="shared" si="224"/>
        <v>1102010</v>
      </c>
      <c r="AX658" s="13" t="s">
        <v>1127</v>
      </c>
      <c r="AY658" s="13">
        <f t="shared" si="225"/>
        <v>2</v>
      </c>
      <c r="AZ658" s="13" t="s">
        <v>1148</v>
      </c>
      <c r="BA658" s="14">
        <f t="shared" si="226"/>
        <v>4</v>
      </c>
      <c r="BB658" s="14" t="str">
        <f t="shared" si="227"/>
        <v>张郃魂珠-2 等级-4</v>
      </c>
      <c r="BC658" s="25" t="s">
        <v>1156</v>
      </c>
      <c r="BD658" s="14">
        <f t="shared" si="228"/>
        <v>216</v>
      </c>
      <c r="BE658" s="14">
        <f>SUMIFS(BD$4:BD658,$AU$4:$AU658,"="&amp;$AU658,$AY$4:$AY658,"="&amp;$AY658)</f>
        <v>527</v>
      </c>
      <c r="BF658" s="25" t="s">
        <v>1157</v>
      </c>
      <c r="BG658" s="14">
        <f t="shared" si="229"/>
        <v>88</v>
      </c>
      <c r="BH658" s="14">
        <f>SUMIFS(BG$4:BG658,AU$4:AU658,"="&amp;AU658,AY$4:AY658,"="&amp;AY658)</f>
        <v>215</v>
      </c>
      <c r="BI658" s="25" t="s">
        <v>1158</v>
      </c>
      <c r="BJ658" s="14">
        <f t="shared" si="230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2"/>
        <v>9</v>
      </c>
      <c r="AV659" s="14">
        <f t="shared" si="223"/>
        <v>201002</v>
      </c>
      <c r="AW659" s="14">
        <f t="shared" si="224"/>
        <v>1102010</v>
      </c>
      <c r="AX659" s="13" t="s">
        <v>1127</v>
      </c>
      <c r="AY659" s="13">
        <f t="shared" si="225"/>
        <v>2</v>
      </c>
      <c r="AZ659" s="13" t="s">
        <v>1148</v>
      </c>
      <c r="BA659" s="14">
        <f t="shared" si="226"/>
        <v>5</v>
      </c>
      <c r="BB659" s="14" t="str">
        <f t="shared" si="227"/>
        <v>张郃魂珠-2 等级-5</v>
      </c>
      <c r="BC659" s="25" t="s">
        <v>1156</v>
      </c>
      <c r="BD659" s="14">
        <f t="shared" si="228"/>
        <v>297</v>
      </c>
      <c r="BE659" s="14">
        <f>SUMIFS(BD$4:BD659,$AU$4:$AU659,"="&amp;$AU659,$AY$4:$AY659,"="&amp;$AY659)</f>
        <v>824</v>
      </c>
      <c r="BF659" s="25" t="s">
        <v>1157</v>
      </c>
      <c r="BG659" s="14">
        <f t="shared" si="229"/>
        <v>121</v>
      </c>
      <c r="BH659" s="14">
        <f>SUMIFS(BG$4:BG659,AU$4:AU659,"="&amp;AU659,AY$4:AY659,"="&amp;AY659)</f>
        <v>336</v>
      </c>
      <c r="BI659" s="25" t="s">
        <v>1158</v>
      </c>
      <c r="BJ659" s="14">
        <f t="shared" si="230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2"/>
        <v>9</v>
      </c>
      <c r="AV660" s="14">
        <f t="shared" si="223"/>
        <v>201002</v>
      </c>
      <c r="AW660" s="14">
        <f t="shared" si="224"/>
        <v>1102010</v>
      </c>
      <c r="AX660" s="13" t="s">
        <v>1127</v>
      </c>
      <c r="AY660" s="13">
        <f t="shared" si="225"/>
        <v>2</v>
      </c>
      <c r="AZ660" s="13" t="s">
        <v>1148</v>
      </c>
      <c r="BA660" s="14">
        <f t="shared" si="226"/>
        <v>6</v>
      </c>
      <c r="BB660" s="14" t="str">
        <f t="shared" si="227"/>
        <v>张郃魂珠-2 等级-6</v>
      </c>
      <c r="BC660" s="25" t="s">
        <v>1156</v>
      </c>
      <c r="BD660" s="14">
        <f t="shared" si="228"/>
        <v>378</v>
      </c>
      <c r="BE660" s="14">
        <f>SUMIFS(BD$4:BD660,$AU$4:$AU660,"="&amp;$AU660,$AY$4:$AY660,"="&amp;$AY660)</f>
        <v>1202</v>
      </c>
      <c r="BF660" s="25" t="s">
        <v>1157</v>
      </c>
      <c r="BG660" s="14">
        <f t="shared" si="229"/>
        <v>154</v>
      </c>
      <c r="BH660" s="14">
        <f>SUMIFS(BG$4:BG660,AU$4:AU660,"="&amp;AU660,AY$4:AY660,"="&amp;AY660)</f>
        <v>490</v>
      </c>
      <c r="BI660" s="25" t="s">
        <v>1158</v>
      </c>
      <c r="BJ660" s="14">
        <f t="shared" si="230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2"/>
        <v>9</v>
      </c>
      <c r="AV661" s="14">
        <f t="shared" si="223"/>
        <v>201002</v>
      </c>
      <c r="AW661" s="14">
        <f t="shared" si="224"/>
        <v>1102010</v>
      </c>
      <c r="AX661" s="13" t="s">
        <v>1127</v>
      </c>
      <c r="AY661" s="13">
        <f t="shared" si="225"/>
        <v>2</v>
      </c>
      <c r="AZ661" s="13" t="s">
        <v>1148</v>
      </c>
      <c r="BA661" s="14">
        <f t="shared" si="226"/>
        <v>7</v>
      </c>
      <c r="BB661" s="14" t="str">
        <f t="shared" si="227"/>
        <v>张郃魂珠-2 等级-7</v>
      </c>
      <c r="BC661" s="25" t="s">
        <v>1156</v>
      </c>
      <c r="BD661" s="14">
        <f t="shared" si="228"/>
        <v>432</v>
      </c>
      <c r="BE661" s="14">
        <f>SUMIFS(BD$4:BD661,$AU$4:$AU661,"="&amp;$AU661,$AY$4:$AY661,"="&amp;$AY661)</f>
        <v>1634</v>
      </c>
      <c r="BF661" s="25" t="s">
        <v>1157</v>
      </c>
      <c r="BG661" s="14">
        <f t="shared" si="229"/>
        <v>176</v>
      </c>
      <c r="BH661" s="14">
        <f>SUMIFS(BG$4:BG661,AU$4:AU661,"="&amp;AU661,AY$4:AY661,"="&amp;AY661)</f>
        <v>666</v>
      </c>
      <c r="BI661" s="25" t="s">
        <v>1158</v>
      </c>
      <c r="BJ661" s="14">
        <f t="shared" si="230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2"/>
        <v>9</v>
      </c>
      <c r="AV662" s="14">
        <f t="shared" si="223"/>
        <v>201002</v>
      </c>
      <c r="AW662" s="14">
        <f t="shared" si="224"/>
        <v>1102010</v>
      </c>
      <c r="AX662" s="13" t="s">
        <v>1127</v>
      </c>
      <c r="AY662" s="13">
        <f t="shared" si="225"/>
        <v>2</v>
      </c>
      <c r="AZ662" s="13" t="s">
        <v>1148</v>
      </c>
      <c r="BA662" s="14">
        <f t="shared" si="226"/>
        <v>8</v>
      </c>
      <c r="BB662" s="14" t="str">
        <f t="shared" si="227"/>
        <v>张郃魂珠-2 等级-8</v>
      </c>
      <c r="BC662" s="25" t="s">
        <v>1156</v>
      </c>
      <c r="BD662" s="14">
        <f t="shared" si="228"/>
        <v>513</v>
      </c>
      <c r="BE662" s="14">
        <f>SUMIFS(BD$4:BD662,$AU$4:$AU662,"="&amp;$AU662,$AY$4:$AY662,"="&amp;$AY662)</f>
        <v>2147</v>
      </c>
      <c r="BF662" s="25" t="s">
        <v>1157</v>
      </c>
      <c r="BG662" s="14">
        <f t="shared" si="229"/>
        <v>209</v>
      </c>
      <c r="BH662" s="14">
        <f>SUMIFS(BG$4:BG662,AU$4:AU662,"="&amp;AU662,AY$4:AY662,"="&amp;AY662)</f>
        <v>875</v>
      </c>
      <c r="BI662" s="25" t="s">
        <v>1158</v>
      </c>
      <c r="BJ662" s="14">
        <f t="shared" si="230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2"/>
        <v>9</v>
      </c>
      <c r="AV663" s="14">
        <f t="shared" si="223"/>
        <v>201002</v>
      </c>
      <c r="AW663" s="14">
        <f t="shared" si="224"/>
        <v>1102010</v>
      </c>
      <c r="AX663" s="13" t="s">
        <v>1127</v>
      </c>
      <c r="AY663" s="13">
        <f t="shared" si="225"/>
        <v>2</v>
      </c>
      <c r="AZ663" s="13" t="s">
        <v>1148</v>
      </c>
      <c r="BA663" s="14">
        <f t="shared" si="226"/>
        <v>9</v>
      </c>
      <c r="BB663" s="14" t="str">
        <f t="shared" si="227"/>
        <v>张郃魂珠-2 等级-9</v>
      </c>
      <c r="BC663" s="25" t="s">
        <v>1156</v>
      </c>
      <c r="BD663" s="14">
        <f t="shared" si="228"/>
        <v>608</v>
      </c>
      <c r="BE663" s="14">
        <f>SUMIFS(BD$4:BD663,$AU$4:$AU663,"="&amp;$AU663,$AY$4:$AY663,"="&amp;$AY663)</f>
        <v>2755</v>
      </c>
      <c r="BF663" s="25" t="s">
        <v>1157</v>
      </c>
      <c r="BG663" s="14">
        <f t="shared" si="229"/>
        <v>248</v>
      </c>
      <c r="BH663" s="14">
        <f>SUMIFS(BG$4:BG663,AU$4:AU663,"="&amp;AU663,AY$4:AY663,"="&amp;AY663)</f>
        <v>1123</v>
      </c>
      <c r="BI663" s="25" t="s">
        <v>1158</v>
      </c>
      <c r="BJ663" s="14">
        <f t="shared" si="230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2"/>
        <v>9</v>
      </c>
      <c r="AV664" s="14">
        <f t="shared" si="223"/>
        <v>201003</v>
      </c>
      <c r="AW664" s="14">
        <f t="shared" si="224"/>
        <v>1102010</v>
      </c>
      <c r="AX664" s="13" t="s">
        <v>1127</v>
      </c>
      <c r="AY664" s="13">
        <f t="shared" si="225"/>
        <v>3</v>
      </c>
      <c r="AZ664" s="13" t="s">
        <v>1148</v>
      </c>
      <c r="BA664" s="14">
        <f t="shared" si="226"/>
        <v>0</v>
      </c>
      <c r="BB664" s="14" t="str">
        <f t="shared" si="227"/>
        <v>张郃魂珠-3 等级-0</v>
      </c>
      <c r="BC664" s="25" t="s">
        <v>1156</v>
      </c>
      <c r="BD664" s="14">
        <f t="shared" si="228"/>
        <v>0</v>
      </c>
      <c r="BE664" s="14">
        <f>SUMIFS(BD$4:BD664,$AU$4:$AU664,"="&amp;$AU664,$AY$4:$AY664,"="&amp;$AY664)</f>
        <v>0</v>
      </c>
      <c r="BF664" s="25" t="s">
        <v>1157</v>
      </c>
      <c r="BG664" s="14">
        <f t="shared" si="229"/>
        <v>0</v>
      </c>
      <c r="BH664" s="14">
        <f>SUMIFS(BG$4:BG664,AU$4:AU664,"="&amp;AU664,AY$4:AY664,"="&amp;AY664)</f>
        <v>0</v>
      </c>
      <c r="BI664" s="25" t="s">
        <v>1158</v>
      </c>
      <c r="BJ664" s="14">
        <f t="shared" si="230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2"/>
        <v>9</v>
      </c>
      <c r="AV665" s="14">
        <f t="shared" si="223"/>
        <v>201003</v>
      </c>
      <c r="AW665" s="14">
        <f t="shared" si="224"/>
        <v>1102010</v>
      </c>
      <c r="AX665" s="13" t="s">
        <v>1127</v>
      </c>
      <c r="AY665" s="13">
        <f t="shared" si="225"/>
        <v>3</v>
      </c>
      <c r="AZ665" s="13" t="s">
        <v>1148</v>
      </c>
      <c r="BA665" s="14">
        <f t="shared" si="226"/>
        <v>1</v>
      </c>
      <c r="BB665" s="14" t="str">
        <f t="shared" si="227"/>
        <v>张郃魂珠-3 等级-1</v>
      </c>
      <c r="BC665" s="25" t="s">
        <v>1156</v>
      </c>
      <c r="BD665" s="14">
        <f t="shared" si="228"/>
        <v>108</v>
      </c>
      <c r="BE665" s="14">
        <f>SUMIFS(BD$4:BD665,$AU$4:$AU665,"="&amp;$AU665,$AY$4:$AY665,"="&amp;$AY665)</f>
        <v>108</v>
      </c>
      <c r="BF665" s="25" t="s">
        <v>1157</v>
      </c>
      <c r="BG665" s="14">
        <f t="shared" si="229"/>
        <v>44</v>
      </c>
      <c r="BH665" s="14">
        <f>SUMIFS(BG$4:BG665,AU$4:AU665,"="&amp;AU665,AY$4:AY665,"="&amp;AY665)</f>
        <v>44</v>
      </c>
      <c r="BI665" s="25" t="s">
        <v>1158</v>
      </c>
      <c r="BJ665" s="14">
        <f t="shared" si="230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2"/>
        <v>9</v>
      </c>
      <c r="AV666" s="14">
        <f t="shared" si="223"/>
        <v>201003</v>
      </c>
      <c r="AW666" s="14">
        <f t="shared" si="224"/>
        <v>1102010</v>
      </c>
      <c r="AX666" s="13" t="s">
        <v>1127</v>
      </c>
      <c r="AY666" s="13">
        <f t="shared" si="225"/>
        <v>3</v>
      </c>
      <c r="AZ666" s="13" t="s">
        <v>1148</v>
      </c>
      <c r="BA666" s="14">
        <f t="shared" si="226"/>
        <v>2</v>
      </c>
      <c r="BB666" s="14" t="str">
        <f t="shared" si="227"/>
        <v>张郃魂珠-3 等级-2</v>
      </c>
      <c r="BC666" s="25" t="s">
        <v>1156</v>
      </c>
      <c r="BD666" s="14">
        <f t="shared" si="228"/>
        <v>162</v>
      </c>
      <c r="BE666" s="14">
        <f>SUMIFS(BD$4:BD666,$AU$4:$AU666,"="&amp;$AU666,$AY$4:$AY666,"="&amp;$AY666)</f>
        <v>270</v>
      </c>
      <c r="BF666" s="25" t="s">
        <v>1157</v>
      </c>
      <c r="BG666" s="14">
        <f t="shared" si="229"/>
        <v>66</v>
      </c>
      <c r="BH666" s="14">
        <f>SUMIFS(BG$4:BG666,AU$4:AU666,"="&amp;AU666,AY$4:AY666,"="&amp;AY666)</f>
        <v>110</v>
      </c>
      <c r="BI666" s="25" t="s">
        <v>1158</v>
      </c>
      <c r="BJ666" s="14">
        <f t="shared" si="230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2"/>
        <v>9</v>
      </c>
      <c r="AV667" s="14">
        <f t="shared" si="223"/>
        <v>201003</v>
      </c>
      <c r="AW667" s="14">
        <f t="shared" si="224"/>
        <v>1102010</v>
      </c>
      <c r="AX667" s="13" t="s">
        <v>1127</v>
      </c>
      <c r="AY667" s="13">
        <f t="shared" si="225"/>
        <v>3</v>
      </c>
      <c r="AZ667" s="13" t="s">
        <v>1148</v>
      </c>
      <c r="BA667" s="14">
        <f t="shared" si="226"/>
        <v>3</v>
      </c>
      <c r="BB667" s="14" t="str">
        <f t="shared" si="227"/>
        <v>张郃魂珠-3 等级-3</v>
      </c>
      <c r="BC667" s="25" t="s">
        <v>1156</v>
      </c>
      <c r="BD667" s="14">
        <f t="shared" si="228"/>
        <v>216</v>
      </c>
      <c r="BE667" s="14">
        <f>SUMIFS(BD$4:BD667,$AU$4:$AU667,"="&amp;$AU667,$AY$4:$AY667,"="&amp;$AY667)</f>
        <v>486</v>
      </c>
      <c r="BF667" s="25" t="s">
        <v>1157</v>
      </c>
      <c r="BG667" s="14">
        <f t="shared" si="229"/>
        <v>88</v>
      </c>
      <c r="BH667" s="14">
        <f>SUMIFS(BG$4:BG667,AU$4:AU667,"="&amp;AU667,AY$4:AY667,"="&amp;AY667)</f>
        <v>198</v>
      </c>
      <c r="BI667" s="25" t="s">
        <v>1158</v>
      </c>
      <c r="BJ667" s="14">
        <f t="shared" si="230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2"/>
        <v>9</v>
      </c>
      <c r="AV668" s="14">
        <f t="shared" si="223"/>
        <v>201003</v>
      </c>
      <c r="AW668" s="14">
        <f t="shared" si="224"/>
        <v>1102010</v>
      </c>
      <c r="AX668" s="13" t="s">
        <v>1127</v>
      </c>
      <c r="AY668" s="13">
        <f t="shared" si="225"/>
        <v>3</v>
      </c>
      <c r="AZ668" s="13" t="s">
        <v>1148</v>
      </c>
      <c r="BA668" s="14">
        <f t="shared" si="226"/>
        <v>4</v>
      </c>
      <c r="BB668" s="14" t="str">
        <f t="shared" si="227"/>
        <v>张郃魂珠-3 等级-4</v>
      </c>
      <c r="BC668" s="25" t="s">
        <v>1156</v>
      </c>
      <c r="BD668" s="14">
        <f t="shared" si="228"/>
        <v>324</v>
      </c>
      <c r="BE668" s="14">
        <f>SUMIFS(BD$4:BD668,$AU$4:$AU668,"="&amp;$AU668,$AY$4:$AY668,"="&amp;$AY668)</f>
        <v>810</v>
      </c>
      <c r="BF668" s="25" t="s">
        <v>1157</v>
      </c>
      <c r="BG668" s="14">
        <f t="shared" si="229"/>
        <v>132</v>
      </c>
      <c r="BH668" s="14">
        <f>SUMIFS(BG$4:BG668,AU$4:AU668,"="&amp;AU668,AY$4:AY668,"="&amp;AY668)</f>
        <v>330</v>
      </c>
      <c r="BI668" s="25" t="s">
        <v>1158</v>
      </c>
      <c r="BJ668" s="14">
        <f t="shared" si="230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2"/>
        <v>9</v>
      </c>
      <c r="AV669" s="14">
        <f t="shared" si="223"/>
        <v>201003</v>
      </c>
      <c r="AW669" s="14">
        <f t="shared" si="224"/>
        <v>1102010</v>
      </c>
      <c r="AX669" s="13" t="s">
        <v>1127</v>
      </c>
      <c r="AY669" s="13">
        <f t="shared" si="225"/>
        <v>3</v>
      </c>
      <c r="AZ669" s="13" t="s">
        <v>1148</v>
      </c>
      <c r="BA669" s="14">
        <f t="shared" si="226"/>
        <v>5</v>
      </c>
      <c r="BB669" s="14" t="str">
        <f t="shared" si="227"/>
        <v>张郃魂珠-3 等级-5</v>
      </c>
      <c r="BC669" s="25" t="s">
        <v>1156</v>
      </c>
      <c r="BD669" s="14">
        <f t="shared" si="228"/>
        <v>432</v>
      </c>
      <c r="BE669" s="14">
        <f>SUMIFS(BD$4:BD669,$AU$4:$AU669,"="&amp;$AU669,$AY$4:$AY669,"="&amp;$AY669)</f>
        <v>1242</v>
      </c>
      <c r="BF669" s="25" t="s">
        <v>1157</v>
      </c>
      <c r="BG669" s="14">
        <f t="shared" si="229"/>
        <v>176</v>
      </c>
      <c r="BH669" s="14">
        <f>SUMIFS(BG$4:BG669,AU$4:AU669,"="&amp;AU669,AY$4:AY669,"="&amp;AY669)</f>
        <v>506</v>
      </c>
      <c r="BI669" s="25" t="s">
        <v>1158</v>
      </c>
      <c r="BJ669" s="14">
        <f t="shared" si="230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2"/>
        <v>9</v>
      </c>
      <c r="AV670" s="14">
        <f t="shared" si="223"/>
        <v>201003</v>
      </c>
      <c r="AW670" s="14">
        <f t="shared" si="224"/>
        <v>1102010</v>
      </c>
      <c r="AX670" s="13" t="s">
        <v>1127</v>
      </c>
      <c r="AY670" s="13">
        <f t="shared" si="225"/>
        <v>3</v>
      </c>
      <c r="AZ670" s="13" t="s">
        <v>1148</v>
      </c>
      <c r="BA670" s="14">
        <f t="shared" si="226"/>
        <v>6</v>
      </c>
      <c r="BB670" s="14" t="str">
        <f t="shared" si="227"/>
        <v>张郃魂珠-3 等级-6</v>
      </c>
      <c r="BC670" s="25" t="s">
        <v>1156</v>
      </c>
      <c r="BD670" s="14">
        <f t="shared" si="228"/>
        <v>540</v>
      </c>
      <c r="BE670" s="14">
        <f>SUMIFS(BD$4:BD670,$AU$4:$AU670,"="&amp;$AU670,$AY$4:$AY670,"="&amp;$AY670)</f>
        <v>1782</v>
      </c>
      <c r="BF670" s="25" t="s">
        <v>1157</v>
      </c>
      <c r="BG670" s="14">
        <f t="shared" si="229"/>
        <v>220</v>
      </c>
      <c r="BH670" s="14">
        <f>SUMIFS(BG$4:BG670,AU$4:AU670,"="&amp;AU670,AY$4:AY670,"="&amp;AY670)</f>
        <v>726</v>
      </c>
      <c r="BI670" s="25" t="s">
        <v>1158</v>
      </c>
      <c r="BJ670" s="14">
        <f t="shared" si="230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2"/>
        <v>9</v>
      </c>
      <c r="AV671" s="14">
        <f t="shared" si="223"/>
        <v>201003</v>
      </c>
      <c r="AW671" s="14">
        <f t="shared" si="224"/>
        <v>1102010</v>
      </c>
      <c r="AX671" s="13" t="s">
        <v>1127</v>
      </c>
      <c r="AY671" s="13">
        <f t="shared" si="225"/>
        <v>3</v>
      </c>
      <c r="AZ671" s="13" t="s">
        <v>1148</v>
      </c>
      <c r="BA671" s="14">
        <f t="shared" si="226"/>
        <v>7</v>
      </c>
      <c r="BB671" s="14" t="str">
        <f t="shared" si="227"/>
        <v>张郃魂珠-3 等级-7</v>
      </c>
      <c r="BC671" s="25" t="s">
        <v>1156</v>
      </c>
      <c r="BD671" s="14">
        <f t="shared" si="228"/>
        <v>648</v>
      </c>
      <c r="BE671" s="14">
        <f>SUMIFS(BD$4:BD671,$AU$4:$AU671,"="&amp;$AU671,$AY$4:$AY671,"="&amp;$AY671)</f>
        <v>2430</v>
      </c>
      <c r="BF671" s="25" t="s">
        <v>1157</v>
      </c>
      <c r="BG671" s="14">
        <f t="shared" si="229"/>
        <v>264</v>
      </c>
      <c r="BH671" s="14">
        <f>SUMIFS(BG$4:BG671,AU$4:AU671,"="&amp;AU671,AY$4:AY671,"="&amp;AY671)</f>
        <v>990</v>
      </c>
      <c r="BI671" s="25" t="s">
        <v>1158</v>
      </c>
      <c r="BJ671" s="14">
        <f t="shared" si="230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2"/>
        <v>9</v>
      </c>
      <c r="AV672" s="14">
        <f t="shared" si="223"/>
        <v>201003</v>
      </c>
      <c r="AW672" s="14">
        <f t="shared" si="224"/>
        <v>1102010</v>
      </c>
      <c r="AX672" s="13" t="s">
        <v>1127</v>
      </c>
      <c r="AY672" s="13">
        <f t="shared" si="225"/>
        <v>3</v>
      </c>
      <c r="AZ672" s="13" t="s">
        <v>1148</v>
      </c>
      <c r="BA672" s="14">
        <f t="shared" si="226"/>
        <v>8</v>
      </c>
      <c r="BB672" s="14" t="str">
        <f t="shared" si="227"/>
        <v>张郃魂珠-3 等级-8</v>
      </c>
      <c r="BC672" s="25" t="s">
        <v>1156</v>
      </c>
      <c r="BD672" s="14">
        <f t="shared" si="228"/>
        <v>756</v>
      </c>
      <c r="BE672" s="14">
        <f>SUMIFS(BD$4:BD672,$AU$4:$AU672,"="&amp;$AU672,$AY$4:$AY672,"="&amp;$AY672)</f>
        <v>3186</v>
      </c>
      <c r="BF672" s="25" t="s">
        <v>1157</v>
      </c>
      <c r="BG672" s="14">
        <f t="shared" si="229"/>
        <v>308</v>
      </c>
      <c r="BH672" s="14">
        <f>SUMIFS(BG$4:BG672,AU$4:AU672,"="&amp;AU672,AY$4:AY672,"="&amp;AY672)</f>
        <v>1298</v>
      </c>
      <c r="BI672" s="25" t="s">
        <v>1158</v>
      </c>
      <c r="BJ672" s="14">
        <f t="shared" si="230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2"/>
        <v>9</v>
      </c>
      <c r="AV673" s="14">
        <f t="shared" si="223"/>
        <v>201003</v>
      </c>
      <c r="AW673" s="14">
        <f t="shared" si="224"/>
        <v>1102010</v>
      </c>
      <c r="AX673" s="13" t="s">
        <v>1127</v>
      </c>
      <c r="AY673" s="13">
        <f t="shared" si="225"/>
        <v>3</v>
      </c>
      <c r="AZ673" s="13" t="s">
        <v>1148</v>
      </c>
      <c r="BA673" s="14">
        <f t="shared" si="226"/>
        <v>9</v>
      </c>
      <c r="BB673" s="14" t="str">
        <f t="shared" si="227"/>
        <v>张郃魂珠-3 等级-9</v>
      </c>
      <c r="BC673" s="25" t="s">
        <v>1156</v>
      </c>
      <c r="BD673" s="14">
        <f t="shared" si="228"/>
        <v>864</v>
      </c>
      <c r="BE673" s="14">
        <f>SUMIFS(BD$4:BD673,$AU$4:$AU673,"="&amp;$AU673,$AY$4:$AY673,"="&amp;$AY673)</f>
        <v>4050</v>
      </c>
      <c r="BF673" s="25" t="s">
        <v>1157</v>
      </c>
      <c r="BG673" s="14">
        <f t="shared" si="229"/>
        <v>352</v>
      </c>
      <c r="BH673" s="14">
        <f>SUMIFS(BG$4:BG673,AU$4:AU673,"="&amp;AU673,AY$4:AY673,"="&amp;AY673)</f>
        <v>1650</v>
      </c>
      <c r="BI673" s="25" t="s">
        <v>1158</v>
      </c>
      <c r="BJ673" s="14">
        <f t="shared" si="230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2"/>
        <v>9</v>
      </c>
      <c r="AV674" s="14">
        <f t="shared" si="223"/>
        <v>201004</v>
      </c>
      <c r="AW674" s="14">
        <f t="shared" si="224"/>
        <v>1102010</v>
      </c>
      <c r="AX674" s="13" t="s">
        <v>1127</v>
      </c>
      <c r="AY674" s="13">
        <f t="shared" si="225"/>
        <v>4</v>
      </c>
      <c r="AZ674" s="13" t="s">
        <v>1148</v>
      </c>
      <c r="BA674" s="14">
        <f t="shared" si="226"/>
        <v>0</v>
      </c>
      <c r="BB674" s="14" t="str">
        <f t="shared" si="227"/>
        <v>张郃魂珠-4 等级-0</v>
      </c>
      <c r="BC674" s="25" t="s">
        <v>1156</v>
      </c>
      <c r="BD674" s="14">
        <f t="shared" si="228"/>
        <v>0</v>
      </c>
      <c r="BE674" s="14">
        <f>SUMIFS(BD$4:BD674,$AU$4:$AU674,"="&amp;$AU674,$AY$4:$AY674,"="&amp;$AY674)</f>
        <v>0</v>
      </c>
      <c r="BF674" s="25" t="s">
        <v>1157</v>
      </c>
      <c r="BG674" s="14">
        <f t="shared" si="229"/>
        <v>0</v>
      </c>
      <c r="BH674" s="14">
        <f>SUMIFS(BG$4:BG674,AU$4:AU674,"="&amp;AU674,AY$4:AY674,"="&amp;AY674)</f>
        <v>0</v>
      </c>
      <c r="BI674" s="25" t="s">
        <v>1158</v>
      </c>
      <c r="BJ674" s="14">
        <f t="shared" si="230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2"/>
        <v>9</v>
      </c>
      <c r="AV675" s="14">
        <f t="shared" si="223"/>
        <v>201004</v>
      </c>
      <c r="AW675" s="14">
        <f t="shared" si="224"/>
        <v>1102010</v>
      </c>
      <c r="AX675" s="13" t="s">
        <v>1127</v>
      </c>
      <c r="AY675" s="13">
        <f t="shared" si="225"/>
        <v>4</v>
      </c>
      <c r="AZ675" s="13" t="s">
        <v>1148</v>
      </c>
      <c r="BA675" s="14">
        <f t="shared" si="226"/>
        <v>1</v>
      </c>
      <c r="BB675" s="14" t="str">
        <f t="shared" si="227"/>
        <v>张郃魂珠-4 等级-1</v>
      </c>
      <c r="BC675" s="25" t="s">
        <v>1156</v>
      </c>
      <c r="BD675" s="14">
        <f t="shared" si="228"/>
        <v>135</v>
      </c>
      <c r="BE675" s="14">
        <f>SUMIFS(BD$4:BD675,$AU$4:$AU675,"="&amp;$AU675,$AY$4:$AY675,"="&amp;$AY675)</f>
        <v>135</v>
      </c>
      <c r="BF675" s="25" t="s">
        <v>1157</v>
      </c>
      <c r="BG675" s="14">
        <f t="shared" si="229"/>
        <v>55</v>
      </c>
      <c r="BH675" s="14">
        <f>SUMIFS(BG$4:BG675,AU$4:AU675,"="&amp;AU675,AY$4:AY675,"="&amp;AY675)</f>
        <v>55</v>
      </c>
      <c r="BI675" s="25" t="s">
        <v>1158</v>
      </c>
      <c r="BJ675" s="14">
        <f t="shared" si="230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2"/>
        <v>9</v>
      </c>
      <c r="AV676" s="14">
        <f t="shared" si="223"/>
        <v>201004</v>
      </c>
      <c r="AW676" s="14">
        <f t="shared" si="224"/>
        <v>1102010</v>
      </c>
      <c r="AX676" s="13" t="s">
        <v>1127</v>
      </c>
      <c r="AY676" s="13">
        <f t="shared" si="225"/>
        <v>4</v>
      </c>
      <c r="AZ676" s="13" t="s">
        <v>1148</v>
      </c>
      <c r="BA676" s="14">
        <f t="shared" si="226"/>
        <v>2</v>
      </c>
      <c r="BB676" s="14" t="str">
        <f t="shared" si="227"/>
        <v>张郃魂珠-4 等级-2</v>
      </c>
      <c r="BC676" s="25" t="s">
        <v>1156</v>
      </c>
      <c r="BD676" s="14">
        <f t="shared" si="228"/>
        <v>216</v>
      </c>
      <c r="BE676" s="14">
        <f>SUMIFS(BD$4:BD676,$AU$4:$AU676,"="&amp;$AU676,$AY$4:$AY676,"="&amp;$AY676)</f>
        <v>351</v>
      </c>
      <c r="BF676" s="25" t="s">
        <v>1157</v>
      </c>
      <c r="BG676" s="14">
        <f t="shared" si="229"/>
        <v>88</v>
      </c>
      <c r="BH676" s="14">
        <f>SUMIFS(BG$4:BG676,AU$4:AU676,"="&amp;AU676,AY$4:AY676,"="&amp;AY676)</f>
        <v>143</v>
      </c>
      <c r="BI676" s="25" t="s">
        <v>1158</v>
      </c>
      <c r="BJ676" s="14">
        <f t="shared" si="230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2"/>
        <v>9</v>
      </c>
      <c r="AV677" s="14">
        <f t="shared" si="223"/>
        <v>201004</v>
      </c>
      <c r="AW677" s="14">
        <f t="shared" si="224"/>
        <v>1102010</v>
      </c>
      <c r="AX677" s="13" t="s">
        <v>1127</v>
      </c>
      <c r="AY677" s="13">
        <f t="shared" si="225"/>
        <v>4</v>
      </c>
      <c r="AZ677" s="13" t="s">
        <v>1148</v>
      </c>
      <c r="BA677" s="14">
        <f t="shared" si="226"/>
        <v>3</v>
      </c>
      <c r="BB677" s="14" t="str">
        <f t="shared" si="227"/>
        <v>张郃魂珠-4 等级-3</v>
      </c>
      <c r="BC677" s="25" t="s">
        <v>1156</v>
      </c>
      <c r="BD677" s="14">
        <f t="shared" si="228"/>
        <v>297</v>
      </c>
      <c r="BE677" s="14">
        <f>SUMIFS(BD$4:BD677,$AU$4:$AU677,"="&amp;$AU677,$AY$4:$AY677,"="&amp;$AY677)</f>
        <v>648</v>
      </c>
      <c r="BF677" s="25" t="s">
        <v>1157</v>
      </c>
      <c r="BG677" s="14">
        <f t="shared" si="229"/>
        <v>121</v>
      </c>
      <c r="BH677" s="14">
        <f>SUMIFS(BG$4:BG677,AU$4:AU677,"="&amp;AU677,AY$4:AY677,"="&amp;AY677)</f>
        <v>264</v>
      </c>
      <c r="BI677" s="25" t="s">
        <v>1158</v>
      </c>
      <c r="BJ677" s="14">
        <f t="shared" si="230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2"/>
        <v>9</v>
      </c>
      <c r="AV678" s="14">
        <f t="shared" si="223"/>
        <v>201004</v>
      </c>
      <c r="AW678" s="14">
        <f t="shared" si="224"/>
        <v>1102010</v>
      </c>
      <c r="AX678" s="13" t="s">
        <v>1127</v>
      </c>
      <c r="AY678" s="13">
        <f t="shared" si="225"/>
        <v>4</v>
      </c>
      <c r="AZ678" s="13" t="s">
        <v>1148</v>
      </c>
      <c r="BA678" s="14">
        <f t="shared" si="226"/>
        <v>4</v>
      </c>
      <c r="BB678" s="14" t="str">
        <f t="shared" si="227"/>
        <v>张郃魂珠-4 等级-4</v>
      </c>
      <c r="BC678" s="25" t="s">
        <v>1156</v>
      </c>
      <c r="BD678" s="14">
        <f t="shared" si="228"/>
        <v>432</v>
      </c>
      <c r="BE678" s="14">
        <f>SUMIFS(BD$4:BD678,$AU$4:$AU678,"="&amp;$AU678,$AY$4:$AY678,"="&amp;$AY678)</f>
        <v>1080</v>
      </c>
      <c r="BF678" s="25" t="s">
        <v>1157</v>
      </c>
      <c r="BG678" s="14">
        <f t="shared" si="229"/>
        <v>176</v>
      </c>
      <c r="BH678" s="14">
        <f>SUMIFS(BG$4:BG678,AU$4:AU678,"="&amp;AU678,AY$4:AY678,"="&amp;AY678)</f>
        <v>440</v>
      </c>
      <c r="BI678" s="25" t="s">
        <v>1158</v>
      </c>
      <c r="BJ678" s="14">
        <f t="shared" si="230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2"/>
        <v>9</v>
      </c>
      <c r="AV679" s="14">
        <f t="shared" si="223"/>
        <v>201004</v>
      </c>
      <c r="AW679" s="14">
        <f t="shared" si="224"/>
        <v>1102010</v>
      </c>
      <c r="AX679" s="13" t="s">
        <v>1127</v>
      </c>
      <c r="AY679" s="13">
        <f t="shared" si="225"/>
        <v>4</v>
      </c>
      <c r="AZ679" s="13" t="s">
        <v>1148</v>
      </c>
      <c r="BA679" s="14">
        <f t="shared" si="226"/>
        <v>5</v>
      </c>
      <c r="BB679" s="14" t="str">
        <f t="shared" si="227"/>
        <v>张郃魂珠-4 等级-5</v>
      </c>
      <c r="BC679" s="25" t="s">
        <v>1156</v>
      </c>
      <c r="BD679" s="14">
        <f t="shared" si="228"/>
        <v>567</v>
      </c>
      <c r="BE679" s="14">
        <f>SUMIFS(BD$4:BD679,$AU$4:$AU679,"="&amp;$AU679,$AY$4:$AY679,"="&amp;$AY679)</f>
        <v>1647</v>
      </c>
      <c r="BF679" s="25" t="s">
        <v>1157</v>
      </c>
      <c r="BG679" s="14">
        <f t="shared" si="229"/>
        <v>231</v>
      </c>
      <c r="BH679" s="14">
        <f>SUMIFS(BG$4:BG679,AU$4:AU679,"="&amp;AU679,AY$4:AY679,"="&amp;AY679)</f>
        <v>671</v>
      </c>
      <c r="BI679" s="25" t="s">
        <v>1158</v>
      </c>
      <c r="BJ679" s="14">
        <f t="shared" si="230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2"/>
        <v>9</v>
      </c>
      <c r="AV680" s="14">
        <f t="shared" si="223"/>
        <v>201004</v>
      </c>
      <c r="AW680" s="14">
        <f t="shared" si="224"/>
        <v>1102010</v>
      </c>
      <c r="AX680" s="13" t="s">
        <v>1127</v>
      </c>
      <c r="AY680" s="13">
        <f t="shared" si="225"/>
        <v>4</v>
      </c>
      <c r="AZ680" s="13" t="s">
        <v>1148</v>
      </c>
      <c r="BA680" s="14">
        <f t="shared" si="226"/>
        <v>6</v>
      </c>
      <c r="BB680" s="14" t="str">
        <f t="shared" si="227"/>
        <v>张郃魂珠-4 等级-6</v>
      </c>
      <c r="BC680" s="25" t="s">
        <v>1156</v>
      </c>
      <c r="BD680" s="14">
        <f t="shared" si="228"/>
        <v>743</v>
      </c>
      <c r="BE680" s="14">
        <f>SUMIFS(BD$4:BD680,$AU$4:$AU680,"="&amp;$AU680,$AY$4:$AY680,"="&amp;$AY680)</f>
        <v>2390</v>
      </c>
      <c r="BF680" s="25" t="s">
        <v>1157</v>
      </c>
      <c r="BG680" s="14">
        <f t="shared" si="229"/>
        <v>303</v>
      </c>
      <c r="BH680" s="14">
        <f>SUMIFS(BG$4:BG680,AU$4:AU680,"="&amp;AU680,AY$4:AY680,"="&amp;AY680)</f>
        <v>974</v>
      </c>
      <c r="BI680" s="25" t="s">
        <v>1158</v>
      </c>
      <c r="BJ680" s="14">
        <f t="shared" si="230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2"/>
        <v>9</v>
      </c>
      <c r="AV681" s="14">
        <f t="shared" si="223"/>
        <v>201004</v>
      </c>
      <c r="AW681" s="14">
        <f t="shared" si="224"/>
        <v>1102010</v>
      </c>
      <c r="AX681" s="13" t="s">
        <v>1127</v>
      </c>
      <c r="AY681" s="13">
        <f t="shared" si="225"/>
        <v>4</v>
      </c>
      <c r="AZ681" s="13" t="s">
        <v>1148</v>
      </c>
      <c r="BA681" s="14">
        <f t="shared" si="226"/>
        <v>7</v>
      </c>
      <c r="BB681" s="14" t="str">
        <f t="shared" si="227"/>
        <v>张郃魂珠-4 等级-7</v>
      </c>
      <c r="BC681" s="25" t="s">
        <v>1156</v>
      </c>
      <c r="BD681" s="14">
        <f t="shared" si="228"/>
        <v>878</v>
      </c>
      <c r="BE681" s="14">
        <f>SUMIFS(BD$4:BD681,$AU$4:$AU681,"="&amp;$AU681,$AY$4:$AY681,"="&amp;$AY681)</f>
        <v>3268</v>
      </c>
      <c r="BF681" s="25" t="s">
        <v>1157</v>
      </c>
      <c r="BG681" s="14">
        <f t="shared" si="229"/>
        <v>358</v>
      </c>
      <c r="BH681" s="14">
        <f>SUMIFS(BG$4:BG681,AU$4:AU681,"="&amp;AU681,AY$4:AY681,"="&amp;AY681)</f>
        <v>1332</v>
      </c>
      <c r="BI681" s="25" t="s">
        <v>1158</v>
      </c>
      <c r="BJ681" s="14">
        <f t="shared" si="230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2"/>
        <v>9</v>
      </c>
      <c r="AV682" s="14">
        <f t="shared" si="223"/>
        <v>201004</v>
      </c>
      <c r="AW682" s="14">
        <f t="shared" si="224"/>
        <v>1102010</v>
      </c>
      <c r="AX682" s="13" t="s">
        <v>1127</v>
      </c>
      <c r="AY682" s="13">
        <f t="shared" si="225"/>
        <v>4</v>
      </c>
      <c r="AZ682" s="13" t="s">
        <v>1148</v>
      </c>
      <c r="BA682" s="14">
        <f t="shared" si="226"/>
        <v>8</v>
      </c>
      <c r="BB682" s="14" t="str">
        <f t="shared" si="227"/>
        <v>张郃魂珠-4 等级-8</v>
      </c>
      <c r="BC682" s="25" t="s">
        <v>1156</v>
      </c>
      <c r="BD682" s="14">
        <f t="shared" si="228"/>
        <v>1013</v>
      </c>
      <c r="BE682" s="14">
        <f>SUMIFS(BD$4:BD682,$AU$4:$AU682,"="&amp;$AU682,$AY$4:$AY682,"="&amp;$AY682)</f>
        <v>4281</v>
      </c>
      <c r="BF682" s="25" t="s">
        <v>1157</v>
      </c>
      <c r="BG682" s="14">
        <f t="shared" si="229"/>
        <v>413</v>
      </c>
      <c r="BH682" s="14">
        <f>SUMIFS(BG$4:BG682,AU$4:AU682,"="&amp;AU682,AY$4:AY682,"="&amp;AY682)</f>
        <v>1745</v>
      </c>
      <c r="BI682" s="25" t="s">
        <v>1158</v>
      </c>
      <c r="BJ682" s="14">
        <f t="shared" si="230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2"/>
        <v>9</v>
      </c>
      <c r="AV683" s="14">
        <f t="shared" si="223"/>
        <v>201004</v>
      </c>
      <c r="AW683" s="14">
        <f t="shared" si="224"/>
        <v>1102010</v>
      </c>
      <c r="AX683" s="13" t="s">
        <v>1127</v>
      </c>
      <c r="AY683" s="13">
        <f t="shared" si="225"/>
        <v>4</v>
      </c>
      <c r="AZ683" s="13" t="s">
        <v>1148</v>
      </c>
      <c r="BA683" s="14">
        <f t="shared" si="226"/>
        <v>9</v>
      </c>
      <c r="BB683" s="14" t="str">
        <f t="shared" si="227"/>
        <v>张郃魂珠-4 等级-9</v>
      </c>
      <c r="BC683" s="25" t="s">
        <v>1156</v>
      </c>
      <c r="BD683" s="14">
        <f t="shared" si="228"/>
        <v>1148</v>
      </c>
      <c r="BE683" s="14">
        <f>SUMIFS(BD$4:BD683,$AU$4:$AU683,"="&amp;$AU683,$AY$4:$AY683,"="&amp;$AY683)</f>
        <v>5429</v>
      </c>
      <c r="BF683" s="25" t="s">
        <v>1157</v>
      </c>
      <c r="BG683" s="14">
        <f t="shared" si="229"/>
        <v>468</v>
      </c>
      <c r="BH683" s="14">
        <f>SUMIFS(BG$4:BG683,AU$4:AU683,"="&amp;AU683,AY$4:AY683,"="&amp;AY683)</f>
        <v>2213</v>
      </c>
      <c r="BI683" s="25" t="s">
        <v>1158</v>
      </c>
      <c r="BJ683" s="14">
        <f t="shared" si="230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2"/>
        <v>9</v>
      </c>
      <c r="AV684" s="14">
        <f t="shared" si="223"/>
        <v>201005</v>
      </c>
      <c r="AW684" s="14">
        <f t="shared" si="224"/>
        <v>1102010</v>
      </c>
      <c r="AX684" s="13" t="s">
        <v>1127</v>
      </c>
      <c r="AY684" s="13">
        <f t="shared" si="225"/>
        <v>5</v>
      </c>
      <c r="AZ684" s="13" t="s">
        <v>1148</v>
      </c>
      <c r="BA684" s="14">
        <f t="shared" si="226"/>
        <v>0</v>
      </c>
      <c r="BB684" s="14" t="str">
        <f t="shared" si="227"/>
        <v>张郃魂珠-5 等级-0</v>
      </c>
      <c r="BC684" s="25" t="s">
        <v>1156</v>
      </c>
      <c r="BD684" s="14">
        <f t="shared" si="228"/>
        <v>0</v>
      </c>
      <c r="BE684" s="14">
        <f>SUMIFS(BD$4:BD684,$AU$4:$AU684,"="&amp;$AU684,$AY$4:$AY684,"="&amp;$AY684)</f>
        <v>0</v>
      </c>
      <c r="BF684" s="25" t="s">
        <v>1157</v>
      </c>
      <c r="BG684" s="14">
        <f t="shared" si="229"/>
        <v>0</v>
      </c>
      <c r="BH684" s="14">
        <f>SUMIFS(BG$4:BG684,AU$4:AU684,"="&amp;AU684,AY$4:AY684,"="&amp;AY684)</f>
        <v>0</v>
      </c>
      <c r="BI684" s="25" t="s">
        <v>1158</v>
      </c>
      <c r="BJ684" s="14">
        <f t="shared" si="230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2"/>
        <v>9</v>
      </c>
      <c r="AV685" s="14">
        <f t="shared" si="223"/>
        <v>201005</v>
      </c>
      <c r="AW685" s="14">
        <f t="shared" si="224"/>
        <v>1102010</v>
      </c>
      <c r="AX685" s="13" t="s">
        <v>1127</v>
      </c>
      <c r="AY685" s="13">
        <f t="shared" si="225"/>
        <v>5</v>
      </c>
      <c r="AZ685" s="13" t="s">
        <v>1148</v>
      </c>
      <c r="BA685" s="14">
        <f t="shared" si="226"/>
        <v>1</v>
      </c>
      <c r="BB685" s="14" t="str">
        <f t="shared" si="227"/>
        <v>张郃魂珠-5 等级-1</v>
      </c>
      <c r="BC685" s="25" t="s">
        <v>1156</v>
      </c>
      <c r="BD685" s="14">
        <f t="shared" si="228"/>
        <v>189</v>
      </c>
      <c r="BE685" s="14">
        <f>SUMIFS(BD$4:BD685,$AU$4:$AU685,"="&amp;$AU685,$AY$4:$AY685,"="&amp;$AY685)</f>
        <v>189</v>
      </c>
      <c r="BF685" s="25" t="s">
        <v>1157</v>
      </c>
      <c r="BG685" s="14">
        <f t="shared" si="229"/>
        <v>77</v>
      </c>
      <c r="BH685" s="14">
        <f>SUMIFS(BG$4:BG685,AU$4:AU685,"="&amp;AU685,AY$4:AY685,"="&amp;AY685)</f>
        <v>77</v>
      </c>
      <c r="BI685" s="25" t="s">
        <v>1158</v>
      </c>
      <c r="BJ685" s="14">
        <f t="shared" si="230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2"/>
        <v>9</v>
      </c>
      <c r="AV686" s="14">
        <f t="shared" si="223"/>
        <v>201005</v>
      </c>
      <c r="AW686" s="14">
        <f t="shared" si="224"/>
        <v>1102010</v>
      </c>
      <c r="AX686" s="13" t="s">
        <v>1127</v>
      </c>
      <c r="AY686" s="13">
        <f t="shared" si="225"/>
        <v>5</v>
      </c>
      <c r="AZ686" s="13" t="s">
        <v>1148</v>
      </c>
      <c r="BA686" s="14">
        <f t="shared" si="226"/>
        <v>2</v>
      </c>
      <c r="BB686" s="14" t="str">
        <f t="shared" si="227"/>
        <v>张郃魂珠-5 等级-2</v>
      </c>
      <c r="BC686" s="25" t="s">
        <v>1156</v>
      </c>
      <c r="BD686" s="14">
        <f t="shared" si="228"/>
        <v>270</v>
      </c>
      <c r="BE686" s="14">
        <f>SUMIFS(BD$4:BD686,$AU$4:$AU686,"="&amp;$AU686,$AY$4:$AY686,"="&amp;$AY686)</f>
        <v>459</v>
      </c>
      <c r="BF686" s="25" t="s">
        <v>1157</v>
      </c>
      <c r="BG686" s="14">
        <f t="shared" si="229"/>
        <v>110</v>
      </c>
      <c r="BH686" s="14">
        <f>SUMIFS(BG$4:BG686,AU$4:AU686,"="&amp;AU686,AY$4:AY686,"="&amp;AY686)</f>
        <v>187</v>
      </c>
      <c r="BI686" s="25" t="s">
        <v>1158</v>
      </c>
      <c r="BJ686" s="14">
        <f t="shared" si="230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2"/>
        <v>9</v>
      </c>
      <c r="AV687" s="14">
        <f t="shared" si="223"/>
        <v>201005</v>
      </c>
      <c r="AW687" s="14">
        <f t="shared" si="224"/>
        <v>1102010</v>
      </c>
      <c r="AX687" s="13" t="s">
        <v>1127</v>
      </c>
      <c r="AY687" s="13">
        <f t="shared" si="225"/>
        <v>5</v>
      </c>
      <c r="AZ687" s="13" t="s">
        <v>1148</v>
      </c>
      <c r="BA687" s="14">
        <f t="shared" si="226"/>
        <v>3</v>
      </c>
      <c r="BB687" s="14" t="str">
        <f t="shared" si="227"/>
        <v>张郃魂珠-5 等级-3</v>
      </c>
      <c r="BC687" s="25" t="s">
        <v>1156</v>
      </c>
      <c r="BD687" s="14">
        <f t="shared" si="228"/>
        <v>351</v>
      </c>
      <c r="BE687" s="14">
        <f>SUMIFS(BD$4:BD687,$AU$4:$AU687,"="&amp;$AU687,$AY$4:$AY687,"="&amp;$AY687)</f>
        <v>810</v>
      </c>
      <c r="BF687" s="25" t="s">
        <v>1157</v>
      </c>
      <c r="BG687" s="14">
        <f t="shared" si="229"/>
        <v>143</v>
      </c>
      <c r="BH687" s="14">
        <f>SUMIFS(BG$4:BG687,AU$4:AU687,"="&amp;AU687,AY$4:AY687,"="&amp;AY687)</f>
        <v>330</v>
      </c>
      <c r="BI687" s="25" t="s">
        <v>1158</v>
      </c>
      <c r="BJ687" s="14">
        <f t="shared" si="230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2"/>
        <v>9</v>
      </c>
      <c r="AV688" s="14">
        <f t="shared" si="223"/>
        <v>201005</v>
      </c>
      <c r="AW688" s="14">
        <f t="shared" si="224"/>
        <v>1102010</v>
      </c>
      <c r="AX688" s="13" t="s">
        <v>1127</v>
      </c>
      <c r="AY688" s="13">
        <f t="shared" si="225"/>
        <v>5</v>
      </c>
      <c r="AZ688" s="13" t="s">
        <v>1148</v>
      </c>
      <c r="BA688" s="14">
        <f t="shared" si="226"/>
        <v>4</v>
      </c>
      <c r="BB688" s="14" t="str">
        <f t="shared" si="227"/>
        <v>张郃魂珠-5 等级-4</v>
      </c>
      <c r="BC688" s="25" t="s">
        <v>1156</v>
      </c>
      <c r="BD688" s="14">
        <f t="shared" si="228"/>
        <v>540</v>
      </c>
      <c r="BE688" s="14">
        <f>SUMIFS(BD$4:BD688,$AU$4:$AU688,"="&amp;$AU688,$AY$4:$AY688,"="&amp;$AY688)</f>
        <v>1350</v>
      </c>
      <c r="BF688" s="25" t="s">
        <v>1157</v>
      </c>
      <c r="BG688" s="14">
        <f t="shared" si="229"/>
        <v>220</v>
      </c>
      <c r="BH688" s="14">
        <f>SUMIFS(BG$4:BG688,AU$4:AU688,"="&amp;AU688,AY$4:AY688,"="&amp;AY688)</f>
        <v>550</v>
      </c>
      <c r="BI688" s="25" t="s">
        <v>1158</v>
      </c>
      <c r="BJ688" s="14">
        <f t="shared" si="230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2"/>
        <v>9</v>
      </c>
      <c r="AV689" s="14">
        <f t="shared" si="223"/>
        <v>201005</v>
      </c>
      <c r="AW689" s="14">
        <f t="shared" si="224"/>
        <v>1102010</v>
      </c>
      <c r="AX689" s="13" t="s">
        <v>1127</v>
      </c>
      <c r="AY689" s="13">
        <f t="shared" si="225"/>
        <v>5</v>
      </c>
      <c r="AZ689" s="13" t="s">
        <v>1148</v>
      </c>
      <c r="BA689" s="14">
        <f t="shared" si="226"/>
        <v>5</v>
      </c>
      <c r="BB689" s="14" t="str">
        <f t="shared" si="227"/>
        <v>张郃魂珠-5 等级-5</v>
      </c>
      <c r="BC689" s="25" t="s">
        <v>1156</v>
      </c>
      <c r="BD689" s="14">
        <f t="shared" si="228"/>
        <v>702</v>
      </c>
      <c r="BE689" s="14">
        <f>SUMIFS(BD$4:BD689,$AU$4:$AU689,"="&amp;$AU689,$AY$4:$AY689,"="&amp;$AY689)</f>
        <v>2052</v>
      </c>
      <c r="BF689" s="25" t="s">
        <v>1157</v>
      </c>
      <c r="BG689" s="14">
        <f t="shared" si="229"/>
        <v>286</v>
      </c>
      <c r="BH689" s="14">
        <f>SUMIFS(BG$4:BG689,AU$4:AU689,"="&amp;AU689,AY$4:AY689,"="&amp;AY689)</f>
        <v>836</v>
      </c>
      <c r="BI689" s="25" t="s">
        <v>1158</v>
      </c>
      <c r="BJ689" s="14">
        <f t="shared" si="230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2"/>
        <v>9</v>
      </c>
      <c r="AV690" s="14">
        <f t="shared" si="223"/>
        <v>201005</v>
      </c>
      <c r="AW690" s="14">
        <f t="shared" si="224"/>
        <v>1102010</v>
      </c>
      <c r="AX690" s="13" t="s">
        <v>1127</v>
      </c>
      <c r="AY690" s="13">
        <f t="shared" si="225"/>
        <v>5</v>
      </c>
      <c r="AZ690" s="13" t="s">
        <v>1148</v>
      </c>
      <c r="BA690" s="14">
        <f t="shared" si="226"/>
        <v>6</v>
      </c>
      <c r="BB690" s="14" t="str">
        <f t="shared" si="227"/>
        <v>张郃魂珠-5 等级-6</v>
      </c>
      <c r="BC690" s="25" t="s">
        <v>1156</v>
      </c>
      <c r="BD690" s="14">
        <f t="shared" si="228"/>
        <v>878</v>
      </c>
      <c r="BE690" s="14">
        <f>SUMIFS(BD$4:BD690,$AU$4:$AU690,"="&amp;$AU690,$AY$4:$AY690,"="&amp;$AY690)</f>
        <v>2930</v>
      </c>
      <c r="BF690" s="25" t="s">
        <v>1157</v>
      </c>
      <c r="BG690" s="14">
        <f t="shared" si="229"/>
        <v>358</v>
      </c>
      <c r="BH690" s="14">
        <f>SUMIFS(BG$4:BG690,AU$4:AU690,"="&amp;AU690,AY$4:AY690,"="&amp;AY690)</f>
        <v>1194</v>
      </c>
      <c r="BI690" s="25" t="s">
        <v>1158</v>
      </c>
      <c r="BJ690" s="14">
        <f t="shared" si="230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2"/>
        <v>9</v>
      </c>
      <c r="AV691" s="14">
        <f t="shared" si="223"/>
        <v>201005</v>
      </c>
      <c r="AW691" s="14">
        <f t="shared" si="224"/>
        <v>1102010</v>
      </c>
      <c r="AX691" s="13" t="s">
        <v>1127</v>
      </c>
      <c r="AY691" s="13">
        <f t="shared" si="225"/>
        <v>5</v>
      </c>
      <c r="AZ691" s="13" t="s">
        <v>1148</v>
      </c>
      <c r="BA691" s="14">
        <f t="shared" si="226"/>
        <v>7</v>
      </c>
      <c r="BB691" s="14" t="str">
        <f t="shared" si="227"/>
        <v>张郃魂珠-5 等级-7</v>
      </c>
      <c r="BC691" s="25" t="s">
        <v>1156</v>
      </c>
      <c r="BD691" s="14">
        <f t="shared" si="228"/>
        <v>1080</v>
      </c>
      <c r="BE691" s="14">
        <f>SUMIFS(BD$4:BD691,$AU$4:$AU691,"="&amp;$AU691,$AY$4:$AY691,"="&amp;$AY691)</f>
        <v>4010</v>
      </c>
      <c r="BF691" s="25" t="s">
        <v>1157</v>
      </c>
      <c r="BG691" s="14">
        <f t="shared" si="229"/>
        <v>440</v>
      </c>
      <c r="BH691" s="14">
        <f>SUMIFS(BG$4:BG691,AU$4:AU691,"="&amp;AU691,AY$4:AY691,"="&amp;AY691)</f>
        <v>1634</v>
      </c>
      <c r="BI691" s="25" t="s">
        <v>1158</v>
      </c>
      <c r="BJ691" s="14">
        <f t="shared" si="230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2"/>
        <v>9</v>
      </c>
      <c r="AV692" s="14">
        <f t="shared" si="223"/>
        <v>201005</v>
      </c>
      <c r="AW692" s="14">
        <f t="shared" si="224"/>
        <v>1102010</v>
      </c>
      <c r="AX692" s="13" t="s">
        <v>1127</v>
      </c>
      <c r="AY692" s="13">
        <f t="shared" si="225"/>
        <v>5</v>
      </c>
      <c r="AZ692" s="13" t="s">
        <v>1148</v>
      </c>
      <c r="BA692" s="14">
        <f t="shared" si="226"/>
        <v>8</v>
      </c>
      <c r="BB692" s="14" t="str">
        <f t="shared" si="227"/>
        <v>张郃魂珠-5 等级-8</v>
      </c>
      <c r="BC692" s="25" t="s">
        <v>1156</v>
      </c>
      <c r="BD692" s="14">
        <f t="shared" si="228"/>
        <v>1283</v>
      </c>
      <c r="BE692" s="14">
        <f>SUMIFS(BD$4:BD692,$AU$4:$AU692,"="&amp;$AU692,$AY$4:$AY692,"="&amp;$AY692)</f>
        <v>5293</v>
      </c>
      <c r="BF692" s="25" t="s">
        <v>1157</v>
      </c>
      <c r="BG692" s="14">
        <f t="shared" si="229"/>
        <v>523</v>
      </c>
      <c r="BH692" s="14">
        <f>SUMIFS(BG$4:BG692,AU$4:AU692,"="&amp;AU692,AY$4:AY692,"="&amp;AY692)</f>
        <v>2157</v>
      </c>
      <c r="BI692" s="25" t="s">
        <v>1158</v>
      </c>
      <c r="BJ692" s="14">
        <f t="shared" si="230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2"/>
        <v>9</v>
      </c>
      <c r="AV693" s="14">
        <f t="shared" si="223"/>
        <v>201005</v>
      </c>
      <c r="AW693" s="14">
        <f t="shared" si="224"/>
        <v>1102010</v>
      </c>
      <c r="AX693" s="13" t="s">
        <v>1127</v>
      </c>
      <c r="AY693" s="13">
        <f t="shared" si="225"/>
        <v>5</v>
      </c>
      <c r="AZ693" s="13" t="s">
        <v>1148</v>
      </c>
      <c r="BA693" s="14">
        <f t="shared" si="226"/>
        <v>9</v>
      </c>
      <c r="BB693" s="14" t="str">
        <f t="shared" si="227"/>
        <v>张郃魂珠-5 等级-9</v>
      </c>
      <c r="BC693" s="25" t="s">
        <v>1156</v>
      </c>
      <c r="BD693" s="14">
        <f t="shared" si="228"/>
        <v>1485</v>
      </c>
      <c r="BE693" s="14">
        <f>SUMIFS(BD$4:BD693,$AU$4:$AU693,"="&amp;$AU693,$AY$4:$AY693,"="&amp;$AY693)</f>
        <v>6778</v>
      </c>
      <c r="BF693" s="25" t="s">
        <v>1157</v>
      </c>
      <c r="BG693" s="14">
        <f t="shared" si="229"/>
        <v>605</v>
      </c>
      <c r="BH693" s="14">
        <f>SUMIFS(BG$4:BG693,AU$4:AU693,"="&amp;AU693,AY$4:AY693,"="&amp;AY693)</f>
        <v>2762</v>
      </c>
      <c r="BI693" s="25" t="s">
        <v>1158</v>
      </c>
      <c r="BJ693" s="14">
        <f t="shared" si="230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2"/>
        <v>9</v>
      </c>
      <c r="AV694" s="14">
        <f t="shared" si="223"/>
        <v>201006</v>
      </c>
      <c r="AW694" s="14">
        <f t="shared" si="224"/>
        <v>1102010</v>
      </c>
      <c r="AX694" s="13" t="s">
        <v>1127</v>
      </c>
      <c r="AY694" s="13">
        <f t="shared" si="225"/>
        <v>6</v>
      </c>
      <c r="AZ694" s="13" t="s">
        <v>1148</v>
      </c>
      <c r="BA694" s="14">
        <f t="shared" si="226"/>
        <v>0</v>
      </c>
      <c r="BB694" s="14" t="str">
        <f t="shared" si="227"/>
        <v>张郃魂珠-6 等级-0</v>
      </c>
      <c r="BC694" s="25" t="s">
        <v>1156</v>
      </c>
      <c r="BD694" s="14">
        <f t="shared" si="228"/>
        <v>0</v>
      </c>
      <c r="BE694" s="14">
        <f>SUMIFS(BD$4:BD694,$AU$4:$AU694,"="&amp;$AU694,$AY$4:$AY694,"="&amp;$AY694)</f>
        <v>0</v>
      </c>
      <c r="BF694" s="25" t="s">
        <v>1157</v>
      </c>
      <c r="BG694" s="14">
        <f t="shared" si="229"/>
        <v>0</v>
      </c>
      <c r="BH694" s="14">
        <f>SUMIFS(BG$4:BG694,AU$4:AU694,"="&amp;AU694,AY$4:AY694,"="&amp;AY694)</f>
        <v>0</v>
      </c>
      <c r="BI694" s="25" t="s">
        <v>1158</v>
      </c>
      <c r="BJ694" s="14">
        <f t="shared" si="230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2"/>
        <v>9</v>
      </c>
      <c r="AV695" s="14">
        <f t="shared" si="223"/>
        <v>201006</v>
      </c>
      <c r="AW695" s="14">
        <f t="shared" si="224"/>
        <v>1102010</v>
      </c>
      <c r="AX695" s="13" t="s">
        <v>1127</v>
      </c>
      <c r="AY695" s="13">
        <f t="shared" si="225"/>
        <v>6</v>
      </c>
      <c r="AZ695" s="13" t="s">
        <v>1148</v>
      </c>
      <c r="BA695" s="14">
        <f t="shared" si="226"/>
        <v>1</v>
      </c>
      <c r="BB695" s="14" t="str">
        <f t="shared" si="227"/>
        <v>张郃魂珠-6 等级-1</v>
      </c>
      <c r="BC695" s="25" t="s">
        <v>1156</v>
      </c>
      <c r="BD695" s="14">
        <f t="shared" si="228"/>
        <v>243</v>
      </c>
      <c r="BE695" s="14">
        <f>SUMIFS(BD$4:BD695,$AU$4:$AU695,"="&amp;$AU695,$AY$4:$AY695,"="&amp;$AY695)</f>
        <v>243</v>
      </c>
      <c r="BF695" s="25" t="s">
        <v>1157</v>
      </c>
      <c r="BG695" s="14">
        <f t="shared" si="229"/>
        <v>99</v>
      </c>
      <c r="BH695" s="14">
        <f>SUMIFS(BG$4:BG695,AU$4:AU695,"="&amp;AU695,AY$4:AY695,"="&amp;AY695)</f>
        <v>99</v>
      </c>
      <c r="BI695" s="25" t="s">
        <v>1158</v>
      </c>
      <c r="BJ695" s="14">
        <f t="shared" si="230"/>
        <v>3600</v>
      </c>
      <c r="BK695" s="14">
        <f>SUMIFS(BJ$4:BJ695,$AU$4:$AU695,"="&amp;$AU695,$AY$4:$AY695,"="&amp;$AY695)</f>
        <v>3600</v>
      </c>
    </row>
    <row r="696" spans="46:63" ht="16.5" x14ac:dyDescent="0.2">
      <c r="AT696" s="13">
        <v>693</v>
      </c>
      <c r="AU696" s="13">
        <f t="shared" si="222"/>
        <v>9</v>
      </c>
      <c r="AV696" s="14">
        <f t="shared" si="223"/>
        <v>201006</v>
      </c>
      <c r="AW696" s="14">
        <f t="shared" si="224"/>
        <v>1102010</v>
      </c>
      <c r="AX696" s="13" t="s">
        <v>1127</v>
      </c>
      <c r="AY696" s="13">
        <f t="shared" si="225"/>
        <v>6</v>
      </c>
      <c r="AZ696" s="13" t="s">
        <v>1148</v>
      </c>
      <c r="BA696" s="14">
        <f t="shared" si="226"/>
        <v>2</v>
      </c>
      <c r="BB696" s="14" t="str">
        <f t="shared" si="227"/>
        <v>张郃魂珠-6 等级-2</v>
      </c>
      <c r="BC696" s="25" t="s">
        <v>1156</v>
      </c>
      <c r="BD696" s="14">
        <f t="shared" si="228"/>
        <v>378</v>
      </c>
      <c r="BE696" s="14">
        <f>SUMIFS(BD$4:BD696,$AU$4:$AU696,"="&amp;$AU696,$AY$4:$AY696,"="&amp;$AY696)</f>
        <v>621</v>
      </c>
      <c r="BF696" s="25" t="s">
        <v>1157</v>
      </c>
      <c r="BG696" s="14">
        <f t="shared" si="229"/>
        <v>154</v>
      </c>
      <c r="BH696" s="14">
        <f>SUMIFS(BG$4:BG696,AU$4:AU696,"="&amp;AU696,AY$4:AY696,"="&amp;AY696)</f>
        <v>253</v>
      </c>
      <c r="BI696" s="25" t="s">
        <v>1158</v>
      </c>
      <c r="BJ696" s="14">
        <f t="shared" si="230"/>
        <v>5600</v>
      </c>
      <c r="BK696" s="14">
        <f>SUMIFS(BJ$4:BJ696,$AU$4:$AU696,"="&amp;$AU696,$AY$4:$AY696,"="&amp;$AY696)</f>
        <v>9200</v>
      </c>
    </row>
    <row r="697" spans="46:63" ht="16.5" x14ac:dyDescent="0.2">
      <c r="AT697" s="13">
        <v>694</v>
      </c>
      <c r="AU697" s="13">
        <f t="shared" si="222"/>
        <v>9</v>
      </c>
      <c r="AV697" s="14">
        <f t="shared" si="223"/>
        <v>201006</v>
      </c>
      <c r="AW697" s="14">
        <f t="shared" si="224"/>
        <v>1102010</v>
      </c>
      <c r="AX697" s="13" t="s">
        <v>1127</v>
      </c>
      <c r="AY697" s="13">
        <f t="shared" si="225"/>
        <v>6</v>
      </c>
      <c r="AZ697" s="13" t="s">
        <v>1148</v>
      </c>
      <c r="BA697" s="14">
        <f t="shared" si="226"/>
        <v>3</v>
      </c>
      <c r="BB697" s="14" t="str">
        <f t="shared" si="227"/>
        <v>张郃魂珠-6 等级-3</v>
      </c>
      <c r="BC697" s="25" t="s">
        <v>1156</v>
      </c>
      <c r="BD697" s="14">
        <f t="shared" si="228"/>
        <v>506</v>
      </c>
      <c r="BE697" s="14">
        <f>SUMIFS(BD$4:BD697,$AU$4:$AU697,"="&amp;$AU697,$AY$4:$AY697,"="&amp;$AY697)</f>
        <v>1127</v>
      </c>
      <c r="BF697" s="25" t="s">
        <v>1157</v>
      </c>
      <c r="BG697" s="14">
        <f t="shared" si="229"/>
        <v>206</v>
      </c>
      <c r="BH697" s="14">
        <f>SUMIFS(BG$4:BG697,AU$4:AU697,"="&amp;AU697,AY$4:AY697,"="&amp;AY697)</f>
        <v>459</v>
      </c>
      <c r="BI697" s="25" t="s">
        <v>1158</v>
      </c>
      <c r="BJ697" s="14">
        <f t="shared" si="230"/>
        <v>7500</v>
      </c>
      <c r="BK697" s="14">
        <f>SUMIFS(BJ$4:BJ697,$AU$4:$AU697,"="&amp;$AU697,$AY$4:$AY697,"="&amp;$AY697)</f>
        <v>16700</v>
      </c>
    </row>
    <row r="698" spans="46:63" ht="16.5" x14ac:dyDescent="0.2">
      <c r="AT698" s="13">
        <v>695</v>
      </c>
      <c r="AU698" s="13">
        <f t="shared" si="222"/>
        <v>9</v>
      </c>
      <c r="AV698" s="14">
        <f t="shared" si="223"/>
        <v>201006</v>
      </c>
      <c r="AW698" s="14">
        <f t="shared" si="224"/>
        <v>1102010</v>
      </c>
      <c r="AX698" s="13" t="s">
        <v>1127</v>
      </c>
      <c r="AY698" s="13">
        <f t="shared" si="225"/>
        <v>6</v>
      </c>
      <c r="AZ698" s="13" t="s">
        <v>1148</v>
      </c>
      <c r="BA698" s="14">
        <f t="shared" si="226"/>
        <v>4</v>
      </c>
      <c r="BB698" s="14" t="str">
        <f t="shared" si="227"/>
        <v>张郃魂珠-6 等级-4</v>
      </c>
      <c r="BC698" s="25" t="s">
        <v>1156</v>
      </c>
      <c r="BD698" s="14">
        <f t="shared" si="228"/>
        <v>756</v>
      </c>
      <c r="BE698" s="14">
        <f>SUMIFS(BD$4:BD698,$AU$4:$AU698,"="&amp;$AU698,$AY$4:$AY698,"="&amp;$AY698)</f>
        <v>1883</v>
      </c>
      <c r="BF698" s="25" t="s">
        <v>1157</v>
      </c>
      <c r="BG698" s="14">
        <f t="shared" si="229"/>
        <v>308</v>
      </c>
      <c r="BH698" s="14">
        <f>SUMIFS(BG$4:BG698,AU$4:AU698,"="&amp;AU698,AY$4:AY698,"="&amp;AY698)</f>
        <v>767</v>
      </c>
      <c r="BI698" s="25" t="s">
        <v>1158</v>
      </c>
      <c r="BJ698" s="14">
        <f t="shared" si="230"/>
        <v>11200</v>
      </c>
      <c r="BK698" s="14">
        <f>SUMIFS(BJ$4:BJ698,$AU$4:$AU698,"="&amp;$AU698,$AY$4:$AY698,"="&amp;$AY698)</f>
        <v>27900</v>
      </c>
    </row>
    <row r="699" spans="46:63" ht="16.5" x14ac:dyDescent="0.2">
      <c r="AT699" s="13">
        <v>696</v>
      </c>
      <c r="AU699" s="13">
        <f t="shared" si="222"/>
        <v>9</v>
      </c>
      <c r="AV699" s="14">
        <f t="shared" si="223"/>
        <v>201006</v>
      </c>
      <c r="AW699" s="14">
        <f t="shared" si="224"/>
        <v>1102010</v>
      </c>
      <c r="AX699" s="13" t="s">
        <v>1127</v>
      </c>
      <c r="AY699" s="13">
        <f t="shared" si="225"/>
        <v>6</v>
      </c>
      <c r="AZ699" s="13" t="s">
        <v>1148</v>
      </c>
      <c r="BA699" s="14">
        <f t="shared" si="226"/>
        <v>5</v>
      </c>
      <c r="BB699" s="14" t="str">
        <f t="shared" si="227"/>
        <v>张郃魂珠-6 等级-5</v>
      </c>
      <c r="BC699" s="25" t="s">
        <v>1156</v>
      </c>
      <c r="BD699" s="14">
        <f t="shared" si="228"/>
        <v>1013</v>
      </c>
      <c r="BE699" s="14">
        <f>SUMIFS(BD$4:BD699,$AU$4:$AU699,"="&amp;$AU699,$AY$4:$AY699,"="&amp;$AY699)</f>
        <v>2896</v>
      </c>
      <c r="BF699" s="25" t="s">
        <v>1157</v>
      </c>
      <c r="BG699" s="14">
        <f t="shared" si="229"/>
        <v>413</v>
      </c>
      <c r="BH699" s="14">
        <f>SUMIFS(BG$4:BG699,AU$4:AU699,"="&amp;AU699,AY$4:AY699,"="&amp;AY699)</f>
        <v>1180</v>
      </c>
      <c r="BI699" s="25" t="s">
        <v>1158</v>
      </c>
      <c r="BJ699" s="14">
        <f t="shared" si="230"/>
        <v>15000</v>
      </c>
      <c r="BK699" s="14">
        <f>SUMIFS(BJ$4:BJ699,$AU$4:$AU699,"="&amp;$AU699,$AY$4:$AY699,"="&amp;$AY699)</f>
        <v>42900</v>
      </c>
    </row>
    <row r="700" spans="46:63" ht="16.5" x14ac:dyDescent="0.2">
      <c r="AT700" s="13">
        <v>697</v>
      </c>
      <c r="AU700" s="13">
        <f t="shared" si="222"/>
        <v>9</v>
      </c>
      <c r="AV700" s="14">
        <f t="shared" si="223"/>
        <v>201006</v>
      </c>
      <c r="AW700" s="14">
        <f t="shared" si="224"/>
        <v>1102010</v>
      </c>
      <c r="AX700" s="13" t="s">
        <v>1127</v>
      </c>
      <c r="AY700" s="13">
        <f t="shared" si="225"/>
        <v>6</v>
      </c>
      <c r="AZ700" s="13" t="s">
        <v>1148</v>
      </c>
      <c r="BA700" s="14">
        <f t="shared" si="226"/>
        <v>6</v>
      </c>
      <c r="BB700" s="14" t="str">
        <f t="shared" si="227"/>
        <v>张郃魂珠-6 等级-6</v>
      </c>
      <c r="BC700" s="25" t="s">
        <v>1156</v>
      </c>
      <c r="BD700" s="14">
        <f t="shared" si="228"/>
        <v>1283</v>
      </c>
      <c r="BE700" s="14">
        <f>SUMIFS(BD$4:BD700,$AU$4:$AU700,"="&amp;$AU700,$AY$4:$AY700,"="&amp;$AY700)</f>
        <v>4179</v>
      </c>
      <c r="BF700" s="25" t="s">
        <v>1157</v>
      </c>
      <c r="BG700" s="14">
        <f t="shared" si="229"/>
        <v>523</v>
      </c>
      <c r="BH700" s="14">
        <f>SUMIFS(BG$4:BG700,AU$4:AU700,"="&amp;AU700,AY$4:AY700,"="&amp;AY700)</f>
        <v>1703</v>
      </c>
      <c r="BI700" s="25" t="s">
        <v>1158</v>
      </c>
      <c r="BJ700" s="14">
        <f t="shared" si="230"/>
        <v>19000</v>
      </c>
      <c r="BK700" s="14">
        <f>SUMIFS(BJ$4:BJ700,$AU$4:$AU700,"="&amp;$AU700,$AY$4:$AY700,"="&amp;$AY700)</f>
        <v>61900</v>
      </c>
    </row>
    <row r="701" spans="46:63" ht="16.5" x14ac:dyDescent="0.2">
      <c r="AT701" s="13">
        <v>698</v>
      </c>
      <c r="AU701" s="13">
        <f t="shared" si="222"/>
        <v>9</v>
      </c>
      <c r="AV701" s="14">
        <f t="shared" si="223"/>
        <v>201006</v>
      </c>
      <c r="AW701" s="14">
        <f t="shared" si="224"/>
        <v>1102010</v>
      </c>
      <c r="AX701" s="13" t="s">
        <v>1127</v>
      </c>
      <c r="AY701" s="13">
        <f t="shared" si="225"/>
        <v>6</v>
      </c>
      <c r="AZ701" s="13" t="s">
        <v>1148</v>
      </c>
      <c r="BA701" s="14">
        <f t="shared" si="226"/>
        <v>7</v>
      </c>
      <c r="BB701" s="14" t="str">
        <f t="shared" si="227"/>
        <v>张郃魂珠-6 等级-7</v>
      </c>
      <c r="BC701" s="25" t="s">
        <v>1156</v>
      </c>
      <c r="BD701" s="14">
        <f t="shared" si="228"/>
        <v>1553</v>
      </c>
      <c r="BE701" s="14">
        <f>SUMIFS(BD$4:BD701,$AU$4:$AU701,"="&amp;$AU701,$AY$4:$AY701,"="&amp;$AY701)</f>
        <v>5732</v>
      </c>
      <c r="BF701" s="25" t="s">
        <v>1157</v>
      </c>
      <c r="BG701" s="14">
        <f t="shared" si="229"/>
        <v>633</v>
      </c>
      <c r="BH701" s="14">
        <f>SUMIFS(BG$4:BG701,AU$4:AU701,"="&amp;AU701,AY$4:AY701,"="&amp;AY701)</f>
        <v>2336</v>
      </c>
      <c r="BI701" s="25" t="s">
        <v>1158</v>
      </c>
      <c r="BJ701" s="14">
        <f t="shared" si="230"/>
        <v>23000</v>
      </c>
      <c r="BK701" s="14">
        <f>SUMIFS(BJ$4:BJ701,$AU$4:$AU701,"="&amp;$AU701,$AY$4:$AY701,"="&amp;$AY701)</f>
        <v>84900</v>
      </c>
    </row>
    <row r="702" spans="46:63" ht="16.5" x14ac:dyDescent="0.2">
      <c r="AT702" s="13">
        <v>699</v>
      </c>
      <c r="AU702" s="13">
        <f t="shared" si="222"/>
        <v>9</v>
      </c>
      <c r="AV702" s="14">
        <f t="shared" si="223"/>
        <v>201006</v>
      </c>
      <c r="AW702" s="14">
        <f t="shared" si="224"/>
        <v>1102010</v>
      </c>
      <c r="AX702" s="13" t="s">
        <v>1127</v>
      </c>
      <c r="AY702" s="13">
        <f t="shared" si="225"/>
        <v>6</v>
      </c>
      <c r="AZ702" s="13" t="s">
        <v>1148</v>
      </c>
      <c r="BA702" s="14">
        <f t="shared" si="226"/>
        <v>8</v>
      </c>
      <c r="BB702" s="14" t="str">
        <f t="shared" si="227"/>
        <v>张郃魂珠-6 等级-8</v>
      </c>
      <c r="BC702" s="25" t="s">
        <v>1156</v>
      </c>
      <c r="BD702" s="14">
        <f t="shared" si="228"/>
        <v>1755</v>
      </c>
      <c r="BE702" s="14">
        <f>SUMIFS(BD$4:BD702,$AU$4:$AU702,"="&amp;$AU702,$AY$4:$AY702,"="&amp;$AY702)</f>
        <v>7487</v>
      </c>
      <c r="BF702" s="25" t="s">
        <v>1157</v>
      </c>
      <c r="BG702" s="14">
        <f t="shared" si="229"/>
        <v>715</v>
      </c>
      <c r="BH702" s="14">
        <f>SUMIFS(BG$4:BG702,AU$4:AU702,"="&amp;AU702,AY$4:AY702,"="&amp;AY702)</f>
        <v>3051</v>
      </c>
      <c r="BI702" s="25" t="s">
        <v>1158</v>
      </c>
      <c r="BJ702" s="14">
        <f t="shared" si="230"/>
        <v>26000</v>
      </c>
      <c r="BK702" s="14">
        <f>SUMIFS(BJ$4:BJ702,$AU$4:$AU702,"="&amp;$AU702,$AY$4:$AY702,"="&amp;$AY702)</f>
        <v>110900</v>
      </c>
    </row>
    <row r="703" spans="46:63" ht="16.5" x14ac:dyDescent="0.2">
      <c r="AT703" s="13">
        <v>700</v>
      </c>
      <c r="AU703" s="13">
        <f t="shared" si="222"/>
        <v>9</v>
      </c>
      <c r="AV703" s="14">
        <f t="shared" si="223"/>
        <v>201006</v>
      </c>
      <c r="AW703" s="14">
        <f t="shared" si="224"/>
        <v>1102010</v>
      </c>
      <c r="AX703" s="13" t="s">
        <v>1127</v>
      </c>
      <c r="AY703" s="13">
        <f t="shared" si="225"/>
        <v>6</v>
      </c>
      <c r="AZ703" s="13" t="s">
        <v>1148</v>
      </c>
      <c r="BA703" s="14">
        <f t="shared" si="226"/>
        <v>9</v>
      </c>
      <c r="BB703" s="14" t="str">
        <f t="shared" si="227"/>
        <v>张郃魂珠-6 等级-9</v>
      </c>
      <c r="BC703" s="25" t="s">
        <v>1156</v>
      </c>
      <c r="BD703" s="14">
        <f t="shared" si="228"/>
        <v>2025</v>
      </c>
      <c r="BE703" s="14">
        <f>SUMIFS(BD$4:BD703,$AU$4:$AU703,"="&amp;$AU703,$AY$4:$AY703,"="&amp;$AY703)</f>
        <v>9512</v>
      </c>
      <c r="BF703" s="25" t="s">
        <v>1157</v>
      </c>
      <c r="BG703" s="14">
        <f t="shared" si="229"/>
        <v>825</v>
      </c>
      <c r="BH703" s="14">
        <f>SUMIFS(BG$4:BG703,AU$4:AU703,"="&amp;AU703,AY$4:AY703,"="&amp;AY703)</f>
        <v>3876</v>
      </c>
      <c r="BI703" s="25" t="s">
        <v>1158</v>
      </c>
      <c r="BJ703" s="14">
        <f t="shared" si="230"/>
        <v>30000</v>
      </c>
      <c r="BK703" s="14">
        <f>SUMIFS(BJ$4:BJ703,$AU$4:$AU703,"="&amp;$AU703,$AY$4:$AY703,"="&amp;$AY703)</f>
        <v>140900</v>
      </c>
    </row>
    <row r="704" spans="46:63" ht="16.5" x14ac:dyDescent="0.2">
      <c r="AT704" s="13">
        <v>701</v>
      </c>
      <c r="AU704" s="13">
        <f t="shared" si="222"/>
        <v>9</v>
      </c>
      <c r="AV704" s="14">
        <f t="shared" si="223"/>
        <v>201007</v>
      </c>
      <c r="AW704" s="14">
        <f t="shared" si="224"/>
        <v>1102010</v>
      </c>
      <c r="AX704" s="13" t="s">
        <v>1127</v>
      </c>
      <c r="AY704" s="13">
        <f t="shared" si="225"/>
        <v>7</v>
      </c>
      <c r="AZ704" s="13" t="s">
        <v>1148</v>
      </c>
      <c r="BA704" s="14">
        <f t="shared" si="226"/>
        <v>0</v>
      </c>
      <c r="BB704" s="14" t="str">
        <f t="shared" si="227"/>
        <v>张郃魂珠-7 等级-0</v>
      </c>
      <c r="BC704" s="25" t="s">
        <v>1156</v>
      </c>
      <c r="BD704" s="14">
        <f t="shared" si="228"/>
        <v>0</v>
      </c>
      <c r="BE704" s="14">
        <f>SUMIFS(BD$4:BD704,$AU$4:$AU704,"="&amp;$AU704,$AY$4:$AY704,"="&amp;$AY704)</f>
        <v>0</v>
      </c>
      <c r="BF704" s="25" t="s">
        <v>1157</v>
      </c>
      <c r="BG704" s="14">
        <f t="shared" si="229"/>
        <v>0</v>
      </c>
      <c r="BH704" s="14">
        <f>SUMIFS(BG$4:BG704,AU$4:AU704,"="&amp;AU704,AY$4:AY704,"="&amp;AY704)</f>
        <v>0</v>
      </c>
      <c r="BI704" s="25" t="s">
        <v>1158</v>
      </c>
      <c r="BJ704" s="14">
        <f t="shared" si="230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2"/>
        <v>9</v>
      </c>
      <c r="AV705" s="14">
        <f t="shared" si="223"/>
        <v>201007</v>
      </c>
      <c r="AW705" s="14">
        <f t="shared" si="224"/>
        <v>1102010</v>
      </c>
      <c r="AX705" s="13" t="s">
        <v>1127</v>
      </c>
      <c r="AY705" s="13">
        <f t="shared" si="225"/>
        <v>7</v>
      </c>
      <c r="AZ705" s="13" t="s">
        <v>1148</v>
      </c>
      <c r="BA705" s="14">
        <f t="shared" si="226"/>
        <v>1</v>
      </c>
      <c r="BB705" s="14" t="str">
        <f t="shared" si="227"/>
        <v>张郃魂珠-7 等级-1</v>
      </c>
      <c r="BC705" s="25" t="s">
        <v>1156</v>
      </c>
      <c r="BD705" s="14">
        <f t="shared" si="228"/>
        <v>324</v>
      </c>
      <c r="BE705" s="14">
        <f>SUMIFS(BD$4:BD705,$AU$4:$AU705,"="&amp;$AU705,$AY$4:$AY705,"="&amp;$AY705)</f>
        <v>324</v>
      </c>
      <c r="BF705" s="25" t="s">
        <v>1157</v>
      </c>
      <c r="BG705" s="14">
        <f t="shared" si="229"/>
        <v>132</v>
      </c>
      <c r="BH705" s="14">
        <f>SUMIFS(BG$4:BG705,AU$4:AU705,"="&amp;AU705,AY$4:AY705,"="&amp;AY705)</f>
        <v>132</v>
      </c>
      <c r="BI705" s="25" t="s">
        <v>1158</v>
      </c>
      <c r="BJ705" s="14">
        <f t="shared" si="230"/>
        <v>4800</v>
      </c>
      <c r="BK705" s="14">
        <f>SUMIFS(BJ$4:BJ705,$AU$4:$AU705,"="&amp;$AU705,$AY$4:$AY705,"="&amp;$AY705)</f>
        <v>4800</v>
      </c>
    </row>
    <row r="706" spans="46:63" ht="16.5" x14ac:dyDescent="0.2">
      <c r="AT706" s="13">
        <v>703</v>
      </c>
      <c r="AU706" s="13">
        <f t="shared" si="222"/>
        <v>9</v>
      </c>
      <c r="AV706" s="14">
        <f t="shared" si="223"/>
        <v>201007</v>
      </c>
      <c r="AW706" s="14">
        <f t="shared" si="224"/>
        <v>1102010</v>
      </c>
      <c r="AX706" s="13" t="s">
        <v>1127</v>
      </c>
      <c r="AY706" s="13">
        <f t="shared" si="225"/>
        <v>7</v>
      </c>
      <c r="AZ706" s="13" t="s">
        <v>1148</v>
      </c>
      <c r="BA706" s="14">
        <f t="shared" si="226"/>
        <v>2</v>
      </c>
      <c r="BB706" s="14" t="str">
        <f t="shared" si="227"/>
        <v>张郃魂珠-7 等级-2</v>
      </c>
      <c r="BC706" s="25" t="s">
        <v>1156</v>
      </c>
      <c r="BD706" s="14">
        <f t="shared" si="228"/>
        <v>486</v>
      </c>
      <c r="BE706" s="14">
        <f>SUMIFS(BD$4:BD706,$AU$4:$AU706,"="&amp;$AU706,$AY$4:$AY706,"="&amp;$AY706)</f>
        <v>810</v>
      </c>
      <c r="BF706" s="25" t="s">
        <v>1157</v>
      </c>
      <c r="BG706" s="14">
        <f t="shared" si="229"/>
        <v>198</v>
      </c>
      <c r="BH706" s="14">
        <f>SUMIFS(BG$4:BG706,AU$4:AU706,"="&amp;AU706,AY$4:AY706,"="&amp;AY706)</f>
        <v>330</v>
      </c>
      <c r="BI706" s="25" t="s">
        <v>1158</v>
      </c>
      <c r="BJ706" s="14">
        <f t="shared" si="230"/>
        <v>7200</v>
      </c>
      <c r="BK706" s="14">
        <f>SUMIFS(BJ$4:BJ706,$AU$4:$AU706,"="&amp;$AU706,$AY$4:$AY706,"="&amp;$AY706)</f>
        <v>12000</v>
      </c>
    </row>
    <row r="707" spans="46:63" ht="16.5" x14ac:dyDescent="0.2">
      <c r="AT707" s="13">
        <v>704</v>
      </c>
      <c r="AU707" s="13">
        <f t="shared" si="222"/>
        <v>9</v>
      </c>
      <c r="AV707" s="14">
        <f t="shared" si="223"/>
        <v>201007</v>
      </c>
      <c r="AW707" s="14">
        <f t="shared" si="224"/>
        <v>1102010</v>
      </c>
      <c r="AX707" s="13" t="s">
        <v>1127</v>
      </c>
      <c r="AY707" s="13">
        <f t="shared" si="225"/>
        <v>7</v>
      </c>
      <c r="AZ707" s="13" t="s">
        <v>1148</v>
      </c>
      <c r="BA707" s="14">
        <f t="shared" si="226"/>
        <v>3</v>
      </c>
      <c r="BB707" s="14" t="str">
        <f t="shared" si="227"/>
        <v>张郃魂珠-7 等级-3</v>
      </c>
      <c r="BC707" s="25" t="s">
        <v>1156</v>
      </c>
      <c r="BD707" s="14">
        <f t="shared" si="228"/>
        <v>648</v>
      </c>
      <c r="BE707" s="14">
        <f>SUMIFS(BD$4:BD707,$AU$4:$AU707,"="&amp;$AU707,$AY$4:$AY707,"="&amp;$AY707)</f>
        <v>1458</v>
      </c>
      <c r="BF707" s="25" t="s">
        <v>1157</v>
      </c>
      <c r="BG707" s="14">
        <f t="shared" si="229"/>
        <v>264</v>
      </c>
      <c r="BH707" s="14">
        <f>SUMIFS(BG$4:BG707,AU$4:AU707,"="&amp;AU707,AY$4:AY707,"="&amp;AY707)</f>
        <v>594</v>
      </c>
      <c r="BI707" s="25" t="s">
        <v>1158</v>
      </c>
      <c r="BJ707" s="14">
        <f t="shared" si="230"/>
        <v>9600</v>
      </c>
      <c r="BK707" s="14">
        <f>SUMIFS(BJ$4:BJ707,$AU$4:$AU707,"="&amp;$AU707,$AY$4:$AY707,"="&amp;$AY707)</f>
        <v>21600</v>
      </c>
    </row>
    <row r="708" spans="46:63" ht="16.5" x14ac:dyDescent="0.2">
      <c r="AT708" s="13">
        <v>705</v>
      </c>
      <c r="AU708" s="13">
        <f t="shared" si="222"/>
        <v>9</v>
      </c>
      <c r="AV708" s="14">
        <f t="shared" si="223"/>
        <v>201007</v>
      </c>
      <c r="AW708" s="14">
        <f t="shared" si="224"/>
        <v>1102010</v>
      </c>
      <c r="AX708" s="13" t="s">
        <v>1127</v>
      </c>
      <c r="AY708" s="13">
        <f t="shared" si="225"/>
        <v>7</v>
      </c>
      <c r="AZ708" s="13" t="s">
        <v>1148</v>
      </c>
      <c r="BA708" s="14">
        <f t="shared" si="226"/>
        <v>4</v>
      </c>
      <c r="BB708" s="14" t="str">
        <f t="shared" si="227"/>
        <v>张郃魂珠-7 等级-4</v>
      </c>
      <c r="BC708" s="25" t="s">
        <v>1156</v>
      </c>
      <c r="BD708" s="14">
        <f t="shared" si="228"/>
        <v>972</v>
      </c>
      <c r="BE708" s="14">
        <f>SUMIFS(BD$4:BD708,$AU$4:$AU708,"="&amp;$AU708,$AY$4:$AY708,"="&amp;$AY708)</f>
        <v>2430</v>
      </c>
      <c r="BF708" s="25" t="s">
        <v>1157</v>
      </c>
      <c r="BG708" s="14">
        <f t="shared" si="229"/>
        <v>396</v>
      </c>
      <c r="BH708" s="14">
        <f>SUMIFS(BG$4:BG708,AU$4:AU708,"="&amp;AU708,AY$4:AY708,"="&amp;AY708)</f>
        <v>990</v>
      </c>
      <c r="BI708" s="25" t="s">
        <v>1158</v>
      </c>
      <c r="BJ708" s="14">
        <f t="shared" si="230"/>
        <v>14400</v>
      </c>
      <c r="BK708" s="14">
        <f>SUMIFS(BJ$4:BJ708,$AU$4:$AU708,"="&amp;$AU708,$AY$4:$AY708,"="&amp;$AY708)</f>
        <v>36000</v>
      </c>
    </row>
    <row r="709" spans="46:63" ht="16.5" x14ac:dyDescent="0.2">
      <c r="AT709" s="13">
        <v>706</v>
      </c>
      <c r="AU709" s="13">
        <f t="shared" ref="AU709:AU772" si="231">INT((AT709-1)/80)+1</f>
        <v>9</v>
      </c>
      <c r="AV709" s="14">
        <f t="shared" ref="AV709:AV772" si="232">INDEX($AJ$4:$AJ$203,(AU709-1)*8+AY709)</f>
        <v>201007</v>
      </c>
      <c r="AW709" s="14">
        <f t="shared" ref="AW709:AW772" si="233">INDEX($W$4:$W$28,AU709)</f>
        <v>1102010</v>
      </c>
      <c r="AX709" s="13" t="s">
        <v>1127</v>
      </c>
      <c r="AY709" s="13">
        <f t="shared" ref="AY709:AY772" si="234">INT(((AT709-(AU709-1)*80)-1)/10)+1</f>
        <v>7</v>
      </c>
      <c r="AZ709" s="13" t="s">
        <v>1148</v>
      </c>
      <c r="BA709" s="14">
        <f t="shared" ref="BA709:BA772" si="235">AT709-(AU709-1)*80-(AY709-1)*10-1</f>
        <v>5</v>
      </c>
      <c r="BB709" s="14" t="str">
        <f t="shared" ref="BB709:BB772" si="236">INDEX($X$4:$X$28,AU709)&amp;"魂珠-"&amp;AY709&amp;" 等级-"&amp;BA709</f>
        <v>张郃魂珠-7 等级-5</v>
      </c>
      <c r="BC709" s="25" t="s">
        <v>1156</v>
      </c>
      <c r="BD709" s="14">
        <f t="shared" ref="BD709:BD772" si="237">ROUND(INDEX(Q$4:Q$83,($AY709-1)*10+$BA709+1)*INDEX(AC$4:AC$28,$AU709),0)</f>
        <v>1296</v>
      </c>
      <c r="BE709" s="14">
        <f>SUMIFS(BD$4:BD709,$AU$4:$AU709,"="&amp;$AU709,$AY$4:$AY709,"="&amp;$AY709)</f>
        <v>3726</v>
      </c>
      <c r="BF709" s="25" t="s">
        <v>1157</v>
      </c>
      <c r="BG709" s="14">
        <f t="shared" ref="BG709:BG772" si="238">ROUND(INDEX(R$4:R$83,($AY709-1)*10+$BA709+1)*INDEX(AD$4:AD$28,$AU709),0)</f>
        <v>528</v>
      </c>
      <c r="BH709" s="14">
        <f>SUMIFS(BG$4:BG709,AU$4:AU709,"="&amp;AU709,AY$4:AY709,"="&amp;AY709)</f>
        <v>1518</v>
      </c>
      <c r="BI709" s="25" t="s">
        <v>1158</v>
      </c>
      <c r="BJ709" s="14">
        <f t="shared" ref="BJ709:BJ772" si="239">ROUND(INDEX(S$4:S$83,($AY709-1)*10+$BA709+1)*INDEX(AE$4:AE$28,$AU709),0)</f>
        <v>19200</v>
      </c>
      <c r="BK709" s="14">
        <f>SUMIFS(BJ$4:BJ709,$AU$4:$AU709,"="&amp;$AU709,$AY$4:$AY709,"="&amp;$AY709)</f>
        <v>55200</v>
      </c>
    </row>
    <row r="710" spans="46:63" ht="16.5" x14ac:dyDescent="0.2">
      <c r="AT710" s="13">
        <v>707</v>
      </c>
      <c r="AU710" s="13">
        <f t="shared" si="231"/>
        <v>9</v>
      </c>
      <c r="AV710" s="14">
        <f t="shared" si="232"/>
        <v>201007</v>
      </c>
      <c r="AW710" s="14">
        <f t="shared" si="233"/>
        <v>1102010</v>
      </c>
      <c r="AX710" s="13" t="s">
        <v>1127</v>
      </c>
      <c r="AY710" s="13">
        <f t="shared" si="234"/>
        <v>7</v>
      </c>
      <c r="AZ710" s="13" t="s">
        <v>1148</v>
      </c>
      <c r="BA710" s="14">
        <f t="shared" si="235"/>
        <v>6</v>
      </c>
      <c r="BB710" s="14" t="str">
        <f t="shared" si="236"/>
        <v>张郃魂珠-7 等级-6</v>
      </c>
      <c r="BC710" s="25" t="s">
        <v>1156</v>
      </c>
      <c r="BD710" s="14">
        <f t="shared" si="237"/>
        <v>1620</v>
      </c>
      <c r="BE710" s="14">
        <f>SUMIFS(BD$4:BD710,$AU$4:$AU710,"="&amp;$AU710,$AY$4:$AY710,"="&amp;$AY710)</f>
        <v>5346</v>
      </c>
      <c r="BF710" s="25" t="s">
        <v>1157</v>
      </c>
      <c r="BG710" s="14">
        <f t="shared" si="238"/>
        <v>660</v>
      </c>
      <c r="BH710" s="14">
        <f>SUMIFS(BG$4:BG710,AU$4:AU710,"="&amp;AU710,AY$4:AY710,"="&amp;AY710)</f>
        <v>2178</v>
      </c>
      <c r="BI710" s="25" t="s">
        <v>1158</v>
      </c>
      <c r="BJ710" s="14">
        <f t="shared" si="239"/>
        <v>24000</v>
      </c>
      <c r="BK710" s="14">
        <f>SUMIFS(BJ$4:BJ710,$AU$4:$AU710,"="&amp;$AU710,$AY$4:$AY710,"="&amp;$AY710)</f>
        <v>79200</v>
      </c>
    </row>
    <row r="711" spans="46:63" ht="16.5" x14ac:dyDescent="0.2">
      <c r="AT711" s="13">
        <v>708</v>
      </c>
      <c r="AU711" s="13">
        <f t="shared" si="231"/>
        <v>9</v>
      </c>
      <c r="AV711" s="14">
        <f t="shared" si="232"/>
        <v>201007</v>
      </c>
      <c r="AW711" s="14">
        <f t="shared" si="233"/>
        <v>1102010</v>
      </c>
      <c r="AX711" s="13" t="s">
        <v>1127</v>
      </c>
      <c r="AY711" s="13">
        <f t="shared" si="234"/>
        <v>7</v>
      </c>
      <c r="AZ711" s="13" t="s">
        <v>1148</v>
      </c>
      <c r="BA711" s="14">
        <f t="shared" si="235"/>
        <v>7</v>
      </c>
      <c r="BB711" s="14" t="str">
        <f t="shared" si="236"/>
        <v>张郃魂珠-7 等级-7</v>
      </c>
      <c r="BC711" s="25" t="s">
        <v>1156</v>
      </c>
      <c r="BD711" s="14">
        <f t="shared" si="237"/>
        <v>1944</v>
      </c>
      <c r="BE711" s="14">
        <f>SUMIFS(BD$4:BD711,$AU$4:$AU711,"="&amp;$AU711,$AY$4:$AY711,"="&amp;$AY711)</f>
        <v>7290</v>
      </c>
      <c r="BF711" s="25" t="s">
        <v>1157</v>
      </c>
      <c r="BG711" s="14">
        <f t="shared" si="238"/>
        <v>792</v>
      </c>
      <c r="BH711" s="14">
        <f>SUMIFS(BG$4:BG711,AU$4:AU711,"="&amp;AU711,AY$4:AY711,"="&amp;AY711)</f>
        <v>2970</v>
      </c>
      <c r="BI711" s="25" t="s">
        <v>1158</v>
      </c>
      <c r="BJ711" s="14">
        <f t="shared" si="239"/>
        <v>28800</v>
      </c>
      <c r="BK711" s="14">
        <f>SUMIFS(BJ$4:BJ711,$AU$4:$AU711,"="&amp;$AU711,$AY$4:$AY711,"="&amp;$AY711)</f>
        <v>108000</v>
      </c>
    </row>
    <row r="712" spans="46:63" ht="16.5" x14ac:dyDescent="0.2">
      <c r="AT712" s="13">
        <v>709</v>
      </c>
      <c r="AU712" s="13">
        <f t="shared" si="231"/>
        <v>9</v>
      </c>
      <c r="AV712" s="14">
        <f t="shared" si="232"/>
        <v>201007</v>
      </c>
      <c r="AW712" s="14">
        <f t="shared" si="233"/>
        <v>1102010</v>
      </c>
      <c r="AX712" s="13" t="s">
        <v>1127</v>
      </c>
      <c r="AY712" s="13">
        <f t="shared" si="234"/>
        <v>7</v>
      </c>
      <c r="AZ712" s="13" t="s">
        <v>1148</v>
      </c>
      <c r="BA712" s="14">
        <f t="shared" si="235"/>
        <v>8</v>
      </c>
      <c r="BB712" s="14" t="str">
        <f t="shared" si="236"/>
        <v>张郃魂珠-7 等级-8</v>
      </c>
      <c r="BC712" s="25" t="s">
        <v>1156</v>
      </c>
      <c r="BD712" s="14">
        <f t="shared" si="237"/>
        <v>2268</v>
      </c>
      <c r="BE712" s="14">
        <f>SUMIFS(BD$4:BD712,$AU$4:$AU712,"="&amp;$AU712,$AY$4:$AY712,"="&amp;$AY712)</f>
        <v>9558</v>
      </c>
      <c r="BF712" s="25" t="s">
        <v>1157</v>
      </c>
      <c r="BG712" s="14">
        <f t="shared" si="238"/>
        <v>924</v>
      </c>
      <c r="BH712" s="14">
        <f>SUMIFS(BG$4:BG712,AU$4:AU712,"="&amp;AU712,AY$4:AY712,"="&amp;AY712)</f>
        <v>3894</v>
      </c>
      <c r="BI712" s="25" t="s">
        <v>1158</v>
      </c>
      <c r="BJ712" s="14">
        <f t="shared" si="239"/>
        <v>33600</v>
      </c>
      <c r="BK712" s="14">
        <f>SUMIFS(BJ$4:BJ712,$AU$4:$AU712,"="&amp;$AU712,$AY$4:$AY712,"="&amp;$AY712)</f>
        <v>141600</v>
      </c>
    </row>
    <row r="713" spans="46:63" ht="16.5" x14ac:dyDescent="0.2">
      <c r="AT713" s="13">
        <v>710</v>
      </c>
      <c r="AU713" s="13">
        <f t="shared" si="231"/>
        <v>9</v>
      </c>
      <c r="AV713" s="14">
        <f t="shared" si="232"/>
        <v>201007</v>
      </c>
      <c r="AW713" s="14">
        <f t="shared" si="233"/>
        <v>1102010</v>
      </c>
      <c r="AX713" s="13" t="s">
        <v>1127</v>
      </c>
      <c r="AY713" s="13">
        <f t="shared" si="234"/>
        <v>7</v>
      </c>
      <c r="AZ713" s="13" t="s">
        <v>1148</v>
      </c>
      <c r="BA713" s="14">
        <f t="shared" si="235"/>
        <v>9</v>
      </c>
      <c r="BB713" s="14" t="str">
        <f t="shared" si="236"/>
        <v>张郃魂珠-7 等级-9</v>
      </c>
      <c r="BC713" s="25" t="s">
        <v>1156</v>
      </c>
      <c r="BD713" s="14">
        <f t="shared" si="237"/>
        <v>2592</v>
      </c>
      <c r="BE713" s="14">
        <f>SUMIFS(BD$4:BD713,$AU$4:$AU713,"="&amp;$AU713,$AY$4:$AY713,"="&amp;$AY713)</f>
        <v>12150</v>
      </c>
      <c r="BF713" s="25" t="s">
        <v>1157</v>
      </c>
      <c r="BG713" s="14">
        <f t="shared" si="238"/>
        <v>1056</v>
      </c>
      <c r="BH713" s="14">
        <f>SUMIFS(BG$4:BG713,AU$4:AU713,"="&amp;AU713,AY$4:AY713,"="&amp;AY713)</f>
        <v>4950</v>
      </c>
      <c r="BI713" s="25" t="s">
        <v>1158</v>
      </c>
      <c r="BJ713" s="14">
        <f t="shared" si="239"/>
        <v>38400</v>
      </c>
      <c r="BK713" s="14">
        <f>SUMIFS(BJ$4:BJ713,$AU$4:$AU713,"="&amp;$AU713,$AY$4:$AY713,"="&amp;$AY713)</f>
        <v>180000</v>
      </c>
    </row>
    <row r="714" spans="46:63" ht="16.5" x14ac:dyDescent="0.2">
      <c r="AT714" s="13">
        <v>711</v>
      </c>
      <c r="AU714" s="13">
        <f t="shared" si="231"/>
        <v>9</v>
      </c>
      <c r="AV714" s="14">
        <f t="shared" si="232"/>
        <v>201008</v>
      </c>
      <c r="AW714" s="14">
        <f t="shared" si="233"/>
        <v>1102010</v>
      </c>
      <c r="AX714" s="13" t="s">
        <v>1127</v>
      </c>
      <c r="AY714" s="13">
        <f t="shared" si="234"/>
        <v>8</v>
      </c>
      <c r="AZ714" s="13" t="s">
        <v>1148</v>
      </c>
      <c r="BA714" s="14">
        <f t="shared" si="235"/>
        <v>0</v>
      </c>
      <c r="BB714" s="14" t="str">
        <f t="shared" si="236"/>
        <v>张郃魂珠-8 等级-0</v>
      </c>
      <c r="BC714" s="25" t="s">
        <v>1156</v>
      </c>
      <c r="BD714" s="14">
        <f t="shared" si="237"/>
        <v>0</v>
      </c>
      <c r="BE714" s="14">
        <f>SUMIFS(BD$4:BD714,$AU$4:$AU714,"="&amp;$AU714,$AY$4:$AY714,"="&amp;$AY714)</f>
        <v>0</v>
      </c>
      <c r="BF714" s="25" t="s">
        <v>1157</v>
      </c>
      <c r="BG714" s="14">
        <f t="shared" si="238"/>
        <v>0</v>
      </c>
      <c r="BH714" s="14">
        <f>SUMIFS(BG$4:BG714,AU$4:AU714,"="&amp;AU714,AY$4:AY714,"="&amp;AY714)</f>
        <v>0</v>
      </c>
      <c r="BI714" s="25" t="s">
        <v>1158</v>
      </c>
      <c r="BJ714" s="14">
        <f t="shared" si="239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1"/>
        <v>9</v>
      </c>
      <c r="AV715" s="14">
        <f t="shared" si="232"/>
        <v>201008</v>
      </c>
      <c r="AW715" s="14">
        <f t="shared" si="233"/>
        <v>1102010</v>
      </c>
      <c r="AX715" s="13" t="s">
        <v>1127</v>
      </c>
      <c r="AY715" s="13">
        <f t="shared" si="234"/>
        <v>8</v>
      </c>
      <c r="AZ715" s="13" t="s">
        <v>1148</v>
      </c>
      <c r="BA715" s="14">
        <f t="shared" si="235"/>
        <v>1</v>
      </c>
      <c r="BB715" s="14" t="str">
        <f t="shared" si="236"/>
        <v>张郃魂珠-8 等级-1</v>
      </c>
      <c r="BC715" s="25" t="s">
        <v>1156</v>
      </c>
      <c r="BD715" s="14">
        <f t="shared" si="237"/>
        <v>432</v>
      </c>
      <c r="BE715" s="14">
        <f>SUMIFS(BD$4:BD715,$AU$4:$AU715,"="&amp;$AU715,$AY$4:$AY715,"="&amp;$AY715)</f>
        <v>432</v>
      </c>
      <c r="BF715" s="25" t="s">
        <v>1157</v>
      </c>
      <c r="BG715" s="14">
        <f t="shared" si="238"/>
        <v>176</v>
      </c>
      <c r="BH715" s="14">
        <f>SUMIFS(BG$4:BG715,AU$4:AU715,"="&amp;AU715,AY$4:AY715,"="&amp;AY715)</f>
        <v>176</v>
      </c>
      <c r="BI715" s="25" t="s">
        <v>1158</v>
      </c>
      <c r="BJ715" s="14">
        <f t="shared" si="239"/>
        <v>6400</v>
      </c>
      <c r="BK715" s="14">
        <f>SUMIFS(BJ$4:BJ715,$AU$4:$AU715,"="&amp;$AU715,$AY$4:$AY715,"="&amp;$AY715)</f>
        <v>6400</v>
      </c>
    </row>
    <row r="716" spans="46:63" ht="16.5" x14ac:dyDescent="0.2">
      <c r="AT716" s="13">
        <v>713</v>
      </c>
      <c r="AU716" s="13">
        <f t="shared" si="231"/>
        <v>9</v>
      </c>
      <c r="AV716" s="14">
        <f t="shared" si="232"/>
        <v>201008</v>
      </c>
      <c r="AW716" s="14">
        <f t="shared" si="233"/>
        <v>1102010</v>
      </c>
      <c r="AX716" s="13" t="s">
        <v>1127</v>
      </c>
      <c r="AY716" s="13">
        <f t="shared" si="234"/>
        <v>8</v>
      </c>
      <c r="AZ716" s="13" t="s">
        <v>1148</v>
      </c>
      <c r="BA716" s="14">
        <f t="shared" si="235"/>
        <v>2</v>
      </c>
      <c r="BB716" s="14" t="str">
        <f t="shared" si="236"/>
        <v>张郃魂珠-8 等级-2</v>
      </c>
      <c r="BC716" s="25" t="s">
        <v>1156</v>
      </c>
      <c r="BD716" s="14">
        <f t="shared" si="237"/>
        <v>648</v>
      </c>
      <c r="BE716" s="14">
        <f>SUMIFS(BD$4:BD716,$AU$4:$AU716,"="&amp;$AU716,$AY$4:$AY716,"="&amp;$AY716)</f>
        <v>1080</v>
      </c>
      <c r="BF716" s="25" t="s">
        <v>1157</v>
      </c>
      <c r="BG716" s="14">
        <f t="shared" si="238"/>
        <v>264</v>
      </c>
      <c r="BH716" s="14">
        <f>SUMIFS(BG$4:BG716,AU$4:AU716,"="&amp;AU716,AY$4:AY716,"="&amp;AY716)</f>
        <v>440</v>
      </c>
      <c r="BI716" s="25" t="s">
        <v>1158</v>
      </c>
      <c r="BJ716" s="14">
        <f t="shared" si="239"/>
        <v>9600</v>
      </c>
      <c r="BK716" s="14">
        <f>SUMIFS(BJ$4:BJ716,$AU$4:$AU716,"="&amp;$AU716,$AY$4:$AY716,"="&amp;$AY716)</f>
        <v>16000</v>
      </c>
    </row>
    <row r="717" spans="46:63" ht="16.5" x14ac:dyDescent="0.2">
      <c r="AT717" s="13">
        <v>714</v>
      </c>
      <c r="AU717" s="13">
        <f t="shared" si="231"/>
        <v>9</v>
      </c>
      <c r="AV717" s="14">
        <f t="shared" si="232"/>
        <v>201008</v>
      </c>
      <c r="AW717" s="14">
        <f t="shared" si="233"/>
        <v>1102010</v>
      </c>
      <c r="AX717" s="13" t="s">
        <v>1127</v>
      </c>
      <c r="AY717" s="13">
        <f t="shared" si="234"/>
        <v>8</v>
      </c>
      <c r="AZ717" s="13" t="s">
        <v>1148</v>
      </c>
      <c r="BA717" s="14">
        <f t="shared" si="235"/>
        <v>3</v>
      </c>
      <c r="BB717" s="14" t="str">
        <f t="shared" si="236"/>
        <v>张郃魂珠-8 等级-3</v>
      </c>
      <c r="BC717" s="25" t="s">
        <v>1156</v>
      </c>
      <c r="BD717" s="14">
        <f t="shared" si="237"/>
        <v>864</v>
      </c>
      <c r="BE717" s="14">
        <f>SUMIFS(BD$4:BD717,$AU$4:$AU717,"="&amp;$AU717,$AY$4:$AY717,"="&amp;$AY717)</f>
        <v>1944</v>
      </c>
      <c r="BF717" s="25" t="s">
        <v>1157</v>
      </c>
      <c r="BG717" s="14">
        <f t="shared" si="238"/>
        <v>352</v>
      </c>
      <c r="BH717" s="14">
        <f>SUMIFS(BG$4:BG717,AU$4:AU717,"="&amp;AU717,AY$4:AY717,"="&amp;AY717)</f>
        <v>792</v>
      </c>
      <c r="BI717" s="25" t="s">
        <v>1158</v>
      </c>
      <c r="BJ717" s="14">
        <f t="shared" si="239"/>
        <v>12800</v>
      </c>
      <c r="BK717" s="14">
        <f>SUMIFS(BJ$4:BJ717,$AU$4:$AU717,"="&amp;$AU717,$AY$4:$AY717,"="&amp;$AY717)</f>
        <v>28800</v>
      </c>
    </row>
    <row r="718" spans="46:63" ht="16.5" x14ac:dyDescent="0.2">
      <c r="AT718" s="13">
        <v>715</v>
      </c>
      <c r="AU718" s="13">
        <f t="shared" si="231"/>
        <v>9</v>
      </c>
      <c r="AV718" s="14">
        <f t="shared" si="232"/>
        <v>201008</v>
      </c>
      <c r="AW718" s="14">
        <f t="shared" si="233"/>
        <v>1102010</v>
      </c>
      <c r="AX718" s="13" t="s">
        <v>1127</v>
      </c>
      <c r="AY718" s="13">
        <f t="shared" si="234"/>
        <v>8</v>
      </c>
      <c r="AZ718" s="13" t="s">
        <v>1148</v>
      </c>
      <c r="BA718" s="14">
        <f t="shared" si="235"/>
        <v>4</v>
      </c>
      <c r="BB718" s="14" t="str">
        <f t="shared" si="236"/>
        <v>张郃魂珠-8 等级-4</v>
      </c>
      <c r="BC718" s="25" t="s">
        <v>1156</v>
      </c>
      <c r="BD718" s="14">
        <f t="shared" si="237"/>
        <v>1296</v>
      </c>
      <c r="BE718" s="14">
        <f>SUMIFS(BD$4:BD718,$AU$4:$AU718,"="&amp;$AU718,$AY$4:$AY718,"="&amp;$AY718)</f>
        <v>3240</v>
      </c>
      <c r="BF718" s="25" t="s">
        <v>1157</v>
      </c>
      <c r="BG718" s="14">
        <f t="shared" si="238"/>
        <v>528</v>
      </c>
      <c r="BH718" s="14">
        <f>SUMIFS(BG$4:BG718,AU$4:AU718,"="&amp;AU718,AY$4:AY718,"="&amp;AY718)</f>
        <v>1320</v>
      </c>
      <c r="BI718" s="25" t="s">
        <v>1158</v>
      </c>
      <c r="BJ718" s="14">
        <f t="shared" si="239"/>
        <v>19200</v>
      </c>
      <c r="BK718" s="14">
        <f>SUMIFS(BJ$4:BJ718,$AU$4:$AU718,"="&amp;$AU718,$AY$4:$AY718,"="&amp;$AY718)</f>
        <v>48000</v>
      </c>
    </row>
    <row r="719" spans="46:63" ht="16.5" x14ac:dyDescent="0.2">
      <c r="AT719" s="13">
        <v>716</v>
      </c>
      <c r="AU719" s="13">
        <f t="shared" si="231"/>
        <v>9</v>
      </c>
      <c r="AV719" s="14">
        <f t="shared" si="232"/>
        <v>201008</v>
      </c>
      <c r="AW719" s="14">
        <f t="shared" si="233"/>
        <v>1102010</v>
      </c>
      <c r="AX719" s="13" t="s">
        <v>1127</v>
      </c>
      <c r="AY719" s="13">
        <f t="shared" si="234"/>
        <v>8</v>
      </c>
      <c r="AZ719" s="13" t="s">
        <v>1148</v>
      </c>
      <c r="BA719" s="14">
        <f t="shared" si="235"/>
        <v>5</v>
      </c>
      <c r="BB719" s="14" t="str">
        <f t="shared" si="236"/>
        <v>张郃魂珠-8 等级-5</v>
      </c>
      <c r="BC719" s="25" t="s">
        <v>1156</v>
      </c>
      <c r="BD719" s="14">
        <f t="shared" si="237"/>
        <v>1728</v>
      </c>
      <c r="BE719" s="14">
        <f>SUMIFS(BD$4:BD719,$AU$4:$AU719,"="&amp;$AU719,$AY$4:$AY719,"="&amp;$AY719)</f>
        <v>4968</v>
      </c>
      <c r="BF719" s="25" t="s">
        <v>1157</v>
      </c>
      <c r="BG719" s="14">
        <f t="shared" si="238"/>
        <v>704</v>
      </c>
      <c r="BH719" s="14">
        <f>SUMIFS(BG$4:BG719,AU$4:AU719,"="&amp;AU719,AY$4:AY719,"="&amp;AY719)</f>
        <v>2024</v>
      </c>
      <c r="BI719" s="25" t="s">
        <v>1158</v>
      </c>
      <c r="BJ719" s="14">
        <f t="shared" si="239"/>
        <v>25600</v>
      </c>
      <c r="BK719" s="14">
        <f>SUMIFS(BJ$4:BJ719,$AU$4:$AU719,"="&amp;$AU719,$AY$4:$AY719,"="&amp;$AY719)</f>
        <v>73600</v>
      </c>
    </row>
    <row r="720" spans="46:63" ht="16.5" x14ac:dyDescent="0.2">
      <c r="AT720" s="13">
        <v>717</v>
      </c>
      <c r="AU720" s="13">
        <f t="shared" si="231"/>
        <v>9</v>
      </c>
      <c r="AV720" s="14">
        <f t="shared" si="232"/>
        <v>201008</v>
      </c>
      <c r="AW720" s="14">
        <f t="shared" si="233"/>
        <v>1102010</v>
      </c>
      <c r="AX720" s="13" t="s">
        <v>1127</v>
      </c>
      <c r="AY720" s="13">
        <f t="shared" si="234"/>
        <v>8</v>
      </c>
      <c r="AZ720" s="13" t="s">
        <v>1148</v>
      </c>
      <c r="BA720" s="14">
        <f t="shared" si="235"/>
        <v>6</v>
      </c>
      <c r="BB720" s="14" t="str">
        <f t="shared" si="236"/>
        <v>张郃魂珠-8 等级-6</v>
      </c>
      <c r="BC720" s="25" t="s">
        <v>1156</v>
      </c>
      <c r="BD720" s="14">
        <f t="shared" si="237"/>
        <v>2160</v>
      </c>
      <c r="BE720" s="14">
        <f>SUMIFS(BD$4:BD720,$AU$4:$AU720,"="&amp;$AU720,$AY$4:$AY720,"="&amp;$AY720)</f>
        <v>7128</v>
      </c>
      <c r="BF720" s="25" t="s">
        <v>1157</v>
      </c>
      <c r="BG720" s="14">
        <f t="shared" si="238"/>
        <v>880</v>
      </c>
      <c r="BH720" s="14">
        <f>SUMIFS(BG$4:BG720,AU$4:AU720,"="&amp;AU720,AY$4:AY720,"="&amp;AY720)</f>
        <v>2904</v>
      </c>
      <c r="BI720" s="25" t="s">
        <v>1158</v>
      </c>
      <c r="BJ720" s="14">
        <f t="shared" si="239"/>
        <v>32000</v>
      </c>
      <c r="BK720" s="14">
        <f>SUMIFS(BJ$4:BJ720,$AU$4:$AU720,"="&amp;$AU720,$AY$4:$AY720,"="&amp;$AY720)</f>
        <v>105600</v>
      </c>
    </row>
    <row r="721" spans="46:63" ht="16.5" x14ac:dyDescent="0.2">
      <c r="AT721" s="13">
        <v>718</v>
      </c>
      <c r="AU721" s="13">
        <f t="shared" si="231"/>
        <v>9</v>
      </c>
      <c r="AV721" s="14">
        <f t="shared" si="232"/>
        <v>201008</v>
      </c>
      <c r="AW721" s="14">
        <f t="shared" si="233"/>
        <v>1102010</v>
      </c>
      <c r="AX721" s="13" t="s">
        <v>1127</v>
      </c>
      <c r="AY721" s="13">
        <f t="shared" si="234"/>
        <v>8</v>
      </c>
      <c r="AZ721" s="13" t="s">
        <v>1148</v>
      </c>
      <c r="BA721" s="14">
        <f t="shared" si="235"/>
        <v>7</v>
      </c>
      <c r="BB721" s="14" t="str">
        <f t="shared" si="236"/>
        <v>张郃魂珠-8 等级-7</v>
      </c>
      <c r="BC721" s="25" t="s">
        <v>1156</v>
      </c>
      <c r="BD721" s="14">
        <f t="shared" si="237"/>
        <v>2592</v>
      </c>
      <c r="BE721" s="14">
        <f>SUMIFS(BD$4:BD721,$AU$4:$AU721,"="&amp;$AU721,$AY$4:$AY721,"="&amp;$AY721)</f>
        <v>9720</v>
      </c>
      <c r="BF721" s="25" t="s">
        <v>1157</v>
      </c>
      <c r="BG721" s="14">
        <f t="shared" si="238"/>
        <v>1056</v>
      </c>
      <c r="BH721" s="14">
        <f>SUMIFS(BG$4:BG721,AU$4:AU721,"="&amp;AU721,AY$4:AY721,"="&amp;AY721)</f>
        <v>3960</v>
      </c>
      <c r="BI721" s="25" t="s">
        <v>1158</v>
      </c>
      <c r="BJ721" s="14">
        <f t="shared" si="239"/>
        <v>38400</v>
      </c>
      <c r="BK721" s="14">
        <f>SUMIFS(BJ$4:BJ721,$AU$4:$AU721,"="&amp;$AU721,$AY$4:$AY721,"="&amp;$AY721)</f>
        <v>144000</v>
      </c>
    </row>
    <row r="722" spans="46:63" ht="16.5" x14ac:dyDescent="0.2">
      <c r="AT722" s="13">
        <v>719</v>
      </c>
      <c r="AU722" s="13">
        <f t="shared" si="231"/>
        <v>9</v>
      </c>
      <c r="AV722" s="14">
        <f t="shared" si="232"/>
        <v>201008</v>
      </c>
      <c r="AW722" s="14">
        <f t="shared" si="233"/>
        <v>1102010</v>
      </c>
      <c r="AX722" s="13" t="s">
        <v>1127</v>
      </c>
      <c r="AY722" s="13">
        <f t="shared" si="234"/>
        <v>8</v>
      </c>
      <c r="AZ722" s="13" t="s">
        <v>1148</v>
      </c>
      <c r="BA722" s="14">
        <f t="shared" si="235"/>
        <v>8</v>
      </c>
      <c r="BB722" s="14" t="str">
        <f t="shared" si="236"/>
        <v>张郃魂珠-8 等级-8</v>
      </c>
      <c r="BC722" s="25" t="s">
        <v>1156</v>
      </c>
      <c r="BD722" s="14">
        <f t="shared" si="237"/>
        <v>3024</v>
      </c>
      <c r="BE722" s="14">
        <f>SUMIFS(BD$4:BD722,$AU$4:$AU722,"="&amp;$AU722,$AY$4:$AY722,"="&amp;$AY722)</f>
        <v>12744</v>
      </c>
      <c r="BF722" s="25" t="s">
        <v>1157</v>
      </c>
      <c r="BG722" s="14">
        <f t="shared" si="238"/>
        <v>1232</v>
      </c>
      <c r="BH722" s="14">
        <f>SUMIFS(BG$4:BG722,AU$4:AU722,"="&amp;AU722,AY$4:AY722,"="&amp;AY722)</f>
        <v>5192</v>
      </c>
      <c r="BI722" s="25" t="s">
        <v>1158</v>
      </c>
      <c r="BJ722" s="14">
        <f t="shared" si="239"/>
        <v>44800</v>
      </c>
      <c r="BK722" s="14">
        <f>SUMIFS(BJ$4:BJ722,$AU$4:$AU722,"="&amp;$AU722,$AY$4:$AY722,"="&amp;$AY722)</f>
        <v>188800</v>
      </c>
    </row>
    <row r="723" spans="46:63" ht="16.5" x14ac:dyDescent="0.2">
      <c r="AT723" s="13">
        <v>720</v>
      </c>
      <c r="AU723" s="13">
        <f t="shared" si="231"/>
        <v>9</v>
      </c>
      <c r="AV723" s="14">
        <f t="shared" si="232"/>
        <v>201008</v>
      </c>
      <c r="AW723" s="14">
        <f t="shared" si="233"/>
        <v>1102010</v>
      </c>
      <c r="AX723" s="13" t="s">
        <v>1127</v>
      </c>
      <c r="AY723" s="13">
        <f t="shared" si="234"/>
        <v>8</v>
      </c>
      <c r="AZ723" s="13" t="s">
        <v>1148</v>
      </c>
      <c r="BA723" s="14">
        <f t="shared" si="235"/>
        <v>9</v>
      </c>
      <c r="BB723" s="14" t="str">
        <f t="shared" si="236"/>
        <v>张郃魂珠-8 等级-9</v>
      </c>
      <c r="BC723" s="25" t="s">
        <v>1156</v>
      </c>
      <c r="BD723" s="14">
        <f t="shared" si="237"/>
        <v>3456</v>
      </c>
      <c r="BE723" s="14">
        <f>SUMIFS(BD$4:BD723,$AU$4:$AU723,"="&amp;$AU723,$AY$4:$AY723,"="&amp;$AY723)</f>
        <v>16200</v>
      </c>
      <c r="BF723" s="25" t="s">
        <v>1157</v>
      </c>
      <c r="BG723" s="14">
        <f t="shared" si="238"/>
        <v>1408</v>
      </c>
      <c r="BH723" s="14">
        <f>SUMIFS(BG$4:BG723,AU$4:AU723,"="&amp;AU723,AY$4:AY723,"="&amp;AY723)</f>
        <v>6600</v>
      </c>
      <c r="BI723" s="25" t="s">
        <v>1158</v>
      </c>
      <c r="BJ723" s="14">
        <f t="shared" si="239"/>
        <v>51200</v>
      </c>
      <c r="BK723" s="14">
        <f>SUMIFS(BJ$4:BJ723,$AU$4:$AU723,"="&amp;$AU723,$AY$4:$AY723,"="&amp;$AY723)</f>
        <v>240000</v>
      </c>
    </row>
    <row r="724" spans="46:63" ht="16.5" x14ac:dyDescent="0.2">
      <c r="AT724" s="13">
        <v>721</v>
      </c>
      <c r="AU724" s="13">
        <f t="shared" si="231"/>
        <v>10</v>
      </c>
      <c r="AV724" s="14">
        <f t="shared" si="232"/>
        <v>201101</v>
      </c>
      <c r="AW724" s="14">
        <f t="shared" si="233"/>
        <v>1102011</v>
      </c>
      <c r="AX724" s="13" t="s">
        <v>1127</v>
      </c>
      <c r="AY724" s="13">
        <f t="shared" si="234"/>
        <v>1</v>
      </c>
      <c r="AZ724" s="13" t="s">
        <v>1148</v>
      </c>
      <c r="BA724" s="14">
        <f t="shared" si="235"/>
        <v>0</v>
      </c>
      <c r="BB724" s="14" t="str">
        <f t="shared" si="236"/>
        <v>张飞魂珠-1 等级-0</v>
      </c>
      <c r="BC724" s="25" t="s">
        <v>1156</v>
      </c>
      <c r="BD724" s="14">
        <f t="shared" si="237"/>
        <v>0</v>
      </c>
      <c r="BE724" s="14">
        <f>SUMIFS(BD$4:BD724,$AU$4:$AU724,"="&amp;$AU724,$AY$4:$AY724,"="&amp;$AY724)</f>
        <v>0</v>
      </c>
      <c r="BF724" s="25" t="s">
        <v>1157</v>
      </c>
      <c r="BG724" s="14">
        <f t="shared" si="238"/>
        <v>0</v>
      </c>
      <c r="BH724" s="14">
        <f>SUMIFS(BG$4:BG724,AU$4:AU724,"="&amp;AU724,AY$4:AY724,"="&amp;AY724)</f>
        <v>0</v>
      </c>
      <c r="BI724" s="25" t="s">
        <v>1158</v>
      </c>
      <c r="BJ724" s="14">
        <f t="shared" si="239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1"/>
        <v>10</v>
      </c>
      <c r="AV725" s="14">
        <f t="shared" si="232"/>
        <v>201101</v>
      </c>
      <c r="AW725" s="14">
        <f t="shared" si="233"/>
        <v>1102011</v>
      </c>
      <c r="AX725" s="13" t="s">
        <v>1127</v>
      </c>
      <c r="AY725" s="13">
        <f t="shared" si="234"/>
        <v>1</v>
      </c>
      <c r="AZ725" s="13" t="s">
        <v>1148</v>
      </c>
      <c r="BA725" s="14">
        <f t="shared" si="235"/>
        <v>1</v>
      </c>
      <c r="BB725" s="14" t="str">
        <f t="shared" si="236"/>
        <v>张飞魂珠-1 等级-1</v>
      </c>
      <c r="BC725" s="25" t="s">
        <v>1156</v>
      </c>
      <c r="BD725" s="14">
        <f t="shared" si="237"/>
        <v>40</v>
      </c>
      <c r="BE725" s="14">
        <f>SUMIFS(BD$4:BD725,$AU$4:$AU725,"="&amp;$AU725,$AY$4:$AY725,"="&amp;$AY725)</f>
        <v>40</v>
      </c>
      <c r="BF725" s="25" t="s">
        <v>1157</v>
      </c>
      <c r="BG725" s="14">
        <f t="shared" si="238"/>
        <v>22</v>
      </c>
      <c r="BH725" s="14">
        <f>SUMIFS(BG$4:BG725,AU$4:AU725,"="&amp;AU725,AY$4:AY725,"="&amp;AY725)</f>
        <v>22</v>
      </c>
      <c r="BI725" s="25" t="s">
        <v>1158</v>
      </c>
      <c r="BJ725" s="14">
        <f t="shared" si="239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1"/>
        <v>10</v>
      </c>
      <c r="AV726" s="14">
        <f t="shared" si="232"/>
        <v>201101</v>
      </c>
      <c r="AW726" s="14">
        <f t="shared" si="233"/>
        <v>1102011</v>
      </c>
      <c r="AX726" s="13" t="s">
        <v>1127</v>
      </c>
      <c r="AY726" s="13">
        <f t="shared" si="234"/>
        <v>1</v>
      </c>
      <c r="AZ726" s="13" t="s">
        <v>1148</v>
      </c>
      <c r="BA726" s="14">
        <f t="shared" si="235"/>
        <v>2</v>
      </c>
      <c r="BB726" s="14" t="str">
        <f t="shared" si="236"/>
        <v>张飞魂珠-1 等级-2</v>
      </c>
      <c r="BC726" s="25" t="s">
        <v>1156</v>
      </c>
      <c r="BD726" s="14">
        <f t="shared" si="237"/>
        <v>60</v>
      </c>
      <c r="BE726" s="14">
        <f>SUMIFS(BD$4:BD726,$AU$4:$AU726,"="&amp;$AU726,$AY$4:$AY726,"="&amp;$AY726)</f>
        <v>100</v>
      </c>
      <c r="BF726" s="25" t="s">
        <v>1157</v>
      </c>
      <c r="BG726" s="14">
        <f t="shared" si="238"/>
        <v>33</v>
      </c>
      <c r="BH726" s="14">
        <f>SUMIFS(BG$4:BG726,AU$4:AU726,"="&amp;AU726,AY$4:AY726,"="&amp;AY726)</f>
        <v>55</v>
      </c>
      <c r="BI726" s="25" t="s">
        <v>1158</v>
      </c>
      <c r="BJ726" s="14">
        <f t="shared" si="239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1"/>
        <v>10</v>
      </c>
      <c r="AV727" s="14">
        <f t="shared" si="232"/>
        <v>201101</v>
      </c>
      <c r="AW727" s="14">
        <f t="shared" si="233"/>
        <v>1102011</v>
      </c>
      <c r="AX727" s="13" t="s">
        <v>1127</v>
      </c>
      <c r="AY727" s="13">
        <f t="shared" si="234"/>
        <v>1</v>
      </c>
      <c r="AZ727" s="13" t="s">
        <v>1148</v>
      </c>
      <c r="BA727" s="14">
        <f t="shared" si="235"/>
        <v>3</v>
      </c>
      <c r="BB727" s="14" t="str">
        <f t="shared" si="236"/>
        <v>张飞魂珠-1 等级-3</v>
      </c>
      <c r="BC727" s="25" t="s">
        <v>1156</v>
      </c>
      <c r="BD727" s="14">
        <f t="shared" si="237"/>
        <v>80</v>
      </c>
      <c r="BE727" s="14">
        <f>SUMIFS(BD$4:BD727,$AU$4:$AU727,"="&amp;$AU727,$AY$4:$AY727,"="&amp;$AY727)</f>
        <v>180</v>
      </c>
      <c r="BF727" s="25" t="s">
        <v>1157</v>
      </c>
      <c r="BG727" s="14">
        <f t="shared" si="238"/>
        <v>44</v>
      </c>
      <c r="BH727" s="14">
        <f>SUMIFS(BG$4:BG727,AU$4:AU727,"="&amp;AU727,AY$4:AY727,"="&amp;AY727)</f>
        <v>99</v>
      </c>
      <c r="BI727" s="25" t="s">
        <v>1158</v>
      </c>
      <c r="BJ727" s="14">
        <f t="shared" si="239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1"/>
        <v>10</v>
      </c>
      <c r="AV728" s="14">
        <f t="shared" si="232"/>
        <v>201101</v>
      </c>
      <c r="AW728" s="14">
        <f t="shared" si="233"/>
        <v>1102011</v>
      </c>
      <c r="AX728" s="13" t="s">
        <v>1127</v>
      </c>
      <c r="AY728" s="13">
        <f t="shared" si="234"/>
        <v>1</v>
      </c>
      <c r="AZ728" s="13" t="s">
        <v>1148</v>
      </c>
      <c r="BA728" s="14">
        <f t="shared" si="235"/>
        <v>4</v>
      </c>
      <c r="BB728" s="14" t="str">
        <f t="shared" si="236"/>
        <v>张飞魂珠-1 等级-4</v>
      </c>
      <c r="BC728" s="25" t="s">
        <v>1156</v>
      </c>
      <c r="BD728" s="14">
        <f t="shared" si="237"/>
        <v>120</v>
      </c>
      <c r="BE728" s="14">
        <f>SUMIFS(BD$4:BD728,$AU$4:$AU728,"="&amp;$AU728,$AY$4:$AY728,"="&amp;$AY728)</f>
        <v>300</v>
      </c>
      <c r="BF728" s="25" t="s">
        <v>1157</v>
      </c>
      <c r="BG728" s="14">
        <f t="shared" si="238"/>
        <v>66</v>
      </c>
      <c r="BH728" s="14">
        <f>SUMIFS(BG$4:BG728,AU$4:AU728,"="&amp;AU728,AY$4:AY728,"="&amp;AY728)</f>
        <v>165</v>
      </c>
      <c r="BI728" s="25" t="s">
        <v>1158</v>
      </c>
      <c r="BJ728" s="14">
        <f t="shared" si="239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1"/>
        <v>10</v>
      </c>
      <c r="AV729" s="14">
        <f t="shared" si="232"/>
        <v>201101</v>
      </c>
      <c r="AW729" s="14">
        <f t="shared" si="233"/>
        <v>1102011</v>
      </c>
      <c r="AX729" s="13" t="s">
        <v>1127</v>
      </c>
      <c r="AY729" s="13">
        <f t="shared" si="234"/>
        <v>1</v>
      </c>
      <c r="AZ729" s="13" t="s">
        <v>1148</v>
      </c>
      <c r="BA729" s="14">
        <f t="shared" si="235"/>
        <v>5</v>
      </c>
      <c r="BB729" s="14" t="str">
        <f t="shared" si="236"/>
        <v>张飞魂珠-1 等级-5</v>
      </c>
      <c r="BC729" s="25" t="s">
        <v>1156</v>
      </c>
      <c r="BD729" s="14">
        <f t="shared" si="237"/>
        <v>160</v>
      </c>
      <c r="BE729" s="14">
        <f>SUMIFS(BD$4:BD729,$AU$4:$AU729,"="&amp;$AU729,$AY$4:$AY729,"="&amp;$AY729)</f>
        <v>460</v>
      </c>
      <c r="BF729" s="25" t="s">
        <v>1157</v>
      </c>
      <c r="BG729" s="14">
        <f t="shared" si="238"/>
        <v>88</v>
      </c>
      <c r="BH729" s="14">
        <f>SUMIFS(BG$4:BG729,AU$4:AU729,"="&amp;AU729,AY$4:AY729,"="&amp;AY729)</f>
        <v>253</v>
      </c>
      <c r="BI729" s="25" t="s">
        <v>1158</v>
      </c>
      <c r="BJ729" s="14">
        <f t="shared" si="239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1"/>
        <v>10</v>
      </c>
      <c r="AV730" s="14">
        <f t="shared" si="232"/>
        <v>201101</v>
      </c>
      <c r="AW730" s="14">
        <f t="shared" si="233"/>
        <v>1102011</v>
      </c>
      <c r="AX730" s="13" t="s">
        <v>1127</v>
      </c>
      <c r="AY730" s="13">
        <f t="shared" si="234"/>
        <v>1</v>
      </c>
      <c r="AZ730" s="13" t="s">
        <v>1148</v>
      </c>
      <c r="BA730" s="14">
        <f t="shared" si="235"/>
        <v>6</v>
      </c>
      <c r="BB730" s="14" t="str">
        <f t="shared" si="236"/>
        <v>张飞魂珠-1 等级-6</v>
      </c>
      <c r="BC730" s="25" t="s">
        <v>1156</v>
      </c>
      <c r="BD730" s="14">
        <f t="shared" si="237"/>
        <v>200</v>
      </c>
      <c r="BE730" s="14">
        <f>SUMIFS(BD$4:BD730,$AU$4:$AU730,"="&amp;$AU730,$AY$4:$AY730,"="&amp;$AY730)</f>
        <v>660</v>
      </c>
      <c r="BF730" s="25" t="s">
        <v>1157</v>
      </c>
      <c r="BG730" s="14">
        <f t="shared" si="238"/>
        <v>110</v>
      </c>
      <c r="BH730" s="14">
        <f>SUMIFS(BG$4:BG730,AU$4:AU730,"="&amp;AU730,AY$4:AY730,"="&amp;AY730)</f>
        <v>363</v>
      </c>
      <c r="BI730" s="25" t="s">
        <v>1158</v>
      </c>
      <c r="BJ730" s="14">
        <f t="shared" si="239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1"/>
        <v>10</v>
      </c>
      <c r="AV731" s="14">
        <f t="shared" si="232"/>
        <v>201101</v>
      </c>
      <c r="AW731" s="14">
        <f t="shared" si="233"/>
        <v>1102011</v>
      </c>
      <c r="AX731" s="13" t="s">
        <v>1127</v>
      </c>
      <c r="AY731" s="13">
        <f t="shared" si="234"/>
        <v>1</v>
      </c>
      <c r="AZ731" s="13" t="s">
        <v>1148</v>
      </c>
      <c r="BA731" s="14">
        <f t="shared" si="235"/>
        <v>7</v>
      </c>
      <c r="BB731" s="14" t="str">
        <f t="shared" si="236"/>
        <v>张飞魂珠-1 等级-7</v>
      </c>
      <c r="BC731" s="25" t="s">
        <v>1156</v>
      </c>
      <c r="BD731" s="14">
        <f t="shared" si="237"/>
        <v>240</v>
      </c>
      <c r="BE731" s="14">
        <f>SUMIFS(BD$4:BD731,$AU$4:$AU731,"="&amp;$AU731,$AY$4:$AY731,"="&amp;$AY731)</f>
        <v>900</v>
      </c>
      <c r="BF731" s="25" t="s">
        <v>1157</v>
      </c>
      <c r="BG731" s="14">
        <f t="shared" si="238"/>
        <v>132</v>
      </c>
      <c r="BH731" s="14">
        <f>SUMIFS(BG$4:BG731,AU$4:AU731,"="&amp;AU731,AY$4:AY731,"="&amp;AY731)</f>
        <v>495</v>
      </c>
      <c r="BI731" s="25" t="s">
        <v>1158</v>
      </c>
      <c r="BJ731" s="14">
        <f t="shared" si="239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1"/>
        <v>10</v>
      </c>
      <c r="AV732" s="14">
        <f t="shared" si="232"/>
        <v>201101</v>
      </c>
      <c r="AW732" s="14">
        <f t="shared" si="233"/>
        <v>1102011</v>
      </c>
      <c r="AX732" s="13" t="s">
        <v>1127</v>
      </c>
      <c r="AY732" s="13">
        <f t="shared" si="234"/>
        <v>1</v>
      </c>
      <c r="AZ732" s="13" t="s">
        <v>1148</v>
      </c>
      <c r="BA732" s="14">
        <f t="shared" si="235"/>
        <v>8</v>
      </c>
      <c r="BB732" s="14" t="str">
        <f t="shared" si="236"/>
        <v>张飞魂珠-1 等级-8</v>
      </c>
      <c r="BC732" s="25" t="s">
        <v>1156</v>
      </c>
      <c r="BD732" s="14">
        <f t="shared" si="237"/>
        <v>280</v>
      </c>
      <c r="BE732" s="14">
        <f>SUMIFS(BD$4:BD732,$AU$4:$AU732,"="&amp;$AU732,$AY$4:$AY732,"="&amp;$AY732)</f>
        <v>1180</v>
      </c>
      <c r="BF732" s="25" t="s">
        <v>1157</v>
      </c>
      <c r="BG732" s="14">
        <f t="shared" si="238"/>
        <v>154</v>
      </c>
      <c r="BH732" s="14">
        <f>SUMIFS(BG$4:BG732,AU$4:AU732,"="&amp;AU732,AY$4:AY732,"="&amp;AY732)</f>
        <v>649</v>
      </c>
      <c r="BI732" s="25" t="s">
        <v>1158</v>
      </c>
      <c r="BJ732" s="14">
        <f t="shared" si="239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1"/>
        <v>10</v>
      </c>
      <c r="AV733" s="14">
        <f t="shared" si="232"/>
        <v>201101</v>
      </c>
      <c r="AW733" s="14">
        <f t="shared" si="233"/>
        <v>1102011</v>
      </c>
      <c r="AX733" s="13" t="s">
        <v>1127</v>
      </c>
      <c r="AY733" s="13">
        <f t="shared" si="234"/>
        <v>1</v>
      </c>
      <c r="AZ733" s="13" t="s">
        <v>1148</v>
      </c>
      <c r="BA733" s="14">
        <f t="shared" si="235"/>
        <v>9</v>
      </c>
      <c r="BB733" s="14" t="str">
        <f t="shared" si="236"/>
        <v>张飞魂珠-1 等级-9</v>
      </c>
      <c r="BC733" s="25" t="s">
        <v>1156</v>
      </c>
      <c r="BD733" s="14">
        <f t="shared" si="237"/>
        <v>320</v>
      </c>
      <c r="BE733" s="14">
        <f>SUMIFS(BD$4:BD733,$AU$4:$AU733,"="&amp;$AU733,$AY$4:$AY733,"="&amp;$AY733)</f>
        <v>1500</v>
      </c>
      <c r="BF733" s="25" t="s">
        <v>1157</v>
      </c>
      <c r="BG733" s="14">
        <f t="shared" si="238"/>
        <v>176</v>
      </c>
      <c r="BH733" s="14">
        <f>SUMIFS(BG$4:BG733,AU$4:AU733,"="&amp;AU733,AY$4:AY733,"="&amp;AY733)</f>
        <v>825</v>
      </c>
      <c r="BI733" s="25" t="s">
        <v>1158</v>
      </c>
      <c r="BJ733" s="14">
        <f t="shared" si="239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1"/>
        <v>10</v>
      </c>
      <c r="AV734" s="14">
        <f t="shared" si="232"/>
        <v>201102</v>
      </c>
      <c r="AW734" s="14">
        <f t="shared" si="233"/>
        <v>1102011</v>
      </c>
      <c r="AX734" s="13" t="s">
        <v>1127</v>
      </c>
      <c r="AY734" s="13">
        <f t="shared" si="234"/>
        <v>2</v>
      </c>
      <c r="AZ734" s="13" t="s">
        <v>1148</v>
      </c>
      <c r="BA734" s="14">
        <f t="shared" si="235"/>
        <v>0</v>
      </c>
      <c r="BB734" s="14" t="str">
        <f t="shared" si="236"/>
        <v>张飞魂珠-2 等级-0</v>
      </c>
      <c r="BC734" s="25" t="s">
        <v>1156</v>
      </c>
      <c r="BD734" s="14">
        <f t="shared" si="237"/>
        <v>0</v>
      </c>
      <c r="BE734" s="14">
        <f>SUMIFS(BD$4:BD734,$AU$4:$AU734,"="&amp;$AU734,$AY$4:$AY734,"="&amp;$AY734)</f>
        <v>0</v>
      </c>
      <c r="BF734" s="25" t="s">
        <v>1157</v>
      </c>
      <c r="BG734" s="14">
        <f t="shared" si="238"/>
        <v>0</v>
      </c>
      <c r="BH734" s="14">
        <f>SUMIFS(BG$4:BG734,AU$4:AU734,"="&amp;AU734,AY$4:AY734,"="&amp;AY734)</f>
        <v>0</v>
      </c>
      <c r="BI734" s="25" t="s">
        <v>1158</v>
      </c>
      <c r="BJ734" s="14">
        <f t="shared" si="239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1"/>
        <v>10</v>
      </c>
      <c r="AV735" s="14">
        <f t="shared" si="232"/>
        <v>201102</v>
      </c>
      <c r="AW735" s="14">
        <f t="shared" si="233"/>
        <v>1102011</v>
      </c>
      <c r="AX735" s="13" t="s">
        <v>1127</v>
      </c>
      <c r="AY735" s="13">
        <f t="shared" si="234"/>
        <v>2</v>
      </c>
      <c r="AZ735" s="13" t="s">
        <v>1148</v>
      </c>
      <c r="BA735" s="14">
        <f t="shared" si="235"/>
        <v>1</v>
      </c>
      <c r="BB735" s="14" t="str">
        <f t="shared" si="236"/>
        <v>张飞魂珠-2 等级-1</v>
      </c>
      <c r="BC735" s="25" t="s">
        <v>1156</v>
      </c>
      <c r="BD735" s="14">
        <f t="shared" si="237"/>
        <v>50</v>
      </c>
      <c r="BE735" s="14">
        <f>SUMIFS(BD$4:BD735,$AU$4:$AU735,"="&amp;$AU735,$AY$4:$AY735,"="&amp;$AY735)</f>
        <v>50</v>
      </c>
      <c r="BF735" s="25" t="s">
        <v>1157</v>
      </c>
      <c r="BG735" s="14">
        <f t="shared" si="238"/>
        <v>28</v>
      </c>
      <c r="BH735" s="14">
        <f>SUMIFS(BG$4:BG735,AU$4:AU735,"="&amp;AU735,AY$4:AY735,"="&amp;AY735)</f>
        <v>28</v>
      </c>
      <c r="BI735" s="25" t="s">
        <v>1158</v>
      </c>
      <c r="BJ735" s="14">
        <f t="shared" si="239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1"/>
        <v>10</v>
      </c>
      <c r="AV736" s="14">
        <f t="shared" si="232"/>
        <v>201102</v>
      </c>
      <c r="AW736" s="14">
        <f t="shared" si="233"/>
        <v>1102011</v>
      </c>
      <c r="AX736" s="13" t="s">
        <v>1127</v>
      </c>
      <c r="AY736" s="13">
        <f t="shared" si="234"/>
        <v>2</v>
      </c>
      <c r="AZ736" s="13" t="s">
        <v>1148</v>
      </c>
      <c r="BA736" s="14">
        <f t="shared" si="235"/>
        <v>2</v>
      </c>
      <c r="BB736" s="14" t="str">
        <f t="shared" si="236"/>
        <v>张飞魂珠-2 等级-2</v>
      </c>
      <c r="BC736" s="25" t="s">
        <v>1156</v>
      </c>
      <c r="BD736" s="14">
        <f t="shared" si="237"/>
        <v>80</v>
      </c>
      <c r="BE736" s="14">
        <f>SUMIFS(BD$4:BD736,$AU$4:$AU736,"="&amp;$AU736,$AY$4:$AY736,"="&amp;$AY736)</f>
        <v>130</v>
      </c>
      <c r="BF736" s="25" t="s">
        <v>1157</v>
      </c>
      <c r="BG736" s="14">
        <f t="shared" si="238"/>
        <v>44</v>
      </c>
      <c r="BH736" s="14">
        <f>SUMIFS(BG$4:BG736,AU$4:AU736,"="&amp;AU736,AY$4:AY736,"="&amp;AY736)</f>
        <v>72</v>
      </c>
      <c r="BI736" s="25" t="s">
        <v>1158</v>
      </c>
      <c r="BJ736" s="14">
        <f t="shared" si="239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1"/>
        <v>10</v>
      </c>
      <c r="AV737" s="14">
        <f t="shared" si="232"/>
        <v>201102</v>
      </c>
      <c r="AW737" s="14">
        <f t="shared" si="233"/>
        <v>1102011</v>
      </c>
      <c r="AX737" s="13" t="s">
        <v>1127</v>
      </c>
      <c r="AY737" s="13">
        <f t="shared" si="234"/>
        <v>2</v>
      </c>
      <c r="AZ737" s="13" t="s">
        <v>1148</v>
      </c>
      <c r="BA737" s="14">
        <f t="shared" si="235"/>
        <v>3</v>
      </c>
      <c r="BB737" s="14" t="str">
        <f t="shared" si="236"/>
        <v>张飞魂珠-2 等级-3</v>
      </c>
      <c r="BC737" s="25" t="s">
        <v>1156</v>
      </c>
      <c r="BD737" s="14">
        <f t="shared" si="237"/>
        <v>100</v>
      </c>
      <c r="BE737" s="14">
        <f>SUMIFS(BD$4:BD737,$AU$4:$AU737,"="&amp;$AU737,$AY$4:$AY737,"="&amp;$AY737)</f>
        <v>230</v>
      </c>
      <c r="BF737" s="25" t="s">
        <v>1157</v>
      </c>
      <c r="BG737" s="14">
        <f t="shared" si="238"/>
        <v>55</v>
      </c>
      <c r="BH737" s="14">
        <f>SUMIFS(BG$4:BG737,AU$4:AU737,"="&amp;AU737,AY$4:AY737,"="&amp;AY737)</f>
        <v>127</v>
      </c>
      <c r="BI737" s="25" t="s">
        <v>1158</v>
      </c>
      <c r="BJ737" s="14">
        <f t="shared" si="239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1"/>
        <v>10</v>
      </c>
      <c r="AV738" s="14">
        <f t="shared" si="232"/>
        <v>201102</v>
      </c>
      <c r="AW738" s="14">
        <f t="shared" si="233"/>
        <v>1102011</v>
      </c>
      <c r="AX738" s="13" t="s">
        <v>1127</v>
      </c>
      <c r="AY738" s="13">
        <f t="shared" si="234"/>
        <v>2</v>
      </c>
      <c r="AZ738" s="13" t="s">
        <v>1148</v>
      </c>
      <c r="BA738" s="14">
        <f t="shared" si="235"/>
        <v>4</v>
      </c>
      <c r="BB738" s="14" t="str">
        <f t="shared" si="236"/>
        <v>张飞魂珠-2 等级-4</v>
      </c>
      <c r="BC738" s="25" t="s">
        <v>1156</v>
      </c>
      <c r="BD738" s="14">
        <f t="shared" si="237"/>
        <v>160</v>
      </c>
      <c r="BE738" s="14">
        <f>SUMIFS(BD$4:BD738,$AU$4:$AU738,"="&amp;$AU738,$AY$4:$AY738,"="&amp;$AY738)</f>
        <v>390</v>
      </c>
      <c r="BF738" s="25" t="s">
        <v>1157</v>
      </c>
      <c r="BG738" s="14">
        <f t="shared" si="238"/>
        <v>88</v>
      </c>
      <c r="BH738" s="14">
        <f>SUMIFS(BG$4:BG738,AU$4:AU738,"="&amp;AU738,AY$4:AY738,"="&amp;AY738)</f>
        <v>215</v>
      </c>
      <c r="BI738" s="25" t="s">
        <v>1158</v>
      </c>
      <c r="BJ738" s="14">
        <f t="shared" si="239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1"/>
        <v>10</v>
      </c>
      <c r="AV739" s="14">
        <f t="shared" si="232"/>
        <v>201102</v>
      </c>
      <c r="AW739" s="14">
        <f t="shared" si="233"/>
        <v>1102011</v>
      </c>
      <c r="AX739" s="13" t="s">
        <v>1127</v>
      </c>
      <c r="AY739" s="13">
        <f t="shared" si="234"/>
        <v>2</v>
      </c>
      <c r="AZ739" s="13" t="s">
        <v>1148</v>
      </c>
      <c r="BA739" s="14">
        <f t="shared" si="235"/>
        <v>5</v>
      </c>
      <c r="BB739" s="14" t="str">
        <f t="shared" si="236"/>
        <v>张飞魂珠-2 等级-5</v>
      </c>
      <c r="BC739" s="25" t="s">
        <v>1156</v>
      </c>
      <c r="BD739" s="14">
        <f t="shared" si="237"/>
        <v>220</v>
      </c>
      <c r="BE739" s="14">
        <f>SUMIFS(BD$4:BD739,$AU$4:$AU739,"="&amp;$AU739,$AY$4:$AY739,"="&amp;$AY739)</f>
        <v>610</v>
      </c>
      <c r="BF739" s="25" t="s">
        <v>1157</v>
      </c>
      <c r="BG739" s="14">
        <f t="shared" si="238"/>
        <v>121</v>
      </c>
      <c r="BH739" s="14">
        <f>SUMIFS(BG$4:BG739,AU$4:AU739,"="&amp;AU739,AY$4:AY739,"="&amp;AY739)</f>
        <v>336</v>
      </c>
      <c r="BI739" s="25" t="s">
        <v>1158</v>
      </c>
      <c r="BJ739" s="14">
        <f t="shared" si="239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1"/>
        <v>10</v>
      </c>
      <c r="AV740" s="14">
        <f t="shared" si="232"/>
        <v>201102</v>
      </c>
      <c r="AW740" s="14">
        <f t="shared" si="233"/>
        <v>1102011</v>
      </c>
      <c r="AX740" s="13" t="s">
        <v>1127</v>
      </c>
      <c r="AY740" s="13">
        <f t="shared" si="234"/>
        <v>2</v>
      </c>
      <c r="AZ740" s="13" t="s">
        <v>1148</v>
      </c>
      <c r="BA740" s="14">
        <f t="shared" si="235"/>
        <v>6</v>
      </c>
      <c r="BB740" s="14" t="str">
        <f t="shared" si="236"/>
        <v>张飞魂珠-2 等级-6</v>
      </c>
      <c r="BC740" s="25" t="s">
        <v>1156</v>
      </c>
      <c r="BD740" s="14">
        <f t="shared" si="237"/>
        <v>280</v>
      </c>
      <c r="BE740" s="14">
        <f>SUMIFS(BD$4:BD740,$AU$4:$AU740,"="&amp;$AU740,$AY$4:$AY740,"="&amp;$AY740)</f>
        <v>890</v>
      </c>
      <c r="BF740" s="25" t="s">
        <v>1157</v>
      </c>
      <c r="BG740" s="14">
        <f t="shared" si="238"/>
        <v>154</v>
      </c>
      <c r="BH740" s="14">
        <f>SUMIFS(BG$4:BG740,AU$4:AU740,"="&amp;AU740,AY$4:AY740,"="&amp;AY740)</f>
        <v>490</v>
      </c>
      <c r="BI740" s="25" t="s">
        <v>1158</v>
      </c>
      <c r="BJ740" s="14">
        <f t="shared" si="239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1"/>
        <v>10</v>
      </c>
      <c r="AV741" s="14">
        <f t="shared" si="232"/>
        <v>201102</v>
      </c>
      <c r="AW741" s="14">
        <f t="shared" si="233"/>
        <v>1102011</v>
      </c>
      <c r="AX741" s="13" t="s">
        <v>1127</v>
      </c>
      <c r="AY741" s="13">
        <f t="shared" si="234"/>
        <v>2</v>
      </c>
      <c r="AZ741" s="13" t="s">
        <v>1148</v>
      </c>
      <c r="BA741" s="14">
        <f t="shared" si="235"/>
        <v>7</v>
      </c>
      <c r="BB741" s="14" t="str">
        <f t="shared" si="236"/>
        <v>张飞魂珠-2 等级-7</v>
      </c>
      <c r="BC741" s="25" t="s">
        <v>1156</v>
      </c>
      <c r="BD741" s="14">
        <f t="shared" si="237"/>
        <v>320</v>
      </c>
      <c r="BE741" s="14">
        <f>SUMIFS(BD$4:BD741,$AU$4:$AU741,"="&amp;$AU741,$AY$4:$AY741,"="&amp;$AY741)</f>
        <v>1210</v>
      </c>
      <c r="BF741" s="25" t="s">
        <v>1157</v>
      </c>
      <c r="BG741" s="14">
        <f t="shared" si="238"/>
        <v>176</v>
      </c>
      <c r="BH741" s="14">
        <f>SUMIFS(BG$4:BG741,AU$4:AU741,"="&amp;AU741,AY$4:AY741,"="&amp;AY741)</f>
        <v>666</v>
      </c>
      <c r="BI741" s="25" t="s">
        <v>1158</v>
      </c>
      <c r="BJ741" s="14">
        <f t="shared" si="239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1"/>
        <v>10</v>
      </c>
      <c r="AV742" s="14">
        <f t="shared" si="232"/>
        <v>201102</v>
      </c>
      <c r="AW742" s="14">
        <f t="shared" si="233"/>
        <v>1102011</v>
      </c>
      <c r="AX742" s="13" t="s">
        <v>1127</v>
      </c>
      <c r="AY742" s="13">
        <f t="shared" si="234"/>
        <v>2</v>
      </c>
      <c r="AZ742" s="13" t="s">
        <v>1148</v>
      </c>
      <c r="BA742" s="14">
        <f t="shared" si="235"/>
        <v>8</v>
      </c>
      <c r="BB742" s="14" t="str">
        <f t="shared" si="236"/>
        <v>张飞魂珠-2 等级-8</v>
      </c>
      <c r="BC742" s="25" t="s">
        <v>1156</v>
      </c>
      <c r="BD742" s="14">
        <f t="shared" si="237"/>
        <v>380</v>
      </c>
      <c r="BE742" s="14">
        <f>SUMIFS(BD$4:BD742,$AU$4:$AU742,"="&amp;$AU742,$AY$4:$AY742,"="&amp;$AY742)</f>
        <v>1590</v>
      </c>
      <c r="BF742" s="25" t="s">
        <v>1157</v>
      </c>
      <c r="BG742" s="14">
        <f t="shared" si="238"/>
        <v>209</v>
      </c>
      <c r="BH742" s="14">
        <f>SUMIFS(BG$4:BG742,AU$4:AU742,"="&amp;AU742,AY$4:AY742,"="&amp;AY742)</f>
        <v>875</v>
      </c>
      <c r="BI742" s="25" t="s">
        <v>1158</v>
      </c>
      <c r="BJ742" s="14">
        <f t="shared" si="239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1"/>
        <v>10</v>
      </c>
      <c r="AV743" s="14">
        <f t="shared" si="232"/>
        <v>201102</v>
      </c>
      <c r="AW743" s="14">
        <f t="shared" si="233"/>
        <v>1102011</v>
      </c>
      <c r="AX743" s="13" t="s">
        <v>1127</v>
      </c>
      <c r="AY743" s="13">
        <f t="shared" si="234"/>
        <v>2</v>
      </c>
      <c r="AZ743" s="13" t="s">
        <v>1148</v>
      </c>
      <c r="BA743" s="14">
        <f t="shared" si="235"/>
        <v>9</v>
      </c>
      <c r="BB743" s="14" t="str">
        <f t="shared" si="236"/>
        <v>张飞魂珠-2 等级-9</v>
      </c>
      <c r="BC743" s="25" t="s">
        <v>1156</v>
      </c>
      <c r="BD743" s="14">
        <f t="shared" si="237"/>
        <v>450</v>
      </c>
      <c r="BE743" s="14">
        <f>SUMIFS(BD$4:BD743,$AU$4:$AU743,"="&amp;$AU743,$AY$4:$AY743,"="&amp;$AY743)</f>
        <v>2040</v>
      </c>
      <c r="BF743" s="25" t="s">
        <v>1157</v>
      </c>
      <c r="BG743" s="14">
        <f t="shared" si="238"/>
        <v>248</v>
      </c>
      <c r="BH743" s="14">
        <f>SUMIFS(BG$4:BG743,AU$4:AU743,"="&amp;AU743,AY$4:AY743,"="&amp;AY743)</f>
        <v>1123</v>
      </c>
      <c r="BI743" s="25" t="s">
        <v>1158</v>
      </c>
      <c r="BJ743" s="14">
        <f t="shared" si="239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1"/>
        <v>10</v>
      </c>
      <c r="AV744" s="14">
        <f t="shared" si="232"/>
        <v>201103</v>
      </c>
      <c r="AW744" s="14">
        <f t="shared" si="233"/>
        <v>1102011</v>
      </c>
      <c r="AX744" s="13" t="s">
        <v>1127</v>
      </c>
      <c r="AY744" s="13">
        <f t="shared" si="234"/>
        <v>3</v>
      </c>
      <c r="AZ744" s="13" t="s">
        <v>1148</v>
      </c>
      <c r="BA744" s="14">
        <f t="shared" si="235"/>
        <v>0</v>
      </c>
      <c r="BB744" s="14" t="str">
        <f t="shared" si="236"/>
        <v>张飞魂珠-3 等级-0</v>
      </c>
      <c r="BC744" s="25" t="s">
        <v>1156</v>
      </c>
      <c r="BD744" s="14">
        <f t="shared" si="237"/>
        <v>0</v>
      </c>
      <c r="BE744" s="14">
        <f>SUMIFS(BD$4:BD744,$AU$4:$AU744,"="&amp;$AU744,$AY$4:$AY744,"="&amp;$AY744)</f>
        <v>0</v>
      </c>
      <c r="BF744" s="25" t="s">
        <v>1157</v>
      </c>
      <c r="BG744" s="14">
        <f t="shared" si="238"/>
        <v>0</v>
      </c>
      <c r="BH744" s="14">
        <f>SUMIFS(BG$4:BG744,AU$4:AU744,"="&amp;AU744,AY$4:AY744,"="&amp;AY744)</f>
        <v>0</v>
      </c>
      <c r="BI744" s="25" t="s">
        <v>1158</v>
      </c>
      <c r="BJ744" s="14">
        <f t="shared" si="239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1"/>
        <v>10</v>
      </c>
      <c r="AV745" s="14">
        <f t="shared" si="232"/>
        <v>201103</v>
      </c>
      <c r="AW745" s="14">
        <f t="shared" si="233"/>
        <v>1102011</v>
      </c>
      <c r="AX745" s="13" t="s">
        <v>1127</v>
      </c>
      <c r="AY745" s="13">
        <f t="shared" si="234"/>
        <v>3</v>
      </c>
      <c r="AZ745" s="13" t="s">
        <v>1148</v>
      </c>
      <c r="BA745" s="14">
        <f t="shared" si="235"/>
        <v>1</v>
      </c>
      <c r="BB745" s="14" t="str">
        <f t="shared" si="236"/>
        <v>张飞魂珠-3 等级-1</v>
      </c>
      <c r="BC745" s="25" t="s">
        <v>1156</v>
      </c>
      <c r="BD745" s="14">
        <f t="shared" si="237"/>
        <v>80</v>
      </c>
      <c r="BE745" s="14">
        <f>SUMIFS(BD$4:BD745,$AU$4:$AU745,"="&amp;$AU745,$AY$4:$AY745,"="&amp;$AY745)</f>
        <v>80</v>
      </c>
      <c r="BF745" s="25" t="s">
        <v>1157</v>
      </c>
      <c r="BG745" s="14">
        <f t="shared" si="238"/>
        <v>44</v>
      </c>
      <c r="BH745" s="14">
        <f>SUMIFS(BG$4:BG745,AU$4:AU745,"="&amp;AU745,AY$4:AY745,"="&amp;AY745)</f>
        <v>44</v>
      </c>
      <c r="BI745" s="25" t="s">
        <v>1158</v>
      </c>
      <c r="BJ745" s="14">
        <f t="shared" si="239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1"/>
        <v>10</v>
      </c>
      <c r="AV746" s="14">
        <f t="shared" si="232"/>
        <v>201103</v>
      </c>
      <c r="AW746" s="14">
        <f t="shared" si="233"/>
        <v>1102011</v>
      </c>
      <c r="AX746" s="13" t="s">
        <v>1127</v>
      </c>
      <c r="AY746" s="13">
        <f t="shared" si="234"/>
        <v>3</v>
      </c>
      <c r="AZ746" s="13" t="s">
        <v>1148</v>
      </c>
      <c r="BA746" s="14">
        <f t="shared" si="235"/>
        <v>2</v>
      </c>
      <c r="BB746" s="14" t="str">
        <f t="shared" si="236"/>
        <v>张飞魂珠-3 等级-2</v>
      </c>
      <c r="BC746" s="25" t="s">
        <v>1156</v>
      </c>
      <c r="BD746" s="14">
        <f t="shared" si="237"/>
        <v>120</v>
      </c>
      <c r="BE746" s="14">
        <f>SUMIFS(BD$4:BD746,$AU$4:$AU746,"="&amp;$AU746,$AY$4:$AY746,"="&amp;$AY746)</f>
        <v>200</v>
      </c>
      <c r="BF746" s="25" t="s">
        <v>1157</v>
      </c>
      <c r="BG746" s="14">
        <f t="shared" si="238"/>
        <v>66</v>
      </c>
      <c r="BH746" s="14">
        <f>SUMIFS(BG$4:BG746,AU$4:AU746,"="&amp;AU746,AY$4:AY746,"="&amp;AY746)</f>
        <v>110</v>
      </c>
      <c r="BI746" s="25" t="s">
        <v>1158</v>
      </c>
      <c r="BJ746" s="14">
        <f t="shared" si="239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1"/>
        <v>10</v>
      </c>
      <c r="AV747" s="14">
        <f t="shared" si="232"/>
        <v>201103</v>
      </c>
      <c r="AW747" s="14">
        <f t="shared" si="233"/>
        <v>1102011</v>
      </c>
      <c r="AX747" s="13" t="s">
        <v>1127</v>
      </c>
      <c r="AY747" s="13">
        <f t="shared" si="234"/>
        <v>3</v>
      </c>
      <c r="AZ747" s="13" t="s">
        <v>1148</v>
      </c>
      <c r="BA747" s="14">
        <f t="shared" si="235"/>
        <v>3</v>
      </c>
      <c r="BB747" s="14" t="str">
        <f t="shared" si="236"/>
        <v>张飞魂珠-3 等级-3</v>
      </c>
      <c r="BC747" s="25" t="s">
        <v>1156</v>
      </c>
      <c r="BD747" s="14">
        <f t="shared" si="237"/>
        <v>160</v>
      </c>
      <c r="BE747" s="14">
        <f>SUMIFS(BD$4:BD747,$AU$4:$AU747,"="&amp;$AU747,$AY$4:$AY747,"="&amp;$AY747)</f>
        <v>360</v>
      </c>
      <c r="BF747" s="25" t="s">
        <v>1157</v>
      </c>
      <c r="BG747" s="14">
        <f t="shared" si="238"/>
        <v>88</v>
      </c>
      <c r="BH747" s="14">
        <f>SUMIFS(BG$4:BG747,AU$4:AU747,"="&amp;AU747,AY$4:AY747,"="&amp;AY747)</f>
        <v>198</v>
      </c>
      <c r="BI747" s="25" t="s">
        <v>1158</v>
      </c>
      <c r="BJ747" s="14">
        <f t="shared" si="239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1"/>
        <v>10</v>
      </c>
      <c r="AV748" s="14">
        <f t="shared" si="232"/>
        <v>201103</v>
      </c>
      <c r="AW748" s="14">
        <f t="shared" si="233"/>
        <v>1102011</v>
      </c>
      <c r="AX748" s="13" t="s">
        <v>1127</v>
      </c>
      <c r="AY748" s="13">
        <f t="shared" si="234"/>
        <v>3</v>
      </c>
      <c r="AZ748" s="13" t="s">
        <v>1148</v>
      </c>
      <c r="BA748" s="14">
        <f t="shared" si="235"/>
        <v>4</v>
      </c>
      <c r="BB748" s="14" t="str">
        <f t="shared" si="236"/>
        <v>张飞魂珠-3 等级-4</v>
      </c>
      <c r="BC748" s="25" t="s">
        <v>1156</v>
      </c>
      <c r="BD748" s="14">
        <f t="shared" si="237"/>
        <v>240</v>
      </c>
      <c r="BE748" s="14">
        <f>SUMIFS(BD$4:BD748,$AU$4:$AU748,"="&amp;$AU748,$AY$4:$AY748,"="&amp;$AY748)</f>
        <v>600</v>
      </c>
      <c r="BF748" s="25" t="s">
        <v>1157</v>
      </c>
      <c r="BG748" s="14">
        <f t="shared" si="238"/>
        <v>132</v>
      </c>
      <c r="BH748" s="14">
        <f>SUMIFS(BG$4:BG748,AU$4:AU748,"="&amp;AU748,AY$4:AY748,"="&amp;AY748)</f>
        <v>330</v>
      </c>
      <c r="BI748" s="25" t="s">
        <v>1158</v>
      </c>
      <c r="BJ748" s="14">
        <f t="shared" si="239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1"/>
        <v>10</v>
      </c>
      <c r="AV749" s="14">
        <f t="shared" si="232"/>
        <v>201103</v>
      </c>
      <c r="AW749" s="14">
        <f t="shared" si="233"/>
        <v>1102011</v>
      </c>
      <c r="AX749" s="13" t="s">
        <v>1127</v>
      </c>
      <c r="AY749" s="13">
        <f t="shared" si="234"/>
        <v>3</v>
      </c>
      <c r="AZ749" s="13" t="s">
        <v>1148</v>
      </c>
      <c r="BA749" s="14">
        <f t="shared" si="235"/>
        <v>5</v>
      </c>
      <c r="BB749" s="14" t="str">
        <f t="shared" si="236"/>
        <v>张飞魂珠-3 等级-5</v>
      </c>
      <c r="BC749" s="25" t="s">
        <v>1156</v>
      </c>
      <c r="BD749" s="14">
        <f t="shared" si="237"/>
        <v>320</v>
      </c>
      <c r="BE749" s="14">
        <f>SUMIFS(BD$4:BD749,$AU$4:$AU749,"="&amp;$AU749,$AY$4:$AY749,"="&amp;$AY749)</f>
        <v>920</v>
      </c>
      <c r="BF749" s="25" t="s">
        <v>1157</v>
      </c>
      <c r="BG749" s="14">
        <f t="shared" si="238"/>
        <v>176</v>
      </c>
      <c r="BH749" s="14">
        <f>SUMIFS(BG$4:BG749,AU$4:AU749,"="&amp;AU749,AY$4:AY749,"="&amp;AY749)</f>
        <v>506</v>
      </c>
      <c r="BI749" s="25" t="s">
        <v>1158</v>
      </c>
      <c r="BJ749" s="14">
        <f t="shared" si="239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1"/>
        <v>10</v>
      </c>
      <c r="AV750" s="14">
        <f t="shared" si="232"/>
        <v>201103</v>
      </c>
      <c r="AW750" s="14">
        <f t="shared" si="233"/>
        <v>1102011</v>
      </c>
      <c r="AX750" s="13" t="s">
        <v>1127</v>
      </c>
      <c r="AY750" s="13">
        <f t="shared" si="234"/>
        <v>3</v>
      </c>
      <c r="AZ750" s="13" t="s">
        <v>1148</v>
      </c>
      <c r="BA750" s="14">
        <f t="shared" si="235"/>
        <v>6</v>
      </c>
      <c r="BB750" s="14" t="str">
        <f t="shared" si="236"/>
        <v>张飞魂珠-3 等级-6</v>
      </c>
      <c r="BC750" s="25" t="s">
        <v>1156</v>
      </c>
      <c r="BD750" s="14">
        <f t="shared" si="237"/>
        <v>400</v>
      </c>
      <c r="BE750" s="14">
        <f>SUMIFS(BD$4:BD750,$AU$4:$AU750,"="&amp;$AU750,$AY$4:$AY750,"="&amp;$AY750)</f>
        <v>1320</v>
      </c>
      <c r="BF750" s="25" t="s">
        <v>1157</v>
      </c>
      <c r="BG750" s="14">
        <f t="shared" si="238"/>
        <v>220</v>
      </c>
      <c r="BH750" s="14">
        <f>SUMIFS(BG$4:BG750,AU$4:AU750,"="&amp;AU750,AY$4:AY750,"="&amp;AY750)</f>
        <v>726</v>
      </c>
      <c r="BI750" s="25" t="s">
        <v>1158</v>
      </c>
      <c r="BJ750" s="14">
        <f t="shared" si="239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1"/>
        <v>10</v>
      </c>
      <c r="AV751" s="14">
        <f t="shared" si="232"/>
        <v>201103</v>
      </c>
      <c r="AW751" s="14">
        <f t="shared" si="233"/>
        <v>1102011</v>
      </c>
      <c r="AX751" s="13" t="s">
        <v>1127</v>
      </c>
      <c r="AY751" s="13">
        <f t="shared" si="234"/>
        <v>3</v>
      </c>
      <c r="AZ751" s="13" t="s">
        <v>1148</v>
      </c>
      <c r="BA751" s="14">
        <f t="shared" si="235"/>
        <v>7</v>
      </c>
      <c r="BB751" s="14" t="str">
        <f t="shared" si="236"/>
        <v>张飞魂珠-3 等级-7</v>
      </c>
      <c r="BC751" s="25" t="s">
        <v>1156</v>
      </c>
      <c r="BD751" s="14">
        <f t="shared" si="237"/>
        <v>480</v>
      </c>
      <c r="BE751" s="14">
        <f>SUMIFS(BD$4:BD751,$AU$4:$AU751,"="&amp;$AU751,$AY$4:$AY751,"="&amp;$AY751)</f>
        <v>1800</v>
      </c>
      <c r="BF751" s="25" t="s">
        <v>1157</v>
      </c>
      <c r="BG751" s="14">
        <f t="shared" si="238"/>
        <v>264</v>
      </c>
      <c r="BH751" s="14">
        <f>SUMIFS(BG$4:BG751,AU$4:AU751,"="&amp;AU751,AY$4:AY751,"="&amp;AY751)</f>
        <v>990</v>
      </c>
      <c r="BI751" s="25" t="s">
        <v>1158</v>
      </c>
      <c r="BJ751" s="14">
        <f t="shared" si="239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1"/>
        <v>10</v>
      </c>
      <c r="AV752" s="14">
        <f t="shared" si="232"/>
        <v>201103</v>
      </c>
      <c r="AW752" s="14">
        <f t="shared" si="233"/>
        <v>1102011</v>
      </c>
      <c r="AX752" s="13" t="s">
        <v>1127</v>
      </c>
      <c r="AY752" s="13">
        <f t="shared" si="234"/>
        <v>3</v>
      </c>
      <c r="AZ752" s="13" t="s">
        <v>1148</v>
      </c>
      <c r="BA752" s="14">
        <f t="shared" si="235"/>
        <v>8</v>
      </c>
      <c r="BB752" s="14" t="str">
        <f t="shared" si="236"/>
        <v>张飞魂珠-3 等级-8</v>
      </c>
      <c r="BC752" s="25" t="s">
        <v>1156</v>
      </c>
      <c r="BD752" s="14">
        <f t="shared" si="237"/>
        <v>560</v>
      </c>
      <c r="BE752" s="14">
        <f>SUMIFS(BD$4:BD752,$AU$4:$AU752,"="&amp;$AU752,$AY$4:$AY752,"="&amp;$AY752)</f>
        <v>2360</v>
      </c>
      <c r="BF752" s="25" t="s">
        <v>1157</v>
      </c>
      <c r="BG752" s="14">
        <f t="shared" si="238"/>
        <v>308</v>
      </c>
      <c r="BH752" s="14">
        <f>SUMIFS(BG$4:BG752,AU$4:AU752,"="&amp;AU752,AY$4:AY752,"="&amp;AY752)</f>
        <v>1298</v>
      </c>
      <c r="BI752" s="25" t="s">
        <v>1158</v>
      </c>
      <c r="BJ752" s="14">
        <f t="shared" si="239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1"/>
        <v>10</v>
      </c>
      <c r="AV753" s="14">
        <f t="shared" si="232"/>
        <v>201103</v>
      </c>
      <c r="AW753" s="14">
        <f t="shared" si="233"/>
        <v>1102011</v>
      </c>
      <c r="AX753" s="13" t="s">
        <v>1127</v>
      </c>
      <c r="AY753" s="13">
        <f t="shared" si="234"/>
        <v>3</v>
      </c>
      <c r="AZ753" s="13" t="s">
        <v>1148</v>
      </c>
      <c r="BA753" s="14">
        <f t="shared" si="235"/>
        <v>9</v>
      </c>
      <c r="BB753" s="14" t="str">
        <f t="shared" si="236"/>
        <v>张飞魂珠-3 等级-9</v>
      </c>
      <c r="BC753" s="25" t="s">
        <v>1156</v>
      </c>
      <c r="BD753" s="14">
        <f t="shared" si="237"/>
        <v>640</v>
      </c>
      <c r="BE753" s="14">
        <f>SUMIFS(BD$4:BD753,$AU$4:$AU753,"="&amp;$AU753,$AY$4:$AY753,"="&amp;$AY753)</f>
        <v>3000</v>
      </c>
      <c r="BF753" s="25" t="s">
        <v>1157</v>
      </c>
      <c r="BG753" s="14">
        <f t="shared" si="238"/>
        <v>352</v>
      </c>
      <c r="BH753" s="14">
        <f>SUMIFS(BG$4:BG753,AU$4:AU753,"="&amp;AU753,AY$4:AY753,"="&amp;AY753)</f>
        <v>1650</v>
      </c>
      <c r="BI753" s="25" t="s">
        <v>1158</v>
      </c>
      <c r="BJ753" s="14">
        <f t="shared" si="239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1"/>
        <v>10</v>
      </c>
      <c r="AV754" s="14">
        <f t="shared" si="232"/>
        <v>201104</v>
      </c>
      <c r="AW754" s="14">
        <f t="shared" si="233"/>
        <v>1102011</v>
      </c>
      <c r="AX754" s="13" t="s">
        <v>1127</v>
      </c>
      <c r="AY754" s="13">
        <f t="shared" si="234"/>
        <v>4</v>
      </c>
      <c r="AZ754" s="13" t="s">
        <v>1148</v>
      </c>
      <c r="BA754" s="14">
        <f t="shared" si="235"/>
        <v>0</v>
      </c>
      <c r="BB754" s="14" t="str">
        <f t="shared" si="236"/>
        <v>张飞魂珠-4 等级-0</v>
      </c>
      <c r="BC754" s="25" t="s">
        <v>1156</v>
      </c>
      <c r="BD754" s="14">
        <f t="shared" si="237"/>
        <v>0</v>
      </c>
      <c r="BE754" s="14">
        <f>SUMIFS(BD$4:BD754,$AU$4:$AU754,"="&amp;$AU754,$AY$4:$AY754,"="&amp;$AY754)</f>
        <v>0</v>
      </c>
      <c r="BF754" s="25" t="s">
        <v>1157</v>
      </c>
      <c r="BG754" s="14">
        <f t="shared" si="238"/>
        <v>0</v>
      </c>
      <c r="BH754" s="14">
        <f>SUMIFS(BG$4:BG754,AU$4:AU754,"="&amp;AU754,AY$4:AY754,"="&amp;AY754)</f>
        <v>0</v>
      </c>
      <c r="BI754" s="25" t="s">
        <v>1158</v>
      </c>
      <c r="BJ754" s="14">
        <f t="shared" si="239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1"/>
        <v>10</v>
      </c>
      <c r="AV755" s="14">
        <f t="shared" si="232"/>
        <v>201104</v>
      </c>
      <c r="AW755" s="14">
        <f t="shared" si="233"/>
        <v>1102011</v>
      </c>
      <c r="AX755" s="13" t="s">
        <v>1127</v>
      </c>
      <c r="AY755" s="13">
        <f t="shared" si="234"/>
        <v>4</v>
      </c>
      <c r="AZ755" s="13" t="s">
        <v>1148</v>
      </c>
      <c r="BA755" s="14">
        <f t="shared" si="235"/>
        <v>1</v>
      </c>
      <c r="BB755" s="14" t="str">
        <f t="shared" si="236"/>
        <v>张飞魂珠-4 等级-1</v>
      </c>
      <c r="BC755" s="25" t="s">
        <v>1156</v>
      </c>
      <c r="BD755" s="14">
        <f t="shared" si="237"/>
        <v>100</v>
      </c>
      <c r="BE755" s="14">
        <f>SUMIFS(BD$4:BD755,$AU$4:$AU755,"="&amp;$AU755,$AY$4:$AY755,"="&amp;$AY755)</f>
        <v>100</v>
      </c>
      <c r="BF755" s="25" t="s">
        <v>1157</v>
      </c>
      <c r="BG755" s="14">
        <f t="shared" si="238"/>
        <v>55</v>
      </c>
      <c r="BH755" s="14">
        <f>SUMIFS(BG$4:BG755,AU$4:AU755,"="&amp;AU755,AY$4:AY755,"="&amp;AY755)</f>
        <v>55</v>
      </c>
      <c r="BI755" s="25" t="s">
        <v>1158</v>
      </c>
      <c r="BJ755" s="14">
        <f t="shared" si="239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1"/>
        <v>10</v>
      </c>
      <c r="AV756" s="14">
        <f t="shared" si="232"/>
        <v>201104</v>
      </c>
      <c r="AW756" s="14">
        <f t="shared" si="233"/>
        <v>1102011</v>
      </c>
      <c r="AX756" s="13" t="s">
        <v>1127</v>
      </c>
      <c r="AY756" s="13">
        <f t="shared" si="234"/>
        <v>4</v>
      </c>
      <c r="AZ756" s="13" t="s">
        <v>1148</v>
      </c>
      <c r="BA756" s="14">
        <f t="shared" si="235"/>
        <v>2</v>
      </c>
      <c r="BB756" s="14" t="str">
        <f t="shared" si="236"/>
        <v>张飞魂珠-4 等级-2</v>
      </c>
      <c r="BC756" s="25" t="s">
        <v>1156</v>
      </c>
      <c r="BD756" s="14">
        <f t="shared" si="237"/>
        <v>160</v>
      </c>
      <c r="BE756" s="14">
        <f>SUMIFS(BD$4:BD756,$AU$4:$AU756,"="&amp;$AU756,$AY$4:$AY756,"="&amp;$AY756)</f>
        <v>260</v>
      </c>
      <c r="BF756" s="25" t="s">
        <v>1157</v>
      </c>
      <c r="BG756" s="14">
        <f t="shared" si="238"/>
        <v>88</v>
      </c>
      <c r="BH756" s="14">
        <f>SUMIFS(BG$4:BG756,AU$4:AU756,"="&amp;AU756,AY$4:AY756,"="&amp;AY756)</f>
        <v>143</v>
      </c>
      <c r="BI756" s="25" t="s">
        <v>1158</v>
      </c>
      <c r="BJ756" s="14">
        <f t="shared" si="239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1"/>
        <v>10</v>
      </c>
      <c r="AV757" s="14">
        <f t="shared" si="232"/>
        <v>201104</v>
      </c>
      <c r="AW757" s="14">
        <f t="shared" si="233"/>
        <v>1102011</v>
      </c>
      <c r="AX757" s="13" t="s">
        <v>1127</v>
      </c>
      <c r="AY757" s="13">
        <f t="shared" si="234"/>
        <v>4</v>
      </c>
      <c r="AZ757" s="13" t="s">
        <v>1148</v>
      </c>
      <c r="BA757" s="14">
        <f t="shared" si="235"/>
        <v>3</v>
      </c>
      <c r="BB757" s="14" t="str">
        <f t="shared" si="236"/>
        <v>张飞魂珠-4 等级-3</v>
      </c>
      <c r="BC757" s="25" t="s">
        <v>1156</v>
      </c>
      <c r="BD757" s="14">
        <f t="shared" si="237"/>
        <v>220</v>
      </c>
      <c r="BE757" s="14">
        <f>SUMIFS(BD$4:BD757,$AU$4:$AU757,"="&amp;$AU757,$AY$4:$AY757,"="&amp;$AY757)</f>
        <v>480</v>
      </c>
      <c r="BF757" s="25" t="s">
        <v>1157</v>
      </c>
      <c r="BG757" s="14">
        <f t="shared" si="238"/>
        <v>121</v>
      </c>
      <c r="BH757" s="14">
        <f>SUMIFS(BG$4:BG757,AU$4:AU757,"="&amp;AU757,AY$4:AY757,"="&amp;AY757)</f>
        <v>264</v>
      </c>
      <c r="BI757" s="25" t="s">
        <v>1158</v>
      </c>
      <c r="BJ757" s="14">
        <f t="shared" si="239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1"/>
        <v>10</v>
      </c>
      <c r="AV758" s="14">
        <f t="shared" si="232"/>
        <v>201104</v>
      </c>
      <c r="AW758" s="14">
        <f t="shared" si="233"/>
        <v>1102011</v>
      </c>
      <c r="AX758" s="13" t="s">
        <v>1127</v>
      </c>
      <c r="AY758" s="13">
        <f t="shared" si="234"/>
        <v>4</v>
      </c>
      <c r="AZ758" s="13" t="s">
        <v>1148</v>
      </c>
      <c r="BA758" s="14">
        <f t="shared" si="235"/>
        <v>4</v>
      </c>
      <c r="BB758" s="14" t="str">
        <f t="shared" si="236"/>
        <v>张飞魂珠-4 等级-4</v>
      </c>
      <c r="BC758" s="25" t="s">
        <v>1156</v>
      </c>
      <c r="BD758" s="14">
        <f t="shared" si="237"/>
        <v>320</v>
      </c>
      <c r="BE758" s="14">
        <f>SUMIFS(BD$4:BD758,$AU$4:$AU758,"="&amp;$AU758,$AY$4:$AY758,"="&amp;$AY758)</f>
        <v>800</v>
      </c>
      <c r="BF758" s="25" t="s">
        <v>1157</v>
      </c>
      <c r="BG758" s="14">
        <f t="shared" si="238"/>
        <v>176</v>
      </c>
      <c r="BH758" s="14">
        <f>SUMIFS(BG$4:BG758,AU$4:AU758,"="&amp;AU758,AY$4:AY758,"="&amp;AY758)</f>
        <v>440</v>
      </c>
      <c r="BI758" s="25" t="s">
        <v>1158</v>
      </c>
      <c r="BJ758" s="14">
        <f t="shared" si="239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1"/>
        <v>10</v>
      </c>
      <c r="AV759" s="14">
        <f t="shared" si="232"/>
        <v>201104</v>
      </c>
      <c r="AW759" s="14">
        <f t="shared" si="233"/>
        <v>1102011</v>
      </c>
      <c r="AX759" s="13" t="s">
        <v>1127</v>
      </c>
      <c r="AY759" s="13">
        <f t="shared" si="234"/>
        <v>4</v>
      </c>
      <c r="AZ759" s="13" t="s">
        <v>1148</v>
      </c>
      <c r="BA759" s="14">
        <f t="shared" si="235"/>
        <v>5</v>
      </c>
      <c r="BB759" s="14" t="str">
        <f t="shared" si="236"/>
        <v>张飞魂珠-4 等级-5</v>
      </c>
      <c r="BC759" s="25" t="s">
        <v>1156</v>
      </c>
      <c r="BD759" s="14">
        <f t="shared" si="237"/>
        <v>420</v>
      </c>
      <c r="BE759" s="14">
        <f>SUMIFS(BD$4:BD759,$AU$4:$AU759,"="&amp;$AU759,$AY$4:$AY759,"="&amp;$AY759)</f>
        <v>1220</v>
      </c>
      <c r="BF759" s="25" t="s">
        <v>1157</v>
      </c>
      <c r="BG759" s="14">
        <f t="shared" si="238"/>
        <v>231</v>
      </c>
      <c r="BH759" s="14">
        <f>SUMIFS(BG$4:BG759,AU$4:AU759,"="&amp;AU759,AY$4:AY759,"="&amp;AY759)</f>
        <v>671</v>
      </c>
      <c r="BI759" s="25" t="s">
        <v>1158</v>
      </c>
      <c r="BJ759" s="14">
        <f t="shared" si="239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1"/>
        <v>10</v>
      </c>
      <c r="AV760" s="14">
        <f t="shared" si="232"/>
        <v>201104</v>
      </c>
      <c r="AW760" s="14">
        <f t="shared" si="233"/>
        <v>1102011</v>
      </c>
      <c r="AX760" s="13" t="s">
        <v>1127</v>
      </c>
      <c r="AY760" s="13">
        <f t="shared" si="234"/>
        <v>4</v>
      </c>
      <c r="AZ760" s="13" t="s">
        <v>1148</v>
      </c>
      <c r="BA760" s="14">
        <f t="shared" si="235"/>
        <v>6</v>
      </c>
      <c r="BB760" s="14" t="str">
        <f t="shared" si="236"/>
        <v>张飞魂珠-4 等级-6</v>
      </c>
      <c r="BC760" s="25" t="s">
        <v>1156</v>
      </c>
      <c r="BD760" s="14">
        <f t="shared" si="237"/>
        <v>550</v>
      </c>
      <c r="BE760" s="14">
        <f>SUMIFS(BD$4:BD760,$AU$4:$AU760,"="&amp;$AU760,$AY$4:$AY760,"="&amp;$AY760)</f>
        <v>1770</v>
      </c>
      <c r="BF760" s="25" t="s">
        <v>1157</v>
      </c>
      <c r="BG760" s="14">
        <f t="shared" si="238"/>
        <v>303</v>
      </c>
      <c r="BH760" s="14">
        <f>SUMIFS(BG$4:BG760,AU$4:AU760,"="&amp;AU760,AY$4:AY760,"="&amp;AY760)</f>
        <v>974</v>
      </c>
      <c r="BI760" s="25" t="s">
        <v>1158</v>
      </c>
      <c r="BJ760" s="14">
        <f t="shared" si="239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1"/>
        <v>10</v>
      </c>
      <c r="AV761" s="14">
        <f t="shared" si="232"/>
        <v>201104</v>
      </c>
      <c r="AW761" s="14">
        <f t="shared" si="233"/>
        <v>1102011</v>
      </c>
      <c r="AX761" s="13" t="s">
        <v>1127</v>
      </c>
      <c r="AY761" s="13">
        <f t="shared" si="234"/>
        <v>4</v>
      </c>
      <c r="AZ761" s="13" t="s">
        <v>1148</v>
      </c>
      <c r="BA761" s="14">
        <f t="shared" si="235"/>
        <v>7</v>
      </c>
      <c r="BB761" s="14" t="str">
        <f t="shared" si="236"/>
        <v>张飞魂珠-4 等级-7</v>
      </c>
      <c r="BC761" s="25" t="s">
        <v>1156</v>
      </c>
      <c r="BD761" s="14">
        <f t="shared" si="237"/>
        <v>650</v>
      </c>
      <c r="BE761" s="14">
        <f>SUMIFS(BD$4:BD761,$AU$4:$AU761,"="&amp;$AU761,$AY$4:$AY761,"="&amp;$AY761)</f>
        <v>2420</v>
      </c>
      <c r="BF761" s="25" t="s">
        <v>1157</v>
      </c>
      <c r="BG761" s="14">
        <f t="shared" si="238"/>
        <v>358</v>
      </c>
      <c r="BH761" s="14">
        <f>SUMIFS(BG$4:BG761,AU$4:AU761,"="&amp;AU761,AY$4:AY761,"="&amp;AY761)</f>
        <v>1332</v>
      </c>
      <c r="BI761" s="25" t="s">
        <v>1158</v>
      </c>
      <c r="BJ761" s="14">
        <f t="shared" si="239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1"/>
        <v>10</v>
      </c>
      <c r="AV762" s="14">
        <f t="shared" si="232"/>
        <v>201104</v>
      </c>
      <c r="AW762" s="14">
        <f t="shared" si="233"/>
        <v>1102011</v>
      </c>
      <c r="AX762" s="13" t="s">
        <v>1127</v>
      </c>
      <c r="AY762" s="13">
        <f t="shared" si="234"/>
        <v>4</v>
      </c>
      <c r="AZ762" s="13" t="s">
        <v>1148</v>
      </c>
      <c r="BA762" s="14">
        <f t="shared" si="235"/>
        <v>8</v>
      </c>
      <c r="BB762" s="14" t="str">
        <f t="shared" si="236"/>
        <v>张飞魂珠-4 等级-8</v>
      </c>
      <c r="BC762" s="25" t="s">
        <v>1156</v>
      </c>
      <c r="BD762" s="14">
        <f t="shared" si="237"/>
        <v>750</v>
      </c>
      <c r="BE762" s="14">
        <f>SUMIFS(BD$4:BD762,$AU$4:$AU762,"="&amp;$AU762,$AY$4:$AY762,"="&amp;$AY762)</f>
        <v>3170</v>
      </c>
      <c r="BF762" s="25" t="s">
        <v>1157</v>
      </c>
      <c r="BG762" s="14">
        <f t="shared" si="238"/>
        <v>413</v>
      </c>
      <c r="BH762" s="14">
        <f>SUMIFS(BG$4:BG762,AU$4:AU762,"="&amp;AU762,AY$4:AY762,"="&amp;AY762)</f>
        <v>1745</v>
      </c>
      <c r="BI762" s="25" t="s">
        <v>1158</v>
      </c>
      <c r="BJ762" s="14">
        <f t="shared" si="239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1"/>
        <v>10</v>
      </c>
      <c r="AV763" s="14">
        <f t="shared" si="232"/>
        <v>201104</v>
      </c>
      <c r="AW763" s="14">
        <f t="shared" si="233"/>
        <v>1102011</v>
      </c>
      <c r="AX763" s="13" t="s">
        <v>1127</v>
      </c>
      <c r="AY763" s="13">
        <f t="shared" si="234"/>
        <v>4</v>
      </c>
      <c r="AZ763" s="13" t="s">
        <v>1148</v>
      </c>
      <c r="BA763" s="14">
        <f t="shared" si="235"/>
        <v>9</v>
      </c>
      <c r="BB763" s="14" t="str">
        <f t="shared" si="236"/>
        <v>张飞魂珠-4 等级-9</v>
      </c>
      <c r="BC763" s="25" t="s">
        <v>1156</v>
      </c>
      <c r="BD763" s="14">
        <f t="shared" si="237"/>
        <v>850</v>
      </c>
      <c r="BE763" s="14">
        <f>SUMIFS(BD$4:BD763,$AU$4:$AU763,"="&amp;$AU763,$AY$4:$AY763,"="&amp;$AY763)</f>
        <v>4020</v>
      </c>
      <c r="BF763" s="25" t="s">
        <v>1157</v>
      </c>
      <c r="BG763" s="14">
        <f t="shared" si="238"/>
        <v>468</v>
      </c>
      <c r="BH763" s="14">
        <f>SUMIFS(BG$4:BG763,AU$4:AU763,"="&amp;AU763,AY$4:AY763,"="&amp;AY763)</f>
        <v>2213</v>
      </c>
      <c r="BI763" s="25" t="s">
        <v>1158</v>
      </c>
      <c r="BJ763" s="14">
        <f t="shared" si="239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1"/>
        <v>10</v>
      </c>
      <c r="AV764" s="14">
        <f t="shared" si="232"/>
        <v>201105</v>
      </c>
      <c r="AW764" s="14">
        <f t="shared" si="233"/>
        <v>1102011</v>
      </c>
      <c r="AX764" s="13" t="s">
        <v>1127</v>
      </c>
      <c r="AY764" s="13">
        <f t="shared" si="234"/>
        <v>5</v>
      </c>
      <c r="AZ764" s="13" t="s">
        <v>1148</v>
      </c>
      <c r="BA764" s="14">
        <f t="shared" si="235"/>
        <v>0</v>
      </c>
      <c r="BB764" s="14" t="str">
        <f t="shared" si="236"/>
        <v>张飞魂珠-5 等级-0</v>
      </c>
      <c r="BC764" s="25" t="s">
        <v>1156</v>
      </c>
      <c r="BD764" s="14">
        <f t="shared" si="237"/>
        <v>0</v>
      </c>
      <c r="BE764" s="14">
        <f>SUMIFS(BD$4:BD764,$AU$4:$AU764,"="&amp;$AU764,$AY$4:$AY764,"="&amp;$AY764)</f>
        <v>0</v>
      </c>
      <c r="BF764" s="25" t="s">
        <v>1157</v>
      </c>
      <c r="BG764" s="14">
        <f t="shared" si="238"/>
        <v>0</v>
      </c>
      <c r="BH764" s="14">
        <f>SUMIFS(BG$4:BG764,AU$4:AU764,"="&amp;AU764,AY$4:AY764,"="&amp;AY764)</f>
        <v>0</v>
      </c>
      <c r="BI764" s="25" t="s">
        <v>1158</v>
      </c>
      <c r="BJ764" s="14">
        <f t="shared" si="239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1"/>
        <v>10</v>
      </c>
      <c r="AV765" s="14">
        <f t="shared" si="232"/>
        <v>201105</v>
      </c>
      <c r="AW765" s="14">
        <f t="shared" si="233"/>
        <v>1102011</v>
      </c>
      <c r="AX765" s="13" t="s">
        <v>1127</v>
      </c>
      <c r="AY765" s="13">
        <f t="shared" si="234"/>
        <v>5</v>
      </c>
      <c r="AZ765" s="13" t="s">
        <v>1148</v>
      </c>
      <c r="BA765" s="14">
        <f t="shared" si="235"/>
        <v>1</v>
      </c>
      <c r="BB765" s="14" t="str">
        <f t="shared" si="236"/>
        <v>张飞魂珠-5 等级-1</v>
      </c>
      <c r="BC765" s="25" t="s">
        <v>1156</v>
      </c>
      <c r="BD765" s="14">
        <f t="shared" si="237"/>
        <v>140</v>
      </c>
      <c r="BE765" s="14">
        <f>SUMIFS(BD$4:BD765,$AU$4:$AU765,"="&amp;$AU765,$AY$4:$AY765,"="&amp;$AY765)</f>
        <v>140</v>
      </c>
      <c r="BF765" s="25" t="s">
        <v>1157</v>
      </c>
      <c r="BG765" s="14">
        <f t="shared" si="238"/>
        <v>77</v>
      </c>
      <c r="BH765" s="14">
        <f>SUMIFS(BG$4:BG765,AU$4:AU765,"="&amp;AU765,AY$4:AY765,"="&amp;AY765)</f>
        <v>77</v>
      </c>
      <c r="BI765" s="25" t="s">
        <v>1158</v>
      </c>
      <c r="BJ765" s="14">
        <f t="shared" si="239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1"/>
        <v>10</v>
      </c>
      <c r="AV766" s="14">
        <f t="shared" si="232"/>
        <v>201105</v>
      </c>
      <c r="AW766" s="14">
        <f t="shared" si="233"/>
        <v>1102011</v>
      </c>
      <c r="AX766" s="13" t="s">
        <v>1127</v>
      </c>
      <c r="AY766" s="13">
        <f t="shared" si="234"/>
        <v>5</v>
      </c>
      <c r="AZ766" s="13" t="s">
        <v>1148</v>
      </c>
      <c r="BA766" s="14">
        <f t="shared" si="235"/>
        <v>2</v>
      </c>
      <c r="BB766" s="14" t="str">
        <f t="shared" si="236"/>
        <v>张飞魂珠-5 等级-2</v>
      </c>
      <c r="BC766" s="25" t="s">
        <v>1156</v>
      </c>
      <c r="BD766" s="14">
        <f t="shared" si="237"/>
        <v>200</v>
      </c>
      <c r="BE766" s="14">
        <f>SUMIFS(BD$4:BD766,$AU$4:$AU766,"="&amp;$AU766,$AY$4:$AY766,"="&amp;$AY766)</f>
        <v>340</v>
      </c>
      <c r="BF766" s="25" t="s">
        <v>1157</v>
      </c>
      <c r="BG766" s="14">
        <f t="shared" si="238"/>
        <v>110</v>
      </c>
      <c r="BH766" s="14">
        <f>SUMIFS(BG$4:BG766,AU$4:AU766,"="&amp;AU766,AY$4:AY766,"="&amp;AY766)</f>
        <v>187</v>
      </c>
      <c r="BI766" s="25" t="s">
        <v>1158</v>
      </c>
      <c r="BJ766" s="14">
        <f t="shared" si="239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1"/>
        <v>10</v>
      </c>
      <c r="AV767" s="14">
        <f t="shared" si="232"/>
        <v>201105</v>
      </c>
      <c r="AW767" s="14">
        <f t="shared" si="233"/>
        <v>1102011</v>
      </c>
      <c r="AX767" s="13" t="s">
        <v>1127</v>
      </c>
      <c r="AY767" s="13">
        <f t="shared" si="234"/>
        <v>5</v>
      </c>
      <c r="AZ767" s="13" t="s">
        <v>1148</v>
      </c>
      <c r="BA767" s="14">
        <f t="shared" si="235"/>
        <v>3</v>
      </c>
      <c r="BB767" s="14" t="str">
        <f t="shared" si="236"/>
        <v>张飞魂珠-5 等级-3</v>
      </c>
      <c r="BC767" s="25" t="s">
        <v>1156</v>
      </c>
      <c r="BD767" s="14">
        <f t="shared" si="237"/>
        <v>260</v>
      </c>
      <c r="BE767" s="14">
        <f>SUMIFS(BD$4:BD767,$AU$4:$AU767,"="&amp;$AU767,$AY$4:$AY767,"="&amp;$AY767)</f>
        <v>600</v>
      </c>
      <c r="BF767" s="25" t="s">
        <v>1157</v>
      </c>
      <c r="BG767" s="14">
        <f t="shared" si="238"/>
        <v>143</v>
      </c>
      <c r="BH767" s="14">
        <f>SUMIFS(BG$4:BG767,AU$4:AU767,"="&amp;AU767,AY$4:AY767,"="&amp;AY767)</f>
        <v>330</v>
      </c>
      <c r="BI767" s="25" t="s">
        <v>1158</v>
      </c>
      <c r="BJ767" s="14">
        <f t="shared" si="239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1"/>
        <v>10</v>
      </c>
      <c r="AV768" s="14">
        <f t="shared" si="232"/>
        <v>201105</v>
      </c>
      <c r="AW768" s="14">
        <f t="shared" si="233"/>
        <v>1102011</v>
      </c>
      <c r="AX768" s="13" t="s">
        <v>1127</v>
      </c>
      <c r="AY768" s="13">
        <f t="shared" si="234"/>
        <v>5</v>
      </c>
      <c r="AZ768" s="13" t="s">
        <v>1148</v>
      </c>
      <c r="BA768" s="14">
        <f t="shared" si="235"/>
        <v>4</v>
      </c>
      <c r="BB768" s="14" t="str">
        <f t="shared" si="236"/>
        <v>张飞魂珠-5 等级-4</v>
      </c>
      <c r="BC768" s="25" t="s">
        <v>1156</v>
      </c>
      <c r="BD768" s="14">
        <f t="shared" si="237"/>
        <v>400</v>
      </c>
      <c r="BE768" s="14">
        <f>SUMIFS(BD$4:BD768,$AU$4:$AU768,"="&amp;$AU768,$AY$4:$AY768,"="&amp;$AY768)</f>
        <v>1000</v>
      </c>
      <c r="BF768" s="25" t="s">
        <v>1157</v>
      </c>
      <c r="BG768" s="14">
        <f t="shared" si="238"/>
        <v>220</v>
      </c>
      <c r="BH768" s="14">
        <f>SUMIFS(BG$4:BG768,AU$4:AU768,"="&amp;AU768,AY$4:AY768,"="&amp;AY768)</f>
        <v>550</v>
      </c>
      <c r="BI768" s="25" t="s">
        <v>1158</v>
      </c>
      <c r="BJ768" s="14">
        <f t="shared" si="239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1"/>
        <v>10</v>
      </c>
      <c r="AV769" s="14">
        <f t="shared" si="232"/>
        <v>201105</v>
      </c>
      <c r="AW769" s="14">
        <f t="shared" si="233"/>
        <v>1102011</v>
      </c>
      <c r="AX769" s="13" t="s">
        <v>1127</v>
      </c>
      <c r="AY769" s="13">
        <f t="shared" si="234"/>
        <v>5</v>
      </c>
      <c r="AZ769" s="13" t="s">
        <v>1148</v>
      </c>
      <c r="BA769" s="14">
        <f t="shared" si="235"/>
        <v>5</v>
      </c>
      <c r="BB769" s="14" t="str">
        <f t="shared" si="236"/>
        <v>张飞魂珠-5 等级-5</v>
      </c>
      <c r="BC769" s="25" t="s">
        <v>1156</v>
      </c>
      <c r="BD769" s="14">
        <f t="shared" si="237"/>
        <v>520</v>
      </c>
      <c r="BE769" s="14">
        <f>SUMIFS(BD$4:BD769,$AU$4:$AU769,"="&amp;$AU769,$AY$4:$AY769,"="&amp;$AY769)</f>
        <v>1520</v>
      </c>
      <c r="BF769" s="25" t="s">
        <v>1157</v>
      </c>
      <c r="BG769" s="14">
        <f t="shared" si="238"/>
        <v>286</v>
      </c>
      <c r="BH769" s="14">
        <f>SUMIFS(BG$4:BG769,AU$4:AU769,"="&amp;AU769,AY$4:AY769,"="&amp;AY769)</f>
        <v>836</v>
      </c>
      <c r="BI769" s="25" t="s">
        <v>1158</v>
      </c>
      <c r="BJ769" s="14">
        <f t="shared" si="239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1"/>
        <v>10</v>
      </c>
      <c r="AV770" s="14">
        <f t="shared" si="232"/>
        <v>201105</v>
      </c>
      <c r="AW770" s="14">
        <f t="shared" si="233"/>
        <v>1102011</v>
      </c>
      <c r="AX770" s="13" t="s">
        <v>1127</v>
      </c>
      <c r="AY770" s="13">
        <f t="shared" si="234"/>
        <v>5</v>
      </c>
      <c r="AZ770" s="13" t="s">
        <v>1148</v>
      </c>
      <c r="BA770" s="14">
        <f t="shared" si="235"/>
        <v>6</v>
      </c>
      <c r="BB770" s="14" t="str">
        <f t="shared" si="236"/>
        <v>张飞魂珠-5 等级-6</v>
      </c>
      <c r="BC770" s="25" t="s">
        <v>1156</v>
      </c>
      <c r="BD770" s="14">
        <f t="shared" si="237"/>
        <v>650</v>
      </c>
      <c r="BE770" s="14">
        <f>SUMIFS(BD$4:BD770,$AU$4:$AU770,"="&amp;$AU770,$AY$4:$AY770,"="&amp;$AY770)</f>
        <v>2170</v>
      </c>
      <c r="BF770" s="25" t="s">
        <v>1157</v>
      </c>
      <c r="BG770" s="14">
        <f t="shared" si="238"/>
        <v>358</v>
      </c>
      <c r="BH770" s="14">
        <f>SUMIFS(BG$4:BG770,AU$4:AU770,"="&amp;AU770,AY$4:AY770,"="&amp;AY770)</f>
        <v>1194</v>
      </c>
      <c r="BI770" s="25" t="s">
        <v>1158</v>
      </c>
      <c r="BJ770" s="14">
        <f t="shared" si="239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1"/>
        <v>10</v>
      </c>
      <c r="AV771" s="14">
        <f t="shared" si="232"/>
        <v>201105</v>
      </c>
      <c r="AW771" s="14">
        <f t="shared" si="233"/>
        <v>1102011</v>
      </c>
      <c r="AX771" s="13" t="s">
        <v>1127</v>
      </c>
      <c r="AY771" s="13">
        <f t="shared" si="234"/>
        <v>5</v>
      </c>
      <c r="AZ771" s="13" t="s">
        <v>1148</v>
      </c>
      <c r="BA771" s="14">
        <f t="shared" si="235"/>
        <v>7</v>
      </c>
      <c r="BB771" s="14" t="str">
        <f t="shared" si="236"/>
        <v>张飞魂珠-5 等级-7</v>
      </c>
      <c r="BC771" s="25" t="s">
        <v>1156</v>
      </c>
      <c r="BD771" s="14">
        <f t="shared" si="237"/>
        <v>800</v>
      </c>
      <c r="BE771" s="14">
        <f>SUMIFS(BD$4:BD771,$AU$4:$AU771,"="&amp;$AU771,$AY$4:$AY771,"="&amp;$AY771)</f>
        <v>2970</v>
      </c>
      <c r="BF771" s="25" t="s">
        <v>1157</v>
      </c>
      <c r="BG771" s="14">
        <f t="shared" si="238"/>
        <v>440</v>
      </c>
      <c r="BH771" s="14">
        <f>SUMIFS(BG$4:BG771,AU$4:AU771,"="&amp;AU771,AY$4:AY771,"="&amp;AY771)</f>
        <v>1634</v>
      </c>
      <c r="BI771" s="25" t="s">
        <v>1158</v>
      </c>
      <c r="BJ771" s="14">
        <f t="shared" si="239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1"/>
        <v>10</v>
      </c>
      <c r="AV772" s="14">
        <f t="shared" si="232"/>
        <v>201105</v>
      </c>
      <c r="AW772" s="14">
        <f t="shared" si="233"/>
        <v>1102011</v>
      </c>
      <c r="AX772" s="13" t="s">
        <v>1127</v>
      </c>
      <c r="AY772" s="13">
        <f t="shared" si="234"/>
        <v>5</v>
      </c>
      <c r="AZ772" s="13" t="s">
        <v>1148</v>
      </c>
      <c r="BA772" s="14">
        <f t="shared" si="235"/>
        <v>8</v>
      </c>
      <c r="BB772" s="14" t="str">
        <f t="shared" si="236"/>
        <v>张飞魂珠-5 等级-8</v>
      </c>
      <c r="BC772" s="25" t="s">
        <v>1156</v>
      </c>
      <c r="BD772" s="14">
        <f t="shared" si="237"/>
        <v>950</v>
      </c>
      <c r="BE772" s="14">
        <f>SUMIFS(BD$4:BD772,$AU$4:$AU772,"="&amp;$AU772,$AY$4:$AY772,"="&amp;$AY772)</f>
        <v>3920</v>
      </c>
      <c r="BF772" s="25" t="s">
        <v>1157</v>
      </c>
      <c r="BG772" s="14">
        <f t="shared" si="238"/>
        <v>523</v>
      </c>
      <c r="BH772" s="14">
        <f>SUMIFS(BG$4:BG772,AU$4:AU772,"="&amp;AU772,AY$4:AY772,"="&amp;AY772)</f>
        <v>2157</v>
      </c>
      <c r="BI772" s="25" t="s">
        <v>1158</v>
      </c>
      <c r="BJ772" s="14">
        <f t="shared" si="239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0">INT((AT773-1)/80)+1</f>
        <v>10</v>
      </c>
      <c r="AV773" s="14">
        <f t="shared" ref="AV773:AV836" si="241">INDEX($AJ$4:$AJ$203,(AU773-1)*8+AY773)</f>
        <v>201105</v>
      </c>
      <c r="AW773" s="14">
        <f t="shared" ref="AW773:AW836" si="242">INDEX($W$4:$W$28,AU773)</f>
        <v>1102011</v>
      </c>
      <c r="AX773" s="13" t="s">
        <v>1127</v>
      </c>
      <c r="AY773" s="13">
        <f t="shared" ref="AY773:AY836" si="243">INT(((AT773-(AU773-1)*80)-1)/10)+1</f>
        <v>5</v>
      </c>
      <c r="AZ773" s="13" t="s">
        <v>1148</v>
      </c>
      <c r="BA773" s="14">
        <f t="shared" ref="BA773:BA836" si="244">AT773-(AU773-1)*80-(AY773-1)*10-1</f>
        <v>9</v>
      </c>
      <c r="BB773" s="14" t="str">
        <f t="shared" ref="BB773:BB836" si="245">INDEX($X$4:$X$28,AU773)&amp;"魂珠-"&amp;AY773&amp;" 等级-"&amp;BA773</f>
        <v>张飞魂珠-5 等级-9</v>
      </c>
      <c r="BC773" s="25" t="s">
        <v>1156</v>
      </c>
      <c r="BD773" s="14">
        <f t="shared" ref="BD773:BD836" si="246">ROUND(INDEX(Q$4:Q$83,($AY773-1)*10+$BA773+1)*INDEX(AC$4:AC$28,$AU773),0)</f>
        <v>1100</v>
      </c>
      <c r="BE773" s="14">
        <f>SUMIFS(BD$4:BD773,$AU$4:$AU773,"="&amp;$AU773,$AY$4:$AY773,"="&amp;$AY773)</f>
        <v>5020</v>
      </c>
      <c r="BF773" s="25" t="s">
        <v>1157</v>
      </c>
      <c r="BG773" s="14">
        <f t="shared" ref="BG773:BG836" si="247">ROUND(INDEX(R$4:R$83,($AY773-1)*10+$BA773+1)*INDEX(AD$4:AD$28,$AU773),0)</f>
        <v>605</v>
      </c>
      <c r="BH773" s="14">
        <f>SUMIFS(BG$4:BG773,AU$4:AU773,"="&amp;AU773,AY$4:AY773,"="&amp;AY773)</f>
        <v>2762</v>
      </c>
      <c r="BI773" s="25" t="s">
        <v>1158</v>
      </c>
      <c r="BJ773" s="14">
        <f t="shared" ref="BJ773:BJ836" si="248">ROUND(INDEX(S$4:S$83,($AY773-1)*10+$BA773+1)*INDEX(AE$4:AE$28,$AU773),0)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0"/>
        <v>10</v>
      </c>
      <c r="AV774" s="14">
        <f t="shared" si="241"/>
        <v>201106</v>
      </c>
      <c r="AW774" s="14">
        <f t="shared" si="242"/>
        <v>1102011</v>
      </c>
      <c r="AX774" s="13" t="s">
        <v>1127</v>
      </c>
      <c r="AY774" s="13">
        <f t="shared" si="243"/>
        <v>6</v>
      </c>
      <c r="AZ774" s="13" t="s">
        <v>1148</v>
      </c>
      <c r="BA774" s="14">
        <f t="shared" si="244"/>
        <v>0</v>
      </c>
      <c r="BB774" s="14" t="str">
        <f t="shared" si="245"/>
        <v>张飞魂珠-6 等级-0</v>
      </c>
      <c r="BC774" s="25" t="s">
        <v>1156</v>
      </c>
      <c r="BD774" s="14">
        <f t="shared" si="246"/>
        <v>0</v>
      </c>
      <c r="BE774" s="14">
        <f>SUMIFS(BD$4:BD774,$AU$4:$AU774,"="&amp;$AU774,$AY$4:$AY774,"="&amp;$AY774)</f>
        <v>0</v>
      </c>
      <c r="BF774" s="25" t="s">
        <v>1157</v>
      </c>
      <c r="BG774" s="14">
        <f t="shared" si="247"/>
        <v>0</v>
      </c>
      <c r="BH774" s="14">
        <f>SUMIFS(BG$4:BG774,AU$4:AU774,"="&amp;AU774,AY$4:AY774,"="&amp;AY774)</f>
        <v>0</v>
      </c>
      <c r="BI774" s="25" t="s">
        <v>1158</v>
      </c>
      <c r="BJ774" s="14">
        <f t="shared" si="248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0"/>
        <v>10</v>
      </c>
      <c r="AV775" s="14">
        <f t="shared" si="241"/>
        <v>201106</v>
      </c>
      <c r="AW775" s="14">
        <f t="shared" si="242"/>
        <v>1102011</v>
      </c>
      <c r="AX775" s="13" t="s">
        <v>1127</v>
      </c>
      <c r="AY775" s="13">
        <f t="shared" si="243"/>
        <v>6</v>
      </c>
      <c r="AZ775" s="13" t="s">
        <v>1148</v>
      </c>
      <c r="BA775" s="14">
        <f t="shared" si="244"/>
        <v>1</v>
      </c>
      <c r="BB775" s="14" t="str">
        <f t="shared" si="245"/>
        <v>张飞魂珠-6 等级-1</v>
      </c>
      <c r="BC775" s="25" t="s">
        <v>1156</v>
      </c>
      <c r="BD775" s="14">
        <f t="shared" si="246"/>
        <v>180</v>
      </c>
      <c r="BE775" s="14">
        <f>SUMIFS(BD$4:BD775,$AU$4:$AU775,"="&amp;$AU775,$AY$4:$AY775,"="&amp;$AY775)</f>
        <v>180</v>
      </c>
      <c r="BF775" s="25" t="s">
        <v>1157</v>
      </c>
      <c r="BG775" s="14">
        <f t="shared" si="247"/>
        <v>99</v>
      </c>
      <c r="BH775" s="14">
        <f>SUMIFS(BG$4:BG775,AU$4:AU775,"="&amp;AU775,AY$4:AY775,"="&amp;AY775)</f>
        <v>99</v>
      </c>
      <c r="BI775" s="25" t="s">
        <v>1158</v>
      </c>
      <c r="BJ775" s="14">
        <f t="shared" si="248"/>
        <v>4860</v>
      </c>
      <c r="BK775" s="14">
        <f>SUMIFS(BJ$4:BJ775,$AU$4:$AU775,"="&amp;$AU775,$AY$4:$AY775,"="&amp;$AY775)</f>
        <v>4860</v>
      </c>
    </row>
    <row r="776" spans="46:63" ht="16.5" x14ac:dyDescent="0.2">
      <c r="AT776" s="13">
        <v>773</v>
      </c>
      <c r="AU776" s="13">
        <f t="shared" si="240"/>
        <v>10</v>
      </c>
      <c r="AV776" s="14">
        <f t="shared" si="241"/>
        <v>201106</v>
      </c>
      <c r="AW776" s="14">
        <f t="shared" si="242"/>
        <v>1102011</v>
      </c>
      <c r="AX776" s="13" t="s">
        <v>1127</v>
      </c>
      <c r="AY776" s="13">
        <f t="shared" si="243"/>
        <v>6</v>
      </c>
      <c r="AZ776" s="13" t="s">
        <v>1148</v>
      </c>
      <c r="BA776" s="14">
        <f t="shared" si="244"/>
        <v>2</v>
      </c>
      <c r="BB776" s="14" t="str">
        <f t="shared" si="245"/>
        <v>张飞魂珠-6 等级-2</v>
      </c>
      <c r="BC776" s="25" t="s">
        <v>1156</v>
      </c>
      <c r="BD776" s="14">
        <f t="shared" si="246"/>
        <v>280</v>
      </c>
      <c r="BE776" s="14">
        <f>SUMIFS(BD$4:BD776,$AU$4:$AU776,"="&amp;$AU776,$AY$4:$AY776,"="&amp;$AY776)</f>
        <v>460</v>
      </c>
      <c r="BF776" s="25" t="s">
        <v>1157</v>
      </c>
      <c r="BG776" s="14">
        <f t="shared" si="247"/>
        <v>154</v>
      </c>
      <c r="BH776" s="14">
        <f>SUMIFS(BG$4:BG776,AU$4:AU776,"="&amp;AU776,AY$4:AY776,"="&amp;AY776)</f>
        <v>253</v>
      </c>
      <c r="BI776" s="25" t="s">
        <v>1158</v>
      </c>
      <c r="BJ776" s="14">
        <f t="shared" si="248"/>
        <v>7560</v>
      </c>
      <c r="BK776" s="14">
        <f>SUMIFS(BJ$4:BJ776,$AU$4:$AU776,"="&amp;$AU776,$AY$4:$AY776,"="&amp;$AY776)</f>
        <v>12420</v>
      </c>
    </row>
    <row r="777" spans="46:63" ht="16.5" x14ac:dyDescent="0.2">
      <c r="AT777" s="13">
        <v>774</v>
      </c>
      <c r="AU777" s="13">
        <f t="shared" si="240"/>
        <v>10</v>
      </c>
      <c r="AV777" s="14">
        <f t="shared" si="241"/>
        <v>201106</v>
      </c>
      <c r="AW777" s="14">
        <f t="shared" si="242"/>
        <v>1102011</v>
      </c>
      <c r="AX777" s="13" t="s">
        <v>1127</v>
      </c>
      <c r="AY777" s="13">
        <f t="shared" si="243"/>
        <v>6</v>
      </c>
      <c r="AZ777" s="13" t="s">
        <v>1148</v>
      </c>
      <c r="BA777" s="14">
        <f t="shared" si="244"/>
        <v>3</v>
      </c>
      <c r="BB777" s="14" t="str">
        <f t="shared" si="245"/>
        <v>张飞魂珠-6 等级-3</v>
      </c>
      <c r="BC777" s="25" t="s">
        <v>1156</v>
      </c>
      <c r="BD777" s="14">
        <f t="shared" si="246"/>
        <v>375</v>
      </c>
      <c r="BE777" s="14">
        <f>SUMIFS(BD$4:BD777,$AU$4:$AU777,"="&amp;$AU777,$AY$4:$AY777,"="&amp;$AY777)</f>
        <v>835</v>
      </c>
      <c r="BF777" s="25" t="s">
        <v>1157</v>
      </c>
      <c r="BG777" s="14">
        <f t="shared" si="247"/>
        <v>206</v>
      </c>
      <c r="BH777" s="14">
        <f>SUMIFS(BG$4:BG777,AU$4:AU777,"="&amp;AU777,AY$4:AY777,"="&amp;AY777)</f>
        <v>459</v>
      </c>
      <c r="BI777" s="25" t="s">
        <v>1158</v>
      </c>
      <c r="BJ777" s="14">
        <f t="shared" si="248"/>
        <v>10125</v>
      </c>
      <c r="BK777" s="14">
        <f>SUMIFS(BJ$4:BJ777,$AU$4:$AU777,"="&amp;$AU777,$AY$4:$AY777,"="&amp;$AY777)</f>
        <v>22545</v>
      </c>
    </row>
    <row r="778" spans="46:63" ht="16.5" x14ac:dyDescent="0.2">
      <c r="AT778" s="13">
        <v>775</v>
      </c>
      <c r="AU778" s="13">
        <f t="shared" si="240"/>
        <v>10</v>
      </c>
      <c r="AV778" s="14">
        <f t="shared" si="241"/>
        <v>201106</v>
      </c>
      <c r="AW778" s="14">
        <f t="shared" si="242"/>
        <v>1102011</v>
      </c>
      <c r="AX778" s="13" t="s">
        <v>1127</v>
      </c>
      <c r="AY778" s="13">
        <f t="shared" si="243"/>
        <v>6</v>
      </c>
      <c r="AZ778" s="13" t="s">
        <v>1148</v>
      </c>
      <c r="BA778" s="14">
        <f t="shared" si="244"/>
        <v>4</v>
      </c>
      <c r="BB778" s="14" t="str">
        <f t="shared" si="245"/>
        <v>张飞魂珠-6 等级-4</v>
      </c>
      <c r="BC778" s="25" t="s">
        <v>1156</v>
      </c>
      <c r="BD778" s="14">
        <f t="shared" si="246"/>
        <v>560</v>
      </c>
      <c r="BE778" s="14">
        <f>SUMIFS(BD$4:BD778,$AU$4:$AU778,"="&amp;$AU778,$AY$4:$AY778,"="&amp;$AY778)</f>
        <v>1395</v>
      </c>
      <c r="BF778" s="25" t="s">
        <v>1157</v>
      </c>
      <c r="BG778" s="14">
        <f t="shared" si="247"/>
        <v>308</v>
      </c>
      <c r="BH778" s="14">
        <f>SUMIFS(BG$4:BG778,AU$4:AU778,"="&amp;AU778,AY$4:AY778,"="&amp;AY778)</f>
        <v>767</v>
      </c>
      <c r="BI778" s="25" t="s">
        <v>1158</v>
      </c>
      <c r="BJ778" s="14">
        <f t="shared" si="248"/>
        <v>15120</v>
      </c>
      <c r="BK778" s="14">
        <f>SUMIFS(BJ$4:BJ778,$AU$4:$AU778,"="&amp;$AU778,$AY$4:$AY778,"="&amp;$AY778)</f>
        <v>37665</v>
      </c>
    </row>
    <row r="779" spans="46:63" ht="16.5" x14ac:dyDescent="0.2">
      <c r="AT779" s="13">
        <v>776</v>
      </c>
      <c r="AU779" s="13">
        <f t="shared" si="240"/>
        <v>10</v>
      </c>
      <c r="AV779" s="14">
        <f t="shared" si="241"/>
        <v>201106</v>
      </c>
      <c r="AW779" s="14">
        <f t="shared" si="242"/>
        <v>1102011</v>
      </c>
      <c r="AX779" s="13" t="s">
        <v>1127</v>
      </c>
      <c r="AY779" s="13">
        <f t="shared" si="243"/>
        <v>6</v>
      </c>
      <c r="AZ779" s="13" t="s">
        <v>1148</v>
      </c>
      <c r="BA779" s="14">
        <f t="shared" si="244"/>
        <v>5</v>
      </c>
      <c r="BB779" s="14" t="str">
        <f t="shared" si="245"/>
        <v>张飞魂珠-6 等级-5</v>
      </c>
      <c r="BC779" s="25" t="s">
        <v>1156</v>
      </c>
      <c r="BD779" s="14">
        <f t="shared" si="246"/>
        <v>750</v>
      </c>
      <c r="BE779" s="14">
        <f>SUMIFS(BD$4:BD779,$AU$4:$AU779,"="&amp;$AU779,$AY$4:$AY779,"="&amp;$AY779)</f>
        <v>2145</v>
      </c>
      <c r="BF779" s="25" t="s">
        <v>1157</v>
      </c>
      <c r="BG779" s="14">
        <f t="shared" si="247"/>
        <v>413</v>
      </c>
      <c r="BH779" s="14">
        <f>SUMIFS(BG$4:BG779,AU$4:AU779,"="&amp;AU779,AY$4:AY779,"="&amp;AY779)</f>
        <v>1180</v>
      </c>
      <c r="BI779" s="25" t="s">
        <v>1158</v>
      </c>
      <c r="BJ779" s="14">
        <f t="shared" si="248"/>
        <v>20250</v>
      </c>
      <c r="BK779" s="14">
        <f>SUMIFS(BJ$4:BJ779,$AU$4:$AU779,"="&amp;$AU779,$AY$4:$AY779,"="&amp;$AY779)</f>
        <v>57915</v>
      </c>
    </row>
    <row r="780" spans="46:63" ht="16.5" x14ac:dyDescent="0.2">
      <c r="AT780" s="13">
        <v>777</v>
      </c>
      <c r="AU780" s="13">
        <f t="shared" si="240"/>
        <v>10</v>
      </c>
      <c r="AV780" s="14">
        <f t="shared" si="241"/>
        <v>201106</v>
      </c>
      <c r="AW780" s="14">
        <f t="shared" si="242"/>
        <v>1102011</v>
      </c>
      <c r="AX780" s="13" t="s">
        <v>1127</v>
      </c>
      <c r="AY780" s="13">
        <f t="shared" si="243"/>
        <v>6</v>
      </c>
      <c r="AZ780" s="13" t="s">
        <v>1148</v>
      </c>
      <c r="BA780" s="14">
        <f t="shared" si="244"/>
        <v>6</v>
      </c>
      <c r="BB780" s="14" t="str">
        <f t="shared" si="245"/>
        <v>张飞魂珠-6 等级-6</v>
      </c>
      <c r="BC780" s="25" t="s">
        <v>1156</v>
      </c>
      <c r="BD780" s="14">
        <f t="shared" si="246"/>
        <v>950</v>
      </c>
      <c r="BE780" s="14">
        <f>SUMIFS(BD$4:BD780,$AU$4:$AU780,"="&amp;$AU780,$AY$4:$AY780,"="&amp;$AY780)</f>
        <v>3095</v>
      </c>
      <c r="BF780" s="25" t="s">
        <v>1157</v>
      </c>
      <c r="BG780" s="14">
        <f t="shared" si="247"/>
        <v>523</v>
      </c>
      <c r="BH780" s="14">
        <f>SUMIFS(BG$4:BG780,AU$4:AU780,"="&amp;AU780,AY$4:AY780,"="&amp;AY780)</f>
        <v>1703</v>
      </c>
      <c r="BI780" s="25" t="s">
        <v>1158</v>
      </c>
      <c r="BJ780" s="14">
        <f t="shared" si="248"/>
        <v>25650</v>
      </c>
      <c r="BK780" s="14">
        <f>SUMIFS(BJ$4:BJ780,$AU$4:$AU780,"="&amp;$AU780,$AY$4:$AY780,"="&amp;$AY780)</f>
        <v>83565</v>
      </c>
    </row>
    <row r="781" spans="46:63" ht="16.5" x14ac:dyDescent="0.2">
      <c r="AT781" s="13">
        <v>778</v>
      </c>
      <c r="AU781" s="13">
        <f t="shared" si="240"/>
        <v>10</v>
      </c>
      <c r="AV781" s="14">
        <f t="shared" si="241"/>
        <v>201106</v>
      </c>
      <c r="AW781" s="14">
        <f t="shared" si="242"/>
        <v>1102011</v>
      </c>
      <c r="AX781" s="13" t="s">
        <v>1127</v>
      </c>
      <c r="AY781" s="13">
        <f t="shared" si="243"/>
        <v>6</v>
      </c>
      <c r="AZ781" s="13" t="s">
        <v>1148</v>
      </c>
      <c r="BA781" s="14">
        <f t="shared" si="244"/>
        <v>7</v>
      </c>
      <c r="BB781" s="14" t="str">
        <f t="shared" si="245"/>
        <v>张飞魂珠-6 等级-7</v>
      </c>
      <c r="BC781" s="25" t="s">
        <v>1156</v>
      </c>
      <c r="BD781" s="14">
        <f t="shared" si="246"/>
        <v>1150</v>
      </c>
      <c r="BE781" s="14">
        <f>SUMIFS(BD$4:BD781,$AU$4:$AU781,"="&amp;$AU781,$AY$4:$AY781,"="&amp;$AY781)</f>
        <v>4245</v>
      </c>
      <c r="BF781" s="25" t="s">
        <v>1157</v>
      </c>
      <c r="BG781" s="14">
        <f t="shared" si="247"/>
        <v>633</v>
      </c>
      <c r="BH781" s="14">
        <f>SUMIFS(BG$4:BG781,AU$4:AU781,"="&amp;AU781,AY$4:AY781,"="&amp;AY781)</f>
        <v>2336</v>
      </c>
      <c r="BI781" s="25" t="s">
        <v>1158</v>
      </c>
      <c r="BJ781" s="14">
        <f t="shared" si="248"/>
        <v>31050</v>
      </c>
      <c r="BK781" s="14">
        <f>SUMIFS(BJ$4:BJ781,$AU$4:$AU781,"="&amp;$AU781,$AY$4:$AY781,"="&amp;$AY781)</f>
        <v>114615</v>
      </c>
    </row>
    <row r="782" spans="46:63" ht="16.5" x14ac:dyDescent="0.2">
      <c r="AT782" s="13">
        <v>779</v>
      </c>
      <c r="AU782" s="13">
        <f t="shared" si="240"/>
        <v>10</v>
      </c>
      <c r="AV782" s="14">
        <f t="shared" si="241"/>
        <v>201106</v>
      </c>
      <c r="AW782" s="14">
        <f t="shared" si="242"/>
        <v>1102011</v>
      </c>
      <c r="AX782" s="13" t="s">
        <v>1127</v>
      </c>
      <c r="AY782" s="13">
        <f t="shared" si="243"/>
        <v>6</v>
      </c>
      <c r="AZ782" s="13" t="s">
        <v>1148</v>
      </c>
      <c r="BA782" s="14">
        <f t="shared" si="244"/>
        <v>8</v>
      </c>
      <c r="BB782" s="14" t="str">
        <f t="shared" si="245"/>
        <v>张飞魂珠-6 等级-8</v>
      </c>
      <c r="BC782" s="25" t="s">
        <v>1156</v>
      </c>
      <c r="BD782" s="14">
        <f t="shared" si="246"/>
        <v>1300</v>
      </c>
      <c r="BE782" s="14">
        <f>SUMIFS(BD$4:BD782,$AU$4:$AU782,"="&amp;$AU782,$AY$4:$AY782,"="&amp;$AY782)</f>
        <v>5545</v>
      </c>
      <c r="BF782" s="25" t="s">
        <v>1157</v>
      </c>
      <c r="BG782" s="14">
        <f t="shared" si="247"/>
        <v>715</v>
      </c>
      <c r="BH782" s="14">
        <f>SUMIFS(BG$4:BG782,AU$4:AU782,"="&amp;AU782,AY$4:AY782,"="&amp;AY782)</f>
        <v>3051</v>
      </c>
      <c r="BI782" s="25" t="s">
        <v>1158</v>
      </c>
      <c r="BJ782" s="14">
        <f t="shared" si="248"/>
        <v>35100</v>
      </c>
      <c r="BK782" s="14">
        <f>SUMIFS(BJ$4:BJ782,$AU$4:$AU782,"="&amp;$AU782,$AY$4:$AY782,"="&amp;$AY782)</f>
        <v>149715</v>
      </c>
    </row>
    <row r="783" spans="46:63" ht="16.5" x14ac:dyDescent="0.2">
      <c r="AT783" s="13">
        <v>780</v>
      </c>
      <c r="AU783" s="13">
        <f t="shared" si="240"/>
        <v>10</v>
      </c>
      <c r="AV783" s="14">
        <f t="shared" si="241"/>
        <v>201106</v>
      </c>
      <c r="AW783" s="14">
        <f t="shared" si="242"/>
        <v>1102011</v>
      </c>
      <c r="AX783" s="13" t="s">
        <v>1127</v>
      </c>
      <c r="AY783" s="13">
        <f t="shared" si="243"/>
        <v>6</v>
      </c>
      <c r="AZ783" s="13" t="s">
        <v>1148</v>
      </c>
      <c r="BA783" s="14">
        <f t="shared" si="244"/>
        <v>9</v>
      </c>
      <c r="BB783" s="14" t="str">
        <f t="shared" si="245"/>
        <v>张飞魂珠-6 等级-9</v>
      </c>
      <c r="BC783" s="25" t="s">
        <v>1156</v>
      </c>
      <c r="BD783" s="14">
        <f t="shared" si="246"/>
        <v>1500</v>
      </c>
      <c r="BE783" s="14">
        <f>SUMIFS(BD$4:BD783,$AU$4:$AU783,"="&amp;$AU783,$AY$4:$AY783,"="&amp;$AY783)</f>
        <v>7045</v>
      </c>
      <c r="BF783" s="25" t="s">
        <v>1157</v>
      </c>
      <c r="BG783" s="14">
        <f t="shared" si="247"/>
        <v>825</v>
      </c>
      <c r="BH783" s="14">
        <f>SUMIFS(BG$4:BG783,AU$4:AU783,"="&amp;AU783,AY$4:AY783,"="&amp;AY783)</f>
        <v>3876</v>
      </c>
      <c r="BI783" s="25" t="s">
        <v>1158</v>
      </c>
      <c r="BJ783" s="14">
        <f t="shared" si="248"/>
        <v>40500</v>
      </c>
      <c r="BK783" s="14">
        <f>SUMIFS(BJ$4:BJ783,$AU$4:$AU783,"="&amp;$AU783,$AY$4:$AY783,"="&amp;$AY783)</f>
        <v>190215</v>
      </c>
    </row>
    <row r="784" spans="46:63" ht="16.5" x14ac:dyDescent="0.2">
      <c r="AT784" s="13">
        <v>781</v>
      </c>
      <c r="AU784" s="13">
        <f t="shared" si="240"/>
        <v>10</v>
      </c>
      <c r="AV784" s="14">
        <f t="shared" si="241"/>
        <v>201107</v>
      </c>
      <c r="AW784" s="14">
        <f t="shared" si="242"/>
        <v>1102011</v>
      </c>
      <c r="AX784" s="13" t="s">
        <v>1127</v>
      </c>
      <c r="AY784" s="13">
        <f t="shared" si="243"/>
        <v>7</v>
      </c>
      <c r="AZ784" s="13" t="s">
        <v>1148</v>
      </c>
      <c r="BA784" s="14">
        <f t="shared" si="244"/>
        <v>0</v>
      </c>
      <c r="BB784" s="14" t="str">
        <f t="shared" si="245"/>
        <v>张飞魂珠-7 等级-0</v>
      </c>
      <c r="BC784" s="25" t="s">
        <v>1156</v>
      </c>
      <c r="BD784" s="14">
        <f t="shared" si="246"/>
        <v>0</v>
      </c>
      <c r="BE784" s="14">
        <f>SUMIFS(BD$4:BD784,$AU$4:$AU784,"="&amp;$AU784,$AY$4:$AY784,"="&amp;$AY784)</f>
        <v>0</v>
      </c>
      <c r="BF784" s="25" t="s">
        <v>1157</v>
      </c>
      <c r="BG784" s="14">
        <f t="shared" si="247"/>
        <v>0</v>
      </c>
      <c r="BH784" s="14">
        <f>SUMIFS(BG$4:BG784,AU$4:AU784,"="&amp;AU784,AY$4:AY784,"="&amp;AY784)</f>
        <v>0</v>
      </c>
      <c r="BI784" s="25" t="s">
        <v>1158</v>
      </c>
      <c r="BJ784" s="14">
        <f t="shared" si="248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0"/>
        <v>10</v>
      </c>
      <c r="AV785" s="14">
        <f t="shared" si="241"/>
        <v>201107</v>
      </c>
      <c r="AW785" s="14">
        <f t="shared" si="242"/>
        <v>1102011</v>
      </c>
      <c r="AX785" s="13" t="s">
        <v>1127</v>
      </c>
      <c r="AY785" s="13">
        <f t="shared" si="243"/>
        <v>7</v>
      </c>
      <c r="AZ785" s="13" t="s">
        <v>1148</v>
      </c>
      <c r="BA785" s="14">
        <f t="shared" si="244"/>
        <v>1</v>
      </c>
      <c r="BB785" s="14" t="str">
        <f t="shared" si="245"/>
        <v>张飞魂珠-7 等级-1</v>
      </c>
      <c r="BC785" s="25" t="s">
        <v>1156</v>
      </c>
      <c r="BD785" s="14">
        <f t="shared" si="246"/>
        <v>240</v>
      </c>
      <c r="BE785" s="14">
        <f>SUMIFS(BD$4:BD785,$AU$4:$AU785,"="&amp;$AU785,$AY$4:$AY785,"="&amp;$AY785)</f>
        <v>240</v>
      </c>
      <c r="BF785" s="25" t="s">
        <v>1157</v>
      </c>
      <c r="BG785" s="14">
        <f t="shared" si="247"/>
        <v>132</v>
      </c>
      <c r="BH785" s="14">
        <f>SUMIFS(BG$4:BG785,AU$4:AU785,"="&amp;AU785,AY$4:AY785,"="&amp;AY785)</f>
        <v>132</v>
      </c>
      <c r="BI785" s="25" t="s">
        <v>1158</v>
      </c>
      <c r="BJ785" s="14">
        <f t="shared" si="248"/>
        <v>6480</v>
      </c>
      <c r="BK785" s="14">
        <f>SUMIFS(BJ$4:BJ785,$AU$4:$AU785,"="&amp;$AU785,$AY$4:$AY785,"="&amp;$AY785)</f>
        <v>6480</v>
      </c>
    </row>
    <row r="786" spans="46:63" ht="16.5" x14ac:dyDescent="0.2">
      <c r="AT786" s="13">
        <v>783</v>
      </c>
      <c r="AU786" s="13">
        <f t="shared" si="240"/>
        <v>10</v>
      </c>
      <c r="AV786" s="14">
        <f t="shared" si="241"/>
        <v>201107</v>
      </c>
      <c r="AW786" s="14">
        <f t="shared" si="242"/>
        <v>1102011</v>
      </c>
      <c r="AX786" s="13" t="s">
        <v>1127</v>
      </c>
      <c r="AY786" s="13">
        <f t="shared" si="243"/>
        <v>7</v>
      </c>
      <c r="AZ786" s="13" t="s">
        <v>1148</v>
      </c>
      <c r="BA786" s="14">
        <f t="shared" si="244"/>
        <v>2</v>
      </c>
      <c r="BB786" s="14" t="str">
        <f t="shared" si="245"/>
        <v>张飞魂珠-7 等级-2</v>
      </c>
      <c r="BC786" s="25" t="s">
        <v>1156</v>
      </c>
      <c r="BD786" s="14">
        <f t="shared" si="246"/>
        <v>360</v>
      </c>
      <c r="BE786" s="14">
        <f>SUMIFS(BD$4:BD786,$AU$4:$AU786,"="&amp;$AU786,$AY$4:$AY786,"="&amp;$AY786)</f>
        <v>600</v>
      </c>
      <c r="BF786" s="25" t="s">
        <v>1157</v>
      </c>
      <c r="BG786" s="14">
        <f t="shared" si="247"/>
        <v>198</v>
      </c>
      <c r="BH786" s="14">
        <f>SUMIFS(BG$4:BG786,AU$4:AU786,"="&amp;AU786,AY$4:AY786,"="&amp;AY786)</f>
        <v>330</v>
      </c>
      <c r="BI786" s="25" t="s">
        <v>1158</v>
      </c>
      <c r="BJ786" s="14">
        <f t="shared" si="248"/>
        <v>9720</v>
      </c>
      <c r="BK786" s="14">
        <f>SUMIFS(BJ$4:BJ786,$AU$4:$AU786,"="&amp;$AU786,$AY$4:$AY786,"="&amp;$AY786)</f>
        <v>16200</v>
      </c>
    </row>
    <row r="787" spans="46:63" ht="16.5" x14ac:dyDescent="0.2">
      <c r="AT787" s="13">
        <v>784</v>
      </c>
      <c r="AU787" s="13">
        <f t="shared" si="240"/>
        <v>10</v>
      </c>
      <c r="AV787" s="14">
        <f t="shared" si="241"/>
        <v>201107</v>
      </c>
      <c r="AW787" s="14">
        <f t="shared" si="242"/>
        <v>1102011</v>
      </c>
      <c r="AX787" s="13" t="s">
        <v>1127</v>
      </c>
      <c r="AY787" s="13">
        <f t="shared" si="243"/>
        <v>7</v>
      </c>
      <c r="AZ787" s="13" t="s">
        <v>1148</v>
      </c>
      <c r="BA787" s="14">
        <f t="shared" si="244"/>
        <v>3</v>
      </c>
      <c r="BB787" s="14" t="str">
        <f t="shared" si="245"/>
        <v>张飞魂珠-7 等级-3</v>
      </c>
      <c r="BC787" s="25" t="s">
        <v>1156</v>
      </c>
      <c r="BD787" s="14">
        <f t="shared" si="246"/>
        <v>480</v>
      </c>
      <c r="BE787" s="14">
        <f>SUMIFS(BD$4:BD787,$AU$4:$AU787,"="&amp;$AU787,$AY$4:$AY787,"="&amp;$AY787)</f>
        <v>1080</v>
      </c>
      <c r="BF787" s="25" t="s">
        <v>1157</v>
      </c>
      <c r="BG787" s="14">
        <f t="shared" si="247"/>
        <v>264</v>
      </c>
      <c r="BH787" s="14">
        <f>SUMIFS(BG$4:BG787,AU$4:AU787,"="&amp;AU787,AY$4:AY787,"="&amp;AY787)</f>
        <v>594</v>
      </c>
      <c r="BI787" s="25" t="s">
        <v>1158</v>
      </c>
      <c r="BJ787" s="14">
        <f t="shared" si="248"/>
        <v>12960</v>
      </c>
      <c r="BK787" s="14">
        <f>SUMIFS(BJ$4:BJ787,$AU$4:$AU787,"="&amp;$AU787,$AY$4:$AY787,"="&amp;$AY787)</f>
        <v>29160</v>
      </c>
    </row>
    <row r="788" spans="46:63" ht="16.5" x14ac:dyDescent="0.2">
      <c r="AT788" s="13">
        <v>785</v>
      </c>
      <c r="AU788" s="13">
        <f t="shared" si="240"/>
        <v>10</v>
      </c>
      <c r="AV788" s="14">
        <f t="shared" si="241"/>
        <v>201107</v>
      </c>
      <c r="AW788" s="14">
        <f t="shared" si="242"/>
        <v>1102011</v>
      </c>
      <c r="AX788" s="13" t="s">
        <v>1127</v>
      </c>
      <c r="AY788" s="13">
        <f t="shared" si="243"/>
        <v>7</v>
      </c>
      <c r="AZ788" s="13" t="s">
        <v>1148</v>
      </c>
      <c r="BA788" s="14">
        <f t="shared" si="244"/>
        <v>4</v>
      </c>
      <c r="BB788" s="14" t="str">
        <f t="shared" si="245"/>
        <v>张飞魂珠-7 等级-4</v>
      </c>
      <c r="BC788" s="25" t="s">
        <v>1156</v>
      </c>
      <c r="BD788" s="14">
        <f t="shared" si="246"/>
        <v>720</v>
      </c>
      <c r="BE788" s="14">
        <f>SUMIFS(BD$4:BD788,$AU$4:$AU788,"="&amp;$AU788,$AY$4:$AY788,"="&amp;$AY788)</f>
        <v>1800</v>
      </c>
      <c r="BF788" s="25" t="s">
        <v>1157</v>
      </c>
      <c r="BG788" s="14">
        <f t="shared" si="247"/>
        <v>396</v>
      </c>
      <c r="BH788" s="14">
        <f>SUMIFS(BG$4:BG788,AU$4:AU788,"="&amp;AU788,AY$4:AY788,"="&amp;AY788)</f>
        <v>990</v>
      </c>
      <c r="BI788" s="25" t="s">
        <v>1158</v>
      </c>
      <c r="BJ788" s="14">
        <f t="shared" si="248"/>
        <v>19440</v>
      </c>
      <c r="BK788" s="14">
        <f>SUMIFS(BJ$4:BJ788,$AU$4:$AU788,"="&amp;$AU788,$AY$4:$AY788,"="&amp;$AY788)</f>
        <v>48600</v>
      </c>
    </row>
    <row r="789" spans="46:63" ht="16.5" x14ac:dyDescent="0.2">
      <c r="AT789" s="13">
        <v>786</v>
      </c>
      <c r="AU789" s="13">
        <f t="shared" si="240"/>
        <v>10</v>
      </c>
      <c r="AV789" s="14">
        <f t="shared" si="241"/>
        <v>201107</v>
      </c>
      <c r="AW789" s="14">
        <f t="shared" si="242"/>
        <v>1102011</v>
      </c>
      <c r="AX789" s="13" t="s">
        <v>1127</v>
      </c>
      <c r="AY789" s="13">
        <f t="shared" si="243"/>
        <v>7</v>
      </c>
      <c r="AZ789" s="13" t="s">
        <v>1148</v>
      </c>
      <c r="BA789" s="14">
        <f t="shared" si="244"/>
        <v>5</v>
      </c>
      <c r="BB789" s="14" t="str">
        <f t="shared" si="245"/>
        <v>张飞魂珠-7 等级-5</v>
      </c>
      <c r="BC789" s="25" t="s">
        <v>1156</v>
      </c>
      <c r="BD789" s="14">
        <f t="shared" si="246"/>
        <v>960</v>
      </c>
      <c r="BE789" s="14">
        <f>SUMIFS(BD$4:BD789,$AU$4:$AU789,"="&amp;$AU789,$AY$4:$AY789,"="&amp;$AY789)</f>
        <v>2760</v>
      </c>
      <c r="BF789" s="25" t="s">
        <v>1157</v>
      </c>
      <c r="BG789" s="14">
        <f t="shared" si="247"/>
        <v>528</v>
      </c>
      <c r="BH789" s="14">
        <f>SUMIFS(BG$4:BG789,AU$4:AU789,"="&amp;AU789,AY$4:AY789,"="&amp;AY789)</f>
        <v>1518</v>
      </c>
      <c r="BI789" s="25" t="s">
        <v>1158</v>
      </c>
      <c r="BJ789" s="14">
        <f t="shared" si="248"/>
        <v>25920</v>
      </c>
      <c r="BK789" s="14">
        <f>SUMIFS(BJ$4:BJ789,$AU$4:$AU789,"="&amp;$AU789,$AY$4:$AY789,"="&amp;$AY789)</f>
        <v>74520</v>
      </c>
    </row>
    <row r="790" spans="46:63" ht="16.5" x14ac:dyDescent="0.2">
      <c r="AT790" s="13">
        <v>787</v>
      </c>
      <c r="AU790" s="13">
        <f t="shared" si="240"/>
        <v>10</v>
      </c>
      <c r="AV790" s="14">
        <f t="shared" si="241"/>
        <v>201107</v>
      </c>
      <c r="AW790" s="14">
        <f t="shared" si="242"/>
        <v>1102011</v>
      </c>
      <c r="AX790" s="13" t="s">
        <v>1127</v>
      </c>
      <c r="AY790" s="13">
        <f t="shared" si="243"/>
        <v>7</v>
      </c>
      <c r="AZ790" s="13" t="s">
        <v>1148</v>
      </c>
      <c r="BA790" s="14">
        <f t="shared" si="244"/>
        <v>6</v>
      </c>
      <c r="BB790" s="14" t="str">
        <f t="shared" si="245"/>
        <v>张飞魂珠-7 等级-6</v>
      </c>
      <c r="BC790" s="25" t="s">
        <v>1156</v>
      </c>
      <c r="BD790" s="14">
        <f t="shared" si="246"/>
        <v>1200</v>
      </c>
      <c r="BE790" s="14">
        <f>SUMIFS(BD$4:BD790,$AU$4:$AU790,"="&amp;$AU790,$AY$4:$AY790,"="&amp;$AY790)</f>
        <v>3960</v>
      </c>
      <c r="BF790" s="25" t="s">
        <v>1157</v>
      </c>
      <c r="BG790" s="14">
        <f t="shared" si="247"/>
        <v>660</v>
      </c>
      <c r="BH790" s="14">
        <f>SUMIFS(BG$4:BG790,AU$4:AU790,"="&amp;AU790,AY$4:AY790,"="&amp;AY790)</f>
        <v>2178</v>
      </c>
      <c r="BI790" s="25" t="s">
        <v>1158</v>
      </c>
      <c r="BJ790" s="14">
        <f t="shared" si="248"/>
        <v>32400</v>
      </c>
      <c r="BK790" s="14">
        <f>SUMIFS(BJ$4:BJ790,$AU$4:$AU790,"="&amp;$AU790,$AY$4:$AY790,"="&amp;$AY790)</f>
        <v>106920</v>
      </c>
    </row>
    <row r="791" spans="46:63" ht="16.5" x14ac:dyDescent="0.2">
      <c r="AT791" s="13">
        <v>788</v>
      </c>
      <c r="AU791" s="13">
        <f t="shared" si="240"/>
        <v>10</v>
      </c>
      <c r="AV791" s="14">
        <f t="shared" si="241"/>
        <v>201107</v>
      </c>
      <c r="AW791" s="14">
        <f t="shared" si="242"/>
        <v>1102011</v>
      </c>
      <c r="AX791" s="13" t="s">
        <v>1127</v>
      </c>
      <c r="AY791" s="13">
        <f t="shared" si="243"/>
        <v>7</v>
      </c>
      <c r="AZ791" s="13" t="s">
        <v>1148</v>
      </c>
      <c r="BA791" s="14">
        <f t="shared" si="244"/>
        <v>7</v>
      </c>
      <c r="BB791" s="14" t="str">
        <f t="shared" si="245"/>
        <v>张飞魂珠-7 等级-7</v>
      </c>
      <c r="BC791" s="25" t="s">
        <v>1156</v>
      </c>
      <c r="BD791" s="14">
        <f t="shared" si="246"/>
        <v>1440</v>
      </c>
      <c r="BE791" s="14">
        <f>SUMIFS(BD$4:BD791,$AU$4:$AU791,"="&amp;$AU791,$AY$4:$AY791,"="&amp;$AY791)</f>
        <v>5400</v>
      </c>
      <c r="BF791" s="25" t="s">
        <v>1157</v>
      </c>
      <c r="BG791" s="14">
        <f t="shared" si="247"/>
        <v>792</v>
      </c>
      <c r="BH791" s="14">
        <f>SUMIFS(BG$4:BG791,AU$4:AU791,"="&amp;AU791,AY$4:AY791,"="&amp;AY791)</f>
        <v>2970</v>
      </c>
      <c r="BI791" s="25" t="s">
        <v>1158</v>
      </c>
      <c r="BJ791" s="14">
        <f t="shared" si="248"/>
        <v>38880</v>
      </c>
      <c r="BK791" s="14">
        <f>SUMIFS(BJ$4:BJ791,$AU$4:$AU791,"="&amp;$AU791,$AY$4:$AY791,"="&amp;$AY791)</f>
        <v>145800</v>
      </c>
    </row>
    <row r="792" spans="46:63" ht="16.5" x14ac:dyDescent="0.2">
      <c r="AT792" s="13">
        <v>789</v>
      </c>
      <c r="AU792" s="13">
        <f t="shared" si="240"/>
        <v>10</v>
      </c>
      <c r="AV792" s="14">
        <f t="shared" si="241"/>
        <v>201107</v>
      </c>
      <c r="AW792" s="14">
        <f t="shared" si="242"/>
        <v>1102011</v>
      </c>
      <c r="AX792" s="13" t="s">
        <v>1127</v>
      </c>
      <c r="AY792" s="13">
        <f t="shared" si="243"/>
        <v>7</v>
      </c>
      <c r="AZ792" s="13" t="s">
        <v>1148</v>
      </c>
      <c r="BA792" s="14">
        <f t="shared" si="244"/>
        <v>8</v>
      </c>
      <c r="BB792" s="14" t="str">
        <f t="shared" si="245"/>
        <v>张飞魂珠-7 等级-8</v>
      </c>
      <c r="BC792" s="25" t="s">
        <v>1156</v>
      </c>
      <c r="BD792" s="14">
        <f t="shared" si="246"/>
        <v>1680</v>
      </c>
      <c r="BE792" s="14">
        <f>SUMIFS(BD$4:BD792,$AU$4:$AU792,"="&amp;$AU792,$AY$4:$AY792,"="&amp;$AY792)</f>
        <v>7080</v>
      </c>
      <c r="BF792" s="25" t="s">
        <v>1157</v>
      </c>
      <c r="BG792" s="14">
        <f t="shared" si="247"/>
        <v>924</v>
      </c>
      <c r="BH792" s="14">
        <f>SUMIFS(BG$4:BG792,AU$4:AU792,"="&amp;AU792,AY$4:AY792,"="&amp;AY792)</f>
        <v>3894</v>
      </c>
      <c r="BI792" s="25" t="s">
        <v>1158</v>
      </c>
      <c r="BJ792" s="14">
        <f t="shared" si="248"/>
        <v>45360</v>
      </c>
      <c r="BK792" s="14">
        <f>SUMIFS(BJ$4:BJ792,$AU$4:$AU792,"="&amp;$AU792,$AY$4:$AY792,"="&amp;$AY792)</f>
        <v>191160</v>
      </c>
    </row>
    <row r="793" spans="46:63" ht="16.5" x14ac:dyDescent="0.2">
      <c r="AT793" s="13">
        <v>790</v>
      </c>
      <c r="AU793" s="13">
        <f t="shared" si="240"/>
        <v>10</v>
      </c>
      <c r="AV793" s="14">
        <f t="shared" si="241"/>
        <v>201107</v>
      </c>
      <c r="AW793" s="14">
        <f t="shared" si="242"/>
        <v>1102011</v>
      </c>
      <c r="AX793" s="13" t="s">
        <v>1127</v>
      </c>
      <c r="AY793" s="13">
        <f t="shared" si="243"/>
        <v>7</v>
      </c>
      <c r="AZ793" s="13" t="s">
        <v>1148</v>
      </c>
      <c r="BA793" s="14">
        <f t="shared" si="244"/>
        <v>9</v>
      </c>
      <c r="BB793" s="14" t="str">
        <f t="shared" si="245"/>
        <v>张飞魂珠-7 等级-9</v>
      </c>
      <c r="BC793" s="25" t="s">
        <v>1156</v>
      </c>
      <c r="BD793" s="14">
        <f t="shared" si="246"/>
        <v>1920</v>
      </c>
      <c r="BE793" s="14">
        <f>SUMIFS(BD$4:BD793,$AU$4:$AU793,"="&amp;$AU793,$AY$4:$AY793,"="&amp;$AY793)</f>
        <v>9000</v>
      </c>
      <c r="BF793" s="25" t="s">
        <v>1157</v>
      </c>
      <c r="BG793" s="14">
        <f t="shared" si="247"/>
        <v>1056</v>
      </c>
      <c r="BH793" s="14">
        <f>SUMIFS(BG$4:BG793,AU$4:AU793,"="&amp;AU793,AY$4:AY793,"="&amp;AY793)</f>
        <v>4950</v>
      </c>
      <c r="BI793" s="25" t="s">
        <v>1158</v>
      </c>
      <c r="BJ793" s="14">
        <f t="shared" si="248"/>
        <v>51840</v>
      </c>
      <c r="BK793" s="14">
        <f>SUMIFS(BJ$4:BJ793,$AU$4:$AU793,"="&amp;$AU793,$AY$4:$AY793,"="&amp;$AY793)</f>
        <v>243000</v>
      </c>
    </row>
    <row r="794" spans="46:63" ht="16.5" x14ac:dyDescent="0.2">
      <c r="AT794" s="13">
        <v>791</v>
      </c>
      <c r="AU794" s="13">
        <f t="shared" si="240"/>
        <v>10</v>
      </c>
      <c r="AV794" s="14">
        <f t="shared" si="241"/>
        <v>201108</v>
      </c>
      <c r="AW794" s="14">
        <f t="shared" si="242"/>
        <v>1102011</v>
      </c>
      <c r="AX794" s="13" t="s">
        <v>1127</v>
      </c>
      <c r="AY794" s="13">
        <f t="shared" si="243"/>
        <v>8</v>
      </c>
      <c r="AZ794" s="13" t="s">
        <v>1148</v>
      </c>
      <c r="BA794" s="14">
        <f t="shared" si="244"/>
        <v>0</v>
      </c>
      <c r="BB794" s="14" t="str">
        <f t="shared" si="245"/>
        <v>张飞魂珠-8 等级-0</v>
      </c>
      <c r="BC794" s="25" t="s">
        <v>1156</v>
      </c>
      <c r="BD794" s="14">
        <f t="shared" si="246"/>
        <v>0</v>
      </c>
      <c r="BE794" s="14">
        <f>SUMIFS(BD$4:BD794,$AU$4:$AU794,"="&amp;$AU794,$AY$4:$AY794,"="&amp;$AY794)</f>
        <v>0</v>
      </c>
      <c r="BF794" s="25" t="s">
        <v>1157</v>
      </c>
      <c r="BG794" s="14">
        <f t="shared" si="247"/>
        <v>0</v>
      </c>
      <c r="BH794" s="14">
        <f>SUMIFS(BG$4:BG794,AU$4:AU794,"="&amp;AU794,AY$4:AY794,"="&amp;AY794)</f>
        <v>0</v>
      </c>
      <c r="BI794" s="25" t="s">
        <v>1158</v>
      </c>
      <c r="BJ794" s="14">
        <f t="shared" si="248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0"/>
        <v>10</v>
      </c>
      <c r="AV795" s="14">
        <f t="shared" si="241"/>
        <v>201108</v>
      </c>
      <c r="AW795" s="14">
        <f t="shared" si="242"/>
        <v>1102011</v>
      </c>
      <c r="AX795" s="13" t="s">
        <v>1127</v>
      </c>
      <c r="AY795" s="13">
        <f t="shared" si="243"/>
        <v>8</v>
      </c>
      <c r="AZ795" s="13" t="s">
        <v>1148</v>
      </c>
      <c r="BA795" s="14">
        <f t="shared" si="244"/>
        <v>1</v>
      </c>
      <c r="BB795" s="14" t="str">
        <f t="shared" si="245"/>
        <v>张飞魂珠-8 等级-1</v>
      </c>
      <c r="BC795" s="25" t="s">
        <v>1156</v>
      </c>
      <c r="BD795" s="14">
        <f t="shared" si="246"/>
        <v>320</v>
      </c>
      <c r="BE795" s="14">
        <f>SUMIFS(BD$4:BD795,$AU$4:$AU795,"="&amp;$AU795,$AY$4:$AY795,"="&amp;$AY795)</f>
        <v>320</v>
      </c>
      <c r="BF795" s="25" t="s">
        <v>1157</v>
      </c>
      <c r="BG795" s="14">
        <f t="shared" si="247"/>
        <v>176</v>
      </c>
      <c r="BH795" s="14">
        <f>SUMIFS(BG$4:BG795,AU$4:AU795,"="&amp;AU795,AY$4:AY795,"="&amp;AY795)</f>
        <v>176</v>
      </c>
      <c r="BI795" s="25" t="s">
        <v>1158</v>
      </c>
      <c r="BJ795" s="14">
        <f t="shared" si="248"/>
        <v>8640</v>
      </c>
      <c r="BK795" s="14">
        <f>SUMIFS(BJ$4:BJ795,$AU$4:$AU795,"="&amp;$AU795,$AY$4:$AY795,"="&amp;$AY795)</f>
        <v>8640</v>
      </c>
    </row>
    <row r="796" spans="46:63" ht="16.5" x14ac:dyDescent="0.2">
      <c r="AT796" s="13">
        <v>793</v>
      </c>
      <c r="AU796" s="13">
        <f t="shared" si="240"/>
        <v>10</v>
      </c>
      <c r="AV796" s="14">
        <f t="shared" si="241"/>
        <v>201108</v>
      </c>
      <c r="AW796" s="14">
        <f t="shared" si="242"/>
        <v>1102011</v>
      </c>
      <c r="AX796" s="13" t="s">
        <v>1127</v>
      </c>
      <c r="AY796" s="13">
        <f t="shared" si="243"/>
        <v>8</v>
      </c>
      <c r="AZ796" s="13" t="s">
        <v>1148</v>
      </c>
      <c r="BA796" s="14">
        <f t="shared" si="244"/>
        <v>2</v>
      </c>
      <c r="BB796" s="14" t="str">
        <f t="shared" si="245"/>
        <v>张飞魂珠-8 等级-2</v>
      </c>
      <c r="BC796" s="25" t="s">
        <v>1156</v>
      </c>
      <c r="BD796" s="14">
        <f t="shared" si="246"/>
        <v>480</v>
      </c>
      <c r="BE796" s="14">
        <f>SUMIFS(BD$4:BD796,$AU$4:$AU796,"="&amp;$AU796,$AY$4:$AY796,"="&amp;$AY796)</f>
        <v>800</v>
      </c>
      <c r="BF796" s="25" t="s">
        <v>1157</v>
      </c>
      <c r="BG796" s="14">
        <f t="shared" si="247"/>
        <v>264</v>
      </c>
      <c r="BH796" s="14">
        <f>SUMIFS(BG$4:BG796,AU$4:AU796,"="&amp;AU796,AY$4:AY796,"="&amp;AY796)</f>
        <v>440</v>
      </c>
      <c r="BI796" s="25" t="s">
        <v>1158</v>
      </c>
      <c r="BJ796" s="14">
        <f t="shared" si="248"/>
        <v>12960</v>
      </c>
      <c r="BK796" s="14">
        <f>SUMIFS(BJ$4:BJ796,$AU$4:$AU796,"="&amp;$AU796,$AY$4:$AY796,"="&amp;$AY796)</f>
        <v>21600</v>
      </c>
    </row>
    <row r="797" spans="46:63" ht="16.5" x14ac:dyDescent="0.2">
      <c r="AT797" s="13">
        <v>794</v>
      </c>
      <c r="AU797" s="13">
        <f t="shared" si="240"/>
        <v>10</v>
      </c>
      <c r="AV797" s="14">
        <f t="shared" si="241"/>
        <v>201108</v>
      </c>
      <c r="AW797" s="14">
        <f t="shared" si="242"/>
        <v>1102011</v>
      </c>
      <c r="AX797" s="13" t="s">
        <v>1127</v>
      </c>
      <c r="AY797" s="13">
        <f t="shared" si="243"/>
        <v>8</v>
      </c>
      <c r="AZ797" s="13" t="s">
        <v>1148</v>
      </c>
      <c r="BA797" s="14">
        <f t="shared" si="244"/>
        <v>3</v>
      </c>
      <c r="BB797" s="14" t="str">
        <f t="shared" si="245"/>
        <v>张飞魂珠-8 等级-3</v>
      </c>
      <c r="BC797" s="25" t="s">
        <v>1156</v>
      </c>
      <c r="BD797" s="14">
        <f t="shared" si="246"/>
        <v>640</v>
      </c>
      <c r="BE797" s="14">
        <f>SUMIFS(BD$4:BD797,$AU$4:$AU797,"="&amp;$AU797,$AY$4:$AY797,"="&amp;$AY797)</f>
        <v>1440</v>
      </c>
      <c r="BF797" s="25" t="s">
        <v>1157</v>
      </c>
      <c r="BG797" s="14">
        <f t="shared" si="247"/>
        <v>352</v>
      </c>
      <c r="BH797" s="14">
        <f>SUMIFS(BG$4:BG797,AU$4:AU797,"="&amp;AU797,AY$4:AY797,"="&amp;AY797)</f>
        <v>792</v>
      </c>
      <c r="BI797" s="25" t="s">
        <v>1158</v>
      </c>
      <c r="BJ797" s="14">
        <f t="shared" si="248"/>
        <v>17280</v>
      </c>
      <c r="BK797" s="14">
        <f>SUMIFS(BJ$4:BJ797,$AU$4:$AU797,"="&amp;$AU797,$AY$4:$AY797,"="&amp;$AY797)</f>
        <v>38880</v>
      </c>
    </row>
    <row r="798" spans="46:63" ht="16.5" x14ac:dyDescent="0.2">
      <c r="AT798" s="13">
        <v>795</v>
      </c>
      <c r="AU798" s="13">
        <f t="shared" si="240"/>
        <v>10</v>
      </c>
      <c r="AV798" s="14">
        <f t="shared" si="241"/>
        <v>201108</v>
      </c>
      <c r="AW798" s="14">
        <f t="shared" si="242"/>
        <v>1102011</v>
      </c>
      <c r="AX798" s="13" t="s">
        <v>1127</v>
      </c>
      <c r="AY798" s="13">
        <f t="shared" si="243"/>
        <v>8</v>
      </c>
      <c r="AZ798" s="13" t="s">
        <v>1148</v>
      </c>
      <c r="BA798" s="14">
        <f t="shared" si="244"/>
        <v>4</v>
      </c>
      <c r="BB798" s="14" t="str">
        <f t="shared" si="245"/>
        <v>张飞魂珠-8 等级-4</v>
      </c>
      <c r="BC798" s="25" t="s">
        <v>1156</v>
      </c>
      <c r="BD798" s="14">
        <f t="shared" si="246"/>
        <v>960</v>
      </c>
      <c r="BE798" s="14">
        <f>SUMIFS(BD$4:BD798,$AU$4:$AU798,"="&amp;$AU798,$AY$4:$AY798,"="&amp;$AY798)</f>
        <v>2400</v>
      </c>
      <c r="BF798" s="25" t="s">
        <v>1157</v>
      </c>
      <c r="BG798" s="14">
        <f t="shared" si="247"/>
        <v>528</v>
      </c>
      <c r="BH798" s="14">
        <f>SUMIFS(BG$4:BG798,AU$4:AU798,"="&amp;AU798,AY$4:AY798,"="&amp;AY798)</f>
        <v>1320</v>
      </c>
      <c r="BI798" s="25" t="s">
        <v>1158</v>
      </c>
      <c r="BJ798" s="14">
        <f t="shared" si="248"/>
        <v>25920</v>
      </c>
      <c r="BK798" s="14">
        <f>SUMIFS(BJ$4:BJ798,$AU$4:$AU798,"="&amp;$AU798,$AY$4:$AY798,"="&amp;$AY798)</f>
        <v>64800</v>
      </c>
    </row>
    <row r="799" spans="46:63" ht="16.5" x14ac:dyDescent="0.2">
      <c r="AT799" s="13">
        <v>796</v>
      </c>
      <c r="AU799" s="13">
        <f t="shared" si="240"/>
        <v>10</v>
      </c>
      <c r="AV799" s="14">
        <f t="shared" si="241"/>
        <v>201108</v>
      </c>
      <c r="AW799" s="14">
        <f t="shared" si="242"/>
        <v>1102011</v>
      </c>
      <c r="AX799" s="13" t="s">
        <v>1127</v>
      </c>
      <c r="AY799" s="13">
        <f t="shared" si="243"/>
        <v>8</v>
      </c>
      <c r="AZ799" s="13" t="s">
        <v>1148</v>
      </c>
      <c r="BA799" s="14">
        <f t="shared" si="244"/>
        <v>5</v>
      </c>
      <c r="BB799" s="14" t="str">
        <f t="shared" si="245"/>
        <v>张飞魂珠-8 等级-5</v>
      </c>
      <c r="BC799" s="25" t="s">
        <v>1156</v>
      </c>
      <c r="BD799" s="14">
        <f t="shared" si="246"/>
        <v>1280</v>
      </c>
      <c r="BE799" s="14">
        <f>SUMIFS(BD$4:BD799,$AU$4:$AU799,"="&amp;$AU799,$AY$4:$AY799,"="&amp;$AY799)</f>
        <v>3680</v>
      </c>
      <c r="BF799" s="25" t="s">
        <v>1157</v>
      </c>
      <c r="BG799" s="14">
        <f t="shared" si="247"/>
        <v>704</v>
      </c>
      <c r="BH799" s="14">
        <f>SUMIFS(BG$4:BG799,AU$4:AU799,"="&amp;AU799,AY$4:AY799,"="&amp;AY799)</f>
        <v>2024</v>
      </c>
      <c r="BI799" s="25" t="s">
        <v>1158</v>
      </c>
      <c r="BJ799" s="14">
        <f t="shared" si="248"/>
        <v>34560</v>
      </c>
      <c r="BK799" s="14">
        <f>SUMIFS(BJ$4:BJ799,$AU$4:$AU799,"="&amp;$AU799,$AY$4:$AY799,"="&amp;$AY799)</f>
        <v>99360</v>
      </c>
    </row>
    <row r="800" spans="46:63" ht="16.5" x14ac:dyDescent="0.2">
      <c r="AT800" s="13">
        <v>797</v>
      </c>
      <c r="AU800" s="13">
        <f t="shared" si="240"/>
        <v>10</v>
      </c>
      <c r="AV800" s="14">
        <f t="shared" si="241"/>
        <v>201108</v>
      </c>
      <c r="AW800" s="14">
        <f t="shared" si="242"/>
        <v>1102011</v>
      </c>
      <c r="AX800" s="13" t="s">
        <v>1127</v>
      </c>
      <c r="AY800" s="13">
        <f t="shared" si="243"/>
        <v>8</v>
      </c>
      <c r="AZ800" s="13" t="s">
        <v>1148</v>
      </c>
      <c r="BA800" s="14">
        <f t="shared" si="244"/>
        <v>6</v>
      </c>
      <c r="BB800" s="14" t="str">
        <f t="shared" si="245"/>
        <v>张飞魂珠-8 等级-6</v>
      </c>
      <c r="BC800" s="25" t="s">
        <v>1156</v>
      </c>
      <c r="BD800" s="14">
        <f t="shared" si="246"/>
        <v>1600</v>
      </c>
      <c r="BE800" s="14">
        <f>SUMIFS(BD$4:BD800,$AU$4:$AU800,"="&amp;$AU800,$AY$4:$AY800,"="&amp;$AY800)</f>
        <v>5280</v>
      </c>
      <c r="BF800" s="25" t="s">
        <v>1157</v>
      </c>
      <c r="BG800" s="14">
        <f t="shared" si="247"/>
        <v>880</v>
      </c>
      <c r="BH800" s="14">
        <f>SUMIFS(BG$4:BG800,AU$4:AU800,"="&amp;AU800,AY$4:AY800,"="&amp;AY800)</f>
        <v>2904</v>
      </c>
      <c r="BI800" s="25" t="s">
        <v>1158</v>
      </c>
      <c r="BJ800" s="14">
        <f t="shared" si="248"/>
        <v>43200</v>
      </c>
      <c r="BK800" s="14">
        <f>SUMIFS(BJ$4:BJ800,$AU$4:$AU800,"="&amp;$AU800,$AY$4:$AY800,"="&amp;$AY800)</f>
        <v>142560</v>
      </c>
    </row>
    <row r="801" spans="46:63" ht="16.5" x14ac:dyDescent="0.2">
      <c r="AT801" s="13">
        <v>798</v>
      </c>
      <c r="AU801" s="13">
        <f t="shared" si="240"/>
        <v>10</v>
      </c>
      <c r="AV801" s="14">
        <f t="shared" si="241"/>
        <v>201108</v>
      </c>
      <c r="AW801" s="14">
        <f t="shared" si="242"/>
        <v>1102011</v>
      </c>
      <c r="AX801" s="13" t="s">
        <v>1127</v>
      </c>
      <c r="AY801" s="13">
        <f t="shared" si="243"/>
        <v>8</v>
      </c>
      <c r="AZ801" s="13" t="s">
        <v>1148</v>
      </c>
      <c r="BA801" s="14">
        <f t="shared" si="244"/>
        <v>7</v>
      </c>
      <c r="BB801" s="14" t="str">
        <f t="shared" si="245"/>
        <v>张飞魂珠-8 等级-7</v>
      </c>
      <c r="BC801" s="25" t="s">
        <v>1156</v>
      </c>
      <c r="BD801" s="14">
        <f t="shared" si="246"/>
        <v>1920</v>
      </c>
      <c r="BE801" s="14">
        <f>SUMIFS(BD$4:BD801,$AU$4:$AU801,"="&amp;$AU801,$AY$4:$AY801,"="&amp;$AY801)</f>
        <v>7200</v>
      </c>
      <c r="BF801" s="25" t="s">
        <v>1157</v>
      </c>
      <c r="BG801" s="14">
        <f t="shared" si="247"/>
        <v>1056</v>
      </c>
      <c r="BH801" s="14">
        <f>SUMIFS(BG$4:BG801,AU$4:AU801,"="&amp;AU801,AY$4:AY801,"="&amp;AY801)</f>
        <v>3960</v>
      </c>
      <c r="BI801" s="25" t="s">
        <v>1158</v>
      </c>
      <c r="BJ801" s="14">
        <f t="shared" si="248"/>
        <v>51840</v>
      </c>
      <c r="BK801" s="14">
        <f>SUMIFS(BJ$4:BJ801,$AU$4:$AU801,"="&amp;$AU801,$AY$4:$AY801,"="&amp;$AY801)</f>
        <v>194400</v>
      </c>
    </row>
    <row r="802" spans="46:63" ht="16.5" x14ac:dyDescent="0.2">
      <c r="AT802" s="13">
        <v>799</v>
      </c>
      <c r="AU802" s="13">
        <f t="shared" si="240"/>
        <v>10</v>
      </c>
      <c r="AV802" s="14">
        <f t="shared" si="241"/>
        <v>201108</v>
      </c>
      <c r="AW802" s="14">
        <f t="shared" si="242"/>
        <v>1102011</v>
      </c>
      <c r="AX802" s="13" t="s">
        <v>1127</v>
      </c>
      <c r="AY802" s="13">
        <f t="shared" si="243"/>
        <v>8</v>
      </c>
      <c r="AZ802" s="13" t="s">
        <v>1148</v>
      </c>
      <c r="BA802" s="14">
        <f t="shared" si="244"/>
        <v>8</v>
      </c>
      <c r="BB802" s="14" t="str">
        <f t="shared" si="245"/>
        <v>张飞魂珠-8 等级-8</v>
      </c>
      <c r="BC802" s="25" t="s">
        <v>1156</v>
      </c>
      <c r="BD802" s="14">
        <f t="shared" si="246"/>
        <v>2240</v>
      </c>
      <c r="BE802" s="14">
        <f>SUMIFS(BD$4:BD802,$AU$4:$AU802,"="&amp;$AU802,$AY$4:$AY802,"="&amp;$AY802)</f>
        <v>9440</v>
      </c>
      <c r="BF802" s="25" t="s">
        <v>1157</v>
      </c>
      <c r="BG802" s="14">
        <f t="shared" si="247"/>
        <v>1232</v>
      </c>
      <c r="BH802" s="14">
        <f>SUMIFS(BG$4:BG802,AU$4:AU802,"="&amp;AU802,AY$4:AY802,"="&amp;AY802)</f>
        <v>5192</v>
      </c>
      <c r="BI802" s="25" t="s">
        <v>1158</v>
      </c>
      <c r="BJ802" s="14">
        <f t="shared" si="248"/>
        <v>60480</v>
      </c>
      <c r="BK802" s="14">
        <f>SUMIFS(BJ$4:BJ802,$AU$4:$AU802,"="&amp;$AU802,$AY$4:$AY802,"="&amp;$AY802)</f>
        <v>254880</v>
      </c>
    </row>
    <row r="803" spans="46:63" ht="16.5" x14ac:dyDescent="0.2">
      <c r="AT803" s="13">
        <v>800</v>
      </c>
      <c r="AU803" s="13">
        <f t="shared" si="240"/>
        <v>10</v>
      </c>
      <c r="AV803" s="14">
        <f t="shared" si="241"/>
        <v>201108</v>
      </c>
      <c r="AW803" s="14">
        <f t="shared" si="242"/>
        <v>1102011</v>
      </c>
      <c r="AX803" s="13" t="s">
        <v>1127</v>
      </c>
      <c r="AY803" s="13">
        <f t="shared" si="243"/>
        <v>8</v>
      </c>
      <c r="AZ803" s="13" t="s">
        <v>1148</v>
      </c>
      <c r="BA803" s="14">
        <f t="shared" si="244"/>
        <v>9</v>
      </c>
      <c r="BB803" s="14" t="str">
        <f t="shared" si="245"/>
        <v>张飞魂珠-8 等级-9</v>
      </c>
      <c r="BC803" s="25" t="s">
        <v>1156</v>
      </c>
      <c r="BD803" s="14">
        <f t="shared" si="246"/>
        <v>2560</v>
      </c>
      <c r="BE803" s="14">
        <f>SUMIFS(BD$4:BD803,$AU$4:$AU803,"="&amp;$AU803,$AY$4:$AY803,"="&amp;$AY803)</f>
        <v>12000</v>
      </c>
      <c r="BF803" s="25" t="s">
        <v>1157</v>
      </c>
      <c r="BG803" s="14">
        <f t="shared" si="247"/>
        <v>1408</v>
      </c>
      <c r="BH803" s="14">
        <f>SUMIFS(BG$4:BG803,AU$4:AU803,"="&amp;AU803,AY$4:AY803,"="&amp;AY803)</f>
        <v>6600</v>
      </c>
      <c r="BI803" s="25" t="s">
        <v>1158</v>
      </c>
      <c r="BJ803" s="14">
        <f t="shared" si="248"/>
        <v>69120</v>
      </c>
      <c r="BK803" s="14">
        <f>SUMIFS(BJ$4:BJ803,$AU$4:$AU803,"="&amp;$AU803,$AY$4:$AY803,"="&amp;$AY803)</f>
        <v>324000</v>
      </c>
    </row>
    <row r="804" spans="46:63" ht="16.5" x14ac:dyDescent="0.2">
      <c r="AT804" s="13">
        <v>801</v>
      </c>
      <c r="AU804" s="13">
        <f t="shared" si="240"/>
        <v>11</v>
      </c>
      <c r="AV804" s="14">
        <f t="shared" si="241"/>
        <v>201201</v>
      </c>
      <c r="AW804" s="14">
        <f t="shared" si="242"/>
        <v>1102012</v>
      </c>
      <c r="AX804" s="13" t="s">
        <v>1127</v>
      </c>
      <c r="AY804" s="13">
        <f t="shared" si="243"/>
        <v>1</v>
      </c>
      <c r="AZ804" s="13" t="s">
        <v>1148</v>
      </c>
      <c r="BA804" s="14">
        <f t="shared" si="244"/>
        <v>0</v>
      </c>
      <c r="BB804" s="14" t="str">
        <f t="shared" si="245"/>
        <v>夏侯惇魂珠-1 等级-0</v>
      </c>
      <c r="BC804" s="25" t="s">
        <v>1156</v>
      </c>
      <c r="BD804" s="14">
        <f t="shared" si="246"/>
        <v>0</v>
      </c>
      <c r="BE804" s="14">
        <f>SUMIFS(BD$4:BD804,$AU$4:$AU804,"="&amp;$AU804,$AY$4:$AY804,"="&amp;$AY804)</f>
        <v>0</v>
      </c>
      <c r="BF804" s="25" t="s">
        <v>1157</v>
      </c>
      <c r="BG804" s="14">
        <f t="shared" si="247"/>
        <v>0</v>
      </c>
      <c r="BH804" s="14">
        <f>SUMIFS(BG$4:BG804,AU$4:AU804,"="&amp;AU804,AY$4:AY804,"="&amp;AY804)</f>
        <v>0</v>
      </c>
      <c r="BI804" s="25" t="s">
        <v>1158</v>
      </c>
      <c r="BJ804" s="14">
        <f t="shared" si="248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0"/>
        <v>11</v>
      </c>
      <c r="AV805" s="14">
        <f t="shared" si="241"/>
        <v>201201</v>
      </c>
      <c r="AW805" s="14">
        <f t="shared" si="242"/>
        <v>1102012</v>
      </c>
      <c r="AX805" s="13" t="s">
        <v>1127</v>
      </c>
      <c r="AY805" s="13">
        <f t="shared" si="243"/>
        <v>1</v>
      </c>
      <c r="AZ805" s="13" t="s">
        <v>1148</v>
      </c>
      <c r="BA805" s="14">
        <f t="shared" si="244"/>
        <v>1</v>
      </c>
      <c r="BB805" s="14" t="str">
        <f t="shared" si="245"/>
        <v>夏侯惇魂珠-1 等级-1</v>
      </c>
      <c r="BC805" s="25" t="s">
        <v>1156</v>
      </c>
      <c r="BD805" s="14">
        <f t="shared" si="246"/>
        <v>48</v>
      </c>
      <c r="BE805" s="14">
        <f>SUMIFS(BD$4:BD805,$AU$4:$AU805,"="&amp;$AU805,$AY$4:$AY805,"="&amp;$AY805)</f>
        <v>48</v>
      </c>
      <c r="BF805" s="25" t="s">
        <v>1157</v>
      </c>
      <c r="BG805" s="14">
        <f t="shared" si="247"/>
        <v>24</v>
      </c>
      <c r="BH805" s="14">
        <f>SUMIFS(BG$4:BG805,AU$4:AU805,"="&amp;AU805,AY$4:AY805,"="&amp;AY805)</f>
        <v>24</v>
      </c>
      <c r="BI805" s="25" t="s">
        <v>1158</v>
      </c>
      <c r="BJ805" s="14">
        <f t="shared" si="248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0"/>
        <v>11</v>
      </c>
      <c r="AV806" s="14">
        <f t="shared" si="241"/>
        <v>201201</v>
      </c>
      <c r="AW806" s="14">
        <f t="shared" si="242"/>
        <v>1102012</v>
      </c>
      <c r="AX806" s="13" t="s">
        <v>1127</v>
      </c>
      <c r="AY806" s="13">
        <f t="shared" si="243"/>
        <v>1</v>
      </c>
      <c r="AZ806" s="13" t="s">
        <v>1148</v>
      </c>
      <c r="BA806" s="14">
        <f t="shared" si="244"/>
        <v>2</v>
      </c>
      <c r="BB806" s="14" t="str">
        <f t="shared" si="245"/>
        <v>夏侯惇魂珠-1 等级-2</v>
      </c>
      <c r="BC806" s="25" t="s">
        <v>1156</v>
      </c>
      <c r="BD806" s="14">
        <f t="shared" si="246"/>
        <v>72</v>
      </c>
      <c r="BE806" s="14">
        <f>SUMIFS(BD$4:BD806,$AU$4:$AU806,"="&amp;$AU806,$AY$4:$AY806,"="&amp;$AY806)</f>
        <v>120</v>
      </c>
      <c r="BF806" s="25" t="s">
        <v>1157</v>
      </c>
      <c r="BG806" s="14">
        <f t="shared" si="247"/>
        <v>36</v>
      </c>
      <c r="BH806" s="14">
        <f>SUMIFS(BG$4:BG806,AU$4:AU806,"="&amp;AU806,AY$4:AY806,"="&amp;AY806)</f>
        <v>60</v>
      </c>
      <c r="BI806" s="25" t="s">
        <v>1158</v>
      </c>
      <c r="BJ806" s="14">
        <f t="shared" si="248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0"/>
        <v>11</v>
      </c>
      <c r="AV807" s="14">
        <f t="shared" si="241"/>
        <v>201201</v>
      </c>
      <c r="AW807" s="14">
        <f t="shared" si="242"/>
        <v>1102012</v>
      </c>
      <c r="AX807" s="13" t="s">
        <v>1127</v>
      </c>
      <c r="AY807" s="13">
        <f t="shared" si="243"/>
        <v>1</v>
      </c>
      <c r="AZ807" s="13" t="s">
        <v>1148</v>
      </c>
      <c r="BA807" s="14">
        <f t="shared" si="244"/>
        <v>3</v>
      </c>
      <c r="BB807" s="14" t="str">
        <f t="shared" si="245"/>
        <v>夏侯惇魂珠-1 等级-3</v>
      </c>
      <c r="BC807" s="25" t="s">
        <v>1156</v>
      </c>
      <c r="BD807" s="14">
        <f t="shared" si="246"/>
        <v>96</v>
      </c>
      <c r="BE807" s="14">
        <f>SUMIFS(BD$4:BD807,$AU$4:$AU807,"="&amp;$AU807,$AY$4:$AY807,"="&amp;$AY807)</f>
        <v>216</v>
      </c>
      <c r="BF807" s="25" t="s">
        <v>1157</v>
      </c>
      <c r="BG807" s="14">
        <f t="shared" si="247"/>
        <v>48</v>
      </c>
      <c r="BH807" s="14">
        <f>SUMIFS(BG$4:BG807,AU$4:AU807,"="&amp;AU807,AY$4:AY807,"="&amp;AY807)</f>
        <v>108</v>
      </c>
      <c r="BI807" s="25" t="s">
        <v>1158</v>
      </c>
      <c r="BJ807" s="14">
        <f t="shared" si="248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0"/>
        <v>11</v>
      </c>
      <c r="AV808" s="14">
        <f t="shared" si="241"/>
        <v>201201</v>
      </c>
      <c r="AW808" s="14">
        <f t="shared" si="242"/>
        <v>1102012</v>
      </c>
      <c r="AX808" s="13" t="s">
        <v>1127</v>
      </c>
      <c r="AY808" s="13">
        <f t="shared" si="243"/>
        <v>1</v>
      </c>
      <c r="AZ808" s="13" t="s">
        <v>1148</v>
      </c>
      <c r="BA808" s="14">
        <f t="shared" si="244"/>
        <v>4</v>
      </c>
      <c r="BB808" s="14" t="str">
        <f t="shared" si="245"/>
        <v>夏侯惇魂珠-1 等级-4</v>
      </c>
      <c r="BC808" s="25" t="s">
        <v>1156</v>
      </c>
      <c r="BD808" s="14">
        <f t="shared" si="246"/>
        <v>144</v>
      </c>
      <c r="BE808" s="14">
        <f>SUMIFS(BD$4:BD808,$AU$4:$AU808,"="&amp;$AU808,$AY$4:$AY808,"="&amp;$AY808)</f>
        <v>360</v>
      </c>
      <c r="BF808" s="25" t="s">
        <v>1157</v>
      </c>
      <c r="BG808" s="14">
        <f t="shared" si="247"/>
        <v>72</v>
      </c>
      <c r="BH808" s="14">
        <f>SUMIFS(BG$4:BG808,AU$4:AU808,"="&amp;AU808,AY$4:AY808,"="&amp;AY808)</f>
        <v>180</v>
      </c>
      <c r="BI808" s="25" t="s">
        <v>1158</v>
      </c>
      <c r="BJ808" s="14">
        <f t="shared" si="248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0"/>
        <v>11</v>
      </c>
      <c r="AV809" s="14">
        <f t="shared" si="241"/>
        <v>201201</v>
      </c>
      <c r="AW809" s="14">
        <f t="shared" si="242"/>
        <v>1102012</v>
      </c>
      <c r="AX809" s="13" t="s">
        <v>1127</v>
      </c>
      <c r="AY809" s="13">
        <f t="shared" si="243"/>
        <v>1</v>
      </c>
      <c r="AZ809" s="13" t="s">
        <v>1148</v>
      </c>
      <c r="BA809" s="14">
        <f t="shared" si="244"/>
        <v>5</v>
      </c>
      <c r="BB809" s="14" t="str">
        <f t="shared" si="245"/>
        <v>夏侯惇魂珠-1 等级-5</v>
      </c>
      <c r="BC809" s="25" t="s">
        <v>1156</v>
      </c>
      <c r="BD809" s="14">
        <f t="shared" si="246"/>
        <v>192</v>
      </c>
      <c r="BE809" s="14">
        <f>SUMIFS(BD$4:BD809,$AU$4:$AU809,"="&amp;$AU809,$AY$4:$AY809,"="&amp;$AY809)</f>
        <v>552</v>
      </c>
      <c r="BF809" s="25" t="s">
        <v>1157</v>
      </c>
      <c r="BG809" s="14">
        <f t="shared" si="247"/>
        <v>96</v>
      </c>
      <c r="BH809" s="14">
        <f>SUMIFS(BG$4:BG809,AU$4:AU809,"="&amp;AU809,AY$4:AY809,"="&amp;AY809)</f>
        <v>276</v>
      </c>
      <c r="BI809" s="25" t="s">
        <v>1158</v>
      </c>
      <c r="BJ809" s="14">
        <f t="shared" si="248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0"/>
        <v>11</v>
      </c>
      <c r="AV810" s="14">
        <f t="shared" si="241"/>
        <v>201201</v>
      </c>
      <c r="AW810" s="14">
        <f t="shared" si="242"/>
        <v>1102012</v>
      </c>
      <c r="AX810" s="13" t="s">
        <v>1127</v>
      </c>
      <c r="AY810" s="13">
        <f t="shared" si="243"/>
        <v>1</v>
      </c>
      <c r="AZ810" s="13" t="s">
        <v>1148</v>
      </c>
      <c r="BA810" s="14">
        <f t="shared" si="244"/>
        <v>6</v>
      </c>
      <c r="BB810" s="14" t="str">
        <f t="shared" si="245"/>
        <v>夏侯惇魂珠-1 等级-6</v>
      </c>
      <c r="BC810" s="25" t="s">
        <v>1156</v>
      </c>
      <c r="BD810" s="14">
        <f t="shared" si="246"/>
        <v>240</v>
      </c>
      <c r="BE810" s="14">
        <f>SUMIFS(BD$4:BD810,$AU$4:$AU810,"="&amp;$AU810,$AY$4:$AY810,"="&amp;$AY810)</f>
        <v>792</v>
      </c>
      <c r="BF810" s="25" t="s">
        <v>1157</v>
      </c>
      <c r="BG810" s="14">
        <f t="shared" si="247"/>
        <v>120</v>
      </c>
      <c r="BH810" s="14">
        <f>SUMIFS(BG$4:BG810,AU$4:AU810,"="&amp;AU810,AY$4:AY810,"="&amp;AY810)</f>
        <v>396</v>
      </c>
      <c r="BI810" s="25" t="s">
        <v>1158</v>
      </c>
      <c r="BJ810" s="14">
        <f t="shared" si="248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0"/>
        <v>11</v>
      </c>
      <c r="AV811" s="14">
        <f t="shared" si="241"/>
        <v>201201</v>
      </c>
      <c r="AW811" s="14">
        <f t="shared" si="242"/>
        <v>1102012</v>
      </c>
      <c r="AX811" s="13" t="s">
        <v>1127</v>
      </c>
      <c r="AY811" s="13">
        <f t="shared" si="243"/>
        <v>1</v>
      </c>
      <c r="AZ811" s="13" t="s">
        <v>1148</v>
      </c>
      <c r="BA811" s="14">
        <f t="shared" si="244"/>
        <v>7</v>
      </c>
      <c r="BB811" s="14" t="str">
        <f t="shared" si="245"/>
        <v>夏侯惇魂珠-1 等级-7</v>
      </c>
      <c r="BC811" s="25" t="s">
        <v>1156</v>
      </c>
      <c r="BD811" s="14">
        <f t="shared" si="246"/>
        <v>288</v>
      </c>
      <c r="BE811" s="14">
        <f>SUMIFS(BD$4:BD811,$AU$4:$AU811,"="&amp;$AU811,$AY$4:$AY811,"="&amp;$AY811)</f>
        <v>1080</v>
      </c>
      <c r="BF811" s="25" t="s">
        <v>1157</v>
      </c>
      <c r="BG811" s="14">
        <f t="shared" si="247"/>
        <v>144</v>
      </c>
      <c r="BH811" s="14">
        <f>SUMIFS(BG$4:BG811,AU$4:AU811,"="&amp;AU811,AY$4:AY811,"="&amp;AY811)</f>
        <v>540</v>
      </c>
      <c r="BI811" s="25" t="s">
        <v>1158</v>
      </c>
      <c r="BJ811" s="14">
        <f t="shared" si="248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0"/>
        <v>11</v>
      </c>
      <c r="AV812" s="14">
        <f t="shared" si="241"/>
        <v>201201</v>
      </c>
      <c r="AW812" s="14">
        <f t="shared" si="242"/>
        <v>1102012</v>
      </c>
      <c r="AX812" s="13" t="s">
        <v>1127</v>
      </c>
      <c r="AY812" s="13">
        <f t="shared" si="243"/>
        <v>1</v>
      </c>
      <c r="AZ812" s="13" t="s">
        <v>1148</v>
      </c>
      <c r="BA812" s="14">
        <f t="shared" si="244"/>
        <v>8</v>
      </c>
      <c r="BB812" s="14" t="str">
        <f t="shared" si="245"/>
        <v>夏侯惇魂珠-1 等级-8</v>
      </c>
      <c r="BC812" s="25" t="s">
        <v>1156</v>
      </c>
      <c r="BD812" s="14">
        <f t="shared" si="246"/>
        <v>336</v>
      </c>
      <c r="BE812" s="14">
        <f>SUMIFS(BD$4:BD812,$AU$4:$AU812,"="&amp;$AU812,$AY$4:$AY812,"="&amp;$AY812)</f>
        <v>1416</v>
      </c>
      <c r="BF812" s="25" t="s">
        <v>1157</v>
      </c>
      <c r="BG812" s="14">
        <f t="shared" si="247"/>
        <v>168</v>
      </c>
      <c r="BH812" s="14">
        <f>SUMIFS(BG$4:BG812,AU$4:AU812,"="&amp;AU812,AY$4:AY812,"="&amp;AY812)</f>
        <v>708</v>
      </c>
      <c r="BI812" s="25" t="s">
        <v>1158</v>
      </c>
      <c r="BJ812" s="14">
        <f t="shared" si="248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0"/>
        <v>11</v>
      </c>
      <c r="AV813" s="14">
        <f t="shared" si="241"/>
        <v>201201</v>
      </c>
      <c r="AW813" s="14">
        <f t="shared" si="242"/>
        <v>1102012</v>
      </c>
      <c r="AX813" s="13" t="s">
        <v>1127</v>
      </c>
      <c r="AY813" s="13">
        <f t="shared" si="243"/>
        <v>1</v>
      </c>
      <c r="AZ813" s="13" t="s">
        <v>1148</v>
      </c>
      <c r="BA813" s="14">
        <f t="shared" si="244"/>
        <v>9</v>
      </c>
      <c r="BB813" s="14" t="str">
        <f t="shared" si="245"/>
        <v>夏侯惇魂珠-1 等级-9</v>
      </c>
      <c r="BC813" s="25" t="s">
        <v>1156</v>
      </c>
      <c r="BD813" s="14">
        <f t="shared" si="246"/>
        <v>384</v>
      </c>
      <c r="BE813" s="14">
        <f>SUMIFS(BD$4:BD813,$AU$4:$AU813,"="&amp;$AU813,$AY$4:$AY813,"="&amp;$AY813)</f>
        <v>1800</v>
      </c>
      <c r="BF813" s="25" t="s">
        <v>1157</v>
      </c>
      <c r="BG813" s="14">
        <f t="shared" si="247"/>
        <v>192</v>
      </c>
      <c r="BH813" s="14">
        <f>SUMIFS(BG$4:BG813,AU$4:AU813,"="&amp;AU813,AY$4:AY813,"="&amp;AY813)</f>
        <v>900</v>
      </c>
      <c r="BI813" s="25" t="s">
        <v>1158</v>
      </c>
      <c r="BJ813" s="14">
        <f t="shared" si="248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0"/>
        <v>11</v>
      </c>
      <c r="AV814" s="14">
        <f t="shared" si="241"/>
        <v>201202</v>
      </c>
      <c r="AW814" s="14">
        <f t="shared" si="242"/>
        <v>1102012</v>
      </c>
      <c r="AX814" s="13" t="s">
        <v>1127</v>
      </c>
      <c r="AY814" s="13">
        <f t="shared" si="243"/>
        <v>2</v>
      </c>
      <c r="AZ814" s="13" t="s">
        <v>1148</v>
      </c>
      <c r="BA814" s="14">
        <f t="shared" si="244"/>
        <v>0</v>
      </c>
      <c r="BB814" s="14" t="str">
        <f t="shared" si="245"/>
        <v>夏侯惇魂珠-2 等级-0</v>
      </c>
      <c r="BC814" s="25" t="s">
        <v>1156</v>
      </c>
      <c r="BD814" s="14">
        <f t="shared" si="246"/>
        <v>0</v>
      </c>
      <c r="BE814" s="14">
        <f>SUMIFS(BD$4:BD814,$AU$4:$AU814,"="&amp;$AU814,$AY$4:$AY814,"="&amp;$AY814)</f>
        <v>0</v>
      </c>
      <c r="BF814" s="25" t="s">
        <v>1157</v>
      </c>
      <c r="BG814" s="14">
        <f t="shared" si="247"/>
        <v>0</v>
      </c>
      <c r="BH814" s="14">
        <f>SUMIFS(BG$4:BG814,AU$4:AU814,"="&amp;AU814,AY$4:AY814,"="&amp;AY814)</f>
        <v>0</v>
      </c>
      <c r="BI814" s="25" t="s">
        <v>1158</v>
      </c>
      <c r="BJ814" s="14">
        <f t="shared" si="248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0"/>
        <v>11</v>
      </c>
      <c r="AV815" s="14">
        <f t="shared" si="241"/>
        <v>201202</v>
      </c>
      <c r="AW815" s="14">
        <f t="shared" si="242"/>
        <v>1102012</v>
      </c>
      <c r="AX815" s="13" t="s">
        <v>1127</v>
      </c>
      <c r="AY815" s="13">
        <f t="shared" si="243"/>
        <v>2</v>
      </c>
      <c r="AZ815" s="13" t="s">
        <v>1148</v>
      </c>
      <c r="BA815" s="14">
        <f t="shared" si="244"/>
        <v>1</v>
      </c>
      <c r="BB815" s="14" t="str">
        <f t="shared" si="245"/>
        <v>夏侯惇魂珠-2 等级-1</v>
      </c>
      <c r="BC815" s="25" t="s">
        <v>1156</v>
      </c>
      <c r="BD815" s="14">
        <f t="shared" si="246"/>
        <v>60</v>
      </c>
      <c r="BE815" s="14">
        <f>SUMIFS(BD$4:BD815,$AU$4:$AU815,"="&amp;$AU815,$AY$4:$AY815,"="&amp;$AY815)</f>
        <v>60</v>
      </c>
      <c r="BF815" s="25" t="s">
        <v>1157</v>
      </c>
      <c r="BG815" s="14">
        <f t="shared" si="247"/>
        <v>30</v>
      </c>
      <c r="BH815" s="14">
        <f>SUMIFS(BG$4:BG815,AU$4:AU815,"="&amp;AU815,AY$4:AY815,"="&amp;AY815)</f>
        <v>30</v>
      </c>
      <c r="BI815" s="25" t="s">
        <v>1158</v>
      </c>
      <c r="BJ815" s="14">
        <f t="shared" si="248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0"/>
        <v>11</v>
      </c>
      <c r="AV816" s="14">
        <f t="shared" si="241"/>
        <v>201202</v>
      </c>
      <c r="AW816" s="14">
        <f t="shared" si="242"/>
        <v>1102012</v>
      </c>
      <c r="AX816" s="13" t="s">
        <v>1127</v>
      </c>
      <c r="AY816" s="13">
        <f t="shared" si="243"/>
        <v>2</v>
      </c>
      <c r="AZ816" s="13" t="s">
        <v>1148</v>
      </c>
      <c r="BA816" s="14">
        <f t="shared" si="244"/>
        <v>2</v>
      </c>
      <c r="BB816" s="14" t="str">
        <f t="shared" si="245"/>
        <v>夏侯惇魂珠-2 等级-2</v>
      </c>
      <c r="BC816" s="25" t="s">
        <v>1156</v>
      </c>
      <c r="BD816" s="14">
        <f t="shared" si="246"/>
        <v>96</v>
      </c>
      <c r="BE816" s="14">
        <f>SUMIFS(BD$4:BD816,$AU$4:$AU816,"="&amp;$AU816,$AY$4:$AY816,"="&amp;$AY816)</f>
        <v>156</v>
      </c>
      <c r="BF816" s="25" t="s">
        <v>1157</v>
      </c>
      <c r="BG816" s="14">
        <f t="shared" si="247"/>
        <v>48</v>
      </c>
      <c r="BH816" s="14">
        <f>SUMIFS(BG$4:BG816,AU$4:AU816,"="&amp;AU816,AY$4:AY816,"="&amp;AY816)</f>
        <v>78</v>
      </c>
      <c r="BI816" s="25" t="s">
        <v>1158</v>
      </c>
      <c r="BJ816" s="14">
        <f t="shared" si="248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0"/>
        <v>11</v>
      </c>
      <c r="AV817" s="14">
        <f t="shared" si="241"/>
        <v>201202</v>
      </c>
      <c r="AW817" s="14">
        <f t="shared" si="242"/>
        <v>1102012</v>
      </c>
      <c r="AX817" s="13" t="s">
        <v>1127</v>
      </c>
      <c r="AY817" s="13">
        <f t="shared" si="243"/>
        <v>2</v>
      </c>
      <c r="AZ817" s="13" t="s">
        <v>1148</v>
      </c>
      <c r="BA817" s="14">
        <f t="shared" si="244"/>
        <v>3</v>
      </c>
      <c r="BB817" s="14" t="str">
        <f t="shared" si="245"/>
        <v>夏侯惇魂珠-2 等级-3</v>
      </c>
      <c r="BC817" s="25" t="s">
        <v>1156</v>
      </c>
      <c r="BD817" s="14">
        <f t="shared" si="246"/>
        <v>120</v>
      </c>
      <c r="BE817" s="14">
        <f>SUMIFS(BD$4:BD817,$AU$4:$AU817,"="&amp;$AU817,$AY$4:$AY817,"="&amp;$AY817)</f>
        <v>276</v>
      </c>
      <c r="BF817" s="25" t="s">
        <v>1157</v>
      </c>
      <c r="BG817" s="14">
        <f t="shared" si="247"/>
        <v>60</v>
      </c>
      <c r="BH817" s="14">
        <f>SUMIFS(BG$4:BG817,AU$4:AU817,"="&amp;AU817,AY$4:AY817,"="&amp;AY817)</f>
        <v>138</v>
      </c>
      <c r="BI817" s="25" t="s">
        <v>1158</v>
      </c>
      <c r="BJ817" s="14">
        <f t="shared" si="248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0"/>
        <v>11</v>
      </c>
      <c r="AV818" s="14">
        <f t="shared" si="241"/>
        <v>201202</v>
      </c>
      <c r="AW818" s="14">
        <f t="shared" si="242"/>
        <v>1102012</v>
      </c>
      <c r="AX818" s="13" t="s">
        <v>1127</v>
      </c>
      <c r="AY818" s="13">
        <f t="shared" si="243"/>
        <v>2</v>
      </c>
      <c r="AZ818" s="13" t="s">
        <v>1148</v>
      </c>
      <c r="BA818" s="14">
        <f t="shared" si="244"/>
        <v>4</v>
      </c>
      <c r="BB818" s="14" t="str">
        <f t="shared" si="245"/>
        <v>夏侯惇魂珠-2 等级-4</v>
      </c>
      <c r="BC818" s="25" t="s">
        <v>1156</v>
      </c>
      <c r="BD818" s="14">
        <f t="shared" si="246"/>
        <v>192</v>
      </c>
      <c r="BE818" s="14">
        <f>SUMIFS(BD$4:BD818,$AU$4:$AU818,"="&amp;$AU818,$AY$4:$AY818,"="&amp;$AY818)</f>
        <v>468</v>
      </c>
      <c r="BF818" s="25" t="s">
        <v>1157</v>
      </c>
      <c r="BG818" s="14">
        <f t="shared" si="247"/>
        <v>96</v>
      </c>
      <c r="BH818" s="14">
        <f>SUMIFS(BG$4:BG818,AU$4:AU818,"="&amp;AU818,AY$4:AY818,"="&amp;AY818)</f>
        <v>234</v>
      </c>
      <c r="BI818" s="25" t="s">
        <v>1158</v>
      </c>
      <c r="BJ818" s="14">
        <f t="shared" si="248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0"/>
        <v>11</v>
      </c>
      <c r="AV819" s="14">
        <f t="shared" si="241"/>
        <v>201202</v>
      </c>
      <c r="AW819" s="14">
        <f t="shared" si="242"/>
        <v>1102012</v>
      </c>
      <c r="AX819" s="13" t="s">
        <v>1127</v>
      </c>
      <c r="AY819" s="13">
        <f t="shared" si="243"/>
        <v>2</v>
      </c>
      <c r="AZ819" s="13" t="s">
        <v>1148</v>
      </c>
      <c r="BA819" s="14">
        <f t="shared" si="244"/>
        <v>5</v>
      </c>
      <c r="BB819" s="14" t="str">
        <f t="shared" si="245"/>
        <v>夏侯惇魂珠-2 等级-5</v>
      </c>
      <c r="BC819" s="25" t="s">
        <v>1156</v>
      </c>
      <c r="BD819" s="14">
        <f t="shared" si="246"/>
        <v>264</v>
      </c>
      <c r="BE819" s="14">
        <f>SUMIFS(BD$4:BD819,$AU$4:$AU819,"="&amp;$AU819,$AY$4:$AY819,"="&amp;$AY819)</f>
        <v>732</v>
      </c>
      <c r="BF819" s="25" t="s">
        <v>1157</v>
      </c>
      <c r="BG819" s="14">
        <f t="shared" si="247"/>
        <v>132</v>
      </c>
      <c r="BH819" s="14">
        <f>SUMIFS(BG$4:BG819,AU$4:AU819,"="&amp;AU819,AY$4:AY819,"="&amp;AY819)</f>
        <v>366</v>
      </c>
      <c r="BI819" s="25" t="s">
        <v>1158</v>
      </c>
      <c r="BJ819" s="14">
        <f t="shared" si="248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0"/>
        <v>11</v>
      </c>
      <c r="AV820" s="14">
        <f t="shared" si="241"/>
        <v>201202</v>
      </c>
      <c r="AW820" s="14">
        <f t="shared" si="242"/>
        <v>1102012</v>
      </c>
      <c r="AX820" s="13" t="s">
        <v>1127</v>
      </c>
      <c r="AY820" s="13">
        <f t="shared" si="243"/>
        <v>2</v>
      </c>
      <c r="AZ820" s="13" t="s">
        <v>1148</v>
      </c>
      <c r="BA820" s="14">
        <f t="shared" si="244"/>
        <v>6</v>
      </c>
      <c r="BB820" s="14" t="str">
        <f t="shared" si="245"/>
        <v>夏侯惇魂珠-2 等级-6</v>
      </c>
      <c r="BC820" s="25" t="s">
        <v>1156</v>
      </c>
      <c r="BD820" s="14">
        <f t="shared" si="246"/>
        <v>336</v>
      </c>
      <c r="BE820" s="14">
        <f>SUMIFS(BD$4:BD820,$AU$4:$AU820,"="&amp;$AU820,$AY$4:$AY820,"="&amp;$AY820)</f>
        <v>1068</v>
      </c>
      <c r="BF820" s="25" t="s">
        <v>1157</v>
      </c>
      <c r="BG820" s="14">
        <f t="shared" si="247"/>
        <v>168</v>
      </c>
      <c r="BH820" s="14">
        <f>SUMIFS(BG$4:BG820,AU$4:AU820,"="&amp;AU820,AY$4:AY820,"="&amp;AY820)</f>
        <v>534</v>
      </c>
      <c r="BI820" s="25" t="s">
        <v>1158</v>
      </c>
      <c r="BJ820" s="14">
        <f t="shared" si="248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0"/>
        <v>11</v>
      </c>
      <c r="AV821" s="14">
        <f t="shared" si="241"/>
        <v>201202</v>
      </c>
      <c r="AW821" s="14">
        <f t="shared" si="242"/>
        <v>1102012</v>
      </c>
      <c r="AX821" s="13" t="s">
        <v>1127</v>
      </c>
      <c r="AY821" s="13">
        <f t="shared" si="243"/>
        <v>2</v>
      </c>
      <c r="AZ821" s="13" t="s">
        <v>1148</v>
      </c>
      <c r="BA821" s="14">
        <f t="shared" si="244"/>
        <v>7</v>
      </c>
      <c r="BB821" s="14" t="str">
        <f t="shared" si="245"/>
        <v>夏侯惇魂珠-2 等级-7</v>
      </c>
      <c r="BC821" s="25" t="s">
        <v>1156</v>
      </c>
      <c r="BD821" s="14">
        <f t="shared" si="246"/>
        <v>384</v>
      </c>
      <c r="BE821" s="14">
        <f>SUMIFS(BD$4:BD821,$AU$4:$AU821,"="&amp;$AU821,$AY$4:$AY821,"="&amp;$AY821)</f>
        <v>1452</v>
      </c>
      <c r="BF821" s="25" t="s">
        <v>1157</v>
      </c>
      <c r="BG821" s="14">
        <f t="shared" si="247"/>
        <v>192</v>
      </c>
      <c r="BH821" s="14">
        <f>SUMIFS(BG$4:BG821,AU$4:AU821,"="&amp;AU821,AY$4:AY821,"="&amp;AY821)</f>
        <v>726</v>
      </c>
      <c r="BI821" s="25" t="s">
        <v>1158</v>
      </c>
      <c r="BJ821" s="14">
        <f t="shared" si="248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0"/>
        <v>11</v>
      </c>
      <c r="AV822" s="14">
        <f t="shared" si="241"/>
        <v>201202</v>
      </c>
      <c r="AW822" s="14">
        <f t="shared" si="242"/>
        <v>1102012</v>
      </c>
      <c r="AX822" s="13" t="s">
        <v>1127</v>
      </c>
      <c r="AY822" s="13">
        <f t="shared" si="243"/>
        <v>2</v>
      </c>
      <c r="AZ822" s="13" t="s">
        <v>1148</v>
      </c>
      <c r="BA822" s="14">
        <f t="shared" si="244"/>
        <v>8</v>
      </c>
      <c r="BB822" s="14" t="str">
        <f t="shared" si="245"/>
        <v>夏侯惇魂珠-2 等级-8</v>
      </c>
      <c r="BC822" s="25" t="s">
        <v>1156</v>
      </c>
      <c r="BD822" s="14">
        <f t="shared" si="246"/>
        <v>456</v>
      </c>
      <c r="BE822" s="14">
        <f>SUMIFS(BD$4:BD822,$AU$4:$AU822,"="&amp;$AU822,$AY$4:$AY822,"="&amp;$AY822)</f>
        <v>1908</v>
      </c>
      <c r="BF822" s="25" t="s">
        <v>1157</v>
      </c>
      <c r="BG822" s="14">
        <f t="shared" si="247"/>
        <v>228</v>
      </c>
      <c r="BH822" s="14">
        <f>SUMIFS(BG$4:BG822,AU$4:AU822,"="&amp;AU822,AY$4:AY822,"="&amp;AY822)</f>
        <v>954</v>
      </c>
      <c r="BI822" s="25" t="s">
        <v>1158</v>
      </c>
      <c r="BJ822" s="14">
        <f t="shared" si="248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0"/>
        <v>11</v>
      </c>
      <c r="AV823" s="14">
        <f t="shared" si="241"/>
        <v>201202</v>
      </c>
      <c r="AW823" s="14">
        <f t="shared" si="242"/>
        <v>1102012</v>
      </c>
      <c r="AX823" s="13" t="s">
        <v>1127</v>
      </c>
      <c r="AY823" s="13">
        <f t="shared" si="243"/>
        <v>2</v>
      </c>
      <c r="AZ823" s="13" t="s">
        <v>1148</v>
      </c>
      <c r="BA823" s="14">
        <f t="shared" si="244"/>
        <v>9</v>
      </c>
      <c r="BB823" s="14" t="str">
        <f t="shared" si="245"/>
        <v>夏侯惇魂珠-2 等级-9</v>
      </c>
      <c r="BC823" s="25" t="s">
        <v>1156</v>
      </c>
      <c r="BD823" s="14">
        <f t="shared" si="246"/>
        <v>540</v>
      </c>
      <c r="BE823" s="14">
        <f>SUMIFS(BD$4:BD823,$AU$4:$AU823,"="&amp;$AU823,$AY$4:$AY823,"="&amp;$AY823)</f>
        <v>2448</v>
      </c>
      <c r="BF823" s="25" t="s">
        <v>1157</v>
      </c>
      <c r="BG823" s="14">
        <f t="shared" si="247"/>
        <v>270</v>
      </c>
      <c r="BH823" s="14">
        <f>SUMIFS(BG$4:BG823,AU$4:AU823,"="&amp;AU823,AY$4:AY823,"="&amp;AY823)</f>
        <v>1224</v>
      </c>
      <c r="BI823" s="25" t="s">
        <v>1158</v>
      </c>
      <c r="BJ823" s="14">
        <f t="shared" si="248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0"/>
        <v>11</v>
      </c>
      <c r="AV824" s="14">
        <f t="shared" si="241"/>
        <v>201203</v>
      </c>
      <c r="AW824" s="14">
        <f t="shared" si="242"/>
        <v>1102012</v>
      </c>
      <c r="AX824" s="13" t="s">
        <v>1127</v>
      </c>
      <c r="AY824" s="13">
        <f t="shared" si="243"/>
        <v>3</v>
      </c>
      <c r="AZ824" s="13" t="s">
        <v>1148</v>
      </c>
      <c r="BA824" s="14">
        <f t="shared" si="244"/>
        <v>0</v>
      </c>
      <c r="BB824" s="14" t="str">
        <f t="shared" si="245"/>
        <v>夏侯惇魂珠-3 等级-0</v>
      </c>
      <c r="BC824" s="25" t="s">
        <v>1156</v>
      </c>
      <c r="BD824" s="14">
        <f t="shared" si="246"/>
        <v>0</v>
      </c>
      <c r="BE824" s="14">
        <f>SUMIFS(BD$4:BD824,$AU$4:$AU824,"="&amp;$AU824,$AY$4:$AY824,"="&amp;$AY824)</f>
        <v>0</v>
      </c>
      <c r="BF824" s="25" t="s">
        <v>1157</v>
      </c>
      <c r="BG824" s="14">
        <f t="shared" si="247"/>
        <v>0</v>
      </c>
      <c r="BH824" s="14">
        <f>SUMIFS(BG$4:BG824,AU$4:AU824,"="&amp;AU824,AY$4:AY824,"="&amp;AY824)</f>
        <v>0</v>
      </c>
      <c r="BI824" s="25" t="s">
        <v>1158</v>
      </c>
      <c r="BJ824" s="14">
        <f t="shared" si="248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0"/>
        <v>11</v>
      </c>
      <c r="AV825" s="14">
        <f t="shared" si="241"/>
        <v>201203</v>
      </c>
      <c r="AW825" s="14">
        <f t="shared" si="242"/>
        <v>1102012</v>
      </c>
      <c r="AX825" s="13" t="s">
        <v>1127</v>
      </c>
      <c r="AY825" s="13">
        <f t="shared" si="243"/>
        <v>3</v>
      </c>
      <c r="AZ825" s="13" t="s">
        <v>1148</v>
      </c>
      <c r="BA825" s="14">
        <f t="shared" si="244"/>
        <v>1</v>
      </c>
      <c r="BB825" s="14" t="str">
        <f t="shared" si="245"/>
        <v>夏侯惇魂珠-3 等级-1</v>
      </c>
      <c r="BC825" s="25" t="s">
        <v>1156</v>
      </c>
      <c r="BD825" s="14">
        <f t="shared" si="246"/>
        <v>96</v>
      </c>
      <c r="BE825" s="14">
        <f>SUMIFS(BD$4:BD825,$AU$4:$AU825,"="&amp;$AU825,$AY$4:$AY825,"="&amp;$AY825)</f>
        <v>96</v>
      </c>
      <c r="BF825" s="25" t="s">
        <v>1157</v>
      </c>
      <c r="BG825" s="14">
        <f t="shared" si="247"/>
        <v>48</v>
      </c>
      <c r="BH825" s="14">
        <f>SUMIFS(BG$4:BG825,AU$4:AU825,"="&amp;AU825,AY$4:AY825,"="&amp;AY825)</f>
        <v>48</v>
      </c>
      <c r="BI825" s="25" t="s">
        <v>1158</v>
      </c>
      <c r="BJ825" s="14">
        <f t="shared" si="248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0"/>
        <v>11</v>
      </c>
      <c r="AV826" s="14">
        <f t="shared" si="241"/>
        <v>201203</v>
      </c>
      <c r="AW826" s="14">
        <f t="shared" si="242"/>
        <v>1102012</v>
      </c>
      <c r="AX826" s="13" t="s">
        <v>1127</v>
      </c>
      <c r="AY826" s="13">
        <f t="shared" si="243"/>
        <v>3</v>
      </c>
      <c r="AZ826" s="13" t="s">
        <v>1148</v>
      </c>
      <c r="BA826" s="14">
        <f t="shared" si="244"/>
        <v>2</v>
      </c>
      <c r="BB826" s="14" t="str">
        <f t="shared" si="245"/>
        <v>夏侯惇魂珠-3 等级-2</v>
      </c>
      <c r="BC826" s="25" t="s">
        <v>1156</v>
      </c>
      <c r="BD826" s="14">
        <f t="shared" si="246"/>
        <v>144</v>
      </c>
      <c r="BE826" s="14">
        <f>SUMIFS(BD$4:BD826,$AU$4:$AU826,"="&amp;$AU826,$AY$4:$AY826,"="&amp;$AY826)</f>
        <v>240</v>
      </c>
      <c r="BF826" s="25" t="s">
        <v>1157</v>
      </c>
      <c r="BG826" s="14">
        <f t="shared" si="247"/>
        <v>72</v>
      </c>
      <c r="BH826" s="14">
        <f>SUMIFS(BG$4:BG826,AU$4:AU826,"="&amp;AU826,AY$4:AY826,"="&amp;AY826)</f>
        <v>120</v>
      </c>
      <c r="BI826" s="25" t="s">
        <v>1158</v>
      </c>
      <c r="BJ826" s="14">
        <f t="shared" si="248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0"/>
        <v>11</v>
      </c>
      <c r="AV827" s="14">
        <f t="shared" si="241"/>
        <v>201203</v>
      </c>
      <c r="AW827" s="14">
        <f t="shared" si="242"/>
        <v>1102012</v>
      </c>
      <c r="AX827" s="13" t="s">
        <v>1127</v>
      </c>
      <c r="AY827" s="13">
        <f t="shared" si="243"/>
        <v>3</v>
      </c>
      <c r="AZ827" s="13" t="s">
        <v>1148</v>
      </c>
      <c r="BA827" s="14">
        <f t="shared" si="244"/>
        <v>3</v>
      </c>
      <c r="BB827" s="14" t="str">
        <f t="shared" si="245"/>
        <v>夏侯惇魂珠-3 等级-3</v>
      </c>
      <c r="BC827" s="25" t="s">
        <v>1156</v>
      </c>
      <c r="BD827" s="14">
        <f t="shared" si="246"/>
        <v>192</v>
      </c>
      <c r="BE827" s="14">
        <f>SUMIFS(BD$4:BD827,$AU$4:$AU827,"="&amp;$AU827,$AY$4:$AY827,"="&amp;$AY827)</f>
        <v>432</v>
      </c>
      <c r="BF827" s="25" t="s">
        <v>1157</v>
      </c>
      <c r="BG827" s="14">
        <f t="shared" si="247"/>
        <v>96</v>
      </c>
      <c r="BH827" s="14">
        <f>SUMIFS(BG$4:BG827,AU$4:AU827,"="&amp;AU827,AY$4:AY827,"="&amp;AY827)</f>
        <v>216</v>
      </c>
      <c r="BI827" s="25" t="s">
        <v>1158</v>
      </c>
      <c r="BJ827" s="14">
        <f t="shared" si="248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0"/>
        <v>11</v>
      </c>
      <c r="AV828" s="14">
        <f t="shared" si="241"/>
        <v>201203</v>
      </c>
      <c r="AW828" s="14">
        <f t="shared" si="242"/>
        <v>1102012</v>
      </c>
      <c r="AX828" s="13" t="s">
        <v>1127</v>
      </c>
      <c r="AY828" s="13">
        <f t="shared" si="243"/>
        <v>3</v>
      </c>
      <c r="AZ828" s="13" t="s">
        <v>1148</v>
      </c>
      <c r="BA828" s="14">
        <f t="shared" si="244"/>
        <v>4</v>
      </c>
      <c r="BB828" s="14" t="str">
        <f t="shared" si="245"/>
        <v>夏侯惇魂珠-3 等级-4</v>
      </c>
      <c r="BC828" s="25" t="s">
        <v>1156</v>
      </c>
      <c r="BD828" s="14">
        <f t="shared" si="246"/>
        <v>288</v>
      </c>
      <c r="BE828" s="14">
        <f>SUMIFS(BD$4:BD828,$AU$4:$AU828,"="&amp;$AU828,$AY$4:$AY828,"="&amp;$AY828)</f>
        <v>720</v>
      </c>
      <c r="BF828" s="25" t="s">
        <v>1157</v>
      </c>
      <c r="BG828" s="14">
        <f t="shared" si="247"/>
        <v>144</v>
      </c>
      <c r="BH828" s="14">
        <f>SUMIFS(BG$4:BG828,AU$4:AU828,"="&amp;AU828,AY$4:AY828,"="&amp;AY828)</f>
        <v>360</v>
      </c>
      <c r="BI828" s="25" t="s">
        <v>1158</v>
      </c>
      <c r="BJ828" s="14">
        <f t="shared" si="248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0"/>
        <v>11</v>
      </c>
      <c r="AV829" s="14">
        <f t="shared" si="241"/>
        <v>201203</v>
      </c>
      <c r="AW829" s="14">
        <f t="shared" si="242"/>
        <v>1102012</v>
      </c>
      <c r="AX829" s="13" t="s">
        <v>1127</v>
      </c>
      <c r="AY829" s="13">
        <f t="shared" si="243"/>
        <v>3</v>
      </c>
      <c r="AZ829" s="13" t="s">
        <v>1148</v>
      </c>
      <c r="BA829" s="14">
        <f t="shared" si="244"/>
        <v>5</v>
      </c>
      <c r="BB829" s="14" t="str">
        <f t="shared" si="245"/>
        <v>夏侯惇魂珠-3 等级-5</v>
      </c>
      <c r="BC829" s="25" t="s">
        <v>1156</v>
      </c>
      <c r="BD829" s="14">
        <f t="shared" si="246"/>
        <v>384</v>
      </c>
      <c r="BE829" s="14">
        <f>SUMIFS(BD$4:BD829,$AU$4:$AU829,"="&amp;$AU829,$AY$4:$AY829,"="&amp;$AY829)</f>
        <v>1104</v>
      </c>
      <c r="BF829" s="25" t="s">
        <v>1157</v>
      </c>
      <c r="BG829" s="14">
        <f t="shared" si="247"/>
        <v>192</v>
      </c>
      <c r="BH829" s="14">
        <f>SUMIFS(BG$4:BG829,AU$4:AU829,"="&amp;AU829,AY$4:AY829,"="&amp;AY829)</f>
        <v>552</v>
      </c>
      <c r="BI829" s="25" t="s">
        <v>1158</v>
      </c>
      <c r="BJ829" s="14">
        <f t="shared" si="248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0"/>
        <v>11</v>
      </c>
      <c r="AV830" s="14">
        <f t="shared" si="241"/>
        <v>201203</v>
      </c>
      <c r="AW830" s="14">
        <f t="shared" si="242"/>
        <v>1102012</v>
      </c>
      <c r="AX830" s="13" t="s">
        <v>1127</v>
      </c>
      <c r="AY830" s="13">
        <f t="shared" si="243"/>
        <v>3</v>
      </c>
      <c r="AZ830" s="13" t="s">
        <v>1148</v>
      </c>
      <c r="BA830" s="14">
        <f t="shared" si="244"/>
        <v>6</v>
      </c>
      <c r="BB830" s="14" t="str">
        <f t="shared" si="245"/>
        <v>夏侯惇魂珠-3 等级-6</v>
      </c>
      <c r="BC830" s="25" t="s">
        <v>1156</v>
      </c>
      <c r="BD830" s="14">
        <f t="shared" si="246"/>
        <v>480</v>
      </c>
      <c r="BE830" s="14">
        <f>SUMIFS(BD$4:BD830,$AU$4:$AU830,"="&amp;$AU830,$AY$4:$AY830,"="&amp;$AY830)</f>
        <v>1584</v>
      </c>
      <c r="BF830" s="25" t="s">
        <v>1157</v>
      </c>
      <c r="BG830" s="14">
        <f t="shared" si="247"/>
        <v>240</v>
      </c>
      <c r="BH830" s="14">
        <f>SUMIFS(BG$4:BG830,AU$4:AU830,"="&amp;AU830,AY$4:AY830,"="&amp;AY830)</f>
        <v>792</v>
      </c>
      <c r="BI830" s="25" t="s">
        <v>1158</v>
      </c>
      <c r="BJ830" s="14">
        <f t="shared" si="248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0"/>
        <v>11</v>
      </c>
      <c r="AV831" s="14">
        <f t="shared" si="241"/>
        <v>201203</v>
      </c>
      <c r="AW831" s="14">
        <f t="shared" si="242"/>
        <v>1102012</v>
      </c>
      <c r="AX831" s="13" t="s">
        <v>1127</v>
      </c>
      <c r="AY831" s="13">
        <f t="shared" si="243"/>
        <v>3</v>
      </c>
      <c r="AZ831" s="13" t="s">
        <v>1148</v>
      </c>
      <c r="BA831" s="14">
        <f t="shared" si="244"/>
        <v>7</v>
      </c>
      <c r="BB831" s="14" t="str">
        <f t="shared" si="245"/>
        <v>夏侯惇魂珠-3 等级-7</v>
      </c>
      <c r="BC831" s="25" t="s">
        <v>1156</v>
      </c>
      <c r="BD831" s="14">
        <f t="shared" si="246"/>
        <v>576</v>
      </c>
      <c r="BE831" s="14">
        <f>SUMIFS(BD$4:BD831,$AU$4:$AU831,"="&amp;$AU831,$AY$4:$AY831,"="&amp;$AY831)</f>
        <v>2160</v>
      </c>
      <c r="BF831" s="25" t="s">
        <v>1157</v>
      </c>
      <c r="BG831" s="14">
        <f t="shared" si="247"/>
        <v>288</v>
      </c>
      <c r="BH831" s="14">
        <f>SUMIFS(BG$4:BG831,AU$4:AU831,"="&amp;AU831,AY$4:AY831,"="&amp;AY831)</f>
        <v>1080</v>
      </c>
      <c r="BI831" s="25" t="s">
        <v>1158</v>
      </c>
      <c r="BJ831" s="14">
        <f t="shared" si="248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0"/>
        <v>11</v>
      </c>
      <c r="AV832" s="14">
        <f t="shared" si="241"/>
        <v>201203</v>
      </c>
      <c r="AW832" s="14">
        <f t="shared" si="242"/>
        <v>1102012</v>
      </c>
      <c r="AX832" s="13" t="s">
        <v>1127</v>
      </c>
      <c r="AY832" s="13">
        <f t="shared" si="243"/>
        <v>3</v>
      </c>
      <c r="AZ832" s="13" t="s">
        <v>1148</v>
      </c>
      <c r="BA832" s="14">
        <f t="shared" si="244"/>
        <v>8</v>
      </c>
      <c r="BB832" s="14" t="str">
        <f t="shared" si="245"/>
        <v>夏侯惇魂珠-3 等级-8</v>
      </c>
      <c r="BC832" s="25" t="s">
        <v>1156</v>
      </c>
      <c r="BD832" s="14">
        <f t="shared" si="246"/>
        <v>672</v>
      </c>
      <c r="BE832" s="14">
        <f>SUMIFS(BD$4:BD832,$AU$4:$AU832,"="&amp;$AU832,$AY$4:$AY832,"="&amp;$AY832)</f>
        <v>2832</v>
      </c>
      <c r="BF832" s="25" t="s">
        <v>1157</v>
      </c>
      <c r="BG832" s="14">
        <f t="shared" si="247"/>
        <v>336</v>
      </c>
      <c r="BH832" s="14">
        <f>SUMIFS(BG$4:BG832,AU$4:AU832,"="&amp;AU832,AY$4:AY832,"="&amp;AY832)</f>
        <v>1416</v>
      </c>
      <c r="BI832" s="25" t="s">
        <v>1158</v>
      </c>
      <c r="BJ832" s="14">
        <f t="shared" si="248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0"/>
        <v>11</v>
      </c>
      <c r="AV833" s="14">
        <f t="shared" si="241"/>
        <v>201203</v>
      </c>
      <c r="AW833" s="14">
        <f t="shared" si="242"/>
        <v>1102012</v>
      </c>
      <c r="AX833" s="13" t="s">
        <v>1127</v>
      </c>
      <c r="AY833" s="13">
        <f t="shared" si="243"/>
        <v>3</v>
      </c>
      <c r="AZ833" s="13" t="s">
        <v>1148</v>
      </c>
      <c r="BA833" s="14">
        <f t="shared" si="244"/>
        <v>9</v>
      </c>
      <c r="BB833" s="14" t="str">
        <f t="shared" si="245"/>
        <v>夏侯惇魂珠-3 等级-9</v>
      </c>
      <c r="BC833" s="25" t="s">
        <v>1156</v>
      </c>
      <c r="BD833" s="14">
        <f t="shared" si="246"/>
        <v>768</v>
      </c>
      <c r="BE833" s="14">
        <f>SUMIFS(BD$4:BD833,$AU$4:$AU833,"="&amp;$AU833,$AY$4:$AY833,"="&amp;$AY833)</f>
        <v>3600</v>
      </c>
      <c r="BF833" s="25" t="s">
        <v>1157</v>
      </c>
      <c r="BG833" s="14">
        <f t="shared" si="247"/>
        <v>384</v>
      </c>
      <c r="BH833" s="14">
        <f>SUMIFS(BG$4:BG833,AU$4:AU833,"="&amp;AU833,AY$4:AY833,"="&amp;AY833)</f>
        <v>1800</v>
      </c>
      <c r="BI833" s="25" t="s">
        <v>1158</v>
      </c>
      <c r="BJ833" s="14">
        <f t="shared" si="248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0"/>
        <v>11</v>
      </c>
      <c r="AV834" s="14">
        <f t="shared" si="241"/>
        <v>201204</v>
      </c>
      <c r="AW834" s="14">
        <f t="shared" si="242"/>
        <v>1102012</v>
      </c>
      <c r="AX834" s="13" t="s">
        <v>1127</v>
      </c>
      <c r="AY834" s="13">
        <f t="shared" si="243"/>
        <v>4</v>
      </c>
      <c r="AZ834" s="13" t="s">
        <v>1148</v>
      </c>
      <c r="BA834" s="14">
        <f t="shared" si="244"/>
        <v>0</v>
      </c>
      <c r="BB834" s="14" t="str">
        <f t="shared" si="245"/>
        <v>夏侯惇魂珠-4 等级-0</v>
      </c>
      <c r="BC834" s="25" t="s">
        <v>1156</v>
      </c>
      <c r="BD834" s="14">
        <f t="shared" si="246"/>
        <v>0</v>
      </c>
      <c r="BE834" s="14">
        <f>SUMIFS(BD$4:BD834,$AU$4:$AU834,"="&amp;$AU834,$AY$4:$AY834,"="&amp;$AY834)</f>
        <v>0</v>
      </c>
      <c r="BF834" s="25" t="s">
        <v>1157</v>
      </c>
      <c r="BG834" s="14">
        <f t="shared" si="247"/>
        <v>0</v>
      </c>
      <c r="BH834" s="14">
        <f>SUMIFS(BG$4:BG834,AU$4:AU834,"="&amp;AU834,AY$4:AY834,"="&amp;AY834)</f>
        <v>0</v>
      </c>
      <c r="BI834" s="25" t="s">
        <v>1158</v>
      </c>
      <c r="BJ834" s="14">
        <f t="shared" si="248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0"/>
        <v>11</v>
      </c>
      <c r="AV835" s="14">
        <f t="shared" si="241"/>
        <v>201204</v>
      </c>
      <c r="AW835" s="14">
        <f t="shared" si="242"/>
        <v>1102012</v>
      </c>
      <c r="AX835" s="13" t="s">
        <v>1127</v>
      </c>
      <c r="AY835" s="13">
        <f t="shared" si="243"/>
        <v>4</v>
      </c>
      <c r="AZ835" s="13" t="s">
        <v>1148</v>
      </c>
      <c r="BA835" s="14">
        <f t="shared" si="244"/>
        <v>1</v>
      </c>
      <c r="BB835" s="14" t="str">
        <f t="shared" si="245"/>
        <v>夏侯惇魂珠-4 等级-1</v>
      </c>
      <c r="BC835" s="25" t="s">
        <v>1156</v>
      </c>
      <c r="BD835" s="14">
        <f t="shared" si="246"/>
        <v>120</v>
      </c>
      <c r="BE835" s="14">
        <f>SUMIFS(BD$4:BD835,$AU$4:$AU835,"="&amp;$AU835,$AY$4:$AY835,"="&amp;$AY835)</f>
        <v>120</v>
      </c>
      <c r="BF835" s="25" t="s">
        <v>1157</v>
      </c>
      <c r="BG835" s="14">
        <f t="shared" si="247"/>
        <v>60</v>
      </c>
      <c r="BH835" s="14">
        <f>SUMIFS(BG$4:BG835,AU$4:AU835,"="&amp;AU835,AY$4:AY835,"="&amp;AY835)</f>
        <v>60</v>
      </c>
      <c r="BI835" s="25" t="s">
        <v>1158</v>
      </c>
      <c r="BJ835" s="14">
        <f t="shared" si="248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0"/>
        <v>11</v>
      </c>
      <c r="AV836" s="14">
        <f t="shared" si="241"/>
        <v>201204</v>
      </c>
      <c r="AW836" s="14">
        <f t="shared" si="242"/>
        <v>1102012</v>
      </c>
      <c r="AX836" s="13" t="s">
        <v>1127</v>
      </c>
      <c r="AY836" s="13">
        <f t="shared" si="243"/>
        <v>4</v>
      </c>
      <c r="AZ836" s="13" t="s">
        <v>1148</v>
      </c>
      <c r="BA836" s="14">
        <f t="shared" si="244"/>
        <v>2</v>
      </c>
      <c r="BB836" s="14" t="str">
        <f t="shared" si="245"/>
        <v>夏侯惇魂珠-4 等级-2</v>
      </c>
      <c r="BC836" s="25" t="s">
        <v>1156</v>
      </c>
      <c r="BD836" s="14">
        <f t="shared" si="246"/>
        <v>192</v>
      </c>
      <c r="BE836" s="14">
        <f>SUMIFS(BD$4:BD836,$AU$4:$AU836,"="&amp;$AU836,$AY$4:$AY836,"="&amp;$AY836)</f>
        <v>312</v>
      </c>
      <c r="BF836" s="25" t="s">
        <v>1157</v>
      </c>
      <c r="BG836" s="14">
        <f t="shared" si="247"/>
        <v>96</v>
      </c>
      <c r="BH836" s="14">
        <f>SUMIFS(BG$4:BG836,AU$4:AU836,"="&amp;AU836,AY$4:AY836,"="&amp;AY836)</f>
        <v>156</v>
      </c>
      <c r="BI836" s="25" t="s">
        <v>1158</v>
      </c>
      <c r="BJ836" s="14">
        <f t="shared" si="248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49">INT((AT837-1)/80)+1</f>
        <v>11</v>
      </c>
      <c r="AV837" s="14">
        <f t="shared" ref="AV837:AV900" si="250">INDEX($AJ$4:$AJ$203,(AU837-1)*8+AY837)</f>
        <v>201204</v>
      </c>
      <c r="AW837" s="14">
        <f t="shared" ref="AW837:AW900" si="251">INDEX($W$4:$W$28,AU837)</f>
        <v>1102012</v>
      </c>
      <c r="AX837" s="13" t="s">
        <v>1127</v>
      </c>
      <c r="AY837" s="13">
        <f t="shared" ref="AY837:AY900" si="252">INT(((AT837-(AU837-1)*80)-1)/10)+1</f>
        <v>4</v>
      </c>
      <c r="AZ837" s="13" t="s">
        <v>1148</v>
      </c>
      <c r="BA837" s="14">
        <f t="shared" ref="BA837:BA900" si="253">AT837-(AU837-1)*80-(AY837-1)*10-1</f>
        <v>3</v>
      </c>
      <c r="BB837" s="14" t="str">
        <f t="shared" ref="BB837:BB900" si="254">INDEX($X$4:$X$28,AU837)&amp;"魂珠-"&amp;AY837&amp;" 等级-"&amp;BA837</f>
        <v>夏侯惇魂珠-4 等级-3</v>
      </c>
      <c r="BC837" s="25" t="s">
        <v>1156</v>
      </c>
      <c r="BD837" s="14">
        <f t="shared" ref="BD837:BD900" si="255">ROUND(INDEX(Q$4:Q$83,($AY837-1)*10+$BA837+1)*INDEX(AC$4:AC$28,$AU837),0)</f>
        <v>264</v>
      </c>
      <c r="BE837" s="14">
        <f>SUMIFS(BD$4:BD837,$AU$4:$AU837,"="&amp;$AU837,$AY$4:$AY837,"="&amp;$AY837)</f>
        <v>576</v>
      </c>
      <c r="BF837" s="25" t="s">
        <v>1157</v>
      </c>
      <c r="BG837" s="14">
        <f t="shared" ref="BG837:BG900" si="256">ROUND(INDEX(R$4:R$83,($AY837-1)*10+$BA837+1)*INDEX(AD$4:AD$28,$AU837),0)</f>
        <v>132</v>
      </c>
      <c r="BH837" s="14">
        <f>SUMIFS(BG$4:BG837,AU$4:AU837,"="&amp;AU837,AY$4:AY837,"="&amp;AY837)</f>
        <v>288</v>
      </c>
      <c r="BI837" s="25" t="s">
        <v>1158</v>
      </c>
      <c r="BJ837" s="14">
        <f t="shared" ref="BJ837:BJ900" si="257">ROUND(INDEX(S$4:S$83,($AY837-1)*10+$BA837+1)*INDEX(AE$4:AE$28,$AU837),0)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49"/>
        <v>11</v>
      </c>
      <c r="AV838" s="14">
        <f t="shared" si="250"/>
        <v>201204</v>
      </c>
      <c r="AW838" s="14">
        <f t="shared" si="251"/>
        <v>1102012</v>
      </c>
      <c r="AX838" s="13" t="s">
        <v>1127</v>
      </c>
      <c r="AY838" s="13">
        <f t="shared" si="252"/>
        <v>4</v>
      </c>
      <c r="AZ838" s="13" t="s">
        <v>1148</v>
      </c>
      <c r="BA838" s="14">
        <f t="shared" si="253"/>
        <v>4</v>
      </c>
      <c r="BB838" s="14" t="str">
        <f t="shared" si="254"/>
        <v>夏侯惇魂珠-4 等级-4</v>
      </c>
      <c r="BC838" s="25" t="s">
        <v>1156</v>
      </c>
      <c r="BD838" s="14">
        <f t="shared" si="255"/>
        <v>384</v>
      </c>
      <c r="BE838" s="14">
        <f>SUMIFS(BD$4:BD838,$AU$4:$AU838,"="&amp;$AU838,$AY$4:$AY838,"="&amp;$AY838)</f>
        <v>960</v>
      </c>
      <c r="BF838" s="25" t="s">
        <v>1157</v>
      </c>
      <c r="BG838" s="14">
        <f t="shared" si="256"/>
        <v>192</v>
      </c>
      <c r="BH838" s="14">
        <f>SUMIFS(BG$4:BG838,AU$4:AU838,"="&amp;AU838,AY$4:AY838,"="&amp;AY838)</f>
        <v>480</v>
      </c>
      <c r="BI838" s="25" t="s">
        <v>1158</v>
      </c>
      <c r="BJ838" s="14">
        <f t="shared" si="257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49"/>
        <v>11</v>
      </c>
      <c r="AV839" s="14">
        <f t="shared" si="250"/>
        <v>201204</v>
      </c>
      <c r="AW839" s="14">
        <f t="shared" si="251"/>
        <v>1102012</v>
      </c>
      <c r="AX839" s="13" t="s">
        <v>1127</v>
      </c>
      <c r="AY839" s="13">
        <f t="shared" si="252"/>
        <v>4</v>
      </c>
      <c r="AZ839" s="13" t="s">
        <v>1148</v>
      </c>
      <c r="BA839" s="14">
        <f t="shared" si="253"/>
        <v>5</v>
      </c>
      <c r="BB839" s="14" t="str">
        <f t="shared" si="254"/>
        <v>夏侯惇魂珠-4 等级-5</v>
      </c>
      <c r="BC839" s="25" t="s">
        <v>1156</v>
      </c>
      <c r="BD839" s="14">
        <f t="shared" si="255"/>
        <v>504</v>
      </c>
      <c r="BE839" s="14">
        <f>SUMIFS(BD$4:BD839,$AU$4:$AU839,"="&amp;$AU839,$AY$4:$AY839,"="&amp;$AY839)</f>
        <v>1464</v>
      </c>
      <c r="BF839" s="25" t="s">
        <v>1157</v>
      </c>
      <c r="BG839" s="14">
        <f t="shared" si="256"/>
        <v>252</v>
      </c>
      <c r="BH839" s="14">
        <f>SUMIFS(BG$4:BG839,AU$4:AU839,"="&amp;AU839,AY$4:AY839,"="&amp;AY839)</f>
        <v>732</v>
      </c>
      <c r="BI839" s="25" t="s">
        <v>1158</v>
      </c>
      <c r="BJ839" s="14">
        <f t="shared" si="257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49"/>
        <v>11</v>
      </c>
      <c r="AV840" s="14">
        <f t="shared" si="250"/>
        <v>201204</v>
      </c>
      <c r="AW840" s="14">
        <f t="shared" si="251"/>
        <v>1102012</v>
      </c>
      <c r="AX840" s="13" t="s">
        <v>1127</v>
      </c>
      <c r="AY840" s="13">
        <f t="shared" si="252"/>
        <v>4</v>
      </c>
      <c r="AZ840" s="13" t="s">
        <v>1148</v>
      </c>
      <c r="BA840" s="14">
        <f t="shared" si="253"/>
        <v>6</v>
      </c>
      <c r="BB840" s="14" t="str">
        <f t="shared" si="254"/>
        <v>夏侯惇魂珠-4 等级-6</v>
      </c>
      <c r="BC840" s="25" t="s">
        <v>1156</v>
      </c>
      <c r="BD840" s="14">
        <f t="shared" si="255"/>
        <v>660</v>
      </c>
      <c r="BE840" s="14">
        <f>SUMIFS(BD$4:BD840,$AU$4:$AU840,"="&amp;$AU840,$AY$4:$AY840,"="&amp;$AY840)</f>
        <v>2124</v>
      </c>
      <c r="BF840" s="25" t="s">
        <v>1157</v>
      </c>
      <c r="BG840" s="14">
        <f t="shared" si="256"/>
        <v>330</v>
      </c>
      <c r="BH840" s="14">
        <f>SUMIFS(BG$4:BG840,AU$4:AU840,"="&amp;AU840,AY$4:AY840,"="&amp;AY840)</f>
        <v>1062</v>
      </c>
      <c r="BI840" s="25" t="s">
        <v>1158</v>
      </c>
      <c r="BJ840" s="14">
        <f t="shared" si="257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49"/>
        <v>11</v>
      </c>
      <c r="AV841" s="14">
        <f t="shared" si="250"/>
        <v>201204</v>
      </c>
      <c r="AW841" s="14">
        <f t="shared" si="251"/>
        <v>1102012</v>
      </c>
      <c r="AX841" s="13" t="s">
        <v>1127</v>
      </c>
      <c r="AY841" s="13">
        <f t="shared" si="252"/>
        <v>4</v>
      </c>
      <c r="AZ841" s="13" t="s">
        <v>1148</v>
      </c>
      <c r="BA841" s="14">
        <f t="shared" si="253"/>
        <v>7</v>
      </c>
      <c r="BB841" s="14" t="str">
        <f t="shared" si="254"/>
        <v>夏侯惇魂珠-4 等级-7</v>
      </c>
      <c r="BC841" s="25" t="s">
        <v>1156</v>
      </c>
      <c r="BD841" s="14">
        <f t="shared" si="255"/>
        <v>780</v>
      </c>
      <c r="BE841" s="14">
        <f>SUMIFS(BD$4:BD841,$AU$4:$AU841,"="&amp;$AU841,$AY$4:$AY841,"="&amp;$AY841)</f>
        <v>2904</v>
      </c>
      <c r="BF841" s="25" t="s">
        <v>1157</v>
      </c>
      <c r="BG841" s="14">
        <f t="shared" si="256"/>
        <v>390</v>
      </c>
      <c r="BH841" s="14">
        <f>SUMIFS(BG$4:BG841,AU$4:AU841,"="&amp;AU841,AY$4:AY841,"="&amp;AY841)</f>
        <v>1452</v>
      </c>
      <c r="BI841" s="25" t="s">
        <v>1158</v>
      </c>
      <c r="BJ841" s="14">
        <f t="shared" si="257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49"/>
        <v>11</v>
      </c>
      <c r="AV842" s="14">
        <f t="shared" si="250"/>
        <v>201204</v>
      </c>
      <c r="AW842" s="14">
        <f t="shared" si="251"/>
        <v>1102012</v>
      </c>
      <c r="AX842" s="13" t="s">
        <v>1127</v>
      </c>
      <c r="AY842" s="13">
        <f t="shared" si="252"/>
        <v>4</v>
      </c>
      <c r="AZ842" s="13" t="s">
        <v>1148</v>
      </c>
      <c r="BA842" s="14">
        <f t="shared" si="253"/>
        <v>8</v>
      </c>
      <c r="BB842" s="14" t="str">
        <f t="shared" si="254"/>
        <v>夏侯惇魂珠-4 等级-8</v>
      </c>
      <c r="BC842" s="25" t="s">
        <v>1156</v>
      </c>
      <c r="BD842" s="14">
        <f t="shared" si="255"/>
        <v>900</v>
      </c>
      <c r="BE842" s="14">
        <f>SUMIFS(BD$4:BD842,$AU$4:$AU842,"="&amp;$AU842,$AY$4:$AY842,"="&amp;$AY842)</f>
        <v>3804</v>
      </c>
      <c r="BF842" s="25" t="s">
        <v>1157</v>
      </c>
      <c r="BG842" s="14">
        <f t="shared" si="256"/>
        <v>450</v>
      </c>
      <c r="BH842" s="14">
        <f>SUMIFS(BG$4:BG842,AU$4:AU842,"="&amp;AU842,AY$4:AY842,"="&amp;AY842)</f>
        <v>1902</v>
      </c>
      <c r="BI842" s="25" t="s">
        <v>1158</v>
      </c>
      <c r="BJ842" s="14">
        <f t="shared" si="257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49"/>
        <v>11</v>
      </c>
      <c r="AV843" s="14">
        <f t="shared" si="250"/>
        <v>201204</v>
      </c>
      <c r="AW843" s="14">
        <f t="shared" si="251"/>
        <v>1102012</v>
      </c>
      <c r="AX843" s="13" t="s">
        <v>1127</v>
      </c>
      <c r="AY843" s="13">
        <f t="shared" si="252"/>
        <v>4</v>
      </c>
      <c r="AZ843" s="13" t="s">
        <v>1148</v>
      </c>
      <c r="BA843" s="14">
        <f t="shared" si="253"/>
        <v>9</v>
      </c>
      <c r="BB843" s="14" t="str">
        <f t="shared" si="254"/>
        <v>夏侯惇魂珠-4 等级-9</v>
      </c>
      <c r="BC843" s="25" t="s">
        <v>1156</v>
      </c>
      <c r="BD843" s="14">
        <f t="shared" si="255"/>
        <v>1020</v>
      </c>
      <c r="BE843" s="14">
        <f>SUMIFS(BD$4:BD843,$AU$4:$AU843,"="&amp;$AU843,$AY$4:$AY843,"="&amp;$AY843)</f>
        <v>4824</v>
      </c>
      <c r="BF843" s="25" t="s">
        <v>1157</v>
      </c>
      <c r="BG843" s="14">
        <f t="shared" si="256"/>
        <v>510</v>
      </c>
      <c r="BH843" s="14">
        <f>SUMIFS(BG$4:BG843,AU$4:AU843,"="&amp;AU843,AY$4:AY843,"="&amp;AY843)</f>
        <v>2412</v>
      </c>
      <c r="BI843" s="25" t="s">
        <v>1158</v>
      </c>
      <c r="BJ843" s="14">
        <f t="shared" si="257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49"/>
        <v>11</v>
      </c>
      <c r="AV844" s="14">
        <f t="shared" si="250"/>
        <v>201205</v>
      </c>
      <c r="AW844" s="14">
        <f t="shared" si="251"/>
        <v>1102012</v>
      </c>
      <c r="AX844" s="13" t="s">
        <v>1127</v>
      </c>
      <c r="AY844" s="13">
        <f t="shared" si="252"/>
        <v>5</v>
      </c>
      <c r="AZ844" s="13" t="s">
        <v>1148</v>
      </c>
      <c r="BA844" s="14">
        <f t="shared" si="253"/>
        <v>0</v>
      </c>
      <c r="BB844" s="14" t="str">
        <f t="shared" si="254"/>
        <v>夏侯惇魂珠-5 等级-0</v>
      </c>
      <c r="BC844" s="25" t="s">
        <v>1156</v>
      </c>
      <c r="BD844" s="14">
        <f t="shared" si="255"/>
        <v>0</v>
      </c>
      <c r="BE844" s="14">
        <f>SUMIFS(BD$4:BD844,$AU$4:$AU844,"="&amp;$AU844,$AY$4:$AY844,"="&amp;$AY844)</f>
        <v>0</v>
      </c>
      <c r="BF844" s="25" t="s">
        <v>1157</v>
      </c>
      <c r="BG844" s="14">
        <f t="shared" si="256"/>
        <v>0</v>
      </c>
      <c r="BH844" s="14">
        <f>SUMIFS(BG$4:BG844,AU$4:AU844,"="&amp;AU844,AY$4:AY844,"="&amp;AY844)</f>
        <v>0</v>
      </c>
      <c r="BI844" s="25" t="s">
        <v>1158</v>
      </c>
      <c r="BJ844" s="14">
        <f t="shared" si="257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49"/>
        <v>11</v>
      </c>
      <c r="AV845" s="14">
        <f t="shared" si="250"/>
        <v>201205</v>
      </c>
      <c r="AW845" s="14">
        <f t="shared" si="251"/>
        <v>1102012</v>
      </c>
      <c r="AX845" s="13" t="s">
        <v>1127</v>
      </c>
      <c r="AY845" s="13">
        <f t="shared" si="252"/>
        <v>5</v>
      </c>
      <c r="AZ845" s="13" t="s">
        <v>1148</v>
      </c>
      <c r="BA845" s="14">
        <f t="shared" si="253"/>
        <v>1</v>
      </c>
      <c r="BB845" s="14" t="str">
        <f t="shared" si="254"/>
        <v>夏侯惇魂珠-5 等级-1</v>
      </c>
      <c r="BC845" s="25" t="s">
        <v>1156</v>
      </c>
      <c r="BD845" s="14">
        <f t="shared" si="255"/>
        <v>168</v>
      </c>
      <c r="BE845" s="14">
        <f>SUMIFS(BD$4:BD845,$AU$4:$AU845,"="&amp;$AU845,$AY$4:$AY845,"="&amp;$AY845)</f>
        <v>168</v>
      </c>
      <c r="BF845" s="25" t="s">
        <v>1157</v>
      </c>
      <c r="BG845" s="14">
        <f t="shared" si="256"/>
        <v>84</v>
      </c>
      <c r="BH845" s="14">
        <f>SUMIFS(BG$4:BG845,AU$4:AU845,"="&amp;AU845,AY$4:AY845,"="&amp;AY845)</f>
        <v>84</v>
      </c>
      <c r="BI845" s="25" t="s">
        <v>1158</v>
      </c>
      <c r="BJ845" s="14">
        <f t="shared" si="257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49"/>
        <v>11</v>
      </c>
      <c r="AV846" s="14">
        <f t="shared" si="250"/>
        <v>201205</v>
      </c>
      <c r="AW846" s="14">
        <f t="shared" si="251"/>
        <v>1102012</v>
      </c>
      <c r="AX846" s="13" t="s">
        <v>1127</v>
      </c>
      <c r="AY846" s="13">
        <f t="shared" si="252"/>
        <v>5</v>
      </c>
      <c r="AZ846" s="13" t="s">
        <v>1148</v>
      </c>
      <c r="BA846" s="14">
        <f t="shared" si="253"/>
        <v>2</v>
      </c>
      <c r="BB846" s="14" t="str">
        <f t="shared" si="254"/>
        <v>夏侯惇魂珠-5 等级-2</v>
      </c>
      <c r="BC846" s="25" t="s">
        <v>1156</v>
      </c>
      <c r="BD846" s="14">
        <f t="shared" si="255"/>
        <v>240</v>
      </c>
      <c r="BE846" s="14">
        <f>SUMIFS(BD$4:BD846,$AU$4:$AU846,"="&amp;$AU846,$AY$4:$AY846,"="&amp;$AY846)</f>
        <v>408</v>
      </c>
      <c r="BF846" s="25" t="s">
        <v>1157</v>
      </c>
      <c r="BG846" s="14">
        <f t="shared" si="256"/>
        <v>120</v>
      </c>
      <c r="BH846" s="14">
        <f>SUMIFS(BG$4:BG846,AU$4:AU846,"="&amp;AU846,AY$4:AY846,"="&amp;AY846)</f>
        <v>204</v>
      </c>
      <c r="BI846" s="25" t="s">
        <v>1158</v>
      </c>
      <c r="BJ846" s="14">
        <f t="shared" si="257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49"/>
        <v>11</v>
      </c>
      <c r="AV847" s="14">
        <f t="shared" si="250"/>
        <v>201205</v>
      </c>
      <c r="AW847" s="14">
        <f t="shared" si="251"/>
        <v>1102012</v>
      </c>
      <c r="AX847" s="13" t="s">
        <v>1127</v>
      </c>
      <c r="AY847" s="13">
        <f t="shared" si="252"/>
        <v>5</v>
      </c>
      <c r="AZ847" s="13" t="s">
        <v>1148</v>
      </c>
      <c r="BA847" s="14">
        <f t="shared" si="253"/>
        <v>3</v>
      </c>
      <c r="BB847" s="14" t="str">
        <f t="shared" si="254"/>
        <v>夏侯惇魂珠-5 等级-3</v>
      </c>
      <c r="BC847" s="25" t="s">
        <v>1156</v>
      </c>
      <c r="BD847" s="14">
        <f t="shared" si="255"/>
        <v>312</v>
      </c>
      <c r="BE847" s="14">
        <f>SUMIFS(BD$4:BD847,$AU$4:$AU847,"="&amp;$AU847,$AY$4:$AY847,"="&amp;$AY847)</f>
        <v>720</v>
      </c>
      <c r="BF847" s="25" t="s">
        <v>1157</v>
      </c>
      <c r="BG847" s="14">
        <f t="shared" si="256"/>
        <v>156</v>
      </c>
      <c r="BH847" s="14">
        <f>SUMIFS(BG$4:BG847,AU$4:AU847,"="&amp;AU847,AY$4:AY847,"="&amp;AY847)</f>
        <v>360</v>
      </c>
      <c r="BI847" s="25" t="s">
        <v>1158</v>
      </c>
      <c r="BJ847" s="14">
        <f t="shared" si="257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49"/>
        <v>11</v>
      </c>
      <c r="AV848" s="14">
        <f t="shared" si="250"/>
        <v>201205</v>
      </c>
      <c r="AW848" s="14">
        <f t="shared" si="251"/>
        <v>1102012</v>
      </c>
      <c r="AX848" s="13" t="s">
        <v>1127</v>
      </c>
      <c r="AY848" s="13">
        <f t="shared" si="252"/>
        <v>5</v>
      </c>
      <c r="AZ848" s="13" t="s">
        <v>1148</v>
      </c>
      <c r="BA848" s="14">
        <f t="shared" si="253"/>
        <v>4</v>
      </c>
      <c r="BB848" s="14" t="str">
        <f t="shared" si="254"/>
        <v>夏侯惇魂珠-5 等级-4</v>
      </c>
      <c r="BC848" s="25" t="s">
        <v>1156</v>
      </c>
      <c r="BD848" s="14">
        <f t="shared" si="255"/>
        <v>480</v>
      </c>
      <c r="BE848" s="14">
        <f>SUMIFS(BD$4:BD848,$AU$4:$AU848,"="&amp;$AU848,$AY$4:$AY848,"="&amp;$AY848)</f>
        <v>1200</v>
      </c>
      <c r="BF848" s="25" t="s">
        <v>1157</v>
      </c>
      <c r="BG848" s="14">
        <f t="shared" si="256"/>
        <v>240</v>
      </c>
      <c r="BH848" s="14">
        <f>SUMIFS(BG$4:BG848,AU$4:AU848,"="&amp;AU848,AY$4:AY848,"="&amp;AY848)</f>
        <v>600</v>
      </c>
      <c r="BI848" s="25" t="s">
        <v>1158</v>
      </c>
      <c r="BJ848" s="14">
        <f t="shared" si="257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49"/>
        <v>11</v>
      </c>
      <c r="AV849" s="14">
        <f t="shared" si="250"/>
        <v>201205</v>
      </c>
      <c r="AW849" s="14">
        <f t="shared" si="251"/>
        <v>1102012</v>
      </c>
      <c r="AX849" s="13" t="s">
        <v>1127</v>
      </c>
      <c r="AY849" s="13">
        <f t="shared" si="252"/>
        <v>5</v>
      </c>
      <c r="AZ849" s="13" t="s">
        <v>1148</v>
      </c>
      <c r="BA849" s="14">
        <f t="shared" si="253"/>
        <v>5</v>
      </c>
      <c r="BB849" s="14" t="str">
        <f t="shared" si="254"/>
        <v>夏侯惇魂珠-5 等级-5</v>
      </c>
      <c r="BC849" s="25" t="s">
        <v>1156</v>
      </c>
      <c r="BD849" s="14">
        <f t="shared" si="255"/>
        <v>624</v>
      </c>
      <c r="BE849" s="14">
        <f>SUMIFS(BD$4:BD849,$AU$4:$AU849,"="&amp;$AU849,$AY$4:$AY849,"="&amp;$AY849)</f>
        <v>1824</v>
      </c>
      <c r="BF849" s="25" t="s">
        <v>1157</v>
      </c>
      <c r="BG849" s="14">
        <f t="shared" si="256"/>
        <v>312</v>
      </c>
      <c r="BH849" s="14">
        <f>SUMIFS(BG$4:BG849,AU$4:AU849,"="&amp;AU849,AY$4:AY849,"="&amp;AY849)</f>
        <v>912</v>
      </c>
      <c r="BI849" s="25" t="s">
        <v>1158</v>
      </c>
      <c r="BJ849" s="14">
        <f t="shared" si="257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49"/>
        <v>11</v>
      </c>
      <c r="AV850" s="14">
        <f t="shared" si="250"/>
        <v>201205</v>
      </c>
      <c r="AW850" s="14">
        <f t="shared" si="251"/>
        <v>1102012</v>
      </c>
      <c r="AX850" s="13" t="s">
        <v>1127</v>
      </c>
      <c r="AY850" s="13">
        <f t="shared" si="252"/>
        <v>5</v>
      </c>
      <c r="AZ850" s="13" t="s">
        <v>1148</v>
      </c>
      <c r="BA850" s="14">
        <f t="shared" si="253"/>
        <v>6</v>
      </c>
      <c r="BB850" s="14" t="str">
        <f t="shared" si="254"/>
        <v>夏侯惇魂珠-5 等级-6</v>
      </c>
      <c r="BC850" s="25" t="s">
        <v>1156</v>
      </c>
      <c r="BD850" s="14">
        <f t="shared" si="255"/>
        <v>780</v>
      </c>
      <c r="BE850" s="14">
        <f>SUMIFS(BD$4:BD850,$AU$4:$AU850,"="&amp;$AU850,$AY$4:$AY850,"="&amp;$AY850)</f>
        <v>2604</v>
      </c>
      <c r="BF850" s="25" t="s">
        <v>1157</v>
      </c>
      <c r="BG850" s="14">
        <f t="shared" si="256"/>
        <v>390</v>
      </c>
      <c r="BH850" s="14">
        <f>SUMIFS(BG$4:BG850,AU$4:AU850,"="&amp;AU850,AY$4:AY850,"="&amp;AY850)</f>
        <v>1302</v>
      </c>
      <c r="BI850" s="25" t="s">
        <v>1158</v>
      </c>
      <c r="BJ850" s="14">
        <f t="shared" si="257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49"/>
        <v>11</v>
      </c>
      <c r="AV851" s="14">
        <f t="shared" si="250"/>
        <v>201205</v>
      </c>
      <c r="AW851" s="14">
        <f t="shared" si="251"/>
        <v>1102012</v>
      </c>
      <c r="AX851" s="13" t="s">
        <v>1127</v>
      </c>
      <c r="AY851" s="13">
        <f t="shared" si="252"/>
        <v>5</v>
      </c>
      <c r="AZ851" s="13" t="s">
        <v>1148</v>
      </c>
      <c r="BA851" s="14">
        <f t="shared" si="253"/>
        <v>7</v>
      </c>
      <c r="BB851" s="14" t="str">
        <f t="shared" si="254"/>
        <v>夏侯惇魂珠-5 等级-7</v>
      </c>
      <c r="BC851" s="25" t="s">
        <v>1156</v>
      </c>
      <c r="BD851" s="14">
        <f t="shared" si="255"/>
        <v>960</v>
      </c>
      <c r="BE851" s="14">
        <f>SUMIFS(BD$4:BD851,$AU$4:$AU851,"="&amp;$AU851,$AY$4:$AY851,"="&amp;$AY851)</f>
        <v>3564</v>
      </c>
      <c r="BF851" s="25" t="s">
        <v>1157</v>
      </c>
      <c r="BG851" s="14">
        <f t="shared" si="256"/>
        <v>480</v>
      </c>
      <c r="BH851" s="14">
        <f>SUMIFS(BG$4:BG851,AU$4:AU851,"="&amp;AU851,AY$4:AY851,"="&amp;AY851)</f>
        <v>1782</v>
      </c>
      <c r="BI851" s="25" t="s">
        <v>1158</v>
      </c>
      <c r="BJ851" s="14">
        <f t="shared" si="257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49"/>
        <v>11</v>
      </c>
      <c r="AV852" s="14">
        <f t="shared" si="250"/>
        <v>201205</v>
      </c>
      <c r="AW852" s="14">
        <f t="shared" si="251"/>
        <v>1102012</v>
      </c>
      <c r="AX852" s="13" t="s">
        <v>1127</v>
      </c>
      <c r="AY852" s="13">
        <f t="shared" si="252"/>
        <v>5</v>
      </c>
      <c r="AZ852" s="13" t="s">
        <v>1148</v>
      </c>
      <c r="BA852" s="14">
        <f t="shared" si="253"/>
        <v>8</v>
      </c>
      <c r="BB852" s="14" t="str">
        <f t="shared" si="254"/>
        <v>夏侯惇魂珠-5 等级-8</v>
      </c>
      <c r="BC852" s="25" t="s">
        <v>1156</v>
      </c>
      <c r="BD852" s="14">
        <f t="shared" si="255"/>
        <v>1140</v>
      </c>
      <c r="BE852" s="14">
        <f>SUMIFS(BD$4:BD852,$AU$4:$AU852,"="&amp;$AU852,$AY$4:$AY852,"="&amp;$AY852)</f>
        <v>4704</v>
      </c>
      <c r="BF852" s="25" t="s">
        <v>1157</v>
      </c>
      <c r="BG852" s="14">
        <f t="shared" si="256"/>
        <v>570</v>
      </c>
      <c r="BH852" s="14">
        <f>SUMIFS(BG$4:BG852,AU$4:AU852,"="&amp;AU852,AY$4:AY852,"="&amp;AY852)</f>
        <v>2352</v>
      </c>
      <c r="BI852" s="25" t="s">
        <v>1158</v>
      </c>
      <c r="BJ852" s="14">
        <f t="shared" si="257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49"/>
        <v>11</v>
      </c>
      <c r="AV853" s="14">
        <f t="shared" si="250"/>
        <v>201205</v>
      </c>
      <c r="AW853" s="14">
        <f t="shared" si="251"/>
        <v>1102012</v>
      </c>
      <c r="AX853" s="13" t="s">
        <v>1127</v>
      </c>
      <c r="AY853" s="13">
        <f t="shared" si="252"/>
        <v>5</v>
      </c>
      <c r="AZ853" s="13" t="s">
        <v>1148</v>
      </c>
      <c r="BA853" s="14">
        <f t="shared" si="253"/>
        <v>9</v>
      </c>
      <c r="BB853" s="14" t="str">
        <f t="shared" si="254"/>
        <v>夏侯惇魂珠-5 等级-9</v>
      </c>
      <c r="BC853" s="25" t="s">
        <v>1156</v>
      </c>
      <c r="BD853" s="14">
        <f t="shared" si="255"/>
        <v>1320</v>
      </c>
      <c r="BE853" s="14">
        <f>SUMIFS(BD$4:BD853,$AU$4:$AU853,"="&amp;$AU853,$AY$4:$AY853,"="&amp;$AY853)</f>
        <v>6024</v>
      </c>
      <c r="BF853" s="25" t="s">
        <v>1157</v>
      </c>
      <c r="BG853" s="14">
        <f t="shared" si="256"/>
        <v>660</v>
      </c>
      <c r="BH853" s="14">
        <f>SUMIFS(BG$4:BG853,AU$4:AU853,"="&amp;AU853,AY$4:AY853,"="&amp;AY853)</f>
        <v>3012</v>
      </c>
      <c r="BI853" s="25" t="s">
        <v>1158</v>
      </c>
      <c r="BJ853" s="14">
        <f t="shared" si="257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49"/>
        <v>11</v>
      </c>
      <c r="AV854" s="14">
        <f t="shared" si="250"/>
        <v>201206</v>
      </c>
      <c r="AW854" s="14">
        <f t="shared" si="251"/>
        <v>1102012</v>
      </c>
      <c r="AX854" s="13" t="s">
        <v>1127</v>
      </c>
      <c r="AY854" s="13">
        <f t="shared" si="252"/>
        <v>6</v>
      </c>
      <c r="AZ854" s="13" t="s">
        <v>1148</v>
      </c>
      <c r="BA854" s="14">
        <f t="shared" si="253"/>
        <v>0</v>
      </c>
      <c r="BB854" s="14" t="str">
        <f t="shared" si="254"/>
        <v>夏侯惇魂珠-6 等级-0</v>
      </c>
      <c r="BC854" s="25" t="s">
        <v>1156</v>
      </c>
      <c r="BD854" s="14">
        <f t="shared" si="255"/>
        <v>0</v>
      </c>
      <c r="BE854" s="14">
        <f>SUMIFS(BD$4:BD854,$AU$4:$AU854,"="&amp;$AU854,$AY$4:$AY854,"="&amp;$AY854)</f>
        <v>0</v>
      </c>
      <c r="BF854" s="25" t="s">
        <v>1157</v>
      </c>
      <c r="BG854" s="14">
        <f t="shared" si="256"/>
        <v>0</v>
      </c>
      <c r="BH854" s="14">
        <f>SUMIFS(BG$4:BG854,AU$4:AU854,"="&amp;AU854,AY$4:AY854,"="&amp;AY854)</f>
        <v>0</v>
      </c>
      <c r="BI854" s="25" t="s">
        <v>1158</v>
      </c>
      <c r="BJ854" s="14">
        <f t="shared" si="257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49"/>
        <v>11</v>
      </c>
      <c r="AV855" s="14">
        <f t="shared" si="250"/>
        <v>201206</v>
      </c>
      <c r="AW855" s="14">
        <f t="shared" si="251"/>
        <v>1102012</v>
      </c>
      <c r="AX855" s="13" t="s">
        <v>1127</v>
      </c>
      <c r="AY855" s="13">
        <f t="shared" si="252"/>
        <v>6</v>
      </c>
      <c r="AZ855" s="13" t="s">
        <v>1148</v>
      </c>
      <c r="BA855" s="14">
        <f t="shared" si="253"/>
        <v>1</v>
      </c>
      <c r="BB855" s="14" t="str">
        <f t="shared" si="254"/>
        <v>夏侯惇魂珠-6 等级-1</v>
      </c>
      <c r="BC855" s="25" t="s">
        <v>1156</v>
      </c>
      <c r="BD855" s="14">
        <f t="shared" si="255"/>
        <v>216</v>
      </c>
      <c r="BE855" s="14">
        <f>SUMIFS(BD$4:BD855,$AU$4:$AU855,"="&amp;$AU855,$AY$4:$AY855,"="&amp;$AY855)</f>
        <v>216</v>
      </c>
      <c r="BF855" s="25" t="s">
        <v>1157</v>
      </c>
      <c r="BG855" s="14">
        <f t="shared" si="256"/>
        <v>108</v>
      </c>
      <c r="BH855" s="14">
        <f>SUMIFS(BG$4:BG855,AU$4:AU855,"="&amp;AU855,AY$4:AY855,"="&amp;AY855)</f>
        <v>108</v>
      </c>
      <c r="BI855" s="25" t="s">
        <v>1158</v>
      </c>
      <c r="BJ855" s="14">
        <f t="shared" si="257"/>
        <v>5400</v>
      </c>
      <c r="BK855" s="14">
        <f>SUMIFS(BJ$4:BJ855,$AU$4:$AU855,"="&amp;$AU855,$AY$4:$AY855,"="&amp;$AY855)</f>
        <v>5400</v>
      </c>
    </row>
    <row r="856" spans="46:63" ht="16.5" x14ac:dyDescent="0.2">
      <c r="AT856" s="13">
        <v>853</v>
      </c>
      <c r="AU856" s="13">
        <f t="shared" si="249"/>
        <v>11</v>
      </c>
      <c r="AV856" s="14">
        <f t="shared" si="250"/>
        <v>201206</v>
      </c>
      <c r="AW856" s="14">
        <f t="shared" si="251"/>
        <v>1102012</v>
      </c>
      <c r="AX856" s="13" t="s">
        <v>1127</v>
      </c>
      <c r="AY856" s="13">
        <f t="shared" si="252"/>
        <v>6</v>
      </c>
      <c r="AZ856" s="13" t="s">
        <v>1148</v>
      </c>
      <c r="BA856" s="14">
        <f t="shared" si="253"/>
        <v>2</v>
      </c>
      <c r="BB856" s="14" t="str">
        <f t="shared" si="254"/>
        <v>夏侯惇魂珠-6 等级-2</v>
      </c>
      <c r="BC856" s="25" t="s">
        <v>1156</v>
      </c>
      <c r="BD856" s="14">
        <f t="shared" si="255"/>
        <v>336</v>
      </c>
      <c r="BE856" s="14">
        <f>SUMIFS(BD$4:BD856,$AU$4:$AU856,"="&amp;$AU856,$AY$4:$AY856,"="&amp;$AY856)</f>
        <v>552</v>
      </c>
      <c r="BF856" s="25" t="s">
        <v>1157</v>
      </c>
      <c r="BG856" s="14">
        <f t="shared" si="256"/>
        <v>168</v>
      </c>
      <c r="BH856" s="14">
        <f>SUMIFS(BG$4:BG856,AU$4:AU856,"="&amp;AU856,AY$4:AY856,"="&amp;AY856)</f>
        <v>276</v>
      </c>
      <c r="BI856" s="25" t="s">
        <v>1158</v>
      </c>
      <c r="BJ856" s="14">
        <f t="shared" si="257"/>
        <v>8400</v>
      </c>
      <c r="BK856" s="14">
        <f>SUMIFS(BJ$4:BJ856,$AU$4:$AU856,"="&amp;$AU856,$AY$4:$AY856,"="&amp;$AY856)</f>
        <v>13800</v>
      </c>
    </row>
    <row r="857" spans="46:63" ht="16.5" x14ac:dyDescent="0.2">
      <c r="AT857" s="13">
        <v>854</v>
      </c>
      <c r="AU857" s="13">
        <f t="shared" si="249"/>
        <v>11</v>
      </c>
      <c r="AV857" s="14">
        <f t="shared" si="250"/>
        <v>201206</v>
      </c>
      <c r="AW857" s="14">
        <f t="shared" si="251"/>
        <v>1102012</v>
      </c>
      <c r="AX857" s="13" t="s">
        <v>1127</v>
      </c>
      <c r="AY857" s="13">
        <f t="shared" si="252"/>
        <v>6</v>
      </c>
      <c r="AZ857" s="13" t="s">
        <v>1148</v>
      </c>
      <c r="BA857" s="14">
        <f t="shared" si="253"/>
        <v>3</v>
      </c>
      <c r="BB857" s="14" t="str">
        <f t="shared" si="254"/>
        <v>夏侯惇魂珠-6 等级-3</v>
      </c>
      <c r="BC857" s="25" t="s">
        <v>1156</v>
      </c>
      <c r="BD857" s="14">
        <f t="shared" si="255"/>
        <v>450</v>
      </c>
      <c r="BE857" s="14">
        <f>SUMIFS(BD$4:BD857,$AU$4:$AU857,"="&amp;$AU857,$AY$4:$AY857,"="&amp;$AY857)</f>
        <v>1002</v>
      </c>
      <c r="BF857" s="25" t="s">
        <v>1157</v>
      </c>
      <c r="BG857" s="14">
        <f t="shared" si="256"/>
        <v>225</v>
      </c>
      <c r="BH857" s="14">
        <f>SUMIFS(BG$4:BG857,AU$4:AU857,"="&amp;AU857,AY$4:AY857,"="&amp;AY857)</f>
        <v>501</v>
      </c>
      <c r="BI857" s="25" t="s">
        <v>1158</v>
      </c>
      <c r="BJ857" s="14">
        <f t="shared" si="257"/>
        <v>11250</v>
      </c>
      <c r="BK857" s="14">
        <f>SUMIFS(BJ$4:BJ857,$AU$4:$AU857,"="&amp;$AU857,$AY$4:$AY857,"="&amp;$AY857)</f>
        <v>25050</v>
      </c>
    </row>
    <row r="858" spans="46:63" ht="16.5" x14ac:dyDescent="0.2">
      <c r="AT858" s="13">
        <v>855</v>
      </c>
      <c r="AU858" s="13">
        <f t="shared" si="249"/>
        <v>11</v>
      </c>
      <c r="AV858" s="14">
        <f t="shared" si="250"/>
        <v>201206</v>
      </c>
      <c r="AW858" s="14">
        <f t="shared" si="251"/>
        <v>1102012</v>
      </c>
      <c r="AX858" s="13" t="s">
        <v>1127</v>
      </c>
      <c r="AY858" s="13">
        <f t="shared" si="252"/>
        <v>6</v>
      </c>
      <c r="AZ858" s="13" t="s">
        <v>1148</v>
      </c>
      <c r="BA858" s="14">
        <f t="shared" si="253"/>
        <v>4</v>
      </c>
      <c r="BB858" s="14" t="str">
        <f t="shared" si="254"/>
        <v>夏侯惇魂珠-6 等级-4</v>
      </c>
      <c r="BC858" s="25" t="s">
        <v>1156</v>
      </c>
      <c r="BD858" s="14">
        <f t="shared" si="255"/>
        <v>672</v>
      </c>
      <c r="BE858" s="14">
        <f>SUMIFS(BD$4:BD858,$AU$4:$AU858,"="&amp;$AU858,$AY$4:$AY858,"="&amp;$AY858)</f>
        <v>1674</v>
      </c>
      <c r="BF858" s="25" t="s">
        <v>1157</v>
      </c>
      <c r="BG858" s="14">
        <f t="shared" si="256"/>
        <v>336</v>
      </c>
      <c r="BH858" s="14">
        <f>SUMIFS(BG$4:BG858,AU$4:AU858,"="&amp;AU858,AY$4:AY858,"="&amp;AY858)</f>
        <v>837</v>
      </c>
      <c r="BI858" s="25" t="s">
        <v>1158</v>
      </c>
      <c r="BJ858" s="14">
        <f t="shared" si="257"/>
        <v>16800</v>
      </c>
      <c r="BK858" s="14">
        <f>SUMIFS(BJ$4:BJ858,$AU$4:$AU858,"="&amp;$AU858,$AY$4:$AY858,"="&amp;$AY858)</f>
        <v>41850</v>
      </c>
    </row>
    <row r="859" spans="46:63" ht="16.5" x14ac:dyDescent="0.2">
      <c r="AT859" s="13">
        <v>856</v>
      </c>
      <c r="AU859" s="13">
        <f t="shared" si="249"/>
        <v>11</v>
      </c>
      <c r="AV859" s="14">
        <f t="shared" si="250"/>
        <v>201206</v>
      </c>
      <c r="AW859" s="14">
        <f t="shared" si="251"/>
        <v>1102012</v>
      </c>
      <c r="AX859" s="13" t="s">
        <v>1127</v>
      </c>
      <c r="AY859" s="13">
        <f t="shared" si="252"/>
        <v>6</v>
      </c>
      <c r="AZ859" s="13" t="s">
        <v>1148</v>
      </c>
      <c r="BA859" s="14">
        <f t="shared" si="253"/>
        <v>5</v>
      </c>
      <c r="BB859" s="14" t="str">
        <f t="shared" si="254"/>
        <v>夏侯惇魂珠-6 等级-5</v>
      </c>
      <c r="BC859" s="25" t="s">
        <v>1156</v>
      </c>
      <c r="BD859" s="14">
        <f t="shared" si="255"/>
        <v>900</v>
      </c>
      <c r="BE859" s="14">
        <f>SUMIFS(BD$4:BD859,$AU$4:$AU859,"="&amp;$AU859,$AY$4:$AY859,"="&amp;$AY859)</f>
        <v>2574</v>
      </c>
      <c r="BF859" s="25" t="s">
        <v>1157</v>
      </c>
      <c r="BG859" s="14">
        <f t="shared" si="256"/>
        <v>450</v>
      </c>
      <c r="BH859" s="14">
        <f>SUMIFS(BG$4:BG859,AU$4:AU859,"="&amp;AU859,AY$4:AY859,"="&amp;AY859)</f>
        <v>1287</v>
      </c>
      <c r="BI859" s="25" t="s">
        <v>1158</v>
      </c>
      <c r="BJ859" s="14">
        <f t="shared" si="257"/>
        <v>22500</v>
      </c>
      <c r="BK859" s="14">
        <f>SUMIFS(BJ$4:BJ859,$AU$4:$AU859,"="&amp;$AU859,$AY$4:$AY859,"="&amp;$AY859)</f>
        <v>64350</v>
      </c>
    </row>
    <row r="860" spans="46:63" ht="16.5" x14ac:dyDescent="0.2">
      <c r="AT860" s="13">
        <v>857</v>
      </c>
      <c r="AU860" s="13">
        <f t="shared" si="249"/>
        <v>11</v>
      </c>
      <c r="AV860" s="14">
        <f t="shared" si="250"/>
        <v>201206</v>
      </c>
      <c r="AW860" s="14">
        <f t="shared" si="251"/>
        <v>1102012</v>
      </c>
      <c r="AX860" s="13" t="s">
        <v>1127</v>
      </c>
      <c r="AY860" s="13">
        <f t="shared" si="252"/>
        <v>6</v>
      </c>
      <c r="AZ860" s="13" t="s">
        <v>1148</v>
      </c>
      <c r="BA860" s="14">
        <f t="shared" si="253"/>
        <v>6</v>
      </c>
      <c r="BB860" s="14" t="str">
        <f t="shared" si="254"/>
        <v>夏侯惇魂珠-6 等级-6</v>
      </c>
      <c r="BC860" s="25" t="s">
        <v>1156</v>
      </c>
      <c r="BD860" s="14">
        <f t="shared" si="255"/>
        <v>1140</v>
      </c>
      <c r="BE860" s="14">
        <f>SUMIFS(BD$4:BD860,$AU$4:$AU860,"="&amp;$AU860,$AY$4:$AY860,"="&amp;$AY860)</f>
        <v>3714</v>
      </c>
      <c r="BF860" s="25" t="s">
        <v>1157</v>
      </c>
      <c r="BG860" s="14">
        <f t="shared" si="256"/>
        <v>570</v>
      </c>
      <c r="BH860" s="14">
        <f>SUMIFS(BG$4:BG860,AU$4:AU860,"="&amp;AU860,AY$4:AY860,"="&amp;AY860)</f>
        <v>1857</v>
      </c>
      <c r="BI860" s="25" t="s">
        <v>1158</v>
      </c>
      <c r="BJ860" s="14">
        <f t="shared" si="257"/>
        <v>28500</v>
      </c>
      <c r="BK860" s="14">
        <f>SUMIFS(BJ$4:BJ860,$AU$4:$AU860,"="&amp;$AU860,$AY$4:$AY860,"="&amp;$AY860)</f>
        <v>92850</v>
      </c>
    </row>
    <row r="861" spans="46:63" ht="16.5" x14ac:dyDescent="0.2">
      <c r="AT861" s="13">
        <v>858</v>
      </c>
      <c r="AU861" s="13">
        <f t="shared" si="249"/>
        <v>11</v>
      </c>
      <c r="AV861" s="14">
        <f t="shared" si="250"/>
        <v>201206</v>
      </c>
      <c r="AW861" s="14">
        <f t="shared" si="251"/>
        <v>1102012</v>
      </c>
      <c r="AX861" s="13" t="s">
        <v>1127</v>
      </c>
      <c r="AY861" s="13">
        <f t="shared" si="252"/>
        <v>6</v>
      </c>
      <c r="AZ861" s="13" t="s">
        <v>1148</v>
      </c>
      <c r="BA861" s="14">
        <f t="shared" si="253"/>
        <v>7</v>
      </c>
      <c r="BB861" s="14" t="str">
        <f t="shared" si="254"/>
        <v>夏侯惇魂珠-6 等级-7</v>
      </c>
      <c r="BC861" s="25" t="s">
        <v>1156</v>
      </c>
      <c r="BD861" s="14">
        <f t="shared" si="255"/>
        <v>1380</v>
      </c>
      <c r="BE861" s="14">
        <f>SUMIFS(BD$4:BD861,$AU$4:$AU861,"="&amp;$AU861,$AY$4:$AY861,"="&amp;$AY861)</f>
        <v>5094</v>
      </c>
      <c r="BF861" s="25" t="s">
        <v>1157</v>
      </c>
      <c r="BG861" s="14">
        <f t="shared" si="256"/>
        <v>690</v>
      </c>
      <c r="BH861" s="14">
        <f>SUMIFS(BG$4:BG861,AU$4:AU861,"="&amp;AU861,AY$4:AY861,"="&amp;AY861)</f>
        <v>2547</v>
      </c>
      <c r="BI861" s="25" t="s">
        <v>1158</v>
      </c>
      <c r="BJ861" s="14">
        <f t="shared" si="257"/>
        <v>34500</v>
      </c>
      <c r="BK861" s="14">
        <f>SUMIFS(BJ$4:BJ861,$AU$4:$AU861,"="&amp;$AU861,$AY$4:$AY861,"="&amp;$AY861)</f>
        <v>127350</v>
      </c>
    </row>
    <row r="862" spans="46:63" ht="16.5" x14ac:dyDescent="0.2">
      <c r="AT862" s="13">
        <v>859</v>
      </c>
      <c r="AU862" s="13">
        <f t="shared" si="249"/>
        <v>11</v>
      </c>
      <c r="AV862" s="14">
        <f t="shared" si="250"/>
        <v>201206</v>
      </c>
      <c r="AW862" s="14">
        <f t="shared" si="251"/>
        <v>1102012</v>
      </c>
      <c r="AX862" s="13" t="s">
        <v>1127</v>
      </c>
      <c r="AY862" s="13">
        <f t="shared" si="252"/>
        <v>6</v>
      </c>
      <c r="AZ862" s="13" t="s">
        <v>1148</v>
      </c>
      <c r="BA862" s="14">
        <f t="shared" si="253"/>
        <v>8</v>
      </c>
      <c r="BB862" s="14" t="str">
        <f t="shared" si="254"/>
        <v>夏侯惇魂珠-6 等级-8</v>
      </c>
      <c r="BC862" s="25" t="s">
        <v>1156</v>
      </c>
      <c r="BD862" s="14">
        <f t="shared" si="255"/>
        <v>1560</v>
      </c>
      <c r="BE862" s="14">
        <f>SUMIFS(BD$4:BD862,$AU$4:$AU862,"="&amp;$AU862,$AY$4:$AY862,"="&amp;$AY862)</f>
        <v>6654</v>
      </c>
      <c r="BF862" s="25" t="s">
        <v>1157</v>
      </c>
      <c r="BG862" s="14">
        <f t="shared" si="256"/>
        <v>780</v>
      </c>
      <c r="BH862" s="14">
        <f>SUMIFS(BG$4:BG862,AU$4:AU862,"="&amp;AU862,AY$4:AY862,"="&amp;AY862)</f>
        <v>3327</v>
      </c>
      <c r="BI862" s="25" t="s">
        <v>1158</v>
      </c>
      <c r="BJ862" s="14">
        <f t="shared" si="257"/>
        <v>39000</v>
      </c>
      <c r="BK862" s="14">
        <f>SUMIFS(BJ$4:BJ862,$AU$4:$AU862,"="&amp;$AU862,$AY$4:$AY862,"="&amp;$AY862)</f>
        <v>166350</v>
      </c>
    </row>
    <row r="863" spans="46:63" ht="16.5" x14ac:dyDescent="0.2">
      <c r="AT863" s="13">
        <v>860</v>
      </c>
      <c r="AU863" s="13">
        <f t="shared" si="249"/>
        <v>11</v>
      </c>
      <c r="AV863" s="14">
        <f t="shared" si="250"/>
        <v>201206</v>
      </c>
      <c r="AW863" s="14">
        <f t="shared" si="251"/>
        <v>1102012</v>
      </c>
      <c r="AX863" s="13" t="s">
        <v>1127</v>
      </c>
      <c r="AY863" s="13">
        <f t="shared" si="252"/>
        <v>6</v>
      </c>
      <c r="AZ863" s="13" t="s">
        <v>1148</v>
      </c>
      <c r="BA863" s="14">
        <f t="shared" si="253"/>
        <v>9</v>
      </c>
      <c r="BB863" s="14" t="str">
        <f t="shared" si="254"/>
        <v>夏侯惇魂珠-6 等级-9</v>
      </c>
      <c r="BC863" s="25" t="s">
        <v>1156</v>
      </c>
      <c r="BD863" s="14">
        <f t="shared" si="255"/>
        <v>1800</v>
      </c>
      <c r="BE863" s="14">
        <f>SUMIFS(BD$4:BD863,$AU$4:$AU863,"="&amp;$AU863,$AY$4:$AY863,"="&amp;$AY863)</f>
        <v>8454</v>
      </c>
      <c r="BF863" s="25" t="s">
        <v>1157</v>
      </c>
      <c r="BG863" s="14">
        <f t="shared" si="256"/>
        <v>900</v>
      </c>
      <c r="BH863" s="14">
        <f>SUMIFS(BG$4:BG863,AU$4:AU863,"="&amp;AU863,AY$4:AY863,"="&amp;AY863)</f>
        <v>4227</v>
      </c>
      <c r="BI863" s="25" t="s">
        <v>1158</v>
      </c>
      <c r="BJ863" s="14">
        <f t="shared" si="257"/>
        <v>45000</v>
      </c>
      <c r="BK863" s="14">
        <f>SUMIFS(BJ$4:BJ863,$AU$4:$AU863,"="&amp;$AU863,$AY$4:$AY863,"="&amp;$AY863)</f>
        <v>211350</v>
      </c>
    </row>
    <row r="864" spans="46:63" ht="16.5" x14ac:dyDescent="0.2">
      <c r="AT864" s="13">
        <v>861</v>
      </c>
      <c r="AU864" s="13">
        <f t="shared" si="249"/>
        <v>11</v>
      </c>
      <c r="AV864" s="14">
        <f t="shared" si="250"/>
        <v>201207</v>
      </c>
      <c r="AW864" s="14">
        <f t="shared" si="251"/>
        <v>1102012</v>
      </c>
      <c r="AX864" s="13" t="s">
        <v>1127</v>
      </c>
      <c r="AY864" s="13">
        <f t="shared" si="252"/>
        <v>7</v>
      </c>
      <c r="AZ864" s="13" t="s">
        <v>1148</v>
      </c>
      <c r="BA864" s="14">
        <f t="shared" si="253"/>
        <v>0</v>
      </c>
      <c r="BB864" s="14" t="str">
        <f t="shared" si="254"/>
        <v>夏侯惇魂珠-7 等级-0</v>
      </c>
      <c r="BC864" s="25" t="s">
        <v>1156</v>
      </c>
      <c r="BD864" s="14">
        <f t="shared" si="255"/>
        <v>0</v>
      </c>
      <c r="BE864" s="14">
        <f>SUMIFS(BD$4:BD864,$AU$4:$AU864,"="&amp;$AU864,$AY$4:$AY864,"="&amp;$AY864)</f>
        <v>0</v>
      </c>
      <c r="BF864" s="25" t="s">
        <v>1157</v>
      </c>
      <c r="BG864" s="14">
        <f t="shared" si="256"/>
        <v>0</v>
      </c>
      <c r="BH864" s="14">
        <f>SUMIFS(BG$4:BG864,AU$4:AU864,"="&amp;AU864,AY$4:AY864,"="&amp;AY864)</f>
        <v>0</v>
      </c>
      <c r="BI864" s="25" t="s">
        <v>1158</v>
      </c>
      <c r="BJ864" s="14">
        <f t="shared" si="257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49"/>
        <v>11</v>
      </c>
      <c r="AV865" s="14">
        <f t="shared" si="250"/>
        <v>201207</v>
      </c>
      <c r="AW865" s="14">
        <f t="shared" si="251"/>
        <v>1102012</v>
      </c>
      <c r="AX865" s="13" t="s">
        <v>1127</v>
      </c>
      <c r="AY865" s="13">
        <f t="shared" si="252"/>
        <v>7</v>
      </c>
      <c r="AZ865" s="13" t="s">
        <v>1148</v>
      </c>
      <c r="BA865" s="14">
        <f t="shared" si="253"/>
        <v>1</v>
      </c>
      <c r="BB865" s="14" t="str">
        <f t="shared" si="254"/>
        <v>夏侯惇魂珠-7 等级-1</v>
      </c>
      <c r="BC865" s="25" t="s">
        <v>1156</v>
      </c>
      <c r="BD865" s="14">
        <f t="shared" si="255"/>
        <v>288</v>
      </c>
      <c r="BE865" s="14">
        <f>SUMIFS(BD$4:BD865,$AU$4:$AU865,"="&amp;$AU865,$AY$4:$AY865,"="&amp;$AY865)</f>
        <v>288</v>
      </c>
      <c r="BF865" s="25" t="s">
        <v>1157</v>
      </c>
      <c r="BG865" s="14">
        <f t="shared" si="256"/>
        <v>144</v>
      </c>
      <c r="BH865" s="14">
        <f>SUMIFS(BG$4:BG865,AU$4:AU865,"="&amp;AU865,AY$4:AY865,"="&amp;AY865)</f>
        <v>144</v>
      </c>
      <c r="BI865" s="25" t="s">
        <v>1158</v>
      </c>
      <c r="BJ865" s="14">
        <f t="shared" si="257"/>
        <v>7200</v>
      </c>
      <c r="BK865" s="14">
        <f>SUMIFS(BJ$4:BJ865,$AU$4:$AU865,"="&amp;$AU865,$AY$4:$AY865,"="&amp;$AY865)</f>
        <v>7200</v>
      </c>
    </row>
    <row r="866" spans="46:63" ht="16.5" x14ac:dyDescent="0.2">
      <c r="AT866" s="13">
        <v>863</v>
      </c>
      <c r="AU866" s="13">
        <f t="shared" si="249"/>
        <v>11</v>
      </c>
      <c r="AV866" s="14">
        <f t="shared" si="250"/>
        <v>201207</v>
      </c>
      <c r="AW866" s="14">
        <f t="shared" si="251"/>
        <v>1102012</v>
      </c>
      <c r="AX866" s="13" t="s">
        <v>1127</v>
      </c>
      <c r="AY866" s="13">
        <f t="shared" si="252"/>
        <v>7</v>
      </c>
      <c r="AZ866" s="13" t="s">
        <v>1148</v>
      </c>
      <c r="BA866" s="14">
        <f t="shared" si="253"/>
        <v>2</v>
      </c>
      <c r="BB866" s="14" t="str">
        <f t="shared" si="254"/>
        <v>夏侯惇魂珠-7 等级-2</v>
      </c>
      <c r="BC866" s="25" t="s">
        <v>1156</v>
      </c>
      <c r="BD866" s="14">
        <f t="shared" si="255"/>
        <v>432</v>
      </c>
      <c r="BE866" s="14">
        <f>SUMIFS(BD$4:BD866,$AU$4:$AU866,"="&amp;$AU866,$AY$4:$AY866,"="&amp;$AY866)</f>
        <v>720</v>
      </c>
      <c r="BF866" s="25" t="s">
        <v>1157</v>
      </c>
      <c r="BG866" s="14">
        <f t="shared" si="256"/>
        <v>216</v>
      </c>
      <c r="BH866" s="14">
        <f>SUMIFS(BG$4:BG866,AU$4:AU866,"="&amp;AU866,AY$4:AY866,"="&amp;AY866)</f>
        <v>360</v>
      </c>
      <c r="BI866" s="25" t="s">
        <v>1158</v>
      </c>
      <c r="BJ866" s="14">
        <f t="shared" si="257"/>
        <v>10800</v>
      </c>
      <c r="BK866" s="14">
        <f>SUMIFS(BJ$4:BJ866,$AU$4:$AU866,"="&amp;$AU866,$AY$4:$AY866,"="&amp;$AY866)</f>
        <v>18000</v>
      </c>
    </row>
    <row r="867" spans="46:63" ht="16.5" x14ac:dyDescent="0.2">
      <c r="AT867" s="13">
        <v>864</v>
      </c>
      <c r="AU867" s="13">
        <f t="shared" si="249"/>
        <v>11</v>
      </c>
      <c r="AV867" s="14">
        <f t="shared" si="250"/>
        <v>201207</v>
      </c>
      <c r="AW867" s="14">
        <f t="shared" si="251"/>
        <v>1102012</v>
      </c>
      <c r="AX867" s="13" t="s">
        <v>1127</v>
      </c>
      <c r="AY867" s="13">
        <f t="shared" si="252"/>
        <v>7</v>
      </c>
      <c r="AZ867" s="13" t="s">
        <v>1148</v>
      </c>
      <c r="BA867" s="14">
        <f t="shared" si="253"/>
        <v>3</v>
      </c>
      <c r="BB867" s="14" t="str">
        <f t="shared" si="254"/>
        <v>夏侯惇魂珠-7 等级-3</v>
      </c>
      <c r="BC867" s="25" t="s">
        <v>1156</v>
      </c>
      <c r="BD867" s="14">
        <f t="shared" si="255"/>
        <v>576</v>
      </c>
      <c r="BE867" s="14">
        <f>SUMIFS(BD$4:BD867,$AU$4:$AU867,"="&amp;$AU867,$AY$4:$AY867,"="&amp;$AY867)</f>
        <v>1296</v>
      </c>
      <c r="BF867" s="25" t="s">
        <v>1157</v>
      </c>
      <c r="BG867" s="14">
        <f t="shared" si="256"/>
        <v>288</v>
      </c>
      <c r="BH867" s="14">
        <f>SUMIFS(BG$4:BG867,AU$4:AU867,"="&amp;AU867,AY$4:AY867,"="&amp;AY867)</f>
        <v>648</v>
      </c>
      <c r="BI867" s="25" t="s">
        <v>1158</v>
      </c>
      <c r="BJ867" s="14">
        <f t="shared" si="257"/>
        <v>14400</v>
      </c>
      <c r="BK867" s="14">
        <f>SUMIFS(BJ$4:BJ867,$AU$4:$AU867,"="&amp;$AU867,$AY$4:$AY867,"="&amp;$AY867)</f>
        <v>32400</v>
      </c>
    </row>
    <row r="868" spans="46:63" ht="16.5" x14ac:dyDescent="0.2">
      <c r="AT868" s="13">
        <v>865</v>
      </c>
      <c r="AU868" s="13">
        <f t="shared" si="249"/>
        <v>11</v>
      </c>
      <c r="AV868" s="14">
        <f t="shared" si="250"/>
        <v>201207</v>
      </c>
      <c r="AW868" s="14">
        <f t="shared" si="251"/>
        <v>1102012</v>
      </c>
      <c r="AX868" s="13" t="s">
        <v>1127</v>
      </c>
      <c r="AY868" s="13">
        <f t="shared" si="252"/>
        <v>7</v>
      </c>
      <c r="AZ868" s="13" t="s">
        <v>1148</v>
      </c>
      <c r="BA868" s="14">
        <f t="shared" si="253"/>
        <v>4</v>
      </c>
      <c r="BB868" s="14" t="str">
        <f t="shared" si="254"/>
        <v>夏侯惇魂珠-7 等级-4</v>
      </c>
      <c r="BC868" s="25" t="s">
        <v>1156</v>
      </c>
      <c r="BD868" s="14">
        <f t="shared" si="255"/>
        <v>864</v>
      </c>
      <c r="BE868" s="14">
        <f>SUMIFS(BD$4:BD868,$AU$4:$AU868,"="&amp;$AU868,$AY$4:$AY868,"="&amp;$AY868)</f>
        <v>2160</v>
      </c>
      <c r="BF868" s="25" t="s">
        <v>1157</v>
      </c>
      <c r="BG868" s="14">
        <f t="shared" si="256"/>
        <v>432</v>
      </c>
      <c r="BH868" s="14">
        <f>SUMIFS(BG$4:BG868,AU$4:AU868,"="&amp;AU868,AY$4:AY868,"="&amp;AY868)</f>
        <v>1080</v>
      </c>
      <c r="BI868" s="25" t="s">
        <v>1158</v>
      </c>
      <c r="BJ868" s="14">
        <f t="shared" si="257"/>
        <v>21600</v>
      </c>
      <c r="BK868" s="14">
        <f>SUMIFS(BJ$4:BJ868,$AU$4:$AU868,"="&amp;$AU868,$AY$4:$AY868,"="&amp;$AY868)</f>
        <v>54000</v>
      </c>
    </row>
    <row r="869" spans="46:63" ht="16.5" x14ac:dyDescent="0.2">
      <c r="AT869" s="13">
        <v>866</v>
      </c>
      <c r="AU869" s="13">
        <f t="shared" si="249"/>
        <v>11</v>
      </c>
      <c r="AV869" s="14">
        <f t="shared" si="250"/>
        <v>201207</v>
      </c>
      <c r="AW869" s="14">
        <f t="shared" si="251"/>
        <v>1102012</v>
      </c>
      <c r="AX869" s="13" t="s">
        <v>1127</v>
      </c>
      <c r="AY869" s="13">
        <f t="shared" si="252"/>
        <v>7</v>
      </c>
      <c r="AZ869" s="13" t="s">
        <v>1148</v>
      </c>
      <c r="BA869" s="14">
        <f t="shared" si="253"/>
        <v>5</v>
      </c>
      <c r="BB869" s="14" t="str">
        <f t="shared" si="254"/>
        <v>夏侯惇魂珠-7 等级-5</v>
      </c>
      <c r="BC869" s="25" t="s">
        <v>1156</v>
      </c>
      <c r="BD869" s="14">
        <f t="shared" si="255"/>
        <v>1152</v>
      </c>
      <c r="BE869" s="14">
        <f>SUMIFS(BD$4:BD869,$AU$4:$AU869,"="&amp;$AU869,$AY$4:$AY869,"="&amp;$AY869)</f>
        <v>3312</v>
      </c>
      <c r="BF869" s="25" t="s">
        <v>1157</v>
      </c>
      <c r="BG869" s="14">
        <f t="shared" si="256"/>
        <v>576</v>
      </c>
      <c r="BH869" s="14">
        <f>SUMIFS(BG$4:BG869,AU$4:AU869,"="&amp;AU869,AY$4:AY869,"="&amp;AY869)</f>
        <v>1656</v>
      </c>
      <c r="BI869" s="25" t="s">
        <v>1158</v>
      </c>
      <c r="BJ869" s="14">
        <f t="shared" si="257"/>
        <v>28800</v>
      </c>
      <c r="BK869" s="14">
        <f>SUMIFS(BJ$4:BJ869,$AU$4:$AU869,"="&amp;$AU869,$AY$4:$AY869,"="&amp;$AY869)</f>
        <v>82800</v>
      </c>
    </row>
    <row r="870" spans="46:63" ht="16.5" x14ac:dyDescent="0.2">
      <c r="AT870" s="13">
        <v>867</v>
      </c>
      <c r="AU870" s="13">
        <f t="shared" si="249"/>
        <v>11</v>
      </c>
      <c r="AV870" s="14">
        <f t="shared" si="250"/>
        <v>201207</v>
      </c>
      <c r="AW870" s="14">
        <f t="shared" si="251"/>
        <v>1102012</v>
      </c>
      <c r="AX870" s="13" t="s">
        <v>1127</v>
      </c>
      <c r="AY870" s="13">
        <f t="shared" si="252"/>
        <v>7</v>
      </c>
      <c r="AZ870" s="13" t="s">
        <v>1148</v>
      </c>
      <c r="BA870" s="14">
        <f t="shared" si="253"/>
        <v>6</v>
      </c>
      <c r="BB870" s="14" t="str">
        <f t="shared" si="254"/>
        <v>夏侯惇魂珠-7 等级-6</v>
      </c>
      <c r="BC870" s="25" t="s">
        <v>1156</v>
      </c>
      <c r="BD870" s="14">
        <f t="shared" si="255"/>
        <v>1440</v>
      </c>
      <c r="BE870" s="14">
        <f>SUMIFS(BD$4:BD870,$AU$4:$AU870,"="&amp;$AU870,$AY$4:$AY870,"="&amp;$AY870)</f>
        <v>4752</v>
      </c>
      <c r="BF870" s="25" t="s">
        <v>1157</v>
      </c>
      <c r="BG870" s="14">
        <f t="shared" si="256"/>
        <v>720</v>
      </c>
      <c r="BH870" s="14">
        <f>SUMIFS(BG$4:BG870,AU$4:AU870,"="&amp;AU870,AY$4:AY870,"="&amp;AY870)</f>
        <v>2376</v>
      </c>
      <c r="BI870" s="25" t="s">
        <v>1158</v>
      </c>
      <c r="BJ870" s="14">
        <f t="shared" si="257"/>
        <v>36000</v>
      </c>
      <c r="BK870" s="14">
        <f>SUMIFS(BJ$4:BJ870,$AU$4:$AU870,"="&amp;$AU870,$AY$4:$AY870,"="&amp;$AY870)</f>
        <v>118800</v>
      </c>
    </row>
    <row r="871" spans="46:63" ht="16.5" x14ac:dyDescent="0.2">
      <c r="AT871" s="13">
        <v>868</v>
      </c>
      <c r="AU871" s="13">
        <f t="shared" si="249"/>
        <v>11</v>
      </c>
      <c r="AV871" s="14">
        <f t="shared" si="250"/>
        <v>201207</v>
      </c>
      <c r="AW871" s="14">
        <f t="shared" si="251"/>
        <v>1102012</v>
      </c>
      <c r="AX871" s="13" t="s">
        <v>1127</v>
      </c>
      <c r="AY871" s="13">
        <f t="shared" si="252"/>
        <v>7</v>
      </c>
      <c r="AZ871" s="13" t="s">
        <v>1148</v>
      </c>
      <c r="BA871" s="14">
        <f t="shared" si="253"/>
        <v>7</v>
      </c>
      <c r="BB871" s="14" t="str">
        <f t="shared" si="254"/>
        <v>夏侯惇魂珠-7 等级-7</v>
      </c>
      <c r="BC871" s="25" t="s">
        <v>1156</v>
      </c>
      <c r="BD871" s="14">
        <f t="shared" si="255"/>
        <v>1728</v>
      </c>
      <c r="BE871" s="14">
        <f>SUMIFS(BD$4:BD871,$AU$4:$AU871,"="&amp;$AU871,$AY$4:$AY871,"="&amp;$AY871)</f>
        <v>6480</v>
      </c>
      <c r="BF871" s="25" t="s">
        <v>1157</v>
      </c>
      <c r="BG871" s="14">
        <f t="shared" si="256"/>
        <v>864</v>
      </c>
      <c r="BH871" s="14">
        <f>SUMIFS(BG$4:BG871,AU$4:AU871,"="&amp;AU871,AY$4:AY871,"="&amp;AY871)</f>
        <v>3240</v>
      </c>
      <c r="BI871" s="25" t="s">
        <v>1158</v>
      </c>
      <c r="BJ871" s="14">
        <f t="shared" si="257"/>
        <v>43200</v>
      </c>
      <c r="BK871" s="14">
        <f>SUMIFS(BJ$4:BJ871,$AU$4:$AU871,"="&amp;$AU871,$AY$4:$AY871,"="&amp;$AY871)</f>
        <v>162000</v>
      </c>
    </row>
    <row r="872" spans="46:63" ht="16.5" x14ac:dyDescent="0.2">
      <c r="AT872" s="13">
        <v>869</v>
      </c>
      <c r="AU872" s="13">
        <f t="shared" si="249"/>
        <v>11</v>
      </c>
      <c r="AV872" s="14">
        <f t="shared" si="250"/>
        <v>201207</v>
      </c>
      <c r="AW872" s="14">
        <f t="shared" si="251"/>
        <v>1102012</v>
      </c>
      <c r="AX872" s="13" t="s">
        <v>1127</v>
      </c>
      <c r="AY872" s="13">
        <f t="shared" si="252"/>
        <v>7</v>
      </c>
      <c r="AZ872" s="13" t="s">
        <v>1148</v>
      </c>
      <c r="BA872" s="14">
        <f t="shared" si="253"/>
        <v>8</v>
      </c>
      <c r="BB872" s="14" t="str">
        <f t="shared" si="254"/>
        <v>夏侯惇魂珠-7 等级-8</v>
      </c>
      <c r="BC872" s="25" t="s">
        <v>1156</v>
      </c>
      <c r="BD872" s="14">
        <f t="shared" si="255"/>
        <v>2016</v>
      </c>
      <c r="BE872" s="14">
        <f>SUMIFS(BD$4:BD872,$AU$4:$AU872,"="&amp;$AU872,$AY$4:$AY872,"="&amp;$AY872)</f>
        <v>8496</v>
      </c>
      <c r="BF872" s="25" t="s">
        <v>1157</v>
      </c>
      <c r="BG872" s="14">
        <f t="shared" si="256"/>
        <v>1008</v>
      </c>
      <c r="BH872" s="14">
        <f>SUMIFS(BG$4:BG872,AU$4:AU872,"="&amp;AU872,AY$4:AY872,"="&amp;AY872)</f>
        <v>4248</v>
      </c>
      <c r="BI872" s="25" t="s">
        <v>1158</v>
      </c>
      <c r="BJ872" s="14">
        <f t="shared" si="257"/>
        <v>50400</v>
      </c>
      <c r="BK872" s="14">
        <f>SUMIFS(BJ$4:BJ872,$AU$4:$AU872,"="&amp;$AU872,$AY$4:$AY872,"="&amp;$AY872)</f>
        <v>212400</v>
      </c>
    </row>
    <row r="873" spans="46:63" ht="16.5" x14ac:dyDescent="0.2">
      <c r="AT873" s="13">
        <v>870</v>
      </c>
      <c r="AU873" s="13">
        <f t="shared" si="249"/>
        <v>11</v>
      </c>
      <c r="AV873" s="14">
        <f t="shared" si="250"/>
        <v>201207</v>
      </c>
      <c r="AW873" s="14">
        <f t="shared" si="251"/>
        <v>1102012</v>
      </c>
      <c r="AX873" s="13" t="s">
        <v>1127</v>
      </c>
      <c r="AY873" s="13">
        <f t="shared" si="252"/>
        <v>7</v>
      </c>
      <c r="AZ873" s="13" t="s">
        <v>1148</v>
      </c>
      <c r="BA873" s="14">
        <f t="shared" si="253"/>
        <v>9</v>
      </c>
      <c r="BB873" s="14" t="str">
        <f t="shared" si="254"/>
        <v>夏侯惇魂珠-7 等级-9</v>
      </c>
      <c r="BC873" s="25" t="s">
        <v>1156</v>
      </c>
      <c r="BD873" s="14">
        <f t="shared" si="255"/>
        <v>2304</v>
      </c>
      <c r="BE873" s="14">
        <f>SUMIFS(BD$4:BD873,$AU$4:$AU873,"="&amp;$AU873,$AY$4:$AY873,"="&amp;$AY873)</f>
        <v>10800</v>
      </c>
      <c r="BF873" s="25" t="s">
        <v>1157</v>
      </c>
      <c r="BG873" s="14">
        <f t="shared" si="256"/>
        <v>1152</v>
      </c>
      <c r="BH873" s="14">
        <f>SUMIFS(BG$4:BG873,AU$4:AU873,"="&amp;AU873,AY$4:AY873,"="&amp;AY873)</f>
        <v>5400</v>
      </c>
      <c r="BI873" s="25" t="s">
        <v>1158</v>
      </c>
      <c r="BJ873" s="14">
        <f t="shared" si="257"/>
        <v>57600</v>
      </c>
      <c r="BK873" s="14">
        <f>SUMIFS(BJ$4:BJ873,$AU$4:$AU873,"="&amp;$AU873,$AY$4:$AY873,"="&amp;$AY873)</f>
        <v>270000</v>
      </c>
    </row>
    <row r="874" spans="46:63" ht="16.5" x14ac:dyDescent="0.2">
      <c r="AT874" s="13">
        <v>871</v>
      </c>
      <c r="AU874" s="13">
        <f t="shared" si="249"/>
        <v>11</v>
      </c>
      <c r="AV874" s="14">
        <f t="shared" si="250"/>
        <v>201208</v>
      </c>
      <c r="AW874" s="14">
        <f t="shared" si="251"/>
        <v>1102012</v>
      </c>
      <c r="AX874" s="13" t="s">
        <v>1127</v>
      </c>
      <c r="AY874" s="13">
        <f t="shared" si="252"/>
        <v>8</v>
      </c>
      <c r="AZ874" s="13" t="s">
        <v>1148</v>
      </c>
      <c r="BA874" s="14">
        <f t="shared" si="253"/>
        <v>0</v>
      </c>
      <c r="BB874" s="14" t="str">
        <f t="shared" si="254"/>
        <v>夏侯惇魂珠-8 等级-0</v>
      </c>
      <c r="BC874" s="25" t="s">
        <v>1156</v>
      </c>
      <c r="BD874" s="14">
        <f t="shared" si="255"/>
        <v>0</v>
      </c>
      <c r="BE874" s="14">
        <f>SUMIFS(BD$4:BD874,$AU$4:$AU874,"="&amp;$AU874,$AY$4:$AY874,"="&amp;$AY874)</f>
        <v>0</v>
      </c>
      <c r="BF874" s="25" t="s">
        <v>1157</v>
      </c>
      <c r="BG874" s="14">
        <f t="shared" si="256"/>
        <v>0</v>
      </c>
      <c r="BH874" s="14">
        <f>SUMIFS(BG$4:BG874,AU$4:AU874,"="&amp;AU874,AY$4:AY874,"="&amp;AY874)</f>
        <v>0</v>
      </c>
      <c r="BI874" s="25" t="s">
        <v>1158</v>
      </c>
      <c r="BJ874" s="14">
        <f t="shared" si="257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49"/>
        <v>11</v>
      </c>
      <c r="AV875" s="14">
        <f t="shared" si="250"/>
        <v>201208</v>
      </c>
      <c r="AW875" s="14">
        <f t="shared" si="251"/>
        <v>1102012</v>
      </c>
      <c r="AX875" s="13" t="s">
        <v>1127</v>
      </c>
      <c r="AY875" s="13">
        <f t="shared" si="252"/>
        <v>8</v>
      </c>
      <c r="AZ875" s="13" t="s">
        <v>1148</v>
      </c>
      <c r="BA875" s="14">
        <f t="shared" si="253"/>
        <v>1</v>
      </c>
      <c r="BB875" s="14" t="str">
        <f t="shared" si="254"/>
        <v>夏侯惇魂珠-8 等级-1</v>
      </c>
      <c r="BC875" s="25" t="s">
        <v>1156</v>
      </c>
      <c r="BD875" s="14">
        <f t="shared" si="255"/>
        <v>384</v>
      </c>
      <c r="BE875" s="14">
        <f>SUMIFS(BD$4:BD875,$AU$4:$AU875,"="&amp;$AU875,$AY$4:$AY875,"="&amp;$AY875)</f>
        <v>384</v>
      </c>
      <c r="BF875" s="25" t="s">
        <v>1157</v>
      </c>
      <c r="BG875" s="14">
        <f t="shared" si="256"/>
        <v>192</v>
      </c>
      <c r="BH875" s="14">
        <f>SUMIFS(BG$4:BG875,AU$4:AU875,"="&amp;AU875,AY$4:AY875,"="&amp;AY875)</f>
        <v>192</v>
      </c>
      <c r="BI875" s="25" t="s">
        <v>1158</v>
      </c>
      <c r="BJ875" s="14">
        <f t="shared" si="257"/>
        <v>9600</v>
      </c>
      <c r="BK875" s="14">
        <f>SUMIFS(BJ$4:BJ875,$AU$4:$AU875,"="&amp;$AU875,$AY$4:$AY875,"="&amp;$AY875)</f>
        <v>9600</v>
      </c>
    </row>
    <row r="876" spans="46:63" ht="16.5" x14ac:dyDescent="0.2">
      <c r="AT876" s="13">
        <v>873</v>
      </c>
      <c r="AU876" s="13">
        <f t="shared" si="249"/>
        <v>11</v>
      </c>
      <c r="AV876" s="14">
        <f t="shared" si="250"/>
        <v>201208</v>
      </c>
      <c r="AW876" s="14">
        <f t="shared" si="251"/>
        <v>1102012</v>
      </c>
      <c r="AX876" s="13" t="s">
        <v>1127</v>
      </c>
      <c r="AY876" s="13">
        <f t="shared" si="252"/>
        <v>8</v>
      </c>
      <c r="AZ876" s="13" t="s">
        <v>1148</v>
      </c>
      <c r="BA876" s="14">
        <f t="shared" si="253"/>
        <v>2</v>
      </c>
      <c r="BB876" s="14" t="str">
        <f t="shared" si="254"/>
        <v>夏侯惇魂珠-8 等级-2</v>
      </c>
      <c r="BC876" s="25" t="s">
        <v>1156</v>
      </c>
      <c r="BD876" s="14">
        <f t="shared" si="255"/>
        <v>576</v>
      </c>
      <c r="BE876" s="14">
        <f>SUMIFS(BD$4:BD876,$AU$4:$AU876,"="&amp;$AU876,$AY$4:$AY876,"="&amp;$AY876)</f>
        <v>960</v>
      </c>
      <c r="BF876" s="25" t="s">
        <v>1157</v>
      </c>
      <c r="BG876" s="14">
        <f t="shared" si="256"/>
        <v>288</v>
      </c>
      <c r="BH876" s="14">
        <f>SUMIFS(BG$4:BG876,AU$4:AU876,"="&amp;AU876,AY$4:AY876,"="&amp;AY876)</f>
        <v>480</v>
      </c>
      <c r="BI876" s="25" t="s">
        <v>1158</v>
      </c>
      <c r="BJ876" s="14">
        <f t="shared" si="257"/>
        <v>14400</v>
      </c>
      <c r="BK876" s="14">
        <f>SUMIFS(BJ$4:BJ876,$AU$4:$AU876,"="&amp;$AU876,$AY$4:$AY876,"="&amp;$AY876)</f>
        <v>24000</v>
      </c>
    </row>
    <row r="877" spans="46:63" ht="16.5" x14ac:dyDescent="0.2">
      <c r="AT877" s="13">
        <v>874</v>
      </c>
      <c r="AU877" s="13">
        <f t="shared" si="249"/>
        <v>11</v>
      </c>
      <c r="AV877" s="14">
        <f t="shared" si="250"/>
        <v>201208</v>
      </c>
      <c r="AW877" s="14">
        <f t="shared" si="251"/>
        <v>1102012</v>
      </c>
      <c r="AX877" s="13" t="s">
        <v>1127</v>
      </c>
      <c r="AY877" s="13">
        <f t="shared" si="252"/>
        <v>8</v>
      </c>
      <c r="AZ877" s="13" t="s">
        <v>1148</v>
      </c>
      <c r="BA877" s="14">
        <f t="shared" si="253"/>
        <v>3</v>
      </c>
      <c r="BB877" s="14" t="str">
        <f t="shared" si="254"/>
        <v>夏侯惇魂珠-8 等级-3</v>
      </c>
      <c r="BC877" s="25" t="s">
        <v>1156</v>
      </c>
      <c r="BD877" s="14">
        <f t="shared" si="255"/>
        <v>768</v>
      </c>
      <c r="BE877" s="14">
        <f>SUMIFS(BD$4:BD877,$AU$4:$AU877,"="&amp;$AU877,$AY$4:$AY877,"="&amp;$AY877)</f>
        <v>1728</v>
      </c>
      <c r="BF877" s="25" t="s">
        <v>1157</v>
      </c>
      <c r="BG877" s="14">
        <f t="shared" si="256"/>
        <v>384</v>
      </c>
      <c r="BH877" s="14">
        <f>SUMIFS(BG$4:BG877,AU$4:AU877,"="&amp;AU877,AY$4:AY877,"="&amp;AY877)</f>
        <v>864</v>
      </c>
      <c r="BI877" s="25" t="s">
        <v>1158</v>
      </c>
      <c r="BJ877" s="14">
        <f t="shared" si="257"/>
        <v>19200</v>
      </c>
      <c r="BK877" s="14">
        <f>SUMIFS(BJ$4:BJ877,$AU$4:$AU877,"="&amp;$AU877,$AY$4:$AY877,"="&amp;$AY877)</f>
        <v>43200</v>
      </c>
    </row>
    <row r="878" spans="46:63" ht="16.5" x14ac:dyDescent="0.2">
      <c r="AT878" s="13">
        <v>875</v>
      </c>
      <c r="AU878" s="13">
        <f t="shared" si="249"/>
        <v>11</v>
      </c>
      <c r="AV878" s="14">
        <f t="shared" si="250"/>
        <v>201208</v>
      </c>
      <c r="AW878" s="14">
        <f t="shared" si="251"/>
        <v>1102012</v>
      </c>
      <c r="AX878" s="13" t="s">
        <v>1127</v>
      </c>
      <c r="AY878" s="13">
        <f t="shared" si="252"/>
        <v>8</v>
      </c>
      <c r="AZ878" s="13" t="s">
        <v>1148</v>
      </c>
      <c r="BA878" s="14">
        <f t="shared" si="253"/>
        <v>4</v>
      </c>
      <c r="BB878" s="14" t="str">
        <f t="shared" si="254"/>
        <v>夏侯惇魂珠-8 等级-4</v>
      </c>
      <c r="BC878" s="25" t="s">
        <v>1156</v>
      </c>
      <c r="BD878" s="14">
        <f t="shared" si="255"/>
        <v>1152</v>
      </c>
      <c r="BE878" s="14">
        <f>SUMIFS(BD$4:BD878,$AU$4:$AU878,"="&amp;$AU878,$AY$4:$AY878,"="&amp;$AY878)</f>
        <v>2880</v>
      </c>
      <c r="BF878" s="25" t="s">
        <v>1157</v>
      </c>
      <c r="BG878" s="14">
        <f t="shared" si="256"/>
        <v>576</v>
      </c>
      <c r="BH878" s="14">
        <f>SUMIFS(BG$4:BG878,AU$4:AU878,"="&amp;AU878,AY$4:AY878,"="&amp;AY878)</f>
        <v>1440</v>
      </c>
      <c r="BI878" s="25" t="s">
        <v>1158</v>
      </c>
      <c r="BJ878" s="14">
        <f t="shared" si="257"/>
        <v>28800</v>
      </c>
      <c r="BK878" s="14">
        <f>SUMIFS(BJ$4:BJ878,$AU$4:$AU878,"="&amp;$AU878,$AY$4:$AY878,"="&amp;$AY878)</f>
        <v>72000</v>
      </c>
    </row>
    <row r="879" spans="46:63" ht="16.5" x14ac:dyDescent="0.2">
      <c r="AT879" s="13">
        <v>876</v>
      </c>
      <c r="AU879" s="13">
        <f t="shared" si="249"/>
        <v>11</v>
      </c>
      <c r="AV879" s="14">
        <f t="shared" si="250"/>
        <v>201208</v>
      </c>
      <c r="AW879" s="14">
        <f t="shared" si="251"/>
        <v>1102012</v>
      </c>
      <c r="AX879" s="13" t="s">
        <v>1127</v>
      </c>
      <c r="AY879" s="13">
        <f t="shared" si="252"/>
        <v>8</v>
      </c>
      <c r="AZ879" s="13" t="s">
        <v>1148</v>
      </c>
      <c r="BA879" s="14">
        <f t="shared" si="253"/>
        <v>5</v>
      </c>
      <c r="BB879" s="14" t="str">
        <f t="shared" si="254"/>
        <v>夏侯惇魂珠-8 等级-5</v>
      </c>
      <c r="BC879" s="25" t="s">
        <v>1156</v>
      </c>
      <c r="BD879" s="14">
        <f t="shared" si="255"/>
        <v>1536</v>
      </c>
      <c r="BE879" s="14">
        <f>SUMIFS(BD$4:BD879,$AU$4:$AU879,"="&amp;$AU879,$AY$4:$AY879,"="&amp;$AY879)</f>
        <v>4416</v>
      </c>
      <c r="BF879" s="25" t="s">
        <v>1157</v>
      </c>
      <c r="BG879" s="14">
        <f t="shared" si="256"/>
        <v>768</v>
      </c>
      <c r="BH879" s="14">
        <f>SUMIFS(BG$4:BG879,AU$4:AU879,"="&amp;AU879,AY$4:AY879,"="&amp;AY879)</f>
        <v>2208</v>
      </c>
      <c r="BI879" s="25" t="s">
        <v>1158</v>
      </c>
      <c r="BJ879" s="14">
        <f t="shared" si="257"/>
        <v>38400</v>
      </c>
      <c r="BK879" s="14">
        <f>SUMIFS(BJ$4:BJ879,$AU$4:$AU879,"="&amp;$AU879,$AY$4:$AY879,"="&amp;$AY879)</f>
        <v>110400</v>
      </c>
    </row>
    <row r="880" spans="46:63" ht="16.5" x14ac:dyDescent="0.2">
      <c r="AT880" s="13">
        <v>877</v>
      </c>
      <c r="AU880" s="13">
        <f t="shared" si="249"/>
        <v>11</v>
      </c>
      <c r="AV880" s="14">
        <f t="shared" si="250"/>
        <v>201208</v>
      </c>
      <c r="AW880" s="14">
        <f t="shared" si="251"/>
        <v>1102012</v>
      </c>
      <c r="AX880" s="13" t="s">
        <v>1127</v>
      </c>
      <c r="AY880" s="13">
        <f t="shared" si="252"/>
        <v>8</v>
      </c>
      <c r="AZ880" s="13" t="s">
        <v>1148</v>
      </c>
      <c r="BA880" s="14">
        <f t="shared" si="253"/>
        <v>6</v>
      </c>
      <c r="BB880" s="14" t="str">
        <f t="shared" si="254"/>
        <v>夏侯惇魂珠-8 等级-6</v>
      </c>
      <c r="BC880" s="25" t="s">
        <v>1156</v>
      </c>
      <c r="BD880" s="14">
        <f t="shared" si="255"/>
        <v>1920</v>
      </c>
      <c r="BE880" s="14">
        <f>SUMIFS(BD$4:BD880,$AU$4:$AU880,"="&amp;$AU880,$AY$4:$AY880,"="&amp;$AY880)</f>
        <v>6336</v>
      </c>
      <c r="BF880" s="25" t="s">
        <v>1157</v>
      </c>
      <c r="BG880" s="14">
        <f t="shared" si="256"/>
        <v>960</v>
      </c>
      <c r="BH880" s="14">
        <f>SUMIFS(BG$4:BG880,AU$4:AU880,"="&amp;AU880,AY$4:AY880,"="&amp;AY880)</f>
        <v>3168</v>
      </c>
      <c r="BI880" s="25" t="s">
        <v>1158</v>
      </c>
      <c r="BJ880" s="14">
        <f t="shared" si="257"/>
        <v>48000</v>
      </c>
      <c r="BK880" s="14">
        <f>SUMIFS(BJ$4:BJ880,$AU$4:$AU880,"="&amp;$AU880,$AY$4:$AY880,"="&amp;$AY880)</f>
        <v>158400</v>
      </c>
    </row>
    <row r="881" spans="46:63" ht="16.5" x14ac:dyDescent="0.2">
      <c r="AT881" s="13">
        <v>878</v>
      </c>
      <c r="AU881" s="13">
        <f t="shared" si="249"/>
        <v>11</v>
      </c>
      <c r="AV881" s="14">
        <f t="shared" si="250"/>
        <v>201208</v>
      </c>
      <c r="AW881" s="14">
        <f t="shared" si="251"/>
        <v>1102012</v>
      </c>
      <c r="AX881" s="13" t="s">
        <v>1127</v>
      </c>
      <c r="AY881" s="13">
        <f t="shared" si="252"/>
        <v>8</v>
      </c>
      <c r="AZ881" s="13" t="s">
        <v>1148</v>
      </c>
      <c r="BA881" s="14">
        <f t="shared" si="253"/>
        <v>7</v>
      </c>
      <c r="BB881" s="14" t="str">
        <f t="shared" si="254"/>
        <v>夏侯惇魂珠-8 等级-7</v>
      </c>
      <c r="BC881" s="25" t="s">
        <v>1156</v>
      </c>
      <c r="BD881" s="14">
        <f t="shared" si="255"/>
        <v>2304</v>
      </c>
      <c r="BE881" s="14">
        <f>SUMIFS(BD$4:BD881,$AU$4:$AU881,"="&amp;$AU881,$AY$4:$AY881,"="&amp;$AY881)</f>
        <v>8640</v>
      </c>
      <c r="BF881" s="25" t="s">
        <v>1157</v>
      </c>
      <c r="BG881" s="14">
        <f t="shared" si="256"/>
        <v>1152</v>
      </c>
      <c r="BH881" s="14">
        <f>SUMIFS(BG$4:BG881,AU$4:AU881,"="&amp;AU881,AY$4:AY881,"="&amp;AY881)</f>
        <v>4320</v>
      </c>
      <c r="BI881" s="25" t="s">
        <v>1158</v>
      </c>
      <c r="BJ881" s="14">
        <f t="shared" si="257"/>
        <v>57600</v>
      </c>
      <c r="BK881" s="14">
        <f>SUMIFS(BJ$4:BJ881,$AU$4:$AU881,"="&amp;$AU881,$AY$4:$AY881,"="&amp;$AY881)</f>
        <v>216000</v>
      </c>
    </row>
    <row r="882" spans="46:63" ht="16.5" x14ac:dyDescent="0.2">
      <c r="AT882" s="13">
        <v>879</v>
      </c>
      <c r="AU882" s="13">
        <f t="shared" si="249"/>
        <v>11</v>
      </c>
      <c r="AV882" s="14">
        <f t="shared" si="250"/>
        <v>201208</v>
      </c>
      <c r="AW882" s="14">
        <f t="shared" si="251"/>
        <v>1102012</v>
      </c>
      <c r="AX882" s="13" t="s">
        <v>1127</v>
      </c>
      <c r="AY882" s="13">
        <f t="shared" si="252"/>
        <v>8</v>
      </c>
      <c r="AZ882" s="13" t="s">
        <v>1148</v>
      </c>
      <c r="BA882" s="14">
        <f t="shared" si="253"/>
        <v>8</v>
      </c>
      <c r="BB882" s="14" t="str">
        <f t="shared" si="254"/>
        <v>夏侯惇魂珠-8 等级-8</v>
      </c>
      <c r="BC882" s="25" t="s">
        <v>1156</v>
      </c>
      <c r="BD882" s="14">
        <f t="shared" si="255"/>
        <v>2688</v>
      </c>
      <c r="BE882" s="14">
        <f>SUMIFS(BD$4:BD882,$AU$4:$AU882,"="&amp;$AU882,$AY$4:$AY882,"="&amp;$AY882)</f>
        <v>11328</v>
      </c>
      <c r="BF882" s="25" t="s">
        <v>1157</v>
      </c>
      <c r="BG882" s="14">
        <f t="shared" si="256"/>
        <v>1344</v>
      </c>
      <c r="BH882" s="14">
        <f>SUMIFS(BG$4:BG882,AU$4:AU882,"="&amp;AU882,AY$4:AY882,"="&amp;AY882)</f>
        <v>5664</v>
      </c>
      <c r="BI882" s="25" t="s">
        <v>1158</v>
      </c>
      <c r="BJ882" s="14">
        <f t="shared" si="257"/>
        <v>67200</v>
      </c>
      <c r="BK882" s="14">
        <f>SUMIFS(BJ$4:BJ882,$AU$4:$AU882,"="&amp;$AU882,$AY$4:$AY882,"="&amp;$AY882)</f>
        <v>283200</v>
      </c>
    </row>
    <row r="883" spans="46:63" ht="16.5" x14ac:dyDescent="0.2">
      <c r="AT883" s="13">
        <v>880</v>
      </c>
      <c r="AU883" s="13">
        <f t="shared" si="249"/>
        <v>11</v>
      </c>
      <c r="AV883" s="14">
        <f t="shared" si="250"/>
        <v>201208</v>
      </c>
      <c r="AW883" s="14">
        <f t="shared" si="251"/>
        <v>1102012</v>
      </c>
      <c r="AX883" s="13" t="s">
        <v>1127</v>
      </c>
      <c r="AY883" s="13">
        <f t="shared" si="252"/>
        <v>8</v>
      </c>
      <c r="AZ883" s="13" t="s">
        <v>1148</v>
      </c>
      <c r="BA883" s="14">
        <f t="shared" si="253"/>
        <v>9</v>
      </c>
      <c r="BB883" s="14" t="str">
        <f t="shared" si="254"/>
        <v>夏侯惇魂珠-8 等级-9</v>
      </c>
      <c r="BC883" s="25" t="s">
        <v>1156</v>
      </c>
      <c r="BD883" s="14">
        <f t="shared" si="255"/>
        <v>3072</v>
      </c>
      <c r="BE883" s="14">
        <f>SUMIFS(BD$4:BD883,$AU$4:$AU883,"="&amp;$AU883,$AY$4:$AY883,"="&amp;$AY883)</f>
        <v>14400</v>
      </c>
      <c r="BF883" s="25" t="s">
        <v>1157</v>
      </c>
      <c r="BG883" s="14">
        <f t="shared" si="256"/>
        <v>1536</v>
      </c>
      <c r="BH883" s="14">
        <f>SUMIFS(BG$4:BG883,AU$4:AU883,"="&amp;AU883,AY$4:AY883,"="&amp;AY883)</f>
        <v>7200</v>
      </c>
      <c r="BI883" s="25" t="s">
        <v>1158</v>
      </c>
      <c r="BJ883" s="14">
        <f t="shared" si="257"/>
        <v>76800</v>
      </c>
      <c r="BK883" s="14">
        <f>SUMIFS(BJ$4:BJ883,$AU$4:$AU883,"="&amp;$AU883,$AY$4:$AY883,"="&amp;$AY883)</f>
        <v>360000</v>
      </c>
    </row>
    <row r="884" spans="46:63" ht="16.5" x14ac:dyDescent="0.2">
      <c r="AT884" s="13">
        <v>881</v>
      </c>
      <c r="AU884" s="13">
        <f t="shared" si="249"/>
        <v>12</v>
      </c>
      <c r="AV884" s="14">
        <f t="shared" si="250"/>
        <v>201401</v>
      </c>
      <c r="AW884" s="14">
        <f t="shared" si="251"/>
        <v>1102014</v>
      </c>
      <c r="AX884" s="13" t="s">
        <v>1127</v>
      </c>
      <c r="AY884" s="13">
        <f t="shared" si="252"/>
        <v>1</v>
      </c>
      <c r="AZ884" s="13" t="s">
        <v>1148</v>
      </c>
      <c r="BA884" s="14">
        <f t="shared" si="253"/>
        <v>0</v>
      </c>
      <c r="BB884" s="14" t="str">
        <f t="shared" si="254"/>
        <v>石灵明魂珠-1 等级-0</v>
      </c>
      <c r="BC884" s="25" t="s">
        <v>1156</v>
      </c>
      <c r="BD884" s="14">
        <f t="shared" si="255"/>
        <v>0</v>
      </c>
      <c r="BE884" s="14">
        <f>SUMIFS(BD$4:BD884,$AU$4:$AU884,"="&amp;$AU884,$AY$4:$AY884,"="&amp;$AY884)</f>
        <v>0</v>
      </c>
      <c r="BF884" s="25" t="s">
        <v>1157</v>
      </c>
      <c r="BG884" s="14">
        <f t="shared" si="256"/>
        <v>0</v>
      </c>
      <c r="BH884" s="14">
        <f>SUMIFS(BG$4:BG884,AU$4:AU884,"="&amp;AU884,AY$4:AY884,"="&amp;AY884)</f>
        <v>0</v>
      </c>
      <c r="BI884" s="25" t="s">
        <v>1158</v>
      </c>
      <c r="BJ884" s="14">
        <f t="shared" si="257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49"/>
        <v>12</v>
      </c>
      <c r="AV885" s="14">
        <f t="shared" si="250"/>
        <v>201401</v>
      </c>
      <c r="AW885" s="14">
        <f t="shared" si="251"/>
        <v>1102014</v>
      </c>
      <c r="AX885" s="13" t="s">
        <v>1127</v>
      </c>
      <c r="AY885" s="13">
        <f t="shared" si="252"/>
        <v>1</v>
      </c>
      <c r="AZ885" s="13" t="s">
        <v>1148</v>
      </c>
      <c r="BA885" s="14">
        <f t="shared" si="253"/>
        <v>1</v>
      </c>
      <c r="BB885" s="14" t="str">
        <f t="shared" si="254"/>
        <v>石灵明魂珠-1 等级-1</v>
      </c>
      <c r="BC885" s="25" t="s">
        <v>1156</v>
      </c>
      <c r="BD885" s="14">
        <f t="shared" si="255"/>
        <v>40</v>
      </c>
      <c r="BE885" s="14">
        <f>SUMIFS(BD$4:BD885,$AU$4:$AU885,"="&amp;$AU885,$AY$4:$AY885,"="&amp;$AY885)</f>
        <v>40</v>
      </c>
      <c r="BF885" s="25" t="s">
        <v>1157</v>
      </c>
      <c r="BG885" s="14">
        <f t="shared" si="256"/>
        <v>20</v>
      </c>
      <c r="BH885" s="14">
        <f>SUMIFS(BG$4:BG885,AU$4:AU885,"="&amp;AU885,AY$4:AY885,"="&amp;AY885)</f>
        <v>20</v>
      </c>
      <c r="BI885" s="25" t="s">
        <v>1158</v>
      </c>
      <c r="BJ885" s="14">
        <f t="shared" si="257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49"/>
        <v>12</v>
      </c>
      <c r="AV886" s="14">
        <f t="shared" si="250"/>
        <v>201401</v>
      </c>
      <c r="AW886" s="14">
        <f t="shared" si="251"/>
        <v>1102014</v>
      </c>
      <c r="AX886" s="13" t="s">
        <v>1127</v>
      </c>
      <c r="AY886" s="13">
        <f t="shared" si="252"/>
        <v>1</v>
      </c>
      <c r="AZ886" s="13" t="s">
        <v>1148</v>
      </c>
      <c r="BA886" s="14">
        <f t="shared" si="253"/>
        <v>2</v>
      </c>
      <c r="BB886" s="14" t="str">
        <f t="shared" si="254"/>
        <v>石灵明魂珠-1 等级-2</v>
      </c>
      <c r="BC886" s="25" t="s">
        <v>1156</v>
      </c>
      <c r="BD886" s="14">
        <f t="shared" si="255"/>
        <v>60</v>
      </c>
      <c r="BE886" s="14">
        <f>SUMIFS(BD$4:BD886,$AU$4:$AU886,"="&amp;$AU886,$AY$4:$AY886,"="&amp;$AY886)</f>
        <v>100</v>
      </c>
      <c r="BF886" s="25" t="s">
        <v>1157</v>
      </c>
      <c r="BG886" s="14">
        <f t="shared" si="256"/>
        <v>30</v>
      </c>
      <c r="BH886" s="14">
        <f>SUMIFS(BG$4:BG886,AU$4:AU886,"="&amp;AU886,AY$4:AY886,"="&amp;AY886)</f>
        <v>50</v>
      </c>
      <c r="BI886" s="25" t="s">
        <v>1158</v>
      </c>
      <c r="BJ886" s="14">
        <f t="shared" si="257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49"/>
        <v>12</v>
      </c>
      <c r="AV887" s="14">
        <f t="shared" si="250"/>
        <v>201401</v>
      </c>
      <c r="AW887" s="14">
        <f t="shared" si="251"/>
        <v>1102014</v>
      </c>
      <c r="AX887" s="13" t="s">
        <v>1127</v>
      </c>
      <c r="AY887" s="13">
        <f t="shared" si="252"/>
        <v>1</v>
      </c>
      <c r="AZ887" s="13" t="s">
        <v>1148</v>
      </c>
      <c r="BA887" s="14">
        <f t="shared" si="253"/>
        <v>3</v>
      </c>
      <c r="BB887" s="14" t="str">
        <f t="shared" si="254"/>
        <v>石灵明魂珠-1 等级-3</v>
      </c>
      <c r="BC887" s="25" t="s">
        <v>1156</v>
      </c>
      <c r="BD887" s="14">
        <f t="shared" si="255"/>
        <v>80</v>
      </c>
      <c r="BE887" s="14">
        <f>SUMIFS(BD$4:BD887,$AU$4:$AU887,"="&amp;$AU887,$AY$4:$AY887,"="&amp;$AY887)</f>
        <v>180</v>
      </c>
      <c r="BF887" s="25" t="s">
        <v>1157</v>
      </c>
      <c r="BG887" s="14">
        <f t="shared" si="256"/>
        <v>40</v>
      </c>
      <c r="BH887" s="14">
        <f>SUMIFS(BG$4:BG887,AU$4:AU887,"="&amp;AU887,AY$4:AY887,"="&amp;AY887)</f>
        <v>90</v>
      </c>
      <c r="BI887" s="25" t="s">
        <v>1158</v>
      </c>
      <c r="BJ887" s="14">
        <f t="shared" si="257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49"/>
        <v>12</v>
      </c>
      <c r="AV888" s="14">
        <f t="shared" si="250"/>
        <v>201401</v>
      </c>
      <c r="AW888" s="14">
        <f t="shared" si="251"/>
        <v>1102014</v>
      </c>
      <c r="AX888" s="13" t="s">
        <v>1127</v>
      </c>
      <c r="AY888" s="13">
        <f t="shared" si="252"/>
        <v>1</v>
      </c>
      <c r="AZ888" s="13" t="s">
        <v>1148</v>
      </c>
      <c r="BA888" s="14">
        <f t="shared" si="253"/>
        <v>4</v>
      </c>
      <c r="BB888" s="14" t="str">
        <f t="shared" si="254"/>
        <v>石灵明魂珠-1 等级-4</v>
      </c>
      <c r="BC888" s="25" t="s">
        <v>1156</v>
      </c>
      <c r="BD888" s="14">
        <f t="shared" si="255"/>
        <v>120</v>
      </c>
      <c r="BE888" s="14">
        <f>SUMIFS(BD$4:BD888,$AU$4:$AU888,"="&amp;$AU888,$AY$4:$AY888,"="&amp;$AY888)</f>
        <v>300</v>
      </c>
      <c r="BF888" s="25" t="s">
        <v>1157</v>
      </c>
      <c r="BG888" s="14">
        <f t="shared" si="256"/>
        <v>60</v>
      </c>
      <c r="BH888" s="14">
        <f>SUMIFS(BG$4:BG888,AU$4:AU888,"="&amp;AU888,AY$4:AY888,"="&amp;AY888)</f>
        <v>150</v>
      </c>
      <c r="BI888" s="25" t="s">
        <v>1158</v>
      </c>
      <c r="BJ888" s="14">
        <f t="shared" si="257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49"/>
        <v>12</v>
      </c>
      <c r="AV889" s="14">
        <f t="shared" si="250"/>
        <v>201401</v>
      </c>
      <c r="AW889" s="14">
        <f t="shared" si="251"/>
        <v>1102014</v>
      </c>
      <c r="AX889" s="13" t="s">
        <v>1127</v>
      </c>
      <c r="AY889" s="13">
        <f t="shared" si="252"/>
        <v>1</v>
      </c>
      <c r="AZ889" s="13" t="s">
        <v>1148</v>
      </c>
      <c r="BA889" s="14">
        <f t="shared" si="253"/>
        <v>5</v>
      </c>
      <c r="BB889" s="14" t="str">
        <f t="shared" si="254"/>
        <v>石灵明魂珠-1 等级-5</v>
      </c>
      <c r="BC889" s="25" t="s">
        <v>1156</v>
      </c>
      <c r="BD889" s="14">
        <f t="shared" si="255"/>
        <v>160</v>
      </c>
      <c r="BE889" s="14">
        <f>SUMIFS(BD$4:BD889,$AU$4:$AU889,"="&amp;$AU889,$AY$4:$AY889,"="&amp;$AY889)</f>
        <v>460</v>
      </c>
      <c r="BF889" s="25" t="s">
        <v>1157</v>
      </c>
      <c r="BG889" s="14">
        <f t="shared" si="256"/>
        <v>80</v>
      </c>
      <c r="BH889" s="14">
        <f>SUMIFS(BG$4:BG889,AU$4:AU889,"="&amp;AU889,AY$4:AY889,"="&amp;AY889)</f>
        <v>230</v>
      </c>
      <c r="BI889" s="25" t="s">
        <v>1158</v>
      </c>
      <c r="BJ889" s="14">
        <f t="shared" si="257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49"/>
        <v>12</v>
      </c>
      <c r="AV890" s="14">
        <f t="shared" si="250"/>
        <v>201401</v>
      </c>
      <c r="AW890" s="14">
        <f t="shared" si="251"/>
        <v>1102014</v>
      </c>
      <c r="AX890" s="13" t="s">
        <v>1127</v>
      </c>
      <c r="AY890" s="13">
        <f t="shared" si="252"/>
        <v>1</v>
      </c>
      <c r="AZ890" s="13" t="s">
        <v>1148</v>
      </c>
      <c r="BA890" s="14">
        <f t="shared" si="253"/>
        <v>6</v>
      </c>
      <c r="BB890" s="14" t="str">
        <f t="shared" si="254"/>
        <v>石灵明魂珠-1 等级-6</v>
      </c>
      <c r="BC890" s="25" t="s">
        <v>1156</v>
      </c>
      <c r="BD890" s="14">
        <f t="shared" si="255"/>
        <v>200</v>
      </c>
      <c r="BE890" s="14">
        <f>SUMIFS(BD$4:BD890,$AU$4:$AU890,"="&amp;$AU890,$AY$4:$AY890,"="&amp;$AY890)</f>
        <v>660</v>
      </c>
      <c r="BF890" s="25" t="s">
        <v>1157</v>
      </c>
      <c r="BG890" s="14">
        <f t="shared" si="256"/>
        <v>100</v>
      </c>
      <c r="BH890" s="14">
        <f>SUMIFS(BG$4:BG890,AU$4:AU890,"="&amp;AU890,AY$4:AY890,"="&amp;AY890)</f>
        <v>330</v>
      </c>
      <c r="BI890" s="25" t="s">
        <v>1158</v>
      </c>
      <c r="BJ890" s="14">
        <f t="shared" si="257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49"/>
        <v>12</v>
      </c>
      <c r="AV891" s="14">
        <f t="shared" si="250"/>
        <v>201401</v>
      </c>
      <c r="AW891" s="14">
        <f t="shared" si="251"/>
        <v>1102014</v>
      </c>
      <c r="AX891" s="13" t="s">
        <v>1127</v>
      </c>
      <c r="AY891" s="13">
        <f t="shared" si="252"/>
        <v>1</v>
      </c>
      <c r="AZ891" s="13" t="s">
        <v>1148</v>
      </c>
      <c r="BA891" s="14">
        <f t="shared" si="253"/>
        <v>7</v>
      </c>
      <c r="BB891" s="14" t="str">
        <f t="shared" si="254"/>
        <v>石灵明魂珠-1 等级-7</v>
      </c>
      <c r="BC891" s="25" t="s">
        <v>1156</v>
      </c>
      <c r="BD891" s="14">
        <f t="shared" si="255"/>
        <v>240</v>
      </c>
      <c r="BE891" s="14">
        <f>SUMIFS(BD$4:BD891,$AU$4:$AU891,"="&amp;$AU891,$AY$4:$AY891,"="&amp;$AY891)</f>
        <v>900</v>
      </c>
      <c r="BF891" s="25" t="s">
        <v>1157</v>
      </c>
      <c r="BG891" s="14">
        <f t="shared" si="256"/>
        <v>120</v>
      </c>
      <c r="BH891" s="14">
        <f>SUMIFS(BG$4:BG891,AU$4:AU891,"="&amp;AU891,AY$4:AY891,"="&amp;AY891)</f>
        <v>450</v>
      </c>
      <c r="BI891" s="25" t="s">
        <v>1158</v>
      </c>
      <c r="BJ891" s="14">
        <f t="shared" si="257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49"/>
        <v>12</v>
      </c>
      <c r="AV892" s="14">
        <f t="shared" si="250"/>
        <v>201401</v>
      </c>
      <c r="AW892" s="14">
        <f t="shared" si="251"/>
        <v>1102014</v>
      </c>
      <c r="AX892" s="13" t="s">
        <v>1127</v>
      </c>
      <c r="AY892" s="13">
        <f t="shared" si="252"/>
        <v>1</v>
      </c>
      <c r="AZ892" s="13" t="s">
        <v>1148</v>
      </c>
      <c r="BA892" s="14">
        <f t="shared" si="253"/>
        <v>8</v>
      </c>
      <c r="BB892" s="14" t="str">
        <f t="shared" si="254"/>
        <v>石灵明魂珠-1 等级-8</v>
      </c>
      <c r="BC892" s="25" t="s">
        <v>1156</v>
      </c>
      <c r="BD892" s="14">
        <f t="shared" si="255"/>
        <v>280</v>
      </c>
      <c r="BE892" s="14">
        <f>SUMIFS(BD$4:BD892,$AU$4:$AU892,"="&amp;$AU892,$AY$4:$AY892,"="&amp;$AY892)</f>
        <v>1180</v>
      </c>
      <c r="BF892" s="25" t="s">
        <v>1157</v>
      </c>
      <c r="BG892" s="14">
        <f t="shared" si="256"/>
        <v>140</v>
      </c>
      <c r="BH892" s="14">
        <f>SUMIFS(BG$4:BG892,AU$4:AU892,"="&amp;AU892,AY$4:AY892,"="&amp;AY892)</f>
        <v>590</v>
      </c>
      <c r="BI892" s="25" t="s">
        <v>1158</v>
      </c>
      <c r="BJ892" s="14">
        <f t="shared" si="257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49"/>
        <v>12</v>
      </c>
      <c r="AV893" s="14">
        <f t="shared" si="250"/>
        <v>201401</v>
      </c>
      <c r="AW893" s="14">
        <f t="shared" si="251"/>
        <v>1102014</v>
      </c>
      <c r="AX893" s="13" t="s">
        <v>1127</v>
      </c>
      <c r="AY893" s="13">
        <f t="shared" si="252"/>
        <v>1</v>
      </c>
      <c r="AZ893" s="13" t="s">
        <v>1148</v>
      </c>
      <c r="BA893" s="14">
        <f t="shared" si="253"/>
        <v>9</v>
      </c>
      <c r="BB893" s="14" t="str">
        <f t="shared" si="254"/>
        <v>石灵明魂珠-1 等级-9</v>
      </c>
      <c r="BC893" s="25" t="s">
        <v>1156</v>
      </c>
      <c r="BD893" s="14">
        <f t="shared" si="255"/>
        <v>320</v>
      </c>
      <c r="BE893" s="14">
        <f>SUMIFS(BD$4:BD893,$AU$4:$AU893,"="&amp;$AU893,$AY$4:$AY893,"="&amp;$AY893)</f>
        <v>1500</v>
      </c>
      <c r="BF893" s="25" t="s">
        <v>1157</v>
      </c>
      <c r="BG893" s="14">
        <f t="shared" si="256"/>
        <v>160</v>
      </c>
      <c r="BH893" s="14">
        <f>SUMIFS(BG$4:BG893,AU$4:AU893,"="&amp;AU893,AY$4:AY893,"="&amp;AY893)</f>
        <v>750</v>
      </c>
      <c r="BI893" s="25" t="s">
        <v>1158</v>
      </c>
      <c r="BJ893" s="14">
        <f t="shared" si="257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49"/>
        <v>12</v>
      </c>
      <c r="AV894" s="14">
        <f t="shared" si="250"/>
        <v>201402</v>
      </c>
      <c r="AW894" s="14">
        <f t="shared" si="251"/>
        <v>1102014</v>
      </c>
      <c r="AX894" s="13" t="s">
        <v>1127</v>
      </c>
      <c r="AY894" s="13">
        <f t="shared" si="252"/>
        <v>2</v>
      </c>
      <c r="AZ894" s="13" t="s">
        <v>1148</v>
      </c>
      <c r="BA894" s="14">
        <f t="shared" si="253"/>
        <v>0</v>
      </c>
      <c r="BB894" s="14" t="str">
        <f t="shared" si="254"/>
        <v>石灵明魂珠-2 等级-0</v>
      </c>
      <c r="BC894" s="25" t="s">
        <v>1156</v>
      </c>
      <c r="BD894" s="14">
        <f t="shared" si="255"/>
        <v>0</v>
      </c>
      <c r="BE894" s="14">
        <f>SUMIFS(BD$4:BD894,$AU$4:$AU894,"="&amp;$AU894,$AY$4:$AY894,"="&amp;$AY894)</f>
        <v>0</v>
      </c>
      <c r="BF894" s="25" t="s">
        <v>1157</v>
      </c>
      <c r="BG894" s="14">
        <f t="shared" si="256"/>
        <v>0</v>
      </c>
      <c r="BH894" s="14">
        <f>SUMIFS(BG$4:BG894,AU$4:AU894,"="&amp;AU894,AY$4:AY894,"="&amp;AY894)</f>
        <v>0</v>
      </c>
      <c r="BI894" s="25" t="s">
        <v>1158</v>
      </c>
      <c r="BJ894" s="14">
        <f t="shared" si="257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49"/>
        <v>12</v>
      </c>
      <c r="AV895" s="14">
        <f t="shared" si="250"/>
        <v>201402</v>
      </c>
      <c r="AW895" s="14">
        <f t="shared" si="251"/>
        <v>1102014</v>
      </c>
      <c r="AX895" s="13" t="s">
        <v>1127</v>
      </c>
      <c r="AY895" s="13">
        <f t="shared" si="252"/>
        <v>2</v>
      </c>
      <c r="AZ895" s="13" t="s">
        <v>1148</v>
      </c>
      <c r="BA895" s="14">
        <f t="shared" si="253"/>
        <v>1</v>
      </c>
      <c r="BB895" s="14" t="str">
        <f t="shared" si="254"/>
        <v>石灵明魂珠-2 等级-1</v>
      </c>
      <c r="BC895" s="25" t="s">
        <v>1156</v>
      </c>
      <c r="BD895" s="14">
        <f t="shared" si="255"/>
        <v>50</v>
      </c>
      <c r="BE895" s="14">
        <f>SUMIFS(BD$4:BD895,$AU$4:$AU895,"="&amp;$AU895,$AY$4:$AY895,"="&amp;$AY895)</f>
        <v>50</v>
      </c>
      <c r="BF895" s="25" t="s">
        <v>1157</v>
      </c>
      <c r="BG895" s="14">
        <f t="shared" si="256"/>
        <v>25</v>
      </c>
      <c r="BH895" s="14">
        <f>SUMIFS(BG$4:BG895,AU$4:AU895,"="&amp;AU895,AY$4:AY895,"="&amp;AY895)</f>
        <v>25</v>
      </c>
      <c r="BI895" s="25" t="s">
        <v>1158</v>
      </c>
      <c r="BJ895" s="14">
        <f t="shared" si="257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49"/>
        <v>12</v>
      </c>
      <c r="AV896" s="14">
        <f t="shared" si="250"/>
        <v>201402</v>
      </c>
      <c r="AW896" s="14">
        <f t="shared" si="251"/>
        <v>1102014</v>
      </c>
      <c r="AX896" s="13" t="s">
        <v>1127</v>
      </c>
      <c r="AY896" s="13">
        <f t="shared" si="252"/>
        <v>2</v>
      </c>
      <c r="AZ896" s="13" t="s">
        <v>1148</v>
      </c>
      <c r="BA896" s="14">
        <f t="shared" si="253"/>
        <v>2</v>
      </c>
      <c r="BB896" s="14" t="str">
        <f t="shared" si="254"/>
        <v>石灵明魂珠-2 等级-2</v>
      </c>
      <c r="BC896" s="25" t="s">
        <v>1156</v>
      </c>
      <c r="BD896" s="14">
        <f t="shared" si="255"/>
        <v>80</v>
      </c>
      <c r="BE896" s="14">
        <f>SUMIFS(BD$4:BD896,$AU$4:$AU896,"="&amp;$AU896,$AY$4:$AY896,"="&amp;$AY896)</f>
        <v>130</v>
      </c>
      <c r="BF896" s="25" t="s">
        <v>1157</v>
      </c>
      <c r="BG896" s="14">
        <f t="shared" si="256"/>
        <v>40</v>
      </c>
      <c r="BH896" s="14">
        <f>SUMIFS(BG$4:BG896,AU$4:AU896,"="&amp;AU896,AY$4:AY896,"="&amp;AY896)</f>
        <v>65</v>
      </c>
      <c r="BI896" s="25" t="s">
        <v>1158</v>
      </c>
      <c r="BJ896" s="14">
        <f t="shared" si="257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49"/>
        <v>12</v>
      </c>
      <c r="AV897" s="14">
        <f t="shared" si="250"/>
        <v>201402</v>
      </c>
      <c r="AW897" s="14">
        <f t="shared" si="251"/>
        <v>1102014</v>
      </c>
      <c r="AX897" s="13" t="s">
        <v>1127</v>
      </c>
      <c r="AY897" s="13">
        <f t="shared" si="252"/>
        <v>2</v>
      </c>
      <c r="AZ897" s="13" t="s">
        <v>1148</v>
      </c>
      <c r="BA897" s="14">
        <f t="shared" si="253"/>
        <v>3</v>
      </c>
      <c r="BB897" s="14" t="str">
        <f t="shared" si="254"/>
        <v>石灵明魂珠-2 等级-3</v>
      </c>
      <c r="BC897" s="25" t="s">
        <v>1156</v>
      </c>
      <c r="BD897" s="14">
        <f t="shared" si="255"/>
        <v>100</v>
      </c>
      <c r="BE897" s="14">
        <f>SUMIFS(BD$4:BD897,$AU$4:$AU897,"="&amp;$AU897,$AY$4:$AY897,"="&amp;$AY897)</f>
        <v>230</v>
      </c>
      <c r="BF897" s="25" t="s">
        <v>1157</v>
      </c>
      <c r="BG897" s="14">
        <f t="shared" si="256"/>
        <v>50</v>
      </c>
      <c r="BH897" s="14">
        <f>SUMIFS(BG$4:BG897,AU$4:AU897,"="&amp;AU897,AY$4:AY897,"="&amp;AY897)</f>
        <v>115</v>
      </c>
      <c r="BI897" s="25" t="s">
        <v>1158</v>
      </c>
      <c r="BJ897" s="14">
        <f t="shared" si="257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49"/>
        <v>12</v>
      </c>
      <c r="AV898" s="14">
        <f t="shared" si="250"/>
        <v>201402</v>
      </c>
      <c r="AW898" s="14">
        <f t="shared" si="251"/>
        <v>1102014</v>
      </c>
      <c r="AX898" s="13" t="s">
        <v>1127</v>
      </c>
      <c r="AY898" s="13">
        <f t="shared" si="252"/>
        <v>2</v>
      </c>
      <c r="AZ898" s="13" t="s">
        <v>1148</v>
      </c>
      <c r="BA898" s="14">
        <f t="shared" si="253"/>
        <v>4</v>
      </c>
      <c r="BB898" s="14" t="str">
        <f t="shared" si="254"/>
        <v>石灵明魂珠-2 等级-4</v>
      </c>
      <c r="BC898" s="25" t="s">
        <v>1156</v>
      </c>
      <c r="BD898" s="14">
        <f t="shared" si="255"/>
        <v>160</v>
      </c>
      <c r="BE898" s="14">
        <f>SUMIFS(BD$4:BD898,$AU$4:$AU898,"="&amp;$AU898,$AY$4:$AY898,"="&amp;$AY898)</f>
        <v>390</v>
      </c>
      <c r="BF898" s="25" t="s">
        <v>1157</v>
      </c>
      <c r="BG898" s="14">
        <f t="shared" si="256"/>
        <v>80</v>
      </c>
      <c r="BH898" s="14">
        <f>SUMIFS(BG$4:BG898,AU$4:AU898,"="&amp;AU898,AY$4:AY898,"="&amp;AY898)</f>
        <v>195</v>
      </c>
      <c r="BI898" s="25" t="s">
        <v>1158</v>
      </c>
      <c r="BJ898" s="14">
        <f t="shared" si="257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49"/>
        <v>12</v>
      </c>
      <c r="AV899" s="14">
        <f t="shared" si="250"/>
        <v>201402</v>
      </c>
      <c r="AW899" s="14">
        <f t="shared" si="251"/>
        <v>1102014</v>
      </c>
      <c r="AX899" s="13" t="s">
        <v>1127</v>
      </c>
      <c r="AY899" s="13">
        <f t="shared" si="252"/>
        <v>2</v>
      </c>
      <c r="AZ899" s="13" t="s">
        <v>1148</v>
      </c>
      <c r="BA899" s="14">
        <f t="shared" si="253"/>
        <v>5</v>
      </c>
      <c r="BB899" s="14" t="str">
        <f t="shared" si="254"/>
        <v>石灵明魂珠-2 等级-5</v>
      </c>
      <c r="BC899" s="25" t="s">
        <v>1156</v>
      </c>
      <c r="BD899" s="14">
        <f t="shared" si="255"/>
        <v>220</v>
      </c>
      <c r="BE899" s="14">
        <f>SUMIFS(BD$4:BD899,$AU$4:$AU899,"="&amp;$AU899,$AY$4:$AY899,"="&amp;$AY899)</f>
        <v>610</v>
      </c>
      <c r="BF899" s="25" t="s">
        <v>1157</v>
      </c>
      <c r="BG899" s="14">
        <f t="shared" si="256"/>
        <v>110</v>
      </c>
      <c r="BH899" s="14">
        <f>SUMIFS(BG$4:BG899,AU$4:AU899,"="&amp;AU899,AY$4:AY899,"="&amp;AY899)</f>
        <v>305</v>
      </c>
      <c r="BI899" s="25" t="s">
        <v>1158</v>
      </c>
      <c r="BJ899" s="14">
        <f t="shared" si="257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49"/>
        <v>12</v>
      </c>
      <c r="AV900" s="14">
        <f t="shared" si="250"/>
        <v>201402</v>
      </c>
      <c r="AW900" s="14">
        <f t="shared" si="251"/>
        <v>1102014</v>
      </c>
      <c r="AX900" s="13" t="s">
        <v>1127</v>
      </c>
      <c r="AY900" s="13">
        <f t="shared" si="252"/>
        <v>2</v>
      </c>
      <c r="AZ900" s="13" t="s">
        <v>1148</v>
      </c>
      <c r="BA900" s="14">
        <f t="shared" si="253"/>
        <v>6</v>
      </c>
      <c r="BB900" s="14" t="str">
        <f t="shared" si="254"/>
        <v>石灵明魂珠-2 等级-6</v>
      </c>
      <c r="BC900" s="25" t="s">
        <v>1156</v>
      </c>
      <c r="BD900" s="14">
        <f t="shared" si="255"/>
        <v>280</v>
      </c>
      <c r="BE900" s="14">
        <f>SUMIFS(BD$4:BD900,$AU$4:$AU900,"="&amp;$AU900,$AY$4:$AY900,"="&amp;$AY900)</f>
        <v>890</v>
      </c>
      <c r="BF900" s="25" t="s">
        <v>1157</v>
      </c>
      <c r="BG900" s="14">
        <f t="shared" si="256"/>
        <v>140</v>
      </c>
      <c r="BH900" s="14">
        <f>SUMIFS(BG$4:BG900,AU$4:AU900,"="&amp;AU900,AY$4:AY900,"="&amp;AY900)</f>
        <v>445</v>
      </c>
      <c r="BI900" s="25" t="s">
        <v>1158</v>
      </c>
      <c r="BJ900" s="14">
        <f t="shared" si="257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8">INT((AT901-1)/80)+1</f>
        <v>12</v>
      </c>
      <c r="AV901" s="14">
        <f t="shared" ref="AV901:AV964" si="259">INDEX($AJ$4:$AJ$203,(AU901-1)*8+AY901)</f>
        <v>201402</v>
      </c>
      <c r="AW901" s="14">
        <f t="shared" ref="AW901:AW964" si="260">INDEX($W$4:$W$28,AU901)</f>
        <v>1102014</v>
      </c>
      <c r="AX901" s="13" t="s">
        <v>1127</v>
      </c>
      <c r="AY901" s="13">
        <f t="shared" ref="AY901:AY964" si="261">INT(((AT901-(AU901-1)*80)-1)/10)+1</f>
        <v>2</v>
      </c>
      <c r="AZ901" s="13" t="s">
        <v>1148</v>
      </c>
      <c r="BA901" s="14">
        <f t="shared" ref="BA901:BA964" si="262">AT901-(AU901-1)*80-(AY901-1)*10-1</f>
        <v>7</v>
      </c>
      <c r="BB901" s="14" t="str">
        <f t="shared" ref="BB901:BB964" si="263">INDEX($X$4:$X$28,AU901)&amp;"魂珠-"&amp;AY901&amp;" 等级-"&amp;BA901</f>
        <v>石灵明魂珠-2 等级-7</v>
      </c>
      <c r="BC901" s="25" t="s">
        <v>1156</v>
      </c>
      <c r="BD901" s="14">
        <f t="shared" ref="BD901:BD964" si="264">ROUND(INDEX(Q$4:Q$83,($AY901-1)*10+$BA901+1)*INDEX(AC$4:AC$28,$AU901),0)</f>
        <v>320</v>
      </c>
      <c r="BE901" s="14">
        <f>SUMIFS(BD$4:BD901,$AU$4:$AU901,"="&amp;$AU901,$AY$4:$AY901,"="&amp;$AY901)</f>
        <v>1210</v>
      </c>
      <c r="BF901" s="25" t="s">
        <v>1157</v>
      </c>
      <c r="BG901" s="14">
        <f t="shared" ref="BG901:BG964" si="265">ROUND(INDEX(R$4:R$83,($AY901-1)*10+$BA901+1)*INDEX(AD$4:AD$28,$AU901),0)</f>
        <v>160</v>
      </c>
      <c r="BH901" s="14">
        <f>SUMIFS(BG$4:BG901,AU$4:AU901,"="&amp;AU901,AY$4:AY901,"="&amp;AY901)</f>
        <v>605</v>
      </c>
      <c r="BI901" s="25" t="s">
        <v>1158</v>
      </c>
      <c r="BJ901" s="14">
        <f t="shared" ref="BJ901:BJ964" si="266">ROUND(INDEX(S$4:S$83,($AY901-1)*10+$BA901+1)*INDEX(AE$4:AE$28,$AU901),0)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8"/>
        <v>12</v>
      </c>
      <c r="AV902" s="14">
        <f t="shared" si="259"/>
        <v>201402</v>
      </c>
      <c r="AW902" s="14">
        <f t="shared" si="260"/>
        <v>1102014</v>
      </c>
      <c r="AX902" s="13" t="s">
        <v>1127</v>
      </c>
      <c r="AY902" s="13">
        <f t="shared" si="261"/>
        <v>2</v>
      </c>
      <c r="AZ902" s="13" t="s">
        <v>1148</v>
      </c>
      <c r="BA902" s="14">
        <f t="shared" si="262"/>
        <v>8</v>
      </c>
      <c r="BB902" s="14" t="str">
        <f t="shared" si="263"/>
        <v>石灵明魂珠-2 等级-8</v>
      </c>
      <c r="BC902" s="25" t="s">
        <v>1156</v>
      </c>
      <c r="BD902" s="14">
        <f t="shared" si="264"/>
        <v>380</v>
      </c>
      <c r="BE902" s="14">
        <f>SUMIFS(BD$4:BD902,$AU$4:$AU902,"="&amp;$AU902,$AY$4:$AY902,"="&amp;$AY902)</f>
        <v>1590</v>
      </c>
      <c r="BF902" s="25" t="s">
        <v>1157</v>
      </c>
      <c r="BG902" s="14">
        <f t="shared" si="265"/>
        <v>190</v>
      </c>
      <c r="BH902" s="14">
        <f>SUMIFS(BG$4:BG902,AU$4:AU902,"="&amp;AU902,AY$4:AY902,"="&amp;AY902)</f>
        <v>795</v>
      </c>
      <c r="BI902" s="25" t="s">
        <v>1158</v>
      </c>
      <c r="BJ902" s="14">
        <f t="shared" si="266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8"/>
        <v>12</v>
      </c>
      <c r="AV903" s="14">
        <f t="shared" si="259"/>
        <v>201402</v>
      </c>
      <c r="AW903" s="14">
        <f t="shared" si="260"/>
        <v>1102014</v>
      </c>
      <c r="AX903" s="13" t="s">
        <v>1127</v>
      </c>
      <c r="AY903" s="13">
        <f t="shared" si="261"/>
        <v>2</v>
      </c>
      <c r="AZ903" s="13" t="s">
        <v>1148</v>
      </c>
      <c r="BA903" s="14">
        <f t="shared" si="262"/>
        <v>9</v>
      </c>
      <c r="BB903" s="14" t="str">
        <f t="shared" si="263"/>
        <v>石灵明魂珠-2 等级-9</v>
      </c>
      <c r="BC903" s="25" t="s">
        <v>1156</v>
      </c>
      <c r="BD903" s="14">
        <f t="shared" si="264"/>
        <v>450</v>
      </c>
      <c r="BE903" s="14">
        <f>SUMIFS(BD$4:BD903,$AU$4:$AU903,"="&amp;$AU903,$AY$4:$AY903,"="&amp;$AY903)</f>
        <v>2040</v>
      </c>
      <c r="BF903" s="25" t="s">
        <v>1157</v>
      </c>
      <c r="BG903" s="14">
        <f t="shared" si="265"/>
        <v>225</v>
      </c>
      <c r="BH903" s="14">
        <f>SUMIFS(BG$4:BG903,AU$4:AU903,"="&amp;AU903,AY$4:AY903,"="&amp;AY903)</f>
        <v>1020</v>
      </c>
      <c r="BI903" s="25" t="s">
        <v>1158</v>
      </c>
      <c r="BJ903" s="14">
        <f t="shared" si="266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8"/>
        <v>12</v>
      </c>
      <c r="AV904" s="14">
        <f t="shared" si="259"/>
        <v>201403</v>
      </c>
      <c r="AW904" s="14">
        <f t="shared" si="260"/>
        <v>1102014</v>
      </c>
      <c r="AX904" s="13" t="s">
        <v>1127</v>
      </c>
      <c r="AY904" s="13">
        <f t="shared" si="261"/>
        <v>3</v>
      </c>
      <c r="AZ904" s="13" t="s">
        <v>1148</v>
      </c>
      <c r="BA904" s="14">
        <f t="shared" si="262"/>
        <v>0</v>
      </c>
      <c r="BB904" s="14" t="str">
        <f t="shared" si="263"/>
        <v>石灵明魂珠-3 等级-0</v>
      </c>
      <c r="BC904" s="25" t="s">
        <v>1156</v>
      </c>
      <c r="BD904" s="14">
        <f t="shared" si="264"/>
        <v>0</v>
      </c>
      <c r="BE904" s="14">
        <f>SUMIFS(BD$4:BD904,$AU$4:$AU904,"="&amp;$AU904,$AY$4:$AY904,"="&amp;$AY904)</f>
        <v>0</v>
      </c>
      <c r="BF904" s="25" t="s">
        <v>1157</v>
      </c>
      <c r="BG904" s="14">
        <f t="shared" si="265"/>
        <v>0</v>
      </c>
      <c r="BH904" s="14">
        <f>SUMIFS(BG$4:BG904,AU$4:AU904,"="&amp;AU904,AY$4:AY904,"="&amp;AY904)</f>
        <v>0</v>
      </c>
      <c r="BI904" s="25" t="s">
        <v>1158</v>
      </c>
      <c r="BJ904" s="14">
        <f t="shared" si="266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8"/>
        <v>12</v>
      </c>
      <c r="AV905" s="14">
        <f t="shared" si="259"/>
        <v>201403</v>
      </c>
      <c r="AW905" s="14">
        <f t="shared" si="260"/>
        <v>1102014</v>
      </c>
      <c r="AX905" s="13" t="s">
        <v>1127</v>
      </c>
      <c r="AY905" s="13">
        <f t="shared" si="261"/>
        <v>3</v>
      </c>
      <c r="AZ905" s="13" t="s">
        <v>1148</v>
      </c>
      <c r="BA905" s="14">
        <f t="shared" si="262"/>
        <v>1</v>
      </c>
      <c r="BB905" s="14" t="str">
        <f t="shared" si="263"/>
        <v>石灵明魂珠-3 等级-1</v>
      </c>
      <c r="BC905" s="25" t="s">
        <v>1156</v>
      </c>
      <c r="BD905" s="14">
        <f t="shared" si="264"/>
        <v>80</v>
      </c>
      <c r="BE905" s="14">
        <f>SUMIFS(BD$4:BD905,$AU$4:$AU905,"="&amp;$AU905,$AY$4:$AY905,"="&amp;$AY905)</f>
        <v>80</v>
      </c>
      <c r="BF905" s="25" t="s">
        <v>1157</v>
      </c>
      <c r="BG905" s="14">
        <f t="shared" si="265"/>
        <v>40</v>
      </c>
      <c r="BH905" s="14">
        <f>SUMIFS(BG$4:BG905,AU$4:AU905,"="&amp;AU905,AY$4:AY905,"="&amp;AY905)</f>
        <v>40</v>
      </c>
      <c r="BI905" s="25" t="s">
        <v>1158</v>
      </c>
      <c r="BJ905" s="14">
        <f t="shared" si="266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8"/>
        <v>12</v>
      </c>
      <c r="AV906" s="14">
        <f t="shared" si="259"/>
        <v>201403</v>
      </c>
      <c r="AW906" s="14">
        <f t="shared" si="260"/>
        <v>1102014</v>
      </c>
      <c r="AX906" s="13" t="s">
        <v>1127</v>
      </c>
      <c r="AY906" s="13">
        <f t="shared" si="261"/>
        <v>3</v>
      </c>
      <c r="AZ906" s="13" t="s">
        <v>1148</v>
      </c>
      <c r="BA906" s="14">
        <f t="shared" si="262"/>
        <v>2</v>
      </c>
      <c r="BB906" s="14" t="str">
        <f t="shared" si="263"/>
        <v>石灵明魂珠-3 等级-2</v>
      </c>
      <c r="BC906" s="25" t="s">
        <v>1156</v>
      </c>
      <c r="BD906" s="14">
        <f t="shared" si="264"/>
        <v>120</v>
      </c>
      <c r="BE906" s="14">
        <f>SUMIFS(BD$4:BD906,$AU$4:$AU906,"="&amp;$AU906,$AY$4:$AY906,"="&amp;$AY906)</f>
        <v>200</v>
      </c>
      <c r="BF906" s="25" t="s">
        <v>1157</v>
      </c>
      <c r="BG906" s="14">
        <f t="shared" si="265"/>
        <v>60</v>
      </c>
      <c r="BH906" s="14">
        <f>SUMIFS(BG$4:BG906,AU$4:AU906,"="&amp;AU906,AY$4:AY906,"="&amp;AY906)</f>
        <v>100</v>
      </c>
      <c r="BI906" s="25" t="s">
        <v>1158</v>
      </c>
      <c r="BJ906" s="14">
        <f t="shared" si="266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8"/>
        <v>12</v>
      </c>
      <c r="AV907" s="14">
        <f t="shared" si="259"/>
        <v>201403</v>
      </c>
      <c r="AW907" s="14">
        <f t="shared" si="260"/>
        <v>1102014</v>
      </c>
      <c r="AX907" s="13" t="s">
        <v>1127</v>
      </c>
      <c r="AY907" s="13">
        <f t="shared" si="261"/>
        <v>3</v>
      </c>
      <c r="AZ907" s="13" t="s">
        <v>1148</v>
      </c>
      <c r="BA907" s="14">
        <f t="shared" si="262"/>
        <v>3</v>
      </c>
      <c r="BB907" s="14" t="str">
        <f t="shared" si="263"/>
        <v>石灵明魂珠-3 等级-3</v>
      </c>
      <c r="BC907" s="25" t="s">
        <v>1156</v>
      </c>
      <c r="BD907" s="14">
        <f t="shared" si="264"/>
        <v>160</v>
      </c>
      <c r="BE907" s="14">
        <f>SUMIFS(BD$4:BD907,$AU$4:$AU907,"="&amp;$AU907,$AY$4:$AY907,"="&amp;$AY907)</f>
        <v>360</v>
      </c>
      <c r="BF907" s="25" t="s">
        <v>1157</v>
      </c>
      <c r="BG907" s="14">
        <f t="shared" si="265"/>
        <v>80</v>
      </c>
      <c r="BH907" s="14">
        <f>SUMIFS(BG$4:BG907,AU$4:AU907,"="&amp;AU907,AY$4:AY907,"="&amp;AY907)</f>
        <v>180</v>
      </c>
      <c r="BI907" s="25" t="s">
        <v>1158</v>
      </c>
      <c r="BJ907" s="14">
        <f t="shared" si="266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8"/>
        <v>12</v>
      </c>
      <c r="AV908" s="14">
        <f t="shared" si="259"/>
        <v>201403</v>
      </c>
      <c r="AW908" s="14">
        <f t="shared" si="260"/>
        <v>1102014</v>
      </c>
      <c r="AX908" s="13" t="s">
        <v>1127</v>
      </c>
      <c r="AY908" s="13">
        <f t="shared" si="261"/>
        <v>3</v>
      </c>
      <c r="AZ908" s="13" t="s">
        <v>1148</v>
      </c>
      <c r="BA908" s="14">
        <f t="shared" si="262"/>
        <v>4</v>
      </c>
      <c r="BB908" s="14" t="str">
        <f t="shared" si="263"/>
        <v>石灵明魂珠-3 等级-4</v>
      </c>
      <c r="BC908" s="25" t="s">
        <v>1156</v>
      </c>
      <c r="BD908" s="14">
        <f t="shared" si="264"/>
        <v>240</v>
      </c>
      <c r="BE908" s="14">
        <f>SUMIFS(BD$4:BD908,$AU$4:$AU908,"="&amp;$AU908,$AY$4:$AY908,"="&amp;$AY908)</f>
        <v>600</v>
      </c>
      <c r="BF908" s="25" t="s">
        <v>1157</v>
      </c>
      <c r="BG908" s="14">
        <f t="shared" si="265"/>
        <v>120</v>
      </c>
      <c r="BH908" s="14">
        <f>SUMIFS(BG$4:BG908,AU$4:AU908,"="&amp;AU908,AY$4:AY908,"="&amp;AY908)</f>
        <v>300</v>
      </c>
      <c r="BI908" s="25" t="s">
        <v>1158</v>
      </c>
      <c r="BJ908" s="14">
        <f t="shared" si="266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8"/>
        <v>12</v>
      </c>
      <c r="AV909" s="14">
        <f t="shared" si="259"/>
        <v>201403</v>
      </c>
      <c r="AW909" s="14">
        <f t="shared" si="260"/>
        <v>1102014</v>
      </c>
      <c r="AX909" s="13" t="s">
        <v>1127</v>
      </c>
      <c r="AY909" s="13">
        <f t="shared" si="261"/>
        <v>3</v>
      </c>
      <c r="AZ909" s="13" t="s">
        <v>1148</v>
      </c>
      <c r="BA909" s="14">
        <f t="shared" si="262"/>
        <v>5</v>
      </c>
      <c r="BB909" s="14" t="str">
        <f t="shared" si="263"/>
        <v>石灵明魂珠-3 等级-5</v>
      </c>
      <c r="BC909" s="25" t="s">
        <v>1156</v>
      </c>
      <c r="BD909" s="14">
        <f t="shared" si="264"/>
        <v>320</v>
      </c>
      <c r="BE909" s="14">
        <f>SUMIFS(BD$4:BD909,$AU$4:$AU909,"="&amp;$AU909,$AY$4:$AY909,"="&amp;$AY909)</f>
        <v>920</v>
      </c>
      <c r="BF909" s="25" t="s">
        <v>1157</v>
      </c>
      <c r="BG909" s="14">
        <f t="shared" si="265"/>
        <v>160</v>
      </c>
      <c r="BH909" s="14">
        <f>SUMIFS(BG$4:BG909,AU$4:AU909,"="&amp;AU909,AY$4:AY909,"="&amp;AY909)</f>
        <v>460</v>
      </c>
      <c r="BI909" s="25" t="s">
        <v>1158</v>
      </c>
      <c r="BJ909" s="14">
        <f t="shared" si="266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8"/>
        <v>12</v>
      </c>
      <c r="AV910" s="14">
        <f t="shared" si="259"/>
        <v>201403</v>
      </c>
      <c r="AW910" s="14">
        <f t="shared" si="260"/>
        <v>1102014</v>
      </c>
      <c r="AX910" s="13" t="s">
        <v>1127</v>
      </c>
      <c r="AY910" s="13">
        <f t="shared" si="261"/>
        <v>3</v>
      </c>
      <c r="AZ910" s="13" t="s">
        <v>1148</v>
      </c>
      <c r="BA910" s="14">
        <f t="shared" si="262"/>
        <v>6</v>
      </c>
      <c r="BB910" s="14" t="str">
        <f t="shared" si="263"/>
        <v>石灵明魂珠-3 等级-6</v>
      </c>
      <c r="BC910" s="25" t="s">
        <v>1156</v>
      </c>
      <c r="BD910" s="14">
        <f t="shared" si="264"/>
        <v>400</v>
      </c>
      <c r="BE910" s="14">
        <f>SUMIFS(BD$4:BD910,$AU$4:$AU910,"="&amp;$AU910,$AY$4:$AY910,"="&amp;$AY910)</f>
        <v>1320</v>
      </c>
      <c r="BF910" s="25" t="s">
        <v>1157</v>
      </c>
      <c r="BG910" s="14">
        <f t="shared" si="265"/>
        <v>200</v>
      </c>
      <c r="BH910" s="14">
        <f>SUMIFS(BG$4:BG910,AU$4:AU910,"="&amp;AU910,AY$4:AY910,"="&amp;AY910)</f>
        <v>660</v>
      </c>
      <c r="BI910" s="25" t="s">
        <v>1158</v>
      </c>
      <c r="BJ910" s="14">
        <f t="shared" si="266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8"/>
        <v>12</v>
      </c>
      <c r="AV911" s="14">
        <f t="shared" si="259"/>
        <v>201403</v>
      </c>
      <c r="AW911" s="14">
        <f t="shared" si="260"/>
        <v>1102014</v>
      </c>
      <c r="AX911" s="13" t="s">
        <v>1127</v>
      </c>
      <c r="AY911" s="13">
        <f t="shared" si="261"/>
        <v>3</v>
      </c>
      <c r="AZ911" s="13" t="s">
        <v>1148</v>
      </c>
      <c r="BA911" s="14">
        <f t="shared" si="262"/>
        <v>7</v>
      </c>
      <c r="BB911" s="14" t="str">
        <f t="shared" si="263"/>
        <v>石灵明魂珠-3 等级-7</v>
      </c>
      <c r="BC911" s="25" t="s">
        <v>1156</v>
      </c>
      <c r="BD911" s="14">
        <f t="shared" si="264"/>
        <v>480</v>
      </c>
      <c r="BE911" s="14">
        <f>SUMIFS(BD$4:BD911,$AU$4:$AU911,"="&amp;$AU911,$AY$4:$AY911,"="&amp;$AY911)</f>
        <v>1800</v>
      </c>
      <c r="BF911" s="25" t="s">
        <v>1157</v>
      </c>
      <c r="BG911" s="14">
        <f t="shared" si="265"/>
        <v>240</v>
      </c>
      <c r="BH911" s="14">
        <f>SUMIFS(BG$4:BG911,AU$4:AU911,"="&amp;AU911,AY$4:AY911,"="&amp;AY911)</f>
        <v>900</v>
      </c>
      <c r="BI911" s="25" t="s">
        <v>1158</v>
      </c>
      <c r="BJ911" s="14">
        <f t="shared" si="266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8"/>
        <v>12</v>
      </c>
      <c r="AV912" s="14">
        <f t="shared" si="259"/>
        <v>201403</v>
      </c>
      <c r="AW912" s="14">
        <f t="shared" si="260"/>
        <v>1102014</v>
      </c>
      <c r="AX912" s="13" t="s">
        <v>1127</v>
      </c>
      <c r="AY912" s="13">
        <f t="shared" si="261"/>
        <v>3</v>
      </c>
      <c r="AZ912" s="13" t="s">
        <v>1148</v>
      </c>
      <c r="BA912" s="14">
        <f t="shared" si="262"/>
        <v>8</v>
      </c>
      <c r="BB912" s="14" t="str">
        <f t="shared" si="263"/>
        <v>石灵明魂珠-3 等级-8</v>
      </c>
      <c r="BC912" s="25" t="s">
        <v>1156</v>
      </c>
      <c r="BD912" s="14">
        <f t="shared" si="264"/>
        <v>560</v>
      </c>
      <c r="BE912" s="14">
        <f>SUMIFS(BD$4:BD912,$AU$4:$AU912,"="&amp;$AU912,$AY$4:$AY912,"="&amp;$AY912)</f>
        <v>2360</v>
      </c>
      <c r="BF912" s="25" t="s">
        <v>1157</v>
      </c>
      <c r="BG912" s="14">
        <f t="shared" si="265"/>
        <v>280</v>
      </c>
      <c r="BH912" s="14">
        <f>SUMIFS(BG$4:BG912,AU$4:AU912,"="&amp;AU912,AY$4:AY912,"="&amp;AY912)</f>
        <v>1180</v>
      </c>
      <c r="BI912" s="25" t="s">
        <v>1158</v>
      </c>
      <c r="BJ912" s="14">
        <f t="shared" si="266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8"/>
        <v>12</v>
      </c>
      <c r="AV913" s="14">
        <f t="shared" si="259"/>
        <v>201403</v>
      </c>
      <c r="AW913" s="14">
        <f t="shared" si="260"/>
        <v>1102014</v>
      </c>
      <c r="AX913" s="13" t="s">
        <v>1127</v>
      </c>
      <c r="AY913" s="13">
        <f t="shared" si="261"/>
        <v>3</v>
      </c>
      <c r="AZ913" s="13" t="s">
        <v>1148</v>
      </c>
      <c r="BA913" s="14">
        <f t="shared" si="262"/>
        <v>9</v>
      </c>
      <c r="BB913" s="14" t="str">
        <f t="shared" si="263"/>
        <v>石灵明魂珠-3 等级-9</v>
      </c>
      <c r="BC913" s="25" t="s">
        <v>1156</v>
      </c>
      <c r="BD913" s="14">
        <f t="shared" si="264"/>
        <v>640</v>
      </c>
      <c r="BE913" s="14">
        <f>SUMIFS(BD$4:BD913,$AU$4:$AU913,"="&amp;$AU913,$AY$4:$AY913,"="&amp;$AY913)</f>
        <v>3000</v>
      </c>
      <c r="BF913" s="25" t="s">
        <v>1157</v>
      </c>
      <c r="BG913" s="14">
        <f t="shared" si="265"/>
        <v>320</v>
      </c>
      <c r="BH913" s="14">
        <f>SUMIFS(BG$4:BG913,AU$4:AU913,"="&amp;AU913,AY$4:AY913,"="&amp;AY913)</f>
        <v>1500</v>
      </c>
      <c r="BI913" s="25" t="s">
        <v>1158</v>
      </c>
      <c r="BJ913" s="14">
        <f t="shared" si="266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8"/>
        <v>12</v>
      </c>
      <c r="AV914" s="14">
        <f t="shared" si="259"/>
        <v>201404</v>
      </c>
      <c r="AW914" s="14">
        <f t="shared" si="260"/>
        <v>1102014</v>
      </c>
      <c r="AX914" s="13" t="s">
        <v>1127</v>
      </c>
      <c r="AY914" s="13">
        <f t="shared" si="261"/>
        <v>4</v>
      </c>
      <c r="AZ914" s="13" t="s">
        <v>1148</v>
      </c>
      <c r="BA914" s="14">
        <f t="shared" si="262"/>
        <v>0</v>
      </c>
      <c r="BB914" s="14" t="str">
        <f t="shared" si="263"/>
        <v>石灵明魂珠-4 等级-0</v>
      </c>
      <c r="BC914" s="25" t="s">
        <v>1156</v>
      </c>
      <c r="BD914" s="14">
        <f t="shared" si="264"/>
        <v>0</v>
      </c>
      <c r="BE914" s="14">
        <f>SUMIFS(BD$4:BD914,$AU$4:$AU914,"="&amp;$AU914,$AY$4:$AY914,"="&amp;$AY914)</f>
        <v>0</v>
      </c>
      <c r="BF914" s="25" t="s">
        <v>1157</v>
      </c>
      <c r="BG914" s="14">
        <f t="shared" si="265"/>
        <v>0</v>
      </c>
      <c r="BH914" s="14">
        <f>SUMIFS(BG$4:BG914,AU$4:AU914,"="&amp;AU914,AY$4:AY914,"="&amp;AY914)</f>
        <v>0</v>
      </c>
      <c r="BI914" s="25" t="s">
        <v>1158</v>
      </c>
      <c r="BJ914" s="14">
        <f t="shared" si="266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8"/>
        <v>12</v>
      </c>
      <c r="AV915" s="14">
        <f t="shared" si="259"/>
        <v>201404</v>
      </c>
      <c r="AW915" s="14">
        <f t="shared" si="260"/>
        <v>1102014</v>
      </c>
      <c r="AX915" s="13" t="s">
        <v>1127</v>
      </c>
      <c r="AY915" s="13">
        <f t="shared" si="261"/>
        <v>4</v>
      </c>
      <c r="AZ915" s="13" t="s">
        <v>1148</v>
      </c>
      <c r="BA915" s="14">
        <f t="shared" si="262"/>
        <v>1</v>
      </c>
      <c r="BB915" s="14" t="str">
        <f t="shared" si="263"/>
        <v>石灵明魂珠-4 等级-1</v>
      </c>
      <c r="BC915" s="25" t="s">
        <v>1156</v>
      </c>
      <c r="BD915" s="14">
        <f t="shared" si="264"/>
        <v>100</v>
      </c>
      <c r="BE915" s="14">
        <f>SUMIFS(BD$4:BD915,$AU$4:$AU915,"="&amp;$AU915,$AY$4:$AY915,"="&amp;$AY915)</f>
        <v>100</v>
      </c>
      <c r="BF915" s="25" t="s">
        <v>1157</v>
      </c>
      <c r="BG915" s="14">
        <f t="shared" si="265"/>
        <v>50</v>
      </c>
      <c r="BH915" s="14">
        <f>SUMIFS(BG$4:BG915,AU$4:AU915,"="&amp;AU915,AY$4:AY915,"="&amp;AY915)</f>
        <v>50</v>
      </c>
      <c r="BI915" s="25" t="s">
        <v>1158</v>
      </c>
      <c r="BJ915" s="14">
        <f t="shared" si="266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8"/>
        <v>12</v>
      </c>
      <c r="AV916" s="14">
        <f t="shared" si="259"/>
        <v>201404</v>
      </c>
      <c r="AW916" s="14">
        <f t="shared" si="260"/>
        <v>1102014</v>
      </c>
      <c r="AX916" s="13" t="s">
        <v>1127</v>
      </c>
      <c r="AY916" s="13">
        <f t="shared" si="261"/>
        <v>4</v>
      </c>
      <c r="AZ916" s="13" t="s">
        <v>1148</v>
      </c>
      <c r="BA916" s="14">
        <f t="shared" si="262"/>
        <v>2</v>
      </c>
      <c r="BB916" s="14" t="str">
        <f t="shared" si="263"/>
        <v>石灵明魂珠-4 等级-2</v>
      </c>
      <c r="BC916" s="25" t="s">
        <v>1156</v>
      </c>
      <c r="BD916" s="14">
        <f t="shared" si="264"/>
        <v>160</v>
      </c>
      <c r="BE916" s="14">
        <f>SUMIFS(BD$4:BD916,$AU$4:$AU916,"="&amp;$AU916,$AY$4:$AY916,"="&amp;$AY916)</f>
        <v>260</v>
      </c>
      <c r="BF916" s="25" t="s">
        <v>1157</v>
      </c>
      <c r="BG916" s="14">
        <f t="shared" si="265"/>
        <v>80</v>
      </c>
      <c r="BH916" s="14">
        <f>SUMIFS(BG$4:BG916,AU$4:AU916,"="&amp;AU916,AY$4:AY916,"="&amp;AY916)</f>
        <v>130</v>
      </c>
      <c r="BI916" s="25" t="s">
        <v>1158</v>
      </c>
      <c r="BJ916" s="14">
        <f t="shared" si="266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8"/>
        <v>12</v>
      </c>
      <c r="AV917" s="14">
        <f t="shared" si="259"/>
        <v>201404</v>
      </c>
      <c r="AW917" s="14">
        <f t="shared" si="260"/>
        <v>1102014</v>
      </c>
      <c r="AX917" s="13" t="s">
        <v>1127</v>
      </c>
      <c r="AY917" s="13">
        <f t="shared" si="261"/>
        <v>4</v>
      </c>
      <c r="AZ917" s="13" t="s">
        <v>1148</v>
      </c>
      <c r="BA917" s="14">
        <f t="shared" si="262"/>
        <v>3</v>
      </c>
      <c r="BB917" s="14" t="str">
        <f t="shared" si="263"/>
        <v>石灵明魂珠-4 等级-3</v>
      </c>
      <c r="BC917" s="25" t="s">
        <v>1156</v>
      </c>
      <c r="BD917" s="14">
        <f t="shared" si="264"/>
        <v>220</v>
      </c>
      <c r="BE917" s="14">
        <f>SUMIFS(BD$4:BD917,$AU$4:$AU917,"="&amp;$AU917,$AY$4:$AY917,"="&amp;$AY917)</f>
        <v>480</v>
      </c>
      <c r="BF917" s="25" t="s">
        <v>1157</v>
      </c>
      <c r="BG917" s="14">
        <f t="shared" si="265"/>
        <v>110</v>
      </c>
      <c r="BH917" s="14">
        <f>SUMIFS(BG$4:BG917,AU$4:AU917,"="&amp;AU917,AY$4:AY917,"="&amp;AY917)</f>
        <v>240</v>
      </c>
      <c r="BI917" s="25" t="s">
        <v>1158</v>
      </c>
      <c r="BJ917" s="14">
        <f t="shared" si="266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8"/>
        <v>12</v>
      </c>
      <c r="AV918" s="14">
        <f t="shared" si="259"/>
        <v>201404</v>
      </c>
      <c r="AW918" s="14">
        <f t="shared" si="260"/>
        <v>1102014</v>
      </c>
      <c r="AX918" s="13" t="s">
        <v>1127</v>
      </c>
      <c r="AY918" s="13">
        <f t="shared" si="261"/>
        <v>4</v>
      </c>
      <c r="AZ918" s="13" t="s">
        <v>1148</v>
      </c>
      <c r="BA918" s="14">
        <f t="shared" si="262"/>
        <v>4</v>
      </c>
      <c r="BB918" s="14" t="str">
        <f t="shared" si="263"/>
        <v>石灵明魂珠-4 等级-4</v>
      </c>
      <c r="BC918" s="25" t="s">
        <v>1156</v>
      </c>
      <c r="BD918" s="14">
        <f t="shared" si="264"/>
        <v>320</v>
      </c>
      <c r="BE918" s="14">
        <f>SUMIFS(BD$4:BD918,$AU$4:$AU918,"="&amp;$AU918,$AY$4:$AY918,"="&amp;$AY918)</f>
        <v>800</v>
      </c>
      <c r="BF918" s="25" t="s">
        <v>1157</v>
      </c>
      <c r="BG918" s="14">
        <f t="shared" si="265"/>
        <v>160</v>
      </c>
      <c r="BH918" s="14">
        <f>SUMIFS(BG$4:BG918,AU$4:AU918,"="&amp;AU918,AY$4:AY918,"="&amp;AY918)</f>
        <v>400</v>
      </c>
      <c r="BI918" s="25" t="s">
        <v>1158</v>
      </c>
      <c r="BJ918" s="14">
        <f t="shared" si="266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8"/>
        <v>12</v>
      </c>
      <c r="AV919" s="14">
        <f t="shared" si="259"/>
        <v>201404</v>
      </c>
      <c r="AW919" s="14">
        <f t="shared" si="260"/>
        <v>1102014</v>
      </c>
      <c r="AX919" s="13" t="s">
        <v>1127</v>
      </c>
      <c r="AY919" s="13">
        <f t="shared" si="261"/>
        <v>4</v>
      </c>
      <c r="AZ919" s="13" t="s">
        <v>1148</v>
      </c>
      <c r="BA919" s="14">
        <f t="shared" si="262"/>
        <v>5</v>
      </c>
      <c r="BB919" s="14" t="str">
        <f t="shared" si="263"/>
        <v>石灵明魂珠-4 等级-5</v>
      </c>
      <c r="BC919" s="25" t="s">
        <v>1156</v>
      </c>
      <c r="BD919" s="14">
        <f t="shared" si="264"/>
        <v>420</v>
      </c>
      <c r="BE919" s="14">
        <f>SUMIFS(BD$4:BD919,$AU$4:$AU919,"="&amp;$AU919,$AY$4:$AY919,"="&amp;$AY919)</f>
        <v>1220</v>
      </c>
      <c r="BF919" s="25" t="s">
        <v>1157</v>
      </c>
      <c r="BG919" s="14">
        <f t="shared" si="265"/>
        <v>210</v>
      </c>
      <c r="BH919" s="14">
        <f>SUMIFS(BG$4:BG919,AU$4:AU919,"="&amp;AU919,AY$4:AY919,"="&amp;AY919)</f>
        <v>610</v>
      </c>
      <c r="BI919" s="25" t="s">
        <v>1158</v>
      </c>
      <c r="BJ919" s="14">
        <f t="shared" si="266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8"/>
        <v>12</v>
      </c>
      <c r="AV920" s="14">
        <f t="shared" si="259"/>
        <v>201404</v>
      </c>
      <c r="AW920" s="14">
        <f t="shared" si="260"/>
        <v>1102014</v>
      </c>
      <c r="AX920" s="13" t="s">
        <v>1127</v>
      </c>
      <c r="AY920" s="13">
        <f t="shared" si="261"/>
        <v>4</v>
      </c>
      <c r="AZ920" s="13" t="s">
        <v>1148</v>
      </c>
      <c r="BA920" s="14">
        <f t="shared" si="262"/>
        <v>6</v>
      </c>
      <c r="BB920" s="14" t="str">
        <f t="shared" si="263"/>
        <v>石灵明魂珠-4 等级-6</v>
      </c>
      <c r="BC920" s="25" t="s">
        <v>1156</v>
      </c>
      <c r="BD920" s="14">
        <f t="shared" si="264"/>
        <v>550</v>
      </c>
      <c r="BE920" s="14">
        <f>SUMIFS(BD$4:BD920,$AU$4:$AU920,"="&amp;$AU920,$AY$4:$AY920,"="&amp;$AY920)</f>
        <v>1770</v>
      </c>
      <c r="BF920" s="25" t="s">
        <v>1157</v>
      </c>
      <c r="BG920" s="14">
        <f t="shared" si="265"/>
        <v>275</v>
      </c>
      <c r="BH920" s="14">
        <f>SUMIFS(BG$4:BG920,AU$4:AU920,"="&amp;AU920,AY$4:AY920,"="&amp;AY920)</f>
        <v>885</v>
      </c>
      <c r="BI920" s="25" t="s">
        <v>1158</v>
      </c>
      <c r="BJ920" s="14">
        <f t="shared" si="266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8"/>
        <v>12</v>
      </c>
      <c r="AV921" s="14">
        <f t="shared" si="259"/>
        <v>201404</v>
      </c>
      <c r="AW921" s="14">
        <f t="shared" si="260"/>
        <v>1102014</v>
      </c>
      <c r="AX921" s="13" t="s">
        <v>1127</v>
      </c>
      <c r="AY921" s="13">
        <f t="shared" si="261"/>
        <v>4</v>
      </c>
      <c r="AZ921" s="13" t="s">
        <v>1148</v>
      </c>
      <c r="BA921" s="14">
        <f t="shared" si="262"/>
        <v>7</v>
      </c>
      <c r="BB921" s="14" t="str">
        <f t="shared" si="263"/>
        <v>石灵明魂珠-4 等级-7</v>
      </c>
      <c r="BC921" s="25" t="s">
        <v>1156</v>
      </c>
      <c r="BD921" s="14">
        <f t="shared" si="264"/>
        <v>650</v>
      </c>
      <c r="BE921" s="14">
        <f>SUMIFS(BD$4:BD921,$AU$4:$AU921,"="&amp;$AU921,$AY$4:$AY921,"="&amp;$AY921)</f>
        <v>2420</v>
      </c>
      <c r="BF921" s="25" t="s">
        <v>1157</v>
      </c>
      <c r="BG921" s="14">
        <f t="shared" si="265"/>
        <v>325</v>
      </c>
      <c r="BH921" s="14">
        <f>SUMIFS(BG$4:BG921,AU$4:AU921,"="&amp;AU921,AY$4:AY921,"="&amp;AY921)</f>
        <v>1210</v>
      </c>
      <c r="BI921" s="25" t="s">
        <v>1158</v>
      </c>
      <c r="BJ921" s="14">
        <f t="shared" si="266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8"/>
        <v>12</v>
      </c>
      <c r="AV922" s="14">
        <f t="shared" si="259"/>
        <v>201404</v>
      </c>
      <c r="AW922" s="14">
        <f t="shared" si="260"/>
        <v>1102014</v>
      </c>
      <c r="AX922" s="13" t="s">
        <v>1127</v>
      </c>
      <c r="AY922" s="13">
        <f t="shared" si="261"/>
        <v>4</v>
      </c>
      <c r="AZ922" s="13" t="s">
        <v>1148</v>
      </c>
      <c r="BA922" s="14">
        <f t="shared" si="262"/>
        <v>8</v>
      </c>
      <c r="BB922" s="14" t="str">
        <f t="shared" si="263"/>
        <v>石灵明魂珠-4 等级-8</v>
      </c>
      <c r="BC922" s="25" t="s">
        <v>1156</v>
      </c>
      <c r="BD922" s="14">
        <f t="shared" si="264"/>
        <v>750</v>
      </c>
      <c r="BE922" s="14">
        <f>SUMIFS(BD$4:BD922,$AU$4:$AU922,"="&amp;$AU922,$AY$4:$AY922,"="&amp;$AY922)</f>
        <v>3170</v>
      </c>
      <c r="BF922" s="25" t="s">
        <v>1157</v>
      </c>
      <c r="BG922" s="14">
        <f t="shared" si="265"/>
        <v>375</v>
      </c>
      <c r="BH922" s="14">
        <f>SUMIFS(BG$4:BG922,AU$4:AU922,"="&amp;AU922,AY$4:AY922,"="&amp;AY922)</f>
        <v>1585</v>
      </c>
      <c r="BI922" s="25" t="s">
        <v>1158</v>
      </c>
      <c r="BJ922" s="14">
        <f t="shared" si="266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8"/>
        <v>12</v>
      </c>
      <c r="AV923" s="14">
        <f t="shared" si="259"/>
        <v>201404</v>
      </c>
      <c r="AW923" s="14">
        <f t="shared" si="260"/>
        <v>1102014</v>
      </c>
      <c r="AX923" s="13" t="s">
        <v>1127</v>
      </c>
      <c r="AY923" s="13">
        <f t="shared" si="261"/>
        <v>4</v>
      </c>
      <c r="AZ923" s="13" t="s">
        <v>1148</v>
      </c>
      <c r="BA923" s="14">
        <f t="shared" si="262"/>
        <v>9</v>
      </c>
      <c r="BB923" s="14" t="str">
        <f t="shared" si="263"/>
        <v>石灵明魂珠-4 等级-9</v>
      </c>
      <c r="BC923" s="25" t="s">
        <v>1156</v>
      </c>
      <c r="BD923" s="14">
        <f t="shared" si="264"/>
        <v>850</v>
      </c>
      <c r="BE923" s="14">
        <f>SUMIFS(BD$4:BD923,$AU$4:$AU923,"="&amp;$AU923,$AY$4:$AY923,"="&amp;$AY923)</f>
        <v>4020</v>
      </c>
      <c r="BF923" s="25" t="s">
        <v>1157</v>
      </c>
      <c r="BG923" s="14">
        <f t="shared" si="265"/>
        <v>425</v>
      </c>
      <c r="BH923" s="14">
        <f>SUMIFS(BG$4:BG923,AU$4:AU923,"="&amp;AU923,AY$4:AY923,"="&amp;AY923)</f>
        <v>2010</v>
      </c>
      <c r="BI923" s="25" t="s">
        <v>1158</v>
      </c>
      <c r="BJ923" s="14">
        <f t="shared" si="266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8"/>
        <v>12</v>
      </c>
      <c r="AV924" s="14">
        <f t="shared" si="259"/>
        <v>201405</v>
      </c>
      <c r="AW924" s="14">
        <f t="shared" si="260"/>
        <v>1102014</v>
      </c>
      <c r="AX924" s="13" t="s">
        <v>1127</v>
      </c>
      <c r="AY924" s="13">
        <f t="shared" si="261"/>
        <v>5</v>
      </c>
      <c r="AZ924" s="13" t="s">
        <v>1148</v>
      </c>
      <c r="BA924" s="14">
        <f t="shared" si="262"/>
        <v>0</v>
      </c>
      <c r="BB924" s="14" t="str">
        <f t="shared" si="263"/>
        <v>石灵明魂珠-5 等级-0</v>
      </c>
      <c r="BC924" s="25" t="s">
        <v>1156</v>
      </c>
      <c r="BD924" s="14">
        <f t="shared" si="264"/>
        <v>0</v>
      </c>
      <c r="BE924" s="14">
        <f>SUMIFS(BD$4:BD924,$AU$4:$AU924,"="&amp;$AU924,$AY$4:$AY924,"="&amp;$AY924)</f>
        <v>0</v>
      </c>
      <c r="BF924" s="25" t="s">
        <v>1157</v>
      </c>
      <c r="BG924" s="14">
        <f t="shared" si="265"/>
        <v>0</v>
      </c>
      <c r="BH924" s="14">
        <f>SUMIFS(BG$4:BG924,AU$4:AU924,"="&amp;AU924,AY$4:AY924,"="&amp;AY924)</f>
        <v>0</v>
      </c>
      <c r="BI924" s="25" t="s">
        <v>1158</v>
      </c>
      <c r="BJ924" s="14">
        <f t="shared" si="266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8"/>
        <v>12</v>
      </c>
      <c r="AV925" s="14">
        <f t="shared" si="259"/>
        <v>201405</v>
      </c>
      <c r="AW925" s="14">
        <f t="shared" si="260"/>
        <v>1102014</v>
      </c>
      <c r="AX925" s="13" t="s">
        <v>1127</v>
      </c>
      <c r="AY925" s="13">
        <f t="shared" si="261"/>
        <v>5</v>
      </c>
      <c r="AZ925" s="13" t="s">
        <v>1148</v>
      </c>
      <c r="BA925" s="14">
        <f t="shared" si="262"/>
        <v>1</v>
      </c>
      <c r="BB925" s="14" t="str">
        <f t="shared" si="263"/>
        <v>石灵明魂珠-5 等级-1</v>
      </c>
      <c r="BC925" s="25" t="s">
        <v>1156</v>
      </c>
      <c r="BD925" s="14">
        <f t="shared" si="264"/>
        <v>140</v>
      </c>
      <c r="BE925" s="14">
        <f>SUMIFS(BD$4:BD925,$AU$4:$AU925,"="&amp;$AU925,$AY$4:$AY925,"="&amp;$AY925)</f>
        <v>140</v>
      </c>
      <c r="BF925" s="25" t="s">
        <v>1157</v>
      </c>
      <c r="BG925" s="14">
        <f t="shared" si="265"/>
        <v>70</v>
      </c>
      <c r="BH925" s="14">
        <f>SUMIFS(BG$4:BG925,AU$4:AU925,"="&amp;AU925,AY$4:AY925,"="&amp;AY925)</f>
        <v>70</v>
      </c>
      <c r="BI925" s="25" t="s">
        <v>1158</v>
      </c>
      <c r="BJ925" s="14">
        <f t="shared" si="266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8"/>
        <v>12</v>
      </c>
      <c r="AV926" s="14">
        <f t="shared" si="259"/>
        <v>201405</v>
      </c>
      <c r="AW926" s="14">
        <f t="shared" si="260"/>
        <v>1102014</v>
      </c>
      <c r="AX926" s="13" t="s">
        <v>1127</v>
      </c>
      <c r="AY926" s="13">
        <f t="shared" si="261"/>
        <v>5</v>
      </c>
      <c r="AZ926" s="13" t="s">
        <v>1148</v>
      </c>
      <c r="BA926" s="14">
        <f t="shared" si="262"/>
        <v>2</v>
      </c>
      <c r="BB926" s="14" t="str">
        <f t="shared" si="263"/>
        <v>石灵明魂珠-5 等级-2</v>
      </c>
      <c r="BC926" s="25" t="s">
        <v>1156</v>
      </c>
      <c r="BD926" s="14">
        <f t="shared" si="264"/>
        <v>200</v>
      </c>
      <c r="BE926" s="14">
        <f>SUMIFS(BD$4:BD926,$AU$4:$AU926,"="&amp;$AU926,$AY$4:$AY926,"="&amp;$AY926)</f>
        <v>340</v>
      </c>
      <c r="BF926" s="25" t="s">
        <v>1157</v>
      </c>
      <c r="BG926" s="14">
        <f t="shared" si="265"/>
        <v>100</v>
      </c>
      <c r="BH926" s="14">
        <f>SUMIFS(BG$4:BG926,AU$4:AU926,"="&amp;AU926,AY$4:AY926,"="&amp;AY926)</f>
        <v>170</v>
      </c>
      <c r="BI926" s="25" t="s">
        <v>1158</v>
      </c>
      <c r="BJ926" s="14">
        <f t="shared" si="266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8"/>
        <v>12</v>
      </c>
      <c r="AV927" s="14">
        <f t="shared" si="259"/>
        <v>201405</v>
      </c>
      <c r="AW927" s="14">
        <f t="shared" si="260"/>
        <v>1102014</v>
      </c>
      <c r="AX927" s="13" t="s">
        <v>1127</v>
      </c>
      <c r="AY927" s="13">
        <f t="shared" si="261"/>
        <v>5</v>
      </c>
      <c r="AZ927" s="13" t="s">
        <v>1148</v>
      </c>
      <c r="BA927" s="14">
        <f t="shared" si="262"/>
        <v>3</v>
      </c>
      <c r="BB927" s="14" t="str">
        <f t="shared" si="263"/>
        <v>石灵明魂珠-5 等级-3</v>
      </c>
      <c r="BC927" s="25" t="s">
        <v>1156</v>
      </c>
      <c r="BD927" s="14">
        <f t="shared" si="264"/>
        <v>260</v>
      </c>
      <c r="BE927" s="14">
        <f>SUMIFS(BD$4:BD927,$AU$4:$AU927,"="&amp;$AU927,$AY$4:$AY927,"="&amp;$AY927)</f>
        <v>600</v>
      </c>
      <c r="BF927" s="25" t="s">
        <v>1157</v>
      </c>
      <c r="BG927" s="14">
        <f t="shared" si="265"/>
        <v>130</v>
      </c>
      <c r="BH927" s="14">
        <f>SUMIFS(BG$4:BG927,AU$4:AU927,"="&amp;AU927,AY$4:AY927,"="&amp;AY927)</f>
        <v>300</v>
      </c>
      <c r="BI927" s="25" t="s">
        <v>1158</v>
      </c>
      <c r="BJ927" s="14">
        <f t="shared" si="266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8"/>
        <v>12</v>
      </c>
      <c r="AV928" s="14">
        <f t="shared" si="259"/>
        <v>201405</v>
      </c>
      <c r="AW928" s="14">
        <f t="shared" si="260"/>
        <v>1102014</v>
      </c>
      <c r="AX928" s="13" t="s">
        <v>1127</v>
      </c>
      <c r="AY928" s="13">
        <f t="shared" si="261"/>
        <v>5</v>
      </c>
      <c r="AZ928" s="13" t="s">
        <v>1148</v>
      </c>
      <c r="BA928" s="14">
        <f t="shared" si="262"/>
        <v>4</v>
      </c>
      <c r="BB928" s="14" t="str">
        <f t="shared" si="263"/>
        <v>石灵明魂珠-5 等级-4</v>
      </c>
      <c r="BC928" s="25" t="s">
        <v>1156</v>
      </c>
      <c r="BD928" s="14">
        <f t="shared" si="264"/>
        <v>400</v>
      </c>
      <c r="BE928" s="14">
        <f>SUMIFS(BD$4:BD928,$AU$4:$AU928,"="&amp;$AU928,$AY$4:$AY928,"="&amp;$AY928)</f>
        <v>1000</v>
      </c>
      <c r="BF928" s="25" t="s">
        <v>1157</v>
      </c>
      <c r="BG928" s="14">
        <f t="shared" si="265"/>
        <v>200</v>
      </c>
      <c r="BH928" s="14">
        <f>SUMIFS(BG$4:BG928,AU$4:AU928,"="&amp;AU928,AY$4:AY928,"="&amp;AY928)</f>
        <v>500</v>
      </c>
      <c r="BI928" s="25" t="s">
        <v>1158</v>
      </c>
      <c r="BJ928" s="14">
        <f t="shared" si="266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8"/>
        <v>12</v>
      </c>
      <c r="AV929" s="14">
        <f t="shared" si="259"/>
        <v>201405</v>
      </c>
      <c r="AW929" s="14">
        <f t="shared" si="260"/>
        <v>1102014</v>
      </c>
      <c r="AX929" s="13" t="s">
        <v>1127</v>
      </c>
      <c r="AY929" s="13">
        <f t="shared" si="261"/>
        <v>5</v>
      </c>
      <c r="AZ929" s="13" t="s">
        <v>1148</v>
      </c>
      <c r="BA929" s="14">
        <f t="shared" si="262"/>
        <v>5</v>
      </c>
      <c r="BB929" s="14" t="str">
        <f t="shared" si="263"/>
        <v>石灵明魂珠-5 等级-5</v>
      </c>
      <c r="BC929" s="25" t="s">
        <v>1156</v>
      </c>
      <c r="BD929" s="14">
        <f t="shared" si="264"/>
        <v>520</v>
      </c>
      <c r="BE929" s="14">
        <f>SUMIFS(BD$4:BD929,$AU$4:$AU929,"="&amp;$AU929,$AY$4:$AY929,"="&amp;$AY929)</f>
        <v>1520</v>
      </c>
      <c r="BF929" s="25" t="s">
        <v>1157</v>
      </c>
      <c r="BG929" s="14">
        <f t="shared" si="265"/>
        <v>260</v>
      </c>
      <c r="BH929" s="14">
        <f>SUMIFS(BG$4:BG929,AU$4:AU929,"="&amp;AU929,AY$4:AY929,"="&amp;AY929)</f>
        <v>760</v>
      </c>
      <c r="BI929" s="25" t="s">
        <v>1158</v>
      </c>
      <c r="BJ929" s="14">
        <f t="shared" si="266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8"/>
        <v>12</v>
      </c>
      <c r="AV930" s="14">
        <f t="shared" si="259"/>
        <v>201405</v>
      </c>
      <c r="AW930" s="14">
        <f t="shared" si="260"/>
        <v>1102014</v>
      </c>
      <c r="AX930" s="13" t="s">
        <v>1127</v>
      </c>
      <c r="AY930" s="13">
        <f t="shared" si="261"/>
        <v>5</v>
      </c>
      <c r="AZ930" s="13" t="s">
        <v>1148</v>
      </c>
      <c r="BA930" s="14">
        <f t="shared" si="262"/>
        <v>6</v>
      </c>
      <c r="BB930" s="14" t="str">
        <f t="shared" si="263"/>
        <v>石灵明魂珠-5 等级-6</v>
      </c>
      <c r="BC930" s="25" t="s">
        <v>1156</v>
      </c>
      <c r="BD930" s="14">
        <f t="shared" si="264"/>
        <v>650</v>
      </c>
      <c r="BE930" s="14">
        <f>SUMIFS(BD$4:BD930,$AU$4:$AU930,"="&amp;$AU930,$AY$4:$AY930,"="&amp;$AY930)</f>
        <v>2170</v>
      </c>
      <c r="BF930" s="25" t="s">
        <v>1157</v>
      </c>
      <c r="BG930" s="14">
        <f t="shared" si="265"/>
        <v>325</v>
      </c>
      <c r="BH930" s="14">
        <f>SUMIFS(BG$4:BG930,AU$4:AU930,"="&amp;AU930,AY$4:AY930,"="&amp;AY930)</f>
        <v>1085</v>
      </c>
      <c r="BI930" s="25" t="s">
        <v>1158</v>
      </c>
      <c r="BJ930" s="14">
        <f t="shared" si="266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8"/>
        <v>12</v>
      </c>
      <c r="AV931" s="14">
        <f t="shared" si="259"/>
        <v>201405</v>
      </c>
      <c r="AW931" s="14">
        <f t="shared" si="260"/>
        <v>1102014</v>
      </c>
      <c r="AX931" s="13" t="s">
        <v>1127</v>
      </c>
      <c r="AY931" s="13">
        <f t="shared" si="261"/>
        <v>5</v>
      </c>
      <c r="AZ931" s="13" t="s">
        <v>1148</v>
      </c>
      <c r="BA931" s="14">
        <f t="shared" si="262"/>
        <v>7</v>
      </c>
      <c r="BB931" s="14" t="str">
        <f t="shared" si="263"/>
        <v>石灵明魂珠-5 等级-7</v>
      </c>
      <c r="BC931" s="25" t="s">
        <v>1156</v>
      </c>
      <c r="BD931" s="14">
        <f t="shared" si="264"/>
        <v>800</v>
      </c>
      <c r="BE931" s="14">
        <f>SUMIFS(BD$4:BD931,$AU$4:$AU931,"="&amp;$AU931,$AY$4:$AY931,"="&amp;$AY931)</f>
        <v>2970</v>
      </c>
      <c r="BF931" s="25" t="s">
        <v>1157</v>
      </c>
      <c r="BG931" s="14">
        <f t="shared" si="265"/>
        <v>400</v>
      </c>
      <c r="BH931" s="14">
        <f>SUMIFS(BG$4:BG931,AU$4:AU931,"="&amp;AU931,AY$4:AY931,"="&amp;AY931)</f>
        <v>1485</v>
      </c>
      <c r="BI931" s="25" t="s">
        <v>1158</v>
      </c>
      <c r="BJ931" s="14">
        <f t="shared" si="266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8"/>
        <v>12</v>
      </c>
      <c r="AV932" s="14">
        <f t="shared" si="259"/>
        <v>201405</v>
      </c>
      <c r="AW932" s="14">
        <f t="shared" si="260"/>
        <v>1102014</v>
      </c>
      <c r="AX932" s="13" t="s">
        <v>1127</v>
      </c>
      <c r="AY932" s="13">
        <f t="shared" si="261"/>
        <v>5</v>
      </c>
      <c r="AZ932" s="13" t="s">
        <v>1148</v>
      </c>
      <c r="BA932" s="14">
        <f t="shared" si="262"/>
        <v>8</v>
      </c>
      <c r="BB932" s="14" t="str">
        <f t="shared" si="263"/>
        <v>石灵明魂珠-5 等级-8</v>
      </c>
      <c r="BC932" s="25" t="s">
        <v>1156</v>
      </c>
      <c r="BD932" s="14">
        <f t="shared" si="264"/>
        <v>950</v>
      </c>
      <c r="BE932" s="14">
        <f>SUMIFS(BD$4:BD932,$AU$4:$AU932,"="&amp;$AU932,$AY$4:$AY932,"="&amp;$AY932)</f>
        <v>3920</v>
      </c>
      <c r="BF932" s="25" t="s">
        <v>1157</v>
      </c>
      <c r="BG932" s="14">
        <f t="shared" si="265"/>
        <v>475</v>
      </c>
      <c r="BH932" s="14">
        <f>SUMIFS(BG$4:BG932,AU$4:AU932,"="&amp;AU932,AY$4:AY932,"="&amp;AY932)</f>
        <v>1960</v>
      </c>
      <c r="BI932" s="25" t="s">
        <v>1158</v>
      </c>
      <c r="BJ932" s="14">
        <f t="shared" si="266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8"/>
        <v>12</v>
      </c>
      <c r="AV933" s="14">
        <f t="shared" si="259"/>
        <v>201405</v>
      </c>
      <c r="AW933" s="14">
        <f t="shared" si="260"/>
        <v>1102014</v>
      </c>
      <c r="AX933" s="13" t="s">
        <v>1127</v>
      </c>
      <c r="AY933" s="13">
        <f t="shared" si="261"/>
        <v>5</v>
      </c>
      <c r="AZ933" s="13" t="s">
        <v>1148</v>
      </c>
      <c r="BA933" s="14">
        <f t="shared" si="262"/>
        <v>9</v>
      </c>
      <c r="BB933" s="14" t="str">
        <f t="shared" si="263"/>
        <v>石灵明魂珠-5 等级-9</v>
      </c>
      <c r="BC933" s="25" t="s">
        <v>1156</v>
      </c>
      <c r="BD933" s="14">
        <f t="shared" si="264"/>
        <v>1100</v>
      </c>
      <c r="BE933" s="14">
        <f>SUMIFS(BD$4:BD933,$AU$4:$AU933,"="&amp;$AU933,$AY$4:$AY933,"="&amp;$AY933)</f>
        <v>5020</v>
      </c>
      <c r="BF933" s="25" t="s">
        <v>1157</v>
      </c>
      <c r="BG933" s="14">
        <f t="shared" si="265"/>
        <v>550</v>
      </c>
      <c r="BH933" s="14">
        <f>SUMIFS(BG$4:BG933,AU$4:AU933,"="&amp;AU933,AY$4:AY933,"="&amp;AY933)</f>
        <v>2510</v>
      </c>
      <c r="BI933" s="25" t="s">
        <v>1158</v>
      </c>
      <c r="BJ933" s="14">
        <f t="shared" si="266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8"/>
        <v>12</v>
      </c>
      <c r="AV934" s="14">
        <f t="shared" si="259"/>
        <v>201406</v>
      </c>
      <c r="AW934" s="14">
        <f t="shared" si="260"/>
        <v>1102014</v>
      </c>
      <c r="AX934" s="13" t="s">
        <v>1127</v>
      </c>
      <c r="AY934" s="13">
        <f t="shared" si="261"/>
        <v>6</v>
      </c>
      <c r="AZ934" s="13" t="s">
        <v>1148</v>
      </c>
      <c r="BA934" s="14">
        <f t="shared" si="262"/>
        <v>0</v>
      </c>
      <c r="BB934" s="14" t="str">
        <f t="shared" si="263"/>
        <v>石灵明魂珠-6 等级-0</v>
      </c>
      <c r="BC934" s="25" t="s">
        <v>1156</v>
      </c>
      <c r="BD934" s="14">
        <f t="shared" si="264"/>
        <v>0</v>
      </c>
      <c r="BE934" s="14">
        <f>SUMIFS(BD$4:BD934,$AU$4:$AU934,"="&amp;$AU934,$AY$4:$AY934,"="&amp;$AY934)</f>
        <v>0</v>
      </c>
      <c r="BF934" s="25" t="s">
        <v>1157</v>
      </c>
      <c r="BG934" s="14">
        <f t="shared" si="265"/>
        <v>0</v>
      </c>
      <c r="BH934" s="14">
        <f>SUMIFS(BG$4:BG934,AU$4:AU934,"="&amp;AU934,AY$4:AY934,"="&amp;AY934)</f>
        <v>0</v>
      </c>
      <c r="BI934" s="25" t="s">
        <v>1158</v>
      </c>
      <c r="BJ934" s="14">
        <f t="shared" si="266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8"/>
        <v>12</v>
      </c>
      <c r="AV935" s="14">
        <f t="shared" si="259"/>
        <v>201406</v>
      </c>
      <c r="AW935" s="14">
        <f t="shared" si="260"/>
        <v>1102014</v>
      </c>
      <c r="AX935" s="13" t="s">
        <v>1127</v>
      </c>
      <c r="AY935" s="13">
        <f t="shared" si="261"/>
        <v>6</v>
      </c>
      <c r="AZ935" s="13" t="s">
        <v>1148</v>
      </c>
      <c r="BA935" s="14">
        <f t="shared" si="262"/>
        <v>1</v>
      </c>
      <c r="BB935" s="14" t="str">
        <f t="shared" si="263"/>
        <v>石灵明魂珠-6 等级-1</v>
      </c>
      <c r="BC935" s="25" t="s">
        <v>1156</v>
      </c>
      <c r="BD935" s="14">
        <f t="shared" si="264"/>
        <v>180</v>
      </c>
      <c r="BE935" s="14">
        <f>SUMIFS(BD$4:BD935,$AU$4:$AU935,"="&amp;$AU935,$AY$4:$AY935,"="&amp;$AY935)</f>
        <v>180</v>
      </c>
      <c r="BF935" s="25" t="s">
        <v>1157</v>
      </c>
      <c r="BG935" s="14">
        <f t="shared" si="265"/>
        <v>90</v>
      </c>
      <c r="BH935" s="14">
        <f>SUMIFS(BG$4:BG935,AU$4:AU935,"="&amp;AU935,AY$4:AY935,"="&amp;AY935)</f>
        <v>90</v>
      </c>
      <c r="BI935" s="25" t="s">
        <v>1158</v>
      </c>
      <c r="BJ935" s="14">
        <f t="shared" si="266"/>
        <v>3600</v>
      </c>
      <c r="BK935" s="14">
        <f>SUMIFS(BJ$4:BJ935,$AU$4:$AU935,"="&amp;$AU935,$AY$4:$AY935,"="&amp;$AY935)</f>
        <v>3600</v>
      </c>
    </row>
    <row r="936" spans="46:63" ht="16.5" x14ac:dyDescent="0.2">
      <c r="AT936" s="13">
        <v>933</v>
      </c>
      <c r="AU936" s="13">
        <f t="shared" si="258"/>
        <v>12</v>
      </c>
      <c r="AV936" s="14">
        <f t="shared" si="259"/>
        <v>201406</v>
      </c>
      <c r="AW936" s="14">
        <f t="shared" si="260"/>
        <v>1102014</v>
      </c>
      <c r="AX936" s="13" t="s">
        <v>1127</v>
      </c>
      <c r="AY936" s="13">
        <f t="shared" si="261"/>
        <v>6</v>
      </c>
      <c r="AZ936" s="13" t="s">
        <v>1148</v>
      </c>
      <c r="BA936" s="14">
        <f t="shared" si="262"/>
        <v>2</v>
      </c>
      <c r="BB936" s="14" t="str">
        <f t="shared" si="263"/>
        <v>石灵明魂珠-6 等级-2</v>
      </c>
      <c r="BC936" s="25" t="s">
        <v>1156</v>
      </c>
      <c r="BD936" s="14">
        <f t="shared" si="264"/>
        <v>280</v>
      </c>
      <c r="BE936" s="14">
        <f>SUMIFS(BD$4:BD936,$AU$4:$AU936,"="&amp;$AU936,$AY$4:$AY936,"="&amp;$AY936)</f>
        <v>460</v>
      </c>
      <c r="BF936" s="25" t="s">
        <v>1157</v>
      </c>
      <c r="BG936" s="14">
        <f t="shared" si="265"/>
        <v>140</v>
      </c>
      <c r="BH936" s="14">
        <f>SUMIFS(BG$4:BG936,AU$4:AU936,"="&amp;AU936,AY$4:AY936,"="&amp;AY936)</f>
        <v>230</v>
      </c>
      <c r="BI936" s="25" t="s">
        <v>1158</v>
      </c>
      <c r="BJ936" s="14">
        <f t="shared" si="266"/>
        <v>5600</v>
      </c>
      <c r="BK936" s="14">
        <f>SUMIFS(BJ$4:BJ936,$AU$4:$AU936,"="&amp;$AU936,$AY$4:$AY936,"="&amp;$AY936)</f>
        <v>9200</v>
      </c>
    </row>
    <row r="937" spans="46:63" ht="16.5" x14ac:dyDescent="0.2">
      <c r="AT937" s="13">
        <v>934</v>
      </c>
      <c r="AU937" s="13">
        <f t="shared" si="258"/>
        <v>12</v>
      </c>
      <c r="AV937" s="14">
        <f t="shared" si="259"/>
        <v>201406</v>
      </c>
      <c r="AW937" s="14">
        <f t="shared" si="260"/>
        <v>1102014</v>
      </c>
      <c r="AX937" s="13" t="s">
        <v>1127</v>
      </c>
      <c r="AY937" s="13">
        <f t="shared" si="261"/>
        <v>6</v>
      </c>
      <c r="AZ937" s="13" t="s">
        <v>1148</v>
      </c>
      <c r="BA937" s="14">
        <f t="shared" si="262"/>
        <v>3</v>
      </c>
      <c r="BB937" s="14" t="str">
        <f t="shared" si="263"/>
        <v>石灵明魂珠-6 等级-3</v>
      </c>
      <c r="BC937" s="25" t="s">
        <v>1156</v>
      </c>
      <c r="BD937" s="14">
        <f t="shared" si="264"/>
        <v>375</v>
      </c>
      <c r="BE937" s="14">
        <f>SUMIFS(BD$4:BD937,$AU$4:$AU937,"="&amp;$AU937,$AY$4:$AY937,"="&amp;$AY937)</f>
        <v>835</v>
      </c>
      <c r="BF937" s="25" t="s">
        <v>1157</v>
      </c>
      <c r="BG937" s="14">
        <f t="shared" si="265"/>
        <v>188</v>
      </c>
      <c r="BH937" s="14">
        <f>SUMIFS(BG$4:BG937,AU$4:AU937,"="&amp;AU937,AY$4:AY937,"="&amp;AY937)</f>
        <v>418</v>
      </c>
      <c r="BI937" s="25" t="s">
        <v>1158</v>
      </c>
      <c r="BJ937" s="14">
        <f t="shared" si="266"/>
        <v>7500</v>
      </c>
      <c r="BK937" s="14">
        <f>SUMIFS(BJ$4:BJ937,$AU$4:$AU937,"="&amp;$AU937,$AY$4:$AY937,"="&amp;$AY937)</f>
        <v>16700</v>
      </c>
    </row>
    <row r="938" spans="46:63" ht="16.5" x14ac:dyDescent="0.2">
      <c r="AT938" s="13">
        <v>935</v>
      </c>
      <c r="AU938" s="13">
        <f t="shared" si="258"/>
        <v>12</v>
      </c>
      <c r="AV938" s="14">
        <f t="shared" si="259"/>
        <v>201406</v>
      </c>
      <c r="AW938" s="14">
        <f t="shared" si="260"/>
        <v>1102014</v>
      </c>
      <c r="AX938" s="13" t="s">
        <v>1127</v>
      </c>
      <c r="AY938" s="13">
        <f t="shared" si="261"/>
        <v>6</v>
      </c>
      <c r="AZ938" s="13" t="s">
        <v>1148</v>
      </c>
      <c r="BA938" s="14">
        <f t="shared" si="262"/>
        <v>4</v>
      </c>
      <c r="BB938" s="14" t="str">
        <f t="shared" si="263"/>
        <v>石灵明魂珠-6 等级-4</v>
      </c>
      <c r="BC938" s="25" t="s">
        <v>1156</v>
      </c>
      <c r="BD938" s="14">
        <f t="shared" si="264"/>
        <v>560</v>
      </c>
      <c r="BE938" s="14">
        <f>SUMIFS(BD$4:BD938,$AU$4:$AU938,"="&amp;$AU938,$AY$4:$AY938,"="&amp;$AY938)</f>
        <v>1395</v>
      </c>
      <c r="BF938" s="25" t="s">
        <v>1157</v>
      </c>
      <c r="BG938" s="14">
        <f t="shared" si="265"/>
        <v>280</v>
      </c>
      <c r="BH938" s="14">
        <f>SUMIFS(BG$4:BG938,AU$4:AU938,"="&amp;AU938,AY$4:AY938,"="&amp;AY938)</f>
        <v>698</v>
      </c>
      <c r="BI938" s="25" t="s">
        <v>1158</v>
      </c>
      <c r="BJ938" s="14">
        <f t="shared" si="266"/>
        <v>11200</v>
      </c>
      <c r="BK938" s="14">
        <f>SUMIFS(BJ$4:BJ938,$AU$4:$AU938,"="&amp;$AU938,$AY$4:$AY938,"="&amp;$AY938)</f>
        <v>27900</v>
      </c>
    </row>
    <row r="939" spans="46:63" ht="16.5" x14ac:dyDescent="0.2">
      <c r="AT939" s="13">
        <v>936</v>
      </c>
      <c r="AU939" s="13">
        <f t="shared" si="258"/>
        <v>12</v>
      </c>
      <c r="AV939" s="14">
        <f t="shared" si="259"/>
        <v>201406</v>
      </c>
      <c r="AW939" s="14">
        <f t="shared" si="260"/>
        <v>1102014</v>
      </c>
      <c r="AX939" s="13" t="s">
        <v>1127</v>
      </c>
      <c r="AY939" s="13">
        <f t="shared" si="261"/>
        <v>6</v>
      </c>
      <c r="AZ939" s="13" t="s">
        <v>1148</v>
      </c>
      <c r="BA939" s="14">
        <f t="shared" si="262"/>
        <v>5</v>
      </c>
      <c r="BB939" s="14" t="str">
        <f t="shared" si="263"/>
        <v>石灵明魂珠-6 等级-5</v>
      </c>
      <c r="BC939" s="25" t="s">
        <v>1156</v>
      </c>
      <c r="BD939" s="14">
        <f t="shared" si="264"/>
        <v>750</v>
      </c>
      <c r="BE939" s="14">
        <f>SUMIFS(BD$4:BD939,$AU$4:$AU939,"="&amp;$AU939,$AY$4:$AY939,"="&amp;$AY939)</f>
        <v>2145</v>
      </c>
      <c r="BF939" s="25" t="s">
        <v>1157</v>
      </c>
      <c r="BG939" s="14">
        <f t="shared" si="265"/>
        <v>375</v>
      </c>
      <c r="BH939" s="14">
        <f>SUMIFS(BG$4:BG939,AU$4:AU939,"="&amp;AU939,AY$4:AY939,"="&amp;AY939)</f>
        <v>1073</v>
      </c>
      <c r="BI939" s="25" t="s">
        <v>1158</v>
      </c>
      <c r="BJ939" s="14">
        <f t="shared" si="266"/>
        <v>15000</v>
      </c>
      <c r="BK939" s="14">
        <f>SUMIFS(BJ$4:BJ939,$AU$4:$AU939,"="&amp;$AU939,$AY$4:$AY939,"="&amp;$AY939)</f>
        <v>42900</v>
      </c>
    </row>
    <row r="940" spans="46:63" ht="16.5" x14ac:dyDescent="0.2">
      <c r="AT940" s="13">
        <v>937</v>
      </c>
      <c r="AU940" s="13">
        <f t="shared" si="258"/>
        <v>12</v>
      </c>
      <c r="AV940" s="14">
        <f t="shared" si="259"/>
        <v>201406</v>
      </c>
      <c r="AW940" s="14">
        <f t="shared" si="260"/>
        <v>1102014</v>
      </c>
      <c r="AX940" s="13" t="s">
        <v>1127</v>
      </c>
      <c r="AY940" s="13">
        <f t="shared" si="261"/>
        <v>6</v>
      </c>
      <c r="AZ940" s="13" t="s">
        <v>1148</v>
      </c>
      <c r="BA940" s="14">
        <f t="shared" si="262"/>
        <v>6</v>
      </c>
      <c r="BB940" s="14" t="str">
        <f t="shared" si="263"/>
        <v>石灵明魂珠-6 等级-6</v>
      </c>
      <c r="BC940" s="25" t="s">
        <v>1156</v>
      </c>
      <c r="BD940" s="14">
        <f t="shared" si="264"/>
        <v>950</v>
      </c>
      <c r="BE940" s="14">
        <f>SUMIFS(BD$4:BD940,$AU$4:$AU940,"="&amp;$AU940,$AY$4:$AY940,"="&amp;$AY940)</f>
        <v>3095</v>
      </c>
      <c r="BF940" s="25" t="s">
        <v>1157</v>
      </c>
      <c r="BG940" s="14">
        <f t="shared" si="265"/>
        <v>475</v>
      </c>
      <c r="BH940" s="14">
        <f>SUMIFS(BG$4:BG940,AU$4:AU940,"="&amp;AU940,AY$4:AY940,"="&amp;AY940)</f>
        <v>1548</v>
      </c>
      <c r="BI940" s="25" t="s">
        <v>1158</v>
      </c>
      <c r="BJ940" s="14">
        <f t="shared" si="266"/>
        <v>19000</v>
      </c>
      <c r="BK940" s="14">
        <f>SUMIFS(BJ$4:BJ940,$AU$4:$AU940,"="&amp;$AU940,$AY$4:$AY940,"="&amp;$AY940)</f>
        <v>61900</v>
      </c>
    </row>
    <row r="941" spans="46:63" ht="16.5" x14ac:dyDescent="0.2">
      <c r="AT941" s="13">
        <v>938</v>
      </c>
      <c r="AU941" s="13">
        <f t="shared" si="258"/>
        <v>12</v>
      </c>
      <c r="AV941" s="14">
        <f t="shared" si="259"/>
        <v>201406</v>
      </c>
      <c r="AW941" s="14">
        <f t="shared" si="260"/>
        <v>1102014</v>
      </c>
      <c r="AX941" s="13" t="s">
        <v>1127</v>
      </c>
      <c r="AY941" s="13">
        <f t="shared" si="261"/>
        <v>6</v>
      </c>
      <c r="AZ941" s="13" t="s">
        <v>1148</v>
      </c>
      <c r="BA941" s="14">
        <f t="shared" si="262"/>
        <v>7</v>
      </c>
      <c r="BB941" s="14" t="str">
        <f t="shared" si="263"/>
        <v>石灵明魂珠-6 等级-7</v>
      </c>
      <c r="BC941" s="25" t="s">
        <v>1156</v>
      </c>
      <c r="BD941" s="14">
        <f t="shared" si="264"/>
        <v>1150</v>
      </c>
      <c r="BE941" s="14">
        <f>SUMIFS(BD$4:BD941,$AU$4:$AU941,"="&amp;$AU941,$AY$4:$AY941,"="&amp;$AY941)</f>
        <v>4245</v>
      </c>
      <c r="BF941" s="25" t="s">
        <v>1157</v>
      </c>
      <c r="BG941" s="14">
        <f t="shared" si="265"/>
        <v>575</v>
      </c>
      <c r="BH941" s="14">
        <f>SUMIFS(BG$4:BG941,AU$4:AU941,"="&amp;AU941,AY$4:AY941,"="&amp;AY941)</f>
        <v>2123</v>
      </c>
      <c r="BI941" s="25" t="s">
        <v>1158</v>
      </c>
      <c r="BJ941" s="14">
        <f t="shared" si="266"/>
        <v>23000</v>
      </c>
      <c r="BK941" s="14">
        <f>SUMIFS(BJ$4:BJ941,$AU$4:$AU941,"="&amp;$AU941,$AY$4:$AY941,"="&amp;$AY941)</f>
        <v>84900</v>
      </c>
    </row>
    <row r="942" spans="46:63" ht="16.5" x14ac:dyDescent="0.2">
      <c r="AT942" s="13">
        <v>939</v>
      </c>
      <c r="AU942" s="13">
        <f t="shared" si="258"/>
        <v>12</v>
      </c>
      <c r="AV942" s="14">
        <f t="shared" si="259"/>
        <v>201406</v>
      </c>
      <c r="AW942" s="14">
        <f t="shared" si="260"/>
        <v>1102014</v>
      </c>
      <c r="AX942" s="13" t="s">
        <v>1127</v>
      </c>
      <c r="AY942" s="13">
        <f t="shared" si="261"/>
        <v>6</v>
      </c>
      <c r="AZ942" s="13" t="s">
        <v>1148</v>
      </c>
      <c r="BA942" s="14">
        <f t="shared" si="262"/>
        <v>8</v>
      </c>
      <c r="BB942" s="14" t="str">
        <f t="shared" si="263"/>
        <v>石灵明魂珠-6 等级-8</v>
      </c>
      <c r="BC942" s="25" t="s">
        <v>1156</v>
      </c>
      <c r="BD942" s="14">
        <f t="shared" si="264"/>
        <v>1300</v>
      </c>
      <c r="BE942" s="14">
        <f>SUMIFS(BD$4:BD942,$AU$4:$AU942,"="&amp;$AU942,$AY$4:$AY942,"="&amp;$AY942)</f>
        <v>5545</v>
      </c>
      <c r="BF942" s="25" t="s">
        <v>1157</v>
      </c>
      <c r="BG942" s="14">
        <f t="shared" si="265"/>
        <v>650</v>
      </c>
      <c r="BH942" s="14">
        <f>SUMIFS(BG$4:BG942,AU$4:AU942,"="&amp;AU942,AY$4:AY942,"="&amp;AY942)</f>
        <v>2773</v>
      </c>
      <c r="BI942" s="25" t="s">
        <v>1158</v>
      </c>
      <c r="BJ942" s="14">
        <f t="shared" si="266"/>
        <v>26000</v>
      </c>
      <c r="BK942" s="14">
        <f>SUMIFS(BJ$4:BJ942,$AU$4:$AU942,"="&amp;$AU942,$AY$4:$AY942,"="&amp;$AY942)</f>
        <v>110900</v>
      </c>
    </row>
    <row r="943" spans="46:63" ht="16.5" x14ac:dyDescent="0.2">
      <c r="AT943" s="13">
        <v>940</v>
      </c>
      <c r="AU943" s="13">
        <f t="shared" si="258"/>
        <v>12</v>
      </c>
      <c r="AV943" s="14">
        <f t="shared" si="259"/>
        <v>201406</v>
      </c>
      <c r="AW943" s="14">
        <f t="shared" si="260"/>
        <v>1102014</v>
      </c>
      <c r="AX943" s="13" t="s">
        <v>1127</v>
      </c>
      <c r="AY943" s="13">
        <f t="shared" si="261"/>
        <v>6</v>
      </c>
      <c r="AZ943" s="13" t="s">
        <v>1148</v>
      </c>
      <c r="BA943" s="14">
        <f t="shared" si="262"/>
        <v>9</v>
      </c>
      <c r="BB943" s="14" t="str">
        <f t="shared" si="263"/>
        <v>石灵明魂珠-6 等级-9</v>
      </c>
      <c r="BC943" s="25" t="s">
        <v>1156</v>
      </c>
      <c r="BD943" s="14">
        <f t="shared" si="264"/>
        <v>1500</v>
      </c>
      <c r="BE943" s="14">
        <f>SUMIFS(BD$4:BD943,$AU$4:$AU943,"="&amp;$AU943,$AY$4:$AY943,"="&amp;$AY943)</f>
        <v>7045</v>
      </c>
      <c r="BF943" s="25" t="s">
        <v>1157</v>
      </c>
      <c r="BG943" s="14">
        <f t="shared" si="265"/>
        <v>750</v>
      </c>
      <c r="BH943" s="14">
        <f>SUMIFS(BG$4:BG943,AU$4:AU943,"="&amp;AU943,AY$4:AY943,"="&amp;AY943)</f>
        <v>3523</v>
      </c>
      <c r="BI943" s="25" t="s">
        <v>1158</v>
      </c>
      <c r="BJ943" s="14">
        <f t="shared" si="266"/>
        <v>30000</v>
      </c>
      <c r="BK943" s="14">
        <f>SUMIFS(BJ$4:BJ943,$AU$4:$AU943,"="&amp;$AU943,$AY$4:$AY943,"="&amp;$AY943)</f>
        <v>140900</v>
      </c>
    </row>
    <row r="944" spans="46:63" ht="16.5" x14ac:dyDescent="0.2">
      <c r="AT944" s="13">
        <v>941</v>
      </c>
      <c r="AU944" s="13">
        <f t="shared" si="258"/>
        <v>12</v>
      </c>
      <c r="AV944" s="14">
        <f t="shared" si="259"/>
        <v>201407</v>
      </c>
      <c r="AW944" s="14">
        <f t="shared" si="260"/>
        <v>1102014</v>
      </c>
      <c r="AX944" s="13" t="s">
        <v>1127</v>
      </c>
      <c r="AY944" s="13">
        <f t="shared" si="261"/>
        <v>7</v>
      </c>
      <c r="AZ944" s="13" t="s">
        <v>1148</v>
      </c>
      <c r="BA944" s="14">
        <f t="shared" si="262"/>
        <v>0</v>
      </c>
      <c r="BB944" s="14" t="str">
        <f t="shared" si="263"/>
        <v>石灵明魂珠-7 等级-0</v>
      </c>
      <c r="BC944" s="25" t="s">
        <v>1156</v>
      </c>
      <c r="BD944" s="14">
        <f t="shared" si="264"/>
        <v>0</v>
      </c>
      <c r="BE944" s="14">
        <f>SUMIFS(BD$4:BD944,$AU$4:$AU944,"="&amp;$AU944,$AY$4:$AY944,"="&amp;$AY944)</f>
        <v>0</v>
      </c>
      <c r="BF944" s="25" t="s">
        <v>1157</v>
      </c>
      <c r="BG944" s="14">
        <f t="shared" si="265"/>
        <v>0</v>
      </c>
      <c r="BH944" s="14">
        <f>SUMIFS(BG$4:BG944,AU$4:AU944,"="&amp;AU944,AY$4:AY944,"="&amp;AY944)</f>
        <v>0</v>
      </c>
      <c r="BI944" s="25" t="s">
        <v>1158</v>
      </c>
      <c r="BJ944" s="14">
        <f t="shared" si="266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8"/>
        <v>12</v>
      </c>
      <c r="AV945" s="14">
        <f t="shared" si="259"/>
        <v>201407</v>
      </c>
      <c r="AW945" s="14">
        <f t="shared" si="260"/>
        <v>1102014</v>
      </c>
      <c r="AX945" s="13" t="s">
        <v>1127</v>
      </c>
      <c r="AY945" s="13">
        <f t="shared" si="261"/>
        <v>7</v>
      </c>
      <c r="AZ945" s="13" t="s">
        <v>1148</v>
      </c>
      <c r="BA945" s="14">
        <f t="shared" si="262"/>
        <v>1</v>
      </c>
      <c r="BB945" s="14" t="str">
        <f t="shared" si="263"/>
        <v>石灵明魂珠-7 等级-1</v>
      </c>
      <c r="BC945" s="25" t="s">
        <v>1156</v>
      </c>
      <c r="BD945" s="14">
        <f t="shared" si="264"/>
        <v>240</v>
      </c>
      <c r="BE945" s="14">
        <f>SUMIFS(BD$4:BD945,$AU$4:$AU945,"="&amp;$AU945,$AY$4:$AY945,"="&amp;$AY945)</f>
        <v>240</v>
      </c>
      <c r="BF945" s="25" t="s">
        <v>1157</v>
      </c>
      <c r="BG945" s="14">
        <f t="shared" si="265"/>
        <v>120</v>
      </c>
      <c r="BH945" s="14">
        <f>SUMIFS(BG$4:BG945,AU$4:AU945,"="&amp;AU945,AY$4:AY945,"="&amp;AY945)</f>
        <v>120</v>
      </c>
      <c r="BI945" s="25" t="s">
        <v>1158</v>
      </c>
      <c r="BJ945" s="14">
        <f t="shared" si="266"/>
        <v>4800</v>
      </c>
      <c r="BK945" s="14">
        <f>SUMIFS(BJ$4:BJ945,$AU$4:$AU945,"="&amp;$AU945,$AY$4:$AY945,"="&amp;$AY945)</f>
        <v>4800</v>
      </c>
    </row>
    <row r="946" spans="46:63" ht="16.5" x14ac:dyDescent="0.2">
      <c r="AT946" s="13">
        <v>943</v>
      </c>
      <c r="AU946" s="13">
        <f t="shared" si="258"/>
        <v>12</v>
      </c>
      <c r="AV946" s="14">
        <f t="shared" si="259"/>
        <v>201407</v>
      </c>
      <c r="AW946" s="14">
        <f t="shared" si="260"/>
        <v>1102014</v>
      </c>
      <c r="AX946" s="13" t="s">
        <v>1127</v>
      </c>
      <c r="AY946" s="13">
        <f t="shared" si="261"/>
        <v>7</v>
      </c>
      <c r="AZ946" s="13" t="s">
        <v>1148</v>
      </c>
      <c r="BA946" s="14">
        <f t="shared" si="262"/>
        <v>2</v>
      </c>
      <c r="BB946" s="14" t="str">
        <f t="shared" si="263"/>
        <v>石灵明魂珠-7 等级-2</v>
      </c>
      <c r="BC946" s="25" t="s">
        <v>1156</v>
      </c>
      <c r="BD946" s="14">
        <f t="shared" si="264"/>
        <v>360</v>
      </c>
      <c r="BE946" s="14">
        <f>SUMIFS(BD$4:BD946,$AU$4:$AU946,"="&amp;$AU946,$AY$4:$AY946,"="&amp;$AY946)</f>
        <v>600</v>
      </c>
      <c r="BF946" s="25" t="s">
        <v>1157</v>
      </c>
      <c r="BG946" s="14">
        <f t="shared" si="265"/>
        <v>180</v>
      </c>
      <c r="BH946" s="14">
        <f>SUMIFS(BG$4:BG946,AU$4:AU946,"="&amp;AU946,AY$4:AY946,"="&amp;AY946)</f>
        <v>300</v>
      </c>
      <c r="BI946" s="25" t="s">
        <v>1158</v>
      </c>
      <c r="BJ946" s="14">
        <f t="shared" si="266"/>
        <v>7200</v>
      </c>
      <c r="BK946" s="14">
        <f>SUMIFS(BJ$4:BJ946,$AU$4:$AU946,"="&amp;$AU946,$AY$4:$AY946,"="&amp;$AY946)</f>
        <v>12000</v>
      </c>
    </row>
    <row r="947" spans="46:63" ht="16.5" x14ac:dyDescent="0.2">
      <c r="AT947" s="13">
        <v>944</v>
      </c>
      <c r="AU947" s="13">
        <f t="shared" si="258"/>
        <v>12</v>
      </c>
      <c r="AV947" s="14">
        <f t="shared" si="259"/>
        <v>201407</v>
      </c>
      <c r="AW947" s="14">
        <f t="shared" si="260"/>
        <v>1102014</v>
      </c>
      <c r="AX947" s="13" t="s">
        <v>1127</v>
      </c>
      <c r="AY947" s="13">
        <f t="shared" si="261"/>
        <v>7</v>
      </c>
      <c r="AZ947" s="13" t="s">
        <v>1148</v>
      </c>
      <c r="BA947" s="14">
        <f t="shared" si="262"/>
        <v>3</v>
      </c>
      <c r="BB947" s="14" t="str">
        <f t="shared" si="263"/>
        <v>石灵明魂珠-7 等级-3</v>
      </c>
      <c r="BC947" s="25" t="s">
        <v>1156</v>
      </c>
      <c r="BD947" s="14">
        <f t="shared" si="264"/>
        <v>480</v>
      </c>
      <c r="BE947" s="14">
        <f>SUMIFS(BD$4:BD947,$AU$4:$AU947,"="&amp;$AU947,$AY$4:$AY947,"="&amp;$AY947)</f>
        <v>1080</v>
      </c>
      <c r="BF947" s="25" t="s">
        <v>1157</v>
      </c>
      <c r="BG947" s="14">
        <f t="shared" si="265"/>
        <v>240</v>
      </c>
      <c r="BH947" s="14">
        <f>SUMIFS(BG$4:BG947,AU$4:AU947,"="&amp;AU947,AY$4:AY947,"="&amp;AY947)</f>
        <v>540</v>
      </c>
      <c r="BI947" s="25" t="s">
        <v>1158</v>
      </c>
      <c r="BJ947" s="14">
        <f t="shared" si="266"/>
        <v>9600</v>
      </c>
      <c r="BK947" s="14">
        <f>SUMIFS(BJ$4:BJ947,$AU$4:$AU947,"="&amp;$AU947,$AY$4:$AY947,"="&amp;$AY947)</f>
        <v>21600</v>
      </c>
    </row>
    <row r="948" spans="46:63" ht="16.5" x14ac:dyDescent="0.2">
      <c r="AT948" s="13">
        <v>945</v>
      </c>
      <c r="AU948" s="13">
        <f t="shared" si="258"/>
        <v>12</v>
      </c>
      <c r="AV948" s="14">
        <f t="shared" si="259"/>
        <v>201407</v>
      </c>
      <c r="AW948" s="14">
        <f t="shared" si="260"/>
        <v>1102014</v>
      </c>
      <c r="AX948" s="13" t="s">
        <v>1127</v>
      </c>
      <c r="AY948" s="13">
        <f t="shared" si="261"/>
        <v>7</v>
      </c>
      <c r="AZ948" s="13" t="s">
        <v>1148</v>
      </c>
      <c r="BA948" s="14">
        <f t="shared" si="262"/>
        <v>4</v>
      </c>
      <c r="BB948" s="14" t="str">
        <f t="shared" si="263"/>
        <v>石灵明魂珠-7 等级-4</v>
      </c>
      <c r="BC948" s="25" t="s">
        <v>1156</v>
      </c>
      <c r="BD948" s="14">
        <f t="shared" si="264"/>
        <v>720</v>
      </c>
      <c r="BE948" s="14">
        <f>SUMIFS(BD$4:BD948,$AU$4:$AU948,"="&amp;$AU948,$AY$4:$AY948,"="&amp;$AY948)</f>
        <v>1800</v>
      </c>
      <c r="BF948" s="25" t="s">
        <v>1157</v>
      </c>
      <c r="BG948" s="14">
        <f t="shared" si="265"/>
        <v>360</v>
      </c>
      <c r="BH948" s="14">
        <f>SUMIFS(BG$4:BG948,AU$4:AU948,"="&amp;AU948,AY$4:AY948,"="&amp;AY948)</f>
        <v>900</v>
      </c>
      <c r="BI948" s="25" t="s">
        <v>1158</v>
      </c>
      <c r="BJ948" s="14">
        <f t="shared" si="266"/>
        <v>14400</v>
      </c>
      <c r="BK948" s="14">
        <f>SUMIFS(BJ$4:BJ948,$AU$4:$AU948,"="&amp;$AU948,$AY$4:$AY948,"="&amp;$AY948)</f>
        <v>36000</v>
      </c>
    </row>
    <row r="949" spans="46:63" ht="16.5" x14ac:dyDescent="0.2">
      <c r="AT949" s="13">
        <v>946</v>
      </c>
      <c r="AU949" s="13">
        <f t="shared" si="258"/>
        <v>12</v>
      </c>
      <c r="AV949" s="14">
        <f t="shared" si="259"/>
        <v>201407</v>
      </c>
      <c r="AW949" s="14">
        <f t="shared" si="260"/>
        <v>1102014</v>
      </c>
      <c r="AX949" s="13" t="s">
        <v>1127</v>
      </c>
      <c r="AY949" s="13">
        <f t="shared" si="261"/>
        <v>7</v>
      </c>
      <c r="AZ949" s="13" t="s">
        <v>1148</v>
      </c>
      <c r="BA949" s="14">
        <f t="shared" si="262"/>
        <v>5</v>
      </c>
      <c r="BB949" s="14" t="str">
        <f t="shared" si="263"/>
        <v>石灵明魂珠-7 等级-5</v>
      </c>
      <c r="BC949" s="25" t="s">
        <v>1156</v>
      </c>
      <c r="BD949" s="14">
        <f t="shared" si="264"/>
        <v>960</v>
      </c>
      <c r="BE949" s="14">
        <f>SUMIFS(BD$4:BD949,$AU$4:$AU949,"="&amp;$AU949,$AY$4:$AY949,"="&amp;$AY949)</f>
        <v>2760</v>
      </c>
      <c r="BF949" s="25" t="s">
        <v>1157</v>
      </c>
      <c r="BG949" s="14">
        <f t="shared" si="265"/>
        <v>480</v>
      </c>
      <c r="BH949" s="14">
        <f>SUMIFS(BG$4:BG949,AU$4:AU949,"="&amp;AU949,AY$4:AY949,"="&amp;AY949)</f>
        <v>1380</v>
      </c>
      <c r="BI949" s="25" t="s">
        <v>1158</v>
      </c>
      <c r="BJ949" s="14">
        <f t="shared" si="266"/>
        <v>19200</v>
      </c>
      <c r="BK949" s="14">
        <f>SUMIFS(BJ$4:BJ949,$AU$4:$AU949,"="&amp;$AU949,$AY$4:$AY949,"="&amp;$AY949)</f>
        <v>55200</v>
      </c>
    </row>
    <row r="950" spans="46:63" ht="16.5" x14ac:dyDescent="0.2">
      <c r="AT950" s="13">
        <v>947</v>
      </c>
      <c r="AU950" s="13">
        <f t="shared" si="258"/>
        <v>12</v>
      </c>
      <c r="AV950" s="14">
        <f t="shared" si="259"/>
        <v>201407</v>
      </c>
      <c r="AW950" s="14">
        <f t="shared" si="260"/>
        <v>1102014</v>
      </c>
      <c r="AX950" s="13" t="s">
        <v>1127</v>
      </c>
      <c r="AY950" s="13">
        <f t="shared" si="261"/>
        <v>7</v>
      </c>
      <c r="AZ950" s="13" t="s">
        <v>1148</v>
      </c>
      <c r="BA950" s="14">
        <f t="shared" si="262"/>
        <v>6</v>
      </c>
      <c r="BB950" s="14" t="str">
        <f t="shared" si="263"/>
        <v>石灵明魂珠-7 等级-6</v>
      </c>
      <c r="BC950" s="25" t="s">
        <v>1156</v>
      </c>
      <c r="BD950" s="14">
        <f t="shared" si="264"/>
        <v>1200</v>
      </c>
      <c r="BE950" s="14">
        <f>SUMIFS(BD$4:BD950,$AU$4:$AU950,"="&amp;$AU950,$AY$4:$AY950,"="&amp;$AY950)</f>
        <v>3960</v>
      </c>
      <c r="BF950" s="25" t="s">
        <v>1157</v>
      </c>
      <c r="BG950" s="14">
        <f t="shared" si="265"/>
        <v>600</v>
      </c>
      <c r="BH950" s="14">
        <f>SUMIFS(BG$4:BG950,AU$4:AU950,"="&amp;AU950,AY$4:AY950,"="&amp;AY950)</f>
        <v>1980</v>
      </c>
      <c r="BI950" s="25" t="s">
        <v>1158</v>
      </c>
      <c r="BJ950" s="14">
        <f t="shared" si="266"/>
        <v>24000</v>
      </c>
      <c r="BK950" s="14">
        <f>SUMIFS(BJ$4:BJ950,$AU$4:$AU950,"="&amp;$AU950,$AY$4:$AY950,"="&amp;$AY950)</f>
        <v>79200</v>
      </c>
    </row>
    <row r="951" spans="46:63" ht="16.5" x14ac:dyDescent="0.2">
      <c r="AT951" s="13">
        <v>948</v>
      </c>
      <c r="AU951" s="13">
        <f t="shared" si="258"/>
        <v>12</v>
      </c>
      <c r="AV951" s="14">
        <f t="shared" si="259"/>
        <v>201407</v>
      </c>
      <c r="AW951" s="14">
        <f t="shared" si="260"/>
        <v>1102014</v>
      </c>
      <c r="AX951" s="13" t="s">
        <v>1127</v>
      </c>
      <c r="AY951" s="13">
        <f t="shared" si="261"/>
        <v>7</v>
      </c>
      <c r="AZ951" s="13" t="s">
        <v>1148</v>
      </c>
      <c r="BA951" s="14">
        <f t="shared" si="262"/>
        <v>7</v>
      </c>
      <c r="BB951" s="14" t="str">
        <f t="shared" si="263"/>
        <v>石灵明魂珠-7 等级-7</v>
      </c>
      <c r="BC951" s="25" t="s">
        <v>1156</v>
      </c>
      <c r="BD951" s="14">
        <f t="shared" si="264"/>
        <v>1440</v>
      </c>
      <c r="BE951" s="14">
        <f>SUMIFS(BD$4:BD951,$AU$4:$AU951,"="&amp;$AU951,$AY$4:$AY951,"="&amp;$AY951)</f>
        <v>5400</v>
      </c>
      <c r="BF951" s="25" t="s">
        <v>1157</v>
      </c>
      <c r="BG951" s="14">
        <f t="shared" si="265"/>
        <v>720</v>
      </c>
      <c r="BH951" s="14">
        <f>SUMIFS(BG$4:BG951,AU$4:AU951,"="&amp;AU951,AY$4:AY951,"="&amp;AY951)</f>
        <v>2700</v>
      </c>
      <c r="BI951" s="25" t="s">
        <v>1158</v>
      </c>
      <c r="BJ951" s="14">
        <f t="shared" si="266"/>
        <v>28800</v>
      </c>
      <c r="BK951" s="14">
        <f>SUMIFS(BJ$4:BJ951,$AU$4:$AU951,"="&amp;$AU951,$AY$4:$AY951,"="&amp;$AY951)</f>
        <v>108000</v>
      </c>
    </row>
    <row r="952" spans="46:63" ht="16.5" x14ac:dyDescent="0.2">
      <c r="AT952" s="13">
        <v>949</v>
      </c>
      <c r="AU952" s="13">
        <f t="shared" si="258"/>
        <v>12</v>
      </c>
      <c r="AV952" s="14">
        <f t="shared" si="259"/>
        <v>201407</v>
      </c>
      <c r="AW952" s="14">
        <f t="shared" si="260"/>
        <v>1102014</v>
      </c>
      <c r="AX952" s="13" t="s">
        <v>1127</v>
      </c>
      <c r="AY952" s="13">
        <f t="shared" si="261"/>
        <v>7</v>
      </c>
      <c r="AZ952" s="13" t="s">
        <v>1148</v>
      </c>
      <c r="BA952" s="14">
        <f t="shared" si="262"/>
        <v>8</v>
      </c>
      <c r="BB952" s="14" t="str">
        <f t="shared" si="263"/>
        <v>石灵明魂珠-7 等级-8</v>
      </c>
      <c r="BC952" s="25" t="s">
        <v>1156</v>
      </c>
      <c r="BD952" s="14">
        <f t="shared" si="264"/>
        <v>1680</v>
      </c>
      <c r="BE952" s="14">
        <f>SUMIFS(BD$4:BD952,$AU$4:$AU952,"="&amp;$AU952,$AY$4:$AY952,"="&amp;$AY952)</f>
        <v>7080</v>
      </c>
      <c r="BF952" s="25" t="s">
        <v>1157</v>
      </c>
      <c r="BG952" s="14">
        <f t="shared" si="265"/>
        <v>840</v>
      </c>
      <c r="BH952" s="14">
        <f>SUMIFS(BG$4:BG952,AU$4:AU952,"="&amp;AU952,AY$4:AY952,"="&amp;AY952)</f>
        <v>3540</v>
      </c>
      <c r="BI952" s="25" t="s">
        <v>1158</v>
      </c>
      <c r="BJ952" s="14">
        <f t="shared" si="266"/>
        <v>33600</v>
      </c>
      <c r="BK952" s="14">
        <f>SUMIFS(BJ$4:BJ952,$AU$4:$AU952,"="&amp;$AU952,$AY$4:$AY952,"="&amp;$AY952)</f>
        <v>141600</v>
      </c>
    </row>
    <row r="953" spans="46:63" ht="16.5" x14ac:dyDescent="0.2">
      <c r="AT953" s="13">
        <v>950</v>
      </c>
      <c r="AU953" s="13">
        <f t="shared" si="258"/>
        <v>12</v>
      </c>
      <c r="AV953" s="14">
        <f t="shared" si="259"/>
        <v>201407</v>
      </c>
      <c r="AW953" s="14">
        <f t="shared" si="260"/>
        <v>1102014</v>
      </c>
      <c r="AX953" s="13" t="s">
        <v>1127</v>
      </c>
      <c r="AY953" s="13">
        <f t="shared" si="261"/>
        <v>7</v>
      </c>
      <c r="AZ953" s="13" t="s">
        <v>1148</v>
      </c>
      <c r="BA953" s="14">
        <f t="shared" si="262"/>
        <v>9</v>
      </c>
      <c r="BB953" s="14" t="str">
        <f t="shared" si="263"/>
        <v>石灵明魂珠-7 等级-9</v>
      </c>
      <c r="BC953" s="25" t="s">
        <v>1156</v>
      </c>
      <c r="BD953" s="14">
        <f t="shared" si="264"/>
        <v>1920</v>
      </c>
      <c r="BE953" s="14">
        <f>SUMIFS(BD$4:BD953,$AU$4:$AU953,"="&amp;$AU953,$AY$4:$AY953,"="&amp;$AY953)</f>
        <v>9000</v>
      </c>
      <c r="BF953" s="25" t="s">
        <v>1157</v>
      </c>
      <c r="BG953" s="14">
        <f t="shared" si="265"/>
        <v>960</v>
      </c>
      <c r="BH953" s="14">
        <f>SUMIFS(BG$4:BG953,AU$4:AU953,"="&amp;AU953,AY$4:AY953,"="&amp;AY953)</f>
        <v>4500</v>
      </c>
      <c r="BI953" s="25" t="s">
        <v>1158</v>
      </c>
      <c r="BJ953" s="14">
        <f t="shared" si="266"/>
        <v>38400</v>
      </c>
      <c r="BK953" s="14">
        <f>SUMIFS(BJ$4:BJ953,$AU$4:$AU953,"="&amp;$AU953,$AY$4:$AY953,"="&amp;$AY953)</f>
        <v>180000</v>
      </c>
    </row>
    <row r="954" spans="46:63" ht="16.5" x14ac:dyDescent="0.2">
      <c r="AT954" s="13">
        <v>951</v>
      </c>
      <c r="AU954" s="13">
        <f t="shared" si="258"/>
        <v>12</v>
      </c>
      <c r="AV954" s="14">
        <f t="shared" si="259"/>
        <v>201408</v>
      </c>
      <c r="AW954" s="14">
        <f t="shared" si="260"/>
        <v>1102014</v>
      </c>
      <c r="AX954" s="13" t="s">
        <v>1127</v>
      </c>
      <c r="AY954" s="13">
        <f t="shared" si="261"/>
        <v>8</v>
      </c>
      <c r="AZ954" s="13" t="s">
        <v>1148</v>
      </c>
      <c r="BA954" s="14">
        <f t="shared" si="262"/>
        <v>0</v>
      </c>
      <c r="BB954" s="14" t="str">
        <f t="shared" si="263"/>
        <v>石灵明魂珠-8 等级-0</v>
      </c>
      <c r="BC954" s="25" t="s">
        <v>1156</v>
      </c>
      <c r="BD954" s="14">
        <f t="shared" si="264"/>
        <v>0</v>
      </c>
      <c r="BE954" s="14">
        <f>SUMIFS(BD$4:BD954,$AU$4:$AU954,"="&amp;$AU954,$AY$4:$AY954,"="&amp;$AY954)</f>
        <v>0</v>
      </c>
      <c r="BF954" s="25" t="s">
        <v>1157</v>
      </c>
      <c r="BG954" s="14">
        <f t="shared" si="265"/>
        <v>0</v>
      </c>
      <c r="BH954" s="14">
        <f>SUMIFS(BG$4:BG954,AU$4:AU954,"="&amp;AU954,AY$4:AY954,"="&amp;AY954)</f>
        <v>0</v>
      </c>
      <c r="BI954" s="25" t="s">
        <v>1158</v>
      </c>
      <c r="BJ954" s="14">
        <f t="shared" si="266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8"/>
        <v>12</v>
      </c>
      <c r="AV955" s="14">
        <f t="shared" si="259"/>
        <v>201408</v>
      </c>
      <c r="AW955" s="14">
        <f t="shared" si="260"/>
        <v>1102014</v>
      </c>
      <c r="AX955" s="13" t="s">
        <v>1127</v>
      </c>
      <c r="AY955" s="13">
        <f t="shared" si="261"/>
        <v>8</v>
      </c>
      <c r="AZ955" s="13" t="s">
        <v>1148</v>
      </c>
      <c r="BA955" s="14">
        <f t="shared" si="262"/>
        <v>1</v>
      </c>
      <c r="BB955" s="14" t="str">
        <f t="shared" si="263"/>
        <v>石灵明魂珠-8 等级-1</v>
      </c>
      <c r="BC955" s="25" t="s">
        <v>1156</v>
      </c>
      <c r="BD955" s="14">
        <f t="shared" si="264"/>
        <v>320</v>
      </c>
      <c r="BE955" s="14">
        <f>SUMIFS(BD$4:BD955,$AU$4:$AU955,"="&amp;$AU955,$AY$4:$AY955,"="&amp;$AY955)</f>
        <v>320</v>
      </c>
      <c r="BF955" s="25" t="s">
        <v>1157</v>
      </c>
      <c r="BG955" s="14">
        <f t="shared" si="265"/>
        <v>160</v>
      </c>
      <c r="BH955" s="14">
        <f>SUMIFS(BG$4:BG955,AU$4:AU955,"="&amp;AU955,AY$4:AY955,"="&amp;AY955)</f>
        <v>160</v>
      </c>
      <c r="BI955" s="25" t="s">
        <v>1158</v>
      </c>
      <c r="BJ955" s="14">
        <f t="shared" si="266"/>
        <v>6400</v>
      </c>
      <c r="BK955" s="14">
        <f>SUMIFS(BJ$4:BJ955,$AU$4:$AU955,"="&amp;$AU955,$AY$4:$AY955,"="&amp;$AY955)</f>
        <v>6400</v>
      </c>
    </row>
    <row r="956" spans="46:63" ht="16.5" x14ac:dyDescent="0.2">
      <c r="AT956" s="13">
        <v>953</v>
      </c>
      <c r="AU956" s="13">
        <f t="shared" si="258"/>
        <v>12</v>
      </c>
      <c r="AV956" s="14">
        <f t="shared" si="259"/>
        <v>201408</v>
      </c>
      <c r="AW956" s="14">
        <f t="shared" si="260"/>
        <v>1102014</v>
      </c>
      <c r="AX956" s="13" t="s">
        <v>1127</v>
      </c>
      <c r="AY956" s="13">
        <f t="shared" si="261"/>
        <v>8</v>
      </c>
      <c r="AZ956" s="13" t="s">
        <v>1148</v>
      </c>
      <c r="BA956" s="14">
        <f t="shared" si="262"/>
        <v>2</v>
      </c>
      <c r="BB956" s="14" t="str">
        <f t="shared" si="263"/>
        <v>石灵明魂珠-8 等级-2</v>
      </c>
      <c r="BC956" s="25" t="s">
        <v>1156</v>
      </c>
      <c r="BD956" s="14">
        <f t="shared" si="264"/>
        <v>480</v>
      </c>
      <c r="BE956" s="14">
        <f>SUMIFS(BD$4:BD956,$AU$4:$AU956,"="&amp;$AU956,$AY$4:$AY956,"="&amp;$AY956)</f>
        <v>800</v>
      </c>
      <c r="BF956" s="25" t="s">
        <v>1157</v>
      </c>
      <c r="BG956" s="14">
        <f t="shared" si="265"/>
        <v>240</v>
      </c>
      <c r="BH956" s="14">
        <f>SUMIFS(BG$4:BG956,AU$4:AU956,"="&amp;AU956,AY$4:AY956,"="&amp;AY956)</f>
        <v>400</v>
      </c>
      <c r="BI956" s="25" t="s">
        <v>1158</v>
      </c>
      <c r="BJ956" s="14">
        <f t="shared" si="266"/>
        <v>9600</v>
      </c>
      <c r="BK956" s="14">
        <f>SUMIFS(BJ$4:BJ956,$AU$4:$AU956,"="&amp;$AU956,$AY$4:$AY956,"="&amp;$AY956)</f>
        <v>16000</v>
      </c>
    </row>
    <row r="957" spans="46:63" ht="16.5" x14ac:dyDescent="0.2">
      <c r="AT957" s="13">
        <v>954</v>
      </c>
      <c r="AU957" s="13">
        <f t="shared" si="258"/>
        <v>12</v>
      </c>
      <c r="AV957" s="14">
        <f t="shared" si="259"/>
        <v>201408</v>
      </c>
      <c r="AW957" s="14">
        <f t="shared" si="260"/>
        <v>1102014</v>
      </c>
      <c r="AX957" s="13" t="s">
        <v>1127</v>
      </c>
      <c r="AY957" s="13">
        <f t="shared" si="261"/>
        <v>8</v>
      </c>
      <c r="AZ957" s="13" t="s">
        <v>1148</v>
      </c>
      <c r="BA957" s="14">
        <f t="shared" si="262"/>
        <v>3</v>
      </c>
      <c r="BB957" s="14" t="str">
        <f t="shared" si="263"/>
        <v>石灵明魂珠-8 等级-3</v>
      </c>
      <c r="BC957" s="25" t="s">
        <v>1156</v>
      </c>
      <c r="BD957" s="14">
        <f t="shared" si="264"/>
        <v>640</v>
      </c>
      <c r="BE957" s="14">
        <f>SUMIFS(BD$4:BD957,$AU$4:$AU957,"="&amp;$AU957,$AY$4:$AY957,"="&amp;$AY957)</f>
        <v>1440</v>
      </c>
      <c r="BF957" s="25" t="s">
        <v>1157</v>
      </c>
      <c r="BG957" s="14">
        <f t="shared" si="265"/>
        <v>320</v>
      </c>
      <c r="BH957" s="14">
        <f>SUMIFS(BG$4:BG957,AU$4:AU957,"="&amp;AU957,AY$4:AY957,"="&amp;AY957)</f>
        <v>720</v>
      </c>
      <c r="BI957" s="25" t="s">
        <v>1158</v>
      </c>
      <c r="BJ957" s="14">
        <f t="shared" si="266"/>
        <v>12800</v>
      </c>
      <c r="BK957" s="14">
        <f>SUMIFS(BJ$4:BJ957,$AU$4:$AU957,"="&amp;$AU957,$AY$4:$AY957,"="&amp;$AY957)</f>
        <v>28800</v>
      </c>
    </row>
    <row r="958" spans="46:63" ht="16.5" x14ac:dyDescent="0.2">
      <c r="AT958" s="13">
        <v>955</v>
      </c>
      <c r="AU958" s="13">
        <f t="shared" si="258"/>
        <v>12</v>
      </c>
      <c r="AV958" s="14">
        <f t="shared" si="259"/>
        <v>201408</v>
      </c>
      <c r="AW958" s="14">
        <f t="shared" si="260"/>
        <v>1102014</v>
      </c>
      <c r="AX958" s="13" t="s">
        <v>1127</v>
      </c>
      <c r="AY958" s="13">
        <f t="shared" si="261"/>
        <v>8</v>
      </c>
      <c r="AZ958" s="13" t="s">
        <v>1148</v>
      </c>
      <c r="BA958" s="14">
        <f t="shared" si="262"/>
        <v>4</v>
      </c>
      <c r="BB958" s="14" t="str">
        <f t="shared" si="263"/>
        <v>石灵明魂珠-8 等级-4</v>
      </c>
      <c r="BC958" s="25" t="s">
        <v>1156</v>
      </c>
      <c r="BD958" s="14">
        <f t="shared" si="264"/>
        <v>960</v>
      </c>
      <c r="BE958" s="14">
        <f>SUMIFS(BD$4:BD958,$AU$4:$AU958,"="&amp;$AU958,$AY$4:$AY958,"="&amp;$AY958)</f>
        <v>2400</v>
      </c>
      <c r="BF958" s="25" t="s">
        <v>1157</v>
      </c>
      <c r="BG958" s="14">
        <f t="shared" si="265"/>
        <v>480</v>
      </c>
      <c r="BH958" s="14">
        <f>SUMIFS(BG$4:BG958,AU$4:AU958,"="&amp;AU958,AY$4:AY958,"="&amp;AY958)</f>
        <v>1200</v>
      </c>
      <c r="BI958" s="25" t="s">
        <v>1158</v>
      </c>
      <c r="BJ958" s="14">
        <f t="shared" si="266"/>
        <v>19200</v>
      </c>
      <c r="BK958" s="14">
        <f>SUMIFS(BJ$4:BJ958,$AU$4:$AU958,"="&amp;$AU958,$AY$4:$AY958,"="&amp;$AY958)</f>
        <v>48000</v>
      </c>
    </row>
    <row r="959" spans="46:63" ht="16.5" x14ac:dyDescent="0.2">
      <c r="AT959" s="13">
        <v>956</v>
      </c>
      <c r="AU959" s="13">
        <f t="shared" si="258"/>
        <v>12</v>
      </c>
      <c r="AV959" s="14">
        <f t="shared" si="259"/>
        <v>201408</v>
      </c>
      <c r="AW959" s="14">
        <f t="shared" si="260"/>
        <v>1102014</v>
      </c>
      <c r="AX959" s="13" t="s">
        <v>1127</v>
      </c>
      <c r="AY959" s="13">
        <f t="shared" si="261"/>
        <v>8</v>
      </c>
      <c r="AZ959" s="13" t="s">
        <v>1148</v>
      </c>
      <c r="BA959" s="14">
        <f t="shared" si="262"/>
        <v>5</v>
      </c>
      <c r="BB959" s="14" t="str">
        <f t="shared" si="263"/>
        <v>石灵明魂珠-8 等级-5</v>
      </c>
      <c r="BC959" s="25" t="s">
        <v>1156</v>
      </c>
      <c r="BD959" s="14">
        <f t="shared" si="264"/>
        <v>1280</v>
      </c>
      <c r="BE959" s="14">
        <f>SUMIFS(BD$4:BD959,$AU$4:$AU959,"="&amp;$AU959,$AY$4:$AY959,"="&amp;$AY959)</f>
        <v>3680</v>
      </c>
      <c r="BF959" s="25" t="s">
        <v>1157</v>
      </c>
      <c r="BG959" s="14">
        <f t="shared" si="265"/>
        <v>640</v>
      </c>
      <c r="BH959" s="14">
        <f>SUMIFS(BG$4:BG959,AU$4:AU959,"="&amp;AU959,AY$4:AY959,"="&amp;AY959)</f>
        <v>1840</v>
      </c>
      <c r="BI959" s="25" t="s">
        <v>1158</v>
      </c>
      <c r="BJ959" s="14">
        <f t="shared" si="266"/>
        <v>25600</v>
      </c>
      <c r="BK959" s="14">
        <f>SUMIFS(BJ$4:BJ959,$AU$4:$AU959,"="&amp;$AU959,$AY$4:$AY959,"="&amp;$AY959)</f>
        <v>73600</v>
      </c>
    </row>
    <row r="960" spans="46:63" ht="16.5" x14ac:dyDescent="0.2">
      <c r="AT960" s="13">
        <v>957</v>
      </c>
      <c r="AU960" s="13">
        <f t="shared" si="258"/>
        <v>12</v>
      </c>
      <c r="AV960" s="14">
        <f t="shared" si="259"/>
        <v>201408</v>
      </c>
      <c r="AW960" s="14">
        <f t="shared" si="260"/>
        <v>1102014</v>
      </c>
      <c r="AX960" s="13" t="s">
        <v>1127</v>
      </c>
      <c r="AY960" s="13">
        <f t="shared" si="261"/>
        <v>8</v>
      </c>
      <c r="AZ960" s="13" t="s">
        <v>1148</v>
      </c>
      <c r="BA960" s="14">
        <f t="shared" si="262"/>
        <v>6</v>
      </c>
      <c r="BB960" s="14" t="str">
        <f t="shared" si="263"/>
        <v>石灵明魂珠-8 等级-6</v>
      </c>
      <c r="BC960" s="25" t="s">
        <v>1156</v>
      </c>
      <c r="BD960" s="14">
        <f t="shared" si="264"/>
        <v>1600</v>
      </c>
      <c r="BE960" s="14">
        <f>SUMIFS(BD$4:BD960,$AU$4:$AU960,"="&amp;$AU960,$AY$4:$AY960,"="&amp;$AY960)</f>
        <v>5280</v>
      </c>
      <c r="BF960" s="25" t="s">
        <v>1157</v>
      </c>
      <c r="BG960" s="14">
        <f t="shared" si="265"/>
        <v>800</v>
      </c>
      <c r="BH960" s="14">
        <f>SUMIFS(BG$4:BG960,AU$4:AU960,"="&amp;AU960,AY$4:AY960,"="&amp;AY960)</f>
        <v>2640</v>
      </c>
      <c r="BI960" s="25" t="s">
        <v>1158</v>
      </c>
      <c r="BJ960" s="14">
        <f t="shared" si="266"/>
        <v>32000</v>
      </c>
      <c r="BK960" s="14">
        <f>SUMIFS(BJ$4:BJ960,$AU$4:$AU960,"="&amp;$AU960,$AY$4:$AY960,"="&amp;$AY960)</f>
        <v>105600</v>
      </c>
    </row>
    <row r="961" spans="46:63" ht="16.5" x14ac:dyDescent="0.2">
      <c r="AT961" s="13">
        <v>958</v>
      </c>
      <c r="AU961" s="13">
        <f t="shared" si="258"/>
        <v>12</v>
      </c>
      <c r="AV961" s="14">
        <f t="shared" si="259"/>
        <v>201408</v>
      </c>
      <c r="AW961" s="14">
        <f t="shared" si="260"/>
        <v>1102014</v>
      </c>
      <c r="AX961" s="13" t="s">
        <v>1127</v>
      </c>
      <c r="AY961" s="13">
        <f t="shared" si="261"/>
        <v>8</v>
      </c>
      <c r="AZ961" s="13" t="s">
        <v>1148</v>
      </c>
      <c r="BA961" s="14">
        <f t="shared" si="262"/>
        <v>7</v>
      </c>
      <c r="BB961" s="14" t="str">
        <f t="shared" si="263"/>
        <v>石灵明魂珠-8 等级-7</v>
      </c>
      <c r="BC961" s="25" t="s">
        <v>1156</v>
      </c>
      <c r="BD961" s="14">
        <f t="shared" si="264"/>
        <v>1920</v>
      </c>
      <c r="BE961" s="14">
        <f>SUMIFS(BD$4:BD961,$AU$4:$AU961,"="&amp;$AU961,$AY$4:$AY961,"="&amp;$AY961)</f>
        <v>7200</v>
      </c>
      <c r="BF961" s="25" t="s">
        <v>1157</v>
      </c>
      <c r="BG961" s="14">
        <f t="shared" si="265"/>
        <v>960</v>
      </c>
      <c r="BH961" s="14">
        <f>SUMIFS(BG$4:BG961,AU$4:AU961,"="&amp;AU961,AY$4:AY961,"="&amp;AY961)</f>
        <v>3600</v>
      </c>
      <c r="BI961" s="25" t="s">
        <v>1158</v>
      </c>
      <c r="BJ961" s="14">
        <f t="shared" si="266"/>
        <v>38400</v>
      </c>
      <c r="BK961" s="14">
        <f>SUMIFS(BJ$4:BJ961,$AU$4:$AU961,"="&amp;$AU961,$AY$4:$AY961,"="&amp;$AY961)</f>
        <v>144000</v>
      </c>
    </row>
    <row r="962" spans="46:63" ht="16.5" x14ac:dyDescent="0.2">
      <c r="AT962" s="13">
        <v>959</v>
      </c>
      <c r="AU962" s="13">
        <f t="shared" si="258"/>
        <v>12</v>
      </c>
      <c r="AV962" s="14">
        <f t="shared" si="259"/>
        <v>201408</v>
      </c>
      <c r="AW962" s="14">
        <f t="shared" si="260"/>
        <v>1102014</v>
      </c>
      <c r="AX962" s="13" t="s">
        <v>1127</v>
      </c>
      <c r="AY962" s="13">
        <f t="shared" si="261"/>
        <v>8</v>
      </c>
      <c r="AZ962" s="13" t="s">
        <v>1148</v>
      </c>
      <c r="BA962" s="14">
        <f t="shared" si="262"/>
        <v>8</v>
      </c>
      <c r="BB962" s="14" t="str">
        <f t="shared" si="263"/>
        <v>石灵明魂珠-8 等级-8</v>
      </c>
      <c r="BC962" s="25" t="s">
        <v>1156</v>
      </c>
      <c r="BD962" s="14">
        <f t="shared" si="264"/>
        <v>2240</v>
      </c>
      <c r="BE962" s="14">
        <f>SUMIFS(BD$4:BD962,$AU$4:$AU962,"="&amp;$AU962,$AY$4:$AY962,"="&amp;$AY962)</f>
        <v>9440</v>
      </c>
      <c r="BF962" s="25" t="s">
        <v>1157</v>
      </c>
      <c r="BG962" s="14">
        <f t="shared" si="265"/>
        <v>1120</v>
      </c>
      <c r="BH962" s="14">
        <f>SUMIFS(BG$4:BG962,AU$4:AU962,"="&amp;AU962,AY$4:AY962,"="&amp;AY962)</f>
        <v>4720</v>
      </c>
      <c r="BI962" s="25" t="s">
        <v>1158</v>
      </c>
      <c r="BJ962" s="14">
        <f t="shared" si="266"/>
        <v>44800</v>
      </c>
      <c r="BK962" s="14">
        <f>SUMIFS(BJ$4:BJ962,$AU$4:$AU962,"="&amp;$AU962,$AY$4:$AY962,"="&amp;$AY962)</f>
        <v>188800</v>
      </c>
    </row>
    <row r="963" spans="46:63" ht="16.5" x14ac:dyDescent="0.2">
      <c r="AT963" s="13">
        <v>960</v>
      </c>
      <c r="AU963" s="13">
        <f t="shared" si="258"/>
        <v>12</v>
      </c>
      <c r="AV963" s="14">
        <f t="shared" si="259"/>
        <v>201408</v>
      </c>
      <c r="AW963" s="14">
        <f t="shared" si="260"/>
        <v>1102014</v>
      </c>
      <c r="AX963" s="13" t="s">
        <v>1127</v>
      </c>
      <c r="AY963" s="13">
        <f t="shared" si="261"/>
        <v>8</v>
      </c>
      <c r="AZ963" s="13" t="s">
        <v>1148</v>
      </c>
      <c r="BA963" s="14">
        <f t="shared" si="262"/>
        <v>9</v>
      </c>
      <c r="BB963" s="14" t="str">
        <f t="shared" si="263"/>
        <v>石灵明魂珠-8 等级-9</v>
      </c>
      <c r="BC963" s="25" t="s">
        <v>1156</v>
      </c>
      <c r="BD963" s="14">
        <f t="shared" si="264"/>
        <v>2560</v>
      </c>
      <c r="BE963" s="14">
        <f>SUMIFS(BD$4:BD963,$AU$4:$AU963,"="&amp;$AU963,$AY$4:$AY963,"="&amp;$AY963)</f>
        <v>12000</v>
      </c>
      <c r="BF963" s="25" t="s">
        <v>1157</v>
      </c>
      <c r="BG963" s="14">
        <f t="shared" si="265"/>
        <v>1280</v>
      </c>
      <c r="BH963" s="14">
        <f>SUMIFS(BG$4:BG963,AU$4:AU963,"="&amp;AU963,AY$4:AY963,"="&amp;AY963)</f>
        <v>6000</v>
      </c>
      <c r="BI963" s="25" t="s">
        <v>1158</v>
      </c>
      <c r="BJ963" s="14">
        <f t="shared" si="266"/>
        <v>51200</v>
      </c>
      <c r="BK963" s="14">
        <f>SUMIFS(BJ$4:BJ963,$AU$4:$AU963,"="&amp;$AU963,$AY$4:$AY963,"="&amp;$AY963)</f>
        <v>240000</v>
      </c>
    </row>
    <row r="964" spans="46:63" ht="16.5" x14ac:dyDescent="0.2">
      <c r="AT964" s="13">
        <v>961</v>
      </c>
      <c r="AU964" s="13">
        <f t="shared" si="258"/>
        <v>13</v>
      </c>
      <c r="AV964" s="14">
        <f t="shared" si="259"/>
        <v>201601</v>
      </c>
      <c r="AW964" s="14">
        <f t="shared" si="260"/>
        <v>1102016</v>
      </c>
      <c r="AX964" s="13" t="s">
        <v>1127</v>
      </c>
      <c r="AY964" s="13">
        <f t="shared" si="261"/>
        <v>1</v>
      </c>
      <c r="AZ964" s="13" t="s">
        <v>1148</v>
      </c>
      <c r="BA964" s="14">
        <f t="shared" si="262"/>
        <v>0</v>
      </c>
      <c r="BB964" s="14" t="str">
        <f t="shared" si="263"/>
        <v>西方龙魂珠-1 等级-0</v>
      </c>
      <c r="BC964" s="25" t="s">
        <v>1156</v>
      </c>
      <c r="BD964" s="14">
        <f t="shared" si="264"/>
        <v>0</v>
      </c>
      <c r="BE964" s="14">
        <f>SUMIFS(BD$4:BD964,$AU$4:$AU964,"="&amp;$AU964,$AY$4:$AY964,"="&amp;$AY964)</f>
        <v>0</v>
      </c>
      <c r="BF964" s="25" t="s">
        <v>1157</v>
      </c>
      <c r="BG964" s="14">
        <f t="shared" si="265"/>
        <v>0</v>
      </c>
      <c r="BH964" s="14">
        <f>SUMIFS(BG$4:BG964,AU$4:AU964,"="&amp;AU964,AY$4:AY964,"="&amp;AY964)</f>
        <v>0</v>
      </c>
      <c r="BI964" s="25" t="s">
        <v>1158</v>
      </c>
      <c r="BJ964" s="14">
        <f t="shared" si="266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7">INT((AT965-1)/80)+1</f>
        <v>13</v>
      </c>
      <c r="AV965" s="14">
        <f t="shared" ref="AV965:AV1028" si="268">INDEX($AJ$4:$AJ$203,(AU965-1)*8+AY965)</f>
        <v>201601</v>
      </c>
      <c r="AW965" s="14">
        <f t="shared" ref="AW965:AW1028" si="269">INDEX($W$4:$W$28,AU965)</f>
        <v>1102016</v>
      </c>
      <c r="AX965" s="13" t="s">
        <v>1127</v>
      </c>
      <c r="AY965" s="13">
        <f t="shared" ref="AY965:AY1028" si="270">INT(((AT965-(AU965-1)*80)-1)/10)+1</f>
        <v>1</v>
      </c>
      <c r="AZ965" s="13" t="s">
        <v>1148</v>
      </c>
      <c r="BA965" s="14">
        <f t="shared" ref="BA965:BA1028" si="271">AT965-(AU965-1)*80-(AY965-1)*10-1</f>
        <v>1</v>
      </c>
      <c r="BB965" s="14" t="str">
        <f t="shared" ref="BB965:BB1028" si="272">INDEX($X$4:$X$28,AU965)&amp;"魂珠-"&amp;AY965&amp;" 等级-"&amp;BA965</f>
        <v>西方龙魂珠-1 等级-1</v>
      </c>
      <c r="BC965" s="25" t="s">
        <v>1156</v>
      </c>
      <c r="BD965" s="14">
        <f t="shared" ref="BD965:BD1028" si="273">ROUND(INDEX(Q$4:Q$83,($AY965-1)*10+$BA965+1)*INDEX(AC$4:AC$28,$AU965),0)</f>
        <v>44</v>
      </c>
      <c r="BE965" s="14">
        <f>SUMIFS(BD$4:BD965,$AU$4:$AU965,"="&amp;$AU965,$AY$4:$AY965,"="&amp;$AY965)</f>
        <v>44</v>
      </c>
      <c r="BF965" s="25" t="s">
        <v>1157</v>
      </c>
      <c r="BG965" s="14">
        <f t="shared" ref="BG965:BG1028" si="274">ROUND(INDEX(R$4:R$83,($AY965-1)*10+$BA965+1)*INDEX(AD$4:AD$28,$AU965),0)</f>
        <v>24</v>
      </c>
      <c r="BH965" s="14">
        <f>SUMIFS(BG$4:BG965,AU$4:AU965,"="&amp;AU965,AY$4:AY965,"="&amp;AY965)</f>
        <v>24</v>
      </c>
      <c r="BI965" s="25" t="s">
        <v>1158</v>
      </c>
      <c r="BJ965" s="14">
        <f t="shared" ref="BJ965:BJ1028" si="275">ROUND(INDEX(S$4:S$83,($AY965-1)*10+$BA965+1)*INDEX(AE$4:AE$28,$AU965),0)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7"/>
        <v>13</v>
      </c>
      <c r="AV966" s="14">
        <f t="shared" si="268"/>
        <v>201601</v>
      </c>
      <c r="AW966" s="14">
        <f t="shared" si="269"/>
        <v>1102016</v>
      </c>
      <c r="AX966" s="13" t="s">
        <v>1127</v>
      </c>
      <c r="AY966" s="13">
        <f t="shared" si="270"/>
        <v>1</v>
      </c>
      <c r="AZ966" s="13" t="s">
        <v>1148</v>
      </c>
      <c r="BA966" s="14">
        <f t="shared" si="271"/>
        <v>2</v>
      </c>
      <c r="BB966" s="14" t="str">
        <f t="shared" si="272"/>
        <v>西方龙魂珠-1 等级-2</v>
      </c>
      <c r="BC966" s="25" t="s">
        <v>1156</v>
      </c>
      <c r="BD966" s="14">
        <f t="shared" si="273"/>
        <v>66</v>
      </c>
      <c r="BE966" s="14">
        <f>SUMIFS(BD$4:BD966,$AU$4:$AU966,"="&amp;$AU966,$AY$4:$AY966,"="&amp;$AY966)</f>
        <v>110</v>
      </c>
      <c r="BF966" s="25" t="s">
        <v>1157</v>
      </c>
      <c r="BG966" s="14">
        <f t="shared" si="274"/>
        <v>36</v>
      </c>
      <c r="BH966" s="14">
        <f>SUMIFS(BG$4:BG966,AU$4:AU966,"="&amp;AU966,AY$4:AY966,"="&amp;AY966)</f>
        <v>60</v>
      </c>
      <c r="BI966" s="25" t="s">
        <v>1158</v>
      </c>
      <c r="BJ966" s="14">
        <f t="shared" si="275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7"/>
        <v>13</v>
      </c>
      <c r="AV967" s="14">
        <f t="shared" si="268"/>
        <v>201601</v>
      </c>
      <c r="AW967" s="14">
        <f t="shared" si="269"/>
        <v>1102016</v>
      </c>
      <c r="AX967" s="13" t="s">
        <v>1127</v>
      </c>
      <c r="AY967" s="13">
        <f t="shared" si="270"/>
        <v>1</v>
      </c>
      <c r="AZ967" s="13" t="s">
        <v>1148</v>
      </c>
      <c r="BA967" s="14">
        <f t="shared" si="271"/>
        <v>3</v>
      </c>
      <c r="BB967" s="14" t="str">
        <f t="shared" si="272"/>
        <v>西方龙魂珠-1 等级-3</v>
      </c>
      <c r="BC967" s="25" t="s">
        <v>1156</v>
      </c>
      <c r="BD967" s="14">
        <f t="shared" si="273"/>
        <v>88</v>
      </c>
      <c r="BE967" s="14">
        <f>SUMIFS(BD$4:BD967,$AU$4:$AU967,"="&amp;$AU967,$AY$4:$AY967,"="&amp;$AY967)</f>
        <v>198</v>
      </c>
      <c r="BF967" s="25" t="s">
        <v>1157</v>
      </c>
      <c r="BG967" s="14">
        <f t="shared" si="274"/>
        <v>48</v>
      </c>
      <c r="BH967" s="14">
        <f>SUMIFS(BG$4:BG967,AU$4:AU967,"="&amp;AU967,AY$4:AY967,"="&amp;AY967)</f>
        <v>108</v>
      </c>
      <c r="BI967" s="25" t="s">
        <v>1158</v>
      </c>
      <c r="BJ967" s="14">
        <f t="shared" si="275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7"/>
        <v>13</v>
      </c>
      <c r="AV968" s="14">
        <f t="shared" si="268"/>
        <v>201601</v>
      </c>
      <c r="AW968" s="14">
        <f t="shared" si="269"/>
        <v>1102016</v>
      </c>
      <c r="AX968" s="13" t="s">
        <v>1127</v>
      </c>
      <c r="AY968" s="13">
        <f t="shared" si="270"/>
        <v>1</v>
      </c>
      <c r="AZ968" s="13" t="s">
        <v>1148</v>
      </c>
      <c r="BA968" s="14">
        <f t="shared" si="271"/>
        <v>4</v>
      </c>
      <c r="BB968" s="14" t="str">
        <f t="shared" si="272"/>
        <v>西方龙魂珠-1 等级-4</v>
      </c>
      <c r="BC968" s="25" t="s">
        <v>1156</v>
      </c>
      <c r="BD968" s="14">
        <f t="shared" si="273"/>
        <v>132</v>
      </c>
      <c r="BE968" s="14">
        <f>SUMIFS(BD$4:BD968,$AU$4:$AU968,"="&amp;$AU968,$AY$4:$AY968,"="&amp;$AY968)</f>
        <v>330</v>
      </c>
      <c r="BF968" s="25" t="s">
        <v>1157</v>
      </c>
      <c r="BG968" s="14">
        <f t="shared" si="274"/>
        <v>72</v>
      </c>
      <c r="BH968" s="14">
        <f>SUMIFS(BG$4:BG968,AU$4:AU968,"="&amp;AU968,AY$4:AY968,"="&amp;AY968)</f>
        <v>180</v>
      </c>
      <c r="BI968" s="25" t="s">
        <v>1158</v>
      </c>
      <c r="BJ968" s="14">
        <f t="shared" si="275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7"/>
        <v>13</v>
      </c>
      <c r="AV969" s="14">
        <f t="shared" si="268"/>
        <v>201601</v>
      </c>
      <c r="AW969" s="14">
        <f t="shared" si="269"/>
        <v>1102016</v>
      </c>
      <c r="AX969" s="13" t="s">
        <v>1127</v>
      </c>
      <c r="AY969" s="13">
        <f t="shared" si="270"/>
        <v>1</v>
      </c>
      <c r="AZ969" s="13" t="s">
        <v>1148</v>
      </c>
      <c r="BA969" s="14">
        <f t="shared" si="271"/>
        <v>5</v>
      </c>
      <c r="BB969" s="14" t="str">
        <f t="shared" si="272"/>
        <v>西方龙魂珠-1 等级-5</v>
      </c>
      <c r="BC969" s="25" t="s">
        <v>1156</v>
      </c>
      <c r="BD969" s="14">
        <f t="shared" si="273"/>
        <v>176</v>
      </c>
      <c r="BE969" s="14">
        <f>SUMIFS(BD$4:BD969,$AU$4:$AU969,"="&amp;$AU969,$AY$4:$AY969,"="&amp;$AY969)</f>
        <v>506</v>
      </c>
      <c r="BF969" s="25" t="s">
        <v>1157</v>
      </c>
      <c r="BG969" s="14">
        <f t="shared" si="274"/>
        <v>96</v>
      </c>
      <c r="BH969" s="14">
        <f>SUMIFS(BG$4:BG969,AU$4:AU969,"="&amp;AU969,AY$4:AY969,"="&amp;AY969)</f>
        <v>276</v>
      </c>
      <c r="BI969" s="25" t="s">
        <v>1158</v>
      </c>
      <c r="BJ969" s="14">
        <f t="shared" si="275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7"/>
        <v>13</v>
      </c>
      <c r="AV970" s="14">
        <f t="shared" si="268"/>
        <v>201601</v>
      </c>
      <c r="AW970" s="14">
        <f t="shared" si="269"/>
        <v>1102016</v>
      </c>
      <c r="AX970" s="13" t="s">
        <v>1127</v>
      </c>
      <c r="AY970" s="13">
        <f t="shared" si="270"/>
        <v>1</v>
      </c>
      <c r="AZ970" s="13" t="s">
        <v>1148</v>
      </c>
      <c r="BA970" s="14">
        <f t="shared" si="271"/>
        <v>6</v>
      </c>
      <c r="BB970" s="14" t="str">
        <f t="shared" si="272"/>
        <v>西方龙魂珠-1 等级-6</v>
      </c>
      <c r="BC970" s="25" t="s">
        <v>1156</v>
      </c>
      <c r="BD970" s="14">
        <f t="shared" si="273"/>
        <v>220</v>
      </c>
      <c r="BE970" s="14">
        <f>SUMIFS(BD$4:BD970,$AU$4:$AU970,"="&amp;$AU970,$AY$4:$AY970,"="&amp;$AY970)</f>
        <v>726</v>
      </c>
      <c r="BF970" s="25" t="s">
        <v>1157</v>
      </c>
      <c r="BG970" s="14">
        <f t="shared" si="274"/>
        <v>120</v>
      </c>
      <c r="BH970" s="14">
        <f>SUMIFS(BG$4:BG970,AU$4:AU970,"="&amp;AU970,AY$4:AY970,"="&amp;AY970)</f>
        <v>396</v>
      </c>
      <c r="BI970" s="25" t="s">
        <v>1158</v>
      </c>
      <c r="BJ970" s="14">
        <f t="shared" si="275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7"/>
        <v>13</v>
      </c>
      <c r="AV971" s="14">
        <f t="shared" si="268"/>
        <v>201601</v>
      </c>
      <c r="AW971" s="14">
        <f t="shared" si="269"/>
        <v>1102016</v>
      </c>
      <c r="AX971" s="13" t="s">
        <v>1127</v>
      </c>
      <c r="AY971" s="13">
        <f t="shared" si="270"/>
        <v>1</v>
      </c>
      <c r="AZ971" s="13" t="s">
        <v>1148</v>
      </c>
      <c r="BA971" s="14">
        <f t="shared" si="271"/>
        <v>7</v>
      </c>
      <c r="BB971" s="14" t="str">
        <f t="shared" si="272"/>
        <v>西方龙魂珠-1 等级-7</v>
      </c>
      <c r="BC971" s="25" t="s">
        <v>1156</v>
      </c>
      <c r="BD971" s="14">
        <f t="shared" si="273"/>
        <v>264</v>
      </c>
      <c r="BE971" s="14">
        <f>SUMIFS(BD$4:BD971,$AU$4:$AU971,"="&amp;$AU971,$AY$4:$AY971,"="&amp;$AY971)</f>
        <v>990</v>
      </c>
      <c r="BF971" s="25" t="s">
        <v>1157</v>
      </c>
      <c r="BG971" s="14">
        <f t="shared" si="274"/>
        <v>144</v>
      </c>
      <c r="BH971" s="14">
        <f>SUMIFS(BG$4:BG971,AU$4:AU971,"="&amp;AU971,AY$4:AY971,"="&amp;AY971)</f>
        <v>540</v>
      </c>
      <c r="BI971" s="25" t="s">
        <v>1158</v>
      </c>
      <c r="BJ971" s="14">
        <f t="shared" si="275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7"/>
        <v>13</v>
      </c>
      <c r="AV972" s="14">
        <f t="shared" si="268"/>
        <v>201601</v>
      </c>
      <c r="AW972" s="14">
        <f t="shared" si="269"/>
        <v>1102016</v>
      </c>
      <c r="AX972" s="13" t="s">
        <v>1127</v>
      </c>
      <c r="AY972" s="13">
        <f t="shared" si="270"/>
        <v>1</v>
      </c>
      <c r="AZ972" s="13" t="s">
        <v>1148</v>
      </c>
      <c r="BA972" s="14">
        <f t="shared" si="271"/>
        <v>8</v>
      </c>
      <c r="BB972" s="14" t="str">
        <f t="shared" si="272"/>
        <v>西方龙魂珠-1 等级-8</v>
      </c>
      <c r="BC972" s="25" t="s">
        <v>1156</v>
      </c>
      <c r="BD972" s="14">
        <f t="shared" si="273"/>
        <v>308</v>
      </c>
      <c r="BE972" s="14">
        <f>SUMIFS(BD$4:BD972,$AU$4:$AU972,"="&amp;$AU972,$AY$4:$AY972,"="&amp;$AY972)</f>
        <v>1298</v>
      </c>
      <c r="BF972" s="25" t="s">
        <v>1157</v>
      </c>
      <c r="BG972" s="14">
        <f t="shared" si="274"/>
        <v>168</v>
      </c>
      <c r="BH972" s="14">
        <f>SUMIFS(BG$4:BG972,AU$4:AU972,"="&amp;AU972,AY$4:AY972,"="&amp;AY972)</f>
        <v>708</v>
      </c>
      <c r="BI972" s="25" t="s">
        <v>1158</v>
      </c>
      <c r="BJ972" s="14">
        <f t="shared" si="275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7"/>
        <v>13</v>
      </c>
      <c r="AV973" s="14">
        <f t="shared" si="268"/>
        <v>201601</v>
      </c>
      <c r="AW973" s="14">
        <f t="shared" si="269"/>
        <v>1102016</v>
      </c>
      <c r="AX973" s="13" t="s">
        <v>1127</v>
      </c>
      <c r="AY973" s="13">
        <f t="shared" si="270"/>
        <v>1</v>
      </c>
      <c r="AZ973" s="13" t="s">
        <v>1148</v>
      </c>
      <c r="BA973" s="14">
        <f t="shared" si="271"/>
        <v>9</v>
      </c>
      <c r="BB973" s="14" t="str">
        <f t="shared" si="272"/>
        <v>西方龙魂珠-1 等级-9</v>
      </c>
      <c r="BC973" s="25" t="s">
        <v>1156</v>
      </c>
      <c r="BD973" s="14">
        <f t="shared" si="273"/>
        <v>352</v>
      </c>
      <c r="BE973" s="14">
        <f>SUMIFS(BD$4:BD973,$AU$4:$AU973,"="&amp;$AU973,$AY$4:$AY973,"="&amp;$AY973)</f>
        <v>1650</v>
      </c>
      <c r="BF973" s="25" t="s">
        <v>1157</v>
      </c>
      <c r="BG973" s="14">
        <f t="shared" si="274"/>
        <v>192</v>
      </c>
      <c r="BH973" s="14">
        <f>SUMIFS(BG$4:BG973,AU$4:AU973,"="&amp;AU973,AY$4:AY973,"="&amp;AY973)</f>
        <v>900</v>
      </c>
      <c r="BI973" s="25" t="s">
        <v>1158</v>
      </c>
      <c r="BJ973" s="14">
        <f t="shared" si="275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7"/>
        <v>13</v>
      </c>
      <c r="AV974" s="14">
        <f t="shared" si="268"/>
        <v>201602</v>
      </c>
      <c r="AW974" s="14">
        <f t="shared" si="269"/>
        <v>1102016</v>
      </c>
      <c r="AX974" s="13" t="s">
        <v>1127</v>
      </c>
      <c r="AY974" s="13">
        <f t="shared" si="270"/>
        <v>2</v>
      </c>
      <c r="AZ974" s="13" t="s">
        <v>1148</v>
      </c>
      <c r="BA974" s="14">
        <f t="shared" si="271"/>
        <v>0</v>
      </c>
      <c r="BB974" s="14" t="str">
        <f t="shared" si="272"/>
        <v>西方龙魂珠-2 等级-0</v>
      </c>
      <c r="BC974" s="25" t="s">
        <v>1156</v>
      </c>
      <c r="BD974" s="14">
        <f t="shared" si="273"/>
        <v>0</v>
      </c>
      <c r="BE974" s="14">
        <f>SUMIFS(BD$4:BD974,$AU$4:$AU974,"="&amp;$AU974,$AY$4:$AY974,"="&amp;$AY974)</f>
        <v>0</v>
      </c>
      <c r="BF974" s="25" t="s">
        <v>1157</v>
      </c>
      <c r="BG974" s="14">
        <f t="shared" si="274"/>
        <v>0</v>
      </c>
      <c r="BH974" s="14">
        <f>SUMIFS(BG$4:BG974,AU$4:AU974,"="&amp;AU974,AY$4:AY974,"="&amp;AY974)</f>
        <v>0</v>
      </c>
      <c r="BI974" s="25" t="s">
        <v>1158</v>
      </c>
      <c r="BJ974" s="14">
        <f t="shared" si="275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7"/>
        <v>13</v>
      </c>
      <c r="AV975" s="14">
        <f t="shared" si="268"/>
        <v>201602</v>
      </c>
      <c r="AW975" s="14">
        <f t="shared" si="269"/>
        <v>1102016</v>
      </c>
      <c r="AX975" s="13" t="s">
        <v>1127</v>
      </c>
      <c r="AY975" s="13">
        <f t="shared" si="270"/>
        <v>2</v>
      </c>
      <c r="AZ975" s="13" t="s">
        <v>1148</v>
      </c>
      <c r="BA975" s="14">
        <f t="shared" si="271"/>
        <v>1</v>
      </c>
      <c r="BB975" s="14" t="str">
        <f t="shared" si="272"/>
        <v>西方龙魂珠-2 等级-1</v>
      </c>
      <c r="BC975" s="25" t="s">
        <v>1156</v>
      </c>
      <c r="BD975" s="14">
        <f t="shared" si="273"/>
        <v>55</v>
      </c>
      <c r="BE975" s="14">
        <f>SUMIFS(BD$4:BD975,$AU$4:$AU975,"="&amp;$AU975,$AY$4:$AY975,"="&amp;$AY975)</f>
        <v>55</v>
      </c>
      <c r="BF975" s="25" t="s">
        <v>1157</v>
      </c>
      <c r="BG975" s="14">
        <f t="shared" si="274"/>
        <v>30</v>
      </c>
      <c r="BH975" s="14">
        <f>SUMIFS(BG$4:BG975,AU$4:AU975,"="&amp;AU975,AY$4:AY975,"="&amp;AY975)</f>
        <v>30</v>
      </c>
      <c r="BI975" s="25" t="s">
        <v>1158</v>
      </c>
      <c r="BJ975" s="14">
        <f t="shared" si="275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7"/>
        <v>13</v>
      </c>
      <c r="AV976" s="14">
        <f t="shared" si="268"/>
        <v>201602</v>
      </c>
      <c r="AW976" s="14">
        <f t="shared" si="269"/>
        <v>1102016</v>
      </c>
      <c r="AX976" s="13" t="s">
        <v>1127</v>
      </c>
      <c r="AY976" s="13">
        <f t="shared" si="270"/>
        <v>2</v>
      </c>
      <c r="AZ976" s="13" t="s">
        <v>1148</v>
      </c>
      <c r="BA976" s="14">
        <f t="shared" si="271"/>
        <v>2</v>
      </c>
      <c r="BB976" s="14" t="str">
        <f t="shared" si="272"/>
        <v>西方龙魂珠-2 等级-2</v>
      </c>
      <c r="BC976" s="25" t="s">
        <v>1156</v>
      </c>
      <c r="BD976" s="14">
        <f t="shared" si="273"/>
        <v>88</v>
      </c>
      <c r="BE976" s="14">
        <f>SUMIFS(BD$4:BD976,$AU$4:$AU976,"="&amp;$AU976,$AY$4:$AY976,"="&amp;$AY976)</f>
        <v>143</v>
      </c>
      <c r="BF976" s="25" t="s">
        <v>1157</v>
      </c>
      <c r="BG976" s="14">
        <f t="shared" si="274"/>
        <v>48</v>
      </c>
      <c r="BH976" s="14">
        <f>SUMIFS(BG$4:BG976,AU$4:AU976,"="&amp;AU976,AY$4:AY976,"="&amp;AY976)</f>
        <v>78</v>
      </c>
      <c r="BI976" s="25" t="s">
        <v>1158</v>
      </c>
      <c r="BJ976" s="14">
        <f t="shared" si="275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7"/>
        <v>13</v>
      </c>
      <c r="AV977" s="14">
        <f t="shared" si="268"/>
        <v>201602</v>
      </c>
      <c r="AW977" s="14">
        <f t="shared" si="269"/>
        <v>1102016</v>
      </c>
      <c r="AX977" s="13" t="s">
        <v>1127</v>
      </c>
      <c r="AY977" s="13">
        <f t="shared" si="270"/>
        <v>2</v>
      </c>
      <c r="AZ977" s="13" t="s">
        <v>1148</v>
      </c>
      <c r="BA977" s="14">
        <f t="shared" si="271"/>
        <v>3</v>
      </c>
      <c r="BB977" s="14" t="str">
        <f t="shared" si="272"/>
        <v>西方龙魂珠-2 等级-3</v>
      </c>
      <c r="BC977" s="25" t="s">
        <v>1156</v>
      </c>
      <c r="BD977" s="14">
        <f t="shared" si="273"/>
        <v>110</v>
      </c>
      <c r="BE977" s="14">
        <f>SUMIFS(BD$4:BD977,$AU$4:$AU977,"="&amp;$AU977,$AY$4:$AY977,"="&amp;$AY977)</f>
        <v>253</v>
      </c>
      <c r="BF977" s="25" t="s">
        <v>1157</v>
      </c>
      <c r="BG977" s="14">
        <f t="shared" si="274"/>
        <v>60</v>
      </c>
      <c r="BH977" s="14">
        <f>SUMIFS(BG$4:BG977,AU$4:AU977,"="&amp;AU977,AY$4:AY977,"="&amp;AY977)</f>
        <v>138</v>
      </c>
      <c r="BI977" s="25" t="s">
        <v>1158</v>
      </c>
      <c r="BJ977" s="14">
        <f t="shared" si="275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7"/>
        <v>13</v>
      </c>
      <c r="AV978" s="14">
        <f t="shared" si="268"/>
        <v>201602</v>
      </c>
      <c r="AW978" s="14">
        <f t="shared" si="269"/>
        <v>1102016</v>
      </c>
      <c r="AX978" s="13" t="s">
        <v>1127</v>
      </c>
      <c r="AY978" s="13">
        <f t="shared" si="270"/>
        <v>2</v>
      </c>
      <c r="AZ978" s="13" t="s">
        <v>1148</v>
      </c>
      <c r="BA978" s="14">
        <f t="shared" si="271"/>
        <v>4</v>
      </c>
      <c r="BB978" s="14" t="str">
        <f t="shared" si="272"/>
        <v>西方龙魂珠-2 等级-4</v>
      </c>
      <c r="BC978" s="25" t="s">
        <v>1156</v>
      </c>
      <c r="BD978" s="14">
        <f t="shared" si="273"/>
        <v>176</v>
      </c>
      <c r="BE978" s="14">
        <f>SUMIFS(BD$4:BD978,$AU$4:$AU978,"="&amp;$AU978,$AY$4:$AY978,"="&amp;$AY978)</f>
        <v>429</v>
      </c>
      <c r="BF978" s="25" t="s">
        <v>1157</v>
      </c>
      <c r="BG978" s="14">
        <f t="shared" si="274"/>
        <v>96</v>
      </c>
      <c r="BH978" s="14">
        <f>SUMIFS(BG$4:BG978,AU$4:AU978,"="&amp;AU978,AY$4:AY978,"="&amp;AY978)</f>
        <v>234</v>
      </c>
      <c r="BI978" s="25" t="s">
        <v>1158</v>
      </c>
      <c r="BJ978" s="14">
        <f t="shared" si="275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7"/>
        <v>13</v>
      </c>
      <c r="AV979" s="14">
        <f t="shared" si="268"/>
        <v>201602</v>
      </c>
      <c r="AW979" s="14">
        <f t="shared" si="269"/>
        <v>1102016</v>
      </c>
      <c r="AX979" s="13" t="s">
        <v>1127</v>
      </c>
      <c r="AY979" s="13">
        <f t="shared" si="270"/>
        <v>2</v>
      </c>
      <c r="AZ979" s="13" t="s">
        <v>1148</v>
      </c>
      <c r="BA979" s="14">
        <f t="shared" si="271"/>
        <v>5</v>
      </c>
      <c r="BB979" s="14" t="str">
        <f t="shared" si="272"/>
        <v>西方龙魂珠-2 等级-5</v>
      </c>
      <c r="BC979" s="25" t="s">
        <v>1156</v>
      </c>
      <c r="BD979" s="14">
        <f t="shared" si="273"/>
        <v>242</v>
      </c>
      <c r="BE979" s="14">
        <f>SUMIFS(BD$4:BD979,$AU$4:$AU979,"="&amp;$AU979,$AY$4:$AY979,"="&amp;$AY979)</f>
        <v>671</v>
      </c>
      <c r="BF979" s="25" t="s">
        <v>1157</v>
      </c>
      <c r="BG979" s="14">
        <f t="shared" si="274"/>
        <v>132</v>
      </c>
      <c r="BH979" s="14">
        <f>SUMIFS(BG$4:BG979,AU$4:AU979,"="&amp;AU979,AY$4:AY979,"="&amp;AY979)</f>
        <v>366</v>
      </c>
      <c r="BI979" s="25" t="s">
        <v>1158</v>
      </c>
      <c r="BJ979" s="14">
        <f t="shared" si="275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7"/>
        <v>13</v>
      </c>
      <c r="AV980" s="14">
        <f t="shared" si="268"/>
        <v>201602</v>
      </c>
      <c r="AW980" s="14">
        <f t="shared" si="269"/>
        <v>1102016</v>
      </c>
      <c r="AX980" s="13" t="s">
        <v>1127</v>
      </c>
      <c r="AY980" s="13">
        <f t="shared" si="270"/>
        <v>2</v>
      </c>
      <c r="AZ980" s="13" t="s">
        <v>1148</v>
      </c>
      <c r="BA980" s="14">
        <f t="shared" si="271"/>
        <v>6</v>
      </c>
      <c r="BB980" s="14" t="str">
        <f t="shared" si="272"/>
        <v>西方龙魂珠-2 等级-6</v>
      </c>
      <c r="BC980" s="25" t="s">
        <v>1156</v>
      </c>
      <c r="BD980" s="14">
        <f t="shared" si="273"/>
        <v>308</v>
      </c>
      <c r="BE980" s="14">
        <f>SUMIFS(BD$4:BD980,$AU$4:$AU980,"="&amp;$AU980,$AY$4:$AY980,"="&amp;$AY980)</f>
        <v>979</v>
      </c>
      <c r="BF980" s="25" t="s">
        <v>1157</v>
      </c>
      <c r="BG980" s="14">
        <f t="shared" si="274"/>
        <v>168</v>
      </c>
      <c r="BH980" s="14">
        <f>SUMIFS(BG$4:BG980,AU$4:AU980,"="&amp;AU980,AY$4:AY980,"="&amp;AY980)</f>
        <v>534</v>
      </c>
      <c r="BI980" s="25" t="s">
        <v>1158</v>
      </c>
      <c r="BJ980" s="14">
        <f t="shared" si="275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7"/>
        <v>13</v>
      </c>
      <c r="AV981" s="14">
        <f t="shared" si="268"/>
        <v>201602</v>
      </c>
      <c r="AW981" s="14">
        <f t="shared" si="269"/>
        <v>1102016</v>
      </c>
      <c r="AX981" s="13" t="s">
        <v>1127</v>
      </c>
      <c r="AY981" s="13">
        <f t="shared" si="270"/>
        <v>2</v>
      </c>
      <c r="AZ981" s="13" t="s">
        <v>1148</v>
      </c>
      <c r="BA981" s="14">
        <f t="shared" si="271"/>
        <v>7</v>
      </c>
      <c r="BB981" s="14" t="str">
        <f t="shared" si="272"/>
        <v>西方龙魂珠-2 等级-7</v>
      </c>
      <c r="BC981" s="25" t="s">
        <v>1156</v>
      </c>
      <c r="BD981" s="14">
        <f t="shared" si="273"/>
        <v>352</v>
      </c>
      <c r="BE981" s="14">
        <f>SUMIFS(BD$4:BD981,$AU$4:$AU981,"="&amp;$AU981,$AY$4:$AY981,"="&amp;$AY981)</f>
        <v>1331</v>
      </c>
      <c r="BF981" s="25" t="s">
        <v>1157</v>
      </c>
      <c r="BG981" s="14">
        <f t="shared" si="274"/>
        <v>192</v>
      </c>
      <c r="BH981" s="14">
        <f>SUMIFS(BG$4:BG981,AU$4:AU981,"="&amp;AU981,AY$4:AY981,"="&amp;AY981)</f>
        <v>726</v>
      </c>
      <c r="BI981" s="25" t="s">
        <v>1158</v>
      </c>
      <c r="BJ981" s="14">
        <f t="shared" si="275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7"/>
        <v>13</v>
      </c>
      <c r="AV982" s="14">
        <f t="shared" si="268"/>
        <v>201602</v>
      </c>
      <c r="AW982" s="14">
        <f t="shared" si="269"/>
        <v>1102016</v>
      </c>
      <c r="AX982" s="13" t="s">
        <v>1127</v>
      </c>
      <c r="AY982" s="13">
        <f t="shared" si="270"/>
        <v>2</v>
      </c>
      <c r="AZ982" s="13" t="s">
        <v>1148</v>
      </c>
      <c r="BA982" s="14">
        <f t="shared" si="271"/>
        <v>8</v>
      </c>
      <c r="BB982" s="14" t="str">
        <f t="shared" si="272"/>
        <v>西方龙魂珠-2 等级-8</v>
      </c>
      <c r="BC982" s="25" t="s">
        <v>1156</v>
      </c>
      <c r="BD982" s="14">
        <f t="shared" si="273"/>
        <v>418</v>
      </c>
      <c r="BE982" s="14">
        <f>SUMIFS(BD$4:BD982,$AU$4:$AU982,"="&amp;$AU982,$AY$4:$AY982,"="&amp;$AY982)</f>
        <v>1749</v>
      </c>
      <c r="BF982" s="25" t="s">
        <v>1157</v>
      </c>
      <c r="BG982" s="14">
        <f t="shared" si="274"/>
        <v>228</v>
      </c>
      <c r="BH982" s="14">
        <f>SUMIFS(BG$4:BG982,AU$4:AU982,"="&amp;AU982,AY$4:AY982,"="&amp;AY982)</f>
        <v>954</v>
      </c>
      <c r="BI982" s="25" t="s">
        <v>1158</v>
      </c>
      <c r="BJ982" s="14">
        <f t="shared" si="275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7"/>
        <v>13</v>
      </c>
      <c r="AV983" s="14">
        <f t="shared" si="268"/>
        <v>201602</v>
      </c>
      <c r="AW983" s="14">
        <f t="shared" si="269"/>
        <v>1102016</v>
      </c>
      <c r="AX983" s="13" t="s">
        <v>1127</v>
      </c>
      <c r="AY983" s="13">
        <f t="shared" si="270"/>
        <v>2</v>
      </c>
      <c r="AZ983" s="13" t="s">
        <v>1148</v>
      </c>
      <c r="BA983" s="14">
        <f t="shared" si="271"/>
        <v>9</v>
      </c>
      <c r="BB983" s="14" t="str">
        <f t="shared" si="272"/>
        <v>西方龙魂珠-2 等级-9</v>
      </c>
      <c r="BC983" s="25" t="s">
        <v>1156</v>
      </c>
      <c r="BD983" s="14">
        <f t="shared" si="273"/>
        <v>495</v>
      </c>
      <c r="BE983" s="14">
        <f>SUMIFS(BD$4:BD983,$AU$4:$AU983,"="&amp;$AU983,$AY$4:$AY983,"="&amp;$AY983)</f>
        <v>2244</v>
      </c>
      <c r="BF983" s="25" t="s">
        <v>1157</v>
      </c>
      <c r="BG983" s="14">
        <f t="shared" si="274"/>
        <v>270</v>
      </c>
      <c r="BH983" s="14">
        <f>SUMIFS(BG$4:BG983,AU$4:AU983,"="&amp;AU983,AY$4:AY983,"="&amp;AY983)</f>
        <v>1224</v>
      </c>
      <c r="BI983" s="25" t="s">
        <v>1158</v>
      </c>
      <c r="BJ983" s="14">
        <f t="shared" si="275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7"/>
        <v>13</v>
      </c>
      <c r="AV984" s="14">
        <f t="shared" si="268"/>
        <v>201603</v>
      </c>
      <c r="AW984" s="14">
        <f t="shared" si="269"/>
        <v>1102016</v>
      </c>
      <c r="AX984" s="13" t="s">
        <v>1127</v>
      </c>
      <c r="AY984" s="13">
        <f t="shared" si="270"/>
        <v>3</v>
      </c>
      <c r="AZ984" s="13" t="s">
        <v>1148</v>
      </c>
      <c r="BA984" s="14">
        <f t="shared" si="271"/>
        <v>0</v>
      </c>
      <c r="BB984" s="14" t="str">
        <f t="shared" si="272"/>
        <v>西方龙魂珠-3 等级-0</v>
      </c>
      <c r="BC984" s="25" t="s">
        <v>1156</v>
      </c>
      <c r="BD984" s="14">
        <f t="shared" si="273"/>
        <v>0</v>
      </c>
      <c r="BE984" s="14">
        <f>SUMIFS(BD$4:BD984,$AU$4:$AU984,"="&amp;$AU984,$AY$4:$AY984,"="&amp;$AY984)</f>
        <v>0</v>
      </c>
      <c r="BF984" s="25" t="s">
        <v>1157</v>
      </c>
      <c r="BG984" s="14">
        <f t="shared" si="274"/>
        <v>0</v>
      </c>
      <c r="BH984" s="14">
        <f>SUMIFS(BG$4:BG984,AU$4:AU984,"="&amp;AU984,AY$4:AY984,"="&amp;AY984)</f>
        <v>0</v>
      </c>
      <c r="BI984" s="25" t="s">
        <v>1158</v>
      </c>
      <c r="BJ984" s="14">
        <f t="shared" si="275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7"/>
        <v>13</v>
      </c>
      <c r="AV985" s="14">
        <f t="shared" si="268"/>
        <v>201603</v>
      </c>
      <c r="AW985" s="14">
        <f t="shared" si="269"/>
        <v>1102016</v>
      </c>
      <c r="AX985" s="13" t="s">
        <v>1127</v>
      </c>
      <c r="AY985" s="13">
        <f t="shared" si="270"/>
        <v>3</v>
      </c>
      <c r="AZ985" s="13" t="s">
        <v>1148</v>
      </c>
      <c r="BA985" s="14">
        <f t="shared" si="271"/>
        <v>1</v>
      </c>
      <c r="BB985" s="14" t="str">
        <f t="shared" si="272"/>
        <v>西方龙魂珠-3 等级-1</v>
      </c>
      <c r="BC985" s="25" t="s">
        <v>1156</v>
      </c>
      <c r="BD985" s="14">
        <f t="shared" si="273"/>
        <v>88</v>
      </c>
      <c r="BE985" s="14">
        <f>SUMIFS(BD$4:BD985,$AU$4:$AU985,"="&amp;$AU985,$AY$4:$AY985,"="&amp;$AY985)</f>
        <v>88</v>
      </c>
      <c r="BF985" s="25" t="s">
        <v>1157</v>
      </c>
      <c r="BG985" s="14">
        <f t="shared" si="274"/>
        <v>48</v>
      </c>
      <c r="BH985" s="14">
        <f>SUMIFS(BG$4:BG985,AU$4:AU985,"="&amp;AU985,AY$4:AY985,"="&amp;AY985)</f>
        <v>48</v>
      </c>
      <c r="BI985" s="25" t="s">
        <v>1158</v>
      </c>
      <c r="BJ985" s="14">
        <f t="shared" si="275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7"/>
        <v>13</v>
      </c>
      <c r="AV986" s="14">
        <f t="shared" si="268"/>
        <v>201603</v>
      </c>
      <c r="AW986" s="14">
        <f t="shared" si="269"/>
        <v>1102016</v>
      </c>
      <c r="AX986" s="13" t="s">
        <v>1127</v>
      </c>
      <c r="AY986" s="13">
        <f t="shared" si="270"/>
        <v>3</v>
      </c>
      <c r="AZ986" s="13" t="s">
        <v>1148</v>
      </c>
      <c r="BA986" s="14">
        <f t="shared" si="271"/>
        <v>2</v>
      </c>
      <c r="BB986" s="14" t="str">
        <f t="shared" si="272"/>
        <v>西方龙魂珠-3 等级-2</v>
      </c>
      <c r="BC986" s="25" t="s">
        <v>1156</v>
      </c>
      <c r="BD986" s="14">
        <f t="shared" si="273"/>
        <v>132</v>
      </c>
      <c r="BE986" s="14">
        <f>SUMIFS(BD$4:BD986,$AU$4:$AU986,"="&amp;$AU986,$AY$4:$AY986,"="&amp;$AY986)</f>
        <v>220</v>
      </c>
      <c r="BF986" s="25" t="s">
        <v>1157</v>
      </c>
      <c r="BG986" s="14">
        <f t="shared" si="274"/>
        <v>72</v>
      </c>
      <c r="BH986" s="14">
        <f>SUMIFS(BG$4:BG986,AU$4:AU986,"="&amp;AU986,AY$4:AY986,"="&amp;AY986)</f>
        <v>120</v>
      </c>
      <c r="BI986" s="25" t="s">
        <v>1158</v>
      </c>
      <c r="BJ986" s="14">
        <f t="shared" si="275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7"/>
        <v>13</v>
      </c>
      <c r="AV987" s="14">
        <f t="shared" si="268"/>
        <v>201603</v>
      </c>
      <c r="AW987" s="14">
        <f t="shared" si="269"/>
        <v>1102016</v>
      </c>
      <c r="AX987" s="13" t="s">
        <v>1127</v>
      </c>
      <c r="AY987" s="13">
        <f t="shared" si="270"/>
        <v>3</v>
      </c>
      <c r="AZ987" s="13" t="s">
        <v>1148</v>
      </c>
      <c r="BA987" s="14">
        <f t="shared" si="271"/>
        <v>3</v>
      </c>
      <c r="BB987" s="14" t="str">
        <f t="shared" si="272"/>
        <v>西方龙魂珠-3 等级-3</v>
      </c>
      <c r="BC987" s="25" t="s">
        <v>1156</v>
      </c>
      <c r="BD987" s="14">
        <f t="shared" si="273"/>
        <v>176</v>
      </c>
      <c r="BE987" s="14">
        <f>SUMIFS(BD$4:BD987,$AU$4:$AU987,"="&amp;$AU987,$AY$4:$AY987,"="&amp;$AY987)</f>
        <v>396</v>
      </c>
      <c r="BF987" s="25" t="s">
        <v>1157</v>
      </c>
      <c r="BG987" s="14">
        <f t="shared" si="274"/>
        <v>96</v>
      </c>
      <c r="BH987" s="14">
        <f>SUMIFS(BG$4:BG987,AU$4:AU987,"="&amp;AU987,AY$4:AY987,"="&amp;AY987)</f>
        <v>216</v>
      </c>
      <c r="BI987" s="25" t="s">
        <v>1158</v>
      </c>
      <c r="BJ987" s="14">
        <f t="shared" si="275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7"/>
        <v>13</v>
      </c>
      <c r="AV988" s="14">
        <f t="shared" si="268"/>
        <v>201603</v>
      </c>
      <c r="AW988" s="14">
        <f t="shared" si="269"/>
        <v>1102016</v>
      </c>
      <c r="AX988" s="13" t="s">
        <v>1127</v>
      </c>
      <c r="AY988" s="13">
        <f t="shared" si="270"/>
        <v>3</v>
      </c>
      <c r="AZ988" s="13" t="s">
        <v>1148</v>
      </c>
      <c r="BA988" s="14">
        <f t="shared" si="271"/>
        <v>4</v>
      </c>
      <c r="BB988" s="14" t="str">
        <f t="shared" si="272"/>
        <v>西方龙魂珠-3 等级-4</v>
      </c>
      <c r="BC988" s="25" t="s">
        <v>1156</v>
      </c>
      <c r="BD988" s="14">
        <f t="shared" si="273"/>
        <v>264</v>
      </c>
      <c r="BE988" s="14">
        <f>SUMIFS(BD$4:BD988,$AU$4:$AU988,"="&amp;$AU988,$AY$4:$AY988,"="&amp;$AY988)</f>
        <v>660</v>
      </c>
      <c r="BF988" s="25" t="s">
        <v>1157</v>
      </c>
      <c r="BG988" s="14">
        <f t="shared" si="274"/>
        <v>144</v>
      </c>
      <c r="BH988" s="14">
        <f>SUMIFS(BG$4:BG988,AU$4:AU988,"="&amp;AU988,AY$4:AY988,"="&amp;AY988)</f>
        <v>360</v>
      </c>
      <c r="BI988" s="25" t="s">
        <v>1158</v>
      </c>
      <c r="BJ988" s="14">
        <f t="shared" si="275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7"/>
        <v>13</v>
      </c>
      <c r="AV989" s="14">
        <f t="shared" si="268"/>
        <v>201603</v>
      </c>
      <c r="AW989" s="14">
        <f t="shared" si="269"/>
        <v>1102016</v>
      </c>
      <c r="AX989" s="13" t="s">
        <v>1127</v>
      </c>
      <c r="AY989" s="13">
        <f t="shared" si="270"/>
        <v>3</v>
      </c>
      <c r="AZ989" s="13" t="s">
        <v>1148</v>
      </c>
      <c r="BA989" s="14">
        <f t="shared" si="271"/>
        <v>5</v>
      </c>
      <c r="BB989" s="14" t="str">
        <f t="shared" si="272"/>
        <v>西方龙魂珠-3 等级-5</v>
      </c>
      <c r="BC989" s="25" t="s">
        <v>1156</v>
      </c>
      <c r="BD989" s="14">
        <f t="shared" si="273"/>
        <v>352</v>
      </c>
      <c r="BE989" s="14">
        <f>SUMIFS(BD$4:BD989,$AU$4:$AU989,"="&amp;$AU989,$AY$4:$AY989,"="&amp;$AY989)</f>
        <v>1012</v>
      </c>
      <c r="BF989" s="25" t="s">
        <v>1157</v>
      </c>
      <c r="BG989" s="14">
        <f t="shared" si="274"/>
        <v>192</v>
      </c>
      <c r="BH989" s="14">
        <f>SUMIFS(BG$4:BG989,AU$4:AU989,"="&amp;AU989,AY$4:AY989,"="&amp;AY989)</f>
        <v>552</v>
      </c>
      <c r="BI989" s="25" t="s">
        <v>1158</v>
      </c>
      <c r="BJ989" s="14">
        <f t="shared" si="275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7"/>
        <v>13</v>
      </c>
      <c r="AV990" s="14">
        <f t="shared" si="268"/>
        <v>201603</v>
      </c>
      <c r="AW990" s="14">
        <f t="shared" si="269"/>
        <v>1102016</v>
      </c>
      <c r="AX990" s="13" t="s">
        <v>1127</v>
      </c>
      <c r="AY990" s="13">
        <f t="shared" si="270"/>
        <v>3</v>
      </c>
      <c r="AZ990" s="13" t="s">
        <v>1148</v>
      </c>
      <c r="BA990" s="14">
        <f t="shared" si="271"/>
        <v>6</v>
      </c>
      <c r="BB990" s="14" t="str">
        <f t="shared" si="272"/>
        <v>西方龙魂珠-3 等级-6</v>
      </c>
      <c r="BC990" s="25" t="s">
        <v>1156</v>
      </c>
      <c r="BD990" s="14">
        <f t="shared" si="273"/>
        <v>440</v>
      </c>
      <c r="BE990" s="14">
        <f>SUMIFS(BD$4:BD990,$AU$4:$AU990,"="&amp;$AU990,$AY$4:$AY990,"="&amp;$AY990)</f>
        <v>1452</v>
      </c>
      <c r="BF990" s="25" t="s">
        <v>1157</v>
      </c>
      <c r="BG990" s="14">
        <f t="shared" si="274"/>
        <v>240</v>
      </c>
      <c r="BH990" s="14">
        <f>SUMIFS(BG$4:BG990,AU$4:AU990,"="&amp;AU990,AY$4:AY990,"="&amp;AY990)</f>
        <v>792</v>
      </c>
      <c r="BI990" s="25" t="s">
        <v>1158</v>
      </c>
      <c r="BJ990" s="14">
        <f t="shared" si="275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7"/>
        <v>13</v>
      </c>
      <c r="AV991" s="14">
        <f t="shared" si="268"/>
        <v>201603</v>
      </c>
      <c r="AW991" s="14">
        <f t="shared" si="269"/>
        <v>1102016</v>
      </c>
      <c r="AX991" s="13" t="s">
        <v>1127</v>
      </c>
      <c r="AY991" s="13">
        <f t="shared" si="270"/>
        <v>3</v>
      </c>
      <c r="AZ991" s="13" t="s">
        <v>1148</v>
      </c>
      <c r="BA991" s="14">
        <f t="shared" si="271"/>
        <v>7</v>
      </c>
      <c r="BB991" s="14" t="str">
        <f t="shared" si="272"/>
        <v>西方龙魂珠-3 等级-7</v>
      </c>
      <c r="BC991" s="25" t="s">
        <v>1156</v>
      </c>
      <c r="BD991" s="14">
        <f t="shared" si="273"/>
        <v>528</v>
      </c>
      <c r="BE991" s="14">
        <f>SUMIFS(BD$4:BD991,$AU$4:$AU991,"="&amp;$AU991,$AY$4:$AY991,"="&amp;$AY991)</f>
        <v>1980</v>
      </c>
      <c r="BF991" s="25" t="s">
        <v>1157</v>
      </c>
      <c r="BG991" s="14">
        <f t="shared" si="274"/>
        <v>288</v>
      </c>
      <c r="BH991" s="14">
        <f>SUMIFS(BG$4:BG991,AU$4:AU991,"="&amp;AU991,AY$4:AY991,"="&amp;AY991)</f>
        <v>1080</v>
      </c>
      <c r="BI991" s="25" t="s">
        <v>1158</v>
      </c>
      <c r="BJ991" s="14">
        <f t="shared" si="275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7"/>
        <v>13</v>
      </c>
      <c r="AV992" s="14">
        <f t="shared" si="268"/>
        <v>201603</v>
      </c>
      <c r="AW992" s="14">
        <f t="shared" si="269"/>
        <v>1102016</v>
      </c>
      <c r="AX992" s="13" t="s">
        <v>1127</v>
      </c>
      <c r="AY992" s="13">
        <f t="shared" si="270"/>
        <v>3</v>
      </c>
      <c r="AZ992" s="13" t="s">
        <v>1148</v>
      </c>
      <c r="BA992" s="14">
        <f t="shared" si="271"/>
        <v>8</v>
      </c>
      <c r="BB992" s="14" t="str">
        <f t="shared" si="272"/>
        <v>西方龙魂珠-3 等级-8</v>
      </c>
      <c r="BC992" s="25" t="s">
        <v>1156</v>
      </c>
      <c r="BD992" s="14">
        <f t="shared" si="273"/>
        <v>616</v>
      </c>
      <c r="BE992" s="14">
        <f>SUMIFS(BD$4:BD992,$AU$4:$AU992,"="&amp;$AU992,$AY$4:$AY992,"="&amp;$AY992)</f>
        <v>2596</v>
      </c>
      <c r="BF992" s="25" t="s">
        <v>1157</v>
      </c>
      <c r="BG992" s="14">
        <f t="shared" si="274"/>
        <v>336</v>
      </c>
      <c r="BH992" s="14">
        <f>SUMIFS(BG$4:BG992,AU$4:AU992,"="&amp;AU992,AY$4:AY992,"="&amp;AY992)</f>
        <v>1416</v>
      </c>
      <c r="BI992" s="25" t="s">
        <v>1158</v>
      </c>
      <c r="BJ992" s="14">
        <f t="shared" si="275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7"/>
        <v>13</v>
      </c>
      <c r="AV993" s="14">
        <f t="shared" si="268"/>
        <v>201603</v>
      </c>
      <c r="AW993" s="14">
        <f t="shared" si="269"/>
        <v>1102016</v>
      </c>
      <c r="AX993" s="13" t="s">
        <v>1127</v>
      </c>
      <c r="AY993" s="13">
        <f t="shared" si="270"/>
        <v>3</v>
      </c>
      <c r="AZ993" s="13" t="s">
        <v>1148</v>
      </c>
      <c r="BA993" s="14">
        <f t="shared" si="271"/>
        <v>9</v>
      </c>
      <c r="BB993" s="14" t="str">
        <f t="shared" si="272"/>
        <v>西方龙魂珠-3 等级-9</v>
      </c>
      <c r="BC993" s="25" t="s">
        <v>1156</v>
      </c>
      <c r="BD993" s="14">
        <f t="shared" si="273"/>
        <v>704</v>
      </c>
      <c r="BE993" s="14">
        <f>SUMIFS(BD$4:BD993,$AU$4:$AU993,"="&amp;$AU993,$AY$4:$AY993,"="&amp;$AY993)</f>
        <v>3300</v>
      </c>
      <c r="BF993" s="25" t="s">
        <v>1157</v>
      </c>
      <c r="BG993" s="14">
        <f t="shared" si="274"/>
        <v>384</v>
      </c>
      <c r="BH993" s="14">
        <f>SUMIFS(BG$4:BG993,AU$4:AU993,"="&amp;AU993,AY$4:AY993,"="&amp;AY993)</f>
        <v>1800</v>
      </c>
      <c r="BI993" s="25" t="s">
        <v>1158</v>
      </c>
      <c r="BJ993" s="14">
        <f t="shared" si="275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7"/>
        <v>13</v>
      </c>
      <c r="AV994" s="14">
        <f t="shared" si="268"/>
        <v>201604</v>
      </c>
      <c r="AW994" s="14">
        <f t="shared" si="269"/>
        <v>1102016</v>
      </c>
      <c r="AX994" s="13" t="s">
        <v>1127</v>
      </c>
      <c r="AY994" s="13">
        <f t="shared" si="270"/>
        <v>4</v>
      </c>
      <c r="AZ994" s="13" t="s">
        <v>1148</v>
      </c>
      <c r="BA994" s="14">
        <f t="shared" si="271"/>
        <v>0</v>
      </c>
      <c r="BB994" s="14" t="str">
        <f t="shared" si="272"/>
        <v>西方龙魂珠-4 等级-0</v>
      </c>
      <c r="BC994" s="25" t="s">
        <v>1156</v>
      </c>
      <c r="BD994" s="14">
        <f t="shared" si="273"/>
        <v>0</v>
      </c>
      <c r="BE994" s="14">
        <f>SUMIFS(BD$4:BD994,$AU$4:$AU994,"="&amp;$AU994,$AY$4:$AY994,"="&amp;$AY994)</f>
        <v>0</v>
      </c>
      <c r="BF994" s="25" t="s">
        <v>1157</v>
      </c>
      <c r="BG994" s="14">
        <f t="shared" si="274"/>
        <v>0</v>
      </c>
      <c r="BH994" s="14">
        <f>SUMIFS(BG$4:BG994,AU$4:AU994,"="&amp;AU994,AY$4:AY994,"="&amp;AY994)</f>
        <v>0</v>
      </c>
      <c r="BI994" s="25" t="s">
        <v>1158</v>
      </c>
      <c r="BJ994" s="14">
        <f t="shared" si="275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7"/>
        <v>13</v>
      </c>
      <c r="AV995" s="14">
        <f t="shared" si="268"/>
        <v>201604</v>
      </c>
      <c r="AW995" s="14">
        <f t="shared" si="269"/>
        <v>1102016</v>
      </c>
      <c r="AX995" s="13" t="s">
        <v>1127</v>
      </c>
      <c r="AY995" s="13">
        <f t="shared" si="270"/>
        <v>4</v>
      </c>
      <c r="AZ995" s="13" t="s">
        <v>1148</v>
      </c>
      <c r="BA995" s="14">
        <f t="shared" si="271"/>
        <v>1</v>
      </c>
      <c r="BB995" s="14" t="str">
        <f t="shared" si="272"/>
        <v>西方龙魂珠-4 等级-1</v>
      </c>
      <c r="BC995" s="25" t="s">
        <v>1156</v>
      </c>
      <c r="BD995" s="14">
        <f t="shared" si="273"/>
        <v>110</v>
      </c>
      <c r="BE995" s="14">
        <f>SUMIFS(BD$4:BD995,$AU$4:$AU995,"="&amp;$AU995,$AY$4:$AY995,"="&amp;$AY995)</f>
        <v>110</v>
      </c>
      <c r="BF995" s="25" t="s">
        <v>1157</v>
      </c>
      <c r="BG995" s="14">
        <f t="shared" si="274"/>
        <v>60</v>
      </c>
      <c r="BH995" s="14">
        <f>SUMIFS(BG$4:BG995,AU$4:AU995,"="&amp;AU995,AY$4:AY995,"="&amp;AY995)</f>
        <v>60</v>
      </c>
      <c r="BI995" s="25" t="s">
        <v>1158</v>
      </c>
      <c r="BJ995" s="14">
        <f t="shared" si="275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7"/>
        <v>13</v>
      </c>
      <c r="AV996" s="14">
        <f t="shared" si="268"/>
        <v>201604</v>
      </c>
      <c r="AW996" s="14">
        <f t="shared" si="269"/>
        <v>1102016</v>
      </c>
      <c r="AX996" s="13" t="s">
        <v>1127</v>
      </c>
      <c r="AY996" s="13">
        <f t="shared" si="270"/>
        <v>4</v>
      </c>
      <c r="AZ996" s="13" t="s">
        <v>1148</v>
      </c>
      <c r="BA996" s="14">
        <f t="shared" si="271"/>
        <v>2</v>
      </c>
      <c r="BB996" s="14" t="str">
        <f t="shared" si="272"/>
        <v>西方龙魂珠-4 等级-2</v>
      </c>
      <c r="BC996" s="25" t="s">
        <v>1156</v>
      </c>
      <c r="BD996" s="14">
        <f t="shared" si="273"/>
        <v>176</v>
      </c>
      <c r="BE996" s="14">
        <f>SUMIFS(BD$4:BD996,$AU$4:$AU996,"="&amp;$AU996,$AY$4:$AY996,"="&amp;$AY996)</f>
        <v>286</v>
      </c>
      <c r="BF996" s="25" t="s">
        <v>1157</v>
      </c>
      <c r="BG996" s="14">
        <f t="shared" si="274"/>
        <v>96</v>
      </c>
      <c r="BH996" s="14">
        <f>SUMIFS(BG$4:BG996,AU$4:AU996,"="&amp;AU996,AY$4:AY996,"="&amp;AY996)</f>
        <v>156</v>
      </c>
      <c r="BI996" s="25" t="s">
        <v>1158</v>
      </c>
      <c r="BJ996" s="14">
        <f t="shared" si="275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7"/>
        <v>13</v>
      </c>
      <c r="AV997" s="14">
        <f t="shared" si="268"/>
        <v>201604</v>
      </c>
      <c r="AW997" s="14">
        <f t="shared" si="269"/>
        <v>1102016</v>
      </c>
      <c r="AX997" s="13" t="s">
        <v>1127</v>
      </c>
      <c r="AY997" s="13">
        <f t="shared" si="270"/>
        <v>4</v>
      </c>
      <c r="AZ997" s="13" t="s">
        <v>1148</v>
      </c>
      <c r="BA997" s="14">
        <f t="shared" si="271"/>
        <v>3</v>
      </c>
      <c r="BB997" s="14" t="str">
        <f t="shared" si="272"/>
        <v>西方龙魂珠-4 等级-3</v>
      </c>
      <c r="BC997" s="25" t="s">
        <v>1156</v>
      </c>
      <c r="BD997" s="14">
        <f t="shared" si="273"/>
        <v>242</v>
      </c>
      <c r="BE997" s="14">
        <f>SUMIFS(BD$4:BD997,$AU$4:$AU997,"="&amp;$AU997,$AY$4:$AY997,"="&amp;$AY997)</f>
        <v>528</v>
      </c>
      <c r="BF997" s="25" t="s">
        <v>1157</v>
      </c>
      <c r="BG997" s="14">
        <f t="shared" si="274"/>
        <v>132</v>
      </c>
      <c r="BH997" s="14">
        <f>SUMIFS(BG$4:BG997,AU$4:AU997,"="&amp;AU997,AY$4:AY997,"="&amp;AY997)</f>
        <v>288</v>
      </c>
      <c r="BI997" s="25" t="s">
        <v>1158</v>
      </c>
      <c r="BJ997" s="14">
        <f t="shared" si="275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7"/>
        <v>13</v>
      </c>
      <c r="AV998" s="14">
        <f t="shared" si="268"/>
        <v>201604</v>
      </c>
      <c r="AW998" s="14">
        <f t="shared" si="269"/>
        <v>1102016</v>
      </c>
      <c r="AX998" s="13" t="s">
        <v>1127</v>
      </c>
      <c r="AY998" s="13">
        <f t="shared" si="270"/>
        <v>4</v>
      </c>
      <c r="AZ998" s="13" t="s">
        <v>1148</v>
      </c>
      <c r="BA998" s="14">
        <f t="shared" si="271"/>
        <v>4</v>
      </c>
      <c r="BB998" s="14" t="str">
        <f t="shared" si="272"/>
        <v>西方龙魂珠-4 等级-4</v>
      </c>
      <c r="BC998" s="25" t="s">
        <v>1156</v>
      </c>
      <c r="BD998" s="14">
        <f t="shared" si="273"/>
        <v>352</v>
      </c>
      <c r="BE998" s="14">
        <f>SUMIFS(BD$4:BD998,$AU$4:$AU998,"="&amp;$AU998,$AY$4:$AY998,"="&amp;$AY998)</f>
        <v>880</v>
      </c>
      <c r="BF998" s="25" t="s">
        <v>1157</v>
      </c>
      <c r="BG998" s="14">
        <f t="shared" si="274"/>
        <v>192</v>
      </c>
      <c r="BH998" s="14">
        <f>SUMIFS(BG$4:BG998,AU$4:AU998,"="&amp;AU998,AY$4:AY998,"="&amp;AY998)</f>
        <v>480</v>
      </c>
      <c r="BI998" s="25" t="s">
        <v>1158</v>
      </c>
      <c r="BJ998" s="14">
        <f t="shared" si="275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7"/>
        <v>13</v>
      </c>
      <c r="AV999" s="14">
        <f t="shared" si="268"/>
        <v>201604</v>
      </c>
      <c r="AW999" s="14">
        <f t="shared" si="269"/>
        <v>1102016</v>
      </c>
      <c r="AX999" s="13" t="s">
        <v>1127</v>
      </c>
      <c r="AY999" s="13">
        <f t="shared" si="270"/>
        <v>4</v>
      </c>
      <c r="AZ999" s="13" t="s">
        <v>1148</v>
      </c>
      <c r="BA999" s="14">
        <f t="shared" si="271"/>
        <v>5</v>
      </c>
      <c r="BB999" s="14" t="str">
        <f t="shared" si="272"/>
        <v>西方龙魂珠-4 等级-5</v>
      </c>
      <c r="BC999" s="25" t="s">
        <v>1156</v>
      </c>
      <c r="BD999" s="14">
        <f t="shared" si="273"/>
        <v>462</v>
      </c>
      <c r="BE999" s="14">
        <f>SUMIFS(BD$4:BD999,$AU$4:$AU999,"="&amp;$AU999,$AY$4:$AY999,"="&amp;$AY999)</f>
        <v>1342</v>
      </c>
      <c r="BF999" s="25" t="s">
        <v>1157</v>
      </c>
      <c r="BG999" s="14">
        <f t="shared" si="274"/>
        <v>252</v>
      </c>
      <c r="BH999" s="14">
        <f>SUMIFS(BG$4:BG999,AU$4:AU999,"="&amp;AU999,AY$4:AY999,"="&amp;AY999)</f>
        <v>732</v>
      </c>
      <c r="BI999" s="25" t="s">
        <v>1158</v>
      </c>
      <c r="BJ999" s="14">
        <f t="shared" si="275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7"/>
        <v>13</v>
      </c>
      <c r="AV1000" s="14">
        <f t="shared" si="268"/>
        <v>201604</v>
      </c>
      <c r="AW1000" s="14">
        <f t="shared" si="269"/>
        <v>1102016</v>
      </c>
      <c r="AX1000" s="13" t="s">
        <v>1127</v>
      </c>
      <c r="AY1000" s="13">
        <f t="shared" si="270"/>
        <v>4</v>
      </c>
      <c r="AZ1000" s="13" t="s">
        <v>1148</v>
      </c>
      <c r="BA1000" s="14">
        <f t="shared" si="271"/>
        <v>6</v>
      </c>
      <c r="BB1000" s="14" t="str">
        <f t="shared" si="272"/>
        <v>西方龙魂珠-4 等级-6</v>
      </c>
      <c r="BC1000" s="25" t="s">
        <v>1156</v>
      </c>
      <c r="BD1000" s="14">
        <f t="shared" si="273"/>
        <v>605</v>
      </c>
      <c r="BE1000" s="14">
        <f>SUMIFS(BD$4:BD1000,$AU$4:$AU1000,"="&amp;$AU1000,$AY$4:$AY1000,"="&amp;$AY1000)</f>
        <v>1947</v>
      </c>
      <c r="BF1000" s="25" t="s">
        <v>1157</v>
      </c>
      <c r="BG1000" s="14">
        <f t="shared" si="274"/>
        <v>330</v>
      </c>
      <c r="BH1000" s="14">
        <f>SUMIFS(BG$4:BG1000,AU$4:AU1000,"="&amp;AU1000,AY$4:AY1000,"="&amp;AY1000)</f>
        <v>1062</v>
      </c>
      <c r="BI1000" s="25" t="s">
        <v>1158</v>
      </c>
      <c r="BJ1000" s="14">
        <f t="shared" si="275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7"/>
        <v>13</v>
      </c>
      <c r="AV1001" s="14">
        <f t="shared" si="268"/>
        <v>201604</v>
      </c>
      <c r="AW1001" s="14">
        <f t="shared" si="269"/>
        <v>1102016</v>
      </c>
      <c r="AX1001" s="13" t="s">
        <v>1127</v>
      </c>
      <c r="AY1001" s="13">
        <f t="shared" si="270"/>
        <v>4</v>
      </c>
      <c r="AZ1001" s="13" t="s">
        <v>1148</v>
      </c>
      <c r="BA1001" s="14">
        <f t="shared" si="271"/>
        <v>7</v>
      </c>
      <c r="BB1001" s="14" t="str">
        <f t="shared" si="272"/>
        <v>西方龙魂珠-4 等级-7</v>
      </c>
      <c r="BC1001" s="25" t="s">
        <v>1156</v>
      </c>
      <c r="BD1001" s="14">
        <f t="shared" si="273"/>
        <v>715</v>
      </c>
      <c r="BE1001" s="14">
        <f>SUMIFS(BD$4:BD1001,$AU$4:$AU1001,"="&amp;$AU1001,$AY$4:$AY1001,"="&amp;$AY1001)</f>
        <v>2662</v>
      </c>
      <c r="BF1001" s="25" t="s">
        <v>1157</v>
      </c>
      <c r="BG1001" s="14">
        <f t="shared" si="274"/>
        <v>390</v>
      </c>
      <c r="BH1001" s="14">
        <f>SUMIFS(BG$4:BG1001,AU$4:AU1001,"="&amp;AU1001,AY$4:AY1001,"="&amp;AY1001)</f>
        <v>1452</v>
      </c>
      <c r="BI1001" s="25" t="s">
        <v>1158</v>
      </c>
      <c r="BJ1001" s="14">
        <f t="shared" si="275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7"/>
        <v>13</v>
      </c>
      <c r="AV1002" s="14">
        <f t="shared" si="268"/>
        <v>201604</v>
      </c>
      <c r="AW1002" s="14">
        <f t="shared" si="269"/>
        <v>1102016</v>
      </c>
      <c r="AX1002" s="13" t="s">
        <v>1127</v>
      </c>
      <c r="AY1002" s="13">
        <f t="shared" si="270"/>
        <v>4</v>
      </c>
      <c r="AZ1002" s="13" t="s">
        <v>1148</v>
      </c>
      <c r="BA1002" s="14">
        <f t="shared" si="271"/>
        <v>8</v>
      </c>
      <c r="BB1002" s="14" t="str">
        <f t="shared" si="272"/>
        <v>西方龙魂珠-4 等级-8</v>
      </c>
      <c r="BC1002" s="25" t="s">
        <v>1156</v>
      </c>
      <c r="BD1002" s="14">
        <f t="shared" si="273"/>
        <v>825</v>
      </c>
      <c r="BE1002" s="14">
        <f>SUMIFS(BD$4:BD1002,$AU$4:$AU1002,"="&amp;$AU1002,$AY$4:$AY1002,"="&amp;$AY1002)</f>
        <v>3487</v>
      </c>
      <c r="BF1002" s="25" t="s">
        <v>1157</v>
      </c>
      <c r="BG1002" s="14">
        <f t="shared" si="274"/>
        <v>450</v>
      </c>
      <c r="BH1002" s="14">
        <f>SUMIFS(BG$4:BG1002,AU$4:AU1002,"="&amp;AU1002,AY$4:AY1002,"="&amp;AY1002)</f>
        <v>1902</v>
      </c>
      <c r="BI1002" s="25" t="s">
        <v>1158</v>
      </c>
      <c r="BJ1002" s="14">
        <f t="shared" si="275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7"/>
        <v>13</v>
      </c>
      <c r="AV1003" s="14">
        <f t="shared" si="268"/>
        <v>201604</v>
      </c>
      <c r="AW1003" s="14">
        <f t="shared" si="269"/>
        <v>1102016</v>
      </c>
      <c r="AX1003" s="13" t="s">
        <v>1127</v>
      </c>
      <c r="AY1003" s="13">
        <f t="shared" si="270"/>
        <v>4</v>
      </c>
      <c r="AZ1003" s="13" t="s">
        <v>1148</v>
      </c>
      <c r="BA1003" s="14">
        <f t="shared" si="271"/>
        <v>9</v>
      </c>
      <c r="BB1003" s="14" t="str">
        <f t="shared" si="272"/>
        <v>西方龙魂珠-4 等级-9</v>
      </c>
      <c r="BC1003" s="25" t="s">
        <v>1156</v>
      </c>
      <c r="BD1003" s="14">
        <f t="shared" si="273"/>
        <v>935</v>
      </c>
      <c r="BE1003" s="14">
        <f>SUMIFS(BD$4:BD1003,$AU$4:$AU1003,"="&amp;$AU1003,$AY$4:$AY1003,"="&amp;$AY1003)</f>
        <v>4422</v>
      </c>
      <c r="BF1003" s="25" t="s">
        <v>1157</v>
      </c>
      <c r="BG1003" s="14">
        <f t="shared" si="274"/>
        <v>510</v>
      </c>
      <c r="BH1003" s="14">
        <f>SUMIFS(BG$4:BG1003,AU$4:AU1003,"="&amp;AU1003,AY$4:AY1003,"="&amp;AY1003)</f>
        <v>2412</v>
      </c>
      <c r="BI1003" s="25" t="s">
        <v>1158</v>
      </c>
      <c r="BJ1003" s="14">
        <f t="shared" si="275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7"/>
        <v>13</v>
      </c>
      <c r="AV1004" s="14">
        <f t="shared" si="268"/>
        <v>201605</v>
      </c>
      <c r="AW1004" s="14">
        <f t="shared" si="269"/>
        <v>1102016</v>
      </c>
      <c r="AX1004" s="13" t="s">
        <v>1127</v>
      </c>
      <c r="AY1004" s="13">
        <f t="shared" si="270"/>
        <v>5</v>
      </c>
      <c r="AZ1004" s="13" t="s">
        <v>1148</v>
      </c>
      <c r="BA1004" s="14">
        <f t="shared" si="271"/>
        <v>0</v>
      </c>
      <c r="BB1004" s="14" t="str">
        <f t="shared" si="272"/>
        <v>西方龙魂珠-5 等级-0</v>
      </c>
      <c r="BC1004" s="25" t="s">
        <v>1156</v>
      </c>
      <c r="BD1004" s="14">
        <f t="shared" si="273"/>
        <v>0</v>
      </c>
      <c r="BE1004" s="14">
        <f>SUMIFS(BD$4:BD1004,$AU$4:$AU1004,"="&amp;$AU1004,$AY$4:$AY1004,"="&amp;$AY1004)</f>
        <v>0</v>
      </c>
      <c r="BF1004" s="25" t="s">
        <v>1157</v>
      </c>
      <c r="BG1004" s="14">
        <f t="shared" si="274"/>
        <v>0</v>
      </c>
      <c r="BH1004" s="14">
        <f>SUMIFS(BG$4:BG1004,AU$4:AU1004,"="&amp;AU1004,AY$4:AY1004,"="&amp;AY1004)</f>
        <v>0</v>
      </c>
      <c r="BI1004" s="25" t="s">
        <v>1158</v>
      </c>
      <c r="BJ1004" s="14">
        <f t="shared" si="275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7"/>
        <v>13</v>
      </c>
      <c r="AV1005" s="14">
        <f t="shared" si="268"/>
        <v>201605</v>
      </c>
      <c r="AW1005" s="14">
        <f t="shared" si="269"/>
        <v>1102016</v>
      </c>
      <c r="AX1005" s="13" t="s">
        <v>1127</v>
      </c>
      <c r="AY1005" s="13">
        <f t="shared" si="270"/>
        <v>5</v>
      </c>
      <c r="AZ1005" s="13" t="s">
        <v>1148</v>
      </c>
      <c r="BA1005" s="14">
        <f t="shared" si="271"/>
        <v>1</v>
      </c>
      <c r="BB1005" s="14" t="str">
        <f t="shared" si="272"/>
        <v>西方龙魂珠-5 等级-1</v>
      </c>
      <c r="BC1005" s="25" t="s">
        <v>1156</v>
      </c>
      <c r="BD1005" s="14">
        <f t="shared" si="273"/>
        <v>154</v>
      </c>
      <c r="BE1005" s="14">
        <f>SUMIFS(BD$4:BD1005,$AU$4:$AU1005,"="&amp;$AU1005,$AY$4:$AY1005,"="&amp;$AY1005)</f>
        <v>154</v>
      </c>
      <c r="BF1005" s="25" t="s">
        <v>1157</v>
      </c>
      <c r="BG1005" s="14">
        <f t="shared" si="274"/>
        <v>84</v>
      </c>
      <c r="BH1005" s="14">
        <f>SUMIFS(BG$4:BG1005,AU$4:AU1005,"="&amp;AU1005,AY$4:AY1005,"="&amp;AY1005)</f>
        <v>84</v>
      </c>
      <c r="BI1005" s="25" t="s">
        <v>1158</v>
      </c>
      <c r="BJ1005" s="14">
        <f t="shared" si="275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7"/>
        <v>13</v>
      </c>
      <c r="AV1006" s="14">
        <f t="shared" si="268"/>
        <v>201605</v>
      </c>
      <c r="AW1006" s="14">
        <f t="shared" si="269"/>
        <v>1102016</v>
      </c>
      <c r="AX1006" s="13" t="s">
        <v>1127</v>
      </c>
      <c r="AY1006" s="13">
        <f t="shared" si="270"/>
        <v>5</v>
      </c>
      <c r="AZ1006" s="13" t="s">
        <v>1148</v>
      </c>
      <c r="BA1006" s="14">
        <f t="shared" si="271"/>
        <v>2</v>
      </c>
      <c r="BB1006" s="14" t="str">
        <f t="shared" si="272"/>
        <v>西方龙魂珠-5 等级-2</v>
      </c>
      <c r="BC1006" s="25" t="s">
        <v>1156</v>
      </c>
      <c r="BD1006" s="14">
        <f t="shared" si="273"/>
        <v>220</v>
      </c>
      <c r="BE1006" s="14">
        <f>SUMIFS(BD$4:BD1006,$AU$4:$AU1006,"="&amp;$AU1006,$AY$4:$AY1006,"="&amp;$AY1006)</f>
        <v>374</v>
      </c>
      <c r="BF1006" s="25" t="s">
        <v>1157</v>
      </c>
      <c r="BG1006" s="14">
        <f t="shared" si="274"/>
        <v>120</v>
      </c>
      <c r="BH1006" s="14">
        <f>SUMIFS(BG$4:BG1006,AU$4:AU1006,"="&amp;AU1006,AY$4:AY1006,"="&amp;AY1006)</f>
        <v>204</v>
      </c>
      <c r="BI1006" s="25" t="s">
        <v>1158</v>
      </c>
      <c r="BJ1006" s="14">
        <f t="shared" si="275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7"/>
        <v>13</v>
      </c>
      <c r="AV1007" s="14">
        <f t="shared" si="268"/>
        <v>201605</v>
      </c>
      <c r="AW1007" s="14">
        <f t="shared" si="269"/>
        <v>1102016</v>
      </c>
      <c r="AX1007" s="13" t="s">
        <v>1127</v>
      </c>
      <c r="AY1007" s="13">
        <f t="shared" si="270"/>
        <v>5</v>
      </c>
      <c r="AZ1007" s="13" t="s">
        <v>1148</v>
      </c>
      <c r="BA1007" s="14">
        <f t="shared" si="271"/>
        <v>3</v>
      </c>
      <c r="BB1007" s="14" t="str">
        <f t="shared" si="272"/>
        <v>西方龙魂珠-5 等级-3</v>
      </c>
      <c r="BC1007" s="25" t="s">
        <v>1156</v>
      </c>
      <c r="BD1007" s="14">
        <f t="shared" si="273"/>
        <v>286</v>
      </c>
      <c r="BE1007" s="14">
        <f>SUMIFS(BD$4:BD1007,$AU$4:$AU1007,"="&amp;$AU1007,$AY$4:$AY1007,"="&amp;$AY1007)</f>
        <v>660</v>
      </c>
      <c r="BF1007" s="25" t="s">
        <v>1157</v>
      </c>
      <c r="BG1007" s="14">
        <f t="shared" si="274"/>
        <v>156</v>
      </c>
      <c r="BH1007" s="14">
        <f>SUMIFS(BG$4:BG1007,AU$4:AU1007,"="&amp;AU1007,AY$4:AY1007,"="&amp;AY1007)</f>
        <v>360</v>
      </c>
      <c r="BI1007" s="25" t="s">
        <v>1158</v>
      </c>
      <c r="BJ1007" s="14">
        <f t="shared" si="275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7"/>
        <v>13</v>
      </c>
      <c r="AV1008" s="14">
        <f t="shared" si="268"/>
        <v>201605</v>
      </c>
      <c r="AW1008" s="14">
        <f t="shared" si="269"/>
        <v>1102016</v>
      </c>
      <c r="AX1008" s="13" t="s">
        <v>1127</v>
      </c>
      <c r="AY1008" s="13">
        <f t="shared" si="270"/>
        <v>5</v>
      </c>
      <c r="AZ1008" s="13" t="s">
        <v>1148</v>
      </c>
      <c r="BA1008" s="14">
        <f t="shared" si="271"/>
        <v>4</v>
      </c>
      <c r="BB1008" s="14" t="str">
        <f t="shared" si="272"/>
        <v>西方龙魂珠-5 等级-4</v>
      </c>
      <c r="BC1008" s="25" t="s">
        <v>1156</v>
      </c>
      <c r="BD1008" s="14">
        <f t="shared" si="273"/>
        <v>440</v>
      </c>
      <c r="BE1008" s="14">
        <f>SUMIFS(BD$4:BD1008,$AU$4:$AU1008,"="&amp;$AU1008,$AY$4:$AY1008,"="&amp;$AY1008)</f>
        <v>1100</v>
      </c>
      <c r="BF1008" s="25" t="s">
        <v>1157</v>
      </c>
      <c r="BG1008" s="14">
        <f t="shared" si="274"/>
        <v>240</v>
      </c>
      <c r="BH1008" s="14">
        <f>SUMIFS(BG$4:BG1008,AU$4:AU1008,"="&amp;AU1008,AY$4:AY1008,"="&amp;AY1008)</f>
        <v>600</v>
      </c>
      <c r="BI1008" s="25" t="s">
        <v>1158</v>
      </c>
      <c r="BJ1008" s="14">
        <f t="shared" si="275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7"/>
        <v>13</v>
      </c>
      <c r="AV1009" s="14">
        <f t="shared" si="268"/>
        <v>201605</v>
      </c>
      <c r="AW1009" s="14">
        <f t="shared" si="269"/>
        <v>1102016</v>
      </c>
      <c r="AX1009" s="13" t="s">
        <v>1127</v>
      </c>
      <c r="AY1009" s="13">
        <f t="shared" si="270"/>
        <v>5</v>
      </c>
      <c r="AZ1009" s="13" t="s">
        <v>1148</v>
      </c>
      <c r="BA1009" s="14">
        <f t="shared" si="271"/>
        <v>5</v>
      </c>
      <c r="BB1009" s="14" t="str">
        <f t="shared" si="272"/>
        <v>西方龙魂珠-5 等级-5</v>
      </c>
      <c r="BC1009" s="25" t="s">
        <v>1156</v>
      </c>
      <c r="BD1009" s="14">
        <f t="shared" si="273"/>
        <v>572</v>
      </c>
      <c r="BE1009" s="14">
        <f>SUMIFS(BD$4:BD1009,$AU$4:$AU1009,"="&amp;$AU1009,$AY$4:$AY1009,"="&amp;$AY1009)</f>
        <v>1672</v>
      </c>
      <c r="BF1009" s="25" t="s">
        <v>1157</v>
      </c>
      <c r="BG1009" s="14">
        <f t="shared" si="274"/>
        <v>312</v>
      </c>
      <c r="BH1009" s="14">
        <f>SUMIFS(BG$4:BG1009,AU$4:AU1009,"="&amp;AU1009,AY$4:AY1009,"="&amp;AY1009)</f>
        <v>912</v>
      </c>
      <c r="BI1009" s="25" t="s">
        <v>1158</v>
      </c>
      <c r="BJ1009" s="14">
        <f t="shared" si="275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7"/>
        <v>13</v>
      </c>
      <c r="AV1010" s="14">
        <f t="shared" si="268"/>
        <v>201605</v>
      </c>
      <c r="AW1010" s="14">
        <f t="shared" si="269"/>
        <v>1102016</v>
      </c>
      <c r="AX1010" s="13" t="s">
        <v>1127</v>
      </c>
      <c r="AY1010" s="13">
        <f t="shared" si="270"/>
        <v>5</v>
      </c>
      <c r="AZ1010" s="13" t="s">
        <v>1148</v>
      </c>
      <c r="BA1010" s="14">
        <f t="shared" si="271"/>
        <v>6</v>
      </c>
      <c r="BB1010" s="14" t="str">
        <f t="shared" si="272"/>
        <v>西方龙魂珠-5 等级-6</v>
      </c>
      <c r="BC1010" s="25" t="s">
        <v>1156</v>
      </c>
      <c r="BD1010" s="14">
        <f t="shared" si="273"/>
        <v>715</v>
      </c>
      <c r="BE1010" s="14">
        <f>SUMIFS(BD$4:BD1010,$AU$4:$AU1010,"="&amp;$AU1010,$AY$4:$AY1010,"="&amp;$AY1010)</f>
        <v>2387</v>
      </c>
      <c r="BF1010" s="25" t="s">
        <v>1157</v>
      </c>
      <c r="BG1010" s="14">
        <f t="shared" si="274"/>
        <v>390</v>
      </c>
      <c r="BH1010" s="14">
        <f>SUMIFS(BG$4:BG1010,AU$4:AU1010,"="&amp;AU1010,AY$4:AY1010,"="&amp;AY1010)</f>
        <v>1302</v>
      </c>
      <c r="BI1010" s="25" t="s">
        <v>1158</v>
      </c>
      <c r="BJ1010" s="14">
        <f t="shared" si="275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7"/>
        <v>13</v>
      </c>
      <c r="AV1011" s="14">
        <f t="shared" si="268"/>
        <v>201605</v>
      </c>
      <c r="AW1011" s="14">
        <f t="shared" si="269"/>
        <v>1102016</v>
      </c>
      <c r="AX1011" s="13" t="s">
        <v>1127</v>
      </c>
      <c r="AY1011" s="13">
        <f t="shared" si="270"/>
        <v>5</v>
      </c>
      <c r="AZ1011" s="13" t="s">
        <v>1148</v>
      </c>
      <c r="BA1011" s="14">
        <f t="shared" si="271"/>
        <v>7</v>
      </c>
      <c r="BB1011" s="14" t="str">
        <f t="shared" si="272"/>
        <v>西方龙魂珠-5 等级-7</v>
      </c>
      <c r="BC1011" s="25" t="s">
        <v>1156</v>
      </c>
      <c r="BD1011" s="14">
        <f t="shared" si="273"/>
        <v>880</v>
      </c>
      <c r="BE1011" s="14">
        <f>SUMIFS(BD$4:BD1011,$AU$4:$AU1011,"="&amp;$AU1011,$AY$4:$AY1011,"="&amp;$AY1011)</f>
        <v>3267</v>
      </c>
      <c r="BF1011" s="25" t="s">
        <v>1157</v>
      </c>
      <c r="BG1011" s="14">
        <f t="shared" si="274"/>
        <v>480</v>
      </c>
      <c r="BH1011" s="14">
        <f>SUMIFS(BG$4:BG1011,AU$4:AU1011,"="&amp;AU1011,AY$4:AY1011,"="&amp;AY1011)</f>
        <v>1782</v>
      </c>
      <c r="BI1011" s="25" t="s">
        <v>1158</v>
      </c>
      <c r="BJ1011" s="14">
        <f t="shared" si="275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7"/>
        <v>13</v>
      </c>
      <c r="AV1012" s="14">
        <f t="shared" si="268"/>
        <v>201605</v>
      </c>
      <c r="AW1012" s="14">
        <f t="shared" si="269"/>
        <v>1102016</v>
      </c>
      <c r="AX1012" s="13" t="s">
        <v>1127</v>
      </c>
      <c r="AY1012" s="13">
        <f t="shared" si="270"/>
        <v>5</v>
      </c>
      <c r="AZ1012" s="13" t="s">
        <v>1148</v>
      </c>
      <c r="BA1012" s="14">
        <f t="shared" si="271"/>
        <v>8</v>
      </c>
      <c r="BB1012" s="14" t="str">
        <f t="shared" si="272"/>
        <v>西方龙魂珠-5 等级-8</v>
      </c>
      <c r="BC1012" s="25" t="s">
        <v>44</v>
      </c>
      <c r="BD1012" s="14">
        <f t="shared" si="273"/>
        <v>1045</v>
      </c>
      <c r="BE1012" s="14">
        <f>SUMIFS(BD$4:BD1012,$AU$4:$AU1012,"="&amp;$AU1012,$AY$4:$AY1012,"="&amp;$AY1012)</f>
        <v>4312</v>
      </c>
      <c r="BF1012" s="25" t="s">
        <v>1157</v>
      </c>
      <c r="BG1012" s="14">
        <f t="shared" si="274"/>
        <v>570</v>
      </c>
      <c r="BH1012" s="14">
        <f>SUMIFS(BG$4:BG1012,AU$4:AU1012,"="&amp;AU1012,AY$4:AY1012,"="&amp;AY1012)</f>
        <v>2352</v>
      </c>
      <c r="BI1012" s="25" t="s">
        <v>1158</v>
      </c>
      <c r="BJ1012" s="14">
        <f t="shared" si="275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7"/>
        <v>13</v>
      </c>
      <c r="AV1013" s="14">
        <f t="shared" si="268"/>
        <v>201605</v>
      </c>
      <c r="AW1013" s="14">
        <f t="shared" si="269"/>
        <v>1102016</v>
      </c>
      <c r="AX1013" s="13" t="s">
        <v>1127</v>
      </c>
      <c r="AY1013" s="13">
        <f t="shared" si="270"/>
        <v>5</v>
      </c>
      <c r="AZ1013" s="13" t="s">
        <v>1148</v>
      </c>
      <c r="BA1013" s="14">
        <f t="shared" si="271"/>
        <v>9</v>
      </c>
      <c r="BB1013" s="14" t="str">
        <f t="shared" si="272"/>
        <v>西方龙魂珠-5 等级-9</v>
      </c>
      <c r="BC1013" s="25" t="s">
        <v>44</v>
      </c>
      <c r="BD1013" s="14">
        <f t="shared" si="273"/>
        <v>1210</v>
      </c>
      <c r="BE1013" s="14">
        <f>SUMIFS(BD$4:BD1013,$AU$4:$AU1013,"="&amp;$AU1013,$AY$4:$AY1013,"="&amp;$AY1013)</f>
        <v>5522</v>
      </c>
      <c r="BF1013" s="25" t="s">
        <v>1157</v>
      </c>
      <c r="BG1013" s="14">
        <f t="shared" si="274"/>
        <v>660</v>
      </c>
      <c r="BH1013" s="14">
        <f>SUMIFS(BG$4:BG1013,AU$4:AU1013,"="&amp;AU1013,AY$4:AY1013,"="&amp;AY1013)</f>
        <v>3012</v>
      </c>
      <c r="BI1013" s="25" t="s">
        <v>1158</v>
      </c>
      <c r="BJ1013" s="14">
        <f t="shared" si="275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7"/>
        <v>13</v>
      </c>
      <c r="AV1014" s="14">
        <f t="shared" si="268"/>
        <v>201606</v>
      </c>
      <c r="AW1014" s="14">
        <f t="shared" si="269"/>
        <v>1102016</v>
      </c>
      <c r="AX1014" s="13" t="s">
        <v>1127</v>
      </c>
      <c r="AY1014" s="13">
        <f t="shared" si="270"/>
        <v>6</v>
      </c>
      <c r="AZ1014" s="13" t="s">
        <v>1148</v>
      </c>
      <c r="BA1014" s="14">
        <f t="shared" si="271"/>
        <v>0</v>
      </c>
      <c r="BB1014" s="14" t="str">
        <f t="shared" si="272"/>
        <v>西方龙魂珠-6 等级-0</v>
      </c>
      <c r="BC1014" s="25" t="s">
        <v>44</v>
      </c>
      <c r="BD1014" s="14">
        <f t="shared" si="273"/>
        <v>0</v>
      </c>
      <c r="BE1014" s="14">
        <f>SUMIFS(BD$4:BD1014,$AU$4:$AU1014,"="&amp;$AU1014,$AY$4:$AY1014,"="&amp;$AY1014)</f>
        <v>0</v>
      </c>
      <c r="BF1014" s="25" t="s">
        <v>1157</v>
      </c>
      <c r="BG1014" s="14">
        <f t="shared" si="274"/>
        <v>0</v>
      </c>
      <c r="BH1014" s="14">
        <f>SUMIFS(BG$4:BG1014,AU$4:AU1014,"="&amp;AU1014,AY$4:AY1014,"="&amp;AY1014)</f>
        <v>0</v>
      </c>
      <c r="BI1014" s="25" t="s">
        <v>1158</v>
      </c>
      <c r="BJ1014" s="14">
        <f t="shared" si="275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7"/>
        <v>13</v>
      </c>
      <c r="AV1015" s="14">
        <f t="shared" si="268"/>
        <v>201606</v>
      </c>
      <c r="AW1015" s="14">
        <f t="shared" si="269"/>
        <v>1102016</v>
      </c>
      <c r="AX1015" s="13" t="s">
        <v>1127</v>
      </c>
      <c r="AY1015" s="13">
        <f t="shared" si="270"/>
        <v>6</v>
      </c>
      <c r="AZ1015" s="13" t="s">
        <v>1148</v>
      </c>
      <c r="BA1015" s="14">
        <f t="shared" si="271"/>
        <v>1</v>
      </c>
      <c r="BB1015" s="14" t="str">
        <f t="shared" si="272"/>
        <v>西方龙魂珠-6 等级-1</v>
      </c>
      <c r="BC1015" s="25" t="s">
        <v>44</v>
      </c>
      <c r="BD1015" s="14">
        <f t="shared" si="273"/>
        <v>198</v>
      </c>
      <c r="BE1015" s="14">
        <f>SUMIFS(BD$4:BD1015,$AU$4:$AU1015,"="&amp;$AU1015,$AY$4:$AY1015,"="&amp;$AY1015)</f>
        <v>198</v>
      </c>
      <c r="BF1015" s="25" t="s">
        <v>1157</v>
      </c>
      <c r="BG1015" s="14">
        <f t="shared" si="274"/>
        <v>108</v>
      </c>
      <c r="BH1015" s="14">
        <f>SUMIFS(BG$4:BG1015,AU$4:AU1015,"="&amp;AU1015,AY$4:AY1015,"="&amp;AY1015)</f>
        <v>108</v>
      </c>
      <c r="BI1015" s="25" t="s">
        <v>1158</v>
      </c>
      <c r="BJ1015" s="14">
        <f t="shared" si="275"/>
        <v>4860</v>
      </c>
      <c r="BK1015" s="14">
        <f>SUMIFS(BJ$4:BJ1015,$AU$4:$AU1015,"="&amp;$AU1015,$AY$4:$AY1015,"="&amp;$AY1015)</f>
        <v>4860</v>
      </c>
    </row>
    <row r="1016" spans="46:63" ht="16.5" x14ac:dyDescent="0.2">
      <c r="AT1016" s="13">
        <v>1013</v>
      </c>
      <c r="AU1016" s="13">
        <f t="shared" si="267"/>
        <v>13</v>
      </c>
      <c r="AV1016" s="14">
        <f t="shared" si="268"/>
        <v>201606</v>
      </c>
      <c r="AW1016" s="14">
        <f t="shared" si="269"/>
        <v>1102016</v>
      </c>
      <c r="AX1016" s="13" t="s">
        <v>1127</v>
      </c>
      <c r="AY1016" s="13">
        <f t="shared" si="270"/>
        <v>6</v>
      </c>
      <c r="AZ1016" s="13" t="s">
        <v>1148</v>
      </c>
      <c r="BA1016" s="14">
        <f t="shared" si="271"/>
        <v>2</v>
      </c>
      <c r="BB1016" s="14" t="str">
        <f t="shared" si="272"/>
        <v>西方龙魂珠-6 等级-2</v>
      </c>
      <c r="BC1016" s="25" t="s">
        <v>44</v>
      </c>
      <c r="BD1016" s="14">
        <f t="shared" si="273"/>
        <v>308</v>
      </c>
      <c r="BE1016" s="14">
        <f>SUMIFS(BD$4:BD1016,$AU$4:$AU1016,"="&amp;$AU1016,$AY$4:$AY1016,"="&amp;$AY1016)</f>
        <v>506</v>
      </c>
      <c r="BF1016" s="25" t="s">
        <v>1157</v>
      </c>
      <c r="BG1016" s="14">
        <f t="shared" si="274"/>
        <v>168</v>
      </c>
      <c r="BH1016" s="14">
        <f>SUMIFS(BG$4:BG1016,AU$4:AU1016,"="&amp;AU1016,AY$4:AY1016,"="&amp;AY1016)</f>
        <v>276</v>
      </c>
      <c r="BI1016" s="25" t="s">
        <v>1158</v>
      </c>
      <c r="BJ1016" s="14">
        <f t="shared" si="275"/>
        <v>7560</v>
      </c>
      <c r="BK1016" s="14">
        <f>SUMIFS(BJ$4:BJ1016,$AU$4:$AU1016,"="&amp;$AU1016,$AY$4:$AY1016,"="&amp;$AY1016)</f>
        <v>12420</v>
      </c>
    </row>
    <row r="1017" spans="46:63" ht="16.5" x14ac:dyDescent="0.2">
      <c r="AT1017" s="13">
        <v>1014</v>
      </c>
      <c r="AU1017" s="13">
        <f t="shared" si="267"/>
        <v>13</v>
      </c>
      <c r="AV1017" s="14">
        <f t="shared" si="268"/>
        <v>201606</v>
      </c>
      <c r="AW1017" s="14">
        <f t="shared" si="269"/>
        <v>1102016</v>
      </c>
      <c r="AX1017" s="13" t="s">
        <v>1127</v>
      </c>
      <c r="AY1017" s="13">
        <f t="shared" si="270"/>
        <v>6</v>
      </c>
      <c r="AZ1017" s="13" t="s">
        <v>1148</v>
      </c>
      <c r="BA1017" s="14">
        <f t="shared" si="271"/>
        <v>3</v>
      </c>
      <c r="BB1017" s="14" t="str">
        <f t="shared" si="272"/>
        <v>西方龙魂珠-6 等级-3</v>
      </c>
      <c r="BC1017" s="25" t="s">
        <v>44</v>
      </c>
      <c r="BD1017" s="14">
        <f t="shared" si="273"/>
        <v>413</v>
      </c>
      <c r="BE1017" s="14">
        <f>SUMIFS(BD$4:BD1017,$AU$4:$AU1017,"="&amp;$AU1017,$AY$4:$AY1017,"="&amp;$AY1017)</f>
        <v>919</v>
      </c>
      <c r="BF1017" s="25" t="s">
        <v>1157</v>
      </c>
      <c r="BG1017" s="14">
        <f t="shared" si="274"/>
        <v>225</v>
      </c>
      <c r="BH1017" s="14">
        <f>SUMIFS(BG$4:BG1017,AU$4:AU1017,"="&amp;AU1017,AY$4:AY1017,"="&amp;AY1017)</f>
        <v>501</v>
      </c>
      <c r="BI1017" s="25" t="s">
        <v>1158</v>
      </c>
      <c r="BJ1017" s="14">
        <f t="shared" si="275"/>
        <v>10125</v>
      </c>
      <c r="BK1017" s="14">
        <f>SUMIFS(BJ$4:BJ1017,$AU$4:$AU1017,"="&amp;$AU1017,$AY$4:$AY1017,"="&amp;$AY1017)</f>
        <v>22545</v>
      </c>
    </row>
    <row r="1018" spans="46:63" ht="16.5" x14ac:dyDescent="0.2">
      <c r="AT1018" s="13">
        <v>1015</v>
      </c>
      <c r="AU1018" s="13">
        <f t="shared" si="267"/>
        <v>13</v>
      </c>
      <c r="AV1018" s="14">
        <f t="shared" si="268"/>
        <v>201606</v>
      </c>
      <c r="AW1018" s="14">
        <f t="shared" si="269"/>
        <v>1102016</v>
      </c>
      <c r="AX1018" s="13" t="s">
        <v>1127</v>
      </c>
      <c r="AY1018" s="13">
        <f t="shared" si="270"/>
        <v>6</v>
      </c>
      <c r="AZ1018" s="13" t="s">
        <v>1148</v>
      </c>
      <c r="BA1018" s="14">
        <f t="shared" si="271"/>
        <v>4</v>
      </c>
      <c r="BB1018" s="14" t="str">
        <f t="shared" si="272"/>
        <v>西方龙魂珠-6 等级-4</v>
      </c>
      <c r="BC1018" s="25" t="s">
        <v>44</v>
      </c>
      <c r="BD1018" s="14">
        <f t="shared" si="273"/>
        <v>616</v>
      </c>
      <c r="BE1018" s="14">
        <f>SUMIFS(BD$4:BD1018,$AU$4:$AU1018,"="&amp;$AU1018,$AY$4:$AY1018,"="&amp;$AY1018)</f>
        <v>1535</v>
      </c>
      <c r="BF1018" s="25" t="s">
        <v>1157</v>
      </c>
      <c r="BG1018" s="14">
        <f t="shared" si="274"/>
        <v>336</v>
      </c>
      <c r="BH1018" s="14">
        <f>SUMIFS(BG$4:BG1018,AU$4:AU1018,"="&amp;AU1018,AY$4:AY1018,"="&amp;AY1018)</f>
        <v>837</v>
      </c>
      <c r="BI1018" s="25" t="s">
        <v>1158</v>
      </c>
      <c r="BJ1018" s="14">
        <f t="shared" si="275"/>
        <v>15120</v>
      </c>
      <c r="BK1018" s="14">
        <f>SUMIFS(BJ$4:BJ1018,$AU$4:$AU1018,"="&amp;$AU1018,$AY$4:$AY1018,"="&amp;$AY1018)</f>
        <v>37665</v>
      </c>
    </row>
    <row r="1019" spans="46:63" ht="16.5" x14ac:dyDescent="0.2">
      <c r="AT1019" s="13">
        <v>1016</v>
      </c>
      <c r="AU1019" s="13">
        <f t="shared" si="267"/>
        <v>13</v>
      </c>
      <c r="AV1019" s="14">
        <f t="shared" si="268"/>
        <v>201606</v>
      </c>
      <c r="AW1019" s="14">
        <f t="shared" si="269"/>
        <v>1102016</v>
      </c>
      <c r="AX1019" s="13" t="s">
        <v>1127</v>
      </c>
      <c r="AY1019" s="13">
        <f t="shared" si="270"/>
        <v>6</v>
      </c>
      <c r="AZ1019" s="13" t="s">
        <v>1148</v>
      </c>
      <c r="BA1019" s="14">
        <f t="shared" si="271"/>
        <v>5</v>
      </c>
      <c r="BB1019" s="14" t="str">
        <f t="shared" si="272"/>
        <v>西方龙魂珠-6 等级-5</v>
      </c>
      <c r="BC1019" s="25" t="s">
        <v>44</v>
      </c>
      <c r="BD1019" s="14">
        <f t="shared" si="273"/>
        <v>825</v>
      </c>
      <c r="BE1019" s="14">
        <f>SUMIFS(BD$4:BD1019,$AU$4:$AU1019,"="&amp;$AU1019,$AY$4:$AY1019,"="&amp;$AY1019)</f>
        <v>2360</v>
      </c>
      <c r="BF1019" s="25" t="s">
        <v>1157</v>
      </c>
      <c r="BG1019" s="14">
        <f t="shared" si="274"/>
        <v>450</v>
      </c>
      <c r="BH1019" s="14">
        <f>SUMIFS(BG$4:BG1019,AU$4:AU1019,"="&amp;AU1019,AY$4:AY1019,"="&amp;AY1019)</f>
        <v>1287</v>
      </c>
      <c r="BI1019" s="25" t="s">
        <v>1158</v>
      </c>
      <c r="BJ1019" s="14">
        <f t="shared" si="275"/>
        <v>20250</v>
      </c>
      <c r="BK1019" s="14">
        <f>SUMIFS(BJ$4:BJ1019,$AU$4:$AU1019,"="&amp;$AU1019,$AY$4:$AY1019,"="&amp;$AY1019)</f>
        <v>57915</v>
      </c>
    </row>
    <row r="1020" spans="46:63" ht="16.5" x14ac:dyDescent="0.2">
      <c r="AT1020" s="13">
        <v>1017</v>
      </c>
      <c r="AU1020" s="13">
        <f t="shared" si="267"/>
        <v>13</v>
      </c>
      <c r="AV1020" s="14">
        <f t="shared" si="268"/>
        <v>201606</v>
      </c>
      <c r="AW1020" s="14">
        <f t="shared" si="269"/>
        <v>1102016</v>
      </c>
      <c r="AX1020" s="13" t="s">
        <v>1127</v>
      </c>
      <c r="AY1020" s="13">
        <f t="shared" si="270"/>
        <v>6</v>
      </c>
      <c r="AZ1020" s="13" t="s">
        <v>1148</v>
      </c>
      <c r="BA1020" s="14">
        <f t="shared" si="271"/>
        <v>6</v>
      </c>
      <c r="BB1020" s="14" t="str">
        <f t="shared" si="272"/>
        <v>西方龙魂珠-6 等级-6</v>
      </c>
      <c r="BC1020" s="25" t="s">
        <v>44</v>
      </c>
      <c r="BD1020" s="14">
        <f t="shared" si="273"/>
        <v>1045</v>
      </c>
      <c r="BE1020" s="14">
        <f>SUMIFS(BD$4:BD1020,$AU$4:$AU1020,"="&amp;$AU1020,$AY$4:$AY1020,"="&amp;$AY1020)</f>
        <v>3405</v>
      </c>
      <c r="BF1020" s="25" t="s">
        <v>1157</v>
      </c>
      <c r="BG1020" s="14">
        <f t="shared" si="274"/>
        <v>570</v>
      </c>
      <c r="BH1020" s="14">
        <f>SUMIFS(BG$4:BG1020,AU$4:AU1020,"="&amp;AU1020,AY$4:AY1020,"="&amp;AY1020)</f>
        <v>1857</v>
      </c>
      <c r="BI1020" s="25" t="s">
        <v>1158</v>
      </c>
      <c r="BJ1020" s="14">
        <f t="shared" si="275"/>
        <v>25650</v>
      </c>
      <c r="BK1020" s="14">
        <f>SUMIFS(BJ$4:BJ1020,$AU$4:$AU1020,"="&amp;$AU1020,$AY$4:$AY1020,"="&amp;$AY1020)</f>
        <v>83565</v>
      </c>
    </row>
    <row r="1021" spans="46:63" ht="16.5" x14ac:dyDescent="0.2">
      <c r="AT1021" s="13">
        <v>1018</v>
      </c>
      <c r="AU1021" s="13">
        <f t="shared" si="267"/>
        <v>13</v>
      </c>
      <c r="AV1021" s="14">
        <f t="shared" si="268"/>
        <v>201606</v>
      </c>
      <c r="AW1021" s="14">
        <f t="shared" si="269"/>
        <v>1102016</v>
      </c>
      <c r="AX1021" s="13" t="s">
        <v>1127</v>
      </c>
      <c r="AY1021" s="13">
        <f t="shared" si="270"/>
        <v>6</v>
      </c>
      <c r="AZ1021" s="13" t="s">
        <v>1148</v>
      </c>
      <c r="BA1021" s="14">
        <f t="shared" si="271"/>
        <v>7</v>
      </c>
      <c r="BB1021" s="14" t="str">
        <f t="shared" si="272"/>
        <v>西方龙魂珠-6 等级-7</v>
      </c>
      <c r="BC1021" s="25" t="s">
        <v>44</v>
      </c>
      <c r="BD1021" s="14">
        <f t="shared" si="273"/>
        <v>1265</v>
      </c>
      <c r="BE1021" s="14">
        <f>SUMIFS(BD$4:BD1021,$AU$4:$AU1021,"="&amp;$AU1021,$AY$4:$AY1021,"="&amp;$AY1021)</f>
        <v>4670</v>
      </c>
      <c r="BF1021" s="25" t="s">
        <v>1157</v>
      </c>
      <c r="BG1021" s="14">
        <f t="shared" si="274"/>
        <v>690</v>
      </c>
      <c r="BH1021" s="14">
        <f>SUMIFS(BG$4:BG1021,AU$4:AU1021,"="&amp;AU1021,AY$4:AY1021,"="&amp;AY1021)</f>
        <v>2547</v>
      </c>
      <c r="BI1021" s="25" t="s">
        <v>1158</v>
      </c>
      <c r="BJ1021" s="14">
        <f t="shared" si="275"/>
        <v>31050</v>
      </c>
      <c r="BK1021" s="14">
        <f>SUMIFS(BJ$4:BJ1021,$AU$4:$AU1021,"="&amp;$AU1021,$AY$4:$AY1021,"="&amp;$AY1021)</f>
        <v>114615</v>
      </c>
    </row>
    <row r="1022" spans="46:63" ht="16.5" x14ac:dyDescent="0.2">
      <c r="AT1022" s="13">
        <v>1019</v>
      </c>
      <c r="AU1022" s="13">
        <f t="shared" si="267"/>
        <v>13</v>
      </c>
      <c r="AV1022" s="14">
        <f t="shared" si="268"/>
        <v>201606</v>
      </c>
      <c r="AW1022" s="14">
        <f t="shared" si="269"/>
        <v>1102016</v>
      </c>
      <c r="AX1022" s="13" t="s">
        <v>1127</v>
      </c>
      <c r="AY1022" s="13">
        <f t="shared" si="270"/>
        <v>6</v>
      </c>
      <c r="AZ1022" s="13" t="s">
        <v>1148</v>
      </c>
      <c r="BA1022" s="14">
        <f t="shared" si="271"/>
        <v>8</v>
      </c>
      <c r="BB1022" s="14" t="str">
        <f t="shared" si="272"/>
        <v>西方龙魂珠-6 等级-8</v>
      </c>
      <c r="BC1022" s="25" t="s">
        <v>44</v>
      </c>
      <c r="BD1022" s="14">
        <f t="shared" si="273"/>
        <v>1430</v>
      </c>
      <c r="BE1022" s="14">
        <f>SUMIFS(BD$4:BD1022,$AU$4:$AU1022,"="&amp;$AU1022,$AY$4:$AY1022,"="&amp;$AY1022)</f>
        <v>6100</v>
      </c>
      <c r="BF1022" s="25" t="s">
        <v>1157</v>
      </c>
      <c r="BG1022" s="14">
        <f t="shared" si="274"/>
        <v>780</v>
      </c>
      <c r="BH1022" s="14">
        <f>SUMIFS(BG$4:BG1022,AU$4:AU1022,"="&amp;AU1022,AY$4:AY1022,"="&amp;AY1022)</f>
        <v>3327</v>
      </c>
      <c r="BI1022" s="25" t="s">
        <v>1158</v>
      </c>
      <c r="BJ1022" s="14">
        <f t="shared" si="275"/>
        <v>35100</v>
      </c>
      <c r="BK1022" s="14">
        <f>SUMIFS(BJ$4:BJ1022,$AU$4:$AU1022,"="&amp;$AU1022,$AY$4:$AY1022,"="&amp;$AY1022)</f>
        <v>149715</v>
      </c>
    </row>
    <row r="1023" spans="46:63" ht="16.5" x14ac:dyDescent="0.2">
      <c r="AT1023" s="13">
        <v>1020</v>
      </c>
      <c r="AU1023" s="13">
        <f t="shared" si="267"/>
        <v>13</v>
      </c>
      <c r="AV1023" s="14">
        <f t="shared" si="268"/>
        <v>201606</v>
      </c>
      <c r="AW1023" s="14">
        <f t="shared" si="269"/>
        <v>1102016</v>
      </c>
      <c r="AX1023" s="13" t="s">
        <v>1127</v>
      </c>
      <c r="AY1023" s="13">
        <f t="shared" si="270"/>
        <v>6</v>
      </c>
      <c r="AZ1023" s="13" t="s">
        <v>1148</v>
      </c>
      <c r="BA1023" s="14">
        <f t="shared" si="271"/>
        <v>9</v>
      </c>
      <c r="BB1023" s="14" t="str">
        <f t="shared" si="272"/>
        <v>西方龙魂珠-6 等级-9</v>
      </c>
      <c r="BC1023" s="25" t="s">
        <v>44</v>
      </c>
      <c r="BD1023" s="14">
        <f t="shared" si="273"/>
        <v>1650</v>
      </c>
      <c r="BE1023" s="14">
        <f>SUMIFS(BD$4:BD1023,$AU$4:$AU1023,"="&amp;$AU1023,$AY$4:$AY1023,"="&amp;$AY1023)</f>
        <v>7750</v>
      </c>
      <c r="BF1023" s="25" t="s">
        <v>1157</v>
      </c>
      <c r="BG1023" s="14">
        <f t="shared" si="274"/>
        <v>900</v>
      </c>
      <c r="BH1023" s="14">
        <f>SUMIFS(BG$4:BG1023,AU$4:AU1023,"="&amp;AU1023,AY$4:AY1023,"="&amp;AY1023)</f>
        <v>4227</v>
      </c>
      <c r="BI1023" s="25" t="s">
        <v>1158</v>
      </c>
      <c r="BJ1023" s="14">
        <f t="shared" si="275"/>
        <v>40500</v>
      </c>
      <c r="BK1023" s="14">
        <f>SUMIFS(BJ$4:BJ1023,$AU$4:$AU1023,"="&amp;$AU1023,$AY$4:$AY1023,"="&amp;$AY1023)</f>
        <v>190215</v>
      </c>
    </row>
    <row r="1024" spans="46:63" ht="16.5" x14ac:dyDescent="0.2">
      <c r="AT1024" s="13">
        <v>1021</v>
      </c>
      <c r="AU1024" s="13">
        <f t="shared" si="267"/>
        <v>13</v>
      </c>
      <c r="AV1024" s="14">
        <f t="shared" si="268"/>
        <v>201607</v>
      </c>
      <c r="AW1024" s="14">
        <f t="shared" si="269"/>
        <v>1102016</v>
      </c>
      <c r="AX1024" s="13" t="s">
        <v>1127</v>
      </c>
      <c r="AY1024" s="13">
        <f t="shared" si="270"/>
        <v>7</v>
      </c>
      <c r="AZ1024" s="13" t="s">
        <v>1148</v>
      </c>
      <c r="BA1024" s="14">
        <f t="shared" si="271"/>
        <v>0</v>
      </c>
      <c r="BB1024" s="14" t="str">
        <f t="shared" si="272"/>
        <v>西方龙魂珠-7 等级-0</v>
      </c>
      <c r="BC1024" s="25" t="s">
        <v>44</v>
      </c>
      <c r="BD1024" s="14">
        <f t="shared" si="273"/>
        <v>0</v>
      </c>
      <c r="BE1024" s="14">
        <f>SUMIFS(BD$4:BD1024,$AU$4:$AU1024,"="&amp;$AU1024,$AY$4:$AY1024,"="&amp;$AY1024)</f>
        <v>0</v>
      </c>
      <c r="BF1024" s="25" t="s">
        <v>1157</v>
      </c>
      <c r="BG1024" s="14">
        <f t="shared" si="274"/>
        <v>0</v>
      </c>
      <c r="BH1024" s="14">
        <f>SUMIFS(BG$4:BG1024,AU$4:AU1024,"="&amp;AU1024,AY$4:AY1024,"="&amp;AY1024)</f>
        <v>0</v>
      </c>
      <c r="BI1024" s="25" t="s">
        <v>1158</v>
      </c>
      <c r="BJ1024" s="14">
        <f t="shared" si="275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7"/>
        <v>13</v>
      </c>
      <c r="AV1025" s="14">
        <f t="shared" si="268"/>
        <v>201607</v>
      </c>
      <c r="AW1025" s="14">
        <f t="shared" si="269"/>
        <v>1102016</v>
      </c>
      <c r="AX1025" s="13" t="s">
        <v>1127</v>
      </c>
      <c r="AY1025" s="13">
        <f t="shared" si="270"/>
        <v>7</v>
      </c>
      <c r="AZ1025" s="13" t="s">
        <v>1148</v>
      </c>
      <c r="BA1025" s="14">
        <f t="shared" si="271"/>
        <v>1</v>
      </c>
      <c r="BB1025" s="14" t="str">
        <f t="shared" si="272"/>
        <v>西方龙魂珠-7 等级-1</v>
      </c>
      <c r="BC1025" s="25" t="s">
        <v>44</v>
      </c>
      <c r="BD1025" s="14">
        <f t="shared" si="273"/>
        <v>264</v>
      </c>
      <c r="BE1025" s="14">
        <f>SUMIFS(BD$4:BD1025,$AU$4:$AU1025,"="&amp;$AU1025,$AY$4:$AY1025,"="&amp;$AY1025)</f>
        <v>264</v>
      </c>
      <c r="BF1025" s="25" t="s">
        <v>1157</v>
      </c>
      <c r="BG1025" s="14">
        <f t="shared" si="274"/>
        <v>144</v>
      </c>
      <c r="BH1025" s="14">
        <f>SUMIFS(BG$4:BG1025,AU$4:AU1025,"="&amp;AU1025,AY$4:AY1025,"="&amp;AY1025)</f>
        <v>144</v>
      </c>
      <c r="BI1025" s="25" t="s">
        <v>1158</v>
      </c>
      <c r="BJ1025" s="14">
        <f t="shared" si="275"/>
        <v>6480</v>
      </c>
      <c r="BK1025" s="14">
        <f>SUMIFS(BJ$4:BJ1025,$AU$4:$AU1025,"="&amp;$AU1025,$AY$4:$AY1025,"="&amp;$AY1025)</f>
        <v>6480</v>
      </c>
    </row>
    <row r="1026" spans="46:63" ht="16.5" x14ac:dyDescent="0.2">
      <c r="AT1026" s="13">
        <v>1023</v>
      </c>
      <c r="AU1026" s="13">
        <f t="shared" si="267"/>
        <v>13</v>
      </c>
      <c r="AV1026" s="14">
        <f t="shared" si="268"/>
        <v>201607</v>
      </c>
      <c r="AW1026" s="14">
        <f t="shared" si="269"/>
        <v>1102016</v>
      </c>
      <c r="AX1026" s="13" t="s">
        <v>1127</v>
      </c>
      <c r="AY1026" s="13">
        <f t="shared" si="270"/>
        <v>7</v>
      </c>
      <c r="AZ1026" s="13" t="s">
        <v>1148</v>
      </c>
      <c r="BA1026" s="14">
        <f t="shared" si="271"/>
        <v>2</v>
      </c>
      <c r="BB1026" s="14" t="str">
        <f t="shared" si="272"/>
        <v>西方龙魂珠-7 等级-2</v>
      </c>
      <c r="BC1026" s="25" t="s">
        <v>44</v>
      </c>
      <c r="BD1026" s="14">
        <f t="shared" si="273"/>
        <v>396</v>
      </c>
      <c r="BE1026" s="14">
        <f>SUMIFS(BD$4:BD1026,$AU$4:$AU1026,"="&amp;$AU1026,$AY$4:$AY1026,"="&amp;$AY1026)</f>
        <v>660</v>
      </c>
      <c r="BF1026" s="25" t="s">
        <v>1157</v>
      </c>
      <c r="BG1026" s="14">
        <f t="shared" si="274"/>
        <v>216</v>
      </c>
      <c r="BH1026" s="14">
        <f>SUMIFS(BG$4:BG1026,AU$4:AU1026,"="&amp;AU1026,AY$4:AY1026,"="&amp;AY1026)</f>
        <v>360</v>
      </c>
      <c r="BI1026" s="25" t="s">
        <v>1158</v>
      </c>
      <c r="BJ1026" s="14">
        <f t="shared" si="275"/>
        <v>9720</v>
      </c>
      <c r="BK1026" s="14">
        <f>SUMIFS(BJ$4:BJ1026,$AU$4:$AU1026,"="&amp;$AU1026,$AY$4:$AY1026,"="&amp;$AY1026)</f>
        <v>16200</v>
      </c>
    </row>
    <row r="1027" spans="46:63" ht="16.5" x14ac:dyDescent="0.2">
      <c r="AT1027" s="13">
        <v>1024</v>
      </c>
      <c r="AU1027" s="13">
        <f t="shared" si="267"/>
        <v>13</v>
      </c>
      <c r="AV1027" s="14">
        <f t="shared" si="268"/>
        <v>201607</v>
      </c>
      <c r="AW1027" s="14">
        <f t="shared" si="269"/>
        <v>1102016</v>
      </c>
      <c r="AX1027" s="13" t="s">
        <v>1127</v>
      </c>
      <c r="AY1027" s="13">
        <f t="shared" si="270"/>
        <v>7</v>
      </c>
      <c r="AZ1027" s="13" t="s">
        <v>1148</v>
      </c>
      <c r="BA1027" s="14">
        <f t="shared" si="271"/>
        <v>3</v>
      </c>
      <c r="BB1027" s="14" t="str">
        <f t="shared" si="272"/>
        <v>西方龙魂珠-7 等级-3</v>
      </c>
      <c r="BC1027" s="25" t="s">
        <v>44</v>
      </c>
      <c r="BD1027" s="14">
        <f t="shared" si="273"/>
        <v>528</v>
      </c>
      <c r="BE1027" s="14">
        <f>SUMIFS(BD$4:BD1027,$AU$4:$AU1027,"="&amp;$AU1027,$AY$4:$AY1027,"="&amp;$AY1027)</f>
        <v>1188</v>
      </c>
      <c r="BF1027" s="25" t="s">
        <v>1157</v>
      </c>
      <c r="BG1027" s="14">
        <f t="shared" si="274"/>
        <v>288</v>
      </c>
      <c r="BH1027" s="14">
        <f>SUMIFS(BG$4:BG1027,AU$4:AU1027,"="&amp;AU1027,AY$4:AY1027,"="&amp;AY1027)</f>
        <v>648</v>
      </c>
      <c r="BI1027" s="25" t="s">
        <v>1158</v>
      </c>
      <c r="BJ1027" s="14">
        <f t="shared" si="275"/>
        <v>12960</v>
      </c>
      <c r="BK1027" s="14">
        <f>SUMIFS(BJ$4:BJ1027,$AU$4:$AU1027,"="&amp;$AU1027,$AY$4:$AY1027,"="&amp;$AY1027)</f>
        <v>29160</v>
      </c>
    </row>
    <row r="1028" spans="46:63" ht="16.5" x14ac:dyDescent="0.2">
      <c r="AT1028" s="13">
        <v>1025</v>
      </c>
      <c r="AU1028" s="13">
        <f t="shared" si="267"/>
        <v>13</v>
      </c>
      <c r="AV1028" s="14">
        <f t="shared" si="268"/>
        <v>201607</v>
      </c>
      <c r="AW1028" s="14">
        <f t="shared" si="269"/>
        <v>1102016</v>
      </c>
      <c r="AX1028" s="13" t="s">
        <v>1127</v>
      </c>
      <c r="AY1028" s="13">
        <f t="shared" si="270"/>
        <v>7</v>
      </c>
      <c r="AZ1028" s="13" t="s">
        <v>1148</v>
      </c>
      <c r="BA1028" s="14">
        <f t="shared" si="271"/>
        <v>4</v>
      </c>
      <c r="BB1028" s="14" t="str">
        <f t="shared" si="272"/>
        <v>西方龙魂珠-7 等级-4</v>
      </c>
      <c r="BC1028" s="25" t="s">
        <v>44</v>
      </c>
      <c r="BD1028" s="14">
        <f t="shared" si="273"/>
        <v>792</v>
      </c>
      <c r="BE1028" s="14">
        <f>SUMIFS(BD$4:BD1028,$AU$4:$AU1028,"="&amp;$AU1028,$AY$4:$AY1028,"="&amp;$AY1028)</f>
        <v>1980</v>
      </c>
      <c r="BF1028" s="25" t="s">
        <v>1157</v>
      </c>
      <c r="BG1028" s="14">
        <f t="shared" si="274"/>
        <v>432</v>
      </c>
      <c r="BH1028" s="14">
        <f>SUMIFS(BG$4:BG1028,AU$4:AU1028,"="&amp;AU1028,AY$4:AY1028,"="&amp;AY1028)</f>
        <v>1080</v>
      </c>
      <c r="BI1028" s="25" t="s">
        <v>1158</v>
      </c>
      <c r="BJ1028" s="14">
        <f t="shared" si="275"/>
        <v>19440</v>
      </c>
      <c r="BK1028" s="14">
        <f>SUMIFS(BJ$4:BJ1028,$AU$4:$AU1028,"="&amp;$AU1028,$AY$4:$AY1028,"="&amp;$AY1028)</f>
        <v>48600</v>
      </c>
    </row>
    <row r="1029" spans="46:63" ht="16.5" x14ac:dyDescent="0.2">
      <c r="AT1029" s="13">
        <v>1026</v>
      </c>
      <c r="AU1029" s="13">
        <f t="shared" ref="AU1029:AU1092" si="276">INT((AT1029-1)/80)+1</f>
        <v>13</v>
      </c>
      <c r="AV1029" s="14">
        <f t="shared" ref="AV1029:AV1092" si="277">INDEX($AJ$4:$AJ$203,(AU1029-1)*8+AY1029)</f>
        <v>201607</v>
      </c>
      <c r="AW1029" s="14">
        <f t="shared" ref="AW1029:AW1092" si="278">INDEX($W$4:$W$28,AU1029)</f>
        <v>1102016</v>
      </c>
      <c r="AX1029" s="13" t="s">
        <v>1127</v>
      </c>
      <c r="AY1029" s="13">
        <f t="shared" ref="AY1029:AY1092" si="279">INT(((AT1029-(AU1029-1)*80)-1)/10)+1</f>
        <v>7</v>
      </c>
      <c r="AZ1029" s="13" t="s">
        <v>1148</v>
      </c>
      <c r="BA1029" s="14">
        <f t="shared" ref="BA1029:BA1092" si="280">AT1029-(AU1029-1)*80-(AY1029-1)*10-1</f>
        <v>5</v>
      </c>
      <c r="BB1029" s="14" t="str">
        <f t="shared" ref="BB1029:BB1092" si="281">INDEX($X$4:$X$28,AU1029)&amp;"魂珠-"&amp;AY1029&amp;" 等级-"&amp;BA1029</f>
        <v>西方龙魂珠-7 等级-5</v>
      </c>
      <c r="BC1029" s="25" t="s">
        <v>44</v>
      </c>
      <c r="BD1029" s="14">
        <f t="shared" ref="BD1029:BD1092" si="282">ROUND(INDEX(Q$4:Q$83,($AY1029-1)*10+$BA1029+1)*INDEX(AC$4:AC$28,$AU1029),0)</f>
        <v>1056</v>
      </c>
      <c r="BE1029" s="14">
        <f>SUMIFS(BD$4:BD1029,$AU$4:$AU1029,"="&amp;$AU1029,$AY$4:$AY1029,"="&amp;$AY1029)</f>
        <v>3036</v>
      </c>
      <c r="BF1029" s="25" t="s">
        <v>1157</v>
      </c>
      <c r="BG1029" s="14">
        <f t="shared" ref="BG1029:BG1092" si="283">ROUND(INDEX(R$4:R$83,($AY1029-1)*10+$BA1029+1)*INDEX(AD$4:AD$28,$AU1029),0)</f>
        <v>576</v>
      </c>
      <c r="BH1029" s="14">
        <f>SUMIFS(BG$4:BG1029,AU$4:AU1029,"="&amp;AU1029,AY$4:AY1029,"="&amp;AY1029)</f>
        <v>1656</v>
      </c>
      <c r="BI1029" s="25" t="s">
        <v>1158</v>
      </c>
      <c r="BJ1029" s="14">
        <f t="shared" ref="BJ1029:BJ1092" si="284">ROUND(INDEX(S$4:S$83,($AY1029-1)*10+$BA1029+1)*INDEX(AE$4:AE$28,$AU1029),0)</f>
        <v>25920</v>
      </c>
      <c r="BK1029" s="14">
        <f>SUMIFS(BJ$4:BJ1029,$AU$4:$AU1029,"="&amp;$AU1029,$AY$4:$AY1029,"="&amp;$AY1029)</f>
        <v>74520</v>
      </c>
    </row>
    <row r="1030" spans="46:63" ht="16.5" x14ac:dyDescent="0.2">
      <c r="AT1030" s="13">
        <v>1027</v>
      </c>
      <c r="AU1030" s="13">
        <f t="shared" si="276"/>
        <v>13</v>
      </c>
      <c r="AV1030" s="14">
        <f t="shared" si="277"/>
        <v>201607</v>
      </c>
      <c r="AW1030" s="14">
        <f t="shared" si="278"/>
        <v>1102016</v>
      </c>
      <c r="AX1030" s="13" t="s">
        <v>1127</v>
      </c>
      <c r="AY1030" s="13">
        <f t="shared" si="279"/>
        <v>7</v>
      </c>
      <c r="AZ1030" s="13" t="s">
        <v>1148</v>
      </c>
      <c r="BA1030" s="14">
        <f t="shared" si="280"/>
        <v>6</v>
      </c>
      <c r="BB1030" s="14" t="str">
        <f t="shared" si="281"/>
        <v>西方龙魂珠-7 等级-6</v>
      </c>
      <c r="BC1030" s="25" t="s">
        <v>44</v>
      </c>
      <c r="BD1030" s="14">
        <f t="shared" si="282"/>
        <v>1320</v>
      </c>
      <c r="BE1030" s="14">
        <f>SUMIFS(BD$4:BD1030,$AU$4:$AU1030,"="&amp;$AU1030,$AY$4:$AY1030,"="&amp;$AY1030)</f>
        <v>4356</v>
      </c>
      <c r="BF1030" s="25" t="s">
        <v>1157</v>
      </c>
      <c r="BG1030" s="14">
        <f t="shared" si="283"/>
        <v>720</v>
      </c>
      <c r="BH1030" s="14">
        <f>SUMIFS(BG$4:BG1030,AU$4:AU1030,"="&amp;AU1030,AY$4:AY1030,"="&amp;AY1030)</f>
        <v>2376</v>
      </c>
      <c r="BI1030" s="25" t="s">
        <v>1158</v>
      </c>
      <c r="BJ1030" s="14">
        <f t="shared" si="284"/>
        <v>32400</v>
      </c>
      <c r="BK1030" s="14">
        <f>SUMIFS(BJ$4:BJ1030,$AU$4:$AU1030,"="&amp;$AU1030,$AY$4:$AY1030,"="&amp;$AY1030)</f>
        <v>106920</v>
      </c>
    </row>
    <row r="1031" spans="46:63" ht="16.5" x14ac:dyDescent="0.2">
      <c r="AT1031" s="13">
        <v>1028</v>
      </c>
      <c r="AU1031" s="13">
        <f t="shared" si="276"/>
        <v>13</v>
      </c>
      <c r="AV1031" s="14">
        <f t="shared" si="277"/>
        <v>201607</v>
      </c>
      <c r="AW1031" s="14">
        <f t="shared" si="278"/>
        <v>1102016</v>
      </c>
      <c r="AX1031" s="13" t="s">
        <v>1127</v>
      </c>
      <c r="AY1031" s="13">
        <f t="shared" si="279"/>
        <v>7</v>
      </c>
      <c r="AZ1031" s="13" t="s">
        <v>1148</v>
      </c>
      <c r="BA1031" s="14">
        <f t="shared" si="280"/>
        <v>7</v>
      </c>
      <c r="BB1031" s="14" t="str">
        <f t="shared" si="281"/>
        <v>西方龙魂珠-7 等级-7</v>
      </c>
      <c r="BC1031" s="25" t="s">
        <v>44</v>
      </c>
      <c r="BD1031" s="14">
        <f t="shared" si="282"/>
        <v>1584</v>
      </c>
      <c r="BE1031" s="14">
        <f>SUMIFS(BD$4:BD1031,$AU$4:$AU1031,"="&amp;$AU1031,$AY$4:$AY1031,"="&amp;$AY1031)</f>
        <v>5940</v>
      </c>
      <c r="BF1031" s="25" t="s">
        <v>1157</v>
      </c>
      <c r="BG1031" s="14">
        <f t="shared" si="283"/>
        <v>864</v>
      </c>
      <c r="BH1031" s="14">
        <f>SUMIFS(BG$4:BG1031,AU$4:AU1031,"="&amp;AU1031,AY$4:AY1031,"="&amp;AY1031)</f>
        <v>3240</v>
      </c>
      <c r="BI1031" s="25" t="s">
        <v>1158</v>
      </c>
      <c r="BJ1031" s="14">
        <f t="shared" si="284"/>
        <v>38880</v>
      </c>
      <c r="BK1031" s="14">
        <f>SUMIFS(BJ$4:BJ1031,$AU$4:$AU1031,"="&amp;$AU1031,$AY$4:$AY1031,"="&amp;$AY1031)</f>
        <v>145800</v>
      </c>
    </row>
    <row r="1032" spans="46:63" ht="16.5" x14ac:dyDescent="0.2">
      <c r="AT1032" s="13">
        <v>1029</v>
      </c>
      <c r="AU1032" s="13">
        <f t="shared" si="276"/>
        <v>13</v>
      </c>
      <c r="AV1032" s="14">
        <f t="shared" si="277"/>
        <v>201607</v>
      </c>
      <c r="AW1032" s="14">
        <f t="shared" si="278"/>
        <v>1102016</v>
      </c>
      <c r="AX1032" s="13" t="s">
        <v>1127</v>
      </c>
      <c r="AY1032" s="13">
        <f t="shared" si="279"/>
        <v>7</v>
      </c>
      <c r="AZ1032" s="13" t="s">
        <v>1148</v>
      </c>
      <c r="BA1032" s="14">
        <f t="shared" si="280"/>
        <v>8</v>
      </c>
      <c r="BB1032" s="14" t="str">
        <f t="shared" si="281"/>
        <v>西方龙魂珠-7 等级-8</v>
      </c>
      <c r="BC1032" s="25" t="s">
        <v>44</v>
      </c>
      <c r="BD1032" s="14">
        <f t="shared" si="282"/>
        <v>1848</v>
      </c>
      <c r="BE1032" s="14">
        <f>SUMIFS(BD$4:BD1032,$AU$4:$AU1032,"="&amp;$AU1032,$AY$4:$AY1032,"="&amp;$AY1032)</f>
        <v>7788</v>
      </c>
      <c r="BF1032" s="25" t="s">
        <v>1157</v>
      </c>
      <c r="BG1032" s="14">
        <f t="shared" si="283"/>
        <v>1008</v>
      </c>
      <c r="BH1032" s="14">
        <f>SUMIFS(BG$4:BG1032,AU$4:AU1032,"="&amp;AU1032,AY$4:AY1032,"="&amp;AY1032)</f>
        <v>4248</v>
      </c>
      <c r="BI1032" s="25" t="s">
        <v>1158</v>
      </c>
      <c r="BJ1032" s="14">
        <f t="shared" si="284"/>
        <v>45360</v>
      </c>
      <c r="BK1032" s="14">
        <f>SUMIFS(BJ$4:BJ1032,$AU$4:$AU1032,"="&amp;$AU1032,$AY$4:$AY1032,"="&amp;$AY1032)</f>
        <v>191160</v>
      </c>
    </row>
    <row r="1033" spans="46:63" ht="16.5" x14ac:dyDescent="0.2">
      <c r="AT1033" s="13">
        <v>1030</v>
      </c>
      <c r="AU1033" s="13">
        <f t="shared" si="276"/>
        <v>13</v>
      </c>
      <c r="AV1033" s="14">
        <f t="shared" si="277"/>
        <v>201607</v>
      </c>
      <c r="AW1033" s="14">
        <f t="shared" si="278"/>
        <v>1102016</v>
      </c>
      <c r="AX1033" s="13" t="s">
        <v>1127</v>
      </c>
      <c r="AY1033" s="13">
        <f t="shared" si="279"/>
        <v>7</v>
      </c>
      <c r="AZ1033" s="13" t="s">
        <v>1148</v>
      </c>
      <c r="BA1033" s="14">
        <f t="shared" si="280"/>
        <v>9</v>
      </c>
      <c r="BB1033" s="14" t="str">
        <f t="shared" si="281"/>
        <v>西方龙魂珠-7 等级-9</v>
      </c>
      <c r="BC1033" s="25" t="s">
        <v>44</v>
      </c>
      <c r="BD1033" s="14">
        <f t="shared" si="282"/>
        <v>2112</v>
      </c>
      <c r="BE1033" s="14">
        <f>SUMIFS(BD$4:BD1033,$AU$4:$AU1033,"="&amp;$AU1033,$AY$4:$AY1033,"="&amp;$AY1033)</f>
        <v>9900</v>
      </c>
      <c r="BF1033" s="25" t="s">
        <v>1157</v>
      </c>
      <c r="BG1033" s="14">
        <f t="shared" si="283"/>
        <v>1152</v>
      </c>
      <c r="BH1033" s="14">
        <f>SUMIFS(BG$4:BG1033,AU$4:AU1033,"="&amp;AU1033,AY$4:AY1033,"="&amp;AY1033)</f>
        <v>5400</v>
      </c>
      <c r="BI1033" s="25" t="s">
        <v>1158</v>
      </c>
      <c r="BJ1033" s="14">
        <f t="shared" si="284"/>
        <v>51840</v>
      </c>
      <c r="BK1033" s="14">
        <f>SUMIFS(BJ$4:BJ1033,$AU$4:$AU1033,"="&amp;$AU1033,$AY$4:$AY1033,"="&amp;$AY1033)</f>
        <v>243000</v>
      </c>
    </row>
    <row r="1034" spans="46:63" ht="16.5" x14ac:dyDescent="0.2">
      <c r="AT1034" s="13">
        <v>1031</v>
      </c>
      <c r="AU1034" s="13">
        <f t="shared" si="276"/>
        <v>13</v>
      </c>
      <c r="AV1034" s="14">
        <f t="shared" si="277"/>
        <v>201608</v>
      </c>
      <c r="AW1034" s="14">
        <f t="shared" si="278"/>
        <v>1102016</v>
      </c>
      <c r="AX1034" s="13" t="s">
        <v>1127</v>
      </c>
      <c r="AY1034" s="13">
        <f t="shared" si="279"/>
        <v>8</v>
      </c>
      <c r="AZ1034" s="13" t="s">
        <v>1148</v>
      </c>
      <c r="BA1034" s="14">
        <f t="shared" si="280"/>
        <v>0</v>
      </c>
      <c r="BB1034" s="14" t="str">
        <f t="shared" si="281"/>
        <v>西方龙魂珠-8 等级-0</v>
      </c>
      <c r="BC1034" s="25" t="s">
        <v>44</v>
      </c>
      <c r="BD1034" s="14">
        <f t="shared" si="282"/>
        <v>0</v>
      </c>
      <c r="BE1034" s="14">
        <f>SUMIFS(BD$4:BD1034,$AU$4:$AU1034,"="&amp;$AU1034,$AY$4:$AY1034,"="&amp;$AY1034)</f>
        <v>0</v>
      </c>
      <c r="BF1034" s="25" t="s">
        <v>1157</v>
      </c>
      <c r="BG1034" s="14">
        <f t="shared" si="283"/>
        <v>0</v>
      </c>
      <c r="BH1034" s="14">
        <f>SUMIFS(BG$4:BG1034,AU$4:AU1034,"="&amp;AU1034,AY$4:AY1034,"="&amp;AY1034)</f>
        <v>0</v>
      </c>
      <c r="BI1034" s="25" t="s">
        <v>1158</v>
      </c>
      <c r="BJ1034" s="14">
        <f t="shared" si="284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6"/>
        <v>13</v>
      </c>
      <c r="AV1035" s="14">
        <f t="shared" si="277"/>
        <v>201608</v>
      </c>
      <c r="AW1035" s="14">
        <f t="shared" si="278"/>
        <v>1102016</v>
      </c>
      <c r="AX1035" s="13" t="s">
        <v>1127</v>
      </c>
      <c r="AY1035" s="13">
        <f t="shared" si="279"/>
        <v>8</v>
      </c>
      <c r="AZ1035" s="13" t="s">
        <v>1148</v>
      </c>
      <c r="BA1035" s="14">
        <f t="shared" si="280"/>
        <v>1</v>
      </c>
      <c r="BB1035" s="14" t="str">
        <f t="shared" si="281"/>
        <v>西方龙魂珠-8 等级-1</v>
      </c>
      <c r="BC1035" s="25" t="s">
        <v>44</v>
      </c>
      <c r="BD1035" s="14">
        <f t="shared" si="282"/>
        <v>352</v>
      </c>
      <c r="BE1035" s="14">
        <f>SUMIFS(BD$4:BD1035,$AU$4:$AU1035,"="&amp;$AU1035,$AY$4:$AY1035,"="&amp;$AY1035)</f>
        <v>352</v>
      </c>
      <c r="BF1035" s="25" t="s">
        <v>1157</v>
      </c>
      <c r="BG1035" s="14">
        <f t="shared" si="283"/>
        <v>192</v>
      </c>
      <c r="BH1035" s="14">
        <f>SUMIFS(BG$4:BG1035,AU$4:AU1035,"="&amp;AU1035,AY$4:AY1035,"="&amp;AY1035)</f>
        <v>192</v>
      </c>
      <c r="BI1035" s="25" t="s">
        <v>1158</v>
      </c>
      <c r="BJ1035" s="14">
        <f t="shared" si="284"/>
        <v>8640</v>
      </c>
      <c r="BK1035" s="14">
        <f>SUMIFS(BJ$4:BJ1035,$AU$4:$AU1035,"="&amp;$AU1035,$AY$4:$AY1035,"="&amp;$AY1035)</f>
        <v>8640</v>
      </c>
    </row>
    <row r="1036" spans="46:63" ht="16.5" x14ac:dyDescent="0.2">
      <c r="AT1036" s="13">
        <v>1033</v>
      </c>
      <c r="AU1036" s="13">
        <f t="shared" si="276"/>
        <v>13</v>
      </c>
      <c r="AV1036" s="14">
        <f t="shared" si="277"/>
        <v>201608</v>
      </c>
      <c r="AW1036" s="14">
        <f t="shared" si="278"/>
        <v>1102016</v>
      </c>
      <c r="AX1036" s="13" t="s">
        <v>1127</v>
      </c>
      <c r="AY1036" s="13">
        <f t="shared" si="279"/>
        <v>8</v>
      </c>
      <c r="AZ1036" s="13" t="s">
        <v>1148</v>
      </c>
      <c r="BA1036" s="14">
        <f t="shared" si="280"/>
        <v>2</v>
      </c>
      <c r="BB1036" s="14" t="str">
        <f t="shared" si="281"/>
        <v>西方龙魂珠-8 等级-2</v>
      </c>
      <c r="BC1036" s="25" t="s">
        <v>44</v>
      </c>
      <c r="BD1036" s="14">
        <f t="shared" si="282"/>
        <v>528</v>
      </c>
      <c r="BE1036" s="14">
        <f>SUMIFS(BD$4:BD1036,$AU$4:$AU1036,"="&amp;$AU1036,$AY$4:$AY1036,"="&amp;$AY1036)</f>
        <v>880</v>
      </c>
      <c r="BF1036" s="25" t="s">
        <v>1157</v>
      </c>
      <c r="BG1036" s="14">
        <f t="shared" si="283"/>
        <v>288</v>
      </c>
      <c r="BH1036" s="14">
        <f>SUMIFS(BG$4:BG1036,AU$4:AU1036,"="&amp;AU1036,AY$4:AY1036,"="&amp;AY1036)</f>
        <v>480</v>
      </c>
      <c r="BI1036" s="25" t="s">
        <v>1158</v>
      </c>
      <c r="BJ1036" s="14">
        <f t="shared" si="284"/>
        <v>12960</v>
      </c>
      <c r="BK1036" s="14">
        <f>SUMIFS(BJ$4:BJ1036,$AU$4:$AU1036,"="&amp;$AU1036,$AY$4:$AY1036,"="&amp;$AY1036)</f>
        <v>21600</v>
      </c>
    </row>
    <row r="1037" spans="46:63" ht="16.5" x14ac:dyDescent="0.2">
      <c r="AT1037" s="13">
        <v>1034</v>
      </c>
      <c r="AU1037" s="13">
        <f t="shared" si="276"/>
        <v>13</v>
      </c>
      <c r="AV1037" s="14">
        <f t="shared" si="277"/>
        <v>201608</v>
      </c>
      <c r="AW1037" s="14">
        <f t="shared" si="278"/>
        <v>1102016</v>
      </c>
      <c r="AX1037" s="13" t="s">
        <v>1127</v>
      </c>
      <c r="AY1037" s="13">
        <f t="shared" si="279"/>
        <v>8</v>
      </c>
      <c r="AZ1037" s="13" t="s">
        <v>1148</v>
      </c>
      <c r="BA1037" s="14">
        <f t="shared" si="280"/>
        <v>3</v>
      </c>
      <c r="BB1037" s="14" t="str">
        <f t="shared" si="281"/>
        <v>西方龙魂珠-8 等级-3</v>
      </c>
      <c r="BC1037" s="25" t="s">
        <v>44</v>
      </c>
      <c r="BD1037" s="14">
        <f t="shared" si="282"/>
        <v>704</v>
      </c>
      <c r="BE1037" s="14">
        <f>SUMIFS(BD$4:BD1037,$AU$4:$AU1037,"="&amp;$AU1037,$AY$4:$AY1037,"="&amp;$AY1037)</f>
        <v>1584</v>
      </c>
      <c r="BF1037" s="25" t="s">
        <v>1157</v>
      </c>
      <c r="BG1037" s="14">
        <f t="shared" si="283"/>
        <v>384</v>
      </c>
      <c r="BH1037" s="14">
        <f>SUMIFS(BG$4:BG1037,AU$4:AU1037,"="&amp;AU1037,AY$4:AY1037,"="&amp;AY1037)</f>
        <v>864</v>
      </c>
      <c r="BI1037" s="25" t="s">
        <v>1158</v>
      </c>
      <c r="BJ1037" s="14">
        <f t="shared" si="284"/>
        <v>17280</v>
      </c>
      <c r="BK1037" s="14">
        <f>SUMIFS(BJ$4:BJ1037,$AU$4:$AU1037,"="&amp;$AU1037,$AY$4:$AY1037,"="&amp;$AY1037)</f>
        <v>38880</v>
      </c>
    </row>
    <row r="1038" spans="46:63" ht="16.5" x14ac:dyDescent="0.2">
      <c r="AT1038" s="13">
        <v>1035</v>
      </c>
      <c r="AU1038" s="13">
        <f t="shared" si="276"/>
        <v>13</v>
      </c>
      <c r="AV1038" s="14">
        <f t="shared" si="277"/>
        <v>201608</v>
      </c>
      <c r="AW1038" s="14">
        <f t="shared" si="278"/>
        <v>1102016</v>
      </c>
      <c r="AX1038" s="13" t="s">
        <v>1127</v>
      </c>
      <c r="AY1038" s="13">
        <f t="shared" si="279"/>
        <v>8</v>
      </c>
      <c r="AZ1038" s="13" t="s">
        <v>1148</v>
      </c>
      <c r="BA1038" s="14">
        <f t="shared" si="280"/>
        <v>4</v>
      </c>
      <c r="BB1038" s="14" t="str">
        <f t="shared" si="281"/>
        <v>西方龙魂珠-8 等级-4</v>
      </c>
      <c r="BC1038" s="25" t="s">
        <v>44</v>
      </c>
      <c r="BD1038" s="14">
        <f t="shared" si="282"/>
        <v>1056</v>
      </c>
      <c r="BE1038" s="14">
        <f>SUMIFS(BD$4:BD1038,$AU$4:$AU1038,"="&amp;$AU1038,$AY$4:$AY1038,"="&amp;$AY1038)</f>
        <v>2640</v>
      </c>
      <c r="BF1038" s="25" t="s">
        <v>1157</v>
      </c>
      <c r="BG1038" s="14">
        <f t="shared" si="283"/>
        <v>576</v>
      </c>
      <c r="BH1038" s="14">
        <f>SUMIFS(BG$4:BG1038,AU$4:AU1038,"="&amp;AU1038,AY$4:AY1038,"="&amp;AY1038)</f>
        <v>1440</v>
      </c>
      <c r="BI1038" s="25" t="s">
        <v>1158</v>
      </c>
      <c r="BJ1038" s="14">
        <f t="shared" si="284"/>
        <v>25920</v>
      </c>
      <c r="BK1038" s="14">
        <f>SUMIFS(BJ$4:BJ1038,$AU$4:$AU1038,"="&amp;$AU1038,$AY$4:$AY1038,"="&amp;$AY1038)</f>
        <v>64800</v>
      </c>
    </row>
    <row r="1039" spans="46:63" ht="16.5" x14ac:dyDescent="0.2">
      <c r="AT1039" s="13">
        <v>1036</v>
      </c>
      <c r="AU1039" s="13">
        <f t="shared" si="276"/>
        <v>13</v>
      </c>
      <c r="AV1039" s="14">
        <f t="shared" si="277"/>
        <v>201608</v>
      </c>
      <c r="AW1039" s="14">
        <f t="shared" si="278"/>
        <v>1102016</v>
      </c>
      <c r="AX1039" s="13" t="s">
        <v>1127</v>
      </c>
      <c r="AY1039" s="13">
        <f t="shared" si="279"/>
        <v>8</v>
      </c>
      <c r="AZ1039" s="13" t="s">
        <v>1148</v>
      </c>
      <c r="BA1039" s="14">
        <f t="shared" si="280"/>
        <v>5</v>
      </c>
      <c r="BB1039" s="14" t="str">
        <f t="shared" si="281"/>
        <v>西方龙魂珠-8 等级-5</v>
      </c>
      <c r="BC1039" s="25" t="s">
        <v>44</v>
      </c>
      <c r="BD1039" s="14">
        <f t="shared" si="282"/>
        <v>1408</v>
      </c>
      <c r="BE1039" s="14">
        <f>SUMIFS(BD$4:BD1039,$AU$4:$AU1039,"="&amp;$AU1039,$AY$4:$AY1039,"="&amp;$AY1039)</f>
        <v>4048</v>
      </c>
      <c r="BF1039" s="25" t="s">
        <v>1157</v>
      </c>
      <c r="BG1039" s="14">
        <f t="shared" si="283"/>
        <v>768</v>
      </c>
      <c r="BH1039" s="14">
        <f>SUMIFS(BG$4:BG1039,AU$4:AU1039,"="&amp;AU1039,AY$4:AY1039,"="&amp;AY1039)</f>
        <v>2208</v>
      </c>
      <c r="BI1039" s="25" t="s">
        <v>1158</v>
      </c>
      <c r="BJ1039" s="14">
        <f t="shared" si="284"/>
        <v>34560</v>
      </c>
      <c r="BK1039" s="14">
        <f>SUMIFS(BJ$4:BJ1039,$AU$4:$AU1039,"="&amp;$AU1039,$AY$4:$AY1039,"="&amp;$AY1039)</f>
        <v>99360</v>
      </c>
    </row>
    <row r="1040" spans="46:63" ht="16.5" x14ac:dyDescent="0.2">
      <c r="AT1040" s="13">
        <v>1037</v>
      </c>
      <c r="AU1040" s="13">
        <f t="shared" si="276"/>
        <v>13</v>
      </c>
      <c r="AV1040" s="14">
        <f t="shared" si="277"/>
        <v>201608</v>
      </c>
      <c r="AW1040" s="14">
        <f t="shared" si="278"/>
        <v>1102016</v>
      </c>
      <c r="AX1040" s="13" t="s">
        <v>1127</v>
      </c>
      <c r="AY1040" s="13">
        <f t="shared" si="279"/>
        <v>8</v>
      </c>
      <c r="AZ1040" s="13" t="s">
        <v>1148</v>
      </c>
      <c r="BA1040" s="14">
        <f t="shared" si="280"/>
        <v>6</v>
      </c>
      <c r="BB1040" s="14" t="str">
        <f t="shared" si="281"/>
        <v>西方龙魂珠-8 等级-6</v>
      </c>
      <c r="BC1040" s="25" t="s">
        <v>44</v>
      </c>
      <c r="BD1040" s="14">
        <f t="shared" si="282"/>
        <v>1760</v>
      </c>
      <c r="BE1040" s="14">
        <f>SUMIFS(BD$4:BD1040,$AU$4:$AU1040,"="&amp;$AU1040,$AY$4:$AY1040,"="&amp;$AY1040)</f>
        <v>5808</v>
      </c>
      <c r="BF1040" s="25" t="s">
        <v>1157</v>
      </c>
      <c r="BG1040" s="14">
        <f t="shared" si="283"/>
        <v>960</v>
      </c>
      <c r="BH1040" s="14">
        <f>SUMIFS(BG$4:BG1040,AU$4:AU1040,"="&amp;AU1040,AY$4:AY1040,"="&amp;AY1040)</f>
        <v>3168</v>
      </c>
      <c r="BI1040" s="25" t="s">
        <v>1158</v>
      </c>
      <c r="BJ1040" s="14">
        <f t="shared" si="284"/>
        <v>43200</v>
      </c>
      <c r="BK1040" s="14">
        <f>SUMIFS(BJ$4:BJ1040,$AU$4:$AU1040,"="&amp;$AU1040,$AY$4:$AY1040,"="&amp;$AY1040)</f>
        <v>142560</v>
      </c>
    </row>
    <row r="1041" spans="46:63" ht="16.5" x14ac:dyDescent="0.2">
      <c r="AT1041" s="13">
        <v>1038</v>
      </c>
      <c r="AU1041" s="13">
        <f t="shared" si="276"/>
        <v>13</v>
      </c>
      <c r="AV1041" s="14">
        <f t="shared" si="277"/>
        <v>201608</v>
      </c>
      <c r="AW1041" s="14">
        <f t="shared" si="278"/>
        <v>1102016</v>
      </c>
      <c r="AX1041" s="13" t="s">
        <v>1127</v>
      </c>
      <c r="AY1041" s="13">
        <f t="shared" si="279"/>
        <v>8</v>
      </c>
      <c r="AZ1041" s="13" t="s">
        <v>1148</v>
      </c>
      <c r="BA1041" s="14">
        <f t="shared" si="280"/>
        <v>7</v>
      </c>
      <c r="BB1041" s="14" t="str">
        <f t="shared" si="281"/>
        <v>西方龙魂珠-8 等级-7</v>
      </c>
      <c r="BC1041" s="25" t="s">
        <v>44</v>
      </c>
      <c r="BD1041" s="14">
        <f t="shared" si="282"/>
        <v>2112</v>
      </c>
      <c r="BE1041" s="14">
        <f>SUMIFS(BD$4:BD1041,$AU$4:$AU1041,"="&amp;$AU1041,$AY$4:$AY1041,"="&amp;$AY1041)</f>
        <v>7920</v>
      </c>
      <c r="BF1041" s="25" t="s">
        <v>1157</v>
      </c>
      <c r="BG1041" s="14">
        <f t="shared" si="283"/>
        <v>1152</v>
      </c>
      <c r="BH1041" s="14">
        <f>SUMIFS(BG$4:BG1041,AU$4:AU1041,"="&amp;AU1041,AY$4:AY1041,"="&amp;AY1041)</f>
        <v>4320</v>
      </c>
      <c r="BI1041" s="25" t="s">
        <v>1158</v>
      </c>
      <c r="BJ1041" s="14">
        <f t="shared" si="284"/>
        <v>51840</v>
      </c>
      <c r="BK1041" s="14">
        <f>SUMIFS(BJ$4:BJ1041,$AU$4:$AU1041,"="&amp;$AU1041,$AY$4:$AY1041,"="&amp;$AY1041)</f>
        <v>194400</v>
      </c>
    </row>
    <row r="1042" spans="46:63" ht="16.5" x14ac:dyDescent="0.2">
      <c r="AT1042" s="13">
        <v>1039</v>
      </c>
      <c r="AU1042" s="13">
        <f t="shared" si="276"/>
        <v>13</v>
      </c>
      <c r="AV1042" s="14">
        <f t="shared" si="277"/>
        <v>201608</v>
      </c>
      <c r="AW1042" s="14">
        <f t="shared" si="278"/>
        <v>1102016</v>
      </c>
      <c r="AX1042" s="13" t="s">
        <v>1127</v>
      </c>
      <c r="AY1042" s="13">
        <f t="shared" si="279"/>
        <v>8</v>
      </c>
      <c r="AZ1042" s="13" t="s">
        <v>1148</v>
      </c>
      <c r="BA1042" s="14">
        <f t="shared" si="280"/>
        <v>8</v>
      </c>
      <c r="BB1042" s="14" t="str">
        <f t="shared" si="281"/>
        <v>西方龙魂珠-8 等级-8</v>
      </c>
      <c r="BC1042" s="25" t="s">
        <v>44</v>
      </c>
      <c r="BD1042" s="14">
        <f t="shared" si="282"/>
        <v>2464</v>
      </c>
      <c r="BE1042" s="14">
        <f>SUMIFS(BD$4:BD1042,$AU$4:$AU1042,"="&amp;$AU1042,$AY$4:$AY1042,"="&amp;$AY1042)</f>
        <v>10384</v>
      </c>
      <c r="BF1042" s="25" t="s">
        <v>1157</v>
      </c>
      <c r="BG1042" s="14">
        <f t="shared" si="283"/>
        <v>1344</v>
      </c>
      <c r="BH1042" s="14">
        <f>SUMIFS(BG$4:BG1042,AU$4:AU1042,"="&amp;AU1042,AY$4:AY1042,"="&amp;AY1042)</f>
        <v>5664</v>
      </c>
      <c r="BI1042" s="25" t="s">
        <v>1158</v>
      </c>
      <c r="BJ1042" s="14">
        <f t="shared" si="284"/>
        <v>60480</v>
      </c>
      <c r="BK1042" s="14">
        <f>SUMIFS(BJ$4:BJ1042,$AU$4:$AU1042,"="&amp;$AU1042,$AY$4:$AY1042,"="&amp;$AY1042)</f>
        <v>254880</v>
      </c>
    </row>
    <row r="1043" spans="46:63" ht="16.5" x14ac:dyDescent="0.2">
      <c r="AT1043" s="13">
        <v>1040</v>
      </c>
      <c r="AU1043" s="13">
        <f t="shared" si="276"/>
        <v>13</v>
      </c>
      <c r="AV1043" s="14">
        <f t="shared" si="277"/>
        <v>201608</v>
      </c>
      <c r="AW1043" s="14">
        <f t="shared" si="278"/>
        <v>1102016</v>
      </c>
      <c r="AX1043" s="13" t="s">
        <v>1127</v>
      </c>
      <c r="AY1043" s="13">
        <f t="shared" si="279"/>
        <v>8</v>
      </c>
      <c r="AZ1043" s="13" t="s">
        <v>1148</v>
      </c>
      <c r="BA1043" s="14">
        <f t="shared" si="280"/>
        <v>9</v>
      </c>
      <c r="BB1043" s="14" t="str">
        <f t="shared" si="281"/>
        <v>西方龙魂珠-8 等级-9</v>
      </c>
      <c r="BC1043" s="25" t="s">
        <v>44</v>
      </c>
      <c r="BD1043" s="14">
        <f t="shared" si="282"/>
        <v>2816</v>
      </c>
      <c r="BE1043" s="14">
        <f>SUMIFS(BD$4:BD1043,$AU$4:$AU1043,"="&amp;$AU1043,$AY$4:$AY1043,"="&amp;$AY1043)</f>
        <v>13200</v>
      </c>
      <c r="BF1043" s="25" t="s">
        <v>1157</v>
      </c>
      <c r="BG1043" s="14">
        <f t="shared" si="283"/>
        <v>1536</v>
      </c>
      <c r="BH1043" s="14">
        <f>SUMIFS(BG$4:BG1043,AU$4:AU1043,"="&amp;AU1043,AY$4:AY1043,"="&amp;AY1043)</f>
        <v>7200</v>
      </c>
      <c r="BI1043" s="25" t="s">
        <v>1158</v>
      </c>
      <c r="BJ1043" s="14">
        <f t="shared" si="284"/>
        <v>69120</v>
      </c>
      <c r="BK1043" s="14">
        <f>SUMIFS(BJ$4:BJ1043,$AU$4:$AU1043,"="&amp;$AU1043,$AY$4:$AY1043,"="&amp;$AY1043)</f>
        <v>324000</v>
      </c>
    </row>
    <row r="1044" spans="46:63" ht="16.5" x14ac:dyDescent="0.2">
      <c r="AT1044" s="13">
        <v>1041</v>
      </c>
      <c r="AU1044" s="13">
        <f t="shared" si="276"/>
        <v>14</v>
      </c>
      <c r="AV1044" s="14">
        <f t="shared" si="277"/>
        <v>201701</v>
      </c>
      <c r="AW1044" s="14">
        <f t="shared" si="278"/>
        <v>1102017</v>
      </c>
      <c r="AX1044" s="13" t="s">
        <v>1127</v>
      </c>
      <c r="AY1044" s="13">
        <f t="shared" si="279"/>
        <v>1</v>
      </c>
      <c r="AZ1044" s="13" t="s">
        <v>1148</v>
      </c>
      <c r="BA1044" s="14">
        <f t="shared" si="280"/>
        <v>0</v>
      </c>
      <c r="BB1044" s="14" t="str">
        <f t="shared" si="281"/>
        <v>飞廉魂珠-1 等级-0</v>
      </c>
      <c r="BC1044" s="25" t="s">
        <v>44</v>
      </c>
      <c r="BD1044" s="14">
        <f t="shared" si="282"/>
        <v>0</v>
      </c>
      <c r="BE1044" s="14">
        <f>SUMIFS(BD$4:BD1044,$AU$4:$AU1044,"="&amp;$AU1044,$AY$4:$AY1044,"="&amp;$AY1044)</f>
        <v>0</v>
      </c>
      <c r="BF1044" s="25" t="s">
        <v>1157</v>
      </c>
      <c r="BG1044" s="14">
        <f t="shared" si="283"/>
        <v>0</v>
      </c>
      <c r="BH1044" s="14">
        <f>SUMIFS(BG$4:BG1044,AU$4:AU1044,"="&amp;AU1044,AY$4:AY1044,"="&amp;AY1044)</f>
        <v>0</v>
      </c>
      <c r="BI1044" s="25" t="s">
        <v>1158</v>
      </c>
      <c r="BJ1044" s="14">
        <f t="shared" si="284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6"/>
        <v>14</v>
      </c>
      <c r="AV1045" s="14">
        <f t="shared" si="277"/>
        <v>201701</v>
      </c>
      <c r="AW1045" s="14">
        <f t="shared" si="278"/>
        <v>1102017</v>
      </c>
      <c r="AX1045" s="13" t="s">
        <v>1127</v>
      </c>
      <c r="AY1045" s="13">
        <f t="shared" si="279"/>
        <v>1</v>
      </c>
      <c r="AZ1045" s="13" t="s">
        <v>1148</v>
      </c>
      <c r="BA1045" s="14">
        <f t="shared" si="280"/>
        <v>1</v>
      </c>
      <c r="BB1045" s="14" t="str">
        <f t="shared" si="281"/>
        <v>飞廉魂珠-1 等级-1</v>
      </c>
      <c r="BC1045" s="25" t="s">
        <v>44</v>
      </c>
      <c r="BD1045" s="14">
        <f t="shared" si="282"/>
        <v>44</v>
      </c>
      <c r="BE1045" s="14">
        <f>SUMIFS(BD$4:BD1045,$AU$4:$AU1045,"="&amp;$AU1045,$AY$4:$AY1045,"="&amp;$AY1045)</f>
        <v>44</v>
      </c>
      <c r="BF1045" s="25" t="s">
        <v>1157</v>
      </c>
      <c r="BG1045" s="14">
        <f t="shared" si="283"/>
        <v>22</v>
      </c>
      <c r="BH1045" s="14">
        <f>SUMIFS(BG$4:BG1045,AU$4:AU1045,"="&amp;AU1045,AY$4:AY1045,"="&amp;AY1045)</f>
        <v>22</v>
      </c>
      <c r="BI1045" s="25" t="s">
        <v>1158</v>
      </c>
      <c r="BJ1045" s="14">
        <f t="shared" si="284"/>
        <v>720</v>
      </c>
      <c r="BK1045" s="14">
        <f>SUMIFS(BJ$4:BJ1045,$AU$4:$AU1045,"="&amp;$AU1045,$AY$4:$AY1045,"="&amp;$AY1045)</f>
        <v>720</v>
      </c>
    </row>
    <row r="1046" spans="46:63" ht="16.5" x14ac:dyDescent="0.2">
      <c r="AT1046" s="13">
        <v>1043</v>
      </c>
      <c r="AU1046" s="13">
        <f t="shared" si="276"/>
        <v>14</v>
      </c>
      <c r="AV1046" s="14">
        <f t="shared" si="277"/>
        <v>201701</v>
      </c>
      <c r="AW1046" s="14">
        <f t="shared" si="278"/>
        <v>1102017</v>
      </c>
      <c r="AX1046" s="13" t="s">
        <v>1127</v>
      </c>
      <c r="AY1046" s="13">
        <f t="shared" si="279"/>
        <v>1</v>
      </c>
      <c r="AZ1046" s="13" t="s">
        <v>1148</v>
      </c>
      <c r="BA1046" s="14">
        <f t="shared" si="280"/>
        <v>2</v>
      </c>
      <c r="BB1046" s="14" t="str">
        <f t="shared" si="281"/>
        <v>飞廉魂珠-1 等级-2</v>
      </c>
      <c r="BC1046" s="25" t="s">
        <v>44</v>
      </c>
      <c r="BD1046" s="14">
        <f t="shared" si="282"/>
        <v>66</v>
      </c>
      <c r="BE1046" s="14">
        <f>SUMIFS(BD$4:BD1046,$AU$4:$AU1046,"="&amp;$AU1046,$AY$4:$AY1046,"="&amp;$AY1046)</f>
        <v>110</v>
      </c>
      <c r="BF1046" s="25" t="s">
        <v>1157</v>
      </c>
      <c r="BG1046" s="14">
        <f t="shared" si="283"/>
        <v>33</v>
      </c>
      <c r="BH1046" s="14">
        <f>SUMIFS(BG$4:BG1046,AU$4:AU1046,"="&amp;AU1046,AY$4:AY1046,"="&amp;AY1046)</f>
        <v>55</v>
      </c>
      <c r="BI1046" s="25" t="s">
        <v>1158</v>
      </c>
      <c r="BJ1046" s="14">
        <f t="shared" si="284"/>
        <v>1080</v>
      </c>
      <c r="BK1046" s="14">
        <f>SUMIFS(BJ$4:BJ1046,$AU$4:$AU1046,"="&amp;$AU1046,$AY$4:$AY1046,"="&amp;$AY1046)</f>
        <v>1800</v>
      </c>
    </row>
    <row r="1047" spans="46:63" ht="16.5" x14ac:dyDescent="0.2">
      <c r="AT1047" s="13">
        <v>1044</v>
      </c>
      <c r="AU1047" s="13">
        <f t="shared" si="276"/>
        <v>14</v>
      </c>
      <c r="AV1047" s="14">
        <f t="shared" si="277"/>
        <v>201701</v>
      </c>
      <c r="AW1047" s="14">
        <f t="shared" si="278"/>
        <v>1102017</v>
      </c>
      <c r="AX1047" s="13" t="s">
        <v>1127</v>
      </c>
      <c r="AY1047" s="13">
        <f t="shared" si="279"/>
        <v>1</v>
      </c>
      <c r="AZ1047" s="13" t="s">
        <v>1148</v>
      </c>
      <c r="BA1047" s="14">
        <f t="shared" si="280"/>
        <v>3</v>
      </c>
      <c r="BB1047" s="14" t="str">
        <f t="shared" si="281"/>
        <v>飞廉魂珠-1 等级-3</v>
      </c>
      <c r="BC1047" s="25" t="s">
        <v>44</v>
      </c>
      <c r="BD1047" s="14">
        <f t="shared" si="282"/>
        <v>88</v>
      </c>
      <c r="BE1047" s="14">
        <f>SUMIFS(BD$4:BD1047,$AU$4:$AU1047,"="&amp;$AU1047,$AY$4:$AY1047,"="&amp;$AY1047)</f>
        <v>198</v>
      </c>
      <c r="BF1047" s="25" t="s">
        <v>1157</v>
      </c>
      <c r="BG1047" s="14">
        <f t="shared" si="283"/>
        <v>44</v>
      </c>
      <c r="BH1047" s="14">
        <f>SUMIFS(BG$4:BG1047,AU$4:AU1047,"="&amp;AU1047,AY$4:AY1047,"="&amp;AY1047)</f>
        <v>99</v>
      </c>
      <c r="BI1047" s="25" t="s">
        <v>1158</v>
      </c>
      <c r="BJ1047" s="14">
        <f t="shared" si="284"/>
        <v>1440</v>
      </c>
      <c r="BK1047" s="14">
        <f>SUMIFS(BJ$4:BJ1047,$AU$4:$AU1047,"="&amp;$AU1047,$AY$4:$AY1047,"="&amp;$AY1047)</f>
        <v>3240</v>
      </c>
    </row>
    <row r="1048" spans="46:63" ht="16.5" x14ac:dyDescent="0.2">
      <c r="AT1048" s="13">
        <v>1045</v>
      </c>
      <c r="AU1048" s="13">
        <f t="shared" si="276"/>
        <v>14</v>
      </c>
      <c r="AV1048" s="14">
        <f t="shared" si="277"/>
        <v>201701</v>
      </c>
      <c r="AW1048" s="14">
        <f t="shared" si="278"/>
        <v>1102017</v>
      </c>
      <c r="AX1048" s="13" t="s">
        <v>1127</v>
      </c>
      <c r="AY1048" s="13">
        <f t="shared" si="279"/>
        <v>1</v>
      </c>
      <c r="AZ1048" s="13" t="s">
        <v>1148</v>
      </c>
      <c r="BA1048" s="14">
        <f t="shared" si="280"/>
        <v>4</v>
      </c>
      <c r="BB1048" s="14" t="str">
        <f t="shared" si="281"/>
        <v>飞廉魂珠-1 等级-4</v>
      </c>
      <c r="BC1048" s="25" t="s">
        <v>44</v>
      </c>
      <c r="BD1048" s="14">
        <f t="shared" si="282"/>
        <v>132</v>
      </c>
      <c r="BE1048" s="14">
        <f>SUMIFS(BD$4:BD1048,$AU$4:$AU1048,"="&amp;$AU1048,$AY$4:$AY1048,"="&amp;$AY1048)</f>
        <v>330</v>
      </c>
      <c r="BF1048" s="25" t="s">
        <v>1157</v>
      </c>
      <c r="BG1048" s="14">
        <f t="shared" si="283"/>
        <v>66</v>
      </c>
      <c r="BH1048" s="14">
        <f>SUMIFS(BG$4:BG1048,AU$4:AU1048,"="&amp;AU1048,AY$4:AY1048,"="&amp;AY1048)</f>
        <v>165</v>
      </c>
      <c r="BI1048" s="25" t="s">
        <v>1158</v>
      </c>
      <c r="BJ1048" s="14">
        <f t="shared" si="284"/>
        <v>2160</v>
      </c>
      <c r="BK1048" s="14">
        <f>SUMIFS(BJ$4:BJ1048,$AU$4:$AU1048,"="&amp;$AU1048,$AY$4:$AY1048,"="&amp;$AY1048)</f>
        <v>5400</v>
      </c>
    </row>
    <row r="1049" spans="46:63" ht="16.5" x14ac:dyDescent="0.2">
      <c r="AT1049" s="13">
        <v>1046</v>
      </c>
      <c r="AU1049" s="13">
        <f t="shared" si="276"/>
        <v>14</v>
      </c>
      <c r="AV1049" s="14">
        <f t="shared" si="277"/>
        <v>201701</v>
      </c>
      <c r="AW1049" s="14">
        <f t="shared" si="278"/>
        <v>1102017</v>
      </c>
      <c r="AX1049" s="13" t="s">
        <v>1127</v>
      </c>
      <c r="AY1049" s="13">
        <f t="shared" si="279"/>
        <v>1</v>
      </c>
      <c r="AZ1049" s="13" t="s">
        <v>1148</v>
      </c>
      <c r="BA1049" s="14">
        <f t="shared" si="280"/>
        <v>5</v>
      </c>
      <c r="BB1049" s="14" t="str">
        <f t="shared" si="281"/>
        <v>飞廉魂珠-1 等级-5</v>
      </c>
      <c r="BC1049" s="25" t="s">
        <v>44</v>
      </c>
      <c r="BD1049" s="14">
        <f t="shared" si="282"/>
        <v>176</v>
      </c>
      <c r="BE1049" s="14">
        <f>SUMIFS(BD$4:BD1049,$AU$4:$AU1049,"="&amp;$AU1049,$AY$4:$AY1049,"="&amp;$AY1049)</f>
        <v>506</v>
      </c>
      <c r="BF1049" s="25" t="s">
        <v>1157</v>
      </c>
      <c r="BG1049" s="14">
        <f t="shared" si="283"/>
        <v>88</v>
      </c>
      <c r="BH1049" s="14">
        <f>SUMIFS(BG$4:BG1049,AU$4:AU1049,"="&amp;AU1049,AY$4:AY1049,"="&amp;AY1049)</f>
        <v>253</v>
      </c>
      <c r="BI1049" s="25" t="s">
        <v>1158</v>
      </c>
      <c r="BJ1049" s="14">
        <f t="shared" si="284"/>
        <v>2880</v>
      </c>
      <c r="BK1049" s="14">
        <f>SUMIFS(BJ$4:BJ1049,$AU$4:$AU1049,"="&amp;$AU1049,$AY$4:$AY1049,"="&amp;$AY1049)</f>
        <v>8280</v>
      </c>
    </row>
    <row r="1050" spans="46:63" ht="16.5" x14ac:dyDescent="0.2">
      <c r="AT1050" s="13">
        <v>1047</v>
      </c>
      <c r="AU1050" s="13">
        <f t="shared" si="276"/>
        <v>14</v>
      </c>
      <c r="AV1050" s="14">
        <f t="shared" si="277"/>
        <v>201701</v>
      </c>
      <c r="AW1050" s="14">
        <f t="shared" si="278"/>
        <v>1102017</v>
      </c>
      <c r="AX1050" s="13" t="s">
        <v>1127</v>
      </c>
      <c r="AY1050" s="13">
        <f t="shared" si="279"/>
        <v>1</v>
      </c>
      <c r="AZ1050" s="13" t="s">
        <v>1148</v>
      </c>
      <c r="BA1050" s="14">
        <f t="shared" si="280"/>
        <v>6</v>
      </c>
      <c r="BB1050" s="14" t="str">
        <f t="shared" si="281"/>
        <v>飞廉魂珠-1 等级-6</v>
      </c>
      <c r="BC1050" s="25" t="s">
        <v>44</v>
      </c>
      <c r="BD1050" s="14">
        <f t="shared" si="282"/>
        <v>220</v>
      </c>
      <c r="BE1050" s="14">
        <f>SUMIFS(BD$4:BD1050,$AU$4:$AU1050,"="&amp;$AU1050,$AY$4:$AY1050,"="&amp;$AY1050)</f>
        <v>726</v>
      </c>
      <c r="BF1050" s="25" t="s">
        <v>1157</v>
      </c>
      <c r="BG1050" s="14">
        <f t="shared" si="283"/>
        <v>110</v>
      </c>
      <c r="BH1050" s="14">
        <f>SUMIFS(BG$4:BG1050,AU$4:AU1050,"="&amp;AU1050,AY$4:AY1050,"="&amp;AY1050)</f>
        <v>363</v>
      </c>
      <c r="BI1050" s="25" t="s">
        <v>1158</v>
      </c>
      <c r="BJ1050" s="14">
        <f t="shared" si="284"/>
        <v>3600</v>
      </c>
      <c r="BK1050" s="14">
        <f>SUMIFS(BJ$4:BJ1050,$AU$4:$AU1050,"="&amp;$AU1050,$AY$4:$AY1050,"="&amp;$AY1050)</f>
        <v>11880</v>
      </c>
    </row>
    <row r="1051" spans="46:63" ht="16.5" x14ac:dyDescent="0.2">
      <c r="AT1051" s="13">
        <v>1048</v>
      </c>
      <c r="AU1051" s="13">
        <f t="shared" si="276"/>
        <v>14</v>
      </c>
      <c r="AV1051" s="14">
        <f t="shared" si="277"/>
        <v>201701</v>
      </c>
      <c r="AW1051" s="14">
        <f t="shared" si="278"/>
        <v>1102017</v>
      </c>
      <c r="AX1051" s="13" t="s">
        <v>1127</v>
      </c>
      <c r="AY1051" s="13">
        <f t="shared" si="279"/>
        <v>1</v>
      </c>
      <c r="AZ1051" s="13" t="s">
        <v>1148</v>
      </c>
      <c r="BA1051" s="14">
        <f t="shared" si="280"/>
        <v>7</v>
      </c>
      <c r="BB1051" s="14" t="str">
        <f t="shared" si="281"/>
        <v>飞廉魂珠-1 等级-7</v>
      </c>
      <c r="BC1051" s="25" t="s">
        <v>44</v>
      </c>
      <c r="BD1051" s="14">
        <f t="shared" si="282"/>
        <v>264</v>
      </c>
      <c r="BE1051" s="14">
        <f>SUMIFS(BD$4:BD1051,$AU$4:$AU1051,"="&amp;$AU1051,$AY$4:$AY1051,"="&amp;$AY1051)</f>
        <v>990</v>
      </c>
      <c r="BF1051" s="25" t="s">
        <v>1157</v>
      </c>
      <c r="BG1051" s="14">
        <f t="shared" si="283"/>
        <v>132</v>
      </c>
      <c r="BH1051" s="14">
        <f>SUMIFS(BG$4:BG1051,AU$4:AU1051,"="&amp;AU1051,AY$4:AY1051,"="&amp;AY1051)</f>
        <v>495</v>
      </c>
      <c r="BI1051" s="25" t="s">
        <v>1158</v>
      </c>
      <c r="BJ1051" s="14">
        <f t="shared" si="284"/>
        <v>4320</v>
      </c>
      <c r="BK1051" s="14">
        <f>SUMIFS(BJ$4:BJ1051,$AU$4:$AU1051,"="&amp;$AU1051,$AY$4:$AY1051,"="&amp;$AY1051)</f>
        <v>16200</v>
      </c>
    </row>
    <row r="1052" spans="46:63" ht="16.5" x14ac:dyDescent="0.2">
      <c r="AT1052" s="13">
        <v>1049</v>
      </c>
      <c r="AU1052" s="13">
        <f t="shared" si="276"/>
        <v>14</v>
      </c>
      <c r="AV1052" s="14">
        <f t="shared" si="277"/>
        <v>201701</v>
      </c>
      <c r="AW1052" s="14">
        <f t="shared" si="278"/>
        <v>1102017</v>
      </c>
      <c r="AX1052" s="13" t="s">
        <v>1127</v>
      </c>
      <c r="AY1052" s="13">
        <f t="shared" si="279"/>
        <v>1</v>
      </c>
      <c r="AZ1052" s="13" t="s">
        <v>1148</v>
      </c>
      <c r="BA1052" s="14">
        <f t="shared" si="280"/>
        <v>8</v>
      </c>
      <c r="BB1052" s="14" t="str">
        <f t="shared" si="281"/>
        <v>飞廉魂珠-1 等级-8</v>
      </c>
      <c r="BC1052" s="25" t="s">
        <v>44</v>
      </c>
      <c r="BD1052" s="14">
        <f t="shared" si="282"/>
        <v>308</v>
      </c>
      <c r="BE1052" s="14">
        <f>SUMIFS(BD$4:BD1052,$AU$4:$AU1052,"="&amp;$AU1052,$AY$4:$AY1052,"="&amp;$AY1052)</f>
        <v>1298</v>
      </c>
      <c r="BF1052" s="25" t="s">
        <v>1157</v>
      </c>
      <c r="BG1052" s="14">
        <f t="shared" si="283"/>
        <v>154</v>
      </c>
      <c r="BH1052" s="14">
        <f>SUMIFS(BG$4:BG1052,AU$4:AU1052,"="&amp;AU1052,AY$4:AY1052,"="&amp;AY1052)</f>
        <v>649</v>
      </c>
      <c r="BI1052" s="25" t="s">
        <v>1158</v>
      </c>
      <c r="BJ1052" s="14">
        <f t="shared" si="284"/>
        <v>5040</v>
      </c>
      <c r="BK1052" s="14">
        <f>SUMIFS(BJ$4:BJ1052,$AU$4:$AU1052,"="&amp;$AU1052,$AY$4:$AY1052,"="&amp;$AY1052)</f>
        <v>21240</v>
      </c>
    </row>
    <row r="1053" spans="46:63" ht="16.5" x14ac:dyDescent="0.2">
      <c r="AT1053" s="13">
        <v>1050</v>
      </c>
      <c r="AU1053" s="13">
        <f t="shared" si="276"/>
        <v>14</v>
      </c>
      <c r="AV1053" s="14">
        <f t="shared" si="277"/>
        <v>201701</v>
      </c>
      <c r="AW1053" s="14">
        <f t="shared" si="278"/>
        <v>1102017</v>
      </c>
      <c r="AX1053" s="13" t="s">
        <v>1127</v>
      </c>
      <c r="AY1053" s="13">
        <f t="shared" si="279"/>
        <v>1</v>
      </c>
      <c r="AZ1053" s="13" t="s">
        <v>1148</v>
      </c>
      <c r="BA1053" s="14">
        <f t="shared" si="280"/>
        <v>9</v>
      </c>
      <c r="BB1053" s="14" t="str">
        <f t="shared" si="281"/>
        <v>飞廉魂珠-1 等级-9</v>
      </c>
      <c r="BC1053" s="25" t="s">
        <v>44</v>
      </c>
      <c r="BD1053" s="14">
        <f t="shared" si="282"/>
        <v>352</v>
      </c>
      <c r="BE1053" s="14">
        <f>SUMIFS(BD$4:BD1053,$AU$4:$AU1053,"="&amp;$AU1053,$AY$4:$AY1053,"="&amp;$AY1053)</f>
        <v>1650</v>
      </c>
      <c r="BF1053" s="25" t="s">
        <v>1157</v>
      </c>
      <c r="BG1053" s="14">
        <f t="shared" si="283"/>
        <v>176</v>
      </c>
      <c r="BH1053" s="14">
        <f>SUMIFS(BG$4:BG1053,AU$4:AU1053,"="&amp;AU1053,AY$4:AY1053,"="&amp;AY1053)</f>
        <v>825</v>
      </c>
      <c r="BI1053" s="25" t="s">
        <v>1158</v>
      </c>
      <c r="BJ1053" s="14">
        <f t="shared" si="284"/>
        <v>5760</v>
      </c>
      <c r="BK1053" s="14">
        <f>SUMIFS(BJ$4:BJ1053,$AU$4:$AU1053,"="&amp;$AU1053,$AY$4:$AY1053,"="&amp;$AY1053)</f>
        <v>27000</v>
      </c>
    </row>
    <row r="1054" spans="46:63" ht="16.5" x14ac:dyDescent="0.2">
      <c r="AT1054" s="13">
        <v>1051</v>
      </c>
      <c r="AU1054" s="13">
        <f t="shared" si="276"/>
        <v>14</v>
      </c>
      <c r="AV1054" s="14">
        <f t="shared" si="277"/>
        <v>201702</v>
      </c>
      <c r="AW1054" s="14">
        <f t="shared" si="278"/>
        <v>1102017</v>
      </c>
      <c r="AX1054" s="13" t="s">
        <v>1127</v>
      </c>
      <c r="AY1054" s="13">
        <f t="shared" si="279"/>
        <v>2</v>
      </c>
      <c r="AZ1054" s="13" t="s">
        <v>1148</v>
      </c>
      <c r="BA1054" s="14">
        <f t="shared" si="280"/>
        <v>0</v>
      </c>
      <c r="BB1054" s="14" t="str">
        <f t="shared" si="281"/>
        <v>飞廉魂珠-2 等级-0</v>
      </c>
      <c r="BC1054" s="25" t="s">
        <v>44</v>
      </c>
      <c r="BD1054" s="14">
        <f t="shared" si="282"/>
        <v>0</v>
      </c>
      <c r="BE1054" s="14">
        <f>SUMIFS(BD$4:BD1054,$AU$4:$AU1054,"="&amp;$AU1054,$AY$4:$AY1054,"="&amp;$AY1054)</f>
        <v>0</v>
      </c>
      <c r="BF1054" s="25" t="s">
        <v>1157</v>
      </c>
      <c r="BG1054" s="14">
        <f t="shared" si="283"/>
        <v>0</v>
      </c>
      <c r="BH1054" s="14">
        <f>SUMIFS(BG$4:BG1054,AU$4:AU1054,"="&amp;AU1054,AY$4:AY1054,"="&amp;AY1054)</f>
        <v>0</v>
      </c>
      <c r="BI1054" s="25" t="s">
        <v>1158</v>
      </c>
      <c r="BJ1054" s="14">
        <f t="shared" si="284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6"/>
        <v>14</v>
      </c>
      <c r="AV1055" s="14">
        <f t="shared" si="277"/>
        <v>201702</v>
      </c>
      <c r="AW1055" s="14">
        <f t="shared" si="278"/>
        <v>1102017</v>
      </c>
      <c r="AX1055" s="13" t="s">
        <v>1127</v>
      </c>
      <c r="AY1055" s="13">
        <f t="shared" si="279"/>
        <v>2</v>
      </c>
      <c r="AZ1055" s="13" t="s">
        <v>1148</v>
      </c>
      <c r="BA1055" s="14">
        <f t="shared" si="280"/>
        <v>1</v>
      </c>
      <c r="BB1055" s="14" t="str">
        <f t="shared" si="281"/>
        <v>飞廉魂珠-2 等级-1</v>
      </c>
      <c r="BC1055" s="25" t="s">
        <v>44</v>
      </c>
      <c r="BD1055" s="14">
        <f t="shared" si="282"/>
        <v>55</v>
      </c>
      <c r="BE1055" s="14">
        <f>SUMIFS(BD$4:BD1055,$AU$4:$AU1055,"="&amp;$AU1055,$AY$4:$AY1055,"="&amp;$AY1055)</f>
        <v>55</v>
      </c>
      <c r="BF1055" s="25" t="s">
        <v>1157</v>
      </c>
      <c r="BG1055" s="14">
        <f t="shared" si="283"/>
        <v>28</v>
      </c>
      <c r="BH1055" s="14">
        <f>SUMIFS(BG$4:BG1055,AU$4:AU1055,"="&amp;AU1055,AY$4:AY1055,"="&amp;AY1055)</f>
        <v>28</v>
      </c>
      <c r="BI1055" s="25" t="s">
        <v>1158</v>
      </c>
      <c r="BJ1055" s="14">
        <f t="shared" si="284"/>
        <v>900</v>
      </c>
      <c r="BK1055" s="14">
        <f>SUMIFS(BJ$4:BJ1055,$AU$4:$AU1055,"="&amp;$AU1055,$AY$4:$AY1055,"="&amp;$AY1055)</f>
        <v>900</v>
      </c>
    </row>
    <row r="1056" spans="46:63" ht="16.5" x14ac:dyDescent="0.2">
      <c r="AT1056" s="13">
        <v>1053</v>
      </c>
      <c r="AU1056" s="13">
        <f t="shared" si="276"/>
        <v>14</v>
      </c>
      <c r="AV1056" s="14">
        <f t="shared" si="277"/>
        <v>201702</v>
      </c>
      <c r="AW1056" s="14">
        <f t="shared" si="278"/>
        <v>1102017</v>
      </c>
      <c r="AX1056" s="13" t="s">
        <v>1127</v>
      </c>
      <c r="AY1056" s="13">
        <f t="shared" si="279"/>
        <v>2</v>
      </c>
      <c r="AZ1056" s="13" t="s">
        <v>1148</v>
      </c>
      <c r="BA1056" s="14">
        <f t="shared" si="280"/>
        <v>2</v>
      </c>
      <c r="BB1056" s="14" t="str">
        <f t="shared" si="281"/>
        <v>飞廉魂珠-2 等级-2</v>
      </c>
      <c r="BC1056" s="25" t="s">
        <v>44</v>
      </c>
      <c r="BD1056" s="14">
        <f t="shared" si="282"/>
        <v>88</v>
      </c>
      <c r="BE1056" s="14">
        <f>SUMIFS(BD$4:BD1056,$AU$4:$AU1056,"="&amp;$AU1056,$AY$4:$AY1056,"="&amp;$AY1056)</f>
        <v>143</v>
      </c>
      <c r="BF1056" s="25" t="s">
        <v>1157</v>
      </c>
      <c r="BG1056" s="14">
        <f t="shared" si="283"/>
        <v>44</v>
      </c>
      <c r="BH1056" s="14">
        <f>SUMIFS(BG$4:BG1056,AU$4:AU1056,"="&amp;AU1056,AY$4:AY1056,"="&amp;AY1056)</f>
        <v>72</v>
      </c>
      <c r="BI1056" s="25" t="s">
        <v>1158</v>
      </c>
      <c r="BJ1056" s="14">
        <f t="shared" si="284"/>
        <v>1440</v>
      </c>
      <c r="BK1056" s="14">
        <f>SUMIFS(BJ$4:BJ1056,$AU$4:$AU1056,"="&amp;$AU1056,$AY$4:$AY1056,"="&amp;$AY1056)</f>
        <v>2340</v>
      </c>
    </row>
    <row r="1057" spans="46:63" ht="16.5" x14ac:dyDescent="0.2">
      <c r="AT1057" s="13">
        <v>1054</v>
      </c>
      <c r="AU1057" s="13">
        <f t="shared" si="276"/>
        <v>14</v>
      </c>
      <c r="AV1057" s="14">
        <f t="shared" si="277"/>
        <v>201702</v>
      </c>
      <c r="AW1057" s="14">
        <f t="shared" si="278"/>
        <v>1102017</v>
      </c>
      <c r="AX1057" s="13" t="s">
        <v>1127</v>
      </c>
      <c r="AY1057" s="13">
        <f t="shared" si="279"/>
        <v>2</v>
      </c>
      <c r="AZ1057" s="13" t="s">
        <v>1148</v>
      </c>
      <c r="BA1057" s="14">
        <f t="shared" si="280"/>
        <v>3</v>
      </c>
      <c r="BB1057" s="14" t="str">
        <f t="shared" si="281"/>
        <v>飞廉魂珠-2 等级-3</v>
      </c>
      <c r="BC1057" s="25" t="s">
        <v>44</v>
      </c>
      <c r="BD1057" s="14">
        <f t="shared" si="282"/>
        <v>110</v>
      </c>
      <c r="BE1057" s="14">
        <f>SUMIFS(BD$4:BD1057,$AU$4:$AU1057,"="&amp;$AU1057,$AY$4:$AY1057,"="&amp;$AY1057)</f>
        <v>253</v>
      </c>
      <c r="BF1057" s="25" t="s">
        <v>1157</v>
      </c>
      <c r="BG1057" s="14">
        <f t="shared" si="283"/>
        <v>55</v>
      </c>
      <c r="BH1057" s="14">
        <f>SUMIFS(BG$4:BG1057,AU$4:AU1057,"="&amp;AU1057,AY$4:AY1057,"="&amp;AY1057)</f>
        <v>127</v>
      </c>
      <c r="BI1057" s="25" t="s">
        <v>1158</v>
      </c>
      <c r="BJ1057" s="14">
        <f t="shared" si="284"/>
        <v>1800</v>
      </c>
      <c r="BK1057" s="14">
        <f>SUMIFS(BJ$4:BJ1057,$AU$4:$AU1057,"="&amp;$AU1057,$AY$4:$AY1057,"="&amp;$AY1057)</f>
        <v>4140</v>
      </c>
    </row>
    <row r="1058" spans="46:63" ht="16.5" x14ac:dyDescent="0.2">
      <c r="AT1058" s="13">
        <v>1055</v>
      </c>
      <c r="AU1058" s="13">
        <f t="shared" si="276"/>
        <v>14</v>
      </c>
      <c r="AV1058" s="14">
        <f t="shared" si="277"/>
        <v>201702</v>
      </c>
      <c r="AW1058" s="14">
        <f t="shared" si="278"/>
        <v>1102017</v>
      </c>
      <c r="AX1058" s="13" t="s">
        <v>1127</v>
      </c>
      <c r="AY1058" s="13">
        <f t="shared" si="279"/>
        <v>2</v>
      </c>
      <c r="AZ1058" s="13" t="s">
        <v>1148</v>
      </c>
      <c r="BA1058" s="14">
        <f t="shared" si="280"/>
        <v>4</v>
      </c>
      <c r="BB1058" s="14" t="str">
        <f t="shared" si="281"/>
        <v>飞廉魂珠-2 等级-4</v>
      </c>
      <c r="BC1058" s="25" t="s">
        <v>44</v>
      </c>
      <c r="BD1058" s="14">
        <f t="shared" si="282"/>
        <v>176</v>
      </c>
      <c r="BE1058" s="14">
        <f>SUMIFS(BD$4:BD1058,$AU$4:$AU1058,"="&amp;$AU1058,$AY$4:$AY1058,"="&amp;$AY1058)</f>
        <v>429</v>
      </c>
      <c r="BF1058" s="25" t="s">
        <v>1157</v>
      </c>
      <c r="BG1058" s="14">
        <f t="shared" si="283"/>
        <v>88</v>
      </c>
      <c r="BH1058" s="14">
        <f>SUMIFS(BG$4:BG1058,AU$4:AU1058,"="&amp;AU1058,AY$4:AY1058,"="&amp;AY1058)</f>
        <v>215</v>
      </c>
      <c r="BI1058" s="25" t="s">
        <v>1158</v>
      </c>
      <c r="BJ1058" s="14">
        <f t="shared" si="284"/>
        <v>2880</v>
      </c>
      <c r="BK1058" s="14">
        <f>SUMIFS(BJ$4:BJ1058,$AU$4:$AU1058,"="&amp;$AU1058,$AY$4:$AY1058,"="&amp;$AY1058)</f>
        <v>7020</v>
      </c>
    </row>
    <row r="1059" spans="46:63" ht="16.5" x14ac:dyDescent="0.2">
      <c r="AT1059" s="13">
        <v>1056</v>
      </c>
      <c r="AU1059" s="13">
        <f t="shared" si="276"/>
        <v>14</v>
      </c>
      <c r="AV1059" s="14">
        <f t="shared" si="277"/>
        <v>201702</v>
      </c>
      <c r="AW1059" s="14">
        <f t="shared" si="278"/>
        <v>1102017</v>
      </c>
      <c r="AX1059" s="13" t="s">
        <v>1127</v>
      </c>
      <c r="AY1059" s="13">
        <f t="shared" si="279"/>
        <v>2</v>
      </c>
      <c r="AZ1059" s="13" t="s">
        <v>1148</v>
      </c>
      <c r="BA1059" s="14">
        <f t="shared" si="280"/>
        <v>5</v>
      </c>
      <c r="BB1059" s="14" t="str">
        <f t="shared" si="281"/>
        <v>飞廉魂珠-2 等级-5</v>
      </c>
      <c r="BC1059" s="25" t="s">
        <v>44</v>
      </c>
      <c r="BD1059" s="14">
        <f t="shared" si="282"/>
        <v>242</v>
      </c>
      <c r="BE1059" s="14">
        <f>SUMIFS(BD$4:BD1059,$AU$4:$AU1059,"="&amp;$AU1059,$AY$4:$AY1059,"="&amp;$AY1059)</f>
        <v>671</v>
      </c>
      <c r="BF1059" s="25" t="s">
        <v>1157</v>
      </c>
      <c r="BG1059" s="14">
        <f t="shared" si="283"/>
        <v>121</v>
      </c>
      <c r="BH1059" s="14">
        <f>SUMIFS(BG$4:BG1059,AU$4:AU1059,"="&amp;AU1059,AY$4:AY1059,"="&amp;AY1059)</f>
        <v>336</v>
      </c>
      <c r="BI1059" s="25" t="s">
        <v>1158</v>
      </c>
      <c r="BJ1059" s="14">
        <f t="shared" si="284"/>
        <v>3960</v>
      </c>
      <c r="BK1059" s="14">
        <f>SUMIFS(BJ$4:BJ1059,$AU$4:$AU1059,"="&amp;$AU1059,$AY$4:$AY1059,"="&amp;$AY1059)</f>
        <v>10980</v>
      </c>
    </row>
    <row r="1060" spans="46:63" ht="16.5" x14ac:dyDescent="0.2">
      <c r="AT1060" s="13">
        <v>1057</v>
      </c>
      <c r="AU1060" s="13">
        <f t="shared" si="276"/>
        <v>14</v>
      </c>
      <c r="AV1060" s="14">
        <f t="shared" si="277"/>
        <v>201702</v>
      </c>
      <c r="AW1060" s="14">
        <f t="shared" si="278"/>
        <v>1102017</v>
      </c>
      <c r="AX1060" s="13" t="s">
        <v>1127</v>
      </c>
      <c r="AY1060" s="13">
        <f t="shared" si="279"/>
        <v>2</v>
      </c>
      <c r="AZ1060" s="13" t="s">
        <v>1148</v>
      </c>
      <c r="BA1060" s="14">
        <f t="shared" si="280"/>
        <v>6</v>
      </c>
      <c r="BB1060" s="14" t="str">
        <f t="shared" si="281"/>
        <v>飞廉魂珠-2 等级-6</v>
      </c>
      <c r="BC1060" s="25" t="s">
        <v>44</v>
      </c>
      <c r="BD1060" s="14">
        <f t="shared" si="282"/>
        <v>308</v>
      </c>
      <c r="BE1060" s="14">
        <f>SUMIFS(BD$4:BD1060,$AU$4:$AU1060,"="&amp;$AU1060,$AY$4:$AY1060,"="&amp;$AY1060)</f>
        <v>979</v>
      </c>
      <c r="BF1060" s="25" t="s">
        <v>1157</v>
      </c>
      <c r="BG1060" s="14">
        <f t="shared" si="283"/>
        <v>154</v>
      </c>
      <c r="BH1060" s="14">
        <f>SUMIFS(BG$4:BG1060,AU$4:AU1060,"="&amp;AU1060,AY$4:AY1060,"="&amp;AY1060)</f>
        <v>490</v>
      </c>
      <c r="BI1060" s="25" t="s">
        <v>1158</v>
      </c>
      <c r="BJ1060" s="14">
        <f t="shared" si="284"/>
        <v>5040</v>
      </c>
      <c r="BK1060" s="14">
        <f>SUMIFS(BJ$4:BJ1060,$AU$4:$AU1060,"="&amp;$AU1060,$AY$4:$AY1060,"="&amp;$AY1060)</f>
        <v>16020</v>
      </c>
    </row>
    <row r="1061" spans="46:63" ht="16.5" x14ac:dyDescent="0.2">
      <c r="AT1061" s="13">
        <v>1058</v>
      </c>
      <c r="AU1061" s="13">
        <f t="shared" si="276"/>
        <v>14</v>
      </c>
      <c r="AV1061" s="14">
        <f t="shared" si="277"/>
        <v>201702</v>
      </c>
      <c r="AW1061" s="14">
        <f t="shared" si="278"/>
        <v>1102017</v>
      </c>
      <c r="AX1061" s="13" t="s">
        <v>1127</v>
      </c>
      <c r="AY1061" s="13">
        <f t="shared" si="279"/>
        <v>2</v>
      </c>
      <c r="AZ1061" s="13" t="s">
        <v>1148</v>
      </c>
      <c r="BA1061" s="14">
        <f t="shared" si="280"/>
        <v>7</v>
      </c>
      <c r="BB1061" s="14" t="str">
        <f t="shared" si="281"/>
        <v>飞廉魂珠-2 等级-7</v>
      </c>
      <c r="BC1061" s="25" t="s">
        <v>44</v>
      </c>
      <c r="BD1061" s="14">
        <f t="shared" si="282"/>
        <v>352</v>
      </c>
      <c r="BE1061" s="14">
        <f>SUMIFS(BD$4:BD1061,$AU$4:$AU1061,"="&amp;$AU1061,$AY$4:$AY1061,"="&amp;$AY1061)</f>
        <v>1331</v>
      </c>
      <c r="BF1061" s="25" t="s">
        <v>1157</v>
      </c>
      <c r="BG1061" s="14">
        <f t="shared" si="283"/>
        <v>176</v>
      </c>
      <c r="BH1061" s="14">
        <f>SUMIFS(BG$4:BG1061,AU$4:AU1061,"="&amp;AU1061,AY$4:AY1061,"="&amp;AY1061)</f>
        <v>666</v>
      </c>
      <c r="BI1061" s="25" t="s">
        <v>1158</v>
      </c>
      <c r="BJ1061" s="14">
        <f t="shared" si="284"/>
        <v>5760</v>
      </c>
      <c r="BK1061" s="14">
        <f>SUMIFS(BJ$4:BJ1061,$AU$4:$AU1061,"="&amp;$AU1061,$AY$4:$AY1061,"="&amp;$AY1061)</f>
        <v>21780</v>
      </c>
    </row>
    <row r="1062" spans="46:63" ht="16.5" x14ac:dyDescent="0.2">
      <c r="AT1062" s="13">
        <v>1059</v>
      </c>
      <c r="AU1062" s="13">
        <f t="shared" si="276"/>
        <v>14</v>
      </c>
      <c r="AV1062" s="14">
        <f t="shared" si="277"/>
        <v>201702</v>
      </c>
      <c r="AW1062" s="14">
        <f t="shared" si="278"/>
        <v>1102017</v>
      </c>
      <c r="AX1062" s="13" t="s">
        <v>1127</v>
      </c>
      <c r="AY1062" s="13">
        <f t="shared" si="279"/>
        <v>2</v>
      </c>
      <c r="AZ1062" s="13" t="s">
        <v>1148</v>
      </c>
      <c r="BA1062" s="14">
        <f t="shared" si="280"/>
        <v>8</v>
      </c>
      <c r="BB1062" s="14" t="str">
        <f t="shared" si="281"/>
        <v>飞廉魂珠-2 等级-8</v>
      </c>
      <c r="BC1062" s="25" t="s">
        <v>44</v>
      </c>
      <c r="BD1062" s="14">
        <f t="shared" si="282"/>
        <v>418</v>
      </c>
      <c r="BE1062" s="14">
        <f>SUMIFS(BD$4:BD1062,$AU$4:$AU1062,"="&amp;$AU1062,$AY$4:$AY1062,"="&amp;$AY1062)</f>
        <v>1749</v>
      </c>
      <c r="BF1062" s="25" t="s">
        <v>1157</v>
      </c>
      <c r="BG1062" s="14">
        <f t="shared" si="283"/>
        <v>209</v>
      </c>
      <c r="BH1062" s="14">
        <f>SUMIFS(BG$4:BG1062,AU$4:AU1062,"="&amp;AU1062,AY$4:AY1062,"="&amp;AY1062)</f>
        <v>875</v>
      </c>
      <c r="BI1062" s="25" t="s">
        <v>1158</v>
      </c>
      <c r="BJ1062" s="14">
        <f t="shared" si="284"/>
        <v>6840</v>
      </c>
      <c r="BK1062" s="14">
        <f>SUMIFS(BJ$4:BJ1062,$AU$4:$AU1062,"="&amp;$AU1062,$AY$4:$AY1062,"="&amp;$AY1062)</f>
        <v>28620</v>
      </c>
    </row>
    <row r="1063" spans="46:63" ht="16.5" x14ac:dyDescent="0.2">
      <c r="AT1063" s="13">
        <v>1060</v>
      </c>
      <c r="AU1063" s="13">
        <f t="shared" si="276"/>
        <v>14</v>
      </c>
      <c r="AV1063" s="14">
        <f t="shared" si="277"/>
        <v>201702</v>
      </c>
      <c r="AW1063" s="14">
        <f t="shared" si="278"/>
        <v>1102017</v>
      </c>
      <c r="AX1063" s="13" t="s">
        <v>1127</v>
      </c>
      <c r="AY1063" s="13">
        <f t="shared" si="279"/>
        <v>2</v>
      </c>
      <c r="AZ1063" s="13" t="s">
        <v>1148</v>
      </c>
      <c r="BA1063" s="14">
        <f t="shared" si="280"/>
        <v>9</v>
      </c>
      <c r="BB1063" s="14" t="str">
        <f t="shared" si="281"/>
        <v>飞廉魂珠-2 等级-9</v>
      </c>
      <c r="BC1063" s="25" t="s">
        <v>44</v>
      </c>
      <c r="BD1063" s="14">
        <f t="shared" si="282"/>
        <v>495</v>
      </c>
      <c r="BE1063" s="14">
        <f>SUMIFS(BD$4:BD1063,$AU$4:$AU1063,"="&amp;$AU1063,$AY$4:$AY1063,"="&amp;$AY1063)</f>
        <v>2244</v>
      </c>
      <c r="BF1063" s="25" t="s">
        <v>1157</v>
      </c>
      <c r="BG1063" s="14">
        <f t="shared" si="283"/>
        <v>248</v>
      </c>
      <c r="BH1063" s="14">
        <f>SUMIFS(BG$4:BG1063,AU$4:AU1063,"="&amp;AU1063,AY$4:AY1063,"="&amp;AY1063)</f>
        <v>1123</v>
      </c>
      <c r="BI1063" s="25" t="s">
        <v>1158</v>
      </c>
      <c r="BJ1063" s="14">
        <f t="shared" si="284"/>
        <v>8100</v>
      </c>
      <c r="BK1063" s="14">
        <f>SUMIFS(BJ$4:BJ1063,$AU$4:$AU1063,"="&amp;$AU1063,$AY$4:$AY1063,"="&amp;$AY1063)</f>
        <v>36720</v>
      </c>
    </row>
    <row r="1064" spans="46:63" ht="16.5" x14ac:dyDescent="0.2">
      <c r="AT1064" s="13">
        <v>1061</v>
      </c>
      <c r="AU1064" s="13">
        <f t="shared" si="276"/>
        <v>14</v>
      </c>
      <c r="AV1064" s="14">
        <f t="shared" si="277"/>
        <v>201703</v>
      </c>
      <c r="AW1064" s="14">
        <f t="shared" si="278"/>
        <v>1102017</v>
      </c>
      <c r="AX1064" s="13" t="s">
        <v>1127</v>
      </c>
      <c r="AY1064" s="13">
        <f t="shared" si="279"/>
        <v>3</v>
      </c>
      <c r="AZ1064" s="13" t="s">
        <v>1148</v>
      </c>
      <c r="BA1064" s="14">
        <f t="shared" si="280"/>
        <v>0</v>
      </c>
      <c r="BB1064" s="14" t="str">
        <f t="shared" si="281"/>
        <v>飞廉魂珠-3 等级-0</v>
      </c>
      <c r="BC1064" s="25" t="s">
        <v>44</v>
      </c>
      <c r="BD1064" s="14">
        <f t="shared" si="282"/>
        <v>0</v>
      </c>
      <c r="BE1064" s="14">
        <f>SUMIFS(BD$4:BD1064,$AU$4:$AU1064,"="&amp;$AU1064,$AY$4:$AY1064,"="&amp;$AY1064)</f>
        <v>0</v>
      </c>
      <c r="BF1064" s="25" t="s">
        <v>1157</v>
      </c>
      <c r="BG1064" s="14">
        <f t="shared" si="283"/>
        <v>0</v>
      </c>
      <c r="BH1064" s="14">
        <f>SUMIFS(BG$4:BG1064,AU$4:AU1064,"="&amp;AU1064,AY$4:AY1064,"="&amp;AY1064)</f>
        <v>0</v>
      </c>
      <c r="BI1064" s="25" t="s">
        <v>1158</v>
      </c>
      <c r="BJ1064" s="14">
        <f t="shared" si="284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6"/>
        <v>14</v>
      </c>
      <c r="AV1065" s="14">
        <f t="shared" si="277"/>
        <v>201703</v>
      </c>
      <c r="AW1065" s="14">
        <f t="shared" si="278"/>
        <v>1102017</v>
      </c>
      <c r="AX1065" s="13" t="s">
        <v>1127</v>
      </c>
      <c r="AY1065" s="13">
        <f t="shared" si="279"/>
        <v>3</v>
      </c>
      <c r="AZ1065" s="13" t="s">
        <v>1148</v>
      </c>
      <c r="BA1065" s="14">
        <f t="shared" si="280"/>
        <v>1</v>
      </c>
      <c r="BB1065" s="14" t="str">
        <f t="shared" si="281"/>
        <v>飞廉魂珠-3 等级-1</v>
      </c>
      <c r="BC1065" s="25" t="s">
        <v>44</v>
      </c>
      <c r="BD1065" s="14">
        <f t="shared" si="282"/>
        <v>88</v>
      </c>
      <c r="BE1065" s="14">
        <f>SUMIFS(BD$4:BD1065,$AU$4:$AU1065,"="&amp;$AU1065,$AY$4:$AY1065,"="&amp;$AY1065)</f>
        <v>88</v>
      </c>
      <c r="BF1065" s="25" t="s">
        <v>1157</v>
      </c>
      <c r="BG1065" s="14">
        <f t="shared" si="283"/>
        <v>44</v>
      </c>
      <c r="BH1065" s="14">
        <f>SUMIFS(BG$4:BG1065,AU$4:AU1065,"="&amp;AU1065,AY$4:AY1065,"="&amp;AY1065)</f>
        <v>44</v>
      </c>
      <c r="BI1065" s="25" t="s">
        <v>1158</v>
      </c>
      <c r="BJ1065" s="14">
        <f t="shared" si="284"/>
        <v>1440</v>
      </c>
      <c r="BK1065" s="14">
        <f>SUMIFS(BJ$4:BJ1065,$AU$4:$AU1065,"="&amp;$AU1065,$AY$4:$AY1065,"="&amp;$AY1065)</f>
        <v>1440</v>
      </c>
    </row>
    <row r="1066" spans="46:63" ht="16.5" x14ac:dyDescent="0.2">
      <c r="AT1066" s="13">
        <v>1063</v>
      </c>
      <c r="AU1066" s="13">
        <f t="shared" si="276"/>
        <v>14</v>
      </c>
      <c r="AV1066" s="14">
        <f t="shared" si="277"/>
        <v>201703</v>
      </c>
      <c r="AW1066" s="14">
        <f t="shared" si="278"/>
        <v>1102017</v>
      </c>
      <c r="AX1066" s="13" t="s">
        <v>1127</v>
      </c>
      <c r="AY1066" s="13">
        <f t="shared" si="279"/>
        <v>3</v>
      </c>
      <c r="AZ1066" s="13" t="s">
        <v>1148</v>
      </c>
      <c r="BA1066" s="14">
        <f t="shared" si="280"/>
        <v>2</v>
      </c>
      <c r="BB1066" s="14" t="str">
        <f t="shared" si="281"/>
        <v>飞廉魂珠-3 等级-2</v>
      </c>
      <c r="BC1066" s="25" t="s">
        <v>44</v>
      </c>
      <c r="BD1066" s="14">
        <f t="shared" si="282"/>
        <v>132</v>
      </c>
      <c r="BE1066" s="14">
        <f>SUMIFS(BD$4:BD1066,$AU$4:$AU1066,"="&amp;$AU1066,$AY$4:$AY1066,"="&amp;$AY1066)</f>
        <v>220</v>
      </c>
      <c r="BF1066" s="25" t="s">
        <v>1157</v>
      </c>
      <c r="BG1066" s="14">
        <f t="shared" si="283"/>
        <v>66</v>
      </c>
      <c r="BH1066" s="14">
        <f>SUMIFS(BG$4:BG1066,AU$4:AU1066,"="&amp;AU1066,AY$4:AY1066,"="&amp;AY1066)</f>
        <v>110</v>
      </c>
      <c r="BI1066" s="25" t="s">
        <v>1158</v>
      </c>
      <c r="BJ1066" s="14">
        <f t="shared" si="284"/>
        <v>2160</v>
      </c>
      <c r="BK1066" s="14">
        <f>SUMIFS(BJ$4:BJ1066,$AU$4:$AU1066,"="&amp;$AU1066,$AY$4:$AY1066,"="&amp;$AY1066)</f>
        <v>3600</v>
      </c>
    </row>
    <row r="1067" spans="46:63" ht="16.5" x14ac:dyDescent="0.2">
      <c r="AT1067" s="13">
        <v>1064</v>
      </c>
      <c r="AU1067" s="13">
        <f t="shared" si="276"/>
        <v>14</v>
      </c>
      <c r="AV1067" s="14">
        <f t="shared" si="277"/>
        <v>201703</v>
      </c>
      <c r="AW1067" s="14">
        <f t="shared" si="278"/>
        <v>1102017</v>
      </c>
      <c r="AX1067" s="13" t="s">
        <v>1127</v>
      </c>
      <c r="AY1067" s="13">
        <f t="shared" si="279"/>
        <v>3</v>
      </c>
      <c r="AZ1067" s="13" t="s">
        <v>1148</v>
      </c>
      <c r="BA1067" s="14">
        <f t="shared" si="280"/>
        <v>3</v>
      </c>
      <c r="BB1067" s="14" t="str">
        <f t="shared" si="281"/>
        <v>飞廉魂珠-3 等级-3</v>
      </c>
      <c r="BC1067" s="25" t="s">
        <v>44</v>
      </c>
      <c r="BD1067" s="14">
        <f t="shared" si="282"/>
        <v>176</v>
      </c>
      <c r="BE1067" s="14">
        <f>SUMIFS(BD$4:BD1067,$AU$4:$AU1067,"="&amp;$AU1067,$AY$4:$AY1067,"="&amp;$AY1067)</f>
        <v>396</v>
      </c>
      <c r="BF1067" s="25" t="s">
        <v>1157</v>
      </c>
      <c r="BG1067" s="14">
        <f t="shared" si="283"/>
        <v>88</v>
      </c>
      <c r="BH1067" s="14">
        <f>SUMIFS(BG$4:BG1067,AU$4:AU1067,"="&amp;AU1067,AY$4:AY1067,"="&amp;AY1067)</f>
        <v>198</v>
      </c>
      <c r="BI1067" s="25" t="s">
        <v>1158</v>
      </c>
      <c r="BJ1067" s="14">
        <f t="shared" si="284"/>
        <v>2880</v>
      </c>
      <c r="BK1067" s="14">
        <f>SUMIFS(BJ$4:BJ1067,$AU$4:$AU1067,"="&amp;$AU1067,$AY$4:$AY1067,"="&amp;$AY1067)</f>
        <v>6480</v>
      </c>
    </row>
    <row r="1068" spans="46:63" ht="16.5" x14ac:dyDescent="0.2">
      <c r="AT1068" s="13">
        <v>1065</v>
      </c>
      <c r="AU1068" s="13">
        <f t="shared" si="276"/>
        <v>14</v>
      </c>
      <c r="AV1068" s="14">
        <f t="shared" si="277"/>
        <v>201703</v>
      </c>
      <c r="AW1068" s="14">
        <f t="shared" si="278"/>
        <v>1102017</v>
      </c>
      <c r="AX1068" s="13" t="s">
        <v>1127</v>
      </c>
      <c r="AY1068" s="13">
        <f t="shared" si="279"/>
        <v>3</v>
      </c>
      <c r="AZ1068" s="13" t="s">
        <v>1148</v>
      </c>
      <c r="BA1068" s="14">
        <f t="shared" si="280"/>
        <v>4</v>
      </c>
      <c r="BB1068" s="14" t="str">
        <f t="shared" si="281"/>
        <v>飞廉魂珠-3 等级-4</v>
      </c>
      <c r="BC1068" s="25" t="s">
        <v>44</v>
      </c>
      <c r="BD1068" s="14">
        <f t="shared" si="282"/>
        <v>264</v>
      </c>
      <c r="BE1068" s="14">
        <f>SUMIFS(BD$4:BD1068,$AU$4:$AU1068,"="&amp;$AU1068,$AY$4:$AY1068,"="&amp;$AY1068)</f>
        <v>660</v>
      </c>
      <c r="BF1068" s="25" t="s">
        <v>1157</v>
      </c>
      <c r="BG1068" s="14">
        <f t="shared" si="283"/>
        <v>132</v>
      </c>
      <c r="BH1068" s="14">
        <f>SUMIFS(BG$4:BG1068,AU$4:AU1068,"="&amp;AU1068,AY$4:AY1068,"="&amp;AY1068)</f>
        <v>330</v>
      </c>
      <c r="BI1068" s="25" t="s">
        <v>1158</v>
      </c>
      <c r="BJ1068" s="14">
        <f t="shared" si="284"/>
        <v>4320</v>
      </c>
      <c r="BK1068" s="14">
        <f>SUMIFS(BJ$4:BJ1068,$AU$4:$AU1068,"="&amp;$AU1068,$AY$4:$AY1068,"="&amp;$AY1068)</f>
        <v>10800</v>
      </c>
    </row>
    <row r="1069" spans="46:63" ht="16.5" x14ac:dyDescent="0.2">
      <c r="AT1069" s="13">
        <v>1066</v>
      </c>
      <c r="AU1069" s="13">
        <f t="shared" si="276"/>
        <v>14</v>
      </c>
      <c r="AV1069" s="14">
        <f t="shared" si="277"/>
        <v>201703</v>
      </c>
      <c r="AW1069" s="14">
        <f t="shared" si="278"/>
        <v>1102017</v>
      </c>
      <c r="AX1069" s="13" t="s">
        <v>1127</v>
      </c>
      <c r="AY1069" s="13">
        <f t="shared" si="279"/>
        <v>3</v>
      </c>
      <c r="AZ1069" s="13" t="s">
        <v>1148</v>
      </c>
      <c r="BA1069" s="14">
        <f t="shared" si="280"/>
        <v>5</v>
      </c>
      <c r="BB1069" s="14" t="str">
        <f t="shared" si="281"/>
        <v>飞廉魂珠-3 等级-5</v>
      </c>
      <c r="BC1069" s="25" t="s">
        <v>44</v>
      </c>
      <c r="BD1069" s="14">
        <f t="shared" si="282"/>
        <v>352</v>
      </c>
      <c r="BE1069" s="14">
        <f>SUMIFS(BD$4:BD1069,$AU$4:$AU1069,"="&amp;$AU1069,$AY$4:$AY1069,"="&amp;$AY1069)</f>
        <v>1012</v>
      </c>
      <c r="BF1069" s="25" t="s">
        <v>1157</v>
      </c>
      <c r="BG1069" s="14">
        <f t="shared" si="283"/>
        <v>176</v>
      </c>
      <c r="BH1069" s="14">
        <f>SUMIFS(BG$4:BG1069,AU$4:AU1069,"="&amp;AU1069,AY$4:AY1069,"="&amp;AY1069)</f>
        <v>506</v>
      </c>
      <c r="BI1069" s="25" t="s">
        <v>1158</v>
      </c>
      <c r="BJ1069" s="14">
        <f t="shared" si="284"/>
        <v>5760</v>
      </c>
      <c r="BK1069" s="14">
        <f>SUMIFS(BJ$4:BJ1069,$AU$4:$AU1069,"="&amp;$AU1069,$AY$4:$AY1069,"="&amp;$AY1069)</f>
        <v>16560</v>
      </c>
    </row>
    <row r="1070" spans="46:63" ht="16.5" x14ac:dyDescent="0.2">
      <c r="AT1070" s="13">
        <v>1067</v>
      </c>
      <c r="AU1070" s="13">
        <f t="shared" si="276"/>
        <v>14</v>
      </c>
      <c r="AV1070" s="14">
        <f t="shared" si="277"/>
        <v>201703</v>
      </c>
      <c r="AW1070" s="14">
        <f t="shared" si="278"/>
        <v>1102017</v>
      </c>
      <c r="AX1070" s="13" t="s">
        <v>1127</v>
      </c>
      <c r="AY1070" s="13">
        <f t="shared" si="279"/>
        <v>3</v>
      </c>
      <c r="AZ1070" s="13" t="s">
        <v>1148</v>
      </c>
      <c r="BA1070" s="14">
        <f t="shared" si="280"/>
        <v>6</v>
      </c>
      <c r="BB1070" s="14" t="str">
        <f t="shared" si="281"/>
        <v>飞廉魂珠-3 等级-6</v>
      </c>
      <c r="BC1070" s="25" t="s">
        <v>44</v>
      </c>
      <c r="BD1070" s="14">
        <f t="shared" si="282"/>
        <v>440</v>
      </c>
      <c r="BE1070" s="14">
        <f>SUMIFS(BD$4:BD1070,$AU$4:$AU1070,"="&amp;$AU1070,$AY$4:$AY1070,"="&amp;$AY1070)</f>
        <v>1452</v>
      </c>
      <c r="BF1070" s="25" t="s">
        <v>1157</v>
      </c>
      <c r="BG1070" s="14">
        <f t="shared" si="283"/>
        <v>220</v>
      </c>
      <c r="BH1070" s="14">
        <f>SUMIFS(BG$4:BG1070,AU$4:AU1070,"="&amp;AU1070,AY$4:AY1070,"="&amp;AY1070)</f>
        <v>726</v>
      </c>
      <c r="BI1070" s="25" t="s">
        <v>1158</v>
      </c>
      <c r="BJ1070" s="14">
        <f t="shared" si="284"/>
        <v>7200</v>
      </c>
      <c r="BK1070" s="14">
        <f>SUMIFS(BJ$4:BJ1070,$AU$4:$AU1070,"="&amp;$AU1070,$AY$4:$AY1070,"="&amp;$AY1070)</f>
        <v>23760</v>
      </c>
    </row>
    <row r="1071" spans="46:63" ht="16.5" x14ac:dyDescent="0.2">
      <c r="AT1071" s="13">
        <v>1068</v>
      </c>
      <c r="AU1071" s="13">
        <f t="shared" si="276"/>
        <v>14</v>
      </c>
      <c r="AV1071" s="14">
        <f t="shared" si="277"/>
        <v>201703</v>
      </c>
      <c r="AW1071" s="14">
        <f t="shared" si="278"/>
        <v>1102017</v>
      </c>
      <c r="AX1071" s="13" t="s">
        <v>1127</v>
      </c>
      <c r="AY1071" s="13">
        <f t="shared" si="279"/>
        <v>3</v>
      </c>
      <c r="AZ1071" s="13" t="s">
        <v>1148</v>
      </c>
      <c r="BA1071" s="14">
        <f t="shared" si="280"/>
        <v>7</v>
      </c>
      <c r="BB1071" s="14" t="str">
        <f t="shared" si="281"/>
        <v>飞廉魂珠-3 等级-7</v>
      </c>
      <c r="BC1071" s="25" t="s">
        <v>44</v>
      </c>
      <c r="BD1071" s="14">
        <f t="shared" si="282"/>
        <v>528</v>
      </c>
      <c r="BE1071" s="14">
        <f>SUMIFS(BD$4:BD1071,$AU$4:$AU1071,"="&amp;$AU1071,$AY$4:$AY1071,"="&amp;$AY1071)</f>
        <v>1980</v>
      </c>
      <c r="BF1071" s="25" t="s">
        <v>1157</v>
      </c>
      <c r="BG1071" s="14">
        <f t="shared" si="283"/>
        <v>264</v>
      </c>
      <c r="BH1071" s="14">
        <f>SUMIFS(BG$4:BG1071,AU$4:AU1071,"="&amp;AU1071,AY$4:AY1071,"="&amp;AY1071)</f>
        <v>990</v>
      </c>
      <c r="BI1071" s="25" t="s">
        <v>1158</v>
      </c>
      <c r="BJ1071" s="14">
        <f t="shared" si="284"/>
        <v>8640</v>
      </c>
      <c r="BK1071" s="14">
        <f>SUMIFS(BJ$4:BJ1071,$AU$4:$AU1071,"="&amp;$AU1071,$AY$4:$AY1071,"="&amp;$AY1071)</f>
        <v>32400</v>
      </c>
    </row>
    <row r="1072" spans="46:63" ht="16.5" x14ac:dyDescent="0.2">
      <c r="AT1072" s="13">
        <v>1069</v>
      </c>
      <c r="AU1072" s="13">
        <f t="shared" si="276"/>
        <v>14</v>
      </c>
      <c r="AV1072" s="14">
        <f t="shared" si="277"/>
        <v>201703</v>
      </c>
      <c r="AW1072" s="14">
        <f t="shared" si="278"/>
        <v>1102017</v>
      </c>
      <c r="AX1072" s="13" t="s">
        <v>1127</v>
      </c>
      <c r="AY1072" s="13">
        <f t="shared" si="279"/>
        <v>3</v>
      </c>
      <c r="AZ1072" s="13" t="s">
        <v>1148</v>
      </c>
      <c r="BA1072" s="14">
        <f t="shared" si="280"/>
        <v>8</v>
      </c>
      <c r="BB1072" s="14" t="str">
        <f t="shared" si="281"/>
        <v>飞廉魂珠-3 等级-8</v>
      </c>
      <c r="BC1072" s="25" t="s">
        <v>44</v>
      </c>
      <c r="BD1072" s="14">
        <f t="shared" si="282"/>
        <v>616</v>
      </c>
      <c r="BE1072" s="14">
        <f>SUMIFS(BD$4:BD1072,$AU$4:$AU1072,"="&amp;$AU1072,$AY$4:$AY1072,"="&amp;$AY1072)</f>
        <v>2596</v>
      </c>
      <c r="BF1072" s="25" t="s">
        <v>1157</v>
      </c>
      <c r="BG1072" s="14">
        <f t="shared" si="283"/>
        <v>308</v>
      </c>
      <c r="BH1072" s="14">
        <f>SUMIFS(BG$4:BG1072,AU$4:AU1072,"="&amp;AU1072,AY$4:AY1072,"="&amp;AY1072)</f>
        <v>1298</v>
      </c>
      <c r="BI1072" s="25" t="s">
        <v>1158</v>
      </c>
      <c r="BJ1072" s="14">
        <f t="shared" si="284"/>
        <v>10080</v>
      </c>
      <c r="BK1072" s="14">
        <f>SUMIFS(BJ$4:BJ1072,$AU$4:$AU1072,"="&amp;$AU1072,$AY$4:$AY1072,"="&amp;$AY1072)</f>
        <v>42480</v>
      </c>
    </row>
    <row r="1073" spans="46:63" ht="16.5" x14ac:dyDescent="0.2">
      <c r="AT1073" s="13">
        <v>1070</v>
      </c>
      <c r="AU1073" s="13">
        <f t="shared" si="276"/>
        <v>14</v>
      </c>
      <c r="AV1073" s="14">
        <f t="shared" si="277"/>
        <v>201703</v>
      </c>
      <c r="AW1073" s="14">
        <f t="shared" si="278"/>
        <v>1102017</v>
      </c>
      <c r="AX1073" s="13" t="s">
        <v>1127</v>
      </c>
      <c r="AY1073" s="13">
        <f t="shared" si="279"/>
        <v>3</v>
      </c>
      <c r="AZ1073" s="13" t="s">
        <v>1148</v>
      </c>
      <c r="BA1073" s="14">
        <f t="shared" si="280"/>
        <v>9</v>
      </c>
      <c r="BB1073" s="14" t="str">
        <f t="shared" si="281"/>
        <v>飞廉魂珠-3 等级-9</v>
      </c>
      <c r="BC1073" s="25" t="s">
        <v>44</v>
      </c>
      <c r="BD1073" s="14">
        <f t="shared" si="282"/>
        <v>704</v>
      </c>
      <c r="BE1073" s="14">
        <f>SUMIFS(BD$4:BD1073,$AU$4:$AU1073,"="&amp;$AU1073,$AY$4:$AY1073,"="&amp;$AY1073)</f>
        <v>3300</v>
      </c>
      <c r="BF1073" s="25" t="s">
        <v>1157</v>
      </c>
      <c r="BG1073" s="14">
        <f t="shared" si="283"/>
        <v>352</v>
      </c>
      <c r="BH1073" s="14">
        <f>SUMIFS(BG$4:BG1073,AU$4:AU1073,"="&amp;AU1073,AY$4:AY1073,"="&amp;AY1073)</f>
        <v>1650</v>
      </c>
      <c r="BI1073" s="25" t="s">
        <v>1158</v>
      </c>
      <c r="BJ1073" s="14">
        <f t="shared" si="284"/>
        <v>11520</v>
      </c>
      <c r="BK1073" s="14">
        <f>SUMIFS(BJ$4:BJ1073,$AU$4:$AU1073,"="&amp;$AU1073,$AY$4:$AY1073,"="&amp;$AY1073)</f>
        <v>54000</v>
      </c>
    </row>
    <row r="1074" spans="46:63" ht="16.5" x14ac:dyDescent="0.2">
      <c r="AT1074" s="13">
        <v>1071</v>
      </c>
      <c r="AU1074" s="13">
        <f t="shared" si="276"/>
        <v>14</v>
      </c>
      <c r="AV1074" s="14">
        <f t="shared" si="277"/>
        <v>201704</v>
      </c>
      <c r="AW1074" s="14">
        <f t="shared" si="278"/>
        <v>1102017</v>
      </c>
      <c r="AX1074" s="13" t="s">
        <v>1127</v>
      </c>
      <c r="AY1074" s="13">
        <f t="shared" si="279"/>
        <v>4</v>
      </c>
      <c r="AZ1074" s="13" t="s">
        <v>1148</v>
      </c>
      <c r="BA1074" s="14">
        <f t="shared" si="280"/>
        <v>0</v>
      </c>
      <c r="BB1074" s="14" t="str">
        <f t="shared" si="281"/>
        <v>飞廉魂珠-4 等级-0</v>
      </c>
      <c r="BC1074" s="25" t="s">
        <v>44</v>
      </c>
      <c r="BD1074" s="14">
        <f t="shared" si="282"/>
        <v>0</v>
      </c>
      <c r="BE1074" s="14">
        <f>SUMIFS(BD$4:BD1074,$AU$4:$AU1074,"="&amp;$AU1074,$AY$4:$AY1074,"="&amp;$AY1074)</f>
        <v>0</v>
      </c>
      <c r="BF1074" s="25" t="s">
        <v>1157</v>
      </c>
      <c r="BG1074" s="14">
        <f t="shared" si="283"/>
        <v>0</v>
      </c>
      <c r="BH1074" s="14">
        <f>SUMIFS(BG$4:BG1074,AU$4:AU1074,"="&amp;AU1074,AY$4:AY1074,"="&amp;AY1074)</f>
        <v>0</v>
      </c>
      <c r="BI1074" s="25" t="s">
        <v>1158</v>
      </c>
      <c r="BJ1074" s="14">
        <f t="shared" si="284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6"/>
        <v>14</v>
      </c>
      <c r="AV1075" s="14">
        <f t="shared" si="277"/>
        <v>201704</v>
      </c>
      <c r="AW1075" s="14">
        <f t="shared" si="278"/>
        <v>1102017</v>
      </c>
      <c r="AX1075" s="13" t="s">
        <v>1127</v>
      </c>
      <c r="AY1075" s="13">
        <f t="shared" si="279"/>
        <v>4</v>
      </c>
      <c r="AZ1075" s="13" t="s">
        <v>1148</v>
      </c>
      <c r="BA1075" s="14">
        <f t="shared" si="280"/>
        <v>1</v>
      </c>
      <c r="BB1075" s="14" t="str">
        <f t="shared" si="281"/>
        <v>飞廉魂珠-4 等级-1</v>
      </c>
      <c r="BC1075" s="25" t="s">
        <v>44</v>
      </c>
      <c r="BD1075" s="14">
        <f t="shared" si="282"/>
        <v>110</v>
      </c>
      <c r="BE1075" s="14">
        <f>SUMIFS(BD$4:BD1075,$AU$4:$AU1075,"="&amp;$AU1075,$AY$4:$AY1075,"="&amp;$AY1075)</f>
        <v>110</v>
      </c>
      <c r="BF1075" s="25" t="s">
        <v>1157</v>
      </c>
      <c r="BG1075" s="14">
        <f t="shared" si="283"/>
        <v>55</v>
      </c>
      <c r="BH1075" s="14">
        <f>SUMIFS(BG$4:BG1075,AU$4:AU1075,"="&amp;AU1075,AY$4:AY1075,"="&amp;AY1075)</f>
        <v>55</v>
      </c>
      <c r="BI1075" s="25" t="s">
        <v>1158</v>
      </c>
      <c r="BJ1075" s="14">
        <f t="shared" si="284"/>
        <v>1800</v>
      </c>
      <c r="BK1075" s="14">
        <f>SUMIFS(BJ$4:BJ1075,$AU$4:$AU1075,"="&amp;$AU1075,$AY$4:$AY1075,"="&amp;$AY1075)</f>
        <v>1800</v>
      </c>
    </row>
    <row r="1076" spans="46:63" ht="16.5" x14ac:dyDescent="0.2">
      <c r="AT1076" s="13">
        <v>1073</v>
      </c>
      <c r="AU1076" s="13">
        <f t="shared" si="276"/>
        <v>14</v>
      </c>
      <c r="AV1076" s="14">
        <f t="shared" si="277"/>
        <v>201704</v>
      </c>
      <c r="AW1076" s="14">
        <f t="shared" si="278"/>
        <v>1102017</v>
      </c>
      <c r="AX1076" s="13" t="s">
        <v>1127</v>
      </c>
      <c r="AY1076" s="13">
        <f t="shared" si="279"/>
        <v>4</v>
      </c>
      <c r="AZ1076" s="13" t="s">
        <v>1148</v>
      </c>
      <c r="BA1076" s="14">
        <f t="shared" si="280"/>
        <v>2</v>
      </c>
      <c r="BB1076" s="14" t="str">
        <f t="shared" si="281"/>
        <v>飞廉魂珠-4 等级-2</v>
      </c>
      <c r="BC1076" s="25" t="s">
        <v>44</v>
      </c>
      <c r="BD1076" s="14">
        <f t="shared" si="282"/>
        <v>176</v>
      </c>
      <c r="BE1076" s="14">
        <f>SUMIFS(BD$4:BD1076,$AU$4:$AU1076,"="&amp;$AU1076,$AY$4:$AY1076,"="&amp;$AY1076)</f>
        <v>286</v>
      </c>
      <c r="BF1076" s="25" t="s">
        <v>1157</v>
      </c>
      <c r="BG1076" s="14">
        <f t="shared" si="283"/>
        <v>88</v>
      </c>
      <c r="BH1076" s="14">
        <f>SUMIFS(BG$4:BG1076,AU$4:AU1076,"="&amp;AU1076,AY$4:AY1076,"="&amp;AY1076)</f>
        <v>143</v>
      </c>
      <c r="BI1076" s="25" t="s">
        <v>1158</v>
      </c>
      <c r="BJ1076" s="14">
        <f t="shared" si="284"/>
        <v>2880</v>
      </c>
      <c r="BK1076" s="14">
        <f>SUMIFS(BJ$4:BJ1076,$AU$4:$AU1076,"="&amp;$AU1076,$AY$4:$AY1076,"="&amp;$AY1076)</f>
        <v>4680</v>
      </c>
    </row>
    <row r="1077" spans="46:63" ht="16.5" x14ac:dyDescent="0.2">
      <c r="AT1077" s="13">
        <v>1074</v>
      </c>
      <c r="AU1077" s="13">
        <f t="shared" si="276"/>
        <v>14</v>
      </c>
      <c r="AV1077" s="14">
        <f t="shared" si="277"/>
        <v>201704</v>
      </c>
      <c r="AW1077" s="14">
        <f t="shared" si="278"/>
        <v>1102017</v>
      </c>
      <c r="AX1077" s="13" t="s">
        <v>1127</v>
      </c>
      <c r="AY1077" s="13">
        <f t="shared" si="279"/>
        <v>4</v>
      </c>
      <c r="AZ1077" s="13" t="s">
        <v>1148</v>
      </c>
      <c r="BA1077" s="14">
        <f t="shared" si="280"/>
        <v>3</v>
      </c>
      <c r="BB1077" s="14" t="str">
        <f t="shared" si="281"/>
        <v>飞廉魂珠-4 等级-3</v>
      </c>
      <c r="BC1077" s="25" t="s">
        <v>44</v>
      </c>
      <c r="BD1077" s="14">
        <f t="shared" si="282"/>
        <v>242</v>
      </c>
      <c r="BE1077" s="14">
        <f>SUMIFS(BD$4:BD1077,$AU$4:$AU1077,"="&amp;$AU1077,$AY$4:$AY1077,"="&amp;$AY1077)</f>
        <v>528</v>
      </c>
      <c r="BF1077" s="25" t="s">
        <v>1157</v>
      </c>
      <c r="BG1077" s="14">
        <f t="shared" si="283"/>
        <v>121</v>
      </c>
      <c r="BH1077" s="14">
        <f>SUMIFS(BG$4:BG1077,AU$4:AU1077,"="&amp;AU1077,AY$4:AY1077,"="&amp;AY1077)</f>
        <v>264</v>
      </c>
      <c r="BI1077" s="25" t="s">
        <v>1158</v>
      </c>
      <c r="BJ1077" s="14">
        <f t="shared" si="284"/>
        <v>3960</v>
      </c>
      <c r="BK1077" s="14">
        <f>SUMIFS(BJ$4:BJ1077,$AU$4:$AU1077,"="&amp;$AU1077,$AY$4:$AY1077,"="&amp;$AY1077)</f>
        <v>8640</v>
      </c>
    </row>
    <row r="1078" spans="46:63" ht="16.5" x14ac:dyDescent="0.2">
      <c r="AT1078" s="13">
        <v>1075</v>
      </c>
      <c r="AU1078" s="13">
        <f t="shared" si="276"/>
        <v>14</v>
      </c>
      <c r="AV1078" s="14">
        <f t="shared" si="277"/>
        <v>201704</v>
      </c>
      <c r="AW1078" s="14">
        <f t="shared" si="278"/>
        <v>1102017</v>
      </c>
      <c r="AX1078" s="13" t="s">
        <v>1127</v>
      </c>
      <c r="AY1078" s="13">
        <f t="shared" si="279"/>
        <v>4</v>
      </c>
      <c r="AZ1078" s="13" t="s">
        <v>1148</v>
      </c>
      <c r="BA1078" s="14">
        <f t="shared" si="280"/>
        <v>4</v>
      </c>
      <c r="BB1078" s="14" t="str">
        <f t="shared" si="281"/>
        <v>飞廉魂珠-4 等级-4</v>
      </c>
      <c r="BC1078" s="25" t="s">
        <v>44</v>
      </c>
      <c r="BD1078" s="14">
        <f t="shared" si="282"/>
        <v>352</v>
      </c>
      <c r="BE1078" s="14">
        <f>SUMIFS(BD$4:BD1078,$AU$4:$AU1078,"="&amp;$AU1078,$AY$4:$AY1078,"="&amp;$AY1078)</f>
        <v>880</v>
      </c>
      <c r="BF1078" s="25" t="s">
        <v>1157</v>
      </c>
      <c r="BG1078" s="14">
        <f t="shared" si="283"/>
        <v>176</v>
      </c>
      <c r="BH1078" s="14">
        <f>SUMIFS(BG$4:BG1078,AU$4:AU1078,"="&amp;AU1078,AY$4:AY1078,"="&amp;AY1078)</f>
        <v>440</v>
      </c>
      <c r="BI1078" s="25" t="s">
        <v>1158</v>
      </c>
      <c r="BJ1078" s="14">
        <f t="shared" si="284"/>
        <v>5760</v>
      </c>
      <c r="BK1078" s="14">
        <f>SUMIFS(BJ$4:BJ1078,$AU$4:$AU1078,"="&amp;$AU1078,$AY$4:$AY1078,"="&amp;$AY1078)</f>
        <v>14400</v>
      </c>
    </row>
    <row r="1079" spans="46:63" ht="16.5" x14ac:dyDescent="0.2">
      <c r="AT1079" s="13">
        <v>1076</v>
      </c>
      <c r="AU1079" s="13">
        <f t="shared" si="276"/>
        <v>14</v>
      </c>
      <c r="AV1079" s="14">
        <f t="shared" si="277"/>
        <v>201704</v>
      </c>
      <c r="AW1079" s="14">
        <f t="shared" si="278"/>
        <v>1102017</v>
      </c>
      <c r="AX1079" s="13" t="s">
        <v>1127</v>
      </c>
      <c r="AY1079" s="13">
        <f t="shared" si="279"/>
        <v>4</v>
      </c>
      <c r="AZ1079" s="13" t="s">
        <v>1148</v>
      </c>
      <c r="BA1079" s="14">
        <f t="shared" si="280"/>
        <v>5</v>
      </c>
      <c r="BB1079" s="14" t="str">
        <f t="shared" si="281"/>
        <v>飞廉魂珠-4 等级-5</v>
      </c>
      <c r="BC1079" s="25" t="s">
        <v>44</v>
      </c>
      <c r="BD1079" s="14">
        <f t="shared" si="282"/>
        <v>462</v>
      </c>
      <c r="BE1079" s="14">
        <f>SUMIFS(BD$4:BD1079,$AU$4:$AU1079,"="&amp;$AU1079,$AY$4:$AY1079,"="&amp;$AY1079)</f>
        <v>1342</v>
      </c>
      <c r="BF1079" s="25" t="s">
        <v>1157</v>
      </c>
      <c r="BG1079" s="14">
        <f t="shared" si="283"/>
        <v>231</v>
      </c>
      <c r="BH1079" s="14">
        <f>SUMIFS(BG$4:BG1079,AU$4:AU1079,"="&amp;AU1079,AY$4:AY1079,"="&amp;AY1079)</f>
        <v>671</v>
      </c>
      <c r="BI1079" s="25" t="s">
        <v>1158</v>
      </c>
      <c r="BJ1079" s="14">
        <f t="shared" si="284"/>
        <v>7560</v>
      </c>
      <c r="BK1079" s="14">
        <f>SUMIFS(BJ$4:BJ1079,$AU$4:$AU1079,"="&amp;$AU1079,$AY$4:$AY1079,"="&amp;$AY1079)</f>
        <v>21960</v>
      </c>
    </row>
    <row r="1080" spans="46:63" ht="16.5" x14ac:dyDescent="0.2">
      <c r="AT1080" s="13">
        <v>1077</v>
      </c>
      <c r="AU1080" s="13">
        <f t="shared" si="276"/>
        <v>14</v>
      </c>
      <c r="AV1080" s="14">
        <f t="shared" si="277"/>
        <v>201704</v>
      </c>
      <c r="AW1080" s="14">
        <f t="shared" si="278"/>
        <v>1102017</v>
      </c>
      <c r="AX1080" s="13" t="s">
        <v>1127</v>
      </c>
      <c r="AY1080" s="13">
        <f t="shared" si="279"/>
        <v>4</v>
      </c>
      <c r="AZ1080" s="13" t="s">
        <v>1148</v>
      </c>
      <c r="BA1080" s="14">
        <f t="shared" si="280"/>
        <v>6</v>
      </c>
      <c r="BB1080" s="14" t="str">
        <f t="shared" si="281"/>
        <v>飞廉魂珠-4 等级-6</v>
      </c>
      <c r="BC1080" s="25" t="s">
        <v>44</v>
      </c>
      <c r="BD1080" s="14">
        <f t="shared" si="282"/>
        <v>605</v>
      </c>
      <c r="BE1080" s="14">
        <f>SUMIFS(BD$4:BD1080,$AU$4:$AU1080,"="&amp;$AU1080,$AY$4:$AY1080,"="&amp;$AY1080)</f>
        <v>1947</v>
      </c>
      <c r="BF1080" s="25" t="s">
        <v>1157</v>
      </c>
      <c r="BG1080" s="14">
        <f t="shared" si="283"/>
        <v>303</v>
      </c>
      <c r="BH1080" s="14">
        <f>SUMIFS(BG$4:BG1080,AU$4:AU1080,"="&amp;AU1080,AY$4:AY1080,"="&amp;AY1080)</f>
        <v>974</v>
      </c>
      <c r="BI1080" s="25" t="s">
        <v>1158</v>
      </c>
      <c r="BJ1080" s="14">
        <f t="shared" si="284"/>
        <v>9900</v>
      </c>
      <c r="BK1080" s="14">
        <f>SUMIFS(BJ$4:BJ1080,$AU$4:$AU1080,"="&amp;$AU1080,$AY$4:$AY1080,"="&amp;$AY1080)</f>
        <v>31860</v>
      </c>
    </row>
    <row r="1081" spans="46:63" ht="16.5" x14ac:dyDescent="0.2">
      <c r="AT1081" s="13">
        <v>1078</v>
      </c>
      <c r="AU1081" s="13">
        <f t="shared" si="276"/>
        <v>14</v>
      </c>
      <c r="AV1081" s="14">
        <f t="shared" si="277"/>
        <v>201704</v>
      </c>
      <c r="AW1081" s="14">
        <f t="shared" si="278"/>
        <v>1102017</v>
      </c>
      <c r="AX1081" s="13" t="s">
        <v>1127</v>
      </c>
      <c r="AY1081" s="13">
        <f t="shared" si="279"/>
        <v>4</v>
      </c>
      <c r="AZ1081" s="13" t="s">
        <v>1148</v>
      </c>
      <c r="BA1081" s="14">
        <f t="shared" si="280"/>
        <v>7</v>
      </c>
      <c r="BB1081" s="14" t="str">
        <f t="shared" si="281"/>
        <v>飞廉魂珠-4 等级-7</v>
      </c>
      <c r="BC1081" s="25" t="s">
        <v>44</v>
      </c>
      <c r="BD1081" s="14">
        <f t="shared" si="282"/>
        <v>715</v>
      </c>
      <c r="BE1081" s="14">
        <f>SUMIFS(BD$4:BD1081,$AU$4:$AU1081,"="&amp;$AU1081,$AY$4:$AY1081,"="&amp;$AY1081)</f>
        <v>2662</v>
      </c>
      <c r="BF1081" s="25" t="s">
        <v>1157</v>
      </c>
      <c r="BG1081" s="14">
        <f t="shared" si="283"/>
        <v>358</v>
      </c>
      <c r="BH1081" s="14">
        <f>SUMIFS(BG$4:BG1081,AU$4:AU1081,"="&amp;AU1081,AY$4:AY1081,"="&amp;AY1081)</f>
        <v>1332</v>
      </c>
      <c r="BI1081" s="25" t="s">
        <v>1158</v>
      </c>
      <c r="BJ1081" s="14">
        <f t="shared" si="284"/>
        <v>11700</v>
      </c>
      <c r="BK1081" s="14">
        <f>SUMIFS(BJ$4:BJ1081,$AU$4:$AU1081,"="&amp;$AU1081,$AY$4:$AY1081,"="&amp;$AY1081)</f>
        <v>43560</v>
      </c>
    </row>
    <row r="1082" spans="46:63" ht="16.5" x14ac:dyDescent="0.2">
      <c r="AT1082" s="13">
        <v>1079</v>
      </c>
      <c r="AU1082" s="13">
        <f t="shared" si="276"/>
        <v>14</v>
      </c>
      <c r="AV1082" s="14">
        <f t="shared" si="277"/>
        <v>201704</v>
      </c>
      <c r="AW1082" s="14">
        <f t="shared" si="278"/>
        <v>1102017</v>
      </c>
      <c r="AX1082" s="13" t="s">
        <v>1127</v>
      </c>
      <c r="AY1082" s="13">
        <f t="shared" si="279"/>
        <v>4</v>
      </c>
      <c r="AZ1082" s="13" t="s">
        <v>1148</v>
      </c>
      <c r="BA1082" s="14">
        <f t="shared" si="280"/>
        <v>8</v>
      </c>
      <c r="BB1082" s="14" t="str">
        <f t="shared" si="281"/>
        <v>飞廉魂珠-4 等级-8</v>
      </c>
      <c r="BC1082" s="25" t="s">
        <v>44</v>
      </c>
      <c r="BD1082" s="14">
        <f t="shared" si="282"/>
        <v>825</v>
      </c>
      <c r="BE1082" s="14">
        <f>SUMIFS(BD$4:BD1082,$AU$4:$AU1082,"="&amp;$AU1082,$AY$4:$AY1082,"="&amp;$AY1082)</f>
        <v>3487</v>
      </c>
      <c r="BF1082" s="25" t="s">
        <v>1157</v>
      </c>
      <c r="BG1082" s="14">
        <f t="shared" si="283"/>
        <v>413</v>
      </c>
      <c r="BH1082" s="14">
        <f>SUMIFS(BG$4:BG1082,AU$4:AU1082,"="&amp;AU1082,AY$4:AY1082,"="&amp;AY1082)</f>
        <v>1745</v>
      </c>
      <c r="BI1082" s="25" t="s">
        <v>1158</v>
      </c>
      <c r="BJ1082" s="14">
        <f t="shared" si="284"/>
        <v>13500</v>
      </c>
      <c r="BK1082" s="14">
        <f>SUMIFS(BJ$4:BJ1082,$AU$4:$AU1082,"="&amp;$AU1082,$AY$4:$AY1082,"="&amp;$AY1082)</f>
        <v>57060</v>
      </c>
    </row>
    <row r="1083" spans="46:63" ht="16.5" x14ac:dyDescent="0.2">
      <c r="AT1083" s="13">
        <v>1080</v>
      </c>
      <c r="AU1083" s="13">
        <f t="shared" si="276"/>
        <v>14</v>
      </c>
      <c r="AV1083" s="14">
        <f t="shared" si="277"/>
        <v>201704</v>
      </c>
      <c r="AW1083" s="14">
        <f t="shared" si="278"/>
        <v>1102017</v>
      </c>
      <c r="AX1083" s="13" t="s">
        <v>1127</v>
      </c>
      <c r="AY1083" s="13">
        <f t="shared" si="279"/>
        <v>4</v>
      </c>
      <c r="AZ1083" s="13" t="s">
        <v>1148</v>
      </c>
      <c r="BA1083" s="14">
        <f t="shared" si="280"/>
        <v>9</v>
      </c>
      <c r="BB1083" s="14" t="str">
        <f t="shared" si="281"/>
        <v>飞廉魂珠-4 等级-9</v>
      </c>
      <c r="BC1083" s="25" t="s">
        <v>44</v>
      </c>
      <c r="BD1083" s="14">
        <f t="shared" si="282"/>
        <v>935</v>
      </c>
      <c r="BE1083" s="14">
        <f>SUMIFS(BD$4:BD1083,$AU$4:$AU1083,"="&amp;$AU1083,$AY$4:$AY1083,"="&amp;$AY1083)</f>
        <v>4422</v>
      </c>
      <c r="BF1083" s="25" t="s">
        <v>1157</v>
      </c>
      <c r="BG1083" s="14">
        <f t="shared" si="283"/>
        <v>468</v>
      </c>
      <c r="BH1083" s="14">
        <f>SUMIFS(BG$4:BG1083,AU$4:AU1083,"="&amp;AU1083,AY$4:AY1083,"="&amp;AY1083)</f>
        <v>2213</v>
      </c>
      <c r="BI1083" s="25" t="s">
        <v>1158</v>
      </c>
      <c r="BJ1083" s="14">
        <f t="shared" si="284"/>
        <v>15300</v>
      </c>
      <c r="BK1083" s="14">
        <f>SUMIFS(BJ$4:BJ1083,$AU$4:$AU1083,"="&amp;$AU1083,$AY$4:$AY1083,"="&amp;$AY1083)</f>
        <v>72360</v>
      </c>
    </row>
    <row r="1084" spans="46:63" ht="16.5" x14ac:dyDescent="0.2">
      <c r="AT1084" s="13">
        <v>1081</v>
      </c>
      <c r="AU1084" s="13">
        <f t="shared" si="276"/>
        <v>14</v>
      </c>
      <c r="AV1084" s="14">
        <f t="shared" si="277"/>
        <v>201705</v>
      </c>
      <c r="AW1084" s="14">
        <f t="shared" si="278"/>
        <v>1102017</v>
      </c>
      <c r="AX1084" s="13" t="s">
        <v>1127</v>
      </c>
      <c r="AY1084" s="13">
        <f t="shared" si="279"/>
        <v>5</v>
      </c>
      <c r="AZ1084" s="13" t="s">
        <v>1148</v>
      </c>
      <c r="BA1084" s="14">
        <f t="shared" si="280"/>
        <v>0</v>
      </c>
      <c r="BB1084" s="14" t="str">
        <f t="shared" si="281"/>
        <v>飞廉魂珠-5 等级-0</v>
      </c>
      <c r="BC1084" s="25" t="s">
        <v>44</v>
      </c>
      <c r="BD1084" s="14">
        <f t="shared" si="282"/>
        <v>0</v>
      </c>
      <c r="BE1084" s="14">
        <f>SUMIFS(BD$4:BD1084,$AU$4:$AU1084,"="&amp;$AU1084,$AY$4:$AY1084,"="&amp;$AY1084)</f>
        <v>0</v>
      </c>
      <c r="BF1084" s="25" t="s">
        <v>1157</v>
      </c>
      <c r="BG1084" s="14">
        <f t="shared" si="283"/>
        <v>0</v>
      </c>
      <c r="BH1084" s="14">
        <f>SUMIFS(BG$4:BG1084,AU$4:AU1084,"="&amp;AU1084,AY$4:AY1084,"="&amp;AY1084)</f>
        <v>0</v>
      </c>
      <c r="BI1084" s="25" t="s">
        <v>1158</v>
      </c>
      <c r="BJ1084" s="14">
        <f t="shared" si="284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6"/>
        <v>14</v>
      </c>
      <c r="AV1085" s="14">
        <f t="shared" si="277"/>
        <v>201705</v>
      </c>
      <c r="AW1085" s="14">
        <f t="shared" si="278"/>
        <v>1102017</v>
      </c>
      <c r="AX1085" s="13" t="s">
        <v>1127</v>
      </c>
      <c r="AY1085" s="13">
        <f t="shared" si="279"/>
        <v>5</v>
      </c>
      <c r="AZ1085" s="13" t="s">
        <v>1148</v>
      </c>
      <c r="BA1085" s="14">
        <f t="shared" si="280"/>
        <v>1</v>
      </c>
      <c r="BB1085" s="14" t="str">
        <f t="shared" si="281"/>
        <v>飞廉魂珠-5 等级-1</v>
      </c>
      <c r="BC1085" s="25" t="s">
        <v>44</v>
      </c>
      <c r="BD1085" s="14">
        <f t="shared" si="282"/>
        <v>154</v>
      </c>
      <c r="BE1085" s="14">
        <f>SUMIFS(BD$4:BD1085,$AU$4:$AU1085,"="&amp;$AU1085,$AY$4:$AY1085,"="&amp;$AY1085)</f>
        <v>154</v>
      </c>
      <c r="BF1085" s="25" t="s">
        <v>1157</v>
      </c>
      <c r="BG1085" s="14">
        <f t="shared" si="283"/>
        <v>77</v>
      </c>
      <c r="BH1085" s="14">
        <f>SUMIFS(BG$4:BG1085,AU$4:AU1085,"="&amp;AU1085,AY$4:AY1085,"="&amp;AY1085)</f>
        <v>77</v>
      </c>
      <c r="BI1085" s="25" t="s">
        <v>1158</v>
      </c>
      <c r="BJ1085" s="14">
        <f t="shared" si="284"/>
        <v>2520</v>
      </c>
      <c r="BK1085" s="14">
        <f>SUMIFS(BJ$4:BJ1085,$AU$4:$AU1085,"="&amp;$AU1085,$AY$4:$AY1085,"="&amp;$AY1085)</f>
        <v>2520</v>
      </c>
    </row>
    <row r="1086" spans="46:63" ht="16.5" x14ac:dyDescent="0.2">
      <c r="AT1086" s="13">
        <v>1083</v>
      </c>
      <c r="AU1086" s="13">
        <f t="shared" si="276"/>
        <v>14</v>
      </c>
      <c r="AV1086" s="14">
        <f t="shared" si="277"/>
        <v>201705</v>
      </c>
      <c r="AW1086" s="14">
        <f t="shared" si="278"/>
        <v>1102017</v>
      </c>
      <c r="AX1086" s="13" t="s">
        <v>1127</v>
      </c>
      <c r="AY1086" s="13">
        <f t="shared" si="279"/>
        <v>5</v>
      </c>
      <c r="AZ1086" s="13" t="s">
        <v>1148</v>
      </c>
      <c r="BA1086" s="14">
        <f t="shared" si="280"/>
        <v>2</v>
      </c>
      <c r="BB1086" s="14" t="str">
        <f t="shared" si="281"/>
        <v>飞廉魂珠-5 等级-2</v>
      </c>
      <c r="BC1086" s="25" t="s">
        <v>44</v>
      </c>
      <c r="BD1086" s="14">
        <f t="shared" si="282"/>
        <v>220</v>
      </c>
      <c r="BE1086" s="14">
        <f>SUMIFS(BD$4:BD1086,$AU$4:$AU1086,"="&amp;$AU1086,$AY$4:$AY1086,"="&amp;$AY1086)</f>
        <v>374</v>
      </c>
      <c r="BF1086" s="25" t="s">
        <v>1157</v>
      </c>
      <c r="BG1086" s="14">
        <f t="shared" si="283"/>
        <v>110</v>
      </c>
      <c r="BH1086" s="14">
        <f>SUMIFS(BG$4:BG1086,AU$4:AU1086,"="&amp;AU1086,AY$4:AY1086,"="&amp;AY1086)</f>
        <v>187</v>
      </c>
      <c r="BI1086" s="25" t="s">
        <v>1158</v>
      </c>
      <c r="BJ1086" s="14">
        <f t="shared" si="284"/>
        <v>3600</v>
      </c>
      <c r="BK1086" s="14">
        <f>SUMIFS(BJ$4:BJ1086,$AU$4:$AU1086,"="&amp;$AU1086,$AY$4:$AY1086,"="&amp;$AY1086)</f>
        <v>6120</v>
      </c>
    </row>
    <row r="1087" spans="46:63" ht="16.5" x14ac:dyDescent="0.2">
      <c r="AT1087" s="13">
        <v>1084</v>
      </c>
      <c r="AU1087" s="13">
        <f t="shared" si="276"/>
        <v>14</v>
      </c>
      <c r="AV1087" s="14">
        <f t="shared" si="277"/>
        <v>201705</v>
      </c>
      <c r="AW1087" s="14">
        <f t="shared" si="278"/>
        <v>1102017</v>
      </c>
      <c r="AX1087" s="13" t="s">
        <v>1127</v>
      </c>
      <c r="AY1087" s="13">
        <f t="shared" si="279"/>
        <v>5</v>
      </c>
      <c r="AZ1087" s="13" t="s">
        <v>1148</v>
      </c>
      <c r="BA1087" s="14">
        <f t="shared" si="280"/>
        <v>3</v>
      </c>
      <c r="BB1087" s="14" t="str">
        <f t="shared" si="281"/>
        <v>飞廉魂珠-5 等级-3</v>
      </c>
      <c r="BC1087" s="25" t="s">
        <v>44</v>
      </c>
      <c r="BD1087" s="14">
        <f t="shared" si="282"/>
        <v>286</v>
      </c>
      <c r="BE1087" s="14">
        <f>SUMIFS(BD$4:BD1087,$AU$4:$AU1087,"="&amp;$AU1087,$AY$4:$AY1087,"="&amp;$AY1087)</f>
        <v>660</v>
      </c>
      <c r="BF1087" s="25" t="s">
        <v>1157</v>
      </c>
      <c r="BG1087" s="14">
        <f t="shared" si="283"/>
        <v>143</v>
      </c>
      <c r="BH1087" s="14">
        <f>SUMIFS(BG$4:BG1087,AU$4:AU1087,"="&amp;AU1087,AY$4:AY1087,"="&amp;AY1087)</f>
        <v>330</v>
      </c>
      <c r="BI1087" s="25" t="s">
        <v>1158</v>
      </c>
      <c r="BJ1087" s="14">
        <f t="shared" si="284"/>
        <v>4680</v>
      </c>
      <c r="BK1087" s="14">
        <f>SUMIFS(BJ$4:BJ1087,$AU$4:$AU1087,"="&amp;$AU1087,$AY$4:$AY1087,"="&amp;$AY1087)</f>
        <v>10800</v>
      </c>
    </row>
    <row r="1088" spans="46:63" ht="16.5" x14ac:dyDescent="0.2">
      <c r="AT1088" s="13">
        <v>1085</v>
      </c>
      <c r="AU1088" s="13">
        <f t="shared" si="276"/>
        <v>14</v>
      </c>
      <c r="AV1088" s="14">
        <f t="shared" si="277"/>
        <v>201705</v>
      </c>
      <c r="AW1088" s="14">
        <f t="shared" si="278"/>
        <v>1102017</v>
      </c>
      <c r="AX1088" s="13" t="s">
        <v>1127</v>
      </c>
      <c r="AY1088" s="13">
        <f t="shared" si="279"/>
        <v>5</v>
      </c>
      <c r="AZ1088" s="13" t="s">
        <v>1148</v>
      </c>
      <c r="BA1088" s="14">
        <f t="shared" si="280"/>
        <v>4</v>
      </c>
      <c r="BB1088" s="14" t="str">
        <f t="shared" si="281"/>
        <v>飞廉魂珠-5 等级-4</v>
      </c>
      <c r="BC1088" s="25" t="s">
        <v>44</v>
      </c>
      <c r="BD1088" s="14">
        <f t="shared" si="282"/>
        <v>440</v>
      </c>
      <c r="BE1088" s="14">
        <f>SUMIFS(BD$4:BD1088,$AU$4:$AU1088,"="&amp;$AU1088,$AY$4:$AY1088,"="&amp;$AY1088)</f>
        <v>1100</v>
      </c>
      <c r="BF1088" s="25" t="s">
        <v>1157</v>
      </c>
      <c r="BG1088" s="14">
        <f t="shared" si="283"/>
        <v>220</v>
      </c>
      <c r="BH1088" s="14">
        <f>SUMIFS(BG$4:BG1088,AU$4:AU1088,"="&amp;AU1088,AY$4:AY1088,"="&amp;AY1088)</f>
        <v>550</v>
      </c>
      <c r="BI1088" s="25" t="s">
        <v>1158</v>
      </c>
      <c r="BJ1088" s="14">
        <f t="shared" si="284"/>
        <v>7200</v>
      </c>
      <c r="BK1088" s="14">
        <f>SUMIFS(BJ$4:BJ1088,$AU$4:$AU1088,"="&amp;$AU1088,$AY$4:$AY1088,"="&amp;$AY1088)</f>
        <v>18000</v>
      </c>
    </row>
    <row r="1089" spans="46:63" ht="16.5" x14ac:dyDescent="0.2">
      <c r="AT1089" s="13">
        <v>1086</v>
      </c>
      <c r="AU1089" s="13">
        <f t="shared" si="276"/>
        <v>14</v>
      </c>
      <c r="AV1089" s="14">
        <f t="shared" si="277"/>
        <v>201705</v>
      </c>
      <c r="AW1089" s="14">
        <f t="shared" si="278"/>
        <v>1102017</v>
      </c>
      <c r="AX1089" s="13" t="s">
        <v>1127</v>
      </c>
      <c r="AY1089" s="13">
        <f t="shared" si="279"/>
        <v>5</v>
      </c>
      <c r="AZ1089" s="13" t="s">
        <v>1148</v>
      </c>
      <c r="BA1089" s="14">
        <f t="shared" si="280"/>
        <v>5</v>
      </c>
      <c r="BB1089" s="14" t="str">
        <f t="shared" si="281"/>
        <v>飞廉魂珠-5 等级-5</v>
      </c>
      <c r="BC1089" s="25" t="s">
        <v>44</v>
      </c>
      <c r="BD1089" s="14">
        <f t="shared" si="282"/>
        <v>572</v>
      </c>
      <c r="BE1089" s="14">
        <f>SUMIFS(BD$4:BD1089,$AU$4:$AU1089,"="&amp;$AU1089,$AY$4:$AY1089,"="&amp;$AY1089)</f>
        <v>1672</v>
      </c>
      <c r="BF1089" s="25" t="s">
        <v>1157</v>
      </c>
      <c r="BG1089" s="14">
        <f t="shared" si="283"/>
        <v>286</v>
      </c>
      <c r="BH1089" s="14">
        <f>SUMIFS(BG$4:BG1089,AU$4:AU1089,"="&amp;AU1089,AY$4:AY1089,"="&amp;AY1089)</f>
        <v>836</v>
      </c>
      <c r="BI1089" s="25" t="s">
        <v>1158</v>
      </c>
      <c r="BJ1089" s="14">
        <f t="shared" si="284"/>
        <v>9360</v>
      </c>
      <c r="BK1089" s="14">
        <f>SUMIFS(BJ$4:BJ1089,$AU$4:$AU1089,"="&amp;$AU1089,$AY$4:$AY1089,"="&amp;$AY1089)</f>
        <v>27360</v>
      </c>
    </row>
    <row r="1090" spans="46:63" ht="16.5" x14ac:dyDescent="0.2">
      <c r="AT1090" s="13">
        <v>1087</v>
      </c>
      <c r="AU1090" s="13">
        <f t="shared" si="276"/>
        <v>14</v>
      </c>
      <c r="AV1090" s="14">
        <f t="shared" si="277"/>
        <v>201705</v>
      </c>
      <c r="AW1090" s="14">
        <f t="shared" si="278"/>
        <v>1102017</v>
      </c>
      <c r="AX1090" s="13" t="s">
        <v>1127</v>
      </c>
      <c r="AY1090" s="13">
        <f t="shared" si="279"/>
        <v>5</v>
      </c>
      <c r="AZ1090" s="13" t="s">
        <v>1148</v>
      </c>
      <c r="BA1090" s="14">
        <f t="shared" si="280"/>
        <v>6</v>
      </c>
      <c r="BB1090" s="14" t="str">
        <f t="shared" si="281"/>
        <v>飞廉魂珠-5 等级-6</v>
      </c>
      <c r="BC1090" s="25" t="s">
        <v>44</v>
      </c>
      <c r="BD1090" s="14">
        <f t="shared" si="282"/>
        <v>715</v>
      </c>
      <c r="BE1090" s="14">
        <f>SUMIFS(BD$4:BD1090,$AU$4:$AU1090,"="&amp;$AU1090,$AY$4:$AY1090,"="&amp;$AY1090)</f>
        <v>2387</v>
      </c>
      <c r="BF1090" s="25" t="s">
        <v>1157</v>
      </c>
      <c r="BG1090" s="14">
        <f t="shared" si="283"/>
        <v>358</v>
      </c>
      <c r="BH1090" s="14">
        <f>SUMIFS(BG$4:BG1090,AU$4:AU1090,"="&amp;AU1090,AY$4:AY1090,"="&amp;AY1090)</f>
        <v>1194</v>
      </c>
      <c r="BI1090" s="25" t="s">
        <v>1158</v>
      </c>
      <c r="BJ1090" s="14">
        <f t="shared" si="284"/>
        <v>11700</v>
      </c>
      <c r="BK1090" s="14">
        <f>SUMIFS(BJ$4:BJ1090,$AU$4:$AU1090,"="&amp;$AU1090,$AY$4:$AY1090,"="&amp;$AY1090)</f>
        <v>39060</v>
      </c>
    </row>
    <row r="1091" spans="46:63" ht="16.5" x14ac:dyDescent="0.2">
      <c r="AT1091" s="13">
        <v>1088</v>
      </c>
      <c r="AU1091" s="13">
        <f t="shared" si="276"/>
        <v>14</v>
      </c>
      <c r="AV1091" s="14">
        <f t="shared" si="277"/>
        <v>201705</v>
      </c>
      <c r="AW1091" s="14">
        <f t="shared" si="278"/>
        <v>1102017</v>
      </c>
      <c r="AX1091" s="13" t="s">
        <v>1127</v>
      </c>
      <c r="AY1091" s="13">
        <f t="shared" si="279"/>
        <v>5</v>
      </c>
      <c r="AZ1091" s="13" t="s">
        <v>1148</v>
      </c>
      <c r="BA1091" s="14">
        <f t="shared" si="280"/>
        <v>7</v>
      </c>
      <c r="BB1091" s="14" t="str">
        <f t="shared" si="281"/>
        <v>飞廉魂珠-5 等级-7</v>
      </c>
      <c r="BC1091" s="25" t="s">
        <v>44</v>
      </c>
      <c r="BD1091" s="14">
        <f t="shared" si="282"/>
        <v>880</v>
      </c>
      <c r="BE1091" s="14">
        <f>SUMIFS(BD$4:BD1091,$AU$4:$AU1091,"="&amp;$AU1091,$AY$4:$AY1091,"="&amp;$AY1091)</f>
        <v>3267</v>
      </c>
      <c r="BF1091" s="25" t="s">
        <v>1157</v>
      </c>
      <c r="BG1091" s="14">
        <f t="shared" si="283"/>
        <v>440</v>
      </c>
      <c r="BH1091" s="14">
        <f>SUMIFS(BG$4:BG1091,AU$4:AU1091,"="&amp;AU1091,AY$4:AY1091,"="&amp;AY1091)</f>
        <v>1634</v>
      </c>
      <c r="BI1091" s="25" t="s">
        <v>1158</v>
      </c>
      <c r="BJ1091" s="14">
        <f t="shared" si="284"/>
        <v>14400</v>
      </c>
      <c r="BK1091" s="14">
        <f>SUMIFS(BJ$4:BJ1091,$AU$4:$AU1091,"="&amp;$AU1091,$AY$4:$AY1091,"="&amp;$AY1091)</f>
        <v>53460</v>
      </c>
    </row>
    <row r="1092" spans="46:63" ht="16.5" x14ac:dyDescent="0.2">
      <c r="AT1092" s="13">
        <v>1089</v>
      </c>
      <c r="AU1092" s="13">
        <f t="shared" si="276"/>
        <v>14</v>
      </c>
      <c r="AV1092" s="14">
        <f t="shared" si="277"/>
        <v>201705</v>
      </c>
      <c r="AW1092" s="14">
        <f t="shared" si="278"/>
        <v>1102017</v>
      </c>
      <c r="AX1092" s="13" t="s">
        <v>1127</v>
      </c>
      <c r="AY1092" s="13">
        <f t="shared" si="279"/>
        <v>5</v>
      </c>
      <c r="AZ1092" s="13" t="s">
        <v>1148</v>
      </c>
      <c r="BA1092" s="14">
        <f t="shared" si="280"/>
        <v>8</v>
      </c>
      <c r="BB1092" s="14" t="str">
        <f t="shared" si="281"/>
        <v>飞廉魂珠-5 等级-8</v>
      </c>
      <c r="BC1092" s="25" t="s">
        <v>44</v>
      </c>
      <c r="BD1092" s="14">
        <f t="shared" si="282"/>
        <v>1045</v>
      </c>
      <c r="BE1092" s="14">
        <f>SUMIFS(BD$4:BD1092,$AU$4:$AU1092,"="&amp;$AU1092,$AY$4:$AY1092,"="&amp;$AY1092)</f>
        <v>4312</v>
      </c>
      <c r="BF1092" s="25" t="s">
        <v>1157</v>
      </c>
      <c r="BG1092" s="14">
        <f t="shared" si="283"/>
        <v>523</v>
      </c>
      <c r="BH1092" s="14">
        <f>SUMIFS(BG$4:BG1092,AU$4:AU1092,"="&amp;AU1092,AY$4:AY1092,"="&amp;AY1092)</f>
        <v>2157</v>
      </c>
      <c r="BI1092" s="25" t="s">
        <v>1158</v>
      </c>
      <c r="BJ1092" s="14">
        <f t="shared" si="284"/>
        <v>17100</v>
      </c>
      <c r="BK1092" s="14">
        <f>SUMIFS(BJ$4:BJ1092,$AU$4:$AU1092,"="&amp;$AU1092,$AY$4:$AY1092,"="&amp;$AY1092)</f>
        <v>70560</v>
      </c>
    </row>
    <row r="1093" spans="46:63" ht="16.5" x14ac:dyDescent="0.2">
      <c r="AT1093" s="13">
        <v>1090</v>
      </c>
      <c r="AU1093" s="13">
        <f t="shared" ref="AU1093:AU1156" si="285">INT((AT1093-1)/80)+1</f>
        <v>14</v>
      </c>
      <c r="AV1093" s="14">
        <f t="shared" ref="AV1093:AV1156" si="286">INDEX($AJ$4:$AJ$203,(AU1093-1)*8+AY1093)</f>
        <v>201705</v>
      </c>
      <c r="AW1093" s="14">
        <f t="shared" ref="AW1093:AW1156" si="287">INDEX($W$4:$W$28,AU1093)</f>
        <v>1102017</v>
      </c>
      <c r="AX1093" s="13" t="s">
        <v>1127</v>
      </c>
      <c r="AY1093" s="13">
        <f t="shared" ref="AY1093:AY1156" si="288">INT(((AT1093-(AU1093-1)*80)-1)/10)+1</f>
        <v>5</v>
      </c>
      <c r="AZ1093" s="13" t="s">
        <v>1148</v>
      </c>
      <c r="BA1093" s="14">
        <f t="shared" ref="BA1093:BA1156" si="289">AT1093-(AU1093-1)*80-(AY1093-1)*10-1</f>
        <v>9</v>
      </c>
      <c r="BB1093" s="14" t="str">
        <f t="shared" ref="BB1093:BB1156" si="290">INDEX($X$4:$X$28,AU1093)&amp;"魂珠-"&amp;AY1093&amp;" 等级-"&amp;BA1093</f>
        <v>飞廉魂珠-5 等级-9</v>
      </c>
      <c r="BC1093" s="25" t="s">
        <v>44</v>
      </c>
      <c r="BD1093" s="14">
        <f t="shared" ref="BD1093:BD1156" si="291">ROUND(INDEX(Q$4:Q$83,($AY1093-1)*10+$BA1093+1)*INDEX(AC$4:AC$28,$AU1093),0)</f>
        <v>1210</v>
      </c>
      <c r="BE1093" s="14">
        <f>SUMIFS(BD$4:BD1093,$AU$4:$AU1093,"="&amp;$AU1093,$AY$4:$AY1093,"="&amp;$AY1093)</f>
        <v>5522</v>
      </c>
      <c r="BF1093" s="25" t="s">
        <v>1157</v>
      </c>
      <c r="BG1093" s="14">
        <f t="shared" ref="BG1093:BG1156" si="292">ROUND(INDEX(R$4:R$83,($AY1093-1)*10+$BA1093+1)*INDEX(AD$4:AD$28,$AU1093),0)</f>
        <v>605</v>
      </c>
      <c r="BH1093" s="14">
        <f>SUMIFS(BG$4:BG1093,AU$4:AU1093,"="&amp;AU1093,AY$4:AY1093,"="&amp;AY1093)</f>
        <v>2762</v>
      </c>
      <c r="BI1093" s="25" t="s">
        <v>1158</v>
      </c>
      <c r="BJ1093" s="14">
        <f t="shared" ref="BJ1093:BJ1156" si="293">ROUND(INDEX(S$4:S$83,($AY1093-1)*10+$BA1093+1)*INDEX(AE$4:AE$28,$AU1093),0)</f>
        <v>19800</v>
      </c>
      <c r="BK1093" s="14">
        <f>SUMIFS(BJ$4:BJ1093,$AU$4:$AU1093,"="&amp;$AU1093,$AY$4:$AY1093,"="&amp;$AY1093)</f>
        <v>90360</v>
      </c>
    </row>
    <row r="1094" spans="46:63" ht="16.5" x14ac:dyDescent="0.2">
      <c r="AT1094" s="13">
        <v>1091</v>
      </c>
      <c r="AU1094" s="13">
        <f t="shared" si="285"/>
        <v>14</v>
      </c>
      <c r="AV1094" s="14">
        <f t="shared" si="286"/>
        <v>201706</v>
      </c>
      <c r="AW1094" s="14">
        <f t="shared" si="287"/>
        <v>1102017</v>
      </c>
      <c r="AX1094" s="13" t="s">
        <v>1127</v>
      </c>
      <c r="AY1094" s="13">
        <f t="shared" si="288"/>
        <v>6</v>
      </c>
      <c r="AZ1094" s="13" t="s">
        <v>1148</v>
      </c>
      <c r="BA1094" s="14">
        <f t="shared" si="289"/>
        <v>0</v>
      </c>
      <c r="BB1094" s="14" t="str">
        <f t="shared" si="290"/>
        <v>飞廉魂珠-6 等级-0</v>
      </c>
      <c r="BC1094" s="25" t="s">
        <v>44</v>
      </c>
      <c r="BD1094" s="14">
        <f t="shared" si="291"/>
        <v>0</v>
      </c>
      <c r="BE1094" s="14">
        <f>SUMIFS(BD$4:BD1094,$AU$4:$AU1094,"="&amp;$AU1094,$AY$4:$AY1094,"="&amp;$AY1094)</f>
        <v>0</v>
      </c>
      <c r="BF1094" s="25" t="s">
        <v>1157</v>
      </c>
      <c r="BG1094" s="14">
        <f t="shared" si="292"/>
        <v>0</v>
      </c>
      <c r="BH1094" s="14">
        <f>SUMIFS(BG$4:BG1094,AU$4:AU1094,"="&amp;AU1094,AY$4:AY1094,"="&amp;AY1094)</f>
        <v>0</v>
      </c>
      <c r="BI1094" s="25" t="s">
        <v>1158</v>
      </c>
      <c r="BJ1094" s="14">
        <f t="shared" si="293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5"/>
        <v>14</v>
      </c>
      <c r="AV1095" s="14">
        <f t="shared" si="286"/>
        <v>201706</v>
      </c>
      <c r="AW1095" s="14">
        <f t="shared" si="287"/>
        <v>1102017</v>
      </c>
      <c r="AX1095" s="13" t="s">
        <v>1127</v>
      </c>
      <c r="AY1095" s="13">
        <f t="shared" si="288"/>
        <v>6</v>
      </c>
      <c r="AZ1095" s="13" t="s">
        <v>1148</v>
      </c>
      <c r="BA1095" s="14">
        <f t="shared" si="289"/>
        <v>1</v>
      </c>
      <c r="BB1095" s="14" t="str">
        <f t="shared" si="290"/>
        <v>飞廉魂珠-6 等级-1</v>
      </c>
      <c r="BC1095" s="25" t="s">
        <v>44</v>
      </c>
      <c r="BD1095" s="14">
        <f t="shared" si="291"/>
        <v>198</v>
      </c>
      <c r="BE1095" s="14">
        <f>SUMIFS(BD$4:BD1095,$AU$4:$AU1095,"="&amp;$AU1095,$AY$4:$AY1095,"="&amp;$AY1095)</f>
        <v>198</v>
      </c>
      <c r="BF1095" s="25" t="s">
        <v>1157</v>
      </c>
      <c r="BG1095" s="14">
        <f t="shared" si="292"/>
        <v>99</v>
      </c>
      <c r="BH1095" s="14">
        <f>SUMIFS(BG$4:BG1095,AU$4:AU1095,"="&amp;AU1095,AY$4:AY1095,"="&amp;AY1095)</f>
        <v>99</v>
      </c>
      <c r="BI1095" s="25" t="s">
        <v>1158</v>
      </c>
      <c r="BJ1095" s="14">
        <f t="shared" si="293"/>
        <v>3240</v>
      </c>
      <c r="BK1095" s="14">
        <f>SUMIFS(BJ$4:BJ1095,$AU$4:$AU1095,"="&amp;$AU1095,$AY$4:$AY1095,"="&amp;$AY1095)</f>
        <v>3240</v>
      </c>
    </row>
    <row r="1096" spans="46:63" ht="16.5" x14ac:dyDescent="0.2">
      <c r="AT1096" s="13">
        <v>1093</v>
      </c>
      <c r="AU1096" s="13">
        <f t="shared" si="285"/>
        <v>14</v>
      </c>
      <c r="AV1096" s="14">
        <f t="shared" si="286"/>
        <v>201706</v>
      </c>
      <c r="AW1096" s="14">
        <f t="shared" si="287"/>
        <v>1102017</v>
      </c>
      <c r="AX1096" s="13" t="s">
        <v>1127</v>
      </c>
      <c r="AY1096" s="13">
        <f t="shared" si="288"/>
        <v>6</v>
      </c>
      <c r="AZ1096" s="13" t="s">
        <v>1148</v>
      </c>
      <c r="BA1096" s="14">
        <f t="shared" si="289"/>
        <v>2</v>
      </c>
      <c r="BB1096" s="14" t="str">
        <f t="shared" si="290"/>
        <v>飞廉魂珠-6 等级-2</v>
      </c>
      <c r="BC1096" s="25" t="s">
        <v>44</v>
      </c>
      <c r="BD1096" s="14">
        <f t="shared" si="291"/>
        <v>308</v>
      </c>
      <c r="BE1096" s="14">
        <f>SUMIFS(BD$4:BD1096,$AU$4:$AU1096,"="&amp;$AU1096,$AY$4:$AY1096,"="&amp;$AY1096)</f>
        <v>506</v>
      </c>
      <c r="BF1096" s="25" t="s">
        <v>1157</v>
      </c>
      <c r="BG1096" s="14">
        <f t="shared" si="292"/>
        <v>154</v>
      </c>
      <c r="BH1096" s="14">
        <f>SUMIFS(BG$4:BG1096,AU$4:AU1096,"="&amp;AU1096,AY$4:AY1096,"="&amp;AY1096)</f>
        <v>253</v>
      </c>
      <c r="BI1096" s="25" t="s">
        <v>1158</v>
      </c>
      <c r="BJ1096" s="14">
        <f t="shared" si="293"/>
        <v>5040</v>
      </c>
      <c r="BK1096" s="14">
        <f>SUMIFS(BJ$4:BJ1096,$AU$4:$AU1096,"="&amp;$AU1096,$AY$4:$AY1096,"="&amp;$AY1096)</f>
        <v>8280</v>
      </c>
    </row>
    <row r="1097" spans="46:63" ht="16.5" x14ac:dyDescent="0.2">
      <c r="AT1097" s="13">
        <v>1094</v>
      </c>
      <c r="AU1097" s="13">
        <f t="shared" si="285"/>
        <v>14</v>
      </c>
      <c r="AV1097" s="14">
        <f t="shared" si="286"/>
        <v>201706</v>
      </c>
      <c r="AW1097" s="14">
        <f t="shared" si="287"/>
        <v>1102017</v>
      </c>
      <c r="AX1097" s="13" t="s">
        <v>1127</v>
      </c>
      <c r="AY1097" s="13">
        <f t="shared" si="288"/>
        <v>6</v>
      </c>
      <c r="AZ1097" s="13" t="s">
        <v>1148</v>
      </c>
      <c r="BA1097" s="14">
        <f t="shared" si="289"/>
        <v>3</v>
      </c>
      <c r="BB1097" s="14" t="str">
        <f t="shared" si="290"/>
        <v>飞廉魂珠-6 等级-3</v>
      </c>
      <c r="BC1097" s="25" t="s">
        <v>44</v>
      </c>
      <c r="BD1097" s="14">
        <f t="shared" si="291"/>
        <v>413</v>
      </c>
      <c r="BE1097" s="14">
        <f>SUMIFS(BD$4:BD1097,$AU$4:$AU1097,"="&amp;$AU1097,$AY$4:$AY1097,"="&amp;$AY1097)</f>
        <v>919</v>
      </c>
      <c r="BF1097" s="25" t="s">
        <v>1157</v>
      </c>
      <c r="BG1097" s="14">
        <f t="shared" si="292"/>
        <v>206</v>
      </c>
      <c r="BH1097" s="14">
        <f>SUMIFS(BG$4:BG1097,AU$4:AU1097,"="&amp;AU1097,AY$4:AY1097,"="&amp;AY1097)</f>
        <v>459</v>
      </c>
      <c r="BI1097" s="25" t="s">
        <v>1158</v>
      </c>
      <c r="BJ1097" s="14">
        <f t="shared" si="293"/>
        <v>6750</v>
      </c>
      <c r="BK1097" s="14">
        <f>SUMIFS(BJ$4:BJ1097,$AU$4:$AU1097,"="&amp;$AU1097,$AY$4:$AY1097,"="&amp;$AY1097)</f>
        <v>15030</v>
      </c>
    </row>
    <row r="1098" spans="46:63" ht="16.5" x14ac:dyDescent="0.2">
      <c r="AT1098" s="13">
        <v>1095</v>
      </c>
      <c r="AU1098" s="13">
        <f t="shared" si="285"/>
        <v>14</v>
      </c>
      <c r="AV1098" s="14">
        <f t="shared" si="286"/>
        <v>201706</v>
      </c>
      <c r="AW1098" s="14">
        <f t="shared" si="287"/>
        <v>1102017</v>
      </c>
      <c r="AX1098" s="13" t="s">
        <v>1127</v>
      </c>
      <c r="AY1098" s="13">
        <f t="shared" si="288"/>
        <v>6</v>
      </c>
      <c r="AZ1098" s="13" t="s">
        <v>1148</v>
      </c>
      <c r="BA1098" s="14">
        <f t="shared" si="289"/>
        <v>4</v>
      </c>
      <c r="BB1098" s="14" t="str">
        <f t="shared" si="290"/>
        <v>飞廉魂珠-6 等级-4</v>
      </c>
      <c r="BC1098" s="25" t="s">
        <v>44</v>
      </c>
      <c r="BD1098" s="14">
        <f t="shared" si="291"/>
        <v>616</v>
      </c>
      <c r="BE1098" s="14">
        <f>SUMIFS(BD$4:BD1098,$AU$4:$AU1098,"="&amp;$AU1098,$AY$4:$AY1098,"="&amp;$AY1098)</f>
        <v>1535</v>
      </c>
      <c r="BF1098" s="25" t="s">
        <v>1157</v>
      </c>
      <c r="BG1098" s="14">
        <f t="shared" si="292"/>
        <v>308</v>
      </c>
      <c r="BH1098" s="14">
        <f>SUMIFS(BG$4:BG1098,AU$4:AU1098,"="&amp;AU1098,AY$4:AY1098,"="&amp;AY1098)</f>
        <v>767</v>
      </c>
      <c r="BI1098" s="25" t="s">
        <v>1158</v>
      </c>
      <c r="BJ1098" s="14">
        <f t="shared" si="293"/>
        <v>10080</v>
      </c>
      <c r="BK1098" s="14">
        <f>SUMIFS(BJ$4:BJ1098,$AU$4:$AU1098,"="&amp;$AU1098,$AY$4:$AY1098,"="&amp;$AY1098)</f>
        <v>25110</v>
      </c>
    </row>
    <row r="1099" spans="46:63" ht="16.5" x14ac:dyDescent="0.2">
      <c r="AT1099" s="13">
        <v>1096</v>
      </c>
      <c r="AU1099" s="13">
        <f t="shared" si="285"/>
        <v>14</v>
      </c>
      <c r="AV1099" s="14">
        <f t="shared" si="286"/>
        <v>201706</v>
      </c>
      <c r="AW1099" s="14">
        <f t="shared" si="287"/>
        <v>1102017</v>
      </c>
      <c r="AX1099" s="13" t="s">
        <v>1127</v>
      </c>
      <c r="AY1099" s="13">
        <f t="shared" si="288"/>
        <v>6</v>
      </c>
      <c r="AZ1099" s="13" t="s">
        <v>1148</v>
      </c>
      <c r="BA1099" s="14">
        <f t="shared" si="289"/>
        <v>5</v>
      </c>
      <c r="BB1099" s="14" t="str">
        <f t="shared" si="290"/>
        <v>飞廉魂珠-6 等级-5</v>
      </c>
      <c r="BC1099" s="25" t="s">
        <v>44</v>
      </c>
      <c r="BD1099" s="14">
        <f t="shared" si="291"/>
        <v>825</v>
      </c>
      <c r="BE1099" s="14">
        <f>SUMIFS(BD$4:BD1099,$AU$4:$AU1099,"="&amp;$AU1099,$AY$4:$AY1099,"="&amp;$AY1099)</f>
        <v>2360</v>
      </c>
      <c r="BF1099" s="25" t="s">
        <v>1157</v>
      </c>
      <c r="BG1099" s="14">
        <f t="shared" si="292"/>
        <v>413</v>
      </c>
      <c r="BH1099" s="14">
        <f>SUMIFS(BG$4:BG1099,AU$4:AU1099,"="&amp;AU1099,AY$4:AY1099,"="&amp;AY1099)</f>
        <v>1180</v>
      </c>
      <c r="BI1099" s="25" t="s">
        <v>1158</v>
      </c>
      <c r="BJ1099" s="14">
        <f t="shared" si="293"/>
        <v>13500</v>
      </c>
      <c r="BK1099" s="14">
        <f>SUMIFS(BJ$4:BJ1099,$AU$4:$AU1099,"="&amp;$AU1099,$AY$4:$AY1099,"="&amp;$AY1099)</f>
        <v>38610</v>
      </c>
    </row>
    <row r="1100" spans="46:63" ht="16.5" x14ac:dyDescent="0.2">
      <c r="AT1100" s="13">
        <v>1097</v>
      </c>
      <c r="AU1100" s="13">
        <f t="shared" si="285"/>
        <v>14</v>
      </c>
      <c r="AV1100" s="14">
        <f t="shared" si="286"/>
        <v>201706</v>
      </c>
      <c r="AW1100" s="14">
        <f t="shared" si="287"/>
        <v>1102017</v>
      </c>
      <c r="AX1100" s="13" t="s">
        <v>1127</v>
      </c>
      <c r="AY1100" s="13">
        <f t="shared" si="288"/>
        <v>6</v>
      </c>
      <c r="AZ1100" s="13" t="s">
        <v>1148</v>
      </c>
      <c r="BA1100" s="14">
        <f t="shared" si="289"/>
        <v>6</v>
      </c>
      <c r="BB1100" s="14" t="str">
        <f t="shared" si="290"/>
        <v>飞廉魂珠-6 等级-6</v>
      </c>
      <c r="BC1100" s="25" t="s">
        <v>44</v>
      </c>
      <c r="BD1100" s="14">
        <f t="shared" si="291"/>
        <v>1045</v>
      </c>
      <c r="BE1100" s="14">
        <f>SUMIFS(BD$4:BD1100,$AU$4:$AU1100,"="&amp;$AU1100,$AY$4:$AY1100,"="&amp;$AY1100)</f>
        <v>3405</v>
      </c>
      <c r="BF1100" s="25" t="s">
        <v>1157</v>
      </c>
      <c r="BG1100" s="14">
        <f t="shared" si="292"/>
        <v>523</v>
      </c>
      <c r="BH1100" s="14">
        <f>SUMIFS(BG$4:BG1100,AU$4:AU1100,"="&amp;AU1100,AY$4:AY1100,"="&amp;AY1100)</f>
        <v>1703</v>
      </c>
      <c r="BI1100" s="25" t="s">
        <v>1158</v>
      </c>
      <c r="BJ1100" s="14">
        <f t="shared" si="293"/>
        <v>17100</v>
      </c>
      <c r="BK1100" s="14">
        <f>SUMIFS(BJ$4:BJ1100,$AU$4:$AU1100,"="&amp;$AU1100,$AY$4:$AY1100,"="&amp;$AY1100)</f>
        <v>55710</v>
      </c>
    </row>
    <row r="1101" spans="46:63" ht="16.5" x14ac:dyDescent="0.2">
      <c r="AT1101" s="13">
        <v>1098</v>
      </c>
      <c r="AU1101" s="13">
        <f t="shared" si="285"/>
        <v>14</v>
      </c>
      <c r="AV1101" s="14">
        <f t="shared" si="286"/>
        <v>201706</v>
      </c>
      <c r="AW1101" s="14">
        <f t="shared" si="287"/>
        <v>1102017</v>
      </c>
      <c r="AX1101" s="13" t="s">
        <v>1127</v>
      </c>
      <c r="AY1101" s="13">
        <f t="shared" si="288"/>
        <v>6</v>
      </c>
      <c r="AZ1101" s="13" t="s">
        <v>1148</v>
      </c>
      <c r="BA1101" s="14">
        <f t="shared" si="289"/>
        <v>7</v>
      </c>
      <c r="BB1101" s="14" t="str">
        <f t="shared" si="290"/>
        <v>飞廉魂珠-6 等级-7</v>
      </c>
      <c r="BC1101" s="25" t="s">
        <v>44</v>
      </c>
      <c r="BD1101" s="14">
        <f t="shared" si="291"/>
        <v>1265</v>
      </c>
      <c r="BE1101" s="14">
        <f>SUMIFS(BD$4:BD1101,$AU$4:$AU1101,"="&amp;$AU1101,$AY$4:$AY1101,"="&amp;$AY1101)</f>
        <v>4670</v>
      </c>
      <c r="BF1101" s="25" t="s">
        <v>1157</v>
      </c>
      <c r="BG1101" s="14">
        <f t="shared" si="292"/>
        <v>633</v>
      </c>
      <c r="BH1101" s="14">
        <f>SUMIFS(BG$4:BG1101,AU$4:AU1101,"="&amp;AU1101,AY$4:AY1101,"="&amp;AY1101)</f>
        <v>2336</v>
      </c>
      <c r="BI1101" s="25" t="s">
        <v>1158</v>
      </c>
      <c r="BJ1101" s="14">
        <f t="shared" si="293"/>
        <v>20700</v>
      </c>
      <c r="BK1101" s="14">
        <f>SUMIFS(BJ$4:BJ1101,$AU$4:$AU1101,"="&amp;$AU1101,$AY$4:$AY1101,"="&amp;$AY1101)</f>
        <v>76410</v>
      </c>
    </row>
    <row r="1102" spans="46:63" ht="16.5" x14ac:dyDescent="0.2">
      <c r="AT1102" s="13">
        <v>1099</v>
      </c>
      <c r="AU1102" s="13">
        <f t="shared" si="285"/>
        <v>14</v>
      </c>
      <c r="AV1102" s="14">
        <f t="shared" si="286"/>
        <v>201706</v>
      </c>
      <c r="AW1102" s="14">
        <f t="shared" si="287"/>
        <v>1102017</v>
      </c>
      <c r="AX1102" s="13" t="s">
        <v>1127</v>
      </c>
      <c r="AY1102" s="13">
        <f t="shared" si="288"/>
        <v>6</v>
      </c>
      <c r="AZ1102" s="13" t="s">
        <v>1148</v>
      </c>
      <c r="BA1102" s="14">
        <f t="shared" si="289"/>
        <v>8</v>
      </c>
      <c r="BB1102" s="14" t="str">
        <f t="shared" si="290"/>
        <v>飞廉魂珠-6 等级-8</v>
      </c>
      <c r="BC1102" s="25" t="s">
        <v>44</v>
      </c>
      <c r="BD1102" s="14">
        <f t="shared" si="291"/>
        <v>1430</v>
      </c>
      <c r="BE1102" s="14">
        <f>SUMIFS(BD$4:BD1102,$AU$4:$AU1102,"="&amp;$AU1102,$AY$4:$AY1102,"="&amp;$AY1102)</f>
        <v>6100</v>
      </c>
      <c r="BF1102" s="25" t="s">
        <v>1157</v>
      </c>
      <c r="BG1102" s="14">
        <f t="shared" si="292"/>
        <v>715</v>
      </c>
      <c r="BH1102" s="14">
        <f>SUMIFS(BG$4:BG1102,AU$4:AU1102,"="&amp;AU1102,AY$4:AY1102,"="&amp;AY1102)</f>
        <v>3051</v>
      </c>
      <c r="BI1102" s="25" t="s">
        <v>1158</v>
      </c>
      <c r="BJ1102" s="14">
        <f t="shared" si="293"/>
        <v>23400</v>
      </c>
      <c r="BK1102" s="14">
        <f>SUMIFS(BJ$4:BJ1102,$AU$4:$AU1102,"="&amp;$AU1102,$AY$4:$AY1102,"="&amp;$AY1102)</f>
        <v>99810</v>
      </c>
    </row>
    <row r="1103" spans="46:63" ht="16.5" x14ac:dyDescent="0.2">
      <c r="AT1103" s="13">
        <v>1100</v>
      </c>
      <c r="AU1103" s="13">
        <f t="shared" si="285"/>
        <v>14</v>
      </c>
      <c r="AV1103" s="14">
        <f t="shared" si="286"/>
        <v>201706</v>
      </c>
      <c r="AW1103" s="14">
        <f t="shared" si="287"/>
        <v>1102017</v>
      </c>
      <c r="AX1103" s="13" t="s">
        <v>1127</v>
      </c>
      <c r="AY1103" s="13">
        <f t="shared" si="288"/>
        <v>6</v>
      </c>
      <c r="AZ1103" s="13" t="s">
        <v>1148</v>
      </c>
      <c r="BA1103" s="14">
        <f t="shared" si="289"/>
        <v>9</v>
      </c>
      <c r="BB1103" s="14" t="str">
        <f t="shared" si="290"/>
        <v>飞廉魂珠-6 等级-9</v>
      </c>
      <c r="BC1103" s="25" t="s">
        <v>44</v>
      </c>
      <c r="BD1103" s="14">
        <f t="shared" si="291"/>
        <v>1650</v>
      </c>
      <c r="BE1103" s="14">
        <f>SUMIFS(BD$4:BD1103,$AU$4:$AU1103,"="&amp;$AU1103,$AY$4:$AY1103,"="&amp;$AY1103)</f>
        <v>7750</v>
      </c>
      <c r="BF1103" s="25" t="s">
        <v>1157</v>
      </c>
      <c r="BG1103" s="14">
        <f t="shared" si="292"/>
        <v>825</v>
      </c>
      <c r="BH1103" s="14">
        <f>SUMIFS(BG$4:BG1103,AU$4:AU1103,"="&amp;AU1103,AY$4:AY1103,"="&amp;AY1103)</f>
        <v>3876</v>
      </c>
      <c r="BI1103" s="25" t="s">
        <v>1158</v>
      </c>
      <c r="BJ1103" s="14">
        <f t="shared" si="293"/>
        <v>27000</v>
      </c>
      <c r="BK1103" s="14">
        <f>SUMIFS(BJ$4:BJ1103,$AU$4:$AU1103,"="&amp;$AU1103,$AY$4:$AY1103,"="&amp;$AY1103)</f>
        <v>126810</v>
      </c>
    </row>
    <row r="1104" spans="46:63" ht="16.5" x14ac:dyDescent="0.2">
      <c r="AT1104" s="13">
        <v>1101</v>
      </c>
      <c r="AU1104" s="13">
        <f t="shared" si="285"/>
        <v>14</v>
      </c>
      <c r="AV1104" s="14">
        <f t="shared" si="286"/>
        <v>201707</v>
      </c>
      <c r="AW1104" s="14">
        <f t="shared" si="287"/>
        <v>1102017</v>
      </c>
      <c r="AX1104" s="13" t="s">
        <v>1127</v>
      </c>
      <c r="AY1104" s="13">
        <f t="shared" si="288"/>
        <v>7</v>
      </c>
      <c r="AZ1104" s="13" t="s">
        <v>1148</v>
      </c>
      <c r="BA1104" s="14">
        <f t="shared" si="289"/>
        <v>0</v>
      </c>
      <c r="BB1104" s="14" t="str">
        <f t="shared" si="290"/>
        <v>飞廉魂珠-7 等级-0</v>
      </c>
      <c r="BC1104" s="25" t="s">
        <v>44</v>
      </c>
      <c r="BD1104" s="14">
        <f t="shared" si="291"/>
        <v>0</v>
      </c>
      <c r="BE1104" s="14">
        <f>SUMIFS(BD$4:BD1104,$AU$4:$AU1104,"="&amp;$AU1104,$AY$4:$AY1104,"="&amp;$AY1104)</f>
        <v>0</v>
      </c>
      <c r="BF1104" s="25" t="s">
        <v>1157</v>
      </c>
      <c r="BG1104" s="14">
        <f t="shared" si="292"/>
        <v>0</v>
      </c>
      <c r="BH1104" s="14">
        <f>SUMIFS(BG$4:BG1104,AU$4:AU1104,"="&amp;AU1104,AY$4:AY1104,"="&amp;AY1104)</f>
        <v>0</v>
      </c>
      <c r="BI1104" s="25" t="s">
        <v>1158</v>
      </c>
      <c r="BJ1104" s="14">
        <f t="shared" si="293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5"/>
        <v>14</v>
      </c>
      <c r="AV1105" s="14">
        <f t="shared" si="286"/>
        <v>201707</v>
      </c>
      <c r="AW1105" s="14">
        <f t="shared" si="287"/>
        <v>1102017</v>
      </c>
      <c r="AX1105" s="13" t="s">
        <v>1127</v>
      </c>
      <c r="AY1105" s="13">
        <f t="shared" si="288"/>
        <v>7</v>
      </c>
      <c r="AZ1105" s="13" t="s">
        <v>1148</v>
      </c>
      <c r="BA1105" s="14">
        <f t="shared" si="289"/>
        <v>1</v>
      </c>
      <c r="BB1105" s="14" t="str">
        <f t="shared" si="290"/>
        <v>飞廉魂珠-7 等级-1</v>
      </c>
      <c r="BC1105" s="25" t="s">
        <v>44</v>
      </c>
      <c r="BD1105" s="14">
        <f t="shared" si="291"/>
        <v>264</v>
      </c>
      <c r="BE1105" s="14">
        <f>SUMIFS(BD$4:BD1105,$AU$4:$AU1105,"="&amp;$AU1105,$AY$4:$AY1105,"="&amp;$AY1105)</f>
        <v>264</v>
      </c>
      <c r="BF1105" s="25" t="s">
        <v>1157</v>
      </c>
      <c r="BG1105" s="14">
        <f t="shared" si="292"/>
        <v>132</v>
      </c>
      <c r="BH1105" s="14">
        <f>SUMIFS(BG$4:BG1105,AU$4:AU1105,"="&amp;AU1105,AY$4:AY1105,"="&amp;AY1105)</f>
        <v>132</v>
      </c>
      <c r="BI1105" s="25" t="s">
        <v>1158</v>
      </c>
      <c r="BJ1105" s="14">
        <f t="shared" si="293"/>
        <v>4320</v>
      </c>
      <c r="BK1105" s="14">
        <f>SUMIFS(BJ$4:BJ1105,$AU$4:$AU1105,"="&amp;$AU1105,$AY$4:$AY1105,"="&amp;$AY1105)</f>
        <v>4320</v>
      </c>
    </row>
    <row r="1106" spans="46:63" ht="16.5" x14ac:dyDescent="0.2">
      <c r="AT1106" s="13">
        <v>1103</v>
      </c>
      <c r="AU1106" s="13">
        <f t="shared" si="285"/>
        <v>14</v>
      </c>
      <c r="AV1106" s="14">
        <f t="shared" si="286"/>
        <v>201707</v>
      </c>
      <c r="AW1106" s="14">
        <f t="shared" si="287"/>
        <v>1102017</v>
      </c>
      <c r="AX1106" s="13" t="s">
        <v>1127</v>
      </c>
      <c r="AY1106" s="13">
        <f t="shared" si="288"/>
        <v>7</v>
      </c>
      <c r="AZ1106" s="13" t="s">
        <v>1148</v>
      </c>
      <c r="BA1106" s="14">
        <f t="shared" si="289"/>
        <v>2</v>
      </c>
      <c r="BB1106" s="14" t="str">
        <f t="shared" si="290"/>
        <v>飞廉魂珠-7 等级-2</v>
      </c>
      <c r="BC1106" s="25" t="s">
        <v>44</v>
      </c>
      <c r="BD1106" s="14">
        <f t="shared" si="291"/>
        <v>396</v>
      </c>
      <c r="BE1106" s="14">
        <f>SUMIFS(BD$4:BD1106,$AU$4:$AU1106,"="&amp;$AU1106,$AY$4:$AY1106,"="&amp;$AY1106)</f>
        <v>660</v>
      </c>
      <c r="BF1106" s="25" t="s">
        <v>1157</v>
      </c>
      <c r="BG1106" s="14">
        <f t="shared" si="292"/>
        <v>198</v>
      </c>
      <c r="BH1106" s="14">
        <f>SUMIFS(BG$4:BG1106,AU$4:AU1106,"="&amp;AU1106,AY$4:AY1106,"="&amp;AY1106)</f>
        <v>330</v>
      </c>
      <c r="BI1106" s="25" t="s">
        <v>1158</v>
      </c>
      <c r="BJ1106" s="14">
        <f t="shared" si="293"/>
        <v>6480</v>
      </c>
      <c r="BK1106" s="14">
        <f>SUMIFS(BJ$4:BJ1106,$AU$4:$AU1106,"="&amp;$AU1106,$AY$4:$AY1106,"="&amp;$AY1106)</f>
        <v>10800</v>
      </c>
    </row>
    <row r="1107" spans="46:63" ht="16.5" x14ac:dyDescent="0.2">
      <c r="AT1107" s="13">
        <v>1104</v>
      </c>
      <c r="AU1107" s="13">
        <f t="shared" si="285"/>
        <v>14</v>
      </c>
      <c r="AV1107" s="14">
        <f t="shared" si="286"/>
        <v>201707</v>
      </c>
      <c r="AW1107" s="14">
        <f t="shared" si="287"/>
        <v>1102017</v>
      </c>
      <c r="AX1107" s="13" t="s">
        <v>1127</v>
      </c>
      <c r="AY1107" s="13">
        <f t="shared" si="288"/>
        <v>7</v>
      </c>
      <c r="AZ1107" s="13" t="s">
        <v>1148</v>
      </c>
      <c r="BA1107" s="14">
        <f t="shared" si="289"/>
        <v>3</v>
      </c>
      <c r="BB1107" s="14" t="str">
        <f t="shared" si="290"/>
        <v>飞廉魂珠-7 等级-3</v>
      </c>
      <c r="BC1107" s="25" t="s">
        <v>44</v>
      </c>
      <c r="BD1107" s="14">
        <f t="shared" si="291"/>
        <v>528</v>
      </c>
      <c r="BE1107" s="14">
        <f>SUMIFS(BD$4:BD1107,$AU$4:$AU1107,"="&amp;$AU1107,$AY$4:$AY1107,"="&amp;$AY1107)</f>
        <v>1188</v>
      </c>
      <c r="BF1107" s="25" t="s">
        <v>1157</v>
      </c>
      <c r="BG1107" s="14">
        <f t="shared" si="292"/>
        <v>264</v>
      </c>
      <c r="BH1107" s="14">
        <f>SUMIFS(BG$4:BG1107,AU$4:AU1107,"="&amp;AU1107,AY$4:AY1107,"="&amp;AY1107)</f>
        <v>594</v>
      </c>
      <c r="BI1107" s="25" t="s">
        <v>1158</v>
      </c>
      <c r="BJ1107" s="14">
        <f t="shared" si="293"/>
        <v>8640</v>
      </c>
      <c r="BK1107" s="14">
        <f>SUMIFS(BJ$4:BJ1107,$AU$4:$AU1107,"="&amp;$AU1107,$AY$4:$AY1107,"="&amp;$AY1107)</f>
        <v>19440</v>
      </c>
    </row>
    <row r="1108" spans="46:63" ht="16.5" x14ac:dyDescent="0.2">
      <c r="AT1108" s="13">
        <v>1105</v>
      </c>
      <c r="AU1108" s="13">
        <f t="shared" si="285"/>
        <v>14</v>
      </c>
      <c r="AV1108" s="14">
        <f t="shared" si="286"/>
        <v>201707</v>
      </c>
      <c r="AW1108" s="14">
        <f t="shared" si="287"/>
        <v>1102017</v>
      </c>
      <c r="AX1108" s="13" t="s">
        <v>1127</v>
      </c>
      <c r="AY1108" s="13">
        <f t="shared" si="288"/>
        <v>7</v>
      </c>
      <c r="AZ1108" s="13" t="s">
        <v>1148</v>
      </c>
      <c r="BA1108" s="14">
        <f t="shared" si="289"/>
        <v>4</v>
      </c>
      <c r="BB1108" s="14" t="str">
        <f t="shared" si="290"/>
        <v>飞廉魂珠-7 等级-4</v>
      </c>
      <c r="BC1108" s="25" t="s">
        <v>44</v>
      </c>
      <c r="BD1108" s="14">
        <f t="shared" si="291"/>
        <v>792</v>
      </c>
      <c r="BE1108" s="14">
        <f>SUMIFS(BD$4:BD1108,$AU$4:$AU1108,"="&amp;$AU1108,$AY$4:$AY1108,"="&amp;$AY1108)</f>
        <v>1980</v>
      </c>
      <c r="BF1108" s="25" t="s">
        <v>1157</v>
      </c>
      <c r="BG1108" s="14">
        <f t="shared" si="292"/>
        <v>396</v>
      </c>
      <c r="BH1108" s="14">
        <f>SUMIFS(BG$4:BG1108,AU$4:AU1108,"="&amp;AU1108,AY$4:AY1108,"="&amp;AY1108)</f>
        <v>990</v>
      </c>
      <c r="BI1108" s="25" t="s">
        <v>1158</v>
      </c>
      <c r="BJ1108" s="14">
        <f t="shared" si="293"/>
        <v>12960</v>
      </c>
      <c r="BK1108" s="14">
        <f>SUMIFS(BJ$4:BJ1108,$AU$4:$AU1108,"="&amp;$AU1108,$AY$4:$AY1108,"="&amp;$AY1108)</f>
        <v>32400</v>
      </c>
    </row>
    <row r="1109" spans="46:63" ht="16.5" x14ac:dyDescent="0.2">
      <c r="AT1109" s="13">
        <v>1106</v>
      </c>
      <c r="AU1109" s="13">
        <f t="shared" si="285"/>
        <v>14</v>
      </c>
      <c r="AV1109" s="14">
        <f t="shared" si="286"/>
        <v>201707</v>
      </c>
      <c r="AW1109" s="14">
        <f t="shared" si="287"/>
        <v>1102017</v>
      </c>
      <c r="AX1109" s="13" t="s">
        <v>1127</v>
      </c>
      <c r="AY1109" s="13">
        <f t="shared" si="288"/>
        <v>7</v>
      </c>
      <c r="AZ1109" s="13" t="s">
        <v>1148</v>
      </c>
      <c r="BA1109" s="14">
        <f t="shared" si="289"/>
        <v>5</v>
      </c>
      <c r="BB1109" s="14" t="str">
        <f t="shared" si="290"/>
        <v>飞廉魂珠-7 等级-5</v>
      </c>
      <c r="BC1109" s="25" t="s">
        <v>44</v>
      </c>
      <c r="BD1109" s="14">
        <f t="shared" si="291"/>
        <v>1056</v>
      </c>
      <c r="BE1109" s="14">
        <f>SUMIFS(BD$4:BD1109,$AU$4:$AU1109,"="&amp;$AU1109,$AY$4:$AY1109,"="&amp;$AY1109)</f>
        <v>3036</v>
      </c>
      <c r="BF1109" s="25" t="s">
        <v>1157</v>
      </c>
      <c r="BG1109" s="14">
        <f t="shared" si="292"/>
        <v>528</v>
      </c>
      <c r="BH1109" s="14">
        <f>SUMIFS(BG$4:BG1109,AU$4:AU1109,"="&amp;AU1109,AY$4:AY1109,"="&amp;AY1109)</f>
        <v>1518</v>
      </c>
      <c r="BI1109" s="25" t="s">
        <v>1158</v>
      </c>
      <c r="BJ1109" s="14">
        <f t="shared" si="293"/>
        <v>17280</v>
      </c>
      <c r="BK1109" s="14">
        <f>SUMIFS(BJ$4:BJ1109,$AU$4:$AU1109,"="&amp;$AU1109,$AY$4:$AY1109,"="&amp;$AY1109)</f>
        <v>49680</v>
      </c>
    </row>
    <row r="1110" spans="46:63" ht="16.5" x14ac:dyDescent="0.2">
      <c r="AT1110" s="13">
        <v>1107</v>
      </c>
      <c r="AU1110" s="13">
        <f t="shared" si="285"/>
        <v>14</v>
      </c>
      <c r="AV1110" s="14">
        <f t="shared" si="286"/>
        <v>201707</v>
      </c>
      <c r="AW1110" s="14">
        <f t="shared" si="287"/>
        <v>1102017</v>
      </c>
      <c r="AX1110" s="13" t="s">
        <v>1127</v>
      </c>
      <c r="AY1110" s="13">
        <f t="shared" si="288"/>
        <v>7</v>
      </c>
      <c r="AZ1110" s="13" t="s">
        <v>1148</v>
      </c>
      <c r="BA1110" s="14">
        <f t="shared" si="289"/>
        <v>6</v>
      </c>
      <c r="BB1110" s="14" t="str">
        <f t="shared" si="290"/>
        <v>飞廉魂珠-7 等级-6</v>
      </c>
      <c r="BC1110" s="25" t="s">
        <v>44</v>
      </c>
      <c r="BD1110" s="14">
        <f t="shared" si="291"/>
        <v>1320</v>
      </c>
      <c r="BE1110" s="14">
        <f>SUMIFS(BD$4:BD1110,$AU$4:$AU1110,"="&amp;$AU1110,$AY$4:$AY1110,"="&amp;$AY1110)</f>
        <v>4356</v>
      </c>
      <c r="BF1110" s="25" t="s">
        <v>1157</v>
      </c>
      <c r="BG1110" s="14">
        <f t="shared" si="292"/>
        <v>660</v>
      </c>
      <c r="BH1110" s="14">
        <f>SUMIFS(BG$4:BG1110,AU$4:AU1110,"="&amp;AU1110,AY$4:AY1110,"="&amp;AY1110)</f>
        <v>2178</v>
      </c>
      <c r="BI1110" s="25" t="s">
        <v>1158</v>
      </c>
      <c r="BJ1110" s="14">
        <f t="shared" si="293"/>
        <v>21600</v>
      </c>
      <c r="BK1110" s="14">
        <f>SUMIFS(BJ$4:BJ1110,$AU$4:$AU1110,"="&amp;$AU1110,$AY$4:$AY1110,"="&amp;$AY1110)</f>
        <v>71280</v>
      </c>
    </row>
    <row r="1111" spans="46:63" ht="16.5" x14ac:dyDescent="0.2">
      <c r="AT1111" s="13">
        <v>1108</v>
      </c>
      <c r="AU1111" s="13">
        <f t="shared" si="285"/>
        <v>14</v>
      </c>
      <c r="AV1111" s="14">
        <f t="shared" si="286"/>
        <v>201707</v>
      </c>
      <c r="AW1111" s="14">
        <f t="shared" si="287"/>
        <v>1102017</v>
      </c>
      <c r="AX1111" s="13" t="s">
        <v>1127</v>
      </c>
      <c r="AY1111" s="13">
        <f t="shared" si="288"/>
        <v>7</v>
      </c>
      <c r="AZ1111" s="13" t="s">
        <v>1148</v>
      </c>
      <c r="BA1111" s="14">
        <f t="shared" si="289"/>
        <v>7</v>
      </c>
      <c r="BB1111" s="14" t="str">
        <f t="shared" si="290"/>
        <v>飞廉魂珠-7 等级-7</v>
      </c>
      <c r="BC1111" s="25" t="s">
        <v>44</v>
      </c>
      <c r="BD1111" s="14">
        <f t="shared" si="291"/>
        <v>1584</v>
      </c>
      <c r="BE1111" s="14">
        <f>SUMIFS(BD$4:BD1111,$AU$4:$AU1111,"="&amp;$AU1111,$AY$4:$AY1111,"="&amp;$AY1111)</f>
        <v>5940</v>
      </c>
      <c r="BF1111" s="25" t="s">
        <v>1157</v>
      </c>
      <c r="BG1111" s="14">
        <f t="shared" si="292"/>
        <v>792</v>
      </c>
      <c r="BH1111" s="14">
        <f>SUMIFS(BG$4:BG1111,AU$4:AU1111,"="&amp;AU1111,AY$4:AY1111,"="&amp;AY1111)</f>
        <v>2970</v>
      </c>
      <c r="BI1111" s="25" t="s">
        <v>1158</v>
      </c>
      <c r="BJ1111" s="14">
        <f t="shared" si="293"/>
        <v>25920</v>
      </c>
      <c r="BK1111" s="14">
        <f>SUMIFS(BJ$4:BJ1111,$AU$4:$AU1111,"="&amp;$AU1111,$AY$4:$AY1111,"="&amp;$AY1111)</f>
        <v>97200</v>
      </c>
    </row>
    <row r="1112" spans="46:63" ht="16.5" x14ac:dyDescent="0.2">
      <c r="AT1112" s="13">
        <v>1109</v>
      </c>
      <c r="AU1112" s="13">
        <f t="shared" si="285"/>
        <v>14</v>
      </c>
      <c r="AV1112" s="14">
        <f t="shared" si="286"/>
        <v>201707</v>
      </c>
      <c r="AW1112" s="14">
        <f t="shared" si="287"/>
        <v>1102017</v>
      </c>
      <c r="AX1112" s="13" t="s">
        <v>1127</v>
      </c>
      <c r="AY1112" s="13">
        <f t="shared" si="288"/>
        <v>7</v>
      </c>
      <c r="AZ1112" s="13" t="s">
        <v>1148</v>
      </c>
      <c r="BA1112" s="14">
        <f t="shared" si="289"/>
        <v>8</v>
      </c>
      <c r="BB1112" s="14" t="str">
        <f t="shared" si="290"/>
        <v>飞廉魂珠-7 等级-8</v>
      </c>
      <c r="BC1112" s="25" t="s">
        <v>44</v>
      </c>
      <c r="BD1112" s="14">
        <f t="shared" si="291"/>
        <v>1848</v>
      </c>
      <c r="BE1112" s="14">
        <f>SUMIFS(BD$4:BD1112,$AU$4:$AU1112,"="&amp;$AU1112,$AY$4:$AY1112,"="&amp;$AY1112)</f>
        <v>7788</v>
      </c>
      <c r="BF1112" s="25" t="s">
        <v>1157</v>
      </c>
      <c r="BG1112" s="14">
        <f t="shared" si="292"/>
        <v>924</v>
      </c>
      <c r="BH1112" s="14">
        <f>SUMIFS(BG$4:BG1112,AU$4:AU1112,"="&amp;AU1112,AY$4:AY1112,"="&amp;AY1112)</f>
        <v>3894</v>
      </c>
      <c r="BI1112" s="25" t="s">
        <v>1158</v>
      </c>
      <c r="BJ1112" s="14">
        <f t="shared" si="293"/>
        <v>30240</v>
      </c>
      <c r="BK1112" s="14">
        <f>SUMIFS(BJ$4:BJ1112,$AU$4:$AU1112,"="&amp;$AU1112,$AY$4:$AY1112,"="&amp;$AY1112)</f>
        <v>127440</v>
      </c>
    </row>
    <row r="1113" spans="46:63" ht="16.5" x14ac:dyDescent="0.2">
      <c r="AT1113" s="13">
        <v>1110</v>
      </c>
      <c r="AU1113" s="13">
        <f t="shared" si="285"/>
        <v>14</v>
      </c>
      <c r="AV1113" s="14">
        <f t="shared" si="286"/>
        <v>201707</v>
      </c>
      <c r="AW1113" s="14">
        <f t="shared" si="287"/>
        <v>1102017</v>
      </c>
      <c r="AX1113" s="13" t="s">
        <v>1127</v>
      </c>
      <c r="AY1113" s="13">
        <f t="shared" si="288"/>
        <v>7</v>
      </c>
      <c r="AZ1113" s="13" t="s">
        <v>1148</v>
      </c>
      <c r="BA1113" s="14">
        <f t="shared" si="289"/>
        <v>9</v>
      </c>
      <c r="BB1113" s="14" t="str">
        <f t="shared" si="290"/>
        <v>飞廉魂珠-7 等级-9</v>
      </c>
      <c r="BC1113" s="25" t="s">
        <v>44</v>
      </c>
      <c r="BD1113" s="14">
        <f t="shared" si="291"/>
        <v>2112</v>
      </c>
      <c r="BE1113" s="14">
        <f>SUMIFS(BD$4:BD1113,$AU$4:$AU1113,"="&amp;$AU1113,$AY$4:$AY1113,"="&amp;$AY1113)</f>
        <v>9900</v>
      </c>
      <c r="BF1113" s="25" t="s">
        <v>1157</v>
      </c>
      <c r="BG1113" s="14">
        <f t="shared" si="292"/>
        <v>1056</v>
      </c>
      <c r="BH1113" s="14">
        <f>SUMIFS(BG$4:BG1113,AU$4:AU1113,"="&amp;AU1113,AY$4:AY1113,"="&amp;AY1113)</f>
        <v>4950</v>
      </c>
      <c r="BI1113" s="25" t="s">
        <v>1158</v>
      </c>
      <c r="BJ1113" s="14">
        <f t="shared" si="293"/>
        <v>34560</v>
      </c>
      <c r="BK1113" s="14">
        <f>SUMIFS(BJ$4:BJ1113,$AU$4:$AU1113,"="&amp;$AU1113,$AY$4:$AY1113,"="&amp;$AY1113)</f>
        <v>162000</v>
      </c>
    </row>
    <row r="1114" spans="46:63" ht="16.5" x14ac:dyDescent="0.2">
      <c r="AT1114" s="13">
        <v>1111</v>
      </c>
      <c r="AU1114" s="13">
        <f t="shared" si="285"/>
        <v>14</v>
      </c>
      <c r="AV1114" s="14">
        <f t="shared" si="286"/>
        <v>201708</v>
      </c>
      <c r="AW1114" s="14">
        <f t="shared" si="287"/>
        <v>1102017</v>
      </c>
      <c r="AX1114" s="13" t="s">
        <v>1127</v>
      </c>
      <c r="AY1114" s="13">
        <f t="shared" si="288"/>
        <v>8</v>
      </c>
      <c r="AZ1114" s="13" t="s">
        <v>1148</v>
      </c>
      <c r="BA1114" s="14">
        <f t="shared" si="289"/>
        <v>0</v>
      </c>
      <c r="BB1114" s="14" t="str">
        <f t="shared" si="290"/>
        <v>飞廉魂珠-8 等级-0</v>
      </c>
      <c r="BC1114" s="25" t="s">
        <v>44</v>
      </c>
      <c r="BD1114" s="14">
        <f t="shared" si="291"/>
        <v>0</v>
      </c>
      <c r="BE1114" s="14">
        <f>SUMIFS(BD$4:BD1114,$AU$4:$AU1114,"="&amp;$AU1114,$AY$4:$AY1114,"="&amp;$AY1114)</f>
        <v>0</v>
      </c>
      <c r="BF1114" s="25" t="s">
        <v>1157</v>
      </c>
      <c r="BG1114" s="14">
        <f t="shared" si="292"/>
        <v>0</v>
      </c>
      <c r="BH1114" s="14">
        <f>SUMIFS(BG$4:BG1114,AU$4:AU1114,"="&amp;AU1114,AY$4:AY1114,"="&amp;AY1114)</f>
        <v>0</v>
      </c>
      <c r="BI1114" s="25" t="s">
        <v>1158</v>
      </c>
      <c r="BJ1114" s="14">
        <f t="shared" si="293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5"/>
        <v>14</v>
      </c>
      <c r="AV1115" s="14">
        <f t="shared" si="286"/>
        <v>201708</v>
      </c>
      <c r="AW1115" s="14">
        <f t="shared" si="287"/>
        <v>1102017</v>
      </c>
      <c r="AX1115" s="13" t="s">
        <v>1127</v>
      </c>
      <c r="AY1115" s="13">
        <f t="shared" si="288"/>
        <v>8</v>
      </c>
      <c r="AZ1115" s="13" t="s">
        <v>1148</v>
      </c>
      <c r="BA1115" s="14">
        <f t="shared" si="289"/>
        <v>1</v>
      </c>
      <c r="BB1115" s="14" t="str">
        <f t="shared" si="290"/>
        <v>飞廉魂珠-8 等级-1</v>
      </c>
      <c r="BC1115" s="25" t="s">
        <v>44</v>
      </c>
      <c r="BD1115" s="14">
        <f t="shared" si="291"/>
        <v>352</v>
      </c>
      <c r="BE1115" s="14">
        <f>SUMIFS(BD$4:BD1115,$AU$4:$AU1115,"="&amp;$AU1115,$AY$4:$AY1115,"="&amp;$AY1115)</f>
        <v>352</v>
      </c>
      <c r="BF1115" s="25" t="s">
        <v>1157</v>
      </c>
      <c r="BG1115" s="14">
        <f t="shared" si="292"/>
        <v>176</v>
      </c>
      <c r="BH1115" s="14">
        <f>SUMIFS(BG$4:BG1115,AU$4:AU1115,"="&amp;AU1115,AY$4:AY1115,"="&amp;AY1115)</f>
        <v>176</v>
      </c>
      <c r="BI1115" s="25" t="s">
        <v>1158</v>
      </c>
      <c r="BJ1115" s="14">
        <f t="shared" si="293"/>
        <v>5760</v>
      </c>
      <c r="BK1115" s="14">
        <f>SUMIFS(BJ$4:BJ1115,$AU$4:$AU1115,"="&amp;$AU1115,$AY$4:$AY1115,"="&amp;$AY1115)</f>
        <v>5760</v>
      </c>
    </row>
    <row r="1116" spans="46:63" ht="16.5" x14ac:dyDescent="0.2">
      <c r="AT1116" s="13">
        <v>1113</v>
      </c>
      <c r="AU1116" s="13">
        <f t="shared" si="285"/>
        <v>14</v>
      </c>
      <c r="AV1116" s="14">
        <f t="shared" si="286"/>
        <v>201708</v>
      </c>
      <c r="AW1116" s="14">
        <f t="shared" si="287"/>
        <v>1102017</v>
      </c>
      <c r="AX1116" s="13" t="s">
        <v>1127</v>
      </c>
      <c r="AY1116" s="13">
        <f t="shared" si="288"/>
        <v>8</v>
      </c>
      <c r="AZ1116" s="13" t="s">
        <v>1148</v>
      </c>
      <c r="BA1116" s="14">
        <f t="shared" si="289"/>
        <v>2</v>
      </c>
      <c r="BB1116" s="14" t="str">
        <f t="shared" si="290"/>
        <v>飞廉魂珠-8 等级-2</v>
      </c>
      <c r="BC1116" s="25" t="s">
        <v>44</v>
      </c>
      <c r="BD1116" s="14">
        <f t="shared" si="291"/>
        <v>528</v>
      </c>
      <c r="BE1116" s="14">
        <f>SUMIFS(BD$4:BD1116,$AU$4:$AU1116,"="&amp;$AU1116,$AY$4:$AY1116,"="&amp;$AY1116)</f>
        <v>880</v>
      </c>
      <c r="BF1116" s="25" t="s">
        <v>1157</v>
      </c>
      <c r="BG1116" s="14">
        <f t="shared" si="292"/>
        <v>264</v>
      </c>
      <c r="BH1116" s="14">
        <f>SUMIFS(BG$4:BG1116,AU$4:AU1116,"="&amp;AU1116,AY$4:AY1116,"="&amp;AY1116)</f>
        <v>440</v>
      </c>
      <c r="BI1116" s="25" t="s">
        <v>1158</v>
      </c>
      <c r="BJ1116" s="14">
        <f t="shared" si="293"/>
        <v>8640</v>
      </c>
      <c r="BK1116" s="14">
        <f>SUMIFS(BJ$4:BJ1116,$AU$4:$AU1116,"="&amp;$AU1116,$AY$4:$AY1116,"="&amp;$AY1116)</f>
        <v>14400</v>
      </c>
    </row>
    <row r="1117" spans="46:63" ht="16.5" x14ac:dyDescent="0.2">
      <c r="AT1117" s="13">
        <v>1114</v>
      </c>
      <c r="AU1117" s="13">
        <f t="shared" si="285"/>
        <v>14</v>
      </c>
      <c r="AV1117" s="14">
        <f t="shared" si="286"/>
        <v>201708</v>
      </c>
      <c r="AW1117" s="14">
        <f t="shared" si="287"/>
        <v>1102017</v>
      </c>
      <c r="AX1117" s="13" t="s">
        <v>1127</v>
      </c>
      <c r="AY1117" s="13">
        <f t="shared" si="288"/>
        <v>8</v>
      </c>
      <c r="AZ1117" s="13" t="s">
        <v>1148</v>
      </c>
      <c r="BA1117" s="14">
        <f t="shared" si="289"/>
        <v>3</v>
      </c>
      <c r="BB1117" s="14" t="str">
        <f t="shared" si="290"/>
        <v>飞廉魂珠-8 等级-3</v>
      </c>
      <c r="BC1117" s="25" t="s">
        <v>44</v>
      </c>
      <c r="BD1117" s="14">
        <f t="shared" si="291"/>
        <v>704</v>
      </c>
      <c r="BE1117" s="14">
        <f>SUMIFS(BD$4:BD1117,$AU$4:$AU1117,"="&amp;$AU1117,$AY$4:$AY1117,"="&amp;$AY1117)</f>
        <v>1584</v>
      </c>
      <c r="BF1117" s="25" t="s">
        <v>1157</v>
      </c>
      <c r="BG1117" s="14">
        <f t="shared" si="292"/>
        <v>352</v>
      </c>
      <c r="BH1117" s="14">
        <f>SUMIFS(BG$4:BG1117,AU$4:AU1117,"="&amp;AU1117,AY$4:AY1117,"="&amp;AY1117)</f>
        <v>792</v>
      </c>
      <c r="BI1117" s="25" t="s">
        <v>1158</v>
      </c>
      <c r="BJ1117" s="14">
        <f t="shared" si="293"/>
        <v>11520</v>
      </c>
      <c r="BK1117" s="14">
        <f>SUMIFS(BJ$4:BJ1117,$AU$4:$AU1117,"="&amp;$AU1117,$AY$4:$AY1117,"="&amp;$AY1117)</f>
        <v>25920</v>
      </c>
    </row>
    <row r="1118" spans="46:63" ht="16.5" x14ac:dyDescent="0.2">
      <c r="AT1118" s="13">
        <v>1115</v>
      </c>
      <c r="AU1118" s="13">
        <f t="shared" si="285"/>
        <v>14</v>
      </c>
      <c r="AV1118" s="14">
        <f t="shared" si="286"/>
        <v>201708</v>
      </c>
      <c r="AW1118" s="14">
        <f t="shared" si="287"/>
        <v>1102017</v>
      </c>
      <c r="AX1118" s="13" t="s">
        <v>1127</v>
      </c>
      <c r="AY1118" s="13">
        <f t="shared" si="288"/>
        <v>8</v>
      </c>
      <c r="AZ1118" s="13" t="s">
        <v>1148</v>
      </c>
      <c r="BA1118" s="14">
        <f t="shared" si="289"/>
        <v>4</v>
      </c>
      <c r="BB1118" s="14" t="str">
        <f t="shared" si="290"/>
        <v>飞廉魂珠-8 等级-4</v>
      </c>
      <c r="BC1118" s="25" t="s">
        <v>44</v>
      </c>
      <c r="BD1118" s="14">
        <f t="shared" si="291"/>
        <v>1056</v>
      </c>
      <c r="BE1118" s="14">
        <f>SUMIFS(BD$4:BD1118,$AU$4:$AU1118,"="&amp;$AU1118,$AY$4:$AY1118,"="&amp;$AY1118)</f>
        <v>2640</v>
      </c>
      <c r="BF1118" s="25" t="s">
        <v>1157</v>
      </c>
      <c r="BG1118" s="14">
        <f t="shared" si="292"/>
        <v>528</v>
      </c>
      <c r="BH1118" s="14">
        <f>SUMIFS(BG$4:BG1118,AU$4:AU1118,"="&amp;AU1118,AY$4:AY1118,"="&amp;AY1118)</f>
        <v>1320</v>
      </c>
      <c r="BI1118" s="25" t="s">
        <v>1158</v>
      </c>
      <c r="BJ1118" s="14">
        <f t="shared" si="293"/>
        <v>17280</v>
      </c>
      <c r="BK1118" s="14">
        <f>SUMIFS(BJ$4:BJ1118,$AU$4:$AU1118,"="&amp;$AU1118,$AY$4:$AY1118,"="&amp;$AY1118)</f>
        <v>43200</v>
      </c>
    </row>
    <row r="1119" spans="46:63" ht="16.5" x14ac:dyDescent="0.2">
      <c r="AT1119" s="13">
        <v>1116</v>
      </c>
      <c r="AU1119" s="13">
        <f t="shared" si="285"/>
        <v>14</v>
      </c>
      <c r="AV1119" s="14">
        <f t="shared" si="286"/>
        <v>201708</v>
      </c>
      <c r="AW1119" s="14">
        <f t="shared" si="287"/>
        <v>1102017</v>
      </c>
      <c r="AX1119" s="13" t="s">
        <v>1127</v>
      </c>
      <c r="AY1119" s="13">
        <f t="shared" si="288"/>
        <v>8</v>
      </c>
      <c r="AZ1119" s="13" t="s">
        <v>1148</v>
      </c>
      <c r="BA1119" s="14">
        <f t="shared" si="289"/>
        <v>5</v>
      </c>
      <c r="BB1119" s="14" t="str">
        <f t="shared" si="290"/>
        <v>飞廉魂珠-8 等级-5</v>
      </c>
      <c r="BC1119" s="25" t="s">
        <v>44</v>
      </c>
      <c r="BD1119" s="14">
        <f t="shared" si="291"/>
        <v>1408</v>
      </c>
      <c r="BE1119" s="14">
        <f>SUMIFS(BD$4:BD1119,$AU$4:$AU1119,"="&amp;$AU1119,$AY$4:$AY1119,"="&amp;$AY1119)</f>
        <v>4048</v>
      </c>
      <c r="BF1119" s="25" t="s">
        <v>1157</v>
      </c>
      <c r="BG1119" s="14">
        <f t="shared" si="292"/>
        <v>704</v>
      </c>
      <c r="BH1119" s="14">
        <f>SUMIFS(BG$4:BG1119,AU$4:AU1119,"="&amp;AU1119,AY$4:AY1119,"="&amp;AY1119)</f>
        <v>2024</v>
      </c>
      <c r="BI1119" s="25" t="s">
        <v>1158</v>
      </c>
      <c r="BJ1119" s="14">
        <f t="shared" si="293"/>
        <v>23040</v>
      </c>
      <c r="BK1119" s="14">
        <f>SUMIFS(BJ$4:BJ1119,$AU$4:$AU1119,"="&amp;$AU1119,$AY$4:$AY1119,"="&amp;$AY1119)</f>
        <v>66240</v>
      </c>
    </row>
    <row r="1120" spans="46:63" ht="16.5" x14ac:dyDescent="0.2">
      <c r="AT1120" s="13">
        <v>1117</v>
      </c>
      <c r="AU1120" s="13">
        <f t="shared" si="285"/>
        <v>14</v>
      </c>
      <c r="AV1120" s="14">
        <f t="shared" si="286"/>
        <v>201708</v>
      </c>
      <c r="AW1120" s="14">
        <f t="shared" si="287"/>
        <v>1102017</v>
      </c>
      <c r="AX1120" s="13" t="s">
        <v>1127</v>
      </c>
      <c r="AY1120" s="13">
        <f t="shared" si="288"/>
        <v>8</v>
      </c>
      <c r="AZ1120" s="13" t="s">
        <v>1148</v>
      </c>
      <c r="BA1120" s="14">
        <f t="shared" si="289"/>
        <v>6</v>
      </c>
      <c r="BB1120" s="14" t="str">
        <f t="shared" si="290"/>
        <v>飞廉魂珠-8 等级-6</v>
      </c>
      <c r="BC1120" s="25" t="s">
        <v>44</v>
      </c>
      <c r="BD1120" s="14">
        <f t="shared" si="291"/>
        <v>1760</v>
      </c>
      <c r="BE1120" s="14">
        <f>SUMIFS(BD$4:BD1120,$AU$4:$AU1120,"="&amp;$AU1120,$AY$4:$AY1120,"="&amp;$AY1120)</f>
        <v>5808</v>
      </c>
      <c r="BF1120" s="25" t="s">
        <v>1157</v>
      </c>
      <c r="BG1120" s="14">
        <f t="shared" si="292"/>
        <v>880</v>
      </c>
      <c r="BH1120" s="14">
        <f>SUMIFS(BG$4:BG1120,AU$4:AU1120,"="&amp;AU1120,AY$4:AY1120,"="&amp;AY1120)</f>
        <v>2904</v>
      </c>
      <c r="BI1120" s="25" t="s">
        <v>1158</v>
      </c>
      <c r="BJ1120" s="14">
        <f t="shared" si="293"/>
        <v>28800</v>
      </c>
      <c r="BK1120" s="14">
        <f>SUMIFS(BJ$4:BJ1120,$AU$4:$AU1120,"="&amp;$AU1120,$AY$4:$AY1120,"="&amp;$AY1120)</f>
        <v>95040</v>
      </c>
    </row>
    <row r="1121" spans="46:63" ht="16.5" x14ac:dyDescent="0.2">
      <c r="AT1121" s="13">
        <v>1118</v>
      </c>
      <c r="AU1121" s="13">
        <f t="shared" si="285"/>
        <v>14</v>
      </c>
      <c r="AV1121" s="14">
        <f t="shared" si="286"/>
        <v>201708</v>
      </c>
      <c r="AW1121" s="14">
        <f t="shared" si="287"/>
        <v>1102017</v>
      </c>
      <c r="AX1121" s="13" t="s">
        <v>1127</v>
      </c>
      <c r="AY1121" s="13">
        <f t="shared" si="288"/>
        <v>8</v>
      </c>
      <c r="AZ1121" s="13" t="s">
        <v>1148</v>
      </c>
      <c r="BA1121" s="14">
        <f t="shared" si="289"/>
        <v>7</v>
      </c>
      <c r="BB1121" s="14" t="str">
        <f t="shared" si="290"/>
        <v>飞廉魂珠-8 等级-7</v>
      </c>
      <c r="BC1121" s="25" t="s">
        <v>44</v>
      </c>
      <c r="BD1121" s="14">
        <f t="shared" si="291"/>
        <v>2112</v>
      </c>
      <c r="BE1121" s="14">
        <f>SUMIFS(BD$4:BD1121,$AU$4:$AU1121,"="&amp;$AU1121,$AY$4:$AY1121,"="&amp;$AY1121)</f>
        <v>7920</v>
      </c>
      <c r="BF1121" s="25" t="s">
        <v>1157</v>
      </c>
      <c r="BG1121" s="14">
        <f t="shared" si="292"/>
        <v>1056</v>
      </c>
      <c r="BH1121" s="14">
        <f>SUMIFS(BG$4:BG1121,AU$4:AU1121,"="&amp;AU1121,AY$4:AY1121,"="&amp;AY1121)</f>
        <v>3960</v>
      </c>
      <c r="BI1121" s="25" t="s">
        <v>1158</v>
      </c>
      <c r="BJ1121" s="14">
        <f t="shared" si="293"/>
        <v>34560</v>
      </c>
      <c r="BK1121" s="14">
        <f>SUMIFS(BJ$4:BJ1121,$AU$4:$AU1121,"="&amp;$AU1121,$AY$4:$AY1121,"="&amp;$AY1121)</f>
        <v>129600</v>
      </c>
    </row>
    <row r="1122" spans="46:63" ht="16.5" x14ac:dyDescent="0.2">
      <c r="AT1122" s="13">
        <v>1119</v>
      </c>
      <c r="AU1122" s="13">
        <f t="shared" si="285"/>
        <v>14</v>
      </c>
      <c r="AV1122" s="14">
        <f t="shared" si="286"/>
        <v>201708</v>
      </c>
      <c r="AW1122" s="14">
        <f t="shared" si="287"/>
        <v>1102017</v>
      </c>
      <c r="AX1122" s="13" t="s">
        <v>1127</v>
      </c>
      <c r="AY1122" s="13">
        <f t="shared" si="288"/>
        <v>8</v>
      </c>
      <c r="AZ1122" s="13" t="s">
        <v>1148</v>
      </c>
      <c r="BA1122" s="14">
        <f t="shared" si="289"/>
        <v>8</v>
      </c>
      <c r="BB1122" s="14" t="str">
        <f t="shared" si="290"/>
        <v>飞廉魂珠-8 等级-8</v>
      </c>
      <c r="BC1122" s="25" t="s">
        <v>44</v>
      </c>
      <c r="BD1122" s="14">
        <f t="shared" si="291"/>
        <v>2464</v>
      </c>
      <c r="BE1122" s="14">
        <f>SUMIFS(BD$4:BD1122,$AU$4:$AU1122,"="&amp;$AU1122,$AY$4:$AY1122,"="&amp;$AY1122)</f>
        <v>10384</v>
      </c>
      <c r="BF1122" s="25" t="s">
        <v>1157</v>
      </c>
      <c r="BG1122" s="14">
        <f t="shared" si="292"/>
        <v>1232</v>
      </c>
      <c r="BH1122" s="14">
        <f>SUMIFS(BG$4:BG1122,AU$4:AU1122,"="&amp;AU1122,AY$4:AY1122,"="&amp;AY1122)</f>
        <v>5192</v>
      </c>
      <c r="BI1122" s="25" t="s">
        <v>1158</v>
      </c>
      <c r="BJ1122" s="14">
        <f t="shared" si="293"/>
        <v>40320</v>
      </c>
      <c r="BK1122" s="14">
        <f>SUMIFS(BJ$4:BJ1122,$AU$4:$AU1122,"="&amp;$AU1122,$AY$4:$AY1122,"="&amp;$AY1122)</f>
        <v>169920</v>
      </c>
    </row>
    <row r="1123" spans="46:63" ht="16.5" x14ac:dyDescent="0.2">
      <c r="AT1123" s="13">
        <v>1120</v>
      </c>
      <c r="AU1123" s="13">
        <f t="shared" si="285"/>
        <v>14</v>
      </c>
      <c r="AV1123" s="14">
        <f t="shared" si="286"/>
        <v>201708</v>
      </c>
      <c r="AW1123" s="14">
        <f t="shared" si="287"/>
        <v>1102017</v>
      </c>
      <c r="AX1123" s="13" t="s">
        <v>1127</v>
      </c>
      <c r="AY1123" s="13">
        <f t="shared" si="288"/>
        <v>8</v>
      </c>
      <c r="AZ1123" s="13" t="s">
        <v>1148</v>
      </c>
      <c r="BA1123" s="14">
        <f t="shared" si="289"/>
        <v>9</v>
      </c>
      <c r="BB1123" s="14" t="str">
        <f t="shared" si="290"/>
        <v>飞廉魂珠-8 等级-9</v>
      </c>
      <c r="BC1123" s="25" t="s">
        <v>44</v>
      </c>
      <c r="BD1123" s="14">
        <f t="shared" si="291"/>
        <v>2816</v>
      </c>
      <c r="BE1123" s="14">
        <f>SUMIFS(BD$4:BD1123,$AU$4:$AU1123,"="&amp;$AU1123,$AY$4:$AY1123,"="&amp;$AY1123)</f>
        <v>13200</v>
      </c>
      <c r="BF1123" s="25" t="s">
        <v>1157</v>
      </c>
      <c r="BG1123" s="14">
        <f t="shared" si="292"/>
        <v>1408</v>
      </c>
      <c r="BH1123" s="14">
        <f>SUMIFS(BG$4:BG1123,AU$4:AU1123,"="&amp;AU1123,AY$4:AY1123,"="&amp;AY1123)</f>
        <v>6600</v>
      </c>
      <c r="BI1123" s="25" t="s">
        <v>1158</v>
      </c>
      <c r="BJ1123" s="14">
        <f t="shared" si="293"/>
        <v>46080</v>
      </c>
      <c r="BK1123" s="14">
        <f>SUMIFS(BJ$4:BJ1123,$AU$4:$AU1123,"="&amp;$AU1123,$AY$4:$AY1123,"="&amp;$AY1123)</f>
        <v>216000</v>
      </c>
    </row>
    <row r="1124" spans="46:63" ht="16.5" x14ac:dyDescent="0.2">
      <c r="AT1124" s="13">
        <v>1121</v>
      </c>
      <c r="AU1124" s="13">
        <f t="shared" si="285"/>
        <v>15</v>
      </c>
      <c r="AV1124" s="14">
        <f t="shared" si="286"/>
        <v>202001</v>
      </c>
      <c r="AW1124" s="14">
        <f t="shared" si="287"/>
        <v>1102020</v>
      </c>
      <c r="AX1124" s="13" t="s">
        <v>1127</v>
      </c>
      <c r="AY1124" s="13">
        <f t="shared" si="288"/>
        <v>1</v>
      </c>
      <c r="AZ1124" s="13" t="s">
        <v>1148</v>
      </c>
      <c r="BA1124" s="14">
        <f t="shared" si="289"/>
        <v>0</v>
      </c>
      <c r="BB1124" s="14" t="str">
        <f t="shared" si="290"/>
        <v>高顺魂珠-1 等级-0</v>
      </c>
      <c r="BC1124" s="25" t="s">
        <v>44</v>
      </c>
      <c r="BD1124" s="14">
        <f t="shared" si="291"/>
        <v>0</v>
      </c>
      <c r="BE1124" s="14">
        <f>SUMIFS(BD$4:BD1124,$AU$4:$AU1124,"="&amp;$AU1124,$AY$4:$AY1124,"="&amp;$AY1124)</f>
        <v>0</v>
      </c>
      <c r="BF1124" s="25" t="s">
        <v>1157</v>
      </c>
      <c r="BG1124" s="14">
        <f t="shared" si="292"/>
        <v>0</v>
      </c>
      <c r="BH1124" s="14">
        <f>SUMIFS(BG$4:BG1124,AU$4:AU1124,"="&amp;AU1124,AY$4:AY1124,"="&amp;AY1124)</f>
        <v>0</v>
      </c>
      <c r="BI1124" s="25" t="s">
        <v>1158</v>
      </c>
      <c r="BJ1124" s="14">
        <f t="shared" si="293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5"/>
        <v>15</v>
      </c>
      <c r="AV1125" s="14">
        <f t="shared" si="286"/>
        <v>202001</v>
      </c>
      <c r="AW1125" s="14">
        <f t="shared" si="287"/>
        <v>1102020</v>
      </c>
      <c r="AX1125" s="13" t="s">
        <v>1127</v>
      </c>
      <c r="AY1125" s="13">
        <f t="shared" si="288"/>
        <v>1</v>
      </c>
      <c r="AZ1125" s="13" t="s">
        <v>1148</v>
      </c>
      <c r="BA1125" s="14">
        <f t="shared" si="289"/>
        <v>1</v>
      </c>
      <c r="BB1125" s="14" t="str">
        <f t="shared" si="290"/>
        <v>高顺魂珠-1 等级-1</v>
      </c>
      <c r="BC1125" s="25" t="s">
        <v>44</v>
      </c>
      <c r="BD1125" s="14">
        <f t="shared" si="291"/>
        <v>44</v>
      </c>
      <c r="BE1125" s="14">
        <f>SUMIFS(BD$4:BD1125,$AU$4:$AU1125,"="&amp;$AU1125,$AY$4:$AY1125,"="&amp;$AY1125)</f>
        <v>44</v>
      </c>
      <c r="BF1125" s="25" t="s">
        <v>1157</v>
      </c>
      <c r="BG1125" s="14">
        <f t="shared" si="292"/>
        <v>20</v>
      </c>
      <c r="BH1125" s="14">
        <f>SUMIFS(BG$4:BG1125,AU$4:AU1125,"="&amp;AU1125,AY$4:AY1125,"="&amp;AY1125)</f>
        <v>20</v>
      </c>
      <c r="BI1125" s="25" t="s">
        <v>1158</v>
      </c>
      <c r="BJ1125" s="14">
        <f t="shared" si="293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5"/>
        <v>15</v>
      </c>
      <c r="AV1126" s="14">
        <f t="shared" si="286"/>
        <v>202001</v>
      </c>
      <c r="AW1126" s="14">
        <f t="shared" si="287"/>
        <v>1102020</v>
      </c>
      <c r="AX1126" s="13" t="s">
        <v>1127</v>
      </c>
      <c r="AY1126" s="13">
        <f t="shared" si="288"/>
        <v>1</v>
      </c>
      <c r="AZ1126" s="13" t="s">
        <v>1148</v>
      </c>
      <c r="BA1126" s="14">
        <f t="shared" si="289"/>
        <v>2</v>
      </c>
      <c r="BB1126" s="14" t="str">
        <f t="shared" si="290"/>
        <v>高顺魂珠-1 等级-2</v>
      </c>
      <c r="BC1126" s="25" t="s">
        <v>44</v>
      </c>
      <c r="BD1126" s="14">
        <f t="shared" si="291"/>
        <v>66</v>
      </c>
      <c r="BE1126" s="14">
        <f>SUMIFS(BD$4:BD1126,$AU$4:$AU1126,"="&amp;$AU1126,$AY$4:$AY1126,"="&amp;$AY1126)</f>
        <v>110</v>
      </c>
      <c r="BF1126" s="25" t="s">
        <v>1157</v>
      </c>
      <c r="BG1126" s="14">
        <f t="shared" si="292"/>
        <v>30</v>
      </c>
      <c r="BH1126" s="14">
        <f>SUMIFS(BG$4:BG1126,AU$4:AU1126,"="&amp;AU1126,AY$4:AY1126,"="&amp;AY1126)</f>
        <v>50</v>
      </c>
      <c r="BI1126" s="25" t="s">
        <v>1158</v>
      </c>
      <c r="BJ1126" s="14">
        <f t="shared" si="293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5"/>
        <v>15</v>
      </c>
      <c r="AV1127" s="14">
        <f t="shared" si="286"/>
        <v>202001</v>
      </c>
      <c r="AW1127" s="14">
        <f t="shared" si="287"/>
        <v>1102020</v>
      </c>
      <c r="AX1127" s="13" t="s">
        <v>1127</v>
      </c>
      <c r="AY1127" s="13">
        <f t="shared" si="288"/>
        <v>1</v>
      </c>
      <c r="AZ1127" s="13" t="s">
        <v>1148</v>
      </c>
      <c r="BA1127" s="14">
        <f t="shared" si="289"/>
        <v>3</v>
      </c>
      <c r="BB1127" s="14" t="str">
        <f t="shared" si="290"/>
        <v>高顺魂珠-1 等级-3</v>
      </c>
      <c r="BC1127" s="25" t="s">
        <v>44</v>
      </c>
      <c r="BD1127" s="14">
        <f t="shared" si="291"/>
        <v>88</v>
      </c>
      <c r="BE1127" s="14">
        <f>SUMIFS(BD$4:BD1127,$AU$4:$AU1127,"="&amp;$AU1127,$AY$4:$AY1127,"="&amp;$AY1127)</f>
        <v>198</v>
      </c>
      <c r="BF1127" s="25" t="s">
        <v>1157</v>
      </c>
      <c r="BG1127" s="14">
        <f t="shared" si="292"/>
        <v>40</v>
      </c>
      <c r="BH1127" s="14">
        <f>SUMIFS(BG$4:BG1127,AU$4:AU1127,"="&amp;AU1127,AY$4:AY1127,"="&amp;AY1127)</f>
        <v>90</v>
      </c>
      <c r="BI1127" s="25" t="s">
        <v>1158</v>
      </c>
      <c r="BJ1127" s="14">
        <f t="shared" si="293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5"/>
        <v>15</v>
      </c>
      <c r="AV1128" s="14">
        <f t="shared" si="286"/>
        <v>202001</v>
      </c>
      <c r="AW1128" s="14">
        <f t="shared" si="287"/>
        <v>1102020</v>
      </c>
      <c r="AX1128" s="13" t="s">
        <v>1127</v>
      </c>
      <c r="AY1128" s="13">
        <f t="shared" si="288"/>
        <v>1</v>
      </c>
      <c r="AZ1128" s="13" t="s">
        <v>1148</v>
      </c>
      <c r="BA1128" s="14">
        <f t="shared" si="289"/>
        <v>4</v>
      </c>
      <c r="BB1128" s="14" t="str">
        <f t="shared" si="290"/>
        <v>高顺魂珠-1 等级-4</v>
      </c>
      <c r="BC1128" s="25" t="s">
        <v>44</v>
      </c>
      <c r="BD1128" s="14">
        <f t="shared" si="291"/>
        <v>132</v>
      </c>
      <c r="BE1128" s="14">
        <f>SUMIFS(BD$4:BD1128,$AU$4:$AU1128,"="&amp;$AU1128,$AY$4:$AY1128,"="&amp;$AY1128)</f>
        <v>330</v>
      </c>
      <c r="BF1128" s="25" t="s">
        <v>1157</v>
      </c>
      <c r="BG1128" s="14">
        <f t="shared" si="292"/>
        <v>60</v>
      </c>
      <c r="BH1128" s="14">
        <f>SUMIFS(BG$4:BG1128,AU$4:AU1128,"="&amp;AU1128,AY$4:AY1128,"="&amp;AY1128)</f>
        <v>150</v>
      </c>
      <c r="BI1128" s="25" t="s">
        <v>1158</v>
      </c>
      <c r="BJ1128" s="14">
        <f t="shared" si="293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5"/>
        <v>15</v>
      </c>
      <c r="AV1129" s="14">
        <f t="shared" si="286"/>
        <v>202001</v>
      </c>
      <c r="AW1129" s="14">
        <f t="shared" si="287"/>
        <v>1102020</v>
      </c>
      <c r="AX1129" s="13" t="s">
        <v>1127</v>
      </c>
      <c r="AY1129" s="13">
        <f t="shared" si="288"/>
        <v>1</v>
      </c>
      <c r="AZ1129" s="13" t="s">
        <v>1148</v>
      </c>
      <c r="BA1129" s="14">
        <f t="shared" si="289"/>
        <v>5</v>
      </c>
      <c r="BB1129" s="14" t="str">
        <f t="shared" si="290"/>
        <v>高顺魂珠-1 等级-5</v>
      </c>
      <c r="BC1129" s="25" t="s">
        <v>44</v>
      </c>
      <c r="BD1129" s="14">
        <f t="shared" si="291"/>
        <v>176</v>
      </c>
      <c r="BE1129" s="14">
        <f>SUMIFS(BD$4:BD1129,$AU$4:$AU1129,"="&amp;$AU1129,$AY$4:$AY1129,"="&amp;$AY1129)</f>
        <v>506</v>
      </c>
      <c r="BF1129" s="25" t="s">
        <v>1157</v>
      </c>
      <c r="BG1129" s="14">
        <f t="shared" si="292"/>
        <v>80</v>
      </c>
      <c r="BH1129" s="14">
        <f>SUMIFS(BG$4:BG1129,AU$4:AU1129,"="&amp;AU1129,AY$4:AY1129,"="&amp;AY1129)</f>
        <v>230</v>
      </c>
      <c r="BI1129" s="25" t="s">
        <v>1158</v>
      </c>
      <c r="BJ1129" s="14">
        <f t="shared" si="293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5"/>
        <v>15</v>
      </c>
      <c r="AV1130" s="14">
        <f t="shared" si="286"/>
        <v>202001</v>
      </c>
      <c r="AW1130" s="14">
        <f t="shared" si="287"/>
        <v>1102020</v>
      </c>
      <c r="AX1130" s="13" t="s">
        <v>1127</v>
      </c>
      <c r="AY1130" s="13">
        <f t="shared" si="288"/>
        <v>1</v>
      </c>
      <c r="AZ1130" s="13" t="s">
        <v>1148</v>
      </c>
      <c r="BA1130" s="14">
        <f t="shared" si="289"/>
        <v>6</v>
      </c>
      <c r="BB1130" s="14" t="str">
        <f t="shared" si="290"/>
        <v>高顺魂珠-1 等级-6</v>
      </c>
      <c r="BC1130" s="25" t="s">
        <v>44</v>
      </c>
      <c r="BD1130" s="14">
        <f t="shared" si="291"/>
        <v>220</v>
      </c>
      <c r="BE1130" s="14">
        <f>SUMIFS(BD$4:BD1130,$AU$4:$AU1130,"="&amp;$AU1130,$AY$4:$AY1130,"="&amp;$AY1130)</f>
        <v>726</v>
      </c>
      <c r="BF1130" s="25" t="s">
        <v>1157</v>
      </c>
      <c r="BG1130" s="14">
        <f t="shared" si="292"/>
        <v>100</v>
      </c>
      <c r="BH1130" s="14">
        <f>SUMIFS(BG$4:BG1130,AU$4:AU1130,"="&amp;AU1130,AY$4:AY1130,"="&amp;AY1130)</f>
        <v>330</v>
      </c>
      <c r="BI1130" s="25" t="s">
        <v>1158</v>
      </c>
      <c r="BJ1130" s="14">
        <f t="shared" si="293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5"/>
        <v>15</v>
      </c>
      <c r="AV1131" s="14">
        <f t="shared" si="286"/>
        <v>202001</v>
      </c>
      <c r="AW1131" s="14">
        <f t="shared" si="287"/>
        <v>1102020</v>
      </c>
      <c r="AX1131" s="13" t="s">
        <v>1127</v>
      </c>
      <c r="AY1131" s="13">
        <f t="shared" si="288"/>
        <v>1</v>
      </c>
      <c r="AZ1131" s="13" t="s">
        <v>1148</v>
      </c>
      <c r="BA1131" s="14">
        <f t="shared" si="289"/>
        <v>7</v>
      </c>
      <c r="BB1131" s="14" t="str">
        <f t="shared" si="290"/>
        <v>高顺魂珠-1 等级-7</v>
      </c>
      <c r="BC1131" s="25" t="s">
        <v>44</v>
      </c>
      <c r="BD1131" s="14">
        <f t="shared" si="291"/>
        <v>264</v>
      </c>
      <c r="BE1131" s="14">
        <f>SUMIFS(BD$4:BD1131,$AU$4:$AU1131,"="&amp;$AU1131,$AY$4:$AY1131,"="&amp;$AY1131)</f>
        <v>990</v>
      </c>
      <c r="BF1131" s="25" t="s">
        <v>1157</v>
      </c>
      <c r="BG1131" s="14">
        <f t="shared" si="292"/>
        <v>120</v>
      </c>
      <c r="BH1131" s="14">
        <f>SUMIFS(BG$4:BG1131,AU$4:AU1131,"="&amp;AU1131,AY$4:AY1131,"="&amp;AY1131)</f>
        <v>450</v>
      </c>
      <c r="BI1131" s="25" t="s">
        <v>1158</v>
      </c>
      <c r="BJ1131" s="14">
        <f t="shared" si="293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5"/>
        <v>15</v>
      </c>
      <c r="AV1132" s="14">
        <f t="shared" si="286"/>
        <v>202001</v>
      </c>
      <c r="AW1132" s="14">
        <f t="shared" si="287"/>
        <v>1102020</v>
      </c>
      <c r="AX1132" s="13" t="s">
        <v>1127</v>
      </c>
      <c r="AY1132" s="13">
        <f t="shared" si="288"/>
        <v>1</v>
      </c>
      <c r="AZ1132" s="13" t="s">
        <v>1148</v>
      </c>
      <c r="BA1132" s="14">
        <f t="shared" si="289"/>
        <v>8</v>
      </c>
      <c r="BB1132" s="14" t="str">
        <f t="shared" si="290"/>
        <v>高顺魂珠-1 等级-8</v>
      </c>
      <c r="BC1132" s="25" t="s">
        <v>44</v>
      </c>
      <c r="BD1132" s="14">
        <f t="shared" si="291"/>
        <v>308</v>
      </c>
      <c r="BE1132" s="14">
        <f>SUMIFS(BD$4:BD1132,$AU$4:$AU1132,"="&amp;$AU1132,$AY$4:$AY1132,"="&amp;$AY1132)</f>
        <v>1298</v>
      </c>
      <c r="BF1132" s="25" t="s">
        <v>1157</v>
      </c>
      <c r="BG1132" s="14">
        <f t="shared" si="292"/>
        <v>140</v>
      </c>
      <c r="BH1132" s="14">
        <f>SUMIFS(BG$4:BG1132,AU$4:AU1132,"="&amp;AU1132,AY$4:AY1132,"="&amp;AY1132)</f>
        <v>590</v>
      </c>
      <c r="BI1132" s="25" t="s">
        <v>1158</v>
      </c>
      <c r="BJ1132" s="14">
        <f t="shared" si="293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5"/>
        <v>15</v>
      </c>
      <c r="AV1133" s="14">
        <f t="shared" si="286"/>
        <v>202001</v>
      </c>
      <c r="AW1133" s="14">
        <f t="shared" si="287"/>
        <v>1102020</v>
      </c>
      <c r="AX1133" s="13" t="s">
        <v>1127</v>
      </c>
      <c r="AY1133" s="13">
        <f t="shared" si="288"/>
        <v>1</v>
      </c>
      <c r="AZ1133" s="13" t="s">
        <v>1148</v>
      </c>
      <c r="BA1133" s="14">
        <f t="shared" si="289"/>
        <v>9</v>
      </c>
      <c r="BB1133" s="14" t="str">
        <f t="shared" si="290"/>
        <v>高顺魂珠-1 等级-9</v>
      </c>
      <c r="BC1133" s="25" t="s">
        <v>44</v>
      </c>
      <c r="BD1133" s="14">
        <f t="shared" si="291"/>
        <v>352</v>
      </c>
      <c r="BE1133" s="14">
        <f>SUMIFS(BD$4:BD1133,$AU$4:$AU1133,"="&amp;$AU1133,$AY$4:$AY1133,"="&amp;$AY1133)</f>
        <v>1650</v>
      </c>
      <c r="BF1133" s="25" t="s">
        <v>1157</v>
      </c>
      <c r="BG1133" s="14">
        <f t="shared" si="292"/>
        <v>160</v>
      </c>
      <c r="BH1133" s="14">
        <f>SUMIFS(BG$4:BG1133,AU$4:AU1133,"="&amp;AU1133,AY$4:AY1133,"="&amp;AY1133)</f>
        <v>750</v>
      </c>
      <c r="BI1133" s="25" t="s">
        <v>1158</v>
      </c>
      <c r="BJ1133" s="14">
        <f t="shared" si="293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5"/>
        <v>15</v>
      </c>
      <c r="AV1134" s="14">
        <f t="shared" si="286"/>
        <v>202002</v>
      </c>
      <c r="AW1134" s="14">
        <f t="shared" si="287"/>
        <v>1102020</v>
      </c>
      <c r="AX1134" s="13" t="s">
        <v>1127</v>
      </c>
      <c r="AY1134" s="13">
        <f t="shared" si="288"/>
        <v>2</v>
      </c>
      <c r="AZ1134" s="13" t="s">
        <v>1148</v>
      </c>
      <c r="BA1134" s="14">
        <f t="shared" si="289"/>
        <v>0</v>
      </c>
      <c r="BB1134" s="14" t="str">
        <f t="shared" si="290"/>
        <v>高顺魂珠-2 等级-0</v>
      </c>
      <c r="BC1134" s="25" t="s">
        <v>44</v>
      </c>
      <c r="BD1134" s="14">
        <f t="shared" si="291"/>
        <v>0</v>
      </c>
      <c r="BE1134" s="14">
        <f>SUMIFS(BD$4:BD1134,$AU$4:$AU1134,"="&amp;$AU1134,$AY$4:$AY1134,"="&amp;$AY1134)</f>
        <v>0</v>
      </c>
      <c r="BF1134" s="25" t="s">
        <v>1157</v>
      </c>
      <c r="BG1134" s="14">
        <f t="shared" si="292"/>
        <v>0</v>
      </c>
      <c r="BH1134" s="14">
        <f>SUMIFS(BG$4:BG1134,AU$4:AU1134,"="&amp;AU1134,AY$4:AY1134,"="&amp;AY1134)</f>
        <v>0</v>
      </c>
      <c r="BI1134" s="25" t="s">
        <v>1158</v>
      </c>
      <c r="BJ1134" s="14">
        <f t="shared" si="293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5"/>
        <v>15</v>
      </c>
      <c r="AV1135" s="14">
        <f t="shared" si="286"/>
        <v>202002</v>
      </c>
      <c r="AW1135" s="14">
        <f t="shared" si="287"/>
        <v>1102020</v>
      </c>
      <c r="AX1135" s="13" t="s">
        <v>1127</v>
      </c>
      <c r="AY1135" s="13">
        <f t="shared" si="288"/>
        <v>2</v>
      </c>
      <c r="AZ1135" s="13" t="s">
        <v>1148</v>
      </c>
      <c r="BA1135" s="14">
        <f t="shared" si="289"/>
        <v>1</v>
      </c>
      <c r="BB1135" s="14" t="str">
        <f t="shared" si="290"/>
        <v>高顺魂珠-2 等级-1</v>
      </c>
      <c r="BC1135" s="25" t="s">
        <v>44</v>
      </c>
      <c r="BD1135" s="14">
        <f t="shared" si="291"/>
        <v>55</v>
      </c>
      <c r="BE1135" s="14">
        <f>SUMIFS(BD$4:BD1135,$AU$4:$AU1135,"="&amp;$AU1135,$AY$4:$AY1135,"="&amp;$AY1135)</f>
        <v>55</v>
      </c>
      <c r="BF1135" s="25" t="s">
        <v>1157</v>
      </c>
      <c r="BG1135" s="14">
        <f t="shared" si="292"/>
        <v>25</v>
      </c>
      <c r="BH1135" s="14">
        <f>SUMIFS(BG$4:BG1135,AU$4:AU1135,"="&amp;AU1135,AY$4:AY1135,"="&amp;AY1135)</f>
        <v>25</v>
      </c>
      <c r="BI1135" s="25" t="s">
        <v>1158</v>
      </c>
      <c r="BJ1135" s="14">
        <f t="shared" si="293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5"/>
        <v>15</v>
      </c>
      <c r="AV1136" s="14">
        <f t="shared" si="286"/>
        <v>202002</v>
      </c>
      <c r="AW1136" s="14">
        <f t="shared" si="287"/>
        <v>1102020</v>
      </c>
      <c r="AX1136" s="13" t="s">
        <v>1127</v>
      </c>
      <c r="AY1136" s="13">
        <f t="shared" si="288"/>
        <v>2</v>
      </c>
      <c r="AZ1136" s="13" t="s">
        <v>1148</v>
      </c>
      <c r="BA1136" s="14">
        <f t="shared" si="289"/>
        <v>2</v>
      </c>
      <c r="BB1136" s="14" t="str">
        <f t="shared" si="290"/>
        <v>高顺魂珠-2 等级-2</v>
      </c>
      <c r="BC1136" s="25" t="s">
        <v>44</v>
      </c>
      <c r="BD1136" s="14">
        <f t="shared" si="291"/>
        <v>88</v>
      </c>
      <c r="BE1136" s="14">
        <f>SUMIFS(BD$4:BD1136,$AU$4:$AU1136,"="&amp;$AU1136,$AY$4:$AY1136,"="&amp;$AY1136)</f>
        <v>143</v>
      </c>
      <c r="BF1136" s="25" t="s">
        <v>1157</v>
      </c>
      <c r="BG1136" s="14">
        <f t="shared" si="292"/>
        <v>40</v>
      </c>
      <c r="BH1136" s="14">
        <f>SUMIFS(BG$4:BG1136,AU$4:AU1136,"="&amp;AU1136,AY$4:AY1136,"="&amp;AY1136)</f>
        <v>65</v>
      </c>
      <c r="BI1136" s="25" t="s">
        <v>1158</v>
      </c>
      <c r="BJ1136" s="14">
        <f t="shared" si="293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5"/>
        <v>15</v>
      </c>
      <c r="AV1137" s="14">
        <f t="shared" si="286"/>
        <v>202002</v>
      </c>
      <c r="AW1137" s="14">
        <f t="shared" si="287"/>
        <v>1102020</v>
      </c>
      <c r="AX1137" s="13" t="s">
        <v>1127</v>
      </c>
      <c r="AY1137" s="13">
        <f t="shared" si="288"/>
        <v>2</v>
      </c>
      <c r="AZ1137" s="13" t="s">
        <v>1148</v>
      </c>
      <c r="BA1137" s="14">
        <f t="shared" si="289"/>
        <v>3</v>
      </c>
      <c r="BB1137" s="14" t="str">
        <f t="shared" si="290"/>
        <v>高顺魂珠-2 等级-3</v>
      </c>
      <c r="BC1137" s="25" t="s">
        <v>44</v>
      </c>
      <c r="BD1137" s="14">
        <f t="shared" si="291"/>
        <v>110</v>
      </c>
      <c r="BE1137" s="14">
        <f>SUMIFS(BD$4:BD1137,$AU$4:$AU1137,"="&amp;$AU1137,$AY$4:$AY1137,"="&amp;$AY1137)</f>
        <v>253</v>
      </c>
      <c r="BF1137" s="25" t="s">
        <v>1157</v>
      </c>
      <c r="BG1137" s="14">
        <f t="shared" si="292"/>
        <v>50</v>
      </c>
      <c r="BH1137" s="14">
        <f>SUMIFS(BG$4:BG1137,AU$4:AU1137,"="&amp;AU1137,AY$4:AY1137,"="&amp;AY1137)</f>
        <v>115</v>
      </c>
      <c r="BI1137" s="25" t="s">
        <v>1158</v>
      </c>
      <c r="BJ1137" s="14">
        <f t="shared" si="293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5"/>
        <v>15</v>
      </c>
      <c r="AV1138" s="14">
        <f t="shared" si="286"/>
        <v>202002</v>
      </c>
      <c r="AW1138" s="14">
        <f t="shared" si="287"/>
        <v>1102020</v>
      </c>
      <c r="AX1138" s="13" t="s">
        <v>1127</v>
      </c>
      <c r="AY1138" s="13">
        <f t="shared" si="288"/>
        <v>2</v>
      </c>
      <c r="AZ1138" s="13" t="s">
        <v>1148</v>
      </c>
      <c r="BA1138" s="14">
        <f t="shared" si="289"/>
        <v>4</v>
      </c>
      <c r="BB1138" s="14" t="str">
        <f t="shared" si="290"/>
        <v>高顺魂珠-2 等级-4</v>
      </c>
      <c r="BC1138" s="25" t="s">
        <v>44</v>
      </c>
      <c r="BD1138" s="14">
        <f t="shared" si="291"/>
        <v>176</v>
      </c>
      <c r="BE1138" s="14">
        <f>SUMIFS(BD$4:BD1138,$AU$4:$AU1138,"="&amp;$AU1138,$AY$4:$AY1138,"="&amp;$AY1138)</f>
        <v>429</v>
      </c>
      <c r="BF1138" s="25" t="s">
        <v>1157</v>
      </c>
      <c r="BG1138" s="14">
        <f t="shared" si="292"/>
        <v>80</v>
      </c>
      <c r="BH1138" s="14">
        <f>SUMIFS(BG$4:BG1138,AU$4:AU1138,"="&amp;AU1138,AY$4:AY1138,"="&amp;AY1138)</f>
        <v>195</v>
      </c>
      <c r="BI1138" s="25" t="s">
        <v>1158</v>
      </c>
      <c r="BJ1138" s="14">
        <f t="shared" si="293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5"/>
        <v>15</v>
      </c>
      <c r="AV1139" s="14">
        <f t="shared" si="286"/>
        <v>202002</v>
      </c>
      <c r="AW1139" s="14">
        <f t="shared" si="287"/>
        <v>1102020</v>
      </c>
      <c r="AX1139" s="13" t="s">
        <v>1127</v>
      </c>
      <c r="AY1139" s="13">
        <f t="shared" si="288"/>
        <v>2</v>
      </c>
      <c r="AZ1139" s="13" t="s">
        <v>1148</v>
      </c>
      <c r="BA1139" s="14">
        <f t="shared" si="289"/>
        <v>5</v>
      </c>
      <c r="BB1139" s="14" t="str">
        <f t="shared" si="290"/>
        <v>高顺魂珠-2 等级-5</v>
      </c>
      <c r="BC1139" s="25" t="s">
        <v>44</v>
      </c>
      <c r="BD1139" s="14">
        <f t="shared" si="291"/>
        <v>242</v>
      </c>
      <c r="BE1139" s="14">
        <f>SUMIFS(BD$4:BD1139,$AU$4:$AU1139,"="&amp;$AU1139,$AY$4:$AY1139,"="&amp;$AY1139)</f>
        <v>671</v>
      </c>
      <c r="BF1139" s="25" t="s">
        <v>1157</v>
      </c>
      <c r="BG1139" s="14">
        <f t="shared" si="292"/>
        <v>110</v>
      </c>
      <c r="BH1139" s="14">
        <f>SUMIFS(BG$4:BG1139,AU$4:AU1139,"="&amp;AU1139,AY$4:AY1139,"="&amp;AY1139)</f>
        <v>305</v>
      </c>
      <c r="BI1139" s="25" t="s">
        <v>1158</v>
      </c>
      <c r="BJ1139" s="14">
        <f t="shared" si="293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5"/>
        <v>15</v>
      </c>
      <c r="AV1140" s="14">
        <f t="shared" si="286"/>
        <v>202002</v>
      </c>
      <c r="AW1140" s="14">
        <f t="shared" si="287"/>
        <v>1102020</v>
      </c>
      <c r="AX1140" s="13" t="s">
        <v>1127</v>
      </c>
      <c r="AY1140" s="13">
        <f t="shared" si="288"/>
        <v>2</v>
      </c>
      <c r="AZ1140" s="13" t="s">
        <v>1148</v>
      </c>
      <c r="BA1140" s="14">
        <f t="shared" si="289"/>
        <v>6</v>
      </c>
      <c r="BB1140" s="14" t="str">
        <f t="shared" si="290"/>
        <v>高顺魂珠-2 等级-6</v>
      </c>
      <c r="BC1140" s="25" t="s">
        <v>44</v>
      </c>
      <c r="BD1140" s="14">
        <f t="shared" si="291"/>
        <v>308</v>
      </c>
      <c r="BE1140" s="14">
        <f>SUMIFS(BD$4:BD1140,$AU$4:$AU1140,"="&amp;$AU1140,$AY$4:$AY1140,"="&amp;$AY1140)</f>
        <v>979</v>
      </c>
      <c r="BF1140" s="25" t="s">
        <v>1157</v>
      </c>
      <c r="BG1140" s="14">
        <f t="shared" si="292"/>
        <v>140</v>
      </c>
      <c r="BH1140" s="14">
        <f>SUMIFS(BG$4:BG1140,AU$4:AU1140,"="&amp;AU1140,AY$4:AY1140,"="&amp;AY1140)</f>
        <v>445</v>
      </c>
      <c r="BI1140" s="25" t="s">
        <v>1158</v>
      </c>
      <c r="BJ1140" s="14">
        <f t="shared" si="293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5"/>
        <v>15</v>
      </c>
      <c r="AV1141" s="14">
        <f t="shared" si="286"/>
        <v>202002</v>
      </c>
      <c r="AW1141" s="14">
        <f t="shared" si="287"/>
        <v>1102020</v>
      </c>
      <c r="AX1141" s="13" t="s">
        <v>1127</v>
      </c>
      <c r="AY1141" s="13">
        <f t="shared" si="288"/>
        <v>2</v>
      </c>
      <c r="AZ1141" s="13" t="s">
        <v>1148</v>
      </c>
      <c r="BA1141" s="14">
        <f t="shared" si="289"/>
        <v>7</v>
      </c>
      <c r="BB1141" s="14" t="str">
        <f t="shared" si="290"/>
        <v>高顺魂珠-2 等级-7</v>
      </c>
      <c r="BC1141" s="25" t="s">
        <v>44</v>
      </c>
      <c r="BD1141" s="14">
        <f t="shared" si="291"/>
        <v>352</v>
      </c>
      <c r="BE1141" s="14">
        <f>SUMIFS(BD$4:BD1141,$AU$4:$AU1141,"="&amp;$AU1141,$AY$4:$AY1141,"="&amp;$AY1141)</f>
        <v>1331</v>
      </c>
      <c r="BF1141" s="25" t="s">
        <v>1157</v>
      </c>
      <c r="BG1141" s="14">
        <f t="shared" si="292"/>
        <v>160</v>
      </c>
      <c r="BH1141" s="14">
        <f>SUMIFS(BG$4:BG1141,AU$4:AU1141,"="&amp;AU1141,AY$4:AY1141,"="&amp;AY1141)</f>
        <v>605</v>
      </c>
      <c r="BI1141" s="25" t="s">
        <v>1158</v>
      </c>
      <c r="BJ1141" s="14">
        <f t="shared" si="293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5"/>
        <v>15</v>
      </c>
      <c r="AV1142" s="14">
        <f t="shared" si="286"/>
        <v>202002</v>
      </c>
      <c r="AW1142" s="14">
        <f t="shared" si="287"/>
        <v>1102020</v>
      </c>
      <c r="AX1142" s="13" t="s">
        <v>1127</v>
      </c>
      <c r="AY1142" s="13">
        <f t="shared" si="288"/>
        <v>2</v>
      </c>
      <c r="AZ1142" s="13" t="s">
        <v>1148</v>
      </c>
      <c r="BA1142" s="14">
        <f t="shared" si="289"/>
        <v>8</v>
      </c>
      <c r="BB1142" s="14" t="str">
        <f t="shared" si="290"/>
        <v>高顺魂珠-2 等级-8</v>
      </c>
      <c r="BC1142" s="25" t="s">
        <v>44</v>
      </c>
      <c r="BD1142" s="14">
        <f t="shared" si="291"/>
        <v>418</v>
      </c>
      <c r="BE1142" s="14">
        <f>SUMIFS(BD$4:BD1142,$AU$4:$AU1142,"="&amp;$AU1142,$AY$4:$AY1142,"="&amp;$AY1142)</f>
        <v>1749</v>
      </c>
      <c r="BF1142" s="25" t="s">
        <v>1157</v>
      </c>
      <c r="BG1142" s="14">
        <f t="shared" si="292"/>
        <v>190</v>
      </c>
      <c r="BH1142" s="14">
        <f>SUMIFS(BG$4:BG1142,AU$4:AU1142,"="&amp;AU1142,AY$4:AY1142,"="&amp;AY1142)</f>
        <v>795</v>
      </c>
      <c r="BI1142" s="25" t="s">
        <v>1158</v>
      </c>
      <c r="BJ1142" s="14">
        <f t="shared" si="293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5"/>
        <v>15</v>
      </c>
      <c r="AV1143" s="14">
        <f t="shared" si="286"/>
        <v>202002</v>
      </c>
      <c r="AW1143" s="14">
        <f t="shared" si="287"/>
        <v>1102020</v>
      </c>
      <c r="AX1143" s="13" t="s">
        <v>1127</v>
      </c>
      <c r="AY1143" s="13">
        <f t="shared" si="288"/>
        <v>2</v>
      </c>
      <c r="AZ1143" s="13" t="s">
        <v>1148</v>
      </c>
      <c r="BA1143" s="14">
        <f t="shared" si="289"/>
        <v>9</v>
      </c>
      <c r="BB1143" s="14" t="str">
        <f t="shared" si="290"/>
        <v>高顺魂珠-2 等级-9</v>
      </c>
      <c r="BC1143" s="25" t="s">
        <v>44</v>
      </c>
      <c r="BD1143" s="14">
        <f t="shared" si="291"/>
        <v>495</v>
      </c>
      <c r="BE1143" s="14">
        <f>SUMIFS(BD$4:BD1143,$AU$4:$AU1143,"="&amp;$AU1143,$AY$4:$AY1143,"="&amp;$AY1143)</f>
        <v>2244</v>
      </c>
      <c r="BF1143" s="25" t="s">
        <v>1157</v>
      </c>
      <c r="BG1143" s="14">
        <f t="shared" si="292"/>
        <v>225</v>
      </c>
      <c r="BH1143" s="14">
        <f>SUMIFS(BG$4:BG1143,AU$4:AU1143,"="&amp;AU1143,AY$4:AY1143,"="&amp;AY1143)</f>
        <v>1020</v>
      </c>
      <c r="BI1143" s="25" t="s">
        <v>1158</v>
      </c>
      <c r="BJ1143" s="14">
        <f t="shared" si="293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5"/>
        <v>15</v>
      </c>
      <c r="AV1144" s="14">
        <f t="shared" si="286"/>
        <v>202003</v>
      </c>
      <c r="AW1144" s="14">
        <f t="shared" si="287"/>
        <v>1102020</v>
      </c>
      <c r="AX1144" s="13" t="s">
        <v>1127</v>
      </c>
      <c r="AY1144" s="13">
        <f t="shared" si="288"/>
        <v>3</v>
      </c>
      <c r="AZ1144" s="13" t="s">
        <v>1148</v>
      </c>
      <c r="BA1144" s="14">
        <f t="shared" si="289"/>
        <v>0</v>
      </c>
      <c r="BB1144" s="14" t="str">
        <f t="shared" si="290"/>
        <v>高顺魂珠-3 等级-0</v>
      </c>
      <c r="BC1144" s="25" t="s">
        <v>44</v>
      </c>
      <c r="BD1144" s="14">
        <f t="shared" si="291"/>
        <v>0</v>
      </c>
      <c r="BE1144" s="14">
        <f>SUMIFS(BD$4:BD1144,$AU$4:$AU1144,"="&amp;$AU1144,$AY$4:$AY1144,"="&amp;$AY1144)</f>
        <v>0</v>
      </c>
      <c r="BF1144" s="25" t="s">
        <v>1157</v>
      </c>
      <c r="BG1144" s="14">
        <f t="shared" si="292"/>
        <v>0</v>
      </c>
      <c r="BH1144" s="14">
        <f>SUMIFS(BG$4:BG1144,AU$4:AU1144,"="&amp;AU1144,AY$4:AY1144,"="&amp;AY1144)</f>
        <v>0</v>
      </c>
      <c r="BI1144" s="25" t="s">
        <v>1158</v>
      </c>
      <c r="BJ1144" s="14">
        <f t="shared" si="293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5"/>
        <v>15</v>
      </c>
      <c r="AV1145" s="14">
        <f t="shared" si="286"/>
        <v>202003</v>
      </c>
      <c r="AW1145" s="14">
        <f t="shared" si="287"/>
        <v>1102020</v>
      </c>
      <c r="AX1145" s="13" t="s">
        <v>1127</v>
      </c>
      <c r="AY1145" s="13">
        <f t="shared" si="288"/>
        <v>3</v>
      </c>
      <c r="AZ1145" s="13" t="s">
        <v>1148</v>
      </c>
      <c r="BA1145" s="14">
        <f t="shared" si="289"/>
        <v>1</v>
      </c>
      <c r="BB1145" s="14" t="str">
        <f t="shared" si="290"/>
        <v>高顺魂珠-3 等级-1</v>
      </c>
      <c r="BC1145" s="25" t="s">
        <v>44</v>
      </c>
      <c r="BD1145" s="14">
        <f t="shared" si="291"/>
        <v>88</v>
      </c>
      <c r="BE1145" s="14">
        <f>SUMIFS(BD$4:BD1145,$AU$4:$AU1145,"="&amp;$AU1145,$AY$4:$AY1145,"="&amp;$AY1145)</f>
        <v>88</v>
      </c>
      <c r="BF1145" s="25" t="s">
        <v>1157</v>
      </c>
      <c r="BG1145" s="14">
        <f t="shared" si="292"/>
        <v>40</v>
      </c>
      <c r="BH1145" s="14">
        <f>SUMIFS(BG$4:BG1145,AU$4:AU1145,"="&amp;AU1145,AY$4:AY1145,"="&amp;AY1145)</f>
        <v>40</v>
      </c>
      <c r="BI1145" s="25" t="s">
        <v>1158</v>
      </c>
      <c r="BJ1145" s="14">
        <f t="shared" si="293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5"/>
        <v>15</v>
      </c>
      <c r="AV1146" s="14">
        <f t="shared" si="286"/>
        <v>202003</v>
      </c>
      <c r="AW1146" s="14">
        <f t="shared" si="287"/>
        <v>1102020</v>
      </c>
      <c r="AX1146" s="13" t="s">
        <v>1127</v>
      </c>
      <c r="AY1146" s="13">
        <f t="shared" si="288"/>
        <v>3</v>
      </c>
      <c r="AZ1146" s="13" t="s">
        <v>1148</v>
      </c>
      <c r="BA1146" s="14">
        <f t="shared" si="289"/>
        <v>2</v>
      </c>
      <c r="BB1146" s="14" t="str">
        <f t="shared" si="290"/>
        <v>高顺魂珠-3 等级-2</v>
      </c>
      <c r="BC1146" s="25" t="s">
        <v>44</v>
      </c>
      <c r="BD1146" s="14">
        <f t="shared" si="291"/>
        <v>132</v>
      </c>
      <c r="BE1146" s="14">
        <f>SUMIFS(BD$4:BD1146,$AU$4:$AU1146,"="&amp;$AU1146,$AY$4:$AY1146,"="&amp;$AY1146)</f>
        <v>220</v>
      </c>
      <c r="BF1146" s="25" t="s">
        <v>1157</v>
      </c>
      <c r="BG1146" s="14">
        <f t="shared" si="292"/>
        <v>60</v>
      </c>
      <c r="BH1146" s="14">
        <f>SUMIFS(BG$4:BG1146,AU$4:AU1146,"="&amp;AU1146,AY$4:AY1146,"="&amp;AY1146)</f>
        <v>100</v>
      </c>
      <c r="BI1146" s="25" t="s">
        <v>1158</v>
      </c>
      <c r="BJ1146" s="14">
        <f t="shared" si="293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5"/>
        <v>15</v>
      </c>
      <c r="AV1147" s="14">
        <f t="shared" si="286"/>
        <v>202003</v>
      </c>
      <c r="AW1147" s="14">
        <f t="shared" si="287"/>
        <v>1102020</v>
      </c>
      <c r="AX1147" s="13" t="s">
        <v>1127</v>
      </c>
      <c r="AY1147" s="13">
        <f t="shared" si="288"/>
        <v>3</v>
      </c>
      <c r="AZ1147" s="13" t="s">
        <v>1148</v>
      </c>
      <c r="BA1147" s="14">
        <f t="shared" si="289"/>
        <v>3</v>
      </c>
      <c r="BB1147" s="14" t="str">
        <f t="shared" si="290"/>
        <v>高顺魂珠-3 等级-3</v>
      </c>
      <c r="BC1147" s="25" t="s">
        <v>44</v>
      </c>
      <c r="BD1147" s="14">
        <f t="shared" si="291"/>
        <v>176</v>
      </c>
      <c r="BE1147" s="14">
        <f>SUMIFS(BD$4:BD1147,$AU$4:$AU1147,"="&amp;$AU1147,$AY$4:$AY1147,"="&amp;$AY1147)</f>
        <v>396</v>
      </c>
      <c r="BF1147" s="25" t="s">
        <v>1157</v>
      </c>
      <c r="BG1147" s="14">
        <f t="shared" si="292"/>
        <v>80</v>
      </c>
      <c r="BH1147" s="14">
        <f>SUMIFS(BG$4:BG1147,AU$4:AU1147,"="&amp;AU1147,AY$4:AY1147,"="&amp;AY1147)</f>
        <v>180</v>
      </c>
      <c r="BI1147" s="25" t="s">
        <v>1158</v>
      </c>
      <c r="BJ1147" s="14">
        <f t="shared" si="293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5"/>
        <v>15</v>
      </c>
      <c r="AV1148" s="14">
        <f t="shared" si="286"/>
        <v>202003</v>
      </c>
      <c r="AW1148" s="14">
        <f t="shared" si="287"/>
        <v>1102020</v>
      </c>
      <c r="AX1148" s="13" t="s">
        <v>1127</v>
      </c>
      <c r="AY1148" s="13">
        <f t="shared" si="288"/>
        <v>3</v>
      </c>
      <c r="AZ1148" s="13" t="s">
        <v>1148</v>
      </c>
      <c r="BA1148" s="14">
        <f t="shared" si="289"/>
        <v>4</v>
      </c>
      <c r="BB1148" s="14" t="str">
        <f t="shared" si="290"/>
        <v>高顺魂珠-3 等级-4</v>
      </c>
      <c r="BC1148" s="25" t="s">
        <v>44</v>
      </c>
      <c r="BD1148" s="14">
        <f t="shared" si="291"/>
        <v>264</v>
      </c>
      <c r="BE1148" s="14">
        <f>SUMIFS(BD$4:BD1148,$AU$4:$AU1148,"="&amp;$AU1148,$AY$4:$AY1148,"="&amp;$AY1148)</f>
        <v>660</v>
      </c>
      <c r="BF1148" s="25" t="s">
        <v>1157</v>
      </c>
      <c r="BG1148" s="14">
        <f t="shared" si="292"/>
        <v>120</v>
      </c>
      <c r="BH1148" s="14">
        <f>SUMIFS(BG$4:BG1148,AU$4:AU1148,"="&amp;AU1148,AY$4:AY1148,"="&amp;AY1148)</f>
        <v>300</v>
      </c>
      <c r="BI1148" s="25" t="s">
        <v>1158</v>
      </c>
      <c r="BJ1148" s="14">
        <f t="shared" si="293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5"/>
        <v>15</v>
      </c>
      <c r="AV1149" s="14">
        <f t="shared" si="286"/>
        <v>202003</v>
      </c>
      <c r="AW1149" s="14">
        <f t="shared" si="287"/>
        <v>1102020</v>
      </c>
      <c r="AX1149" s="13" t="s">
        <v>1127</v>
      </c>
      <c r="AY1149" s="13">
        <f t="shared" si="288"/>
        <v>3</v>
      </c>
      <c r="AZ1149" s="13" t="s">
        <v>1148</v>
      </c>
      <c r="BA1149" s="14">
        <f t="shared" si="289"/>
        <v>5</v>
      </c>
      <c r="BB1149" s="14" t="str">
        <f t="shared" si="290"/>
        <v>高顺魂珠-3 等级-5</v>
      </c>
      <c r="BC1149" s="25" t="s">
        <v>44</v>
      </c>
      <c r="BD1149" s="14">
        <f t="shared" si="291"/>
        <v>352</v>
      </c>
      <c r="BE1149" s="14">
        <f>SUMIFS(BD$4:BD1149,$AU$4:$AU1149,"="&amp;$AU1149,$AY$4:$AY1149,"="&amp;$AY1149)</f>
        <v>1012</v>
      </c>
      <c r="BF1149" s="25" t="s">
        <v>1157</v>
      </c>
      <c r="BG1149" s="14">
        <f t="shared" si="292"/>
        <v>160</v>
      </c>
      <c r="BH1149" s="14">
        <f>SUMIFS(BG$4:BG1149,AU$4:AU1149,"="&amp;AU1149,AY$4:AY1149,"="&amp;AY1149)</f>
        <v>460</v>
      </c>
      <c r="BI1149" s="25" t="s">
        <v>1158</v>
      </c>
      <c r="BJ1149" s="14">
        <f t="shared" si="293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5"/>
        <v>15</v>
      </c>
      <c r="AV1150" s="14">
        <f t="shared" si="286"/>
        <v>202003</v>
      </c>
      <c r="AW1150" s="14">
        <f t="shared" si="287"/>
        <v>1102020</v>
      </c>
      <c r="AX1150" s="13" t="s">
        <v>1127</v>
      </c>
      <c r="AY1150" s="13">
        <f t="shared" si="288"/>
        <v>3</v>
      </c>
      <c r="AZ1150" s="13" t="s">
        <v>1148</v>
      </c>
      <c r="BA1150" s="14">
        <f t="shared" si="289"/>
        <v>6</v>
      </c>
      <c r="BB1150" s="14" t="str">
        <f t="shared" si="290"/>
        <v>高顺魂珠-3 等级-6</v>
      </c>
      <c r="BC1150" s="25" t="s">
        <v>44</v>
      </c>
      <c r="BD1150" s="14">
        <f t="shared" si="291"/>
        <v>440</v>
      </c>
      <c r="BE1150" s="14">
        <f>SUMIFS(BD$4:BD1150,$AU$4:$AU1150,"="&amp;$AU1150,$AY$4:$AY1150,"="&amp;$AY1150)</f>
        <v>1452</v>
      </c>
      <c r="BF1150" s="25" t="s">
        <v>1157</v>
      </c>
      <c r="BG1150" s="14">
        <f t="shared" si="292"/>
        <v>200</v>
      </c>
      <c r="BH1150" s="14">
        <f>SUMIFS(BG$4:BG1150,AU$4:AU1150,"="&amp;AU1150,AY$4:AY1150,"="&amp;AY1150)</f>
        <v>660</v>
      </c>
      <c r="BI1150" s="25" t="s">
        <v>1158</v>
      </c>
      <c r="BJ1150" s="14">
        <f t="shared" si="293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5"/>
        <v>15</v>
      </c>
      <c r="AV1151" s="14">
        <f t="shared" si="286"/>
        <v>202003</v>
      </c>
      <c r="AW1151" s="14">
        <f t="shared" si="287"/>
        <v>1102020</v>
      </c>
      <c r="AX1151" s="13" t="s">
        <v>1127</v>
      </c>
      <c r="AY1151" s="13">
        <f t="shared" si="288"/>
        <v>3</v>
      </c>
      <c r="AZ1151" s="13" t="s">
        <v>1148</v>
      </c>
      <c r="BA1151" s="14">
        <f t="shared" si="289"/>
        <v>7</v>
      </c>
      <c r="BB1151" s="14" t="str">
        <f t="shared" si="290"/>
        <v>高顺魂珠-3 等级-7</v>
      </c>
      <c r="BC1151" s="25" t="s">
        <v>44</v>
      </c>
      <c r="BD1151" s="14">
        <f t="shared" si="291"/>
        <v>528</v>
      </c>
      <c r="BE1151" s="14">
        <f>SUMIFS(BD$4:BD1151,$AU$4:$AU1151,"="&amp;$AU1151,$AY$4:$AY1151,"="&amp;$AY1151)</f>
        <v>1980</v>
      </c>
      <c r="BF1151" s="25" t="s">
        <v>1157</v>
      </c>
      <c r="BG1151" s="14">
        <f t="shared" si="292"/>
        <v>240</v>
      </c>
      <c r="BH1151" s="14">
        <f>SUMIFS(BG$4:BG1151,AU$4:AU1151,"="&amp;AU1151,AY$4:AY1151,"="&amp;AY1151)</f>
        <v>900</v>
      </c>
      <c r="BI1151" s="25" t="s">
        <v>1158</v>
      </c>
      <c r="BJ1151" s="14">
        <f t="shared" si="293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5"/>
        <v>15</v>
      </c>
      <c r="AV1152" s="14">
        <f t="shared" si="286"/>
        <v>202003</v>
      </c>
      <c r="AW1152" s="14">
        <f t="shared" si="287"/>
        <v>1102020</v>
      </c>
      <c r="AX1152" s="13" t="s">
        <v>1127</v>
      </c>
      <c r="AY1152" s="13">
        <f t="shared" si="288"/>
        <v>3</v>
      </c>
      <c r="AZ1152" s="13" t="s">
        <v>1148</v>
      </c>
      <c r="BA1152" s="14">
        <f t="shared" si="289"/>
        <v>8</v>
      </c>
      <c r="BB1152" s="14" t="str">
        <f t="shared" si="290"/>
        <v>高顺魂珠-3 等级-8</v>
      </c>
      <c r="BC1152" s="25" t="s">
        <v>44</v>
      </c>
      <c r="BD1152" s="14">
        <f t="shared" si="291"/>
        <v>616</v>
      </c>
      <c r="BE1152" s="14">
        <f>SUMIFS(BD$4:BD1152,$AU$4:$AU1152,"="&amp;$AU1152,$AY$4:$AY1152,"="&amp;$AY1152)</f>
        <v>2596</v>
      </c>
      <c r="BF1152" s="25" t="s">
        <v>1157</v>
      </c>
      <c r="BG1152" s="14">
        <f t="shared" si="292"/>
        <v>280</v>
      </c>
      <c r="BH1152" s="14">
        <f>SUMIFS(BG$4:BG1152,AU$4:AU1152,"="&amp;AU1152,AY$4:AY1152,"="&amp;AY1152)</f>
        <v>1180</v>
      </c>
      <c r="BI1152" s="25" t="s">
        <v>1158</v>
      </c>
      <c r="BJ1152" s="14">
        <f t="shared" si="293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5"/>
        <v>15</v>
      </c>
      <c r="AV1153" s="14">
        <f t="shared" si="286"/>
        <v>202003</v>
      </c>
      <c r="AW1153" s="14">
        <f t="shared" si="287"/>
        <v>1102020</v>
      </c>
      <c r="AX1153" s="13" t="s">
        <v>1127</v>
      </c>
      <c r="AY1153" s="13">
        <f t="shared" si="288"/>
        <v>3</v>
      </c>
      <c r="AZ1153" s="13" t="s">
        <v>1148</v>
      </c>
      <c r="BA1153" s="14">
        <f t="shared" si="289"/>
        <v>9</v>
      </c>
      <c r="BB1153" s="14" t="str">
        <f t="shared" si="290"/>
        <v>高顺魂珠-3 等级-9</v>
      </c>
      <c r="BC1153" s="25" t="s">
        <v>44</v>
      </c>
      <c r="BD1153" s="14">
        <f t="shared" si="291"/>
        <v>704</v>
      </c>
      <c r="BE1153" s="14">
        <f>SUMIFS(BD$4:BD1153,$AU$4:$AU1153,"="&amp;$AU1153,$AY$4:$AY1153,"="&amp;$AY1153)</f>
        <v>3300</v>
      </c>
      <c r="BF1153" s="25" t="s">
        <v>1157</v>
      </c>
      <c r="BG1153" s="14">
        <f t="shared" si="292"/>
        <v>320</v>
      </c>
      <c r="BH1153" s="14">
        <f>SUMIFS(BG$4:BG1153,AU$4:AU1153,"="&amp;AU1153,AY$4:AY1153,"="&amp;AY1153)</f>
        <v>1500</v>
      </c>
      <c r="BI1153" s="25" t="s">
        <v>1158</v>
      </c>
      <c r="BJ1153" s="14">
        <f t="shared" si="293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5"/>
        <v>15</v>
      </c>
      <c r="AV1154" s="14">
        <f t="shared" si="286"/>
        <v>202004</v>
      </c>
      <c r="AW1154" s="14">
        <f t="shared" si="287"/>
        <v>1102020</v>
      </c>
      <c r="AX1154" s="13" t="s">
        <v>1127</v>
      </c>
      <c r="AY1154" s="13">
        <f t="shared" si="288"/>
        <v>4</v>
      </c>
      <c r="AZ1154" s="13" t="s">
        <v>1148</v>
      </c>
      <c r="BA1154" s="14">
        <f t="shared" si="289"/>
        <v>0</v>
      </c>
      <c r="BB1154" s="14" t="str">
        <f t="shared" si="290"/>
        <v>高顺魂珠-4 等级-0</v>
      </c>
      <c r="BC1154" s="25" t="s">
        <v>44</v>
      </c>
      <c r="BD1154" s="14">
        <f t="shared" si="291"/>
        <v>0</v>
      </c>
      <c r="BE1154" s="14">
        <f>SUMIFS(BD$4:BD1154,$AU$4:$AU1154,"="&amp;$AU1154,$AY$4:$AY1154,"="&amp;$AY1154)</f>
        <v>0</v>
      </c>
      <c r="BF1154" s="25" t="s">
        <v>1157</v>
      </c>
      <c r="BG1154" s="14">
        <f t="shared" si="292"/>
        <v>0</v>
      </c>
      <c r="BH1154" s="14">
        <f>SUMIFS(BG$4:BG1154,AU$4:AU1154,"="&amp;AU1154,AY$4:AY1154,"="&amp;AY1154)</f>
        <v>0</v>
      </c>
      <c r="BI1154" s="25" t="s">
        <v>1158</v>
      </c>
      <c r="BJ1154" s="14">
        <f t="shared" si="293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5"/>
        <v>15</v>
      </c>
      <c r="AV1155" s="14">
        <f t="shared" si="286"/>
        <v>202004</v>
      </c>
      <c r="AW1155" s="14">
        <f t="shared" si="287"/>
        <v>1102020</v>
      </c>
      <c r="AX1155" s="13" t="s">
        <v>1127</v>
      </c>
      <c r="AY1155" s="13">
        <f t="shared" si="288"/>
        <v>4</v>
      </c>
      <c r="AZ1155" s="13" t="s">
        <v>1148</v>
      </c>
      <c r="BA1155" s="14">
        <f t="shared" si="289"/>
        <v>1</v>
      </c>
      <c r="BB1155" s="14" t="str">
        <f t="shared" si="290"/>
        <v>高顺魂珠-4 等级-1</v>
      </c>
      <c r="BC1155" s="25" t="s">
        <v>44</v>
      </c>
      <c r="BD1155" s="14">
        <f t="shared" si="291"/>
        <v>110</v>
      </c>
      <c r="BE1155" s="14">
        <f>SUMIFS(BD$4:BD1155,$AU$4:$AU1155,"="&amp;$AU1155,$AY$4:$AY1155,"="&amp;$AY1155)</f>
        <v>110</v>
      </c>
      <c r="BF1155" s="25" t="s">
        <v>1157</v>
      </c>
      <c r="BG1155" s="14">
        <f t="shared" si="292"/>
        <v>50</v>
      </c>
      <c r="BH1155" s="14">
        <f>SUMIFS(BG$4:BG1155,AU$4:AU1155,"="&amp;AU1155,AY$4:AY1155,"="&amp;AY1155)</f>
        <v>50</v>
      </c>
      <c r="BI1155" s="25" t="s">
        <v>1158</v>
      </c>
      <c r="BJ1155" s="14">
        <f t="shared" si="293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5"/>
        <v>15</v>
      </c>
      <c r="AV1156" s="14">
        <f t="shared" si="286"/>
        <v>202004</v>
      </c>
      <c r="AW1156" s="14">
        <f t="shared" si="287"/>
        <v>1102020</v>
      </c>
      <c r="AX1156" s="13" t="s">
        <v>1127</v>
      </c>
      <c r="AY1156" s="13">
        <f t="shared" si="288"/>
        <v>4</v>
      </c>
      <c r="AZ1156" s="13" t="s">
        <v>1148</v>
      </c>
      <c r="BA1156" s="14">
        <f t="shared" si="289"/>
        <v>2</v>
      </c>
      <c r="BB1156" s="14" t="str">
        <f t="shared" si="290"/>
        <v>高顺魂珠-4 等级-2</v>
      </c>
      <c r="BC1156" s="25" t="s">
        <v>44</v>
      </c>
      <c r="BD1156" s="14">
        <f t="shared" si="291"/>
        <v>176</v>
      </c>
      <c r="BE1156" s="14">
        <f>SUMIFS(BD$4:BD1156,$AU$4:$AU1156,"="&amp;$AU1156,$AY$4:$AY1156,"="&amp;$AY1156)</f>
        <v>286</v>
      </c>
      <c r="BF1156" s="25" t="s">
        <v>1157</v>
      </c>
      <c r="BG1156" s="14">
        <f t="shared" si="292"/>
        <v>80</v>
      </c>
      <c r="BH1156" s="14">
        <f>SUMIFS(BG$4:BG1156,AU$4:AU1156,"="&amp;AU1156,AY$4:AY1156,"="&amp;AY1156)</f>
        <v>130</v>
      </c>
      <c r="BI1156" s="25" t="s">
        <v>1158</v>
      </c>
      <c r="BJ1156" s="14">
        <f t="shared" si="293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4">INT((AT1157-1)/80)+1</f>
        <v>15</v>
      </c>
      <c r="AV1157" s="14">
        <f t="shared" ref="AV1157:AV1220" si="295">INDEX($AJ$4:$AJ$203,(AU1157-1)*8+AY1157)</f>
        <v>202004</v>
      </c>
      <c r="AW1157" s="14">
        <f t="shared" ref="AW1157:AW1220" si="296">INDEX($W$4:$W$28,AU1157)</f>
        <v>1102020</v>
      </c>
      <c r="AX1157" s="13" t="s">
        <v>1127</v>
      </c>
      <c r="AY1157" s="13">
        <f t="shared" ref="AY1157:AY1220" si="297">INT(((AT1157-(AU1157-1)*80)-1)/10)+1</f>
        <v>4</v>
      </c>
      <c r="AZ1157" s="13" t="s">
        <v>1148</v>
      </c>
      <c r="BA1157" s="14">
        <f t="shared" ref="BA1157:BA1220" si="298">AT1157-(AU1157-1)*80-(AY1157-1)*10-1</f>
        <v>3</v>
      </c>
      <c r="BB1157" s="14" t="str">
        <f t="shared" ref="BB1157:BB1220" si="299">INDEX($X$4:$X$28,AU1157)&amp;"魂珠-"&amp;AY1157&amp;" 等级-"&amp;BA1157</f>
        <v>高顺魂珠-4 等级-3</v>
      </c>
      <c r="BC1157" s="25" t="s">
        <v>44</v>
      </c>
      <c r="BD1157" s="14">
        <f t="shared" ref="BD1157:BD1220" si="300">ROUND(INDEX(Q$4:Q$83,($AY1157-1)*10+$BA1157+1)*INDEX(AC$4:AC$28,$AU1157),0)</f>
        <v>242</v>
      </c>
      <c r="BE1157" s="14">
        <f>SUMIFS(BD$4:BD1157,$AU$4:$AU1157,"="&amp;$AU1157,$AY$4:$AY1157,"="&amp;$AY1157)</f>
        <v>528</v>
      </c>
      <c r="BF1157" s="25" t="s">
        <v>1157</v>
      </c>
      <c r="BG1157" s="14">
        <f t="shared" ref="BG1157:BG1220" si="301">ROUND(INDEX(R$4:R$83,($AY1157-1)*10+$BA1157+1)*INDEX(AD$4:AD$28,$AU1157),0)</f>
        <v>110</v>
      </c>
      <c r="BH1157" s="14">
        <f>SUMIFS(BG$4:BG1157,AU$4:AU1157,"="&amp;AU1157,AY$4:AY1157,"="&amp;AY1157)</f>
        <v>240</v>
      </c>
      <c r="BI1157" s="25" t="s">
        <v>1158</v>
      </c>
      <c r="BJ1157" s="14">
        <f t="shared" ref="BJ1157:BJ1220" si="302">ROUND(INDEX(S$4:S$83,($AY1157-1)*10+$BA1157+1)*INDEX(AE$4:AE$28,$AU1157),0)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4"/>
        <v>15</v>
      </c>
      <c r="AV1158" s="14">
        <f t="shared" si="295"/>
        <v>202004</v>
      </c>
      <c r="AW1158" s="14">
        <f t="shared" si="296"/>
        <v>1102020</v>
      </c>
      <c r="AX1158" s="13" t="s">
        <v>1127</v>
      </c>
      <c r="AY1158" s="13">
        <f t="shared" si="297"/>
        <v>4</v>
      </c>
      <c r="AZ1158" s="13" t="s">
        <v>1148</v>
      </c>
      <c r="BA1158" s="14">
        <f t="shared" si="298"/>
        <v>4</v>
      </c>
      <c r="BB1158" s="14" t="str">
        <f t="shared" si="299"/>
        <v>高顺魂珠-4 等级-4</v>
      </c>
      <c r="BC1158" s="25" t="s">
        <v>44</v>
      </c>
      <c r="BD1158" s="14">
        <f t="shared" si="300"/>
        <v>352</v>
      </c>
      <c r="BE1158" s="14">
        <f>SUMIFS(BD$4:BD1158,$AU$4:$AU1158,"="&amp;$AU1158,$AY$4:$AY1158,"="&amp;$AY1158)</f>
        <v>880</v>
      </c>
      <c r="BF1158" s="25" t="s">
        <v>1157</v>
      </c>
      <c r="BG1158" s="14">
        <f t="shared" si="301"/>
        <v>160</v>
      </c>
      <c r="BH1158" s="14">
        <f>SUMIFS(BG$4:BG1158,AU$4:AU1158,"="&amp;AU1158,AY$4:AY1158,"="&amp;AY1158)</f>
        <v>400</v>
      </c>
      <c r="BI1158" s="25" t="s">
        <v>1158</v>
      </c>
      <c r="BJ1158" s="14">
        <f t="shared" si="302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4"/>
        <v>15</v>
      </c>
      <c r="AV1159" s="14">
        <f t="shared" si="295"/>
        <v>202004</v>
      </c>
      <c r="AW1159" s="14">
        <f t="shared" si="296"/>
        <v>1102020</v>
      </c>
      <c r="AX1159" s="13" t="s">
        <v>1127</v>
      </c>
      <c r="AY1159" s="13">
        <f t="shared" si="297"/>
        <v>4</v>
      </c>
      <c r="AZ1159" s="13" t="s">
        <v>1148</v>
      </c>
      <c r="BA1159" s="14">
        <f t="shared" si="298"/>
        <v>5</v>
      </c>
      <c r="BB1159" s="14" t="str">
        <f t="shared" si="299"/>
        <v>高顺魂珠-4 等级-5</v>
      </c>
      <c r="BC1159" s="25" t="s">
        <v>44</v>
      </c>
      <c r="BD1159" s="14">
        <f t="shared" si="300"/>
        <v>462</v>
      </c>
      <c r="BE1159" s="14">
        <f>SUMIFS(BD$4:BD1159,$AU$4:$AU1159,"="&amp;$AU1159,$AY$4:$AY1159,"="&amp;$AY1159)</f>
        <v>1342</v>
      </c>
      <c r="BF1159" s="25" t="s">
        <v>1157</v>
      </c>
      <c r="BG1159" s="14">
        <f t="shared" si="301"/>
        <v>210</v>
      </c>
      <c r="BH1159" s="14">
        <f>SUMIFS(BG$4:BG1159,AU$4:AU1159,"="&amp;AU1159,AY$4:AY1159,"="&amp;AY1159)</f>
        <v>610</v>
      </c>
      <c r="BI1159" s="25" t="s">
        <v>1158</v>
      </c>
      <c r="BJ1159" s="14">
        <f t="shared" si="302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4"/>
        <v>15</v>
      </c>
      <c r="AV1160" s="14">
        <f t="shared" si="295"/>
        <v>202004</v>
      </c>
      <c r="AW1160" s="14">
        <f t="shared" si="296"/>
        <v>1102020</v>
      </c>
      <c r="AX1160" s="13" t="s">
        <v>1127</v>
      </c>
      <c r="AY1160" s="13">
        <f t="shared" si="297"/>
        <v>4</v>
      </c>
      <c r="AZ1160" s="13" t="s">
        <v>1148</v>
      </c>
      <c r="BA1160" s="14">
        <f t="shared" si="298"/>
        <v>6</v>
      </c>
      <c r="BB1160" s="14" t="str">
        <f t="shared" si="299"/>
        <v>高顺魂珠-4 等级-6</v>
      </c>
      <c r="BC1160" s="25" t="s">
        <v>44</v>
      </c>
      <c r="BD1160" s="14">
        <f t="shared" si="300"/>
        <v>605</v>
      </c>
      <c r="BE1160" s="14">
        <f>SUMIFS(BD$4:BD1160,$AU$4:$AU1160,"="&amp;$AU1160,$AY$4:$AY1160,"="&amp;$AY1160)</f>
        <v>1947</v>
      </c>
      <c r="BF1160" s="25" t="s">
        <v>1157</v>
      </c>
      <c r="BG1160" s="14">
        <f t="shared" si="301"/>
        <v>275</v>
      </c>
      <c r="BH1160" s="14">
        <f>SUMIFS(BG$4:BG1160,AU$4:AU1160,"="&amp;AU1160,AY$4:AY1160,"="&amp;AY1160)</f>
        <v>885</v>
      </c>
      <c r="BI1160" s="25" t="s">
        <v>1158</v>
      </c>
      <c r="BJ1160" s="14">
        <f t="shared" si="302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4"/>
        <v>15</v>
      </c>
      <c r="AV1161" s="14">
        <f t="shared" si="295"/>
        <v>202004</v>
      </c>
      <c r="AW1161" s="14">
        <f t="shared" si="296"/>
        <v>1102020</v>
      </c>
      <c r="AX1161" s="13" t="s">
        <v>1127</v>
      </c>
      <c r="AY1161" s="13">
        <f t="shared" si="297"/>
        <v>4</v>
      </c>
      <c r="AZ1161" s="13" t="s">
        <v>1148</v>
      </c>
      <c r="BA1161" s="14">
        <f t="shared" si="298"/>
        <v>7</v>
      </c>
      <c r="BB1161" s="14" t="str">
        <f t="shared" si="299"/>
        <v>高顺魂珠-4 等级-7</v>
      </c>
      <c r="BC1161" s="25" t="s">
        <v>44</v>
      </c>
      <c r="BD1161" s="14">
        <f t="shared" si="300"/>
        <v>715</v>
      </c>
      <c r="BE1161" s="14">
        <f>SUMIFS(BD$4:BD1161,$AU$4:$AU1161,"="&amp;$AU1161,$AY$4:$AY1161,"="&amp;$AY1161)</f>
        <v>2662</v>
      </c>
      <c r="BF1161" s="25" t="s">
        <v>1157</v>
      </c>
      <c r="BG1161" s="14">
        <f t="shared" si="301"/>
        <v>325</v>
      </c>
      <c r="BH1161" s="14">
        <f>SUMIFS(BG$4:BG1161,AU$4:AU1161,"="&amp;AU1161,AY$4:AY1161,"="&amp;AY1161)</f>
        <v>1210</v>
      </c>
      <c r="BI1161" s="25" t="s">
        <v>1158</v>
      </c>
      <c r="BJ1161" s="14">
        <f t="shared" si="302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4"/>
        <v>15</v>
      </c>
      <c r="AV1162" s="14">
        <f t="shared" si="295"/>
        <v>202004</v>
      </c>
      <c r="AW1162" s="14">
        <f t="shared" si="296"/>
        <v>1102020</v>
      </c>
      <c r="AX1162" s="13" t="s">
        <v>1127</v>
      </c>
      <c r="AY1162" s="13">
        <f t="shared" si="297"/>
        <v>4</v>
      </c>
      <c r="AZ1162" s="13" t="s">
        <v>1148</v>
      </c>
      <c r="BA1162" s="14">
        <f t="shared" si="298"/>
        <v>8</v>
      </c>
      <c r="BB1162" s="14" t="str">
        <f t="shared" si="299"/>
        <v>高顺魂珠-4 等级-8</v>
      </c>
      <c r="BC1162" s="25" t="s">
        <v>44</v>
      </c>
      <c r="BD1162" s="14">
        <f t="shared" si="300"/>
        <v>825</v>
      </c>
      <c r="BE1162" s="14">
        <f>SUMIFS(BD$4:BD1162,$AU$4:$AU1162,"="&amp;$AU1162,$AY$4:$AY1162,"="&amp;$AY1162)</f>
        <v>3487</v>
      </c>
      <c r="BF1162" s="25" t="s">
        <v>1157</v>
      </c>
      <c r="BG1162" s="14">
        <f t="shared" si="301"/>
        <v>375</v>
      </c>
      <c r="BH1162" s="14">
        <f>SUMIFS(BG$4:BG1162,AU$4:AU1162,"="&amp;AU1162,AY$4:AY1162,"="&amp;AY1162)</f>
        <v>1585</v>
      </c>
      <c r="BI1162" s="25" t="s">
        <v>1158</v>
      </c>
      <c r="BJ1162" s="14">
        <f t="shared" si="302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4"/>
        <v>15</v>
      </c>
      <c r="AV1163" s="14">
        <f t="shared" si="295"/>
        <v>202004</v>
      </c>
      <c r="AW1163" s="14">
        <f t="shared" si="296"/>
        <v>1102020</v>
      </c>
      <c r="AX1163" s="13" t="s">
        <v>1127</v>
      </c>
      <c r="AY1163" s="13">
        <f t="shared" si="297"/>
        <v>4</v>
      </c>
      <c r="AZ1163" s="13" t="s">
        <v>1148</v>
      </c>
      <c r="BA1163" s="14">
        <f t="shared" si="298"/>
        <v>9</v>
      </c>
      <c r="BB1163" s="14" t="str">
        <f t="shared" si="299"/>
        <v>高顺魂珠-4 等级-9</v>
      </c>
      <c r="BC1163" s="25" t="s">
        <v>44</v>
      </c>
      <c r="BD1163" s="14">
        <f t="shared" si="300"/>
        <v>935</v>
      </c>
      <c r="BE1163" s="14">
        <f>SUMIFS(BD$4:BD1163,$AU$4:$AU1163,"="&amp;$AU1163,$AY$4:$AY1163,"="&amp;$AY1163)</f>
        <v>4422</v>
      </c>
      <c r="BF1163" s="25" t="s">
        <v>1157</v>
      </c>
      <c r="BG1163" s="14">
        <f t="shared" si="301"/>
        <v>425</v>
      </c>
      <c r="BH1163" s="14">
        <f>SUMIFS(BG$4:BG1163,AU$4:AU1163,"="&amp;AU1163,AY$4:AY1163,"="&amp;AY1163)</f>
        <v>2010</v>
      </c>
      <c r="BI1163" s="25" t="s">
        <v>1158</v>
      </c>
      <c r="BJ1163" s="14">
        <f t="shared" si="302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4"/>
        <v>15</v>
      </c>
      <c r="AV1164" s="14">
        <f t="shared" si="295"/>
        <v>202005</v>
      </c>
      <c r="AW1164" s="14">
        <f t="shared" si="296"/>
        <v>1102020</v>
      </c>
      <c r="AX1164" s="13" t="s">
        <v>1127</v>
      </c>
      <c r="AY1164" s="13">
        <f t="shared" si="297"/>
        <v>5</v>
      </c>
      <c r="AZ1164" s="13" t="s">
        <v>1148</v>
      </c>
      <c r="BA1164" s="14">
        <f t="shared" si="298"/>
        <v>0</v>
      </c>
      <c r="BB1164" s="14" t="str">
        <f t="shared" si="299"/>
        <v>高顺魂珠-5 等级-0</v>
      </c>
      <c r="BC1164" s="25" t="s">
        <v>44</v>
      </c>
      <c r="BD1164" s="14">
        <f t="shared" si="300"/>
        <v>0</v>
      </c>
      <c r="BE1164" s="14">
        <f>SUMIFS(BD$4:BD1164,$AU$4:$AU1164,"="&amp;$AU1164,$AY$4:$AY1164,"="&amp;$AY1164)</f>
        <v>0</v>
      </c>
      <c r="BF1164" s="25" t="s">
        <v>1157</v>
      </c>
      <c r="BG1164" s="14">
        <f t="shared" si="301"/>
        <v>0</v>
      </c>
      <c r="BH1164" s="14">
        <f>SUMIFS(BG$4:BG1164,AU$4:AU1164,"="&amp;AU1164,AY$4:AY1164,"="&amp;AY1164)</f>
        <v>0</v>
      </c>
      <c r="BI1164" s="25" t="s">
        <v>1158</v>
      </c>
      <c r="BJ1164" s="14">
        <f t="shared" si="302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4"/>
        <v>15</v>
      </c>
      <c r="AV1165" s="14">
        <f t="shared" si="295"/>
        <v>202005</v>
      </c>
      <c r="AW1165" s="14">
        <f t="shared" si="296"/>
        <v>1102020</v>
      </c>
      <c r="AX1165" s="13" t="s">
        <v>1127</v>
      </c>
      <c r="AY1165" s="13">
        <f t="shared" si="297"/>
        <v>5</v>
      </c>
      <c r="AZ1165" s="13" t="s">
        <v>1148</v>
      </c>
      <c r="BA1165" s="14">
        <f t="shared" si="298"/>
        <v>1</v>
      </c>
      <c r="BB1165" s="14" t="str">
        <f t="shared" si="299"/>
        <v>高顺魂珠-5 等级-1</v>
      </c>
      <c r="BC1165" s="25" t="s">
        <v>44</v>
      </c>
      <c r="BD1165" s="14">
        <f t="shared" si="300"/>
        <v>154</v>
      </c>
      <c r="BE1165" s="14">
        <f>SUMIFS(BD$4:BD1165,$AU$4:$AU1165,"="&amp;$AU1165,$AY$4:$AY1165,"="&amp;$AY1165)</f>
        <v>154</v>
      </c>
      <c r="BF1165" s="25" t="s">
        <v>1157</v>
      </c>
      <c r="BG1165" s="14">
        <f t="shared" si="301"/>
        <v>70</v>
      </c>
      <c r="BH1165" s="14">
        <f>SUMIFS(BG$4:BG1165,AU$4:AU1165,"="&amp;AU1165,AY$4:AY1165,"="&amp;AY1165)</f>
        <v>70</v>
      </c>
      <c r="BI1165" s="25" t="s">
        <v>1158</v>
      </c>
      <c r="BJ1165" s="14">
        <f t="shared" si="302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4"/>
        <v>15</v>
      </c>
      <c r="AV1166" s="14">
        <f t="shared" si="295"/>
        <v>202005</v>
      </c>
      <c r="AW1166" s="14">
        <f t="shared" si="296"/>
        <v>1102020</v>
      </c>
      <c r="AX1166" s="13" t="s">
        <v>1127</v>
      </c>
      <c r="AY1166" s="13">
        <f t="shared" si="297"/>
        <v>5</v>
      </c>
      <c r="AZ1166" s="13" t="s">
        <v>1148</v>
      </c>
      <c r="BA1166" s="14">
        <f t="shared" si="298"/>
        <v>2</v>
      </c>
      <c r="BB1166" s="14" t="str">
        <f t="shared" si="299"/>
        <v>高顺魂珠-5 等级-2</v>
      </c>
      <c r="BC1166" s="25" t="s">
        <v>44</v>
      </c>
      <c r="BD1166" s="14">
        <f t="shared" si="300"/>
        <v>220</v>
      </c>
      <c r="BE1166" s="14">
        <f>SUMIFS(BD$4:BD1166,$AU$4:$AU1166,"="&amp;$AU1166,$AY$4:$AY1166,"="&amp;$AY1166)</f>
        <v>374</v>
      </c>
      <c r="BF1166" s="25" t="s">
        <v>1157</v>
      </c>
      <c r="BG1166" s="14">
        <f t="shared" si="301"/>
        <v>100</v>
      </c>
      <c r="BH1166" s="14">
        <f>SUMIFS(BG$4:BG1166,AU$4:AU1166,"="&amp;AU1166,AY$4:AY1166,"="&amp;AY1166)</f>
        <v>170</v>
      </c>
      <c r="BI1166" s="25" t="s">
        <v>1158</v>
      </c>
      <c r="BJ1166" s="14">
        <f t="shared" si="302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4"/>
        <v>15</v>
      </c>
      <c r="AV1167" s="14">
        <f t="shared" si="295"/>
        <v>202005</v>
      </c>
      <c r="AW1167" s="14">
        <f t="shared" si="296"/>
        <v>1102020</v>
      </c>
      <c r="AX1167" s="13" t="s">
        <v>1127</v>
      </c>
      <c r="AY1167" s="13">
        <f t="shared" si="297"/>
        <v>5</v>
      </c>
      <c r="AZ1167" s="13" t="s">
        <v>1148</v>
      </c>
      <c r="BA1167" s="14">
        <f t="shared" si="298"/>
        <v>3</v>
      </c>
      <c r="BB1167" s="14" t="str">
        <f t="shared" si="299"/>
        <v>高顺魂珠-5 等级-3</v>
      </c>
      <c r="BC1167" s="25" t="s">
        <v>44</v>
      </c>
      <c r="BD1167" s="14">
        <f t="shared" si="300"/>
        <v>286</v>
      </c>
      <c r="BE1167" s="14">
        <f>SUMIFS(BD$4:BD1167,$AU$4:$AU1167,"="&amp;$AU1167,$AY$4:$AY1167,"="&amp;$AY1167)</f>
        <v>660</v>
      </c>
      <c r="BF1167" s="25" t="s">
        <v>1157</v>
      </c>
      <c r="BG1167" s="14">
        <f t="shared" si="301"/>
        <v>130</v>
      </c>
      <c r="BH1167" s="14">
        <f>SUMIFS(BG$4:BG1167,AU$4:AU1167,"="&amp;AU1167,AY$4:AY1167,"="&amp;AY1167)</f>
        <v>300</v>
      </c>
      <c r="BI1167" s="25" t="s">
        <v>1158</v>
      </c>
      <c r="BJ1167" s="14">
        <f t="shared" si="302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4"/>
        <v>15</v>
      </c>
      <c r="AV1168" s="14">
        <f t="shared" si="295"/>
        <v>202005</v>
      </c>
      <c r="AW1168" s="14">
        <f t="shared" si="296"/>
        <v>1102020</v>
      </c>
      <c r="AX1168" s="13" t="s">
        <v>1127</v>
      </c>
      <c r="AY1168" s="13">
        <f t="shared" si="297"/>
        <v>5</v>
      </c>
      <c r="AZ1168" s="13" t="s">
        <v>1148</v>
      </c>
      <c r="BA1168" s="14">
        <f t="shared" si="298"/>
        <v>4</v>
      </c>
      <c r="BB1168" s="14" t="str">
        <f t="shared" si="299"/>
        <v>高顺魂珠-5 等级-4</v>
      </c>
      <c r="BC1168" s="25" t="s">
        <v>44</v>
      </c>
      <c r="BD1168" s="14">
        <f t="shared" si="300"/>
        <v>440</v>
      </c>
      <c r="BE1168" s="14">
        <f>SUMIFS(BD$4:BD1168,$AU$4:$AU1168,"="&amp;$AU1168,$AY$4:$AY1168,"="&amp;$AY1168)</f>
        <v>1100</v>
      </c>
      <c r="BF1168" s="25" t="s">
        <v>1157</v>
      </c>
      <c r="BG1168" s="14">
        <f t="shared" si="301"/>
        <v>200</v>
      </c>
      <c r="BH1168" s="14">
        <f>SUMIFS(BG$4:BG1168,AU$4:AU1168,"="&amp;AU1168,AY$4:AY1168,"="&amp;AY1168)</f>
        <v>500</v>
      </c>
      <c r="BI1168" s="25" t="s">
        <v>1158</v>
      </c>
      <c r="BJ1168" s="14">
        <f t="shared" si="302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4"/>
        <v>15</v>
      </c>
      <c r="AV1169" s="14">
        <f t="shared" si="295"/>
        <v>202005</v>
      </c>
      <c r="AW1169" s="14">
        <f t="shared" si="296"/>
        <v>1102020</v>
      </c>
      <c r="AX1169" s="13" t="s">
        <v>1127</v>
      </c>
      <c r="AY1169" s="13">
        <f t="shared" si="297"/>
        <v>5</v>
      </c>
      <c r="AZ1169" s="13" t="s">
        <v>1148</v>
      </c>
      <c r="BA1169" s="14">
        <f t="shared" si="298"/>
        <v>5</v>
      </c>
      <c r="BB1169" s="14" t="str">
        <f t="shared" si="299"/>
        <v>高顺魂珠-5 等级-5</v>
      </c>
      <c r="BC1169" s="25" t="s">
        <v>44</v>
      </c>
      <c r="BD1169" s="14">
        <f t="shared" si="300"/>
        <v>572</v>
      </c>
      <c r="BE1169" s="14">
        <f>SUMIFS(BD$4:BD1169,$AU$4:$AU1169,"="&amp;$AU1169,$AY$4:$AY1169,"="&amp;$AY1169)</f>
        <v>1672</v>
      </c>
      <c r="BF1169" s="25" t="s">
        <v>1157</v>
      </c>
      <c r="BG1169" s="14">
        <f t="shared" si="301"/>
        <v>260</v>
      </c>
      <c r="BH1169" s="14">
        <f>SUMIFS(BG$4:BG1169,AU$4:AU1169,"="&amp;AU1169,AY$4:AY1169,"="&amp;AY1169)</f>
        <v>760</v>
      </c>
      <c r="BI1169" s="25" t="s">
        <v>1158</v>
      </c>
      <c r="BJ1169" s="14">
        <f t="shared" si="302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4"/>
        <v>15</v>
      </c>
      <c r="AV1170" s="14">
        <f t="shared" si="295"/>
        <v>202005</v>
      </c>
      <c r="AW1170" s="14">
        <f t="shared" si="296"/>
        <v>1102020</v>
      </c>
      <c r="AX1170" s="13" t="s">
        <v>1127</v>
      </c>
      <c r="AY1170" s="13">
        <f t="shared" si="297"/>
        <v>5</v>
      </c>
      <c r="AZ1170" s="13" t="s">
        <v>1148</v>
      </c>
      <c r="BA1170" s="14">
        <f t="shared" si="298"/>
        <v>6</v>
      </c>
      <c r="BB1170" s="14" t="str">
        <f t="shared" si="299"/>
        <v>高顺魂珠-5 等级-6</v>
      </c>
      <c r="BC1170" s="25" t="s">
        <v>44</v>
      </c>
      <c r="BD1170" s="14">
        <f t="shared" si="300"/>
        <v>715</v>
      </c>
      <c r="BE1170" s="14">
        <f>SUMIFS(BD$4:BD1170,$AU$4:$AU1170,"="&amp;$AU1170,$AY$4:$AY1170,"="&amp;$AY1170)</f>
        <v>2387</v>
      </c>
      <c r="BF1170" s="25" t="s">
        <v>1157</v>
      </c>
      <c r="BG1170" s="14">
        <f t="shared" si="301"/>
        <v>325</v>
      </c>
      <c r="BH1170" s="14">
        <f>SUMIFS(BG$4:BG1170,AU$4:AU1170,"="&amp;AU1170,AY$4:AY1170,"="&amp;AY1170)</f>
        <v>1085</v>
      </c>
      <c r="BI1170" s="25" t="s">
        <v>1158</v>
      </c>
      <c r="BJ1170" s="14">
        <f t="shared" si="302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4"/>
        <v>15</v>
      </c>
      <c r="AV1171" s="14">
        <f t="shared" si="295"/>
        <v>202005</v>
      </c>
      <c r="AW1171" s="14">
        <f t="shared" si="296"/>
        <v>1102020</v>
      </c>
      <c r="AX1171" s="13" t="s">
        <v>1127</v>
      </c>
      <c r="AY1171" s="13">
        <f t="shared" si="297"/>
        <v>5</v>
      </c>
      <c r="AZ1171" s="13" t="s">
        <v>1148</v>
      </c>
      <c r="BA1171" s="14">
        <f t="shared" si="298"/>
        <v>7</v>
      </c>
      <c r="BB1171" s="14" t="str">
        <f t="shared" si="299"/>
        <v>高顺魂珠-5 等级-7</v>
      </c>
      <c r="BC1171" s="25" t="s">
        <v>44</v>
      </c>
      <c r="BD1171" s="14">
        <f t="shared" si="300"/>
        <v>880</v>
      </c>
      <c r="BE1171" s="14">
        <f>SUMIFS(BD$4:BD1171,$AU$4:$AU1171,"="&amp;$AU1171,$AY$4:$AY1171,"="&amp;$AY1171)</f>
        <v>3267</v>
      </c>
      <c r="BF1171" s="25" t="s">
        <v>1157</v>
      </c>
      <c r="BG1171" s="14">
        <f t="shared" si="301"/>
        <v>400</v>
      </c>
      <c r="BH1171" s="14">
        <f>SUMIFS(BG$4:BG1171,AU$4:AU1171,"="&amp;AU1171,AY$4:AY1171,"="&amp;AY1171)</f>
        <v>1485</v>
      </c>
      <c r="BI1171" s="25" t="s">
        <v>1158</v>
      </c>
      <c r="BJ1171" s="14">
        <f t="shared" si="302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4"/>
        <v>15</v>
      </c>
      <c r="AV1172" s="14">
        <f t="shared" si="295"/>
        <v>202005</v>
      </c>
      <c r="AW1172" s="14">
        <f t="shared" si="296"/>
        <v>1102020</v>
      </c>
      <c r="AX1172" s="13" t="s">
        <v>1127</v>
      </c>
      <c r="AY1172" s="13">
        <f t="shared" si="297"/>
        <v>5</v>
      </c>
      <c r="AZ1172" s="13" t="s">
        <v>1148</v>
      </c>
      <c r="BA1172" s="14">
        <f t="shared" si="298"/>
        <v>8</v>
      </c>
      <c r="BB1172" s="14" t="str">
        <f t="shared" si="299"/>
        <v>高顺魂珠-5 等级-8</v>
      </c>
      <c r="BC1172" s="25" t="s">
        <v>44</v>
      </c>
      <c r="BD1172" s="14">
        <f t="shared" si="300"/>
        <v>1045</v>
      </c>
      <c r="BE1172" s="14">
        <f>SUMIFS(BD$4:BD1172,$AU$4:$AU1172,"="&amp;$AU1172,$AY$4:$AY1172,"="&amp;$AY1172)</f>
        <v>4312</v>
      </c>
      <c r="BF1172" s="25" t="s">
        <v>1157</v>
      </c>
      <c r="BG1172" s="14">
        <f t="shared" si="301"/>
        <v>475</v>
      </c>
      <c r="BH1172" s="14">
        <f>SUMIFS(BG$4:BG1172,AU$4:AU1172,"="&amp;AU1172,AY$4:AY1172,"="&amp;AY1172)</f>
        <v>1960</v>
      </c>
      <c r="BI1172" s="25" t="s">
        <v>1158</v>
      </c>
      <c r="BJ1172" s="14">
        <f t="shared" si="302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4"/>
        <v>15</v>
      </c>
      <c r="AV1173" s="14">
        <f t="shared" si="295"/>
        <v>202005</v>
      </c>
      <c r="AW1173" s="14">
        <f t="shared" si="296"/>
        <v>1102020</v>
      </c>
      <c r="AX1173" s="13" t="s">
        <v>1127</v>
      </c>
      <c r="AY1173" s="13">
        <f t="shared" si="297"/>
        <v>5</v>
      </c>
      <c r="AZ1173" s="13" t="s">
        <v>1148</v>
      </c>
      <c r="BA1173" s="14">
        <f t="shared" si="298"/>
        <v>9</v>
      </c>
      <c r="BB1173" s="14" t="str">
        <f t="shared" si="299"/>
        <v>高顺魂珠-5 等级-9</v>
      </c>
      <c r="BC1173" s="25" t="s">
        <v>44</v>
      </c>
      <c r="BD1173" s="14">
        <f t="shared" si="300"/>
        <v>1210</v>
      </c>
      <c r="BE1173" s="14">
        <f>SUMIFS(BD$4:BD1173,$AU$4:$AU1173,"="&amp;$AU1173,$AY$4:$AY1173,"="&amp;$AY1173)</f>
        <v>5522</v>
      </c>
      <c r="BF1173" s="25" t="s">
        <v>1157</v>
      </c>
      <c r="BG1173" s="14">
        <f t="shared" si="301"/>
        <v>550</v>
      </c>
      <c r="BH1173" s="14">
        <f>SUMIFS(BG$4:BG1173,AU$4:AU1173,"="&amp;AU1173,AY$4:AY1173,"="&amp;AY1173)</f>
        <v>2510</v>
      </c>
      <c r="BI1173" s="25" t="s">
        <v>1158</v>
      </c>
      <c r="BJ1173" s="14">
        <f t="shared" si="302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4"/>
        <v>15</v>
      </c>
      <c r="AV1174" s="14">
        <f t="shared" si="295"/>
        <v>202006</v>
      </c>
      <c r="AW1174" s="14">
        <f t="shared" si="296"/>
        <v>1102020</v>
      </c>
      <c r="AX1174" s="13" t="s">
        <v>1127</v>
      </c>
      <c r="AY1174" s="13">
        <f t="shared" si="297"/>
        <v>6</v>
      </c>
      <c r="AZ1174" s="13" t="s">
        <v>1148</v>
      </c>
      <c r="BA1174" s="14">
        <f t="shared" si="298"/>
        <v>0</v>
      </c>
      <c r="BB1174" s="14" t="str">
        <f t="shared" si="299"/>
        <v>高顺魂珠-6 等级-0</v>
      </c>
      <c r="BC1174" s="25" t="s">
        <v>44</v>
      </c>
      <c r="BD1174" s="14">
        <f t="shared" si="300"/>
        <v>0</v>
      </c>
      <c r="BE1174" s="14">
        <f>SUMIFS(BD$4:BD1174,$AU$4:$AU1174,"="&amp;$AU1174,$AY$4:$AY1174,"="&amp;$AY1174)</f>
        <v>0</v>
      </c>
      <c r="BF1174" s="25" t="s">
        <v>1157</v>
      </c>
      <c r="BG1174" s="14">
        <f t="shared" si="301"/>
        <v>0</v>
      </c>
      <c r="BH1174" s="14">
        <f>SUMIFS(BG$4:BG1174,AU$4:AU1174,"="&amp;AU1174,AY$4:AY1174,"="&amp;AY1174)</f>
        <v>0</v>
      </c>
      <c r="BI1174" s="25" t="s">
        <v>1158</v>
      </c>
      <c r="BJ1174" s="14">
        <f t="shared" si="302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4"/>
        <v>15</v>
      </c>
      <c r="AV1175" s="14">
        <f t="shared" si="295"/>
        <v>202006</v>
      </c>
      <c r="AW1175" s="14">
        <f t="shared" si="296"/>
        <v>1102020</v>
      </c>
      <c r="AX1175" s="13" t="s">
        <v>1127</v>
      </c>
      <c r="AY1175" s="13">
        <f t="shared" si="297"/>
        <v>6</v>
      </c>
      <c r="AZ1175" s="13" t="s">
        <v>1148</v>
      </c>
      <c r="BA1175" s="14">
        <f t="shared" si="298"/>
        <v>1</v>
      </c>
      <c r="BB1175" s="14" t="str">
        <f t="shared" si="299"/>
        <v>高顺魂珠-6 等级-1</v>
      </c>
      <c r="BC1175" s="25" t="s">
        <v>44</v>
      </c>
      <c r="BD1175" s="14">
        <f t="shared" si="300"/>
        <v>198</v>
      </c>
      <c r="BE1175" s="14">
        <f>SUMIFS(BD$4:BD1175,$AU$4:$AU1175,"="&amp;$AU1175,$AY$4:$AY1175,"="&amp;$AY1175)</f>
        <v>198</v>
      </c>
      <c r="BF1175" s="25" t="s">
        <v>1157</v>
      </c>
      <c r="BG1175" s="14">
        <f t="shared" si="301"/>
        <v>90</v>
      </c>
      <c r="BH1175" s="14">
        <f>SUMIFS(BG$4:BG1175,AU$4:AU1175,"="&amp;AU1175,AY$4:AY1175,"="&amp;AY1175)</f>
        <v>90</v>
      </c>
      <c r="BI1175" s="25" t="s">
        <v>1158</v>
      </c>
      <c r="BJ1175" s="14">
        <f t="shared" si="302"/>
        <v>3600</v>
      </c>
      <c r="BK1175" s="14">
        <f>SUMIFS(BJ$4:BJ1175,$AU$4:$AU1175,"="&amp;$AU1175,$AY$4:$AY1175,"="&amp;$AY1175)</f>
        <v>3600</v>
      </c>
    </row>
    <row r="1176" spans="46:63" ht="16.5" x14ac:dyDescent="0.2">
      <c r="AT1176" s="13">
        <v>1173</v>
      </c>
      <c r="AU1176" s="13">
        <f t="shared" si="294"/>
        <v>15</v>
      </c>
      <c r="AV1176" s="14">
        <f t="shared" si="295"/>
        <v>202006</v>
      </c>
      <c r="AW1176" s="14">
        <f t="shared" si="296"/>
        <v>1102020</v>
      </c>
      <c r="AX1176" s="13" t="s">
        <v>1127</v>
      </c>
      <c r="AY1176" s="13">
        <f t="shared" si="297"/>
        <v>6</v>
      </c>
      <c r="AZ1176" s="13" t="s">
        <v>1148</v>
      </c>
      <c r="BA1176" s="14">
        <f t="shared" si="298"/>
        <v>2</v>
      </c>
      <c r="BB1176" s="14" t="str">
        <f t="shared" si="299"/>
        <v>高顺魂珠-6 等级-2</v>
      </c>
      <c r="BC1176" s="25" t="s">
        <v>44</v>
      </c>
      <c r="BD1176" s="14">
        <f t="shared" si="300"/>
        <v>308</v>
      </c>
      <c r="BE1176" s="14">
        <f>SUMIFS(BD$4:BD1176,$AU$4:$AU1176,"="&amp;$AU1176,$AY$4:$AY1176,"="&amp;$AY1176)</f>
        <v>506</v>
      </c>
      <c r="BF1176" s="25" t="s">
        <v>1157</v>
      </c>
      <c r="BG1176" s="14">
        <f t="shared" si="301"/>
        <v>140</v>
      </c>
      <c r="BH1176" s="14">
        <f>SUMIFS(BG$4:BG1176,AU$4:AU1176,"="&amp;AU1176,AY$4:AY1176,"="&amp;AY1176)</f>
        <v>230</v>
      </c>
      <c r="BI1176" s="25" t="s">
        <v>1158</v>
      </c>
      <c r="BJ1176" s="14">
        <f t="shared" si="302"/>
        <v>5600</v>
      </c>
      <c r="BK1176" s="14">
        <f>SUMIFS(BJ$4:BJ1176,$AU$4:$AU1176,"="&amp;$AU1176,$AY$4:$AY1176,"="&amp;$AY1176)</f>
        <v>9200</v>
      </c>
    </row>
    <row r="1177" spans="46:63" ht="16.5" x14ac:dyDescent="0.2">
      <c r="AT1177" s="13">
        <v>1174</v>
      </c>
      <c r="AU1177" s="13">
        <f t="shared" si="294"/>
        <v>15</v>
      </c>
      <c r="AV1177" s="14">
        <f t="shared" si="295"/>
        <v>202006</v>
      </c>
      <c r="AW1177" s="14">
        <f t="shared" si="296"/>
        <v>1102020</v>
      </c>
      <c r="AX1177" s="13" t="s">
        <v>1127</v>
      </c>
      <c r="AY1177" s="13">
        <f t="shared" si="297"/>
        <v>6</v>
      </c>
      <c r="AZ1177" s="13" t="s">
        <v>1148</v>
      </c>
      <c r="BA1177" s="14">
        <f t="shared" si="298"/>
        <v>3</v>
      </c>
      <c r="BB1177" s="14" t="str">
        <f t="shared" si="299"/>
        <v>高顺魂珠-6 等级-3</v>
      </c>
      <c r="BC1177" s="25" t="s">
        <v>44</v>
      </c>
      <c r="BD1177" s="14">
        <f t="shared" si="300"/>
        <v>413</v>
      </c>
      <c r="BE1177" s="14">
        <f>SUMIFS(BD$4:BD1177,$AU$4:$AU1177,"="&amp;$AU1177,$AY$4:$AY1177,"="&amp;$AY1177)</f>
        <v>919</v>
      </c>
      <c r="BF1177" s="25" t="s">
        <v>1157</v>
      </c>
      <c r="BG1177" s="14">
        <f t="shared" si="301"/>
        <v>188</v>
      </c>
      <c r="BH1177" s="14">
        <f>SUMIFS(BG$4:BG1177,AU$4:AU1177,"="&amp;AU1177,AY$4:AY1177,"="&amp;AY1177)</f>
        <v>418</v>
      </c>
      <c r="BI1177" s="25" t="s">
        <v>1158</v>
      </c>
      <c r="BJ1177" s="14">
        <f t="shared" si="302"/>
        <v>7500</v>
      </c>
      <c r="BK1177" s="14">
        <f>SUMIFS(BJ$4:BJ1177,$AU$4:$AU1177,"="&amp;$AU1177,$AY$4:$AY1177,"="&amp;$AY1177)</f>
        <v>16700</v>
      </c>
    </row>
    <row r="1178" spans="46:63" ht="16.5" x14ac:dyDescent="0.2">
      <c r="AT1178" s="13">
        <v>1175</v>
      </c>
      <c r="AU1178" s="13">
        <f t="shared" si="294"/>
        <v>15</v>
      </c>
      <c r="AV1178" s="14">
        <f t="shared" si="295"/>
        <v>202006</v>
      </c>
      <c r="AW1178" s="14">
        <f t="shared" si="296"/>
        <v>1102020</v>
      </c>
      <c r="AX1178" s="13" t="s">
        <v>1127</v>
      </c>
      <c r="AY1178" s="13">
        <f t="shared" si="297"/>
        <v>6</v>
      </c>
      <c r="AZ1178" s="13" t="s">
        <v>1148</v>
      </c>
      <c r="BA1178" s="14">
        <f t="shared" si="298"/>
        <v>4</v>
      </c>
      <c r="BB1178" s="14" t="str">
        <f t="shared" si="299"/>
        <v>高顺魂珠-6 等级-4</v>
      </c>
      <c r="BC1178" s="25" t="s">
        <v>44</v>
      </c>
      <c r="BD1178" s="14">
        <f t="shared" si="300"/>
        <v>616</v>
      </c>
      <c r="BE1178" s="14">
        <f>SUMIFS(BD$4:BD1178,$AU$4:$AU1178,"="&amp;$AU1178,$AY$4:$AY1178,"="&amp;$AY1178)</f>
        <v>1535</v>
      </c>
      <c r="BF1178" s="25" t="s">
        <v>1157</v>
      </c>
      <c r="BG1178" s="14">
        <f t="shared" si="301"/>
        <v>280</v>
      </c>
      <c r="BH1178" s="14">
        <f>SUMIFS(BG$4:BG1178,AU$4:AU1178,"="&amp;AU1178,AY$4:AY1178,"="&amp;AY1178)</f>
        <v>698</v>
      </c>
      <c r="BI1178" s="25" t="s">
        <v>1158</v>
      </c>
      <c r="BJ1178" s="14">
        <f t="shared" si="302"/>
        <v>11200</v>
      </c>
      <c r="BK1178" s="14">
        <f>SUMIFS(BJ$4:BJ1178,$AU$4:$AU1178,"="&amp;$AU1178,$AY$4:$AY1178,"="&amp;$AY1178)</f>
        <v>27900</v>
      </c>
    </row>
    <row r="1179" spans="46:63" ht="16.5" x14ac:dyDescent="0.2">
      <c r="AT1179" s="13">
        <v>1176</v>
      </c>
      <c r="AU1179" s="13">
        <f t="shared" si="294"/>
        <v>15</v>
      </c>
      <c r="AV1179" s="14">
        <f t="shared" si="295"/>
        <v>202006</v>
      </c>
      <c r="AW1179" s="14">
        <f t="shared" si="296"/>
        <v>1102020</v>
      </c>
      <c r="AX1179" s="13" t="s">
        <v>1127</v>
      </c>
      <c r="AY1179" s="13">
        <f t="shared" si="297"/>
        <v>6</v>
      </c>
      <c r="AZ1179" s="13" t="s">
        <v>1148</v>
      </c>
      <c r="BA1179" s="14">
        <f t="shared" si="298"/>
        <v>5</v>
      </c>
      <c r="BB1179" s="14" t="str">
        <f t="shared" si="299"/>
        <v>高顺魂珠-6 等级-5</v>
      </c>
      <c r="BC1179" s="25" t="s">
        <v>44</v>
      </c>
      <c r="BD1179" s="14">
        <f t="shared" si="300"/>
        <v>825</v>
      </c>
      <c r="BE1179" s="14">
        <f>SUMIFS(BD$4:BD1179,$AU$4:$AU1179,"="&amp;$AU1179,$AY$4:$AY1179,"="&amp;$AY1179)</f>
        <v>2360</v>
      </c>
      <c r="BF1179" s="25" t="s">
        <v>1157</v>
      </c>
      <c r="BG1179" s="14">
        <f t="shared" si="301"/>
        <v>375</v>
      </c>
      <c r="BH1179" s="14">
        <f>SUMIFS(BG$4:BG1179,AU$4:AU1179,"="&amp;AU1179,AY$4:AY1179,"="&amp;AY1179)</f>
        <v>1073</v>
      </c>
      <c r="BI1179" s="25" t="s">
        <v>1158</v>
      </c>
      <c r="BJ1179" s="14">
        <f t="shared" si="302"/>
        <v>15000</v>
      </c>
      <c r="BK1179" s="14">
        <f>SUMIFS(BJ$4:BJ1179,$AU$4:$AU1179,"="&amp;$AU1179,$AY$4:$AY1179,"="&amp;$AY1179)</f>
        <v>42900</v>
      </c>
    </row>
    <row r="1180" spans="46:63" ht="16.5" x14ac:dyDescent="0.2">
      <c r="AT1180" s="13">
        <v>1177</v>
      </c>
      <c r="AU1180" s="13">
        <f t="shared" si="294"/>
        <v>15</v>
      </c>
      <c r="AV1180" s="14">
        <f t="shared" si="295"/>
        <v>202006</v>
      </c>
      <c r="AW1180" s="14">
        <f t="shared" si="296"/>
        <v>1102020</v>
      </c>
      <c r="AX1180" s="13" t="s">
        <v>1127</v>
      </c>
      <c r="AY1180" s="13">
        <f t="shared" si="297"/>
        <v>6</v>
      </c>
      <c r="AZ1180" s="13" t="s">
        <v>1148</v>
      </c>
      <c r="BA1180" s="14">
        <f t="shared" si="298"/>
        <v>6</v>
      </c>
      <c r="BB1180" s="14" t="str">
        <f t="shared" si="299"/>
        <v>高顺魂珠-6 等级-6</v>
      </c>
      <c r="BC1180" s="25" t="s">
        <v>44</v>
      </c>
      <c r="BD1180" s="14">
        <f t="shared" si="300"/>
        <v>1045</v>
      </c>
      <c r="BE1180" s="14">
        <f>SUMIFS(BD$4:BD1180,$AU$4:$AU1180,"="&amp;$AU1180,$AY$4:$AY1180,"="&amp;$AY1180)</f>
        <v>3405</v>
      </c>
      <c r="BF1180" s="25" t="s">
        <v>1157</v>
      </c>
      <c r="BG1180" s="14">
        <f t="shared" si="301"/>
        <v>475</v>
      </c>
      <c r="BH1180" s="14">
        <f>SUMIFS(BG$4:BG1180,AU$4:AU1180,"="&amp;AU1180,AY$4:AY1180,"="&amp;AY1180)</f>
        <v>1548</v>
      </c>
      <c r="BI1180" s="25" t="s">
        <v>1158</v>
      </c>
      <c r="BJ1180" s="14">
        <f t="shared" si="302"/>
        <v>19000</v>
      </c>
      <c r="BK1180" s="14">
        <f>SUMIFS(BJ$4:BJ1180,$AU$4:$AU1180,"="&amp;$AU1180,$AY$4:$AY1180,"="&amp;$AY1180)</f>
        <v>61900</v>
      </c>
    </row>
    <row r="1181" spans="46:63" ht="16.5" x14ac:dyDescent="0.2">
      <c r="AT1181" s="13">
        <v>1178</v>
      </c>
      <c r="AU1181" s="13">
        <f t="shared" si="294"/>
        <v>15</v>
      </c>
      <c r="AV1181" s="14">
        <f t="shared" si="295"/>
        <v>202006</v>
      </c>
      <c r="AW1181" s="14">
        <f t="shared" si="296"/>
        <v>1102020</v>
      </c>
      <c r="AX1181" s="13" t="s">
        <v>1127</v>
      </c>
      <c r="AY1181" s="13">
        <f t="shared" si="297"/>
        <v>6</v>
      </c>
      <c r="AZ1181" s="13" t="s">
        <v>1148</v>
      </c>
      <c r="BA1181" s="14">
        <f t="shared" si="298"/>
        <v>7</v>
      </c>
      <c r="BB1181" s="14" t="str">
        <f t="shared" si="299"/>
        <v>高顺魂珠-6 等级-7</v>
      </c>
      <c r="BC1181" s="25" t="s">
        <v>44</v>
      </c>
      <c r="BD1181" s="14">
        <f t="shared" si="300"/>
        <v>1265</v>
      </c>
      <c r="BE1181" s="14">
        <f>SUMIFS(BD$4:BD1181,$AU$4:$AU1181,"="&amp;$AU1181,$AY$4:$AY1181,"="&amp;$AY1181)</f>
        <v>4670</v>
      </c>
      <c r="BF1181" s="25" t="s">
        <v>1157</v>
      </c>
      <c r="BG1181" s="14">
        <f t="shared" si="301"/>
        <v>575</v>
      </c>
      <c r="BH1181" s="14">
        <f>SUMIFS(BG$4:BG1181,AU$4:AU1181,"="&amp;AU1181,AY$4:AY1181,"="&amp;AY1181)</f>
        <v>2123</v>
      </c>
      <c r="BI1181" s="25" t="s">
        <v>1158</v>
      </c>
      <c r="BJ1181" s="14">
        <f t="shared" si="302"/>
        <v>23000</v>
      </c>
      <c r="BK1181" s="14">
        <f>SUMIFS(BJ$4:BJ1181,$AU$4:$AU1181,"="&amp;$AU1181,$AY$4:$AY1181,"="&amp;$AY1181)</f>
        <v>84900</v>
      </c>
    </row>
    <row r="1182" spans="46:63" ht="16.5" x14ac:dyDescent="0.2">
      <c r="AT1182" s="13">
        <v>1179</v>
      </c>
      <c r="AU1182" s="13">
        <f t="shared" si="294"/>
        <v>15</v>
      </c>
      <c r="AV1182" s="14">
        <f t="shared" si="295"/>
        <v>202006</v>
      </c>
      <c r="AW1182" s="14">
        <f t="shared" si="296"/>
        <v>1102020</v>
      </c>
      <c r="AX1182" s="13" t="s">
        <v>1127</v>
      </c>
      <c r="AY1182" s="13">
        <f t="shared" si="297"/>
        <v>6</v>
      </c>
      <c r="AZ1182" s="13" t="s">
        <v>1148</v>
      </c>
      <c r="BA1182" s="14">
        <f t="shared" si="298"/>
        <v>8</v>
      </c>
      <c r="BB1182" s="14" t="str">
        <f t="shared" si="299"/>
        <v>高顺魂珠-6 等级-8</v>
      </c>
      <c r="BC1182" s="25" t="s">
        <v>44</v>
      </c>
      <c r="BD1182" s="14">
        <f t="shared" si="300"/>
        <v>1430</v>
      </c>
      <c r="BE1182" s="14">
        <f>SUMIFS(BD$4:BD1182,$AU$4:$AU1182,"="&amp;$AU1182,$AY$4:$AY1182,"="&amp;$AY1182)</f>
        <v>6100</v>
      </c>
      <c r="BF1182" s="25" t="s">
        <v>1157</v>
      </c>
      <c r="BG1182" s="14">
        <f t="shared" si="301"/>
        <v>650</v>
      </c>
      <c r="BH1182" s="14">
        <f>SUMIFS(BG$4:BG1182,AU$4:AU1182,"="&amp;AU1182,AY$4:AY1182,"="&amp;AY1182)</f>
        <v>2773</v>
      </c>
      <c r="BI1182" s="25" t="s">
        <v>1158</v>
      </c>
      <c r="BJ1182" s="14">
        <f t="shared" si="302"/>
        <v>26000</v>
      </c>
      <c r="BK1182" s="14">
        <f>SUMIFS(BJ$4:BJ1182,$AU$4:$AU1182,"="&amp;$AU1182,$AY$4:$AY1182,"="&amp;$AY1182)</f>
        <v>110900</v>
      </c>
    </row>
    <row r="1183" spans="46:63" ht="16.5" x14ac:dyDescent="0.2">
      <c r="AT1183" s="13">
        <v>1180</v>
      </c>
      <c r="AU1183" s="13">
        <f t="shared" si="294"/>
        <v>15</v>
      </c>
      <c r="AV1183" s="14">
        <f t="shared" si="295"/>
        <v>202006</v>
      </c>
      <c r="AW1183" s="14">
        <f t="shared" si="296"/>
        <v>1102020</v>
      </c>
      <c r="AX1183" s="13" t="s">
        <v>1127</v>
      </c>
      <c r="AY1183" s="13">
        <f t="shared" si="297"/>
        <v>6</v>
      </c>
      <c r="AZ1183" s="13" t="s">
        <v>1148</v>
      </c>
      <c r="BA1183" s="14">
        <f t="shared" si="298"/>
        <v>9</v>
      </c>
      <c r="BB1183" s="14" t="str">
        <f t="shared" si="299"/>
        <v>高顺魂珠-6 等级-9</v>
      </c>
      <c r="BC1183" s="25" t="s">
        <v>44</v>
      </c>
      <c r="BD1183" s="14">
        <f t="shared" si="300"/>
        <v>1650</v>
      </c>
      <c r="BE1183" s="14">
        <f>SUMIFS(BD$4:BD1183,$AU$4:$AU1183,"="&amp;$AU1183,$AY$4:$AY1183,"="&amp;$AY1183)</f>
        <v>7750</v>
      </c>
      <c r="BF1183" s="25" t="s">
        <v>1157</v>
      </c>
      <c r="BG1183" s="14">
        <f t="shared" si="301"/>
        <v>750</v>
      </c>
      <c r="BH1183" s="14">
        <f>SUMIFS(BG$4:BG1183,AU$4:AU1183,"="&amp;AU1183,AY$4:AY1183,"="&amp;AY1183)</f>
        <v>3523</v>
      </c>
      <c r="BI1183" s="25" t="s">
        <v>1158</v>
      </c>
      <c r="BJ1183" s="14">
        <f t="shared" si="302"/>
        <v>30000</v>
      </c>
      <c r="BK1183" s="14">
        <f>SUMIFS(BJ$4:BJ1183,$AU$4:$AU1183,"="&amp;$AU1183,$AY$4:$AY1183,"="&amp;$AY1183)</f>
        <v>140900</v>
      </c>
    </row>
    <row r="1184" spans="46:63" ht="16.5" x14ac:dyDescent="0.2">
      <c r="AT1184" s="13">
        <v>1181</v>
      </c>
      <c r="AU1184" s="13">
        <f t="shared" si="294"/>
        <v>15</v>
      </c>
      <c r="AV1184" s="14">
        <f t="shared" si="295"/>
        <v>202007</v>
      </c>
      <c r="AW1184" s="14">
        <f t="shared" si="296"/>
        <v>1102020</v>
      </c>
      <c r="AX1184" s="13" t="s">
        <v>1127</v>
      </c>
      <c r="AY1184" s="13">
        <f t="shared" si="297"/>
        <v>7</v>
      </c>
      <c r="AZ1184" s="13" t="s">
        <v>1148</v>
      </c>
      <c r="BA1184" s="14">
        <f t="shared" si="298"/>
        <v>0</v>
      </c>
      <c r="BB1184" s="14" t="str">
        <f t="shared" si="299"/>
        <v>高顺魂珠-7 等级-0</v>
      </c>
      <c r="BC1184" s="25" t="s">
        <v>44</v>
      </c>
      <c r="BD1184" s="14">
        <f t="shared" si="300"/>
        <v>0</v>
      </c>
      <c r="BE1184" s="14">
        <f>SUMIFS(BD$4:BD1184,$AU$4:$AU1184,"="&amp;$AU1184,$AY$4:$AY1184,"="&amp;$AY1184)</f>
        <v>0</v>
      </c>
      <c r="BF1184" s="25" t="s">
        <v>1157</v>
      </c>
      <c r="BG1184" s="14">
        <f t="shared" si="301"/>
        <v>0</v>
      </c>
      <c r="BH1184" s="14">
        <f>SUMIFS(BG$4:BG1184,AU$4:AU1184,"="&amp;AU1184,AY$4:AY1184,"="&amp;AY1184)</f>
        <v>0</v>
      </c>
      <c r="BI1184" s="25" t="s">
        <v>1158</v>
      </c>
      <c r="BJ1184" s="14">
        <f t="shared" si="302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4"/>
        <v>15</v>
      </c>
      <c r="AV1185" s="14">
        <f t="shared" si="295"/>
        <v>202007</v>
      </c>
      <c r="AW1185" s="14">
        <f t="shared" si="296"/>
        <v>1102020</v>
      </c>
      <c r="AX1185" s="13" t="s">
        <v>1127</v>
      </c>
      <c r="AY1185" s="13">
        <f t="shared" si="297"/>
        <v>7</v>
      </c>
      <c r="AZ1185" s="13" t="s">
        <v>1148</v>
      </c>
      <c r="BA1185" s="14">
        <f t="shared" si="298"/>
        <v>1</v>
      </c>
      <c r="BB1185" s="14" t="str">
        <f t="shared" si="299"/>
        <v>高顺魂珠-7 等级-1</v>
      </c>
      <c r="BC1185" s="25" t="s">
        <v>44</v>
      </c>
      <c r="BD1185" s="14">
        <f t="shared" si="300"/>
        <v>264</v>
      </c>
      <c r="BE1185" s="14">
        <f>SUMIFS(BD$4:BD1185,$AU$4:$AU1185,"="&amp;$AU1185,$AY$4:$AY1185,"="&amp;$AY1185)</f>
        <v>264</v>
      </c>
      <c r="BF1185" s="25" t="s">
        <v>1157</v>
      </c>
      <c r="BG1185" s="14">
        <f t="shared" si="301"/>
        <v>120</v>
      </c>
      <c r="BH1185" s="14">
        <f>SUMIFS(BG$4:BG1185,AU$4:AU1185,"="&amp;AU1185,AY$4:AY1185,"="&amp;AY1185)</f>
        <v>120</v>
      </c>
      <c r="BI1185" s="25" t="s">
        <v>1158</v>
      </c>
      <c r="BJ1185" s="14">
        <f t="shared" si="302"/>
        <v>4800</v>
      </c>
      <c r="BK1185" s="14">
        <f>SUMIFS(BJ$4:BJ1185,$AU$4:$AU1185,"="&amp;$AU1185,$AY$4:$AY1185,"="&amp;$AY1185)</f>
        <v>4800</v>
      </c>
    </row>
    <row r="1186" spans="46:63" ht="16.5" x14ac:dyDescent="0.2">
      <c r="AT1186" s="13">
        <v>1183</v>
      </c>
      <c r="AU1186" s="13">
        <f t="shared" si="294"/>
        <v>15</v>
      </c>
      <c r="AV1186" s="14">
        <f t="shared" si="295"/>
        <v>202007</v>
      </c>
      <c r="AW1186" s="14">
        <f t="shared" si="296"/>
        <v>1102020</v>
      </c>
      <c r="AX1186" s="13" t="s">
        <v>1127</v>
      </c>
      <c r="AY1186" s="13">
        <f t="shared" si="297"/>
        <v>7</v>
      </c>
      <c r="AZ1186" s="13" t="s">
        <v>1148</v>
      </c>
      <c r="BA1186" s="14">
        <f t="shared" si="298"/>
        <v>2</v>
      </c>
      <c r="BB1186" s="14" t="str">
        <f t="shared" si="299"/>
        <v>高顺魂珠-7 等级-2</v>
      </c>
      <c r="BC1186" s="25" t="s">
        <v>44</v>
      </c>
      <c r="BD1186" s="14">
        <f t="shared" si="300"/>
        <v>396</v>
      </c>
      <c r="BE1186" s="14">
        <f>SUMIFS(BD$4:BD1186,$AU$4:$AU1186,"="&amp;$AU1186,$AY$4:$AY1186,"="&amp;$AY1186)</f>
        <v>660</v>
      </c>
      <c r="BF1186" s="25" t="s">
        <v>1157</v>
      </c>
      <c r="BG1186" s="14">
        <f t="shared" si="301"/>
        <v>180</v>
      </c>
      <c r="BH1186" s="14">
        <f>SUMIFS(BG$4:BG1186,AU$4:AU1186,"="&amp;AU1186,AY$4:AY1186,"="&amp;AY1186)</f>
        <v>300</v>
      </c>
      <c r="BI1186" s="25" t="s">
        <v>1158</v>
      </c>
      <c r="BJ1186" s="14">
        <f t="shared" si="302"/>
        <v>7200</v>
      </c>
      <c r="BK1186" s="14">
        <f>SUMIFS(BJ$4:BJ1186,$AU$4:$AU1186,"="&amp;$AU1186,$AY$4:$AY1186,"="&amp;$AY1186)</f>
        <v>12000</v>
      </c>
    </row>
    <row r="1187" spans="46:63" ht="16.5" x14ac:dyDescent="0.2">
      <c r="AT1187" s="13">
        <v>1184</v>
      </c>
      <c r="AU1187" s="13">
        <f t="shared" si="294"/>
        <v>15</v>
      </c>
      <c r="AV1187" s="14">
        <f t="shared" si="295"/>
        <v>202007</v>
      </c>
      <c r="AW1187" s="14">
        <f t="shared" si="296"/>
        <v>1102020</v>
      </c>
      <c r="AX1187" s="13" t="s">
        <v>1127</v>
      </c>
      <c r="AY1187" s="13">
        <f t="shared" si="297"/>
        <v>7</v>
      </c>
      <c r="AZ1187" s="13" t="s">
        <v>1148</v>
      </c>
      <c r="BA1187" s="14">
        <f t="shared" si="298"/>
        <v>3</v>
      </c>
      <c r="BB1187" s="14" t="str">
        <f t="shared" si="299"/>
        <v>高顺魂珠-7 等级-3</v>
      </c>
      <c r="BC1187" s="25" t="s">
        <v>44</v>
      </c>
      <c r="BD1187" s="14">
        <f t="shared" si="300"/>
        <v>528</v>
      </c>
      <c r="BE1187" s="14">
        <f>SUMIFS(BD$4:BD1187,$AU$4:$AU1187,"="&amp;$AU1187,$AY$4:$AY1187,"="&amp;$AY1187)</f>
        <v>1188</v>
      </c>
      <c r="BF1187" s="25" t="s">
        <v>1157</v>
      </c>
      <c r="BG1187" s="14">
        <f t="shared" si="301"/>
        <v>240</v>
      </c>
      <c r="BH1187" s="14">
        <f>SUMIFS(BG$4:BG1187,AU$4:AU1187,"="&amp;AU1187,AY$4:AY1187,"="&amp;AY1187)</f>
        <v>540</v>
      </c>
      <c r="BI1187" s="25" t="s">
        <v>1158</v>
      </c>
      <c r="BJ1187" s="14">
        <f t="shared" si="302"/>
        <v>9600</v>
      </c>
      <c r="BK1187" s="14">
        <f>SUMIFS(BJ$4:BJ1187,$AU$4:$AU1187,"="&amp;$AU1187,$AY$4:$AY1187,"="&amp;$AY1187)</f>
        <v>21600</v>
      </c>
    </row>
    <row r="1188" spans="46:63" ht="16.5" x14ac:dyDescent="0.2">
      <c r="AT1188" s="13">
        <v>1185</v>
      </c>
      <c r="AU1188" s="13">
        <f t="shared" si="294"/>
        <v>15</v>
      </c>
      <c r="AV1188" s="14">
        <f t="shared" si="295"/>
        <v>202007</v>
      </c>
      <c r="AW1188" s="14">
        <f t="shared" si="296"/>
        <v>1102020</v>
      </c>
      <c r="AX1188" s="13" t="s">
        <v>1127</v>
      </c>
      <c r="AY1188" s="13">
        <f t="shared" si="297"/>
        <v>7</v>
      </c>
      <c r="AZ1188" s="13" t="s">
        <v>1148</v>
      </c>
      <c r="BA1188" s="14">
        <f t="shared" si="298"/>
        <v>4</v>
      </c>
      <c r="BB1188" s="14" t="str">
        <f t="shared" si="299"/>
        <v>高顺魂珠-7 等级-4</v>
      </c>
      <c r="BC1188" s="25" t="s">
        <v>44</v>
      </c>
      <c r="BD1188" s="14">
        <f t="shared" si="300"/>
        <v>792</v>
      </c>
      <c r="BE1188" s="14">
        <f>SUMIFS(BD$4:BD1188,$AU$4:$AU1188,"="&amp;$AU1188,$AY$4:$AY1188,"="&amp;$AY1188)</f>
        <v>1980</v>
      </c>
      <c r="BF1188" s="25" t="s">
        <v>1157</v>
      </c>
      <c r="BG1188" s="14">
        <f t="shared" si="301"/>
        <v>360</v>
      </c>
      <c r="BH1188" s="14">
        <f>SUMIFS(BG$4:BG1188,AU$4:AU1188,"="&amp;AU1188,AY$4:AY1188,"="&amp;AY1188)</f>
        <v>900</v>
      </c>
      <c r="BI1188" s="25" t="s">
        <v>1158</v>
      </c>
      <c r="BJ1188" s="14">
        <f t="shared" si="302"/>
        <v>14400</v>
      </c>
      <c r="BK1188" s="14">
        <f>SUMIFS(BJ$4:BJ1188,$AU$4:$AU1188,"="&amp;$AU1188,$AY$4:$AY1188,"="&amp;$AY1188)</f>
        <v>36000</v>
      </c>
    </row>
    <row r="1189" spans="46:63" ht="16.5" x14ac:dyDescent="0.2">
      <c r="AT1189" s="13">
        <v>1186</v>
      </c>
      <c r="AU1189" s="13">
        <f t="shared" si="294"/>
        <v>15</v>
      </c>
      <c r="AV1189" s="14">
        <f t="shared" si="295"/>
        <v>202007</v>
      </c>
      <c r="AW1189" s="14">
        <f t="shared" si="296"/>
        <v>1102020</v>
      </c>
      <c r="AX1189" s="13" t="s">
        <v>1127</v>
      </c>
      <c r="AY1189" s="13">
        <f t="shared" si="297"/>
        <v>7</v>
      </c>
      <c r="AZ1189" s="13" t="s">
        <v>1148</v>
      </c>
      <c r="BA1189" s="14">
        <f t="shared" si="298"/>
        <v>5</v>
      </c>
      <c r="BB1189" s="14" t="str">
        <f t="shared" si="299"/>
        <v>高顺魂珠-7 等级-5</v>
      </c>
      <c r="BC1189" s="25" t="s">
        <v>44</v>
      </c>
      <c r="BD1189" s="14">
        <f t="shared" si="300"/>
        <v>1056</v>
      </c>
      <c r="BE1189" s="14">
        <f>SUMIFS(BD$4:BD1189,$AU$4:$AU1189,"="&amp;$AU1189,$AY$4:$AY1189,"="&amp;$AY1189)</f>
        <v>3036</v>
      </c>
      <c r="BF1189" s="25" t="s">
        <v>1157</v>
      </c>
      <c r="BG1189" s="14">
        <f t="shared" si="301"/>
        <v>480</v>
      </c>
      <c r="BH1189" s="14">
        <f>SUMIFS(BG$4:BG1189,AU$4:AU1189,"="&amp;AU1189,AY$4:AY1189,"="&amp;AY1189)</f>
        <v>1380</v>
      </c>
      <c r="BI1189" s="25" t="s">
        <v>1158</v>
      </c>
      <c r="BJ1189" s="14">
        <f t="shared" si="302"/>
        <v>19200</v>
      </c>
      <c r="BK1189" s="14">
        <f>SUMIFS(BJ$4:BJ1189,$AU$4:$AU1189,"="&amp;$AU1189,$AY$4:$AY1189,"="&amp;$AY1189)</f>
        <v>55200</v>
      </c>
    </row>
    <row r="1190" spans="46:63" ht="16.5" x14ac:dyDescent="0.2">
      <c r="AT1190" s="13">
        <v>1187</v>
      </c>
      <c r="AU1190" s="13">
        <f t="shared" si="294"/>
        <v>15</v>
      </c>
      <c r="AV1190" s="14">
        <f t="shared" si="295"/>
        <v>202007</v>
      </c>
      <c r="AW1190" s="14">
        <f t="shared" si="296"/>
        <v>1102020</v>
      </c>
      <c r="AX1190" s="13" t="s">
        <v>1127</v>
      </c>
      <c r="AY1190" s="13">
        <f t="shared" si="297"/>
        <v>7</v>
      </c>
      <c r="AZ1190" s="13" t="s">
        <v>1148</v>
      </c>
      <c r="BA1190" s="14">
        <f t="shared" si="298"/>
        <v>6</v>
      </c>
      <c r="BB1190" s="14" t="str">
        <f t="shared" si="299"/>
        <v>高顺魂珠-7 等级-6</v>
      </c>
      <c r="BC1190" s="25" t="s">
        <v>44</v>
      </c>
      <c r="BD1190" s="14">
        <f t="shared" si="300"/>
        <v>1320</v>
      </c>
      <c r="BE1190" s="14">
        <f>SUMIFS(BD$4:BD1190,$AU$4:$AU1190,"="&amp;$AU1190,$AY$4:$AY1190,"="&amp;$AY1190)</f>
        <v>4356</v>
      </c>
      <c r="BF1190" s="25" t="s">
        <v>1157</v>
      </c>
      <c r="BG1190" s="14">
        <f t="shared" si="301"/>
        <v>600</v>
      </c>
      <c r="BH1190" s="14">
        <f>SUMIFS(BG$4:BG1190,AU$4:AU1190,"="&amp;AU1190,AY$4:AY1190,"="&amp;AY1190)</f>
        <v>1980</v>
      </c>
      <c r="BI1190" s="25" t="s">
        <v>1158</v>
      </c>
      <c r="BJ1190" s="14">
        <f t="shared" si="302"/>
        <v>24000</v>
      </c>
      <c r="BK1190" s="14">
        <f>SUMIFS(BJ$4:BJ1190,$AU$4:$AU1190,"="&amp;$AU1190,$AY$4:$AY1190,"="&amp;$AY1190)</f>
        <v>79200</v>
      </c>
    </row>
    <row r="1191" spans="46:63" ht="16.5" x14ac:dyDescent="0.2">
      <c r="AT1191" s="13">
        <v>1188</v>
      </c>
      <c r="AU1191" s="13">
        <f t="shared" si="294"/>
        <v>15</v>
      </c>
      <c r="AV1191" s="14">
        <f t="shared" si="295"/>
        <v>202007</v>
      </c>
      <c r="AW1191" s="14">
        <f t="shared" si="296"/>
        <v>1102020</v>
      </c>
      <c r="AX1191" s="13" t="s">
        <v>1127</v>
      </c>
      <c r="AY1191" s="13">
        <f t="shared" si="297"/>
        <v>7</v>
      </c>
      <c r="AZ1191" s="13" t="s">
        <v>1148</v>
      </c>
      <c r="BA1191" s="14">
        <f t="shared" si="298"/>
        <v>7</v>
      </c>
      <c r="BB1191" s="14" t="str">
        <f t="shared" si="299"/>
        <v>高顺魂珠-7 等级-7</v>
      </c>
      <c r="BC1191" s="25" t="s">
        <v>44</v>
      </c>
      <c r="BD1191" s="14">
        <f t="shared" si="300"/>
        <v>1584</v>
      </c>
      <c r="BE1191" s="14">
        <f>SUMIFS(BD$4:BD1191,$AU$4:$AU1191,"="&amp;$AU1191,$AY$4:$AY1191,"="&amp;$AY1191)</f>
        <v>5940</v>
      </c>
      <c r="BF1191" s="25" t="s">
        <v>1157</v>
      </c>
      <c r="BG1191" s="14">
        <f t="shared" si="301"/>
        <v>720</v>
      </c>
      <c r="BH1191" s="14">
        <f>SUMIFS(BG$4:BG1191,AU$4:AU1191,"="&amp;AU1191,AY$4:AY1191,"="&amp;AY1191)</f>
        <v>2700</v>
      </c>
      <c r="BI1191" s="25" t="s">
        <v>1158</v>
      </c>
      <c r="BJ1191" s="14">
        <f t="shared" si="302"/>
        <v>28800</v>
      </c>
      <c r="BK1191" s="14">
        <f>SUMIFS(BJ$4:BJ1191,$AU$4:$AU1191,"="&amp;$AU1191,$AY$4:$AY1191,"="&amp;$AY1191)</f>
        <v>108000</v>
      </c>
    </row>
    <row r="1192" spans="46:63" ht="16.5" x14ac:dyDescent="0.2">
      <c r="AT1192" s="13">
        <v>1189</v>
      </c>
      <c r="AU1192" s="13">
        <f t="shared" si="294"/>
        <v>15</v>
      </c>
      <c r="AV1192" s="14">
        <f t="shared" si="295"/>
        <v>202007</v>
      </c>
      <c r="AW1192" s="14">
        <f t="shared" si="296"/>
        <v>1102020</v>
      </c>
      <c r="AX1192" s="13" t="s">
        <v>1127</v>
      </c>
      <c r="AY1192" s="13">
        <f t="shared" si="297"/>
        <v>7</v>
      </c>
      <c r="AZ1192" s="13" t="s">
        <v>1148</v>
      </c>
      <c r="BA1192" s="14">
        <f t="shared" si="298"/>
        <v>8</v>
      </c>
      <c r="BB1192" s="14" t="str">
        <f t="shared" si="299"/>
        <v>高顺魂珠-7 等级-8</v>
      </c>
      <c r="BC1192" s="25" t="s">
        <v>44</v>
      </c>
      <c r="BD1192" s="14">
        <f t="shared" si="300"/>
        <v>1848</v>
      </c>
      <c r="BE1192" s="14">
        <f>SUMIFS(BD$4:BD1192,$AU$4:$AU1192,"="&amp;$AU1192,$AY$4:$AY1192,"="&amp;$AY1192)</f>
        <v>7788</v>
      </c>
      <c r="BF1192" s="25" t="s">
        <v>1157</v>
      </c>
      <c r="BG1192" s="14">
        <f t="shared" si="301"/>
        <v>840</v>
      </c>
      <c r="BH1192" s="14">
        <f>SUMIFS(BG$4:BG1192,AU$4:AU1192,"="&amp;AU1192,AY$4:AY1192,"="&amp;AY1192)</f>
        <v>3540</v>
      </c>
      <c r="BI1192" s="25" t="s">
        <v>1158</v>
      </c>
      <c r="BJ1192" s="14">
        <f t="shared" si="302"/>
        <v>33600</v>
      </c>
      <c r="BK1192" s="14">
        <f>SUMIFS(BJ$4:BJ1192,$AU$4:$AU1192,"="&amp;$AU1192,$AY$4:$AY1192,"="&amp;$AY1192)</f>
        <v>141600</v>
      </c>
    </row>
    <row r="1193" spans="46:63" ht="16.5" x14ac:dyDescent="0.2">
      <c r="AT1193" s="13">
        <v>1190</v>
      </c>
      <c r="AU1193" s="13">
        <f t="shared" si="294"/>
        <v>15</v>
      </c>
      <c r="AV1193" s="14">
        <f t="shared" si="295"/>
        <v>202007</v>
      </c>
      <c r="AW1193" s="14">
        <f t="shared" si="296"/>
        <v>1102020</v>
      </c>
      <c r="AX1193" s="13" t="s">
        <v>1127</v>
      </c>
      <c r="AY1193" s="13">
        <f t="shared" si="297"/>
        <v>7</v>
      </c>
      <c r="AZ1193" s="13" t="s">
        <v>1148</v>
      </c>
      <c r="BA1193" s="14">
        <f t="shared" si="298"/>
        <v>9</v>
      </c>
      <c r="BB1193" s="14" t="str">
        <f t="shared" si="299"/>
        <v>高顺魂珠-7 等级-9</v>
      </c>
      <c r="BC1193" s="25" t="s">
        <v>44</v>
      </c>
      <c r="BD1193" s="14">
        <f t="shared" si="300"/>
        <v>2112</v>
      </c>
      <c r="BE1193" s="14">
        <f>SUMIFS(BD$4:BD1193,$AU$4:$AU1193,"="&amp;$AU1193,$AY$4:$AY1193,"="&amp;$AY1193)</f>
        <v>9900</v>
      </c>
      <c r="BF1193" s="25" t="s">
        <v>1157</v>
      </c>
      <c r="BG1193" s="14">
        <f t="shared" si="301"/>
        <v>960</v>
      </c>
      <c r="BH1193" s="14">
        <f>SUMIFS(BG$4:BG1193,AU$4:AU1193,"="&amp;AU1193,AY$4:AY1193,"="&amp;AY1193)</f>
        <v>4500</v>
      </c>
      <c r="BI1193" s="25" t="s">
        <v>1158</v>
      </c>
      <c r="BJ1193" s="14">
        <f t="shared" si="302"/>
        <v>38400</v>
      </c>
      <c r="BK1193" s="14">
        <f>SUMIFS(BJ$4:BJ1193,$AU$4:$AU1193,"="&amp;$AU1193,$AY$4:$AY1193,"="&amp;$AY1193)</f>
        <v>180000</v>
      </c>
    </row>
    <row r="1194" spans="46:63" ht="16.5" x14ac:dyDescent="0.2">
      <c r="AT1194" s="13">
        <v>1191</v>
      </c>
      <c r="AU1194" s="13">
        <f t="shared" si="294"/>
        <v>15</v>
      </c>
      <c r="AV1194" s="14">
        <f t="shared" si="295"/>
        <v>202008</v>
      </c>
      <c r="AW1194" s="14">
        <f t="shared" si="296"/>
        <v>1102020</v>
      </c>
      <c r="AX1194" s="13" t="s">
        <v>1127</v>
      </c>
      <c r="AY1194" s="13">
        <f t="shared" si="297"/>
        <v>8</v>
      </c>
      <c r="AZ1194" s="13" t="s">
        <v>1148</v>
      </c>
      <c r="BA1194" s="14">
        <f t="shared" si="298"/>
        <v>0</v>
      </c>
      <c r="BB1194" s="14" t="str">
        <f t="shared" si="299"/>
        <v>高顺魂珠-8 等级-0</v>
      </c>
      <c r="BC1194" s="25" t="s">
        <v>44</v>
      </c>
      <c r="BD1194" s="14">
        <f t="shared" si="300"/>
        <v>0</v>
      </c>
      <c r="BE1194" s="14">
        <f>SUMIFS(BD$4:BD1194,$AU$4:$AU1194,"="&amp;$AU1194,$AY$4:$AY1194,"="&amp;$AY1194)</f>
        <v>0</v>
      </c>
      <c r="BF1194" s="25" t="s">
        <v>1157</v>
      </c>
      <c r="BG1194" s="14">
        <f t="shared" si="301"/>
        <v>0</v>
      </c>
      <c r="BH1194" s="14">
        <f>SUMIFS(BG$4:BG1194,AU$4:AU1194,"="&amp;AU1194,AY$4:AY1194,"="&amp;AY1194)</f>
        <v>0</v>
      </c>
      <c r="BI1194" s="25" t="s">
        <v>1158</v>
      </c>
      <c r="BJ1194" s="14">
        <f t="shared" si="302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4"/>
        <v>15</v>
      </c>
      <c r="AV1195" s="14">
        <f t="shared" si="295"/>
        <v>202008</v>
      </c>
      <c r="AW1195" s="14">
        <f t="shared" si="296"/>
        <v>1102020</v>
      </c>
      <c r="AX1195" s="13" t="s">
        <v>1127</v>
      </c>
      <c r="AY1195" s="13">
        <f t="shared" si="297"/>
        <v>8</v>
      </c>
      <c r="AZ1195" s="13" t="s">
        <v>1148</v>
      </c>
      <c r="BA1195" s="14">
        <f t="shared" si="298"/>
        <v>1</v>
      </c>
      <c r="BB1195" s="14" t="str">
        <f t="shared" si="299"/>
        <v>高顺魂珠-8 等级-1</v>
      </c>
      <c r="BC1195" s="25" t="s">
        <v>44</v>
      </c>
      <c r="BD1195" s="14">
        <f t="shared" si="300"/>
        <v>352</v>
      </c>
      <c r="BE1195" s="14">
        <f>SUMIFS(BD$4:BD1195,$AU$4:$AU1195,"="&amp;$AU1195,$AY$4:$AY1195,"="&amp;$AY1195)</f>
        <v>352</v>
      </c>
      <c r="BF1195" s="25" t="s">
        <v>1157</v>
      </c>
      <c r="BG1195" s="14">
        <f t="shared" si="301"/>
        <v>160</v>
      </c>
      <c r="BH1195" s="14">
        <f>SUMIFS(BG$4:BG1195,AU$4:AU1195,"="&amp;AU1195,AY$4:AY1195,"="&amp;AY1195)</f>
        <v>160</v>
      </c>
      <c r="BI1195" s="25" t="s">
        <v>1158</v>
      </c>
      <c r="BJ1195" s="14">
        <f t="shared" si="302"/>
        <v>6400</v>
      </c>
      <c r="BK1195" s="14">
        <f>SUMIFS(BJ$4:BJ1195,$AU$4:$AU1195,"="&amp;$AU1195,$AY$4:$AY1195,"="&amp;$AY1195)</f>
        <v>6400</v>
      </c>
    </row>
    <row r="1196" spans="46:63" ht="16.5" x14ac:dyDescent="0.2">
      <c r="AT1196" s="13">
        <v>1193</v>
      </c>
      <c r="AU1196" s="13">
        <f t="shared" si="294"/>
        <v>15</v>
      </c>
      <c r="AV1196" s="14">
        <f t="shared" si="295"/>
        <v>202008</v>
      </c>
      <c r="AW1196" s="14">
        <f t="shared" si="296"/>
        <v>1102020</v>
      </c>
      <c r="AX1196" s="13" t="s">
        <v>1127</v>
      </c>
      <c r="AY1196" s="13">
        <f t="shared" si="297"/>
        <v>8</v>
      </c>
      <c r="AZ1196" s="13" t="s">
        <v>1148</v>
      </c>
      <c r="BA1196" s="14">
        <f t="shared" si="298"/>
        <v>2</v>
      </c>
      <c r="BB1196" s="14" t="str">
        <f t="shared" si="299"/>
        <v>高顺魂珠-8 等级-2</v>
      </c>
      <c r="BC1196" s="25" t="s">
        <v>44</v>
      </c>
      <c r="BD1196" s="14">
        <f t="shared" si="300"/>
        <v>528</v>
      </c>
      <c r="BE1196" s="14">
        <f>SUMIFS(BD$4:BD1196,$AU$4:$AU1196,"="&amp;$AU1196,$AY$4:$AY1196,"="&amp;$AY1196)</f>
        <v>880</v>
      </c>
      <c r="BF1196" s="25" t="s">
        <v>1157</v>
      </c>
      <c r="BG1196" s="14">
        <f t="shared" si="301"/>
        <v>240</v>
      </c>
      <c r="BH1196" s="14">
        <f>SUMIFS(BG$4:BG1196,AU$4:AU1196,"="&amp;AU1196,AY$4:AY1196,"="&amp;AY1196)</f>
        <v>400</v>
      </c>
      <c r="BI1196" s="25" t="s">
        <v>1158</v>
      </c>
      <c r="BJ1196" s="14">
        <f t="shared" si="302"/>
        <v>9600</v>
      </c>
      <c r="BK1196" s="14">
        <f>SUMIFS(BJ$4:BJ1196,$AU$4:$AU1196,"="&amp;$AU1196,$AY$4:$AY1196,"="&amp;$AY1196)</f>
        <v>16000</v>
      </c>
    </row>
    <row r="1197" spans="46:63" ht="16.5" x14ac:dyDescent="0.2">
      <c r="AT1197" s="13">
        <v>1194</v>
      </c>
      <c r="AU1197" s="13">
        <f t="shared" si="294"/>
        <v>15</v>
      </c>
      <c r="AV1197" s="14">
        <f t="shared" si="295"/>
        <v>202008</v>
      </c>
      <c r="AW1197" s="14">
        <f t="shared" si="296"/>
        <v>1102020</v>
      </c>
      <c r="AX1197" s="13" t="s">
        <v>1127</v>
      </c>
      <c r="AY1197" s="13">
        <f t="shared" si="297"/>
        <v>8</v>
      </c>
      <c r="AZ1197" s="13" t="s">
        <v>1148</v>
      </c>
      <c r="BA1197" s="14">
        <f t="shared" si="298"/>
        <v>3</v>
      </c>
      <c r="BB1197" s="14" t="str">
        <f t="shared" si="299"/>
        <v>高顺魂珠-8 等级-3</v>
      </c>
      <c r="BC1197" s="25" t="s">
        <v>44</v>
      </c>
      <c r="BD1197" s="14">
        <f t="shared" si="300"/>
        <v>704</v>
      </c>
      <c r="BE1197" s="14">
        <f>SUMIFS(BD$4:BD1197,$AU$4:$AU1197,"="&amp;$AU1197,$AY$4:$AY1197,"="&amp;$AY1197)</f>
        <v>1584</v>
      </c>
      <c r="BF1197" s="25" t="s">
        <v>1157</v>
      </c>
      <c r="BG1197" s="14">
        <f t="shared" si="301"/>
        <v>320</v>
      </c>
      <c r="BH1197" s="14">
        <f>SUMIFS(BG$4:BG1197,AU$4:AU1197,"="&amp;AU1197,AY$4:AY1197,"="&amp;AY1197)</f>
        <v>720</v>
      </c>
      <c r="BI1197" s="25" t="s">
        <v>1158</v>
      </c>
      <c r="BJ1197" s="14">
        <f t="shared" si="302"/>
        <v>12800</v>
      </c>
      <c r="BK1197" s="14">
        <f>SUMIFS(BJ$4:BJ1197,$AU$4:$AU1197,"="&amp;$AU1197,$AY$4:$AY1197,"="&amp;$AY1197)</f>
        <v>28800</v>
      </c>
    </row>
    <row r="1198" spans="46:63" ht="16.5" x14ac:dyDescent="0.2">
      <c r="AT1198" s="13">
        <v>1195</v>
      </c>
      <c r="AU1198" s="13">
        <f t="shared" si="294"/>
        <v>15</v>
      </c>
      <c r="AV1198" s="14">
        <f t="shared" si="295"/>
        <v>202008</v>
      </c>
      <c r="AW1198" s="14">
        <f t="shared" si="296"/>
        <v>1102020</v>
      </c>
      <c r="AX1198" s="13" t="s">
        <v>1127</v>
      </c>
      <c r="AY1198" s="13">
        <f t="shared" si="297"/>
        <v>8</v>
      </c>
      <c r="AZ1198" s="13" t="s">
        <v>1148</v>
      </c>
      <c r="BA1198" s="14">
        <f t="shared" si="298"/>
        <v>4</v>
      </c>
      <c r="BB1198" s="14" t="str">
        <f t="shared" si="299"/>
        <v>高顺魂珠-8 等级-4</v>
      </c>
      <c r="BC1198" s="25" t="s">
        <v>44</v>
      </c>
      <c r="BD1198" s="14">
        <f t="shared" si="300"/>
        <v>1056</v>
      </c>
      <c r="BE1198" s="14">
        <f>SUMIFS(BD$4:BD1198,$AU$4:$AU1198,"="&amp;$AU1198,$AY$4:$AY1198,"="&amp;$AY1198)</f>
        <v>2640</v>
      </c>
      <c r="BF1198" s="25" t="s">
        <v>1157</v>
      </c>
      <c r="BG1198" s="14">
        <f t="shared" si="301"/>
        <v>480</v>
      </c>
      <c r="BH1198" s="14">
        <f>SUMIFS(BG$4:BG1198,AU$4:AU1198,"="&amp;AU1198,AY$4:AY1198,"="&amp;AY1198)</f>
        <v>1200</v>
      </c>
      <c r="BI1198" s="25" t="s">
        <v>1158</v>
      </c>
      <c r="BJ1198" s="14">
        <f t="shared" si="302"/>
        <v>19200</v>
      </c>
      <c r="BK1198" s="14">
        <f>SUMIFS(BJ$4:BJ1198,$AU$4:$AU1198,"="&amp;$AU1198,$AY$4:$AY1198,"="&amp;$AY1198)</f>
        <v>48000</v>
      </c>
    </row>
    <row r="1199" spans="46:63" ht="16.5" x14ac:dyDescent="0.2">
      <c r="AT1199" s="13">
        <v>1196</v>
      </c>
      <c r="AU1199" s="13">
        <f t="shared" si="294"/>
        <v>15</v>
      </c>
      <c r="AV1199" s="14">
        <f t="shared" si="295"/>
        <v>202008</v>
      </c>
      <c r="AW1199" s="14">
        <f t="shared" si="296"/>
        <v>1102020</v>
      </c>
      <c r="AX1199" s="13" t="s">
        <v>1127</v>
      </c>
      <c r="AY1199" s="13">
        <f t="shared" si="297"/>
        <v>8</v>
      </c>
      <c r="AZ1199" s="13" t="s">
        <v>1148</v>
      </c>
      <c r="BA1199" s="14">
        <f t="shared" si="298"/>
        <v>5</v>
      </c>
      <c r="BB1199" s="14" t="str">
        <f t="shared" si="299"/>
        <v>高顺魂珠-8 等级-5</v>
      </c>
      <c r="BC1199" s="25" t="s">
        <v>44</v>
      </c>
      <c r="BD1199" s="14">
        <f t="shared" si="300"/>
        <v>1408</v>
      </c>
      <c r="BE1199" s="14">
        <f>SUMIFS(BD$4:BD1199,$AU$4:$AU1199,"="&amp;$AU1199,$AY$4:$AY1199,"="&amp;$AY1199)</f>
        <v>4048</v>
      </c>
      <c r="BF1199" s="25" t="s">
        <v>1157</v>
      </c>
      <c r="BG1199" s="14">
        <f t="shared" si="301"/>
        <v>640</v>
      </c>
      <c r="BH1199" s="14">
        <f>SUMIFS(BG$4:BG1199,AU$4:AU1199,"="&amp;AU1199,AY$4:AY1199,"="&amp;AY1199)</f>
        <v>1840</v>
      </c>
      <c r="BI1199" s="25" t="s">
        <v>1158</v>
      </c>
      <c r="BJ1199" s="14">
        <f t="shared" si="302"/>
        <v>25600</v>
      </c>
      <c r="BK1199" s="14">
        <f>SUMIFS(BJ$4:BJ1199,$AU$4:$AU1199,"="&amp;$AU1199,$AY$4:$AY1199,"="&amp;$AY1199)</f>
        <v>73600</v>
      </c>
    </row>
    <row r="1200" spans="46:63" ht="16.5" x14ac:dyDescent="0.2">
      <c r="AT1200" s="13">
        <v>1197</v>
      </c>
      <c r="AU1200" s="13">
        <f t="shared" si="294"/>
        <v>15</v>
      </c>
      <c r="AV1200" s="14">
        <f t="shared" si="295"/>
        <v>202008</v>
      </c>
      <c r="AW1200" s="14">
        <f t="shared" si="296"/>
        <v>1102020</v>
      </c>
      <c r="AX1200" s="13" t="s">
        <v>1127</v>
      </c>
      <c r="AY1200" s="13">
        <f t="shared" si="297"/>
        <v>8</v>
      </c>
      <c r="AZ1200" s="13" t="s">
        <v>1148</v>
      </c>
      <c r="BA1200" s="14">
        <f t="shared" si="298"/>
        <v>6</v>
      </c>
      <c r="BB1200" s="14" t="str">
        <f t="shared" si="299"/>
        <v>高顺魂珠-8 等级-6</v>
      </c>
      <c r="BC1200" s="25" t="s">
        <v>44</v>
      </c>
      <c r="BD1200" s="14">
        <f t="shared" si="300"/>
        <v>1760</v>
      </c>
      <c r="BE1200" s="14">
        <f>SUMIFS(BD$4:BD1200,$AU$4:$AU1200,"="&amp;$AU1200,$AY$4:$AY1200,"="&amp;$AY1200)</f>
        <v>5808</v>
      </c>
      <c r="BF1200" s="25" t="s">
        <v>1157</v>
      </c>
      <c r="BG1200" s="14">
        <f t="shared" si="301"/>
        <v>800</v>
      </c>
      <c r="BH1200" s="14">
        <f>SUMIFS(BG$4:BG1200,AU$4:AU1200,"="&amp;AU1200,AY$4:AY1200,"="&amp;AY1200)</f>
        <v>2640</v>
      </c>
      <c r="BI1200" s="25" t="s">
        <v>1158</v>
      </c>
      <c r="BJ1200" s="14">
        <f t="shared" si="302"/>
        <v>32000</v>
      </c>
      <c r="BK1200" s="14">
        <f>SUMIFS(BJ$4:BJ1200,$AU$4:$AU1200,"="&amp;$AU1200,$AY$4:$AY1200,"="&amp;$AY1200)</f>
        <v>105600</v>
      </c>
    </row>
    <row r="1201" spans="46:63" ht="16.5" x14ac:dyDescent="0.2">
      <c r="AT1201" s="13">
        <v>1198</v>
      </c>
      <c r="AU1201" s="13">
        <f t="shared" si="294"/>
        <v>15</v>
      </c>
      <c r="AV1201" s="14">
        <f t="shared" si="295"/>
        <v>202008</v>
      </c>
      <c r="AW1201" s="14">
        <f t="shared" si="296"/>
        <v>1102020</v>
      </c>
      <c r="AX1201" s="13" t="s">
        <v>1127</v>
      </c>
      <c r="AY1201" s="13">
        <f t="shared" si="297"/>
        <v>8</v>
      </c>
      <c r="AZ1201" s="13" t="s">
        <v>1148</v>
      </c>
      <c r="BA1201" s="14">
        <f t="shared" si="298"/>
        <v>7</v>
      </c>
      <c r="BB1201" s="14" t="str">
        <f t="shared" si="299"/>
        <v>高顺魂珠-8 等级-7</v>
      </c>
      <c r="BC1201" s="25" t="s">
        <v>44</v>
      </c>
      <c r="BD1201" s="14">
        <f t="shared" si="300"/>
        <v>2112</v>
      </c>
      <c r="BE1201" s="14">
        <f>SUMIFS(BD$4:BD1201,$AU$4:$AU1201,"="&amp;$AU1201,$AY$4:$AY1201,"="&amp;$AY1201)</f>
        <v>7920</v>
      </c>
      <c r="BF1201" s="25" t="s">
        <v>1157</v>
      </c>
      <c r="BG1201" s="14">
        <f t="shared" si="301"/>
        <v>960</v>
      </c>
      <c r="BH1201" s="14">
        <f>SUMIFS(BG$4:BG1201,AU$4:AU1201,"="&amp;AU1201,AY$4:AY1201,"="&amp;AY1201)</f>
        <v>3600</v>
      </c>
      <c r="BI1201" s="25" t="s">
        <v>1158</v>
      </c>
      <c r="BJ1201" s="14">
        <f t="shared" si="302"/>
        <v>38400</v>
      </c>
      <c r="BK1201" s="14">
        <f>SUMIFS(BJ$4:BJ1201,$AU$4:$AU1201,"="&amp;$AU1201,$AY$4:$AY1201,"="&amp;$AY1201)</f>
        <v>144000</v>
      </c>
    </row>
    <row r="1202" spans="46:63" ht="16.5" x14ac:dyDescent="0.2">
      <c r="AT1202" s="13">
        <v>1199</v>
      </c>
      <c r="AU1202" s="13">
        <f t="shared" si="294"/>
        <v>15</v>
      </c>
      <c r="AV1202" s="14">
        <f t="shared" si="295"/>
        <v>202008</v>
      </c>
      <c r="AW1202" s="14">
        <f t="shared" si="296"/>
        <v>1102020</v>
      </c>
      <c r="AX1202" s="13" t="s">
        <v>1127</v>
      </c>
      <c r="AY1202" s="13">
        <f t="shared" si="297"/>
        <v>8</v>
      </c>
      <c r="AZ1202" s="13" t="s">
        <v>1148</v>
      </c>
      <c r="BA1202" s="14">
        <f t="shared" si="298"/>
        <v>8</v>
      </c>
      <c r="BB1202" s="14" t="str">
        <f t="shared" si="299"/>
        <v>高顺魂珠-8 等级-8</v>
      </c>
      <c r="BC1202" s="25" t="s">
        <v>44</v>
      </c>
      <c r="BD1202" s="14">
        <f t="shared" si="300"/>
        <v>2464</v>
      </c>
      <c r="BE1202" s="14">
        <f>SUMIFS(BD$4:BD1202,$AU$4:$AU1202,"="&amp;$AU1202,$AY$4:$AY1202,"="&amp;$AY1202)</f>
        <v>10384</v>
      </c>
      <c r="BF1202" s="25" t="s">
        <v>1157</v>
      </c>
      <c r="BG1202" s="14">
        <f t="shared" si="301"/>
        <v>1120</v>
      </c>
      <c r="BH1202" s="14">
        <f>SUMIFS(BG$4:BG1202,AU$4:AU1202,"="&amp;AU1202,AY$4:AY1202,"="&amp;AY1202)</f>
        <v>4720</v>
      </c>
      <c r="BI1202" s="25" t="s">
        <v>1158</v>
      </c>
      <c r="BJ1202" s="14">
        <f t="shared" si="302"/>
        <v>44800</v>
      </c>
      <c r="BK1202" s="14">
        <f>SUMIFS(BJ$4:BJ1202,$AU$4:$AU1202,"="&amp;$AU1202,$AY$4:$AY1202,"="&amp;$AY1202)</f>
        <v>188800</v>
      </c>
    </row>
    <row r="1203" spans="46:63" ht="16.5" x14ac:dyDescent="0.2">
      <c r="AT1203" s="13">
        <v>1200</v>
      </c>
      <c r="AU1203" s="13">
        <f t="shared" si="294"/>
        <v>15</v>
      </c>
      <c r="AV1203" s="14">
        <f t="shared" si="295"/>
        <v>202008</v>
      </c>
      <c r="AW1203" s="14">
        <f t="shared" si="296"/>
        <v>1102020</v>
      </c>
      <c r="AX1203" s="13" t="s">
        <v>1127</v>
      </c>
      <c r="AY1203" s="13">
        <f t="shared" si="297"/>
        <v>8</v>
      </c>
      <c r="AZ1203" s="13" t="s">
        <v>1148</v>
      </c>
      <c r="BA1203" s="14">
        <f t="shared" si="298"/>
        <v>9</v>
      </c>
      <c r="BB1203" s="14" t="str">
        <f t="shared" si="299"/>
        <v>高顺魂珠-8 等级-9</v>
      </c>
      <c r="BC1203" s="25" t="s">
        <v>44</v>
      </c>
      <c r="BD1203" s="14">
        <f t="shared" si="300"/>
        <v>2816</v>
      </c>
      <c r="BE1203" s="14">
        <f>SUMIFS(BD$4:BD1203,$AU$4:$AU1203,"="&amp;$AU1203,$AY$4:$AY1203,"="&amp;$AY1203)</f>
        <v>13200</v>
      </c>
      <c r="BF1203" s="25" t="s">
        <v>1157</v>
      </c>
      <c r="BG1203" s="14">
        <f t="shared" si="301"/>
        <v>1280</v>
      </c>
      <c r="BH1203" s="14">
        <f>SUMIFS(BG$4:BG1203,AU$4:AU1203,"="&amp;AU1203,AY$4:AY1203,"="&amp;AY1203)</f>
        <v>6000</v>
      </c>
      <c r="BI1203" s="25" t="s">
        <v>1158</v>
      </c>
      <c r="BJ1203" s="14">
        <f t="shared" si="302"/>
        <v>51200</v>
      </c>
      <c r="BK1203" s="14">
        <f>SUMIFS(BJ$4:BJ1203,$AU$4:$AU1203,"="&amp;$AU1203,$AY$4:$AY1203,"="&amp;$AY1203)</f>
        <v>240000</v>
      </c>
    </row>
    <row r="1204" spans="46:63" ht="16.5" x14ac:dyDescent="0.2">
      <c r="AT1204" s="13">
        <v>1201</v>
      </c>
      <c r="AU1204" s="13">
        <f t="shared" si="294"/>
        <v>16</v>
      </c>
      <c r="AV1204" s="14">
        <f t="shared" si="295"/>
        <v>202101</v>
      </c>
      <c r="AW1204" s="14">
        <f t="shared" si="296"/>
        <v>1102021</v>
      </c>
      <c r="AX1204" s="13" t="s">
        <v>1127</v>
      </c>
      <c r="AY1204" s="13">
        <f t="shared" si="297"/>
        <v>1</v>
      </c>
      <c r="AZ1204" s="13" t="s">
        <v>1148</v>
      </c>
      <c r="BA1204" s="14">
        <f t="shared" si="298"/>
        <v>0</v>
      </c>
      <c r="BB1204" s="14" t="str">
        <f t="shared" si="299"/>
        <v>烈风螳螂魂珠-1 等级-0</v>
      </c>
      <c r="BC1204" s="25" t="s">
        <v>44</v>
      </c>
      <c r="BD1204" s="14">
        <f t="shared" si="300"/>
        <v>0</v>
      </c>
      <c r="BE1204" s="14">
        <f>SUMIFS(BD$4:BD1204,$AU$4:$AU1204,"="&amp;$AU1204,$AY$4:$AY1204,"="&amp;$AY1204)</f>
        <v>0</v>
      </c>
      <c r="BF1204" s="25" t="s">
        <v>1157</v>
      </c>
      <c r="BG1204" s="14">
        <f t="shared" si="301"/>
        <v>0</v>
      </c>
      <c r="BH1204" s="14">
        <f>SUMIFS(BG$4:BG1204,AU$4:AU1204,"="&amp;AU1204,AY$4:AY1204,"="&amp;AY1204)</f>
        <v>0</v>
      </c>
      <c r="BI1204" s="25" t="s">
        <v>1158</v>
      </c>
      <c r="BJ1204" s="14">
        <f t="shared" si="302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4"/>
        <v>16</v>
      </c>
      <c r="AV1205" s="14">
        <f t="shared" si="295"/>
        <v>202101</v>
      </c>
      <c r="AW1205" s="14">
        <f t="shared" si="296"/>
        <v>1102021</v>
      </c>
      <c r="AX1205" s="13" t="s">
        <v>1127</v>
      </c>
      <c r="AY1205" s="13">
        <f t="shared" si="297"/>
        <v>1</v>
      </c>
      <c r="AZ1205" s="13" t="s">
        <v>1148</v>
      </c>
      <c r="BA1205" s="14">
        <f t="shared" si="298"/>
        <v>1</v>
      </c>
      <c r="BB1205" s="14" t="str">
        <f t="shared" si="299"/>
        <v>烈风螳螂魂珠-1 等级-1</v>
      </c>
      <c r="BC1205" s="25" t="s">
        <v>44</v>
      </c>
      <c r="BD1205" s="14">
        <f t="shared" si="300"/>
        <v>48</v>
      </c>
      <c r="BE1205" s="14">
        <f>SUMIFS(BD$4:BD1205,$AU$4:$AU1205,"="&amp;$AU1205,$AY$4:$AY1205,"="&amp;$AY1205)</f>
        <v>48</v>
      </c>
      <c r="BF1205" s="25" t="s">
        <v>1157</v>
      </c>
      <c r="BG1205" s="14">
        <f t="shared" si="301"/>
        <v>20</v>
      </c>
      <c r="BH1205" s="14">
        <f>SUMIFS(BG$4:BG1205,AU$4:AU1205,"="&amp;AU1205,AY$4:AY1205,"="&amp;AY1205)</f>
        <v>20</v>
      </c>
      <c r="BI1205" s="25" t="s">
        <v>1158</v>
      </c>
      <c r="BJ1205" s="14">
        <f t="shared" si="302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4"/>
        <v>16</v>
      </c>
      <c r="AV1206" s="14">
        <f t="shared" si="295"/>
        <v>202101</v>
      </c>
      <c r="AW1206" s="14">
        <f t="shared" si="296"/>
        <v>1102021</v>
      </c>
      <c r="AX1206" s="13" t="s">
        <v>1127</v>
      </c>
      <c r="AY1206" s="13">
        <f t="shared" si="297"/>
        <v>1</v>
      </c>
      <c r="AZ1206" s="13" t="s">
        <v>1148</v>
      </c>
      <c r="BA1206" s="14">
        <f t="shared" si="298"/>
        <v>2</v>
      </c>
      <c r="BB1206" s="14" t="str">
        <f t="shared" si="299"/>
        <v>烈风螳螂魂珠-1 等级-2</v>
      </c>
      <c r="BC1206" s="25" t="s">
        <v>44</v>
      </c>
      <c r="BD1206" s="14">
        <f t="shared" si="300"/>
        <v>72</v>
      </c>
      <c r="BE1206" s="14">
        <f>SUMIFS(BD$4:BD1206,$AU$4:$AU1206,"="&amp;$AU1206,$AY$4:$AY1206,"="&amp;$AY1206)</f>
        <v>120</v>
      </c>
      <c r="BF1206" s="25" t="s">
        <v>1157</v>
      </c>
      <c r="BG1206" s="14">
        <f t="shared" si="301"/>
        <v>30</v>
      </c>
      <c r="BH1206" s="14">
        <f>SUMIFS(BG$4:BG1206,AU$4:AU1206,"="&amp;AU1206,AY$4:AY1206,"="&amp;AY1206)</f>
        <v>50</v>
      </c>
      <c r="BI1206" s="25" t="s">
        <v>1158</v>
      </c>
      <c r="BJ1206" s="14">
        <f t="shared" si="302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4"/>
        <v>16</v>
      </c>
      <c r="AV1207" s="14">
        <f t="shared" si="295"/>
        <v>202101</v>
      </c>
      <c r="AW1207" s="14">
        <f t="shared" si="296"/>
        <v>1102021</v>
      </c>
      <c r="AX1207" s="13" t="s">
        <v>1127</v>
      </c>
      <c r="AY1207" s="13">
        <f t="shared" si="297"/>
        <v>1</v>
      </c>
      <c r="AZ1207" s="13" t="s">
        <v>1148</v>
      </c>
      <c r="BA1207" s="14">
        <f t="shared" si="298"/>
        <v>3</v>
      </c>
      <c r="BB1207" s="14" t="str">
        <f t="shared" si="299"/>
        <v>烈风螳螂魂珠-1 等级-3</v>
      </c>
      <c r="BC1207" s="25" t="s">
        <v>44</v>
      </c>
      <c r="BD1207" s="14">
        <f t="shared" si="300"/>
        <v>96</v>
      </c>
      <c r="BE1207" s="14">
        <f>SUMIFS(BD$4:BD1207,$AU$4:$AU1207,"="&amp;$AU1207,$AY$4:$AY1207,"="&amp;$AY1207)</f>
        <v>216</v>
      </c>
      <c r="BF1207" s="25" t="s">
        <v>1157</v>
      </c>
      <c r="BG1207" s="14">
        <f t="shared" si="301"/>
        <v>40</v>
      </c>
      <c r="BH1207" s="14">
        <f>SUMIFS(BG$4:BG1207,AU$4:AU1207,"="&amp;AU1207,AY$4:AY1207,"="&amp;AY1207)</f>
        <v>90</v>
      </c>
      <c r="BI1207" s="25" t="s">
        <v>1158</v>
      </c>
      <c r="BJ1207" s="14">
        <f t="shared" si="302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4"/>
        <v>16</v>
      </c>
      <c r="AV1208" s="14">
        <f t="shared" si="295"/>
        <v>202101</v>
      </c>
      <c r="AW1208" s="14">
        <f t="shared" si="296"/>
        <v>1102021</v>
      </c>
      <c r="AX1208" s="13" t="s">
        <v>1127</v>
      </c>
      <c r="AY1208" s="13">
        <f t="shared" si="297"/>
        <v>1</v>
      </c>
      <c r="AZ1208" s="13" t="s">
        <v>1148</v>
      </c>
      <c r="BA1208" s="14">
        <f t="shared" si="298"/>
        <v>4</v>
      </c>
      <c r="BB1208" s="14" t="str">
        <f t="shared" si="299"/>
        <v>烈风螳螂魂珠-1 等级-4</v>
      </c>
      <c r="BC1208" s="25" t="s">
        <v>44</v>
      </c>
      <c r="BD1208" s="14">
        <f t="shared" si="300"/>
        <v>144</v>
      </c>
      <c r="BE1208" s="14">
        <f>SUMIFS(BD$4:BD1208,$AU$4:$AU1208,"="&amp;$AU1208,$AY$4:$AY1208,"="&amp;$AY1208)</f>
        <v>360</v>
      </c>
      <c r="BF1208" s="25" t="s">
        <v>1157</v>
      </c>
      <c r="BG1208" s="14">
        <f t="shared" si="301"/>
        <v>60</v>
      </c>
      <c r="BH1208" s="14">
        <f>SUMIFS(BG$4:BG1208,AU$4:AU1208,"="&amp;AU1208,AY$4:AY1208,"="&amp;AY1208)</f>
        <v>150</v>
      </c>
      <c r="BI1208" s="25" t="s">
        <v>1158</v>
      </c>
      <c r="BJ1208" s="14">
        <f t="shared" si="302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4"/>
        <v>16</v>
      </c>
      <c r="AV1209" s="14">
        <f t="shared" si="295"/>
        <v>202101</v>
      </c>
      <c r="AW1209" s="14">
        <f t="shared" si="296"/>
        <v>1102021</v>
      </c>
      <c r="AX1209" s="13" t="s">
        <v>1127</v>
      </c>
      <c r="AY1209" s="13">
        <f t="shared" si="297"/>
        <v>1</v>
      </c>
      <c r="AZ1209" s="13" t="s">
        <v>1148</v>
      </c>
      <c r="BA1209" s="14">
        <f t="shared" si="298"/>
        <v>5</v>
      </c>
      <c r="BB1209" s="14" t="str">
        <f t="shared" si="299"/>
        <v>烈风螳螂魂珠-1 等级-5</v>
      </c>
      <c r="BC1209" s="25" t="s">
        <v>44</v>
      </c>
      <c r="BD1209" s="14">
        <f t="shared" si="300"/>
        <v>192</v>
      </c>
      <c r="BE1209" s="14">
        <f>SUMIFS(BD$4:BD1209,$AU$4:$AU1209,"="&amp;$AU1209,$AY$4:$AY1209,"="&amp;$AY1209)</f>
        <v>552</v>
      </c>
      <c r="BF1209" s="25" t="s">
        <v>1157</v>
      </c>
      <c r="BG1209" s="14">
        <f t="shared" si="301"/>
        <v>80</v>
      </c>
      <c r="BH1209" s="14">
        <f>SUMIFS(BG$4:BG1209,AU$4:AU1209,"="&amp;AU1209,AY$4:AY1209,"="&amp;AY1209)</f>
        <v>230</v>
      </c>
      <c r="BI1209" s="25" t="s">
        <v>1158</v>
      </c>
      <c r="BJ1209" s="14">
        <f t="shared" si="302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4"/>
        <v>16</v>
      </c>
      <c r="AV1210" s="14">
        <f t="shared" si="295"/>
        <v>202101</v>
      </c>
      <c r="AW1210" s="14">
        <f t="shared" si="296"/>
        <v>1102021</v>
      </c>
      <c r="AX1210" s="13" t="s">
        <v>1127</v>
      </c>
      <c r="AY1210" s="13">
        <f t="shared" si="297"/>
        <v>1</v>
      </c>
      <c r="AZ1210" s="13" t="s">
        <v>1148</v>
      </c>
      <c r="BA1210" s="14">
        <f t="shared" si="298"/>
        <v>6</v>
      </c>
      <c r="BB1210" s="14" t="str">
        <f t="shared" si="299"/>
        <v>烈风螳螂魂珠-1 等级-6</v>
      </c>
      <c r="BC1210" s="25" t="s">
        <v>44</v>
      </c>
      <c r="BD1210" s="14">
        <f t="shared" si="300"/>
        <v>240</v>
      </c>
      <c r="BE1210" s="14">
        <f>SUMIFS(BD$4:BD1210,$AU$4:$AU1210,"="&amp;$AU1210,$AY$4:$AY1210,"="&amp;$AY1210)</f>
        <v>792</v>
      </c>
      <c r="BF1210" s="25" t="s">
        <v>1157</v>
      </c>
      <c r="BG1210" s="14">
        <f t="shared" si="301"/>
        <v>100</v>
      </c>
      <c r="BH1210" s="14">
        <f>SUMIFS(BG$4:BG1210,AU$4:AU1210,"="&amp;AU1210,AY$4:AY1210,"="&amp;AY1210)</f>
        <v>330</v>
      </c>
      <c r="BI1210" s="25" t="s">
        <v>1158</v>
      </c>
      <c r="BJ1210" s="14">
        <f t="shared" si="302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4"/>
        <v>16</v>
      </c>
      <c r="AV1211" s="14">
        <f t="shared" si="295"/>
        <v>202101</v>
      </c>
      <c r="AW1211" s="14">
        <f t="shared" si="296"/>
        <v>1102021</v>
      </c>
      <c r="AX1211" s="13" t="s">
        <v>1127</v>
      </c>
      <c r="AY1211" s="13">
        <f t="shared" si="297"/>
        <v>1</v>
      </c>
      <c r="AZ1211" s="13" t="s">
        <v>1148</v>
      </c>
      <c r="BA1211" s="14">
        <f t="shared" si="298"/>
        <v>7</v>
      </c>
      <c r="BB1211" s="14" t="str">
        <f t="shared" si="299"/>
        <v>烈风螳螂魂珠-1 等级-7</v>
      </c>
      <c r="BC1211" s="25" t="s">
        <v>44</v>
      </c>
      <c r="BD1211" s="14">
        <f t="shared" si="300"/>
        <v>288</v>
      </c>
      <c r="BE1211" s="14">
        <f>SUMIFS(BD$4:BD1211,$AU$4:$AU1211,"="&amp;$AU1211,$AY$4:$AY1211,"="&amp;$AY1211)</f>
        <v>1080</v>
      </c>
      <c r="BF1211" s="25" t="s">
        <v>1157</v>
      </c>
      <c r="BG1211" s="14">
        <f t="shared" si="301"/>
        <v>120</v>
      </c>
      <c r="BH1211" s="14">
        <f>SUMIFS(BG$4:BG1211,AU$4:AU1211,"="&amp;AU1211,AY$4:AY1211,"="&amp;AY1211)</f>
        <v>450</v>
      </c>
      <c r="BI1211" s="25" t="s">
        <v>1158</v>
      </c>
      <c r="BJ1211" s="14">
        <f t="shared" si="302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4"/>
        <v>16</v>
      </c>
      <c r="AV1212" s="14">
        <f t="shared" si="295"/>
        <v>202101</v>
      </c>
      <c r="AW1212" s="14">
        <f t="shared" si="296"/>
        <v>1102021</v>
      </c>
      <c r="AX1212" s="13" t="s">
        <v>1127</v>
      </c>
      <c r="AY1212" s="13">
        <f t="shared" si="297"/>
        <v>1</v>
      </c>
      <c r="AZ1212" s="13" t="s">
        <v>1148</v>
      </c>
      <c r="BA1212" s="14">
        <f t="shared" si="298"/>
        <v>8</v>
      </c>
      <c r="BB1212" s="14" t="str">
        <f t="shared" si="299"/>
        <v>烈风螳螂魂珠-1 等级-8</v>
      </c>
      <c r="BC1212" s="25" t="s">
        <v>44</v>
      </c>
      <c r="BD1212" s="14">
        <f t="shared" si="300"/>
        <v>336</v>
      </c>
      <c r="BE1212" s="14">
        <f>SUMIFS(BD$4:BD1212,$AU$4:$AU1212,"="&amp;$AU1212,$AY$4:$AY1212,"="&amp;$AY1212)</f>
        <v>1416</v>
      </c>
      <c r="BF1212" s="25" t="s">
        <v>1157</v>
      </c>
      <c r="BG1212" s="14">
        <f t="shared" si="301"/>
        <v>140</v>
      </c>
      <c r="BH1212" s="14">
        <f>SUMIFS(BG$4:BG1212,AU$4:AU1212,"="&amp;AU1212,AY$4:AY1212,"="&amp;AY1212)</f>
        <v>590</v>
      </c>
      <c r="BI1212" s="25" t="s">
        <v>1158</v>
      </c>
      <c r="BJ1212" s="14">
        <f t="shared" si="302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4"/>
        <v>16</v>
      </c>
      <c r="AV1213" s="14">
        <f t="shared" si="295"/>
        <v>202101</v>
      </c>
      <c r="AW1213" s="14">
        <f t="shared" si="296"/>
        <v>1102021</v>
      </c>
      <c r="AX1213" s="13" t="s">
        <v>1127</v>
      </c>
      <c r="AY1213" s="13">
        <f t="shared" si="297"/>
        <v>1</v>
      </c>
      <c r="AZ1213" s="13" t="s">
        <v>1148</v>
      </c>
      <c r="BA1213" s="14">
        <f t="shared" si="298"/>
        <v>9</v>
      </c>
      <c r="BB1213" s="14" t="str">
        <f t="shared" si="299"/>
        <v>烈风螳螂魂珠-1 等级-9</v>
      </c>
      <c r="BC1213" s="25" t="s">
        <v>44</v>
      </c>
      <c r="BD1213" s="14">
        <f t="shared" si="300"/>
        <v>384</v>
      </c>
      <c r="BE1213" s="14">
        <f>SUMIFS(BD$4:BD1213,$AU$4:$AU1213,"="&amp;$AU1213,$AY$4:$AY1213,"="&amp;$AY1213)</f>
        <v>1800</v>
      </c>
      <c r="BF1213" s="25" t="s">
        <v>1157</v>
      </c>
      <c r="BG1213" s="14">
        <f t="shared" si="301"/>
        <v>160</v>
      </c>
      <c r="BH1213" s="14">
        <f>SUMIFS(BG$4:BG1213,AU$4:AU1213,"="&amp;AU1213,AY$4:AY1213,"="&amp;AY1213)</f>
        <v>750</v>
      </c>
      <c r="BI1213" s="25" t="s">
        <v>1158</v>
      </c>
      <c r="BJ1213" s="14">
        <f t="shared" si="302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4"/>
        <v>16</v>
      </c>
      <c r="AV1214" s="14">
        <f t="shared" si="295"/>
        <v>202102</v>
      </c>
      <c r="AW1214" s="14">
        <f t="shared" si="296"/>
        <v>1102021</v>
      </c>
      <c r="AX1214" s="13" t="s">
        <v>1127</v>
      </c>
      <c r="AY1214" s="13">
        <f t="shared" si="297"/>
        <v>2</v>
      </c>
      <c r="AZ1214" s="13" t="s">
        <v>1148</v>
      </c>
      <c r="BA1214" s="14">
        <f t="shared" si="298"/>
        <v>0</v>
      </c>
      <c r="BB1214" s="14" t="str">
        <f t="shared" si="299"/>
        <v>烈风螳螂魂珠-2 等级-0</v>
      </c>
      <c r="BC1214" s="25" t="s">
        <v>44</v>
      </c>
      <c r="BD1214" s="14">
        <f t="shared" si="300"/>
        <v>0</v>
      </c>
      <c r="BE1214" s="14">
        <f>SUMIFS(BD$4:BD1214,$AU$4:$AU1214,"="&amp;$AU1214,$AY$4:$AY1214,"="&amp;$AY1214)</f>
        <v>0</v>
      </c>
      <c r="BF1214" s="25" t="s">
        <v>1157</v>
      </c>
      <c r="BG1214" s="14">
        <f t="shared" si="301"/>
        <v>0</v>
      </c>
      <c r="BH1214" s="14">
        <f>SUMIFS(BG$4:BG1214,AU$4:AU1214,"="&amp;AU1214,AY$4:AY1214,"="&amp;AY1214)</f>
        <v>0</v>
      </c>
      <c r="BI1214" s="25" t="s">
        <v>1158</v>
      </c>
      <c r="BJ1214" s="14">
        <f t="shared" si="302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4"/>
        <v>16</v>
      </c>
      <c r="AV1215" s="14">
        <f t="shared" si="295"/>
        <v>202102</v>
      </c>
      <c r="AW1215" s="14">
        <f t="shared" si="296"/>
        <v>1102021</v>
      </c>
      <c r="AX1215" s="13" t="s">
        <v>1127</v>
      </c>
      <c r="AY1215" s="13">
        <f t="shared" si="297"/>
        <v>2</v>
      </c>
      <c r="AZ1215" s="13" t="s">
        <v>1148</v>
      </c>
      <c r="BA1215" s="14">
        <f t="shared" si="298"/>
        <v>1</v>
      </c>
      <c r="BB1215" s="14" t="str">
        <f t="shared" si="299"/>
        <v>烈风螳螂魂珠-2 等级-1</v>
      </c>
      <c r="BC1215" s="25" t="s">
        <v>44</v>
      </c>
      <c r="BD1215" s="14">
        <f t="shared" si="300"/>
        <v>60</v>
      </c>
      <c r="BE1215" s="14">
        <f>SUMIFS(BD$4:BD1215,$AU$4:$AU1215,"="&amp;$AU1215,$AY$4:$AY1215,"="&amp;$AY1215)</f>
        <v>60</v>
      </c>
      <c r="BF1215" s="25" t="s">
        <v>1157</v>
      </c>
      <c r="BG1215" s="14">
        <f t="shared" si="301"/>
        <v>25</v>
      </c>
      <c r="BH1215" s="14">
        <f>SUMIFS(BG$4:BG1215,AU$4:AU1215,"="&amp;AU1215,AY$4:AY1215,"="&amp;AY1215)</f>
        <v>25</v>
      </c>
      <c r="BI1215" s="25" t="s">
        <v>1158</v>
      </c>
      <c r="BJ1215" s="14">
        <f t="shared" si="302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4"/>
        <v>16</v>
      </c>
      <c r="AV1216" s="14">
        <f t="shared" si="295"/>
        <v>202102</v>
      </c>
      <c r="AW1216" s="14">
        <f t="shared" si="296"/>
        <v>1102021</v>
      </c>
      <c r="AX1216" s="13" t="s">
        <v>1127</v>
      </c>
      <c r="AY1216" s="13">
        <f t="shared" si="297"/>
        <v>2</v>
      </c>
      <c r="AZ1216" s="13" t="s">
        <v>1148</v>
      </c>
      <c r="BA1216" s="14">
        <f t="shared" si="298"/>
        <v>2</v>
      </c>
      <c r="BB1216" s="14" t="str">
        <f t="shared" si="299"/>
        <v>烈风螳螂魂珠-2 等级-2</v>
      </c>
      <c r="BC1216" s="25" t="s">
        <v>44</v>
      </c>
      <c r="BD1216" s="14">
        <f t="shared" si="300"/>
        <v>96</v>
      </c>
      <c r="BE1216" s="14">
        <f>SUMIFS(BD$4:BD1216,$AU$4:$AU1216,"="&amp;$AU1216,$AY$4:$AY1216,"="&amp;$AY1216)</f>
        <v>156</v>
      </c>
      <c r="BF1216" s="25" t="s">
        <v>1157</v>
      </c>
      <c r="BG1216" s="14">
        <f t="shared" si="301"/>
        <v>40</v>
      </c>
      <c r="BH1216" s="14">
        <f>SUMIFS(BG$4:BG1216,AU$4:AU1216,"="&amp;AU1216,AY$4:AY1216,"="&amp;AY1216)</f>
        <v>65</v>
      </c>
      <c r="BI1216" s="25" t="s">
        <v>1158</v>
      </c>
      <c r="BJ1216" s="14">
        <f t="shared" si="302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4"/>
        <v>16</v>
      </c>
      <c r="AV1217" s="14">
        <f t="shared" si="295"/>
        <v>202102</v>
      </c>
      <c r="AW1217" s="14">
        <f t="shared" si="296"/>
        <v>1102021</v>
      </c>
      <c r="AX1217" s="13" t="s">
        <v>1127</v>
      </c>
      <c r="AY1217" s="13">
        <f t="shared" si="297"/>
        <v>2</v>
      </c>
      <c r="AZ1217" s="13" t="s">
        <v>1148</v>
      </c>
      <c r="BA1217" s="14">
        <f t="shared" si="298"/>
        <v>3</v>
      </c>
      <c r="BB1217" s="14" t="str">
        <f t="shared" si="299"/>
        <v>烈风螳螂魂珠-2 等级-3</v>
      </c>
      <c r="BC1217" s="25" t="s">
        <v>44</v>
      </c>
      <c r="BD1217" s="14">
        <f t="shared" si="300"/>
        <v>120</v>
      </c>
      <c r="BE1217" s="14">
        <f>SUMIFS(BD$4:BD1217,$AU$4:$AU1217,"="&amp;$AU1217,$AY$4:$AY1217,"="&amp;$AY1217)</f>
        <v>276</v>
      </c>
      <c r="BF1217" s="25" t="s">
        <v>1157</v>
      </c>
      <c r="BG1217" s="14">
        <f t="shared" si="301"/>
        <v>50</v>
      </c>
      <c r="BH1217" s="14">
        <f>SUMIFS(BG$4:BG1217,AU$4:AU1217,"="&amp;AU1217,AY$4:AY1217,"="&amp;AY1217)</f>
        <v>115</v>
      </c>
      <c r="BI1217" s="25" t="s">
        <v>1158</v>
      </c>
      <c r="BJ1217" s="14">
        <f t="shared" si="302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4"/>
        <v>16</v>
      </c>
      <c r="AV1218" s="14">
        <f t="shared" si="295"/>
        <v>202102</v>
      </c>
      <c r="AW1218" s="14">
        <f t="shared" si="296"/>
        <v>1102021</v>
      </c>
      <c r="AX1218" s="13" t="s">
        <v>1127</v>
      </c>
      <c r="AY1218" s="13">
        <f t="shared" si="297"/>
        <v>2</v>
      </c>
      <c r="AZ1218" s="13" t="s">
        <v>1148</v>
      </c>
      <c r="BA1218" s="14">
        <f t="shared" si="298"/>
        <v>4</v>
      </c>
      <c r="BB1218" s="14" t="str">
        <f t="shared" si="299"/>
        <v>烈风螳螂魂珠-2 等级-4</v>
      </c>
      <c r="BC1218" s="25" t="s">
        <v>44</v>
      </c>
      <c r="BD1218" s="14">
        <f t="shared" si="300"/>
        <v>192</v>
      </c>
      <c r="BE1218" s="14">
        <f>SUMIFS(BD$4:BD1218,$AU$4:$AU1218,"="&amp;$AU1218,$AY$4:$AY1218,"="&amp;$AY1218)</f>
        <v>468</v>
      </c>
      <c r="BF1218" s="25" t="s">
        <v>1157</v>
      </c>
      <c r="BG1218" s="14">
        <f t="shared" si="301"/>
        <v>80</v>
      </c>
      <c r="BH1218" s="14">
        <f>SUMIFS(BG$4:BG1218,AU$4:AU1218,"="&amp;AU1218,AY$4:AY1218,"="&amp;AY1218)</f>
        <v>195</v>
      </c>
      <c r="BI1218" s="25" t="s">
        <v>1158</v>
      </c>
      <c r="BJ1218" s="14">
        <f t="shared" si="302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4"/>
        <v>16</v>
      </c>
      <c r="AV1219" s="14">
        <f t="shared" si="295"/>
        <v>202102</v>
      </c>
      <c r="AW1219" s="14">
        <f t="shared" si="296"/>
        <v>1102021</v>
      </c>
      <c r="AX1219" s="13" t="s">
        <v>1127</v>
      </c>
      <c r="AY1219" s="13">
        <f t="shared" si="297"/>
        <v>2</v>
      </c>
      <c r="AZ1219" s="13" t="s">
        <v>1148</v>
      </c>
      <c r="BA1219" s="14">
        <f t="shared" si="298"/>
        <v>5</v>
      </c>
      <c r="BB1219" s="14" t="str">
        <f t="shared" si="299"/>
        <v>烈风螳螂魂珠-2 等级-5</v>
      </c>
      <c r="BC1219" s="25" t="s">
        <v>44</v>
      </c>
      <c r="BD1219" s="14">
        <f t="shared" si="300"/>
        <v>264</v>
      </c>
      <c r="BE1219" s="14">
        <f>SUMIFS(BD$4:BD1219,$AU$4:$AU1219,"="&amp;$AU1219,$AY$4:$AY1219,"="&amp;$AY1219)</f>
        <v>732</v>
      </c>
      <c r="BF1219" s="25" t="s">
        <v>1157</v>
      </c>
      <c r="BG1219" s="14">
        <f t="shared" si="301"/>
        <v>110</v>
      </c>
      <c r="BH1219" s="14">
        <f>SUMIFS(BG$4:BG1219,AU$4:AU1219,"="&amp;AU1219,AY$4:AY1219,"="&amp;AY1219)</f>
        <v>305</v>
      </c>
      <c r="BI1219" s="25" t="s">
        <v>1158</v>
      </c>
      <c r="BJ1219" s="14">
        <f t="shared" si="302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4"/>
        <v>16</v>
      </c>
      <c r="AV1220" s="14">
        <f t="shared" si="295"/>
        <v>202102</v>
      </c>
      <c r="AW1220" s="14">
        <f t="shared" si="296"/>
        <v>1102021</v>
      </c>
      <c r="AX1220" s="13" t="s">
        <v>1127</v>
      </c>
      <c r="AY1220" s="13">
        <f t="shared" si="297"/>
        <v>2</v>
      </c>
      <c r="AZ1220" s="13" t="s">
        <v>1148</v>
      </c>
      <c r="BA1220" s="14">
        <f t="shared" si="298"/>
        <v>6</v>
      </c>
      <c r="BB1220" s="14" t="str">
        <f t="shared" si="299"/>
        <v>烈风螳螂魂珠-2 等级-6</v>
      </c>
      <c r="BC1220" s="25" t="s">
        <v>44</v>
      </c>
      <c r="BD1220" s="14">
        <f t="shared" si="300"/>
        <v>336</v>
      </c>
      <c r="BE1220" s="14">
        <f>SUMIFS(BD$4:BD1220,$AU$4:$AU1220,"="&amp;$AU1220,$AY$4:$AY1220,"="&amp;$AY1220)</f>
        <v>1068</v>
      </c>
      <c r="BF1220" s="25" t="s">
        <v>1157</v>
      </c>
      <c r="BG1220" s="14">
        <f t="shared" si="301"/>
        <v>140</v>
      </c>
      <c r="BH1220" s="14">
        <f>SUMIFS(BG$4:BG1220,AU$4:AU1220,"="&amp;AU1220,AY$4:AY1220,"="&amp;AY1220)</f>
        <v>445</v>
      </c>
      <c r="BI1220" s="25" t="s">
        <v>1158</v>
      </c>
      <c r="BJ1220" s="14">
        <f t="shared" si="302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3">INT((AT1221-1)/80)+1</f>
        <v>16</v>
      </c>
      <c r="AV1221" s="14">
        <f t="shared" ref="AV1221:AV1284" si="304">INDEX($AJ$4:$AJ$203,(AU1221-1)*8+AY1221)</f>
        <v>202102</v>
      </c>
      <c r="AW1221" s="14">
        <f t="shared" ref="AW1221:AW1284" si="305">INDEX($W$4:$W$28,AU1221)</f>
        <v>1102021</v>
      </c>
      <c r="AX1221" s="13" t="s">
        <v>1127</v>
      </c>
      <c r="AY1221" s="13">
        <f t="shared" ref="AY1221:AY1284" si="306">INT(((AT1221-(AU1221-1)*80)-1)/10)+1</f>
        <v>2</v>
      </c>
      <c r="AZ1221" s="13" t="s">
        <v>1148</v>
      </c>
      <c r="BA1221" s="14">
        <f t="shared" ref="BA1221:BA1284" si="307">AT1221-(AU1221-1)*80-(AY1221-1)*10-1</f>
        <v>7</v>
      </c>
      <c r="BB1221" s="14" t="str">
        <f t="shared" ref="BB1221:BB1284" si="308">INDEX($X$4:$X$28,AU1221)&amp;"魂珠-"&amp;AY1221&amp;" 等级-"&amp;BA1221</f>
        <v>烈风螳螂魂珠-2 等级-7</v>
      </c>
      <c r="BC1221" s="25" t="s">
        <v>44</v>
      </c>
      <c r="BD1221" s="14">
        <f t="shared" ref="BD1221:BD1284" si="309">ROUND(INDEX(Q$4:Q$83,($AY1221-1)*10+$BA1221+1)*INDEX(AC$4:AC$28,$AU1221),0)</f>
        <v>384</v>
      </c>
      <c r="BE1221" s="14">
        <f>SUMIFS(BD$4:BD1221,$AU$4:$AU1221,"="&amp;$AU1221,$AY$4:$AY1221,"="&amp;$AY1221)</f>
        <v>1452</v>
      </c>
      <c r="BF1221" s="25" t="s">
        <v>1157</v>
      </c>
      <c r="BG1221" s="14">
        <f t="shared" ref="BG1221:BG1284" si="310">ROUND(INDEX(R$4:R$83,($AY1221-1)*10+$BA1221+1)*INDEX(AD$4:AD$28,$AU1221),0)</f>
        <v>160</v>
      </c>
      <c r="BH1221" s="14">
        <f>SUMIFS(BG$4:BG1221,AU$4:AU1221,"="&amp;AU1221,AY$4:AY1221,"="&amp;AY1221)</f>
        <v>605</v>
      </c>
      <c r="BI1221" s="25" t="s">
        <v>1158</v>
      </c>
      <c r="BJ1221" s="14">
        <f t="shared" ref="BJ1221:BJ1284" si="311">ROUND(INDEX(S$4:S$83,($AY1221-1)*10+$BA1221+1)*INDEX(AE$4:AE$28,$AU1221),0)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3"/>
        <v>16</v>
      </c>
      <c r="AV1222" s="14">
        <f t="shared" si="304"/>
        <v>202102</v>
      </c>
      <c r="AW1222" s="14">
        <f t="shared" si="305"/>
        <v>1102021</v>
      </c>
      <c r="AX1222" s="13" t="s">
        <v>1127</v>
      </c>
      <c r="AY1222" s="13">
        <f t="shared" si="306"/>
        <v>2</v>
      </c>
      <c r="AZ1222" s="13" t="s">
        <v>1148</v>
      </c>
      <c r="BA1222" s="14">
        <f t="shared" si="307"/>
        <v>8</v>
      </c>
      <c r="BB1222" s="14" t="str">
        <f t="shared" si="308"/>
        <v>烈风螳螂魂珠-2 等级-8</v>
      </c>
      <c r="BC1222" s="25" t="s">
        <v>44</v>
      </c>
      <c r="BD1222" s="14">
        <f t="shared" si="309"/>
        <v>456</v>
      </c>
      <c r="BE1222" s="14">
        <f>SUMIFS(BD$4:BD1222,$AU$4:$AU1222,"="&amp;$AU1222,$AY$4:$AY1222,"="&amp;$AY1222)</f>
        <v>1908</v>
      </c>
      <c r="BF1222" s="25" t="s">
        <v>1157</v>
      </c>
      <c r="BG1222" s="14">
        <f t="shared" si="310"/>
        <v>190</v>
      </c>
      <c r="BH1222" s="14">
        <f>SUMIFS(BG$4:BG1222,AU$4:AU1222,"="&amp;AU1222,AY$4:AY1222,"="&amp;AY1222)</f>
        <v>795</v>
      </c>
      <c r="BI1222" s="25" t="s">
        <v>1158</v>
      </c>
      <c r="BJ1222" s="14">
        <f t="shared" si="311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3"/>
        <v>16</v>
      </c>
      <c r="AV1223" s="14">
        <f t="shared" si="304"/>
        <v>202102</v>
      </c>
      <c r="AW1223" s="14">
        <f t="shared" si="305"/>
        <v>1102021</v>
      </c>
      <c r="AX1223" s="13" t="s">
        <v>1127</v>
      </c>
      <c r="AY1223" s="13">
        <f t="shared" si="306"/>
        <v>2</v>
      </c>
      <c r="AZ1223" s="13" t="s">
        <v>1148</v>
      </c>
      <c r="BA1223" s="14">
        <f t="shared" si="307"/>
        <v>9</v>
      </c>
      <c r="BB1223" s="14" t="str">
        <f t="shared" si="308"/>
        <v>烈风螳螂魂珠-2 等级-9</v>
      </c>
      <c r="BC1223" s="25" t="s">
        <v>44</v>
      </c>
      <c r="BD1223" s="14">
        <f t="shared" si="309"/>
        <v>540</v>
      </c>
      <c r="BE1223" s="14">
        <f>SUMIFS(BD$4:BD1223,$AU$4:$AU1223,"="&amp;$AU1223,$AY$4:$AY1223,"="&amp;$AY1223)</f>
        <v>2448</v>
      </c>
      <c r="BF1223" s="25" t="s">
        <v>1157</v>
      </c>
      <c r="BG1223" s="14">
        <f t="shared" si="310"/>
        <v>225</v>
      </c>
      <c r="BH1223" s="14">
        <f>SUMIFS(BG$4:BG1223,AU$4:AU1223,"="&amp;AU1223,AY$4:AY1223,"="&amp;AY1223)</f>
        <v>1020</v>
      </c>
      <c r="BI1223" s="25" t="s">
        <v>1158</v>
      </c>
      <c r="BJ1223" s="14">
        <f t="shared" si="311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3"/>
        <v>16</v>
      </c>
      <c r="AV1224" s="14">
        <f t="shared" si="304"/>
        <v>202103</v>
      </c>
      <c r="AW1224" s="14">
        <f t="shared" si="305"/>
        <v>1102021</v>
      </c>
      <c r="AX1224" s="13" t="s">
        <v>1127</v>
      </c>
      <c r="AY1224" s="13">
        <f t="shared" si="306"/>
        <v>3</v>
      </c>
      <c r="AZ1224" s="13" t="s">
        <v>1148</v>
      </c>
      <c r="BA1224" s="14">
        <f t="shared" si="307"/>
        <v>0</v>
      </c>
      <c r="BB1224" s="14" t="str">
        <f t="shared" si="308"/>
        <v>烈风螳螂魂珠-3 等级-0</v>
      </c>
      <c r="BC1224" s="25" t="s">
        <v>44</v>
      </c>
      <c r="BD1224" s="14">
        <f t="shared" si="309"/>
        <v>0</v>
      </c>
      <c r="BE1224" s="14">
        <f>SUMIFS(BD$4:BD1224,$AU$4:$AU1224,"="&amp;$AU1224,$AY$4:$AY1224,"="&amp;$AY1224)</f>
        <v>0</v>
      </c>
      <c r="BF1224" s="25" t="s">
        <v>1157</v>
      </c>
      <c r="BG1224" s="14">
        <f t="shared" si="310"/>
        <v>0</v>
      </c>
      <c r="BH1224" s="14">
        <f>SUMIFS(BG$4:BG1224,AU$4:AU1224,"="&amp;AU1224,AY$4:AY1224,"="&amp;AY1224)</f>
        <v>0</v>
      </c>
      <c r="BI1224" s="25" t="s">
        <v>1158</v>
      </c>
      <c r="BJ1224" s="14">
        <f t="shared" si="311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3"/>
        <v>16</v>
      </c>
      <c r="AV1225" s="14">
        <f t="shared" si="304"/>
        <v>202103</v>
      </c>
      <c r="AW1225" s="14">
        <f t="shared" si="305"/>
        <v>1102021</v>
      </c>
      <c r="AX1225" s="13" t="s">
        <v>1127</v>
      </c>
      <c r="AY1225" s="13">
        <f t="shared" si="306"/>
        <v>3</v>
      </c>
      <c r="AZ1225" s="13" t="s">
        <v>1148</v>
      </c>
      <c r="BA1225" s="14">
        <f t="shared" si="307"/>
        <v>1</v>
      </c>
      <c r="BB1225" s="14" t="str">
        <f t="shared" si="308"/>
        <v>烈风螳螂魂珠-3 等级-1</v>
      </c>
      <c r="BC1225" s="25" t="s">
        <v>44</v>
      </c>
      <c r="BD1225" s="14">
        <f t="shared" si="309"/>
        <v>96</v>
      </c>
      <c r="BE1225" s="14">
        <f>SUMIFS(BD$4:BD1225,$AU$4:$AU1225,"="&amp;$AU1225,$AY$4:$AY1225,"="&amp;$AY1225)</f>
        <v>96</v>
      </c>
      <c r="BF1225" s="25" t="s">
        <v>1157</v>
      </c>
      <c r="BG1225" s="14">
        <f t="shared" si="310"/>
        <v>40</v>
      </c>
      <c r="BH1225" s="14">
        <f>SUMIFS(BG$4:BG1225,AU$4:AU1225,"="&amp;AU1225,AY$4:AY1225,"="&amp;AY1225)</f>
        <v>40</v>
      </c>
      <c r="BI1225" s="25" t="s">
        <v>1158</v>
      </c>
      <c r="BJ1225" s="14">
        <f t="shared" si="311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3"/>
        <v>16</v>
      </c>
      <c r="AV1226" s="14">
        <f t="shared" si="304"/>
        <v>202103</v>
      </c>
      <c r="AW1226" s="14">
        <f t="shared" si="305"/>
        <v>1102021</v>
      </c>
      <c r="AX1226" s="13" t="s">
        <v>1127</v>
      </c>
      <c r="AY1226" s="13">
        <f t="shared" si="306"/>
        <v>3</v>
      </c>
      <c r="AZ1226" s="13" t="s">
        <v>1148</v>
      </c>
      <c r="BA1226" s="14">
        <f t="shared" si="307"/>
        <v>2</v>
      </c>
      <c r="BB1226" s="14" t="str">
        <f t="shared" si="308"/>
        <v>烈风螳螂魂珠-3 等级-2</v>
      </c>
      <c r="BC1226" s="25" t="s">
        <v>44</v>
      </c>
      <c r="BD1226" s="14">
        <f t="shared" si="309"/>
        <v>144</v>
      </c>
      <c r="BE1226" s="14">
        <f>SUMIFS(BD$4:BD1226,$AU$4:$AU1226,"="&amp;$AU1226,$AY$4:$AY1226,"="&amp;$AY1226)</f>
        <v>240</v>
      </c>
      <c r="BF1226" s="25" t="s">
        <v>1157</v>
      </c>
      <c r="BG1226" s="14">
        <f t="shared" si="310"/>
        <v>60</v>
      </c>
      <c r="BH1226" s="14">
        <f>SUMIFS(BG$4:BG1226,AU$4:AU1226,"="&amp;AU1226,AY$4:AY1226,"="&amp;AY1226)</f>
        <v>100</v>
      </c>
      <c r="BI1226" s="25" t="s">
        <v>1158</v>
      </c>
      <c r="BJ1226" s="14">
        <f t="shared" si="311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3"/>
        <v>16</v>
      </c>
      <c r="AV1227" s="14">
        <f t="shared" si="304"/>
        <v>202103</v>
      </c>
      <c r="AW1227" s="14">
        <f t="shared" si="305"/>
        <v>1102021</v>
      </c>
      <c r="AX1227" s="13" t="s">
        <v>1127</v>
      </c>
      <c r="AY1227" s="13">
        <f t="shared" si="306"/>
        <v>3</v>
      </c>
      <c r="AZ1227" s="13" t="s">
        <v>1148</v>
      </c>
      <c r="BA1227" s="14">
        <f t="shared" si="307"/>
        <v>3</v>
      </c>
      <c r="BB1227" s="14" t="str">
        <f t="shared" si="308"/>
        <v>烈风螳螂魂珠-3 等级-3</v>
      </c>
      <c r="BC1227" s="25" t="s">
        <v>44</v>
      </c>
      <c r="BD1227" s="14">
        <f t="shared" si="309"/>
        <v>192</v>
      </c>
      <c r="BE1227" s="14">
        <f>SUMIFS(BD$4:BD1227,$AU$4:$AU1227,"="&amp;$AU1227,$AY$4:$AY1227,"="&amp;$AY1227)</f>
        <v>432</v>
      </c>
      <c r="BF1227" s="25" t="s">
        <v>1157</v>
      </c>
      <c r="BG1227" s="14">
        <f t="shared" si="310"/>
        <v>80</v>
      </c>
      <c r="BH1227" s="14">
        <f>SUMIFS(BG$4:BG1227,AU$4:AU1227,"="&amp;AU1227,AY$4:AY1227,"="&amp;AY1227)</f>
        <v>180</v>
      </c>
      <c r="BI1227" s="25" t="s">
        <v>1158</v>
      </c>
      <c r="BJ1227" s="14">
        <f t="shared" si="311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3"/>
        <v>16</v>
      </c>
      <c r="AV1228" s="14">
        <f t="shared" si="304"/>
        <v>202103</v>
      </c>
      <c r="AW1228" s="14">
        <f t="shared" si="305"/>
        <v>1102021</v>
      </c>
      <c r="AX1228" s="13" t="s">
        <v>1127</v>
      </c>
      <c r="AY1228" s="13">
        <f t="shared" si="306"/>
        <v>3</v>
      </c>
      <c r="AZ1228" s="13" t="s">
        <v>1148</v>
      </c>
      <c r="BA1228" s="14">
        <f t="shared" si="307"/>
        <v>4</v>
      </c>
      <c r="BB1228" s="14" t="str">
        <f t="shared" si="308"/>
        <v>烈风螳螂魂珠-3 等级-4</v>
      </c>
      <c r="BC1228" s="25" t="s">
        <v>44</v>
      </c>
      <c r="BD1228" s="14">
        <f t="shared" si="309"/>
        <v>288</v>
      </c>
      <c r="BE1228" s="14">
        <f>SUMIFS(BD$4:BD1228,$AU$4:$AU1228,"="&amp;$AU1228,$AY$4:$AY1228,"="&amp;$AY1228)</f>
        <v>720</v>
      </c>
      <c r="BF1228" s="25" t="s">
        <v>1157</v>
      </c>
      <c r="BG1228" s="14">
        <f t="shared" si="310"/>
        <v>120</v>
      </c>
      <c r="BH1228" s="14">
        <f>SUMIFS(BG$4:BG1228,AU$4:AU1228,"="&amp;AU1228,AY$4:AY1228,"="&amp;AY1228)</f>
        <v>300</v>
      </c>
      <c r="BI1228" s="25" t="s">
        <v>1158</v>
      </c>
      <c r="BJ1228" s="14">
        <f t="shared" si="311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3"/>
        <v>16</v>
      </c>
      <c r="AV1229" s="14">
        <f t="shared" si="304"/>
        <v>202103</v>
      </c>
      <c r="AW1229" s="14">
        <f t="shared" si="305"/>
        <v>1102021</v>
      </c>
      <c r="AX1229" s="13" t="s">
        <v>1127</v>
      </c>
      <c r="AY1229" s="13">
        <f t="shared" si="306"/>
        <v>3</v>
      </c>
      <c r="AZ1229" s="13" t="s">
        <v>1148</v>
      </c>
      <c r="BA1229" s="14">
        <f t="shared" si="307"/>
        <v>5</v>
      </c>
      <c r="BB1229" s="14" t="str">
        <f t="shared" si="308"/>
        <v>烈风螳螂魂珠-3 等级-5</v>
      </c>
      <c r="BC1229" s="25" t="s">
        <v>44</v>
      </c>
      <c r="BD1229" s="14">
        <f t="shared" si="309"/>
        <v>384</v>
      </c>
      <c r="BE1229" s="14">
        <f>SUMIFS(BD$4:BD1229,$AU$4:$AU1229,"="&amp;$AU1229,$AY$4:$AY1229,"="&amp;$AY1229)</f>
        <v>1104</v>
      </c>
      <c r="BF1229" s="25" t="s">
        <v>1157</v>
      </c>
      <c r="BG1229" s="14">
        <f t="shared" si="310"/>
        <v>160</v>
      </c>
      <c r="BH1229" s="14">
        <f>SUMIFS(BG$4:BG1229,AU$4:AU1229,"="&amp;AU1229,AY$4:AY1229,"="&amp;AY1229)</f>
        <v>460</v>
      </c>
      <c r="BI1229" s="25" t="s">
        <v>1158</v>
      </c>
      <c r="BJ1229" s="14">
        <f t="shared" si="311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3"/>
        <v>16</v>
      </c>
      <c r="AV1230" s="14">
        <f t="shared" si="304"/>
        <v>202103</v>
      </c>
      <c r="AW1230" s="14">
        <f t="shared" si="305"/>
        <v>1102021</v>
      </c>
      <c r="AX1230" s="13" t="s">
        <v>1127</v>
      </c>
      <c r="AY1230" s="13">
        <f t="shared" si="306"/>
        <v>3</v>
      </c>
      <c r="AZ1230" s="13" t="s">
        <v>1148</v>
      </c>
      <c r="BA1230" s="14">
        <f t="shared" si="307"/>
        <v>6</v>
      </c>
      <c r="BB1230" s="14" t="str">
        <f t="shared" si="308"/>
        <v>烈风螳螂魂珠-3 等级-6</v>
      </c>
      <c r="BC1230" s="25" t="s">
        <v>44</v>
      </c>
      <c r="BD1230" s="14">
        <f t="shared" si="309"/>
        <v>480</v>
      </c>
      <c r="BE1230" s="14">
        <f>SUMIFS(BD$4:BD1230,$AU$4:$AU1230,"="&amp;$AU1230,$AY$4:$AY1230,"="&amp;$AY1230)</f>
        <v>1584</v>
      </c>
      <c r="BF1230" s="25" t="s">
        <v>1157</v>
      </c>
      <c r="BG1230" s="14">
        <f t="shared" si="310"/>
        <v>200</v>
      </c>
      <c r="BH1230" s="14">
        <f>SUMIFS(BG$4:BG1230,AU$4:AU1230,"="&amp;AU1230,AY$4:AY1230,"="&amp;AY1230)</f>
        <v>660</v>
      </c>
      <c r="BI1230" s="25" t="s">
        <v>1158</v>
      </c>
      <c r="BJ1230" s="14">
        <f t="shared" si="311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3"/>
        <v>16</v>
      </c>
      <c r="AV1231" s="14">
        <f t="shared" si="304"/>
        <v>202103</v>
      </c>
      <c r="AW1231" s="14">
        <f t="shared" si="305"/>
        <v>1102021</v>
      </c>
      <c r="AX1231" s="13" t="s">
        <v>1127</v>
      </c>
      <c r="AY1231" s="13">
        <f t="shared" si="306"/>
        <v>3</v>
      </c>
      <c r="AZ1231" s="13" t="s">
        <v>1148</v>
      </c>
      <c r="BA1231" s="14">
        <f t="shared" si="307"/>
        <v>7</v>
      </c>
      <c r="BB1231" s="14" t="str">
        <f t="shared" si="308"/>
        <v>烈风螳螂魂珠-3 等级-7</v>
      </c>
      <c r="BC1231" s="25" t="s">
        <v>44</v>
      </c>
      <c r="BD1231" s="14">
        <f t="shared" si="309"/>
        <v>576</v>
      </c>
      <c r="BE1231" s="14">
        <f>SUMIFS(BD$4:BD1231,$AU$4:$AU1231,"="&amp;$AU1231,$AY$4:$AY1231,"="&amp;$AY1231)</f>
        <v>2160</v>
      </c>
      <c r="BF1231" s="25" t="s">
        <v>1157</v>
      </c>
      <c r="BG1231" s="14">
        <f t="shared" si="310"/>
        <v>240</v>
      </c>
      <c r="BH1231" s="14">
        <f>SUMIFS(BG$4:BG1231,AU$4:AU1231,"="&amp;AU1231,AY$4:AY1231,"="&amp;AY1231)</f>
        <v>900</v>
      </c>
      <c r="BI1231" s="25" t="s">
        <v>1158</v>
      </c>
      <c r="BJ1231" s="14">
        <f t="shared" si="311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3"/>
        <v>16</v>
      </c>
      <c r="AV1232" s="14">
        <f t="shared" si="304"/>
        <v>202103</v>
      </c>
      <c r="AW1232" s="14">
        <f t="shared" si="305"/>
        <v>1102021</v>
      </c>
      <c r="AX1232" s="13" t="s">
        <v>1127</v>
      </c>
      <c r="AY1232" s="13">
        <f t="shared" si="306"/>
        <v>3</v>
      </c>
      <c r="AZ1232" s="13" t="s">
        <v>1148</v>
      </c>
      <c r="BA1232" s="14">
        <f t="shared" si="307"/>
        <v>8</v>
      </c>
      <c r="BB1232" s="14" t="str">
        <f t="shared" si="308"/>
        <v>烈风螳螂魂珠-3 等级-8</v>
      </c>
      <c r="BC1232" s="25" t="s">
        <v>44</v>
      </c>
      <c r="BD1232" s="14">
        <f t="shared" si="309"/>
        <v>672</v>
      </c>
      <c r="BE1232" s="14">
        <f>SUMIFS(BD$4:BD1232,$AU$4:$AU1232,"="&amp;$AU1232,$AY$4:$AY1232,"="&amp;$AY1232)</f>
        <v>2832</v>
      </c>
      <c r="BF1232" s="25" t="s">
        <v>1157</v>
      </c>
      <c r="BG1232" s="14">
        <f t="shared" si="310"/>
        <v>280</v>
      </c>
      <c r="BH1232" s="14">
        <f>SUMIFS(BG$4:BG1232,AU$4:AU1232,"="&amp;AU1232,AY$4:AY1232,"="&amp;AY1232)</f>
        <v>1180</v>
      </c>
      <c r="BI1232" s="25" t="s">
        <v>1158</v>
      </c>
      <c r="BJ1232" s="14">
        <f t="shared" si="311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3"/>
        <v>16</v>
      </c>
      <c r="AV1233" s="14">
        <f t="shared" si="304"/>
        <v>202103</v>
      </c>
      <c r="AW1233" s="14">
        <f t="shared" si="305"/>
        <v>1102021</v>
      </c>
      <c r="AX1233" s="13" t="s">
        <v>1127</v>
      </c>
      <c r="AY1233" s="13">
        <f t="shared" si="306"/>
        <v>3</v>
      </c>
      <c r="AZ1233" s="13" t="s">
        <v>1148</v>
      </c>
      <c r="BA1233" s="14">
        <f t="shared" si="307"/>
        <v>9</v>
      </c>
      <c r="BB1233" s="14" t="str">
        <f t="shared" si="308"/>
        <v>烈风螳螂魂珠-3 等级-9</v>
      </c>
      <c r="BC1233" s="25" t="s">
        <v>44</v>
      </c>
      <c r="BD1233" s="14">
        <f t="shared" si="309"/>
        <v>768</v>
      </c>
      <c r="BE1233" s="14">
        <f>SUMIFS(BD$4:BD1233,$AU$4:$AU1233,"="&amp;$AU1233,$AY$4:$AY1233,"="&amp;$AY1233)</f>
        <v>3600</v>
      </c>
      <c r="BF1233" s="25" t="s">
        <v>1157</v>
      </c>
      <c r="BG1233" s="14">
        <f t="shared" si="310"/>
        <v>320</v>
      </c>
      <c r="BH1233" s="14">
        <f>SUMIFS(BG$4:BG1233,AU$4:AU1233,"="&amp;AU1233,AY$4:AY1233,"="&amp;AY1233)</f>
        <v>1500</v>
      </c>
      <c r="BI1233" s="25" t="s">
        <v>1158</v>
      </c>
      <c r="BJ1233" s="14">
        <f t="shared" si="311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3"/>
        <v>16</v>
      </c>
      <c r="AV1234" s="14">
        <f t="shared" si="304"/>
        <v>202104</v>
      </c>
      <c r="AW1234" s="14">
        <f t="shared" si="305"/>
        <v>1102021</v>
      </c>
      <c r="AX1234" s="13" t="s">
        <v>1127</v>
      </c>
      <c r="AY1234" s="13">
        <f t="shared" si="306"/>
        <v>4</v>
      </c>
      <c r="AZ1234" s="13" t="s">
        <v>1148</v>
      </c>
      <c r="BA1234" s="14">
        <f t="shared" si="307"/>
        <v>0</v>
      </c>
      <c r="BB1234" s="14" t="str">
        <f t="shared" si="308"/>
        <v>烈风螳螂魂珠-4 等级-0</v>
      </c>
      <c r="BC1234" s="25" t="s">
        <v>44</v>
      </c>
      <c r="BD1234" s="14">
        <f t="shared" si="309"/>
        <v>0</v>
      </c>
      <c r="BE1234" s="14">
        <f>SUMIFS(BD$4:BD1234,$AU$4:$AU1234,"="&amp;$AU1234,$AY$4:$AY1234,"="&amp;$AY1234)</f>
        <v>0</v>
      </c>
      <c r="BF1234" s="25" t="s">
        <v>1157</v>
      </c>
      <c r="BG1234" s="14">
        <f t="shared" si="310"/>
        <v>0</v>
      </c>
      <c r="BH1234" s="14">
        <f>SUMIFS(BG$4:BG1234,AU$4:AU1234,"="&amp;AU1234,AY$4:AY1234,"="&amp;AY1234)</f>
        <v>0</v>
      </c>
      <c r="BI1234" s="25" t="s">
        <v>1158</v>
      </c>
      <c r="BJ1234" s="14">
        <f t="shared" si="311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3"/>
        <v>16</v>
      </c>
      <c r="AV1235" s="14">
        <f t="shared" si="304"/>
        <v>202104</v>
      </c>
      <c r="AW1235" s="14">
        <f t="shared" si="305"/>
        <v>1102021</v>
      </c>
      <c r="AX1235" s="13" t="s">
        <v>1127</v>
      </c>
      <c r="AY1235" s="13">
        <f t="shared" si="306"/>
        <v>4</v>
      </c>
      <c r="AZ1235" s="13" t="s">
        <v>1148</v>
      </c>
      <c r="BA1235" s="14">
        <f t="shared" si="307"/>
        <v>1</v>
      </c>
      <c r="BB1235" s="14" t="str">
        <f t="shared" si="308"/>
        <v>烈风螳螂魂珠-4 等级-1</v>
      </c>
      <c r="BC1235" s="25" t="s">
        <v>44</v>
      </c>
      <c r="BD1235" s="14">
        <f t="shared" si="309"/>
        <v>120</v>
      </c>
      <c r="BE1235" s="14">
        <f>SUMIFS(BD$4:BD1235,$AU$4:$AU1235,"="&amp;$AU1235,$AY$4:$AY1235,"="&amp;$AY1235)</f>
        <v>120</v>
      </c>
      <c r="BF1235" s="25" t="s">
        <v>1157</v>
      </c>
      <c r="BG1235" s="14">
        <f t="shared" si="310"/>
        <v>50</v>
      </c>
      <c r="BH1235" s="14">
        <f>SUMIFS(BG$4:BG1235,AU$4:AU1235,"="&amp;AU1235,AY$4:AY1235,"="&amp;AY1235)</f>
        <v>50</v>
      </c>
      <c r="BI1235" s="25" t="s">
        <v>1158</v>
      </c>
      <c r="BJ1235" s="14">
        <f t="shared" si="311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3"/>
        <v>16</v>
      </c>
      <c r="AV1236" s="14">
        <f t="shared" si="304"/>
        <v>202104</v>
      </c>
      <c r="AW1236" s="14">
        <f t="shared" si="305"/>
        <v>1102021</v>
      </c>
      <c r="AX1236" s="13" t="s">
        <v>1127</v>
      </c>
      <c r="AY1236" s="13">
        <f t="shared" si="306"/>
        <v>4</v>
      </c>
      <c r="AZ1236" s="13" t="s">
        <v>1148</v>
      </c>
      <c r="BA1236" s="14">
        <f t="shared" si="307"/>
        <v>2</v>
      </c>
      <c r="BB1236" s="14" t="str">
        <f t="shared" si="308"/>
        <v>烈风螳螂魂珠-4 等级-2</v>
      </c>
      <c r="BC1236" s="25" t="s">
        <v>44</v>
      </c>
      <c r="BD1236" s="14">
        <f t="shared" si="309"/>
        <v>192</v>
      </c>
      <c r="BE1236" s="14">
        <f>SUMIFS(BD$4:BD1236,$AU$4:$AU1236,"="&amp;$AU1236,$AY$4:$AY1236,"="&amp;$AY1236)</f>
        <v>312</v>
      </c>
      <c r="BF1236" s="25" t="s">
        <v>1157</v>
      </c>
      <c r="BG1236" s="14">
        <f t="shared" si="310"/>
        <v>80</v>
      </c>
      <c r="BH1236" s="14">
        <f>SUMIFS(BG$4:BG1236,AU$4:AU1236,"="&amp;AU1236,AY$4:AY1236,"="&amp;AY1236)</f>
        <v>130</v>
      </c>
      <c r="BI1236" s="25" t="s">
        <v>1158</v>
      </c>
      <c r="BJ1236" s="14">
        <f t="shared" si="311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3"/>
        <v>16</v>
      </c>
      <c r="AV1237" s="14">
        <f t="shared" si="304"/>
        <v>202104</v>
      </c>
      <c r="AW1237" s="14">
        <f t="shared" si="305"/>
        <v>1102021</v>
      </c>
      <c r="AX1237" s="13" t="s">
        <v>1127</v>
      </c>
      <c r="AY1237" s="13">
        <f t="shared" si="306"/>
        <v>4</v>
      </c>
      <c r="AZ1237" s="13" t="s">
        <v>1148</v>
      </c>
      <c r="BA1237" s="14">
        <f t="shared" si="307"/>
        <v>3</v>
      </c>
      <c r="BB1237" s="14" t="str">
        <f t="shared" si="308"/>
        <v>烈风螳螂魂珠-4 等级-3</v>
      </c>
      <c r="BC1237" s="25" t="s">
        <v>44</v>
      </c>
      <c r="BD1237" s="14">
        <f t="shared" si="309"/>
        <v>264</v>
      </c>
      <c r="BE1237" s="14">
        <f>SUMIFS(BD$4:BD1237,$AU$4:$AU1237,"="&amp;$AU1237,$AY$4:$AY1237,"="&amp;$AY1237)</f>
        <v>576</v>
      </c>
      <c r="BF1237" s="25" t="s">
        <v>1157</v>
      </c>
      <c r="BG1237" s="14">
        <f t="shared" si="310"/>
        <v>110</v>
      </c>
      <c r="BH1237" s="14">
        <f>SUMIFS(BG$4:BG1237,AU$4:AU1237,"="&amp;AU1237,AY$4:AY1237,"="&amp;AY1237)</f>
        <v>240</v>
      </c>
      <c r="BI1237" s="25" t="s">
        <v>1158</v>
      </c>
      <c r="BJ1237" s="14">
        <f t="shared" si="311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3"/>
        <v>16</v>
      </c>
      <c r="AV1238" s="14">
        <f t="shared" si="304"/>
        <v>202104</v>
      </c>
      <c r="AW1238" s="14">
        <f t="shared" si="305"/>
        <v>1102021</v>
      </c>
      <c r="AX1238" s="13" t="s">
        <v>1127</v>
      </c>
      <c r="AY1238" s="13">
        <f t="shared" si="306"/>
        <v>4</v>
      </c>
      <c r="AZ1238" s="13" t="s">
        <v>1148</v>
      </c>
      <c r="BA1238" s="14">
        <f t="shared" si="307"/>
        <v>4</v>
      </c>
      <c r="BB1238" s="14" t="str">
        <f t="shared" si="308"/>
        <v>烈风螳螂魂珠-4 等级-4</v>
      </c>
      <c r="BC1238" s="25" t="s">
        <v>44</v>
      </c>
      <c r="BD1238" s="14">
        <f t="shared" si="309"/>
        <v>384</v>
      </c>
      <c r="BE1238" s="14">
        <f>SUMIFS(BD$4:BD1238,$AU$4:$AU1238,"="&amp;$AU1238,$AY$4:$AY1238,"="&amp;$AY1238)</f>
        <v>960</v>
      </c>
      <c r="BF1238" s="25" t="s">
        <v>1157</v>
      </c>
      <c r="BG1238" s="14">
        <f t="shared" si="310"/>
        <v>160</v>
      </c>
      <c r="BH1238" s="14">
        <f>SUMIFS(BG$4:BG1238,AU$4:AU1238,"="&amp;AU1238,AY$4:AY1238,"="&amp;AY1238)</f>
        <v>400</v>
      </c>
      <c r="BI1238" s="25" t="s">
        <v>1158</v>
      </c>
      <c r="BJ1238" s="14">
        <f t="shared" si="311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3"/>
        <v>16</v>
      </c>
      <c r="AV1239" s="14">
        <f t="shared" si="304"/>
        <v>202104</v>
      </c>
      <c r="AW1239" s="14">
        <f t="shared" si="305"/>
        <v>1102021</v>
      </c>
      <c r="AX1239" s="13" t="s">
        <v>1127</v>
      </c>
      <c r="AY1239" s="13">
        <f t="shared" si="306"/>
        <v>4</v>
      </c>
      <c r="AZ1239" s="13" t="s">
        <v>1148</v>
      </c>
      <c r="BA1239" s="14">
        <f t="shared" si="307"/>
        <v>5</v>
      </c>
      <c r="BB1239" s="14" t="str">
        <f t="shared" si="308"/>
        <v>烈风螳螂魂珠-4 等级-5</v>
      </c>
      <c r="BC1239" s="25" t="s">
        <v>44</v>
      </c>
      <c r="BD1239" s="14">
        <f t="shared" si="309"/>
        <v>504</v>
      </c>
      <c r="BE1239" s="14">
        <f>SUMIFS(BD$4:BD1239,$AU$4:$AU1239,"="&amp;$AU1239,$AY$4:$AY1239,"="&amp;$AY1239)</f>
        <v>1464</v>
      </c>
      <c r="BF1239" s="25" t="s">
        <v>1157</v>
      </c>
      <c r="BG1239" s="14">
        <f t="shared" si="310"/>
        <v>210</v>
      </c>
      <c r="BH1239" s="14">
        <f>SUMIFS(BG$4:BG1239,AU$4:AU1239,"="&amp;AU1239,AY$4:AY1239,"="&amp;AY1239)</f>
        <v>610</v>
      </c>
      <c r="BI1239" s="25" t="s">
        <v>1158</v>
      </c>
      <c r="BJ1239" s="14">
        <f t="shared" si="311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3"/>
        <v>16</v>
      </c>
      <c r="AV1240" s="14">
        <f t="shared" si="304"/>
        <v>202104</v>
      </c>
      <c r="AW1240" s="14">
        <f t="shared" si="305"/>
        <v>1102021</v>
      </c>
      <c r="AX1240" s="13" t="s">
        <v>1127</v>
      </c>
      <c r="AY1240" s="13">
        <f t="shared" si="306"/>
        <v>4</v>
      </c>
      <c r="AZ1240" s="13" t="s">
        <v>1148</v>
      </c>
      <c r="BA1240" s="14">
        <f t="shared" si="307"/>
        <v>6</v>
      </c>
      <c r="BB1240" s="14" t="str">
        <f t="shared" si="308"/>
        <v>烈风螳螂魂珠-4 等级-6</v>
      </c>
      <c r="BC1240" s="25" t="s">
        <v>44</v>
      </c>
      <c r="BD1240" s="14">
        <f t="shared" si="309"/>
        <v>660</v>
      </c>
      <c r="BE1240" s="14">
        <f>SUMIFS(BD$4:BD1240,$AU$4:$AU1240,"="&amp;$AU1240,$AY$4:$AY1240,"="&amp;$AY1240)</f>
        <v>2124</v>
      </c>
      <c r="BF1240" s="25" t="s">
        <v>1157</v>
      </c>
      <c r="BG1240" s="14">
        <f t="shared" si="310"/>
        <v>275</v>
      </c>
      <c r="BH1240" s="14">
        <f>SUMIFS(BG$4:BG1240,AU$4:AU1240,"="&amp;AU1240,AY$4:AY1240,"="&amp;AY1240)</f>
        <v>885</v>
      </c>
      <c r="BI1240" s="25" t="s">
        <v>1158</v>
      </c>
      <c r="BJ1240" s="14">
        <f t="shared" si="311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3"/>
        <v>16</v>
      </c>
      <c r="AV1241" s="14">
        <f t="shared" si="304"/>
        <v>202104</v>
      </c>
      <c r="AW1241" s="14">
        <f t="shared" si="305"/>
        <v>1102021</v>
      </c>
      <c r="AX1241" s="13" t="s">
        <v>1127</v>
      </c>
      <c r="AY1241" s="13">
        <f t="shared" si="306"/>
        <v>4</v>
      </c>
      <c r="AZ1241" s="13" t="s">
        <v>1148</v>
      </c>
      <c r="BA1241" s="14">
        <f t="shared" si="307"/>
        <v>7</v>
      </c>
      <c r="BB1241" s="14" t="str">
        <f t="shared" si="308"/>
        <v>烈风螳螂魂珠-4 等级-7</v>
      </c>
      <c r="BC1241" s="25" t="s">
        <v>44</v>
      </c>
      <c r="BD1241" s="14">
        <f t="shared" si="309"/>
        <v>780</v>
      </c>
      <c r="BE1241" s="14">
        <f>SUMIFS(BD$4:BD1241,$AU$4:$AU1241,"="&amp;$AU1241,$AY$4:$AY1241,"="&amp;$AY1241)</f>
        <v>2904</v>
      </c>
      <c r="BF1241" s="25" t="s">
        <v>1157</v>
      </c>
      <c r="BG1241" s="14">
        <f t="shared" si="310"/>
        <v>325</v>
      </c>
      <c r="BH1241" s="14">
        <f>SUMIFS(BG$4:BG1241,AU$4:AU1241,"="&amp;AU1241,AY$4:AY1241,"="&amp;AY1241)</f>
        <v>1210</v>
      </c>
      <c r="BI1241" s="25" t="s">
        <v>1158</v>
      </c>
      <c r="BJ1241" s="14">
        <f t="shared" si="311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3"/>
        <v>16</v>
      </c>
      <c r="AV1242" s="14">
        <f t="shared" si="304"/>
        <v>202104</v>
      </c>
      <c r="AW1242" s="14">
        <f t="shared" si="305"/>
        <v>1102021</v>
      </c>
      <c r="AX1242" s="13" t="s">
        <v>1127</v>
      </c>
      <c r="AY1242" s="13">
        <f t="shared" si="306"/>
        <v>4</v>
      </c>
      <c r="AZ1242" s="13" t="s">
        <v>1148</v>
      </c>
      <c r="BA1242" s="14">
        <f t="shared" si="307"/>
        <v>8</v>
      </c>
      <c r="BB1242" s="14" t="str">
        <f t="shared" si="308"/>
        <v>烈风螳螂魂珠-4 等级-8</v>
      </c>
      <c r="BC1242" s="25" t="s">
        <v>44</v>
      </c>
      <c r="BD1242" s="14">
        <f t="shared" si="309"/>
        <v>900</v>
      </c>
      <c r="BE1242" s="14">
        <f>SUMIFS(BD$4:BD1242,$AU$4:$AU1242,"="&amp;$AU1242,$AY$4:$AY1242,"="&amp;$AY1242)</f>
        <v>3804</v>
      </c>
      <c r="BF1242" s="25" t="s">
        <v>1157</v>
      </c>
      <c r="BG1242" s="14">
        <f t="shared" si="310"/>
        <v>375</v>
      </c>
      <c r="BH1242" s="14">
        <f>SUMIFS(BG$4:BG1242,AU$4:AU1242,"="&amp;AU1242,AY$4:AY1242,"="&amp;AY1242)</f>
        <v>1585</v>
      </c>
      <c r="BI1242" s="25" t="s">
        <v>1158</v>
      </c>
      <c r="BJ1242" s="14">
        <f t="shared" si="311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3"/>
        <v>16</v>
      </c>
      <c r="AV1243" s="14">
        <f t="shared" si="304"/>
        <v>202104</v>
      </c>
      <c r="AW1243" s="14">
        <f t="shared" si="305"/>
        <v>1102021</v>
      </c>
      <c r="AX1243" s="13" t="s">
        <v>1127</v>
      </c>
      <c r="AY1243" s="13">
        <f t="shared" si="306"/>
        <v>4</v>
      </c>
      <c r="AZ1243" s="13" t="s">
        <v>1148</v>
      </c>
      <c r="BA1243" s="14">
        <f t="shared" si="307"/>
        <v>9</v>
      </c>
      <c r="BB1243" s="14" t="str">
        <f t="shared" si="308"/>
        <v>烈风螳螂魂珠-4 等级-9</v>
      </c>
      <c r="BC1243" s="25" t="s">
        <v>44</v>
      </c>
      <c r="BD1243" s="14">
        <f t="shared" si="309"/>
        <v>1020</v>
      </c>
      <c r="BE1243" s="14">
        <f>SUMIFS(BD$4:BD1243,$AU$4:$AU1243,"="&amp;$AU1243,$AY$4:$AY1243,"="&amp;$AY1243)</f>
        <v>4824</v>
      </c>
      <c r="BF1243" s="25" t="s">
        <v>1157</v>
      </c>
      <c r="BG1243" s="14">
        <f t="shared" si="310"/>
        <v>425</v>
      </c>
      <c r="BH1243" s="14">
        <f>SUMIFS(BG$4:BG1243,AU$4:AU1243,"="&amp;AU1243,AY$4:AY1243,"="&amp;AY1243)</f>
        <v>2010</v>
      </c>
      <c r="BI1243" s="25" t="s">
        <v>1158</v>
      </c>
      <c r="BJ1243" s="14">
        <f t="shared" si="311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3"/>
        <v>16</v>
      </c>
      <c r="AV1244" s="14">
        <f t="shared" si="304"/>
        <v>202105</v>
      </c>
      <c r="AW1244" s="14">
        <f t="shared" si="305"/>
        <v>1102021</v>
      </c>
      <c r="AX1244" s="13" t="s">
        <v>1127</v>
      </c>
      <c r="AY1244" s="13">
        <f t="shared" si="306"/>
        <v>5</v>
      </c>
      <c r="AZ1244" s="13" t="s">
        <v>1148</v>
      </c>
      <c r="BA1244" s="14">
        <f t="shared" si="307"/>
        <v>0</v>
      </c>
      <c r="BB1244" s="14" t="str">
        <f t="shared" si="308"/>
        <v>烈风螳螂魂珠-5 等级-0</v>
      </c>
      <c r="BC1244" s="25" t="s">
        <v>44</v>
      </c>
      <c r="BD1244" s="14">
        <f t="shared" si="309"/>
        <v>0</v>
      </c>
      <c r="BE1244" s="14">
        <f>SUMIFS(BD$4:BD1244,$AU$4:$AU1244,"="&amp;$AU1244,$AY$4:$AY1244,"="&amp;$AY1244)</f>
        <v>0</v>
      </c>
      <c r="BF1244" s="25" t="s">
        <v>1157</v>
      </c>
      <c r="BG1244" s="14">
        <f t="shared" si="310"/>
        <v>0</v>
      </c>
      <c r="BH1244" s="14">
        <f>SUMIFS(BG$4:BG1244,AU$4:AU1244,"="&amp;AU1244,AY$4:AY1244,"="&amp;AY1244)</f>
        <v>0</v>
      </c>
      <c r="BI1244" s="25" t="s">
        <v>1158</v>
      </c>
      <c r="BJ1244" s="14">
        <f t="shared" si="311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3"/>
        <v>16</v>
      </c>
      <c r="AV1245" s="14">
        <f t="shared" si="304"/>
        <v>202105</v>
      </c>
      <c r="AW1245" s="14">
        <f t="shared" si="305"/>
        <v>1102021</v>
      </c>
      <c r="AX1245" s="13" t="s">
        <v>1127</v>
      </c>
      <c r="AY1245" s="13">
        <f t="shared" si="306"/>
        <v>5</v>
      </c>
      <c r="AZ1245" s="13" t="s">
        <v>1148</v>
      </c>
      <c r="BA1245" s="14">
        <f t="shared" si="307"/>
        <v>1</v>
      </c>
      <c r="BB1245" s="14" t="str">
        <f t="shared" si="308"/>
        <v>烈风螳螂魂珠-5 等级-1</v>
      </c>
      <c r="BC1245" s="25" t="s">
        <v>44</v>
      </c>
      <c r="BD1245" s="14">
        <f t="shared" si="309"/>
        <v>168</v>
      </c>
      <c r="BE1245" s="14">
        <f>SUMIFS(BD$4:BD1245,$AU$4:$AU1245,"="&amp;$AU1245,$AY$4:$AY1245,"="&amp;$AY1245)</f>
        <v>168</v>
      </c>
      <c r="BF1245" s="25" t="s">
        <v>1157</v>
      </c>
      <c r="BG1245" s="14">
        <f t="shared" si="310"/>
        <v>70</v>
      </c>
      <c r="BH1245" s="14">
        <f>SUMIFS(BG$4:BG1245,AU$4:AU1245,"="&amp;AU1245,AY$4:AY1245,"="&amp;AY1245)</f>
        <v>70</v>
      </c>
      <c r="BI1245" s="25" t="s">
        <v>1158</v>
      </c>
      <c r="BJ1245" s="14">
        <f t="shared" si="311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3"/>
        <v>16</v>
      </c>
      <c r="AV1246" s="14">
        <f t="shared" si="304"/>
        <v>202105</v>
      </c>
      <c r="AW1246" s="14">
        <f t="shared" si="305"/>
        <v>1102021</v>
      </c>
      <c r="AX1246" s="13" t="s">
        <v>1127</v>
      </c>
      <c r="AY1246" s="13">
        <f t="shared" si="306"/>
        <v>5</v>
      </c>
      <c r="AZ1246" s="13" t="s">
        <v>1148</v>
      </c>
      <c r="BA1246" s="14">
        <f t="shared" si="307"/>
        <v>2</v>
      </c>
      <c r="BB1246" s="14" t="str">
        <f t="shared" si="308"/>
        <v>烈风螳螂魂珠-5 等级-2</v>
      </c>
      <c r="BC1246" s="25" t="s">
        <v>44</v>
      </c>
      <c r="BD1246" s="14">
        <f t="shared" si="309"/>
        <v>240</v>
      </c>
      <c r="BE1246" s="14">
        <f>SUMIFS(BD$4:BD1246,$AU$4:$AU1246,"="&amp;$AU1246,$AY$4:$AY1246,"="&amp;$AY1246)</f>
        <v>408</v>
      </c>
      <c r="BF1246" s="25" t="s">
        <v>1157</v>
      </c>
      <c r="BG1246" s="14">
        <f t="shared" si="310"/>
        <v>100</v>
      </c>
      <c r="BH1246" s="14">
        <f>SUMIFS(BG$4:BG1246,AU$4:AU1246,"="&amp;AU1246,AY$4:AY1246,"="&amp;AY1246)</f>
        <v>170</v>
      </c>
      <c r="BI1246" s="25" t="s">
        <v>1158</v>
      </c>
      <c r="BJ1246" s="14">
        <f t="shared" si="311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3"/>
        <v>16</v>
      </c>
      <c r="AV1247" s="14">
        <f t="shared" si="304"/>
        <v>202105</v>
      </c>
      <c r="AW1247" s="14">
        <f t="shared" si="305"/>
        <v>1102021</v>
      </c>
      <c r="AX1247" s="13" t="s">
        <v>1127</v>
      </c>
      <c r="AY1247" s="13">
        <f t="shared" si="306"/>
        <v>5</v>
      </c>
      <c r="AZ1247" s="13" t="s">
        <v>1148</v>
      </c>
      <c r="BA1247" s="14">
        <f t="shared" si="307"/>
        <v>3</v>
      </c>
      <c r="BB1247" s="14" t="str">
        <f t="shared" si="308"/>
        <v>烈风螳螂魂珠-5 等级-3</v>
      </c>
      <c r="BC1247" s="25" t="s">
        <v>44</v>
      </c>
      <c r="BD1247" s="14">
        <f t="shared" si="309"/>
        <v>312</v>
      </c>
      <c r="BE1247" s="14">
        <f>SUMIFS(BD$4:BD1247,$AU$4:$AU1247,"="&amp;$AU1247,$AY$4:$AY1247,"="&amp;$AY1247)</f>
        <v>720</v>
      </c>
      <c r="BF1247" s="25" t="s">
        <v>1157</v>
      </c>
      <c r="BG1247" s="14">
        <f t="shared" si="310"/>
        <v>130</v>
      </c>
      <c r="BH1247" s="14">
        <f>SUMIFS(BG$4:BG1247,AU$4:AU1247,"="&amp;AU1247,AY$4:AY1247,"="&amp;AY1247)</f>
        <v>300</v>
      </c>
      <c r="BI1247" s="25" t="s">
        <v>1158</v>
      </c>
      <c r="BJ1247" s="14">
        <f t="shared" si="311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3"/>
        <v>16</v>
      </c>
      <c r="AV1248" s="14">
        <f t="shared" si="304"/>
        <v>202105</v>
      </c>
      <c r="AW1248" s="14">
        <f t="shared" si="305"/>
        <v>1102021</v>
      </c>
      <c r="AX1248" s="13" t="s">
        <v>1127</v>
      </c>
      <c r="AY1248" s="13">
        <f t="shared" si="306"/>
        <v>5</v>
      </c>
      <c r="AZ1248" s="13" t="s">
        <v>1148</v>
      </c>
      <c r="BA1248" s="14">
        <f t="shared" si="307"/>
        <v>4</v>
      </c>
      <c r="BB1248" s="14" t="str">
        <f t="shared" si="308"/>
        <v>烈风螳螂魂珠-5 等级-4</v>
      </c>
      <c r="BC1248" s="25" t="s">
        <v>44</v>
      </c>
      <c r="BD1248" s="14">
        <f t="shared" si="309"/>
        <v>480</v>
      </c>
      <c r="BE1248" s="14">
        <f>SUMIFS(BD$4:BD1248,$AU$4:$AU1248,"="&amp;$AU1248,$AY$4:$AY1248,"="&amp;$AY1248)</f>
        <v>1200</v>
      </c>
      <c r="BF1248" s="25" t="s">
        <v>1157</v>
      </c>
      <c r="BG1248" s="14">
        <f t="shared" si="310"/>
        <v>200</v>
      </c>
      <c r="BH1248" s="14">
        <f>SUMIFS(BG$4:BG1248,AU$4:AU1248,"="&amp;AU1248,AY$4:AY1248,"="&amp;AY1248)</f>
        <v>500</v>
      </c>
      <c r="BI1248" s="25" t="s">
        <v>1158</v>
      </c>
      <c r="BJ1248" s="14">
        <f t="shared" si="311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3"/>
        <v>16</v>
      </c>
      <c r="AV1249" s="14">
        <f t="shared" si="304"/>
        <v>202105</v>
      </c>
      <c r="AW1249" s="14">
        <f t="shared" si="305"/>
        <v>1102021</v>
      </c>
      <c r="AX1249" s="13" t="s">
        <v>1127</v>
      </c>
      <c r="AY1249" s="13">
        <f t="shared" si="306"/>
        <v>5</v>
      </c>
      <c r="AZ1249" s="13" t="s">
        <v>1148</v>
      </c>
      <c r="BA1249" s="14">
        <f t="shared" si="307"/>
        <v>5</v>
      </c>
      <c r="BB1249" s="14" t="str">
        <f t="shared" si="308"/>
        <v>烈风螳螂魂珠-5 等级-5</v>
      </c>
      <c r="BC1249" s="25" t="s">
        <v>44</v>
      </c>
      <c r="BD1249" s="14">
        <f t="shared" si="309"/>
        <v>624</v>
      </c>
      <c r="BE1249" s="14">
        <f>SUMIFS(BD$4:BD1249,$AU$4:$AU1249,"="&amp;$AU1249,$AY$4:$AY1249,"="&amp;$AY1249)</f>
        <v>1824</v>
      </c>
      <c r="BF1249" s="25" t="s">
        <v>1157</v>
      </c>
      <c r="BG1249" s="14">
        <f t="shared" si="310"/>
        <v>260</v>
      </c>
      <c r="BH1249" s="14">
        <f>SUMIFS(BG$4:BG1249,AU$4:AU1249,"="&amp;AU1249,AY$4:AY1249,"="&amp;AY1249)</f>
        <v>760</v>
      </c>
      <c r="BI1249" s="25" t="s">
        <v>1158</v>
      </c>
      <c r="BJ1249" s="14">
        <f t="shared" si="311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3"/>
        <v>16</v>
      </c>
      <c r="AV1250" s="14">
        <f t="shared" si="304"/>
        <v>202105</v>
      </c>
      <c r="AW1250" s="14">
        <f t="shared" si="305"/>
        <v>1102021</v>
      </c>
      <c r="AX1250" s="13" t="s">
        <v>1127</v>
      </c>
      <c r="AY1250" s="13">
        <f t="shared" si="306"/>
        <v>5</v>
      </c>
      <c r="AZ1250" s="13" t="s">
        <v>1148</v>
      </c>
      <c r="BA1250" s="14">
        <f t="shared" si="307"/>
        <v>6</v>
      </c>
      <c r="BB1250" s="14" t="str">
        <f t="shared" si="308"/>
        <v>烈风螳螂魂珠-5 等级-6</v>
      </c>
      <c r="BC1250" s="25" t="s">
        <v>44</v>
      </c>
      <c r="BD1250" s="14">
        <f t="shared" si="309"/>
        <v>780</v>
      </c>
      <c r="BE1250" s="14">
        <f>SUMIFS(BD$4:BD1250,$AU$4:$AU1250,"="&amp;$AU1250,$AY$4:$AY1250,"="&amp;$AY1250)</f>
        <v>2604</v>
      </c>
      <c r="BF1250" s="25" t="s">
        <v>1157</v>
      </c>
      <c r="BG1250" s="14">
        <f t="shared" si="310"/>
        <v>325</v>
      </c>
      <c r="BH1250" s="14">
        <f>SUMIFS(BG$4:BG1250,AU$4:AU1250,"="&amp;AU1250,AY$4:AY1250,"="&amp;AY1250)</f>
        <v>1085</v>
      </c>
      <c r="BI1250" s="25" t="s">
        <v>1158</v>
      </c>
      <c r="BJ1250" s="14">
        <f t="shared" si="311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3"/>
        <v>16</v>
      </c>
      <c r="AV1251" s="14">
        <f t="shared" si="304"/>
        <v>202105</v>
      </c>
      <c r="AW1251" s="14">
        <f t="shared" si="305"/>
        <v>1102021</v>
      </c>
      <c r="AX1251" s="13" t="s">
        <v>1127</v>
      </c>
      <c r="AY1251" s="13">
        <f t="shared" si="306"/>
        <v>5</v>
      </c>
      <c r="AZ1251" s="13" t="s">
        <v>1148</v>
      </c>
      <c r="BA1251" s="14">
        <f t="shared" si="307"/>
        <v>7</v>
      </c>
      <c r="BB1251" s="14" t="str">
        <f t="shared" si="308"/>
        <v>烈风螳螂魂珠-5 等级-7</v>
      </c>
      <c r="BC1251" s="25" t="s">
        <v>44</v>
      </c>
      <c r="BD1251" s="14">
        <f t="shared" si="309"/>
        <v>960</v>
      </c>
      <c r="BE1251" s="14">
        <f>SUMIFS(BD$4:BD1251,$AU$4:$AU1251,"="&amp;$AU1251,$AY$4:$AY1251,"="&amp;$AY1251)</f>
        <v>3564</v>
      </c>
      <c r="BF1251" s="25" t="s">
        <v>1157</v>
      </c>
      <c r="BG1251" s="14">
        <f t="shared" si="310"/>
        <v>400</v>
      </c>
      <c r="BH1251" s="14">
        <f>SUMIFS(BG$4:BG1251,AU$4:AU1251,"="&amp;AU1251,AY$4:AY1251,"="&amp;AY1251)</f>
        <v>1485</v>
      </c>
      <c r="BI1251" s="25" t="s">
        <v>1158</v>
      </c>
      <c r="BJ1251" s="14">
        <f t="shared" si="311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3"/>
        <v>16</v>
      </c>
      <c r="AV1252" s="14">
        <f t="shared" si="304"/>
        <v>202105</v>
      </c>
      <c r="AW1252" s="14">
        <f t="shared" si="305"/>
        <v>1102021</v>
      </c>
      <c r="AX1252" s="13" t="s">
        <v>1127</v>
      </c>
      <c r="AY1252" s="13">
        <f t="shared" si="306"/>
        <v>5</v>
      </c>
      <c r="AZ1252" s="13" t="s">
        <v>1148</v>
      </c>
      <c r="BA1252" s="14">
        <f t="shared" si="307"/>
        <v>8</v>
      </c>
      <c r="BB1252" s="14" t="str">
        <f t="shared" si="308"/>
        <v>烈风螳螂魂珠-5 等级-8</v>
      </c>
      <c r="BC1252" s="25" t="s">
        <v>44</v>
      </c>
      <c r="BD1252" s="14">
        <f t="shared" si="309"/>
        <v>1140</v>
      </c>
      <c r="BE1252" s="14">
        <f>SUMIFS(BD$4:BD1252,$AU$4:$AU1252,"="&amp;$AU1252,$AY$4:$AY1252,"="&amp;$AY1252)</f>
        <v>4704</v>
      </c>
      <c r="BF1252" s="25" t="s">
        <v>1157</v>
      </c>
      <c r="BG1252" s="14">
        <f t="shared" si="310"/>
        <v>475</v>
      </c>
      <c r="BH1252" s="14">
        <f>SUMIFS(BG$4:BG1252,AU$4:AU1252,"="&amp;AU1252,AY$4:AY1252,"="&amp;AY1252)</f>
        <v>1960</v>
      </c>
      <c r="BI1252" s="25" t="s">
        <v>1158</v>
      </c>
      <c r="BJ1252" s="14">
        <f t="shared" si="311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3"/>
        <v>16</v>
      </c>
      <c r="AV1253" s="14">
        <f t="shared" si="304"/>
        <v>202105</v>
      </c>
      <c r="AW1253" s="14">
        <f t="shared" si="305"/>
        <v>1102021</v>
      </c>
      <c r="AX1253" s="13" t="s">
        <v>1127</v>
      </c>
      <c r="AY1253" s="13">
        <f t="shared" si="306"/>
        <v>5</v>
      </c>
      <c r="AZ1253" s="13" t="s">
        <v>1148</v>
      </c>
      <c r="BA1253" s="14">
        <f t="shared" si="307"/>
        <v>9</v>
      </c>
      <c r="BB1253" s="14" t="str">
        <f t="shared" si="308"/>
        <v>烈风螳螂魂珠-5 等级-9</v>
      </c>
      <c r="BC1253" s="25" t="s">
        <v>44</v>
      </c>
      <c r="BD1253" s="14">
        <f t="shared" si="309"/>
        <v>1320</v>
      </c>
      <c r="BE1253" s="14">
        <f>SUMIFS(BD$4:BD1253,$AU$4:$AU1253,"="&amp;$AU1253,$AY$4:$AY1253,"="&amp;$AY1253)</f>
        <v>6024</v>
      </c>
      <c r="BF1253" s="25" t="s">
        <v>1157</v>
      </c>
      <c r="BG1253" s="14">
        <f t="shared" si="310"/>
        <v>550</v>
      </c>
      <c r="BH1253" s="14">
        <f>SUMIFS(BG$4:BG1253,AU$4:AU1253,"="&amp;AU1253,AY$4:AY1253,"="&amp;AY1253)</f>
        <v>2510</v>
      </c>
      <c r="BI1253" s="25" t="s">
        <v>1158</v>
      </c>
      <c r="BJ1253" s="14">
        <f t="shared" si="311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3"/>
        <v>16</v>
      </c>
      <c r="AV1254" s="14">
        <f t="shared" si="304"/>
        <v>202106</v>
      </c>
      <c r="AW1254" s="14">
        <f t="shared" si="305"/>
        <v>1102021</v>
      </c>
      <c r="AX1254" s="13" t="s">
        <v>1127</v>
      </c>
      <c r="AY1254" s="13">
        <f t="shared" si="306"/>
        <v>6</v>
      </c>
      <c r="AZ1254" s="13" t="s">
        <v>1148</v>
      </c>
      <c r="BA1254" s="14">
        <f t="shared" si="307"/>
        <v>0</v>
      </c>
      <c r="BB1254" s="14" t="str">
        <f t="shared" si="308"/>
        <v>烈风螳螂魂珠-6 等级-0</v>
      </c>
      <c r="BC1254" s="25" t="s">
        <v>44</v>
      </c>
      <c r="BD1254" s="14">
        <f t="shared" si="309"/>
        <v>0</v>
      </c>
      <c r="BE1254" s="14">
        <f>SUMIFS(BD$4:BD1254,$AU$4:$AU1254,"="&amp;$AU1254,$AY$4:$AY1254,"="&amp;$AY1254)</f>
        <v>0</v>
      </c>
      <c r="BF1254" s="25" t="s">
        <v>1157</v>
      </c>
      <c r="BG1254" s="14">
        <f t="shared" si="310"/>
        <v>0</v>
      </c>
      <c r="BH1254" s="14">
        <f>SUMIFS(BG$4:BG1254,AU$4:AU1254,"="&amp;AU1254,AY$4:AY1254,"="&amp;AY1254)</f>
        <v>0</v>
      </c>
      <c r="BI1254" s="25" t="s">
        <v>1158</v>
      </c>
      <c r="BJ1254" s="14">
        <f t="shared" si="311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3"/>
        <v>16</v>
      </c>
      <c r="AV1255" s="14">
        <f t="shared" si="304"/>
        <v>202106</v>
      </c>
      <c r="AW1255" s="14">
        <f t="shared" si="305"/>
        <v>1102021</v>
      </c>
      <c r="AX1255" s="13" t="s">
        <v>1127</v>
      </c>
      <c r="AY1255" s="13">
        <f t="shared" si="306"/>
        <v>6</v>
      </c>
      <c r="AZ1255" s="13" t="s">
        <v>1148</v>
      </c>
      <c r="BA1255" s="14">
        <f t="shared" si="307"/>
        <v>1</v>
      </c>
      <c r="BB1255" s="14" t="str">
        <f t="shared" si="308"/>
        <v>烈风螳螂魂珠-6 等级-1</v>
      </c>
      <c r="BC1255" s="25" t="s">
        <v>44</v>
      </c>
      <c r="BD1255" s="14">
        <f t="shared" si="309"/>
        <v>216</v>
      </c>
      <c r="BE1255" s="14">
        <f>SUMIFS(BD$4:BD1255,$AU$4:$AU1255,"="&amp;$AU1255,$AY$4:$AY1255,"="&amp;$AY1255)</f>
        <v>216</v>
      </c>
      <c r="BF1255" s="25" t="s">
        <v>1157</v>
      </c>
      <c r="BG1255" s="14">
        <f t="shared" si="310"/>
        <v>90</v>
      </c>
      <c r="BH1255" s="14">
        <f>SUMIFS(BG$4:BG1255,AU$4:AU1255,"="&amp;AU1255,AY$4:AY1255,"="&amp;AY1255)</f>
        <v>90</v>
      </c>
      <c r="BI1255" s="25" t="s">
        <v>1158</v>
      </c>
      <c r="BJ1255" s="14">
        <f t="shared" si="311"/>
        <v>2880</v>
      </c>
      <c r="BK1255" s="14">
        <f>SUMIFS(BJ$4:BJ1255,$AU$4:$AU1255,"="&amp;$AU1255,$AY$4:$AY1255,"="&amp;$AY1255)</f>
        <v>2880</v>
      </c>
    </row>
    <row r="1256" spans="46:63" ht="16.5" x14ac:dyDescent="0.2">
      <c r="AT1256" s="13">
        <v>1253</v>
      </c>
      <c r="AU1256" s="13">
        <f t="shared" si="303"/>
        <v>16</v>
      </c>
      <c r="AV1256" s="14">
        <f t="shared" si="304"/>
        <v>202106</v>
      </c>
      <c r="AW1256" s="14">
        <f t="shared" si="305"/>
        <v>1102021</v>
      </c>
      <c r="AX1256" s="13" t="s">
        <v>1127</v>
      </c>
      <c r="AY1256" s="13">
        <f t="shared" si="306"/>
        <v>6</v>
      </c>
      <c r="AZ1256" s="13" t="s">
        <v>1148</v>
      </c>
      <c r="BA1256" s="14">
        <f t="shared" si="307"/>
        <v>2</v>
      </c>
      <c r="BB1256" s="14" t="str">
        <f t="shared" si="308"/>
        <v>烈风螳螂魂珠-6 等级-2</v>
      </c>
      <c r="BC1256" s="25" t="s">
        <v>44</v>
      </c>
      <c r="BD1256" s="14">
        <f t="shared" si="309"/>
        <v>336</v>
      </c>
      <c r="BE1256" s="14">
        <f>SUMIFS(BD$4:BD1256,$AU$4:$AU1256,"="&amp;$AU1256,$AY$4:$AY1256,"="&amp;$AY1256)</f>
        <v>552</v>
      </c>
      <c r="BF1256" s="25" t="s">
        <v>1157</v>
      </c>
      <c r="BG1256" s="14">
        <f t="shared" si="310"/>
        <v>140</v>
      </c>
      <c r="BH1256" s="14">
        <f>SUMIFS(BG$4:BG1256,AU$4:AU1256,"="&amp;AU1256,AY$4:AY1256,"="&amp;AY1256)</f>
        <v>230</v>
      </c>
      <c r="BI1256" s="25" t="s">
        <v>1158</v>
      </c>
      <c r="BJ1256" s="14">
        <f t="shared" si="311"/>
        <v>4480</v>
      </c>
      <c r="BK1256" s="14">
        <f>SUMIFS(BJ$4:BJ1256,$AU$4:$AU1256,"="&amp;$AU1256,$AY$4:$AY1256,"="&amp;$AY1256)</f>
        <v>7360</v>
      </c>
    </row>
    <row r="1257" spans="46:63" ht="16.5" x14ac:dyDescent="0.2">
      <c r="AT1257" s="13">
        <v>1254</v>
      </c>
      <c r="AU1257" s="13">
        <f t="shared" si="303"/>
        <v>16</v>
      </c>
      <c r="AV1257" s="14">
        <f t="shared" si="304"/>
        <v>202106</v>
      </c>
      <c r="AW1257" s="14">
        <f t="shared" si="305"/>
        <v>1102021</v>
      </c>
      <c r="AX1257" s="13" t="s">
        <v>1127</v>
      </c>
      <c r="AY1257" s="13">
        <f t="shared" si="306"/>
        <v>6</v>
      </c>
      <c r="AZ1257" s="13" t="s">
        <v>1148</v>
      </c>
      <c r="BA1257" s="14">
        <f t="shared" si="307"/>
        <v>3</v>
      </c>
      <c r="BB1257" s="14" t="str">
        <f t="shared" si="308"/>
        <v>烈风螳螂魂珠-6 等级-3</v>
      </c>
      <c r="BC1257" s="25" t="s">
        <v>44</v>
      </c>
      <c r="BD1257" s="14">
        <f t="shared" si="309"/>
        <v>450</v>
      </c>
      <c r="BE1257" s="14">
        <f>SUMIFS(BD$4:BD1257,$AU$4:$AU1257,"="&amp;$AU1257,$AY$4:$AY1257,"="&amp;$AY1257)</f>
        <v>1002</v>
      </c>
      <c r="BF1257" s="25" t="s">
        <v>1157</v>
      </c>
      <c r="BG1257" s="14">
        <f t="shared" si="310"/>
        <v>188</v>
      </c>
      <c r="BH1257" s="14">
        <f>SUMIFS(BG$4:BG1257,AU$4:AU1257,"="&amp;AU1257,AY$4:AY1257,"="&amp;AY1257)</f>
        <v>418</v>
      </c>
      <c r="BI1257" s="25" t="s">
        <v>1158</v>
      </c>
      <c r="BJ1257" s="14">
        <f t="shared" si="311"/>
        <v>6000</v>
      </c>
      <c r="BK1257" s="14">
        <f>SUMIFS(BJ$4:BJ1257,$AU$4:$AU1257,"="&amp;$AU1257,$AY$4:$AY1257,"="&amp;$AY1257)</f>
        <v>13360</v>
      </c>
    </row>
    <row r="1258" spans="46:63" ht="16.5" x14ac:dyDescent="0.2">
      <c r="AT1258" s="13">
        <v>1255</v>
      </c>
      <c r="AU1258" s="13">
        <f t="shared" si="303"/>
        <v>16</v>
      </c>
      <c r="AV1258" s="14">
        <f t="shared" si="304"/>
        <v>202106</v>
      </c>
      <c r="AW1258" s="14">
        <f t="shared" si="305"/>
        <v>1102021</v>
      </c>
      <c r="AX1258" s="13" t="s">
        <v>1127</v>
      </c>
      <c r="AY1258" s="13">
        <f t="shared" si="306"/>
        <v>6</v>
      </c>
      <c r="AZ1258" s="13" t="s">
        <v>1148</v>
      </c>
      <c r="BA1258" s="14">
        <f t="shared" si="307"/>
        <v>4</v>
      </c>
      <c r="BB1258" s="14" t="str">
        <f t="shared" si="308"/>
        <v>烈风螳螂魂珠-6 等级-4</v>
      </c>
      <c r="BC1258" s="25" t="s">
        <v>44</v>
      </c>
      <c r="BD1258" s="14">
        <f t="shared" si="309"/>
        <v>672</v>
      </c>
      <c r="BE1258" s="14">
        <f>SUMIFS(BD$4:BD1258,$AU$4:$AU1258,"="&amp;$AU1258,$AY$4:$AY1258,"="&amp;$AY1258)</f>
        <v>1674</v>
      </c>
      <c r="BF1258" s="25" t="s">
        <v>1157</v>
      </c>
      <c r="BG1258" s="14">
        <f t="shared" si="310"/>
        <v>280</v>
      </c>
      <c r="BH1258" s="14">
        <f>SUMIFS(BG$4:BG1258,AU$4:AU1258,"="&amp;AU1258,AY$4:AY1258,"="&amp;AY1258)</f>
        <v>698</v>
      </c>
      <c r="BI1258" s="25" t="s">
        <v>1158</v>
      </c>
      <c r="BJ1258" s="14">
        <f t="shared" si="311"/>
        <v>8960</v>
      </c>
      <c r="BK1258" s="14">
        <f>SUMIFS(BJ$4:BJ1258,$AU$4:$AU1258,"="&amp;$AU1258,$AY$4:$AY1258,"="&amp;$AY1258)</f>
        <v>22320</v>
      </c>
    </row>
    <row r="1259" spans="46:63" ht="16.5" x14ac:dyDescent="0.2">
      <c r="AT1259" s="13">
        <v>1256</v>
      </c>
      <c r="AU1259" s="13">
        <f t="shared" si="303"/>
        <v>16</v>
      </c>
      <c r="AV1259" s="14">
        <f t="shared" si="304"/>
        <v>202106</v>
      </c>
      <c r="AW1259" s="14">
        <f t="shared" si="305"/>
        <v>1102021</v>
      </c>
      <c r="AX1259" s="13" t="s">
        <v>1127</v>
      </c>
      <c r="AY1259" s="13">
        <f t="shared" si="306"/>
        <v>6</v>
      </c>
      <c r="AZ1259" s="13" t="s">
        <v>1148</v>
      </c>
      <c r="BA1259" s="14">
        <f t="shared" si="307"/>
        <v>5</v>
      </c>
      <c r="BB1259" s="14" t="str">
        <f t="shared" si="308"/>
        <v>烈风螳螂魂珠-6 等级-5</v>
      </c>
      <c r="BC1259" s="25" t="s">
        <v>44</v>
      </c>
      <c r="BD1259" s="14">
        <f t="shared" si="309"/>
        <v>900</v>
      </c>
      <c r="BE1259" s="14">
        <f>SUMIFS(BD$4:BD1259,$AU$4:$AU1259,"="&amp;$AU1259,$AY$4:$AY1259,"="&amp;$AY1259)</f>
        <v>2574</v>
      </c>
      <c r="BF1259" s="25" t="s">
        <v>1157</v>
      </c>
      <c r="BG1259" s="14">
        <f t="shared" si="310"/>
        <v>375</v>
      </c>
      <c r="BH1259" s="14">
        <f>SUMIFS(BG$4:BG1259,AU$4:AU1259,"="&amp;AU1259,AY$4:AY1259,"="&amp;AY1259)</f>
        <v>1073</v>
      </c>
      <c r="BI1259" s="25" t="s">
        <v>1158</v>
      </c>
      <c r="BJ1259" s="14">
        <f t="shared" si="311"/>
        <v>12000</v>
      </c>
      <c r="BK1259" s="14">
        <f>SUMIFS(BJ$4:BJ1259,$AU$4:$AU1259,"="&amp;$AU1259,$AY$4:$AY1259,"="&amp;$AY1259)</f>
        <v>34320</v>
      </c>
    </row>
    <row r="1260" spans="46:63" ht="16.5" x14ac:dyDescent="0.2">
      <c r="AT1260" s="13">
        <v>1257</v>
      </c>
      <c r="AU1260" s="13">
        <f t="shared" si="303"/>
        <v>16</v>
      </c>
      <c r="AV1260" s="14">
        <f t="shared" si="304"/>
        <v>202106</v>
      </c>
      <c r="AW1260" s="14">
        <f t="shared" si="305"/>
        <v>1102021</v>
      </c>
      <c r="AX1260" s="13" t="s">
        <v>1127</v>
      </c>
      <c r="AY1260" s="13">
        <f t="shared" si="306"/>
        <v>6</v>
      </c>
      <c r="AZ1260" s="13" t="s">
        <v>1148</v>
      </c>
      <c r="BA1260" s="14">
        <f t="shared" si="307"/>
        <v>6</v>
      </c>
      <c r="BB1260" s="14" t="str">
        <f t="shared" si="308"/>
        <v>烈风螳螂魂珠-6 等级-6</v>
      </c>
      <c r="BC1260" s="25" t="s">
        <v>44</v>
      </c>
      <c r="BD1260" s="14">
        <f t="shared" si="309"/>
        <v>1140</v>
      </c>
      <c r="BE1260" s="14">
        <f>SUMIFS(BD$4:BD1260,$AU$4:$AU1260,"="&amp;$AU1260,$AY$4:$AY1260,"="&amp;$AY1260)</f>
        <v>3714</v>
      </c>
      <c r="BF1260" s="25" t="s">
        <v>1157</v>
      </c>
      <c r="BG1260" s="14">
        <f t="shared" si="310"/>
        <v>475</v>
      </c>
      <c r="BH1260" s="14">
        <f>SUMIFS(BG$4:BG1260,AU$4:AU1260,"="&amp;AU1260,AY$4:AY1260,"="&amp;AY1260)</f>
        <v>1548</v>
      </c>
      <c r="BI1260" s="25" t="s">
        <v>1158</v>
      </c>
      <c r="BJ1260" s="14">
        <f t="shared" si="311"/>
        <v>15200</v>
      </c>
      <c r="BK1260" s="14">
        <f>SUMIFS(BJ$4:BJ1260,$AU$4:$AU1260,"="&amp;$AU1260,$AY$4:$AY1260,"="&amp;$AY1260)</f>
        <v>49520</v>
      </c>
    </row>
    <row r="1261" spans="46:63" ht="16.5" x14ac:dyDescent="0.2">
      <c r="AT1261" s="13">
        <v>1258</v>
      </c>
      <c r="AU1261" s="13">
        <f t="shared" si="303"/>
        <v>16</v>
      </c>
      <c r="AV1261" s="14">
        <f t="shared" si="304"/>
        <v>202106</v>
      </c>
      <c r="AW1261" s="14">
        <f t="shared" si="305"/>
        <v>1102021</v>
      </c>
      <c r="AX1261" s="13" t="s">
        <v>1127</v>
      </c>
      <c r="AY1261" s="13">
        <f t="shared" si="306"/>
        <v>6</v>
      </c>
      <c r="AZ1261" s="13" t="s">
        <v>1148</v>
      </c>
      <c r="BA1261" s="14">
        <f t="shared" si="307"/>
        <v>7</v>
      </c>
      <c r="BB1261" s="14" t="str">
        <f t="shared" si="308"/>
        <v>烈风螳螂魂珠-6 等级-7</v>
      </c>
      <c r="BC1261" s="25" t="s">
        <v>44</v>
      </c>
      <c r="BD1261" s="14">
        <f t="shared" si="309"/>
        <v>1380</v>
      </c>
      <c r="BE1261" s="14">
        <f>SUMIFS(BD$4:BD1261,$AU$4:$AU1261,"="&amp;$AU1261,$AY$4:$AY1261,"="&amp;$AY1261)</f>
        <v>5094</v>
      </c>
      <c r="BF1261" s="25" t="s">
        <v>1157</v>
      </c>
      <c r="BG1261" s="14">
        <f t="shared" si="310"/>
        <v>575</v>
      </c>
      <c r="BH1261" s="14">
        <f>SUMIFS(BG$4:BG1261,AU$4:AU1261,"="&amp;AU1261,AY$4:AY1261,"="&amp;AY1261)</f>
        <v>2123</v>
      </c>
      <c r="BI1261" s="25" t="s">
        <v>1158</v>
      </c>
      <c r="BJ1261" s="14">
        <f t="shared" si="311"/>
        <v>18400</v>
      </c>
      <c r="BK1261" s="14">
        <f>SUMIFS(BJ$4:BJ1261,$AU$4:$AU1261,"="&amp;$AU1261,$AY$4:$AY1261,"="&amp;$AY1261)</f>
        <v>67920</v>
      </c>
    </row>
    <row r="1262" spans="46:63" ht="16.5" x14ac:dyDescent="0.2">
      <c r="AT1262" s="13">
        <v>1259</v>
      </c>
      <c r="AU1262" s="13">
        <f t="shared" si="303"/>
        <v>16</v>
      </c>
      <c r="AV1262" s="14">
        <f t="shared" si="304"/>
        <v>202106</v>
      </c>
      <c r="AW1262" s="14">
        <f t="shared" si="305"/>
        <v>1102021</v>
      </c>
      <c r="AX1262" s="13" t="s">
        <v>1127</v>
      </c>
      <c r="AY1262" s="13">
        <f t="shared" si="306"/>
        <v>6</v>
      </c>
      <c r="AZ1262" s="13" t="s">
        <v>1148</v>
      </c>
      <c r="BA1262" s="14">
        <f t="shared" si="307"/>
        <v>8</v>
      </c>
      <c r="BB1262" s="14" t="str">
        <f t="shared" si="308"/>
        <v>烈风螳螂魂珠-6 等级-8</v>
      </c>
      <c r="BC1262" s="25" t="s">
        <v>44</v>
      </c>
      <c r="BD1262" s="14">
        <f t="shared" si="309"/>
        <v>1560</v>
      </c>
      <c r="BE1262" s="14">
        <f>SUMIFS(BD$4:BD1262,$AU$4:$AU1262,"="&amp;$AU1262,$AY$4:$AY1262,"="&amp;$AY1262)</f>
        <v>6654</v>
      </c>
      <c r="BF1262" s="25" t="s">
        <v>1157</v>
      </c>
      <c r="BG1262" s="14">
        <f t="shared" si="310"/>
        <v>650</v>
      </c>
      <c r="BH1262" s="14">
        <f>SUMIFS(BG$4:BG1262,AU$4:AU1262,"="&amp;AU1262,AY$4:AY1262,"="&amp;AY1262)</f>
        <v>2773</v>
      </c>
      <c r="BI1262" s="25" t="s">
        <v>1158</v>
      </c>
      <c r="BJ1262" s="14">
        <f t="shared" si="311"/>
        <v>20800</v>
      </c>
      <c r="BK1262" s="14">
        <f>SUMIFS(BJ$4:BJ1262,$AU$4:$AU1262,"="&amp;$AU1262,$AY$4:$AY1262,"="&amp;$AY1262)</f>
        <v>88720</v>
      </c>
    </row>
    <row r="1263" spans="46:63" ht="16.5" x14ac:dyDescent="0.2">
      <c r="AT1263" s="13">
        <v>1260</v>
      </c>
      <c r="AU1263" s="13">
        <f t="shared" si="303"/>
        <v>16</v>
      </c>
      <c r="AV1263" s="14">
        <f t="shared" si="304"/>
        <v>202106</v>
      </c>
      <c r="AW1263" s="14">
        <f t="shared" si="305"/>
        <v>1102021</v>
      </c>
      <c r="AX1263" s="13" t="s">
        <v>1127</v>
      </c>
      <c r="AY1263" s="13">
        <f t="shared" si="306"/>
        <v>6</v>
      </c>
      <c r="AZ1263" s="13" t="s">
        <v>1148</v>
      </c>
      <c r="BA1263" s="14">
        <f t="shared" si="307"/>
        <v>9</v>
      </c>
      <c r="BB1263" s="14" t="str">
        <f t="shared" si="308"/>
        <v>烈风螳螂魂珠-6 等级-9</v>
      </c>
      <c r="BC1263" s="25" t="s">
        <v>44</v>
      </c>
      <c r="BD1263" s="14">
        <f t="shared" si="309"/>
        <v>1800</v>
      </c>
      <c r="BE1263" s="14">
        <f>SUMIFS(BD$4:BD1263,$AU$4:$AU1263,"="&amp;$AU1263,$AY$4:$AY1263,"="&amp;$AY1263)</f>
        <v>8454</v>
      </c>
      <c r="BF1263" s="25" t="s">
        <v>1157</v>
      </c>
      <c r="BG1263" s="14">
        <f t="shared" si="310"/>
        <v>750</v>
      </c>
      <c r="BH1263" s="14">
        <f>SUMIFS(BG$4:BG1263,AU$4:AU1263,"="&amp;AU1263,AY$4:AY1263,"="&amp;AY1263)</f>
        <v>3523</v>
      </c>
      <c r="BI1263" s="25" t="s">
        <v>1158</v>
      </c>
      <c r="BJ1263" s="14">
        <f t="shared" si="311"/>
        <v>24000</v>
      </c>
      <c r="BK1263" s="14">
        <f>SUMIFS(BJ$4:BJ1263,$AU$4:$AU1263,"="&amp;$AU1263,$AY$4:$AY1263,"="&amp;$AY1263)</f>
        <v>112720</v>
      </c>
    </row>
    <row r="1264" spans="46:63" ht="16.5" x14ac:dyDescent="0.2">
      <c r="AT1264" s="13">
        <v>1261</v>
      </c>
      <c r="AU1264" s="13">
        <f t="shared" si="303"/>
        <v>16</v>
      </c>
      <c r="AV1264" s="14">
        <f t="shared" si="304"/>
        <v>202107</v>
      </c>
      <c r="AW1264" s="14">
        <f t="shared" si="305"/>
        <v>1102021</v>
      </c>
      <c r="AX1264" s="13" t="s">
        <v>1127</v>
      </c>
      <c r="AY1264" s="13">
        <f t="shared" si="306"/>
        <v>7</v>
      </c>
      <c r="AZ1264" s="13" t="s">
        <v>1148</v>
      </c>
      <c r="BA1264" s="14">
        <f t="shared" si="307"/>
        <v>0</v>
      </c>
      <c r="BB1264" s="14" t="str">
        <f t="shared" si="308"/>
        <v>烈风螳螂魂珠-7 等级-0</v>
      </c>
      <c r="BC1264" s="25" t="s">
        <v>44</v>
      </c>
      <c r="BD1264" s="14">
        <f t="shared" si="309"/>
        <v>0</v>
      </c>
      <c r="BE1264" s="14">
        <f>SUMIFS(BD$4:BD1264,$AU$4:$AU1264,"="&amp;$AU1264,$AY$4:$AY1264,"="&amp;$AY1264)</f>
        <v>0</v>
      </c>
      <c r="BF1264" s="25" t="s">
        <v>1157</v>
      </c>
      <c r="BG1264" s="14">
        <f t="shared" si="310"/>
        <v>0</v>
      </c>
      <c r="BH1264" s="14">
        <f>SUMIFS(BG$4:BG1264,AU$4:AU1264,"="&amp;AU1264,AY$4:AY1264,"="&amp;AY1264)</f>
        <v>0</v>
      </c>
      <c r="BI1264" s="25" t="s">
        <v>1158</v>
      </c>
      <c r="BJ1264" s="14">
        <f t="shared" si="311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3"/>
        <v>16</v>
      </c>
      <c r="AV1265" s="14">
        <f t="shared" si="304"/>
        <v>202107</v>
      </c>
      <c r="AW1265" s="14">
        <f t="shared" si="305"/>
        <v>1102021</v>
      </c>
      <c r="AX1265" s="13" t="s">
        <v>1127</v>
      </c>
      <c r="AY1265" s="13">
        <f t="shared" si="306"/>
        <v>7</v>
      </c>
      <c r="AZ1265" s="13" t="s">
        <v>1148</v>
      </c>
      <c r="BA1265" s="14">
        <f t="shared" si="307"/>
        <v>1</v>
      </c>
      <c r="BB1265" s="14" t="str">
        <f t="shared" si="308"/>
        <v>烈风螳螂魂珠-7 等级-1</v>
      </c>
      <c r="BC1265" s="25" t="s">
        <v>44</v>
      </c>
      <c r="BD1265" s="14">
        <f t="shared" si="309"/>
        <v>288</v>
      </c>
      <c r="BE1265" s="14">
        <f>SUMIFS(BD$4:BD1265,$AU$4:$AU1265,"="&amp;$AU1265,$AY$4:$AY1265,"="&amp;$AY1265)</f>
        <v>288</v>
      </c>
      <c r="BF1265" s="25" t="s">
        <v>1157</v>
      </c>
      <c r="BG1265" s="14">
        <f t="shared" si="310"/>
        <v>120</v>
      </c>
      <c r="BH1265" s="14">
        <f>SUMIFS(BG$4:BG1265,AU$4:AU1265,"="&amp;AU1265,AY$4:AY1265,"="&amp;AY1265)</f>
        <v>120</v>
      </c>
      <c r="BI1265" s="25" t="s">
        <v>1158</v>
      </c>
      <c r="BJ1265" s="14">
        <f t="shared" si="311"/>
        <v>3840</v>
      </c>
      <c r="BK1265" s="14">
        <f>SUMIFS(BJ$4:BJ1265,$AU$4:$AU1265,"="&amp;$AU1265,$AY$4:$AY1265,"="&amp;$AY1265)</f>
        <v>3840</v>
      </c>
    </row>
    <row r="1266" spans="46:63" ht="16.5" x14ac:dyDescent="0.2">
      <c r="AT1266" s="13">
        <v>1263</v>
      </c>
      <c r="AU1266" s="13">
        <f t="shared" si="303"/>
        <v>16</v>
      </c>
      <c r="AV1266" s="14">
        <f t="shared" si="304"/>
        <v>202107</v>
      </c>
      <c r="AW1266" s="14">
        <f t="shared" si="305"/>
        <v>1102021</v>
      </c>
      <c r="AX1266" s="13" t="s">
        <v>1127</v>
      </c>
      <c r="AY1266" s="13">
        <f t="shared" si="306"/>
        <v>7</v>
      </c>
      <c r="AZ1266" s="13" t="s">
        <v>1148</v>
      </c>
      <c r="BA1266" s="14">
        <f t="shared" si="307"/>
        <v>2</v>
      </c>
      <c r="BB1266" s="14" t="str">
        <f t="shared" si="308"/>
        <v>烈风螳螂魂珠-7 等级-2</v>
      </c>
      <c r="BC1266" s="25" t="s">
        <v>44</v>
      </c>
      <c r="BD1266" s="14">
        <f t="shared" si="309"/>
        <v>432</v>
      </c>
      <c r="BE1266" s="14">
        <f>SUMIFS(BD$4:BD1266,$AU$4:$AU1266,"="&amp;$AU1266,$AY$4:$AY1266,"="&amp;$AY1266)</f>
        <v>720</v>
      </c>
      <c r="BF1266" s="25" t="s">
        <v>1157</v>
      </c>
      <c r="BG1266" s="14">
        <f t="shared" si="310"/>
        <v>180</v>
      </c>
      <c r="BH1266" s="14">
        <f>SUMIFS(BG$4:BG1266,AU$4:AU1266,"="&amp;AU1266,AY$4:AY1266,"="&amp;AY1266)</f>
        <v>300</v>
      </c>
      <c r="BI1266" s="25" t="s">
        <v>1158</v>
      </c>
      <c r="BJ1266" s="14">
        <f t="shared" si="311"/>
        <v>5760</v>
      </c>
      <c r="BK1266" s="14">
        <f>SUMIFS(BJ$4:BJ1266,$AU$4:$AU1266,"="&amp;$AU1266,$AY$4:$AY1266,"="&amp;$AY1266)</f>
        <v>9600</v>
      </c>
    </row>
    <row r="1267" spans="46:63" ht="16.5" x14ac:dyDescent="0.2">
      <c r="AT1267" s="13">
        <v>1264</v>
      </c>
      <c r="AU1267" s="13">
        <f t="shared" si="303"/>
        <v>16</v>
      </c>
      <c r="AV1267" s="14">
        <f t="shared" si="304"/>
        <v>202107</v>
      </c>
      <c r="AW1267" s="14">
        <f t="shared" si="305"/>
        <v>1102021</v>
      </c>
      <c r="AX1267" s="13" t="s">
        <v>1127</v>
      </c>
      <c r="AY1267" s="13">
        <f t="shared" si="306"/>
        <v>7</v>
      </c>
      <c r="AZ1267" s="13" t="s">
        <v>1148</v>
      </c>
      <c r="BA1267" s="14">
        <f t="shared" si="307"/>
        <v>3</v>
      </c>
      <c r="BB1267" s="14" t="str">
        <f t="shared" si="308"/>
        <v>烈风螳螂魂珠-7 等级-3</v>
      </c>
      <c r="BC1267" s="25" t="s">
        <v>44</v>
      </c>
      <c r="BD1267" s="14">
        <f t="shared" si="309"/>
        <v>576</v>
      </c>
      <c r="BE1267" s="14">
        <f>SUMIFS(BD$4:BD1267,$AU$4:$AU1267,"="&amp;$AU1267,$AY$4:$AY1267,"="&amp;$AY1267)</f>
        <v>1296</v>
      </c>
      <c r="BF1267" s="25" t="s">
        <v>1157</v>
      </c>
      <c r="BG1267" s="14">
        <f t="shared" si="310"/>
        <v>240</v>
      </c>
      <c r="BH1267" s="14">
        <f>SUMIFS(BG$4:BG1267,AU$4:AU1267,"="&amp;AU1267,AY$4:AY1267,"="&amp;AY1267)</f>
        <v>540</v>
      </c>
      <c r="BI1267" s="25" t="s">
        <v>1158</v>
      </c>
      <c r="BJ1267" s="14">
        <f t="shared" si="311"/>
        <v>7680</v>
      </c>
      <c r="BK1267" s="14">
        <f>SUMIFS(BJ$4:BJ1267,$AU$4:$AU1267,"="&amp;$AU1267,$AY$4:$AY1267,"="&amp;$AY1267)</f>
        <v>17280</v>
      </c>
    </row>
    <row r="1268" spans="46:63" ht="16.5" x14ac:dyDescent="0.2">
      <c r="AT1268" s="13">
        <v>1265</v>
      </c>
      <c r="AU1268" s="13">
        <f t="shared" si="303"/>
        <v>16</v>
      </c>
      <c r="AV1268" s="14">
        <f t="shared" si="304"/>
        <v>202107</v>
      </c>
      <c r="AW1268" s="14">
        <f t="shared" si="305"/>
        <v>1102021</v>
      </c>
      <c r="AX1268" s="13" t="s">
        <v>1127</v>
      </c>
      <c r="AY1268" s="13">
        <f t="shared" si="306"/>
        <v>7</v>
      </c>
      <c r="AZ1268" s="13" t="s">
        <v>1148</v>
      </c>
      <c r="BA1268" s="14">
        <f t="shared" si="307"/>
        <v>4</v>
      </c>
      <c r="BB1268" s="14" t="str">
        <f t="shared" si="308"/>
        <v>烈风螳螂魂珠-7 等级-4</v>
      </c>
      <c r="BC1268" s="25" t="s">
        <v>44</v>
      </c>
      <c r="BD1268" s="14">
        <f t="shared" si="309"/>
        <v>864</v>
      </c>
      <c r="BE1268" s="14">
        <f>SUMIFS(BD$4:BD1268,$AU$4:$AU1268,"="&amp;$AU1268,$AY$4:$AY1268,"="&amp;$AY1268)</f>
        <v>2160</v>
      </c>
      <c r="BF1268" s="25" t="s">
        <v>1157</v>
      </c>
      <c r="BG1268" s="14">
        <f t="shared" si="310"/>
        <v>360</v>
      </c>
      <c r="BH1268" s="14">
        <f>SUMIFS(BG$4:BG1268,AU$4:AU1268,"="&amp;AU1268,AY$4:AY1268,"="&amp;AY1268)</f>
        <v>900</v>
      </c>
      <c r="BI1268" s="25" t="s">
        <v>1158</v>
      </c>
      <c r="BJ1268" s="14">
        <f t="shared" si="311"/>
        <v>11520</v>
      </c>
      <c r="BK1268" s="14">
        <f>SUMIFS(BJ$4:BJ1268,$AU$4:$AU1268,"="&amp;$AU1268,$AY$4:$AY1268,"="&amp;$AY1268)</f>
        <v>28800</v>
      </c>
    </row>
    <row r="1269" spans="46:63" ht="16.5" x14ac:dyDescent="0.2">
      <c r="AT1269" s="13">
        <v>1266</v>
      </c>
      <c r="AU1269" s="13">
        <f t="shared" si="303"/>
        <v>16</v>
      </c>
      <c r="AV1269" s="14">
        <f t="shared" si="304"/>
        <v>202107</v>
      </c>
      <c r="AW1269" s="14">
        <f t="shared" si="305"/>
        <v>1102021</v>
      </c>
      <c r="AX1269" s="13" t="s">
        <v>1127</v>
      </c>
      <c r="AY1269" s="13">
        <f t="shared" si="306"/>
        <v>7</v>
      </c>
      <c r="AZ1269" s="13" t="s">
        <v>1148</v>
      </c>
      <c r="BA1269" s="14">
        <f t="shared" si="307"/>
        <v>5</v>
      </c>
      <c r="BB1269" s="14" t="str">
        <f t="shared" si="308"/>
        <v>烈风螳螂魂珠-7 等级-5</v>
      </c>
      <c r="BC1269" s="25" t="s">
        <v>44</v>
      </c>
      <c r="BD1269" s="14">
        <f t="shared" si="309"/>
        <v>1152</v>
      </c>
      <c r="BE1269" s="14">
        <f>SUMIFS(BD$4:BD1269,$AU$4:$AU1269,"="&amp;$AU1269,$AY$4:$AY1269,"="&amp;$AY1269)</f>
        <v>3312</v>
      </c>
      <c r="BF1269" s="25" t="s">
        <v>1157</v>
      </c>
      <c r="BG1269" s="14">
        <f t="shared" si="310"/>
        <v>480</v>
      </c>
      <c r="BH1269" s="14">
        <f>SUMIFS(BG$4:BG1269,AU$4:AU1269,"="&amp;AU1269,AY$4:AY1269,"="&amp;AY1269)</f>
        <v>1380</v>
      </c>
      <c r="BI1269" s="25" t="s">
        <v>1158</v>
      </c>
      <c r="BJ1269" s="14">
        <f t="shared" si="311"/>
        <v>15360</v>
      </c>
      <c r="BK1269" s="14">
        <f>SUMIFS(BJ$4:BJ1269,$AU$4:$AU1269,"="&amp;$AU1269,$AY$4:$AY1269,"="&amp;$AY1269)</f>
        <v>44160</v>
      </c>
    </row>
    <row r="1270" spans="46:63" ht="16.5" x14ac:dyDescent="0.2">
      <c r="AT1270" s="13">
        <v>1267</v>
      </c>
      <c r="AU1270" s="13">
        <f t="shared" si="303"/>
        <v>16</v>
      </c>
      <c r="AV1270" s="14">
        <f t="shared" si="304"/>
        <v>202107</v>
      </c>
      <c r="AW1270" s="14">
        <f t="shared" si="305"/>
        <v>1102021</v>
      </c>
      <c r="AX1270" s="13" t="s">
        <v>1127</v>
      </c>
      <c r="AY1270" s="13">
        <f t="shared" si="306"/>
        <v>7</v>
      </c>
      <c r="AZ1270" s="13" t="s">
        <v>1148</v>
      </c>
      <c r="BA1270" s="14">
        <f t="shared" si="307"/>
        <v>6</v>
      </c>
      <c r="BB1270" s="14" t="str">
        <f t="shared" si="308"/>
        <v>烈风螳螂魂珠-7 等级-6</v>
      </c>
      <c r="BC1270" s="25" t="s">
        <v>44</v>
      </c>
      <c r="BD1270" s="14">
        <f t="shared" si="309"/>
        <v>1440</v>
      </c>
      <c r="BE1270" s="14">
        <f>SUMIFS(BD$4:BD1270,$AU$4:$AU1270,"="&amp;$AU1270,$AY$4:$AY1270,"="&amp;$AY1270)</f>
        <v>4752</v>
      </c>
      <c r="BF1270" s="25" t="s">
        <v>1157</v>
      </c>
      <c r="BG1270" s="14">
        <f t="shared" si="310"/>
        <v>600</v>
      </c>
      <c r="BH1270" s="14">
        <f>SUMIFS(BG$4:BG1270,AU$4:AU1270,"="&amp;AU1270,AY$4:AY1270,"="&amp;AY1270)</f>
        <v>1980</v>
      </c>
      <c r="BI1270" s="25" t="s">
        <v>1158</v>
      </c>
      <c r="BJ1270" s="14">
        <f t="shared" si="311"/>
        <v>19200</v>
      </c>
      <c r="BK1270" s="14">
        <f>SUMIFS(BJ$4:BJ1270,$AU$4:$AU1270,"="&amp;$AU1270,$AY$4:$AY1270,"="&amp;$AY1270)</f>
        <v>63360</v>
      </c>
    </row>
    <row r="1271" spans="46:63" ht="16.5" x14ac:dyDescent="0.2">
      <c r="AT1271" s="13">
        <v>1268</v>
      </c>
      <c r="AU1271" s="13">
        <f t="shared" si="303"/>
        <v>16</v>
      </c>
      <c r="AV1271" s="14">
        <f t="shared" si="304"/>
        <v>202107</v>
      </c>
      <c r="AW1271" s="14">
        <f t="shared" si="305"/>
        <v>1102021</v>
      </c>
      <c r="AX1271" s="13" t="s">
        <v>1127</v>
      </c>
      <c r="AY1271" s="13">
        <f t="shared" si="306"/>
        <v>7</v>
      </c>
      <c r="AZ1271" s="13" t="s">
        <v>1148</v>
      </c>
      <c r="BA1271" s="14">
        <f t="shared" si="307"/>
        <v>7</v>
      </c>
      <c r="BB1271" s="14" t="str">
        <f t="shared" si="308"/>
        <v>烈风螳螂魂珠-7 等级-7</v>
      </c>
      <c r="BC1271" s="25" t="s">
        <v>44</v>
      </c>
      <c r="BD1271" s="14">
        <f t="shared" si="309"/>
        <v>1728</v>
      </c>
      <c r="BE1271" s="14">
        <f>SUMIFS(BD$4:BD1271,$AU$4:$AU1271,"="&amp;$AU1271,$AY$4:$AY1271,"="&amp;$AY1271)</f>
        <v>6480</v>
      </c>
      <c r="BF1271" s="25" t="s">
        <v>1157</v>
      </c>
      <c r="BG1271" s="14">
        <f t="shared" si="310"/>
        <v>720</v>
      </c>
      <c r="BH1271" s="14">
        <f>SUMIFS(BG$4:BG1271,AU$4:AU1271,"="&amp;AU1271,AY$4:AY1271,"="&amp;AY1271)</f>
        <v>2700</v>
      </c>
      <c r="BI1271" s="25" t="s">
        <v>1158</v>
      </c>
      <c r="BJ1271" s="14">
        <f t="shared" si="311"/>
        <v>23040</v>
      </c>
      <c r="BK1271" s="14">
        <f>SUMIFS(BJ$4:BJ1271,$AU$4:$AU1271,"="&amp;$AU1271,$AY$4:$AY1271,"="&amp;$AY1271)</f>
        <v>86400</v>
      </c>
    </row>
    <row r="1272" spans="46:63" ht="16.5" x14ac:dyDescent="0.2">
      <c r="AT1272" s="13">
        <v>1269</v>
      </c>
      <c r="AU1272" s="13">
        <f t="shared" si="303"/>
        <v>16</v>
      </c>
      <c r="AV1272" s="14">
        <f t="shared" si="304"/>
        <v>202107</v>
      </c>
      <c r="AW1272" s="14">
        <f t="shared" si="305"/>
        <v>1102021</v>
      </c>
      <c r="AX1272" s="13" t="s">
        <v>1127</v>
      </c>
      <c r="AY1272" s="13">
        <f t="shared" si="306"/>
        <v>7</v>
      </c>
      <c r="AZ1272" s="13" t="s">
        <v>1148</v>
      </c>
      <c r="BA1272" s="14">
        <f t="shared" si="307"/>
        <v>8</v>
      </c>
      <c r="BB1272" s="14" t="str">
        <f t="shared" si="308"/>
        <v>烈风螳螂魂珠-7 等级-8</v>
      </c>
      <c r="BC1272" s="25" t="s">
        <v>44</v>
      </c>
      <c r="BD1272" s="14">
        <f t="shared" si="309"/>
        <v>2016</v>
      </c>
      <c r="BE1272" s="14">
        <f>SUMIFS(BD$4:BD1272,$AU$4:$AU1272,"="&amp;$AU1272,$AY$4:$AY1272,"="&amp;$AY1272)</f>
        <v>8496</v>
      </c>
      <c r="BF1272" s="25" t="s">
        <v>1157</v>
      </c>
      <c r="BG1272" s="14">
        <f t="shared" si="310"/>
        <v>840</v>
      </c>
      <c r="BH1272" s="14">
        <f>SUMIFS(BG$4:BG1272,AU$4:AU1272,"="&amp;AU1272,AY$4:AY1272,"="&amp;AY1272)</f>
        <v>3540</v>
      </c>
      <c r="BI1272" s="25" t="s">
        <v>1158</v>
      </c>
      <c r="BJ1272" s="14">
        <f t="shared" si="311"/>
        <v>26880</v>
      </c>
      <c r="BK1272" s="14">
        <f>SUMIFS(BJ$4:BJ1272,$AU$4:$AU1272,"="&amp;$AU1272,$AY$4:$AY1272,"="&amp;$AY1272)</f>
        <v>113280</v>
      </c>
    </row>
    <row r="1273" spans="46:63" ht="16.5" x14ac:dyDescent="0.2">
      <c r="AT1273" s="13">
        <v>1270</v>
      </c>
      <c r="AU1273" s="13">
        <f t="shared" si="303"/>
        <v>16</v>
      </c>
      <c r="AV1273" s="14">
        <f t="shared" si="304"/>
        <v>202107</v>
      </c>
      <c r="AW1273" s="14">
        <f t="shared" si="305"/>
        <v>1102021</v>
      </c>
      <c r="AX1273" s="13" t="s">
        <v>1127</v>
      </c>
      <c r="AY1273" s="13">
        <f t="shared" si="306"/>
        <v>7</v>
      </c>
      <c r="AZ1273" s="13" t="s">
        <v>1148</v>
      </c>
      <c r="BA1273" s="14">
        <f t="shared" si="307"/>
        <v>9</v>
      </c>
      <c r="BB1273" s="14" t="str">
        <f t="shared" si="308"/>
        <v>烈风螳螂魂珠-7 等级-9</v>
      </c>
      <c r="BC1273" s="25" t="s">
        <v>44</v>
      </c>
      <c r="BD1273" s="14">
        <f t="shared" si="309"/>
        <v>2304</v>
      </c>
      <c r="BE1273" s="14">
        <f>SUMIFS(BD$4:BD1273,$AU$4:$AU1273,"="&amp;$AU1273,$AY$4:$AY1273,"="&amp;$AY1273)</f>
        <v>10800</v>
      </c>
      <c r="BF1273" s="25" t="s">
        <v>1157</v>
      </c>
      <c r="BG1273" s="14">
        <f t="shared" si="310"/>
        <v>960</v>
      </c>
      <c r="BH1273" s="14">
        <f>SUMIFS(BG$4:BG1273,AU$4:AU1273,"="&amp;AU1273,AY$4:AY1273,"="&amp;AY1273)</f>
        <v>4500</v>
      </c>
      <c r="BI1273" s="25" t="s">
        <v>1158</v>
      </c>
      <c r="BJ1273" s="14">
        <f t="shared" si="311"/>
        <v>30720</v>
      </c>
      <c r="BK1273" s="14">
        <f>SUMIFS(BJ$4:BJ1273,$AU$4:$AU1273,"="&amp;$AU1273,$AY$4:$AY1273,"="&amp;$AY1273)</f>
        <v>144000</v>
      </c>
    </row>
    <row r="1274" spans="46:63" ht="16.5" x14ac:dyDescent="0.2">
      <c r="AT1274" s="13">
        <v>1271</v>
      </c>
      <c r="AU1274" s="13">
        <f t="shared" si="303"/>
        <v>16</v>
      </c>
      <c r="AV1274" s="14">
        <f t="shared" si="304"/>
        <v>202108</v>
      </c>
      <c r="AW1274" s="14">
        <f t="shared" si="305"/>
        <v>1102021</v>
      </c>
      <c r="AX1274" s="13" t="s">
        <v>1127</v>
      </c>
      <c r="AY1274" s="13">
        <f t="shared" si="306"/>
        <v>8</v>
      </c>
      <c r="AZ1274" s="13" t="s">
        <v>1148</v>
      </c>
      <c r="BA1274" s="14">
        <f t="shared" si="307"/>
        <v>0</v>
      </c>
      <c r="BB1274" s="14" t="str">
        <f t="shared" si="308"/>
        <v>烈风螳螂魂珠-8 等级-0</v>
      </c>
      <c r="BC1274" s="25" t="s">
        <v>44</v>
      </c>
      <c r="BD1274" s="14">
        <f t="shared" si="309"/>
        <v>0</v>
      </c>
      <c r="BE1274" s="14">
        <f>SUMIFS(BD$4:BD1274,$AU$4:$AU1274,"="&amp;$AU1274,$AY$4:$AY1274,"="&amp;$AY1274)</f>
        <v>0</v>
      </c>
      <c r="BF1274" s="25" t="s">
        <v>1157</v>
      </c>
      <c r="BG1274" s="14">
        <f t="shared" si="310"/>
        <v>0</v>
      </c>
      <c r="BH1274" s="14">
        <f>SUMIFS(BG$4:BG1274,AU$4:AU1274,"="&amp;AU1274,AY$4:AY1274,"="&amp;AY1274)</f>
        <v>0</v>
      </c>
      <c r="BI1274" s="25" t="s">
        <v>1158</v>
      </c>
      <c r="BJ1274" s="14">
        <f t="shared" si="311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3"/>
        <v>16</v>
      </c>
      <c r="AV1275" s="14">
        <f t="shared" si="304"/>
        <v>202108</v>
      </c>
      <c r="AW1275" s="14">
        <f t="shared" si="305"/>
        <v>1102021</v>
      </c>
      <c r="AX1275" s="13" t="s">
        <v>1127</v>
      </c>
      <c r="AY1275" s="13">
        <f t="shared" si="306"/>
        <v>8</v>
      </c>
      <c r="AZ1275" s="13" t="s">
        <v>1148</v>
      </c>
      <c r="BA1275" s="14">
        <f t="shared" si="307"/>
        <v>1</v>
      </c>
      <c r="BB1275" s="14" t="str">
        <f t="shared" si="308"/>
        <v>烈风螳螂魂珠-8 等级-1</v>
      </c>
      <c r="BC1275" s="25" t="s">
        <v>44</v>
      </c>
      <c r="BD1275" s="14">
        <f t="shared" si="309"/>
        <v>384</v>
      </c>
      <c r="BE1275" s="14">
        <f>SUMIFS(BD$4:BD1275,$AU$4:$AU1275,"="&amp;$AU1275,$AY$4:$AY1275,"="&amp;$AY1275)</f>
        <v>384</v>
      </c>
      <c r="BF1275" s="25" t="s">
        <v>1157</v>
      </c>
      <c r="BG1275" s="14">
        <f t="shared" si="310"/>
        <v>160</v>
      </c>
      <c r="BH1275" s="14">
        <f>SUMIFS(BG$4:BG1275,AU$4:AU1275,"="&amp;AU1275,AY$4:AY1275,"="&amp;AY1275)</f>
        <v>160</v>
      </c>
      <c r="BI1275" s="25" t="s">
        <v>1158</v>
      </c>
      <c r="BJ1275" s="14">
        <f t="shared" si="311"/>
        <v>5120</v>
      </c>
      <c r="BK1275" s="14">
        <f>SUMIFS(BJ$4:BJ1275,$AU$4:$AU1275,"="&amp;$AU1275,$AY$4:$AY1275,"="&amp;$AY1275)</f>
        <v>5120</v>
      </c>
    </row>
    <row r="1276" spans="46:63" ht="16.5" x14ac:dyDescent="0.2">
      <c r="AT1276" s="13">
        <v>1273</v>
      </c>
      <c r="AU1276" s="13">
        <f t="shared" si="303"/>
        <v>16</v>
      </c>
      <c r="AV1276" s="14">
        <f t="shared" si="304"/>
        <v>202108</v>
      </c>
      <c r="AW1276" s="14">
        <f t="shared" si="305"/>
        <v>1102021</v>
      </c>
      <c r="AX1276" s="13" t="s">
        <v>1127</v>
      </c>
      <c r="AY1276" s="13">
        <f t="shared" si="306"/>
        <v>8</v>
      </c>
      <c r="AZ1276" s="13" t="s">
        <v>1148</v>
      </c>
      <c r="BA1276" s="14">
        <f t="shared" si="307"/>
        <v>2</v>
      </c>
      <c r="BB1276" s="14" t="str">
        <f t="shared" si="308"/>
        <v>烈风螳螂魂珠-8 等级-2</v>
      </c>
      <c r="BC1276" s="25" t="s">
        <v>44</v>
      </c>
      <c r="BD1276" s="14">
        <f t="shared" si="309"/>
        <v>576</v>
      </c>
      <c r="BE1276" s="14">
        <f>SUMIFS(BD$4:BD1276,$AU$4:$AU1276,"="&amp;$AU1276,$AY$4:$AY1276,"="&amp;$AY1276)</f>
        <v>960</v>
      </c>
      <c r="BF1276" s="25" t="s">
        <v>1157</v>
      </c>
      <c r="BG1276" s="14">
        <f t="shared" si="310"/>
        <v>240</v>
      </c>
      <c r="BH1276" s="14">
        <f>SUMIFS(BG$4:BG1276,AU$4:AU1276,"="&amp;AU1276,AY$4:AY1276,"="&amp;AY1276)</f>
        <v>400</v>
      </c>
      <c r="BI1276" s="25" t="s">
        <v>1158</v>
      </c>
      <c r="BJ1276" s="14">
        <f t="shared" si="311"/>
        <v>7680</v>
      </c>
      <c r="BK1276" s="14">
        <f>SUMIFS(BJ$4:BJ1276,$AU$4:$AU1276,"="&amp;$AU1276,$AY$4:$AY1276,"="&amp;$AY1276)</f>
        <v>12800</v>
      </c>
    </row>
    <row r="1277" spans="46:63" ht="16.5" x14ac:dyDescent="0.2">
      <c r="AT1277" s="13">
        <v>1274</v>
      </c>
      <c r="AU1277" s="13">
        <f t="shared" si="303"/>
        <v>16</v>
      </c>
      <c r="AV1277" s="14">
        <f t="shared" si="304"/>
        <v>202108</v>
      </c>
      <c r="AW1277" s="14">
        <f t="shared" si="305"/>
        <v>1102021</v>
      </c>
      <c r="AX1277" s="13" t="s">
        <v>1127</v>
      </c>
      <c r="AY1277" s="13">
        <f t="shared" si="306"/>
        <v>8</v>
      </c>
      <c r="AZ1277" s="13" t="s">
        <v>1148</v>
      </c>
      <c r="BA1277" s="14">
        <f t="shared" si="307"/>
        <v>3</v>
      </c>
      <c r="BB1277" s="14" t="str">
        <f t="shared" si="308"/>
        <v>烈风螳螂魂珠-8 等级-3</v>
      </c>
      <c r="BC1277" s="25" t="s">
        <v>44</v>
      </c>
      <c r="BD1277" s="14">
        <f t="shared" si="309"/>
        <v>768</v>
      </c>
      <c r="BE1277" s="14">
        <f>SUMIFS(BD$4:BD1277,$AU$4:$AU1277,"="&amp;$AU1277,$AY$4:$AY1277,"="&amp;$AY1277)</f>
        <v>1728</v>
      </c>
      <c r="BF1277" s="25" t="s">
        <v>1157</v>
      </c>
      <c r="BG1277" s="14">
        <f t="shared" si="310"/>
        <v>320</v>
      </c>
      <c r="BH1277" s="14">
        <f>SUMIFS(BG$4:BG1277,AU$4:AU1277,"="&amp;AU1277,AY$4:AY1277,"="&amp;AY1277)</f>
        <v>720</v>
      </c>
      <c r="BI1277" s="25" t="s">
        <v>1158</v>
      </c>
      <c r="BJ1277" s="14">
        <f t="shared" si="311"/>
        <v>10240</v>
      </c>
      <c r="BK1277" s="14">
        <f>SUMIFS(BJ$4:BJ1277,$AU$4:$AU1277,"="&amp;$AU1277,$AY$4:$AY1277,"="&amp;$AY1277)</f>
        <v>23040</v>
      </c>
    </row>
    <row r="1278" spans="46:63" ht="16.5" x14ac:dyDescent="0.2">
      <c r="AT1278" s="13">
        <v>1275</v>
      </c>
      <c r="AU1278" s="13">
        <f t="shared" si="303"/>
        <v>16</v>
      </c>
      <c r="AV1278" s="14">
        <f t="shared" si="304"/>
        <v>202108</v>
      </c>
      <c r="AW1278" s="14">
        <f t="shared" si="305"/>
        <v>1102021</v>
      </c>
      <c r="AX1278" s="13" t="s">
        <v>1127</v>
      </c>
      <c r="AY1278" s="13">
        <f t="shared" si="306"/>
        <v>8</v>
      </c>
      <c r="AZ1278" s="13" t="s">
        <v>1148</v>
      </c>
      <c r="BA1278" s="14">
        <f t="shared" si="307"/>
        <v>4</v>
      </c>
      <c r="BB1278" s="14" t="str">
        <f t="shared" si="308"/>
        <v>烈风螳螂魂珠-8 等级-4</v>
      </c>
      <c r="BC1278" s="25" t="s">
        <v>44</v>
      </c>
      <c r="BD1278" s="14">
        <f t="shared" si="309"/>
        <v>1152</v>
      </c>
      <c r="BE1278" s="14">
        <f>SUMIFS(BD$4:BD1278,$AU$4:$AU1278,"="&amp;$AU1278,$AY$4:$AY1278,"="&amp;$AY1278)</f>
        <v>2880</v>
      </c>
      <c r="BF1278" s="25" t="s">
        <v>1157</v>
      </c>
      <c r="BG1278" s="14">
        <f t="shared" si="310"/>
        <v>480</v>
      </c>
      <c r="BH1278" s="14">
        <f>SUMIFS(BG$4:BG1278,AU$4:AU1278,"="&amp;AU1278,AY$4:AY1278,"="&amp;AY1278)</f>
        <v>1200</v>
      </c>
      <c r="BI1278" s="25" t="s">
        <v>1158</v>
      </c>
      <c r="BJ1278" s="14">
        <f t="shared" si="311"/>
        <v>15360</v>
      </c>
      <c r="BK1278" s="14">
        <f>SUMIFS(BJ$4:BJ1278,$AU$4:$AU1278,"="&amp;$AU1278,$AY$4:$AY1278,"="&amp;$AY1278)</f>
        <v>38400</v>
      </c>
    </row>
    <row r="1279" spans="46:63" ht="16.5" x14ac:dyDescent="0.2">
      <c r="AT1279" s="13">
        <v>1276</v>
      </c>
      <c r="AU1279" s="13">
        <f t="shared" si="303"/>
        <v>16</v>
      </c>
      <c r="AV1279" s="14">
        <f t="shared" si="304"/>
        <v>202108</v>
      </c>
      <c r="AW1279" s="14">
        <f t="shared" si="305"/>
        <v>1102021</v>
      </c>
      <c r="AX1279" s="13" t="s">
        <v>1127</v>
      </c>
      <c r="AY1279" s="13">
        <f t="shared" si="306"/>
        <v>8</v>
      </c>
      <c r="AZ1279" s="13" t="s">
        <v>1148</v>
      </c>
      <c r="BA1279" s="14">
        <f t="shared" si="307"/>
        <v>5</v>
      </c>
      <c r="BB1279" s="14" t="str">
        <f t="shared" si="308"/>
        <v>烈风螳螂魂珠-8 等级-5</v>
      </c>
      <c r="BC1279" s="25" t="s">
        <v>44</v>
      </c>
      <c r="BD1279" s="14">
        <f t="shared" si="309"/>
        <v>1536</v>
      </c>
      <c r="BE1279" s="14">
        <f>SUMIFS(BD$4:BD1279,$AU$4:$AU1279,"="&amp;$AU1279,$AY$4:$AY1279,"="&amp;$AY1279)</f>
        <v>4416</v>
      </c>
      <c r="BF1279" s="25" t="s">
        <v>1157</v>
      </c>
      <c r="BG1279" s="14">
        <f t="shared" si="310"/>
        <v>640</v>
      </c>
      <c r="BH1279" s="14">
        <f>SUMIFS(BG$4:BG1279,AU$4:AU1279,"="&amp;AU1279,AY$4:AY1279,"="&amp;AY1279)</f>
        <v>1840</v>
      </c>
      <c r="BI1279" s="25" t="s">
        <v>1158</v>
      </c>
      <c r="BJ1279" s="14">
        <f t="shared" si="311"/>
        <v>20480</v>
      </c>
      <c r="BK1279" s="14">
        <f>SUMIFS(BJ$4:BJ1279,$AU$4:$AU1279,"="&amp;$AU1279,$AY$4:$AY1279,"="&amp;$AY1279)</f>
        <v>58880</v>
      </c>
    </row>
    <row r="1280" spans="46:63" ht="16.5" x14ac:dyDescent="0.2">
      <c r="AT1280" s="13">
        <v>1277</v>
      </c>
      <c r="AU1280" s="13">
        <f t="shared" si="303"/>
        <v>16</v>
      </c>
      <c r="AV1280" s="14">
        <f t="shared" si="304"/>
        <v>202108</v>
      </c>
      <c r="AW1280" s="14">
        <f t="shared" si="305"/>
        <v>1102021</v>
      </c>
      <c r="AX1280" s="13" t="s">
        <v>1127</v>
      </c>
      <c r="AY1280" s="13">
        <f t="shared" si="306"/>
        <v>8</v>
      </c>
      <c r="AZ1280" s="13" t="s">
        <v>1148</v>
      </c>
      <c r="BA1280" s="14">
        <f t="shared" si="307"/>
        <v>6</v>
      </c>
      <c r="BB1280" s="14" t="str">
        <f t="shared" si="308"/>
        <v>烈风螳螂魂珠-8 等级-6</v>
      </c>
      <c r="BC1280" s="25" t="s">
        <v>44</v>
      </c>
      <c r="BD1280" s="14">
        <f t="shared" si="309"/>
        <v>1920</v>
      </c>
      <c r="BE1280" s="14">
        <f>SUMIFS(BD$4:BD1280,$AU$4:$AU1280,"="&amp;$AU1280,$AY$4:$AY1280,"="&amp;$AY1280)</f>
        <v>6336</v>
      </c>
      <c r="BF1280" s="25" t="s">
        <v>1157</v>
      </c>
      <c r="BG1280" s="14">
        <f t="shared" si="310"/>
        <v>800</v>
      </c>
      <c r="BH1280" s="14">
        <f>SUMIFS(BG$4:BG1280,AU$4:AU1280,"="&amp;AU1280,AY$4:AY1280,"="&amp;AY1280)</f>
        <v>2640</v>
      </c>
      <c r="BI1280" s="25" t="s">
        <v>1158</v>
      </c>
      <c r="BJ1280" s="14">
        <f t="shared" si="311"/>
        <v>25600</v>
      </c>
      <c r="BK1280" s="14">
        <f>SUMIFS(BJ$4:BJ1280,$AU$4:$AU1280,"="&amp;$AU1280,$AY$4:$AY1280,"="&amp;$AY1280)</f>
        <v>84480</v>
      </c>
    </row>
    <row r="1281" spans="46:63" ht="16.5" x14ac:dyDescent="0.2">
      <c r="AT1281" s="13">
        <v>1278</v>
      </c>
      <c r="AU1281" s="13">
        <f t="shared" si="303"/>
        <v>16</v>
      </c>
      <c r="AV1281" s="14">
        <f t="shared" si="304"/>
        <v>202108</v>
      </c>
      <c r="AW1281" s="14">
        <f t="shared" si="305"/>
        <v>1102021</v>
      </c>
      <c r="AX1281" s="13" t="s">
        <v>1127</v>
      </c>
      <c r="AY1281" s="13">
        <f t="shared" si="306"/>
        <v>8</v>
      </c>
      <c r="AZ1281" s="13" t="s">
        <v>1148</v>
      </c>
      <c r="BA1281" s="14">
        <f t="shared" si="307"/>
        <v>7</v>
      </c>
      <c r="BB1281" s="14" t="str">
        <f t="shared" si="308"/>
        <v>烈风螳螂魂珠-8 等级-7</v>
      </c>
      <c r="BC1281" s="25" t="s">
        <v>44</v>
      </c>
      <c r="BD1281" s="14">
        <f t="shared" si="309"/>
        <v>2304</v>
      </c>
      <c r="BE1281" s="14">
        <f>SUMIFS(BD$4:BD1281,$AU$4:$AU1281,"="&amp;$AU1281,$AY$4:$AY1281,"="&amp;$AY1281)</f>
        <v>8640</v>
      </c>
      <c r="BF1281" s="25" t="s">
        <v>1157</v>
      </c>
      <c r="BG1281" s="14">
        <f t="shared" si="310"/>
        <v>960</v>
      </c>
      <c r="BH1281" s="14">
        <f>SUMIFS(BG$4:BG1281,AU$4:AU1281,"="&amp;AU1281,AY$4:AY1281,"="&amp;AY1281)</f>
        <v>3600</v>
      </c>
      <c r="BI1281" s="25" t="s">
        <v>1158</v>
      </c>
      <c r="BJ1281" s="14">
        <f t="shared" si="311"/>
        <v>30720</v>
      </c>
      <c r="BK1281" s="14">
        <f>SUMIFS(BJ$4:BJ1281,$AU$4:$AU1281,"="&amp;$AU1281,$AY$4:$AY1281,"="&amp;$AY1281)</f>
        <v>115200</v>
      </c>
    </row>
    <row r="1282" spans="46:63" ht="16.5" x14ac:dyDescent="0.2">
      <c r="AT1282" s="13">
        <v>1279</v>
      </c>
      <c r="AU1282" s="13">
        <f t="shared" si="303"/>
        <v>16</v>
      </c>
      <c r="AV1282" s="14">
        <f t="shared" si="304"/>
        <v>202108</v>
      </c>
      <c r="AW1282" s="14">
        <f t="shared" si="305"/>
        <v>1102021</v>
      </c>
      <c r="AX1282" s="13" t="s">
        <v>1127</v>
      </c>
      <c r="AY1282" s="13">
        <f t="shared" si="306"/>
        <v>8</v>
      </c>
      <c r="AZ1282" s="13" t="s">
        <v>1148</v>
      </c>
      <c r="BA1282" s="14">
        <f t="shared" si="307"/>
        <v>8</v>
      </c>
      <c r="BB1282" s="14" t="str">
        <f t="shared" si="308"/>
        <v>烈风螳螂魂珠-8 等级-8</v>
      </c>
      <c r="BC1282" s="25" t="s">
        <v>44</v>
      </c>
      <c r="BD1282" s="14">
        <f t="shared" si="309"/>
        <v>2688</v>
      </c>
      <c r="BE1282" s="14">
        <f>SUMIFS(BD$4:BD1282,$AU$4:$AU1282,"="&amp;$AU1282,$AY$4:$AY1282,"="&amp;$AY1282)</f>
        <v>11328</v>
      </c>
      <c r="BF1282" s="25" t="s">
        <v>1157</v>
      </c>
      <c r="BG1282" s="14">
        <f t="shared" si="310"/>
        <v>1120</v>
      </c>
      <c r="BH1282" s="14">
        <f>SUMIFS(BG$4:BG1282,AU$4:AU1282,"="&amp;AU1282,AY$4:AY1282,"="&amp;AY1282)</f>
        <v>4720</v>
      </c>
      <c r="BI1282" s="25" t="s">
        <v>1158</v>
      </c>
      <c r="BJ1282" s="14">
        <f t="shared" si="311"/>
        <v>35840</v>
      </c>
      <c r="BK1282" s="14">
        <f>SUMIFS(BJ$4:BJ1282,$AU$4:$AU1282,"="&amp;$AU1282,$AY$4:$AY1282,"="&amp;$AY1282)</f>
        <v>151040</v>
      </c>
    </row>
    <row r="1283" spans="46:63" ht="16.5" x14ac:dyDescent="0.2">
      <c r="AT1283" s="13">
        <v>1280</v>
      </c>
      <c r="AU1283" s="13">
        <f t="shared" si="303"/>
        <v>16</v>
      </c>
      <c r="AV1283" s="14">
        <f t="shared" si="304"/>
        <v>202108</v>
      </c>
      <c r="AW1283" s="14">
        <f t="shared" si="305"/>
        <v>1102021</v>
      </c>
      <c r="AX1283" s="13" t="s">
        <v>1127</v>
      </c>
      <c r="AY1283" s="13">
        <f t="shared" si="306"/>
        <v>8</v>
      </c>
      <c r="AZ1283" s="13" t="s">
        <v>1148</v>
      </c>
      <c r="BA1283" s="14">
        <f t="shared" si="307"/>
        <v>9</v>
      </c>
      <c r="BB1283" s="14" t="str">
        <f t="shared" si="308"/>
        <v>烈风螳螂魂珠-8 等级-9</v>
      </c>
      <c r="BC1283" s="25" t="s">
        <v>44</v>
      </c>
      <c r="BD1283" s="14">
        <f t="shared" si="309"/>
        <v>3072</v>
      </c>
      <c r="BE1283" s="14">
        <f>SUMIFS(BD$4:BD1283,$AU$4:$AU1283,"="&amp;$AU1283,$AY$4:$AY1283,"="&amp;$AY1283)</f>
        <v>14400</v>
      </c>
      <c r="BF1283" s="25" t="s">
        <v>1157</v>
      </c>
      <c r="BG1283" s="14">
        <f t="shared" si="310"/>
        <v>1280</v>
      </c>
      <c r="BH1283" s="14">
        <f>SUMIFS(BG$4:BG1283,AU$4:AU1283,"="&amp;AU1283,AY$4:AY1283,"="&amp;AY1283)</f>
        <v>6000</v>
      </c>
      <c r="BI1283" s="25" t="s">
        <v>1158</v>
      </c>
      <c r="BJ1283" s="14">
        <f t="shared" si="311"/>
        <v>40960</v>
      </c>
      <c r="BK1283" s="14">
        <f>SUMIFS(BJ$4:BJ1283,$AU$4:$AU1283,"="&amp;$AU1283,$AY$4:$AY1283,"="&amp;$AY1283)</f>
        <v>192000</v>
      </c>
    </row>
    <row r="1284" spans="46:63" ht="16.5" x14ac:dyDescent="0.2">
      <c r="AT1284" s="13">
        <v>1281</v>
      </c>
      <c r="AU1284" s="13">
        <f t="shared" si="303"/>
        <v>17</v>
      </c>
      <c r="AV1284" s="14">
        <f t="shared" si="304"/>
        <v>202401</v>
      </c>
      <c r="AW1284" s="14">
        <f t="shared" si="305"/>
        <v>1102024</v>
      </c>
      <c r="AX1284" s="13" t="s">
        <v>1127</v>
      </c>
      <c r="AY1284" s="13">
        <f t="shared" si="306"/>
        <v>1</v>
      </c>
      <c r="AZ1284" s="13" t="s">
        <v>1148</v>
      </c>
      <c r="BA1284" s="14">
        <f t="shared" si="307"/>
        <v>0</v>
      </c>
      <c r="BB1284" s="14" t="str">
        <f t="shared" si="308"/>
        <v>朱仙魂珠-1 等级-0</v>
      </c>
      <c r="BC1284" s="25" t="s">
        <v>44</v>
      </c>
      <c r="BD1284" s="14">
        <f t="shared" si="309"/>
        <v>0</v>
      </c>
      <c r="BE1284" s="14">
        <f>SUMIFS(BD$4:BD1284,$AU$4:$AU1284,"="&amp;$AU1284,$AY$4:$AY1284,"="&amp;$AY1284)</f>
        <v>0</v>
      </c>
      <c r="BF1284" s="25" t="s">
        <v>1157</v>
      </c>
      <c r="BG1284" s="14">
        <f t="shared" si="310"/>
        <v>0</v>
      </c>
      <c r="BH1284" s="14">
        <f>SUMIFS(BG$4:BG1284,AU$4:AU1284,"="&amp;AU1284,AY$4:AY1284,"="&amp;AY1284)</f>
        <v>0</v>
      </c>
      <c r="BI1284" s="25" t="s">
        <v>1158</v>
      </c>
      <c r="BJ1284" s="14">
        <f t="shared" si="311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2">INT((AT1285-1)/80)+1</f>
        <v>17</v>
      </c>
      <c r="AV1285" s="14">
        <f t="shared" ref="AV1285:AV1348" si="313">INDEX($AJ$4:$AJ$203,(AU1285-1)*8+AY1285)</f>
        <v>202401</v>
      </c>
      <c r="AW1285" s="14">
        <f t="shared" ref="AW1285:AW1348" si="314">INDEX($W$4:$W$28,AU1285)</f>
        <v>1102024</v>
      </c>
      <c r="AX1285" s="13" t="s">
        <v>1127</v>
      </c>
      <c r="AY1285" s="13">
        <f t="shared" ref="AY1285:AY1348" si="315">INT(((AT1285-(AU1285-1)*80)-1)/10)+1</f>
        <v>1</v>
      </c>
      <c r="AZ1285" s="13" t="s">
        <v>1148</v>
      </c>
      <c r="BA1285" s="14">
        <f t="shared" ref="BA1285:BA1348" si="316">AT1285-(AU1285-1)*80-(AY1285-1)*10-1</f>
        <v>1</v>
      </c>
      <c r="BB1285" s="14" t="str">
        <f t="shared" ref="BB1285:BB1348" si="317">INDEX($X$4:$X$28,AU1285)&amp;"魂珠-"&amp;AY1285&amp;" 等级-"&amp;BA1285</f>
        <v>朱仙魂珠-1 等级-1</v>
      </c>
      <c r="BC1285" s="25" t="s">
        <v>44</v>
      </c>
      <c r="BD1285" s="14">
        <f t="shared" ref="BD1285:BD1348" si="318">ROUND(INDEX(Q$4:Q$83,($AY1285-1)*10+$BA1285+1)*INDEX(AC$4:AC$28,$AU1285),0)</f>
        <v>40</v>
      </c>
      <c r="BE1285" s="14">
        <f>SUMIFS(BD$4:BD1285,$AU$4:$AU1285,"="&amp;$AU1285,$AY$4:$AY1285,"="&amp;$AY1285)</f>
        <v>40</v>
      </c>
      <c r="BF1285" s="25" t="s">
        <v>1157</v>
      </c>
      <c r="BG1285" s="14">
        <f t="shared" ref="BG1285:BG1348" si="319">ROUND(INDEX(R$4:R$83,($AY1285-1)*10+$BA1285+1)*INDEX(AD$4:AD$28,$AU1285),0)</f>
        <v>20</v>
      </c>
      <c r="BH1285" s="14">
        <f>SUMIFS(BG$4:BG1285,AU$4:AU1285,"="&amp;AU1285,AY$4:AY1285,"="&amp;AY1285)</f>
        <v>20</v>
      </c>
      <c r="BI1285" s="25" t="s">
        <v>1158</v>
      </c>
      <c r="BJ1285" s="14">
        <f t="shared" ref="BJ1285:BJ1348" si="320">ROUND(INDEX(S$4:S$83,($AY1285-1)*10+$BA1285+1)*INDEX(AE$4:AE$28,$AU1285),0)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2"/>
        <v>17</v>
      </c>
      <c r="AV1286" s="14">
        <f t="shared" si="313"/>
        <v>202401</v>
      </c>
      <c r="AW1286" s="14">
        <f t="shared" si="314"/>
        <v>1102024</v>
      </c>
      <c r="AX1286" s="13" t="s">
        <v>1127</v>
      </c>
      <c r="AY1286" s="13">
        <f t="shared" si="315"/>
        <v>1</v>
      </c>
      <c r="AZ1286" s="13" t="s">
        <v>1148</v>
      </c>
      <c r="BA1286" s="14">
        <f t="shared" si="316"/>
        <v>2</v>
      </c>
      <c r="BB1286" s="14" t="str">
        <f t="shared" si="317"/>
        <v>朱仙魂珠-1 等级-2</v>
      </c>
      <c r="BC1286" s="25" t="s">
        <v>44</v>
      </c>
      <c r="BD1286" s="14">
        <f t="shared" si="318"/>
        <v>60</v>
      </c>
      <c r="BE1286" s="14">
        <f>SUMIFS(BD$4:BD1286,$AU$4:$AU1286,"="&amp;$AU1286,$AY$4:$AY1286,"="&amp;$AY1286)</f>
        <v>100</v>
      </c>
      <c r="BF1286" s="25" t="s">
        <v>1157</v>
      </c>
      <c r="BG1286" s="14">
        <f t="shared" si="319"/>
        <v>30</v>
      </c>
      <c r="BH1286" s="14">
        <f>SUMIFS(BG$4:BG1286,AU$4:AU1286,"="&amp;AU1286,AY$4:AY1286,"="&amp;AY1286)</f>
        <v>50</v>
      </c>
      <c r="BI1286" s="25" t="s">
        <v>1158</v>
      </c>
      <c r="BJ1286" s="14">
        <f t="shared" si="320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2"/>
        <v>17</v>
      </c>
      <c r="AV1287" s="14">
        <f t="shared" si="313"/>
        <v>202401</v>
      </c>
      <c r="AW1287" s="14">
        <f t="shared" si="314"/>
        <v>1102024</v>
      </c>
      <c r="AX1287" s="13" t="s">
        <v>1127</v>
      </c>
      <c r="AY1287" s="13">
        <f t="shared" si="315"/>
        <v>1</v>
      </c>
      <c r="AZ1287" s="13" t="s">
        <v>1148</v>
      </c>
      <c r="BA1287" s="14">
        <f t="shared" si="316"/>
        <v>3</v>
      </c>
      <c r="BB1287" s="14" t="str">
        <f t="shared" si="317"/>
        <v>朱仙魂珠-1 等级-3</v>
      </c>
      <c r="BC1287" s="25" t="s">
        <v>44</v>
      </c>
      <c r="BD1287" s="14">
        <f t="shared" si="318"/>
        <v>80</v>
      </c>
      <c r="BE1287" s="14">
        <f>SUMIFS(BD$4:BD1287,$AU$4:$AU1287,"="&amp;$AU1287,$AY$4:$AY1287,"="&amp;$AY1287)</f>
        <v>180</v>
      </c>
      <c r="BF1287" s="25" t="s">
        <v>1157</v>
      </c>
      <c r="BG1287" s="14">
        <f t="shared" si="319"/>
        <v>40</v>
      </c>
      <c r="BH1287" s="14">
        <f>SUMIFS(BG$4:BG1287,AU$4:AU1287,"="&amp;AU1287,AY$4:AY1287,"="&amp;AY1287)</f>
        <v>90</v>
      </c>
      <c r="BI1287" s="25" t="s">
        <v>1158</v>
      </c>
      <c r="BJ1287" s="14">
        <f t="shared" si="320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2"/>
        <v>17</v>
      </c>
      <c r="AV1288" s="14">
        <f t="shared" si="313"/>
        <v>202401</v>
      </c>
      <c r="AW1288" s="14">
        <f t="shared" si="314"/>
        <v>1102024</v>
      </c>
      <c r="AX1288" s="13" t="s">
        <v>1127</v>
      </c>
      <c r="AY1288" s="13">
        <f t="shared" si="315"/>
        <v>1</v>
      </c>
      <c r="AZ1288" s="13" t="s">
        <v>1148</v>
      </c>
      <c r="BA1288" s="14">
        <f t="shared" si="316"/>
        <v>4</v>
      </c>
      <c r="BB1288" s="14" t="str">
        <f t="shared" si="317"/>
        <v>朱仙魂珠-1 等级-4</v>
      </c>
      <c r="BC1288" s="25" t="s">
        <v>44</v>
      </c>
      <c r="BD1288" s="14">
        <f t="shared" si="318"/>
        <v>120</v>
      </c>
      <c r="BE1288" s="14">
        <f>SUMIFS(BD$4:BD1288,$AU$4:$AU1288,"="&amp;$AU1288,$AY$4:$AY1288,"="&amp;$AY1288)</f>
        <v>300</v>
      </c>
      <c r="BF1288" s="25" t="s">
        <v>1157</v>
      </c>
      <c r="BG1288" s="14">
        <f t="shared" si="319"/>
        <v>60</v>
      </c>
      <c r="BH1288" s="14">
        <f>SUMIFS(BG$4:BG1288,AU$4:AU1288,"="&amp;AU1288,AY$4:AY1288,"="&amp;AY1288)</f>
        <v>150</v>
      </c>
      <c r="BI1288" s="25" t="s">
        <v>1158</v>
      </c>
      <c r="BJ1288" s="14">
        <f t="shared" si="320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2"/>
        <v>17</v>
      </c>
      <c r="AV1289" s="14">
        <f t="shared" si="313"/>
        <v>202401</v>
      </c>
      <c r="AW1289" s="14">
        <f t="shared" si="314"/>
        <v>1102024</v>
      </c>
      <c r="AX1289" s="13" t="s">
        <v>1127</v>
      </c>
      <c r="AY1289" s="13">
        <f t="shared" si="315"/>
        <v>1</v>
      </c>
      <c r="AZ1289" s="13" t="s">
        <v>1148</v>
      </c>
      <c r="BA1289" s="14">
        <f t="shared" si="316"/>
        <v>5</v>
      </c>
      <c r="BB1289" s="14" t="str">
        <f t="shared" si="317"/>
        <v>朱仙魂珠-1 等级-5</v>
      </c>
      <c r="BC1289" s="25" t="s">
        <v>44</v>
      </c>
      <c r="BD1289" s="14">
        <f t="shared" si="318"/>
        <v>160</v>
      </c>
      <c r="BE1289" s="14">
        <f>SUMIFS(BD$4:BD1289,$AU$4:$AU1289,"="&amp;$AU1289,$AY$4:$AY1289,"="&amp;$AY1289)</f>
        <v>460</v>
      </c>
      <c r="BF1289" s="25" t="s">
        <v>1157</v>
      </c>
      <c r="BG1289" s="14">
        <f t="shared" si="319"/>
        <v>80</v>
      </c>
      <c r="BH1289" s="14">
        <f>SUMIFS(BG$4:BG1289,AU$4:AU1289,"="&amp;AU1289,AY$4:AY1289,"="&amp;AY1289)</f>
        <v>230</v>
      </c>
      <c r="BI1289" s="25" t="s">
        <v>1158</v>
      </c>
      <c r="BJ1289" s="14">
        <f t="shared" si="320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2"/>
        <v>17</v>
      </c>
      <c r="AV1290" s="14">
        <f t="shared" si="313"/>
        <v>202401</v>
      </c>
      <c r="AW1290" s="14">
        <f t="shared" si="314"/>
        <v>1102024</v>
      </c>
      <c r="AX1290" s="13" t="s">
        <v>1127</v>
      </c>
      <c r="AY1290" s="13">
        <f t="shared" si="315"/>
        <v>1</v>
      </c>
      <c r="AZ1290" s="13" t="s">
        <v>1148</v>
      </c>
      <c r="BA1290" s="14">
        <f t="shared" si="316"/>
        <v>6</v>
      </c>
      <c r="BB1290" s="14" t="str">
        <f t="shared" si="317"/>
        <v>朱仙魂珠-1 等级-6</v>
      </c>
      <c r="BC1290" s="25" t="s">
        <v>44</v>
      </c>
      <c r="BD1290" s="14">
        <f t="shared" si="318"/>
        <v>200</v>
      </c>
      <c r="BE1290" s="14">
        <f>SUMIFS(BD$4:BD1290,$AU$4:$AU1290,"="&amp;$AU1290,$AY$4:$AY1290,"="&amp;$AY1290)</f>
        <v>660</v>
      </c>
      <c r="BF1290" s="25" t="s">
        <v>1157</v>
      </c>
      <c r="BG1290" s="14">
        <f t="shared" si="319"/>
        <v>100</v>
      </c>
      <c r="BH1290" s="14">
        <f>SUMIFS(BG$4:BG1290,AU$4:AU1290,"="&amp;AU1290,AY$4:AY1290,"="&amp;AY1290)</f>
        <v>330</v>
      </c>
      <c r="BI1290" s="25" t="s">
        <v>1158</v>
      </c>
      <c r="BJ1290" s="14">
        <f t="shared" si="320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2"/>
        <v>17</v>
      </c>
      <c r="AV1291" s="14">
        <f t="shared" si="313"/>
        <v>202401</v>
      </c>
      <c r="AW1291" s="14">
        <f t="shared" si="314"/>
        <v>1102024</v>
      </c>
      <c r="AX1291" s="13" t="s">
        <v>1127</v>
      </c>
      <c r="AY1291" s="13">
        <f t="shared" si="315"/>
        <v>1</v>
      </c>
      <c r="AZ1291" s="13" t="s">
        <v>1148</v>
      </c>
      <c r="BA1291" s="14">
        <f t="shared" si="316"/>
        <v>7</v>
      </c>
      <c r="BB1291" s="14" t="str">
        <f t="shared" si="317"/>
        <v>朱仙魂珠-1 等级-7</v>
      </c>
      <c r="BC1291" s="25" t="s">
        <v>44</v>
      </c>
      <c r="BD1291" s="14">
        <f t="shared" si="318"/>
        <v>240</v>
      </c>
      <c r="BE1291" s="14">
        <f>SUMIFS(BD$4:BD1291,$AU$4:$AU1291,"="&amp;$AU1291,$AY$4:$AY1291,"="&amp;$AY1291)</f>
        <v>900</v>
      </c>
      <c r="BF1291" s="25" t="s">
        <v>1157</v>
      </c>
      <c r="BG1291" s="14">
        <f t="shared" si="319"/>
        <v>120</v>
      </c>
      <c r="BH1291" s="14">
        <f>SUMIFS(BG$4:BG1291,AU$4:AU1291,"="&amp;AU1291,AY$4:AY1291,"="&amp;AY1291)</f>
        <v>450</v>
      </c>
      <c r="BI1291" s="25" t="s">
        <v>1158</v>
      </c>
      <c r="BJ1291" s="14">
        <f t="shared" si="320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2"/>
        <v>17</v>
      </c>
      <c r="AV1292" s="14">
        <f t="shared" si="313"/>
        <v>202401</v>
      </c>
      <c r="AW1292" s="14">
        <f t="shared" si="314"/>
        <v>1102024</v>
      </c>
      <c r="AX1292" s="13" t="s">
        <v>1127</v>
      </c>
      <c r="AY1292" s="13">
        <f t="shared" si="315"/>
        <v>1</v>
      </c>
      <c r="AZ1292" s="13" t="s">
        <v>1148</v>
      </c>
      <c r="BA1292" s="14">
        <f t="shared" si="316"/>
        <v>8</v>
      </c>
      <c r="BB1292" s="14" t="str">
        <f t="shared" si="317"/>
        <v>朱仙魂珠-1 等级-8</v>
      </c>
      <c r="BC1292" s="25" t="s">
        <v>44</v>
      </c>
      <c r="BD1292" s="14">
        <f t="shared" si="318"/>
        <v>280</v>
      </c>
      <c r="BE1292" s="14">
        <f>SUMIFS(BD$4:BD1292,$AU$4:$AU1292,"="&amp;$AU1292,$AY$4:$AY1292,"="&amp;$AY1292)</f>
        <v>1180</v>
      </c>
      <c r="BF1292" s="25" t="s">
        <v>1157</v>
      </c>
      <c r="BG1292" s="14">
        <f t="shared" si="319"/>
        <v>140</v>
      </c>
      <c r="BH1292" s="14">
        <f>SUMIFS(BG$4:BG1292,AU$4:AU1292,"="&amp;AU1292,AY$4:AY1292,"="&amp;AY1292)</f>
        <v>590</v>
      </c>
      <c r="BI1292" s="25" t="s">
        <v>1158</v>
      </c>
      <c r="BJ1292" s="14">
        <f t="shared" si="320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2"/>
        <v>17</v>
      </c>
      <c r="AV1293" s="14">
        <f t="shared" si="313"/>
        <v>202401</v>
      </c>
      <c r="AW1293" s="14">
        <f t="shared" si="314"/>
        <v>1102024</v>
      </c>
      <c r="AX1293" s="13" t="s">
        <v>1127</v>
      </c>
      <c r="AY1293" s="13">
        <f t="shared" si="315"/>
        <v>1</v>
      </c>
      <c r="AZ1293" s="13" t="s">
        <v>1148</v>
      </c>
      <c r="BA1293" s="14">
        <f t="shared" si="316"/>
        <v>9</v>
      </c>
      <c r="BB1293" s="14" t="str">
        <f t="shared" si="317"/>
        <v>朱仙魂珠-1 等级-9</v>
      </c>
      <c r="BC1293" s="25" t="s">
        <v>44</v>
      </c>
      <c r="BD1293" s="14">
        <f t="shared" si="318"/>
        <v>320</v>
      </c>
      <c r="BE1293" s="14">
        <f>SUMIFS(BD$4:BD1293,$AU$4:$AU1293,"="&amp;$AU1293,$AY$4:$AY1293,"="&amp;$AY1293)</f>
        <v>1500</v>
      </c>
      <c r="BF1293" s="25" t="s">
        <v>1157</v>
      </c>
      <c r="BG1293" s="14">
        <f t="shared" si="319"/>
        <v>160</v>
      </c>
      <c r="BH1293" s="14">
        <f>SUMIFS(BG$4:BG1293,AU$4:AU1293,"="&amp;AU1293,AY$4:AY1293,"="&amp;AY1293)</f>
        <v>750</v>
      </c>
      <c r="BI1293" s="25" t="s">
        <v>1158</v>
      </c>
      <c r="BJ1293" s="14">
        <f t="shared" si="320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2"/>
        <v>17</v>
      </c>
      <c r="AV1294" s="14">
        <f t="shared" si="313"/>
        <v>202402</v>
      </c>
      <c r="AW1294" s="14">
        <f t="shared" si="314"/>
        <v>1102024</v>
      </c>
      <c r="AX1294" s="13" t="s">
        <v>1127</v>
      </c>
      <c r="AY1294" s="13">
        <f t="shared" si="315"/>
        <v>2</v>
      </c>
      <c r="AZ1294" s="13" t="s">
        <v>1148</v>
      </c>
      <c r="BA1294" s="14">
        <f t="shared" si="316"/>
        <v>0</v>
      </c>
      <c r="BB1294" s="14" t="str">
        <f t="shared" si="317"/>
        <v>朱仙魂珠-2 等级-0</v>
      </c>
      <c r="BC1294" s="25" t="s">
        <v>44</v>
      </c>
      <c r="BD1294" s="14">
        <f t="shared" si="318"/>
        <v>0</v>
      </c>
      <c r="BE1294" s="14">
        <f>SUMIFS(BD$4:BD1294,$AU$4:$AU1294,"="&amp;$AU1294,$AY$4:$AY1294,"="&amp;$AY1294)</f>
        <v>0</v>
      </c>
      <c r="BF1294" s="25" t="s">
        <v>1157</v>
      </c>
      <c r="BG1294" s="14">
        <f t="shared" si="319"/>
        <v>0</v>
      </c>
      <c r="BH1294" s="14">
        <f>SUMIFS(BG$4:BG1294,AU$4:AU1294,"="&amp;AU1294,AY$4:AY1294,"="&amp;AY1294)</f>
        <v>0</v>
      </c>
      <c r="BI1294" s="25" t="s">
        <v>1158</v>
      </c>
      <c r="BJ1294" s="14">
        <f t="shared" si="320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2"/>
        <v>17</v>
      </c>
      <c r="AV1295" s="14">
        <f t="shared" si="313"/>
        <v>202402</v>
      </c>
      <c r="AW1295" s="14">
        <f t="shared" si="314"/>
        <v>1102024</v>
      </c>
      <c r="AX1295" s="13" t="s">
        <v>1127</v>
      </c>
      <c r="AY1295" s="13">
        <f t="shared" si="315"/>
        <v>2</v>
      </c>
      <c r="AZ1295" s="13" t="s">
        <v>1148</v>
      </c>
      <c r="BA1295" s="14">
        <f t="shared" si="316"/>
        <v>1</v>
      </c>
      <c r="BB1295" s="14" t="str">
        <f t="shared" si="317"/>
        <v>朱仙魂珠-2 等级-1</v>
      </c>
      <c r="BC1295" s="25" t="s">
        <v>44</v>
      </c>
      <c r="BD1295" s="14">
        <f t="shared" si="318"/>
        <v>50</v>
      </c>
      <c r="BE1295" s="14">
        <f>SUMIFS(BD$4:BD1295,$AU$4:$AU1295,"="&amp;$AU1295,$AY$4:$AY1295,"="&amp;$AY1295)</f>
        <v>50</v>
      </c>
      <c r="BF1295" s="25" t="s">
        <v>1157</v>
      </c>
      <c r="BG1295" s="14">
        <f t="shared" si="319"/>
        <v>25</v>
      </c>
      <c r="BH1295" s="14">
        <f>SUMIFS(BG$4:BG1295,AU$4:AU1295,"="&amp;AU1295,AY$4:AY1295,"="&amp;AY1295)</f>
        <v>25</v>
      </c>
      <c r="BI1295" s="25" t="s">
        <v>1158</v>
      </c>
      <c r="BJ1295" s="14">
        <f t="shared" si="320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2"/>
        <v>17</v>
      </c>
      <c r="AV1296" s="14">
        <f t="shared" si="313"/>
        <v>202402</v>
      </c>
      <c r="AW1296" s="14">
        <f t="shared" si="314"/>
        <v>1102024</v>
      </c>
      <c r="AX1296" s="13" t="s">
        <v>1127</v>
      </c>
      <c r="AY1296" s="13">
        <f t="shared" si="315"/>
        <v>2</v>
      </c>
      <c r="AZ1296" s="13" t="s">
        <v>1148</v>
      </c>
      <c r="BA1296" s="14">
        <f t="shared" si="316"/>
        <v>2</v>
      </c>
      <c r="BB1296" s="14" t="str">
        <f t="shared" si="317"/>
        <v>朱仙魂珠-2 等级-2</v>
      </c>
      <c r="BC1296" s="25" t="s">
        <v>44</v>
      </c>
      <c r="BD1296" s="14">
        <f t="shared" si="318"/>
        <v>80</v>
      </c>
      <c r="BE1296" s="14">
        <f>SUMIFS(BD$4:BD1296,$AU$4:$AU1296,"="&amp;$AU1296,$AY$4:$AY1296,"="&amp;$AY1296)</f>
        <v>130</v>
      </c>
      <c r="BF1296" s="25" t="s">
        <v>1157</v>
      </c>
      <c r="BG1296" s="14">
        <f t="shared" si="319"/>
        <v>40</v>
      </c>
      <c r="BH1296" s="14">
        <f>SUMIFS(BG$4:BG1296,AU$4:AU1296,"="&amp;AU1296,AY$4:AY1296,"="&amp;AY1296)</f>
        <v>65</v>
      </c>
      <c r="BI1296" s="25" t="s">
        <v>1158</v>
      </c>
      <c r="BJ1296" s="14">
        <f t="shared" si="320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2"/>
        <v>17</v>
      </c>
      <c r="AV1297" s="14">
        <f t="shared" si="313"/>
        <v>202402</v>
      </c>
      <c r="AW1297" s="14">
        <f t="shared" si="314"/>
        <v>1102024</v>
      </c>
      <c r="AX1297" s="13" t="s">
        <v>1127</v>
      </c>
      <c r="AY1297" s="13">
        <f t="shared" si="315"/>
        <v>2</v>
      </c>
      <c r="AZ1297" s="13" t="s">
        <v>1148</v>
      </c>
      <c r="BA1297" s="14">
        <f t="shared" si="316"/>
        <v>3</v>
      </c>
      <c r="BB1297" s="14" t="str">
        <f t="shared" si="317"/>
        <v>朱仙魂珠-2 等级-3</v>
      </c>
      <c r="BC1297" s="25" t="s">
        <v>44</v>
      </c>
      <c r="BD1297" s="14">
        <f t="shared" si="318"/>
        <v>100</v>
      </c>
      <c r="BE1297" s="14">
        <f>SUMIFS(BD$4:BD1297,$AU$4:$AU1297,"="&amp;$AU1297,$AY$4:$AY1297,"="&amp;$AY1297)</f>
        <v>230</v>
      </c>
      <c r="BF1297" s="25" t="s">
        <v>1157</v>
      </c>
      <c r="BG1297" s="14">
        <f t="shared" si="319"/>
        <v>50</v>
      </c>
      <c r="BH1297" s="14">
        <f>SUMIFS(BG$4:BG1297,AU$4:AU1297,"="&amp;AU1297,AY$4:AY1297,"="&amp;AY1297)</f>
        <v>115</v>
      </c>
      <c r="BI1297" s="25" t="s">
        <v>1158</v>
      </c>
      <c r="BJ1297" s="14">
        <f t="shared" si="320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2"/>
        <v>17</v>
      </c>
      <c r="AV1298" s="14">
        <f t="shared" si="313"/>
        <v>202402</v>
      </c>
      <c r="AW1298" s="14">
        <f t="shared" si="314"/>
        <v>1102024</v>
      </c>
      <c r="AX1298" s="13" t="s">
        <v>1127</v>
      </c>
      <c r="AY1298" s="13">
        <f t="shared" si="315"/>
        <v>2</v>
      </c>
      <c r="AZ1298" s="13" t="s">
        <v>1148</v>
      </c>
      <c r="BA1298" s="14">
        <f t="shared" si="316"/>
        <v>4</v>
      </c>
      <c r="BB1298" s="14" t="str">
        <f t="shared" si="317"/>
        <v>朱仙魂珠-2 等级-4</v>
      </c>
      <c r="BC1298" s="25" t="s">
        <v>44</v>
      </c>
      <c r="BD1298" s="14">
        <f t="shared" si="318"/>
        <v>160</v>
      </c>
      <c r="BE1298" s="14">
        <f>SUMIFS(BD$4:BD1298,$AU$4:$AU1298,"="&amp;$AU1298,$AY$4:$AY1298,"="&amp;$AY1298)</f>
        <v>390</v>
      </c>
      <c r="BF1298" s="25" t="s">
        <v>1157</v>
      </c>
      <c r="BG1298" s="14">
        <f t="shared" si="319"/>
        <v>80</v>
      </c>
      <c r="BH1298" s="14">
        <f>SUMIFS(BG$4:BG1298,AU$4:AU1298,"="&amp;AU1298,AY$4:AY1298,"="&amp;AY1298)</f>
        <v>195</v>
      </c>
      <c r="BI1298" s="25" t="s">
        <v>1158</v>
      </c>
      <c r="BJ1298" s="14">
        <f t="shared" si="320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2"/>
        <v>17</v>
      </c>
      <c r="AV1299" s="14">
        <f t="shared" si="313"/>
        <v>202402</v>
      </c>
      <c r="AW1299" s="14">
        <f t="shared" si="314"/>
        <v>1102024</v>
      </c>
      <c r="AX1299" s="13" t="s">
        <v>1127</v>
      </c>
      <c r="AY1299" s="13">
        <f t="shared" si="315"/>
        <v>2</v>
      </c>
      <c r="AZ1299" s="13" t="s">
        <v>1148</v>
      </c>
      <c r="BA1299" s="14">
        <f t="shared" si="316"/>
        <v>5</v>
      </c>
      <c r="BB1299" s="14" t="str">
        <f t="shared" si="317"/>
        <v>朱仙魂珠-2 等级-5</v>
      </c>
      <c r="BC1299" s="25" t="s">
        <v>44</v>
      </c>
      <c r="BD1299" s="14">
        <f t="shared" si="318"/>
        <v>220</v>
      </c>
      <c r="BE1299" s="14">
        <f>SUMIFS(BD$4:BD1299,$AU$4:$AU1299,"="&amp;$AU1299,$AY$4:$AY1299,"="&amp;$AY1299)</f>
        <v>610</v>
      </c>
      <c r="BF1299" s="25" t="s">
        <v>1157</v>
      </c>
      <c r="BG1299" s="14">
        <f t="shared" si="319"/>
        <v>110</v>
      </c>
      <c r="BH1299" s="14">
        <f>SUMIFS(BG$4:BG1299,AU$4:AU1299,"="&amp;AU1299,AY$4:AY1299,"="&amp;AY1299)</f>
        <v>305</v>
      </c>
      <c r="BI1299" s="25" t="s">
        <v>1158</v>
      </c>
      <c r="BJ1299" s="14">
        <f t="shared" si="320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2"/>
        <v>17</v>
      </c>
      <c r="AV1300" s="14">
        <f t="shared" si="313"/>
        <v>202402</v>
      </c>
      <c r="AW1300" s="14">
        <f t="shared" si="314"/>
        <v>1102024</v>
      </c>
      <c r="AX1300" s="13" t="s">
        <v>1127</v>
      </c>
      <c r="AY1300" s="13">
        <f t="shared" si="315"/>
        <v>2</v>
      </c>
      <c r="AZ1300" s="13" t="s">
        <v>1148</v>
      </c>
      <c r="BA1300" s="14">
        <f t="shared" si="316"/>
        <v>6</v>
      </c>
      <c r="BB1300" s="14" t="str">
        <f t="shared" si="317"/>
        <v>朱仙魂珠-2 等级-6</v>
      </c>
      <c r="BC1300" s="25" t="s">
        <v>44</v>
      </c>
      <c r="BD1300" s="14">
        <f t="shared" si="318"/>
        <v>280</v>
      </c>
      <c r="BE1300" s="14">
        <f>SUMIFS(BD$4:BD1300,$AU$4:$AU1300,"="&amp;$AU1300,$AY$4:$AY1300,"="&amp;$AY1300)</f>
        <v>890</v>
      </c>
      <c r="BF1300" s="25" t="s">
        <v>1157</v>
      </c>
      <c r="BG1300" s="14">
        <f t="shared" si="319"/>
        <v>140</v>
      </c>
      <c r="BH1300" s="14">
        <f>SUMIFS(BG$4:BG1300,AU$4:AU1300,"="&amp;AU1300,AY$4:AY1300,"="&amp;AY1300)</f>
        <v>445</v>
      </c>
      <c r="BI1300" s="25" t="s">
        <v>1158</v>
      </c>
      <c r="BJ1300" s="14">
        <f t="shared" si="320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2"/>
        <v>17</v>
      </c>
      <c r="AV1301" s="14">
        <f t="shared" si="313"/>
        <v>202402</v>
      </c>
      <c r="AW1301" s="14">
        <f t="shared" si="314"/>
        <v>1102024</v>
      </c>
      <c r="AX1301" s="13" t="s">
        <v>1127</v>
      </c>
      <c r="AY1301" s="13">
        <f t="shared" si="315"/>
        <v>2</v>
      </c>
      <c r="AZ1301" s="13" t="s">
        <v>1148</v>
      </c>
      <c r="BA1301" s="14">
        <f t="shared" si="316"/>
        <v>7</v>
      </c>
      <c r="BB1301" s="14" t="str">
        <f t="shared" si="317"/>
        <v>朱仙魂珠-2 等级-7</v>
      </c>
      <c r="BC1301" s="25" t="s">
        <v>44</v>
      </c>
      <c r="BD1301" s="14">
        <f t="shared" si="318"/>
        <v>320</v>
      </c>
      <c r="BE1301" s="14">
        <f>SUMIFS(BD$4:BD1301,$AU$4:$AU1301,"="&amp;$AU1301,$AY$4:$AY1301,"="&amp;$AY1301)</f>
        <v>1210</v>
      </c>
      <c r="BF1301" s="25" t="s">
        <v>1157</v>
      </c>
      <c r="BG1301" s="14">
        <f t="shared" si="319"/>
        <v>160</v>
      </c>
      <c r="BH1301" s="14">
        <f>SUMIFS(BG$4:BG1301,AU$4:AU1301,"="&amp;AU1301,AY$4:AY1301,"="&amp;AY1301)</f>
        <v>605</v>
      </c>
      <c r="BI1301" s="25" t="s">
        <v>1158</v>
      </c>
      <c r="BJ1301" s="14">
        <f t="shared" si="320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2"/>
        <v>17</v>
      </c>
      <c r="AV1302" s="14">
        <f t="shared" si="313"/>
        <v>202402</v>
      </c>
      <c r="AW1302" s="14">
        <f t="shared" si="314"/>
        <v>1102024</v>
      </c>
      <c r="AX1302" s="13" t="s">
        <v>1127</v>
      </c>
      <c r="AY1302" s="13">
        <f t="shared" si="315"/>
        <v>2</v>
      </c>
      <c r="AZ1302" s="13" t="s">
        <v>1148</v>
      </c>
      <c r="BA1302" s="14">
        <f t="shared" si="316"/>
        <v>8</v>
      </c>
      <c r="BB1302" s="14" t="str">
        <f t="shared" si="317"/>
        <v>朱仙魂珠-2 等级-8</v>
      </c>
      <c r="BC1302" s="25" t="s">
        <v>44</v>
      </c>
      <c r="BD1302" s="14">
        <f t="shared" si="318"/>
        <v>380</v>
      </c>
      <c r="BE1302" s="14">
        <f>SUMIFS(BD$4:BD1302,$AU$4:$AU1302,"="&amp;$AU1302,$AY$4:$AY1302,"="&amp;$AY1302)</f>
        <v>1590</v>
      </c>
      <c r="BF1302" s="25" t="s">
        <v>1157</v>
      </c>
      <c r="BG1302" s="14">
        <f t="shared" si="319"/>
        <v>190</v>
      </c>
      <c r="BH1302" s="14">
        <f>SUMIFS(BG$4:BG1302,AU$4:AU1302,"="&amp;AU1302,AY$4:AY1302,"="&amp;AY1302)</f>
        <v>795</v>
      </c>
      <c r="BI1302" s="25" t="s">
        <v>1158</v>
      </c>
      <c r="BJ1302" s="14">
        <f t="shared" si="320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2"/>
        <v>17</v>
      </c>
      <c r="AV1303" s="14">
        <f t="shared" si="313"/>
        <v>202402</v>
      </c>
      <c r="AW1303" s="14">
        <f t="shared" si="314"/>
        <v>1102024</v>
      </c>
      <c r="AX1303" s="13" t="s">
        <v>1127</v>
      </c>
      <c r="AY1303" s="13">
        <f t="shared" si="315"/>
        <v>2</v>
      </c>
      <c r="AZ1303" s="13" t="s">
        <v>1148</v>
      </c>
      <c r="BA1303" s="14">
        <f t="shared" si="316"/>
        <v>9</v>
      </c>
      <c r="BB1303" s="14" t="str">
        <f t="shared" si="317"/>
        <v>朱仙魂珠-2 等级-9</v>
      </c>
      <c r="BC1303" s="25" t="s">
        <v>44</v>
      </c>
      <c r="BD1303" s="14">
        <f t="shared" si="318"/>
        <v>450</v>
      </c>
      <c r="BE1303" s="14">
        <f>SUMIFS(BD$4:BD1303,$AU$4:$AU1303,"="&amp;$AU1303,$AY$4:$AY1303,"="&amp;$AY1303)</f>
        <v>2040</v>
      </c>
      <c r="BF1303" s="25" t="s">
        <v>1157</v>
      </c>
      <c r="BG1303" s="14">
        <f t="shared" si="319"/>
        <v>225</v>
      </c>
      <c r="BH1303" s="14">
        <f>SUMIFS(BG$4:BG1303,AU$4:AU1303,"="&amp;AU1303,AY$4:AY1303,"="&amp;AY1303)</f>
        <v>1020</v>
      </c>
      <c r="BI1303" s="25" t="s">
        <v>1158</v>
      </c>
      <c r="BJ1303" s="14">
        <f t="shared" si="320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2"/>
        <v>17</v>
      </c>
      <c r="AV1304" s="14">
        <f t="shared" si="313"/>
        <v>202403</v>
      </c>
      <c r="AW1304" s="14">
        <f t="shared" si="314"/>
        <v>1102024</v>
      </c>
      <c r="AX1304" s="13" t="s">
        <v>1127</v>
      </c>
      <c r="AY1304" s="13">
        <f t="shared" si="315"/>
        <v>3</v>
      </c>
      <c r="AZ1304" s="13" t="s">
        <v>1148</v>
      </c>
      <c r="BA1304" s="14">
        <f t="shared" si="316"/>
        <v>0</v>
      </c>
      <c r="BB1304" s="14" t="str">
        <f t="shared" si="317"/>
        <v>朱仙魂珠-3 等级-0</v>
      </c>
      <c r="BC1304" s="25" t="s">
        <v>44</v>
      </c>
      <c r="BD1304" s="14">
        <f t="shared" si="318"/>
        <v>0</v>
      </c>
      <c r="BE1304" s="14">
        <f>SUMIFS(BD$4:BD1304,$AU$4:$AU1304,"="&amp;$AU1304,$AY$4:$AY1304,"="&amp;$AY1304)</f>
        <v>0</v>
      </c>
      <c r="BF1304" s="25" t="s">
        <v>1157</v>
      </c>
      <c r="BG1304" s="14">
        <f t="shared" si="319"/>
        <v>0</v>
      </c>
      <c r="BH1304" s="14">
        <f>SUMIFS(BG$4:BG1304,AU$4:AU1304,"="&amp;AU1304,AY$4:AY1304,"="&amp;AY1304)</f>
        <v>0</v>
      </c>
      <c r="BI1304" s="25" t="s">
        <v>1158</v>
      </c>
      <c r="BJ1304" s="14">
        <f t="shared" si="320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2"/>
        <v>17</v>
      </c>
      <c r="AV1305" s="14">
        <f t="shared" si="313"/>
        <v>202403</v>
      </c>
      <c r="AW1305" s="14">
        <f t="shared" si="314"/>
        <v>1102024</v>
      </c>
      <c r="AX1305" s="13" t="s">
        <v>1127</v>
      </c>
      <c r="AY1305" s="13">
        <f t="shared" si="315"/>
        <v>3</v>
      </c>
      <c r="AZ1305" s="13" t="s">
        <v>1148</v>
      </c>
      <c r="BA1305" s="14">
        <f t="shared" si="316"/>
        <v>1</v>
      </c>
      <c r="BB1305" s="14" t="str">
        <f t="shared" si="317"/>
        <v>朱仙魂珠-3 等级-1</v>
      </c>
      <c r="BC1305" s="25" t="s">
        <v>44</v>
      </c>
      <c r="BD1305" s="14">
        <f t="shared" si="318"/>
        <v>80</v>
      </c>
      <c r="BE1305" s="14">
        <f>SUMIFS(BD$4:BD1305,$AU$4:$AU1305,"="&amp;$AU1305,$AY$4:$AY1305,"="&amp;$AY1305)</f>
        <v>80</v>
      </c>
      <c r="BF1305" s="25" t="s">
        <v>1157</v>
      </c>
      <c r="BG1305" s="14">
        <f t="shared" si="319"/>
        <v>40</v>
      </c>
      <c r="BH1305" s="14">
        <f>SUMIFS(BG$4:BG1305,AU$4:AU1305,"="&amp;AU1305,AY$4:AY1305,"="&amp;AY1305)</f>
        <v>40</v>
      </c>
      <c r="BI1305" s="25" t="s">
        <v>1158</v>
      </c>
      <c r="BJ1305" s="14">
        <f t="shared" si="320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2"/>
        <v>17</v>
      </c>
      <c r="AV1306" s="14">
        <f t="shared" si="313"/>
        <v>202403</v>
      </c>
      <c r="AW1306" s="14">
        <f t="shared" si="314"/>
        <v>1102024</v>
      </c>
      <c r="AX1306" s="13" t="s">
        <v>1127</v>
      </c>
      <c r="AY1306" s="13">
        <f t="shared" si="315"/>
        <v>3</v>
      </c>
      <c r="AZ1306" s="13" t="s">
        <v>1148</v>
      </c>
      <c r="BA1306" s="14">
        <f t="shared" si="316"/>
        <v>2</v>
      </c>
      <c r="BB1306" s="14" t="str">
        <f t="shared" si="317"/>
        <v>朱仙魂珠-3 等级-2</v>
      </c>
      <c r="BC1306" s="25" t="s">
        <v>44</v>
      </c>
      <c r="BD1306" s="14">
        <f t="shared" si="318"/>
        <v>120</v>
      </c>
      <c r="BE1306" s="14">
        <f>SUMIFS(BD$4:BD1306,$AU$4:$AU1306,"="&amp;$AU1306,$AY$4:$AY1306,"="&amp;$AY1306)</f>
        <v>200</v>
      </c>
      <c r="BF1306" s="25" t="s">
        <v>1157</v>
      </c>
      <c r="BG1306" s="14">
        <f t="shared" si="319"/>
        <v>60</v>
      </c>
      <c r="BH1306" s="14">
        <f>SUMIFS(BG$4:BG1306,AU$4:AU1306,"="&amp;AU1306,AY$4:AY1306,"="&amp;AY1306)</f>
        <v>100</v>
      </c>
      <c r="BI1306" s="25" t="s">
        <v>1158</v>
      </c>
      <c r="BJ1306" s="14">
        <f t="shared" si="320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2"/>
        <v>17</v>
      </c>
      <c r="AV1307" s="14">
        <f t="shared" si="313"/>
        <v>202403</v>
      </c>
      <c r="AW1307" s="14">
        <f t="shared" si="314"/>
        <v>1102024</v>
      </c>
      <c r="AX1307" s="13" t="s">
        <v>1127</v>
      </c>
      <c r="AY1307" s="13">
        <f t="shared" si="315"/>
        <v>3</v>
      </c>
      <c r="AZ1307" s="13" t="s">
        <v>1148</v>
      </c>
      <c r="BA1307" s="14">
        <f t="shared" si="316"/>
        <v>3</v>
      </c>
      <c r="BB1307" s="14" t="str">
        <f t="shared" si="317"/>
        <v>朱仙魂珠-3 等级-3</v>
      </c>
      <c r="BC1307" s="25" t="s">
        <v>44</v>
      </c>
      <c r="BD1307" s="14">
        <f t="shared" si="318"/>
        <v>160</v>
      </c>
      <c r="BE1307" s="14">
        <f>SUMIFS(BD$4:BD1307,$AU$4:$AU1307,"="&amp;$AU1307,$AY$4:$AY1307,"="&amp;$AY1307)</f>
        <v>360</v>
      </c>
      <c r="BF1307" s="25" t="s">
        <v>1157</v>
      </c>
      <c r="BG1307" s="14">
        <f t="shared" si="319"/>
        <v>80</v>
      </c>
      <c r="BH1307" s="14">
        <f>SUMIFS(BG$4:BG1307,AU$4:AU1307,"="&amp;AU1307,AY$4:AY1307,"="&amp;AY1307)</f>
        <v>180</v>
      </c>
      <c r="BI1307" s="25" t="s">
        <v>1158</v>
      </c>
      <c r="BJ1307" s="14">
        <f t="shared" si="320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2"/>
        <v>17</v>
      </c>
      <c r="AV1308" s="14">
        <f t="shared" si="313"/>
        <v>202403</v>
      </c>
      <c r="AW1308" s="14">
        <f t="shared" si="314"/>
        <v>1102024</v>
      </c>
      <c r="AX1308" s="13" t="s">
        <v>1127</v>
      </c>
      <c r="AY1308" s="13">
        <f t="shared" si="315"/>
        <v>3</v>
      </c>
      <c r="AZ1308" s="13" t="s">
        <v>1148</v>
      </c>
      <c r="BA1308" s="14">
        <f t="shared" si="316"/>
        <v>4</v>
      </c>
      <c r="BB1308" s="14" t="str">
        <f t="shared" si="317"/>
        <v>朱仙魂珠-3 等级-4</v>
      </c>
      <c r="BC1308" s="25" t="s">
        <v>44</v>
      </c>
      <c r="BD1308" s="14">
        <f t="shared" si="318"/>
        <v>240</v>
      </c>
      <c r="BE1308" s="14">
        <f>SUMIFS(BD$4:BD1308,$AU$4:$AU1308,"="&amp;$AU1308,$AY$4:$AY1308,"="&amp;$AY1308)</f>
        <v>600</v>
      </c>
      <c r="BF1308" s="25" t="s">
        <v>1157</v>
      </c>
      <c r="BG1308" s="14">
        <f t="shared" si="319"/>
        <v>120</v>
      </c>
      <c r="BH1308" s="14">
        <f>SUMIFS(BG$4:BG1308,AU$4:AU1308,"="&amp;AU1308,AY$4:AY1308,"="&amp;AY1308)</f>
        <v>300</v>
      </c>
      <c r="BI1308" s="25" t="s">
        <v>1158</v>
      </c>
      <c r="BJ1308" s="14">
        <f t="shared" si="320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2"/>
        <v>17</v>
      </c>
      <c r="AV1309" s="14">
        <f t="shared" si="313"/>
        <v>202403</v>
      </c>
      <c r="AW1309" s="14">
        <f t="shared" si="314"/>
        <v>1102024</v>
      </c>
      <c r="AX1309" s="13" t="s">
        <v>1127</v>
      </c>
      <c r="AY1309" s="13">
        <f t="shared" si="315"/>
        <v>3</v>
      </c>
      <c r="AZ1309" s="13" t="s">
        <v>1148</v>
      </c>
      <c r="BA1309" s="14">
        <f t="shared" si="316"/>
        <v>5</v>
      </c>
      <c r="BB1309" s="14" t="str">
        <f t="shared" si="317"/>
        <v>朱仙魂珠-3 等级-5</v>
      </c>
      <c r="BC1309" s="25" t="s">
        <v>44</v>
      </c>
      <c r="BD1309" s="14">
        <f t="shared" si="318"/>
        <v>320</v>
      </c>
      <c r="BE1309" s="14">
        <f>SUMIFS(BD$4:BD1309,$AU$4:$AU1309,"="&amp;$AU1309,$AY$4:$AY1309,"="&amp;$AY1309)</f>
        <v>920</v>
      </c>
      <c r="BF1309" s="25" t="s">
        <v>1157</v>
      </c>
      <c r="BG1309" s="14">
        <f t="shared" si="319"/>
        <v>160</v>
      </c>
      <c r="BH1309" s="14">
        <f>SUMIFS(BG$4:BG1309,AU$4:AU1309,"="&amp;AU1309,AY$4:AY1309,"="&amp;AY1309)</f>
        <v>460</v>
      </c>
      <c r="BI1309" s="25" t="s">
        <v>1158</v>
      </c>
      <c r="BJ1309" s="14">
        <f t="shared" si="320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2"/>
        <v>17</v>
      </c>
      <c r="AV1310" s="14">
        <f t="shared" si="313"/>
        <v>202403</v>
      </c>
      <c r="AW1310" s="14">
        <f t="shared" si="314"/>
        <v>1102024</v>
      </c>
      <c r="AX1310" s="13" t="s">
        <v>1127</v>
      </c>
      <c r="AY1310" s="13">
        <f t="shared" si="315"/>
        <v>3</v>
      </c>
      <c r="AZ1310" s="13" t="s">
        <v>1148</v>
      </c>
      <c r="BA1310" s="14">
        <f t="shared" si="316"/>
        <v>6</v>
      </c>
      <c r="BB1310" s="14" t="str">
        <f t="shared" si="317"/>
        <v>朱仙魂珠-3 等级-6</v>
      </c>
      <c r="BC1310" s="25" t="s">
        <v>44</v>
      </c>
      <c r="BD1310" s="14">
        <f t="shared" si="318"/>
        <v>400</v>
      </c>
      <c r="BE1310" s="14">
        <f>SUMIFS(BD$4:BD1310,$AU$4:$AU1310,"="&amp;$AU1310,$AY$4:$AY1310,"="&amp;$AY1310)</f>
        <v>1320</v>
      </c>
      <c r="BF1310" s="25" t="s">
        <v>1157</v>
      </c>
      <c r="BG1310" s="14">
        <f t="shared" si="319"/>
        <v>200</v>
      </c>
      <c r="BH1310" s="14">
        <f>SUMIFS(BG$4:BG1310,AU$4:AU1310,"="&amp;AU1310,AY$4:AY1310,"="&amp;AY1310)</f>
        <v>660</v>
      </c>
      <c r="BI1310" s="25" t="s">
        <v>1158</v>
      </c>
      <c r="BJ1310" s="14">
        <f t="shared" si="320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2"/>
        <v>17</v>
      </c>
      <c r="AV1311" s="14">
        <f t="shared" si="313"/>
        <v>202403</v>
      </c>
      <c r="AW1311" s="14">
        <f t="shared" si="314"/>
        <v>1102024</v>
      </c>
      <c r="AX1311" s="13" t="s">
        <v>1127</v>
      </c>
      <c r="AY1311" s="13">
        <f t="shared" si="315"/>
        <v>3</v>
      </c>
      <c r="AZ1311" s="13" t="s">
        <v>1148</v>
      </c>
      <c r="BA1311" s="14">
        <f t="shared" si="316"/>
        <v>7</v>
      </c>
      <c r="BB1311" s="14" t="str">
        <f t="shared" si="317"/>
        <v>朱仙魂珠-3 等级-7</v>
      </c>
      <c r="BC1311" s="25" t="s">
        <v>44</v>
      </c>
      <c r="BD1311" s="14">
        <f t="shared" si="318"/>
        <v>480</v>
      </c>
      <c r="BE1311" s="14">
        <f>SUMIFS(BD$4:BD1311,$AU$4:$AU1311,"="&amp;$AU1311,$AY$4:$AY1311,"="&amp;$AY1311)</f>
        <v>1800</v>
      </c>
      <c r="BF1311" s="25" t="s">
        <v>1157</v>
      </c>
      <c r="BG1311" s="14">
        <f t="shared" si="319"/>
        <v>240</v>
      </c>
      <c r="BH1311" s="14">
        <f>SUMIFS(BG$4:BG1311,AU$4:AU1311,"="&amp;AU1311,AY$4:AY1311,"="&amp;AY1311)</f>
        <v>900</v>
      </c>
      <c r="BI1311" s="25" t="s">
        <v>1158</v>
      </c>
      <c r="BJ1311" s="14">
        <f t="shared" si="320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2"/>
        <v>17</v>
      </c>
      <c r="AV1312" s="14">
        <f t="shared" si="313"/>
        <v>202403</v>
      </c>
      <c r="AW1312" s="14">
        <f t="shared" si="314"/>
        <v>1102024</v>
      </c>
      <c r="AX1312" s="13" t="s">
        <v>1127</v>
      </c>
      <c r="AY1312" s="13">
        <f t="shared" si="315"/>
        <v>3</v>
      </c>
      <c r="AZ1312" s="13" t="s">
        <v>1148</v>
      </c>
      <c r="BA1312" s="14">
        <f t="shared" si="316"/>
        <v>8</v>
      </c>
      <c r="BB1312" s="14" t="str">
        <f t="shared" si="317"/>
        <v>朱仙魂珠-3 等级-8</v>
      </c>
      <c r="BC1312" s="25" t="s">
        <v>44</v>
      </c>
      <c r="BD1312" s="14">
        <f t="shared" si="318"/>
        <v>560</v>
      </c>
      <c r="BE1312" s="14">
        <f>SUMIFS(BD$4:BD1312,$AU$4:$AU1312,"="&amp;$AU1312,$AY$4:$AY1312,"="&amp;$AY1312)</f>
        <v>2360</v>
      </c>
      <c r="BF1312" s="25" t="s">
        <v>1157</v>
      </c>
      <c r="BG1312" s="14">
        <f t="shared" si="319"/>
        <v>280</v>
      </c>
      <c r="BH1312" s="14">
        <f>SUMIFS(BG$4:BG1312,AU$4:AU1312,"="&amp;AU1312,AY$4:AY1312,"="&amp;AY1312)</f>
        <v>1180</v>
      </c>
      <c r="BI1312" s="25" t="s">
        <v>1158</v>
      </c>
      <c r="BJ1312" s="14">
        <f t="shared" si="320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2"/>
        <v>17</v>
      </c>
      <c r="AV1313" s="14">
        <f t="shared" si="313"/>
        <v>202403</v>
      </c>
      <c r="AW1313" s="14">
        <f t="shared" si="314"/>
        <v>1102024</v>
      </c>
      <c r="AX1313" s="13" t="s">
        <v>1127</v>
      </c>
      <c r="AY1313" s="13">
        <f t="shared" si="315"/>
        <v>3</v>
      </c>
      <c r="AZ1313" s="13" t="s">
        <v>1148</v>
      </c>
      <c r="BA1313" s="14">
        <f t="shared" si="316"/>
        <v>9</v>
      </c>
      <c r="BB1313" s="14" t="str">
        <f t="shared" si="317"/>
        <v>朱仙魂珠-3 等级-9</v>
      </c>
      <c r="BC1313" s="25" t="s">
        <v>44</v>
      </c>
      <c r="BD1313" s="14">
        <f t="shared" si="318"/>
        <v>640</v>
      </c>
      <c r="BE1313" s="14">
        <f>SUMIFS(BD$4:BD1313,$AU$4:$AU1313,"="&amp;$AU1313,$AY$4:$AY1313,"="&amp;$AY1313)</f>
        <v>3000</v>
      </c>
      <c r="BF1313" s="25" t="s">
        <v>1157</v>
      </c>
      <c r="BG1313" s="14">
        <f t="shared" si="319"/>
        <v>320</v>
      </c>
      <c r="BH1313" s="14">
        <f>SUMIFS(BG$4:BG1313,AU$4:AU1313,"="&amp;AU1313,AY$4:AY1313,"="&amp;AY1313)</f>
        <v>1500</v>
      </c>
      <c r="BI1313" s="25" t="s">
        <v>1158</v>
      </c>
      <c r="BJ1313" s="14">
        <f t="shared" si="320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2"/>
        <v>17</v>
      </c>
      <c r="AV1314" s="14">
        <f t="shared" si="313"/>
        <v>202404</v>
      </c>
      <c r="AW1314" s="14">
        <f t="shared" si="314"/>
        <v>1102024</v>
      </c>
      <c r="AX1314" s="13" t="s">
        <v>1127</v>
      </c>
      <c r="AY1314" s="13">
        <f t="shared" si="315"/>
        <v>4</v>
      </c>
      <c r="AZ1314" s="13" t="s">
        <v>1148</v>
      </c>
      <c r="BA1314" s="14">
        <f t="shared" si="316"/>
        <v>0</v>
      </c>
      <c r="BB1314" s="14" t="str">
        <f t="shared" si="317"/>
        <v>朱仙魂珠-4 等级-0</v>
      </c>
      <c r="BC1314" s="25" t="s">
        <v>44</v>
      </c>
      <c r="BD1314" s="14">
        <f t="shared" si="318"/>
        <v>0</v>
      </c>
      <c r="BE1314" s="14">
        <f>SUMIFS(BD$4:BD1314,$AU$4:$AU1314,"="&amp;$AU1314,$AY$4:$AY1314,"="&amp;$AY1314)</f>
        <v>0</v>
      </c>
      <c r="BF1314" s="25" t="s">
        <v>1157</v>
      </c>
      <c r="BG1314" s="14">
        <f t="shared" si="319"/>
        <v>0</v>
      </c>
      <c r="BH1314" s="14">
        <f>SUMIFS(BG$4:BG1314,AU$4:AU1314,"="&amp;AU1314,AY$4:AY1314,"="&amp;AY1314)</f>
        <v>0</v>
      </c>
      <c r="BI1314" s="25" t="s">
        <v>1158</v>
      </c>
      <c r="BJ1314" s="14">
        <f t="shared" si="320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2"/>
        <v>17</v>
      </c>
      <c r="AV1315" s="14">
        <f t="shared" si="313"/>
        <v>202404</v>
      </c>
      <c r="AW1315" s="14">
        <f t="shared" si="314"/>
        <v>1102024</v>
      </c>
      <c r="AX1315" s="13" t="s">
        <v>1127</v>
      </c>
      <c r="AY1315" s="13">
        <f t="shared" si="315"/>
        <v>4</v>
      </c>
      <c r="AZ1315" s="13" t="s">
        <v>1148</v>
      </c>
      <c r="BA1315" s="14">
        <f t="shared" si="316"/>
        <v>1</v>
      </c>
      <c r="BB1315" s="14" t="str">
        <f t="shared" si="317"/>
        <v>朱仙魂珠-4 等级-1</v>
      </c>
      <c r="BC1315" s="25" t="s">
        <v>44</v>
      </c>
      <c r="BD1315" s="14">
        <f t="shared" si="318"/>
        <v>100</v>
      </c>
      <c r="BE1315" s="14">
        <f>SUMIFS(BD$4:BD1315,$AU$4:$AU1315,"="&amp;$AU1315,$AY$4:$AY1315,"="&amp;$AY1315)</f>
        <v>100</v>
      </c>
      <c r="BF1315" s="25" t="s">
        <v>1157</v>
      </c>
      <c r="BG1315" s="14">
        <f t="shared" si="319"/>
        <v>50</v>
      </c>
      <c r="BH1315" s="14">
        <f>SUMIFS(BG$4:BG1315,AU$4:AU1315,"="&amp;AU1315,AY$4:AY1315,"="&amp;AY1315)</f>
        <v>50</v>
      </c>
      <c r="BI1315" s="25" t="s">
        <v>1158</v>
      </c>
      <c r="BJ1315" s="14">
        <f t="shared" si="320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2"/>
        <v>17</v>
      </c>
      <c r="AV1316" s="14">
        <f t="shared" si="313"/>
        <v>202404</v>
      </c>
      <c r="AW1316" s="14">
        <f t="shared" si="314"/>
        <v>1102024</v>
      </c>
      <c r="AX1316" s="13" t="s">
        <v>1127</v>
      </c>
      <c r="AY1316" s="13">
        <f t="shared" si="315"/>
        <v>4</v>
      </c>
      <c r="AZ1316" s="13" t="s">
        <v>1148</v>
      </c>
      <c r="BA1316" s="14">
        <f t="shared" si="316"/>
        <v>2</v>
      </c>
      <c r="BB1316" s="14" t="str">
        <f t="shared" si="317"/>
        <v>朱仙魂珠-4 等级-2</v>
      </c>
      <c r="BC1316" s="25" t="s">
        <v>44</v>
      </c>
      <c r="BD1316" s="14">
        <f t="shared" si="318"/>
        <v>160</v>
      </c>
      <c r="BE1316" s="14">
        <f>SUMIFS(BD$4:BD1316,$AU$4:$AU1316,"="&amp;$AU1316,$AY$4:$AY1316,"="&amp;$AY1316)</f>
        <v>260</v>
      </c>
      <c r="BF1316" s="25" t="s">
        <v>1157</v>
      </c>
      <c r="BG1316" s="14">
        <f t="shared" si="319"/>
        <v>80</v>
      </c>
      <c r="BH1316" s="14">
        <f>SUMIFS(BG$4:BG1316,AU$4:AU1316,"="&amp;AU1316,AY$4:AY1316,"="&amp;AY1316)</f>
        <v>130</v>
      </c>
      <c r="BI1316" s="25" t="s">
        <v>1158</v>
      </c>
      <c r="BJ1316" s="14">
        <f t="shared" si="320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2"/>
        <v>17</v>
      </c>
      <c r="AV1317" s="14">
        <f t="shared" si="313"/>
        <v>202404</v>
      </c>
      <c r="AW1317" s="14">
        <f t="shared" si="314"/>
        <v>1102024</v>
      </c>
      <c r="AX1317" s="13" t="s">
        <v>1127</v>
      </c>
      <c r="AY1317" s="13">
        <f t="shared" si="315"/>
        <v>4</v>
      </c>
      <c r="AZ1317" s="13" t="s">
        <v>1148</v>
      </c>
      <c r="BA1317" s="14">
        <f t="shared" si="316"/>
        <v>3</v>
      </c>
      <c r="BB1317" s="14" t="str">
        <f t="shared" si="317"/>
        <v>朱仙魂珠-4 等级-3</v>
      </c>
      <c r="BC1317" s="25" t="s">
        <v>44</v>
      </c>
      <c r="BD1317" s="14">
        <f t="shared" si="318"/>
        <v>220</v>
      </c>
      <c r="BE1317" s="14">
        <f>SUMIFS(BD$4:BD1317,$AU$4:$AU1317,"="&amp;$AU1317,$AY$4:$AY1317,"="&amp;$AY1317)</f>
        <v>480</v>
      </c>
      <c r="BF1317" s="25" t="s">
        <v>1157</v>
      </c>
      <c r="BG1317" s="14">
        <f t="shared" si="319"/>
        <v>110</v>
      </c>
      <c r="BH1317" s="14">
        <f>SUMIFS(BG$4:BG1317,AU$4:AU1317,"="&amp;AU1317,AY$4:AY1317,"="&amp;AY1317)</f>
        <v>240</v>
      </c>
      <c r="BI1317" s="25" t="s">
        <v>1158</v>
      </c>
      <c r="BJ1317" s="14">
        <f t="shared" si="320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2"/>
        <v>17</v>
      </c>
      <c r="AV1318" s="14">
        <f t="shared" si="313"/>
        <v>202404</v>
      </c>
      <c r="AW1318" s="14">
        <f t="shared" si="314"/>
        <v>1102024</v>
      </c>
      <c r="AX1318" s="13" t="s">
        <v>1127</v>
      </c>
      <c r="AY1318" s="13">
        <f t="shared" si="315"/>
        <v>4</v>
      </c>
      <c r="AZ1318" s="13" t="s">
        <v>1148</v>
      </c>
      <c r="BA1318" s="14">
        <f t="shared" si="316"/>
        <v>4</v>
      </c>
      <c r="BB1318" s="14" t="str">
        <f t="shared" si="317"/>
        <v>朱仙魂珠-4 等级-4</v>
      </c>
      <c r="BC1318" s="25" t="s">
        <v>44</v>
      </c>
      <c r="BD1318" s="14">
        <f t="shared" si="318"/>
        <v>320</v>
      </c>
      <c r="BE1318" s="14">
        <f>SUMIFS(BD$4:BD1318,$AU$4:$AU1318,"="&amp;$AU1318,$AY$4:$AY1318,"="&amp;$AY1318)</f>
        <v>800</v>
      </c>
      <c r="BF1318" s="25" t="s">
        <v>1157</v>
      </c>
      <c r="BG1318" s="14">
        <f t="shared" si="319"/>
        <v>160</v>
      </c>
      <c r="BH1318" s="14">
        <f>SUMIFS(BG$4:BG1318,AU$4:AU1318,"="&amp;AU1318,AY$4:AY1318,"="&amp;AY1318)</f>
        <v>400</v>
      </c>
      <c r="BI1318" s="25" t="s">
        <v>1158</v>
      </c>
      <c r="BJ1318" s="14">
        <f t="shared" si="320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2"/>
        <v>17</v>
      </c>
      <c r="AV1319" s="14">
        <f t="shared" si="313"/>
        <v>202404</v>
      </c>
      <c r="AW1319" s="14">
        <f t="shared" si="314"/>
        <v>1102024</v>
      </c>
      <c r="AX1319" s="13" t="s">
        <v>1127</v>
      </c>
      <c r="AY1319" s="13">
        <f t="shared" si="315"/>
        <v>4</v>
      </c>
      <c r="AZ1319" s="13" t="s">
        <v>1148</v>
      </c>
      <c r="BA1319" s="14">
        <f t="shared" si="316"/>
        <v>5</v>
      </c>
      <c r="BB1319" s="14" t="str">
        <f t="shared" si="317"/>
        <v>朱仙魂珠-4 等级-5</v>
      </c>
      <c r="BC1319" s="25" t="s">
        <v>44</v>
      </c>
      <c r="BD1319" s="14">
        <f t="shared" si="318"/>
        <v>420</v>
      </c>
      <c r="BE1319" s="14">
        <f>SUMIFS(BD$4:BD1319,$AU$4:$AU1319,"="&amp;$AU1319,$AY$4:$AY1319,"="&amp;$AY1319)</f>
        <v>1220</v>
      </c>
      <c r="BF1319" s="25" t="s">
        <v>1157</v>
      </c>
      <c r="BG1319" s="14">
        <f t="shared" si="319"/>
        <v>210</v>
      </c>
      <c r="BH1319" s="14">
        <f>SUMIFS(BG$4:BG1319,AU$4:AU1319,"="&amp;AU1319,AY$4:AY1319,"="&amp;AY1319)</f>
        <v>610</v>
      </c>
      <c r="BI1319" s="25" t="s">
        <v>1158</v>
      </c>
      <c r="BJ1319" s="14">
        <f t="shared" si="320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2"/>
        <v>17</v>
      </c>
      <c r="AV1320" s="14">
        <f t="shared" si="313"/>
        <v>202404</v>
      </c>
      <c r="AW1320" s="14">
        <f t="shared" si="314"/>
        <v>1102024</v>
      </c>
      <c r="AX1320" s="13" t="s">
        <v>1127</v>
      </c>
      <c r="AY1320" s="13">
        <f t="shared" si="315"/>
        <v>4</v>
      </c>
      <c r="AZ1320" s="13" t="s">
        <v>1148</v>
      </c>
      <c r="BA1320" s="14">
        <f t="shared" si="316"/>
        <v>6</v>
      </c>
      <c r="BB1320" s="14" t="str">
        <f t="shared" si="317"/>
        <v>朱仙魂珠-4 等级-6</v>
      </c>
      <c r="BC1320" s="25" t="s">
        <v>44</v>
      </c>
      <c r="BD1320" s="14">
        <f t="shared" si="318"/>
        <v>550</v>
      </c>
      <c r="BE1320" s="14">
        <f>SUMIFS(BD$4:BD1320,$AU$4:$AU1320,"="&amp;$AU1320,$AY$4:$AY1320,"="&amp;$AY1320)</f>
        <v>1770</v>
      </c>
      <c r="BF1320" s="25" t="s">
        <v>1157</v>
      </c>
      <c r="BG1320" s="14">
        <f t="shared" si="319"/>
        <v>275</v>
      </c>
      <c r="BH1320" s="14">
        <f>SUMIFS(BG$4:BG1320,AU$4:AU1320,"="&amp;AU1320,AY$4:AY1320,"="&amp;AY1320)</f>
        <v>885</v>
      </c>
      <c r="BI1320" s="25" t="s">
        <v>1158</v>
      </c>
      <c r="BJ1320" s="14">
        <f t="shared" si="320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2"/>
        <v>17</v>
      </c>
      <c r="AV1321" s="14">
        <f t="shared" si="313"/>
        <v>202404</v>
      </c>
      <c r="AW1321" s="14">
        <f t="shared" si="314"/>
        <v>1102024</v>
      </c>
      <c r="AX1321" s="13" t="s">
        <v>1127</v>
      </c>
      <c r="AY1321" s="13">
        <f t="shared" si="315"/>
        <v>4</v>
      </c>
      <c r="AZ1321" s="13" t="s">
        <v>1148</v>
      </c>
      <c r="BA1321" s="14">
        <f t="shared" si="316"/>
        <v>7</v>
      </c>
      <c r="BB1321" s="14" t="str">
        <f t="shared" si="317"/>
        <v>朱仙魂珠-4 等级-7</v>
      </c>
      <c r="BC1321" s="25" t="s">
        <v>44</v>
      </c>
      <c r="BD1321" s="14">
        <f t="shared" si="318"/>
        <v>650</v>
      </c>
      <c r="BE1321" s="14">
        <f>SUMIFS(BD$4:BD1321,$AU$4:$AU1321,"="&amp;$AU1321,$AY$4:$AY1321,"="&amp;$AY1321)</f>
        <v>2420</v>
      </c>
      <c r="BF1321" s="25" t="s">
        <v>1157</v>
      </c>
      <c r="BG1321" s="14">
        <f t="shared" si="319"/>
        <v>325</v>
      </c>
      <c r="BH1321" s="14">
        <f>SUMIFS(BG$4:BG1321,AU$4:AU1321,"="&amp;AU1321,AY$4:AY1321,"="&amp;AY1321)</f>
        <v>1210</v>
      </c>
      <c r="BI1321" s="25" t="s">
        <v>1158</v>
      </c>
      <c r="BJ1321" s="14">
        <f t="shared" si="320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2"/>
        <v>17</v>
      </c>
      <c r="AV1322" s="14">
        <f t="shared" si="313"/>
        <v>202404</v>
      </c>
      <c r="AW1322" s="14">
        <f t="shared" si="314"/>
        <v>1102024</v>
      </c>
      <c r="AX1322" s="13" t="s">
        <v>1127</v>
      </c>
      <c r="AY1322" s="13">
        <f t="shared" si="315"/>
        <v>4</v>
      </c>
      <c r="AZ1322" s="13" t="s">
        <v>1148</v>
      </c>
      <c r="BA1322" s="14">
        <f t="shared" si="316"/>
        <v>8</v>
      </c>
      <c r="BB1322" s="14" t="str">
        <f t="shared" si="317"/>
        <v>朱仙魂珠-4 等级-8</v>
      </c>
      <c r="BC1322" s="25" t="s">
        <v>44</v>
      </c>
      <c r="BD1322" s="14">
        <f t="shared" si="318"/>
        <v>750</v>
      </c>
      <c r="BE1322" s="14">
        <f>SUMIFS(BD$4:BD1322,$AU$4:$AU1322,"="&amp;$AU1322,$AY$4:$AY1322,"="&amp;$AY1322)</f>
        <v>3170</v>
      </c>
      <c r="BF1322" s="25" t="s">
        <v>1157</v>
      </c>
      <c r="BG1322" s="14">
        <f t="shared" si="319"/>
        <v>375</v>
      </c>
      <c r="BH1322" s="14">
        <f>SUMIFS(BG$4:BG1322,AU$4:AU1322,"="&amp;AU1322,AY$4:AY1322,"="&amp;AY1322)</f>
        <v>1585</v>
      </c>
      <c r="BI1322" s="25" t="s">
        <v>1158</v>
      </c>
      <c r="BJ1322" s="14">
        <f t="shared" si="320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2"/>
        <v>17</v>
      </c>
      <c r="AV1323" s="14">
        <f t="shared" si="313"/>
        <v>202404</v>
      </c>
      <c r="AW1323" s="14">
        <f t="shared" si="314"/>
        <v>1102024</v>
      </c>
      <c r="AX1323" s="13" t="s">
        <v>1127</v>
      </c>
      <c r="AY1323" s="13">
        <f t="shared" si="315"/>
        <v>4</v>
      </c>
      <c r="AZ1323" s="13" t="s">
        <v>1148</v>
      </c>
      <c r="BA1323" s="14">
        <f t="shared" si="316"/>
        <v>9</v>
      </c>
      <c r="BB1323" s="14" t="str">
        <f t="shared" si="317"/>
        <v>朱仙魂珠-4 等级-9</v>
      </c>
      <c r="BC1323" s="25" t="s">
        <v>44</v>
      </c>
      <c r="BD1323" s="14">
        <f t="shared" si="318"/>
        <v>850</v>
      </c>
      <c r="BE1323" s="14">
        <f>SUMIFS(BD$4:BD1323,$AU$4:$AU1323,"="&amp;$AU1323,$AY$4:$AY1323,"="&amp;$AY1323)</f>
        <v>4020</v>
      </c>
      <c r="BF1323" s="25" t="s">
        <v>1157</v>
      </c>
      <c r="BG1323" s="14">
        <f t="shared" si="319"/>
        <v>425</v>
      </c>
      <c r="BH1323" s="14">
        <f>SUMIFS(BG$4:BG1323,AU$4:AU1323,"="&amp;AU1323,AY$4:AY1323,"="&amp;AY1323)</f>
        <v>2010</v>
      </c>
      <c r="BI1323" s="25" t="s">
        <v>1158</v>
      </c>
      <c r="BJ1323" s="14">
        <f t="shared" si="320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2"/>
        <v>17</v>
      </c>
      <c r="AV1324" s="14">
        <f t="shared" si="313"/>
        <v>202405</v>
      </c>
      <c r="AW1324" s="14">
        <f t="shared" si="314"/>
        <v>1102024</v>
      </c>
      <c r="AX1324" s="13" t="s">
        <v>1127</v>
      </c>
      <c r="AY1324" s="13">
        <f t="shared" si="315"/>
        <v>5</v>
      </c>
      <c r="AZ1324" s="13" t="s">
        <v>1148</v>
      </c>
      <c r="BA1324" s="14">
        <f t="shared" si="316"/>
        <v>0</v>
      </c>
      <c r="BB1324" s="14" t="str">
        <f t="shared" si="317"/>
        <v>朱仙魂珠-5 等级-0</v>
      </c>
      <c r="BC1324" s="25" t="s">
        <v>44</v>
      </c>
      <c r="BD1324" s="14">
        <f t="shared" si="318"/>
        <v>0</v>
      </c>
      <c r="BE1324" s="14">
        <f>SUMIFS(BD$4:BD1324,$AU$4:$AU1324,"="&amp;$AU1324,$AY$4:$AY1324,"="&amp;$AY1324)</f>
        <v>0</v>
      </c>
      <c r="BF1324" s="25" t="s">
        <v>1157</v>
      </c>
      <c r="BG1324" s="14">
        <f t="shared" si="319"/>
        <v>0</v>
      </c>
      <c r="BH1324" s="14">
        <f>SUMIFS(BG$4:BG1324,AU$4:AU1324,"="&amp;AU1324,AY$4:AY1324,"="&amp;AY1324)</f>
        <v>0</v>
      </c>
      <c r="BI1324" s="25" t="s">
        <v>1158</v>
      </c>
      <c r="BJ1324" s="14">
        <f t="shared" si="320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2"/>
        <v>17</v>
      </c>
      <c r="AV1325" s="14">
        <f t="shared" si="313"/>
        <v>202405</v>
      </c>
      <c r="AW1325" s="14">
        <f t="shared" si="314"/>
        <v>1102024</v>
      </c>
      <c r="AX1325" s="13" t="s">
        <v>1127</v>
      </c>
      <c r="AY1325" s="13">
        <f t="shared" si="315"/>
        <v>5</v>
      </c>
      <c r="AZ1325" s="13" t="s">
        <v>1148</v>
      </c>
      <c r="BA1325" s="14">
        <f t="shared" si="316"/>
        <v>1</v>
      </c>
      <c r="BB1325" s="14" t="str">
        <f t="shared" si="317"/>
        <v>朱仙魂珠-5 等级-1</v>
      </c>
      <c r="BC1325" s="25" t="s">
        <v>44</v>
      </c>
      <c r="BD1325" s="14">
        <f t="shared" si="318"/>
        <v>140</v>
      </c>
      <c r="BE1325" s="14">
        <f>SUMIFS(BD$4:BD1325,$AU$4:$AU1325,"="&amp;$AU1325,$AY$4:$AY1325,"="&amp;$AY1325)</f>
        <v>140</v>
      </c>
      <c r="BF1325" s="25" t="s">
        <v>1157</v>
      </c>
      <c r="BG1325" s="14">
        <f t="shared" si="319"/>
        <v>70</v>
      </c>
      <c r="BH1325" s="14">
        <f>SUMIFS(BG$4:BG1325,AU$4:AU1325,"="&amp;AU1325,AY$4:AY1325,"="&amp;AY1325)</f>
        <v>70</v>
      </c>
      <c r="BI1325" s="25" t="s">
        <v>1158</v>
      </c>
      <c r="BJ1325" s="14">
        <f t="shared" si="320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2"/>
        <v>17</v>
      </c>
      <c r="AV1326" s="14">
        <f t="shared" si="313"/>
        <v>202405</v>
      </c>
      <c r="AW1326" s="14">
        <f t="shared" si="314"/>
        <v>1102024</v>
      </c>
      <c r="AX1326" s="13" t="s">
        <v>1127</v>
      </c>
      <c r="AY1326" s="13">
        <f t="shared" si="315"/>
        <v>5</v>
      </c>
      <c r="AZ1326" s="13" t="s">
        <v>1148</v>
      </c>
      <c r="BA1326" s="14">
        <f t="shared" si="316"/>
        <v>2</v>
      </c>
      <c r="BB1326" s="14" t="str">
        <f t="shared" si="317"/>
        <v>朱仙魂珠-5 等级-2</v>
      </c>
      <c r="BC1326" s="25" t="s">
        <v>44</v>
      </c>
      <c r="BD1326" s="14">
        <f t="shared" si="318"/>
        <v>200</v>
      </c>
      <c r="BE1326" s="14">
        <f>SUMIFS(BD$4:BD1326,$AU$4:$AU1326,"="&amp;$AU1326,$AY$4:$AY1326,"="&amp;$AY1326)</f>
        <v>340</v>
      </c>
      <c r="BF1326" s="25" t="s">
        <v>1157</v>
      </c>
      <c r="BG1326" s="14">
        <f t="shared" si="319"/>
        <v>100</v>
      </c>
      <c r="BH1326" s="14">
        <f>SUMIFS(BG$4:BG1326,AU$4:AU1326,"="&amp;AU1326,AY$4:AY1326,"="&amp;AY1326)</f>
        <v>170</v>
      </c>
      <c r="BI1326" s="25" t="s">
        <v>1158</v>
      </c>
      <c r="BJ1326" s="14">
        <f t="shared" si="320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2"/>
        <v>17</v>
      </c>
      <c r="AV1327" s="14">
        <f t="shared" si="313"/>
        <v>202405</v>
      </c>
      <c r="AW1327" s="14">
        <f t="shared" si="314"/>
        <v>1102024</v>
      </c>
      <c r="AX1327" s="13" t="s">
        <v>1127</v>
      </c>
      <c r="AY1327" s="13">
        <f t="shared" si="315"/>
        <v>5</v>
      </c>
      <c r="AZ1327" s="13" t="s">
        <v>1148</v>
      </c>
      <c r="BA1327" s="14">
        <f t="shared" si="316"/>
        <v>3</v>
      </c>
      <c r="BB1327" s="14" t="str">
        <f t="shared" si="317"/>
        <v>朱仙魂珠-5 等级-3</v>
      </c>
      <c r="BC1327" s="25" t="s">
        <v>44</v>
      </c>
      <c r="BD1327" s="14">
        <f t="shared" si="318"/>
        <v>260</v>
      </c>
      <c r="BE1327" s="14">
        <f>SUMIFS(BD$4:BD1327,$AU$4:$AU1327,"="&amp;$AU1327,$AY$4:$AY1327,"="&amp;$AY1327)</f>
        <v>600</v>
      </c>
      <c r="BF1327" s="25" t="s">
        <v>1157</v>
      </c>
      <c r="BG1327" s="14">
        <f t="shared" si="319"/>
        <v>130</v>
      </c>
      <c r="BH1327" s="14">
        <f>SUMIFS(BG$4:BG1327,AU$4:AU1327,"="&amp;AU1327,AY$4:AY1327,"="&amp;AY1327)</f>
        <v>300</v>
      </c>
      <c r="BI1327" s="25" t="s">
        <v>1158</v>
      </c>
      <c r="BJ1327" s="14">
        <f t="shared" si="320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2"/>
        <v>17</v>
      </c>
      <c r="AV1328" s="14">
        <f t="shared" si="313"/>
        <v>202405</v>
      </c>
      <c r="AW1328" s="14">
        <f t="shared" si="314"/>
        <v>1102024</v>
      </c>
      <c r="AX1328" s="13" t="s">
        <v>1127</v>
      </c>
      <c r="AY1328" s="13">
        <f t="shared" si="315"/>
        <v>5</v>
      </c>
      <c r="AZ1328" s="13" t="s">
        <v>1148</v>
      </c>
      <c r="BA1328" s="14">
        <f t="shared" si="316"/>
        <v>4</v>
      </c>
      <c r="BB1328" s="14" t="str">
        <f t="shared" si="317"/>
        <v>朱仙魂珠-5 等级-4</v>
      </c>
      <c r="BC1328" s="25" t="s">
        <v>44</v>
      </c>
      <c r="BD1328" s="14">
        <f t="shared" si="318"/>
        <v>400</v>
      </c>
      <c r="BE1328" s="14">
        <f>SUMIFS(BD$4:BD1328,$AU$4:$AU1328,"="&amp;$AU1328,$AY$4:$AY1328,"="&amp;$AY1328)</f>
        <v>1000</v>
      </c>
      <c r="BF1328" s="25" t="s">
        <v>1157</v>
      </c>
      <c r="BG1328" s="14">
        <f t="shared" si="319"/>
        <v>200</v>
      </c>
      <c r="BH1328" s="14">
        <f>SUMIFS(BG$4:BG1328,AU$4:AU1328,"="&amp;AU1328,AY$4:AY1328,"="&amp;AY1328)</f>
        <v>500</v>
      </c>
      <c r="BI1328" s="25" t="s">
        <v>1158</v>
      </c>
      <c r="BJ1328" s="14">
        <f t="shared" si="320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2"/>
        <v>17</v>
      </c>
      <c r="AV1329" s="14">
        <f t="shared" si="313"/>
        <v>202405</v>
      </c>
      <c r="AW1329" s="14">
        <f t="shared" si="314"/>
        <v>1102024</v>
      </c>
      <c r="AX1329" s="13" t="s">
        <v>1127</v>
      </c>
      <c r="AY1329" s="13">
        <f t="shared" si="315"/>
        <v>5</v>
      </c>
      <c r="AZ1329" s="13" t="s">
        <v>1148</v>
      </c>
      <c r="BA1329" s="14">
        <f t="shared" si="316"/>
        <v>5</v>
      </c>
      <c r="BB1329" s="14" t="str">
        <f t="shared" si="317"/>
        <v>朱仙魂珠-5 等级-5</v>
      </c>
      <c r="BC1329" s="25" t="s">
        <v>44</v>
      </c>
      <c r="BD1329" s="14">
        <f t="shared" si="318"/>
        <v>520</v>
      </c>
      <c r="BE1329" s="14">
        <f>SUMIFS(BD$4:BD1329,$AU$4:$AU1329,"="&amp;$AU1329,$AY$4:$AY1329,"="&amp;$AY1329)</f>
        <v>1520</v>
      </c>
      <c r="BF1329" s="25" t="s">
        <v>1157</v>
      </c>
      <c r="BG1329" s="14">
        <f t="shared" si="319"/>
        <v>260</v>
      </c>
      <c r="BH1329" s="14">
        <f>SUMIFS(BG$4:BG1329,AU$4:AU1329,"="&amp;AU1329,AY$4:AY1329,"="&amp;AY1329)</f>
        <v>760</v>
      </c>
      <c r="BI1329" s="25" t="s">
        <v>1158</v>
      </c>
      <c r="BJ1329" s="14">
        <f t="shared" si="320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2"/>
        <v>17</v>
      </c>
      <c r="AV1330" s="14">
        <f t="shared" si="313"/>
        <v>202405</v>
      </c>
      <c r="AW1330" s="14">
        <f t="shared" si="314"/>
        <v>1102024</v>
      </c>
      <c r="AX1330" s="13" t="s">
        <v>1127</v>
      </c>
      <c r="AY1330" s="13">
        <f t="shared" si="315"/>
        <v>5</v>
      </c>
      <c r="AZ1330" s="13" t="s">
        <v>1148</v>
      </c>
      <c r="BA1330" s="14">
        <f t="shared" si="316"/>
        <v>6</v>
      </c>
      <c r="BB1330" s="14" t="str">
        <f t="shared" si="317"/>
        <v>朱仙魂珠-5 等级-6</v>
      </c>
      <c r="BC1330" s="25" t="s">
        <v>44</v>
      </c>
      <c r="BD1330" s="14">
        <f t="shared" si="318"/>
        <v>650</v>
      </c>
      <c r="BE1330" s="14">
        <f>SUMIFS(BD$4:BD1330,$AU$4:$AU1330,"="&amp;$AU1330,$AY$4:$AY1330,"="&amp;$AY1330)</f>
        <v>2170</v>
      </c>
      <c r="BF1330" s="25" t="s">
        <v>1157</v>
      </c>
      <c r="BG1330" s="14">
        <f t="shared" si="319"/>
        <v>325</v>
      </c>
      <c r="BH1330" s="14">
        <f>SUMIFS(BG$4:BG1330,AU$4:AU1330,"="&amp;AU1330,AY$4:AY1330,"="&amp;AY1330)</f>
        <v>1085</v>
      </c>
      <c r="BI1330" s="25" t="s">
        <v>1158</v>
      </c>
      <c r="BJ1330" s="14">
        <f t="shared" si="320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2"/>
        <v>17</v>
      </c>
      <c r="AV1331" s="14">
        <f t="shared" si="313"/>
        <v>202405</v>
      </c>
      <c r="AW1331" s="14">
        <f t="shared" si="314"/>
        <v>1102024</v>
      </c>
      <c r="AX1331" s="13" t="s">
        <v>1127</v>
      </c>
      <c r="AY1331" s="13">
        <f t="shared" si="315"/>
        <v>5</v>
      </c>
      <c r="AZ1331" s="13" t="s">
        <v>1148</v>
      </c>
      <c r="BA1331" s="14">
        <f t="shared" si="316"/>
        <v>7</v>
      </c>
      <c r="BB1331" s="14" t="str">
        <f t="shared" si="317"/>
        <v>朱仙魂珠-5 等级-7</v>
      </c>
      <c r="BC1331" s="25" t="s">
        <v>44</v>
      </c>
      <c r="BD1331" s="14">
        <f t="shared" si="318"/>
        <v>800</v>
      </c>
      <c r="BE1331" s="14">
        <f>SUMIFS(BD$4:BD1331,$AU$4:$AU1331,"="&amp;$AU1331,$AY$4:$AY1331,"="&amp;$AY1331)</f>
        <v>2970</v>
      </c>
      <c r="BF1331" s="25" t="s">
        <v>1157</v>
      </c>
      <c r="BG1331" s="14">
        <f t="shared" si="319"/>
        <v>400</v>
      </c>
      <c r="BH1331" s="14">
        <f>SUMIFS(BG$4:BG1331,AU$4:AU1331,"="&amp;AU1331,AY$4:AY1331,"="&amp;AY1331)</f>
        <v>1485</v>
      </c>
      <c r="BI1331" s="25" t="s">
        <v>1158</v>
      </c>
      <c r="BJ1331" s="14">
        <f t="shared" si="320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2"/>
        <v>17</v>
      </c>
      <c r="AV1332" s="14">
        <f t="shared" si="313"/>
        <v>202405</v>
      </c>
      <c r="AW1332" s="14">
        <f t="shared" si="314"/>
        <v>1102024</v>
      </c>
      <c r="AX1332" s="13" t="s">
        <v>1127</v>
      </c>
      <c r="AY1332" s="13">
        <f t="shared" si="315"/>
        <v>5</v>
      </c>
      <c r="AZ1332" s="13" t="s">
        <v>1148</v>
      </c>
      <c r="BA1332" s="14">
        <f t="shared" si="316"/>
        <v>8</v>
      </c>
      <c r="BB1332" s="14" t="str">
        <f t="shared" si="317"/>
        <v>朱仙魂珠-5 等级-8</v>
      </c>
      <c r="BC1332" s="25" t="s">
        <v>44</v>
      </c>
      <c r="BD1332" s="14">
        <f t="shared" si="318"/>
        <v>950</v>
      </c>
      <c r="BE1332" s="14">
        <f>SUMIFS(BD$4:BD1332,$AU$4:$AU1332,"="&amp;$AU1332,$AY$4:$AY1332,"="&amp;$AY1332)</f>
        <v>3920</v>
      </c>
      <c r="BF1332" s="25" t="s">
        <v>1157</v>
      </c>
      <c r="BG1332" s="14">
        <f t="shared" si="319"/>
        <v>475</v>
      </c>
      <c r="BH1332" s="14">
        <f>SUMIFS(BG$4:BG1332,AU$4:AU1332,"="&amp;AU1332,AY$4:AY1332,"="&amp;AY1332)</f>
        <v>1960</v>
      </c>
      <c r="BI1332" s="25" t="s">
        <v>1158</v>
      </c>
      <c r="BJ1332" s="14">
        <f t="shared" si="320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2"/>
        <v>17</v>
      </c>
      <c r="AV1333" s="14">
        <f t="shared" si="313"/>
        <v>202405</v>
      </c>
      <c r="AW1333" s="14">
        <f t="shared" si="314"/>
        <v>1102024</v>
      </c>
      <c r="AX1333" s="13" t="s">
        <v>1127</v>
      </c>
      <c r="AY1333" s="13">
        <f t="shared" si="315"/>
        <v>5</v>
      </c>
      <c r="AZ1333" s="13" t="s">
        <v>1148</v>
      </c>
      <c r="BA1333" s="14">
        <f t="shared" si="316"/>
        <v>9</v>
      </c>
      <c r="BB1333" s="14" t="str">
        <f t="shared" si="317"/>
        <v>朱仙魂珠-5 等级-9</v>
      </c>
      <c r="BC1333" s="25" t="s">
        <v>44</v>
      </c>
      <c r="BD1333" s="14">
        <f t="shared" si="318"/>
        <v>1100</v>
      </c>
      <c r="BE1333" s="14">
        <f>SUMIFS(BD$4:BD1333,$AU$4:$AU1333,"="&amp;$AU1333,$AY$4:$AY1333,"="&amp;$AY1333)</f>
        <v>5020</v>
      </c>
      <c r="BF1333" s="25" t="s">
        <v>1157</v>
      </c>
      <c r="BG1333" s="14">
        <f t="shared" si="319"/>
        <v>550</v>
      </c>
      <c r="BH1333" s="14">
        <f>SUMIFS(BG$4:BG1333,AU$4:AU1333,"="&amp;AU1333,AY$4:AY1333,"="&amp;AY1333)</f>
        <v>2510</v>
      </c>
      <c r="BI1333" s="25" t="s">
        <v>1158</v>
      </c>
      <c r="BJ1333" s="14">
        <f t="shared" si="320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2"/>
        <v>17</v>
      </c>
      <c r="AV1334" s="14">
        <f t="shared" si="313"/>
        <v>202406</v>
      </c>
      <c r="AW1334" s="14">
        <f t="shared" si="314"/>
        <v>1102024</v>
      </c>
      <c r="AX1334" s="13" t="s">
        <v>1127</v>
      </c>
      <c r="AY1334" s="13">
        <f t="shared" si="315"/>
        <v>6</v>
      </c>
      <c r="AZ1334" s="13" t="s">
        <v>1148</v>
      </c>
      <c r="BA1334" s="14">
        <f t="shared" si="316"/>
        <v>0</v>
      </c>
      <c r="BB1334" s="14" t="str">
        <f t="shared" si="317"/>
        <v>朱仙魂珠-6 等级-0</v>
      </c>
      <c r="BC1334" s="25" t="s">
        <v>44</v>
      </c>
      <c r="BD1334" s="14">
        <f t="shared" si="318"/>
        <v>0</v>
      </c>
      <c r="BE1334" s="14">
        <f>SUMIFS(BD$4:BD1334,$AU$4:$AU1334,"="&amp;$AU1334,$AY$4:$AY1334,"="&amp;$AY1334)</f>
        <v>0</v>
      </c>
      <c r="BF1334" s="25" t="s">
        <v>1157</v>
      </c>
      <c r="BG1334" s="14">
        <f t="shared" si="319"/>
        <v>0</v>
      </c>
      <c r="BH1334" s="14">
        <f>SUMIFS(BG$4:BG1334,AU$4:AU1334,"="&amp;AU1334,AY$4:AY1334,"="&amp;AY1334)</f>
        <v>0</v>
      </c>
      <c r="BI1334" s="25" t="s">
        <v>1158</v>
      </c>
      <c r="BJ1334" s="14">
        <f t="shared" si="320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2"/>
        <v>17</v>
      </c>
      <c r="AV1335" s="14">
        <f t="shared" si="313"/>
        <v>202406</v>
      </c>
      <c r="AW1335" s="14">
        <f t="shared" si="314"/>
        <v>1102024</v>
      </c>
      <c r="AX1335" s="13" t="s">
        <v>1127</v>
      </c>
      <c r="AY1335" s="13">
        <f t="shared" si="315"/>
        <v>6</v>
      </c>
      <c r="AZ1335" s="13" t="s">
        <v>1148</v>
      </c>
      <c r="BA1335" s="14">
        <f t="shared" si="316"/>
        <v>1</v>
      </c>
      <c r="BB1335" s="14" t="str">
        <f t="shared" si="317"/>
        <v>朱仙魂珠-6 等级-1</v>
      </c>
      <c r="BC1335" s="25" t="s">
        <v>44</v>
      </c>
      <c r="BD1335" s="14">
        <f t="shared" si="318"/>
        <v>180</v>
      </c>
      <c r="BE1335" s="14">
        <f>SUMIFS(BD$4:BD1335,$AU$4:$AU1335,"="&amp;$AU1335,$AY$4:$AY1335,"="&amp;$AY1335)</f>
        <v>180</v>
      </c>
      <c r="BF1335" s="25" t="s">
        <v>1157</v>
      </c>
      <c r="BG1335" s="14">
        <f t="shared" si="319"/>
        <v>90</v>
      </c>
      <c r="BH1335" s="14">
        <f>SUMIFS(BG$4:BG1335,AU$4:AU1335,"="&amp;AU1335,AY$4:AY1335,"="&amp;AY1335)</f>
        <v>90</v>
      </c>
      <c r="BI1335" s="25" t="s">
        <v>1158</v>
      </c>
      <c r="BJ1335" s="14">
        <f t="shared" si="320"/>
        <v>3600</v>
      </c>
      <c r="BK1335" s="14">
        <f>SUMIFS(BJ$4:BJ1335,$AU$4:$AU1335,"="&amp;$AU1335,$AY$4:$AY1335,"="&amp;$AY1335)</f>
        <v>3600</v>
      </c>
    </row>
    <row r="1336" spans="46:63" ht="16.5" x14ac:dyDescent="0.2">
      <c r="AT1336" s="13">
        <v>1333</v>
      </c>
      <c r="AU1336" s="13">
        <f t="shared" si="312"/>
        <v>17</v>
      </c>
      <c r="AV1336" s="14">
        <f t="shared" si="313"/>
        <v>202406</v>
      </c>
      <c r="AW1336" s="14">
        <f t="shared" si="314"/>
        <v>1102024</v>
      </c>
      <c r="AX1336" s="13" t="s">
        <v>1127</v>
      </c>
      <c r="AY1336" s="13">
        <f t="shared" si="315"/>
        <v>6</v>
      </c>
      <c r="AZ1336" s="13" t="s">
        <v>1148</v>
      </c>
      <c r="BA1336" s="14">
        <f t="shared" si="316"/>
        <v>2</v>
      </c>
      <c r="BB1336" s="14" t="str">
        <f t="shared" si="317"/>
        <v>朱仙魂珠-6 等级-2</v>
      </c>
      <c r="BC1336" s="25" t="s">
        <v>44</v>
      </c>
      <c r="BD1336" s="14">
        <f t="shared" si="318"/>
        <v>280</v>
      </c>
      <c r="BE1336" s="14">
        <f>SUMIFS(BD$4:BD1336,$AU$4:$AU1336,"="&amp;$AU1336,$AY$4:$AY1336,"="&amp;$AY1336)</f>
        <v>460</v>
      </c>
      <c r="BF1336" s="25" t="s">
        <v>1157</v>
      </c>
      <c r="BG1336" s="14">
        <f t="shared" si="319"/>
        <v>140</v>
      </c>
      <c r="BH1336" s="14">
        <f>SUMIFS(BG$4:BG1336,AU$4:AU1336,"="&amp;AU1336,AY$4:AY1336,"="&amp;AY1336)</f>
        <v>230</v>
      </c>
      <c r="BI1336" s="25" t="s">
        <v>1158</v>
      </c>
      <c r="BJ1336" s="14">
        <f t="shared" si="320"/>
        <v>5600</v>
      </c>
      <c r="BK1336" s="14">
        <f>SUMIFS(BJ$4:BJ1336,$AU$4:$AU1336,"="&amp;$AU1336,$AY$4:$AY1336,"="&amp;$AY1336)</f>
        <v>9200</v>
      </c>
    </row>
    <row r="1337" spans="46:63" ht="16.5" x14ac:dyDescent="0.2">
      <c r="AT1337" s="13">
        <v>1334</v>
      </c>
      <c r="AU1337" s="13">
        <f t="shared" si="312"/>
        <v>17</v>
      </c>
      <c r="AV1337" s="14">
        <f t="shared" si="313"/>
        <v>202406</v>
      </c>
      <c r="AW1337" s="14">
        <f t="shared" si="314"/>
        <v>1102024</v>
      </c>
      <c r="AX1337" s="13" t="s">
        <v>1127</v>
      </c>
      <c r="AY1337" s="13">
        <f t="shared" si="315"/>
        <v>6</v>
      </c>
      <c r="AZ1337" s="13" t="s">
        <v>1148</v>
      </c>
      <c r="BA1337" s="14">
        <f t="shared" si="316"/>
        <v>3</v>
      </c>
      <c r="BB1337" s="14" t="str">
        <f t="shared" si="317"/>
        <v>朱仙魂珠-6 等级-3</v>
      </c>
      <c r="BC1337" s="25" t="s">
        <v>44</v>
      </c>
      <c r="BD1337" s="14">
        <f t="shared" si="318"/>
        <v>375</v>
      </c>
      <c r="BE1337" s="14">
        <f>SUMIFS(BD$4:BD1337,$AU$4:$AU1337,"="&amp;$AU1337,$AY$4:$AY1337,"="&amp;$AY1337)</f>
        <v>835</v>
      </c>
      <c r="BF1337" s="25" t="s">
        <v>1157</v>
      </c>
      <c r="BG1337" s="14">
        <f t="shared" si="319"/>
        <v>188</v>
      </c>
      <c r="BH1337" s="14">
        <f>SUMIFS(BG$4:BG1337,AU$4:AU1337,"="&amp;AU1337,AY$4:AY1337,"="&amp;AY1337)</f>
        <v>418</v>
      </c>
      <c r="BI1337" s="25" t="s">
        <v>1158</v>
      </c>
      <c r="BJ1337" s="14">
        <f t="shared" si="320"/>
        <v>7500</v>
      </c>
      <c r="BK1337" s="14">
        <f>SUMIFS(BJ$4:BJ1337,$AU$4:$AU1337,"="&amp;$AU1337,$AY$4:$AY1337,"="&amp;$AY1337)</f>
        <v>16700</v>
      </c>
    </row>
    <row r="1338" spans="46:63" ht="16.5" x14ac:dyDescent="0.2">
      <c r="AT1338" s="13">
        <v>1335</v>
      </c>
      <c r="AU1338" s="13">
        <f t="shared" si="312"/>
        <v>17</v>
      </c>
      <c r="AV1338" s="14">
        <f t="shared" si="313"/>
        <v>202406</v>
      </c>
      <c r="AW1338" s="14">
        <f t="shared" si="314"/>
        <v>1102024</v>
      </c>
      <c r="AX1338" s="13" t="s">
        <v>1127</v>
      </c>
      <c r="AY1338" s="13">
        <f t="shared" si="315"/>
        <v>6</v>
      </c>
      <c r="AZ1338" s="13" t="s">
        <v>1148</v>
      </c>
      <c r="BA1338" s="14">
        <f t="shared" si="316"/>
        <v>4</v>
      </c>
      <c r="BB1338" s="14" t="str">
        <f t="shared" si="317"/>
        <v>朱仙魂珠-6 等级-4</v>
      </c>
      <c r="BC1338" s="25" t="s">
        <v>44</v>
      </c>
      <c r="BD1338" s="14">
        <f t="shared" si="318"/>
        <v>560</v>
      </c>
      <c r="BE1338" s="14">
        <f>SUMIFS(BD$4:BD1338,$AU$4:$AU1338,"="&amp;$AU1338,$AY$4:$AY1338,"="&amp;$AY1338)</f>
        <v>1395</v>
      </c>
      <c r="BF1338" s="25" t="s">
        <v>1157</v>
      </c>
      <c r="BG1338" s="14">
        <f t="shared" si="319"/>
        <v>280</v>
      </c>
      <c r="BH1338" s="14">
        <f>SUMIFS(BG$4:BG1338,AU$4:AU1338,"="&amp;AU1338,AY$4:AY1338,"="&amp;AY1338)</f>
        <v>698</v>
      </c>
      <c r="BI1338" s="25" t="s">
        <v>1158</v>
      </c>
      <c r="BJ1338" s="14">
        <f t="shared" si="320"/>
        <v>11200</v>
      </c>
      <c r="BK1338" s="14">
        <f>SUMIFS(BJ$4:BJ1338,$AU$4:$AU1338,"="&amp;$AU1338,$AY$4:$AY1338,"="&amp;$AY1338)</f>
        <v>27900</v>
      </c>
    </row>
    <row r="1339" spans="46:63" ht="16.5" x14ac:dyDescent="0.2">
      <c r="AT1339" s="13">
        <v>1336</v>
      </c>
      <c r="AU1339" s="13">
        <f t="shared" si="312"/>
        <v>17</v>
      </c>
      <c r="AV1339" s="14">
        <f t="shared" si="313"/>
        <v>202406</v>
      </c>
      <c r="AW1339" s="14">
        <f t="shared" si="314"/>
        <v>1102024</v>
      </c>
      <c r="AX1339" s="13" t="s">
        <v>1127</v>
      </c>
      <c r="AY1339" s="13">
        <f t="shared" si="315"/>
        <v>6</v>
      </c>
      <c r="AZ1339" s="13" t="s">
        <v>1148</v>
      </c>
      <c r="BA1339" s="14">
        <f t="shared" si="316"/>
        <v>5</v>
      </c>
      <c r="BB1339" s="14" t="str">
        <f t="shared" si="317"/>
        <v>朱仙魂珠-6 等级-5</v>
      </c>
      <c r="BC1339" s="25" t="s">
        <v>44</v>
      </c>
      <c r="BD1339" s="14">
        <f t="shared" si="318"/>
        <v>750</v>
      </c>
      <c r="BE1339" s="14">
        <f>SUMIFS(BD$4:BD1339,$AU$4:$AU1339,"="&amp;$AU1339,$AY$4:$AY1339,"="&amp;$AY1339)</f>
        <v>2145</v>
      </c>
      <c r="BF1339" s="25" t="s">
        <v>1157</v>
      </c>
      <c r="BG1339" s="14">
        <f t="shared" si="319"/>
        <v>375</v>
      </c>
      <c r="BH1339" s="14">
        <f>SUMIFS(BG$4:BG1339,AU$4:AU1339,"="&amp;AU1339,AY$4:AY1339,"="&amp;AY1339)</f>
        <v>1073</v>
      </c>
      <c r="BI1339" s="25" t="s">
        <v>1158</v>
      </c>
      <c r="BJ1339" s="14">
        <f t="shared" si="320"/>
        <v>15000</v>
      </c>
      <c r="BK1339" s="14">
        <f>SUMIFS(BJ$4:BJ1339,$AU$4:$AU1339,"="&amp;$AU1339,$AY$4:$AY1339,"="&amp;$AY1339)</f>
        <v>42900</v>
      </c>
    </row>
    <row r="1340" spans="46:63" ht="16.5" x14ac:dyDescent="0.2">
      <c r="AT1340" s="13">
        <v>1337</v>
      </c>
      <c r="AU1340" s="13">
        <f t="shared" si="312"/>
        <v>17</v>
      </c>
      <c r="AV1340" s="14">
        <f t="shared" si="313"/>
        <v>202406</v>
      </c>
      <c r="AW1340" s="14">
        <f t="shared" si="314"/>
        <v>1102024</v>
      </c>
      <c r="AX1340" s="13" t="s">
        <v>1127</v>
      </c>
      <c r="AY1340" s="13">
        <f t="shared" si="315"/>
        <v>6</v>
      </c>
      <c r="AZ1340" s="13" t="s">
        <v>1148</v>
      </c>
      <c r="BA1340" s="14">
        <f t="shared" si="316"/>
        <v>6</v>
      </c>
      <c r="BB1340" s="14" t="str">
        <f t="shared" si="317"/>
        <v>朱仙魂珠-6 等级-6</v>
      </c>
      <c r="BC1340" s="25" t="s">
        <v>44</v>
      </c>
      <c r="BD1340" s="14">
        <f t="shared" si="318"/>
        <v>950</v>
      </c>
      <c r="BE1340" s="14">
        <f>SUMIFS(BD$4:BD1340,$AU$4:$AU1340,"="&amp;$AU1340,$AY$4:$AY1340,"="&amp;$AY1340)</f>
        <v>3095</v>
      </c>
      <c r="BF1340" s="25" t="s">
        <v>1157</v>
      </c>
      <c r="BG1340" s="14">
        <f t="shared" si="319"/>
        <v>475</v>
      </c>
      <c r="BH1340" s="14">
        <f>SUMIFS(BG$4:BG1340,AU$4:AU1340,"="&amp;AU1340,AY$4:AY1340,"="&amp;AY1340)</f>
        <v>1548</v>
      </c>
      <c r="BI1340" s="25" t="s">
        <v>1158</v>
      </c>
      <c r="BJ1340" s="14">
        <f t="shared" si="320"/>
        <v>19000</v>
      </c>
      <c r="BK1340" s="14">
        <f>SUMIFS(BJ$4:BJ1340,$AU$4:$AU1340,"="&amp;$AU1340,$AY$4:$AY1340,"="&amp;$AY1340)</f>
        <v>61900</v>
      </c>
    </row>
    <row r="1341" spans="46:63" ht="16.5" x14ac:dyDescent="0.2">
      <c r="AT1341" s="13">
        <v>1338</v>
      </c>
      <c r="AU1341" s="13">
        <f t="shared" si="312"/>
        <v>17</v>
      </c>
      <c r="AV1341" s="14">
        <f t="shared" si="313"/>
        <v>202406</v>
      </c>
      <c r="AW1341" s="14">
        <f t="shared" si="314"/>
        <v>1102024</v>
      </c>
      <c r="AX1341" s="13" t="s">
        <v>1127</v>
      </c>
      <c r="AY1341" s="13">
        <f t="shared" si="315"/>
        <v>6</v>
      </c>
      <c r="AZ1341" s="13" t="s">
        <v>1148</v>
      </c>
      <c r="BA1341" s="14">
        <f t="shared" si="316"/>
        <v>7</v>
      </c>
      <c r="BB1341" s="14" t="str">
        <f t="shared" si="317"/>
        <v>朱仙魂珠-6 等级-7</v>
      </c>
      <c r="BC1341" s="25" t="s">
        <v>44</v>
      </c>
      <c r="BD1341" s="14">
        <f t="shared" si="318"/>
        <v>1150</v>
      </c>
      <c r="BE1341" s="14">
        <f>SUMIFS(BD$4:BD1341,$AU$4:$AU1341,"="&amp;$AU1341,$AY$4:$AY1341,"="&amp;$AY1341)</f>
        <v>4245</v>
      </c>
      <c r="BF1341" s="25" t="s">
        <v>1157</v>
      </c>
      <c r="BG1341" s="14">
        <f t="shared" si="319"/>
        <v>575</v>
      </c>
      <c r="BH1341" s="14">
        <f>SUMIFS(BG$4:BG1341,AU$4:AU1341,"="&amp;AU1341,AY$4:AY1341,"="&amp;AY1341)</f>
        <v>2123</v>
      </c>
      <c r="BI1341" s="25" t="s">
        <v>1158</v>
      </c>
      <c r="BJ1341" s="14">
        <f t="shared" si="320"/>
        <v>23000</v>
      </c>
      <c r="BK1341" s="14">
        <f>SUMIFS(BJ$4:BJ1341,$AU$4:$AU1341,"="&amp;$AU1341,$AY$4:$AY1341,"="&amp;$AY1341)</f>
        <v>84900</v>
      </c>
    </row>
    <row r="1342" spans="46:63" ht="16.5" x14ac:dyDescent="0.2">
      <c r="AT1342" s="13">
        <v>1339</v>
      </c>
      <c r="AU1342" s="13">
        <f t="shared" si="312"/>
        <v>17</v>
      </c>
      <c r="AV1342" s="14">
        <f t="shared" si="313"/>
        <v>202406</v>
      </c>
      <c r="AW1342" s="14">
        <f t="shared" si="314"/>
        <v>1102024</v>
      </c>
      <c r="AX1342" s="13" t="s">
        <v>1127</v>
      </c>
      <c r="AY1342" s="13">
        <f t="shared" si="315"/>
        <v>6</v>
      </c>
      <c r="AZ1342" s="13" t="s">
        <v>1148</v>
      </c>
      <c r="BA1342" s="14">
        <f t="shared" si="316"/>
        <v>8</v>
      </c>
      <c r="BB1342" s="14" t="str">
        <f t="shared" si="317"/>
        <v>朱仙魂珠-6 等级-8</v>
      </c>
      <c r="BC1342" s="25" t="s">
        <v>44</v>
      </c>
      <c r="BD1342" s="14">
        <f t="shared" si="318"/>
        <v>1300</v>
      </c>
      <c r="BE1342" s="14">
        <f>SUMIFS(BD$4:BD1342,$AU$4:$AU1342,"="&amp;$AU1342,$AY$4:$AY1342,"="&amp;$AY1342)</f>
        <v>5545</v>
      </c>
      <c r="BF1342" s="25" t="s">
        <v>1157</v>
      </c>
      <c r="BG1342" s="14">
        <f t="shared" si="319"/>
        <v>650</v>
      </c>
      <c r="BH1342" s="14">
        <f>SUMIFS(BG$4:BG1342,AU$4:AU1342,"="&amp;AU1342,AY$4:AY1342,"="&amp;AY1342)</f>
        <v>2773</v>
      </c>
      <c r="BI1342" s="25" t="s">
        <v>1158</v>
      </c>
      <c r="BJ1342" s="14">
        <f t="shared" si="320"/>
        <v>26000</v>
      </c>
      <c r="BK1342" s="14">
        <f>SUMIFS(BJ$4:BJ1342,$AU$4:$AU1342,"="&amp;$AU1342,$AY$4:$AY1342,"="&amp;$AY1342)</f>
        <v>110900</v>
      </c>
    </row>
    <row r="1343" spans="46:63" ht="16.5" x14ac:dyDescent="0.2">
      <c r="AT1343" s="13">
        <v>1340</v>
      </c>
      <c r="AU1343" s="13">
        <f t="shared" si="312"/>
        <v>17</v>
      </c>
      <c r="AV1343" s="14">
        <f t="shared" si="313"/>
        <v>202406</v>
      </c>
      <c r="AW1343" s="14">
        <f t="shared" si="314"/>
        <v>1102024</v>
      </c>
      <c r="AX1343" s="13" t="s">
        <v>1127</v>
      </c>
      <c r="AY1343" s="13">
        <f t="shared" si="315"/>
        <v>6</v>
      </c>
      <c r="AZ1343" s="13" t="s">
        <v>1148</v>
      </c>
      <c r="BA1343" s="14">
        <f t="shared" si="316"/>
        <v>9</v>
      </c>
      <c r="BB1343" s="14" t="str">
        <f t="shared" si="317"/>
        <v>朱仙魂珠-6 等级-9</v>
      </c>
      <c r="BC1343" s="25" t="s">
        <v>44</v>
      </c>
      <c r="BD1343" s="14">
        <f t="shared" si="318"/>
        <v>1500</v>
      </c>
      <c r="BE1343" s="14">
        <f>SUMIFS(BD$4:BD1343,$AU$4:$AU1343,"="&amp;$AU1343,$AY$4:$AY1343,"="&amp;$AY1343)</f>
        <v>7045</v>
      </c>
      <c r="BF1343" s="25" t="s">
        <v>1157</v>
      </c>
      <c r="BG1343" s="14">
        <f t="shared" si="319"/>
        <v>750</v>
      </c>
      <c r="BH1343" s="14">
        <f>SUMIFS(BG$4:BG1343,AU$4:AU1343,"="&amp;AU1343,AY$4:AY1343,"="&amp;AY1343)</f>
        <v>3523</v>
      </c>
      <c r="BI1343" s="25" t="s">
        <v>1158</v>
      </c>
      <c r="BJ1343" s="14">
        <f t="shared" si="320"/>
        <v>30000</v>
      </c>
      <c r="BK1343" s="14">
        <f>SUMIFS(BJ$4:BJ1343,$AU$4:$AU1343,"="&amp;$AU1343,$AY$4:$AY1343,"="&amp;$AY1343)</f>
        <v>140900</v>
      </c>
    </row>
    <row r="1344" spans="46:63" ht="16.5" x14ac:dyDescent="0.2">
      <c r="AT1344" s="13">
        <v>1341</v>
      </c>
      <c r="AU1344" s="13">
        <f t="shared" si="312"/>
        <v>17</v>
      </c>
      <c r="AV1344" s="14">
        <f t="shared" si="313"/>
        <v>202407</v>
      </c>
      <c r="AW1344" s="14">
        <f t="shared" si="314"/>
        <v>1102024</v>
      </c>
      <c r="AX1344" s="13" t="s">
        <v>1127</v>
      </c>
      <c r="AY1344" s="13">
        <f t="shared" si="315"/>
        <v>7</v>
      </c>
      <c r="AZ1344" s="13" t="s">
        <v>1148</v>
      </c>
      <c r="BA1344" s="14">
        <f t="shared" si="316"/>
        <v>0</v>
      </c>
      <c r="BB1344" s="14" t="str">
        <f t="shared" si="317"/>
        <v>朱仙魂珠-7 等级-0</v>
      </c>
      <c r="BC1344" s="25" t="s">
        <v>44</v>
      </c>
      <c r="BD1344" s="14">
        <f t="shared" si="318"/>
        <v>0</v>
      </c>
      <c r="BE1344" s="14">
        <f>SUMIFS(BD$4:BD1344,$AU$4:$AU1344,"="&amp;$AU1344,$AY$4:$AY1344,"="&amp;$AY1344)</f>
        <v>0</v>
      </c>
      <c r="BF1344" s="25" t="s">
        <v>1157</v>
      </c>
      <c r="BG1344" s="14">
        <f t="shared" si="319"/>
        <v>0</v>
      </c>
      <c r="BH1344" s="14">
        <f>SUMIFS(BG$4:BG1344,AU$4:AU1344,"="&amp;AU1344,AY$4:AY1344,"="&amp;AY1344)</f>
        <v>0</v>
      </c>
      <c r="BI1344" s="25" t="s">
        <v>1158</v>
      </c>
      <c r="BJ1344" s="14">
        <f t="shared" si="320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2"/>
        <v>17</v>
      </c>
      <c r="AV1345" s="14">
        <f t="shared" si="313"/>
        <v>202407</v>
      </c>
      <c r="AW1345" s="14">
        <f t="shared" si="314"/>
        <v>1102024</v>
      </c>
      <c r="AX1345" s="13" t="s">
        <v>1127</v>
      </c>
      <c r="AY1345" s="13">
        <f t="shared" si="315"/>
        <v>7</v>
      </c>
      <c r="AZ1345" s="13" t="s">
        <v>1148</v>
      </c>
      <c r="BA1345" s="14">
        <f t="shared" si="316"/>
        <v>1</v>
      </c>
      <c r="BB1345" s="14" t="str">
        <f t="shared" si="317"/>
        <v>朱仙魂珠-7 等级-1</v>
      </c>
      <c r="BC1345" s="25" t="s">
        <v>44</v>
      </c>
      <c r="BD1345" s="14">
        <f t="shared" si="318"/>
        <v>240</v>
      </c>
      <c r="BE1345" s="14">
        <f>SUMIFS(BD$4:BD1345,$AU$4:$AU1345,"="&amp;$AU1345,$AY$4:$AY1345,"="&amp;$AY1345)</f>
        <v>240</v>
      </c>
      <c r="BF1345" s="25" t="s">
        <v>1157</v>
      </c>
      <c r="BG1345" s="14">
        <f t="shared" si="319"/>
        <v>120</v>
      </c>
      <c r="BH1345" s="14">
        <f>SUMIFS(BG$4:BG1345,AU$4:AU1345,"="&amp;AU1345,AY$4:AY1345,"="&amp;AY1345)</f>
        <v>120</v>
      </c>
      <c r="BI1345" s="25" t="s">
        <v>1158</v>
      </c>
      <c r="BJ1345" s="14">
        <f t="shared" si="320"/>
        <v>4800</v>
      </c>
      <c r="BK1345" s="14">
        <f>SUMIFS(BJ$4:BJ1345,$AU$4:$AU1345,"="&amp;$AU1345,$AY$4:$AY1345,"="&amp;$AY1345)</f>
        <v>4800</v>
      </c>
    </row>
    <row r="1346" spans="46:63" ht="16.5" x14ac:dyDescent="0.2">
      <c r="AT1346" s="13">
        <v>1343</v>
      </c>
      <c r="AU1346" s="13">
        <f t="shared" si="312"/>
        <v>17</v>
      </c>
      <c r="AV1346" s="14">
        <f t="shared" si="313"/>
        <v>202407</v>
      </c>
      <c r="AW1346" s="14">
        <f t="shared" si="314"/>
        <v>1102024</v>
      </c>
      <c r="AX1346" s="13" t="s">
        <v>1127</v>
      </c>
      <c r="AY1346" s="13">
        <f t="shared" si="315"/>
        <v>7</v>
      </c>
      <c r="AZ1346" s="13" t="s">
        <v>1148</v>
      </c>
      <c r="BA1346" s="14">
        <f t="shared" si="316"/>
        <v>2</v>
      </c>
      <c r="BB1346" s="14" t="str">
        <f t="shared" si="317"/>
        <v>朱仙魂珠-7 等级-2</v>
      </c>
      <c r="BC1346" s="25" t="s">
        <v>44</v>
      </c>
      <c r="BD1346" s="14">
        <f t="shared" si="318"/>
        <v>360</v>
      </c>
      <c r="BE1346" s="14">
        <f>SUMIFS(BD$4:BD1346,$AU$4:$AU1346,"="&amp;$AU1346,$AY$4:$AY1346,"="&amp;$AY1346)</f>
        <v>600</v>
      </c>
      <c r="BF1346" s="25" t="s">
        <v>1157</v>
      </c>
      <c r="BG1346" s="14">
        <f t="shared" si="319"/>
        <v>180</v>
      </c>
      <c r="BH1346" s="14">
        <f>SUMIFS(BG$4:BG1346,AU$4:AU1346,"="&amp;AU1346,AY$4:AY1346,"="&amp;AY1346)</f>
        <v>300</v>
      </c>
      <c r="BI1346" s="25" t="s">
        <v>1158</v>
      </c>
      <c r="BJ1346" s="14">
        <f t="shared" si="320"/>
        <v>7200</v>
      </c>
      <c r="BK1346" s="14">
        <f>SUMIFS(BJ$4:BJ1346,$AU$4:$AU1346,"="&amp;$AU1346,$AY$4:$AY1346,"="&amp;$AY1346)</f>
        <v>12000</v>
      </c>
    </row>
    <row r="1347" spans="46:63" ht="16.5" x14ac:dyDescent="0.2">
      <c r="AT1347" s="13">
        <v>1344</v>
      </c>
      <c r="AU1347" s="13">
        <f t="shared" si="312"/>
        <v>17</v>
      </c>
      <c r="AV1347" s="14">
        <f t="shared" si="313"/>
        <v>202407</v>
      </c>
      <c r="AW1347" s="14">
        <f t="shared" si="314"/>
        <v>1102024</v>
      </c>
      <c r="AX1347" s="13" t="s">
        <v>1127</v>
      </c>
      <c r="AY1347" s="13">
        <f t="shared" si="315"/>
        <v>7</v>
      </c>
      <c r="AZ1347" s="13" t="s">
        <v>1148</v>
      </c>
      <c r="BA1347" s="14">
        <f t="shared" si="316"/>
        <v>3</v>
      </c>
      <c r="BB1347" s="14" t="str">
        <f t="shared" si="317"/>
        <v>朱仙魂珠-7 等级-3</v>
      </c>
      <c r="BC1347" s="25" t="s">
        <v>44</v>
      </c>
      <c r="BD1347" s="14">
        <f t="shared" si="318"/>
        <v>480</v>
      </c>
      <c r="BE1347" s="14">
        <f>SUMIFS(BD$4:BD1347,$AU$4:$AU1347,"="&amp;$AU1347,$AY$4:$AY1347,"="&amp;$AY1347)</f>
        <v>1080</v>
      </c>
      <c r="BF1347" s="25" t="s">
        <v>1157</v>
      </c>
      <c r="BG1347" s="14">
        <f t="shared" si="319"/>
        <v>240</v>
      </c>
      <c r="BH1347" s="14">
        <f>SUMIFS(BG$4:BG1347,AU$4:AU1347,"="&amp;AU1347,AY$4:AY1347,"="&amp;AY1347)</f>
        <v>540</v>
      </c>
      <c r="BI1347" s="25" t="s">
        <v>1158</v>
      </c>
      <c r="BJ1347" s="14">
        <f t="shared" si="320"/>
        <v>9600</v>
      </c>
      <c r="BK1347" s="14">
        <f>SUMIFS(BJ$4:BJ1347,$AU$4:$AU1347,"="&amp;$AU1347,$AY$4:$AY1347,"="&amp;$AY1347)</f>
        <v>21600</v>
      </c>
    </row>
    <row r="1348" spans="46:63" ht="16.5" x14ac:dyDescent="0.2">
      <c r="AT1348" s="13">
        <v>1345</v>
      </c>
      <c r="AU1348" s="13">
        <f t="shared" si="312"/>
        <v>17</v>
      </c>
      <c r="AV1348" s="14">
        <f t="shared" si="313"/>
        <v>202407</v>
      </c>
      <c r="AW1348" s="14">
        <f t="shared" si="314"/>
        <v>1102024</v>
      </c>
      <c r="AX1348" s="13" t="s">
        <v>1127</v>
      </c>
      <c r="AY1348" s="13">
        <f t="shared" si="315"/>
        <v>7</v>
      </c>
      <c r="AZ1348" s="13" t="s">
        <v>1148</v>
      </c>
      <c r="BA1348" s="14">
        <f t="shared" si="316"/>
        <v>4</v>
      </c>
      <c r="BB1348" s="14" t="str">
        <f t="shared" si="317"/>
        <v>朱仙魂珠-7 等级-4</v>
      </c>
      <c r="BC1348" s="25" t="s">
        <v>44</v>
      </c>
      <c r="BD1348" s="14">
        <f t="shared" si="318"/>
        <v>720</v>
      </c>
      <c r="BE1348" s="14">
        <f>SUMIFS(BD$4:BD1348,$AU$4:$AU1348,"="&amp;$AU1348,$AY$4:$AY1348,"="&amp;$AY1348)</f>
        <v>1800</v>
      </c>
      <c r="BF1348" s="25" t="s">
        <v>1157</v>
      </c>
      <c r="BG1348" s="14">
        <f t="shared" si="319"/>
        <v>360</v>
      </c>
      <c r="BH1348" s="14">
        <f>SUMIFS(BG$4:BG1348,AU$4:AU1348,"="&amp;AU1348,AY$4:AY1348,"="&amp;AY1348)</f>
        <v>900</v>
      </c>
      <c r="BI1348" s="25" t="s">
        <v>1158</v>
      </c>
      <c r="BJ1348" s="14">
        <f t="shared" si="320"/>
        <v>14400</v>
      </c>
      <c r="BK1348" s="14">
        <f>SUMIFS(BJ$4:BJ1348,$AU$4:$AU1348,"="&amp;$AU1348,$AY$4:$AY1348,"="&amp;$AY1348)</f>
        <v>36000</v>
      </c>
    </row>
    <row r="1349" spans="46:63" ht="16.5" x14ac:dyDescent="0.2">
      <c r="AT1349" s="13">
        <v>1346</v>
      </c>
      <c r="AU1349" s="13">
        <f t="shared" ref="AU1349:AU1412" si="321">INT((AT1349-1)/80)+1</f>
        <v>17</v>
      </c>
      <c r="AV1349" s="14">
        <f t="shared" ref="AV1349:AV1412" si="322">INDEX($AJ$4:$AJ$203,(AU1349-1)*8+AY1349)</f>
        <v>202407</v>
      </c>
      <c r="AW1349" s="14">
        <f t="shared" ref="AW1349:AW1412" si="323">INDEX($W$4:$W$28,AU1349)</f>
        <v>1102024</v>
      </c>
      <c r="AX1349" s="13" t="s">
        <v>1127</v>
      </c>
      <c r="AY1349" s="13">
        <f t="shared" ref="AY1349:AY1412" si="324">INT(((AT1349-(AU1349-1)*80)-1)/10)+1</f>
        <v>7</v>
      </c>
      <c r="AZ1349" s="13" t="s">
        <v>1148</v>
      </c>
      <c r="BA1349" s="14">
        <f t="shared" ref="BA1349:BA1412" si="325">AT1349-(AU1349-1)*80-(AY1349-1)*10-1</f>
        <v>5</v>
      </c>
      <c r="BB1349" s="14" t="str">
        <f t="shared" ref="BB1349:BB1412" si="326">INDEX($X$4:$X$28,AU1349)&amp;"魂珠-"&amp;AY1349&amp;" 等级-"&amp;BA1349</f>
        <v>朱仙魂珠-7 等级-5</v>
      </c>
      <c r="BC1349" s="25" t="s">
        <v>44</v>
      </c>
      <c r="BD1349" s="14">
        <f t="shared" ref="BD1349:BD1412" si="327">ROUND(INDEX(Q$4:Q$83,($AY1349-1)*10+$BA1349+1)*INDEX(AC$4:AC$28,$AU1349),0)</f>
        <v>960</v>
      </c>
      <c r="BE1349" s="14">
        <f>SUMIFS(BD$4:BD1349,$AU$4:$AU1349,"="&amp;$AU1349,$AY$4:$AY1349,"="&amp;$AY1349)</f>
        <v>2760</v>
      </c>
      <c r="BF1349" s="25" t="s">
        <v>1157</v>
      </c>
      <c r="BG1349" s="14">
        <f t="shared" ref="BG1349:BG1412" si="328">ROUND(INDEX(R$4:R$83,($AY1349-1)*10+$BA1349+1)*INDEX(AD$4:AD$28,$AU1349),0)</f>
        <v>480</v>
      </c>
      <c r="BH1349" s="14">
        <f>SUMIFS(BG$4:BG1349,AU$4:AU1349,"="&amp;AU1349,AY$4:AY1349,"="&amp;AY1349)</f>
        <v>1380</v>
      </c>
      <c r="BI1349" s="25" t="s">
        <v>1158</v>
      </c>
      <c r="BJ1349" s="14">
        <f t="shared" ref="BJ1349:BJ1412" si="329">ROUND(INDEX(S$4:S$83,($AY1349-1)*10+$BA1349+1)*INDEX(AE$4:AE$28,$AU1349),0)</f>
        <v>19200</v>
      </c>
      <c r="BK1349" s="14">
        <f>SUMIFS(BJ$4:BJ1349,$AU$4:$AU1349,"="&amp;$AU1349,$AY$4:$AY1349,"="&amp;$AY1349)</f>
        <v>55200</v>
      </c>
    </row>
    <row r="1350" spans="46:63" ht="16.5" x14ac:dyDescent="0.2">
      <c r="AT1350" s="13">
        <v>1347</v>
      </c>
      <c r="AU1350" s="13">
        <f t="shared" si="321"/>
        <v>17</v>
      </c>
      <c r="AV1350" s="14">
        <f t="shared" si="322"/>
        <v>202407</v>
      </c>
      <c r="AW1350" s="14">
        <f t="shared" si="323"/>
        <v>1102024</v>
      </c>
      <c r="AX1350" s="13" t="s">
        <v>1127</v>
      </c>
      <c r="AY1350" s="13">
        <f t="shared" si="324"/>
        <v>7</v>
      </c>
      <c r="AZ1350" s="13" t="s">
        <v>1148</v>
      </c>
      <c r="BA1350" s="14">
        <f t="shared" si="325"/>
        <v>6</v>
      </c>
      <c r="BB1350" s="14" t="str">
        <f t="shared" si="326"/>
        <v>朱仙魂珠-7 等级-6</v>
      </c>
      <c r="BC1350" s="25" t="s">
        <v>44</v>
      </c>
      <c r="BD1350" s="14">
        <f t="shared" si="327"/>
        <v>1200</v>
      </c>
      <c r="BE1350" s="14">
        <f>SUMIFS(BD$4:BD1350,$AU$4:$AU1350,"="&amp;$AU1350,$AY$4:$AY1350,"="&amp;$AY1350)</f>
        <v>3960</v>
      </c>
      <c r="BF1350" s="25" t="s">
        <v>1157</v>
      </c>
      <c r="BG1350" s="14">
        <f t="shared" si="328"/>
        <v>600</v>
      </c>
      <c r="BH1350" s="14">
        <f>SUMIFS(BG$4:BG1350,AU$4:AU1350,"="&amp;AU1350,AY$4:AY1350,"="&amp;AY1350)</f>
        <v>1980</v>
      </c>
      <c r="BI1350" s="25" t="s">
        <v>1158</v>
      </c>
      <c r="BJ1350" s="14">
        <f t="shared" si="329"/>
        <v>24000</v>
      </c>
      <c r="BK1350" s="14">
        <f>SUMIFS(BJ$4:BJ1350,$AU$4:$AU1350,"="&amp;$AU1350,$AY$4:$AY1350,"="&amp;$AY1350)</f>
        <v>79200</v>
      </c>
    </row>
    <row r="1351" spans="46:63" ht="16.5" x14ac:dyDescent="0.2">
      <c r="AT1351" s="13">
        <v>1348</v>
      </c>
      <c r="AU1351" s="13">
        <f t="shared" si="321"/>
        <v>17</v>
      </c>
      <c r="AV1351" s="14">
        <f t="shared" si="322"/>
        <v>202407</v>
      </c>
      <c r="AW1351" s="14">
        <f t="shared" si="323"/>
        <v>1102024</v>
      </c>
      <c r="AX1351" s="13" t="s">
        <v>1127</v>
      </c>
      <c r="AY1351" s="13">
        <f t="shared" si="324"/>
        <v>7</v>
      </c>
      <c r="AZ1351" s="13" t="s">
        <v>1148</v>
      </c>
      <c r="BA1351" s="14">
        <f t="shared" si="325"/>
        <v>7</v>
      </c>
      <c r="BB1351" s="14" t="str">
        <f t="shared" si="326"/>
        <v>朱仙魂珠-7 等级-7</v>
      </c>
      <c r="BC1351" s="25" t="s">
        <v>44</v>
      </c>
      <c r="BD1351" s="14">
        <f t="shared" si="327"/>
        <v>1440</v>
      </c>
      <c r="BE1351" s="14">
        <f>SUMIFS(BD$4:BD1351,$AU$4:$AU1351,"="&amp;$AU1351,$AY$4:$AY1351,"="&amp;$AY1351)</f>
        <v>5400</v>
      </c>
      <c r="BF1351" s="25" t="s">
        <v>1157</v>
      </c>
      <c r="BG1351" s="14">
        <f t="shared" si="328"/>
        <v>720</v>
      </c>
      <c r="BH1351" s="14">
        <f>SUMIFS(BG$4:BG1351,AU$4:AU1351,"="&amp;AU1351,AY$4:AY1351,"="&amp;AY1351)</f>
        <v>2700</v>
      </c>
      <c r="BI1351" s="25" t="s">
        <v>1158</v>
      </c>
      <c r="BJ1351" s="14">
        <f t="shared" si="329"/>
        <v>28800</v>
      </c>
      <c r="BK1351" s="14">
        <f>SUMIFS(BJ$4:BJ1351,$AU$4:$AU1351,"="&amp;$AU1351,$AY$4:$AY1351,"="&amp;$AY1351)</f>
        <v>108000</v>
      </c>
    </row>
    <row r="1352" spans="46:63" ht="16.5" x14ac:dyDescent="0.2">
      <c r="AT1352" s="13">
        <v>1349</v>
      </c>
      <c r="AU1352" s="13">
        <f t="shared" si="321"/>
        <v>17</v>
      </c>
      <c r="AV1352" s="14">
        <f t="shared" si="322"/>
        <v>202407</v>
      </c>
      <c r="AW1352" s="14">
        <f t="shared" si="323"/>
        <v>1102024</v>
      </c>
      <c r="AX1352" s="13" t="s">
        <v>1127</v>
      </c>
      <c r="AY1352" s="13">
        <f t="shared" si="324"/>
        <v>7</v>
      </c>
      <c r="AZ1352" s="13" t="s">
        <v>1148</v>
      </c>
      <c r="BA1352" s="14">
        <f t="shared" si="325"/>
        <v>8</v>
      </c>
      <c r="BB1352" s="14" t="str">
        <f t="shared" si="326"/>
        <v>朱仙魂珠-7 等级-8</v>
      </c>
      <c r="BC1352" s="25" t="s">
        <v>44</v>
      </c>
      <c r="BD1352" s="14">
        <f t="shared" si="327"/>
        <v>1680</v>
      </c>
      <c r="BE1352" s="14">
        <f>SUMIFS(BD$4:BD1352,$AU$4:$AU1352,"="&amp;$AU1352,$AY$4:$AY1352,"="&amp;$AY1352)</f>
        <v>7080</v>
      </c>
      <c r="BF1352" s="25" t="s">
        <v>1157</v>
      </c>
      <c r="BG1352" s="14">
        <f t="shared" si="328"/>
        <v>840</v>
      </c>
      <c r="BH1352" s="14">
        <f>SUMIFS(BG$4:BG1352,AU$4:AU1352,"="&amp;AU1352,AY$4:AY1352,"="&amp;AY1352)</f>
        <v>3540</v>
      </c>
      <c r="BI1352" s="25" t="s">
        <v>1158</v>
      </c>
      <c r="BJ1352" s="14">
        <f t="shared" si="329"/>
        <v>33600</v>
      </c>
      <c r="BK1352" s="14">
        <f>SUMIFS(BJ$4:BJ1352,$AU$4:$AU1352,"="&amp;$AU1352,$AY$4:$AY1352,"="&amp;$AY1352)</f>
        <v>141600</v>
      </c>
    </row>
    <row r="1353" spans="46:63" ht="16.5" x14ac:dyDescent="0.2">
      <c r="AT1353" s="13">
        <v>1350</v>
      </c>
      <c r="AU1353" s="13">
        <f t="shared" si="321"/>
        <v>17</v>
      </c>
      <c r="AV1353" s="14">
        <f t="shared" si="322"/>
        <v>202407</v>
      </c>
      <c r="AW1353" s="14">
        <f t="shared" si="323"/>
        <v>1102024</v>
      </c>
      <c r="AX1353" s="13" t="s">
        <v>1127</v>
      </c>
      <c r="AY1353" s="13">
        <f t="shared" si="324"/>
        <v>7</v>
      </c>
      <c r="AZ1353" s="13" t="s">
        <v>1148</v>
      </c>
      <c r="BA1353" s="14">
        <f t="shared" si="325"/>
        <v>9</v>
      </c>
      <c r="BB1353" s="14" t="str">
        <f t="shared" si="326"/>
        <v>朱仙魂珠-7 等级-9</v>
      </c>
      <c r="BC1353" s="25" t="s">
        <v>44</v>
      </c>
      <c r="BD1353" s="14">
        <f t="shared" si="327"/>
        <v>1920</v>
      </c>
      <c r="BE1353" s="14">
        <f>SUMIFS(BD$4:BD1353,$AU$4:$AU1353,"="&amp;$AU1353,$AY$4:$AY1353,"="&amp;$AY1353)</f>
        <v>9000</v>
      </c>
      <c r="BF1353" s="25" t="s">
        <v>1157</v>
      </c>
      <c r="BG1353" s="14">
        <f t="shared" si="328"/>
        <v>960</v>
      </c>
      <c r="BH1353" s="14">
        <f>SUMIFS(BG$4:BG1353,AU$4:AU1353,"="&amp;AU1353,AY$4:AY1353,"="&amp;AY1353)</f>
        <v>4500</v>
      </c>
      <c r="BI1353" s="25" t="s">
        <v>1158</v>
      </c>
      <c r="BJ1353" s="14">
        <f t="shared" si="329"/>
        <v>38400</v>
      </c>
      <c r="BK1353" s="14">
        <f>SUMIFS(BJ$4:BJ1353,$AU$4:$AU1353,"="&amp;$AU1353,$AY$4:$AY1353,"="&amp;$AY1353)</f>
        <v>180000</v>
      </c>
    </row>
    <row r="1354" spans="46:63" ht="16.5" x14ac:dyDescent="0.2">
      <c r="AT1354" s="13">
        <v>1351</v>
      </c>
      <c r="AU1354" s="13">
        <f t="shared" si="321"/>
        <v>17</v>
      </c>
      <c r="AV1354" s="14">
        <f t="shared" si="322"/>
        <v>202408</v>
      </c>
      <c r="AW1354" s="14">
        <f t="shared" si="323"/>
        <v>1102024</v>
      </c>
      <c r="AX1354" s="13" t="s">
        <v>1127</v>
      </c>
      <c r="AY1354" s="13">
        <f t="shared" si="324"/>
        <v>8</v>
      </c>
      <c r="AZ1354" s="13" t="s">
        <v>1148</v>
      </c>
      <c r="BA1354" s="14">
        <f t="shared" si="325"/>
        <v>0</v>
      </c>
      <c r="BB1354" s="14" t="str">
        <f t="shared" si="326"/>
        <v>朱仙魂珠-8 等级-0</v>
      </c>
      <c r="BC1354" s="25" t="s">
        <v>44</v>
      </c>
      <c r="BD1354" s="14">
        <f t="shared" si="327"/>
        <v>0</v>
      </c>
      <c r="BE1354" s="14">
        <f>SUMIFS(BD$4:BD1354,$AU$4:$AU1354,"="&amp;$AU1354,$AY$4:$AY1354,"="&amp;$AY1354)</f>
        <v>0</v>
      </c>
      <c r="BF1354" s="25" t="s">
        <v>1157</v>
      </c>
      <c r="BG1354" s="14">
        <f t="shared" si="328"/>
        <v>0</v>
      </c>
      <c r="BH1354" s="14">
        <f>SUMIFS(BG$4:BG1354,AU$4:AU1354,"="&amp;AU1354,AY$4:AY1354,"="&amp;AY1354)</f>
        <v>0</v>
      </c>
      <c r="BI1354" s="25" t="s">
        <v>1158</v>
      </c>
      <c r="BJ1354" s="14">
        <f t="shared" si="329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1"/>
        <v>17</v>
      </c>
      <c r="AV1355" s="14">
        <f t="shared" si="322"/>
        <v>202408</v>
      </c>
      <c r="AW1355" s="14">
        <f t="shared" si="323"/>
        <v>1102024</v>
      </c>
      <c r="AX1355" s="13" t="s">
        <v>1127</v>
      </c>
      <c r="AY1355" s="13">
        <f t="shared" si="324"/>
        <v>8</v>
      </c>
      <c r="AZ1355" s="13" t="s">
        <v>1148</v>
      </c>
      <c r="BA1355" s="14">
        <f t="shared" si="325"/>
        <v>1</v>
      </c>
      <c r="BB1355" s="14" t="str">
        <f t="shared" si="326"/>
        <v>朱仙魂珠-8 等级-1</v>
      </c>
      <c r="BC1355" s="25" t="s">
        <v>44</v>
      </c>
      <c r="BD1355" s="14">
        <f t="shared" si="327"/>
        <v>320</v>
      </c>
      <c r="BE1355" s="14">
        <f>SUMIFS(BD$4:BD1355,$AU$4:$AU1355,"="&amp;$AU1355,$AY$4:$AY1355,"="&amp;$AY1355)</f>
        <v>320</v>
      </c>
      <c r="BF1355" s="25" t="s">
        <v>1157</v>
      </c>
      <c r="BG1355" s="14">
        <f t="shared" si="328"/>
        <v>160</v>
      </c>
      <c r="BH1355" s="14">
        <f>SUMIFS(BG$4:BG1355,AU$4:AU1355,"="&amp;AU1355,AY$4:AY1355,"="&amp;AY1355)</f>
        <v>160</v>
      </c>
      <c r="BI1355" s="25" t="s">
        <v>1158</v>
      </c>
      <c r="BJ1355" s="14">
        <f t="shared" si="329"/>
        <v>6400</v>
      </c>
      <c r="BK1355" s="14">
        <f>SUMIFS(BJ$4:BJ1355,$AU$4:$AU1355,"="&amp;$AU1355,$AY$4:$AY1355,"="&amp;$AY1355)</f>
        <v>6400</v>
      </c>
    </row>
    <row r="1356" spans="46:63" ht="16.5" x14ac:dyDescent="0.2">
      <c r="AT1356" s="13">
        <v>1353</v>
      </c>
      <c r="AU1356" s="13">
        <f t="shared" si="321"/>
        <v>17</v>
      </c>
      <c r="AV1356" s="14">
        <f t="shared" si="322"/>
        <v>202408</v>
      </c>
      <c r="AW1356" s="14">
        <f t="shared" si="323"/>
        <v>1102024</v>
      </c>
      <c r="AX1356" s="13" t="s">
        <v>1127</v>
      </c>
      <c r="AY1356" s="13">
        <f t="shared" si="324"/>
        <v>8</v>
      </c>
      <c r="AZ1356" s="13" t="s">
        <v>1148</v>
      </c>
      <c r="BA1356" s="14">
        <f t="shared" si="325"/>
        <v>2</v>
      </c>
      <c r="BB1356" s="14" t="str">
        <f t="shared" si="326"/>
        <v>朱仙魂珠-8 等级-2</v>
      </c>
      <c r="BC1356" s="25" t="s">
        <v>44</v>
      </c>
      <c r="BD1356" s="14">
        <f t="shared" si="327"/>
        <v>480</v>
      </c>
      <c r="BE1356" s="14">
        <f>SUMIFS(BD$4:BD1356,$AU$4:$AU1356,"="&amp;$AU1356,$AY$4:$AY1356,"="&amp;$AY1356)</f>
        <v>800</v>
      </c>
      <c r="BF1356" s="25" t="s">
        <v>1157</v>
      </c>
      <c r="BG1356" s="14">
        <f t="shared" si="328"/>
        <v>240</v>
      </c>
      <c r="BH1356" s="14">
        <f>SUMIFS(BG$4:BG1356,AU$4:AU1356,"="&amp;AU1356,AY$4:AY1356,"="&amp;AY1356)</f>
        <v>400</v>
      </c>
      <c r="BI1356" s="25" t="s">
        <v>1158</v>
      </c>
      <c r="BJ1356" s="14">
        <f t="shared" si="329"/>
        <v>9600</v>
      </c>
      <c r="BK1356" s="14">
        <f>SUMIFS(BJ$4:BJ1356,$AU$4:$AU1356,"="&amp;$AU1356,$AY$4:$AY1356,"="&amp;$AY1356)</f>
        <v>16000</v>
      </c>
    </row>
    <row r="1357" spans="46:63" ht="16.5" x14ac:dyDescent="0.2">
      <c r="AT1357" s="13">
        <v>1354</v>
      </c>
      <c r="AU1357" s="13">
        <f t="shared" si="321"/>
        <v>17</v>
      </c>
      <c r="AV1357" s="14">
        <f t="shared" si="322"/>
        <v>202408</v>
      </c>
      <c r="AW1357" s="14">
        <f t="shared" si="323"/>
        <v>1102024</v>
      </c>
      <c r="AX1357" s="13" t="s">
        <v>1127</v>
      </c>
      <c r="AY1357" s="13">
        <f t="shared" si="324"/>
        <v>8</v>
      </c>
      <c r="AZ1357" s="13" t="s">
        <v>1148</v>
      </c>
      <c r="BA1357" s="14">
        <f t="shared" si="325"/>
        <v>3</v>
      </c>
      <c r="BB1357" s="14" t="str">
        <f t="shared" si="326"/>
        <v>朱仙魂珠-8 等级-3</v>
      </c>
      <c r="BC1357" s="25" t="s">
        <v>44</v>
      </c>
      <c r="BD1357" s="14">
        <f t="shared" si="327"/>
        <v>640</v>
      </c>
      <c r="BE1357" s="14">
        <f>SUMIFS(BD$4:BD1357,$AU$4:$AU1357,"="&amp;$AU1357,$AY$4:$AY1357,"="&amp;$AY1357)</f>
        <v>1440</v>
      </c>
      <c r="BF1357" s="25" t="s">
        <v>1157</v>
      </c>
      <c r="BG1357" s="14">
        <f t="shared" si="328"/>
        <v>320</v>
      </c>
      <c r="BH1357" s="14">
        <f>SUMIFS(BG$4:BG1357,AU$4:AU1357,"="&amp;AU1357,AY$4:AY1357,"="&amp;AY1357)</f>
        <v>720</v>
      </c>
      <c r="BI1357" s="25" t="s">
        <v>1158</v>
      </c>
      <c r="BJ1357" s="14">
        <f t="shared" si="329"/>
        <v>12800</v>
      </c>
      <c r="BK1357" s="14">
        <f>SUMIFS(BJ$4:BJ1357,$AU$4:$AU1357,"="&amp;$AU1357,$AY$4:$AY1357,"="&amp;$AY1357)</f>
        <v>28800</v>
      </c>
    </row>
    <row r="1358" spans="46:63" ht="16.5" x14ac:dyDescent="0.2">
      <c r="AT1358" s="13">
        <v>1355</v>
      </c>
      <c r="AU1358" s="13">
        <f t="shared" si="321"/>
        <v>17</v>
      </c>
      <c r="AV1358" s="14">
        <f t="shared" si="322"/>
        <v>202408</v>
      </c>
      <c r="AW1358" s="14">
        <f t="shared" si="323"/>
        <v>1102024</v>
      </c>
      <c r="AX1358" s="13" t="s">
        <v>1127</v>
      </c>
      <c r="AY1358" s="13">
        <f t="shared" si="324"/>
        <v>8</v>
      </c>
      <c r="AZ1358" s="13" t="s">
        <v>1148</v>
      </c>
      <c r="BA1358" s="14">
        <f t="shared" si="325"/>
        <v>4</v>
      </c>
      <c r="BB1358" s="14" t="str">
        <f t="shared" si="326"/>
        <v>朱仙魂珠-8 等级-4</v>
      </c>
      <c r="BC1358" s="25" t="s">
        <v>44</v>
      </c>
      <c r="BD1358" s="14">
        <f t="shared" si="327"/>
        <v>960</v>
      </c>
      <c r="BE1358" s="14">
        <f>SUMIFS(BD$4:BD1358,$AU$4:$AU1358,"="&amp;$AU1358,$AY$4:$AY1358,"="&amp;$AY1358)</f>
        <v>2400</v>
      </c>
      <c r="BF1358" s="25" t="s">
        <v>1157</v>
      </c>
      <c r="BG1358" s="14">
        <f t="shared" si="328"/>
        <v>480</v>
      </c>
      <c r="BH1358" s="14">
        <f>SUMIFS(BG$4:BG1358,AU$4:AU1358,"="&amp;AU1358,AY$4:AY1358,"="&amp;AY1358)</f>
        <v>1200</v>
      </c>
      <c r="BI1358" s="25" t="s">
        <v>1158</v>
      </c>
      <c r="BJ1358" s="14">
        <f t="shared" si="329"/>
        <v>19200</v>
      </c>
      <c r="BK1358" s="14">
        <f>SUMIFS(BJ$4:BJ1358,$AU$4:$AU1358,"="&amp;$AU1358,$AY$4:$AY1358,"="&amp;$AY1358)</f>
        <v>48000</v>
      </c>
    </row>
    <row r="1359" spans="46:63" ht="16.5" x14ac:dyDescent="0.2">
      <c r="AT1359" s="13">
        <v>1356</v>
      </c>
      <c r="AU1359" s="13">
        <f t="shared" si="321"/>
        <v>17</v>
      </c>
      <c r="AV1359" s="14">
        <f t="shared" si="322"/>
        <v>202408</v>
      </c>
      <c r="AW1359" s="14">
        <f t="shared" si="323"/>
        <v>1102024</v>
      </c>
      <c r="AX1359" s="13" t="s">
        <v>1127</v>
      </c>
      <c r="AY1359" s="13">
        <f t="shared" si="324"/>
        <v>8</v>
      </c>
      <c r="AZ1359" s="13" t="s">
        <v>1148</v>
      </c>
      <c r="BA1359" s="14">
        <f t="shared" si="325"/>
        <v>5</v>
      </c>
      <c r="BB1359" s="14" t="str">
        <f t="shared" si="326"/>
        <v>朱仙魂珠-8 等级-5</v>
      </c>
      <c r="BC1359" s="25" t="s">
        <v>44</v>
      </c>
      <c r="BD1359" s="14">
        <f t="shared" si="327"/>
        <v>1280</v>
      </c>
      <c r="BE1359" s="14">
        <f>SUMIFS(BD$4:BD1359,$AU$4:$AU1359,"="&amp;$AU1359,$AY$4:$AY1359,"="&amp;$AY1359)</f>
        <v>3680</v>
      </c>
      <c r="BF1359" s="25" t="s">
        <v>1157</v>
      </c>
      <c r="BG1359" s="14">
        <f t="shared" si="328"/>
        <v>640</v>
      </c>
      <c r="BH1359" s="14">
        <f>SUMIFS(BG$4:BG1359,AU$4:AU1359,"="&amp;AU1359,AY$4:AY1359,"="&amp;AY1359)</f>
        <v>1840</v>
      </c>
      <c r="BI1359" s="25" t="s">
        <v>1158</v>
      </c>
      <c r="BJ1359" s="14">
        <f t="shared" si="329"/>
        <v>25600</v>
      </c>
      <c r="BK1359" s="14">
        <f>SUMIFS(BJ$4:BJ1359,$AU$4:$AU1359,"="&amp;$AU1359,$AY$4:$AY1359,"="&amp;$AY1359)</f>
        <v>73600</v>
      </c>
    </row>
    <row r="1360" spans="46:63" ht="16.5" x14ac:dyDescent="0.2">
      <c r="AT1360" s="13">
        <v>1357</v>
      </c>
      <c r="AU1360" s="13">
        <f t="shared" si="321"/>
        <v>17</v>
      </c>
      <c r="AV1360" s="14">
        <f t="shared" si="322"/>
        <v>202408</v>
      </c>
      <c r="AW1360" s="14">
        <f t="shared" si="323"/>
        <v>1102024</v>
      </c>
      <c r="AX1360" s="13" t="s">
        <v>1127</v>
      </c>
      <c r="AY1360" s="13">
        <f t="shared" si="324"/>
        <v>8</v>
      </c>
      <c r="AZ1360" s="13" t="s">
        <v>1148</v>
      </c>
      <c r="BA1360" s="14">
        <f t="shared" si="325"/>
        <v>6</v>
      </c>
      <c r="BB1360" s="14" t="str">
        <f t="shared" si="326"/>
        <v>朱仙魂珠-8 等级-6</v>
      </c>
      <c r="BC1360" s="25" t="s">
        <v>44</v>
      </c>
      <c r="BD1360" s="14">
        <f t="shared" si="327"/>
        <v>1600</v>
      </c>
      <c r="BE1360" s="14">
        <f>SUMIFS(BD$4:BD1360,$AU$4:$AU1360,"="&amp;$AU1360,$AY$4:$AY1360,"="&amp;$AY1360)</f>
        <v>5280</v>
      </c>
      <c r="BF1360" s="25" t="s">
        <v>1157</v>
      </c>
      <c r="BG1360" s="14">
        <f t="shared" si="328"/>
        <v>800</v>
      </c>
      <c r="BH1360" s="14">
        <f>SUMIFS(BG$4:BG1360,AU$4:AU1360,"="&amp;AU1360,AY$4:AY1360,"="&amp;AY1360)</f>
        <v>2640</v>
      </c>
      <c r="BI1360" s="25" t="s">
        <v>1158</v>
      </c>
      <c r="BJ1360" s="14">
        <f t="shared" si="329"/>
        <v>32000</v>
      </c>
      <c r="BK1360" s="14">
        <f>SUMIFS(BJ$4:BJ1360,$AU$4:$AU1360,"="&amp;$AU1360,$AY$4:$AY1360,"="&amp;$AY1360)</f>
        <v>105600</v>
      </c>
    </row>
    <row r="1361" spans="46:63" ht="16.5" x14ac:dyDescent="0.2">
      <c r="AT1361" s="13">
        <v>1358</v>
      </c>
      <c r="AU1361" s="13">
        <f t="shared" si="321"/>
        <v>17</v>
      </c>
      <c r="AV1361" s="14">
        <f t="shared" si="322"/>
        <v>202408</v>
      </c>
      <c r="AW1361" s="14">
        <f t="shared" si="323"/>
        <v>1102024</v>
      </c>
      <c r="AX1361" s="13" t="s">
        <v>1127</v>
      </c>
      <c r="AY1361" s="13">
        <f t="shared" si="324"/>
        <v>8</v>
      </c>
      <c r="AZ1361" s="13" t="s">
        <v>1148</v>
      </c>
      <c r="BA1361" s="14">
        <f t="shared" si="325"/>
        <v>7</v>
      </c>
      <c r="BB1361" s="14" t="str">
        <f t="shared" si="326"/>
        <v>朱仙魂珠-8 等级-7</v>
      </c>
      <c r="BC1361" s="25" t="s">
        <v>44</v>
      </c>
      <c r="BD1361" s="14">
        <f t="shared" si="327"/>
        <v>1920</v>
      </c>
      <c r="BE1361" s="14">
        <f>SUMIFS(BD$4:BD1361,$AU$4:$AU1361,"="&amp;$AU1361,$AY$4:$AY1361,"="&amp;$AY1361)</f>
        <v>7200</v>
      </c>
      <c r="BF1361" s="25" t="s">
        <v>1157</v>
      </c>
      <c r="BG1361" s="14">
        <f t="shared" si="328"/>
        <v>960</v>
      </c>
      <c r="BH1361" s="14">
        <f>SUMIFS(BG$4:BG1361,AU$4:AU1361,"="&amp;AU1361,AY$4:AY1361,"="&amp;AY1361)</f>
        <v>3600</v>
      </c>
      <c r="BI1361" s="25" t="s">
        <v>1158</v>
      </c>
      <c r="BJ1361" s="14">
        <f t="shared" si="329"/>
        <v>38400</v>
      </c>
      <c r="BK1361" s="14">
        <f>SUMIFS(BJ$4:BJ1361,$AU$4:$AU1361,"="&amp;$AU1361,$AY$4:$AY1361,"="&amp;$AY1361)</f>
        <v>144000</v>
      </c>
    </row>
    <row r="1362" spans="46:63" ht="16.5" x14ac:dyDescent="0.2">
      <c r="AT1362" s="13">
        <v>1359</v>
      </c>
      <c r="AU1362" s="13">
        <f t="shared" si="321"/>
        <v>17</v>
      </c>
      <c r="AV1362" s="14">
        <f t="shared" si="322"/>
        <v>202408</v>
      </c>
      <c r="AW1362" s="14">
        <f t="shared" si="323"/>
        <v>1102024</v>
      </c>
      <c r="AX1362" s="13" t="s">
        <v>1127</v>
      </c>
      <c r="AY1362" s="13">
        <f t="shared" si="324"/>
        <v>8</v>
      </c>
      <c r="AZ1362" s="13" t="s">
        <v>1148</v>
      </c>
      <c r="BA1362" s="14">
        <f t="shared" si="325"/>
        <v>8</v>
      </c>
      <c r="BB1362" s="14" t="str">
        <f t="shared" si="326"/>
        <v>朱仙魂珠-8 等级-8</v>
      </c>
      <c r="BC1362" s="25" t="s">
        <v>44</v>
      </c>
      <c r="BD1362" s="14">
        <f t="shared" si="327"/>
        <v>2240</v>
      </c>
      <c r="BE1362" s="14">
        <f>SUMIFS(BD$4:BD1362,$AU$4:$AU1362,"="&amp;$AU1362,$AY$4:$AY1362,"="&amp;$AY1362)</f>
        <v>9440</v>
      </c>
      <c r="BF1362" s="25" t="s">
        <v>1157</v>
      </c>
      <c r="BG1362" s="14">
        <f t="shared" si="328"/>
        <v>1120</v>
      </c>
      <c r="BH1362" s="14">
        <f>SUMIFS(BG$4:BG1362,AU$4:AU1362,"="&amp;AU1362,AY$4:AY1362,"="&amp;AY1362)</f>
        <v>4720</v>
      </c>
      <c r="BI1362" s="25" t="s">
        <v>1158</v>
      </c>
      <c r="BJ1362" s="14">
        <f t="shared" si="329"/>
        <v>44800</v>
      </c>
      <c r="BK1362" s="14">
        <f>SUMIFS(BJ$4:BJ1362,$AU$4:$AU1362,"="&amp;$AU1362,$AY$4:$AY1362,"="&amp;$AY1362)</f>
        <v>188800</v>
      </c>
    </row>
    <row r="1363" spans="46:63" ht="16.5" x14ac:dyDescent="0.2">
      <c r="AT1363" s="13">
        <v>1360</v>
      </c>
      <c r="AU1363" s="13">
        <f t="shared" si="321"/>
        <v>17</v>
      </c>
      <c r="AV1363" s="14">
        <f t="shared" si="322"/>
        <v>202408</v>
      </c>
      <c r="AW1363" s="14">
        <f t="shared" si="323"/>
        <v>1102024</v>
      </c>
      <c r="AX1363" s="13" t="s">
        <v>1127</v>
      </c>
      <c r="AY1363" s="13">
        <f t="shared" si="324"/>
        <v>8</v>
      </c>
      <c r="AZ1363" s="13" t="s">
        <v>1148</v>
      </c>
      <c r="BA1363" s="14">
        <f t="shared" si="325"/>
        <v>9</v>
      </c>
      <c r="BB1363" s="14" t="str">
        <f t="shared" si="326"/>
        <v>朱仙魂珠-8 等级-9</v>
      </c>
      <c r="BC1363" s="25" t="s">
        <v>44</v>
      </c>
      <c r="BD1363" s="14">
        <f t="shared" si="327"/>
        <v>2560</v>
      </c>
      <c r="BE1363" s="14">
        <f>SUMIFS(BD$4:BD1363,$AU$4:$AU1363,"="&amp;$AU1363,$AY$4:$AY1363,"="&amp;$AY1363)</f>
        <v>12000</v>
      </c>
      <c r="BF1363" s="25" t="s">
        <v>1157</v>
      </c>
      <c r="BG1363" s="14">
        <f t="shared" si="328"/>
        <v>1280</v>
      </c>
      <c r="BH1363" s="14">
        <f>SUMIFS(BG$4:BG1363,AU$4:AU1363,"="&amp;AU1363,AY$4:AY1363,"="&amp;AY1363)</f>
        <v>6000</v>
      </c>
      <c r="BI1363" s="25" t="s">
        <v>1158</v>
      </c>
      <c r="BJ1363" s="14">
        <f t="shared" si="329"/>
        <v>51200</v>
      </c>
      <c r="BK1363" s="14">
        <f>SUMIFS(BJ$4:BJ1363,$AU$4:$AU1363,"="&amp;$AU1363,$AY$4:$AY1363,"="&amp;$AY1363)</f>
        <v>240000</v>
      </c>
    </row>
    <row r="1364" spans="46:63" ht="16.5" x14ac:dyDescent="0.2">
      <c r="AT1364" s="13">
        <v>1361</v>
      </c>
      <c r="AU1364" s="13">
        <f t="shared" si="321"/>
        <v>18</v>
      </c>
      <c r="AV1364" s="14">
        <f t="shared" si="322"/>
        <v>202601</v>
      </c>
      <c r="AW1364" s="14">
        <f t="shared" si="323"/>
        <v>1102026</v>
      </c>
      <c r="AX1364" s="13" t="s">
        <v>1127</v>
      </c>
      <c r="AY1364" s="13">
        <f t="shared" si="324"/>
        <v>1</v>
      </c>
      <c r="AZ1364" s="13" t="s">
        <v>1148</v>
      </c>
      <c r="BA1364" s="14">
        <f t="shared" si="325"/>
        <v>0</v>
      </c>
      <c r="BB1364" s="14" t="str">
        <f t="shared" si="326"/>
        <v>雷震子魂珠-1 等级-0</v>
      </c>
      <c r="BC1364" s="25" t="s">
        <v>44</v>
      </c>
      <c r="BD1364" s="14">
        <f t="shared" si="327"/>
        <v>0</v>
      </c>
      <c r="BE1364" s="14">
        <f>SUMIFS(BD$4:BD1364,$AU$4:$AU1364,"="&amp;$AU1364,$AY$4:$AY1364,"="&amp;$AY1364)</f>
        <v>0</v>
      </c>
      <c r="BF1364" s="25" t="s">
        <v>1157</v>
      </c>
      <c r="BG1364" s="14">
        <f t="shared" si="328"/>
        <v>0</v>
      </c>
      <c r="BH1364" s="14">
        <f>SUMIFS(BG$4:BG1364,AU$4:AU1364,"="&amp;AU1364,AY$4:AY1364,"="&amp;AY1364)</f>
        <v>0</v>
      </c>
      <c r="BI1364" s="25" t="s">
        <v>1158</v>
      </c>
      <c r="BJ1364" s="14">
        <f t="shared" si="329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1"/>
        <v>18</v>
      </c>
      <c r="AV1365" s="14">
        <f t="shared" si="322"/>
        <v>202601</v>
      </c>
      <c r="AW1365" s="14">
        <f t="shared" si="323"/>
        <v>1102026</v>
      </c>
      <c r="AX1365" s="13" t="s">
        <v>1127</v>
      </c>
      <c r="AY1365" s="13">
        <f t="shared" si="324"/>
        <v>1</v>
      </c>
      <c r="AZ1365" s="13" t="s">
        <v>1148</v>
      </c>
      <c r="BA1365" s="14">
        <f t="shared" si="325"/>
        <v>1</v>
      </c>
      <c r="BB1365" s="14" t="str">
        <f t="shared" si="326"/>
        <v>雷震子魂珠-1 等级-1</v>
      </c>
      <c r="BC1365" s="25" t="s">
        <v>44</v>
      </c>
      <c r="BD1365" s="14">
        <f t="shared" si="327"/>
        <v>48</v>
      </c>
      <c r="BE1365" s="14">
        <f>SUMIFS(BD$4:BD1365,$AU$4:$AU1365,"="&amp;$AU1365,$AY$4:$AY1365,"="&amp;$AY1365)</f>
        <v>48</v>
      </c>
      <c r="BF1365" s="25" t="s">
        <v>1157</v>
      </c>
      <c r="BG1365" s="14">
        <f t="shared" si="328"/>
        <v>18</v>
      </c>
      <c r="BH1365" s="14">
        <f>SUMIFS(BG$4:BG1365,AU$4:AU1365,"="&amp;AU1365,AY$4:AY1365,"="&amp;AY1365)</f>
        <v>18</v>
      </c>
      <c r="BI1365" s="25" t="s">
        <v>1158</v>
      </c>
      <c r="BJ1365" s="14">
        <f t="shared" si="329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1"/>
        <v>18</v>
      </c>
      <c r="AV1366" s="14">
        <f t="shared" si="322"/>
        <v>202601</v>
      </c>
      <c r="AW1366" s="14">
        <f t="shared" si="323"/>
        <v>1102026</v>
      </c>
      <c r="AX1366" s="13" t="s">
        <v>1127</v>
      </c>
      <c r="AY1366" s="13">
        <f t="shared" si="324"/>
        <v>1</v>
      </c>
      <c r="AZ1366" s="13" t="s">
        <v>1148</v>
      </c>
      <c r="BA1366" s="14">
        <f t="shared" si="325"/>
        <v>2</v>
      </c>
      <c r="BB1366" s="14" t="str">
        <f t="shared" si="326"/>
        <v>雷震子魂珠-1 等级-2</v>
      </c>
      <c r="BC1366" s="25" t="s">
        <v>44</v>
      </c>
      <c r="BD1366" s="14">
        <f t="shared" si="327"/>
        <v>72</v>
      </c>
      <c r="BE1366" s="14">
        <f>SUMIFS(BD$4:BD1366,$AU$4:$AU1366,"="&amp;$AU1366,$AY$4:$AY1366,"="&amp;$AY1366)</f>
        <v>120</v>
      </c>
      <c r="BF1366" s="25" t="s">
        <v>1157</v>
      </c>
      <c r="BG1366" s="14">
        <f t="shared" si="328"/>
        <v>27</v>
      </c>
      <c r="BH1366" s="14">
        <f>SUMIFS(BG$4:BG1366,AU$4:AU1366,"="&amp;AU1366,AY$4:AY1366,"="&amp;AY1366)</f>
        <v>45</v>
      </c>
      <c r="BI1366" s="25" t="s">
        <v>1158</v>
      </c>
      <c r="BJ1366" s="14">
        <f t="shared" si="329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1"/>
        <v>18</v>
      </c>
      <c r="AV1367" s="14">
        <f t="shared" si="322"/>
        <v>202601</v>
      </c>
      <c r="AW1367" s="14">
        <f t="shared" si="323"/>
        <v>1102026</v>
      </c>
      <c r="AX1367" s="13" t="s">
        <v>1127</v>
      </c>
      <c r="AY1367" s="13">
        <f t="shared" si="324"/>
        <v>1</v>
      </c>
      <c r="AZ1367" s="13" t="s">
        <v>1148</v>
      </c>
      <c r="BA1367" s="14">
        <f t="shared" si="325"/>
        <v>3</v>
      </c>
      <c r="BB1367" s="14" t="str">
        <f t="shared" si="326"/>
        <v>雷震子魂珠-1 等级-3</v>
      </c>
      <c r="BC1367" s="25" t="s">
        <v>44</v>
      </c>
      <c r="BD1367" s="14">
        <f t="shared" si="327"/>
        <v>96</v>
      </c>
      <c r="BE1367" s="14">
        <f>SUMIFS(BD$4:BD1367,$AU$4:$AU1367,"="&amp;$AU1367,$AY$4:$AY1367,"="&amp;$AY1367)</f>
        <v>216</v>
      </c>
      <c r="BF1367" s="25" t="s">
        <v>1157</v>
      </c>
      <c r="BG1367" s="14">
        <f t="shared" si="328"/>
        <v>36</v>
      </c>
      <c r="BH1367" s="14">
        <f>SUMIFS(BG$4:BG1367,AU$4:AU1367,"="&amp;AU1367,AY$4:AY1367,"="&amp;AY1367)</f>
        <v>81</v>
      </c>
      <c r="BI1367" s="25" t="s">
        <v>1158</v>
      </c>
      <c r="BJ1367" s="14">
        <f t="shared" si="329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1"/>
        <v>18</v>
      </c>
      <c r="AV1368" s="14">
        <f t="shared" si="322"/>
        <v>202601</v>
      </c>
      <c r="AW1368" s="14">
        <f t="shared" si="323"/>
        <v>1102026</v>
      </c>
      <c r="AX1368" s="13" t="s">
        <v>1127</v>
      </c>
      <c r="AY1368" s="13">
        <f t="shared" si="324"/>
        <v>1</v>
      </c>
      <c r="AZ1368" s="13" t="s">
        <v>1148</v>
      </c>
      <c r="BA1368" s="14">
        <f t="shared" si="325"/>
        <v>4</v>
      </c>
      <c r="BB1368" s="14" t="str">
        <f t="shared" si="326"/>
        <v>雷震子魂珠-1 等级-4</v>
      </c>
      <c r="BC1368" s="25" t="s">
        <v>44</v>
      </c>
      <c r="BD1368" s="14">
        <f t="shared" si="327"/>
        <v>144</v>
      </c>
      <c r="BE1368" s="14">
        <f>SUMIFS(BD$4:BD1368,$AU$4:$AU1368,"="&amp;$AU1368,$AY$4:$AY1368,"="&amp;$AY1368)</f>
        <v>360</v>
      </c>
      <c r="BF1368" s="25" t="s">
        <v>1157</v>
      </c>
      <c r="BG1368" s="14">
        <f t="shared" si="328"/>
        <v>54</v>
      </c>
      <c r="BH1368" s="14">
        <f>SUMIFS(BG$4:BG1368,AU$4:AU1368,"="&amp;AU1368,AY$4:AY1368,"="&amp;AY1368)</f>
        <v>135</v>
      </c>
      <c r="BI1368" s="25" t="s">
        <v>1158</v>
      </c>
      <c r="BJ1368" s="14">
        <f t="shared" si="329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1"/>
        <v>18</v>
      </c>
      <c r="AV1369" s="14">
        <f t="shared" si="322"/>
        <v>202601</v>
      </c>
      <c r="AW1369" s="14">
        <f t="shared" si="323"/>
        <v>1102026</v>
      </c>
      <c r="AX1369" s="13" t="s">
        <v>1127</v>
      </c>
      <c r="AY1369" s="13">
        <f t="shared" si="324"/>
        <v>1</v>
      </c>
      <c r="AZ1369" s="13" t="s">
        <v>1148</v>
      </c>
      <c r="BA1369" s="14">
        <f t="shared" si="325"/>
        <v>5</v>
      </c>
      <c r="BB1369" s="14" t="str">
        <f t="shared" si="326"/>
        <v>雷震子魂珠-1 等级-5</v>
      </c>
      <c r="BC1369" s="25" t="s">
        <v>44</v>
      </c>
      <c r="BD1369" s="14">
        <f t="shared" si="327"/>
        <v>192</v>
      </c>
      <c r="BE1369" s="14">
        <f>SUMIFS(BD$4:BD1369,$AU$4:$AU1369,"="&amp;$AU1369,$AY$4:$AY1369,"="&amp;$AY1369)</f>
        <v>552</v>
      </c>
      <c r="BF1369" s="25" t="s">
        <v>1157</v>
      </c>
      <c r="BG1369" s="14">
        <f t="shared" si="328"/>
        <v>72</v>
      </c>
      <c r="BH1369" s="14">
        <f>SUMIFS(BG$4:BG1369,AU$4:AU1369,"="&amp;AU1369,AY$4:AY1369,"="&amp;AY1369)</f>
        <v>207</v>
      </c>
      <c r="BI1369" s="25" t="s">
        <v>1158</v>
      </c>
      <c r="BJ1369" s="14">
        <f t="shared" si="329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1"/>
        <v>18</v>
      </c>
      <c r="AV1370" s="14">
        <f t="shared" si="322"/>
        <v>202601</v>
      </c>
      <c r="AW1370" s="14">
        <f t="shared" si="323"/>
        <v>1102026</v>
      </c>
      <c r="AX1370" s="13" t="s">
        <v>1127</v>
      </c>
      <c r="AY1370" s="13">
        <f t="shared" si="324"/>
        <v>1</v>
      </c>
      <c r="AZ1370" s="13" t="s">
        <v>1148</v>
      </c>
      <c r="BA1370" s="14">
        <f t="shared" si="325"/>
        <v>6</v>
      </c>
      <c r="BB1370" s="14" t="str">
        <f t="shared" si="326"/>
        <v>雷震子魂珠-1 等级-6</v>
      </c>
      <c r="BC1370" s="25" t="s">
        <v>44</v>
      </c>
      <c r="BD1370" s="14">
        <f t="shared" si="327"/>
        <v>240</v>
      </c>
      <c r="BE1370" s="14">
        <f>SUMIFS(BD$4:BD1370,$AU$4:$AU1370,"="&amp;$AU1370,$AY$4:$AY1370,"="&amp;$AY1370)</f>
        <v>792</v>
      </c>
      <c r="BF1370" s="25" t="s">
        <v>1157</v>
      </c>
      <c r="BG1370" s="14">
        <f t="shared" si="328"/>
        <v>90</v>
      </c>
      <c r="BH1370" s="14">
        <f>SUMIFS(BG$4:BG1370,AU$4:AU1370,"="&amp;AU1370,AY$4:AY1370,"="&amp;AY1370)</f>
        <v>297</v>
      </c>
      <c r="BI1370" s="25" t="s">
        <v>1158</v>
      </c>
      <c r="BJ1370" s="14">
        <f t="shared" si="329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1"/>
        <v>18</v>
      </c>
      <c r="AV1371" s="14">
        <f t="shared" si="322"/>
        <v>202601</v>
      </c>
      <c r="AW1371" s="14">
        <f t="shared" si="323"/>
        <v>1102026</v>
      </c>
      <c r="AX1371" s="13" t="s">
        <v>1127</v>
      </c>
      <c r="AY1371" s="13">
        <f t="shared" si="324"/>
        <v>1</v>
      </c>
      <c r="AZ1371" s="13" t="s">
        <v>1148</v>
      </c>
      <c r="BA1371" s="14">
        <f t="shared" si="325"/>
        <v>7</v>
      </c>
      <c r="BB1371" s="14" t="str">
        <f t="shared" si="326"/>
        <v>雷震子魂珠-1 等级-7</v>
      </c>
      <c r="BC1371" s="25" t="s">
        <v>44</v>
      </c>
      <c r="BD1371" s="14">
        <f t="shared" si="327"/>
        <v>288</v>
      </c>
      <c r="BE1371" s="14">
        <f>SUMIFS(BD$4:BD1371,$AU$4:$AU1371,"="&amp;$AU1371,$AY$4:$AY1371,"="&amp;$AY1371)</f>
        <v>1080</v>
      </c>
      <c r="BF1371" s="25" t="s">
        <v>1157</v>
      </c>
      <c r="BG1371" s="14">
        <f t="shared" si="328"/>
        <v>108</v>
      </c>
      <c r="BH1371" s="14">
        <f>SUMIFS(BG$4:BG1371,AU$4:AU1371,"="&amp;AU1371,AY$4:AY1371,"="&amp;AY1371)</f>
        <v>405</v>
      </c>
      <c r="BI1371" s="25" t="s">
        <v>1158</v>
      </c>
      <c r="BJ1371" s="14">
        <f t="shared" si="329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1"/>
        <v>18</v>
      </c>
      <c r="AV1372" s="14">
        <f t="shared" si="322"/>
        <v>202601</v>
      </c>
      <c r="AW1372" s="14">
        <f t="shared" si="323"/>
        <v>1102026</v>
      </c>
      <c r="AX1372" s="13" t="s">
        <v>1127</v>
      </c>
      <c r="AY1372" s="13">
        <f t="shared" si="324"/>
        <v>1</v>
      </c>
      <c r="AZ1372" s="13" t="s">
        <v>1148</v>
      </c>
      <c r="BA1372" s="14">
        <f t="shared" si="325"/>
        <v>8</v>
      </c>
      <c r="BB1372" s="14" t="str">
        <f t="shared" si="326"/>
        <v>雷震子魂珠-1 等级-8</v>
      </c>
      <c r="BC1372" s="25" t="s">
        <v>44</v>
      </c>
      <c r="BD1372" s="14">
        <f t="shared" si="327"/>
        <v>336</v>
      </c>
      <c r="BE1372" s="14">
        <f>SUMIFS(BD$4:BD1372,$AU$4:$AU1372,"="&amp;$AU1372,$AY$4:$AY1372,"="&amp;$AY1372)</f>
        <v>1416</v>
      </c>
      <c r="BF1372" s="25" t="s">
        <v>1157</v>
      </c>
      <c r="BG1372" s="14">
        <f t="shared" si="328"/>
        <v>126</v>
      </c>
      <c r="BH1372" s="14">
        <f>SUMIFS(BG$4:BG1372,AU$4:AU1372,"="&amp;AU1372,AY$4:AY1372,"="&amp;AY1372)</f>
        <v>531</v>
      </c>
      <c r="BI1372" s="25" t="s">
        <v>1158</v>
      </c>
      <c r="BJ1372" s="14">
        <f t="shared" si="329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1"/>
        <v>18</v>
      </c>
      <c r="AV1373" s="14">
        <f t="shared" si="322"/>
        <v>202601</v>
      </c>
      <c r="AW1373" s="14">
        <f t="shared" si="323"/>
        <v>1102026</v>
      </c>
      <c r="AX1373" s="13" t="s">
        <v>1127</v>
      </c>
      <c r="AY1373" s="13">
        <f t="shared" si="324"/>
        <v>1</v>
      </c>
      <c r="AZ1373" s="13" t="s">
        <v>1148</v>
      </c>
      <c r="BA1373" s="14">
        <f t="shared" si="325"/>
        <v>9</v>
      </c>
      <c r="BB1373" s="14" t="str">
        <f t="shared" si="326"/>
        <v>雷震子魂珠-1 等级-9</v>
      </c>
      <c r="BC1373" s="25" t="s">
        <v>44</v>
      </c>
      <c r="BD1373" s="14">
        <f t="shared" si="327"/>
        <v>384</v>
      </c>
      <c r="BE1373" s="14">
        <f>SUMIFS(BD$4:BD1373,$AU$4:$AU1373,"="&amp;$AU1373,$AY$4:$AY1373,"="&amp;$AY1373)</f>
        <v>1800</v>
      </c>
      <c r="BF1373" s="25" t="s">
        <v>1157</v>
      </c>
      <c r="BG1373" s="14">
        <f t="shared" si="328"/>
        <v>144</v>
      </c>
      <c r="BH1373" s="14">
        <f>SUMIFS(BG$4:BG1373,AU$4:AU1373,"="&amp;AU1373,AY$4:AY1373,"="&amp;AY1373)</f>
        <v>675</v>
      </c>
      <c r="BI1373" s="25" t="s">
        <v>1158</v>
      </c>
      <c r="BJ1373" s="14">
        <f t="shared" si="329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1"/>
        <v>18</v>
      </c>
      <c r="AV1374" s="14">
        <f t="shared" si="322"/>
        <v>202602</v>
      </c>
      <c r="AW1374" s="14">
        <f t="shared" si="323"/>
        <v>1102026</v>
      </c>
      <c r="AX1374" s="13" t="s">
        <v>1127</v>
      </c>
      <c r="AY1374" s="13">
        <f t="shared" si="324"/>
        <v>2</v>
      </c>
      <c r="AZ1374" s="13" t="s">
        <v>1148</v>
      </c>
      <c r="BA1374" s="14">
        <f t="shared" si="325"/>
        <v>0</v>
      </c>
      <c r="BB1374" s="14" t="str">
        <f t="shared" si="326"/>
        <v>雷震子魂珠-2 等级-0</v>
      </c>
      <c r="BC1374" s="25" t="s">
        <v>44</v>
      </c>
      <c r="BD1374" s="14">
        <f t="shared" si="327"/>
        <v>0</v>
      </c>
      <c r="BE1374" s="14">
        <f>SUMIFS(BD$4:BD1374,$AU$4:$AU1374,"="&amp;$AU1374,$AY$4:$AY1374,"="&amp;$AY1374)</f>
        <v>0</v>
      </c>
      <c r="BF1374" s="25" t="s">
        <v>1157</v>
      </c>
      <c r="BG1374" s="14">
        <f t="shared" si="328"/>
        <v>0</v>
      </c>
      <c r="BH1374" s="14">
        <f>SUMIFS(BG$4:BG1374,AU$4:AU1374,"="&amp;AU1374,AY$4:AY1374,"="&amp;AY1374)</f>
        <v>0</v>
      </c>
      <c r="BI1374" s="25" t="s">
        <v>1158</v>
      </c>
      <c r="BJ1374" s="14">
        <f t="shared" si="329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1"/>
        <v>18</v>
      </c>
      <c r="AV1375" s="14">
        <f t="shared" si="322"/>
        <v>202602</v>
      </c>
      <c r="AW1375" s="14">
        <f t="shared" si="323"/>
        <v>1102026</v>
      </c>
      <c r="AX1375" s="13" t="s">
        <v>1127</v>
      </c>
      <c r="AY1375" s="13">
        <f t="shared" si="324"/>
        <v>2</v>
      </c>
      <c r="AZ1375" s="13" t="s">
        <v>1148</v>
      </c>
      <c r="BA1375" s="14">
        <f t="shared" si="325"/>
        <v>1</v>
      </c>
      <c r="BB1375" s="14" t="str">
        <f t="shared" si="326"/>
        <v>雷震子魂珠-2 等级-1</v>
      </c>
      <c r="BC1375" s="25" t="s">
        <v>44</v>
      </c>
      <c r="BD1375" s="14">
        <f t="shared" si="327"/>
        <v>60</v>
      </c>
      <c r="BE1375" s="14">
        <f>SUMIFS(BD$4:BD1375,$AU$4:$AU1375,"="&amp;$AU1375,$AY$4:$AY1375,"="&amp;$AY1375)</f>
        <v>60</v>
      </c>
      <c r="BF1375" s="25" t="s">
        <v>1157</v>
      </c>
      <c r="BG1375" s="14">
        <f t="shared" si="328"/>
        <v>23</v>
      </c>
      <c r="BH1375" s="14">
        <f>SUMIFS(BG$4:BG1375,AU$4:AU1375,"="&amp;AU1375,AY$4:AY1375,"="&amp;AY1375)</f>
        <v>23</v>
      </c>
      <c r="BI1375" s="25" t="s">
        <v>1158</v>
      </c>
      <c r="BJ1375" s="14">
        <f t="shared" si="329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1"/>
        <v>18</v>
      </c>
      <c r="AV1376" s="14">
        <f t="shared" si="322"/>
        <v>202602</v>
      </c>
      <c r="AW1376" s="14">
        <f t="shared" si="323"/>
        <v>1102026</v>
      </c>
      <c r="AX1376" s="13" t="s">
        <v>1127</v>
      </c>
      <c r="AY1376" s="13">
        <f t="shared" si="324"/>
        <v>2</v>
      </c>
      <c r="AZ1376" s="13" t="s">
        <v>1148</v>
      </c>
      <c r="BA1376" s="14">
        <f t="shared" si="325"/>
        <v>2</v>
      </c>
      <c r="BB1376" s="14" t="str">
        <f t="shared" si="326"/>
        <v>雷震子魂珠-2 等级-2</v>
      </c>
      <c r="BC1376" s="25" t="s">
        <v>44</v>
      </c>
      <c r="BD1376" s="14">
        <f t="shared" si="327"/>
        <v>96</v>
      </c>
      <c r="BE1376" s="14">
        <f>SUMIFS(BD$4:BD1376,$AU$4:$AU1376,"="&amp;$AU1376,$AY$4:$AY1376,"="&amp;$AY1376)</f>
        <v>156</v>
      </c>
      <c r="BF1376" s="25" t="s">
        <v>1157</v>
      </c>
      <c r="BG1376" s="14">
        <f t="shared" si="328"/>
        <v>36</v>
      </c>
      <c r="BH1376" s="14">
        <f>SUMIFS(BG$4:BG1376,AU$4:AU1376,"="&amp;AU1376,AY$4:AY1376,"="&amp;AY1376)</f>
        <v>59</v>
      </c>
      <c r="BI1376" s="25" t="s">
        <v>1158</v>
      </c>
      <c r="BJ1376" s="14">
        <f t="shared" si="329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1"/>
        <v>18</v>
      </c>
      <c r="AV1377" s="14">
        <f t="shared" si="322"/>
        <v>202602</v>
      </c>
      <c r="AW1377" s="14">
        <f t="shared" si="323"/>
        <v>1102026</v>
      </c>
      <c r="AX1377" s="13" t="s">
        <v>1127</v>
      </c>
      <c r="AY1377" s="13">
        <f t="shared" si="324"/>
        <v>2</v>
      </c>
      <c r="AZ1377" s="13" t="s">
        <v>1148</v>
      </c>
      <c r="BA1377" s="14">
        <f t="shared" si="325"/>
        <v>3</v>
      </c>
      <c r="BB1377" s="14" t="str">
        <f t="shared" si="326"/>
        <v>雷震子魂珠-2 等级-3</v>
      </c>
      <c r="BC1377" s="25" t="s">
        <v>44</v>
      </c>
      <c r="BD1377" s="14">
        <f t="shared" si="327"/>
        <v>120</v>
      </c>
      <c r="BE1377" s="14">
        <f>SUMIFS(BD$4:BD1377,$AU$4:$AU1377,"="&amp;$AU1377,$AY$4:$AY1377,"="&amp;$AY1377)</f>
        <v>276</v>
      </c>
      <c r="BF1377" s="25" t="s">
        <v>1157</v>
      </c>
      <c r="BG1377" s="14">
        <f t="shared" si="328"/>
        <v>45</v>
      </c>
      <c r="BH1377" s="14">
        <f>SUMIFS(BG$4:BG1377,AU$4:AU1377,"="&amp;AU1377,AY$4:AY1377,"="&amp;AY1377)</f>
        <v>104</v>
      </c>
      <c r="BI1377" s="25" t="s">
        <v>1158</v>
      </c>
      <c r="BJ1377" s="14">
        <f t="shared" si="329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1"/>
        <v>18</v>
      </c>
      <c r="AV1378" s="14">
        <f t="shared" si="322"/>
        <v>202602</v>
      </c>
      <c r="AW1378" s="14">
        <f t="shared" si="323"/>
        <v>1102026</v>
      </c>
      <c r="AX1378" s="13" t="s">
        <v>1127</v>
      </c>
      <c r="AY1378" s="13">
        <f t="shared" si="324"/>
        <v>2</v>
      </c>
      <c r="AZ1378" s="13" t="s">
        <v>1148</v>
      </c>
      <c r="BA1378" s="14">
        <f t="shared" si="325"/>
        <v>4</v>
      </c>
      <c r="BB1378" s="14" t="str">
        <f t="shared" si="326"/>
        <v>雷震子魂珠-2 等级-4</v>
      </c>
      <c r="BC1378" s="25" t="s">
        <v>44</v>
      </c>
      <c r="BD1378" s="14">
        <f t="shared" si="327"/>
        <v>192</v>
      </c>
      <c r="BE1378" s="14">
        <f>SUMIFS(BD$4:BD1378,$AU$4:$AU1378,"="&amp;$AU1378,$AY$4:$AY1378,"="&amp;$AY1378)</f>
        <v>468</v>
      </c>
      <c r="BF1378" s="25" t="s">
        <v>1157</v>
      </c>
      <c r="BG1378" s="14">
        <f t="shared" si="328"/>
        <v>72</v>
      </c>
      <c r="BH1378" s="14">
        <f>SUMIFS(BG$4:BG1378,AU$4:AU1378,"="&amp;AU1378,AY$4:AY1378,"="&amp;AY1378)</f>
        <v>176</v>
      </c>
      <c r="BI1378" s="25" t="s">
        <v>1158</v>
      </c>
      <c r="BJ1378" s="14">
        <f t="shared" si="329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1"/>
        <v>18</v>
      </c>
      <c r="AV1379" s="14">
        <f t="shared" si="322"/>
        <v>202602</v>
      </c>
      <c r="AW1379" s="14">
        <f t="shared" si="323"/>
        <v>1102026</v>
      </c>
      <c r="AX1379" s="13" t="s">
        <v>1127</v>
      </c>
      <c r="AY1379" s="13">
        <f t="shared" si="324"/>
        <v>2</v>
      </c>
      <c r="AZ1379" s="13" t="s">
        <v>1148</v>
      </c>
      <c r="BA1379" s="14">
        <f t="shared" si="325"/>
        <v>5</v>
      </c>
      <c r="BB1379" s="14" t="str">
        <f t="shared" si="326"/>
        <v>雷震子魂珠-2 等级-5</v>
      </c>
      <c r="BC1379" s="25" t="s">
        <v>44</v>
      </c>
      <c r="BD1379" s="14">
        <f t="shared" si="327"/>
        <v>264</v>
      </c>
      <c r="BE1379" s="14">
        <f>SUMIFS(BD$4:BD1379,$AU$4:$AU1379,"="&amp;$AU1379,$AY$4:$AY1379,"="&amp;$AY1379)</f>
        <v>732</v>
      </c>
      <c r="BF1379" s="25" t="s">
        <v>1157</v>
      </c>
      <c r="BG1379" s="14">
        <f t="shared" si="328"/>
        <v>99</v>
      </c>
      <c r="BH1379" s="14">
        <f>SUMIFS(BG$4:BG1379,AU$4:AU1379,"="&amp;AU1379,AY$4:AY1379,"="&amp;AY1379)</f>
        <v>275</v>
      </c>
      <c r="BI1379" s="25" t="s">
        <v>1158</v>
      </c>
      <c r="BJ1379" s="14">
        <f t="shared" si="329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1"/>
        <v>18</v>
      </c>
      <c r="AV1380" s="14">
        <f t="shared" si="322"/>
        <v>202602</v>
      </c>
      <c r="AW1380" s="14">
        <f t="shared" si="323"/>
        <v>1102026</v>
      </c>
      <c r="AX1380" s="13" t="s">
        <v>1127</v>
      </c>
      <c r="AY1380" s="13">
        <f t="shared" si="324"/>
        <v>2</v>
      </c>
      <c r="AZ1380" s="13" t="s">
        <v>1148</v>
      </c>
      <c r="BA1380" s="14">
        <f t="shared" si="325"/>
        <v>6</v>
      </c>
      <c r="BB1380" s="14" t="str">
        <f t="shared" si="326"/>
        <v>雷震子魂珠-2 等级-6</v>
      </c>
      <c r="BC1380" s="25" t="s">
        <v>44</v>
      </c>
      <c r="BD1380" s="14">
        <f t="shared" si="327"/>
        <v>336</v>
      </c>
      <c r="BE1380" s="14">
        <f>SUMIFS(BD$4:BD1380,$AU$4:$AU1380,"="&amp;$AU1380,$AY$4:$AY1380,"="&amp;$AY1380)</f>
        <v>1068</v>
      </c>
      <c r="BF1380" s="25" t="s">
        <v>1157</v>
      </c>
      <c r="BG1380" s="14">
        <f t="shared" si="328"/>
        <v>126</v>
      </c>
      <c r="BH1380" s="14">
        <f>SUMIFS(BG$4:BG1380,AU$4:AU1380,"="&amp;AU1380,AY$4:AY1380,"="&amp;AY1380)</f>
        <v>401</v>
      </c>
      <c r="BI1380" s="25" t="s">
        <v>1158</v>
      </c>
      <c r="BJ1380" s="14">
        <f t="shared" si="329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1"/>
        <v>18</v>
      </c>
      <c r="AV1381" s="14">
        <f t="shared" si="322"/>
        <v>202602</v>
      </c>
      <c r="AW1381" s="14">
        <f t="shared" si="323"/>
        <v>1102026</v>
      </c>
      <c r="AX1381" s="13" t="s">
        <v>1127</v>
      </c>
      <c r="AY1381" s="13">
        <f t="shared" si="324"/>
        <v>2</v>
      </c>
      <c r="AZ1381" s="13" t="s">
        <v>1148</v>
      </c>
      <c r="BA1381" s="14">
        <f t="shared" si="325"/>
        <v>7</v>
      </c>
      <c r="BB1381" s="14" t="str">
        <f t="shared" si="326"/>
        <v>雷震子魂珠-2 等级-7</v>
      </c>
      <c r="BC1381" s="25" t="s">
        <v>44</v>
      </c>
      <c r="BD1381" s="14">
        <f t="shared" si="327"/>
        <v>384</v>
      </c>
      <c r="BE1381" s="14">
        <f>SUMIFS(BD$4:BD1381,$AU$4:$AU1381,"="&amp;$AU1381,$AY$4:$AY1381,"="&amp;$AY1381)</f>
        <v>1452</v>
      </c>
      <c r="BF1381" s="25" t="s">
        <v>1157</v>
      </c>
      <c r="BG1381" s="14">
        <f t="shared" si="328"/>
        <v>144</v>
      </c>
      <c r="BH1381" s="14">
        <f>SUMIFS(BG$4:BG1381,AU$4:AU1381,"="&amp;AU1381,AY$4:AY1381,"="&amp;AY1381)</f>
        <v>545</v>
      </c>
      <c r="BI1381" s="25" t="s">
        <v>1158</v>
      </c>
      <c r="BJ1381" s="14">
        <f t="shared" si="329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1"/>
        <v>18</v>
      </c>
      <c r="AV1382" s="14">
        <f t="shared" si="322"/>
        <v>202602</v>
      </c>
      <c r="AW1382" s="14">
        <f t="shared" si="323"/>
        <v>1102026</v>
      </c>
      <c r="AX1382" s="13" t="s">
        <v>1127</v>
      </c>
      <c r="AY1382" s="13">
        <f t="shared" si="324"/>
        <v>2</v>
      </c>
      <c r="AZ1382" s="13" t="s">
        <v>1148</v>
      </c>
      <c r="BA1382" s="14">
        <f t="shared" si="325"/>
        <v>8</v>
      </c>
      <c r="BB1382" s="14" t="str">
        <f t="shared" si="326"/>
        <v>雷震子魂珠-2 等级-8</v>
      </c>
      <c r="BC1382" s="25" t="s">
        <v>44</v>
      </c>
      <c r="BD1382" s="14">
        <f t="shared" si="327"/>
        <v>456</v>
      </c>
      <c r="BE1382" s="14">
        <f>SUMIFS(BD$4:BD1382,$AU$4:$AU1382,"="&amp;$AU1382,$AY$4:$AY1382,"="&amp;$AY1382)</f>
        <v>1908</v>
      </c>
      <c r="BF1382" s="25" t="s">
        <v>1157</v>
      </c>
      <c r="BG1382" s="14">
        <f t="shared" si="328"/>
        <v>171</v>
      </c>
      <c r="BH1382" s="14">
        <f>SUMIFS(BG$4:BG1382,AU$4:AU1382,"="&amp;AU1382,AY$4:AY1382,"="&amp;AY1382)</f>
        <v>716</v>
      </c>
      <c r="BI1382" s="25" t="s">
        <v>1158</v>
      </c>
      <c r="BJ1382" s="14">
        <f t="shared" si="329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1"/>
        <v>18</v>
      </c>
      <c r="AV1383" s="14">
        <f t="shared" si="322"/>
        <v>202602</v>
      </c>
      <c r="AW1383" s="14">
        <f t="shared" si="323"/>
        <v>1102026</v>
      </c>
      <c r="AX1383" s="13" t="s">
        <v>1127</v>
      </c>
      <c r="AY1383" s="13">
        <f t="shared" si="324"/>
        <v>2</v>
      </c>
      <c r="AZ1383" s="13" t="s">
        <v>1148</v>
      </c>
      <c r="BA1383" s="14">
        <f t="shared" si="325"/>
        <v>9</v>
      </c>
      <c r="BB1383" s="14" t="str">
        <f t="shared" si="326"/>
        <v>雷震子魂珠-2 等级-9</v>
      </c>
      <c r="BC1383" s="25" t="s">
        <v>44</v>
      </c>
      <c r="BD1383" s="14">
        <f t="shared" si="327"/>
        <v>540</v>
      </c>
      <c r="BE1383" s="14">
        <f>SUMIFS(BD$4:BD1383,$AU$4:$AU1383,"="&amp;$AU1383,$AY$4:$AY1383,"="&amp;$AY1383)</f>
        <v>2448</v>
      </c>
      <c r="BF1383" s="25" t="s">
        <v>1157</v>
      </c>
      <c r="BG1383" s="14">
        <f t="shared" si="328"/>
        <v>203</v>
      </c>
      <c r="BH1383" s="14">
        <f>SUMIFS(BG$4:BG1383,AU$4:AU1383,"="&amp;AU1383,AY$4:AY1383,"="&amp;AY1383)</f>
        <v>919</v>
      </c>
      <c r="BI1383" s="25" t="s">
        <v>1158</v>
      </c>
      <c r="BJ1383" s="14">
        <f t="shared" si="329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1"/>
        <v>18</v>
      </c>
      <c r="AV1384" s="14">
        <f t="shared" si="322"/>
        <v>202603</v>
      </c>
      <c r="AW1384" s="14">
        <f t="shared" si="323"/>
        <v>1102026</v>
      </c>
      <c r="AX1384" s="13" t="s">
        <v>1127</v>
      </c>
      <c r="AY1384" s="13">
        <f t="shared" si="324"/>
        <v>3</v>
      </c>
      <c r="AZ1384" s="13" t="s">
        <v>1148</v>
      </c>
      <c r="BA1384" s="14">
        <f t="shared" si="325"/>
        <v>0</v>
      </c>
      <c r="BB1384" s="14" t="str">
        <f t="shared" si="326"/>
        <v>雷震子魂珠-3 等级-0</v>
      </c>
      <c r="BC1384" s="25" t="s">
        <v>44</v>
      </c>
      <c r="BD1384" s="14">
        <f t="shared" si="327"/>
        <v>0</v>
      </c>
      <c r="BE1384" s="14">
        <f>SUMIFS(BD$4:BD1384,$AU$4:$AU1384,"="&amp;$AU1384,$AY$4:$AY1384,"="&amp;$AY1384)</f>
        <v>0</v>
      </c>
      <c r="BF1384" s="25" t="s">
        <v>1157</v>
      </c>
      <c r="BG1384" s="14">
        <f t="shared" si="328"/>
        <v>0</v>
      </c>
      <c r="BH1384" s="14">
        <f>SUMIFS(BG$4:BG1384,AU$4:AU1384,"="&amp;AU1384,AY$4:AY1384,"="&amp;AY1384)</f>
        <v>0</v>
      </c>
      <c r="BI1384" s="25" t="s">
        <v>1158</v>
      </c>
      <c r="BJ1384" s="14">
        <f t="shared" si="329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1"/>
        <v>18</v>
      </c>
      <c r="AV1385" s="14">
        <f t="shared" si="322"/>
        <v>202603</v>
      </c>
      <c r="AW1385" s="14">
        <f t="shared" si="323"/>
        <v>1102026</v>
      </c>
      <c r="AX1385" s="13" t="s">
        <v>1127</v>
      </c>
      <c r="AY1385" s="13">
        <f t="shared" si="324"/>
        <v>3</v>
      </c>
      <c r="AZ1385" s="13" t="s">
        <v>1148</v>
      </c>
      <c r="BA1385" s="14">
        <f t="shared" si="325"/>
        <v>1</v>
      </c>
      <c r="BB1385" s="14" t="str">
        <f t="shared" si="326"/>
        <v>雷震子魂珠-3 等级-1</v>
      </c>
      <c r="BC1385" s="25" t="s">
        <v>44</v>
      </c>
      <c r="BD1385" s="14">
        <f t="shared" si="327"/>
        <v>96</v>
      </c>
      <c r="BE1385" s="14">
        <f>SUMIFS(BD$4:BD1385,$AU$4:$AU1385,"="&amp;$AU1385,$AY$4:$AY1385,"="&amp;$AY1385)</f>
        <v>96</v>
      </c>
      <c r="BF1385" s="25" t="s">
        <v>1157</v>
      </c>
      <c r="BG1385" s="14">
        <f t="shared" si="328"/>
        <v>36</v>
      </c>
      <c r="BH1385" s="14">
        <f>SUMIFS(BG$4:BG1385,AU$4:AU1385,"="&amp;AU1385,AY$4:AY1385,"="&amp;AY1385)</f>
        <v>36</v>
      </c>
      <c r="BI1385" s="25" t="s">
        <v>1158</v>
      </c>
      <c r="BJ1385" s="14">
        <f t="shared" si="329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1"/>
        <v>18</v>
      </c>
      <c r="AV1386" s="14">
        <f t="shared" si="322"/>
        <v>202603</v>
      </c>
      <c r="AW1386" s="14">
        <f t="shared" si="323"/>
        <v>1102026</v>
      </c>
      <c r="AX1386" s="13" t="s">
        <v>1127</v>
      </c>
      <c r="AY1386" s="13">
        <f t="shared" si="324"/>
        <v>3</v>
      </c>
      <c r="AZ1386" s="13" t="s">
        <v>1148</v>
      </c>
      <c r="BA1386" s="14">
        <f t="shared" si="325"/>
        <v>2</v>
      </c>
      <c r="BB1386" s="14" t="str">
        <f t="shared" si="326"/>
        <v>雷震子魂珠-3 等级-2</v>
      </c>
      <c r="BC1386" s="25" t="s">
        <v>44</v>
      </c>
      <c r="BD1386" s="14">
        <f t="shared" si="327"/>
        <v>144</v>
      </c>
      <c r="BE1386" s="14">
        <f>SUMIFS(BD$4:BD1386,$AU$4:$AU1386,"="&amp;$AU1386,$AY$4:$AY1386,"="&amp;$AY1386)</f>
        <v>240</v>
      </c>
      <c r="BF1386" s="25" t="s">
        <v>1157</v>
      </c>
      <c r="BG1386" s="14">
        <f t="shared" si="328"/>
        <v>54</v>
      </c>
      <c r="BH1386" s="14">
        <f>SUMIFS(BG$4:BG1386,AU$4:AU1386,"="&amp;AU1386,AY$4:AY1386,"="&amp;AY1386)</f>
        <v>90</v>
      </c>
      <c r="BI1386" s="25" t="s">
        <v>1158</v>
      </c>
      <c r="BJ1386" s="14">
        <f t="shared" si="329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1"/>
        <v>18</v>
      </c>
      <c r="AV1387" s="14">
        <f t="shared" si="322"/>
        <v>202603</v>
      </c>
      <c r="AW1387" s="14">
        <f t="shared" si="323"/>
        <v>1102026</v>
      </c>
      <c r="AX1387" s="13" t="s">
        <v>1127</v>
      </c>
      <c r="AY1387" s="13">
        <f t="shared" si="324"/>
        <v>3</v>
      </c>
      <c r="AZ1387" s="13" t="s">
        <v>1148</v>
      </c>
      <c r="BA1387" s="14">
        <f t="shared" si="325"/>
        <v>3</v>
      </c>
      <c r="BB1387" s="14" t="str">
        <f t="shared" si="326"/>
        <v>雷震子魂珠-3 等级-3</v>
      </c>
      <c r="BC1387" s="25" t="s">
        <v>44</v>
      </c>
      <c r="BD1387" s="14">
        <f t="shared" si="327"/>
        <v>192</v>
      </c>
      <c r="BE1387" s="14">
        <f>SUMIFS(BD$4:BD1387,$AU$4:$AU1387,"="&amp;$AU1387,$AY$4:$AY1387,"="&amp;$AY1387)</f>
        <v>432</v>
      </c>
      <c r="BF1387" s="25" t="s">
        <v>1157</v>
      </c>
      <c r="BG1387" s="14">
        <f t="shared" si="328"/>
        <v>72</v>
      </c>
      <c r="BH1387" s="14">
        <f>SUMIFS(BG$4:BG1387,AU$4:AU1387,"="&amp;AU1387,AY$4:AY1387,"="&amp;AY1387)</f>
        <v>162</v>
      </c>
      <c r="BI1387" s="25" t="s">
        <v>1158</v>
      </c>
      <c r="BJ1387" s="14">
        <f t="shared" si="329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1"/>
        <v>18</v>
      </c>
      <c r="AV1388" s="14">
        <f t="shared" si="322"/>
        <v>202603</v>
      </c>
      <c r="AW1388" s="14">
        <f t="shared" si="323"/>
        <v>1102026</v>
      </c>
      <c r="AX1388" s="13" t="s">
        <v>1127</v>
      </c>
      <c r="AY1388" s="13">
        <f t="shared" si="324"/>
        <v>3</v>
      </c>
      <c r="AZ1388" s="13" t="s">
        <v>1148</v>
      </c>
      <c r="BA1388" s="14">
        <f t="shared" si="325"/>
        <v>4</v>
      </c>
      <c r="BB1388" s="14" t="str">
        <f t="shared" si="326"/>
        <v>雷震子魂珠-3 等级-4</v>
      </c>
      <c r="BC1388" s="25" t="s">
        <v>44</v>
      </c>
      <c r="BD1388" s="14">
        <f t="shared" si="327"/>
        <v>288</v>
      </c>
      <c r="BE1388" s="14">
        <f>SUMIFS(BD$4:BD1388,$AU$4:$AU1388,"="&amp;$AU1388,$AY$4:$AY1388,"="&amp;$AY1388)</f>
        <v>720</v>
      </c>
      <c r="BF1388" s="25" t="s">
        <v>1157</v>
      </c>
      <c r="BG1388" s="14">
        <f t="shared" si="328"/>
        <v>108</v>
      </c>
      <c r="BH1388" s="14">
        <f>SUMIFS(BG$4:BG1388,AU$4:AU1388,"="&amp;AU1388,AY$4:AY1388,"="&amp;AY1388)</f>
        <v>270</v>
      </c>
      <c r="BI1388" s="25" t="s">
        <v>1158</v>
      </c>
      <c r="BJ1388" s="14">
        <f t="shared" si="329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1"/>
        <v>18</v>
      </c>
      <c r="AV1389" s="14">
        <f t="shared" si="322"/>
        <v>202603</v>
      </c>
      <c r="AW1389" s="14">
        <f t="shared" si="323"/>
        <v>1102026</v>
      </c>
      <c r="AX1389" s="13" t="s">
        <v>1127</v>
      </c>
      <c r="AY1389" s="13">
        <f t="shared" si="324"/>
        <v>3</v>
      </c>
      <c r="AZ1389" s="13" t="s">
        <v>1148</v>
      </c>
      <c r="BA1389" s="14">
        <f t="shared" si="325"/>
        <v>5</v>
      </c>
      <c r="BB1389" s="14" t="str">
        <f t="shared" si="326"/>
        <v>雷震子魂珠-3 等级-5</v>
      </c>
      <c r="BC1389" s="25" t="s">
        <v>44</v>
      </c>
      <c r="BD1389" s="14">
        <f t="shared" si="327"/>
        <v>384</v>
      </c>
      <c r="BE1389" s="14">
        <f>SUMIFS(BD$4:BD1389,$AU$4:$AU1389,"="&amp;$AU1389,$AY$4:$AY1389,"="&amp;$AY1389)</f>
        <v>1104</v>
      </c>
      <c r="BF1389" s="25" t="s">
        <v>1157</v>
      </c>
      <c r="BG1389" s="14">
        <f t="shared" si="328"/>
        <v>144</v>
      </c>
      <c r="BH1389" s="14">
        <f>SUMIFS(BG$4:BG1389,AU$4:AU1389,"="&amp;AU1389,AY$4:AY1389,"="&amp;AY1389)</f>
        <v>414</v>
      </c>
      <c r="BI1389" s="25" t="s">
        <v>1158</v>
      </c>
      <c r="BJ1389" s="14">
        <f t="shared" si="329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1"/>
        <v>18</v>
      </c>
      <c r="AV1390" s="14">
        <f t="shared" si="322"/>
        <v>202603</v>
      </c>
      <c r="AW1390" s="14">
        <f t="shared" si="323"/>
        <v>1102026</v>
      </c>
      <c r="AX1390" s="13" t="s">
        <v>1127</v>
      </c>
      <c r="AY1390" s="13">
        <f t="shared" si="324"/>
        <v>3</v>
      </c>
      <c r="AZ1390" s="13" t="s">
        <v>1148</v>
      </c>
      <c r="BA1390" s="14">
        <f t="shared" si="325"/>
        <v>6</v>
      </c>
      <c r="BB1390" s="14" t="str">
        <f t="shared" si="326"/>
        <v>雷震子魂珠-3 等级-6</v>
      </c>
      <c r="BC1390" s="25" t="s">
        <v>44</v>
      </c>
      <c r="BD1390" s="14">
        <f t="shared" si="327"/>
        <v>480</v>
      </c>
      <c r="BE1390" s="14">
        <f>SUMIFS(BD$4:BD1390,$AU$4:$AU1390,"="&amp;$AU1390,$AY$4:$AY1390,"="&amp;$AY1390)</f>
        <v>1584</v>
      </c>
      <c r="BF1390" s="25" t="s">
        <v>1157</v>
      </c>
      <c r="BG1390" s="14">
        <f t="shared" si="328"/>
        <v>180</v>
      </c>
      <c r="BH1390" s="14">
        <f>SUMIFS(BG$4:BG1390,AU$4:AU1390,"="&amp;AU1390,AY$4:AY1390,"="&amp;AY1390)</f>
        <v>594</v>
      </c>
      <c r="BI1390" s="25" t="s">
        <v>1158</v>
      </c>
      <c r="BJ1390" s="14">
        <f t="shared" si="329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1"/>
        <v>18</v>
      </c>
      <c r="AV1391" s="14">
        <f t="shared" si="322"/>
        <v>202603</v>
      </c>
      <c r="AW1391" s="14">
        <f t="shared" si="323"/>
        <v>1102026</v>
      </c>
      <c r="AX1391" s="13" t="s">
        <v>1127</v>
      </c>
      <c r="AY1391" s="13">
        <f t="shared" si="324"/>
        <v>3</v>
      </c>
      <c r="AZ1391" s="13" t="s">
        <v>1148</v>
      </c>
      <c r="BA1391" s="14">
        <f t="shared" si="325"/>
        <v>7</v>
      </c>
      <c r="BB1391" s="14" t="str">
        <f t="shared" si="326"/>
        <v>雷震子魂珠-3 等级-7</v>
      </c>
      <c r="BC1391" s="25" t="s">
        <v>44</v>
      </c>
      <c r="BD1391" s="14">
        <f t="shared" si="327"/>
        <v>576</v>
      </c>
      <c r="BE1391" s="14">
        <f>SUMIFS(BD$4:BD1391,$AU$4:$AU1391,"="&amp;$AU1391,$AY$4:$AY1391,"="&amp;$AY1391)</f>
        <v>2160</v>
      </c>
      <c r="BF1391" s="25" t="s">
        <v>1157</v>
      </c>
      <c r="BG1391" s="14">
        <f t="shared" si="328"/>
        <v>216</v>
      </c>
      <c r="BH1391" s="14">
        <f>SUMIFS(BG$4:BG1391,AU$4:AU1391,"="&amp;AU1391,AY$4:AY1391,"="&amp;AY1391)</f>
        <v>810</v>
      </c>
      <c r="BI1391" s="25" t="s">
        <v>1158</v>
      </c>
      <c r="BJ1391" s="14">
        <f t="shared" si="329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1"/>
        <v>18</v>
      </c>
      <c r="AV1392" s="14">
        <f t="shared" si="322"/>
        <v>202603</v>
      </c>
      <c r="AW1392" s="14">
        <f t="shared" si="323"/>
        <v>1102026</v>
      </c>
      <c r="AX1392" s="13" t="s">
        <v>1127</v>
      </c>
      <c r="AY1392" s="13">
        <f t="shared" si="324"/>
        <v>3</v>
      </c>
      <c r="AZ1392" s="13" t="s">
        <v>1148</v>
      </c>
      <c r="BA1392" s="14">
        <f t="shared" si="325"/>
        <v>8</v>
      </c>
      <c r="BB1392" s="14" t="str">
        <f t="shared" si="326"/>
        <v>雷震子魂珠-3 等级-8</v>
      </c>
      <c r="BC1392" s="25" t="s">
        <v>44</v>
      </c>
      <c r="BD1392" s="14">
        <f t="shared" si="327"/>
        <v>672</v>
      </c>
      <c r="BE1392" s="14">
        <f>SUMIFS(BD$4:BD1392,$AU$4:$AU1392,"="&amp;$AU1392,$AY$4:$AY1392,"="&amp;$AY1392)</f>
        <v>2832</v>
      </c>
      <c r="BF1392" s="25" t="s">
        <v>1157</v>
      </c>
      <c r="BG1392" s="14">
        <f t="shared" si="328"/>
        <v>252</v>
      </c>
      <c r="BH1392" s="14">
        <f>SUMIFS(BG$4:BG1392,AU$4:AU1392,"="&amp;AU1392,AY$4:AY1392,"="&amp;AY1392)</f>
        <v>1062</v>
      </c>
      <c r="BI1392" s="25" t="s">
        <v>1158</v>
      </c>
      <c r="BJ1392" s="14">
        <f t="shared" si="329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1"/>
        <v>18</v>
      </c>
      <c r="AV1393" s="14">
        <f t="shared" si="322"/>
        <v>202603</v>
      </c>
      <c r="AW1393" s="14">
        <f t="shared" si="323"/>
        <v>1102026</v>
      </c>
      <c r="AX1393" s="13" t="s">
        <v>1127</v>
      </c>
      <c r="AY1393" s="13">
        <f t="shared" si="324"/>
        <v>3</v>
      </c>
      <c r="AZ1393" s="13" t="s">
        <v>1148</v>
      </c>
      <c r="BA1393" s="14">
        <f t="shared" si="325"/>
        <v>9</v>
      </c>
      <c r="BB1393" s="14" t="str">
        <f t="shared" si="326"/>
        <v>雷震子魂珠-3 等级-9</v>
      </c>
      <c r="BC1393" s="25" t="s">
        <v>44</v>
      </c>
      <c r="BD1393" s="14">
        <f t="shared" si="327"/>
        <v>768</v>
      </c>
      <c r="BE1393" s="14">
        <f>SUMIFS(BD$4:BD1393,$AU$4:$AU1393,"="&amp;$AU1393,$AY$4:$AY1393,"="&amp;$AY1393)</f>
        <v>3600</v>
      </c>
      <c r="BF1393" s="25" t="s">
        <v>1157</v>
      </c>
      <c r="BG1393" s="14">
        <f t="shared" si="328"/>
        <v>288</v>
      </c>
      <c r="BH1393" s="14">
        <f>SUMIFS(BG$4:BG1393,AU$4:AU1393,"="&amp;AU1393,AY$4:AY1393,"="&amp;AY1393)</f>
        <v>1350</v>
      </c>
      <c r="BI1393" s="25" t="s">
        <v>1158</v>
      </c>
      <c r="BJ1393" s="14">
        <f t="shared" si="329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1"/>
        <v>18</v>
      </c>
      <c r="AV1394" s="14">
        <f t="shared" si="322"/>
        <v>202604</v>
      </c>
      <c r="AW1394" s="14">
        <f t="shared" si="323"/>
        <v>1102026</v>
      </c>
      <c r="AX1394" s="13" t="s">
        <v>1127</v>
      </c>
      <c r="AY1394" s="13">
        <f t="shared" si="324"/>
        <v>4</v>
      </c>
      <c r="AZ1394" s="13" t="s">
        <v>1148</v>
      </c>
      <c r="BA1394" s="14">
        <f t="shared" si="325"/>
        <v>0</v>
      </c>
      <c r="BB1394" s="14" t="str">
        <f t="shared" si="326"/>
        <v>雷震子魂珠-4 等级-0</v>
      </c>
      <c r="BC1394" s="25" t="s">
        <v>44</v>
      </c>
      <c r="BD1394" s="14">
        <f t="shared" si="327"/>
        <v>0</v>
      </c>
      <c r="BE1394" s="14">
        <f>SUMIFS(BD$4:BD1394,$AU$4:$AU1394,"="&amp;$AU1394,$AY$4:$AY1394,"="&amp;$AY1394)</f>
        <v>0</v>
      </c>
      <c r="BF1394" s="25" t="s">
        <v>1157</v>
      </c>
      <c r="BG1394" s="14">
        <f t="shared" si="328"/>
        <v>0</v>
      </c>
      <c r="BH1394" s="14">
        <f>SUMIFS(BG$4:BG1394,AU$4:AU1394,"="&amp;AU1394,AY$4:AY1394,"="&amp;AY1394)</f>
        <v>0</v>
      </c>
      <c r="BI1394" s="25" t="s">
        <v>1158</v>
      </c>
      <c r="BJ1394" s="14">
        <f t="shared" si="329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1"/>
        <v>18</v>
      </c>
      <c r="AV1395" s="14">
        <f t="shared" si="322"/>
        <v>202604</v>
      </c>
      <c r="AW1395" s="14">
        <f t="shared" si="323"/>
        <v>1102026</v>
      </c>
      <c r="AX1395" s="13" t="s">
        <v>1127</v>
      </c>
      <c r="AY1395" s="13">
        <f t="shared" si="324"/>
        <v>4</v>
      </c>
      <c r="AZ1395" s="13" t="s">
        <v>1148</v>
      </c>
      <c r="BA1395" s="14">
        <f t="shared" si="325"/>
        <v>1</v>
      </c>
      <c r="BB1395" s="14" t="str">
        <f t="shared" si="326"/>
        <v>雷震子魂珠-4 等级-1</v>
      </c>
      <c r="BC1395" s="25" t="s">
        <v>44</v>
      </c>
      <c r="BD1395" s="14">
        <f t="shared" si="327"/>
        <v>120</v>
      </c>
      <c r="BE1395" s="14">
        <f>SUMIFS(BD$4:BD1395,$AU$4:$AU1395,"="&amp;$AU1395,$AY$4:$AY1395,"="&amp;$AY1395)</f>
        <v>120</v>
      </c>
      <c r="BF1395" s="25" t="s">
        <v>1157</v>
      </c>
      <c r="BG1395" s="14">
        <f t="shared" si="328"/>
        <v>45</v>
      </c>
      <c r="BH1395" s="14">
        <f>SUMIFS(BG$4:BG1395,AU$4:AU1395,"="&amp;AU1395,AY$4:AY1395,"="&amp;AY1395)</f>
        <v>45</v>
      </c>
      <c r="BI1395" s="25" t="s">
        <v>1158</v>
      </c>
      <c r="BJ1395" s="14">
        <f t="shared" si="329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1"/>
        <v>18</v>
      </c>
      <c r="AV1396" s="14">
        <f t="shared" si="322"/>
        <v>202604</v>
      </c>
      <c r="AW1396" s="14">
        <f t="shared" si="323"/>
        <v>1102026</v>
      </c>
      <c r="AX1396" s="13" t="s">
        <v>1127</v>
      </c>
      <c r="AY1396" s="13">
        <f t="shared" si="324"/>
        <v>4</v>
      </c>
      <c r="AZ1396" s="13" t="s">
        <v>1148</v>
      </c>
      <c r="BA1396" s="14">
        <f t="shared" si="325"/>
        <v>2</v>
      </c>
      <c r="BB1396" s="14" t="str">
        <f t="shared" si="326"/>
        <v>雷震子魂珠-4 等级-2</v>
      </c>
      <c r="BC1396" s="25" t="s">
        <v>44</v>
      </c>
      <c r="BD1396" s="14">
        <f t="shared" si="327"/>
        <v>192</v>
      </c>
      <c r="BE1396" s="14">
        <f>SUMIFS(BD$4:BD1396,$AU$4:$AU1396,"="&amp;$AU1396,$AY$4:$AY1396,"="&amp;$AY1396)</f>
        <v>312</v>
      </c>
      <c r="BF1396" s="25" t="s">
        <v>1157</v>
      </c>
      <c r="BG1396" s="14">
        <f t="shared" si="328"/>
        <v>72</v>
      </c>
      <c r="BH1396" s="14">
        <f>SUMIFS(BG$4:BG1396,AU$4:AU1396,"="&amp;AU1396,AY$4:AY1396,"="&amp;AY1396)</f>
        <v>117</v>
      </c>
      <c r="BI1396" s="25" t="s">
        <v>1158</v>
      </c>
      <c r="BJ1396" s="14">
        <f t="shared" si="329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1"/>
        <v>18</v>
      </c>
      <c r="AV1397" s="14">
        <f t="shared" si="322"/>
        <v>202604</v>
      </c>
      <c r="AW1397" s="14">
        <f t="shared" si="323"/>
        <v>1102026</v>
      </c>
      <c r="AX1397" s="13" t="s">
        <v>1127</v>
      </c>
      <c r="AY1397" s="13">
        <f t="shared" si="324"/>
        <v>4</v>
      </c>
      <c r="AZ1397" s="13" t="s">
        <v>1148</v>
      </c>
      <c r="BA1397" s="14">
        <f t="shared" si="325"/>
        <v>3</v>
      </c>
      <c r="BB1397" s="14" t="str">
        <f t="shared" si="326"/>
        <v>雷震子魂珠-4 等级-3</v>
      </c>
      <c r="BC1397" s="25" t="s">
        <v>44</v>
      </c>
      <c r="BD1397" s="14">
        <f t="shared" si="327"/>
        <v>264</v>
      </c>
      <c r="BE1397" s="14">
        <f>SUMIFS(BD$4:BD1397,$AU$4:$AU1397,"="&amp;$AU1397,$AY$4:$AY1397,"="&amp;$AY1397)</f>
        <v>576</v>
      </c>
      <c r="BF1397" s="25" t="s">
        <v>1157</v>
      </c>
      <c r="BG1397" s="14">
        <f t="shared" si="328"/>
        <v>99</v>
      </c>
      <c r="BH1397" s="14">
        <f>SUMIFS(BG$4:BG1397,AU$4:AU1397,"="&amp;AU1397,AY$4:AY1397,"="&amp;AY1397)</f>
        <v>216</v>
      </c>
      <c r="BI1397" s="25" t="s">
        <v>1158</v>
      </c>
      <c r="BJ1397" s="14">
        <f t="shared" si="329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1"/>
        <v>18</v>
      </c>
      <c r="AV1398" s="14">
        <f t="shared" si="322"/>
        <v>202604</v>
      </c>
      <c r="AW1398" s="14">
        <f t="shared" si="323"/>
        <v>1102026</v>
      </c>
      <c r="AX1398" s="13" t="s">
        <v>1127</v>
      </c>
      <c r="AY1398" s="13">
        <f t="shared" si="324"/>
        <v>4</v>
      </c>
      <c r="AZ1398" s="13" t="s">
        <v>1148</v>
      </c>
      <c r="BA1398" s="14">
        <f t="shared" si="325"/>
        <v>4</v>
      </c>
      <c r="BB1398" s="14" t="str">
        <f t="shared" si="326"/>
        <v>雷震子魂珠-4 等级-4</v>
      </c>
      <c r="BC1398" s="25" t="s">
        <v>44</v>
      </c>
      <c r="BD1398" s="14">
        <f t="shared" si="327"/>
        <v>384</v>
      </c>
      <c r="BE1398" s="14">
        <f>SUMIFS(BD$4:BD1398,$AU$4:$AU1398,"="&amp;$AU1398,$AY$4:$AY1398,"="&amp;$AY1398)</f>
        <v>960</v>
      </c>
      <c r="BF1398" s="25" t="s">
        <v>1157</v>
      </c>
      <c r="BG1398" s="14">
        <f t="shared" si="328"/>
        <v>144</v>
      </c>
      <c r="BH1398" s="14">
        <f>SUMIFS(BG$4:BG1398,AU$4:AU1398,"="&amp;AU1398,AY$4:AY1398,"="&amp;AY1398)</f>
        <v>360</v>
      </c>
      <c r="BI1398" s="25" t="s">
        <v>1158</v>
      </c>
      <c r="BJ1398" s="14">
        <f t="shared" si="329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1"/>
        <v>18</v>
      </c>
      <c r="AV1399" s="14">
        <f t="shared" si="322"/>
        <v>202604</v>
      </c>
      <c r="AW1399" s="14">
        <f t="shared" si="323"/>
        <v>1102026</v>
      </c>
      <c r="AX1399" s="13" t="s">
        <v>1127</v>
      </c>
      <c r="AY1399" s="13">
        <f t="shared" si="324"/>
        <v>4</v>
      </c>
      <c r="AZ1399" s="13" t="s">
        <v>1148</v>
      </c>
      <c r="BA1399" s="14">
        <f t="shared" si="325"/>
        <v>5</v>
      </c>
      <c r="BB1399" s="14" t="str">
        <f t="shared" si="326"/>
        <v>雷震子魂珠-4 等级-5</v>
      </c>
      <c r="BC1399" s="25" t="s">
        <v>44</v>
      </c>
      <c r="BD1399" s="14">
        <f t="shared" si="327"/>
        <v>504</v>
      </c>
      <c r="BE1399" s="14">
        <f>SUMIFS(BD$4:BD1399,$AU$4:$AU1399,"="&amp;$AU1399,$AY$4:$AY1399,"="&amp;$AY1399)</f>
        <v>1464</v>
      </c>
      <c r="BF1399" s="25" t="s">
        <v>1157</v>
      </c>
      <c r="BG1399" s="14">
        <f t="shared" si="328"/>
        <v>189</v>
      </c>
      <c r="BH1399" s="14">
        <f>SUMIFS(BG$4:BG1399,AU$4:AU1399,"="&amp;AU1399,AY$4:AY1399,"="&amp;AY1399)</f>
        <v>549</v>
      </c>
      <c r="BI1399" s="25" t="s">
        <v>1158</v>
      </c>
      <c r="BJ1399" s="14">
        <f t="shared" si="329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1"/>
        <v>18</v>
      </c>
      <c r="AV1400" s="14">
        <f t="shared" si="322"/>
        <v>202604</v>
      </c>
      <c r="AW1400" s="14">
        <f t="shared" si="323"/>
        <v>1102026</v>
      </c>
      <c r="AX1400" s="13" t="s">
        <v>1127</v>
      </c>
      <c r="AY1400" s="13">
        <f t="shared" si="324"/>
        <v>4</v>
      </c>
      <c r="AZ1400" s="13" t="s">
        <v>1148</v>
      </c>
      <c r="BA1400" s="14">
        <f t="shared" si="325"/>
        <v>6</v>
      </c>
      <c r="BB1400" s="14" t="str">
        <f t="shared" si="326"/>
        <v>雷震子魂珠-4 等级-6</v>
      </c>
      <c r="BC1400" s="25" t="s">
        <v>44</v>
      </c>
      <c r="BD1400" s="14">
        <f t="shared" si="327"/>
        <v>660</v>
      </c>
      <c r="BE1400" s="14">
        <f>SUMIFS(BD$4:BD1400,$AU$4:$AU1400,"="&amp;$AU1400,$AY$4:$AY1400,"="&amp;$AY1400)</f>
        <v>2124</v>
      </c>
      <c r="BF1400" s="25" t="s">
        <v>1157</v>
      </c>
      <c r="BG1400" s="14">
        <f t="shared" si="328"/>
        <v>248</v>
      </c>
      <c r="BH1400" s="14">
        <f>SUMIFS(BG$4:BG1400,AU$4:AU1400,"="&amp;AU1400,AY$4:AY1400,"="&amp;AY1400)</f>
        <v>797</v>
      </c>
      <c r="BI1400" s="25" t="s">
        <v>1158</v>
      </c>
      <c r="BJ1400" s="14">
        <f t="shared" si="329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1"/>
        <v>18</v>
      </c>
      <c r="AV1401" s="14">
        <f t="shared" si="322"/>
        <v>202604</v>
      </c>
      <c r="AW1401" s="14">
        <f t="shared" si="323"/>
        <v>1102026</v>
      </c>
      <c r="AX1401" s="13" t="s">
        <v>1127</v>
      </c>
      <c r="AY1401" s="13">
        <f t="shared" si="324"/>
        <v>4</v>
      </c>
      <c r="AZ1401" s="13" t="s">
        <v>1148</v>
      </c>
      <c r="BA1401" s="14">
        <f t="shared" si="325"/>
        <v>7</v>
      </c>
      <c r="BB1401" s="14" t="str">
        <f t="shared" si="326"/>
        <v>雷震子魂珠-4 等级-7</v>
      </c>
      <c r="BC1401" s="25" t="s">
        <v>44</v>
      </c>
      <c r="BD1401" s="14">
        <f t="shared" si="327"/>
        <v>780</v>
      </c>
      <c r="BE1401" s="14">
        <f>SUMIFS(BD$4:BD1401,$AU$4:$AU1401,"="&amp;$AU1401,$AY$4:$AY1401,"="&amp;$AY1401)</f>
        <v>2904</v>
      </c>
      <c r="BF1401" s="25" t="s">
        <v>1157</v>
      </c>
      <c r="BG1401" s="14">
        <f t="shared" si="328"/>
        <v>293</v>
      </c>
      <c r="BH1401" s="14">
        <f>SUMIFS(BG$4:BG1401,AU$4:AU1401,"="&amp;AU1401,AY$4:AY1401,"="&amp;AY1401)</f>
        <v>1090</v>
      </c>
      <c r="BI1401" s="25" t="s">
        <v>1158</v>
      </c>
      <c r="BJ1401" s="14">
        <f t="shared" si="329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1"/>
        <v>18</v>
      </c>
      <c r="AV1402" s="14">
        <f t="shared" si="322"/>
        <v>202604</v>
      </c>
      <c r="AW1402" s="14">
        <f t="shared" si="323"/>
        <v>1102026</v>
      </c>
      <c r="AX1402" s="13" t="s">
        <v>1127</v>
      </c>
      <c r="AY1402" s="13">
        <f t="shared" si="324"/>
        <v>4</v>
      </c>
      <c r="AZ1402" s="13" t="s">
        <v>1148</v>
      </c>
      <c r="BA1402" s="14">
        <f t="shared" si="325"/>
        <v>8</v>
      </c>
      <c r="BB1402" s="14" t="str">
        <f t="shared" si="326"/>
        <v>雷震子魂珠-4 等级-8</v>
      </c>
      <c r="BC1402" s="25" t="s">
        <v>44</v>
      </c>
      <c r="BD1402" s="14">
        <f t="shared" si="327"/>
        <v>900</v>
      </c>
      <c r="BE1402" s="14">
        <f>SUMIFS(BD$4:BD1402,$AU$4:$AU1402,"="&amp;$AU1402,$AY$4:$AY1402,"="&amp;$AY1402)</f>
        <v>3804</v>
      </c>
      <c r="BF1402" s="25" t="s">
        <v>1157</v>
      </c>
      <c r="BG1402" s="14">
        <f t="shared" si="328"/>
        <v>338</v>
      </c>
      <c r="BH1402" s="14">
        <f>SUMIFS(BG$4:BG1402,AU$4:AU1402,"="&amp;AU1402,AY$4:AY1402,"="&amp;AY1402)</f>
        <v>1428</v>
      </c>
      <c r="BI1402" s="25" t="s">
        <v>1158</v>
      </c>
      <c r="BJ1402" s="14">
        <f t="shared" si="329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1"/>
        <v>18</v>
      </c>
      <c r="AV1403" s="14">
        <f t="shared" si="322"/>
        <v>202604</v>
      </c>
      <c r="AW1403" s="14">
        <f t="shared" si="323"/>
        <v>1102026</v>
      </c>
      <c r="AX1403" s="13" t="s">
        <v>1127</v>
      </c>
      <c r="AY1403" s="13">
        <f t="shared" si="324"/>
        <v>4</v>
      </c>
      <c r="AZ1403" s="13" t="s">
        <v>1148</v>
      </c>
      <c r="BA1403" s="14">
        <f t="shared" si="325"/>
        <v>9</v>
      </c>
      <c r="BB1403" s="14" t="str">
        <f t="shared" si="326"/>
        <v>雷震子魂珠-4 等级-9</v>
      </c>
      <c r="BC1403" s="25" t="s">
        <v>44</v>
      </c>
      <c r="BD1403" s="14">
        <f t="shared" si="327"/>
        <v>1020</v>
      </c>
      <c r="BE1403" s="14">
        <f>SUMIFS(BD$4:BD1403,$AU$4:$AU1403,"="&amp;$AU1403,$AY$4:$AY1403,"="&amp;$AY1403)</f>
        <v>4824</v>
      </c>
      <c r="BF1403" s="25" t="s">
        <v>1157</v>
      </c>
      <c r="BG1403" s="14">
        <f t="shared" si="328"/>
        <v>383</v>
      </c>
      <c r="BH1403" s="14">
        <f>SUMIFS(BG$4:BG1403,AU$4:AU1403,"="&amp;AU1403,AY$4:AY1403,"="&amp;AY1403)</f>
        <v>1811</v>
      </c>
      <c r="BI1403" s="25" t="s">
        <v>1158</v>
      </c>
      <c r="BJ1403" s="14">
        <f t="shared" si="329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1"/>
        <v>18</v>
      </c>
      <c r="AV1404" s="14">
        <f t="shared" si="322"/>
        <v>202605</v>
      </c>
      <c r="AW1404" s="14">
        <f t="shared" si="323"/>
        <v>1102026</v>
      </c>
      <c r="AX1404" s="13" t="s">
        <v>1127</v>
      </c>
      <c r="AY1404" s="13">
        <f t="shared" si="324"/>
        <v>5</v>
      </c>
      <c r="AZ1404" s="13" t="s">
        <v>1148</v>
      </c>
      <c r="BA1404" s="14">
        <f t="shared" si="325"/>
        <v>0</v>
      </c>
      <c r="BB1404" s="14" t="str">
        <f t="shared" si="326"/>
        <v>雷震子魂珠-5 等级-0</v>
      </c>
      <c r="BC1404" s="25" t="s">
        <v>44</v>
      </c>
      <c r="BD1404" s="14">
        <f t="shared" si="327"/>
        <v>0</v>
      </c>
      <c r="BE1404" s="14">
        <f>SUMIFS(BD$4:BD1404,$AU$4:$AU1404,"="&amp;$AU1404,$AY$4:$AY1404,"="&amp;$AY1404)</f>
        <v>0</v>
      </c>
      <c r="BF1404" s="25" t="s">
        <v>1157</v>
      </c>
      <c r="BG1404" s="14">
        <f t="shared" si="328"/>
        <v>0</v>
      </c>
      <c r="BH1404" s="14">
        <f>SUMIFS(BG$4:BG1404,AU$4:AU1404,"="&amp;AU1404,AY$4:AY1404,"="&amp;AY1404)</f>
        <v>0</v>
      </c>
      <c r="BI1404" s="25" t="s">
        <v>1158</v>
      </c>
      <c r="BJ1404" s="14">
        <f t="shared" si="329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1"/>
        <v>18</v>
      </c>
      <c r="AV1405" s="14">
        <f t="shared" si="322"/>
        <v>202605</v>
      </c>
      <c r="AW1405" s="14">
        <f t="shared" si="323"/>
        <v>1102026</v>
      </c>
      <c r="AX1405" s="13" t="s">
        <v>1127</v>
      </c>
      <c r="AY1405" s="13">
        <f t="shared" si="324"/>
        <v>5</v>
      </c>
      <c r="AZ1405" s="13" t="s">
        <v>1148</v>
      </c>
      <c r="BA1405" s="14">
        <f t="shared" si="325"/>
        <v>1</v>
      </c>
      <c r="BB1405" s="14" t="str">
        <f t="shared" si="326"/>
        <v>雷震子魂珠-5 等级-1</v>
      </c>
      <c r="BC1405" s="25" t="s">
        <v>44</v>
      </c>
      <c r="BD1405" s="14">
        <f t="shared" si="327"/>
        <v>168</v>
      </c>
      <c r="BE1405" s="14">
        <f>SUMIFS(BD$4:BD1405,$AU$4:$AU1405,"="&amp;$AU1405,$AY$4:$AY1405,"="&amp;$AY1405)</f>
        <v>168</v>
      </c>
      <c r="BF1405" s="25" t="s">
        <v>1157</v>
      </c>
      <c r="BG1405" s="14">
        <f t="shared" si="328"/>
        <v>63</v>
      </c>
      <c r="BH1405" s="14">
        <f>SUMIFS(BG$4:BG1405,AU$4:AU1405,"="&amp;AU1405,AY$4:AY1405,"="&amp;AY1405)</f>
        <v>63</v>
      </c>
      <c r="BI1405" s="25" t="s">
        <v>1158</v>
      </c>
      <c r="BJ1405" s="14">
        <f t="shared" si="329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1"/>
        <v>18</v>
      </c>
      <c r="AV1406" s="14">
        <f t="shared" si="322"/>
        <v>202605</v>
      </c>
      <c r="AW1406" s="14">
        <f t="shared" si="323"/>
        <v>1102026</v>
      </c>
      <c r="AX1406" s="13" t="s">
        <v>1127</v>
      </c>
      <c r="AY1406" s="13">
        <f t="shared" si="324"/>
        <v>5</v>
      </c>
      <c r="AZ1406" s="13" t="s">
        <v>1148</v>
      </c>
      <c r="BA1406" s="14">
        <f t="shared" si="325"/>
        <v>2</v>
      </c>
      <c r="BB1406" s="14" t="str">
        <f t="shared" si="326"/>
        <v>雷震子魂珠-5 等级-2</v>
      </c>
      <c r="BC1406" s="25" t="s">
        <v>44</v>
      </c>
      <c r="BD1406" s="14">
        <f t="shared" si="327"/>
        <v>240</v>
      </c>
      <c r="BE1406" s="14">
        <f>SUMIFS(BD$4:BD1406,$AU$4:$AU1406,"="&amp;$AU1406,$AY$4:$AY1406,"="&amp;$AY1406)</f>
        <v>408</v>
      </c>
      <c r="BF1406" s="25" t="s">
        <v>1157</v>
      </c>
      <c r="BG1406" s="14">
        <f t="shared" si="328"/>
        <v>90</v>
      </c>
      <c r="BH1406" s="14">
        <f>SUMIFS(BG$4:BG1406,AU$4:AU1406,"="&amp;AU1406,AY$4:AY1406,"="&amp;AY1406)</f>
        <v>153</v>
      </c>
      <c r="BI1406" s="25" t="s">
        <v>1158</v>
      </c>
      <c r="BJ1406" s="14">
        <f t="shared" si="329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1"/>
        <v>18</v>
      </c>
      <c r="AV1407" s="14">
        <f t="shared" si="322"/>
        <v>202605</v>
      </c>
      <c r="AW1407" s="14">
        <f t="shared" si="323"/>
        <v>1102026</v>
      </c>
      <c r="AX1407" s="13" t="s">
        <v>1127</v>
      </c>
      <c r="AY1407" s="13">
        <f t="shared" si="324"/>
        <v>5</v>
      </c>
      <c r="AZ1407" s="13" t="s">
        <v>1148</v>
      </c>
      <c r="BA1407" s="14">
        <f t="shared" si="325"/>
        <v>3</v>
      </c>
      <c r="BB1407" s="14" t="str">
        <f t="shared" si="326"/>
        <v>雷震子魂珠-5 等级-3</v>
      </c>
      <c r="BC1407" s="25" t="s">
        <v>44</v>
      </c>
      <c r="BD1407" s="14">
        <f t="shared" si="327"/>
        <v>312</v>
      </c>
      <c r="BE1407" s="14">
        <f>SUMIFS(BD$4:BD1407,$AU$4:$AU1407,"="&amp;$AU1407,$AY$4:$AY1407,"="&amp;$AY1407)</f>
        <v>720</v>
      </c>
      <c r="BF1407" s="25" t="s">
        <v>1157</v>
      </c>
      <c r="BG1407" s="14">
        <f t="shared" si="328"/>
        <v>117</v>
      </c>
      <c r="BH1407" s="14">
        <f>SUMIFS(BG$4:BG1407,AU$4:AU1407,"="&amp;AU1407,AY$4:AY1407,"="&amp;AY1407)</f>
        <v>270</v>
      </c>
      <c r="BI1407" s="25" t="s">
        <v>1158</v>
      </c>
      <c r="BJ1407" s="14">
        <f t="shared" si="329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1"/>
        <v>18</v>
      </c>
      <c r="AV1408" s="14">
        <f t="shared" si="322"/>
        <v>202605</v>
      </c>
      <c r="AW1408" s="14">
        <f t="shared" si="323"/>
        <v>1102026</v>
      </c>
      <c r="AX1408" s="13" t="s">
        <v>1127</v>
      </c>
      <c r="AY1408" s="13">
        <f t="shared" si="324"/>
        <v>5</v>
      </c>
      <c r="AZ1408" s="13" t="s">
        <v>1148</v>
      </c>
      <c r="BA1408" s="14">
        <f t="shared" si="325"/>
        <v>4</v>
      </c>
      <c r="BB1408" s="14" t="str">
        <f t="shared" si="326"/>
        <v>雷震子魂珠-5 等级-4</v>
      </c>
      <c r="BC1408" s="25" t="s">
        <v>44</v>
      </c>
      <c r="BD1408" s="14">
        <f t="shared" si="327"/>
        <v>480</v>
      </c>
      <c r="BE1408" s="14">
        <f>SUMIFS(BD$4:BD1408,$AU$4:$AU1408,"="&amp;$AU1408,$AY$4:$AY1408,"="&amp;$AY1408)</f>
        <v>1200</v>
      </c>
      <c r="BF1408" s="25" t="s">
        <v>1157</v>
      </c>
      <c r="BG1408" s="14">
        <f t="shared" si="328"/>
        <v>180</v>
      </c>
      <c r="BH1408" s="14">
        <f>SUMIFS(BG$4:BG1408,AU$4:AU1408,"="&amp;AU1408,AY$4:AY1408,"="&amp;AY1408)</f>
        <v>450</v>
      </c>
      <c r="BI1408" s="25" t="s">
        <v>1158</v>
      </c>
      <c r="BJ1408" s="14">
        <f t="shared" si="329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1"/>
        <v>18</v>
      </c>
      <c r="AV1409" s="14">
        <f t="shared" si="322"/>
        <v>202605</v>
      </c>
      <c r="AW1409" s="14">
        <f t="shared" si="323"/>
        <v>1102026</v>
      </c>
      <c r="AX1409" s="13" t="s">
        <v>1127</v>
      </c>
      <c r="AY1409" s="13">
        <f t="shared" si="324"/>
        <v>5</v>
      </c>
      <c r="AZ1409" s="13" t="s">
        <v>1148</v>
      </c>
      <c r="BA1409" s="14">
        <f t="shared" si="325"/>
        <v>5</v>
      </c>
      <c r="BB1409" s="14" t="str">
        <f t="shared" si="326"/>
        <v>雷震子魂珠-5 等级-5</v>
      </c>
      <c r="BC1409" s="25" t="s">
        <v>44</v>
      </c>
      <c r="BD1409" s="14">
        <f t="shared" si="327"/>
        <v>624</v>
      </c>
      <c r="BE1409" s="14">
        <f>SUMIFS(BD$4:BD1409,$AU$4:$AU1409,"="&amp;$AU1409,$AY$4:$AY1409,"="&amp;$AY1409)</f>
        <v>1824</v>
      </c>
      <c r="BF1409" s="25" t="s">
        <v>1157</v>
      </c>
      <c r="BG1409" s="14">
        <f t="shared" si="328"/>
        <v>234</v>
      </c>
      <c r="BH1409" s="14">
        <f>SUMIFS(BG$4:BG1409,AU$4:AU1409,"="&amp;AU1409,AY$4:AY1409,"="&amp;AY1409)</f>
        <v>684</v>
      </c>
      <c r="BI1409" s="25" t="s">
        <v>1158</v>
      </c>
      <c r="BJ1409" s="14">
        <f t="shared" si="329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1"/>
        <v>18</v>
      </c>
      <c r="AV1410" s="14">
        <f t="shared" si="322"/>
        <v>202605</v>
      </c>
      <c r="AW1410" s="14">
        <f t="shared" si="323"/>
        <v>1102026</v>
      </c>
      <c r="AX1410" s="13" t="s">
        <v>1127</v>
      </c>
      <c r="AY1410" s="13">
        <f t="shared" si="324"/>
        <v>5</v>
      </c>
      <c r="AZ1410" s="13" t="s">
        <v>1148</v>
      </c>
      <c r="BA1410" s="14">
        <f t="shared" si="325"/>
        <v>6</v>
      </c>
      <c r="BB1410" s="14" t="str">
        <f t="shared" si="326"/>
        <v>雷震子魂珠-5 等级-6</v>
      </c>
      <c r="BC1410" s="25" t="s">
        <v>44</v>
      </c>
      <c r="BD1410" s="14">
        <f t="shared" si="327"/>
        <v>780</v>
      </c>
      <c r="BE1410" s="14">
        <f>SUMIFS(BD$4:BD1410,$AU$4:$AU1410,"="&amp;$AU1410,$AY$4:$AY1410,"="&amp;$AY1410)</f>
        <v>2604</v>
      </c>
      <c r="BF1410" s="25" t="s">
        <v>1157</v>
      </c>
      <c r="BG1410" s="14">
        <f t="shared" si="328"/>
        <v>293</v>
      </c>
      <c r="BH1410" s="14">
        <f>SUMIFS(BG$4:BG1410,AU$4:AU1410,"="&amp;AU1410,AY$4:AY1410,"="&amp;AY1410)</f>
        <v>977</v>
      </c>
      <c r="BI1410" s="25" t="s">
        <v>1158</v>
      </c>
      <c r="BJ1410" s="14">
        <f t="shared" si="329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1"/>
        <v>18</v>
      </c>
      <c r="AV1411" s="14">
        <f t="shared" si="322"/>
        <v>202605</v>
      </c>
      <c r="AW1411" s="14">
        <f t="shared" si="323"/>
        <v>1102026</v>
      </c>
      <c r="AX1411" s="13" t="s">
        <v>1127</v>
      </c>
      <c r="AY1411" s="13">
        <f t="shared" si="324"/>
        <v>5</v>
      </c>
      <c r="AZ1411" s="13" t="s">
        <v>1148</v>
      </c>
      <c r="BA1411" s="14">
        <f t="shared" si="325"/>
        <v>7</v>
      </c>
      <c r="BB1411" s="14" t="str">
        <f t="shared" si="326"/>
        <v>雷震子魂珠-5 等级-7</v>
      </c>
      <c r="BC1411" s="25" t="s">
        <v>44</v>
      </c>
      <c r="BD1411" s="14">
        <f t="shared" si="327"/>
        <v>960</v>
      </c>
      <c r="BE1411" s="14">
        <f>SUMIFS(BD$4:BD1411,$AU$4:$AU1411,"="&amp;$AU1411,$AY$4:$AY1411,"="&amp;$AY1411)</f>
        <v>3564</v>
      </c>
      <c r="BF1411" s="25" t="s">
        <v>1157</v>
      </c>
      <c r="BG1411" s="14">
        <f t="shared" si="328"/>
        <v>360</v>
      </c>
      <c r="BH1411" s="14">
        <f>SUMIFS(BG$4:BG1411,AU$4:AU1411,"="&amp;AU1411,AY$4:AY1411,"="&amp;AY1411)</f>
        <v>1337</v>
      </c>
      <c r="BI1411" s="25" t="s">
        <v>1158</v>
      </c>
      <c r="BJ1411" s="14">
        <f t="shared" si="329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1"/>
        <v>18</v>
      </c>
      <c r="AV1412" s="14">
        <f t="shared" si="322"/>
        <v>202605</v>
      </c>
      <c r="AW1412" s="14">
        <f t="shared" si="323"/>
        <v>1102026</v>
      </c>
      <c r="AX1412" s="13" t="s">
        <v>1127</v>
      </c>
      <c r="AY1412" s="13">
        <f t="shared" si="324"/>
        <v>5</v>
      </c>
      <c r="AZ1412" s="13" t="s">
        <v>1148</v>
      </c>
      <c r="BA1412" s="14">
        <f t="shared" si="325"/>
        <v>8</v>
      </c>
      <c r="BB1412" s="14" t="str">
        <f t="shared" si="326"/>
        <v>雷震子魂珠-5 等级-8</v>
      </c>
      <c r="BC1412" s="25" t="s">
        <v>44</v>
      </c>
      <c r="BD1412" s="14">
        <f t="shared" si="327"/>
        <v>1140</v>
      </c>
      <c r="BE1412" s="14">
        <f>SUMIFS(BD$4:BD1412,$AU$4:$AU1412,"="&amp;$AU1412,$AY$4:$AY1412,"="&amp;$AY1412)</f>
        <v>4704</v>
      </c>
      <c r="BF1412" s="25" t="s">
        <v>1157</v>
      </c>
      <c r="BG1412" s="14">
        <f t="shared" si="328"/>
        <v>428</v>
      </c>
      <c r="BH1412" s="14">
        <f>SUMIFS(BG$4:BG1412,AU$4:AU1412,"="&amp;AU1412,AY$4:AY1412,"="&amp;AY1412)</f>
        <v>1765</v>
      </c>
      <c r="BI1412" s="25" t="s">
        <v>1158</v>
      </c>
      <c r="BJ1412" s="14">
        <f t="shared" si="329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0">INT((AT1413-1)/80)+1</f>
        <v>18</v>
      </c>
      <c r="AV1413" s="14">
        <f t="shared" ref="AV1413:AV1476" si="331">INDEX($AJ$4:$AJ$203,(AU1413-1)*8+AY1413)</f>
        <v>202605</v>
      </c>
      <c r="AW1413" s="14">
        <f t="shared" ref="AW1413:AW1476" si="332">INDEX($W$4:$W$28,AU1413)</f>
        <v>1102026</v>
      </c>
      <c r="AX1413" s="13" t="s">
        <v>1127</v>
      </c>
      <c r="AY1413" s="13">
        <f t="shared" ref="AY1413:AY1476" si="333">INT(((AT1413-(AU1413-1)*80)-1)/10)+1</f>
        <v>5</v>
      </c>
      <c r="AZ1413" s="13" t="s">
        <v>1148</v>
      </c>
      <c r="BA1413" s="14">
        <f t="shared" ref="BA1413:BA1476" si="334">AT1413-(AU1413-1)*80-(AY1413-1)*10-1</f>
        <v>9</v>
      </c>
      <c r="BB1413" s="14" t="str">
        <f t="shared" ref="BB1413:BB1476" si="335">INDEX($X$4:$X$28,AU1413)&amp;"魂珠-"&amp;AY1413&amp;" 等级-"&amp;BA1413</f>
        <v>雷震子魂珠-5 等级-9</v>
      </c>
      <c r="BC1413" s="25" t="s">
        <v>44</v>
      </c>
      <c r="BD1413" s="14">
        <f t="shared" ref="BD1413:BD1476" si="336">ROUND(INDEX(Q$4:Q$83,($AY1413-1)*10+$BA1413+1)*INDEX(AC$4:AC$28,$AU1413),0)</f>
        <v>1320</v>
      </c>
      <c r="BE1413" s="14">
        <f>SUMIFS(BD$4:BD1413,$AU$4:$AU1413,"="&amp;$AU1413,$AY$4:$AY1413,"="&amp;$AY1413)</f>
        <v>6024</v>
      </c>
      <c r="BF1413" s="25" t="s">
        <v>1157</v>
      </c>
      <c r="BG1413" s="14">
        <f t="shared" ref="BG1413:BG1476" si="337">ROUND(INDEX(R$4:R$83,($AY1413-1)*10+$BA1413+1)*INDEX(AD$4:AD$28,$AU1413),0)</f>
        <v>495</v>
      </c>
      <c r="BH1413" s="14">
        <f>SUMIFS(BG$4:BG1413,AU$4:AU1413,"="&amp;AU1413,AY$4:AY1413,"="&amp;AY1413)</f>
        <v>2260</v>
      </c>
      <c r="BI1413" s="25" t="s">
        <v>1158</v>
      </c>
      <c r="BJ1413" s="14">
        <f t="shared" ref="BJ1413:BJ1476" si="338">ROUND(INDEX(S$4:S$83,($AY1413-1)*10+$BA1413+1)*INDEX(AE$4:AE$28,$AU1413),0)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0"/>
        <v>18</v>
      </c>
      <c r="AV1414" s="14">
        <f t="shared" si="331"/>
        <v>202606</v>
      </c>
      <c r="AW1414" s="14">
        <f t="shared" si="332"/>
        <v>1102026</v>
      </c>
      <c r="AX1414" s="13" t="s">
        <v>1127</v>
      </c>
      <c r="AY1414" s="13">
        <f t="shared" si="333"/>
        <v>6</v>
      </c>
      <c r="AZ1414" s="13" t="s">
        <v>1148</v>
      </c>
      <c r="BA1414" s="14">
        <f t="shared" si="334"/>
        <v>0</v>
      </c>
      <c r="BB1414" s="14" t="str">
        <f t="shared" si="335"/>
        <v>雷震子魂珠-6 等级-0</v>
      </c>
      <c r="BC1414" s="25" t="s">
        <v>44</v>
      </c>
      <c r="BD1414" s="14">
        <f t="shared" si="336"/>
        <v>0</v>
      </c>
      <c r="BE1414" s="14">
        <f>SUMIFS(BD$4:BD1414,$AU$4:$AU1414,"="&amp;$AU1414,$AY$4:$AY1414,"="&amp;$AY1414)</f>
        <v>0</v>
      </c>
      <c r="BF1414" s="25" t="s">
        <v>1157</v>
      </c>
      <c r="BG1414" s="14">
        <f t="shared" si="337"/>
        <v>0</v>
      </c>
      <c r="BH1414" s="14">
        <f>SUMIFS(BG$4:BG1414,AU$4:AU1414,"="&amp;AU1414,AY$4:AY1414,"="&amp;AY1414)</f>
        <v>0</v>
      </c>
      <c r="BI1414" s="25" t="s">
        <v>1158</v>
      </c>
      <c r="BJ1414" s="14">
        <f t="shared" si="338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0"/>
        <v>18</v>
      </c>
      <c r="AV1415" s="14">
        <f t="shared" si="331"/>
        <v>202606</v>
      </c>
      <c r="AW1415" s="14">
        <f t="shared" si="332"/>
        <v>1102026</v>
      </c>
      <c r="AX1415" s="13" t="s">
        <v>1127</v>
      </c>
      <c r="AY1415" s="13">
        <f t="shared" si="333"/>
        <v>6</v>
      </c>
      <c r="AZ1415" s="13" t="s">
        <v>1148</v>
      </c>
      <c r="BA1415" s="14">
        <f t="shared" si="334"/>
        <v>1</v>
      </c>
      <c r="BB1415" s="14" t="str">
        <f t="shared" si="335"/>
        <v>雷震子魂珠-6 等级-1</v>
      </c>
      <c r="BC1415" s="25" t="s">
        <v>44</v>
      </c>
      <c r="BD1415" s="14">
        <f t="shared" si="336"/>
        <v>216</v>
      </c>
      <c r="BE1415" s="14">
        <f>SUMIFS(BD$4:BD1415,$AU$4:$AU1415,"="&amp;$AU1415,$AY$4:$AY1415,"="&amp;$AY1415)</f>
        <v>216</v>
      </c>
      <c r="BF1415" s="25" t="s">
        <v>1157</v>
      </c>
      <c r="BG1415" s="14">
        <f t="shared" si="337"/>
        <v>81</v>
      </c>
      <c r="BH1415" s="14">
        <f>SUMIFS(BG$4:BG1415,AU$4:AU1415,"="&amp;AU1415,AY$4:AY1415,"="&amp;AY1415)</f>
        <v>81</v>
      </c>
      <c r="BI1415" s="25" t="s">
        <v>1158</v>
      </c>
      <c r="BJ1415" s="14">
        <f t="shared" si="338"/>
        <v>3240</v>
      </c>
      <c r="BK1415" s="14">
        <f>SUMIFS(BJ$4:BJ1415,$AU$4:$AU1415,"="&amp;$AU1415,$AY$4:$AY1415,"="&amp;$AY1415)</f>
        <v>3240</v>
      </c>
    </row>
    <row r="1416" spans="46:63" ht="16.5" x14ac:dyDescent="0.2">
      <c r="AT1416" s="13">
        <v>1413</v>
      </c>
      <c r="AU1416" s="13">
        <f t="shared" si="330"/>
        <v>18</v>
      </c>
      <c r="AV1416" s="14">
        <f t="shared" si="331"/>
        <v>202606</v>
      </c>
      <c r="AW1416" s="14">
        <f t="shared" si="332"/>
        <v>1102026</v>
      </c>
      <c r="AX1416" s="13" t="s">
        <v>1127</v>
      </c>
      <c r="AY1416" s="13">
        <f t="shared" si="333"/>
        <v>6</v>
      </c>
      <c r="AZ1416" s="13" t="s">
        <v>1148</v>
      </c>
      <c r="BA1416" s="14">
        <f t="shared" si="334"/>
        <v>2</v>
      </c>
      <c r="BB1416" s="14" t="str">
        <f t="shared" si="335"/>
        <v>雷震子魂珠-6 等级-2</v>
      </c>
      <c r="BC1416" s="25" t="s">
        <v>44</v>
      </c>
      <c r="BD1416" s="14">
        <f t="shared" si="336"/>
        <v>336</v>
      </c>
      <c r="BE1416" s="14">
        <f>SUMIFS(BD$4:BD1416,$AU$4:$AU1416,"="&amp;$AU1416,$AY$4:$AY1416,"="&amp;$AY1416)</f>
        <v>552</v>
      </c>
      <c r="BF1416" s="25" t="s">
        <v>1157</v>
      </c>
      <c r="BG1416" s="14">
        <f t="shared" si="337"/>
        <v>126</v>
      </c>
      <c r="BH1416" s="14">
        <f>SUMIFS(BG$4:BG1416,AU$4:AU1416,"="&amp;AU1416,AY$4:AY1416,"="&amp;AY1416)</f>
        <v>207</v>
      </c>
      <c r="BI1416" s="25" t="s">
        <v>1158</v>
      </c>
      <c r="BJ1416" s="14">
        <f t="shared" si="338"/>
        <v>5040</v>
      </c>
      <c r="BK1416" s="14">
        <f>SUMIFS(BJ$4:BJ1416,$AU$4:$AU1416,"="&amp;$AU1416,$AY$4:$AY1416,"="&amp;$AY1416)</f>
        <v>8280</v>
      </c>
    </row>
    <row r="1417" spans="46:63" ht="16.5" x14ac:dyDescent="0.2">
      <c r="AT1417" s="13">
        <v>1414</v>
      </c>
      <c r="AU1417" s="13">
        <f t="shared" si="330"/>
        <v>18</v>
      </c>
      <c r="AV1417" s="14">
        <f t="shared" si="331"/>
        <v>202606</v>
      </c>
      <c r="AW1417" s="14">
        <f t="shared" si="332"/>
        <v>1102026</v>
      </c>
      <c r="AX1417" s="13" t="s">
        <v>1127</v>
      </c>
      <c r="AY1417" s="13">
        <f t="shared" si="333"/>
        <v>6</v>
      </c>
      <c r="AZ1417" s="13" t="s">
        <v>1148</v>
      </c>
      <c r="BA1417" s="14">
        <f t="shared" si="334"/>
        <v>3</v>
      </c>
      <c r="BB1417" s="14" t="str">
        <f t="shared" si="335"/>
        <v>雷震子魂珠-6 等级-3</v>
      </c>
      <c r="BC1417" s="25" t="s">
        <v>44</v>
      </c>
      <c r="BD1417" s="14">
        <f t="shared" si="336"/>
        <v>450</v>
      </c>
      <c r="BE1417" s="14">
        <f>SUMIFS(BD$4:BD1417,$AU$4:$AU1417,"="&amp;$AU1417,$AY$4:$AY1417,"="&amp;$AY1417)</f>
        <v>1002</v>
      </c>
      <c r="BF1417" s="25" t="s">
        <v>1157</v>
      </c>
      <c r="BG1417" s="14">
        <f t="shared" si="337"/>
        <v>169</v>
      </c>
      <c r="BH1417" s="14">
        <f>SUMIFS(BG$4:BG1417,AU$4:AU1417,"="&amp;AU1417,AY$4:AY1417,"="&amp;AY1417)</f>
        <v>376</v>
      </c>
      <c r="BI1417" s="25" t="s">
        <v>1158</v>
      </c>
      <c r="BJ1417" s="14">
        <f t="shared" si="338"/>
        <v>6750</v>
      </c>
      <c r="BK1417" s="14">
        <f>SUMIFS(BJ$4:BJ1417,$AU$4:$AU1417,"="&amp;$AU1417,$AY$4:$AY1417,"="&amp;$AY1417)</f>
        <v>15030</v>
      </c>
    </row>
    <row r="1418" spans="46:63" ht="16.5" x14ac:dyDescent="0.2">
      <c r="AT1418" s="13">
        <v>1415</v>
      </c>
      <c r="AU1418" s="13">
        <f t="shared" si="330"/>
        <v>18</v>
      </c>
      <c r="AV1418" s="14">
        <f t="shared" si="331"/>
        <v>202606</v>
      </c>
      <c r="AW1418" s="14">
        <f t="shared" si="332"/>
        <v>1102026</v>
      </c>
      <c r="AX1418" s="13" t="s">
        <v>1127</v>
      </c>
      <c r="AY1418" s="13">
        <f t="shared" si="333"/>
        <v>6</v>
      </c>
      <c r="AZ1418" s="13" t="s">
        <v>1148</v>
      </c>
      <c r="BA1418" s="14">
        <f t="shared" si="334"/>
        <v>4</v>
      </c>
      <c r="BB1418" s="14" t="str">
        <f t="shared" si="335"/>
        <v>雷震子魂珠-6 等级-4</v>
      </c>
      <c r="BC1418" s="25" t="s">
        <v>44</v>
      </c>
      <c r="BD1418" s="14">
        <f t="shared" si="336"/>
        <v>672</v>
      </c>
      <c r="BE1418" s="14">
        <f>SUMIFS(BD$4:BD1418,$AU$4:$AU1418,"="&amp;$AU1418,$AY$4:$AY1418,"="&amp;$AY1418)</f>
        <v>1674</v>
      </c>
      <c r="BF1418" s="25" t="s">
        <v>1157</v>
      </c>
      <c r="BG1418" s="14">
        <f t="shared" si="337"/>
        <v>252</v>
      </c>
      <c r="BH1418" s="14">
        <f>SUMIFS(BG$4:BG1418,AU$4:AU1418,"="&amp;AU1418,AY$4:AY1418,"="&amp;AY1418)</f>
        <v>628</v>
      </c>
      <c r="BI1418" s="25" t="s">
        <v>1158</v>
      </c>
      <c r="BJ1418" s="14">
        <f t="shared" si="338"/>
        <v>10080</v>
      </c>
      <c r="BK1418" s="14">
        <f>SUMIFS(BJ$4:BJ1418,$AU$4:$AU1418,"="&amp;$AU1418,$AY$4:$AY1418,"="&amp;$AY1418)</f>
        <v>25110</v>
      </c>
    </row>
    <row r="1419" spans="46:63" ht="16.5" x14ac:dyDescent="0.2">
      <c r="AT1419" s="13">
        <v>1416</v>
      </c>
      <c r="AU1419" s="13">
        <f t="shared" si="330"/>
        <v>18</v>
      </c>
      <c r="AV1419" s="14">
        <f t="shared" si="331"/>
        <v>202606</v>
      </c>
      <c r="AW1419" s="14">
        <f t="shared" si="332"/>
        <v>1102026</v>
      </c>
      <c r="AX1419" s="13" t="s">
        <v>1127</v>
      </c>
      <c r="AY1419" s="13">
        <f t="shared" si="333"/>
        <v>6</v>
      </c>
      <c r="AZ1419" s="13" t="s">
        <v>1148</v>
      </c>
      <c r="BA1419" s="14">
        <f t="shared" si="334"/>
        <v>5</v>
      </c>
      <c r="BB1419" s="14" t="str">
        <f t="shared" si="335"/>
        <v>雷震子魂珠-6 等级-5</v>
      </c>
      <c r="BC1419" s="25" t="s">
        <v>44</v>
      </c>
      <c r="BD1419" s="14">
        <f t="shared" si="336"/>
        <v>900</v>
      </c>
      <c r="BE1419" s="14">
        <f>SUMIFS(BD$4:BD1419,$AU$4:$AU1419,"="&amp;$AU1419,$AY$4:$AY1419,"="&amp;$AY1419)</f>
        <v>2574</v>
      </c>
      <c r="BF1419" s="25" t="s">
        <v>1157</v>
      </c>
      <c r="BG1419" s="14">
        <f t="shared" si="337"/>
        <v>338</v>
      </c>
      <c r="BH1419" s="14">
        <f>SUMIFS(BG$4:BG1419,AU$4:AU1419,"="&amp;AU1419,AY$4:AY1419,"="&amp;AY1419)</f>
        <v>966</v>
      </c>
      <c r="BI1419" s="25" t="s">
        <v>1158</v>
      </c>
      <c r="BJ1419" s="14">
        <f t="shared" si="338"/>
        <v>13500</v>
      </c>
      <c r="BK1419" s="14">
        <f>SUMIFS(BJ$4:BJ1419,$AU$4:$AU1419,"="&amp;$AU1419,$AY$4:$AY1419,"="&amp;$AY1419)</f>
        <v>38610</v>
      </c>
    </row>
    <row r="1420" spans="46:63" ht="16.5" x14ac:dyDescent="0.2">
      <c r="AT1420" s="13">
        <v>1417</v>
      </c>
      <c r="AU1420" s="13">
        <f t="shared" si="330"/>
        <v>18</v>
      </c>
      <c r="AV1420" s="14">
        <f t="shared" si="331"/>
        <v>202606</v>
      </c>
      <c r="AW1420" s="14">
        <f t="shared" si="332"/>
        <v>1102026</v>
      </c>
      <c r="AX1420" s="13" t="s">
        <v>1127</v>
      </c>
      <c r="AY1420" s="13">
        <f t="shared" si="333"/>
        <v>6</v>
      </c>
      <c r="AZ1420" s="13" t="s">
        <v>1148</v>
      </c>
      <c r="BA1420" s="14">
        <f t="shared" si="334"/>
        <v>6</v>
      </c>
      <c r="BB1420" s="14" t="str">
        <f t="shared" si="335"/>
        <v>雷震子魂珠-6 等级-6</v>
      </c>
      <c r="BC1420" s="25" t="s">
        <v>44</v>
      </c>
      <c r="BD1420" s="14">
        <f t="shared" si="336"/>
        <v>1140</v>
      </c>
      <c r="BE1420" s="14">
        <f>SUMIFS(BD$4:BD1420,$AU$4:$AU1420,"="&amp;$AU1420,$AY$4:$AY1420,"="&amp;$AY1420)</f>
        <v>3714</v>
      </c>
      <c r="BF1420" s="25" t="s">
        <v>1157</v>
      </c>
      <c r="BG1420" s="14">
        <f t="shared" si="337"/>
        <v>428</v>
      </c>
      <c r="BH1420" s="14">
        <f>SUMIFS(BG$4:BG1420,AU$4:AU1420,"="&amp;AU1420,AY$4:AY1420,"="&amp;AY1420)</f>
        <v>1394</v>
      </c>
      <c r="BI1420" s="25" t="s">
        <v>1158</v>
      </c>
      <c r="BJ1420" s="14">
        <f t="shared" si="338"/>
        <v>17100</v>
      </c>
      <c r="BK1420" s="14">
        <f>SUMIFS(BJ$4:BJ1420,$AU$4:$AU1420,"="&amp;$AU1420,$AY$4:$AY1420,"="&amp;$AY1420)</f>
        <v>55710</v>
      </c>
    </row>
    <row r="1421" spans="46:63" ht="16.5" x14ac:dyDescent="0.2">
      <c r="AT1421" s="13">
        <v>1418</v>
      </c>
      <c r="AU1421" s="13">
        <f t="shared" si="330"/>
        <v>18</v>
      </c>
      <c r="AV1421" s="14">
        <f t="shared" si="331"/>
        <v>202606</v>
      </c>
      <c r="AW1421" s="14">
        <f t="shared" si="332"/>
        <v>1102026</v>
      </c>
      <c r="AX1421" s="13" t="s">
        <v>1127</v>
      </c>
      <c r="AY1421" s="13">
        <f t="shared" si="333"/>
        <v>6</v>
      </c>
      <c r="AZ1421" s="13" t="s">
        <v>1148</v>
      </c>
      <c r="BA1421" s="14">
        <f t="shared" si="334"/>
        <v>7</v>
      </c>
      <c r="BB1421" s="14" t="str">
        <f t="shared" si="335"/>
        <v>雷震子魂珠-6 等级-7</v>
      </c>
      <c r="BC1421" s="25" t="s">
        <v>44</v>
      </c>
      <c r="BD1421" s="14">
        <f t="shared" si="336"/>
        <v>1380</v>
      </c>
      <c r="BE1421" s="14">
        <f>SUMIFS(BD$4:BD1421,$AU$4:$AU1421,"="&amp;$AU1421,$AY$4:$AY1421,"="&amp;$AY1421)</f>
        <v>5094</v>
      </c>
      <c r="BF1421" s="25" t="s">
        <v>1157</v>
      </c>
      <c r="BG1421" s="14">
        <f t="shared" si="337"/>
        <v>518</v>
      </c>
      <c r="BH1421" s="14">
        <f>SUMIFS(BG$4:BG1421,AU$4:AU1421,"="&amp;AU1421,AY$4:AY1421,"="&amp;AY1421)</f>
        <v>1912</v>
      </c>
      <c r="BI1421" s="25" t="s">
        <v>1158</v>
      </c>
      <c r="BJ1421" s="14">
        <f t="shared" si="338"/>
        <v>20700</v>
      </c>
      <c r="BK1421" s="14">
        <f>SUMIFS(BJ$4:BJ1421,$AU$4:$AU1421,"="&amp;$AU1421,$AY$4:$AY1421,"="&amp;$AY1421)</f>
        <v>76410</v>
      </c>
    </row>
    <row r="1422" spans="46:63" ht="16.5" x14ac:dyDescent="0.2">
      <c r="AT1422" s="13">
        <v>1419</v>
      </c>
      <c r="AU1422" s="13">
        <f t="shared" si="330"/>
        <v>18</v>
      </c>
      <c r="AV1422" s="14">
        <f t="shared" si="331"/>
        <v>202606</v>
      </c>
      <c r="AW1422" s="14">
        <f t="shared" si="332"/>
        <v>1102026</v>
      </c>
      <c r="AX1422" s="13" t="s">
        <v>1127</v>
      </c>
      <c r="AY1422" s="13">
        <f t="shared" si="333"/>
        <v>6</v>
      </c>
      <c r="AZ1422" s="13" t="s">
        <v>1148</v>
      </c>
      <c r="BA1422" s="14">
        <f t="shared" si="334"/>
        <v>8</v>
      </c>
      <c r="BB1422" s="14" t="str">
        <f t="shared" si="335"/>
        <v>雷震子魂珠-6 等级-8</v>
      </c>
      <c r="BC1422" s="25" t="s">
        <v>44</v>
      </c>
      <c r="BD1422" s="14">
        <f t="shared" si="336"/>
        <v>1560</v>
      </c>
      <c r="BE1422" s="14">
        <f>SUMIFS(BD$4:BD1422,$AU$4:$AU1422,"="&amp;$AU1422,$AY$4:$AY1422,"="&amp;$AY1422)</f>
        <v>6654</v>
      </c>
      <c r="BF1422" s="25" t="s">
        <v>1157</v>
      </c>
      <c r="BG1422" s="14">
        <f t="shared" si="337"/>
        <v>585</v>
      </c>
      <c r="BH1422" s="14">
        <f>SUMIFS(BG$4:BG1422,AU$4:AU1422,"="&amp;AU1422,AY$4:AY1422,"="&amp;AY1422)</f>
        <v>2497</v>
      </c>
      <c r="BI1422" s="25" t="s">
        <v>1158</v>
      </c>
      <c r="BJ1422" s="14">
        <f t="shared" si="338"/>
        <v>23400</v>
      </c>
      <c r="BK1422" s="14">
        <f>SUMIFS(BJ$4:BJ1422,$AU$4:$AU1422,"="&amp;$AU1422,$AY$4:$AY1422,"="&amp;$AY1422)</f>
        <v>99810</v>
      </c>
    </row>
    <row r="1423" spans="46:63" ht="16.5" x14ac:dyDescent="0.2">
      <c r="AT1423" s="13">
        <v>1420</v>
      </c>
      <c r="AU1423" s="13">
        <f t="shared" si="330"/>
        <v>18</v>
      </c>
      <c r="AV1423" s="14">
        <f t="shared" si="331"/>
        <v>202606</v>
      </c>
      <c r="AW1423" s="14">
        <f t="shared" si="332"/>
        <v>1102026</v>
      </c>
      <c r="AX1423" s="13" t="s">
        <v>1127</v>
      </c>
      <c r="AY1423" s="13">
        <f t="shared" si="333"/>
        <v>6</v>
      </c>
      <c r="AZ1423" s="13" t="s">
        <v>1148</v>
      </c>
      <c r="BA1423" s="14">
        <f t="shared" si="334"/>
        <v>9</v>
      </c>
      <c r="BB1423" s="14" t="str">
        <f t="shared" si="335"/>
        <v>雷震子魂珠-6 等级-9</v>
      </c>
      <c r="BC1423" s="25" t="s">
        <v>44</v>
      </c>
      <c r="BD1423" s="14">
        <f t="shared" si="336"/>
        <v>1800</v>
      </c>
      <c r="BE1423" s="14">
        <f>SUMIFS(BD$4:BD1423,$AU$4:$AU1423,"="&amp;$AU1423,$AY$4:$AY1423,"="&amp;$AY1423)</f>
        <v>8454</v>
      </c>
      <c r="BF1423" s="25" t="s">
        <v>1157</v>
      </c>
      <c r="BG1423" s="14">
        <f t="shared" si="337"/>
        <v>675</v>
      </c>
      <c r="BH1423" s="14">
        <f>SUMIFS(BG$4:BG1423,AU$4:AU1423,"="&amp;AU1423,AY$4:AY1423,"="&amp;AY1423)</f>
        <v>3172</v>
      </c>
      <c r="BI1423" s="25" t="s">
        <v>1158</v>
      </c>
      <c r="BJ1423" s="14">
        <f t="shared" si="338"/>
        <v>27000</v>
      </c>
      <c r="BK1423" s="14">
        <f>SUMIFS(BJ$4:BJ1423,$AU$4:$AU1423,"="&amp;$AU1423,$AY$4:$AY1423,"="&amp;$AY1423)</f>
        <v>126810</v>
      </c>
    </row>
    <row r="1424" spans="46:63" ht="16.5" x14ac:dyDescent="0.2">
      <c r="AT1424" s="13">
        <v>1421</v>
      </c>
      <c r="AU1424" s="13">
        <f t="shared" si="330"/>
        <v>18</v>
      </c>
      <c r="AV1424" s="14">
        <f t="shared" si="331"/>
        <v>202607</v>
      </c>
      <c r="AW1424" s="14">
        <f t="shared" si="332"/>
        <v>1102026</v>
      </c>
      <c r="AX1424" s="13" t="s">
        <v>1127</v>
      </c>
      <c r="AY1424" s="13">
        <f t="shared" si="333"/>
        <v>7</v>
      </c>
      <c r="AZ1424" s="13" t="s">
        <v>1148</v>
      </c>
      <c r="BA1424" s="14">
        <f t="shared" si="334"/>
        <v>0</v>
      </c>
      <c r="BB1424" s="14" t="str">
        <f t="shared" si="335"/>
        <v>雷震子魂珠-7 等级-0</v>
      </c>
      <c r="BC1424" s="25" t="s">
        <v>44</v>
      </c>
      <c r="BD1424" s="14">
        <f t="shared" si="336"/>
        <v>0</v>
      </c>
      <c r="BE1424" s="14">
        <f>SUMIFS(BD$4:BD1424,$AU$4:$AU1424,"="&amp;$AU1424,$AY$4:$AY1424,"="&amp;$AY1424)</f>
        <v>0</v>
      </c>
      <c r="BF1424" s="25" t="s">
        <v>1157</v>
      </c>
      <c r="BG1424" s="14">
        <f t="shared" si="337"/>
        <v>0</v>
      </c>
      <c r="BH1424" s="14">
        <f>SUMIFS(BG$4:BG1424,AU$4:AU1424,"="&amp;AU1424,AY$4:AY1424,"="&amp;AY1424)</f>
        <v>0</v>
      </c>
      <c r="BI1424" s="25" t="s">
        <v>1158</v>
      </c>
      <c r="BJ1424" s="14">
        <f t="shared" si="338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0"/>
        <v>18</v>
      </c>
      <c r="AV1425" s="14">
        <f t="shared" si="331"/>
        <v>202607</v>
      </c>
      <c r="AW1425" s="14">
        <f t="shared" si="332"/>
        <v>1102026</v>
      </c>
      <c r="AX1425" s="13" t="s">
        <v>1127</v>
      </c>
      <c r="AY1425" s="13">
        <f t="shared" si="333"/>
        <v>7</v>
      </c>
      <c r="AZ1425" s="13" t="s">
        <v>1148</v>
      </c>
      <c r="BA1425" s="14">
        <f t="shared" si="334"/>
        <v>1</v>
      </c>
      <c r="BB1425" s="14" t="str">
        <f t="shared" si="335"/>
        <v>雷震子魂珠-7 等级-1</v>
      </c>
      <c r="BC1425" s="25" t="s">
        <v>44</v>
      </c>
      <c r="BD1425" s="14">
        <f t="shared" si="336"/>
        <v>288</v>
      </c>
      <c r="BE1425" s="14">
        <f>SUMIFS(BD$4:BD1425,$AU$4:$AU1425,"="&amp;$AU1425,$AY$4:$AY1425,"="&amp;$AY1425)</f>
        <v>288</v>
      </c>
      <c r="BF1425" s="25" t="s">
        <v>1157</v>
      </c>
      <c r="BG1425" s="14">
        <f t="shared" si="337"/>
        <v>108</v>
      </c>
      <c r="BH1425" s="14">
        <f>SUMIFS(BG$4:BG1425,AU$4:AU1425,"="&amp;AU1425,AY$4:AY1425,"="&amp;AY1425)</f>
        <v>108</v>
      </c>
      <c r="BI1425" s="25" t="s">
        <v>1158</v>
      </c>
      <c r="BJ1425" s="14">
        <f t="shared" si="338"/>
        <v>4320</v>
      </c>
      <c r="BK1425" s="14">
        <f>SUMIFS(BJ$4:BJ1425,$AU$4:$AU1425,"="&amp;$AU1425,$AY$4:$AY1425,"="&amp;$AY1425)</f>
        <v>4320</v>
      </c>
    </row>
    <row r="1426" spans="46:63" ht="16.5" x14ac:dyDescent="0.2">
      <c r="AT1426" s="13">
        <v>1423</v>
      </c>
      <c r="AU1426" s="13">
        <f t="shared" si="330"/>
        <v>18</v>
      </c>
      <c r="AV1426" s="14">
        <f t="shared" si="331"/>
        <v>202607</v>
      </c>
      <c r="AW1426" s="14">
        <f t="shared" si="332"/>
        <v>1102026</v>
      </c>
      <c r="AX1426" s="13" t="s">
        <v>1127</v>
      </c>
      <c r="AY1426" s="13">
        <f t="shared" si="333"/>
        <v>7</v>
      </c>
      <c r="AZ1426" s="13" t="s">
        <v>1148</v>
      </c>
      <c r="BA1426" s="14">
        <f t="shared" si="334"/>
        <v>2</v>
      </c>
      <c r="BB1426" s="14" t="str">
        <f t="shared" si="335"/>
        <v>雷震子魂珠-7 等级-2</v>
      </c>
      <c r="BC1426" s="25" t="s">
        <v>44</v>
      </c>
      <c r="BD1426" s="14">
        <f t="shared" si="336"/>
        <v>432</v>
      </c>
      <c r="BE1426" s="14">
        <f>SUMIFS(BD$4:BD1426,$AU$4:$AU1426,"="&amp;$AU1426,$AY$4:$AY1426,"="&amp;$AY1426)</f>
        <v>720</v>
      </c>
      <c r="BF1426" s="25" t="s">
        <v>1157</v>
      </c>
      <c r="BG1426" s="14">
        <f t="shared" si="337"/>
        <v>162</v>
      </c>
      <c r="BH1426" s="14">
        <f>SUMIFS(BG$4:BG1426,AU$4:AU1426,"="&amp;AU1426,AY$4:AY1426,"="&amp;AY1426)</f>
        <v>270</v>
      </c>
      <c r="BI1426" s="25" t="s">
        <v>1158</v>
      </c>
      <c r="BJ1426" s="14">
        <f t="shared" si="338"/>
        <v>6480</v>
      </c>
      <c r="BK1426" s="14">
        <f>SUMIFS(BJ$4:BJ1426,$AU$4:$AU1426,"="&amp;$AU1426,$AY$4:$AY1426,"="&amp;$AY1426)</f>
        <v>10800</v>
      </c>
    </row>
    <row r="1427" spans="46:63" ht="16.5" x14ac:dyDescent="0.2">
      <c r="AT1427" s="13">
        <v>1424</v>
      </c>
      <c r="AU1427" s="13">
        <f t="shared" si="330"/>
        <v>18</v>
      </c>
      <c r="AV1427" s="14">
        <f t="shared" si="331"/>
        <v>202607</v>
      </c>
      <c r="AW1427" s="14">
        <f t="shared" si="332"/>
        <v>1102026</v>
      </c>
      <c r="AX1427" s="13" t="s">
        <v>1127</v>
      </c>
      <c r="AY1427" s="13">
        <f t="shared" si="333"/>
        <v>7</v>
      </c>
      <c r="AZ1427" s="13" t="s">
        <v>1148</v>
      </c>
      <c r="BA1427" s="14">
        <f t="shared" si="334"/>
        <v>3</v>
      </c>
      <c r="BB1427" s="14" t="str">
        <f t="shared" si="335"/>
        <v>雷震子魂珠-7 等级-3</v>
      </c>
      <c r="BC1427" s="25" t="s">
        <v>44</v>
      </c>
      <c r="BD1427" s="14">
        <f t="shared" si="336"/>
        <v>576</v>
      </c>
      <c r="BE1427" s="14">
        <f>SUMIFS(BD$4:BD1427,$AU$4:$AU1427,"="&amp;$AU1427,$AY$4:$AY1427,"="&amp;$AY1427)</f>
        <v>1296</v>
      </c>
      <c r="BF1427" s="25" t="s">
        <v>1157</v>
      </c>
      <c r="BG1427" s="14">
        <f t="shared" si="337"/>
        <v>216</v>
      </c>
      <c r="BH1427" s="14">
        <f>SUMIFS(BG$4:BG1427,AU$4:AU1427,"="&amp;AU1427,AY$4:AY1427,"="&amp;AY1427)</f>
        <v>486</v>
      </c>
      <c r="BI1427" s="25" t="s">
        <v>1158</v>
      </c>
      <c r="BJ1427" s="14">
        <f t="shared" si="338"/>
        <v>8640</v>
      </c>
      <c r="BK1427" s="14">
        <f>SUMIFS(BJ$4:BJ1427,$AU$4:$AU1427,"="&amp;$AU1427,$AY$4:$AY1427,"="&amp;$AY1427)</f>
        <v>19440</v>
      </c>
    </row>
    <row r="1428" spans="46:63" ht="16.5" x14ac:dyDescent="0.2">
      <c r="AT1428" s="13">
        <v>1425</v>
      </c>
      <c r="AU1428" s="13">
        <f t="shared" si="330"/>
        <v>18</v>
      </c>
      <c r="AV1428" s="14">
        <f t="shared" si="331"/>
        <v>202607</v>
      </c>
      <c r="AW1428" s="14">
        <f t="shared" si="332"/>
        <v>1102026</v>
      </c>
      <c r="AX1428" s="13" t="s">
        <v>1127</v>
      </c>
      <c r="AY1428" s="13">
        <f t="shared" si="333"/>
        <v>7</v>
      </c>
      <c r="AZ1428" s="13" t="s">
        <v>1148</v>
      </c>
      <c r="BA1428" s="14">
        <f t="shared" si="334"/>
        <v>4</v>
      </c>
      <c r="BB1428" s="14" t="str">
        <f t="shared" si="335"/>
        <v>雷震子魂珠-7 等级-4</v>
      </c>
      <c r="BC1428" s="25" t="s">
        <v>44</v>
      </c>
      <c r="BD1428" s="14">
        <f t="shared" si="336"/>
        <v>864</v>
      </c>
      <c r="BE1428" s="14">
        <f>SUMIFS(BD$4:BD1428,$AU$4:$AU1428,"="&amp;$AU1428,$AY$4:$AY1428,"="&amp;$AY1428)</f>
        <v>2160</v>
      </c>
      <c r="BF1428" s="25" t="s">
        <v>1157</v>
      </c>
      <c r="BG1428" s="14">
        <f t="shared" si="337"/>
        <v>324</v>
      </c>
      <c r="BH1428" s="14">
        <f>SUMIFS(BG$4:BG1428,AU$4:AU1428,"="&amp;AU1428,AY$4:AY1428,"="&amp;AY1428)</f>
        <v>810</v>
      </c>
      <c r="BI1428" s="25" t="s">
        <v>1158</v>
      </c>
      <c r="BJ1428" s="14">
        <f t="shared" si="338"/>
        <v>12960</v>
      </c>
      <c r="BK1428" s="14">
        <f>SUMIFS(BJ$4:BJ1428,$AU$4:$AU1428,"="&amp;$AU1428,$AY$4:$AY1428,"="&amp;$AY1428)</f>
        <v>32400</v>
      </c>
    </row>
    <row r="1429" spans="46:63" ht="16.5" x14ac:dyDescent="0.2">
      <c r="AT1429" s="13">
        <v>1426</v>
      </c>
      <c r="AU1429" s="13">
        <f t="shared" si="330"/>
        <v>18</v>
      </c>
      <c r="AV1429" s="14">
        <f t="shared" si="331"/>
        <v>202607</v>
      </c>
      <c r="AW1429" s="14">
        <f t="shared" si="332"/>
        <v>1102026</v>
      </c>
      <c r="AX1429" s="13" t="s">
        <v>1127</v>
      </c>
      <c r="AY1429" s="13">
        <f t="shared" si="333"/>
        <v>7</v>
      </c>
      <c r="AZ1429" s="13" t="s">
        <v>1148</v>
      </c>
      <c r="BA1429" s="14">
        <f t="shared" si="334"/>
        <v>5</v>
      </c>
      <c r="BB1429" s="14" t="str">
        <f t="shared" si="335"/>
        <v>雷震子魂珠-7 等级-5</v>
      </c>
      <c r="BC1429" s="25" t="s">
        <v>44</v>
      </c>
      <c r="BD1429" s="14">
        <f t="shared" si="336"/>
        <v>1152</v>
      </c>
      <c r="BE1429" s="14">
        <f>SUMIFS(BD$4:BD1429,$AU$4:$AU1429,"="&amp;$AU1429,$AY$4:$AY1429,"="&amp;$AY1429)</f>
        <v>3312</v>
      </c>
      <c r="BF1429" s="25" t="s">
        <v>1157</v>
      </c>
      <c r="BG1429" s="14">
        <f t="shared" si="337"/>
        <v>432</v>
      </c>
      <c r="BH1429" s="14">
        <f>SUMIFS(BG$4:BG1429,AU$4:AU1429,"="&amp;AU1429,AY$4:AY1429,"="&amp;AY1429)</f>
        <v>1242</v>
      </c>
      <c r="BI1429" s="25" t="s">
        <v>1158</v>
      </c>
      <c r="BJ1429" s="14">
        <f t="shared" si="338"/>
        <v>17280</v>
      </c>
      <c r="BK1429" s="14">
        <f>SUMIFS(BJ$4:BJ1429,$AU$4:$AU1429,"="&amp;$AU1429,$AY$4:$AY1429,"="&amp;$AY1429)</f>
        <v>49680</v>
      </c>
    </row>
    <row r="1430" spans="46:63" ht="16.5" x14ac:dyDescent="0.2">
      <c r="AT1430" s="13">
        <v>1427</v>
      </c>
      <c r="AU1430" s="13">
        <f t="shared" si="330"/>
        <v>18</v>
      </c>
      <c r="AV1430" s="14">
        <f t="shared" si="331"/>
        <v>202607</v>
      </c>
      <c r="AW1430" s="14">
        <f t="shared" si="332"/>
        <v>1102026</v>
      </c>
      <c r="AX1430" s="13" t="s">
        <v>1127</v>
      </c>
      <c r="AY1430" s="13">
        <f t="shared" si="333"/>
        <v>7</v>
      </c>
      <c r="AZ1430" s="13" t="s">
        <v>1148</v>
      </c>
      <c r="BA1430" s="14">
        <f t="shared" si="334"/>
        <v>6</v>
      </c>
      <c r="BB1430" s="14" t="str">
        <f t="shared" si="335"/>
        <v>雷震子魂珠-7 等级-6</v>
      </c>
      <c r="BC1430" s="25" t="s">
        <v>44</v>
      </c>
      <c r="BD1430" s="14">
        <f t="shared" si="336"/>
        <v>1440</v>
      </c>
      <c r="BE1430" s="14">
        <f>SUMIFS(BD$4:BD1430,$AU$4:$AU1430,"="&amp;$AU1430,$AY$4:$AY1430,"="&amp;$AY1430)</f>
        <v>4752</v>
      </c>
      <c r="BF1430" s="25" t="s">
        <v>1157</v>
      </c>
      <c r="BG1430" s="14">
        <f t="shared" si="337"/>
        <v>540</v>
      </c>
      <c r="BH1430" s="14">
        <f>SUMIFS(BG$4:BG1430,AU$4:AU1430,"="&amp;AU1430,AY$4:AY1430,"="&amp;AY1430)</f>
        <v>1782</v>
      </c>
      <c r="BI1430" s="25" t="s">
        <v>1158</v>
      </c>
      <c r="BJ1430" s="14">
        <f t="shared" si="338"/>
        <v>21600</v>
      </c>
      <c r="BK1430" s="14">
        <f>SUMIFS(BJ$4:BJ1430,$AU$4:$AU1430,"="&amp;$AU1430,$AY$4:$AY1430,"="&amp;$AY1430)</f>
        <v>71280</v>
      </c>
    </row>
    <row r="1431" spans="46:63" ht="16.5" x14ac:dyDescent="0.2">
      <c r="AT1431" s="13">
        <v>1428</v>
      </c>
      <c r="AU1431" s="13">
        <f t="shared" si="330"/>
        <v>18</v>
      </c>
      <c r="AV1431" s="14">
        <f t="shared" si="331"/>
        <v>202607</v>
      </c>
      <c r="AW1431" s="14">
        <f t="shared" si="332"/>
        <v>1102026</v>
      </c>
      <c r="AX1431" s="13" t="s">
        <v>1127</v>
      </c>
      <c r="AY1431" s="13">
        <f t="shared" si="333"/>
        <v>7</v>
      </c>
      <c r="AZ1431" s="13" t="s">
        <v>1148</v>
      </c>
      <c r="BA1431" s="14">
        <f t="shared" si="334"/>
        <v>7</v>
      </c>
      <c r="BB1431" s="14" t="str">
        <f t="shared" si="335"/>
        <v>雷震子魂珠-7 等级-7</v>
      </c>
      <c r="BC1431" s="25" t="s">
        <v>44</v>
      </c>
      <c r="BD1431" s="14">
        <f t="shared" si="336"/>
        <v>1728</v>
      </c>
      <c r="BE1431" s="14">
        <f>SUMIFS(BD$4:BD1431,$AU$4:$AU1431,"="&amp;$AU1431,$AY$4:$AY1431,"="&amp;$AY1431)</f>
        <v>6480</v>
      </c>
      <c r="BF1431" s="25" t="s">
        <v>1157</v>
      </c>
      <c r="BG1431" s="14">
        <f t="shared" si="337"/>
        <v>648</v>
      </c>
      <c r="BH1431" s="14">
        <f>SUMIFS(BG$4:BG1431,AU$4:AU1431,"="&amp;AU1431,AY$4:AY1431,"="&amp;AY1431)</f>
        <v>2430</v>
      </c>
      <c r="BI1431" s="25" t="s">
        <v>1158</v>
      </c>
      <c r="BJ1431" s="14">
        <f t="shared" si="338"/>
        <v>25920</v>
      </c>
      <c r="BK1431" s="14">
        <f>SUMIFS(BJ$4:BJ1431,$AU$4:$AU1431,"="&amp;$AU1431,$AY$4:$AY1431,"="&amp;$AY1431)</f>
        <v>97200</v>
      </c>
    </row>
    <row r="1432" spans="46:63" ht="16.5" x14ac:dyDescent="0.2">
      <c r="AT1432" s="13">
        <v>1429</v>
      </c>
      <c r="AU1432" s="13">
        <f t="shared" si="330"/>
        <v>18</v>
      </c>
      <c r="AV1432" s="14">
        <f t="shared" si="331"/>
        <v>202607</v>
      </c>
      <c r="AW1432" s="14">
        <f t="shared" si="332"/>
        <v>1102026</v>
      </c>
      <c r="AX1432" s="13" t="s">
        <v>1127</v>
      </c>
      <c r="AY1432" s="13">
        <f t="shared" si="333"/>
        <v>7</v>
      </c>
      <c r="AZ1432" s="13" t="s">
        <v>1148</v>
      </c>
      <c r="BA1432" s="14">
        <f t="shared" si="334"/>
        <v>8</v>
      </c>
      <c r="BB1432" s="14" t="str">
        <f t="shared" si="335"/>
        <v>雷震子魂珠-7 等级-8</v>
      </c>
      <c r="BC1432" s="25" t="s">
        <v>44</v>
      </c>
      <c r="BD1432" s="14">
        <f t="shared" si="336"/>
        <v>2016</v>
      </c>
      <c r="BE1432" s="14">
        <f>SUMIFS(BD$4:BD1432,$AU$4:$AU1432,"="&amp;$AU1432,$AY$4:$AY1432,"="&amp;$AY1432)</f>
        <v>8496</v>
      </c>
      <c r="BF1432" s="25" t="s">
        <v>1157</v>
      </c>
      <c r="BG1432" s="14">
        <f t="shared" si="337"/>
        <v>756</v>
      </c>
      <c r="BH1432" s="14">
        <f>SUMIFS(BG$4:BG1432,AU$4:AU1432,"="&amp;AU1432,AY$4:AY1432,"="&amp;AY1432)</f>
        <v>3186</v>
      </c>
      <c r="BI1432" s="25" t="s">
        <v>1158</v>
      </c>
      <c r="BJ1432" s="14">
        <f t="shared" si="338"/>
        <v>30240</v>
      </c>
      <c r="BK1432" s="14">
        <f>SUMIFS(BJ$4:BJ1432,$AU$4:$AU1432,"="&amp;$AU1432,$AY$4:$AY1432,"="&amp;$AY1432)</f>
        <v>127440</v>
      </c>
    </row>
    <row r="1433" spans="46:63" ht="16.5" x14ac:dyDescent="0.2">
      <c r="AT1433" s="13">
        <v>1430</v>
      </c>
      <c r="AU1433" s="13">
        <f t="shared" si="330"/>
        <v>18</v>
      </c>
      <c r="AV1433" s="14">
        <f t="shared" si="331"/>
        <v>202607</v>
      </c>
      <c r="AW1433" s="14">
        <f t="shared" si="332"/>
        <v>1102026</v>
      </c>
      <c r="AX1433" s="13" t="s">
        <v>1127</v>
      </c>
      <c r="AY1433" s="13">
        <f t="shared" si="333"/>
        <v>7</v>
      </c>
      <c r="AZ1433" s="13" t="s">
        <v>1148</v>
      </c>
      <c r="BA1433" s="14">
        <f t="shared" si="334"/>
        <v>9</v>
      </c>
      <c r="BB1433" s="14" t="str">
        <f t="shared" si="335"/>
        <v>雷震子魂珠-7 等级-9</v>
      </c>
      <c r="BC1433" s="25" t="s">
        <v>44</v>
      </c>
      <c r="BD1433" s="14">
        <f t="shared" si="336"/>
        <v>2304</v>
      </c>
      <c r="BE1433" s="14">
        <f>SUMIFS(BD$4:BD1433,$AU$4:$AU1433,"="&amp;$AU1433,$AY$4:$AY1433,"="&amp;$AY1433)</f>
        <v>10800</v>
      </c>
      <c r="BF1433" s="25" t="s">
        <v>1157</v>
      </c>
      <c r="BG1433" s="14">
        <f t="shared" si="337"/>
        <v>864</v>
      </c>
      <c r="BH1433" s="14">
        <f>SUMIFS(BG$4:BG1433,AU$4:AU1433,"="&amp;AU1433,AY$4:AY1433,"="&amp;AY1433)</f>
        <v>4050</v>
      </c>
      <c r="BI1433" s="25" t="s">
        <v>1158</v>
      </c>
      <c r="BJ1433" s="14">
        <f t="shared" si="338"/>
        <v>34560</v>
      </c>
      <c r="BK1433" s="14">
        <f>SUMIFS(BJ$4:BJ1433,$AU$4:$AU1433,"="&amp;$AU1433,$AY$4:$AY1433,"="&amp;$AY1433)</f>
        <v>162000</v>
      </c>
    </row>
    <row r="1434" spans="46:63" ht="16.5" x14ac:dyDescent="0.2">
      <c r="AT1434" s="13">
        <v>1431</v>
      </c>
      <c r="AU1434" s="13">
        <f t="shared" si="330"/>
        <v>18</v>
      </c>
      <c r="AV1434" s="14">
        <f t="shared" si="331"/>
        <v>202608</v>
      </c>
      <c r="AW1434" s="14">
        <f t="shared" si="332"/>
        <v>1102026</v>
      </c>
      <c r="AX1434" s="13" t="s">
        <v>1127</v>
      </c>
      <c r="AY1434" s="13">
        <f t="shared" si="333"/>
        <v>8</v>
      </c>
      <c r="AZ1434" s="13" t="s">
        <v>1148</v>
      </c>
      <c r="BA1434" s="14">
        <f t="shared" si="334"/>
        <v>0</v>
      </c>
      <c r="BB1434" s="14" t="str">
        <f t="shared" si="335"/>
        <v>雷震子魂珠-8 等级-0</v>
      </c>
      <c r="BC1434" s="25" t="s">
        <v>44</v>
      </c>
      <c r="BD1434" s="14">
        <f t="shared" si="336"/>
        <v>0</v>
      </c>
      <c r="BE1434" s="14">
        <f>SUMIFS(BD$4:BD1434,$AU$4:$AU1434,"="&amp;$AU1434,$AY$4:$AY1434,"="&amp;$AY1434)</f>
        <v>0</v>
      </c>
      <c r="BF1434" s="25" t="s">
        <v>1157</v>
      </c>
      <c r="BG1434" s="14">
        <f t="shared" si="337"/>
        <v>0</v>
      </c>
      <c r="BH1434" s="14">
        <f>SUMIFS(BG$4:BG1434,AU$4:AU1434,"="&amp;AU1434,AY$4:AY1434,"="&amp;AY1434)</f>
        <v>0</v>
      </c>
      <c r="BI1434" s="25" t="s">
        <v>1158</v>
      </c>
      <c r="BJ1434" s="14">
        <f t="shared" si="338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0"/>
        <v>18</v>
      </c>
      <c r="AV1435" s="14">
        <f t="shared" si="331"/>
        <v>202608</v>
      </c>
      <c r="AW1435" s="14">
        <f t="shared" si="332"/>
        <v>1102026</v>
      </c>
      <c r="AX1435" s="13" t="s">
        <v>1127</v>
      </c>
      <c r="AY1435" s="13">
        <f t="shared" si="333"/>
        <v>8</v>
      </c>
      <c r="AZ1435" s="13" t="s">
        <v>1148</v>
      </c>
      <c r="BA1435" s="14">
        <f t="shared" si="334"/>
        <v>1</v>
      </c>
      <c r="BB1435" s="14" t="str">
        <f t="shared" si="335"/>
        <v>雷震子魂珠-8 等级-1</v>
      </c>
      <c r="BC1435" s="25" t="s">
        <v>44</v>
      </c>
      <c r="BD1435" s="14">
        <f t="shared" si="336"/>
        <v>384</v>
      </c>
      <c r="BE1435" s="14">
        <f>SUMIFS(BD$4:BD1435,$AU$4:$AU1435,"="&amp;$AU1435,$AY$4:$AY1435,"="&amp;$AY1435)</f>
        <v>384</v>
      </c>
      <c r="BF1435" s="25" t="s">
        <v>1157</v>
      </c>
      <c r="BG1435" s="14">
        <f t="shared" si="337"/>
        <v>144</v>
      </c>
      <c r="BH1435" s="14">
        <f>SUMIFS(BG$4:BG1435,AU$4:AU1435,"="&amp;AU1435,AY$4:AY1435,"="&amp;AY1435)</f>
        <v>144</v>
      </c>
      <c r="BI1435" s="25" t="s">
        <v>1158</v>
      </c>
      <c r="BJ1435" s="14">
        <f t="shared" si="338"/>
        <v>5760</v>
      </c>
      <c r="BK1435" s="14">
        <f>SUMIFS(BJ$4:BJ1435,$AU$4:$AU1435,"="&amp;$AU1435,$AY$4:$AY1435,"="&amp;$AY1435)</f>
        <v>5760</v>
      </c>
    </row>
    <row r="1436" spans="46:63" ht="16.5" x14ac:dyDescent="0.2">
      <c r="AT1436" s="13">
        <v>1433</v>
      </c>
      <c r="AU1436" s="13">
        <f t="shared" si="330"/>
        <v>18</v>
      </c>
      <c r="AV1436" s="14">
        <f t="shared" si="331"/>
        <v>202608</v>
      </c>
      <c r="AW1436" s="14">
        <f t="shared" si="332"/>
        <v>1102026</v>
      </c>
      <c r="AX1436" s="13" t="s">
        <v>1127</v>
      </c>
      <c r="AY1436" s="13">
        <f t="shared" si="333"/>
        <v>8</v>
      </c>
      <c r="AZ1436" s="13" t="s">
        <v>1148</v>
      </c>
      <c r="BA1436" s="14">
        <f t="shared" si="334"/>
        <v>2</v>
      </c>
      <c r="BB1436" s="14" t="str">
        <f t="shared" si="335"/>
        <v>雷震子魂珠-8 等级-2</v>
      </c>
      <c r="BC1436" s="25" t="s">
        <v>44</v>
      </c>
      <c r="BD1436" s="14">
        <f t="shared" si="336"/>
        <v>576</v>
      </c>
      <c r="BE1436" s="14">
        <f>SUMIFS(BD$4:BD1436,$AU$4:$AU1436,"="&amp;$AU1436,$AY$4:$AY1436,"="&amp;$AY1436)</f>
        <v>960</v>
      </c>
      <c r="BF1436" s="25" t="s">
        <v>1157</v>
      </c>
      <c r="BG1436" s="14">
        <f t="shared" si="337"/>
        <v>216</v>
      </c>
      <c r="BH1436" s="14">
        <f>SUMIFS(BG$4:BG1436,AU$4:AU1436,"="&amp;AU1436,AY$4:AY1436,"="&amp;AY1436)</f>
        <v>360</v>
      </c>
      <c r="BI1436" s="25" t="s">
        <v>1158</v>
      </c>
      <c r="BJ1436" s="14">
        <f t="shared" si="338"/>
        <v>8640</v>
      </c>
      <c r="BK1436" s="14">
        <f>SUMIFS(BJ$4:BJ1436,$AU$4:$AU1436,"="&amp;$AU1436,$AY$4:$AY1436,"="&amp;$AY1436)</f>
        <v>14400</v>
      </c>
    </row>
    <row r="1437" spans="46:63" ht="16.5" x14ac:dyDescent="0.2">
      <c r="AT1437" s="13">
        <v>1434</v>
      </c>
      <c r="AU1437" s="13">
        <f t="shared" si="330"/>
        <v>18</v>
      </c>
      <c r="AV1437" s="14">
        <f t="shared" si="331"/>
        <v>202608</v>
      </c>
      <c r="AW1437" s="14">
        <f t="shared" si="332"/>
        <v>1102026</v>
      </c>
      <c r="AX1437" s="13" t="s">
        <v>1127</v>
      </c>
      <c r="AY1437" s="13">
        <f t="shared" si="333"/>
        <v>8</v>
      </c>
      <c r="AZ1437" s="13" t="s">
        <v>1148</v>
      </c>
      <c r="BA1437" s="14">
        <f t="shared" si="334"/>
        <v>3</v>
      </c>
      <c r="BB1437" s="14" t="str">
        <f t="shared" si="335"/>
        <v>雷震子魂珠-8 等级-3</v>
      </c>
      <c r="BC1437" s="25" t="s">
        <v>44</v>
      </c>
      <c r="BD1437" s="14">
        <f t="shared" si="336"/>
        <v>768</v>
      </c>
      <c r="BE1437" s="14">
        <f>SUMIFS(BD$4:BD1437,$AU$4:$AU1437,"="&amp;$AU1437,$AY$4:$AY1437,"="&amp;$AY1437)</f>
        <v>1728</v>
      </c>
      <c r="BF1437" s="25" t="s">
        <v>1157</v>
      </c>
      <c r="BG1437" s="14">
        <f t="shared" si="337"/>
        <v>288</v>
      </c>
      <c r="BH1437" s="14">
        <f>SUMIFS(BG$4:BG1437,AU$4:AU1437,"="&amp;AU1437,AY$4:AY1437,"="&amp;AY1437)</f>
        <v>648</v>
      </c>
      <c r="BI1437" s="25" t="s">
        <v>1158</v>
      </c>
      <c r="BJ1437" s="14">
        <f t="shared" si="338"/>
        <v>11520</v>
      </c>
      <c r="BK1437" s="14">
        <f>SUMIFS(BJ$4:BJ1437,$AU$4:$AU1437,"="&amp;$AU1437,$AY$4:$AY1437,"="&amp;$AY1437)</f>
        <v>25920</v>
      </c>
    </row>
    <row r="1438" spans="46:63" ht="16.5" x14ac:dyDescent="0.2">
      <c r="AT1438" s="13">
        <v>1435</v>
      </c>
      <c r="AU1438" s="13">
        <f t="shared" si="330"/>
        <v>18</v>
      </c>
      <c r="AV1438" s="14">
        <f t="shared" si="331"/>
        <v>202608</v>
      </c>
      <c r="AW1438" s="14">
        <f t="shared" si="332"/>
        <v>1102026</v>
      </c>
      <c r="AX1438" s="13" t="s">
        <v>1127</v>
      </c>
      <c r="AY1438" s="13">
        <f t="shared" si="333"/>
        <v>8</v>
      </c>
      <c r="AZ1438" s="13" t="s">
        <v>1148</v>
      </c>
      <c r="BA1438" s="14">
        <f t="shared" si="334"/>
        <v>4</v>
      </c>
      <c r="BB1438" s="14" t="str">
        <f t="shared" si="335"/>
        <v>雷震子魂珠-8 等级-4</v>
      </c>
      <c r="BC1438" s="25" t="s">
        <v>44</v>
      </c>
      <c r="BD1438" s="14">
        <f t="shared" si="336"/>
        <v>1152</v>
      </c>
      <c r="BE1438" s="14">
        <f>SUMIFS(BD$4:BD1438,$AU$4:$AU1438,"="&amp;$AU1438,$AY$4:$AY1438,"="&amp;$AY1438)</f>
        <v>2880</v>
      </c>
      <c r="BF1438" s="25" t="s">
        <v>1157</v>
      </c>
      <c r="BG1438" s="14">
        <f t="shared" si="337"/>
        <v>432</v>
      </c>
      <c r="BH1438" s="14">
        <f>SUMIFS(BG$4:BG1438,AU$4:AU1438,"="&amp;AU1438,AY$4:AY1438,"="&amp;AY1438)</f>
        <v>1080</v>
      </c>
      <c r="BI1438" s="25" t="s">
        <v>1158</v>
      </c>
      <c r="BJ1438" s="14">
        <f t="shared" si="338"/>
        <v>17280</v>
      </c>
      <c r="BK1438" s="14">
        <f>SUMIFS(BJ$4:BJ1438,$AU$4:$AU1438,"="&amp;$AU1438,$AY$4:$AY1438,"="&amp;$AY1438)</f>
        <v>43200</v>
      </c>
    </row>
    <row r="1439" spans="46:63" ht="16.5" x14ac:dyDescent="0.2">
      <c r="AT1439" s="13">
        <v>1436</v>
      </c>
      <c r="AU1439" s="13">
        <f t="shared" si="330"/>
        <v>18</v>
      </c>
      <c r="AV1439" s="14">
        <f t="shared" si="331"/>
        <v>202608</v>
      </c>
      <c r="AW1439" s="14">
        <f t="shared" si="332"/>
        <v>1102026</v>
      </c>
      <c r="AX1439" s="13" t="s">
        <v>1127</v>
      </c>
      <c r="AY1439" s="13">
        <f t="shared" si="333"/>
        <v>8</v>
      </c>
      <c r="AZ1439" s="13" t="s">
        <v>1148</v>
      </c>
      <c r="BA1439" s="14">
        <f t="shared" si="334"/>
        <v>5</v>
      </c>
      <c r="BB1439" s="14" t="str">
        <f t="shared" si="335"/>
        <v>雷震子魂珠-8 等级-5</v>
      </c>
      <c r="BC1439" s="25" t="s">
        <v>44</v>
      </c>
      <c r="BD1439" s="14">
        <f t="shared" si="336"/>
        <v>1536</v>
      </c>
      <c r="BE1439" s="14">
        <f>SUMIFS(BD$4:BD1439,$AU$4:$AU1439,"="&amp;$AU1439,$AY$4:$AY1439,"="&amp;$AY1439)</f>
        <v>4416</v>
      </c>
      <c r="BF1439" s="25" t="s">
        <v>1157</v>
      </c>
      <c r="BG1439" s="14">
        <f t="shared" si="337"/>
        <v>576</v>
      </c>
      <c r="BH1439" s="14">
        <f>SUMIFS(BG$4:BG1439,AU$4:AU1439,"="&amp;AU1439,AY$4:AY1439,"="&amp;AY1439)</f>
        <v>1656</v>
      </c>
      <c r="BI1439" s="25" t="s">
        <v>1158</v>
      </c>
      <c r="BJ1439" s="14">
        <f t="shared" si="338"/>
        <v>23040</v>
      </c>
      <c r="BK1439" s="14">
        <f>SUMIFS(BJ$4:BJ1439,$AU$4:$AU1439,"="&amp;$AU1439,$AY$4:$AY1439,"="&amp;$AY1439)</f>
        <v>66240</v>
      </c>
    </row>
    <row r="1440" spans="46:63" ht="16.5" x14ac:dyDescent="0.2">
      <c r="AT1440" s="13">
        <v>1437</v>
      </c>
      <c r="AU1440" s="13">
        <f t="shared" si="330"/>
        <v>18</v>
      </c>
      <c r="AV1440" s="14">
        <f t="shared" si="331"/>
        <v>202608</v>
      </c>
      <c r="AW1440" s="14">
        <f t="shared" si="332"/>
        <v>1102026</v>
      </c>
      <c r="AX1440" s="13" t="s">
        <v>1127</v>
      </c>
      <c r="AY1440" s="13">
        <f t="shared" si="333"/>
        <v>8</v>
      </c>
      <c r="AZ1440" s="13" t="s">
        <v>1148</v>
      </c>
      <c r="BA1440" s="14">
        <f t="shared" si="334"/>
        <v>6</v>
      </c>
      <c r="BB1440" s="14" t="str">
        <f t="shared" si="335"/>
        <v>雷震子魂珠-8 等级-6</v>
      </c>
      <c r="BC1440" s="25" t="s">
        <v>44</v>
      </c>
      <c r="BD1440" s="14">
        <f t="shared" si="336"/>
        <v>1920</v>
      </c>
      <c r="BE1440" s="14">
        <f>SUMIFS(BD$4:BD1440,$AU$4:$AU1440,"="&amp;$AU1440,$AY$4:$AY1440,"="&amp;$AY1440)</f>
        <v>6336</v>
      </c>
      <c r="BF1440" s="25" t="s">
        <v>1157</v>
      </c>
      <c r="BG1440" s="14">
        <f t="shared" si="337"/>
        <v>720</v>
      </c>
      <c r="BH1440" s="14">
        <f>SUMIFS(BG$4:BG1440,AU$4:AU1440,"="&amp;AU1440,AY$4:AY1440,"="&amp;AY1440)</f>
        <v>2376</v>
      </c>
      <c r="BI1440" s="25" t="s">
        <v>1158</v>
      </c>
      <c r="BJ1440" s="14">
        <f t="shared" si="338"/>
        <v>28800</v>
      </c>
      <c r="BK1440" s="14">
        <f>SUMIFS(BJ$4:BJ1440,$AU$4:$AU1440,"="&amp;$AU1440,$AY$4:$AY1440,"="&amp;$AY1440)</f>
        <v>95040</v>
      </c>
    </row>
    <row r="1441" spans="46:63" ht="16.5" x14ac:dyDescent="0.2">
      <c r="AT1441" s="13">
        <v>1438</v>
      </c>
      <c r="AU1441" s="13">
        <f t="shared" si="330"/>
        <v>18</v>
      </c>
      <c r="AV1441" s="14">
        <f t="shared" si="331"/>
        <v>202608</v>
      </c>
      <c r="AW1441" s="14">
        <f t="shared" si="332"/>
        <v>1102026</v>
      </c>
      <c r="AX1441" s="13" t="s">
        <v>1127</v>
      </c>
      <c r="AY1441" s="13">
        <f t="shared" si="333"/>
        <v>8</v>
      </c>
      <c r="AZ1441" s="13" t="s">
        <v>1148</v>
      </c>
      <c r="BA1441" s="14">
        <f t="shared" si="334"/>
        <v>7</v>
      </c>
      <c r="BB1441" s="14" t="str">
        <f t="shared" si="335"/>
        <v>雷震子魂珠-8 等级-7</v>
      </c>
      <c r="BC1441" s="25" t="s">
        <v>44</v>
      </c>
      <c r="BD1441" s="14">
        <f t="shared" si="336"/>
        <v>2304</v>
      </c>
      <c r="BE1441" s="14">
        <f>SUMIFS(BD$4:BD1441,$AU$4:$AU1441,"="&amp;$AU1441,$AY$4:$AY1441,"="&amp;$AY1441)</f>
        <v>8640</v>
      </c>
      <c r="BF1441" s="25" t="s">
        <v>1157</v>
      </c>
      <c r="BG1441" s="14">
        <f t="shared" si="337"/>
        <v>864</v>
      </c>
      <c r="BH1441" s="14">
        <f>SUMIFS(BG$4:BG1441,AU$4:AU1441,"="&amp;AU1441,AY$4:AY1441,"="&amp;AY1441)</f>
        <v>3240</v>
      </c>
      <c r="BI1441" s="25" t="s">
        <v>1158</v>
      </c>
      <c r="BJ1441" s="14">
        <f t="shared" si="338"/>
        <v>34560</v>
      </c>
      <c r="BK1441" s="14">
        <f>SUMIFS(BJ$4:BJ1441,$AU$4:$AU1441,"="&amp;$AU1441,$AY$4:$AY1441,"="&amp;$AY1441)</f>
        <v>129600</v>
      </c>
    </row>
    <row r="1442" spans="46:63" ht="16.5" x14ac:dyDescent="0.2">
      <c r="AT1442" s="13">
        <v>1439</v>
      </c>
      <c r="AU1442" s="13">
        <f t="shared" si="330"/>
        <v>18</v>
      </c>
      <c r="AV1442" s="14">
        <f t="shared" si="331"/>
        <v>202608</v>
      </c>
      <c r="AW1442" s="14">
        <f t="shared" si="332"/>
        <v>1102026</v>
      </c>
      <c r="AX1442" s="13" t="s">
        <v>1127</v>
      </c>
      <c r="AY1442" s="13">
        <f t="shared" si="333"/>
        <v>8</v>
      </c>
      <c r="AZ1442" s="13" t="s">
        <v>1148</v>
      </c>
      <c r="BA1442" s="14">
        <f t="shared" si="334"/>
        <v>8</v>
      </c>
      <c r="BB1442" s="14" t="str">
        <f t="shared" si="335"/>
        <v>雷震子魂珠-8 等级-8</v>
      </c>
      <c r="BC1442" s="25" t="s">
        <v>44</v>
      </c>
      <c r="BD1442" s="14">
        <f t="shared" si="336"/>
        <v>2688</v>
      </c>
      <c r="BE1442" s="14">
        <f>SUMIFS(BD$4:BD1442,$AU$4:$AU1442,"="&amp;$AU1442,$AY$4:$AY1442,"="&amp;$AY1442)</f>
        <v>11328</v>
      </c>
      <c r="BF1442" s="25" t="s">
        <v>1157</v>
      </c>
      <c r="BG1442" s="14">
        <f t="shared" si="337"/>
        <v>1008</v>
      </c>
      <c r="BH1442" s="14">
        <f>SUMIFS(BG$4:BG1442,AU$4:AU1442,"="&amp;AU1442,AY$4:AY1442,"="&amp;AY1442)</f>
        <v>4248</v>
      </c>
      <c r="BI1442" s="25" t="s">
        <v>1158</v>
      </c>
      <c r="BJ1442" s="14">
        <f t="shared" si="338"/>
        <v>40320</v>
      </c>
      <c r="BK1442" s="14">
        <f>SUMIFS(BJ$4:BJ1442,$AU$4:$AU1442,"="&amp;$AU1442,$AY$4:$AY1442,"="&amp;$AY1442)</f>
        <v>169920</v>
      </c>
    </row>
    <row r="1443" spans="46:63" ht="16.5" x14ac:dyDescent="0.2">
      <c r="AT1443" s="13">
        <v>1440</v>
      </c>
      <c r="AU1443" s="13">
        <f t="shared" si="330"/>
        <v>18</v>
      </c>
      <c r="AV1443" s="14">
        <f t="shared" si="331"/>
        <v>202608</v>
      </c>
      <c r="AW1443" s="14">
        <f t="shared" si="332"/>
        <v>1102026</v>
      </c>
      <c r="AX1443" s="13" t="s">
        <v>1127</v>
      </c>
      <c r="AY1443" s="13">
        <f t="shared" si="333"/>
        <v>8</v>
      </c>
      <c r="AZ1443" s="13" t="s">
        <v>1148</v>
      </c>
      <c r="BA1443" s="14">
        <f t="shared" si="334"/>
        <v>9</v>
      </c>
      <c r="BB1443" s="14" t="str">
        <f t="shared" si="335"/>
        <v>雷震子魂珠-8 等级-9</v>
      </c>
      <c r="BC1443" s="25" t="s">
        <v>44</v>
      </c>
      <c r="BD1443" s="14">
        <f t="shared" si="336"/>
        <v>3072</v>
      </c>
      <c r="BE1443" s="14">
        <f>SUMIFS(BD$4:BD1443,$AU$4:$AU1443,"="&amp;$AU1443,$AY$4:$AY1443,"="&amp;$AY1443)</f>
        <v>14400</v>
      </c>
      <c r="BF1443" s="25" t="s">
        <v>1157</v>
      </c>
      <c r="BG1443" s="14">
        <f t="shared" si="337"/>
        <v>1152</v>
      </c>
      <c r="BH1443" s="14">
        <f>SUMIFS(BG$4:BG1443,AU$4:AU1443,"="&amp;AU1443,AY$4:AY1443,"="&amp;AY1443)</f>
        <v>5400</v>
      </c>
      <c r="BI1443" s="25" t="s">
        <v>1158</v>
      </c>
      <c r="BJ1443" s="14">
        <f t="shared" si="338"/>
        <v>46080</v>
      </c>
      <c r="BK1443" s="14">
        <f>SUMIFS(BJ$4:BJ1443,$AU$4:$AU1443,"="&amp;$AU1443,$AY$4:$AY1443,"="&amp;$AY1443)</f>
        <v>216000</v>
      </c>
    </row>
    <row r="1444" spans="46:63" ht="16.5" x14ac:dyDescent="0.2">
      <c r="AT1444" s="13">
        <v>1441</v>
      </c>
      <c r="AU1444" s="13">
        <f t="shared" si="330"/>
        <v>19</v>
      </c>
      <c r="AV1444" s="14">
        <f t="shared" si="331"/>
        <v>202801</v>
      </c>
      <c r="AW1444" s="14">
        <f t="shared" si="332"/>
        <v>1102028</v>
      </c>
      <c r="AX1444" s="13" t="s">
        <v>1127</v>
      </c>
      <c r="AY1444" s="13">
        <f t="shared" si="333"/>
        <v>1</v>
      </c>
      <c r="AZ1444" s="13" t="s">
        <v>1148</v>
      </c>
      <c r="BA1444" s="14">
        <f t="shared" si="334"/>
        <v>0</v>
      </c>
      <c r="BB1444" s="14" t="str">
        <f t="shared" si="335"/>
        <v>吕布魂珠-1 等级-0</v>
      </c>
      <c r="BC1444" s="25" t="s">
        <v>44</v>
      </c>
      <c r="BD1444" s="14">
        <f t="shared" si="336"/>
        <v>0</v>
      </c>
      <c r="BE1444" s="14">
        <f>SUMIFS(BD$4:BD1444,$AU$4:$AU1444,"="&amp;$AU1444,$AY$4:$AY1444,"="&amp;$AY1444)</f>
        <v>0</v>
      </c>
      <c r="BF1444" s="25" t="s">
        <v>1157</v>
      </c>
      <c r="BG1444" s="14">
        <f t="shared" si="337"/>
        <v>0</v>
      </c>
      <c r="BH1444" s="14">
        <f>SUMIFS(BG$4:BG1444,AU$4:AU1444,"="&amp;AU1444,AY$4:AY1444,"="&amp;AY1444)</f>
        <v>0</v>
      </c>
      <c r="BI1444" s="25" t="s">
        <v>1158</v>
      </c>
      <c r="BJ1444" s="14">
        <f t="shared" si="338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0"/>
        <v>19</v>
      </c>
      <c r="AV1445" s="14">
        <f t="shared" si="331"/>
        <v>202801</v>
      </c>
      <c r="AW1445" s="14">
        <f t="shared" si="332"/>
        <v>1102028</v>
      </c>
      <c r="AX1445" s="13" t="s">
        <v>1127</v>
      </c>
      <c r="AY1445" s="13">
        <f t="shared" si="333"/>
        <v>1</v>
      </c>
      <c r="AZ1445" s="13" t="s">
        <v>1148</v>
      </c>
      <c r="BA1445" s="14">
        <f t="shared" si="334"/>
        <v>1</v>
      </c>
      <c r="BB1445" s="14" t="str">
        <f t="shared" si="335"/>
        <v>吕布魂珠-1 等级-1</v>
      </c>
      <c r="BC1445" s="25" t="s">
        <v>44</v>
      </c>
      <c r="BD1445" s="14">
        <f t="shared" si="336"/>
        <v>54</v>
      </c>
      <c r="BE1445" s="14">
        <f>SUMIFS(BD$4:BD1445,$AU$4:$AU1445,"="&amp;$AU1445,$AY$4:$AY1445,"="&amp;$AY1445)</f>
        <v>54</v>
      </c>
      <c r="BF1445" s="25" t="s">
        <v>1157</v>
      </c>
      <c r="BG1445" s="14">
        <f t="shared" si="337"/>
        <v>27</v>
      </c>
      <c r="BH1445" s="14">
        <f>SUMIFS(BG$4:BG1445,AU$4:AU1445,"="&amp;AU1445,AY$4:AY1445,"="&amp;AY1445)</f>
        <v>27</v>
      </c>
      <c r="BI1445" s="25" t="s">
        <v>1158</v>
      </c>
      <c r="BJ1445" s="14">
        <f t="shared" si="338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0"/>
        <v>19</v>
      </c>
      <c r="AV1446" s="14">
        <f t="shared" si="331"/>
        <v>202801</v>
      </c>
      <c r="AW1446" s="14">
        <f t="shared" si="332"/>
        <v>1102028</v>
      </c>
      <c r="AX1446" s="13" t="s">
        <v>1127</v>
      </c>
      <c r="AY1446" s="13">
        <f t="shared" si="333"/>
        <v>1</v>
      </c>
      <c r="AZ1446" s="13" t="s">
        <v>1148</v>
      </c>
      <c r="BA1446" s="14">
        <f t="shared" si="334"/>
        <v>2</v>
      </c>
      <c r="BB1446" s="14" t="str">
        <f t="shared" si="335"/>
        <v>吕布魂珠-1 等级-2</v>
      </c>
      <c r="BC1446" s="25" t="s">
        <v>44</v>
      </c>
      <c r="BD1446" s="14">
        <f t="shared" si="336"/>
        <v>81</v>
      </c>
      <c r="BE1446" s="14">
        <f>SUMIFS(BD$4:BD1446,$AU$4:$AU1446,"="&amp;$AU1446,$AY$4:$AY1446,"="&amp;$AY1446)</f>
        <v>135</v>
      </c>
      <c r="BF1446" s="25" t="s">
        <v>1157</v>
      </c>
      <c r="BG1446" s="14">
        <f t="shared" si="337"/>
        <v>41</v>
      </c>
      <c r="BH1446" s="14">
        <f>SUMIFS(BG$4:BG1446,AU$4:AU1446,"="&amp;AU1446,AY$4:AY1446,"="&amp;AY1446)</f>
        <v>68</v>
      </c>
      <c r="BI1446" s="25" t="s">
        <v>1158</v>
      </c>
      <c r="BJ1446" s="14">
        <f t="shared" si="338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0"/>
        <v>19</v>
      </c>
      <c r="AV1447" s="14">
        <f t="shared" si="331"/>
        <v>202801</v>
      </c>
      <c r="AW1447" s="14">
        <f t="shared" si="332"/>
        <v>1102028</v>
      </c>
      <c r="AX1447" s="13" t="s">
        <v>1127</v>
      </c>
      <c r="AY1447" s="13">
        <f t="shared" si="333"/>
        <v>1</v>
      </c>
      <c r="AZ1447" s="13" t="s">
        <v>1148</v>
      </c>
      <c r="BA1447" s="14">
        <f t="shared" si="334"/>
        <v>3</v>
      </c>
      <c r="BB1447" s="14" t="str">
        <f t="shared" si="335"/>
        <v>吕布魂珠-1 等级-3</v>
      </c>
      <c r="BC1447" s="25" t="s">
        <v>44</v>
      </c>
      <c r="BD1447" s="14">
        <f t="shared" si="336"/>
        <v>108</v>
      </c>
      <c r="BE1447" s="14">
        <f>SUMIFS(BD$4:BD1447,$AU$4:$AU1447,"="&amp;$AU1447,$AY$4:$AY1447,"="&amp;$AY1447)</f>
        <v>243</v>
      </c>
      <c r="BF1447" s="25" t="s">
        <v>1157</v>
      </c>
      <c r="BG1447" s="14">
        <f t="shared" si="337"/>
        <v>54</v>
      </c>
      <c r="BH1447" s="14">
        <f>SUMIFS(BG$4:BG1447,AU$4:AU1447,"="&amp;AU1447,AY$4:AY1447,"="&amp;AY1447)</f>
        <v>122</v>
      </c>
      <c r="BI1447" s="25" t="s">
        <v>1158</v>
      </c>
      <c r="BJ1447" s="14">
        <f t="shared" si="338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0"/>
        <v>19</v>
      </c>
      <c r="AV1448" s="14">
        <f t="shared" si="331"/>
        <v>202801</v>
      </c>
      <c r="AW1448" s="14">
        <f t="shared" si="332"/>
        <v>1102028</v>
      </c>
      <c r="AX1448" s="13" t="s">
        <v>1127</v>
      </c>
      <c r="AY1448" s="13">
        <f t="shared" si="333"/>
        <v>1</v>
      </c>
      <c r="AZ1448" s="13" t="s">
        <v>1148</v>
      </c>
      <c r="BA1448" s="14">
        <f t="shared" si="334"/>
        <v>4</v>
      </c>
      <c r="BB1448" s="14" t="str">
        <f t="shared" si="335"/>
        <v>吕布魂珠-1 等级-4</v>
      </c>
      <c r="BC1448" s="25" t="s">
        <v>44</v>
      </c>
      <c r="BD1448" s="14">
        <f t="shared" si="336"/>
        <v>162</v>
      </c>
      <c r="BE1448" s="14">
        <f>SUMIFS(BD$4:BD1448,$AU$4:$AU1448,"="&amp;$AU1448,$AY$4:$AY1448,"="&amp;$AY1448)</f>
        <v>405</v>
      </c>
      <c r="BF1448" s="25" t="s">
        <v>1157</v>
      </c>
      <c r="BG1448" s="14">
        <f t="shared" si="337"/>
        <v>81</v>
      </c>
      <c r="BH1448" s="14">
        <f>SUMIFS(BG$4:BG1448,AU$4:AU1448,"="&amp;AU1448,AY$4:AY1448,"="&amp;AY1448)</f>
        <v>203</v>
      </c>
      <c r="BI1448" s="25" t="s">
        <v>1158</v>
      </c>
      <c r="BJ1448" s="14">
        <f t="shared" si="338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0"/>
        <v>19</v>
      </c>
      <c r="AV1449" s="14">
        <f t="shared" si="331"/>
        <v>202801</v>
      </c>
      <c r="AW1449" s="14">
        <f t="shared" si="332"/>
        <v>1102028</v>
      </c>
      <c r="AX1449" s="13" t="s">
        <v>1127</v>
      </c>
      <c r="AY1449" s="13">
        <f t="shared" si="333"/>
        <v>1</v>
      </c>
      <c r="AZ1449" s="13" t="s">
        <v>1148</v>
      </c>
      <c r="BA1449" s="14">
        <f t="shared" si="334"/>
        <v>5</v>
      </c>
      <c r="BB1449" s="14" t="str">
        <f t="shared" si="335"/>
        <v>吕布魂珠-1 等级-5</v>
      </c>
      <c r="BC1449" s="25" t="s">
        <v>44</v>
      </c>
      <c r="BD1449" s="14">
        <f t="shared" si="336"/>
        <v>216</v>
      </c>
      <c r="BE1449" s="14">
        <f>SUMIFS(BD$4:BD1449,$AU$4:$AU1449,"="&amp;$AU1449,$AY$4:$AY1449,"="&amp;$AY1449)</f>
        <v>621</v>
      </c>
      <c r="BF1449" s="25" t="s">
        <v>1157</v>
      </c>
      <c r="BG1449" s="14">
        <f t="shared" si="337"/>
        <v>108</v>
      </c>
      <c r="BH1449" s="14">
        <f>SUMIFS(BG$4:BG1449,AU$4:AU1449,"="&amp;AU1449,AY$4:AY1449,"="&amp;AY1449)</f>
        <v>311</v>
      </c>
      <c r="BI1449" s="25" t="s">
        <v>1158</v>
      </c>
      <c r="BJ1449" s="14">
        <f t="shared" si="338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0"/>
        <v>19</v>
      </c>
      <c r="AV1450" s="14">
        <f t="shared" si="331"/>
        <v>202801</v>
      </c>
      <c r="AW1450" s="14">
        <f t="shared" si="332"/>
        <v>1102028</v>
      </c>
      <c r="AX1450" s="13" t="s">
        <v>1127</v>
      </c>
      <c r="AY1450" s="13">
        <f t="shared" si="333"/>
        <v>1</v>
      </c>
      <c r="AZ1450" s="13" t="s">
        <v>1148</v>
      </c>
      <c r="BA1450" s="14">
        <f t="shared" si="334"/>
        <v>6</v>
      </c>
      <c r="BB1450" s="14" t="str">
        <f t="shared" si="335"/>
        <v>吕布魂珠-1 等级-6</v>
      </c>
      <c r="BC1450" s="25" t="s">
        <v>44</v>
      </c>
      <c r="BD1450" s="14">
        <f t="shared" si="336"/>
        <v>270</v>
      </c>
      <c r="BE1450" s="14">
        <f>SUMIFS(BD$4:BD1450,$AU$4:$AU1450,"="&amp;$AU1450,$AY$4:$AY1450,"="&amp;$AY1450)</f>
        <v>891</v>
      </c>
      <c r="BF1450" s="25" t="s">
        <v>1157</v>
      </c>
      <c r="BG1450" s="14">
        <f t="shared" si="337"/>
        <v>135</v>
      </c>
      <c r="BH1450" s="14">
        <f>SUMIFS(BG$4:BG1450,AU$4:AU1450,"="&amp;AU1450,AY$4:AY1450,"="&amp;AY1450)</f>
        <v>446</v>
      </c>
      <c r="BI1450" s="25" t="s">
        <v>1158</v>
      </c>
      <c r="BJ1450" s="14">
        <f t="shared" si="338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0"/>
        <v>19</v>
      </c>
      <c r="AV1451" s="14">
        <f t="shared" si="331"/>
        <v>202801</v>
      </c>
      <c r="AW1451" s="14">
        <f t="shared" si="332"/>
        <v>1102028</v>
      </c>
      <c r="AX1451" s="13" t="s">
        <v>1127</v>
      </c>
      <c r="AY1451" s="13">
        <f t="shared" si="333"/>
        <v>1</v>
      </c>
      <c r="AZ1451" s="13" t="s">
        <v>1148</v>
      </c>
      <c r="BA1451" s="14">
        <f t="shared" si="334"/>
        <v>7</v>
      </c>
      <c r="BB1451" s="14" t="str">
        <f t="shared" si="335"/>
        <v>吕布魂珠-1 等级-7</v>
      </c>
      <c r="BC1451" s="25" t="s">
        <v>44</v>
      </c>
      <c r="BD1451" s="14">
        <f t="shared" si="336"/>
        <v>324</v>
      </c>
      <c r="BE1451" s="14">
        <f>SUMIFS(BD$4:BD1451,$AU$4:$AU1451,"="&amp;$AU1451,$AY$4:$AY1451,"="&amp;$AY1451)</f>
        <v>1215</v>
      </c>
      <c r="BF1451" s="25" t="s">
        <v>1157</v>
      </c>
      <c r="BG1451" s="14">
        <f t="shared" si="337"/>
        <v>162</v>
      </c>
      <c r="BH1451" s="14">
        <f>SUMIFS(BG$4:BG1451,AU$4:AU1451,"="&amp;AU1451,AY$4:AY1451,"="&amp;AY1451)</f>
        <v>608</v>
      </c>
      <c r="BI1451" s="25" t="s">
        <v>1158</v>
      </c>
      <c r="BJ1451" s="14">
        <f t="shared" si="338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0"/>
        <v>19</v>
      </c>
      <c r="AV1452" s="14">
        <f t="shared" si="331"/>
        <v>202801</v>
      </c>
      <c r="AW1452" s="14">
        <f t="shared" si="332"/>
        <v>1102028</v>
      </c>
      <c r="AX1452" s="13" t="s">
        <v>1127</v>
      </c>
      <c r="AY1452" s="13">
        <f t="shared" si="333"/>
        <v>1</v>
      </c>
      <c r="AZ1452" s="13" t="s">
        <v>1148</v>
      </c>
      <c r="BA1452" s="14">
        <f t="shared" si="334"/>
        <v>8</v>
      </c>
      <c r="BB1452" s="14" t="str">
        <f t="shared" si="335"/>
        <v>吕布魂珠-1 等级-8</v>
      </c>
      <c r="BC1452" s="25" t="s">
        <v>44</v>
      </c>
      <c r="BD1452" s="14">
        <f t="shared" si="336"/>
        <v>378</v>
      </c>
      <c r="BE1452" s="14">
        <f>SUMIFS(BD$4:BD1452,$AU$4:$AU1452,"="&amp;$AU1452,$AY$4:$AY1452,"="&amp;$AY1452)</f>
        <v>1593</v>
      </c>
      <c r="BF1452" s="25" t="s">
        <v>1157</v>
      </c>
      <c r="BG1452" s="14">
        <f t="shared" si="337"/>
        <v>189</v>
      </c>
      <c r="BH1452" s="14">
        <f>SUMIFS(BG$4:BG1452,AU$4:AU1452,"="&amp;AU1452,AY$4:AY1452,"="&amp;AY1452)</f>
        <v>797</v>
      </c>
      <c r="BI1452" s="25" t="s">
        <v>1158</v>
      </c>
      <c r="BJ1452" s="14">
        <f t="shared" si="338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0"/>
        <v>19</v>
      </c>
      <c r="AV1453" s="14">
        <f t="shared" si="331"/>
        <v>202801</v>
      </c>
      <c r="AW1453" s="14">
        <f t="shared" si="332"/>
        <v>1102028</v>
      </c>
      <c r="AX1453" s="13" t="s">
        <v>1127</v>
      </c>
      <c r="AY1453" s="13">
        <f t="shared" si="333"/>
        <v>1</v>
      </c>
      <c r="AZ1453" s="13" t="s">
        <v>1148</v>
      </c>
      <c r="BA1453" s="14">
        <f t="shared" si="334"/>
        <v>9</v>
      </c>
      <c r="BB1453" s="14" t="str">
        <f t="shared" si="335"/>
        <v>吕布魂珠-1 等级-9</v>
      </c>
      <c r="BC1453" s="25" t="s">
        <v>44</v>
      </c>
      <c r="BD1453" s="14">
        <f t="shared" si="336"/>
        <v>432</v>
      </c>
      <c r="BE1453" s="14">
        <f>SUMIFS(BD$4:BD1453,$AU$4:$AU1453,"="&amp;$AU1453,$AY$4:$AY1453,"="&amp;$AY1453)</f>
        <v>2025</v>
      </c>
      <c r="BF1453" s="25" t="s">
        <v>1157</v>
      </c>
      <c r="BG1453" s="14">
        <f t="shared" si="337"/>
        <v>216</v>
      </c>
      <c r="BH1453" s="14">
        <f>SUMIFS(BG$4:BG1453,AU$4:AU1453,"="&amp;AU1453,AY$4:AY1453,"="&amp;AY1453)</f>
        <v>1013</v>
      </c>
      <c r="BI1453" s="25" t="s">
        <v>1158</v>
      </c>
      <c r="BJ1453" s="14">
        <f t="shared" si="338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0"/>
        <v>19</v>
      </c>
      <c r="AV1454" s="14">
        <f t="shared" si="331"/>
        <v>202802</v>
      </c>
      <c r="AW1454" s="14">
        <f t="shared" si="332"/>
        <v>1102028</v>
      </c>
      <c r="AX1454" s="13" t="s">
        <v>1127</v>
      </c>
      <c r="AY1454" s="13">
        <f t="shared" si="333"/>
        <v>2</v>
      </c>
      <c r="AZ1454" s="13" t="s">
        <v>1148</v>
      </c>
      <c r="BA1454" s="14">
        <f t="shared" si="334"/>
        <v>0</v>
      </c>
      <c r="BB1454" s="14" t="str">
        <f t="shared" si="335"/>
        <v>吕布魂珠-2 等级-0</v>
      </c>
      <c r="BC1454" s="25" t="s">
        <v>44</v>
      </c>
      <c r="BD1454" s="14">
        <f t="shared" si="336"/>
        <v>0</v>
      </c>
      <c r="BE1454" s="14">
        <f>SUMIFS(BD$4:BD1454,$AU$4:$AU1454,"="&amp;$AU1454,$AY$4:$AY1454,"="&amp;$AY1454)</f>
        <v>0</v>
      </c>
      <c r="BF1454" s="25" t="s">
        <v>1157</v>
      </c>
      <c r="BG1454" s="14">
        <f t="shared" si="337"/>
        <v>0</v>
      </c>
      <c r="BH1454" s="14">
        <f>SUMIFS(BG$4:BG1454,AU$4:AU1454,"="&amp;AU1454,AY$4:AY1454,"="&amp;AY1454)</f>
        <v>0</v>
      </c>
      <c r="BI1454" s="25" t="s">
        <v>1158</v>
      </c>
      <c r="BJ1454" s="14">
        <f t="shared" si="338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0"/>
        <v>19</v>
      </c>
      <c r="AV1455" s="14">
        <f t="shared" si="331"/>
        <v>202802</v>
      </c>
      <c r="AW1455" s="14">
        <f t="shared" si="332"/>
        <v>1102028</v>
      </c>
      <c r="AX1455" s="13" t="s">
        <v>1127</v>
      </c>
      <c r="AY1455" s="13">
        <f t="shared" si="333"/>
        <v>2</v>
      </c>
      <c r="AZ1455" s="13" t="s">
        <v>1148</v>
      </c>
      <c r="BA1455" s="14">
        <f t="shared" si="334"/>
        <v>1</v>
      </c>
      <c r="BB1455" s="14" t="str">
        <f t="shared" si="335"/>
        <v>吕布魂珠-2 等级-1</v>
      </c>
      <c r="BC1455" s="25" t="s">
        <v>44</v>
      </c>
      <c r="BD1455" s="14">
        <f t="shared" si="336"/>
        <v>68</v>
      </c>
      <c r="BE1455" s="14">
        <f>SUMIFS(BD$4:BD1455,$AU$4:$AU1455,"="&amp;$AU1455,$AY$4:$AY1455,"="&amp;$AY1455)</f>
        <v>68</v>
      </c>
      <c r="BF1455" s="25" t="s">
        <v>1157</v>
      </c>
      <c r="BG1455" s="14">
        <f t="shared" si="337"/>
        <v>34</v>
      </c>
      <c r="BH1455" s="14">
        <f>SUMIFS(BG$4:BG1455,AU$4:AU1455,"="&amp;AU1455,AY$4:AY1455,"="&amp;AY1455)</f>
        <v>34</v>
      </c>
      <c r="BI1455" s="25" t="s">
        <v>1158</v>
      </c>
      <c r="BJ1455" s="14">
        <f t="shared" si="338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0"/>
        <v>19</v>
      </c>
      <c r="AV1456" s="14">
        <f t="shared" si="331"/>
        <v>202802</v>
      </c>
      <c r="AW1456" s="14">
        <f t="shared" si="332"/>
        <v>1102028</v>
      </c>
      <c r="AX1456" s="13" t="s">
        <v>1127</v>
      </c>
      <c r="AY1456" s="13">
        <f t="shared" si="333"/>
        <v>2</v>
      </c>
      <c r="AZ1456" s="13" t="s">
        <v>1148</v>
      </c>
      <c r="BA1456" s="14">
        <f t="shared" si="334"/>
        <v>2</v>
      </c>
      <c r="BB1456" s="14" t="str">
        <f t="shared" si="335"/>
        <v>吕布魂珠-2 等级-2</v>
      </c>
      <c r="BC1456" s="25" t="s">
        <v>44</v>
      </c>
      <c r="BD1456" s="14">
        <f t="shared" si="336"/>
        <v>108</v>
      </c>
      <c r="BE1456" s="14">
        <f>SUMIFS(BD$4:BD1456,$AU$4:$AU1456,"="&amp;$AU1456,$AY$4:$AY1456,"="&amp;$AY1456)</f>
        <v>176</v>
      </c>
      <c r="BF1456" s="25" t="s">
        <v>1157</v>
      </c>
      <c r="BG1456" s="14">
        <f t="shared" si="337"/>
        <v>54</v>
      </c>
      <c r="BH1456" s="14">
        <f>SUMIFS(BG$4:BG1456,AU$4:AU1456,"="&amp;AU1456,AY$4:AY1456,"="&amp;AY1456)</f>
        <v>88</v>
      </c>
      <c r="BI1456" s="25" t="s">
        <v>1158</v>
      </c>
      <c r="BJ1456" s="14">
        <f t="shared" si="338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0"/>
        <v>19</v>
      </c>
      <c r="AV1457" s="14">
        <f t="shared" si="331"/>
        <v>202802</v>
      </c>
      <c r="AW1457" s="14">
        <f t="shared" si="332"/>
        <v>1102028</v>
      </c>
      <c r="AX1457" s="13" t="s">
        <v>1127</v>
      </c>
      <c r="AY1457" s="13">
        <f t="shared" si="333"/>
        <v>2</v>
      </c>
      <c r="AZ1457" s="13" t="s">
        <v>1148</v>
      </c>
      <c r="BA1457" s="14">
        <f t="shared" si="334"/>
        <v>3</v>
      </c>
      <c r="BB1457" s="14" t="str">
        <f t="shared" si="335"/>
        <v>吕布魂珠-2 等级-3</v>
      </c>
      <c r="BC1457" s="25" t="s">
        <v>44</v>
      </c>
      <c r="BD1457" s="14">
        <f t="shared" si="336"/>
        <v>135</v>
      </c>
      <c r="BE1457" s="14">
        <f>SUMIFS(BD$4:BD1457,$AU$4:$AU1457,"="&amp;$AU1457,$AY$4:$AY1457,"="&amp;$AY1457)</f>
        <v>311</v>
      </c>
      <c r="BF1457" s="25" t="s">
        <v>1157</v>
      </c>
      <c r="BG1457" s="14">
        <f t="shared" si="337"/>
        <v>68</v>
      </c>
      <c r="BH1457" s="14">
        <f>SUMIFS(BG$4:BG1457,AU$4:AU1457,"="&amp;AU1457,AY$4:AY1457,"="&amp;AY1457)</f>
        <v>156</v>
      </c>
      <c r="BI1457" s="25" t="s">
        <v>1158</v>
      </c>
      <c r="BJ1457" s="14">
        <f t="shared" si="338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0"/>
        <v>19</v>
      </c>
      <c r="AV1458" s="14">
        <f t="shared" si="331"/>
        <v>202802</v>
      </c>
      <c r="AW1458" s="14">
        <f t="shared" si="332"/>
        <v>1102028</v>
      </c>
      <c r="AX1458" s="13" t="s">
        <v>1127</v>
      </c>
      <c r="AY1458" s="13">
        <f t="shared" si="333"/>
        <v>2</v>
      </c>
      <c r="AZ1458" s="13" t="s">
        <v>1148</v>
      </c>
      <c r="BA1458" s="14">
        <f t="shared" si="334"/>
        <v>4</v>
      </c>
      <c r="BB1458" s="14" t="str">
        <f t="shared" si="335"/>
        <v>吕布魂珠-2 等级-4</v>
      </c>
      <c r="BC1458" s="25" t="s">
        <v>44</v>
      </c>
      <c r="BD1458" s="14">
        <f t="shared" si="336"/>
        <v>216</v>
      </c>
      <c r="BE1458" s="14">
        <f>SUMIFS(BD$4:BD1458,$AU$4:$AU1458,"="&amp;$AU1458,$AY$4:$AY1458,"="&amp;$AY1458)</f>
        <v>527</v>
      </c>
      <c r="BF1458" s="25" t="s">
        <v>1157</v>
      </c>
      <c r="BG1458" s="14">
        <f t="shared" si="337"/>
        <v>108</v>
      </c>
      <c r="BH1458" s="14">
        <f>SUMIFS(BG$4:BG1458,AU$4:AU1458,"="&amp;AU1458,AY$4:AY1458,"="&amp;AY1458)</f>
        <v>264</v>
      </c>
      <c r="BI1458" s="25" t="s">
        <v>1158</v>
      </c>
      <c r="BJ1458" s="14">
        <f t="shared" si="338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0"/>
        <v>19</v>
      </c>
      <c r="AV1459" s="14">
        <f t="shared" si="331"/>
        <v>202802</v>
      </c>
      <c r="AW1459" s="14">
        <f t="shared" si="332"/>
        <v>1102028</v>
      </c>
      <c r="AX1459" s="13" t="s">
        <v>1127</v>
      </c>
      <c r="AY1459" s="13">
        <f t="shared" si="333"/>
        <v>2</v>
      </c>
      <c r="AZ1459" s="13" t="s">
        <v>1148</v>
      </c>
      <c r="BA1459" s="14">
        <f t="shared" si="334"/>
        <v>5</v>
      </c>
      <c r="BB1459" s="14" t="str">
        <f t="shared" si="335"/>
        <v>吕布魂珠-2 等级-5</v>
      </c>
      <c r="BC1459" s="25" t="s">
        <v>44</v>
      </c>
      <c r="BD1459" s="14">
        <f t="shared" si="336"/>
        <v>297</v>
      </c>
      <c r="BE1459" s="14">
        <f>SUMIFS(BD$4:BD1459,$AU$4:$AU1459,"="&amp;$AU1459,$AY$4:$AY1459,"="&amp;$AY1459)</f>
        <v>824</v>
      </c>
      <c r="BF1459" s="25" t="s">
        <v>1157</v>
      </c>
      <c r="BG1459" s="14">
        <f t="shared" si="337"/>
        <v>149</v>
      </c>
      <c r="BH1459" s="14">
        <f>SUMIFS(BG$4:BG1459,AU$4:AU1459,"="&amp;AU1459,AY$4:AY1459,"="&amp;AY1459)</f>
        <v>413</v>
      </c>
      <c r="BI1459" s="25" t="s">
        <v>1158</v>
      </c>
      <c r="BJ1459" s="14">
        <f t="shared" si="338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0"/>
        <v>19</v>
      </c>
      <c r="AV1460" s="14">
        <f t="shared" si="331"/>
        <v>202802</v>
      </c>
      <c r="AW1460" s="14">
        <f t="shared" si="332"/>
        <v>1102028</v>
      </c>
      <c r="AX1460" s="13" t="s">
        <v>1127</v>
      </c>
      <c r="AY1460" s="13">
        <f t="shared" si="333"/>
        <v>2</v>
      </c>
      <c r="AZ1460" s="13" t="s">
        <v>1148</v>
      </c>
      <c r="BA1460" s="14">
        <f t="shared" si="334"/>
        <v>6</v>
      </c>
      <c r="BB1460" s="14" t="str">
        <f t="shared" si="335"/>
        <v>吕布魂珠-2 等级-6</v>
      </c>
      <c r="BC1460" s="25" t="s">
        <v>44</v>
      </c>
      <c r="BD1460" s="14">
        <f t="shared" si="336"/>
        <v>378</v>
      </c>
      <c r="BE1460" s="14">
        <f>SUMIFS(BD$4:BD1460,$AU$4:$AU1460,"="&amp;$AU1460,$AY$4:$AY1460,"="&amp;$AY1460)</f>
        <v>1202</v>
      </c>
      <c r="BF1460" s="25" t="s">
        <v>1157</v>
      </c>
      <c r="BG1460" s="14">
        <f t="shared" si="337"/>
        <v>189</v>
      </c>
      <c r="BH1460" s="14">
        <f>SUMIFS(BG$4:BG1460,AU$4:AU1460,"="&amp;AU1460,AY$4:AY1460,"="&amp;AY1460)</f>
        <v>602</v>
      </c>
      <c r="BI1460" s="25" t="s">
        <v>1158</v>
      </c>
      <c r="BJ1460" s="14">
        <f t="shared" si="338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0"/>
        <v>19</v>
      </c>
      <c r="AV1461" s="14">
        <f t="shared" si="331"/>
        <v>202802</v>
      </c>
      <c r="AW1461" s="14">
        <f t="shared" si="332"/>
        <v>1102028</v>
      </c>
      <c r="AX1461" s="13" t="s">
        <v>1127</v>
      </c>
      <c r="AY1461" s="13">
        <f t="shared" si="333"/>
        <v>2</v>
      </c>
      <c r="AZ1461" s="13" t="s">
        <v>1148</v>
      </c>
      <c r="BA1461" s="14">
        <f t="shared" si="334"/>
        <v>7</v>
      </c>
      <c r="BB1461" s="14" t="str">
        <f t="shared" si="335"/>
        <v>吕布魂珠-2 等级-7</v>
      </c>
      <c r="BC1461" s="25" t="s">
        <v>44</v>
      </c>
      <c r="BD1461" s="14">
        <f t="shared" si="336"/>
        <v>432</v>
      </c>
      <c r="BE1461" s="14">
        <f>SUMIFS(BD$4:BD1461,$AU$4:$AU1461,"="&amp;$AU1461,$AY$4:$AY1461,"="&amp;$AY1461)</f>
        <v>1634</v>
      </c>
      <c r="BF1461" s="25" t="s">
        <v>1157</v>
      </c>
      <c r="BG1461" s="14">
        <f t="shared" si="337"/>
        <v>216</v>
      </c>
      <c r="BH1461" s="14">
        <f>SUMIFS(BG$4:BG1461,AU$4:AU1461,"="&amp;AU1461,AY$4:AY1461,"="&amp;AY1461)</f>
        <v>818</v>
      </c>
      <c r="BI1461" s="25" t="s">
        <v>1158</v>
      </c>
      <c r="BJ1461" s="14">
        <f t="shared" si="338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0"/>
        <v>19</v>
      </c>
      <c r="AV1462" s="14">
        <f t="shared" si="331"/>
        <v>202802</v>
      </c>
      <c r="AW1462" s="14">
        <f t="shared" si="332"/>
        <v>1102028</v>
      </c>
      <c r="AX1462" s="13" t="s">
        <v>1127</v>
      </c>
      <c r="AY1462" s="13">
        <f t="shared" si="333"/>
        <v>2</v>
      </c>
      <c r="AZ1462" s="13" t="s">
        <v>1148</v>
      </c>
      <c r="BA1462" s="14">
        <f t="shared" si="334"/>
        <v>8</v>
      </c>
      <c r="BB1462" s="14" t="str">
        <f t="shared" si="335"/>
        <v>吕布魂珠-2 等级-8</v>
      </c>
      <c r="BC1462" s="25" t="s">
        <v>44</v>
      </c>
      <c r="BD1462" s="14">
        <f t="shared" si="336"/>
        <v>513</v>
      </c>
      <c r="BE1462" s="14">
        <f>SUMIFS(BD$4:BD1462,$AU$4:$AU1462,"="&amp;$AU1462,$AY$4:$AY1462,"="&amp;$AY1462)</f>
        <v>2147</v>
      </c>
      <c r="BF1462" s="25" t="s">
        <v>1157</v>
      </c>
      <c r="BG1462" s="14">
        <f t="shared" si="337"/>
        <v>257</v>
      </c>
      <c r="BH1462" s="14">
        <f>SUMIFS(BG$4:BG1462,AU$4:AU1462,"="&amp;AU1462,AY$4:AY1462,"="&amp;AY1462)</f>
        <v>1075</v>
      </c>
      <c r="BI1462" s="25" t="s">
        <v>1158</v>
      </c>
      <c r="BJ1462" s="14">
        <f t="shared" si="338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0"/>
        <v>19</v>
      </c>
      <c r="AV1463" s="14">
        <f t="shared" si="331"/>
        <v>202802</v>
      </c>
      <c r="AW1463" s="14">
        <f t="shared" si="332"/>
        <v>1102028</v>
      </c>
      <c r="AX1463" s="13" t="s">
        <v>1127</v>
      </c>
      <c r="AY1463" s="13">
        <f t="shared" si="333"/>
        <v>2</v>
      </c>
      <c r="AZ1463" s="13" t="s">
        <v>1148</v>
      </c>
      <c r="BA1463" s="14">
        <f t="shared" si="334"/>
        <v>9</v>
      </c>
      <c r="BB1463" s="14" t="str">
        <f t="shared" si="335"/>
        <v>吕布魂珠-2 等级-9</v>
      </c>
      <c r="BC1463" s="25" t="s">
        <v>44</v>
      </c>
      <c r="BD1463" s="14">
        <f t="shared" si="336"/>
        <v>608</v>
      </c>
      <c r="BE1463" s="14">
        <f>SUMIFS(BD$4:BD1463,$AU$4:$AU1463,"="&amp;$AU1463,$AY$4:$AY1463,"="&amp;$AY1463)</f>
        <v>2755</v>
      </c>
      <c r="BF1463" s="25" t="s">
        <v>1157</v>
      </c>
      <c r="BG1463" s="14">
        <f t="shared" si="337"/>
        <v>304</v>
      </c>
      <c r="BH1463" s="14">
        <f>SUMIFS(BG$4:BG1463,AU$4:AU1463,"="&amp;AU1463,AY$4:AY1463,"="&amp;AY1463)</f>
        <v>1379</v>
      </c>
      <c r="BI1463" s="25" t="s">
        <v>1158</v>
      </c>
      <c r="BJ1463" s="14">
        <f t="shared" si="338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0"/>
        <v>19</v>
      </c>
      <c r="AV1464" s="14">
        <f t="shared" si="331"/>
        <v>202803</v>
      </c>
      <c r="AW1464" s="14">
        <f t="shared" si="332"/>
        <v>1102028</v>
      </c>
      <c r="AX1464" s="13" t="s">
        <v>1127</v>
      </c>
      <c r="AY1464" s="13">
        <f t="shared" si="333"/>
        <v>3</v>
      </c>
      <c r="AZ1464" s="13" t="s">
        <v>1148</v>
      </c>
      <c r="BA1464" s="14">
        <f t="shared" si="334"/>
        <v>0</v>
      </c>
      <c r="BB1464" s="14" t="str">
        <f t="shared" si="335"/>
        <v>吕布魂珠-3 等级-0</v>
      </c>
      <c r="BC1464" s="25" t="s">
        <v>44</v>
      </c>
      <c r="BD1464" s="14">
        <f t="shared" si="336"/>
        <v>0</v>
      </c>
      <c r="BE1464" s="14">
        <f>SUMIFS(BD$4:BD1464,$AU$4:$AU1464,"="&amp;$AU1464,$AY$4:$AY1464,"="&amp;$AY1464)</f>
        <v>0</v>
      </c>
      <c r="BF1464" s="25" t="s">
        <v>1157</v>
      </c>
      <c r="BG1464" s="14">
        <f t="shared" si="337"/>
        <v>0</v>
      </c>
      <c r="BH1464" s="14">
        <f>SUMIFS(BG$4:BG1464,AU$4:AU1464,"="&amp;AU1464,AY$4:AY1464,"="&amp;AY1464)</f>
        <v>0</v>
      </c>
      <c r="BI1464" s="25" t="s">
        <v>1158</v>
      </c>
      <c r="BJ1464" s="14">
        <f t="shared" si="338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0"/>
        <v>19</v>
      </c>
      <c r="AV1465" s="14">
        <f t="shared" si="331"/>
        <v>202803</v>
      </c>
      <c r="AW1465" s="14">
        <f t="shared" si="332"/>
        <v>1102028</v>
      </c>
      <c r="AX1465" s="13" t="s">
        <v>1127</v>
      </c>
      <c r="AY1465" s="13">
        <f t="shared" si="333"/>
        <v>3</v>
      </c>
      <c r="AZ1465" s="13" t="s">
        <v>1148</v>
      </c>
      <c r="BA1465" s="14">
        <f t="shared" si="334"/>
        <v>1</v>
      </c>
      <c r="BB1465" s="14" t="str">
        <f t="shared" si="335"/>
        <v>吕布魂珠-3 等级-1</v>
      </c>
      <c r="BC1465" s="25" t="s">
        <v>44</v>
      </c>
      <c r="BD1465" s="14">
        <f t="shared" si="336"/>
        <v>108</v>
      </c>
      <c r="BE1465" s="14">
        <f>SUMIFS(BD$4:BD1465,$AU$4:$AU1465,"="&amp;$AU1465,$AY$4:$AY1465,"="&amp;$AY1465)</f>
        <v>108</v>
      </c>
      <c r="BF1465" s="25" t="s">
        <v>1157</v>
      </c>
      <c r="BG1465" s="14">
        <f t="shared" si="337"/>
        <v>54</v>
      </c>
      <c r="BH1465" s="14">
        <f>SUMIFS(BG$4:BG1465,AU$4:AU1465,"="&amp;AU1465,AY$4:AY1465,"="&amp;AY1465)</f>
        <v>54</v>
      </c>
      <c r="BI1465" s="25" t="s">
        <v>1158</v>
      </c>
      <c r="BJ1465" s="14">
        <f t="shared" si="338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0"/>
        <v>19</v>
      </c>
      <c r="AV1466" s="14">
        <f t="shared" si="331"/>
        <v>202803</v>
      </c>
      <c r="AW1466" s="14">
        <f t="shared" si="332"/>
        <v>1102028</v>
      </c>
      <c r="AX1466" s="13" t="s">
        <v>1127</v>
      </c>
      <c r="AY1466" s="13">
        <f t="shared" si="333"/>
        <v>3</v>
      </c>
      <c r="AZ1466" s="13" t="s">
        <v>1148</v>
      </c>
      <c r="BA1466" s="14">
        <f t="shared" si="334"/>
        <v>2</v>
      </c>
      <c r="BB1466" s="14" t="str">
        <f t="shared" si="335"/>
        <v>吕布魂珠-3 等级-2</v>
      </c>
      <c r="BC1466" s="25" t="s">
        <v>44</v>
      </c>
      <c r="BD1466" s="14">
        <f t="shared" si="336"/>
        <v>162</v>
      </c>
      <c r="BE1466" s="14">
        <f>SUMIFS(BD$4:BD1466,$AU$4:$AU1466,"="&amp;$AU1466,$AY$4:$AY1466,"="&amp;$AY1466)</f>
        <v>270</v>
      </c>
      <c r="BF1466" s="25" t="s">
        <v>1157</v>
      </c>
      <c r="BG1466" s="14">
        <f t="shared" si="337"/>
        <v>81</v>
      </c>
      <c r="BH1466" s="14">
        <f>SUMIFS(BG$4:BG1466,AU$4:AU1466,"="&amp;AU1466,AY$4:AY1466,"="&amp;AY1466)</f>
        <v>135</v>
      </c>
      <c r="BI1466" s="25" t="s">
        <v>1158</v>
      </c>
      <c r="BJ1466" s="14">
        <f t="shared" si="338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0"/>
        <v>19</v>
      </c>
      <c r="AV1467" s="14">
        <f t="shared" si="331"/>
        <v>202803</v>
      </c>
      <c r="AW1467" s="14">
        <f t="shared" si="332"/>
        <v>1102028</v>
      </c>
      <c r="AX1467" s="13" t="s">
        <v>1127</v>
      </c>
      <c r="AY1467" s="13">
        <f t="shared" si="333"/>
        <v>3</v>
      </c>
      <c r="AZ1467" s="13" t="s">
        <v>1148</v>
      </c>
      <c r="BA1467" s="14">
        <f t="shared" si="334"/>
        <v>3</v>
      </c>
      <c r="BB1467" s="14" t="str">
        <f t="shared" si="335"/>
        <v>吕布魂珠-3 等级-3</v>
      </c>
      <c r="BC1467" s="25" t="s">
        <v>44</v>
      </c>
      <c r="BD1467" s="14">
        <f t="shared" si="336"/>
        <v>216</v>
      </c>
      <c r="BE1467" s="14">
        <f>SUMIFS(BD$4:BD1467,$AU$4:$AU1467,"="&amp;$AU1467,$AY$4:$AY1467,"="&amp;$AY1467)</f>
        <v>486</v>
      </c>
      <c r="BF1467" s="25" t="s">
        <v>1157</v>
      </c>
      <c r="BG1467" s="14">
        <f t="shared" si="337"/>
        <v>108</v>
      </c>
      <c r="BH1467" s="14">
        <f>SUMIFS(BG$4:BG1467,AU$4:AU1467,"="&amp;AU1467,AY$4:AY1467,"="&amp;AY1467)</f>
        <v>243</v>
      </c>
      <c r="BI1467" s="25" t="s">
        <v>1158</v>
      </c>
      <c r="BJ1467" s="14">
        <f t="shared" si="338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0"/>
        <v>19</v>
      </c>
      <c r="AV1468" s="14">
        <f t="shared" si="331"/>
        <v>202803</v>
      </c>
      <c r="AW1468" s="14">
        <f t="shared" si="332"/>
        <v>1102028</v>
      </c>
      <c r="AX1468" s="13" t="s">
        <v>1127</v>
      </c>
      <c r="AY1468" s="13">
        <f t="shared" si="333"/>
        <v>3</v>
      </c>
      <c r="AZ1468" s="13" t="s">
        <v>1148</v>
      </c>
      <c r="BA1468" s="14">
        <f t="shared" si="334"/>
        <v>4</v>
      </c>
      <c r="BB1468" s="14" t="str">
        <f t="shared" si="335"/>
        <v>吕布魂珠-3 等级-4</v>
      </c>
      <c r="BC1468" s="25" t="s">
        <v>44</v>
      </c>
      <c r="BD1468" s="14">
        <f t="shared" si="336"/>
        <v>324</v>
      </c>
      <c r="BE1468" s="14">
        <f>SUMIFS(BD$4:BD1468,$AU$4:$AU1468,"="&amp;$AU1468,$AY$4:$AY1468,"="&amp;$AY1468)</f>
        <v>810</v>
      </c>
      <c r="BF1468" s="25" t="s">
        <v>1157</v>
      </c>
      <c r="BG1468" s="14">
        <f t="shared" si="337"/>
        <v>162</v>
      </c>
      <c r="BH1468" s="14">
        <f>SUMIFS(BG$4:BG1468,AU$4:AU1468,"="&amp;AU1468,AY$4:AY1468,"="&amp;AY1468)</f>
        <v>405</v>
      </c>
      <c r="BI1468" s="25" t="s">
        <v>1158</v>
      </c>
      <c r="BJ1468" s="14">
        <f t="shared" si="338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0"/>
        <v>19</v>
      </c>
      <c r="AV1469" s="14">
        <f t="shared" si="331"/>
        <v>202803</v>
      </c>
      <c r="AW1469" s="14">
        <f t="shared" si="332"/>
        <v>1102028</v>
      </c>
      <c r="AX1469" s="13" t="s">
        <v>1127</v>
      </c>
      <c r="AY1469" s="13">
        <f t="shared" si="333"/>
        <v>3</v>
      </c>
      <c r="AZ1469" s="13" t="s">
        <v>1148</v>
      </c>
      <c r="BA1469" s="14">
        <f t="shared" si="334"/>
        <v>5</v>
      </c>
      <c r="BB1469" s="14" t="str">
        <f t="shared" si="335"/>
        <v>吕布魂珠-3 等级-5</v>
      </c>
      <c r="BC1469" s="25" t="s">
        <v>44</v>
      </c>
      <c r="BD1469" s="14">
        <f t="shared" si="336"/>
        <v>432</v>
      </c>
      <c r="BE1469" s="14">
        <f>SUMIFS(BD$4:BD1469,$AU$4:$AU1469,"="&amp;$AU1469,$AY$4:$AY1469,"="&amp;$AY1469)</f>
        <v>1242</v>
      </c>
      <c r="BF1469" s="25" t="s">
        <v>1157</v>
      </c>
      <c r="BG1469" s="14">
        <f t="shared" si="337"/>
        <v>216</v>
      </c>
      <c r="BH1469" s="14">
        <f>SUMIFS(BG$4:BG1469,AU$4:AU1469,"="&amp;AU1469,AY$4:AY1469,"="&amp;AY1469)</f>
        <v>621</v>
      </c>
      <c r="BI1469" s="25" t="s">
        <v>1158</v>
      </c>
      <c r="BJ1469" s="14">
        <f t="shared" si="338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0"/>
        <v>19</v>
      </c>
      <c r="AV1470" s="14">
        <f t="shared" si="331"/>
        <v>202803</v>
      </c>
      <c r="AW1470" s="14">
        <f t="shared" si="332"/>
        <v>1102028</v>
      </c>
      <c r="AX1470" s="13" t="s">
        <v>1127</v>
      </c>
      <c r="AY1470" s="13">
        <f t="shared" si="333"/>
        <v>3</v>
      </c>
      <c r="AZ1470" s="13" t="s">
        <v>1148</v>
      </c>
      <c r="BA1470" s="14">
        <f t="shared" si="334"/>
        <v>6</v>
      </c>
      <c r="BB1470" s="14" t="str">
        <f t="shared" si="335"/>
        <v>吕布魂珠-3 等级-6</v>
      </c>
      <c r="BC1470" s="25" t="s">
        <v>44</v>
      </c>
      <c r="BD1470" s="14">
        <f t="shared" si="336"/>
        <v>540</v>
      </c>
      <c r="BE1470" s="14">
        <f>SUMIFS(BD$4:BD1470,$AU$4:$AU1470,"="&amp;$AU1470,$AY$4:$AY1470,"="&amp;$AY1470)</f>
        <v>1782</v>
      </c>
      <c r="BF1470" s="25" t="s">
        <v>1157</v>
      </c>
      <c r="BG1470" s="14">
        <f t="shared" si="337"/>
        <v>270</v>
      </c>
      <c r="BH1470" s="14">
        <f>SUMIFS(BG$4:BG1470,AU$4:AU1470,"="&amp;AU1470,AY$4:AY1470,"="&amp;AY1470)</f>
        <v>891</v>
      </c>
      <c r="BI1470" s="25" t="s">
        <v>1158</v>
      </c>
      <c r="BJ1470" s="14">
        <f t="shared" si="338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0"/>
        <v>19</v>
      </c>
      <c r="AV1471" s="14">
        <f t="shared" si="331"/>
        <v>202803</v>
      </c>
      <c r="AW1471" s="14">
        <f t="shared" si="332"/>
        <v>1102028</v>
      </c>
      <c r="AX1471" s="13" t="s">
        <v>1127</v>
      </c>
      <c r="AY1471" s="13">
        <f t="shared" si="333"/>
        <v>3</v>
      </c>
      <c r="AZ1471" s="13" t="s">
        <v>1148</v>
      </c>
      <c r="BA1471" s="14">
        <f t="shared" si="334"/>
        <v>7</v>
      </c>
      <c r="BB1471" s="14" t="str">
        <f t="shared" si="335"/>
        <v>吕布魂珠-3 等级-7</v>
      </c>
      <c r="BC1471" s="25" t="s">
        <v>44</v>
      </c>
      <c r="BD1471" s="14">
        <f t="shared" si="336"/>
        <v>648</v>
      </c>
      <c r="BE1471" s="14">
        <f>SUMIFS(BD$4:BD1471,$AU$4:$AU1471,"="&amp;$AU1471,$AY$4:$AY1471,"="&amp;$AY1471)</f>
        <v>2430</v>
      </c>
      <c r="BF1471" s="25" t="s">
        <v>1157</v>
      </c>
      <c r="BG1471" s="14">
        <f t="shared" si="337"/>
        <v>324</v>
      </c>
      <c r="BH1471" s="14">
        <f>SUMIFS(BG$4:BG1471,AU$4:AU1471,"="&amp;AU1471,AY$4:AY1471,"="&amp;AY1471)</f>
        <v>1215</v>
      </c>
      <c r="BI1471" s="25" t="s">
        <v>1158</v>
      </c>
      <c r="BJ1471" s="14">
        <f t="shared" si="338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0"/>
        <v>19</v>
      </c>
      <c r="AV1472" s="14">
        <f t="shared" si="331"/>
        <v>202803</v>
      </c>
      <c r="AW1472" s="14">
        <f t="shared" si="332"/>
        <v>1102028</v>
      </c>
      <c r="AX1472" s="13" t="s">
        <v>1127</v>
      </c>
      <c r="AY1472" s="13">
        <f t="shared" si="333"/>
        <v>3</v>
      </c>
      <c r="AZ1472" s="13" t="s">
        <v>1148</v>
      </c>
      <c r="BA1472" s="14">
        <f t="shared" si="334"/>
        <v>8</v>
      </c>
      <c r="BB1472" s="14" t="str">
        <f t="shared" si="335"/>
        <v>吕布魂珠-3 等级-8</v>
      </c>
      <c r="BC1472" s="25" t="s">
        <v>44</v>
      </c>
      <c r="BD1472" s="14">
        <f t="shared" si="336"/>
        <v>756</v>
      </c>
      <c r="BE1472" s="14">
        <f>SUMIFS(BD$4:BD1472,$AU$4:$AU1472,"="&amp;$AU1472,$AY$4:$AY1472,"="&amp;$AY1472)</f>
        <v>3186</v>
      </c>
      <c r="BF1472" s="25" t="s">
        <v>1157</v>
      </c>
      <c r="BG1472" s="14">
        <f t="shared" si="337"/>
        <v>378</v>
      </c>
      <c r="BH1472" s="14">
        <f>SUMIFS(BG$4:BG1472,AU$4:AU1472,"="&amp;AU1472,AY$4:AY1472,"="&amp;AY1472)</f>
        <v>1593</v>
      </c>
      <c r="BI1472" s="25" t="s">
        <v>1158</v>
      </c>
      <c r="BJ1472" s="14">
        <f t="shared" si="338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0"/>
        <v>19</v>
      </c>
      <c r="AV1473" s="14">
        <f t="shared" si="331"/>
        <v>202803</v>
      </c>
      <c r="AW1473" s="14">
        <f t="shared" si="332"/>
        <v>1102028</v>
      </c>
      <c r="AX1473" s="13" t="s">
        <v>1127</v>
      </c>
      <c r="AY1473" s="13">
        <f t="shared" si="333"/>
        <v>3</v>
      </c>
      <c r="AZ1473" s="13" t="s">
        <v>1148</v>
      </c>
      <c r="BA1473" s="14">
        <f t="shared" si="334"/>
        <v>9</v>
      </c>
      <c r="BB1473" s="14" t="str">
        <f t="shared" si="335"/>
        <v>吕布魂珠-3 等级-9</v>
      </c>
      <c r="BC1473" s="25" t="s">
        <v>44</v>
      </c>
      <c r="BD1473" s="14">
        <f t="shared" si="336"/>
        <v>864</v>
      </c>
      <c r="BE1473" s="14">
        <f>SUMIFS(BD$4:BD1473,$AU$4:$AU1473,"="&amp;$AU1473,$AY$4:$AY1473,"="&amp;$AY1473)</f>
        <v>4050</v>
      </c>
      <c r="BF1473" s="25" t="s">
        <v>1157</v>
      </c>
      <c r="BG1473" s="14">
        <f t="shared" si="337"/>
        <v>432</v>
      </c>
      <c r="BH1473" s="14">
        <f>SUMIFS(BG$4:BG1473,AU$4:AU1473,"="&amp;AU1473,AY$4:AY1473,"="&amp;AY1473)</f>
        <v>2025</v>
      </c>
      <c r="BI1473" s="25" t="s">
        <v>1158</v>
      </c>
      <c r="BJ1473" s="14">
        <f t="shared" si="338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0"/>
        <v>19</v>
      </c>
      <c r="AV1474" s="14">
        <f t="shared" si="331"/>
        <v>202804</v>
      </c>
      <c r="AW1474" s="14">
        <f t="shared" si="332"/>
        <v>1102028</v>
      </c>
      <c r="AX1474" s="13" t="s">
        <v>1127</v>
      </c>
      <c r="AY1474" s="13">
        <f t="shared" si="333"/>
        <v>4</v>
      </c>
      <c r="AZ1474" s="13" t="s">
        <v>1148</v>
      </c>
      <c r="BA1474" s="14">
        <f t="shared" si="334"/>
        <v>0</v>
      </c>
      <c r="BB1474" s="14" t="str">
        <f t="shared" si="335"/>
        <v>吕布魂珠-4 等级-0</v>
      </c>
      <c r="BC1474" s="25" t="s">
        <v>44</v>
      </c>
      <c r="BD1474" s="14">
        <f t="shared" si="336"/>
        <v>0</v>
      </c>
      <c r="BE1474" s="14">
        <f>SUMIFS(BD$4:BD1474,$AU$4:$AU1474,"="&amp;$AU1474,$AY$4:$AY1474,"="&amp;$AY1474)</f>
        <v>0</v>
      </c>
      <c r="BF1474" s="25" t="s">
        <v>1157</v>
      </c>
      <c r="BG1474" s="14">
        <f t="shared" si="337"/>
        <v>0</v>
      </c>
      <c r="BH1474" s="14">
        <f>SUMIFS(BG$4:BG1474,AU$4:AU1474,"="&amp;AU1474,AY$4:AY1474,"="&amp;AY1474)</f>
        <v>0</v>
      </c>
      <c r="BI1474" s="25" t="s">
        <v>1158</v>
      </c>
      <c r="BJ1474" s="14">
        <f t="shared" si="338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0"/>
        <v>19</v>
      </c>
      <c r="AV1475" s="14">
        <f t="shared" si="331"/>
        <v>202804</v>
      </c>
      <c r="AW1475" s="14">
        <f t="shared" si="332"/>
        <v>1102028</v>
      </c>
      <c r="AX1475" s="13" t="s">
        <v>1127</v>
      </c>
      <c r="AY1475" s="13">
        <f t="shared" si="333"/>
        <v>4</v>
      </c>
      <c r="AZ1475" s="13" t="s">
        <v>1148</v>
      </c>
      <c r="BA1475" s="14">
        <f t="shared" si="334"/>
        <v>1</v>
      </c>
      <c r="BB1475" s="14" t="str">
        <f t="shared" si="335"/>
        <v>吕布魂珠-4 等级-1</v>
      </c>
      <c r="BC1475" s="25" t="s">
        <v>44</v>
      </c>
      <c r="BD1475" s="14">
        <f t="shared" si="336"/>
        <v>135</v>
      </c>
      <c r="BE1475" s="14">
        <f>SUMIFS(BD$4:BD1475,$AU$4:$AU1475,"="&amp;$AU1475,$AY$4:$AY1475,"="&amp;$AY1475)</f>
        <v>135</v>
      </c>
      <c r="BF1475" s="25" t="s">
        <v>1157</v>
      </c>
      <c r="BG1475" s="14">
        <f t="shared" si="337"/>
        <v>68</v>
      </c>
      <c r="BH1475" s="14">
        <f>SUMIFS(BG$4:BG1475,AU$4:AU1475,"="&amp;AU1475,AY$4:AY1475,"="&amp;AY1475)</f>
        <v>68</v>
      </c>
      <c r="BI1475" s="25" t="s">
        <v>1158</v>
      </c>
      <c r="BJ1475" s="14">
        <f t="shared" si="338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0"/>
        <v>19</v>
      </c>
      <c r="AV1476" s="14">
        <f t="shared" si="331"/>
        <v>202804</v>
      </c>
      <c r="AW1476" s="14">
        <f t="shared" si="332"/>
        <v>1102028</v>
      </c>
      <c r="AX1476" s="13" t="s">
        <v>1127</v>
      </c>
      <c r="AY1476" s="13">
        <f t="shared" si="333"/>
        <v>4</v>
      </c>
      <c r="AZ1476" s="13" t="s">
        <v>1148</v>
      </c>
      <c r="BA1476" s="14">
        <f t="shared" si="334"/>
        <v>2</v>
      </c>
      <c r="BB1476" s="14" t="str">
        <f t="shared" si="335"/>
        <v>吕布魂珠-4 等级-2</v>
      </c>
      <c r="BC1476" s="25" t="s">
        <v>44</v>
      </c>
      <c r="BD1476" s="14">
        <f t="shared" si="336"/>
        <v>216</v>
      </c>
      <c r="BE1476" s="14">
        <f>SUMIFS(BD$4:BD1476,$AU$4:$AU1476,"="&amp;$AU1476,$AY$4:$AY1476,"="&amp;$AY1476)</f>
        <v>351</v>
      </c>
      <c r="BF1476" s="25" t="s">
        <v>1157</v>
      </c>
      <c r="BG1476" s="14">
        <f t="shared" si="337"/>
        <v>108</v>
      </c>
      <c r="BH1476" s="14">
        <f>SUMIFS(BG$4:BG1476,AU$4:AU1476,"="&amp;AU1476,AY$4:AY1476,"="&amp;AY1476)</f>
        <v>176</v>
      </c>
      <c r="BI1476" s="25" t="s">
        <v>1158</v>
      </c>
      <c r="BJ1476" s="14">
        <f t="shared" si="338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39">INT((AT1477-1)/80)+1</f>
        <v>19</v>
      </c>
      <c r="AV1477" s="14">
        <f t="shared" ref="AV1477:AV1540" si="340">INDEX($AJ$4:$AJ$203,(AU1477-1)*8+AY1477)</f>
        <v>202804</v>
      </c>
      <c r="AW1477" s="14">
        <f t="shared" ref="AW1477:AW1540" si="341">INDEX($W$4:$W$28,AU1477)</f>
        <v>1102028</v>
      </c>
      <c r="AX1477" s="13" t="s">
        <v>1127</v>
      </c>
      <c r="AY1477" s="13">
        <f t="shared" ref="AY1477:AY1515" si="342">INT(((AT1477-(AU1477-1)*80)-1)/10)+1</f>
        <v>4</v>
      </c>
      <c r="AZ1477" s="13" t="s">
        <v>1148</v>
      </c>
      <c r="BA1477" s="14">
        <f t="shared" ref="BA1477:BA1540" si="343">AT1477-(AU1477-1)*80-(AY1477-1)*10-1</f>
        <v>3</v>
      </c>
      <c r="BB1477" s="14" t="str">
        <f t="shared" ref="BB1477:BB1540" si="344">INDEX($X$4:$X$28,AU1477)&amp;"魂珠-"&amp;AY1477&amp;" 等级-"&amp;BA1477</f>
        <v>吕布魂珠-4 等级-3</v>
      </c>
      <c r="BC1477" s="25" t="s">
        <v>44</v>
      </c>
      <c r="BD1477" s="14">
        <f t="shared" ref="BD1477:BD1540" si="345">ROUND(INDEX(Q$4:Q$83,($AY1477-1)*10+$BA1477+1)*INDEX(AC$4:AC$28,$AU1477),0)</f>
        <v>297</v>
      </c>
      <c r="BE1477" s="14">
        <f>SUMIFS(BD$4:BD1477,$AU$4:$AU1477,"="&amp;$AU1477,$AY$4:$AY1477,"="&amp;$AY1477)</f>
        <v>648</v>
      </c>
      <c r="BF1477" s="25" t="s">
        <v>1157</v>
      </c>
      <c r="BG1477" s="14">
        <f t="shared" ref="BG1477:BG1540" si="346">ROUND(INDEX(R$4:R$83,($AY1477-1)*10+$BA1477+1)*INDEX(AD$4:AD$28,$AU1477),0)</f>
        <v>149</v>
      </c>
      <c r="BH1477" s="14">
        <f>SUMIFS(BG$4:BG1477,AU$4:AU1477,"="&amp;AU1477,AY$4:AY1477,"="&amp;AY1477)</f>
        <v>325</v>
      </c>
      <c r="BI1477" s="25" t="s">
        <v>1158</v>
      </c>
      <c r="BJ1477" s="14">
        <f t="shared" ref="BJ1477:BJ1540" si="347">ROUND(INDEX(S$4:S$83,($AY1477-1)*10+$BA1477+1)*INDEX(AE$4:AE$28,$AU1477),0)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39"/>
        <v>19</v>
      </c>
      <c r="AV1478" s="14">
        <f t="shared" si="340"/>
        <v>202804</v>
      </c>
      <c r="AW1478" s="14">
        <f t="shared" si="341"/>
        <v>1102028</v>
      </c>
      <c r="AX1478" s="13" t="s">
        <v>1127</v>
      </c>
      <c r="AY1478" s="13">
        <f t="shared" si="342"/>
        <v>4</v>
      </c>
      <c r="AZ1478" s="13" t="s">
        <v>1148</v>
      </c>
      <c r="BA1478" s="14">
        <f t="shared" si="343"/>
        <v>4</v>
      </c>
      <c r="BB1478" s="14" t="str">
        <f t="shared" si="344"/>
        <v>吕布魂珠-4 等级-4</v>
      </c>
      <c r="BC1478" s="25" t="s">
        <v>44</v>
      </c>
      <c r="BD1478" s="14">
        <f t="shared" si="345"/>
        <v>432</v>
      </c>
      <c r="BE1478" s="14">
        <f>SUMIFS(BD$4:BD1478,$AU$4:$AU1478,"="&amp;$AU1478,$AY$4:$AY1478,"="&amp;$AY1478)</f>
        <v>1080</v>
      </c>
      <c r="BF1478" s="25" t="s">
        <v>1157</v>
      </c>
      <c r="BG1478" s="14">
        <f t="shared" si="346"/>
        <v>216</v>
      </c>
      <c r="BH1478" s="14">
        <f>SUMIFS(BG$4:BG1478,AU$4:AU1478,"="&amp;AU1478,AY$4:AY1478,"="&amp;AY1478)</f>
        <v>541</v>
      </c>
      <c r="BI1478" s="25" t="s">
        <v>1158</v>
      </c>
      <c r="BJ1478" s="14">
        <f t="shared" si="347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39"/>
        <v>19</v>
      </c>
      <c r="AV1479" s="14">
        <f t="shared" si="340"/>
        <v>202804</v>
      </c>
      <c r="AW1479" s="14">
        <f t="shared" si="341"/>
        <v>1102028</v>
      </c>
      <c r="AX1479" s="13" t="s">
        <v>1127</v>
      </c>
      <c r="AY1479" s="13">
        <f t="shared" si="342"/>
        <v>4</v>
      </c>
      <c r="AZ1479" s="13" t="s">
        <v>1148</v>
      </c>
      <c r="BA1479" s="14">
        <f t="shared" si="343"/>
        <v>5</v>
      </c>
      <c r="BB1479" s="14" t="str">
        <f t="shared" si="344"/>
        <v>吕布魂珠-4 等级-5</v>
      </c>
      <c r="BC1479" s="25" t="s">
        <v>44</v>
      </c>
      <c r="BD1479" s="14">
        <f t="shared" si="345"/>
        <v>567</v>
      </c>
      <c r="BE1479" s="14">
        <f>SUMIFS(BD$4:BD1479,$AU$4:$AU1479,"="&amp;$AU1479,$AY$4:$AY1479,"="&amp;$AY1479)</f>
        <v>1647</v>
      </c>
      <c r="BF1479" s="25" t="s">
        <v>1157</v>
      </c>
      <c r="BG1479" s="14">
        <f t="shared" si="346"/>
        <v>284</v>
      </c>
      <c r="BH1479" s="14">
        <f>SUMIFS(BG$4:BG1479,AU$4:AU1479,"="&amp;AU1479,AY$4:AY1479,"="&amp;AY1479)</f>
        <v>825</v>
      </c>
      <c r="BI1479" s="25" t="s">
        <v>1158</v>
      </c>
      <c r="BJ1479" s="14">
        <f t="shared" si="347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39"/>
        <v>19</v>
      </c>
      <c r="AV1480" s="14">
        <f t="shared" si="340"/>
        <v>202804</v>
      </c>
      <c r="AW1480" s="14">
        <f t="shared" si="341"/>
        <v>1102028</v>
      </c>
      <c r="AX1480" s="13" t="s">
        <v>1127</v>
      </c>
      <c r="AY1480" s="13">
        <f t="shared" si="342"/>
        <v>4</v>
      </c>
      <c r="AZ1480" s="13" t="s">
        <v>1148</v>
      </c>
      <c r="BA1480" s="14">
        <f t="shared" si="343"/>
        <v>6</v>
      </c>
      <c r="BB1480" s="14" t="str">
        <f t="shared" si="344"/>
        <v>吕布魂珠-4 等级-6</v>
      </c>
      <c r="BC1480" s="25" t="s">
        <v>44</v>
      </c>
      <c r="BD1480" s="14">
        <f t="shared" si="345"/>
        <v>743</v>
      </c>
      <c r="BE1480" s="14">
        <f>SUMIFS(BD$4:BD1480,$AU$4:$AU1480,"="&amp;$AU1480,$AY$4:$AY1480,"="&amp;$AY1480)</f>
        <v>2390</v>
      </c>
      <c r="BF1480" s="25" t="s">
        <v>1157</v>
      </c>
      <c r="BG1480" s="14">
        <f t="shared" si="346"/>
        <v>371</v>
      </c>
      <c r="BH1480" s="14">
        <f>SUMIFS(BG$4:BG1480,AU$4:AU1480,"="&amp;AU1480,AY$4:AY1480,"="&amp;AY1480)</f>
        <v>1196</v>
      </c>
      <c r="BI1480" s="25" t="s">
        <v>1158</v>
      </c>
      <c r="BJ1480" s="14">
        <f t="shared" si="347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39"/>
        <v>19</v>
      </c>
      <c r="AV1481" s="14">
        <f t="shared" si="340"/>
        <v>202804</v>
      </c>
      <c r="AW1481" s="14">
        <f t="shared" si="341"/>
        <v>1102028</v>
      </c>
      <c r="AX1481" s="13" t="s">
        <v>1127</v>
      </c>
      <c r="AY1481" s="13">
        <f t="shared" si="342"/>
        <v>4</v>
      </c>
      <c r="AZ1481" s="13" t="s">
        <v>1148</v>
      </c>
      <c r="BA1481" s="14">
        <f t="shared" si="343"/>
        <v>7</v>
      </c>
      <c r="BB1481" s="14" t="str">
        <f t="shared" si="344"/>
        <v>吕布魂珠-4 等级-7</v>
      </c>
      <c r="BC1481" s="25" t="s">
        <v>44</v>
      </c>
      <c r="BD1481" s="14">
        <f t="shared" si="345"/>
        <v>878</v>
      </c>
      <c r="BE1481" s="14">
        <f>SUMIFS(BD$4:BD1481,$AU$4:$AU1481,"="&amp;$AU1481,$AY$4:$AY1481,"="&amp;$AY1481)</f>
        <v>3268</v>
      </c>
      <c r="BF1481" s="25" t="s">
        <v>1157</v>
      </c>
      <c r="BG1481" s="14">
        <f t="shared" si="346"/>
        <v>439</v>
      </c>
      <c r="BH1481" s="14">
        <f>SUMIFS(BG$4:BG1481,AU$4:AU1481,"="&amp;AU1481,AY$4:AY1481,"="&amp;AY1481)</f>
        <v>1635</v>
      </c>
      <c r="BI1481" s="25" t="s">
        <v>1158</v>
      </c>
      <c r="BJ1481" s="14">
        <f t="shared" si="347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39"/>
        <v>19</v>
      </c>
      <c r="AV1482" s="14">
        <f t="shared" si="340"/>
        <v>202804</v>
      </c>
      <c r="AW1482" s="14">
        <f t="shared" si="341"/>
        <v>1102028</v>
      </c>
      <c r="AX1482" s="13" t="s">
        <v>1127</v>
      </c>
      <c r="AY1482" s="13">
        <f t="shared" si="342"/>
        <v>4</v>
      </c>
      <c r="AZ1482" s="13" t="s">
        <v>1148</v>
      </c>
      <c r="BA1482" s="14">
        <f t="shared" si="343"/>
        <v>8</v>
      </c>
      <c r="BB1482" s="14" t="str">
        <f t="shared" si="344"/>
        <v>吕布魂珠-4 等级-8</v>
      </c>
      <c r="BC1482" s="25" t="s">
        <v>44</v>
      </c>
      <c r="BD1482" s="14">
        <f t="shared" si="345"/>
        <v>1013</v>
      </c>
      <c r="BE1482" s="14">
        <f>SUMIFS(BD$4:BD1482,$AU$4:$AU1482,"="&amp;$AU1482,$AY$4:$AY1482,"="&amp;$AY1482)</f>
        <v>4281</v>
      </c>
      <c r="BF1482" s="25" t="s">
        <v>1157</v>
      </c>
      <c r="BG1482" s="14">
        <f t="shared" si="346"/>
        <v>506</v>
      </c>
      <c r="BH1482" s="14">
        <f>SUMIFS(BG$4:BG1482,AU$4:AU1482,"="&amp;AU1482,AY$4:AY1482,"="&amp;AY1482)</f>
        <v>2141</v>
      </c>
      <c r="BI1482" s="25" t="s">
        <v>1158</v>
      </c>
      <c r="BJ1482" s="14">
        <f t="shared" si="347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39"/>
        <v>19</v>
      </c>
      <c r="AV1483" s="14">
        <f t="shared" si="340"/>
        <v>202804</v>
      </c>
      <c r="AW1483" s="14">
        <f t="shared" si="341"/>
        <v>1102028</v>
      </c>
      <c r="AX1483" s="13" t="s">
        <v>1127</v>
      </c>
      <c r="AY1483" s="13">
        <f t="shared" si="342"/>
        <v>4</v>
      </c>
      <c r="AZ1483" s="13" t="s">
        <v>1148</v>
      </c>
      <c r="BA1483" s="14">
        <f t="shared" si="343"/>
        <v>9</v>
      </c>
      <c r="BB1483" s="14" t="str">
        <f t="shared" si="344"/>
        <v>吕布魂珠-4 等级-9</v>
      </c>
      <c r="BC1483" s="25" t="s">
        <v>44</v>
      </c>
      <c r="BD1483" s="14">
        <f t="shared" si="345"/>
        <v>1148</v>
      </c>
      <c r="BE1483" s="14">
        <f>SUMIFS(BD$4:BD1483,$AU$4:$AU1483,"="&amp;$AU1483,$AY$4:$AY1483,"="&amp;$AY1483)</f>
        <v>5429</v>
      </c>
      <c r="BF1483" s="25" t="s">
        <v>1157</v>
      </c>
      <c r="BG1483" s="14">
        <f t="shared" si="346"/>
        <v>574</v>
      </c>
      <c r="BH1483" s="14">
        <f>SUMIFS(BG$4:BG1483,AU$4:AU1483,"="&amp;AU1483,AY$4:AY1483,"="&amp;AY1483)</f>
        <v>2715</v>
      </c>
      <c r="BI1483" s="25" t="s">
        <v>1158</v>
      </c>
      <c r="BJ1483" s="14">
        <f t="shared" si="347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39"/>
        <v>19</v>
      </c>
      <c r="AV1484" s="14">
        <f t="shared" si="340"/>
        <v>202805</v>
      </c>
      <c r="AW1484" s="14">
        <f t="shared" si="341"/>
        <v>1102028</v>
      </c>
      <c r="AX1484" s="13" t="s">
        <v>1127</v>
      </c>
      <c r="AY1484" s="13">
        <f t="shared" si="342"/>
        <v>5</v>
      </c>
      <c r="AZ1484" s="13" t="s">
        <v>1148</v>
      </c>
      <c r="BA1484" s="14">
        <f t="shared" si="343"/>
        <v>0</v>
      </c>
      <c r="BB1484" s="14" t="str">
        <f t="shared" si="344"/>
        <v>吕布魂珠-5 等级-0</v>
      </c>
      <c r="BC1484" s="25" t="s">
        <v>44</v>
      </c>
      <c r="BD1484" s="14">
        <f t="shared" si="345"/>
        <v>0</v>
      </c>
      <c r="BE1484" s="14">
        <f>SUMIFS(BD$4:BD1484,$AU$4:$AU1484,"="&amp;$AU1484,$AY$4:$AY1484,"="&amp;$AY1484)</f>
        <v>0</v>
      </c>
      <c r="BF1484" s="25" t="s">
        <v>1157</v>
      </c>
      <c r="BG1484" s="14">
        <f t="shared" si="346"/>
        <v>0</v>
      </c>
      <c r="BH1484" s="14">
        <f>SUMIFS(BG$4:BG1484,AU$4:AU1484,"="&amp;AU1484,AY$4:AY1484,"="&amp;AY1484)</f>
        <v>0</v>
      </c>
      <c r="BI1484" s="25" t="s">
        <v>1158</v>
      </c>
      <c r="BJ1484" s="14">
        <f t="shared" si="347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39"/>
        <v>19</v>
      </c>
      <c r="AV1485" s="14">
        <f t="shared" si="340"/>
        <v>202805</v>
      </c>
      <c r="AW1485" s="14">
        <f t="shared" si="341"/>
        <v>1102028</v>
      </c>
      <c r="AX1485" s="13" t="s">
        <v>1127</v>
      </c>
      <c r="AY1485" s="13">
        <f t="shared" si="342"/>
        <v>5</v>
      </c>
      <c r="AZ1485" s="13" t="s">
        <v>1148</v>
      </c>
      <c r="BA1485" s="14">
        <f t="shared" si="343"/>
        <v>1</v>
      </c>
      <c r="BB1485" s="14" t="str">
        <f t="shared" si="344"/>
        <v>吕布魂珠-5 等级-1</v>
      </c>
      <c r="BC1485" s="25" t="s">
        <v>44</v>
      </c>
      <c r="BD1485" s="14">
        <f t="shared" si="345"/>
        <v>189</v>
      </c>
      <c r="BE1485" s="14">
        <f>SUMIFS(BD$4:BD1485,$AU$4:$AU1485,"="&amp;$AU1485,$AY$4:$AY1485,"="&amp;$AY1485)</f>
        <v>189</v>
      </c>
      <c r="BF1485" s="25" t="s">
        <v>1157</v>
      </c>
      <c r="BG1485" s="14">
        <f t="shared" si="346"/>
        <v>95</v>
      </c>
      <c r="BH1485" s="14">
        <f>SUMIFS(BG$4:BG1485,AU$4:AU1485,"="&amp;AU1485,AY$4:AY1485,"="&amp;AY1485)</f>
        <v>95</v>
      </c>
      <c r="BI1485" s="25" t="s">
        <v>1158</v>
      </c>
      <c r="BJ1485" s="14">
        <f t="shared" si="347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39"/>
        <v>19</v>
      </c>
      <c r="AV1486" s="14">
        <f t="shared" si="340"/>
        <v>202805</v>
      </c>
      <c r="AW1486" s="14">
        <f t="shared" si="341"/>
        <v>1102028</v>
      </c>
      <c r="AX1486" s="13" t="s">
        <v>1127</v>
      </c>
      <c r="AY1486" s="13">
        <f t="shared" si="342"/>
        <v>5</v>
      </c>
      <c r="AZ1486" s="13" t="s">
        <v>1148</v>
      </c>
      <c r="BA1486" s="14">
        <f t="shared" si="343"/>
        <v>2</v>
      </c>
      <c r="BB1486" s="14" t="str">
        <f t="shared" si="344"/>
        <v>吕布魂珠-5 等级-2</v>
      </c>
      <c r="BC1486" s="25" t="s">
        <v>44</v>
      </c>
      <c r="BD1486" s="14">
        <f t="shared" si="345"/>
        <v>270</v>
      </c>
      <c r="BE1486" s="14">
        <f>SUMIFS(BD$4:BD1486,$AU$4:$AU1486,"="&amp;$AU1486,$AY$4:$AY1486,"="&amp;$AY1486)</f>
        <v>459</v>
      </c>
      <c r="BF1486" s="25" t="s">
        <v>1157</v>
      </c>
      <c r="BG1486" s="14">
        <f t="shared" si="346"/>
        <v>135</v>
      </c>
      <c r="BH1486" s="14">
        <f>SUMIFS(BG$4:BG1486,AU$4:AU1486,"="&amp;AU1486,AY$4:AY1486,"="&amp;AY1486)</f>
        <v>230</v>
      </c>
      <c r="BI1486" s="25" t="s">
        <v>1158</v>
      </c>
      <c r="BJ1486" s="14">
        <f t="shared" si="347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39"/>
        <v>19</v>
      </c>
      <c r="AV1487" s="14">
        <f t="shared" si="340"/>
        <v>202805</v>
      </c>
      <c r="AW1487" s="14">
        <f t="shared" si="341"/>
        <v>1102028</v>
      </c>
      <c r="AX1487" s="13" t="s">
        <v>1127</v>
      </c>
      <c r="AY1487" s="13">
        <f t="shared" si="342"/>
        <v>5</v>
      </c>
      <c r="AZ1487" s="13" t="s">
        <v>1148</v>
      </c>
      <c r="BA1487" s="14">
        <f t="shared" si="343"/>
        <v>3</v>
      </c>
      <c r="BB1487" s="14" t="str">
        <f t="shared" si="344"/>
        <v>吕布魂珠-5 等级-3</v>
      </c>
      <c r="BC1487" s="25" t="s">
        <v>44</v>
      </c>
      <c r="BD1487" s="14">
        <f t="shared" si="345"/>
        <v>351</v>
      </c>
      <c r="BE1487" s="14">
        <f>SUMIFS(BD$4:BD1487,$AU$4:$AU1487,"="&amp;$AU1487,$AY$4:$AY1487,"="&amp;$AY1487)</f>
        <v>810</v>
      </c>
      <c r="BF1487" s="25" t="s">
        <v>1157</v>
      </c>
      <c r="BG1487" s="14">
        <f t="shared" si="346"/>
        <v>176</v>
      </c>
      <c r="BH1487" s="14">
        <f>SUMIFS(BG$4:BG1487,AU$4:AU1487,"="&amp;AU1487,AY$4:AY1487,"="&amp;AY1487)</f>
        <v>406</v>
      </c>
      <c r="BI1487" s="25" t="s">
        <v>1158</v>
      </c>
      <c r="BJ1487" s="14">
        <f t="shared" si="347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39"/>
        <v>19</v>
      </c>
      <c r="AV1488" s="14">
        <f t="shared" si="340"/>
        <v>202805</v>
      </c>
      <c r="AW1488" s="14">
        <f t="shared" si="341"/>
        <v>1102028</v>
      </c>
      <c r="AX1488" s="13" t="s">
        <v>1127</v>
      </c>
      <c r="AY1488" s="13">
        <f t="shared" si="342"/>
        <v>5</v>
      </c>
      <c r="AZ1488" s="13" t="s">
        <v>1148</v>
      </c>
      <c r="BA1488" s="14">
        <f t="shared" si="343"/>
        <v>4</v>
      </c>
      <c r="BB1488" s="14" t="str">
        <f t="shared" si="344"/>
        <v>吕布魂珠-5 等级-4</v>
      </c>
      <c r="BC1488" s="25" t="s">
        <v>44</v>
      </c>
      <c r="BD1488" s="14">
        <f t="shared" si="345"/>
        <v>540</v>
      </c>
      <c r="BE1488" s="14">
        <f>SUMIFS(BD$4:BD1488,$AU$4:$AU1488,"="&amp;$AU1488,$AY$4:$AY1488,"="&amp;$AY1488)</f>
        <v>1350</v>
      </c>
      <c r="BF1488" s="25" t="s">
        <v>1157</v>
      </c>
      <c r="BG1488" s="14">
        <f t="shared" si="346"/>
        <v>270</v>
      </c>
      <c r="BH1488" s="14">
        <f>SUMIFS(BG$4:BG1488,AU$4:AU1488,"="&amp;AU1488,AY$4:AY1488,"="&amp;AY1488)</f>
        <v>676</v>
      </c>
      <c r="BI1488" s="25" t="s">
        <v>1158</v>
      </c>
      <c r="BJ1488" s="14">
        <f t="shared" si="347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39"/>
        <v>19</v>
      </c>
      <c r="AV1489" s="14">
        <f t="shared" si="340"/>
        <v>202805</v>
      </c>
      <c r="AW1489" s="14">
        <f t="shared" si="341"/>
        <v>1102028</v>
      </c>
      <c r="AX1489" s="13" t="s">
        <v>1127</v>
      </c>
      <c r="AY1489" s="13">
        <f t="shared" si="342"/>
        <v>5</v>
      </c>
      <c r="AZ1489" s="13" t="s">
        <v>1148</v>
      </c>
      <c r="BA1489" s="14">
        <f t="shared" si="343"/>
        <v>5</v>
      </c>
      <c r="BB1489" s="14" t="str">
        <f t="shared" si="344"/>
        <v>吕布魂珠-5 等级-5</v>
      </c>
      <c r="BC1489" s="25" t="s">
        <v>44</v>
      </c>
      <c r="BD1489" s="14">
        <f t="shared" si="345"/>
        <v>702</v>
      </c>
      <c r="BE1489" s="14">
        <f>SUMIFS(BD$4:BD1489,$AU$4:$AU1489,"="&amp;$AU1489,$AY$4:$AY1489,"="&amp;$AY1489)</f>
        <v>2052</v>
      </c>
      <c r="BF1489" s="25" t="s">
        <v>1157</v>
      </c>
      <c r="BG1489" s="14">
        <f t="shared" si="346"/>
        <v>351</v>
      </c>
      <c r="BH1489" s="14">
        <f>SUMIFS(BG$4:BG1489,AU$4:AU1489,"="&amp;AU1489,AY$4:AY1489,"="&amp;AY1489)</f>
        <v>1027</v>
      </c>
      <c r="BI1489" s="25" t="s">
        <v>1158</v>
      </c>
      <c r="BJ1489" s="14">
        <f t="shared" si="347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39"/>
        <v>19</v>
      </c>
      <c r="AV1490" s="14">
        <f t="shared" si="340"/>
        <v>202805</v>
      </c>
      <c r="AW1490" s="14">
        <f t="shared" si="341"/>
        <v>1102028</v>
      </c>
      <c r="AX1490" s="13" t="s">
        <v>1127</v>
      </c>
      <c r="AY1490" s="13">
        <f t="shared" si="342"/>
        <v>5</v>
      </c>
      <c r="AZ1490" s="13" t="s">
        <v>1148</v>
      </c>
      <c r="BA1490" s="14">
        <f t="shared" si="343"/>
        <v>6</v>
      </c>
      <c r="BB1490" s="14" t="str">
        <f t="shared" si="344"/>
        <v>吕布魂珠-5 等级-6</v>
      </c>
      <c r="BC1490" s="25" t="s">
        <v>44</v>
      </c>
      <c r="BD1490" s="14">
        <f t="shared" si="345"/>
        <v>878</v>
      </c>
      <c r="BE1490" s="14">
        <f>SUMIFS(BD$4:BD1490,$AU$4:$AU1490,"="&amp;$AU1490,$AY$4:$AY1490,"="&amp;$AY1490)</f>
        <v>2930</v>
      </c>
      <c r="BF1490" s="25" t="s">
        <v>1157</v>
      </c>
      <c r="BG1490" s="14">
        <f t="shared" si="346"/>
        <v>439</v>
      </c>
      <c r="BH1490" s="14">
        <f>SUMIFS(BG$4:BG1490,AU$4:AU1490,"="&amp;AU1490,AY$4:AY1490,"="&amp;AY1490)</f>
        <v>1466</v>
      </c>
      <c r="BI1490" s="25" t="s">
        <v>1158</v>
      </c>
      <c r="BJ1490" s="14">
        <f t="shared" si="347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39"/>
        <v>19</v>
      </c>
      <c r="AV1491" s="14">
        <f t="shared" si="340"/>
        <v>202805</v>
      </c>
      <c r="AW1491" s="14">
        <f t="shared" si="341"/>
        <v>1102028</v>
      </c>
      <c r="AX1491" s="13" t="s">
        <v>1127</v>
      </c>
      <c r="AY1491" s="13">
        <f t="shared" si="342"/>
        <v>5</v>
      </c>
      <c r="AZ1491" s="13" t="s">
        <v>1148</v>
      </c>
      <c r="BA1491" s="14">
        <f t="shared" si="343"/>
        <v>7</v>
      </c>
      <c r="BB1491" s="14" t="str">
        <f t="shared" si="344"/>
        <v>吕布魂珠-5 等级-7</v>
      </c>
      <c r="BC1491" s="25" t="s">
        <v>44</v>
      </c>
      <c r="BD1491" s="14">
        <f t="shared" si="345"/>
        <v>1080</v>
      </c>
      <c r="BE1491" s="14">
        <f>SUMIFS(BD$4:BD1491,$AU$4:$AU1491,"="&amp;$AU1491,$AY$4:$AY1491,"="&amp;$AY1491)</f>
        <v>4010</v>
      </c>
      <c r="BF1491" s="25" t="s">
        <v>1157</v>
      </c>
      <c r="BG1491" s="14">
        <f t="shared" si="346"/>
        <v>540</v>
      </c>
      <c r="BH1491" s="14">
        <f>SUMIFS(BG$4:BG1491,AU$4:AU1491,"="&amp;AU1491,AY$4:AY1491,"="&amp;AY1491)</f>
        <v>2006</v>
      </c>
      <c r="BI1491" s="25" t="s">
        <v>1158</v>
      </c>
      <c r="BJ1491" s="14">
        <f t="shared" si="347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39"/>
        <v>19</v>
      </c>
      <c r="AV1492" s="14">
        <f t="shared" si="340"/>
        <v>202805</v>
      </c>
      <c r="AW1492" s="14">
        <f t="shared" si="341"/>
        <v>1102028</v>
      </c>
      <c r="AX1492" s="13" t="s">
        <v>1127</v>
      </c>
      <c r="AY1492" s="13">
        <f t="shared" si="342"/>
        <v>5</v>
      </c>
      <c r="AZ1492" s="13" t="s">
        <v>1148</v>
      </c>
      <c r="BA1492" s="14">
        <f t="shared" si="343"/>
        <v>8</v>
      </c>
      <c r="BB1492" s="14" t="str">
        <f t="shared" si="344"/>
        <v>吕布魂珠-5 等级-8</v>
      </c>
      <c r="BC1492" s="25" t="s">
        <v>44</v>
      </c>
      <c r="BD1492" s="14">
        <f t="shared" si="345"/>
        <v>1283</v>
      </c>
      <c r="BE1492" s="14">
        <f>SUMIFS(BD$4:BD1492,$AU$4:$AU1492,"="&amp;$AU1492,$AY$4:$AY1492,"="&amp;$AY1492)</f>
        <v>5293</v>
      </c>
      <c r="BF1492" s="25" t="s">
        <v>1157</v>
      </c>
      <c r="BG1492" s="14">
        <f t="shared" si="346"/>
        <v>641</v>
      </c>
      <c r="BH1492" s="14">
        <f>SUMIFS(BG$4:BG1492,AU$4:AU1492,"="&amp;AU1492,AY$4:AY1492,"="&amp;AY1492)</f>
        <v>2647</v>
      </c>
      <c r="BI1492" s="25" t="s">
        <v>1158</v>
      </c>
      <c r="BJ1492" s="14">
        <f t="shared" si="347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39"/>
        <v>19</v>
      </c>
      <c r="AV1493" s="14">
        <f t="shared" si="340"/>
        <v>202805</v>
      </c>
      <c r="AW1493" s="14">
        <f t="shared" si="341"/>
        <v>1102028</v>
      </c>
      <c r="AX1493" s="13" t="s">
        <v>1127</v>
      </c>
      <c r="AY1493" s="13">
        <f t="shared" si="342"/>
        <v>5</v>
      </c>
      <c r="AZ1493" s="13" t="s">
        <v>1148</v>
      </c>
      <c r="BA1493" s="14">
        <f t="shared" si="343"/>
        <v>9</v>
      </c>
      <c r="BB1493" s="14" t="str">
        <f t="shared" si="344"/>
        <v>吕布魂珠-5 等级-9</v>
      </c>
      <c r="BC1493" s="25" t="s">
        <v>44</v>
      </c>
      <c r="BD1493" s="14">
        <f t="shared" si="345"/>
        <v>1485</v>
      </c>
      <c r="BE1493" s="14">
        <f>SUMIFS(BD$4:BD1493,$AU$4:$AU1493,"="&amp;$AU1493,$AY$4:$AY1493,"="&amp;$AY1493)</f>
        <v>6778</v>
      </c>
      <c r="BF1493" s="25" t="s">
        <v>1157</v>
      </c>
      <c r="BG1493" s="14">
        <f t="shared" si="346"/>
        <v>743</v>
      </c>
      <c r="BH1493" s="14">
        <f>SUMIFS(BG$4:BG1493,AU$4:AU1493,"="&amp;AU1493,AY$4:AY1493,"="&amp;AY1493)</f>
        <v>3390</v>
      </c>
      <c r="BI1493" s="25" t="s">
        <v>1158</v>
      </c>
      <c r="BJ1493" s="14">
        <f t="shared" si="347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39"/>
        <v>19</v>
      </c>
      <c r="AV1494" s="14">
        <f t="shared" si="340"/>
        <v>202806</v>
      </c>
      <c r="AW1494" s="14">
        <f t="shared" si="341"/>
        <v>1102028</v>
      </c>
      <c r="AX1494" s="13" t="s">
        <v>1127</v>
      </c>
      <c r="AY1494" s="13">
        <f t="shared" si="342"/>
        <v>6</v>
      </c>
      <c r="AZ1494" s="13" t="s">
        <v>1148</v>
      </c>
      <c r="BA1494" s="14">
        <f t="shared" si="343"/>
        <v>0</v>
      </c>
      <c r="BB1494" s="14" t="str">
        <f t="shared" si="344"/>
        <v>吕布魂珠-6 等级-0</v>
      </c>
      <c r="BC1494" s="25" t="s">
        <v>44</v>
      </c>
      <c r="BD1494" s="14">
        <f t="shared" si="345"/>
        <v>0</v>
      </c>
      <c r="BE1494" s="14">
        <f>SUMIFS(BD$4:BD1494,$AU$4:$AU1494,"="&amp;$AU1494,$AY$4:$AY1494,"="&amp;$AY1494)</f>
        <v>0</v>
      </c>
      <c r="BF1494" s="25" t="s">
        <v>1157</v>
      </c>
      <c r="BG1494" s="14">
        <f t="shared" si="346"/>
        <v>0</v>
      </c>
      <c r="BH1494" s="14">
        <f>SUMIFS(BG$4:BG1494,AU$4:AU1494,"="&amp;AU1494,AY$4:AY1494,"="&amp;AY1494)</f>
        <v>0</v>
      </c>
      <c r="BI1494" s="25" t="s">
        <v>1158</v>
      </c>
      <c r="BJ1494" s="14">
        <f t="shared" si="347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39"/>
        <v>19</v>
      </c>
      <c r="AV1495" s="14">
        <f t="shared" si="340"/>
        <v>202806</v>
      </c>
      <c r="AW1495" s="14">
        <f t="shared" si="341"/>
        <v>1102028</v>
      </c>
      <c r="AX1495" s="13" t="s">
        <v>1127</v>
      </c>
      <c r="AY1495" s="13">
        <f t="shared" si="342"/>
        <v>6</v>
      </c>
      <c r="AZ1495" s="13" t="s">
        <v>1148</v>
      </c>
      <c r="BA1495" s="14">
        <f t="shared" si="343"/>
        <v>1</v>
      </c>
      <c r="BB1495" s="14" t="str">
        <f t="shared" si="344"/>
        <v>吕布魂珠-6 等级-1</v>
      </c>
      <c r="BC1495" s="25" t="s">
        <v>44</v>
      </c>
      <c r="BD1495" s="14">
        <f t="shared" si="345"/>
        <v>243</v>
      </c>
      <c r="BE1495" s="14">
        <f>SUMIFS(BD$4:BD1495,$AU$4:$AU1495,"="&amp;$AU1495,$AY$4:$AY1495,"="&amp;$AY1495)</f>
        <v>243</v>
      </c>
      <c r="BF1495" s="25" t="s">
        <v>1157</v>
      </c>
      <c r="BG1495" s="14">
        <f t="shared" si="346"/>
        <v>122</v>
      </c>
      <c r="BH1495" s="14">
        <f>SUMIFS(BG$4:BG1495,AU$4:AU1495,"="&amp;AU1495,AY$4:AY1495,"="&amp;AY1495)</f>
        <v>122</v>
      </c>
      <c r="BI1495" s="25" t="s">
        <v>1158</v>
      </c>
      <c r="BJ1495" s="14">
        <f t="shared" si="347"/>
        <v>4320</v>
      </c>
      <c r="BK1495" s="14">
        <f>SUMIFS(BJ$4:BJ1495,$AU$4:$AU1495,"="&amp;$AU1495,$AY$4:$AY1495,"="&amp;$AY1495)</f>
        <v>4320</v>
      </c>
    </row>
    <row r="1496" spans="46:63" ht="16.5" x14ac:dyDescent="0.2">
      <c r="AT1496" s="13">
        <v>1493</v>
      </c>
      <c r="AU1496" s="13">
        <f t="shared" si="339"/>
        <v>19</v>
      </c>
      <c r="AV1496" s="14">
        <f t="shared" si="340"/>
        <v>202806</v>
      </c>
      <c r="AW1496" s="14">
        <f t="shared" si="341"/>
        <v>1102028</v>
      </c>
      <c r="AX1496" s="13" t="s">
        <v>1127</v>
      </c>
      <c r="AY1496" s="13">
        <f t="shared" si="342"/>
        <v>6</v>
      </c>
      <c r="AZ1496" s="13" t="s">
        <v>1148</v>
      </c>
      <c r="BA1496" s="14">
        <f t="shared" si="343"/>
        <v>2</v>
      </c>
      <c r="BB1496" s="14" t="str">
        <f t="shared" si="344"/>
        <v>吕布魂珠-6 等级-2</v>
      </c>
      <c r="BC1496" s="25" t="s">
        <v>44</v>
      </c>
      <c r="BD1496" s="14">
        <f t="shared" si="345"/>
        <v>378</v>
      </c>
      <c r="BE1496" s="14">
        <f>SUMIFS(BD$4:BD1496,$AU$4:$AU1496,"="&amp;$AU1496,$AY$4:$AY1496,"="&amp;$AY1496)</f>
        <v>621</v>
      </c>
      <c r="BF1496" s="25" t="s">
        <v>1157</v>
      </c>
      <c r="BG1496" s="14">
        <f t="shared" si="346"/>
        <v>189</v>
      </c>
      <c r="BH1496" s="14">
        <f>SUMIFS(BG$4:BG1496,AU$4:AU1496,"="&amp;AU1496,AY$4:AY1496,"="&amp;AY1496)</f>
        <v>311</v>
      </c>
      <c r="BI1496" s="25" t="s">
        <v>1158</v>
      </c>
      <c r="BJ1496" s="14">
        <f t="shared" si="347"/>
        <v>6720</v>
      </c>
      <c r="BK1496" s="14">
        <f>SUMIFS(BJ$4:BJ1496,$AU$4:$AU1496,"="&amp;$AU1496,$AY$4:$AY1496,"="&amp;$AY1496)</f>
        <v>11040</v>
      </c>
    </row>
    <row r="1497" spans="46:63" ht="16.5" x14ac:dyDescent="0.2">
      <c r="AT1497" s="13">
        <v>1494</v>
      </c>
      <c r="AU1497" s="13">
        <f t="shared" si="339"/>
        <v>19</v>
      </c>
      <c r="AV1497" s="14">
        <f t="shared" si="340"/>
        <v>202806</v>
      </c>
      <c r="AW1497" s="14">
        <f t="shared" si="341"/>
        <v>1102028</v>
      </c>
      <c r="AX1497" s="13" t="s">
        <v>1127</v>
      </c>
      <c r="AY1497" s="13">
        <f t="shared" si="342"/>
        <v>6</v>
      </c>
      <c r="AZ1497" s="13" t="s">
        <v>1148</v>
      </c>
      <c r="BA1497" s="14">
        <f t="shared" si="343"/>
        <v>3</v>
      </c>
      <c r="BB1497" s="14" t="str">
        <f t="shared" si="344"/>
        <v>吕布魂珠-6 等级-3</v>
      </c>
      <c r="BC1497" s="25" t="s">
        <v>44</v>
      </c>
      <c r="BD1497" s="14">
        <f t="shared" si="345"/>
        <v>506</v>
      </c>
      <c r="BE1497" s="14">
        <f>SUMIFS(BD$4:BD1497,$AU$4:$AU1497,"="&amp;$AU1497,$AY$4:$AY1497,"="&amp;$AY1497)</f>
        <v>1127</v>
      </c>
      <c r="BF1497" s="25" t="s">
        <v>1157</v>
      </c>
      <c r="BG1497" s="14">
        <f t="shared" si="346"/>
        <v>253</v>
      </c>
      <c r="BH1497" s="14">
        <f>SUMIFS(BG$4:BG1497,AU$4:AU1497,"="&amp;AU1497,AY$4:AY1497,"="&amp;AY1497)</f>
        <v>564</v>
      </c>
      <c r="BI1497" s="25" t="s">
        <v>1158</v>
      </c>
      <c r="BJ1497" s="14">
        <f t="shared" si="347"/>
        <v>9000</v>
      </c>
      <c r="BK1497" s="14">
        <f>SUMIFS(BJ$4:BJ1497,$AU$4:$AU1497,"="&amp;$AU1497,$AY$4:$AY1497,"="&amp;$AY1497)</f>
        <v>20040</v>
      </c>
    </row>
    <row r="1498" spans="46:63" ht="16.5" x14ac:dyDescent="0.2">
      <c r="AT1498" s="13">
        <v>1495</v>
      </c>
      <c r="AU1498" s="13">
        <f t="shared" si="339"/>
        <v>19</v>
      </c>
      <c r="AV1498" s="14">
        <f t="shared" si="340"/>
        <v>202806</v>
      </c>
      <c r="AW1498" s="14">
        <f t="shared" si="341"/>
        <v>1102028</v>
      </c>
      <c r="AX1498" s="13" t="s">
        <v>1127</v>
      </c>
      <c r="AY1498" s="13">
        <f t="shared" si="342"/>
        <v>6</v>
      </c>
      <c r="AZ1498" s="13" t="s">
        <v>1148</v>
      </c>
      <c r="BA1498" s="14">
        <f t="shared" si="343"/>
        <v>4</v>
      </c>
      <c r="BB1498" s="14" t="str">
        <f t="shared" si="344"/>
        <v>吕布魂珠-6 等级-4</v>
      </c>
      <c r="BC1498" s="25" t="s">
        <v>44</v>
      </c>
      <c r="BD1498" s="14">
        <f t="shared" si="345"/>
        <v>756</v>
      </c>
      <c r="BE1498" s="14">
        <f>SUMIFS(BD$4:BD1498,$AU$4:$AU1498,"="&amp;$AU1498,$AY$4:$AY1498,"="&amp;$AY1498)</f>
        <v>1883</v>
      </c>
      <c r="BF1498" s="25" t="s">
        <v>1157</v>
      </c>
      <c r="BG1498" s="14">
        <f t="shared" si="346"/>
        <v>378</v>
      </c>
      <c r="BH1498" s="14">
        <f>SUMIFS(BG$4:BG1498,AU$4:AU1498,"="&amp;AU1498,AY$4:AY1498,"="&amp;AY1498)</f>
        <v>942</v>
      </c>
      <c r="BI1498" s="25" t="s">
        <v>1158</v>
      </c>
      <c r="BJ1498" s="14">
        <f t="shared" si="347"/>
        <v>13440</v>
      </c>
      <c r="BK1498" s="14">
        <f>SUMIFS(BJ$4:BJ1498,$AU$4:$AU1498,"="&amp;$AU1498,$AY$4:$AY1498,"="&amp;$AY1498)</f>
        <v>33480</v>
      </c>
    </row>
    <row r="1499" spans="46:63" ht="16.5" x14ac:dyDescent="0.2">
      <c r="AT1499" s="13">
        <v>1496</v>
      </c>
      <c r="AU1499" s="13">
        <f t="shared" si="339"/>
        <v>19</v>
      </c>
      <c r="AV1499" s="14">
        <f t="shared" si="340"/>
        <v>202806</v>
      </c>
      <c r="AW1499" s="14">
        <f t="shared" si="341"/>
        <v>1102028</v>
      </c>
      <c r="AX1499" s="13" t="s">
        <v>1127</v>
      </c>
      <c r="AY1499" s="13">
        <f t="shared" si="342"/>
        <v>6</v>
      </c>
      <c r="AZ1499" s="13" t="s">
        <v>1148</v>
      </c>
      <c r="BA1499" s="14">
        <f t="shared" si="343"/>
        <v>5</v>
      </c>
      <c r="BB1499" s="14" t="str">
        <f t="shared" si="344"/>
        <v>吕布魂珠-6 等级-5</v>
      </c>
      <c r="BC1499" s="25" t="s">
        <v>44</v>
      </c>
      <c r="BD1499" s="14">
        <f t="shared" si="345"/>
        <v>1013</v>
      </c>
      <c r="BE1499" s="14">
        <f>SUMIFS(BD$4:BD1499,$AU$4:$AU1499,"="&amp;$AU1499,$AY$4:$AY1499,"="&amp;$AY1499)</f>
        <v>2896</v>
      </c>
      <c r="BF1499" s="25" t="s">
        <v>1157</v>
      </c>
      <c r="BG1499" s="14">
        <f t="shared" si="346"/>
        <v>506</v>
      </c>
      <c r="BH1499" s="14">
        <f>SUMIFS(BG$4:BG1499,AU$4:AU1499,"="&amp;AU1499,AY$4:AY1499,"="&amp;AY1499)</f>
        <v>1448</v>
      </c>
      <c r="BI1499" s="25" t="s">
        <v>1158</v>
      </c>
      <c r="BJ1499" s="14">
        <f t="shared" si="347"/>
        <v>18000</v>
      </c>
      <c r="BK1499" s="14">
        <f>SUMIFS(BJ$4:BJ1499,$AU$4:$AU1499,"="&amp;$AU1499,$AY$4:$AY1499,"="&amp;$AY1499)</f>
        <v>51480</v>
      </c>
    </row>
    <row r="1500" spans="46:63" ht="16.5" x14ac:dyDescent="0.2">
      <c r="AT1500" s="13">
        <v>1497</v>
      </c>
      <c r="AU1500" s="13">
        <f t="shared" si="339"/>
        <v>19</v>
      </c>
      <c r="AV1500" s="14">
        <f t="shared" si="340"/>
        <v>202806</v>
      </c>
      <c r="AW1500" s="14">
        <f t="shared" si="341"/>
        <v>1102028</v>
      </c>
      <c r="AX1500" s="13" t="s">
        <v>1127</v>
      </c>
      <c r="AY1500" s="13">
        <f t="shared" si="342"/>
        <v>6</v>
      </c>
      <c r="AZ1500" s="13" t="s">
        <v>1148</v>
      </c>
      <c r="BA1500" s="14">
        <f t="shared" si="343"/>
        <v>6</v>
      </c>
      <c r="BB1500" s="14" t="str">
        <f t="shared" si="344"/>
        <v>吕布魂珠-6 等级-6</v>
      </c>
      <c r="BC1500" s="25" t="s">
        <v>44</v>
      </c>
      <c r="BD1500" s="14">
        <f t="shared" si="345"/>
        <v>1283</v>
      </c>
      <c r="BE1500" s="14">
        <f>SUMIFS(BD$4:BD1500,$AU$4:$AU1500,"="&amp;$AU1500,$AY$4:$AY1500,"="&amp;$AY1500)</f>
        <v>4179</v>
      </c>
      <c r="BF1500" s="25" t="s">
        <v>1157</v>
      </c>
      <c r="BG1500" s="14">
        <f t="shared" si="346"/>
        <v>641</v>
      </c>
      <c r="BH1500" s="14">
        <f>SUMIFS(BG$4:BG1500,AU$4:AU1500,"="&amp;AU1500,AY$4:AY1500,"="&amp;AY1500)</f>
        <v>2089</v>
      </c>
      <c r="BI1500" s="25" t="s">
        <v>1158</v>
      </c>
      <c r="BJ1500" s="14">
        <f t="shared" si="347"/>
        <v>22800</v>
      </c>
      <c r="BK1500" s="14">
        <f>SUMIFS(BJ$4:BJ1500,$AU$4:$AU1500,"="&amp;$AU1500,$AY$4:$AY1500,"="&amp;$AY1500)</f>
        <v>74280</v>
      </c>
    </row>
    <row r="1501" spans="46:63" ht="16.5" x14ac:dyDescent="0.2">
      <c r="AT1501" s="13">
        <v>1498</v>
      </c>
      <c r="AU1501" s="13">
        <f t="shared" si="339"/>
        <v>19</v>
      </c>
      <c r="AV1501" s="14">
        <f t="shared" si="340"/>
        <v>202806</v>
      </c>
      <c r="AW1501" s="14">
        <f t="shared" si="341"/>
        <v>1102028</v>
      </c>
      <c r="AX1501" s="13" t="s">
        <v>1127</v>
      </c>
      <c r="AY1501" s="13">
        <f t="shared" si="342"/>
        <v>6</v>
      </c>
      <c r="AZ1501" s="13" t="s">
        <v>1148</v>
      </c>
      <c r="BA1501" s="14">
        <f t="shared" si="343"/>
        <v>7</v>
      </c>
      <c r="BB1501" s="14" t="str">
        <f t="shared" si="344"/>
        <v>吕布魂珠-6 等级-7</v>
      </c>
      <c r="BC1501" s="25" t="s">
        <v>44</v>
      </c>
      <c r="BD1501" s="14">
        <f t="shared" si="345"/>
        <v>1553</v>
      </c>
      <c r="BE1501" s="14">
        <f>SUMIFS(BD$4:BD1501,$AU$4:$AU1501,"="&amp;$AU1501,$AY$4:$AY1501,"="&amp;$AY1501)</f>
        <v>5732</v>
      </c>
      <c r="BF1501" s="25" t="s">
        <v>1157</v>
      </c>
      <c r="BG1501" s="14">
        <f t="shared" si="346"/>
        <v>776</v>
      </c>
      <c r="BH1501" s="14">
        <f>SUMIFS(BG$4:BG1501,AU$4:AU1501,"="&amp;AU1501,AY$4:AY1501,"="&amp;AY1501)</f>
        <v>2865</v>
      </c>
      <c r="BI1501" s="25" t="s">
        <v>1158</v>
      </c>
      <c r="BJ1501" s="14">
        <f t="shared" si="347"/>
        <v>27600</v>
      </c>
      <c r="BK1501" s="14">
        <f>SUMIFS(BJ$4:BJ1501,$AU$4:$AU1501,"="&amp;$AU1501,$AY$4:$AY1501,"="&amp;$AY1501)</f>
        <v>101880</v>
      </c>
    </row>
    <row r="1502" spans="46:63" ht="16.5" x14ac:dyDescent="0.2">
      <c r="AT1502" s="13">
        <v>1499</v>
      </c>
      <c r="AU1502" s="13">
        <f t="shared" si="339"/>
        <v>19</v>
      </c>
      <c r="AV1502" s="14">
        <f t="shared" si="340"/>
        <v>202806</v>
      </c>
      <c r="AW1502" s="14">
        <f t="shared" si="341"/>
        <v>1102028</v>
      </c>
      <c r="AX1502" s="13" t="s">
        <v>1127</v>
      </c>
      <c r="AY1502" s="13">
        <f t="shared" si="342"/>
        <v>6</v>
      </c>
      <c r="AZ1502" s="13" t="s">
        <v>1148</v>
      </c>
      <c r="BA1502" s="14">
        <f t="shared" si="343"/>
        <v>8</v>
      </c>
      <c r="BB1502" s="14" t="str">
        <f t="shared" si="344"/>
        <v>吕布魂珠-6 等级-8</v>
      </c>
      <c r="BC1502" s="25" t="s">
        <v>44</v>
      </c>
      <c r="BD1502" s="14">
        <f t="shared" si="345"/>
        <v>1755</v>
      </c>
      <c r="BE1502" s="14">
        <f>SUMIFS(BD$4:BD1502,$AU$4:$AU1502,"="&amp;$AU1502,$AY$4:$AY1502,"="&amp;$AY1502)</f>
        <v>7487</v>
      </c>
      <c r="BF1502" s="25" t="s">
        <v>1157</v>
      </c>
      <c r="BG1502" s="14">
        <f t="shared" si="346"/>
        <v>878</v>
      </c>
      <c r="BH1502" s="14">
        <f>SUMIFS(BG$4:BG1502,AU$4:AU1502,"="&amp;AU1502,AY$4:AY1502,"="&amp;AY1502)</f>
        <v>3743</v>
      </c>
      <c r="BI1502" s="25" t="s">
        <v>1158</v>
      </c>
      <c r="BJ1502" s="14">
        <f t="shared" si="347"/>
        <v>31200</v>
      </c>
      <c r="BK1502" s="14">
        <f>SUMIFS(BJ$4:BJ1502,$AU$4:$AU1502,"="&amp;$AU1502,$AY$4:$AY1502,"="&amp;$AY1502)</f>
        <v>133080</v>
      </c>
    </row>
    <row r="1503" spans="46:63" ht="16.5" x14ac:dyDescent="0.2">
      <c r="AT1503" s="13">
        <v>1500</v>
      </c>
      <c r="AU1503" s="13">
        <f t="shared" si="339"/>
        <v>19</v>
      </c>
      <c r="AV1503" s="14">
        <f t="shared" si="340"/>
        <v>202806</v>
      </c>
      <c r="AW1503" s="14">
        <f t="shared" si="341"/>
        <v>1102028</v>
      </c>
      <c r="AX1503" s="13" t="s">
        <v>1127</v>
      </c>
      <c r="AY1503" s="13">
        <f t="shared" si="342"/>
        <v>6</v>
      </c>
      <c r="AZ1503" s="13" t="s">
        <v>1148</v>
      </c>
      <c r="BA1503" s="14">
        <f t="shared" si="343"/>
        <v>9</v>
      </c>
      <c r="BB1503" s="14" t="str">
        <f t="shared" si="344"/>
        <v>吕布魂珠-6 等级-9</v>
      </c>
      <c r="BC1503" s="25" t="s">
        <v>44</v>
      </c>
      <c r="BD1503" s="14">
        <f t="shared" si="345"/>
        <v>2025</v>
      </c>
      <c r="BE1503" s="14">
        <f>SUMIFS(BD$4:BD1503,$AU$4:$AU1503,"="&amp;$AU1503,$AY$4:$AY1503,"="&amp;$AY1503)</f>
        <v>9512</v>
      </c>
      <c r="BF1503" s="25" t="s">
        <v>1157</v>
      </c>
      <c r="BG1503" s="14">
        <f t="shared" si="346"/>
        <v>1013</v>
      </c>
      <c r="BH1503" s="14">
        <f>SUMIFS(BG$4:BG1503,AU$4:AU1503,"="&amp;AU1503,AY$4:AY1503,"="&amp;AY1503)</f>
        <v>4756</v>
      </c>
      <c r="BI1503" s="25" t="s">
        <v>1158</v>
      </c>
      <c r="BJ1503" s="14">
        <f t="shared" si="347"/>
        <v>36000</v>
      </c>
      <c r="BK1503" s="14">
        <f>SUMIFS(BJ$4:BJ1503,$AU$4:$AU1503,"="&amp;$AU1503,$AY$4:$AY1503,"="&amp;$AY1503)</f>
        <v>169080</v>
      </c>
    </row>
    <row r="1504" spans="46:63" ht="16.5" x14ac:dyDescent="0.2">
      <c r="AT1504" s="13">
        <v>1501</v>
      </c>
      <c r="AU1504" s="13">
        <f t="shared" si="339"/>
        <v>19</v>
      </c>
      <c r="AV1504" s="14">
        <f t="shared" si="340"/>
        <v>202807</v>
      </c>
      <c r="AW1504" s="14">
        <f t="shared" si="341"/>
        <v>1102028</v>
      </c>
      <c r="AX1504" s="13" t="s">
        <v>1127</v>
      </c>
      <c r="AY1504" s="13">
        <f t="shared" si="342"/>
        <v>7</v>
      </c>
      <c r="AZ1504" s="13" t="s">
        <v>1148</v>
      </c>
      <c r="BA1504" s="14">
        <f t="shared" si="343"/>
        <v>0</v>
      </c>
      <c r="BB1504" s="14" t="str">
        <f t="shared" si="344"/>
        <v>吕布魂珠-7 等级-0</v>
      </c>
      <c r="BC1504" s="25" t="s">
        <v>44</v>
      </c>
      <c r="BD1504" s="14">
        <f t="shared" si="345"/>
        <v>0</v>
      </c>
      <c r="BE1504" s="14">
        <f>SUMIFS(BD$4:BD1504,$AU$4:$AU1504,"="&amp;$AU1504,$AY$4:$AY1504,"="&amp;$AY1504)</f>
        <v>0</v>
      </c>
      <c r="BF1504" s="25" t="s">
        <v>1157</v>
      </c>
      <c r="BG1504" s="14">
        <f t="shared" si="346"/>
        <v>0</v>
      </c>
      <c r="BH1504" s="14">
        <f>SUMIFS(BG$4:BG1504,AU$4:AU1504,"="&amp;AU1504,AY$4:AY1504,"="&amp;AY1504)</f>
        <v>0</v>
      </c>
      <c r="BI1504" s="25" t="s">
        <v>1158</v>
      </c>
      <c r="BJ1504" s="14">
        <f t="shared" si="347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39"/>
        <v>19</v>
      </c>
      <c r="AV1505" s="14">
        <f t="shared" si="340"/>
        <v>202807</v>
      </c>
      <c r="AW1505" s="14">
        <f t="shared" si="341"/>
        <v>1102028</v>
      </c>
      <c r="AX1505" s="13" t="s">
        <v>1127</v>
      </c>
      <c r="AY1505" s="13">
        <f t="shared" si="342"/>
        <v>7</v>
      </c>
      <c r="AZ1505" s="13" t="s">
        <v>1148</v>
      </c>
      <c r="BA1505" s="14">
        <f t="shared" si="343"/>
        <v>1</v>
      </c>
      <c r="BB1505" s="14" t="str">
        <f t="shared" si="344"/>
        <v>吕布魂珠-7 等级-1</v>
      </c>
      <c r="BC1505" s="25" t="s">
        <v>44</v>
      </c>
      <c r="BD1505" s="14">
        <f t="shared" si="345"/>
        <v>324</v>
      </c>
      <c r="BE1505" s="14">
        <f>SUMIFS(BD$4:BD1505,$AU$4:$AU1505,"="&amp;$AU1505,$AY$4:$AY1505,"="&amp;$AY1505)</f>
        <v>324</v>
      </c>
      <c r="BF1505" s="25" t="s">
        <v>1157</v>
      </c>
      <c r="BG1505" s="14">
        <f t="shared" si="346"/>
        <v>162</v>
      </c>
      <c r="BH1505" s="14">
        <f>SUMIFS(BG$4:BG1505,AU$4:AU1505,"="&amp;AU1505,AY$4:AY1505,"="&amp;AY1505)</f>
        <v>162</v>
      </c>
      <c r="BI1505" s="25" t="s">
        <v>1158</v>
      </c>
      <c r="BJ1505" s="14">
        <f t="shared" si="347"/>
        <v>5760</v>
      </c>
      <c r="BK1505" s="14">
        <f>SUMIFS(BJ$4:BJ1505,$AU$4:$AU1505,"="&amp;$AU1505,$AY$4:$AY1505,"="&amp;$AY1505)</f>
        <v>5760</v>
      </c>
    </row>
    <row r="1506" spans="46:63" ht="16.5" x14ac:dyDescent="0.2">
      <c r="AT1506" s="13">
        <v>1503</v>
      </c>
      <c r="AU1506" s="13">
        <f t="shared" si="339"/>
        <v>19</v>
      </c>
      <c r="AV1506" s="14">
        <f t="shared" si="340"/>
        <v>202807</v>
      </c>
      <c r="AW1506" s="14">
        <f t="shared" si="341"/>
        <v>1102028</v>
      </c>
      <c r="AX1506" s="13" t="s">
        <v>1127</v>
      </c>
      <c r="AY1506" s="13">
        <f t="shared" si="342"/>
        <v>7</v>
      </c>
      <c r="AZ1506" s="13" t="s">
        <v>1148</v>
      </c>
      <c r="BA1506" s="14">
        <f t="shared" si="343"/>
        <v>2</v>
      </c>
      <c r="BB1506" s="14" t="str">
        <f t="shared" si="344"/>
        <v>吕布魂珠-7 等级-2</v>
      </c>
      <c r="BC1506" s="25" t="s">
        <v>44</v>
      </c>
      <c r="BD1506" s="14">
        <f t="shared" si="345"/>
        <v>486</v>
      </c>
      <c r="BE1506" s="14">
        <f>SUMIFS(BD$4:BD1506,$AU$4:$AU1506,"="&amp;$AU1506,$AY$4:$AY1506,"="&amp;$AY1506)</f>
        <v>810</v>
      </c>
      <c r="BF1506" s="25" t="s">
        <v>1157</v>
      </c>
      <c r="BG1506" s="14">
        <f t="shared" si="346"/>
        <v>243</v>
      </c>
      <c r="BH1506" s="14">
        <f>SUMIFS(BG$4:BG1506,AU$4:AU1506,"="&amp;AU1506,AY$4:AY1506,"="&amp;AY1506)</f>
        <v>405</v>
      </c>
      <c r="BI1506" s="25" t="s">
        <v>1158</v>
      </c>
      <c r="BJ1506" s="14">
        <f t="shared" si="347"/>
        <v>8640</v>
      </c>
      <c r="BK1506" s="14">
        <f>SUMIFS(BJ$4:BJ1506,$AU$4:$AU1506,"="&amp;$AU1506,$AY$4:$AY1506,"="&amp;$AY1506)</f>
        <v>14400</v>
      </c>
    </row>
    <row r="1507" spans="46:63" ht="16.5" x14ac:dyDescent="0.2">
      <c r="AT1507" s="13">
        <v>1504</v>
      </c>
      <c r="AU1507" s="13">
        <f t="shared" si="339"/>
        <v>19</v>
      </c>
      <c r="AV1507" s="14">
        <f t="shared" si="340"/>
        <v>202807</v>
      </c>
      <c r="AW1507" s="14">
        <f t="shared" si="341"/>
        <v>1102028</v>
      </c>
      <c r="AX1507" s="13" t="s">
        <v>1127</v>
      </c>
      <c r="AY1507" s="13">
        <f t="shared" si="342"/>
        <v>7</v>
      </c>
      <c r="AZ1507" s="13" t="s">
        <v>1148</v>
      </c>
      <c r="BA1507" s="14">
        <f t="shared" si="343"/>
        <v>3</v>
      </c>
      <c r="BB1507" s="14" t="str">
        <f t="shared" si="344"/>
        <v>吕布魂珠-7 等级-3</v>
      </c>
      <c r="BC1507" s="25" t="s">
        <v>44</v>
      </c>
      <c r="BD1507" s="14">
        <f t="shared" si="345"/>
        <v>648</v>
      </c>
      <c r="BE1507" s="14">
        <f>SUMIFS(BD$4:BD1507,$AU$4:$AU1507,"="&amp;$AU1507,$AY$4:$AY1507,"="&amp;$AY1507)</f>
        <v>1458</v>
      </c>
      <c r="BF1507" s="25" t="s">
        <v>1157</v>
      </c>
      <c r="BG1507" s="14">
        <f t="shared" si="346"/>
        <v>324</v>
      </c>
      <c r="BH1507" s="14">
        <f>SUMIFS(BG$4:BG1507,AU$4:AU1507,"="&amp;AU1507,AY$4:AY1507,"="&amp;AY1507)</f>
        <v>729</v>
      </c>
      <c r="BI1507" s="25" t="s">
        <v>1158</v>
      </c>
      <c r="BJ1507" s="14">
        <f t="shared" si="347"/>
        <v>11520</v>
      </c>
      <c r="BK1507" s="14">
        <f>SUMIFS(BJ$4:BJ1507,$AU$4:$AU1507,"="&amp;$AU1507,$AY$4:$AY1507,"="&amp;$AY1507)</f>
        <v>25920</v>
      </c>
    </row>
    <row r="1508" spans="46:63" ht="16.5" x14ac:dyDescent="0.2">
      <c r="AT1508" s="13">
        <v>1505</v>
      </c>
      <c r="AU1508" s="13">
        <f t="shared" si="339"/>
        <v>19</v>
      </c>
      <c r="AV1508" s="14">
        <f t="shared" si="340"/>
        <v>202807</v>
      </c>
      <c r="AW1508" s="14">
        <f t="shared" si="341"/>
        <v>1102028</v>
      </c>
      <c r="AX1508" s="13" t="s">
        <v>1127</v>
      </c>
      <c r="AY1508" s="13">
        <f t="shared" si="342"/>
        <v>7</v>
      </c>
      <c r="AZ1508" s="13" t="s">
        <v>1148</v>
      </c>
      <c r="BA1508" s="14">
        <f t="shared" si="343"/>
        <v>4</v>
      </c>
      <c r="BB1508" s="14" t="str">
        <f t="shared" si="344"/>
        <v>吕布魂珠-7 等级-4</v>
      </c>
      <c r="BC1508" s="25" t="s">
        <v>44</v>
      </c>
      <c r="BD1508" s="14">
        <f t="shared" si="345"/>
        <v>972</v>
      </c>
      <c r="BE1508" s="14">
        <f>SUMIFS(BD$4:BD1508,$AU$4:$AU1508,"="&amp;$AU1508,$AY$4:$AY1508,"="&amp;$AY1508)</f>
        <v>2430</v>
      </c>
      <c r="BF1508" s="25" t="s">
        <v>1157</v>
      </c>
      <c r="BG1508" s="14">
        <f t="shared" si="346"/>
        <v>486</v>
      </c>
      <c r="BH1508" s="14">
        <f>SUMIFS(BG$4:BG1508,AU$4:AU1508,"="&amp;AU1508,AY$4:AY1508,"="&amp;AY1508)</f>
        <v>1215</v>
      </c>
      <c r="BI1508" s="25" t="s">
        <v>1158</v>
      </c>
      <c r="BJ1508" s="14">
        <f t="shared" si="347"/>
        <v>17280</v>
      </c>
      <c r="BK1508" s="14">
        <f>SUMIFS(BJ$4:BJ1508,$AU$4:$AU1508,"="&amp;$AU1508,$AY$4:$AY1508,"="&amp;$AY1508)</f>
        <v>43200</v>
      </c>
    </row>
    <row r="1509" spans="46:63" ht="16.5" x14ac:dyDescent="0.2">
      <c r="AT1509" s="13">
        <v>1506</v>
      </c>
      <c r="AU1509" s="13">
        <f t="shared" si="339"/>
        <v>19</v>
      </c>
      <c r="AV1509" s="14">
        <f t="shared" si="340"/>
        <v>202807</v>
      </c>
      <c r="AW1509" s="14">
        <f t="shared" si="341"/>
        <v>1102028</v>
      </c>
      <c r="AX1509" s="13" t="s">
        <v>1127</v>
      </c>
      <c r="AY1509" s="13">
        <f t="shared" si="342"/>
        <v>7</v>
      </c>
      <c r="AZ1509" s="13" t="s">
        <v>1148</v>
      </c>
      <c r="BA1509" s="14">
        <f t="shared" si="343"/>
        <v>5</v>
      </c>
      <c r="BB1509" s="14" t="str">
        <f t="shared" si="344"/>
        <v>吕布魂珠-7 等级-5</v>
      </c>
      <c r="BC1509" s="25" t="s">
        <v>44</v>
      </c>
      <c r="BD1509" s="14">
        <f t="shared" si="345"/>
        <v>1296</v>
      </c>
      <c r="BE1509" s="14">
        <f>SUMIFS(BD$4:BD1509,$AU$4:$AU1509,"="&amp;$AU1509,$AY$4:$AY1509,"="&amp;$AY1509)</f>
        <v>3726</v>
      </c>
      <c r="BF1509" s="25" t="s">
        <v>1157</v>
      </c>
      <c r="BG1509" s="14">
        <f t="shared" si="346"/>
        <v>648</v>
      </c>
      <c r="BH1509" s="14">
        <f>SUMIFS(BG$4:BG1509,AU$4:AU1509,"="&amp;AU1509,AY$4:AY1509,"="&amp;AY1509)</f>
        <v>1863</v>
      </c>
      <c r="BI1509" s="25" t="s">
        <v>1158</v>
      </c>
      <c r="BJ1509" s="14">
        <f t="shared" si="347"/>
        <v>23040</v>
      </c>
      <c r="BK1509" s="14">
        <f>SUMIFS(BJ$4:BJ1509,$AU$4:$AU1509,"="&amp;$AU1509,$AY$4:$AY1509,"="&amp;$AY1509)</f>
        <v>66240</v>
      </c>
    </row>
    <row r="1510" spans="46:63" ht="16.5" x14ac:dyDescent="0.2">
      <c r="AT1510" s="13">
        <v>1507</v>
      </c>
      <c r="AU1510" s="13">
        <f t="shared" si="339"/>
        <v>19</v>
      </c>
      <c r="AV1510" s="14">
        <f t="shared" si="340"/>
        <v>202807</v>
      </c>
      <c r="AW1510" s="14">
        <f t="shared" si="341"/>
        <v>1102028</v>
      </c>
      <c r="AX1510" s="13" t="s">
        <v>1127</v>
      </c>
      <c r="AY1510" s="13">
        <f t="shared" si="342"/>
        <v>7</v>
      </c>
      <c r="AZ1510" s="13" t="s">
        <v>1148</v>
      </c>
      <c r="BA1510" s="14">
        <f t="shared" si="343"/>
        <v>6</v>
      </c>
      <c r="BB1510" s="14" t="str">
        <f t="shared" si="344"/>
        <v>吕布魂珠-7 等级-6</v>
      </c>
      <c r="BC1510" s="25" t="s">
        <v>44</v>
      </c>
      <c r="BD1510" s="14">
        <f t="shared" si="345"/>
        <v>1620</v>
      </c>
      <c r="BE1510" s="14">
        <f>SUMIFS(BD$4:BD1510,$AU$4:$AU1510,"="&amp;$AU1510,$AY$4:$AY1510,"="&amp;$AY1510)</f>
        <v>5346</v>
      </c>
      <c r="BF1510" s="25" t="s">
        <v>1157</v>
      </c>
      <c r="BG1510" s="14">
        <f t="shared" si="346"/>
        <v>810</v>
      </c>
      <c r="BH1510" s="14">
        <f>SUMIFS(BG$4:BG1510,AU$4:AU1510,"="&amp;AU1510,AY$4:AY1510,"="&amp;AY1510)</f>
        <v>2673</v>
      </c>
      <c r="BI1510" s="25" t="s">
        <v>1158</v>
      </c>
      <c r="BJ1510" s="14">
        <f t="shared" si="347"/>
        <v>28800</v>
      </c>
      <c r="BK1510" s="14">
        <f>SUMIFS(BJ$4:BJ1510,$AU$4:$AU1510,"="&amp;$AU1510,$AY$4:$AY1510,"="&amp;$AY1510)</f>
        <v>95040</v>
      </c>
    </row>
    <row r="1511" spans="46:63" ht="16.5" x14ac:dyDescent="0.2">
      <c r="AT1511" s="13">
        <v>1508</v>
      </c>
      <c r="AU1511" s="13">
        <f t="shared" si="339"/>
        <v>19</v>
      </c>
      <c r="AV1511" s="14">
        <f t="shared" si="340"/>
        <v>202807</v>
      </c>
      <c r="AW1511" s="14">
        <f t="shared" si="341"/>
        <v>1102028</v>
      </c>
      <c r="AX1511" s="13" t="s">
        <v>1127</v>
      </c>
      <c r="AY1511" s="13">
        <f t="shared" si="342"/>
        <v>7</v>
      </c>
      <c r="AZ1511" s="13" t="s">
        <v>1148</v>
      </c>
      <c r="BA1511" s="14">
        <f t="shared" si="343"/>
        <v>7</v>
      </c>
      <c r="BB1511" s="14" t="str">
        <f t="shared" si="344"/>
        <v>吕布魂珠-7 等级-7</v>
      </c>
      <c r="BC1511" s="25" t="s">
        <v>44</v>
      </c>
      <c r="BD1511" s="14">
        <f t="shared" si="345"/>
        <v>1944</v>
      </c>
      <c r="BE1511" s="14">
        <f>SUMIFS(BD$4:BD1511,$AU$4:$AU1511,"="&amp;$AU1511,$AY$4:$AY1511,"="&amp;$AY1511)</f>
        <v>7290</v>
      </c>
      <c r="BF1511" s="25" t="s">
        <v>1157</v>
      </c>
      <c r="BG1511" s="14">
        <f t="shared" si="346"/>
        <v>972</v>
      </c>
      <c r="BH1511" s="14">
        <f>SUMIFS(BG$4:BG1511,AU$4:AU1511,"="&amp;AU1511,AY$4:AY1511,"="&amp;AY1511)</f>
        <v>3645</v>
      </c>
      <c r="BI1511" s="25" t="s">
        <v>1158</v>
      </c>
      <c r="BJ1511" s="14">
        <f t="shared" si="347"/>
        <v>34560</v>
      </c>
      <c r="BK1511" s="14">
        <f>SUMIFS(BJ$4:BJ1511,$AU$4:$AU1511,"="&amp;$AU1511,$AY$4:$AY1511,"="&amp;$AY1511)</f>
        <v>129600</v>
      </c>
    </row>
    <row r="1512" spans="46:63" ht="16.5" x14ac:dyDescent="0.2">
      <c r="AT1512" s="13">
        <v>1509</v>
      </c>
      <c r="AU1512" s="13">
        <f t="shared" si="339"/>
        <v>19</v>
      </c>
      <c r="AV1512" s="14">
        <f t="shared" si="340"/>
        <v>202807</v>
      </c>
      <c r="AW1512" s="14">
        <f t="shared" si="341"/>
        <v>1102028</v>
      </c>
      <c r="AX1512" s="13" t="s">
        <v>1127</v>
      </c>
      <c r="AY1512" s="13">
        <f t="shared" si="342"/>
        <v>7</v>
      </c>
      <c r="AZ1512" s="13" t="s">
        <v>1148</v>
      </c>
      <c r="BA1512" s="14">
        <f t="shared" si="343"/>
        <v>8</v>
      </c>
      <c r="BB1512" s="14" t="str">
        <f t="shared" si="344"/>
        <v>吕布魂珠-7 等级-8</v>
      </c>
      <c r="BC1512" s="25" t="s">
        <v>44</v>
      </c>
      <c r="BD1512" s="14">
        <f t="shared" si="345"/>
        <v>2268</v>
      </c>
      <c r="BE1512" s="14">
        <f>SUMIFS(BD$4:BD1512,$AU$4:$AU1512,"="&amp;$AU1512,$AY$4:$AY1512,"="&amp;$AY1512)</f>
        <v>9558</v>
      </c>
      <c r="BF1512" s="25" t="s">
        <v>1157</v>
      </c>
      <c r="BG1512" s="14">
        <f t="shared" si="346"/>
        <v>1134</v>
      </c>
      <c r="BH1512" s="14">
        <f>SUMIFS(BG$4:BG1512,AU$4:AU1512,"="&amp;AU1512,AY$4:AY1512,"="&amp;AY1512)</f>
        <v>4779</v>
      </c>
      <c r="BI1512" s="25" t="s">
        <v>1158</v>
      </c>
      <c r="BJ1512" s="14">
        <f t="shared" si="347"/>
        <v>40320</v>
      </c>
      <c r="BK1512" s="14">
        <f>SUMIFS(BJ$4:BJ1512,$AU$4:$AU1512,"="&amp;$AU1512,$AY$4:$AY1512,"="&amp;$AY1512)</f>
        <v>169920</v>
      </c>
    </row>
    <row r="1513" spans="46:63" ht="16.5" x14ac:dyDescent="0.2">
      <c r="AT1513" s="13">
        <v>1510</v>
      </c>
      <c r="AU1513" s="13">
        <f t="shared" si="339"/>
        <v>19</v>
      </c>
      <c r="AV1513" s="14">
        <f t="shared" si="340"/>
        <v>202807</v>
      </c>
      <c r="AW1513" s="14">
        <f t="shared" si="341"/>
        <v>1102028</v>
      </c>
      <c r="AX1513" s="13" t="s">
        <v>1127</v>
      </c>
      <c r="AY1513" s="13">
        <f t="shared" si="342"/>
        <v>7</v>
      </c>
      <c r="AZ1513" s="13" t="s">
        <v>1148</v>
      </c>
      <c r="BA1513" s="14">
        <f t="shared" si="343"/>
        <v>9</v>
      </c>
      <c r="BB1513" s="14" t="str">
        <f t="shared" si="344"/>
        <v>吕布魂珠-7 等级-9</v>
      </c>
      <c r="BC1513" s="25" t="s">
        <v>44</v>
      </c>
      <c r="BD1513" s="14">
        <f t="shared" si="345"/>
        <v>2592</v>
      </c>
      <c r="BE1513" s="14">
        <f>SUMIFS(BD$4:BD1513,$AU$4:$AU1513,"="&amp;$AU1513,$AY$4:$AY1513,"="&amp;$AY1513)</f>
        <v>12150</v>
      </c>
      <c r="BF1513" s="25" t="s">
        <v>1157</v>
      </c>
      <c r="BG1513" s="14">
        <f t="shared" si="346"/>
        <v>1296</v>
      </c>
      <c r="BH1513" s="14">
        <f>SUMIFS(BG$4:BG1513,AU$4:AU1513,"="&amp;AU1513,AY$4:AY1513,"="&amp;AY1513)</f>
        <v>6075</v>
      </c>
      <c r="BI1513" s="25" t="s">
        <v>1158</v>
      </c>
      <c r="BJ1513" s="14">
        <f t="shared" si="347"/>
        <v>46080</v>
      </c>
      <c r="BK1513" s="14">
        <f>SUMIFS(BJ$4:BJ1513,$AU$4:$AU1513,"="&amp;$AU1513,$AY$4:$AY1513,"="&amp;$AY1513)</f>
        <v>216000</v>
      </c>
    </row>
    <row r="1514" spans="46:63" ht="16.5" x14ac:dyDescent="0.2">
      <c r="AT1514" s="13">
        <v>1511</v>
      </c>
      <c r="AU1514" s="13">
        <f t="shared" si="339"/>
        <v>19</v>
      </c>
      <c r="AV1514" s="14">
        <f t="shared" si="340"/>
        <v>202808</v>
      </c>
      <c r="AW1514" s="14">
        <f t="shared" si="341"/>
        <v>1102028</v>
      </c>
      <c r="AX1514" s="13" t="s">
        <v>1127</v>
      </c>
      <c r="AY1514" s="13">
        <f t="shared" si="342"/>
        <v>8</v>
      </c>
      <c r="AZ1514" s="13" t="s">
        <v>1148</v>
      </c>
      <c r="BA1514" s="14">
        <f t="shared" si="343"/>
        <v>0</v>
      </c>
      <c r="BB1514" s="14" t="str">
        <f t="shared" si="344"/>
        <v>吕布魂珠-8 等级-0</v>
      </c>
      <c r="BC1514" s="25" t="s">
        <v>44</v>
      </c>
      <c r="BD1514" s="14">
        <f t="shared" si="345"/>
        <v>0</v>
      </c>
      <c r="BE1514" s="14">
        <f>SUMIFS(BD$4:BD1514,$AU$4:$AU1514,"="&amp;$AU1514,$AY$4:$AY1514,"="&amp;$AY1514)</f>
        <v>0</v>
      </c>
      <c r="BF1514" s="25" t="s">
        <v>1157</v>
      </c>
      <c r="BG1514" s="14">
        <f t="shared" si="346"/>
        <v>0</v>
      </c>
      <c r="BH1514" s="14">
        <f>SUMIFS(BG$4:BG1514,AU$4:AU1514,"="&amp;AU1514,AY$4:AY1514,"="&amp;AY1514)</f>
        <v>0</v>
      </c>
      <c r="BI1514" s="25" t="s">
        <v>1158</v>
      </c>
      <c r="BJ1514" s="14">
        <f t="shared" si="347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39"/>
        <v>19</v>
      </c>
      <c r="AV1515" s="14">
        <f t="shared" si="340"/>
        <v>202808</v>
      </c>
      <c r="AW1515" s="14">
        <f t="shared" si="341"/>
        <v>1102028</v>
      </c>
      <c r="AX1515" s="13" t="s">
        <v>1127</v>
      </c>
      <c r="AY1515" s="13">
        <f t="shared" si="342"/>
        <v>8</v>
      </c>
      <c r="AZ1515" s="13" t="s">
        <v>1148</v>
      </c>
      <c r="BA1515" s="14">
        <f t="shared" si="343"/>
        <v>1</v>
      </c>
      <c r="BB1515" s="14" t="str">
        <f t="shared" si="344"/>
        <v>吕布魂珠-8 等级-1</v>
      </c>
      <c r="BC1515" s="25" t="s">
        <v>44</v>
      </c>
      <c r="BD1515" s="14">
        <f t="shared" si="345"/>
        <v>432</v>
      </c>
      <c r="BE1515" s="14">
        <f>SUMIFS(BD$4:BD1515,$AU$4:$AU1515,"="&amp;$AU1515,$AY$4:$AY1515,"="&amp;$AY1515)</f>
        <v>432</v>
      </c>
      <c r="BF1515" s="25" t="s">
        <v>1157</v>
      </c>
      <c r="BG1515" s="14">
        <f t="shared" si="346"/>
        <v>216</v>
      </c>
      <c r="BH1515" s="14">
        <f>SUMIFS(BG$4:BG1515,AU$4:AU1515,"="&amp;AU1515,AY$4:AY1515,"="&amp;AY1515)</f>
        <v>216</v>
      </c>
      <c r="BI1515" s="25" t="s">
        <v>1158</v>
      </c>
      <c r="BJ1515" s="14">
        <f t="shared" si="347"/>
        <v>7680</v>
      </c>
      <c r="BK1515" s="14">
        <f>SUMIFS(BJ$4:BJ1515,$AU$4:$AU1515,"="&amp;$AU1515,$AY$4:$AY1515,"="&amp;$AY1515)</f>
        <v>7680</v>
      </c>
    </row>
    <row r="1516" spans="46:63" ht="16.5" x14ac:dyDescent="0.2">
      <c r="AT1516" s="13">
        <v>1513</v>
      </c>
      <c r="AU1516" s="13">
        <f t="shared" si="339"/>
        <v>19</v>
      </c>
      <c r="AV1516" s="14">
        <f t="shared" si="340"/>
        <v>202808</v>
      </c>
      <c r="AW1516" s="14">
        <f t="shared" si="341"/>
        <v>1102028</v>
      </c>
      <c r="AX1516" s="13" t="s">
        <v>1127</v>
      </c>
      <c r="AY1516" s="13">
        <f t="shared" ref="AY1516:AY1545" si="348">INT(((AT1516-(AU1516-1)*80)-1)/10)+1</f>
        <v>8</v>
      </c>
      <c r="AZ1516" s="13" t="s">
        <v>1148</v>
      </c>
      <c r="BA1516" s="14">
        <f t="shared" si="343"/>
        <v>2</v>
      </c>
      <c r="BB1516" s="14" t="str">
        <f t="shared" si="344"/>
        <v>吕布魂珠-8 等级-2</v>
      </c>
      <c r="BC1516" s="25" t="s">
        <v>44</v>
      </c>
      <c r="BD1516" s="14">
        <f t="shared" si="345"/>
        <v>648</v>
      </c>
      <c r="BE1516" s="14">
        <f>SUMIFS(BD$4:BD1516,$AU$4:$AU1516,"="&amp;$AU1516,$AY$4:$AY1516,"="&amp;$AY1516)</f>
        <v>1080</v>
      </c>
      <c r="BF1516" s="25" t="s">
        <v>1157</v>
      </c>
      <c r="BG1516" s="14">
        <f t="shared" si="346"/>
        <v>324</v>
      </c>
      <c r="BH1516" s="14">
        <f>SUMIFS(BG$4:BG1516,AU$4:AU1516,"="&amp;AU1516,AY$4:AY1516,"="&amp;AY1516)</f>
        <v>540</v>
      </c>
      <c r="BI1516" s="25" t="s">
        <v>1158</v>
      </c>
      <c r="BJ1516" s="14">
        <f t="shared" si="347"/>
        <v>11520</v>
      </c>
      <c r="BK1516" s="14">
        <f>SUMIFS(BJ$4:BJ1516,$AU$4:$AU1516,"="&amp;$AU1516,$AY$4:$AY1516,"="&amp;$AY1516)</f>
        <v>19200</v>
      </c>
    </row>
    <row r="1517" spans="46:63" ht="16.5" x14ac:dyDescent="0.2">
      <c r="AT1517" s="13">
        <v>1514</v>
      </c>
      <c r="AU1517" s="13">
        <f t="shared" si="339"/>
        <v>19</v>
      </c>
      <c r="AV1517" s="14">
        <f t="shared" si="340"/>
        <v>202808</v>
      </c>
      <c r="AW1517" s="14">
        <f t="shared" si="341"/>
        <v>1102028</v>
      </c>
      <c r="AX1517" s="13" t="s">
        <v>1127</v>
      </c>
      <c r="AY1517" s="13">
        <f t="shared" si="348"/>
        <v>8</v>
      </c>
      <c r="AZ1517" s="13" t="s">
        <v>1148</v>
      </c>
      <c r="BA1517" s="14">
        <f t="shared" si="343"/>
        <v>3</v>
      </c>
      <c r="BB1517" s="14" t="str">
        <f t="shared" si="344"/>
        <v>吕布魂珠-8 等级-3</v>
      </c>
      <c r="BC1517" s="25" t="s">
        <v>44</v>
      </c>
      <c r="BD1517" s="14">
        <f t="shared" si="345"/>
        <v>864</v>
      </c>
      <c r="BE1517" s="14">
        <f>SUMIFS(BD$4:BD1517,$AU$4:$AU1517,"="&amp;$AU1517,$AY$4:$AY1517,"="&amp;$AY1517)</f>
        <v>1944</v>
      </c>
      <c r="BF1517" s="25" t="s">
        <v>1157</v>
      </c>
      <c r="BG1517" s="14">
        <f t="shared" si="346"/>
        <v>432</v>
      </c>
      <c r="BH1517" s="14">
        <f>SUMIFS(BG$4:BG1517,AU$4:AU1517,"="&amp;AU1517,AY$4:AY1517,"="&amp;AY1517)</f>
        <v>972</v>
      </c>
      <c r="BI1517" s="25" t="s">
        <v>1158</v>
      </c>
      <c r="BJ1517" s="14">
        <f t="shared" si="347"/>
        <v>15360</v>
      </c>
      <c r="BK1517" s="14">
        <f>SUMIFS(BJ$4:BJ1517,$AU$4:$AU1517,"="&amp;$AU1517,$AY$4:$AY1517,"="&amp;$AY1517)</f>
        <v>34560</v>
      </c>
    </row>
    <row r="1518" spans="46:63" ht="16.5" x14ac:dyDescent="0.2">
      <c r="AT1518" s="13">
        <v>1515</v>
      </c>
      <c r="AU1518" s="13">
        <f t="shared" si="339"/>
        <v>19</v>
      </c>
      <c r="AV1518" s="14">
        <f t="shared" si="340"/>
        <v>202808</v>
      </c>
      <c r="AW1518" s="14">
        <f t="shared" si="341"/>
        <v>1102028</v>
      </c>
      <c r="AX1518" s="13" t="s">
        <v>1127</v>
      </c>
      <c r="AY1518" s="13">
        <f t="shared" si="348"/>
        <v>8</v>
      </c>
      <c r="AZ1518" s="13" t="s">
        <v>1148</v>
      </c>
      <c r="BA1518" s="14">
        <f t="shared" si="343"/>
        <v>4</v>
      </c>
      <c r="BB1518" s="14" t="str">
        <f t="shared" si="344"/>
        <v>吕布魂珠-8 等级-4</v>
      </c>
      <c r="BC1518" s="25" t="s">
        <v>44</v>
      </c>
      <c r="BD1518" s="14">
        <f t="shared" si="345"/>
        <v>1296</v>
      </c>
      <c r="BE1518" s="14">
        <f>SUMIFS(BD$4:BD1518,$AU$4:$AU1518,"="&amp;$AU1518,$AY$4:$AY1518,"="&amp;$AY1518)</f>
        <v>3240</v>
      </c>
      <c r="BF1518" s="25" t="s">
        <v>1157</v>
      </c>
      <c r="BG1518" s="14">
        <f t="shared" si="346"/>
        <v>648</v>
      </c>
      <c r="BH1518" s="14">
        <f>SUMIFS(BG$4:BG1518,AU$4:AU1518,"="&amp;AU1518,AY$4:AY1518,"="&amp;AY1518)</f>
        <v>1620</v>
      </c>
      <c r="BI1518" s="25" t="s">
        <v>1158</v>
      </c>
      <c r="BJ1518" s="14">
        <f t="shared" si="347"/>
        <v>23040</v>
      </c>
      <c r="BK1518" s="14">
        <f>SUMIFS(BJ$4:BJ1518,$AU$4:$AU1518,"="&amp;$AU1518,$AY$4:$AY1518,"="&amp;$AY1518)</f>
        <v>57600</v>
      </c>
    </row>
    <row r="1519" spans="46:63" ht="16.5" x14ac:dyDescent="0.2">
      <c r="AT1519" s="13">
        <v>1516</v>
      </c>
      <c r="AU1519" s="13">
        <f t="shared" si="339"/>
        <v>19</v>
      </c>
      <c r="AV1519" s="14">
        <f t="shared" si="340"/>
        <v>202808</v>
      </c>
      <c r="AW1519" s="14">
        <f t="shared" si="341"/>
        <v>1102028</v>
      </c>
      <c r="AX1519" s="13" t="s">
        <v>1127</v>
      </c>
      <c r="AY1519" s="13">
        <f t="shared" si="348"/>
        <v>8</v>
      </c>
      <c r="AZ1519" s="13" t="s">
        <v>1148</v>
      </c>
      <c r="BA1519" s="14">
        <f t="shared" si="343"/>
        <v>5</v>
      </c>
      <c r="BB1519" s="14" t="str">
        <f t="shared" si="344"/>
        <v>吕布魂珠-8 等级-5</v>
      </c>
      <c r="BC1519" s="25" t="s">
        <v>44</v>
      </c>
      <c r="BD1519" s="14">
        <f t="shared" si="345"/>
        <v>1728</v>
      </c>
      <c r="BE1519" s="14">
        <f>SUMIFS(BD$4:BD1519,$AU$4:$AU1519,"="&amp;$AU1519,$AY$4:$AY1519,"="&amp;$AY1519)</f>
        <v>4968</v>
      </c>
      <c r="BF1519" s="25" t="s">
        <v>1157</v>
      </c>
      <c r="BG1519" s="14">
        <f t="shared" si="346"/>
        <v>864</v>
      </c>
      <c r="BH1519" s="14">
        <f>SUMIFS(BG$4:BG1519,AU$4:AU1519,"="&amp;AU1519,AY$4:AY1519,"="&amp;AY1519)</f>
        <v>2484</v>
      </c>
      <c r="BI1519" s="25" t="s">
        <v>1158</v>
      </c>
      <c r="BJ1519" s="14">
        <f t="shared" si="347"/>
        <v>30720</v>
      </c>
      <c r="BK1519" s="14">
        <f>SUMIFS(BJ$4:BJ1519,$AU$4:$AU1519,"="&amp;$AU1519,$AY$4:$AY1519,"="&amp;$AY1519)</f>
        <v>88320</v>
      </c>
    </row>
    <row r="1520" spans="46:63" ht="16.5" x14ac:dyDescent="0.2">
      <c r="AT1520" s="13">
        <v>1517</v>
      </c>
      <c r="AU1520" s="13">
        <f t="shared" si="339"/>
        <v>19</v>
      </c>
      <c r="AV1520" s="14">
        <f t="shared" si="340"/>
        <v>202808</v>
      </c>
      <c r="AW1520" s="14">
        <f t="shared" si="341"/>
        <v>1102028</v>
      </c>
      <c r="AX1520" s="13" t="s">
        <v>1127</v>
      </c>
      <c r="AY1520" s="13">
        <f t="shared" si="348"/>
        <v>8</v>
      </c>
      <c r="AZ1520" s="13" t="s">
        <v>1148</v>
      </c>
      <c r="BA1520" s="14">
        <f t="shared" si="343"/>
        <v>6</v>
      </c>
      <c r="BB1520" s="14" t="str">
        <f t="shared" si="344"/>
        <v>吕布魂珠-8 等级-6</v>
      </c>
      <c r="BC1520" s="25" t="s">
        <v>44</v>
      </c>
      <c r="BD1520" s="14">
        <f t="shared" si="345"/>
        <v>2160</v>
      </c>
      <c r="BE1520" s="14">
        <f>SUMIFS(BD$4:BD1520,$AU$4:$AU1520,"="&amp;$AU1520,$AY$4:$AY1520,"="&amp;$AY1520)</f>
        <v>7128</v>
      </c>
      <c r="BF1520" s="25" t="s">
        <v>1157</v>
      </c>
      <c r="BG1520" s="14">
        <f t="shared" si="346"/>
        <v>1080</v>
      </c>
      <c r="BH1520" s="14">
        <f>SUMIFS(BG$4:BG1520,AU$4:AU1520,"="&amp;AU1520,AY$4:AY1520,"="&amp;AY1520)</f>
        <v>3564</v>
      </c>
      <c r="BI1520" s="25" t="s">
        <v>1158</v>
      </c>
      <c r="BJ1520" s="14">
        <f t="shared" si="347"/>
        <v>38400</v>
      </c>
      <c r="BK1520" s="14">
        <f>SUMIFS(BJ$4:BJ1520,$AU$4:$AU1520,"="&amp;$AU1520,$AY$4:$AY1520,"="&amp;$AY1520)</f>
        <v>126720</v>
      </c>
    </row>
    <row r="1521" spans="46:63" ht="16.5" x14ac:dyDescent="0.2">
      <c r="AT1521" s="13">
        <v>1518</v>
      </c>
      <c r="AU1521" s="13">
        <f t="shared" si="339"/>
        <v>19</v>
      </c>
      <c r="AV1521" s="14">
        <f t="shared" si="340"/>
        <v>202808</v>
      </c>
      <c r="AW1521" s="14">
        <f t="shared" si="341"/>
        <v>1102028</v>
      </c>
      <c r="AX1521" s="13" t="s">
        <v>1127</v>
      </c>
      <c r="AY1521" s="13">
        <f t="shared" si="348"/>
        <v>8</v>
      </c>
      <c r="AZ1521" s="13" t="s">
        <v>1148</v>
      </c>
      <c r="BA1521" s="14">
        <f t="shared" si="343"/>
        <v>7</v>
      </c>
      <c r="BB1521" s="14" t="str">
        <f t="shared" si="344"/>
        <v>吕布魂珠-8 等级-7</v>
      </c>
      <c r="BC1521" s="25" t="s">
        <v>44</v>
      </c>
      <c r="BD1521" s="14">
        <f t="shared" si="345"/>
        <v>2592</v>
      </c>
      <c r="BE1521" s="14">
        <f>SUMIFS(BD$4:BD1521,$AU$4:$AU1521,"="&amp;$AU1521,$AY$4:$AY1521,"="&amp;$AY1521)</f>
        <v>9720</v>
      </c>
      <c r="BF1521" s="25" t="s">
        <v>1157</v>
      </c>
      <c r="BG1521" s="14">
        <f t="shared" si="346"/>
        <v>1296</v>
      </c>
      <c r="BH1521" s="14">
        <f>SUMIFS(BG$4:BG1521,AU$4:AU1521,"="&amp;AU1521,AY$4:AY1521,"="&amp;AY1521)</f>
        <v>4860</v>
      </c>
      <c r="BI1521" s="25" t="s">
        <v>1158</v>
      </c>
      <c r="BJ1521" s="14">
        <f t="shared" si="347"/>
        <v>46080</v>
      </c>
      <c r="BK1521" s="14">
        <f>SUMIFS(BJ$4:BJ1521,$AU$4:$AU1521,"="&amp;$AU1521,$AY$4:$AY1521,"="&amp;$AY1521)</f>
        <v>172800</v>
      </c>
    </row>
    <row r="1522" spans="46:63" ht="16.5" x14ac:dyDescent="0.2">
      <c r="AT1522" s="13">
        <v>1519</v>
      </c>
      <c r="AU1522" s="13">
        <f t="shared" si="339"/>
        <v>19</v>
      </c>
      <c r="AV1522" s="14">
        <f t="shared" si="340"/>
        <v>202808</v>
      </c>
      <c r="AW1522" s="14">
        <f t="shared" si="341"/>
        <v>1102028</v>
      </c>
      <c r="AX1522" s="13" t="s">
        <v>1127</v>
      </c>
      <c r="AY1522" s="13">
        <f t="shared" si="348"/>
        <v>8</v>
      </c>
      <c r="AZ1522" s="13" t="s">
        <v>1148</v>
      </c>
      <c r="BA1522" s="14">
        <f t="shared" si="343"/>
        <v>8</v>
      </c>
      <c r="BB1522" s="14" t="str">
        <f t="shared" si="344"/>
        <v>吕布魂珠-8 等级-8</v>
      </c>
      <c r="BC1522" s="25" t="s">
        <v>44</v>
      </c>
      <c r="BD1522" s="14">
        <f t="shared" si="345"/>
        <v>3024</v>
      </c>
      <c r="BE1522" s="14">
        <f>SUMIFS(BD$4:BD1522,$AU$4:$AU1522,"="&amp;$AU1522,$AY$4:$AY1522,"="&amp;$AY1522)</f>
        <v>12744</v>
      </c>
      <c r="BF1522" s="25" t="s">
        <v>1157</v>
      </c>
      <c r="BG1522" s="14">
        <f t="shared" si="346"/>
        <v>1512</v>
      </c>
      <c r="BH1522" s="14">
        <f>SUMIFS(BG$4:BG1522,AU$4:AU1522,"="&amp;AU1522,AY$4:AY1522,"="&amp;AY1522)</f>
        <v>6372</v>
      </c>
      <c r="BI1522" s="25" t="s">
        <v>1158</v>
      </c>
      <c r="BJ1522" s="14">
        <f t="shared" si="347"/>
        <v>53760</v>
      </c>
      <c r="BK1522" s="14">
        <f>SUMIFS(BJ$4:BJ1522,$AU$4:$AU1522,"="&amp;$AU1522,$AY$4:$AY1522,"="&amp;$AY1522)</f>
        <v>226560</v>
      </c>
    </row>
    <row r="1523" spans="46:63" ht="16.5" x14ac:dyDescent="0.2">
      <c r="AT1523" s="13">
        <v>1520</v>
      </c>
      <c r="AU1523" s="13">
        <f t="shared" si="339"/>
        <v>19</v>
      </c>
      <c r="AV1523" s="14">
        <f t="shared" si="340"/>
        <v>202808</v>
      </c>
      <c r="AW1523" s="14">
        <f t="shared" si="341"/>
        <v>1102028</v>
      </c>
      <c r="AX1523" s="13" t="s">
        <v>1127</v>
      </c>
      <c r="AY1523" s="13">
        <f t="shared" si="348"/>
        <v>8</v>
      </c>
      <c r="AZ1523" s="13" t="s">
        <v>1148</v>
      </c>
      <c r="BA1523" s="14">
        <f t="shared" si="343"/>
        <v>9</v>
      </c>
      <c r="BB1523" s="14" t="str">
        <f t="shared" si="344"/>
        <v>吕布魂珠-8 等级-9</v>
      </c>
      <c r="BC1523" s="25" t="s">
        <v>44</v>
      </c>
      <c r="BD1523" s="14">
        <f t="shared" si="345"/>
        <v>3456</v>
      </c>
      <c r="BE1523" s="14">
        <f>SUMIFS(BD$4:BD1523,$AU$4:$AU1523,"="&amp;$AU1523,$AY$4:$AY1523,"="&amp;$AY1523)</f>
        <v>16200</v>
      </c>
      <c r="BF1523" s="25" t="s">
        <v>1157</v>
      </c>
      <c r="BG1523" s="14">
        <f t="shared" si="346"/>
        <v>1728</v>
      </c>
      <c r="BH1523" s="14">
        <f>SUMIFS(BG$4:BG1523,AU$4:AU1523,"="&amp;AU1523,AY$4:AY1523,"="&amp;AY1523)</f>
        <v>8100</v>
      </c>
      <c r="BI1523" s="25" t="s">
        <v>1158</v>
      </c>
      <c r="BJ1523" s="14">
        <f t="shared" si="347"/>
        <v>61440</v>
      </c>
      <c r="BK1523" s="14">
        <f>SUMIFS(BJ$4:BJ1523,$AU$4:$AU1523,"="&amp;$AU1523,$AY$4:$AY1523,"="&amp;$AY1523)</f>
        <v>288000</v>
      </c>
    </row>
    <row r="1524" spans="46:63" ht="16.5" x14ac:dyDescent="0.2">
      <c r="AT1524" s="13">
        <v>1521</v>
      </c>
      <c r="AU1524" s="13">
        <f t="shared" si="339"/>
        <v>20</v>
      </c>
      <c r="AV1524" s="14">
        <f t="shared" si="340"/>
        <v>203001</v>
      </c>
      <c r="AW1524" s="14">
        <f t="shared" si="341"/>
        <v>1102030</v>
      </c>
      <c r="AX1524" s="13" t="s">
        <v>1127</v>
      </c>
      <c r="AY1524" s="13">
        <f t="shared" si="348"/>
        <v>1</v>
      </c>
      <c r="AZ1524" s="13" t="s">
        <v>1148</v>
      </c>
      <c r="BA1524" s="14">
        <f t="shared" si="343"/>
        <v>0</v>
      </c>
      <c r="BB1524" s="14" t="str">
        <f t="shared" si="344"/>
        <v>燕青魂珠-1 等级-0</v>
      </c>
      <c r="BC1524" s="25" t="s">
        <v>44</v>
      </c>
      <c r="BD1524" s="14">
        <f t="shared" si="345"/>
        <v>0</v>
      </c>
      <c r="BE1524" s="14">
        <f>SUMIFS(BD$4:BD1524,$AU$4:$AU1524,"="&amp;$AU1524,$AY$4:$AY1524,"="&amp;$AY1524)</f>
        <v>0</v>
      </c>
      <c r="BF1524" s="25" t="s">
        <v>1157</v>
      </c>
      <c r="BG1524" s="14">
        <f t="shared" si="346"/>
        <v>0</v>
      </c>
      <c r="BH1524" s="14">
        <f>SUMIFS(BG$4:BG1524,AU$4:AU1524,"="&amp;AU1524,AY$4:AY1524,"="&amp;AY1524)</f>
        <v>0</v>
      </c>
      <c r="BI1524" s="25" t="s">
        <v>1158</v>
      </c>
      <c r="BJ1524" s="14">
        <f t="shared" si="347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39"/>
        <v>20</v>
      </c>
      <c r="AV1525" s="14">
        <f t="shared" si="340"/>
        <v>203001</v>
      </c>
      <c r="AW1525" s="14">
        <f t="shared" si="341"/>
        <v>1102030</v>
      </c>
      <c r="AX1525" s="13" t="s">
        <v>1127</v>
      </c>
      <c r="AY1525" s="13">
        <f t="shared" si="348"/>
        <v>1</v>
      </c>
      <c r="AZ1525" s="13" t="s">
        <v>1148</v>
      </c>
      <c r="BA1525" s="14">
        <f t="shared" si="343"/>
        <v>1</v>
      </c>
      <c r="BB1525" s="14" t="str">
        <f t="shared" si="344"/>
        <v>燕青魂珠-1 等级-1</v>
      </c>
      <c r="BC1525" s="25" t="s">
        <v>44</v>
      </c>
      <c r="BD1525" s="14">
        <f t="shared" si="345"/>
        <v>44</v>
      </c>
      <c r="BE1525" s="14">
        <f>SUMIFS(BD$4:BD1525,$AU$4:$AU1525,"="&amp;$AU1525,$AY$4:$AY1525,"="&amp;$AY1525)</f>
        <v>44</v>
      </c>
      <c r="BF1525" s="25" t="s">
        <v>1157</v>
      </c>
      <c r="BG1525" s="14">
        <f t="shared" si="346"/>
        <v>22</v>
      </c>
      <c r="BH1525" s="14">
        <f>SUMIFS(BG$4:BG1525,AU$4:AU1525,"="&amp;AU1525,AY$4:AY1525,"="&amp;AY1525)</f>
        <v>22</v>
      </c>
      <c r="BI1525" s="25" t="s">
        <v>1158</v>
      </c>
      <c r="BJ1525" s="14">
        <f t="shared" si="347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39"/>
        <v>20</v>
      </c>
      <c r="AV1526" s="14">
        <f t="shared" si="340"/>
        <v>203001</v>
      </c>
      <c r="AW1526" s="14">
        <f t="shared" si="341"/>
        <v>1102030</v>
      </c>
      <c r="AX1526" s="13" t="s">
        <v>1127</v>
      </c>
      <c r="AY1526" s="13">
        <f t="shared" si="348"/>
        <v>1</v>
      </c>
      <c r="AZ1526" s="13" t="s">
        <v>1148</v>
      </c>
      <c r="BA1526" s="14">
        <f t="shared" si="343"/>
        <v>2</v>
      </c>
      <c r="BB1526" s="14" t="str">
        <f t="shared" si="344"/>
        <v>燕青魂珠-1 等级-2</v>
      </c>
      <c r="BC1526" s="25" t="s">
        <v>44</v>
      </c>
      <c r="BD1526" s="14">
        <f t="shared" si="345"/>
        <v>66</v>
      </c>
      <c r="BE1526" s="14">
        <f>SUMIFS(BD$4:BD1526,$AU$4:$AU1526,"="&amp;$AU1526,$AY$4:$AY1526,"="&amp;$AY1526)</f>
        <v>110</v>
      </c>
      <c r="BF1526" s="25" t="s">
        <v>1157</v>
      </c>
      <c r="BG1526" s="14">
        <f t="shared" si="346"/>
        <v>33</v>
      </c>
      <c r="BH1526" s="14">
        <f>SUMIFS(BG$4:BG1526,AU$4:AU1526,"="&amp;AU1526,AY$4:AY1526,"="&amp;AY1526)</f>
        <v>55</v>
      </c>
      <c r="BI1526" s="25" t="s">
        <v>1158</v>
      </c>
      <c r="BJ1526" s="14">
        <f t="shared" si="347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39"/>
        <v>20</v>
      </c>
      <c r="AV1527" s="14">
        <f t="shared" si="340"/>
        <v>203001</v>
      </c>
      <c r="AW1527" s="14">
        <f t="shared" si="341"/>
        <v>1102030</v>
      </c>
      <c r="AX1527" s="13" t="s">
        <v>1127</v>
      </c>
      <c r="AY1527" s="13">
        <f t="shared" si="348"/>
        <v>1</v>
      </c>
      <c r="AZ1527" s="13" t="s">
        <v>1148</v>
      </c>
      <c r="BA1527" s="14">
        <f t="shared" si="343"/>
        <v>3</v>
      </c>
      <c r="BB1527" s="14" t="str">
        <f t="shared" si="344"/>
        <v>燕青魂珠-1 等级-3</v>
      </c>
      <c r="BC1527" s="25" t="s">
        <v>44</v>
      </c>
      <c r="BD1527" s="14">
        <f t="shared" si="345"/>
        <v>88</v>
      </c>
      <c r="BE1527" s="14">
        <f>SUMIFS(BD$4:BD1527,$AU$4:$AU1527,"="&amp;$AU1527,$AY$4:$AY1527,"="&amp;$AY1527)</f>
        <v>198</v>
      </c>
      <c r="BF1527" s="25" t="s">
        <v>1157</v>
      </c>
      <c r="BG1527" s="14">
        <f t="shared" si="346"/>
        <v>44</v>
      </c>
      <c r="BH1527" s="14">
        <f>SUMIFS(BG$4:BG1527,AU$4:AU1527,"="&amp;AU1527,AY$4:AY1527,"="&amp;AY1527)</f>
        <v>99</v>
      </c>
      <c r="BI1527" s="25" t="s">
        <v>1158</v>
      </c>
      <c r="BJ1527" s="14">
        <f t="shared" si="347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39"/>
        <v>20</v>
      </c>
      <c r="AV1528" s="14">
        <f t="shared" si="340"/>
        <v>203001</v>
      </c>
      <c r="AW1528" s="14">
        <f t="shared" si="341"/>
        <v>1102030</v>
      </c>
      <c r="AX1528" s="13" t="s">
        <v>1127</v>
      </c>
      <c r="AY1528" s="13">
        <f t="shared" si="348"/>
        <v>1</v>
      </c>
      <c r="AZ1528" s="13" t="s">
        <v>1148</v>
      </c>
      <c r="BA1528" s="14">
        <f t="shared" si="343"/>
        <v>4</v>
      </c>
      <c r="BB1528" s="14" t="str">
        <f t="shared" si="344"/>
        <v>燕青魂珠-1 等级-4</v>
      </c>
      <c r="BC1528" s="25" t="s">
        <v>44</v>
      </c>
      <c r="BD1528" s="14">
        <f t="shared" si="345"/>
        <v>132</v>
      </c>
      <c r="BE1528" s="14">
        <f>SUMIFS(BD$4:BD1528,$AU$4:$AU1528,"="&amp;$AU1528,$AY$4:$AY1528,"="&amp;$AY1528)</f>
        <v>330</v>
      </c>
      <c r="BF1528" s="25" t="s">
        <v>1157</v>
      </c>
      <c r="BG1528" s="14">
        <f t="shared" si="346"/>
        <v>66</v>
      </c>
      <c r="BH1528" s="14">
        <f>SUMIFS(BG$4:BG1528,AU$4:AU1528,"="&amp;AU1528,AY$4:AY1528,"="&amp;AY1528)</f>
        <v>165</v>
      </c>
      <c r="BI1528" s="25" t="s">
        <v>1158</v>
      </c>
      <c r="BJ1528" s="14">
        <f t="shared" si="347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39"/>
        <v>20</v>
      </c>
      <c r="AV1529" s="14">
        <f t="shared" si="340"/>
        <v>203001</v>
      </c>
      <c r="AW1529" s="14">
        <f t="shared" si="341"/>
        <v>1102030</v>
      </c>
      <c r="AX1529" s="13" t="s">
        <v>1127</v>
      </c>
      <c r="AY1529" s="13">
        <f t="shared" si="348"/>
        <v>1</v>
      </c>
      <c r="AZ1529" s="13" t="s">
        <v>1148</v>
      </c>
      <c r="BA1529" s="14">
        <f t="shared" si="343"/>
        <v>5</v>
      </c>
      <c r="BB1529" s="14" t="str">
        <f t="shared" si="344"/>
        <v>燕青魂珠-1 等级-5</v>
      </c>
      <c r="BC1529" s="25" t="s">
        <v>44</v>
      </c>
      <c r="BD1529" s="14">
        <f t="shared" si="345"/>
        <v>176</v>
      </c>
      <c r="BE1529" s="14">
        <f>SUMIFS(BD$4:BD1529,$AU$4:$AU1529,"="&amp;$AU1529,$AY$4:$AY1529,"="&amp;$AY1529)</f>
        <v>506</v>
      </c>
      <c r="BF1529" s="25" t="s">
        <v>1157</v>
      </c>
      <c r="BG1529" s="14">
        <f t="shared" si="346"/>
        <v>88</v>
      </c>
      <c r="BH1529" s="14">
        <f>SUMIFS(BG$4:BG1529,AU$4:AU1529,"="&amp;AU1529,AY$4:AY1529,"="&amp;AY1529)</f>
        <v>253</v>
      </c>
      <c r="BI1529" s="25" t="s">
        <v>1158</v>
      </c>
      <c r="BJ1529" s="14">
        <f t="shared" si="347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39"/>
        <v>20</v>
      </c>
      <c r="AV1530" s="14">
        <f t="shared" si="340"/>
        <v>203001</v>
      </c>
      <c r="AW1530" s="14">
        <f t="shared" si="341"/>
        <v>1102030</v>
      </c>
      <c r="AX1530" s="13" t="s">
        <v>1127</v>
      </c>
      <c r="AY1530" s="13">
        <f t="shared" si="348"/>
        <v>1</v>
      </c>
      <c r="AZ1530" s="13" t="s">
        <v>1148</v>
      </c>
      <c r="BA1530" s="14">
        <f t="shared" si="343"/>
        <v>6</v>
      </c>
      <c r="BB1530" s="14" t="str">
        <f t="shared" si="344"/>
        <v>燕青魂珠-1 等级-6</v>
      </c>
      <c r="BC1530" s="25" t="s">
        <v>44</v>
      </c>
      <c r="BD1530" s="14">
        <f t="shared" si="345"/>
        <v>220</v>
      </c>
      <c r="BE1530" s="14">
        <f>SUMIFS(BD$4:BD1530,$AU$4:$AU1530,"="&amp;$AU1530,$AY$4:$AY1530,"="&amp;$AY1530)</f>
        <v>726</v>
      </c>
      <c r="BF1530" s="25" t="s">
        <v>1157</v>
      </c>
      <c r="BG1530" s="14">
        <f t="shared" si="346"/>
        <v>110</v>
      </c>
      <c r="BH1530" s="14">
        <f>SUMIFS(BG$4:BG1530,AU$4:AU1530,"="&amp;AU1530,AY$4:AY1530,"="&amp;AY1530)</f>
        <v>363</v>
      </c>
      <c r="BI1530" s="25" t="s">
        <v>1158</v>
      </c>
      <c r="BJ1530" s="14">
        <f t="shared" si="347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39"/>
        <v>20</v>
      </c>
      <c r="AV1531" s="14">
        <f t="shared" si="340"/>
        <v>203001</v>
      </c>
      <c r="AW1531" s="14">
        <f t="shared" si="341"/>
        <v>1102030</v>
      </c>
      <c r="AX1531" s="13" t="s">
        <v>1127</v>
      </c>
      <c r="AY1531" s="13">
        <f t="shared" si="348"/>
        <v>1</v>
      </c>
      <c r="AZ1531" s="13" t="s">
        <v>1148</v>
      </c>
      <c r="BA1531" s="14">
        <f t="shared" si="343"/>
        <v>7</v>
      </c>
      <c r="BB1531" s="14" t="str">
        <f t="shared" si="344"/>
        <v>燕青魂珠-1 等级-7</v>
      </c>
      <c r="BC1531" s="25" t="s">
        <v>44</v>
      </c>
      <c r="BD1531" s="14">
        <f t="shared" si="345"/>
        <v>264</v>
      </c>
      <c r="BE1531" s="14">
        <f>SUMIFS(BD$4:BD1531,$AU$4:$AU1531,"="&amp;$AU1531,$AY$4:$AY1531,"="&amp;$AY1531)</f>
        <v>990</v>
      </c>
      <c r="BF1531" s="25" t="s">
        <v>1157</v>
      </c>
      <c r="BG1531" s="14">
        <f t="shared" si="346"/>
        <v>132</v>
      </c>
      <c r="BH1531" s="14">
        <f>SUMIFS(BG$4:BG1531,AU$4:AU1531,"="&amp;AU1531,AY$4:AY1531,"="&amp;AY1531)</f>
        <v>495</v>
      </c>
      <c r="BI1531" s="25" t="s">
        <v>1158</v>
      </c>
      <c r="BJ1531" s="14">
        <f t="shared" si="347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39"/>
        <v>20</v>
      </c>
      <c r="AV1532" s="14">
        <f t="shared" si="340"/>
        <v>203001</v>
      </c>
      <c r="AW1532" s="14">
        <f t="shared" si="341"/>
        <v>1102030</v>
      </c>
      <c r="AX1532" s="13" t="s">
        <v>1127</v>
      </c>
      <c r="AY1532" s="13">
        <f t="shared" si="348"/>
        <v>1</v>
      </c>
      <c r="AZ1532" s="13" t="s">
        <v>1148</v>
      </c>
      <c r="BA1532" s="14">
        <f t="shared" si="343"/>
        <v>8</v>
      </c>
      <c r="BB1532" s="14" t="str">
        <f t="shared" si="344"/>
        <v>燕青魂珠-1 等级-8</v>
      </c>
      <c r="BC1532" s="25" t="s">
        <v>44</v>
      </c>
      <c r="BD1532" s="14">
        <f t="shared" si="345"/>
        <v>308</v>
      </c>
      <c r="BE1532" s="14">
        <f>SUMIFS(BD$4:BD1532,$AU$4:$AU1532,"="&amp;$AU1532,$AY$4:$AY1532,"="&amp;$AY1532)</f>
        <v>1298</v>
      </c>
      <c r="BF1532" s="25" t="s">
        <v>1157</v>
      </c>
      <c r="BG1532" s="14">
        <f t="shared" si="346"/>
        <v>154</v>
      </c>
      <c r="BH1532" s="14">
        <f>SUMIFS(BG$4:BG1532,AU$4:AU1532,"="&amp;AU1532,AY$4:AY1532,"="&amp;AY1532)</f>
        <v>649</v>
      </c>
      <c r="BI1532" s="25" t="s">
        <v>1158</v>
      </c>
      <c r="BJ1532" s="14">
        <f t="shared" si="347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39"/>
        <v>20</v>
      </c>
      <c r="AV1533" s="14">
        <f t="shared" si="340"/>
        <v>203001</v>
      </c>
      <c r="AW1533" s="14">
        <f t="shared" si="341"/>
        <v>1102030</v>
      </c>
      <c r="AX1533" s="13" t="s">
        <v>1127</v>
      </c>
      <c r="AY1533" s="13">
        <f t="shared" si="348"/>
        <v>1</v>
      </c>
      <c r="AZ1533" s="13" t="s">
        <v>1148</v>
      </c>
      <c r="BA1533" s="14">
        <f t="shared" si="343"/>
        <v>9</v>
      </c>
      <c r="BB1533" s="14" t="str">
        <f t="shared" si="344"/>
        <v>燕青魂珠-1 等级-9</v>
      </c>
      <c r="BC1533" s="25" t="s">
        <v>44</v>
      </c>
      <c r="BD1533" s="14">
        <f t="shared" si="345"/>
        <v>352</v>
      </c>
      <c r="BE1533" s="14">
        <f>SUMIFS(BD$4:BD1533,$AU$4:$AU1533,"="&amp;$AU1533,$AY$4:$AY1533,"="&amp;$AY1533)</f>
        <v>1650</v>
      </c>
      <c r="BF1533" s="25" t="s">
        <v>1157</v>
      </c>
      <c r="BG1533" s="14">
        <f t="shared" si="346"/>
        <v>176</v>
      </c>
      <c r="BH1533" s="14">
        <f>SUMIFS(BG$4:BG1533,AU$4:AU1533,"="&amp;AU1533,AY$4:AY1533,"="&amp;AY1533)</f>
        <v>825</v>
      </c>
      <c r="BI1533" s="25" t="s">
        <v>1158</v>
      </c>
      <c r="BJ1533" s="14">
        <f t="shared" si="347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39"/>
        <v>20</v>
      </c>
      <c r="AV1534" s="14">
        <f t="shared" si="340"/>
        <v>203002</v>
      </c>
      <c r="AW1534" s="14">
        <f t="shared" si="341"/>
        <v>1102030</v>
      </c>
      <c r="AX1534" s="13" t="s">
        <v>1127</v>
      </c>
      <c r="AY1534" s="13">
        <f t="shared" si="348"/>
        <v>2</v>
      </c>
      <c r="AZ1534" s="13" t="s">
        <v>1148</v>
      </c>
      <c r="BA1534" s="14">
        <f t="shared" si="343"/>
        <v>0</v>
      </c>
      <c r="BB1534" s="14" t="str">
        <f t="shared" si="344"/>
        <v>燕青魂珠-2 等级-0</v>
      </c>
      <c r="BC1534" s="25" t="s">
        <v>44</v>
      </c>
      <c r="BD1534" s="14">
        <f t="shared" si="345"/>
        <v>0</v>
      </c>
      <c r="BE1534" s="14">
        <f>SUMIFS(BD$4:BD1534,$AU$4:$AU1534,"="&amp;$AU1534,$AY$4:$AY1534,"="&amp;$AY1534)</f>
        <v>0</v>
      </c>
      <c r="BF1534" s="25" t="s">
        <v>1157</v>
      </c>
      <c r="BG1534" s="14">
        <f t="shared" si="346"/>
        <v>0</v>
      </c>
      <c r="BH1534" s="14">
        <f>SUMIFS(BG$4:BG1534,AU$4:AU1534,"="&amp;AU1534,AY$4:AY1534,"="&amp;AY1534)</f>
        <v>0</v>
      </c>
      <c r="BI1534" s="25" t="s">
        <v>1158</v>
      </c>
      <c r="BJ1534" s="14">
        <f t="shared" si="347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39"/>
        <v>20</v>
      </c>
      <c r="AV1535" s="14">
        <f t="shared" si="340"/>
        <v>203002</v>
      </c>
      <c r="AW1535" s="14">
        <f t="shared" si="341"/>
        <v>1102030</v>
      </c>
      <c r="AX1535" s="13" t="s">
        <v>1127</v>
      </c>
      <c r="AY1535" s="13">
        <f t="shared" si="348"/>
        <v>2</v>
      </c>
      <c r="AZ1535" s="13" t="s">
        <v>1148</v>
      </c>
      <c r="BA1535" s="14">
        <f t="shared" si="343"/>
        <v>1</v>
      </c>
      <c r="BB1535" s="14" t="str">
        <f t="shared" si="344"/>
        <v>燕青魂珠-2 等级-1</v>
      </c>
      <c r="BC1535" s="25" t="s">
        <v>44</v>
      </c>
      <c r="BD1535" s="14">
        <f t="shared" si="345"/>
        <v>55</v>
      </c>
      <c r="BE1535" s="14">
        <f>SUMIFS(BD$4:BD1535,$AU$4:$AU1535,"="&amp;$AU1535,$AY$4:$AY1535,"="&amp;$AY1535)</f>
        <v>55</v>
      </c>
      <c r="BF1535" s="25" t="s">
        <v>1157</v>
      </c>
      <c r="BG1535" s="14">
        <f t="shared" si="346"/>
        <v>28</v>
      </c>
      <c r="BH1535" s="14">
        <f>SUMIFS(BG$4:BG1535,AU$4:AU1535,"="&amp;AU1535,AY$4:AY1535,"="&amp;AY1535)</f>
        <v>28</v>
      </c>
      <c r="BI1535" s="25" t="s">
        <v>1158</v>
      </c>
      <c r="BJ1535" s="14">
        <f t="shared" si="347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39"/>
        <v>20</v>
      </c>
      <c r="AV1536" s="14">
        <f t="shared" si="340"/>
        <v>203002</v>
      </c>
      <c r="AW1536" s="14">
        <f t="shared" si="341"/>
        <v>1102030</v>
      </c>
      <c r="AX1536" s="13" t="s">
        <v>1127</v>
      </c>
      <c r="AY1536" s="13">
        <f t="shared" si="348"/>
        <v>2</v>
      </c>
      <c r="AZ1536" s="13" t="s">
        <v>1148</v>
      </c>
      <c r="BA1536" s="14">
        <f t="shared" si="343"/>
        <v>2</v>
      </c>
      <c r="BB1536" s="14" t="str">
        <f t="shared" si="344"/>
        <v>燕青魂珠-2 等级-2</v>
      </c>
      <c r="BC1536" s="25" t="s">
        <v>44</v>
      </c>
      <c r="BD1536" s="14">
        <f t="shared" si="345"/>
        <v>88</v>
      </c>
      <c r="BE1536" s="14">
        <f>SUMIFS(BD$4:BD1536,$AU$4:$AU1536,"="&amp;$AU1536,$AY$4:$AY1536,"="&amp;$AY1536)</f>
        <v>143</v>
      </c>
      <c r="BF1536" s="25" t="s">
        <v>1157</v>
      </c>
      <c r="BG1536" s="14">
        <f t="shared" si="346"/>
        <v>44</v>
      </c>
      <c r="BH1536" s="14">
        <f>SUMIFS(BG$4:BG1536,AU$4:AU1536,"="&amp;AU1536,AY$4:AY1536,"="&amp;AY1536)</f>
        <v>72</v>
      </c>
      <c r="BI1536" s="25" t="s">
        <v>1158</v>
      </c>
      <c r="BJ1536" s="14">
        <f t="shared" si="347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39"/>
        <v>20</v>
      </c>
      <c r="AV1537" s="14">
        <f t="shared" si="340"/>
        <v>203002</v>
      </c>
      <c r="AW1537" s="14">
        <f t="shared" si="341"/>
        <v>1102030</v>
      </c>
      <c r="AX1537" s="13" t="s">
        <v>1127</v>
      </c>
      <c r="AY1537" s="13">
        <f t="shared" si="348"/>
        <v>2</v>
      </c>
      <c r="AZ1537" s="13" t="s">
        <v>1148</v>
      </c>
      <c r="BA1537" s="14">
        <f t="shared" si="343"/>
        <v>3</v>
      </c>
      <c r="BB1537" s="14" t="str">
        <f t="shared" si="344"/>
        <v>燕青魂珠-2 等级-3</v>
      </c>
      <c r="BC1537" s="25" t="s">
        <v>44</v>
      </c>
      <c r="BD1537" s="14">
        <f t="shared" si="345"/>
        <v>110</v>
      </c>
      <c r="BE1537" s="14">
        <f>SUMIFS(BD$4:BD1537,$AU$4:$AU1537,"="&amp;$AU1537,$AY$4:$AY1537,"="&amp;$AY1537)</f>
        <v>253</v>
      </c>
      <c r="BF1537" s="25" t="s">
        <v>1157</v>
      </c>
      <c r="BG1537" s="14">
        <f t="shared" si="346"/>
        <v>55</v>
      </c>
      <c r="BH1537" s="14">
        <f>SUMIFS(BG$4:BG1537,AU$4:AU1537,"="&amp;AU1537,AY$4:AY1537,"="&amp;AY1537)</f>
        <v>127</v>
      </c>
      <c r="BI1537" s="25" t="s">
        <v>1158</v>
      </c>
      <c r="BJ1537" s="14">
        <f t="shared" si="347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39"/>
        <v>20</v>
      </c>
      <c r="AV1538" s="14">
        <f t="shared" si="340"/>
        <v>203002</v>
      </c>
      <c r="AW1538" s="14">
        <f t="shared" si="341"/>
        <v>1102030</v>
      </c>
      <c r="AX1538" s="13" t="s">
        <v>1127</v>
      </c>
      <c r="AY1538" s="13">
        <f t="shared" si="348"/>
        <v>2</v>
      </c>
      <c r="AZ1538" s="13" t="s">
        <v>1148</v>
      </c>
      <c r="BA1538" s="14">
        <f t="shared" si="343"/>
        <v>4</v>
      </c>
      <c r="BB1538" s="14" t="str">
        <f t="shared" si="344"/>
        <v>燕青魂珠-2 等级-4</v>
      </c>
      <c r="BC1538" s="25" t="s">
        <v>44</v>
      </c>
      <c r="BD1538" s="14">
        <f t="shared" si="345"/>
        <v>176</v>
      </c>
      <c r="BE1538" s="14">
        <f>SUMIFS(BD$4:BD1538,$AU$4:$AU1538,"="&amp;$AU1538,$AY$4:$AY1538,"="&amp;$AY1538)</f>
        <v>429</v>
      </c>
      <c r="BF1538" s="25" t="s">
        <v>1157</v>
      </c>
      <c r="BG1538" s="14">
        <f t="shared" si="346"/>
        <v>88</v>
      </c>
      <c r="BH1538" s="14">
        <f>SUMIFS(BG$4:BG1538,AU$4:AU1538,"="&amp;AU1538,AY$4:AY1538,"="&amp;AY1538)</f>
        <v>215</v>
      </c>
      <c r="BI1538" s="25" t="s">
        <v>1158</v>
      </c>
      <c r="BJ1538" s="14">
        <f t="shared" si="347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39"/>
        <v>20</v>
      </c>
      <c r="AV1539" s="14">
        <f t="shared" si="340"/>
        <v>203002</v>
      </c>
      <c r="AW1539" s="14">
        <f t="shared" si="341"/>
        <v>1102030</v>
      </c>
      <c r="AX1539" s="13" t="s">
        <v>1127</v>
      </c>
      <c r="AY1539" s="13">
        <f t="shared" si="348"/>
        <v>2</v>
      </c>
      <c r="AZ1539" s="13" t="s">
        <v>1148</v>
      </c>
      <c r="BA1539" s="14">
        <f t="shared" si="343"/>
        <v>5</v>
      </c>
      <c r="BB1539" s="14" t="str">
        <f t="shared" si="344"/>
        <v>燕青魂珠-2 等级-5</v>
      </c>
      <c r="BC1539" s="25" t="s">
        <v>44</v>
      </c>
      <c r="BD1539" s="14">
        <f t="shared" si="345"/>
        <v>242</v>
      </c>
      <c r="BE1539" s="14">
        <f>SUMIFS(BD$4:BD1539,$AU$4:$AU1539,"="&amp;$AU1539,$AY$4:$AY1539,"="&amp;$AY1539)</f>
        <v>671</v>
      </c>
      <c r="BF1539" s="25" t="s">
        <v>1157</v>
      </c>
      <c r="BG1539" s="14">
        <f t="shared" si="346"/>
        <v>121</v>
      </c>
      <c r="BH1539" s="14">
        <f>SUMIFS(BG$4:BG1539,AU$4:AU1539,"="&amp;AU1539,AY$4:AY1539,"="&amp;AY1539)</f>
        <v>336</v>
      </c>
      <c r="BI1539" s="25" t="s">
        <v>1158</v>
      </c>
      <c r="BJ1539" s="14">
        <f t="shared" si="347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39"/>
        <v>20</v>
      </c>
      <c r="AV1540" s="14">
        <f t="shared" si="340"/>
        <v>203002</v>
      </c>
      <c r="AW1540" s="14">
        <f t="shared" si="341"/>
        <v>1102030</v>
      </c>
      <c r="AX1540" s="13" t="s">
        <v>1127</v>
      </c>
      <c r="AY1540" s="13">
        <f t="shared" si="348"/>
        <v>2</v>
      </c>
      <c r="AZ1540" s="13" t="s">
        <v>1148</v>
      </c>
      <c r="BA1540" s="14">
        <f t="shared" si="343"/>
        <v>6</v>
      </c>
      <c r="BB1540" s="14" t="str">
        <f t="shared" si="344"/>
        <v>燕青魂珠-2 等级-6</v>
      </c>
      <c r="BC1540" s="25" t="s">
        <v>44</v>
      </c>
      <c r="BD1540" s="14">
        <f t="shared" si="345"/>
        <v>308</v>
      </c>
      <c r="BE1540" s="14">
        <f>SUMIFS(BD$4:BD1540,$AU$4:$AU1540,"="&amp;$AU1540,$AY$4:$AY1540,"="&amp;$AY1540)</f>
        <v>979</v>
      </c>
      <c r="BF1540" s="25" t="s">
        <v>1157</v>
      </c>
      <c r="BG1540" s="14">
        <f t="shared" si="346"/>
        <v>154</v>
      </c>
      <c r="BH1540" s="14">
        <f>SUMIFS(BG$4:BG1540,AU$4:AU1540,"="&amp;AU1540,AY$4:AY1540,"="&amp;AY1540)</f>
        <v>490</v>
      </c>
      <c r="BI1540" s="25" t="s">
        <v>1158</v>
      </c>
      <c r="BJ1540" s="14">
        <f t="shared" si="347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49">INT((AT1541-1)/80)+1</f>
        <v>20</v>
      </c>
      <c r="AV1541" s="14">
        <f t="shared" ref="AV1541:AV1604" si="350">INDEX($AJ$4:$AJ$203,(AU1541-1)*8+AY1541)</f>
        <v>203002</v>
      </c>
      <c r="AW1541" s="14">
        <f t="shared" ref="AW1541:AW1604" si="351">INDEX($W$4:$W$28,AU1541)</f>
        <v>1102030</v>
      </c>
      <c r="AX1541" s="13" t="s">
        <v>1127</v>
      </c>
      <c r="AY1541" s="13">
        <f t="shared" si="348"/>
        <v>2</v>
      </c>
      <c r="AZ1541" s="13" t="s">
        <v>1148</v>
      </c>
      <c r="BA1541" s="14">
        <f t="shared" ref="BA1541:BA1604" si="352">AT1541-(AU1541-1)*80-(AY1541-1)*10-1</f>
        <v>7</v>
      </c>
      <c r="BB1541" s="14" t="str">
        <f t="shared" ref="BB1541:BB1604" si="353">INDEX($X$4:$X$28,AU1541)&amp;"魂珠-"&amp;AY1541&amp;" 等级-"&amp;BA1541</f>
        <v>燕青魂珠-2 等级-7</v>
      </c>
      <c r="BC1541" s="25" t="s">
        <v>44</v>
      </c>
      <c r="BD1541" s="14">
        <f t="shared" ref="BD1541:BD1604" si="354">ROUND(INDEX(Q$4:Q$83,($AY1541-1)*10+$BA1541+1)*INDEX(AC$4:AC$28,$AU1541),0)</f>
        <v>352</v>
      </c>
      <c r="BE1541" s="14">
        <f>SUMIFS(BD$4:BD1541,$AU$4:$AU1541,"="&amp;$AU1541,$AY$4:$AY1541,"="&amp;$AY1541)</f>
        <v>1331</v>
      </c>
      <c r="BF1541" s="25" t="s">
        <v>1157</v>
      </c>
      <c r="BG1541" s="14">
        <f t="shared" ref="BG1541:BG1604" si="355">ROUND(INDEX(R$4:R$83,($AY1541-1)*10+$BA1541+1)*INDEX(AD$4:AD$28,$AU1541),0)</f>
        <v>176</v>
      </c>
      <c r="BH1541" s="14">
        <f>SUMIFS(BG$4:BG1541,AU$4:AU1541,"="&amp;AU1541,AY$4:AY1541,"="&amp;AY1541)</f>
        <v>666</v>
      </c>
      <c r="BI1541" s="25" t="s">
        <v>1158</v>
      </c>
      <c r="BJ1541" s="14">
        <f t="shared" ref="BJ1541:BJ1604" si="356">ROUND(INDEX(S$4:S$83,($AY1541-1)*10+$BA1541+1)*INDEX(AE$4:AE$28,$AU1541),0)</f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49"/>
        <v>20</v>
      </c>
      <c r="AV1542" s="14">
        <f t="shared" si="350"/>
        <v>203002</v>
      </c>
      <c r="AW1542" s="14">
        <f t="shared" si="351"/>
        <v>1102030</v>
      </c>
      <c r="AX1542" s="13" t="s">
        <v>1127</v>
      </c>
      <c r="AY1542" s="13">
        <f t="shared" si="348"/>
        <v>2</v>
      </c>
      <c r="AZ1542" s="13" t="s">
        <v>1148</v>
      </c>
      <c r="BA1542" s="14">
        <f t="shared" si="352"/>
        <v>8</v>
      </c>
      <c r="BB1542" s="14" t="str">
        <f t="shared" si="353"/>
        <v>燕青魂珠-2 等级-8</v>
      </c>
      <c r="BC1542" s="25" t="s">
        <v>44</v>
      </c>
      <c r="BD1542" s="14">
        <f t="shared" si="354"/>
        <v>418</v>
      </c>
      <c r="BE1542" s="14">
        <f>SUMIFS(BD$4:BD1542,$AU$4:$AU1542,"="&amp;$AU1542,$AY$4:$AY1542,"="&amp;$AY1542)</f>
        <v>1749</v>
      </c>
      <c r="BF1542" s="25" t="s">
        <v>1157</v>
      </c>
      <c r="BG1542" s="14">
        <f t="shared" si="355"/>
        <v>209</v>
      </c>
      <c r="BH1542" s="14">
        <f>SUMIFS(BG$4:BG1542,AU$4:AU1542,"="&amp;AU1542,AY$4:AY1542,"="&amp;AY1542)</f>
        <v>875</v>
      </c>
      <c r="BI1542" s="25" t="s">
        <v>1158</v>
      </c>
      <c r="BJ1542" s="14">
        <f t="shared" si="356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49"/>
        <v>20</v>
      </c>
      <c r="AV1543" s="14">
        <f t="shared" si="350"/>
        <v>203002</v>
      </c>
      <c r="AW1543" s="14">
        <f t="shared" si="351"/>
        <v>1102030</v>
      </c>
      <c r="AX1543" s="13" t="s">
        <v>1127</v>
      </c>
      <c r="AY1543" s="13">
        <f t="shared" si="348"/>
        <v>2</v>
      </c>
      <c r="AZ1543" s="13" t="s">
        <v>1148</v>
      </c>
      <c r="BA1543" s="14">
        <f t="shared" si="352"/>
        <v>9</v>
      </c>
      <c r="BB1543" s="14" t="str">
        <f t="shared" si="353"/>
        <v>燕青魂珠-2 等级-9</v>
      </c>
      <c r="BC1543" s="25" t="s">
        <v>44</v>
      </c>
      <c r="BD1543" s="14">
        <f t="shared" si="354"/>
        <v>495</v>
      </c>
      <c r="BE1543" s="14">
        <f>SUMIFS(BD$4:BD1543,$AU$4:$AU1543,"="&amp;$AU1543,$AY$4:$AY1543,"="&amp;$AY1543)</f>
        <v>2244</v>
      </c>
      <c r="BF1543" s="25" t="s">
        <v>1157</v>
      </c>
      <c r="BG1543" s="14">
        <f t="shared" si="355"/>
        <v>248</v>
      </c>
      <c r="BH1543" s="14">
        <f>SUMIFS(BG$4:BG1543,AU$4:AU1543,"="&amp;AU1543,AY$4:AY1543,"="&amp;AY1543)</f>
        <v>1123</v>
      </c>
      <c r="BI1543" s="25" t="s">
        <v>1158</v>
      </c>
      <c r="BJ1543" s="14">
        <f t="shared" si="356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49"/>
        <v>20</v>
      </c>
      <c r="AV1544" s="14">
        <f t="shared" si="350"/>
        <v>203003</v>
      </c>
      <c r="AW1544" s="14">
        <f t="shared" si="351"/>
        <v>1102030</v>
      </c>
      <c r="AX1544" s="13" t="s">
        <v>1127</v>
      </c>
      <c r="AY1544" s="13">
        <f t="shared" si="348"/>
        <v>3</v>
      </c>
      <c r="AZ1544" s="13" t="s">
        <v>1148</v>
      </c>
      <c r="BA1544" s="14">
        <f t="shared" si="352"/>
        <v>0</v>
      </c>
      <c r="BB1544" s="14" t="str">
        <f t="shared" si="353"/>
        <v>燕青魂珠-3 等级-0</v>
      </c>
      <c r="BC1544" s="25" t="s">
        <v>44</v>
      </c>
      <c r="BD1544" s="14">
        <f t="shared" si="354"/>
        <v>0</v>
      </c>
      <c r="BE1544" s="14">
        <f>SUMIFS(BD$4:BD1544,$AU$4:$AU1544,"="&amp;$AU1544,$AY$4:$AY1544,"="&amp;$AY1544)</f>
        <v>0</v>
      </c>
      <c r="BF1544" s="25" t="s">
        <v>1157</v>
      </c>
      <c r="BG1544" s="14">
        <f t="shared" si="355"/>
        <v>0</v>
      </c>
      <c r="BH1544" s="14">
        <f>SUMIFS(BG$4:BG1544,AU$4:AU1544,"="&amp;AU1544,AY$4:AY1544,"="&amp;AY1544)</f>
        <v>0</v>
      </c>
      <c r="BI1544" s="25" t="s">
        <v>1158</v>
      </c>
      <c r="BJ1544" s="14">
        <f t="shared" si="356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49"/>
        <v>20</v>
      </c>
      <c r="AV1545" s="14">
        <f t="shared" si="350"/>
        <v>203003</v>
      </c>
      <c r="AW1545" s="14">
        <f t="shared" si="351"/>
        <v>1102030</v>
      </c>
      <c r="AX1545" s="13" t="s">
        <v>1127</v>
      </c>
      <c r="AY1545" s="13">
        <f t="shared" si="348"/>
        <v>3</v>
      </c>
      <c r="AZ1545" s="13" t="s">
        <v>1148</v>
      </c>
      <c r="BA1545" s="14">
        <f t="shared" si="352"/>
        <v>1</v>
      </c>
      <c r="BB1545" s="14" t="str">
        <f t="shared" si="353"/>
        <v>燕青魂珠-3 等级-1</v>
      </c>
      <c r="BC1545" s="25" t="s">
        <v>44</v>
      </c>
      <c r="BD1545" s="14">
        <f t="shared" si="354"/>
        <v>88</v>
      </c>
      <c r="BE1545" s="14">
        <f>SUMIFS(BD$4:BD1545,$AU$4:$AU1545,"="&amp;$AU1545,$AY$4:$AY1545,"="&amp;$AY1545)</f>
        <v>88</v>
      </c>
      <c r="BF1545" s="25" t="s">
        <v>1157</v>
      </c>
      <c r="BG1545" s="14">
        <f t="shared" si="355"/>
        <v>44</v>
      </c>
      <c r="BH1545" s="14">
        <f>SUMIFS(BG$4:BG1545,AU$4:AU1545,"="&amp;AU1545,AY$4:AY1545,"="&amp;AY1545)</f>
        <v>44</v>
      </c>
      <c r="BI1545" s="25" t="s">
        <v>1158</v>
      </c>
      <c r="BJ1545" s="14">
        <f t="shared" si="356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49"/>
        <v>20</v>
      </c>
      <c r="AV1546" s="14">
        <f t="shared" si="350"/>
        <v>203003</v>
      </c>
      <c r="AW1546" s="14">
        <f t="shared" si="351"/>
        <v>1102030</v>
      </c>
      <c r="AX1546" s="13" t="s">
        <v>1127</v>
      </c>
      <c r="AY1546" s="13">
        <f t="shared" ref="AY1546:AY1605" si="357">INT(((AT1546-(AU1546-1)*80)-1)/10)+1</f>
        <v>3</v>
      </c>
      <c r="AZ1546" s="13" t="s">
        <v>1148</v>
      </c>
      <c r="BA1546" s="14">
        <f t="shared" si="352"/>
        <v>2</v>
      </c>
      <c r="BB1546" s="14" t="str">
        <f t="shared" si="353"/>
        <v>燕青魂珠-3 等级-2</v>
      </c>
      <c r="BC1546" s="25" t="s">
        <v>44</v>
      </c>
      <c r="BD1546" s="14">
        <f t="shared" si="354"/>
        <v>132</v>
      </c>
      <c r="BE1546" s="14">
        <f>SUMIFS(BD$4:BD1546,$AU$4:$AU1546,"="&amp;$AU1546,$AY$4:$AY1546,"="&amp;$AY1546)</f>
        <v>220</v>
      </c>
      <c r="BF1546" s="25" t="s">
        <v>1157</v>
      </c>
      <c r="BG1546" s="14">
        <f t="shared" si="355"/>
        <v>66</v>
      </c>
      <c r="BH1546" s="14">
        <f>SUMIFS(BG$4:BG1546,AU$4:AU1546,"="&amp;AU1546,AY$4:AY1546,"="&amp;AY1546)</f>
        <v>110</v>
      </c>
      <c r="BI1546" s="25" t="s">
        <v>1158</v>
      </c>
      <c r="BJ1546" s="14">
        <f t="shared" si="356"/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49"/>
        <v>20</v>
      </c>
      <c r="AV1547" s="14">
        <f t="shared" si="350"/>
        <v>203003</v>
      </c>
      <c r="AW1547" s="14">
        <f t="shared" si="351"/>
        <v>1102030</v>
      </c>
      <c r="AX1547" s="13" t="s">
        <v>1127</v>
      </c>
      <c r="AY1547" s="13">
        <f t="shared" si="357"/>
        <v>3</v>
      </c>
      <c r="AZ1547" s="13" t="s">
        <v>1148</v>
      </c>
      <c r="BA1547" s="14">
        <f t="shared" si="352"/>
        <v>3</v>
      </c>
      <c r="BB1547" s="14" t="str">
        <f t="shared" si="353"/>
        <v>燕青魂珠-3 等级-3</v>
      </c>
      <c r="BC1547" s="25" t="s">
        <v>44</v>
      </c>
      <c r="BD1547" s="14">
        <f t="shared" si="354"/>
        <v>176</v>
      </c>
      <c r="BE1547" s="14">
        <f>SUMIFS(BD$4:BD1547,$AU$4:$AU1547,"="&amp;$AU1547,$AY$4:$AY1547,"="&amp;$AY1547)</f>
        <v>396</v>
      </c>
      <c r="BF1547" s="25" t="s">
        <v>1157</v>
      </c>
      <c r="BG1547" s="14">
        <f t="shared" si="355"/>
        <v>88</v>
      </c>
      <c r="BH1547" s="14">
        <f>SUMIFS(BG$4:BG1547,AU$4:AU1547,"="&amp;AU1547,AY$4:AY1547,"="&amp;AY1547)</f>
        <v>198</v>
      </c>
      <c r="BI1547" s="25" t="s">
        <v>1158</v>
      </c>
      <c r="BJ1547" s="14">
        <f t="shared" si="356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49"/>
        <v>20</v>
      </c>
      <c r="AV1548" s="14">
        <f t="shared" si="350"/>
        <v>203003</v>
      </c>
      <c r="AW1548" s="14">
        <f t="shared" si="351"/>
        <v>1102030</v>
      </c>
      <c r="AX1548" s="13" t="s">
        <v>1127</v>
      </c>
      <c r="AY1548" s="13">
        <f t="shared" si="357"/>
        <v>3</v>
      </c>
      <c r="AZ1548" s="13" t="s">
        <v>1148</v>
      </c>
      <c r="BA1548" s="14">
        <f t="shared" si="352"/>
        <v>4</v>
      </c>
      <c r="BB1548" s="14" t="str">
        <f t="shared" si="353"/>
        <v>燕青魂珠-3 等级-4</v>
      </c>
      <c r="BC1548" s="25" t="s">
        <v>44</v>
      </c>
      <c r="BD1548" s="14">
        <f t="shared" si="354"/>
        <v>264</v>
      </c>
      <c r="BE1548" s="14">
        <f>SUMIFS(BD$4:BD1548,$AU$4:$AU1548,"="&amp;$AU1548,$AY$4:$AY1548,"="&amp;$AY1548)</f>
        <v>660</v>
      </c>
      <c r="BF1548" s="25" t="s">
        <v>1157</v>
      </c>
      <c r="BG1548" s="14">
        <f t="shared" si="355"/>
        <v>132</v>
      </c>
      <c r="BH1548" s="14">
        <f>SUMIFS(BG$4:BG1548,AU$4:AU1548,"="&amp;AU1548,AY$4:AY1548,"="&amp;AY1548)</f>
        <v>330</v>
      </c>
      <c r="BI1548" s="25" t="s">
        <v>1158</v>
      </c>
      <c r="BJ1548" s="14">
        <f t="shared" si="356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49"/>
        <v>20</v>
      </c>
      <c r="AV1549" s="14">
        <f t="shared" si="350"/>
        <v>203003</v>
      </c>
      <c r="AW1549" s="14">
        <f t="shared" si="351"/>
        <v>1102030</v>
      </c>
      <c r="AX1549" s="13" t="s">
        <v>1127</v>
      </c>
      <c r="AY1549" s="13">
        <f t="shared" si="357"/>
        <v>3</v>
      </c>
      <c r="AZ1549" s="13" t="s">
        <v>1148</v>
      </c>
      <c r="BA1549" s="14">
        <f t="shared" si="352"/>
        <v>5</v>
      </c>
      <c r="BB1549" s="14" t="str">
        <f t="shared" si="353"/>
        <v>燕青魂珠-3 等级-5</v>
      </c>
      <c r="BC1549" s="25" t="s">
        <v>44</v>
      </c>
      <c r="BD1549" s="14">
        <f t="shared" si="354"/>
        <v>352</v>
      </c>
      <c r="BE1549" s="14">
        <f>SUMIFS(BD$4:BD1549,$AU$4:$AU1549,"="&amp;$AU1549,$AY$4:$AY1549,"="&amp;$AY1549)</f>
        <v>1012</v>
      </c>
      <c r="BF1549" s="25" t="s">
        <v>1157</v>
      </c>
      <c r="BG1549" s="14">
        <f t="shared" si="355"/>
        <v>176</v>
      </c>
      <c r="BH1549" s="14">
        <f>SUMIFS(BG$4:BG1549,AU$4:AU1549,"="&amp;AU1549,AY$4:AY1549,"="&amp;AY1549)</f>
        <v>506</v>
      </c>
      <c r="BI1549" s="25" t="s">
        <v>1158</v>
      </c>
      <c r="BJ1549" s="14">
        <f t="shared" si="356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49"/>
        <v>20</v>
      </c>
      <c r="AV1550" s="14">
        <f t="shared" si="350"/>
        <v>203003</v>
      </c>
      <c r="AW1550" s="14">
        <f t="shared" si="351"/>
        <v>1102030</v>
      </c>
      <c r="AX1550" s="13" t="s">
        <v>1127</v>
      </c>
      <c r="AY1550" s="13">
        <f t="shared" si="357"/>
        <v>3</v>
      </c>
      <c r="AZ1550" s="13" t="s">
        <v>1148</v>
      </c>
      <c r="BA1550" s="14">
        <f t="shared" si="352"/>
        <v>6</v>
      </c>
      <c r="BB1550" s="14" t="str">
        <f t="shared" si="353"/>
        <v>燕青魂珠-3 等级-6</v>
      </c>
      <c r="BC1550" s="25" t="s">
        <v>44</v>
      </c>
      <c r="BD1550" s="14">
        <f t="shared" si="354"/>
        <v>440</v>
      </c>
      <c r="BE1550" s="14">
        <f>SUMIFS(BD$4:BD1550,$AU$4:$AU1550,"="&amp;$AU1550,$AY$4:$AY1550,"="&amp;$AY1550)</f>
        <v>1452</v>
      </c>
      <c r="BF1550" s="25" t="s">
        <v>1157</v>
      </c>
      <c r="BG1550" s="14">
        <f t="shared" si="355"/>
        <v>220</v>
      </c>
      <c r="BH1550" s="14">
        <f>SUMIFS(BG$4:BG1550,AU$4:AU1550,"="&amp;AU1550,AY$4:AY1550,"="&amp;AY1550)</f>
        <v>726</v>
      </c>
      <c r="BI1550" s="25" t="s">
        <v>1158</v>
      </c>
      <c r="BJ1550" s="14">
        <f t="shared" si="356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49"/>
        <v>20</v>
      </c>
      <c r="AV1551" s="14">
        <f t="shared" si="350"/>
        <v>203003</v>
      </c>
      <c r="AW1551" s="14">
        <f t="shared" si="351"/>
        <v>1102030</v>
      </c>
      <c r="AX1551" s="13" t="s">
        <v>1127</v>
      </c>
      <c r="AY1551" s="13">
        <f t="shared" si="357"/>
        <v>3</v>
      </c>
      <c r="AZ1551" s="13" t="s">
        <v>1148</v>
      </c>
      <c r="BA1551" s="14">
        <f t="shared" si="352"/>
        <v>7</v>
      </c>
      <c r="BB1551" s="14" t="str">
        <f t="shared" si="353"/>
        <v>燕青魂珠-3 等级-7</v>
      </c>
      <c r="BC1551" s="25" t="s">
        <v>44</v>
      </c>
      <c r="BD1551" s="14">
        <f t="shared" si="354"/>
        <v>528</v>
      </c>
      <c r="BE1551" s="14">
        <f>SUMIFS(BD$4:BD1551,$AU$4:$AU1551,"="&amp;$AU1551,$AY$4:$AY1551,"="&amp;$AY1551)</f>
        <v>1980</v>
      </c>
      <c r="BF1551" s="25" t="s">
        <v>1157</v>
      </c>
      <c r="BG1551" s="14">
        <f t="shared" si="355"/>
        <v>264</v>
      </c>
      <c r="BH1551" s="14">
        <f>SUMIFS(BG$4:BG1551,AU$4:AU1551,"="&amp;AU1551,AY$4:AY1551,"="&amp;AY1551)</f>
        <v>990</v>
      </c>
      <c r="BI1551" s="25" t="s">
        <v>1158</v>
      </c>
      <c r="BJ1551" s="14">
        <f t="shared" si="356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49"/>
        <v>20</v>
      </c>
      <c r="AV1552" s="14">
        <f t="shared" si="350"/>
        <v>203003</v>
      </c>
      <c r="AW1552" s="14">
        <f t="shared" si="351"/>
        <v>1102030</v>
      </c>
      <c r="AX1552" s="13" t="s">
        <v>1127</v>
      </c>
      <c r="AY1552" s="13">
        <f t="shared" si="357"/>
        <v>3</v>
      </c>
      <c r="AZ1552" s="13" t="s">
        <v>1148</v>
      </c>
      <c r="BA1552" s="14">
        <f t="shared" si="352"/>
        <v>8</v>
      </c>
      <c r="BB1552" s="14" t="str">
        <f t="shared" si="353"/>
        <v>燕青魂珠-3 等级-8</v>
      </c>
      <c r="BC1552" s="25" t="s">
        <v>44</v>
      </c>
      <c r="BD1552" s="14">
        <f t="shared" si="354"/>
        <v>616</v>
      </c>
      <c r="BE1552" s="14">
        <f>SUMIFS(BD$4:BD1552,$AU$4:$AU1552,"="&amp;$AU1552,$AY$4:$AY1552,"="&amp;$AY1552)</f>
        <v>2596</v>
      </c>
      <c r="BF1552" s="25" t="s">
        <v>1157</v>
      </c>
      <c r="BG1552" s="14">
        <f t="shared" si="355"/>
        <v>308</v>
      </c>
      <c r="BH1552" s="14">
        <f>SUMIFS(BG$4:BG1552,AU$4:AU1552,"="&amp;AU1552,AY$4:AY1552,"="&amp;AY1552)</f>
        <v>1298</v>
      </c>
      <c r="BI1552" s="25" t="s">
        <v>1158</v>
      </c>
      <c r="BJ1552" s="14">
        <f t="shared" si="356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49"/>
        <v>20</v>
      </c>
      <c r="AV1553" s="14">
        <f t="shared" si="350"/>
        <v>203003</v>
      </c>
      <c r="AW1553" s="14">
        <f t="shared" si="351"/>
        <v>1102030</v>
      </c>
      <c r="AX1553" s="13" t="s">
        <v>1127</v>
      </c>
      <c r="AY1553" s="13">
        <f t="shared" si="357"/>
        <v>3</v>
      </c>
      <c r="AZ1553" s="13" t="s">
        <v>1148</v>
      </c>
      <c r="BA1553" s="14">
        <f t="shared" si="352"/>
        <v>9</v>
      </c>
      <c r="BB1553" s="14" t="str">
        <f t="shared" si="353"/>
        <v>燕青魂珠-3 等级-9</v>
      </c>
      <c r="BC1553" s="25" t="s">
        <v>44</v>
      </c>
      <c r="BD1553" s="14">
        <f t="shared" si="354"/>
        <v>704</v>
      </c>
      <c r="BE1553" s="14">
        <f>SUMIFS(BD$4:BD1553,$AU$4:$AU1553,"="&amp;$AU1553,$AY$4:$AY1553,"="&amp;$AY1553)</f>
        <v>3300</v>
      </c>
      <c r="BF1553" s="25" t="s">
        <v>1157</v>
      </c>
      <c r="BG1553" s="14">
        <f t="shared" si="355"/>
        <v>352</v>
      </c>
      <c r="BH1553" s="14">
        <f>SUMIFS(BG$4:BG1553,AU$4:AU1553,"="&amp;AU1553,AY$4:AY1553,"="&amp;AY1553)</f>
        <v>1650</v>
      </c>
      <c r="BI1553" s="25" t="s">
        <v>1158</v>
      </c>
      <c r="BJ1553" s="14">
        <f t="shared" si="356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49"/>
        <v>20</v>
      </c>
      <c r="AV1554" s="14">
        <f t="shared" si="350"/>
        <v>203004</v>
      </c>
      <c r="AW1554" s="14">
        <f t="shared" si="351"/>
        <v>1102030</v>
      </c>
      <c r="AX1554" s="13" t="s">
        <v>1127</v>
      </c>
      <c r="AY1554" s="13">
        <f t="shared" si="357"/>
        <v>4</v>
      </c>
      <c r="AZ1554" s="13" t="s">
        <v>1148</v>
      </c>
      <c r="BA1554" s="14">
        <f t="shared" si="352"/>
        <v>0</v>
      </c>
      <c r="BB1554" s="14" t="str">
        <f t="shared" si="353"/>
        <v>燕青魂珠-4 等级-0</v>
      </c>
      <c r="BC1554" s="25" t="s">
        <v>44</v>
      </c>
      <c r="BD1554" s="14">
        <f t="shared" si="354"/>
        <v>0</v>
      </c>
      <c r="BE1554" s="14">
        <f>SUMIFS(BD$4:BD1554,$AU$4:$AU1554,"="&amp;$AU1554,$AY$4:$AY1554,"="&amp;$AY1554)</f>
        <v>0</v>
      </c>
      <c r="BF1554" s="25" t="s">
        <v>1157</v>
      </c>
      <c r="BG1554" s="14">
        <f t="shared" si="355"/>
        <v>0</v>
      </c>
      <c r="BH1554" s="14">
        <f>SUMIFS(BG$4:BG1554,AU$4:AU1554,"="&amp;AU1554,AY$4:AY1554,"="&amp;AY1554)</f>
        <v>0</v>
      </c>
      <c r="BI1554" s="25" t="s">
        <v>1158</v>
      </c>
      <c r="BJ1554" s="14">
        <f t="shared" si="356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49"/>
        <v>20</v>
      </c>
      <c r="AV1555" s="14">
        <f t="shared" si="350"/>
        <v>203004</v>
      </c>
      <c r="AW1555" s="14">
        <f t="shared" si="351"/>
        <v>1102030</v>
      </c>
      <c r="AX1555" s="13" t="s">
        <v>1127</v>
      </c>
      <c r="AY1555" s="13">
        <f t="shared" si="357"/>
        <v>4</v>
      </c>
      <c r="AZ1555" s="13" t="s">
        <v>1148</v>
      </c>
      <c r="BA1555" s="14">
        <f t="shared" si="352"/>
        <v>1</v>
      </c>
      <c r="BB1555" s="14" t="str">
        <f t="shared" si="353"/>
        <v>燕青魂珠-4 等级-1</v>
      </c>
      <c r="BC1555" s="25" t="s">
        <v>44</v>
      </c>
      <c r="BD1555" s="14">
        <f t="shared" si="354"/>
        <v>110</v>
      </c>
      <c r="BE1555" s="14">
        <f>SUMIFS(BD$4:BD1555,$AU$4:$AU1555,"="&amp;$AU1555,$AY$4:$AY1555,"="&amp;$AY1555)</f>
        <v>110</v>
      </c>
      <c r="BF1555" s="25" t="s">
        <v>1157</v>
      </c>
      <c r="BG1555" s="14">
        <f t="shared" si="355"/>
        <v>55</v>
      </c>
      <c r="BH1555" s="14">
        <f>SUMIFS(BG$4:BG1555,AU$4:AU1555,"="&amp;AU1555,AY$4:AY1555,"="&amp;AY1555)</f>
        <v>55</v>
      </c>
      <c r="BI1555" s="25" t="s">
        <v>1158</v>
      </c>
      <c r="BJ1555" s="14">
        <f t="shared" si="356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49"/>
        <v>20</v>
      </c>
      <c r="AV1556" s="14">
        <f t="shared" si="350"/>
        <v>203004</v>
      </c>
      <c r="AW1556" s="14">
        <f t="shared" si="351"/>
        <v>1102030</v>
      </c>
      <c r="AX1556" s="13" t="s">
        <v>1127</v>
      </c>
      <c r="AY1556" s="13">
        <f t="shared" si="357"/>
        <v>4</v>
      </c>
      <c r="AZ1556" s="13" t="s">
        <v>1148</v>
      </c>
      <c r="BA1556" s="14">
        <f t="shared" si="352"/>
        <v>2</v>
      </c>
      <c r="BB1556" s="14" t="str">
        <f t="shared" si="353"/>
        <v>燕青魂珠-4 等级-2</v>
      </c>
      <c r="BC1556" s="25" t="s">
        <v>44</v>
      </c>
      <c r="BD1556" s="14">
        <f t="shared" si="354"/>
        <v>176</v>
      </c>
      <c r="BE1556" s="14">
        <f>SUMIFS(BD$4:BD1556,$AU$4:$AU1556,"="&amp;$AU1556,$AY$4:$AY1556,"="&amp;$AY1556)</f>
        <v>286</v>
      </c>
      <c r="BF1556" s="25" t="s">
        <v>1157</v>
      </c>
      <c r="BG1556" s="14">
        <f t="shared" si="355"/>
        <v>88</v>
      </c>
      <c r="BH1556" s="14">
        <f>SUMIFS(BG$4:BG1556,AU$4:AU1556,"="&amp;AU1556,AY$4:AY1556,"="&amp;AY1556)</f>
        <v>143</v>
      </c>
      <c r="BI1556" s="25" t="s">
        <v>1158</v>
      </c>
      <c r="BJ1556" s="14">
        <f t="shared" si="356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49"/>
        <v>20</v>
      </c>
      <c r="AV1557" s="14">
        <f t="shared" si="350"/>
        <v>203004</v>
      </c>
      <c r="AW1557" s="14">
        <f t="shared" si="351"/>
        <v>1102030</v>
      </c>
      <c r="AX1557" s="13" t="s">
        <v>1127</v>
      </c>
      <c r="AY1557" s="13">
        <f t="shared" si="357"/>
        <v>4</v>
      </c>
      <c r="AZ1557" s="13" t="s">
        <v>1148</v>
      </c>
      <c r="BA1557" s="14">
        <f t="shared" si="352"/>
        <v>3</v>
      </c>
      <c r="BB1557" s="14" t="str">
        <f t="shared" si="353"/>
        <v>燕青魂珠-4 等级-3</v>
      </c>
      <c r="BC1557" s="25" t="s">
        <v>44</v>
      </c>
      <c r="BD1557" s="14">
        <f t="shared" si="354"/>
        <v>242</v>
      </c>
      <c r="BE1557" s="14">
        <f>SUMIFS(BD$4:BD1557,$AU$4:$AU1557,"="&amp;$AU1557,$AY$4:$AY1557,"="&amp;$AY1557)</f>
        <v>528</v>
      </c>
      <c r="BF1557" s="25" t="s">
        <v>1157</v>
      </c>
      <c r="BG1557" s="14">
        <f t="shared" si="355"/>
        <v>121</v>
      </c>
      <c r="BH1557" s="14">
        <f>SUMIFS(BG$4:BG1557,AU$4:AU1557,"="&amp;AU1557,AY$4:AY1557,"="&amp;AY1557)</f>
        <v>264</v>
      </c>
      <c r="BI1557" s="25" t="s">
        <v>1158</v>
      </c>
      <c r="BJ1557" s="14">
        <f t="shared" si="356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49"/>
        <v>20</v>
      </c>
      <c r="AV1558" s="14">
        <f t="shared" si="350"/>
        <v>203004</v>
      </c>
      <c r="AW1558" s="14">
        <f t="shared" si="351"/>
        <v>1102030</v>
      </c>
      <c r="AX1558" s="13" t="s">
        <v>1127</v>
      </c>
      <c r="AY1558" s="13">
        <f t="shared" si="357"/>
        <v>4</v>
      </c>
      <c r="AZ1558" s="13" t="s">
        <v>1148</v>
      </c>
      <c r="BA1558" s="14">
        <f t="shared" si="352"/>
        <v>4</v>
      </c>
      <c r="BB1558" s="14" t="str">
        <f t="shared" si="353"/>
        <v>燕青魂珠-4 等级-4</v>
      </c>
      <c r="BC1558" s="25" t="s">
        <v>44</v>
      </c>
      <c r="BD1558" s="14">
        <f t="shared" si="354"/>
        <v>352</v>
      </c>
      <c r="BE1558" s="14">
        <f>SUMIFS(BD$4:BD1558,$AU$4:$AU1558,"="&amp;$AU1558,$AY$4:$AY1558,"="&amp;$AY1558)</f>
        <v>880</v>
      </c>
      <c r="BF1558" s="25" t="s">
        <v>1157</v>
      </c>
      <c r="BG1558" s="14">
        <f t="shared" si="355"/>
        <v>176</v>
      </c>
      <c r="BH1558" s="14">
        <f>SUMIFS(BG$4:BG1558,AU$4:AU1558,"="&amp;AU1558,AY$4:AY1558,"="&amp;AY1558)</f>
        <v>440</v>
      </c>
      <c r="BI1558" s="25" t="s">
        <v>1158</v>
      </c>
      <c r="BJ1558" s="14">
        <f t="shared" si="356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49"/>
        <v>20</v>
      </c>
      <c r="AV1559" s="14">
        <f t="shared" si="350"/>
        <v>203004</v>
      </c>
      <c r="AW1559" s="14">
        <f t="shared" si="351"/>
        <v>1102030</v>
      </c>
      <c r="AX1559" s="13" t="s">
        <v>1127</v>
      </c>
      <c r="AY1559" s="13">
        <f t="shared" si="357"/>
        <v>4</v>
      </c>
      <c r="AZ1559" s="13" t="s">
        <v>1148</v>
      </c>
      <c r="BA1559" s="14">
        <f t="shared" si="352"/>
        <v>5</v>
      </c>
      <c r="BB1559" s="14" t="str">
        <f t="shared" si="353"/>
        <v>燕青魂珠-4 等级-5</v>
      </c>
      <c r="BC1559" s="25" t="s">
        <v>44</v>
      </c>
      <c r="BD1559" s="14">
        <f t="shared" si="354"/>
        <v>462</v>
      </c>
      <c r="BE1559" s="14">
        <f>SUMIFS(BD$4:BD1559,$AU$4:$AU1559,"="&amp;$AU1559,$AY$4:$AY1559,"="&amp;$AY1559)</f>
        <v>1342</v>
      </c>
      <c r="BF1559" s="25" t="s">
        <v>1157</v>
      </c>
      <c r="BG1559" s="14">
        <f t="shared" si="355"/>
        <v>231</v>
      </c>
      <c r="BH1559" s="14">
        <f>SUMIFS(BG$4:BG1559,AU$4:AU1559,"="&amp;AU1559,AY$4:AY1559,"="&amp;AY1559)</f>
        <v>671</v>
      </c>
      <c r="BI1559" s="25" t="s">
        <v>1158</v>
      </c>
      <c r="BJ1559" s="14">
        <f t="shared" si="356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49"/>
        <v>20</v>
      </c>
      <c r="AV1560" s="14">
        <f t="shared" si="350"/>
        <v>203004</v>
      </c>
      <c r="AW1560" s="14">
        <f t="shared" si="351"/>
        <v>1102030</v>
      </c>
      <c r="AX1560" s="13" t="s">
        <v>1127</v>
      </c>
      <c r="AY1560" s="13">
        <f t="shared" si="357"/>
        <v>4</v>
      </c>
      <c r="AZ1560" s="13" t="s">
        <v>1148</v>
      </c>
      <c r="BA1560" s="14">
        <f t="shared" si="352"/>
        <v>6</v>
      </c>
      <c r="BB1560" s="14" t="str">
        <f t="shared" si="353"/>
        <v>燕青魂珠-4 等级-6</v>
      </c>
      <c r="BC1560" s="25" t="s">
        <v>44</v>
      </c>
      <c r="BD1560" s="14">
        <f t="shared" si="354"/>
        <v>605</v>
      </c>
      <c r="BE1560" s="14">
        <f>SUMIFS(BD$4:BD1560,$AU$4:$AU1560,"="&amp;$AU1560,$AY$4:$AY1560,"="&amp;$AY1560)</f>
        <v>1947</v>
      </c>
      <c r="BF1560" s="25" t="s">
        <v>1157</v>
      </c>
      <c r="BG1560" s="14">
        <f t="shared" si="355"/>
        <v>303</v>
      </c>
      <c r="BH1560" s="14">
        <f>SUMIFS(BG$4:BG1560,AU$4:AU1560,"="&amp;AU1560,AY$4:AY1560,"="&amp;AY1560)</f>
        <v>974</v>
      </c>
      <c r="BI1560" s="25" t="s">
        <v>1158</v>
      </c>
      <c r="BJ1560" s="14">
        <f t="shared" si="356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49"/>
        <v>20</v>
      </c>
      <c r="AV1561" s="14">
        <f t="shared" si="350"/>
        <v>203004</v>
      </c>
      <c r="AW1561" s="14">
        <f t="shared" si="351"/>
        <v>1102030</v>
      </c>
      <c r="AX1561" s="13" t="s">
        <v>1127</v>
      </c>
      <c r="AY1561" s="13">
        <f t="shared" si="357"/>
        <v>4</v>
      </c>
      <c r="AZ1561" s="13" t="s">
        <v>1148</v>
      </c>
      <c r="BA1561" s="14">
        <f t="shared" si="352"/>
        <v>7</v>
      </c>
      <c r="BB1561" s="14" t="str">
        <f t="shared" si="353"/>
        <v>燕青魂珠-4 等级-7</v>
      </c>
      <c r="BC1561" s="25" t="s">
        <v>44</v>
      </c>
      <c r="BD1561" s="14">
        <f t="shared" si="354"/>
        <v>715</v>
      </c>
      <c r="BE1561" s="14">
        <f>SUMIFS(BD$4:BD1561,$AU$4:$AU1561,"="&amp;$AU1561,$AY$4:$AY1561,"="&amp;$AY1561)</f>
        <v>2662</v>
      </c>
      <c r="BF1561" s="25" t="s">
        <v>1157</v>
      </c>
      <c r="BG1561" s="14">
        <f t="shared" si="355"/>
        <v>358</v>
      </c>
      <c r="BH1561" s="14">
        <f>SUMIFS(BG$4:BG1561,AU$4:AU1561,"="&amp;AU1561,AY$4:AY1561,"="&amp;AY1561)</f>
        <v>1332</v>
      </c>
      <c r="BI1561" s="25" t="s">
        <v>1158</v>
      </c>
      <c r="BJ1561" s="14">
        <f t="shared" si="356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49"/>
        <v>20</v>
      </c>
      <c r="AV1562" s="14">
        <f t="shared" si="350"/>
        <v>203004</v>
      </c>
      <c r="AW1562" s="14">
        <f t="shared" si="351"/>
        <v>1102030</v>
      </c>
      <c r="AX1562" s="13" t="s">
        <v>1127</v>
      </c>
      <c r="AY1562" s="13">
        <f t="shared" si="357"/>
        <v>4</v>
      </c>
      <c r="AZ1562" s="13" t="s">
        <v>1148</v>
      </c>
      <c r="BA1562" s="14">
        <f t="shared" si="352"/>
        <v>8</v>
      </c>
      <c r="BB1562" s="14" t="str">
        <f t="shared" si="353"/>
        <v>燕青魂珠-4 等级-8</v>
      </c>
      <c r="BC1562" s="25" t="s">
        <v>44</v>
      </c>
      <c r="BD1562" s="14">
        <f t="shared" si="354"/>
        <v>825</v>
      </c>
      <c r="BE1562" s="14">
        <f>SUMIFS(BD$4:BD1562,$AU$4:$AU1562,"="&amp;$AU1562,$AY$4:$AY1562,"="&amp;$AY1562)</f>
        <v>3487</v>
      </c>
      <c r="BF1562" s="25" t="s">
        <v>1157</v>
      </c>
      <c r="BG1562" s="14">
        <f t="shared" si="355"/>
        <v>413</v>
      </c>
      <c r="BH1562" s="14">
        <f>SUMIFS(BG$4:BG1562,AU$4:AU1562,"="&amp;AU1562,AY$4:AY1562,"="&amp;AY1562)</f>
        <v>1745</v>
      </c>
      <c r="BI1562" s="25" t="s">
        <v>1158</v>
      </c>
      <c r="BJ1562" s="14">
        <f t="shared" si="356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49"/>
        <v>20</v>
      </c>
      <c r="AV1563" s="14">
        <f t="shared" si="350"/>
        <v>203004</v>
      </c>
      <c r="AW1563" s="14">
        <f t="shared" si="351"/>
        <v>1102030</v>
      </c>
      <c r="AX1563" s="13" t="s">
        <v>1127</v>
      </c>
      <c r="AY1563" s="13">
        <f t="shared" si="357"/>
        <v>4</v>
      </c>
      <c r="AZ1563" s="13" t="s">
        <v>1148</v>
      </c>
      <c r="BA1563" s="14">
        <f t="shared" si="352"/>
        <v>9</v>
      </c>
      <c r="BB1563" s="14" t="str">
        <f t="shared" si="353"/>
        <v>燕青魂珠-4 等级-9</v>
      </c>
      <c r="BC1563" s="25" t="s">
        <v>44</v>
      </c>
      <c r="BD1563" s="14">
        <f t="shared" si="354"/>
        <v>935</v>
      </c>
      <c r="BE1563" s="14">
        <f>SUMIFS(BD$4:BD1563,$AU$4:$AU1563,"="&amp;$AU1563,$AY$4:$AY1563,"="&amp;$AY1563)</f>
        <v>4422</v>
      </c>
      <c r="BF1563" s="25" t="s">
        <v>1157</v>
      </c>
      <c r="BG1563" s="14">
        <f t="shared" si="355"/>
        <v>468</v>
      </c>
      <c r="BH1563" s="14">
        <f>SUMIFS(BG$4:BG1563,AU$4:AU1563,"="&amp;AU1563,AY$4:AY1563,"="&amp;AY1563)</f>
        <v>2213</v>
      </c>
      <c r="BI1563" s="25" t="s">
        <v>1158</v>
      </c>
      <c r="BJ1563" s="14">
        <f t="shared" si="356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49"/>
        <v>20</v>
      </c>
      <c r="AV1564" s="14">
        <f t="shared" si="350"/>
        <v>203005</v>
      </c>
      <c r="AW1564" s="14">
        <f t="shared" si="351"/>
        <v>1102030</v>
      </c>
      <c r="AX1564" s="13" t="s">
        <v>1127</v>
      </c>
      <c r="AY1564" s="13">
        <f t="shared" si="357"/>
        <v>5</v>
      </c>
      <c r="AZ1564" s="13" t="s">
        <v>1148</v>
      </c>
      <c r="BA1564" s="14">
        <f t="shared" si="352"/>
        <v>0</v>
      </c>
      <c r="BB1564" s="14" t="str">
        <f t="shared" si="353"/>
        <v>燕青魂珠-5 等级-0</v>
      </c>
      <c r="BC1564" s="25" t="s">
        <v>44</v>
      </c>
      <c r="BD1564" s="14">
        <f t="shared" si="354"/>
        <v>0</v>
      </c>
      <c r="BE1564" s="14">
        <f>SUMIFS(BD$4:BD1564,$AU$4:$AU1564,"="&amp;$AU1564,$AY$4:$AY1564,"="&amp;$AY1564)</f>
        <v>0</v>
      </c>
      <c r="BF1564" s="25" t="s">
        <v>1157</v>
      </c>
      <c r="BG1564" s="14">
        <f t="shared" si="355"/>
        <v>0</v>
      </c>
      <c r="BH1564" s="14">
        <f>SUMIFS(BG$4:BG1564,AU$4:AU1564,"="&amp;AU1564,AY$4:AY1564,"="&amp;AY1564)</f>
        <v>0</v>
      </c>
      <c r="BI1564" s="25" t="s">
        <v>1158</v>
      </c>
      <c r="BJ1564" s="14">
        <f t="shared" si="356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49"/>
        <v>20</v>
      </c>
      <c r="AV1565" s="14">
        <f t="shared" si="350"/>
        <v>203005</v>
      </c>
      <c r="AW1565" s="14">
        <f t="shared" si="351"/>
        <v>1102030</v>
      </c>
      <c r="AX1565" s="13" t="s">
        <v>1127</v>
      </c>
      <c r="AY1565" s="13">
        <f t="shared" si="357"/>
        <v>5</v>
      </c>
      <c r="AZ1565" s="13" t="s">
        <v>1148</v>
      </c>
      <c r="BA1565" s="14">
        <f t="shared" si="352"/>
        <v>1</v>
      </c>
      <c r="BB1565" s="14" t="str">
        <f t="shared" si="353"/>
        <v>燕青魂珠-5 等级-1</v>
      </c>
      <c r="BC1565" s="25" t="s">
        <v>44</v>
      </c>
      <c r="BD1565" s="14">
        <f t="shared" si="354"/>
        <v>154</v>
      </c>
      <c r="BE1565" s="14">
        <f>SUMIFS(BD$4:BD1565,$AU$4:$AU1565,"="&amp;$AU1565,$AY$4:$AY1565,"="&amp;$AY1565)</f>
        <v>154</v>
      </c>
      <c r="BF1565" s="25" t="s">
        <v>1157</v>
      </c>
      <c r="BG1565" s="14">
        <f t="shared" si="355"/>
        <v>77</v>
      </c>
      <c r="BH1565" s="14">
        <f>SUMIFS(BG$4:BG1565,AU$4:AU1565,"="&amp;AU1565,AY$4:AY1565,"="&amp;AY1565)</f>
        <v>77</v>
      </c>
      <c r="BI1565" s="25" t="s">
        <v>1158</v>
      </c>
      <c r="BJ1565" s="14">
        <f t="shared" si="356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49"/>
        <v>20</v>
      </c>
      <c r="AV1566" s="14">
        <f t="shared" si="350"/>
        <v>203005</v>
      </c>
      <c r="AW1566" s="14">
        <f t="shared" si="351"/>
        <v>1102030</v>
      </c>
      <c r="AX1566" s="13" t="s">
        <v>1127</v>
      </c>
      <c r="AY1566" s="13">
        <f t="shared" si="357"/>
        <v>5</v>
      </c>
      <c r="AZ1566" s="13" t="s">
        <v>1148</v>
      </c>
      <c r="BA1566" s="14">
        <f t="shared" si="352"/>
        <v>2</v>
      </c>
      <c r="BB1566" s="14" t="str">
        <f t="shared" si="353"/>
        <v>燕青魂珠-5 等级-2</v>
      </c>
      <c r="BC1566" s="25" t="s">
        <v>44</v>
      </c>
      <c r="BD1566" s="14">
        <f t="shared" si="354"/>
        <v>220</v>
      </c>
      <c r="BE1566" s="14">
        <f>SUMIFS(BD$4:BD1566,$AU$4:$AU1566,"="&amp;$AU1566,$AY$4:$AY1566,"="&amp;$AY1566)</f>
        <v>374</v>
      </c>
      <c r="BF1566" s="25" t="s">
        <v>1157</v>
      </c>
      <c r="BG1566" s="14">
        <f t="shared" si="355"/>
        <v>110</v>
      </c>
      <c r="BH1566" s="14">
        <f>SUMIFS(BG$4:BG1566,AU$4:AU1566,"="&amp;AU1566,AY$4:AY1566,"="&amp;AY1566)</f>
        <v>187</v>
      </c>
      <c r="BI1566" s="25" t="s">
        <v>1158</v>
      </c>
      <c r="BJ1566" s="14">
        <f t="shared" si="356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49"/>
        <v>20</v>
      </c>
      <c r="AV1567" s="14">
        <f t="shared" si="350"/>
        <v>203005</v>
      </c>
      <c r="AW1567" s="14">
        <f t="shared" si="351"/>
        <v>1102030</v>
      </c>
      <c r="AX1567" s="13" t="s">
        <v>1127</v>
      </c>
      <c r="AY1567" s="13">
        <f t="shared" si="357"/>
        <v>5</v>
      </c>
      <c r="AZ1567" s="13" t="s">
        <v>1148</v>
      </c>
      <c r="BA1567" s="14">
        <f t="shared" si="352"/>
        <v>3</v>
      </c>
      <c r="BB1567" s="14" t="str">
        <f t="shared" si="353"/>
        <v>燕青魂珠-5 等级-3</v>
      </c>
      <c r="BC1567" s="25" t="s">
        <v>44</v>
      </c>
      <c r="BD1567" s="14">
        <f t="shared" si="354"/>
        <v>286</v>
      </c>
      <c r="BE1567" s="14">
        <f>SUMIFS(BD$4:BD1567,$AU$4:$AU1567,"="&amp;$AU1567,$AY$4:$AY1567,"="&amp;$AY1567)</f>
        <v>660</v>
      </c>
      <c r="BF1567" s="25" t="s">
        <v>1157</v>
      </c>
      <c r="BG1567" s="14">
        <f t="shared" si="355"/>
        <v>143</v>
      </c>
      <c r="BH1567" s="14">
        <f>SUMIFS(BG$4:BG1567,AU$4:AU1567,"="&amp;AU1567,AY$4:AY1567,"="&amp;AY1567)</f>
        <v>330</v>
      </c>
      <c r="BI1567" s="25" t="s">
        <v>1158</v>
      </c>
      <c r="BJ1567" s="14">
        <f t="shared" si="356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49"/>
        <v>20</v>
      </c>
      <c r="AV1568" s="14">
        <f t="shared" si="350"/>
        <v>203005</v>
      </c>
      <c r="AW1568" s="14">
        <f t="shared" si="351"/>
        <v>1102030</v>
      </c>
      <c r="AX1568" s="13" t="s">
        <v>1127</v>
      </c>
      <c r="AY1568" s="13">
        <f t="shared" si="357"/>
        <v>5</v>
      </c>
      <c r="AZ1568" s="13" t="s">
        <v>1148</v>
      </c>
      <c r="BA1568" s="14">
        <f t="shared" si="352"/>
        <v>4</v>
      </c>
      <c r="BB1568" s="14" t="str">
        <f t="shared" si="353"/>
        <v>燕青魂珠-5 等级-4</v>
      </c>
      <c r="BC1568" s="25" t="s">
        <v>44</v>
      </c>
      <c r="BD1568" s="14">
        <f t="shared" si="354"/>
        <v>440</v>
      </c>
      <c r="BE1568" s="14">
        <f>SUMIFS(BD$4:BD1568,$AU$4:$AU1568,"="&amp;$AU1568,$AY$4:$AY1568,"="&amp;$AY1568)</f>
        <v>1100</v>
      </c>
      <c r="BF1568" s="25" t="s">
        <v>1157</v>
      </c>
      <c r="BG1568" s="14">
        <f t="shared" si="355"/>
        <v>220</v>
      </c>
      <c r="BH1568" s="14">
        <f>SUMIFS(BG$4:BG1568,AU$4:AU1568,"="&amp;AU1568,AY$4:AY1568,"="&amp;AY1568)</f>
        <v>550</v>
      </c>
      <c r="BI1568" s="25" t="s">
        <v>1158</v>
      </c>
      <c r="BJ1568" s="14">
        <f t="shared" si="356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49"/>
        <v>20</v>
      </c>
      <c r="AV1569" s="14">
        <f t="shared" si="350"/>
        <v>203005</v>
      </c>
      <c r="AW1569" s="14">
        <f t="shared" si="351"/>
        <v>1102030</v>
      </c>
      <c r="AX1569" s="13" t="s">
        <v>1127</v>
      </c>
      <c r="AY1569" s="13">
        <f t="shared" si="357"/>
        <v>5</v>
      </c>
      <c r="AZ1569" s="13" t="s">
        <v>1148</v>
      </c>
      <c r="BA1569" s="14">
        <f t="shared" si="352"/>
        <v>5</v>
      </c>
      <c r="BB1569" s="14" t="str">
        <f t="shared" si="353"/>
        <v>燕青魂珠-5 等级-5</v>
      </c>
      <c r="BC1569" s="25" t="s">
        <v>44</v>
      </c>
      <c r="BD1569" s="14">
        <f t="shared" si="354"/>
        <v>572</v>
      </c>
      <c r="BE1569" s="14">
        <f>SUMIFS(BD$4:BD1569,$AU$4:$AU1569,"="&amp;$AU1569,$AY$4:$AY1569,"="&amp;$AY1569)</f>
        <v>1672</v>
      </c>
      <c r="BF1569" s="25" t="s">
        <v>1157</v>
      </c>
      <c r="BG1569" s="14">
        <f t="shared" si="355"/>
        <v>286</v>
      </c>
      <c r="BH1569" s="14">
        <f>SUMIFS(BG$4:BG1569,AU$4:AU1569,"="&amp;AU1569,AY$4:AY1569,"="&amp;AY1569)</f>
        <v>836</v>
      </c>
      <c r="BI1569" s="25" t="s">
        <v>1158</v>
      </c>
      <c r="BJ1569" s="14">
        <f t="shared" si="356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49"/>
        <v>20</v>
      </c>
      <c r="AV1570" s="14">
        <f t="shared" si="350"/>
        <v>203005</v>
      </c>
      <c r="AW1570" s="14">
        <f t="shared" si="351"/>
        <v>1102030</v>
      </c>
      <c r="AX1570" s="13" t="s">
        <v>1127</v>
      </c>
      <c r="AY1570" s="13">
        <f t="shared" si="357"/>
        <v>5</v>
      </c>
      <c r="AZ1570" s="13" t="s">
        <v>1148</v>
      </c>
      <c r="BA1570" s="14">
        <f t="shared" si="352"/>
        <v>6</v>
      </c>
      <c r="BB1570" s="14" t="str">
        <f t="shared" si="353"/>
        <v>燕青魂珠-5 等级-6</v>
      </c>
      <c r="BC1570" s="25" t="s">
        <v>44</v>
      </c>
      <c r="BD1570" s="14">
        <f t="shared" si="354"/>
        <v>715</v>
      </c>
      <c r="BE1570" s="14">
        <f>SUMIFS(BD$4:BD1570,$AU$4:$AU1570,"="&amp;$AU1570,$AY$4:$AY1570,"="&amp;$AY1570)</f>
        <v>2387</v>
      </c>
      <c r="BF1570" s="25" t="s">
        <v>1157</v>
      </c>
      <c r="BG1570" s="14">
        <f t="shared" si="355"/>
        <v>358</v>
      </c>
      <c r="BH1570" s="14">
        <f>SUMIFS(BG$4:BG1570,AU$4:AU1570,"="&amp;AU1570,AY$4:AY1570,"="&amp;AY1570)</f>
        <v>1194</v>
      </c>
      <c r="BI1570" s="25" t="s">
        <v>1158</v>
      </c>
      <c r="BJ1570" s="14">
        <f t="shared" si="356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49"/>
        <v>20</v>
      </c>
      <c r="AV1571" s="14">
        <f t="shared" si="350"/>
        <v>203005</v>
      </c>
      <c r="AW1571" s="14">
        <f t="shared" si="351"/>
        <v>1102030</v>
      </c>
      <c r="AX1571" s="13" t="s">
        <v>1127</v>
      </c>
      <c r="AY1571" s="13">
        <f t="shared" si="357"/>
        <v>5</v>
      </c>
      <c r="AZ1571" s="13" t="s">
        <v>1148</v>
      </c>
      <c r="BA1571" s="14">
        <f t="shared" si="352"/>
        <v>7</v>
      </c>
      <c r="BB1571" s="14" t="str">
        <f t="shared" si="353"/>
        <v>燕青魂珠-5 等级-7</v>
      </c>
      <c r="BC1571" s="25" t="s">
        <v>44</v>
      </c>
      <c r="BD1571" s="14">
        <f t="shared" si="354"/>
        <v>880</v>
      </c>
      <c r="BE1571" s="14">
        <f>SUMIFS(BD$4:BD1571,$AU$4:$AU1571,"="&amp;$AU1571,$AY$4:$AY1571,"="&amp;$AY1571)</f>
        <v>3267</v>
      </c>
      <c r="BF1571" s="25" t="s">
        <v>1157</v>
      </c>
      <c r="BG1571" s="14">
        <f t="shared" si="355"/>
        <v>440</v>
      </c>
      <c r="BH1571" s="14">
        <f>SUMIFS(BG$4:BG1571,AU$4:AU1571,"="&amp;AU1571,AY$4:AY1571,"="&amp;AY1571)</f>
        <v>1634</v>
      </c>
      <c r="BI1571" s="25" t="s">
        <v>1158</v>
      </c>
      <c r="BJ1571" s="14">
        <f t="shared" si="356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49"/>
        <v>20</v>
      </c>
      <c r="AV1572" s="14">
        <f t="shared" si="350"/>
        <v>203005</v>
      </c>
      <c r="AW1572" s="14">
        <f t="shared" si="351"/>
        <v>1102030</v>
      </c>
      <c r="AX1572" s="13" t="s">
        <v>1127</v>
      </c>
      <c r="AY1572" s="13">
        <f t="shared" si="357"/>
        <v>5</v>
      </c>
      <c r="AZ1572" s="13" t="s">
        <v>1148</v>
      </c>
      <c r="BA1572" s="14">
        <f t="shared" si="352"/>
        <v>8</v>
      </c>
      <c r="BB1572" s="14" t="str">
        <f t="shared" si="353"/>
        <v>燕青魂珠-5 等级-8</v>
      </c>
      <c r="BC1572" s="25" t="s">
        <v>44</v>
      </c>
      <c r="BD1572" s="14">
        <f t="shared" si="354"/>
        <v>1045</v>
      </c>
      <c r="BE1572" s="14">
        <f>SUMIFS(BD$4:BD1572,$AU$4:$AU1572,"="&amp;$AU1572,$AY$4:$AY1572,"="&amp;$AY1572)</f>
        <v>4312</v>
      </c>
      <c r="BF1572" s="25" t="s">
        <v>1157</v>
      </c>
      <c r="BG1572" s="14">
        <f t="shared" si="355"/>
        <v>523</v>
      </c>
      <c r="BH1572" s="14">
        <f>SUMIFS(BG$4:BG1572,AU$4:AU1572,"="&amp;AU1572,AY$4:AY1572,"="&amp;AY1572)</f>
        <v>2157</v>
      </c>
      <c r="BI1572" s="25" t="s">
        <v>1158</v>
      </c>
      <c r="BJ1572" s="14">
        <f t="shared" si="356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49"/>
        <v>20</v>
      </c>
      <c r="AV1573" s="14">
        <f t="shared" si="350"/>
        <v>203005</v>
      </c>
      <c r="AW1573" s="14">
        <f t="shared" si="351"/>
        <v>1102030</v>
      </c>
      <c r="AX1573" s="13" t="s">
        <v>1127</v>
      </c>
      <c r="AY1573" s="13">
        <f t="shared" si="357"/>
        <v>5</v>
      </c>
      <c r="AZ1573" s="13" t="s">
        <v>1148</v>
      </c>
      <c r="BA1573" s="14">
        <f t="shared" si="352"/>
        <v>9</v>
      </c>
      <c r="BB1573" s="14" t="str">
        <f t="shared" si="353"/>
        <v>燕青魂珠-5 等级-9</v>
      </c>
      <c r="BC1573" s="25" t="s">
        <v>44</v>
      </c>
      <c r="BD1573" s="14">
        <f t="shared" si="354"/>
        <v>1210</v>
      </c>
      <c r="BE1573" s="14">
        <f>SUMIFS(BD$4:BD1573,$AU$4:$AU1573,"="&amp;$AU1573,$AY$4:$AY1573,"="&amp;$AY1573)</f>
        <v>5522</v>
      </c>
      <c r="BF1573" s="25" t="s">
        <v>1157</v>
      </c>
      <c r="BG1573" s="14">
        <f t="shared" si="355"/>
        <v>605</v>
      </c>
      <c r="BH1573" s="14">
        <f>SUMIFS(BG$4:BG1573,AU$4:AU1573,"="&amp;AU1573,AY$4:AY1573,"="&amp;AY1573)</f>
        <v>2762</v>
      </c>
      <c r="BI1573" s="25" t="s">
        <v>1158</v>
      </c>
      <c r="BJ1573" s="14">
        <f t="shared" si="356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49"/>
        <v>20</v>
      </c>
      <c r="AV1574" s="14">
        <f t="shared" si="350"/>
        <v>203006</v>
      </c>
      <c r="AW1574" s="14">
        <f t="shared" si="351"/>
        <v>1102030</v>
      </c>
      <c r="AX1574" s="13" t="s">
        <v>1127</v>
      </c>
      <c r="AY1574" s="13">
        <f t="shared" si="357"/>
        <v>6</v>
      </c>
      <c r="AZ1574" s="13" t="s">
        <v>1148</v>
      </c>
      <c r="BA1574" s="14">
        <f t="shared" si="352"/>
        <v>0</v>
      </c>
      <c r="BB1574" s="14" t="str">
        <f t="shared" si="353"/>
        <v>燕青魂珠-6 等级-0</v>
      </c>
      <c r="BC1574" s="25" t="s">
        <v>44</v>
      </c>
      <c r="BD1574" s="14">
        <f t="shared" si="354"/>
        <v>0</v>
      </c>
      <c r="BE1574" s="14">
        <f>SUMIFS(BD$4:BD1574,$AU$4:$AU1574,"="&amp;$AU1574,$AY$4:$AY1574,"="&amp;$AY1574)</f>
        <v>0</v>
      </c>
      <c r="BF1574" s="25" t="s">
        <v>1157</v>
      </c>
      <c r="BG1574" s="14">
        <f t="shared" si="355"/>
        <v>0</v>
      </c>
      <c r="BH1574" s="14">
        <f>SUMIFS(BG$4:BG1574,AU$4:AU1574,"="&amp;AU1574,AY$4:AY1574,"="&amp;AY1574)</f>
        <v>0</v>
      </c>
      <c r="BI1574" s="25" t="s">
        <v>1158</v>
      </c>
      <c r="BJ1574" s="14">
        <f t="shared" si="356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49"/>
        <v>20</v>
      </c>
      <c r="AV1575" s="14">
        <f t="shared" si="350"/>
        <v>203006</v>
      </c>
      <c r="AW1575" s="14">
        <f t="shared" si="351"/>
        <v>1102030</v>
      </c>
      <c r="AX1575" s="13" t="s">
        <v>1127</v>
      </c>
      <c r="AY1575" s="13">
        <f t="shared" si="357"/>
        <v>6</v>
      </c>
      <c r="AZ1575" s="13" t="s">
        <v>1148</v>
      </c>
      <c r="BA1575" s="14">
        <f t="shared" si="352"/>
        <v>1</v>
      </c>
      <c r="BB1575" s="14" t="str">
        <f t="shared" si="353"/>
        <v>燕青魂珠-6 等级-1</v>
      </c>
      <c r="BC1575" s="25" t="s">
        <v>44</v>
      </c>
      <c r="BD1575" s="14">
        <f t="shared" si="354"/>
        <v>198</v>
      </c>
      <c r="BE1575" s="14">
        <f>SUMIFS(BD$4:BD1575,$AU$4:$AU1575,"="&amp;$AU1575,$AY$4:$AY1575,"="&amp;$AY1575)</f>
        <v>198</v>
      </c>
      <c r="BF1575" s="25" t="s">
        <v>1157</v>
      </c>
      <c r="BG1575" s="14">
        <f t="shared" si="355"/>
        <v>99</v>
      </c>
      <c r="BH1575" s="14">
        <f>SUMIFS(BG$4:BG1575,AU$4:AU1575,"="&amp;AU1575,AY$4:AY1575,"="&amp;AY1575)</f>
        <v>99</v>
      </c>
      <c r="BI1575" s="25" t="s">
        <v>1158</v>
      </c>
      <c r="BJ1575" s="14">
        <f t="shared" si="356"/>
        <v>3600</v>
      </c>
      <c r="BK1575" s="14">
        <f>SUMIFS(BJ$4:BJ1575,$AU$4:$AU1575,"="&amp;$AU1575,$AY$4:$AY1575,"="&amp;$AY1575)</f>
        <v>3600</v>
      </c>
    </row>
    <row r="1576" spans="46:63" ht="16.5" x14ac:dyDescent="0.2">
      <c r="AT1576" s="13">
        <v>1573</v>
      </c>
      <c r="AU1576" s="13">
        <f t="shared" si="349"/>
        <v>20</v>
      </c>
      <c r="AV1576" s="14">
        <f t="shared" si="350"/>
        <v>203006</v>
      </c>
      <c r="AW1576" s="14">
        <f t="shared" si="351"/>
        <v>1102030</v>
      </c>
      <c r="AX1576" s="13" t="s">
        <v>1127</v>
      </c>
      <c r="AY1576" s="13">
        <f t="shared" si="357"/>
        <v>6</v>
      </c>
      <c r="AZ1576" s="13" t="s">
        <v>1148</v>
      </c>
      <c r="BA1576" s="14">
        <f t="shared" si="352"/>
        <v>2</v>
      </c>
      <c r="BB1576" s="14" t="str">
        <f t="shared" si="353"/>
        <v>燕青魂珠-6 等级-2</v>
      </c>
      <c r="BC1576" s="25" t="s">
        <v>44</v>
      </c>
      <c r="BD1576" s="14">
        <f t="shared" si="354"/>
        <v>308</v>
      </c>
      <c r="BE1576" s="14">
        <f>SUMIFS(BD$4:BD1576,$AU$4:$AU1576,"="&amp;$AU1576,$AY$4:$AY1576,"="&amp;$AY1576)</f>
        <v>506</v>
      </c>
      <c r="BF1576" s="25" t="s">
        <v>1157</v>
      </c>
      <c r="BG1576" s="14">
        <f t="shared" si="355"/>
        <v>154</v>
      </c>
      <c r="BH1576" s="14">
        <f>SUMIFS(BG$4:BG1576,AU$4:AU1576,"="&amp;AU1576,AY$4:AY1576,"="&amp;AY1576)</f>
        <v>253</v>
      </c>
      <c r="BI1576" s="25" t="s">
        <v>1158</v>
      </c>
      <c r="BJ1576" s="14">
        <f t="shared" si="356"/>
        <v>5600</v>
      </c>
      <c r="BK1576" s="14">
        <f>SUMIFS(BJ$4:BJ1576,$AU$4:$AU1576,"="&amp;$AU1576,$AY$4:$AY1576,"="&amp;$AY1576)</f>
        <v>9200</v>
      </c>
    </row>
    <row r="1577" spans="46:63" ht="16.5" x14ac:dyDescent="0.2">
      <c r="AT1577" s="13">
        <v>1574</v>
      </c>
      <c r="AU1577" s="13">
        <f t="shared" si="349"/>
        <v>20</v>
      </c>
      <c r="AV1577" s="14">
        <f t="shared" si="350"/>
        <v>203006</v>
      </c>
      <c r="AW1577" s="14">
        <f t="shared" si="351"/>
        <v>1102030</v>
      </c>
      <c r="AX1577" s="13" t="s">
        <v>1127</v>
      </c>
      <c r="AY1577" s="13">
        <f t="shared" si="357"/>
        <v>6</v>
      </c>
      <c r="AZ1577" s="13" t="s">
        <v>1148</v>
      </c>
      <c r="BA1577" s="14">
        <f t="shared" si="352"/>
        <v>3</v>
      </c>
      <c r="BB1577" s="14" t="str">
        <f t="shared" si="353"/>
        <v>燕青魂珠-6 等级-3</v>
      </c>
      <c r="BC1577" s="25" t="s">
        <v>44</v>
      </c>
      <c r="BD1577" s="14">
        <f t="shared" si="354"/>
        <v>413</v>
      </c>
      <c r="BE1577" s="14">
        <f>SUMIFS(BD$4:BD1577,$AU$4:$AU1577,"="&amp;$AU1577,$AY$4:$AY1577,"="&amp;$AY1577)</f>
        <v>919</v>
      </c>
      <c r="BF1577" s="25" t="s">
        <v>1157</v>
      </c>
      <c r="BG1577" s="14">
        <f t="shared" si="355"/>
        <v>206</v>
      </c>
      <c r="BH1577" s="14">
        <f>SUMIFS(BG$4:BG1577,AU$4:AU1577,"="&amp;AU1577,AY$4:AY1577,"="&amp;AY1577)</f>
        <v>459</v>
      </c>
      <c r="BI1577" s="25" t="s">
        <v>1158</v>
      </c>
      <c r="BJ1577" s="14">
        <f t="shared" si="356"/>
        <v>7500</v>
      </c>
      <c r="BK1577" s="14">
        <f>SUMIFS(BJ$4:BJ1577,$AU$4:$AU1577,"="&amp;$AU1577,$AY$4:$AY1577,"="&amp;$AY1577)</f>
        <v>16700</v>
      </c>
    </row>
    <row r="1578" spans="46:63" ht="16.5" x14ac:dyDescent="0.2">
      <c r="AT1578" s="13">
        <v>1575</v>
      </c>
      <c r="AU1578" s="13">
        <f t="shared" si="349"/>
        <v>20</v>
      </c>
      <c r="AV1578" s="14">
        <f t="shared" si="350"/>
        <v>203006</v>
      </c>
      <c r="AW1578" s="14">
        <f t="shared" si="351"/>
        <v>1102030</v>
      </c>
      <c r="AX1578" s="13" t="s">
        <v>1127</v>
      </c>
      <c r="AY1578" s="13">
        <f t="shared" si="357"/>
        <v>6</v>
      </c>
      <c r="AZ1578" s="13" t="s">
        <v>1148</v>
      </c>
      <c r="BA1578" s="14">
        <f t="shared" si="352"/>
        <v>4</v>
      </c>
      <c r="BB1578" s="14" t="str">
        <f t="shared" si="353"/>
        <v>燕青魂珠-6 等级-4</v>
      </c>
      <c r="BC1578" s="25" t="s">
        <v>44</v>
      </c>
      <c r="BD1578" s="14">
        <f t="shared" si="354"/>
        <v>616</v>
      </c>
      <c r="BE1578" s="14">
        <f>SUMIFS(BD$4:BD1578,$AU$4:$AU1578,"="&amp;$AU1578,$AY$4:$AY1578,"="&amp;$AY1578)</f>
        <v>1535</v>
      </c>
      <c r="BF1578" s="25" t="s">
        <v>1157</v>
      </c>
      <c r="BG1578" s="14">
        <f t="shared" si="355"/>
        <v>308</v>
      </c>
      <c r="BH1578" s="14">
        <f>SUMIFS(BG$4:BG1578,AU$4:AU1578,"="&amp;AU1578,AY$4:AY1578,"="&amp;AY1578)</f>
        <v>767</v>
      </c>
      <c r="BI1578" s="25" t="s">
        <v>1158</v>
      </c>
      <c r="BJ1578" s="14">
        <f t="shared" si="356"/>
        <v>11200</v>
      </c>
      <c r="BK1578" s="14">
        <f>SUMIFS(BJ$4:BJ1578,$AU$4:$AU1578,"="&amp;$AU1578,$AY$4:$AY1578,"="&amp;$AY1578)</f>
        <v>27900</v>
      </c>
    </row>
    <row r="1579" spans="46:63" ht="16.5" x14ac:dyDescent="0.2">
      <c r="AT1579" s="13">
        <v>1576</v>
      </c>
      <c r="AU1579" s="13">
        <f t="shared" si="349"/>
        <v>20</v>
      </c>
      <c r="AV1579" s="14">
        <f t="shared" si="350"/>
        <v>203006</v>
      </c>
      <c r="AW1579" s="14">
        <f t="shared" si="351"/>
        <v>1102030</v>
      </c>
      <c r="AX1579" s="13" t="s">
        <v>1127</v>
      </c>
      <c r="AY1579" s="13">
        <f t="shared" si="357"/>
        <v>6</v>
      </c>
      <c r="AZ1579" s="13" t="s">
        <v>1148</v>
      </c>
      <c r="BA1579" s="14">
        <f t="shared" si="352"/>
        <v>5</v>
      </c>
      <c r="BB1579" s="14" t="str">
        <f t="shared" si="353"/>
        <v>燕青魂珠-6 等级-5</v>
      </c>
      <c r="BC1579" s="25" t="s">
        <v>44</v>
      </c>
      <c r="BD1579" s="14">
        <f t="shared" si="354"/>
        <v>825</v>
      </c>
      <c r="BE1579" s="14">
        <f>SUMIFS(BD$4:BD1579,$AU$4:$AU1579,"="&amp;$AU1579,$AY$4:$AY1579,"="&amp;$AY1579)</f>
        <v>2360</v>
      </c>
      <c r="BF1579" s="25" t="s">
        <v>1157</v>
      </c>
      <c r="BG1579" s="14">
        <f t="shared" si="355"/>
        <v>413</v>
      </c>
      <c r="BH1579" s="14">
        <f>SUMIFS(BG$4:BG1579,AU$4:AU1579,"="&amp;AU1579,AY$4:AY1579,"="&amp;AY1579)</f>
        <v>1180</v>
      </c>
      <c r="BI1579" s="25" t="s">
        <v>1158</v>
      </c>
      <c r="BJ1579" s="14">
        <f t="shared" si="356"/>
        <v>15000</v>
      </c>
      <c r="BK1579" s="14">
        <f>SUMIFS(BJ$4:BJ1579,$AU$4:$AU1579,"="&amp;$AU1579,$AY$4:$AY1579,"="&amp;$AY1579)</f>
        <v>42900</v>
      </c>
    </row>
    <row r="1580" spans="46:63" ht="16.5" x14ac:dyDescent="0.2">
      <c r="AT1580" s="13">
        <v>1577</v>
      </c>
      <c r="AU1580" s="13">
        <f t="shared" si="349"/>
        <v>20</v>
      </c>
      <c r="AV1580" s="14">
        <f t="shared" si="350"/>
        <v>203006</v>
      </c>
      <c r="AW1580" s="14">
        <f t="shared" si="351"/>
        <v>1102030</v>
      </c>
      <c r="AX1580" s="13" t="s">
        <v>1127</v>
      </c>
      <c r="AY1580" s="13">
        <f t="shared" si="357"/>
        <v>6</v>
      </c>
      <c r="AZ1580" s="13" t="s">
        <v>1148</v>
      </c>
      <c r="BA1580" s="14">
        <f t="shared" si="352"/>
        <v>6</v>
      </c>
      <c r="BB1580" s="14" t="str">
        <f t="shared" si="353"/>
        <v>燕青魂珠-6 等级-6</v>
      </c>
      <c r="BC1580" s="25" t="s">
        <v>44</v>
      </c>
      <c r="BD1580" s="14">
        <f t="shared" si="354"/>
        <v>1045</v>
      </c>
      <c r="BE1580" s="14">
        <f>SUMIFS(BD$4:BD1580,$AU$4:$AU1580,"="&amp;$AU1580,$AY$4:$AY1580,"="&amp;$AY1580)</f>
        <v>3405</v>
      </c>
      <c r="BF1580" s="25" t="s">
        <v>1157</v>
      </c>
      <c r="BG1580" s="14">
        <f t="shared" si="355"/>
        <v>523</v>
      </c>
      <c r="BH1580" s="14">
        <f>SUMIFS(BG$4:BG1580,AU$4:AU1580,"="&amp;AU1580,AY$4:AY1580,"="&amp;AY1580)</f>
        <v>1703</v>
      </c>
      <c r="BI1580" s="25" t="s">
        <v>1158</v>
      </c>
      <c r="BJ1580" s="14">
        <f t="shared" si="356"/>
        <v>19000</v>
      </c>
      <c r="BK1580" s="14">
        <f>SUMIFS(BJ$4:BJ1580,$AU$4:$AU1580,"="&amp;$AU1580,$AY$4:$AY1580,"="&amp;$AY1580)</f>
        <v>61900</v>
      </c>
    </row>
    <row r="1581" spans="46:63" ht="16.5" x14ac:dyDescent="0.2">
      <c r="AT1581" s="13">
        <v>1578</v>
      </c>
      <c r="AU1581" s="13">
        <f t="shared" si="349"/>
        <v>20</v>
      </c>
      <c r="AV1581" s="14">
        <f t="shared" si="350"/>
        <v>203006</v>
      </c>
      <c r="AW1581" s="14">
        <f t="shared" si="351"/>
        <v>1102030</v>
      </c>
      <c r="AX1581" s="13" t="s">
        <v>1127</v>
      </c>
      <c r="AY1581" s="13">
        <f t="shared" si="357"/>
        <v>6</v>
      </c>
      <c r="AZ1581" s="13" t="s">
        <v>1148</v>
      </c>
      <c r="BA1581" s="14">
        <f t="shared" si="352"/>
        <v>7</v>
      </c>
      <c r="BB1581" s="14" t="str">
        <f t="shared" si="353"/>
        <v>燕青魂珠-6 等级-7</v>
      </c>
      <c r="BC1581" s="25" t="s">
        <v>44</v>
      </c>
      <c r="BD1581" s="14">
        <f t="shared" si="354"/>
        <v>1265</v>
      </c>
      <c r="BE1581" s="14">
        <f>SUMIFS(BD$4:BD1581,$AU$4:$AU1581,"="&amp;$AU1581,$AY$4:$AY1581,"="&amp;$AY1581)</f>
        <v>4670</v>
      </c>
      <c r="BF1581" s="25" t="s">
        <v>1157</v>
      </c>
      <c r="BG1581" s="14">
        <f t="shared" si="355"/>
        <v>633</v>
      </c>
      <c r="BH1581" s="14">
        <f>SUMIFS(BG$4:BG1581,AU$4:AU1581,"="&amp;AU1581,AY$4:AY1581,"="&amp;AY1581)</f>
        <v>2336</v>
      </c>
      <c r="BI1581" s="25" t="s">
        <v>1158</v>
      </c>
      <c r="BJ1581" s="14">
        <f t="shared" si="356"/>
        <v>23000</v>
      </c>
      <c r="BK1581" s="14">
        <f>SUMIFS(BJ$4:BJ1581,$AU$4:$AU1581,"="&amp;$AU1581,$AY$4:$AY1581,"="&amp;$AY1581)</f>
        <v>84900</v>
      </c>
    </row>
    <row r="1582" spans="46:63" ht="16.5" x14ac:dyDescent="0.2">
      <c r="AT1582" s="13">
        <v>1579</v>
      </c>
      <c r="AU1582" s="13">
        <f t="shared" si="349"/>
        <v>20</v>
      </c>
      <c r="AV1582" s="14">
        <f t="shared" si="350"/>
        <v>203006</v>
      </c>
      <c r="AW1582" s="14">
        <f t="shared" si="351"/>
        <v>1102030</v>
      </c>
      <c r="AX1582" s="13" t="s">
        <v>1127</v>
      </c>
      <c r="AY1582" s="13">
        <f t="shared" si="357"/>
        <v>6</v>
      </c>
      <c r="AZ1582" s="13" t="s">
        <v>1148</v>
      </c>
      <c r="BA1582" s="14">
        <f t="shared" si="352"/>
        <v>8</v>
      </c>
      <c r="BB1582" s="14" t="str">
        <f t="shared" si="353"/>
        <v>燕青魂珠-6 等级-8</v>
      </c>
      <c r="BC1582" s="25" t="s">
        <v>44</v>
      </c>
      <c r="BD1582" s="14">
        <f t="shared" si="354"/>
        <v>1430</v>
      </c>
      <c r="BE1582" s="14">
        <f>SUMIFS(BD$4:BD1582,$AU$4:$AU1582,"="&amp;$AU1582,$AY$4:$AY1582,"="&amp;$AY1582)</f>
        <v>6100</v>
      </c>
      <c r="BF1582" s="25" t="s">
        <v>1157</v>
      </c>
      <c r="BG1582" s="14">
        <f t="shared" si="355"/>
        <v>715</v>
      </c>
      <c r="BH1582" s="14">
        <f>SUMIFS(BG$4:BG1582,AU$4:AU1582,"="&amp;AU1582,AY$4:AY1582,"="&amp;AY1582)</f>
        <v>3051</v>
      </c>
      <c r="BI1582" s="25" t="s">
        <v>1158</v>
      </c>
      <c r="BJ1582" s="14">
        <f t="shared" si="356"/>
        <v>26000</v>
      </c>
      <c r="BK1582" s="14">
        <f>SUMIFS(BJ$4:BJ1582,$AU$4:$AU1582,"="&amp;$AU1582,$AY$4:$AY1582,"="&amp;$AY1582)</f>
        <v>110900</v>
      </c>
    </row>
    <row r="1583" spans="46:63" ht="16.5" x14ac:dyDescent="0.2">
      <c r="AT1583" s="13">
        <v>1580</v>
      </c>
      <c r="AU1583" s="13">
        <f t="shared" si="349"/>
        <v>20</v>
      </c>
      <c r="AV1583" s="14">
        <f t="shared" si="350"/>
        <v>203006</v>
      </c>
      <c r="AW1583" s="14">
        <f t="shared" si="351"/>
        <v>1102030</v>
      </c>
      <c r="AX1583" s="13" t="s">
        <v>1127</v>
      </c>
      <c r="AY1583" s="13">
        <f t="shared" si="357"/>
        <v>6</v>
      </c>
      <c r="AZ1583" s="13" t="s">
        <v>1148</v>
      </c>
      <c r="BA1583" s="14">
        <f t="shared" si="352"/>
        <v>9</v>
      </c>
      <c r="BB1583" s="14" t="str">
        <f t="shared" si="353"/>
        <v>燕青魂珠-6 等级-9</v>
      </c>
      <c r="BC1583" s="25" t="s">
        <v>44</v>
      </c>
      <c r="BD1583" s="14">
        <f t="shared" si="354"/>
        <v>1650</v>
      </c>
      <c r="BE1583" s="14">
        <f>SUMIFS(BD$4:BD1583,$AU$4:$AU1583,"="&amp;$AU1583,$AY$4:$AY1583,"="&amp;$AY1583)</f>
        <v>7750</v>
      </c>
      <c r="BF1583" s="25" t="s">
        <v>1157</v>
      </c>
      <c r="BG1583" s="14">
        <f t="shared" si="355"/>
        <v>825</v>
      </c>
      <c r="BH1583" s="14">
        <f>SUMIFS(BG$4:BG1583,AU$4:AU1583,"="&amp;AU1583,AY$4:AY1583,"="&amp;AY1583)</f>
        <v>3876</v>
      </c>
      <c r="BI1583" s="25" t="s">
        <v>1158</v>
      </c>
      <c r="BJ1583" s="14">
        <f t="shared" si="356"/>
        <v>30000</v>
      </c>
      <c r="BK1583" s="14">
        <f>SUMIFS(BJ$4:BJ1583,$AU$4:$AU1583,"="&amp;$AU1583,$AY$4:$AY1583,"="&amp;$AY1583)</f>
        <v>140900</v>
      </c>
    </row>
    <row r="1584" spans="46:63" ht="16.5" x14ac:dyDescent="0.2">
      <c r="AT1584" s="13">
        <v>1581</v>
      </c>
      <c r="AU1584" s="13">
        <f t="shared" si="349"/>
        <v>20</v>
      </c>
      <c r="AV1584" s="14">
        <f t="shared" si="350"/>
        <v>203007</v>
      </c>
      <c r="AW1584" s="14">
        <f t="shared" si="351"/>
        <v>1102030</v>
      </c>
      <c r="AX1584" s="13" t="s">
        <v>1127</v>
      </c>
      <c r="AY1584" s="13">
        <f t="shared" si="357"/>
        <v>7</v>
      </c>
      <c r="AZ1584" s="13" t="s">
        <v>1148</v>
      </c>
      <c r="BA1584" s="14">
        <f t="shared" si="352"/>
        <v>0</v>
      </c>
      <c r="BB1584" s="14" t="str">
        <f t="shared" si="353"/>
        <v>燕青魂珠-7 等级-0</v>
      </c>
      <c r="BC1584" s="25" t="s">
        <v>44</v>
      </c>
      <c r="BD1584" s="14">
        <f t="shared" si="354"/>
        <v>0</v>
      </c>
      <c r="BE1584" s="14">
        <f>SUMIFS(BD$4:BD1584,$AU$4:$AU1584,"="&amp;$AU1584,$AY$4:$AY1584,"="&amp;$AY1584)</f>
        <v>0</v>
      </c>
      <c r="BF1584" s="25" t="s">
        <v>1157</v>
      </c>
      <c r="BG1584" s="14">
        <f t="shared" si="355"/>
        <v>0</v>
      </c>
      <c r="BH1584" s="14">
        <f>SUMIFS(BG$4:BG1584,AU$4:AU1584,"="&amp;AU1584,AY$4:AY1584,"="&amp;AY1584)</f>
        <v>0</v>
      </c>
      <c r="BI1584" s="25" t="s">
        <v>1158</v>
      </c>
      <c r="BJ1584" s="14">
        <f t="shared" si="356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49"/>
        <v>20</v>
      </c>
      <c r="AV1585" s="14">
        <f t="shared" si="350"/>
        <v>203007</v>
      </c>
      <c r="AW1585" s="14">
        <f t="shared" si="351"/>
        <v>1102030</v>
      </c>
      <c r="AX1585" s="13" t="s">
        <v>1127</v>
      </c>
      <c r="AY1585" s="13">
        <f t="shared" si="357"/>
        <v>7</v>
      </c>
      <c r="AZ1585" s="13" t="s">
        <v>1148</v>
      </c>
      <c r="BA1585" s="14">
        <f t="shared" si="352"/>
        <v>1</v>
      </c>
      <c r="BB1585" s="14" t="str">
        <f t="shared" si="353"/>
        <v>燕青魂珠-7 等级-1</v>
      </c>
      <c r="BC1585" s="25" t="s">
        <v>44</v>
      </c>
      <c r="BD1585" s="14">
        <f t="shared" si="354"/>
        <v>264</v>
      </c>
      <c r="BE1585" s="14">
        <f>SUMIFS(BD$4:BD1585,$AU$4:$AU1585,"="&amp;$AU1585,$AY$4:$AY1585,"="&amp;$AY1585)</f>
        <v>264</v>
      </c>
      <c r="BF1585" s="25" t="s">
        <v>1157</v>
      </c>
      <c r="BG1585" s="14">
        <f t="shared" si="355"/>
        <v>132</v>
      </c>
      <c r="BH1585" s="14">
        <f>SUMIFS(BG$4:BG1585,AU$4:AU1585,"="&amp;AU1585,AY$4:AY1585,"="&amp;AY1585)</f>
        <v>132</v>
      </c>
      <c r="BI1585" s="25" t="s">
        <v>1158</v>
      </c>
      <c r="BJ1585" s="14">
        <f t="shared" si="356"/>
        <v>4800</v>
      </c>
      <c r="BK1585" s="14">
        <f>SUMIFS(BJ$4:BJ1585,$AU$4:$AU1585,"="&amp;$AU1585,$AY$4:$AY1585,"="&amp;$AY1585)</f>
        <v>4800</v>
      </c>
    </row>
    <row r="1586" spans="46:63" ht="16.5" x14ac:dyDescent="0.2">
      <c r="AT1586" s="13">
        <v>1583</v>
      </c>
      <c r="AU1586" s="13">
        <f t="shared" si="349"/>
        <v>20</v>
      </c>
      <c r="AV1586" s="14">
        <f t="shared" si="350"/>
        <v>203007</v>
      </c>
      <c r="AW1586" s="14">
        <f t="shared" si="351"/>
        <v>1102030</v>
      </c>
      <c r="AX1586" s="13" t="s">
        <v>1127</v>
      </c>
      <c r="AY1586" s="13">
        <f t="shared" si="357"/>
        <v>7</v>
      </c>
      <c r="AZ1586" s="13" t="s">
        <v>1148</v>
      </c>
      <c r="BA1586" s="14">
        <f t="shared" si="352"/>
        <v>2</v>
      </c>
      <c r="BB1586" s="14" t="str">
        <f t="shared" si="353"/>
        <v>燕青魂珠-7 等级-2</v>
      </c>
      <c r="BC1586" s="25" t="s">
        <v>44</v>
      </c>
      <c r="BD1586" s="14">
        <f t="shared" si="354"/>
        <v>396</v>
      </c>
      <c r="BE1586" s="14">
        <f>SUMIFS(BD$4:BD1586,$AU$4:$AU1586,"="&amp;$AU1586,$AY$4:$AY1586,"="&amp;$AY1586)</f>
        <v>660</v>
      </c>
      <c r="BF1586" s="25" t="s">
        <v>1157</v>
      </c>
      <c r="BG1586" s="14">
        <f t="shared" si="355"/>
        <v>198</v>
      </c>
      <c r="BH1586" s="14">
        <f>SUMIFS(BG$4:BG1586,AU$4:AU1586,"="&amp;AU1586,AY$4:AY1586,"="&amp;AY1586)</f>
        <v>330</v>
      </c>
      <c r="BI1586" s="25" t="s">
        <v>1158</v>
      </c>
      <c r="BJ1586" s="14">
        <f t="shared" si="356"/>
        <v>7200</v>
      </c>
      <c r="BK1586" s="14">
        <f>SUMIFS(BJ$4:BJ1586,$AU$4:$AU1586,"="&amp;$AU1586,$AY$4:$AY1586,"="&amp;$AY1586)</f>
        <v>12000</v>
      </c>
    </row>
    <row r="1587" spans="46:63" ht="16.5" x14ac:dyDescent="0.2">
      <c r="AT1587" s="13">
        <v>1584</v>
      </c>
      <c r="AU1587" s="13">
        <f t="shared" si="349"/>
        <v>20</v>
      </c>
      <c r="AV1587" s="14">
        <f t="shared" si="350"/>
        <v>203007</v>
      </c>
      <c r="AW1587" s="14">
        <f t="shared" si="351"/>
        <v>1102030</v>
      </c>
      <c r="AX1587" s="13" t="s">
        <v>1127</v>
      </c>
      <c r="AY1587" s="13">
        <f t="shared" si="357"/>
        <v>7</v>
      </c>
      <c r="AZ1587" s="13" t="s">
        <v>1148</v>
      </c>
      <c r="BA1587" s="14">
        <f t="shared" si="352"/>
        <v>3</v>
      </c>
      <c r="BB1587" s="14" t="str">
        <f t="shared" si="353"/>
        <v>燕青魂珠-7 等级-3</v>
      </c>
      <c r="BC1587" s="25" t="s">
        <v>44</v>
      </c>
      <c r="BD1587" s="14">
        <f t="shared" si="354"/>
        <v>528</v>
      </c>
      <c r="BE1587" s="14">
        <f>SUMIFS(BD$4:BD1587,$AU$4:$AU1587,"="&amp;$AU1587,$AY$4:$AY1587,"="&amp;$AY1587)</f>
        <v>1188</v>
      </c>
      <c r="BF1587" s="25" t="s">
        <v>1157</v>
      </c>
      <c r="BG1587" s="14">
        <f t="shared" si="355"/>
        <v>264</v>
      </c>
      <c r="BH1587" s="14">
        <f>SUMIFS(BG$4:BG1587,AU$4:AU1587,"="&amp;AU1587,AY$4:AY1587,"="&amp;AY1587)</f>
        <v>594</v>
      </c>
      <c r="BI1587" s="25" t="s">
        <v>1158</v>
      </c>
      <c r="BJ1587" s="14">
        <f t="shared" si="356"/>
        <v>9600</v>
      </c>
      <c r="BK1587" s="14">
        <f>SUMIFS(BJ$4:BJ1587,$AU$4:$AU1587,"="&amp;$AU1587,$AY$4:$AY1587,"="&amp;$AY1587)</f>
        <v>21600</v>
      </c>
    </row>
    <row r="1588" spans="46:63" ht="16.5" x14ac:dyDescent="0.2">
      <c r="AT1588" s="13">
        <v>1585</v>
      </c>
      <c r="AU1588" s="13">
        <f t="shared" si="349"/>
        <v>20</v>
      </c>
      <c r="AV1588" s="14">
        <f t="shared" si="350"/>
        <v>203007</v>
      </c>
      <c r="AW1588" s="14">
        <f t="shared" si="351"/>
        <v>1102030</v>
      </c>
      <c r="AX1588" s="13" t="s">
        <v>1127</v>
      </c>
      <c r="AY1588" s="13">
        <f t="shared" si="357"/>
        <v>7</v>
      </c>
      <c r="AZ1588" s="13" t="s">
        <v>1148</v>
      </c>
      <c r="BA1588" s="14">
        <f t="shared" si="352"/>
        <v>4</v>
      </c>
      <c r="BB1588" s="14" t="str">
        <f t="shared" si="353"/>
        <v>燕青魂珠-7 等级-4</v>
      </c>
      <c r="BC1588" s="25" t="s">
        <v>44</v>
      </c>
      <c r="BD1588" s="14">
        <f t="shared" si="354"/>
        <v>792</v>
      </c>
      <c r="BE1588" s="14">
        <f>SUMIFS(BD$4:BD1588,$AU$4:$AU1588,"="&amp;$AU1588,$AY$4:$AY1588,"="&amp;$AY1588)</f>
        <v>1980</v>
      </c>
      <c r="BF1588" s="25" t="s">
        <v>1157</v>
      </c>
      <c r="BG1588" s="14">
        <f t="shared" si="355"/>
        <v>396</v>
      </c>
      <c r="BH1588" s="14">
        <f>SUMIFS(BG$4:BG1588,AU$4:AU1588,"="&amp;AU1588,AY$4:AY1588,"="&amp;AY1588)</f>
        <v>990</v>
      </c>
      <c r="BI1588" s="25" t="s">
        <v>1158</v>
      </c>
      <c r="BJ1588" s="14">
        <f t="shared" si="356"/>
        <v>14400</v>
      </c>
      <c r="BK1588" s="14">
        <f>SUMIFS(BJ$4:BJ1588,$AU$4:$AU1588,"="&amp;$AU1588,$AY$4:$AY1588,"="&amp;$AY1588)</f>
        <v>36000</v>
      </c>
    </row>
    <row r="1589" spans="46:63" ht="16.5" x14ac:dyDescent="0.2">
      <c r="AT1589" s="13">
        <v>1586</v>
      </c>
      <c r="AU1589" s="13">
        <f t="shared" si="349"/>
        <v>20</v>
      </c>
      <c r="AV1589" s="14">
        <f t="shared" si="350"/>
        <v>203007</v>
      </c>
      <c r="AW1589" s="14">
        <f t="shared" si="351"/>
        <v>1102030</v>
      </c>
      <c r="AX1589" s="13" t="s">
        <v>1127</v>
      </c>
      <c r="AY1589" s="13">
        <f t="shared" si="357"/>
        <v>7</v>
      </c>
      <c r="AZ1589" s="13" t="s">
        <v>1148</v>
      </c>
      <c r="BA1589" s="14">
        <f t="shared" si="352"/>
        <v>5</v>
      </c>
      <c r="BB1589" s="14" t="str">
        <f t="shared" si="353"/>
        <v>燕青魂珠-7 等级-5</v>
      </c>
      <c r="BC1589" s="25" t="s">
        <v>44</v>
      </c>
      <c r="BD1589" s="14">
        <f t="shared" si="354"/>
        <v>1056</v>
      </c>
      <c r="BE1589" s="14">
        <f>SUMIFS(BD$4:BD1589,$AU$4:$AU1589,"="&amp;$AU1589,$AY$4:$AY1589,"="&amp;$AY1589)</f>
        <v>3036</v>
      </c>
      <c r="BF1589" s="25" t="s">
        <v>1157</v>
      </c>
      <c r="BG1589" s="14">
        <f t="shared" si="355"/>
        <v>528</v>
      </c>
      <c r="BH1589" s="14">
        <f>SUMIFS(BG$4:BG1589,AU$4:AU1589,"="&amp;AU1589,AY$4:AY1589,"="&amp;AY1589)</f>
        <v>1518</v>
      </c>
      <c r="BI1589" s="25" t="s">
        <v>1158</v>
      </c>
      <c r="BJ1589" s="14">
        <f t="shared" si="356"/>
        <v>19200</v>
      </c>
      <c r="BK1589" s="14">
        <f>SUMIFS(BJ$4:BJ1589,$AU$4:$AU1589,"="&amp;$AU1589,$AY$4:$AY1589,"="&amp;$AY1589)</f>
        <v>55200</v>
      </c>
    </row>
    <row r="1590" spans="46:63" ht="16.5" x14ac:dyDescent="0.2">
      <c r="AT1590" s="13">
        <v>1587</v>
      </c>
      <c r="AU1590" s="13">
        <f t="shared" si="349"/>
        <v>20</v>
      </c>
      <c r="AV1590" s="14">
        <f t="shared" si="350"/>
        <v>203007</v>
      </c>
      <c r="AW1590" s="14">
        <f t="shared" si="351"/>
        <v>1102030</v>
      </c>
      <c r="AX1590" s="13" t="s">
        <v>1127</v>
      </c>
      <c r="AY1590" s="13">
        <f t="shared" si="357"/>
        <v>7</v>
      </c>
      <c r="AZ1590" s="13" t="s">
        <v>1148</v>
      </c>
      <c r="BA1590" s="14">
        <f t="shared" si="352"/>
        <v>6</v>
      </c>
      <c r="BB1590" s="14" t="str">
        <f t="shared" si="353"/>
        <v>燕青魂珠-7 等级-6</v>
      </c>
      <c r="BC1590" s="25" t="s">
        <v>44</v>
      </c>
      <c r="BD1590" s="14">
        <f t="shared" si="354"/>
        <v>1320</v>
      </c>
      <c r="BE1590" s="14">
        <f>SUMIFS(BD$4:BD1590,$AU$4:$AU1590,"="&amp;$AU1590,$AY$4:$AY1590,"="&amp;$AY1590)</f>
        <v>4356</v>
      </c>
      <c r="BF1590" s="25" t="s">
        <v>1157</v>
      </c>
      <c r="BG1590" s="14">
        <f t="shared" si="355"/>
        <v>660</v>
      </c>
      <c r="BH1590" s="14">
        <f>SUMIFS(BG$4:BG1590,AU$4:AU1590,"="&amp;AU1590,AY$4:AY1590,"="&amp;AY1590)</f>
        <v>2178</v>
      </c>
      <c r="BI1590" s="25" t="s">
        <v>1158</v>
      </c>
      <c r="BJ1590" s="14">
        <f t="shared" si="356"/>
        <v>24000</v>
      </c>
      <c r="BK1590" s="14">
        <f>SUMIFS(BJ$4:BJ1590,$AU$4:$AU1590,"="&amp;$AU1590,$AY$4:$AY1590,"="&amp;$AY1590)</f>
        <v>79200</v>
      </c>
    </row>
    <row r="1591" spans="46:63" ht="16.5" x14ac:dyDescent="0.2">
      <c r="AT1591" s="13">
        <v>1588</v>
      </c>
      <c r="AU1591" s="13">
        <f t="shared" si="349"/>
        <v>20</v>
      </c>
      <c r="AV1591" s="14">
        <f t="shared" si="350"/>
        <v>203007</v>
      </c>
      <c r="AW1591" s="14">
        <f t="shared" si="351"/>
        <v>1102030</v>
      </c>
      <c r="AX1591" s="13" t="s">
        <v>1127</v>
      </c>
      <c r="AY1591" s="13">
        <f t="shared" si="357"/>
        <v>7</v>
      </c>
      <c r="AZ1591" s="13" t="s">
        <v>1148</v>
      </c>
      <c r="BA1591" s="14">
        <f t="shared" si="352"/>
        <v>7</v>
      </c>
      <c r="BB1591" s="14" t="str">
        <f t="shared" si="353"/>
        <v>燕青魂珠-7 等级-7</v>
      </c>
      <c r="BC1591" s="25" t="s">
        <v>44</v>
      </c>
      <c r="BD1591" s="14">
        <f t="shared" si="354"/>
        <v>1584</v>
      </c>
      <c r="BE1591" s="14">
        <f>SUMIFS(BD$4:BD1591,$AU$4:$AU1591,"="&amp;$AU1591,$AY$4:$AY1591,"="&amp;$AY1591)</f>
        <v>5940</v>
      </c>
      <c r="BF1591" s="25" t="s">
        <v>1157</v>
      </c>
      <c r="BG1591" s="14">
        <f t="shared" si="355"/>
        <v>792</v>
      </c>
      <c r="BH1591" s="14">
        <f>SUMIFS(BG$4:BG1591,AU$4:AU1591,"="&amp;AU1591,AY$4:AY1591,"="&amp;AY1591)</f>
        <v>2970</v>
      </c>
      <c r="BI1591" s="25" t="s">
        <v>1158</v>
      </c>
      <c r="BJ1591" s="14">
        <f t="shared" si="356"/>
        <v>28800</v>
      </c>
      <c r="BK1591" s="14">
        <f>SUMIFS(BJ$4:BJ1591,$AU$4:$AU1591,"="&amp;$AU1591,$AY$4:$AY1591,"="&amp;$AY1591)</f>
        <v>108000</v>
      </c>
    </row>
    <row r="1592" spans="46:63" ht="16.5" x14ac:dyDescent="0.2">
      <c r="AT1592" s="13">
        <v>1589</v>
      </c>
      <c r="AU1592" s="13">
        <f t="shared" si="349"/>
        <v>20</v>
      </c>
      <c r="AV1592" s="14">
        <f t="shared" si="350"/>
        <v>203007</v>
      </c>
      <c r="AW1592" s="14">
        <f t="shared" si="351"/>
        <v>1102030</v>
      </c>
      <c r="AX1592" s="13" t="s">
        <v>1127</v>
      </c>
      <c r="AY1592" s="13">
        <f t="shared" si="357"/>
        <v>7</v>
      </c>
      <c r="AZ1592" s="13" t="s">
        <v>1148</v>
      </c>
      <c r="BA1592" s="14">
        <f t="shared" si="352"/>
        <v>8</v>
      </c>
      <c r="BB1592" s="14" t="str">
        <f t="shared" si="353"/>
        <v>燕青魂珠-7 等级-8</v>
      </c>
      <c r="BC1592" s="25" t="s">
        <v>44</v>
      </c>
      <c r="BD1592" s="14">
        <f t="shared" si="354"/>
        <v>1848</v>
      </c>
      <c r="BE1592" s="14">
        <f>SUMIFS(BD$4:BD1592,$AU$4:$AU1592,"="&amp;$AU1592,$AY$4:$AY1592,"="&amp;$AY1592)</f>
        <v>7788</v>
      </c>
      <c r="BF1592" s="25" t="s">
        <v>1157</v>
      </c>
      <c r="BG1592" s="14">
        <f t="shared" si="355"/>
        <v>924</v>
      </c>
      <c r="BH1592" s="14">
        <f>SUMIFS(BG$4:BG1592,AU$4:AU1592,"="&amp;AU1592,AY$4:AY1592,"="&amp;AY1592)</f>
        <v>3894</v>
      </c>
      <c r="BI1592" s="25" t="s">
        <v>1158</v>
      </c>
      <c r="BJ1592" s="14">
        <f t="shared" si="356"/>
        <v>33600</v>
      </c>
      <c r="BK1592" s="14">
        <f>SUMIFS(BJ$4:BJ1592,$AU$4:$AU1592,"="&amp;$AU1592,$AY$4:$AY1592,"="&amp;$AY1592)</f>
        <v>141600</v>
      </c>
    </row>
    <row r="1593" spans="46:63" ht="16.5" x14ac:dyDescent="0.2">
      <c r="AT1593" s="13">
        <v>1590</v>
      </c>
      <c r="AU1593" s="13">
        <f t="shared" si="349"/>
        <v>20</v>
      </c>
      <c r="AV1593" s="14">
        <f t="shared" si="350"/>
        <v>203007</v>
      </c>
      <c r="AW1593" s="14">
        <f t="shared" si="351"/>
        <v>1102030</v>
      </c>
      <c r="AX1593" s="13" t="s">
        <v>1127</v>
      </c>
      <c r="AY1593" s="13">
        <f t="shared" si="357"/>
        <v>7</v>
      </c>
      <c r="AZ1593" s="13" t="s">
        <v>1148</v>
      </c>
      <c r="BA1593" s="14">
        <f t="shared" si="352"/>
        <v>9</v>
      </c>
      <c r="BB1593" s="14" t="str">
        <f t="shared" si="353"/>
        <v>燕青魂珠-7 等级-9</v>
      </c>
      <c r="BC1593" s="25" t="s">
        <v>44</v>
      </c>
      <c r="BD1593" s="14">
        <f t="shared" si="354"/>
        <v>2112</v>
      </c>
      <c r="BE1593" s="14">
        <f>SUMIFS(BD$4:BD1593,$AU$4:$AU1593,"="&amp;$AU1593,$AY$4:$AY1593,"="&amp;$AY1593)</f>
        <v>9900</v>
      </c>
      <c r="BF1593" s="25" t="s">
        <v>1157</v>
      </c>
      <c r="BG1593" s="14">
        <f t="shared" si="355"/>
        <v>1056</v>
      </c>
      <c r="BH1593" s="14">
        <f>SUMIFS(BG$4:BG1593,AU$4:AU1593,"="&amp;AU1593,AY$4:AY1593,"="&amp;AY1593)</f>
        <v>4950</v>
      </c>
      <c r="BI1593" s="25" t="s">
        <v>1158</v>
      </c>
      <c r="BJ1593" s="14">
        <f t="shared" si="356"/>
        <v>38400</v>
      </c>
      <c r="BK1593" s="14">
        <f>SUMIFS(BJ$4:BJ1593,$AU$4:$AU1593,"="&amp;$AU1593,$AY$4:$AY1593,"="&amp;$AY1593)</f>
        <v>180000</v>
      </c>
    </row>
    <row r="1594" spans="46:63" ht="16.5" x14ac:dyDescent="0.2">
      <c r="AT1594" s="13">
        <v>1591</v>
      </c>
      <c r="AU1594" s="13">
        <f t="shared" si="349"/>
        <v>20</v>
      </c>
      <c r="AV1594" s="14">
        <f t="shared" si="350"/>
        <v>203008</v>
      </c>
      <c r="AW1594" s="14">
        <f t="shared" si="351"/>
        <v>1102030</v>
      </c>
      <c r="AX1594" s="13" t="s">
        <v>1127</v>
      </c>
      <c r="AY1594" s="13">
        <f t="shared" si="357"/>
        <v>8</v>
      </c>
      <c r="AZ1594" s="13" t="s">
        <v>1148</v>
      </c>
      <c r="BA1594" s="14">
        <f t="shared" si="352"/>
        <v>0</v>
      </c>
      <c r="BB1594" s="14" t="str">
        <f t="shared" si="353"/>
        <v>燕青魂珠-8 等级-0</v>
      </c>
      <c r="BC1594" s="25" t="s">
        <v>44</v>
      </c>
      <c r="BD1594" s="14">
        <f t="shared" si="354"/>
        <v>0</v>
      </c>
      <c r="BE1594" s="14">
        <f>SUMIFS(BD$4:BD1594,$AU$4:$AU1594,"="&amp;$AU1594,$AY$4:$AY1594,"="&amp;$AY1594)</f>
        <v>0</v>
      </c>
      <c r="BF1594" s="25" t="s">
        <v>1157</v>
      </c>
      <c r="BG1594" s="14">
        <f t="shared" si="355"/>
        <v>0</v>
      </c>
      <c r="BH1594" s="14">
        <f>SUMIFS(BG$4:BG1594,AU$4:AU1594,"="&amp;AU1594,AY$4:AY1594,"="&amp;AY1594)</f>
        <v>0</v>
      </c>
      <c r="BI1594" s="25" t="s">
        <v>1158</v>
      </c>
      <c r="BJ1594" s="14">
        <f t="shared" si="356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49"/>
        <v>20</v>
      </c>
      <c r="AV1595" s="14">
        <f t="shared" si="350"/>
        <v>203008</v>
      </c>
      <c r="AW1595" s="14">
        <f t="shared" si="351"/>
        <v>1102030</v>
      </c>
      <c r="AX1595" s="13" t="s">
        <v>1127</v>
      </c>
      <c r="AY1595" s="13">
        <f t="shared" si="357"/>
        <v>8</v>
      </c>
      <c r="AZ1595" s="13" t="s">
        <v>1148</v>
      </c>
      <c r="BA1595" s="14">
        <f t="shared" si="352"/>
        <v>1</v>
      </c>
      <c r="BB1595" s="14" t="str">
        <f t="shared" si="353"/>
        <v>燕青魂珠-8 等级-1</v>
      </c>
      <c r="BC1595" s="25" t="s">
        <v>44</v>
      </c>
      <c r="BD1595" s="14">
        <f t="shared" si="354"/>
        <v>352</v>
      </c>
      <c r="BE1595" s="14">
        <f>SUMIFS(BD$4:BD1595,$AU$4:$AU1595,"="&amp;$AU1595,$AY$4:$AY1595,"="&amp;$AY1595)</f>
        <v>352</v>
      </c>
      <c r="BF1595" s="25" t="s">
        <v>1157</v>
      </c>
      <c r="BG1595" s="14">
        <f t="shared" si="355"/>
        <v>176</v>
      </c>
      <c r="BH1595" s="14">
        <f>SUMIFS(BG$4:BG1595,AU$4:AU1595,"="&amp;AU1595,AY$4:AY1595,"="&amp;AY1595)</f>
        <v>176</v>
      </c>
      <c r="BI1595" s="25" t="s">
        <v>1158</v>
      </c>
      <c r="BJ1595" s="14">
        <f t="shared" si="356"/>
        <v>6400</v>
      </c>
      <c r="BK1595" s="14">
        <f>SUMIFS(BJ$4:BJ1595,$AU$4:$AU1595,"="&amp;$AU1595,$AY$4:$AY1595,"="&amp;$AY1595)</f>
        <v>6400</v>
      </c>
    </row>
    <row r="1596" spans="46:63" ht="16.5" x14ac:dyDescent="0.2">
      <c r="AT1596" s="13">
        <v>1593</v>
      </c>
      <c r="AU1596" s="13">
        <f t="shared" si="349"/>
        <v>20</v>
      </c>
      <c r="AV1596" s="14">
        <f t="shared" si="350"/>
        <v>203008</v>
      </c>
      <c r="AW1596" s="14">
        <f t="shared" si="351"/>
        <v>1102030</v>
      </c>
      <c r="AX1596" s="13" t="s">
        <v>1127</v>
      </c>
      <c r="AY1596" s="13">
        <f t="shared" si="357"/>
        <v>8</v>
      </c>
      <c r="AZ1596" s="13" t="s">
        <v>1148</v>
      </c>
      <c r="BA1596" s="14">
        <f t="shared" si="352"/>
        <v>2</v>
      </c>
      <c r="BB1596" s="14" t="str">
        <f t="shared" si="353"/>
        <v>燕青魂珠-8 等级-2</v>
      </c>
      <c r="BC1596" s="25" t="s">
        <v>44</v>
      </c>
      <c r="BD1596" s="14">
        <f t="shared" si="354"/>
        <v>528</v>
      </c>
      <c r="BE1596" s="14">
        <f>SUMIFS(BD$4:BD1596,$AU$4:$AU1596,"="&amp;$AU1596,$AY$4:$AY1596,"="&amp;$AY1596)</f>
        <v>880</v>
      </c>
      <c r="BF1596" s="25" t="s">
        <v>1157</v>
      </c>
      <c r="BG1596" s="14">
        <f t="shared" si="355"/>
        <v>264</v>
      </c>
      <c r="BH1596" s="14">
        <f>SUMIFS(BG$4:BG1596,AU$4:AU1596,"="&amp;AU1596,AY$4:AY1596,"="&amp;AY1596)</f>
        <v>440</v>
      </c>
      <c r="BI1596" s="25" t="s">
        <v>1158</v>
      </c>
      <c r="BJ1596" s="14">
        <f t="shared" si="356"/>
        <v>9600</v>
      </c>
      <c r="BK1596" s="14">
        <f>SUMIFS(BJ$4:BJ1596,$AU$4:$AU1596,"="&amp;$AU1596,$AY$4:$AY1596,"="&amp;$AY1596)</f>
        <v>16000</v>
      </c>
    </row>
    <row r="1597" spans="46:63" ht="16.5" x14ac:dyDescent="0.2">
      <c r="AT1597" s="13">
        <v>1594</v>
      </c>
      <c r="AU1597" s="13">
        <f t="shared" si="349"/>
        <v>20</v>
      </c>
      <c r="AV1597" s="14">
        <f t="shared" si="350"/>
        <v>203008</v>
      </c>
      <c r="AW1597" s="14">
        <f t="shared" si="351"/>
        <v>1102030</v>
      </c>
      <c r="AX1597" s="13" t="s">
        <v>1127</v>
      </c>
      <c r="AY1597" s="13">
        <f t="shared" si="357"/>
        <v>8</v>
      </c>
      <c r="AZ1597" s="13" t="s">
        <v>1148</v>
      </c>
      <c r="BA1597" s="14">
        <f t="shared" si="352"/>
        <v>3</v>
      </c>
      <c r="BB1597" s="14" t="str">
        <f t="shared" si="353"/>
        <v>燕青魂珠-8 等级-3</v>
      </c>
      <c r="BC1597" s="25" t="s">
        <v>44</v>
      </c>
      <c r="BD1597" s="14">
        <f t="shared" si="354"/>
        <v>704</v>
      </c>
      <c r="BE1597" s="14">
        <f>SUMIFS(BD$4:BD1597,$AU$4:$AU1597,"="&amp;$AU1597,$AY$4:$AY1597,"="&amp;$AY1597)</f>
        <v>1584</v>
      </c>
      <c r="BF1597" s="25" t="s">
        <v>1157</v>
      </c>
      <c r="BG1597" s="14">
        <f t="shared" si="355"/>
        <v>352</v>
      </c>
      <c r="BH1597" s="14">
        <f>SUMIFS(BG$4:BG1597,AU$4:AU1597,"="&amp;AU1597,AY$4:AY1597,"="&amp;AY1597)</f>
        <v>792</v>
      </c>
      <c r="BI1597" s="25" t="s">
        <v>1158</v>
      </c>
      <c r="BJ1597" s="14">
        <f t="shared" si="356"/>
        <v>12800</v>
      </c>
      <c r="BK1597" s="14">
        <f>SUMIFS(BJ$4:BJ1597,$AU$4:$AU1597,"="&amp;$AU1597,$AY$4:$AY1597,"="&amp;$AY1597)</f>
        <v>28800</v>
      </c>
    </row>
    <row r="1598" spans="46:63" ht="16.5" x14ac:dyDescent="0.2">
      <c r="AT1598" s="13">
        <v>1595</v>
      </c>
      <c r="AU1598" s="13">
        <f t="shared" si="349"/>
        <v>20</v>
      </c>
      <c r="AV1598" s="14">
        <f t="shared" si="350"/>
        <v>203008</v>
      </c>
      <c r="AW1598" s="14">
        <f t="shared" si="351"/>
        <v>1102030</v>
      </c>
      <c r="AX1598" s="13" t="s">
        <v>1127</v>
      </c>
      <c r="AY1598" s="13">
        <f t="shared" si="357"/>
        <v>8</v>
      </c>
      <c r="AZ1598" s="13" t="s">
        <v>1148</v>
      </c>
      <c r="BA1598" s="14">
        <f t="shared" si="352"/>
        <v>4</v>
      </c>
      <c r="BB1598" s="14" t="str">
        <f t="shared" si="353"/>
        <v>燕青魂珠-8 等级-4</v>
      </c>
      <c r="BC1598" s="25" t="s">
        <v>44</v>
      </c>
      <c r="BD1598" s="14">
        <f t="shared" si="354"/>
        <v>1056</v>
      </c>
      <c r="BE1598" s="14">
        <f>SUMIFS(BD$4:BD1598,$AU$4:$AU1598,"="&amp;$AU1598,$AY$4:$AY1598,"="&amp;$AY1598)</f>
        <v>2640</v>
      </c>
      <c r="BF1598" s="25" t="s">
        <v>1157</v>
      </c>
      <c r="BG1598" s="14">
        <f t="shared" si="355"/>
        <v>528</v>
      </c>
      <c r="BH1598" s="14">
        <f>SUMIFS(BG$4:BG1598,AU$4:AU1598,"="&amp;AU1598,AY$4:AY1598,"="&amp;AY1598)</f>
        <v>1320</v>
      </c>
      <c r="BI1598" s="25" t="s">
        <v>1158</v>
      </c>
      <c r="BJ1598" s="14">
        <f t="shared" si="356"/>
        <v>19200</v>
      </c>
      <c r="BK1598" s="14">
        <f>SUMIFS(BJ$4:BJ1598,$AU$4:$AU1598,"="&amp;$AU1598,$AY$4:$AY1598,"="&amp;$AY1598)</f>
        <v>48000</v>
      </c>
    </row>
    <row r="1599" spans="46:63" ht="16.5" x14ac:dyDescent="0.2">
      <c r="AT1599" s="13">
        <v>1596</v>
      </c>
      <c r="AU1599" s="13">
        <f t="shared" si="349"/>
        <v>20</v>
      </c>
      <c r="AV1599" s="14">
        <f t="shared" si="350"/>
        <v>203008</v>
      </c>
      <c r="AW1599" s="14">
        <f t="shared" si="351"/>
        <v>1102030</v>
      </c>
      <c r="AX1599" s="13" t="s">
        <v>1127</v>
      </c>
      <c r="AY1599" s="13">
        <f t="shared" si="357"/>
        <v>8</v>
      </c>
      <c r="AZ1599" s="13" t="s">
        <v>1148</v>
      </c>
      <c r="BA1599" s="14">
        <f t="shared" si="352"/>
        <v>5</v>
      </c>
      <c r="BB1599" s="14" t="str">
        <f t="shared" si="353"/>
        <v>燕青魂珠-8 等级-5</v>
      </c>
      <c r="BC1599" s="25" t="s">
        <v>44</v>
      </c>
      <c r="BD1599" s="14">
        <f t="shared" si="354"/>
        <v>1408</v>
      </c>
      <c r="BE1599" s="14">
        <f>SUMIFS(BD$4:BD1599,$AU$4:$AU1599,"="&amp;$AU1599,$AY$4:$AY1599,"="&amp;$AY1599)</f>
        <v>4048</v>
      </c>
      <c r="BF1599" s="25" t="s">
        <v>1157</v>
      </c>
      <c r="BG1599" s="14">
        <f t="shared" si="355"/>
        <v>704</v>
      </c>
      <c r="BH1599" s="14">
        <f>SUMIFS(BG$4:BG1599,AU$4:AU1599,"="&amp;AU1599,AY$4:AY1599,"="&amp;AY1599)</f>
        <v>2024</v>
      </c>
      <c r="BI1599" s="25" t="s">
        <v>1158</v>
      </c>
      <c r="BJ1599" s="14">
        <f t="shared" si="356"/>
        <v>25600</v>
      </c>
      <c r="BK1599" s="14">
        <f>SUMIFS(BJ$4:BJ1599,$AU$4:$AU1599,"="&amp;$AU1599,$AY$4:$AY1599,"="&amp;$AY1599)</f>
        <v>73600</v>
      </c>
    </row>
    <row r="1600" spans="46:63" ht="16.5" x14ac:dyDescent="0.2">
      <c r="AT1600" s="13">
        <v>1597</v>
      </c>
      <c r="AU1600" s="13">
        <f t="shared" si="349"/>
        <v>20</v>
      </c>
      <c r="AV1600" s="14">
        <f t="shared" si="350"/>
        <v>203008</v>
      </c>
      <c r="AW1600" s="14">
        <f t="shared" si="351"/>
        <v>1102030</v>
      </c>
      <c r="AX1600" s="13" t="s">
        <v>1127</v>
      </c>
      <c r="AY1600" s="13">
        <f t="shared" si="357"/>
        <v>8</v>
      </c>
      <c r="AZ1600" s="13" t="s">
        <v>1148</v>
      </c>
      <c r="BA1600" s="14">
        <f t="shared" si="352"/>
        <v>6</v>
      </c>
      <c r="BB1600" s="14" t="str">
        <f t="shared" si="353"/>
        <v>燕青魂珠-8 等级-6</v>
      </c>
      <c r="BC1600" s="25" t="s">
        <v>44</v>
      </c>
      <c r="BD1600" s="14">
        <f t="shared" si="354"/>
        <v>1760</v>
      </c>
      <c r="BE1600" s="14">
        <f>SUMIFS(BD$4:BD1600,$AU$4:$AU1600,"="&amp;$AU1600,$AY$4:$AY1600,"="&amp;$AY1600)</f>
        <v>5808</v>
      </c>
      <c r="BF1600" s="25" t="s">
        <v>1157</v>
      </c>
      <c r="BG1600" s="14">
        <f t="shared" si="355"/>
        <v>880</v>
      </c>
      <c r="BH1600" s="14">
        <f>SUMIFS(BG$4:BG1600,AU$4:AU1600,"="&amp;AU1600,AY$4:AY1600,"="&amp;AY1600)</f>
        <v>2904</v>
      </c>
      <c r="BI1600" s="25" t="s">
        <v>1158</v>
      </c>
      <c r="BJ1600" s="14">
        <f t="shared" si="356"/>
        <v>32000</v>
      </c>
      <c r="BK1600" s="14">
        <f>SUMIFS(BJ$4:BJ1600,$AU$4:$AU1600,"="&amp;$AU1600,$AY$4:$AY1600,"="&amp;$AY1600)</f>
        <v>105600</v>
      </c>
    </row>
    <row r="1601" spans="46:63" ht="16.5" x14ac:dyDescent="0.2">
      <c r="AT1601" s="13">
        <v>1598</v>
      </c>
      <c r="AU1601" s="13">
        <f t="shared" si="349"/>
        <v>20</v>
      </c>
      <c r="AV1601" s="14">
        <f t="shared" si="350"/>
        <v>203008</v>
      </c>
      <c r="AW1601" s="14">
        <f t="shared" si="351"/>
        <v>1102030</v>
      </c>
      <c r="AX1601" s="13" t="s">
        <v>1127</v>
      </c>
      <c r="AY1601" s="13">
        <f t="shared" si="357"/>
        <v>8</v>
      </c>
      <c r="AZ1601" s="13" t="s">
        <v>1148</v>
      </c>
      <c r="BA1601" s="14">
        <f t="shared" si="352"/>
        <v>7</v>
      </c>
      <c r="BB1601" s="14" t="str">
        <f t="shared" si="353"/>
        <v>燕青魂珠-8 等级-7</v>
      </c>
      <c r="BC1601" s="25" t="s">
        <v>44</v>
      </c>
      <c r="BD1601" s="14">
        <f t="shared" si="354"/>
        <v>2112</v>
      </c>
      <c r="BE1601" s="14">
        <f>SUMIFS(BD$4:BD1601,$AU$4:$AU1601,"="&amp;$AU1601,$AY$4:$AY1601,"="&amp;$AY1601)</f>
        <v>7920</v>
      </c>
      <c r="BF1601" s="25" t="s">
        <v>1157</v>
      </c>
      <c r="BG1601" s="14">
        <f t="shared" si="355"/>
        <v>1056</v>
      </c>
      <c r="BH1601" s="14">
        <f>SUMIFS(BG$4:BG1601,AU$4:AU1601,"="&amp;AU1601,AY$4:AY1601,"="&amp;AY1601)</f>
        <v>3960</v>
      </c>
      <c r="BI1601" s="25" t="s">
        <v>1158</v>
      </c>
      <c r="BJ1601" s="14">
        <f t="shared" si="356"/>
        <v>38400</v>
      </c>
      <c r="BK1601" s="14">
        <f>SUMIFS(BJ$4:BJ1601,$AU$4:$AU1601,"="&amp;$AU1601,$AY$4:$AY1601,"="&amp;$AY1601)</f>
        <v>144000</v>
      </c>
    </row>
    <row r="1602" spans="46:63" ht="16.5" x14ac:dyDescent="0.2">
      <c r="AT1602" s="13">
        <v>1599</v>
      </c>
      <c r="AU1602" s="13">
        <f t="shared" si="349"/>
        <v>20</v>
      </c>
      <c r="AV1602" s="14">
        <f t="shared" si="350"/>
        <v>203008</v>
      </c>
      <c r="AW1602" s="14">
        <f t="shared" si="351"/>
        <v>1102030</v>
      </c>
      <c r="AX1602" s="13" t="s">
        <v>1127</v>
      </c>
      <c r="AY1602" s="13">
        <f t="shared" si="357"/>
        <v>8</v>
      </c>
      <c r="AZ1602" s="13" t="s">
        <v>1148</v>
      </c>
      <c r="BA1602" s="14">
        <f t="shared" si="352"/>
        <v>8</v>
      </c>
      <c r="BB1602" s="14" t="str">
        <f t="shared" si="353"/>
        <v>燕青魂珠-8 等级-8</v>
      </c>
      <c r="BC1602" s="25" t="s">
        <v>44</v>
      </c>
      <c r="BD1602" s="14">
        <f t="shared" si="354"/>
        <v>2464</v>
      </c>
      <c r="BE1602" s="14">
        <f>SUMIFS(BD$4:BD1602,$AU$4:$AU1602,"="&amp;$AU1602,$AY$4:$AY1602,"="&amp;$AY1602)</f>
        <v>10384</v>
      </c>
      <c r="BF1602" s="25" t="s">
        <v>1157</v>
      </c>
      <c r="BG1602" s="14">
        <f t="shared" si="355"/>
        <v>1232</v>
      </c>
      <c r="BH1602" s="14">
        <f>SUMIFS(BG$4:BG1602,AU$4:AU1602,"="&amp;AU1602,AY$4:AY1602,"="&amp;AY1602)</f>
        <v>5192</v>
      </c>
      <c r="BI1602" s="25" t="s">
        <v>1158</v>
      </c>
      <c r="BJ1602" s="14">
        <f t="shared" si="356"/>
        <v>44800</v>
      </c>
      <c r="BK1602" s="14">
        <f>SUMIFS(BJ$4:BJ1602,$AU$4:$AU1602,"="&amp;$AU1602,$AY$4:$AY1602,"="&amp;$AY1602)</f>
        <v>188800</v>
      </c>
    </row>
    <row r="1603" spans="46:63" ht="16.5" x14ac:dyDescent="0.2">
      <c r="AT1603" s="13">
        <v>1600</v>
      </c>
      <c r="AU1603" s="13">
        <f t="shared" si="349"/>
        <v>20</v>
      </c>
      <c r="AV1603" s="14">
        <f t="shared" si="350"/>
        <v>203008</v>
      </c>
      <c r="AW1603" s="14">
        <f t="shared" si="351"/>
        <v>1102030</v>
      </c>
      <c r="AX1603" s="13" t="s">
        <v>1127</v>
      </c>
      <c r="AY1603" s="13">
        <f t="shared" si="357"/>
        <v>8</v>
      </c>
      <c r="AZ1603" s="13" t="s">
        <v>1148</v>
      </c>
      <c r="BA1603" s="14">
        <f t="shared" si="352"/>
        <v>9</v>
      </c>
      <c r="BB1603" s="14" t="str">
        <f t="shared" si="353"/>
        <v>燕青魂珠-8 等级-9</v>
      </c>
      <c r="BC1603" s="25" t="s">
        <v>44</v>
      </c>
      <c r="BD1603" s="14">
        <f t="shared" si="354"/>
        <v>2816</v>
      </c>
      <c r="BE1603" s="14">
        <f>SUMIFS(BD$4:BD1603,$AU$4:$AU1603,"="&amp;$AU1603,$AY$4:$AY1603,"="&amp;$AY1603)</f>
        <v>13200</v>
      </c>
      <c r="BF1603" s="25" t="s">
        <v>1157</v>
      </c>
      <c r="BG1603" s="14">
        <f t="shared" si="355"/>
        <v>1408</v>
      </c>
      <c r="BH1603" s="14">
        <f>SUMIFS(BG$4:BG1603,AU$4:AU1603,"="&amp;AU1603,AY$4:AY1603,"="&amp;AY1603)</f>
        <v>6600</v>
      </c>
      <c r="BI1603" s="25" t="s">
        <v>1158</v>
      </c>
      <c r="BJ1603" s="14">
        <f t="shared" si="356"/>
        <v>51200</v>
      </c>
      <c r="BK1603" s="14">
        <f>SUMIFS(BJ$4:BJ1603,$AU$4:$AU1603,"="&amp;$AU1603,$AY$4:$AY1603,"="&amp;$AY1603)</f>
        <v>240000</v>
      </c>
    </row>
    <row r="1604" spans="46:63" ht="16.5" x14ac:dyDescent="0.2">
      <c r="AT1604" s="13">
        <v>1601</v>
      </c>
      <c r="AU1604" s="13">
        <f t="shared" si="349"/>
        <v>21</v>
      </c>
      <c r="AV1604" s="14">
        <f t="shared" si="350"/>
        <v>203101</v>
      </c>
      <c r="AW1604" s="14">
        <f t="shared" si="351"/>
        <v>1102031</v>
      </c>
      <c r="AX1604" s="13" t="s">
        <v>1127</v>
      </c>
      <c r="AY1604" s="13">
        <f t="shared" si="357"/>
        <v>1</v>
      </c>
      <c r="AZ1604" s="13" t="s">
        <v>1148</v>
      </c>
      <c r="BA1604" s="14">
        <f t="shared" si="352"/>
        <v>0</v>
      </c>
      <c r="BB1604" s="14" t="str">
        <f t="shared" si="353"/>
        <v>秦琼魂珠-1 等级-0</v>
      </c>
      <c r="BC1604" s="25" t="s">
        <v>44</v>
      </c>
      <c r="BD1604" s="14">
        <f t="shared" si="354"/>
        <v>0</v>
      </c>
      <c r="BE1604" s="14">
        <f>SUMIFS(BD$4:BD1604,$AU$4:$AU1604,"="&amp;$AU1604,$AY$4:$AY1604,"="&amp;$AY1604)</f>
        <v>0</v>
      </c>
      <c r="BF1604" s="25" t="s">
        <v>1157</v>
      </c>
      <c r="BG1604" s="14">
        <f t="shared" si="355"/>
        <v>0</v>
      </c>
      <c r="BH1604" s="14">
        <f>SUMIFS(BG$4:BG1604,AU$4:AU1604,"="&amp;AU1604,AY$4:AY1604,"="&amp;AY1604)</f>
        <v>0</v>
      </c>
      <c r="BI1604" s="25" t="s">
        <v>1158</v>
      </c>
      <c r="BJ1604" s="14">
        <f t="shared" si="356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58">INT((AT1605-1)/80)+1</f>
        <v>21</v>
      </c>
      <c r="AV1605" s="14">
        <f t="shared" ref="AV1605:AV1668" si="359">INDEX($AJ$4:$AJ$203,(AU1605-1)*8+AY1605)</f>
        <v>203101</v>
      </c>
      <c r="AW1605" s="14">
        <f t="shared" ref="AW1605:AW1668" si="360">INDEX($W$4:$W$28,AU1605)</f>
        <v>1102031</v>
      </c>
      <c r="AX1605" s="13" t="s">
        <v>1127</v>
      </c>
      <c r="AY1605" s="13">
        <f t="shared" si="357"/>
        <v>1</v>
      </c>
      <c r="AZ1605" s="13" t="s">
        <v>1148</v>
      </c>
      <c r="BA1605" s="14">
        <f t="shared" ref="BA1605:BA1668" si="361">AT1605-(AU1605-1)*80-(AY1605-1)*10-1</f>
        <v>1</v>
      </c>
      <c r="BB1605" s="14" t="str">
        <f t="shared" ref="BB1605:BB1668" si="362">INDEX($X$4:$X$28,AU1605)&amp;"魂珠-"&amp;AY1605&amp;" 等级-"&amp;BA1605</f>
        <v>秦琼魂珠-1 等级-1</v>
      </c>
      <c r="BC1605" s="25" t="s">
        <v>44</v>
      </c>
      <c r="BD1605" s="14">
        <f t="shared" ref="BD1605:BD1668" si="363">ROUND(INDEX(Q$4:Q$83,($AY1605-1)*10+$BA1605+1)*INDEX(AC$4:AC$28,$AU1605),0)</f>
        <v>48</v>
      </c>
      <c r="BE1605" s="14">
        <f>SUMIFS(BD$4:BD1605,$AU$4:$AU1605,"="&amp;$AU1605,$AY$4:$AY1605,"="&amp;$AY1605)</f>
        <v>48</v>
      </c>
      <c r="BF1605" s="25" t="s">
        <v>1157</v>
      </c>
      <c r="BG1605" s="14">
        <f t="shared" ref="BG1605:BG1668" si="364">ROUND(INDEX(R$4:R$83,($AY1605-1)*10+$BA1605+1)*INDEX(AD$4:AD$28,$AU1605),0)</f>
        <v>24</v>
      </c>
      <c r="BH1605" s="14">
        <f>SUMIFS(BG$4:BG1605,AU$4:AU1605,"="&amp;AU1605,AY$4:AY1605,"="&amp;AY1605)</f>
        <v>24</v>
      </c>
      <c r="BI1605" s="25" t="s">
        <v>1158</v>
      </c>
      <c r="BJ1605" s="14">
        <f t="shared" ref="BJ1605:BJ1668" si="365">ROUND(INDEX(S$4:S$83,($AY1605-1)*10+$BA1605+1)*INDEX(AE$4:AE$28,$AU1605),0)</f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58"/>
        <v>21</v>
      </c>
      <c r="AV1606" s="14">
        <f t="shared" si="359"/>
        <v>203101</v>
      </c>
      <c r="AW1606" s="14">
        <f t="shared" si="360"/>
        <v>1102031</v>
      </c>
      <c r="AX1606" s="13" t="s">
        <v>1127</v>
      </c>
      <c r="AY1606" s="13">
        <f t="shared" ref="AY1606:AY1636" si="366">INT(((AT1606-(AU1606-1)*80)-1)/10)+1</f>
        <v>1</v>
      </c>
      <c r="AZ1606" s="13" t="s">
        <v>1148</v>
      </c>
      <c r="BA1606" s="14">
        <f t="shared" si="361"/>
        <v>2</v>
      </c>
      <c r="BB1606" s="14" t="str">
        <f t="shared" si="362"/>
        <v>秦琼魂珠-1 等级-2</v>
      </c>
      <c r="BC1606" s="25" t="s">
        <v>44</v>
      </c>
      <c r="BD1606" s="14">
        <f t="shared" si="363"/>
        <v>72</v>
      </c>
      <c r="BE1606" s="14">
        <f>SUMIFS(BD$4:BD1606,$AU$4:$AU1606,"="&amp;$AU1606,$AY$4:$AY1606,"="&amp;$AY1606)</f>
        <v>120</v>
      </c>
      <c r="BF1606" s="25" t="s">
        <v>1157</v>
      </c>
      <c r="BG1606" s="14">
        <f t="shared" si="364"/>
        <v>36</v>
      </c>
      <c r="BH1606" s="14">
        <f>SUMIFS(BG$4:BG1606,AU$4:AU1606,"="&amp;AU1606,AY$4:AY1606,"="&amp;AY1606)</f>
        <v>60</v>
      </c>
      <c r="BI1606" s="25" t="s">
        <v>1158</v>
      </c>
      <c r="BJ1606" s="14">
        <f t="shared" si="365"/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58"/>
        <v>21</v>
      </c>
      <c r="AV1607" s="14">
        <f t="shared" si="359"/>
        <v>203101</v>
      </c>
      <c r="AW1607" s="14">
        <f t="shared" si="360"/>
        <v>1102031</v>
      </c>
      <c r="AX1607" s="13" t="s">
        <v>1127</v>
      </c>
      <c r="AY1607" s="13">
        <f t="shared" si="366"/>
        <v>1</v>
      </c>
      <c r="AZ1607" s="13" t="s">
        <v>1148</v>
      </c>
      <c r="BA1607" s="14">
        <f t="shared" si="361"/>
        <v>3</v>
      </c>
      <c r="BB1607" s="14" t="str">
        <f t="shared" si="362"/>
        <v>秦琼魂珠-1 等级-3</v>
      </c>
      <c r="BC1607" s="25" t="s">
        <v>44</v>
      </c>
      <c r="BD1607" s="14">
        <f t="shared" si="363"/>
        <v>96</v>
      </c>
      <c r="BE1607" s="14">
        <f>SUMIFS(BD$4:BD1607,$AU$4:$AU1607,"="&amp;$AU1607,$AY$4:$AY1607,"="&amp;$AY1607)</f>
        <v>216</v>
      </c>
      <c r="BF1607" s="25" t="s">
        <v>1157</v>
      </c>
      <c r="BG1607" s="14">
        <f t="shared" si="364"/>
        <v>48</v>
      </c>
      <c r="BH1607" s="14">
        <f>SUMIFS(BG$4:BG1607,AU$4:AU1607,"="&amp;AU1607,AY$4:AY1607,"="&amp;AY1607)</f>
        <v>108</v>
      </c>
      <c r="BI1607" s="25" t="s">
        <v>1158</v>
      </c>
      <c r="BJ1607" s="14">
        <f t="shared" si="365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58"/>
        <v>21</v>
      </c>
      <c r="AV1608" s="14">
        <f t="shared" si="359"/>
        <v>203101</v>
      </c>
      <c r="AW1608" s="14">
        <f t="shared" si="360"/>
        <v>1102031</v>
      </c>
      <c r="AX1608" s="13" t="s">
        <v>1127</v>
      </c>
      <c r="AY1608" s="13">
        <f t="shared" si="366"/>
        <v>1</v>
      </c>
      <c r="AZ1608" s="13" t="s">
        <v>1148</v>
      </c>
      <c r="BA1608" s="14">
        <f t="shared" si="361"/>
        <v>4</v>
      </c>
      <c r="BB1608" s="14" t="str">
        <f t="shared" si="362"/>
        <v>秦琼魂珠-1 等级-4</v>
      </c>
      <c r="BC1608" s="25" t="s">
        <v>44</v>
      </c>
      <c r="BD1608" s="14">
        <f t="shared" si="363"/>
        <v>144</v>
      </c>
      <c r="BE1608" s="14">
        <f>SUMIFS(BD$4:BD1608,$AU$4:$AU1608,"="&amp;$AU1608,$AY$4:$AY1608,"="&amp;$AY1608)</f>
        <v>360</v>
      </c>
      <c r="BF1608" s="25" t="s">
        <v>1157</v>
      </c>
      <c r="BG1608" s="14">
        <f t="shared" si="364"/>
        <v>72</v>
      </c>
      <c r="BH1608" s="14">
        <f>SUMIFS(BG$4:BG1608,AU$4:AU1608,"="&amp;AU1608,AY$4:AY1608,"="&amp;AY1608)</f>
        <v>180</v>
      </c>
      <c r="BI1608" s="25" t="s">
        <v>1158</v>
      </c>
      <c r="BJ1608" s="14">
        <f t="shared" si="365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58"/>
        <v>21</v>
      </c>
      <c r="AV1609" s="14">
        <f t="shared" si="359"/>
        <v>203101</v>
      </c>
      <c r="AW1609" s="14">
        <f t="shared" si="360"/>
        <v>1102031</v>
      </c>
      <c r="AX1609" s="13" t="s">
        <v>1127</v>
      </c>
      <c r="AY1609" s="13">
        <f t="shared" si="366"/>
        <v>1</v>
      </c>
      <c r="AZ1609" s="13" t="s">
        <v>1148</v>
      </c>
      <c r="BA1609" s="14">
        <f t="shared" si="361"/>
        <v>5</v>
      </c>
      <c r="BB1609" s="14" t="str">
        <f t="shared" si="362"/>
        <v>秦琼魂珠-1 等级-5</v>
      </c>
      <c r="BC1609" s="25" t="s">
        <v>44</v>
      </c>
      <c r="BD1609" s="14">
        <f t="shared" si="363"/>
        <v>192</v>
      </c>
      <c r="BE1609" s="14">
        <f>SUMIFS(BD$4:BD1609,$AU$4:$AU1609,"="&amp;$AU1609,$AY$4:$AY1609,"="&amp;$AY1609)</f>
        <v>552</v>
      </c>
      <c r="BF1609" s="25" t="s">
        <v>1157</v>
      </c>
      <c r="BG1609" s="14">
        <f t="shared" si="364"/>
        <v>96</v>
      </c>
      <c r="BH1609" s="14">
        <f>SUMIFS(BG$4:BG1609,AU$4:AU1609,"="&amp;AU1609,AY$4:AY1609,"="&amp;AY1609)</f>
        <v>276</v>
      </c>
      <c r="BI1609" s="25" t="s">
        <v>1158</v>
      </c>
      <c r="BJ1609" s="14">
        <f t="shared" si="365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58"/>
        <v>21</v>
      </c>
      <c r="AV1610" s="14">
        <f t="shared" si="359"/>
        <v>203101</v>
      </c>
      <c r="AW1610" s="14">
        <f t="shared" si="360"/>
        <v>1102031</v>
      </c>
      <c r="AX1610" s="13" t="s">
        <v>1127</v>
      </c>
      <c r="AY1610" s="13">
        <f t="shared" si="366"/>
        <v>1</v>
      </c>
      <c r="AZ1610" s="13" t="s">
        <v>1148</v>
      </c>
      <c r="BA1610" s="14">
        <f t="shared" si="361"/>
        <v>6</v>
      </c>
      <c r="BB1610" s="14" t="str">
        <f t="shared" si="362"/>
        <v>秦琼魂珠-1 等级-6</v>
      </c>
      <c r="BC1610" s="25" t="s">
        <v>44</v>
      </c>
      <c r="BD1610" s="14">
        <f t="shared" si="363"/>
        <v>240</v>
      </c>
      <c r="BE1610" s="14">
        <f>SUMIFS(BD$4:BD1610,$AU$4:$AU1610,"="&amp;$AU1610,$AY$4:$AY1610,"="&amp;$AY1610)</f>
        <v>792</v>
      </c>
      <c r="BF1610" s="25" t="s">
        <v>1157</v>
      </c>
      <c r="BG1610" s="14">
        <f t="shared" si="364"/>
        <v>120</v>
      </c>
      <c r="BH1610" s="14">
        <f>SUMIFS(BG$4:BG1610,AU$4:AU1610,"="&amp;AU1610,AY$4:AY1610,"="&amp;AY1610)</f>
        <v>396</v>
      </c>
      <c r="BI1610" s="25" t="s">
        <v>1158</v>
      </c>
      <c r="BJ1610" s="14">
        <f t="shared" si="365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58"/>
        <v>21</v>
      </c>
      <c r="AV1611" s="14">
        <f t="shared" si="359"/>
        <v>203101</v>
      </c>
      <c r="AW1611" s="14">
        <f t="shared" si="360"/>
        <v>1102031</v>
      </c>
      <c r="AX1611" s="13" t="s">
        <v>1127</v>
      </c>
      <c r="AY1611" s="13">
        <f t="shared" si="366"/>
        <v>1</v>
      </c>
      <c r="AZ1611" s="13" t="s">
        <v>1148</v>
      </c>
      <c r="BA1611" s="14">
        <f t="shared" si="361"/>
        <v>7</v>
      </c>
      <c r="BB1611" s="14" t="str">
        <f t="shared" si="362"/>
        <v>秦琼魂珠-1 等级-7</v>
      </c>
      <c r="BC1611" s="25" t="s">
        <v>44</v>
      </c>
      <c r="BD1611" s="14">
        <f t="shared" si="363"/>
        <v>288</v>
      </c>
      <c r="BE1611" s="14">
        <f>SUMIFS(BD$4:BD1611,$AU$4:$AU1611,"="&amp;$AU1611,$AY$4:$AY1611,"="&amp;$AY1611)</f>
        <v>1080</v>
      </c>
      <c r="BF1611" s="25" t="s">
        <v>1157</v>
      </c>
      <c r="BG1611" s="14">
        <f t="shared" si="364"/>
        <v>144</v>
      </c>
      <c r="BH1611" s="14">
        <f>SUMIFS(BG$4:BG1611,AU$4:AU1611,"="&amp;AU1611,AY$4:AY1611,"="&amp;AY1611)</f>
        <v>540</v>
      </c>
      <c r="BI1611" s="25" t="s">
        <v>1158</v>
      </c>
      <c r="BJ1611" s="14">
        <f t="shared" si="365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58"/>
        <v>21</v>
      </c>
      <c r="AV1612" s="14">
        <f t="shared" si="359"/>
        <v>203101</v>
      </c>
      <c r="AW1612" s="14">
        <f t="shared" si="360"/>
        <v>1102031</v>
      </c>
      <c r="AX1612" s="13" t="s">
        <v>1127</v>
      </c>
      <c r="AY1612" s="13">
        <f t="shared" si="366"/>
        <v>1</v>
      </c>
      <c r="AZ1612" s="13" t="s">
        <v>1148</v>
      </c>
      <c r="BA1612" s="14">
        <f t="shared" si="361"/>
        <v>8</v>
      </c>
      <c r="BB1612" s="14" t="str">
        <f t="shared" si="362"/>
        <v>秦琼魂珠-1 等级-8</v>
      </c>
      <c r="BC1612" s="25" t="s">
        <v>44</v>
      </c>
      <c r="BD1612" s="14">
        <f t="shared" si="363"/>
        <v>336</v>
      </c>
      <c r="BE1612" s="14">
        <f>SUMIFS(BD$4:BD1612,$AU$4:$AU1612,"="&amp;$AU1612,$AY$4:$AY1612,"="&amp;$AY1612)</f>
        <v>1416</v>
      </c>
      <c r="BF1612" s="25" t="s">
        <v>1157</v>
      </c>
      <c r="BG1612" s="14">
        <f t="shared" si="364"/>
        <v>168</v>
      </c>
      <c r="BH1612" s="14">
        <f>SUMIFS(BG$4:BG1612,AU$4:AU1612,"="&amp;AU1612,AY$4:AY1612,"="&amp;AY1612)</f>
        <v>708</v>
      </c>
      <c r="BI1612" s="25" t="s">
        <v>1158</v>
      </c>
      <c r="BJ1612" s="14">
        <f t="shared" si="365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58"/>
        <v>21</v>
      </c>
      <c r="AV1613" s="14">
        <f t="shared" si="359"/>
        <v>203101</v>
      </c>
      <c r="AW1613" s="14">
        <f t="shared" si="360"/>
        <v>1102031</v>
      </c>
      <c r="AX1613" s="13" t="s">
        <v>1127</v>
      </c>
      <c r="AY1613" s="13">
        <f t="shared" si="366"/>
        <v>1</v>
      </c>
      <c r="AZ1613" s="13" t="s">
        <v>1148</v>
      </c>
      <c r="BA1613" s="14">
        <f t="shared" si="361"/>
        <v>9</v>
      </c>
      <c r="BB1613" s="14" t="str">
        <f t="shared" si="362"/>
        <v>秦琼魂珠-1 等级-9</v>
      </c>
      <c r="BC1613" s="25" t="s">
        <v>44</v>
      </c>
      <c r="BD1613" s="14">
        <f t="shared" si="363"/>
        <v>384</v>
      </c>
      <c r="BE1613" s="14">
        <f>SUMIFS(BD$4:BD1613,$AU$4:$AU1613,"="&amp;$AU1613,$AY$4:$AY1613,"="&amp;$AY1613)</f>
        <v>1800</v>
      </c>
      <c r="BF1613" s="25" t="s">
        <v>1157</v>
      </c>
      <c r="BG1613" s="14">
        <f t="shared" si="364"/>
        <v>192</v>
      </c>
      <c r="BH1613" s="14">
        <f>SUMIFS(BG$4:BG1613,AU$4:AU1613,"="&amp;AU1613,AY$4:AY1613,"="&amp;AY1613)</f>
        <v>900</v>
      </c>
      <c r="BI1613" s="25" t="s">
        <v>1158</v>
      </c>
      <c r="BJ1613" s="14">
        <f t="shared" si="365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58"/>
        <v>21</v>
      </c>
      <c r="AV1614" s="14">
        <f t="shared" si="359"/>
        <v>203102</v>
      </c>
      <c r="AW1614" s="14">
        <f t="shared" si="360"/>
        <v>1102031</v>
      </c>
      <c r="AX1614" s="13" t="s">
        <v>1127</v>
      </c>
      <c r="AY1614" s="13">
        <f t="shared" si="366"/>
        <v>2</v>
      </c>
      <c r="AZ1614" s="13" t="s">
        <v>1148</v>
      </c>
      <c r="BA1614" s="14">
        <f t="shared" si="361"/>
        <v>0</v>
      </c>
      <c r="BB1614" s="14" t="str">
        <f t="shared" si="362"/>
        <v>秦琼魂珠-2 等级-0</v>
      </c>
      <c r="BC1614" s="25" t="s">
        <v>44</v>
      </c>
      <c r="BD1614" s="14">
        <f t="shared" si="363"/>
        <v>0</v>
      </c>
      <c r="BE1614" s="14">
        <f>SUMIFS(BD$4:BD1614,$AU$4:$AU1614,"="&amp;$AU1614,$AY$4:$AY1614,"="&amp;$AY1614)</f>
        <v>0</v>
      </c>
      <c r="BF1614" s="25" t="s">
        <v>1157</v>
      </c>
      <c r="BG1614" s="14">
        <f t="shared" si="364"/>
        <v>0</v>
      </c>
      <c r="BH1614" s="14">
        <f>SUMIFS(BG$4:BG1614,AU$4:AU1614,"="&amp;AU1614,AY$4:AY1614,"="&amp;AY1614)</f>
        <v>0</v>
      </c>
      <c r="BI1614" s="25" t="s">
        <v>1158</v>
      </c>
      <c r="BJ1614" s="14">
        <f t="shared" si="365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58"/>
        <v>21</v>
      </c>
      <c r="AV1615" s="14">
        <f t="shared" si="359"/>
        <v>203102</v>
      </c>
      <c r="AW1615" s="14">
        <f t="shared" si="360"/>
        <v>1102031</v>
      </c>
      <c r="AX1615" s="13" t="s">
        <v>1127</v>
      </c>
      <c r="AY1615" s="13">
        <f t="shared" si="366"/>
        <v>2</v>
      </c>
      <c r="AZ1615" s="13" t="s">
        <v>1148</v>
      </c>
      <c r="BA1615" s="14">
        <f t="shared" si="361"/>
        <v>1</v>
      </c>
      <c r="BB1615" s="14" t="str">
        <f t="shared" si="362"/>
        <v>秦琼魂珠-2 等级-1</v>
      </c>
      <c r="BC1615" s="25" t="s">
        <v>44</v>
      </c>
      <c r="BD1615" s="14">
        <f t="shared" si="363"/>
        <v>60</v>
      </c>
      <c r="BE1615" s="14">
        <f>SUMIFS(BD$4:BD1615,$AU$4:$AU1615,"="&amp;$AU1615,$AY$4:$AY1615,"="&amp;$AY1615)</f>
        <v>60</v>
      </c>
      <c r="BF1615" s="25" t="s">
        <v>1157</v>
      </c>
      <c r="BG1615" s="14">
        <f t="shared" si="364"/>
        <v>30</v>
      </c>
      <c r="BH1615" s="14">
        <f>SUMIFS(BG$4:BG1615,AU$4:AU1615,"="&amp;AU1615,AY$4:AY1615,"="&amp;AY1615)</f>
        <v>30</v>
      </c>
      <c r="BI1615" s="25" t="s">
        <v>1158</v>
      </c>
      <c r="BJ1615" s="14">
        <f t="shared" si="365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58"/>
        <v>21</v>
      </c>
      <c r="AV1616" s="14">
        <f t="shared" si="359"/>
        <v>203102</v>
      </c>
      <c r="AW1616" s="14">
        <f t="shared" si="360"/>
        <v>1102031</v>
      </c>
      <c r="AX1616" s="13" t="s">
        <v>1127</v>
      </c>
      <c r="AY1616" s="13">
        <f t="shared" si="366"/>
        <v>2</v>
      </c>
      <c r="AZ1616" s="13" t="s">
        <v>1148</v>
      </c>
      <c r="BA1616" s="14">
        <f t="shared" si="361"/>
        <v>2</v>
      </c>
      <c r="BB1616" s="14" t="str">
        <f t="shared" si="362"/>
        <v>秦琼魂珠-2 等级-2</v>
      </c>
      <c r="BC1616" s="25" t="s">
        <v>44</v>
      </c>
      <c r="BD1616" s="14">
        <f t="shared" si="363"/>
        <v>96</v>
      </c>
      <c r="BE1616" s="14">
        <f>SUMIFS(BD$4:BD1616,$AU$4:$AU1616,"="&amp;$AU1616,$AY$4:$AY1616,"="&amp;$AY1616)</f>
        <v>156</v>
      </c>
      <c r="BF1616" s="25" t="s">
        <v>1157</v>
      </c>
      <c r="BG1616" s="14">
        <f t="shared" si="364"/>
        <v>48</v>
      </c>
      <c r="BH1616" s="14">
        <f>SUMIFS(BG$4:BG1616,AU$4:AU1616,"="&amp;AU1616,AY$4:AY1616,"="&amp;AY1616)</f>
        <v>78</v>
      </c>
      <c r="BI1616" s="25" t="s">
        <v>1158</v>
      </c>
      <c r="BJ1616" s="14">
        <f t="shared" si="365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58"/>
        <v>21</v>
      </c>
      <c r="AV1617" s="14">
        <f t="shared" si="359"/>
        <v>203102</v>
      </c>
      <c r="AW1617" s="14">
        <f t="shared" si="360"/>
        <v>1102031</v>
      </c>
      <c r="AX1617" s="13" t="s">
        <v>1127</v>
      </c>
      <c r="AY1617" s="13">
        <f t="shared" si="366"/>
        <v>2</v>
      </c>
      <c r="AZ1617" s="13" t="s">
        <v>1148</v>
      </c>
      <c r="BA1617" s="14">
        <f t="shared" si="361"/>
        <v>3</v>
      </c>
      <c r="BB1617" s="14" t="str">
        <f t="shared" si="362"/>
        <v>秦琼魂珠-2 等级-3</v>
      </c>
      <c r="BC1617" s="25" t="s">
        <v>44</v>
      </c>
      <c r="BD1617" s="14">
        <f t="shared" si="363"/>
        <v>120</v>
      </c>
      <c r="BE1617" s="14">
        <f>SUMIFS(BD$4:BD1617,$AU$4:$AU1617,"="&amp;$AU1617,$AY$4:$AY1617,"="&amp;$AY1617)</f>
        <v>276</v>
      </c>
      <c r="BF1617" s="25" t="s">
        <v>1157</v>
      </c>
      <c r="BG1617" s="14">
        <f t="shared" si="364"/>
        <v>60</v>
      </c>
      <c r="BH1617" s="14">
        <f>SUMIFS(BG$4:BG1617,AU$4:AU1617,"="&amp;AU1617,AY$4:AY1617,"="&amp;AY1617)</f>
        <v>138</v>
      </c>
      <c r="BI1617" s="25" t="s">
        <v>1158</v>
      </c>
      <c r="BJ1617" s="14">
        <f t="shared" si="365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58"/>
        <v>21</v>
      </c>
      <c r="AV1618" s="14">
        <f t="shared" si="359"/>
        <v>203102</v>
      </c>
      <c r="AW1618" s="14">
        <f t="shared" si="360"/>
        <v>1102031</v>
      </c>
      <c r="AX1618" s="13" t="s">
        <v>1127</v>
      </c>
      <c r="AY1618" s="13">
        <f t="shared" si="366"/>
        <v>2</v>
      </c>
      <c r="AZ1618" s="13" t="s">
        <v>1148</v>
      </c>
      <c r="BA1618" s="14">
        <f t="shared" si="361"/>
        <v>4</v>
      </c>
      <c r="BB1618" s="14" t="str">
        <f t="shared" si="362"/>
        <v>秦琼魂珠-2 等级-4</v>
      </c>
      <c r="BC1618" s="25" t="s">
        <v>44</v>
      </c>
      <c r="BD1618" s="14">
        <f t="shared" si="363"/>
        <v>192</v>
      </c>
      <c r="BE1618" s="14">
        <f>SUMIFS(BD$4:BD1618,$AU$4:$AU1618,"="&amp;$AU1618,$AY$4:$AY1618,"="&amp;$AY1618)</f>
        <v>468</v>
      </c>
      <c r="BF1618" s="25" t="s">
        <v>1157</v>
      </c>
      <c r="BG1618" s="14">
        <f t="shared" si="364"/>
        <v>96</v>
      </c>
      <c r="BH1618" s="14">
        <f>SUMIFS(BG$4:BG1618,AU$4:AU1618,"="&amp;AU1618,AY$4:AY1618,"="&amp;AY1618)</f>
        <v>234</v>
      </c>
      <c r="BI1618" s="25" t="s">
        <v>1158</v>
      </c>
      <c r="BJ1618" s="14">
        <f t="shared" si="365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58"/>
        <v>21</v>
      </c>
      <c r="AV1619" s="14">
        <f t="shared" si="359"/>
        <v>203102</v>
      </c>
      <c r="AW1619" s="14">
        <f t="shared" si="360"/>
        <v>1102031</v>
      </c>
      <c r="AX1619" s="13" t="s">
        <v>1127</v>
      </c>
      <c r="AY1619" s="13">
        <f t="shared" si="366"/>
        <v>2</v>
      </c>
      <c r="AZ1619" s="13" t="s">
        <v>1148</v>
      </c>
      <c r="BA1619" s="14">
        <f t="shared" si="361"/>
        <v>5</v>
      </c>
      <c r="BB1619" s="14" t="str">
        <f t="shared" si="362"/>
        <v>秦琼魂珠-2 等级-5</v>
      </c>
      <c r="BC1619" s="25" t="s">
        <v>44</v>
      </c>
      <c r="BD1619" s="14">
        <f t="shared" si="363"/>
        <v>264</v>
      </c>
      <c r="BE1619" s="14">
        <f>SUMIFS(BD$4:BD1619,$AU$4:$AU1619,"="&amp;$AU1619,$AY$4:$AY1619,"="&amp;$AY1619)</f>
        <v>732</v>
      </c>
      <c r="BF1619" s="25" t="s">
        <v>1157</v>
      </c>
      <c r="BG1619" s="14">
        <f t="shared" si="364"/>
        <v>132</v>
      </c>
      <c r="BH1619" s="14">
        <f>SUMIFS(BG$4:BG1619,AU$4:AU1619,"="&amp;AU1619,AY$4:AY1619,"="&amp;AY1619)</f>
        <v>366</v>
      </c>
      <c r="BI1619" s="25" t="s">
        <v>1158</v>
      </c>
      <c r="BJ1619" s="14">
        <f t="shared" si="365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58"/>
        <v>21</v>
      </c>
      <c r="AV1620" s="14">
        <f t="shared" si="359"/>
        <v>203102</v>
      </c>
      <c r="AW1620" s="14">
        <f t="shared" si="360"/>
        <v>1102031</v>
      </c>
      <c r="AX1620" s="13" t="s">
        <v>1127</v>
      </c>
      <c r="AY1620" s="13">
        <f t="shared" si="366"/>
        <v>2</v>
      </c>
      <c r="AZ1620" s="13" t="s">
        <v>1148</v>
      </c>
      <c r="BA1620" s="14">
        <f t="shared" si="361"/>
        <v>6</v>
      </c>
      <c r="BB1620" s="14" t="str">
        <f t="shared" si="362"/>
        <v>秦琼魂珠-2 等级-6</v>
      </c>
      <c r="BC1620" s="25" t="s">
        <v>44</v>
      </c>
      <c r="BD1620" s="14">
        <f t="shared" si="363"/>
        <v>336</v>
      </c>
      <c r="BE1620" s="14">
        <f>SUMIFS(BD$4:BD1620,$AU$4:$AU1620,"="&amp;$AU1620,$AY$4:$AY1620,"="&amp;$AY1620)</f>
        <v>1068</v>
      </c>
      <c r="BF1620" s="25" t="s">
        <v>1157</v>
      </c>
      <c r="BG1620" s="14">
        <f t="shared" si="364"/>
        <v>168</v>
      </c>
      <c r="BH1620" s="14">
        <f>SUMIFS(BG$4:BG1620,AU$4:AU1620,"="&amp;AU1620,AY$4:AY1620,"="&amp;AY1620)</f>
        <v>534</v>
      </c>
      <c r="BI1620" s="25" t="s">
        <v>1158</v>
      </c>
      <c r="BJ1620" s="14">
        <f t="shared" si="365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58"/>
        <v>21</v>
      </c>
      <c r="AV1621" s="14">
        <f t="shared" si="359"/>
        <v>203102</v>
      </c>
      <c r="AW1621" s="14">
        <f t="shared" si="360"/>
        <v>1102031</v>
      </c>
      <c r="AX1621" s="13" t="s">
        <v>1127</v>
      </c>
      <c r="AY1621" s="13">
        <f t="shared" si="366"/>
        <v>2</v>
      </c>
      <c r="AZ1621" s="13" t="s">
        <v>1148</v>
      </c>
      <c r="BA1621" s="14">
        <f t="shared" si="361"/>
        <v>7</v>
      </c>
      <c r="BB1621" s="14" t="str">
        <f t="shared" si="362"/>
        <v>秦琼魂珠-2 等级-7</v>
      </c>
      <c r="BC1621" s="25" t="s">
        <v>44</v>
      </c>
      <c r="BD1621" s="14">
        <f t="shared" si="363"/>
        <v>384</v>
      </c>
      <c r="BE1621" s="14">
        <f>SUMIFS(BD$4:BD1621,$AU$4:$AU1621,"="&amp;$AU1621,$AY$4:$AY1621,"="&amp;$AY1621)</f>
        <v>1452</v>
      </c>
      <c r="BF1621" s="25" t="s">
        <v>1157</v>
      </c>
      <c r="BG1621" s="14">
        <f t="shared" si="364"/>
        <v>192</v>
      </c>
      <c r="BH1621" s="14">
        <f>SUMIFS(BG$4:BG1621,AU$4:AU1621,"="&amp;AU1621,AY$4:AY1621,"="&amp;AY1621)</f>
        <v>726</v>
      </c>
      <c r="BI1621" s="25" t="s">
        <v>1158</v>
      </c>
      <c r="BJ1621" s="14">
        <f t="shared" si="365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58"/>
        <v>21</v>
      </c>
      <c r="AV1622" s="14">
        <f t="shared" si="359"/>
        <v>203102</v>
      </c>
      <c r="AW1622" s="14">
        <f t="shared" si="360"/>
        <v>1102031</v>
      </c>
      <c r="AX1622" s="13" t="s">
        <v>1127</v>
      </c>
      <c r="AY1622" s="13">
        <f t="shared" si="366"/>
        <v>2</v>
      </c>
      <c r="AZ1622" s="13" t="s">
        <v>1148</v>
      </c>
      <c r="BA1622" s="14">
        <f t="shared" si="361"/>
        <v>8</v>
      </c>
      <c r="BB1622" s="14" t="str">
        <f t="shared" si="362"/>
        <v>秦琼魂珠-2 等级-8</v>
      </c>
      <c r="BC1622" s="25" t="s">
        <v>44</v>
      </c>
      <c r="BD1622" s="14">
        <f t="shared" si="363"/>
        <v>456</v>
      </c>
      <c r="BE1622" s="14">
        <f>SUMIFS(BD$4:BD1622,$AU$4:$AU1622,"="&amp;$AU1622,$AY$4:$AY1622,"="&amp;$AY1622)</f>
        <v>1908</v>
      </c>
      <c r="BF1622" s="25" t="s">
        <v>1157</v>
      </c>
      <c r="BG1622" s="14">
        <f t="shared" si="364"/>
        <v>228</v>
      </c>
      <c r="BH1622" s="14">
        <f>SUMIFS(BG$4:BG1622,AU$4:AU1622,"="&amp;AU1622,AY$4:AY1622,"="&amp;AY1622)</f>
        <v>954</v>
      </c>
      <c r="BI1622" s="25" t="s">
        <v>1158</v>
      </c>
      <c r="BJ1622" s="14">
        <f t="shared" si="365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58"/>
        <v>21</v>
      </c>
      <c r="AV1623" s="14">
        <f t="shared" si="359"/>
        <v>203102</v>
      </c>
      <c r="AW1623" s="14">
        <f t="shared" si="360"/>
        <v>1102031</v>
      </c>
      <c r="AX1623" s="13" t="s">
        <v>1127</v>
      </c>
      <c r="AY1623" s="13">
        <f t="shared" si="366"/>
        <v>2</v>
      </c>
      <c r="AZ1623" s="13" t="s">
        <v>1148</v>
      </c>
      <c r="BA1623" s="14">
        <f t="shared" si="361"/>
        <v>9</v>
      </c>
      <c r="BB1623" s="14" t="str">
        <f t="shared" si="362"/>
        <v>秦琼魂珠-2 等级-9</v>
      </c>
      <c r="BC1623" s="25" t="s">
        <v>44</v>
      </c>
      <c r="BD1623" s="14">
        <f t="shared" si="363"/>
        <v>540</v>
      </c>
      <c r="BE1623" s="14">
        <f>SUMIFS(BD$4:BD1623,$AU$4:$AU1623,"="&amp;$AU1623,$AY$4:$AY1623,"="&amp;$AY1623)</f>
        <v>2448</v>
      </c>
      <c r="BF1623" s="25" t="s">
        <v>1157</v>
      </c>
      <c r="BG1623" s="14">
        <f t="shared" si="364"/>
        <v>270</v>
      </c>
      <c r="BH1623" s="14">
        <f>SUMIFS(BG$4:BG1623,AU$4:AU1623,"="&amp;AU1623,AY$4:AY1623,"="&amp;AY1623)</f>
        <v>1224</v>
      </c>
      <c r="BI1623" s="25" t="s">
        <v>1158</v>
      </c>
      <c r="BJ1623" s="14">
        <f t="shared" si="365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58"/>
        <v>21</v>
      </c>
      <c r="AV1624" s="14">
        <f t="shared" si="359"/>
        <v>203103</v>
      </c>
      <c r="AW1624" s="14">
        <f t="shared" si="360"/>
        <v>1102031</v>
      </c>
      <c r="AX1624" s="13" t="s">
        <v>1127</v>
      </c>
      <c r="AY1624" s="13">
        <f t="shared" si="366"/>
        <v>3</v>
      </c>
      <c r="AZ1624" s="13" t="s">
        <v>1148</v>
      </c>
      <c r="BA1624" s="14">
        <f t="shared" si="361"/>
        <v>0</v>
      </c>
      <c r="BB1624" s="14" t="str">
        <f t="shared" si="362"/>
        <v>秦琼魂珠-3 等级-0</v>
      </c>
      <c r="BC1624" s="25" t="s">
        <v>44</v>
      </c>
      <c r="BD1624" s="14">
        <f t="shared" si="363"/>
        <v>0</v>
      </c>
      <c r="BE1624" s="14">
        <f>SUMIFS(BD$4:BD1624,$AU$4:$AU1624,"="&amp;$AU1624,$AY$4:$AY1624,"="&amp;$AY1624)</f>
        <v>0</v>
      </c>
      <c r="BF1624" s="25" t="s">
        <v>1157</v>
      </c>
      <c r="BG1624" s="14">
        <f t="shared" si="364"/>
        <v>0</v>
      </c>
      <c r="BH1624" s="14">
        <f>SUMIFS(BG$4:BG1624,AU$4:AU1624,"="&amp;AU1624,AY$4:AY1624,"="&amp;AY1624)</f>
        <v>0</v>
      </c>
      <c r="BI1624" s="25" t="s">
        <v>1158</v>
      </c>
      <c r="BJ1624" s="14">
        <f t="shared" si="365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58"/>
        <v>21</v>
      </c>
      <c r="AV1625" s="14">
        <f t="shared" si="359"/>
        <v>203103</v>
      </c>
      <c r="AW1625" s="14">
        <f t="shared" si="360"/>
        <v>1102031</v>
      </c>
      <c r="AX1625" s="13" t="s">
        <v>1127</v>
      </c>
      <c r="AY1625" s="13">
        <f t="shared" si="366"/>
        <v>3</v>
      </c>
      <c r="AZ1625" s="13" t="s">
        <v>1148</v>
      </c>
      <c r="BA1625" s="14">
        <f t="shared" si="361"/>
        <v>1</v>
      </c>
      <c r="BB1625" s="14" t="str">
        <f t="shared" si="362"/>
        <v>秦琼魂珠-3 等级-1</v>
      </c>
      <c r="BC1625" s="25" t="s">
        <v>44</v>
      </c>
      <c r="BD1625" s="14">
        <f t="shared" si="363"/>
        <v>96</v>
      </c>
      <c r="BE1625" s="14">
        <f>SUMIFS(BD$4:BD1625,$AU$4:$AU1625,"="&amp;$AU1625,$AY$4:$AY1625,"="&amp;$AY1625)</f>
        <v>96</v>
      </c>
      <c r="BF1625" s="25" t="s">
        <v>1157</v>
      </c>
      <c r="BG1625" s="14">
        <f t="shared" si="364"/>
        <v>48</v>
      </c>
      <c r="BH1625" s="14">
        <f>SUMIFS(BG$4:BG1625,AU$4:AU1625,"="&amp;AU1625,AY$4:AY1625,"="&amp;AY1625)</f>
        <v>48</v>
      </c>
      <c r="BI1625" s="25" t="s">
        <v>1158</v>
      </c>
      <c r="BJ1625" s="14">
        <f t="shared" si="365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58"/>
        <v>21</v>
      </c>
      <c r="AV1626" s="14">
        <f t="shared" si="359"/>
        <v>203103</v>
      </c>
      <c r="AW1626" s="14">
        <f t="shared" si="360"/>
        <v>1102031</v>
      </c>
      <c r="AX1626" s="13" t="s">
        <v>1127</v>
      </c>
      <c r="AY1626" s="13">
        <f t="shared" si="366"/>
        <v>3</v>
      </c>
      <c r="AZ1626" s="13" t="s">
        <v>1148</v>
      </c>
      <c r="BA1626" s="14">
        <f t="shared" si="361"/>
        <v>2</v>
      </c>
      <c r="BB1626" s="14" t="str">
        <f t="shared" si="362"/>
        <v>秦琼魂珠-3 等级-2</v>
      </c>
      <c r="BC1626" s="25" t="s">
        <v>44</v>
      </c>
      <c r="BD1626" s="14">
        <f t="shared" si="363"/>
        <v>144</v>
      </c>
      <c r="BE1626" s="14">
        <f>SUMIFS(BD$4:BD1626,$AU$4:$AU1626,"="&amp;$AU1626,$AY$4:$AY1626,"="&amp;$AY1626)</f>
        <v>240</v>
      </c>
      <c r="BF1626" s="25" t="s">
        <v>1157</v>
      </c>
      <c r="BG1626" s="14">
        <f t="shared" si="364"/>
        <v>72</v>
      </c>
      <c r="BH1626" s="14">
        <f>SUMIFS(BG$4:BG1626,AU$4:AU1626,"="&amp;AU1626,AY$4:AY1626,"="&amp;AY1626)</f>
        <v>120</v>
      </c>
      <c r="BI1626" s="25" t="s">
        <v>1158</v>
      </c>
      <c r="BJ1626" s="14">
        <f t="shared" si="365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58"/>
        <v>21</v>
      </c>
      <c r="AV1627" s="14">
        <f t="shared" si="359"/>
        <v>203103</v>
      </c>
      <c r="AW1627" s="14">
        <f t="shared" si="360"/>
        <v>1102031</v>
      </c>
      <c r="AX1627" s="13" t="s">
        <v>1127</v>
      </c>
      <c r="AY1627" s="13">
        <f t="shared" si="366"/>
        <v>3</v>
      </c>
      <c r="AZ1627" s="13" t="s">
        <v>1148</v>
      </c>
      <c r="BA1627" s="14">
        <f t="shared" si="361"/>
        <v>3</v>
      </c>
      <c r="BB1627" s="14" t="str">
        <f t="shared" si="362"/>
        <v>秦琼魂珠-3 等级-3</v>
      </c>
      <c r="BC1627" s="25" t="s">
        <v>44</v>
      </c>
      <c r="BD1627" s="14">
        <f t="shared" si="363"/>
        <v>192</v>
      </c>
      <c r="BE1627" s="14">
        <f>SUMIFS(BD$4:BD1627,$AU$4:$AU1627,"="&amp;$AU1627,$AY$4:$AY1627,"="&amp;$AY1627)</f>
        <v>432</v>
      </c>
      <c r="BF1627" s="25" t="s">
        <v>1157</v>
      </c>
      <c r="BG1627" s="14">
        <f t="shared" si="364"/>
        <v>96</v>
      </c>
      <c r="BH1627" s="14">
        <f>SUMIFS(BG$4:BG1627,AU$4:AU1627,"="&amp;AU1627,AY$4:AY1627,"="&amp;AY1627)</f>
        <v>216</v>
      </c>
      <c r="BI1627" s="25" t="s">
        <v>1158</v>
      </c>
      <c r="BJ1627" s="14">
        <f t="shared" si="365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58"/>
        <v>21</v>
      </c>
      <c r="AV1628" s="14">
        <f t="shared" si="359"/>
        <v>203103</v>
      </c>
      <c r="AW1628" s="14">
        <f t="shared" si="360"/>
        <v>1102031</v>
      </c>
      <c r="AX1628" s="13" t="s">
        <v>1127</v>
      </c>
      <c r="AY1628" s="13">
        <f t="shared" si="366"/>
        <v>3</v>
      </c>
      <c r="AZ1628" s="13" t="s">
        <v>1148</v>
      </c>
      <c r="BA1628" s="14">
        <f t="shared" si="361"/>
        <v>4</v>
      </c>
      <c r="BB1628" s="14" t="str">
        <f t="shared" si="362"/>
        <v>秦琼魂珠-3 等级-4</v>
      </c>
      <c r="BC1628" s="25" t="s">
        <v>44</v>
      </c>
      <c r="BD1628" s="14">
        <f t="shared" si="363"/>
        <v>288</v>
      </c>
      <c r="BE1628" s="14">
        <f>SUMIFS(BD$4:BD1628,$AU$4:$AU1628,"="&amp;$AU1628,$AY$4:$AY1628,"="&amp;$AY1628)</f>
        <v>720</v>
      </c>
      <c r="BF1628" s="25" t="s">
        <v>1157</v>
      </c>
      <c r="BG1628" s="14">
        <f t="shared" si="364"/>
        <v>144</v>
      </c>
      <c r="BH1628" s="14">
        <f>SUMIFS(BG$4:BG1628,AU$4:AU1628,"="&amp;AU1628,AY$4:AY1628,"="&amp;AY1628)</f>
        <v>360</v>
      </c>
      <c r="BI1628" s="25" t="s">
        <v>1158</v>
      </c>
      <c r="BJ1628" s="14">
        <f t="shared" si="365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58"/>
        <v>21</v>
      </c>
      <c r="AV1629" s="14">
        <f t="shared" si="359"/>
        <v>203103</v>
      </c>
      <c r="AW1629" s="14">
        <f t="shared" si="360"/>
        <v>1102031</v>
      </c>
      <c r="AX1629" s="13" t="s">
        <v>1127</v>
      </c>
      <c r="AY1629" s="13">
        <f t="shared" si="366"/>
        <v>3</v>
      </c>
      <c r="AZ1629" s="13" t="s">
        <v>1148</v>
      </c>
      <c r="BA1629" s="14">
        <f t="shared" si="361"/>
        <v>5</v>
      </c>
      <c r="BB1629" s="14" t="str">
        <f t="shared" si="362"/>
        <v>秦琼魂珠-3 等级-5</v>
      </c>
      <c r="BC1629" s="25" t="s">
        <v>44</v>
      </c>
      <c r="BD1629" s="14">
        <f t="shared" si="363"/>
        <v>384</v>
      </c>
      <c r="BE1629" s="14">
        <f>SUMIFS(BD$4:BD1629,$AU$4:$AU1629,"="&amp;$AU1629,$AY$4:$AY1629,"="&amp;$AY1629)</f>
        <v>1104</v>
      </c>
      <c r="BF1629" s="25" t="s">
        <v>1157</v>
      </c>
      <c r="BG1629" s="14">
        <f t="shared" si="364"/>
        <v>192</v>
      </c>
      <c r="BH1629" s="14">
        <f>SUMIFS(BG$4:BG1629,AU$4:AU1629,"="&amp;AU1629,AY$4:AY1629,"="&amp;AY1629)</f>
        <v>552</v>
      </c>
      <c r="BI1629" s="25" t="s">
        <v>1158</v>
      </c>
      <c r="BJ1629" s="14">
        <f t="shared" si="365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58"/>
        <v>21</v>
      </c>
      <c r="AV1630" s="14">
        <f t="shared" si="359"/>
        <v>203103</v>
      </c>
      <c r="AW1630" s="14">
        <f t="shared" si="360"/>
        <v>1102031</v>
      </c>
      <c r="AX1630" s="13" t="s">
        <v>1127</v>
      </c>
      <c r="AY1630" s="13">
        <f t="shared" si="366"/>
        <v>3</v>
      </c>
      <c r="AZ1630" s="13" t="s">
        <v>1148</v>
      </c>
      <c r="BA1630" s="14">
        <f t="shared" si="361"/>
        <v>6</v>
      </c>
      <c r="BB1630" s="14" t="str">
        <f t="shared" si="362"/>
        <v>秦琼魂珠-3 等级-6</v>
      </c>
      <c r="BC1630" s="25" t="s">
        <v>44</v>
      </c>
      <c r="BD1630" s="14">
        <f t="shared" si="363"/>
        <v>480</v>
      </c>
      <c r="BE1630" s="14">
        <f>SUMIFS(BD$4:BD1630,$AU$4:$AU1630,"="&amp;$AU1630,$AY$4:$AY1630,"="&amp;$AY1630)</f>
        <v>1584</v>
      </c>
      <c r="BF1630" s="25" t="s">
        <v>1157</v>
      </c>
      <c r="BG1630" s="14">
        <f t="shared" si="364"/>
        <v>240</v>
      </c>
      <c r="BH1630" s="14">
        <f>SUMIFS(BG$4:BG1630,AU$4:AU1630,"="&amp;AU1630,AY$4:AY1630,"="&amp;AY1630)</f>
        <v>792</v>
      </c>
      <c r="BI1630" s="25" t="s">
        <v>1158</v>
      </c>
      <c r="BJ1630" s="14">
        <f t="shared" si="365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58"/>
        <v>21</v>
      </c>
      <c r="AV1631" s="14">
        <f t="shared" si="359"/>
        <v>203103</v>
      </c>
      <c r="AW1631" s="14">
        <f t="shared" si="360"/>
        <v>1102031</v>
      </c>
      <c r="AX1631" s="13" t="s">
        <v>1127</v>
      </c>
      <c r="AY1631" s="13">
        <f t="shared" si="366"/>
        <v>3</v>
      </c>
      <c r="AZ1631" s="13" t="s">
        <v>1148</v>
      </c>
      <c r="BA1631" s="14">
        <f t="shared" si="361"/>
        <v>7</v>
      </c>
      <c r="BB1631" s="14" t="str">
        <f t="shared" si="362"/>
        <v>秦琼魂珠-3 等级-7</v>
      </c>
      <c r="BC1631" s="25" t="s">
        <v>44</v>
      </c>
      <c r="BD1631" s="14">
        <f t="shared" si="363"/>
        <v>576</v>
      </c>
      <c r="BE1631" s="14">
        <f>SUMIFS(BD$4:BD1631,$AU$4:$AU1631,"="&amp;$AU1631,$AY$4:$AY1631,"="&amp;$AY1631)</f>
        <v>2160</v>
      </c>
      <c r="BF1631" s="25" t="s">
        <v>1157</v>
      </c>
      <c r="BG1631" s="14">
        <f t="shared" si="364"/>
        <v>288</v>
      </c>
      <c r="BH1631" s="14">
        <f>SUMIFS(BG$4:BG1631,AU$4:AU1631,"="&amp;AU1631,AY$4:AY1631,"="&amp;AY1631)</f>
        <v>1080</v>
      </c>
      <c r="BI1631" s="25" t="s">
        <v>1158</v>
      </c>
      <c r="BJ1631" s="14">
        <f t="shared" si="365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58"/>
        <v>21</v>
      </c>
      <c r="AV1632" s="14">
        <f t="shared" si="359"/>
        <v>203103</v>
      </c>
      <c r="AW1632" s="14">
        <f t="shared" si="360"/>
        <v>1102031</v>
      </c>
      <c r="AX1632" s="13" t="s">
        <v>1127</v>
      </c>
      <c r="AY1632" s="13">
        <f t="shared" si="366"/>
        <v>3</v>
      </c>
      <c r="AZ1632" s="13" t="s">
        <v>1148</v>
      </c>
      <c r="BA1632" s="14">
        <f t="shared" si="361"/>
        <v>8</v>
      </c>
      <c r="BB1632" s="14" t="str">
        <f t="shared" si="362"/>
        <v>秦琼魂珠-3 等级-8</v>
      </c>
      <c r="BC1632" s="25" t="s">
        <v>44</v>
      </c>
      <c r="BD1632" s="14">
        <f t="shared" si="363"/>
        <v>672</v>
      </c>
      <c r="BE1632" s="14">
        <f>SUMIFS(BD$4:BD1632,$AU$4:$AU1632,"="&amp;$AU1632,$AY$4:$AY1632,"="&amp;$AY1632)</f>
        <v>2832</v>
      </c>
      <c r="BF1632" s="25" t="s">
        <v>1157</v>
      </c>
      <c r="BG1632" s="14">
        <f t="shared" si="364"/>
        <v>336</v>
      </c>
      <c r="BH1632" s="14">
        <f>SUMIFS(BG$4:BG1632,AU$4:AU1632,"="&amp;AU1632,AY$4:AY1632,"="&amp;AY1632)</f>
        <v>1416</v>
      </c>
      <c r="BI1632" s="25" t="s">
        <v>1158</v>
      </c>
      <c r="BJ1632" s="14">
        <f t="shared" si="365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58"/>
        <v>21</v>
      </c>
      <c r="AV1633" s="14">
        <f t="shared" si="359"/>
        <v>203103</v>
      </c>
      <c r="AW1633" s="14">
        <f t="shared" si="360"/>
        <v>1102031</v>
      </c>
      <c r="AX1633" s="13" t="s">
        <v>1127</v>
      </c>
      <c r="AY1633" s="13">
        <f t="shared" si="366"/>
        <v>3</v>
      </c>
      <c r="AZ1633" s="13" t="s">
        <v>1148</v>
      </c>
      <c r="BA1633" s="14">
        <f t="shared" si="361"/>
        <v>9</v>
      </c>
      <c r="BB1633" s="14" t="str">
        <f t="shared" si="362"/>
        <v>秦琼魂珠-3 等级-9</v>
      </c>
      <c r="BC1633" s="25" t="s">
        <v>44</v>
      </c>
      <c r="BD1633" s="14">
        <f t="shared" si="363"/>
        <v>768</v>
      </c>
      <c r="BE1633" s="14">
        <f>SUMIFS(BD$4:BD1633,$AU$4:$AU1633,"="&amp;$AU1633,$AY$4:$AY1633,"="&amp;$AY1633)</f>
        <v>3600</v>
      </c>
      <c r="BF1633" s="25" t="s">
        <v>1157</v>
      </c>
      <c r="BG1633" s="14">
        <f t="shared" si="364"/>
        <v>384</v>
      </c>
      <c r="BH1633" s="14">
        <f>SUMIFS(BG$4:BG1633,AU$4:AU1633,"="&amp;AU1633,AY$4:AY1633,"="&amp;AY1633)</f>
        <v>1800</v>
      </c>
      <c r="BI1633" s="25" t="s">
        <v>1158</v>
      </c>
      <c r="BJ1633" s="14">
        <f t="shared" si="365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58"/>
        <v>21</v>
      </c>
      <c r="AV1634" s="14">
        <f t="shared" si="359"/>
        <v>203104</v>
      </c>
      <c r="AW1634" s="14">
        <f t="shared" si="360"/>
        <v>1102031</v>
      </c>
      <c r="AX1634" s="13" t="s">
        <v>1127</v>
      </c>
      <c r="AY1634" s="13">
        <f t="shared" si="366"/>
        <v>4</v>
      </c>
      <c r="AZ1634" s="13" t="s">
        <v>1148</v>
      </c>
      <c r="BA1634" s="14">
        <f t="shared" si="361"/>
        <v>0</v>
      </c>
      <c r="BB1634" s="14" t="str">
        <f t="shared" si="362"/>
        <v>秦琼魂珠-4 等级-0</v>
      </c>
      <c r="BC1634" s="25" t="s">
        <v>44</v>
      </c>
      <c r="BD1634" s="14">
        <f t="shared" si="363"/>
        <v>0</v>
      </c>
      <c r="BE1634" s="14">
        <f>SUMIFS(BD$4:BD1634,$AU$4:$AU1634,"="&amp;$AU1634,$AY$4:$AY1634,"="&amp;$AY1634)</f>
        <v>0</v>
      </c>
      <c r="BF1634" s="25" t="s">
        <v>1157</v>
      </c>
      <c r="BG1634" s="14">
        <f t="shared" si="364"/>
        <v>0</v>
      </c>
      <c r="BH1634" s="14">
        <f>SUMIFS(BG$4:BG1634,AU$4:AU1634,"="&amp;AU1634,AY$4:AY1634,"="&amp;AY1634)</f>
        <v>0</v>
      </c>
      <c r="BI1634" s="25" t="s">
        <v>1158</v>
      </c>
      <c r="BJ1634" s="14">
        <f t="shared" si="365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58"/>
        <v>21</v>
      </c>
      <c r="AV1635" s="14">
        <f t="shared" si="359"/>
        <v>203104</v>
      </c>
      <c r="AW1635" s="14">
        <f t="shared" si="360"/>
        <v>1102031</v>
      </c>
      <c r="AX1635" s="13" t="s">
        <v>1127</v>
      </c>
      <c r="AY1635" s="13">
        <f t="shared" si="366"/>
        <v>4</v>
      </c>
      <c r="AZ1635" s="13" t="s">
        <v>1148</v>
      </c>
      <c r="BA1635" s="14">
        <f t="shared" si="361"/>
        <v>1</v>
      </c>
      <c r="BB1635" s="14" t="str">
        <f t="shared" si="362"/>
        <v>秦琼魂珠-4 等级-1</v>
      </c>
      <c r="BC1635" s="25" t="s">
        <v>44</v>
      </c>
      <c r="BD1635" s="14">
        <f t="shared" si="363"/>
        <v>120</v>
      </c>
      <c r="BE1635" s="14">
        <f>SUMIFS(BD$4:BD1635,$AU$4:$AU1635,"="&amp;$AU1635,$AY$4:$AY1635,"="&amp;$AY1635)</f>
        <v>120</v>
      </c>
      <c r="BF1635" s="25" t="s">
        <v>1157</v>
      </c>
      <c r="BG1635" s="14">
        <f t="shared" si="364"/>
        <v>60</v>
      </c>
      <c r="BH1635" s="14">
        <f>SUMIFS(BG$4:BG1635,AU$4:AU1635,"="&amp;AU1635,AY$4:AY1635,"="&amp;AY1635)</f>
        <v>60</v>
      </c>
      <c r="BI1635" s="25" t="s">
        <v>1158</v>
      </c>
      <c r="BJ1635" s="14">
        <f t="shared" si="365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58"/>
        <v>21</v>
      </c>
      <c r="AV1636" s="14">
        <f t="shared" si="359"/>
        <v>203104</v>
      </c>
      <c r="AW1636" s="14">
        <f t="shared" si="360"/>
        <v>1102031</v>
      </c>
      <c r="AX1636" s="13" t="s">
        <v>1127</v>
      </c>
      <c r="AY1636" s="13">
        <f t="shared" si="366"/>
        <v>4</v>
      </c>
      <c r="AZ1636" s="13" t="s">
        <v>1148</v>
      </c>
      <c r="BA1636" s="14">
        <f t="shared" si="361"/>
        <v>2</v>
      </c>
      <c r="BB1636" s="14" t="str">
        <f t="shared" si="362"/>
        <v>秦琼魂珠-4 等级-2</v>
      </c>
      <c r="BC1636" s="25" t="s">
        <v>44</v>
      </c>
      <c r="BD1636" s="14">
        <f t="shared" si="363"/>
        <v>192</v>
      </c>
      <c r="BE1636" s="14">
        <f>SUMIFS(BD$4:BD1636,$AU$4:$AU1636,"="&amp;$AU1636,$AY$4:$AY1636,"="&amp;$AY1636)</f>
        <v>312</v>
      </c>
      <c r="BF1636" s="25" t="s">
        <v>1157</v>
      </c>
      <c r="BG1636" s="14">
        <f t="shared" si="364"/>
        <v>96</v>
      </c>
      <c r="BH1636" s="14">
        <f>SUMIFS(BG$4:BG1636,AU$4:AU1636,"="&amp;AU1636,AY$4:AY1636,"="&amp;AY1636)</f>
        <v>156</v>
      </c>
      <c r="BI1636" s="25" t="s">
        <v>1158</v>
      </c>
      <c r="BJ1636" s="14">
        <f t="shared" si="365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58"/>
        <v>21</v>
      </c>
      <c r="AV1637" s="14">
        <f t="shared" si="359"/>
        <v>203104</v>
      </c>
      <c r="AW1637" s="14">
        <f t="shared" si="360"/>
        <v>1102031</v>
      </c>
      <c r="AX1637" s="13" t="s">
        <v>1127</v>
      </c>
      <c r="AY1637" s="13">
        <f t="shared" ref="AY1637:AY1683" si="367">INT(((AT1637-(AU1637-1)*80)-1)/10)+1</f>
        <v>4</v>
      </c>
      <c r="AZ1637" s="13" t="s">
        <v>1148</v>
      </c>
      <c r="BA1637" s="14">
        <f t="shared" si="361"/>
        <v>3</v>
      </c>
      <c r="BB1637" s="14" t="str">
        <f t="shared" si="362"/>
        <v>秦琼魂珠-4 等级-3</v>
      </c>
      <c r="BC1637" s="25" t="s">
        <v>44</v>
      </c>
      <c r="BD1637" s="14">
        <f t="shared" si="363"/>
        <v>264</v>
      </c>
      <c r="BE1637" s="14">
        <f>SUMIFS(BD$4:BD1637,$AU$4:$AU1637,"="&amp;$AU1637,$AY$4:$AY1637,"="&amp;$AY1637)</f>
        <v>576</v>
      </c>
      <c r="BF1637" s="25" t="s">
        <v>1157</v>
      </c>
      <c r="BG1637" s="14">
        <f t="shared" si="364"/>
        <v>132</v>
      </c>
      <c r="BH1637" s="14">
        <f>SUMIFS(BG$4:BG1637,AU$4:AU1637,"="&amp;AU1637,AY$4:AY1637,"="&amp;AY1637)</f>
        <v>288</v>
      </c>
      <c r="BI1637" s="25" t="s">
        <v>1158</v>
      </c>
      <c r="BJ1637" s="14">
        <f t="shared" si="365"/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58"/>
        <v>21</v>
      </c>
      <c r="AV1638" s="14">
        <f t="shared" si="359"/>
        <v>203104</v>
      </c>
      <c r="AW1638" s="14">
        <f t="shared" si="360"/>
        <v>1102031</v>
      </c>
      <c r="AX1638" s="13" t="s">
        <v>1127</v>
      </c>
      <c r="AY1638" s="13">
        <f t="shared" si="367"/>
        <v>4</v>
      </c>
      <c r="AZ1638" s="13" t="s">
        <v>1148</v>
      </c>
      <c r="BA1638" s="14">
        <f t="shared" si="361"/>
        <v>4</v>
      </c>
      <c r="BB1638" s="14" t="str">
        <f t="shared" si="362"/>
        <v>秦琼魂珠-4 等级-4</v>
      </c>
      <c r="BC1638" s="25" t="s">
        <v>44</v>
      </c>
      <c r="BD1638" s="14">
        <f t="shared" si="363"/>
        <v>384</v>
      </c>
      <c r="BE1638" s="14">
        <f>SUMIFS(BD$4:BD1638,$AU$4:$AU1638,"="&amp;$AU1638,$AY$4:$AY1638,"="&amp;$AY1638)</f>
        <v>960</v>
      </c>
      <c r="BF1638" s="25" t="s">
        <v>1157</v>
      </c>
      <c r="BG1638" s="14">
        <f t="shared" si="364"/>
        <v>192</v>
      </c>
      <c r="BH1638" s="14">
        <f>SUMIFS(BG$4:BG1638,AU$4:AU1638,"="&amp;AU1638,AY$4:AY1638,"="&amp;AY1638)</f>
        <v>480</v>
      </c>
      <c r="BI1638" s="25" t="s">
        <v>1158</v>
      </c>
      <c r="BJ1638" s="14">
        <f t="shared" si="365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58"/>
        <v>21</v>
      </c>
      <c r="AV1639" s="14">
        <f t="shared" si="359"/>
        <v>203104</v>
      </c>
      <c r="AW1639" s="14">
        <f t="shared" si="360"/>
        <v>1102031</v>
      </c>
      <c r="AX1639" s="13" t="s">
        <v>1127</v>
      </c>
      <c r="AY1639" s="13">
        <f t="shared" si="367"/>
        <v>4</v>
      </c>
      <c r="AZ1639" s="13" t="s">
        <v>1148</v>
      </c>
      <c r="BA1639" s="14">
        <f t="shared" si="361"/>
        <v>5</v>
      </c>
      <c r="BB1639" s="14" t="str">
        <f t="shared" si="362"/>
        <v>秦琼魂珠-4 等级-5</v>
      </c>
      <c r="BC1639" s="25" t="s">
        <v>44</v>
      </c>
      <c r="BD1639" s="14">
        <f t="shared" si="363"/>
        <v>504</v>
      </c>
      <c r="BE1639" s="14">
        <f>SUMIFS(BD$4:BD1639,$AU$4:$AU1639,"="&amp;$AU1639,$AY$4:$AY1639,"="&amp;$AY1639)</f>
        <v>1464</v>
      </c>
      <c r="BF1639" s="25" t="s">
        <v>1157</v>
      </c>
      <c r="BG1639" s="14">
        <f t="shared" si="364"/>
        <v>252</v>
      </c>
      <c r="BH1639" s="14">
        <f>SUMIFS(BG$4:BG1639,AU$4:AU1639,"="&amp;AU1639,AY$4:AY1639,"="&amp;AY1639)</f>
        <v>732</v>
      </c>
      <c r="BI1639" s="25" t="s">
        <v>1158</v>
      </c>
      <c r="BJ1639" s="14">
        <f t="shared" si="365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58"/>
        <v>21</v>
      </c>
      <c r="AV1640" s="14">
        <f t="shared" si="359"/>
        <v>203104</v>
      </c>
      <c r="AW1640" s="14">
        <f t="shared" si="360"/>
        <v>1102031</v>
      </c>
      <c r="AX1640" s="13" t="s">
        <v>1127</v>
      </c>
      <c r="AY1640" s="13">
        <f t="shared" si="367"/>
        <v>4</v>
      </c>
      <c r="AZ1640" s="13" t="s">
        <v>1148</v>
      </c>
      <c r="BA1640" s="14">
        <f t="shared" si="361"/>
        <v>6</v>
      </c>
      <c r="BB1640" s="14" t="str">
        <f t="shared" si="362"/>
        <v>秦琼魂珠-4 等级-6</v>
      </c>
      <c r="BC1640" s="25" t="s">
        <v>44</v>
      </c>
      <c r="BD1640" s="14">
        <f t="shared" si="363"/>
        <v>660</v>
      </c>
      <c r="BE1640" s="14">
        <f>SUMIFS(BD$4:BD1640,$AU$4:$AU1640,"="&amp;$AU1640,$AY$4:$AY1640,"="&amp;$AY1640)</f>
        <v>2124</v>
      </c>
      <c r="BF1640" s="25" t="s">
        <v>1157</v>
      </c>
      <c r="BG1640" s="14">
        <f t="shared" si="364"/>
        <v>330</v>
      </c>
      <c r="BH1640" s="14">
        <f>SUMIFS(BG$4:BG1640,AU$4:AU1640,"="&amp;AU1640,AY$4:AY1640,"="&amp;AY1640)</f>
        <v>1062</v>
      </c>
      <c r="BI1640" s="25" t="s">
        <v>1158</v>
      </c>
      <c r="BJ1640" s="14">
        <f t="shared" si="365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58"/>
        <v>21</v>
      </c>
      <c r="AV1641" s="14">
        <f t="shared" si="359"/>
        <v>203104</v>
      </c>
      <c r="AW1641" s="14">
        <f t="shared" si="360"/>
        <v>1102031</v>
      </c>
      <c r="AX1641" s="13" t="s">
        <v>1127</v>
      </c>
      <c r="AY1641" s="13">
        <f t="shared" si="367"/>
        <v>4</v>
      </c>
      <c r="AZ1641" s="13" t="s">
        <v>1148</v>
      </c>
      <c r="BA1641" s="14">
        <f t="shared" si="361"/>
        <v>7</v>
      </c>
      <c r="BB1641" s="14" t="str">
        <f t="shared" si="362"/>
        <v>秦琼魂珠-4 等级-7</v>
      </c>
      <c r="BC1641" s="25" t="s">
        <v>44</v>
      </c>
      <c r="BD1641" s="14">
        <f t="shared" si="363"/>
        <v>780</v>
      </c>
      <c r="BE1641" s="14">
        <f>SUMIFS(BD$4:BD1641,$AU$4:$AU1641,"="&amp;$AU1641,$AY$4:$AY1641,"="&amp;$AY1641)</f>
        <v>2904</v>
      </c>
      <c r="BF1641" s="25" t="s">
        <v>1157</v>
      </c>
      <c r="BG1641" s="14">
        <f t="shared" si="364"/>
        <v>390</v>
      </c>
      <c r="BH1641" s="14">
        <f>SUMIFS(BG$4:BG1641,AU$4:AU1641,"="&amp;AU1641,AY$4:AY1641,"="&amp;AY1641)</f>
        <v>1452</v>
      </c>
      <c r="BI1641" s="25" t="s">
        <v>1158</v>
      </c>
      <c r="BJ1641" s="14">
        <f t="shared" si="365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58"/>
        <v>21</v>
      </c>
      <c r="AV1642" s="14">
        <f t="shared" si="359"/>
        <v>203104</v>
      </c>
      <c r="AW1642" s="14">
        <f t="shared" si="360"/>
        <v>1102031</v>
      </c>
      <c r="AX1642" s="13" t="s">
        <v>1127</v>
      </c>
      <c r="AY1642" s="13">
        <f t="shared" si="367"/>
        <v>4</v>
      </c>
      <c r="AZ1642" s="13" t="s">
        <v>1148</v>
      </c>
      <c r="BA1642" s="14">
        <f t="shared" si="361"/>
        <v>8</v>
      </c>
      <c r="BB1642" s="14" t="str">
        <f t="shared" si="362"/>
        <v>秦琼魂珠-4 等级-8</v>
      </c>
      <c r="BC1642" s="25" t="s">
        <v>44</v>
      </c>
      <c r="BD1642" s="14">
        <f t="shared" si="363"/>
        <v>900</v>
      </c>
      <c r="BE1642" s="14">
        <f>SUMIFS(BD$4:BD1642,$AU$4:$AU1642,"="&amp;$AU1642,$AY$4:$AY1642,"="&amp;$AY1642)</f>
        <v>3804</v>
      </c>
      <c r="BF1642" s="25" t="s">
        <v>1157</v>
      </c>
      <c r="BG1642" s="14">
        <f t="shared" si="364"/>
        <v>450</v>
      </c>
      <c r="BH1642" s="14">
        <f>SUMIFS(BG$4:BG1642,AU$4:AU1642,"="&amp;AU1642,AY$4:AY1642,"="&amp;AY1642)</f>
        <v>1902</v>
      </c>
      <c r="BI1642" s="25" t="s">
        <v>1158</v>
      </c>
      <c r="BJ1642" s="14">
        <f t="shared" si="365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58"/>
        <v>21</v>
      </c>
      <c r="AV1643" s="14">
        <f t="shared" si="359"/>
        <v>203104</v>
      </c>
      <c r="AW1643" s="14">
        <f t="shared" si="360"/>
        <v>1102031</v>
      </c>
      <c r="AX1643" s="13" t="s">
        <v>1127</v>
      </c>
      <c r="AY1643" s="13">
        <f t="shared" si="367"/>
        <v>4</v>
      </c>
      <c r="AZ1643" s="13" t="s">
        <v>1148</v>
      </c>
      <c r="BA1643" s="14">
        <f t="shared" si="361"/>
        <v>9</v>
      </c>
      <c r="BB1643" s="14" t="str">
        <f t="shared" si="362"/>
        <v>秦琼魂珠-4 等级-9</v>
      </c>
      <c r="BC1643" s="25" t="s">
        <v>44</v>
      </c>
      <c r="BD1643" s="14">
        <f t="shared" si="363"/>
        <v>1020</v>
      </c>
      <c r="BE1643" s="14">
        <f>SUMIFS(BD$4:BD1643,$AU$4:$AU1643,"="&amp;$AU1643,$AY$4:$AY1643,"="&amp;$AY1643)</f>
        <v>4824</v>
      </c>
      <c r="BF1643" s="25" t="s">
        <v>1157</v>
      </c>
      <c r="BG1643" s="14">
        <f t="shared" si="364"/>
        <v>510</v>
      </c>
      <c r="BH1643" s="14">
        <f>SUMIFS(BG$4:BG1643,AU$4:AU1643,"="&amp;AU1643,AY$4:AY1643,"="&amp;AY1643)</f>
        <v>2412</v>
      </c>
      <c r="BI1643" s="25" t="s">
        <v>1158</v>
      </c>
      <c r="BJ1643" s="14">
        <f t="shared" si="365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58"/>
        <v>21</v>
      </c>
      <c r="AV1644" s="14">
        <f t="shared" si="359"/>
        <v>203105</v>
      </c>
      <c r="AW1644" s="14">
        <f t="shared" si="360"/>
        <v>1102031</v>
      </c>
      <c r="AX1644" s="13" t="s">
        <v>1127</v>
      </c>
      <c r="AY1644" s="13">
        <f t="shared" si="367"/>
        <v>5</v>
      </c>
      <c r="AZ1644" s="13" t="s">
        <v>1148</v>
      </c>
      <c r="BA1644" s="14">
        <f t="shared" si="361"/>
        <v>0</v>
      </c>
      <c r="BB1644" s="14" t="str">
        <f t="shared" si="362"/>
        <v>秦琼魂珠-5 等级-0</v>
      </c>
      <c r="BC1644" s="25" t="s">
        <v>44</v>
      </c>
      <c r="BD1644" s="14">
        <f t="shared" si="363"/>
        <v>0</v>
      </c>
      <c r="BE1644" s="14">
        <f>SUMIFS(BD$4:BD1644,$AU$4:$AU1644,"="&amp;$AU1644,$AY$4:$AY1644,"="&amp;$AY1644)</f>
        <v>0</v>
      </c>
      <c r="BF1644" s="25" t="s">
        <v>1157</v>
      </c>
      <c r="BG1644" s="14">
        <f t="shared" si="364"/>
        <v>0</v>
      </c>
      <c r="BH1644" s="14">
        <f>SUMIFS(BG$4:BG1644,AU$4:AU1644,"="&amp;AU1644,AY$4:AY1644,"="&amp;AY1644)</f>
        <v>0</v>
      </c>
      <c r="BI1644" s="25" t="s">
        <v>1158</v>
      </c>
      <c r="BJ1644" s="14">
        <f t="shared" si="365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58"/>
        <v>21</v>
      </c>
      <c r="AV1645" s="14">
        <f t="shared" si="359"/>
        <v>203105</v>
      </c>
      <c r="AW1645" s="14">
        <f t="shared" si="360"/>
        <v>1102031</v>
      </c>
      <c r="AX1645" s="13" t="s">
        <v>1127</v>
      </c>
      <c r="AY1645" s="13">
        <f t="shared" si="367"/>
        <v>5</v>
      </c>
      <c r="AZ1645" s="13" t="s">
        <v>1148</v>
      </c>
      <c r="BA1645" s="14">
        <f t="shared" si="361"/>
        <v>1</v>
      </c>
      <c r="BB1645" s="14" t="str">
        <f t="shared" si="362"/>
        <v>秦琼魂珠-5 等级-1</v>
      </c>
      <c r="BC1645" s="25" t="s">
        <v>44</v>
      </c>
      <c r="BD1645" s="14">
        <f t="shared" si="363"/>
        <v>168</v>
      </c>
      <c r="BE1645" s="14">
        <f>SUMIFS(BD$4:BD1645,$AU$4:$AU1645,"="&amp;$AU1645,$AY$4:$AY1645,"="&amp;$AY1645)</f>
        <v>168</v>
      </c>
      <c r="BF1645" s="25" t="s">
        <v>1157</v>
      </c>
      <c r="BG1645" s="14">
        <f t="shared" si="364"/>
        <v>84</v>
      </c>
      <c r="BH1645" s="14">
        <f>SUMIFS(BG$4:BG1645,AU$4:AU1645,"="&amp;AU1645,AY$4:AY1645,"="&amp;AY1645)</f>
        <v>84</v>
      </c>
      <c r="BI1645" s="25" t="s">
        <v>1158</v>
      </c>
      <c r="BJ1645" s="14">
        <f t="shared" si="365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58"/>
        <v>21</v>
      </c>
      <c r="AV1646" s="14">
        <f t="shared" si="359"/>
        <v>203105</v>
      </c>
      <c r="AW1646" s="14">
        <f t="shared" si="360"/>
        <v>1102031</v>
      </c>
      <c r="AX1646" s="13" t="s">
        <v>1127</v>
      </c>
      <c r="AY1646" s="13">
        <f t="shared" si="367"/>
        <v>5</v>
      </c>
      <c r="AZ1646" s="13" t="s">
        <v>1148</v>
      </c>
      <c r="BA1646" s="14">
        <f t="shared" si="361"/>
        <v>2</v>
      </c>
      <c r="BB1646" s="14" t="str">
        <f t="shared" si="362"/>
        <v>秦琼魂珠-5 等级-2</v>
      </c>
      <c r="BC1646" s="25" t="s">
        <v>44</v>
      </c>
      <c r="BD1646" s="14">
        <f t="shared" si="363"/>
        <v>240</v>
      </c>
      <c r="BE1646" s="14">
        <f>SUMIFS(BD$4:BD1646,$AU$4:$AU1646,"="&amp;$AU1646,$AY$4:$AY1646,"="&amp;$AY1646)</f>
        <v>408</v>
      </c>
      <c r="BF1646" s="25" t="s">
        <v>1157</v>
      </c>
      <c r="BG1646" s="14">
        <f t="shared" si="364"/>
        <v>120</v>
      </c>
      <c r="BH1646" s="14">
        <f>SUMIFS(BG$4:BG1646,AU$4:AU1646,"="&amp;AU1646,AY$4:AY1646,"="&amp;AY1646)</f>
        <v>204</v>
      </c>
      <c r="BI1646" s="25" t="s">
        <v>1158</v>
      </c>
      <c r="BJ1646" s="14">
        <f t="shared" si="365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58"/>
        <v>21</v>
      </c>
      <c r="AV1647" s="14">
        <f t="shared" si="359"/>
        <v>203105</v>
      </c>
      <c r="AW1647" s="14">
        <f t="shared" si="360"/>
        <v>1102031</v>
      </c>
      <c r="AX1647" s="13" t="s">
        <v>1127</v>
      </c>
      <c r="AY1647" s="13">
        <f t="shared" si="367"/>
        <v>5</v>
      </c>
      <c r="AZ1647" s="13" t="s">
        <v>1148</v>
      </c>
      <c r="BA1647" s="14">
        <f t="shared" si="361"/>
        <v>3</v>
      </c>
      <c r="BB1647" s="14" t="str">
        <f t="shared" si="362"/>
        <v>秦琼魂珠-5 等级-3</v>
      </c>
      <c r="BC1647" s="25" t="s">
        <v>44</v>
      </c>
      <c r="BD1647" s="14">
        <f t="shared" si="363"/>
        <v>312</v>
      </c>
      <c r="BE1647" s="14">
        <f>SUMIFS(BD$4:BD1647,$AU$4:$AU1647,"="&amp;$AU1647,$AY$4:$AY1647,"="&amp;$AY1647)</f>
        <v>720</v>
      </c>
      <c r="BF1647" s="25" t="s">
        <v>1157</v>
      </c>
      <c r="BG1647" s="14">
        <f t="shared" si="364"/>
        <v>156</v>
      </c>
      <c r="BH1647" s="14">
        <f>SUMIFS(BG$4:BG1647,AU$4:AU1647,"="&amp;AU1647,AY$4:AY1647,"="&amp;AY1647)</f>
        <v>360</v>
      </c>
      <c r="BI1647" s="25" t="s">
        <v>1158</v>
      </c>
      <c r="BJ1647" s="14">
        <f t="shared" si="365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58"/>
        <v>21</v>
      </c>
      <c r="AV1648" s="14">
        <f t="shared" si="359"/>
        <v>203105</v>
      </c>
      <c r="AW1648" s="14">
        <f t="shared" si="360"/>
        <v>1102031</v>
      </c>
      <c r="AX1648" s="13" t="s">
        <v>1127</v>
      </c>
      <c r="AY1648" s="13">
        <f t="shared" si="367"/>
        <v>5</v>
      </c>
      <c r="AZ1648" s="13" t="s">
        <v>1148</v>
      </c>
      <c r="BA1648" s="14">
        <f t="shared" si="361"/>
        <v>4</v>
      </c>
      <c r="BB1648" s="14" t="str">
        <f t="shared" si="362"/>
        <v>秦琼魂珠-5 等级-4</v>
      </c>
      <c r="BC1648" s="25" t="s">
        <v>44</v>
      </c>
      <c r="BD1648" s="14">
        <f t="shared" si="363"/>
        <v>480</v>
      </c>
      <c r="BE1648" s="14">
        <f>SUMIFS(BD$4:BD1648,$AU$4:$AU1648,"="&amp;$AU1648,$AY$4:$AY1648,"="&amp;$AY1648)</f>
        <v>1200</v>
      </c>
      <c r="BF1648" s="25" t="s">
        <v>1157</v>
      </c>
      <c r="BG1648" s="14">
        <f t="shared" si="364"/>
        <v>240</v>
      </c>
      <c r="BH1648" s="14">
        <f>SUMIFS(BG$4:BG1648,AU$4:AU1648,"="&amp;AU1648,AY$4:AY1648,"="&amp;AY1648)</f>
        <v>600</v>
      </c>
      <c r="BI1648" s="25" t="s">
        <v>1158</v>
      </c>
      <c r="BJ1648" s="14">
        <f t="shared" si="365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58"/>
        <v>21</v>
      </c>
      <c r="AV1649" s="14">
        <f t="shared" si="359"/>
        <v>203105</v>
      </c>
      <c r="AW1649" s="14">
        <f t="shared" si="360"/>
        <v>1102031</v>
      </c>
      <c r="AX1649" s="13" t="s">
        <v>1127</v>
      </c>
      <c r="AY1649" s="13">
        <f t="shared" si="367"/>
        <v>5</v>
      </c>
      <c r="AZ1649" s="13" t="s">
        <v>1148</v>
      </c>
      <c r="BA1649" s="14">
        <f t="shared" si="361"/>
        <v>5</v>
      </c>
      <c r="BB1649" s="14" t="str">
        <f t="shared" si="362"/>
        <v>秦琼魂珠-5 等级-5</v>
      </c>
      <c r="BC1649" s="25" t="s">
        <v>44</v>
      </c>
      <c r="BD1649" s="14">
        <f t="shared" si="363"/>
        <v>624</v>
      </c>
      <c r="BE1649" s="14">
        <f>SUMIFS(BD$4:BD1649,$AU$4:$AU1649,"="&amp;$AU1649,$AY$4:$AY1649,"="&amp;$AY1649)</f>
        <v>1824</v>
      </c>
      <c r="BF1649" s="25" t="s">
        <v>1157</v>
      </c>
      <c r="BG1649" s="14">
        <f t="shared" si="364"/>
        <v>312</v>
      </c>
      <c r="BH1649" s="14">
        <f>SUMIFS(BG$4:BG1649,AU$4:AU1649,"="&amp;AU1649,AY$4:AY1649,"="&amp;AY1649)</f>
        <v>912</v>
      </c>
      <c r="BI1649" s="25" t="s">
        <v>1158</v>
      </c>
      <c r="BJ1649" s="14">
        <f t="shared" si="365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58"/>
        <v>21</v>
      </c>
      <c r="AV1650" s="14">
        <f t="shared" si="359"/>
        <v>203105</v>
      </c>
      <c r="AW1650" s="14">
        <f t="shared" si="360"/>
        <v>1102031</v>
      </c>
      <c r="AX1650" s="13" t="s">
        <v>1127</v>
      </c>
      <c r="AY1650" s="13">
        <f t="shared" si="367"/>
        <v>5</v>
      </c>
      <c r="AZ1650" s="13" t="s">
        <v>1148</v>
      </c>
      <c r="BA1650" s="14">
        <f t="shared" si="361"/>
        <v>6</v>
      </c>
      <c r="BB1650" s="14" t="str">
        <f t="shared" si="362"/>
        <v>秦琼魂珠-5 等级-6</v>
      </c>
      <c r="BC1650" s="25" t="s">
        <v>44</v>
      </c>
      <c r="BD1650" s="14">
        <f t="shared" si="363"/>
        <v>780</v>
      </c>
      <c r="BE1650" s="14">
        <f>SUMIFS(BD$4:BD1650,$AU$4:$AU1650,"="&amp;$AU1650,$AY$4:$AY1650,"="&amp;$AY1650)</f>
        <v>2604</v>
      </c>
      <c r="BF1650" s="25" t="s">
        <v>1157</v>
      </c>
      <c r="BG1650" s="14">
        <f t="shared" si="364"/>
        <v>390</v>
      </c>
      <c r="BH1650" s="14">
        <f>SUMIFS(BG$4:BG1650,AU$4:AU1650,"="&amp;AU1650,AY$4:AY1650,"="&amp;AY1650)</f>
        <v>1302</v>
      </c>
      <c r="BI1650" s="25" t="s">
        <v>1158</v>
      </c>
      <c r="BJ1650" s="14">
        <f t="shared" si="365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58"/>
        <v>21</v>
      </c>
      <c r="AV1651" s="14">
        <f t="shared" si="359"/>
        <v>203105</v>
      </c>
      <c r="AW1651" s="14">
        <f t="shared" si="360"/>
        <v>1102031</v>
      </c>
      <c r="AX1651" s="13" t="s">
        <v>1127</v>
      </c>
      <c r="AY1651" s="13">
        <f t="shared" si="367"/>
        <v>5</v>
      </c>
      <c r="AZ1651" s="13" t="s">
        <v>1148</v>
      </c>
      <c r="BA1651" s="14">
        <f t="shared" si="361"/>
        <v>7</v>
      </c>
      <c r="BB1651" s="14" t="str">
        <f t="shared" si="362"/>
        <v>秦琼魂珠-5 等级-7</v>
      </c>
      <c r="BC1651" s="25" t="s">
        <v>44</v>
      </c>
      <c r="BD1651" s="14">
        <f t="shared" si="363"/>
        <v>960</v>
      </c>
      <c r="BE1651" s="14">
        <f>SUMIFS(BD$4:BD1651,$AU$4:$AU1651,"="&amp;$AU1651,$AY$4:$AY1651,"="&amp;$AY1651)</f>
        <v>3564</v>
      </c>
      <c r="BF1651" s="25" t="s">
        <v>1157</v>
      </c>
      <c r="BG1651" s="14">
        <f t="shared" si="364"/>
        <v>480</v>
      </c>
      <c r="BH1651" s="14">
        <f>SUMIFS(BG$4:BG1651,AU$4:AU1651,"="&amp;AU1651,AY$4:AY1651,"="&amp;AY1651)</f>
        <v>1782</v>
      </c>
      <c r="BI1651" s="25" t="s">
        <v>1158</v>
      </c>
      <c r="BJ1651" s="14">
        <f t="shared" si="365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58"/>
        <v>21</v>
      </c>
      <c r="AV1652" s="14">
        <f t="shared" si="359"/>
        <v>203105</v>
      </c>
      <c r="AW1652" s="14">
        <f t="shared" si="360"/>
        <v>1102031</v>
      </c>
      <c r="AX1652" s="13" t="s">
        <v>1127</v>
      </c>
      <c r="AY1652" s="13">
        <f t="shared" si="367"/>
        <v>5</v>
      </c>
      <c r="AZ1652" s="13" t="s">
        <v>1148</v>
      </c>
      <c r="BA1652" s="14">
        <f t="shared" si="361"/>
        <v>8</v>
      </c>
      <c r="BB1652" s="14" t="str">
        <f t="shared" si="362"/>
        <v>秦琼魂珠-5 等级-8</v>
      </c>
      <c r="BC1652" s="25" t="s">
        <v>44</v>
      </c>
      <c r="BD1652" s="14">
        <f t="shared" si="363"/>
        <v>1140</v>
      </c>
      <c r="BE1652" s="14">
        <f>SUMIFS(BD$4:BD1652,$AU$4:$AU1652,"="&amp;$AU1652,$AY$4:$AY1652,"="&amp;$AY1652)</f>
        <v>4704</v>
      </c>
      <c r="BF1652" s="25" t="s">
        <v>1157</v>
      </c>
      <c r="BG1652" s="14">
        <f t="shared" si="364"/>
        <v>570</v>
      </c>
      <c r="BH1652" s="14">
        <f>SUMIFS(BG$4:BG1652,AU$4:AU1652,"="&amp;AU1652,AY$4:AY1652,"="&amp;AY1652)</f>
        <v>2352</v>
      </c>
      <c r="BI1652" s="25" t="s">
        <v>1158</v>
      </c>
      <c r="BJ1652" s="14">
        <f t="shared" si="365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58"/>
        <v>21</v>
      </c>
      <c r="AV1653" s="14">
        <f t="shared" si="359"/>
        <v>203105</v>
      </c>
      <c r="AW1653" s="14">
        <f t="shared" si="360"/>
        <v>1102031</v>
      </c>
      <c r="AX1653" s="13" t="s">
        <v>1127</v>
      </c>
      <c r="AY1653" s="13">
        <f t="shared" si="367"/>
        <v>5</v>
      </c>
      <c r="AZ1653" s="13" t="s">
        <v>1148</v>
      </c>
      <c r="BA1653" s="14">
        <f t="shared" si="361"/>
        <v>9</v>
      </c>
      <c r="BB1653" s="14" t="str">
        <f t="shared" si="362"/>
        <v>秦琼魂珠-5 等级-9</v>
      </c>
      <c r="BC1653" s="25" t="s">
        <v>44</v>
      </c>
      <c r="BD1653" s="14">
        <f t="shared" si="363"/>
        <v>1320</v>
      </c>
      <c r="BE1653" s="14">
        <f>SUMIFS(BD$4:BD1653,$AU$4:$AU1653,"="&amp;$AU1653,$AY$4:$AY1653,"="&amp;$AY1653)</f>
        <v>6024</v>
      </c>
      <c r="BF1653" s="25" t="s">
        <v>1157</v>
      </c>
      <c r="BG1653" s="14">
        <f t="shared" si="364"/>
        <v>660</v>
      </c>
      <c r="BH1653" s="14">
        <f>SUMIFS(BG$4:BG1653,AU$4:AU1653,"="&amp;AU1653,AY$4:AY1653,"="&amp;AY1653)</f>
        <v>3012</v>
      </c>
      <c r="BI1653" s="25" t="s">
        <v>1158</v>
      </c>
      <c r="BJ1653" s="14">
        <f t="shared" si="365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58"/>
        <v>21</v>
      </c>
      <c r="AV1654" s="14">
        <f t="shared" si="359"/>
        <v>203106</v>
      </c>
      <c r="AW1654" s="14">
        <f t="shared" si="360"/>
        <v>1102031</v>
      </c>
      <c r="AX1654" s="13" t="s">
        <v>1127</v>
      </c>
      <c r="AY1654" s="13">
        <f t="shared" si="367"/>
        <v>6</v>
      </c>
      <c r="AZ1654" s="13" t="s">
        <v>1148</v>
      </c>
      <c r="BA1654" s="14">
        <f t="shared" si="361"/>
        <v>0</v>
      </c>
      <c r="BB1654" s="14" t="str">
        <f t="shared" si="362"/>
        <v>秦琼魂珠-6 等级-0</v>
      </c>
      <c r="BC1654" s="25" t="s">
        <v>44</v>
      </c>
      <c r="BD1654" s="14">
        <f t="shared" si="363"/>
        <v>0</v>
      </c>
      <c r="BE1654" s="14">
        <f>SUMIFS(BD$4:BD1654,$AU$4:$AU1654,"="&amp;$AU1654,$AY$4:$AY1654,"="&amp;$AY1654)</f>
        <v>0</v>
      </c>
      <c r="BF1654" s="25" t="s">
        <v>1157</v>
      </c>
      <c r="BG1654" s="14">
        <f t="shared" si="364"/>
        <v>0</v>
      </c>
      <c r="BH1654" s="14">
        <f>SUMIFS(BG$4:BG1654,AU$4:AU1654,"="&amp;AU1654,AY$4:AY1654,"="&amp;AY1654)</f>
        <v>0</v>
      </c>
      <c r="BI1654" s="25" t="s">
        <v>1158</v>
      </c>
      <c r="BJ1654" s="14">
        <f t="shared" si="365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58"/>
        <v>21</v>
      </c>
      <c r="AV1655" s="14">
        <f t="shared" si="359"/>
        <v>203106</v>
      </c>
      <c r="AW1655" s="14">
        <f t="shared" si="360"/>
        <v>1102031</v>
      </c>
      <c r="AX1655" s="13" t="s">
        <v>1127</v>
      </c>
      <c r="AY1655" s="13">
        <f t="shared" si="367"/>
        <v>6</v>
      </c>
      <c r="AZ1655" s="13" t="s">
        <v>1148</v>
      </c>
      <c r="BA1655" s="14">
        <f t="shared" si="361"/>
        <v>1</v>
      </c>
      <c r="BB1655" s="14" t="str">
        <f t="shared" si="362"/>
        <v>秦琼魂珠-6 等级-1</v>
      </c>
      <c r="BC1655" s="25" t="s">
        <v>44</v>
      </c>
      <c r="BD1655" s="14">
        <f t="shared" si="363"/>
        <v>216</v>
      </c>
      <c r="BE1655" s="14">
        <f>SUMIFS(BD$4:BD1655,$AU$4:$AU1655,"="&amp;$AU1655,$AY$4:$AY1655,"="&amp;$AY1655)</f>
        <v>216</v>
      </c>
      <c r="BF1655" s="25" t="s">
        <v>1157</v>
      </c>
      <c r="BG1655" s="14">
        <f t="shared" si="364"/>
        <v>108</v>
      </c>
      <c r="BH1655" s="14">
        <f>SUMIFS(BG$4:BG1655,AU$4:AU1655,"="&amp;AU1655,AY$4:AY1655,"="&amp;AY1655)</f>
        <v>108</v>
      </c>
      <c r="BI1655" s="25" t="s">
        <v>1158</v>
      </c>
      <c r="BJ1655" s="14">
        <f t="shared" si="365"/>
        <v>4320</v>
      </c>
      <c r="BK1655" s="14">
        <f>SUMIFS(BJ$4:BJ1655,$AU$4:$AU1655,"="&amp;$AU1655,$AY$4:$AY1655,"="&amp;$AY1655)</f>
        <v>4320</v>
      </c>
    </row>
    <row r="1656" spans="46:63" ht="16.5" x14ac:dyDescent="0.2">
      <c r="AT1656" s="13">
        <v>1653</v>
      </c>
      <c r="AU1656" s="13">
        <f t="shared" si="358"/>
        <v>21</v>
      </c>
      <c r="AV1656" s="14">
        <f t="shared" si="359"/>
        <v>203106</v>
      </c>
      <c r="AW1656" s="14">
        <f t="shared" si="360"/>
        <v>1102031</v>
      </c>
      <c r="AX1656" s="13" t="s">
        <v>1127</v>
      </c>
      <c r="AY1656" s="13">
        <f t="shared" si="367"/>
        <v>6</v>
      </c>
      <c r="AZ1656" s="13" t="s">
        <v>1148</v>
      </c>
      <c r="BA1656" s="14">
        <f t="shared" si="361"/>
        <v>2</v>
      </c>
      <c r="BB1656" s="14" t="str">
        <f t="shared" si="362"/>
        <v>秦琼魂珠-6 等级-2</v>
      </c>
      <c r="BC1656" s="25" t="s">
        <v>44</v>
      </c>
      <c r="BD1656" s="14">
        <f t="shared" si="363"/>
        <v>336</v>
      </c>
      <c r="BE1656" s="14">
        <f>SUMIFS(BD$4:BD1656,$AU$4:$AU1656,"="&amp;$AU1656,$AY$4:$AY1656,"="&amp;$AY1656)</f>
        <v>552</v>
      </c>
      <c r="BF1656" s="25" t="s">
        <v>1157</v>
      </c>
      <c r="BG1656" s="14">
        <f t="shared" si="364"/>
        <v>168</v>
      </c>
      <c r="BH1656" s="14">
        <f>SUMIFS(BG$4:BG1656,AU$4:AU1656,"="&amp;AU1656,AY$4:AY1656,"="&amp;AY1656)</f>
        <v>276</v>
      </c>
      <c r="BI1656" s="25" t="s">
        <v>1158</v>
      </c>
      <c r="BJ1656" s="14">
        <f t="shared" si="365"/>
        <v>6720</v>
      </c>
      <c r="BK1656" s="14">
        <f>SUMIFS(BJ$4:BJ1656,$AU$4:$AU1656,"="&amp;$AU1656,$AY$4:$AY1656,"="&amp;$AY1656)</f>
        <v>11040</v>
      </c>
    </row>
    <row r="1657" spans="46:63" ht="16.5" x14ac:dyDescent="0.2">
      <c r="AT1657" s="13">
        <v>1654</v>
      </c>
      <c r="AU1657" s="13">
        <f t="shared" si="358"/>
        <v>21</v>
      </c>
      <c r="AV1657" s="14">
        <f t="shared" si="359"/>
        <v>203106</v>
      </c>
      <c r="AW1657" s="14">
        <f t="shared" si="360"/>
        <v>1102031</v>
      </c>
      <c r="AX1657" s="13" t="s">
        <v>1127</v>
      </c>
      <c r="AY1657" s="13">
        <f t="shared" si="367"/>
        <v>6</v>
      </c>
      <c r="AZ1657" s="13" t="s">
        <v>1148</v>
      </c>
      <c r="BA1657" s="14">
        <f t="shared" si="361"/>
        <v>3</v>
      </c>
      <c r="BB1657" s="14" t="str">
        <f t="shared" si="362"/>
        <v>秦琼魂珠-6 等级-3</v>
      </c>
      <c r="BC1657" s="25" t="s">
        <v>44</v>
      </c>
      <c r="BD1657" s="14">
        <f t="shared" si="363"/>
        <v>450</v>
      </c>
      <c r="BE1657" s="14">
        <f>SUMIFS(BD$4:BD1657,$AU$4:$AU1657,"="&amp;$AU1657,$AY$4:$AY1657,"="&amp;$AY1657)</f>
        <v>1002</v>
      </c>
      <c r="BF1657" s="25" t="s">
        <v>1157</v>
      </c>
      <c r="BG1657" s="14">
        <f t="shared" si="364"/>
        <v>225</v>
      </c>
      <c r="BH1657" s="14">
        <f>SUMIFS(BG$4:BG1657,AU$4:AU1657,"="&amp;AU1657,AY$4:AY1657,"="&amp;AY1657)</f>
        <v>501</v>
      </c>
      <c r="BI1657" s="25" t="s">
        <v>1158</v>
      </c>
      <c r="BJ1657" s="14">
        <f t="shared" si="365"/>
        <v>9000</v>
      </c>
      <c r="BK1657" s="14">
        <f>SUMIFS(BJ$4:BJ1657,$AU$4:$AU1657,"="&amp;$AU1657,$AY$4:$AY1657,"="&amp;$AY1657)</f>
        <v>20040</v>
      </c>
    </row>
    <row r="1658" spans="46:63" ht="16.5" x14ac:dyDescent="0.2">
      <c r="AT1658" s="13">
        <v>1655</v>
      </c>
      <c r="AU1658" s="13">
        <f t="shared" si="358"/>
        <v>21</v>
      </c>
      <c r="AV1658" s="14">
        <f t="shared" si="359"/>
        <v>203106</v>
      </c>
      <c r="AW1658" s="14">
        <f t="shared" si="360"/>
        <v>1102031</v>
      </c>
      <c r="AX1658" s="13" t="s">
        <v>1127</v>
      </c>
      <c r="AY1658" s="13">
        <f t="shared" si="367"/>
        <v>6</v>
      </c>
      <c r="AZ1658" s="13" t="s">
        <v>1148</v>
      </c>
      <c r="BA1658" s="14">
        <f t="shared" si="361"/>
        <v>4</v>
      </c>
      <c r="BB1658" s="14" t="str">
        <f t="shared" si="362"/>
        <v>秦琼魂珠-6 等级-4</v>
      </c>
      <c r="BC1658" s="25" t="s">
        <v>44</v>
      </c>
      <c r="BD1658" s="14">
        <f t="shared" si="363"/>
        <v>672</v>
      </c>
      <c r="BE1658" s="14">
        <f>SUMIFS(BD$4:BD1658,$AU$4:$AU1658,"="&amp;$AU1658,$AY$4:$AY1658,"="&amp;$AY1658)</f>
        <v>1674</v>
      </c>
      <c r="BF1658" s="25" t="s">
        <v>1157</v>
      </c>
      <c r="BG1658" s="14">
        <f t="shared" si="364"/>
        <v>336</v>
      </c>
      <c r="BH1658" s="14">
        <f>SUMIFS(BG$4:BG1658,AU$4:AU1658,"="&amp;AU1658,AY$4:AY1658,"="&amp;AY1658)</f>
        <v>837</v>
      </c>
      <c r="BI1658" s="25" t="s">
        <v>1158</v>
      </c>
      <c r="BJ1658" s="14">
        <f t="shared" si="365"/>
        <v>13440</v>
      </c>
      <c r="BK1658" s="14">
        <f>SUMIFS(BJ$4:BJ1658,$AU$4:$AU1658,"="&amp;$AU1658,$AY$4:$AY1658,"="&amp;$AY1658)</f>
        <v>33480</v>
      </c>
    </row>
    <row r="1659" spans="46:63" ht="16.5" x14ac:dyDescent="0.2">
      <c r="AT1659" s="13">
        <v>1656</v>
      </c>
      <c r="AU1659" s="13">
        <f t="shared" si="358"/>
        <v>21</v>
      </c>
      <c r="AV1659" s="14">
        <f t="shared" si="359"/>
        <v>203106</v>
      </c>
      <c r="AW1659" s="14">
        <f t="shared" si="360"/>
        <v>1102031</v>
      </c>
      <c r="AX1659" s="13" t="s">
        <v>1127</v>
      </c>
      <c r="AY1659" s="13">
        <f t="shared" si="367"/>
        <v>6</v>
      </c>
      <c r="AZ1659" s="13" t="s">
        <v>1148</v>
      </c>
      <c r="BA1659" s="14">
        <f t="shared" si="361"/>
        <v>5</v>
      </c>
      <c r="BB1659" s="14" t="str">
        <f t="shared" si="362"/>
        <v>秦琼魂珠-6 等级-5</v>
      </c>
      <c r="BC1659" s="25" t="s">
        <v>44</v>
      </c>
      <c r="BD1659" s="14">
        <f t="shared" si="363"/>
        <v>900</v>
      </c>
      <c r="BE1659" s="14">
        <f>SUMIFS(BD$4:BD1659,$AU$4:$AU1659,"="&amp;$AU1659,$AY$4:$AY1659,"="&amp;$AY1659)</f>
        <v>2574</v>
      </c>
      <c r="BF1659" s="25" t="s">
        <v>1157</v>
      </c>
      <c r="BG1659" s="14">
        <f t="shared" si="364"/>
        <v>450</v>
      </c>
      <c r="BH1659" s="14">
        <f>SUMIFS(BG$4:BG1659,AU$4:AU1659,"="&amp;AU1659,AY$4:AY1659,"="&amp;AY1659)</f>
        <v>1287</v>
      </c>
      <c r="BI1659" s="25" t="s">
        <v>1158</v>
      </c>
      <c r="BJ1659" s="14">
        <f t="shared" si="365"/>
        <v>18000</v>
      </c>
      <c r="BK1659" s="14">
        <f>SUMIFS(BJ$4:BJ1659,$AU$4:$AU1659,"="&amp;$AU1659,$AY$4:$AY1659,"="&amp;$AY1659)</f>
        <v>51480</v>
      </c>
    </row>
    <row r="1660" spans="46:63" ht="16.5" x14ac:dyDescent="0.2">
      <c r="AT1660" s="13">
        <v>1657</v>
      </c>
      <c r="AU1660" s="13">
        <f t="shared" si="358"/>
        <v>21</v>
      </c>
      <c r="AV1660" s="14">
        <f t="shared" si="359"/>
        <v>203106</v>
      </c>
      <c r="AW1660" s="14">
        <f t="shared" si="360"/>
        <v>1102031</v>
      </c>
      <c r="AX1660" s="13" t="s">
        <v>1127</v>
      </c>
      <c r="AY1660" s="13">
        <f t="shared" si="367"/>
        <v>6</v>
      </c>
      <c r="AZ1660" s="13" t="s">
        <v>1148</v>
      </c>
      <c r="BA1660" s="14">
        <f t="shared" si="361"/>
        <v>6</v>
      </c>
      <c r="BB1660" s="14" t="str">
        <f t="shared" si="362"/>
        <v>秦琼魂珠-6 等级-6</v>
      </c>
      <c r="BC1660" s="25" t="s">
        <v>44</v>
      </c>
      <c r="BD1660" s="14">
        <f t="shared" si="363"/>
        <v>1140</v>
      </c>
      <c r="BE1660" s="14">
        <f>SUMIFS(BD$4:BD1660,$AU$4:$AU1660,"="&amp;$AU1660,$AY$4:$AY1660,"="&amp;$AY1660)</f>
        <v>3714</v>
      </c>
      <c r="BF1660" s="25" t="s">
        <v>1157</v>
      </c>
      <c r="BG1660" s="14">
        <f t="shared" si="364"/>
        <v>570</v>
      </c>
      <c r="BH1660" s="14">
        <f>SUMIFS(BG$4:BG1660,AU$4:AU1660,"="&amp;AU1660,AY$4:AY1660,"="&amp;AY1660)</f>
        <v>1857</v>
      </c>
      <c r="BI1660" s="25" t="s">
        <v>1158</v>
      </c>
      <c r="BJ1660" s="14">
        <f t="shared" si="365"/>
        <v>22800</v>
      </c>
      <c r="BK1660" s="14">
        <f>SUMIFS(BJ$4:BJ1660,$AU$4:$AU1660,"="&amp;$AU1660,$AY$4:$AY1660,"="&amp;$AY1660)</f>
        <v>74280</v>
      </c>
    </row>
    <row r="1661" spans="46:63" ht="16.5" x14ac:dyDescent="0.2">
      <c r="AT1661" s="13">
        <v>1658</v>
      </c>
      <c r="AU1661" s="13">
        <f t="shared" si="358"/>
        <v>21</v>
      </c>
      <c r="AV1661" s="14">
        <f t="shared" si="359"/>
        <v>203106</v>
      </c>
      <c r="AW1661" s="14">
        <f t="shared" si="360"/>
        <v>1102031</v>
      </c>
      <c r="AX1661" s="13" t="s">
        <v>1127</v>
      </c>
      <c r="AY1661" s="13">
        <f t="shared" si="367"/>
        <v>6</v>
      </c>
      <c r="AZ1661" s="13" t="s">
        <v>1148</v>
      </c>
      <c r="BA1661" s="14">
        <f t="shared" si="361"/>
        <v>7</v>
      </c>
      <c r="BB1661" s="14" t="str">
        <f t="shared" si="362"/>
        <v>秦琼魂珠-6 等级-7</v>
      </c>
      <c r="BC1661" s="25" t="s">
        <v>44</v>
      </c>
      <c r="BD1661" s="14">
        <f t="shared" si="363"/>
        <v>1380</v>
      </c>
      <c r="BE1661" s="14">
        <f>SUMIFS(BD$4:BD1661,$AU$4:$AU1661,"="&amp;$AU1661,$AY$4:$AY1661,"="&amp;$AY1661)</f>
        <v>5094</v>
      </c>
      <c r="BF1661" s="25" t="s">
        <v>1157</v>
      </c>
      <c r="BG1661" s="14">
        <f t="shared" si="364"/>
        <v>690</v>
      </c>
      <c r="BH1661" s="14">
        <f>SUMIFS(BG$4:BG1661,AU$4:AU1661,"="&amp;AU1661,AY$4:AY1661,"="&amp;AY1661)</f>
        <v>2547</v>
      </c>
      <c r="BI1661" s="25" t="s">
        <v>1158</v>
      </c>
      <c r="BJ1661" s="14">
        <f t="shared" si="365"/>
        <v>27600</v>
      </c>
      <c r="BK1661" s="14">
        <f>SUMIFS(BJ$4:BJ1661,$AU$4:$AU1661,"="&amp;$AU1661,$AY$4:$AY1661,"="&amp;$AY1661)</f>
        <v>101880</v>
      </c>
    </row>
    <row r="1662" spans="46:63" ht="16.5" x14ac:dyDescent="0.2">
      <c r="AT1662" s="13">
        <v>1659</v>
      </c>
      <c r="AU1662" s="13">
        <f t="shared" si="358"/>
        <v>21</v>
      </c>
      <c r="AV1662" s="14">
        <f t="shared" si="359"/>
        <v>203106</v>
      </c>
      <c r="AW1662" s="14">
        <f t="shared" si="360"/>
        <v>1102031</v>
      </c>
      <c r="AX1662" s="13" t="s">
        <v>1127</v>
      </c>
      <c r="AY1662" s="13">
        <f t="shared" si="367"/>
        <v>6</v>
      </c>
      <c r="AZ1662" s="13" t="s">
        <v>1148</v>
      </c>
      <c r="BA1662" s="14">
        <f t="shared" si="361"/>
        <v>8</v>
      </c>
      <c r="BB1662" s="14" t="str">
        <f t="shared" si="362"/>
        <v>秦琼魂珠-6 等级-8</v>
      </c>
      <c r="BC1662" s="25" t="s">
        <v>44</v>
      </c>
      <c r="BD1662" s="14">
        <f t="shared" si="363"/>
        <v>1560</v>
      </c>
      <c r="BE1662" s="14">
        <f>SUMIFS(BD$4:BD1662,$AU$4:$AU1662,"="&amp;$AU1662,$AY$4:$AY1662,"="&amp;$AY1662)</f>
        <v>6654</v>
      </c>
      <c r="BF1662" s="25" t="s">
        <v>1157</v>
      </c>
      <c r="BG1662" s="14">
        <f t="shared" si="364"/>
        <v>780</v>
      </c>
      <c r="BH1662" s="14">
        <f>SUMIFS(BG$4:BG1662,AU$4:AU1662,"="&amp;AU1662,AY$4:AY1662,"="&amp;AY1662)</f>
        <v>3327</v>
      </c>
      <c r="BI1662" s="25" t="s">
        <v>1158</v>
      </c>
      <c r="BJ1662" s="14">
        <f t="shared" si="365"/>
        <v>31200</v>
      </c>
      <c r="BK1662" s="14">
        <f>SUMIFS(BJ$4:BJ1662,$AU$4:$AU1662,"="&amp;$AU1662,$AY$4:$AY1662,"="&amp;$AY1662)</f>
        <v>133080</v>
      </c>
    </row>
    <row r="1663" spans="46:63" ht="16.5" x14ac:dyDescent="0.2">
      <c r="AT1663" s="13">
        <v>1660</v>
      </c>
      <c r="AU1663" s="13">
        <f t="shared" si="358"/>
        <v>21</v>
      </c>
      <c r="AV1663" s="14">
        <f t="shared" si="359"/>
        <v>203106</v>
      </c>
      <c r="AW1663" s="14">
        <f t="shared" si="360"/>
        <v>1102031</v>
      </c>
      <c r="AX1663" s="13" t="s">
        <v>1127</v>
      </c>
      <c r="AY1663" s="13">
        <f t="shared" si="367"/>
        <v>6</v>
      </c>
      <c r="AZ1663" s="13" t="s">
        <v>1148</v>
      </c>
      <c r="BA1663" s="14">
        <f t="shared" si="361"/>
        <v>9</v>
      </c>
      <c r="BB1663" s="14" t="str">
        <f t="shared" si="362"/>
        <v>秦琼魂珠-6 等级-9</v>
      </c>
      <c r="BC1663" s="25" t="s">
        <v>44</v>
      </c>
      <c r="BD1663" s="14">
        <f t="shared" si="363"/>
        <v>1800</v>
      </c>
      <c r="BE1663" s="14">
        <f>SUMIFS(BD$4:BD1663,$AU$4:$AU1663,"="&amp;$AU1663,$AY$4:$AY1663,"="&amp;$AY1663)</f>
        <v>8454</v>
      </c>
      <c r="BF1663" s="25" t="s">
        <v>1157</v>
      </c>
      <c r="BG1663" s="14">
        <f t="shared" si="364"/>
        <v>900</v>
      </c>
      <c r="BH1663" s="14">
        <f>SUMIFS(BG$4:BG1663,AU$4:AU1663,"="&amp;AU1663,AY$4:AY1663,"="&amp;AY1663)</f>
        <v>4227</v>
      </c>
      <c r="BI1663" s="25" t="s">
        <v>1158</v>
      </c>
      <c r="BJ1663" s="14">
        <f t="shared" si="365"/>
        <v>36000</v>
      </c>
      <c r="BK1663" s="14">
        <f>SUMIFS(BJ$4:BJ1663,$AU$4:$AU1663,"="&amp;$AU1663,$AY$4:$AY1663,"="&amp;$AY1663)</f>
        <v>169080</v>
      </c>
    </row>
    <row r="1664" spans="46:63" ht="16.5" x14ac:dyDescent="0.2">
      <c r="AT1664" s="13">
        <v>1661</v>
      </c>
      <c r="AU1664" s="13">
        <f t="shared" si="358"/>
        <v>21</v>
      </c>
      <c r="AV1664" s="14">
        <f t="shared" si="359"/>
        <v>203107</v>
      </c>
      <c r="AW1664" s="14">
        <f t="shared" si="360"/>
        <v>1102031</v>
      </c>
      <c r="AX1664" s="13" t="s">
        <v>1127</v>
      </c>
      <c r="AY1664" s="13">
        <f t="shared" si="367"/>
        <v>7</v>
      </c>
      <c r="AZ1664" s="13" t="s">
        <v>1148</v>
      </c>
      <c r="BA1664" s="14">
        <f t="shared" si="361"/>
        <v>0</v>
      </c>
      <c r="BB1664" s="14" t="str">
        <f t="shared" si="362"/>
        <v>秦琼魂珠-7 等级-0</v>
      </c>
      <c r="BC1664" s="25" t="s">
        <v>44</v>
      </c>
      <c r="BD1664" s="14">
        <f t="shared" si="363"/>
        <v>0</v>
      </c>
      <c r="BE1664" s="14">
        <f>SUMIFS(BD$4:BD1664,$AU$4:$AU1664,"="&amp;$AU1664,$AY$4:$AY1664,"="&amp;$AY1664)</f>
        <v>0</v>
      </c>
      <c r="BF1664" s="25" t="s">
        <v>1157</v>
      </c>
      <c r="BG1664" s="14">
        <f t="shared" si="364"/>
        <v>0</v>
      </c>
      <c r="BH1664" s="14">
        <f>SUMIFS(BG$4:BG1664,AU$4:AU1664,"="&amp;AU1664,AY$4:AY1664,"="&amp;AY1664)</f>
        <v>0</v>
      </c>
      <c r="BI1664" s="25" t="s">
        <v>1158</v>
      </c>
      <c r="BJ1664" s="14">
        <f t="shared" si="365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58"/>
        <v>21</v>
      </c>
      <c r="AV1665" s="14">
        <f t="shared" si="359"/>
        <v>203107</v>
      </c>
      <c r="AW1665" s="14">
        <f t="shared" si="360"/>
        <v>1102031</v>
      </c>
      <c r="AX1665" s="13" t="s">
        <v>1127</v>
      </c>
      <c r="AY1665" s="13">
        <f t="shared" si="367"/>
        <v>7</v>
      </c>
      <c r="AZ1665" s="13" t="s">
        <v>1148</v>
      </c>
      <c r="BA1665" s="14">
        <f t="shared" si="361"/>
        <v>1</v>
      </c>
      <c r="BB1665" s="14" t="str">
        <f t="shared" si="362"/>
        <v>秦琼魂珠-7 等级-1</v>
      </c>
      <c r="BC1665" s="25" t="s">
        <v>44</v>
      </c>
      <c r="BD1665" s="14">
        <f t="shared" si="363"/>
        <v>288</v>
      </c>
      <c r="BE1665" s="14">
        <f>SUMIFS(BD$4:BD1665,$AU$4:$AU1665,"="&amp;$AU1665,$AY$4:$AY1665,"="&amp;$AY1665)</f>
        <v>288</v>
      </c>
      <c r="BF1665" s="25" t="s">
        <v>1157</v>
      </c>
      <c r="BG1665" s="14">
        <f t="shared" si="364"/>
        <v>144</v>
      </c>
      <c r="BH1665" s="14">
        <f>SUMIFS(BG$4:BG1665,AU$4:AU1665,"="&amp;AU1665,AY$4:AY1665,"="&amp;AY1665)</f>
        <v>144</v>
      </c>
      <c r="BI1665" s="25" t="s">
        <v>1158</v>
      </c>
      <c r="BJ1665" s="14">
        <f t="shared" si="365"/>
        <v>5760</v>
      </c>
      <c r="BK1665" s="14">
        <f>SUMIFS(BJ$4:BJ1665,$AU$4:$AU1665,"="&amp;$AU1665,$AY$4:$AY1665,"="&amp;$AY1665)</f>
        <v>5760</v>
      </c>
    </row>
    <row r="1666" spans="46:63" ht="16.5" x14ac:dyDescent="0.2">
      <c r="AT1666" s="13">
        <v>1663</v>
      </c>
      <c r="AU1666" s="13">
        <f t="shared" si="358"/>
        <v>21</v>
      </c>
      <c r="AV1666" s="14">
        <f t="shared" si="359"/>
        <v>203107</v>
      </c>
      <c r="AW1666" s="14">
        <f t="shared" si="360"/>
        <v>1102031</v>
      </c>
      <c r="AX1666" s="13" t="s">
        <v>1127</v>
      </c>
      <c r="AY1666" s="13">
        <f t="shared" si="367"/>
        <v>7</v>
      </c>
      <c r="AZ1666" s="13" t="s">
        <v>1148</v>
      </c>
      <c r="BA1666" s="14">
        <f t="shared" si="361"/>
        <v>2</v>
      </c>
      <c r="BB1666" s="14" t="str">
        <f t="shared" si="362"/>
        <v>秦琼魂珠-7 等级-2</v>
      </c>
      <c r="BC1666" s="25" t="s">
        <v>44</v>
      </c>
      <c r="BD1666" s="14">
        <f t="shared" si="363"/>
        <v>432</v>
      </c>
      <c r="BE1666" s="14">
        <f>SUMIFS(BD$4:BD1666,$AU$4:$AU1666,"="&amp;$AU1666,$AY$4:$AY1666,"="&amp;$AY1666)</f>
        <v>720</v>
      </c>
      <c r="BF1666" s="25" t="s">
        <v>1157</v>
      </c>
      <c r="BG1666" s="14">
        <f t="shared" si="364"/>
        <v>216</v>
      </c>
      <c r="BH1666" s="14">
        <f>SUMIFS(BG$4:BG1666,AU$4:AU1666,"="&amp;AU1666,AY$4:AY1666,"="&amp;AY1666)</f>
        <v>360</v>
      </c>
      <c r="BI1666" s="25" t="s">
        <v>1158</v>
      </c>
      <c r="BJ1666" s="14">
        <f t="shared" si="365"/>
        <v>8640</v>
      </c>
      <c r="BK1666" s="14">
        <f>SUMIFS(BJ$4:BJ1666,$AU$4:$AU1666,"="&amp;$AU1666,$AY$4:$AY1666,"="&amp;$AY1666)</f>
        <v>14400</v>
      </c>
    </row>
    <row r="1667" spans="46:63" ht="16.5" x14ac:dyDescent="0.2">
      <c r="AT1667" s="13">
        <v>1664</v>
      </c>
      <c r="AU1667" s="13">
        <f t="shared" si="358"/>
        <v>21</v>
      </c>
      <c r="AV1667" s="14">
        <f t="shared" si="359"/>
        <v>203107</v>
      </c>
      <c r="AW1667" s="14">
        <f t="shared" si="360"/>
        <v>1102031</v>
      </c>
      <c r="AX1667" s="13" t="s">
        <v>1127</v>
      </c>
      <c r="AY1667" s="13">
        <f t="shared" si="367"/>
        <v>7</v>
      </c>
      <c r="AZ1667" s="13" t="s">
        <v>1148</v>
      </c>
      <c r="BA1667" s="14">
        <f t="shared" si="361"/>
        <v>3</v>
      </c>
      <c r="BB1667" s="14" t="str">
        <f t="shared" si="362"/>
        <v>秦琼魂珠-7 等级-3</v>
      </c>
      <c r="BC1667" s="25" t="s">
        <v>44</v>
      </c>
      <c r="BD1667" s="14">
        <f t="shared" si="363"/>
        <v>576</v>
      </c>
      <c r="BE1667" s="14">
        <f>SUMIFS(BD$4:BD1667,$AU$4:$AU1667,"="&amp;$AU1667,$AY$4:$AY1667,"="&amp;$AY1667)</f>
        <v>1296</v>
      </c>
      <c r="BF1667" s="25" t="s">
        <v>1157</v>
      </c>
      <c r="BG1667" s="14">
        <f t="shared" si="364"/>
        <v>288</v>
      </c>
      <c r="BH1667" s="14">
        <f>SUMIFS(BG$4:BG1667,AU$4:AU1667,"="&amp;AU1667,AY$4:AY1667,"="&amp;AY1667)</f>
        <v>648</v>
      </c>
      <c r="BI1667" s="25" t="s">
        <v>1158</v>
      </c>
      <c r="BJ1667" s="14">
        <f t="shared" si="365"/>
        <v>11520</v>
      </c>
      <c r="BK1667" s="14">
        <f>SUMIFS(BJ$4:BJ1667,$AU$4:$AU1667,"="&amp;$AU1667,$AY$4:$AY1667,"="&amp;$AY1667)</f>
        <v>25920</v>
      </c>
    </row>
    <row r="1668" spans="46:63" ht="16.5" x14ac:dyDescent="0.2">
      <c r="AT1668" s="13">
        <v>1665</v>
      </c>
      <c r="AU1668" s="13">
        <f t="shared" si="358"/>
        <v>21</v>
      </c>
      <c r="AV1668" s="14">
        <f t="shared" si="359"/>
        <v>203107</v>
      </c>
      <c r="AW1668" s="14">
        <f t="shared" si="360"/>
        <v>1102031</v>
      </c>
      <c r="AX1668" s="13" t="s">
        <v>1127</v>
      </c>
      <c r="AY1668" s="13">
        <f t="shared" si="367"/>
        <v>7</v>
      </c>
      <c r="AZ1668" s="13" t="s">
        <v>1148</v>
      </c>
      <c r="BA1668" s="14">
        <f t="shared" si="361"/>
        <v>4</v>
      </c>
      <c r="BB1668" s="14" t="str">
        <f t="shared" si="362"/>
        <v>秦琼魂珠-7 等级-4</v>
      </c>
      <c r="BC1668" s="25" t="s">
        <v>44</v>
      </c>
      <c r="BD1668" s="14">
        <f t="shared" si="363"/>
        <v>864</v>
      </c>
      <c r="BE1668" s="14">
        <f>SUMIFS(BD$4:BD1668,$AU$4:$AU1668,"="&amp;$AU1668,$AY$4:$AY1668,"="&amp;$AY1668)</f>
        <v>2160</v>
      </c>
      <c r="BF1668" s="25" t="s">
        <v>1157</v>
      </c>
      <c r="BG1668" s="14">
        <f t="shared" si="364"/>
        <v>432</v>
      </c>
      <c r="BH1668" s="14">
        <f>SUMIFS(BG$4:BG1668,AU$4:AU1668,"="&amp;AU1668,AY$4:AY1668,"="&amp;AY1668)</f>
        <v>1080</v>
      </c>
      <c r="BI1668" s="25" t="s">
        <v>1158</v>
      </c>
      <c r="BJ1668" s="14">
        <f t="shared" si="365"/>
        <v>17280</v>
      </c>
      <c r="BK1668" s="14">
        <f>SUMIFS(BJ$4:BJ1668,$AU$4:$AU1668,"="&amp;$AU1668,$AY$4:$AY1668,"="&amp;$AY1668)</f>
        <v>43200</v>
      </c>
    </row>
    <row r="1669" spans="46:63" ht="16.5" x14ac:dyDescent="0.2">
      <c r="AT1669" s="13">
        <v>1666</v>
      </c>
      <c r="AU1669" s="13">
        <f t="shared" ref="AU1669:AU1732" si="368">INT((AT1669-1)/80)+1</f>
        <v>21</v>
      </c>
      <c r="AV1669" s="14">
        <f t="shared" ref="AV1669:AV1732" si="369">INDEX($AJ$4:$AJ$203,(AU1669-1)*8+AY1669)</f>
        <v>203107</v>
      </c>
      <c r="AW1669" s="14">
        <f t="shared" ref="AW1669:AW1732" si="370">INDEX($W$4:$W$28,AU1669)</f>
        <v>1102031</v>
      </c>
      <c r="AX1669" s="13" t="s">
        <v>1127</v>
      </c>
      <c r="AY1669" s="13">
        <f t="shared" si="367"/>
        <v>7</v>
      </c>
      <c r="AZ1669" s="13" t="s">
        <v>1148</v>
      </c>
      <c r="BA1669" s="14">
        <f t="shared" ref="BA1669:BA1683" si="371">AT1669-(AU1669-1)*80-(AY1669-1)*10-1</f>
        <v>5</v>
      </c>
      <c r="BB1669" s="14" t="str">
        <f t="shared" ref="BB1669:BB1732" si="372">INDEX($X$4:$X$28,AU1669)&amp;"魂珠-"&amp;AY1669&amp;" 等级-"&amp;BA1669</f>
        <v>秦琼魂珠-7 等级-5</v>
      </c>
      <c r="BC1669" s="25" t="s">
        <v>44</v>
      </c>
      <c r="BD1669" s="14">
        <f t="shared" ref="BD1669:BD1732" si="373">ROUND(INDEX(Q$4:Q$83,($AY1669-1)*10+$BA1669+1)*INDEX(AC$4:AC$28,$AU1669),0)</f>
        <v>1152</v>
      </c>
      <c r="BE1669" s="14">
        <f>SUMIFS(BD$4:BD1669,$AU$4:$AU1669,"="&amp;$AU1669,$AY$4:$AY1669,"="&amp;$AY1669)</f>
        <v>3312</v>
      </c>
      <c r="BF1669" s="25" t="s">
        <v>1157</v>
      </c>
      <c r="BG1669" s="14">
        <f t="shared" ref="BG1669:BG1732" si="374">ROUND(INDEX(R$4:R$83,($AY1669-1)*10+$BA1669+1)*INDEX(AD$4:AD$28,$AU1669),0)</f>
        <v>576</v>
      </c>
      <c r="BH1669" s="14">
        <f>SUMIFS(BG$4:BG1669,AU$4:AU1669,"="&amp;AU1669,AY$4:AY1669,"="&amp;AY1669)</f>
        <v>1656</v>
      </c>
      <c r="BI1669" s="25" t="s">
        <v>1158</v>
      </c>
      <c r="BJ1669" s="14">
        <f t="shared" ref="BJ1669:BJ1732" si="375">ROUND(INDEX(S$4:S$83,($AY1669-1)*10+$BA1669+1)*INDEX(AE$4:AE$28,$AU1669),0)</f>
        <v>23040</v>
      </c>
      <c r="BK1669" s="14">
        <f>SUMIFS(BJ$4:BJ1669,$AU$4:$AU1669,"="&amp;$AU1669,$AY$4:$AY1669,"="&amp;$AY1669)</f>
        <v>66240</v>
      </c>
    </row>
    <row r="1670" spans="46:63" ht="16.5" x14ac:dyDescent="0.2">
      <c r="AT1670" s="13">
        <v>1667</v>
      </c>
      <c r="AU1670" s="13">
        <f t="shared" si="368"/>
        <v>21</v>
      </c>
      <c r="AV1670" s="14">
        <f t="shared" si="369"/>
        <v>203107</v>
      </c>
      <c r="AW1670" s="14">
        <f t="shared" si="370"/>
        <v>1102031</v>
      </c>
      <c r="AX1670" s="13" t="s">
        <v>1127</v>
      </c>
      <c r="AY1670" s="13">
        <f t="shared" si="367"/>
        <v>7</v>
      </c>
      <c r="AZ1670" s="13" t="s">
        <v>1148</v>
      </c>
      <c r="BA1670" s="14">
        <f t="shared" si="371"/>
        <v>6</v>
      </c>
      <c r="BB1670" s="14" t="str">
        <f t="shared" si="372"/>
        <v>秦琼魂珠-7 等级-6</v>
      </c>
      <c r="BC1670" s="25" t="s">
        <v>44</v>
      </c>
      <c r="BD1670" s="14">
        <f t="shared" si="373"/>
        <v>1440</v>
      </c>
      <c r="BE1670" s="14">
        <f>SUMIFS(BD$4:BD1670,$AU$4:$AU1670,"="&amp;$AU1670,$AY$4:$AY1670,"="&amp;$AY1670)</f>
        <v>4752</v>
      </c>
      <c r="BF1670" s="25" t="s">
        <v>1157</v>
      </c>
      <c r="BG1670" s="14">
        <f t="shared" si="374"/>
        <v>720</v>
      </c>
      <c r="BH1670" s="14">
        <f>SUMIFS(BG$4:BG1670,AU$4:AU1670,"="&amp;AU1670,AY$4:AY1670,"="&amp;AY1670)</f>
        <v>2376</v>
      </c>
      <c r="BI1670" s="25" t="s">
        <v>1158</v>
      </c>
      <c r="BJ1670" s="14">
        <f t="shared" si="375"/>
        <v>28800</v>
      </c>
      <c r="BK1670" s="14">
        <f>SUMIFS(BJ$4:BJ1670,$AU$4:$AU1670,"="&amp;$AU1670,$AY$4:$AY1670,"="&amp;$AY1670)</f>
        <v>95040</v>
      </c>
    </row>
    <row r="1671" spans="46:63" ht="16.5" x14ac:dyDescent="0.2">
      <c r="AT1671" s="13">
        <v>1668</v>
      </c>
      <c r="AU1671" s="13">
        <f t="shared" si="368"/>
        <v>21</v>
      </c>
      <c r="AV1671" s="14">
        <f t="shared" si="369"/>
        <v>203107</v>
      </c>
      <c r="AW1671" s="14">
        <f t="shared" si="370"/>
        <v>1102031</v>
      </c>
      <c r="AX1671" s="13" t="s">
        <v>1127</v>
      </c>
      <c r="AY1671" s="13">
        <f t="shared" si="367"/>
        <v>7</v>
      </c>
      <c r="AZ1671" s="13" t="s">
        <v>1148</v>
      </c>
      <c r="BA1671" s="14">
        <f t="shared" si="371"/>
        <v>7</v>
      </c>
      <c r="BB1671" s="14" t="str">
        <f t="shared" si="372"/>
        <v>秦琼魂珠-7 等级-7</v>
      </c>
      <c r="BC1671" s="25" t="s">
        <v>44</v>
      </c>
      <c r="BD1671" s="14">
        <f t="shared" si="373"/>
        <v>1728</v>
      </c>
      <c r="BE1671" s="14">
        <f>SUMIFS(BD$4:BD1671,$AU$4:$AU1671,"="&amp;$AU1671,$AY$4:$AY1671,"="&amp;$AY1671)</f>
        <v>6480</v>
      </c>
      <c r="BF1671" s="25" t="s">
        <v>1157</v>
      </c>
      <c r="BG1671" s="14">
        <f t="shared" si="374"/>
        <v>864</v>
      </c>
      <c r="BH1671" s="14">
        <f>SUMIFS(BG$4:BG1671,AU$4:AU1671,"="&amp;AU1671,AY$4:AY1671,"="&amp;AY1671)</f>
        <v>3240</v>
      </c>
      <c r="BI1671" s="25" t="s">
        <v>1158</v>
      </c>
      <c r="BJ1671" s="14">
        <f t="shared" si="375"/>
        <v>34560</v>
      </c>
      <c r="BK1671" s="14">
        <f>SUMIFS(BJ$4:BJ1671,$AU$4:$AU1671,"="&amp;$AU1671,$AY$4:$AY1671,"="&amp;$AY1671)</f>
        <v>129600</v>
      </c>
    </row>
    <row r="1672" spans="46:63" ht="16.5" x14ac:dyDescent="0.2">
      <c r="AT1672" s="13">
        <v>1669</v>
      </c>
      <c r="AU1672" s="13">
        <f t="shared" si="368"/>
        <v>21</v>
      </c>
      <c r="AV1672" s="14">
        <f t="shared" si="369"/>
        <v>203107</v>
      </c>
      <c r="AW1672" s="14">
        <f t="shared" si="370"/>
        <v>1102031</v>
      </c>
      <c r="AX1672" s="13" t="s">
        <v>1127</v>
      </c>
      <c r="AY1672" s="13">
        <f t="shared" si="367"/>
        <v>7</v>
      </c>
      <c r="AZ1672" s="13" t="s">
        <v>1148</v>
      </c>
      <c r="BA1672" s="14">
        <f t="shared" si="371"/>
        <v>8</v>
      </c>
      <c r="BB1672" s="14" t="str">
        <f t="shared" si="372"/>
        <v>秦琼魂珠-7 等级-8</v>
      </c>
      <c r="BC1672" s="25" t="s">
        <v>44</v>
      </c>
      <c r="BD1672" s="14">
        <f t="shared" si="373"/>
        <v>2016</v>
      </c>
      <c r="BE1672" s="14">
        <f>SUMIFS(BD$4:BD1672,$AU$4:$AU1672,"="&amp;$AU1672,$AY$4:$AY1672,"="&amp;$AY1672)</f>
        <v>8496</v>
      </c>
      <c r="BF1672" s="25" t="s">
        <v>1157</v>
      </c>
      <c r="BG1672" s="14">
        <f t="shared" si="374"/>
        <v>1008</v>
      </c>
      <c r="BH1672" s="14">
        <f>SUMIFS(BG$4:BG1672,AU$4:AU1672,"="&amp;AU1672,AY$4:AY1672,"="&amp;AY1672)</f>
        <v>4248</v>
      </c>
      <c r="BI1672" s="25" t="s">
        <v>1158</v>
      </c>
      <c r="BJ1672" s="14">
        <f t="shared" si="375"/>
        <v>40320</v>
      </c>
      <c r="BK1672" s="14">
        <f>SUMIFS(BJ$4:BJ1672,$AU$4:$AU1672,"="&amp;$AU1672,$AY$4:$AY1672,"="&amp;$AY1672)</f>
        <v>169920</v>
      </c>
    </row>
    <row r="1673" spans="46:63" ht="16.5" x14ac:dyDescent="0.2">
      <c r="AT1673" s="13">
        <v>1670</v>
      </c>
      <c r="AU1673" s="13">
        <f t="shared" si="368"/>
        <v>21</v>
      </c>
      <c r="AV1673" s="14">
        <f t="shared" si="369"/>
        <v>203107</v>
      </c>
      <c r="AW1673" s="14">
        <f t="shared" si="370"/>
        <v>1102031</v>
      </c>
      <c r="AX1673" s="13" t="s">
        <v>1127</v>
      </c>
      <c r="AY1673" s="13">
        <f t="shared" si="367"/>
        <v>7</v>
      </c>
      <c r="AZ1673" s="13" t="s">
        <v>1148</v>
      </c>
      <c r="BA1673" s="14">
        <f t="shared" si="371"/>
        <v>9</v>
      </c>
      <c r="BB1673" s="14" t="str">
        <f t="shared" si="372"/>
        <v>秦琼魂珠-7 等级-9</v>
      </c>
      <c r="BC1673" s="25" t="s">
        <v>44</v>
      </c>
      <c r="BD1673" s="14">
        <f t="shared" si="373"/>
        <v>2304</v>
      </c>
      <c r="BE1673" s="14">
        <f>SUMIFS(BD$4:BD1673,$AU$4:$AU1673,"="&amp;$AU1673,$AY$4:$AY1673,"="&amp;$AY1673)</f>
        <v>10800</v>
      </c>
      <c r="BF1673" s="25" t="s">
        <v>1157</v>
      </c>
      <c r="BG1673" s="14">
        <f t="shared" si="374"/>
        <v>1152</v>
      </c>
      <c r="BH1673" s="14">
        <f>SUMIFS(BG$4:BG1673,AU$4:AU1673,"="&amp;AU1673,AY$4:AY1673,"="&amp;AY1673)</f>
        <v>5400</v>
      </c>
      <c r="BI1673" s="25" t="s">
        <v>1158</v>
      </c>
      <c r="BJ1673" s="14">
        <f t="shared" si="375"/>
        <v>46080</v>
      </c>
      <c r="BK1673" s="14">
        <f>SUMIFS(BJ$4:BJ1673,$AU$4:$AU1673,"="&amp;$AU1673,$AY$4:$AY1673,"="&amp;$AY1673)</f>
        <v>216000</v>
      </c>
    </row>
    <row r="1674" spans="46:63" ht="16.5" x14ac:dyDescent="0.2">
      <c r="AT1674" s="13">
        <v>1671</v>
      </c>
      <c r="AU1674" s="13">
        <f t="shared" si="368"/>
        <v>21</v>
      </c>
      <c r="AV1674" s="14">
        <f t="shared" si="369"/>
        <v>203108</v>
      </c>
      <c r="AW1674" s="14">
        <f t="shared" si="370"/>
        <v>1102031</v>
      </c>
      <c r="AX1674" s="13" t="s">
        <v>1127</v>
      </c>
      <c r="AY1674" s="13">
        <f t="shared" si="367"/>
        <v>8</v>
      </c>
      <c r="AZ1674" s="13" t="s">
        <v>1148</v>
      </c>
      <c r="BA1674" s="14">
        <f t="shared" si="371"/>
        <v>0</v>
      </c>
      <c r="BB1674" s="14" t="str">
        <f t="shared" si="372"/>
        <v>秦琼魂珠-8 等级-0</v>
      </c>
      <c r="BC1674" s="25" t="s">
        <v>44</v>
      </c>
      <c r="BD1674" s="14">
        <f t="shared" si="373"/>
        <v>0</v>
      </c>
      <c r="BE1674" s="14">
        <f>SUMIFS(BD$4:BD1674,$AU$4:$AU1674,"="&amp;$AU1674,$AY$4:$AY1674,"="&amp;$AY1674)</f>
        <v>0</v>
      </c>
      <c r="BF1674" s="25" t="s">
        <v>1157</v>
      </c>
      <c r="BG1674" s="14">
        <f t="shared" si="374"/>
        <v>0</v>
      </c>
      <c r="BH1674" s="14">
        <f>SUMIFS(BG$4:BG1674,AU$4:AU1674,"="&amp;AU1674,AY$4:AY1674,"="&amp;AY1674)</f>
        <v>0</v>
      </c>
      <c r="BI1674" s="25" t="s">
        <v>1158</v>
      </c>
      <c r="BJ1674" s="14">
        <f t="shared" si="375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68"/>
        <v>21</v>
      </c>
      <c r="AV1675" s="14">
        <f t="shared" si="369"/>
        <v>203108</v>
      </c>
      <c r="AW1675" s="14">
        <f t="shared" si="370"/>
        <v>1102031</v>
      </c>
      <c r="AX1675" s="13" t="s">
        <v>1127</v>
      </c>
      <c r="AY1675" s="13">
        <f t="shared" si="367"/>
        <v>8</v>
      </c>
      <c r="AZ1675" s="13" t="s">
        <v>1148</v>
      </c>
      <c r="BA1675" s="14">
        <f t="shared" si="371"/>
        <v>1</v>
      </c>
      <c r="BB1675" s="14" t="str">
        <f t="shared" si="372"/>
        <v>秦琼魂珠-8 等级-1</v>
      </c>
      <c r="BC1675" s="25" t="s">
        <v>44</v>
      </c>
      <c r="BD1675" s="14">
        <f t="shared" si="373"/>
        <v>384</v>
      </c>
      <c r="BE1675" s="14">
        <f>SUMIFS(BD$4:BD1675,$AU$4:$AU1675,"="&amp;$AU1675,$AY$4:$AY1675,"="&amp;$AY1675)</f>
        <v>384</v>
      </c>
      <c r="BF1675" s="25" t="s">
        <v>1157</v>
      </c>
      <c r="BG1675" s="14">
        <f t="shared" si="374"/>
        <v>192</v>
      </c>
      <c r="BH1675" s="14">
        <f>SUMIFS(BG$4:BG1675,AU$4:AU1675,"="&amp;AU1675,AY$4:AY1675,"="&amp;AY1675)</f>
        <v>192</v>
      </c>
      <c r="BI1675" s="25" t="s">
        <v>1158</v>
      </c>
      <c r="BJ1675" s="14">
        <f t="shared" si="375"/>
        <v>7680</v>
      </c>
      <c r="BK1675" s="14">
        <f>SUMIFS(BJ$4:BJ1675,$AU$4:$AU1675,"="&amp;$AU1675,$AY$4:$AY1675,"="&amp;$AY1675)</f>
        <v>7680</v>
      </c>
    </row>
    <row r="1676" spans="46:63" ht="16.5" x14ac:dyDescent="0.2">
      <c r="AT1676" s="13">
        <v>1673</v>
      </c>
      <c r="AU1676" s="13">
        <f t="shared" si="368"/>
        <v>21</v>
      </c>
      <c r="AV1676" s="14">
        <f t="shared" si="369"/>
        <v>203108</v>
      </c>
      <c r="AW1676" s="14">
        <f t="shared" si="370"/>
        <v>1102031</v>
      </c>
      <c r="AX1676" s="13" t="s">
        <v>1127</v>
      </c>
      <c r="AY1676" s="13">
        <f t="shared" si="367"/>
        <v>8</v>
      </c>
      <c r="AZ1676" s="13" t="s">
        <v>1148</v>
      </c>
      <c r="BA1676" s="14">
        <f t="shared" si="371"/>
        <v>2</v>
      </c>
      <c r="BB1676" s="14" t="str">
        <f t="shared" si="372"/>
        <v>秦琼魂珠-8 等级-2</v>
      </c>
      <c r="BC1676" s="25" t="s">
        <v>44</v>
      </c>
      <c r="BD1676" s="14">
        <f t="shared" si="373"/>
        <v>576</v>
      </c>
      <c r="BE1676" s="14">
        <f>SUMIFS(BD$4:BD1676,$AU$4:$AU1676,"="&amp;$AU1676,$AY$4:$AY1676,"="&amp;$AY1676)</f>
        <v>960</v>
      </c>
      <c r="BF1676" s="25" t="s">
        <v>1157</v>
      </c>
      <c r="BG1676" s="14">
        <f t="shared" si="374"/>
        <v>288</v>
      </c>
      <c r="BH1676" s="14">
        <f>SUMIFS(BG$4:BG1676,AU$4:AU1676,"="&amp;AU1676,AY$4:AY1676,"="&amp;AY1676)</f>
        <v>480</v>
      </c>
      <c r="BI1676" s="25" t="s">
        <v>1158</v>
      </c>
      <c r="BJ1676" s="14">
        <f t="shared" si="375"/>
        <v>11520</v>
      </c>
      <c r="BK1676" s="14">
        <f>SUMIFS(BJ$4:BJ1676,$AU$4:$AU1676,"="&amp;$AU1676,$AY$4:$AY1676,"="&amp;$AY1676)</f>
        <v>19200</v>
      </c>
    </row>
    <row r="1677" spans="46:63" ht="16.5" x14ac:dyDescent="0.2">
      <c r="AT1677" s="13">
        <v>1674</v>
      </c>
      <c r="AU1677" s="13">
        <f t="shared" si="368"/>
        <v>21</v>
      </c>
      <c r="AV1677" s="14">
        <f t="shared" si="369"/>
        <v>203108</v>
      </c>
      <c r="AW1677" s="14">
        <f t="shared" si="370"/>
        <v>1102031</v>
      </c>
      <c r="AX1677" s="13" t="s">
        <v>1127</v>
      </c>
      <c r="AY1677" s="13">
        <f t="shared" si="367"/>
        <v>8</v>
      </c>
      <c r="AZ1677" s="13" t="s">
        <v>1148</v>
      </c>
      <c r="BA1677" s="14">
        <f t="shared" si="371"/>
        <v>3</v>
      </c>
      <c r="BB1677" s="14" t="str">
        <f t="shared" si="372"/>
        <v>秦琼魂珠-8 等级-3</v>
      </c>
      <c r="BC1677" s="25" t="s">
        <v>44</v>
      </c>
      <c r="BD1677" s="14">
        <f t="shared" si="373"/>
        <v>768</v>
      </c>
      <c r="BE1677" s="14">
        <f>SUMIFS(BD$4:BD1677,$AU$4:$AU1677,"="&amp;$AU1677,$AY$4:$AY1677,"="&amp;$AY1677)</f>
        <v>1728</v>
      </c>
      <c r="BF1677" s="25" t="s">
        <v>1157</v>
      </c>
      <c r="BG1677" s="14">
        <f t="shared" si="374"/>
        <v>384</v>
      </c>
      <c r="BH1677" s="14">
        <f>SUMIFS(BG$4:BG1677,AU$4:AU1677,"="&amp;AU1677,AY$4:AY1677,"="&amp;AY1677)</f>
        <v>864</v>
      </c>
      <c r="BI1677" s="25" t="s">
        <v>1158</v>
      </c>
      <c r="BJ1677" s="14">
        <f t="shared" si="375"/>
        <v>15360</v>
      </c>
      <c r="BK1677" s="14">
        <f>SUMIFS(BJ$4:BJ1677,$AU$4:$AU1677,"="&amp;$AU1677,$AY$4:$AY1677,"="&amp;$AY1677)</f>
        <v>34560</v>
      </c>
    </row>
    <row r="1678" spans="46:63" ht="16.5" x14ac:dyDescent="0.2">
      <c r="AT1678" s="13">
        <v>1675</v>
      </c>
      <c r="AU1678" s="13">
        <f t="shared" si="368"/>
        <v>21</v>
      </c>
      <c r="AV1678" s="14">
        <f t="shared" si="369"/>
        <v>203108</v>
      </c>
      <c r="AW1678" s="14">
        <f t="shared" si="370"/>
        <v>1102031</v>
      </c>
      <c r="AX1678" s="13" t="s">
        <v>1127</v>
      </c>
      <c r="AY1678" s="13">
        <f t="shared" si="367"/>
        <v>8</v>
      </c>
      <c r="AZ1678" s="13" t="s">
        <v>1148</v>
      </c>
      <c r="BA1678" s="14">
        <f t="shared" si="371"/>
        <v>4</v>
      </c>
      <c r="BB1678" s="14" t="str">
        <f t="shared" si="372"/>
        <v>秦琼魂珠-8 等级-4</v>
      </c>
      <c r="BC1678" s="25" t="s">
        <v>44</v>
      </c>
      <c r="BD1678" s="14">
        <f t="shared" si="373"/>
        <v>1152</v>
      </c>
      <c r="BE1678" s="14">
        <f>SUMIFS(BD$4:BD1678,$AU$4:$AU1678,"="&amp;$AU1678,$AY$4:$AY1678,"="&amp;$AY1678)</f>
        <v>2880</v>
      </c>
      <c r="BF1678" s="25" t="s">
        <v>1157</v>
      </c>
      <c r="BG1678" s="14">
        <f t="shared" si="374"/>
        <v>576</v>
      </c>
      <c r="BH1678" s="14">
        <f>SUMIFS(BG$4:BG1678,AU$4:AU1678,"="&amp;AU1678,AY$4:AY1678,"="&amp;AY1678)</f>
        <v>1440</v>
      </c>
      <c r="BI1678" s="25" t="s">
        <v>1158</v>
      </c>
      <c r="BJ1678" s="14">
        <f t="shared" si="375"/>
        <v>23040</v>
      </c>
      <c r="BK1678" s="14">
        <f>SUMIFS(BJ$4:BJ1678,$AU$4:$AU1678,"="&amp;$AU1678,$AY$4:$AY1678,"="&amp;$AY1678)</f>
        <v>57600</v>
      </c>
    </row>
    <row r="1679" spans="46:63" ht="16.5" x14ac:dyDescent="0.2">
      <c r="AT1679" s="13">
        <v>1676</v>
      </c>
      <c r="AU1679" s="13">
        <f t="shared" si="368"/>
        <v>21</v>
      </c>
      <c r="AV1679" s="14">
        <f t="shared" si="369"/>
        <v>203108</v>
      </c>
      <c r="AW1679" s="14">
        <f t="shared" si="370"/>
        <v>1102031</v>
      </c>
      <c r="AX1679" s="13" t="s">
        <v>1127</v>
      </c>
      <c r="AY1679" s="13">
        <f t="shared" si="367"/>
        <v>8</v>
      </c>
      <c r="AZ1679" s="13" t="s">
        <v>1148</v>
      </c>
      <c r="BA1679" s="14">
        <f t="shared" si="371"/>
        <v>5</v>
      </c>
      <c r="BB1679" s="14" t="str">
        <f t="shared" si="372"/>
        <v>秦琼魂珠-8 等级-5</v>
      </c>
      <c r="BC1679" s="25" t="s">
        <v>44</v>
      </c>
      <c r="BD1679" s="14">
        <f t="shared" si="373"/>
        <v>1536</v>
      </c>
      <c r="BE1679" s="14">
        <f>SUMIFS(BD$4:BD1679,$AU$4:$AU1679,"="&amp;$AU1679,$AY$4:$AY1679,"="&amp;$AY1679)</f>
        <v>4416</v>
      </c>
      <c r="BF1679" s="25" t="s">
        <v>1157</v>
      </c>
      <c r="BG1679" s="14">
        <f t="shared" si="374"/>
        <v>768</v>
      </c>
      <c r="BH1679" s="14">
        <f>SUMIFS(BG$4:BG1679,AU$4:AU1679,"="&amp;AU1679,AY$4:AY1679,"="&amp;AY1679)</f>
        <v>2208</v>
      </c>
      <c r="BI1679" s="25" t="s">
        <v>1158</v>
      </c>
      <c r="BJ1679" s="14">
        <f t="shared" si="375"/>
        <v>30720</v>
      </c>
      <c r="BK1679" s="14">
        <f>SUMIFS(BJ$4:BJ1679,$AU$4:$AU1679,"="&amp;$AU1679,$AY$4:$AY1679,"="&amp;$AY1679)</f>
        <v>88320</v>
      </c>
    </row>
    <row r="1680" spans="46:63" ht="16.5" x14ac:dyDescent="0.2">
      <c r="AT1680" s="13">
        <v>1677</v>
      </c>
      <c r="AU1680" s="13">
        <f t="shared" si="368"/>
        <v>21</v>
      </c>
      <c r="AV1680" s="14">
        <f t="shared" si="369"/>
        <v>203108</v>
      </c>
      <c r="AW1680" s="14">
        <f t="shared" si="370"/>
        <v>1102031</v>
      </c>
      <c r="AX1680" s="13" t="s">
        <v>1127</v>
      </c>
      <c r="AY1680" s="13">
        <f t="shared" si="367"/>
        <v>8</v>
      </c>
      <c r="AZ1680" s="13" t="s">
        <v>1148</v>
      </c>
      <c r="BA1680" s="14">
        <f t="shared" si="371"/>
        <v>6</v>
      </c>
      <c r="BB1680" s="14" t="str">
        <f t="shared" si="372"/>
        <v>秦琼魂珠-8 等级-6</v>
      </c>
      <c r="BC1680" s="25" t="s">
        <v>44</v>
      </c>
      <c r="BD1680" s="14">
        <f t="shared" si="373"/>
        <v>1920</v>
      </c>
      <c r="BE1680" s="14">
        <f>SUMIFS(BD$4:BD1680,$AU$4:$AU1680,"="&amp;$AU1680,$AY$4:$AY1680,"="&amp;$AY1680)</f>
        <v>6336</v>
      </c>
      <c r="BF1680" s="25" t="s">
        <v>1157</v>
      </c>
      <c r="BG1680" s="14">
        <f t="shared" si="374"/>
        <v>960</v>
      </c>
      <c r="BH1680" s="14">
        <f>SUMIFS(BG$4:BG1680,AU$4:AU1680,"="&amp;AU1680,AY$4:AY1680,"="&amp;AY1680)</f>
        <v>3168</v>
      </c>
      <c r="BI1680" s="25" t="s">
        <v>1158</v>
      </c>
      <c r="BJ1680" s="14">
        <f t="shared" si="375"/>
        <v>38400</v>
      </c>
      <c r="BK1680" s="14">
        <f>SUMIFS(BJ$4:BJ1680,$AU$4:$AU1680,"="&amp;$AU1680,$AY$4:$AY1680,"="&amp;$AY1680)</f>
        <v>126720</v>
      </c>
    </row>
    <row r="1681" spans="46:63" ht="16.5" x14ac:dyDescent="0.2">
      <c r="AT1681" s="13">
        <v>1678</v>
      </c>
      <c r="AU1681" s="13">
        <f t="shared" si="368"/>
        <v>21</v>
      </c>
      <c r="AV1681" s="14">
        <f t="shared" si="369"/>
        <v>203108</v>
      </c>
      <c r="AW1681" s="14">
        <f t="shared" si="370"/>
        <v>1102031</v>
      </c>
      <c r="AX1681" s="13" t="s">
        <v>1127</v>
      </c>
      <c r="AY1681" s="13">
        <f t="shared" si="367"/>
        <v>8</v>
      </c>
      <c r="AZ1681" s="13" t="s">
        <v>1148</v>
      </c>
      <c r="BA1681" s="14">
        <f t="shared" si="371"/>
        <v>7</v>
      </c>
      <c r="BB1681" s="14" t="str">
        <f t="shared" si="372"/>
        <v>秦琼魂珠-8 等级-7</v>
      </c>
      <c r="BC1681" s="25" t="s">
        <v>44</v>
      </c>
      <c r="BD1681" s="14">
        <f t="shared" si="373"/>
        <v>2304</v>
      </c>
      <c r="BE1681" s="14">
        <f>SUMIFS(BD$4:BD1681,$AU$4:$AU1681,"="&amp;$AU1681,$AY$4:$AY1681,"="&amp;$AY1681)</f>
        <v>8640</v>
      </c>
      <c r="BF1681" s="25" t="s">
        <v>1157</v>
      </c>
      <c r="BG1681" s="14">
        <f t="shared" si="374"/>
        <v>1152</v>
      </c>
      <c r="BH1681" s="14">
        <f>SUMIFS(BG$4:BG1681,AU$4:AU1681,"="&amp;AU1681,AY$4:AY1681,"="&amp;AY1681)</f>
        <v>4320</v>
      </c>
      <c r="BI1681" s="25" t="s">
        <v>1158</v>
      </c>
      <c r="BJ1681" s="14">
        <f t="shared" si="375"/>
        <v>46080</v>
      </c>
      <c r="BK1681" s="14">
        <f>SUMIFS(BJ$4:BJ1681,$AU$4:$AU1681,"="&amp;$AU1681,$AY$4:$AY1681,"="&amp;$AY1681)</f>
        <v>172800</v>
      </c>
    </row>
    <row r="1682" spans="46:63" ht="16.5" x14ac:dyDescent="0.2">
      <c r="AT1682" s="13">
        <v>1679</v>
      </c>
      <c r="AU1682" s="13">
        <f t="shared" si="368"/>
        <v>21</v>
      </c>
      <c r="AV1682" s="14">
        <f t="shared" si="369"/>
        <v>203108</v>
      </c>
      <c r="AW1682" s="14">
        <f t="shared" si="370"/>
        <v>1102031</v>
      </c>
      <c r="AX1682" s="13" t="s">
        <v>1127</v>
      </c>
      <c r="AY1682" s="13">
        <f t="shared" si="367"/>
        <v>8</v>
      </c>
      <c r="AZ1682" s="13" t="s">
        <v>1148</v>
      </c>
      <c r="BA1682" s="14">
        <f t="shared" si="371"/>
        <v>8</v>
      </c>
      <c r="BB1682" s="14" t="str">
        <f t="shared" si="372"/>
        <v>秦琼魂珠-8 等级-8</v>
      </c>
      <c r="BC1682" s="25" t="s">
        <v>44</v>
      </c>
      <c r="BD1682" s="14">
        <f t="shared" si="373"/>
        <v>2688</v>
      </c>
      <c r="BE1682" s="14">
        <f>SUMIFS(BD$4:BD1682,$AU$4:$AU1682,"="&amp;$AU1682,$AY$4:$AY1682,"="&amp;$AY1682)</f>
        <v>11328</v>
      </c>
      <c r="BF1682" s="25" t="s">
        <v>1157</v>
      </c>
      <c r="BG1682" s="14">
        <f t="shared" si="374"/>
        <v>1344</v>
      </c>
      <c r="BH1682" s="14">
        <f>SUMIFS(BG$4:BG1682,AU$4:AU1682,"="&amp;AU1682,AY$4:AY1682,"="&amp;AY1682)</f>
        <v>5664</v>
      </c>
      <c r="BI1682" s="25" t="s">
        <v>1158</v>
      </c>
      <c r="BJ1682" s="14">
        <f t="shared" si="375"/>
        <v>53760</v>
      </c>
      <c r="BK1682" s="14">
        <f>SUMIFS(BJ$4:BJ1682,$AU$4:$AU1682,"="&amp;$AU1682,$AY$4:$AY1682,"="&amp;$AY1682)</f>
        <v>226560</v>
      </c>
    </row>
    <row r="1683" spans="46:63" ht="16.5" x14ac:dyDescent="0.2">
      <c r="AT1683" s="13">
        <v>1680</v>
      </c>
      <c r="AU1683" s="13">
        <f t="shared" si="368"/>
        <v>21</v>
      </c>
      <c r="AV1683" s="14">
        <f t="shared" si="369"/>
        <v>203108</v>
      </c>
      <c r="AW1683" s="14">
        <f t="shared" si="370"/>
        <v>1102031</v>
      </c>
      <c r="AX1683" s="13" t="s">
        <v>1127</v>
      </c>
      <c r="AY1683" s="13">
        <f t="shared" si="367"/>
        <v>8</v>
      </c>
      <c r="AZ1683" s="13" t="s">
        <v>1148</v>
      </c>
      <c r="BA1683" s="14">
        <f t="shared" si="371"/>
        <v>9</v>
      </c>
      <c r="BB1683" s="14" t="str">
        <f t="shared" si="372"/>
        <v>秦琼魂珠-8 等级-9</v>
      </c>
      <c r="BC1683" s="25" t="s">
        <v>44</v>
      </c>
      <c r="BD1683" s="14">
        <f t="shared" si="373"/>
        <v>3072</v>
      </c>
      <c r="BE1683" s="14">
        <f>SUMIFS(BD$4:BD1683,$AU$4:$AU1683,"="&amp;$AU1683,$AY$4:$AY1683,"="&amp;$AY1683)</f>
        <v>14400</v>
      </c>
      <c r="BF1683" s="25" t="s">
        <v>1157</v>
      </c>
      <c r="BG1683" s="14">
        <f t="shared" si="374"/>
        <v>1536</v>
      </c>
      <c r="BH1683" s="14">
        <f>SUMIFS(BG$4:BG1683,AU$4:AU1683,"="&amp;AU1683,AY$4:AY1683,"="&amp;AY1683)</f>
        <v>7200</v>
      </c>
      <c r="BI1683" s="25" t="s">
        <v>1158</v>
      </c>
      <c r="BJ1683" s="14">
        <f t="shared" si="375"/>
        <v>61440</v>
      </c>
      <c r="BK1683" s="14">
        <f>SUMIFS(BJ$4:BJ1683,$AU$4:$AU1683,"="&amp;$AU1683,$AY$4:$AY1683,"="&amp;$AY1683)</f>
        <v>288000</v>
      </c>
    </row>
    <row r="1684" spans="46:63" ht="16.5" x14ac:dyDescent="0.2">
      <c r="AT1684" s="13">
        <v>1681</v>
      </c>
      <c r="AU1684" s="13">
        <f t="shared" si="368"/>
        <v>22</v>
      </c>
      <c r="AV1684" s="14">
        <f t="shared" si="369"/>
        <v>299901</v>
      </c>
      <c r="AW1684" s="14">
        <f t="shared" si="370"/>
        <v>1102999</v>
      </c>
      <c r="AX1684" s="13" t="s">
        <v>1127</v>
      </c>
      <c r="AY1684" s="13">
        <f t="shared" ref="AY1684:AY1747" si="376">INT(((AT1684-(AU1684-1)*80)-1)/10)+1</f>
        <v>1</v>
      </c>
      <c r="AZ1684" s="13" t="s">
        <v>1148</v>
      </c>
      <c r="BA1684" s="14">
        <f t="shared" ref="BA1684:BA1747" si="377">AT1684-(AU1684-1)*80-(AY1684-1)*10-1</f>
        <v>0</v>
      </c>
      <c r="BB1684" s="14" t="str">
        <f t="shared" si="372"/>
        <v>R守护灵魂珠-1 等级-0</v>
      </c>
      <c r="BC1684" s="25" t="s">
        <v>44</v>
      </c>
      <c r="BD1684" s="14">
        <f t="shared" si="373"/>
        <v>0</v>
      </c>
      <c r="BE1684" s="14">
        <f>SUMIFS(BD$4:BD1684,$AU$4:$AU1684,"="&amp;$AU1684,$AY$4:$AY1684,"="&amp;$AY1684)</f>
        <v>0</v>
      </c>
      <c r="BF1684" s="25" t="s">
        <v>1157</v>
      </c>
      <c r="BG1684" s="14">
        <f t="shared" si="374"/>
        <v>0</v>
      </c>
      <c r="BH1684" s="14">
        <f>SUMIFS(BG$4:BG1684,AU$4:AU1684,"="&amp;AU1684,AY$4:AY1684,"="&amp;AY1684)</f>
        <v>0</v>
      </c>
      <c r="BI1684" s="25" t="s">
        <v>1158</v>
      </c>
      <c r="BJ1684" s="14">
        <f t="shared" si="375"/>
        <v>0</v>
      </c>
      <c r="BK1684" s="14">
        <f>SUMIFS(BJ$4:BJ1684,$AU$4:$AU1684,"="&amp;$AU1684,$AY$4:$AY1684,"="&amp;$AY1684)</f>
        <v>0</v>
      </c>
    </row>
    <row r="1685" spans="46:63" ht="16.5" x14ac:dyDescent="0.2">
      <c r="AT1685" s="13">
        <v>1682</v>
      </c>
      <c r="AU1685" s="13">
        <f t="shared" si="368"/>
        <v>22</v>
      </c>
      <c r="AV1685" s="14">
        <f t="shared" si="369"/>
        <v>299901</v>
      </c>
      <c r="AW1685" s="14">
        <f t="shared" si="370"/>
        <v>1102999</v>
      </c>
      <c r="AX1685" s="13" t="s">
        <v>1127</v>
      </c>
      <c r="AY1685" s="13">
        <f t="shared" si="376"/>
        <v>1</v>
      </c>
      <c r="AZ1685" s="13" t="s">
        <v>1148</v>
      </c>
      <c r="BA1685" s="14">
        <f t="shared" si="377"/>
        <v>1</v>
      </c>
      <c r="BB1685" s="14" t="str">
        <f t="shared" si="372"/>
        <v>R守护灵魂珠-1 等级-1</v>
      </c>
      <c r="BC1685" s="25" t="s">
        <v>44</v>
      </c>
      <c r="BD1685" s="14">
        <f t="shared" si="373"/>
        <v>32</v>
      </c>
      <c r="BE1685" s="14">
        <f>SUMIFS(BD$4:BD1685,$AU$4:$AU1685,"="&amp;$AU1685,$AY$4:$AY1685,"="&amp;$AY1685)</f>
        <v>32</v>
      </c>
      <c r="BF1685" s="25" t="s">
        <v>1157</v>
      </c>
      <c r="BG1685" s="14">
        <f t="shared" si="374"/>
        <v>16</v>
      </c>
      <c r="BH1685" s="14">
        <f>SUMIFS(BG$4:BG1685,AU$4:AU1685,"="&amp;AU1685,AY$4:AY1685,"="&amp;AY1685)</f>
        <v>16</v>
      </c>
      <c r="BI1685" s="25" t="s">
        <v>1158</v>
      </c>
      <c r="BJ1685" s="14">
        <f t="shared" si="375"/>
        <v>640</v>
      </c>
      <c r="BK1685" s="14">
        <f>SUMIFS(BJ$4:BJ1685,$AU$4:$AU1685,"="&amp;$AU1685,$AY$4:$AY1685,"="&amp;$AY1685)</f>
        <v>640</v>
      </c>
    </row>
    <row r="1686" spans="46:63" ht="16.5" x14ac:dyDescent="0.2">
      <c r="AT1686" s="13">
        <v>1683</v>
      </c>
      <c r="AU1686" s="13">
        <f t="shared" si="368"/>
        <v>22</v>
      </c>
      <c r="AV1686" s="14">
        <f t="shared" si="369"/>
        <v>299901</v>
      </c>
      <c r="AW1686" s="14">
        <f t="shared" si="370"/>
        <v>1102999</v>
      </c>
      <c r="AX1686" s="13" t="s">
        <v>1127</v>
      </c>
      <c r="AY1686" s="13">
        <f t="shared" si="376"/>
        <v>1</v>
      </c>
      <c r="AZ1686" s="13" t="s">
        <v>1148</v>
      </c>
      <c r="BA1686" s="14">
        <f t="shared" si="377"/>
        <v>2</v>
      </c>
      <c r="BB1686" s="14" t="str">
        <f t="shared" si="372"/>
        <v>R守护灵魂珠-1 等级-2</v>
      </c>
      <c r="BC1686" s="25" t="s">
        <v>44</v>
      </c>
      <c r="BD1686" s="14">
        <f t="shared" si="373"/>
        <v>48</v>
      </c>
      <c r="BE1686" s="14">
        <f>SUMIFS(BD$4:BD1686,$AU$4:$AU1686,"="&amp;$AU1686,$AY$4:$AY1686,"="&amp;$AY1686)</f>
        <v>80</v>
      </c>
      <c r="BF1686" s="25" t="s">
        <v>1157</v>
      </c>
      <c r="BG1686" s="14">
        <f t="shared" si="374"/>
        <v>24</v>
      </c>
      <c r="BH1686" s="14">
        <f>SUMIFS(BG$4:BG1686,AU$4:AU1686,"="&amp;AU1686,AY$4:AY1686,"="&amp;AY1686)</f>
        <v>40</v>
      </c>
      <c r="BI1686" s="25" t="s">
        <v>1158</v>
      </c>
      <c r="BJ1686" s="14">
        <f t="shared" si="375"/>
        <v>960</v>
      </c>
      <c r="BK1686" s="14">
        <f>SUMIFS(BJ$4:BJ1686,$AU$4:$AU1686,"="&amp;$AU1686,$AY$4:$AY1686,"="&amp;$AY1686)</f>
        <v>1600</v>
      </c>
    </row>
    <row r="1687" spans="46:63" ht="16.5" x14ac:dyDescent="0.2">
      <c r="AT1687" s="13">
        <v>1684</v>
      </c>
      <c r="AU1687" s="13">
        <f t="shared" si="368"/>
        <v>22</v>
      </c>
      <c r="AV1687" s="14">
        <f t="shared" si="369"/>
        <v>299901</v>
      </c>
      <c r="AW1687" s="14">
        <f t="shared" si="370"/>
        <v>1102999</v>
      </c>
      <c r="AX1687" s="13" t="s">
        <v>1127</v>
      </c>
      <c r="AY1687" s="13">
        <f t="shared" si="376"/>
        <v>1</v>
      </c>
      <c r="AZ1687" s="13" t="s">
        <v>1148</v>
      </c>
      <c r="BA1687" s="14">
        <f t="shared" si="377"/>
        <v>3</v>
      </c>
      <c r="BB1687" s="14" t="str">
        <f t="shared" si="372"/>
        <v>R守护灵魂珠-1 等级-3</v>
      </c>
      <c r="BC1687" s="25" t="s">
        <v>44</v>
      </c>
      <c r="BD1687" s="14">
        <f t="shared" si="373"/>
        <v>64</v>
      </c>
      <c r="BE1687" s="14">
        <f>SUMIFS(BD$4:BD1687,$AU$4:$AU1687,"="&amp;$AU1687,$AY$4:$AY1687,"="&amp;$AY1687)</f>
        <v>144</v>
      </c>
      <c r="BF1687" s="25" t="s">
        <v>1157</v>
      </c>
      <c r="BG1687" s="14">
        <f t="shared" si="374"/>
        <v>32</v>
      </c>
      <c r="BH1687" s="14">
        <f>SUMIFS(BG$4:BG1687,AU$4:AU1687,"="&amp;AU1687,AY$4:AY1687,"="&amp;AY1687)</f>
        <v>72</v>
      </c>
      <c r="BI1687" s="25" t="s">
        <v>1158</v>
      </c>
      <c r="BJ1687" s="14">
        <f t="shared" si="375"/>
        <v>1280</v>
      </c>
      <c r="BK1687" s="14">
        <f>SUMIFS(BJ$4:BJ1687,$AU$4:$AU1687,"="&amp;$AU1687,$AY$4:$AY1687,"="&amp;$AY1687)</f>
        <v>2880</v>
      </c>
    </row>
    <row r="1688" spans="46:63" ht="16.5" x14ac:dyDescent="0.2">
      <c r="AT1688" s="13">
        <v>1685</v>
      </c>
      <c r="AU1688" s="13">
        <f t="shared" si="368"/>
        <v>22</v>
      </c>
      <c r="AV1688" s="14">
        <f t="shared" si="369"/>
        <v>299901</v>
      </c>
      <c r="AW1688" s="14">
        <f t="shared" si="370"/>
        <v>1102999</v>
      </c>
      <c r="AX1688" s="13" t="s">
        <v>1127</v>
      </c>
      <c r="AY1688" s="13">
        <f t="shared" si="376"/>
        <v>1</v>
      </c>
      <c r="AZ1688" s="13" t="s">
        <v>1148</v>
      </c>
      <c r="BA1688" s="14">
        <f t="shared" si="377"/>
        <v>4</v>
      </c>
      <c r="BB1688" s="14" t="str">
        <f t="shared" si="372"/>
        <v>R守护灵魂珠-1 等级-4</v>
      </c>
      <c r="BC1688" s="25" t="s">
        <v>44</v>
      </c>
      <c r="BD1688" s="14">
        <f t="shared" si="373"/>
        <v>96</v>
      </c>
      <c r="BE1688" s="14">
        <f>SUMIFS(BD$4:BD1688,$AU$4:$AU1688,"="&amp;$AU1688,$AY$4:$AY1688,"="&amp;$AY1688)</f>
        <v>240</v>
      </c>
      <c r="BF1688" s="25" t="s">
        <v>1157</v>
      </c>
      <c r="BG1688" s="14">
        <f t="shared" si="374"/>
        <v>48</v>
      </c>
      <c r="BH1688" s="14">
        <f>SUMIFS(BG$4:BG1688,AU$4:AU1688,"="&amp;AU1688,AY$4:AY1688,"="&amp;AY1688)</f>
        <v>120</v>
      </c>
      <c r="BI1688" s="25" t="s">
        <v>1158</v>
      </c>
      <c r="BJ1688" s="14">
        <f t="shared" si="375"/>
        <v>1920</v>
      </c>
      <c r="BK1688" s="14">
        <f>SUMIFS(BJ$4:BJ1688,$AU$4:$AU1688,"="&amp;$AU1688,$AY$4:$AY1688,"="&amp;$AY1688)</f>
        <v>4800</v>
      </c>
    </row>
    <row r="1689" spans="46:63" ht="16.5" x14ac:dyDescent="0.2">
      <c r="AT1689" s="13">
        <v>1686</v>
      </c>
      <c r="AU1689" s="13">
        <f t="shared" si="368"/>
        <v>22</v>
      </c>
      <c r="AV1689" s="14">
        <f t="shared" si="369"/>
        <v>299901</v>
      </c>
      <c r="AW1689" s="14">
        <f t="shared" si="370"/>
        <v>1102999</v>
      </c>
      <c r="AX1689" s="13" t="s">
        <v>1127</v>
      </c>
      <c r="AY1689" s="13">
        <f t="shared" si="376"/>
        <v>1</v>
      </c>
      <c r="AZ1689" s="13" t="s">
        <v>1148</v>
      </c>
      <c r="BA1689" s="14">
        <f t="shared" si="377"/>
        <v>5</v>
      </c>
      <c r="BB1689" s="14" t="str">
        <f t="shared" si="372"/>
        <v>R守护灵魂珠-1 等级-5</v>
      </c>
      <c r="BC1689" s="25" t="s">
        <v>44</v>
      </c>
      <c r="BD1689" s="14">
        <f t="shared" si="373"/>
        <v>128</v>
      </c>
      <c r="BE1689" s="14">
        <f>SUMIFS(BD$4:BD1689,$AU$4:$AU1689,"="&amp;$AU1689,$AY$4:$AY1689,"="&amp;$AY1689)</f>
        <v>368</v>
      </c>
      <c r="BF1689" s="25" t="s">
        <v>1157</v>
      </c>
      <c r="BG1689" s="14">
        <f t="shared" si="374"/>
        <v>64</v>
      </c>
      <c r="BH1689" s="14">
        <f>SUMIFS(BG$4:BG1689,AU$4:AU1689,"="&amp;AU1689,AY$4:AY1689,"="&amp;AY1689)</f>
        <v>184</v>
      </c>
      <c r="BI1689" s="25" t="s">
        <v>1158</v>
      </c>
      <c r="BJ1689" s="14">
        <f t="shared" si="375"/>
        <v>2560</v>
      </c>
      <c r="BK1689" s="14">
        <f>SUMIFS(BJ$4:BJ1689,$AU$4:$AU1689,"="&amp;$AU1689,$AY$4:$AY1689,"="&amp;$AY1689)</f>
        <v>7360</v>
      </c>
    </row>
    <row r="1690" spans="46:63" ht="16.5" x14ac:dyDescent="0.2">
      <c r="AT1690" s="13">
        <v>1687</v>
      </c>
      <c r="AU1690" s="13">
        <f t="shared" si="368"/>
        <v>22</v>
      </c>
      <c r="AV1690" s="14">
        <f t="shared" si="369"/>
        <v>299901</v>
      </c>
      <c r="AW1690" s="14">
        <f t="shared" si="370"/>
        <v>1102999</v>
      </c>
      <c r="AX1690" s="13" t="s">
        <v>1127</v>
      </c>
      <c r="AY1690" s="13">
        <f t="shared" si="376"/>
        <v>1</v>
      </c>
      <c r="AZ1690" s="13" t="s">
        <v>1148</v>
      </c>
      <c r="BA1690" s="14">
        <f t="shared" si="377"/>
        <v>6</v>
      </c>
      <c r="BB1690" s="14" t="str">
        <f t="shared" si="372"/>
        <v>R守护灵魂珠-1 等级-6</v>
      </c>
      <c r="BC1690" s="25" t="s">
        <v>44</v>
      </c>
      <c r="BD1690" s="14">
        <f t="shared" si="373"/>
        <v>160</v>
      </c>
      <c r="BE1690" s="14">
        <f>SUMIFS(BD$4:BD1690,$AU$4:$AU1690,"="&amp;$AU1690,$AY$4:$AY1690,"="&amp;$AY1690)</f>
        <v>528</v>
      </c>
      <c r="BF1690" s="25" t="s">
        <v>1157</v>
      </c>
      <c r="BG1690" s="14">
        <f t="shared" si="374"/>
        <v>80</v>
      </c>
      <c r="BH1690" s="14">
        <f>SUMIFS(BG$4:BG1690,AU$4:AU1690,"="&amp;AU1690,AY$4:AY1690,"="&amp;AY1690)</f>
        <v>264</v>
      </c>
      <c r="BI1690" s="25" t="s">
        <v>1158</v>
      </c>
      <c r="BJ1690" s="14">
        <f t="shared" si="375"/>
        <v>3200</v>
      </c>
      <c r="BK1690" s="14">
        <f>SUMIFS(BJ$4:BJ1690,$AU$4:$AU1690,"="&amp;$AU1690,$AY$4:$AY1690,"="&amp;$AY1690)</f>
        <v>10560</v>
      </c>
    </row>
    <row r="1691" spans="46:63" ht="16.5" x14ac:dyDescent="0.2">
      <c r="AT1691" s="13">
        <v>1688</v>
      </c>
      <c r="AU1691" s="13">
        <f t="shared" si="368"/>
        <v>22</v>
      </c>
      <c r="AV1691" s="14">
        <f t="shared" si="369"/>
        <v>299901</v>
      </c>
      <c r="AW1691" s="14">
        <f t="shared" si="370"/>
        <v>1102999</v>
      </c>
      <c r="AX1691" s="13" t="s">
        <v>1127</v>
      </c>
      <c r="AY1691" s="13">
        <f t="shared" si="376"/>
        <v>1</v>
      </c>
      <c r="AZ1691" s="13" t="s">
        <v>1148</v>
      </c>
      <c r="BA1691" s="14">
        <f t="shared" si="377"/>
        <v>7</v>
      </c>
      <c r="BB1691" s="14" t="str">
        <f t="shared" si="372"/>
        <v>R守护灵魂珠-1 等级-7</v>
      </c>
      <c r="BC1691" s="25" t="s">
        <v>44</v>
      </c>
      <c r="BD1691" s="14">
        <f t="shared" si="373"/>
        <v>192</v>
      </c>
      <c r="BE1691" s="14">
        <f>SUMIFS(BD$4:BD1691,$AU$4:$AU1691,"="&amp;$AU1691,$AY$4:$AY1691,"="&amp;$AY1691)</f>
        <v>720</v>
      </c>
      <c r="BF1691" s="25" t="s">
        <v>1157</v>
      </c>
      <c r="BG1691" s="14">
        <f t="shared" si="374"/>
        <v>96</v>
      </c>
      <c r="BH1691" s="14">
        <f>SUMIFS(BG$4:BG1691,AU$4:AU1691,"="&amp;AU1691,AY$4:AY1691,"="&amp;AY1691)</f>
        <v>360</v>
      </c>
      <c r="BI1691" s="25" t="s">
        <v>1158</v>
      </c>
      <c r="BJ1691" s="14">
        <f t="shared" si="375"/>
        <v>3840</v>
      </c>
      <c r="BK1691" s="14">
        <f>SUMIFS(BJ$4:BJ1691,$AU$4:$AU1691,"="&amp;$AU1691,$AY$4:$AY1691,"="&amp;$AY1691)</f>
        <v>14400</v>
      </c>
    </row>
    <row r="1692" spans="46:63" ht="16.5" x14ac:dyDescent="0.2">
      <c r="AT1692" s="13">
        <v>1689</v>
      </c>
      <c r="AU1692" s="13">
        <f t="shared" si="368"/>
        <v>22</v>
      </c>
      <c r="AV1692" s="14">
        <f t="shared" si="369"/>
        <v>299901</v>
      </c>
      <c r="AW1692" s="14">
        <f t="shared" si="370"/>
        <v>1102999</v>
      </c>
      <c r="AX1692" s="13" t="s">
        <v>1127</v>
      </c>
      <c r="AY1692" s="13">
        <f t="shared" si="376"/>
        <v>1</v>
      </c>
      <c r="AZ1692" s="13" t="s">
        <v>1148</v>
      </c>
      <c r="BA1692" s="14">
        <f t="shared" si="377"/>
        <v>8</v>
      </c>
      <c r="BB1692" s="14" t="str">
        <f t="shared" si="372"/>
        <v>R守护灵魂珠-1 等级-8</v>
      </c>
      <c r="BC1692" s="25" t="s">
        <v>44</v>
      </c>
      <c r="BD1692" s="14">
        <f t="shared" si="373"/>
        <v>224</v>
      </c>
      <c r="BE1692" s="14">
        <f>SUMIFS(BD$4:BD1692,$AU$4:$AU1692,"="&amp;$AU1692,$AY$4:$AY1692,"="&amp;$AY1692)</f>
        <v>944</v>
      </c>
      <c r="BF1692" s="25" t="s">
        <v>1157</v>
      </c>
      <c r="BG1692" s="14">
        <f t="shared" si="374"/>
        <v>112</v>
      </c>
      <c r="BH1692" s="14">
        <f>SUMIFS(BG$4:BG1692,AU$4:AU1692,"="&amp;AU1692,AY$4:AY1692,"="&amp;AY1692)</f>
        <v>472</v>
      </c>
      <c r="BI1692" s="25" t="s">
        <v>1158</v>
      </c>
      <c r="BJ1692" s="14">
        <f t="shared" si="375"/>
        <v>4480</v>
      </c>
      <c r="BK1692" s="14">
        <f>SUMIFS(BJ$4:BJ1692,$AU$4:$AU1692,"="&amp;$AU1692,$AY$4:$AY1692,"="&amp;$AY1692)</f>
        <v>18880</v>
      </c>
    </row>
    <row r="1693" spans="46:63" ht="16.5" x14ac:dyDescent="0.2">
      <c r="AT1693" s="13">
        <v>1690</v>
      </c>
      <c r="AU1693" s="13">
        <f t="shared" si="368"/>
        <v>22</v>
      </c>
      <c r="AV1693" s="14">
        <f t="shared" si="369"/>
        <v>299901</v>
      </c>
      <c r="AW1693" s="14">
        <f t="shared" si="370"/>
        <v>1102999</v>
      </c>
      <c r="AX1693" s="13" t="s">
        <v>1127</v>
      </c>
      <c r="AY1693" s="13">
        <f t="shared" si="376"/>
        <v>1</v>
      </c>
      <c r="AZ1693" s="13" t="s">
        <v>1148</v>
      </c>
      <c r="BA1693" s="14">
        <f t="shared" si="377"/>
        <v>9</v>
      </c>
      <c r="BB1693" s="14" t="str">
        <f t="shared" si="372"/>
        <v>R守护灵魂珠-1 等级-9</v>
      </c>
      <c r="BC1693" s="25" t="s">
        <v>44</v>
      </c>
      <c r="BD1693" s="14">
        <f t="shared" si="373"/>
        <v>256</v>
      </c>
      <c r="BE1693" s="14">
        <f>SUMIFS(BD$4:BD1693,$AU$4:$AU1693,"="&amp;$AU1693,$AY$4:$AY1693,"="&amp;$AY1693)</f>
        <v>1200</v>
      </c>
      <c r="BF1693" s="25" t="s">
        <v>1157</v>
      </c>
      <c r="BG1693" s="14">
        <f t="shared" si="374"/>
        <v>128</v>
      </c>
      <c r="BH1693" s="14">
        <f>SUMIFS(BG$4:BG1693,AU$4:AU1693,"="&amp;AU1693,AY$4:AY1693,"="&amp;AY1693)</f>
        <v>600</v>
      </c>
      <c r="BI1693" s="25" t="s">
        <v>1158</v>
      </c>
      <c r="BJ1693" s="14">
        <f t="shared" si="375"/>
        <v>5120</v>
      </c>
      <c r="BK1693" s="14">
        <f>SUMIFS(BJ$4:BJ1693,$AU$4:$AU1693,"="&amp;$AU1693,$AY$4:$AY1693,"="&amp;$AY1693)</f>
        <v>24000</v>
      </c>
    </row>
    <row r="1694" spans="46:63" ht="16.5" x14ac:dyDescent="0.2">
      <c r="AT1694" s="13">
        <v>1691</v>
      </c>
      <c r="AU1694" s="13">
        <f t="shared" si="368"/>
        <v>22</v>
      </c>
      <c r="AV1694" s="14">
        <f t="shared" si="369"/>
        <v>299902</v>
      </c>
      <c r="AW1694" s="14">
        <f t="shared" si="370"/>
        <v>1102999</v>
      </c>
      <c r="AX1694" s="13" t="s">
        <v>1127</v>
      </c>
      <c r="AY1694" s="13">
        <f t="shared" si="376"/>
        <v>2</v>
      </c>
      <c r="AZ1694" s="13" t="s">
        <v>1148</v>
      </c>
      <c r="BA1694" s="14">
        <f t="shared" si="377"/>
        <v>0</v>
      </c>
      <c r="BB1694" s="14" t="str">
        <f t="shared" si="372"/>
        <v>R守护灵魂珠-2 等级-0</v>
      </c>
      <c r="BC1694" s="25" t="s">
        <v>44</v>
      </c>
      <c r="BD1694" s="14">
        <f t="shared" si="373"/>
        <v>0</v>
      </c>
      <c r="BE1694" s="14">
        <f>SUMIFS(BD$4:BD1694,$AU$4:$AU1694,"="&amp;$AU1694,$AY$4:$AY1694,"="&amp;$AY1694)</f>
        <v>0</v>
      </c>
      <c r="BF1694" s="25" t="s">
        <v>1157</v>
      </c>
      <c r="BG1694" s="14">
        <f t="shared" si="374"/>
        <v>0</v>
      </c>
      <c r="BH1694" s="14">
        <f>SUMIFS(BG$4:BG1694,AU$4:AU1694,"="&amp;AU1694,AY$4:AY1694,"="&amp;AY1694)</f>
        <v>0</v>
      </c>
      <c r="BI1694" s="25" t="s">
        <v>1158</v>
      </c>
      <c r="BJ1694" s="14">
        <f t="shared" si="375"/>
        <v>0</v>
      </c>
      <c r="BK1694" s="14">
        <f>SUMIFS(BJ$4:BJ1694,$AU$4:$AU1694,"="&amp;$AU1694,$AY$4:$AY1694,"="&amp;$AY1694)</f>
        <v>0</v>
      </c>
    </row>
    <row r="1695" spans="46:63" ht="16.5" x14ac:dyDescent="0.2">
      <c r="AT1695" s="13">
        <v>1692</v>
      </c>
      <c r="AU1695" s="13">
        <f t="shared" si="368"/>
        <v>22</v>
      </c>
      <c r="AV1695" s="14">
        <f t="shared" si="369"/>
        <v>299902</v>
      </c>
      <c r="AW1695" s="14">
        <f t="shared" si="370"/>
        <v>1102999</v>
      </c>
      <c r="AX1695" s="13" t="s">
        <v>1127</v>
      </c>
      <c r="AY1695" s="13">
        <f t="shared" si="376"/>
        <v>2</v>
      </c>
      <c r="AZ1695" s="13" t="s">
        <v>1148</v>
      </c>
      <c r="BA1695" s="14">
        <f t="shared" si="377"/>
        <v>1</v>
      </c>
      <c r="BB1695" s="14" t="str">
        <f t="shared" si="372"/>
        <v>R守护灵魂珠-2 等级-1</v>
      </c>
      <c r="BC1695" s="25" t="s">
        <v>44</v>
      </c>
      <c r="BD1695" s="14">
        <f t="shared" si="373"/>
        <v>40</v>
      </c>
      <c r="BE1695" s="14">
        <f>SUMIFS(BD$4:BD1695,$AU$4:$AU1695,"="&amp;$AU1695,$AY$4:$AY1695,"="&amp;$AY1695)</f>
        <v>40</v>
      </c>
      <c r="BF1695" s="25" t="s">
        <v>1157</v>
      </c>
      <c r="BG1695" s="14">
        <f t="shared" si="374"/>
        <v>20</v>
      </c>
      <c r="BH1695" s="14">
        <f>SUMIFS(BG$4:BG1695,AU$4:AU1695,"="&amp;AU1695,AY$4:AY1695,"="&amp;AY1695)</f>
        <v>20</v>
      </c>
      <c r="BI1695" s="25" t="s">
        <v>1158</v>
      </c>
      <c r="BJ1695" s="14">
        <f t="shared" si="375"/>
        <v>800</v>
      </c>
      <c r="BK1695" s="14">
        <f>SUMIFS(BJ$4:BJ1695,$AU$4:$AU1695,"="&amp;$AU1695,$AY$4:$AY1695,"="&amp;$AY1695)</f>
        <v>800</v>
      </c>
    </row>
    <row r="1696" spans="46:63" ht="16.5" x14ac:dyDescent="0.2">
      <c r="AT1696" s="13">
        <v>1693</v>
      </c>
      <c r="AU1696" s="13">
        <f t="shared" si="368"/>
        <v>22</v>
      </c>
      <c r="AV1696" s="14">
        <f t="shared" si="369"/>
        <v>299902</v>
      </c>
      <c r="AW1696" s="14">
        <f t="shared" si="370"/>
        <v>1102999</v>
      </c>
      <c r="AX1696" s="13" t="s">
        <v>1127</v>
      </c>
      <c r="AY1696" s="13">
        <f t="shared" si="376"/>
        <v>2</v>
      </c>
      <c r="AZ1696" s="13" t="s">
        <v>1148</v>
      </c>
      <c r="BA1696" s="14">
        <f t="shared" si="377"/>
        <v>2</v>
      </c>
      <c r="BB1696" s="14" t="str">
        <f t="shared" si="372"/>
        <v>R守护灵魂珠-2 等级-2</v>
      </c>
      <c r="BC1696" s="25" t="s">
        <v>44</v>
      </c>
      <c r="BD1696" s="14">
        <f t="shared" si="373"/>
        <v>64</v>
      </c>
      <c r="BE1696" s="14">
        <f>SUMIFS(BD$4:BD1696,$AU$4:$AU1696,"="&amp;$AU1696,$AY$4:$AY1696,"="&amp;$AY1696)</f>
        <v>104</v>
      </c>
      <c r="BF1696" s="25" t="s">
        <v>1157</v>
      </c>
      <c r="BG1696" s="14">
        <f t="shared" si="374"/>
        <v>32</v>
      </c>
      <c r="BH1696" s="14">
        <f>SUMIFS(BG$4:BG1696,AU$4:AU1696,"="&amp;AU1696,AY$4:AY1696,"="&amp;AY1696)</f>
        <v>52</v>
      </c>
      <c r="BI1696" s="25" t="s">
        <v>1158</v>
      </c>
      <c r="BJ1696" s="14">
        <f t="shared" si="375"/>
        <v>1280</v>
      </c>
      <c r="BK1696" s="14">
        <f>SUMIFS(BJ$4:BJ1696,$AU$4:$AU1696,"="&amp;$AU1696,$AY$4:$AY1696,"="&amp;$AY1696)</f>
        <v>2080</v>
      </c>
    </row>
    <row r="1697" spans="46:63" ht="16.5" x14ac:dyDescent="0.2">
      <c r="AT1697" s="13">
        <v>1694</v>
      </c>
      <c r="AU1697" s="13">
        <f t="shared" si="368"/>
        <v>22</v>
      </c>
      <c r="AV1697" s="14">
        <f t="shared" si="369"/>
        <v>299902</v>
      </c>
      <c r="AW1697" s="14">
        <f t="shared" si="370"/>
        <v>1102999</v>
      </c>
      <c r="AX1697" s="13" t="s">
        <v>1127</v>
      </c>
      <c r="AY1697" s="13">
        <f t="shared" si="376"/>
        <v>2</v>
      </c>
      <c r="AZ1697" s="13" t="s">
        <v>1148</v>
      </c>
      <c r="BA1697" s="14">
        <f t="shared" si="377"/>
        <v>3</v>
      </c>
      <c r="BB1697" s="14" t="str">
        <f t="shared" si="372"/>
        <v>R守护灵魂珠-2 等级-3</v>
      </c>
      <c r="BC1697" s="25" t="s">
        <v>44</v>
      </c>
      <c r="BD1697" s="14">
        <f t="shared" si="373"/>
        <v>80</v>
      </c>
      <c r="BE1697" s="14">
        <f>SUMIFS(BD$4:BD1697,$AU$4:$AU1697,"="&amp;$AU1697,$AY$4:$AY1697,"="&amp;$AY1697)</f>
        <v>184</v>
      </c>
      <c r="BF1697" s="25" t="s">
        <v>1157</v>
      </c>
      <c r="BG1697" s="14">
        <f t="shared" si="374"/>
        <v>40</v>
      </c>
      <c r="BH1697" s="14">
        <f>SUMIFS(BG$4:BG1697,AU$4:AU1697,"="&amp;AU1697,AY$4:AY1697,"="&amp;AY1697)</f>
        <v>92</v>
      </c>
      <c r="BI1697" s="25" t="s">
        <v>1158</v>
      </c>
      <c r="BJ1697" s="14">
        <f t="shared" si="375"/>
        <v>1600</v>
      </c>
      <c r="BK1697" s="14">
        <f>SUMIFS(BJ$4:BJ1697,$AU$4:$AU1697,"="&amp;$AU1697,$AY$4:$AY1697,"="&amp;$AY1697)</f>
        <v>3680</v>
      </c>
    </row>
    <row r="1698" spans="46:63" ht="16.5" x14ac:dyDescent="0.2">
      <c r="AT1698" s="13">
        <v>1695</v>
      </c>
      <c r="AU1698" s="13">
        <f t="shared" si="368"/>
        <v>22</v>
      </c>
      <c r="AV1698" s="14">
        <f t="shared" si="369"/>
        <v>299902</v>
      </c>
      <c r="AW1698" s="14">
        <f t="shared" si="370"/>
        <v>1102999</v>
      </c>
      <c r="AX1698" s="13" t="s">
        <v>1127</v>
      </c>
      <c r="AY1698" s="13">
        <f t="shared" si="376"/>
        <v>2</v>
      </c>
      <c r="AZ1698" s="13" t="s">
        <v>1148</v>
      </c>
      <c r="BA1698" s="14">
        <f t="shared" si="377"/>
        <v>4</v>
      </c>
      <c r="BB1698" s="14" t="str">
        <f t="shared" si="372"/>
        <v>R守护灵魂珠-2 等级-4</v>
      </c>
      <c r="BC1698" s="25" t="s">
        <v>44</v>
      </c>
      <c r="BD1698" s="14">
        <f t="shared" si="373"/>
        <v>128</v>
      </c>
      <c r="BE1698" s="14">
        <f>SUMIFS(BD$4:BD1698,$AU$4:$AU1698,"="&amp;$AU1698,$AY$4:$AY1698,"="&amp;$AY1698)</f>
        <v>312</v>
      </c>
      <c r="BF1698" s="25" t="s">
        <v>1157</v>
      </c>
      <c r="BG1698" s="14">
        <f t="shared" si="374"/>
        <v>64</v>
      </c>
      <c r="BH1698" s="14">
        <f>SUMIFS(BG$4:BG1698,AU$4:AU1698,"="&amp;AU1698,AY$4:AY1698,"="&amp;AY1698)</f>
        <v>156</v>
      </c>
      <c r="BI1698" s="25" t="s">
        <v>1158</v>
      </c>
      <c r="BJ1698" s="14">
        <f t="shared" si="375"/>
        <v>2560</v>
      </c>
      <c r="BK1698" s="14">
        <f>SUMIFS(BJ$4:BJ1698,$AU$4:$AU1698,"="&amp;$AU1698,$AY$4:$AY1698,"="&amp;$AY1698)</f>
        <v>6240</v>
      </c>
    </row>
    <row r="1699" spans="46:63" ht="16.5" x14ac:dyDescent="0.2">
      <c r="AT1699" s="13">
        <v>1696</v>
      </c>
      <c r="AU1699" s="13">
        <f t="shared" si="368"/>
        <v>22</v>
      </c>
      <c r="AV1699" s="14">
        <f t="shared" si="369"/>
        <v>299902</v>
      </c>
      <c r="AW1699" s="14">
        <f t="shared" si="370"/>
        <v>1102999</v>
      </c>
      <c r="AX1699" s="13" t="s">
        <v>1127</v>
      </c>
      <c r="AY1699" s="13">
        <f t="shared" si="376"/>
        <v>2</v>
      </c>
      <c r="AZ1699" s="13" t="s">
        <v>1148</v>
      </c>
      <c r="BA1699" s="14">
        <f t="shared" si="377"/>
        <v>5</v>
      </c>
      <c r="BB1699" s="14" t="str">
        <f t="shared" si="372"/>
        <v>R守护灵魂珠-2 等级-5</v>
      </c>
      <c r="BC1699" s="25" t="s">
        <v>44</v>
      </c>
      <c r="BD1699" s="14">
        <f t="shared" si="373"/>
        <v>176</v>
      </c>
      <c r="BE1699" s="14">
        <f>SUMIFS(BD$4:BD1699,$AU$4:$AU1699,"="&amp;$AU1699,$AY$4:$AY1699,"="&amp;$AY1699)</f>
        <v>488</v>
      </c>
      <c r="BF1699" s="25" t="s">
        <v>1157</v>
      </c>
      <c r="BG1699" s="14">
        <f t="shared" si="374"/>
        <v>88</v>
      </c>
      <c r="BH1699" s="14">
        <f>SUMIFS(BG$4:BG1699,AU$4:AU1699,"="&amp;AU1699,AY$4:AY1699,"="&amp;AY1699)</f>
        <v>244</v>
      </c>
      <c r="BI1699" s="25" t="s">
        <v>1158</v>
      </c>
      <c r="BJ1699" s="14">
        <f t="shared" si="375"/>
        <v>3520</v>
      </c>
      <c r="BK1699" s="14">
        <f>SUMIFS(BJ$4:BJ1699,$AU$4:$AU1699,"="&amp;$AU1699,$AY$4:$AY1699,"="&amp;$AY1699)</f>
        <v>9760</v>
      </c>
    </row>
    <row r="1700" spans="46:63" ht="16.5" x14ac:dyDescent="0.2">
      <c r="AT1700" s="13">
        <v>1697</v>
      </c>
      <c r="AU1700" s="13">
        <f t="shared" si="368"/>
        <v>22</v>
      </c>
      <c r="AV1700" s="14">
        <f t="shared" si="369"/>
        <v>299902</v>
      </c>
      <c r="AW1700" s="14">
        <f t="shared" si="370"/>
        <v>1102999</v>
      </c>
      <c r="AX1700" s="13" t="s">
        <v>1127</v>
      </c>
      <c r="AY1700" s="13">
        <f t="shared" si="376"/>
        <v>2</v>
      </c>
      <c r="AZ1700" s="13" t="s">
        <v>1148</v>
      </c>
      <c r="BA1700" s="14">
        <f t="shared" si="377"/>
        <v>6</v>
      </c>
      <c r="BB1700" s="14" t="str">
        <f t="shared" si="372"/>
        <v>R守护灵魂珠-2 等级-6</v>
      </c>
      <c r="BC1700" s="25" t="s">
        <v>44</v>
      </c>
      <c r="BD1700" s="14">
        <f t="shared" si="373"/>
        <v>224</v>
      </c>
      <c r="BE1700" s="14">
        <f>SUMIFS(BD$4:BD1700,$AU$4:$AU1700,"="&amp;$AU1700,$AY$4:$AY1700,"="&amp;$AY1700)</f>
        <v>712</v>
      </c>
      <c r="BF1700" s="25" t="s">
        <v>1157</v>
      </c>
      <c r="BG1700" s="14">
        <f t="shared" si="374"/>
        <v>112</v>
      </c>
      <c r="BH1700" s="14">
        <f>SUMIFS(BG$4:BG1700,AU$4:AU1700,"="&amp;AU1700,AY$4:AY1700,"="&amp;AY1700)</f>
        <v>356</v>
      </c>
      <c r="BI1700" s="25" t="s">
        <v>1158</v>
      </c>
      <c r="BJ1700" s="14">
        <f t="shared" si="375"/>
        <v>4480</v>
      </c>
      <c r="BK1700" s="14">
        <f>SUMIFS(BJ$4:BJ1700,$AU$4:$AU1700,"="&amp;$AU1700,$AY$4:$AY1700,"="&amp;$AY1700)</f>
        <v>14240</v>
      </c>
    </row>
    <row r="1701" spans="46:63" ht="16.5" x14ac:dyDescent="0.2">
      <c r="AT1701" s="13">
        <v>1698</v>
      </c>
      <c r="AU1701" s="13">
        <f t="shared" si="368"/>
        <v>22</v>
      </c>
      <c r="AV1701" s="14">
        <f t="shared" si="369"/>
        <v>299902</v>
      </c>
      <c r="AW1701" s="14">
        <f t="shared" si="370"/>
        <v>1102999</v>
      </c>
      <c r="AX1701" s="13" t="s">
        <v>1127</v>
      </c>
      <c r="AY1701" s="13">
        <f t="shared" si="376"/>
        <v>2</v>
      </c>
      <c r="AZ1701" s="13" t="s">
        <v>1148</v>
      </c>
      <c r="BA1701" s="14">
        <f t="shared" si="377"/>
        <v>7</v>
      </c>
      <c r="BB1701" s="14" t="str">
        <f t="shared" si="372"/>
        <v>R守护灵魂珠-2 等级-7</v>
      </c>
      <c r="BC1701" s="25" t="s">
        <v>44</v>
      </c>
      <c r="BD1701" s="14">
        <f t="shared" si="373"/>
        <v>256</v>
      </c>
      <c r="BE1701" s="14">
        <f>SUMIFS(BD$4:BD1701,$AU$4:$AU1701,"="&amp;$AU1701,$AY$4:$AY1701,"="&amp;$AY1701)</f>
        <v>968</v>
      </c>
      <c r="BF1701" s="25" t="s">
        <v>1157</v>
      </c>
      <c r="BG1701" s="14">
        <f t="shared" si="374"/>
        <v>128</v>
      </c>
      <c r="BH1701" s="14">
        <f>SUMIFS(BG$4:BG1701,AU$4:AU1701,"="&amp;AU1701,AY$4:AY1701,"="&amp;AY1701)</f>
        <v>484</v>
      </c>
      <c r="BI1701" s="25" t="s">
        <v>1158</v>
      </c>
      <c r="BJ1701" s="14">
        <f t="shared" si="375"/>
        <v>5120</v>
      </c>
      <c r="BK1701" s="14">
        <f>SUMIFS(BJ$4:BJ1701,$AU$4:$AU1701,"="&amp;$AU1701,$AY$4:$AY1701,"="&amp;$AY1701)</f>
        <v>19360</v>
      </c>
    </row>
    <row r="1702" spans="46:63" ht="16.5" x14ac:dyDescent="0.2">
      <c r="AT1702" s="13">
        <v>1699</v>
      </c>
      <c r="AU1702" s="13">
        <f t="shared" si="368"/>
        <v>22</v>
      </c>
      <c r="AV1702" s="14">
        <f t="shared" si="369"/>
        <v>299902</v>
      </c>
      <c r="AW1702" s="14">
        <f t="shared" si="370"/>
        <v>1102999</v>
      </c>
      <c r="AX1702" s="13" t="s">
        <v>1127</v>
      </c>
      <c r="AY1702" s="13">
        <f t="shared" si="376"/>
        <v>2</v>
      </c>
      <c r="AZ1702" s="13" t="s">
        <v>1148</v>
      </c>
      <c r="BA1702" s="14">
        <f t="shared" si="377"/>
        <v>8</v>
      </c>
      <c r="BB1702" s="14" t="str">
        <f t="shared" si="372"/>
        <v>R守护灵魂珠-2 等级-8</v>
      </c>
      <c r="BC1702" s="25" t="s">
        <v>44</v>
      </c>
      <c r="BD1702" s="14">
        <f t="shared" si="373"/>
        <v>304</v>
      </c>
      <c r="BE1702" s="14">
        <f>SUMIFS(BD$4:BD1702,$AU$4:$AU1702,"="&amp;$AU1702,$AY$4:$AY1702,"="&amp;$AY1702)</f>
        <v>1272</v>
      </c>
      <c r="BF1702" s="25" t="s">
        <v>1157</v>
      </c>
      <c r="BG1702" s="14">
        <f t="shared" si="374"/>
        <v>152</v>
      </c>
      <c r="BH1702" s="14">
        <f>SUMIFS(BG$4:BG1702,AU$4:AU1702,"="&amp;AU1702,AY$4:AY1702,"="&amp;AY1702)</f>
        <v>636</v>
      </c>
      <c r="BI1702" s="25" t="s">
        <v>1158</v>
      </c>
      <c r="BJ1702" s="14">
        <f t="shared" si="375"/>
        <v>6080</v>
      </c>
      <c r="BK1702" s="14">
        <f>SUMIFS(BJ$4:BJ1702,$AU$4:$AU1702,"="&amp;$AU1702,$AY$4:$AY1702,"="&amp;$AY1702)</f>
        <v>25440</v>
      </c>
    </row>
    <row r="1703" spans="46:63" ht="16.5" x14ac:dyDescent="0.2">
      <c r="AT1703" s="13">
        <v>1700</v>
      </c>
      <c r="AU1703" s="13">
        <f t="shared" si="368"/>
        <v>22</v>
      </c>
      <c r="AV1703" s="14">
        <f t="shared" si="369"/>
        <v>299902</v>
      </c>
      <c r="AW1703" s="14">
        <f t="shared" si="370"/>
        <v>1102999</v>
      </c>
      <c r="AX1703" s="13" t="s">
        <v>1127</v>
      </c>
      <c r="AY1703" s="13">
        <f t="shared" si="376"/>
        <v>2</v>
      </c>
      <c r="AZ1703" s="13" t="s">
        <v>1148</v>
      </c>
      <c r="BA1703" s="14">
        <f t="shared" si="377"/>
        <v>9</v>
      </c>
      <c r="BB1703" s="14" t="str">
        <f t="shared" si="372"/>
        <v>R守护灵魂珠-2 等级-9</v>
      </c>
      <c r="BC1703" s="25" t="s">
        <v>44</v>
      </c>
      <c r="BD1703" s="14">
        <f t="shared" si="373"/>
        <v>360</v>
      </c>
      <c r="BE1703" s="14">
        <f>SUMIFS(BD$4:BD1703,$AU$4:$AU1703,"="&amp;$AU1703,$AY$4:$AY1703,"="&amp;$AY1703)</f>
        <v>1632</v>
      </c>
      <c r="BF1703" s="25" t="s">
        <v>1157</v>
      </c>
      <c r="BG1703" s="14">
        <f t="shared" si="374"/>
        <v>180</v>
      </c>
      <c r="BH1703" s="14">
        <f>SUMIFS(BG$4:BG1703,AU$4:AU1703,"="&amp;AU1703,AY$4:AY1703,"="&amp;AY1703)</f>
        <v>816</v>
      </c>
      <c r="BI1703" s="25" t="s">
        <v>1158</v>
      </c>
      <c r="BJ1703" s="14">
        <f t="shared" si="375"/>
        <v>7200</v>
      </c>
      <c r="BK1703" s="14">
        <f>SUMIFS(BJ$4:BJ1703,$AU$4:$AU1703,"="&amp;$AU1703,$AY$4:$AY1703,"="&amp;$AY1703)</f>
        <v>32640</v>
      </c>
    </row>
    <row r="1704" spans="46:63" ht="16.5" x14ac:dyDescent="0.2">
      <c r="AT1704" s="13">
        <v>1701</v>
      </c>
      <c r="AU1704" s="13">
        <f t="shared" si="368"/>
        <v>22</v>
      </c>
      <c r="AV1704" s="14">
        <f t="shared" si="369"/>
        <v>299903</v>
      </c>
      <c r="AW1704" s="14">
        <f t="shared" si="370"/>
        <v>1102999</v>
      </c>
      <c r="AX1704" s="13" t="s">
        <v>1127</v>
      </c>
      <c r="AY1704" s="13">
        <f t="shared" si="376"/>
        <v>3</v>
      </c>
      <c r="AZ1704" s="13" t="s">
        <v>1148</v>
      </c>
      <c r="BA1704" s="14">
        <f t="shared" si="377"/>
        <v>0</v>
      </c>
      <c r="BB1704" s="14" t="str">
        <f t="shared" si="372"/>
        <v>R守护灵魂珠-3 等级-0</v>
      </c>
      <c r="BC1704" s="25" t="s">
        <v>44</v>
      </c>
      <c r="BD1704" s="14">
        <f t="shared" si="373"/>
        <v>0</v>
      </c>
      <c r="BE1704" s="14">
        <f>SUMIFS(BD$4:BD1704,$AU$4:$AU1704,"="&amp;$AU1704,$AY$4:$AY1704,"="&amp;$AY1704)</f>
        <v>0</v>
      </c>
      <c r="BF1704" s="25" t="s">
        <v>1157</v>
      </c>
      <c r="BG1704" s="14">
        <f t="shared" si="374"/>
        <v>0</v>
      </c>
      <c r="BH1704" s="14">
        <f>SUMIFS(BG$4:BG1704,AU$4:AU1704,"="&amp;AU1704,AY$4:AY1704,"="&amp;AY1704)</f>
        <v>0</v>
      </c>
      <c r="BI1704" s="25" t="s">
        <v>1158</v>
      </c>
      <c r="BJ1704" s="14">
        <f t="shared" si="375"/>
        <v>0</v>
      </c>
      <c r="BK1704" s="14">
        <f>SUMIFS(BJ$4:BJ1704,$AU$4:$AU1704,"="&amp;$AU1704,$AY$4:$AY1704,"="&amp;$AY1704)</f>
        <v>0</v>
      </c>
    </row>
    <row r="1705" spans="46:63" ht="16.5" x14ac:dyDescent="0.2">
      <c r="AT1705" s="13">
        <v>1702</v>
      </c>
      <c r="AU1705" s="13">
        <f t="shared" si="368"/>
        <v>22</v>
      </c>
      <c r="AV1705" s="14">
        <f t="shared" si="369"/>
        <v>299903</v>
      </c>
      <c r="AW1705" s="14">
        <f t="shared" si="370"/>
        <v>1102999</v>
      </c>
      <c r="AX1705" s="13" t="s">
        <v>1127</v>
      </c>
      <c r="AY1705" s="13">
        <f t="shared" si="376"/>
        <v>3</v>
      </c>
      <c r="AZ1705" s="13" t="s">
        <v>1148</v>
      </c>
      <c r="BA1705" s="14">
        <f t="shared" si="377"/>
        <v>1</v>
      </c>
      <c r="BB1705" s="14" t="str">
        <f t="shared" si="372"/>
        <v>R守护灵魂珠-3 等级-1</v>
      </c>
      <c r="BC1705" s="25" t="s">
        <v>44</v>
      </c>
      <c r="BD1705" s="14">
        <f t="shared" si="373"/>
        <v>64</v>
      </c>
      <c r="BE1705" s="14">
        <f>SUMIFS(BD$4:BD1705,$AU$4:$AU1705,"="&amp;$AU1705,$AY$4:$AY1705,"="&amp;$AY1705)</f>
        <v>64</v>
      </c>
      <c r="BF1705" s="25" t="s">
        <v>1157</v>
      </c>
      <c r="BG1705" s="14">
        <f t="shared" si="374"/>
        <v>32</v>
      </c>
      <c r="BH1705" s="14">
        <f>SUMIFS(BG$4:BG1705,AU$4:AU1705,"="&amp;AU1705,AY$4:AY1705,"="&amp;AY1705)</f>
        <v>32</v>
      </c>
      <c r="BI1705" s="25" t="s">
        <v>1158</v>
      </c>
      <c r="BJ1705" s="14">
        <f t="shared" si="375"/>
        <v>1280</v>
      </c>
      <c r="BK1705" s="14">
        <f>SUMIFS(BJ$4:BJ1705,$AU$4:$AU1705,"="&amp;$AU1705,$AY$4:$AY1705,"="&amp;$AY1705)</f>
        <v>1280</v>
      </c>
    </row>
    <row r="1706" spans="46:63" ht="16.5" x14ac:dyDescent="0.2">
      <c r="AT1706" s="13">
        <v>1703</v>
      </c>
      <c r="AU1706" s="13">
        <f t="shared" si="368"/>
        <v>22</v>
      </c>
      <c r="AV1706" s="14">
        <f t="shared" si="369"/>
        <v>299903</v>
      </c>
      <c r="AW1706" s="14">
        <f t="shared" si="370"/>
        <v>1102999</v>
      </c>
      <c r="AX1706" s="13" t="s">
        <v>1127</v>
      </c>
      <c r="AY1706" s="13">
        <f t="shared" si="376"/>
        <v>3</v>
      </c>
      <c r="AZ1706" s="13" t="s">
        <v>1148</v>
      </c>
      <c r="BA1706" s="14">
        <f t="shared" si="377"/>
        <v>2</v>
      </c>
      <c r="BB1706" s="14" t="str">
        <f t="shared" si="372"/>
        <v>R守护灵魂珠-3 等级-2</v>
      </c>
      <c r="BC1706" s="25" t="s">
        <v>44</v>
      </c>
      <c r="BD1706" s="14">
        <f t="shared" si="373"/>
        <v>96</v>
      </c>
      <c r="BE1706" s="14">
        <f>SUMIFS(BD$4:BD1706,$AU$4:$AU1706,"="&amp;$AU1706,$AY$4:$AY1706,"="&amp;$AY1706)</f>
        <v>160</v>
      </c>
      <c r="BF1706" s="25" t="s">
        <v>1157</v>
      </c>
      <c r="BG1706" s="14">
        <f t="shared" si="374"/>
        <v>48</v>
      </c>
      <c r="BH1706" s="14">
        <f>SUMIFS(BG$4:BG1706,AU$4:AU1706,"="&amp;AU1706,AY$4:AY1706,"="&amp;AY1706)</f>
        <v>80</v>
      </c>
      <c r="BI1706" s="25" t="s">
        <v>1158</v>
      </c>
      <c r="BJ1706" s="14">
        <f t="shared" si="375"/>
        <v>1920</v>
      </c>
      <c r="BK1706" s="14">
        <f>SUMIFS(BJ$4:BJ1706,$AU$4:$AU1706,"="&amp;$AU1706,$AY$4:$AY1706,"="&amp;$AY1706)</f>
        <v>3200</v>
      </c>
    </row>
    <row r="1707" spans="46:63" ht="16.5" x14ac:dyDescent="0.2">
      <c r="AT1707" s="13">
        <v>1704</v>
      </c>
      <c r="AU1707" s="13">
        <f t="shared" si="368"/>
        <v>22</v>
      </c>
      <c r="AV1707" s="14">
        <f t="shared" si="369"/>
        <v>299903</v>
      </c>
      <c r="AW1707" s="14">
        <f t="shared" si="370"/>
        <v>1102999</v>
      </c>
      <c r="AX1707" s="13" t="s">
        <v>1127</v>
      </c>
      <c r="AY1707" s="13">
        <f t="shared" si="376"/>
        <v>3</v>
      </c>
      <c r="AZ1707" s="13" t="s">
        <v>1148</v>
      </c>
      <c r="BA1707" s="14">
        <f t="shared" si="377"/>
        <v>3</v>
      </c>
      <c r="BB1707" s="14" t="str">
        <f t="shared" si="372"/>
        <v>R守护灵魂珠-3 等级-3</v>
      </c>
      <c r="BC1707" s="25" t="s">
        <v>44</v>
      </c>
      <c r="BD1707" s="14">
        <f t="shared" si="373"/>
        <v>128</v>
      </c>
      <c r="BE1707" s="14">
        <f>SUMIFS(BD$4:BD1707,$AU$4:$AU1707,"="&amp;$AU1707,$AY$4:$AY1707,"="&amp;$AY1707)</f>
        <v>288</v>
      </c>
      <c r="BF1707" s="25" t="s">
        <v>1157</v>
      </c>
      <c r="BG1707" s="14">
        <f t="shared" si="374"/>
        <v>64</v>
      </c>
      <c r="BH1707" s="14">
        <f>SUMIFS(BG$4:BG1707,AU$4:AU1707,"="&amp;AU1707,AY$4:AY1707,"="&amp;AY1707)</f>
        <v>144</v>
      </c>
      <c r="BI1707" s="25" t="s">
        <v>1158</v>
      </c>
      <c r="BJ1707" s="14">
        <f t="shared" si="375"/>
        <v>2560</v>
      </c>
      <c r="BK1707" s="14">
        <f>SUMIFS(BJ$4:BJ1707,$AU$4:$AU1707,"="&amp;$AU1707,$AY$4:$AY1707,"="&amp;$AY1707)</f>
        <v>5760</v>
      </c>
    </row>
    <row r="1708" spans="46:63" ht="16.5" x14ac:dyDescent="0.2">
      <c r="AT1708" s="13">
        <v>1705</v>
      </c>
      <c r="AU1708" s="13">
        <f t="shared" si="368"/>
        <v>22</v>
      </c>
      <c r="AV1708" s="14">
        <f t="shared" si="369"/>
        <v>299903</v>
      </c>
      <c r="AW1708" s="14">
        <f t="shared" si="370"/>
        <v>1102999</v>
      </c>
      <c r="AX1708" s="13" t="s">
        <v>1127</v>
      </c>
      <c r="AY1708" s="13">
        <f t="shared" si="376"/>
        <v>3</v>
      </c>
      <c r="AZ1708" s="13" t="s">
        <v>1148</v>
      </c>
      <c r="BA1708" s="14">
        <f t="shared" si="377"/>
        <v>4</v>
      </c>
      <c r="BB1708" s="14" t="str">
        <f t="shared" si="372"/>
        <v>R守护灵魂珠-3 等级-4</v>
      </c>
      <c r="BC1708" s="25" t="s">
        <v>44</v>
      </c>
      <c r="BD1708" s="14">
        <f t="shared" si="373"/>
        <v>192</v>
      </c>
      <c r="BE1708" s="14">
        <f>SUMIFS(BD$4:BD1708,$AU$4:$AU1708,"="&amp;$AU1708,$AY$4:$AY1708,"="&amp;$AY1708)</f>
        <v>480</v>
      </c>
      <c r="BF1708" s="25" t="s">
        <v>1157</v>
      </c>
      <c r="BG1708" s="14">
        <f t="shared" si="374"/>
        <v>96</v>
      </c>
      <c r="BH1708" s="14">
        <f>SUMIFS(BG$4:BG1708,AU$4:AU1708,"="&amp;AU1708,AY$4:AY1708,"="&amp;AY1708)</f>
        <v>240</v>
      </c>
      <c r="BI1708" s="25" t="s">
        <v>1158</v>
      </c>
      <c r="BJ1708" s="14">
        <f t="shared" si="375"/>
        <v>3840</v>
      </c>
      <c r="BK1708" s="14">
        <f>SUMIFS(BJ$4:BJ1708,$AU$4:$AU1708,"="&amp;$AU1708,$AY$4:$AY1708,"="&amp;$AY1708)</f>
        <v>9600</v>
      </c>
    </row>
    <row r="1709" spans="46:63" ht="16.5" x14ac:dyDescent="0.2">
      <c r="AT1709" s="13">
        <v>1706</v>
      </c>
      <c r="AU1709" s="13">
        <f t="shared" si="368"/>
        <v>22</v>
      </c>
      <c r="AV1709" s="14">
        <f t="shared" si="369"/>
        <v>299903</v>
      </c>
      <c r="AW1709" s="14">
        <f t="shared" si="370"/>
        <v>1102999</v>
      </c>
      <c r="AX1709" s="13" t="s">
        <v>1127</v>
      </c>
      <c r="AY1709" s="13">
        <f t="shared" si="376"/>
        <v>3</v>
      </c>
      <c r="AZ1709" s="13" t="s">
        <v>1148</v>
      </c>
      <c r="BA1709" s="14">
        <f t="shared" si="377"/>
        <v>5</v>
      </c>
      <c r="BB1709" s="14" t="str">
        <f t="shared" si="372"/>
        <v>R守护灵魂珠-3 等级-5</v>
      </c>
      <c r="BC1709" s="25" t="s">
        <v>44</v>
      </c>
      <c r="BD1709" s="14">
        <f t="shared" si="373"/>
        <v>256</v>
      </c>
      <c r="BE1709" s="14">
        <f>SUMIFS(BD$4:BD1709,$AU$4:$AU1709,"="&amp;$AU1709,$AY$4:$AY1709,"="&amp;$AY1709)</f>
        <v>736</v>
      </c>
      <c r="BF1709" s="25" t="s">
        <v>1157</v>
      </c>
      <c r="BG1709" s="14">
        <f t="shared" si="374"/>
        <v>128</v>
      </c>
      <c r="BH1709" s="14">
        <f>SUMIFS(BG$4:BG1709,AU$4:AU1709,"="&amp;AU1709,AY$4:AY1709,"="&amp;AY1709)</f>
        <v>368</v>
      </c>
      <c r="BI1709" s="25" t="s">
        <v>1158</v>
      </c>
      <c r="BJ1709" s="14">
        <f t="shared" si="375"/>
        <v>5120</v>
      </c>
      <c r="BK1709" s="14">
        <f>SUMIFS(BJ$4:BJ1709,$AU$4:$AU1709,"="&amp;$AU1709,$AY$4:$AY1709,"="&amp;$AY1709)</f>
        <v>14720</v>
      </c>
    </row>
    <row r="1710" spans="46:63" ht="16.5" x14ac:dyDescent="0.2">
      <c r="AT1710" s="13">
        <v>1707</v>
      </c>
      <c r="AU1710" s="13">
        <f t="shared" si="368"/>
        <v>22</v>
      </c>
      <c r="AV1710" s="14">
        <f t="shared" si="369"/>
        <v>299903</v>
      </c>
      <c r="AW1710" s="14">
        <f t="shared" si="370"/>
        <v>1102999</v>
      </c>
      <c r="AX1710" s="13" t="s">
        <v>1127</v>
      </c>
      <c r="AY1710" s="13">
        <f t="shared" si="376"/>
        <v>3</v>
      </c>
      <c r="AZ1710" s="13" t="s">
        <v>1148</v>
      </c>
      <c r="BA1710" s="14">
        <f t="shared" si="377"/>
        <v>6</v>
      </c>
      <c r="BB1710" s="14" t="str">
        <f t="shared" si="372"/>
        <v>R守护灵魂珠-3 等级-6</v>
      </c>
      <c r="BC1710" s="25" t="s">
        <v>44</v>
      </c>
      <c r="BD1710" s="14">
        <f t="shared" si="373"/>
        <v>320</v>
      </c>
      <c r="BE1710" s="14">
        <f>SUMIFS(BD$4:BD1710,$AU$4:$AU1710,"="&amp;$AU1710,$AY$4:$AY1710,"="&amp;$AY1710)</f>
        <v>1056</v>
      </c>
      <c r="BF1710" s="25" t="s">
        <v>1157</v>
      </c>
      <c r="BG1710" s="14">
        <f t="shared" si="374"/>
        <v>160</v>
      </c>
      <c r="BH1710" s="14">
        <f>SUMIFS(BG$4:BG1710,AU$4:AU1710,"="&amp;AU1710,AY$4:AY1710,"="&amp;AY1710)</f>
        <v>528</v>
      </c>
      <c r="BI1710" s="25" t="s">
        <v>1158</v>
      </c>
      <c r="BJ1710" s="14">
        <f t="shared" si="375"/>
        <v>6400</v>
      </c>
      <c r="BK1710" s="14">
        <f>SUMIFS(BJ$4:BJ1710,$AU$4:$AU1710,"="&amp;$AU1710,$AY$4:$AY1710,"="&amp;$AY1710)</f>
        <v>21120</v>
      </c>
    </row>
    <row r="1711" spans="46:63" ht="16.5" x14ac:dyDescent="0.2">
      <c r="AT1711" s="13">
        <v>1708</v>
      </c>
      <c r="AU1711" s="13">
        <f t="shared" si="368"/>
        <v>22</v>
      </c>
      <c r="AV1711" s="14">
        <f t="shared" si="369"/>
        <v>299903</v>
      </c>
      <c r="AW1711" s="14">
        <f t="shared" si="370"/>
        <v>1102999</v>
      </c>
      <c r="AX1711" s="13" t="s">
        <v>1127</v>
      </c>
      <c r="AY1711" s="13">
        <f t="shared" si="376"/>
        <v>3</v>
      </c>
      <c r="AZ1711" s="13" t="s">
        <v>1148</v>
      </c>
      <c r="BA1711" s="14">
        <f t="shared" si="377"/>
        <v>7</v>
      </c>
      <c r="BB1711" s="14" t="str">
        <f t="shared" si="372"/>
        <v>R守护灵魂珠-3 等级-7</v>
      </c>
      <c r="BC1711" s="25" t="s">
        <v>44</v>
      </c>
      <c r="BD1711" s="14">
        <f t="shared" si="373"/>
        <v>384</v>
      </c>
      <c r="BE1711" s="14">
        <f>SUMIFS(BD$4:BD1711,$AU$4:$AU1711,"="&amp;$AU1711,$AY$4:$AY1711,"="&amp;$AY1711)</f>
        <v>1440</v>
      </c>
      <c r="BF1711" s="25" t="s">
        <v>1157</v>
      </c>
      <c r="BG1711" s="14">
        <f t="shared" si="374"/>
        <v>192</v>
      </c>
      <c r="BH1711" s="14">
        <f>SUMIFS(BG$4:BG1711,AU$4:AU1711,"="&amp;AU1711,AY$4:AY1711,"="&amp;AY1711)</f>
        <v>720</v>
      </c>
      <c r="BI1711" s="25" t="s">
        <v>1158</v>
      </c>
      <c r="BJ1711" s="14">
        <f t="shared" si="375"/>
        <v>7680</v>
      </c>
      <c r="BK1711" s="14">
        <f>SUMIFS(BJ$4:BJ1711,$AU$4:$AU1711,"="&amp;$AU1711,$AY$4:$AY1711,"="&amp;$AY1711)</f>
        <v>28800</v>
      </c>
    </row>
    <row r="1712" spans="46:63" ht="16.5" x14ac:dyDescent="0.2">
      <c r="AT1712" s="13">
        <v>1709</v>
      </c>
      <c r="AU1712" s="13">
        <f t="shared" si="368"/>
        <v>22</v>
      </c>
      <c r="AV1712" s="14">
        <f t="shared" si="369"/>
        <v>299903</v>
      </c>
      <c r="AW1712" s="14">
        <f t="shared" si="370"/>
        <v>1102999</v>
      </c>
      <c r="AX1712" s="13" t="s">
        <v>1127</v>
      </c>
      <c r="AY1712" s="13">
        <f t="shared" si="376"/>
        <v>3</v>
      </c>
      <c r="AZ1712" s="13" t="s">
        <v>1148</v>
      </c>
      <c r="BA1712" s="14">
        <f t="shared" si="377"/>
        <v>8</v>
      </c>
      <c r="BB1712" s="14" t="str">
        <f t="shared" si="372"/>
        <v>R守护灵魂珠-3 等级-8</v>
      </c>
      <c r="BC1712" s="25" t="s">
        <v>44</v>
      </c>
      <c r="BD1712" s="14">
        <f t="shared" si="373"/>
        <v>448</v>
      </c>
      <c r="BE1712" s="14">
        <f>SUMIFS(BD$4:BD1712,$AU$4:$AU1712,"="&amp;$AU1712,$AY$4:$AY1712,"="&amp;$AY1712)</f>
        <v>1888</v>
      </c>
      <c r="BF1712" s="25" t="s">
        <v>1157</v>
      </c>
      <c r="BG1712" s="14">
        <f t="shared" si="374"/>
        <v>224</v>
      </c>
      <c r="BH1712" s="14">
        <f>SUMIFS(BG$4:BG1712,AU$4:AU1712,"="&amp;AU1712,AY$4:AY1712,"="&amp;AY1712)</f>
        <v>944</v>
      </c>
      <c r="BI1712" s="25" t="s">
        <v>1158</v>
      </c>
      <c r="BJ1712" s="14">
        <f t="shared" si="375"/>
        <v>8960</v>
      </c>
      <c r="BK1712" s="14">
        <f>SUMIFS(BJ$4:BJ1712,$AU$4:$AU1712,"="&amp;$AU1712,$AY$4:$AY1712,"="&amp;$AY1712)</f>
        <v>37760</v>
      </c>
    </row>
    <row r="1713" spans="46:63" ht="16.5" x14ac:dyDescent="0.2">
      <c r="AT1713" s="13">
        <v>1710</v>
      </c>
      <c r="AU1713" s="13">
        <f t="shared" si="368"/>
        <v>22</v>
      </c>
      <c r="AV1713" s="14">
        <f t="shared" si="369"/>
        <v>299903</v>
      </c>
      <c r="AW1713" s="14">
        <f t="shared" si="370"/>
        <v>1102999</v>
      </c>
      <c r="AX1713" s="13" t="s">
        <v>1127</v>
      </c>
      <c r="AY1713" s="13">
        <f t="shared" si="376"/>
        <v>3</v>
      </c>
      <c r="AZ1713" s="13" t="s">
        <v>1148</v>
      </c>
      <c r="BA1713" s="14">
        <f t="shared" si="377"/>
        <v>9</v>
      </c>
      <c r="BB1713" s="14" t="str">
        <f t="shared" si="372"/>
        <v>R守护灵魂珠-3 等级-9</v>
      </c>
      <c r="BC1713" s="25" t="s">
        <v>44</v>
      </c>
      <c r="BD1713" s="14">
        <f t="shared" si="373"/>
        <v>512</v>
      </c>
      <c r="BE1713" s="14">
        <f>SUMIFS(BD$4:BD1713,$AU$4:$AU1713,"="&amp;$AU1713,$AY$4:$AY1713,"="&amp;$AY1713)</f>
        <v>2400</v>
      </c>
      <c r="BF1713" s="25" t="s">
        <v>1157</v>
      </c>
      <c r="BG1713" s="14">
        <f t="shared" si="374"/>
        <v>256</v>
      </c>
      <c r="BH1713" s="14">
        <f>SUMIFS(BG$4:BG1713,AU$4:AU1713,"="&amp;AU1713,AY$4:AY1713,"="&amp;AY1713)</f>
        <v>1200</v>
      </c>
      <c r="BI1713" s="25" t="s">
        <v>1158</v>
      </c>
      <c r="BJ1713" s="14">
        <f t="shared" si="375"/>
        <v>10240</v>
      </c>
      <c r="BK1713" s="14">
        <f>SUMIFS(BJ$4:BJ1713,$AU$4:$AU1713,"="&amp;$AU1713,$AY$4:$AY1713,"="&amp;$AY1713)</f>
        <v>48000</v>
      </c>
    </row>
    <row r="1714" spans="46:63" ht="16.5" x14ac:dyDescent="0.2">
      <c r="AT1714" s="13">
        <v>1711</v>
      </c>
      <c r="AU1714" s="13">
        <f t="shared" si="368"/>
        <v>22</v>
      </c>
      <c r="AV1714" s="14">
        <f t="shared" si="369"/>
        <v>299904</v>
      </c>
      <c r="AW1714" s="14">
        <f t="shared" si="370"/>
        <v>1102999</v>
      </c>
      <c r="AX1714" s="13" t="s">
        <v>1127</v>
      </c>
      <c r="AY1714" s="13">
        <f t="shared" si="376"/>
        <v>4</v>
      </c>
      <c r="AZ1714" s="13" t="s">
        <v>1148</v>
      </c>
      <c r="BA1714" s="14">
        <f t="shared" si="377"/>
        <v>0</v>
      </c>
      <c r="BB1714" s="14" t="str">
        <f t="shared" si="372"/>
        <v>R守护灵魂珠-4 等级-0</v>
      </c>
      <c r="BC1714" s="25" t="s">
        <v>44</v>
      </c>
      <c r="BD1714" s="14">
        <f t="shared" si="373"/>
        <v>0</v>
      </c>
      <c r="BE1714" s="14">
        <f>SUMIFS(BD$4:BD1714,$AU$4:$AU1714,"="&amp;$AU1714,$AY$4:$AY1714,"="&amp;$AY1714)</f>
        <v>0</v>
      </c>
      <c r="BF1714" s="25" t="s">
        <v>1157</v>
      </c>
      <c r="BG1714" s="14">
        <f t="shared" si="374"/>
        <v>0</v>
      </c>
      <c r="BH1714" s="14">
        <f>SUMIFS(BG$4:BG1714,AU$4:AU1714,"="&amp;AU1714,AY$4:AY1714,"="&amp;AY1714)</f>
        <v>0</v>
      </c>
      <c r="BI1714" s="25" t="s">
        <v>1158</v>
      </c>
      <c r="BJ1714" s="14">
        <f t="shared" si="375"/>
        <v>0</v>
      </c>
      <c r="BK1714" s="14">
        <f>SUMIFS(BJ$4:BJ1714,$AU$4:$AU1714,"="&amp;$AU1714,$AY$4:$AY1714,"="&amp;$AY1714)</f>
        <v>0</v>
      </c>
    </row>
    <row r="1715" spans="46:63" ht="16.5" x14ac:dyDescent="0.2">
      <c r="AT1715" s="13">
        <v>1712</v>
      </c>
      <c r="AU1715" s="13">
        <f t="shared" si="368"/>
        <v>22</v>
      </c>
      <c r="AV1715" s="14">
        <f t="shared" si="369"/>
        <v>299904</v>
      </c>
      <c r="AW1715" s="14">
        <f t="shared" si="370"/>
        <v>1102999</v>
      </c>
      <c r="AX1715" s="13" t="s">
        <v>1127</v>
      </c>
      <c r="AY1715" s="13">
        <f t="shared" si="376"/>
        <v>4</v>
      </c>
      <c r="AZ1715" s="13" t="s">
        <v>1148</v>
      </c>
      <c r="BA1715" s="14">
        <f t="shared" si="377"/>
        <v>1</v>
      </c>
      <c r="BB1715" s="14" t="str">
        <f t="shared" si="372"/>
        <v>R守护灵魂珠-4 等级-1</v>
      </c>
      <c r="BC1715" s="25" t="s">
        <v>44</v>
      </c>
      <c r="BD1715" s="14">
        <f t="shared" si="373"/>
        <v>80</v>
      </c>
      <c r="BE1715" s="14">
        <f>SUMIFS(BD$4:BD1715,$AU$4:$AU1715,"="&amp;$AU1715,$AY$4:$AY1715,"="&amp;$AY1715)</f>
        <v>80</v>
      </c>
      <c r="BF1715" s="25" t="s">
        <v>1157</v>
      </c>
      <c r="BG1715" s="14">
        <f t="shared" si="374"/>
        <v>40</v>
      </c>
      <c r="BH1715" s="14">
        <f>SUMIFS(BG$4:BG1715,AU$4:AU1715,"="&amp;AU1715,AY$4:AY1715,"="&amp;AY1715)</f>
        <v>40</v>
      </c>
      <c r="BI1715" s="25" t="s">
        <v>1158</v>
      </c>
      <c r="BJ1715" s="14">
        <f t="shared" si="375"/>
        <v>1600</v>
      </c>
      <c r="BK1715" s="14">
        <f>SUMIFS(BJ$4:BJ1715,$AU$4:$AU1715,"="&amp;$AU1715,$AY$4:$AY1715,"="&amp;$AY1715)</f>
        <v>1600</v>
      </c>
    </row>
    <row r="1716" spans="46:63" ht="16.5" x14ac:dyDescent="0.2">
      <c r="AT1716" s="13">
        <v>1713</v>
      </c>
      <c r="AU1716" s="13">
        <f t="shared" si="368"/>
        <v>22</v>
      </c>
      <c r="AV1716" s="14">
        <f t="shared" si="369"/>
        <v>299904</v>
      </c>
      <c r="AW1716" s="14">
        <f t="shared" si="370"/>
        <v>1102999</v>
      </c>
      <c r="AX1716" s="13" t="s">
        <v>1127</v>
      </c>
      <c r="AY1716" s="13">
        <f t="shared" si="376"/>
        <v>4</v>
      </c>
      <c r="AZ1716" s="13" t="s">
        <v>1148</v>
      </c>
      <c r="BA1716" s="14">
        <f t="shared" si="377"/>
        <v>2</v>
      </c>
      <c r="BB1716" s="14" t="str">
        <f t="shared" si="372"/>
        <v>R守护灵魂珠-4 等级-2</v>
      </c>
      <c r="BC1716" s="25" t="s">
        <v>44</v>
      </c>
      <c r="BD1716" s="14">
        <f t="shared" si="373"/>
        <v>128</v>
      </c>
      <c r="BE1716" s="14">
        <f>SUMIFS(BD$4:BD1716,$AU$4:$AU1716,"="&amp;$AU1716,$AY$4:$AY1716,"="&amp;$AY1716)</f>
        <v>208</v>
      </c>
      <c r="BF1716" s="25" t="s">
        <v>1157</v>
      </c>
      <c r="BG1716" s="14">
        <f t="shared" si="374"/>
        <v>64</v>
      </c>
      <c r="BH1716" s="14">
        <f>SUMIFS(BG$4:BG1716,AU$4:AU1716,"="&amp;AU1716,AY$4:AY1716,"="&amp;AY1716)</f>
        <v>104</v>
      </c>
      <c r="BI1716" s="25" t="s">
        <v>1158</v>
      </c>
      <c r="BJ1716" s="14">
        <f t="shared" si="375"/>
        <v>2560</v>
      </c>
      <c r="BK1716" s="14">
        <f>SUMIFS(BJ$4:BJ1716,$AU$4:$AU1716,"="&amp;$AU1716,$AY$4:$AY1716,"="&amp;$AY1716)</f>
        <v>4160</v>
      </c>
    </row>
    <row r="1717" spans="46:63" ht="16.5" x14ac:dyDescent="0.2">
      <c r="AT1717" s="13">
        <v>1714</v>
      </c>
      <c r="AU1717" s="13">
        <f t="shared" si="368"/>
        <v>22</v>
      </c>
      <c r="AV1717" s="14">
        <f t="shared" si="369"/>
        <v>299904</v>
      </c>
      <c r="AW1717" s="14">
        <f t="shared" si="370"/>
        <v>1102999</v>
      </c>
      <c r="AX1717" s="13" t="s">
        <v>1127</v>
      </c>
      <c r="AY1717" s="13">
        <f t="shared" si="376"/>
        <v>4</v>
      </c>
      <c r="AZ1717" s="13" t="s">
        <v>1148</v>
      </c>
      <c r="BA1717" s="14">
        <f t="shared" si="377"/>
        <v>3</v>
      </c>
      <c r="BB1717" s="14" t="str">
        <f t="shared" si="372"/>
        <v>R守护灵魂珠-4 等级-3</v>
      </c>
      <c r="BC1717" s="25" t="s">
        <v>44</v>
      </c>
      <c r="BD1717" s="14">
        <f t="shared" si="373"/>
        <v>176</v>
      </c>
      <c r="BE1717" s="14">
        <f>SUMIFS(BD$4:BD1717,$AU$4:$AU1717,"="&amp;$AU1717,$AY$4:$AY1717,"="&amp;$AY1717)</f>
        <v>384</v>
      </c>
      <c r="BF1717" s="25" t="s">
        <v>1157</v>
      </c>
      <c r="BG1717" s="14">
        <f t="shared" si="374"/>
        <v>88</v>
      </c>
      <c r="BH1717" s="14">
        <f>SUMIFS(BG$4:BG1717,AU$4:AU1717,"="&amp;AU1717,AY$4:AY1717,"="&amp;AY1717)</f>
        <v>192</v>
      </c>
      <c r="BI1717" s="25" t="s">
        <v>1158</v>
      </c>
      <c r="BJ1717" s="14">
        <f t="shared" si="375"/>
        <v>3520</v>
      </c>
      <c r="BK1717" s="14">
        <f>SUMIFS(BJ$4:BJ1717,$AU$4:$AU1717,"="&amp;$AU1717,$AY$4:$AY1717,"="&amp;$AY1717)</f>
        <v>7680</v>
      </c>
    </row>
    <row r="1718" spans="46:63" ht="16.5" x14ac:dyDescent="0.2">
      <c r="AT1718" s="13">
        <v>1715</v>
      </c>
      <c r="AU1718" s="13">
        <f t="shared" si="368"/>
        <v>22</v>
      </c>
      <c r="AV1718" s="14">
        <f t="shared" si="369"/>
        <v>299904</v>
      </c>
      <c r="AW1718" s="14">
        <f t="shared" si="370"/>
        <v>1102999</v>
      </c>
      <c r="AX1718" s="13" t="s">
        <v>1127</v>
      </c>
      <c r="AY1718" s="13">
        <f t="shared" si="376"/>
        <v>4</v>
      </c>
      <c r="AZ1718" s="13" t="s">
        <v>1148</v>
      </c>
      <c r="BA1718" s="14">
        <f t="shared" si="377"/>
        <v>4</v>
      </c>
      <c r="BB1718" s="14" t="str">
        <f t="shared" si="372"/>
        <v>R守护灵魂珠-4 等级-4</v>
      </c>
      <c r="BC1718" s="25" t="s">
        <v>44</v>
      </c>
      <c r="BD1718" s="14">
        <f t="shared" si="373"/>
        <v>256</v>
      </c>
      <c r="BE1718" s="14">
        <f>SUMIFS(BD$4:BD1718,$AU$4:$AU1718,"="&amp;$AU1718,$AY$4:$AY1718,"="&amp;$AY1718)</f>
        <v>640</v>
      </c>
      <c r="BF1718" s="25" t="s">
        <v>1157</v>
      </c>
      <c r="BG1718" s="14">
        <f t="shared" si="374"/>
        <v>128</v>
      </c>
      <c r="BH1718" s="14">
        <f>SUMIFS(BG$4:BG1718,AU$4:AU1718,"="&amp;AU1718,AY$4:AY1718,"="&amp;AY1718)</f>
        <v>320</v>
      </c>
      <c r="BI1718" s="25" t="s">
        <v>1158</v>
      </c>
      <c r="BJ1718" s="14">
        <f t="shared" si="375"/>
        <v>5120</v>
      </c>
      <c r="BK1718" s="14">
        <f>SUMIFS(BJ$4:BJ1718,$AU$4:$AU1718,"="&amp;$AU1718,$AY$4:$AY1718,"="&amp;$AY1718)</f>
        <v>12800</v>
      </c>
    </row>
    <row r="1719" spans="46:63" ht="16.5" x14ac:dyDescent="0.2">
      <c r="AT1719" s="13">
        <v>1716</v>
      </c>
      <c r="AU1719" s="13">
        <f t="shared" si="368"/>
        <v>22</v>
      </c>
      <c r="AV1719" s="14">
        <f t="shared" si="369"/>
        <v>299904</v>
      </c>
      <c r="AW1719" s="14">
        <f t="shared" si="370"/>
        <v>1102999</v>
      </c>
      <c r="AX1719" s="13" t="s">
        <v>1127</v>
      </c>
      <c r="AY1719" s="13">
        <f t="shared" si="376"/>
        <v>4</v>
      </c>
      <c r="AZ1719" s="13" t="s">
        <v>1148</v>
      </c>
      <c r="BA1719" s="14">
        <f t="shared" si="377"/>
        <v>5</v>
      </c>
      <c r="BB1719" s="14" t="str">
        <f t="shared" si="372"/>
        <v>R守护灵魂珠-4 等级-5</v>
      </c>
      <c r="BC1719" s="25" t="s">
        <v>44</v>
      </c>
      <c r="BD1719" s="14">
        <f t="shared" si="373"/>
        <v>336</v>
      </c>
      <c r="BE1719" s="14">
        <f>SUMIFS(BD$4:BD1719,$AU$4:$AU1719,"="&amp;$AU1719,$AY$4:$AY1719,"="&amp;$AY1719)</f>
        <v>976</v>
      </c>
      <c r="BF1719" s="25" t="s">
        <v>1157</v>
      </c>
      <c r="BG1719" s="14">
        <f t="shared" si="374"/>
        <v>168</v>
      </c>
      <c r="BH1719" s="14">
        <f>SUMIFS(BG$4:BG1719,AU$4:AU1719,"="&amp;AU1719,AY$4:AY1719,"="&amp;AY1719)</f>
        <v>488</v>
      </c>
      <c r="BI1719" s="25" t="s">
        <v>1158</v>
      </c>
      <c r="BJ1719" s="14">
        <f t="shared" si="375"/>
        <v>6720</v>
      </c>
      <c r="BK1719" s="14">
        <f>SUMIFS(BJ$4:BJ1719,$AU$4:$AU1719,"="&amp;$AU1719,$AY$4:$AY1719,"="&amp;$AY1719)</f>
        <v>19520</v>
      </c>
    </row>
    <row r="1720" spans="46:63" ht="16.5" x14ac:dyDescent="0.2">
      <c r="AT1720" s="13">
        <v>1717</v>
      </c>
      <c r="AU1720" s="13">
        <f t="shared" si="368"/>
        <v>22</v>
      </c>
      <c r="AV1720" s="14">
        <f t="shared" si="369"/>
        <v>299904</v>
      </c>
      <c r="AW1720" s="14">
        <f t="shared" si="370"/>
        <v>1102999</v>
      </c>
      <c r="AX1720" s="13" t="s">
        <v>1127</v>
      </c>
      <c r="AY1720" s="13">
        <f t="shared" si="376"/>
        <v>4</v>
      </c>
      <c r="AZ1720" s="13" t="s">
        <v>1148</v>
      </c>
      <c r="BA1720" s="14">
        <f t="shared" si="377"/>
        <v>6</v>
      </c>
      <c r="BB1720" s="14" t="str">
        <f t="shared" si="372"/>
        <v>R守护灵魂珠-4 等级-6</v>
      </c>
      <c r="BC1720" s="25" t="s">
        <v>44</v>
      </c>
      <c r="BD1720" s="14">
        <f t="shared" si="373"/>
        <v>440</v>
      </c>
      <c r="BE1720" s="14">
        <f>SUMIFS(BD$4:BD1720,$AU$4:$AU1720,"="&amp;$AU1720,$AY$4:$AY1720,"="&amp;$AY1720)</f>
        <v>1416</v>
      </c>
      <c r="BF1720" s="25" t="s">
        <v>1157</v>
      </c>
      <c r="BG1720" s="14">
        <f t="shared" si="374"/>
        <v>220</v>
      </c>
      <c r="BH1720" s="14">
        <f>SUMIFS(BG$4:BG1720,AU$4:AU1720,"="&amp;AU1720,AY$4:AY1720,"="&amp;AY1720)</f>
        <v>708</v>
      </c>
      <c r="BI1720" s="25" t="s">
        <v>1158</v>
      </c>
      <c r="BJ1720" s="14">
        <f t="shared" si="375"/>
        <v>8800</v>
      </c>
      <c r="BK1720" s="14">
        <f>SUMIFS(BJ$4:BJ1720,$AU$4:$AU1720,"="&amp;$AU1720,$AY$4:$AY1720,"="&amp;$AY1720)</f>
        <v>28320</v>
      </c>
    </row>
    <row r="1721" spans="46:63" ht="16.5" x14ac:dyDescent="0.2">
      <c r="AT1721" s="13">
        <v>1718</v>
      </c>
      <c r="AU1721" s="13">
        <f t="shared" si="368"/>
        <v>22</v>
      </c>
      <c r="AV1721" s="14">
        <f t="shared" si="369"/>
        <v>299904</v>
      </c>
      <c r="AW1721" s="14">
        <f t="shared" si="370"/>
        <v>1102999</v>
      </c>
      <c r="AX1721" s="13" t="s">
        <v>1127</v>
      </c>
      <c r="AY1721" s="13">
        <f t="shared" si="376"/>
        <v>4</v>
      </c>
      <c r="AZ1721" s="13" t="s">
        <v>1148</v>
      </c>
      <c r="BA1721" s="14">
        <f t="shared" si="377"/>
        <v>7</v>
      </c>
      <c r="BB1721" s="14" t="str">
        <f t="shared" si="372"/>
        <v>R守护灵魂珠-4 等级-7</v>
      </c>
      <c r="BC1721" s="25" t="s">
        <v>44</v>
      </c>
      <c r="BD1721" s="14">
        <f t="shared" si="373"/>
        <v>520</v>
      </c>
      <c r="BE1721" s="14">
        <f>SUMIFS(BD$4:BD1721,$AU$4:$AU1721,"="&amp;$AU1721,$AY$4:$AY1721,"="&amp;$AY1721)</f>
        <v>1936</v>
      </c>
      <c r="BF1721" s="25" t="s">
        <v>1157</v>
      </c>
      <c r="BG1721" s="14">
        <f t="shared" si="374"/>
        <v>260</v>
      </c>
      <c r="BH1721" s="14">
        <f>SUMIFS(BG$4:BG1721,AU$4:AU1721,"="&amp;AU1721,AY$4:AY1721,"="&amp;AY1721)</f>
        <v>968</v>
      </c>
      <c r="BI1721" s="25" t="s">
        <v>1158</v>
      </c>
      <c r="BJ1721" s="14">
        <f t="shared" si="375"/>
        <v>10400</v>
      </c>
      <c r="BK1721" s="14">
        <f>SUMIFS(BJ$4:BJ1721,$AU$4:$AU1721,"="&amp;$AU1721,$AY$4:$AY1721,"="&amp;$AY1721)</f>
        <v>38720</v>
      </c>
    </row>
    <row r="1722" spans="46:63" ht="16.5" x14ac:dyDescent="0.2">
      <c r="AT1722" s="13">
        <v>1719</v>
      </c>
      <c r="AU1722" s="13">
        <f t="shared" si="368"/>
        <v>22</v>
      </c>
      <c r="AV1722" s="14">
        <f t="shared" si="369"/>
        <v>299904</v>
      </c>
      <c r="AW1722" s="14">
        <f t="shared" si="370"/>
        <v>1102999</v>
      </c>
      <c r="AX1722" s="13" t="s">
        <v>1127</v>
      </c>
      <c r="AY1722" s="13">
        <f t="shared" si="376"/>
        <v>4</v>
      </c>
      <c r="AZ1722" s="13" t="s">
        <v>1148</v>
      </c>
      <c r="BA1722" s="14">
        <f t="shared" si="377"/>
        <v>8</v>
      </c>
      <c r="BB1722" s="14" t="str">
        <f t="shared" si="372"/>
        <v>R守护灵魂珠-4 等级-8</v>
      </c>
      <c r="BC1722" s="25" t="s">
        <v>44</v>
      </c>
      <c r="BD1722" s="14">
        <f t="shared" si="373"/>
        <v>600</v>
      </c>
      <c r="BE1722" s="14">
        <f>SUMIFS(BD$4:BD1722,$AU$4:$AU1722,"="&amp;$AU1722,$AY$4:$AY1722,"="&amp;$AY1722)</f>
        <v>2536</v>
      </c>
      <c r="BF1722" s="25" t="s">
        <v>1157</v>
      </c>
      <c r="BG1722" s="14">
        <f t="shared" si="374"/>
        <v>300</v>
      </c>
      <c r="BH1722" s="14">
        <f>SUMIFS(BG$4:BG1722,AU$4:AU1722,"="&amp;AU1722,AY$4:AY1722,"="&amp;AY1722)</f>
        <v>1268</v>
      </c>
      <c r="BI1722" s="25" t="s">
        <v>1158</v>
      </c>
      <c r="BJ1722" s="14">
        <f t="shared" si="375"/>
        <v>12000</v>
      </c>
      <c r="BK1722" s="14">
        <f>SUMIFS(BJ$4:BJ1722,$AU$4:$AU1722,"="&amp;$AU1722,$AY$4:$AY1722,"="&amp;$AY1722)</f>
        <v>50720</v>
      </c>
    </row>
    <row r="1723" spans="46:63" ht="16.5" x14ac:dyDescent="0.2">
      <c r="AT1723" s="13">
        <v>1720</v>
      </c>
      <c r="AU1723" s="13">
        <f t="shared" si="368"/>
        <v>22</v>
      </c>
      <c r="AV1723" s="14">
        <f t="shared" si="369"/>
        <v>299904</v>
      </c>
      <c r="AW1723" s="14">
        <f t="shared" si="370"/>
        <v>1102999</v>
      </c>
      <c r="AX1723" s="13" t="s">
        <v>1127</v>
      </c>
      <c r="AY1723" s="13">
        <f t="shared" si="376"/>
        <v>4</v>
      </c>
      <c r="AZ1723" s="13" t="s">
        <v>1148</v>
      </c>
      <c r="BA1723" s="14">
        <f t="shared" si="377"/>
        <v>9</v>
      </c>
      <c r="BB1723" s="14" t="str">
        <f t="shared" si="372"/>
        <v>R守护灵魂珠-4 等级-9</v>
      </c>
      <c r="BC1723" s="25" t="s">
        <v>44</v>
      </c>
      <c r="BD1723" s="14">
        <f t="shared" si="373"/>
        <v>680</v>
      </c>
      <c r="BE1723" s="14">
        <f>SUMIFS(BD$4:BD1723,$AU$4:$AU1723,"="&amp;$AU1723,$AY$4:$AY1723,"="&amp;$AY1723)</f>
        <v>3216</v>
      </c>
      <c r="BF1723" s="25" t="s">
        <v>1157</v>
      </c>
      <c r="BG1723" s="14">
        <f t="shared" si="374"/>
        <v>340</v>
      </c>
      <c r="BH1723" s="14">
        <f>SUMIFS(BG$4:BG1723,AU$4:AU1723,"="&amp;AU1723,AY$4:AY1723,"="&amp;AY1723)</f>
        <v>1608</v>
      </c>
      <c r="BI1723" s="25" t="s">
        <v>1158</v>
      </c>
      <c r="BJ1723" s="14">
        <f t="shared" si="375"/>
        <v>13600</v>
      </c>
      <c r="BK1723" s="14">
        <f>SUMIFS(BJ$4:BJ1723,$AU$4:$AU1723,"="&amp;$AU1723,$AY$4:$AY1723,"="&amp;$AY1723)</f>
        <v>64320</v>
      </c>
    </row>
    <row r="1724" spans="46:63" ht="16.5" x14ac:dyDescent="0.2">
      <c r="AT1724" s="13">
        <v>1721</v>
      </c>
      <c r="AU1724" s="13">
        <f t="shared" si="368"/>
        <v>22</v>
      </c>
      <c r="AV1724" s="14">
        <f t="shared" si="369"/>
        <v>299905</v>
      </c>
      <c r="AW1724" s="14">
        <f t="shared" si="370"/>
        <v>1102999</v>
      </c>
      <c r="AX1724" s="13" t="s">
        <v>1127</v>
      </c>
      <c r="AY1724" s="13">
        <f t="shared" si="376"/>
        <v>5</v>
      </c>
      <c r="AZ1724" s="13" t="s">
        <v>1148</v>
      </c>
      <c r="BA1724" s="14">
        <f t="shared" si="377"/>
        <v>0</v>
      </c>
      <c r="BB1724" s="14" t="str">
        <f t="shared" si="372"/>
        <v>R守护灵魂珠-5 等级-0</v>
      </c>
      <c r="BC1724" s="25" t="s">
        <v>44</v>
      </c>
      <c r="BD1724" s="14">
        <f t="shared" si="373"/>
        <v>0</v>
      </c>
      <c r="BE1724" s="14">
        <f>SUMIFS(BD$4:BD1724,$AU$4:$AU1724,"="&amp;$AU1724,$AY$4:$AY1724,"="&amp;$AY1724)</f>
        <v>0</v>
      </c>
      <c r="BF1724" s="25" t="s">
        <v>1157</v>
      </c>
      <c r="BG1724" s="14">
        <f t="shared" si="374"/>
        <v>0</v>
      </c>
      <c r="BH1724" s="14">
        <f>SUMIFS(BG$4:BG1724,AU$4:AU1724,"="&amp;AU1724,AY$4:AY1724,"="&amp;AY1724)</f>
        <v>0</v>
      </c>
      <c r="BI1724" s="25" t="s">
        <v>1158</v>
      </c>
      <c r="BJ1724" s="14">
        <f t="shared" si="375"/>
        <v>0</v>
      </c>
      <c r="BK1724" s="14">
        <f>SUMIFS(BJ$4:BJ1724,$AU$4:$AU1724,"="&amp;$AU1724,$AY$4:$AY1724,"="&amp;$AY1724)</f>
        <v>0</v>
      </c>
    </row>
    <row r="1725" spans="46:63" ht="16.5" x14ac:dyDescent="0.2">
      <c r="AT1725" s="13">
        <v>1722</v>
      </c>
      <c r="AU1725" s="13">
        <f t="shared" si="368"/>
        <v>22</v>
      </c>
      <c r="AV1725" s="14">
        <f t="shared" si="369"/>
        <v>299905</v>
      </c>
      <c r="AW1725" s="14">
        <f t="shared" si="370"/>
        <v>1102999</v>
      </c>
      <c r="AX1725" s="13" t="s">
        <v>1127</v>
      </c>
      <c r="AY1725" s="13">
        <f t="shared" si="376"/>
        <v>5</v>
      </c>
      <c r="AZ1725" s="13" t="s">
        <v>1148</v>
      </c>
      <c r="BA1725" s="14">
        <f t="shared" si="377"/>
        <v>1</v>
      </c>
      <c r="BB1725" s="14" t="str">
        <f t="shared" si="372"/>
        <v>R守护灵魂珠-5 等级-1</v>
      </c>
      <c r="BC1725" s="25" t="s">
        <v>44</v>
      </c>
      <c r="BD1725" s="14">
        <f t="shared" si="373"/>
        <v>112</v>
      </c>
      <c r="BE1725" s="14">
        <f>SUMIFS(BD$4:BD1725,$AU$4:$AU1725,"="&amp;$AU1725,$AY$4:$AY1725,"="&amp;$AY1725)</f>
        <v>112</v>
      </c>
      <c r="BF1725" s="25" t="s">
        <v>1157</v>
      </c>
      <c r="BG1725" s="14">
        <f t="shared" si="374"/>
        <v>56</v>
      </c>
      <c r="BH1725" s="14">
        <f>SUMIFS(BG$4:BG1725,AU$4:AU1725,"="&amp;AU1725,AY$4:AY1725,"="&amp;AY1725)</f>
        <v>56</v>
      </c>
      <c r="BI1725" s="25" t="s">
        <v>1158</v>
      </c>
      <c r="BJ1725" s="14">
        <f t="shared" si="375"/>
        <v>2240</v>
      </c>
      <c r="BK1725" s="14">
        <f>SUMIFS(BJ$4:BJ1725,$AU$4:$AU1725,"="&amp;$AU1725,$AY$4:$AY1725,"="&amp;$AY1725)</f>
        <v>2240</v>
      </c>
    </row>
    <row r="1726" spans="46:63" ht="16.5" x14ac:dyDescent="0.2">
      <c r="AT1726" s="13">
        <v>1723</v>
      </c>
      <c r="AU1726" s="13">
        <f t="shared" si="368"/>
        <v>22</v>
      </c>
      <c r="AV1726" s="14">
        <f t="shared" si="369"/>
        <v>299905</v>
      </c>
      <c r="AW1726" s="14">
        <f t="shared" si="370"/>
        <v>1102999</v>
      </c>
      <c r="AX1726" s="13" t="s">
        <v>1127</v>
      </c>
      <c r="AY1726" s="13">
        <f t="shared" si="376"/>
        <v>5</v>
      </c>
      <c r="AZ1726" s="13" t="s">
        <v>1148</v>
      </c>
      <c r="BA1726" s="14">
        <f t="shared" si="377"/>
        <v>2</v>
      </c>
      <c r="BB1726" s="14" t="str">
        <f t="shared" si="372"/>
        <v>R守护灵魂珠-5 等级-2</v>
      </c>
      <c r="BC1726" s="25" t="s">
        <v>44</v>
      </c>
      <c r="BD1726" s="14">
        <f t="shared" si="373"/>
        <v>160</v>
      </c>
      <c r="BE1726" s="14">
        <f>SUMIFS(BD$4:BD1726,$AU$4:$AU1726,"="&amp;$AU1726,$AY$4:$AY1726,"="&amp;$AY1726)</f>
        <v>272</v>
      </c>
      <c r="BF1726" s="25" t="s">
        <v>1157</v>
      </c>
      <c r="BG1726" s="14">
        <f t="shared" si="374"/>
        <v>80</v>
      </c>
      <c r="BH1726" s="14">
        <f>SUMIFS(BG$4:BG1726,AU$4:AU1726,"="&amp;AU1726,AY$4:AY1726,"="&amp;AY1726)</f>
        <v>136</v>
      </c>
      <c r="BI1726" s="25" t="s">
        <v>1158</v>
      </c>
      <c r="BJ1726" s="14">
        <f t="shared" si="375"/>
        <v>3200</v>
      </c>
      <c r="BK1726" s="14">
        <f>SUMIFS(BJ$4:BJ1726,$AU$4:$AU1726,"="&amp;$AU1726,$AY$4:$AY1726,"="&amp;$AY1726)</f>
        <v>5440</v>
      </c>
    </row>
    <row r="1727" spans="46:63" ht="16.5" x14ac:dyDescent="0.2">
      <c r="AT1727" s="13">
        <v>1724</v>
      </c>
      <c r="AU1727" s="13">
        <f t="shared" si="368"/>
        <v>22</v>
      </c>
      <c r="AV1727" s="14">
        <f t="shared" si="369"/>
        <v>299905</v>
      </c>
      <c r="AW1727" s="14">
        <f t="shared" si="370"/>
        <v>1102999</v>
      </c>
      <c r="AX1727" s="13" t="s">
        <v>1127</v>
      </c>
      <c r="AY1727" s="13">
        <f t="shared" si="376"/>
        <v>5</v>
      </c>
      <c r="AZ1727" s="13" t="s">
        <v>1148</v>
      </c>
      <c r="BA1727" s="14">
        <f t="shared" si="377"/>
        <v>3</v>
      </c>
      <c r="BB1727" s="14" t="str">
        <f t="shared" si="372"/>
        <v>R守护灵魂珠-5 等级-3</v>
      </c>
      <c r="BC1727" s="25" t="s">
        <v>44</v>
      </c>
      <c r="BD1727" s="14">
        <f t="shared" si="373"/>
        <v>208</v>
      </c>
      <c r="BE1727" s="14">
        <f>SUMIFS(BD$4:BD1727,$AU$4:$AU1727,"="&amp;$AU1727,$AY$4:$AY1727,"="&amp;$AY1727)</f>
        <v>480</v>
      </c>
      <c r="BF1727" s="25" t="s">
        <v>1157</v>
      </c>
      <c r="BG1727" s="14">
        <f t="shared" si="374"/>
        <v>104</v>
      </c>
      <c r="BH1727" s="14">
        <f>SUMIFS(BG$4:BG1727,AU$4:AU1727,"="&amp;AU1727,AY$4:AY1727,"="&amp;AY1727)</f>
        <v>240</v>
      </c>
      <c r="BI1727" s="25" t="s">
        <v>1158</v>
      </c>
      <c r="BJ1727" s="14">
        <f t="shared" si="375"/>
        <v>4160</v>
      </c>
      <c r="BK1727" s="14">
        <f>SUMIFS(BJ$4:BJ1727,$AU$4:$AU1727,"="&amp;$AU1727,$AY$4:$AY1727,"="&amp;$AY1727)</f>
        <v>9600</v>
      </c>
    </row>
    <row r="1728" spans="46:63" ht="16.5" x14ac:dyDescent="0.2">
      <c r="AT1728" s="13">
        <v>1725</v>
      </c>
      <c r="AU1728" s="13">
        <f t="shared" si="368"/>
        <v>22</v>
      </c>
      <c r="AV1728" s="14">
        <f t="shared" si="369"/>
        <v>299905</v>
      </c>
      <c r="AW1728" s="14">
        <f t="shared" si="370"/>
        <v>1102999</v>
      </c>
      <c r="AX1728" s="13" t="s">
        <v>1127</v>
      </c>
      <c r="AY1728" s="13">
        <f t="shared" si="376"/>
        <v>5</v>
      </c>
      <c r="AZ1728" s="13" t="s">
        <v>1148</v>
      </c>
      <c r="BA1728" s="14">
        <f t="shared" si="377"/>
        <v>4</v>
      </c>
      <c r="BB1728" s="14" t="str">
        <f t="shared" si="372"/>
        <v>R守护灵魂珠-5 等级-4</v>
      </c>
      <c r="BC1728" s="25" t="s">
        <v>44</v>
      </c>
      <c r="BD1728" s="14">
        <f t="shared" si="373"/>
        <v>320</v>
      </c>
      <c r="BE1728" s="14">
        <f>SUMIFS(BD$4:BD1728,$AU$4:$AU1728,"="&amp;$AU1728,$AY$4:$AY1728,"="&amp;$AY1728)</f>
        <v>800</v>
      </c>
      <c r="BF1728" s="25" t="s">
        <v>1157</v>
      </c>
      <c r="BG1728" s="14">
        <f t="shared" si="374"/>
        <v>160</v>
      </c>
      <c r="BH1728" s="14">
        <f>SUMIFS(BG$4:BG1728,AU$4:AU1728,"="&amp;AU1728,AY$4:AY1728,"="&amp;AY1728)</f>
        <v>400</v>
      </c>
      <c r="BI1728" s="25" t="s">
        <v>1158</v>
      </c>
      <c r="BJ1728" s="14">
        <f t="shared" si="375"/>
        <v>6400</v>
      </c>
      <c r="BK1728" s="14">
        <f>SUMIFS(BJ$4:BJ1728,$AU$4:$AU1728,"="&amp;$AU1728,$AY$4:$AY1728,"="&amp;$AY1728)</f>
        <v>16000</v>
      </c>
    </row>
    <row r="1729" spans="46:63" ht="16.5" x14ac:dyDescent="0.2">
      <c r="AT1729" s="13">
        <v>1726</v>
      </c>
      <c r="AU1729" s="13">
        <f t="shared" si="368"/>
        <v>22</v>
      </c>
      <c r="AV1729" s="14">
        <f t="shared" si="369"/>
        <v>299905</v>
      </c>
      <c r="AW1729" s="14">
        <f t="shared" si="370"/>
        <v>1102999</v>
      </c>
      <c r="AX1729" s="13" t="s">
        <v>1127</v>
      </c>
      <c r="AY1729" s="13">
        <f t="shared" si="376"/>
        <v>5</v>
      </c>
      <c r="AZ1729" s="13" t="s">
        <v>1148</v>
      </c>
      <c r="BA1729" s="14">
        <f t="shared" si="377"/>
        <v>5</v>
      </c>
      <c r="BB1729" s="14" t="str">
        <f t="shared" si="372"/>
        <v>R守护灵魂珠-5 等级-5</v>
      </c>
      <c r="BC1729" s="25" t="s">
        <v>44</v>
      </c>
      <c r="BD1729" s="14">
        <f t="shared" si="373"/>
        <v>416</v>
      </c>
      <c r="BE1729" s="14">
        <f>SUMIFS(BD$4:BD1729,$AU$4:$AU1729,"="&amp;$AU1729,$AY$4:$AY1729,"="&amp;$AY1729)</f>
        <v>1216</v>
      </c>
      <c r="BF1729" s="25" t="s">
        <v>1157</v>
      </c>
      <c r="BG1729" s="14">
        <f t="shared" si="374"/>
        <v>208</v>
      </c>
      <c r="BH1729" s="14">
        <f>SUMIFS(BG$4:BG1729,AU$4:AU1729,"="&amp;AU1729,AY$4:AY1729,"="&amp;AY1729)</f>
        <v>608</v>
      </c>
      <c r="BI1729" s="25" t="s">
        <v>1158</v>
      </c>
      <c r="BJ1729" s="14">
        <f t="shared" si="375"/>
        <v>8320</v>
      </c>
      <c r="BK1729" s="14">
        <f>SUMIFS(BJ$4:BJ1729,$AU$4:$AU1729,"="&amp;$AU1729,$AY$4:$AY1729,"="&amp;$AY1729)</f>
        <v>24320</v>
      </c>
    </row>
    <row r="1730" spans="46:63" ht="16.5" x14ac:dyDescent="0.2">
      <c r="AT1730" s="13">
        <v>1727</v>
      </c>
      <c r="AU1730" s="13">
        <f t="shared" si="368"/>
        <v>22</v>
      </c>
      <c r="AV1730" s="14">
        <f t="shared" si="369"/>
        <v>299905</v>
      </c>
      <c r="AW1730" s="14">
        <f t="shared" si="370"/>
        <v>1102999</v>
      </c>
      <c r="AX1730" s="13" t="s">
        <v>1127</v>
      </c>
      <c r="AY1730" s="13">
        <f t="shared" si="376"/>
        <v>5</v>
      </c>
      <c r="AZ1730" s="13" t="s">
        <v>1148</v>
      </c>
      <c r="BA1730" s="14">
        <f t="shared" si="377"/>
        <v>6</v>
      </c>
      <c r="BB1730" s="14" t="str">
        <f t="shared" si="372"/>
        <v>R守护灵魂珠-5 等级-6</v>
      </c>
      <c r="BC1730" s="25" t="s">
        <v>44</v>
      </c>
      <c r="BD1730" s="14">
        <f t="shared" si="373"/>
        <v>520</v>
      </c>
      <c r="BE1730" s="14">
        <f>SUMIFS(BD$4:BD1730,$AU$4:$AU1730,"="&amp;$AU1730,$AY$4:$AY1730,"="&amp;$AY1730)</f>
        <v>1736</v>
      </c>
      <c r="BF1730" s="25" t="s">
        <v>1157</v>
      </c>
      <c r="BG1730" s="14">
        <f t="shared" si="374"/>
        <v>260</v>
      </c>
      <c r="BH1730" s="14">
        <f>SUMIFS(BG$4:BG1730,AU$4:AU1730,"="&amp;AU1730,AY$4:AY1730,"="&amp;AY1730)</f>
        <v>868</v>
      </c>
      <c r="BI1730" s="25" t="s">
        <v>1158</v>
      </c>
      <c r="BJ1730" s="14">
        <f t="shared" si="375"/>
        <v>10400</v>
      </c>
      <c r="BK1730" s="14">
        <f>SUMIFS(BJ$4:BJ1730,$AU$4:$AU1730,"="&amp;$AU1730,$AY$4:$AY1730,"="&amp;$AY1730)</f>
        <v>34720</v>
      </c>
    </row>
    <row r="1731" spans="46:63" ht="16.5" x14ac:dyDescent="0.2">
      <c r="AT1731" s="13">
        <v>1728</v>
      </c>
      <c r="AU1731" s="13">
        <f t="shared" si="368"/>
        <v>22</v>
      </c>
      <c r="AV1731" s="14">
        <f t="shared" si="369"/>
        <v>299905</v>
      </c>
      <c r="AW1731" s="14">
        <f t="shared" si="370"/>
        <v>1102999</v>
      </c>
      <c r="AX1731" s="13" t="s">
        <v>1127</v>
      </c>
      <c r="AY1731" s="13">
        <f t="shared" si="376"/>
        <v>5</v>
      </c>
      <c r="AZ1731" s="13" t="s">
        <v>1148</v>
      </c>
      <c r="BA1731" s="14">
        <f t="shared" si="377"/>
        <v>7</v>
      </c>
      <c r="BB1731" s="14" t="str">
        <f t="shared" si="372"/>
        <v>R守护灵魂珠-5 等级-7</v>
      </c>
      <c r="BC1731" s="25" t="s">
        <v>44</v>
      </c>
      <c r="BD1731" s="14">
        <f t="shared" si="373"/>
        <v>640</v>
      </c>
      <c r="BE1731" s="14">
        <f>SUMIFS(BD$4:BD1731,$AU$4:$AU1731,"="&amp;$AU1731,$AY$4:$AY1731,"="&amp;$AY1731)</f>
        <v>2376</v>
      </c>
      <c r="BF1731" s="25" t="s">
        <v>1157</v>
      </c>
      <c r="BG1731" s="14">
        <f t="shared" si="374"/>
        <v>320</v>
      </c>
      <c r="BH1731" s="14">
        <f>SUMIFS(BG$4:BG1731,AU$4:AU1731,"="&amp;AU1731,AY$4:AY1731,"="&amp;AY1731)</f>
        <v>1188</v>
      </c>
      <c r="BI1731" s="25" t="s">
        <v>1158</v>
      </c>
      <c r="BJ1731" s="14">
        <f t="shared" si="375"/>
        <v>12800</v>
      </c>
      <c r="BK1731" s="14">
        <f>SUMIFS(BJ$4:BJ1731,$AU$4:$AU1731,"="&amp;$AU1731,$AY$4:$AY1731,"="&amp;$AY1731)</f>
        <v>47520</v>
      </c>
    </row>
    <row r="1732" spans="46:63" ht="16.5" x14ac:dyDescent="0.2">
      <c r="AT1732" s="13">
        <v>1729</v>
      </c>
      <c r="AU1732" s="13">
        <f t="shared" si="368"/>
        <v>22</v>
      </c>
      <c r="AV1732" s="14">
        <f t="shared" si="369"/>
        <v>299905</v>
      </c>
      <c r="AW1732" s="14">
        <f t="shared" si="370"/>
        <v>1102999</v>
      </c>
      <c r="AX1732" s="13" t="s">
        <v>1127</v>
      </c>
      <c r="AY1732" s="13">
        <f t="shared" si="376"/>
        <v>5</v>
      </c>
      <c r="AZ1732" s="13" t="s">
        <v>1148</v>
      </c>
      <c r="BA1732" s="14">
        <f t="shared" si="377"/>
        <v>8</v>
      </c>
      <c r="BB1732" s="14" t="str">
        <f t="shared" si="372"/>
        <v>R守护灵魂珠-5 等级-8</v>
      </c>
      <c r="BC1732" s="25" t="s">
        <v>44</v>
      </c>
      <c r="BD1732" s="14">
        <f t="shared" si="373"/>
        <v>760</v>
      </c>
      <c r="BE1732" s="14">
        <f>SUMIFS(BD$4:BD1732,$AU$4:$AU1732,"="&amp;$AU1732,$AY$4:$AY1732,"="&amp;$AY1732)</f>
        <v>3136</v>
      </c>
      <c r="BF1732" s="25" t="s">
        <v>1157</v>
      </c>
      <c r="BG1732" s="14">
        <f t="shared" si="374"/>
        <v>380</v>
      </c>
      <c r="BH1732" s="14">
        <f>SUMIFS(BG$4:BG1732,AU$4:AU1732,"="&amp;AU1732,AY$4:AY1732,"="&amp;AY1732)</f>
        <v>1568</v>
      </c>
      <c r="BI1732" s="25" t="s">
        <v>1158</v>
      </c>
      <c r="BJ1732" s="14">
        <f t="shared" si="375"/>
        <v>15200</v>
      </c>
      <c r="BK1732" s="14">
        <f>SUMIFS(BJ$4:BJ1732,$AU$4:$AU1732,"="&amp;$AU1732,$AY$4:$AY1732,"="&amp;$AY1732)</f>
        <v>62720</v>
      </c>
    </row>
    <row r="1733" spans="46:63" ht="16.5" x14ac:dyDescent="0.2">
      <c r="AT1733" s="13">
        <v>1730</v>
      </c>
      <c r="AU1733" s="13">
        <f t="shared" ref="AU1733:AU1796" si="378">INT((AT1733-1)/80)+1</f>
        <v>22</v>
      </c>
      <c r="AV1733" s="14">
        <f t="shared" ref="AV1733:AV1796" si="379">INDEX($AJ$4:$AJ$203,(AU1733-1)*8+AY1733)</f>
        <v>299905</v>
      </c>
      <c r="AW1733" s="14">
        <f t="shared" ref="AW1733:AW1796" si="380">INDEX($W$4:$W$28,AU1733)</f>
        <v>1102999</v>
      </c>
      <c r="AX1733" s="13" t="s">
        <v>1127</v>
      </c>
      <c r="AY1733" s="13">
        <f t="shared" si="376"/>
        <v>5</v>
      </c>
      <c r="AZ1733" s="13" t="s">
        <v>1148</v>
      </c>
      <c r="BA1733" s="14">
        <f t="shared" si="377"/>
        <v>9</v>
      </c>
      <c r="BB1733" s="14" t="str">
        <f t="shared" ref="BB1733:BB1796" si="381">INDEX($X$4:$X$28,AU1733)&amp;"魂珠-"&amp;AY1733&amp;" 等级-"&amp;BA1733</f>
        <v>R守护灵魂珠-5 等级-9</v>
      </c>
      <c r="BC1733" s="25" t="s">
        <v>44</v>
      </c>
      <c r="BD1733" s="14">
        <f t="shared" ref="BD1733:BD1796" si="382">ROUND(INDEX(Q$4:Q$83,($AY1733-1)*10+$BA1733+1)*INDEX(AC$4:AC$28,$AU1733),0)</f>
        <v>880</v>
      </c>
      <c r="BE1733" s="14">
        <f>SUMIFS(BD$4:BD1733,$AU$4:$AU1733,"="&amp;$AU1733,$AY$4:$AY1733,"="&amp;$AY1733)</f>
        <v>4016</v>
      </c>
      <c r="BF1733" s="25" t="s">
        <v>1157</v>
      </c>
      <c r="BG1733" s="14">
        <f t="shared" ref="BG1733:BG1796" si="383">ROUND(INDEX(R$4:R$83,($AY1733-1)*10+$BA1733+1)*INDEX(AD$4:AD$28,$AU1733),0)</f>
        <v>440</v>
      </c>
      <c r="BH1733" s="14">
        <f>SUMIFS(BG$4:BG1733,AU$4:AU1733,"="&amp;AU1733,AY$4:AY1733,"="&amp;AY1733)</f>
        <v>2008</v>
      </c>
      <c r="BI1733" s="25" t="s">
        <v>1158</v>
      </c>
      <c r="BJ1733" s="14">
        <f t="shared" ref="BJ1733:BJ1796" si="384">ROUND(INDEX(S$4:S$83,($AY1733-1)*10+$BA1733+1)*INDEX(AE$4:AE$28,$AU1733),0)</f>
        <v>17600</v>
      </c>
      <c r="BK1733" s="14">
        <f>SUMIFS(BJ$4:BJ1733,$AU$4:$AU1733,"="&amp;$AU1733,$AY$4:$AY1733,"="&amp;$AY1733)</f>
        <v>80320</v>
      </c>
    </row>
    <row r="1734" spans="46:63" ht="16.5" x14ac:dyDescent="0.2">
      <c r="AT1734" s="13">
        <v>1731</v>
      </c>
      <c r="AU1734" s="13">
        <f t="shared" si="378"/>
        <v>22</v>
      </c>
      <c r="AV1734" s="14">
        <f t="shared" si="379"/>
        <v>299906</v>
      </c>
      <c r="AW1734" s="14">
        <f t="shared" si="380"/>
        <v>1102999</v>
      </c>
      <c r="AX1734" s="13" t="s">
        <v>1127</v>
      </c>
      <c r="AY1734" s="13">
        <f t="shared" si="376"/>
        <v>6</v>
      </c>
      <c r="AZ1734" s="13" t="s">
        <v>1148</v>
      </c>
      <c r="BA1734" s="14">
        <f t="shared" si="377"/>
        <v>0</v>
      </c>
      <c r="BB1734" s="14" t="str">
        <f t="shared" si="381"/>
        <v>R守护灵魂珠-6 等级-0</v>
      </c>
      <c r="BC1734" s="25" t="s">
        <v>44</v>
      </c>
      <c r="BD1734" s="14">
        <f t="shared" si="382"/>
        <v>0</v>
      </c>
      <c r="BE1734" s="14">
        <f>SUMIFS(BD$4:BD1734,$AU$4:$AU1734,"="&amp;$AU1734,$AY$4:$AY1734,"="&amp;$AY1734)</f>
        <v>0</v>
      </c>
      <c r="BF1734" s="25" t="s">
        <v>1157</v>
      </c>
      <c r="BG1734" s="14">
        <f t="shared" si="383"/>
        <v>0</v>
      </c>
      <c r="BH1734" s="14">
        <f>SUMIFS(BG$4:BG1734,AU$4:AU1734,"="&amp;AU1734,AY$4:AY1734,"="&amp;AY1734)</f>
        <v>0</v>
      </c>
      <c r="BI1734" s="25" t="s">
        <v>1158</v>
      </c>
      <c r="BJ1734" s="14">
        <f t="shared" si="384"/>
        <v>0</v>
      </c>
      <c r="BK1734" s="14">
        <f>SUMIFS(BJ$4:BJ1734,$AU$4:$AU1734,"="&amp;$AU1734,$AY$4:$AY1734,"="&amp;$AY1734)</f>
        <v>0</v>
      </c>
    </row>
    <row r="1735" spans="46:63" ht="16.5" x14ac:dyDescent="0.2">
      <c r="AT1735" s="13">
        <v>1732</v>
      </c>
      <c r="AU1735" s="13">
        <f t="shared" si="378"/>
        <v>22</v>
      </c>
      <c r="AV1735" s="14">
        <f t="shared" si="379"/>
        <v>299906</v>
      </c>
      <c r="AW1735" s="14">
        <f t="shared" si="380"/>
        <v>1102999</v>
      </c>
      <c r="AX1735" s="13" t="s">
        <v>1127</v>
      </c>
      <c r="AY1735" s="13">
        <f t="shared" si="376"/>
        <v>6</v>
      </c>
      <c r="AZ1735" s="13" t="s">
        <v>1148</v>
      </c>
      <c r="BA1735" s="14">
        <f t="shared" si="377"/>
        <v>1</v>
      </c>
      <c r="BB1735" s="14" t="str">
        <f t="shared" si="381"/>
        <v>R守护灵魂珠-6 等级-1</v>
      </c>
      <c r="BC1735" s="25" t="s">
        <v>44</v>
      </c>
      <c r="BD1735" s="14">
        <f t="shared" si="382"/>
        <v>144</v>
      </c>
      <c r="BE1735" s="14">
        <f>SUMIFS(BD$4:BD1735,$AU$4:$AU1735,"="&amp;$AU1735,$AY$4:$AY1735,"="&amp;$AY1735)</f>
        <v>144</v>
      </c>
      <c r="BF1735" s="25" t="s">
        <v>1157</v>
      </c>
      <c r="BG1735" s="14">
        <f t="shared" si="383"/>
        <v>72</v>
      </c>
      <c r="BH1735" s="14">
        <f>SUMIFS(BG$4:BG1735,AU$4:AU1735,"="&amp;AU1735,AY$4:AY1735,"="&amp;AY1735)</f>
        <v>72</v>
      </c>
      <c r="BI1735" s="25" t="s">
        <v>1158</v>
      </c>
      <c r="BJ1735" s="14">
        <f t="shared" si="384"/>
        <v>2880</v>
      </c>
      <c r="BK1735" s="14">
        <f>SUMIFS(BJ$4:BJ1735,$AU$4:$AU1735,"="&amp;$AU1735,$AY$4:$AY1735,"="&amp;$AY1735)</f>
        <v>2880</v>
      </c>
    </row>
    <row r="1736" spans="46:63" ht="16.5" x14ac:dyDescent="0.2">
      <c r="AT1736" s="13">
        <v>1733</v>
      </c>
      <c r="AU1736" s="13">
        <f t="shared" si="378"/>
        <v>22</v>
      </c>
      <c r="AV1736" s="14">
        <f t="shared" si="379"/>
        <v>299906</v>
      </c>
      <c r="AW1736" s="14">
        <f t="shared" si="380"/>
        <v>1102999</v>
      </c>
      <c r="AX1736" s="13" t="s">
        <v>1127</v>
      </c>
      <c r="AY1736" s="13">
        <f t="shared" si="376"/>
        <v>6</v>
      </c>
      <c r="AZ1736" s="13" t="s">
        <v>1148</v>
      </c>
      <c r="BA1736" s="14">
        <f t="shared" si="377"/>
        <v>2</v>
      </c>
      <c r="BB1736" s="14" t="str">
        <f t="shared" si="381"/>
        <v>R守护灵魂珠-6 等级-2</v>
      </c>
      <c r="BC1736" s="25" t="s">
        <v>44</v>
      </c>
      <c r="BD1736" s="14">
        <f t="shared" si="382"/>
        <v>224</v>
      </c>
      <c r="BE1736" s="14">
        <f>SUMIFS(BD$4:BD1736,$AU$4:$AU1736,"="&amp;$AU1736,$AY$4:$AY1736,"="&amp;$AY1736)</f>
        <v>368</v>
      </c>
      <c r="BF1736" s="25" t="s">
        <v>1157</v>
      </c>
      <c r="BG1736" s="14">
        <f t="shared" si="383"/>
        <v>112</v>
      </c>
      <c r="BH1736" s="14">
        <f>SUMIFS(BG$4:BG1736,AU$4:AU1736,"="&amp;AU1736,AY$4:AY1736,"="&amp;AY1736)</f>
        <v>184</v>
      </c>
      <c r="BI1736" s="25" t="s">
        <v>1158</v>
      </c>
      <c r="BJ1736" s="14">
        <f t="shared" si="384"/>
        <v>4480</v>
      </c>
      <c r="BK1736" s="14">
        <f>SUMIFS(BJ$4:BJ1736,$AU$4:$AU1736,"="&amp;$AU1736,$AY$4:$AY1736,"="&amp;$AY1736)</f>
        <v>7360</v>
      </c>
    </row>
    <row r="1737" spans="46:63" ht="16.5" x14ac:dyDescent="0.2">
      <c r="AT1737" s="13">
        <v>1734</v>
      </c>
      <c r="AU1737" s="13">
        <f t="shared" si="378"/>
        <v>22</v>
      </c>
      <c r="AV1737" s="14">
        <f t="shared" si="379"/>
        <v>299906</v>
      </c>
      <c r="AW1737" s="14">
        <f t="shared" si="380"/>
        <v>1102999</v>
      </c>
      <c r="AX1737" s="13" t="s">
        <v>1127</v>
      </c>
      <c r="AY1737" s="13">
        <f t="shared" si="376"/>
        <v>6</v>
      </c>
      <c r="AZ1737" s="13" t="s">
        <v>1148</v>
      </c>
      <c r="BA1737" s="14">
        <f t="shared" si="377"/>
        <v>3</v>
      </c>
      <c r="BB1737" s="14" t="str">
        <f t="shared" si="381"/>
        <v>R守护灵魂珠-6 等级-3</v>
      </c>
      <c r="BC1737" s="25" t="s">
        <v>44</v>
      </c>
      <c r="BD1737" s="14">
        <f t="shared" si="382"/>
        <v>300</v>
      </c>
      <c r="BE1737" s="14">
        <f>SUMIFS(BD$4:BD1737,$AU$4:$AU1737,"="&amp;$AU1737,$AY$4:$AY1737,"="&amp;$AY1737)</f>
        <v>668</v>
      </c>
      <c r="BF1737" s="25" t="s">
        <v>1157</v>
      </c>
      <c r="BG1737" s="14">
        <f t="shared" si="383"/>
        <v>150</v>
      </c>
      <c r="BH1737" s="14">
        <f>SUMIFS(BG$4:BG1737,AU$4:AU1737,"="&amp;AU1737,AY$4:AY1737,"="&amp;AY1737)</f>
        <v>334</v>
      </c>
      <c r="BI1737" s="25" t="s">
        <v>1158</v>
      </c>
      <c r="BJ1737" s="14">
        <f t="shared" si="384"/>
        <v>6000</v>
      </c>
      <c r="BK1737" s="14">
        <f>SUMIFS(BJ$4:BJ1737,$AU$4:$AU1737,"="&amp;$AU1737,$AY$4:$AY1737,"="&amp;$AY1737)</f>
        <v>13360</v>
      </c>
    </row>
    <row r="1738" spans="46:63" ht="16.5" x14ac:dyDescent="0.2">
      <c r="AT1738" s="13">
        <v>1735</v>
      </c>
      <c r="AU1738" s="13">
        <f t="shared" si="378"/>
        <v>22</v>
      </c>
      <c r="AV1738" s="14">
        <f t="shared" si="379"/>
        <v>299906</v>
      </c>
      <c r="AW1738" s="14">
        <f t="shared" si="380"/>
        <v>1102999</v>
      </c>
      <c r="AX1738" s="13" t="s">
        <v>1127</v>
      </c>
      <c r="AY1738" s="13">
        <f t="shared" si="376"/>
        <v>6</v>
      </c>
      <c r="AZ1738" s="13" t="s">
        <v>1148</v>
      </c>
      <c r="BA1738" s="14">
        <f t="shared" si="377"/>
        <v>4</v>
      </c>
      <c r="BB1738" s="14" t="str">
        <f t="shared" si="381"/>
        <v>R守护灵魂珠-6 等级-4</v>
      </c>
      <c r="BC1738" s="25" t="s">
        <v>44</v>
      </c>
      <c r="BD1738" s="14">
        <f t="shared" si="382"/>
        <v>448</v>
      </c>
      <c r="BE1738" s="14">
        <f>SUMIFS(BD$4:BD1738,$AU$4:$AU1738,"="&amp;$AU1738,$AY$4:$AY1738,"="&amp;$AY1738)</f>
        <v>1116</v>
      </c>
      <c r="BF1738" s="25" t="s">
        <v>1157</v>
      </c>
      <c r="BG1738" s="14">
        <f t="shared" si="383"/>
        <v>224</v>
      </c>
      <c r="BH1738" s="14">
        <f>SUMIFS(BG$4:BG1738,AU$4:AU1738,"="&amp;AU1738,AY$4:AY1738,"="&amp;AY1738)</f>
        <v>558</v>
      </c>
      <c r="BI1738" s="25" t="s">
        <v>1158</v>
      </c>
      <c r="BJ1738" s="14">
        <f t="shared" si="384"/>
        <v>8960</v>
      </c>
      <c r="BK1738" s="14">
        <f>SUMIFS(BJ$4:BJ1738,$AU$4:$AU1738,"="&amp;$AU1738,$AY$4:$AY1738,"="&amp;$AY1738)</f>
        <v>22320</v>
      </c>
    </row>
    <row r="1739" spans="46:63" ht="16.5" x14ac:dyDescent="0.2">
      <c r="AT1739" s="13">
        <v>1736</v>
      </c>
      <c r="AU1739" s="13">
        <f t="shared" si="378"/>
        <v>22</v>
      </c>
      <c r="AV1739" s="14">
        <f t="shared" si="379"/>
        <v>299906</v>
      </c>
      <c r="AW1739" s="14">
        <f t="shared" si="380"/>
        <v>1102999</v>
      </c>
      <c r="AX1739" s="13" t="s">
        <v>1127</v>
      </c>
      <c r="AY1739" s="13">
        <f t="shared" si="376"/>
        <v>6</v>
      </c>
      <c r="AZ1739" s="13" t="s">
        <v>1148</v>
      </c>
      <c r="BA1739" s="14">
        <f t="shared" si="377"/>
        <v>5</v>
      </c>
      <c r="BB1739" s="14" t="str">
        <f t="shared" si="381"/>
        <v>R守护灵魂珠-6 等级-5</v>
      </c>
      <c r="BC1739" s="25" t="s">
        <v>44</v>
      </c>
      <c r="BD1739" s="14">
        <f t="shared" si="382"/>
        <v>600</v>
      </c>
      <c r="BE1739" s="14">
        <f>SUMIFS(BD$4:BD1739,$AU$4:$AU1739,"="&amp;$AU1739,$AY$4:$AY1739,"="&amp;$AY1739)</f>
        <v>1716</v>
      </c>
      <c r="BF1739" s="25" t="s">
        <v>1157</v>
      </c>
      <c r="BG1739" s="14">
        <f t="shared" si="383"/>
        <v>300</v>
      </c>
      <c r="BH1739" s="14">
        <f>SUMIFS(BG$4:BG1739,AU$4:AU1739,"="&amp;AU1739,AY$4:AY1739,"="&amp;AY1739)</f>
        <v>858</v>
      </c>
      <c r="BI1739" s="25" t="s">
        <v>1158</v>
      </c>
      <c r="BJ1739" s="14">
        <f t="shared" si="384"/>
        <v>12000</v>
      </c>
      <c r="BK1739" s="14">
        <f>SUMIFS(BJ$4:BJ1739,$AU$4:$AU1739,"="&amp;$AU1739,$AY$4:$AY1739,"="&amp;$AY1739)</f>
        <v>34320</v>
      </c>
    </row>
    <row r="1740" spans="46:63" ht="16.5" x14ac:dyDescent="0.2">
      <c r="AT1740" s="13">
        <v>1737</v>
      </c>
      <c r="AU1740" s="13">
        <f t="shared" si="378"/>
        <v>22</v>
      </c>
      <c r="AV1740" s="14">
        <f t="shared" si="379"/>
        <v>299906</v>
      </c>
      <c r="AW1740" s="14">
        <f t="shared" si="380"/>
        <v>1102999</v>
      </c>
      <c r="AX1740" s="13" t="s">
        <v>1127</v>
      </c>
      <c r="AY1740" s="13">
        <f t="shared" si="376"/>
        <v>6</v>
      </c>
      <c r="AZ1740" s="13" t="s">
        <v>1148</v>
      </c>
      <c r="BA1740" s="14">
        <f t="shared" si="377"/>
        <v>6</v>
      </c>
      <c r="BB1740" s="14" t="str">
        <f t="shared" si="381"/>
        <v>R守护灵魂珠-6 等级-6</v>
      </c>
      <c r="BC1740" s="25" t="s">
        <v>44</v>
      </c>
      <c r="BD1740" s="14">
        <f t="shared" si="382"/>
        <v>760</v>
      </c>
      <c r="BE1740" s="14">
        <f>SUMIFS(BD$4:BD1740,$AU$4:$AU1740,"="&amp;$AU1740,$AY$4:$AY1740,"="&amp;$AY1740)</f>
        <v>2476</v>
      </c>
      <c r="BF1740" s="25" t="s">
        <v>1157</v>
      </c>
      <c r="BG1740" s="14">
        <f t="shared" si="383"/>
        <v>380</v>
      </c>
      <c r="BH1740" s="14">
        <f>SUMIFS(BG$4:BG1740,AU$4:AU1740,"="&amp;AU1740,AY$4:AY1740,"="&amp;AY1740)</f>
        <v>1238</v>
      </c>
      <c r="BI1740" s="25" t="s">
        <v>1158</v>
      </c>
      <c r="BJ1740" s="14">
        <f t="shared" si="384"/>
        <v>15200</v>
      </c>
      <c r="BK1740" s="14">
        <f>SUMIFS(BJ$4:BJ1740,$AU$4:$AU1740,"="&amp;$AU1740,$AY$4:$AY1740,"="&amp;$AY1740)</f>
        <v>49520</v>
      </c>
    </row>
    <row r="1741" spans="46:63" ht="16.5" x14ac:dyDescent="0.2">
      <c r="AT1741" s="13">
        <v>1738</v>
      </c>
      <c r="AU1741" s="13">
        <f t="shared" si="378"/>
        <v>22</v>
      </c>
      <c r="AV1741" s="14">
        <f t="shared" si="379"/>
        <v>299906</v>
      </c>
      <c r="AW1741" s="14">
        <f t="shared" si="380"/>
        <v>1102999</v>
      </c>
      <c r="AX1741" s="13" t="s">
        <v>1127</v>
      </c>
      <c r="AY1741" s="13">
        <f t="shared" si="376"/>
        <v>6</v>
      </c>
      <c r="AZ1741" s="13" t="s">
        <v>1148</v>
      </c>
      <c r="BA1741" s="14">
        <f t="shared" si="377"/>
        <v>7</v>
      </c>
      <c r="BB1741" s="14" t="str">
        <f t="shared" si="381"/>
        <v>R守护灵魂珠-6 等级-7</v>
      </c>
      <c r="BC1741" s="25" t="s">
        <v>44</v>
      </c>
      <c r="BD1741" s="14">
        <f t="shared" si="382"/>
        <v>920</v>
      </c>
      <c r="BE1741" s="14">
        <f>SUMIFS(BD$4:BD1741,$AU$4:$AU1741,"="&amp;$AU1741,$AY$4:$AY1741,"="&amp;$AY1741)</f>
        <v>3396</v>
      </c>
      <c r="BF1741" s="25" t="s">
        <v>1157</v>
      </c>
      <c r="BG1741" s="14">
        <f t="shared" si="383"/>
        <v>460</v>
      </c>
      <c r="BH1741" s="14">
        <f>SUMIFS(BG$4:BG1741,AU$4:AU1741,"="&amp;AU1741,AY$4:AY1741,"="&amp;AY1741)</f>
        <v>1698</v>
      </c>
      <c r="BI1741" s="25" t="s">
        <v>1158</v>
      </c>
      <c r="BJ1741" s="14">
        <f t="shared" si="384"/>
        <v>18400</v>
      </c>
      <c r="BK1741" s="14">
        <f>SUMIFS(BJ$4:BJ1741,$AU$4:$AU1741,"="&amp;$AU1741,$AY$4:$AY1741,"="&amp;$AY1741)</f>
        <v>67920</v>
      </c>
    </row>
    <row r="1742" spans="46:63" ht="16.5" x14ac:dyDescent="0.2">
      <c r="AT1742" s="13">
        <v>1739</v>
      </c>
      <c r="AU1742" s="13">
        <f t="shared" si="378"/>
        <v>22</v>
      </c>
      <c r="AV1742" s="14">
        <f t="shared" si="379"/>
        <v>299906</v>
      </c>
      <c r="AW1742" s="14">
        <f t="shared" si="380"/>
        <v>1102999</v>
      </c>
      <c r="AX1742" s="13" t="s">
        <v>1127</v>
      </c>
      <c r="AY1742" s="13">
        <f t="shared" si="376"/>
        <v>6</v>
      </c>
      <c r="AZ1742" s="13" t="s">
        <v>1148</v>
      </c>
      <c r="BA1742" s="14">
        <f t="shared" si="377"/>
        <v>8</v>
      </c>
      <c r="BB1742" s="14" t="str">
        <f t="shared" si="381"/>
        <v>R守护灵魂珠-6 等级-8</v>
      </c>
      <c r="BC1742" s="25" t="s">
        <v>44</v>
      </c>
      <c r="BD1742" s="14">
        <f t="shared" si="382"/>
        <v>1040</v>
      </c>
      <c r="BE1742" s="14">
        <f>SUMIFS(BD$4:BD1742,$AU$4:$AU1742,"="&amp;$AU1742,$AY$4:$AY1742,"="&amp;$AY1742)</f>
        <v>4436</v>
      </c>
      <c r="BF1742" s="25" t="s">
        <v>1157</v>
      </c>
      <c r="BG1742" s="14">
        <f t="shared" si="383"/>
        <v>520</v>
      </c>
      <c r="BH1742" s="14">
        <f>SUMIFS(BG$4:BG1742,AU$4:AU1742,"="&amp;AU1742,AY$4:AY1742,"="&amp;AY1742)</f>
        <v>2218</v>
      </c>
      <c r="BI1742" s="25" t="s">
        <v>1158</v>
      </c>
      <c r="BJ1742" s="14">
        <f t="shared" si="384"/>
        <v>20800</v>
      </c>
      <c r="BK1742" s="14">
        <f>SUMIFS(BJ$4:BJ1742,$AU$4:$AU1742,"="&amp;$AU1742,$AY$4:$AY1742,"="&amp;$AY1742)</f>
        <v>88720</v>
      </c>
    </row>
    <row r="1743" spans="46:63" ht="16.5" x14ac:dyDescent="0.2">
      <c r="AT1743" s="13">
        <v>1740</v>
      </c>
      <c r="AU1743" s="13">
        <f t="shared" si="378"/>
        <v>22</v>
      </c>
      <c r="AV1743" s="14">
        <f t="shared" si="379"/>
        <v>299906</v>
      </c>
      <c r="AW1743" s="14">
        <f t="shared" si="380"/>
        <v>1102999</v>
      </c>
      <c r="AX1743" s="13" t="s">
        <v>1127</v>
      </c>
      <c r="AY1743" s="13">
        <f t="shared" si="376"/>
        <v>6</v>
      </c>
      <c r="AZ1743" s="13" t="s">
        <v>1148</v>
      </c>
      <c r="BA1743" s="14">
        <f t="shared" si="377"/>
        <v>9</v>
      </c>
      <c r="BB1743" s="14" t="str">
        <f t="shared" si="381"/>
        <v>R守护灵魂珠-6 等级-9</v>
      </c>
      <c r="BC1743" s="25" t="s">
        <v>44</v>
      </c>
      <c r="BD1743" s="14">
        <f t="shared" si="382"/>
        <v>1200</v>
      </c>
      <c r="BE1743" s="14">
        <f>SUMIFS(BD$4:BD1743,$AU$4:$AU1743,"="&amp;$AU1743,$AY$4:$AY1743,"="&amp;$AY1743)</f>
        <v>5636</v>
      </c>
      <c r="BF1743" s="25" t="s">
        <v>1157</v>
      </c>
      <c r="BG1743" s="14">
        <f t="shared" si="383"/>
        <v>600</v>
      </c>
      <c r="BH1743" s="14">
        <f>SUMIFS(BG$4:BG1743,AU$4:AU1743,"="&amp;AU1743,AY$4:AY1743,"="&amp;AY1743)</f>
        <v>2818</v>
      </c>
      <c r="BI1743" s="25" t="s">
        <v>1158</v>
      </c>
      <c r="BJ1743" s="14">
        <f t="shared" si="384"/>
        <v>24000</v>
      </c>
      <c r="BK1743" s="14">
        <f>SUMIFS(BJ$4:BJ1743,$AU$4:$AU1743,"="&amp;$AU1743,$AY$4:$AY1743,"="&amp;$AY1743)</f>
        <v>112720</v>
      </c>
    </row>
    <row r="1744" spans="46:63" ht="16.5" x14ac:dyDescent="0.2">
      <c r="AT1744" s="13">
        <v>1741</v>
      </c>
      <c r="AU1744" s="13">
        <f t="shared" si="378"/>
        <v>22</v>
      </c>
      <c r="AV1744" s="14">
        <f t="shared" si="379"/>
        <v>299907</v>
      </c>
      <c r="AW1744" s="14">
        <f t="shared" si="380"/>
        <v>1102999</v>
      </c>
      <c r="AX1744" s="13" t="s">
        <v>1127</v>
      </c>
      <c r="AY1744" s="13">
        <f t="shared" si="376"/>
        <v>7</v>
      </c>
      <c r="AZ1744" s="13" t="s">
        <v>1148</v>
      </c>
      <c r="BA1744" s="14">
        <f t="shared" si="377"/>
        <v>0</v>
      </c>
      <c r="BB1744" s="14" t="str">
        <f t="shared" si="381"/>
        <v>R守护灵魂珠-7 等级-0</v>
      </c>
      <c r="BC1744" s="25" t="s">
        <v>44</v>
      </c>
      <c r="BD1744" s="14">
        <f t="shared" si="382"/>
        <v>0</v>
      </c>
      <c r="BE1744" s="14">
        <f>SUMIFS(BD$4:BD1744,$AU$4:$AU1744,"="&amp;$AU1744,$AY$4:$AY1744,"="&amp;$AY1744)</f>
        <v>0</v>
      </c>
      <c r="BF1744" s="25" t="s">
        <v>1157</v>
      </c>
      <c r="BG1744" s="14">
        <f t="shared" si="383"/>
        <v>0</v>
      </c>
      <c r="BH1744" s="14">
        <f>SUMIFS(BG$4:BG1744,AU$4:AU1744,"="&amp;AU1744,AY$4:AY1744,"="&amp;AY1744)</f>
        <v>0</v>
      </c>
      <c r="BI1744" s="25" t="s">
        <v>1158</v>
      </c>
      <c r="BJ1744" s="14">
        <f t="shared" si="384"/>
        <v>0</v>
      </c>
      <c r="BK1744" s="14">
        <f>SUMIFS(BJ$4:BJ1744,$AU$4:$AU1744,"="&amp;$AU1744,$AY$4:$AY1744,"="&amp;$AY1744)</f>
        <v>0</v>
      </c>
    </row>
    <row r="1745" spans="46:63" ht="16.5" x14ac:dyDescent="0.2">
      <c r="AT1745" s="13">
        <v>1742</v>
      </c>
      <c r="AU1745" s="13">
        <f t="shared" si="378"/>
        <v>22</v>
      </c>
      <c r="AV1745" s="14">
        <f t="shared" si="379"/>
        <v>299907</v>
      </c>
      <c r="AW1745" s="14">
        <f t="shared" si="380"/>
        <v>1102999</v>
      </c>
      <c r="AX1745" s="13" t="s">
        <v>1127</v>
      </c>
      <c r="AY1745" s="13">
        <f t="shared" si="376"/>
        <v>7</v>
      </c>
      <c r="AZ1745" s="13" t="s">
        <v>1148</v>
      </c>
      <c r="BA1745" s="14">
        <f t="shared" si="377"/>
        <v>1</v>
      </c>
      <c r="BB1745" s="14" t="str">
        <f t="shared" si="381"/>
        <v>R守护灵魂珠-7 等级-1</v>
      </c>
      <c r="BC1745" s="25" t="s">
        <v>44</v>
      </c>
      <c r="BD1745" s="14">
        <f t="shared" si="382"/>
        <v>192</v>
      </c>
      <c r="BE1745" s="14">
        <f>SUMIFS(BD$4:BD1745,$AU$4:$AU1745,"="&amp;$AU1745,$AY$4:$AY1745,"="&amp;$AY1745)</f>
        <v>192</v>
      </c>
      <c r="BF1745" s="25" t="s">
        <v>1157</v>
      </c>
      <c r="BG1745" s="14">
        <f t="shared" si="383"/>
        <v>96</v>
      </c>
      <c r="BH1745" s="14">
        <f>SUMIFS(BG$4:BG1745,AU$4:AU1745,"="&amp;AU1745,AY$4:AY1745,"="&amp;AY1745)</f>
        <v>96</v>
      </c>
      <c r="BI1745" s="25" t="s">
        <v>1158</v>
      </c>
      <c r="BJ1745" s="14">
        <f t="shared" si="384"/>
        <v>3840</v>
      </c>
      <c r="BK1745" s="14">
        <f>SUMIFS(BJ$4:BJ1745,$AU$4:$AU1745,"="&amp;$AU1745,$AY$4:$AY1745,"="&amp;$AY1745)</f>
        <v>3840</v>
      </c>
    </row>
    <row r="1746" spans="46:63" ht="16.5" x14ac:dyDescent="0.2">
      <c r="AT1746" s="13">
        <v>1743</v>
      </c>
      <c r="AU1746" s="13">
        <f t="shared" si="378"/>
        <v>22</v>
      </c>
      <c r="AV1746" s="14">
        <f t="shared" si="379"/>
        <v>299907</v>
      </c>
      <c r="AW1746" s="14">
        <f t="shared" si="380"/>
        <v>1102999</v>
      </c>
      <c r="AX1746" s="13" t="s">
        <v>1127</v>
      </c>
      <c r="AY1746" s="13">
        <f t="shared" si="376"/>
        <v>7</v>
      </c>
      <c r="AZ1746" s="13" t="s">
        <v>1148</v>
      </c>
      <c r="BA1746" s="14">
        <f t="shared" si="377"/>
        <v>2</v>
      </c>
      <c r="BB1746" s="14" t="str">
        <f t="shared" si="381"/>
        <v>R守护灵魂珠-7 等级-2</v>
      </c>
      <c r="BC1746" s="25" t="s">
        <v>44</v>
      </c>
      <c r="BD1746" s="14">
        <f t="shared" si="382"/>
        <v>288</v>
      </c>
      <c r="BE1746" s="14">
        <f>SUMIFS(BD$4:BD1746,$AU$4:$AU1746,"="&amp;$AU1746,$AY$4:$AY1746,"="&amp;$AY1746)</f>
        <v>480</v>
      </c>
      <c r="BF1746" s="25" t="s">
        <v>1157</v>
      </c>
      <c r="BG1746" s="14">
        <f t="shared" si="383"/>
        <v>144</v>
      </c>
      <c r="BH1746" s="14">
        <f>SUMIFS(BG$4:BG1746,AU$4:AU1746,"="&amp;AU1746,AY$4:AY1746,"="&amp;AY1746)</f>
        <v>240</v>
      </c>
      <c r="BI1746" s="25" t="s">
        <v>1158</v>
      </c>
      <c r="BJ1746" s="14">
        <f t="shared" si="384"/>
        <v>5760</v>
      </c>
      <c r="BK1746" s="14">
        <f>SUMIFS(BJ$4:BJ1746,$AU$4:$AU1746,"="&amp;$AU1746,$AY$4:$AY1746,"="&amp;$AY1746)</f>
        <v>9600</v>
      </c>
    </row>
    <row r="1747" spans="46:63" ht="16.5" x14ac:dyDescent="0.2">
      <c r="AT1747" s="13">
        <v>1744</v>
      </c>
      <c r="AU1747" s="13">
        <f t="shared" si="378"/>
        <v>22</v>
      </c>
      <c r="AV1747" s="14">
        <f t="shared" si="379"/>
        <v>299907</v>
      </c>
      <c r="AW1747" s="14">
        <f t="shared" si="380"/>
        <v>1102999</v>
      </c>
      <c r="AX1747" s="13" t="s">
        <v>1127</v>
      </c>
      <c r="AY1747" s="13">
        <f t="shared" si="376"/>
        <v>7</v>
      </c>
      <c r="AZ1747" s="13" t="s">
        <v>1148</v>
      </c>
      <c r="BA1747" s="14">
        <f t="shared" si="377"/>
        <v>3</v>
      </c>
      <c r="BB1747" s="14" t="str">
        <f t="shared" si="381"/>
        <v>R守护灵魂珠-7 等级-3</v>
      </c>
      <c r="BC1747" s="25" t="s">
        <v>44</v>
      </c>
      <c r="BD1747" s="14">
        <f t="shared" si="382"/>
        <v>384</v>
      </c>
      <c r="BE1747" s="14">
        <f>SUMIFS(BD$4:BD1747,$AU$4:$AU1747,"="&amp;$AU1747,$AY$4:$AY1747,"="&amp;$AY1747)</f>
        <v>864</v>
      </c>
      <c r="BF1747" s="25" t="s">
        <v>1157</v>
      </c>
      <c r="BG1747" s="14">
        <f t="shared" si="383"/>
        <v>192</v>
      </c>
      <c r="BH1747" s="14">
        <f>SUMIFS(BG$4:BG1747,AU$4:AU1747,"="&amp;AU1747,AY$4:AY1747,"="&amp;AY1747)</f>
        <v>432</v>
      </c>
      <c r="BI1747" s="25" t="s">
        <v>1158</v>
      </c>
      <c r="BJ1747" s="14">
        <f t="shared" si="384"/>
        <v>7680</v>
      </c>
      <c r="BK1747" s="14">
        <f>SUMIFS(BJ$4:BJ1747,$AU$4:$AU1747,"="&amp;$AU1747,$AY$4:$AY1747,"="&amp;$AY1747)</f>
        <v>17280</v>
      </c>
    </row>
    <row r="1748" spans="46:63" ht="16.5" x14ac:dyDescent="0.2">
      <c r="AT1748" s="13">
        <v>1745</v>
      </c>
      <c r="AU1748" s="13">
        <f t="shared" si="378"/>
        <v>22</v>
      </c>
      <c r="AV1748" s="14">
        <f t="shared" si="379"/>
        <v>299907</v>
      </c>
      <c r="AW1748" s="14">
        <f t="shared" si="380"/>
        <v>1102999</v>
      </c>
      <c r="AX1748" s="13" t="s">
        <v>1127</v>
      </c>
      <c r="AY1748" s="13">
        <f t="shared" ref="AY1748:AY1800" si="385">INT(((AT1748-(AU1748-1)*80)-1)/10)+1</f>
        <v>7</v>
      </c>
      <c r="AZ1748" s="13" t="s">
        <v>1148</v>
      </c>
      <c r="BA1748" s="14">
        <f t="shared" ref="BA1748:BA1800" si="386">AT1748-(AU1748-1)*80-(AY1748-1)*10-1</f>
        <v>4</v>
      </c>
      <c r="BB1748" s="14" t="str">
        <f t="shared" si="381"/>
        <v>R守护灵魂珠-7 等级-4</v>
      </c>
      <c r="BC1748" s="25" t="s">
        <v>44</v>
      </c>
      <c r="BD1748" s="14">
        <f t="shared" si="382"/>
        <v>576</v>
      </c>
      <c r="BE1748" s="14">
        <f>SUMIFS(BD$4:BD1748,$AU$4:$AU1748,"="&amp;$AU1748,$AY$4:$AY1748,"="&amp;$AY1748)</f>
        <v>1440</v>
      </c>
      <c r="BF1748" s="25" t="s">
        <v>1157</v>
      </c>
      <c r="BG1748" s="14">
        <f t="shared" si="383"/>
        <v>288</v>
      </c>
      <c r="BH1748" s="14">
        <f>SUMIFS(BG$4:BG1748,AU$4:AU1748,"="&amp;AU1748,AY$4:AY1748,"="&amp;AY1748)</f>
        <v>720</v>
      </c>
      <c r="BI1748" s="25" t="s">
        <v>1158</v>
      </c>
      <c r="BJ1748" s="14">
        <f t="shared" si="384"/>
        <v>11520</v>
      </c>
      <c r="BK1748" s="14">
        <f>SUMIFS(BJ$4:BJ1748,$AU$4:$AU1748,"="&amp;$AU1748,$AY$4:$AY1748,"="&amp;$AY1748)</f>
        <v>28800</v>
      </c>
    </row>
    <row r="1749" spans="46:63" ht="16.5" x14ac:dyDescent="0.2">
      <c r="AT1749" s="13">
        <v>1746</v>
      </c>
      <c r="AU1749" s="13">
        <f t="shared" si="378"/>
        <v>22</v>
      </c>
      <c r="AV1749" s="14">
        <f t="shared" si="379"/>
        <v>299907</v>
      </c>
      <c r="AW1749" s="14">
        <f t="shared" si="380"/>
        <v>1102999</v>
      </c>
      <c r="AX1749" s="13" t="s">
        <v>1127</v>
      </c>
      <c r="AY1749" s="13">
        <f t="shared" si="385"/>
        <v>7</v>
      </c>
      <c r="AZ1749" s="13" t="s">
        <v>1148</v>
      </c>
      <c r="BA1749" s="14">
        <f t="shared" si="386"/>
        <v>5</v>
      </c>
      <c r="BB1749" s="14" t="str">
        <f t="shared" si="381"/>
        <v>R守护灵魂珠-7 等级-5</v>
      </c>
      <c r="BC1749" s="25" t="s">
        <v>44</v>
      </c>
      <c r="BD1749" s="14">
        <f t="shared" si="382"/>
        <v>768</v>
      </c>
      <c r="BE1749" s="14">
        <f>SUMIFS(BD$4:BD1749,$AU$4:$AU1749,"="&amp;$AU1749,$AY$4:$AY1749,"="&amp;$AY1749)</f>
        <v>2208</v>
      </c>
      <c r="BF1749" s="25" t="s">
        <v>1157</v>
      </c>
      <c r="BG1749" s="14">
        <f t="shared" si="383"/>
        <v>384</v>
      </c>
      <c r="BH1749" s="14">
        <f>SUMIFS(BG$4:BG1749,AU$4:AU1749,"="&amp;AU1749,AY$4:AY1749,"="&amp;AY1749)</f>
        <v>1104</v>
      </c>
      <c r="BI1749" s="25" t="s">
        <v>1158</v>
      </c>
      <c r="BJ1749" s="14">
        <f t="shared" si="384"/>
        <v>15360</v>
      </c>
      <c r="BK1749" s="14">
        <f>SUMIFS(BJ$4:BJ1749,$AU$4:$AU1749,"="&amp;$AU1749,$AY$4:$AY1749,"="&amp;$AY1749)</f>
        <v>44160</v>
      </c>
    </row>
    <row r="1750" spans="46:63" ht="16.5" x14ac:dyDescent="0.2">
      <c r="AT1750" s="13">
        <v>1747</v>
      </c>
      <c r="AU1750" s="13">
        <f t="shared" si="378"/>
        <v>22</v>
      </c>
      <c r="AV1750" s="14">
        <f t="shared" si="379"/>
        <v>299907</v>
      </c>
      <c r="AW1750" s="14">
        <f t="shared" si="380"/>
        <v>1102999</v>
      </c>
      <c r="AX1750" s="13" t="s">
        <v>1127</v>
      </c>
      <c r="AY1750" s="13">
        <f t="shared" si="385"/>
        <v>7</v>
      </c>
      <c r="AZ1750" s="13" t="s">
        <v>1148</v>
      </c>
      <c r="BA1750" s="14">
        <f t="shared" si="386"/>
        <v>6</v>
      </c>
      <c r="BB1750" s="14" t="str">
        <f t="shared" si="381"/>
        <v>R守护灵魂珠-7 等级-6</v>
      </c>
      <c r="BC1750" s="25" t="s">
        <v>44</v>
      </c>
      <c r="BD1750" s="14">
        <f t="shared" si="382"/>
        <v>960</v>
      </c>
      <c r="BE1750" s="14">
        <f>SUMIFS(BD$4:BD1750,$AU$4:$AU1750,"="&amp;$AU1750,$AY$4:$AY1750,"="&amp;$AY1750)</f>
        <v>3168</v>
      </c>
      <c r="BF1750" s="25" t="s">
        <v>1157</v>
      </c>
      <c r="BG1750" s="14">
        <f t="shared" si="383"/>
        <v>480</v>
      </c>
      <c r="BH1750" s="14">
        <f>SUMIFS(BG$4:BG1750,AU$4:AU1750,"="&amp;AU1750,AY$4:AY1750,"="&amp;AY1750)</f>
        <v>1584</v>
      </c>
      <c r="BI1750" s="25" t="s">
        <v>1158</v>
      </c>
      <c r="BJ1750" s="14">
        <f t="shared" si="384"/>
        <v>19200</v>
      </c>
      <c r="BK1750" s="14">
        <f>SUMIFS(BJ$4:BJ1750,$AU$4:$AU1750,"="&amp;$AU1750,$AY$4:$AY1750,"="&amp;$AY1750)</f>
        <v>63360</v>
      </c>
    </row>
    <row r="1751" spans="46:63" ht="16.5" x14ac:dyDescent="0.2">
      <c r="AT1751" s="13">
        <v>1748</v>
      </c>
      <c r="AU1751" s="13">
        <f t="shared" si="378"/>
        <v>22</v>
      </c>
      <c r="AV1751" s="14">
        <f t="shared" si="379"/>
        <v>299907</v>
      </c>
      <c r="AW1751" s="14">
        <f t="shared" si="380"/>
        <v>1102999</v>
      </c>
      <c r="AX1751" s="13" t="s">
        <v>1127</v>
      </c>
      <c r="AY1751" s="13">
        <f t="shared" si="385"/>
        <v>7</v>
      </c>
      <c r="AZ1751" s="13" t="s">
        <v>1148</v>
      </c>
      <c r="BA1751" s="14">
        <f t="shared" si="386"/>
        <v>7</v>
      </c>
      <c r="BB1751" s="14" t="str">
        <f t="shared" si="381"/>
        <v>R守护灵魂珠-7 等级-7</v>
      </c>
      <c r="BC1751" s="25" t="s">
        <v>44</v>
      </c>
      <c r="BD1751" s="14">
        <f t="shared" si="382"/>
        <v>1152</v>
      </c>
      <c r="BE1751" s="14">
        <f>SUMIFS(BD$4:BD1751,$AU$4:$AU1751,"="&amp;$AU1751,$AY$4:$AY1751,"="&amp;$AY1751)</f>
        <v>4320</v>
      </c>
      <c r="BF1751" s="25" t="s">
        <v>1157</v>
      </c>
      <c r="BG1751" s="14">
        <f t="shared" si="383"/>
        <v>576</v>
      </c>
      <c r="BH1751" s="14">
        <f>SUMIFS(BG$4:BG1751,AU$4:AU1751,"="&amp;AU1751,AY$4:AY1751,"="&amp;AY1751)</f>
        <v>2160</v>
      </c>
      <c r="BI1751" s="25" t="s">
        <v>1158</v>
      </c>
      <c r="BJ1751" s="14">
        <f t="shared" si="384"/>
        <v>23040</v>
      </c>
      <c r="BK1751" s="14">
        <f>SUMIFS(BJ$4:BJ1751,$AU$4:$AU1751,"="&amp;$AU1751,$AY$4:$AY1751,"="&amp;$AY1751)</f>
        <v>86400</v>
      </c>
    </row>
    <row r="1752" spans="46:63" ht="16.5" x14ac:dyDescent="0.2">
      <c r="AT1752" s="13">
        <v>1749</v>
      </c>
      <c r="AU1752" s="13">
        <f t="shared" si="378"/>
        <v>22</v>
      </c>
      <c r="AV1752" s="14">
        <f t="shared" si="379"/>
        <v>299907</v>
      </c>
      <c r="AW1752" s="14">
        <f t="shared" si="380"/>
        <v>1102999</v>
      </c>
      <c r="AX1752" s="13" t="s">
        <v>1127</v>
      </c>
      <c r="AY1752" s="13">
        <f t="shared" si="385"/>
        <v>7</v>
      </c>
      <c r="AZ1752" s="13" t="s">
        <v>1148</v>
      </c>
      <c r="BA1752" s="14">
        <f t="shared" si="386"/>
        <v>8</v>
      </c>
      <c r="BB1752" s="14" t="str">
        <f t="shared" si="381"/>
        <v>R守护灵魂珠-7 等级-8</v>
      </c>
      <c r="BC1752" s="25" t="s">
        <v>44</v>
      </c>
      <c r="BD1752" s="14">
        <f t="shared" si="382"/>
        <v>1344</v>
      </c>
      <c r="BE1752" s="14">
        <f>SUMIFS(BD$4:BD1752,$AU$4:$AU1752,"="&amp;$AU1752,$AY$4:$AY1752,"="&amp;$AY1752)</f>
        <v>5664</v>
      </c>
      <c r="BF1752" s="25" t="s">
        <v>1157</v>
      </c>
      <c r="BG1752" s="14">
        <f t="shared" si="383"/>
        <v>672</v>
      </c>
      <c r="BH1752" s="14">
        <f>SUMIFS(BG$4:BG1752,AU$4:AU1752,"="&amp;AU1752,AY$4:AY1752,"="&amp;AY1752)</f>
        <v>2832</v>
      </c>
      <c r="BI1752" s="25" t="s">
        <v>1158</v>
      </c>
      <c r="BJ1752" s="14">
        <f t="shared" si="384"/>
        <v>26880</v>
      </c>
      <c r="BK1752" s="14">
        <f>SUMIFS(BJ$4:BJ1752,$AU$4:$AU1752,"="&amp;$AU1752,$AY$4:$AY1752,"="&amp;$AY1752)</f>
        <v>113280</v>
      </c>
    </row>
    <row r="1753" spans="46:63" ht="16.5" x14ac:dyDescent="0.2">
      <c r="AT1753" s="13">
        <v>1750</v>
      </c>
      <c r="AU1753" s="13">
        <f t="shared" si="378"/>
        <v>22</v>
      </c>
      <c r="AV1753" s="14">
        <f t="shared" si="379"/>
        <v>299907</v>
      </c>
      <c r="AW1753" s="14">
        <f t="shared" si="380"/>
        <v>1102999</v>
      </c>
      <c r="AX1753" s="13" t="s">
        <v>1127</v>
      </c>
      <c r="AY1753" s="13">
        <f t="shared" si="385"/>
        <v>7</v>
      </c>
      <c r="AZ1753" s="13" t="s">
        <v>1148</v>
      </c>
      <c r="BA1753" s="14">
        <f t="shared" si="386"/>
        <v>9</v>
      </c>
      <c r="BB1753" s="14" t="str">
        <f t="shared" si="381"/>
        <v>R守护灵魂珠-7 等级-9</v>
      </c>
      <c r="BC1753" s="25" t="s">
        <v>44</v>
      </c>
      <c r="BD1753" s="14">
        <f t="shared" si="382"/>
        <v>1536</v>
      </c>
      <c r="BE1753" s="14">
        <f>SUMIFS(BD$4:BD1753,$AU$4:$AU1753,"="&amp;$AU1753,$AY$4:$AY1753,"="&amp;$AY1753)</f>
        <v>7200</v>
      </c>
      <c r="BF1753" s="25" t="s">
        <v>1157</v>
      </c>
      <c r="BG1753" s="14">
        <f t="shared" si="383"/>
        <v>768</v>
      </c>
      <c r="BH1753" s="14">
        <f>SUMIFS(BG$4:BG1753,AU$4:AU1753,"="&amp;AU1753,AY$4:AY1753,"="&amp;AY1753)</f>
        <v>3600</v>
      </c>
      <c r="BI1753" s="25" t="s">
        <v>1158</v>
      </c>
      <c r="BJ1753" s="14">
        <f t="shared" si="384"/>
        <v>30720</v>
      </c>
      <c r="BK1753" s="14">
        <f>SUMIFS(BJ$4:BJ1753,$AU$4:$AU1753,"="&amp;$AU1753,$AY$4:$AY1753,"="&amp;$AY1753)</f>
        <v>144000</v>
      </c>
    </row>
    <row r="1754" spans="46:63" ht="16.5" x14ac:dyDescent="0.2">
      <c r="AT1754" s="13">
        <v>1751</v>
      </c>
      <c r="AU1754" s="13">
        <f t="shared" si="378"/>
        <v>22</v>
      </c>
      <c r="AV1754" s="14">
        <f t="shared" si="379"/>
        <v>299908</v>
      </c>
      <c r="AW1754" s="14">
        <f t="shared" si="380"/>
        <v>1102999</v>
      </c>
      <c r="AX1754" s="13" t="s">
        <v>1127</v>
      </c>
      <c r="AY1754" s="13">
        <f t="shared" si="385"/>
        <v>8</v>
      </c>
      <c r="AZ1754" s="13" t="s">
        <v>1148</v>
      </c>
      <c r="BA1754" s="14">
        <f t="shared" si="386"/>
        <v>0</v>
      </c>
      <c r="BB1754" s="14" t="str">
        <f t="shared" si="381"/>
        <v>R守护灵魂珠-8 等级-0</v>
      </c>
      <c r="BC1754" s="25" t="s">
        <v>44</v>
      </c>
      <c r="BD1754" s="14">
        <f t="shared" si="382"/>
        <v>0</v>
      </c>
      <c r="BE1754" s="14">
        <f>SUMIFS(BD$4:BD1754,$AU$4:$AU1754,"="&amp;$AU1754,$AY$4:$AY1754,"="&amp;$AY1754)</f>
        <v>0</v>
      </c>
      <c r="BF1754" s="25" t="s">
        <v>1157</v>
      </c>
      <c r="BG1754" s="14">
        <f t="shared" si="383"/>
        <v>0</v>
      </c>
      <c r="BH1754" s="14">
        <f>SUMIFS(BG$4:BG1754,AU$4:AU1754,"="&amp;AU1754,AY$4:AY1754,"="&amp;AY1754)</f>
        <v>0</v>
      </c>
      <c r="BI1754" s="25" t="s">
        <v>1158</v>
      </c>
      <c r="BJ1754" s="14">
        <f t="shared" si="384"/>
        <v>0</v>
      </c>
      <c r="BK1754" s="14">
        <f>SUMIFS(BJ$4:BJ1754,$AU$4:$AU1754,"="&amp;$AU1754,$AY$4:$AY1754,"="&amp;$AY1754)</f>
        <v>0</v>
      </c>
    </row>
    <row r="1755" spans="46:63" ht="16.5" x14ac:dyDescent="0.2">
      <c r="AT1755" s="13">
        <v>1752</v>
      </c>
      <c r="AU1755" s="13">
        <f t="shared" si="378"/>
        <v>22</v>
      </c>
      <c r="AV1755" s="14">
        <f t="shared" si="379"/>
        <v>299908</v>
      </c>
      <c r="AW1755" s="14">
        <f t="shared" si="380"/>
        <v>1102999</v>
      </c>
      <c r="AX1755" s="13" t="s">
        <v>1127</v>
      </c>
      <c r="AY1755" s="13">
        <f t="shared" si="385"/>
        <v>8</v>
      </c>
      <c r="AZ1755" s="13" t="s">
        <v>1148</v>
      </c>
      <c r="BA1755" s="14">
        <f t="shared" si="386"/>
        <v>1</v>
      </c>
      <c r="BB1755" s="14" t="str">
        <f t="shared" si="381"/>
        <v>R守护灵魂珠-8 等级-1</v>
      </c>
      <c r="BC1755" s="25" t="s">
        <v>44</v>
      </c>
      <c r="BD1755" s="14">
        <f t="shared" si="382"/>
        <v>256</v>
      </c>
      <c r="BE1755" s="14">
        <f>SUMIFS(BD$4:BD1755,$AU$4:$AU1755,"="&amp;$AU1755,$AY$4:$AY1755,"="&amp;$AY1755)</f>
        <v>256</v>
      </c>
      <c r="BF1755" s="25" t="s">
        <v>1157</v>
      </c>
      <c r="BG1755" s="14">
        <f t="shared" si="383"/>
        <v>128</v>
      </c>
      <c r="BH1755" s="14">
        <f>SUMIFS(BG$4:BG1755,AU$4:AU1755,"="&amp;AU1755,AY$4:AY1755,"="&amp;AY1755)</f>
        <v>128</v>
      </c>
      <c r="BI1755" s="25" t="s">
        <v>1158</v>
      </c>
      <c r="BJ1755" s="14">
        <f t="shared" si="384"/>
        <v>5120</v>
      </c>
      <c r="BK1755" s="14">
        <f>SUMIFS(BJ$4:BJ1755,$AU$4:$AU1755,"="&amp;$AU1755,$AY$4:$AY1755,"="&amp;$AY1755)</f>
        <v>5120</v>
      </c>
    </row>
    <row r="1756" spans="46:63" ht="16.5" x14ac:dyDescent="0.2">
      <c r="AT1756" s="13">
        <v>1753</v>
      </c>
      <c r="AU1756" s="13">
        <f t="shared" si="378"/>
        <v>22</v>
      </c>
      <c r="AV1756" s="14">
        <f t="shared" si="379"/>
        <v>299908</v>
      </c>
      <c r="AW1756" s="14">
        <f t="shared" si="380"/>
        <v>1102999</v>
      </c>
      <c r="AX1756" s="13" t="s">
        <v>1127</v>
      </c>
      <c r="AY1756" s="13">
        <f t="shared" si="385"/>
        <v>8</v>
      </c>
      <c r="AZ1756" s="13" t="s">
        <v>1148</v>
      </c>
      <c r="BA1756" s="14">
        <f t="shared" si="386"/>
        <v>2</v>
      </c>
      <c r="BB1756" s="14" t="str">
        <f t="shared" si="381"/>
        <v>R守护灵魂珠-8 等级-2</v>
      </c>
      <c r="BC1756" s="25" t="s">
        <v>44</v>
      </c>
      <c r="BD1756" s="14">
        <f t="shared" si="382"/>
        <v>384</v>
      </c>
      <c r="BE1756" s="14">
        <f>SUMIFS(BD$4:BD1756,$AU$4:$AU1756,"="&amp;$AU1756,$AY$4:$AY1756,"="&amp;$AY1756)</f>
        <v>640</v>
      </c>
      <c r="BF1756" s="25" t="s">
        <v>1157</v>
      </c>
      <c r="BG1756" s="14">
        <f t="shared" si="383"/>
        <v>192</v>
      </c>
      <c r="BH1756" s="14">
        <f>SUMIFS(BG$4:BG1756,AU$4:AU1756,"="&amp;AU1756,AY$4:AY1756,"="&amp;AY1756)</f>
        <v>320</v>
      </c>
      <c r="BI1756" s="25" t="s">
        <v>1158</v>
      </c>
      <c r="BJ1756" s="14">
        <f t="shared" si="384"/>
        <v>7680</v>
      </c>
      <c r="BK1756" s="14">
        <f>SUMIFS(BJ$4:BJ1756,$AU$4:$AU1756,"="&amp;$AU1756,$AY$4:$AY1756,"="&amp;$AY1756)</f>
        <v>12800</v>
      </c>
    </row>
    <row r="1757" spans="46:63" ht="16.5" x14ac:dyDescent="0.2">
      <c r="AT1757" s="13">
        <v>1754</v>
      </c>
      <c r="AU1757" s="13">
        <f t="shared" si="378"/>
        <v>22</v>
      </c>
      <c r="AV1757" s="14">
        <f t="shared" si="379"/>
        <v>299908</v>
      </c>
      <c r="AW1757" s="14">
        <f t="shared" si="380"/>
        <v>1102999</v>
      </c>
      <c r="AX1757" s="13" t="s">
        <v>1127</v>
      </c>
      <c r="AY1757" s="13">
        <f t="shared" si="385"/>
        <v>8</v>
      </c>
      <c r="AZ1757" s="13" t="s">
        <v>1148</v>
      </c>
      <c r="BA1757" s="14">
        <f t="shared" si="386"/>
        <v>3</v>
      </c>
      <c r="BB1757" s="14" t="str">
        <f t="shared" si="381"/>
        <v>R守护灵魂珠-8 等级-3</v>
      </c>
      <c r="BC1757" s="25" t="s">
        <v>44</v>
      </c>
      <c r="BD1757" s="14">
        <f t="shared" si="382"/>
        <v>512</v>
      </c>
      <c r="BE1757" s="14">
        <f>SUMIFS(BD$4:BD1757,$AU$4:$AU1757,"="&amp;$AU1757,$AY$4:$AY1757,"="&amp;$AY1757)</f>
        <v>1152</v>
      </c>
      <c r="BF1757" s="25" t="s">
        <v>1157</v>
      </c>
      <c r="BG1757" s="14">
        <f t="shared" si="383"/>
        <v>256</v>
      </c>
      <c r="BH1757" s="14">
        <f>SUMIFS(BG$4:BG1757,AU$4:AU1757,"="&amp;AU1757,AY$4:AY1757,"="&amp;AY1757)</f>
        <v>576</v>
      </c>
      <c r="BI1757" s="25" t="s">
        <v>1158</v>
      </c>
      <c r="BJ1757" s="14">
        <f t="shared" si="384"/>
        <v>10240</v>
      </c>
      <c r="BK1757" s="14">
        <f>SUMIFS(BJ$4:BJ1757,$AU$4:$AU1757,"="&amp;$AU1757,$AY$4:$AY1757,"="&amp;$AY1757)</f>
        <v>23040</v>
      </c>
    </row>
    <row r="1758" spans="46:63" ht="16.5" x14ac:dyDescent="0.2">
      <c r="AT1758" s="13">
        <v>1755</v>
      </c>
      <c r="AU1758" s="13">
        <f t="shared" si="378"/>
        <v>22</v>
      </c>
      <c r="AV1758" s="14">
        <f t="shared" si="379"/>
        <v>299908</v>
      </c>
      <c r="AW1758" s="14">
        <f t="shared" si="380"/>
        <v>1102999</v>
      </c>
      <c r="AX1758" s="13" t="s">
        <v>1127</v>
      </c>
      <c r="AY1758" s="13">
        <f t="shared" si="385"/>
        <v>8</v>
      </c>
      <c r="AZ1758" s="13" t="s">
        <v>1148</v>
      </c>
      <c r="BA1758" s="14">
        <f t="shared" si="386"/>
        <v>4</v>
      </c>
      <c r="BB1758" s="14" t="str">
        <f t="shared" si="381"/>
        <v>R守护灵魂珠-8 等级-4</v>
      </c>
      <c r="BC1758" s="25" t="s">
        <v>44</v>
      </c>
      <c r="BD1758" s="14">
        <f t="shared" si="382"/>
        <v>768</v>
      </c>
      <c r="BE1758" s="14">
        <f>SUMIFS(BD$4:BD1758,$AU$4:$AU1758,"="&amp;$AU1758,$AY$4:$AY1758,"="&amp;$AY1758)</f>
        <v>1920</v>
      </c>
      <c r="BF1758" s="25" t="s">
        <v>1157</v>
      </c>
      <c r="BG1758" s="14">
        <f t="shared" si="383"/>
        <v>384</v>
      </c>
      <c r="BH1758" s="14">
        <f>SUMIFS(BG$4:BG1758,AU$4:AU1758,"="&amp;AU1758,AY$4:AY1758,"="&amp;AY1758)</f>
        <v>960</v>
      </c>
      <c r="BI1758" s="25" t="s">
        <v>1158</v>
      </c>
      <c r="BJ1758" s="14">
        <f t="shared" si="384"/>
        <v>15360</v>
      </c>
      <c r="BK1758" s="14">
        <f>SUMIFS(BJ$4:BJ1758,$AU$4:$AU1758,"="&amp;$AU1758,$AY$4:$AY1758,"="&amp;$AY1758)</f>
        <v>38400</v>
      </c>
    </row>
    <row r="1759" spans="46:63" ht="16.5" x14ac:dyDescent="0.2">
      <c r="AT1759" s="13">
        <v>1756</v>
      </c>
      <c r="AU1759" s="13">
        <f t="shared" si="378"/>
        <v>22</v>
      </c>
      <c r="AV1759" s="14">
        <f t="shared" si="379"/>
        <v>299908</v>
      </c>
      <c r="AW1759" s="14">
        <f t="shared" si="380"/>
        <v>1102999</v>
      </c>
      <c r="AX1759" s="13" t="s">
        <v>1127</v>
      </c>
      <c r="AY1759" s="13">
        <f t="shared" si="385"/>
        <v>8</v>
      </c>
      <c r="AZ1759" s="13" t="s">
        <v>1148</v>
      </c>
      <c r="BA1759" s="14">
        <f t="shared" si="386"/>
        <v>5</v>
      </c>
      <c r="BB1759" s="14" t="str">
        <f t="shared" si="381"/>
        <v>R守护灵魂珠-8 等级-5</v>
      </c>
      <c r="BC1759" s="25" t="s">
        <v>44</v>
      </c>
      <c r="BD1759" s="14">
        <f t="shared" si="382"/>
        <v>1024</v>
      </c>
      <c r="BE1759" s="14">
        <f>SUMIFS(BD$4:BD1759,$AU$4:$AU1759,"="&amp;$AU1759,$AY$4:$AY1759,"="&amp;$AY1759)</f>
        <v>2944</v>
      </c>
      <c r="BF1759" s="25" t="s">
        <v>1157</v>
      </c>
      <c r="BG1759" s="14">
        <f t="shared" si="383"/>
        <v>512</v>
      </c>
      <c r="BH1759" s="14">
        <f>SUMIFS(BG$4:BG1759,AU$4:AU1759,"="&amp;AU1759,AY$4:AY1759,"="&amp;AY1759)</f>
        <v>1472</v>
      </c>
      <c r="BI1759" s="25" t="s">
        <v>1158</v>
      </c>
      <c r="BJ1759" s="14">
        <f t="shared" si="384"/>
        <v>20480</v>
      </c>
      <c r="BK1759" s="14">
        <f>SUMIFS(BJ$4:BJ1759,$AU$4:$AU1759,"="&amp;$AU1759,$AY$4:$AY1759,"="&amp;$AY1759)</f>
        <v>58880</v>
      </c>
    </row>
    <row r="1760" spans="46:63" ht="16.5" x14ac:dyDescent="0.2">
      <c r="AT1760" s="13">
        <v>1757</v>
      </c>
      <c r="AU1760" s="13">
        <f t="shared" si="378"/>
        <v>22</v>
      </c>
      <c r="AV1760" s="14">
        <f t="shared" si="379"/>
        <v>299908</v>
      </c>
      <c r="AW1760" s="14">
        <f t="shared" si="380"/>
        <v>1102999</v>
      </c>
      <c r="AX1760" s="13" t="s">
        <v>1127</v>
      </c>
      <c r="AY1760" s="13">
        <f t="shared" si="385"/>
        <v>8</v>
      </c>
      <c r="AZ1760" s="13" t="s">
        <v>1148</v>
      </c>
      <c r="BA1760" s="14">
        <f t="shared" si="386"/>
        <v>6</v>
      </c>
      <c r="BB1760" s="14" t="str">
        <f t="shared" si="381"/>
        <v>R守护灵魂珠-8 等级-6</v>
      </c>
      <c r="BC1760" s="25" t="s">
        <v>44</v>
      </c>
      <c r="BD1760" s="14">
        <f t="shared" si="382"/>
        <v>1280</v>
      </c>
      <c r="BE1760" s="14">
        <f>SUMIFS(BD$4:BD1760,$AU$4:$AU1760,"="&amp;$AU1760,$AY$4:$AY1760,"="&amp;$AY1760)</f>
        <v>4224</v>
      </c>
      <c r="BF1760" s="25" t="s">
        <v>1157</v>
      </c>
      <c r="BG1760" s="14">
        <f t="shared" si="383"/>
        <v>640</v>
      </c>
      <c r="BH1760" s="14">
        <f>SUMIFS(BG$4:BG1760,AU$4:AU1760,"="&amp;AU1760,AY$4:AY1760,"="&amp;AY1760)</f>
        <v>2112</v>
      </c>
      <c r="BI1760" s="25" t="s">
        <v>1158</v>
      </c>
      <c r="BJ1760" s="14">
        <f t="shared" si="384"/>
        <v>25600</v>
      </c>
      <c r="BK1760" s="14">
        <f>SUMIFS(BJ$4:BJ1760,$AU$4:$AU1760,"="&amp;$AU1760,$AY$4:$AY1760,"="&amp;$AY1760)</f>
        <v>84480</v>
      </c>
    </row>
    <row r="1761" spans="46:63" ht="16.5" x14ac:dyDescent="0.2">
      <c r="AT1761" s="13">
        <v>1758</v>
      </c>
      <c r="AU1761" s="13">
        <f t="shared" si="378"/>
        <v>22</v>
      </c>
      <c r="AV1761" s="14">
        <f t="shared" si="379"/>
        <v>299908</v>
      </c>
      <c r="AW1761" s="14">
        <f t="shared" si="380"/>
        <v>1102999</v>
      </c>
      <c r="AX1761" s="13" t="s">
        <v>1127</v>
      </c>
      <c r="AY1761" s="13">
        <f t="shared" si="385"/>
        <v>8</v>
      </c>
      <c r="AZ1761" s="13" t="s">
        <v>1148</v>
      </c>
      <c r="BA1761" s="14">
        <f t="shared" si="386"/>
        <v>7</v>
      </c>
      <c r="BB1761" s="14" t="str">
        <f t="shared" si="381"/>
        <v>R守护灵魂珠-8 等级-7</v>
      </c>
      <c r="BC1761" s="25" t="s">
        <v>44</v>
      </c>
      <c r="BD1761" s="14">
        <f t="shared" si="382"/>
        <v>1536</v>
      </c>
      <c r="BE1761" s="14">
        <f>SUMIFS(BD$4:BD1761,$AU$4:$AU1761,"="&amp;$AU1761,$AY$4:$AY1761,"="&amp;$AY1761)</f>
        <v>5760</v>
      </c>
      <c r="BF1761" s="25" t="s">
        <v>1157</v>
      </c>
      <c r="BG1761" s="14">
        <f t="shared" si="383"/>
        <v>768</v>
      </c>
      <c r="BH1761" s="14">
        <f>SUMIFS(BG$4:BG1761,AU$4:AU1761,"="&amp;AU1761,AY$4:AY1761,"="&amp;AY1761)</f>
        <v>2880</v>
      </c>
      <c r="BI1761" s="25" t="s">
        <v>1158</v>
      </c>
      <c r="BJ1761" s="14">
        <f t="shared" si="384"/>
        <v>30720</v>
      </c>
      <c r="BK1761" s="14">
        <f>SUMIFS(BJ$4:BJ1761,$AU$4:$AU1761,"="&amp;$AU1761,$AY$4:$AY1761,"="&amp;$AY1761)</f>
        <v>115200</v>
      </c>
    </row>
    <row r="1762" spans="46:63" ht="16.5" x14ac:dyDescent="0.2">
      <c r="AT1762" s="13">
        <v>1759</v>
      </c>
      <c r="AU1762" s="13">
        <f t="shared" si="378"/>
        <v>22</v>
      </c>
      <c r="AV1762" s="14">
        <f t="shared" si="379"/>
        <v>299908</v>
      </c>
      <c r="AW1762" s="14">
        <f t="shared" si="380"/>
        <v>1102999</v>
      </c>
      <c r="AX1762" s="13" t="s">
        <v>1127</v>
      </c>
      <c r="AY1762" s="13">
        <f t="shared" si="385"/>
        <v>8</v>
      </c>
      <c r="AZ1762" s="13" t="s">
        <v>1148</v>
      </c>
      <c r="BA1762" s="14">
        <f t="shared" si="386"/>
        <v>8</v>
      </c>
      <c r="BB1762" s="14" t="str">
        <f t="shared" si="381"/>
        <v>R守护灵魂珠-8 等级-8</v>
      </c>
      <c r="BC1762" s="25" t="s">
        <v>44</v>
      </c>
      <c r="BD1762" s="14">
        <f t="shared" si="382"/>
        <v>1792</v>
      </c>
      <c r="BE1762" s="14">
        <f>SUMIFS(BD$4:BD1762,$AU$4:$AU1762,"="&amp;$AU1762,$AY$4:$AY1762,"="&amp;$AY1762)</f>
        <v>7552</v>
      </c>
      <c r="BF1762" s="25" t="s">
        <v>1157</v>
      </c>
      <c r="BG1762" s="14">
        <f t="shared" si="383"/>
        <v>896</v>
      </c>
      <c r="BH1762" s="14">
        <f>SUMIFS(BG$4:BG1762,AU$4:AU1762,"="&amp;AU1762,AY$4:AY1762,"="&amp;AY1762)</f>
        <v>3776</v>
      </c>
      <c r="BI1762" s="25" t="s">
        <v>1158</v>
      </c>
      <c r="BJ1762" s="14">
        <f t="shared" si="384"/>
        <v>35840</v>
      </c>
      <c r="BK1762" s="14">
        <f>SUMIFS(BJ$4:BJ1762,$AU$4:$AU1762,"="&amp;$AU1762,$AY$4:$AY1762,"="&amp;$AY1762)</f>
        <v>151040</v>
      </c>
    </row>
    <row r="1763" spans="46:63" ht="16.5" x14ac:dyDescent="0.2">
      <c r="AT1763" s="13">
        <v>1760</v>
      </c>
      <c r="AU1763" s="13">
        <f t="shared" si="378"/>
        <v>22</v>
      </c>
      <c r="AV1763" s="14">
        <f t="shared" si="379"/>
        <v>299908</v>
      </c>
      <c r="AW1763" s="14">
        <f t="shared" si="380"/>
        <v>1102999</v>
      </c>
      <c r="AX1763" s="13" t="s">
        <v>1127</v>
      </c>
      <c r="AY1763" s="13">
        <f t="shared" si="385"/>
        <v>8</v>
      </c>
      <c r="AZ1763" s="13" t="s">
        <v>1148</v>
      </c>
      <c r="BA1763" s="14">
        <f t="shared" si="386"/>
        <v>9</v>
      </c>
      <c r="BB1763" s="14" t="str">
        <f t="shared" si="381"/>
        <v>R守护灵魂珠-8 等级-9</v>
      </c>
      <c r="BC1763" s="25" t="s">
        <v>44</v>
      </c>
      <c r="BD1763" s="14">
        <f t="shared" si="382"/>
        <v>2048</v>
      </c>
      <c r="BE1763" s="14">
        <f>SUMIFS(BD$4:BD1763,$AU$4:$AU1763,"="&amp;$AU1763,$AY$4:$AY1763,"="&amp;$AY1763)</f>
        <v>9600</v>
      </c>
      <c r="BF1763" s="25" t="s">
        <v>1157</v>
      </c>
      <c r="BG1763" s="14">
        <f t="shared" si="383"/>
        <v>1024</v>
      </c>
      <c r="BH1763" s="14">
        <f>SUMIFS(BG$4:BG1763,AU$4:AU1763,"="&amp;AU1763,AY$4:AY1763,"="&amp;AY1763)</f>
        <v>4800</v>
      </c>
      <c r="BI1763" s="25" t="s">
        <v>1158</v>
      </c>
      <c r="BJ1763" s="14">
        <f t="shared" si="384"/>
        <v>40960</v>
      </c>
      <c r="BK1763" s="14">
        <f>SUMIFS(BJ$4:BJ1763,$AU$4:$AU1763,"="&amp;$AU1763,$AY$4:$AY1763,"="&amp;$AY1763)</f>
        <v>192000</v>
      </c>
    </row>
    <row r="1764" spans="46:63" ht="16.5" x14ac:dyDescent="0.2">
      <c r="AT1764" s="13">
        <v>1761</v>
      </c>
      <c r="AU1764" s="13">
        <f t="shared" si="378"/>
        <v>23</v>
      </c>
      <c r="AV1764" s="14">
        <f t="shared" si="379"/>
        <v>299801</v>
      </c>
      <c r="AW1764" s="14">
        <f t="shared" si="380"/>
        <v>1102998</v>
      </c>
      <c r="AX1764" s="13" t="s">
        <v>1127</v>
      </c>
      <c r="AY1764" s="13">
        <f t="shared" si="385"/>
        <v>1</v>
      </c>
      <c r="AZ1764" s="13" t="s">
        <v>1148</v>
      </c>
      <c r="BA1764" s="14">
        <f t="shared" si="386"/>
        <v>0</v>
      </c>
      <c r="BB1764" s="14" t="str">
        <f t="shared" si="381"/>
        <v>SR守护灵魂珠-1 等级-0</v>
      </c>
      <c r="BC1764" s="25" t="s">
        <v>44</v>
      </c>
      <c r="BD1764" s="14">
        <f t="shared" si="382"/>
        <v>0</v>
      </c>
      <c r="BE1764" s="14">
        <f>SUMIFS(BD$4:BD1764,$AU$4:$AU1764,"="&amp;$AU1764,$AY$4:$AY1764,"="&amp;$AY1764)</f>
        <v>0</v>
      </c>
      <c r="BF1764" s="25" t="s">
        <v>1157</v>
      </c>
      <c r="BG1764" s="14">
        <f t="shared" si="383"/>
        <v>0</v>
      </c>
      <c r="BH1764" s="14">
        <f>SUMIFS(BG$4:BG1764,AU$4:AU1764,"="&amp;AU1764,AY$4:AY1764,"="&amp;AY1764)</f>
        <v>0</v>
      </c>
      <c r="BI1764" s="25" t="s">
        <v>1158</v>
      </c>
      <c r="BJ1764" s="14">
        <f t="shared" si="384"/>
        <v>0</v>
      </c>
      <c r="BK1764" s="14">
        <f>SUMIFS(BJ$4:BJ1764,$AU$4:$AU1764,"="&amp;$AU1764,$AY$4:$AY1764,"="&amp;$AY1764)</f>
        <v>0</v>
      </c>
    </row>
    <row r="1765" spans="46:63" ht="16.5" x14ac:dyDescent="0.2">
      <c r="AT1765" s="13">
        <v>1762</v>
      </c>
      <c r="AU1765" s="13">
        <f t="shared" si="378"/>
        <v>23</v>
      </c>
      <c r="AV1765" s="14">
        <f t="shared" si="379"/>
        <v>299801</v>
      </c>
      <c r="AW1765" s="14">
        <f t="shared" si="380"/>
        <v>1102998</v>
      </c>
      <c r="AX1765" s="13" t="s">
        <v>1127</v>
      </c>
      <c r="AY1765" s="13">
        <f t="shared" si="385"/>
        <v>1</v>
      </c>
      <c r="AZ1765" s="13" t="s">
        <v>1148</v>
      </c>
      <c r="BA1765" s="14">
        <f t="shared" si="386"/>
        <v>1</v>
      </c>
      <c r="BB1765" s="14" t="str">
        <f t="shared" si="381"/>
        <v>SR守护灵魂珠-1 等级-1</v>
      </c>
      <c r="BC1765" s="25" t="s">
        <v>44</v>
      </c>
      <c r="BD1765" s="14">
        <f t="shared" si="382"/>
        <v>40</v>
      </c>
      <c r="BE1765" s="14">
        <f>SUMIFS(BD$4:BD1765,$AU$4:$AU1765,"="&amp;$AU1765,$AY$4:$AY1765,"="&amp;$AY1765)</f>
        <v>40</v>
      </c>
      <c r="BF1765" s="25" t="s">
        <v>1157</v>
      </c>
      <c r="BG1765" s="14">
        <f t="shared" si="383"/>
        <v>20</v>
      </c>
      <c r="BH1765" s="14">
        <f>SUMIFS(BG$4:BG1765,AU$4:AU1765,"="&amp;AU1765,AY$4:AY1765,"="&amp;AY1765)</f>
        <v>20</v>
      </c>
      <c r="BI1765" s="25" t="s">
        <v>1158</v>
      </c>
      <c r="BJ1765" s="14">
        <f t="shared" si="384"/>
        <v>800</v>
      </c>
      <c r="BK1765" s="14">
        <f>SUMIFS(BJ$4:BJ1765,$AU$4:$AU1765,"="&amp;$AU1765,$AY$4:$AY1765,"="&amp;$AY1765)</f>
        <v>800</v>
      </c>
    </row>
    <row r="1766" spans="46:63" ht="16.5" x14ac:dyDescent="0.2">
      <c r="AT1766" s="13">
        <v>1763</v>
      </c>
      <c r="AU1766" s="13">
        <f t="shared" si="378"/>
        <v>23</v>
      </c>
      <c r="AV1766" s="14">
        <f t="shared" si="379"/>
        <v>299801</v>
      </c>
      <c r="AW1766" s="14">
        <f t="shared" si="380"/>
        <v>1102998</v>
      </c>
      <c r="AX1766" s="13" t="s">
        <v>1127</v>
      </c>
      <c r="AY1766" s="13">
        <f t="shared" si="385"/>
        <v>1</v>
      </c>
      <c r="AZ1766" s="13" t="s">
        <v>1148</v>
      </c>
      <c r="BA1766" s="14">
        <f t="shared" si="386"/>
        <v>2</v>
      </c>
      <c r="BB1766" s="14" t="str">
        <f t="shared" si="381"/>
        <v>SR守护灵魂珠-1 等级-2</v>
      </c>
      <c r="BC1766" s="25" t="s">
        <v>44</v>
      </c>
      <c r="BD1766" s="14">
        <f t="shared" si="382"/>
        <v>60</v>
      </c>
      <c r="BE1766" s="14">
        <f>SUMIFS(BD$4:BD1766,$AU$4:$AU1766,"="&amp;$AU1766,$AY$4:$AY1766,"="&amp;$AY1766)</f>
        <v>100</v>
      </c>
      <c r="BF1766" s="25" t="s">
        <v>1157</v>
      </c>
      <c r="BG1766" s="14">
        <f t="shared" si="383"/>
        <v>30</v>
      </c>
      <c r="BH1766" s="14">
        <f>SUMIFS(BG$4:BG1766,AU$4:AU1766,"="&amp;AU1766,AY$4:AY1766,"="&amp;AY1766)</f>
        <v>50</v>
      </c>
      <c r="BI1766" s="25" t="s">
        <v>1158</v>
      </c>
      <c r="BJ1766" s="14">
        <f t="shared" si="384"/>
        <v>1200</v>
      </c>
      <c r="BK1766" s="14">
        <f>SUMIFS(BJ$4:BJ1766,$AU$4:$AU1766,"="&amp;$AU1766,$AY$4:$AY1766,"="&amp;$AY1766)</f>
        <v>2000</v>
      </c>
    </row>
    <row r="1767" spans="46:63" ht="16.5" x14ac:dyDescent="0.2">
      <c r="AT1767" s="13">
        <v>1764</v>
      </c>
      <c r="AU1767" s="13">
        <f t="shared" si="378"/>
        <v>23</v>
      </c>
      <c r="AV1767" s="14">
        <f t="shared" si="379"/>
        <v>299801</v>
      </c>
      <c r="AW1767" s="14">
        <f t="shared" si="380"/>
        <v>1102998</v>
      </c>
      <c r="AX1767" s="13" t="s">
        <v>1127</v>
      </c>
      <c r="AY1767" s="13">
        <f t="shared" si="385"/>
        <v>1</v>
      </c>
      <c r="AZ1767" s="13" t="s">
        <v>1148</v>
      </c>
      <c r="BA1767" s="14">
        <f t="shared" si="386"/>
        <v>3</v>
      </c>
      <c r="BB1767" s="14" t="str">
        <f t="shared" si="381"/>
        <v>SR守护灵魂珠-1 等级-3</v>
      </c>
      <c r="BC1767" s="25" t="s">
        <v>44</v>
      </c>
      <c r="BD1767" s="14">
        <f t="shared" si="382"/>
        <v>80</v>
      </c>
      <c r="BE1767" s="14">
        <f>SUMIFS(BD$4:BD1767,$AU$4:$AU1767,"="&amp;$AU1767,$AY$4:$AY1767,"="&amp;$AY1767)</f>
        <v>180</v>
      </c>
      <c r="BF1767" s="25" t="s">
        <v>1157</v>
      </c>
      <c r="BG1767" s="14">
        <f t="shared" si="383"/>
        <v>40</v>
      </c>
      <c r="BH1767" s="14">
        <f>SUMIFS(BG$4:BG1767,AU$4:AU1767,"="&amp;AU1767,AY$4:AY1767,"="&amp;AY1767)</f>
        <v>90</v>
      </c>
      <c r="BI1767" s="25" t="s">
        <v>1158</v>
      </c>
      <c r="BJ1767" s="14">
        <f t="shared" si="384"/>
        <v>1600</v>
      </c>
      <c r="BK1767" s="14">
        <f>SUMIFS(BJ$4:BJ1767,$AU$4:$AU1767,"="&amp;$AU1767,$AY$4:$AY1767,"="&amp;$AY1767)</f>
        <v>3600</v>
      </c>
    </row>
    <row r="1768" spans="46:63" ht="16.5" x14ac:dyDescent="0.2">
      <c r="AT1768" s="13">
        <v>1765</v>
      </c>
      <c r="AU1768" s="13">
        <f t="shared" si="378"/>
        <v>23</v>
      </c>
      <c r="AV1768" s="14">
        <f t="shared" si="379"/>
        <v>299801</v>
      </c>
      <c r="AW1768" s="14">
        <f t="shared" si="380"/>
        <v>1102998</v>
      </c>
      <c r="AX1768" s="13" t="s">
        <v>1127</v>
      </c>
      <c r="AY1768" s="13">
        <f t="shared" si="385"/>
        <v>1</v>
      </c>
      <c r="AZ1768" s="13" t="s">
        <v>1148</v>
      </c>
      <c r="BA1768" s="14">
        <f t="shared" si="386"/>
        <v>4</v>
      </c>
      <c r="BB1768" s="14" t="str">
        <f t="shared" si="381"/>
        <v>SR守护灵魂珠-1 等级-4</v>
      </c>
      <c r="BC1768" s="25" t="s">
        <v>44</v>
      </c>
      <c r="BD1768" s="14">
        <f t="shared" si="382"/>
        <v>120</v>
      </c>
      <c r="BE1768" s="14">
        <f>SUMIFS(BD$4:BD1768,$AU$4:$AU1768,"="&amp;$AU1768,$AY$4:$AY1768,"="&amp;$AY1768)</f>
        <v>300</v>
      </c>
      <c r="BF1768" s="25" t="s">
        <v>1157</v>
      </c>
      <c r="BG1768" s="14">
        <f t="shared" si="383"/>
        <v>60</v>
      </c>
      <c r="BH1768" s="14">
        <f>SUMIFS(BG$4:BG1768,AU$4:AU1768,"="&amp;AU1768,AY$4:AY1768,"="&amp;AY1768)</f>
        <v>150</v>
      </c>
      <c r="BI1768" s="25" t="s">
        <v>1158</v>
      </c>
      <c r="BJ1768" s="14">
        <f t="shared" si="384"/>
        <v>2400</v>
      </c>
      <c r="BK1768" s="14">
        <f>SUMIFS(BJ$4:BJ1768,$AU$4:$AU1768,"="&amp;$AU1768,$AY$4:$AY1768,"="&amp;$AY1768)</f>
        <v>6000</v>
      </c>
    </row>
    <row r="1769" spans="46:63" ht="16.5" x14ac:dyDescent="0.2">
      <c r="AT1769" s="13">
        <v>1766</v>
      </c>
      <c r="AU1769" s="13">
        <f t="shared" si="378"/>
        <v>23</v>
      </c>
      <c r="AV1769" s="14">
        <f t="shared" si="379"/>
        <v>299801</v>
      </c>
      <c r="AW1769" s="14">
        <f t="shared" si="380"/>
        <v>1102998</v>
      </c>
      <c r="AX1769" s="13" t="s">
        <v>1127</v>
      </c>
      <c r="AY1769" s="13">
        <f t="shared" si="385"/>
        <v>1</v>
      </c>
      <c r="AZ1769" s="13" t="s">
        <v>1148</v>
      </c>
      <c r="BA1769" s="14">
        <f t="shared" si="386"/>
        <v>5</v>
      </c>
      <c r="BB1769" s="14" t="str">
        <f t="shared" si="381"/>
        <v>SR守护灵魂珠-1 等级-5</v>
      </c>
      <c r="BC1769" s="25" t="s">
        <v>44</v>
      </c>
      <c r="BD1769" s="14">
        <f t="shared" si="382"/>
        <v>160</v>
      </c>
      <c r="BE1769" s="14">
        <f>SUMIFS(BD$4:BD1769,$AU$4:$AU1769,"="&amp;$AU1769,$AY$4:$AY1769,"="&amp;$AY1769)</f>
        <v>460</v>
      </c>
      <c r="BF1769" s="25" t="s">
        <v>1157</v>
      </c>
      <c r="BG1769" s="14">
        <f t="shared" si="383"/>
        <v>80</v>
      </c>
      <c r="BH1769" s="14">
        <f>SUMIFS(BG$4:BG1769,AU$4:AU1769,"="&amp;AU1769,AY$4:AY1769,"="&amp;AY1769)</f>
        <v>230</v>
      </c>
      <c r="BI1769" s="25" t="s">
        <v>1158</v>
      </c>
      <c r="BJ1769" s="14">
        <f t="shared" si="384"/>
        <v>3200</v>
      </c>
      <c r="BK1769" s="14">
        <f>SUMIFS(BJ$4:BJ1769,$AU$4:$AU1769,"="&amp;$AU1769,$AY$4:$AY1769,"="&amp;$AY1769)</f>
        <v>9200</v>
      </c>
    </row>
    <row r="1770" spans="46:63" ht="16.5" x14ac:dyDescent="0.2">
      <c r="AT1770" s="13">
        <v>1767</v>
      </c>
      <c r="AU1770" s="13">
        <f t="shared" si="378"/>
        <v>23</v>
      </c>
      <c r="AV1770" s="14">
        <f t="shared" si="379"/>
        <v>299801</v>
      </c>
      <c r="AW1770" s="14">
        <f t="shared" si="380"/>
        <v>1102998</v>
      </c>
      <c r="AX1770" s="13" t="s">
        <v>1127</v>
      </c>
      <c r="AY1770" s="13">
        <f t="shared" si="385"/>
        <v>1</v>
      </c>
      <c r="AZ1770" s="13" t="s">
        <v>1148</v>
      </c>
      <c r="BA1770" s="14">
        <f t="shared" si="386"/>
        <v>6</v>
      </c>
      <c r="BB1770" s="14" t="str">
        <f t="shared" si="381"/>
        <v>SR守护灵魂珠-1 等级-6</v>
      </c>
      <c r="BC1770" s="25" t="s">
        <v>44</v>
      </c>
      <c r="BD1770" s="14">
        <f t="shared" si="382"/>
        <v>200</v>
      </c>
      <c r="BE1770" s="14">
        <f>SUMIFS(BD$4:BD1770,$AU$4:$AU1770,"="&amp;$AU1770,$AY$4:$AY1770,"="&amp;$AY1770)</f>
        <v>660</v>
      </c>
      <c r="BF1770" s="25" t="s">
        <v>1157</v>
      </c>
      <c r="BG1770" s="14">
        <f t="shared" si="383"/>
        <v>100</v>
      </c>
      <c r="BH1770" s="14">
        <f>SUMIFS(BG$4:BG1770,AU$4:AU1770,"="&amp;AU1770,AY$4:AY1770,"="&amp;AY1770)</f>
        <v>330</v>
      </c>
      <c r="BI1770" s="25" t="s">
        <v>1158</v>
      </c>
      <c r="BJ1770" s="14">
        <f t="shared" si="384"/>
        <v>4000</v>
      </c>
      <c r="BK1770" s="14">
        <f>SUMIFS(BJ$4:BJ1770,$AU$4:$AU1770,"="&amp;$AU1770,$AY$4:$AY1770,"="&amp;$AY1770)</f>
        <v>13200</v>
      </c>
    </row>
    <row r="1771" spans="46:63" ht="16.5" x14ac:dyDescent="0.2">
      <c r="AT1771" s="13">
        <v>1768</v>
      </c>
      <c r="AU1771" s="13">
        <f t="shared" si="378"/>
        <v>23</v>
      </c>
      <c r="AV1771" s="14">
        <f t="shared" si="379"/>
        <v>299801</v>
      </c>
      <c r="AW1771" s="14">
        <f t="shared" si="380"/>
        <v>1102998</v>
      </c>
      <c r="AX1771" s="13" t="s">
        <v>1127</v>
      </c>
      <c r="AY1771" s="13">
        <f t="shared" si="385"/>
        <v>1</v>
      </c>
      <c r="AZ1771" s="13" t="s">
        <v>1148</v>
      </c>
      <c r="BA1771" s="14">
        <f t="shared" si="386"/>
        <v>7</v>
      </c>
      <c r="BB1771" s="14" t="str">
        <f t="shared" si="381"/>
        <v>SR守护灵魂珠-1 等级-7</v>
      </c>
      <c r="BC1771" s="25" t="s">
        <v>44</v>
      </c>
      <c r="BD1771" s="14">
        <f t="shared" si="382"/>
        <v>240</v>
      </c>
      <c r="BE1771" s="14">
        <f>SUMIFS(BD$4:BD1771,$AU$4:$AU1771,"="&amp;$AU1771,$AY$4:$AY1771,"="&amp;$AY1771)</f>
        <v>900</v>
      </c>
      <c r="BF1771" s="25" t="s">
        <v>1157</v>
      </c>
      <c r="BG1771" s="14">
        <f t="shared" si="383"/>
        <v>120</v>
      </c>
      <c r="BH1771" s="14">
        <f>SUMIFS(BG$4:BG1771,AU$4:AU1771,"="&amp;AU1771,AY$4:AY1771,"="&amp;AY1771)</f>
        <v>450</v>
      </c>
      <c r="BI1771" s="25" t="s">
        <v>1158</v>
      </c>
      <c r="BJ1771" s="14">
        <f t="shared" si="384"/>
        <v>4800</v>
      </c>
      <c r="BK1771" s="14">
        <f>SUMIFS(BJ$4:BJ1771,$AU$4:$AU1771,"="&amp;$AU1771,$AY$4:$AY1771,"="&amp;$AY1771)</f>
        <v>18000</v>
      </c>
    </row>
    <row r="1772" spans="46:63" ht="16.5" x14ac:dyDescent="0.2">
      <c r="AT1772" s="13">
        <v>1769</v>
      </c>
      <c r="AU1772" s="13">
        <f t="shared" si="378"/>
        <v>23</v>
      </c>
      <c r="AV1772" s="14">
        <f t="shared" si="379"/>
        <v>299801</v>
      </c>
      <c r="AW1772" s="14">
        <f t="shared" si="380"/>
        <v>1102998</v>
      </c>
      <c r="AX1772" s="13" t="s">
        <v>1127</v>
      </c>
      <c r="AY1772" s="13">
        <f t="shared" si="385"/>
        <v>1</v>
      </c>
      <c r="AZ1772" s="13" t="s">
        <v>1148</v>
      </c>
      <c r="BA1772" s="14">
        <f t="shared" si="386"/>
        <v>8</v>
      </c>
      <c r="BB1772" s="14" t="str">
        <f t="shared" si="381"/>
        <v>SR守护灵魂珠-1 等级-8</v>
      </c>
      <c r="BC1772" s="25" t="s">
        <v>44</v>
      </c>
      <c r="BD1772" s="14">
        <f t="shared" si="382"/>
        <v>280</v>
      </c>
      <c r="BE1772" s="14">
        <f>SUMIFS(BD$4:BD1772,$AU$4:$AU1772,"="&amp;$AU1772,$AY$4:$AY1772,"="&amp;$AY1772)</f>
        <v>1180</v>
      </c>
      <c r="BF1772" s="25" t="s">
        <v>1157</v>
      </c>
      <c r="BG1772" s="14">
        <f t="shared" si="383"/>
        <v>140</v>
      </c>
      <c r="BH1772" s="14">
        <f>SUMIFS(BG$4:BG1772,AU$4:AU1772,"="&amp;AU1772,AY$4:AY1772,"="&amp;AY1772)</f>
        <v>590</v>
      </c>
      <c r="BI1772" s="25" t="s">
        <v>1158</v>
      </c>
      <c r="BJ1772" s="14">
        <f t="shared" si="384"/>
        <v>5600</v>
      </c>
      <c r="BK1772" s="14">
        <f>SUMIFS(BJ$4:BJ1772,$AU$4:$AU1772,"="&amp;$AU1772,$AY$4:$AY1772,"="&amp;$AY1772)</f>
        <v>23600</v>
      </c>
    </row>
    <row r="1773" spans="46:63" ht="16.5" x14ac:dyDescent="0.2">
      <c r="AT1773" s="13">
        <v>1770</v>
      </c>
      <c r="AU1773" s="13">
        <f t="shared" si="378"/>
        <v>23</v>
      </c>
      <c r="AV1773" s="14">
        <f t="shared" si="379"/>
        <v>299801</v>
      </c>
      <c r="AW1773" s="14">
        <f t="shared" si="380"/>
        <v>1102998</v>
      </c>
      <c r="AX1773" s="13" t="s">
        <v>1127</v>
      </c>
      <c r="AY1773" s="13">
        <f t="shared" si="385"/>
        <v>1</v>
      </c>
      <c r="AZ1773" s="13" t="s">
        <v>1148</v>
      </c>
      <c r="BA1773" s="14">
        <f t="shared" si="386"/>
        <v>9</v>
      </c>
      <c r="BB1773" s="14" t="str">
        <f t="shared" si="381"/>
        <v>SR守护灵魂珠-1 等级-9</v>
      </c>
      <c r="BC1773" s="25" t="s">
        <v>44</v>
      </c>
      <c r="BD1773" s="14">
        <f t="shared" si="382"/>
        <v>320</v>
      </c>
      <c r="BE1773" s="14">
        <f>SUMIFS(BD$4:BD1773,$AU$4:$AU1773,"="&amp;$AU1773,$AY$4:$AY1773,"="&amp;$AY1773)</f>
        <v>1500</v>
      </c>
      <c r="BF1773" s="25" t="s">
        <v>1157</v>
      </c>
      <c r="BG1773" s="14">
        <f t="shared" si="383"/>
        <v>160</v>
      </c>
      <c r="BH1773" s="14">
        <f>SUMIFS(BG$4:BG1773,AU$4:AU1773,"="&amp;AU1773,AY$4:AY1773,"="&amp;AY1773)</f>
        <v>750</v>
      </c>
      <c r="BI1773" s="25" t="s">
        <v>1158</v>
      </c>
      <c r="BJ1773" s="14">
        <f t="shared" si="384"/>
        <v>6400</v>
      </c>
      <c r="BK1773" s="14">
        <f>SUMIFS(BJ$4:BJ1773,$AU$4:$AU1773,"="&amp;$AU1773,$AY$4:$AY1773,"="&amp;$AY1773)</f>
        <v>30000</v>
      </c>
    </row>
    <row r="1774" spans="46:63" ht="16.5" x14ac:dyDescent="0.2">
      <c r="AT1774" s="13">
        <v>1771</v>
      </c>
      <c r="AU1774" s="13">
        <f t="shared" si="378"/>
        <v>23</v>
      </c>
      <c r="AV1774" s="14">
        <f t="shared" si="379"/>
        <v>299802</v>
      </c>
      <c r="AW1774" s="14">
        <f t="shared" si="380"/>
        <v>1102998</v>
      </c>
      <c r="AX1774" s="13" t="s">
        <v>1127</v>
      </c>
      <c r="AY1774" s="13">
        <f t="shared" si="385"/>
        <v>2</v>
      </c>
      <c r="AZ1774" s="13" t="s">
        <v>1148</v>
      </c>
      <c r="BA1774" s="14">
        <f t="shared" si="386"/>
        <v>0</v>
      </c>
      <c r="BB1774" s="14" t="str">
        <f t="shared" si="381"/>
        <v>SR守护灵魂珠-2 等级-0</v>
      </c>
      <c r="BC1774" s="25" t="s">
        <v>44</v>
      </c>
      <c r="BD1774" s="14">
        <f t="shared" si="382"/>
        <v>0</v>
      </c>
      <c r="BE1774" s="14">
        <f>SUMIFS(BD$4:BD1774,$AU$4:$AU1774,"="&amp;$AU1774,$AY$4:$AY1774,"="&amp;$AY1774)</f>
        <v>0</v>
      </c>
      <c r="BF1774" s="25" t="s">
        <v>1157</v>
      </c>
      <c r="BG1774" s="14">
        <f t="shared" si="383"/>
        <v>0</v>
      </c>
      <c r="BH1774" s="14">
        <f>SUMIFS(BG$4:BG1774,AU$4:AU1774,"="&amp;AU1774,AY$4:AY1774,"="&amp;AY1774)</f>
        <v>0</v>
      </c>
      <c r="BI1774" s="25" t="s">
        <v>1158</v>
      </c>
      <c r="BJ1774" s="14">
        <f t="shared" si="384"/>
        <v>0</v>
      </c>
      <c r="BK1774" s="14">
        <f>SUMIFS(BJ$4:BJ1774,$AU$4:$AU1774,"="&amp;$AU1774,$AY$4:$AY1774,"="&amp;$AY1774)</f>
        <v>0</v>
      </c>
    </row>
    <row r="1775" spans="46:63" ht="16.5" x14ac:dyDescent="0.2">
      <c r="AT1775" s="13">
        <v>1772</v>
      </c>
      <c r="AU1775" s="13">
        <f t="shared" si="378"/>
        <v>23</v>
      </c>
      <c r="AV1775" s="14">
        <f t="shared" si="379"/>
        <v>299802</v>
      </c>
      <c r="AW1775" s="14">
        <f t="shared" si="380"/>
        <v>1102998</v>
      </c>
      <c r="AX1775" s="13" t="s">
        <v>1127</v>
      </c>
      <c r="AY1775" s="13">
        <f t="shared" si="385"/>
        <v>2</v>
      </c>
      <c r="AZ1775" s="13" t="s">
        <v>1148</v>
      </c>
      <c r="BA1775" s="14">
        <f t="shared" si="386"/>
        <v>1</v>
      </c>
      <c r="BB1775" s="14" t="str">
        <f t="shared" si="381"/>
        <v>SR守护灵魂珠-2 等级-1</v>
      </c>
      <c r="BC1775" s="25" t="s">
        <v>44</v>
      </c>
      <c r="BD1775" s="14">
        <f t="shared" si="382"/>
        <v>50</v>
      </c>
      <c r="BE1775" s="14">
        <f>SUMIFS(BD$4:BD1775,$AU$4:$AU1775,"="&amp;$AU1775,$AY$4:$AY1775,"="&amp;$AY1775)</f>
        <v>50</v>
      </c>
      <c r="BF1775" s="25" t="s">
        <v>1157</v>
      </c>
      <c r="BG1775" s="14">
        <f t="shared" si="383"/>
        <v>25</v>
      </c>
      <c r="BH1775" s="14">
        <f>SUMIFS(BG$4:BG1775,AU$4:AU1775,"="&amp;AU1775,AY$4:AY1775,"="&amp;AY1775)</f>
        <v>25</v>
      </c>
      <c r="BI1775" s="25" t="s">
        <v>1158</v>
      </c>
      <c r="BJ1775" s="14">
        <f t="shared" si="384"/>
        <v>1000</v>
      </c>
      <c r="BK1775" s="14">
        <f>SUMIFS(BJ$4:BJ1775,$AU$4:$AU1775,"="&amp;$AU1775,$AY$4:$AY1775,"="&amp;$AY1775)</f>
        <v>1000</v>
      </c>
    </row>
    <row r="1776" spans="46:63" ht="16.5" x14ac:dyDescent="0.2">
      <c r="AT1776" s="13">
        <v>1773</v>
      </c>
      <c r="AU1776" s="13">
        <f t="shared" si="378"/>
        <v>23</v>
      </c>
      <c r="AV1776" s="14">
        <f t="shared" si="379"/>
        <v>299802</v>
      </c>
      <c r="AW1776" s="14">
        <f t="shared" si="380"/>
        <v>1102998</v>
      </c>
      <c r="AX1776" s="13" t="s">
        <v>1127</v>
      </c>
      <c r="AY1776" s="13">
        <f t="shared" si="385"/>
        <v>2</v>
      </c>
      <c r="AZ1776" s="13" t="s">
        <v>1148</v>
      </c>
      <c r="BA1776" s="14">
        <f t="shared" si="386"/>
        <v>2</v>
      </c>
      <c r="BB1776" s="14" t="str">
        <f t="shared" si="381"/>
        <v>SR守护灵魂珠-2 等级-2</v>
      </c>
      <c r="BC1776" s="25" t="s">
        <v>44</v>
      </c>
      <c r="BD1776" s="14">
        <f t="shared" si="382"/>
        <v>80</v>
      </c>
      <c r="BE1776" s="14">
        <f>SUMIFS(BD$4:BD1776,$AU$4:$AU1776,"="&amp;$AU1776,$AY$4:$AY1776,"="&amp;$AY1776)</f>
        <v>130</v>
      </c>
      <c r="BF1776" s="25" t="s">
        <v>1157</v>
      </c>
      <c r="BG1776" s="14">
        <f t="shared" si="383"/>
        <v>40</v>
      </c>
      <c r="BH1776" s="14">
        <f>SUMIFS(BG$4:BG1776,AU$4:AU1776,"="&amp;AU1776,AY$4:AY1776,"="&amp;AY1776)</f>
        <v>65</v>
      </c>
      <c r="BI1776" s="25" t="s">
        <v>1158</v>
      </c>
      <c r="BJ1776" s="14">
        <f t="shared" si="384"/>
        <v>1600</v>
      </c>
      <c r="BK1776" s="14">
        <f>SUMIFS(BJ$4:BJ1776,$AU$4:$AU1776,"="&amp;$AU1776,$AY$4:$AY1776,"="&amp;$AY1776)</f>
        <v>2600</v>
      </c>
    </row>
    <row r="1777" spans="46:63" ht="16.5" x14ac:dyDescent="0.2">
      <c r="AT1777" s="13">
        <v>1774</v>
      </c>
      <c r="AU1777" s="13">
        <f t="shared" si="378"/>
        <v>23</v>
      </c>
      <c r="AV1777" s="14">
        <f t="shared" si="379"/>
        <v>299802</v>
      </c>
      <c r="AW1777" s="14">
        <f t="shared" si="380"/>
        <v>1102998</v>
      </c>
      <c r="AX1777" s="13" t="s">
        <v>1127</v>
      </c>
      <c r="AY1777" s="13">
        <f t="shared" si="385"/>
        <v>2</v>
      </c>
      <c r="AZ1777" s="13" t="s">
        <v>1148</v>
      </c>
      <c r="BA1777" s="14">
        <f t="shared" si="386"/>
        <v>3</v>
      </c>
      <c r="BB1777" s="14" t="str">
        <f t="shared" si="381"/>
        <v>SR守护灵魂珠-2 等级-3</v>
      </c>
      <c r="BC1777" s="25" t="s">
        <v>44</v>
      </c>
      <c r="BD1777" s="14">
        <f t="shared" si="382"/>
        <v>100</v>
      </c>
      <c r="BE1777" s="14">
        <f>SUMIFS(BD$4:BD1777,$AU$4:$AU1777,"="&amp;$AU1777,$AY$4:$AY1777,"="&amp;$AY1777)</f>
        <v>230</v>
      </c>
      <c r="BF1777" s="25" t="s">
        <v>1157</v>
      </c>
      <c r="BG1777" s="14">
        <f t="shared" si="383"/>
        <v>50</v>
      </c>
      <c r="BH1777" s="14">
        <f>SUMIFS(BG$4:BG1777,AU$4:AU1777,"="&amp;AU1777,AY$4:AY1777,"="&amp;AY1777)</f>
        <v>115</v>
      </c>
      <c r="BI1777" s="25" t="s">
        <v>1158</v>
      </c>
      <c r="BJ1777" s="14">
        <f t="shared" si="384"/>
        <v>2000</v>
      </c>
      <c r="BK1777" s="14">
        <f>SUMIFS(BJ$4:BJ1777,$AU$4:$AU1777,"="&amp;$AU1777,$AY$4:$AY1777,"="&amp;$AY1777)</f>
        <v>4600</v>
      </c>
    </row>
    <row r="1778" spans="46:63" ht="16.5" x14ac:dyDescent="0.2">
      <c r="AT1778" s="13">
        <v>1775</v>
      </c>
      <c r="AU1778" s="13">
        <f t="shared" si="378"/>
        <v>23</v>
      </c>
      <c r="AV1778" s="14">
        <f t="shared" si="379"/>
        <v>299802</v>
      </c>
      <c r="AW1778" s="14">
        <f t="shared" si="380"/>
        <v>1102998</v>
      </c>
      <c r="AX1778" s="13" t="s">
        <v>1127</v>
      </c>
      <c r="AY1778" s="13">
        <f t="shared" si="385"/>
        <v>2</v>
      </c>
      <c r="AZ1778" s="13" t="s">
        <v>1148</v>
      </c>
      <c r="BA1778" s="14">
        <f t="shared" si="386"/>
        <v>4</v>
      </c>
      <c r="BB1778" s="14" t="str">
        <f t="shared" si="381"/>
        <v>SR守护灵魂珠-2 等级-4</v>
      </c>
      <c r="BC1778" s="25" t="s">
        <v>44</v>
      </c>
      <c r="BD1778" s="14">
        <f t="shared" si="382"/>
        <v>160</v>
      </c>
      <c r="BE1778" s="14">
        <f>SUMIFS(BD$4:BD1778,$AU$4:$AU1778,"="&amp;$AU1778,$AY$4:$AY1778,"="&amp;$AY1778)</f>
        <v>390</v>
      </c>
      <c r="BF1778" s="25" t="s">
        <v>1157</v>
      </c>
      <c r="BG1778" s="14">
        <f t="shared" si="383"/>
        <v>80</v>
      </c>
      <c r="BH1778" s="14">
        <f>SUMIFS(BG$4:BG1778,AU$4:AU1778,"="&amp;AU1778,AY$4:AY1778,"="&amp;AY1778)</f>
        <v>195</v>
      </c>
      <c r="BI1778" s="25" t="s">
        <v>1158</v>
      </c>
      <c r="BJ1778" s="14">
        <f t="shared" si="384"/>
        <v>3200</v>
      </c>
      <c r="BK1778" s="14">
        <f>SUMIFS(BJ$4:BJ1778,$AU$4:$AU1778,"="&amp;$AU1778,$AY$4:$AY1778,"="&amp;$AY1778)</f>
        <v>7800</v>
      </c>
    </row>
    <row r="1779" spans="46:63" ht="16.5" x14ac:dyDescent="0.2">
      <c r="AT1779" s="13">
        <v>1776</v>
      </c>
      <c r="AU1779" s="13">
        <f t="shared" si="378"/>
        <v>23</v>
      </c>
      <c r="AV1779" s="14">
        <f t="shared" si="379"/>
        <v>299802</v>
      </c>
      <c r="AW1779" s="14">
        <f t="shared" si="380"/>
        <v>1102998</v>
      </c>
      <c r="AX1779" s="13" t="s">
        <v>1127</v>
      </c>
      <c r="AY1779" s="13">
        <f t="shared" si="385"/>
        <v>2</v>
      </c>
      <c r="AZ1779" s="13" t="s">
        <v>1148</v>
      </c>
      <c r="BA1779" s="14">
        <f t="shared" si="386"/>
        <v>5</v>
      </c>
      <c r="BB1779" s="14" t="str">
        <f t="shared" si="381"/>
        <v>SR守护灵魂珠-2 等级-5</v>
      </c>
      <c r="BC1779" s="25" t="s">
        <v>44</v>
      </c>
      <c r="BD1779" s="14">
        <f t="shared" si="382"/>
        <v>220</v>
      </c>
      <c r="BE1779" s="14">
        <f>SUMIFS(BD$4:BD1779,$AU$4:$AU1779,"="&amp;$AU1779,$AY$4:$AY1779,"="&amp;$AY1779)</f>
        <v>610</v>
      </c>
      <c r="BF1779" s="25" t="s">
        <v>1157</v>
      </c>
      <c r="BG1779" s="14">
        <f t="shared" si="383"/>
        <v>110</v>
      </c>
      <c r="BH1779" s="14">
        <f>SUMIFS(BG$4:BG1779,AU$4:AU1779,"="&amp;AU1779,AY$4:AY1779,"="&amp;AY1779)</f>
        <v>305</v>
      </c>
      <c r="BI1779" s="25" t="s">
        <v>1158</v>
      </c>
      <c r="BJ1779" s="14">
        <f t="shared" si="384"/>
        <v>4400</v>
      </c>
      <c r="BK1779" s="14">
        <f>SUMIFS(BJ$4:BJ1779,$AU$4:$AU1779,"="&amp;$AU1779,$AY$4:$AY1779,"="&amp;$AY1779)</f>
        <v>12200</v>
      </c>
    </row>
    <row r="1780" spans="46:63" ht="16.5" x14ac:dyDescent="0.2">
      <c r="AT1780" s="13">
        <v>1777</v>
      </c>
      <c r="AU1780" s="13">
        <f t="shared" si="378"/>
        <v>23</v>
      </c>
      <c r="AV1780" s="14">
        <f t="shared" si="379"/>
        <v>299802</v>
      </c>
      <c r="AW1780" s="14">
        <f t="shared" si="380"/>
        <v>1102998</v>
      </c>
      <c r="AX1780" s="13" t="s">
        <v>1127</v>
      </c>
      <c r="AY1780" s="13">
        <f t="shared" si="385"/>
        <v>2</v>
      </c>
      <c r="AZ1780" s="13" t="s">
        <v>1148</v>
      </c>
      <c r="BA1780" s="14">
        <f t="shared" si="386"/>
        <v>6</v>
      </c>
      <c r="BB1780" s="14" t="str">
        <f t="shared" si="381"/>
        <v>SR守护灵魂珠-2 等级-6</v>
      </c>
      <c r="BC1780" s="25" t="s">
        <v>44</v>
      </c>
      <c r="BD1780" s="14">
        <f t="shared" si="382"/>
        <v>280</v>
      </c>
      <c r="BE1780" s="14">
        <f>SUMIFS(BD$4:BD1780,$AU$4:$AU1780,"="&amp;$AU1780,$AY$4:$AY1780,"="&amp;$AY1780)</f>
        <v>890</v>
      </c>
      <c r="BF1780" s="25" t="s">
        <v>1157</v>
      </c>
      <c r="BG1780" s="14">
        <f t="shared" si="383"/>
        <v>140</v>
      </c>
      <c r="BH1780" s="14">
        <f>SUMIFS(BG$4:BG1780,AU$4:AU1780,"="&amp;AU1780,AY$4:AY1780,"="&amp;AY1780)</f>
        <v>445</v>
      </c>
      <c r="BI1780" s="25" t="s">
        <v>1158</v>
      </c>
      <c r="BJ1780" s="14">
        <f t="shared" si="384"/>
        <v>5600</v>
      </c>
      <c r="BK1780" s="14">
        <f>SUMIFS(BJ$4:BJ1780,$AU$4:$AU1780,"="&amp;$AU1780,$AY$4:$AY1780,"="&amp;$AY1780)</f>
        <v>17800</v>
      </c>
    </row>
    <row r="1781" spans="46:63" ht="16.5" x14ac:dyDescent="0.2">
      <c r="AT1781" s="13">
        <v>1778</v>
      </c>
      <c r="AU1781" s="13">
        <f t="shared" si="378"/>
        <v>23</v>
      </c>
      <c r="AV1781" s="14">
        <f t="shared" si="379"/>
        <v>299802</v>
      </c>
      <c r="AW1781" s="14">
        <f t="shared" si="380"/>
        <v>1102998</v>
      </c>
      <c r="AX1781" s="13" t="s">
        <v>1127</v>
      </c>
      <c r="AY1781" s="13">
        <f t="shared" si="385"/>
        <v>2</v>
      </c>
      <c r="AZ1781" s="13" t="s">
        <v>1148</v>
      </c>
      <c r="BA1781" s="14">
        <f t="shared" si="386"/>
        <v>7</v>
      </c>
      <c r="BB1781" s="14" t="str">
        <f t="shared" si="381"/>
        <v>SR守护灵魂珠-2 等级-7</v>
      </c>
      <c r="BC1781" s="25" t="s">
        <v>44</v>
      </c>
      <c r="BD1781" s="14">
        <f t="shared" si="382"/>
        <v>320</v>
      </c>
      <c r="BE1781" s="14">
        <f>SUMIFS(BD$4:BD1781,$AU$4:$AU1781,"="&amp;$AU1781,$AY$4:$AY1781,"="&amp;$AY1781)</f>
        <v>1210</v>
      </c>
      <c r="BF1781" s="25" t="s">
        <v>1157</v>
      </c>
      <c r="BG1781" s="14">
        <f t="shared" si="383"/>
        <v>160</v>
      </c>
      <c r="BH1781" s="14">
        <f>SUMIFS(BG$4:BG1781,AU$4:AU1781,"="&amp;AU1781,AY$4:AY1781,"="&amp;AY1781)</f>
        <v>605</v>
      </c>
      <c r="BI1781" s="25" t="s">
        <v>1158</v>
      </c>
      <c r="BJ1781" s="14">
        <f t="shared" si="384"/>
        <v>6400</v>
      </c>
      <c r="BK1781" s="14">
        <f>SUMIFS(BJ$4:BJ1781,$AU$4:$AU1781,"="&amp;$AU1781,$AY$4:$AY1781,"="&amp;$AY1781)</f>
        <v>24200</v>
      </c>
    </row>
    <row r="1782" spans="46:63" ht="16.5" x14ac:dyDescent="0.2">
      <c r="AT1782" s="13">
        <v>1779</v>
      </c>
      <c r="AU1782" s="13">
        <f t="shared" si="378"/>
        <v>23</v>
      </c>
      <c r="AV1782" s="14">
        <f t="shared" si="379"/>
        <v>299802</v>
      </c>
      <c r="AW1782" s="14">
        <f t="shared" si="380"/>
        <v>1102998</v>
      </c>
      <c r="AX1782" s="13" t="s">
        <v>1127</v>
      </c>
      <c r="AY1782" s="13">
        <f t="shared" si="385"/>
        <v>2</v>
      </c>
      <c r="AZ1782" s="13" t="s">
        <v>1148</v>
      </c>
      <c r="BA1782" s="14">
        <f t="shared" si="386"/>
        <v>8</v>
      </c>
      <c r="BB1782" s="14" t="str">
        <f t="shared" si="381"/>
        <v>SR守护灵魂珠-2 等级-8</v>
      </c>
      <c r="BC1782" s="25" t="s">
        <v>44</v>
      </c>
      <c r="BD1782" s="14">
        <f t="shared" si="382"/>
        <v>380</v>
      </c>
      <c r="BE1782" s="14">
        <f>SUMIFS(BD$4:BD1782,$AU$4:$AU1782,"="&amp;$AU1782,$AY$4:$AY1782,"="&amp;$AY1782)</f>
        <v>1590</v>
      </c>
      <c r="BF1782" s="25" t="s">
        <v>1157</v>
      </c>
      <c r="BG1782" s="14">
        <f t="shared" si="383"/>
        <v>190</v>
      </c>
      <c r="BH1782" s="14">
        <f>SUMIFS(BG$4:BG1782,AU$4:AU1782,"="&amp;AU1782,AY$4:AY1782,"="&amp;AY1782)</f>
        <v>795</v>
      </c>
      <c r="BI1782" s="25" t="s">
        <v>1158</v>
      </c>
      <c r="BJ1782" s="14">
        <f t="shared" si="384"/>
        <v>7600</v>
      </c>
      <c r="BK1782" s="14">
        <f>SUMIFS(BJ$4:BJ1782,$AU$4:$AU1782,"="&amp;$AU1782,$AY$4:$AY1782,"="&amp;$AY1782)</f>
        <v>31800</v>
      </c>
    </row>
    <row r="1783" spans="46:63" ht="16.5" x14ac:dyDescent="0.2">
      <c r="AT1783" s="13">
        <v>1780</v>
      </c>
      <c r="AU1783" s="13">
        <f t="shared" si="378"/>
        <v>23</v>
      </c>
      <c r="AV1783" s="14">
        <f t="shared" si="379"/>
        <v>299802</v>
      </c>
      <c r="AW1783" s="14">
        <f t="shared" si="380"/>
        <v>1102998</v>
      </c>
      <c r="AX1783" s="13" t="s">
        <v>1127</v>
      </c>
      <c r="AY1783" s="13">
        <f t="shared" si="385"/>
        <v>2</v>
      </c>
      <c r="AZ1783" s="13" t="s">
        <v>1148</v>
      </c>
      <c r="BA1783" s="14">
        <f t="shared" si="386"/>
        <v>9</v>
      </c>
      <c r="BB1783" s="14" t="str">
        <f t="shared" si="381"/>
        <v>SR守护灵魂珠-2 等级-9</v>
      </c>
      <c r="BC1783" s="25" t="s">
        <v>44</v>
      </c>
      <c r="BD1783" s="14">
        <f t="shared" si="382"/>
        <v>450</v>
      </c>
      <c r="BE1783" s="14">
        <f>SUMIFS(BD$4:BD1783,$AU$4:$AU1783,"="&amp;$AU1783,$AY$4:$AY1783,"="&amp;$AY1783)</f>
        <v>2040</v>
      </c>
      <c r="BF1783" s="25" t="s">
        <v>1157</v>
      </c>
      <c r="BG1783" s="14">
        <f t="shared" si="383"/>
        <v>225</v>
      </c>
      <c r="BH1783" s="14">
        <f>SUMIFS(BG$4:BG1783,AU$4:AU1783,"="&amp;AU1783,AY$4:AY1783,"="&amp;AY1783)</f>
        <v>1020</v>
      </c>
      <c r="BI1783" s="25" t="s">
        <v>1158</v>
      </c>
      <c r="BJ1783" s="14">
        <f t="shared" si="384"/>
        <v>9000</v>
      </c>
      <c r="BK1783" s="14">
        <f>SUMIFS(BJ$4:BJ1783,$AU$4:$AU1783,"="&amp;$AU1783,$AY$4:$AY1783,"="&amp;$AY1783)</f>
        <v>40800</v>
      </c>
    </row>
    <row r="1784" spans="46:63" ht="16.5" x14ac:dyDescent="0.2">
      <c r="AT1784" s="13">
        <v>1781</v>
      </c>
      <c r="AU1784" s="13">
        <f t="shared" si="378"/>
        <v>23</v>
      </c>
      <c r="AV1784" s="14">
        <f t="shared" si="379"/>
        <v>299803</v>
      </c>
      <c r="AW1784" s="14">
        <f t="shared" si="380"/>
        <v>1102998</v>
      </c>
      <c r="AX1784" s="13" t="s">
        <v>1127</v>
      </c>
      <c r="AY1784" s="13">
        <f t="shared" si="385"/>
        <v>3</v>
      </c>
      <c r="AZ1784" s="13" t="s">
        <v>1148</v>
      </c>
      <c r="BA1784" s="14">
        <f t="shared" si="386"/>
        <v>0</v>
      </c>
      <c r="BB1784" s="14" t="str">
        <f t="shared" si="381"/>
        <v>SR守护灵魂珠-3 等级-0</v>
      </c>
      <c r="BC1784" s="25" t="s">
        <v>44</v>
      </c>
      <c r="BD1784" s="14">
        <f t="shared" si="382"/>
        <v>0</v>
      </c>
      <c r="BE1784" s="14">
        <f>SUMIFS(BD$4:BD1784,$AU$4:$AU1784,"="&amp;$AU1784,$AY$4:$AY1784,"="&amp;$AY1784)</f>
        <v>0</v>
      </c>
      <c r="BF1784" s="25" t="s">
        <v>1157</v>
      </c>
      <c r="BG1784" s="14">
        <f t="shared" si="383"/>
        <v>0</v>
      </c>
      <c r="BH1784" s="14">
        <f>SUMIFS(BG$4:BG1784,AU$4:AU1784,"="&amp;AU1784,AY$4:AY1784,"="&amp;AY1784)</f>
        <v>0</v>
      </c>
      <c r="BI1784" s="25" t="s">
        <v>1158</v>
      </c>
      <c r="BJ1784" s="14">
        <f t="shared" si="384"/>
        <v>0</v>
      </c>
      <c r="BK1784" s="14">
        <f>SUMIFS(BJ$4:BJ1784,$AU$4:$AU1784,"="&amp;$AU1784,$AY$4:$AY1784,"="&amp;$AY1784)</f>
        <v>0</v>
      </c>
    </row>
    <row r="1785" spans="46:63" ht="16.5" x14ac:dyDescent="0.2">
      <c r="AT1785" s="13">
        <v>1782</v>
      </c>
      <c r="AU1785" s="13">
        <f t="shared" si="378"/>
        <v>23</v>
      </c>
      <c r="AV1785" s="14">
        <f t="shared" si="379"/>
        <v>299803</v>
      </c>
      <c r="AW1785" s="14">
        <f t="shared" si="380"/>
        <v>1102998</v>
      </c>
      <c r="AX1785" s="13" t="s">
        <v>1127</v>
      </c>
      <c r="AY1785" s="13">
        <f t="shared" si="385"/>
        <v>3</v>
      </c>
      <c r="AZ1785" s="13" t="s">
        <v>1148</v>
      </c>
      <c r="BA1785" s="14">
        <f t="shared" si="386"/>
        <v>1</v>
      </c>
      <c r="BB1785" s="14" t="str">
        <f t="shared" si="381"/>
        <v>SR守护灵魂珠-3 等级-1</v>
      </c>
      <c r="BC1785" s="25" t="s">
        <v>44</v>
      </c>
      <c r="BD1785" s="14">
        <f t="shared" si="382"/>
        <v>80</v>
      </c>
      <c r="BE1785" s="14">
        <f>SUMIFS(BD$4:BD1785,$AU$4:$AU1785,"="&amp;$AU1785,$AY$4:$AY1785,"="&amp;$AY1785)</f>
        <v>80</v>
      </c>
      <c r="BF1785" s="25" t="s">
        <v>1157</v>
      </c>
      <c r="BG1785" s="14">
        <f t="shared" si="383"/>
        <v>40</v>
      </c>
      <c r="BH1785" s="14">
        <f>SUMIFS(BG$4:BG1785,AU$4:AU1785,"="&amp;AU1785,AY$4:AY1785,"="&amp;AY1785)</f>
        <v>40</v>
      </c>
      <c r="BI1785" s="25" t="s">
        <v>1158</v>
      </c>
      <c r="BJ1785" s="14">
        <f t="shared" si="384"/>
        <v>1600</v>
      </c>
      <c r="BK1785" s="14">
        <f>SUMIFS(BJ$4:BJ1785,$AU$4:$AU1785,"="&amp;$AU1785,$AY$4:$AY1785,"="&amp;$AY1785)</f>
        <v>1600</v>
      </c>
    </row>
    <row r="1786" spans="46:63" ht="16.5" x14ac:dyDescent="0.2">
      <c r="AT1786" s="13">
        <v>1783</v>
      </c>
      <c r="AU1786" s="13">
        <f t="shared" si="378"/>
        <v>23</v>
      </c>
      <c r="AV1786" s="14">
        <f t="shared" si="379"/>
        <v>299803</v>
      </c>
      <c r="AW1786" s="14">
        <f t="shared" si="380"/>
        <v>1102998</v>
      </c>
      <c r="AX1786" s="13" t="s">
        <v>1127</v>
      </c>
      <c r="AY1786" s="13">
        <f t="shared" si="385"/>
        <v>3</v>
      </c>
      <c r="AZ1786" s="13" t="s">
        <v>1148</v>
      </c>
      <c r="BA1786" s="14">
        <f t="shared" si="386"/>
        <v>2</v>
      </c>
      <c r="BB1786" s="14" t="str">
        <f t="shared" si="381"/>
        <v>SR守护灵魂珠-3 等级-2</v>
      </c>
      <c r="BC1786" s="25" t="s">
        <v>44</v>
      </c>
      <c r="BD1786" s="14">
        <f t="shared" si="382"/>
        <v>120</v>
      </c>
      <c r="BE1786" s="14">
        <f>SUMIFS(BD$4:BD1786,$AU$4:$AU1786,"="&amp;$AU1786,$AY$4:$AY1786,"="&amp;$AY1786)</f>
        <v>200</v>
      </c>
      <c r="BF1786" s="25" t="s">
        <v>1157</v>
      </c>
      <c r="BG1786" s="14">
        <f t="shared" si="383"/>
        <v>60</v>
      </c>
      <c r="BH1786" s="14">
        <f>SUMIFS(BG$4:BG1786,AU$4:AU1786,"="&amp;AU1786,AY$4:AY1786,"="&amp;AY1786)</f>
        <v>100</v>
      </c>
      <c r="BI1786" s="25" t="s">
        <v>1158</v>
      </c>
      <c r="BJ1786" s="14">
        <f t="shared" si="384"/>
        <v>2400</v>
      </c>
      <c r="BK1786" s="14">
        <f>SUMIFS(BJ$4:BJ1786,$AU$4:$AU1786,"="&amp;$AU1786,$AY$4:$AY1786,"="&amp;$AY1786)</f>
        <v>4000</v>
      </c>
    </row>
    <row r="1787" spans="46:63" ht="16.5" x14ac:dyDescent="0.2">
      <c r="AT1787" s="13">
        <v>1784</v>
      </c>
      <c r="AU1787" s="13">
        <f t="shared" si="378"/>
        <v>23</v>
      </c>
      <c r="AV1787" s="14">
        <f t="shared" si="379"/>
        <v>299803</v>
      </c>
      <c r="AW1787" s="14">
        <f t="shared" si="380"/>
        <v>1102998</v>
      </c>
      <c r="AX1787" s="13" t="s">
        <v>1127</v>
      </c>
      <c r="AY1787" s="13">
        <f t="shared" si="385"/>
        <v>3</v>
      </c>
      <c r="AZ1787" s="13" t="s">
        <v>1148</v>
      </c>
      <c r="BA1787" s="14">
        <f t="shared" si="386"/>
        <v>3</v>
      </c>
      <c r="BB1787" s="14" t="str">
        <f t="shared" si="381"/>
        <v>SR守护灵魂珠-3 等级-3</v>
      </c>
      <c r="BC1787" s="25" t="s">
        <v>44</v>
      </c>
      <c r="BD1787" s="14">
        <f t="shared" si="382"/>
        <v>160</v>
      </c>
      <c r="BE1787" s="14">
        <f>SUMIFS(BD$4:BD1787,$AU$4:$AU1787,"="&amp;$AU1787,$AY$4:$AY1787,"="&amp;$AY1787)</f>
        <v>360</v>
      </c>
      <c r="BF1787" s="25" t="s">
        <v>1157</v>
      </c>
      <c r="BG1787" s="14">
        <f t="shared" si="383"/>
        <v>80</v>
      </c>
      <c r="BH1787" s="14">
        <f>SUMIFS(BG$4:BG1787,AU$4:AU1787,"="&amp;AU1787,AY$4:AY1787,"="&amp;AY1787)</f>
        <v>180</v>
      </c>
      <c r="BI1787" s="25" t="s">
        <v>1158</v>
      </c>
      <c r="BJ1787" s="14">
        <f t="shared" si="384"/>
        <v>3200</v>
      </c>
      <c r="BK1787" s="14">
        <f>SUMIFS(BJ$4:BJ1787,$AU$4:$AU1787,"="&amp;$AU1787,$AY$4:$AY1787,"="&amp;$AY1787)</f>
        <v>7200</v>
      </c>
    </row>
    <row r="1788" spans="46:63" ht="16.5" x14ac:dyDescent="0.2">
      <c r="AT1788" s="13">
        <v>1785</v>
      </c>
      <c r="AU1788" s="13">
        <f t="shared" si="378"/>
        <v>23</v>
      </c>
      <c r="AV1788" s="14">
        <f t="shared" si="379"/>
        <v>299803</v>
      </c>
      <c r="AW1788" s="14">
        <f t="shared" si="380"/>
        <v>1102998</v>
      </c>
      <c r="AX1788" s="13" t="s">
        <v>1127</v>
      </c>
      <c r="AY1788" s="13">
        <f t="shared" si="385"/>
        <v>3</v>
      </c>
      <c r="AZ1788" s="13" t="s">
        <v>1148</v>
      </c>
      <c r="BA1788" s="14">
        <f t="shared" si="386"/>
        <v>4</v>
      </c>
      <c r="BB1788" s="14" t="str">
        <f t="shared" si="381"/>
        <v>SR守护灵魂珠-3 等级-4</v>
      </c>
      <c r="BC1788" s="25" t="s">
        <v>44</v>
      </c>
      <c r="BD1788" s="14">
        <f t="shared" si="382"/>
        <v>240</v>
      </c>
      <c r="BE1788" s="14">
        <f>SUMIFS(BD$4:BD1788,$AU$4:$AU1788,"="&amp;$AU1788,$AY$4:$AY1788,"="&amp;$AY1788)</f>
        <v>600</v>
      </c>
      <c r="BF1788" s="25" t="s">
        <v>1157</v>
      </c>
      <c r="BG1788" s="14">
        <f t="shared" si="383"/>
        <v>120</v>
      </c>
      <c r="BH1788" s="14">
        <f>SUMIFS(BG$4:BG1788,AU$4:AU1788,"="&amp;AU1788,AY$4:AY1788,"="&amp;AY1788)</f>
        <v>300</v>
      </c>
      <c r="BI1788" s="25" t="s">
        <v>1158</v>
      </c>
      <c r="BJ1788" s="14">
        <f t="shared" si="384"/>
        <v>4800</v>
      </c>
      <c r="BK1788" s="14">
        <f>SUMIFS(BJ$4:BJ1788,$AU$4:$AU1788,"="&amp;$AU1788,$AY$4:$AY1788,"="&amp;$AY1788)</f>
        <v>12000</v>
      </c>
    </row>
    <row r="1789" spans="46:63" ht="16.5" x14ac:dyDescent="0.2">
      <c r="AT1789" s="13">
        <v>1786</v>
      </c>
      <c r="AU1789" s="13">
        <f t="shared" si="378"/>
        <v>23</v>
      </c>
      <c r="AV1789" s="14">
        <f t="shared" si="379"/>
        <v>299803</v>
      </c>
      <c r="AW1789" s="14">
        <f t="shared" si="380"/>
        <v>1102998</v>
      </c>
      <c r="AX1789" s="13" t="s">
        <v>1127</v>
      </c>
      <c r="AY1789" s="13">
        <f t="shared" si="385"/>
        <v>3</v>
      </c>
      <c r="AZ1789" s="13" t="s">
        <v>1148</v>
      </c>
      <c r="BA1789" s="14">
        <f t="shared" si="386"/>
        <v>5</v>
      </c>
      <c r="BB1789" s="14" t="str">
        <f t="shared" si="381"/>
        <v>SR守护灵魂珠-3 等级-5</v>
      </c>
      <c r="BC1789" s="25" t="s">
        <v>44</v>
      </c>
      <c r="BD1789" s="14">
        <f t="shared" si="382"/>
        <v>320</v>
      </c>
      <c r="BE1789" s="14">
        <f>SUMIFS(BD$4:BD1789,$AU$4:$AU1789,"="&amp;$AU1789,$AY$4:$AY1789,"="&amp;$AY1789)</f>
        <v>920</v>
      </c>
      <c r="BF1789" s="25" t="s">
        <v>1157</v>
      </c>
      <c r="BG1789" s="14">
        <f t="shared" si="383"/>
        <v>160</v>
      </c>
      <c r="BH1789" s="14">
        <f>SUMIFS(BG$4:BG1789,AU$4:AU1789,"="&amp;AU1789,AY$4:AY1789,"="&amp;AY1789)</f>
        <v>460</v>
      </c>
      <c r="BI1789" s="25" t="s">
        <v>1158</v>
      </c>
      <c r="BJ1789" s="14">
        <f t="shared" si="384"/>
        <v>6400</v>
      </c>
      <c r="BK1789" s="14">
        <f>SUMIFS(BJ$4:BJ1789,$AU$4:$AU1789,"="&amp;$AU1789,$AY$4:$AY1789,"="&amp;$AY1789)</f>
        <v>18400</v>
      </c>
    </row>
    <row r="1790" spans="46:63" ht="16.5" x14ac:dyDescent="0.2">
      <c r="AT1790" s="13">
        <v>1787</v>
      </c>
      <c r="AU1790" s="13">
        <f t="shared" si="378"/>
        <v>23</v>
      </c>
      <c r="AV1790" s="14">
        <f t="shared" si="379"/>
        <v>299803</v>
      </c>
      <c r="AW1790" s="14">
        <f t="shared" si="380"/>
        <v>1102998</v>
      </c>
      <c r="AX1790" s="13" t="s">
        <v>1127</v>
      </c>
      <c r="AY1790" s="13">
        <f t="shared" si="385"/>
        <v>3</v>
      </c>
      <c r="AZ1790" s="13" t="s">
        <v>1148</v>
      </c>
      <c r="BA1790" s="14">
        <f t="shared" si="386"/>
        <v>6</v>
      </c>
      <c r="BB1790" s="14" t="str">
        <f t="shared" si="381"/>
        <v>SR守护灵魂珠-3 等级-6</v>
      </c>
      <c r="BC1790" s="25" t="s">
        <v>44</v>
      </c>
      <c r="BD1790" s="14">
        <f t="shared" si="382"/>
        <v>400</v>
      </c>
      <c r="BE1790" s="14">
        <f>SUMIFS(BD$4:BD1790,$AU$4:$AU1790,"="&amp;$AU1790,$AY$4:$AY1790,"="&amp;$AY1790)</f>
        <v>1320</v>
      </c>
      <c r="BF1790" s="25" t="s">
        <v>1157</v>
      </c>
      <c r="BG1790" s="14">
        <f t="shared" si="383"/>
        <v>200</v>
      </c>
      <c r="BH1790" s="14">
        <f>SUMIFS(BG$4:BG1790,AU$4:AU1790,"="&amp;AU1790,AY$4:AY1790,"="&amp;AY1790)</f>
        <v>660</v>
      </c>
      <c r="BI1790" s="25" t="s">
        <v>1158</v>
      </c>
      <c r="BJ1790" s="14">
        <f t="shared" si="384"/>
        <v>8000</v>
      </c>
      <c r="BK1790" s="14">
        <f>SUMIFS(BJ$4:BJ1790,$AU$4:$AU1790,"="&amp;$AU1790,$AY$4:$AY1790,"="&amp;$AY1790)</f>
        <v>26400</v>
      </c>
    </row>
    <row r="1791" spans="46:63" ht="16.5" x14ac:dyDescent="0.2">
      <c r="AT1791" s="13">
        <v>1788</v>
      </c>
      <c r="AU1791" s="13">
        <f t="shared" si="378"/>
        <v>23</v>
      </c>
      <c r="AV1791" s="14">
        <f t="shared" si="379"/>
        <v>299803</v>
      </c>
      <c r="AW1791" s="14">
        <f t="shared" si="380"/>
        <v>1102998</v>
      </c>
      <c r="AX1791" s="13" t="s">
        <v>1127</v>
      </c>
      <c r="AY1791" s="13">
        <f t="shared" si="385"/>
        <v>3</v>
      </c>
      <c r="AZ1791" s="13" t="s">
        <v>1148</v>
      </c>
      <c r="BA1791" s="14">
        <f t="shared" si="386"/>
        <v>7</v>
      </c>
      <c r="BB1791" s="14" t="str">
        <f t="shared" si="381"/>
        <v>SR守护灵魂珠-3 等级-7</v>
      </c>
      <c r="BC1791" s="25" t="s">
        <v>44</v>
      </c>
      <c r="BD1791" s="14">
        <f t="shared" si="382"/>
        <v>480</v>
      </c>
      <c r="BE1791" s="14">
        <f>SUMIFS(BD$4:BD1791,$AU$4:$AU1791,"="&amp;$AU1791,$AY$4:$AY1791,"="&amp;$AY1791)</f>
        <v>1800</v>
      </c>
      <c r="BF1791" s="25" t="s">
        <v>1157</v>
      </c>
      <c r="BG1791" s="14">
        <f t="shared" si="383"/>
        <v>240</v>
      </c>
      <c r="BH1791" s="14">
        <f>SUMIFS(BG$4:BG1791,AU$4:AU1791,"="&amp;AU1791,AY$4:AY1791,"="&amp;AY1791)</f>
        <v>900</v>
      </c>
      <c r="BI1791" s="25" t="s">
        <v>1158</v>
      </c>
      <c r="BJ1791" s="14">
        <f t="shared" si="384"/>
        <v>9600</v>
      </c>
      <c r="BK1791" s="14">
        <f>SUMIFS(BJ$4:BJ1791,$AU$4:$AU1791,"="&amp;$AU1791,$AY$4:$AY1791,"="&amp;$AY1791)</f>
        <v>36000</v>
      </c>
    </row>
    <row r="1792" spans="46:63" ht="16.5" x14ac:dyDescent="0.2">
      <c r="AT1792" s="13">
        <v>1789</v>
      </c>
      <c r="AU1792" s="13">
        <f t="shared" si="378"/>
        <v>23</v>
      </c>
      <c r="AV1792" s="14">
        <f t="shared" si="379"/>
        <v>299803</v>
      </c>
      <c r="AW1792" s="14">
        <f t="shared" si="380"/>
        <v>1102998</v>
      </c>
      <c r="AX1792" s="13" t="s">
        <v>1127</v>
      </c>
      <c r="AY1792" s="13">
        <f t="shared" si="385"/>
        <v>3</v>
      </c>
      <c r="AZ1792" s="13" t="s">
        <v>1148</v>
      </c>
      <c r="BA1792" s="14">
        <f t="shared" si="386"/>
        <v>8</v>
      </c>
      <c r="BB1792" s="14" t="str">
        <f t="shared" si="381"/>
        <v>SR守护灵魂珠-3 等级-8</v>
      </c>
      <c r="BC1792" s="25" t="s">
        <v>44</v>
      </c>
      <c r="BD1792" s="14">
        <f t="shared" si="382"/>
        <v>560</v>
      </c>
      <c r="BE1792" s="14">
        <f>SUMIFS(BD$4:BD1792,$AU$4:$AU1792,"="&amp;$AU1792,$AY$4:$AY1792,"="&amp;$AY1792)</f>
        <v>2360</v>
      </c>
      <c r="BF1792" s="25" t="s">
        <v>1157</v>
      </c>
      <c r="BG1792" s="14">
        <f t="shared" si="383"/>
        <v>280</v>
      </c>
      <c r="BH1792" s="14">
        <f>SUMIFS(BG$4:BG1792,AU$4:AU1792,"="&amp;AU1792,AY$4:AY1792,"="&amp;AY1792)</f>
        <v>1180</v>
      </c>
      <c r="BI1792" s="25" t="s">
        <v>1158</v>
      </c>
      <c r="BJ1792" s="14">
        <f t="shared" si="384"/>
        <v>11200</v>
      </c>
      <c r="BK1792" s="14">
        <f>SUMIFS(BJ$4:BJ1792,$AU$4:$AU1792,"="&amp;$AU1792,$AY$4:$AY1792,"="&amp;$AY1792)</f>
        <v>47200</v>
      </c>
    </row>
    <row r="1793" spans="46:63" ht="16.5" x14ac:dyDescent="0.2">
      <c r="AT1793" s="13">
        <v>1790</v>
      </c>
      <c r="AU1793" s="13">
        <f t="shared" si="378"/>
        <v>23</v>
      </c>
      <c r="AV1793" s="14">
        <f t="shared" si="379"/>
        <v>299803</v>
      </c>
      <c r="AW1793" s="14">
        <f t="shared" si="380"/>
        <v>1102998</v>
      </c>
      <c r="AX1793" s="13" t="s">
        <v>1127</v>
      </c>
      <c r="AY1793" s="13">
        <f t="shared" si="385"/>
        <v>3</v>
      </c>
      <c r="AZ1793" s="13" t="s">
        <v>1148</v>
      </c>
      <c r="BA1793" s="14">
        <f t="shared" si="386"/>
        <v>9</v>
      </c>
      <c r="BB1793" s="14" t="str">
        <f t="shared" si="381"/>
        <v>SR守护灵魂珠-3 等级-9</v>
      </c>
      <c r="BC1793" s="25" t="s">
        <v>44</v>
      </c>
      <c r="BD1793" s="14">
        <f t="shared" si="382"/>
        <v>640</v>
      </c>
      <c r="BE1793" s="14">
        <f>SUMIFS(BD$4:BD1793,$AU$4:$AU1793,"="&amp;$AU1793,$AY$4:$AY1793,"="&amp;$AY1793)</f>
        <v>3000</v>
      </c>
      <c r="BF1793" s="25" t="s">
        <v>1157</v>
      </c>
      <c r="BG1793" s="14">
        <f t="shared" si="383"/>
        <v>320</v>
      </c>
      <c r="BH1793" s="14">
        <f>SUMIFS(BG$4:BG1793,AU$4:AU1793,"="&amp;AU1793,AY$4:AY1793,"="&amp;AY1793)</f>
        <v>1500</v>
      </c>
      <c r="BI1793" s="25" t="s">
        <v>1158</v>
      </c>
      <c r="BJ1793" s="14">
        <f t="shared" si="384"/>
        <v>12800</v>
      </c>
      <c r="BK1793" s="14">
        <f>SUMIFS(BJ$4:BJ1793,$AU$4:$AU1793,"="&amp;$AU1793,$AY$4:$AY1793,"="&amp;$AY1793)</f>
        <v>60000</v>
      </c>
    </row>
    <row r="1794" spans="46:63" ht="16.5" x14ac:dyDescent="0.2">
      <c r="AT1794" s="13">
        <v>1791</v>
      </c>
      <c r="AU1794" s="13">
        <f t="shared" si="378"/>
        <v>23</v>
      </c>
      <c r="AV1794" s="14">
        <f t="shared" si="379"/>
        <v>299804</v>
      </c>
      <c r="AW1794" s="14">
        <f t="shared" si="380"/>
        <v>1102998</v>
      </c>
      <c r="AX1794" s="13" t="s">
        <v>1127</v>
      </c>
      <c r="AY1794" s="13">
        <f t="shared" si="385"/>
        <v>4</v>
      </c>
      <c r="AZ1794" s="13" t="s">
        <v>1148</v>
      </c>
      <c r="BA1794" s="14">
        <f t="shared" si="386"/>
        <v>0</v>
      </c>
      <c r="BB1794" s="14" t="str">
        <f t="shared" si="381"/>
        <v>SR守护灵魂珠-4 等级-0</v>
      </c>
      <c r="BC1794" s="25" t="s">
        <v>44</v>
      </c>
      <c r="BD1794" s="14">
        <f t="shared" si="382"/>
        <v>0</v>
      </c>
      <c r="BE1794" s="14">
        <f>SUMIFS(BD$4:BD1794,$AU$4:$AU1794,"="&amp;$AU1794,$AY$4:$AY1794,"="&amp;$AY1794)</f>
        <v>0</v>
      </c>
      <c r="BF1794" s="25" t="s">
        <v>1157</v>
      </c>
      <c r="BG1794" s="14">
        <f t="shared" si="383"/>
        <v>0</v>
      </c>
      <c r="BH1794" s="14">
        <f>SUMIFS(BG$4:BG1794,AU$4:AU1794,"="&amp;AU1794,AY$4:AY1794,"="&amp;AY1794)</f>
        <v>0</v>
      </c>
      <c r="BI1794" s="25" t="s">
        <v>1158</v>
      </c>
      <c r="BJ1794" s="14">
        <f t="shared" si="384"/>
        <v>0</v>
      </c>
      <c r="BK1794" s="14">
        <f>SUMIFS(BJ$4:BJ1794,$AU$4:$AU1794,"="&amp;$AU1794,$AY$4:$AY1794,"="&amp;$AY1794)</f>
        <v>0</v>
      </c>
    </row>
    <row r="1795" spans="46:63" ht="16.5" x14ac:dyDescent="0.2">
      <c r="AT1795" s="13">
        <v>1792</v>
      </c>
      <c r="AU1795" s="13">
        <f t="shared" si="378"/>
        <v>23</v>
      </c>
      <c r="AV1795" s="14">
        <f t="shared" si="379"/>
        <v>299804</v>
      </c>
      <c r="AW1795" s="14">
        <f t="shared" si="380"/>
        <v>1102998</v>
      </c>
      <c r="AX1795" s="13" t="s">
        <v>1127</v>
      </c>
      <c r="AY1795" s="13">
        <f t="shared" si="385"/>
        <v>4</v>
      </c>
      <c r="AZ1795" s="13" t="s">
        <v>1148</v>
      </c>
      <c r="BA1795" s="14">
        <f t="shared" si="386"/>
        <v>1</v>
      </c>
      <c r="BB1795" s="14" t="str">
        <f t="shared" si="381"/>
        <v>SR守护灵魂珠-4 等级-1</v>
      </c>
      <c r="BC1795" s="25" t="s">
        <v>44</v>
      </c>
      <c r="BD1795" s="14">
        <f t="shared" si="382"/>
        <v>100</v>
      </c>
      <c r="BE1795" s="14">
        <f>SUMIFS(BD$4:BD1795,$AU$4:$AU1795,"="&amp;$AU1795,$AY$4:$AY1795,"="&amp;$AY1795)</f>
        <v>100</v>
      </c>
      <c r="BF1795" s="25" t="s">
        <v>1157</v>
      </c>
      <c r="BG1795" s="14">
        <f t="shared" si="383"/>
        <v>50</v>
      </c>
      <c r="BH1795" s="14">
        <f>SUMIFS(BG$4:BG1795,AU$4:AU1795,"="&amp;AU1795,AY$4:AY1795,"="&amp;AY1795)</f>
        <v>50</v>
      </c>
      <c r="BI1795" s="25" t="s">
        <v>1158</v>
      </c>
      <c r="BJ1795" s="14">
        <f t="shared" si="384"/>
        <v>2000</v>
      </c>
      <c r="BK1795" s="14">
        <f>SUMIFS(BJ$4:BJ1795,$AU$4:$AU1795,"="&amp;$AU1795,$AY$4:$AY1795,"="&amp;$AY1795)</f>
        <v>2000</v>
      </c>
    </row>
    <row r="1796" spans="46:63" ht="16.5" x14ac:dyDescent="0.2">
      <c r="AT1796" s="13">
        <v>1793</v>
      </c>
      <c r="AU1796" s="13">
        <f t="shared" si="378"/>
        <v>23</v>
      </c>
      <c r="AV1796" s="14">
        <f t="shared" si="379"/>
        <v>299804</v>
      </c>
      <c r="AW1796" s="14">
        <f t="shared" si="380"/>
        <v>1102998</v>
      </c>
      <c r="AX1796" s="13" t="s">
        <v>1127</v>
      </c>
      <c r="AY1796" s="13">
        <f t="shared" si="385"/>
        <v>4</v>
      </c>
      <c r="AZ1796" s="13" t="s">
        <v>1148</v>
      </c>
      <c r="BA1796" s="14">
        <f t="shared" si="386"/>
        <v>2</v>
      </c>
      <c r="BB1796" s="14" t="str">
        <f t="shared" si="381"/>
        <v>SR守护灵魂珠-4 等级-2</v>
      </c>
      <c r="BC1796" s="25" t="s">
        <v>44</v>
      </c>
      <c r="BD1796" s="14">
        <f t="shared" si="382"/>
        <v>160</v>
      </c>
      <c r="BE1796" s="14">
        <f>SUMIFS(BD$4:BD1796,$AU$4:$AU1796,"="&amp;$AU1796,$AY$4:$AY1796,"="&amp;$AY1796)</f>
        <v>260</v>
      </c>
      <c r="BF1796" s="25" t="s">
        <v>1157</v>
      </c>
      <c r="BG1796" s="14">
        <f t="shared" si="383"/>
        <v>80</v>
      </c>
      <c r="BH1796" s="14">
        <f>SUMIFS(BG$4:BG1796,AU$4:AU1796,"="&amp;AU1796,AY$4:AY1796,"="&amp;AY1796)</f>
        <v>130</v>
      </c>
      <c r="BI1796" s="25" t="s">
        <v>1158</v>
      </c>
      <c r="BJ1796" s="14">
        <f t="shared" si="384"/>
        <v>3200</v>
      </c>
      <c r="BK1796" s="14">
        <f>SUMIFS(BJ$4:BJ1796,$AU$4:$AU1796,"="&amp;$AU1796,$AY$4:$AY1796,"="&amp;$AY1796)</f>
        <v>5200</v>
      </c>
    </row>
    <row r="1797" spans="46:63" ht="16.5" x14ac:dyDescent="0.2">
      <c r="AT1797" s="13">
        <v>1794</v>
      </c>
      <c r="AU1797" s="13">
        <f t="shared" ref="AU1797:AU1800" si="387">INT((AT1797-1)/80)+1</f>
        <v>23</v>
      </c>
      <c r="AV1797" s="14">
        <f t="shared" ref="AV1797:AV1800" si="388">INDEX($AJ$4:$AJ$203,(AU1797-1)*8+AY1797)</f>
        <v>299804</v>
      </c>
      <c r="AW1797" s="14">
        <f t="shared" ref="AW1797:AW1800" si="389">INDEX($W$4:$W$28,AU1797)</f>
        <v>1102998</v>
      </c>
      <c r="AX1797" s="13" t="s">
        <v>1127</v>
      </c>
      <c r="AY1797" s="13">
        <f t="shared" si="385"/>
        <v>4</v>
      </c>
      <c r="AZ1797" s="13" t="s">
        <v>1148</v>
      </c>
      <c r="BA1797" s="14">
        <f t="shared" si="386"/>
        <v>3</v>
      </c>
      <c r="BB1797" s="14" t="str">
        <f t="shared" ref="BB1797:BB1800" si="390">INDEX($X$4:$X$28,AU1797)&amp;"魂珠-"&amp;AY1797&amp;" 等级-"&amp;BA1797</f>
        <v>SR守护灵魂珠-4 等级-3</v>
      </c>
      <c r="BC1797" s="25" t="s">
        <v>44</v>
      </c>
      <c r="BD1797" s="14">
        <f t="shared" ref="BD1797:BD1800" si="391">ROUND(INDEX(Q$4:Q$83,($AY1797-1)*10+$BA1797+1)*INDEX(AC$4:AC$28,$AU1797),0)</f>
        <v>220</v>
      </c>
      <c r="BE1797" s="14">
        <f>SUMIFS(BD$4:BD1797,$AU$4:$AU1797,"="&amp;$AU1797,$AY$4:$AY1797,"="&amp;$AY1797)</f>
        <v>480</v>
      </c>
      <c r="BF1797" s="25" t="s">
        <v>1157</v>
      </c>
      <c r="BG1797" s="14">
        <f t="shared" ref="BG1797:BG1800" si="392">ROUND(INDEX(R$4:R$83,($AY1797-1)*10+$BA1797+1)*INDEX(AD$4:AD$28,$AU1797),0)</f>
        <v>110</v>
      </c>
      <c r="BH1797" s="14">
        <f>SUMIFS(BG$4:BG1797,AU$4:AU1797,"="&amp;AU1797,AY$4:AY1797,"="&amp;AY1797)</f>
        <v>240</v>
      </c>
      <c r="BI1797" s="25" t="s">
        <v>1158</v>
      </c>
      <c r="BJ1797" s="14">
        <f t="shared" ref="BJ1797:BJ1800" si="393">ROUND(INDEX(S$4:S$83,($AY1797-1)*10+$BA1797+1)*INDEX(AE$4:AE$28,$AU1797),0)</f>
        <v>4400</v>
      </c>
      <c r="BK1797" s="14">
        <f>SUMIFS(BJ$4:BJ1797,$AU$4:$AU1797,"="&amp;$AU1797,$AY$4:$AY1797,"="&amp;$AY1797)</f>
        <v>9600</v>
      </c>
    </row>
    <row r="1798" spans="46:63" ht="16.5" x14ac:dyDescent="0.2">
      <c r="AT1798" s="13">
        <v>1795</v>
      </c>
      <c r="AU1798" s="13">
        <f t="shared" si="387"/>
        <v>23</v>
      </c>
      <c r="AV1798" s="14">
        <f t="shared" si="388"/>
        <v>299804</v>
      </c>
      <c r="AW1798" s="14">
        <f t="shared" si="389"/>
        <v>1102998</v>
      </c>
      <c r="AX1798" s="13" t="s">
        <v>1127</v>
      </c>
      <c r="AY1798" s="13">
        <f t="shared" si="385"/>
        <v>4</v>
      </c>
      <c r="AZ1798" s="13" t="s">
        <v>1148</v>
      </c>
      <c r="BA1798" s="14">
        <f t="shared" si="386"/>
        <v>4</v>
      </c>
      <c r="BB1798" s="14" t="str">
        <f t="shared" si="390"/>
        <v>SR守护灵魂珠-4 等级-4</v>
      </c>
      <c r="BC1798" s="25" t="s">
        <v>44</v>
      </c>
      <c r="BD1798" s="14">
        <f t="shared" si="391"/>
        <v>320</v>
      </c>
      <c r="BE1798" s="14">
        <f>SUMIFS(BD$4:BD1798,$AU$4:$AU1798,"="&amp;$AU1798,$AY$4:$AY1798,"="&amp;$AY1798)</f>
        <v>800</v>
      </c>
      <c r="BF1798" s="25" t="s">
        <v>1157</v>
      </c>
      <c r="BG1798" s="14">
        <f t="shared" si="392"/>
        <v>160</v>
      </c>
      <c r="BH1798" s="14">
        <f>SUMIFS(BG$4:BG1798,AU$4:AU1798,"="&amp;AU1798,AY$4:AY1798,"="&amp;AY1798)</f>
        <v>400</v>
      </c>
      <c r="BI1798" s="25" t="s">
        <v>1158</v>
      </c>
      <c r="BJ1798" s="14">
        <f t="shared" si="393"/>
        <v>6400</v>
      </c>
      <c r="BK1798" s="14">
        <f>SUMIFS(BJ$4:BJ1798,$AU$4:$AU1798,"="&amp;$AU1798,$AY$4:$AY1798,"="&amp;$AY1798)</f>
        <v>16000</v>
      </c>
    </row>
    <row r="1799" spans="46:63" ht="16.5" x14ac:dyDescent="0.2">
      <c r="AT1799" s="13">
        <v>1796</v>
      </c>
      <c r="AU1799" s="13">
        <f t="shared" si="387"/>
        <v>23</v>
      </c>
      <c r="AV1799" s="14">
        <f t="shared" si="388"/>
        <v>299804</v>
      </c>
      <c r="AW1799" s="14">
        <f t="shared" si="389"/>
        <v>1102998</v>
      </c>
      <c r="AX1799" s="13" t="s">
        <v>1127</v>
      </c>
      <c r="AY1799" s="13">
        <f t="shared" si="385"/>
        <v>4</v>
      </c>
      <c r="AZ1799" s="13" t="s">
        <v>1148</v>
      </c>
      <c r="BA1799" s="14">
        <f t="shared" si="386"/>
        <v>5</v>
      </c>
      <c r="BB1799" s="14" t="str">
        <f t="shared" si="390"/>
        <v>SR守护灵魂珠-4 等级-5</v>
      </c>
      <c r="BC1799" s="25" t="s">
        <v>44</v>
      </c>
      <c r="BD1799" s="14">
        <f t="shared" si="391"/>
        <v>420</v>
      </c>
      <c r="BE1799" s="14">
        <f>SUMIFS(BD$4:BD1799,$AU$4:$AU1799,"="&amp;$AU1799,$AY$4:$AY1799,"="&amp;$AY1799)</f>
        <v>1220</v>
      </c>
      <c r="BF1799" s="25" t="s">
        <v>1157</v>
      </c>
      <c r="BG1799" s="14">
        <f t="shared" si="392"/>
        <v>210</v>
      </c>
      <c r="BH1799" s="14">
        <f>SUMIFS(BG$4:BG1799,AU$4:AU1799,"="&amp;AU1799,AY$4:AY1799,"="&amp;AY1799)</f>
        <v>610</v>
      </c>
      <c r="BI1799" s="25" t="s">
        <v>1158</v>
      </c>
      <c r="BJ1799" s="14">
        <f t="shared" si="393"/>
        <v>8400</v>
      </c>
      <c r="BK1799" s="14">
        <f>SUMIFS(BJ$4:BJ1799,$AU$4:$AU1799,"="&amp;$AU1799,$AY$4:$AY1799,"="&amp;$AY1799)</f>
        <v>24400</v>
      </c>
    </row>
    <row r="1800" spans="46:63" ht="16.5" x14ac:dyDescent="0.2">
      <c r="AT1800" s="13">
        <v>1797</v>
      </c>
      <c r="AU1800" s="13">
        <f t="shared" si="387"/>
        <v>23</v>
      </c>
      <c r="AV1800" s="14">
        <f t="shared" si="388"/>
        <v>299804</v>
      </c>
      <c r="AW1800" s="14">
        <f t="shared" si="389"/>
        <v>1102998</v>
      </c>
      <c r="AX1800" s="13" t="s">
        <v>1127</v>
      </c>
      <c r="AY1800" s="13">
        <f t="shared" si="385"/>
        <v>4</v>
      </c>
      <c r="AZ1800" s="13" t="s">
        <v>1148</v>
      </c>
      <c r="BA1800" s="14">
        <f t="shared" si="386"/>
        <v>6</v>
      </c>
      <c r="BB1800" s="14" t="str">
        <f t="shared" si="390"/>
        <v>SR守护灵魂珠-4 等级-6</v>
      </c>
      <c r="BC1800" s="25" t="s">
        <v>44</v>
      </c>
      <c r="BD1800" s="14">
        <f t="shared" si="391"/>
        <v>550</v>
      </c>
      <c r="BE1800" s="14">
        <f>SUMIFS(BD$4:BD1800,$AU$4:$AU1800,"="&amp;$AU1800,$AY$4:$AY1800,"="&amp;$AY1800)</f>
        <v>1770</v>
      </c>
      <c r="BF1800" s="25" t="s">
        <v>1157</v>
      </c>
      <c r="BG1800" s="14">
        <f t="shared" si="392"/>
        <v>275</v>
      </c>
      <c r="BH1800" s="14">
        <f>SUMIFS(BG$4:BG1800,AU$4:AU1800,"="&amp;AU1800,AY$4:AY1800,"="&amp;AY1800)</f>
        <v>885</v>
      </c>
      <c r="BI1800" s="25" t="s">
        <v>1158</v>
      </c>
      <c r="BJ1800" s="14">
        <f t="shared" si="393"/>
        <v>11000</v>
      </c>
      <c r="BK1800" s="14">
        <f>SUMIFS(BJ$4:BJ1800,$AU$4:$AU1800,"="&amp;$AU1800,$AY$4:$AY1800,"="&amp;$AY1800)</f>
        <v>35400</v>
      </c>
    </row>
    <row r="1801" spans="46:63" ht="16.5" x14ac:dyDescent="0.2">
      <c r="AT1801" s="13">
        <v>1798</v>
      </c>
      <c r="AU1801" s="13">
        <f t="shared" ref="AU1801:AU1864" si="394">INT((AT1801-1)/80)+1</f>
        <v>23</v>
      </c>
      <c r="AV1801" s="14">
        <f t="shared" ref="AV1801:AV1864" si="395">INDEX($AJ$4:$AJ$203,(AU1801-1)*8+AY1801)</f>
        <v>299804</v>
      </c>
      <c r="AW1801" s="14">
        <f t="shared" ref="AW1801:AW1864" si="396">INDEX($W$4:$W$28,AU1801)</f>
        <v>1102998</v>
      </c>
      <c r="AX1801" s="13" t="s">
        <v>1127</v>
      </c>
      <c r="AY1801" s="13">
        <f t="shared" ref="AY1801:AY1864" si="397">INT(((AT1801-(AU1801-1)*80)-1)/10)+1</f>
        <v>4</v>
      </c>
      <c r="AZ1801" s="13" t="s">
        <v>1148</v>
      </c>
      <c r="BA1801" s="14">
        <f t="shared" ref="BA1801:BA1864" si="398">AT1801-(AU1801-1)*80-(AY1801-1)*10-1</f>
        <v>7</v>
      </c>
      <c r="BB1801" s="14" t="str">
        <f t="shared" ref="BB1801:BB1864" si="399">INDEX($X$4:$X$28,AU1801)&amp;"魂珠-"&amp;AY1801&amp;" 等级-"&amp;BA1801</f>
        <v>SR守护灵魂珠-4 等级-7</v>
      </c>
      <c r="BC1801" s="25" t="s">
        <v>44</v>
      </c>
      <c r="BD1801" s="14">
        <f t="shared" ref="BD1801:BD1864" si="400">ROUND(INDEX(Q$4:Q$83,($AY1801-1)*10+$BA1801+1)*INDEX(AC$4:AC$28,$AU1801),0)</f>
        <v>650</v>
      </c>
      <c r="BE1801" s="14">
        <f>SUMIFS(BD$4:BD1801,$AU$4:$AU1801,"="&amp;$AU1801,$AY$4:$AY1801,"="&amp;$AY1801)</f>
        <v>2420</v>
      </c>
      <c r="BF1801" s="25" t="s">
        <v>1157</v>
      </c>
      <c r="BG1801" s="14">
        <f t="shared" ref="BG1801:BG1864" si="401">ROUND(INDEX(R$4:R$83,($AY1801-1)*10+$BA1801+1)*INDEX(AD$4:AD$28,$AU1801),0)</f>
        <v>325</v>
      </c>
      <c r="BH1801" s="14">
        <f>SUMIFS(BG$4:BG1801,AU$4:AU1801,"="&amp;AU1801,AY$4:AY1801,"="&amp;AY1801)</f>
        <v>1210</v>
      </c>
      <c r="BI1801" s="25" t="s">
        <v>1158</v>
      </c>
      <c r="BJ1801" s="14">
        <f t="shared" ref="BJ1801:BJ1864" si="402">ROUND(INDEX(S$4:S$83,($AY1801-1)*10+$BA1801+1)*INDEX(AE$4:AE$28,$AU1801),0)</f>
        <v>13000</v>
      </c>
      <c r="BK1801" s="14">
        <f>SUMIFS(BJ$4:BJ1801,$AU$4:$AU1801,"="&amp;$AU1801,$AY$4:$AY1801,"="&amp;$AY1801)</f>
        <v>48400</v>
      </c>
    </row>
    <row r="1802" spans="46:63" ht="16.5" x14ac:dyDescent="0.2">
      <c r="AT1802" s="13">
        <v>1799</v>
      </c>
      <c r="AU1802" s="13">
        <f t="shared" si="394"/>
        <v>23</v>
      </c>
      <c r="AV1802" s="14">
        <f t="shared" si="395"/>
        <v>299804</v>
      </c>
      <c r="AW1802" s="14">
        <f t="shared" si="396"/>
        <v>1102998</v>
      </c>
      <c r="AX1802" s="13" t="s">
        <v>1127</v>
      </c>
      <c r="AY1802" s="13">
        <f t="shared" si="397"/>
        <v>4</v>
      </c>
      <c r="AZ1802" s="13" t="s">
        <v>1148</v>
      </c>
      <c r="BA1802" s="14">
        <f t="shared" si="398"/>
        <v>8</v>
      </c>
      <c r="BB1802" s="14" t="str">
        <f t="shared" si="399"/>
        <v>SR守护灵魂珠-4 等级-8</v>
      </c>
      <c r="BC1802" s="25" t="s">
        <v>44</v>
      </c>
      <c r="BD1802" s="14">
        <f t="shared" si="400"/>
        <v>750</v>
      </c>
      <c r="BE1802" s="14">
        <f>SUMIFS(BD$4:BD1802,$AU$4:$AU1802,"="&amp;$AU1802,$AY$4:$AY1802,"="&amp;$AY1802)</f>
        <v>3170</v>
      </c>
      <c r="BF1802" s="25" t="s">
        <v>1157</v>
      </c>
      <c r="BG1802" s="14">
        <f t="shared" si="401"/>
        <v>375</v>
      </c>
      <c r="BH1802" s="14">
        <f>SUMIFS(BG$4:BG1802,AU$4:AU1802,"="&amp;AU1802,AY$4:AY1802,"="&amp;AY1802)</f>
        <v>1585</v>
      </c>
      <c r="BI1802" s="25" t="s">
        <v>1158</v>
      </c>
      <c r="BJ1802" s="14">
        <f t="shared" si="402"/>
        <v>15000</v>
      </c>
      <c r="BK1802" s="14">
        <f>SUMIFS(BJ$4:BJ1802,$AU$4:$AU1802,"="&amp;$AU1802,$AY$4:$AY1802,"="&amp;$AY1802)</f>
        <v>63400</v>
      </c>
    </row>
    <row r="1803" spans="46:63" ht="16.5" x14ac:dyDescent="0.2">
      <c r="AT1803" s="13">
        <v>1800</v>
      </c>
      <c r="AU1803" s="13">
        <f t="shared" si="394"/>
        <v>23</v>
      </c>
      <c r="AV1803" s="14">
        <f t="shared" si="395"/>
        <v>299804</v>
      </c>
      <c r="AW1803" s="14">
        <f t="shared" si="396"/>
        <v>1102998</v>
      </c>
      <c r="AX1803" s="13" t="s">
        <v>1127</v>
      </c>
      <c r="AY1803" s="13">
        <f t="shared" si="397"/>
        <v>4</v>
      </c>
      <c r="AZ1803" s="13" t="s">
        <v>1148</v>
      </c>
      <c r="BA1803" s="14">
        <f t="shared" si="398"/>
        <v>9</v>
      </c>
      <c r="BB1803" s="14" t="str">
        <f t="shared" si="399"/>
        <v>SR守护灵魂珠-4 等级-9</v>
      </c>
      <c r="BC1803" s="25" t="s">
        <v>44</v>
      </c>
      <c r="BD1803" s="14">
        <f t="shared" si="400"/>
        <v>850</v>
      </c>
      <c r="BE1803" s="14">
        <f>SUMIFS(BD$4:BD1803,$AU$4:$AU1803,"="&amp;$AU1803,$AY$4:$AY1803,"="&amp;$AY1803)</f>
        <v>4020</v>
      </c>
      <c r="BF1803" s="25" t="s">
        <v>1157</v>
      </c>
      <c r="BG1803" s="14">
        <f t="shared" si="401"/>
        <v>425</v>
      </c>
      <c r="BH1803" s="14">
        <f>SUMIFS(BG$4:BG1803,AU$4:AU1803,"="&amp;AU1803,AY$4:AY1803,"="&amp;AY1803)</f>
        <v>2010</v>
      </c>
      <c r="BI1803" s="25" t="s">
        <v>1158</v>
      </c>
      <c r="BJ1803" s="14">
        <f t="shared" si="402"/>
        <v>17000</v>
      </c>
      <c r="BK1803" s="14">
        <f>SUMIFS(BJ$4:BJ1803,$AU$4:$AU1803,"="&amp;$AU1803,$AY$4:$AY1803,"="&amp;$AY1803)</f>
        <v>80400</v>
      </c>
    </row>
    <row r="1804" spans="46:63" ht="16.5" x14ac:dyDescent="0.2">
      <c r="AT1804" s="13">
        <v>1801</v>
      </c>
      <c r="AU1804" s="13">
        <f t="shared" si="394"/>
        <v>23</v>
      </c>
      <c r="AV1804" s="14">
        <f t="shared" si="395"/>
        <v>299805</v>
      </c>
      <c r="AW1804" s="14">
        <f t="shared" si="396"/>
        <v>1102998</v>
      </c>
      <c r="AX1804" s="13" t="s">
        <v>1127</v>
      </c>
      <c r="AY1804" s="13">
        <f t="shared" si="397"/>
        <v>5</v>
      </c>
      <c r="AZ1804" s="13" t="s">
        <v>1148</v>
      </c>
      <c r="BA1804" s="14">
        <f t="shared" si="398"/>
        <v>0</v>
      </c>
      <c r="BB1804" s="14" t="str">
        <f t="shared" si="399"/>
        <v>SR守护灵魂珠-5 等级-0</v>
      </c>
      <c r="BC1804" s="25" t="s">
        <v>44</v>
      </c>
      <c r="BD1804" s="14">
        <f t="shared" si="400"/>
        <v>0</v>
      </c>
      <c r="BE1804" s="14">
        <f>SUMIFS(BD$4:BD1804,$AU$4:$AU1804,"="&amp;$AU1804,$AY$4:$AY1804,"="&amp;$AY1804)</f>
        <v>0</v>
      </c>
      <c r="BF1804" s="25" t="s">
        <v>1157</v>
      </c>
      <c r="BG1804" s="14">
        <f t="shared" si="401"/>
        <v>0</v>
      </c>
      <c r="BH1804" s="14">
        <f>SUMIFS(BG$4:BG1804,AU$4:AU1804,"="&amp;AU1804,AY$4:AY1804,"="&amp;AY1804)</f>
        <v>0</v>
      </c>
      <c r="BI1804" s="25" t="s">
        <v>1158</v>
      </c>
      <c r="BJ1804" s="14">
        <f t="shared" si="402"/>
        <v>0</v>
      </c>
      <c r="BK1804" s="14">
        <f>SUMIFS(BJ$4:BJ1804,$AU$4:$AU1804,"="&amp;$AU1804,$AY$4:$AY1804,"="&amp;$AY1804)</f>
        <v>0</v>
      </c>
    </row>
    <row r="1805" spans="46:63" ht="16.5" x14ac:dyDescent="0.2">
      <c r="AT1805" s="13">
        <v>1802</v>
      </c>
      <c r="AU1805" s="13">
        <f t="shared" si="394"/>
        <v>23</v>
      </c>
      <c r="AV1805" s="14">
        <f t="shared" si="395"/>
        <v>299805</v>
      </c>
      <c r="AW1805" s="14">
        <f t="shared" si="396"/>
        <v>1102998</v>
      </c>
      <c r="AX1805" s="13" t="s">
        <v>1127</v>
      </c>
      <c r="AY1805" s="13">
        <f t="shared" si="397"/>
        <v>5</v>
      </c>
      <c r="AZ1805" s="13" t="s">
        <v>1148</v>
      </c>
      <c r="BA1805" s="14">
        <f t="shared" si="398"/>
        <v>1</v>
      </c>
      <c r="BB1805" s="14" t="str">
        <f t="shared" si="399"/>
        <v>SR守护灵魂珠-5 等级-1</v>
      </c>
      <c r="BC1805" s="25" t="s">
        <v>44</v>
      </c>
      <c r="BD1805" s="14">
        <f t="shared" si="400"/>
        <v>140</v>
      </c>
      <c r="BE1805" s="14">
        <f>SUMIFS(BD$4:BD1805,$AU$4:$AU1805,"="&amp;$AU1805,$AY$4:$AY1805,"="&amp;$AY1805)</f>
        <v>140</v>
      </c>
      <c r="BF1805" s="25" t="s">
        <v>1157</v>
      </c>
      <c r="BG1805" s="14">
        <f t="shared" si="401"/>
        <v>70</v>
      </c>
      <c r="BH1805" s="14">
        <f>SUMIFS(BG$4:BG1805,AU$4:AU1805,"="&amp;AU1805,AY$4:AY1805,"="&amp;AY1805)</f>
        <v>70</v>
      </c>
      <c r="BI1805" s="25" t="s">
        <v>1158</v>
      </c>
      <c r="BJ1805" s="14">
        <f t="shared" si="402"/>
        <v>2800</v>
      </c>
      <c r="BK1805" s="14">
        <f>SUMIFS(BJ$4:BJ1805,$AU$4:$AU1805,"="&amp;$AU1805,$AY$4:$AY1805,"="&amp;$AY1805)</f>
        <v>2800</v>
      </c>
    </row>
    <row r="1806" spans="46:63" ht="16.5" x14ac:dyDescent="0.2">
      <c r="AT1806" s="13">
        <v>1803</v>
      </c>
      <c r="AU1806" s="13">
        <f t="shared" si="394"/>
        <v>23</v>
      </c>
      <c r="AV1806" s="14">
        <f t="shared" si="395"/>
        <v>299805</v>
      </c>
      <c r="AW1806" s="14">
        <f t="shared" si="396"/>
        <v>1102998</v>
      </c>
      <c r="AX1806" s="13" t="s">
        <v>1127</v>
      </c>
      <c r="AY1806" s="13">
        <f t="shared" si="397"/>
        <v>5</v>
      </c>
      <c r="AZ1806" s="13" t="s">
        <v>1148</v>
      </c>
      <c r="BA1806" s="14">
        <f t="shared" si="398"/>
        <v>2</v>
      </c>
      <c r="BB1806" s="14" t="str">
        <f t="shared" si="399"/>
        <v>SR守护灵魂珠-5 等级-2</v>
      </c>
      <c r="BC1806" s="25" t="s">
        <v>44</v>
      </c>
      <c r="BD1806" s="14">
        <f t="shared" si="400"/>
        <v>200</v>
      </c>
      <c r="BE1806" s="14">
        <f>SUMIFS(BD$4:BD1806,$AU$4:$AU1806,"="&amp;$AU1806,$AY$4:$AY1806,"="&amp;$AY1806)</f>
        <v>340</v>
      </c>
      <c r="BF1806" s="25" t="s">
        <v>1157</v>
      </c>
      <c r="BG1806" s="14">
        <f t="shared" si="401"/>
        <v>100</v>
      </c>
      <c r="BH1806" s="14">
        <f>SUMIFS(BG$4:BG1806,AU$4:AU1806,"="&amp;AU1806,AY$4:AY1806,"="&amp;AY1806)</f>
        <v>170</v>
      </c>
      <c r="BI1806" s="25" t="s">
        <v>1158</v>
      </c>
      <c r="BJ1806" s="14">
        <f t="shared" si="402"/>
        <v>4000</v>
      </c>
      <c r="BK1806" s="14">
        <f>SUMIFS(BJ$4:BJ1806,$AU$4:$AU1806,"="&amp;$AU1806,$AY$4:$AY1806,"="&amp;$AY1806)</f>
        <v>6800</v>
      </c>
    </row>
    <row r="1807" spans="46:63" ht="16.5" x14ac:dyDescent="0.2">
      <c r="AT1807" s="13">
        <v>1804</v>
      </c>
      <c r="AU1807" s="13">
        <f t="shared" si="394"/>
        <v>23</v>
      </c>
      <c r="AV1807" s="14">
        <f t="shared" si="395"/>
        <v>299805</v>
      </c>
      <c r="AW1807" s="14">
        <f t="shared" si="396"/>
        <v>1102998</v>
      </c>
      <c r="AX1807" s="13" t="s">
        <v>1127</v>
      </c>
      <c r="AY1807" s="13">
        <f t="shared" si="397"/>
        <v>5</v>
      </c>
      <c r="AZ1807" s="13" t="s">
        <v>1148</v>
      </c>
      <c r="BA1807" s="14">
        <f t="shared" si="398"/>
        <v>3</v>
      </c>
      <c r="BB1807" s="14" t="str">
        <f t="shared" si="399"/>
        <v>SR守护灵魂珠-5 等级-3</v>
      </c>
      <c r="BC1807" s="25" t="s">
        <v>44</v>
      </c>
      <c r="BD1807" s="14">
        <f t="shared" si="400"/>
        <v>260</v>
      </c>
      <c r="BE1807" s="14">
        <f>SUMIFS(BD$4:BD1807,$AU$4:$AU1807,"="&amp;$AU1807,$AY$4:$AY1807,"="&amp;$AY1807)</f>
        <v>600</v>
      </c>
      <c r="BF1807" s="25" t="s">
        <v>1157</v>
      </c>
      <c r="BG1807" s="14">
        <f t="shared" si="401"/>
        <v>130</v>
      </c>
      <c r="BH1807" s="14">
        <f>SUMIFS(BG$4:BG1807,AU$4:AU1807,"="&amp;AU1807,AY$4:AY1807,"="&amp;AY1807)</f>
        <v>300</v>
      </c>
      <c r="BI1807" s="25" t="s">
        <v>1158</v>
      </c>
      <c r="BJ1807" s="14">
        <f t="shared" si="402"/>
        <v>5200</v>
      </c>
      <c r="BK1807" s="14">
        <f>SUMIFS(BJ$4:BJ1807,$AU$4:$AU1807,"="&amp;$AU1807,$AY$4:$AY1807,"="&amp;$AY1807)</f>
        <v>12000</v>
      </c>
    </row>
    <row r="1808" spans="46:63" ht="16.5" x14ac:dyDescent="0.2">
      <c r="AT1808" s="13">
        <v>1805</v>
      </c>
      <c r="AU1808" s="13">
        <f t="shared" si="394"/>
        <v>23</v>
      </c>
      <c r="AV1808" s="14">
        <f t="shared" si="395"/>
        <v>299805</v>
      </c>
      <c r="AW1808" s="14">
        <f t="shared" si="396"/>
        <v>1102998</v>
      </c>
      <c r="AX1808" s="13" t="s">
        <v>1127</v>
      </c>
      <c r="AY1808" s="13">
        <f t="shared" si="397"/>
        <v>5</v>
      </c>
      <c r="AZ1808" s="13" t="s">
        <v>1148</v>
      </c>
      <c r="BA1808" s="14">
        <f t="shared" si="398"/>
        <v>4</v>
      </c>
      <c r="BB1808" s="14" t="str">
        <f t="shared" si="399"/>
        <v>SR守护灵魂珠-5 等级-4</v>
      </c>
      <c r="BC1808" s="25" t="s">
        <v>44</v>
      </c>
      <c r="BD1808" s="14">
        <f t="shared" si="400"/>
        <v>400</v>
      </c>
      <c r="BE1808" s="14">
        <f>SUMIFS(BD$4:BD1808,$AU$4:$AU1808,"="&amp;$AU1808,$AY$4:$AY1808,"="&amp;$AY1808)</f>
        <v>1000</v>
      </c>
      <c r="BF1808" s="25" t="s">
        <v>1157</v>
      </c>
      <c r="BG1808" s="14">
        <f t="shared" si="401"/>
        <v>200</v>
      </c>
      <c r="BH1808" s="14">
        <f>SUMIFS(BG$4:BG1808,AU$4:AU1808,"="&amp;AU1808,AY$4:AY1808,"="&amp;AY1808)</f>
        <v>500</v>
      </c>
      <c r="BI1808" s="25" t="s">
        <v>1158</v>
      </c>
      <c r="BJ1808" s="14">
        <f t="shared" si="402"/>
        <v>8000</v>
      </c>
      <c r="BK1808" s="14">
        <f>SUMIFS(BJ$4:BJ1808,$AU$4:$AU1808,"="&amp;$AU1808,$AY$4:$AY1808,"="&amp;$AY1808)</f>
        <v>20000</v>
      </c>
    </row>
    <row r="1809" spans="46:63" ht="16.5" x14ac:dyDescent="0.2">
      <c r="AT1809" s="13">
        <v>1806</v>
      </c>
      <c r="AU1809" s="13">
        <f t="shared" si="394"/>
        <v>23</v>
      </c>
      <c r="AV1809" s="14">
        <f t="shared" si="395"/>
        <v>299805</v>
      </c>
      <c r="AW1809" s="14">
        <f t="shared" si="396"/>
        <v>1102998</v>
      </c>
      <c r="AX1809" s="13" t="s">
        <v>1127</v>
      </c>
      <c r="AY1809" s="13">
        <f t="shared" si="397"/>
        <v>5</v>
      </c>
      <c r="AZ1809" s="13" t="s">
        <v>1148</v>
      </c>
      <c r="BA1809" s="14">
        <f t="shared" si="398"/>
        <v>5</v>
      </c>
      <c r="BB1809" s="14" t="str">
        <f t="shared" si="399"/>
        <v>SR守护灵魂珠-5 等级-5</v>
      </c>
      <c r="BC1809" s="25" t="s">
        <v>44</v>
      </c>
      <c r="BD1809" s="14">
        <f t="shared" si="400"/>
        <v>520</v>
      </c>
      <c r="BE1809" s="14">
        <f>SUMIFS(BD$4:BD1809,$AU$4:$AU1809,"="&amp;$AU1809,$AY$4:$AY1809,"="&amp;$AY1809)</f>
        <v>1520</v>
      </c>
      <c r="BF1809" s="25" t="s">
        <v>1157</v>
      </c>
      <c r="BG1809" s="14">
        <f t="shared" si="401"/>
        <v>260</v>
      </c>
      <c r="BH1809" s="14">
        <f>SUMIFS(BG$4:BG1809,AU$4:AU1809,"="&amp;AU1809,AY$4:AY1809,"="&amp;AY1809)</f>
        <v>760</v>
      </c>
      <c r="BI1809" s="25" t="s">
        <v>1158</v>
      </c>
      <c r="BJ1809" s="14">
        <f t="shared" si="402"/>
        <v>10400</v>
      </c>
      <c r="BK1809" s="14">
        <f>SUMIFS(BJ$4:BJ1809,$AU$4:$AU1809,"="&amp;$AU1809,$AY$4:$AY1809,"="&amp;$AY1809)</f>
        <v>30400</v>
      </c>
    </row>
    <row r="1810" spans="46:63" ht="16.5" x14ac:dyDescent="0.2">
      <c r="AT1810" s="13">
        <v>1807</v>
      </c>
      <c r="AU1810" s="13">
        <f t="shared" si="394"/>
        <v>23</v>
      </c>
      <c r="AV1810" s="14">
        <f t="shared" si="395"/>
        <v>299805</v>
      </c>
      <c r="AW1810" s="14">
        <f t="shared" si="396"/>
        <v>1102998</v>
      </c>
      <c r="AX1810" s="13" t="s">
        <v>1127</v>
      </c>
      <c r="AY1810" s="13">
        <f t="shared" si="397"/>
        <v>5</v>
      </c>
      <c r="AZ1810" s="13" t="s">
        <v>1148</v>
      </c>
      <c r="BA1810" s="14">
        <f t="shared" si="398"/>
        <v>6</v>
      </c>
      <c r="BB1810" s="14" t="str">
        <f t="shared" si="399"/>
        <v>SR守护灵魂珠-5 等级-6</v>
      </c>
      <c r="BC1810" s="25" t="s">
        <v>44</v>
      </c>
      <c r="BD1810" s="14">
        <f t="shared" si="400"/>
        <v>650</v>
      </c>
      <c r="BE1810" s="14">
        <f>SUMIFS(BD$4:BD1810,$AU$4:$AU1810,"="&amp;$AU1810,$AY$4:$AY1810,"="&amp;$AY1810)</f>
        <v>2170</v>
      </c>
      <c r="BF1810" s="25" t="s">
        <v>1157</v>
      </c>
      <c r="BG1810" s="14">
        <f t="shared" si="401"/>
        <v>325</v>
      </c>
      <c r="BH1810" s="14">
        <f>SUMIFS(BG$4:BG1810,AU$4:AU1810,"="&amp;AU1810,AY$4:AY1810,"="&amp;AY1810)</f>
        <v>1085</v>
      </c>
      <c r="BI1810" s="25" t="s">
        <v>1158</v>
      </c>
      <c r="BJ1810" s="14">
        <f t="shared" si="402"/>
        <v>13000</v>
      </c>
      <c r="BK1810" s="14">
        <f>SUMIFS(BJ$4:BJ1810,$AU$4:$AU1810,"="&amp;$AU1810,$AY$4:$AY1810,"="&amp;$AY1810)</f>
        <v>43400</v>
      </c>
    </row>
    <row r="1811" spans="46:63" ht="16.5" x14ac:dyDescent="0.2">
      <c r="AT1811" s="13">
        <v>1808</v>
      </c>
      <c r="AU1811" s="13">
        <f t="shared" si="394"/>
        <v>23</v>
      </c>
      <c r="AV1811" s="14">
        <f t="shared" si="395"/>
        <v>299805</v>
      </c>
      <c r="AW1811" s="14">
        <f t="shared" si="396"/>
        <v>1102998</v>
      </c>
      <c r="AX1811" s="13" t="s">
        <v>1127</v>
      </c>
      <c r="AY1811" s="13">
        <f t="shared" si="397"/>
        <v>5</v>
      </c>
      <c r="AZ1811" s="13" t="s">
        <v>1148</v>
      </c>
      <c r="BA1811" s="14">
        <f t="shared" si="398"/>
        <v>7</v>
      </c>
      <c r="BB1811" s="14" t="str">
        <f t="shared" si="399"/>
        <v>SR守护灵魂珠-5 等级-7</v>
      </c>
      <c r="BC1811" s="25" t="s">
        <v>44</v>
      </c>
      <c r="BD1811" s="14">
        <f t="shared" si="400"/>
        <v>800</v>
      </c>
      <c r="BE1811" s="14">
        <f>SUMIFS(BD$4:BD1811,$AU$4:$AU1811,"="&amp;$AU1811,$AY$4:$AY1811,"="&amp;$AY1811)</f>
        <v>2970</v>
      </c>
      <c r="BF1811" s="25" t="s">
        <v>1157</v>
      </c>
      <c r="BG1811" s="14">
        <f t="shared" si="401"/>
        <v>400</v>
      </c>
      <c r="BH1811" s="14">
        <f>SUMIFS(BG$4:BG1811,AU$4:AU1811,"="&amp;AU1811,AY$4:AY1811,"="&amp;AY1811)</f>
        <v>1485</v>
      </c>
      <c r="BI1811" s="25" t="s">
        <v>1158</v>
      </c>
      <c r="BJ1811" s="14">
        <f t="shared" si="402"/>
        <v>16000</v>
      </c>
      <c r="BK1811" s="14">
        <f>SUMIFS(BJ$4:BJ1811,$AU$4:$AU1811,"="&amp;$AU1811,$AY$4:$AY1811,"="&amp;$AY1811)</f>
        <v>59400</v>
      </c>
    </row>
    <row r="1812" spans="46:63" ht="16.5" x14ac:dyDescent="0.2">
      <c r="AT1812" s="13">
        <v>1809</v>
      </c>
      <c r="AU1812" s="13">
        <f t="shared" si="394"/>
        <v>23</v>
      </c>
      <c r="AV1812" s="14">
        <f t="shared" si="395"/>
        <v>299805</v>
      </c>
      <c r="AW1812" s="14">
        <f t="shared" si="396"/>
        <v>1102998</v>
      </c>
      <c r="AX1812" s="13" t="s">
        <v>1127</v>
      </c>
      <c r="AY1812" s="13">
        <f t="shared" si="397"/>
        <v>5</v>
      </c>
      <c r="AZ1812" s="13" t="s">
        <v>1148</v>
      </c>
      <c r="BA1812" s="14">
        <f t="shared" si="398"/>
        <v>8</v>
      </c>
      <c r="BB1812" s="14" t="str">
        <f t="shared" si="399"/>
        <v>SR守护灵魂珠-5 等级-8</v>
      </c>
      <c r="BC1812" s="25" t="s">
        <v>44</v>
      </c>
      <c r="BD1812" s="14">
        <f t="shared" si="400"/>
        <v>950</v>
      </c>
      <c r="BE1812" s="14">
        <f>SUMIFS(BD$4:BD1812,$AU$4:$AU1812,"="&amp;$AU1812,$AY$4:$AY1812,"="&amp;$AY1812)</f>
        <v>3920</v>
      </c>
      <c r="BF1812" s="25" t="s">
        <v>1157</v>
      </c>
      <c r="BG1812" s="14">
        <f t="shared" si="401"/>
        <v>475</v>
      </c>
      <c r="BH1812" s="14">
        <f>SUMIFS(BG$4:BG1812,AU$4:AU1812,"="&amp;AU1812,AY$4:AY1812,"="&amp;AY1812)</f>
        <v>1960</v>
      </c>
      <c r="BI1812" s="25" t="s">
        <v>1158</v>
      </c>
      <c r="BJ1812" s="14">
        <f t="shared" si="402"/>
        <v>19000</v>
      </c>
      <c r="BK1812" s="14">
        <f>SUMIFS(BJ$4:BJ1812,$AU$4:$AU1812,"="&amp;$AU1812,$AY$4:$AY1812,"="&amp;$AY1812)</f>
        <v>78400</v>
      </c>
    </row>
    <row r="1813" spans="46:63" ht="16.5" x14ac:dyDescent="0.2">
      <c r="AT1813" s="13">
        <v>1810</v>
      </c>
      <c r="AU1813" s="13">
        <f t="shared" si="394"/>
        <v>23</v>
      </c>
      <c r="AV1813" s="14">
        <f t="shared" si="395"/>
        <v>299805</v>
      </c>
      <c r="AW1813" s="14">
        <f t="shared" si="396"/>
        <v>1102998</v>
      </c>
      <c r="AX1813" s="13" t="s">
        <v>1127</v>
      </c>
      <c r="AY1813" s="13">
        <f t="shared" si="397"/>
        <v>5</v>
      </c>
      <c r="AZ1813" s="13" t="s">
        <v>1148</v>
      </c>
      <c r="BA1813" s="14">
        <f t="shared" si="398"/>
        <v>9</v>
      </c>
      <c r="BB1813" s="14" t="str">
        <f t="shared" si="399"/>
        <v>SR守护灵魂珠-5 等级-9</v>
      </c>
      <c r="BC1813" s="25" t="s">
        <v>44</v>
      </c>
      <c r="BD1813" s="14">
        <f t="shared" si="400"/>
        <v>1100</v>
      </c>
      <c r="BE1813" s="14">
        <f>SUMIFS(BD$4:BD1813,$AU$4:$AU1813,"="&amp;$AU1813,$AY$4:$AY1813,"="&amp;$AY1813)</f>
        <v>5020</v>
      </c>
      <c r="BF1813" s="25" t="s">
        <v>1157</v>
      </c>
      <c r="BG1813" s="14">
        <f t="shared" si="401"/>
        <v>550</v>
      </c>
      <c r="BH1813" s="14">
        <f>SUMIFS(BG$4:BG1813,AU$4:AU1813,"="&amp;AU1813,AY$4:AY1813,"="&amp;AY1813)</f>
        <v>2510</v>
      </c>
      <c r="BI1813" s="25" t="s">
        <v>1158</v>
      </c>
      <c r="BJ1813" s="14">
        <f t="shared" si="402"/>
        <v>22000</v>
      </c>
      <c r="BK1813" s="14">
        <f>SUMIFS(BJ$4:BJ1813,$AU$4:$AU1813,"="&amp;$AU1813,$AY$4:$AY1813,"="&amp;$AY1813)</f>
        <v>100400</v>
      </c>
    </row>
    <row r="1814" spans="46:63" ht="16.5" x14ac:dyDescent="0.2">
      <c r="AT1814" s="13">
        <v>1811</v>
      </c>
      <c r="AU1814" s="13">
        <f t="shared" si="394"/>
        <v>23</v>
      </c>
      <c r="AV1814" s="14">
        <f t="shared" si="395"/>
        <v>299806</v>
      </c>
      <c r="AW1814" s="14">
        <f t="shared" si="396"/>
        <v>1102998</v>
      </c>
      <c r="AX1814" s="13" t="s">
        <v>1127</v>
      </c>
      <c r="AY1814" s="13">
        <f t="shared" si="397"/>
        <v>6</v>
      </c>
      <c r="AZ1814" s="13" t="s">
        <v>1148</v>
      </c>
      <c r="BA1814" s="14">
        <f t="shared" si="398"/>
        <v>0</v>
      </c>
      <c r="BB1814" s="14" t="str">
        <f t="shared" si="399"/>
        <v>SR守护灵魂珠-6 等级-0</v>
      </c>
      <c r="BC1814" s="25" t="s">
        <v>44</v>
      </c>
      <c r="BD1814" s="14">
        <f t="shared" si="400"/>
        <v>0</v>
      </c>
      <c r="BE1814" s="14">
        <f>SUMIFS(BD$4:BD1814,$AU$4:$AU1814,"="&amp;$AU1814,$AY$4:$AY1814,"="&amp;$AY1814)</f>
        <v>0</v>
      </c>
      <c r="BF1814" s="25" t="s">
        <v>1157</v>
      </c>
      <c r="BG1814" s="14">
        <f t="shared" si="401"/>
        <v>0</v>
      </c>
      <c r="BH1814" s="14">
        <f>SUMIFS(BG$4:BG1814,AU$4:AU1814,"="&amp;AU1814,AY$4:AY1814,"="&amp;AY1814)</f>
        <v>0</v>
      </c>
      <c r="BI1814" s="25" t="s">
        <v>1158</v>
      </c>
      <c r="BJ1814" s="14">
        <f t="shared" si="402"/>
        <v>0</v>
      </c>
      <c r="BK1814" s="14">
        <f>SUMIFS(BJ$4:BJ1814,$AU$4:$AU1814,"="&amp;$AU1814,$AY$4:$AY1814,"="&amp;$AY1814)</f>
        <v>0</v>
      </c>
    </row>
    <row r="1815" spans="46:63" ht="16.5" x14ac:dyDescent="0.2">
      <c r="AT1815" s="13">
        <v>1812</v>
      </c>
      <c r="AU1815" s="13">
        <f t="shared" si="394"/>
        <v>23</v>
      </c>
      <c r="AV1815" s="14">
        <f t="shared" si="395"/>
        <v>299806</v>
      </c>
      <c r="AW1815" s="14">
        <f t="shared" si="396"/>
        <v>1102998</v>
      </c>
      <c r="AX1815" s="13" t="s">
        <v>1127</v>
      </c>
      <c r="AY1815" s="13">
        <f t="shared" si="397"/>
        <v>6</v>
      </c>
      <c r="AZ1815" s="13" t="s">
        <v>1148</v>
      </c>
      <c r="BA1815" s="14">
        <f t="shared" si="398"/>
        <v>1</v>
      </c>
      <c r="BB1815" s="14" t="str">
        <f t="shared" si="399"/>
        <v>SR守护灵魂珠-6 等级-1</v>
      </c>
      <c r="BC1815" s="25" t="s">
        <v>44</v>
      </c>
      <c r="BD1815" s="14">
        <f t="shared" si="400"/>
        <v>180</v>
      </c>
      <c r="BE1815" s="14">
        <f>SUMIFS(BD$4:BD1815,$AU$4:$AU1815,"="&amp;$AU1815,$AY$4:$AY1815,"="&amp;$AY1815)</f>
        <v>180</v>
      </c>
      <c r="BF1815" s="25" t="s">
        <v>1157</v>
      </c>
      <c r="BG1815" s="14">
        <f t="shared" si="401"/>
        <v>90</v>
      </c>
      <c r="BH1815" s="14">
        <f>SUMIFS(BG$4:BG1815,AU$4:AU1815,"="&amp;AU1815,AY$4:AY1815,"="&amp;AY1815)</f>
        <v>90</v>
      </c>
      <c r="BI1815" s="25" t="s">
        <v>1158</v>
      </c>
      <c r="BJ1815" s="14">
        <f t="shared" si="402"/>
        <v>3600</v>
      </c>
      <c r="BK1815" s="14">
        <f>SUMIFS(BJ$4:BJ1815,$AU$4:$AU1815,"="&amp;$AU1815,$AY$4:$AY1815,"="&amp;$AY1815)</f>
        <v>3600</v>
      </c>
    </row>
    <row r="1816" spans="46:63" ht="16.5" x14ac:dyDescent="0.2">
      <c r="AT1816" s="13">
        <v>1813</v>
      </c>
      <c r="AU1816" s="13">
        <f t="shared" si="394"/>
        <v>23</v>
      </c>
      <c r="AV1816" s="14">
        <f t="shared" si="395"/>
        <v>299806</v>
      </c>
      <c r="AW1816" s="14">
        <f t="shared" si="396"/>
        <v>1102998</v>
      </c>
      <c r="AX1816" s="13" t="s">
        <v>1127</v>
      </c>
      <c r="AY1816" s="13">
        <f t="shared" si="397"/>
        <v>6</v>
      </c>
      <c r="AZ1816" s="13" t="s">
        <v>1148</v>
      </c>
      <c r="BA1816" s="14">
        <f t="shared" si="398"/>
        <v>2</v>
      </c>
      <c r="BB1816" s="14" t="str">
        <f t="shared" si="399"/>
        <v>SR守护灵魂珠-6 等级-2</v>
      </c>
      <c r="BC1816" s="25" t="s">
        <v>44</v>
      </c>
      <c r="BD1816" s="14">
        <f t="shared" si="400"/>
        <v>280</v>
      </c>
      <c r="BE1816" s="14">
        <f>SUMIFS(BD$4:BD1816,$AU$4:$AU1816,"="&amp;$AU1816,$AY$4:$AY1816,"="&amp;$AY1816)</f>
        <v>460</v>
      </c>
      <c r="BF1816" s="25" t="s">
        <v>1157</v>
      </c>
      <c r="BG1816" s="14">
        <f t="shared" si="401"/>
        <v>140</v>
      </c>
      <c r="BH1816" s="14">
        <f>SUMIFS(BG$4:BG1816,AU$4:AU1816,"="&amp;AU1816,AY$4:AY1816,"="&amp;AY1816)</f>
        <v>230</v>
      </c>
      <c r="BI1816" s="25" t="s">
        <v>1158</v>
      </c>
      <c r="BJ1816" s="14">
        <f t="shared" si="402"/>
        <v>5600</v>
      </c>
      <c r="BK1816" s="14">
        <f>SUMIFS(BJ$4:BJ1816,$AU$4:$AU1816,"="&amp;$AU1816,$AY$4:$AY1816,"="&amp;$AY1816)</f>
        <v>9200</v>
      </c>
    </row>
    <row r="1817" spans="46:63" ht="16.5" x14ac:dyDescent="0.2">
      <c r="AT1817" s="13">
        <v>1814</v>
      </c>
      <c r="AU1817" s="13">
        <f t="shared" si="394"/>
        <v>23</v>
      </c>
      <c r="AV1817" s="14">
        <f t="shared" si="395"/>
        <v>299806</v>
      </c>
      <c r="AW1817" s="14">
        <f t="shared" si="396"/>
        <v>1102998</v>
      </c>
      <c r="AX1817" s="13" t="s">
        <v>1127</v>
      </c>
      <c r="AY1817" s="13">
        <f t="shared" si="397"/>
        <v>6</v>
      </c>
      <c r="AZ1817" s="13" t="s">
        <v>1148</v>
      </c>
      <c r="BA1817" s="14">
        <f t="shared" si="398"/>
        <v>3</v>
      </c>
      <c r="BB1817" s="14" t="str">
        <f t="shared" si="399"/>
        <v>SR守护灵魂珠-6 等级-3</v>
      </c>
      <c r="BC1817" s="25" t="s">
        <v>44</v>
      </c>
      <c r="BD1817" s="14">
        <f t="shared" si="400"/>
        <v>375</v>
      </c>
      <c r="BE1817" s="14">
        <f>SUMIFS(BD$4:BD1817,$AU$4:$AU1817,"="&amp;$AU1817,$AY$4:$AY1817,"="&amp;$AY1817)</f>
        <v>835</v>
      </c>
      <c r="BF1817" s="25" t="s">
        <v>1157</v>
      </c>
      <c r="BG1817" s="14">
        <f t="shared" si="401"/>
        <v>188</v>
      </c>
      <c r="BH1817" s="14">
        <f>SUMIFS(BG$4:BG1817,AU$4:AU1817,"="&amp;AU1817,AY$4:AY1817,"="&amp;AY1817)</f>
        <v>418</v>
      </c>
      <c r="BI1817" s="25" t="s">
        <v>1158</v>
      </c>
      <c r="BJ1817" s="14">
        <f t="shared" si="402"/>
        <v>7500</v>
      </c>
      <c r="BK1817" s="14">
        <f>SUMIFS(BJ$4:BJ1817,$AU$4:$AU1817,"="&amp;$AU1817,$AY$4:$AY1817,"="&amp;$AY1817)</f>
        <v>16700</v>
      </c>
    </row>
    <row r="1818" spans="46:63" ht="16.5" x14ac:dyDescent="0.2">
      <c r="AT1818" s="13">
        <v>1815</v>
      </c>
      <c r="AU1818" s="13">
        <f t="shared" si="394"/>
        <v>23</v>
      </c>
      <c r="AV1818" s="14">
        <f t="shared" si="395"/>
        <v>299806</v>
      </c>
      <c r="AW1818" s="14">
        <f t="shared" si="396"/>
        <v>1102998</v>
      </c>
      <c r="AX1818" s="13" t="s">
        <v>1127</v>
      </c>
      <c r="AY1818" s="13">
        <f t="shared" si="397"/>
        <v>6</v>
      </c>
      <c r="AZ1818" s="13" t="s">
        <v>1148</v>
      </c>
      <c r="BA1818" s="14">
        <f t="shared" si="398"/>
        <v>4</v>
      </c>
      <c r="BB1818" s="14" t="str">
        <f t="shared" si="399"/>
        <v>SR守护灵魂珠-6 等级-4</v>
      </c>
      <c r="BC1818" s="25" t="s">
        <v>44</v>
      </c>
      <c r="BD1818" s="14">
        <f t="shared" si="400"/>
        <v>560</v>
      </c>
      <c r="BE1818" s="14">
        <f>SUMIFS(BD$4:BD1818,$AU$4:$AU1818,"="&amp;$AU1818,$AY$4:$AY1818,"="&amp;$AY1818)</f>
        <v>1395</v>
      </c>
      <c r="BF1818" s="25" t="s">
        <v>1157</v>
      </c>
      <c r="BG1818" s="14">
        <f t="shared" si="401"/>
        <v>280</v>
      </c>
      <c r="BH1818" s="14">
        <f>SUMIFS(BG$4:BG1818,AU$4:AU1818,"="&amp;AU1818,AY$4:AY1818,"="&amp;AY1818)</f>
        <v>698</v>
      </c>
      <c r="BI1818" s="25" t="s">
        <v>1158</v>
      </c>
      <c r="BJ1818" s="14">
        <f t="shared" si="402"/>
        <v>11200</v>
      </c>
      <c r="BK1818" s="14">
        <f>SUMIFS(BJ$4:BJ1818,$AU$4:$AU1818,"="&amp;$AU1818,$AY$4:$AY1818,"="&amp;$AY1818)</f>
        <v>27900</v>
      </c>
    </row>
    <row r="1819" spans="46:63" ht="16.5" x14ac:dyDescent="0.2">
      <c r="AT1819" s="13">
        <v>1816</v>
      </c>
      <c r="AU1819" s="13">
        <f t="shared" si="394"/>
        <v>23</v>
      </c>
      <c r="AV1819" s="14">
        <f t="shared" si="395"/>
        <v>299806</v>
      </c>
      <c r="AW1819" s="14">
        <f t="shared" si="396"/>
        <v>1102998</v>
      </c>
      <c r="AX1819" s="13" t="s">
        <v>1127</v>
      </c>
      <c r="AY1819" s="13">
        <f t="shared" si="397"/>
        <v>6</v>
      </c>
      <c r="AZ1819" s="13" t="s">
        <v>1148</v>
      </c>
      <c r="BA1819" s="14">
        <f t="shared" si="398"/>
        <v>5</v>
      </c>
      <c r="BB1819" s="14" t="str">
        <f t="shared" si="399"/>
        <v>SR守护灵魂珠-6 等级-5</v>
      </c>
      <c r="BC1819" s="25" t="s">
        <v>44</v>
      </c>
      <c r="BD1819" s="14">
        <f t="shared" si="400"/>
        <v>750</v>
      </c>
      <c r="BE1819" s="14">
        <f>SUMIFS(BD$4:BD1819,$AU$4:$AU1819,"="&amp;$AU1819,$AY$4:$AY1819,"="&amp;$AY1819)</f>
        <v>2145</v>
      </c>
      <c r="BF1819" s="25" t="s">
        <v>1157</v>
      </c>
      <c r="BG1819" s="14">
        <f t="shared" si="401"/>
        <v>375</v>
      </c>
      <c r="BH1819" s="14">
        <f>SUMIFS(BG$4:BG1819,AU$4:AU1819,"="&amp;AU1819,AY$4:AY1819,"="&amp;AY1819)</f>
        <v>1073</v>
      </c>
      <c r="BI1819" s="25" t="s">
        <v>1158</v>
      </c>
      <c r="BJ1819" s="14">
        <f t="shared" si="402"/>
        <v>15000</v>
      </c>
      <c r="BK1819" s="14">
        <f>SUMIFS(BJ$4:BJ1819,$AU$4:$AU1819,"="&amp;$AU1819,$AY$4:$AY1819,"="&amp;$AY1819)</f>
        <v>42900</v>
      </c>
    </row>
    <row r="1820" spans="46:63" ht="16.5" x14ac:dyDescent="0.2">
      <c r="AT1820" s="13">
        <v>1817</v>
      </c>
      <c r="AU1820" s="13">
        <f t="shared" si="394"/>
        <v>23</v>
      </c>
      <c r="AV1820" s="14">
        <f t="shared" si="395"/>
        <v>299806</v>
      </c>
      <c r="AW1820" s="14">
        <f t="shared" si="396"/>
        <v>1102998</v>
      </c>
      <c r="AX1820" s="13" t="s">
        <v>1127</v>
      </c>
      <c r="AY1820" s="13">
        <f t="shared" si="397"/>
        <v>6</v>
      </c>
      <c r="AZ1820" s="13" t="s">
        <v>1148</v>
      </c>
      <c r="BA1820" s="14">
        <f t="shared" si="398"/>
        <v>6</v>
      </c>
      <c r="BB1820" s="14" t="str">
        <f t="shared" si="399"/>
        <v>SR守护灵魂珠-6 等级-6</v>
      </c>
      <c r="BC1820" s="25" t="s">
        <v>44</v>
      </c>
      <c r="BD1820" s="14">
        <f t="shared" si="400"/>
        <v>950</v>
      </c>
      <c r="BE1820" s="14">
        <f>SUMIFS(BD$4:BD1820,$AU$4:$AU1820,"="&amp;$AU1820,$AY$4:$AY1820,"="&amp;$AY1820)</f>
        <v>3095</v>
      </c>
      <c r="BF1820" s="25" t="s">
        <v>1157</v>
      </c>
      <c r="BG1820" s="14">
        <f t="shared" si="401"/>
        <v>475</v>
      </c>
      <c r="BH1820" s="14">
        <f>SUMIFS(BG$4:BG1820,AU$4:AU1820,"="&amp;AU1820,AY$4:AY1820,"="&amp;AY1820)</f>
        <v>1548</v>
      </c>
      <c r="BI1820" s="25" t="s">
        <v>1158</v>
      </c>
      <c r="BJ1820" s="14">
        <f t="shared" si="402"/>
        <v>19000</v>
      </c>
      <c r="BK1820" s="14">
        <f>SUMIFS(BJ$4:BJ1820,$AU$4:$AU1820,"="&amp;$AU1820,$AY$4:$AY1820,"="&amp;$AY1820)</f>
        <v>61900</v>
      </c>
    </row>
    <row r="1821" spans="46:63" ht="16.5" x14ac:dyDescent="0.2">
      <c r="AT1821" s="13">
        <v>1818</v>
      </c>
      <c r="AU1821" s="13">
        <f t="shared" si="394"/>
        <v>23</v>
      </c>
      <c r="AV1821" s="14">
        <f t="shared" si="395"/>
        <v>299806</v>
      </c>
      <c r="AW1821" s="14">
        <f t="shared" si="396"/>
        <v>1102998</v>
      </c>
      <c r="AX1821" s="13" t="s">
        <v>1127</v>
      </c>
      <c r="AY1821" s="13">
        <f t="shared" si="397"/>
        <v>6</v>
      </c>
      <c r="AZ1821" s="13" t="s">
        <v>1148</v>
      </c>
      <c r="BA1821" s="14">
        <f t="shared" si="398"/>
        <v>7</v>
      </c>
      <c r="BB1821" s="14" t="str">
        <f t="shared" si="399"/>
        <v>SR守护灵魂珠-6 等级-7</v>
      </c>
      <c r="BC1821" s="25" t="s">
        <v>44</v>
      </c>
      <c r="BD1821" s="14">
        <f t="shared" si="400"/>
        <v>1150</v>
      </c>
      <c r="BE1821" s="14">
        <f>SUMIFS(BD$4:BD1821,$AU$4:$AU1821,"="&amp;$AU1821,$AY$4:$AY1821,"="&amp;$AY1821)</f>
        <v>4245</v>
      </c>
      <c r="BF1821" s="25" t="s">
        <v>1157</v>
      </c>
      <c r="BG1821" s="14">
        <f t="shared" si="401"/>
        <v>575</v>
      </c>
      <c r="BH1821" s="14">
        <f>SUMIFS(BG$4:BG1821,AU$4:AU1821,"="&amp;AU1821,AY$4:AY1821,"="&amp;AY1821)</f>
        <v>2123</v>
      </c>
      <c r="BI1821" s="25" t="s">
        <v>1158</v>
      </c>
      <c r="BJ1821" s="14">
        <f t="shared" si="402"/>
        <v>23000</v>
      </c>
      <c r="BK1821" s="14">
        <f>SUMIFS(BJ$4:BJ1821,$AU$4:$AU1821,"="&amp;$AU1821,$AY$4:$AY1821,"="&amp;$AY1821)</f>
        <v>84900</v>
      </c>
    </row>
    <row r="1822" spans="46:63" ht="16.5" x14ac:dyDescent="0.2">
      <c r="AT1822" s="13">
        <v>1819</v>
      </c>
      <c r="AU1822" s="13">
        <f t="shared" si="394"/>
        <v>23</v>
      </c>
      <c r="AV1822" s="14">
        <f t="shared" si="395"/>
        <v>299806</v>
      </c>
      <c r="AW1822" s="14">
        <f t="shared" si="396"/>
        <v>1102998</v>
      </c>
      <c r="AX1822" s="13" t="s">
        <v>1127</v>
      </c>
      <c r="AY1822" s="13">
        <f t="shared" si="397"/>
        <v>6</v>
      </c>
      <c r="AZ1822" s="13" t="s">
        <v>1148</v>
      </c>
      <c r="BA1822" s="14">
        <f t="shared" si="398"/>
        <v>8</v>
      </c>
      <c r="BB1822" s="14" t="str">
        <f t="shared" si="399"/>
        <v>SR守护灵魂珠-6 等级-8</v>
      </c>
      <c r="BC1822" s="25" t="s">
        <v>44</v>
      </c>
      <c r="BD1822" s="14">
        <f t="shared" si="400"/>
        <v>1300</v>
      </c>
      <c r="BE1822" s="14">
        <f>SUMIFS(BD$4:BD1822,$AU$4:$AU1822,"="&amp;$AU1822,$AY$4:$AY1822,"="&amp;$AY1822)</f>
        <v>5545</v>
      </c>
      <c r="BF1822" s="25" t="s">
        <v>1157</v>
      </c>
      <c r="BG1822" s="14">
        <f t="shared" si="401"/>
        <v>650</v>
      </c>
      <c r="BH1822" s="14">
        <f>SUMIFS(BG$4:BG1822,AU$4:AU1822,"="&amp;AU1822,AY$4:AY1822,"="&amp;AY1822)</f>
        <v>2773</v>
      </c>
      <c r="BI1822" s="25" t="s">
        <v>1158</v>
      </c>
      <c r="BJ1822" s="14">
        <f t="shared" si="402"/>
        <v>26000</v>
      </c>
      <c r="BK1822" s="14">
        <f>SUMIFS(BJ$4:BJ1822,$AU$4:$AU1822,"="&amp;$AU1822,$AY$4:$AY1822,"="&amp;$AY1822)</f>
        <v>110900</v>
      </c>
    </row>
    <row r="1823" spans="46:63" ht="16.5" x14ac:dyDescent="0.2">
      <c r="AT1823" s="13">
        <v>1820</v>
      </c>
      <c r="AU1823" s="13">
        <f t="shared" si="394"/>
        <v>23</v>
      </c>
      <c r="AV1823" s="14">
        <f t="shared" si="395"/>
        <v>299806</v>
      </c>
      <c r="AW1823" s="14">
        <f t="shared" si="396"/>
        <v>1102998</v>
      </c>
      <c r="AX1823" s="13" t="s">
        <v>1127</v>
      </c>
      <c r="AY1823" s="13">
        <f t="shared" si="397"/>
        <v>6</v>
      </c>
      <c r="AZ1823" s="13" t="s">
        <v>1148</v>
      </c>
      <c r="BA1823" s="14">
        <f t="shared" si="398"/>
        <v>9</v>
      </c>
      <c r="BB1823" s="14" t="str">
        <f t="shared" si="399"/>
        <v>SR守护灵魂珠-6 等级-9</v>
      </c>
      <c r="BC1823" s="25" t="s">
        <v>44</v>
      </c>
      <c r="BD1823" s="14">
        <f t="shared" si="400"/>
        <v>1500</v>
      </c>
      <c r="BE1823" s="14">
        <f>SUMIFS(BD$4:BD1823,$AU$4:$AU1823,"="&amp;$AU1823,$AY$4:$AY1823,"="&amp;$AY1823)</f>
        <v>7045</v>
      </c>
      <c r="BF1823" s="25" t="s">
        <v>1157</v>
      </c>
      <c r="BG1823" s="14">
        <f t="shared" si="401"/>
        <v>750</v>
      </c>
      <c r="BH1823" s="14">
        <f>SUMIFS(BG$4:BG1823,AU$4:AU1823,"="&amp;AU1823,AY$4:AY1823,"="&amp;AY1823)</f>
        <v>3523</v>
      </c>
      <c r="BI1823" s="25" t="s">
        <v>1158</v>
      </c>
      <c r="BJ1823" s="14">
        <f t="shared" si="402"/>
        <v>30000</v>
      </c>
      <c r="BK1823" s="14">
        <f>SUMIFS(BJ$4:BJ1823,$AU$4:$AU1823,"="&amp;$AU1823,$AY$4:$AY1823,"="&amp;$AY1823)</f>
        <v>140900</v>
      </c>
    </row>
    <row r="1824" spans="46:63" ht="16.5" x14ac:dyDescent="0.2">
      <c r="AT1824" s="13">
        <v>1821</v>
      </c>
      <c r="AU1824" s="13">
        <f t="shared" si="394"/>
        <v>23</v>
      </c>
      <c r="AV1824" s="14">
        <f t="shared" si="395"/>
        <v>299807</v>
      </c>
      <c r="AW1824" s="14">
        <f t="shared" si="396"/>
        <v>1102998</v>
      </c>
      <c r="AX1824" s="13" t="s">
        <v>1127</v>
      </c>
      <c r="AY1824" s="13">
        <f t="shared" si="397"/>
        <v>7</v>
      </c>
      <c r="AZ1824" s="13" t="s">
        <v>1148</v>
      </c>
      <c r="BA1824" s="14">
        <f t="shared" si="398"/>
        <v>0</v>
      </c>
      <c r="BB1824" s="14" t="str">
        <f t="shared" si="399"/>
        <v>SR守护灵魂珠-7 等级-0</v>
      </c>
      <c r="BC1824" s="25" t="s">
        <v>44</v>
      </c>
      <c r="BD1824" s="14">
        <f t="shared" si="400"/>
        <v>0</v>
      </c>
      <c r="BE1824" s="14">
        <f>SUMIFS(BD$4:BD1824,$AU$4:$AU1824,"="&amp;$AU1824,$AY$4:$AY1824,"="&amp;$AY1824)</f>
        <v>0</v>
      </c>
      <c r="BF1824" s="25" t="s">
        <v>1157</v>
      </c>
      <c r="BG1824" s="14">
        <f t="shared" si="401"/>
        <v>0</v>
      </c>
      <c r="BH1824" s="14">
        <f>SUMIFS(BG$4:BG1824,AU$4:AU1824,"="&amp;AU1824,AY$4:AY1824,"="&amp;AY1824)</f>
        <v>0</v>
      </c>
      <c r="BI1824" s="25" t="s">
        <v>1158</v>
      </c>
      <c r="BJ1824" s="14">
        <f t="shared" si="402"/>
        <v>0</v>
      </c>
      <c r="BK1824" s="14">
        <f>SUMIFS(BJ$4:BJ1824,$AU$4:$AU1824,"="&amp;$AU1824,$AY$4:$AY1824,"="&amp;$AY1824)</f>
        <v>0</v>
      </c>
    </row>
    <row r="1825" spans="46:63" ht="16.5" x14ac:dyDescent="0.2">
      <c r="AT1825" s="13">
        <v>1822</v>
      </c>
      <c r="AU1825" s="13">
        <f t="shared" si="394"/>
        <v>23</v>
      </c>
      <c r="AV1825" s="14">
        <f t="shared" si="395"/>
        <v>299807</v>
      </c>
      <c r="AW1825" s="14">
        <f t="shared" si="396"/>
        <v>1102998</v>
      </c>
      <c r="AX1825" s="13" t="s">
        <v>1127</v>
      </c>
      <c r="AY1825" s="13">
        <f t="shared" si="397"/>
        <v>7</v>
      </c>
      <c r="AZ1825" s="13" t="s">
        <v>1148</v>
      </c>
      <c r="BA1825" s="14">
        <f t="shared" si="398"/>
        <v>1</v>
      </c>
      <c r="BB1825" s="14" t="str">
        <f t="shared" si="399"/>
        <v>SR守护灵魂珠-7 等级-1</v>
      </c>
      <c r="BC1825" s="25" t="s">
        <v>44</v>
      </c>
      <c r="BD1825" s="14">
        <f t="shared" si="400"/>
        <v>240</v>
      </c>
      <c r="BE1825" s="14">
        <f>SUMIFS(BD$4:BD1825,$AU$4:$AU1825,"="&amp;$AU1825,$AY$4:$AY1825,"="&amp;$AY1825)</f>
        <v>240</v>
      </c>
      <c r="BF1825" s="25" t="s">
        <v>1157</v>
      </c>
      <c r="BG1825" s="14">
        <f t="shared" si="401"/>
        <v>120</v>
      </c>
      <c r="BH1825" s="14">
        <f>SUMIFS(BG$4:BG1825,AU$4:AU1825,"="&amp;AU1825,AY$4:AY1825,"="&amp;AY1825)</f>
        <v>120</v>
      </c>
      <c r="BI1825" s="25" t="s">
        <v>1158</v>
      </c>
      <c r="BJ1825" s="14">
        <f t="shared" si="402"/>
        <v>4800</v>
      </c>
      <c r="BK1825" s="14">
        <f>SUMIFS(BJ$4:BJ1825,$AU$4:$AU1825,"="&amp;$AU1825,$AY$4:$AY1825,"="&amp;$AY1825)</f>
        <v>4800</v>
      </c>
    </row>
    <row r="1826" spans="46:63" ht="16.5" x14ac:dyDescent="0.2">
      <c r="AT1826" s="13">
        <v>1823</v>
      </c>
      <c r="AU1826" s="13">
        <f t="shared" si="394"/>
        <v>23</v>
      </c>
      <c r="AV1826" s="14">
        <f t="shared" si="395"/>
        <v>299807</v>
      </c>
      <c r="AW1826" s="14">
        <f t="shared" si="396"/>
        <v>1102998</v>
      </c>
      <c r="AX1826" s="13" t="s">
        <v>1127</v>
      </c>
      <c r="AY1826" s="13">
        <f t="shared" si="397"/>
        <v>7</v>
      </c>
      <c r="AZ1826" s="13" t="s">
        <v>1148</v>
      </c>
      <c r="BA1826" s="14">
        <f t="shared" si="398"/>
        <v>2</v>
      </c>
      <c r="BB1826" s="14" t="str">
        <f t="shared" si="399"/>
        <v>SR守护灵魂珠-7 等级-2</v>
      </c>
      <c r="BC1826" s="25" t="s">
        <v>44</v>
      </c>
      <c r="BD1826" s="14">
        <f t="shared" si="400"/>
        <v>360</v>
      </c>
      <c r="BE1826" s="14">
        <f>SUMIFS(BD$4:BD1826,$AU$4:$AU1826,"="&amp;$AU1826,$AY$4:$AY1826,"="&amp;$AY1826)</f>
        <v>600</v>
      </c>
      <c r="BF1826" s="25" t="s">
        <v>1157</v>
      </c>
      <c r="BG1826" s="14">
        <f t="shared" si="401"/>
        <v>180</v>
      </c>
      <c r="BH1826" s="14">
        <f>SUMIFS(BG$4:BG1826,AU$4:AU1826,"="&amp;AU1826,AY$4:AY1826,"="&amp;AY1826)</f>
        <v>300</v>
      </c>
      <c r="BI1826" s="25" t="s">
        <v>1158</v>
      </c>
      <c r="BJ1826" s="14">
        <f t="shared" si="402"/>
        <v>7200</v>
      </c>
      <c r="BK1826" s="14">
        <f>SUMIFS(BJ$4:BJ1826,$AU$4:$AU1826,"="&amp;$AU1826,$AY$4:$AY1826,"="&amp;$AY1826)</f>
        <v>12000</v>
      </c>
    </row>
    <row r="1827" spans="46:63" ht="16.5" x14ac:dyDescent="0.2">
      <c r="AT1827" s="13">
        <v>1824</v>
      </c>
      <c r="AU1827" s="13">
        <f t="shared" si="394"/>
        <v>23</v>
      </c>
      <c r="AV1827" s="14">
        <f t="shared" si="395"/>
        <v>299807</v>
      </c>
      <c r="AW1827" s="14">
        <f t="shared" si="396"/>
        <v>1102998</v>
      </c>
      <c r="AX1827" s="13" t="s">
        <v>1127</v>
      </c>
      <c r="AY1827" s="13">
        <f t="shared" si="397"/>
        <v>7</v>
      </c>
      <c r="AZ1827" s="13" t="s">
        <v>1148</v>
      </c>
      <c r="BA1827" s="14">
        <f t="shared" si="398"/>
        <v>3</v>
      </c>
      <c r="BB1827" s="14" t="str">
        <f t="shared" si="399"/>
        <v>SR守护灵魂珠-7 等级-3</v>
      </c>
      <c r="BC1827" s="25" t="s">
        <v>44</v>
      </c>
      <c r="BD1827" s="14">
        <f t="shared" si="400"/>
        <v>480</v>
      </c>
      <c r="BE1827" s="14">
        <f>SUMIFS(BD$4:BD1827,$AU$4:$AU1827,"="&amp;$AU1827,$AY$4:$AY1827,"="&amp;$AY1827)</f>
        <v>1080</v>
      </c>
      <c r="BF1827" s="25" t="s">
        <v>1157</v>
      </c>
      <c r="BG1827" s="14">
        <f t="shared" si="401"/>
        <v>240</v>
      </c>
      <c r="BH1827" s="14">
        <f>SUMIFS(BG$4:BG1827,AU$4:AU1827,"="&amp;AU1827,AY$4:AY1827,"="&amp;AY1827)</f>
        <v>540</v>
      </c>
      <c r="BI1827" s="25" t="s">
        <v>1158</v>
      </c>
      <c r="BJ1827" s="14">
        <f t="shared" si="402"/>
        <v>9600</v>
      </c>
      <c r="BK1827" s="14">
        <f>SUMIFS(BJ$4:BJ1827,$AU$4:$AU1827,"="&amp;$AU1827,$AY$4:$AY1827,"="&amp;$AY1827)</f>
        <v>21600</v>
      </c>
    </row>
    <row r="1828" spans="46:63" ht="16.5" x14ac:dyDescent="0.2">
      <c r="AT1828" s="13">
        <v>1825</v>
      </c>
      <c r="AU1828" s="13">
        <f t="shared" si="394"/>
        <v>23</v>
      </c>
      <c r="AV1828" s="14">
        <f t="shared" si="395"/>
        <v>299807</v>
      </c>
      <c r="AW1828" s="14">
        <f t="shared" si="396"/>
        <v>1102998</v>
      </c>
      <c r="AX1828" s="13" t="s">
        <v>1127</v>
      </c>
      <c r="AY1828" s="13">
        <f t="shared" si="397"/>
        <v>7</v>
      </c>
      <c r="AZ1828" s="13" t="s">
        <v>1148</v>
      </c>
      <c r="BA1828" s="14">
        <f t="shared" si="398"/>
        <v>4</v>
      </c>
      <c r="BB1828" s="14" t="str">
        <f t="shared" si="399"/>
        <v>SR守护灵魂珠-7 等级-4</v>
      </c>
      <c r="BC1828" s="25" t="s">
        <v>44</v>
      </c>
      <c r="BD1828" s="14">
        <f t="shared" si="400"/>
        <v>720</v>
      </c>
      <c r="BE1828" s="14">
        <f>SUMIFS(BD$4:BD1828,$AU$4:$AU1828,"="&amp;$AU1828,$AY$4:$AY1828,"="&amp;$AY1828)</f>
        <v>1800</v>
      </c>
      <c r="BF1828" s="25" t="s">
        <v>1157</v>
      </c>
      <c r="BG1828" s="14">
        <f t="shared" si="401"/>
        <v>360</v>
      </c>
      <c r="BH1828" s="14">
        <f>SUMIFS(BG$4:BG1828,AU$4:AU1828,"="&amp;AU1828,AY$4:AY1828,"="&amp;AY1828)</f>
        <v>900</v>
      </c>
      <c r="BI1828" s="25" t="s">
        <v>1158</v>
      </c>
      <c r="BJ1828" s="14">
        <f t="shared" si="402"/>
        <v>14400</v>
      </c>
      <c r="BK1828" s="14">
        <f>SUMIFS(BJ$4:BJ1828,$AU$4:$AU1828,"="&amp;$AU1828,$AY$4:$AY1828,"="&amp;$AY1828)</f>
        <v>36000</v>
      </c>
    </row>
    <row r="1829" spans="46:63" ht="16.5" x14ac:dyDescent="0.2">
      <c r="AT1829" s="13">
        <v>1826</v>
      </c>
      <c r="AU1829" s="13">
        <f t="shared" si="394"/>
        <v>23</v>
      </c>
      <c r="AV1829" s="14">
        <f t="shared" si="395"/>
        <v>299807</v>
      </c>
      <c r="AW1829" s="14">
        <f t="shared" si="396"/>
        <v>1102998</v>
      </c>
      <c r="AX1829" s="13" t="s">
        <v>1127</v>
      </c>
      <c r="AY1829" s="13">
        <f t="shared" si="397"/>
        <v>7</v>
      </c>
      <c r="AZ1829" s="13" t="s">
        <v>1148</v>
      </c>
      <c r="BA1829" s="14">
        <f t="shared" si="398"/>
        <v>5</v>
      </c>
      <c r="BB1829" s="14" t="str">
        <f t="shared" si="399"/>
        <v>SR守护灵魂珠-7 等级-5</v>
      </c>
      <c r="BC1829" s="25" t="s">
        <v>44</v>
      </c>
      <c r="BD1829" s="14">
        <f t="shared" si="400"/>
        <v>960</v>
      </c>
      <c r="BE1829" s="14">
        <f>SUMIFS(BD$4:BD1829,$AU$4:$AU1829,"="&amp;$AU1829,$AY$4:$AY1829,"="&amp;$AY1829)</f>
        <v>2760</v>
      </c>
      <c r="BF1829" s="25" t="s">
        <v>1157</v>
      </c>
      <c r="BG1829" s="14">
        <f t="shared" si="401"/>
        <v>480</v>
      </c>
      <c r="BH1829" s="14">
        <f>SUMIFS(BG$4:BG1829,AU$4:AU1829,"="&amp;AU1829,AY$4:AY1829,"="&amp;AY1829)</f>
        <v>1380</v>
      </c>
      <c r="BI1829" s="25" t="s">
        <v>1158</v>
      </c>
      <c r="BJ1829" s="14">
        <f t="shared" si="402"/>
        <v>19200</v>
      </c>
      <c r="BK1829" s="14">
        <f>SUMIFS(BJ$4:BJ1829,$AU$4:$AU1829,"="&amp;$AU1829,$AY$4:$AY1829,"="&amp;$AY1829)</f>
        <v>55200</v>
      </c>
    </row>
    <row r="1830" spans="46:63" ht="16.5" x14ac:dyDescent="0.2">
      <c r="AT1830" s="13">
        <v>1827</v>
      </c>
      <c r="AU1830" s="13">
        <f t="shared" si="394"/>
        <v>23</v>
      </c>
      <c r="AV1830" s="14">
        <f t="shared" si="395"/>
        <v>299807</v>
      </c>
      <c r="AW1830" s="14">
        <f t="shared" si="396"/>
        <v>1102998</v>
      </c>
      <c r="AX1830" s="13" t="s">
        <v>1127</v>
      </c>
      <c r="AY1830" s="13">
        <f t="shared" si="397"/>
        <v>7</v>
      </c>
      <c r="AZ1830" s="13" t="s">
        <v>1148</v>
      </c>
      <c r="BA1830" s="14">
        <f t="shared" si="398"/>
        <v>6</v>
      </c>
      <c r="BB1830" s="14" t="str">
        <f t="shared" si="399"/>
        <v>SR守护灵魂珠-7 等级-6</v>
      </c>
      <c r="BC1830" s="25" t="s">
        <v>44</v>
      </c>
      <c r="BD1830" s="14">
        <f t="shared" si="400"/>
        <v>1200</v>
      </c>
      <c r="BE1830" s="14">
        <f>SUMIFS(BD$4:BD1830,$AU$4:$AU1830,"="&amp;$AU1830,$AY$4:$AY1830,"="&amp;$AY1830)</f>
        <v>3960</v>
      </c>
      <c r="BF1830" s="25" t="s">
        <v>1157</v>
      </c>
      <c r="BG1830" s="14">
        <f t="shared" si="401"/>
        <v>600</v>
      </c>
      <c r="BH1830" s="14">
        <f>SUMIFS(BG$4:BG1830,AU$4:AU1830,"="&amp;AU1830,AY$4:AY1830,"="&amp;AY1830)</f>
        <v>1980</v>
      </c>
      <c r="BI1830" s="25" t="s">
        <v>1158</v>
      </c>
      <c r="BJ1830" s="14">
        <f t="shared" si="402"/>
        <v>24000</v>
      </c>
      <c r="BK1830" s="14">
        <f>SUMIFS(BJ$4:BJ1830,$AU$4:$AU1830,"="&amp;$AU1830,$AY$4:$AY1830,"="&amp;$AY1830)</f>
        <v>79200</v>
      </c>
    </row>
    <row r="1831" spans="46:63" ht="16.5" x14ac:dyDescent="0.2">
      <c r="AT1831" s="13">
        <v>1828</v>
      </c>
      <c r="AU1831" s="13">
        <f t="shared" si="394"/>
        <v>23</v>
      </c>
      <c r="AV1831" s="14">
        <f t="shared" si="395"/>
        <v>299807</v>
      </c>
      <c r="AW1831" s="14">
        <f t="shared" si="396"/>
        <v>1102998</v>
      </c>
      <c r="AX1831" s="13" t="s">
        <v>1127</v>
      </c>
      <c r="AY1831" s="13">
        <f t="shared" si="397"/>
        <v>7</v>
      </c>
      <c r="AZ1831" s="13" t="s">
        <v>1148</v>
      </c>
      <c r="BA1831" s="14">
        <f t="shared" si="398"/>
        <v>7</v>
      </c>
      <c r="BB1831" s="14" t="str">
        <f t="shared" si="399"/>
        <v>SR守护灵魂珠-7 等级-7</v>
      </c>
      <c r="BC1831" s="25" t="s">
        <v>44</v>
      </c>
      <c r="BD1831" s="14">
        <f t="shared" si="400"/>
        <v>1440</v>
      </c>
      <c r="BE1831" s="14">
        <f>SUMIFS(BD$4:BD1831,$AU$4:$AU1831,"="&amp;$AU1831,$AY$4:$AY1831,"="&amp;$AY1831)</f>
        <v>5400</v>
      </c>
      <c r="BF1831" s="25" t="s">
        <v>1157</v>
      </c>
      <c r="BG1831" s="14">
        <f t="shared" si="401"/>
        <v>720</v>
      </c>
      <c r="BH1831" s="14">
        <f>SUMIFS(BG$4:BG1831,AU$4:AU1831,"="&amp;AU1831,AY$4:AY1831,"="&amp;AY1831)</f>
        <v>2700</v>
      </c>
      <c r="BI1831" s="25" t="s">
        <v>1158</v>
      </c>
      <c r="BJ1831" s="14">
        <f t="shared" si="402"/>
        <v>28800</v>
      </c>
      <c r="BK1831" s="14">
        <f>SUMIFS(BJ$4:BJ1831,$AU$4:$AU1831,"="&amp;$AU1831,$AY$4:$AY1831,"="&amp;$AY1831)</f>
        <v>108000</v>
      </c>
    </row>
    <row r="1832" spans="46:63" ht="16.5" x14ac:dyDescent="0.2">
      <c r="AT1832" s="13">
        <v>1829</v>
      </c>
      <c r="AU1832" s="13">
        <f t="shared" si="394"/>
        <v>23</v>
      </c>
      <c r="AV1832" s="14">
        <f t="shared" si="395"/>
        <v>299807</v>
      </c>
      <c r="AW1832" s="14">
        <f t="shared" si="396"/>
        <v>1102998</v>
      </c>
      <c r="AX1832" s="13" t="s">
        <v>1127</v>
      </c>
      <c r="AY1832" s="13">
        <f t="shared" si="397"/>
        <v>7</v>
      </c>
      <c r="AZ1832" s="13" t="s">
        <v>1148</v>
      </c>
      <c r="BA1832" s="14">
        <f t="shared" si="398"/>
        <v>8</v>
      </c>
      <c r="BB1832" s="14" t="str">
        <f t="shared" si="399"/>
        <v>SR守护灵魂珠-7 等级-8</v>
      </c>
      <c r="BC1832" s="25" t="s">
        <v>44</v>
      </c>
      <c r="BD1832" s="14">
        <f t="shared" si="400"/>
        <v>1680</v>
      </c>
      <c r="BE1832" s="14">
        <f>SUMIFS(BD$4:BD1832,$AU$4:$AU1832,"="&amp;$AU1832,$AY$4:$AY1832,"="&amp;$AY1832)</f>
        <v>7080</v>
      </c>
      <c r="BF1832" s="25" t="s">
        <v>1157</v>
      </c>
      <c r="BG1832" s="14">
        <f t="shared" si="401"/>
        <v>840</v>
      </c>
      <c r="BH1832" s="14">
        <f>SUMIFS(BG$4:BG1832,AU$4:AU1832,"="&amp;AU1832,AY$4:AY1832,"="&amp;AY1832)</f>
        <v>3540</v>
      </c>
      <c r="BI1832" s="25" t="s">
        <v>1158</v>
      </c>
      <c r="BJ1832" s="14">
        <f t="shared" si="402"/>
        <v>33600</v>
      </c>
      <c r="BK1832" s="14">
        <f>SUMIFS(BJ$4:BJ1832,$AU$4:$AU1832,"="&amp;$AU1832,$AY$4:$AY1832,"="&amp;$AY1832)</f>
        <v>141600</v>
      </c>
    </row>
    <row r="1833" spans="46:63" ht="16.5" x14ac:dyDescent="0.2">
      <c r="AT1833" s="13">
        <v>1830</v>
      </c>
      <c r="AU1833" s="13">
        <f t="shared" si="394"/>
        <v>23</v>
      </c>
      <c r="AV1833" s="14">
        <f t="shared" si="395"/>
        <v>299807</v>
      </c>
      <c r="AW1833" s="14">
        <f t="shared" si="396"/>
        <v>1102998</v>
      </c>
      <c r="AX1833" s="13" t="s">
        <v>1127</v>
      </c>
      <c r="AY1833" s="13">
        <f t="shared" si="397"/>
        <v>7</v>
      </c>
      <c r="AZ1833" s="13" t="s">
        <v>1148</v>
      </c>
      <c r="BA1833" s="14">
        <f t="shared" si="398"/>
        <v>9</v>
      </c>
      <c r="BB1833" s="14" t="str">
        <f t="shared" si="399"/>
        <v>SR守护灵魂珠-7 等级-9</v>
      </c>
      <c r="BC1833" s="25" t="s">
        <v>44</v>
      </c>
      <c r="BD1833" s="14">
        <f t="shared" si="400"/>
        <v>1920</v>
      </c>
      <c r="BE1833" s="14">
        <f>SUMIFS(BD$4:BD1833,$AU$4:$AU1833,"="&amp;$AU1833,$AY$4:$AY1833,"="&amp;$AY1833)</f>
        <v>9000</v>
      </c>
      <c r="BF1833" s="25" t="s">
        <v>1157</v>
      </c>
      <c r="BG1833" s="14">
        <f t="shared" si="401"/>
        <v>960</v>
      </c>
      <c r="BH1833" s="14">
        <f>SUMIFS(BG$4:BG1833,AU$4:AU1833,"="&amp;AU1833,AY$4:AY1833,"="&amp;AY1833)</f>
        <v>4500</v>
      </c>
      <c r="BI1833" s="25" t="s">
        <v>1158</v>
      </c>
      <c r="BJ1833" s="14">
        <f t="shared" si="402"/>
        <v>38400</v>
      </c>
      <c r="BK1833" s="14">
        <f>SUMIFS(BJ$4:BJ1833,$AU$4:$AU1833,"="&amp;$AU1833,$AY$4:$AY1833,"="&amp;$AY1833)</f>
        <v>180000</v>
      </c>
    </row>
    <row r="1834" spans="46:63" ht="16.5" x14ac:dyDescent="0.2">
      <c r="AT1834" s="13">
        <v>1831</v>
      </c>
      <c r="AU1834" s="13">
        <f t="shared" si="394"/>
        <v>23</v>
      </c>
      <c r="AV1834" s="14">
        <f t="shared" si="395"/>
        <v>299808</v>
      </c>
      <c r="AW1834" s="14">
        <f t="shared" si="396"/>
        <v>1102998</v>
      </c>
      <c r="AX1834" s="13" t="s">
        <v>1127</v>
      </c>
      <c r="AY1834" s="13">
        <f t="shared" si="397"/>
        <v>8</v>
      </c>
      <c r="AZ1834" s="13" t="s">
        <v>1148</v>
      </c>
      <c r="BA1834" s="14">
        <f t="shared" si="398"/>
        <v>0</v>
      </c>
      <c r="BB1834" s="14" t="str">
        <f t="shared" si="399"/>
        <v>SR守护灵魂珠-8 等级-0</v>
      </c>
      <c r="BC1834" s="25" t="s">
        <v>44</v>
      </c>
      <c r="BD1834" s="14">
        <f t="shared" si="400"/>
        <v>0</v>
      </c>
      <c r="BE1834" s="14">
        <f>SUMIFS(BD$4:BD1834,$AU$4:$AU1834,"="&amp;$AU1834,$AY$4:$AY1834,"="&amp;$AY1834)</f>
        <v>0</v>
      </c>
      <c r="BF1834" s="25" t="s">
        <v>1157</v>
      </c>
      <c r="BG1834" s="14">
        <f t="shared" si="401"/>
        <v>0</v>
      </c>
      <c r="BH1834" s="14">
        <f>SUMIFS(BG$4:BG1834,AU$4:AU1834,"="&amp;AU1834,AY$4:AY1834,"="&amp;AY1834)</f>
        <v>0</v>
      </c>
      <c r="BI1834" s="25" t="s">
        <v>1158</v>
      </c>
      <c r="BJ1834" s="14">
        <f t="shared" si="402"/>
        <v>0</v>
      </c>
      <c r="BK1834" s="14">
        <f>SUMIFS(BJ$4:BJ1834,$AU$4:$AU1834,"="&amp;$AU1834,$AY$4:$AY1834,"="&amp;$AY1834)</f>
        <v>0</v>
      </c>
    </row>
    <row r="1835" spans="46:63" ht="16.5" x14ac:dyDescent="0.2">
      <c r="AT1835" s="13">
        <v>1832</v>
      </c>
      <c r="AU1835" s="13">
        <f t="shared" si="394"/>
        <v>23</v>
      </c>
      <c r="AV1835" s="14">
        <f t="shared" si="395"/>
        <v>299808</v>
      </c>
      <c r="AW1835" s="14">
        <f t="shared" si="396"/>
        <v>1102998</v>
      </c>
      <c r="AX1835" s="13" t="s">
        <v>1127</v>
      </c>
      <c r="AY1835" s="13">
        <f t="shared" si="397"/>
        <v>8</v>
      </c>
      <c r="AZ1835" s="13" t="s">
        <v>1148</v>
      </c>
      <c r="BA1835" s="14">
        <f t="shared" si="398"/>
        <v>1</v>
      </c>
      <c r="BB1835" s="14" t="str">
        <f t="shared" si="399"/>
        <v>SR守护灵魂珠-8 等级-1</v>
      </c>
      <c r="BC1835" s="25" t="s">
        <v>44</v>
      </c>
      <c r="BD1835" s="14">
        <f t="shared" si="400"/>
        <v>320</v>
      </c>
      <c r="BE1835" s="14">
        <f>SUMIFS(BD$4:BD1835,$AU$4:$AU1835,"="&amp;$AU1835,$AY$4:$AY1835,"="&amp;$AY1835)</f>
        <v>320</v>
      </c>
      <c r="BF1835" s="25" t="s">
        <v>1157</v>
      </c>
      <c r="BG1835" s="14">
        <f t="shared" si="401"/>
        <v>160</v>
      </c>
      <c r="BH1835" s="14">
        <f>SUMIFS(BG$4:BG1835,AU$4:AU1835,"="&amp;AU1835,AY$4:AY1835,"="&amp;AY1835)</f>
        <v>160</v>
      </c>
      <c r="BI1835" s="25" t="s">
        <v>1158</v>
      </c>
      <c r="BJ1835" s="14">
        <f t="shared" si="402"/>
        <v>6400</v>
      </c>
      <c r="BK1835" s="14">
        <f>SUMIFS(BJ$4:BJ1835,$AU$4:$AU1835,"="&amp;$AU1835,$AY$4:$AY1835,"="&amp;$AY1835)</f>
        <v>6400</v>
      </c>
    </row>
    <row r="1836" spans="46:63" ht="16.5" x14ac:dyDescent="0.2">
      <c r="AT1836" s="13">
        <v>1833</v>
      </c>
      <c r="AU1836" s="13">
        <f t="shared" si="394"/>
        <v>23</v>
      </c>
      <c r="AV1836" s="14">
        <f t="shared" si="395"/>
        <v>299808</v>
      </c>
      <c r="AW1836" s="14">
        <f t="shared" si="396"/>
        <v>1102998</v>
      </c>
      <c r="AX1836" s="13" t="s">
        <v>1127</v>
      </c>
      <c r="AY1836" s="13">
        <f t="shared" si="397"/>
        <v>8</v>
      </c>
      <c r="AZ1836" s="13" t="s">
        <v>1148</v>
      </c>
      <c r="BA1836" s="14">
        <f t="shared" si="398"/>
        <v>2</v>
      </c>
      <c r="BB1836" s="14" t="str">
        <f t="shared" si="399"/>
        <v>SR守护灵魂珠-8 等级-2</v>
      </c>
      <c r="BC1836" s="25" t="s">
        <v>44</v>
      </c>
      <c r="BD1836" s="14">
        <f t="shared" si="400"/>
        <v>480</v>
      </c>
      <c r="BE1836" s="14">
        <f>SUMIFS(BD$4:BD1836,$AU$4:$AU1836,"="&amp;$AU1836,$AY$4:$AY1836,"="&amp;$AY1836)</f>
        <v>800</v>
      </c>
      <c r="BF1836" s="25" t="s">
        <v>1157</v>
      </c>
      <c r="BG1836" s="14">
        <f t="shared" si="401"/>
        <v>240</v>
      </c>
      <c r="BH1836" s="14">
        <f>SUMIFS(BG$4:BG1836,AU$4:AU1836,"="&amp;AU1836,AY$4:AY1836,"="&amp;AY1836)</f>
        <v>400</v>
      </c>
      <c r="BI1836" s="25" t="s">
        <v>1158</v>
      </c>
      <c r="BJ1836" s="14">
        <f t="shared" si="402"/>
        <v>9600</v>
      </c>
      <c r="BK1836" s="14">
        <f>SUMIFS(BJ$4:BJ1836,$AU$4:$AU1836,"="&amp;$AU1836,$AY$4:$AY1836,"="&amp;$AY1836)</f>
        <v>16000</v>
      </c>
    </row>
    <row r="1837" spans="46:63" ht="16.5" x14ac:dyDescent="0.2">
      <c r="AT1837" s="13">
        <v>1834</v>
      </c>
      <c r="AU1837" s="13">
        <f t="shared" si="394"/>
        <v>23</v>
      </c>
      <c r="AV1837" s="14">
        <f t="shared" si="395"/>
        <v>299808</v>
      </c>
      <c r="AW1837" s="14">
        <f t="shared" si="396"/>
        <v>1102998</v>
      </c>
      <c r="AX1837" s="13" t="s">
        <v>1127</v>
      </c>
      <c r="AY1837" s="13">
        <f t="shared" si="397"/>
        <v>8</v>
      </c>
      <c r="AZ1837" s="13" t="s">
        <v>1148</v>
      </c>
      <c r="BA1837" s="14">
        <f t="shared" si="398"/>
        <v>3</v>
      </c>
      <c r="BB1837" s="14" t="str">
        <f t="shared" si="399"/>
        <v>SR守护灵魂珠-8 等级-3</v>
      </c>
      <c r="BC1837" s="25" t="s">
        <v>44</v>
      </c>
      <c r="BD1837" s="14">
        <f t="shared" si="400"/>
        <v>640</v>
      </c>
      <c r="BE1837" s="14">
        <f>SUMIFS(BD$4:BD1837,$AU$4:$AU1837,"="&amp;$AU1837,$AY$4:$AY1837,"="&amp;$AY1837)</f>
        <v>1440</v>
      </c>
      <c r="BF1837" s="25" t="s">
        <v>1157</v>
      </c>
      <c r="BG1837" s="14">
        <f t="shared" si="401"/>
        <v>320</v>
      </c>
      <c r="BH1837" s="14">
        <f>SUMIFS(BG$4:BG1837,AU$4:AU1837,"="&amp;AU1837,AY$4:AY1837,"="&amp;AY1837)</f>
        <v>720</v>
      </c>
      <c r="BI1837" s="25" t="s">
        <v>1158</v>
      </c>
      <c r="BJ1837" s="14">
        <f t="shared" si="402"/>
        <v>12800</v>
      </c>
      <c r="BK1837" s="14">
        <f>SUMIFS(BJ$4:BJ1837,$AU$4:$AU1837,"="&amp;$AU1837,$AY$4:$AY1837,"="&amp;$AY1837)</f>
        <v>28800</v>
      </c>
    </row>
    <row r="1838" spans="46:63" ht="16.5" x14ac:dyDescent="0.2">
      <c r="AT1838" s="13">
        <v>1835</v>
      </c>
      <c r="AU1838" s="13">
        <f t="shared" si="394"/>
        <v>23</v>
      </c>
      <c r="AV1838" s="14">
        <f t="shared" si="395"/>
        <v>299808</v>
      </c>
      <c r="AW1838" s="14">
        <f t="shared" si="396"/>
        <v>1102998</v>
      </c>
      <c r="AX1838" s="13" t="s">
        <v>1127</v>
      </c>
      <c r="AY1838" s="13">
        <f t="shared" si="397"/>
        <v>8</v>
      </c>
      <c r="AZ1838" s="13" t="s">
        <v>1148</v>
      </c>
      <c r="BA1838" s="14">
        <f t="shared" si="398"/>
        <v>4</v>
      </c>
      <c r="BB1838" s="14" t="str">
        <f t="shared" si="399"/>
        <v>SR守护灵魂珠-8 等级-4</v>
      </c>
      <c r="BC1838" s="25" t="s">
        <v>44</v>
      </c>
      <c r="BD1838" s="14">
        <f t="shared" si="400"/>
        <v>960</v>
      </c>
      <c r="BE1838" s="14">
        <f>SUMIFS(BD$4:BD1838,$AU$4:$AU1838,"="&amp;$AU1838,$AY$4:$AY1838,"="&amp;$AY1838)</f>
        <v>2400</v>
      </c>
      <c r="BF1838" s="25" t="s">
        <v>1157</v>
      </c>
      <c r="BG1838" s="14">
        <f t="shared" si="401"/>
        <v>480</v>
      </c>
      <c r="BH1838" s="14">
        <f>SUMIFS(BG$4:BG1838,AU$4:AU1838,"="&amp;AU1838,AY$4:AY1838,"="&amp;AY1838)</f>
        <v>1200</v>
      </c>
      <c r="BI1838" s="25" t="s">
        <v>1158</v>
      </c>
      <c r="BJ1838" s="14">
        <f t="shared" si="402"/>
        <v>19200</v>
      </c>
      <c r="BK1838" s="14">
        <f>SUMIFS(BJ$4:BJ1838,$AU$4:$AU1838,"="&amp;$AU1838,$AY$4:$AY1838,"="&amp;$AY1838)</f>
        <v>48000</v>
      </c>
    </row>
    <row r="1839" spans="46:63" ht="16.5" x14ac:dyDescent="0.2">
      <c r="AT1839" s="13">
        <v>1836</v>
      </c>
      <c r="AU1839" s="13">
        <f t="shared" si="394"/>
        <v>23</v>
      </c>
      <c r="AV1839" s="14">
        <f t="shared" si="395"/>
        <v>299808</v>
      </c>
      <c r="AW1839" s="14">
        <f t="shared" si="396"/>
        <v>1102998</v>
      </c>
      <c r="AX1839" s="13" t="s">
        <v>1127</v>
      </c>
      <c r="AY1839" s="13">
        <f t="shared" si="397"/>
        <v>8</v>
      </c>
      <c r="AZ1839" s="13" t="s">
        <v>1148</v>
      </c>
      <c r="BA1839" s="14">
        <f t="shared" si="398"/>
        <v>5</v>
      </c>
      <c r="BB1839" s="14" t="str">
        <f t="shared" si="399"/>
        <v>SR守护灵魂珠-8 等级-5</v>
      </c>
      <c r="BC1839" s="25" t="s">
        <v>44</v>
      </c>
      <c r="BD1839" s="14">
        <f t="shared" si="400"/>
        <v>1280</v>
      </c>
      <c r="BE1839" s="14">
        <f>SUMIFS(BD$4:BD1839,$AU$4:$AU1839,"="&amp;$AU1839,$AY$4:$AY1839,"="&amp;$AY1839)</f>
        <v>3680</v>
      </c>
      <c r="BF1839" s="25" t="s">
        <v>1157</v>
      </c>
      <c r="BG1839" s="14">
        <f t="shared" si="401"/>
        <v>640</v>
      </c>
      <c r="BH1839" s="14">
        <f>SUMIFS(BG$4:BG1839,AU$4:AU1839,"="&amp;AU1839,AY$4:AY1839,"="&amp;AY1839)</f>
        <v>1840</v>
      </c>
      <c r="BI1839" s="25" t="s">
        <v>1158</v>
      </c>
      <c r="BJ1839" s="14">
        <f t="shared" si="402"/>
        <v>25600</v>
      </c>
      <c r="BK1839" s="14">
        <f>SUMIFS(BJ$4:BJ1839,$AU$4:$AU1839,"="&amp;$AU1839,$AY$4:$AY1839,"="&amp;$AY1839)</f>
        <v>73600</v>
      </c>
    </row>
    <row r="1840" spans="46:63" ht="16.5" x14ac:dyDescent="0.2">
      <c r="AT1840" s="13">
        <v>1837</v>
      </c>
      <c r="AU1840" s="13">
        <f t="shared" si="394"/>
        <v>23</v>
      </c>
      <c r="AV1840" s="14">
        <f t="shared" si="395"/>
        <v>299808</v>
      </c>
      <c r="AW1840" s="14">
        <f t="shared" si="396"/>
        <v>1102998</v>
      </c>
      <c r="AX1840" s="13" t="s">
        <v>1127</v>
      </c>
      <c r="AY1840" s="13">
        <f t="shared" si="397"/>
        <v>8</v>
      </c>
      <c r="AZ1840" s="13" t="s">
        <v>1148</v>
      </c>
      <c r="BA1840" s="14">
        <f t="shared" si="398"/>
        <v>6</v>
      </c>
      <c r="BB1840" s="14" t="str">
        <f t="shared" si="399"/>
        <v>SR守护灵魂珠-8 等级-6</v>
      </c>
      <c r="BC1840" s="25" t="s">
        <v>44</v>
      </c>
      <c r="BD1840" s="14">
        <f t="shared" si="400"/>
        <v>1600</v>
      </c>
      <c r="BE1840" s="14">
        <f>SUMIFS(BD$4:BD1840,$AU$4:$AU1840,"="&amp;$AU1840,$AY$4:$AY1840,"="&amp;$AY1840)</f>
        <v>5280</v>
      </c>
      <c r="BF1840" s="25" t="s">
        <v>1157</v>
      </c>
      <c r="BG1840" s="14">
        <f t="shared" si="401"/>
        <v>800</v>
      </c>
      <c r="BH1840" s="14">
        <f>SUMIFS(BG$4:BG1840,AU$4:AU1840,"="&amp;AU1840,AY$4:AY1840,"="&amp;AY1840)</f>
        <v>2640</v>
      </c>
      <c r="BI1840" s="25" t="s">
        <v>1158</v>
      </c>
      <c r="BJ1840" s="14">
        <f t="shared" si="402"/>
        <v>32000</v>
      </c>
      <c r="BK1840" s="14">
        <f>SUMIFS(BJ$4:BJ1840,$AU$4:$AU1840,"="&amp;$AU1840,$AY$4:$AY1840,"="&amp;$AY1840)</f>
        <v>105600</v>
      </c>
    </row>
    <row r="1841" spans="46:63" ht="16.5" x14ac:dyDescent="0.2">
      <c r="AT1841" s="13">
        <v>1838</v>
      </c>
      <c r="AU1841" s="13">
        <f t="shared" si="394"/>
        <v>23</v>
      </c>
      <c r="AV1841" s="14">
        <f t="shared" si="395"/>
        <v>299808</v>
      </c>
      <c r="AW1841" s="14">
        <f t="shared" si="396"/>
        <v>1102998</v>
      </c>
      <c r="AX1841" s="13" t="s">
        <v>1127</v>
      </c>
      <c r="AY1841" s="13">
        <f t="shared" si="397"/>
        <v>8</v>
      </c>
      <c r="AZ1841" s="13" t="s">
        <v>1148</v>
      </c>
      <c r="BA1841" s="14">
        <f t="shared" si="398"/>
        <v>7</v>
      </c>
      <c r="BB1841" s="14" t="str">
        <f t="shared" si="399"/>
        <v>SR守护灵魂珠-8 等级-7</v>
      </c>
      <c r="BC1841" s="25" t="s">
        <v>44</v>
      </c>
      <c r="BD1841" s="14">
        <f t="shared" si="400"/>
        <v>1920</v>
      </c>
      <c r="BE1841" s="14">
        <f>SUMIFS(BD$4:BD1841,$AU$4:$AU1841,"="&amp;$AU1841,$AY$4:$AY1841,"="&amp;$AY1841)</f>
        <v>7200</v>
      </c>
      <c r="BF1841" s="25" t="s">
        <v>1157</v>
      </c>
      <c r="BG1841" s="14">
        <f t="shared" si="401"/>
        <v>960</v>
      </c>
      <c r="BH1841" s="14">
        <f>SUMIFS(BG$4:BG1841,AU$4:AU1841,"="&amp;AU1841,AY$4:AY1841,"="&amp;AY1841)</f>
        <v>3600</v>
      </c>
      <c r="BI1841" s="25" t="s">
        <v>1158</v>
      </c>
      <c r="BJ1841" s="14">
        <f t="shared" si="402"/>
        <v>38400</v>
      </c>
      <c r="BK1841" s="14">
        <f>SUMIFS(BJ$4:BJ1841,$AU$4:$AU1841,"="&amp;$AU1841,$AY$4:$AY1841,"="&amp;$AY1841)</f>
        <v>144000</v>
      </c>
    </row>
    <row r="1842" spans="46:63" ht="16.5" x14ac:dyDescent="0.2">
      <c r="AT1842" s="13">
        <v>1839</v>
      </c>
      <c r="AU1842" s="13">
        <f t="shared" si="394"/>
        <v>23</v>
      </c>
      <c r="AV1842" s="14">
        <f t="shared" si="395"/>
        <v>299808</v>
      </c>
      <c r="AW1842" s="14">
        <f t="shared" si="396"/>
        <v>1102998</v>
      </c>
      <c r="AX1842" s="13" t="s">
        <v>1127</v>
      </c>
      <c r="AY1842" s="13">
        <f t="shared" si="397"/>
        <v>8</v>
      </c>
      <c r="AZ1842" s="13" t="s">
        <v>1148</v>
      </c>
      <c r="BA1842" s="14">
        <f t="shared" si="398"/>
        <v>8</v>
      </c>
      <c r="BB1842" s="14" t="str">
        <f t="shared" si="399"/>
        <v>SR守护灵魂珠-8 等级-8</v>
      </c>
      <c r="BC1842" s="25" t="s">
        <v>44</v>
      </c>
      <c r="BD1842" s="14">
        <f t="shared" si="400"/>
        <v>2240</v>
      </c>
      <c r="BE1842" s="14">
        <f>SUMIFS(BD$4:BD1842,$AU$4:$AU1842,"="&amp;$AU1842,$AY$4:$AY1842,"="&amp;$AY1842)</f>
        <v>9440</v>
      </c>
      <c r="BF1842" s="25" t="s">
        <v>1157</v>
      </c>
      <c r="BG1842" s="14">
        <f t="shared" si="401"/>
        <v>1120</v>
      </c>
      <c r="BH1842" s="14">
        <f>SUMIFS(BG$4:BG1842,AU$4:AU1842,"="&amp;AU1842,AY$4:AY1842,"="&amp;AY1842)</f>
        <v>4720</v>
      </c>
      <c r="BI1842" s="25" t="s">
        <v>1158</v>
      </c>
      <c r="BJ1842" s="14">
        <f t="shared" si="402"/>
        <v>44800</v>
      </c>
      <c r="BK1842" s="14">
        <f>SUMIFS(BJ$4:BJ1842,$AU$4:$AU1842,"="&amp;$AU1842,$AY$4:$AY1842,"="&amp;$AY1842)</f>
        <v>188800</v>
      </c>
    </row>
    <row r="1843" spans="46:63" ht="16.5" x14ac:dyDescent="0.2">
      <c r="AT1843" s="13">
        <v>1840</v>
      </c>
      <c r="AU1843" s="13">
        <f t="shared" si="394"/>
        <v>23</v>
      </c>
      <c r="AV1843" s="14">
        <f t="shared" si="395"/>
        <v>299808</v>
      </c>
      <c r="AW1843" s="14">
        <f t="shared" si="396"/>
        <v>1102998</v>
      </c>
      <c r="AX1843" s="13" t="s">
        <v>1127</v>
      </c>
      <c r="AY1843" s="13">
        <f t="shared" si="397"/>
        <v>8</v>
      </c>
      <c r="AZ1843" s="13" t="s">
        <v>1148</v>
      </c>
      <c r="BA1843" s="14">
        <f t="shared" si="398"/>
        <v>9</v>
      </c>
      <c r="BB1843" s="14" t="str">
        <f t="shared" si="399"/>
        <v>SR守护灵魂珠-8 等级-9</v>
      </c>
      <c r="BC1843" s="25" t="s">
        <v>44</v>
      </c>
      <c r="BD1843" s="14">
        <f t="shared" si="400"/>
        <v>2560</v>
      </c>
      <c r="BE1843" s="14">
        <f>SUMIFS(BD$4:BD1843,$AU$4:$AU1843,"="&amp;$AU1843,$AY$4:$AY1843,"="&amp;$AY1843)</f>
        <v>12000</v>
      </c>
      <c r="BF1843" s="25" t="s">
        <v>1157</v>
      </c>
      <c r="BG1843" s="14">
        <f t="shared" si="401"/>
        <v>1280</v>
      </c>
      <c r="BH1843" s="14">
        <f>SUMIFS(BG$4:BG1843,AU$4:AU1843,"="&amp;AU1843,AY$4:AY1843,"="&amp;AY1843)</f>
        <v>6000</v>
      </c>
      <c r="BI1843" s="25" t="s">
        <v>1158</v>
      </c>
      <c r="BJ1843" s="14">
        <f t="shared" si="402"/>
        <v>51200</v>
      </c>
      <c r="BK1843" s="14">
        <f>SUMIFS(BJ$4:BJ1843,$AU$4:$AU1843,"="&amp;$AU1843,$AY$4:$AY1843,"="&amp;$AY1843)</f>
        <v>240000</v>
      </c>
    </row>
    <row r="1844" spans="46:63" ht="16.5" x14ac:dyDescent="0.2">
      <c r="AT1844" s="13">
        <v>1841</v>
      </c>
      <c r="AU1844" s="13">
        <f t="shared" si="394"/>
        <v>24</v>
      </c>
      <c r="AV1844" s="14">
        <f t="shared" si="395"/>
        <v>299701</v>
      </c>
      <c r="AW1844" s="14">
        <f t="shared" si="396"/>
        <v>1102997</v>
      </c>
      <c r="AX1844" s="13" t="s">
        <v>1127</v>
      </c>
      <c r="AY1844" s="13">
        <f t="shared" si="397"/>
        <v>1</v>
      </c>
      <c r="AZ1844" s="13" t="s">
        <v>1148</v>
      </c>
      <c r="BA1844" s="14">
        <f t="shared" si="398"/>
        <v>0</v>
      </c>
      <c r="BB1844" s="14" t="str">
        <f t="shared" si="399"/>
        <v>SSR守护灵魂珠-1 等级-0</v>
      </c>
      <c r="BC1844" s="25" t="s">
        <v>44</v>
      </c>
      <c r="BD1844" s="14">
        <f t="shared" si="400"/>
        <v>0</v>
      </c>
      <c r="BE1844" s="14">
        <f>SUMIFS(BD$4:BD1844,$AU$4:$AU1844,"="&amp;$AU1844,$AY$4:$AY1844,"="&amp;$AY1844)</f>
        <v>0</v>
      </c>
      <c r="BF1844" s="25" t="s">
        <v>1157</v>
      </c>
      <c r="BG1844" s="14">
        <f t="shared" si="401"/>
        <v>0</v>
      </c>
      <c r="BH1844" s="14">
        <f>SUMIFS(BG$4:BG1844,AU$4:AU1844,"="&amp;AU1844,AY$4:AY1844,"="&amp;AY1844)</f>
        <v>0</v>
      </c>
      <c r="BI1844" s="25" t="s">
        <v>1158</v>
      </c>
      <c r="BJ1844" s="14">
        <f t="shared" si="402"/>
        <v>0</v>
      </c>
      <c r="BK1844" s="14">
        <f>SUMIFS(BJ$4:BJ1844,$AU$4:$AU1844,"="&amp;$AU1844,$AY$4:$AY1844,"="&amp;$AY1844)</f>
        <v>0</v>
      </c>
    </row>
    <row r="1845" spans="46:63" ht="16.5" x14ac:dyDescent="0.2">
      <c r="AT1845" s="13">
        <v>1842</v>
      </c>
      <c r="AU1845" s="13">
        <f t="shared" si="394"/>
        <v>24</v>
      </c>
      <c r="AV1845" s="14">
        <f t="shared" si="395"/>
        <v>299701</v>
      </c>
      <c r="AW1845" s="14">
        <f t="shared" si="396"/>
        <v>1102997</v>
      </c>
      <c r="AX1845" s="13" t="s">
        <v>1127</v>
      </c>
      <c r="AY1845" s="13">
        <f t="shared" si="397"/>
        <v>1</v>
      </c>
      <c r="AZ1845" s="13" t="s">
        <v>1148</v>
      </c>
      <c r="BA1845" s="14">
        <f t="shared" si="398"/>
        <v>1</v>
      </c>
      <c r="BB1845" s="14" t="str">
        <f t="shared" si="399"/>
        <v>SSR守护灵魂珠-1 等级-1</v>
      </c>
      <c r="BC1845" s="25" t="s">
        <v>44</v>
      </c>
      <c r="BD1845" s="14">
        <f t="shared" si="400"/>
        <v>48</v>
      </c>
      <c r="BE1845" s="14">
        <f>SUMIFS(BD$4:BD1845,$AU$4:$AU1845,"="&amp;$AU1845,$AY$4:$AY1845,"="&amp;$AY1845)</f>
        <v>48</v>
      </c>
      <c r="BF1845" s="25" t="s">
        <v>1157</v>
      </c>
      <c r="BG1845" s="14">
        <f t="shared" si="401"/>
        <v>22</v>
      </c>
      <c r="BH1845" s="14">
        <f>SUMIFS(BG$4:BG1845,AU$4:AU1845,"="&amp;AU1845,AY$4:AY1845,"="&amp;AY1845)</f>
        <v>22</v>
      </c>
      <c r="BI1845" s="25" t="s">
        <v>1158</v>
      </c>
      <c r="BJ1845" s="14">
        <f t="shared" si="402"/>
        <v>880</v>
      </c>
      <c r="BK1845" s="14">
        <f>SUMIFS(BJ$4:BJ1845,$AU$4:$AU1845,"="&amp;$AU1845,$AY$4:$AY1845,"="&amp;$AY1845)</f>
        <v>880</v>
      </c>
    </row>
    <row r="1846" spans="46:63" ht="16.5" x14ac:dyDescent="0.2">
      <c r="AT1846" s="13">
        <v>1843</v>
      </c>
      <c r="AU1846" s="13">
        <f t="shared" si="394"/>
        <v>24</v>
      </c>
      <c r="AV1846" s="14">
        <f t="shared" si="395"/>
        <v>299701</v>
      </c>
      <c r="AW1846" s="14">
        <f t="shared" si="396"/>
        <v>1102997</v>
      </c>
      <c r="AX1846" s="13" t="s">
        <v>1127</v>
      </c>
      <c r="AY1846" s="13">
        <f t="shared" si="397"/>
        <v>1</v>
      </c>
      <c r="AZ1846" s="13" t="s">
        <v>1148</v>
      </c>
      <c r="BA1846" s="14">
        <f t="shared" si="398"/>
        <v>2</v>
      </c>
      <c r="BB1846" s="14" t="str">
        <f t="shared" si="399"/>
        <v>SSR守护灵魂珠-1 等级-2</v>
      </c>
      <c r="BC1846" s="25" t="s">
        <v>44</v>
      </c>
      <c r="BD1846" s="14">
        <f t="shared" si="400"/>
        <v>72</v>
      </c>
      <c r="BE1846" s="14">
        <f>SUMIFS(BD$4:BD1846,$AU$4:$AU1846,"="&amp;$AU1846,$AY$4:$AY1846,"="&amp;$AY1846)</f>
        <v>120</v>
      </c>
      <c r="BF1846" s="25" t="s">
        <v>1157</v>
      </c>
      <c r="BG1846" s="14">
        <f t="shared" si="401"/>
        <v>33</v>
      </c>
      <c r="BH1846" s="14">
        <f>SUMIFS(BG$4:BG1846,AU$4:AU1846,"="&amp;AU1846,AY$4:AY1846,"="&amp;AY1846)</f>
        <v>55</v>
      </c>
      <c r="BI1846" s="25" t="s">
        <v>1158</v>
      </c>
      <c r="BJ1846" s="14">
        <f t="shared" si="402"/>
        <v>1320</v>
      </c>
      <c r="BK1846" s="14">
        <f>SUMIFS(BJ$4:BJ1846,$AU$4:$AU1846,"="&amp;$AU1846,$AY$4:$AY1846,"="&amp;$AY1846)</f>
        <v>2200</v>
      </c>
    </row>
    <row r="1847" spans="46:63" ht="16.5" x14ac:dyDescent="0.2">
      <c r="AT1847" s="13">
        <v>1844</v>
      </c>
      <c r="AU1847" s="13">
        <f t="shared" si="394"/>
        <v>24</v>
      </c>
      <c r="AV1847" s="14">
        <f t="shared" si="395"/>
        <v>299701</v>
      </c>
      <c r="AW1847" s="14">
        <f t="shared" si="396"/>
        <v>1102997</v>
      </c>
      <c r="AX1847" s="13" t="s">
        <v>1127</v>
      </c>
      <c r="AY1847" s="13">
        <f t="shared" si="397"/>
        <v>1</v>
      </c>
      <c r="AZ1847" s="13" t="s">
        <v>1148</v>
      </c>
      <c r="BA1847" s="14">
        <f t="shared" si="398"/>
        <v>3</v>
      </c>
      <c r="BB1847" s="14" t="str">
        <f t="shared" si="399"/>
        <v>SSR守护灵魂珠-1 等级-3</v>
      </c>
      <c r="BC1847" s="25" t="s">
        <v>44</v>
      </c>
      <c r="BD1847" s="14">
        <f t="shared" si="400"/>
        <v>96</v>
      </c>
      <c r="BE1847" s="14">
        <f>SUMIFS(BD$4:BD1847,$AU$4:$AU1847,"="&amp;$AU1847,$AY$4:$AY1847,"="&amp;$AY1847)</f>
        <v>216</v>
      </c>
      <c r="BF1847" s="25" t="s">
        <v>1157</v>
      </c>
      <c r="BG1847" s="14">
        <f t="shared" si="401"/>
        <v>44</v>
      </c>
      <c r="BH1847" s="14">
        <f>SUMIFS(BG$4:BG1847,AU$4:AU1847,"="&amp;AU1847,AY$4:AY1847,"="&amp;AY1847)</f>
        <v>99</v>
      </c>
      <c r="BI1847" s="25" t="s">
        <v>1158</v>
      </c>
      <c r="BJ1847" s="14">
        <f t="shared" si="402"/>
        <v>1760</v>
      </c>
      <c r="BK1847" s="14">
        <f>SUMIFS(BJ$4:BJ1847,$AU$4:$AU1847,"="&amp;$AU1847,$AY$4:$AY1847,"="&amp;$AY1847)</f>
        <v>3960</v>
      </c>
    </row>
    <row r="1848" spans="46:63" ht="16.5" x14ac:dyDescent="0.2">
      <c r="AT1848" s="13">
        <v>1845</v>
      </c>
      <c r="AU1848" s="13">
        <f t="shared" si="394"/>
        <v>24</v>
      </c>
      <c r="AV1848" s="14">
        <f t="shared" si="395"/>
        <v>299701</v>
      </c>
      <c r="AW1848" s="14">
        <f t="shared" si="396"/>
        <v>1102997</v>
      </c>
      <c r="AX1848" s="13" t="s">
        <v>1127</v>
      </c>
      <c r="AY1848" s="13">
        <f t="shared" si="397"/>
        <v>1</v>
      </c>
      <c r="AZ1848" s="13" t="s">
        <v>1148</v>
      </c>
      <c r="BA1848" s="14">
        <f t="shared" si="398"/>
        <v>4</v>
      </c>
      <c r="BB1848" s="14" t="str">
        <f t="shared" si="399"/>
        <v>SSR守护灵魂珠-1 等级-4</v>
      </c>
      <c r="BC1848" s="25" t="s">
        <v>44</v>
      </c>
      <c r="BD1848" s="14">
        <f t="shared" si="400"/>
        <v>144</v>
      </c>
      <c r="BE1848" s="14">
        <f>SUMIFS(BD$4:BD1848,$AU$4:$AU1848,"="&amp;$AU1848,$AY$4:$AY1848,"="&amp;$AY1848)</f>
        <v>360</v>
      </c>
      <c r="BF1848" s="25" t="s">
        <v>1157</v>
      </c>
      <c r="BG1848" s="14">
        <f t="shared" si="401"/>
        <v>66</v>
      </c>
      <c r="BH1848" s="14">
        <f>SUMIFS(BG$4:BG1848,AU$4:AU1848,"="&amp;AU1848,AY$4:AY1848,"="&amp;AY1848)</f>
        <v>165</v>
      </c>
      <c r="BI1848" s="25" t="s">
        <v>1158</v>
      </c>
      <c r="BJ1848" s="14">
        <f t="shared" si="402"/>
        <v>2640</v>
      </c>
      <c r="BK1848" s="14">
        <f>SUMIFS(BJ$4:BJ1848,$AU$4:$AU1848,"="&amp;$AU1848,$AY$4:$AY1848,"="&amp;$AY1848)</f>
        <v>6600</v>
      </c>
    </row>
    <row r="1849" spans="46:63" ht="16.5" x14ac:dyDescent="0.2">
      <c r="AT1849" s="13">
        <v>1846</v>
      </c>
      <c r="AU1849" s="13">
        <f t="shared" si="394"/>
        <v>24</v>
      </c>
      <c r="AV1849" s="14">
        <f t="shared" si="395"/>
        <v>299701</v>
      </c>
      <c r="AW1849" s="14">
        <f t="shared" si="396"/>
        <v>1102997</v>
      </c>
      <c r="AX1849" s="13" t="s">
        <v>1127</v>
      </c>
      <c r="AY1849" s="13">
        <f t="shared" si="397"/>
        <v>1</v>
      </c>
      <c r="AZ1849" s="13" t="s">
        <v>1148</v>
      </c>
      <c r="BA1849" s="14">
        <f t="shared" si="398"/>
        <v>5</v>
      </c>
      <c r="BB1849" s="14" t="str">
        <f t="shared" si="399"/>
        <v>SSR守护灵魂珠-1 等级-5</v>
      </c>
      <c r="BC1849" s="25" t="s">
        <v>44</v>
      </c>
      <c r="BD1849" s="14">
        <f t="shared" si="400"/>
        <v>192</v>
      </c>
      <c r="BE1849" s="14">
        <f>SUMIFS(BD$4:BD1849,$AU$4:$AU1849,"="&amp;$AU1849,$AY$4:$AY1849,"="&amp;$AY1849)</f>
        <v>552</v>
      </c>
      <c r="BF1849" s="25" t="s">
        <v>1157</v>
      </c>
      <c r="BG1849" s="14">
        <f t="shared" si="401"/>
        <v>88</v>
      </c>
      <c r="BH1849" s="14">
        <f>SUMIFS(BG$4:BG1849,AU$4:AU1849,"="&amp;AU1849,AY$4:AY1849,"="&amp;AY1849)</f>
        <v>253</v>
      </c>
      <c r="BI1849" s="25" t="s">
        <v>1158</v>
      </c>
      <c r="BJ1849" s="14">
        <f t="shared" si="402"/>
        <v>3520</v>
      </c>
      <c r="BK1849" s="14">
        <f>SUMIFS(BJ$4:BJ1849,$AU$4:$AU1849,"="&amp;$AU1849,$AY$4:$AY1849,"="&amp;$AY1849)</f>
        <v>10120</v>
      </c>
    </row>
    <row r="1850" spans="46:63" ht="16.5" x14ac:dyDescent="0.2">
      <c r="AT1850" s="13">
        <v>1847</v>
      </c>
      <c r="AU1850" s="13">
        <f t="shared" si="394"/>
        <v>24</v>
      </c>
      <c r="AV1850" s="14">
        <f t="shared" si="395"/>
        <v>299701</v>
      </c>
      <c r="AW1850" s="14">
        <f t="shared" si="396"/>
        <v>1102997</v>
      </c>
      <c r="AX1850" s="13" t="s">
        <v>1127</v>
      </c>
      <c r="AY1850" s="13">
        <f t="shared" si="397"/>
        <v>1</v>
      </c>
      <c r="AZ1850" s="13" t="s">
        <v>1148</v>
      </c>
      <c r="BA1850" s="14">
        <f t="shared" si="398"/>
        <v>6</v>
      </c>
      <c r="BB1850" s="14" t="str">
        <f t="shared" si="399"/>
        <v>SSR守护灵魂珠-1 等级-6</v>
      </c>
      <c r="BC1850" s="25" t="s">
        <v>44</v>
      </c>
      <c r="BD1850" s="14">
        <f t="shared" si="400"/>
        <v>240</v>
      </c>
      <c r="BE1850" s="14">
        <f>SUMIFS(BD$4:BD1850,$AU$4:$AU1850,"="&amp;$AU1850,$AY$4:$AY1850,"="&amp;$AY1850)</f>
        <v>792</v>
      </c>
      <c r="BF1850" s="25" t="s">
        <v>1157</v>
      </c>
      <c r="BG1850" s="14">
        <f t="shared" si="401"/>
        <v>110</v>
      </c>
      <c r="BH1850" s="14">
        <f>SUMIFS(BG$4:BG1850,AU$4:AU1850,"="&amp;AU1850,AY$4:AY1850,"="&amp;AY1850)</f>
        <v>363</v>
      </c>
      <c r="BI1850" s="25" t="s">
        <v>1158</v>
      </c>
      <c r="BJ1850" s="14">
        <f t="shared" si="402"/>
        <v>4400</v>
      </c>
      <c r="BK1850" s="14">
        <f>SUMIFS(BJ$4:BJ1850,$AU$4:$AU1850,"="&amp;$AU1850,$AY$4:$AY1850,"="&amp;$AY1850)</f>
        <v>14520</v>
      </c>
    </row>
    <row r="1851" spans="46:63" ht="16.5" x14ac:dyDescent="0.2">
      <c r="AT1851" s="13">
        <v>1848</v>
      </c>
      <c r="AU1851" s="13">
        <f t="shared" si="394"/>
        <v>24</v>
      </c>
      <c r="AV1851" s="14">
        <f t="shared" si="395"/>
        <v>299701</v>
      </c>
      <c r="AW1851" s="14">
        <f t="shared" si="396"/>
        <v>1102997</v>
      </c>
      <c r="AX1851" s="13" t="s">
        <v>1127</v>
      </c>
      <c r="AY1851" s="13">
        <f t="shared" si="397"/>
        <v>1</v>
      </c>
      <c r="AZ1851" s="13" t="s">
        <v>1148</v>
      </c>
      <c r="BA1851" s="14">
        <f t="shared" si="398"/>
        <v>7</v>
      </c>
      <c r="BB1851" s="14" t="str">
        <f t="shared" si="399"/>
        <v>SSR守护灵魂珠-1 等级-7</v>
      </c>
      <c r="BC1851" s="25" t="s">
        <v>44</v>
      </c>
      <c r="BD1851" s="14">
        <f t="shared" si="400"/>
        <v>288</v>
      </c>
      <c r="BE1851" s="14">
        <f>SUMIFS(BD$4:BD1851,$AU$4:$AU1851,"="&amp;$AU1851,$AY$4:$AY1851,"="&amp;$AY1851)</f>
        <v>1080</v>
      </c>
      <c r="BF1851" s="25" t="s">
        <v>1157</v>
      </c>
      <c r="BG1851" s="14">
        <f t="shared" si="401"/>
        <v>132</v>
      </c>
      <c r="BH1851" s="14">
        <f>SUMIFS(BG$4:BG1851,AU$4:AU1851,"="&amp;AU1851,AY$4:AY1851,"="&amp;AY1851)</f>
        <v>495</v>
      </c>
      <c r="BI1851" s="25" t="s">
        <v>1158</v>
      </c>
      <c r="BJ1851" s="14">
        <f t="shared" si="402"/>
        <v>5280</v>
      </c>
      <c r="BK1851" s="14">
        <f>SUMIFS(BJ$4:BJ1851,$AU$4:$AU1851,"="&amp;$AU1851,$AY$4:$AY1851,"="&amp;$AY1851)</f>
        <v>19800</v>
      </c>
    </row>
    <row r="1852" spans="46:63" ht="16.5" x14ac:dyDescent="0.2">
      <c r="AT1852" s="13">
        <v>1849</v>
      </c>
      <c r="AU1852" s="13">
        <f t="shared" si="394"/>
        <v>24</v>
      </c>
      <c r="AV1852" s="14">
        <f t="shared" si="395"/>
        <v>299701</v>
      </c>
      <c r="AW1852" s="14">
        <f t="shared" si="396"/>
        <v>1102997</v>
      </c>
      <c r="AX1852" s="13" t="s">
        <v>1127</v>
      </c>
      <c r="AY1852" s="13">
        <f t="shared" si="397"/>
        <v>1</v>
      </c>
      <c r="AZ1852" s="13" t="s">
        <v>1148</v>
      </c>
      <c r="BA1852" s="14">
        <f t="shared" si="398"/>
        <v>8</v>
      </c>
      <c r="BB1852" s="14" t="str">
        <f t="shared" si="399"/>
        <v>SSR守护灵魂珠-1 等级-8</v>
      </c>
      <c r="BC1852" s="25" t="s">
        <v>44</v>
      </c>
      <c r="BD1852" s="14">
        <f t="shared" si="400"/>
        <v>336</v>
      </c>
      <c r="BE1852" s="14">
        <f>SUMIFS(BD$4:BD1852,$AU$4:$AU1852,"="&amp;$AU1852,$AY$4:$AY1852,"="&amp;$AY1852)</f>
        <v>1416</v>
      </c>
      <c r="BF1852" s="25" t="s">
        <v>1157</v>
      </c>
      <c r="BG1852" s="14">
        <f t="shared" si="401"/>
        <v>154</v>
      </c>
      <c r="BH1852" s="14">
        <f>SUMIFS(BG$4:BG1852,AU$4:AU1852,"="&amp;AU1852,AY$4:AY1852,"="&amp;AY1852)</f>
        <v>649</v>
      </c>
      <c r="BI1852" s="25" t="s">
        <v>1158</v>
      </c>
      <c r="BJ1852" s="14">
        <f t="shared" si="402"/>
        <v>6160</v>
      </c>
      <c r="BK1852" s="14">
        <f>SUMIFS(BJ$4:BJ1852,$AU$4:$AU1852,"="&amp;$AU1852,$AY$4:$AY1852,"="&amp;$AY1852)</f>
        <v>25960</v>
      </c>
    </row>
    <row r="1853" spans="46:63" ht="16.5" x14ac:dyDescent="0.2">
      <c r="AT1853" s="13">
        <v>1850</v>
      </c>
      <c r="AU1853" s="13">
        <f t="shared" si="394"/>
        <v>24</v>
      </c>
      <c r="AV1853" s="14">
        <f t="shared" si="395"/>
        <v>299701</v>
      </c>
      <c r="AW1853" s="14">
        <f t="shared" si="396"/>
        <v>1102997</v>
      </c>
      <c r="AX1853" s="13" t="s">
        <v>1127</v>
      </c>
      <c r="AY1853" s="13">
        <f t="shared" si="397"/>
        <v>1</v>
      </c>
      <c r="AZ1853" s="13" t="s">
        <v>1148</v>
      </c>
      <c r="BA1853" s="14">
        <f t="shared" si="398"/>
        <v>9</v>
      </c>
      <c r="BB1853" s="14" t="str">
        <f t="shared" si="399"/>
        <v>SSR守护灵魂珠-1 等级-9</v>
      </c>
      <c r="BC1853" s="25" t="s">
        <v>44</v>
      </c>
      <c r="BD1853" s="14">
        <f t="shared" si="400"/>
        <v>384</v>
      </c>
      <c r="BE1853" s="14">
        <f>SUMIFS(BD$4:BD1853,$AU$4:$AU1853,"="&amp;$AU1853,$AY$4:$AY1853,"="&amp;$AY1853)</f>
        <v>1800</v>
      </c>
      <c r="BF1853" s="25" t="s">
        <v>1157</v>
      </c>
      <c r="BG1853" s="14">
        <f t="shared" si="401"/>
        <v>176</v>
      </c>
      <c r="BH1853" s="14">
        <f>SUMIFS(BG$4:BG1853,AU$4:AU1853,"="&amp;AU1853,AY$4:AY1853,"="&amp;AY1853)</f>
        <v>825</v>
      </c>
      <c r="BI1853" s="25" t="s">
        <v>1158</v>
      </c>
      <c r="BJ1853" s="14">
        <f t="shared" si="402"/>
        <v>7040</v>
      </c>
      <c r="BK1853" s="14">
        <f>SUMIFS(BJ$4:BJ1853,$AU$4:$AU1853,"="&amp;$AU1853,$AY$4:$AY1853,"="&amp;$AY1853)</f>
        <v>33000</v>
      </c>
    </row>
    <row r="1854" spans="46:63" ht="16.5" x14ac:dyDescent="0.2">
      <c r="AT1854" s="13">
        <v>1851</v>
      </c>
      <c r="AU1854" s="13">
        <f t="shared" si="394"/>
        <v>24</v>
      </c>
      <c r="AV1854" s="14">
        <f t="shared" si="395"/>
        <v>299702</v>
      </c>
      <c r="AW1854" s="14">
        <f t="shared" si="396"/>
        <v>1102997</v>
      </c>
      <c r="AX1854" s="13" t="s">
        <v>1127</v>
      </c>
      <c r="AY1854" s="13">
        <f t="shared" si="397"/>
        <v>2</v>
      </c>
      <c r="AZ1854" s="13" t="s">
        <v>1148</v>
      </c>
      <c r="BA1854" s="14">
        <f t="shared" si="398"/>
        <v>0</v>
      </c>
      <c r="BB1854" s="14" t="str">
        <f t="shared" si="399"/>
        <v>SSR守护灵魂珠-2 等级-0</v>
      </c>
      <c r="BC1854" s="25" t="s">
        <v>44</v>
      </c>
      <c r="BD1854" s="14">
        <f t="shared" si="400"/>
        <v>0</v>
      </c>
      <c r="BE1854" s="14">
        <f>SUMIFS(BD$4:BD1854,$AU$4:$AU1854,"="&amp;$AU1854,$AY$4:$AY1854,"="&amp;$AY1854)</f>
        <v>0</v>
      </c>
      <c r="BF1854" s="25" t="s">
        <v>1157</v>
      </c>
      <c r="BG1854" s="14">
        <f t="shared" si="401"/>
        <v>0</v>
      </c>
      <c r="BH1854" s="14">
        <f>SUMIFS(BG$4:BG1854,AU$4:AU1854,"="&amp;AU1854,AY$4:AY1854,"="&amp;AY1854)</f>
        <v>0</v>
      </c>
      <c r="BI1854" s="25" t="s">
        <v>1158</v>
      </c>
      <c r="BJ1854" s="14">
        <f t="shared" si="402"/>
        <v>0</v>
      </c>
      <c r="BK1854" s="14">
        <f>SUMIFS(BJ$4:BJ1854,$AU$4:$AU1854,"="&amp;$AU1854,$AY$4:$AY1854,"="&amp;$AY1854)</f>
        <v>0</v>
      </c>
    </row>
    <row r="1855" spans="46:63" ht="16.5" x14ac:dyDescent="0.2">
      <c r="AT1855" s="13">
        <v>1852</v>
      </c>
      <c r="AU1855" s="13">
        <f t="shared" si="394"/>
        <v>24</v>
      </c>
      <c r="AV1855" s="14">
        <f t="shared" si="395"/>
        <v>299702</v>
      </c>
      <c r="AW1855" s="14">
        <f t="shared" si="396"/>
        <v>1102997</v>
      </c>
      <c r="AX1855" s="13" t="s">
        <v>1127</v>
      </c>
      <c r="AY1855" s="13">
        <f t="shared" si="397"/>
        <v>2</v>
      </c>
      <c r="AZ1855" s="13" t="s">
        <v>1148</v>
      </c>
      <c r="BA1855" s="14">
        <f t="shared" si="398"/>
        <v>1</v>
      </c>
      <c r="BB1855" s="14" t="str">
        <f t="shared" si="399"/>
        <v>SSR守护灵魂珠-2 等级-1</v>
      </c>
      <c r="BC1855" s="25" t="s">
        <v>44</v>
      </c>
      <c r="BD1855" s="14">
        <f t="shared" si="400"/>
        <v>60</v>
      </c>
      <c r="BE1855" s="14">
        <f>SUMIFS(BD$4:BD1855,$AU$4:$AU1855,"="&amp;$AU1855,$AY$4:$AY1855,"="&amp;$AY1855)</f>
        <v>60</v>
      </c>
      <c r="BF1855" s="25" t="s">
        <v>1157</v>
      </c>
      <c r="BG1855" s="14">
        <f t="shared" si="401"/>
        <v>28</v>
      </c>
      <c r="BH1855" s="14">
        <f>SUMIFS(BG$4:BG1855,AU$4:AU1855,"="&amp;AU1855,AY$4:AY1855,"="&amp;AY1855)</f>
        <v>28</v>
      </c>
      <c r="BI1855" s="25" t="s">
        <v>1158</v>
      </c>
      <c r="BJ1855" s="14">
        <f t="shared" si="402"/>
        <v>1100</v>
      </c>
      <c r="BK1855" s="14">
        <f>SUMIFS(BJ$4:BJ1855,$AU$4:$AU1855,"="&amp;$AU1855,$AY$4:$AY1855,"="&amp;$AY1855)</f>
        <v>1100</v>
      </c>
    </row>
    <row r="1856" spans="46:63" ht="16.5" x14ac:dyDescent="0.2">
      <c r="AT1856" s="13">
        <v>1853</v>
      </c>
      <c r="AU1856" s="13">
        <f t="shared" si="394"/>
        <v>24</v>
      </c>
      <c r="AV1856" s="14">
        <f t="shared" si="395"/>
        <v>299702</v>
      </c>
      <c r="AW1856" s="14">
        <f t="shared" si="396"/>
        <v>1102997</v>
      </c>
      <c r="AX1856" s="13" t="s">
        <v>1127</v>
      </c>
      <c r="AY1856" s="13">
        <f t="shared" si="397"/>
        <v>2</v>
      </c>
      <c r="AZ1856" s="13" t="s">
        <v>1148</v>
      </c>
      <c r="BA1856" s="14">
        <f t="shared" si="398"/>
        <v>2</v>
      </c>
      <c r="BB1856" s="14" t="str">
        <f t="shared" si="399"/>
        <v>SSR守护灵魂珠-2 等级-2</v>
      </c>
      <c r="BC1856" s="25" t="s">
        <v>44</v>
      </c>
      <c r="BD1856" s="14">
        <f t="shared" si="400"/>
        <v>96</v>
      </c>
      <c r="BE1856" s="14">
        <f>SUMIFS(BD$4:BD1856,$AU$4:$AU1856,"="&amp;$AU1856,$AY$4:$AY1856,"="&amp;$AY1856)</f>
        <v>156</v>
      </c>
      <c r="BF1856" s="25" t="s">
        <v>1157</v>
      </c>
      <c r="BG1856" s="14">
        <f t="shared" si="401"/>
        <v>44</v>
      </c>
      <c r="BH1856" s="14">
        <f>SUMIFS(BG$4:BG1856,AU$4:AU1856,"="&amp;AU1856,AY$4:AY1856,"="&amp;AY1856)</f>
        <v>72</v>
      </c>
      <c r="BI1856" s="25" t="s">
        <v>1158</v>
      </c>
      <c r="BJ1856" s="14">
        <f t="shared" si="402"/>
        <v>1760</v>
      </c>
      <c r="BK1856" s="14">
        <f>SUMIFS(BJ$4:BJ1856,$AU$4:$AU1856,"="&amp;$AU1856,$AY$4:$AY1856,"="&amp;$AY1856)</f>
        <v>2860</v>
      </c>
    </row>
    <row r="1857" spans="46:63" ht="16.5" x14ac:dyDescent="0.2">
      <c r="AT1857" s="13">
        <v>1854</v>
      </c>
      <c r="AU1857" s="13">
        <f t="shared" si="394"/>
        <v>24</v>
      </c>
      <c r="AV1857" s="14">
        <f t="shared" si="395"/>
        <v>299702</v>
      </c>
      <c r="AW1857" s="14">
        <f t="shared" si="396"/>
        <v>1102997</v>
      </c>
      <c r="AX1857" s="13" t="s">
        <v>1127</v>
      </c>
      <c r="AY1857" s="13">
        <f t="shared" si="397"/>
        <v>2</v>
      </c>
      <c r="AZ1857" s="13" t="s">
        <v>1148</v>
      </c>
      <c r="BA1857" s="14">
        <f t="shared" si="398"/>
        <v>3</v>
      </c>
      <c r="BB1857" s="14" t="str">
        <f t="shared" si="399"/>
        <v>SSR守护灵魂珠-2 等级-3</v>
      </c>
      <c r="BC1857" s="25" t="s">
        <v>44</v>
      </c>
      <c r="BD1857" s="14">
        <f t="shared" si="400"/>
        <v>120</v>
      </c>
      <c r="BE1857" s="14">
        <f>SUMIFS(BD$4:BD1857,$AU$4:$AU1857,"="&amp;$AU1857,$AY$4:$AY1857,"="&amp;$AY1857)</f>
        <v>276</v>
      </c>
      <c r="BF1857" s="25" t="s">
        <v>1157</v>
      </c>
      <c r="BG1857" s="14">
        <f t="shared" si="401"/>
        <v>55</v>
      </c>
      <c r="BH1857" s="14">
        <f>SUMIFS(BG$4:BG1857,AU$4:AU1857,"="&amp;AU1857,AY$4:AY1857,"="&amp;AY1857)</f>
        <v>127</v>
      </c>
      <c r="BI1857" s="25" t="s">
        <v>1158</v>
      </c>
      <c r="BJ1857" s="14">
        <f t="shared" si="402"/>
        <v>2200</v>
      </c>
      <c r="BK1857" s="14">
        <f>SUMIFS(BJ$4:BJ1857,$AU$4:$AU1857,"="&amp;$AU1857,$AY$4:$AY1857,"="&amp;$AY1857)</f>
        <v>5060</v>
      </c>
    </row>
    <row r="1858" spans="46:63" ht="16.5" x14ac:dyDescent="0.2">
      <c r="AT1858" s="13">
        <v>1855</v>
      </c>
      <c r="AU1858" s="13">
        <f t="shared" si="394"/>
        <v>24</v>
      </c>
      <c r="AV1858" s="14">
        <f t="shared" si="395"/>
        <v>299702</v>
      </c>
      <c r="AW1858" s="14">
        <f t="shared" si="396"/>
        <v>1102997</v>
      </c>
      <c r="AX1858" s="13" t="s">
        <v>1127</v>
      </c>
      <c r="AY1858" s="13">
        <f t="shared" si="397"/>
        <v>2</v>
      </c>
      <c r="AZ1858" s="13" t="s">
        <v>1148</v>
      </c>
      <c r="BA1858" s="14">
        <f t="shared" si="398"/>
        <v>4</v>
      </c>
      <c r="BB1858" s="14" t="str">
        <f t="shared" si="399"/>
        <v>SSR守护灵魂珠-2 等级-4</v>
      </c>
      <c r="BC1858" s="25" t="s">
        <v>44</v>
      </c>
      <c r="BD1858" s="14">
        <f t="shared" si="400"/>
        <v>192</v>
      </c>
      <c r="BE1858" s="14">
        <f>SUMIFS(BD$4:BD1858,$AU$4:$AU1858,"="&amp;$AU1858,$AY$4:$AY1858,"="&amp;$AY1858)</f>
        <v>468</v>
      </c>
      <c r="BF1858" s="25" t="s">
        <v>1157</v>
      </c>
      <c r="BG1858" s="14">
        <f t="shared" si="401"/>
        <v>88</v>
      </c>
      <c r="BH1858" s="14">
        <f>SUMIFS(BG$4:BG1858,AU$4:AU1858,"="&amp;AU1858,AY$4:AY1858,"="&amp;AY1858)</f>
        <v>215</v>
      </c>
      <c r="BI1858" s="25" t="s">
        <v>1158</v>
      </c>
      <c r="BJ1858" s="14">
        <f t="shared" si="402"/>
        <v>3520</v>
      </c>
      <c r="BK1858" s="14">
        <f>SUMIFS(BJ$4:BJ1858,$AU$4:$AU1858,"="&amp;$AU1858,$AY$4:$AY1858,"="&amp;$AY1858)</f>
        <v>8580</v>
      </c>
    </row>
    <row r="1859" spans="46:63" ht="16.5" x14ac:dyDescent="0.2">
      <c r="AT1859" s="13">
        <v>1856</v>
      </c>
      <c r="AU1859" s="13">
        <f t="shared" si="394"/>
        <v>24</v>
      </c>
      <c r="AV1859" s="14">
        <f t="shared" si="395"/>
        <v>299702</v>
      </c>
      <c r="AW1859" s="14">
        <f t="shared" si="396"/>
        <v>1102997</v>
      </c>
      <c r="AX1859" s="13" t="s">
        <v>1127</v>
      </c>
      <c r="AY1859" s="13">
        <f t="shared" si="397"/>
        <v>2</v>
      </c>
      <c r="AZ1859" s="13" t="s">
        <v>1148</v>
      </c>
      <c r="BA1859" s="14">
        <f t="shared" si="398"/>
        <v>5</v>
      </c>
      <c r="BB1859" s="14" t="str">
        <f t="shared" si="399"/>
        <v>SSR守护灵魂珠-2 等级-5</v>
      </c>
      <c r="BC1859" s="25" t="s">
        <v>44</v>
      </c>
      <c r="BD1859" s="14">
        <f t="shared" si="400"/>
        <v>264</v>
      </c>
      <c r="BE1859" s="14">
        <f>SUMIFS(BD$4:BD1859,$AU$4:$AU1859,"="&amp;$AU1859,$AY$4:$AY1859,"="&amp;$AY1859)</f>
        <v>732</v>
      </c>
      <c r="BF1859" s="25" t="s">
        <v>1157</v>
      </c>
      <c r="BG1859" s="14">
        <f t="shared" si="401"/>
        <v>121</v>
      </c>
      <c r="BH1859" s="14">
        <f>SUMIFS(BG$4:BG1859,AU$4:AU1859,"="&amp;AU1859,AY$4:AY1859,"="&amp;AY1859)</f>
        <v>336</v>
      </c>
      <c r="BI1859" s="25" t="s">
        <v>1158</v>
      </c>
      <c r="BJ1859" s="14">
        <f t="shared" si="402"/>
        <v>4840</v>
      </c>
      <c r="BK1859" s="14">
        <f>SUMIFS(BJ$4:BJ1859,$AU$4:$AU1859,"="&amp;$AU1859,$AY$4:$AY1859,"="&amp;$AY1859)</f>
        <v>13420</v>
      </c>
    </row>
    <row r="1860" spans="46:63" ht="16.5" x14ac:dyDescent="0.2">
      <c r="AT1860" s="13">
        <v>1857</v>
      </c>
      <c r="AU1860" s="13">
        <f t="shared" si="394"/>
        <v>24</v>
      </c>
      <c r="AV1860" s="14">
        <f t="shared" si="395"/>
        <v>299702</v>
      </c>
      <c r="AW1860" s="14">
        <f t="shared" si="396"/>
        <v>1102997</v>
      </c>
      <c r="AX1860" s="13" t="s">
        <v>1127</v>
      </c>
      <c r="AY1860" s="13">
        <f t="shared" si="397"/>
        <v>2</v>
      </c>
      <c r="AZ1860" s="13" t="s">
        <v>1148</v>
      </c>
      <c r="BA1860" s="14">
        <f t="shared" si="398"/>
        <v>6</v>
      </c>
      <c r="BB1860" s="14" t="str">
        <f t="shared" si="399"/>
        <v>SSR守护灵魂珠-2 等级-6</v>
      </c>
      <c r="BC1860" s="25" t="s">
        <v>44</v>
      </c>
      <c r="BD1860" s="14">
        <f t="shared" si="400"/>
        <v>336</v>
      </c>
      <c r="BE1860" s="14">
        <f>SUMIFS(BD$4:BD1860,$AU$4:$AU1860,"="&amp;$AU1860,$AY$4:$AY1860,"="&amp;$AY1860)</f>
        <v>1068</v>
      </c>
      <c r="BF1860" s="25" t="s">
        <v>1157</v>
      </c>
      <c r="BG1860" s="14">
        <f t="shared" si="401"/>
        <v>154</v>
      </c>
      <c r="BH1860" s="14">
        <f>SUMIFS(BG$4:BG1860,AU$4:AU1860,"="&amp;AU1860,AY$4:AY1860,"="&amp;AY1860)</f>
        <v>490</v>
      </c>
      <c r="BI1860" s="25" t="s">
        <v>1158</v>
      </c>
      <c r="BJ1860" s="14">
        <f t="shared" si="402"/>
        <v>6160</v>
      </c>
      <c r="BK1860" s="14">
        <f>SUMIFS(BJ$4:BJ1860,$AU$4:$AU1860,"="&amp;$AU1860,$AY$4:$AY1860,"="&amp;$AY1860)</f>
        <v>19580</v>
      </c>
    </row>
    <row r="1861" spans="46:63" ht="16.5" x14ac:dyDescent="0.2">
      <c r="AT1861" s="13">
        <v>1858</v>
      </c>
      <c r="AU1861" s="13">
        <f t="shared" si="394"/>
        <v>24</v>
      </c>
      <c r="AV1861" s="14">
        <f t="shared" si="395"/>
        <v>299702</v>
      </c>
      <c r="AW1861" s="14">
        <f t="shared" si="396"/>
        <v>1102997</v>
      </c>
      <c r="AX1861" s="13" t="s">
        <v>1127</v>
      </c>
      <c r="AY1861" s="13">
        <f t="shared" si="397"/>
        <v>2</v>
      </c>
      <c r="AZ1861" s="13" t="s">
        <v>1148</v>
      </c>
      <c r="BA1861" s="14">
        <f t="shared" si="398"/>
        <v>7</v>
      </c>
      <c r="BB1861" s="14" t="str">
        <f t="shared" si="399"/>
        <v>SSR守护灵魂珠-2 等级-7</v>
      </c>
      <c r="BC1861" s="25" t="s">
        <v>44</v>
      </c>
      <c r="BD1861" s="14">
        <f t="shared" si="400"/>
        <v>384</v>
      </c>
      <c r="BE1861" s="14">
        <f>SUMIFS(BD$4:BD1861,$AU$4:$AU1861,"="&amp;$AU1861,$AY$4:$AY1861,"="&amp;$AY1861)</f>
        <v>1452</v>
      </c>
      <c r="BF1861" s="25" t="s">
        <v>1157</v>
      </c>
      <c r="BG1861" s="14">
        <f t="shared" si="401"/>
        <v>176</v>
      </c>
      <c r="BH1861" s="14">
        <f>SUMIFS(BG$4:BG1861,AU$4:AU1861,"="&amp;AU1861,AY$4:AY1861,"="&amp;AY1861)</f>
        <v>666</v>
      </c>
      <c r="BI1861" s="25" t="s">
        <v>1158</v>
      </c>
      <c r="BJ1861" s="14">
        <f t="shared" si="402"/>
        <v>7040</v>
      </c>
      <c r="BK1861" s="14">
        <f>SUMIFS(BJ$4:BJ1861,$AU$4:$AU1861,"="&amp;$AU1861,$AY$4:$AY1861,"="&amp;$AY1861)</f>
        <v>26620</v>
      </c>
    </row>
    <row r="1862" spans="46:63" ht="16.5" x14ac:dyDescent="0.2">
      <c r="AT1862" s="13">
        <v>1859</v>
      </c>
      <c r="AU1862" s="13">
        <f t="shared" si="394"/>
        <v>24</v>
      </c>
      <c r="AV1862" s="14">
        <f t="shared" si="395"/>
        <v>299702</v>
      </c>
      <c r="AW1862" s="14">
        <f t="shared" si="396"/>
        <v>1102997</v>
      </c>
      <c r="AX1862" s="13" t="s">
        <v>1127</v>
      </c>
      <c r="AY1862" s="13">
        <f t="shared" si="397"/>
        <v>2</v>
      </c>
      <c r="AZ1862" s="13" t="s">
        <v>1148</v>
      </c>
      <c r="BA1862" s="14">
        <f t="shared" si="398"/>
        <v>8</v>
      </c>
      <c r="BB1862" s="14" t="str">
        <f t="shared" si="399"/>
        <v>SSR守护灵魂珠-2 等级-8</v>
      </c>
      <c r="BC1862" s="25" t="s">
        <v>44</v>
      </c>
      <c r="BD1862" s="14">
        <f t="shared" si="400"/>
        <v>456</v>
      </c>
      <c r="BE1862" s="14">
        <f>SUMIFS(BD$4:BD1862,$AU$4:$AU1862,"="&amp;$AU1862,$AY$4:$AY1862,"="&amp;$AY1862)</f>
        <v>1908</v>
      </c>
      <c r="BF1862" s="25" t="s">
        <v>1157</v>
      </c>
      <c r="BG1862" s="14">
        <f t="shared" si="401"/>
        <v>209</v>
      </c>
      <c r="BH1862" s="14">
        <f>SUMIFS(BG$4:BG1862,AU$4:AU1862,"="&amp;AU1862,AY$4:AY1862,"="&amp;AY1862)</f>
        <v>875</v>
      </c>
      <c r="BI1862" s="25" t="s">
        <v>1158</v>
      </c>
      <c r="BJ1862" s="14">
        <f t="shared" si="402"/>
        <v>8360</v>
      </c>
      <c r="BK1862" s="14">
        <f>SUMIFS(BJ$4:BJ1862,$AU$4:$AU1862,"="&amp;$AU1862,$AY$4:$AY1862,"="&amp;$AY1862)</f>
        <v>34980</v>
      </c>
    </row>
    <row r="1863" spans="46:63" ht="16.5" x14ac:dyDescent="0.2">
      <c r="AT1863" s="13">
        <v>1860</v>
      </c>
      <c r="AU1863" s="13">
        <f t="shared" si="394"/>
        <v>24</v>
      </c>
      <c r="AV1863" s="14">
        <f t="shared" si="395"/>
        <v>299702</v>
      </c>
      <c r="AW1863" s="14">
        <f t="shared" si="396"/>
        <v>1102997</v>
      </c>
      <c r="AX1863" s="13" t="s">
        <v>1127</v>
      </c>
      <c r="AY1863" s="13">
        <f t="shared" si="397"/>
        <v>2</v>
      </c>
      <c r="AZ1863" s="13" t="s">
        <v>1148</v>
      </c>
      <c r="BA1863" s="14">
        <f t="shared" si="398"/>
        <v>9</v>
      </c>
      <c r="BB1863" s="14" t="str">
        <f t="shared" si="399"/>
        <v>SSR守护灵魂珠-2 等级-9</v>
      </c>
      <c r="BC1863" s="25" t="s">
        <v>44</v>
      </c>
      <c r="BD1863" s="14">
        <f t="shared" si="400"/>
        <v>540</v>
      </c>
      <c r="BE1863" s="14">
        <f>SUMIFS(BD$4:BD1863,$AU$4:$AU1863,"="&amp;$AU1863,$AY$4:$AY1863,"="&amp;$AY1863)</f>
        <v>2448</v>
      </c>
      <c r="BF1863" s="25" t="s">
        <v>1157</v>
      </c>
      <c r="BG1863" s="14">
        <f t="shared" si="401"/>
        <v>248</v>
      </c>
      <c r="BH1863" s="14">
        <f>SUMIFS(BG$4:BG1863,AU$4:AU1863,"="&amp;AU1863,AY$4:AY1863,"="&amp;AY1863)</f>
        <v>1123</v>
      </c>
      <c r="BI1863" s="25" t="s">
        <v>1158</v>
      </c>
      <c r="BJ1863" s="14">
        <f t="shared" si="402"/>
        <v>9900</v>
      </c>
      <c r="BK1863" s="14">
        <f>SUMIFS(BJ$4:BJ1863,$AU$4:$AU1863,"="&amp;$AU1863,$AY$4:$AY1863,"="&amp;$AY1863)</f>
        <v>44880</v>
      </c>
    </row>
    <row r="1864" spans="46:63" ht="16.5" x14ac:dyDescent="0.2">
      <c r="AT1864" s="13">
        <v>1861</v>
      </c>
      <c r="AU1864" s="13">
        <f t="shared" si="394"/>
        <v>24</v>
      </c>
      <c r="AV1864" s="14">
        <f t="shared" si="395"/>
        <v>299703</v>
      </c>
      <c r="AW1864" s="14">
        <f t="shared" si="396"/>
        <v>1102997</v>
      </c>
      <c r="AX1864" s="13" t="s">
        <v>1127</v>
      </c>
      <c r="AY1864" s="13">
        <f t="shared" si="397"/>
        <v>3</v>
      </c>
      <c r="AZ1864" s="13" t="s">
        <v>1148</v>
      </c>
      <c r="BA1864" s="14">
        <f t="shared" si="398"/>
        <v>0</v>
      </c>
      <c r="BB1864" s="14" t="str">
        <f t="shared" si="399"/>
        <v>SSR守护灵魂珠-3 等级-0</v>
      </c>
      <c r="BC1864" s="25" t="s">
        <v>44</v>
      </c>
      <c r="BD1864" s="14">
        <f t="shared" si="400"/>
        <v>0</v>
      </c>
      <c r="BE1864" s="14">
        <f>SUMIFS(BD$4:BD1864,$AU$4:$AU1864,"="&amp;$AU1864,$AY$4:$AY1864,"="&amp;$AY1864)</f>
        <v>0</v>
      </c>
      <c r="BF1864" s="25" t="s">
        <v>1157</v>
      </c>
      <c r="BG1864" s="14">
        <f t="shared" si="401"/>
        <v>0</v>
      </c>
      <c r="BH1864" s="14">
        <f>SUMIFS(BG$4:BG1864,AU$4:AU1864,"="&amp;AU1864,AY$4:AY1864,"="&amp;AY1864)</f>
        <v>0</v>
      </c>
      <c r="BI1864" s="25" t="s">
        <v>1158</v>
      </c>
      <c r="BJ1864" s="14">
        <f t="shared" si="402"/>
        <v>0</v>
      </c>
      <c r="BK1864" s="14">
        <f>SUMIFS(BJ$4:BJ1864,$AU$4:$AU1864,"="&amp;$AU1864,$AY$4:$AY1864,"="&amp;$AY1864)</f>
        <v>0</v>
      </c>
    </row>
    <row r="1865" spans="46:63" ht="16.5" x14ac:dyDescent="0.2">
      <c r="AT1865" s="13">
        <v>1862</v>
      </c>
      <c r="AU1865" s="13">
        <f t="shared" ref="AU1865:AU1928" si="403">INT((AT1865-1)/80)+1</f>
        <v>24</v>
      </c>
      <c r="AV1865" s="14">
        <f t="shared" ref="AV1865:AV1928" si="404">INDEX($AJ$4:$AJ$203,(AU1865-1)*8+AY1865)</f>
        <v>299703</v>
      </c>
      <c r="AW1865" s="14">
        <f t="shared" ref="AW1865:AW1928" si="405">INDEX($W$4:$W$28,AU1865)</f>
        <v>1102997</v>
      </c>
      <c r="AX1865" s="13" t="s">
        <v>1127</v>
      </c>
      <c r="AY1865" s="13">
        <f t="shared" ref="AY1865:AY1928" si="406">INT(((AT1865-(AU1865-1)*80)-1)/10)+1</f>
        <v>3</v>
      </c>
      <c r="AZ1865" s="13" t="s">
        <v>1148</v>
      </c>
      <c r="BA1865" s="14">
        <f t="shared" ref="BA1865:BA1928" si="407">AT1865-(AU1865-1)*80-(AY1865-1)*10-1</f>
        <v>1</v>
      </c>
      <c r="BB1865" s="14" t="str">
        <f t="shared" ref="BB1865:BB1928" si="408">INDEX($X$4:$X$28,AU1865)&amp;"魂珠-"&amp;AY1865&amp;" 等级-"&amp;BA1865</f>
        <v>SSR守护灵魂珠-3 等级-1</v>
      </c>
      <c r="BC1865" s="25" t="s">
        <v>44</v>
      </c>
      <c r="BD1865" s="14">
        <f t="shared" ref="BD1865:BD1928" si="409">ROUND(INDEX(Q$4:Q$83,($AY1865-1)*10+$BA1865+1)*INDEX(AC$4:AC$28,$AU1865),0)</f>
        <v>96</v>
      </c>
      <c r="BE1865" s="14">
        <f>SUMIFS(BD$4:BD1865,$AU$4:$AU1865,"="&amp;$AU1865,$AY$4:$AY1865,"="&amp;$AY1865)</f>
        <v>96</v>
      </c>
      <c r="BF1865" s="25" t="s">
        <v>1157</v>
      </c>
      <c r="BG1865" s="14">
        <f t="shared" ref="BG1865:BG1928" si="410">ROUND(INDEX(R$4:R$83,($AY1865-1)*10+$BA1865+1)*INDEX(AD$4:AD$28,$AU1865),0)</f>
        <v>44</v>
      </c>
      <c r="BH1865" s="14">
        <f>SUMIFS(BG$4:BG1865,AU$4:AU1865,"="&amp;AU1865,AY$4:AY1865,"="&amp;AY1865)</f>
        <v>44</v>
      </c>
      <c r="BI1865" s="25" t="s">
        <v>1158</v>
      </c>
      <c r="BJ1865" s="14">
        <f t="shared" ref="BJ1865:BJ1928" si="411">ROUND(INDEX(S$4:S$83,($AY1865-1)*10+$BA1865+1)*INDEX(AE$4:AE$28,$AU1865),0)</f>
        <v>1760</v>
      </c>
      <c r="BK1865" s="14">
        <f>SUMIFS(BJ$4:BJ1865,$AU$4:$AU1865,"="&amp;$AU1865,$AY$4:$AY1865,"="&amp;$AY1865)</f>
        <v>1760</v>
      </c>
    </row>
    <row r="1866" spans="46:63" ht="16.5" x14ac:dyDescent="0.2">
      <c r="AT1866" s="13">
        <v>1863</v>
      </c>
      <c r="AU1866" s="13">
        <f t="shared" si="403"/>
        <v>24</v>
      </c>
      <c r="AV1866" s="14">
        <f t="shared" si="404"/>
        <v>299703</v>
      </c>
      <c r="AW1866" s="14">
        <f t="shared" si="405"/>
        <v>1102997</v>
      </c>
      <c r="AX1866" s="13" t="s">
        <v>1127</v>
      </c>
      <c r="AY1866" s="13">
        <f t="shared" si="406"/>
        <v>3</v>
      </c>
      <c r="AZ1866" s="13" t="s">
        <v>1148</v>
      </c>
      <c r="BA1866" s="14">
        <f t="shared" si="407"/>
        <v>2</v>
      </c>
      <c r="BB1866" s="14" t="str">
        <f t="shared" si="408"/>
        <v>SSR守护灵魂珠-3 等级-2</v>
      </c>
      <c r="BC1866" s="25" t="s">
        <v>44</v>
      </c>
      <c r="BD1866" s="14">
        <f t="shared" si="409"/>
        <v>144</v>
      </c>
      <c r="BE1866" s="14">
        <f>SUMIFS(BD$4:BD1866,$AU$4:$AU1866,"="&amp;$AU1866,$AY$4:$AY1866,"="&amp;$AY1866)</f>
        <v>240</v>
      </c>
      <c r="BF1866" s="25" t="s">
        <v>1157</v>
      </c>
      <c r="BG1866" s="14">
        <f t="shared" si="410"/>
        <v>66</v>
      </c>
      <c r="BH1866" s="14">
        <f>SUMIFS(BG$4:BG1866,AU$4:AU1866,"="&amp;AU1866,AY$4:AY1866,"="&amp;AY1866)</f>
        <v>110</v>
      </c>
      <c r="BI1866" s="25" t="s">
        <v>1158</v>
      </c>
      <c r="BJ1866" s="14">
        <f t="shared" si="411"/>
        <v>2640</v>
      </c>
      <c r="BK1866" s="14">
        <f>SUMIFS(BJ$4:BJ1866,$AU$4:$AU1866,"="&amp;$AU1866,$AY$4:$AY1866,"="&amp;$AY1866)</f>
        <v>4400</v>
      </c>
    </row>
    <row r="1867" spans="46:63" ht="16.5" x14ac:dyDescent="0.2">
      <c r="AT1867" s="13">
        <v>1864</v>
      </c>
      <c r="AU1867" s="13">
        <f t="shared" si="403"/>
        <v>24</v>
      </c>
      <c r="AV1867" s="14">
        <f t="shared" si="404"/>
        <v>299703</v>
      </c>
      <c r="AW1867" s="14">
        <f t="shared" si="405"/>
        <v>1102997</v>
      </c>
      <c r="AX1867" s="13" t="s">
        <v>1127</v>
      </c>
      <c r="AY1867" s="13">
        <f t="shared" si="406"/>
        <v>3</v>
      </c>
      <c r="AZ1867" s="13" t="s">
        <v>1148</v>
      </c>
      <c r="BA1867" s="14">
        <f t="shared" si="407"/>
        <v>3</v>
      </c>
      <c r="BB1867" s="14" t="str">
        <f t="shared" si="408"/>
        <v>SSR守护灵魂珠-3 等级-3</v>
      </c>
      <c r="BC1867" s="25" t="s">
        <v>44</v>
      </c>
      <c r="BD1867" s="14">
        <f t="shared" si="409"/>
        <v>192</v>
      </c>
      <c r="BE1867" s="14">
        <f>SUMIFS(BD$4:BD1867,$AU$4:$AU1867,"="&amp;$AU1867,$AY$4:$AY1867,"="&amp;$AY1867)</f>
        <v>432</v>
      </c>
      <c r="BF1867" s="25" t="s">
        <v>1157</v>
      </c>
      <c r="BG1867" s="14">
        <f t="shared" si="410"/>
        <v>88</v>
      </c>
      <c r="BH1867" s="14">
        <f>SUMIFS(BG$4:BG1867,AU$4:AU1867,"="&amp;AU1867,AY$4:AY1867,"="&amp;AY1867)</f>
        <v>198</v>
      </c>
      <c r="BI1867" s="25" t="s">
        <v>1158</v>
      </c>
      <c r="BJ1867" s="14">
        <f t="shared" si="411"/>
        <v>3520</v>
      </c>
      <c r="BK1867" s="14">
        <f>SUMIFS(BJ$4:BJ1867,$AU$4:$AU1867,"="&amp;$AU1867,$AY$4:$AY1867,"="&amp;$AY1867)</f>
        <v>7920</v>
      </c>
    </row>
    <row r="1868" spans="46:63" ht="16.5" x14ac:dyDescent="0.2">
      <c r="AT1868" s="13">
        <v>1865</v>
      </c>
      <c r="AU1868" s="13">
        <f t="shared" si="403"/>
        <v>24</v>
      </c>
      <c r="AV1868" s="14">
        <f t="shared" si="404"/>
        <v>299703</v>
      </c>
      <c r="AW1868" s="14">
        <f t="shared" si="405"/>
        <v>1102997</v>
      </c>
      <c r="AX1868" s="13" t="s">
        <v>1127</v>
      </c>
      <c r="AY1868" s="13">
        <f t="shared" si="406"/>
        <v>3</v>
      </c>
      <c r="AZ1868" s="13" t="s">
        <v>1148</v>
      </c>
      <c r="BA1868" s="14">
        <f t="shared" si="407"/>
        <v>4</v>
      </c>
      <c r="BB1868" s="14" t="str">
        <f t="shared" si="408"/>
        <v>SSR守护灵魂珠-3 等级-4</v>
      </c>
      <c r="BC1868" s="25" t="s">
        <v>44</v>
      </c>
      <c r="BD1868" s="14">
        <f t="shared" si="409"/>
        <v>288</v>
      </c>
      <c r="BE1868" s="14">
        <f>SUMIFS(BD$4:BD1868,$AU$4:$AU1868,"="&amp;$AU1868,$AY$4:$AY1868,"="&amp;$AY1868)</f>
        <v>720</v>
      </c>
      <c r="BF1868" s="25" t="s">
        <v>1157</v>
      </c>
      <c r="BG1868" s="14">
        <f t="shared" si="410"/>
        <v>132</v>
      </c>
      <c r="BH1868" s="14">
        <f>SUMIFS(BG$4:BG1868,AU$4:AU1868,"="&amp;AU1868,AY$4:AY1868,"="&amp;AY1868)</f>
        <v>330</v>
      </c>
      <c r="BI1868" s="25" t="s">
        <v>1158</v>
      </c>
      <c r="BJ1868" s="14">
        <f t="shared" si="411"/>
        <v>5280</v>
      </c>
      <c r="BK1868" s="14">
        <f>SUMIFS(BJ$4:BJ1868,$AU$4:$AU1868,"="&amp;$AU1868,$AY$4:$AY1868,"="&amp;$AY1868)</f>
        <v>13200</v>
      </c>
    </row>
    <row r="1869" spans="46:63" ht="16.5" x14ac:dyDescent="0.2">
      <c r="AT1869" s="13">
        <v>1866</v>
      </c>
      <c r="AU1869" s="13">
        <f t="shared" si="403"/>
        <v>24</v>
      </c>
      <c r="AV1869" s="14">
        <f t="shared" si="404"/>
        <v>299703</v>
      </c>
      <c r="AW1869" s="14">
        <f t="shared" si="405"/>
        <v>1102997</v>
      </c>
      <c r="AX1869" s="13" t="s">
        <v>1127</v>
      </c>
      <c r="AY1869" s="13">
        <f t="shared" si="406"/>
        <v>3</v>
      </c>
      <c r="AZ1869" s="13" t="s">
        <v>1148</v>
      </c>
      <c r="BA1869" s="14">
        <f t="shared" si="407"/>
        <v>5</v>
      </c>
      <c r="BB1869" s="14" t="str">
        <f t="shared" si="408"/>
        <v>SSR守护灵魂珠-3 等级-5</v>
      </c>
      <c r="BC1869" s="25" t="s">
        <v>44</v>
      </c>
      <c r="BD1869" s="14">
        <f t="shared" si="409"/>
        <v>384</v>
      </c>
      <c r="BE1869" s="14">
        <f>SUMIFS(BD$4:BD1869,$AU$4:$AU1869,"="&amp;$AU1869,$AY$4:$AY1869,"="&amp;$AY1869)</f>
        <v>1104</v>
      </c>
      <c r="BF1869" s="25" t="s">
        <v>1157</v>
      </c>
      <c r="BG1869" s="14">
        <f t="shared" si="410"/>
        <v>176</v>
      </c>
      <c r="BH1869" s="14">
        <f>SUMIFS(BG$4:BG1869,AU$4:AU1869,"="&amp;AU1869,AY$4:AY1869,"="&amp;AY1869)</f>
        <v>506</v>
      </c>
      <c r="BI1869" s="25" t="s">
        <v>1158</v>
      </c>
      <c r="BJ1869" s="14">
        <f t="shared" si="411"/>
        <v>7040</v>
      </c>
      <c r="BK1869" s="14">
        <f>SUMIFS(BJ$4:BJ1869,$AU$4:$AU1869,"="&amp;$AU1869,$AY$4:$AY1869,"="&amp;$AY1869)</f>
        <v>20240</v>
      </c>
    </row>
    <row r="1870" spans="46:63" ht="16.5" x14ac:dyDescent="0.2">
      <c r="AT1870" s="13">
        <v>1867</v>
      </c>
      <c r="AU1870" s="13">
        <f t="shared" si="403"/>
        <v>24</v>
      </c>
      <c r="AV1870" s="14">
        <f t="shared" si="404"/>
        <v>299703</v>
      </c>
      <c r="AW1870" s="14">
        <f t="shared" si="405"/>
        <v>1102997</v>
      </c>
      <c r="AX1870" s="13" t="s">
        <v>1127</v>
      </c>
      <c r="AY1870" s="13">
        <f t="shared" si="406"/>
        <v>3</v>
      </c>
      <c r="AZ1870" s="13" t="s">
        <v>1148</v>
      </c>
      <c r="BA1870" s="14">
        <f t="shared" si="407"/>
        <v>6</v>
      </c>
      <c r="BB1870" s="14" t="str">
        <f t="shared" si="408"/>
        <v>SSR守护灵魂珠-3 等级-6</v>
      </c>
      <c r="BC1870" s="25" t="s">
        <v>44</v>
      </c>
      <c r="BD1870" s="14">
        <f t="shared" si="409"/>
        <v>480</v>
      </c>
      <c r="BE1870" s="14">
        <f>SUMIFS(BD$4:BD1870,$AU$4:$AU1870,"="&amp;$AU1870,$AY$4:$AY1870,"="&amp;$AY1870)</f>
        <v>1584</v>
      </c>
      <c r="BF1870" s="25" t="s">
        <v>1157</v>
      </c>
      <c r="BG1870" s="14">
        <f t="shared" si="410"/>
        <v>220</v>
      </c>
      <c r="BH1870" s="14">
        <f>SUMIFS(BG$4:BG1870,AU$4:AU1870,"="&amp;AU1870,AY$4:AY1870,"="&amp;AY1870)</f>
        <v>726</v>
      </c>
      <c r="BI1870" s="25" t="s">
        <v>1158</v>
      </c>
      <c r="BJ1870" s="14">
        <f t="shared" si="411"/>
        <v>8800</v>
      </c>
      <c r="BK1870" s="14">
        <f>SUMIFS(BJ$4:BJ1870,$AU$4:$AU1870,"="&amp;$AU1870,$AY$4:$AY1870,"="&amp;$AY1870)</f>
        <v>29040</v>
      </c>
    </row>
    <row r="1871" spans="46:63" ht="16.5" x14ac:dyDescent="0.2">
      <c r="AT1871" s="13">
        <v>1868</v>
      </c>
      <c r="AU1871" s="13">
        <f t="shared" si="403"/>
        <v>24</v>
      </c>
      <c r="AV1871" s="14">
        <f t="shared" si="404"/>
        <v>299703</v>
      </c>
      <c r="AW1871" s="14">
        <f t="shared" si="405"/>
        <v>1102997</v>
      </c>
      <c r="AX1871" s="13" t="s">
        <v>1127</v>
      </c>
      <c r="AY1871" s="13">
        <f t="shared" si="406"/>
        <v>3</v>
      </c>
      <c r="AZ1871" s="13" t="s">
        <v>1148</v>
      </c>
      <c r="BA1871" s="14">
        <f t="shared" si="407"/>
        <v>7</v>
      </c>
      <c r="BB1871" s="14" t="str">
        <f t="shared" si="408"/>
        <v>SSR守护灵魂珠-3 等级-7</v>
      </c>
      <c r="BC1871" s="25" t="s">
        <v>44</v>
      </c>
      <c r="BD1871" s="14">
        <f t="shared" si="409"/>
        <v>576</v>
      </c>
      <c r="BE1871" s="14">
        <f>SUMIFS(BD$4:BD1871,$AU$4:$AU1871,"="&amp;$AU1871,$AY$4:$AY1871,"="&amp;$AY1871)</f>
        <v>2160</v>
      </c>
      <c r="BF1871" s="25" t="s">
        <v>1157</v>
      </c>
      <c r="BG1871" s="14">
        <f t="shared" si="410"/>
        <v>264</v>
      </c>
      <c r="BH1871" s="14">
        <f>SUMIFS(BG$4:BG1871,AU$4:AU1871,"="&amp;AU1871,AY$4:AY1871,"="&amp;AY1871)</f>
        <v>990</v>
      </c>
      <c r="BI1871" s="25" t="s">
        <v>1158</v>
      </c>
      <c r="BJ1871" s="14">
        <f t="shared" si="411"/>
        <v>10560</v>
      </c>
      <c r="BK1871" s="14">
        <f>SUMIFS(BJ$4:BJ1871,$AU$4:$AU1871,"="&amp;$AU1871,$AY$4:$AY1871,"="&amp;$AY1871)</f>
        <v>39600</v>
      </c>
    </row>
    <row r="1872" spans="46:63" ht="16.5" x14ac:dyDescent="0.2">
      <c r="AT1872" s="13">
        <v>1869</v>
      </c>
      <c r="AU1872" s="13">
        <f t="shared" si="403"/>
        <v>24</v>
      </c>
      <c r="AV1872" s="14">
        <f t="shared" si="404"/>
        <v>299703</v>
      </c>
      <c r="AW1872" s="14">
        <f t="shared" si="405"/>
        <v>1102997</v>
      </c>
      <c r="AX1872" s="13" t="s">
        <v>1127</v>
      </c>
      <c r="AY1872" s="13">
        <f t="shared" si="406"/>
        <v>3</v>
      </c>
      <c r="AZ1872" s="13" t="s">
        <v>1148</v>
      </c>
      <c r="BA1872" s="14">
        <f t="shared" si="407"/>
        <v>8</v>
      </c>
      <c r="BB1872" s="14" t="str">
        <f t="shared" si="408"/>
        <v>SSR守护灵魂珠-3 等级-8</v>
      </c>
      <c r="BC1872" s="25" t="s">
        <v>44</v>
      </c>
      <c r="BD1872" s="14">
        <f t="shared" si="409"/>
        <v>672</v>
      </c>
      <c r="BE1872" s="14">
        <f>SUMIFS(BD$4:BD1872,$AU$4:$AU1872,"="&amp;$AU1872,$AY$4:$AY1872,"="&amp;$AY1872)</f>
        <v>2832</v>
      </c>
      <c r="BF1872" s="25" t="s">
        <v>1157</v>
      </c>
      <c r="BG1872" s="14">
        <f t="shared" si="410"/>
        <v>308</v>
      </c>
      <c r="BH1872" s="14">
        <f>SUMIFS(BG$4:BG1872,AU$4:AU1872,"="&amp;AU1872,AY$4:AY1872,"="&amp;AY1872)</f>
        <v>1298</v>
      </c>
      <c r="BI1872" s="25" t="s">
        <v>1158</v>
      </c>
      <c r="BJ1872" s="14">
        <f t="shared" si="411"/>
        <v>12320</v>
      </c>
      <c r="BK1872" s="14">
        <f>SUMIFS(BJ$4:BJ1872,$AU$4:$AU1872,"="&amp;$AU1872,$AY$4:$AY1872,"="&amp;$AY1872)</f>
        <v>51920</v>
      </c>
    </row>
    <row r="1873" spans="46:63" ht="16.5" x14ac:dyDescent="0.2">
      <c r="AT1873" s="13">
        <v>1870</v>
      </c>
      <c r="AU1873" s="13">
        <f t="shared" si="403"/>
        <v>24</v>
      </c>
      <c r="AV1873" s="14">
        <f t="shared" si="404"/>
        <v>299703</v>
      </c>
      <c r="AW1873" s="14">
        <f t="shared" si="405"/>
        <v>1102997</v>
      </c>
      <c r="AX1873" s="13" t="s">
        <v>1127</v>
      </c>
      <c r="AY1873" s="13">
        <f t="shared" si="406"/>
        <v>3</v>
      </c>
      <c r="AZ1873" s="13" t="s">
        <v>1148</v>
      </c>
      <c r="BA1873" s="14">
        <f t="shared" si="407"/>
        <v>9</v>
      </c>
      <c r="BB1873" s="14" t="str">
        <f t="shared" si="408"/>
        <v>SSR守护灵魂珠-3 等级-9</v>
      </c>
      <c r="BC1873" s="25" t="s">
        <v>44</v>
      </c>
      <c r="BD1873" s="14">
        <f t="shared" si="409"/>
        <v>768</v>
      </c>
      <c r="BE1873" s="14">
        <f>SUMIFS(BD$4:BD1873,$AU$4:$AU1873,"="&amp;$AU1873,$AY$4:$AY1873,"="&amp;$AY1873)</f>
        <v>3600</v>
      </c>
      <c r="BF1873" s="25" t="s">
        <v>1157</v>
      </c>
      <c r="BG1873" s="14">
        <f t="shared" si="410"/>
        <v>352</v>
      </c>
      <c r="BH1873" s="14">
        <f>SUMIFS(BG$4:BG1873,AU$4:AU1873,"="&amp;AU1873,AY$4:AY1873,"="&amp;AY1873)</f>
        <v>1650</v>
      </c>
      <c r="BI1873" s="25" t="s">
        <v>1158</v>
      </c>
      <c r="BJ1873" s="14">
        <f t="shared" si="411"/>
        <v>14080</v>
      </c>
      <c r="BK1873" s="14">
        <f>SUMIFS(BJ$4:BJ1873,$AU$4:$AU1873,"="&amp;$AU1873,$AY$4:$AY1873,"="&amp;$AY1873)</f>
        <v>66000</v>
      </c>
    </row>
    <row r="1874" spans="46:63" ht="16.5" x14ac:dyDescent="0.2">
      <c r="AT1874" s="13">
        <v>1871</v>
      </c>
      <c r="AU1874" s="13">
        <f t="shared" si="403"/>
        <v>24</v>
      </c>
      <c r="AV1874" s="14">
        <f t="shared" si="404"/>
        <v>299704</v>
      </c>
      <c r="AW1874" s="14">
        <f t="shared" si="405"/>
        <v>1102997</v>
      </c>
      <c r="AX1874" s="13" t="s">
        <v>1127</v>
      </c>
      <c r="AY1874" s="13">
        <f t="shared" si="406"/>
        <v>4</v>
      </c>
      <c r="AZ1874" s="13" t="s">
        <v>1148</v>
      </c>
      <c r="BA1874" s="14">
        <f t="shared" si="407"/>
        <v>0</v>
      </c>
      <c r="BB1874" s="14" t="str">
        <f t="shared" si="408"/>
        <v>SSR守护灵魂珠-4 等级-0</v>
      </c>
      <c r="BC1874" s="25" t="s">
        <v>44</v>
      </c>
      <c r="BD1874" s="14">
        <f t="shared" si="409"/>
        <v>0</v>
      </c>
      <c r="BE1874" s="14">
        <f>SUMIFS(BD$4:BD1874,$AU$4:$AU1874,"="&amp;$AU1874,$AY$4:$AY1874,"="&amp;$AY1874)</f>
        <v>0</v>
      </c>
      <c r="BF1874" s="25" t="s">
        <v>1157</v>
      </c>
      <c r="BG1874" s="14">
        <f t="shared" si="410"/>
        <v>0</v>
      </c>
      <c r="BH1874" s="14">
        <f>SUMIFS(BG$4:BG1874,AU$4:AU1874,"="&amp;AU1874,AY$4:AY1874,"="&amp;AY1874)</f>
        <v>0</v>
      </c>
      <c r="BI1874" s="25" t="s">
        <v>1158</v>
      </c>
      <c r="BJ1874" s="14">
        <f t="shared" si="411"/>
        <v>0</v>
      </c>
      <c r="BK1874" s="14">
        <f>SUMIFS(BJ$4:BJ1874,$AU$4:$AU1874,"="&amp;$AU1874,$AY$4:$AY1874,"="&amp;$AY1874)</f>
        <v>0</v>
      </c>
    </row>
    <row r="1875" spans="46:63" ht="16.5" x14ac:dyDescent="0.2">
      <c r="AT1875" s="13">
        <v>1872</v>
      </c>
      <c r="AU1875" s="13">
        <f t="shared" si="403"/>
        <v>24</v>
      </c>
      <c r="AV1875" s="14">
        <f t="shared" si="404"/>
        <v>299704</v>
      </c>
      <c r="AW1875" s="14">
        <f t="shared" si="405"/>
        <v>1102997</v>
      </c>
      <c r="AX1875" s="13" t="s">
        <v>1127</v>
      </c>
      <c r="AY1875" s="13">
        <f t="shared" si="406"/>
        <v>4</v>
      </c>
      <c r="AZ1875" s="13" t="s">
        <v>1148</v>
      </c>
      <c r="BA1875" s="14">
        <f t="shared" si="407"/>
        <v>1</v>
      </c>
      <c r="BB1875" s="14" t="str">
        <f t="shared" si="408"/>
        <v>SSR守护灵魂珠-4 等级-1</v>
      </c>
      <c r="BC1875" s="25" t="s">
        <v>44</v>
      </c>
      <c r="BD1875" s="14">
        <f t="shared" si="409"/>
        <v>120</v>
      </c>
      <c r="BE1875" s="14">
        <f>SUMIFS(BD$4:BD1875,$AU$4:$AU1875,"="&amp;$AU1875,$AY$4:$AY1875,"="&amp;$AY1875)</f>
        <v>120</v>
      </c>
      <c r="BF1875" s="25" t="s">
        <v>1157</v>
      </c>
      <c r="BG1875" s="14">
        <f t="shared" si="410"/>
        <v>55</v>
      </c>
      <c r="BH1875" s="14">
        <f>SUMIFS(BG$4:BG1875,AU$4:AU1875,"="&amp;AU1875,AY$4:AY1875,"="&amp;AY1875)</f>
        <v>55</v>
      </c>
      <c r="BI1875" s="25" t="s">
        <v>1158</v>
      </c>
      <c r="BJ1875" s="14">
        <f t="shared" si="411"/>
        <v>2200</v>
      </c>
      <c r="BK1875" s="14">
        <f>SUMIFS(BJ$4:BJ1875,$AU$4:$AU1875,"="&amp;$AU1875,$AY$4:$AY1875,"="&amp;$AY1875)</f>
        <v>2200</v>
      </c>
    </row>
    <row r="1876" spans="46:63" ht="16.5" x14ac:dyDescent="0.2">
      <c r="AT1876" s="13">
        <v>1873</v>
      </c>
      <c r="AU1876" s="13">
        <f t="shared" si="403"/>
        <v>24</v>
      </c>
      <c r="AV1876" s="14">
        <f t="shared" si="404"/>
        <v>299704</v>
      </c>
      <c r="AW1876" s="14">
        <f t="shared" si="405"/>
        <v>1102997</v>
      </c>
      <c r="AX1876" s="13" t="s">
        <v>1127</v>
      </c>
      <c r="AY1876" s="13">
        <f t="shared" si="406"/>
        <v>4</v>
      </c>
      <c r="AZ1876" s="13" t="s">
        <v>1148</v>
      </c>
      <c r="BA1876" s="14">
        <f t="shared" si="407"/>
        <v>2</v>
      </c>
      <c r="BB1876" s="14" t="str">
        <f t="shared" si="408"/>
        <v>SSR守护灵魂珠-4 等级-2</v>
      </c>
      <c r="BC1876" s="25" t="s">
        <v>44</v>
      </c>
      <c r="BD1876" s="14">
        <f t="shared" si="409"/>
        <v>192</v>
      </c>
      <c r="BE1876" s="14">
        <f>SUMIFS(BD$4:BD1876,$AU$4:$AU1876,"="&amp;$AU1876,$AY$4:$AY1876,"="&amp;$AY1876)</f>
        <v>312</v>
      </c>
      <c r="BF1876" s="25" t="s">
        <v>1157</v>
      </c>
      <c r="BG1876" s="14">
        <f t="shared" si="410"/>
        <v>88</v>
      </c>
      <c r="BH1876" s="14">
        <f>SUMIFS(BG$4:BG1876,AU$4:AU1876,"="&amp;AU1876,AY$4:AY1876,"="&amp;AY1876)</f>
        <v>143</v>
      </c>
      <c r="BI1876" s="25" t="s">
        <v>1158</v>
      </c>
      <c r="BJ1876" s="14">
        <f t="shared" si="411"/>
        <v>3520</v>
      </c>
      <c r="BK1876" s="14">
        <f>SUMIFS(BJ$4:BJ1876,$AU$4:$AU1876,"="&amp;$AU1876,$AY$4:$AY1876,"="&amp;$AY1876)</f>
        <v>5720</v>
      </c>
    </row>
    <row r="1877" spans="46:63" ht="16.5" x14ac:dyDescent="0.2">
      <c r="AT1877" s="13">
        <v>1874</v>
      </c>
      <c r="AU1877" s="13">
        <f t="shared" si="403"/>
        <v>24</v>
      </c>
      <c r="AV1877" s="14">
        <f t="shared" si="404"/>
        <v>299704</v>
      </c>
      <c r="AW1877" s="14">
        <f t="shared" si="405"/>
        <v>1102997</v>
      </c>
      <c r="AX1877" s="13" t="s">
        <v>1127</v>
      </c>
      <c r="AY1877" s="13">
        <f t="shared" si="406"/>
        <v>4</v>
      </c>
      <c r="AZ1877" s="13" t="s">
        <v>1148</v>
      </c>
      <c r="BA1877" s="14">
        <f t="shared" si="407"/>
        <v>3</v>
      </c>
      <c r="BB1877" s="14" t="str">
        <f t="shared" si="408"/>
        <v>SSR守护灵魂珠-4 等级-3</v>
      </c>
      <c r="BC1877" s="25" t="s">
        <v>44</v>
      </c>
      <c r="BD1877" s="14">
        <f t="shared" si="409"/>
        <v>264</v>
      </c>
      <c r="BE1877" s="14">
        <f>SUMIFS(BD$4:BD1877,$AU$4:$AU1877,"="&amp;$AU1877,$AY$4:$AY1877,"="&amp;$AY1877)</f>
        <v>576</v>
      </c>
      <c r="BF1877" s="25" t="s">
        <v>1157</v>
      </c>
      <c r="BG1877" s="14">
        <f t="shared" si="410"/>
        <v>121</v>
      </c>
      <c r="BH1877" s="14">
        <f>SUMIFS(BG$4:BG1877,AU$4:AU1877,"="&amp;AU1877,AY$4:AY1877,"="&amp;AY1877)</f>
        <v>264</v>
      </c>
      <c r="BI1877" s="25" t="s">
        <v>1158</v>
      </c>
      <c r="BJ1877" s="14">
        <f t="shared" si="411"/>
        <v>4840</v>
      </c>
      <c r="BK1877" s="14">
        <f>SUMIFS(BJ$4:BJ1877,$AU$4:$AU1877,"="&amp;$AU1877,$AY$4:$AY1877,"="&amp;$AY1877)</f>
        <v>10560</v>
      </c>
    </row>
    <row r="1878" spans="46:63" ht="16.5" x14ac:dyDescent="0.2">
      <c r="AT1878" s="13">
        <v>1875</v>
      </c>
      <c r="AU1878" s="13">
        <f t="shared" si="403"/>
        <v>24</v>
      </c>
      <c r="AV1878" s="14">
        <f t="shared" si="404"/>
        <v>299704</v>
      </c>
      <c r="AW1878" s="14">
        <f t="shared" si="405"/>
        <v>1102997</v>
      </c>
      <c r="AX1878" s="13" t="s">
        <v>1127</v>
      </c>
      <c r="AY1878" s="13">
        <f t="shared" si="406"/>
        <v>4</v>
      </c>
      <c r="AZ1878" s="13" t="s">
        <v>1148</v>
      </c>
      <c r="BA1878" s="14">
        <f t="shared" si="407"/>
        <v>4</v>
      </c>
      <c r="BB1878" s="14" t="str">
        <f t="shared" si="408"/>
        <v>SSR守护灵魂珠-4 等级-4</v>
      </c>
      <c r="BC1878" s="25" t="s">
        <v>44</v>
      </c>
      <c r="BD1878" s="14">
        <f t="shared" si="409"/>
        <v>384</v>
      </c>
      <c r="BE1878" s="14">
        <f>SUMIFS(BD$4:BD1878,$AU$4:$AU1878,"="&amp;$AU1878,$AY$4:$AY1878,"="&amp;$AY1878)</f>
        <v>960</v>
      </c>
      <c r="BF1878" s="25" t="s">
        <v>1157</v>
      </c>
      <c r="BG1878" s="14">
        <f t="shared" si="410"/>
        <v>176</v>
      </c>
      <c r="BH1878" s="14">
        <f>SUMIFS(BG$4:BG1878,AU$4:AU1878,"="&amp;AU1878,AY$4:AY1878,"="&amp;AY1878)</f>
        <v>440</v>
      </c>
      <c r="BI1878" s="25" t="s">
        <v>1158</v>
      </c>
      <c r="BJ1878" s="14">
        <f t="shared" si="411"/>
        <v>7040</v>
      </c>
      <c r="BK1878" s="14">
        <f>SUMIFS(BJ$4:BJ1878,$AU$4:$AU1878,"="&amp;$AU1878,$AY$4:$AY1878,"="&amp;$AY1878)</f>
        <v>17600</v>
      </c>
    </row>
    <row r="1879" spans="46:63" ht="16.5" x14ac:dyDescent="0.2">
      <c r="AT1879" s="13">
        <v>1876</v>
      </c>
      <c r="AU1879" s="13">
        <f t="shared" si="403"/>
        <v>24</v>
      </c>
      <c r="AV1879" s="14">
        <f t="shared" si="404"/>
        <v>299704</v>
      </c>
      <c r="AW1879" s="14">
        <f t="shared" si="405"/>
        <v>1102997</v>
      </c>
      <c r="AX1879" s="13" t="s">
        <v>1127</v>
      </c>
      <c r="AY1879" s="13">
        <f t="shared" si="406"/>
        <v>4</v>
      </c>
      <c r="AZ1879" s="13" t="s">
        <v>1148</v>
      </c>
      <c r="BA1879" s="14">
        <f t="shared" si="407"/>
        <v>5</v>
      </c>
      <c r="BB1879" s="14" t="str">
        <f t="shared" si="408"/>
        <v>SSR守护灵魂珠-4 等级-5</v>
      </c>
      <c r="BC1879" s="25" t="s">
        <v>44</v>
      </c>
      <c r="BD1879" s="14">
        <f t="shared" si="409"/>
        <v>504</v>
      </c>
      <c r="BE1879" s="14">
        <f>SUMIFS(BD$4:BD1879,$AU$4:$AU1879,"="&amp;$AU1879,$AY$4:$AY1879,"="&amp;$AY1879)</f>
        <v>1464</v>
      </c>
      <c r="BF1879" s="25" t="s">
        <v>1157</v>
      </c>
      <c r="BG1879" s="14">
        <f t="shared" si="410"/>
        <v>231</v>
      </c>
      <c r="BH1879" s="14">
        <f>SUMIFS(BG$4:BG1879,AU$4:AU1879,"="&amp;AU1879,AY$4:AY1879,"="&amp;AY1879)</f>
        <v>671</v>
      </c>
      <c r="BI1879" s="25" t="s">
        <v>1158</v>
      </c>
      <c r="BJ1879" s="14">
        <f t="shared" si="411"/>
        <v>9240</v>
      </c>
      <c r="BK1879" s="14">
        <f>SUMIFS(BJ$4:BJ1879,$AU$4:$AU1879,"="&amp;$AU1879,$AY$4:$AY1879,"="&amp;$AY1879)</f>
        <v>26840</v>
      </c>
    </row>
    <row r="1880" spans="46:63" ht="16.5" x14ac:dyDescent="0.2">
      <c r="AT1880" s="13">
        <v>1877</v>
      </c>
      <c r="AU1880" s="13">
        <f t="shared" si="403"/>
        <v>24</v>
      </c>
      <c r="AV1880" s="14">
        <f t="shared" si="404"/>
        <v>299704</v>
      </c>
      <c r="AW1880" s="14">
        <f t="shared" si="405"/>
        <v>1102997</v>
      </c>
      <c r="AX1880" s="13" t="s">
        <v>1127</v>
      </c>
      <c r="AY1880" s="13">
        <f t="shared" si="406"/>
        <v>4</v>
      </c>
      <c r="AZ1880" s="13" t="s">
        <v>1148</v>
      </c>
      <c r="BA1880" s="14">
        <f t="shared" si="407"/>
        <v>6</v>
      </c>
      <c r="BB1880" s="14" t="str">
        <f t="shared" si="408"/>
        <v>SSR守护灵魂珠-4 等级-6</v>
      </c>
      <c r="BC1880" s="25" t="s">
        <v>44</v>
      </c>
      <c r="BD1880" s="14">
        <f t="shared" si="409"/>
        <v>660</v>
      </c>
      <c r="BE1880" s="14">
        <f>SUMIFS(BD$4:BD1880,$AU$4:$AU1880,"="&amp;$AU1880,$AY$4:$AY1880,"="&amp;$AY1880)</f>
        <v>2124</v>
      </c>
      <c r="BF1880" s="25" t="s">
        <v>1157</v>
      </c>
      <c r="BG1880" s="14">
        <f t="shared" si="410"/>
        <v>303</v>
      </c>
      <c r="BH1880" s="14">
        <f>SUMIFS(BG$4:BG1880,AU$4:AU1880,"="&amp;AU1880,AY$4:AY1880,"="&amp;AY1880)</f>
        <v>974</v>
      </c>
      <c r="BI1880" s="25" t="s">
        <v>1158</v>
      </c>
      <c r="BJ1880" s="14">
        <f t="shared" si="411"/>
        <v>12100</v>
      </c>
      <c r="BK1880" s="14">
        <f>SUMIFS(BJ$4:BJ1880,$AU$4:$AU1880,"="&amp;$AU1880,$AY$4:$AY1880,"="&amp;$AY1880)</f>
        <v>38940</v>
      </c>
    </row>
    <row r="1881" spans="46:63" ht="16.5" x14ac:dyDescent="0.2">
      <c r="AT1881" s="13">
        <v>1878</v>
      </c>
      <c r="AU1881" s="13">
        <f t="shared" si="403"/>
        <v>24</v>
      </c>
      <c r="AV1881" s="14">
        <f t="shared" si="404"/>
        <v>299704</v>
      </c>
      <c r="AW1881" s="14">
        <f t="shared" si="405"/>
        <v>1102997</v>
      </c>
      <c r="AX1881" s="13" t="s">
        <v>1127</v>
      </c>
      <c r="AY1881" s="13">
        <f t="shared" si="406"/>
        <v>4</v>
      </c>
      <c r="AZ1881" s="13" t="s">
        <v>1148</v>
      </c>
      <c r="BA1881" s="14">
        <f t="shared" si="407"/>
        <v>7</v>
      </c>
      <c r="BB1881" s="14" t="str">
        <f t="shared" si="408"/>
        <v>SSR守护灵魂珠-4 等级-7</v>
      </c>
      <c r="BC1881" s="25" t="s">
        <v>44</v>
      </c>
      <c r="BD1881" s="14">
        <f t="shared" si="409"/>
        <v>780</v>
      </c>
      <c r="BE1881" s="14">
        <f>SUMIFS(BD$4:BD1881,$AU$4:$AU1881,"="&amp;$AU1881,$AY$4:$AY1881,"="&amp;$AY1881)</f>
        <v>2904</v>
      </c>
      <c r="BF1881" s="25" t="s">
        <v>1157</v>
      </c>
      <c r="BG1881" s="14">
        <f t="shared" si="410"/>
        <v>358</v>
      </c>
      <c r="BH1881" s="14">
        <f>SUMIFS(BG$4:BG1881,AU$4:AU1881,"="&amp;AU1881,AY$4:AY1881,"="&amp;AY1881)</f>
        <v>1332</v>
      </c>
      <c r="BI1881" s="25" t="s">
        <v>1158</v>
      </c>
      <c r="BJ1881" s="14">
        <f t="shared" si="411"/>
        <v>14300</v>
      </c>
      <c r="BK1881" s="14">
        <f>SUMIFS(BJ$4:BJ1881,$AU$4:$AU1881,"="&amp;$AU1881,$AY$4:$AY1881,"="&amp;$AY1881)</f>
        <v>53240</v>
      </c>
    </row>
    <row r="1882" spans="46:63" ht="16.5" x14ac:dyDescent="0.2">
      <c r="AT1882" s="13">
        <v>1879</v>
      </c>
      <c r="AU1882" s="13">
        <f t="shared" si="403"/>
        <v>24</v>
      </c>
      <c r="AV1882" s="14">
        <f t="shared" si="404"/>
        <v>299704</v>
      </c>
      <c r="AW1882" s="14">
        <f t="shared" si="405"/>
        <v>1102997</v>
      </c>
      <c r="AX1882" s="13" t="s">
        <v>1127</v>
      </c>
      <c r="AY1882" s="13">
        <f t="shared" si="406"/>
        <v>4</v>
      </c>
      <c r="AZ1882" s="13" t="s">
        <v>1148</v>
      </c>
      <c r="BA1882" s="14">
        <f t="shared" si="407"/>
        <v>8</v>
      </c>
      <c r="BB1882" s="14" t="str">
        <f t="shared" si="408"/>
        <v>SSR守护灵魂珠-4 等级-8</v>
      </c>
      <c r="BC1882" s="25" t="s">
        <v>44</v>
      </c>
      <c r="BD1882" s="14">
        <f t="shared" si="409"/>
        <v>900</v>
      </c>
      <c r="BE1882" s="14">
        <f>SUMIFS(BD$4:BD1882,$AU$4:$AU1882,"="&amp;$AU1882,$AY$4:$AY1882,"="&amp;$AY1882)</f>
        <v>3804</v>
      </c>
      <c r="BF1882" s="25" t="s">
        <v>1157</v>
      </c>
      <c r="BG1882" s="14">
        <f t="shared" si="410"/>
        <v>413</v>
      </c>
      <c r="BH1882" s="14">
        <f>SUMIFS(BG$4:BG1882,AU$4:AU1882,"="&amp;AU1882,AY$4:AY1882,"="&amp;AY1882)</f>
        <v>1745</v>
      </c>
      <c r="BI1882" s="25" t="s">
        <v>1158</v>
      </c>
      <c r="BJ1882" s="14">
        <f t="shared" si="411"/>
        <v>16500</v>
      </c>
      <c r="BK1882" s="14">
        <f>SUMIFS(BJ$4:BJ1882,$AU$4:$AU1882,"="&amp;$AU1882,$AY$4:$AY1882,"="&amp;$AY1882)</f>
        <v>69740</v>
      </c>
    </row>
    <row r="1883" spans="46:63" ht="16.5" x14ac:dyDescent="0.2">
      <c r="AT1883" s="13">
        <v>1880</v>
      </c>
      <c r="AU1883" s="13">
        <f t="shared" si="403"/>
        <v>24</v>
      </c>
      <c r="AV1883" s="14">
        <f t="shared" si="404"/>
        <v>299704</v>
      </c>
      <c r="AW1883" s="14">
        <f t="shared" si="405"/>
        <v>1102997</v>
      </c>
      <c r="AX1883" s="13" t="s">
        <v>1127</v>
      </c>
      <c r="AY1883" s="13">
        <f t="shared" si="406"/>
        <v>4</v>
      </c>
      <c r="AZ1883" s="13" t="s">
        <v>1148</v>
      </c>
      <c r="BA1883" s="14">
        <f t="shared" si="407"/>
        <v>9</v>
      </c>
      <c r="BB1883" s="14" t="str">
        <f t="shared" si="408"/>
        <v>SSR守护灵魂珠-4 等级-9</v>
      </c>
      <c r="BC1883" s="25" t="s">
        <v>44</v>
      </c>
      <c r="BD1883" s="14">
        <f t="shared" si="409"/>
        <v>1020</v>
      </c>
      <c r="BE1883" s="14">
        <f>SUMIFS(BD$4:BD1883,$AU$4:$AU1883,"="&amp;$AU1883,$AY$4:$AY1883,"="&amp;$AY1883)</f>
        <v>4824</v>
      </c>
      <c r="BF1883" s="25" t="s">
        <v>1157</v>
      </c>
      <c r="BG1883" s="14">
        <f t="shared" si="410"/>
        <v>468</v>
      </c>
      <c r="BH1883" s="14">
        <f>SUMIFS(BG$4:BG1883,AU$4:AU1883,"="&amp;AU1883,AY$4:AY1883,"="&amp;AY1883)</f>
        <v>2213</v>
      </c>
      <c r="BI1883" s="25" t="s">
        <v>1158</v>
      </c>
      <c r="BJ1883" s="14">
        <f t="shared" si="411"/>
        <v>18700</v>
      </c>
      <c r="BK1883" s="14">
        <f>SUMIFS(BJ$4:BJ1883,$AU$4:$AU1883,"="&amp;$AU1883,$AY$4:$AY1883,"="&amp;$AY1883)</f>
        <v>88440</v>
      </c>
    </row>
    <row r="1884" spans="46:63" ht="16.5" x14ac:dyDescent="0.2">
      <c r="AT1884" s="13">
        <v>1881</v>
      </c>
      <c r="AU1884" s="13">
        <f t="shared" si="403"/>
        <v>24</v>
      </c>
      <c r="AV1884" s="14">
        <f t="shared" si="404"/>
        <v>299705</v>
      </c>
      <c r="AW1884" s="14">
        <f t="shared" si="405"/>
        <v>1102997</v>
      </c>
      <c r="AX1884" s="13" t="s">
        <v>1127</v>
      </c>
      <c r="AY1884" s="13">
        <f t="shared" si="406"/>
        <v>5</v>
      </c>
      <c r="AZ1884" s="13" t="s">
        <v>1148</v>
      </c>
      <c r="BA1884" s="14">
        <f t="shared" si="407"/>
        <v>0</v>
      </c>
      <c r="BB1884" s="14" t="str">
        <f t="shared" si="408"/>
        <v>SSR守护灵魂珠-5 等级-0</v>
      </c>
      <c r="BC1884" s="25" t="s">
        <v>44</v>
      </c>
      <c r="BD1884" s="14">
        <f t="shared" si="409"/>
        <v>0</v>
      </c>
      <c r="BE1884" s="14">
        <f>SUMIFS(BD$4:BD1884,$AU$4:$AU1884,"="&amp;$AU1884,$AY$4:$AY1884,"="&amp;$AY1884)</f>
        <v>0</v>
      </c>
      <c r="BF1884" s="25" t="s">
        <v>1157</v>
      </c>
      <c r="BG1884" s="14">
        <f t="shared" si="410"/>
        <v>0</v>
      </c>
      <c r="BH1884" s="14">
        <f>SUMIFS(BG$4:BG1884,AU$4:AU1884,"="&amp;AU1884,AY$4:AY1884,"="&amp;AY1884)</f>
        <v>0</v>
      </c>
      <c r="BI1884" s="25" t="s">
        <v>1158</v>
      </c>
      <c r="BJ1884" s="14">
        <f t="shared" si="411"/>
        <v>0</v>
      </c>
      <c r="BK1884" s="14">
        <f>SUMIFS(BJ$4:BJ1884,$AU$4:$AU1884,"="&amp;$AU1884,$AY$4:$AY1884,"="&amp;$AY1884)</f>
        <v>0</v>
      </c>
    </row>
    <row r="1885" spans="46:63" ht="16.5" x14ac:dyDescent="0.2">
      <c r="AT1885" s="13">
        <v>1882</v>
      </c>
      <c r="AU1885" s="13">
        <f t="shared" si="403"/>
        <v>24</v>
      </c>
      <c r="AV1885" s="14">
        <f t="shared" si="404"/>
        <v>299705</v>
      </c>
      <c r="AW1885" s="14">
        <f t="shared" si="405"/>
        <v>1102997</v>
      </c>
      <c r="AX1885" s="13" t="s">
        <v>1127</v>
      </c>
      <c r="AY1885" s="13">
        <f t="shared" si="406"/>
        <v>5</v>
      </c>
      <c r="AZ1885" s="13" t="s">
        <v>1148</v>
      </c>
      <c r="BA1885" s="14">
        <f t="shared" si="407"/>
        <v>1</v>
      </c>
      <c r="BB1885" s="14" t="str">
        <f t="shared" si="408"/>
        <v>SSR守护灵魂珠-5 等级-1</v>
      </c>
      <c r="BC1885" s="25" t="s">
        <v>44</v>
      </c>
      <c r="BD1885" s="14">
        <f t="shared" si="409"/>
        <v>168</v>
      </c>
      <c r="BE1885" s="14">
        <f>SUMIFS(BD$4:BD1885,$AU$4:$AU1885,"="&amp;$AU1885,$AY$4:$AY1885,"="&amp;$AY1885)</f>
        <v>168</v>
      </c>
      <c r="BF1885" s="25" t="s">
        <v>1157</v>
      </c>
      <c r="BG1885" s="14">
        <f t="shared" si="410"/>
        <v>77</v>
      </c>
      <c r="BH1885" s="14">
        <f>SUMIFS(BG$4:BG1885,AU$4:AU1885,"="&amp;AU1885,AY$4:AY1885,"="&amp;AY1885)</f>
        <v>77</v>
      </c>
      <c r="BI1885" s="25" t="s">
        <v>1158</v>
      </c>
      <c r="BJ1885" s="14">
        <f t="shared" si="411"/>
        <v>3080</v>
      </c>
      <c r="BK1885" s="14">
        <f>SUMIFS(BJ$4:BJ1885,$AU$4:$AU1885,"="&amp;$AU1885,$AY$4:$AY1885,"="&amp;$AY1885)</f>
        <v>3080</v>
      </c>
    </row>
    <row r="1886" spans="46:63" ht="16.5" x14ac:dyDescent="0.2">
      <c r="AT1886" s="13">
        <v>1883</v>
      </c>
      <c r="AU1886" s="13">
        <f t="shared" si="403"/>
        <v>24</v>
      </c>
      <c r="AV1886" s="14">
        <f t="shared" si="404"/>
        <v>299705</v>
      </c>
      <c r="AW1886" s="14">
        <f t="shared" si="405"/>
        <v>1102997</v>
      </c>
      <c r="AX1886" s="13" t="s">
        <v>1127</v>
      </c>
      <c r="AY1886" s="13">
        <f t="shared" si="406"/>
        <v>5</v>
      </c>
      <c r="AZ1886" s="13" t="s">
        <v>1148</v>
      </c>
      <c r="BA1886" s="14">
        <f t="shared" si="407"/>
        <v>2</v>
      </c>
      <c r="BB1886" s="14" t="str">
        <f t="shared" si="408"/>
        <v>SSR守护灵魂珠-5 等级-2</v>
      </c>
      <c r="BC1886" s="25" t="s">
        <v>44</v>
      </c>
      <c r="BD1886" s="14">
        <f t="shared" si="409"/>
        <v>240</v>
      </c>
      <c r="BE1886" s="14">
        <f>SUMIFS(BD$4:BD1886,$AU$4:$AU1886,"="&amp;$AU1886,$AY$4:$AY1886,"="&amp;$AY1886)</f>
        <v>408</v>
      </c>
      <c r="BF1886" s="25" t="s">
        <v>1157</v>
      </c>
      <c r="BG1886" s="14">
        <f t="shared" si="410"/>
        <v>110</v>
      </c>
      <c r="BH1886" s="14">
        <f>SUMIFS(BG$4:BG1886,AU$4:AU1886,"="&amp;AU1886,AY$4:AY1886,"="&amp;AY1886)</f>
        <v>187</v>
      </c>
      <c r="BI1886" s="25" t="s">
        <v>1158</v>
      </c>
      <c r="BJ1886" s="14">
        <f t="shared" si="411"/>
        <v>4400</v>
      </c>
      <c r="BK1886" s="14">
        <f>SUMIFS(BJ$4:BJ1886,$AU$4:$AU1886,"="&amp;$AU1886,$AY$4:$AY1886,"="&amp;$AY1886)</f>
        <v>7480</v>
      </c>
    </row>
    <row r="1887" spans="46:63" ht="16.5" x14ac:dyDescent="0.2">
      <c r="AT1887" s="13">
        <v>1884</v>
      </c>
      <c r="AU1887" s="13">
        <f t="shared" si="403"/>
        <v>24</v>
      </c>
      <c r="AV1887" s="14">
        <f t="shared" si="404"/>
        <v>299705</v>
      </c>
      <c r="AW1887" s="14">
        <f t="shared" si="405"/>
        <v>1102997</v>
      </c>
      <c r="AX1887" s="13" t="s">
        <v>1127</v>
      </c>
      <c r="AY1887" s="13">
        <f t="shared" si="406"/>
        <v>5</v>
      </c>
      <c r="AZ1887" s="13" t="s">
        <v>1148</v>
      </c>
      <c r="BA1887" s="14">
        <f t="shared" si="407"/>
        <v>3</v>
      </c>
      <c r="BB1887" s="14" t="str">
        <f t="shared" si="408"/>
        <v>SSR守护灵魂珠-5 等级-3</v>
      </c>
      <c r="BC1887" s="25" t="s">
        <v>44</v>
      </c>
      <c r="BD1887" s="14">
        <f t="shared" si="409"/>
        <v>312</v>
      </c>
      <c r="BE1887" s="14">
        <f>SUMIFS(BD$4:BD1887,$AU$4:$AU1887,"="&amp;$AU1887,$AY$4:$AY1887,"="&amp;$AY1887)</f>
        <v>720</v>
      </c>
      <c r="BF1887" s="25" t="s">
        <v>1157</v>
      </c>
      <c r="BG1887" s="14">
        <f t="shared" si="410"/>
        <v>143</v>
      </c>
      <c r="BH1887" s="14">
        <f>SUMIFS(BG$4:BG1887,AU$4:AU1887,"="&amp;AU1887,AY$4:AY1887,"="&amp;AY1887)</f>
        <v>330</v>
      </c>
      <c r="BI1887" s="25" t="s">
        <v>1158</v>
      </c>
      <c r="BJ1887" s="14">
        <f t="shared" si="411"/>
        <v>5720</v>
      </c>
      <c r="BK1887" s="14">
        <f>SUMIFS(BJ$4:BJ1887,$AU$4:$AU1887,"="&amp;$AU1887,$AY$4:$AY1887,"="&amp;$AY1887)</f>
        <v>13200</v>
      </c>
    </row>
    <row r="1888" spans="46:63" ht="16.5" x14ac:dyDescent="0.2">
      <c r="AT1888" s="13">
        <v>1885</v>
      </c>
      <c r="AU1888" s="13">
        <f t="shared" si="403"/>
        <v>24</v>
      </c>
      <c r="AV1888" s="14">
        <f t="shared" si="404"/>
        <v>299705</v>
      </c>
      <c r="AW1888" s="14">
        <f t="shared" si="405"/>
        <v>1102997</v>
      </c>
      <c r="AX1888" s="13" t="s">
        <v>1127</v>
      </c>
      <c r="AY1888" s="13">
        <f t="shared" si="406"/>
        <v>5</v>
      </c>
      <c r="AZ1888" s="13" t="s">
        <v>1148</v>
      </c>
      <c r="BA1888" s="14">
        <f t="shared" si="407"/>
        <v>4</v>
      </c>
      <c r="BB1888" s="14" t="str">
        <f t="shared" si="408"/>
        <v>SSR守护灵魂珠-5 等级-4</v>
      </c>
      <c r="BC1888" s="25" t="s">
        <v>44</v>
      </c>
      <c r="BD1888" s="14">
        <f t="shared" si="409"/>
        <v>480</v>
      </c>
      <c r="BE1888" s="14">
        <f>SUMIFS(BD$4:BD1888,$AU$4:$AU1888,"="&amp;$AU1888,$AY$4:$AY1888,"="&amp;$AY1888)</f>
        <v>1200</v>
      </c>
      <c r="BF1888" s="25" t="s">
        <v>1157</v>
      </c>
      <c r="BG1888" s="14">
        <f t="shared" si="410"/>
        <v>220</v>
      </c>
      <c r="BH1888" s="14">
        <f>SUMIFS(BG$4:BG1888,AU$4:AU1888,"="&amp;AU1888,AY$4:AY1888,"="&amp;AY1888)</f>
        <v>550</v>
      </c>
      <c r="BI1888" s="25" t="s">
        <v>1158</v>
      </c>
      <c r="BJ1888" s="14">
        <f t="shared" si="411"/>
        <v>8800</v>
      </c>
      <c r="BK1888" s="14">
        <f>SUMIFS(BJ$4:BJ1888,$AU$4:$AU1888,"="&amp;$AU1888,$AY$4:$AY1888,"="&amp;$AY1888)</f>
        <v>22000</v>
      </c>
    </row>
    <row r="1889" spans="46:63" ht="16.5" x14ac:dyDescent="0.2">
      <c r="AT1889" s="13">
        <v>1886</v>
      </c>
      <c r="AU1889" s="13">
        <f t="shared" si="403"/>
        <v>24</v>
      </c>
      <c r="AV1889" s="14">
        <f t="shared" si="404"/>
        <v>299705</v>
      </c>
      <c r="AW1889" s="14">
        <f t="shared" si="405"/>
        <v>1102997</v>
      </c>
      <c r="AX1889" s="13" t="s">
        <v>1127</v>
      </c>
      <c r="AY1889" s="13">
        <f t="shared" si="406"/>
        <v>5</v>
      </c>
      <c r="AZ1889" s="13" t="s">
        <v>1148</v>
      </c>
      <c r="BA1889" s="14">
        <f t="shared" si="407"/>
        <v>5</v>
      </c>
      <c r="BB1889" s="14" t="str">
        <f t="shared" si="408"/>
        <v>SSR守护灵魂珠-5 等级-5</v>
      </c>
      <c r="BC1889" s="25" t="s">
        <v>44</v>
      </c>
      <c r="BD1889" s="14">
        <f t="shared" si="409"/>
        <v>624</v>
      </c>
      <c r="BE1889" s="14">
        <f>SUMIFS(BD$4:BD1889,$AU$4:$AU1889,"="&amp;$AU1889,$AY$4:$AY1889,"="&amp;$AY1889)</f>
        <v>1824</v>
      </c>
      <c r="BF1889" s="25" t="s">
        <v>1157</v>
      </c>
      <c r="BG1889" s="14">
        <f t="shared" si="410"/>
        <v>286</v>
      </c>
      <c r="BH1889" s="14">
        <f>SUMIFS(BG$4:BG1889,AU$4:AU1889,"="&amp;AU1889,AY$4:AY1889,"="&amp;AY1889)</f>
        <v>836</v>
      </c>
      <c r="BI1889" s="25" t="s">
        <v>1158</v>
      </c>
      <c r="BJ1889" s="14">
        <f t="shared" si="411"/>
        <v>11440</v>
      </c>
      <c r="BK1889" s="14">
        <f>SUMIFS(BJ$4:BJ1889,$AU$4:$AU1889,"="&amp;$AU1889,$AY$4:$AY1889,"="&amp;$AY1889)</f>
        <v>33440</v>
      </c>
    </row>
    <row r="1890" spans="46:63" ht="16.5" x14ac:dyDescent="0.2">
      <c r="AT1890" s="13">
        <v>1887</v>
      </c>
      <c r="AU1890" s="13">
        <f t="shared" si="403"/>
        <v>24</v>
      </c>
      <c r="AV1890" s="14">
        <f t="shared" si="404"/>
        <v>299705</v>
      </c>
      <c r="AW1890" s="14">
        <f t="shared" si="405"/>
        <v>1102997</v>
      </c>
      <c r="AX1890" s="13" t="s">
        <v>1127</v>
      </c>
      <c r="AY1890" s="13">
        <f t="shared" si="406"/>
        <v>5</v>
      </c>
      <c r="AZ1890" s="13" t="s">
        <v>1148</v>
      </c>
      <c r="BA1890" s="14">
        <f t="shared" si="407"/>
        <v>6</v>
      </c>
      <c r="BB1890" s="14" t="str">
        <f t="shared" si="408"/>
        <v>SSR守护灵魂珠-5 等级-6</v>
      </c>
      <c r="BC1890" s="25" t="s">
        <v>44</v>
      </c>
      <c r="BD1890" s="14">
        <f t="shared" si="409"/>
        <v>780</v>
      </c>
      <c r="BE1890" s="14">
        <f>SUMIFS(BD$4:BD1890,$AU$4:$AU1890,"="&amp;$AU1890,$AY$4:$AY1890,"="&amp;$AY1890)</f>
        <v>2604</v>
      </c>
      <c r="BF1890" s="25" t="s">
        <v>1157</v>
      </c>
      <c r="BG1890" s="14">
        <f t="shared" si="410"/>
        <v>358</v>
      </c>
      <c r="BH1890" s="14">
        <f>SUMIFS(BG$4:BG1890,AU$4:AU1890,"="&amp;AU1890,AY$4:AY1890,"="&amp;AY1890)</f>
        <v>1194</v>
      </c>
      <c r="BI1890" s="25" t="s">
        <v>1158</v>
      </c>
      <c r="BJ1890" s="14">
        <f t="shared" si="411"/>
        <v>14300</v>
      </c>
      <c r="BK1890" s="14">
        <f>SUMIFS(BJ$4:BJ1890,$AU$4:$AU1890,"="&amp;$AU1890,$AY$4:$AY1890,"="&amp;$AY1890)</f>
        <v>47740</v>
      </c>
    </row>
    <row r="1891" spans="46:63" ht="16.5" x14ac:dyDescent="0.2">
      <c r="AT1891" s="13">
        <v>1888</v>
      </c>
      <c r="AU1891" s="13">
        <f t="shared" si="403"/>
        <v>24</v>
      </c>
      <c r="AV1891" s="14">
        <f t="shared" si="404"/>
        <v>299705</v>
      </c>
      <c r="AW1891" s="14">
        <f t="shared" si="405"/>
        <v>1102997</v>
      </c>
      <c r="AX1891" s="13" t="s">
        <v>1127</v>
      </c>
      <c r="AY1891" s="13">
        <f t="shared" si="406"/>
        <v>5</v>
      </c>
      <c r="AZ1891" s="13" t="s">
        <v>1148</v>
      </c>
      <c r="BA1891" s="14">
        <f t="shared" si="407"/>
        <v>7</v>
      </c>
      <c r="BB1891" s="14" t="str">
        <f t="shared" si="408"/>
        <v>SSR守护灵魂珠-5 等级-7</v>
      </c>
      <c r="BC1891" s="25" t="s">
        <v>44</v>
      </c>
      <c r="BD1891" s="14">
        <f t="shared" si="409"/>
        <v>960</v>
      </c>
      <c r="BE1891" s="14">
        <f>SUMIFS(BD$4:BD1891,$AU$4:$AU1891,"="&amp;$AU1891,$AY$4:$AY1891,"="&amp;$AY1891)</f>
        <v>3564</v>
      </c>
      <c r="BF1891" s="25" t="s">
        <v>1157</v>
      </c>
      <c r="BG1891" s="14">
        <f t="shared" si="410"/>
        <v>440</v>
      </c>
      <c r="BH1891" s="14">
        <f>SUMIFS(BG$4:BG1891,AU$4:AU1891,"="&amp;AU1891,AY$4:AY1891,"="&amp;AY1891)</f>
        <v>1634</v>
      </c>
      <c r="BI1891" s="25" t="s">
        <v>1158</v>
      </c>
      <c r="BJ1891" s="14">
        <f t="shared" si="411"/>
        <v>17600</v>
      </c>
      <c r="BK1891" s="14">
        <f>SUMIFS(BJ$4:BJ1891,$AU$4:$AU1891,"="&amp;$AU1891,$AY$4:$AY1891,"="&amp;$AY1891)</f>
        <v>65340</v>
      </c>
    </row>
    <row r="1892" spans="46:63" ht="16.5" x14ac:dyDescent="0.2">
      <c r="AT1892" s="13">
        <v>1889</v>
      </c>
      <c r="AU1892" s="13">
        <f t="shared" si="403"/>
        <v>24</v>
      </c>
      <c r="AV1892" s="14">
        <f t="shared" si="404"/>
        <v>299705</v>
      </c>
      <c r="AW1892" s="14">
        <f t="shared" si="405"/>
        <v>1102997</v>
      </c>
      <c r="AX1892" s="13" t="s">
        <v>1127</v>
      </c>
      <c r="AY1892" s="13">
        <f t="shared" si="406"/>
        <v>5</v>
      </c>
      <c r="AZ1892" s="13" t="s">
        <v>1148</v>
      </c>
      <c r="BA1892" s="14">
        <f t="shared" si="407"/>
        <v>8</v>
      </c>
      <c r="BB1892" s="14" t="str">
        <f t="shared" si="408"/>
        <v>SSR守护灵魂珠-5 等级-8</v>
      </c>
      <c r="BC1892" s="25" t="s">
        <v>44</v>
      </c>
      <c r="BD1892" s="14">
        <f t="shared" si="409"/>
        <v>1140</v>
      </c>
      <c r="BE1892" s="14">
        <f>SUMIFS(BD$4:BD1892,$AU$4:$AU1892,"="&amp;$AU1892,$AY$4:$AY1892,"="&amp;$AY1892)</f>
        <v>4704</v>
      </c>
      <c r="BF1892" s="25" t="s">
        <v>1157</v>
      </c>
      <c r="BG1892" s="14">
        <f t="shared" si="410"/>
        <v>523</v>
      </c>
      <c r="BH1892" s="14">
        <f>SUMIFS(BG$4:BG1892,AU$4:AU1892,"="&amp;AU1892,AY$4:AY1892,"="&amp;AY1892)</f>
        <v>2157</v>
      </c>
      <c r="BI1892" s="25" t="s">
        <v>1158</v>
      </c>
      <c r="BJ1892" s="14">
        <f t="shared" si="411"/>
        <v>20900</v>
      </c>
      <c r="BK1892" s="14">
        <f>SUMIFS(BJ$4:BJ1892,$AU$4:$AU1892,"="&amp;$AU1892,$AY$4:$AY1892,"="&amp;$AY1892)</f>
        <v>86240</v>
      </c>
    </row>
    <row r="1893" spans="46:63" ht="16.5" x14ac:dyDescent="0.2">
      <c r="AT1893" s="13">
        <v>1890</v>
      </c>
      <c r="AU1893" s="13">
        <f t="shared" si="403"/>
        <v>24</v>
      </c>
      <c r="AV1893" s="14">
        <f t="shared" si="404"/>
        <v>299705</v>
      </c>
      <c r="AW1893" s="14">
        <f t="shared" si="405"/>
        <v>1102997</v>
      </c>
      <c r="AX1893" s="13" t="s">
        <v>1127</v>
      </c>
      <c r="AY1893" s="13">
        <f t="shared" si="406"/>
        <v>5</v>
      </c>
      <c r="AZ1893" s="13" t="s">
        <v>1148</v>
      </c>
      <c r="BA1893" s="14">
        <f t="shared" si="407"/>
        <v>9</v>
      </c>
      <c r="BB1893" s="14" t="str">
        <f t="shared" si="408"/>
        <v>SSR守护灵魂珠-5 等级-9</v>
      </c>
      <c r="BC1893" s="25" t="s">
        <v>44</v>
      </c>
      <c r="BD1893" s="14">
        <f t="shared" si="409"/>
        <v>1320</v>
      </c>
      <c r="BE1893" s="14">
        <f>SUMIFS(BD$4:BD1893,$AU$4:$AU1893,"="&amp;$AU1893,$AY$4:$AY1893,"="&amp;$AY1893)</f>
        <v>6024</v>
      </c>
      <c r="BF1893" s="25" t="s">
        <v>1157</v>
      </c>
      <c r="BG1893" s="14">
        <f t="shared" si="410"/>
        <v>605</v>
      </c>
      <c r="BH1893" s="14">
        <f>SUMIFS(BG$4:BG1893,AU$4:AU1893,"="&amp;AU1893,AY$4:AY1893,"="&amp;AY1893)</f>
        <v>2762</v>
      </c>
      <c r="BI1893" s="25" t="s">
        <v>1158</v>
      </c>
      <c r="BJ1893" s="14">
        <f t="shared" si="411"/>
        <v>24200</v>
      </c>
      <c r="BK1893" s="14">
        <f>SUMIFS(BJ$4:BJ1893,$AU$4:$AU1893,"="&amp;$AU1893,$AY$4:$AY1893,"="&amp;$AY1893)</f>
        <v>110440</v>
      </c>
    </row>
    <row r="1894" spans="46:63" ht="16.5" x14ac:dyDescent="0.2">
      <c r="AT1894" s="13">
        <v>1891</v>
      </c>
      <c r="AU1894" s="13">
        <f t="shared" si="403"/>
        <v>24</v>
      </c>
      <c r="AV1894" s="14">
        <f t="shared" si="404"/>
        <v>299706</v>
      </c>
      <c r="AW1894" s="14">
        <f t="shared" si="405"/>
        <v>1102997</v>
      </c>
      <c r="AX1894" s="13" t="s">
        <v>1127</v>
      </c>
      <c r="AY1894" s="13">
        <f t="shared" si="406"/>
        <v>6</v>
      </c>
      <c r="AZ1894" s="13" t="s">
        <v>1148</v>
      </c>
      <c r="BA1894" s="14">
        <f t="shared" si="407"/>
        <v>0</v>
      </c>
      <c r="BB1894" s="14" t="str">
        <f t="shared" si="408"/>
        <v>SSR守护灵魂珠-6 等级-0</v>
      </c>
      <c r="BC1894" s="25" t="s">
        <v>44</v>
      </c>
      <c r="BD1894" s="14">
        <f t="shared" si="409"/>
        <v>0</v>
      </c>
      <c r="BE1894" s="14">
        <f>SUMIFS(BD$4:BD1894,$AU$4:$AU1894,"="&amp;$AU1894,$AY$4:$AY1894,"="&amp;$AY1894)</f>
        <v>0</v>
      </c>
      <c r="BF1894" s="25" t="s">
        <v>1157</v>
      </c>
      <c r="BG1894" s="14">
        <f t="shared" si="410"/>
        <v>0</v>
      </c>
      <c r="BH1894" s="14">
        <f>SUMIFS(BG$4:BG1894,AU$4:AU1894,"="&amp;AU1894,AY$4:AY1894,"="&amp;AY1894)</f>
        <v>0</v>
      </c>
      <c r="BI1894" s="25" t="s">
        <v>1158</v>
      </c>
      <c r="BJ1894" s="14">
        <f t="shared" si="411"/>
        <v>0</v>
      </c>
      <c r="BK1894" s="14">
        <f>SUMIFS(BJ$4:BJ1894,$AU$4:$AU1894,"="&amp;$AU1894,$AY$4:$AY1894,"="&amp;$AY1894)</f>
        <v>0</v>
      </c>
    </row>
    <row r="1895" spans="46:63" ht="16.5" x14ac:dyDescent="0.2">
      <c r="AT1895" s="13">
        <v>1892</v>
      </c>
      <c r="AU1895" s="13">
        <f t="shared" si="403"/>
        <v>24</v>
      </c>
      <c r="AV1895" s="14">
        <f t="shared" si="404"/>
        <v>299706</v>
      </c>
      <c r="AW1895" s="14">
        <f t="shared" si="405"/>
        <v>1102997</v>
      </c>
      <c r="AX1895" s="13" t="s">
        <v>1127</v>
      </c>
      <c r="AY1895" s="13">
        <f t="shared" si="406"/>
        <v>6</v>
      </c>
      <c r="AZ1895" s="13" t="s">
        <v>1148</v>
      </c>
      <c r="BA1895" s="14">
        <f t="shared" si="407"/>
        <v>1</v>
      </c>
      <c r="BB1895" s="14" t="str">
        <f t="shared" si="408"/>
        <v>SSR守护灵魂珠-6 等级-1</v>
      </c>
      <c r="BC1895" s="25" t="s">
        <v>44</v>
      </c>
      <c r="BD1895" s="14">
        <f t="shared" si="409"/>
        <v>216</v>
      </c>
      <c r="BE1895" s="14">
        <f>SUMIFS(BD$4:BD1895,$AU$4:$AU1895,"="&amp;$AU1895,$AY$4:$AY1895,"="&amp;$AY1895)</f>
        <v>216</v>
      </c>
      <c r="BF1895" s="25" t="s">
        <v>1157</v>
      </c>
      <c r="BG1895" s="14">
        <f t="shared" si="410"/>
        <v>99</v>
      </c>
      <c r="BH1895" s="14">
        <f>SUMIFS(BG$4:BG1895,AU$4:AU1895,"="&amp;AU1895,AY$4:AY1895,"="&amp;AY1895)</f>
        <v>99</v>
      </c>
      <c r="BI1895" s="25" t="s">
        <v>1158</v>
      </c>
      <c r="BJ1895" s="14">
        <f t="shared" si="411"/>
        <v>3960</v>
      </c>
      <c r="BK1895" s="14">
        <f>SUMIFS(BJ$4:BJ1895,$AU$4:$AU1895,"="&amp;$AU1895,$AY$4:$AY1895,"="&amp;$AY1895)</f>
        <v>3960</v>
      </c>
    </row>
    <row r="1896" spans="46:63" ht="16.5" x14ac:dyDescent="0.2">
      <c r="AT1896" s="13">
        <v>1893</v>
      </c>
      <c r="AU1896" s="13">
        <f t="shared" si="403"/>
        <v>24</v>
      </c>
      <c r="AV1896" s="14">
        <f t="shared" si="404"/>
        <v>299706</v>
      </c>
      <c r="AW1896" s="14">
        <f t="shared" si="405"/>
        <v>1102997</v>
      </c>
      <c r="AX1896" s="13" t="s">
        <v>1127</v>
      </c>
      <c r="AY1896" s="13">
        <f t="shared" si="406"/>
        <v>6</v>
      </c>
      <c r="AZ1896" s="13" t="s">
        <v>1148</v>
      </c>
      <c r="BA1896" s="14">
        <f t="shared" si="407"/>
        <v>2</v>
      </c>
      <c r="BB1896" s="14" t="str">
        <f t="shared" si="408"/>
        <v>SSR守护灵魂珠-6 等级-2</v>
      </c>
      <c r="BC1896" s="25" t="s">
        <v>44</v>
      </c>
      <c r="BD1896" s="14">
        <f t="shared" si="409"/>
        <v>336</v>
      </c>
      <c r="BE1896" s="14">
        <f>SUMIFS(BD$4:BD1896,$AU$4:$AU1896,"="&amp;$AU1896,$AY$4:$AY1896,"="&amp;$AY1896)</f>
        <v>552</v>
      </c>
      <c r="BF1896" s="25" t="s">
        <v>1157</v>
      </c>
      <c r="BG1896" s="14">
        <f t="shared" si="410"/>
        <v>154</v>
      </c>
      <c r="BH1896" s="14">
        <f>SUMIFS(BG$4:BG1896,AU$4:AU1896,"="&amp;AU1896,AY$4:AY1896,"="&amp;AY1896)</f>
        <v>253</v>
      </c>
      <c r="BI1896" s="25" t="s">
        <v>1158</v>
      </c>
      <c r="BJ1896" s="14">
        <f t="shared" si="411"/>
        <v>6160</v>
      </c>
      <c r="BK1896" s="14">
        <f>SUMIFS(BJ$4:BJ1896,$AU$4:$AU1896,"="&amp;$AU1896,$AY$4:$AY1896,"="&amp;$AY1896)</f>
        <v>10120</v>
      </c>
    </row>
    <row r="1897" spans="46:63" ht="16.5" x14ac:dyDescent="0.2">
      <c r="AT1897" s="13">
        <v>1894</v>
      </c>
      <c r="AU1897" s="13">
        <f t="shared" si="403"/>
        <v>24</v>
      </c>
      <c r="AV1897" s="14">
        <f t="shared" si="404"/>
        <v>299706</v>
      </c>
      <c r="AW1897" s="14">
        <f t="shared" si="405"/>
        <v>1102997</v>
      </c>
      <c r="AX1897" s="13" t="s">
        <v>1127</v>
      </c>
      <c r="AY1897" s="13">
        <f t="shared" si="406"/>
        <v>6</v>
      </c>
      <c r="AZ1897" s="13" t="s">
        <v>1148</v>
      </c>
      <c r="BA1897" s="14">
        <f t="shared" si="407"/>
        <v>3</v>
      </c>
      <c r="BB1897" s="14" t="str">
        <f t="shared" si="408"/>
        <v>SSR守护灵魂珠-6 等级-3</v>
      </c>
      <c r="BC1897" s="25" t="s">
        <v>44</v>
      </c>
      <c r="BD1897" s="14">
        <f t="shared" si="409"/>
        <v>450</v>
      </c>
      <c r="BE1897" s="14">
        <f>SUMIFS(BD$4:BD1897,$AU$4:$AU1897,"="&amp;$AU1897,$AY$4:$AY1897,"="&amp;$AY1897)</f>
        <v>1002</v>
      </c>
      <c r="BF1897" s="25" t="s">
        <v>1157</v>
      </c>
      <c r="BG1897" s="14">
        <f t="shared" si="410"/>
        <v>206</v>
      </c>
      <c r="BH1897" s="14">
        <f>SUMIFS(BG$4:BG1897,AU$4:AU1897,"="&amp;AU1897,AY$4:AY1897,"="&amp;AY1897)</f>
        <v>459</v>
      </c>
      <c r="BI1897" s="25" t="s">
        <v>1158</v>
      </c>
      <c r="BJ1897" s="14">
        <f t="shared" si="411"/>
        <v>8250</v>
      </c>
      <c r="BK1897" s="14">
        <f>SUMIFS(BJ$4:BJ1897,$AU$4:$AU1897,"="&amp;$AU1897,$AY$4:$AY1897,"="&amp;$AY1897)</f>
        <v>18370</v>
      </c>
    </row>
    <row r="1898" spans="46:63" ht="16.5" x14ac:dyDescent="0.2">
      <c r="AT1898" s="13">
        <v>1895</v>
      </c>
      <c r="AU1898" s="13">
        <f t="shared" si="403"/>
        <v>24</v>
      </c>
      <c r="AV1898" s="14">
        <f t="shared" si="404"/>
        <v>299706</v>
      </c>
      <c r="AW1898" s="14">
        <f t="shared" si="405"/>
        <v>1102997</v>
      </c>
      <c r="AX1898" s="13" t="s">
        <v>1127</v>
      </c>
      <c r="AY1898" s="13">
        <f t="shared" si="406"/>
        <v>6</v>
      </c>
      <c r="AZ1898" s="13" t="s">
        <v>1148</v>
      </c>
      <c r="BA1898" s="14">
        <f t="shared" si="407"/>
        <v>4</v>
      </c>
      <c r="BB1898" s="14" t="str">
        <f t="shared" si="408"/>
        <v>SSR守护灵魂珠-6 等级-4</v>
      </c>
      <c r="BC1898" s="25" t="s">
        <v>44</v>
      </c>
      <c r="BD1898" s="14">
        <f t="shared" si="409"/>
        <v>672</v>
      </c>
      <c r="BE1898" s="14">
        <f>SUMIFS(BD$4:BD1898,$AU$4:$AU1898,"="&amp;$AU1898,$AY$4:$AY1898,"="&amp;$AY1898)</f>
        <v>1674</v>
      </c>
      <c r="BF1898" s="25" t="s">
        <v>1157</v>
      </c>
      <c r="BG1898" s="14">
        <f t="shared" si="410"/>
        <v>308</v>
      </c>
      <c r="BH1898" s="14">
        <f>SUMIFS(BG$4:BG1898,AU$4:AU1898,"="&amp;AU1898,AY$4:AY1898,"="&amp;AY1898)</f>
        <v>767</v>
      </c>
      <c r="BI1898" s="25" t="s">
        <v>1158</v>
      </c>
      <c r="BJ1898" s="14">
        <f t="shared" si="411"/>
        <v>12320</v>
      </c>
      <c r="BK1898" s="14">
        <f>SUMIFS(BJ$4:BJ1898,$AU$4:$AU1898,"="&amp;$AU1898,$AY$4:$AY1898,"="&amp;$AY1898)</f>
        <v>30690</v>
      </c>
    </row>
    <row r="1899" spans="46:63" ht="16.5" x14ac:dyDescent="0.2">
      <c r="AT1899" s="13">
        <v>1896</v>
      </c>
      <c r="AU1899" s="13">
        <f t="shared" si="403"/>
        <v>24</v>
      </c>
      <c r="AV1899" s="14">
        <f t="shared" si="404"/>
        <v>299706</v>
      </c>
      <c r="AW1899" s="14">
        <f t="shared" si="405"/>
        <v>1102997</v>
      </c>
      <c r="AX1899" s="13" t="s">
        <v>1127</v>
      </c>
      <c r="AY1899" s="13">
        <f t="shared" si="406"/>
        <v>6</v>
      </c>
      <c r="AZ1899" s="13" t="s">
        <v>1148</v>
      </c>
      <c r="BA1899" s="14">
        <f t="shared" si="407"/>
        <v>5</v>
      </c>
      <c r="BB1899" s="14" t="str">
        <f t="shared" si="408"/>
        <v>SSR守护灵魂珠-6 等级-5</v>
      </c>
      <c r="BC1899" s="25" t="s">
        <v>44</v>
      </c>
      <c r="BD1899" s="14">
        <f t="shared" si="409"/>
        <v>900</v>
      </c>
      <c r="BE1899" s="14">
        <f>SUMIFS(BD$4:BD1899,$AU$4:$AU1899,"="&amp;$AU1899,$AY$4:$AY1899,"="&amp;$AY1899)</f>
        <v>2574</v>
      </c>
      <c r="BF1899" s="25" t="s">
        <v>1157</v>
      </c>
      <c r="BG1899" s="14">
        <f t="shared" si="410"/>
        <v>413</v>
      </c>
      <c r="BH1899" s="14">
        <f>SUMIFS(BG$4:BG1899,AU$4:AU1899,"="&amp;AU1899,AY$4:AY1899,"="&amp;AY1899)</f>
        <v>1180</v>
      </c>
      <c r="BI1899" s="25" t="s">
        <v>1158</v>
      </c>
      <c r="BJ1899" s="14">
        <f t="shared" si="411"/>
        <v>16500</v>
      </c>
      <c r="BK1899" s="14">
        <f>SUMIFS(BJ$4:BJ1899,$AU$4:$AU1899,"="&amp;$AU1899,$AY$4:$AY1899,"="&amp;$AY1899)</f>
        <v>47190</v>
      </c>
    </row>
    <row r="1900" spans="46:63" ht="16.5" x14ac:dyDescent="0.2">
      <c r="AT1900" s="13">
        <v>1897</v>
      </c>
      <c r="AU1900" s="13">
        <f t="shared" si="403"/>
        <v>24</v>
      </c>
      <c r="AV1900" s="14">
        <f t="shared" si="404"/>
        <v>299706</v>
      </c>
      <c r="AW1900" s="14">
        <f t="shared" si="405"/>
        <v>1102997</v>
      </c>
      <c r="AX1900" s="13" t="s">
        <v>1127</v>
      </c>
      <c r="AY1900" s="13">
        <f t="shared" si="406"/>
        <v>6</v>
      </c>
      <c r="AZ1900" s="13" t="s">
        <v>1148</v>
      </c>
      <c r="BA1900" s="14">
        <f t="shared" si="407"/>
        <v>6</v>
      </c>
      <c r="BB1900" s="14" t="str">
        <f t="shared" si="408"/>
        <v>SSR守护灵魂珠-6 等级-6</v>
      </c>
      <c r="BC1900" s="25" t="s">
        <v>44</v>
      </c>
      <c r="BD1900" s="14">
        <f t="shared" si="409"/>
        <v>1140</v>
      </c>
      <c r="BE1900" s="14">
        <f>SUMIFS(BD$4:BD1900,$AU$4:$AU1900,"="&amp;$AU1900,$AY$4:$AY1900,"="&amp;$AY1900)</f>
        <v>3714</v>
      </c>
      <c r="BF1900" s="25" t="s">
        <v>1157</v>
      </c>
      <c r="BG1900" s="14">
        <f t="shared" si="410"/>
        <v>523</v>
      </c>
      <c r="BH1900" s="14">
        <f>SUMIFS(BG$4:BG1900,AU$4:AU1900,"="&amp;AU1900,AY$4:AY1900,"="&amp;AY1900)</f>
        <v>1703</v>
      </c>
      <c r="BI1900" s="25" t="s">
        <v>1158</v>
      </c>
      <c r="BJ1900" s="14">
        <f t="shared" si="411"/>
        <v>20900</v>
      </c>
      <c r="BK1900" s="14">
        <f>SUMIFS(BJ$4:BJ1900,$AU$4:$AU1900,"="&amp;$AU1900,$AY$4:$AY1900,"="&amp;$AY1900)</f>
        <v>68090</v>
      </c>
    </row>
    <row r="1901" spans="46:63" ht="16.5" x14ac:dyDescent="0.2">
      <c r="AT1901" s="13">
        <v>1898</v>
      </c>
      <c r="AU1901" s="13">
        <f t="shared" si="403"/>
        <v>24</v>
      </c>
      <c r="AV1901" s="14">
        <f t="shared" si="404"/>
        <v>299706</v>
      </c>
      <c r="AW1901" s="14">
        <f t="shared" si="405"/>
        <v>1102997</v>
      </c>
      <c r="AX1901" s="13" t="s">
        <v>1127</v>
      </c>
      <c r="AY1901" s="13">
        <f t="shared" si="406"/>
        <v>6</v>
      </c>
      <c r="AZ1901" s="13" t="s">
        <v>1148</v>
      </c>
      <c r="BA1901" s="14">
        <f t="shared" si="407"/>
        <v>7</v>
      </c>
      <c r="BB1901" s="14" t="str">
        <f t="shared" si="408"/>
        <v>SSR守护灵魂珠-6 等级-7</v>
      </c>
      <c r="BC1901" s="25" t="s">
        <v>44</v>
      </c>
      <c r="BD1901" s="14">
        <f t="shared" si="409"/>
        <v>1380</v>
      </c>
      <c r="BE1901" s="14">
        <f>SUMIFS(BD$4:BD1901,$AU$4:$AU1901,"="&amp;$AU1901,$AY$4:$AY1901,"="&amp;$AY1901)</f>
        <v>5094</v>
      </c>
      <c r="BF1901" s="25" t="s">
        <v>1157</v>
      </c>
      <c r="BG1901" s="14">
        <f t="shared" si="410"/>
        <v>633</v>
      </c>
      <c r="BH1901" s="14">
        <f>SUMIFS(BG$4:BG1901,AU$4:AU1901,"="&amp;AU1901,AY$4:AY1901,"="&amp;AY1901)</f>
        <v>2336</v>
      </c>
      <c r="BI1901" s="25" t="s">
        <v>1158</v>
      </c>
      <c r="BJ1901" s="14">
        <f t="shared" si="411"/>
        <v>25300</v>
      </c>
      <c r="BK1901" s="14">
        <f>SUMIFS(BJ$4:BJ1901,$AU$4:$AU1901,"="&amp;$AU1901,$AY$4:$AY1901,"="&amp;$AY1901)</f>
        <v>93390</v>
      </c>
    </row>
    <row r="1902" spans="46:63" ht="16.5" x14ac:dyDescent="0.2">
      <c r="AT1902" s="13">
        <v>1899</v>
      </c>
      <c r="AU1902" s="13">
        <f t="shared" si="403"/>
        <v>24</v>
      </c>
      <c r="AV1902" s="14">
        <f t="shared" si="404"/>
        <v>299706</v>
      </c>
      <c r="AW1902" s="14">
        <f t="shared" si="405"/>
        <v>1102997</v>
      </c>
      <c r="AX1902" s="13" t="s">
        <v>1127</v>
      </c>
      <c r="AY1902" s="13">
        <f t="shared" si="406"/>
        <v>6</v>
      </c>
      <c r="AZ1902" s="13" t="s">
        <v>1148</v>
      </c>
      <c r="BA1902" s="14">
        <f t="shared" si="407"/>
        <v>8</v>
      </c>
      <c r="BB1902" s="14" t="str">
        <f t="shared" si="408"/>
        <v>SSR守护灵魂珠-6 等级-8</v>
      </c>
      <c r="BC1902" s="25" t="s">
        <v>44</v>
      </c>
      <c r="BD1902" s="14">
        <f t="shared" si="409"/>
        <v>1560</v>
      </c>
      <c r="BE1902" s="14">
        <f>SUMIFS(BD$4:BD1902,$AU$4:$AU1902,"="&amp;$AU1902,$AY$4:$AY1902,"="&amp;$AY1902)</f>
        <v>6654</v>
      </c>
      <c r="BF1902" s="25" t="s">
        <v>1157</v>
      </c>
      <c r="BG1902" s="14">
        <f t="shared" si="410"/>
        <v>715</v>
      </c>
      <c r="BH1902" s="14">
        <f>SUMIFS(BG$4:BG1902,AU$4:AU1902,"="&amp;AU1902,AY$4:AY1902,"="&amp;AY1902)</f>
        <v>3051</v>
      </c>
      <c r="BI1902" s="25" t="s">
        <v>1158</v>
      </c>
      <c r="BJ1902" s="14">
        <f t="shared" si="411"/>
        <v>28600</v>
      </c>
      <c r="BK1902" s="14">
        <f>SUMIFS(BJ$4:BJ1902,$AU$4:$AU1902,"="&amp;$AU1902,$AY$4:$AY1902,"="&amp;$AY1902)</f>
        <v>121990</v>
      </c>
    </row>
    <row r="1903" spans="46:63" ht="16.5" x14ac:dyDescent="0.2">
      <c r="AT1903" s="13">
        <v>1900</v>
      </c>
      <c r="AU1903" s="13">
        <f t="shared" si="403"/>
        <v>24</v>
      </c>
      <c r="AV1903" s="14">
        <f t="shared" si="404"/>
        <v>299706</v>
      </c>
      <c r="AW1903" s="14">
        <f t="shared" si="405"/>
        <v>1102997</v>
      </c>
      <c r="AX1903" s="13" t="s">
        <v>1127</v>
      </c>
      <c r="AY1903" s="13">
        <f t="shared" si="406"/>
        <v>6</v>
      </c>
      <c r="AZ1903" s="13" t="s">
        <v>1148</v>
      </c>
      <c r="BA1903" s="14">
        <f t="shared" si="407"/>
        <v>9</v>
      </c>
      <c r="BB1903" s="14" t="str">
        <f t="shared" si="408"/>
        <v>SSR守护灵魂珠-6 等级-9</v>
      </c>
      <c r="BC1903" s="25" t="s">
        <v>44</v>
      </c>
      <c r="BD1903" s="14">
        <f t="shared" si="409"/>
        <v>1800</v>
      </c>
      <c r="BE1903" s="14">
        <f>SUMIFS(BD$4:BD1903,$AU$4:$AU1903,"="&amp;$AU1903,$AY$4:$AY1903,"="&amp;$AY1903)</f>
        <v>8454</v>
      </c>
      <c r="BF1903" s="25" t="s">
        <v>1157</v>
      </c>
      <c r="BG1903" s="14">
        <f t="shared" si="410"/>
        <v>825</v>
      </c>
      <c r="BH1903" s="14">
        <f>SUMIFS(BG$4:BG1903,AU$4:AU1903,"="&amp;AU1903,AY$4:AY1903,"="&amp;AY1903)</f>
        <v>3876</v>
      </c>
      <c r="BI1903" s="25" t="s">
        <v>1158</v>
      </c>
      <c r="BJ1903" s="14">
        <f t="shared" si="411"/>
        <v>33000</v>
      </c>
      <c r="BK1903" s="14">
        <f>SUMIFS(BJ$4:BJ1903,$AU$4:$AU1903,"="&amp;$AU1903,$AY$4:$AY1903,"="&amp;$AY1903)</f>
        <v>154990</v>
      </c>
    </row>
    <row r="1904" spans="46:63" ht="16.5" x14ac:dyDescent="0.2">
      <c r="AT1904" s="13">
        <v>1901</v>
      </c>
      <c r="AU1904" s="13">
        <f t="shared" si="403"/>
        <v>24</v>
      </c>
      <c r="AV1904" s="14">
        <f t="shared" si="404"/>
        <v>299707</v>
      </c>
      <c r="AW1904" s="14">
        <f t="shared" si="405"/>
        <v>1102997</v>
      </c>
      <c r="AX1904" s="13" t="s">
        <v>1127</v>
      </c>
      <c r="AY1904" s="13">
        <f t="shared" si="406"/>
        <v>7</v>
      </c>
      <c r="AZ1904" s="13" t="s">
        <v>1148</v>
      </c>
      <c r="BA1904" s="14">
        <f t="shared" si="407"/>
        <v>0</v>
      </c>
      <c r="BB1904" s="14" t="str">
        <f t="shared" si="408"/>
        <v>SSR守护灵魂珠-7 等级-0</v>
      </c>
      <c r="BC1904" s="25" t="s">
        <v>44</v>
      </c>
      <c r="BD1904" s="14">
        <f t="shared" si="409"/>
        <v>0</v>
      </c>
      <c r="BE1904" s="14">
        <f>SUMIFS(BD$4:BD1904,$AU$4:$AU1904,"="&amp;$AU1904,$AY$4:$AY1904,"="&amp;$AY1904)</f>
        <v>0</v>
      </c>
      <c r="BF1904" s="25" t="s">
        <v>1157</v>
      </c>
      <c r="BG1904" s="14">
        <f t="shared" si="410"/>
        <v>0</v>
      </c>
      <c r="BH1904" s="14">
        <f>SUMIFS(BG$4:BG1904,AU$4:AU1904,"="&amp;AU1904,AY$4:AY1904,"="&amp;AY1904)</f>
        <v>0</v>
      </c>
      <c r="BI1904" s="25" t="s">
        <v>1158</v>
      </c>
      <c r="BJ1904" s="14">
        <f t="shared" si="411"/>
        <v>0</v>
      </c>
      <c r="BK1904" s="14">
        <f>SUMIFS(BJ$4:BJ1904,$AU$4:$AU1904,"="&amp;$AU1904,$AY$4:$AY1904,"="&amp;$AY1904)</f>
        <v>0</v>
      </c>
    </row>
    <row r="1905" spans="46:63" ht="16.5" x14ac:dyDescent="0.2">
      <c r="AT1905" s="13">
        <v>1902</v>
      </c>
      <c r="AU1905" s="13">
        <f t="shared" si="403"/>
        <v>24</v>
      </c>
      <c r="AV1905" s="14">
        <f t="shared" si="404"/>
        <v>299707</v>
      </c>
      <c r="AW1905" s="14">
        <f t="shared" si="405"/>
        <v>1102997</v>
      </c>
      <c r="AX1905" s="13" t="s">
        <v>1127</v>
      </c>
      <c r="AY1905" s="13">
        <f t="shared" si="406"/>
        <v>7</v>
      </c>
      <c r="AZ1905" s="13" t="s">
        <v>1148</v>
      </c>
      <c r="BA1905" s="14">
        <f t="shared" si="407"/>
        <v>1</v>
      </c>
      <c r="BB1905" s="14" t="str">
        <f t="shared" si="408"/>
        <v>SSR守护灵魂珠-7 等级-1</v>
      </c>
      <c r="BC1905" s="25" t="s">
        <v>44</v>
      </c>
      <c r="BD1905" s="14">
        <f t="shared" si="409"/>
        <v>288</v>
      </c>
      <c r="BE1905" s="14">
        <f>SUMIFS(BD$4:BD1905,$AU$4:$AU1905,"="&amp;$AU1905,$AY$4:$AY1905,"="&amp;$AY1905)</f>
        <v>288</v>
      </c>
      <c r="BF1905" s="25" t="s">
        <v>1157</v>
      </c>
      <c r="BG1905" s="14">
        <f t="shared" si="410"/>
        <v>132</v>
      </c>
      <c r="BH1905" s="14">
        <f>SUMIFS(BG$4:BG1905,AU$4:AU1905,"="&amp;AU1905,AY$4:AY1905,"="&amp;AY1905)</f>
        <v>132</v>
      </c>
      <c r="BI1905" s="25" t="s">
        <v>1158</v>
      </c>
      <c r="BJ1905" s="14">
        <f t="shared" si="411"/>
        <v>5280</v>
      </c>
      <c r="BK1905" s="14">
        <f>SUMIFS(BJ$4:BJ1905,$AU$4:$AU1905,"="&amp;$AU1905,$AY$4:$AY1905,"="&amp;$AY1905)</f>
        <v>5280</v>
      </c>
    </row>
    <row r="1906" spans="46:63" ht="16.5" x14ac:dyDescent="0.2">
      <c r="AT1906" s="13">
        <v>1903</v>
      </c>
      <c r="AU1906" s="13">
        <f t="shared" si="403"/>
        <v>24</v>
      </c>
      <c r="AV1906" s="14">
        <f t="shared" si="404"/>
        <v>299707</v>
      </c>
      <c r="AW1906" s="14">
        <f t="shared" si="405"/>
        <v>1102997</v>
      </c>
      <c r="AX1906" s="13" t="s">
        <v>1127</v>
      </c>
      <c r="AY1906" s="13">
        <f t="shared" si="406"/>
        <v>7</v>
      </c>
      <c r="AZ1906" s="13" t="s">
        <v>1148</v>
      </c>
      <c r="BA1906" s="14">
        <f t="shared" si="407"/>
        <v>2</v>
      </c>
      <c r="BB1906" s="14" t="str">
        <f t="shared" si="408"/>
        <v>SSR守护灵魂珠-7 等级-2</v>
      </c>
      <c r="BC1906" s="25" t="s">
        <v>44</v>
      </c>
      <c r="BD1906" s="14">
        <f t="shared" si="409"/>
        <v>432</v>
      </c>
      <c r="BE1906" s="14">
        <f>SUMIFS(BD$4:BD1906,$AU$4:$AU1906,"="&amp;$AU1906,$AY$4:$AY1906,"="&amp;$AY1906)</f>
        <v>720</v>
      </c>
      <c r="BF1906" s="25" t="s">
        <v>1157</v>
      </c>
      <c r="BG1906" s="14">
        <f t="shared" si="410"/>
        <v>198</v>
      </c>
      <c r="BH1906" s="14">
        <f>SUMIFS(BG$4:BG1906,AU$4:AU1906,"="&amp;AU1906,AY$4:AY1906,"="&amp;AY1906)</f>
        <v>330</v>
      </c>
      <c r="BI1906" s="25" t="s">
        <v>1158</v>
      </c>
      <c r="BJ1906" s="14">
        <f t="shared" si="411"/>
        <v>7920</v>
      </c>
      <c r="BK1906" s="14">
        <f>SUMIFS(BJ$4:BJ1906,$AU$4:$AU1906,"="&amp;$AU1906,$AY$4:$AY1906,"="&amp;$AY1906)</f>
        <v>13200</v>
      </c>
    </row>
    <row r="1907" spans="46:63" ht="16.5" x14ac:dyDescent="0.2">
      <c r="AT1907" s="13">
        <v>1904</v>
      </c>
      <c r="AU1907" s="13">
        <f t="shared" si="403"/>
        <v>24</v>
      </c>
      <c r="AV1907" s="14">
        <f t="shared" si="404"/>
        <v>299707</v>
      </c>
      <c r="AW1907" s="14">
        <f t="shared" si="405"/>
        <v>1102997</v>
      </c>
      <c r="AX1907" s="13" t="s">
        <v>1127</v>
      </c>
      <c r="AY1907" s="13">
        <f t="shared" si="406"/>
        <v>7</v>
      </c>
      <c r="AZ1907" s="13" t="s">
        <v>1148</v>
      </c>
      <c r="BA1907" s="14">
        <f t="shared" si="407"/>
        <v>3</v>
      </c>
      <c r="BB1907" s="14" t="str">
        <f t="shared" si="408"/>
        <v>SSR守护灵魂珠-7 等级-3</v>
      </c>
      <c r="BC1907" s="25" t="s">
        <v>44</v>
      </c>
      <c r="BD1907" s="14">
        <f t="shared" si="409"/>
        <v>576</v>
      </c>
      <c r="BE1907" s="14">
        <f>SUMIFS(BD$4:BD1907,$AU$4:$AU1907,"="&amp;$AU1907,$AY$4:$AY1907,"="&amp;$AY1907)</f>
        <v>1296</v>
      </c>
      <c r="BF1907" s="25" t="s">
        <v>1157</v>
      </c>
      <c r="BG1907" s="14">
        <f t="shared" si="410"/>
        <v>264</v>
      </c>
      <c r="BH1907" s="14">
        <f>SUMIFS(BG$4:BG1907,AU$4:AU1907,"="&amp;AU1907,AY$4:AY1907,"="&amp;AY1907)</f>
        <v>594</v>
      </c>
      <c r="BI1907" s="25" t="s">
        <v>1158</v>
      </c>
      <c r="BJ1907" s="14">
        <f t="shared" si="411"/>
        <v>10560</v>
      </c>
      <c r="BK1907" s="14">
        <f>SUMIFS(BJ$4:BJ1907,$AU$4:$AU1907,"="&amp;$AU1907,$AY$4:$AY1907,"="&amp;$AY1907)</f>
        <v>23760</v>
      </c>
    </row>
    <row r="1908" spans="46:63" ht="16.5" x14ac:dyDescent="0.2">
      <c r="AT1908" s="13">
        <v>1905</v>
      </c>
      <c r="AU1908" s="13">
        <f t="shared" si="403"/>
        <v>24</v>
      </c>
      <c r="AV1908" s="14">
        <f t="shared" si="404"/>
        <v>299707</v>
      </c>
      <c r="AW1908" s="14">
        <f t="shared" si="405"/>
        <v>1102997</v>
      </c>
      <c r="AX1908" s="13" t="s">
        <v>1127</v>
      </c>
      <c r="AY1908" s="13">
        <f t="shared" si="406"/>
        <v>7</v>
      </c>
      <c r="AZ1908" s="13" t="s">
        <v>1148</v>
      </c>
      <c r="BA1908" s="14">
        <f t="shared" si="407"/>
        <v>4</v>
      </c>
      <c r="BB1908" s="14" t="str">
        <f t="shared" si="408"/>
        <v>SSR守护灵魂珠-7 等级-4</v>
      </c>
      <c r="BC1908" s="25" t="s">
        <v>44</v>
      </c>
      <c r="BD1908" s="14">
        <f t="shared" si="409"/>
        <v>864</v>
      </c>
      <c r="BE1908" s="14">
        <f>SUMIFS(BD$4:BD1908,$AU$4:$AU1908,"="&amp;$AU1908,$AY$4:$AY1908,"="&amp;$AY1908)</f>
        <v>2160</v>
      </c>
      <c r="BF1908" s="25" t="s">
        <v>1157</v>
      </c>
      <c r="BG1908" s="14">
        <f t="shared" si="410"/>
        <v>396</v>
      </c>
      <c r="BH1908" s="14">
        <f>SUMIFS(BG$4:BG1908,AU$4:AU1908,"="&amp;AU1908,AY$4:AY1908,"="&amp;AY1908)</f>
        <v>990</v>
      </c>
      <c r="BI1908" s="25" t="s">
        <v>1158</v>
      </c>
      <c r="BJ1908" s="14">
        <f t="shared" si="411"/>
        <v>15840</v>
      </c>
      <c r="BK1908" s="14">
        <f>SUMIFS(BJ$4:BJ1908,$AU$4:$AU1908,"="&amp;$AU1908,$AY$4:$AY1908,"="&amp;$AY1908)</f>
        <v>39600</v>
      </c>
    </row>
    <row r="1909" spans="46:63" ht="16.5" x14ac:dyDescent="0.2">
      <c r="AT1909" s="13">
        <v>1906</v>
      </c>
      <c r="AU1909" s="13">
        <f t="shared" si="403"/>
        <v>24</v>
      </c>
      <c r="AV1909" s="14">
        <f t="shared" si="404"/>
        <v>299707</v>
      </c>
      <c r="AW1909" s="14">
        <f t="shared" si="405"/>
        <v>1102997</v>
      </c>
      <c r="AX1909" s="13" t="s">
        <v>1127</v>
      </c>
      <c r="AY1909" s="13">
        <f t="shared" si="406"/>
        <v>7</v>
      </c>
      <c r="AZ1909" s="13" t="s">
        <v>1148</v>
      </c>
      <c r="BA1909" s="14">
        <f t="shared" si="407"/>
        <v>5</v>
      </c>
      <c r="BB1909" s="14" t="str">
        <f t="shared" si="408"/>
        <v>SSR守护灵魂珠-7 等级-5</v>
      </c>
      <c r="BC1909" s="25" t="s">
        <v>44</v>
      </c>
      <c r="BD1909" s="14">
        <f t="shared" si="409"/>
        <v>1152</v>
      </c>
      <c r="BE1909" s="14">
        <f>SUMIFS(BD$4:BD1909,$AU$4:$AU1909,"="&amp;$AU1909,$AY$4:$AY1909,"="&amp;$AY1909)</f>
        <v>3312</v>
      </c>
      <c r="BF1909" s="25" t="s">
        <v>1157</v>
      </c>
      <c r="BG1909" s="14">
        <f t="shared" si="410"/>
        <v>528</v>
      </c>
      <c r="BH1909" s="14">
        <f>SUMIFS(BG$4:BG1909,AU$4:AU1909,"="&amp;AU1909,AY$4:AY1909,"="&amp;AY1909)</f>
        <v>1518</v>
      </c>
      <c r="BI1909" s="25" t="s">
        <v>1158</v>
      </c>
      <c r="BJ1909" s="14">
        <f t="shared" si="411"/>
        <v>21120</v>
      </c>
      <c r="BK1909" s="14">
        <f>SUMIFS(BJ$4:BJ1909,$AU$4:$AU1909,"="&amp;$AU1909,$AY$4:$AY1909,"="&amp;$AY1909)</f>
        <v>60720</v>
      </c>
    </row>
    <row r="1910" spans="46:63" ht="16.5" x14ac:dyDescent="0.2">
      <c r="AT1910" s="13">
        <v>1907</v>
      </c>
      <c r="AU1910" s="13">
        <f t="shared" si="403"/>
        <v>24</v>
      </c>
      <c r="AV1910" s="14">
        <f t="shared" si="404"/>
        <v>299707</v>
      </c>
      <c r="AW1910" s="14">
        <f t="shared" si="405"/>
        <v>1102997</v>
      </c>
      <c r="AX1910" s="13" t="s">
        <v>1127</v>
      </c>
      <c r="AY1910" s="13">
        <f t="shared" si="406"/>
        <v>7</v>
      </c>
      <c r="AZ1910" s="13" t="s">
        <v>1148</v>
      </c>
      <c r="BA1910" s="14">
        <f t="shared" si="407"/>
        <v>6</v>
      </c>
      <c r="BB1910" s="14" t="str">
        <f t="shared" si="408"/>
        <v>SSR守护灵魂珠-7 等级-6</v>
      </c>
      <c r="BC1910" s="25" t="s">
        <v>44</v>
      </c>
      <c r="BD1910" s="14">
        <f t="shared" si="409"/>
        <v>1440</v>
      </c>
      <c r="BE1910" s="14">
        <f>SUMIFS(BD$4:BD1910,$AU$4:$AU1910,"="&amp;$AU1910,$AY$4:$AY1910,"="&amp;$AY1910)</f>
        <v>4752</v>
      </c>
      <c r="BF1910" s="25" t="s">
        <v>1157</v>
      </c>
      <c r="BG1910" s="14">
        <f t="shared" si="410"/>
        <v>660</v>
      </c>
      <c r="BH1910" s="14">
        <f>SUMIFS(BG$4:BG1910,AU$4:AU1910,"="&amp;AU1910,AY$4:AY1910,"="&amp;AY1910)</f>
        <v>2178</v>
      </c>
      <c r="BI1910" s="25" t="s">
        <v>1158</v>
      </c>
      <c r="BJ1910" s="14">
        <f t="shared" si="411"/>
        <v>26400</v>
      </c>
      <c r="BK1910" s="14">
        <f>SUMIFS(BJ$4:BJ1910,$AU$4:$AU1910,"="&amp;$AU1910,$AY$4:$AY1910,"="&amp;$AY1910)</f>
        <v>87120</v>
      </c>
    </row>
    <row r="1911" spans="46:63" ht="16.5" x14ac:dyDescent="0.2">
      <c r="AT1911" s="13">
        <v>1908</v>
      </c>
      <c r="AU1911" s="13">
        <f t="shared" si="403"/>
        <v>24</v>
      </c>
      <c r="AV1911" s="14">
        <f t="shared" si="404"/>
        <v>299707</v>
      </c>
      <c r="AW1911" s="14">
        <f t="shared" si="405"/>
        <v>1102997</v>
      </c>
      <c r="AX1911" s="13" t="s">
        <v>1127</v>
      </c>
      <c r="AY1911" s="13">
        <f t="shared" si="406"/>
        <v>7</v>
      </c>
      <c r="AZ1911" s="13" t="s">
        <v>1148</v>
      </c>
      <c r="BA1911" s="14">
        <f t="shared" si="407"/>
        <v>7</v>
      </c>
      <c r="BB1911" s="14" t="str">
        <f t="shared" si="408"/>
        <v>SSR守护灵魂珠-7 等级-7</v>
      </c>
      <c r="BC1911" s="25" t="s">
        <v>44</v>
      </c>
      <c r="BD1911" s="14">
        <f t="shared" si="409"/>
        <v>1728</v>
      </c>
      <c r="BE1911" s="14">
        <f>SUMIFS(BD$4:BD1911,$AU$4:$AU1911,"="&amp;$AU1911,$AY$4:$AY1911,"="&amp;$AY1911)</f>
        <v>6480</v>
      </c>
      <c r="BF1911" s="25" t="s">
        <v>1157</v>
      </c>
      <c r="BG1911" s="14">
        <f t="shared" si="410"/>
        <v>792</v>
      </c>
      <c r="BH1911" s="14">
        <f>SUMIFS(BG$4:BG1911,AU$4:AU1911,"="&amp;AU1911,AY$4:AY1911,"="&amp;AY1911)</f>
        <v>2970</v>
      </c>
      <c r="BI1911" s="25" t="s">
        <v>1158</v>
      </c>
      <c r="BJ1911" s="14">
        <f t="shared" si="411"/>
        <v>31680</v>
      </c>
      <c r="BK1911" s="14">
        <f>SUMIFS(BJ$4:BJ1911,$AU$4:$AU1911,"="&amp;$AU1911,$AY$4:$AY1911,"="&amp;$AY1911)</f>
        <v>118800</v>
      </c>
    </row>
    <row r="1912" spans="46:63" ht="16.5" x14ac:dyDescent="0.2">
      <c r="AT1912" s="13">
        <v>1909</v>
      </c>
      <c r="AU1912" s="13">
        <f t="shared" si="403"/>
        <v>24</v>
      </c>
      <c r="AV1912" s="14">
        <f t="shared" si="404"/>
        <v>299707</v>
      </c>
      <c r="AW1912" s="14">
        <f t="shared" si="405"/>
        <v>1102997</v>
      </c>
      <c r="AX1912" s="13" t="s">
        <v>1127</v>
      </c>
      <c r="AY1912" s="13">
        <f t="shared" si="406"/>
        <v>7</v>
      </c>
      <c r="AZ1912" s="13" t="s">
        <v>1148</v>
      </c>
      <c r="BA1912" s="14">
        <f t="shared" si="407"/>
        <v>8</v>
      </c>
      <c r="BB1912" s="14" t="str">
        <f t="shared" si="408"/>
        <v>SSR守护灵魂珠-7 等级-8</v>
      </c>
      <c r="BC1912" s="25" t="s">
        <v>44</v>
      </c>
      <c r="BD1912" s="14">
        <f t="shared" si="409"/>
        <v>2016</v>
      </c>
      <c r="BE1912" s="14">
        <f>SUMIFS(BD$4:BD1912,$AU$4:$AU1912,"="&amp;$AU1912,$AY$4:$AY1912,"="&amp;$AY1912)</f>
        <v>8496</v>
      </c>
      <c r="BF1912" s="25" t="s">
        <v>1157</v>
      </c>
      <c r="BG1912" s="14">
        <f t="shared" si="410"/>
        <v>924</v>
      </c>
      <c r="BH1912" s="14">
        <f>SUMIFS(BG$4:BG1912,AU$4:AU1912,"="&amp;AU1912,AY$4:AY1912,"="&amp;AY1912)</f>
        <v>3894</v>
      </c>
      <c r="BI1912" s="25" t="s">
        <v>1158</v>
      </c>
      <c r="BJ1912" s="14">
        <f t="shared" si="411"/>
        <v>36960</v>
      </c>
      <c r="BK1912" s="14">
        <f>SUMIFS(BJ$4:BJ1912,$AU$4:$AU1912,"="&amp;$AU1912,$AY$4:$AY1912,"="&amp;$AY1912)</f>
        <v>155760</v>
      </c>
    </row>
    <row r="1913" spans="46:63" ht="16.5" x14ac:dyDescent="0.2">
      <c r="AT1913" s="13">
        <v>1910</v>
      </c>
      <c r="AU1913" s="13">
        <f t="shared" si="403"/>
        <v>24</v>
      </c>
      <c r="AV1913" s="14">
        <f t="shared" si="404"/>
        <v>299707</v>
      </c>
      <c r="AW1913" s="14">
        <f t="shared" si="405"/>
        <v>1102997</v>
      </c>
      <c r="AX1913" s="13" t="s">
        <v>1127</v>
      </c>
      <c r="AY1913" s="13">
        <f t="shared" si="406"/>
        <v>7</v>
      </c>
      <c r="AZ1913" s="13" t="s">
        <v>1148</v>
      </c>
      <c r="BA1913" s="14">
        <f t="shared" si="407"/>
        <v>9</v>
      </c>
      <c r="BB1913" s="14" t="str">
        <f t="shared" si="408"/>
        <v>SSR守护灵魂珠-7 等级-9</v>
      </c>
      <c r="BC1913" s="25" t="s">
        <v>44</v>
      </c>
      <c r="BD1913" s="14">
        <f t="shared" si="409"/>
        <v>2304</v>
      </c>
      <c r="BE1913" s="14">
        <f>SUMIFS(BD$4:BD1913,$AU$4:$AU1913,"="&amp;$AU1913,$AY$4:$AY1913,"="&amp;$AY1913)</f>
        <v>10800</v>
      </c>
      <c r="BF1913" s="25" t="s">
        <v>1157</v>
      </c>
      <c r="BG1913" s="14">
        <f t="shared" si="410"/>
        <v>1056</v>
      </c>
      <c r="BH1913" s="14">
        <f>SUMIFS(BG$4:BG1913,AU$4:AU1913,"="&amp;AU1913,AY$4:AY1913,"="&amp;AY1913)</f>
        <v>4950</v>
      </c>
      <c r="BI1913" s="25" t="s">
        <v>1158</v>
      </c>
      <c r="BJ1913" s="14">
        <f t="shared" si="411"/>
        <v>42240</v>
      </c>
      <c r="BK1913" s="14">
        <f>SUMIFS(BJ$4:BJ1913,$AU$4:$AU1913,"="&amp;$AU1913,$AY$4:$AY1913,"="&amp;$AY1913)</f>
        <v>198000</v>
      </c>
    </row>
    <row r="1914" spans="46:63" ht="16.5" x14ac:dyDescent="0.2">
      <c r="AT1914" s="13">
        <v>1911</v>
      </c>
      <c r="AU1914" s="13">
        <f t="shared" si="403"/>
        <v>24</v>
      </c>
      <c r="AV1914" s="14">
        <f t="shared" si="404"/>
        <v>299708</v>
      </c>
      <c r="AW1914" s="14">
        <f t="shared" si="405"/>
        <v>1102997</v>
      </c>
      <c r="AX1914" s="13" t="s">
        <v>1127</v>
      </c>
      <c r="AY1914" s="13">
        <f t="shared" si="406"/>
        <v>8</v>
      </c>
      <c r="AZ1914" s="13" t="s">
        <v>1148</v>
      </c>
      <c r="BA1914" s="14">
        <f t="shared" si="407"/>
        <v>0</v>
      </c>
      <c r="BB1914" s="14" t="str">
        <f t="shared" si="408"/>
        <v>SSR守护灵魂珠-8 等级-0</v>
      </c>
      <c r="BC1914" s="25" t="s">
        <v>44</v>
      </c>
      <c r="BD1914" s="14">
        <f t="shared" si="409"/>
        <v>0</v>
      </c>
      <c r="BE1914" s="14">
        <f>SUMIFS(BD$4:BD1914,$AU$4:$AU1914,"="&amp;$AU1914,$AY$4:$AY1914,"="&amp;$AY1914)</f>
        <v>0</v>
      </c>
      <c r="BF1914" s="25" t="s">
        <v>1157</v>
      </c>
      <c r="BG1914" s="14">
        <f t="shared" si="410"/>
        <v>0</v>
      </c>
      <c r="BH1914" s="14">
        <f>SUMIFS(BG$4:BG1914,AU$4:AU1914,"="&amp;AU1914,AY$4:AY1914,"="&amp;AY1914)</f>
        <v>0</v>
      </c>
      <c r="BI1914" s="25" t="s">
        <v>1158</v>
      </c>
      <c r="BJ1914" s="14">
        <f t="shared" si="411"/>
        <v>0</v>
      </c>
      <c r="BK1914" s="14">
        <f>SUMIFS(BJ$4:BJ1914,$AU$4:$AU1914,"="&amp;$AU1914,$AY$4:$AY1914,"="&amp;$AY1914)</f>
        <v>0</v>
      </c>
    </row>
    <row r="1915" spans="46:63" ht="16.5" x14ac:dyDescent="0.2">
      <c r="AT1915" s="13">
        <v>1912</v>
      </c>
      <c r="AU1915" s="13">
        <f t="shared" si="403"/>
        <v>24</v>
      </c>
      <c r="AV1915" s="14">
        <f t="shared" si="404"/>
        <v>299708</v>
      </c>
      <c r="AW1915" s="14">
        <f t="shared" si="405"/>
        <v>1102997</v>
      </c>
      <c r="AX1915" s="13" t="s">
        <v>1127</v>
      </c>
      <c r="AY1915" s="13">
        <f t="shared" si="406"/>
        <v>8</v>
      </c>
      <c r="AZ1915" s="13" t="s">
        <v>1148</v>
      </c>
      <c r="BA1915" s="14">
        <f t="shared" si="407"/>
        <v>1</v>
      </c>
      <c r="BB1915" s="14" t="str">
        <f t="shared" si="408"/>
        <v>SSR守护灵魂珠-8 等级-1</v>
      </c>
      <c r="BC1915" s="25" t="s">
        <v>44</v>
      </c>
      <c r="BD1915" s="14">
        <f t="shared" si="409"/>
        <v>384</v>
      </c>
      <c r="BE1915" s="14">
        <f>SUMIFS(BD$4:BD1915,$AU$4:$AU1915,"="&amp;$AU1915,$AY$4:$AY1915,"="&amp;$AY1915)</f>
        <v>384</v>
      </c>
      <c r="BF1915" s="25" t="s">
        <v>1157</v>
      </c>
      <c r="BG1915" s="14">
        <f t="shared" si="410"/>
        <v>176</v>
      </c>
      <c r="BH1915" s="14">
        <f>SUMIFS(BG$4:BG1915,AU$4:AU1915,"="&amp;AU1915,AY$4:AY1915,"="&amp;AY1915)</f>
        <v>176</v>
      </c>
      <c r="BI1915" s="25" t="s">
        <v>1158</v>
      </c>
      <c r="BJ1915" s="14">
        <f t="shared" si="411"/>
        <v>7040</v>
      </c>
      <c r="BK1915" s="14">
        <f>SUMIFS(BJ$4:BJ1915,$AU$4:$AU1915,"="&amp;$AU1915,$AY$4:$AY1915,"="&amp;$AY1915)</f>
        <v>7040</v>
      </c>
    </row>
    <row r="1916" spans="46:63" ht="16.5" x14ac:dyDescent="0.2">
      <c r="AT1916" s="13">
        <v>1913</v>
      </c>
      <c r="AU1916" s="13">
        <f t="shared" si="403"/>
        <v>24</v>
      </c>
      <c r="AV1916" s="14">
        <f t="shared" si="404"/>
        <v>299708</v>
      </c>
      <c r="AW1916" s="14">
        <f t="shared" si="405"/>
        <v>1102997</v>
      </c>
      <c r="AX1916" s="13" t="s">
        <v>1127</v>
      </c>
      <c r="AY1916" s="13">
        <f t="shared" si="406"/>
        <v>8</v>
      </c>
      <c r="AZ1916" s="13" t="s">
        <v>1148</v>
      </c>
      <c r="BA1916" s="14">
        <f t="shared" si="407"/>
        <v>2</v>
      </c>
      <c r="BB1916" s="14" t="str">
        <f t="shared" si="408"/>
        <v>SSR守护灵魂珠-8 等级-2</v>
      </c>
      <c r="BC1916" s="25" t="s">
        <v>44</v>
      </c>
      <c r="BD1916" s="14">
        <f t="shared" si="409"/>
        <v>576</v>
      </c>
      <c r="BE1916" s="14">
        <f>SUMIFS(BD$4:BD1916,$AU$4:$AU1916,"="&amp;$AU1916,$AY$4:$AY1916,"="&amp;$AY1916)</f>
        <v>960</v>
      </c>
      <c r="BF1916" s="25" t="s">
        <v>1157</v>
      </c>
      <c r="BG1916" s="14">
        <f t="shared" si="410"/>
        <v>264</v>
      </c>
      <c r="BH1916" s="14">
        <f>SUMIFS(BG$4:BG1916,AU$4:AU1916,"="&amp;AU1916,AY$4:AY1916,"="&amp;AY1916)</f>
        <v>440</v>
      </c>
      <c r="BI1916" s="25" t="s">
        <v>1158</v>
      </c>
      <c r="BJ1916" s="14">
        <f t="shared" si="411"/>
        <v>10560</v>
      </c>
      <c r="BK1916" s="14">
        <f>SUMIFS(BJ$4:BJ1916,$AU$4:$AU1916,"="&amp;$AU1916,$AY$4:$AY1916,"="&amp;$AY1916)</f>
        <v>17600</v>
      </c>
    </row>
    <row r="1917" spans="46:63" ht="16.5" x14ac:dyDescent="0.2">
      <c r="AT1917" s="13">
        <v>1914</v>
      </c>
      <c r="AU1917" s="13">
        <f t="shared" si="403"/>
        <v>24</v>
      </c>
      <c r="AV1917" s="14">
        <f t="shared" si="404"/>
        <v>299708</v>
      </c>
      <c r="AW1917" s="14">
        <f t="shared" si="405"/>
        <v>1102997</v>
      </c>
      <c r="AX1917" s="13" t="s">
        <v>1127</v>
      </c>
      <c r="AY1917" s="13">
        <f t="shared" si="406"/>
        <v>8</v>
      </c>
      <c r="AZ1917" s="13" t="s">
        <v>1148</v>
      </c>
      <c r="BA1917" s="14">
        <f t="shared" si="407"/>
        <v>3</v>
      </c>
      <c r="BB1917" s="14" t="str">
        <f t="shared" si="408"/>
        <v>SSR守护灵魂珠-8 等级-3</v>
      </c>
      <c r="BC1917" s="25" t="s">
        <v>44</v>
      </c>
      <c r="BD1917" s="14">
        <f t="shared" si="409"/>
        <v>768</v>
      </c>
      <c r="BE1917" s="14">
        <f>SUMIFS(BD$4:BD1917,$AU$4:$AU1917,"="&amp;$AU1917,$AY$4:$AY1917,"="&amp;$AY1917)</f>
        <v>1728</v>
      </c>
      <c r="BF1917" s="25" t="s">
        <v>1157</v>
      </c>
      <c r="BG1917" s="14">
        <f t="shared" si="410"/>
        <v>352</v>
      </c>
      <c r="BH1917" s="14">
        <f>SUMIFS(BG$4:BG1917,AU$4:AU1917,"="&amp;AU1917,AY$4:AY1917,"="&amp;AY1917)</f>
        <v>792</v>
      </c>
      <c r="BI1917" s="25" t="s">
        <v>1158</v>
      </c>
      <c r="BJ1917" s="14">
        <f t="shared" si="411"/>
        <v>14080</v>
      </c>
      <c r="BK1917" s="14">
        <f>SUMIFS(BJ$4:BJ1917,$AU$4:$AU1917,"="&amp;$AU1917,$AY$4:$AY1917,"="&amp;$AY1917)</f>
        <v>31680</v>
      </c>
    </row>
    <row r="1918" spans="46:63" ht="16.5" x14ac:dyDescent="0.2">
      <c r="AT1918" s="13">
        <v>1915</v>
      </c>
      <c r="AU1918" s="13">
        <f t="shared" si="403"/>
        <v>24</v>
      </c>
      <c r="AV1918" s="14">
        <f t="shared" si="404"/>
        <v>299708</v>
      </c>
      <c r="AW1918" s="14">
        <f t="shared" si="405"/>
        <v>1102997</v>
      </c>
      <c r="AX1918" s="13" t="s">
        <v>1127</v>
      </c>
      <c r="AY1918" s="13">
        <f t="shared" si="406"/>
        <v>8</v>
      </c>
      <c r="AZ1918" s="13" t="s">
        <v>1148</v>
      </c>
      <c r="BA1918" s="14">
        <f t="shared" si="407"/>
        <v>4</v>
      </c>
      <c r="BB1918" s="14" t="str">
        <f t="shared" si="408"/>
        <v>SSR守护灵魂珠-8 等级-4</v>
      </c>
      <c r="BC1918" s="25" t="s">
        <v>44</v>
      </c>
      <c r="BD1918" s="14">
        <f t="shared" si="409"/>
        <v>1152</v>
      </c>
      <c r="BE1918" s="14">
        <f>SUMIFS(BD$4:BD1918,$AU$4:$AU1918,"="&amp;$AU1918,$AY$4:$AY1918,"="&amp;$AY1918)</f>
        <v>2880</v>
      </c>
      <c r="BF1918" s="25" t="s">
        <v>1157</v>
      </c>
      <c r="BG1918" s="14">
        <f t="shared" si="410"/>
        <v>528</v>
      </c>
      <c r="BH1918" s="14">
        <f>SUMIFS(BG$4:BG1918,AU$4:AU1918,"="&amp;AU1918,AY$4:AY1918,"="&amp;AY1918)</f>
        <v>1320</v>
      </c>
      <c r="BI1918" s="25" t="s">
        <v>1158</v>
      </c>
      <c r="BJ1918" s="14">
        <f t="shared" si="411"/>
        <v>21120</v>
      </c>
      <c r="BK1918" s="14">
        <f>SUMIFS(BJ$4:BJ1918,$AU$4:$AU1918,"="&amp;$AU1918,$AY$4:$AY1918,"="&amp;$AY1918)</f>
        <v>52800</v>
      </c>
    </row>
    <row r="1919" spans="46:63" ht="16.5" x14ac:dyDescent="0.2">
      <c r="AT1919" s="13">
        <v>1916</v>
      </c>
      <c r="AU1919" s="13">
        <f t="shared" si="403"/>
        <v>24</v>
      </c>
      <c r="AV1919" s="14">
        <f t="shared" si="404"/>
        <v>299708</v>
      </c>
      <c r="AW1919" s="14">
        <f t="shared" si="405"/>
        <v>1102997</v>
      </c>
      <c r="AX1919" s="13" t="s">
        <v>1127</v>
      </c>
      <c r="AY1919" s="13">
        <f t="shared" si="406"/>
        <v>8</v>
      </c>
      <c r="AZ1919" s="13" t="s">
        <v>1148</v>
      </c>
      <c r="BA1919" s="14">
        <f t="shared" si="407"/>
        <v>5</v>
      </c>
      <c r="BB1919" s="14" t="str">
        <f t="shared" si="408"/>
        <v>SSR守护灵魂珠-8 等级-5</v>
      </c>
      <c r="BC1919" s="25" t="s">
        <v>44</v>
      </c>
      <c r="BD1919" s="14">
        <f t="shared" si="409"/>
        <v>1536</v>
      </c>
      <c r="BE1919" s="14">
        <f>SUMIFS(BD$4:BD1919,$AU$4:$AU1919,"="&amp;$AU1919,$AY$4:$AY1919,"="&amp;$AY1919)</f>
        <v>4416</v>
      </c>
      <c r="BF1919" s="25" t="s">
        <v>1157</v>
      </c>
      <c r="BG1919" s="14">
        <f t="shared" si="410"/>
        <v>704</v>
      </c>
      <c r="BH1919" s="14">
        <f>SUMIFS(BG$4:BG1919,AU$4:AU1919,"="&amp;AU1919,AY$4:AY1919,"="&amp;AY1919)</f>
        <v>2024</v>
      </c>
      <c r="BI1919" s="25" t="s">
        <v>1158</v>
      </c>
      <c r="BJ1919" s="14">
        <f t="shared" si="411"/>
        <v>28160</v>
      </c>
      <c r="BK1919" s="14">
        <f>SUMIFS(BJ$4:BJ1919,$AU$4:$AU1919,"="&amp;$AU1919,$AY$4:$AY1919,"="&amp;$AY1919)</f>
        <v>80960</v>
      </c>
    </row>
    <row r="1920" spans="46:63" ht="16.5" x14ac:dyDescent="0.2">
      <c r="AT1920" s="13">
        <v>1917</v>
      </c>
      <c r="AU1920" s="13">
        <f t="shared" si="403"/>
        <v>24</v>
      </c>
      <c r="AV1920" s="14">
        <f t="shared" si="404"/>
        <v>299708</v>
      </c>
      <c r="AW1920" s="14">
        <f t="shared" si="405"/>
        <v>1102997</v>
      </c>
      <c r="AX1920" s="13" t="s">
        <v>1127</v>
      </c>
      <c r="AY1920" s="13">
        <f t="shared" si="406"/>
        <v>8</v>
      </c>
      <c r="AZ1920" s="13" t="s">
        <v>1148</v>
      </c>
      <c r="BA1920" s="14">
        <f t="shared" si="407"/>
        <v>6</v>
      </c>
      <c r="BB1920" s="14" t="str">
        <f t="shared" si="408"/>
        <v>SSR守护灵魂珠-8 等级-6</v>
      </c>
      <c r="BC1920" s="25" t="s">
        <v>44</v>
      </c>
      <c r="BD1920" s="14">
        <f t="shared" si="409"/>
        <v>1920</v>
      </c>
      <c r="BE1920" s="14">
        <f>SUMIFS(BD$4:BD1920,$AU$4:$AU1920,"="&amp;$AU1920,$AY$4:$AY1920,"="&amp;$AY1920)</f>
        <v>6336</v>
      </c>
      <c r="BF1920" s="25" t="s">
        <v>1157</v>
      </c>
      <c r="BG1920" s="14">
        <f t="shared" si="410"/>
        <v>880</v>
      </c>
      <c r="BH1920" s="14">
        <f>SUMIFS(BG$4:BG1920,AU$4:AU1920,"="&amp;AU1920,AY$4:AY1920,"="&amp;AY1920)</f>
        <v>2904</v>
      </c>
      <c r="BI1920" s="25" t="s">
        <v>1158</v>
      </c>
      <c r="BJ1920" s="14">
        <f t="shared" si="411"/>
        <v>35200</v>
      </c>
      <c r="BK1920" s="14">
        <f>SUMIFS(BJ$4:BJ1920,$AU$4:$AU1920,"="&amp;$AU1920,$AY$4:$AY1920,"="&amp;$AY1920)</f>
        <v>116160</v>
      </c>
    </row>
    <row r="1921" spans="46:63" ht="16.5" x14ac:dyDescent="0.2">
      <c r="AT1921" s="13">
        <v>1918</v>
      </c>
      <c r="AU1921" s="13">
        <f t="shared" si="403"/>
        <v>24</v>
      </c>
      <c r="AV1921" s="14">
        <f t="shared" si="404"/>
        <v>299708</v>
      </c>
      <c r="AW1921" s="14">
        <f t="shared" si="405"/>
        <v>1102997</v>
      </c>
      <c r="AX1921" s="13" t="s">
        <v>1127</v>
      </c>
      <c r="AY1921" s="13">
        <f t="shared" si="406"/>
        <v>8</v>
      </c>
      <c r="AZ1921" s="13" t="s">
        <v>1148</v>
      </c>
      <c r="BA1921" s="14">
        <f t="shared" si="407"/>
        <v>7</v>
      </c>
      <c r="BB1921" s="14" t="str">
        <f t="shared" si="408"/>
        <v>SSR守护灵魂珠-8 等级-7</v>
      </c>
      <c r="BC1921" s="25" t="s">
        <v>44</v>
      </c>
      <c r="BD1921" s="14">
        <f t="shared" si="409"/>
        <v>2304</v>
      </c>
      <c r="BE1921" s="14">
        <f>SUMIFS(BD$4:BD1921,$AU$4:$AU1921,"="&amp;$AU1921,$AY$4:$AY1921,"="&amp;$AY1921)</f>
        <v>8640</v>
      </c>
      <c r="BF1921" s="25" t="s">
        <v>1157</v>
      </c>
      <c r="BG1921" s="14">
        <f t="shared" si="410"/>
        <v>1056</v>
      </c>
      <c r="BH1921" s="14">
        <f>SUMIFS(BG$4:BG1921,AU$4:AU1921,"="&amp;AU1921,AY$4:AY1921,"="&amp;AY1921)</f>
        <v>3960</v>
      </c>
      <c r="BI1921" s="25" t="s">
        <v>1158</v>
      </c>
      <c r="BJ1921" s="14">
        <f t="shared" si="411"/>
        <v>42240</v>
      </c>
      <c r="BK1921" s="14">
        <f>SUMIFS(BJ$4:BJ1921,$AU$4:$AU1921,"="&amp;$AU1921,$AY$4:$AY1921,"="&amp;$AY1921)</f>
        <v>158400</v>
      </c>
    </row>
    <row r="1922" spans="46:63" ht="16.5" x14ac:dyDescent="0.2">
      <c r="AT1922" s="13">
        <v>1919</v>
      </c>
      <c r="AU1922" s="13">
        <f t="shared" si="403"/>
        <v>24</v>
      </c>
      <c r="AV1922" s="14">
        <f t="shared" si="404"/>
        <v>299708</v>
      </c>
      <c r="AW1922" s="14">
        <f t="shared" si="405"/>
        <v>1102997</v>
      </c>
      <c r="AX1922" s="13" t="s">
        <v>1127</v>
      </c>
      <c r="AY1922" s="13">
        <f t="shared" si="406"/>
        <v>8</v>
      </c>
      <c r="AZ1922" s="13" t="s">
        <v>1148</v>
      </c>
      <c r="BA1922" s="14">
        <f t="shared" si="407"/>
        <v>8</v>
      </c>
      <c r="BB1922" s="14" t="str">
        <f t="shared" si="408"/>
        <v>SSR守护灵魂珠-8 等级-8</v>
      </c>
      <c r="BC1922" s="25" t="s">
        <v>44</v>
      </c>
      <c r="BD1922" s="14">
        <f t="shared" si="409"/>
        <v>2688</v>
      </c>
      <c r="BE1922" s="14">
        <f>SUMIFS(BD$4:BD1922,$AU$4:$AU1922,"="&amp;$AU1922,$AY$4:$AY1922,"="&amp;$AY1922)</f>
        <v>11328</v>
      </c>
      <c r="BF1922" s="25" t="s">
        <v>1157</v>
      </c>
      <c r="BG1922" s="14">
        <f t="shared" si="410"/>
        <v>1232</v>
      </c>
      <c r="BH1922" s="14">
        <f>SUMIFS(BG$4:BG1922,AU$4:AU1922,"="&amp;AU1922,AY$4:AY1922,"="&amp;AY1922)</f>
        <v>5192</v>
      </c>
      <c r="BI1922" s="25" t="s">
        <v>1158</v>
      </c>
      <c r="BJ1922" s="14">
        <f t="shared" si="411"/>
        <v>49280</v>
      </c>
      <c r="BK1922" s="14">
        <f>SUMIFS(BJ$4:BJ1922,$AU$4:$AU1922,"="&amp;$AU1922,$AY$4:$AY1922,"="&amp;$AY1922)</f>
        <v>207680</v>
      </c>
    </row>
    <row r="1923" spans="46:63" ht="16.5" x14ac:dyDescent="0.2">
      <c r="AT1923" s="13">
        <v>1920</v>
      </c>
      <c r="AU1923" s="13">
        <f t="shared" si="403"/>
        <v>24</v>
      </c>
      <c r="AV1923" s="14">
        <f t="shared" si="404"/>
        <v>299708</v>
      </c>
      <c r="AW1923" s="14">
        <f t="shared" si="405"/>
        <v>1102997</v>
      </c>
      <c r="AX1923" s="13" t="s">
        <v>1127</v>
      </c>
      <c r="AY1923" s="13">
        <f t="shared" si="406"/>
        <v>8</v>
      </c>
      <c r="AZ1923" s="13" t="s">
        <v>1148</v>
      </c>
      <c r="BA1923" s="14">
        <f t="shared" si="407"/>
        <v>9</v>
      </c>
      <c r="BB1923" s="14" t="str">
        <f t="shared" si="408"/>
        <v>SSR守护灵魂珠-8 等级-9</v>
      </c>
      <c r="BC1923" s="25" t="s">
        <v>44</v>
      </c>
      <c r="BD1923" s="14">
        <f t="shared" si="409"/>
        <v>3072</v>
      </c>
      <c r="BE1923" s="14">
        <f>SUMIFS(BD$4:BD1923,$AU$4:$AU1923,"="&amp;$AU1923,$AY$4:$AY1923,"="&amp;$AY1923)</f>
        <v>14400</v>
      </c>
      <c r="BF1923" s="25" t="s">
        <v>1157</v>
      </c>
      <c r="BG1923" s="14">
        <f t="shared" si="410"/>
        <v>1408</v>
      </c>
      <c r="BH1923" s="14">
        <f>SUMIFS(BG$4:BG1923,AU$4:AU1923,"="&amp;AU1923,AY$4:AY1923,"="&amp;AY1923)</f>
        <v>6600</v>
      </c>
      <c r="BI1923" s="25" t="s">
        <v>1158</v>
      </c>
      <c r="BJ1923" s="14">
        <f t="shared" si="411"/>
        <v>56320</v>
      </c>
      <c r="BK1923" s="14">
        <f>SUMIFS(BJ$4:BJ1923,$AU$4:$AU1923,"="&amp;$AU1923,$AY$4:$AY1923,"="&amp;$AY1923)</f>
        <v>264000</v>
      </c>
    </row>
    <row r="1924" spans="46:63" ht="16.5" x14ac:dyDescent="0.2">
      <c r="AT1924" s="13">
        <v>1921</v>
      </c>
      <c r="AU1924" s="13">
        <f t="shared" si="403"/>
        <v>25</v>
      </c>
      <c r="AV1924" s="14">
        <f t="shared" si="404"/>
        <v>299601</v>
      </c>
      <c r="AW1924" s="14">
        <f t="shared" si="405"/>
        <v>1102996</v>
      </c>
      <c r="AX1924" s="13" t="s">
        <v>1127</v>
      </c>
      <c r="AY1924" s="13">
        <f t="shared" si="406"/>
        <v>1</v>
      </c>
      <c r="AZ1924" s="13" t="s">
        <v>1148</v>
      </c>
      <c r="BA1924" s="14">
        <f t="shared" si="407"/>
        <v>0</v>
      </c>
      <c r="BB1924" s="14" t="str">
        <f t="shared" si="408"/>
        <v>UR守护灵魂珠-1 等级-0</v>
      </c>
      <c r="BC1924" s="25" t="s">
        <v>44</v>
      </c>
      <c r="BD1924" s="14">
        <f t="shared" si="409"/>
        <v>0</v>
      </c>
      <c r="BE1924" s="14">
        <f>SUMIFS(BD$4:BD1924,$AU$4:$AU1924,"="&amp;$AU1924,$AY$4:$AY1924,"="&amp;$AY1924)</f>
        <v>0</v>
      </c>
      <c r="BF1924" s="25" t="s">
        <v>1157</v>
      </c>
      <c r="BG1924" s="14">
        <f t="shared" si="410"/>
        <v>0</v>
      </c>
      <c r="BH1924" s="14">
        <f>SUMIFS(BG$4:BG1924,AU$4:AU1924,"="&amp;AU1924,AY$4:AY1924,"="&amp;AY1924)</f>
        <v>0</v>
      </c>
      <c r="BI1924" s="25" t="s">
        <v>1158</v>
      </c>
      <c r="BJ1924" s="14">
        <f t="shared" si="411"/>
        <v>0</v>
      </c>
      <c r="BK1924" s="14">
        <f>SUMIFS(BJ$4:BJ1924,$AU$4:$AU1924,"="&amp;$AU1924,$AY$4:$AY1924,"="&amp;$AY1924)</f>
        <v>0</v>
      </c>
    </row>
    <row r="1925" spans="46:63" ht="16.5" x14ac:dyDescent="0.2">
      <c r="AT1925" s="13">
        <v>1922</v>
      </c>
      <c r="AU1925" s="13">
        <f t="shared" si="403"/>
        <v>25</v>
      </c>
      <c r="AV1925" s="14">
        <f t="shared" si="404"/>
        <v>299601</v>
      </c>
      <c r="AW1925" s="14">
        <f t="shared" si="405"/>
        <v>1102996</v>
      </c>
      <c r="AX1925" s="13" t="s">
        <v>1127</v>
      </c>
      <c r="AY1925" s="13">
        <f t="shared" si="406"/>
        <v>1</v>
      </c>
      <c r="AZ1925" s="13" t="s">
        <v>1148</v>
      </c>
      <c r="BA1925" s="14">
        <f t="shared" si="407"/>
        <v>1</v>
      </c>
      <c r="BB1925" s="14" t="str">
        <f t="shared" si="408"/>
        <v>UR守护灵魂珠-1 等级-1</v>
      </c>
      <c r="BC1925" s="25" t="s">
        <v>44</v>
      </c>
      <c r="BD1925" s="14">
        <f t="shared" si="409"/>
        <v>60</v>
      </c>
      <c r="BE1925" s="14">
        <f>SUMIFS(BD$4:BD1925,$AU$4:$AU1925,"="&amp;$AU1925,$AY$4:$AY1925,"="&amp;$AY1925)</f>
        <v>60</v>
      </c>
      <c r="BF1925" s="25" t="s">
        <v>1157</v>
      </c>
      <c r="BG1925" s="14">
        <f t="shared" si="410"/>
        <v>24</v>
      </c>
      <c r="BH1925" s="14">
        <f>SUMIFS(BG$4:BG1925,AU$4:AU1925,"="&amp;AU1925,AY$4:AY1925,"="&amp;AY1925)</f>
        <v>24</v>
      </c>
      <c r="BI1925" s="25" t="s">
        <v>1158</v>
      </c>
      <c r="BJ1925" s="14">
        <f t="shared" si="411"/>
        <v>960</v>
      </c>
      <c r="BK1925" s="14">
        <f>SUMIFS(BJ$4:BJ1925,$AU$4:$AU1925,"="&amp;$AU1925,$AY$4:$AY1925,"="&amp;$AY1925)</f>
        <v>960</v>
      </c>
    </row>
    <row r="1926" spans="46:63" ht="16.5" x14ac:dyDescent="0.2">
      <c r="AT1926" s="13">
        <v>1923</v>
      </c>
      <c r="AU1926" s="13">
        <f t="shared" si="403"/>
        <v>25</v>
      </c>
      <c r="AV1926" s="14">
        <f t="shared" si="404"/>
        <v>299601</v>
      </c>
      <c r="AW1926" s="14">
        <f t="shared" si="405"/>
        <v>1102996</v>
      </c>
      <c r="AX1926" s="13" t="s">
        <v>1127</v>
      </c>
      <c r="AY1926" s="13">
        <f t="shared" si="406"/>
        <v>1</v>
      </c>
      <c r="AZ1926" s="13" t="s">
        <v>1148</v>
      </c>
      <c r="BA1926" s="14">
        <f t="shared" si="407"/>
        <v>2</v>
      </c>
      <c r="BB1926" s="14" t="str">
        <f t="shared" si="408"/>
        <v>UR守护灵魂珠-1 等级-2</v>
      </c>
      <c r="BC1926" s="25" t="s">
        <v>44</v>
      </c>
      <c r="BD1926" s="14">
        <f t="shared" si="409"/>
        <v>90</v>
      </c>
      <c r="BE1926" s="14">
        <f>SUMIFS(BD$4:BD1926,$AU$4:$AU1926,"="&amp;$AU1926,$AY$4:$AY1926,"="&amp;$AY1926)</f>
        <v>150</v>
      </c>
      <c r="BF1926" s="25" t="s">
        <v>1157</v>
      </c>
      <c r="BG1926" s="14">
        <f t="shared" si="410"/>
        <v>36</v>
      </c>
      <c r="BH1926" s="14">
        <f>SUMIFS(BG$4:BG1926,AU$4:AU1926,"="&amp;AU1926,AY$4:AY1926,"="&amp;AY1926)</f>
        <v>60</v>
      </c>
      <c r="BI1926" s="25" t="s">
        <v>1158</v>
      </c>
      <c r="BJ1926" s="14">
        <f t="shared" si="411"/>
        <v>1440</v>
      </c>
      <c r="BK1926" s="14">
        <f>SUMIFS(BJ$4:BJ1926,$AU$4:$AU1926,"="&amp;$AU1926,$AY$4:$AY1926,"="&amp;$AY1926)</f>
        <v>2400</v>
      </c>
    </row>
    <row r="1927" spans="46:63" ht="16.5" x14ac:dyDescent="0.2">
      <c r="AT1927" s="13">
        <v>1924</v>
      </c>
      <c r="AU1927" s="13">
        <f t="shared" si="403"/>
        <v>25</v>
      </c>
      <c r="AV1927" s="14">
        <f t="shared" si="404"/>
        <v>299601</v>
      </c>
      <c r="AW1927" s="14">
        <f t="shared" si="405"/>
        <v>1102996</v>
      </c>
      <c r="AX1927" s="13" t="s">
        <v>1127</v>
      </c>
      <c r="AY1927" s="13">
        <f t="shared" si="406"/>
        <v>1</v>
      </c>
      <c r="AZ1927" s="13" t="s">
        <v>1148</v>
      </c>
      <c r="BA1927" s="14">
        <f t="shared" si="407"/>
        <v>3</v>
      </c>
      <c r="BB1927" s="14" t="str">
        <f t="shared" si="408"/>
        <v>UR守护灵魂珠-1 等级-3</v>
      </c>
      <c r="BC1927" s="25" t="s">
        <v>44</v>
      </c>
      <c r="BD1927" s="14">
        <f t="shared" si="409"/>
        <v>120</v>
      </c>
      <c r="BE1927" s="14">
        <f>SUMIFS(BD$4:BD1927,$AU$4:$AU1927,"="&amp;$AU1927,$AY$4:$AY1927,"="&amp;$AY1927)</f>
        <v>270</v>
      </c>
      <c r="BF1927" s="25" t="s">
        <v>1157</v>
      </c>
      <c r="BG1927" s="14">
        <f t="shared" si="410"/>
        <v>48</v>
      </c>
      <c r="BH1927" s="14">
        <f>SUMIFS(BG$4:BG1927,AU$4:AU1927,"="&amp;AU1927,AY$4:AY1927,"="&amp;AY1927)</f>
        <v>108</v>
      </c>
      <c r="BI1927" s="25" t="s">
        <v>1158</v>
      </c>
      <c r="BJ1927" s="14">
        <f t="shared" si="411"/>
        <v>1920</v>
      </c>
      <c r="BK1927" s="14">
        <f>SUMIFS(BJ$4:BJ1927,$AU$4:$AU1927,"="&amp;$AU1927,$AY$4:$AY1927,"="&amp;$AY1927)</f>
        <v>4320</v>
      </c>
    </row>
    <row r="1928" spans="46:63" ht="16.5" x14ac:dyDescent="0.2">
      <c r="AT1928" s="13">
        <v>1925</v>
      </c>
      <c r="AU1928" s="13">
        <f t="shared" si="403"/>
        <v>25</v>
      </c>
      <c r="AV1928" s="14">
        <f t="shared" si="404"/>
        <v>299601</v>
      </c>
      <c r="AW1928" s="14">
        <f t="shared" si="405"/>
        <v>1102996</v>
      </c>
      <c r="AX1928" s="13" t="s">
        <v>1127</v>
      </c>
      <c r="AY1928" s="13">
        <f t="shared" si="406"/>
        <v>1</v>
      </c>
      <c r="AZ1928" s="13" t="s">
        <v>1148</v>
      </c>
      <c r="BA1928" s="14">
        <f t="shared" si="407"/>
        <v>4</v>
      </c>
      <c r="BB1928" s="14" t="str">
        <f t="shared" si="408"/>
        <v>UR守护灵魂珠-1 等级-4</v>
      </c>
      <c r="BC1928" s="25" t="s">
        <v>44</v>
      </c>
      <c r="BD1928" s="14">
        <f t="shared" si="409"/>
        <v>180</v>
      </c>
      <c r="BE1928" s="14">
        <f>SUMIFS(BD$4:BD1928,$AU$4:$AU1928,"="&amp;$AU1928,$AY$4:$AY1928,"="&amp;$AY1928)</f>
        <v>450</v>
      </c>
      <c r="BF1928" s="25" t="s">
        <v>1157</v>
      </c>
      <c r="BG1928" s="14">
        <f t="shared" si="410"/>
        <v>72</v>
      </c>
      <c r="BH1928" s="14">
        <f>SUMIFS(BG$4:BG1928,AU$4:AU1928,"="&amp;AU1928,AY$4:AY1928,"="&amp;AY1928)</f>
        <v>180</v>
      </c>
      <c r="BI1928" s="25" t="s">
        <v>1158</v>
      </c>
      <c r="BJ1928" s="14">
        <f t="shared" si="411"/>
        <v>2880</v>
      </c>
      <c r="BK1928" s="14">
        <f>SUMIFS(BJ$4:BJ1928,$AU$4:$AU1928,"="&amp;$AU1928,$AY$4:$AY1928,"="&amp;$AY1928)</f>
        <v>7200</v>
      </c>
    </row>
    <row r="1929" spans="46:63" ht="16.5" x14ac:dyDescent="0.2">
      <c r="AT1929" s="13">
        <v>1926</v>
      </c>
      <c r="AU1929" s="13">
        <f t="shared" ref="AU1929:AU1958" si="412">INT((AT1929-1)/80)+1</f>
        <v>25</v>
      </c>
      <c r="AV1929" s="14">
        <f t="shared" ref="AV1929:AV1958" si="413">INDEX($AJ$4:$AJ$203,(AU1929-1)*8+AY1929)</f>
        <v>299601</v>
      </c>
      <c r="AW1929" s="14">
        <f t="shared" ref="AW1929:AW1958" si="414">INDEX($W$4:$W$28,AU1929)</f>
        <v>1102996</v>
      </c>
      <c r="AX1929" s="13" t="s">
        <v>1127</v>
      </c>
      <c r="AY1929" s="13">
        <f t="shared" ref="AY1929:AY1958" si="415">INT(((AT1929-(AU1929-1)*80)-1)/10)+1</f>
        <v>1</v>
      </c>
      <c r="AZ1929" s="13" t="s">
        <v>1148</v>
      </c>
      <c r="BA1929" s="14">
        <f t="shared" ref="BA1929:BA1958" si="416">AT1929-(AU1929-1)*80-(AY1929-1)*10-1</f>
        <v>5</v>
      </c>
      <c r="BB1929" s="14" t="str">
        <f t="shared" ref="BB1929:BB1958" si="417">INDEX($X$4:$X$28,AU1929)&amp;"魂珠-"&amp;AY1929&amp;" 等级-"&amp;BA1929</f>
        <v>UR守护灵魂珠-1 等级-5</v>
      </c>
      <c r="BC1929" s="25" t="s">
        <v>44</v>
      </c>
      <c r="BD1929" s="14">
        <f t="shared" ref="BD1929:BD1958" si="418">ROUND(INDEX(Q$4:Q$83,($AY1929-1)*10+$BA1929+1)*INDEX(AC$4:AC$28,$AU1929),0)</f>
        <v>240</v>
      </c>
      <c r="BE1929" s="14">
        <f>SUMIFS(BD$4:BD1929,$AU$4:$AU1929,"="&amp;$AU1929,$AY$4:$AY1929,"="&amp;$AY1929)</f>
        <v>690</v>
      </c>
      <c r="BF1929" s="25" t="s">
        <v>1157</v>
      </c>
      <c r="BG1929" s="14">
        <f t="shared" ref="BG1929:BG1958" si="419">ROUND(INDEX(R$4:R$83,($AY1929-1)*10+$BA1929+1)*INDEX(AD$4:AD$28,$AU1929),0)</f>
        <v>96</v>
      </c>
      <c r="BH1929" s="14">
        <f>SUMIFS(BG$4:BG1929,AU$4:AU1929,"="&amp;AU1929,AY$4:AY1929,"="&amp;AY1929)</f>
        <v>276</v>
      </c>
      <c r="BI1929" s="25" t="s">
        <v>1158</v>
      </c>
      <c r="BJ1929" s="14">
        <f t="shared" ref="BJ1929:BJ1958" si="420">ROUND(INDEX(S$4:S$83,($AY1929-1)*10+$BA1929+1)*INDEX(AE$4:AE$28,$AU1929),0)</f>
        <v>3840</v>
      </c>
      <c r="BK1929" s="14">
        <f>SUMIFS(BJ$4:BJ1929,$AU$4:$AU1929,"="&amp;$AU1929,$AY$4:$AY1929,"="&amp;$AY1929)</f>
        <v>11040</v>
      </c>
    </row>
    <row r="1930" spans="46:63" ht="16.5" x14ac:dyDescent="0.2">
      <c r="AT1930" s="13">
        <v>1927</v>
      </c>
      <c r="AU1930" s="13">
        <f t="shared" si="412"/>
        <v>25</v>
      </c>
      <c r="AV1930" s="14">
        <f t="shared" si="413"/>
        <v>299601</v>
      </c>
      <c r="AW1930" s="14">
        <f t="shared" si="414"/>
        <v>1102996</v>
      </c>
      <c r="AX1930" s="13" t="s">
        <v>1127</v>
      </c>
      <c r="AY1930" s="13">
        <f t="shared" si="415"/>
        <v>1</v>
      </c>
      <c r="AZ1930" s="13" t="s">
        <v>1148</v>
      </c>
      <c r="BA1930" s="14">
        <f t="shared" si="416"/>
        <v>6</v>
      </c>
      <c r="BB1930" s="14" t="str">
        <f t="shared" si="417"/>
        <v>UR守护灵魂珠-1 等级-6</v>
      </c>
      <c r="BC1930" s="25" t="s">
        <v>44</v>
      </c>
      <c r="BD1930" s="14">
        <f t="shared" si="418"/>
        <v>300</v>
      </c>
      <c r="BE1930" s="14">
        <f>SUMIFS(BD$4:BD1930,$AU$4:$AU1930,"="&amp;$AU1930,$AY$4:$AY1930,"="&amp;$AY1930)</f>
        <v>990</v>
      </c>
      <c r="BF1930" s="25" t="s">
        <v>1157</v>
      </c>
      <c r="BG1930" s="14">
        <f t="shared" si="419"/>
        <v>120</v>
      </c>
      <c r="BH1930" s="14">
        <f>SUMIFS(BG$4:BG1930,AU$4:AU1930,"="&amp;AU1930,AY$4:AY1930,"="&amp;AY1930)</f>
        <v>396</v>
      </c>
      <c r="BI1930" s="25" t="s">
        <v>1158</v>
      </c>
      <c r="BJ1930" s="14">
        <f t="shared" si="420"/>
        <v>4800</v>
      </c>
      <c r="BK1930" s="14">
        <f>SUMIFS(BJ$4:BJ1930,$AU$4:$AU1930,"="&amp;$AU1930,$AY$4:$AY1930,"="&amp;$AY1930)</f>
        <v>15840</v>
      </c>
    </row>
    <row r="1931" spans="46:63" ht="16.5" x14ac:dyDescent="0.2">
      <c r="AT1931" s="13">
        <v>1928</v>
      </c>
      <c r="AU1931" s="13">
        <f t="shared" si="412"/>
        <v>25</v>
      </c>
      <c r="AV1931" s="14">
        <f t="shared" si="413"/>
        <v>299601</v>
      </c>
      <c r="AW1931" s="14">
        <f t="shared" si="414"/>
        <v>1102996</v>
      </c>
      <c r="AX1931" s="13" t="s">
        <v>1127</v>
      </c>
      <c r="AY1931" s="13">
        <f t="shared" si="415"/>
        <v>1</v>
      </c>
      <c r="AZ1931" s="13" t="s">
        <v>1148</v>
      </c>
      <c r="BA1931" s="14">
        <f t="shared" si="416"/>
        <v>7</v>
      </c>
      <c r="BB1931" s="14" t="str">
        <f t="shared" si="417"/>
        <v>UR守护灵魂珠-1 等级-7</v>
      </c>
      <c r="BC1931" s="25" t="s">
        <v>44</v>
      </c>
      <c r="BD1931" s="14">
        <f t="shared" si="418"/>
        <v>360</v>
      </c>
      <c r="BE1931" s="14">
        <f>SUMIFS(BD$4:BD1931,$AU$4:$AU1931,"="&amp;$AU1931,$AY$4:$AY1931,"="&amp;$AY1931)</f>
        <v>1350</v>
      </c>
      <c r="BF1931" s="25" t="s">
        <v>1157</v>
      </c>
      <c r="BG1931" s="14">
        <f t="shared" si="419"/>
        <v>144</v>
      </c>
      <c r="BH1931" s="14">
        <f>SUMIFS(BG$4:BG1931,AU$4:AU1931,"="&amp;AU1931,AY$4:AY1931,"="&amp;AY1931)</f>
        <v>540</v>
      </c>
      <c r="BI1931" s="25" t="s">
        <v>1158</v>
      </c>
      <c r="BJ1931" s="14">
        <f t="shared" si="420"/>
        <v>5760</v>
      </c>
      <c r="BK1931" s="14">
        <f>SUMIFS(BJ$4:BJ1931,$AU$4:$AU1931,"="&amp;$AU1931,$AY$4:$AY1931,"="&amp;$AY1931)</f>
        <v>21600</v>
      </c>
    </row>
    <row r="1932" spans="46:63" ht="16.5" x14ac:dyDescent="0.2">
      <c r="AT1932" s="13">
        <v>1929</v>
      </c>
      <c r="AU1932" s="13">
        <f t="shared" si="412"/>
        <v>25</v>
      </c>
      <c r="AV1932" s="14">
        <f t="shared" si="413"/>
        <v>299601</v>
      </c>
      <c r="AW1932" s="14">
        <f t="shared" si="414"/>
        <v>1102996</v>
      </c>
      <c r="AX1932" s="13" t="s">
        <v>1127</v>
      </c>
      <c r="AY1932" s="13">
        <f t="shared" si="415"/>
        <v>1</v>
      </c>
      <c r="AZ1932" s="13" t="s">
        <v>1148</v>
      </c>
      <c r="BA1932" s="14">
        <f t="shared" si="416"/>
        <v>8</v>
      </c>
      <c r="BB1932" s="14" t="str">
        <f t="shared" si="417"/>
        <v>UR守护灵魂珠-1 等级-8</v>
      </c>
      <c r="BC1932" s="25" t="s">
        <v>44</v>
      </c>
      <c r="BD1932" s="14">
        <f t="shared" si="418"/>
        <v>420</v>
      </c>
      <c r="BE1932" s="14">
        <f>SUMIFS(BD$4:BD1932,$AU$4:$AU1932,"="&amp;$AU1932,$AY$4:$AY1932,"="&amp;$AY1932)</f>
        <v>1770</v>
      </c>
      <c r="BF1932" s="25" t="s">
        <v>1157</v>
      </c>
      <c r="BG1932" s="14">
        <f t="shared" si="419"/>
        <v>168</v>
      </c>
      <c r="BH1932" s="14">
        <f>SUMIFS(BG$4:BG1932,AU$4:AU1932,"="&amp;AU1932,AY$4:AY1932,"="&amp;AY1932)</f>
        <v>708</v>
      </c>
      <c r="BI1932" s="25" t="s">
        <v>1158</v>
      </c>
      <c r="BJ1932" s="14">
        <f t="shared" si="420"/>
        <v>6720</v>
      </c>
      <c r="BK1932" s="14">
        <f>SUMIFS(BJ$4:BJ1932,$AU$4:$AU1932,"="&amp;$AU1932,$AY$4:$AY1932,"="&amp;$AY1932)</f>
        <v>28320</v>
      </c>
    </row>
    <row r="1933" spans="46:63" ht="16.5" x14ac:dyDescent="0.2">
      <c r="AT1933" s="13">
        <v>1930</v>
      </c>
      <c r="AU1933" s="13">
        <f t="shared" si="412"/>
        <v>25</v>
      </c>
      <c r="AV1933" s="14">
        <f t="shared" si="413"/>
        <v>299601</v>
      </c>
      <c r="AW1933" s="14">
        <f t="shared" si="414"/>
        <v>1102996</v>
      </c>
      <c r="AX1933" s="13" t="s">
        <v>1127</v>
      </c>
      <c r="AY1933" s="13">
        <f t="shared" si="415"/>
        <v>1</v>
      </c>
      <c r="AZ1933" s="13" t="s">
        <v>1148</v>
      </c>
      <c r="BA1933" s="14">
        <f t="shared" si="416"/>
        <v>9</v>
      </c>
      <c r="BB1933" s="14" t="str">
        <f t="shared" si="417"/>
        <v>UR守护灵魂珠-1 等级-9</v>
      </c>
      <c r="BC1933" s="25" t="s">
        <v>44</v>
      </c>
      <c r="BD1933" s="14">
        <f t="shared" si="418"/>
        <v>480</v>
      </c>
      <c r="BE1933" s="14">
        <f>SUMIFS(BD$4:BD1933,$AU$4:$AU1933,"="&amp;$AU1933,$AY$4:$AY1933,"="&amp;$AY1933)</f>
        <v>2250</v>
      </c>
      <c r="BF1933" s="25" t="s">
        <v>1157</v>
      </c>
      <c r="BG1933" s="14">
        <f t="shared" si="419"/>
        <v>192</v>
      </c>
      <c r="BH1933" s="14">
        <f>SUMIFS(BG$4:BG1933,AU$4:AU1933,"="&amp;AU1933,AY$4:AY1933,"="&amp;AY1933)</f>
        <v>900</v>
      </c>
      <c r="BI1933" s="25" t="s">
        <v>1158</v>
      </c>
      <c r="BJ1933" s="14">
        <f t="shared" si="420"/>
        <v>7680</v>
      </c>
      <c r="BK1933" s="14">
        <f>SUMIFS(BJ$4:BJ1933,$AU$4:$AU1933,"="&amp;$AU1933,$AY$4:$AY1933,"="&amp;$AY1933)</f>
        <v>36000</v>
      </c>
    </row>
    <row r="1934" spans="46:63" ht="16.5" x14ac:dyDescent="0.2">
      <c r="AT1934" s="13">
        <v>1931</v>
      </c>
      <c r="AU1934" s="13">
        <f t="shared" si="412"/>
        <v>25</v>
      </c>
      <c r="AV1934" s="14">
        <f t="shared" si="413"/>
        <v>299602</v>
      </c>
      <c r="AW1934" s="14">
        <f t="shared" si="414"/>
        <v>1102996</v>
      </c>
      <c r="AX1934" s="13" t="s">
        <v>1127</v>
      </c>
      <c r="AY1934" s="13">
        <f t="shared" si="415"/>
        <v>2</v>
      </c>
      <c r="AZ1934" s="13" t="s">
        <v>1148</v>
      </c>
      <c r="BA1934" s="14">
        <f t="shared" si="416"/>
        <v>0</v>
      </c>
      <c r="BB1934" s="14" t="str">
        <f t="shared" si="417"/>
        <v>UR守护灵魂珠-2 等级-0</v>
      </c>
      <c r="BC1934" s="25" t="s">
        <v>44</v>
      </c>
      <c r="BD1934" s="14">
        <f t="shared" si="418"/>
        <v>0</v>
      </c>
      <c r="BE1934" s="14">
        <f>SUMIFS(BD$4:BD1934,$AU$4:$AU1934,"="&amp;$AU1934,$AY$4:$AY1934,"="&amp;$AY1934)</f>
        <v>0</v>
      </c>
      <c r="BF1934" s="25" t="s">
        <v>1157</v>
      </c>
      <c r="BG1934" s="14">
        <f t="shared" si="419"/>
        <v>0</v>
      </c>
      <c r="BH1934" s="14">
        <f>SUMIFS(BG$4:BG1934,AU$4:AU1934,"="&amp;AU1934,AY$4:AY1934,"="&amp;AY1934)</f>
        <v>0</v>
      </c>
      <c r="BI1934" s="25" t="s">
        <v>1158</v>
      </c>
      <c r="BJ1934" s="14">
        <f t="shared" si="420"/>
        <v>0</v>
      </c>
      <c r="BK1934" s="14">
        <f>SUMIFS(BJ$4:BJ1934,$AU$4:$AU1934,"="&amp;$AU1934,$AY$4:$AY1934,"="&amp;$AY1934)</f>
        <v>0</v>
      </c>
    </row>
    <row r="1935" spans="46:63" ht="16.5" x14ac:dyDescent="0.2">
      <c r="AT1935" s="13">
        <v>1932</v>
      </c>
      <c r="AU1935" s="13">
        <f t="shared" si="412"/>
        <v>25</v>
      </c>
      <c r="AV1935" s="14">
        <f t="shared" si="413"/>
        <v>299602</v>
      </c>
      <c r="AW1935" s="14">
        <f t="shared" si="414"/>
        <v>1102996</v>
      </c>
      <c r="AX1935" s="13" t="s">
        <v>1127</v>
      </c>
      <c r="AY1935" s="13">
        <f t="shared" si="415"/>
        <v>2</v>
      </c>
      <c r="AZ1935" s="13" t="s">
        <v>1148</v>
      </c>
      <c r="BA1935" s="14">
        <f t="shared" si="416"/>
        <v>1</v>
      </c>
      <c r="BB1935" s="14" t="str">
        <f t="shared" si="417"/>
        <v>UR守护灵魂珠-2 等级-1</v>
      </c>
      <c r="BC1935" s="25" t="s">
        <v>44</v>
      </c>
      <c r="BD1935" s="14">
        <f t="shared" si="418"/>
        <v>75</v>
      </c>
      <c r="BE1935" s="14">
        <f>SUMIFS(BD$4:BD1935,$AU$4:$AU1935,"="&amp;$AU1935,$AY$4:$AY1935,"="&amp;$AY1935)</f>
        <v>75</v>
      </c>
      <c r="BF1935" s="25" t="s">
        <v>1157</v>
      </c>
      <c r="BG1935" s="14">
        <f t="shared" si="419"/>
        <v>30</v>
      </c>
      <c r="BH1935" s="14">
        <f>SUMIFS(BG$4:BG1935,AU$4:AU1935,"="&amp;AU1935,AY$4:AY1935,"="&amp;AY1935)</f>
        <v>30</v>
      </c>
      <c r="BI1935" s="25" t="s">
        <v>1158</v>
      </c>
      <c r="BJ1935" s="14">
        <f t="shared" si="420"/>
        <v>1200</v>
      </c>
      <c r="BK1935" s="14">
        <f>SUMIFS(BJ$4:BJ1935,$AU$4:$AU1935,"="&amp;$AU1935,$AY$4:$AY1935,"="&amp;$AY1935)</f>
        <v>1200</v>
      </c>
    </row>
    <row r="1936" spans="46:63" ht="16.5" x14ac:dyDescent="0.2">
      <c r="AT1936" s="13">
        <v>1933</v>
      </c>
      <c r="AU1936" s="13">
        <f t="shared" si="412"/>
        <v>25</v>
      </c>
      <c r="AV1936" s="14">
        <f t="shared" si="413"/>
        <v>299602</v>
      </c>
      <c r="AW1936" s="14">
        <f t="shared" si="414"/>
        <v>1102996</v>
      </c>
      <c r="AX1936" s="13" t="s">
        <v>1127</v>
      </c>
      <c r="AY1936" s="13">
        <f t="shared" si="415"/>
        <v>2</v>
      </c>
      <c r="AZ1936" s="13" t="s">
        <v>1148</v>
      </c>
      <c r="BA1936" s="14">
        <f t="shared" si="416"/>
        <v>2</v>
      </c>
      <c r="BB1936" s="14" t="str">
        <f t="shared" si="417"/>
        <v>UR守护灵魂珠-2 等级-2</v>
      </c>
      <c r="BC1936" s="25" t="s">
        <v>44</v>
      </c>
      <c r="BD1936" s="14">
        <f t="shared" si="418"/>
        <v>120</v>
      </c>
      <c r="BE1936" s="14">
        <f>SUMIFS(BD$4:BD1936,$AU$4:$AU1936,"="&amp;$AU1936,$AY$4:$AY1936,"="&amp;$AY1936)</f>
        <v>195</v>
      </c>
      <c r="BF1936" s="25" t="s">
        <v>1157</v>
      </c>
      <c r="BG1936" s="14">
        <f t="shared" si="419"/>
        <v>48</v>
      </c>
      <c r="BH1936" s="14">
        <f>SUMIFS(BG$4:BG1936,AU$4:AU1936,"="&amp;AU1936,AY$4:AY1936,"="&amp;AY1936)</f>
        <v>78</v>
      </c>
      <c r="BI1936" s="25" t="s">
        <v>1158</v>
      </c>
      <c r="BJ1936" s="14">
        <f t="shared" si="420"/>
        <v>1920</v>
      </c>
      <c r="BK1936" s="14">
        <f>SUMIFS(BJ$4:BJ1936,$AU$4:$AU1936,"="&amp;$AU1936,$AY$4:$AY1936,"="&amp;$AY1936)</f>
        <v>3120</v>
      </c>
    </row>
    <row r="1937" spans="46:63" ht="16.5" x14ac:dyDescent="0.2">
      <c r="AT1937" s="13">
        <v>1934</v>
      </c>
      <c r="AU1937" s="13">
        <f t="shared" si="412"/>
        <v>25</v>
      </c>
      <c r="AV1937" s="14">
        <f t="shared" si="413"/>
        <v>299602</v>
      </c>
      <c r="AW1937" s="14">
        <f t="shared" si="414"/>
        <v>1102996</v>
      </c>
      <c r="AX1937" s="13" t="s">
        <v>1127</v>
      </c>
      <c r="AY1937" s="13">
        <f t="shared" si="415"/>
        <v>2</v>
      </c>
      <c r="AZ1937" s="13" t="s">
        <v>1148</v>
      </c>
      <c r="BA1937" s="14">
        <f t="shared" si="416"/>
        <v>3</v>
      </c>
      <c r="BB1937" s="14" t="str">
        <f t="shared" si="417"/>
        <v>UR守护灵魂珠-2 等级-3</v>
      </c>
      <c r="BC1937" s="25" t="s">
        <v>44</v>
      </c>
      <c r="BD1937" s="14">
        <f t="shared" si="418"/>
        <v>150</v>
      </c>
      <c r="BE1937" s="14">
        <f>SUMIFS(BD$4:BD1937,$AU$4:$AU1937,"="&amp;$AU1937,$AY$4:$AY1937,"="&amp;$AY1937)</f>
        <v>345</v>
      </c>
      <c r="BF1937" s="25" t="s">
        <v>1157</v>
      </c>
      <c r="BG1937" s="14">
        <f t="shared" si="419"/>
        <v>60</v>
      </c>
      <c r="BH1937" s="14">
        <f>SUMIFS(BG$4:BG1937,AU$4:AU1937,"="&amp;AU1937,AY$4:AY1937,"="&amp;AY1937)</f>
        <v>138</v>
      </c>
      <c r="BI1937" s="25" t="s">
        <v>1158</v>
      </c>
      <c r="BJ1937" s="14">
        <f t="shared" si="420"/>
        <v>2400</v>
      </c>
      <c r="BK1937" s="14">
        <f>SUMIFS(BJ$4:BJ1937,$AU$4:$AU1937,"="&amp;$AU1937,$AY$4:$AY1937,"="&amp;$AY1937)</f>
        <v>5520</v>
      </c>
    </row>
    <row r="1938" spans="46:63" ht="16.5" x14ac:dyDescent="0.2">
      <c r="AT1938" s="13">
        <v>1935</v>
      </c>
      <c r="AU1938" s="13">
        <f t="shared" si="412"/>
        <v>25</v>
      </c>
      <c r="AV1938" s="14">
        <f t="shared" si="413"/>
        <v>299602</v>
      </c>
      <c r="AW1938" s="14">
        <f t="shared" si="414"/>
        <v>1102996</v>
      </c>
      <c r="AX1938" s="13" t="s">
        <v>1127</v>
      </c>
      <c r="AY1938" s="13">
        <f t="shared" si="415"/>
        <v>2</v>
      </c>
      <c r="AZ1938" s="13" t="s">
        <v>1148</v>
      </c>
      <c r="BA1938" s="14">
        <f t="shared" si="416"/>
        <v>4</v>
      </c>
      <c r="BB1938" s="14" t="str">
        <f t="shared" si="417"/>
        <v>UR守护灵魂珠-2 等级-4</v>
      </c>
      <c r="BC1938" s="25" t="s">
        <v>44</v>
      </c>
      <c r="BD1938" s="14">
        <f t="shared" si="418"/>
        <v>240</v>
      </c>
      <c r="BE1938" s="14">
        <f>SUMIFS(BD$4:BD1938,$AU$4:$AU1938,"="&amp;$AU1938,$AY$4:$AY1938,"="&amp;$AY1938)</f>
        <v>585</v>
      </c>
      <c r="BF1938" s="25" t="s">
        <v>1157</v>
      </c>
      <c r="BG1938" s="14">
        <f t="shared" si="419"/>
        <v>96</v>
      </c>
      <c r="BH1938" s="14">
        <f>SUMIFS(BG$4:BG1938,AU$4:AU1938,"="&amp;AU1938,AY$4:AY1938,"="&amp;AY1938)</f>
        <v>234</v>
      </c>
      <c r="BI1938" s="25" t="s">
        <v>1158</v>
      </c>
      <c r="BJ1938" s="14">
        <f t="shared" si="420"/>
        <v>3840</v>
      </c>
      <c r="BK1938" s="14">
        <f>SUMIFS(BJ$4:BJ1938,$AU$4:$AU1938,"="&amp;$AU1938,$AY$4:$AY1938,"="&amp;$AY1938)</f>
        <v>9360</v>
      </c>
    </row>
    <row r="1939" spans="46:63" ht="16.5" x14ac:dyDescent="0.2">
      <c r="AT1939" s="13">
        <v>1936</v>
      </c>
      <c r="AU1939" s="13">
        <f t="shared" si="412"/>
        <v>25</v>
      </c>
      <c r="AV1939" s="14">
        <f t="shared" si="413"/>
        <v>299602</v>
      </c>
      <c r="AW1939" s="14">
        <f t="shared" si="414"/>
        <v>1102996</v>
      </c>
      <c r="AX1939" s="13" t="s">
        <v>1127</v>
      </c>
      <c r="AY1939" s="13">
        <f t="shared" si="415"/>
        <v>2</v>
      </c>
      <c r="AZ1939" s="13" t="s">
        <v>1148</v>
      </c>
      <c r="BA1939" s="14">
        <f t="shared" si="416"/>
        <v>5</v>
      </c>
      <c r="BB1939" s="14" t="str">
        <f t="shared" si="417"/>
        <v>UR守护灵魂珠-2 等级-5</v>
      </c>
      <c r="BC1939" s="25" t="s">
        <v>44</v>
      </c>
      <c r="BD1939" s="14">
        <f t="shared" si="418"/>
        <v>330</v>
      </c>
      <c r="BE1939" s="14">
        <f>SUMIFS(BD$4:BD1939,$AU$4:$AU1939,"="&amp;$AU1939,$AY$4:$AY1939,"="&amp;$AY1939)</f>
        <v>915</v>
      </c>
      <c r="BF1939" s="25" t="s">
        <v>1157</v>
      </c>
      <c r="BG1939" s="14">
        <f t="shared" si="419"/>
        <v>132</v>
      </c>
      <c r="BH1939" s="14">
        <f>SUMIFS(BG$4:BG1939,AU$4:AU1939,"="&amp;AU1939,AY$4:AY1939,"="&amp;AY1939)</f>
        <v>366</v>
      </c>
      <c r="BI1939" s="25" t="s">
        <v>1158</v>
      </c>
      <c r="BJ1939" s="14">
        <f t="shared" si="420"/>
        <v>5280</v>
      </c>
      <c r="BK1939" s="14">
        <f>SUMIFS(BJ$4:BJ1939,$AU$4:$AU1939,"="&amp;$AU1939,$AY$4:$AY1939,"="&amp;$AY1939)</f>
        <v>14640</v>
      </c>
    </row>
    <row r="1940" spans="46:63" ht="16.5" x14ac:dyDescent="0.2">
      <c r="AT1940" s="13">
        <v>1937</v>
      </c>
      <c r="AU1940" s="13">
        <f t="shared" si="412"/>
        <v>25</v>
      </c>
      <c r="AV1940" s="14">
        <f t="shared" si="413"/>
        <v>299602</v>
      </c>
      <c r="AW1940" s="14">
        <f t="shared" si="414"/>
        <v>1102996</v>
      </c>
      <c r="AX1940" s="13" t="s">
        <v>1127</v>
      </c>
      <c r="AY1940" s="13">
        <f t="shared" si="415"/>
        <v>2</v>
      </c>
      <c r="AZ1940" s="13" t="s">
        <v>1148</v>
      </c>
      <c r="BA1940" s="14">
        <f t="shared" si="416"/>
        <v>6</v>
      </c>
      <c r="BB1940" s="14" t="str">
        <f t="shared" si="417"/>
        <v>UR守护灵魂珠-2 等级-6</v>
      </c>
      <c r="BC1940" s="25" t="s">
        <v>44</v>
      </c>
      <c r="BD1940" s="14">
        <f t="shared" si="418"/>
        <v>420</v>
      </c>
      <c r="BE1940" s="14">
        <f>SUMIFS(BD$4:BD1940,$AU$4:$AU1940,"="&amp;$AU1940,$AY$4:$AY1940,"="&amp;$AY1940)</f>
        <v>1335</v>
      </c>
      <c r="BF1940" s="25" t="s">
        <v>1157</v>
      </c>
      <c r="BG1940" s="14">
        <f t="shared" si="419"/>
        <v>168</v>
      </c>
      <c r="BH1940" s="14">
        <f>SUMIFS(BG$4:BG1940,AU$4:AU1940,"="&amp;AU1940,AY$4:AY1940,"="&amp;AY1940)</f>
        <v>534</v>
      </c>
      <c r="BI1940" s="25" t="s">
        <v>1158</v>
      </c>
      <c r="BJ1940" s="14">
        <f t="shared" si="420"/>
        <v>6720</v>
      </c>
      <c r="BK1940" s="14">
        <f>SUMIFS(BJ$4:BJ1940,$AU$4:$AU1940,"="&amp;$AU1940,$AY$4:$AY1940,"="&amp;$AY1940)</f>
        <v>21360</v>
      </c>
    </row>
    <row r="1941" spans="46:63" ht="16.5" x14ac:dyDescent="0.2">
      <c r="AT1941" s="13">
        <v>1938</v>
      </c>
      <c r="AU1941" s="13">
        <f t="shared" si="412"/>
        <v>25</v>
      </c>
      <c r="AV1941" s="14">
        <f t="shared" si="413"/>
        <v>299602</v>
      </c>
      <c r="AW1941" s="14">
        <f t="shared" si="414"/>
        <v>1102996</v>
      </c>
      <c r="AX1941" s="13" t="s">
        <v>1127</v>
      </c>
      <c r="AY1941" s="13">
        <f t="shared" si="415"/>
        <v>2</v>
      </c>
      <c r="AZ1941" s="13" t="s">
        <v>1148</v>
      </c>
      <c r="BA1941" s="14">
        <f t="shared" si="416"/>
        <v>7</v>
      </c>
      <c r="BB1941" s="14" t="str">
        <f t="shared" si="417"/>
        <v>UR守护灵魂珠-2 等级-7</v>
      </c>
      <c r="BC1941" s="25" t="s">
        <v>44</v>
      </c>
      <c r="BD1941" s="14">
        <f t="shared" si="418"/>
        <v>480</v>
      </c>
      <c r="BE1941" s="14">
        <f>SUMIFS(BD$4:BD1941,$AU$4:$AU1941,"="&amp;$AU1941,$AY$4:$AY1941,"="&amp;$AY1941)</f>
        <v>1815</v>
      </c>
      <c r="BF1941" s="25" t="s">
        <v>1157</v>
      </c>
      <c r="BG1941" s="14">
        <f t="shared" si="419"/>
        <v>192</v>
      </c>
      <c r="BH1941" s="14">
        <f>SUMIFS(BG$4:BG1941,AU$4:AU1941,"="&amp;AU1941,AY$4:AY1941,"="&amp;AY1941)</f>
        <v>726</v>
      </c>
      <c r="BI1941" s="25" t="s">
        <v>1158</v>
      </c>
      <c r="BJ1941" s="14">
        <f t="shared" si="420"/>
        <v>7680</v>
      </c>
      <c r="BK1941" s="14">
        <f>SUMIFS(BJ$4:BJ1941,$AU$4:$AU1941,"="&amp;$AU1941,$AY$4:$AY1941,"="&amp;$AY1941)</f>
        <v>29040</v>
      </c>
    </row>
    <row r="1942" spans="46:63" ht="16.5" x14ac:dyDescent="0.2">
      <c r="AT1942" s="13">
        <v>1939</v>
      </c>
      <c r="AU1942" s="13">
        <f t="shared" si="412"/>
        <v>25</v>
      </c>
      <c r="AV1942" s="14">
        <f t="shared" si="413"/>
        <v>299602</v>
      </c>
      <c r="AW1942" s="14">
        <f t="shared" si="414"/>
        <v>1102996</v>
      </c>
      <c r="AX1942" s="13" t="s">
        <v>1127</v>
      </c>
      <c r="AY1942" s="13">
        <f t="shared" si="415"/>
        <v>2</v>
      </c>
      <c r="AZ1942" s="13" t="s">
        <v>1148</v>
      </c>
      <c r="BA1942" s="14">
        <f t="shared" si="416"/>
        <v>8</v>
      </c>
      <c r="BB1942" s="14" t="str">
        <f t="shared" si="417"/>
        <v>UR守护灵魂珠-2 等级-8</v>
      </c>
      <c r="BC1942" s="25" t="s">
        <v>44</v>
      </c>
      <c r="BD1942" s="14">
        <f t="shared" si="418"/>
        <v>570</v>
      </c>
      <c r="BE1942" s="14">
        <f>SUMIFS(BD$4:BD1942,$AU$4:$AU1942,"="&amp;$AU1942,$AY$4:$AY1942,"="&amp;$AY1942)</f>
        <v>2385</v>
      </c>
      <c r="BF1942" s="25" t="s">
        <v>1157</v>
      </c>
      <c r="BG1942" s="14">
        <f t="shared" si="419"/>
        <v>228</v>
      </c>
      <c r="BH1942" s="14">
        <f>SUMIFS(BG$4:BG1942,AU$4:AU1942,"="&amp;AU1942,AY$4:AY1942,"="&amp;AY1942)</f>
        <v>954</v>
      </c>
      <c r="BI1942" s="25" t="s">
        <v>1158</v>
      </c>
      <c r="BJ1942" s="14">
        <f t="shared" si="420"/>
        <v>9120</v>
      </c>
      <c r="BK1942" s="14">
        <f>SUMIFS(BJ$4:BJ1942,$AU$4:$AU1942,"="&amp;$AU1942,$AY$4:$AY1942,"="&amp;$AY1942)</f>
        <v>38160</v>
      </c>
    </row>
    <row r="1943" spans="46:63" ht="16.5" x14ac:dyDescent="0.2">
      <c r="AT1943" s="13">
        <v>1940</v>
      </c>
      <c r="AU1943" s="13">
        <f t="shared" si="412"/>
        <v>25</v>
      </c>
      <c r="AV1943" s="14">
        <f t="shared" si="413"/>
        <v>299602</v>
      </c>
      <c r="AW1943" s="14">
        <f t="shared" si="414"/>
        <v>1102996</v>
      </c>
      <c r="AX1943" s="13" t="s">
        <v>1127</v>
      </c>
      <c r="AY1943" s="13">
        <f t="shared" si="415"/>
        <v>2</v>
      </c>
      <c r="AZ1943" s="13" t="s">
        <v>1148</v>
      </c>
      <c r="BA1943" s="14">
        <f t="shared" si="416"/>
        <v>9</v>
      </c>
      <c r="BB1943" s="14" t="str">
        <f t="shared" si="417"/>
        <v>UR守护灵魂珠-2 等级-9</v>
      </c>
      <c r="BC1943" s="25" t="s">
        <v>44</v>
      </c>
      <c r="BD1943" s="14">
        <f t="shared" si="418"/>
        <v>675</v>
      </c>
      <c r="BE1943" s="14">
        <f>SUMIFS(BD$4:BD1943,$AU$4:$AU1943,"="&amp;$AU1943,$AY$4:$AY1943,"="&amp;$AY1943)</f>
        <v>3060</v>
      </c>
      <c r="BF1943" s="25" t="s">
        <v>1157</v>
      </c>
      <c r="BG1943" s="14">
        <f t="shared" si="419"/>
        <v>270</v>
      </c>
      <c r="BH1943" s="14">
        <f>SUMIFS(BG$4:BG1943,AU$4:AU1943,"="&amp;AU1943,AY$4:AY1943,"="&amp;AY1943)</f>
        <v>1224</v>
      </c>
      <c r="BI1943" s="25" t="s">
        <v>1158</v>
      </c>
      <c r="BJ1943" s="14">
        <f t="shared" si="420"/>
        <v>10800</v>
      </c>
      <c r="BK1943" s="14">
        <f>SUMIFS(BJ$4:BJ1943,$AU$4:$AU1943,"="&amp;$AU1943,$AY$4:$AY1943,"="&amp;$AY1943)</f>
        <v>48960</v>
      </c>
    </row>
    <row r="1944" spans="46:63" ht="16.5" x14ac:dyDescent="0.2">
      <c r="AT1944" s="13">
        <v>1941</v>
      </c>
      <c r="AU1944" s="13">
        <f t="shared" si="412"/>
        <v>25</v>
      </c>
      <c r="AV1944" s="14">
        <f t="shared" si="413"/>
        <v>299603</v>
      </c>
      <c r="AW1944" s="14">
        <f t="shared" si="414"/>
        <v>1102996</v>
      </c>
      <c r="AX1944" s="13" t="s">
        <v>1127</v>
      </c>
      <c r="AY1944" s="13">
        <f t="shared" si="415"/>
        <v>3</v>
      </c>
      <c r="AZ1944" s="13" t="s">
        <v>1148</v>
      </c>
      <c r="BA1944" s="14">
        <f t="shared" si="416"/>
        <v>0</v>
      </c>
      <c r="BB1944" s="14" t="str">
        <f t="shared" si="417"/>
        <v>UR守护灵魂珠-3 等级-0</v>
      </c>
      <c r="BC1944" s="25" t="s">
        <v>44</v>
      </c>
      <c r="BD1944" s="14">
        <f t="shared" si="418"/>
        <v>0</v>
      </c>
      <c r="BE1944" s="14">
        <f>SUMIFS(BD$4:BD1944,$AU$4:$AU1944,"="&amp;$AU1944,$AY$4:$AY1944,"="&amp;$AY1944)</f>
        <v>0</v>
      </c>
      <c r="BF1944" s="25" t="s">
        <v>1157</v>
      </c>
      <c r="BG1944" s="14">
        <f t="shared" si="419"/>
        <v>0</v>
      </c>
      <c r="BH1944" s="14">
        <f>SUMIFS(BG$4:BG1944,AU$4:AU1944,"="&amp;AU1944,AY$4:AY1944,"="&amp;AY1944)</f>
        <v>0</v>
      </c>
      <c r="BI1944" s="25" t="s">
        <v>1158</v>
      </c>
      <c r="BJ1944" s="14">
        <f t="shared" si="420"/>
        <v>0</v>
      </c>
      <c r="BK1944" s="14">
        <f>SUMIFS(BJ$4:BJ1944,$AU$4:$AU1944,"="&amp;$AU1944,$AY$4:$AY1944,"="&amp;$AY1944)</f>
        <v>0</v>
      </c>
    </row>
    <row r="1945" spans="46:63" ht="16.5" x14ac:dyDescent="0.2">
      <c r="AT1945" s="13">
        <v>1942</v>
      </c>
      <c r="AU1945" s="13">
        <f t="shared" si="412"/>
        <v>25</v>
      </c>
      <c r="AV1945" s="14">
        <f t="shared" si="413"/>
        <v>299603</v>
      </c>
      <c r="AW1945" s="14">
        <f t="shared" si="414"/>
        <v>1102996</v>
      </c>
      <c r="AX1945" s="13" t="s">
        <v>1127</v>
      </c>
      <c r="AY1945" s="13">
        <f t="shared" si="415"/>
        <v>3</v>
      </c>
      <c r="AZ1945" s="13" t="s">
        <v>1148</v>
      </c>
      <c r="BA1945" s="14">
        <f t="shared" si="416"/>
        <v>1</v>
      </c>
      <c r="BB1945" s="14" t="str">
        <f t="shared" si="417"/>
        <v>UR守护灵魂珠-3 等级-1</v>
      </c>
      <c r="BC1945" s="25" t="s">
        <v>44</v>
      </c>
      <c r="BD1945" s="14">
        <f t="shared" si="418"/>
        <v>120</v>
      </c>
      <c r="BE1945" s="14">
        <f>SUMIFS(BD$4:BD1945,$AU$4:$AU1945,"="&amp;$AU1945,$AY$4:$AY1945,"="&amp;$AY1945)</f>
        <v>120</v>
      </c>
      <c r="BF1945" s="25" t="s">
        <v>1157</v>
      </c>
      <c r="BG1945" s="14">
        <f t="shared" si="419"/>
        <v>48</v>
      </c>
      <c r="BH1945" s="14">
        <f>SUMIFS(BG$4:BG1945,AU$4:AU1945,"="&amp;AU1945,AY$4:AY1945,"="&amp;AY1945)</f>
        <v>48</v>
      </c>
      <c r="BI1945" s="25" t="s">
        <v>1158</v>
      </c>
      <c r="BJ1945" s="14">
        <f t="shared" si="420"/>
        <v>1920</v>
      </c>
      <c r="BK1945" s="14">
        <f>SUMIFS(BJ$4:BJ1945,$AU$4:$AU1945,"="&amp;$AU1945,$AY$4:$AY1945,"="&amp;$AY1945)</f>
        <v>1920</v>
      </c>
    </row>
    <row r="1946" spans="46:63" ht="16.5" x14ac:dyDescent="0.2">
      <c r="AT1946" s="13">
        <v>1943</v>
      </c>
      <c r="AU1946" s="13">
        <f t="shared" si="412"/>
        <v>25</v>
      </c>
      <c r="AV1946" s="14">
        <f t="shared" si="413"/>
        <v>299603</v>
      </c>
      <c r="AW1946" s="14">
        <f t="shared" si="414"/>
        <v>1102996</v>
      </c>
      <c r="AX1946" s="13" t="s">
        <v>1127</v>
      </c>
      <c r="AY1946" s="13">
        <f t="shared" si="415"/>
        <v>3</v>
      </c>
      <c r="AZ1946" s="13" t="s">
        <v>1148</v>
      </c>
      <c r="BA1946" s="14">
        <f t="shared" si="416"/>
        <v>2</v>
      </c>
      <c r="BB1946" s="14" t="str">
        <f t="shared" si="417"/>
        <v>UR守护灵魂珠-3 等级-2</v>
      </c>
      <c r="BC1946" s="25" t="s">
        <v>44</v>
      </c>
      <c r="BD1946" s="14">
        <f t="shared" si="418"/>
        <v>180</v>
      </c>
      <c r="BE1946" s="14">
        <f>SUMIFS(BD$4:BD1946,$AU$4:$AU1946,"="&amp;$AU1946,$AY$4:$AY1946,"="&amp;$AY1946)</f>
        <v>300</v>
      </c>
      <c r="BF1946" s="25" t="s">
        <v>1157</v>
      </c>
      <c r="BG1946" s="14">
        <f t="shared" si="419"/>
        <v>72</v>
      </c>
      <c r="BH1946" s="14">
        <f>SUMIFS(BG$4:BG1946,AU$4:AU1946,"="&amp;AU1946,AY$4:AY1946,"="&amp;AY1946)</f>
        <v>120</v>
      </c>
      <c r="BI1946" s="25" t="s">
        <v>1158</v>
      </c>
      <c r="BJ1946" s="14">
        <f t="shared" si="420"/>
        <v>2880</v>
      </c>
      <c r="BK1946" s="14">
        <f>SUMIFS(BJ$4:BJ1946,$AU$4:$AU1946,"="&amp;$AU1946,$AY$4:$AY1946,"="&amp;$AY1946)</f>
        <v>4800</v>
      </c>
    </row>
    <row r="1947" spans="46:63" ht="16.5" x14ac:dyDescent="0.2">
      <c r="AT1947" s="13">
        <v>1944</v>
      </c>
      <c r="AU1947" s="13">
        <f t="shared" si="412"/>
        <v>25</v>
      </c>
      <c r="AV1947" s="14">
        <f t="shared" si="413"/>
        <v>299603</v>
      </c>
      <c r="AW1947" s="14">
        <f t="shared" si="414"/>
        <v>1102996</v>
      </c>
      <c r="AX1947" s="13" t="s">
        <v>1127</v>
      </c>
      <c r="AY1947" s="13">
        <f t="shared" si="415"/>
        <v>3</v>
      </c>
      <c r="AZ1947" s="13" t="s">
        <v>1148</v>
      </c>
      <c r="BA1947" s="14">
        <f t="shared" si="416"/>
        <v>3</v>
      </c>
      <c r="BB1947" s="14" t="str">
        <f t="shared" si="417"/>
        <v>UR守护灵魂珠-3 等级-3</v>
      </c>
      <c r="BC1947" s="25" t="s">
        <v>44</v>
      </c>
      <c r="BD1947" s="14">
        <f t="shared" si="418"/>
        <v>240</v>
      </c>
      <c r="BE1947" s="14">
        <f>SUMIFS(BD$4:BD1947,$AU$4:$AU1947,"="&amp;$AU1947,$AY$4:$AY1947,"="&amp;$AY1947)</f>
        <v>540</v>
      </c>
      <c r="BF1947" s="25" t="s">
        <v>1157</v>
      </c>
      <c r="BG1947" s="14">
        <f t="shared" si="419"/>
        <v>96</v>
      </c>
      <c r="BH1947" s="14">
        <f>SUMIFS(BG$4:BG1947,AU$4:AU1947,"="&amp;AU1947,AY$4:AY1947,"="&amp;AY1947)</f>
        <v>216</v>
      </c>
      <c r="BI1947" s="25" t="s">
        <v>1158</v>
      </c>
      <c r="BJ1947" s="14">
        <f t="shared" si="420"/>
        <v>3840</v>
      </c>
      <c r="BK1947" s="14">
        <f>SUMIFS(BJ$4:BJ1947,$AU$4:$AU1947,"="&amp;$AU1947,$AY$4:$AY1947,"="&amp;$AY1947)</f>
        <v>8640</v>
      </c>
    </row>
    <row r="1948" spans="46:63" ht="16.5" x14ac:dyDescent="0.2">
      <c r="AT1948" s="13">
        <v>1945</v>
      </c>
      <c r="AU1948" s="13">
        <f t="shared" si="412"/>
        <v>25</v>
      </c>
      <c r="AV1948" s="14">
        <f t="shared" si="413"/>
        <v>299603</v>
      </c>
      <c r="AW1948" s="14">
        <f t="shared" si="414"/>
        <v>1102996</v>
      </c>
      <c r="AX1948" s="13" t="s">
        <v>1127</v>
      </c>
      <c r="AY1948" s="13">
        <f t="shared" si="415"/>
        <v>3</v>
      </c>
      <c r="AZ1948" s="13" t="s">
        <v>1148</v>
      </c>
      <c r="BA1948" s="14">
        <f t="shared" si="416"/>
        <v>4</v>
      </c>
      <c r="BB1948" s="14" t="str">
        <f t="shared" si="417"/>
        <v>UR守护灵魂珠-3 等级-4</v>
      </c>
      <c r="BC1948" s="25" t="s">
        <v>44</v>
      </c>
      <c r="BD1948" s="14">
        <f t="shared" si="418"/>
        <v>360</v>
      </c>
      <c r="BE1948" s="14">
        <f>SUMIFS(BD$4:BD1948,$AU$4:$AU1948,"="&amp;$AU1948,$AY$4:$AY1948,"="&amp;$AY1948)</f>
        <v>900</v>
      </c>
      <c r="BF1948" s="25" t="s">
        <v>1157</v>
      </c>
      <c r="BG1948" s="14">
        <f t="shared" si="419"/>
        <v>144</v>
      </c>
      <c r="BH1948" s="14">
        <f>SUMIFS(BG$4:BG1948,AU$4:AU1948,"="&amp;AU1948,AY$4:AY1948,"="&amp;AY1948)</f>
        <v>360</v>
      </c>
      <c r="BI1948" s="25" t="s">
        <v>1158</v>
      </c>
      <c r="BJ1948" s="14">
        <f t="shared" si="420"/>
        <v>5760</v>
      </c>
      <c r="BK1948" s="14">
        <f>SUMIFS(BJ$4:BJ1948,$AU$4:$AU1948,"="&amp;$AU1948,$AY$4:$AY1948,"="&amp;$AY1948)</f>
        <v>14400</v>
      </c>
    </row>
    <row r="1949" spans="46:63" ht="16.5" x14ac:dyDescent="0.2">
      <c r="AT1949" s="13">
        <v>1946</v>
      </c>
      <c r="AU1949" s="13">
        <f t="shared" si="412"/>
        <v>25</v>
      </c>
      <c r="AV1949" s="14">
        <f t="shared" si="413"/>
        <v>299603</v>
      </c>
      <c r="AW1949" s="14">
        <f t="shared" si="414"/>
        <v>1102996</v>
      </c>
      <c r="AX1949" s="13" t="s">
        <v>1127</v>
      </c>
      <c r="AY1949" s="13">
        <f t="shared" si="415"/>
        <v>3</v>
      </c>
      <c r="AZ1949" s="13" t="s">
        <v>1148</v>
      </c>
      <c r="BA1949" s="14">
        <f t="shared" si="416"/>
        <v>5</v>
      </c>
      <c r="BB1949" s="14" t="str">
        <f t="shared" si="417"/>
        <v>UR守护灵魂珠-3 等级-5</v>
      </c>
      <c r="BC1949" s="25" t="s">
        <v>44</v>
      </c>
      <c r="BD1949" s="14">
        <f t="shared" si="418"/>
        <v>480</v>
      </c>
      <c r="BE1949" s="14">
        <f>SUMIFS(BD$4:BD1949,$AU$4:$AU1949,"="&amp;$AU1949,$AY$4:$AY1949,"="&amp;$AY1949)</f>
        <v>1380</v>
      </c>
      <c r="BF1949" s="25" t="s">
        <v>1157</v>
      </c>
      <c r="BG1949" s="14">
        <f t="shared" si="419"/>
        <v>192</v>
      </c>
      <c r="BH1949" s="14">
        <f>SUMIFS(BG$4:BG1949,AU$4:AU1949,"="&amp;AU1949,AY$4:AY1949,"="&amp;AY1949)</f>
        <v>552</v>
      </c>
      <c r="BI1949" s="25" t="s">
        <v>1158</v>
      </c>
      <c r="BJ1949" s="14">
        <f t="shared" si="420"/>
        <v>7680</v>
      </c>
      <c r="BK1949" s="14">
        <f>SUMIFS(BJ$4:BJ1949,$AU$4:$AU1949,"="&amp;$AU1949,$AY$4:$AY1949,"="&amp;$AY1949)</f>
        <v>22080</v>
      </c>
    </row>
    <row r="1950" spans="46:63" ht="16.5" x14ac:dyDescent="0.2">
      <c r="AT1950" s="13">
        <v>1947</v>
      </c>
      <c r="AU1950" s="13">
        <f t="shared" si="412"/>
        <v>25</v>
      </c>
      <c r="AV1950" s="14">
        <f t="shared" si="413"/>
        <v>299603</v>
      </c>
      <c r="AW1950" s="14">
        <f t="shared" si="414"/>
        <v>1102996</v>
      </c>
      <c r="AX1950" s="13" t="s">
        <v>1127</v>
      </c>
      <c r="AY1950" s="13">
        <f t="shared" si="415"/>
        <v>3</v>
      </c>
      <c r="AZ1950" s="13" t="s">
        <v>1148</v>
      </c>
      <c r="BA1950" s="14">
        <f t="shared" si="416"/>
        <v>6</v>
      </c>
      <c r="BB1950" s="14" t="str">
        <f t="shared" si="417"/>
        <v>UR守护灵魂珠-3 等级-6</v>
      </c>
      <c r="BC1950" s="25" t="s">
        <v>44</v>
      </c>
      <c r="BD1950" s="14">
        <f t="shared" si="418"/>
        <v>600</v>
      </c>
      <c r="BE1950" s="14">
        <f>SUMIFS(BD$4:BD1950,$AU$4:$AU1950,"="&amp;$AU1950,$AY$4:$AY1950,"="&amp;$AY1950)</f>
        <v>1980</v>
      </c>
      <c r="BF1950" s="25" t="s">
        <v>1157</v>
      </c>
      <c r="BG1950" s="14">
        <f t="shared" si="419"/>
        <v>240</v>
      </c>
      <c r="BH1950" s="14">
        <f>SUMIFS(BG$4:BG1950,AU$4:AU1950,"="&amp;AU1950,AY$4:AY1950,"="&amp;AY1950)</f>
        <v>792</v>
      </c>
      <c r="BI1950" s="25" t="s">
        <v>1158</v>
      </c>
      <c r="BJ1950" s="14">
        <f t="shared" si="420"/>
        <v>9600</v>
      </c>
      <c r="BK1950" s="14">
        <f>SUMIFS(BJ$4:BJ1950,$AU$4:$AU1950,"="&amp;$AU1950,$AY$4:$AY1950,"="&amp;$AY1950)</f>
        <v>31680</v>
      </c>
    </row>
    <row r="1951" spans="46:63" ht="16.5" x14ac:dyDescent="0.2">
      <c r="AT1951" s="13">
        <v>1948</v>
      </c>
      <c r="AU1951" s="13">
        <f t="shared" si="412"/>
        <v>25</v>
      </c>
      <c r="AV1951" s="14">
        <f t="shared" si="413"/>
        <v>299603</v>
      </c>
      <c r="AW1951" s="14">
        <f t="shared" si="414"/>
        <v>1102996</v>
      </c>
      <c r="AX1951" s="13" t="s">
        <v>1127</v>
      </c>
      <c r="AY1951" s="13">
        <f t="shared" si="415"/>
        <v>3</v>
      </c>
      <c r="AZ1951" s="13" t="s">
        <v>1148</v>
      </c>
      <c r="BA1951" s="14">
        <f t="shared" si="416"/>
        <v>7</v>
      </c>
      <c r="BB1951" s="14" t="str">
        <f t="shared" si="417"/>
        <v>UR守护灵魂珠-3 等级-7</v>
      </c>
      <c r="BC1951" s="25" t="s">
        <v>44</v>
      </c>
      <c r="BD1951" s="14">
        <f t="shared" si="418"/>
        <v>720</v>
      </c>
      <c r="BE1951" s="14">
        <f>SUMIFS(BD$4:BD1951,$AU$4:$AU1951,"="&amp;$AU1951,$AY$4:$AY1951,"="&amp;$AY1951)</f>
        <v>2700</v>
      </c>
      <c r="BF1951" s="25" t="s">
        <v>1157</v>
      </c>
      <c r="BG1951" s="14">
        <f t="shared" si="419"/>
        <v>288</v>
      </c>
      <c r="BH1951" s="14">
        <f>SUMIFS(BG$4:BG1951,AU$4:AU1951,"="&amp;AU1951,AY$4:AY1951,"="&amp;AY1951)</f>
        <v>1080</v>
      </c>
      <c r="BI1951" s="25" t="s">
        <v>1158</v>
      </c>
      <c r="BJ1951" s="14">
        <f t="shared" si="420"/>
        <v>11520</v>
      </c>
      <c r="BK1951" s="14">
        <f>SUMIFS(BJ$4:BJ1951,$AU$4:$AU1951,"="&amp;$AU1951,$AY$4:$AY1951,"="&amp;$AY1951)</f>
        <v>43200</v>
      </c>
    </row>
    <row r="1952" spans="46:63" ht="16.5" x14ac:dyDescent="0.2">
      <c r="AT1952" s="13">
        <v>1949</v>
      </c>
      <c r="AU1952" s="13">
        <f t="shared" si="412"/>
        <v>25</v>
      </c>
      <c r="AV1952" s="14">
        <f t="shared" si="413"/>
        <v>299603</v>
      </c>
      <c r="AW1952" s="14">
        <f t="shared" si="414"/>
        <v>1102996</v>
      </c>
      <c r="AX1952" s="13" t="s">
        <v>1127</v>
      </c>
      <c r="AY1952" s="13">
        <f t="shared" si="415"/>
        <v>3</v>
      </c>
      <c r="AZ1952" s="13" t="s">
        <v>1148</v>
      </c>
      <c r="BA1952" s="14">
        <f t="shared" si="416"/>
        <v>8</v>
      </c>
      <c r="BB1952" s="14" t="str">
        <f t="shared" si="417"/>
        <v>UR守护灵魂珠-3 等级-8</v>
      </c>
      <c r="BC1952" s="25" t="s">
        <v>44</v>
      </c>
      <c r="BD1952" s="14">
        <f t="shared" si="418"/>
        <v>840</v>
      </c>
      <c r="BE1952" s="14">
        <f>SUMIFS(BD$4:BD1952,$AU$4:$AU1952,"="&amp;$AU1952,$AY$4:$AY1952,"="&amp;$AY1952)</f>
        <v>3540</v>
      </c>
      <c r="BF1952" s="25" t="s">
        <v>1157</v>
      </c>
      <c r="BG1952" s="14">
        <f t="shared" si="419"/>
        <v>336</v>
      </c>
      <c r="BH1952" s="14">
        <f>SUMIFS(BG$4:BG1952,AU$4:AU1952,"="&amp;AU1952,AY$4:AY1952,"="&amp;AY1952)</f>
        <v>1416</v>
      </c>
      <c r="BI1952" s="25" t="s">
        <v>1158</v>
      </c>
      <c r="BJ1952" s="14">
        <f t="shared" si="420"/>
        <v>13440</v>
      </c>
      <c r="BK1952" s="14">
        <f>SUMIFS(BJ$4:BJ1952,$AU$4:$AU1952,"="&amp;$AU1952,$AY$4:$AY1952,"="&amp;$AY1952)</f>
        <v>56640</v>
      </c>
    </row>
    <row r="1953" spans="46:63" ht="16.5" x14ac:dyDescent="0.2">
      <c r="AT1953" s="13">
        <v>1950</v>
      </c>
      <c r="AU1953" s="13">
        <f t="shared" si="412"/>
        <v>25</v>
      </c>
      <c r="AV1953" s="14">
        <f t="shared" si="413"/>
        <v>299603</v>
      </c>
      <c r="AW1953" s="14">
        <f t="shared" si="414"/>
        <v>1102996</v>
      </c>
      <c r="AX1953" s="13" t="s">
        <v>1127</v>
      </c>
      <c r="AY1953" s="13">
        <f t="shared" si="415"/>
        <v>3</v>
      </c>
      <c r="AZ1953" s="13" t="s">
        <v>1148</v>
      </c>
      <c r="BA1953" s="14">
        <f t="shared" si="416"/>
        <v>9</v>
      </c>
      <c r="BB1953" s="14" t="str">
        <f t="shared" si="417"/>
        <v>UR守护灵魂珠-3 等级-9</v>
      </c>
      <c r="BC1953" s="25" t="s">
        <v>44</v>
      </c>
      <c r="BD1953" s="14">
        <f t="shared" si="418"/>
        <v>960</v>
      </c>
      <c r="BE1953" s="14">
        <f>SUMIFS(BD$4:BD1953,$AU$4:$AU1953,"="&amp;$AU1953,$AY$4:$AY1953,"="&amp;$AY1953)</f>
        <v>4500</v>
      </c>
      <c r="BF1953" s="25" t="s">
        <v>1157</v>
      </c>
      <c r="BG1953" s="14">
        <f t="shared" si="419"/>
        <v>384</v>
      </c>
      <c r="BH1953" s="14">
        <f>SUMIFS(BG$4:BG1953,AU$4:AU1953,"="&amp;AU1953,AY$4:AY1953,"="&amp;AY1953)</f>
        <v>1800</v>
      </c>
      <c r="BI1953" s="25" t="s">
        <v>1158</v>
      </c>
      <c r="BJ1953" s="14">
        <f t="shared" si="420"/>
        <v>15360</v>
      </c>
      <c r="BK1953" s="14">
        <f>SUMIFS(BJ$4:BJ1953,$AU$4:$AU1953,"="&amp;$AU1953,$AY$4:$AY1953,"="&amp;$AY1953)</f>
        <v>72000</v>
      </c>
    </row>
    <row r="1954" spans="46:63" ht="16.5" x14ac:dyDescent="0.2">
      <c r="AT1954" s="13">
        <v>1951</v>
      </c>
      <c r="AU1954" s="13">
        <f t="shared" si="412"/>
        <v>25</v>
      </c>
      <c r="AV1954" s="14">
        <f t="shared" si="413"/>
        <v>299604</v>
      </c>
      <c r="AW1954" s="14">
        <f t="shared" si="414"/>
        <v>1102996</v>
      </c>
      <c r="AX1954" s="13" t="s">
        <v>1127</v>
      </c>
      <c r="AY1954" s="13">
        <f t="shared" si="415"/>
        <v>4</v>
      </c>
      <c r="AZ1954" s="13" t="s">
        <v>1148</v>
      </c>
      <c r="BA1954" s="14">
        <f t="shared" si="416"/>
        <v>0</v>
      </c>
      <c r="BB1954" s="14" t="str">
        <f t="shared" si="417"/>
        <v>UR守护灵魂珠-4 等级-0</v>
      </c>
      <c r="BC1954" s="25" t="s">
        <v>44</v>
      </c>
      <c r="BD1954" s="14">
        <f t="shared" si="418"/>
        <v>0</v>
      </c>
      <c r="BE1954" s="14">
        <f>SUMIFS(BD$4:BD1954,$AU$4:$AU1954,"="&amp;$AU1954,$AY$4:$AY1954,"="&amp;$AY1954)</f>
        <v>0</v>
      </c>
      <c r="BF1954" s="25" t="s">
        <v>1157</v>
      </c>
      <c r="BG1954" s="14">
        <f t="shared" si="419"/>
        <v>0</v>
      </c>
      <c r="BH1954" s="14">
        <f>SUMIFS(BG$4:BG1954,AU$4:AU1954,"="&amp;AU1954,AY$4:AY1954,"="&amp;AY1954)</f>
        <v>0</v>
      </c>
      <c r="BI1954" s="25" t="s">
        <v>1158</v>
      </c>
      <c r="BJ1954" s="14">
        <f t="shared" si="420"/>
        <v>0</v>
      </c>
      <c r="BK1954" s="14">
        <f>SUMIFS(BJ$4:BJ1954,$AU$4:$AU1954,"="&amp;$AU1954,$AY$4:$AY1954,"="&amp;$AY1954)</f>
        <v>0</v>
      </c>
    </row>
    <row r="1955" spans="46:63" ht="16.5" x14ac:dyDescent="0.2">
      <c r="AT1955" s="13">
        <v>1952</v>
      </c>
      <c r="AU1955" s="13">
        <f t="shared" si="412"/>
        <v>25</v>
      </c>
      <c r="AV1955" s="14">
        <f t="shared" si="413"/>
        <v>299604</v>
      </c>
      <c r="AW1955" s="14">
        <f t="shared" si="414"/>
        <v>1102996</v>
      </c>
      <c r="AX1955" s="13" t="s">
        <v>1127</v>
      </c>
      <c r="AY1955" s="13">
        <f t="shared" si="415"/>
        <v>4</v>
      </c>
      <c r="AZ1955" s="13" t="s">
        <v>1148</v>
      </c>
      <c r="BA1955" s="14">
        <f t="shared" si="416"/>
        <v>1</v>
      </c>
      <c r="BB1955" s="14" t="str">
        <f t="shared" si="417"/>
        <v>UR守护灵魂珠-4 等级-1</v>
      </c>
      <c r="BC1955" s="25" t="s">
        <v>44</v>
      </c>
      <c r="BD1955" s="14">
        <f t="shared" si="418"/>
        <v>150</v>
      </c>
      <c r="BE1955" s="14">
        <f>SUMIFS(BD$4:BD1955,$AU$4:$AU1955,"="&amp;$AU1955,$AY$4:$AY1955,"="&amp;$AY1955)</f>
        <v>150</v>
      </c>
      <c r="BF1955" s="25" t="s">
        <v>1157</v>
      </c>
      <c r="BG1955" s="14">
        <f t="shared" si="419"/>
        <v>60</v>
      </c>
      <c r="BH1955" s="14">
        <f>SUMIFS(BG$4:BG1955,AU$4:AU1955,"="&amp;AU1955,AY$4:AY1955,"="&amp;AY1955)</f>
        <v>60</v>
      </c>
      <c r="BI1955" s="25" t="s">
        <v>1158</v>
      </c>
      <c r="BJ1955" s="14">
        <f t="shared" si="420"/>
        <v>2400</v>
      </c>
      <c r="BK1955" s="14">
        <f>SUMIFS(BJ$4:BJ1955,$AU$4:$AU1955,"="&amp;$AU1955,$AY$4:$AY1955,"="&amp;$AY1955)</f>
        <v>2400</v>
      </c>
    </row>
    <row r="1956" spans="46:63" ht="16.5" x14ac:dyDescent="0.2">
      <c r="AT1956" s="13">
        <v>1953</v>
      </c>
      <c r="AU1956" s="13">
        <f t="shared" si="412"/>
        <v>25</v>
      </c>
      <c r="AV1956" s="14">
        <f t="shared" si="413"/>
        <v>299604</v>
      </c>
      <c r="AW1956" s="14">
        <f t="shared" si="414"/>
        <v>1102996</v>
      </c>
      <c r="AX1956" s="13" t="s">
        <v>1127</v>
      </c>
      <c r="AY1956" s="13">
        <f t="shared" si="415"/>
        <v>4</v>
      </c>
      <c r="AZ1956" s="13" t="s">
        <v>1148</v>
      </c>
      <c r="BA1956" s="14">
        <f t="shared" si="416"/>
        <v>2</v>
      </c>
      <c r="BB1956" s="14" t="str">
        <f t="shared" si="417"/>
        <v>UR守护灵魂珠-4 等级-2</v>
      </c>
      <c r="BC1956" s="25" t="s">
        <v>44</v>
      </c>
      <c r="BD1956" s="14">
        <f t="shared" si="418"/>
        <v>240</v>
      </c>
      <c r="BE1956" s="14">
        <f>SUMIFS(BD$4:BD1956,$AU$4:$AU1956,"="&amp;$AU1956,$AY$4:$AY1956,"="&amp;$AY1956)</f>
        <v>390</v>
      </c>
      <c r="BF1956" s="25" t="s">
        <v>1157</v>
      </c>
      <c r="BG1956" s="14">
        <f t="shared" si="419"/>
        <v>96</v>
      </c>
      <c r="BH1956" s="14">
        <f>SUMIFS(BG$4:BG1956,AU$4:AU1956,"="&amp;AU1956,AY$4:AY1956,"="&amp;AY1956)</f>
        <v>156</v>
      </c>
      <c r="BI1956" s="25" t="s">
        <v>1158</v>
      </c>
      <c r="BJ1956" s="14">
        <f t="shared" si="420"/>
        <v>3840</v>
      </c>
      <c r="BK1956" s="14">
        <f>SUMIFS(BJ$4:BJ1956,$AU$4:$AU1956,"="&amp;$AU1956,$AY$4:$AY1956,"="&amp;$AY1956)</f>
        <v>6240</v>
      </c>
    </row>
    <row r="1957" spans="46:63" ht="16.5" x14ac:dyDescent="0.2">
      <c r="AT1957" s="13">
        <v>1954</v>
      </c>
      <c r="AU1957" s="13">
        <f t="shared" si="412"/>
        <v>25</v>
      </c>
      <c r="AV1957" s="14">
        <f t="shared" si="413"/>
        <v>299604</v>
      </c>
      <c r="AW1957" s="14">
        <f t="shared" si="414"/>
        <v>1102996</v>
      </c>
      <c r="AX1957" s="13" t="s">
        <v>1127</v>
      </c>
      <c r="AY1957" s="13">
        <f t="shared" si="415"/>
        <v>4</v>
      </c>
      <c r="AZ1957" s="13" t="s">
        <v>1148</v>
      </c>
      <c r="BA1957" s="14">
        <f t="shared" si="416"/>
        <v>3</v>
      </c>
      <c r="BB1957" s="14" t="str">
        <f t="shared" si="417"/>
        <v>UR守护灵魂珠-4 等级-3</v>
      </c>
      <c r="BC1957" s="25" t="s">
        <v>44</v>
      </c>
      <c r="BD1957" s="14">
        <f t="shared" si="418"/>
        <v>330</v>
      </c>
      <c r="BE1957" s="14">
        <f>SUMIFS(BD$4:BD1957,$AU$4:$AU1957,"="&amp;$AU1957,$AY$4:$AY1957,"="&amp;$AY1957)</f>
        <v>720</v>
      </c>
      <c r="BF1957" s="25" t="s">
        <v>1157</v>
      </c>
      <c r="BG1957" s="14">
        <f t="shared" si="419"/>
        <v>132</v>
      </c>
      <c r="BH1957" s="14">
        <f>SUMIFS(BG$4:BG1957,AU$4:AU1957,"="&amp;AU1957,AY$4:AY1957,"="&amp;AY1957)</f>
        <v>288</v>
      </c>
      <c r="BI1957" s="25" t="s">
        <v>1158</v>
      </c>
      <c r="BJ1957" s="14">
        <f t="shared" si="420"/>
        <v>5280</v>
      </c>
      <c r="BK1957" s="14">
        <f>SUMIFS(BJ$4:BJ1957,$AU$4:$AU1957,"="&amp;$AU1957,$AY$4:$AY1957,"="&amp;$AY1957)</f>
        <v>11520</v>
      </c>
    </row>
    <row r="1958" spans="46:63" ht="16.5" x14ac:dyDescent="0.2">
      <c r="AT1958" s="13">
        <v>1955</v>
      </c>
      <c r="AU1958" s="13">
        <f t="shared" si="412"/>
        <v>25</v>
      </c>
      <c r="AV1958" s="14">
        <f t="shared" si="413"/>
        <v>299604</v>
      </c>
      <c r="AW1958" s="14">
        <f t="shared" si="414"/>
        <v>1102996</v>
      </c>
      <c r="AX1958" s="13" t="s">
        <v>1127</v>
      </c>
      <c r="AY1958" s="13">
        <f t="shared" si="415"/>
        <v>4</v>
      </c>
      <c r="AZ1958" s="13" t="s">
        <v>1148</v>
      </c>
      <c r="BA1958" s="14">
        <f t="shared" si="416"/>
        <v>4</v>
      </c>
      <c r="BB1958" s="14" t="str">
        <f t="shared" si="417"/>
        <v>UR守护灵魂珠-4 等级-4</v>
      </c>
      <c r="BC1958" s="25" t="s">
        <v>44</v>
      </c>
      <c r="BD1958" s="14">
        <f t="shared" si="418"/>
        <v>480</v>
      </c>
      <c r="BE1958" s="14">
        <f>SUMIFS(BD$4:BD1958,$AU$4:$AU1958,"="&amp;$AU1958,$AY$4:$AY1958,"="&amp;$AY1958)</f>
        <v>1200</v>
      </c>
      <c r="BF1958" s="25" t="s">
        <v>1157</v>
      </c>
      <c r="BG1958" s="14">
        <f t="shared" si="419"/>
        <v>192</v>
      </c>
      <c r="BH1958" s="14">
        <f>SUMIFS(BG$4:BG1958,AU$4:AU1958,"="&amp;AU1958,AY$4:AY1958,"="&amp;AY1958)</f>
        <v>480</v>
      </c>
      <c r="BI1958" s="25" t="s">
        <v>1158</v>
      </c>
      <c r="BJ1958" s="14">
        <f t="shared" si="420"/>
        <v>7680</v>
      </c>
      <c r="BK1958" s="14">
        <f>SUMIFS(BJ$4:BJ1958,$AU$4:$AU1958,"="&amp;$AU1958,$AY$4:$AY1958,"="&amp;$AY1958)</f>
        <v>19200</v>
      </c>
    </row>
    <row r="1959" spans="46:63" ht="16.5" x14ac:dyDescent="0.2">
      <c r="AT1959" s="13">
        <v>1956</v>
      </c>
      <c r="AU1959" s="13">
        <f t="shared" ref="AU1959:AU2003" si="421">INT((AT1959-1)/80)+1</f>
        <v>25</v>
      </c>
      <c r="AV1959" s="14">
        <f t="shared" ref="AV1959:AV2003" si="422">INDEX($AJ$4:$AJ$203,(AU1959-1)*8+AY1959)</f>
        <v>299604</v>
      </c>
      <c r="AW1959" s="14">
        <f t="shared" ref="AW1959:AW2003" si="423">INDEX($W$4:$W$28,AU1959)</f>
        <v>1102996</v>
      </c>
      <c r="AX1959" s="13" t="s">
        <v>1127</v>
      </c>
      <c r="AY1959" s="13">
        <f t="shared" ref="AY1959:AY2003" si="424">INT(((AT1959-(AU1959-1)*80)-1)/10)+1</f>
        <v>4</v>
      </c>
      <c r="AZ1959" s="13" t="s">
        <v>1148</v>
      </c>
      <c r="BA1959" s="14">
        <f t="shared" ref="BA1959:BA2003" si="425">AT1959-(AU1959-1)*80-(AY1959-1)*10-1</f>
        <v>5</v>
      </c>
      <c r="BB1959" s="14" t="str">
        <f t="shared" ref="BB1959:BB2003" si="426">INDEX($X$4:$X$28,AU1959)&amp;"魂珠-"&amp;AY1959&amp;" 等级-"&amp;BA1959</f>
        <v>UR守护灵魂珠-4 等级-5</v>
      </c>
      <c r="BC1959" s="25" t="s">
        <v>44</v>
      </c>
      <c r="BD1959" s="14">
        <f t="shared" ref="BD1959:BD2003" si="427">ROUND(INDEX(Q$4:Q$83,($AY1959-1)*10+$BA1959+1)*INDEX(AC$4:AC$28,$AU1959),0)</f>
        <v>630</v>
      </c>
      <c r="BE1959" s="14">
        <f>SUMIFS(BD$4:BD1959,$AU$4:$AU1959,"="&amp;$AU1959,$AY$4:$AY1959,"="&amp;$AY1959)</f>
        <v>1830</v>
      </c>
      <c r="BF1959" s="25" t="s">
        <v>1157</v>
      </c>
      <c r="BG1959" s="14">
        <f t="shared" ref="BG1959:BG2003" si="428">ROUND(INDEX(R$4:R$83,($AY1959-1)*10+$BA1959+1)*INDEX(AD$4:AD$28,$AU1959),0)</f>
        <v>252</v>
      </c>
      <c r="BH1959" s="14">
        <f>SUMIFS(BG$4:BG1959,AU$4:AU1959,"="&amp;AU1959,AY$4:AY1959,"="&amp;AY1959)</f>
        <v>732</v>
      </c>
      <c r="BI1959" s="25" t="s">
        <v>1158</v>
      </c>
      <c r="BJ1959" s="14">
        <f t="shared" ref="BJ1959:BJ2003" si="429">ROUND(INDEX(S$4:S$83,($AY1959-1)*10+$BA1959+1)*INDEX(AE$4:AE$28,$AU1959),0)</f>
        <v>10080</v>
      </c>
      <c r="BK1959" s="14">
        <f>SUMIFS(BJ$4:BJ1959,$AU$4:$AU1959,"="&amp;$AU1959,$AY$4:$AY1959,"="&amp;$AY1959)</f>
        <v>29280</v>
      </c>
    </row>
    <row r="1960" spans="46:63" ht="16.5" x14ac:dyDescent="0.2">
      <c r="AT1960" s="13">
        <v>1957</v>
      </c>
      <c r="AU1960" s="13">
        <f t="shared" si="421"/>
        <v>25</v>
      </c>
      <c r="AV1960" s="14">
        <f t="shared" si="422"/>
        <v>299604</v>
      </c>
      <c r="AW1960" s="14">
        <f t="shared" si="423"/>
        <v>1102996</v>
      </c>
      <c r="AX1960" s="13" t="s">
        <v>1127</v>
      </c>
      <c r="AY1960" s="13">
        <f t="shared" si="424"/>
        <v>4</v>
      </c>
      <c r="AZ1960" s="13" t="s">
        <v>1148</v>
      </c>
      <c r="BA1960" s="14">
        <f t="shared" si="425"/>
        <v>6</v>
      </c>
      <c r="BB1960" s="14" t="str">
        <f t="shared" si="426"/>
        <v>UR守护灵魂珠-4 等级-6</v>
      </c>
      <c r="BC1960" s="25" t="s">
        <v>44</v>
      </c>
      <c r="BD1960" s="14">
        <f t="shared" si="427"/>
        <v>825</v>
      </c>
      <c r="BE1960" s="14">
        <f>SUMIFS(BD$4:BD1960,$AU$4:$AU1960,"="&amp;$AU1960,$AY$4:$AY1960,"="&amp;$AY1960)</f>
        <v>2655</v>
      </c>
      <c r="BF1960" s="25" t="s">
        <v>1157</v>
      </c>
      <c r="BG1960" s="14">
        <f t="shared" si="428"/>
        <v>330</v>
      </c>
      <c r="BH1960" s="14">
        <f>SUMIFS(BG$4:BG1960,AU$4:AU1960,"="&amp;AU1960,AY$4:AY1960,"="&amp;AY1960)</f>
        <v>1062</v>
      </c>
      <c r="BI1960" s="25" t="s">
        <v>1158</v>
      </c>
      <c r="BJ1960" s="14">
        <f t="shared" si="429"/>
        <v>13200</v>
      </c>
      <c r="BK1960" s="14">
        <f>SUMIFS(BJ$4:BJ1960,$AU$4:$AU1960,"="&amp;$AU1960,$AY$4:$AY1960,"="&amp;$AY1960)</f>
        <v>42480</v>
      </c>
    </row>
    <row r="1961" spans="46:63" ht="16.5" x14ac:dyDescent="0.2">
      <c r="AT1961" s="13">
        <v>1958</v>
      </c>
      <c r="AU1961" s="13">
        <f t="shared" si="421"/>
        <v>25</v>
      </c>
      <c r="AV1961" s="14">
        <f t="shared" si="422"/>
        <v>299604</v>
      </c>
      <c r="AW1961" s="14">
        <f t="shared" si="423"/>
        <v>1102996</v>
      </c>
      <c r="AX1961" s="13" t="s">
        <v>1127</v>
      </c>
      <c r="AY1961" s="13">
        <f t="shared" si="424"/>
        <v>4</v>
      </c>
      <c r="AZ1961" s="13" t="s">
        <v>1148</v>
      </c>
      <c r="BA1961" s="14">
        <f t="shared" si="425"/>
        <v>7</v>
      </c>
      <c r="BB1961" s="14" t="str">
        <f t="shared" si="426"/>
        <v>UR守护灵魂珠-4 等级-7</v>
      </c>
      <c r="BC1961" s="25" t="s">
        <v>44</v>
      </c>
      <c r="BD1961" s="14">
        <f t="shared" si="427"/>
        <v>975</v>
      </c>
      <c r="BE1961" s="14">
        <f>SUMIFS(BD$4:BD1961,$AU$4:$AU1961,"="&amp;$AU1961,$AY$4:$AY1961,"="&amp;$AY1961)</f>
        <v>3630</v>
      </c>
      <c r="BF1961" s="25" t="s">
        <v>1157</v>
      </c>
      <c r="BG1961" s="14">
        <f t="shared" si="428"/>
        <v>390</v>
      </c>
      <c r="BH1961" s="14">
        <f>SUMIFS(BG$4:BG1961,AU$4:AU1961,"="&amp;AU1961,AY$4:AY1961,"="&amp;AY1961)</f>
        <v>1452</v>
      </c>
      <c r="BI1961" s="25" t="s">
        <v>1158</v>
      </c>
      <c r="BJ1961" s="14">
        <f t="shared" si="429"/>
        <v>15600</v>
      </c>
      <c r="BK1961" s="14">
        <f>SUMIFS(BJ$4:BJ1961,$AU$4:$AU1961,"="&amp;$AU1961,$AY$4:$AY1961,"="&amp;$AY1961)</f>
        <v>58080</v>
      </c>
    </row>
    <row r="1962" spans="46:63" ht="16.5" x14ac:dyDescent="0.2">
      <c r="AT1962" s="13">
        <v>1959</v>
      </c>
      <c r="AU1962" s="13">
        <f t="shared" si="421"/>
        <v>25</v>
      </c>
      <c r="AV1962" s="14">
        <f t="shared" si="422"/>
        <v>299604</v>
      </c>
      <c r="AW1962" s="14">
        <f t="shared" si="423"/>
        <v>1102996</v>
      </c>
      <c r="AX1962" s="13" t="s">
        <v>1127</v>
      </c>
      <c r="AY1962" s="13">
        <f t="shared" si="424"/>
        <v>4</v>
      </c>
      <c r="AZ1962" s="13" t="s">
        <v>1148</v>
      </c>
      <c r="BA1962" s="14">
        <f t="shared" si="425"/>
        <v>8</v>
      </c>
      <c r="BB1962" s="14" t="str">
        <f t="shared" si="426"/>
        <v>UR守护灵魂珠-4 等级-8</v>
      </c>
      <c r="BC1962" s="25" t="s">
        <v>44</v>
      </c>
      <c r="BD1962" s="14">
        <f t="shared" si="427"/>
        <v>1125</v>
      </c>
      <c r="BE1962" s="14">
        <f>SUMIFS(BD$4:BD1962,$AU$4:$AU1962,"="&amp;$AU1962,$AY$4:$AY1962,"="&amp;$AY1962)</f>
        <v>4755</v>
      </c>
      <c r="BF1962" s="25" t="s">
        <v>1157</v>
      </c>
      <c r="BG1962" s="14">
        <f t="shared" si="428"/>
        <v>450</v>
      </c>
      <c r="BH1962" s="14">
        <f>SUMIFS(BG$4:BG1962,AU$4:AU1962,"="&amp;AU1962,AY$4:AY1962,"="&amp;AY1962)</f>
        <v>1902</v>
      </c>
      <c r="BI1962" s="25" t="s">
        <v>1158</v>
      </c>
      <c r="BJ1962" s="14">
        <f t="shared" si="429"/>
        <v>18000</v>
      </c>
      <c r="BK1962" s="14">
        <f>SUMIFS(BJ$4:BJ1962,$AU$4:$AU1962,"="&amp;$AU1962,$AY$4:$AY1962,"="&amp;$AY1962)</f>
        <v>76080</v>
      </c>
    </row>
    <row r="1963" spans="46:63" ht="16.5" x14ac:dyDescent="0.2">
      <c r="AT1963" s="13">
        <v>1960</v>
      </c>
      <c r="AU1963" s="13">
        <f t="shared" si="421"/>
        <v>25</v>
      </c>
      <c r="AV1963" s="14">
        <f t="shared" si="422"/>
        <v>299604</v>
      </c>
      <c r="AW1963" s="14">
        <f t="shared" si="423"/>
        <v>1102996</v>
      </c>
      <c r="AX1963" s="13" t="s">
        <v>1127</v>
      </c>
      <c r="AY1963" s="13">
        <f t="shared" si="424"/>
        <v>4</v>
      </c>
      <c r="AZ1963" s="13" t="s">
        <v>1148</v>
      </c>
      <c r="BA1963" s="14">
        <f t="shared" si="425"/>
        <v>9</v>
      </c>
      <c r="BB1963" s="14" t="str">
        <f t="shared" si="426"/>
        <v>UR守护灵魂珠-4 等级-9</v>
      </c>
      <c r="BC1963" s="25" t="s">
        <v>44</v>
      </c>
      <c r="BD1963" s="14">
        <f t="shared" si="427"/>
        <v>1275</v>
      </c>
      <c r="BE1963" s="14">
        <f>SUMIFS(BD$4:BD1963,$AU$4:$AU1963,"="&amp;$AU1963,$AY$4:$AY1963,"="&amp;$AY1963)</f>
        <v>6030</v>
      </c>
      <c r="BF1963" s="25" t="s">
        <v>1157</v>
      </c>
      <c r="BG1963" s="14">
        <f t="shared" si="428"/>
        <v>510</v>
      </c>
      <c r="BH1963" s="14">
        <f>SUMIFS(BG$4:BG1963,AU$4:AU1963,"="&amp;AU1963,AY$4:AY1963,"="&amp;AY1963)</f>
        <v>2412</v>
      </c>
      <c r="BI1963" s="25" t="s">
        <v>1158</v>
      </c>
      <c r="BJ1963" s="14">
        <f t="shared" si="429"/>
        <v>20400</v>
      </c>
      <c r="BK1963" s="14">
        <f>SUMIFS(BJ$4:BJ1963,$AU$4:$AU1963,"="&amp;$AU1963,$AY$4:$AY1963,"="&amp;$AY1963)</f>
        <v>96480</v>
      </c>
    </row>
    <row r="1964" spans="46:63" ht="16.5" x14ac:dyDescent="0.2">
      <c r="AT1964" s="13">
        <v>1961</v>
      </c>
      <c r="AU1964" s="13">
        <f t="shared" si="421"/>
        <v>25</v>
      </c>
      <c r="AV1964" s="14">
        <f t="shared" si="422"/>
        <v>299605</v>
      </c>
      <c r="AW1964" s="14">
        <f t="shared" si="423"/>
        <v>1102996</v>
      </c>
      <c r="AX1964" s="13" t="s">
        <v>1127</v>
      </c>
      <c r="AY1964" s="13">
        <f t="shared" si="424"/>
        <v>5</v>
      </c>
      <c r="AZ1964" s="13" t="s">
        <v>1148</v>
      </c>
      <c r="BA1964" s="14">
        <f t="shared" si="425"/>
        <v>0</v>
      </c>
      <c r="BB1964" s="14" t="str">
        <f t="shared" si="426"/>
        <v>UR守护灵魂珠-5 等级-0</v>
      </c>
      <c r="BC1964" s="25" t="s">
        <v>44</v>
      </c>
      <c r="BD1964" s="14">
        <f t="shared" si="427"/>
        <v>0</v>
      </c>
      <c r="BE1964" s="14">
        <f>SUMIFS(BD$4:BD1964,$AU$4:$AU1964,"="&amp;$AU1964,$AY$4:$AY1964,"="&amp;$AY1964)</f>
        <v>0</v>
      </c>
      <c r="BF1964" s="25" t="s">
        <v>1157</v>
      </c>
      <c r="BG1964" s="14">
        <f t="shared" si="428"/>
        <v>0</v>
      </c>
      <c r="BH1964" s="14">
        <f>SUMIFS(BG$4:BG1964,AU$4:AU1964,"="&amp;AU1964,AY$4:AY1964,"="&amp;AY1964)</f>
        <v>0</v>
      </c>
      <c r="BI1964" s="25" t="s">
        <v>1158</v>
      </c>
      <c r="BJ1964" s="14">
        <f t="shared" si="429"/>
        <v>0</v>
      </c>
      <c r="BK1964" s="14">
        <f>SUMIFS(BJ$4:BJ1964,$AU$4:$AU1964,"="&amp;$AU1964,$AY$4:$AY1964,"="&amp;$AY1964)</f>
        <v>0</v>
      </c>
    </row>
    <row r="1965" spans="46:63" ht="16.5" x14ac:dyDescent="0.2">
      <c r="AT1965" s="13">
        <v>1962</v>
      </c>
      <c r="AU1965" s="13">
        <f t="shared" si="421"/>
        <v>25</v>
      </c>
      <c r="AV1965" s="14">
        <f t="shared" si="422"/>
        <v>299605</v>
      </c>
      <c r="AW1965" s="14">
        <f t="shared" si="423"/>
        <v>1102996</v>
      </c>
      <c r="AX1965" s="13" t="s">
        <v>1127</v>
      </c>
      <c r="AY1965" s="13">
        <f t="shared" si="424"/>
        <v>5</v>
      </c>
      <c r="AZ1965" s="13" t="s">
        <v>1148</v>
      </c>
      <c r="BA1965" s="14">
        <f t="shared" si="425"/>
        <v>1</v>
      </c>
      <c r="BB1965" s="14" t="str">
        <f t="shared" si="426"/>
        <v>UR守护灵魂珠-5 等级-1</v>
      </c>
      <c r="BC1965" s="25" t="s">
        <v>44</v>
      </c>
      <c r="BD1965" s="14">
        <f t="shared" si="427"/>
        <v>210</v>
      </c>
      <c r="BE1965" s="14">
        <f>SUMIFS(BD$4:BD1965,$AU$4:$AU1965,"="&amp;$AU1965,$AY$4:$AY1965,"="&amp;$AY1965)</f>
        <v>210</v>
      </c>
      <c r="BF1965" s="25" t="s">
        <v>1157</v>
      </c>
      <c r="BG1965" s="14">
        <f t="shared" si="428"/>
        <v>84</v>
      </c>
      <c r="BH1965" s="14">
        <f>SUMIFS(BG$4:BG1965,AU$4:AU1965,"="&amp;AU1965,AY$4:AY1965,"="&amp;AY1965)</f>
        <v>84</v>
      </c>
      <c r="BI1965" s="25" t="s">
        <v>1158</v>
      </c>
      <c r="BJ1965" s="14">
        <f t="shared" si="429"/>
        <v>3360</v>
      </c>
      <c r="BK1965" s="14">
        <f>SUMIFS(BJ$4:BJ1965,$AU$4:$AU1965,"="&amp;$AU1965,$AY$4:$AY1965,"="&amp;$AY1965)</f>
        <v>3360</v>
      </c>
    </row>
    <row r="1966" spans="46:63" ht="16.5" x14ac:dyDescent="0.2">
      <c r="AT1966" s="13">
        <v>1963</v>
      </c>
      <c r="AU1966" s="13">
        <f t="shared" si="421"/>
        <v>25</v>
      </c>
      <c r="AV1966" s="14">
        <f t="shared" si="422"/>
        <v>299605</v>
      </c>
      <c r="AW1966" s="14">
        <f t="shared" si="423"/>
        <v>1102996</v>
      </c>
      <c r="AX1966" s="13" t="s">
        <v>1127</v>
      </c>
      <c r="AY1966" s="13">
        <f t="shared" si="424"/>
        <v>5</v>
      </c>
      <c r="AZ1966" s="13" t="s">
        <v>1148</v>
      </c>
      <c r="BA1966" s="14">
        <f t="shared" si="425"/>
        <v>2</v>
      </c>
      <c r="BB1966" s="14" t="str">
        <f t="shared" si="426"/>
        <v>UR守护灵魂珠-5 等级-2</v>
      </c>
      <c r="BC1966" s="25" t="s">
        <v>44</v>
      </c>
      <c r="BD1966" s="14">
        <f t="shared" si="427"/>
        <v>300</v>
      </c>
      <c r="BE1966" s="14">
        <f>SUMIFS(BD$4:BD1966,$AU$4:$AU1966,"="&amp;$AU1966,$AY$4:$AY1966,"="&amp;$AY1966)</f>
        <v>510</v>
      </c>
      <c r="BF1966" s="25" t="s">
        <v>1157</v>
      </c>
      <c r="BG1966" s="14">
        <f t="shared" si="428"/>
        <v>120</v>
      </c>
      <c r="BH1966" s="14">
        <f>SUMIFS(BG$4:BG1966,AU$4:AU1966,"="&amp;AU1966,AY$4:AY1966,"="&amp;AY1966)</f>
        <v>204</v>
      </c>
      <c r="BI1966" s="25" t="s">
        <v>1158</v>
      </c>
      <c r="BJ1966" s="14">
        <f t="shared" si="429"/>
        <v>4800</v>
      </c>
      <c r="BK1966" s="14">
        <f>SUMIFS(BJ$4:BJ1966,$AU$4:$AU1966,"="&amp;$AU1966,$AY$4:$AY1966,"="&amp;$AY1966)</f>
        <v>8160</v>
      </c>
    </row>
    <row r="1967" spans="46:63" ht="16.5" x14ac:dyDescent="0.2">
      <c r="AT1967" s="13">
        <v>1964</v>
      </c>
      <c r="AU1967" s="13">
        <f t="shared" si="421"/>
        <v>25</v>
      </c>
      <c r="AV1967" s="14">
        <f t="shared" si="422"/>
        <v>299605</v>
      </c>
      <c r="AW1967" s="14">
        <f t="shared" si="423"/>
        <v>1102996</v>
      </c>
      <c r="AX1967" s="13" t="s">
        <v>1127</v>
      </c>
      <c r="AY1967" s="13">
        <f t="shared" si="424"/>
        <v>5</v>
      </c>
      <c r="AZ1967" s="13" t="s">
        <v>1148</v>
      </c>
      <c r="BA1967" s="14">
        <f t="shared" si="425"/>
        <v>3</v>
      </c>
      <c r="BB1967" s="14" t="str">
        <f t="shared" si="426"/>
        <v>UR守护灵魂珠-5 等级-3</v>
      </c>
      <c r="BC1967" s="25" t="s">
        <v>44</v>
      </c>
      <c r="BD1967" s="14">
        <f t="shared" si="427"/>
        <v>390</v>
      </c>
      <c r="BE1967" s="14">
        <f>SUMIFS(BD$4:BD1967,$AU$4:$AU1967,"="&amp;$AU1967,$AY$4:$AY1967,"="&amp;$AY1967)</f>
        <v>900</v>
      </c>
      <c r="BF1967" s="25" t="s">
        <v>1157</v>
      </c>
      <c r="BG1967" s="14">
        <f t="shared" si="428"/>
        <v>156</v>
      </c>
      <c r="BH1967" s="14">
        <f>SUMIFS(BG$4:BG1967,AU$4:AU1967,"="&amp;AU1967,AY$4:AY1967,"="&amp;AY1967)</f>
        <v>360</v>
      </c>
      <c r="BI1967" s="25" t="s">
        <v>1158</v>
      </c>
      <c r="BJ1967" s="14">
        <f t="shared" si="429"/>
        <v>6240</v>
      </c>
      <c r="BK1967" s="14">
        <f>SUMIFS(BJ$4:BJ1967,$AU$4:$AU1967,"="&amp;$AU1967,$AY$4:$AY1967,"="&amp;$AY1967)</f>
        <v>14400</v>
      </c>
    </row>
    <row r="1968" spans="46:63" ht="16.5" x14ac:dyDescent="0.2">
      <c r="AT1968" s="13">
        <v>1965</v>
      </c>
      <c r="AU1968" s="13">
        <f t="shared" si="421"/>
        <v>25</v>
      </c>
      <c r="AV1968" s="14">
        <f t="shared" si="422"/>
        <v>299605</v>
      </c>
      <c r="AW1968" s="14">
        <f t="shared" si="423"/>
        <v>1102996</v>
      </c>
      <c r="AX1968" s="13" t="s">
        <v>1127</v>
      </c>
      <c r="AY1968" s="13">
        <f t="shared" si="424"/>
        <v>5</v>
      </c>
      <c r="AZ1968" s="13" t="s">
        <v>1148</v>
      </c>
      <c r="BA1968" s="14">
        <f t="shared" si="425"/>
        <v>4</v>
      </c>
      <c r="BB1968" s="14" t="str">
        <f t="shared" si="426"/>
        <v>UR守护灵魂珠-5 等级-4</v>
      </c>
      <c r="BC1968" s="25" t="s">
        <v>44</v>
      </c>
      <c r="BD1968" s="14">
        <f t="shared" si="427"/>
        <v>600</v>
      </c>
      <c r="BE1968" s="14">
        <f>SUMIFS(BD$4:BD1968,$AU$4:$AU1968,"="&amp;$AU1968,$AY$4:$AY1968,"="&amp;$AY1968)</f>
        <v>1500</v>
      </c>
      <c r="BF1968" s="25" t="s">
        <v>1157</v>
      </c>
      <c r="BG1968" s="14">
        <f t="shared" si="428"/>
        <v>240</v>
      </c>
      <c r="BH1968" s="14">
        <f>SUMIFS(BG$4:BG1968,AU$4:AU1968,"="&amp;AU1968,AY$4:AY1968,"="&amp;AY1968)</f>
        <v>600</v>
      </c>
      <c r="BI1968" s="25" t="s">
        <v>1158</v>
      </c>
      <c r="BJ1968" s="14">
        <f t="shared" si="429"/>
        <v>9600</v>
      </c>
      <c r="BK1968" s="14">
        <f>SUMIFS(BJ$4:BJ1968,$AU$4:$AU1968,"="&amp;$AU1968,$AY$4:$AY1968,"="&amp;$AY1968)</f>
        <v>24000</v>
      </c>
    </row>
    <row r="1969" spans="46:63" ht="16.5" x14ac:dyDescent="0.2">
      <c r="AT1969" s="13">
        <v>1966</v>
      </c>
      <c r="AU1969" s="13">
        <f t="shared" si="421"/>
        <v>25</v>
      </c>
      <c r="AV1969" s="14">
        <f t="shared" si="422"/>
        <v>299605</v>
      </c>
      <c r="AW1969" s="14">
        <f t="shared" si="423"/>
        <v>1102996</v>
      </c>
      <c r="AX1969" s="13" t="s">
        <v>1127</v>
      </c>
      <c r="AY1969" s="13">
        <f t="shared" si="424"/>
        <v>5</v>
      </c>
      <c r="AZ1969" s="13" t="s">
        <v>1148</v>
      </c>
      <c r="BA1969" s="14">
        <f t="shared" si="425"/>
        <v>5</v>
      </c>
      <c r="BB1969" s="14" t="str">
        <f t="shared" si="426"/>
        <v>UR守护灵魂珠-5 等级-5</v>
      </c>
      <c r="BC1969" s="25" t="s">
        <v>44</v>
      </c>
      <c r="BD1969" s="14">
        <f t="shared" si="427"/>
        <v>780</v>
      </c>
      <c r="BE1969" s="14">
        <f>SUMIFS(BD$4:BD1969,$AU$4:$AU1969,"="&amp;$AU1969,$AY$4:$AY1969,"="&amp;$AY1969)</f>
        <v>2280</v>
      </c>
      <c r="BF1969" s="25" t="s">
        <v>1157</v>
      </c>
      <c r="BG1969" s="14">
        <f t="shared" si="428"/>
        <v>312</v>
      </c>
      <c r="BH1969" s="14">
        <f>SUMIFS(BG$4:BG1969,AU$4:AU1969,"="&amp;AU1969,AY$4:AY1969,"="&amp;AY1969)</f>
        <v>912</v>
      </c>
      <c r="BI1969" s="25" t="s">
        <v>1158</v>
      </c>
      <c r="BJ1969" s="14">
        <f t="shared" si="429"/>
        <v>12480</v>
      </c>
      <c r="BK1969" s="14">
        <f>SUMIFS(BJ$4:BJ1969,$AU$4:$AU1969,"="&amp;$AU1969,$AY$4:$AY1969,"="&amp;$AY1969)</f>
        <v>36480</v>
      </c>
    </row>
    <row r="1970" spans="46:63" ht="16.5" x14ac:dyDescent="0.2">
      <c r="AT1970" s="13">
        <v>1967</v>
      </c>
      <c r="AU1970" s="13">
        <f t="shared" si="421"/>
        <v>25</v>
      </c>
      <c r="AV1970" s="14">
        <f t="shared" si="422"/>
        <v>299605</v>
      </c>
      <c r="AW1970" s="14">
        <f t="shared" si="423"/>
        <v>1102996</v>
      </c>
      <c r="AX1970" s="13" t="s">
        <v>1127</v>
      </c>
      <c r="AY1970" s="13">
        <f t="shared" si="424"/>
        <v>5</v>
      </c>
      <c r="AZ1970" s="13" t="s">
        <v>1148</v>
      </c>
      <c r="BA1970" s="14">
        <f t="shared" si="425"/>
        <v>6</v>
      </c>
      <c r="BB1970" s="14" t="str">
        <f t="shared" si="426"/>
        <v>UR守护灵魂珠-5 等级-6</v>
      </c>
      <c r="BC1970" s="25" t="s">
        <v>44</v>
      </c>
      <c r="BD1970" s="14">
        <f t="shared" si="427"/>
        <v>975</v>
      </c>
      <c r="BE1970" s="14">
        <f>SUMIFS(BD$4:BD1970,$AU$4:$AU1970,"="&amp;$AU1970,$AY$4:$AY1970,"="&amp;$AY1970)</f>
        <v>3255</v>
      </c>
      <c r="BF1970" s="25" t="s">
        <v>1157</v>
      </c>
      <c r="BG1970" s="14">
        <f t="shared" si="428"/>
        <v>390</v>
      </c>
      <c r="BH1970" s="14">
        <f>SUMIFS(BG$4:BG1970,AU$4:AU1970,"="&amp;AU1970,AY$4:AY1970,"="&amp;AY1970)</f>
        <v>1302</v>
      </c>
      <c r="BI1970" s="25" t="s">
        <v>1158</v>
      </c>
      <c r="BJ1970" s="14">
        <f t="shared" si="429"/>
        <v>15600</v>
      </c>
      <c r="BK1970" s="14">
        <f>SUMIFS(BJ$4:BJ1970,$AU$4:$AU1970,"="&amp;$AU1970,$AY$4:$AY1970,"="&amp;$AY1970)</f>
        <v>52080</v>
      </c>
    </row>
    <row r="1971" spans="46:63" ht="16.5" x14ac:dyDescent="0.2">
      <c r="AT1971" s="13">
        <v>1968</v>
      </c>
      <c r="AU1971" s="13">
        <f t="shared" si="421"/>
        <v>25</v>
      </c>
      <c r="AV1971" s="14">
        <f t="shared" si="422"/>
        <v>299605</v>
      </c>
      <c r="AW1971" s="14">
        <f t="shared" si="423"/>
        <v>1102996</v>
      </c>
      <c r="AX1971" s="13" t="s">
        <v>1127</v>
      </c>
      <c r="AY1971" s="13">
        <f t="shared" si="424"/>
        <v>5</v>
      </c>
      <c r="AZ1971" s="13" t="s">
        <v>1148</v>
      </c>
      <c r="BA1971" s="14">
        <f t="shared" si="425"/>
        <v>7</v>
      </c>
      <c r="BB1971" s="14" t="str">
        <f t="shared" si="426"/>
        <v>UR守护灵魂珠-5 等级-7</v>
      </c>
      <c r="BC1971" s="25" t="s">
        <v>44</v>
      </c>
      <c r="BD1971" s="14">
        <f t="shared" si="427"/>
        <v>1200</v>
      </c>
      <c r="BE1971" s="14">
        <f>SUMIFS(BD$4:BD1971,$AU$4:$AU1971,"="&amp;$AU1971,$AY$4:$AY1971,"="&amp;$AY1971)</f>
        <v>4455</v>
      </c>
      <c r="BF1971" s="25" t="s">
        <v>1157</v>
      </c>
      <c r="BG1971" s="14">
        <f t="shared" si="428"/>
        <v>480</v>
      </c>
      <c r="BH1971" s="14">
        <f>SUMIFS(BG$4:BG1971,AU$4:AU1971,"="&amp;AU1971,AY$4:AY1971,"="&amp;AY1971)</f>
        <v>1782</v>
      </c>
      <c r="BI1971" s="25" t="s">
        <v>1158</v>
      </c>
      <c r="BJ1971" s="14">
        <f t="shared" si="429"/>
        <v>19200</v>
      </c>
      <c r="BK1971" s="14">
        <f>SUMIFS(BJ$4:BJ1971,$AU$4:$AU1971,"="&amp;$AU1971,$AY$4:$AY1971,"="&amp;$AY1971)</f>
        <v>71280</v>
      </c>
    </row>
    <row r="1972" spans="46:63" ht="16.5" x14ac:dyDescent="0.2">
      <c r="AT1972" s="13">
        <v>1969</v>
      </c>
      <c r="AU1972" s="13">
        <f t="shared" si="421"/>
        <v>25</v>
      </c>
      <c r="AV1972" s="14">
        <f t="shared" si="422"/>
        <v>299605</v>
      </c>
      <c r="AW1972" s="14">
        <f t="shared" si="423"/>
        <v>1102996</v>
      </c>
      <c r="AX1972" s="13" t="s">
        <v>1127</v>
      </c>
      <c r="AY1972" s="13">
        <f t="shared" si="424"/>
        <v>5</v>
      </c>
      <c r="AZ1972" s="13" t="s">
        <v>1148</v>
      </c>
      <c r="BA1972" s="14">
        <f t="shared" si="425"/>
        <v>8</v>
      </c>
      <c r="BB1972" s="14" t="str">
        <f t="shared" si="426"/>
        <v>UR守护灵魂珠-5 等级-8</v>
      </c>
      <c r="BC1972" s="25" t="s">
        <v>44</v>
      </c>
      <c r="BD1972" s="14">
        <f t="shared" si="427"/>
        <v>1425</v>
      </c>
      <c r="BE1972" s="14">
        <f>SUMIFS(BD$4:BD1972,$AU$4:$AU1972,"="&amp;$AU1972,$AY$4:$AY1972,"="&amp;$AY1972)</f>
        <v>5880</v>
      </c>
      <c r="BF1972" s="25" t="s">
        <v>1157</v>
      </c>
      <c r="BG1972" s="14">
        <f t="shared" si="428"/>
        <v>570</v>
      </c>
      <c r="BH1972" s="14">
        <f>SUMIFS(BG$4:BG1972,AU$4:AU1972,"="&amp;AU1972,AY$4:AY1972,"="&amp;AY1972)</f>
        <v>2352</v>
      </c>
      <c r="BI1972" s="25" t="s">
        <v>1158</v>
      </c>
      <c r="BJ1972" s="14">
        <f t="shared" si="429"/>
        <v>22800</v>
      </c>
      <c r="BK1972" s="14">
        <f>SUMIFS(BJ$4:BJ1972,$AU$4:$AU1972,"="&amp;$AU1972,$AY$4:$AY1972,"="&amp;$AY1972)</f>
        <v>94080</v>
      </c>
    </row>
    <row r="1973" spans="46:63" ht="16.5" x14ac:dyDescent="0.2">
      <c r="AT1973" s="13">
        <v>1970</v>
      </c>
      <c r="AU1973" s="13">
        <f t="shared" si="421"/>
        <v>25</v>
      </c>
      <c r="AV1973" s="14">
        <f t="shared" si="422"/>
        <v>299605</v>
      </c>
      <c r="AW1973" s="14">
        <f t="shared" si="423"/>
        <v>1102996</v>
      </c>
      <c r="AX1973" s="13" t="s">
        <v>1127</v>
      </c>
      <c r="AY1973" s="13">
        <f t="shared" si="424"/>
        <v>5</v>
      </c>
      <c r="AZ1973" s="13" t="s">
        <v>1148</v>
      </c>
      <c r="BA1973" s="14">
        <f t="shared" si="425"/>
        <v>9</v>
      </c>
      <c r="BB1973" s="14" t="str">
        <f t="shared" si="426"/>
        <v>UR守护灵魂珠-5 等级-9</v>
      </c>
      <c r="BC1973" s="25" t="s">
        <v>44</v>
      </c>
      <c r="BD1973" s="14">
        <f t="shared" si="427"/>
        <v>1650</v>
      </c>
      <c r="BE1973" s="14">
        <f>SUMIFS(BD$4:BD1973,$AU$4:$AU1973,"="&amp;$AU1973,$AY$4:$AY1973,"="&amp;$AY1973)</f>
        <v>7530</v>
      </c>
      <c r="BF1973" s="25" t="s">
        <v>1157</v>
      </c>
      <c r="BG1973" s="14">
        <f t="shared" si="428"/>
        <v>660</v>
      </c>
      <c r="BH1973" s="14">
        <f>SUMIFS(BG$4:BG1973,AU$4:AU1973,"="&amp;AU1973,AY$4:AY1973,"="&amp;AY1973)</f>
        <v>3012</v>
      </c>
      <c r="BI1973" s="25" t="s">
        <v>1158</v>
      </c>
      <c r="BJ1973" s="14">
        <f t="shared" si="429"/>
        <v>26400</v>
      </c>
      <c r="BK1973" s="14">
        <f>SUMIFS(BJ$4:BJ1973,$AU$4:$AU1973,"="&amp;$AU1973,$AY$4:$AY1973,"="&amp;$AY1973)</f>
        <v>120480</v>
      </c>
    </row>
    <row r="1974" spans="46:63" ht="16.5" x14ac:dyDescent="0.2">
      <c r="AT1974" s="13">
        <v>1971</v>
      </c>
      <c r="AU1974" s="13">
        <f t="shared" si="421"/>
        <v>25</v>
      </c>
      <c r="AV1974" s="14">
        <f t="shared" si="422"/>
        <v>299606</v>
      </c>
      <c r="AW1974" s="14">
        <f t="shared" si="423"/>
        <v>1102996</v>
      </c>
      <c r="AX1974" s="13" t="s">
        <v>1127</v>
      </c>
      <c r="AY1974" s="13">
        <f t="shared" si="424"/>
        <v>6</v>
      </c>
      <c r="AZ1974" s="13" t="s">
        <v>1148</v>
      </c>
      <c r="BA1974" s="14">
        <f t="shared" si="425"/>
        <v>0</v>
      </c>
      <c r="BB1974" s="14" t="str">
        <f t="shared" si="426"/>
        <v>UR守护灵魂珠-6 等级-0</v>
      </c>
      <c r="BC1974" s="25" t="s">
        <v>44</v>
      </c>
      <c r="BD1974" s="14">
        <f t="shared" si="427"/>
        <v>0</v>
      </c>
      <c r="BE1974" s="14">
        <f>SUMIFS(BD$4:BD1974,$AU$4:$AU1974,"="&amp;$AU1974,$AY$4:$AY1974,"="&amp;$AY1974)</f>
        <v>0</v>
      </c>
      <c r="BF1974" s="25" t="s">
        <v>1157</v>
      </c>
      <c r="BG1974" s="14">
        <f t="shared" si="428"/>
        <v>0</v>
      </c>
      <c r="BH1974" s="14">
        <f>SUMIFS(BG$4:BG1974,AU$4:AU1974,"="&amp;AU1974,AY$4:AY1974,"="&amp;AY1974)</f>
        <v>0</v>
      </c>
      <c r="BI1974" s="25" t="s">
        <v>1158</v>
      </c>
      <c r="BJ1974" s="14">
        <f t="shared" si="429"/>
        <v>0</v>
      </c>
      <c r="BK1974" s="14">
        <f>SUMIFS(BJ$4:BJ1974,$AU$4:$AU1974,"="&amp;$AU1974,$AY$4:$AY1974,"="&amp;$AY1974)</f>
        <v>0</v>
      </c>
    </row>
    <row r="1975" spans="46:63" ht="16.5" x14ac:dyDescent="0.2">
      <c r="AT1975" s="13">
        <v>1972</v>
      </c>
      <c r="AU1975" s="13">
        <f t="shared" si="421"/>
        <v>25</v>
      </c>
      <c r="AV1975" s="14">
        <f t="shared" si="422"/>
        <v>299606</v>
      </c>
      <c r="AW1975" s="14">
        <f t="shared" si="423"/>
        <v>1102996</v>
      </c>
      <c r="AX1975" s="13" t="s">
        <v>1127</v>
      </c>
      <c r="AY1975" s="13">
        <f t="shared" si="424"/>
        <v>6</v>
      </c>
      <c r="AZ1975" s="13" t="s">
        <v>1148</v>
      </c>
      <c r="BA1975" s="14">
        <f t="shared" si="425"/>
        <v>1</v>
      </c>
      <c r="BB1975" s="14" t="str">
        <f t="shared" si="426"/>
        <v>UR守护灵魂珠-6 等级-1</v>
      </c>
      <c r="BC1975" s="25" t="s">
        <v>44</v>
      </c>
      <c r="BD1975" s="14">
        <f t="shared" si="427"/>
        <v>270</v>
      </c>
      <c r="BE1975" s="14">
        <f>SUMIFS(BD$4:BD1975,$AU$4:$AU1975,"="&amp;$AU1975,$AY$4:$AY1975,"="&amp;$AY1975)</f>
        <v>270</v>
      </c>
      <c r="BF1975" s="25" t="s">
        <v>1157</v>
      </c>
      <c r="BG1975" s="14">
        <f t="shared" si="428"/>
        <v>108</v>
      </c>
      <c r="BH1975" s="14">
        <f>SUMIFS(BG$4:BG1975,AU$4:AU1975,"="&amp;AU1975,AY$4:AY1975,"="&amp;AY1975)</f>
        <v>108</v>
      </c>
      <c r="BI1975" s="25" t="s">
        <v>1158</v>
      </c>
      <c r="BJ1975" s="14">
        <f t="shared" si="429"/>
        <v>4320</v>
      </c>
      <c r="BK1975" s="14">
        <f>SUMIFS(BJ$4:BJ1975,$AU$4:$AU1975,"="&amp;$AU1975,$AY$4:$AY1975,"="&amp;$AY1975)</f>
        <v>4320</v>
      </c>
    </row>
    <row r="1976" spans="46:63" ht="16.5" x14ac:dyDescent="0.2">
      <c r="AT1976" s="13">
        <v>1973</v>
      </c>
      <c r="AU1976" s="13">
        <f t="shared" si="421"/>
        <v>25</v>
      </c>
      <c r="AV1976" s="14">
        <f t="shared" si="422"/>
        <v>299606</v>
      </c>
      <c r="AW1976" s="14">
        <f t="shared" si="423"/>
        <v>1102996</v>
      </c>
      <c r="AX1976" s="13" t="s">
        <v>1127</v>
      </c>
      <c r="AY1976" s="13">
        <f t="shared" si="424"/>
        <v>6</v>
      </c>
      <c r="AZ1976" s="13" t="s">
        <v>1148</v>
      </c>
      <c r="BA1976" s="14">
        <f t="shared" si="425"/>
        <v>2</v>
      </c>
      <c r="BB1976" s="14" t="str">
        <f t="shared" si="426"/>
        <v>UR守护灵魂珠-6 等级-2</v>
      </c>
      <c r="BC1976" s="25" t="s">
        <v>44</v>
      </c>
      <c r="BD1976" s="14">
        <f t="shared" si="427"/>
        <v>420</v>
      </c>
      <c r="BE1976" s="14">
        <f>SUMIFS(BD$4:BD1976,$AU$4:$AU1976,"="&amp;$AU1976,$AY$4:$AY1976,"="&amp;$AY1976)</f>
        <v>690</v>
      </c>
      <c r="BF1976" s="25" t="s">
        <v>1157</v>
      </c>
      <c r="BG1976" s="14">
        <f t="shared" si="428"/>
        <v>168</v>
      </c>
      <c r="BH1976" s="14">
        <f>SUMIFS(BG$4:BG1976,AU$4:AU1976,"="&amp;AU1976,AY$4:AY1976,"="&amp;AY1976)</f>
        <v>276</v>
      </c>
      <c r="BI1976" s="25" t="s">
        <v>1158</v>
      </c>
      <c r="BJ1976" s="14">
        <f t="shared" si="429"/>
        <v>6720</v>
      </c>
      <c r="BK1976" s="14">
        <f>SUMIFS(BJ$4:BJ1976,$AU$4:$AU1976,"="&amp;$AU1976,$AY$4:$AY1976,"="&amp;$AY1976)</f>
        <v>11040</v>
      </c>
    </row>
    <row r="1977" spans="46:63" ht="16.5" x14ac:dyDescent="0.2">
      <c r="AT1977" s="13">
        <v>1974</v>
      </c>
      <c r="AU1977" s="13">
        <f t="shared" si="421"/>
        <v>25</v>
      </c>
      <c r="AV1977" s="14">
        <f t="shared" si="422"/>
        <v>299606</v>
      </c>
      <c r="AW1977" s="14">
        <f t="shared" si="423"/>
        <v>1102996</v>
      </c>
      <c r="AX1977" s="13" t="s">
        <v>1127</v>
      </c>
      <c r="AY1977" s="13">
        <f t="shared" si="424"/>
        <v>6</v>
      </c>
      <c r="AZ1977" s="13" t="s">
        <v>1148</v>
      </c>
      <c r="BA1977" s="14">
        <f t="shared" si="425"/>
        <v>3</v>
      </c>
      <c r="BB1977" s="14" t="str">
        <f t="shared" si="426"/>
        <v>UR守护灵魂珠-6 等级-3</v>
      </c>
      <c r="BC1977" s="25" t="s">
        <v>44</v>
      </c>
      <c r="BD1977" s="14">
        <f t="shared" si="427"/>
        <v>563</v>
      </c>
      <c r="BE1977" s="14">
        <f>SUMIFS(BD$4:BD1977,$AU$4:$AU1977,"="&amp;$AU1977,$AY$4:$AY1977,"="&amp;$AY1977)</f>
        <v>1253</v>
      </c>
      <c r="BF1977" s="25" t="s">
        <v>1157</v>
      </c>
      <c r="BG1977" s="14">
        <f t="shared" si="428"/>
        <v>225</v>
      </c>
      <c r="BH1977" s="14">
        <f>SUMIFS(BG$4:BG1977,AU$4:AU1977,"="&amp;AU1977,AY$4:AY1977,"="&amp;AY1977)</f>
        <v>501</v>
      </c>
      <c r="BI1977" s="25" t="s">
        <v>1158</v>
      </c>
      <c r="BJ1977" s="14">
        <f t="shared" si="429"/>
        <v>9000</v>
      </c>
      <c r="BK1977" s="14">
        <f>SUMIFS(BJ$4:BJ1977,$AU$4:$AU1977,"="&amp;$AU1977,$AY$4:$AY1977,"="&amp;$AY1977)</f>
        <v>20040</v>
      </c>
    </row>
    <row r="1978" spans="46:63" ht="16.5" x14ac:dyDescent="0.2">
      <c r="AT1978" s="13">
        <v>1975</v>
      </c>
      <c r="AU1978" s="13">
        <f t="shared" si="421"/>
        <v>25</v>
      </c>
      <c r="AV1978" s="14">
        <f t="shared" si="422"/>
        <v>299606</v>
      </c>
      <c r="AW1978" s="14">
        <f t="shared" si="423"/>
        <v>1102996</v>
      </c>
      <c r="AX1978" s="13" t="s">
        <v>1127</v>
      </c>
      <c r="AY1978" s="13">
        <f t="shared" si="424"/>
        <v>6</v>
      </c>
      <c r="AZ1978" s="13" t="s">
        <v>1148</v>
      </c>
      <c r="BA1978" s="14">
        <f t="shared" si="425"/>
        <v>4</v>
      </c>
      <c r="BB1978" s="14" t="str">
        <f t="shared" si="426"/>
        <v>UR守护灵魂珠-6 等级-4</v>
      </c>
      <c r="BC1978" s="25" t="s">
        <v>44</v>
      </c>
      <c r="BD1978" s="14">
        <f t="shared" si="427"/>
        <v>840</v>
      </c>
      <c r="BE1978" s="14">
        <f>SUMIFS(BD$4:BD1978,$AU$4:$AU1978,"="&amp;$AU1978,$AY$4:$AY1978,"="&amp;$AY1978)</f>
        <v>2093</v>
      </c>
      <c r="BF1978" s="25" t="s">
        <v>1157</v>
      </c>
      <c r="BG1978" s="14">
        <f t="shared" si="428"/>
        <v>336</v>
      </c>
      <c r="BH1978" s="14">
        <f>SUMIFS(BG$4:BG1978,AU$4:AU1978,"="&amp;AU1978,AY$4:AY1978,"="&amp;AY1978)</f>
        <v>837</v>
      </c>
      <c r="BI1978" s="25" t="s">
        <v>1158</v>
      </c>
      <c r="BJ1978" s="14">
        <f t="shared" si="429"/>
        <v>13440</v>
      </c>
      <c r="BK1978" s="14">
        <f>SUMIFS(BJ$4:BJ1978,$AU$4:$AU1978,"="&amp;$AU1978,$AY$4:$AY1978,"="&amp;$AY1978)</f>
        <v>33480</v>
      </c>
    </row>
    <row r="1979" spans="46:63" ht="16.5" x14ac:dyDescent="0.2">
      <c r="AT1979" s="13">
        <v>1976</v>
      </c>
      <c r="AU1979" s="13">
        <f t="shared" si="421"/>
        <v>25</v>
      </c>
      <c r="AV1979" s="14">
        <f t="shared" si="422"/>
        <v>299606</v>
      </c>
      <c r="AW1979" s="14">
        <f t="shared" si="423"/>
        <v>1102996</v>
      </c>
      <c r="AX1979" s="13" t="s">
        <v>1127</v>
      </c>
      <c r="AY1979" s="13">
        <f t="shared" si="424"/>
        <v>6</v>
      </c>
      <c r="AZ1979" s="13" t="s">
        <v>1148</v>
      </c>
      <c r="BA1979" s="14">
        <f t="shared" si="425"/>
        <v>5</v>
      </c>
      <c r="BB1979" s="14" t="str">
        <f t="shared" si="426"/>
        <v>UR守护灵魂珠-6 等级-5</v>
      </c>
      <c r="BC1979" s="25" t="s">
        <v>44</v>
      </c>
      <c r="BD1979" s="14">
        <f t="shared" si="427"/>
        <v>1125</v>
      </c>
      <c r="BE1979" s="14">
        <f>SUMIFS(BD$4:BD1979,$AU$4:$AU1979,"="&amp;$AU1979,$AY$4:$AY1979,"="&amp;$AY1979)</f>
        <v>3218</v>
      </c>
      <c r="BF1979" s="25" t="s">
        <v>1157</v>
      </c>
      <c r="BG1979" s="14">
        <f t="shared" si="428"/>
        <v>450</v>
      </c>
      <c r="BH1979" s="14">
        <f>SUMIFS(BG$4:BG1979,AU$4:AU1979,"="&amp;AU1979,AY$4:AY1979,"="&amp;AY1979)</f>
        <v>1287</v>
      </c>
      <c r="BI1979" s="25" t="s">
        <v>1158</v>
      </c>
      <c r="BJ1979" s="14">
        <f t="shared" si="429"/>
        <v>18000</v>
      </c>
      <c r="BK1979" s="14">
        <f>SUMIFS(BJ$4:BJ1979,$AU$4:$AU1979,"="&amp;$AU1979,$AY$4:$AY1979,"="&amp;$AY1979)</f>
        <v>51480</v>
      </c>
    </row>
    <row r="1980" spans="46:63" ht="16.5" x14ac:dyDescent="0.2">
      <c r="AT1980" s="13">
        <v>1977</v>
      </c>
      <c r="AU1980" s="13">
        <f t="shared" si="421"/>
        <v>25</v>
      </c>
      <c r="AV1980" s="14">
        <f t="shared" si="422"/>
        <v>299606</v>
      </c>
      <c r="AW1980" s="14">
        <f t="shared" si="423"/>
        <v>1102996</v>
      </c>
      <c r="AX1980" s="13" t="s">
        <v>1127</v>
      </c>
      <c r="AY1980" s="13">
        <f t="shared" si="424"/>
        <v>6</v>
      </c>
      <c r="AZ1980" s="13" t="s">
        <v>1148</v>
      </c>
      <c r="BA1980" s="14">
        <f t="shared" si="425"/>
        <v>6</v>
      </c>
      <c r="BB1980" s="14" t="str">
        <f t="shared" si="426"/>
        <v>UR守护灵魂珠-6 等级-6</v>
      </c>
      <c r="BC1980" s="25" t="s">
        <v>44</v>
      </c>
      <c r="BD1980" s="14">
        <f t="shared" si="427"/>
        <v>1425</v>
      </c>
      <c r="BE1980" s="14">
        <f>SUMIFS(BD$4:BD1980,$AU$4:$AU1980,"="&amp;$AU1980,$AY$4:$AY1980,"="&amp;$AY1980)</f>
        <v>4643</v>
      </c>
      <c r="BF1980" s="25" t="s">
        <v>1157</v>
      </c>
      <c r="BG1980" s="14">
        <f t="shared" si="428"/>
        <v>570</v>
      </c>
      <c r="BH1980" s="14">
        <f>SUMIFS(BG$4:BG1980,AU$4:AU1980,"="&amp;AU1980,AY$4:AY1980,"="&amp;AY1980)</f>
        <v>1857</v>
      </c>
      <c r="BI1980" s="25" t="s">
        <v>1158</v>
      </c>
      <c r="BJ1980" s="14">
        <f t="shared" si="429"/>
        <v>22800</v>
      </c>
      <c r="BK1980" s="14">
        <f>SUMIFS(BJ$4:BJ1980,$AU$4:$AU1980,"="&amp;$AU1980,$AY$4:$AY1980,"="&amp;$AY1980)</f>
        <v>74280</v>
      </c>
    </row>
    <row r="1981" spans="46:63" ht="16.5" x14ac:dyDescent="0.2">
      <c r="AT1981" s="13">
        <v>1978</v>
      </c>
      <c r="AU1981" s="13">
        <f t="shared" si="421"/>
        <v>25</v>
      </c>
      <c r="AV1981" s="14">
        <f t="shared" si="422"/>
        <v>299606</v>
      </c>
      <c r="AW1981" s="14">
        <f t="shared" si="423"/>
        <v>1102996</v>
      </c>
      <c r="AX1981" s="13" t="s">
        <v>1127</v>
      </c>
      <c r="AY1981" s="13">
        <f t="shared" si="424"/>
        <v>6</v>
      </c>
      <c r="AZ1981" s="13" t="s">
        <v>1148</v>
      </c>
      <c r="BA1981" s="14">
        <f t="shared" si="425"/>
        <v>7</v>
      </c>
      <c r="BB1981" s="14" t="str">
        <f t="shared" si="426"/>
        <v>UR守护灵魂珠-6 等级-7</v>
      </c>
      <c r="BC1981" s="25" t="s">
        <v>44</v>
      </c>
      <c r="BD1981" s="14">
        <f t="shared" si="427"/>
        <v>1725</v>
      </c>
      <c r="BE1981" s="14">
        <f>SUMIFS(BD$4:BD1981,$AU$4:$AU1981,"="&amp;$AU1981,$AY$4:$AY1981,"="&amp;$AY1981)</f>
        <v>6368</v>
      </c>
      <c r="BF1981" s="25" t="s">
        <v>1157</v>
      </c>
      <c r="BG1981" s="14">
        <f t="shared" si="428"/>
        <v>690</v>
      </c>
      <c r="BH1981" s="14">
        <f>SUMIFS(BG$4:BG1981,AU$4:AU1981,"="&amp;AU1981,AY$4:AY1981,"="&amp;AY1981)</f>
        <v>2547</v>
      </c>
      <c r="BI1981" s="25" t="s">
        <v>1158</v>
      </c>
      <c r="BJ1981" s="14">
        <f t="shared" si="429"/>
        <v>27600</v>
      </c>
      <c r="BK1981" s="14">
        <f>SUMIFS(BJ$4:BJ1981,$AU$4:$AU1981,"="&amp;$AU1981,$AY$4:$AY1981,"="&amp;$AY1981)</f>
        <v>101880</v>
      </c>
    </row>
    <row r="1982" spans="46:63" ht="16.5" x14ac:dyDescent="0.2">
      <c r="AT1982" s="13">
        <v>1979</v>
      </c>
      <c r="AU1982" s="13">
        <f t="shared" si="421"/>
        <v>25</v>
      </c>
      <c r="AV1982" s="14">
        <f t="shared" si="422"/>
        <v>299606</v>
      </c>
      <c r="AW1982" s="14">
        <f t="shared" si="423"/>
        <v>1102996</v>
      </c>
      <c r="AX1982" s="13" t="s">
        <v>1127</v>
      </c>
      <c r="AY1982" s="13">
        <f t="shared" si="424"/>
        <v>6</v>
      </c>
      <c r="AZ1982" s="13" t="s">
        <v>1148</v>
      </c>
      <c r="BA1982" s="14">
        <f t="shared" si="425"/>
        <v>8</v>
      </c>
      <c r="BB1982" s="14" t="str">
        <f t="shared" si="426"/>
        <v>UR守护灵魂珠-6 等级-8</v>
      </c>
      <c r="BC1982" s="25" t="s">
        <v>44</v>
      </c>
      <c r="BD1982" s="14">
        <f t="shared" si="427"/>
        <v>1950</v>
      </c>
      <c r="BE1982" s="14">
        <f>SUMIFS(BD$4:BD1982,$AU$4:$AU1982,"="&amp;$AU1982,$AY$4:$AY1982,"="&amp;$AY1982)</f>
        <v>8318</v>
      </c>
      <c r="BF1982" s="25" t="s">
        <v>1157</v>
      </c>
      <c r="BG1982" s="14">
        <f t="shared" si="428"/>
        <v>780</v>
      </c>
      <c r="BH1982" s="14">
        <f>SUMIFS(BG$4:BG1982,AU$4:AU1982,"="&amp;AU1982,AY$4:AY1982,"="&amp;AY1982)</f>
        <v>3327</v>
      </c>
      <c r="BI1982" s="25" t="s">
        <v>1158</v>
      </c>
      <c r="BJ1982" s="14">
        <f t="shared" si="429"/>
        <v>31200</v>
      </c>
      <c r="BK1982" s="14">
        <f>SUMIFS(BJ$4:BJ1982,$AU$4:$AU1982,"="&amp;$AU1982,$AY$4:$AY1982,"="&amp;$AY1982)</f>
        <v>133080</v>
      </c>
    </row>
    <row r="1983" spans="46:63" ht="16.5" x14ac:dyDescent="0.2">
      <c r="AT1983" s="13">
        <v>1980</v>
      </c>
      <c r="AU1983" s="13">
        <f t="shared" si="421"/>
        <v>25</v>
      </c>
      <c r="AV1983" s="14">
        <f t="shared" si="422"/>
        <v>299606</v>
      </c>
      <c r="AW1983" s="14">
        <f t="shared" si="423"/>
        <v>1102996</v>
      </c>
      <c r="AX1983" s="13" t="s">
        <v>1127</v>
      </c>
      <c r="AY1983" s="13">
        <f t="shared" si="424"/>
        <v>6</v>
      </c>
      <c r="AZ1983" s="13" t="s">
        <v>1148</v>
      </c>
      <c r="BA1983" s="14">
        <f t="shared" si="425"/>
        <v>9</v>
      </c>
      <c r="BB1983" s="14" t="str">
        <f t="shared" si="426"/>
        <v>UR守护灵魂珠-6 等级-9</v>
      </c>
      <c r="BC1983" s="25" t="s">
        <v>44</v>
      </c>
      <c r="BD1983" s="14">
        <f t="shared" si="427"/>
        <v>2250</v>
      </c>
      <c r="BE1983" s="14">
        <f>SUMIFS(BD$4:BD1983,$AU$4:$AU1983,"="&amp;$AU1983,$AY$4:$AY1983,"="&amp;$AY1983)</f>
        <v>10568</v>
      </c>
      <c r="BF1983" s="25" t="s">
        <v>1157</v>
      </c>
      <c r="BG1983" s="14">
        <f t="shared" si="428"/>
        <v>900</v>
      </c>
      <c r="BH1983" s="14">
        <f>SUMIFS(BG$4:BG1983,AU$4:AU1983,"="&amp;AU1983,AY$4:AY1983,"="&amp;AY1983)</f>
        <v>4227</v>
      </c>
      <c r="BI1983" s="25" t="s">
        <v>1158</v>
      </c>
      <c r="BJ1983" s="14">
        <f t="shared" si="429"/>
        <v>36000</v>
      </c>
      <c r="BK1983" s="14">
        <f>SUMIFS(BJ$4:BJ1983,$AU$4:$AU1983,"="&amp;$AU1983,$AY$4:$AY1983,"="&amp;$AY1983)</f>
        <v>169080</v>
      </c>
    </row>
    <row r="1984" spans="46:63" ht="16.5" x14ac:dyDescent="0.2">
      <c r="AT1984" s="13">
        <v>1981</v>
      </c>
      <c r="AU1984" s="13">
        <f t="shared" si="421"/>
        <v>25</v>
      </c>
      <c r="AV1984" s="14">
        <f t="shared" si="422"/>
        <v>299607</v>
      </c>
      <c r="AW1984" s="14">
        <f t="shared" si="423"/>
        <v>1102996</v>
      </c>
      <c r="AX1984" s="13" t="s">
        <v>1127</v>
      </c>
      <c r="AY1984" s="13">
        <f t="shared" si="424"/>
        <v>7</v>
      </c>
      <c r="AZ1984" s="13" t="s">
        <v>1148</v>
      </c>
      <c r="BA1984" s="14">
        <f t="shared" si="425"/>
        <v>0</v>
      </c>
      <c r="BB1984" s="14" t="str">
        <f t="shared" si="426"/>
        <v>UR守护灵魂珠-7 等级-0</v>
      </c>
      <c r="BC1984" s="25" t="s">
        <v>44</v>
      </c>
      <c r="BD1984" s="14">
        <f t="shared" si="427"/>
        <v>0</v>
      </c>
      <c r="BE1984" s="14">
        <f>SUMIFS(BD$4:BD1984,$AU$4:$AU1984,"="&amp;$AU1984,$AY$4:$AY1984,"="&amp;$AY1984)</f>
        <v>0</v>
      </c>
      <c r="BF1984" s="25" t="s">
        <v>1157</v>
      </c>
      <c r="BG1984" s="14">
        <f t="shared" si="428"/>
        <v>0</v>
      </c>
      <c r="BH1984" s="14">
        <f>SUMIFS(BG$4:BG1984,AU$4:AU1984,"="&amp;AU1984,AY$4:AY1984,"="&amp;AY1984)</f>
        <v>0</v>
      </c>
      <c r="BI1984" s="25" t="s">
        <v>1158</v>
      </c>
      <c r="BJ1984" s="14">
        <f t="shared" si="429"/>
        <v>0</v>
      </c>
      <c r="BK1984" s="14">
        <f>SUMIFS(BJ$4:BJ1984,$AU$4:$AU1984,"="&amp;$AU1984,$AY$4:$AY1984,"="&amp;$AY1984)</f>
        <v>0</v>
      </c>
    </row>
    <row r="1985" spans="46:63" ht="16.5" x14ac:dyDescent="0.2">
      <c r="AT1985" s="13">
        <v>1982</v>
      </c>
      <c r="AU1985" s="13">
        <f t="shared" si="421"/>
        <v>25</v>
      </c>
      <c r="AV1985" s="14">
        <f t="shared" si="422"/>
        <v>299607</v>
      </c>
      <c r="AW1985" s="14">
        <f t="shared" si="423"/>
        <v>1102996</v>
      </c>
      <c r="AX1985" s="13" t="s">
        <v>1127</v>
      </c>
      <c r="AY1985" s="13">
        <f t="shared" si="424"/>
        <v>7</v>
      </c>
      <c r="AZ1985" s="13" t="s">
        <v>1148</v>
      </c>
      <c r="BA1985" s="14">
        <f t="shared" si="425"/>
        <v>1</v>
      </c>
      <c r="BB1985" s="14" t="str">
        <f t="shared" si="426"/>
        <v>UR守护灵魂珠-7 等级-1</v>
      </c>
      <c r="BC1985" s="25" t="s">
        <v>44</v>
      </c>
      <c r="BD1985" s="14">
        <f t="shared" si="427"/>
        <v>360</v>
      </c>
      <c r="BE1985" s="14">
        <f>SUMIFS(BD$4:BD1985,$AU$4:$AU1985,"="&amp;$AU1985,$AY$4:$AY1985,"="&amp;$AY1985)</f>
        <v>360</v>
      </c>
      <c r="BF1985" s="25" t="s">
        <v>1157</v>
      </c>
      <c r="BG1985" s="14">
        <f t="shared" si="428"/>
        <v>144</v>
      </c>
      <c r="BH1985" s="14">
        <f>SUMIFS(BG$4:BG1985,AU$4:AU1985,"="&amp;AU1985,AY$4:AY1985,"="&amp;AY1985)</f>
        <v>144</v>
      </c>
      <c r="BI1985" s="25" t="s">
        <v>1158</v>
      </c>
      <c r="BJ1985" s="14">
        <f t="shared" si="429"/>
        <v>5760</v>
      </c>
      <c r="BK1985" s="14">
        <f>SUMIFS(BJ$4:BJ1985,$AU$4:$AU1985,"="&amp;$AU1985,$AY$4:$AY1985,"="&amp;$AY1985)</f>
        <v>5760</v>
      </c>
    </row>
    <row r="1986" spans="46:63" ht="16.5" x14ac:dyDescent="0.2">
      <c r="AT1986" s="13">
        <v>1983</v>
      </c>
      <c r="AU1986" s="13">
        <f t="shared" si="421"/>
        <v>25</v>
      </c>
      <c r="AV1986" s="14">
        <f t="shared" si="422"/>
        <v>299607</v>
      </c>
      <c r="AW1986" s="14">
        <f t="shared" si="423"/>
        <v>1102996</v>
      </c>
      <c r="AX1986" s="13" t="s">
        <v>1127</v>
      </c>
      <c r="AY1986" s="13">
        <f t="shared" si="424"/>
        <v>7</v>
      </c>
      <c r="AZ1986" s="13" t="s">
        <v>1148</v>
      </c>
      <c r="BA1986" s="14">
        <f t="shared" si="425"/>
        <v>2</v>
      </c>
      <c r="BB1986" s="14" t="str">
        <f t="shared" si="426"/>
        <v>UR守护灵魂珠-7 等级-2</v>
      </c>
      <c r="BC1986" s="25" t="s">
        <v>44</v>
      </c>
      <c r="BD1986" s="14">
        <f t="shared" si="427"/>
        <v>540</v>
      </c>
      <c r="BE1986" s="14">
        <f>SUMIFS(BD$4:BD1986,$AU$4:$AU1986,"="&amp;$AU1986,$AY$4:$AY1986,"="&amp;$AY1986)</f>
        <v>900</v>
      </c>
      <c r="BF1986" s="25" t="s">
        <v>1157</v>
      </c>
      <c r="BG1986" s="14">
        <f t="shared" si="428"/>
        <v>216</v>
      </c>
      <c r="BH1986" s="14">
        <f>SUMIFS(BG$4:BG1986,AU$4:AU1986,"="&amp;AU1986,AY$4:AY1986,"="&amp;AY1986)</f>
        <v>360</v>
      </c>
      <c r="BI1986" s="25" t="s">
        <v>1158</v>
      </c>
      <c r="BJ1986" s="14">
        <f t="shared" si="429"/>
        <v>8640</v>
      </c>
      <c r="BK1986" s="14">
        <f>SUMIFS(BJ$4:BJ1986,$AU$4:$AU1986,"="&amp;$AU1986,$AY$4:$AY1986,"="&amp;$AY1986)</f>
        <v>14400</v>
      </c>
    </row>
    <row r="1987" spans="46:63" ht="16.5" x14ac:dyDescent="0.2">
      <c r="AT1987" s="13">
        <v>1984</v>
      </c>
      <c r="AU1987" s="13">
        <f t="shared" si="421"/>
        <v>25</v>
      </c>
      <c r="AV1987" s="14">
        <f t="shared" si="422"/>
        <v>299607</v>
      </c>
      <c r="AW1987" s="14">
        <f t="shared" si="423"/>
        <v>1102996</v>
      </c>
      <c r="AX1987" s="13" t="s">
        <v>1127</v>
      </c>
      <c r="AY1987" s="13">
        <f t="shared" si="424"/>
        <v>7</v>
      </c>
      <c r="AZ1987" s="13" t="s">
        <v>1148</v>
      </c>
      <c r="BA1987" s="14">
        <f t="shared" si="425"/>
        <v>3</v>
      </c>
      <c r="BB1987" s="14" t="str">
        <f t="shared" si="426"/>
        <v>UR守护灵魂珠-7 等级-3</v>
      </c>
      <c r="BC1987" s="25" t="s">
        <v>44</v>
      </c>
      <c r="BD1987" s="14">
        <f t="shared" si="427"/>
        <v>720</v>
      </c>
      <c r="BE1987" s="14">
        <f>SUMIFS(BD$4:BD1987,$AU$4:$AU1987,"="&amp;$AU1987,$AY$4:$AY1987,"="&amp;$AY1987)</f>
        <v>1620</v>
      </c>
      <c r="BF1987" s="25" t="s">
        <v>1157</v>
      </c>
      <c r="BG1987" s="14">
        <f t="shared" si="428"/>
        <v>288</v>
      </c>
      <c r="BH1987" s="14">
        <f>SUMIFS(BG$4:BG1987,AU$4:AU1987,"="&amp;AU1987,AY$4:AY1987,"="&amp;AY1987)</f>
        <v>648</v>
      </c>
      <c r="BI1987" s="25" t="s">
        <v>1158</v>
      </c>
      <c r="BJ1987" s="14">
        <f t="shared" si="429"/>
        <v>11520</v>
      </c>
      <c r="BK1987" s="14">
        <f>SUMIFS(BJ$4:BJ1987,$AU$4:$AU1987,"="&amp;$AU1987,$AY$4:$AY1987,"="&amp;$AY1987)</f>
        <v>25920</v>
      </c>
    </row>
    <row r="1988" spans="46:63" ht="16.5" x14ac:dyDescent="0.2">
      <c r="AT1988" s="13">
        <v>1985</v>
      </c>
      <c r="AU1988" s="13">
        <f t="shared" si="421"/>
        <v>25</v>
      </c>
      <c r="AV1988" s="14">
        <f t="shared" si="422"/>
        <v>299607</v>
      </c>
      <c r="AW1988" s="14">
        <f t="shared" si="423"/>
        <v>1102996</v>
      </c>
      <c r="AX1988" s="13" t="s">
        <v>1127</v>
      </c>
      <c r="AY1988" s="13">
        <f t="shared" si="424"/>
        <v>7</v>
      </c>
      <c r="AZ1988" s="13" t="s">
        <v>1148</v>
      </c>
      <c r="BA1988" s="14">
        <f t="shared" si="425"/>
        <v>4</v>
      </c>
      <c r="BB1988" s="14" t="str">
        <f t="shared" si="426"/>
        <v>UR守护灵魂珠-7 等级-4</v>
      </c>
      <c r="BC1988" s="25" t="s">
        <v>44</v>
      </c>
      <c r="BD1988" s="14">
        <f t="shared" si="427"/>
        <v>1080</v>
      </c>
      <c r="BE1988" s="14">
        <f>SUMIFS(BD$4:BD1988,$AU$4:$AU1988,"="&amp;$AU1988,$AY$4:$AY1988,"="&amp;$AY1988)</f>
        <v>2700</v>
      </c>
      <c r="BF1988" s="25" t="s">
        <v>1157</v>
      </c>
      <c r="BG1988" s="14">
        <f t="shared" si="428"/>
        <v>432</v>
      </c>
      <c r="BH1988" s="14">
        <f>SUMIFS(BG$4:BG1988,AU$4:AU1988,"="&amp;AU1988,AY$4:AY1988,"="&amp;AY1988)</f>
        <v>1080</v>
      </c>
      <c r="BI1988" s="25" t="s">
        <v>1158</v>
      </c>
      <c r="BJ1988" s="14">
        <f t="shared" si="429"/>
        <v>17280</v>
      </c>
      <c r="BK1988" s="14">
        <f>SUMIFS(BJ$4:BJ1988,$AU$4:$AU1988,"="&amp;$AU1988,$AY$4:$AY1988,"="&amp;$AY1988)</f>
        <v>43200</v>
      </c>
    </row>
    <row r="1989" spans="46:63" ht="16.5" x14ac:dyDescent="0.2">
      <c r="AT1989" s="13">
        <v>1986</v>
      </c>
      <c r="AU1989" s="13">
        <f t="shared" si="421"/>
        <v>25</v>
      </c>
      <c r="AV1989" s="14">
        <f t="shared" si="422"/>
        <v>299607</v>
      </c>
      <c r="AW1989" s="14">
        <f t="shared" si="423"/>
        <v>1102996</v>
      </c>
      <c r="AX1989" s="13" t="s">
        <v>1127</v>
      </c>
      <c r="AY1989" s="13">
        <f t="shared" si="424"/>
        <v>7</v>
      </c>
      <c r="AZ1989" s="13" t="s">
        <v>1148</v>
      </c>
      <c r="BA1989" s="14">
        <f t="shared" si="425"/>
        <v>5</v>
      </c>
      <c r="BB1989" s="14" t="str">
        <f t="shared" si="426"/>
        <v>UR守护灵魂珠-7 等级-5</v>
      </c>
      <c r="BC1989" s="25" t="s">
        <v>44</v>
      </c>
      <c r="BD1989" s="14">
        <f t="shared" si="427"/>
        <v>1440</v>
      </c>
      <c r="BE1989" s="14">
        <f>SUMIFS(BD$4:BD1989,$AU$4:$AU1989,"="&amp;$AU1989,$AY$4:$AY1989,"="&amp;$AY1989)</f>
        <v>4140</v>
      </c>
      <c r="BF1989" s="25" t="s">
        <v>1157</v>
      </c>
      <c r="BG1989" s="14">
        <f t="shared" si="428"/>
        <v>576</v>
      </c>
      <c r="BH1989" s="14">
        <f>SUMIFS(BG$4:BG1989,AU$4:AU1989,"="&amp;AU1989,AY$4:AY1989,"="&amp;AY1989)</f>
        <v>1656</v>
      </c>
      <c r="BI1989" s="25" t="s">
        <v>1158</v>
      </c>
      <c r="BJ1989" s="14">
        <f t="shared" si="429"/>
        <v>23040</v>
      </c>
      <c r="BK1989" s="14">
        <f>SUMIFS(BJ$4:BJ1989,$AU$4:$AU1989,"="&amp;$AU1989,$AY$4:$AY1989,"="&amp;$AY1989)</f>
        <v>66240</v>
      </c>
    </row>
    <row r="1990" spans="46:63" ht="16.5" x14ac:dyDescent="0.2">
      <c r="AT1990" s="13">
        <v>1987</v>
      </c>
      <c r="AU1990" s="13">
        <f t="shared" si="421"/>
        <v>25</v>
      </c>
      <c r="AV1990" s="14">
        <f t="shared" si="422"/>
        <v>299607</v>
      </c>
      <c r="AW1990" s="14">
        <f t="shared" si="423"/>
        <v>1102996</v>
      </c>
      <c r="AX1990" s="13" t="s">
        <v>1127</v>
      </c>
      <c r="AY1990" s="13">
        <f t="shared" si="424"/>
        <v>7</v>
      </c>
      <c r="AZ1990" s="13" t="s">
        <v>1148</v>
      </c>
      <c r="BA1990" s="14">
        <f t="shared" si="425"/>
        <v>6</v>
      </c>
      <c r="BB1990" s="14" t="str">
        <f t="shared" si="426"/>
        <v>UR守护灵魂珠-7 等级-6</v>
      </c>
      <c r="BC1990" s="25" t="s">
        <v>44</v>
      </c>
      <c r="BD1990" s="14">
        <f t="shared" si="427"/>
        <v>1800</v>
      </c>
      <c r="BE1990" s="14">
        <f>SUMIFS(BD$4:BD1990,$AU$4:$AU1990,"="&amp;$AU1990,$AY$4:$AY1990,"="&amp;$AY1990)</f>
        <v>5940</v>
      </c>
      <c r="BF1990" s="25" t="s">
        <v>1157</v>
      </c>
      <c r="BG1990" s="14">
        <f t="shared" si="428"/>
        <v>720</v>
      </c>
      <c r="BH1990" s="14">
        <f>SUMIFS(BG$4:BG1990,AU$4:AU1990,"="&amp;AU1990,AY$4:AY1990,"="&amp;AY1990)</f>
        <v>2376</v>
      </c>
      <c r="BI1990" s="25" t="s">
        <v>1158</v>
      </c>
      <c r="BJ1990" s="14">
        <f t="shared" si="429"/>
        <v>28800</v>
      </c>
      <c r="BK1990" s="14">
        <f>SUMIFS(BJ$4:BJ1990,$AU$4:$AU1990,"="&amp;$AU1990,$AY$4:$AY1990,"="&amp;$AY1990)</f>
        <v>95040</v>
      </c>
    </row>
    <row r="1991" spans="46:63" ht="16.5" x14ac:dyDescent="0.2">
      <c r="AT1991" s="13">
        <v>1988</v>
      </c>
      <c r="AU1991" s="13">
        <f t="shared" si="421"/>
        <v>25</v>
      </c>
      <c r="AV1991" s="14">
        <f t="shared" si="422"/>
        <v>299607</v>
      </c>
      <c r="AW1991" s="14">
        <f t="shared" si="423"/>
        <v>1102996</v>
      </c>
      <c r="AX1991" s="13" t="s">
        <v>1127</v>
      </c>
      <c r="AY1991" s="13">
        <f t="shared" si="424"/>
        <v>7</v>
      </c>
      <c r="AZ1991" s="13" t="s">
        <v>1148</v>
      </c>
      <c r="BA1991" s="14">
        <f t="shared" si="425"/>
        <v>7</v>
      </c>
      <c r="BB1991" s="14" t="str">
        <f t="shared" si="426"/>
        <v>UR守护灵魂珠-7 等级-7</v>
      </c>
      <c r="BC1991" s="25" t="s">
        <v>44</v>
      </c>
      <c r="BD1991" s="14">
        <f t="shared" si="427"/>
        <v>2160</v>
      </c>
      <c r="BE1991" s="14">
        <f>SUMIFS(BD$4:BD1991,$AU$4:$AU1991,"="&amp;$AU1991,$AY$4:$AY1991,"="&amp;$AY1991)</f>
        <v>8100</v>
      </c>
      <c r="BF1991" s="25" t="s">
        <v>1157</v>
      </c>
      <c r="BG1991" s="14">
        <f t="shared" si="428"/>
        <v>864</v>
      </c>
      <c r="BH1991" s="14">
        <f>SUMIFS(BG$4:BG1991,AU$4:AU1991,"="&amp;AU1991,AY$4:AY1991,"="&amp;AY1991)</f>
        <v>3240</v>
      </c>
      <c r="BI1991" s="25" t="s">
        <v>1158</v>
      </c>
      <c r="BJ1991" s="14">
        <f t="shared" si="429"/>
        <v>34560</v>
      </c>
      <c r="BK1991" s="14">
        <f>SUMIFS(BJ$4:BJ1991,$AU$4:$AU1991,"="&amp;$AU1991,$AY$4:$AY1991,"="&amp;$AY1991)</f>
        <v>129600</v>
      </c>
    </row>
    <row r="1992" spans="46:63" ht="16.5" x14ac:dyDescent="0.2">
      <c r="AT1992" s="13">
        <v>1989</v>
      </c>
      <c r="AU1992" s="13">
        <f t="shared" si="421"/>
        <v>25</v>
      </c>
      <c r="AV1992" s="14">
        <f t="shared" si="422"/>
        <v>299607</v>
      </c>
      <c r="AW1992" s="14">
        <f t="shared" si="423"/>
        <v>1102996</v>
      </c>
      <c r="AX1992" s="13" t="s">
        <v>1127</v>
      </c>
      <c r="AY1992" s="13">
        <f t="shared" si="424"/>
        <v>7</v>
      </c>
      <c r="AZ1992" s="13" t="s">
        <v>1148</v>
      </c>
      <c r="BA1992" s="14">
        <f t="shared" si="425"/>
        <v>8</v>
      </c>
      <c r="BB1992" s="14" t="str">
        <f t="shared" si="426"/>
        <v>UR守护灵魂珠-7 等级-8</v>
      </c>
      <c r="BC1992" s="25" t="s">
        <v>44</v>
      </c>
      <c r="BD1992" s="14">
        <f t="shared" si="427"/>
        <v>2520</v>
      </c>
      <c r="BE1992" s="14">
        <f>SUMIFS(BD$4:BD1992,$AU$4:$AU1992,"="&amp;$AU1992,$AY$4:$AY1992,"="&amp;$AY1992)</f>
        <v>10620</v>
      </c>
      <c r="BF1992" s="25" t="s">
        <v>1157</v>
      </c>
      <c r="BG1992" s="14">
        <f t="shared" si="428"/>
        <v>1008</v>
      </c>
      <c r="BH1992" s="14">
        <f>SUMIFS(BG$4:BG1992,AU$4:AU1992,"="&amp;AU1992,AY$4:AY1992,"="&amp;AY1992)</f>
        <v>4248</v>
      </c>
      <c r="BI1992" s="25" t="s">
        <v>1158</v>
      </c>
      <c r="BJ1992" s="14">
        <f t="shared" si="429"/>
        <v>40320</v>
      </c>
      <c r="BK1992" s="14">
        <f>SUMIFS(BJ$4:BJ1992,$AU$4:$AU1992,"="&amp;$AU1992,$AY$4:$AY1992,"="&amp;$AY1992)</f>
        <v>169920</v>
      </c>
    </row>
    <row r="1993" spans="46:63" ht="16.5" x14ac:dyDescent="0.2">
      <c r="AT1993" s="13">
        <v>1990</v>
      </c>
      <c r="AU1993" s="13">
        <f t="shared" si="421"/>
        <v>25</v>
      </c>
      <c r="AV1993" s="14">
        <f t="shared" si="422"/>
        <v>299607</v>
      </c>
      <c r="AW1993" s="14">
        <f t="shared" si="423"/>
        <v>1102996</v>
      </c>
      <c r="AX1993" s="13" t="s">
        <v>1127</v>
      </c>
      <c r="AY1993" s="13">
        <f t="shared" si="424"/>
        <v>7</v>
      </c>
      <c r="AZ1993" s="13" t="s">
        <v>1148</v>
      </c>
      <c r="BA1993" s="14">
        <f t="shared" si="425"/>
        <v>9</v>
      </c>
      <c r="BB1993" s="14" t="str">
        <f t="shared" si="426"/>
        <v>UR守护灵魂珠-7 等级-9</v>
      </c>
      <c r="BC1993" s="25" t="s">
        <v>44</v>
      </c>
      <c r="BD1993" s="14">
        <f t="shared" si="427"/>
        <v>2880</v>
      </c>
      <c r="BE1993" s="14">
        <f>SUMIFS(BD$4:BD1993,$AU$4:$AU1993,"="&amp;$AU1993,$AY$4:$AY1993,"="&amp;$AY1993)</f>
        <v>13500</v>
      </c>
      <c r="BF1993" s="25" t="s">
        <v>1157</v>
      </c>
      <c r="BG1993" s="14">
        <f t="shared" si="428"/>
        <v>1152</v>
      </c>
      <c r="BH1993" s="14">
        <f>SUMIFS(BG$4:BG1993,AU$4:AU1993,"="&amp;AU1993,AY$4:AY1993,"="&amp;AY1993)</f>
        <v>5400</v>
      </c>
      <c r="BI1993" s="25" t="s">
        <v>1158</v>
      </c>
      <c r="BJ1993" s="14">
        <f t="shared" si="429"/>
        <v>46080</v>
      </c>
      <c r="BK1993" s="14">
        <f>SUMIFS(BJ$4:BJ1993,$AU$4:$AU1993,"="&amp;$AU1993,$AY$4:$AY1993,"="&amp;$AY1993)</f>
        <v>216000</v>
      </c>
    </row>
    <row r="1994" spans="46:63" ht="16.5" x14ac:dyDescent="0.2">
      <c r="AT1994" s="13">
        <v>1991</v>
      </c>
      <c r="AU1994" s="13">
        <f t="shared" si="421"/>
        <v>25</v>
      </c>
      <c r="AV1994" s="14">
        <f t="shared" si="422"/>
        <v>299608</v>
      </c>
      <c r="AW1994" s="14">
        <f t="shared" si="423"/>
        <v>1102996</v>
      </c>
      <c r="AX1994" s="13" t="s">
        <v>1127</v>
      </c>
      <c r="AY1994" s="13">
        <f t="shared" si="424"/>
        <v>8</v>
      </c>
      <c r="AZ1994" s="13" t="s">
        <v>1148</v>
      </c>
      <c r="BA1994" s="14">
        <f t="shared" si="425"/>
        <v>0</v>
      </c>
      <c r="BB1994" s="14" t="str">
        <f t="shared" si="426"/>
        <v>UR守护灵魂珠-8 等级-0</v>
      </c>
      <c r="BC1994" s="25" t="s">
        <v>44</v>
      </c>
      <c r="BD1994" s="14">
        <f t="shared" si="427"/>
        <v>0</v>
      </c>
      <c r="BE1994" s="14">
        <f>SUMIFS(BD$4:BD1994,$AU$4:$AU1994,"="&amp;$AU1994,$AY$4:$AY1994,"="&amp;$AY1994)</f>
        <v>0</v>
      </c>
      <c r="BF1994" s="25" t="s">
        <v>1157</v>
      </c>
      <c r="BG1994" s="14">
        <f t="shared" si="428"/>
        <v>0</v>
      </c>
      <c r="BH1994" s="14">
        <f>SUMIFS(BG$4:BG1994,AU$4:AU1994,"="&amp;AU1994,AY$4:AY1994,"="&amp;AY1994)</f>
        <v>0</v>
      </c>
      <c r="BI1994" s="25" t="s">
        <v>1158</v>
      </c>
      <c r="BJ1994" s="14">
        <f t="shared" si="429"/>
        <v>0</v>
      </c>
      <c r="BK1994" s="14">
        <f>SUMIFS(BJ$4:BJ1994,$AU$4:$AU1994,"="&amp;$AU1994,$AY$4:$AY1994,"="&amp;$AY1994)</f>
        <v>0</v>
      </c>
    </row>
    <row r="1995" spans="46:63" ht="16.5" x14ac:dyDescent="0.2">
      <c r="AT1995" s="13">
        <v>1992</v>
      </c>
      <c r="AU1995" s="13">
        <f t="shared" si="421"/>
        <v>25</v>
      </c>
      <c r="AV1995" s="14">
        <f t="shared" si="422"/>
        <v>299608</v>
      </c>
      <c r="AW1995" s="14">
        <f t="shared" si="423"/>
        <v>1102996</v>
      </c>
      <c r="AX1995" s="13" t="s">
        <v>1127</v>
      </c>
      <c r="AY1995" s="13">
        <f t="shared" si="424"/>
        <v>8</v>
      </c>
      <c r="AZ1995" s="13" t="s">
        <v>1148</v>
      </c>
      <c r="BA1995" s="14">
        <f t="shared" si="425"/>
        <v>1</v>
      </c>
      <c r="BB1995" s="14" t="str">
        <f t="shared" si="426"/>
        <v>UR守护灵魂珠-8 等级-1</v>
      </c>
      <c r="BC1995" s="25" t="s">
        <v>44</v>
      </c>
      <c r="BD1995" s="14">
        <f t="shared" si="427"/>
        <v>480</v>
      </c>
      <c r="BE1995" s="14">
        <f>SUMIFS(BD$4:BD1995,$AU$4:$AU1995,"="&amp;$AU1995,$AY$4:$AY1995,"="&amp;$AY1995)</f>
        <v>480</v>
      </c>
      <c r="BF1995" s="25" t="s">
        <v>1157</v>
      </c>
      <c r="BG1995" s="14">
        <f t="shared" si="428"/>
        <v>192</v>
      </c>
      <c r="BH1995" s="14">
        <f>SUMIFS(BG$4:BG1995,AU$4:AU1995,"="&amp;AU1995,AY$4:AY1995,"="&amp;AY1995)</f>
        <v>192</v>
      </c>
      <c r="BI1995" s="25" t="s">
        <v>1158</v>
      </c>
      <c r="BJ1995" s="14">
        <f t="shared" si="429"/>
        <v>7680</v>
      </c>
      <c r="BK1995" s="14">
        <f>SUMIFS(BJ$4:BJ1995,$AU$4:$AU1995,"="&amp;$AU1995,$AY$4:$AY1995,"="&amp;$AY1995)</f>
        <v>7680</v>
      </c>
    </row>
    <row r="1996" spans="46:63" ht="16.5" x14ac:dyDescent="0.2">
      <c r="AT1996" s="13">
        <v>1993</v>
      </c>
      <c r="AU1996" s="13">
        <f t="shared" si="421"/>
        <v>25</v>
      </c>
      <c r="AV1996" s="14">
        <f t="shared" si="422"/>
        <v>299608</v>
      </c>
      <c r="AW1996" s="14">
        <f t="shared" si="423"/>
        <v>1102996</v>
      </c>
      <c r="AX1996" s="13" t="s">
        <v>1127</v>
      </c>
      <c r="AY1996" s="13">
        <f t="shared" si="424"/>
        <v>8</v>
      </c>
      <c r="AZ1996" s="13" t="s">
        <v>1148</v>
      </c>
      <c r="BA1996" s="14">
        <f t="shared" si="425"/>
        <v>2</v>
      </c>
      <c r="BB1996" s="14" t="str">
        <f t="shared" si="426"/>
        <v>UR守护灵魂珠-8 等级-2</v>
      </c>
      <c r="BC1996" s="25" t="s">
        <v>44</v>
      </c>
      <c r="BD1996" s="14">
        <f t="shared" si="427"/>
        <v>720</v>
      </c>
      <c r="BE1996" s="14">
        <f>SUMIFS(BD$4:BD1996,$AU$4:$AU1996,"="&amp;$AU1996,$AY$4:$AY1996,"="&amp;$AY1996)</f>
        <v>1200</v>
      </c>
      <c r="BF1996" s="25" t="s">
        <v>1157</v>
      </c>
      <c r="BG1996" s="14">
        <f t="shared" si="428"/>
        <v>288</v>
      </c>
      <c r="BH1996" s="14">
        <f>SUMIFS(BG$4:BG1996,AU$4:AU1996,"="&amp;AU1996,AY$4:AY1996,"="&amp;AY1996)</f>
        <v>480</v>
      </c>
      <c r="BI1996" s="25" t="s">
        <v>1158</v>
      </c>
      <c r="BJ1996" s="14">
        <f t="shared" si="429"/>
        <v>11520</v>
      </c>
      <c r="BK1996" s="14">
        <f>SUMIFS(BJ$4:BJ1996,$AU$4:$AU1996,"="&amp;$AU1996,$AY$4:$AY1996,"="&amp;$AY1996)</f>
        <v>19200</v>
      </c>
    </row>
    <row r="1997" spans="46:63" ht="16.5" x14ac:dyDescent="0.2">
      <c r="AT1997" s="13">
        <v>1994</v>
      </c>
      <c r="AU1997" s="13">
        <f t="shared" si="421"/>
        <v>25</v>
      </c>
      <c r="AV1997" s="14">
        <f t="shared" si="422"/>
        <v>299608</v>
      </c>
      <c r="AW1997" s="14">
        <f t="shared" si="423"/>
        <v>1102996</v>
      </c>
      <c r="AX1997" s="13" t="s">
        <v>1127</v>
      </c>
      <c r="AY1997" s="13">
        <f t="shared" si="424"/>
        <v>8</v>
      </c>
      <c r="AZ1997" s="13" t="s">
        <v>1148</v>
      </c>
      <c r="BA1997" s="14">
        <f t="shared" si="425"/>
        <v>3</v>
      </c>
      <c r="BB1997" s="14" t="str">
        <f t="shared" si="426"/>
        <v>UR守护灵魂珠-8 等级-3</v>
      </c>
      <c r="BC1997" s="25" t="s">
        <v>44</v>
      </c>
      <c r="BD1997" s="14">
        <f t="shared" si="427"/>
        <v>960</v>
      </c>
      <c r="BE1997" s="14">
        <f>SUMIFS(BD$4:BD1997,$AU$4:$AU1997,"="&amp;$AU1997,$AY$4:$AY1997,"="&amp;$AY1997)</f>
        <v>2160</v>
      </c>
      <c r="BF1997" s="25" t="s">
        <v>1157</v>
      </c>
      <c r="BG1997" s="14">
        <f t="shared" si="428"/>
        <v>384</v>
      </c>
      <c r="BH1997" s="14">
        <f>SUMIFS(BG$4:BG1997,AU$4:AU1997,"="&amp;AU1997,AY$4:AY1997,"="&amp;AY1997)</f>
        <v>864</v>
      </c>
      <c r="BI1997" s="25" t="s">
        <v>1158</v>
      </c>
      <c r="BJ1997" s="14">
        <f t="shared" si="429"/>
        <v>15360</v>
      </c>
      <c r="BK1997" s="14">
        <f>SUMIFS(BJ$4:BJ1997,$AU$4:$AU1997,"="&amp;$AU1997,$AY$4:$AY1997,"="&amp;$AY1997)</f>
        <v>34560</v>
      </c>
    </row>
    <row r="1998" spans="46:63" ht="16.5" x14ac:dyDescent="0.2">
      <c r="AT1998" s="13">
        <v>1995</v>
      </c>
      <c r="AU1998" s="13">
        <f t="shared" si="421"/>
        <v>25</v>
      </c>
      <c r="AV1998" s="14">
        <f t="shared" si="422"/>
        <v>299608</v>
      </c>
      <c r="AW1998" s="14">
        <f t="shared" si="423"/>
        <v>1102996</v>
      </c>
      <c r="AX1998" s="13" t="s">
        <v>1127</v>
      </c>
      <c r="AY1998" s="13">
        <f t="shared" si="424"/>
        <v>8</v>
      </c>
      <c r="AZ1998" s="13" t="s">
        <v>1148</v>
      </c>
      <c r="BA1998" s="14">
        <f t="shared" si="425"/>
        <v>4</v>
      </c>
      <c r="BB1998" s="14" t="str">
        <f t="shared" si="426"/>
        <v>UR守护灵魂珠-8 等级-4</v>
      </c>
      <c r="BC1998" s="25" t="s">
        <v>44</v>
      </c>
      <c r="BD1998" s="14">
        <f t="shared" si="427"/>
        <v>1440</v>
      </c>
      <c r="BE1998" s="14">
        <f>SUMIFS(BD$4:BD1998,$AU$4:$AU1998,"="&amp;$AU1998,$AY$4:$AY1998,"="&amp;$AY1998)</f>
        <v>3600</v>
      </c>
      <c r="BF1998" s="25" t="s">
        <v>1157</v>
      </c>
      <c r="BG1998" s="14">
        <f t="shared" si="428"/>
        <v>576</v>
      </c>
      <c r="BH1998" s="14">
        <f>SUMIFS(BG$4:BG1998,AU$4:AU1998,"="&amp;AU1998,AY$4:AY1998,"="&amp;AY1998)</f>
        <v>1440</v>
      </c>
      <c r="BI1998" s="25" t="s">
        <v>1158</v>
      </c>
      <c r="BJ1998" s="14">
        <f t="shared" si="429"/>
        <v>23040</v>
      </c>
      <c r="BK1998" s="14">
        <f>SUMIFS(BJ$4:BJ1998,$AU$4:$AU1998,"="&amp;$AU1998,$AY$4:$AY1998,"="&amp;$AY1998)</f>
        <v>57600</v>
      </c>
    </row>
    <row r="1999" spans="46:63" ht="16.5" x14ac:dyDescent="0.2">
      <c r="AT1999" s="13">
        <v>1996</v>
      </c>
      <c r="AU1999" s="13">
        <f t="shared" si="421"/>
        <v>25</v>
      </c>
      <c r="AV1999" s="14">
        <f t="shared" si="422"/>
        <v>299608</v>
      </c>
      <c r="AW1999" s="14">
        <f t="shared" si="423"/>
        <v>1102996</v>
      </c>
      <c r="AX1999" s="13" t="s">
        <v>1127</v>
      </c>
      <c r="AY1999" s="13">
        <f t="shared" si="424"/>
        <v>8</v>
      </c>
      <c r="AZ1999" s="13" t="s">
        <v>1148</v>
      </c>
      <c r="BA1999" s="14">
        <f t="shared" si="425"/>
        <v>5</v>
      </c>
      <c r="BB1999" s="14" t="str">
        <f t="shared" si="426"/>
        <v>UR守护灵魂珠-8 等级-5</v>
      </c>
      <c r="BC1999" s="25" t="s">
        <v>44</v>
      </c>
      <c r="BD1999" s="14">
        <f t="shared" si="427"/>
        <v>1920</v>
      </c>
      <c r="BE1999" s="14">
        <f>SUMIFS(BD$4:BD1999,$AU$4:$AU1999,"="&amp;$AU1999,$AY$4:$AY1999,"="&amp;$AY1999)</f>
        <v>5520</v>
      </c>
      <c r="BF1999" s="25" t="s">
        <v>1157</v>
      </c>
      <c r="BG1999" s="14">
        <f t="shared" si="428"/>
        <v>768</v>
      </c>
      <c r="BH1999" s="14">
        <f>SUMIFS(BG$4:BG1999,AU$4:AU1999,"="&amp;AU1999,AY$4:AY1999,"="&amp;AY1999)</f>
        <v>2208</v>
      </c>
      <c r="BI1999" s="25" t="s">
        <v>1158</v>
      </c>
      <c r="BJ1999" s="14">
        <f t="shared" si="429"/>
        <v>30720</v>
      </c>
      <c r="BK1999" s="14">
        <f>SUMIFS(BJ$4:BJ1999,$AU$4:$AU1999,"="&amp;$AU1999,$AY$4:$AY1999,"="&amp;$AY1999)</f>
        <v>88320</v>
      </c>
    </row>
    <row r="2000" spans="46:63" ht="16.5" x14ac:dyDescent="0.2">
      <c r="AT2000" s="13">
        <v>1997</v>
      </c>
      <c r="AU2000" s="13">
        <f t="shared" si="421"/>
        <v>25</v>
      </c>
      <c r="AV2000" s="14">
        <f t="shared" si="422"/>
        <v>299608</v>
      </c>
      <c r="AW2000" s="14">
        <f t="shared" si="423"/>
        <v>1102996</v>
      </c>
      <c r="AX2000" s="13" t="s">
        <v>1127</v>
      </c>
      <c r="AY2000" s="13">
        <f t="shared" si="424"/>
        <v>8</v>
      </c>
      <c r="AZ2000" s="13" t="s">
        <v>1148</v>
      </c>
      <c r="BA2000" s="14">
        <f t="shared" si="425"/>
        <v>6</v>
      </c>
      <c r="BB2000" s="14" t="str">
        <f t="shared" si="426"/>
        <v>UR守护灵魂珠-8 等级-6</v>
      </c>
      <c r="BC2000" s="25" t="s">
        <v>44</v>
      </c>
      <c r="BD2000" s="14">
        <f t="shared" si="427"/>
        <v>2400</v>
      </c>
      <c r="BE2000" s="14">
        <f>SUMIFS(BD$4:BD2000,$AU$4:$AU2000,"="&amp;$AU2000,$AY$4:$AY2000,"="&amp;$AY2000)</f>
        <v>7920</v>
      </c>
      <c r="BF2000" s="25" t="s">
        <v>1157</v>
      </c>
      <c r="BG2000" s="14">
        <f t="shared" si="428"/>
        <v>960</v>
      </c>
      <c r="BH2000" s="14">
        <f>SUMIFS(BG$4:BG2000,AU$4:AU2000,"="&amp;AU2000,AY$4:AY2000,"="&amp;AY2000)</f>
        <v>3168</v>
      </c>
      <c r="BI2000" s="25" t="s">
        <v>1158</v>
      </c>
      <c r="BJ2000" s="14">
        <f t="shared" si="429"/>
        <v>38400</v>
      </c>
      <c r="BK2000" s="14">
        <f>SUMIFS(BJ$4:BJ2000,$AU$4:$AU2000,"="&amp;$AU2000,$AY$4:$AY2000,"="&amp;$AY2000)</f>
        <v>126720</v>
      </c>
    </row>
    <row r="2001" spans="46:63" ht="16.5" x14ac:dyDescent="0.2">
      <c r="AT2001" s="13">
        <v>1998</v>
      </c>
      <c r="AU2001" s="13">
        <f t="shared" si="421"/>
        <v>25</v>
      </c>
      <c r="AV2001" s="14">
        <f t="shared" si="422"/>
        <v>299608</v>
      </c>
      <c r="AW2001" s="14">
        <f t="shared" si="423"/>
        <v>1102996</v>
      </c>
      <c r="AX2001" s="13" t="s">
        <v>1127</v>
      </c>
      <c r="AY2001" s="13">
        <f t="shared" si="424"/>
        <v>8</v>
      </c>
      <c r="AZ2001" s="13" t="s">
        <v>1148</v>
      </c>
      <c r="BA2001" s="14">
        <f t="shared" si="425"/>
        <v>7</v>
      </c>
      <c r="BB2001" s="14" t="str">
        <f t="shared" si="426"/>
        <v>UR守护灵魂珠-8 等级-7</v>
      </c>
      <c r="BC2001" s="25" t="s">
        <v>44</v>
      </c>
      <c r="BD2001" s="14">
        <f t="shared" si="427"/>
        <v>2880</v>
      </c>
      <c r="BE2001" s="14">
        <f>SUMIFS(BD$4:BD2001,$AU$4:$AU2001,"="&amp;$AU2001,$AY$4:$AY2001,"="&amp;$AY2001)</f>
        <v>10800</v>
      </c>
      <c r="BF2001" s="25" t="s">
        <v>1157</v>
      </c>
      <c r="BG2001" s="14">
        <f t="shared" si="428"/>
        <v>1152</v>
      </c>
      <c r="BH2001" s="14">
        <f>SUMIFS(BG$4:BG2001,AU$4:AU2001,"="&amp;AU2001,AY$4:AY2001,"="&amp;AY2001)</f>
        <v>4320</v>
      </c>
      <c r="BI2001" s="25" t="s">
        <v>1158</v>
      </c>
      <c r="BJ2001" s="14">
        <f t="shared" si="429"/>
        <v>46080</v>
      </c>
      <c r="BK2001" s="14">
        <f>SUMIFS(BJ$4:BJ2001,$AU$4:$AU2001,"="&amp;$AU2001,$AY$4:$AY2001,"="&amp;$AY2001)</f>
        <v>172800</v>
      </c>
    </row>
    <row r="2002" spans="46:63" ht="16.5" x14ac:dyDescent="0.2">
      <c r="AT2002" s="13">
        <v>1999</v>
      </c>
      <c r="AU2002" s="13">
        <f t="shared" si="421"/>
        <v>25</v>
      </c>
      <c r="AV2002" s="14">
        <f t="shared" si="422"/>
        <v>299608</v>
      </c>
      <c r="AW2002" s="14">
        <f t="shared" si="423"/>
        <v>1102996</v>
      </c>
      <c r="AX2002" s="13" t="s">
        <v>1127</v>
      </c>
      <c r="AY2002" s="13">
        <f t="shared" si="424"/>
        <v>8</v>
      </c>
      <c r="AZ2002" s="13" t="s">
        <v>1148</v>
      </c>
      <c r="BA2002" s="14">
        <f t="shared" si="425"/>
        <v>8</v>
      </c>
      <c r="BB2002" s="14" t="str">
        <f t="shared" si="426"/>
        <v>UR守护灵魂珠-8 等级-8</v>
      </c>
      <c r="BC2002" s="25" t="s">
        <v>44</v>
      </c>
      <c r="BD2002" s="14">
        <f t="shared" si="427"/>
        <v>3360</v>
      </c>
      <c r="BE2002" s="14">
        <f>SUMIFS(BD$4:BD2002,$AU$4:$AU2002,"="&amp;$AU2002,$AY$4:$AY2002,"="&amp;$AY2002)</f>
        <v>14160</v>
      </c>
      <c r="BF2002" s="25" t="s">
        <v>1157</v>
      </c>
      <c r="BG2002" s="14">
        <f t="shared" si="428"/>
        <v>1344</v>
      </c>
      <c r="BH2002" s="14">
        <f>SUMIFS(BG$4:BG2002,AU$4:AU2002,"="&amp;AU2002,AY$4:AY2002,"="&amp;AY2002)</f>
        <v>5664</v>
      </c>
      <c r="BI2002" s="25" t="s">
        <v>1158</v>
      </c>
      <c r="BJ2002" s="14">
        <f t="shared" si="429"/>
        <v>53760</v>
      </c>
      <c r="BK2002" s="14">
        <f>SUMIFS(BJ$4:BJ2002,$AU$4:$AU2002,"="&amp;$AU2002,$AY$4:$AY2002,"="&amp;$AY2002)</f>
        <v>226560</v>
      </c>
    </row>
    <row r="2003" spans="46:63" ht="16.5" x14ac:dyDescent="0.2">
      <c r="AT2003" s="13">
        <v>2000</v>
      </c>
      <c r="AU2003" s="13">
        <f t="shared" si="421"/>
        <v>25</v>
      </c>
      <c r="AV2003" s="14">
        <f t="shared" si="422"/>
        <v>299608</v>
      </c>
      <c r="AW2003" s="14">
        <f t="shared" si="423"/>
        <v>1102996</v>
      </c>
      <c r="AX2003" s="13" t="s">
        <v>1127</v>
      </c>
      <c r="AY2003" s="13">
        <f t="shared" si="424"/>
        <v>8</v>
      </c>
      <c r="AZ2003" s="13" t="s">
        <v>1148</v>
      </c>
      <c r="BA2003" s="14">
        <f t="shared" si="425"/>
        <v>9</v>
      </c>
      <c r="BB2003" s="14" t="str">
        <f t="shared" si="426"/>
        <v>UR守护灵魂珠-8 等级-9</v>
      </c>
      <c r="BC2003" s="25" t="s">
        <v>44</v>
      </c>
      <c r="BD2003" s="14">
        <f t="shared" si="427"/>
        <v>3840</v>
      </c>
      <c r="BE2003" s="14">
        <f>SUMIFS(BD$4:BD2003,$AU$4:$AU2003,"="&amp;$AU2003,$AY$4:$AY2003,"="&amp;$AY2003)</f>
        <v>18000</v>
      </c>
      <c r="BF2003" s="25" t="s">
        <v>1157</v>
      </c>
      <c r="BG2003" s="14">
        <f t="shared" si="428"/>
        <v>1536</v>
      </c>
      <c r="BH2003" s="14">
        <f>SUMIFS(BG$4:BG2003,AU$4:AU2003,"="&amp;AU2003,AY$4:AY2003,"="&amp;AY2003)</f>
        <v>7200</v>
      </c>
      <c r="BI2003" s="25" t="s">
        <v>1158</v>
      </c>
      <c r="BJ2003" s="14">
        <f t="shared" si="429"/>
        <v>61440</v>
      </c>
      <c r="BK2003" s="14">
        <f>SUMIFS(BJ$4:BJ2003,$AU$4:$AU2003,"="&amp;$AU2003,$AY$4:$AY2003,"="&amp;$AY2003)</f>
        <v>288000</v>
      </c>
    </row>
    <row r="2004" spans="46:63" x14ac:dyDescent="0.2"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</row>
    <row r="2005" spans="46:63" x14ac:dyDescent="0.2"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</row>
    <row r="2006" spans="46:63" x14ac:dyDescent="0.2"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</row>
    <row r="2007" spans="46:63" x14ac:dyDescent="0.2"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</row>
    <row r="2008" spans="46:63" x14ac:dyDescent="0.2"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</row>
    <row r="2009" spans="46:63" x14ac:dyDescent="0.2"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</row>
    <row r="2010" spans="46:63" x14ac:dyDescent="0.2"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</row>
    <row r="2011" spans="46:63" x14ac:dyDescent="0.2"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</row>
    <row r="2012" spans="46:63" x14ac:dyDescent="0.2"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</row>
    <row r="2013" spans="46:63" x14ac:dyDescent="0.2"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</row>
    <row r="2014" spans="46:63" x14ac:dyDescent="0.2"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</row>
    <row r="2015" spans="46:63" x14ac:dyDescent="0.2"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</row>
    <row r="2016" spans="46:63" x14ac:dyDescent="0.2"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</row>
    <row r="2017" spans="46:63" x14ac:dyDescent="0.2"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</row>
    <row r="2018" spans="46:63" x14ac:dyDescent="0.2"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</row>
    <row r="2019" spans="46:63" x14ac:dyDescent="0.2"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</row>
    <row r="2020" spans="46:63" x14ac:dyDescent="0.2"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</row>
    <row r="2021" spans="46:63" x14ac:dyDescent="0.2"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</row>
    <row r="2022" spans="46:63" x14ac:dyDescent="0.2"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</row>
    <row r="2023" spans="46:63" x14ac:dyDescent="0.2"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</row>
    <row r="2024" spans="46:63" x14ac:dyDescent="0.2"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</row>
    <row r="2025" spans="46:63" x14ac:dyDescent="0.2"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</row>
    <row r="2026" spans="46:63" x14ac:dyDescent="0.2"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</row>
    <row r="2027" spans="46:63" x14ac:dyDescent="0.2"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</row>
    <row r="2028" spans="46:63" x14ac:dyDescent="0.2"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</row>
    <row r="2029" spans="46:63" x14ac:dyDescent="0.2"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</row>
    <row r="2030" spans="46:63" x14ac:dyDescent="0.2"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</row>
    <row r="2031" spans="46:63" x14ac:dyDescent="0.2"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</row>
    <row r="2032" spans="46:63" x14ac:dyDescent="0.2"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</row>
    <row r="2033" spans="46:63" x14ac:dyDescent="0.2"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</row>
    <row r="2034" spans="46:63" x14ac:dyDescent="0.2"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</row>
    <row r="2035" spans="46:63" x14ac:dyDescent="0.2"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</row>
    <row r="2036" spans="46:63" x14ac:dyDescent="0.2"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</row>
    <row r="2037" spans="46:63" x14ac:dyDescent="0.2"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</row>
    <row r="2038" spans="46:63" x14ac:dyDescent="0.2"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</row>
    <row r="2039" spans="46:63" x14ac:dyDescent="0.2"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</row>
    <row r="2040" spans="46:63" x14ac:dyDescent="0.2"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</row>
    <row r="2041" spans="46:63" x14ac:dyDescent="0.2"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</row>
    <row r="2042" spans="46:63" x14ac:dyDescent="0.2"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</row>
    <row r="2043" spans="46:63" x14ac:dyDescent="0.2"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</row>
    <row r="2044" spans="46:63" x14ac:dyDescent="0.2"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</row>
    <row r="2045" spans="46:63" x14ac:dyDescent="0.2"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</row>
    <row r="2046" spans="46:63" x14ac:dyDescent="0.2"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</row>
    <row r="2047" spans="46:63" x14ac:dyDescent="0.2"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</row>
    <row r="2048" spans="46:63" x14ac:dyDescent="0.2"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</row>
    <row r="2049" spans="46:63" x14ac:dyDescent="0.2"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</row>
    <row r="2050" spans="46:63" x14ac:dyDescent="0.2"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</row>
    <row r="2051" spans="46:63" x14ac:dyDescent="0.2"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</row>
    <row r="2052" spans="46:63" x14ac:dyDescent="0.2"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</row>
    <row r="2053" spans="46:63" x14ac:dyDescent="0.2"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</row>
    <row r="2054" spans="46:63" x14ac:dyDescent="0.2"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</row>
    <row r="2055" spans="46:63" x14ac:dyDescent="0.2"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</row>
    <row r="2056" spans="46:63" x14ac:dyDescent="0.2"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</row>
    <row r="2057" spans="46:63" x14ac:dyDescent="0.2"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</row>
    <row r="2058" spans="46:63" x14ac:dyDescent="0.2"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</row>
    <row r="2059" spans="46:63" x14ac:dyDescent="0.2"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</row>
    <row r="2060" spans="46:63" x14ac:dyDescent="0.2"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</row>
    <row r="2061" spans="46:63" x14ac:dyDescent="0.2"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</row>
    <row r="2062" spans="46:63" x14ac:dyDescent="0.2"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</row>
    <row r="2063" spans="46:63" x14ac:dyDescent="0.2"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</row>
    <row r="2064" spans="46:63" x14ac:dyDescent="0.2"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</row>
    <row r="2065" spans="46:63" x14ac:dyDescent="0.2"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</row>
    <row r="2066" spans="46:63" x14ac:dyDescent="0.2"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</row>
    <row r="2067" spans="46:63" x14ac:dyDescent="0.2"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</row>
    <row r="2068" spans="46:63" x14ac:dyDescent="0.2"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</row>
    <row r="2069" spans="46:63" x14ac:dyDescent="0.2"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</row>
    <row r="2070" spans="46:63" x14ac:dyDescent="0.2"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</row>
    <row r="2071" spans="46:63" x14ac:dyDescent="0.2"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</row>
    <row r="2072" spans="46:63" x14ac:dyDescent="0.2"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</row>
    <row r="2073" spans="46:63" x14ac:dyDescent="0.2"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</row>
    <row r="2074" spans="46:63" x14ac:dyDescent="0.2"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</row>
    <row r="2075" spans="46:63" x14ac:dyDescent="0.2"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</row>
    <row r="2076" spans="46:63" x14ac:dyDescent="0.2"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</row>
    <row r="2077" spans="46:63" x14ac:dyDescent="0.2"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</row>
    <row r="2078" spans="46:63" x14ac:dyDescent="0.2"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</row>
    <row r="2079" spans="46:63" x14ac:dyDescent="0.2"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</row>
    <row r="2080" spans="46:63" x14ac:dyDescent="0.2"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</row>
    <row r="2081" spans="46:63" x14ac:dyDescent="0.2"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</row>
    <row r="2082" spans="46:63" x14ac:dyDescent="0.2"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</row>
    <row r="2083" spans="46:63" x14ac:dyDescent="0.2"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</row>
    <row r="2084" spans="46:63" x14ac:dyDescent="0.2"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</row>
    <row r="2085" spans="46:63" x14ac:dyDescent="0.2"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</row>
    <row r="2086" spans="46:63" x14ac:dyDescent="0.2"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</row>
    <row r="2087" spans="46:63" x14ac:dyDescent="0.2"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</row>
    <row r="2088" spans="46:63" x14ac:dyDescent="0.2"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839"/>
  <sheetViews>
    <sheetView topLeftCell="AJ1" zoomScaleNormal="100" workbookViewId="0">
      <selection activeCell="BB3" sqref="BB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2" max="44" width="9" style="30"/>
    <col min="45" max="45" width="15" customWidth="1"/>
    <col min="46" max="46" width="19.875" customWidth="1"/>
    <col min="47" max="47" width="12.25" customWidth="1"/>
    <col min="49" max="49" width="9" style="30"/>
    <col min="50" max="62" width="10.625" customWidth="1"/>
  </cols>
  <sheetData>
    <row r="2" spans="1:57" s="30" customFormat="1" x14ac:dyDescent="0.2">
      <c r="AP2" s="30">
        <v>5</v>
      </c>
      <c r="AQ2" s="30">
        <v>10</v>
      </c>
      <c r="AR2" s="30">
        <v>1</v>
      </c>
      <c r="AX2" s="30">
        <f>AY6*INDEX($AP$2:$AR$2,AP6)</f>
        <v>25</v>
      </c>
      <c r="AY2" s="30">
        <f>IF(BA6&gt;0,BA6*INDEX($AP$2:$AR$2,AQ6),0)</f>
        <v>11</v>
      </c>
      <c r="AZ2" s="30">
        <f>IF(BB6="Speed",BC6*100,0)</f>
        <v>0</v>
      </c>
    </row>
    <row r="3" spans="1:57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314</v>
      </c>
      <c r="AQ3" t="s">
        <v>1198</v>
      </c>
      <c r="AR3" t="s">
        <v>300</v>
      </c>
    </row>
    <row r="4" spans="1:57" ht="20.25" x14ac:dyDescent="0.2">
      <c r="A4" s="71" t="s">
        <v>117</v>
      </c>
      <c r="B4" s="71"/>
      <c r="C4" s="71"/>
      <c r="D4" s="71"/>
      <c r="E4" s="71"/>
      <c r="F4" s="71"/>
      <c r="G4" s="71"/>
      <c r="H4" s="30"/>
      <c r="I4" s="30"/>
      <c r="J4" s="30"/>
      <c r="K4" s="30"/>
      <c r="L4" s="30"/>
      <c r="M4" s="30"/>
      <c r="S4" s="71" t="s">
        <v>1192</v>
      </c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M4" s="71" t="s">
        <v>1212</v>
      </c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</row>
    <row r="5" spans="1:57" ht="17.25" x14ac:dyDescent="0.2">
      <c r="A5" s="30"/>
      <c r="B5" s="15" t="s">
        <v>825</v>
      </c>
      <c r="C5" s="13">
        <v>5</v>
      </c>
      <c r="D5" s="15" t="s">
        <v>826</v>
      </c>
      <c r="E5" s="13">
        <v>5</v>
      </c>
      <c r="F5" s="15" t="s">
        <v>827</v>
      </c>
      <c r="G5" s="13">
        <v>0.5</v>
      </c>
      <c r="H5" s="30"/>
      <c r="I5" s="12" t="s">
        <v>210</v>
      </c>
      <c r="J5" s="12" t="s">
        <v>212</v>
      </c>
      <c r="K5" s="12" t="s">
        <v>211</v>
      </c>
      <c r="L5" s="12" t="s">
        <v>229</v>
      </c>
      <c r="M5" s="12" t="s">
        <v>234</v>
      </c>
      <c r="O5" s="12" t="s">
        <v>1190</v>
      </c>
      <c r="P5" s="12" t="s">
        <v>1191</v>
      </c>
      <c r="S5" s="12" t="s">
        <v>1188</v>
      </c>
      <c r="T5" s="12" t="s">
        <v>1189</v>
      </c>
      <c r="U5" s="12" t="s">
        <v>240</v>
      </c>
      <c r="V5" s="12" t="s">
        <v>211</v>
      </c>
      <c r="W5" s="12" t="s">
        <v>163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126</v>
      </c>
      <c r="AE5" s="12" t="s">
        <v>127</v>
      </c>
      <c r="AF5" s="12" t="s">
        <v>218</v>
      </c>
      <c r="AG5" s="12" t="s">
        <v>231</v>
      </c>
      <c r="AH5" s="12" t="s">
        <v>1193</v>
      </c>
      <c r="AI5" s="12" t="s">
        <v>1194</v>
      </c>
      <c r="AJ5" s="12" t="s">
        <v>1213</v>
      </c>
      <c r="AM5" s="12" t="s">
        <v>125</v>
      </c>
      <c r="AN5" s="12" t="s">
        <v>219</v>
      </c>
      <c r="AO5" s="12" t="s">
        <v>222</v>
      </c>
      <c r="AP5" s="12" t="s">
        <v>1196</v>
      </c>
      <c r="AQ5" s="12" t="s">
        <v>1197</v>
      </c>
      <c r="AR5" s="12" t="s">
        <v>1214</v>
      </c>
      <c r="AS5" s="12" t="s">
        <v>220</v>
      </c>
      <c r="AT5" s="12" t="s">
        <v>232</v>
      </c>
      <c r="AU5" s="12" t="s">
        <v>233</v>
      </c>
      <c r="AV5" s="12" t="s">
        <v>221</v>
      </c>
      <c r="AW5" s="12" t="s">
        <v>1211</v>
      </c>
      <c r="AX5" s="12" t="s">
        <v>223</v>
      </c>
      <c r="AY5" s="12" t="s">
        <v>224</v>
      </c>
      <c r="AZ5" s="12" t="s">
        <v>225</v>
      </c>
      <c r="BA5" s="12" t="s">
        <v>226</v>
      </c>
      <c r="BB5" s="12" t="s">
        <v>227</v>
      </c>
      <c r="BC5" s="12" t="s">
        <v>228</v>
      </c>
      <c r="BD5" s="12" t="s">
        <v>1215</v>
      </c>
      <c r="BE5" s="12" t="s">
        <v>1216</v>
      </c>
    </row>
    <row r="6" spans="1:57" ht="17.25" x14ac:dyDescent="0.2">
      <c r="A6" s="30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0"/>
      <c r="I6" s="13">
        <v>1</v>
      </c>
      <c r="J6" s="13" t="s">
        <v>213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4.8%+AV6*5%+AV6*AV6*0.2%</f>
        <v>0.1</v>
      </c>
      <c r="AP6" s="14">
        <f t="shared" ref="AP6:AP69" si="1">INDEX(AD$7:AD$48,$AN6)</f>
        <v>1</v>
      </c>
      <c r="AQ6" s="14">
        <f t="shared" ref="AQ6:AQ69" si="2">INDEX(AE$7:AE$48,$AN6)</f>
        <v>3</v>
      </c>
      <c r="AR6" s="14">
        <f t="shared" ref="AR6:AR69" si="3">INDEX(AF$7:AF$48,$AN6)</f>
        <v>0</v>
      </c>
      <c r="AS6" s="14">
        <f t="shared" ref="AS6:AS69" si="4">INDEX($W$7:$W$48,AN6)</f>
        <v>1606003</v>
      </c>
      <c r="AT6" s="14" t="str">
        <f t="shared" ref="AT6:AT69" si="5">"神器-"&amp;INDEX($S$7:$S$48,AN6)&amp;"-碎片-"&amp;INDEX($T$7:$T$48,AN6)&amp;"-"&amp;AV6&amp;"级"</f>
        <v>神器-1-碎片-1-1级</v>
      </c>
      <c r="AU6" s="13" t="s">
        <v>1195</v>
      </c>
      <c r="AV6" s="13">
        <f t="shared" ref="AV6:AV69" si="6">AM6-INDEX($AI$6:$AI$48,AN6)</f>
        <v>1</v>
      </c>
      <c r="AW6" s="14">
        <f t="shared" ref="AW6:AW69" si="7">AY6*INDEX($AP$2:$AR$2,AP6)+IF(AQ6&gt;0,BA6*INDEX($AP$2:$AR$2,AQ6),0)+IF(AR6&gt;0,BC6*INDEX($AP$2:$AR$2,AR6),0)+IF(BD6="Speed",BE6*100,0)</f>
        <v>36</v>
      </c>
      <c r="AX6" s="14" t="str">
        <f t="shared" ref="AX6:AX69" si="8">INDEX($AP$3:$AR$3,AP6)</f>
        <v>AtkExt</v>
      </c>
      <c r="AY6" s="14">
        <f t="shared" ref="AY6:AY69" si="9">ROUND(INDEX($X$7:$Z$48,AN6,AP6)*AO6,0)</f>
        <v>5</v>
      </c>
      <c r="AZ6" s="14" t="str">
        <f t="shared" ref="AZ6:AZ69" si="10">IF(AQ6&gt;0,INDEX($AP$3:$AR$3,AQ6),"")</f>
        <v>HPExt</v>
      </c>
      <c r="BA6" s="14">
        <f t="shared" ref="BA6:BA69" si="11">IF(AQ6&gt;0,ROUND(INDEX($X$7:$Z$48,AN6,AQ6)*AO6,0),"")</f>
        <v>11</v>
      </c>
      <c r="BB6" s="14" t="str">
        <f t="shared" ref="BB6:BB69" si="12">IF(AR6&gt;0,INDEX($AP$3:$AR$3,AR6),"")</f>
        <v/>
      </c>
      <c r="BC6" s="14" t="str">
        <f t="shared" ref="BC6:BC69" si="13">IF(AR6&gt;0,ROUND(INDEX($X$7:$Z$48,AN6,AR6)*AO6,0),"")</f>
        <v/>
      </c>
      <c r="BD6" s="14" t="str">
        <f t="shared" ref="BD6:BD69" si="14">IF(INDEX($AG$7:$AG$48,AN6)&gt;0,"Speed","")</f>
        <v/>
      </c>
      <c r="BE6" s="14" t="str">
        <f t="shared" ref="BE6:BE69" si="15">IF(INDEX($AG$7:$AG$48,AN6)&gt;0,INDEX($AG$7:$AG$48,AN6)*AV6,"")</f>
        <v/>
      </c>
    </row>
    <row r="7" spans="1:57" ht="16.5" x14ac:dyDescent="0.2">
      <c r="A7" s="15" t="s">
        <v>118</v>
      </c>
      <c r="B7" s="17">
        <v>0.5</v>
      </c>
      <c r="C7" s="17">
        <v>0.5</v>
      </c>
      <c r="D7" s="17">
        <v>0.5</v>
      </c>
      <c r="E7" s="23">
        <f>INDEX(属性投放!DX$15:DX$18,$C$5-1)*INDEX(属性投放!$DX$6:$DX$10,$E$5)*$G$5</f>
        <v>26497.8</v>
      </c>
      <c r="F7" s="23">
        <f>INDEX(属性投放!DY$15:DY$18,C5-1)*INDEX(属性投放!$DX$6:$DX$10,E5)*$G$5</f>
        <v>13272</v>
      </c>
      <c r="G7" s="23">
        <f>INDEX(属性投放!DZ$15:DZ$18,C5-1)*INDEX(属性投放!$DX$6:$DX$10,E53)*$G$5</f>
        <v>199840.85</v>
      </c>
      <c r="H7" s="30"/>
      <c r="I7" s="13">
        <v>2</v>
      </c>
      <c r="J7" s="13" t="s">
        <v>214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6">INDEX($P$6:$P$12,S7)*INDEX($K$6:$K$9,U7)</f>
        <v>1</v>
      </c>
      <c r="W7" s="13">
        <v>1606003</v>
      </c>
      <c r="X7" s="14">
        <f>$E$7*$V7*AA7/AA$3</f>
        <v>53.912105798575787</v>
      </c>
      <c r="Y7" s="14">
        <f t="shared" ref="Y7:Z7" si="17">$E$7*$V7*AB7/AB$3</f>
        <v>0</v>
      </c>
      <c r="Z7" s="14">
        <f t="shared" si="17"/>
        <v>112.27881355932203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8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3</v>
      </c>
      <c r="AR7" s="14">
        <f t="shared" si="3"/>
        <v>0</v>
      </c>
      <c r="AS7" s="14">
        <f t="shared" si="4"/>
        <v>1606003</v>
      </c>
      <c r="AT7" s="14" t="str">
        <f t="shared" si="5"/>
        <v>神器-1-碎片-1-2级</v>
      </c>
      <c r="AU7" s="13" t="s">
        <v>1195</v>
      </c>
      <c r="AV7" s="13">
        <f t="shared" si="6"/>
        <v>2</v>
      </c>
      <c r="AW7" s="14">
        <f t="shared" si="7"/>
        <v>58</v>
      </c>
      <c r="AX7" s="14" t="str">
        <f t="shared" si="8"/>
        <v>AtkExt</v>
      </c>
      <c r="AY7" s="14">
        <f t="shared" si="9"/>
        <v>8</v>
      </c>
      <c r="AZ7" s="14" t="str">
        <f t="shared" si="10"/>
        <v>HPExt</v>
      </c>
      <c r="BA7" s="14">
        <f t="shared" si="11"/>
        <v>18</v>
      </c>
      <c r="BB7" s="14" t="str">
        <f t="shared" si="12"/>
        <v/>
      </c>
      <c r="BC7" s="14" t="str">
        <f t="shared" si="13"/>
        <v/>
      </c>
      <c r="BD7" s="14" t="str">
        <f t="shared" si="14"/>
        <v/>
      </c>
      <c r="BE7" s="14" t="str">
        <f t="shared" si="15"/>
        <v/>
      </c>
    </row>
    <row r="8" spans="1:57" ht="16.5" x14ac:dyDescent="0.2">
      <c r="A8" s="15" t="s">
        <v>120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215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6"/>
        <v>1</v>
      </c>
      <c r="W8" s="13">
        <v>1606004</v>
      </c>
      <c r="X8" s="14">
        <f t="shared" ref="X8:X48" si="19">$E$7*$V8*AA8/AA$3</f>
        <v>53.912105798575787</v>
      </c>
      <c r="Y8" s="14">
        <f t="shared" ref="Y8:Y48" si="20">$E$7*$V8*AB8/AB$3</f>
        <v>110.8694560669456</v>
      </c>
      <c r="Z8" s="14">
        <f t="shared" ref="Z8:Z48" si="21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2">"神器"&amp;S8&amp;"-"&amp;T8</f>
        <v>神器1-2</v>
      </c>
      <c r="AM8" s="13">
        <v>3</v>
      </c>
      <c r="AN8" s="14">
        <f t="shared" si="18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3</v>
      </c>
      <c r="AR8" s="14">
        <f t="shared" si="3"/>
        <v>0</v>
      </c>
      <c r="AS8" s="14">
        <f t="shared" si="4"/>
        <v>1606003</v>
      </c>
      <c r="AT8" s="14" t="str">
        <f t="shared" si="5"/>
        <v>神器-1-碎片-1-3级</v>
      </c>
      <c r="AU8" s="13" t="s">
        <v>1195</v>
      </c>
      <c r="AV8" s="13">
        <f t="shared" si="6"/>
        <v>3</v>
      </c>
      <c r="AW8" s="14">
        <f t="shared" si="7"/>
        <v>84</v>
      </c>
      <c r="AX8" s="14" t="str">
        <f t="shared" si="8"/>
        <v>AtkExt</v>
      </c>
      <c r="AY8" s="14">
        <f t="shared" si="9"/>
        <v>12</v>
      </c>
      <c r="AZ8" s="14" t="str">
        <f t="shared" si="10"/>
        <v>HPExt</v>
      </c>
      <c r="BA8" s="14">
        <f t="shared" si="11"/>
        <v>24</v>
      </c>
      <c r="BB8" s="14" t="str">
        <f t="shared" si="12"/>
        <v/>
      </c>
      <c r="BC8" s="14" t="str">
        <f t="shared" si="13"/>
        <v/>
      </c>
      <c r="BD8" s="14" t="str">
        <f t="shared" si="14"/>
        <v/>
      </c>
      <c r="BE8" s="14" t="str">
        <f t="shared" si="15"/>
        <v/>
      </c>
    </row>
    <row r="9" spans="1:57" ht="16.5" x14ac:dyDescent="0.2">
      <c r="A9" s="15" t="s">
        <v>121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216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6"/>
        <v>1.5</v>
      </c>
      <c r="W9" s="13">
        <v>1606005</v>
      </c>
      <c r="X9" s="14">
        <f t="shared" si="19"/>
        <v>80.868158697863677</v>
      </c>
      <c r="Y9" s="14">
        <f t="shared" si="20"/>
        <v>0</v>
      </c>
      <c r="Z9" s="14">
        <f t="shared" si="21"/>
        <v>168.41822033898305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2"/>
        <v>神器1-3</v>
      </c>
      <c r="AM9" s="13">
        <v>4</v>
      </c>
      <c r="AN9" s="14">
        <f t="shared" si="18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3</v>
      </c>
      <c r="AR9" s="14">
        <f t="shared" si="3"/>
        <v>0</v>
      </c>
      <c r="AS9" s="14">
        <f t="shared" si="4"/>
        <v>1606003</v>
      </c>
      <c r="AT9" s="14" t="str">
        <f t="shared" si="5"/>
        <v>神器-1-碎片-1-4级</v>
      </c>
      <c r="AU9" s="13" t="s">
        <v>1195</v>
      </c>
      <c r="AV9" s="13">
        <f t="shared" si="6"/>
        <v>4</v>
      </c>
      <c r="AW9" s="14">
        <f t="shared" si="7"/>
        <v>106</v>
      </c>
      <c r="AX9" s="14" t="str">
        <f t="shared" si="8"/>
        <v>AtkExt</v>
      </c>
      <c r="AY9" s="14">
        <f t="shared" si="9"/>
        <v>15</v>
      </c>
      <c r="AZ9" s="14" t="str">
        <f t="shared" si="10"/>
        <v>HPExt</v>
      </c>
      <c r="BA9" s="14">
        <f t="shared" si="11"/>
        <v>31</v>
      </c>
      <c r="BB9" s="14" t="str">
        <f t="shared" si="12"/>
        <v/>
      </c>
      <c r="BC9" s="14" t="str">
        <f t="shared" si="13"/>
        <v/>
      </c>
      <c r="BD9" s="14" t="str">
        <f t="shared" si="14"/>
        <v/>
      </c>
      <c r="BE9" s="14" t="str">
        <f t="shared" si="15"/>
        <v/>
      </c>
    </row>
    <row r="10" spans="1:57" ht="16.5" x14ac:dyDescent="0.2">
      <c r="A10" s="15" t="s">
        <v>122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6"/>
        <v>2</v>
      </c>
      <c r="W10" s="13">
        <v>1606006</v>
      </c>
      <c r="X10" s="14">
        <f t="shared" si="19"/>
        <v>215.64842319430315</v>
      </c>
      <c r="Y10" s="14">
        <f t="shared" si="20"/>
        <v>110.8694560669456</v>
      </c>
      <c r="Z10" s="14">
        <f t="shared" si="21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2"/>
        <v>神器2-1</v>
      </c>
      <c r="AM10" s="13">
        <v>5</v>
      </c>
      <c r="AN10" s="14">
        <f t="shared" si="18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3</v>
      </c>
      <c r="AR10" s="14">
        <f t="shared" si="3"/>
        <v>0</v>
      </c>
      <c r="AS10" s="14">
        <f t="shared" si="4"/>
        <v>1606003</v>
      </c>
      <c r="AT10" s="14" t="str">
        <f t="shared" si="5"/>
        <v>神器-1-碎片-1-5级</v>
      </c>
      <c r="AU10" s="13" t="s">
        <v>1195</v>
      </c>
      <c r="AV10" s="13">
        <f t="shared" si="6"/>
        <v>5</v>
      </c>
      <c r="AW10" s="14">
        <f t="shared" si="7"/>
        <v>134</v>
      </c>
      <c r="AX10" s="14" t="str">
        <f t="shared" si="8"/>
        <v>AtkExt</v>
      </c>
      <c r="AY10" s="14">
        <f t="shared" si="9"/>
        <v>19</v>
      </c>
      <c r="AZ10" s="14" t="str">
        <f t="shared" si="10"/>
        <v>HPExt</v>
      </c>
      <c r="BA10" s="14">
        <f t="shared" si="11"/>
        <v>39</v>
      </c>
      <c r="BB10" s="14" t="str">
        <f t="shared" si="12"/>
        <v/>
      </c>
      <c r="BC10" s="14" t="str">
        <f t="shared" si="13"/>
        <v/>
      </c>
      <c r="BD10" s="14" t="str">
        <f t="shared" si="14"/>
        <v/>
      </c>
      <c r="BE10" s="14" t="str">
        <f t="shared" si="15"/>
        <v/>
      </c>
    </row>
    <row r="11" spans="1:57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6"/>
        <v>2</v>
      </c>
      <c r="W11" s="13">
        <v>1606007</v>
      </c>
      <c r="X11" s="14">
        <f t="shared" si="19"/>
        <v>107.82421159715157</v>
      </c>
      <c r="Y11" s="14">
        <f t="shared" si="20"/>
        <v>110.8694560669456</v>
      </c>
      <c r="Z11" s="14">
        <f t="shared" si="21"/>
        <v>112.27881355932203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2"/>
        <v>神器2-2</v>
      </c>
      <c r="AM11" s="13">
        <v>6</v>
      </c>
      <c r="AN11" s="14">
        <f t="shared" si="18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3</v>
      </c>
      <c r="AR11" s="14">
        <f t="shared" si="3"/>
        <v>0</v>
      </c>
      <c r="AS11" s="14">
        <f t="shared" si="4"/>
        <v>1606003</v>
      </c>
      <c r="AT11" s="14" t="str">
        <f t="shared" si="5"/>
        <v>神器-1-碎片-1-6级</v>
      </c>
      <c r="AU11" s="13" t="s">
        <v>1195</v>
      </c>
      <c r="AV11" s="13">
        <f t="shared" si="6"/>
        <v>6</v>
      </c>
      <c r="AW11" s="14">
        <f t="shared" si="7"/>
        <v>162</v>
      </c>
      <c r="AX11" s="14" t="str">
        <f t="shared" si="8"/>
        <v>AtkExt</v>
      </c>
      <c r="AY11" s="14">
        <f t="shared" si="9"/>
        <v>23</v>
      </c>
      <c r="AZ11" s="14" t="str">
        <f t="shared" si="10"/>
        <v>HPExt</v>
      </c>
      <c r="BA11" s="14">
        <f t="shared" si="11"/>
        <v>47</v>
      </c>
      <c r="BB11" s="14" t="str">
        <f t="shared" si="12"/>
        <v/>
      </c>
      <c r="BC11" s="14" t="str">
        <f t="shared" si="13"/>
        <v/>
      </c>
      <c r="BD11" s="14" t="str">
        <f t="shared" si="14"/>
        <v/>
      </c>
      <c r="BE11" s="14" t="str">
        <f t="shared" si="15"/>
        <v/>
      </c>
    </row>
    <row r="12" spans="1:57" ht="16.5" x14ac:dyDescent="0.2">
      <c r="A12" s="15" t="s">
        <v>120</v>
      </c>
      <c r="B12" s="17">
        <f t="shared" ref="B12:G14" si="23">B$7*B8</f>
        <v>0</v>
      </c>
      <c r="C12" s="17">
        <f t="shared" si="23"/>
        <v>0</v>
      </c>
      <c r="D12" s="17">
        <f t="shared" si="23"/>
        <v>0</v>
      </c>
      <c r="E12" s="14">
        <f t="shared" si="23"/>
        <v>0</v>
      </c>
      <c r="F12" s="14">
        <f t="shared" si="23"/>
        <v>0</v>
      </c>
      <c r="G12" s="14">
        <f t="shared" si="23"/>
        <v>0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6"/>
        <v>3</v>
      </c>
      <c r="W12" s="13">
        <v>1606008</v>
      </c>
      <c r="X12" s="14">
        <f t="shared" si="19"/>
        <v>0</v>
      </c>
      <c r="Y12" s="14">
        <f t="shared" si="20"/>
        <v>332.60836820083682</v>
      </c>
      <c r="Z12" s="14">
        <f t="shared" si="21"/>
        <v>168.41822033898305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2"/>
        <v>神器2-3</v>
      </c>
      <c r="AM12" s="13">
        <v>7</v>
      </c>
      <c r="AN12" s="14">
        <f t="shared" si="18"/>
        <v>1</v>
      </c>
      <c r="AO12" s="29">
        <f t="shared" si="0"/>
        <v>0.496</v>
      </c>
      <c r="AP12" s="14">
        <f t="shared" si="1"/>
        <v>1</v>
      </c>
      <c r="AQ12" s="14">
        <f t="shared" si="2"/>
        <v>3</v>
      </c>
      <c r="AR12" s="14">
        <f t="shared" si="3"/>
        <v>0</v>
      </c>
      <c r="AS12" s="14">
        <f t="shared" si="4"/>
        <v>1606003</v>
      </c>
      <c r="AT12" s="14" t="str">
        <f t="shared" si="5"/>
        <v>神器-1-碎片-1-7级</v>
      </c>
      <c r="AU12" s="13" t="s">
        <v>1195</v>
      </c>
      <c r="AV12" s="13">
        <f t="shared" si="6"/>
        <v>7</v>
      </c>
      <c r="AW12" s="14">
        <f t="shared" si="7"/>
        <v>191</v>
      </c>
      <c r="AX12" s="14" t="str">
        <f t="shared" si="8"/>
        <v>AtkExt</v>
      </c>
      <c r="AY12" s="14">
        <f t="shared" si="9"/>
        <v>27</v>
      </c>
      <c r="AZ12" s="14" t="str">
        <f t="shared" si="10"/>
        <v>HPExt</v>
      </c>
      <c r="BA12" s="14">
        <f t="shared" si="11"/>
        <v>56</v>
      </c>
      <c r="BB12" s="14" t="str">
        <f t="shared" si="12"/>
        <v/>
      </c>
      <c r="BC12" s="14" t="str">
        <f t="shared" si="13"/>
        <v/>
      </c>
      <c r="BD12" s="14" t="str">
        <f t="shared" si="14"/>
        <v/>
      </c>
      <c r="BE12" s="14" t="str">
        <f t="shared" si="15"/>
        <v/>
      </c>
    </row>
    <row r="13" spans="1:57" ht="16.5" x14ac:dyDescent="0.2">
      <c r="A13" s="15" t="s">
        <v>121</v>
      </c>
      <c r="B13" s="17">
        <f t="shared" si="23"/>
        <v>0.5</v>
      </c>
      <c r="C13" s="17">
        <f t="shared" si="23"/>
        <v>0.5</v>
      </c>
      <c r="D13" s="17">
        <f t="shared" si="23"/>
        <v>0.5</v>
      </c>
      <c r="E13" s="14">
        <f t="shared" si="23"/>
        <v>0</v>
      </c>
      <c r="F13" s="14">
        <f t="shared" si="23"/>
        <v>0</v>
      </c>
      <c r="G13" s="14">
        <f t="shared" si="23"/>
        <v>0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6"/>
        <v>3</v>
      </c>
      <c r="W13" s="13">
        <v>1606009</v>
      </c>
      <c r="X13" s="14">
        <f t="shared" si="19"/>
        <v>161.73631739572735</v>
      </c>
      <c r="Y13" s="14">
        <f t="shared" si="20"/>
        <v>166.30418410041841</v>
      </c>
      <c r="Z13" s="14">
        <f t="shared" si="21"/>
        <v>168.41822033898305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2"/>
        <v>神器2-4</v>
      </c>
      <c r="AM13" s="13">
        <v>8</v>
      </c>
      <c r="AN13" s="14">
        <f t="shared" si="18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3</v>
      </c>
      <c r="AR13" s="14">
        <f t="shared" si="3"/>
        <v>0</v>
      </c>
      <c r="AS13" s="14">
        <f t="shared" si="4"/>
        <v>1606003</v>
      </c>
      <c r="AT13" s="14" t="str">
        <f t="shared" si="5"/>
        <v>神器-1-碎片-1-8级</v>
      </c>
      <c r="AU13" s="13" t="s">
        <v>1195</v>
      </c>
      <c r="AV13" s="13">
        <f t="shared" si="6"/>
        <v>8</v>
      </c>
      <c r="AW13" s="14">
        <f t="shared" si="7"/>
        <v>220</v>
      </c>
      <c r="AX13" s="14" t="str">
        <f t="shared" si="8"/>
        <v>AtkExt</v>
      </c>
      <c r="AY13" s="14">
        <f t="shared" si="9"/>
        <v>31</v>
      </c>
      <c r="AZ13" s="14" t="str">
        <f t="shared" si="10"/>
        <v>HPExt</v>
      </c>
      <c r="BA13" s="14">
        <f t="shared" si="11"/>
        <v>65</v>
      </c>
      <c r="BB13" s="14" t="str">
        <f t="shared" si="12"/>
        <v/>
      </c>
      <c r="BC13" s="14" t="str">
        <f t="shared" si="13"/>
        <v/>
      </c>
      <c r="BD13" s="14" t="str">
        <f t="shared" si="14"/>
        <v/>
      </c>
      <c r="BE13" s="14" t="str">
        <f t="shared" si="15"/>
        <v/>
      </c>
    </row>
    <row r="14" spans="1:57" ht="16.5" x14ac:dyDescent="0.2">
      <c r="A14" s="15" t="s">
        <v>122</v>
      </c>
      <c r="B14" s="17">
        <f t="shared" si="23"/>
        <v>0</v>
      </c>
      <c r="C14" s="17">
        <f t="shared" si="23"/>
        <v>0</v>
      </c>
      <c r="D14" s="17">
        <f t="shared" si="23"/>
        <v>0</v>
      </c>
      <c r="E14" s="14">
        <f t="shared" si="23"/>
        <v>26497.8</v>
      </c>
      <c r="F14" s="14">
        <f t="shared" si="23"/>
        <v>13272</v>
      </c>
      <c r="G14" s="14">
        <f t="shared" si="23"/>
        <v>199840.85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6"/>
        <v>4</v>
      </c>
      <c r="W14" s="13">
        <v>1606010</v>
      </c>
      <c r="X14" s="14">
        <f t="shared" si="19"/>
        <v>431.2968463886063</v>
      </c>
      <c r="Y14" s="14">
        <f t="shared" si="20"/>
        <v>221.7389121338912</v>
      </c>
      <c r="Z14" s="14">
        <f t="shared" si="21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2"/>
        <v>神器2-5</v>
      </c>
      <c r="AM14" s="13">
        <v>9</v>
      </c>
      <c r="AN14" s="14">
        <f t="shared" si="18"/>
        <v>1</v>
      </c>
      <c r="AO14" s="29">
        <f t="shared" si="0"/>
        <v>0.66</v>
      </c>
      <c r="AP14" s="14">
        <f t="shared" si="1"/>
        <v>1</v>
      </c>
      <c r="AQ14" s="14">
        <f t="shared" si="2"/>
        <v>3</v>
      </c>
      <c r="AR14" s="14">
        <f t="shared" si="3"/>
        <v>0</v>
      </c>
      <c r="AS14" s="14">
        <f t="shared" si="4"/>
        <v>1606003</v>
      </c>
      <c r="AT14" s="14" t="str">
        <f t="shared" si="5"/>
        <v>神器-1-碎片-1-9级</v>
      </c>
      <c r="AU14" s="13" t="s">
        <v>1195</v>
      </c>
      <c r="AV14" s="13">
        <f t="shared" si="6"/>
        <v>9</v>
      </c>
      <c r="AW14" s="14">
        <f t="shared" si="7"/>
        <v>254</v>
      </c>
      <c r="AX14" s="14" t="str">
        <f t="shared" si="8"/>
        <v>AtkExt</v>
      </c>
      <c r="AY14" s="14">
        <f t="shared" si="9"/>
        <v>36</v>
      </c>
      <c r="AZ14" s="14" t="str">
        <f t="shared" si="10"/>
        <v>HPExt</v>
      </c>
      <c r="BA14" s="14">
        <f t="shared" si="11"/>
        <v>74</v>
      </c>
      <c r="BB14" s="14" t="str">
        <f t="shared" si="12"/>
        <v/>
      </c>
      <c r="BC14" s="14" t="str">
        <f t="shared" si="13"/>
        <v/>
      </c>
      <c r="BD14" s="14" t="str">
        <f t="shared" si="14"/>
        <v/>
      </c>
      <c r="BE14" s="14" t="str">
        <f t="shared" si="15"/>
        <v/>
      </c>
    </row>
    <row r="15" spans="1:57" ht="16.5" x14ac:dyDescent="0.2">
      <c r="S15" s="13">
        <v>3</v>
      </c>
      <c r="T15" s="13">
        <v>1</v>
      </c>
      <c r="U15" s="13">
        <v>1</v>
      </c>
      <c r="V15" s="14">
        <f t="shared" si="16"/>
        <v>4</v>
      </c>
      <c r="W15" s="13">
        <v>1606011</v>
      </c>
      <c r="X15" s="14">
        <f t="shared" si="19"/>
        <v>0</v>
      </c>
      <c r="Y15" s="14">
        <f t="shared" si="20"/>
        <v>221.7389121338912</v>
      </c>
      <c r="Z15" s="14">
        <f t="shared" si="21"/>
        <v>449.11525423728813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2"/>
        <v>神器3-1</v>
      </c>
      <c r="AM15" s="13">
        <v>10</v>
      </c>
      <c r="AN15" s="14">
        <f t="shared" si="18"/>
        <v>1</v>
      </c>
      <c r="AO15" s="29">
        <f t="shared" si="0"/>
        <v>0.748</v>
      </c>
      <c r="AP15" s="14">
        <f t="shared" si="1"/>
        <v>1</v>
      </c>
      <c r="AQ15" s="14">
        <f t="shared" si="2"/>
        <v>3</v>
      </c>
      <c r="AR15" s="14">
        <f t="shared" si="3"/>
        <v>0</v>
      </c>
      <c r="AS15" s="14">
        <f t="shared" si="4"/>
        <v>1606003</v>
      </c>
      <c r="AT15" s="14" t="str">
        <f t="shared" si="5"/>
        <v>神器-1-碎片-1-10级</v>
      </c>
      <c r="AU15" s="13" t="s">
        <v>1195</v>
      </c>
      <c r="AV15" s="13">
        <f t="shared" si="6"/>
        <v>10</v>
      </c>
      <c r="AW15" s="14">
        <f t="shared" si="7"/>
        <v>284</v>
      </c>
      <c r="AX15" s="14" t="str">
        <f t="shared" si="8"/>
        <v>AtkExt</v>
      </c>
      <c r="AY15" s="14">
        <f t="shared" si="9"/>
        <v>40</v>
      </c>
      <c r="AZ15" s="14" t="str">
        <f t="shared" si="10"/>
        <v>HPExt</v>
      </c>
      <c r="BA15" s="14">
        <f t="shared" si="11"/>
        <v>84</v>
      </c>
      <c r="BB15" s="14" t="str">
        <f t="shared" si="12"/>
        <v/>
      </c>
      <c r="BC15" s="14" t="str">
        <f t="shared" si="13"/>
        <v/>
      </c>
      <c r="BD15" s="14" t="str">
        <f t="shared" si="14"/>
        <v/>
      </c>
      <c r="BE15" s="14" t="str">
        <f t="shared" si="15"/>
        <v/>
      </c>
    </row>
    <row r="16" spans="1:57" ht="16.5" x14ac:dyDescent="0.2">
      <c r="S16" s="13">
        <v>3</v>
      </c>
      <c r="T16" s="13">
        <v>2</v>
      </c>
      <c r="U16" s="13">
        <v>1</v>
      </c>
      <c r="V16" s="14">
        <f t="shared" si="16"/>
        <v>4</v>
      </c>
      <c r="W16" s="13">
        <v>1606012</v>
      </c>
      <c r="X16" s="14">
        <f t="shared" si="19"/>
        <v>215.64842319430315</v>
      </c>
      <c r="Y16" s="14">
        <f t="shared" si="20"/>
        <v>0</v>
      </c>
      <c r="Z16" s="14">
        <f t="shared" si="21"/>
        <v>449.11525423728813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2"/>
        <v>神器3-2</v>
      </c>
      <c r="AM16" s="13">
        <v>11</v>
      </c>
      <c r="AN16" s="14">
        <f t="shared" si="18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3</v>
      </c>
      <c r="AR16" s="14">
        <f t="shared" si="3"/>
        <v>0</v>
      </c>
      <c r="AS16" s="14">
        <f t="shared" si="4"/>
        <v>1606003</v>
      </c>
      <c r="AT16" s="14" t="str">
        <f t="shared" si="5"/>
        <v>神器-1-碎片-1-11级</v>
      </c>
      <c r="AU16" s="13" t="s">
        <v>1195</v>
      </c>
      <c r="AV16" s="13">
        <f t="shared" si="6"/>
        <v>11</v>
      </c>
      <c r="AW16" s="14">
        <f t="shared" si="7"/>
        <v>319</v>
      </c>
      <c r="AX16" s="14" t="str">
        <f t="shared" si="8"/>
        <v>AtkExt</v>
      </c>
      <c r="AY16" s="14">
        <f t="shared" si="9"/>
        <v>45</v>
      </c>
      <c r="AZ16" s="14" t="str">
        <f t="shared" si="10"/>
        <v>HPExt</v>
      </c>
      <c r="BA16" s="14">
        <f t="shared" si="11"/>
        <v>94</v>
      </c>
      <c r="BB16" s="14" t="str">
        <f t="shared" si="12"/>
        <v/>
      </c>
      <c r="BC16" s="14" t="str">
        <f t="shared" si="13"/>
        <v/>
      </c>
      <c r="BD16" s="14" t="str">
        <f t="shared" si="14"/>
        <v/>
      </c>
      <c r="BE16" s="14" t="str">
        <f t="shared" si="15"/>
        <v/>
      </c>
    </row>
    <row r="17" spans="19:57" ht="16.5" x14ac:dyDescent="0.2">
      <c r="S17" s="13">
        <v>3</v>
      </c>
      <c r="T17" s="13">
        <v>3</v>
      </c>
      <c r="U17" s="13">
        <v>2</v>
      </c>
      <c r="V17" s="14">
        <f t="shared" si="16"/>
        <v>6</v>
      </c>
      <c r="W17" s="13">
        <v>1606013</v>
      </c>
      <c r="X17" s="14">
        <f t="shared" si="19"/>
        <v>0</v>
      </c>
      <c r="Y17" s="14">
        <f t="shared" si="20"/>
        <v>332.60836820083682</v>
      </c>
      <c r="Z17" s="14">
        <f t="shared" si="21"/>
        <v>673.67288135593219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2"/>
        <v>神器3-3</v>
      </c>
      <c r="AM17" s="13">
        <v>12</v>
      </c>
      <c r="AN17" s="14">
        <f t="shared" si="18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3</v>
      </c>
      <c r="AR17" s="14">
        <f t="shared" si="3"/>
        <v>0</v>
      </c>
      <c r="AS17" s="14">
        <f t="shared" si="4"/>
        <v>1606003</v>
      </c>
      <c r="AT17" s="14" t="str">
        <f t="shared" si="5"/>
        <v>神器-1-碎片-1-12级</v>
      </c>
      <c r="AU17" s="13" t="s">
        <v>1195</v>
      </c>
      <c r="AV17" s="13">
        <f t="shared" si="6"/>
        <v>12</v>
      </c>
      <c r="AW17" s="14">
        <f t="shared" si="7"/>
        <v>355</v>
      </c>
      <c r="AX17" s="14" t="str">
        <f t="shared" si="8"/>
        <v>AtkExt</v>
      </c>
      <c r="AY17" s="14">
        <f t="shared" si="9"/>
        <v>50</v>
      </c>
      <c r="AZ17" s="14" t="str">
        <f t="shared" si="10"/>
        <v>HPExt</v>
      </c>
      <c r="BA17" s="14">
        <f t="shared" si="11"/>
        <v>105</v>
      </c>
      <c r="BB17" s="14" t="str">
        <f t="shared" si="12"/>
        <v/>
      </c>
      <c r="BC17" s="14" t="str">
        <f t="shared" si="13"/>
        <v/>
      </c>
      <c r="BD17" s="14" t="str">
        <f t="shared" si="14"/>
        <v/>
      </c>
      <c r="BE17" s="14" t="str">
        <f t="shared" si="15"/>
        <v/>
      </c>
    </row>
    <row r="18" spans="19:57" ht="16.5" x14ac:dyDescent="0.2">
      <c r="S18" s="13">
        <v>3</v>
      </c>
      <c r="T18" s="13">
        <v>4</v>
      </c>
      <c r="U18" s="13">
        <v>2</v>
      </c>
      <c r="V18" s="14">
        <f t="shared" si="16"/>
        <v>6</v>
      </c>
      <c r="W18" s="13">
        <v>1606014</v>
      </c>
      <c r="X18" s="14">
        <f t="shared" si="19"/>
        <v>0</v>
      </c>
      <c r="Y18" s="14">
        <f t="shared" si="20"/>
        <v>332.60836820083682</v>
      </c>
      <c r="Z18" s="14">
        <f t="shared" si="21"/>
        <v>673.67288135593219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2"/>
        <v>神器3-4</v>
      </c>
      <c r="AM18" s="13">
        <v>13</v>
      </c>
      <c r="AN18" s="14">
        <f t="shared" si="18"/>
        <v>1</v>
      </c>
      <c r="AO18" s="29">
        <f t="shared" si="0"/>
        <v>1.036</v>
      </c>
      <c r="AP18" s="14">
        <f t="shared" si="1"/>
        <v>1</v>
      </c>
      <c r="AQ18" s="14">
        <f t="shared" si="2"/>
        <v>3</v>
      </c>
      <c r="AR18" s="14">
        <f t="shared" si="3"/>
        <v>0</v>
      </c>
      <c r="AS18" s="14">
        <f t="shared" si="4"/>
        <v>1606003</v>
      </c>
      <c r="AT18" s="14" t="str">
        <f t="shared" si="5"/>
        <v>神器-1-碎片-1-13级</v>
      </c>
      <c r="AU18" s="13" t="s">
        <v>1195</v>
      </c>
      <c r="AV18" s="13">
        <f t="shared" si="6"/>
        <v>13</v>
      </c>
      <c r="AW18" s="14">
        <f t="shared" si="7"/>
        <v>396</v>
      </c>
      <c r="AX18" s="14" t="str">
        <f t="shared" si="8"/>
        <v>AtkExt</v>
      </c>
      <c r="AY18" s="14">
        <f t="shared" si="9"/>
        <v>56</v>
      </c>
      <c r="AZ18" s="14" t="str">
        <f t="shared" si="10"/>
        <v>HPExt</v>
      </c>
      <c r="BA18" s="14">
        <f t="shared" si="11"/>
        <v>116</v>
      </c>
      <c r="BB18" s="14" t="str">
        <f t="shared" si="12"/>
        <v/>
      </c>
      <c r="BC18" s="14" t="str">
        <f t="shared" si="13"/>
        <v/>
      </c>
      <c r="BD18" s="14" t="str">
        <f t="shared" si="14"/>
        <v/>
      </c>
      <c r="BE18" s="14" t="str">
        <f t="shared" si="15"/>
        <v/>
      </c>
    </row>
    <row r="19" spans="19:57" ht="16.5" x14ac:dyDescent="0.2">
      <c r="S19" s="13">
        <v>3</v>
      </c>
      <c r="T19" s="13">
        <v>5</v>
      </c>
      <c r="U19" s="13">
        <v>3</v>
      </c>
      <c r="V19" s="14">
        <f t="shared" si="16"/>
        <v>8</v>
      </c>
      <c r="W19" s="13">
        <v>1606015</v>
      </c>
      <c r="X19" s="14">
        <f t="shared" si="19"/>
        <v>431.2968463886063</v>
      </c>
      <c r="Y19" s="14">
        <f t="shared" si="20"/>
        <v>0</v>
      </c>
      <c r="Z19" s="14">
        <f t="shared" si="21"/>
        <v>898.23050847457625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2"/>
        <v>神器3-5</v>
      </c>
      <c r="AM19" s="13">
        <v>14</v>
      </c>
      <c r="AN19" s="14">
        <f t="shared" si="18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3</v>
      </c>
      <c r="AR19" s="14">
        <f t="shared" si="3"/>
        <v>0</v>
      </c>
      <c r="AS19" s="14">
        <f t="shared" si="4"/>
        <v>1606003</v>
      </c>
      <c r="AT19" s="14" t="str">
        <f t="shared" si="5"/>
        <v>神器-1-碎片-1-14级</v>
      </c>
      <c r="AU19" s="13" t="s">
        <v>1195</v>
      </c>
      <c r="AV19" s="13">
        <f t="shared" si="6"/>
        <v>14</v>
      </c>
      <c r="AW19" s="14">
        <f t="shared" si="7"/>
        <v>433</v>
      </c>
      <c r="AX19" s="14" t="str">
        <f t="shared" si="8"/>
        <v>AtkExt</v>
      </c>
      <c r="AY19" s="14">
        <f t="shared" si="9"/>
        <v>61</v>
      </c>
      <c r="AZ19" s="14" t="str">
        <f t="shared" si="10"/>
        <v>HPExt</v>
      </c>
      <c r="BA19" s="14">
        <f t="shared" si="11"/>
        <v>128</v>
      </c>
      <c r="BB19" s="14" t="str">
        <f t="shared" si="12"/>
        <v/>
      </c>
      <c r="BC19" s="14" t="str">
        <f t="shared" si="13"/>
        <v/>
      </c>
      <c r="BD19" s="14" t="str">
        <f t="shared" si="14"/>
        <v/>
      </c>
      <c r="BE19" s="14" t="str">
        <f t="shared" si="15"/>
        <v/>
      </c>
    </row>
    <row r="20" spans="19:57" ht="16.5" x14ac:dyDescent="0.2">
      <c r="S20" s="13">
        <v>3</v>
      </c>
      <c r="T20" s="13">
        <v>6</v>
      </c>
      <c r="U20" s="13">
        <v>4</v>
      </c>
      <c r="V20" s="14">
        <f t="shared" si="16"/>
        <v>12</v>
      </c>
      <c r="W20" s="13">
        <v>1606016</v>
      </c>
      <c r="X20" s="14">
        <f t="shared" si="19"/>
        <v>1940.8358087487281</v>
      </c>
      <c r="Y20" s="14">
        <f t="shared" si="20"/>
        <v>0</v>
      </c>
      <c r="Z20" s="14">
        <f t="shared" si="21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2"/>
        <v>神器3-6</v>
      </c>
      <c r="AM20" s="13">
        <v>15</v>
      </c>
      <c r="AN20" s="14">
        <f t="shared" si="18"/>
        <v>1</v>
      </c>
      <c r="AO20" s="29">
        <f t="shared" si="0"/>
        <v>1.248</v>
      </c>
      <c r="AP20" s="14">
        <f t="shared" si="1"/>
        <v>1</v>
      </c>
      <c r="AQ20" s="14">
        <f t="shared" si="2"/>
        <v>3</v>
      </c>
      <c r="AR20" s="14">
        <f t="shared" si="3"/>
        <v>0</v>
      </c>
      <c r="AS20" s="14">
        <f t="shared" si="4"/>
        <v>1606003</v>
      </c>
      <c r="AT20" s="14" t="str">
        <f t="shared" si="5"/>
        <v>神器-1-碎片-1-15级</v>
      </c>
      <c r="AU20" s="13" t="s">
        <v>1195</v>
      </c>
      <c r="AV20" s="13">
        <f t="shared" si="6"/>
        <v>15</v>
      </c>
      <c r="AW20" s="14">
        <f t="shared" si="7"/>
        <v>475</v>
      </c>
      <c r="AX20" s="14" t="str">
        <f t="shared" si="8"/>
        <v>AtkExt</v>
      </c>
      <c r="AY20" s="14">
        <f t="shared" si="9"/>
        <v>67</v>
      </c>
      <c r="AZ20" s="14" t="str">
        <f t="shared" si="10"/>
        <v>HPExt</v>
      </c>
      <c r="BA20" s="14">
        <f t="shared" si="11"/>
        <v>140</v>
      </c>
      <c r="BB20" s="14" t="str">
        <f t="shared" si="12"/>
        <v/>
      </c>
      <c r="BC20" s="14" t="str">
        <f t="shared" si="13"/>
        <v/>
      </c>
      <c r="BD20" s="14" t="str">
        <f t="shared" si="14"/>
        <v/>
      </c>
      <c r="BE20" s="14" t="str">
        <f t="shared" si="15"/>
        <v/>
      </c>
    </row>
    <row r="21" spans="19:57" ht="16.5" x14ac:dyDescent="0.2">
      <c r="S21" s="13">
        <v>4</v>
      </c>
      <c r="T21" s="13">
        <v>1</v>
      </c>
      <c r="U21" s="13">
        <v>1</v>
      </c>
      <c r="V21" s="14">
        <f t="shared" si="16"/>
        <v>5</v>
      </c>
      <c r="W21" s="13">
        <v>1606017</v>
      </c>
      <c r="X21" s="14">
        <f t="shared" si="19"/>
        <v>539.12105798575783</v>
      </c>
      <c r="Y21" s="14">
        <f t="shared" si="20"/>
        <v>0</v>
      </c>
      <c r="Z21" s="14">
        <f t="shared" si="21"/>
        <v>280.69703389830511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2"/>
        <v>神器4-1</v>
      </c>
      <c r="AM21" s="13">
        <v>16</v>
      </c>
      <c r="AN21" s="14">
        <f t="shared" si="18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4"/>
        <v>1606004</v>
      </c>
      <c r="AT21" s="14" t="str">
        <f t="shared" si="5"/>
        <v>神器-1-碎片-2-1级</v>
      </c>
      <c r="AU21" s="13" t="s">
        <v>1195</v>
      </c>
      <c r="AV21" s="13">
        <f t="shared" si="6"/>
        <v>1</v>
      </c>
      <c r="AW21" s="14">
        <f t="shared" si="7"/>
        <v>135</v>
      </c>
      <c r="AX21" s="14" t="str">
        <f t="shared" si="8"/>
        <v>AtkExt</v>
      </c>
      <c r="AY21" s="14">
        <f t="shared" si="9"/>
        <v>5</v>
      </c>
      <c r="AZ21" s="14" t="str">
        <f t="shared" si="10"/>
        <v>DefExt</v>
      </c>
      <c r="BA21" s="14">
        <f t="shared" si="11"/>
        <v>11</v>
      </c>
      <c r="BB21" s="14" t="str">
        <f t="shared" si="12"/>
        <v/>
      </c>
      <c r="BC21" s="14" t="str">
        <f t="shared" si="13"/>
        <v/>
      </c>
      <c r="BD21" s="14" t="str">
        <f t="shared" si="14"/>
        <v/>
      </c>
      <c r="BE21" s="14" t="str">
        <f t="shared" si="15"/>
        <v/>
      </c>
    </row>
    <row r="22" spans="19:57" ht="16.5" x14ac:dyDescent="0.2">
      <c r="S22" s="13">
        <v>4</v>
      </c>
      <c r="T22" s="13">
        <v>2</v>
      </c>
      <c r="U22" s="13">
        <v>1</v>
      </c>
      <c r="V22" s="14">
        <f t="shared" si="16"/>
        <v>5</v>
      </c>
      <c r="W22" s="13">
        <v>1606018</v>
      </c>
      <c r="X22" s="14">
        <f t="shared" si="19"/>
        <v>539.12105798575783</v>
      </c>
      <c r="Y22" s="14">
        <f t="shared" si="20"/>
        <v>277.173640167364</v>
      </c>
      <c r="Z22" s="14">
        <f t="shared" si="21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2"/>
        <v>神器4-2</v>
      </c>
      <c r="AM22" s="13">
        <v>17</v>
      </c>
      <c r="AN22" s="14">
        <f t="shared" si="18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4"/>
        <v>1606004</v>
      </c>
      <c r="AT22" s="14" t="str">
        <f t="shared" si="5"/>
        <v>神器-1-碎片-2-2级</v>
      </c>
      <c r="AU22" s="13" t="s">
        <v>1195</v>
      </c>
      <c r="AV22" s="13">
        <f t="shared" si="6"/>
        <v>2</v>
      </c>
      <c r="AW22" s="14">
        <f t="shared" si="7"/>
        <v>210</v>
      </c>
      <c r="AX22" s="14" t="str">
        <f t="shared" si="8"/>
        <v>AtkExt</v>
      </c>
      <c r="AY22" s="14">
        <f t="shared" si="9"/>
        <v>8</v>
      </c>
      <c r="AZ22" s="14" t="str">
        <f t="shared" si="10"/>
        <v>DefExt</v>
      </c>
      <c r="BA22" s="14">
        <f t="shared" si="11"/>
        <v>17</v>
      </c>
      <c r="BB22" s="14" t="str">
        <f t="shared" si="12"/>
        <v/>
      </c>
      <c r="BC22" s="14" t="str">
        <f t="shared" si="13"/>
        <v/>
      </c>
      <c r="BD22" s="14" t="str">
        <f t="shared" si="14"/>
        <v/>
      </c>
      <c r="BE22" s="14" t="str">
        <f t="shared" si="15"/>
        <v/>
      </c>
    </row>
    <row r="23" spans="19:57" ht="16.5" x14ac:dyDescent="0.2">
      <c r="S23" s="13">
        <v>4</v>
      </c>
      <c r="T23" s="13">
        <v>3</v>
      </c>
      <c r="U23" s="13">
        <v>2</v>
      </c>
      <c r="V23" s="14">
        <f t="shared" si="16"/>
        <v>7.5</v>
      </c>
      <c r="W23" s="13">
        <v>1606019</v>
      </c>
      <c r="X23" s="14">
        <f t="shared" si="19"/>
        <v>808.6815869786368</v>
      </c>
      <c r="Y23" s="14">
        <f t="shared" si="20"/>
        <v>0</v>
      </c>
      <c r="Z23" s="14">
        <f t="shared" si="21"/>
        <v>421.0455508474576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2"/>
        <v>神器4-3</v>
      </c>
      <c r="AM23" s="13">
        <v>18</v>
      </c>
      <c r="AN23" s="14">
        <f t="shared" si="18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4"/>
        <v>1606004</v>
      </c>
      <c r="AT23" s="14" t="str">
        <f t="shared" si="5"/>
        <v>神器-1-碎片-2-3级</v>
      </c>
      <c r="AU23" s="13" t="s">
        <v>1195</v>
      </c>
      <c r="AV23" s="13">
        <f t="shared" si="6"/>
        <v>3</v>
      </c>
      <c r="AW23" s="14">
        <f t="shared" si="7"/>
        <v>300</v>
      </c>
      <c r="AX23" s="14" t="str">
        <f t="shared" si="8"/>
        <v>AtkExt</v>
      </c>
      <c r="AY23" s="14">
        <f t="shared" si="9"/>
        <v>12</v>
      </c>
      <c r="AZ23" s="14" t="str">
        <f t="shared" si="10"/>
        <v>DefExt</v>
      </c>
      <c r="BA23" s="14">
        <f t="shared" si="11"/>
        <v>24</v>
      </c>
      <c r="BB23" s="14" t="str">
        <f t="shared" si="12"/>
        <v/>
      </c>
      <c r="BC23" s="14" t="str">
        <f t="shared" si="13"/>
        <v/>
      </c>
      <c r="BD23" s="14" t="str">
        <f t="shared" si="14"/>
        <v/>
      </c>
      <c r="BE23" s="14" t="str">
        <f t="shared" si="15"/>
        <v/>
      </c>
    </row>
    <row r="24" spans="19:57" ht="16.5" x14ac:dyDescent="0.2">
      <c r="S24" s="13">
        <v>4</v>
      </c>
      <c r="T24" s="13">
        <v>4</v>
      </c>
      <c r="U24" s="13">
        <v>2</v>
      </c>
      <c r="V24" s="14">
        <f t="shared" si="16"/>
        <v>7.5</v>
      </c>
      <c r="W24" s="13">
        <v>1606020</v>
      </c>
      <c r="X24" s="14">
        <f t="shared" si="19"/>
        <v>808.6815869786368</v>
      </c>
      <c r="Y24" s="14">
        <f t="shared" si="20"/>
        <v>0</v>
      </c>
      <c r="Z24" s="14">
        <f t="shared" si="21"/>
        <v>421.0455508474576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2"/>
        <v>神器4-4</v>
      </c>
      <c r="AM24" s="13">
        <v>19</v>
      </c>
      <c r="AN24" s="14">
        <f t="shared" si="18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4"/>
        <v>1606004</v>
      </c>
      <c r="AT24" s="14" t="str">
        <f t="shared" si="5"/>
        <v>神器-1-碎片-2-4级</v>
      </c>
      <c r="AU24" s="13" t="s">
        <v>1195</v>
      </c>
      <c r="AV24" s="13">
        <f t="shared" si="6"/>
        <v>4</v>
      </c>
      <c r="AW24" s="14">
        <f t="shared" si="7"/>
        <v>385</v>
      </c>
      <c r="AX24" s="14" t="str">
        <f t="shared" si="8"/>
        <v>AtkExt</v>
      </c>
      <c r="AY24" s="14">
        <f t="shared" si="9"/>
        <v>15</v>
      </c>
      <c r="AZ24" s="14" t="str">
        <f t="shared" si="10"/>
        <v>DefExt</v>
      </c>
      <c r="BA24" s="14">
        <f t="shared" si="11"/>
        <v>31</v>
      </c>
      <c r="BB24" s="14" t="str">
        <f t="shared" si="12"/>
        <v/>
      </c>
      <c r="BC24" s="14" t="str">
        <f t="shared" si="13"/>
        <v/>
      </c>
      <c r="BD24" s="14" t="str">
        <f t="shared" si="14"/>
        <v/>
      </c>
      <c r="BE24" s="14" t="str">
        <f t="shared" si="15"/>
        <v/>
      </c>
    </row>
    <row r="25" spans="19:57" ht="16.5" x14ac:dyDescent="0.2">
      <c r="S25" s="13">
        <v>4</v>
      </c>
      <c r="T25" s="13">
        <v>5</v>
      </c>
      <c r="U25" s="13">
        <v>3</v>
      </c>
      <c r="V25" s="14">
        <f t="shared" si="16"/>
        <v>10</v>
      </c>
      <c r="W25" s="13">
        <v>1606021</v>
      </c>
      <c r="X25" s="14">
        <f t="shared" si="19"/>
        <v>539.12105798575783</v>
      </c>
      <c r="Y25" s="14">
        <f t="shared" si="20"/>
        <v>554.347280334728</v>
      </c>
      <c r="Z25" s="14">
        <f t="shared" si="21"/>
        <v>561.39406779661022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2"/>
        <v>神器4-5</v>
      </c>
      <c r="AM25" s="13">
        <v>20</v>
      </c>
      <c r="AN25" s="14">
        <f t="shared" si="18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4"/>
        <v>1606004</v>
      </c>
      <c r="AT25" s="14" t="str">
        <f t="shared" si="5"/>
        <v>神器-1-碎片-2-5级</v>
      </c>
      <c r="AU25" s="13" t="s">
        <v>1195</v>
      </c>
      <c r="AV25" s="13">
        <f t="shared" si="6"/>
        <v>5</v>
      </c>
      <c r="AW25" s="14">
        <f t="shared" si="7"/>
        <v>485</v>
      </c>
      <c r="AX25" s="14" t="str">
        <f t="shared" si="8"/>
        <v>AtkExt</v>
      </c>
      <c r="AY25" s="14">
        <f t="shared" si="9"/>
        <v>19</v>
      </c>
      <c r="AZ25" s="14" t="str">
        <f t="shared" si="10"/>
        <v>DefExt</v>
      </c>
      <c r="BA25" s="14">
        <f t="shared" si="11"/>
        <v>39</v>
      </c>
      <c r="BB25" s="14" t="str">
        <f t="shared" si="12"/>
        <v/>
      </c>
      <c r="BC25" s="14" t="str">
        <f t="shared" si="13"/>
        <v/>
      </c>
      <c r="BD25" s="14" t="str">
        <f t="shared" si="14"/>
        <v/>
      </c>
      <c r="BE25" s="14" t="str">
        <f t="shared" si="15"/>
        <v/>
      </c>
    </row>
    <row r="26" spans="19:57" ht="16.5" x14ac:dyDescent="0.2">
      <c r="S26" s="13">
        <v>4</v>
      </c>
      <c r="T26" s="13">
        <v>6</v>
      </c>
      <c r="U26" s="13">
        <v>4</v>
      </c>
      <c r="V26" s="14">
        <f t="shared" si="16"/>
        <v>15</v>
      </c>
      <c r="W26" s="13">
        <v>1606022</v>
      </c>
      <c r="X26" s="14">
        <f t="shared" si="19"/>
        <v>0</v>
      </c>
      <c r="Y26" s="14">
        <f t="shared" si="20"/>
        <v>0</v>
      </c>
      <c r="Z26" s="14">
        <f t="shared" si="21"/>
        <v>2526.273305084746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2"/>
        <v>神器4-6</v>
      </c>
      <c r="AM26" s="13">
        <v>21</v>
      </c>
      <c r="AN26" s="14">
        <f t="shared" si="18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4"/>
        <v>1606004</v>
      </c>
      <c r="AT26" s="14" t="str">
        <f t="shared" si="5"/>
        <v>神器-1-碎片-2-6级</v>
      </c>
      <c r="AU26" s="13" t="s">
        <v>1195</v>
      </c>
      <c r="AV26" s="13">
        <f t="shared" si="6"/>
        <v>6</v>
      </c>
      <c r="AW26" s="14">
        <f t="shared" si="7"/>
        <v>585</v>
      </c>
      <c r="AX26" s="14" t="str">
        <f t="shared" si="8"/>
        <v>AtkExt</v>
      </c>
      <c r="AY26" s="14">
        <f t="shared" si="9"/>
        <v>23</v>
      </c>
      <c r="AZ26" s="14" t="str">
        <f t="shared" si="10"/>
        <v>DefExt</v>
      </c>
      <c r="BA26" s="14">
        <f t="shared" si="11"/>
        <v>47</v>
      </c>
      <c r="BB26" s="14" t="str">
        <f t="shared" si="12"/>
        <v/>
      </c>
      <c r="BC26" s="14" t="str">
        <f t="shared" si="13"/>
        <v/>
      </c>
      <c r="BD26" s="14" t="str">
        <f t="shared" si="14"/>
        <v/>
      </c>
      <c r="BE26" s="14" t="str">
        <f t="shared" si="15"/>
        <v/>
      </c>
    </row>
    <row r="27" spans="19:57" ht="16.5" x14ac:dyDescent="0.2">
      <c r="S27" s="13">
        <v>5</v>
      </c>
      <c r="T27" s="13">
        <v>1</v>
      </c>
      <c r="U27" s="13">
        <v>1</v>
      </c>
      <c r="V27" s="14">
        <f t="shared" si="16"/>
        <v>6</v>
      </c>
      <c r="W27" s="13">
        <v>1606023</v>
      </c>
      <c r="X27" s="14">
        <f t="shared" si="19"/>
        <v>0</v>
      </c>
      <c r="Y27" s="14">
        <f t="shared" si="20"/>
        <v>665.21673640167364</v>
      </c>
      <c r="Z27" s="14">
        <f t="shared" si="21"/>
        <v>336.8364406779661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2"/>
        <v>神器5-1</v>
      </c>
      <c r="AM27" s="13">
        <v>22</v>
      </c>
      <c r="AN27" s="14">
        <f t="shared" si="18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4"/>
        <v>1606004</v>
      </c>
      <c r="AT27" s="14" t="str">
        <f t="shared" si="5"/>
        <v>神器-1-碎片-2-7级</v>
      </c>
      <c r="AU27" s="13" t="s">
        <v>1195</v>
      </c>
      <c r="AV27" s="13">
        <f t="shared" si="6"/>
        <v>7</v>
      </c>
      <c r="AW27" s="14">
        <f t="shared" si="7"/>
        <v>685</v>
      </c>
      <c r="AX27" s="14" t="str">
        <f t="shared" si="8"/>
        <v>AtkExt</v>
      </c>
      <c r="AY27" s="14">
        <f t="shared" si="9"/>
        <v>27</v>
      </c>
      <c r="AZ27" s="14" t="str">
        <f t="shared" si="10"/>
        <v>DefExt</v>
      </c>
      <c r="BA27" s="14">
        <f t="shared" si="11"/>
        <v>55</v>
      </c>
      <c r="BB27" s="14" t="str">
        <f t="shared" si="12"/>
        <v/>
      </c>
      <c r="BC27" s="14" t="str">
        <f t="shared" si="13"/>
        <v/>
      </c>
      <c r="BD27" s="14" t="str">
        <f t="shared" si="14"/>
        <v/>
      </c>
      <c r="BE27" s="14" t="str">
        <f t="shared" si="15"/>
        <v/>
      </c>
    </row>
    <row r="28" spans="19:57" ht="16.5" x14ac:dyDescent="0.2">
      <c r="S28" s="13">
        <v>5</v>
      </c>
      <c r="T28" s="13">
        <v>2</v>
      </c>
      <c r="U28" s="13">
        <v>1</v>
      </c>
      <c r="V28" s="14">
        <f t="shared" si="16"/>
        <v>6</v>
      </c>
      <c r="W28" s="13">
        <v>1606024</v>
      </c>
      <c r="X28" s="14">
        <f t="shared" si="19"/>
        <v>0</v>
      </c>
      <c r="Y28" s="14">
        <f t="shared" si="20"/>
        <v>665.21673640167364</v>
      </c>
      <c r="Z28" s="14">
        <f t="shared" si="21"/>
        <v>336.8364406779661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2"/>
        <v>神器5-2</v>
      </c>
      <c r="AM28" s="13">
        <v>23</v>
      </c>
      <c r="AN28" s="14">
        <f t="shared" si="18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4"/>
        <v>1606004</v>
      </c>
      <c r="AT28" s="14" t="str">
        <f t="shared" si="5"/>
        <v>神器-1-碎片-2-8级</v>
      </c>
      <c r="AU28" s="13" t="s">
        <v>1195</v>
      </c>
      <c r="AV28" s="13">
        <f t="shared" si="6"/>
        <v>8</v>
      </c>
      <c r="AW28" s="14">
        <f t="shared" si="7"/>
        <v>795</v>
      </c>
      <c r="AX28" s="14" t="str">
        <f t="shared" si="8"/>
        <v>AtkExt</v>
      </c>
      <c r="AY28" s="14">
        <f t="shared" si="9"/>
        <v>31</v>
      </c>
      <c r="AZ28" s="14" t="str">
        <f t="shared" si="10"/>
        <v>DefExt</v>
      </c>
      <c r="BA28" s="14">
        <f t="shared" si="11"/>
        <v>64</v>
      </c>
      <c r="BB28" s="14" t="str">
        <f t="shared" si="12"/>
        <v/>
      </c>
      <c r="BC28" s="14" t="str">
        <f t="shared" si="13"/>
        <v/>
      </c>
      <c r="BD28" s="14" t="str">
        <f t="shared" si="14"/>
        <v/>
      </c>
      <c r="BE28" s="14" t="str">
        <f t="shared" si="15"/>
        <v/>
      </c>
    </row>
    <row r="29" spans="19:57" ht="16.5" x14ac:dyDescent="0.2">
      <c r="S29" s="13">
        <v>5</v>
      </c>
      <c r="T29" s="13">
        <v>3</v>
      </c>
      <c r="U29" s="13">
        <v>2</v>
      </c>
      <c r="V29" s="14">
        <f t="shared" si="16"/>
        <v>9</v>
      </c>
      <c r="W29" s="13">
        <v>1606025</v>
      </c>
      <c r="X29" s="14">
        <f t="shared" si="19"/>
        <v>485.20895218718204</v>
      </c>
      <c r="Y29" s="14">
        <f t="shared" si="20"/>
        <v>997.82510460251035</v>
      </c>
      <c r="Z29" s="14">
        <f t="shared" si="21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2"/>
        <v>神器5-3</v>
      </c>
      <c r="AM29" s="13">
        <v>24</v>
      </c>
      <c r="AN29" s="14">
        <f t="shared" si="18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4"/>
        <v>1606004</v>
      </c>
      <c r="AT29" s="14" t="str">
        <f t="shared" si="5"/>
        <v>神器-1-碎片-2-9级</v>
      </c>
      <c r="AU29" s="13" t="s">
        <v>1195</v>
      </c>
      <c r="AV29" s="13">
        <f t="shared" si="6"/>
        <v>9</v>
      </c>
      <c r="AW29" s="14">
        <f t="shared" si="7"/>
        <v>910</v>
      </c>
      <c r="AX29" s="14" t="str">
        <f t="shared" si="8"/>
        <v>AtkExt</v>
      </c>
      <c r="AY29" s="14">
        <f t="shared" si="9"/>
        <v>36</v>
      </c>
      <c r="AZ29" s="14" t="str">
        <f t="shared" si="10"/>
        <v>DefExt</v>
      </c>
      <c r="BA29" s="14">
        <f t="shared" si="11"/>
        <v>73</v>
      </c>
      <c r="BB29" s="14" t="str">
        <f t="shared" si="12"/>
        <v/>
      </c>
      <c r="BC29" s="14" t="str">
        <f t="shared" si="13"/>
        <v/>
      </c>
      <c r="BD29" s="14" t="str">
        <f t="shared" si="14"/>
        <v/>
      </c>
      <c r="BE29" s="14" t="str">
        <f t="shared" si="15"/>
        <v/>
      </c>
    </row>
    <row r="30" spans="19:57" ht="16.5" x14ac:dyDescent="0.2">
      <c r="S30" s="13">
        <v>5</v>
      </c>
      <c r="T30" s="13">
        <v>4</v>
      </c>
      <c r="U30" s="13">
        <v>2</v>
      </c>
      <c r="V30" s="14">
        <f t="shared" si="16"/>
        <v>9</v>
      </c>
      <c r="W30" s="13">
        <v>1606026</v>
      </c>
      <c r="X30" s="14">
        <f t="shared" si="19"/>
        <v>0</v>
      </c>
      <c r="Y30" s="14">
        <f t="shared" si="20"/>
        <v>997.82510460251035</v>
      </c>
      <c r="Z30" s="14">
        <f t="shared" si="21"/>
        <v>505.25466101694911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2"/>
        <v>神器5-4</v>
      </c>
      <c r="AM30" s="13">
        <v>25</v>
      </c>
      <c r="AN30" s="14">
        <f t="shared" si="18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4"/>
        <v>1606004</v>
      </c>
      <c r="AT30" s="14" t="str">
        <f t="shared" si="5"/>
        <v>神器-1-碎片-2-10级</v>
      </c>
      <c r="AU30" s="13" t="s">
        <v>1195</v>
      </c>
      <c r="AV30" s="13">
        <f t="shared" si="6"/>
        <v>10</v>
      </c>
      <c r="AW30" s="14">
        <f t="shared" si="7"/>
        <v>1030</v>
      </c>
      <c r="AX30" s="14" t="str">
        <f t="shared" si="8"/>
        <v>AtkExt</v>
      </c>
      <c r="AY30" s="14">
        <f t="shared" si="9"/>
        <v>40</v>
      </c>
      <c r="AZ30" s="14" t="str">
        <f t="shared" si="10"/>
        <v>DefExt</v>
      </c>
      <c r="BA30" s="14">
        <f t="shared" si="11"/>
        <v>83</v>
      </c>
      <c r="BB30" s="14" t="str">
        <f t="shared" si="12"/>
        <v/>
      </c>
      <c r="BC30" s="14" t="str">
        <f t="shared" si="13"/>
        <v/>
      </c>
      <c r="BD30" s="14" t="str">
        <f t="shared" si="14"/>
        <v/>
      </c>
      <c r="BE30" s="14" t="str">
        <f t="shared" si="15"/>
        <v/>
      </c>
    </row>
    <row r="31" spans="19:57" ht="16.5" x14ac:dyDescent="0.2">
      <c r="S31" s="13">
        <v>5</v>
      </c>
      <c r="T31" s="13">
        <v>5</v>
      </c>
      <c r="U31" s="13">
        <v>3</v>
      </c>
      <c r="V31" s="14">
        <f t="shared" si="16"/>
        <v>12</v>
      </c>
      <c r="W31" s="13">
        <v>1606027</v>
      </c>
      <c r="X31" s="14">
        <f t="shared" si="19"/>
        <v>646.94526958290942</v>
      </c>
      <c r="Y31" s="14">
        <f t="shared" si="20"/>
        <v>665.21673640167364</v>
      </c>
      <c r="Z31" s="14">
        <f t="shared" si="21"/>
        <v>673.67288135593219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2"/>
        <v>神器5-5</v>
      </c>
      <c r="AM31" s="13">
        <v>26</v>
      </c>
      <c r="AN31" s="14">
        <f t="shared" si="18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4"/>
        <v>1606004</v>
      </c>
      <c r="AT31" s="14" t="str">
        <f t="shared" si="5"/>
        <v>神器-1-碎片-2-11级</v>
      </c>
      <c r="AU31" s="13" t="s">
        <v>1195</v>
      </c>
      <c r="AV31" s="13">
        <f t="shared" si="6"/>
        <v>11</v>
      </c>
      <c r="AW31" s="14">
        <f t="shared" si="7"/>
        <v>1155</v>
      </c>
      <c r="AX31" s="14" t="str">
        <f t="shared" si="8"/>
        <v>AtkExt</v>
      </c>
      <c r="AY31" s="14">
        <f t="shared" si="9"/>
        <v>45</v>
      </c>
      <c r="AZ31" s="14" t="str">
        <f t="shared" si="10"/>
        <v>DefExt</v>
      </c>
      <c r="BA31" s="14">
        <f t="shared" si="11"/>
        <v>93</v>
      </c>
      <c r="BB31" s="14" t="str">
        <f t="shared" si="12"/>
        <v/>
      </c>
      <c r="BC31" s="14" t="str">
        <f t="shared" si="13"/>
        <v/>
      </c>
      <c r="BD31" s="14" t="str">
        <f t="shared" si="14"/>
        <v/>
      </c>
      <c r="BE31" s="14" t="str">
        <f t="shared" si="15"/>
        <v/>
      </c>
    </row>
    <row r="32" spans="19:57" ht="16.5" x14ac:dyDescent="0.2">
      <c r="S32" s="13">
        <v>5</v>
      </c>
      <c r="T32" s="13">
        <v>6</v>
      </c>
      <c r="U32" s="13">
        <v>4</v>
      </c>
      <c r="V32" s="14">
        <f t="shared" si="16"/>
        <v>18</v>
      </c>
      <c r="W32" s="13">
        <v>1606028</v>
      </c>
      <c r="X32" s="14">
        <f t="shared" si="19"/>
        <v>0</v>
      </c>
      <c r="Y32" s="14">
        <f t="shared" si="20"/>
        <v>2993.4753138075312</v>
      </c>
      <c r="Z32" s="14">
        <f t="shared" si="21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2"/>
        <v>神器5-6</v>
      </c>
      <c r="AM32" s="13">
        <v>27</v>
      </c>
      <c r="AN32" s="14">
        <f t="shared" si="18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4"/>
        <v>1606004</v>
      </c>
      <c r="AT32" s="14" t="str">
        <f t="shared" si="5"/>
        <v>神器-1-碎片-2-12级</v>
      </c>
      <c r="AU32" s="13" t="s">
        <v>1195</v>
      </c>
      <c r="AV32" s="13">
        <f t="shared" si="6"/>
        <v>12</v>
      </c>
      <c r="AW32" s="14">
        <f t="shared" si="7"/>
        <v>1290</v>
      </c>
      <c r="AX32" s="14" t="str">
        <f t="shared" si="8"/>
        <v>AtkExt</v>
      </c>
      <c r="AY32" s="14">
        <f t="shared" si="9"/>
        <v>50</v>
      </c>
      <c r="AZ32" s="14" t="str">
        <f t="shared" si="10"/>
        <v>DefExt</v>
      </c>
      <c r="BA32" s="14">
        <f t="shared" si="11"/>
        <v>104</v>
      </c>
      <c r="BB32" s="14" t="str">
        <f t="shared" si="12"/>
        <v/>
      </c>
      <c r="BC32" s="14" t="str">
        <f t="shared" si="13"/>
        <v/>
      </c>
      <c r="BD32" s="14" t="str">
        <f t="shared" si="14"/>
        <v/>
      </c>
      <c r="BE32" s="14" t="str">
        <f t="shared" si="15"/>
        <v/>
      </c>
    </row>
    <row r="33" spans="19:57" ht="16.5" x14ac:dyDescent="0.2">
      <c r="S33" s="13">
        <v>6</v>
      </c>
      <c r="T33" s="13">
        <v>1</v>
      </c>
      <c r="U33" s="13">
        <v>2</v>
      </c>
      <c r="V33" s="14">
        <f t="shared" si="16"/>
        <v>12</v>
      </c>
      <c r="W33" s="13">
        <v>1606029</v>
      </c>
      <c r="X33" s="14">
        <f t="shared" si="19"/>
        <v>1293.8905391658188</v>
      </c>
      <c r="Y33" s="14">
        <f t="shared" si="20"/>
        <v>665.21673640167364</v>
      </c>
      <c r="Z33" s="14">
        <f t="shared" si="21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2"/>
        <v>神器6-1</v>
      </c>
      <c r="AM33" s="13">
        <v>28</v>
      </c>
      <c r="AN33" s="14">
        <f t="shared" si="18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4"/>
        <v>1606004</v>
      </c>
      <c r="AT33" s="14" t="str">
        <f t="shared" si="5"/>
        <v>神器-1-碎片-2-13级</v>
      </c>
      <c r="AU33" s="13" t="s">
        <v>1195</v>
      </c>
      <c r="AV33" s="13">
        <f t="shared" si="6"/>
        <v>13</v>
      </c>
      <c r="AW33" s="14">
        <f t="shared" si="7"/>
        <v>1430</v>
      </c>
      <c r="AX33" s="14" t="str">
        <f t="shared" si="8"/>
        <v>AtkExt</v>
      </c>
      <c r="AY33" s="14">
        <f t="shared" si="9"/>
        <v>56</v>
      </c>
      <c r="AZ33" s="14" t="str">
        <f t="shared" si="10"/>
        <v>DefExt</v>
      </c>
      <c r="BA33" s="14">
        <f t="shared" si="11"/>
        <v>115</v>
      </c>
      <c r="BB33" s="14" t="str">
        <f t="shared" si="12"/>
        <v/>
      </c>
      <c r="BC33" s="14" t="str">
        <f t="shared" si="13"/>
        <v/>
      </c>
      <c r="BD33" s="14" t="str">
        <f t="shared" si="14"/>
        <v/>
      </c>
      <c r="BE33" s="14" t="str">
        <f t="shared" si="15"/>
        <v/>
      </c>
    </row>
    <row r="34" spans="19:57" ht="16.5" x14ac:dyDescent="0.2">
      <c r="S34" s="13">
        <v>6</v>
      </c>
      <c r="T34" s="13">
        <v>2</v>
      </c>
      <c r="U34" s="13">
        <v>2</v>
      </c>
      <c r="V34" s="14">
        <f t="shared" si="16"/>
        <v>12</v>
      </c>
      <c r="W34" s="13">
        <v>1606030</v>
      </c>
      <c r="X34" s="14">
        <f t="shared" si="19"/>
        <v>0</v>
      </c>
      <c r="Y34" s="14">
        <f t="shared" si="20"/>
        <v>1330.4334728033473</v>
      </c>
      <c r="Z34" s="14">
        <f t="shared" si="21"/>
        <v>673.67288135593219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2"/>
        <v>神器6-2</v>
      </c>
      <c r="AM34" s="13">
        <v>29</v>
      </c>
      <c r="AN34" s="14">
        <f t="shared" si="18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4"/>
        <v>1606004</v>
      </c>
      <c r="AT34" s="14" t="str">
        <f t="shared" si="5"/>
        <v>神器-1-碎片-2-14级</v>
      </c>
      <c r="AU34" s="13" t="s">
        <v>1195</v>
      </c>
      <c r="AV34" s="13">
        <f t="shared" si="6"/>
        <v>14</v>
      </c>
      <c r="AW34" s="14">
        <f t="shared" si="7"/>
        <v>1565</v>
      </c>
      <c r="AX34" s="14" t="str">
        <f t="shared" si="8"/>
        <v>AtkExt</v>
      </c>
      <c r="AY34" s="14">
        <f t="shared" si="9"/>
        <v>61</v>
      </c>
      <c r="AZ34" s="14" t="str">
        <f t="shared" si="10"/>
        <v>DefExt</v>
      </c>
      <c r="BA34" s="14">
        <f t="shared" si="11"/>
        <v>126</v>
      </c>
      <c r="BB34" s="14" t="str">
        <f t="shared" si="12"/>
        <v/>
      </c>
      <c r="BC34" s="14" t="str">
        <f t="shared" si="13"/>
        <v/>
      </c>
      <c r="BD34" s="14" t="str">
        <f t="shared" si="14"/>
        <v/>
      </c>
      <c r="BE34" s="14" t="str">
        <f t="shared" si="15"/>
        <v/>
      </c>
    </row>
    <row r="35" spans="19:57" ht="16.5" x14ac:dyDescent="0.2">
      <c r="S35" s="13">
        <v>6</v>
      </c>
      <c r="T35" s="13">
        <v>3</v>
      </c>
      <c r="U35" s="13">
        <v>2</v>
      </c>
      <c r="V35" s="14">
        <f t="shared" si="16"/>
        <v>12</v>
      </c>
      <c r="W35" s="13">
        <v>1606031</v>
      </c>
      <c r="X35" s="14">
        <f t="shared" si="19"/>
        <v>646.94526958290942</v>
      </c>
      <c r="Y35" s="14">
        <f t="shared" si="20"/>
        <v>665.21673640167364</v>
      </c>
      <c r="Z35" s="14">
        <f t="shared" si="21"/>
        <v>673.67288135593219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2"/>
        <v>神器6-3</v>
      </c>
      <c r="AM35" s="13">
        <v>30</v>
      </c>
      <c r="AN35" s="14">
        <f t="shared" si="18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4"/>
        <v>1606004</v>
      </c>
      <c r="AT35" s="14" t="str">
        <f t="shared" si="5"/>
        <v>神器-1-碎片-2-15级</v>
      </c>
      <c r="AU35" s="13" t="s">
        <v>1195</v>
      </c>
      <c r="AV35" s="13">
        <f t="shared" si="6"/>
        <v>15</v>
      </c>
      <c r="AW35" s="14">
        <f t="shared" si="7"/>
        <v>1715</v>
      </c>
      <c r="AX35" s="14" t="str">
        <f t="shared" si="8"/>
        <v>AtkExt</v>
      </c>
      <c r="AY35" s="14">
        <f t="shared" si="9"/>
        <v>67</v>
      </c>
      <c r="AZ35" s="14" t="str">
        <f t="shared" si="10"/>
        <v>DefExt</v>
      </c>
      <c r="BA35" s="14">
        <f t="shared" si="11"/>
        <v>138</v>
      </c>
      <c r="BB35" s="14" t="str">
        <f t="shared" si="12"/>
        <v/>
      </c>
      <c r="BC35" s="14" t="str">
        <f t="shared" si="13"/>
        <v/>
      </c>
      <c r="BD35" s="14" t="str">
        <f t="shared" si="14"/>
        <v/>
      </c>
      <c r="BE35" s="14" t="str">
        <f t="shared" si="15"/>
        <v/>
      </c>
    </row>
    <row r="36" spans="19:57" ht="16.5" x14ac:dyDescent="0.2">
      <c r="S36" s="13">
        <v>6</v>
      </c>
      <c r="T36" s="13">
        <v>4</v>
      </c>
      <c r="U36" s="13">
        <v>3</v>
      </c>
      <c r="V36" s="14">
        <f t="shared" si="16"/>
        <v>16</v>
      </c>
      <c r="W36" s="13">
        <v>1606032</v>
      </c>
      <c r="X36" s="14">
        <f t="shared" si="19"/>
        <v>862.5936927772126</v>
      </c>
      <c r="Y36" s="14">
        <f t="shared" si="20"/>
        <v>1773.9112970711296</v>
      </c>
      <c r="Z36" s="14">
        <f t="shared" si="21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2"/>
        <v>神器6-4</v>
      </c>
      <c r="AM36" s="13">
        <v>31</v>
      </c>
      <c r="AN36" s="14">
        <f t="shared" si="18"/>
        <v>3</v>
      </c>
      <c r="AO36" s="29">
        <f t="shared" si="0"/>
        <v>0.1</v>
      </c>
      <c r="AP36" s="14">
        <f t="shared" si="1"/>
        <v>1</v>
      </c>
      <c r="AQ36" s="14">
        <f t="shared" si="2"/>
        <v>3</v>
      </c>
      <c r="AR36" s="14">
        <f t="shared" si="3"/>
        <v>0</v>
      </c>
      <c r="AS36" s="14">
        <f t="shared" si="4"/>
        <v>1606005</v>
      </c>
      <c r="AT36" s="14" t="str">
        <f t="shared" si="5"/>
        <v>神器-1-碎片-3-1级</v>
      </c>
      <c r="AU36" s="13" t="s">
        <v>1195</v>
      </c>
      <c r="AV36" s="13">
        <f t="shared" si="6"/>
        <v>1</v>
      </c>
      <c r="AW36" s="14">
        <f t="shared" si="7"/>
        <v>57</v>
      </c>
      <c r="AX36" s="14" t="str">
        <f t="shared" si="8"/>
        <v>AtkExt</v>
      </c>
      <c r="AY36" s="14">
        <f t="shared" si="9"/>
        <v>8</v>
      </c>
      <c r="AZ36" s="14" t="str">
        <f t="shared" si="10"/>
        <v>HPExt</v>
      </c>
      <c r="BA36" s="14">
        <f t="shared" si="11"/>
        <v>17</v>
      </c>
      <c r="BB36" s="14" t="str">
        <f t="shared" si="12"/>
        <v/>
      </c>
      <c r="BC36" s="14" t="str">
        <f t="shared" si="13"/>
        <v/>
      </c>
      <c r="BD36" s="14" t="str">
        <f t="shared" si="14"/>
        <v/>
      </c>
      <c r="BE36" s="14" t="str">
        <f t="shared" si="15"/>
        <v/>
      </c>
    </row>
    <row r="37" spans="19:57" ht="16.5" x14ac:dyDescent="0.2">
      <c r="S37" s="13">
        <v>6</v>
      </c>
      <c r="T37" s="13">
        <v>5</v>
      </c>
      <c r="U37" s="13">
        <v>3</v>
      </c>
      <c r="V37" s="14">
        <f t="shared" si="16"/>
        <v>16</v>
      </c>
      <c r="W37" s="13">
        <v>1606033</v>
      </c>
      <c r="X37" s="14">
        <f t="shared" si="19"/>
        <v>862.5936927772126</v>
      </c>
      <c r="Y37" s="14">
        <f t="shared" si="20"/>
        <v>0</v>
      </c>
      <c r="Z37" s="14">
        <f t="shared" si="21"/>
        <v>1796.4610169491525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2"/>
        <v>神器6-5</v>
      </c>
      <c r="AM37" s="13">
        <v>32</v>
      </c>
      <c r="AN37" s="14">
        <f t="shared" si="18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3</v>
      </c>
      <c r="AR37" s="14">
        <f t="shared" si="3"/>
        <v>0</v>
      </c>
      <c r="AS37" s="14">
        <f t="shared" si="4"/>
        <v>1606005</v>
      </c>
      <c r="AT37" s="14" t="str">
        <f t="shared" si="5"/>
        <v>神器-1-碎片-3-2级</v>
      </c>
      <c r="AU37" s="13" t="s">
        <v>1195</v>
      </c>
      <c r="AV37" s="13">
        <f t="shared" si="6"/>
        <v>2</v>
      </c>
      <c r="AW37" s="14">
        <f t="shared" si="7"/>
        <v>91</v>
      </c>
      <c r="AX37" s="14" t="str">
        <f t="shared" si="8"/>
        <v>AtkExt</v>
      </c>
      <c r="AY37" s="14">
        <f t="shared" si="9"/>
        <v>13</v>
      </c>
      <c r="AZ37" s="14" t="str">
        <f t="shared" si="10"/>
        <v>HPExt</v>
      </c>
      <c r="BA37" s="14">
        <f t="shared" si="11"/>
        <v>26</v>
      </c>
      <c r="BB37" s="14" t="str">
        <f t="shared" si="12"/>
        <v/>
      </c>
      <c r="BC37" s="14" t="str">
        <f t="shared" si="13"/>
        <v/>
      </c>
      <c r="BD37" s="14" t="str">
        <f t="shared" si="14"/>
        <v/>
      </c>
      <c r="BE37" s="14" t="str">
        <f t="shared" si="15"/>
        <v/>
      </c>
    </row>
    <row r="38" spans="19:57" ht="16.5" x14ac:dyDescent="0.2">
      <c r="S38" s="13">
        <v>6</v>
      </c>
      <c r="T38" s="13">
        <v>6</v>
      </c>
      <c r="U38" s="13">
        <v>3</v>
      </c>
      <c r="V38" s="14">
        <f t="shared" si="16"/>
        <v>16</v>
      </c>
      <c r="W38" s="13">
        <v>1606034</v>
      </c>
      <c r="X38" s="14">
        <f t="shared" si="19"/>
        <v>862.5936927772126</v>
      </c>
      <c r="Y38" s="14">
        <f t="shared" si="20"/>
        <v>886.95564853556482</v>
      </c>
      <c r="Z38" s="14">
        <f t="shared" si="21"/>
        <v>898.23050847457625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2"/>
        <v>神器6-6</v>
      </c>
      <c r="AM38" s="13">
        <v>33</v>
      </c>
      <c r="AN38" s="14">
        <f t="shared" si="18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3</v>
      </c>
      <c r="AR38" s="14">
        <f t="shared" si="3"/>
        <v>0</v>
      </c>
      <c r="AS38" s="14">
        <f t="shared" si="4"/>
        <v>1606005</v>
      </c>
      <c r="AT38" s="14" t="str">
        <f t="shared" si="5"/>
        <v>神器-1-碎片-3-3级</v>
      </c>
      <c r="AU38" s="13" t="s">
        <v>1195</v>
      </c>
      <c r="AV38" s="13">
        <f t="shared" si="6"/>
        <v>3</v>
      </c>
      <c r="AW38" s="14">
        <f t="shared" si="7"/>
        <v>121</v>
      </c>
      <c r="AX38" s="14" t="str">
        <f t="shared" si="8"/>
        <v>AtkExt</v>
      </c>
      <c r="AY38" s="14">
        <f t="shared" si="9"/>
        <v>17</v>
      </c>
      <c r="AZ38" s="14" t="str">
        <f t="shared" si="10"/>
        <v>HPExt</v>
      </c>
      <c r="BA38" s="14">
        <f t="shared" si="11"/>
        <v>36</v>
      </c>
      <c r="BB38" s="14" t="str">
        <f t="shared" si="12"/>
        <v/>
      </c>
      <c r="BC38" s="14" t="str">
        <f t="shared" si="13"/>
        <v/>
      </c>
      <c r="BD38" s="14" t="str">
        <f t="shared" si="14"/>
        <v/>
      </c>
      <c r="BE38" s="14" t="str">
        <f t="shared" si="15"/>
        <v/>
      </c>
    </row>
    <row r="39" spans="19:57" ht="16.5" x14ac:dyDescent="0.2">
      <c r="S39" s="13">
        <v>6</v>
      </c>
      <c r="T39" s="13">
        <v>7</v>
      </c>
      <c r="U39" s="13">
        <v>4</v>
      </c>
      <c r="V39" s="14">
        <f t="shared" si="16"/>
        <v>24</v>
      </c>
      <c r="W39" s="13">
        <v>1606035</v>
      </c>
      <c r="X39" s="14">
        <f t="shared" si="19"/>
        <v>2587.7810783316377</v>
      </c>
      <c r="Y39" s="14">
        <f t="shared" si="20"/>
        <v>2660.8669456066946</v>
      </c>
      <c r="Z39" s="14">
        <f t="shared" si="21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2"/>
        <v>神器6-7</v>
      </c>
      <c r="AM39" s="13">
        <v>34</v>
      </c>
      <c r="AN39" s="14">
        <f t="shared" si="18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3</v>
      </c>
      <c r="AR39" s="14">
        <f t="shared" si="3"/>
        <v>0</v>
      </c>
      <c r="AS39" s="14">
        <f t="shared" si="4"/>
        <v>1606005</v>
      </c>
      <c r="AT39" s="14" t="str">
        <f t="shared" si="5"/>
        <v>神器-1-碎片-3-4级</v>
      </c>
      <c r="AU39" s="13" t="s">
        <v>1195</v>
      </c>
      <c r="AV39" s="13">
        <f t="shared" si="6"/>
        <v>4</v>
      </c>
      <c r="AW39" s="14">
        <f t="shared" si="7"/>
        <v>162</v>
      </c>
      <c r="AX39" s="14" t="str">
        <f t="shared" si="8"/>
        <v>AtkExt</v>
      </c>
      <c r="AY39" s="14">
        <f t="shared" si="9"/>
        <v>23</v>
      </c>
      <c r="AZ39" s="14" t="str">
        <f t="shared" si="10"/>
        <v>HPExt</v>
      </c>
      <c r="BA39" s="14">
        <f t="shared" si="11"/>
        <v>47</v>
      </c>
      <c r="BB39" s="14" t="str">
        <f t="shared" si="12"/>
        <v/>
      </c>
      <c r="BC39" s="14" t="str">
        <f t="shared" si="13"/>
        <v/>
      </c>
      <c r="BD39" s="14" t="str">
        <f t="shared" si="14"/>
        <v/>
      </c>
      <c r="BE39" s="14" t="str">
        <f t="shared" si="15"/>
        <v/>
      </c>
    </row>
    <row r="40" spans="19:57" ht="16.5" x14ac:dyDescent="0.2">
      <c r="S40" s="13">
        <v>6</v>
      </c>
      <c r="T40" s="13">
        <v>8</v>
      </c>
      <c r="U40" s="13">
        <v>4</v>
      </c>
      <c r="V40" s="14">
        <f t="shared" si="16"/>
        <v>24</v>
      </c>
      <c r="W40" s="13">
        <v>1606036</v>
      </c>
      <c r="X40" s="14">
        <f t="shared" si="19"/>
        <v>0</v>
      </c>
      <c r="Y40" s="14">
        <f t="shared" si="20"/>
        <v>2660.8669456066946</v>
      </c>
      <c r="Z40" s="14">
        <f t="shared" si="21"/>
        <v>2694.6915254237288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2"/>
        <v>神器6-8</v>
      </c>
      <c r="AM40" s="13">
        <v>35</v>
      </c>
      <c r="AN40" s="14">
        <f t="shared" si="18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3</v>
      </c>
      <c r="AR40" s="14">
        <f t="shared" si="3"/>
        <v>0</v>
      </c>
      <c r="AS40" s="14">
        <f t="shared" si="4"/>
        <v>1606005</v>
      </c>
      <c r="AT40" s="14" t="str">
        <f t="shared" si="5"/>
        <v>神器-1-碎片-3-5级</v>
      </c>
      <c r="AU40" s="13" t="s">
        <v>1195</v>
      </c>
      <c r="AV40" s="13">
        <f t="shared" si="6"/>
        <v>5</v>
      </c>
      <c r="AW40" s="14">
        <f t="shared" si="7"/>
        <v>199</v>
      </c>
      <c r="AX40" s="14" t="str">
        <f t="shared" si="8"/>
        <v>AtkExt</v>
      </c>
      <c r="AY40" s="14">
        <f t="shared" si="9"/>
        <v>28</v>
      </c>
      <c r="AZ40" s="14" t="str">
        <f t="shared" si="10"/>
        <v>HPExt</v>
      </c>
      <c r="BA40" s="14">
        <f t="shared" si="11"/>
        <v>59</v>
      </c>
      <c r="BB40" s="14" t="str">
        <f t="shared" si="12"/>
        <v/>
      </c>
      <c r="BC40" s="14" t="str">
        <f t="shared" si="13"/>
        <v/>
      </c>
      <c r="BD40" s="14" t="str">
        <f t="shared" si="14"/>
        <v/>
      </c>
      <c r="BE40" s="14" t="str">
        <f t="shared" si="15"/>
        <v/>
      </c>
    </row>
    <row r="41" spans="19:57" ht="16.5" x14ac:dyDescent="0.2">
      <c r="S41" s="13">
        <v>7</v>
      </c>
      <c r="T41" s="13">
        <v>1</v>
      </c>
      <c r="U41" s="13">
        <v>2</v>
      </c>
      <c r="V41" s="14">
        <f t="shared" si="16"/>
        <v>15</v>
      </c>
      <c r="W41" s="13">
        <v>1606037</v>
      </c>
      <c r="X41" s="14">
        <f t="shared" si="19"/>
        <v>808.6815869786368</v>
      </c>
      <c r="Y41" s="14">
        <f t="shared" si="20"/>
        <v>0</v>
      </c>
      <c r="Z41" s="14">
        <f t="shared" si="21"/>
        <v>1684.1822033898304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2"/>
        <v>神器7-1</v>
      </c>
      <c r="AM41" s="13">
        <v>36</v>
      </c>
      <c r="AN41" s="14">
        <f t="shared" si="18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3</v>
      </c>
      <c r="AR41" s="14">
        <f t="shared" si="3"/>
        <v>0</v>
      </c>
      <c r="AS41" s="14">
        <f t="shared" si="4"/>
        <v>1606005</v>
      </c>
      <c r="AT41" s="14" t="str">
        <f t="shared" si="5"/>
        <v>神器-1-碎片-3-6级</v>
      </c>
      <c r="AU41" s="13" t="s">
        <v>1195</v>
      </c>
      <c r="AV41" s="13">
        <f t="shared" si="6"/>
        <v>6</v>
      </c>
      <c r="AW41" s="14">
        <f t="shared" si="7"/>
        <v>241</v>
      </c>
      <c r="AX41" s="14" t="str">
        <f t="shared" si="8"/>
        <v>AtkExt</v>
      </c>
      <c r="AY41" s="14">
        <f t="shared" si="9"/>
        <v>34</v>
      </c>
      <c r="AZ41" s="14" t="str">
        <f t="shared" si="10"/>
        <v>HPExt</v>
      </c>
      <c r="BA41" s="14">
        <f t="shared" si="11"/>
        <v>71</v>
      </c>
      <c r="BB41" s="14" t="str">
        <f t="shared" si="12"/>
        <v/>
      </c>
      <c r="BC41" s="14" t="str">
        <f t="shared" si="13"/>
        <v/>
      </c>
      <c r="BD41" s="14" t="str">
        <f t="shared" si="14"/>
        <v/>
      </c>
      <c r="BE41" s="14" t="str">
        <f t="shared" si="15"/>
        <v/>
      </c>
    </row>
    <row r="42" spans="19:57" ht="16.5" x14ac:dyDescent="0.2">
      <c r="S42" s="13">
        <v>7</v>
      </c>
      <c r="T42" s="13">
        <v>2</v>
      </c>
      <c r="U42" s="13">
        <v>2</v>
      </c>
      <c r="V42" s="14">
        <f t="shared" si="16"/>
        <v>15</v>
      </c>
      <c r="W42" s="13">
        <v>1606038</v>
      </c>
      <c r="X42" s="14">
        <f t="shared" si="19"/>
        <v>1617.3631739572736</v>
      </c>
      <c r="Y42" s="14">
        <f t="shared" si="20"/>
        <v>831.52092050209205</v>
      </c>
      <c r="Z42" s="14">
        <f t="shared" si="21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2"/>
        <v>神器7-2</v>
      </c>
      <c r="AM42" s="13">
        <v>37</v>
      </c>
      <c r="AN42" s="14">
        <f t="shared" si="18"/>
        <v>3</v>
      </c>
      <c r="AO42" s="29">
        <f t="shared" si="0"/>
        <v>0.496</v>
      </c>
      <c r="AP42" s="14">
        <f t="shared" si="1"/>
        <v>1</v>
      </c>
      <c r="AQ42" s="14">
        <f t="shared" si="2"/>
        <v>3</v>
      </c>
      <c r="AR42" s="14">
        <f t="shared" si="3"/>
        <v>0</v>
      </c>
      <c r="AS42" s="14">
        <f t="shared" si="4"/>
        <v>1606005</v>
      </c>
      <c r="AT42" s="14" t="str">
        <f t="shared" si="5"/>
        <v>神器-1-碎片-3-7级</v>
      </c>
      <c r="AU42" s="13" t="s">
        <v>1195</v>
      </c>
      <c r="AV42" s="13">
        <f t="shared" si="6"/>
        <v>7</v>
      </c>
      <c r="AW42" s="14">
        <f t="shared" si="7"/>
        <v>284</v>
      </c>
      <c r="AX42" s="14" t="str">
        <f t="shared" si="8"/>
        <v>AtkExt</v>
      </c>
      <c r="AY42" s="14">
        <f t="shared" si="9"/>
        <v>40</v>
      </c>
      <c r="AZ42" s="14" t="str">
        <f t="shared" si="10"/>
        <v>HPExt</v>
      </c>
      <c r="BA42" s="14">
        <f t="shared" si="11"/>
        <v>84</v>
      </c>
      <c r="BB42" s="14" t="str">
        <f t="shared" si="12"/>
        <v/>
      </c>
      <c r="BC42" s="14" t="str">
        <f t="shared" si="13"/>
        <v/>
      </c>
      <c r="BD42" s="14" t="str">
        <f t="shared" si="14"/>
        <v/>
      </c>
      <c r="BE42" s="14" t="str">
        <f t="shared" si="15"/>
        <v/>
      </c>
    </row>
    <row r="43" spans="19:57" ht="16.5" x14ac:dyDescent="0.2">
      <c r="S43" s="13">
        <v>7</v>
      </c>
      <c r="T43" s="13">
        <v>3</v>
      </c>
      <c r="U43" s="13">
        <v>2</v>
      </c>
      <c r="V43" s="14">
        <f t="shared" si="16"/>
        <v>15</v>
      </c>
      <c r="W43" s="13">
        <v>1606039</v>
      </c>
      <c r="X43" s="14">
        <f t="shared" si="19"/>
        <v>808.6815869786368</v>
      </c>
      <c r="Y43" s="14">
        <f t="shared" si="20"/>
        <v>831.52092050209205</v>
      </c>
      <c r="Z43" s="14">
        <f t="shared" si="21"/>
        <v>842.09110169491521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2"/>
        <v>神器7-3</v>
      </c>
      <c r="AM43" s="13">
        <v>38</v>
      </c>
      <c r="AN43" s="14">
        <f t="shared" si="18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3</v>
      </c>
      <c r="AR43" s="14">
        <f t="shared" si="3"/>
        <v>0</v>
      </c>
      <c r="AS43" s="14">
        <f t="shared" si="4"/>
        <v>1606005</v>
      </c>
      <c r="AT43" s="14" t="str">
        <f t="shared" si="5"/>
        <v>神器-1-碎片-3-8级</v>
      </c>
      <c r="AU43" s="13" t="s">
        <v>1195</v>
      </c>
      <c r="AV43" s="13">
        <f t="shared" si="6"/>
        <v>8</v>
      </c>
      <c r="AW43" s="14">
        <f t="shared" si="7"/>
        <v>332</v>
      </c>
      <c r="AX43" s="14" t="str">
        <f t="shared" si="8"/>
        <v>AtkExt</v>
      </c>
      <c r="AY43" s="14">
        <f t="shared" si="9"/>
        <v>47</v>
      </c>
      <c r="AZ43" s="14" t="str">
        <f t="shared" si="10"/>
        <v>HPExt</v>
      </c>
      <c r="BA43" s="14">
        <f t="shared" si="11"/>
        <v>97</v>
      </c>
      <c r="BB43" s="14" t="str">
        <f t="shared" si="12"/>
        <v/>
      </c>
      <c r="BC43" s="14" t="str">
        <f t="shared" si="13"/>
        <v/>
      </c>
      <c r="BD43" s="14" t="str">
        <f t="shared" si="14"/>
        <v/>
      </c>
      <c r="BE43" s="14" t="str">
        <f t="shared" si="15"/>
        <v/>
      </c>
    </row>
    <row r="44" spans="19:57" ht="16.5" x14ac:dyDescent="0.2">
      <c r="S44" s="13">
        <v>7</v>
      </c>
      <c r="T44" s="13">
        <v>4</v>
      </c>
      <c r="U44" s="13">
        <v>3</v>
      </c>
      <c r="V44" s="14">
        <f t="shared" si="16"/>
        <v>20</v>
      </c>
      <c r="W44" s="13">
        <v>1606040</v>
      </c>
      <c r="X44" s="14">
        <f t="shared" si="19"/>
        <v>2156.4842319430313</v>
      </c>
      <c r="Y44" s="14">
        <f t="shared" si="20"/>
        <v>1108.694560669456</v>
      </c>
      <c r="Z44" s="14">
        <f t="shared" si="21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2"/>
        <v>神器7-4</v>
      </c>
      <c r="AM44" s="13">
        <v>39</v>
      </c>
      <c r="AN44" s="14">
        <f t="shared" si="18"/>
        <v>3</v>
      </c>
      <c r="AO44" s="29">
        <f t="shared" si="0"/>
        <v>0.66</v>
      </c>
      <c r="AP44" s="14">
        <f t="shared" si="1"/>
        <v>1</v>
      </c>
      <c r="AQ44" s="14">
        <f t="shared" si="2"/>
        <v>3</v>
      </c>
      <c r="AR44" s="14">
        <f t="shared" si="3"/>
        <v>0</v>
      </c>
      <c r="AS44" s="14">
        <f t="shared" si="4"/>
        <v>1606005</v>
      </c>
      <c r="AT44" s="14" t="str">
        <f t="shared" si="5"/>
        <v>神器-1-碎片-3-9级</v>
      </c>
      <c r="AU44" s="13" t="s">
        <v>1195</v>
      </c>
      <c r="AV44" s="13">
        <f t="shared" si="6"/>
        <v>9</v>
      </c>
      <c r="AW44" s="14">
        <f t="shared" si="7"/>
        <v>376</v>
      </c>
      <c r="AX44" s="14" t="str">
        <f t="shared" si="8"/>
        <v>AtkExt</v>
      </c>
      <c r="AY44" s="14">
        <f t="shared" si="9"/>
        <v>53</v>
      </c>
      <c r="AZ44" s="14" t="str">
        <f t="shared" si="10"/>
        <v>HPExt</v>
      </c>
      <c r="BA44" s="14">
        <f t="shared" si="11"/>
        <v>111</v>
      </c>
      <c r="BB44" s="14" t="str">
        <f t="shared" si="12"/>
        <v/>
      </c>
      <c r="BC44" s="14" t="str">
        <f t="shared" si="13"/>
        <v/>
      </c>
      <c r="BD44" s="14" t="str">
        <f t="shared" si="14"/>
        <v/>
      </c>
      <c r="BE44" s="14" t="str">
        <f t="shared" si="15"/>
        <v/>
      </c>
    </row>
    <row r="45" spans="19:57" ht="16.5" x14ac:dyDescent="0.2">
      <c r="S45" s="13">
        <v>7</v>
      </c>
      <c r="T45" s="13">
        <v>5</v>
      </c>
      <c r="U45" s="13">
        <v>3</v>
      </c>
      <c r="V45" s="14">
        <f t="shared" si="16"/>
        <v>20</v>
      </c>
      <c r="W45" s="13">
        <v>1606041</v>
      </c>
      <c r="X45" s="14">
        <f t="shared" si="19"/>
        <v>0</v>
      </c>
      <c r="Y45" s="14">
        <f t="shared" si="20"/>
        <v>2217.389121338912</v>
      </c>
      <c r="Z45" s="14">
        <f t="shared" si="21"/>
        <v>1122.7881355932204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2"/>
        <v>神器7-5</v>
      </c>
      <c r="AM45" s="13">
        <v>40</v>
      </c>
      <c r="AN45" s="14">
        <f t="shared" si="18"/>
        <v>3</v>
      </c>
      <c r="AO45" s="29">
        <f t="shared" si="0"/>
        <v>0.748</v>
      </c>
      <c r="AP45" s="14">
        <f t="shared" si="1"/>
        <v>1</v>
      </c>
      <c r="AQ45" s="14">
        <f t="shared" si="2"/>
        <v>3</v>
      </c>
      <c r="AR45" s="14">
        <f t="shared" si="3"/>
        <v>0</v>
      </c>
      <c r="AS45" s="14">
        <f t="shared" si="4"/>
        <v>1606005</v>
      </c>
      <c r="AT45" s="14" t="str">
        <f t="shared" si="5"/>
        <v>神器-1-碎片-3-10级</v>
      </c>
      <c r="AU45" s="13" t="s">
        <v>1195</v>
      </c>
      <c r="AV45" s="13">
        <f t="shared" si="6"/>
        <v>10</v>
      </c>
      <c r="AW45" s="14">
        <f t="shared" si="7"/>
        <v>426</v>
      </c>
      <c r="AX45" s="14" t="str">
        <f t="shared" si="8"/>
        <v>AtkExt</v>
      </c>
      <c r="AY45" s="14">
        <f t="shared" si="9"/>
        <v>60</v>
      </c>
      <c r="AZ45" s="14" t="str">
        <f t="shared" si="10"/>
        <v>HPExt</v>
      </c>
      <c r="BA45" s="14">
        <f t="shared" si="11"/>
        <v>126</v>
      </c>
      <c r="BB45" s="14" t="str">
        <f t="shared" si="12"/>
        <v/>
      </c>
      <c r="BC45" s="14" t="str">
        <f t="shared" si="13"/>
        <v/>
      </c>
      <c r="BD45" s="14" t="str">
        <f t="shared" si="14"/>
        <v/>
      </c>
      <c r="BE45" s="14" t="str">
        <f t="shared" si="15"/>
        <v/>
      </c>
    </row>
    <row r="46" spans="19:57" ht="16.5" x14ac:dyDescent="0.2">
      <c r="S46" s="13">
        <v>7</v>
      </c>
      <c r="T46" s="13">
        <v>6</v>
      </c>
      <c r="U46" s="13">
        <v>3</v>
      </c>
      <c r="V46" s="14">
        <f t="shared" si="16"/>
        <v>20</v>
      </c>
      <c r="W46" s="13">
        <v>1606042</v>
      </c>
      <c r="X46" s="14">
        <f t="shared" si="19"/>
        <v>1078.2421159715157</v>
      </c>
      <c r="Y46" s="14">
        <f t="shared" si="20"/>
        <v>1108.694560669456</v>
      </c>
      <c r="Z46" s="14">
        <f t="shared" si="21"/>
        <v>1122.7881355932204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2"/>
        <v>神器7-6</v>
      </c>
      <c r="AM46" s="13">
        <v>41</v>
      </c>
      <c r="AN46" s="14">
        <f t="shared" si="18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3</v>
      </c>
      <c r="AR46" s="14">
        <f t="shared" si="3"/>
        <v>0</v>
      </c>
      <c r="AS46" s="14">
        <f t="shared" si="4"/>
        <v>1606005</v>
      </c>
      <c r="AT46" s="14" t="str">
        <f t="shared" si="5"/>
        <v>神器-1-碎片-3-11级</v>
      </c>
      <c r="AU46" s="13" t="s">
        <v>1195</v>
      </c>
      <c r="AV46" s="13">
        <f t="shared" si="6"/>
        <v>11</v>
      </c>
      <c r="AW46" s="14">
        <f t="shared" si="7"/>
        <v>481</v>
      </c>
      <c r="AX46" s="14" t="str">
        <f t="shared" si="8"/>
        <v>AtkExt</v>
      </c>
      <c r="AY46" s="14">
        <f t="shared" si="9"/>
        <v>68</v>
      </c>
      <c r="AZ46" s="14" t="str">
        <f t="shared" si="10"/>
        <v>HPExt</v>
      </c>
      <c r="BA46" s="14">
        <f t="shared" si="11"/>
        <v>141</v>
      </c>
      <c r="BB46" s="14" t="str">
        <f t="shared" si="12"/>
        <v/>
      </c>
      <c r="BC46" s="14" t="str">
        <f t="shared" si="13"/>
        <v/>
      </c>
      <c r="BD46" s="14" t="str">
        <f t="shared" si="14"/>
        <v/>
      </c>
      <c r="BE46" s="14" t="str">
        <f t="shared" si="15"/>
        <v/>
      </c>
    </row>
    <row r="47" spans="19:57" ht="16.5" x14ac:dyDescent="0.2">
      <c r="S47" s="13">
        <v>7</v>
      </c>
      <c r="T47" s="13">
        <v>7</v>
      </c>
      <c r="U47" s="13">
        <v>4</v>
      </c>
      <c r="V47" s="14">
        <f t="shared" si="16"/>
        <v>30</v>
      </c>
      <c r="W47" s="13">
        <v>1606043</v>
      </c>
      <c r="X47" s="14">
        <f t="shared" si="19"/>
        <v>3234.7263479145472</v>
      </c>
      <c r="Y47" s="14">
        <f t="shared" si="20"/>
        <v>0</v>
      </c>
      <c r="Z47" s="14">
        <f t="shared" si="21"/>
        <v>3368.3644067796608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2"/>
        <v>神器7-7</v>
      </c>
      <c r="AM47" s="13">
        <v>42</v>
      </c>
      <c r="AN47" s="14">
        <f t="shared" si="18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3</v>
      </c>
      <c r="AR47" s="14">
        <f t="shared" si="3"/>
        <v>0</v>
      </c>
      <c r="AS47" s="14">
        <f t="shared" si="4"/>
        <v>1606005</v>
      </c>
      <c r="AT47" s="14" t="str">
        <f t="shared" si="5"/>
        <v>神器-1-碎片-3-12级</v>
      </c>
      <c r="AU47" s="13" t="s">
        <v>1195</v>
      </c>
      <c r="AV47" s="13">
        <f t="shared" si="6"/>
        <v>12</v>
      </c>
      <c r="AW47" s="14">
        <f t="shared" si="7"/>
        <v>538</v>
      </c>
      <c r="AX47" s="14" t="str">
        <f t="shared" si="8"/>
        <v>AtkExt</v>
      </c>
      <c r="AY47" s="14">
        <f t="shared" si="9"/>
        <v>76</v>
      </c>
      <c r="AZ47" s="14" t="str">
        <f t="shared" si="10"/>
        <v>HPExt</v>
      </c>
      <c r="BA47" s="14">
        <f t="shared" si="11"/>
        <v>158</v>
      </c>
      <c r="BB47" s="14" t="str">
        <f t="shared" si="12"/>
        <v/>
      </c>
      <c r="BC47" s="14" t="str">
        <f t="shared" si="13"/>
        <v/>
      </c>
      <c r="BD47" s="14" t="str">
        <f t="shared" si="14"/>
        <v/>
      </c>
      <c r="BE47" s="14" t="str">
        <f t="shared" si="15"/>
        <v/>
      </c>
    </row>
    <row r="48" spans="19:57" ht="16.5" x14ac:dyDescent="0.2">
      <c r="S48" s="13">
        <v>7</v>
      </c>
      <c r="T48" s="13">
        <v>8</v>
      </c>
      <c r="U48" s="13">
        <v>4</v>
      </c>
      <c r="V48" s="14">
        <f t="shared" si="16"/>
        <v>30</v>
      </c>
      <c r="W48" s="13">
        <v>1606044</v>
      </c>
      <c r="X48" s="14">
        <f t="shared" si="19"/>
        <v>1617.3631739572736</v>
      </c>
      <c r="Y48" s="14">
        <f t="shared" si="20"/>
        <v>0</v>
      </c>
      <c r="Z48" s="14">
        <f t="shared" si="21"/>
        <v>1684.1822033898304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2"/>
        <v>神器7-8</v>
      </c>
      <c r="AK48" s="30"/>
      <c r="AM48" s="13">
        <v>43</v>
      </c>
      <c r="AN48" s="14">
        <f t="shared" si="18"/>
        <v>3</v>
      </c>
      <c r="AO48" s="29">
        <f t="shared" si="0"/>
        <v>1.036</v>
      </c>
      <c r="AP48" s="14">
        <f t="shared" si="1"/>
        <v>1</v>
      </c>
      <c r="AQ48" s="14">
        <f t="shared" si="2"/>
        <v>3</v>
      </c>
      <c r="AR48" s="14">
        <f t="shared" si="3"/>
        <v>0</v>
      </c>
      <c r="AS48" s="14">
        <f t="shared" si="4"/>
        <v>1606005</v>
      </c>
      <c r="AT48" s="14" t="str">
        <f t="shared" si="5"/>
        <v>神器-1-碎片-3-13级</v>
      </c>
      <c r="AU48" s="13" t="s">
        <v>1195</v>
      </c>
      <c r="AV48" s="13">
        <f t="shared" si="6"/>
        <v>13</v>
      </c>
      <c r="AW48" s="14">
        <f t="shared" si="7"/>
        <v>594</v>
      </c>
      <c r="AX48" s="14" t="str">
        <f t="shared" si="8"/>
        <v>AtkExt</v>
      </c>
      <c r="AY48" s="14">
        <f t="shared" si="9"/>
        <v>84</v>
      </c>
      <c r="AZ48" s="14" t="str">
        <f t="shared" si="10"/>
        <v>HPExt</v>
      </c>
      <c r="BA48" s="14">
        <f t="shared" si="11"/>
        <v>174</v>
      </c>
      <c r="BB48" s="14" t="str">
        <f t="shared" si="12"/>
        <v/>
      </c>
      <c r="BC48" s="14" t="str">
        <f t="shared" si="13"/>
        <v/>
      </c>
      <c r="BD48" s="14" t="str">
        <f t="shared" si="14"/>
        <v/>
      </c>
      <c r="BE48" s="14" t="str">
        <f t="shared" si="15"/>
        <v/>
      </c>
    </row>
    <row r="49" spans="30:57" ht="16.5" x14ac:dyDescent="0.2">
      <c r="AD49" s="30"/>
      <c r="AE49" s="30"/>
      <c r="AF49" s="30"/>
      <c r="AG49" s="30"/>
      <c r="AK49" s="30"/>
      <c r="AM49" s="13">
        <v>44</v>
      </c>
      <c r="AN49" s="14">
        <f t="shared" si="18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3</v>
      </c>
      <c r="AR49" s="14">
        <f t="shared" si="3"/>
        <v>0</v>
      </c>
      <c r="AS49" s="14">
        <f t="shared" si="4"/>
        <v>1606005</v>
      </c>
      <c r="AT49" s="14" t="str">
        <f t="shared" si="5"/>
        <v>神器-1-碎片-3-14级</v>
      </c>
      <c r="AU49" s="13" t="s">
        <v>1195</v>
      </c>
      <c r="AV49" s="13">
        <f t="shared" si="6"/>
        <v>14</v>
      </c>
      <c r="AW49" s="14">
        <f t="shared" si="7"/>
        <v>652</v>
      </c>
      <c r="AX49" s="14" t="str">
        <f t="shared" si="8"/>
        <v>AtkExt</v>
      </c>
      <c r="AY49" s="14">
        <f t="shared" si="9"/>
        <v>92</v>
      </c>
      <c r="AZ49" s="14" t="str">
        <f t="shared" si="10"/>
        <v>HPExt</v>
      </c>
      <c r="BA49" s="14">
        <f t="shared" si="11"/>
        <v>192</v>
      </c>
      <c r="BB49" s="14" t="str">
        <f t="shared" si="12"/>
        <v/>
      </c>
      <c r="BC49" s="14" t="str">
        <f t="shared" si="13"/>
        <v/>
      </c>
      <c r="BD49" s="14" t="str">
        <f t="shared" si="14"/>
        <v/>
      </c>
      <c r="BE49" s="14" t="str">
        <f t="shared" si="15"/>
        <v/>
      </c>
    </row>
    <row r="50" spans="30:57" ht="16.5" x14ac:dyDescent="0.2">
      <c r="AM50" s="13">
        <v>45</v>
      </c>
      <c r="AN50" s="14">
        <f t="shared" si="18"/>
        <v>3</v>
      </c>
      <c r="AO50" s="29">
        <f t="shared" si="0"/>
        <v>1.248</v>
      </c>
      <c r="AP50" s="14">
        <f t="shared" si="1"/>
        <v>1</v>
      </c>
      <c r="AQ50" s="14">
        <f t="shared" si="2"/>
        <v>3</v>
      </c>
      <c r="AR50" s="14">
        <f t="shared" si="3"/>
        <v>0</v>
      </c>
      <c r="AS50" s="14">
        <f t="shared" si="4"/>
        <v>1606005</v>
      </c>
      <c r="AT50" s="14" t="str">
        <f t="shared" si="5"/>
        <v>神器-1-碎片-3-15级</v>
      </c>
      <c r="AU50" s="13" t="s">
        <v>1195</v>
      </c>
      <c r="AV50" s="13">
        <f t="shared" si="6"/>
        <v>15</v>
      </c>
      <c r="AW50" s="14">
        <f t="shared" si="7"/>
        <v>715</v>
      </c>
      <c r="AX50" s="14" t="str">
        <f t="shared" si="8"/>
        <v>AtkExt</v>
      </c>
      <c r="AY50" s="14">
        <f t="shared" si="9"/>
        <v>101</v>
      </c>
      <c r="AZ50" s="14" t="str">
        <f t="shared" si="10"/>
        <v>HPExt</v>
      </c>
      <c r="BA50" s="14">
        <f t="shared" si="11"/>
        <v>210</v>
      </c>
      <c r="BB50" s="14" t="str">
        <f t="shared" si="12"/>
        <v/>
      </c>
      <c r="BC50" s="14" t="str">
        <f t="shared" si="13"/>
        <v/>
      </c>
      <c r="BD50" s="14" t="str">
        <f t="shared" si="14"/>
        <v/>
      </c>
      <c r="BE50" s="14" t="str">
        <f t="shared" si="15"/>
        <v/>
      </c>
    </row>
    <row r="51" spans="30:57" ht="16.5" x14ac:dyDescent="0.2">
      <c r="AM51" s="13">
        <v>46</v>
      </c>
      <c r="AN51" s="14">
        <f t="shared" si="18"/>
        <v>4</v>
      </c>
      <c r="AO51" s="29">
        <f t="shared" si="0"/>
        <v>0.1</v>
      </c>
      <c r="AP51" s="14">
        <f t="shared" si="1"/>
        <v>1</v>
      </c>
      <c r="AQ51" s="14">
        <f t="shared" si="2"/>
        <v>2</v>
      </c>
      <c r="AR51" s="14">
        <f t="shared" si="3"/>
        <v>0</v>
      </c>
      <c r="AS51" s="14">
        <f t="shared" si="4"/>
        <v>1606006</v>
      </c>
      <c r="AT51" s="14" t="str">
        <f t="shared" si="5"/>
        <v>神器-2-碎片-1-1级</v>
      </c>
      <c r="AU51" s="13" t="s">
        <v>1195</v>
      </c>
      <c r="AV51" s="13">
        <f t="shared" si="6"/>
        <v>1</v>
      </c>
      <c r="AW51" s="14">
        <f t="shared" si="7"/>
        <v>220</v>
      </c>
      <c r="AX51" s="14" t="str">
        <f t="shared" si="8"/>
        <v>AtkExt</v>
      </c>
      <c r="AY51" s="14">
        <f t="shared" si="9"/>
        <v>22</v>
      </c>
      <c r="AZ51" s="14" t="str">
        <f t="shared" si="10"/>
        <v>DefExt</v>
      </c>
      <c r="BA51" s="14">
        <f t="shared" si="11"/>
        <v>11</v>
      </c>
      <c r="BB51" s="14" t="str">
        <f t="shared" si="12"/>
        <v/>
      </c>
      <c r="BC51" s="14" t="str">
        <f t="shared" si="13"/>
        <v/>
      </c>
      <c r="BD51" s="14" t="str">
        <f t="shared" si="14"/>
        <v/>
      </c>
      <c r="BE51" s="14" t="str">
        <f t="shared" si="15"/>
        <v/>
      </c>
    </row>
    <row r="52" spans="30:57" ht="16.5" x14ac:dyDescent="0.2">
      <c r="AM52" s="13">
        <v>47</v>
      </c>
      <c r="AN52" s="14">
        <f t="shared" si="18"/>
        <v>4</v>
      </c>
      <c r="AO52" s="29">
        <f t="shared" si="0"/>
        <v>0.15600000000000003</v>
      </c>
      <c r="AP52" s="14">
        <f t="shared" si="1"/>
        <v>1</v>
      </c>
      <c r="AQ52" s="14">
        <f t="shared" si="2"/>
        <v>2</v>
      </c>
      <c r="AR52" s="14">
        <f t="shared" si="3"/>
        <v>0</v>
      </c>
      <c r="AS52" s="14">
        <f t="shared" si="4"/>
        <v>1606006</v>
      </c>
      <c r="AT52" s="14" t="str">
        <f t="shared" si="5"/>
        <v>神器-2-碎片-1-2级</v>
      </c>
      <c r="AU52" s="13" t="s">
        <v>1195</v>
      </c>
      <c r="AV52" s="13">
        <f t="shared" si="6"/>
        <v>2</v>
      </c>
      <c r="AW52" s="14">
        <f t="shared" si="7"/>
        <v>340</v>
      </c>
      <c r="AX52" s="14" t="str">
        <f t="shared" si="8"/>
        <v>AtkExt</v>
      </c>
      <c r="AY52" s="14">
        <f t="shared" si="9"/>
        <v>34</v>
      </c>
      <c r="AZ52" s="14" t="str">
        <f t="shared" si="10"/>
        <v>DefExt</v>
      </c>
      <c r="BA52" s="14">
        <f t="shared" si="11"/>
        <v>17</v>
      </c>
      <c r="BB52" s="14" t="str">
        <f t="shared" si="12"/>
        <v/>
      </c>
      <c r="BC52" s="14" t="str">
        <f t="shared" si="13"/>
        <v/>
      </c>
      <c r="BD52" s="14" t="str">
        <f t="shared" si="14"/>
        <v/>
      </c>
      <c r="BE52" s="14" t="str">
        <f t="shared" si="15"/>
        <v/>
      </c>
    </row>
    <row r="53" spans="30:57" ht="16.5" x14ac:dyDescent="0.2">
      <c r="AM53" s="13">
        <v>48</v>
      </c>
      <c r="AN53" s="14">
        <f t="shared" si="18"/>
        <v>4</v>
      </c>
      <c r="AO53" s="29">
        <f t="shared" si="0"/>
        <v>0.21600000000000003</v>
      </c>
      <c r="AP53" s="14">
        <f t="shared" si="1"/>
        <v>1</v>
      </c>
      <c r="AQ53" s="14">
        <f t="shared" si="2"/>
        <v>2</v>
      </c>
      <c r="AR53" s="14">
        <f t="shared" si="3"/>
        <v>0</v>
      </c>
      <c r="AS53" s="14">
        <f t="shared" si="4"/>
        <v>1606006</v>
      </c>
      <c r="AT53" s="14" t="str">
        <f t="shared" si="5"/>
        <v>神器-2-碎片-1-3级</v>
      </c>
      <c r="AU53" s="13" t="s">
        <v>1195</v>
      </c>
      <c r="AV53" s="13">
        <f t="shared" si="6"/>
        <v>3</v>
      </c>
      <c r="AW53" s="14">
        <f t="shared" si="7"/>
        <v>475</v>
      </c>
      <c r="AX53" s="14" t="str">
        <f t="shared" si="8"/>
        <v>AtkExt</v>
      </c>
      <c r="AY53" s="14">
        <f t="shared" si="9"/>
        <v>47</v>
      </c>
      <c r="AZ53" s="14" t="str">
        <f t="shared" si="10"/>
        <v>DefExt</v>
      </c>
      <c r="BA53" s="14">
        <f t="shared" si="11"/>
        <v>24</v>
      </c>
      <c r="BB53" s="14" t="str">
        <f t="shared" si="12"/>
        <v/>
      </c>
      <c r="BC53" s="14" t="str">
        <f t="shared" si="13"/>
        <v/>
      </c>
      <c r="BD53" s="14" t="str">
        <f t="shared" si="14"/>
        <v/>
      </c>
      <c r="BE53" s="14" t="str">
        <f t="shared" si="15"/>
        <v/>
      </c>
    </row>
    <row r="54" spans="30:57" ht="16.5" x14ac:dyDescent="0.2">
      <c r="AM54" s="13">
        <v>49</v>
      </c>
      <c r="AN54" s="14">
        <f t="shared" si="18"/>
        <v>4</v>
      </c>
      <c r="AO54" s="29">
        <f t="shared" si="0"/>
        <v>0.28000000000000003</v>
      </c>
      <c r="AP54" s="14">
        <f t="shared" si="1"/>
        <v>1</v>
      </c>
      <c r="AQ54" s="14">
        <f t="shared" si="2"/>
        <v>2</v>
      </c>
      <c r="AR54" s="14">
        <f t="shared" si="3"/>
        <v>0</v>
      </c>
      <c r="AS54" s="14">
        <f t="shared" si="4"/>
        <v>1606006</v>
      </c>
      <c r="AT54" s="14" t="str">
        <f t="shared" si="5"/>
        <v>神器-2-碎片-1-4级</v>
      </c>
      <c r="AU54" s="13" t="s">
        <v>1195</v>
      </c>
      <c r="AV54" s="13">
        <f t="shared" si="6"/>
        <v>4</v>
      </c>
      <c r="AW54" s="14">
        <f t="shared" si="7"/>
        <v>610</v>
      </c>
      <c r="AX54" s="14" t="str">
        <f t="shared" si="8"/>
        <v>AtkExt</v>
      </c>
      <c r="AY54" s="14">
        <f t="shared" si="9"/>
        <v>60</v>
      </c>
      <c r="AZ54" s="14" t="str">
        <f t="shared" si="10"/>
        <v>DefExt</v>
      </c>
      <c r="BA54" s="14">
        <f t="shared" si="11"/>
        <v>31</v>
      </c>
      <c r="BB54" s="14" t="str">
        <f t="shared" si="12"/>
        <v/>
      </c>
      <c r="BC54" s="14" t="str">
        <f t="shared" si="13"/>
        <v/>
      </c>
      <c r="BD54" s="14" t="str">
        <f t="shared" si="14"/>
        <v/>
      </c>
      <c r="BE54" s="14" t="str">
        <f t="shared" si="15"/>
        <v/>
      </c>
    </row>
    <row r="55" spans="30:57" ht="16.5" x14ac:dyDescent="0.2">
      <c r="AM55" s="13">
        <v>50</v>
      </c>
      <c r="AN55" s="14">
        <f t="shared" si="18"/>
        <v>4</v>
      </c>
      <c r="AO55" s="29">
        <f t="shared" si="0"/>
        <v>0.34799999999999998</v>
      </c>
      <c r="AP55" s="14">
        <f t="shared" si="1"/>
        <v>1</v>
      </c>
      <c r="AQ55" s="14">
        <f t="shared" si="2"/>
        <v>2</v>
      </c>
      <c r="AR55" s="14">
        <f t="shared" si="3"/>
        <v>0</v>
      </c>
      <c r="AS55" s="14">
        <f t="shared" si="4"/>
        <v>1606006</v>
      </c>
      <c r="AT55" s="14" t="str">
        <f t="shared" si="5"/>
        <v>神器-2-碎片-1-5级</v>
      </c>
      <c r="AU55" s="13" t="s">
        <v>1195</v>
      </c>
      <c r="AV55" s="13">
        <f t="shared" si="6"/>
        <v>5</v>
      </c>
      <c r="AW55" s="14">
        <f t="shared" si="7"/>
        <v>765</v>
      </c>
      <c r="AX55" s="14" t="str">
        <f t="shared" si="8"/>
        <v>AtkExt</v>
      </c>
      <c r="AY55" s="14">
        <f t="shared" si="9"/>
        <v>75</v>
      </c>
      <c r="AZ55" s="14" t="str">
        <f t="shared" si="10"/>
        <v>DefExt</v>
      </c>
      <c r="BA55" s="14">
        <f t="shared" si="11"/>
        <v>39</v>
      </c>
      <c r="BB55" s="14" t="str">
        <f t="shared" si="12"/>
        <v/>
      </c>
      <c r="BC55" s="14" t="str">
        <f t="shared" si="13"/>
        <v/>
      </c>
      <c r="BD55" s="14" t="str">
        <f t="shared" si="14"/>
        <v/>
      </c>
      <c r="BE55" s="14" t="str">
        <f t="shared" si="15"/>
        <v/>
      </c>
    </row>
    <row r="56" spans="30:57" ht="16.5" x14ac:dyDescent="0.2">
      <c r="AM56" s="13">
        <v>51</v>
      </c>
      <c r="AN56" s="14">
        <f t="shared" si="18"/>
        <v>4</v>
      </c>
      <c r="AO56" s="29">
        <f t="shared" si="0"/>
        <v>0.42000000000000004</v>
      </c>
      <c r="AP56" s="14">
        <f t="shared" si="1"/>
        <v>1</v>
      </c>
      <c r="AQ56" s="14">
        <f t="shared" si="2"/>
        <v>2</v>
      </c>
      <c r="AR56" s="14">
        <f t="shared" si="3"/>
        <v>0</v>
      </c>
      <c r="AS56" s="14">
        <f t="shared" si="4"/>
        <v>1606006</v>
      </c>
      <c r="AT56" s="14" t="str">
        <f t="shared" si="5"/>
        <v>神器-2-碎片-1-6级</v>
      </c>
      <c r="AU56" s="13" t="s">
        <v>1195</v>
      </c>
      <c r="AV56" s="13">
        <f t="shared" si="6"/>
        <v>6</v>
      </c>
      <c r="AW56" s="14">
        <f t="shared" si="7"/>
        <v>925</v>
      </c>
      <c r="AX56" s="14" t="str">
        <f t="shared" si="8"/>
        <v>AtkExt</v>
      </c>
      <c r="AY56" s="14">
        <f t="shared" si="9"/>
        <v>91</v>
      </c>
      <c r="AZ56" s="14" t="str">
        <f t="shared" si="10"/>
        <v>DefExt</v>
      </c>
      <c r="BA56" s="14">
        <f t="shared" si="11"/>
        <v>47</v>
      </c>
      <c r="BB56" s="14" t="str">
        <f t="shared" si="12"/>
        <v/>
      </c>
      <c r="BC56" s="14" t="str">
        <f t="shared" si="13"/>
        <v/>
      </c>
      <c r="BD56" s="14" t="str">
        <f t="shared" si="14"/>
        <v/>
      </c>
      <c r="BE56" s="14" t="str">
        <f t="shared" si="15"/>
        <v/>
      </c>
    </row>
    <row r="57" spans="30:57" ht="16.5" x14ac:dyDescent="0.2">
      <c r="AM57" s="13">
        <v>52</v>
      </c>
      <c r="AN57" s="14">
        <f t="shared" si="18"/>
        <v>4</v>
      </c>
      <c r="AO57" s="29">
        <f t="shared" si="0"/>
        <v>0.496</v>
      </c>
      <c r="AP57" s="14">
        <f t="shared" si="1"/>
        <v>1</v>
      </c>
      <c r="AQ57" s="14">
        <f t="shared" si="2"/>
        <v>2</v>
      </c>
      <c r="AR57" s="14">
        <f t="shared" si="3"/>
        <v>0</v>
      </c>
      <c r="AS57" s="14">
        <f t="shared" si="4"/>
        <v>1606006</v>
      </c>
      <c r="AT57" s="14" t="str">
        <f t="shared" si="5"/>
        <v>神器-2-碎片-1-7级</v>
      </c>
      <c r="AU57" s="13" t="s">
        <v>1195</v>
      </c>
      <c r="AV57" s="13">
        <f t="shared" si="6"/>
        <v>7</v>
      </c>
      <c r="AW57" s="14">
        <f t="shared" si="7"/>
        <v>1085</v>
      </c>
      <c r="AX57" s="14" t="str">
        <f t="shared" si="8"/>
        <v>AtkExt</v>
      </c>
      <c r="AY57" s="14">
        <f t="shared" si="9"/>
        <v>107</v>
      </c>
      <c r="AZ57" s="14" t="str">
        <f t="shared" si="10"/>
        <v>DefExt</v>
      </c>
      <c r="BA57" s="14">
        <f t="shared" si="11"/>
        <v>55</v>
      </c>
      <c r="BB57" s="14" t="str">
        <f t="shared" si="12"/>
        <v/>
      </c>
      <c r="BC57" s="14" t="str">
        <f t="shared" si="13"/>
        <v/>
      </c>
      <c r="BD57" s="14" t="str">
        <f t="shared" si="14"/>
        <v/>
      </c>
      <c r="BE57" s="14" t="str">
        <f t="shared" si="15"/>
        <v/>
      </c>
    </row>
    <row r="58" spans="30:57" ht="16.5" x14ac:dyDescent="0.2">
      <c r="AM58" s="13">
        <v>53</v>
      </c>
      <c r="AN58" s="14">
        <f t="shared" si="18"/>
        <v>4</v>
      </c>
      <c r="AO58" s="29">
        <f t="shared" si="0"/>
        <v>0.57600000000000007</v>
      </c>
      <c r="AP58" s="14">
        <f t="shared" si="1"/>
        <v>1</v>
      </c>
      <c r="AQ58" s="14">
        <f t="shared" si="2"/>
        <v>2</v>
      </c>
      <c r="AR58" s="14">
        <f t="shared" si="3"/>
        <v>0</v>
      </c>
      <c r="AS58" s="14">
        <f t="shared" si="4"/>
        <v>1606006</v>
      </c>
      <c r="AT58" s="14" t="str">
        <f t="shared" si="5"/>
        <v>神器-2-碎片-1-8级</v>
      </c>
      <c r="AU58" s="13" t="s">
        <v>1195</v>
      </c>
      <c r="AV58" s="13">
        <f t="shared" si="6"/>
        <v>8</v>
      </c>
      <c r="AW58" s="14">
        <f t="shared" si="7"/>
        <v>1260</v>
      </c>
      <c r="AX58" s="14" t="str">
        <f t="shared" si="8"/>
        <v>AtkExt</v>
      </c>
      <c r="AY58" s="14">
        <f t="shared" si="9"/>
        <v>124</v>
      </c>
      <c r="AZ58" s="14" t="str">
        <f t="shared" si="10"/>
        <v>DefExt</v>
      </c>
      <c r="BA58" s="14">
        <f t="shared" si="11"/>
        <v>64</v>
      </c>
      <c r="BB58" s="14" t="str">
        <f t="shared" si="12"/>
        <v/>
      </c>
      <c r="BC58" s="14" t="str">
        <f t="shared" si="13"/>
        <v/>
      </c>
      <c r="BD58" s="14" t="str">
        <f t="shared" si="14"/>
        <v/>
      </c>
      <c r="BE58" s="14" t="str">
        <f t="shared" si="15"/>
        <v/>
      </c>
    </row>
    <row r="59" spans="30:57" ht="16.5" x14ac:dyDescent="0.2">
      <c r="AM59" s="13">
        <v>54</v>
      </c>
      <c r="AN59" s="14">
        <f t="shared" si="18"/>
        <v>4</v>
      </c>
      <c r="AO59" s="29">
        <f t="shared" si="0"/>
        <v>0.66</v>
      </c>
      <c r="AP59" s="14">
        <f t="shared" si="1"/>
        <v>1</v>
      </c>
      <c r="AQ59" s="14">
        <f t="shared" si="2"/>
        <v>2</v>
      </c>
      <c r="AR59" s="14">
        <f t="shared" si="3"/>
        <v>0</v>
      </c>
      <c r="AS59" s="14">
        <f t="shared" si="4"/>
        <v>1606006</v>
      </c>
      <c r="AT59" s="14" t="str">
        <f t="shared" si="5"/>
        <v>神器-2-碎片-1-9级</v>
      </c>
      <c r="AU59" s="13" t="s">
        <v>1195</v>
      </c>
      <c r="AV59" s="13">
        <f t="shared" si="6"/>
        <v>9</v>
      </c>
      <c r="AW59" s="14">
        <f t="shared" si="7"/>
        <v>1440</v>
      </c>
      <c r="AX59" s="14" t="str">
        <f t="shared" si="8"/>
        <v>AtkExt</v>
      </c>
      <c r="AY59" s="14">
        <f t="shared" si="9"/>
        <v>142</v>
      </c>
      <c r="AZ59" s="14" t="str">
        <f t="shared" si="10"/>
        <v>DefExt</v>
      </c>
      <c r="BA59" s="14">
        <f t="shared" si="11"/>
        <v>73</v>
      </c>
      <c r="BB59" s="14" t="str">
        <f t="shared" si="12"/>
        <v/>
      </c>
      <c r="BC59" s="14" t="str">
        <f t="shared" si="13"/>
        <v/>
      </c>
      <c r="BD59" s="14" t="str">
        <f t="shared" si="14"/>
        <v/>
      </c>
      <c r="BE59" s="14" t="str">
        <f t="shared" si="15"/>
        <v/>
      </c>
    </row>
    <row r="60" spans="30:57" ht="16.5" x14ac:dyDescent="0.2">
      <c r="AM60" s="13">
        <v>55</v>
      </c>
      <c r="AN60" s="14">
        <f t="shared" si="18"/>
        <v>4</v>
      </c>
      <c r="AO60" s="29">
        <f t="shared" si="0"/>
        <v>0.748</v>
      </c>
      <c r="AP60" s="14">
        <f t="shared" si="1"/>
        <v>1</v>
      </c>
      <c r="AQ60" s="14">
        <f t="shared" si="2"/>
        <v>2</v>
      </c>
      <c r="AR60" s="14">
        <f t="shared" si="3"/>
        <v>0</v>
      </c>
      <c r="AS60" s="14">
        <f t="shared" si="4"/>
        <v>1606006</v>
      </c>
      <c r="AT60" s="14" t="str">
        <f t="shared" si="5"/>
        <v>神器-2-碎片-1-10级</v>
      </c>
      <c r="AU60" s="13" t="s">
        <v>1195</v>
      </c>
      <c r="AV60" s="13">
        <f t="shared" si="6"/>
        <v>10</v>
      </c>
      <c r="AW60" s="14">
        <f t="shared" si="7"/>
        <v>1635</v>
      </c>
      <c r="AX60" s="14" t="str">
        <f t="shared" si="8"/>
        <v>AtkExt</v>
      </c>
      <c r="AY60" s="14">
        <f t="shared" si="9"/>
        <v>161</v>
      </c>
      <c r="AZ60" s="14" t="str">
        <f t="shared" si="10"/>
        <v>DefExt</v>
      </c>
      <c r="BA60" s="14">
        <f t="shared" si="11"/>
        <v>83</v>
      </c>
      <c r="BB60" s="14" t="str">
        <f t="shared" si="12"/>
        <v/>
      </c>
      <c r="BC60" s="14" t="str">
        <f t="shared" si="13"/>
        <v/>
      </c>
      <c r="BD60" s="14" t="str">
        <f t="shared" si="14"/>
        <v/>
      </c>
      <c r="BE60" s="14" t="str">
        <f t="shared" si="15"/>
        <v/>
      </c>
    </row>
    <row r="61" spans="30:57" ht="16.5" x14ac:dyDescent="0.2">
      <c r="AM61" s="13">
        <v>56</v>
      </c>
      <c r="AN61" s="14">
        <f t="shared" si="18"/>
        <v>4</v>
      </c>
      <c r="AO61" s="29">
        <f t="shared" si="0"/>
        <v>0.84000000000000008</v>
      </c>
      <c r="AP61" s="14">
        <f t="shared" si="1"/>
        <v>1</v>
      </c>
      <c r="AQ61" s="14">
        <f t="shared" si="2"/>
        <v>2</v>
      </c>
      <c r="AR61" s="14">
        <f t="shared" si="3"/>
        <v>0</v>
      </c>
      <c r="AS61" s="14">
        <f t="shared" si="4"/>
        <v>1606006</v>
      </c>
      <c r="AT61" s="14" t="str">
        <f t="shared" si="5"/>
        <v>神器-2-碎片-1-11级</v>
      </c>
      <c r="AU61" s="13" t="s">
        <v>1195</v>
      </c>
      <c r="AV61" s="13">
        <f t="shared" si="6"/>
        <v>11</v>
      </c>
      <c r="AW61" s="14">
        <f t="shared" si="7"/>
        <v>1835</v>
      </c>
      <c r="AX61" s="14" t="str">
        <f t="shared" si="8"/>
        <v>AtkExt</v>
      </c>
      <c r="AY61" s="14">
        <f t="shared" si="9"/>
        <v>181</v>
      </c>
      <c r="AZ61" s="14" t="str">
        <f t="shared" si="10"/>
        <v>DefExt</v>
      </c>
      <c r="BA61" s="14">
        <f t="shared" si="11"/>
        <v>93</v>
      </c>
      <c r="BB61" s="14" t="str">
        <f t="shared" si="12"/>
        <v/>
      </c>
      <c r="BC61" s="14" t="str">
        <f t="shared" si="13"/>
        <v/>
      </c>
      <c r="BD61" s="14" t="str">
        <f t="shared" si="14"/>
        <v/>
      </c>
      <c r="BE61" s="14" t="str">
        <f t="shared" si="15"/>
        <v/>
      </c>
    </row>
    <row r="62" spans="30:57" ht="16.5" x14ac:dyDescent="0.2">
      <c r="AM62" s="13">
        <v>57</v>
      </c>
      <c r="AN62" s="14">
        <f t="shared" si="18"/>
        <v>4</v>
      </c>
      <c r="AO62" s="29">
        <f t="shared" si="0"/>
        <v>0.93600000000000017</v>
      </c>
      <c r="AP62" s="14">
        <f t="shared" si="1"/>
        <v>1</v>
      </c>
      <c r="AQ62" s="14">
        <f t="shared" si="2"/>
        <v>2</v>
      </c>
      <c r="AR62" s="14">
        <f t="shared" si="3"/>
        <v>0</v>
      </c>
      <c r="AS62" s="14">
        <f t="shared" si="4"/>
        <v>1606006</v>
      </c>
      <c r="AT62" s="14" t="str">
        <f t="shared" si="5"/>
        <v>神器-2-碎片-1-12级</v>
      </c>
      <c r="AU62" s="13" t="s">
        <v>1195</v>
      </c>
      <c r="AV62" s="13">
        <f t="shared" si="6"/>
        <v>12</v>
      </c>
      <c r="AW62" s="14">
        <f t="shared" si="7"/>
        <v>2050</v>
      </c>
      <c r="AX62" s="14" t="str">
        <f t="shared" si="8"/>
        <v>AtkExt</v>
      </c>
      <c r="AY62" s="14">
        <f t="shared" si="9"/>
        <v>202</v>
      </c>
      <c r="AZ62" s="14" t="str">
        <f t="shared" si="10"/>
        <v>DefExt</v>
      </c>
      <c r="BA62" s="14">
        <f t="shared" si="11"/>
        <v>104</v>
      </c>
      <c r="BB62" s="14" t="str">
        <f t="shared" si="12"/>
        <v/>
      </c>
      <c r="BC62" s="14" t="str">
        <f t="shared" si="13"/>
        <v/>
      </c>
      <c r="BD62" s="14" t="str">
        <f t="shared" si="14"/>
        <v/>
      </c>
      <c r="BE62" s="14" t="str">
        <f t="shared" si="15"/>
        <v/>
      </c>
    </row>
    <row r="63" spans="30:57" ht="16.5" x14ac:dyDescent="0.2">
      <c r="AM63" s="13">
        <v>58</v>
      </c>
      <c r="AN63" s="14">
        <f t="shared" si="18"/>
        <v>4</v>
      </c>
      <c r="AO63" s="29">
        <f t="shared" si="0"/>
        <v>1.036</v>
      </c>
      <c r="AP63" s="14">
        <f t="shared" si="1"/>
        <v>1</v>
      </c>
      <c r="AQ63" s="14">
        <f t="shared" si="2"/>
        <v>2</v>
      </c>
      <c r="AR63" s="14">
        <f t="shared" si="3"/>
        <v>0</v>
      </c>
      <c r="AS63" s="14">
        <f t="shared" si="4"/>
        <v>1606006</v>
      </c>
      <c r="AT63" s="14" t="str">
        <f t="shared" si="5"/>
        <v>神器-2-碎片-1-13级</v>
      </c>
      <c r="AU63" s="13" t="s">
        <v>1195</v>
      </c>
      <c r="AV63" s="13">
        <f t="shared" si="6"/>
        <v>13</v>
      </c>
      <c r="AW63" s="14">
        <f t="shared" si="7"/>
        <v>2265</v>
      </c>
      <c r="AX63" s="14" t="str">
        <f t="shared" si="8"/>
        <v>AtkExt</v>
      </c>
      <c r="AY63" s="14">
        <f t="shared" si="9"/>
        <v>223</v>
      </c>
      <c r="AZ63" s="14" t="str">
        <f t="shared" si="10"/>
        <v>DefExt</v>
      </c>
      <c r="BA63" s="14">
        <f t="shared" si="11"/>
        <v>115</v>
      </c>
      <c r="BB63" s="14" t="str">
        <f t="shared" si="12"/>
        <v/>
      </c>
      <c r="BC63" s="14" t="str">
        <f t="shared" si="13"/>
        <v/>
      </c>
      <c r="BD63" s="14" t="str">
        <f t="shared" si="14"/>
        <v/>
      </c>
      <c r="BE63" s="14" t="str">
        <f t="shared" si="15"/>
        <v/>
      </c>
    </row>
    <row r="64" spans="30:57" ht="16.5" x14ac:dyDescent="0.2">
      <c r="AM64" s="13">
        <v>59</v>
      </c>
      <c r="AN64" s="14">
        <f t="shared" si="18"/>
        <v>4</v>
      </c>
      <c r="AO64" s="29">
        <f t="shared" si="0"/>
        <v>1.1400000000000001</v>
      </c>
      <c r="AP64" s="14">
        <f t="shared" si="1"/>
        <v>1</v>
      </c>
      <c r="AQ64" s="14">
        <f t="shared" si="2"/>
        <v>2</v>
      </c>
      <c r="AR64" s="14">
        <f t="shared" si="3"/>
        <v>0</v>
      </c>
      <c r="AS64" s="14">
        <f t="shared" si="4"/>
        <v>1606006</v>
      </c>
      <c r="AT64" s="14" t="str">
        <f t="shared" si="5"/>
        <v>神器-2-碎片-1-14级</v>
      </c>
      <c r="AU64" s="13" t="s">
        <v>1195</v>
      </c>
      <c r="AV64" s="13">
        <f t="shared" si="6"/>
        <v>14</v>
      </c>
      <c r="AW64" s="14">
        <f t="shared" si="7"/>
        <v>2490</v>
      </c>
      <c r="AX64" s="14" t="str">
        <f t="shared" si="8"/>
        <v>AtkExt</v>
      </c>
      <c r="AY64" s="14">
        <f t="shared" si="9"/>
        <v>246</v>
      </c>
      <c r="AZ64" s="14" t="str">
        <f t="shared" si="10"/>
        <v>DefExt</v>
      </c>
      <c r="BA64" s="14">
        <f t="shared" si="11"/>
        <v>126</v>
      </c>
      <c r="BB64" s="14" t="str">
        <f t="shared" si="12"/>
        <v/>
      </c>
      <c r="BC64" s="14" t="str">
        <f t="shared" si="13"/>
        <v/>
      </c>
      <c r="BD64" s="14" t="str">
        <f t="shared" si="14"/>
        <v/>
      </c>
      <c r="BE64" s="14" t="str">
        <f t="shared" si="15"/>
        <v/>
      </c>
    </row>
    <row r="65" spans="39:57" ht="16.5" x14ac:dyDescent="0.2">
      <c r="AM65" s="13">
        <v>60</v>
      </c>
      <c r="AN65" s="14">
        <f t="shared" si="18"/>
        <v>4</v>
      </c>
      <c r="AO65" s="29">
        <f t="shared" si="0"/>
        <v>1.248</v>
      </c>
      <c r="AP65" s="14">
        <f t="shared" si="1"/>
        <v>1</v>
      </c>
      <c r="AQ65" s="14">
        <f t="shared" si="2"/>
        <v>2</v>
      </c>
      <c r="AR65" s="14">
        <f t="shared" si="3"/>
        <v>0</v>
      </c>
      <c r="AS65" s="14">
        <f t="shared" si="4"/>
        <v>1606006</v>
      </c>
      <c r="AT65" s="14" t="str">
        <f t="shared" si="5"/>
        <v>神器-2-碎片-1-15级</v>
      </c>
      <c r="AU65" s="13" t="s">
        <v>1195</v>
      </c>
      <c r="AV65" s="13">
        <f t="shared" si="6"/>
        <v>15</v>
      </c>
      <c r="AW65" s="14">
        <f t="shared" si="7"/>
        <v>2725</v>
      </c>
      <c r="AX65" s="14" t="str">
        <f t="shared" si="8"/>
        <v>AtkExt</v>
      </c>
      <c r="AY65" s="14">
        <f t="shared" si="9"/>
        <v>269</v>
      </c>
      <c r="AZ65" s="14" t="str">
        <f t="shared" si="10"/>
        <v>DefExt</v>
      </c>
      <c r="BA65" s="14">
        <f t="shared" si="11"/>
        <v>138</v>
      </c>
      <c r="BB65" s="14" t="str">
        <f t="shared" si="12"/>
        <v/>
      </c>
      <c r="BC65" s="14" t="str">
        <f t="shared" si="13"/>
        <v/>
      </c>
      <c r="BD65" s="14" t="str">
        <f t="shared" si="14"/>
        <v/>
      </c>
      <c r="BE65" s="14" t="str">
        <f t="shared" si="15"/>
        <v/>
      </c>
    </row>
    <row r="66" spans="39:57" ht="16.5" x14ac:dyDescent="0.2">
      <c r="AM66" s="13">
        <v>61</v>
      </c>
      <c r="AN66" s="14">
        <f t="shared" si="18"/>
        <v>5</v>
      </c>
      <c r="AO66" s="29">
        <f t="shared" si="0"/>
        <v>0.1</v>
      </c>
      <c r="AP66" s="14">
        <f t="shared" si="1"/>
        <v>1</v>
      </c>
      <c r="AQ66" s="14">
        <f t="shared" si="2"/>
        <v>2</v>
      </c>
      <c r="AR66" s="14">
        <f t="shared" si="3"/>
        <v>3</v>
      </c>
      <c r="AS66" s="14">
        <f t="shared" si="4"/>
        <v>1606007</v>
      </c>
      <c r="AT66" s="14" t="str">
        <f t="shared" si="5"/>
        <v>神器-2-碎片-2-1级</v>
      </c>
      <c r="AU66" s="13" t="s">
        <v>1195</v>
      </c>
      <c r="AV66" s="13">
        <f t="shared" si="6"/>
        <v>1</v>
      </c>
      <c r="AW66" s="14">
        <f t="shared" si="7"/>
        <v>176</v>
      </c>
      <c r="AX66" s="14" t="str">
        <f t="shared" si="8"/>
        <v>AtkExt</v>
      </c>
      <c r="AY66" s="14">
        <f t="shared" si="9"/>
        <v>11</v>
      </c>
      <c r="AZ66" s="14" t="str">
        <f t="shared" si="10"/>
        <v>DefExt</v>
      </c>
      <c r="BA66" s="14">
        <f t="shared" si="11"/>
        <v>11</v>
      </c>
      <c r="BB66" s="14" t="str">
        <f t="shared" si="12"/>
        <v>HPExt</v>
      </c>
      <c r="BC66" s="14">
        <f t="shared" si="13"/>
        <v>11</v>
      </c>
      <c r="BD66" s="14" t="str">
        <f t="shared" si="14"/>
        <v/>
      </c>
      <c r="BE66" s="14" t="str">
        <f t="shared" si="15"/>
        <v/>
      </c>
    </row>
    <row r="67" spans="39:57" ht="16.5" x14ac:dyDescent="0.2">
      <c r="AM67" s="13">
        <v>62</v>
      </c>
      <c r="AN67" s="14">
        <f t="shared" si="18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2</v>
      </c>
      <c r="AR67" s="14">
        <f t="shared" si="3"/>
        <v>3</v>
      </c>
      <c r="AS67" s="14">
        <f t="shared" si="4"/>
        <v>1606007</v>
      </c>
      <c r="AT67" s="14" t="str">
        <f t="shared" si="5"/>
        <v>神器-2-碎片-2-2级</v>
      </c>
      <c r="AU67" s="13" t="s">
        <v>1195</v>
      </c>
      <c r="AV67" s="13">
        <f t="shared" si="6"/>
        <v>2</v>
      </c>
      <c r="AW67" s="14">
        <f t="shared" si="7"/>
        <v>273</v>
      </c>
      <c r="AX67" s="14" t="str">
        <f t="shared" si="8"/>
        <v>AtkExt</v>
      </c>
      <c r="AY67" s="14">
        <f t="shared" si="9"/>
        <v>17</v>
      </c>
      <c r="AZ67" s="14" t="str">
        <f t="shared" si="10"/>
        <v>DefExt</v>
      </c>
      <c r="BA67" s="14">
        <f t="shared" si="11"/>
        <v>17</v>
      </c>
      <c r="BB67" s="14" t="str">
        <f t="shared" si="12"/>
        <v>HPExt</v>
      </c>
      <c r="BC67" s="14">
        <f t="shared" si="13"/>
        <v>18</v>
      </c>
      <c r="BD67" s="14" t="str">
        <f t="shared" si="14"/>
        <v/>
      </c>
      <c r="BE67" s="14" t="str">
        <f t="shared" si="15"/>
        <v/>
      </c>
    </row>
    <row r="68" spans="39:57" ht="16.5" x14ac:dyDescent="0.2">
      <c r="AM68" s="13">
        <v>63</v>
      </c>
      <c r="AN68" s="14">
        <f t="shared" si="18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2</v>
      </c>
      <c r="AR68" s="14">
        <f t="shared" si="3"/>
        <v>3</v>
      </c>
      <c r="AS68" s="14">
        <f t="shared" si="4"/>
        <v>1606007</v>
      </c>
      <c r="AT68" s="14" t="str">
        <f t="shared" si="5"/>
        <v>神器-2-碎片-2-3级</v>
      </c>
      <c r="AU68" s="13" t="s">
        <v>1195</v>
      </c>
      <c r="AV68" s="13">
        <f t="shared" si="6"/>
        <v>3</v>
      </c>
      <c r="AW68" s="14">
        <f t="shared" si="7"/>
        <v>379</v>
      </c>
      <c r="AX68" s="14" t="str">
        <f t="shared" si="8"/>
        <v>AtkExt</v>
      </c>
      <c r="AY68" s="14">
        <f t="shared" si="9"/>
        <v>23</v>
      </c>
      <c r="AZ68" s="14" t="str">
        <f t="shared" si="10"/>
        <v>DefExt</v>
      </c>
      <c r="BA68" s="14">
        <f t="shared" si="11"/>
        <v>24</v>
      </c>
      <c r="BB68" s="14" t="str">
        <f t="shared" si="12"/>
        <v>HPExt</v>
      </c>
      <c r="BC68" s="14">
        <f t="shared" si="13"/>
        <v>24</v>
      </c>
      <c r="BD68" s="14" t="str">
        <f t="shared" si="14"/>
        <v/>
      </c>
      <c r="BE68" s="14" t="str">
        <f t="shared" si="15"/>
        <v/>
      </c>
    </row>
    <row r="69" spans="39:57" ht="16.5" x14ac:dyDescent="0.2">
      <c r="AM69" s="13">
        <v>64</v>
      </c>
      <c r="AN69" s="14">
        <f t="shared" si="18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2</v>
      </c>
      <c r="AR69" s="14">
        <f t="shared" si="3"/>
        <v>3</v>
      </c>
      <c r="AS69" s="14">
        <f t="shared" si="4"/>
        <v>1606007</v>
      </c>
      <c r="AT69" s="14" t="str">
        <f t="shared" si="5"/>
        <v>神器-2-碎片-2-4级</v>
      </c>
      <c r="AU69" s="13" t="s">
        <v>1195</v>
      </c>
      <c r="AV69" s="13">
        <f t="shared" si="6"/>
        <v>4</v>
      </c>
      <c r="AW69" s="14">
        <f t="shared" si="7"/>
        <v>491</v>
      </c>
      <c r="AX69" s="14" t="str">
        <f t="shared" si="8"/>
        <v>AtkExt</v>
      </c>
      <c r="AY69" s="14">
        <f t="shared" si="9"/>
        <v>30</v>
      </c>
      <c r="AZ69" s="14" t="str">
        <f t="shared" si="10"/>
        <v>DefExt</v>
      </c>
      <c r="BA69" s="14">
        <f t="shared" si="11"/>
        <v>31</v>
      </c>
      <c r="BB69" s="14" t="str">
        <f t="shared" si="12"/>
        <v>HPExt</v>
      </c>
      <c r="BC69" s="14">
        <f t="shared" si="13"/>
        <v>31</v>
      </c>
      <c r="BD69" s="14" t="str">
        <f t="shared" si="14"/>
        <v/>
      </c>
      <c r="BE69" s="14" t="str">
        <f t="shared" si="15"/>
        <v/>
      </c>
    </row>
    <row r="70" spans="39:57" ht="16.5" x14ac:dyDescent="0.2">
      <c r="AM70" s="13">
        <v>65</v>
      </c>
      <c r="AN70" s="14">
        <f t="shared" si="18"/>
        <v>5</v>
      </c>
      <c r="AO70" s="29">
        <f t="shared" ref="AO70:AO133" si="24">4.8%+AV70*5%+AV70*AV70*0.2%</f>
        <v>0.34799999999999998</v>
      </c>
      <c r="AP70" s="14">
        <f t="shared" ref="AP70:AP133" si="25">INDEX(AD$7:AD$48,$AN70)</f>
        <v>1</v>
      </c>
      <c r="AQ70" s="14">
        <f t="shared" ref="AQ70:AQ133" si="26">INDEX(AE$7:AE$48,$AN70)</f>
        <v>2</v>
      </c>
      <c r="AR70" s="14">
        <f t="shared" ref="AR70:AR133" si="27">INDEX(AF$7:AF$48,$AN70)</f>
        <v>3</v>
      </c>
      <c r="AS70" s="14">
        <f t="shared" ref="AS70:AS133" si="28">INDEX($W$7:$W$48,AN70)</f>
        <v>1606007</v>
      </c>
      <c r="AT70" s="14" t="str">
        <f t="shared" ref="AT70:AT133" si="29">"神器-"&amp;INDEX($S$7:$S$48,AN70)&amp;"-碎片-"&amp;INDEX($T$7:$T$48,AN70)&amp;"-"&amp;AV70&amp;"级"</f>
        <v>神器-2-碎片-2-5级</v>
      </c>
      <c r="AU70" s="13" t="s">
        <v>1195</v>
      </c>
      <c r="AV70" s="13">
        <f t="shared" ref="AV70:AV133" si="30">AM70-INDEX($AI$6:$AI$48,AN70)</f>
        <v>5</v>
      </c>
      <c r="AW70" s="14">
        <f t="shared" ref="AW70:AW133" si="31">AY70*INDEX($AP$2:$AR$2,AP70)+IF(AQ70&gt;0,BA70*INDEX($AP$2:$AR$2,AQ70),0)+IF(AR70&gt;0,BC70*INDEX($AP$2:$AR$2,AR70),0)+IF(BD70="Speed",BE70*100,0)</f>
        <v>619</v>
      </c>
      <c r="AX70" s="14" t="str">
        <f t="shared" ref="AX70:AX133" si="32">INDEX($AP$3:$AR$3,AP70)</f>
        <v>AtkExt</v>
      </c>
      <c r="AY70" s="14">
        <f t="shared" ref="AY70:AY133" si="33">ROUND(INDEX($X$7:$Z$48,AN70,AP70)*AO70,0)</f>
        <v>38</v>
      </c>
      <c r="AZ70" s="14" t="str">
        <f t="shared" ref="AZ70:AZ133" si="34">IF(AQ70&gt;0,INDEX($AP$3:$AR$3,AQ70),"")</f>
        <v>DefExt</v>
      </c>
      <c r="BA70" s="14">
        <f t="shared" ref="BA70:BA133" si="35">IF(AQ70&gt;0,ROUND(INDEX($X$7:$Z$48,AN70,AQ70)*AO70,0),"")</f>
        <v>39</v>
      </c>
      <c r="BB70" s="14" t="str">
        <f t="shared" ref="BB70:BB133" si="36">IF(AR70&gt;0,INDEX($AP$3:$AR$3,AR70),"")</f>
        <v>HPExt</v>
      </c>
      <c r="BC70" s="14">
        <f t="shared" ref="BC70:BC133" si="37">IF(AR70&gt;0,ROUND(INDEX($X$7:$Z$48,AN70,AR70)*AO70,0),"")</f>
        <v>39</v>
      </c>
      <c r="BD70" s="14" t="str">
        <f t="shared" ref="BD70:BD133" si="38">IF(INDEX($AG$7:$AG$48,AN70)&gt;0,"Speed","")</f>
        <v/>
      </c>
      <c r="BE70" s="14" t="str">
        <f t="shared" ref="BE70:BE133" si="39">IF(INDEX($AG$7:$AG$48,AN70)&gt;0,INDEX($AG$7:$AG$48,AN70)*AV70,"")</f>
        <v/>
      </c>
    </row>
    <row r="71" spans="39:57" ht="16.5" x14ac:dyDescent="0.2">
      <c r="AM71" s="13">
        <v>66</v>
      </c>
      <c r="AN71" s="14">
        <f t="shared" ref="AN71:AN134" si="40">MATCH(AM71-1,$AI$6:$AI$48,1)</f>
        <v>5</v>
      </c>
      <c r="AO71" s="29">
        <f t="shared" si="24"/>
        <v>0.42000000000000004</v>
      </c>
      <c r="AP71" s="14">
        <f t="shared" si="25"/>
        <v>1</v>
      </c>
      <c r="AQ71" s="14">
        <f t="shared" si="26"/>
        <v>2</v>
      </c>
      <c r="AR71" s="14">
        <f t="shared" si="27"/>
        <v>3</v>
      </c>
      <c r="AS71" s="14">
        <f t="shared" si="28"/>
        <v>1606007</v>
      </c>
      <c r="AT71" s="14" t="str">
        <f t="shared" si="29"/>
        <v>神器-2-碎片-2-6级</v>
      </c>
      <c r="AU71" s="13" t="s">
        <v>1195</v>
      </c>
      <c r="AV71" s="13">
        <f t="shared" si="30"/>
        <v>6</v>
      </c>
      <c r="AW71" s="14">
        <f t="shared" si="31"/>
        <v>742</v>
      </c>
      <c r="AX71" s="14" t="str">
        <f t="shared" si="32"/>
        <v>AtkExt</v>
      </c>
      <c r="AY71" s="14">
        <f t="shared" si="33"/>
        <v>45</v>
      </c>
      <c r="AZ71" s="14" t="str">
        <f t="shared" si="34"/>
        <v>DefExt</v>
      </c>
      <c r="BA71" s="14">
        <f t="shared" si="35"/>
        <v>47</v>
      </c>
      <c r="BB71" s="14" t="str">
        <f t="shared" si="36"/>
        <v>HPExt</v>
      </c>
      <c r="BC71" s="14">
        <f t="shared" si="37"/>
        <v>47</v>
      </c>
      <c r="BD71" s="14" t="str">
        <f t="shared" si="38"/>
        <v/>
      </c>
      <c r="BE71" s="14" t="str">
        <f t="shared" si="39"/>
        <v/>
      </c>
    </row>
    <row r="72" spans="39:57" ht="16.5" x14ac:dyDescent="0.2">
      <c r="AM72" s="13">
        <v>67</v>
      </c>
      <c r="AN72" s="14">
        <f t="shared" si="40"/>
        <v>5</v>
      </c>
      <c r="AO72" s="29">
        <f t="shared" si="24"/>
        <v>0.496</v>
      </c>
      <c r="AP72" s="14">
        <f t="shared" si="25"/>
        <v>1</v>
      </c>
      <c r="AQ72" s="14">
        <f t="shared" si="26"/>
        <v>2</v>
      </c>
      <c r="AR72" s="14">
        <f t="shared" si="27"/>
        <v>3</v>
      </c>
      <c r="AS72" s="14">
        <f t="shared" si="28"/>
        <v>1606007</v>
      </c>
      <c r="AT72" s="14" t="str">
        <f t="shared" si="29"/>
        <v>神器-2-碎片-2-7级</v>
      </c>
      <c r="AU72" s="13" t="s">
        <v>1195</v>
      </c>
      <c r="AV72" s="13">
        <f t="shared" si="30"/>
        <v>7</v>
      </c>
      <c r="AW72" s="14">
        <f t="shared" si="31"/>
        <v>871</v>
      </c>
      <c r="AX72" s="14" t="str">
        <f t="shared" si="32"/>
        <v>AtkExt</v>
      </c>
      <c r="AY72" s="14">
        <f t="shared" si="33"/>
        <v>53</v>
      </c>
      <c r="AZ72" s="14" t="str">
        <f t="shared" si="34"/>
        <v>DefExt</v>
      </c>
      <c r="BA72" s="14">
        <f t="shared" si="35"/>
        <v>55</v>
      </c>
      <c r="BB72" s="14" t="str">
        <f t="shared" si="36"/>
        <v>HPExt</v>
      </c>
      <c r="BC72" s="14">
        <f t="shared" si="37"/>
        <v>56</v>
      </c>
      <c r="BD72" s="14" t="str">
        <f t="shared" si="38"/>
        <v/>
      </c>
      <c r="BE72" s="14" t="str">
        <f t="shared" si="39"/>
        <v/>
      </c>
    </row>
    <row r="73" spans="39:57" ht="16.5" x14ac:dyDescent="0.2">
      <c r="AM73" s="13">
        <v>68</v>
      </c>
      <c r="AN73" s="14">
        <f t="shared" si="40"/>
        <v>5</v>
      </c>
      <c r="AO73" s="29">
        <f t="shared" si="24"/>
        <v>0.57600000000000007</v>
      </c>
      <c r="AP73" s="14">
        <f t="shared" si="25"/>
        <v>1</v>
      </c>
      <c r="AQ73" s="14">
        <f t="shared" si="26"/>
        <v>2</v>
      </c>
      <c r="AR73" s="14">
        <f t="shared" si="27"/>
        <v>3</v>
      </c>
      <c r="AS73" s="14">
        <f t="shared" si="28"/>
        <v>1606007</v>
      </c>
      <c r="AT73" s="14" t="str">
        <f t="shared" si="29"/>
        <v>神器-2-碎片-2-8级</v>
      </c>
      <c r="AU73" s="13" t="s">
        <v>1195</v>
      </c>
      <c r="AV73" s="13">
        <f t="shared" si="30"/>
        <v>8</v>
      </c>
      <c r="AW73" s="14">
        <f t="shared" si="31"/>
        <v>1015</v>
      </c>
      <c r="AX73" s="14" t="str">
        <f t="shared" si="32"/>
        <v>AtkExt</v>
      </c>
      <c r="AY73" s="14">
        <f t="shared" si="33"/>
        <v>62</v>
      </c>
      <c r="AZ73" s="14" t="str">
        <f t="shared" si="34"/>
        <v>DefExt</v>
      </c>
      <c r="BA73" s="14">
        <f t="shared" si="35"/>
        <v>64</v>
      </c>
      <c r="BB73" s="14" t="str">
        <f t="shared" si="36"/>
        <v>HPExt</v>
      </c>
      <c r="BC73" s="14">
        <f t="shared" si="37"/>
        <v>65</v>
      </c>
      <c r="BD73" s="14" t="str">
        <f t="shared" si="38"/>
        <v/>
      </c>
      <c r="BE73" s="14" t="str">
        <f t="shared" si="39"/>
        <v/>
      </c>
    </row>
    <row r="74" spans="39:57" ht="16.5" x14ac:dyDescent="0.2">
      <c r="AM74" s="13">
        <v>69</v>
      </c>
      <c r="AN74" s="14">
        <f t="shared" si="40"/>
        <v>5</v>
      </c>
      <c r="AO74" s="29">
        <f t="shared" si="24"/>
        <v>0.66</v>
      </c>
      <c r="AP74" s="14">
        <f t="shared" si="25"/>
        <v>1</v>
      </c>
      <c r="AQ74" s="14">
        <f t="shared" si="26"/>
        <v>2</v>
      </c>
      <c r="AR74" s="14">
        <f t="shared" si="27"/>
        <v>3</v>
      </c>
      <c r="AS74" s="14">
        <f t="shared" si="28"/>
        <v>1606007</v>
      </c>
      <c r="AT74" s="14" t="str">
        <f t="shared" si="29"/>
        <v>神器-2-碎片-2-9级</v>
      </c>
      <c r="AU74" s="13" t="s">
        <v>1195</v>
      </c>
      <c r="AV74" s="13">
        <f t="shared" si="30"/>
        <v>9</v>
      </c>
      <c r="AW74" s="14">
        <f t="shared" si="31"/>
        <v>1159</v>
      </c>
      <c r="AX74" s="14" t="str">
        <f t="shared" si="32"/>
        <v>AtkExt</v>
      </c>
      <c r="AY74" s="14">
        <f t="shared" si="33"/>
        <v>71</v>
      </c>
      <c r="AZ74" s="14" t="str">
        <f t="shared" si="34"/>
        <v>DefExt</v>
      </c>
      <c r="BA74" s="14">
        <f t="shared" si="35"/>
        <v>73</v>
      </c>
      <c r="BB74" s="14" t="str">
        <f t="shared" si="36"/>
        <v>HPExt</v>
      </c>
      <c r="BC74" s="14">
        <f t="shared" si="37"/>
        <v>74</v>
      </c>
      <c r="BD74" s="14" t="str">
        <f t="shared" si="38"/>
        <v/>
      </c>
      <c r="BE74" s="14" t="str">
        <f t="shared" si="39"/>
        <v/>
      </c>
    </row>
    <row r="75" spans="39:57" ht="16.5" x14ac:dyDescent="0.2">
      <c r="AM75" s="13">
        <v>70</v>
      </c>
      <c r="AN75" s="14">
        <f t="shared" si="40"/>
        <v>5</v>
      </c>
      <c r="AO75" s="29">
        <f t="shared" si="24"/>
        <v>0.748</v>
      </c>
      <c r="AP75" s="14">
        <f t="shared" si="25"/>
        <v>1</v>
      </c>
      <c r="AQ75" s="14">
        <f t="shared" si="26"/>
        <v>2</v>
      </c>
      <c r="AR75" s="14">
        <f t="shared" si="27"/>
        <v>3</v>
      </c>
      <c r="AS75" s="14">
        <f t="shared" si="28"/>
        <v>1606007</v>
      </c>
      <c r="AT75" s="14" t="str">
        <f t="shared" si="29"/>
        <v>神器-2-碎片-2-10级</v>
      </c>
      <c r="AU75" s="13" t="s">
        <v>1195</v>
      </c>
      <c r="AV75" s="13">
        <f t="shared" si="30"/>
        <v>10</v>
      </c>
      <c r="AW75" s="14">
        <f t="shared" si="31"/>
        <v>1319</v>
      </c>
      <c r="AX75" s="14" t="str">
        <f t="shared" si="32"/>
        <v>AtkExt</v>
      </c>
      <c r="AY75" s="14">
        <f t="shared" si="33"/>
        <v>81</v>
      </c>
      <c r="AZ75" s="14" t="str">
        <f t="shared" si="34"/>
        <v>DefExt</v>
      </c>
      <c r="BA75" s="14">
        <f t="shared" si="35"/>
        <v>83</v>
      </c>
      <c r="BB75" s="14" t="str">
        <f t="shared" si="36"/>
        <v>HPExt</v>
      </c>
      <c r="BC75" s="14">
        <f t="shared" si="37"/>
        <v>84</v>
      </c>
      <c r="BD75" s="14" t="str">
        <f t="shared" si="38"/>
        <v/>
      </c>
      <c r="BE75" s="14" t="str">
        <f t="shared" si="39"/>
        <v/>
      </c>
    </row>
    <row r="76" spans="39:57" ht="16.5" x14ac:dyDescent="0.2">
      <c r="AM76" s="13">
        <v>71</v>
      </c>
      <c r="AN76" s="14">
        <f t="shared" si="40"/>
        <v>5</v>
      </c>
      <c r="AO76" s="29">
        <f t="shared" si="24"/>
        <v>0.84000000000000008</v>
      </c>
      <c r="AP76" s="14">
        <f t="shared" si="25"/>
        <v>1</v>
      </c>
      <c r="AQ76" s="14">
        <f t="shared" si="26"/>
        <v>2</v>
      </c>
      <c r="AR76" s="14">
        <f t="shared" si="27"/>
        <v>3</v>
      </c>
      <c r="AS76" s="14">
        <f t="shared" si="28"/>
        <v>1606007</v>
      </c>
      <c r="AT76" s="14" t="str">
        <f t="shared" si="29"/>
        <v>神器-2-碎片-2-11级</v>
      </c>
      <c r="AU76" s="13" t="s">
        <v>1195</v>
      </c>
      <c r="AV76" s="13">
        <f t="shared" si="30"/>
        <v>11</v>
      </c>
      <c r="AW76" s="14">
        <f t="shared" si="31"/>
        <v>1479</v>
      </c>
      <c r="AX76" s="14" t="str">
        <f t="shared" si="32"/>
        <v>AtkExt</v>
      </c>
      <c r="AY76" s="14">
        <f t="shared" si="33"/>
        <v>91</v>
      </c>
      <c r="AZ76" s="14" t="str">
        <f t="shared" si="34"/>
        <v>DefExt</v>
      </c>
      <c r="BA76" s="14">
        <f t="shared" si="35"/>
        <v>93</v>
      </c>
      <c r="BB76" s="14" t="str">
        <f t="shared" si="36"/>
        <v>HPExt</v>
      </c>
      <c r="BC76" s="14">
        <f t="shared" si="37"/>
        <v>94</v>
      </c>
      <c r="BD76" s="14" t="str">
        <f t="shared" si="38"/>
        <v/>
      </c>
      <c r="BE76" s="14" t="str">
        <f t="shared" si="39"/>
        <v/>
      </c>
    </row>
    <row r="77" spans="39:57" ht="16.5" x14ac:dyDescent="0.2">
      <c r="AM77" s="13">
        <v>72</v>
      </c>
      <c r="AN77" s="14">
        <f t="shared" si="40"/>
        <v>5</v>
      </c>
      <c r="AO77" s="29">
        <f t="shared" si="24"/>
        <v>0.93600000000000017</v>
      </c>
      <c r="AP77" s="14">
        <f t="shared" si="25"/>
        <v>1</v>
      </c>
      <c r="AQ77" s="14">
        <f t="shared" si="26"/>
        <v>2</v>
      </c>
      <c r="AR77" s="14">
        <f t="shared" si="27"/>
        <v>3</v>
      </c>
      <c r="AS77" s="14">
        <f t="shared" si="28"/>
        <v>1606007</v>
      </c>
      <c r="AT77" s="14" t="str">
        <f t="shared" si="29"/>
        <v>神器-2-碎片-2-12级</v>
      </c>
      <c r="AU77" s="13" t="s">
        <v>1195</v>
      </c>
      <c r="AV77" s="13">
        <f t="shared" si="30"/>
        <v>12</v>
      </c>
      <c r="AW77" s="14">
        <f t="shared" si="31"/>
        <v>1650</v>
      </c>
      <c r="AX77" s="14" t="str">
        <f t="shared" si="32"/>
        <v>AtkExt</v>
      </c>
      <c r="AY77" s="14">
        <f t="shared" si="33"/>
        <v>101</v>
      </c>
      <c r="AZ77" s="14" t="str">
        <f t="shared" si="34"/>
        <v>DefExt</v>
      </c>
      <c r="BA77" s="14">
        <f t="shared" si="35"/>
        <v>104</v>
      </c>
      <c r="BB77" s="14" t="str">
        <f t="shared" si="36"/>
        <v>HPExt</v>
      </c>
      <c r="BC77" s="14">
        <f t="shared" si="37"/>
        <v>105</v>
      </c>
      <c r="BD77" s="14" t="str">
        <f t="shared" si="38"/>
        <v/>
      </c>
      <c r="BE77" s="14" t="str">
        <f t="shared" si="39"/>
        <v/>
      </c>
    </row>
    <row r="78" spans="39:57" ht="16.5" x14ac:dyDescent="0.2">
      <c r="AM78" s="13">
        <v>73</v>
      </c>
      <c r="AN78" s="14">
        <f t="shared" si="40"/>
        <v>5</v>
      </c>
      <c r="AO78" s="29">
        <f t="shared" si="24"/>
        <v>1.036</v>
      </c>
      <c r="AP78" s="14">
        <f t="shared" si="25"/>
        <v>1</v>
      </c>
      <c r="AQ78" s="14">
        <f t="shared" si="26"/>
        <v>2</v>
      </c>
      <c r="AR78" s="14">
        <f t="shared" si="27"/>
        <v>3</v>
      </c>
      <c r="AS78" s="14">
        <f t="shared" si="28"/>
        <v>1606007</v>
      </c>
      <c r="AT78" s="14" t="str">
        <f t="shared" si="29"/>
        <v>神器-2-碎片-2-13级</v>
      </c>
      <c r="AU78" s="13" t="s">
        <v>1195</v>
      </c>
      <c r="AV78" s="13">
        <f t="shared" si="30"/>
        <v>13</v>
      </c>
      <c r="AW78" s="14">
        <f t="shared" si="31"/>
        <v>1826</v>
      </c>
      <c r="AX78" s="14" t="str">
        <f t="shared" si="32"/>
        <v>AtkExt</v>
      </c>
      <c r="AY78" s="14">
        <f t="shared" si="33"/>
        <v>112</v>
      </c>
      <c r="AZ78" s="14" t="str">
        <f t="shared" si="34"/>
        <v>DefExt</v>
      </c>
      <c r="BA78" s="14">
        <f t="shared" si="35"/>
        <v>115</v>
      </c>
      <c r="BB78" s="14" t="str">
        <f t="shared" si="36"/>
        <v>HPExt</v>
      </c>
      <c r="BC78" s="14">
        <f t="shared" si="37"/>
        <v>116</v>
      </c>
      <c r="BD78" s="14" t="str">
        <f t="shared" si="38"/>
        <v/>
      </c>
      <c r="BE78" s="14" t="str">
        <f t="shared" si="39"/>
        <v/>
      </c>
    </row>
    <row r="79" spans="39:57" ht="16.5" x14ac:dyDescent="0.2">
      <c r="AM79" s="13">
        <v>74</v>
      </c>
      <c r="AN79" s="14">
        <f t="shared" si="40"/>
        <v>5</v>
      </c>
      <c r="AO79" s="29">
        <f t="shared" si="24"/>
        <v>1.1400000000000001</v>
      </c>
      <c r="AP79" s="14">
        <f t="shared" si="25"/>
        <v>1</v>
      </c>
      <c r="AQ79" s="14">
        <f t="shared" si="26"/>
        <v>2</v>
      </c>
      <c r="AR79" s="14">
        <f t="shared" si="27"/>
        <v>3</v>
      </c>
      <c r="AS79" s="14">
        <f t="shared" si="28"/>
        <v>1606007</v>
      </c>
      <c r="AT79" s="14" t="str">
        <f t="shared" si="29"/>
        <v>神器-2-碎片-2-14级</v>
      </c>
      <c r="AU79" s="13" t="s">
        <v>1195</v>
      </c>
      <c r="AV79" s="13">
        <f t="shared" si="30"/>
        <v>14</v>
      </c>
      <c r="AW79" s="14">
        <f t="shared" si="31"/>
        <v>2003</v>
      </c>
      <c r="AX79" s="14" t="str">
        <f t="shared" si="32"/>
        <v>AtkExt</v>
      </c>
      <c r="AY79" s="14">
        <f t="shared" si="33"/>
        <v>123</v>
      </c>
      <c r="AZ79" s="14" t="str">
        <f t="shared" si="34"/>
        <v>DefExt</v>
      </c>
      <c r="BA79" s="14">
        <f t="shared" si="35"/>
        <v>126</v>
      </c>
      <c r="BB79" s="14" t="str">
        <f t="shared" si="36"/>
        <v>HPExt</v>
      </c>
      <c r="BC79" s="14">
        <f t="shared" si="37"/>
        <v>128</v>
      </c>
      <c r="BD79" s="14" t="str">
        <f t="shared" si="38"/>
        <v/>
      </c>
      <c r="BE79" s="14" t="str">
        <f t="shared" si="39"/>
        <v/>
      </c>
    </row>
    <row r="80" spans="39:57" ht="16.5" x14ac:dyDescent="0.2">
      <c r="AM80" s="13">
        <v>75</v>
      </c>
      <c r="AN80" s="14">
        <f t="shared" si="40"/>
        <v>5</v>
      </c>
      <c r="AO80" s="29">
        <f t="shared" si="24"/>
        <v>1.248</v>
      </c>
      <c r="AP80" s="14">
        <f t="shared" si="25"/>
        <v>1</v>
      </c>
      <c r="AQ80" s="14">
        <f t="shared" si="26"/>
        <v>2</v>
      </c>
      <c r="AR80" s="14">
        <f t="shared" si="27"/>
        <v>3</v>
      </c>
      <c r="AS80" s="14">
        <f t="shared" si="28"/>
        <v>1606007</v>
      </c>
      <c r="AT80" s="14" t="str">
        <f t="shared" si="29"/>
        <v>神器-2-碎片-2-15级</v>
      </c>
      <c r="AU80" s="13" t="s">
        <v>1195</v>
      </c>
      <c r="AV80" s="13">
        <f t="shared" si="30"/>
        <v>15</v>
      </c>
      <c r="AW80" s="14">
        <f t="shared" si="31"/>
        <v>2195</v>
      </c>
      <c r="AX80" s="14" t="str">
        <f t="shared" si="32"/>
        <v>AtkExt</v>
      </c>
      <c r="AY80" s="14">
        <f t="shared" si="33"/>
        <v>135</v>
      </c>
      <c r="AZ80" s="14" t="str">
        <f t="shared" si="34"/>
        <v>DefExt</v>
      </c>
      <c r="BA80" s="14">
        <f t="shared" si="35"/>
        <v>138</v>
      </c>
      <c r="BB80" s="14" t="str">
        <f t="shared" si="36"/>
        <v>HPExt</v>
      </c>
      <c r="BC80" s="14">
        <f t="shared" si="37"/>
        <v>140</v>
      </c>
      <c r="BD80" s="14" t="str">
        <f t="shared" si="38"/>
        <v/>
      </c>
      <c r="BE80" s="14" t="str">
        <f t="shared" si="39"/>
        <v/>
      </c>
    </row>
    <row r="81" spans="39:57" ht="16.5" x14ac:dyDescent="0.2">
      <c r="AM81" s="13">
        <v>76</v>
      </c>
      <c r="AN81" s="14">
        <f t="shared" si="40"/>
        <v>6</v>
      </c>
      <c r="AO81" s="29">
        <f t="shared" si="24"/>
        <v>0.1</v>
      </c>
      <c r="AP81" s="14">
        <f t="shared" si="25"/>
        <v>2</v>
      </c>
      <c r="AQ81" s="14">
        <f t="shared" si="26"/>
        <v>3</v>
      </c>
      <c r="AR81" s="14">
        <f t="shared" si="27"/>
        <v>0</v>
      </c>
      <c r="AS81" s="14">
        <f t="shared" si="28"/>
        <v>1606008</v>
      </c>
      <c r="AT81" s="14" t="str">
        <f t="shared" si="29"/>
        <v>神器-2-碎片-3-1级</v>
      </c>
      <c r="AU81" s="13" t="s">
        <v>1195</v>
      </c>
      <c r="AV81" s="13">
        <f t="shared" si="30"/>
        <v>1</v>
      </c>
      <c r="AW81" s="14">
        <f t="shared" si="31"/>
        <v>347</v>
      </c>
      <c r="AX81" s="14" t="str">
        <f t="shared" si="32"/>
        <v>DefExt</v>
      </c>
      <c r="AY81" s="14">
        <f t="shared" si="33"/>
        <v>33</v>
      </c>
      <c r="AZ81" s="14" t="str">
        <f t="shared" si="34"/>
        <v>HPExt</v>
      </c>
      <c r="BA81" s="14">
        <f t="shared" si="35"/>
        <v>17</v>
      </c>
      <c r="BB81" s="14" t="str">
        <f t="shared" si="36"/>
        <v/>
      </c>
      <c r="BC81" s="14" t="str">
        <f t="shared" si="37"/>
        <v/>
      </c>
      <c r="BD81" s="14" t="str">
        <f t="shared" si="38"/>
        <v/>
      </c>
      <c r="BE81" s="14" t="str">
        <f t="shared" si="39"/>
        <v/>
      </c>
    </row>
    <row r="82" spans="39:57" ht="16.5" x14ac:dyDescent="0.2">
      <c r="AM82" s="13">
        <v>77</v>
      </c>
      <c r="AN82" s="14">
        <f t="shared" si="40"/>
        <v>6</v>
      </c>
      <c r="AO82" s="29">
        <f t="shared" si="24"/>
        <v>0.15600000000000003</v>
      </c>
      <c r="AP82" s="14">
        <f t="shared" si="25"/>
        <v>2</v>
      </c>
      <c r="AQ82" s="14">
        <f t="shared" si="26"/>
        <v>3</v>
      </c>
      <c r="AR82" s="14">
        <f t="shared" si="27"/>
        <v>0</v>
      </c>
      <c r="AS82" s="14">
        <f t="shared" si="28"/>
        <v>1606008</v>
      </c>
      <c r="AT82" s="14" t="str">
        <f t="shared" si="29"/>
        <v>神器-2-碎片-3-2级</v>
      </c>
      <c r="AU82" s="13" t="s">
        <v>1195</v>
      </c>
      <c r="AV82" s="13">
        <f t="shared" si="30"/>
        <v>2</v>
      </c>
      <c r="AW82" s="14">
        <f t="shared" si="31"/>
        <v>546</v>
      </c>
      <c r="AX82" s="14" t="str">
        <f t="shared" si="32"/>
        <v>DefExt</v>
      </c>
      <c r="AY82" s="14">
        <f t="shared" si="33"/>
        <v>52</v>
      </c>
      <c r="AZ82" s="14" t="str">
        <f t="shared" si="34"/>
        <v>HPExt</v>
      </c>
      <c r="BA82" s="14">
        <f t="shared" si="35"/>
        <v>26</v>
      </c>
      <c r="BB82" s="14" t="str">
        <f t="shared" si="36"/>
        <v/>
      </c>
      <c r="BC82" s="14" t="str">
        <f t="shared" si="37"/>
        <v/>
      </c>
      <c r="BD82" s="14" t="str">
        <f t="shared" si="38"/>
        <v/>
      </c>
      <c r="BE82" s="14" t="str">
        <f t="shared" si="39"/>
        <v/>
      </c>
    </row>
    <row r="83" spans="39:57" ht="16.5" x14ac:dyDescent="0.2">
      <c r="AM83" s="13">
        <v>78</v>
      </c>
      <c r="AN83" s="14">
        <f t="shared" si="40"/>
        <v>6</v>
      </c>
      <c r="AO83" s="29">
        <f t="shared" si="24"/>
        <v>0.21600000000000003</v>
      </c>
      <c r="AP83" s="14">
        <f t="shared" si="25"/>
        <v>2</v>
      </c>
      <c r="AQ83" s="14">
        <f t="shared" si="26"/>
        <v>3</v>
      </c>
      <c r="AR83" s="14">
        <f t="shared" si="27"/>
        <v>0</v>
      </c>
      <c r="AS83" s="14">
        <f t="shared" si="28"/>
        <v>1606008</v>
      </c>
      <c r="AT83" s="14" t="str">
        <f t="shared" si="29"/>
        <v>神器-2-碎片-3-3级</v>
      </c>
      <c r="AU83" s="13" t="s">
        <v>1195</v>
      </c>
      <c r="AV83" s="13">
        <f t="shared" si="30"/>
        <v>3</v>
      </c>
      <c r="AW83" s="14">
        <f t="shared" si="31"/>
        <v>756</v>
      </c>
      <c r="AX83" s="14" t="str">
        <f t="shared" si="32"/>
        <v>DefExt</v>
      </c>
      <c r="AY83" s="14">
        <f t="shared" si="33"/>
        <v>72</v>
      </c>
      <c r="AZ83" s="14" t="str">
        <f t="shared" si="34"/>
        <v>HPExt</v>
      </c>
      <c r="BA83" s="14">
        <f t="shared" si="35"/>
        <v>36</v>
      </c>
      <c r="BB83" s="14" t="str">
        <f t="shared" si="36"/>
        <v/>
      </c>
      <c r="BC83" s="14" t="str">
        <f t="shared" si="37"/>
        <v/>
      </c>
      <c r="BD83" s="14" t="str">
        <f t="shared" si="38"/>
        <v/>
      </c>
      <c r="BE83" s="14" t="str">
        <f t="shared" si="39"/>
        <v/>
      </c>
    </row>
    <row r="84" spans="39:57" ht="16.5" x14ac:dyDescent="0.2">
      <c r="AM84" s="13">
        <v>79</v>
      </c>
      <c r="AN84" s="14">
        <f t="shared" si="40"/>
        <v>6</v>
      </c>
      <c r="AO84" s="29">
        <f t="shared" si="24"/>
        <v>0.28000000000000003</v>
      </c>
      <c r="AP84" s="14">
        <f t="shared" si="25"/>
        <v>2</v>
      </c>
      <c r="AQ84" s="14">
        <f t="shared" si="26"/>
        <v>3</v>
      </c>
      <c r="AR84" s="14">
        <f t="shared" si="27"/>
        <v>0</v>
      </c>
      <c r="AS84" s="14">
        <f t="shared" si="28"/>
        <v>1606008</v>
      </c>
      <c r="AT84" s="14" t="str">
        <f t="shared" si="29"/>
        <v>神器-2-碎片-3-4级</v>
      </c>
      <c r="AU84" s="13" t="s">
        <v>1195</v>
      </c>
      <c r="AV84" s="13">
        <f t="shared" si="30"/>
        <v>4</v>
      </c>
      <c r="AW84" s="14">
        <f t="shared" si="31"/>
        <v>977</v>
      </c>
      <c r="AX84" s="14" t="str">
        <f t="shared" si="32"/>
        <v>DefExt</v>
      </c>
      <c r="AY84" s="14">
        <f t="shared" si="33"/>
        <v>93</v>
      </c>
      <c r="AZ84" s="14" t="str">
        <f t="shared" si="34"/>
        <v>HPExt</v>
      </c>
      <c r="BA84" s="14">
        <f t="shared" si="35"/>
        <v>47</v>
      </c>
      <c r="BB84" s="14" t="str">
        <f t="shared" si="36"/>
        <v/>
      </c>
      <c r="BC84" s="14" t="str">
        <f t="shared" si="37"/>
        <v/>
      </c>
      <c r="BD84" s="14" t="str">
        <f t="shared" si="38"/>
        <v/>
      </c>
      <c r="BE84" s="14" t="str">
        <f t="shared" si="39"/>
        <v/>
      </c>
    </row>
    <row r="85" spans="39:57" ht="16.5" x14ac:dyDescent="0.2">
      <c r="AM85" s="13">
        <v>80</v>
      </c>
      <c r="AN85" s="14">
        <f t="shared" si="40"/>
        <v>6</v>
      </c>
      <c r="AO85" s="29">
        <f t="shared" si="24"/>
        <v>0.34799999999999998</v>
      </c>
      <c r="AP85" s="14">
        <f t="shared" si="25"/>
        <v>2</v>
      </c>
      <c r="AQ85" s="14">
        <f t="shared" si="26"/>
        <v>3</v>
      </c>
      <c r="AR85" s="14">
        <f t="shared" si="27"/>
        <v>0</v>
      </c>
      <c r="AS85" s="14">
        <f t="shared" si="28"/>
        <v>1606008</v>
      </c>
      <c r="AT85" s="14" t="str">
        <f t="shared" si="29"/>
        <v>神器-2-碎片-3-5级</v>
      </c>
      <c r="AU85" s="13" t="s">
        <v>1195</v>
      </c>
      <c r="AV85" s="13">
        <f t="shared" si="30"/>
        <v>5</v>
      </c>
      <c r="AW85" s="14">
        <f t="shared" si="31"/>
        <v>1219</v>
      </c>
      <c r="AX85" s="14" t="str">
        <f t="shared" si="32"/>
        <v>DefExt</v>
      </c>
      <c r="AY85" s="14">
        <f t="shared" si="33"/>
        <v>116</v>
      </c>
      <c r="AZ85" s="14" t="str">
        <f t="shared" si="34"/>
        <v>HPExt</v>
      </c>
      <c r="BA85" s="14">
        <f t="shared" si="35"/>
        <v>59</v>
      </c>
      <c r="BB85" s="14" t="str">
        <f t="shared" si="36"/>
        <v/>
      </c>
      <c r="BC85" s="14" t="str">
        <f t="shared" si="37"/>
        <v/>
      </c>
      <c r="BD85" s="14" t="str">
        <f t="shared" si="38"/>
        <v/>
      </c>
      <c r="BE85" s="14" t="str">
        <f t="shared" si="39"/>
        <v/>
      </c>
    </row>
    <row r="86" spans="39:57" ht="16.5" x14ac:dyDescent="0.2">
      <c r="AM86" s="13">
        <v>81</v>
      </c>
      <c r="AN86" s="14">
        <f t="shared" si="40"/>
        <v>6</v>
      </c>
      <c r="AO86" s="29">
        <f t="shared" si="24"/>
        <v>0.42000000000000004</v>
      </c>
      <c r="AP86" s="14">
        <f t="shared" si="25"/>
        <v>2</v>
      </c>
      <c r="AQ86" s="14">
        <f t="shared" si="26"/>
        <v>3</v>
      </c>
      <c r="AR86" s="14">
        <f t="shared" si="27"/>
        <v>0</v>
      </c>
      <c r="AS86" s="14">
        <f t="shared" si="28"/>
        <v>1606008</v>
      </c>
      <c r="AT86" s="14" t="str">
        <f t="shared" si="29"/>
        <v>神器-2-碎片-3-6级</v>
      </c>
      <c r="AU86" s="13" t="s">
        <v>1195</v>
      </c>
      <c r="AV86" s="13">
        <f t="shared" si="30"/>
        <v>6</v>
      </c>
      <c r="AW86" s="14">
        <f t="shared" si="31"/>
        <v>1471</v>
      </c>
      <c r="AX86" s="14" t="str">
        <f t="shared" si="32"/>
        <v>DefExt</v>
      </c>
      <c r="AY86" s="14">
        <f t="shared" si="33"/>
        <v>140</v>
      </c>
      <c r="AZ86" s="14" t="str">
        <f t="shared" si="34"/>
        <v>HPExt</v>
      </c>
      <c r="BA86" s="14">
        <f t="shared" si="35"/>
        <v>71</v>
      </c>
      <c r="BB86" s="14" t="str">
        <f t="shared" si="36"/>
        <v/>
      </c>
      <c r="BC86" s="14" t="str">
        <f t="shared" si="37"/>
        <v/>
      </c>
      <c r="BD86" s="14" t="str">
        <f t="shared" si="38"/>
        <v/>
      </c>
      <c r="BE86" s="14" t="str">
        <f t="shared" si="39"/>
        <v/>
      </c>
    </row>
    <row r="87" spans="39:57" ht="16.5" x14ac:dyDescent="0.2">
      <c r="AM87" s="13">
        <v>82</v>
      </c>
      <c r="AN87" s="14">
        <f t="shared" si="40"/>
        <v>6</v>
      </c>
      <c r="AO87" s="29">
        <f t="shared" si="24"/>
        <v>0.496</v>
      </c>
      <c r="AP87" s="14">
        <f t="shared" si="25"/>
        <v>2</v>
      </c>
      <c r="AQ87" s="14">
        <f t="shared" si="26"/>
        <v>3</v>
      </c>
      <c r="AR87" s="14">
        <f t="shared" si="27"/>
        <v>0</v>
      </c>
      <c r="AS87" s="14">
        <f t="shared" si="28"/>
        <v>1606008</v>
      </c>
      <c r="AT87" s="14" t="str">
        <f t="shared" si="29"/>
        <v>神器-2-碎片-3-7级</v>
      </c>
      <c r="AU87" s="13" t="s">
        <v>1195</v>
      </c>
      <c r="AV87" s="13">
        <f t="shared" si="30"/>
        <v>7</v>
      </c>
      <c r="AW87" s="14">
        <f t="shared" si="31"/>
        <v>1734</v>
      </c>
      <c r="AX87" s="14" t="str">
        <f t="shared" si="32"/>
        <v>DefExt</v>
      </c>
      <c r="AY87" s="14">
        <f t="shared" si="33"/>
        <v>165</v>
      </c>
      <c r="AZ87" s="14" t="str">
        <f t="shared" si="34"/>
        <v>HPExt</v>
      </c>
      <c r="BA87" s="14">
        <f t="shared" si="35"/>
        <v>84</v>
      </c>
      <c r="BB87" s="14" t="str">
        <f t="shared" si="36"/>
        <v/>
      </c>
      <c r="BC87" s="14" t="str">
        <f t="shared" si="37"/>
        <v/>
      </c>
      <c r="BD87" s="14" t="str">
        <f t="shared" si="38"/>
        <v/>
      </c>
      <c r="BE87" s="14" t="str">
        <f t="shared" si="39"/>
        <v/>
      </c>
    </row>
    <row r="88" spans="39:57" ht="16.5" x14ac:dyDescent="0.2">
      <c r="AM88" s="13">
        <v>83</v>
      </c>
      <c r="AN88" s="14">
        <f t="shared" si="40"/>
        <v>6</v>
      </c>
      <c r="AO88" s="29">
        <f t="shared" si="24"/>
        <v>0.57600000000000007</v>
      </c>
      <c r="AP88" s="14">
        <f t="shared" si="25"/>
        <v>2</v>
      </c>
      <c r="AQ88" s="14">
        <f t="shared" si="26"/>
        <v>3</v>
      </c>
      <c r="AR88" s="14">
        <f t="shared" si="27"/>
        <v>0</v>
      </c>
      <c r="AS88" s="14">
        <f t="shared" si="28"/>
        <v>1606008</v>
      </c>
      <c r="AT88" s="14" t="str">
        <f t="shared" si="29"/>
        <v>神器-2-碎片-3-8级</v>
      </c>
      <c r="AU88" s="13" t="s">
        <v>1195</v>
      </c>
      <c r="AV88" s="13">
        <f t="shared" si="30"/>
        <v>8</v>
      </c>
      <c r="AW88" s="14">
        <f t="shared" si="31"/>
        <v>2017</v>
      </c>
      <c r="AX88" s="14" t="str">
        <f t="shared" si="32"/>
        <v>DefExt</v>
      </c>
      <c r="AY88" s="14">
        <f t="shared" si="33"/>
        <v>192</v>
      </c>
      <c r="AZ88" s="14" t="str">
        <f t="shared" si="34"/>
        <v>HPExt</v>
      </c>
      <c r="BA88" s="14">
        <f t="shared" si="35"/>
        <v>97</v>
      </c>
      <c r="BB88" s="14" t="str">
        <f t="shared" si="36"/>
        <v/>
      </c>
      <c r="BC88" s="14" t="str">
        <f t="shared" si="37"/>
        <v/>
      </c>
      <c r="BD88" s="14" t="str">
        <f t="shared" si="38"/>
        <v/>
      </c>
      <c r="BE88" s="14" t="str">
        <f t="shared" si="39"/>
        <v/>
      </c>
    </row>
    <row r="89" spans="39:57" ht="16.5" x14ac:dyDescent="0.2">
      <c r="AM89" s="13">
        <v>84</v>
      </c>
      <c r="AN89" s="14">
        <f t="shared" si="40"/>
        <v>6</v>
      </c>
      <c r="AO89" s="29">
        <f t="shared" si="24"/>
        <v>0.66</v>
      </c>
      <c r="AP89" s="14">
        <f t="shared" si="25"/>
        <v>2</v>
      </c>
      <c r="AQ89" s="14">
        <f t="shared" si="26"/>
        <v>3</v>
      </c>
      <c r="AR89" s="14">
        <f t="shared" si="27"/>
        <v>0</v>
      </c>
      <c r="AS89" s="14">
        <f t="shared" si="28"/>
        <v>1606008</v>
      </c>
      <c r="AT89" s="14" t="str">
        <f t="shared" si="29"/>
        <v>神器-2-碎片-3-9级</v>
      </c>
      <c r="AU89" s="13" t="s">
        <v>1195</v>
      </c>
      <c r="AV89" s="13">
        <f t="shared" si="30"/>
        <v>9</v>
      </c>
      <c r="AW89" s="14">
        <f t="shared" si="31"/>
        <v>2311</v>
      </c>
      <c r="AX89" s="14" t="str">
        <f t="shared" si="32"/>
        <v>DefExt</v>
      </c>
      <c r="AY89" s="14">
        <f t="shared" si="33"/>
        <v>220</v>
      </c>
      <c r="AZ89" s="14" t="str">
        <f t="shared" si="34"/>
        <v>HPExt</v>
      </c>
      <c r="BA89" s="14">
        <f t="shared" si="35"/>
        <v>111</v>
      </c>
      <c r="BB89" s="14" t="str">
        <f t="shared" si="36"/>
        <v/>
      </c>
      <c r="BC89" s="14" t="str">
        <f t="shared" si="37"/>
        <v/>
      </c>
      <c r="BD89" s="14" t="str">
        <f t="shared" si="38"/>
        <v/>
      </c>
      <c r="BE89" s="14" t="str">
        <f t="shared" si="39"/>
        <v/>
      </c>
    </row>
    <row r="90" spans="39:57" ht="16.5" x14ac:dyDescent="0.2">
      <c r="AM90" s="13">
        <v>85</v>
      </c>
      <c r="AN90" s="14">
        <f t="shared" si="40"/>
        <v>6</v>
      </c>
      <c r="AO90" s="29">
        <f t="shared" si="24"/>
        <v>0.748</v>
      </c>
      <c r="AP90" s="14">
        <f t="shared" si="25"/>
        <v>2</v>
      </c>
      <c r="AQ90" s="14">
        <f t="shared" si="26"/>
        <v>3</v>
      </c>
      <c r="AR90" s="14">
        <f t="shared" si="27"/>
        <v>0</v>
      </c>
      <c r="AS90" s="14">
        <f t="shared" si="28"/>
        <v>1606008</v>
      </c>
      <c r="AT90" s="14" t="str">
        <f t="shared" si="29"/>
        <v>神器-2-碎片-3-10级</v>
      </c>
      <c r="AU90" s="13" t="s">
        <v>1195</v>
      </c>
      <c r="AV90" s="13">
        <f t="shared" si="30"/>
        <v>10</v>
      </c>
      <c r="AW90" s="14">
        <f t="shared" si="31"/>
        <v>2616</v>
      </c>
      <c r="AX90" s="14" t="str">
        <f t="shared" si="32"/>
        <v>DefExt</v>
      </c>
      <c r="AY90" s="14">
        <f t="shared" si="33"/>
        <v>249</v>
      </c>
      <c r="AZ90" s="14" t="str">
        <f t="shared" si="34"/>
        <v>HPExt</v>
      </c>
      <c r="BA90" s="14">
        <f t="shared" si="35"/>
        <v>126</v>
      </c>
      <c r="BB90" s="14" t="str">
        <f t="shared" si="36"/>
        <v/>
      </c>
      <c r="BC90" s="14" t="str">
        <f t="shared" si="37"/>
        <v/>
      </c>
      <c r="BD90" s="14" t="str">
        <f t="shared" si="38"/>
        <v/>
      </c>
      <c r="BE90" s="14" t="str">
        <f t="shared" si="39"/>
        <v/>
      </c>
    </row>
    <row r="91" spans="39:57" ht="16.5" x14ac:dyDescent="0.2">
      <c r="AM91" s="13">
        <v>86</v>
      </c>
      <c r="AN91" s="14">
        <f t="shared" si="40"/>
        <v>6</v>
      </c>
      <c r="AO91" s="29">
        <f t="shared" si="24"/>
        <v>0.84000000000000008</v>
      </c>
      <c r="AP91" s="14">
        <f t="shared" si="25"/>
        <v>2</v>
      </c>
      <c r="AQ91" s="14">
        <f t="shared" si="26"/>
        <v>3</v>
      </c>
      <c r="AR91" s="14">
        <f t="shared" si="27"/>
        <v>0</v>
      </c>
      <c r="AS91" s="14">
        <f t="shared" si="28"/>
        <v>1606008</v>
      </c>
      <c r="AT91" s="14" t="str">
        <f t="shared" si="29"/>
        <v>神器-2-碎片-3-11级</v>
      </c>
      <c r="AU91" s="13" t="s">
        <v>1195</v>
      </c>
      <c r="AV91" s="13">
        <f t="shared" si="30"/>
        <v>11</v>
      </c>
      <c r="AW91" s="14">
        <f t="shared" si="31"/>
        <v>2931</v>
      </c>
      <c r="AX91" s="14" t="str">
        <f t="shared" si="32"/>
        <v>DefExt</v>
      </c>
      <c r="AY91" s="14">
        <f t="shared" si="33"/>
        <v>279</v>
      </c>
      <c r="AZ91" s="14" t="str">
        <f t="shared" si="34"/>
        <v>HPExt</v>
      </c>
      <c r="BA91" s="14">
        <f t="shared" si="35"/>
        <v>141</v>
      </c>
      <c r="BB91" s="14" t="str">
        <f t="shared" si="36"/>
        <v/>
      </c>
      <c r="BC91" s="14" t="str">
        <f t="shared" si="37"/>
        <v/>
      </c>
      <c r="BD91" s="14" t="str">
        <f t="shared" si="38"/>
        <v/>
      </c>
      <c r="BE91" s="14" t="str">
        <f t="shared" si="39"/>
        <v/>
      </c>
    </row>
    <row r="92" spans="39:57" ht="16.5" x14ac:dyDescent="0.2">
      <c r="AM92" s="13">
        <v>87</v>
      </c>
      <c r="AN92" s="14">
        <f t="shared" si="40"/>
        <v>6</v>
      </c>
      <c r="AO92" s="29">
        <f t="shared" si="24"/>
        <v>0.93600000000000017</v>
      </c>
      <c r="AP92" s="14">
        <f t="shared" si="25"/>
        <v>2</v>
      </c>
      <c r="AQ92" s="14">
        <f t="shared" si="26"/>
        <v>3</v>
      </c>
      <c r="AR92" s="14">
        <f t="shared" si="27"/>
        <v>0</v>
      </c>
      <c r="AS92" s="14">
        <f t="shared" si="28"/>
        <v>1606008</v>
      </c>
      <c r="AT92" s="14" t="str">
        <f t="shared" si="29"/>
        <v>神器-2-碎片-3-12级</v>
      </c>
      <c r="AU92" s="13" t="s">
        <v>1195</v>
      </c>
      <c r="AV92" s="13">
        <f t="shared" si="30"/>
        <v>12</v>
      </c>
      <c r="AW92" s="14">
        <f t="shared" si="31"/>
        <v>3268</v>
      </c>
      <c r="AX92" s="14" t="str">
        <f t="shared" si="32"/>
        <v>DefExt</v>
      </c>
      <c r="AY92" s="14">
        <f t="shared" si="33"/>
        <v>311</v>
      </c>
      <c r="AZ92" s="14" t="str">
        <f t="shared" si="34"/>
        <v>HPExt</v>
      </c>
      <c r="BA92" s="14">
        <f t="shared" si="35"/>
        <v>158</v>
      </c>
      <c r="BB92" s="14" t="str">
        <f t="shared" si="36"/>
        <v/>
      </c>
      <c r="BC92" s="14" t="str">
        <f t="shared" si="37"/>
        <v/>
      </c>
      <c r="BD92" s="14" t="str">
        <f t="shared" si="38"/>
        <v/>
      </c>
      <c r="BE92" s="14" t="str">
        <f t="shared" si="39"/>
        <v/>
      </c>
    </row>
    <row r="93" spans="39:57" ht="16.5" x14ac:dyDescent="0.2">
      <c r="AM93" s="13">
        <v>88</v>
      </c>
      <c r="AN93" s="14">
        <f t="shared" si="40"/>
        <v>6</v>
      </c>
      <c r="AO93" s="29">
        <f t="shared" si="24"/>
        <v>1.036</v>
      </c>
      <c r="AP93" s="14">
        <f t="shared" si="25"/>
        <v>2</v>
      </c>
      <c r="AQ93" s="14">
        <f t="shared" si="26"/>
        <v>3</v>
      </c>
      <c r="AR93" s="14">
        <f t="shared" si="27"/>
        <v>0</v>
      </c>
      <c r="AS93" s="14">
        <f t="shared" si="28"/>
        <v>1606008</v>
      </c>
      <c r="AT93" s="14" t="str">
        <f t="shared" si="29"/>
        <v>神器-2-碎片-3-13级</v>
      </c>
      <c r="AU93" s="13" t="s">
        <v>1195</v>
      </c>
      <c r="AV93" s="13">
        <f t="shared" si="30"/>
        <v>13</v>
      </c>
      <c r="AW93" s="14">
        <f t="shared" si="31"/>
        <v>3624</v>
      </c>
      <c r="AX93" s="14" t="str">
        <f t="shared" si="32"/>
        <v>DefExt</v>
      </c>
      <c r="AY93" s="14">
        <f t="shared" si="33"/>
        <v>345</v>
      </c>
      <c r="AZ93" s="14" t="str">
        <f t="shared" si="34"/>
        <v>HPExt</v>
      </c>
      <c r="BA93" s="14">
        <f t="shared" si="35"/>
        <v>174</v>
      </c>
      <c r="BB93" s="14" t="str">
        <f t="shared" si="36"/>
        <v/>
      </c>
      <c r="BC93" s="14" t="str">
        <f t="shared" si="37"/>
        <v/>
      </c>
      <c r="BD93" s="14" t="str">
        <f t="shared" si="38"/>
        <v/>
      </c>
      <c r="BE93" s="14" t="str">
        <f t="shared" si="39"/>
        <v/>
      </c>
    </row>
    <row r="94" spans="39:57" ht="16.5" x14ac:dyDescent="0.2">
      <c r="AM94" s="13">
        <v>89</v>
      </c>
      <c r="AN94" s="14">
        <f t="shared" si="40"/>
        <v>6</v>
      </c>
      <c r="AO94" s="29">
        <f t="shared" si="24"/>
        <v>1.1400000000000001</v>
      </c>
      <c r="AP94" s="14">
        <f t="shared" si="25"/>
        <v>2</v>
      </c>
      <c r="AQ94" s="14">
        <f t="shared" si="26"/>
        <v>3</v>
      </c>
      <c r="AR94" s="14">
        <f t="shared" si="27"/>
        <v>0</v>
      </c>
      <c r="AS94" s="14">
        <f t="shared" si="28"/>
        <v>1606008</v>
      </c>
      <c r="AT94" s="14" t="str">
        <f t="shared" si="29"/>
        <v>神器-2-碎片-3-14级</v>
      </c>
      <c r="AU94" s="13" t="s">
        <v>1195</v>
      </c>
      <c r="AV94" s="13">
        <f t="shared" si="30"/>
        <v>14</v>
      </c>
      <c r="AW94" s="14">
        <f t="shared" si="31"/>
        <v>3982</v>
      </c>
      <c r="AX94" s="14" t="str">
        <f t="shared" si="32"/>
        <v>DefExt</v>
      </c>
      <c r="AY94" s="14">
        <f t="shared" si="33"/>
        <v>379</v>
      </c>
      <c r="AZ94" s="14" t="str">
        <f t="shared" si="34"/>
        <v>HPExt</v>
      </c>
      <c r="BA94" s="14">
        <f t="shared" si="35"/>
        <v>192</v>
      </c>
      <c r="BB94" s="14" t="str">
        <f t="shared" si="36"/>
        <v/>
      </c>
      <c r="BC94" s="14" t="str">
        <f t="shared" si="37"/>
        <v/>
      </c>
      <c r="BD94" s="14" t="str">
        <f t="shared" si="38"/>
        <v/>
      </c>
      <c r="BE94" s="14" t="str">
        <f t="shared" si="39"/>
        <v/>
      </c>
    </row>
    <row r="95" spans="39:57" ht="16.5" x14ac:dyDescent="0.2">
      <c r="AM95" s="13">
        <v>90</v>
      </c>
      <c r="AN95" s="14">
        <f t="shared" si="40"/>
        <v>6</v>
      </c>
      <c r="AO95" s="29">
        <f t="shared" si="24"/>
        <v>1.248</v>
      </c>
      <c r="AP95" s="14">
        <f t="shared" si="25"/>
        <v>2</v>
      </c>
      <c r="AQ95" s="14">
        <f t="shared" si="26"/>
        <v>3</v>
      </c>
      <c r="AR95" s="14">
        <f t="shared" si="27"/>
        <v>0</v>
      </c>
      <c r="AS95" s="14">
        <f t="shared" si="28"/>
        <v>1606008</v>
      </c>
      <c r="AT95" s="14" t="str">
        <f t="shared" si="29"/>
        <v>神器-2-碎片-3-15级</v>
      </c>
      <c r="AU95" s="13" t="s">
        <v>1195</v>
      </c>
      <c r="AV95" s="13">
        <f t="shared" si="30"/>
        <v>15</v>
      </c>
      <c r="AW95" s="14">
        <f t="shared" si="31"/>
        <v>4360</v>
      </c>
      <c r="AX95" s="14" t="str">
        <f t="shared" si="32"/>
        <v>DefExt</v>
      </c>
      <c r="AY95" s="14">
        <f t="shared" si="33"/>
        <v>415</v>
      </c>
      <c r="AZ95" s="14" t="str">
        <f t="shared" si="34"/>
        <v>HPExt</v>
      </c>
      <c r="BA95" s="14">
        <f t="shared" si="35"/>
        <v>210</v>
      </c>
      <c r="BB95" s="14" t="str">
        <f t="shared" si="36"/>
        <v/>
      </c>
      <c r="BC95" s="14" t="str">
        <f t="shared" si="37"/>
        <v/>
      </c>
      <c r="BD95" s="14" t="str">
        <f t="shared" si="38"/>
        <v/>
      </c>
      <c r="BE95" s="14" t="str">
        <f t="shared" si="39"/>
        <v/>
      </c>
    </row>
    <row r="96" spans="39:57" ht="16.5" x14ac:dyDescent="0.2">
      <c r="AM96" s="13">
        <v>91</v>
      </c>
      <c r="AN96" s="14">
        <f t="shared" si="40"/>
        <v>7</v>
      </c>
      <c r="AO96" s="29">
        <f t="shared" si="24"/>
        <v>0.1</v>
      </c>
      <c r="AP96" s="14">
        <f t="shared" si="25"/>
        <v>1</v>
      </c>
      <c r="AQ96" s="14">
        <f t="shared" si="26"/>
        <v>2</v>
      </c>
      <c r="AR96" s="14">
        <f t="shared" si="27"/>
        <v>3</v>
      </c>
      <c r="AS96" s="14">
        <f t="shared" si="28"/>
        <v>1606009</v>
      </c>
      <c r="AT96" s="14" t="str">
        <f t="shared" si="29"/>
        <v>神器-2-碎片-4-1级</v>
      </c>
      <c r="AU96" s="13" t="s">
        <v>1195</v>
      </c>
      <c r="AV96" s="13">
        <f t="shared" si="30"/>
        <v>1</v>
      </c>
      <c r="AW96" s="14">
        <f t="shared" si="31"/>
        <v>267</v>
      </c>
      <c r="AX96" s="14" t="str">
        <f t="shared" si="32"/>
        <v>AtkExt</v>
      </c>
      <c r="AY96" s="14">
        <f t="shared" si="33"/>
        <v>16</v>
      </c>
      <c r="AZ96" s="14" t="str">
        <f t="shared" si="34"/>
        <v>DefExt</v>
      </c>
      <c r="BA96" s="14">
        <f t="shared" si="35"/>
        <v>17</v>
      </c>
      <c r="BB96" s="14" t="str">
        <f t="shared" si="36"/>
        <v>HPExt</v>
      </c>
      <c r="BC96" s="14">
        <f t="shared" si="37"/>
        <v>17</v>
      </c>
      <c r="BD96" s="14" t="str">
        <f t="shared" si="38"/>
        <v/>
      </c>
      <c r="BE96" s="14" t="str">
        <f t="shared" si="39"/>
        <v/>
      </c>
    </row>
    <row r="97" spans="39:57" ht="16.5" x14ac:dyDescent="0.2">
      <c r="AM97" s="13">
        <v>92</v>
      </c>
      <c r="AN97" s="14">
        <f t="shared" si="40"/>
        <v>7</v>
      </c>
      <c r="AO97" s="29">
        <f t="shared" si="24"/>
        <v>0.15600000000000003</v>
      </c>
      <c r="AP97" s="14">
        <f t="shared" si="25"/>
        <v>1</v>
      </c>
      <c r="AQ97" s="14">
        <f t="shared" si="26"/>
        <v>2</v>
      </c>
      <c r="AR97" s="14">
        <f t="shared" si="27"/>
        <v>3</v>
      </c>
      <c r="AS97" s="14">
        <f t="shared" si="28"/>
        <v>1606009</v>
      </c>
      <c r="AT97" s="14" t="str">
        <f t="shared" si="29"/>
        <v>神器-2-碎片-4-2级</v>
      </c>
      <c r="AU97" s="13" t="s">
        <v>1195</v>
      </c>
      <c r="AV97" s="13">
        <f t="shared" si="30"/>
        <v>2</v>
      </c>
      <c r="AW97" s="14">
        <f t="shared" si="31"/>
        <v>411</v>
      </c>
      <c r="AX97" s="14" t="str">
        <f t="shared" si="32"/>
        <v>AtkExt</v>
      </c>
      <c r="AY97" s="14">
        <f t="shared" si="33"/>
        <v>25</v>
      </c>
      <c r="AZ97" s="14" t="str">
        <f t="shared" si="34"/>
        <v>DefExt</v>
      </c>
      <c r="BA97" s="14">
        <f t="shared" si="35"/>
        <v>26</v>
      </c>
      <c r="BB97" s="14" t="str">
        <f t="shared" si="36"/>
        <v>HPExt</v>
      </c>
      <c r="BC97" s="14">
        <f t="shared" si="37"/>
        <v>26</v>
      </c>
      <c r="BD97" s="14" t="str">
        <f t="shared" si="38"/>
        <v/>
      </c>
      <c r="BE97" s="14" t="str">
        <f t="shared" si="39"/>
        <v/>
      </c>
    </row>
    <row r="98" spans="39:57" ht="16.5" x14ac:dyDescent="0.2">
      <c r="AM98" s="13">
        <v>93</v>
      </c>
      <c r="AN98" s="14">
        <f t="shared" si="40"/>
        <v>7</v>
      </c>
      <c r="AO98" s="29">
        <f t="shared" si="24"/>
        <v>0.21600000000000003</v>
      </c>
      <c r="AP98" s="14">
        <f t="shared" si="25"/>
        <v>1</v>
      </c>
      <c r="AQ98" s="14">
        <f t="shared" si="26"/>
        <v>2</v>
      </c>
      <c r="AR98" s="14">
        <f t="shared" si="27"/>
        <v>3</v>
      </c>
      <c r="AS98" s="14">
        <f t="shared" si="28"/>
        <v>1606009</v>
      </c>
      <c r="AT98" s="14" t="str">
        <f t="shared" si="29"/>
        <v>神器-2-碎片-4-3级</v>
      </c>
      <c r="AU98" s="13" t="s">
        <v>1195</v>
      </c>
      <c r="AV98" s="13">
        <f t="shared" si="30"/>
        <v>3</v>
      </c>
      <c r="AW98" s="14">
        <f t="shared" si="31"/>
        <v>571</v>
      </c>
      <c r="AX98" s="14" t="str">
        <f t="shared" si="32"/>
        <v>AtkExt</v>
      </c>
      <c r="AY98" s="14">
        <f t="shared" si="33"/>
        <v>35</v>
      </c>
      <c r="AZ98" s="14" t="str">
        <f t="shared" si="34"/>
        <v>DefExt</v>
      </c>
      <c r="BA98" s="14">
        <f t="shared" si="35"/>
        <v>36</v>
      </c>
      <c r="BB98" s="14" t="str">
        <f t="shared" si="36"/>
        <v>HPExt</v>
      </c>
      <c r="BC98" s="14">
        <f t="shared" si="37"/>
        <v>36</v>
      </c>
      <c r="BD98" s="14" t="str">
        <f t="shared" si="38"/>
        <v/>
      </c>
      <c r="BE98" s="14" t="str">
        <f t="shared" si="39"/>
        <v/>
      </c>
    </row>
    <row r="99" spans="39:57" ht="16.5" x14ac:dyDescent="0.2">
      <c r="AM99" s="13">
        <v>94</v>
      </c>
      <c r="AN99" s="14">
        <f t="shared" si="40"/>
        <v>7</v>
      </c>
      <c r="AO99" s="29">
        <f t="shared" si="24"/>
        <v>0.28000000000000003</v>
      </c>
      <c r="AP99" s="14">
        <f t="shared" si="25"/>
        <v>1</v>
      </c>
      <c r="AQ99" s="14">
        <f t="shared" si="26"/>
        <v>2</v>
      </c>
      <c r="AR99" s="14">
        <f t="shared" si="27"/>
        <v>3</v>
      </c>
      <c r="AS99" s="14">
        <f t="shared" si="28"/>
        <v>1606009</v>
      </c>
      <c r="AT99" s="14" t="str">
        <f t="shared" si="29"/>
        <v>神器-2-碎片-4-4级</v>
      </c>
      <c r="AU99" s="13" t="s">
        <v>1195</v>
      </c>
      <c r="AV99" s="13">
        <f t="shared" si="30"/>
        <v>4</v>
      </c>
      <c r="AW99" s="14">
        <f t="shared" si="31"/>
        <v>742</v>
      </c>
      <c r="AX99" s="14" t="str">
        <f t="shared" si="32"/>
        <v>AtkExt</v>
      </c>
      <c r="AY99" s="14">
        <f t="shared" si="33"/>
        <v>45</v>
      </c>
      <c r="AZ99" s="14" t="str">
        <f t="shared" si="34"/>
        <v>DefExt</v>
      </c>
      <c r="BA99" s="14">
        <f t="shared" si="35"/>
        <v>47</v>
      </c>
      <c r="BB99" s="14" t="str">
        <f t="shared" si="36"/>
        <v>HPExt</v>
      </c>
      <c r="BC99" s="14">
        <f t="shared" si="37"/>
        <v>47</v>
      </c>
      <c r="BD99" s="14" t="str">
        <f t="shared" si="38"/>
        <v/>
      </c>
      <c r="BE99" s="14" t="str">
        <f t="shared" si="39"/>
        <v/>
      </c>
    </row>
    <row r="100" spans="39:57" ht="16.5" x14ac:dyDescent="0.2">
      <c r="AM100" s="13">
        <v>95</v>
      </c>
      <c r="AN100" s="14">
        <f t="shared" si="40"/>
        <v>7</v>
      </c>
      <c r="AO100" s="29">
        <f t="shared" si="24"/>
        <v>0.34799999999999998</v>
      </c>
      <c r="AP100" s="14">
        <f t="shared" si="25"/>
        <v>1</v>
      </c>
      <c r="AQ100" s="14">
        <f t="shared" si="26"/>
        <v>2</v>
      </c>
      <c r="AR100" s="14">
        <f t="shared" si="27"/>
        <v>3</v>
      </c>
      <c r="AS100" s="14">
        <f t="shared" si="28"/>
        <v>1606009</v>
      </c>
      <c r="AT100" s="14" t="str">
        <f t="shared" si="29"/>
        <v>神器-2-碎片-4-5级</v>
      </c>
      <c r="AU100" s="13" t="s">
        <v>1195</v>
      </c>
      <c r="AV100" s="13">
        <f t="shared" si="30"/>
        <v>5</v>
      </c>
      <c r="AW100" s="14">
        <f t="shared" si="31"/>
        <v>919</v>
      </c>
      <c r="AX100" s="14" t="str">
        <f t="shared" si="32"/>
        <v>AtkExt</v>
      </c>
      <c r="AY100" s="14">
        <f t="shared" si="33"/>
        <v>56</v>
      </c>
      <c r="AZ100" s="14" t="str">
        <f t="shared" si="34"/>
        <v>DefExt</v>
      </c>
      <c r="BA100" s="14">
        <f t="shared" si="35"/>
        <v>58</v>
      </c>
      <c r="BB100" s="14" t="str">
        <f t="shared" si="36"/>
        <v>HPExt</v>
      </c>
      <c r="BC100" s="14">
        <f t="shared" si="37"/>
        <v>59</v>
      </c>
      <c r="BD100" s="14" t="str">
        <f t="shared" si="38"/>
        <v/>
      </c>
      <c r="BE100" s="14" t="str">
        <f t="shared" si="39"/>
        <v/>
      </c>
    </row>
    <row r="101" spans="39:57" ht="16.5" x14ac:dyDescent="0.2">
      <c r="AM101" s="13">
        <v>96</v>
      </c>
      <c r="AN101" s="14">
        <f t="shared" si="40"/>
        <v>7</v>
      </c>
      <c r="AO101" s="29">
        <f t="shared" si="24"/>
        <v>0.42000000000000004</v>
      </c>
      <c r="AP101" s="14">
        <f t="shared" si="25"/>
        <v>1</v>
      </c>
      <c r="AQ101" s="14">
        <f t="shared" si="26"/>
        <v>2</v>
      </c>
      <c r="AR101" s="14">
        <f t="shared" si="27"/>
        <v>3</v>
      </c>
      <c r="AS101" s="14">
        <f t="shared" si="28"/>
        <v>1606009</v>
      </c>
      <c r="AT101" s="14" t="str">
        <f t="shared" si="29"/>
        <v>神器-2-碎片-4-6级</v>
      </c>
      <c r="AU101" s="13" t="s">
        <v>1195</v>
      </c>
      <c r="AV101" s="13">
        <f t="shared" si="30"/>
        <v>6</v>
      </c>
      <c r="AW101" s="14">
        <f t="shared" si="31"/>
        <v>1111</v>
      </c>
      <c r="AX101" s="14" t="str">
        <f t="shared" si="32"/>
        <v>AtkExt</v>
      </c>
      <c r="AY101" s="14">
        <f t="shared" si="33"/>
        <v>68</v>
      </c>
      <c r="AZ101" s="14" t="str">
        <f t="shared" si="34"/>
        <v>DefExt</v>
      </c>
      <c r="BA101" s="14">
        <f t="shared" si="35"/>
        <v>70</v>
      </c>
      <c r="BB101" s="14" t="str">
        <f t="shared" si="36"/>
        <v>HPExt</v>
      </c>
      <c r="BC101" s="14">
        <f t="shared" si="37"/>
        <v>71</v>
      </c>
      <c r="BD101" s="14" t="str">
        <f t="shared" si="38"/>
        <v/>
      </c>
      <c r="BE101" s="14" t="str">
        <f t="shared" si="39"/>
        <v/>
      </c>
    </row>
    <row r="102" spans="39:57" ht="16.5" x14ac:dyDescent="0.2">
      <c r="AM102" s="13">
        <v>97</v>
      </c>
      <c r="AN102" s="14">
        <f t="shared" si="40"/>
        <v>7</v>
      </c>
      <c r="AO102" s="29">
        <f t="shared" si="24"/>
        <v>0.496</v>
      </c>
      <c r="AP102" s="14">
        <f t="shared" si="25"/>
        <v>1</v>
      </c>
      <c r="AQ102" s="14">
        <f t="shared" si="26"/>
        <v>2</v>
      </c>
      <c r="AR102" s="14">
        <f t="shared" si="27"/>
        <v>3</v>
      </c>
      <c r="AS102" s="14">
        <f t="shared" si="28"/>
        <v>1606009</v>
      </c>
      <c r="AT102" s="14" t="str">
        <f t="shared" si="29"/>
        <v>神器-2-碎片-4-7级</v>
      </c>
      <c r="AU102" s="13" t="s">
        <v>1195</v>
      </c>
      <c r="AV102" s="13">
        <f t="shared" si="30"/>
        <v>7</v>
      </c>
      <c r="AW102" s="14">
        <f t="shared" si="31"/>
        <v>1304</v>
      </c>
      <c r="AX102" s="14" t="str">
        <f t="shared" si="32"/>
        <v>AtkExt</v>
      </c>
      <c r="AY102" s="14">
        <f t="shared" si="33"/>
        <v>80</v>
      </c>
      <c r="AZ102" s="14" t="str">
        <f t="shared" si="34"/>
        <v>DefExt</v>
      </c>
      <c r="BA102" s="14">
        <f t="shared" si="35"/>
        <v>82</v>
      </c>
      <c r="BB102" s="14" t="str">
        <f t="shared" si="36"/>
        <v>HPExt</v>
      </c>
      <c r="BC102" s="14">
        <f t="shared" si="37"/>
        <v>84</v>
      </c>
      <c r="BD102" s="14" t="str">
        <f t="shared" si="38"/>
        <v/>
      </c>
      <c r="BE102" s="14" t="str">
        <f t="shared" si="39"/>
        <v/>
      </c>
    </row>
    <row r="103" spans="39:57" ht="16.5" x14ac:dyDescent="0.2">
      <c r="AM103" s="13">
        <v>98</v>
      </c>
      <c r="AN103" s="14">
        <f t="shared" si="40"/>
        <v>7</v>
      </c>
      <c r="AO103" s="29">
        <f t="shared" si="24"/>
        <v>0.57600000000000007</v>
      </c>
      <c r="AP103" s="14">
        <f t="shared" si="25"/>
        <v>1</v>
      </c>
      <c r="AQ103" s="14">
        <f t="shared" si="26"/>
        <v>2</v>
      </c>
      <c r="AR103" s="14">
        <f t="shared" si="27"/>
        <v>3</v>
      </c>
      <c r="AS103" s="14">
        <f t="shared" si="28"/>
        <v>1606009</v>
      </c>
      <c r="AT103" s="14" t="str">
        <f t="shared" si="29"/>
        <v>神器-2-碎片-4-8级</v>
      </c>
      <c r="AU103" s="13" t="s">
        <v>1195</v>
      </c>
      <c r="AV103" s="13">
        <f t="shared" si="30"/>
        <v>8</v>
      </c>
      <c r="AW103" s="14">
        <f t="shared" si="31"/>
        <v>1522</v>
      </c>
      <c r="AX103" s="14" t="str">
        <f t="shared" si="32"/>
        <v>AtkExt</v>
      </c>
      <c r="AY103" s="14">
        <f t="shared" si="33"/>
        <v>93</v>
      </c>
      <c r="AZ103" s="14" t="str">
        <f t="shared" si="34"/>
        <v>DefExt</v>
      </c>
      <c r="BA103" s="14">
        <f t="shared" si="35"/>
        <v>96</v>
      </c>
      <c r="BB103" s="14" t="str">
        <f t="shared" si="36"/>
        <v>HPExt</v>
      </c>
      <c r="BC103" s="14">
        <f t="shared" si="37"/>
        <v>97</v>
      </c>
      <c r="BD103" s="14" t="str">
        <f t="shared" si="38"/>
        <v/>
      </c>
      <c r="BE103" s="14" t="str">
        <f t="shared" si="39"/>
        <v/>
      </c>
    </row>
    <row r="104" spans="39:57" ht="16.5" x14ac:dyDescent="0.2">
      <c r="AM104" s="13">
        <v>99</v>
      </c>
      <c r="AN104" s="14">
        <f t="shared" si="40"/>
        <v>7</v>
      </c>
      <c r="AO104" s="29">
        <f t="shared" si="24"/>
        <v>0.66</v>
      </c>
      <c r="AP104" s="14">
        <f t="shared" si="25"/>
        <v>1</v>
      </c>
      <c r="AQ104" s="14">
        <f t="shared" si="26"/>
        <v>2</v>
      </c>
      <c r="AR104" s="14">
        <f t="shared" si="27"/>
        <v>3</v>
      </c>
      <c r="AS104" s="14">
        <f t="shared" si="28"/>
        <v>1606009</v>
      </c>
      <c r="AT104" s="14" t="str">
        <f t="shared" si="29"/>
        <v>神器-2-碎片-4-9级</v>
      </c>
      <c r="AU104" s="13" t="s">
        <v>1195</v>
      </c>
      <c r="AV104" s="13">
        <f t="shared" si="30"/>
        <v>9</v>
      </c>
      <c r="AW104" s="14">
        <f t="shared" si="31"/>
        <v>1746</v>
      </c>
      <c r="AX104" s="14" t="str">
        <f t="shared" si="32"/>
        <v>AtkExt</v>
      </c>
      <c r="AY104" s="14">
        <f t="shared" si="33"/>
        <v>107</v>
      </c>
      <c r="AZ104" s="14" t="str">
        <f t="shared" si="34"/>
        <v>DefExt</v>
      </c>
      <c r="BA104" s="14">
        <f t="shared" si="35"/>
        <v>110</v>
      </c>
      <c r="BB104" s="14" t="str">
        <f t="shared" si="36"/>
        <v>HPExt</v>
      </c>
      <c r="BC104" s="14">
        <f t="shared" si="37"/>
        <v>111</v>
      </c>
      <c r="BD104" s="14" t="str">
        <f t="shared" si="38"/>
        <v/>
      </c>
      <c r="BE104" s="14" t="str">
        <f t="shared" si="39"/>
        <v/>
      </c>
    </row>
    <row r="105" spans="39:57" ht="16.5" x14ac:dyDescent="0.2">
      <c r="AM105" s="13">
        <v>100</v>
      </c>
      <c r="AN105" s="14">
        <f t="shared" si="40"/>
        <v>7</v>
      </c>
      <c r="AO105" s="29">
        <f t="shared" si="24"/>
        <v>0.748</v>
      </c>
      <c r="AP105" s="14">
        <f t="shared" si="25"/>
        <v>1</v>
      </c>
      <c r="AQ105" s="14">
        <f t="shared" si="26"/>
        <v>2</v>
      </c>
      <c r="AR105" s="14">
        <f t="shared" si="27"/>
        <v>3</v>
      </c>
      <c r="AS105" s="14">
        <f t="shared" si="28"/>
        <v>1606009</v>
      </c>
      <c r="AT105" s="14" t="str">
        <f t="shared" si="29"/>
        <v>神器-2-碎片-4-10级</v>
      </c>
      <c r="AU105" s="13" t="s">
        <v>1195</v>
      </c>
      <c r="AV105" s="13">
        <f t="shared" si="30"/>
        <v>10</v>
      </c>
      <c r="AW105" s="14">
        <f t="shared" si="31"/>
        <v>1971</v>
      </c>
      <c r="AX105" s="14" t="str">
        <f t="shared" si="32"/>
        <v>AtkExt</v>
      </c>
      <c r="AY105" s="14">
        <f t="shared" si="33"/>
        <v>121</v>
      </c>
      <c r="AZ105" s="14" t="str">
        <f t="shared" si="34"/>
        <v>DefExt</v>
      </c>
      <c r="BA105" s="14">
        <f t="shared" si="35"/>
        <v>124</v>
      </c>
      <c r="BB105" s="14" t="str">
        <f t="shared" si="36"/>
        <v>HPExt</v>
      </c>
      <c r="BC105" s="14">
        <f t="shared" si="37"/>
        <v>126</v>
      </c>
      <c r="BD105" s="14" t="str">
        <f t="shared" si="38"/>
        <v/>
      </c>
      <c r="BE105" s="14" t="str">
        <f t="shared" si="39"/>
        <v/>
      </c>
    </row>
    <row r="106" spans="39:57" ht="16.5" x14ac:dyDescent="0.2">
      <c r="AM106" s="13">
        <v>101</v>
      </c>
      <c r="AN106" s="14">
        <f t="shared" si="40"/>
        <v>7</v>
      </c>
      <c r="AO106" s="29">
        <f t="shared" si="24"/>
        <v>0.84000000000000008</v>
      </c>
      <c r="AP106" s="14">
        <f t="shared" si="25"/>
        <v>1</v>
      </c>
      <c r="AQ106" s="14">
        <f t="shared" si="26"/>
        <v>2</v>
      </c>
      <c r="AR106" s="14">
        <f t="shared" si="27"/>
        <v>3</v>
      </c>
      <c r="AS106" s="14">
        <f t="shared" si="28"/>
        <v>1606009</v>
      </c>
      <c r="AT106" s="14" t="str">
        <f t="shared" si="29"/>
        <v>神器-2-碎片-4-11级</v>
      </c>
      <c r="AU106" s="13" t="s">
        <v>1195</v>
      </c>
      <c r="AV106" s="13">
        <f t="shared" si="30"/>
        <v>11</v>
      </c>
      <c r="AW106" s="14">
        <f t="shared" si="31"/>
        <v>2221</v>
      </c>
      <c r="AX106" s="14" t="str">
        <f t="shared" si="32"/>
        <v>AtkExt</v>
      </c>
      <c r="AY106" s="14">
        <f t="shared" si="33"/>
        <v>136</v>
      </c>
      <c r="AZ106" s="14" t="str">
        <f t="shared" si="34"/>
        <v>DefExt</v>
      </c>
      <c r="BA106" s="14">
        <f t="shared" si="35"/>
        <v>140</v>
      </c>
      <c r="BB106" s="14" t="str">
        <f t="shared" si="36"/>
        <v>HPExt</v>
      </c>
      <c r="BC106" s="14">
        <f t="shared" si="37"/>
        <v>141</v>
      </c>
      <c r="BD106" s="14" t="str">
        <f t="shared" si="38"/>
        <v/>
      </c>
      <c r="BE106" s="14" t="str">
        <f t="shared" si="39"/>
        <v/>
      </c>
    </row>
    <row r="107" spans="39:57" ht="16.5" x14ac:dyDescent="0.2">
      <c r="AM107" s="13">
        <v>102</v>
      </c>
      <c r="AN107" s="14">
        <f t="shared" si="40"/>
        <v>7</v>
      </c>
      <c r="AO107" s="29">
        <f t="shared" si="24"/>
        <v>0.93600000000000017</v>
      </c>
      <c r="AP107" s="14">
        <f t="shared" si="25"/>
        <v>1</v>
      </c>
      <c r="AQ107" s="14">
        <f t="shared" si="26"/>
        <v>2</v>
      </c>
      <c r="AR107" s="14">
        <f t="shared" si="27"/>
        <v>3</v>
      </c>
      <c r="AS107" s="14">
        <f t="shared" si="28"/>
        <v>1606009</v>
      </c>
      <c r="AT107" s="14" t="str">
        <f t="shared" si="29"/>
        <v>神器-2-碎片-4-12级</v>
      </c>
      <c r="AU107" s="13" t="s">
        <v>1195</v>
      </c>
      <c r="AV107" s="13">
        <f t="shared" si="30"/>
        <v>12</v>
      </c>
      <c r="AW107" s="14">
        <f t="shared" si="31"/>
        <v>2473</v>
      </c>
      <c r="AX107" s="14" t="str">
        <f t="shared" si="32"/>
        <v>AtkExt</v>
      </c>
      <c r="AY107" s="14">
        <f t="shared" si="33"/>
        <v>151</v>
      </c>
      <c r="AZ107" s="14" t="str">
        <f t="shared" si="34"/>
        <v>DefExt</v>
      </c>
      <c r="BA107" s="14">
        <f t="shared" si="35"/>
        <v>156</v>
      </c>
      <c r="BB107" s="14" t="str">
        <f t="shared" si="36"/>
        <v>HPExt</v>
      </c>
      <c r="BC107" s="14">
        <f t="shared" si="37"/>
        <v>158</v>
      </c>
      <c r="BD107" s="14" t="str">
        <f t="shared" si="38"/>
        <v/>
      </c>
      <c r="BE107" s="14" t="str">
        <f t="shared" si="39"/>
        <v/>
      </c>
    </row>
    <row r="108" spans="39:57" ht="16.5" x14ac:dyDescent="0.2">
      <c r="AM108" s="13">
        <v>103</v>
      </c>
      <c r="AN108" s="14">
        <f t="shared" si="40"/>
        <v>7</v>
      </c>
      <c r="AO108" s="29">
        <f t="shared" si="24"/>
        <v>1.036</v>
      </c>
      <c r="AP108" s="14">
        <f t="shared" si="25"/>
        <v>1</v>
      </c>
      <c r="AQ108" s="14">
        <f t="shared" si="26"/>
        <v>2</v>
      </c>
      <c r="AR108" s="14">
        <f t="shared" si="27"/>
        <v>3</v>
      </c>
      <c r="AS108" s="14">
        <f t="shared" si="28"/>
        <v>1606009</v>
      </c>
      <c r="AT108" s="14" t="str">
        <f t="shared" si="29"/>
        <v>神器-2-碎片-4-13级</v>
      </c>
      <c r="AU108" s="13" t="s">
        <v>1195</v>
      </c>
      <c r="AV108" s="13">
        <f t="shared" si="30"/>
        <v>13</v>
      </c>
      <c r="AW108" s="14">
        <f t="shared" si="31"/>
        <v>2734</v>
      </c>
      <c r="AX108" s="14" t="str">
        <f t="shared" si="32"/>
        <v>AtkExt</v>
      </c>
      <c r="AY108" s="14">
        <f t="shared" si="33"/>
        <v>168</v>
      </c>
      <c r="AZ108" s="14" t="str">
        <f t="shared" si="34"/>
        <v>DefExt</v>
      </c>
      <c r="BA108" s="14">
        <f t="shared" si="35"/>
        <v>172</v>
      </c>
      <c r="BB108" s="14" t="str">
        <f t="shared" si="36"/>
        <v>HPExt</v>
      </c>
      <c r="BC108" s="14">
        <f t="shared" si="37"/>
        <v>174</v>
      </c>
      <c r="BD108" s="14" t="str">
        <f t="shared" si="38"/>
        <v/>
      </c>
      <c r="BE108" s="14" t="str">
        <f t="shared" si="39"/>
        <v/>
      </c>
    </row>
    <row r="109" spans="39:57" ht="16.5" x14ac:dyDescent="0.2">
      <c r="AM109" s="13">
        <v>104</v>
      </c>
      <c r="AN109" s="14">
        <f t="shared" si="40"/>
        <v>7</v>
      </c>
      <c r="AO109" s="29">
        <f t="shared" si="24"/>
        <v>1.1400000000000001</v>
      </c>
      <c r="AP109" s="14">
        <f t="shared" si="25"/>
        <v>1</v>
      </c>
      <c r="AQ109" s="14">
        <f t="shared" si="26"/>
        <v>2</v>
      </c>
      <c r="AR109" s="14">
        <f t="shared" si="27"/>
        <v>3</v>
      </c>
      <c r="AS109" s="14">
        <f t="shared" si="28"/>
        <v>1606009</v>
      </c>
      <c r="AT109" s="14" t="str">
        <f t="shared" si="29"/>
        <v>神器-2-碎片-4-14级</v>
      </c>
      <c r="AU109" s="13" t="s">
        <v>1195</v>
      </c>
      <c r="AV109" s="13">
        <f t="shared" si="30"/>
        <v>14</v>
      </c>
      <c r="AW109" s="14">
        <f t="shared" si="31"/>
        <v>3012</v>
      </c>
      <c r="AX109" s="14" t="str">
        <f t="shared" si="32"/>
        <v>AtkExt</v>
      </c>
      <c r="AY109" s="14">
        <f t="shared" si="33"/>
        <v>184</v>
      </c>
      <c r="AZ109" s="14" t="str">
        <f t="shared" si="34"/>
        <v>DefExt</v>
      </c>
      <c r="BA109" s="14">
        <f t="shared" si="35"/>
        <v>190</v>
      </c>
      <c r="BB109" s="14" t="str">
        <f t="shared" si="36"/>
        <v>HPExt</v>
      </c>
      <c r="BC109" s="14">
        <f t="shared" si="37"/>
        <v>192</v>
      </c>
      <c r="BD109" s="14" t="str">
        <f t="shared" si="38"/>
        <v/>
      </c>
      <c r="BE109" s="14" t="str">
        <f t="shared" si="39"/>
        <v/>
      </c>
    </row>
    <row r="110" spans="39:57" ht="16.5" x14ac:dyDescent="0.2">
      <c r="AM110" s="13">
        <v>105</v>
      </c>
      <c r="AN110" s="14">
        <f t="shared" si="40"/>
        <v>7</v>
      </c>
      <c r="AO110" s="29">
        <f t="shared" si="24"/>
        <v>1.248</v>
      </c>
      <c r="AP110" s="14">
        <f t="shared" si="25"/>
        <v>1</v>
      </c>
      <c r="AQ110" s="14">
        <f t="shared" si="26"/>
        <v>2</v>
      </c>
      <c r="AR110" s="14">
        <f t="shared" si="27"/>
        <v>3</v>
      </c>
      <c r="AS110" s="14">
        <f t="shared" si="28"/>
        <v>1606009</v>
      </c>
      <c r="AT110" s="14" t="str">
        <f t="shared" si="29"/>
        <v>神器-2-碎片-4-15级</v>
      </c>
      <c r="AU110" s="13" t="s">
        <v>1195</v>
      </c>
      <c r="AV110" s="13">
        <f t="shared" si="30"/>
        <v>15</v>
      </c>
      <c r="AW110" s="14">
        <f t="shared" si="31"/>
        <v>3300</v>
      </c>
      <c r="AX110" s="14" t="str">
        <f t="shared" si="32"/>
        <v>AtkExt</v>
      </c>
      <c r="AY110" s="14">
        <f t="shared" si="33"/>
        <v>202</v>
      </c>
      <c r="AZ110" s="14" t="str">
        <f t="shared" si="34"/>
        <v>DefExt</v>
      </c>
      <c r="BA110" s="14">
        <f t="shared" si="35"/>
        <v>208</v>
      </c>
      <c r="BB110" s="14" t="str">
        <f t="shared" si="36"/>
        <v>HPExt</v>
      </c>
      <c r="BC110" s="14">
        <f t="shared" si="37"/>
        <v>210</v>
      </c>
      <c r="BD110" s="14" t="str">
        <f t="shared" si="38"/>
        <v/>
      </c>
      <c r="BE110" s="14" t="str">
        <f t="shared" si="39"/>
        <v/>
      </c>
    </row>
    <row r="111" spans="39:57" ht="16.5" x14ac:dyDescent="0.2">
      <c r="AM111" s="13">
        <v>106</v>
      </c>
      <c r="AN111" s="14">
        <f t="shared" si="40"/>
        <v>8</v>
      </c>
      <c r="AO111" s="29">
        <f t="shared" si="24"/>
        <v>0.1</v>
      </c>
      <c r="AP111" s="14">
        <f t="shared" si="25"/>
        <v>1</v>
      </c>
      <c r="AQ111" s="14">
        <f t="shared" si="26"/>
        <v>2</v>
      </c>
      <c r="AR111" s="14">
        <f t="shared" si="27"/>
        <v>0</v>
      </c>
      <c r="AS111" s="14">
        <f t="shared" si="28"/>
        <v>1606010</v>
      </c>
      <c r="AT111" s="14" t="str">
        <f t="shared" si="29"/>
        <v>神器-2-碎片-5-1级</v>
      </c>
      <c r="AU111" s="13" t="s">
        <v>1195</v>
      </c>
      <c r="AV111" s="13">
        <f t="shared" si="30"/>
        <v>1</v>
      </c>
      <c r="AW111" s="14">
        <f t="shared" si="31"/>
        <v>435</v>
      </c>
      <c r="AX111" s="14" t="str">
        <f t="shared" si="32"/>
        <v>AtkExt</v>
      </c>
      <c r="AY111" s="14">
        <f t="shared" si="33"/>
        <v>43</v>
      </c>
      <c r="AZ111" s="14" t="str">
        <f t="shared" si="34"/>
        <v>DefExt</v>
      </c>
      <c r="BA111" s="14">
        <f t="shared" si="35"/>
        <v>22</v>
      </c>
      <c r="BB111" s="14" t="str">
        <f t="shared" si="36"/>
        <v/>
      </c>
      <c r="BC111" s="14" t="str">
        <f t="shared" si="37"/>
        <v/>
      </c>
      <c r="BD111" s="14" t="str">
        <f t="shared" si="38"/>
        <v/>
      </c>
      <c r="BE111" s="14" t="str">
        <f t="shared" si="39"/>
        <v/>
      </c>
    </row>
    <row r="112" spans="39:57" ht="16.5" x14ac:dyDescent="0.2">
      <c r="AM112" s="13">
        <v>107</v>
      </c>
      <c r="AN112" s="14">
        <f t="shared" si="40"/>
        <v>8</v>
      </c>
      <c r="AO112" s="29">
        <f t="shared" si="24"/>
        <v>0.15600000000000003</v>
      </c>
      <c r="AP112" s="14">
        <f t="shared" si="25"/>
        <v>1</v>
      </c>
      <c r="AQ112" s="14">
        <f t="shared" si="26"/>
        <v>2</v>
      </c>
      <c r="AR112" s="14">
        <f t="shared" si="27"/>
        <v>0</v>
      </c>
      <c r="AS112" s="14">
        <f t="shared" si="28"/>
        <v>1606010</v>
      </c>
      <c r="AT112" s="14" t="str">
        <f t="shared" si="29"/>
        <v>神器-2-碎片-5-2级</v>
      </c>
      <c r="AU112" s="13" t="s">
        <v>1195</v>
      </c>
      <c r="AV112" s="13">
        <f t="shared" si="30"/>
        <v>2</v>
      </c>
      <c r="AW112" s="14">
        <f t="shared" si="31"/>
        <v>685</v>
      </c>
      <c r="AX112" s="14" t="str">
        <f t="shared" si="32"/>
        <v>AtkExt</v>
      </c>
      <c r="AY112" s="14">
        <f t="shared" si="33"/>
        <v>67</v>
      </c>
      <c r="AZ112" s="14" t="str">
        <f t="shared" si="34"/>
        <v>DefExt</v>
      </c>
      <c r="BA112" s="14">
        <f t="shared" si="35"/>
        <v>35</v>
      </c>
      <c r="BB112" s="14" t="str">
        <f t="shared" si="36"/>
        <v/>
      </c>
      <c r="BC112" s="14" t="str">
        <f t="shared" si="37"/>
        <v/>
      </c>
      <c r="BD112" s="14" t="str">
        <f t="shared" si="38"/>
        <v/>
      </c>
      <c r="BE112" s="14" t="str">
        <f t="shared" si="39"/>
        <v/>
      </c>
    </row>
    <row r="113" spans="39:57" ht="16.5" x14ac:dyDescent="0.2">
      <c r="AM113" s="13">
        <v>108</v>
      </c>
      <c r="AN113" s="14">
        <f t="shared" si="40"/>
        <v>8</v>
      </c>
      <c r="AO113" s="29">
        <f t="shared" si="24"/>
        <v>0.21600000000000003</v>
      </c>
      <c r="AP113" s="14">
        <f t="shared" si="25"/>
        <v>1</v>
      </c>
      <c r="AQ113" s="14">
        <f t="shared" si="26"/>
        <v>2</v>
      </c>
      <c r="AR113" s="14">
        <f t="shared" si="27"/>
        <v>0</v>
      </c>
      <c r="AS113" s="14">
        <f t="shared" si="28"/>
        <v>1606010</v>
      </c>
      <c r="AT113" s="14" t="str">
        <f t="shared" si="29"/>
        <v>神器-2-碎片-5-3级</v>
      </c>
      <c r="AU113" s="13" t="s">
        <v>1195</v>
      </c>
      <c r="AV113" s="13">
        <f t="shared" si="30"/>
        <v>3</v>
      </c>
      <c r="AW113" s="14">
        <f t="shared" si="31"/>
        <v>945</v>
      </c>
      <c r="AX113" s="14" t="str">
        <f t="shared" si="32"/>
        <v>AtkExt</v>
      </c>
      <c r="AY113" s="14">
        <f t="shared" si="33"/>
        <v>93</v>
      </c>
      <c r="AZ113" s="14" t="str">
        <f t="shared" si="34"/>
        <v>DefExt</v>
      </c>
      <c r="BA113" s="14">
        <f t="shared" si="35"/>
        <v>48</v>
      </c>
      <c r="BB113" s="14" t="str">
        <f t="shared" si="36"/>
        <v/>
      </c>
      <c r="BC113" s="14" t="str">
        <f t="shared" si="37"/>
        <v/>
      </c>
      <c r="BD113" s="14" t="str">
        <f t="shared" si="38"/>
        <v/>
      </c>
      <c r="BE113" s="14" t="str">
        <f t="shared" si="39"/>
        <v/>
      </c>
    </row>
    <row r="114" spans="39:57" ht="16.5" x14ac:dyDescent="0.2">
      <c r="AM114" s="13">
        <v>109</v>
      </c>
      <c r="AN114" s="14">
        <f t="shared" si="40"/>
        <v>8</v>
      </c>
      <c r="AO114" s="29">
        <f t="shared" si="24"/>
        <v>0.28000000000000003</v>
      </c>
      <c r="AP114" s="14">
        <f t="shared" si="25"/>
        <v>1</v>
      </c>
      <c r="AQ114" s="14">
        <f t="shared" si="26"/>
        <v>2</v>
      </c>
      <c r="AR114" s="14">
        <f t="shared" si="27"/>
        <v>0</v>
      </c>
      <c r="AS114" s="14">
        <f t="shared" si="28"/>
        <v>1606010</v>
      </c>
      <c r="AT114" s="14" t="str">
        <f t="shared" si="29"/>
        <v>神器-2-碎片-5-4级</v>
      </c>
      <c r="AU114" s="13" t="s">
        <v>1195</v>
      </c>
      <c r="AV114" s="13">
        <f t="shared" si="30"/>
        <v>4</v>
      </c>
      <c r="AW114" s="14">
        <f t="shared" si="31"/>
        <v>1225</v>
      </c>
      <c r="AX114" s="14" t="str">
        <f t="shared" si="32"/>
        <v>AtkExt</v>
      </c>
      <c r="AY114" s="14">
        <f t="shared" si="33"/>
        <v>121</v>
      </c>
      <c r="AZ114" s="14" t="str">
        <f t="shared" si="34"/>
        <v>DefExt</v>
      </c>
      <c r="BA114" s="14">
        <f t="shared" si="35"/>
        <v>62</v>
      </c>
      <c r="BB114" s="14" t="str">
        <f t="shared" si="36"/>
        <v/>
      </c>
      <c r="BC114" s="14" t="str">
        <f t="shared" si="37"/>
        <v/>
      </c>
      <c r="BD114" s="14" t="str">
        <f t="shared" si="38"/>
        <v/>
      </c>
      <c r="BE114" s="14" t="str">
        <f t="shared" si="39"/>
        <v/>
      </c>
    </row>
    <row r="115" spans="39:57" ht="16.5" x14ac:dyDescent="0.2">
      <c r="AM115" s="13">
        <v>110</v>
      </c>
      <c r="AN115" s="14">
        <f t="shared" si="40"/>
        <v>8</v>
      </c>
      <c r="AO115" s="29">
        <f t="shared" si="24"/>
        <v>0.34799999999999998</v>
      </c>
      <c r="AP115" s="14">
        <f t="shared" si="25"/>
        <v>1</v>
      </c>
      <c r="AQ115" s="14">
        <f t="shared" si="26"/>
        <v>2</v>
      </c>
      <c r="AR115" s="14">
        <f t="shared" si="27"/>
        <v>0</v>
      </c>
      <c r="AS115" s="14">
        <f t="shared" si="28"/>
        <v>1606010</v>
      </c>
      <c r="AT115" s="14" t="str">
        <f t="shared" si="29"/>
        <v>神器-2-碎片-5-5级</v>
      </c>
      <c r="AU115" s="13" t="s">
        <v>1195</v>
      </c>
      <c r="AV115" s="13">
        <f t="shared" si="30"/>
        <v>5</v>
      </c>
      <c r="AW115" s="14">
        <f t="shared" si="31"/>
        <v>1520</v>
      </c>
      <c r="AX115" s="14" t="str">
        <f t="shared" si="32"/>
        <v>AtkExt</v>
      </c>
      <c r="AY115" s="14">
        <f t="shared" si="33"/>
        <v>150</v>
      </c>
      <c r="AZ115" s="14" t="str">
        <f t="shared" si="34"/>
        <v>DefExt</v>
      </c>
      <c r="BA115" s="14">
        <f t="shared" si="35"/>
        <v>77</v>
      </c>
      <c r="BB115" s="14" t="str">
        <f t="shared" si="36"/>
        <v/>
      </c>
      <c r="BC115" s="14" t="str">
        <f t="shared" si="37"/>
        <v/>
      </c>
      <c r="BD115" s="14" t="str">
        <f t="shared" si="38"/>
        <v/>
      </c>
      <c r="BE115" s="14" t="str">
        <f t="shared" si="39"/>
        <v/>
      </c>
    </row>
    <row r="116" spans="39:57" ht="16.5" x14ac:dyDescent="0.2">
      <c r="AM116" s="13">
        <v>111</v>
      </c>
      <c r="AN116" s="14">
        <f t="shared" si="40"/>
        <v>8</v>
      </c>
      <c r="AO116" s="29">
        <f t="shared" si="24"/>
        <v>0.42000000000000004</v>
      </c>
      <c r="AP116" s="14">
        <f t="shared" si="25"/>
        <v>1</v>
      </c>
      <c r="AQ116" s="14">
        <f t="shared" si="26"/>
        <v>2</v>
      </c>
      <c r="AR116" s="14">
        <f t="shared" si="27"/>
        <v>0</v>
      </c>
      <c r="AS116" s="14">
        <f t="shared" si="28"/>
        <v>1606010</v>
      </c>
      <c r="AT116" s="14" t="str">
        <f t="shared" si="29"/>
        <v>神器-2-碎片-5-6级</v>
      </c>
      <c r="AU116" s="13" t="s">
        <v>1195</v>
      </c>
      <c r="AV116" s="13">
        <f t="shared" si="30"/>
        <v>6</v>
      </c>
      <c r="AW116" s="14">
        <f t="shared" si="31"/>
        <v>1835</v>
      </c>
      <c r="AX116" s="14" t="str">
        <f t="shared" si="32"/>
        <v>AtkExt</v>
      </c>
      <c r="AY116" s="14">
        <f t="shared" si="33"/>
        <v>181</v>
      </c>
      <c r="AZ116" s="14" t="str">
        <f t="shared" si="34"/>
        <v>DefExt</v>
      </c>
      <c r="BA116" s="14">
        <f t="shared" si="35"/>
        <v>93</v>
      </c>
      <c r="BB116" s="14" t="str">
        <f t="shared" si="36"/>
        <v/>
      </c>
      <c r="BC116" s="14" t="str">
        <f t="shared" si="37"/>
        <v/>
      </c>
      <c r="BD116" s="14" t="str">
        <f t="shared" si="38"/>
        <v/>
      </c>
      <c r="BE116" s="14" t="str">
        <f t="shared" si="39"/>
        <v/>
      </c>
    </row>
    <row r="117" spans="39:57" ht="16.5" x14ac:dyDescent="0.2">
      <c r="AM117" s="13">
        <v>112</v>
      </c>
      <c r="AN117" s="14">
        <f t="shared" si="40"/>
        <v>8</v>
      </c>
      <c r="AO117" s="29">
        <f t="shared" si="24"/>
        <v>0.496</v>
      </c>
      <c r="AP117" s="14">
        <f t="shared" si="25"/>
        <v>1</v>
      </c>
      <c r="AQ117" s="14">
        <f t="shared" si="26"/>
        <v>2</v>
      </c>
      <c r="AR117" s="14">
        <f t="shared" si="27"/>
        <v>0</v>
      </c>
      <c r="AS117" s="14">
        <f t="shared" si="28"/>
        <v>1606010</v>
      </c>
      <c r="AT117" s="14" t="str">
        <f t="shared" si="29"/>
        <v>神器-2-碎片-5-7级</v>
      </c>
      <c r="AU117" s="13" t="s">
        <v>1195</v>
      </c>
      <c r="AV117" s="13">
        <f t="shared" si="30"/>
        <v>7</v>
      </c>
      <c r="AW117" s="14">
        <f t="shared" si="31"/>
        <v>2170</v>
      </c>
      <c r="AX117" s="14" t="str">
        <f t="shared" si="32"/>
        <v>AtkExt</v>
      </c>
      <c r="AY117" s="14">
        <f t="shared" si="33"/>
        <v>214</v>
      </c>
      <c r="AZ117" s="14" t="str">
        <f t="shared" si="34"/>
        <v>DefExt</v>
      </c>
      <c r="BA117" s="14">
        <f t="shared" si="35"/>
        <v>110</v>
      </c>
      <c r="BB117" s="14" t="str">
        <f t="shared" si="36"/>
        <v/>
      </c>
      <c r="BC117" s="14" t="str">
        <f t="shared" si="37"/>
        <v/>
      </c>
      <c r="BD117" s="14" t="str">
        <f t="shared" si="38"/>
        <v/>
      </c>
      <c r="BE117" s="14" t="str">
        <f t="shared" si="39"/>
        <v/>
      </c>
    </row>
    <row r="118" spans="39:57" ht="16.5" x14ac:dyDescent="0.2">
      <c r="AM118" s="13">
        <v>113</v>
      </c>
      <c r="AN118" s="14">
        <f t="shared" si="40"/>
        <v>8</v>
      </c>
      <c r="AO118" s="29">
        <f t="shared" si="24"/>
        <v>0.57600000000000007</v>
      </c>
      <c r="AP118" s="14">
        <f t="shared" si="25"/>
        <v>1</v>
      </c>
      <c r="AQ118" s="14">
        <f t="shared" si="26"/>
        <v>2</v>
      </c>
      <c r="AR118" s="14">
        <f t="shared" si="27"/>
        <v>0</v>
      </c>
      <c r="AS118" s="14">
        <f t="shared" si="28"/>
        <v>1606010</v>
      </c>
      <c r="AT118" s="14" t="str">
        <f t="shared" si="29"/>
        <v>神器-2-碎片-5-8级</v>
      </c>
      <c r="AU118" s="13" t="s">
        <v>1195</v>
      </c>
      <c r="AV118" s="13">
        <f t="shared" si="30"/>
        <v>8</v>
      </c>
      <c r="AW118" s="14">
        <f t="shared" si="31"/>
        <v>2520</v>
      </c>
      <c r="AX118" s="14" t="str">
        <f t="shared" si="32"/>
        <v>AtkExt</v>
      </c>
      <c r="AY118" s="14">
        <f t="shared" si="33"/>
        <v>248</v>
      </c>
      <c r="AZ118" s="14" t="str">
        <f t="shared" si="34"/>
        <v>DefExt</v>
      </c>
      <c r="BA118" s="14">
        <f t="shared" si="35"/>
        <v>128</v>
      </c>
      <c r="BB118" s="14" t="str">
        <f t="shared" si="36"/>
        <v/>
      </c>
      <c r="BC118" s="14" t="str">
        <f t="shared" si="37"/>
        <v/>
      </c>
      <c r="BD118" s="14" t="str">
        <f t="shared" si="38"/>
        <v/>
      </c>
      <c r="BE118" s="14" t="str">
        <f t="shared" si="39"/>
        <v/>
      </c>
    </row>
    <row r="119" spans="39:57" ht="16.5" x14ac:dyDescent="0.2">
      <c r="AM119" s="13">
        <v>114</v>
      </c>
      <c r="AN119" s="14">
        <f t="shared" si="40"/>
        <v>8</v>
      </c>
      <c r="AO119" s="29">
        <f t="shared" si="24"/>
        <v>0.66</v>
      </c>
      <c r="AP119" s="14">
        <f t="shared" si="25"/>
        <v>1</v>
      </c>
      <c r="AQ119" s="14">
        <f t="shared" si="26"/>
        <v>2</v>
      </c>
      <c r="AR119" s="14">
        <f t="shared" si="27"/>
        <v>0</v>
      </c>
      <c r="AS119" s="14">
        <f t="shared" si="28"/>
        <v>1606010</v>
      </c>
      <c r="AT119" s="14" t="str">
        <f t="shared" si="29"/>
        <v>神器-2-碎片-5-9级</v>
      </c>
      <c r="AU119" s="13" t="s">
        <v>1195</v>
      </c>
      <c r="AV119" s="13">
        <f t="shared" si="30"/>
        <v>9</v>
      </c>
      <c r="AW119" s="14">
        <f t="shared" si="31"/>
        <v>2885</v>
      </c>
      <c r="AX119" s="14" t="str">
        <f t="shared" si="32"/>
        <v>AtkExt</v>
      </c>
      <c r="AY119" s="14">
        <f t="shared" si="33"/>
        <v>285</v>
      </c>
      <c r="AZ119" s="14" t="str">
        <f t="shared" si="34"/>
        <v>DefExt</v>
      </c>
      <c r="BA119" s="14">
        <f t="shared" si="35"/>
        <v>146</v>
      </c>
      <c r="BB119" s="14" t="str">
        <f t="shared" si="36"/>
        <v/>
      </c>
      <c r="BC119" s="14" t="str">
        <f t="shared" si="37"/>
        <v/>
      </c>
      <c r="BD119" s="14" t="str">
        <f t="shared" si="38"/>
        <v/>
      </c>
      <c r="BE119" s="14" t="str">
        <f t="shared" si="39"/>
        <v/>
      </c>
    </row>
    <row r="120" spans="39:57" ht="16.5" x14ac:dyDescent="0.2">
      <c r="AM120" s="13">
        <v>115</v>
      </c>
      <c r="AN120" s="14">
        <f t="shared" si="40"/>
        <v>8</v>
      </c>
      <c r="AO120" s="29">
        <f t="shared" si="24"/>
        <v>0.748</v>
      </c>
      <c r="AP120" s="14">
        <f t="shared" si="25"/>
        <v>1</v>
      </c>
      <c r="AQ120" s="14">
        <f t="shared" si="26"/>
        <v>2</v>
      </c>
      <c r="AR120" s="14">
        <f t="shared" si="27"/>
        <v>0</v>
      </c>
      <c r="AS120" s="14">
        <f t="shared" si="28"/>
        <v>1606010</v>
      </c>
      <c r="AT120" s="14" t="str">
        <f t="shared" si="29"/>
        <v>神器-2-碎片-5-10级</v>
      </c>
      <c r="AU120" s="13" t="s">
        <v>1195</v>
      </c>
      <c r="AV120" s="13">
        <f t="shared" si="30"/>
        <v>10</v>
      </c>
      <c r="AW120" s="14">
        <f t="shared" si="31"/>
        <v>3275</v>
      </c>
      <c r="AX120" s="14" t="str">
        <f t="shared" si="32"/>
        <v>AtkExt</v>
      </c>
      <c r="AY120" s="14">
        <f t="shared" si="33"/>
        <v>323</v>
      </c>
      <c r="AZ120" s="14" t="str">
        <f t="shared" si="34"/>
        <v>DefExt</v>
      </c>
      <c r="BA120" s="14">
        <f t="shared" si="35"/>
        <v>166</v>
      </c>
      <c r="BB120" s="14" t="str">
        <f t="shared" si="36"/>
        <v/>
      </c>
      <c r="BC120" s="14" t="str">
        <f t="shared" si="37"/>
        <v/>
      </c>
      <c r="BD120" s="14" t="str">
        <f t="shared" si="38"/>
        <v/>
      </c>
      <c r="BE120" s="14" t="str">
        <f t="shared" si="39"/>
        <v/>
      </c>
    </row>
    <row r="121" spans="39:57" ht="16.5" x14ac:dyDescent="0.2">
      <c r="AM121" s="13">
        <v>116</v>
      </c>
      <c r="AN121" s="14">
        <f t="shared" si="40"/>
        <v>8</v>
      </c>
      <c r="AO121" s="29">
        <f t="shared" si="24"/>
        <v>0.84000000000000008</v>
      </c>
      <c r="AP121" s="14">
        <f t="shared" si="25"/>
        <v>1</v>
      </c>
      <c r="AQ121" s="14">
        <f t="shared" si="26"/>
        <v>2</v>
      </c>
      <c r="AR121" s="14">
        <f t="shared" si="27"/>
        <v>0</v>
      </c>
      <c r="AS121" s="14">
        <f t="shared" si="28"/>
        <v>1606010</v>
      </c>
      <c r="AT121" s="14" t="str">
        <f t="shared" si="29"/>
        <v>神器-2-碎片-5-11级</v>
      </c>
      <c r="AU121" s="13" t="s">
        <v>1195</v>
      </c>
      <c r="AV121" s="13">
        <f t="shared" si="30"/>
        <v>11</v>
      </c>
      <c r="AW121" s="14">
        <f t="shared" si="31"/>
        <v>3670</v>
      </c>
      <c r="AX121" s="14" t="str">
        <f t="shared" si="32"/>
        <v>AtkExt</v>
      </c>
      <c r="AY121" s="14">
        <f t="shared" si="33"/>
        <v>362</v>
      </c>
      <c r="AZ121" s="14" t="str">
        <f t="shared" si="34"/>
        <v>DefExt</v>
      </c>
      <c r="BA121" s="14">
        <f t="shared" si="35"/>
        <v>186</v>
      </c>
      <c r="BB121" s="14" t="str">
        <f t="shared" si="36"/>
        <v/>
      </c>
      <c r="BC121" s="14" t="str">
        <f t="shared" si="37"/>
        <v/>
      </c>
      <c r="BD121" s="14" t="str">
        <f t="shared" si="38"/>
        <v/>
      </c>
      <c r="BE121" s="14" t="str">
        <f t="shared" si="39"/>
        <v/>
      </c>
    </row>
    <row r="122" spans="39:57" ht="16.5" x14ac:dyDescent="0.2">
      <c r="AM122" s="13">
        <v>117</v>
      </c>
      <c r="AN122" s="14">
        <f t="shared" si="40"/>
        <v>8</v>
      </c>
      <c r="AO122" s="29">
        <f t="shared" si="24"/>
        <v>0.93600000000000017</v>
      </c>
      <c r="AP122" s="14">
        <f t="shared" si="25"/>
        <v>1</v>
      </c>
      <c r="AQ122" s="14">
        <f t="shared" si="26"/>
        <v>2</v>
      </c>
      <c r="AR122" s="14">
        <f t="shared" si="27"/>
        <v>0</v>
      </c>
      <c r="AS122" s="14">
        <f t="shared" si="28"/>
        <v>1606010</v>
      </c>
      <c r="AT122" s="14" t="str">
        <f t="shared" si="29"/>
        <v>神器-2-碎片-5-12级</v>
      </c>
      <c r="AU122" s="13" t="s">
        <v>1195</v>
      </c>
      <c r="AV122" s="13">
        <f t="shared" si="30"/>
        <v>12</v>
      </c>
      <c r="AW122" s="14">
        <f t="shared" si="31"/>
        <v>4100</v>
      </c>
      <c r="AX122" s="14" t="str">
        <f t="shared" si="32"/>
        <v>AtkExt</v>
      </c>
      <c r="AY122" s="14">
        <f t="shared" si="33"/>
        <v>404</v>
      </c>
      <c r="AZ122" s="14" t="str">
        <f t="shared" si="34"/>
        <v>DefExt</v>
      </c>
      <c r="BA122" s="14">
        <f t="shared" si="35"/>
        <v>208</v>
      </c>
      <c r="BB122" s="14" t="str">
        <f t="shared" si="36"/>
        <v/>
      </c>
      <c r="BC122" s="14" t="str">
        <f t="shared" si="37"/>
        <v/>
      </c>
      <c r="BD122" s="14" t="str">
        <f t="shared" si="38"/>
        <v/>
      </c>
      <c r="BE122" s="14" t="str">
        <f t="shared" si="39"/>
        <v/>
      </c>
    </row>
    <row r="123" spans="39:57" ht="16.5" x14ac:dyDescent="0.2">
      <c r="AM123" s="13">
        <v>118</v>
      </c>
      <c r="AN123" s="14">
        <f t="shared" si="40"/>
        <v>8</v>
      </c>
      <c r="AO123" s="29">
        <f t="shared" si="24"/>
        <v>1.036</v>
      </c>
      <c r="AP123" s="14">
        <f t="shared" si="25"/>
        <v>1</v>
      </c>
      <c r="AQ123" s="14">
        <f t="shared" si="26"/>
        <v>2</v>
      </c>
      <c r="AR123" s="14">
        <f t="shared" si="27"/>
        <v>0</v>
      </c>
      <c r="AS123" s="14">
        <f t="shared" si="28"/>
        <v>1606010</v>
      </c>
      <c r="AT123" s="14" t="str">
        <f t="shared" si="29"/>
        <v>神器-2-碎片-5-13级</v>
      </c>
      <c r="AU123" s="13" t="s">
        <v>1195</v>
      </c>
      <c r="AV123" s="13">
        <f t="shared" si="30"/>
        <v>13</v>
      </c>
      <c r="AW123" s="14">
        <f t="shared" si="31"/>
        <v>4535</v>
      </c>
      <c r="AX123" s="14" t="str">
        <f t="shared" si="32"/>
        <v>AtkExt</v>
      </c>
      <c r="AY123" s="14">
        <f t="shared" si="33"/>
        <v>447</v>
      </c>
      <c r="AZ123" s="14" t="str">
        <f t="shared" si="34"/>
        <v>DefExt</v>
      </c>
      <c r="BA123" s="14">
        <f t="shared" si="35"/>
        <v>230</v>
      </c>
      <c r="BB123" s="14" t="str">
        <f t="shared" si="36"/>
        <v/>
      </c>
      <c r="BC123" s="14" t="str">
        <f t="shared" si="37"/>
        <v/>
      </c>
      <c r="BD123" s="14" t="str">
        <f t="shared" si="38"/>
        <v/>
      </c>
      <c r="BE123" s="14" t="str">
        <f t="shared" si="39"/>
        <v/>
      </c>
    </row>
    <row r="124" spans="39:57" ht="16.5" x14ac:dyDescent="0.2">
      <c r="AM124" s="13">
        <v>119</v>
      </c>
      <c r="AN124" s="14">
        <f t="shared" si="40"/>
        <v>8</v>
      </c>
      <c r="AO124" s="29">
        <f t="shared" si="24"/>
        <v>1.1400000000000001</v>
      </c>
      <c r="AP124" s="14">
        <f t="shared" si="25"/>
        <v>1</v>
      </c>
      <c r="AQ124" s="14">
        <f t="shared" si="26"/>
        <v>2</v>
      </c>
      <c r="AR124" s="14">
        <f t="shared" si="27"/>
        <v>0</v>
      </c>
      <c r="AS124" s="14">
        <f t="shared" si="28"/>
        <v>1606010</v>
      </c>
      <c r="AT124" s="14" t="str">
        <f t="shared" si="29"/>
        <v>神器-2-碎片-5-14级</v>
      </c>
      <c r="AU124" s="13" t="s">
        <v>1195</v>
      </c>
      <c r="AV124" s="13">
        <f t="shared" si="30"/>
        <v>14</v>
      </c>
      <c r="AW124" s="14">
        <f t="shared" si="31"/>
        <v>4990</v>
      </c>
      <c r="AX124" s="14" t="str">
        <f t="shared" si="32"/>
        <v>AtkExt</v>
      </c>
      <c r="AY124" s="14">
        <f t="shared" si="33"/>
        <v>492</v>
      </c>
      <c r="AZ124" s="14" t="str">
        <f t="shared" si="34"/>
        <v>DefExt</v>
      </c>
      <c r="BA124" s="14">
        <f t="shared" si="35"/>
        <v>253</v>
      </c>
      <c r="BB124" s="14" t="str">
        <f t="shared" si="36"/>
        <v/>
      </c>
      <c r="BC124" s="14" t="str">
        <f t="shared" si="37"/>
        <v/>
      </c>
      <c r="BD124" s="14" t="str">
        <f t="shared" si="38"/>
        <v/>
      </c>
      <c r="BE124" s="14" t="str">
        <f t="shared" si="39"/>
        <v/>
      </c>
    </row>
    <row r="125" spans="39:57" ht="16.5" x14ac:dyDescent="0.2">
      <c r="AM125" s="13">
        <v>120</v>
      </c>
      <c r="AN125" s="14">
        <f t="shared" si="40"/>
        <v>8</v>
      </c>
      <c r="AO125" s="29">
        <f t="shared" si="24"/>
        <v>1.248</v>
      </c>
      <c r="AP125" s="14">
        <f t="shared" si="25"/>
        <v>1</v>
      </c>
      <c r="AQ125" s="14">
        <f t="shared" si="26"/>
        <v>2</v>
      </c>
      <c r="AR125" s="14">
        <f t="shared" si="27"/>
        <v>0</v>
      </c>
      <c r="AS125" s="14">
        <f t="shared" si="28"/>
        <v>1606010</v>
      </c>
      <c r="AT125" s="14" t="str">
        <f t="shared" si="29"/>
        <v>神器-2-碎片-5-15级</v>
      </c>
      <c r="AU125" s="13" t="s">
        <v>1195</v>
      </c>
      <c r="AV125" s="13">
        <f t="shared" si="30"/>
        <v>15</v>
      </c>
      <c r="AW125" s="14">
        <f t="shared" si="31"/>
        <v>5460</v>
      </c>
      <c r="AX125" s="14" t="str">
        <f t="shared" si="32"/>
        <v>AtkExt</v>
      </c>
      <c r="AY125" s="14">
        <f t="shared" si="33"/>
        <v>538</v>
      </c>
      <c r="AZ125" s="14" t="str">
        <f t="shared" si="34"/>
        <v>DefExt</v>
      </c>
      <c r="BA125" s="14">
        <f t="shared" si="35"/>
        <v>277</v>
      </c>
      <c r="BB125" s="14" t="str">
        <f t="shared" si="36"/>
        <v/>
      </c>
      <c r="BC125" s="14" t="str">
        <f t="shared" si="37"/>
        <v/>
      </c>
      <c r="BD125" s="14" t="str">
        <f t="shared" si="38"/>
        <v/>
      </c>
      <c r="BE125" s="14" t="str">
        <f t="shared" si="39"/>
        <v/>
      </c>
    </row>
    <row r="126" spans="39:57" ht="16.5" x14ac:dyDescent="0.2">
      <c r="AM126" s="13">
        <v>121</v>
      </c>
      <c r="AN126" s="14">
        <f t="shared" si="40"/>
        <v>9</v>
      </c>
      <c r="AO126" s="29">
        <f t="shared" si="24"/>
        <v>0.1</v>
      </c>
      <c r="AP126" s="14">
        <f t="shared" si="25"/>
        <v>2</v>
      </c>
      <c r="AQ126" s="14">
        <f t="shared" si="26"/>
        <v>3</v>
      </c>
      <c r="AR126" s="14">
        <f t="shared" si="27"/>
        <v>0</v>
      </c>
      <c r="AS126" s="14">
        <f t="shared" si="28"/>
        <v>1606011</v>
      </c>
      <c r="AT126" s="14" t="str">
        <f t="shared" si="29"/>
        <v>神器-3-碎片-1-1级</v>
      </c>
      <c r="AU126" s="13" t="s">
        <v>1195</v>
      </c>
      <c r="AV126" s="13">
        <f t="shared" si="30"/>
        <v>1</v>
      </c>
      <c r="AW126" s="14">
        <f t="shared" si="31"/>
        <v>265</v>
      </c>
      <c r="AX126" s="14" t="str">
        <f t="shared" si="32"/>
        <v>DefExt</v>
      </c>
      <c r="AY126" s="14">
        <f t="shared" si="33"/>
        <v>22</v>
      </c>
      <c r="AZ126" s="14" t="str">
        <f t="shared" si="34"/>
        <v>HPExt</v>
      </c>
      <c r="BA126" s="14">
        <f t="shared" si="35"/>
        <v>45</v>
      </c>
      <c r="BB126" s="14" t="str">
        <f t="shared" si="36"/>
        <v/>
      </c>
      <c r="BC126" s="14" t="str">
        <f t="shared" si="37"/>
        <v/>
      </c>
      <c r="BD126" s="14" t="str">
        <f t="shared" si="38"/>
        <v/>
      </c>
      <c r="BE126" s="14" t="str">
        <f t="shared" si="39"/>
        <v/>
      </c>
    </row>
    <row r="127" spans="39:57" ht="16.5" x14ac:dyDescent="0.2">
      <c r="AM127" s="13">
        <v>122</v>
      </c>
      <c r="AN127" s="14">
        <f t="shared" si="40"/>
        <v>9</v>
      </c>
      <c r="AO127" s="29">
        <f t="shared" si="24"/>
        <v>0.15600000000000003</v>
      </c>
      <c r="AP127" s="14">
        <f t="shared" si="25"/>
        <v>2</v>
      </c>
      <c r="AQ127" s="14">
        <f t="shared" si="26"/>
        <v>3</v>
      </c>
      <c r="AR127" s="14">
        <f t="shared" si="27"/>
        <v>0</v>
      </c>
      <c r="AS127" s="14">
        <f t="shared" si="28"/>
        <v>1606011</v>
      </c>
      <c r="AT127" s="14" t="str">
        <f t="shared" si="29"/>
        <v>神器-3-碎片-1-2级</v>
      </c>
      <c r="AU127" s="13" t="s">
        <v>1195</v>
      </c>
      <c r="AV127" s="13">
        <f t="shared" si="30"/>
        <v>2</v>
      </c>
      <c r="AW127" s="14">
        <f t="shared" si="31"/>
        <v>420</v>
      </c>
      <c r="AX127" s="14" t="str">
        <f t="shared" si="32"/>
        <v>DefExt</v>
      </c>
      <c r="AY127" s="14">
        <f t="shared" si="33"/>
        <v>35</v>
      </c>
      <c r="AZ127" s="14" t="str">
        <f t="shared" si="34"/>
        <v>HPExt</v>
      </c>
      <c r="BA127" s="14">
        <f t="shared" si="35"/>
        <v>70</v>
      </c>
      <c r="BB127" s="14" t="str">
        <f t="shared" si="36"/>
        <v/>
      </c>
      <c r="BC127" s="14" t="str">
        <f t="shared" si="37"/>
        <v/>
      </c>
      <c r="BD127" s="14" t="str">
        <f t="shared" si="38"/>
        <v/>
      </c>
      <c r="BE127" s="14" t="str">
        <f t="shared" si="39"/>
        <v/>
      </c>
    </row>
    <row r="128" spans="39:57" ht="16.5" x14ac:dyDescent="0.2">
      <c r="AM128" s="13">
        <v>123</v>
      </c>
      <c r="AN128" s="14">
        <f t="shared" si="40"/>
        <v>9</v>
      </c>
      <c r="AO128" s="29">
        <f t="shared" si="24"/>
        <v>0.21600000000000003</v>
      </c>
      <c r="AP128" s="14">
        <f t="shared" si="25"/>
        <v>2</v>
      </c>
      <c r="AQ128" s="14">
        <f t="shared" si="26"/>
        <v>3</v>
      </c>
      <c r="AR128" s="14">
        <f t="shared" si="27"/>
        <v>0</v>
      </c>
      <c r="AS128" s="14">
        <f t="shared" si="28"/>
        <v>1606011</v>
      </c>
      <c r="AT128" s="14" t="str">
        <f t="shared" si="29"/>
        <v>神器-3-碎片-1-3级</v>
      </c>
      <c r="AU128" s="13" t="s">
        <v>1195</v>
      </c>
      <c r="AV128" s="13">
        <f t="shared" si="30"/>
        <v>3</v>
      </c>
      <c r="AW128" s="14">
        <f t="shared" si="31"/>
        <v>577</v>
      </c>
      <c r="AX128" s="14" t="str">
        <f t="shared" si="32"/>
        <v>DefExt</v>
      </c>
      <c r="AY128" s="14">
        <f t="shared" si="33"/>
        <v>48</v>
      </c>
      <c r="AZ128" s="14" t="str">
        <f t="shared" si="34"/>
        <v>HPExt</v>
      </c>
      <c r="BA128" s="14">
        <f t="shared" si="35"/>
        <v>97</v>
      </c>
      <c r="BB128" s="14" t="str">
        <f t="shared" si="36"/>
        <v/>
      </c>
      <c r="BC128" s="14" t="str">
        <f t="shared" si="37"/>
        <v/>
      </c>
      <c r="BD128" s="14" t="str">
        <f t="shared" si="38"/>
        <v/>
      </c>
      <c r="BE128" s="14" t="str">
        <f t="shared" si="39"/>
        <v/>
      </c>
    </row>
    <row r="129" spans="39:57" ht="16.5" x14ac:dyDescent="0.2">
      <c r="AM129" s="13">
        <v>124</v>
      </c>
      <c r="AN129" s="14">
        <f t="shared" si="40"/>
        <v>9</v>
      </c>
      <c r="AO129" s="29">
        <f t="shared" si="24"/>
        <v>0.28000000000000003</v>
      </c>
      <c r="AP129" s="14">
        <f t="shared" si="25"/>
        <v>2</v>
      </c>
      <c r="AQ129" s="14">
        <f t="shared" si="26"/>
        <v>3</v>
      </c>
      <c r="AR129" s="14">
        <f t="shared" si="27"/>
        <v>0</v>
      </c>
      <c r="AS129" s="14">
        <f t="shared" si="28"/>
        <v>1606011</v>
      </c>
      <c r="AT129" s="14" t="str">
        <f t="shared" si="29"/>
        <v>神器-3-碎片-1-4级</v>
      </c>
      <c r="AU129" s="13" t="s">
        <v>1195</v>
      </c>
      <c r="AV129" s="13">
        <f t="shared" si="30"/>
        <v>4</v>
      </c>
      <c r="AW129" s="14">
        <f t="shared" si="31"/>
        <v>746</v>
      </c>
      <c r="AX129" s="14" t="str">
        <f t="shared" si="32"/>
        <v>DefExt</v>
      </c>
      <c r="AY129" s="14">
        <f t="shared" si="33"/>
        <v>62</v>
      </c>
      <c r="AZ129" s="14" t="str">
        <f t="shared" si="34"/>
        <v>HPExt</v>
      </c>
      <c r="BA129" s="14">
        <f t="shared" si="35"/>
        <v>126</v>
      </c>
      <c r="BB129" s="14" t="str">
        <f t="shared" si="36"/>
        <v/>
      </c>
      <c r="BC129" s="14" t="str">
        <f t="shared" si="37"/>
        <v/>
      </c>
      <c r="BD129" s="14" t="str">
        <f t="shared" si="38"/>
        <v/>
      </c>
      <c r="BE129" s="14" t="str">
        <f t="shared" si="39"/>
        <v/>
      </c>
    </row>
    <row r="130" spans="39:57" ht="16.5" x14ac:dyDescent="0.2">
      <c r="AM130" s="13">
        <v>125</v>
      </c>
      <c r="AN130" s="14">
        <f t="shared" si="40"/>
        <v>9</v>
      </c>
      <c r="AO130" s="29">
        <f t="shared" si="24"/>
        <v>0.34799999999999998</v>
      </c>
      <c r="AP130" s="14">
        <f t="shared" si="25"/>
        <v>2</v>
      </c>
      <c r="AQ130" s="14">
        <f t="shared" si="26"/>
        <v>3</v>
      </c>
      <c r="AR130" s="14">
        <f t="shared" si="27"/>
        <v>0</v>
      </c>
      <c r="AS130" s="14">
        <f t="shared" si="28"/>
        <v>1606011</v>
      </c>
      <c r="AT130" s="14" t="str">
        <f t="shared" si="29"/>
        <v>神器-3-碎片-1-5级</v>
      </c>
      <c r="AU130" s="13" t="s">
        <v>1195</v>
      </c>
      <c r="AV130" s="13">
        <f t="shared" si="30"/>
        <v>5</v>
      </c>
      <c r="AW130" s="14">
        <f t="shared" si="31"/>
        <v>926</v>
      </c>
      <c r="AX130" s="14" t="str">
        <f t="shared" si="32"/>
        <v>DefExt</v>
      </c>
      <c r="AY130" s="14">
        <f t="shared" si="33"/>
        <v>77</v>
      </c>
      <c r="AZ130" s="14" t="str">
        <f t="shared" si="34"/>
        <v>HPExt</v>
      </c>
      <c r="BA130" s="14">
        <f t="shared" si="35"/>
        <v>156</v>
      </c>
      <c r="BB130" s="14" t="str">
        <f t="shared" si="36"/>
        <v/>
      </c>
      <c r="BC130" s="14" t="str">
        <f t="shared" si="37"/>
        <v/>
      </c>
      <c r="BD130" s="14" t="str">
        <f t="shared" si="38"/>
        <v/>
      </c>
      <c r="BE130" s="14" t="str">
        <f t="shared" si="39"/>
        <v/>
      </c>
    </row>
    <row r="131" spans="39:57" ht="16.5" x14ac:dyDescent="0.2">
      <c r="AM131" s="13">
        <v>126</v>
      </c>
      <c r="AN131" s="14">
        <f t="shared" si="40"/>
        <v>9</v>
      </c>
      <c r="AO131" s="29">
        <f t="shared" si="24"/>
        <v>0.42000000000000004</v>
      </c>
      <c r="AP131" s="14">
        <f t="shared" si="25"/>
        <v>2</v>
      </c>
      <c r="AQ131" s="14">
        <f t="shared" si="26"/>
        <v>3</v>
      </c>
      <c r="AR131" s="14">
        <f t="shared" si="27"/>
        <v>0</v>
      </c>
      <c r="AS131" s="14">
        <f t="shared" si="28"/>
        <v>1606011</v>
      </c>
      <c r="AT131" s="14" t="str">
        <f t="shared" si="29"/>
        <v>神器-3-碎片-1-6级</v>
      </c>
      <c r="AU131" s="13" t="s">
        <v>1195</v>
      </c>
      <c r="AV131" s="13">
        <f t="shared" si="30"/>
        <v>6</v>
      </c>
      <c r="AW131" s="14">
        <f t="shared" si="31"/>
        <v>1119</v>
      </c>
      <c r="AX131" s="14" t="str">
        <f t="shared" si="32"/>
        <v>DefExt</v>
      </c>
      <c r="AY131" s="14">
        <f t="shared" si="33"/>
        <v>93</v>
      </c>
      <c r="AZ131" s="14" t="str">
        <f t="shared" si="34"/>
        <v>HPExt</v>
      </c>
      <c r="BA131" s="14">
        <f t="shared" si="35"/>
        <v>189</v>
      </c>
      <c r="BB131" s="14" t="str">
        <f t="shared" si="36"/>
        <v/>
      </c>
      <c r="BC131" s="14" t="str">
        <f t="shared" si="37"/>
        <v/>
      </c>
      <c r="BD131" s="14" t="str">
        <f t="shared" si="38"/>
        <v/>
      </c>
      <c r="BE131" s="14" t="str">
        <f t="shared" si="39"/>
        <v/>
      </c>
    </row>
    <row r="132" spans="39:57" ht="16.5" x14ac:dyDescent="0.2">
      <c r="AM132" s="13">
        <v>127</v>
      </c>
      <c r="AN132" s="14">
        <f t="shared" si="40"/>
        <v>9</v>
      </c>
      <c r="AO132" s="29">
        <f t="shared" si="24"/>
        <v>0.496</v>
      </c>
      <c r="AP132" s="14">
        <f t="shared" si="25"/>
        <v>2</v>
      </c>
      <c r="AQ132" s="14">
        <f t="shared" si="26"/>
        <v>3</v>
      </c>
      <c r="AR132" s="14">
        <f t="shared" si="27"/>
        <v>0</v>
      </c>
      <c r="AS132" s="14">
        <f t="shared" si="28"/>
        <v>1606011</v>
      </c>
      <c r="AT132" s="14" t="str">
        <f t="shared" si="29"/>
        <v>神器-3-碎片-1-7级</v>
      </c>
      <c r="AU132" s="13" t="s">
        <v>1195</v>
      </c>
      <c r="AV132" s="13">
        <f t="shared" si="30"/>
        <v>7</v>
      </c>
      <c r="AW132" s="14">
        <f t="shared" si="31"/>
        <v>1323</v>
      </c>
      <c r="AX132" s="14" t="str">
        <f t="shared" si="32"/>
        <v>DefExt</v>
      </c>
      <c r="AY132" s="14">
        <f t="shared" si="33"/>
        <v>110</v>
      </c>
      <c r="AZ132" s="14" t="str">
        <f t="shared" si="34"/>
        <v>HPExt</v>
      </c>
      <c r="BA132" s="14">
        <f t="shared" si="35"/>
        <v>223</v>
      </c>
      <c r="BB132" s="14" t="str">
        <f t="shared" si="36"/>
        <v/>
      </c>
      <c r="BC132" s="14" t="str">
        <f t="shared" si="37"/>
        <v/>
      </c>
      <c r="BD132" s="14" t="str">
        <f t="shared" si="38"/>
        <v/>
      </c>
      <c r="BE132" s="14" t="str">
        <f t="shared" si="39"/>
        <v/>
      </c>
    </row>
    <row r="133" spans="39:57" ht="16.5" x14ac:dyDescent="0.2">
      <c r="AM133" s="13">
        <v>128</v>
      </c>
      <c r="AN133" s="14">
        <f t="shared" si="40"/>
        <v>9</v>
      </c>
      <c r="AO133" s="29">
        <f t="shared" si="24"/>
        <v>0.57600000000000007</v>
      </c>
      <c r="AP133" s="14">
        <f t="shared" si="25"/>
        <v>2</v>
      </c>
      <c r="AQ133" s="14">
        <f t="shared" si="26"/>
        <v>3</v>
      </c>
      <c r="AR133" s="14">
        <f t="shared" si="27"/>
        <v>0</v>
      </c>
      <c r="AS133" s="14">
        <f t="shared" si="28"/>
        <v>1606011</v>
      </c>
      <c r="AT133" s="14" t="str">
        <f t="shared" si="29"/>
        <v>神器-3-碎片-1-8级</v>
      </c>
      <c r="AU133" s="13" t="s">
        <v>1195</v>
      </c>
      <c r="AV133" s="13">
        <f t="shared" si="30"/>
        <v>8</v>
      </c>
      <c r="AW133" s="14">
        <f t="shared" si="31"/>
        <v>1539</v>
      </c>
      <c r="AX133" s="14" t="str">
        <f t="shared" si="32"/>
        <v>DefExt</v>
      </c>
      <c r="AY133" s="14">
        <f t="shared" si="33"/>
        <v>128</v>
      </c>
      <c r="AZ133" s="14" t="str">
        <f t="shared" si="34"/>
        <v>HPExt</v>
      </c>
      <c r="BA133" s="14">
        <f t="shared" si="35"/>
        <v>259</v>
      </c>
      <c r="BB133" s="14" t="str">
        <f t="shared" si="36"/>
        <v/>
      </c>
      <c r="BC133" s="14" t="str">
        <f t="shared" si="37"/>
        <v/>
      </c>
      <c r="BD133" s="14" t="str">
        <f t="shared" si="38"/>
        <v/>
      </c>
      <c r="BE133" s="14" t="str">
        <f t="shared" si="39"/>
        <v/>
      </c>
    </row>
    <row r="134" spans="39:57" ht="16.5" x14ac:dyDescent="0.2">
      <c r="AM134" s="13">
        <v>129</v>
      </c>
      <c r="AN134" s="14">
        <f t="shared" si="40"/>
        <v>9</v>
      </c>
      <c r="AO134" s="29">
        <f t="shared" ref="AO134:AO197" si="41">4.8%+AV134*5%+AV134*AV134*0.2%</f>
        <v>0.66</v>
      </c>
      <c r="AP134" s="14">
        <f t="shared" ref="AP134:AP197" si="42">INDEX(AD$7:AD$48,$AN134)</f>
        <v>2</v>
      </c>
      <c r="AQ134" s="14">
        <f t="shared" ref="AQ134:AQ197" si="43">INDEX(AE$7:AE$48,$AN134)</f>
        <v>3</v>
      </c>
      <c r="AR134" s="14">
        <f t="shared" ref="AR134:AR197" si="44">INDEX(AF$7:AF$48,$AN134)</f>
        <v>0</v>
      </c>
      <c r="AS134" s="14">
        <f t="shared" ref="AS134:AS197" si="45">INDEX($W$7:$W$48,AN134)</f>
        <v>1606011</v>
      </c>
      <c r="AT134" s="14" t="str">
        <f t="shared" ref="AT134:AT197" si="46">"神器-"&amp;INDEX($S$7:$S$48,AN134)&amp;"-碎片-"&amp;INDEX($T$7:$T$48,AN134)&amp;"-"&amp;AV134&amp;"级"</f>
        <v>神器-3-碎片-1-9级</v>
      </c>
      <c r="AU134" s="13" t="s">
        <v>1195</v>
      </c>
      <c r="AV134" s="13">
        <f t="shared" ref="AV134:AV197" si="47">AM134-INDEX($AI$6:$AI$48,AN134)</f>
        <v>9</v>
      </c>
      <c r="AW134" s="14">
        <f t="shared" ref="AW134:AW197" si="48">AY134*INDEX($AP$2:$AR$2,AP134)+IF(AQ134&gt;0,BA134*INDEX($AP$2:$AR$2,AQ134),0)+IF(AR134&gt;0,BC134*INDEX($AP$2:$AR$2,AR134),0)+IF(BD134="Speed",BE134*100,0)</f>
        <v>1756</v>
      </c>
      <c r="AX134" s="14" t="str">
        <f t="shared" ref="AX134:AX197" si="49">INDEX($AP$3:$AR$3,AP134)</f>
        <v>DefExt</v>
      </c>
      <c r="AY134" s="14">
        <f t="shared" ref="AY134:AY197" si="50">ROUND(INDEX($X$7:$Z$48,AN134,AP134)*AO134,0)</f>
        <v>146</v>
      </c>
      <c r="AZ134" s="14" t="str">
        <f t="shared" ref="AZ134:AZ197" si="51">IF(AQ134&gt;0,INDEX($AP$3:$AR$3,AQ134),"")</f>
        <v>HPExt</v>
      </c>
      <c r="BA134" s="14">
        <f t="shared" ref="BA134:BA197" si="52">IF(AQ134&gt;0,ROUND(INDEX($X$7:$Z$48,AN134,AQ134)*AO134,0),"")</f>
        <v>296</v>
      </c>
      <c r="BB134" s="14" t="str">
        <f t="shared" ref="BB134:BB197" si="53">IF(AR134&gt;0,INDEX($AP$3:$AR$3,AR134),"")</f>
        <v/>
      </c>
      <c r="BC134" s="14" t="str">
        <f t="shared" ref="BC134:BC197" si="54">IF(AR134&gt;0,ROUND(INDEX($X$7:$Z$48,AN134,AR134)*AO134,0),"")</f>
        <v/>
      </c>
      <c r="BD134" s="14" t="str">
        <f t="shared" ref="BD134:BD197" si="55">IF(INDEX($AG$7:$AG$48,AN134)&gt;0,"Speed","")</f>
        <v/>
      </c>
      <c r="BE134" s="14" t="str">
        <f t="shared" ref="BE134:BE197" si="56">IF(INDEX($AG$7:$AG$48,AN134)&gt;0,INDEX($AG$7:$AG$48,AN134)*AV134,"")</f>
        <v/>
      </c>
    </row>
    <row r="135" spans="39:57" ht="16.5" x14ac:dyDescent="0.2">
      <c r="AM135" s="13">
        <v>130</v>
      </c>
      <c r="AN135" s="14">
        <f t="shared" ref="AN135:AN198" si="57">MATCH(AM135-1,$AI$6:$AI$48,1)</f>
        <v>9</v>
      </c>
      <c r="AO135" s="29">
        <f t="shared" si="41"/>
        <v>0.748</v>
      </c>
      <c r="AP135" s="14">
        <f t="shared" si="42"/>
        <v>2</v>
      </c>
      <c r="AQ135" s="14">
        <f t="shared" si="43"/>
        <v>3</v>
      </c>
      <c r="AR135" s="14">
        <f t="shared" si="44"/>
        <v>0</v>
      </c>
      <c r="AS135" s="14">
        <f t="shared" si="45"/>
        <v>1606011</v>
      </c>
      <c r="AT135" s="14" t="str">
        <f t="shared" si="46"/>
        <v>神器-3-碎片-1-10级</v>
      </c>
      <c r="AU135" s="13" t="s">
        <v>1195</v>
      </c>
      <c r="AV135" s="13">
        <f t="shared" si="47"/>
        <v>10</v>
      </c>
      <c r="AW135" s="14">
        <f t="shared" si="48"/>
        <v>1996</v>
      </c>
      <c r="AX135" s="14" t="str">
        <f t="shared" si="49"/>
        <v>DefExt</v>
      </c>
      <c r="AY135" s="14">
        <f t="shared" si="50"/>
        <v>166</v>
      </c>
      <c r="AZ135" s="14" t="str">
        <f t="shared" si="51"/>
        <v>HPExt</v>
      </c>
      <c r="BA135" s="14">
        <f t="shared" si="52"/>
        <v>336</v>
      </c>
      <c r="BB135" s="14" t="str">
        <f t="shared" si="53"/>
        <v/>
      </c>
      <c r="BC135" s="14" t="str">
        <f t="shared" si="54"/>
        <v/>
      </c>
      <c r="BD135" s="14" t="str">
        <f t="shared" si="55"/>
        <v/>
      </c>
      <c r="BE135" s="14" t="str">
        <f t="shared" si="56"/>
        <v/>
      </c>
    </row>
    <row r="136" spans="39:57" ht="16.5" x14ac:dyDescent="0.2">
      <c r="AM136" s="13">
        <v>131</v>
      </c>
      <c r="AN136" s="14">
        <f t="shared" si="57"/>
        <v>9</v>
      </c>
      <c r="AO136" s="29">
        <f t="shared" si="41"/>
        <v>0.84000000000000008</v>
      </c>
      <c r="AP136" s="14">
        <f t="shared" si="42"/>
        <v>2</v>
      </c>
      <c r="AQ136" s="14">
        <f t="shared" si="43"/>
        <v>3</v>
      </c>
      <c r="AR136" s="14">
        <f t="shared" si="44"/>
        <v>0</v>
      </c>
      <c r="AS136" s="14">
        <f t="shared" si="45"/>
        <v>1606011</v>
      </c>
      <c r="AT136" s="14" t="str">
        <f t="shared" si="46"/>
        <v>神器-3-碎片-1-11级</v>
      </c>
      <c r="AU136" s="13" t="s">
        <v>1195</v>
      </c>
      <c r="AV136" s="13">
        <f t="shared" si="47"/>
        <v>11</v>
      </c>
      <c r="AW136" s="14">
        <f t="shared" si="48"/>
        <v>2237</v>
      </c>
      <c r="AX136" s="14" t="str">
        <f t="shared" si="49"/>
        <v>DefExt</v>
      </c>
      <c r="AY136" s="14">
        <f t="shared" si="50"/>
        <v>186</v>
      </c>
      <c r="AZ136" s="14" t="str">
        <f t="shared" si="51"/>
        <v>HPExt</v>
      </c>
      <c r="BA136" s="14">
        <f t="shared" si="52"/>
        <v>377</v>
      </c>
      <c r="BB136" s="14" t="str">
        <f t="shared" si="53"/>
        <v/>
      </c>
      <c r="BC136" s="14" t="str">
        <f t="shared" si="54"/>
        <v/>
      </c>
      <c r="BD136" s="14" t="str">
        <f t="shared" si="55"/>
        <v/>
      </c>
      <c r="BE136" s="14" t="str">
        <f t="shared" si="56"/>
        <v/>
      </c>
    </row>
    <row r="137" spans="39:57" ht="16.5" x14ac:dyDescent="0.2">
      <c r="AM137" s="13">
        <v>132</v>
      </c>
      <c r="AN137" s="14">
        <f t="shared" si="57"/>
        <v>9</v>
      </c>
      <c r="AO137" s="29">
        <f t="shared" si="41"/>
        <v>0.93600000000000017</v>
      </c>
      <c r="AP137" s="14">
        <f t="shared" si="42"/>
        <v>2</v>
      </c>
      <c r="AQ137" s="14">
        <f t="shared" si="43"/>
        <v>3</v>
      </c>
      <c r="AR137" s="14">
        <f t="shared" si="44"/>
        <v>0</v>
      </c>
      <c r="AS137" s="14">
        <f t="shared" si="45"/>
        <v>1606011</v>
      </c>
      <c r="AT137" s="14" t="str">
        <f t="shared" si="46"/>
        <v>神器-3-碎片-1-12级</v>
      </c>
      <c r="AU137" s="13" t="s">
        <v>1195</v>
      </c>
      <c r="AV137" s="13">
        <f t="shared" si="47"/>
        <v>12</v>
      </c>
      <c r="AW137" s="14">
        <f t="shared" si="48"/>
        <v>2500</v>
      </c>
      <c r="AX137" s="14" t="str">
        <f t="shared" si="49"/>
        <v>DefExt</v>
      </c>
      <c r="AY137" s="14">
        <f t="shared" si="50"/>
        <v>208</v>
      </c>
      <c r="AZ137" s="14" t="str">
        <f t="shared" si="51"/>
        <v>HPExt</v>
      </c>
      <c r="BA137" s="14">
        <f t="shared" si="52"/>
        <v>420</v>
      </c>
      <c r="BB137" s="14" t="str">
        <f t="shared" si="53"/>
        <v/>
      </c>
      <c r="BC137" s="14" t="str">
        <f t="shared" si="54"/>
        <v/>
      </c>
      <c r="BD137" s="14" t="str">
        <f t="shared" si="55"/>
        <v/>
      </c>
      <c r="BE137" s="14" t="str">
        <f t="shared" si="56"/>
        <v/>
      </c>
    </row>
    <row r="138" spans="39:57" ht="16.5" x14ac:dyDescent="0.2">
      <c r="AM138" s="13">
        <v>133</v>
      </c>
      <c r="AN138" s="14">
        <f t="shared" si="57"/>
        <v>9</v>
      </c>
      <c r="AO138" s="29">
        <f t="shared" si="41"/>
        <v>1.036</v>
      </c>
      <c r="AP138" s="14">
        <f t="shared" si="42"/>
        <v>2</v>
      </c>
      <c r="AQ138" s="14">
        <f t="shared" si="43"/>
        <v>3</v>
      </c>
      <c r="AR138" s="14">
        <f t="shared" si="44"/>
        <v>0</v>
      </c>
      <c r="AS138" s="14">
        <f t="shared" si="45"/>
        <v>1606011</v>
      </c>
      <c r="AT138" s="14" t="str">
        <f t="shared" si="46"/>
        <v>神器-3-碎片-1-13级</v>
      </c>
      <c r="AU138" s="13" t="s">
        <v>1195</v>
      </c>
      <c r="AV138" s="13">
        <f t="shared" si="47"/>
        <v>13</v>
      </c>
      <c r="AW138" s="14">
        <f t="shared" si="48"/>
        <v>2765</v>
      </c>
      <c r="AX138" s="14" t="str">
        <f t="shared" si="49"/>
        <v>DefExt</v>
      </c>
      <c r="AY138" s="14">
        <f t="shared" si="50"/>
        <v>230</v>
      </c>
      <c r="AZ138" s="14" t="str">
        <f t="shared" si="51"/>
        <v>HPExt</v>
      </c>
      <c r="BA138" s="14">
        <f t="shared" si="52"/>
        <v>465</v>
      </c>
      <c r="BB138" s="14" t="str">
        <f t="shared" si="53"/>
        <v/>
      </c>
      <c r="BC138" s="14" t="str">
        <f t="shared" si="54"/>
        <v/>
      </c>
      <c r="BD138" s="14" t="str">
        <f t="shared" si="55"/>
        <v/>
      </c>
      <c r="BE138" s="14" t="str">
        <f t="shared" si="56"/>
        <v/>
      </c>
    </row>
    <row r="139" spans="39:57" ht="16.5" x14ac:dyDescent="0.2">
      <c r="AM139" s="13">
        <v>134</v>
      </c>
      <c r="AN139" s="14">
        <f t="shared" si="57"/>
        <v>9</v>
      </c>
      <c r="AO139" s="29">
        <f t="shared" si="41"/>
        <v>1.1400000000000001</v>
      </c>
      <c r="AP139" s="14">
        <f t="shared" si="42"/>
        <v>2</v>
      </c>
      <c r="AQ139" s="14">
        <f t="shared" si="43"/>
        <v>3</v>
      </c>
      <c r="AR139" s="14">
        <f t="shared" si="44"/>
        <v>0</v>
      </c>
      <c r="AS139" s="14">
        <f t="shared" si="45"/>
        <v>1606011</v>
      </c>
      <c r="AT139" s="14" t="str">
        <f t="shared" si="46"/>
        <v>神器-3-碎片-1-14级</v>
      </c>
      <c r="AU139" s="13" t="s">
        <v>1195</v>
      </c>
      <c r="AV139" s="13">
        <f t="shared" si="47"/>
        <v>14</v>
      </c>
      <c r="AW139" s="14">
        <f t="shared" si="48"/>
        <v>3042</v>
      </c>
      <c r="AX139" s="14" t="str">
        <f t="shared" si="49"/>
        <v>DefExt</v>
      </c>
      <c r="AY139" s="14">
        <f t="shared" si="50"/>
        <v>253</v>
      </c>
      <c r="AZ139" s="14" t="str">
        <f t="shared" si="51"/>
        <v>HPExt</v>
      </c>
      <c r="BA139" s="14">
        <f t="shared" si="52"/>
        <v>512</v>
      </c>
      <c r="BB139" s="14" t="str">
        <f t="shared" si="53"/>
        <v/>
      </c>
      <c r="BC139" s="14" t="str">
        <f t="shared" si="54"/>
        <v/>
      </c>
      <c r="BD139" s="14" t="str">
        <f t="shared" si="55"/>
        <v/>
      </c>
      <c r="BE139" s="14" t="str">
        <f t="shared" si="56"/>
        <v/>
      </c>
    </row>
    <row r="140" spans="39:57" ht="16.5" x14ac:dyDescent="0.2">
      <c r="AM140" s="13">
        <v>135</v>
      </c>
      <c r="AN140" s="14">
        <f t="shared" si="57"/>
        <v>9</v>
      </c>
      <c r="AO140" s="29">
        <f t="shared" si="41"/>
        <v>1.248</v>
      </c>
      <c r="AP140" s="14">
        <f t="shared" si="42"/>
        <v>2</v>
      </c>
      <c r="AQ140" s="14">
        <f t="shared" si="43"/>
        <v>3</v>
      </c>
      <c r="AR140" s="14">
        <f t="shared" si="44"/>
        <v>0</v>
      </c>
      <c r="AS140" s="14">
        <f t="shared" si="45"/>
        <v>1606011</v>
      </c>
      <c r="AT140" s="14" t="str">
        <f t="shared" si="46"/>
        <v>神器-3-碎片-1-15级</v>
      </c>
      <c r="AU140" s="13" t="s">
        <v>1195</v>
      </c>
      <c r="AV140" s="13">
        <f t="shared" si="47"/>
        <v>15</v>
      </c>
      <c r="AW140" s="14">
        <f t="shared" si="48"/>
        <v>3330</v>
      </c>
      <c r="AX140" s="14" t="str">
        <f t="shared" si="49"/>
        <v>DefExt</v>
      </c>
      <c r="AY140" s="14">
        <f t="shared" si="50"/>
        <v>277</v>
      </c>
      <c r="AZ140" s="14" t="str">
        <f t="shared" si="51"/>
        <v>HPExt</v>
      </c>
      <c r="BA140" s="14">
        <f t="shared" si="52"/>
        <v>560</v>
      </c>
      <c r="BB140" s="14" t="str">
        <f t="shared" si="53"/>
        <v/>
      </c>
      <c r="BC140" s="14" t="str">
        <f t="shared" si="54"/>
        <v/>
      </c>
      <c r="BD140" s="14" t="str">
        <f t="shared" si="55"/>
        <v/>
      </c>
      <c r="BE140" s="14" t="str">
        <f t="shared" si="56"/>
        <v/>
      </c>
    </row>
    <row r="141" spans="39:57" ht="16.5" x14ac:dyDescent="0.2">
      <c r="AM141" s="13">
        <v>136</v>
      </c>
      <c r="AN141" s="14">
        <f t="shared" si="57"/>
        <v>9</v>
      </c>
      <c r="AO141" s="29">
        <f t="shared" si="41"/>
        <v>1.36</v>
      </c>
      <c r="AP141" s="14">
        <f t="shared" si="42"/>
        <v>2</v>
      </c>
      <c r="AQ141" s="14">
        <f t="shared" si="43"/>
        <v>3</v>
      </c>
      <c r="AR141" s="14">
        <f t="shared" si="44"/>
        <v>0</v>
      </c>
      <c r="AS141" s="14">
        <f t="shared" si="45"/>
        <v>1606011</v>
      </c>
      <c r="AT141" s="14" t="str">
        <f t="shared" si="46"/>
        <v>神器-3-碎片-1-16级</v>
      </c>
      <c r="AU141" s="13" t="s">
        <v>1195</v>
      </c>
      <c r="AV141" s="13">
        <f t="shared" si="47"/>
        <v>16</v>
      </c>
      <c r="AW141" s="14">
        <f t="shared" si="48"/>
        <v>3631</v>
      </c>
      <c r="AX141" s="14" t="str">
        <f t="shared" si="49"/>
        <v>DefExt</v>
      </c>
      <c r="AY141" s="14">
        <f t="shared" si="50"/>
        <v>302</v>
      </c>
      <c r="AZ141" s="14" t="str">
        <f t="shared" si="51"/>
        <v>HPExt</v>
      </c>
      <c r="BA141" s="14">
        <f t="shared" si="52"/>
        <v>611</v>
      </c>
      <c r="BB141" s="14" t="str">
        <f t="shared" si="53"/>
        <v/>
      </c>
      <c r="BC141" s="14" t="str">
        <f t="shared" si="54"/>
        <v/>
      </c>
      <c r="BD141" s="14" t="str">
        <f t="shared" si="55"/>
        <v/>
      </c>
      <c r="BE141" s="14" t="str">
        <f t="shared" si="56"/>
        <v/>
      </c>
    </row>
    <row r="142" spans="39:57" ht="16.5" x14ac:dyDescent="0.2">
      <c r="AM142" s="13">
        <v>137</v>
      </c>
      <c r="AN142" s="14">
        <f t="shared" si="57"/>
        <v>9</v>
      </c>
      <c r="AO142" s="29">
        <f t="shared" si="41"/>
        <v>1.476</v>
      </c>
      <c r="AP142" s="14">
        <f t="shared" si="42"/>
        <v>2</v>
      </c>
      <c r="AQ142" s="14">
        <f t="shared" si="43"/>
        <v>3</v>
      </c>
      <c r="AR142" s="14">
        <f t="shared" si="44"/>
        <v>0</v>
      </c>
      <c r="AS142" s="14">
        <f t="shared" si="45"/>
        <v>1606011</v>
      </c>
      <c r="AT142" s="14" t="str">
        <f t="shared" si="46"/>
        <v>神器-3-碎片-1-17级</v>
      </c>
      <c r="AU142" s="13" t="s">
        <v>1195</v>
      </c>
      <c r="AV142" s="13">
        <f t="shared" si="47"/>
        <v>17</v>
      </c>
      <c r="AW142" s="14">
        <f t="shared" si="48"/>
        <v>3933</v>
      </c>
      <c r="AX142" s="14" t="str">
        <f t="shared" si="49"/>
        <v>DefExt</v>
      </c>
      <c r="AY142" s="14">
        <f t="shared" si="50"/>
        <v>327</v>
      </c>
      <c r="AZ142" s="14" t="str">
        <f t="shared" si="51"/>
        <v>HPExt</v>
      </c>
      <c r="BA142" s="14">
        <f t="shared" si="52"/>
        <v>663</v>
      </c>
      <c r="BB142" s="14" t="str">
        <f t="shared" si="53"/>
        <v/>
      </c>
      <c r="BC142" s="14" t="str">
        <f t="shared" si="54"/>
        <v/>
      </c>
      <c r="BD142" s="14" t="str">
        <f t="shared" si="55"/>
        <v/>
      </c>
      <c r="BE142" s="14" t="str">
        <f t="shared" si="56"/>
        <v/>
      </c>
    </row>
    <row r="143" spans="39:57" ht="16.5" x14ac:dyDescent="0.2">
      <c r="AM143" s="13">
        <v>138</v>
      </c>
      <c r="AN143" s="14">
        <f t="shared" si="57"/>
        <v>9</v>
      </c>
      <c r="AO143" s="29">
        <f t="shared" si="41"/>
        <v>1.5960000000000001</v>
      </c>
      <c r="AP143" s="14">
        <f t="shared" si="42"/>
        <v>2</v>
      </c>
      <c r="AQ143" s="14">
        <f t="shared" si="43"/>
        <v>3</v>
      </c>
      <c r="AR143" s="14">
        <f t="shared" si="44"/>
        <v>0</v>
      </c>
      <c r="AS143" s="14">
        <f t="shared" si="45"/>
        <v>1606011</v>
      </c>
      <c r="AT143" s="14" t="str">
        <f t="shared" si="46"/>
        <v>神器-3-碎片-1-18级</v>
      </c>
      <c r="AU143" s="13" t="s">
        <v>1195</v>
      </c>
      <c r="AV143" s="13">
        <f t="shared" si="47"/>
        <v>18</v>
      </c>
      <c r="AW143" s="14">
        <f t="shared" si="48"/>
        <v>4257</v>
      </c>
      <c r="AX143" s="14" t="str">
        <f t="shared" si="49"/>
        <v>DefExt</v>
      </c>
      <c r="AY143" s="14">
        <f t="shared" si="50"/>
        <v>354</v>
      </c>
      <c r="AZ143" s="14" t="str">
        <f t="shared" si="51"/>
        <v>HPExt</v>
      </c>
      <c r="BA143" s="14">
        <f t="shared" si="52"/>
        <v>717</v>
      </c>
      <c r="BB143" s="14" t="str">
        <f t="shared" si="53"/>
        <v/>
      </c>
      <c r="BC143" s="14" t="str">
        <f t="shared" si="54"/>
        <v/>
      </c>
      <c r="BD143" s="14" t="str">
        <f t="shared" si="55"/>
        <v/>
      </c>
      <c r="BE143" s="14" t="str">
        <f t="shared" si="56"/>
        <v/>
      </c>
    </row>
    <row r="144" spans="39:57" ht="16.5" x14ac:dyDescent="0.2">
      <c r="AM144" s="13">
        <v>139</v>
      </c>
      <c r="AN144" s="14">
        <f t="shared" si="57"/>
        <v>10</v>
      </c>
      <c r="AO144" s="29">
        <f t="shared" si="41"/>
        <v>0.1</v>
      </c>
      <c r="AP144" s="14">
        <f t="shared" si="42"/>
        <v>1</v>
      </c>
      <c r="AQ144" s="14">
        <f t="shared" si="43"/>
        <v>3</v>
      </c>
      <c r="AR144" s="14">
        <f t="shared" si="44"/>
        <v>0</v>
      </c>
      <c r="AS144" s="14">
        <f t="shared" si="45"/>
        <v>1606012</v>
      </c>
      <c r="AT144" s="14" t="str">
        <f t="shared" si="46"/>
        <v>神器-3-碎片-2-1级</v>
      </c>
      <c r="AU144" s="13" t="s">
        <v>1195</v>
      </c>
      <c r="AV144" s="13">
        <f t="shared" si="47"/>
        <v>1</v>
      </c>
      <c r="AW144" s="14">
        <f t="shared" si="48"/>
        <v>155</v>
      </c>
      <c r="AX144" s="14" t="str">
        <f t="shared" si="49"/>
        <v>AtkExt</v>
      </c>
      <c r="AY144" s="14">
        <f t="shared" si="50"/>
        <v>22</v>
      </c>
      <c r="AZ144" s="14" t="str">
        <f t="shared" si="51"/>
        <v>HPExt</v>
      </c>
      <c r="BA144" s="14">
        <f t="shared" si="52"/>
        <v>45</v>
      </c>
      <c r="BB144" s="14" t="str">
        <f t="shared" si="53"/>
        <v/>
      </c>
      <c r="BC144" s="14" t="str">
        <f t="shared" si="54"/>
        <v/>
      </c>
      <c r="BD144" s="14" t="str">
        <f t="shared" si="55"/>
        <v/>
      </c>
      <c r="BE144" s="14" t="str">
        <f t="shared" si="56"/>
        <v/>
      </c>
    </row>
    <row r="145" spans="39:57" ht="16.5" x14ac:dyDescent="0.2">
      <c r="AM145" s="13">
        <v>140</v>
      </c>
      <c r="AN145" s="14">
        <f t="shared" si="57"/>
        <v>10</v>
      </c>
      <c r="AO145" s="29">
        <f t="shared" si="41"/>
        <v>0.15600000000000003</v>
      </c>
      <c r="AP145" s="14">
        <f t="shared" si="42"/>
        <v>1</v>
      </c>
      <c r="AQ145" s="14">
        <f t="shared" si="43"/>
        <v>3</v>
      </c>
      <c r="AR145" s="14">
        <f t="shared" si="44"/>
        <v>0</v>
      </c>
      <c r="AS145" s="14">
        <f t="shared" si="45"/>
        <v>1606012</v>
      </c>
      <c r="AT145" s="14" t="str">
        <f t="shared" si="46"/>
        <v>神器-3-碎片-2-2级</v>
      </c>
      <c r="AU145" s="13" t="s">
        <v>1195</v>
      </c>
      <c r="AV145" s="13">
        <f t="shared" si="47"/>
        <v>2</v>
      </c>
      <c r="AW145" s="14">
        <f t="shared" si="48"/>
        <v>240</v>
      </c>
      <c r="AX145" s="14" t="str">
        <f t="shared" si="49"/>
        <v>AtkExt</v>
      </c>
      <c r="AY145" s="14">
        <f t="shared" si="50"/>
        <v>34</v>
      </c>
      <c r="AZ145" s="14" t="str">
        <f t="shared" si="51"/>
        <v>HPExt</v>
      </c>
      <c r="BA145" s="14">
        <f t="shared" si="52"/>
        <v>70</v>
      </c>
      <c r="BB145" s="14" t="str">
        <f t="shared" si="53"/>
        <v/>
      </c>
      <c r="BC145" s="14" t="str">
        <f t="shared" si="54"/>
        <v/>
      </c>
      <c r="BD145" s="14" t="str">
        <f t="shared" si="55"/>
        <v/>
      </c>
      <c r="BE145" s="14" t="str">
        <f t="shared" si="56"/>
        <v/>
      </c>
    </row>
    <row r="146" spans="39:57" ht="16.5" x14ac:dyDescent="0.2">
      <c r="AM146" s="13">
        <v>141</v>
      </c>
      <c r="AN146" s="14">
        <f t="shared" si="57"/>
        <v>10</v>
      </c>
      <c r="AO146" s="29">
        <f t="shared" si="41"/>
        <v>0.21600000000000003</v>
      </c>
      <c r="AP146" s="14">
        <f t="shared" si="42"/>
        <v>1</v>
      </c>
      <c r="AQ146" s="14">
        <f t="shared" si="43"/>
        <v>3</v>
      </c>
      <c r="AR146" s="14">
        <f t="shared" si="44"/>
        <v>0</v>
      </c>
      <c r="AS146" s="14">
        <f t="shared" si="45"/>
        <v>1606012</v>
      </c>
      <c r="AT146" s="14" t="str">
        <f t="shared" si="46"/>
        <v>神器-3-碎片-2-3级</v>
      </c>
      <c r="AU146" s="13" t="s">
        <v>1195</v>
      </c>
      <c r="AV146" s="13">
        <f t="shared" si="47"/>
        <v>3</v>
      </c>
      <c r="AW146" s="14">
        <f t="shared" si="48"/>
        <v>332</v>
      </c>
      <c r="AX146" s="14" t="str">
        <f t="shared" si="49"/>
        <v>AtkExt</v>
      </c>
      <c r="AY146" s="14">
        <f t="shared" si="50"/>
        <v>47</v>
      </c>
      <c r="AZ146" s="14" t="str">
        <f t="shared" si="51"/>
        <v>HPExt</v>
      </c>
      <c r="BA146" s="14">
        <f t="shared" si="52"/>
        <v>97</v>
      </c>
      <c r="BB146" s="14" t="str">
        <f t="shared" si="53"/>
        <v/>
      </c>
      <c r="BC146" s="14" t="str">
        <f t="shared" si="54"/>
        <v/>
      </c>
      <c r="BD146" s="14" t="str">
        <f t="shared" si="55"/>
        <v/>
      </c>
      <c r="BE146" s="14" t="str">
        <f t="shared" si="56"/>
        <v/>
      </c>
    </row>
    <row r="147" spans="39:57" ht="16.5" x14ac:dyDescent="0.2">
      <c r="AM147" s="13">
        <v>142</v>
      </c>
      <c r="AN147" s="14">
        <f t="shared" si="57"/>
        <v>10</v>
      </c>
      <c r="AO147" s="29">
        <f t="shared" si="41"/>
        <v>0.28000000000000003</v>
      </c>
      <c r="AP147" s="14">
        <f t="shared" si="42"/>
        <v>1</v>
      </c>
      <c r="AQ147" s="14">
        <f t="shared" si="43"/>
        <v>3</v>
      </c>
      <c r="AR147" s="14">
        <f t="shared" si="44"/>
        <v>0</v>
      </c>
      <c r="AS147" s="14">
        <f t="shared" si="45"/>
        <v>1606012</v>
      </c>
      <c r="AT147" s="14" t="str">
        <f t="shared" si="46"/>
        <v>神器-3-碎片-2-4级</v>
      </c>
      <c r="AU147" s="13" t="s">
        <v>1195</v>
      </c>
      <c r="AV147" s="13">
        <f t="shared" si="47"/>
        <v>4</v>
      </c>
      <c r="AW147" s="14">
        <f t="shared" si="48"/>
        <v>426</v>
      </c>
      <c r="AX147" s="14" t="str">
        <f t="shared" si="49"/>
        <v>AtkExt</v>
      </c>
      <c r="AY147" s="14">
        <f t="shared" si="50"/>
        <v>60</v>
      </c>
      <c r="AZ147" s="14" t="str">
        <f t="shared" si="51"/>
        <v>HPExt</v>
      </c>
      <c r="BA147" s="14">
        <f t="shared" si="52"/>
        <v>126</v>
      </c>
      <c r="BB147" s="14" t="str">
        <f t="shared" si="53"/>
        <v/>
      </c>
      <c r="BC147" s="14" t="str">
        <f t="shared" si="54"/>
        <v/>
      </c>
      <c r="BD147" s="14" t="str">
        <f t="shared" si="55"/>
        <v/>
      </c>
      <c r="BE147" s="14" t="str">
        <f t="shared" si="56"/>
        <v/>
      </c>
    </row>
    <row r="148" spans="39:57" ht="16.5" x14ac:dyDescent="0.2">
      <c r="AM148" s="13">
        <v>143</v>
      </c>
      <c r="AN148" s="14">
        <f t="shared" si="57"/>
        <v>10</v>
      </c>
      <c r="AO148" s="29">
        <f t="shared" si="41"/>
        <v>0.34799999999999998</v>
      </c>
      <c r="AP148" s="14">
        <f t="shared" si="42"/>
        <v>1</v>
      </c>
      <c r="AQ148" s="14">
        <f t="shared" si="43"/>
        <v>3</v>
      </c>
      <c r="AR148" s="14">
        <f t="shared" si="44"/>
        <v>0</v>
      </c>
      <c r="AS148" s="14">
        <f t="shared" si="45"/>
        <v>1606012</v>
      </c>
      <c r="AT148" s="14" t="str">
        <f t="shared" si="46"/>
        <v>神器-3-碎片-2-5级</v>
      </c>
      <c r="AU148" s="13" t="s">
        <v>1195</v>
      </c>
      <c r="AV148" s="13">
        <f t="shared" si="47"/>
        <v>5</v>
      </c>
      <c r="AW148" s="14">
        <f t="shared" si="48"/>
        <v>531</v>
      </c>
      <c r="AX148" s="14" t="str">
        <f t="shared" si="49"/>
        <v>AtkExt</v>
      </c>
      <c r="AY148" s="14">
        <f t="shared" si="50"/>
        <v>75</v>
      </c>
      <c r="AZ148" s="14" t="str">
        <f t="shared" si="51"/>
        <v>HPExt</v>
      </c>
      <c r="BA148" s="14">
        <f t="shared" si="52"/>
        <v>156</v>
      </c>
      <c r="BB148" s="14" t="str">
        <f t="shared" si="53"/>
        <v/>
      </c>
      <c r="BC148" s="14" t="str">
        <f t="shared" si="54"/>
        <v/>
      </c>
      <c r="BD148" s="14" t="str">
        <f t="shared" si="55"/>
        <v/>
      </c>
      <c r="BE148" s="14" t="str">
        <f t="shared" si="56"/>
        <v/>
      </c>
    </row>
    <row r="149" spans="39:57" ht="16.5" x14ac:dyDescent="0.2">
      <c r="AM149" s="13">
        <v>144</v>
      </c>
      <c r="AN149" s="14">
        <f t="shared" si="57"/>
        <v>10</v>
      </c>
      <c r="AO149" s="29">
        <f t="shared" si="41"/>
        <v>0.42000000000000004</v>
      </c>
      <c r="AP149" s="14">
        <f t="shared" si="42"/>
        <v>1</v>
      </c>
      <c r="AQ149" s="14">
        <f t="shared" si="43"/>
        <v>3</v>
      </c>
      <c r="AR149" s="14">
        <f t="shared" si="44"/>
        <v>0</v>
      </c>
      <c r="AS149" s="14">
        <f t="shared" si="45"/>
        <v>1606012</v>
      </c>
      <c r="AT149" s="14" t="str">
        <f t="shared" si="46"/>
        <v>神器-3-碎片-2-6级</v>
      </c>
      <c r="AU149" s="13" t="s">
        <v>1195</v>
      </c>
      <c r="AV149" s="13">
        <f t="shared" si="47"/>
        <v>6</v>
      </c>
      <c r="AW149" s="14">
        <f t="shared" si="48"/>
        <v>644</v>
      </c>
      <c r="AX149" s="14" t="str">
        <f t="shared" si="49"/>
        <v>AtkExt</v>
      </c>
      <c r="AY149" s="14">
        <f t="shared" si="50"/>
        <v>91</v>
      </c>
      <c r="AZ149" s="14" t="str">
        <f t="shared" si="51"/>
        <v>HPExt</v>
      </c>
      <c r="BA149" s="14">
        <f t="shared" si="52"/>
        <v>189</v>
      </c>
      <c r="BB149" s="14" t="str">
        <f t="shared" si="53"/>
        <v/>
      </c>
      <c r="BC149" s="14" t="str">
        <f t="shared" si="54"/>
        <v/>
      </c>
      <c r="BD149" s="14" t="str">
        <f t="shared" si="55"/>
        <v/>
      </c>
      <c r="BE149" s="14" t="str">
        <f t="shared" si="56"/>
        <v/>
      </c>
    </row>
    <row r="150" spans="39:57" ht="16.5" x14ac:dyDescent="0.2">
      <c r="AM150" s="13">
        <v>145</v>
      </c>
      <c r="AN150" s="14">
        <f t="shared" si="57"/>
        <v>10</v>
      </c>
      <c r="AO150" s="29">
        <f t="shared" si="41"/>
        <v>0.496</v>
      </c>
      <c r="AP150" s="14">
        <f t="shared" si="42"/>
        <v>1</v>
      </c>
      <c r="AQ150" s="14">
        <f t="shared" si="43"/>
        <v>3</v>
      </c>
      <c r="AR150" s="14">
        <f t="shared" si="44"/>
        <v>0</v>
      </c>
      <c r="AS150" s="14">
        <f t="shared" si="45"/>
        <v>1606012</v>
      </c>
      <c r="AT150" s="14" t="str">
        <f t="shared" si="46"/>
        <v>神器-3-碎片-2-7级</v>
      </c>
      <c r="AU150" s="13" t="s">
        <v>1195</v>
      </c>
      <c r="AV150" s="13">
        <f t="shared" si="47"/>
        <v>7</v>
      </c>
      <c r="AW150" s="14">
        <f t="shared" si="48"/>
        <v>758</v>
      </c>
      <c r="AX150" s="14" t="str">
        <f t="shared" si="49"/>
        <v>AtkExt</v>
      </c>
      <c r="AY150" s="14">
        <f t="shared" si="50"/>
        <v>107</v>
      </c>
      <c r="AZ150" s="14" t="str">
        <f t="shared" si="51"/>
        <v>HPExt</v>
      </c>
      <c r="BA150" s="14">
        <f t="shared" si="52"/>
        <v>223</v>
      </c>
      <c r="BB150" s="14" t="str">
        <f t="shared" si="53"/>
        <v/>
      </c>
      <c r="BC150" s="14" t="str">
        <f t="shared" si="54"/>
        <v/>
      </c>
      <c r="BD150" s="14" t="str">
        <f t="shared" si="55"/>
        <v/>
      </c>
      <c r="BE150" s="14" t="str">
        <f t="shared" si="56"/>
        <v/>
      </c>
    </row>
    <row r="151" spans="39:57" ht="16.5" x14ac:dyDescent="0.2">
      <c r="AM151" s="13">
        <v>146</v>
      </c>
      <c r="AN151" s="14">
        <f t="shared" si="57"/>
        <v>10</v>
      </c>
      <c r="AO151" s="29">
        <f t="shared" si="41"/>
        <v>0.57600000000000007</v>
      </c>
      <c r="AP151" s="14">
        <f t="shared" si="42"/>
        <v>1</v>
      </c>
      <c r="AQ151" s="14">
        <f t="shared" si="43"/>
        <v>3</v>
      </c>
      <c r="AR151" s="14">
        <f t="shared" si="44"/>
        <v>0</v>
      </c>
      <c r="AS151" s="14">
        <f t="shared" si="45"/>
        <v>1606012</v>
      </c>
      <c r="AT151" s="14" t="str">
        <f t="shared" si="46"/>
        <v>神器-3-碎片-2-8级</v>
      </c>
      <c r="AU151" s="13" t="s">
        <v>1195</v>
      </c>
      <c r="AV151" s="13">
        <f t="shared" si="47"/>
        <v>8</v>
      </c>
      <c r="AW151" s="14">
        <f t="shared" si="48"/>
        <v>879</v>
      </c>
      <c r="AX151" s="14" t="str">
        <f t="shared" si="49"/>
        <v>AtkExt</v>
      </c>
      <c r="AY151" s="14">
        <f t="shared" si="50"/>
        <v>124</v>
      </c>
      <c r="AZ151" s="14" t="str">
        <f t="shared" si="51"/>
        <v>HPExt</v>
      </c>
      <c r="BA151" s="14">
        <f t="shared" si="52"/>
        <v>259</v>
      </c>
      <c r="BB151" s="14" t="str">
        <f t="shared" si="53"/>
        <v/>
      </c>
      <c r="BC151" s="14" t="str">
        <f t="shared" si="54"/>
        <v/>
      </c>
      <c r="BD151" s="14" t="str">
        <f t="shared" si="55"/>
        <v/>
      </c>
      <c r="BE151" s="14" t="str">
        <f t="shared" si="56"/>
        <v/>
      </c>
    </row>
    <row r="152" spans="39:57" ht="16.5" x14ac:dyDescent="0.2">
      <c r="AM152" s="13">
        <v>147</v>
      </c>
      <c r="AN152" s="14">
        <f t="shared" si="57"/>
        <v>10</v>
      </c>
      <c r="AO152" s="29">
        <f t="shared" si="41"/>
        <v>0.66</v>
      </c>
      <c r="AP152" s="14">
        <f t="shared" si="42"/>
        <v>1</v>
      </c>
      <c r="AQ152" s="14">
        <f t="shared" si="43"/>
        <v>3</v>
      </c>
      <c r="AR152" s="14">
        <f t="shared" si="44"/>
        <v>0</v>
      </c>
      <c r="AS152" s="14">
        <f t="shared" si="45"/>
        <v>1606012</v>
      </c>
      <c r="AT152" s="14" t="str">
        <f t="shared" si="46"/>
        <v>神器-3-碎片-2-9级</v>
      </c>
      <c r="AU152" s="13" t="s">
        <v>1195</v>
      </c>
      <c r="AV152" s="13">
        <f t="shared" si="47"/>
        <v>9</v>
      </c>
      <c r="AW152" s="14">
        <f t="shared" si="48"/>
        <v>1006</v>
      </c>
      <c r="AX152" s="14" t="str">
        <f t="shared" si="49"/>
        <v>AtkExt</v>
      </c>
      <c r="AY152" s="14">
        <f t="shared" si="50"/>
        <v>142</v>
      </c>
      <c r="AZ152" s="14" t="str">
        <f t="shared" si="51"/>
        <v>HPExt</v>
      </c>
      <c r="BA152" s="14">
        <f t="shared" si="52"/>
        <v>296</v>
      </c>
      <c r="BB152" s="14" t="str">
        <f t="shared" si="53"/>
        <v/>
      </c>
      <c r="BC152" s="14" t="str">
        <f t="shared" si="54"/>
        <v/>
      </c>
      <c r="BD152" s="14" t="str">
        <f t="shared" si="55"/>
        <v/>
      </c>
      <c r="BE152" s="14" t="str">
        <f t="shared" si="56"/>
        <v/>
      </c>
    </row>
    <row r="153" spans="39:57" ht="16.5" x14ac:dyDescent="0.2">
      <c r="AM153" s="13">
        <v>148</v>
      </c>
      <c r="AN153" s="14">
        <f t="shared" si="57"/>
        <v>10</v>
      </c>
      <c r="AO153" s="29">
        <f t="shared" si="41"/>
        <v>0.748</v>
      </c>
      <c r="AP153" s="14">
        <f t="shared" si="42"/>
        <v>1</v>
      </c>
      <c r="AQ153" s="14">
        <f t="shared" si="43"/>
        <v>3</v>
      </c>
      <c r="AR153" s="14">
        <f t="shared" si="44"/>
        <v>0</v>
      </c>
      <c r="AS153" s="14">
        <f t="shared" si="45"/>
        <v>1606012</v>
      </c>
      <c r="AT153" s="14" t="str">
        <f t="shared" si="46"/>
        <v>神器-3-碎片-2-10级</v>
      </c>
      <c r="AU153" s="13" t="s">
        <v>1195</v>
      </c>
      <c r="AV153" s="13">
        <f t="shared" si="47"/>
        <v>10</v>
      </c>
      <c r="AW153" s="14">
        <f t="shared" si="48"/>
        <v>1141</v>
      </c>
      <c r="AX153" s="14" t="str">
        <f t="shared" si="49"/>
        <v>AtkExt</v>
      </c>
      <c r="AY153" s="14">
        <f t="shared" si="50"/>
        <v>161</v>
      </c>
      <c r="AZ153" s="14" t="str">
        <f t="shared" si="51"/>
        <v>HPExt</v>
      </c>
      <c r="BA153" s="14">
        <f t="shared" si="52"/>
        <v>336</v>
      </c>
      <c r="BB153" s="14" t="str">
        <f t="shared" si="53"/>
        <v/>
      </c>
      <c r="BC153" s="14" t="str">
        <f t="shared" si="54"/>
        <v/>
      </c>
      <c r="BD153" s="14" t="str">
        <f t="shared" si="55"/>
        <v/>
      </c>
      <c r="BE153" s="14" t="str">
        <f t="shared" si="56"/>
        <v/>
      </c>
    </row>
    <row r="154" spans="39:57" ht="16.5" x14ac:dyDescent="0.2">
      <c r="AM154" s="13">
        <v>149</v>
      </c>
      <c r="AN154" s="14">
        <f t="shared" si="57"/>
        <v>10</v>
      </c>
      <c r="AO154" s="29">
        <f t="shared" si="41"/>
        <v>0.84000000000000008</v>
      </c>
      <c r="AP154" s="14">
        <f t="shared" si="42"/>
        <v>1</v>
      </c>
      <c r="AQ154" s="14">
        <f t="shared" si="43"/>
        <v>3</v>
      </c>
      <c r="AR154" s="14">
        <f t="shared" si="44"/>
        <v>0</v>
      </c>
      <c r="AS154" s="14">
        <f t="shared" si="45"/>
        <v>1606012</v>
      </c>
      <c r="AT154" s="14" t="str">
        <f t="shared" si="46"/>
        <v>神器-3-碎片-2-11级</v>
      </c>
      <c r="AU154" s="13" t="s">
        <v>1195</v>
      </c>
      <c r="AV154" s="13">
        <f t="shared" si="47"/>
        <v>11</v>
      </c>
      <c r="AW154" s="14">
        <f t="shared" si="48"/>
        <v>1282</v>
      </c>
      <c r="AX154" s="14" t="str">
        <f t="shared" si="49"/>
        <v>AtkExt</v>
      </c>
      <c r="AY154" s="14">
        <f t="shared" si="50"/>
        <v>181</v>
      </c>
      <c r="AZ154" s="14" t="str">
        <f t="shared" si="51"/>
        <v>HPExt</v>
      </c>
      <c r="BA154" s="14">
        <f t="shared" si="52"/>
        <v>377</v>
      </c>
      <c r="BB154" s="14" t="str">
        <f t="shared" si="53"/>
        <v/>
      </c>
      <c r="BC154" s="14" t="str">
        <f t="shared" si="54"/>
        <v/>
      </c>
      <c r="BD154" s="14" t="str">
        <f t="shared" si="55"/>
        <v/>
      </c>
      <c r="BE154" s="14" t="str">
        <f t="shared" si="56"/>
        <v/>
      </c>
    </row>
    <row r="155" spans="39:57" ht="16.5" x14ac:dyDescent="0.2">
      <c r="AM155" s="13">
        <v>150</v>
      </c>
      <c r="AN155" s="14">
        <f t="shared" si="57"/>
        <v>10</v>
      </c>
      <c r="AO155" s="29">
        <f t="shared" si="41"/>
        <v>0.93600000000000017</v>
      </c>
      <c r="AP155" s="14">
        <f t="shared" si="42"/>
        <v>1</v>
      </c>
      <c r="AQ155" s="14">
        <f t="shared" si="43"/>
        <v>3</v>
      </c>
      <c r="AR155" s="14">
        <f t="shared" si="44"/>
        <v>0</v>
      </c>
      <c r="AS155" s="14">
        <f t="shared" si="45"/>
        <v>1606012</v>
      </c>
      <c r="AT155" s="14" t="str">
        <f t="shared" si="46"/>
        <v>神器-3-碎片-2-12级</v>
      </c>
      <c r="AU155" s="13" t="s">
        <v>1195</v>
      </c>
      <c r="AV155" s="13">
        <f t="shared" si="47"/>
        <v>12</v>
      </c>
      <c r="AW155" s="14">
        <f t="shared" si="48"/>
        <v>1430</v>
      </c>
      <c r="AX155" s="14" t="str">
        <f t="shared" si="49"/>
        <v>AtkExt</v>
      </c>
      <c r="AY155" s="14">
        <f t="shared" si="50"/>
        <v>202</v>
      </c>
      <c r="AZ155" s="14" t="str">
        <f t="shared" si="51"/>
        <v>HPExt</v>
      </c>
      <c r="BA155" s="14">
        <f t="shared" si="52"/>
        <v>420</v>
      </c>
      <c r="BB155" s="14" t="str">
        <f t="shared" si="53"/>
        <v/>
      </c>
      <c r="BC155" s="14" t="str">
        <f t="shared" si="54"/>
        <v/>
      </c>
      <c r="BD155" s="14" t="str">
        <f t="shared" si="55"/>
        <v/>
      </c>
      <c r="BE155" s="14" t="str">
        <f t="shared" si="56"/>
        <v/>
      </c>
    </row>
    <row r="156" spans="39:57" ht="16.5" x14ac:dyDescent="0.2">
      <c r="AM156" s="13">
        <v>151</v>
      </c>
      <c r="AN156" s="14">
        <f t="shared" si="57"/>
        <v>10</v>
      </c>
      <c r="AO156" s="29">
        <f t="shared" si="41"/>
        <v>1.036</v>
      </c>
      <c r="AP156" s="14">
        <f t="shared" si="42"/>
        <v>1</v>
      </c>
      <c r="AQ156" s="14">
        <f t="shared" si="43"/>
        <v>3</v>
      </c>
      <c r="AR156" s="14">
        <f t="shared" si="44"/>
        <v>0</v>
      </c>
      <c r="AS156" s="14">
        <f t="shared" si="45"/>
        <v>1606012</v>
      </c>
      <c r="AT156" s="14" t="str">
        <f t="shared" si="46"/>
        <v>神器-3-碎片-2-13级</v>
      </c>
      <c r="AU156" s="13" t="s">
        <v>1195</v>
      </c>
      <c r="AV156" s="13">
        <f t="shared" si="47"/>
        <v>13</v>
      </c>
      <c r="AW156" s="14">
        <f t="shared" si="48"/>
        <v>1580</v>
      </c>
      <c r="AX156" s="14" t="str">
        <f t="shared" si="49"/>
        <v>AtkExt</v>
      </c>
      <c r="AY156" s="14">
        <f t="shared" si="50"/>
        <v>223</v>
      </c>
      <c r="AZ156" s="14" t="str">
        <f t="shared" si="51"/>
        <v>HPExt</v>
      </c>
      <c r="BA156" s="14">
        <f t="shared" si="52"/>
        <v>465</v>
      </c>
      <c r="BB156" s="14" t="str">
        <f t="shared" si="53"/>
        <v/>
      </c>
      <c r="BC156" s="14" t="str">
        <f t="shared" si="54"/>
        <v/>
      </c>
      <c r="BD156" s="14" t="str">
        <f t="shared" si="55"/>
        <v/>
      </c>
      <c r="BE156" s="14" t="str">
        <f t="shared" si="56"/>
        <v/>
      </c>
    </row>
    <row r="157" spans="39:57" ht="16.5" x14ac:dyDescent="0.2">
      <c r="AM157" s="13">
        <v>152</v>
      </c>
      <c r="AN157" s="14">
        <f t="shared" si="57"/>
        <v>10</v>
      </c>
      <c r="AO157" s="29">
        <f t="shared" si="41"/>
        <v>1.1400000000000001</v>
      </c>
      <c r="AP157" s="14">
        <f t="shared" si="42"/>
        <v>1</v>
      </c>
      <c r="AQ157" s="14">
        <f t="shared" si="43"/>
        <v>3</v>
      </c>
      <c r="AR157" s="14">
        <f t="shared" si="44"/>
        <v>0</v>
      </c>
      <c r="AS157" s="14">
        <f t="shared" si="45"/>
        <v>1606012</v>
      </c>
      <c r="AT157" s="14" t="str">
        <f t="shared" si="46"/>
        <v>神器-3-碎片-2-14级</v>
      </c>
      <c r="AU157" s="13" t="s">
        <v>1195</v>
      </c>
      <c r="AV157" s="13">
        <f t="shared" si="47"/>
        <v>14</v>
      </c>
      <c r="AW157" s="14">
        <f t="shared" si="48"/>
        <v>1742</v>
      </c>
      <c r="AX157" s="14" t="str">
        <f t="shared" si="49"/>
        <v>AtkExt</v>
      </c>
      <c r="AY157" s="14">
        <f t="shared" si="50"/>
        <v>246</v>
      </c>
      <c r="AZ157" s="14" t="str">
        <f t="shared" si="51"/>
        <v>HPExt</v>
      </c>
      <c r="BA157" s="14">
        <f t="shared" si="52"/>
        <v>512</v>
      </c>
      <c r="BB157" s="14" t="str">
        <f t="shared" si="53"/>
        <v/>
      </c>
      <c r="BC157" s="14" t="str">
        <f t="shared" si="54"/>
        <v/>
      </c>
      <c r="BD157" s="14" t="str">
        <f t="shared" si="55"/>
        <v/>
      </c>
      <c r="BE157" s="14" t="str">
        <f t="shared" si="56"/>
        <v/>
      </c>
    </row>
    <row r="158" spans="39:57" ht="16.5" x14ac:dyDescent="0.2">
      <c r="AM158" s="13">
        <v>153</v>
      </c>
      <c r="AN158" s="14">
        <f t="shared" si="57"/>
        <v>10</v>
      </c>
      <c r="AO158" s="29">
        <f t="shared" si="41"/>
        <v>1.248</v>
      </c>
      <c r="AP158" s="14">
        <f t="shared" si="42"/>
        <v>1</v>
      </c>
      <c r="AQ158" s="14">
        <f t="shared" si="43"/>
        <v>3</v>
      </c>
      <c r="AR158" s="14">
        <f t="shared" si="44"/>
        <v>0</v>
      </c>
      <c r="AS158" s="14">
        <f t="shared" si="45"/>
        <v>1606012</v>
      </c>
      <c r="AT158" s="14" t="str">
        <f t="shared" si="46"/>
        <v>神器-3-碎片-2-15级</v>
      </c>
      <c r="AU158" s="13" t="s">
        <v>1195</v>
      </c>
      <c r="AV158" s="13">
        <f t="shared" si="47"/>
        <v>15</v>
      </c>
      <c r="AW158" s="14">
        <f t="shared" si="48"/>
        <v>1905</v>
      </c>
      <c r="AX158" s="14" t="str">
        <f t="shared" si="49"/>
        <v>AtkExt</v>
      </c>
      <c r="AY158" s="14">
        <f t="shared" si="50"/>
        <v>269</v>
      </c>
      <c r="AZ158" s="14" t="str">
        <f t="shared" si="51"/>
        <v>HPExt</v>
      </c>
      <c r="BA158" s="14">
        <f t="shared" si="52"/>
        <v>560</v>
      </c>
      <c r="BB158" s="14" t="str">
        <f t="shared" si="53"/>
        <v/>
      </c>
      <c r="BC158" s="14" t="str">
        <f t="shared" si="54"/>
        <v/>
      </c>
      <c r="BD158" s="14" t="str">
        <f t="shared" si="55"/>
        <v/>
      </c>
      <c r="BE158" s="14" t="str">
        <f t="shared" si="56"/>
        <v/>
      </c>
    </row>
    <row r="159" spans="39:57" ht="16.5" x14ac:dyDescent="0.2">
      <c r="AM159" s="13">
        <v>154</v>
      </c>
      <c r="AN159" s="14">
        <f t="shared" si="57"/>
        <v>10</v>
      </c>
      <c r="AO159" s="29">
        <f t="shared" si="41"/>
        <v>1.36</v>
      </c>
      <c r="AP159" s="14">
        <f t="shared" si="42"/>
        <v>1</v>
      </c>
      <c r="AQ159" s="14">
        <f t="shared" si="43"/>
        <v>3</v>
      </c>
      <c r="AR159" s="14">
        <f t="shared" si="44"/>
        <v>0</v>
      </c>
      <c r="AS159" s="14">
        <f t="shared" si="45"/>
        <v>1606012</v>
      </c>
      <c r="AT159" s="14" t="str">
        <f t="shared" si="46"/>
        <v>神器-3-碎片-2-16级</v>
      </c>
      <c r="AU159" s="13" t="s">
        <v>1195</v>
      </c>
      <c r="AV159" s="13">
        <f t="shared" si="47"/>
        <v>16</v>
      </c>
      <c r="AW159" s="14">
        <f t="shared" si="48"/>
        <v>2076</v>
      </c>
      <c r="AX159" s="14" t="str">
        <f t="shared" si="49"/>
        <v>AtkExt</v>
      </c>
      <c r="AY159" s="14">
        <f t="shared" si="50"/>
        <v>293</v>
      </c>
      <c r="AZ159" s="14" t="str">
        <f t="shared" si="51"/>
        <v>HPExt</v>
      </c>
      <c r="BA159" s="14">
        <f t="shared" si="52"/>
        <v>611</v>
      </c>
      <c r="BB159" s="14" t="str">
        <f t="shared" si="53"/>
        <v/>
      </c>
      <c r="BC159" s="14" t="str">
        <f t="shared" si="54"/>
        <v/>
      </c>
      <c r="BD159" s="14" t="str">
        <f t="shared" si="55"/>
        <v/>
      </c>
      <c r="BE159" s="14" t="str">
        <f t="shared" si="56"/>
        <v/>
      </c>
    </row>
    <row r="160" spans="39:57" ht="16.5" x14ac:dyDescent="0.2">
      <c r="AM160" s="13">
        <v>155</v>
      </c>
      <c r="AN160" s="14">
        <f t="shared" si="57"/>
        <v>10</v>
      </c>
      <c r="AO160" s="29">
        <f t="shared" si="41"/>
        <v>1.476</v>
      </c>
      <c r="AP160" s="14">
        <f t="shared" si="42"/>
        <v>1</v>
      </c>
      <c r="AQ160" s="14">
        <f t="shared" si="43"/>
        <v>3</v>
      </c>
      <c r="AR160" s="14">
        <f t="shared" si="44"/>
        <v>0</v>
      </c>
      <c r="AS160" s="14">
        <f t="shared" si="45"/>
        <v>1606012</v>
      </c>
      <c r="AT160" s="14" t="str">
        <f t="shared" si="46"/>
        <v>神器-3-碎片-2-17级</v>
      </c>
      <c r="AU160" s="13" t="s">
        <v>1195</v>
      </c>
      <c r="AV160" s="13">
        <f t="shared" si="47"/>
        <v>17</v>
      </c>
      <c r="AW160" s="14">
        <f t="shared" si="48"/>
        <v>2253</v>
      </c>
      <c r="AX160" s="14" t="str">
        <f t="shared" si="49"/>
        <v>AtkExt</v>
      </c>
      <c r="AY160" s="14">
        <f t="shared" si="50"/>
        <v>318</v>
      </c>
      <c r="AZ160" s="14" t="str">
        <f t="shared" si="51"/>
        <v>HPExt</v>
      </c>
      <c r="BA160" s="14">
        <f t="shared" si="52"/>
        <v>663</v>
      </c>
      <c r="BB160" s="14" t="str">
        <f t="shared" si="53"/>
        <v/>
      </c>
      <c r="BC160" s="14" t="str">
        <f t="shared" si="54"/>
        <v/>
      </c>
      <c r="BD160" s="14" t="str">
        <f t="shared" si="55"/>
        <v/>
      </c>
      <c r="BE160" s="14" t="str">
        <f t="shared" si="56"/>
        <v/>
      </c>
    </row>
    <row r="161" spans="39:57" ht="16.5" x14ac:dyDescent="0.2">
      <c r="AM161" s="13">
        <v>156</v>
      </c>
      <c r="AN161" s="14">
        <f t="shared" si="57"/>
        <v>10</v>
      </c>
      <c r="AO161" s="29">
        <f t="shared" si="41"/>
        <v>1.5960000000000001</v>
      </c>
      <c r="AP161" s="14">
        <f t="shared" si="42"/>
        <v>1</v>
      </c>
      <c r="AQ161" s="14">
        <f t="shared" si="43"/>
        <v>3</v>
      </c>
      <c r="AR161" s="14">
        <f t="shared" si="44"/>
        <v>0</v>
      </c>
      <c r="AS161" s="14">
        <f t="shared" si="45"/>
        <v>1606012</v>
      </c>
      <c r="AT161" s="14" t="str">
        <f t="shared" si="46"/>
        <v>神器-3-碎片-2-18级</v>
      </c>
      <c r="AU161" s="13" t="s">
        <v>1195</v>
      </c>
      <c r="AV161" s="13">
        <f t="shared" si="47"/>
        <v>18</v>
      </c>
      <c r="AW161" s="14">
        <f t="shared" si="48"/>
        <v>2437</v>
      </c>
      <c r="AX161" s="14" t="str">
        <f t="shared" si="49"/>
        <v>AtkExt</v>
      </c>
      <c r="AY161" s="14">
        <f t="shared" si="50"/>
        <v>344</v>
      </c>
      <c r="AZ161" s="14" t="str">
        <f t="shared" si="51"/>
        <v>HPExt</v>
      </c>
      <c r="BA161" s="14">
        <f t="shared" si="52"/>
        <v>717</v>
      </c>
      <c r="BB161" s="14" t="str">
        <f t="shared" si="53"/>
        <v/>
      </c>
      <c r="BC161" s="14" t="str">
        <f t="shared" si="54"/>
        <v/>
      </c>
      <c r="BD161" s="14" t="str">
        <f t="shared" si="55"/>
        <v/>
      </c>
      <c r="BE161" s="14" t="str">
        <f t="shared" si="56"/>
        <v/>
      </c>
    </row>
    <row r="162" spans="39:57" ht="16.5" x14ac:dyDescent="0.2">
      <c r="AM162" s="13">
        <v>157</v>
      </c>
      <c r="AN162" s="14">
        <f t="shared" si="57"/>
        <v>11</v>
      </c>
      <c r="AO162" s="29">
        <f t="shared" si="41"/>
        <v>0.1</v>
      </c>
      <c r="AP162" s="14">
        <f t="shared" si="42"/>
        <v>2</v>
      </c>
      <c r="AQ162" s="14">
        <f t="shared" si="43"/>
        <v>3</v>
      </c>
      <c r="AR162" s="14">
        <f t="shared" si="44"/>
        <v>0</v>
      </c>
      <c r="AS162" s="14">
        <f t="shared" si="45"/>
        <v>1606013</v>
      </c>
      <c r="AT162" s="14" t="str">
        <f t="shared" si="46"/>
        <v>神器-3-碎片-3-1级</v>
      </c>
      <c r="AU162" s="13" t="s">
        <v>1195</v>
      </c>
      <c r="AV162" s="13">
        <f t="shared" si="47"/>
        <v>1</v>
      </c>
      <c r="AW162" s="14">
        <f t="shared" si="48"/>
        <v>397</v>
      </c>
      <c r="AX162" s="14" t="str">
        <f t="shared" si="49"/>
        <v>DefExt</v>
      </c>
      <c r="AY162" s="14">
        <f t="shared" si="50"/>
        <v>33</v>
      </c>
      <c r="AZ162" s="14" t="str">
        <f t="shared" si="51"/>
        <v>HPExt</v>
      </c>
      <c r="BA162" s="14">
        <f t="shared" si="52"/>
        <v>67</v>
      </c>
      <c r="BB162" s="14" t="str">
        <f t="shared" si="53"/>
        <v/>
      </c>
      <c r="BC162" s="14" t="str">
        <f t="shared" si="54"/>
        <v/>
      </c>
      <c r="BD162" s="14" t="str">
        <f t="shared" si="55"/>
        <v/>
      </c>
      <c r="BE162" s="14" t="str">
        <f t="shared" si="56"/>
        <v/>
      </c>
    </row>
    <row r="163" spans="39:57" ht="16.5" x14ac:dyDescent="0.2">
      <c r="AM163" s="13">
        <v>158</v>
      </c>
      <c r="AN163" s="14">
        <f t="shared" si="57"/>
        <v>11</v>
      </c>
      <c r="AO163" s="29">
        <f t="shared" si="41"/>
        <v>0.15600000000000003</v>
      </c>
      <c r="AP163" s="14">
        <f t="shared" si="42"/>
        <v>2</v>
      </c>
      <c r="AQ163" s="14">
        <f t="shared" si="43"/>
        <v>3</v>
      </c>
      <c r="AR163" s="14">
        <f t="shared" si="44"/>
        <v>0</v>
      </c>
      <c r="AS163" s="14">
        <f t="shared" si="45"/>
        <v>1606013</v>
      </c>
      <c r="AT163" s="14" t="str">
        <f t="shared" si="46"/>
        <v>神器-3-碎片-3-2级</v>
      </c>
      <c r="AU163" s="13" t="s">
        <v>1195</v>
      </c>
      <c r="AV163" s="13">
        <f t="shared" si="47"/>
        <v>2</v>
      </c>
      <c r="AW163" s="14">
        <f t="shared" si="48"/>
        <v>625</v>
      </c>
      <c r="AX163" s="14" t="str">
        <f t="shared" si="49"/>
        <v>DefExt</v>
      </c>
      <c r="AY163" s="14">
        <f t="shared" si="50"/>
        <v>52</v>
      </c>
      <c r="AZ163" s="14" t="str">
        <f t="shared" si="51"/>
        <v>HPExt</v>
      </c>
      <c r="BA163" s="14">
        <f t="shared" si="52"/>
        <v>105</v>
      </c>
      <c r="BB163" s="14" t="str">
        <f t="shared" si="53"/>
        <v/>
      </c>
      <c r="BC163" s="14" t="str">
        <f t="shared" si="54"/>
        <v/>
      </c>
      <c r="BD163" s="14" t="str">
        <f t="shared" si="55"/>
        <v/>
      </c>
      <c r="BE163" s="14" t="str">
        <f t="shared" si="56"/>
        <v/>
      </c>
    </row>
    <row r="164" spans="39:57" ht="16.5" x14ac:dyDescent="0.2">
      <c r="AM164" s="13">
        <v>159</v>
      </c>
      <c r="AN164" s="14">
        <f t="shared" si="57"/>
        <v>11</v>
      </c>
      <c r="AO164" s="29">
        <f t="shared" si="41"/>
        <v>0.21600000000000003</v>
      </c>
      <c r="AP164" s="14">
        <f t="shared" si="42"/>
        <v>2</v>
      </c>
      <c r="AQ164" s="14">
        <f t="shared" si="43"/>
        <v>3</v>
      </c>
      <c r="AR164" s="14">
        <f t="shared" si="44"/>
        <v>0</v>
      </c>
      <c r="AS164" s="14">
        <f t="shared" si="45"/>
        <v>1606013</v>
      </c>
      <c r="AT164" s="14" t="str">
        <f t="shared" si="46"/>
        <v>神器-3-碎片-3-3级</v>
      </c>
      <c r="AU164" s="13" t="s">
        <v>1195</v>
      </c>
      <c r="AV164" s="13">
        <f t="shared" si="47"/>
        <v>3</v>
      </c>
      <c r="AW164" s="14">
        <f t="shared" si="48"/>
        <v>866</v>
      </c>
      <c r="AX164" s="14" t="str">
        <f t="shared" si="49"/>
        <v>DefExt</v>
      </c>
      <c r="AY164" s="14">
        <f t="shared" si="50"/>
        <v>72</v>
      </c>
      <c r="AZ164" s="14" t="str">
        <f t="shared" si="51"/>
        <v>HPExt</v>
      </c>
      <c r="BA164" s="14">
        <f t="shared" si="52"/>
        <v>146</v>
      </c>
      <c r="BB164" s="14" t="str">
        <f t="shared" si="53"/>
        <v/>
      </c>
      <c r="BC164" s="14" t="str">
        <f t="shared" si="54"/>
        <v/>
      </c>
      <c r="BD164" s="14" t="str">
        <f t="shared" si="55"/>
        <v/>
      </c>
      <c r="BE164" s="14" t="str">
        <f t="shared" si="56"/>
        <v/>
      </c>
    </row>
    <row r="165" spans="39:57" ht="16.5" x14ac:dyDescent="0.2">
      <c r="AM165" s="13">
        <v>160</v>
      </c>
      <c r="AN165" s="14">
        <f t="shared" si="57"/>
        <v>11</v>
      </c>
      <c r="AO165" s="29">
        <f t="shared" si="41"/>
        <v>0.28000000000000003</v>
      </c>
      <c r="AP165" s="14">
        <f t="shared" si="42"/>
        <v>2</v>
      </c>
      <c r="AQ165" s="14">
        <f t="shared" si="43"/>
        <v>3</v>
      </c>
      <c r="AR165" s="14">
        <f t="shared" si="44"/>
        <v>0</v>
      </c>
      <c r="AS165" s="14">
        <f t="shared" si="45"/>
        <v>1606013</v>
      </c>
      <c r="AT165" s="14" t="str">
        <f t="shared" si="46"/>
        <v>神器-3-碎片-3-4级</v>
      </c>
      <c r="AU165" s="13" t="s">
        <v>1195</v>
      </c>
      <c r="AV165" s="13">
        <f t="shared" si="47"/>
        <v>4</v>
      </c>
      <c r="AW165" s="14">
        <f t="shared" si="48"/>
        <v>1119</v>
      </c>
      <c r="AX165" s="14" t="str">
        <f t="shared" si="49"/>
        <v>DefExt</v>
      </c>
      <c r="AY165" s="14">
        <f t="shared" si="50"/>
        <v>93</v>
      </c>
      <c r="AZ165" s="14" t="str">
        <f t="shared" si="51"/>
        <v>HPExt</v>
      </c>
      <c r="BA165" s="14">
        <f t="shared" si="52"/>
        <v>189</v>
      </c>
      <c r="BB165" s="14" t="str">
        <f t="shared" si="53"/>
        <v/>
      </c>
      <c r="BC165" s="14" t="str">
        <f t="shared" si="54"/>
        <v/>
      </c>
      <c r="BD165" s="14" t="str">
        <f t="shared" si="55"/>
        <v/>
      </c>
      <c r="BE165" s="14" t="str">
        <f t="shared" si="56"/>
        <v/>
      </c>
    </row>
    <row r="166" spans="39:57" ht="16.5" x14ac:dyDescent="0.2">
      <c r="AM166" s="13">
        <v>161</v>
      </c>
      <c r="AN166" s="14">
        <f t="shared" si="57"/>
        <v>11</v>
      </c>
      <c r="AO166" s="29">
        <f t="shared" si="41"/>
        <v>0.34799999999999998</v>
      </c>
      <c r="AP166" s="14">
        <f t="shared" si="42"/>
        <v>2</v>
      </c>
      <c r="AQ166" s="14">
        <f t="shared" si="43"/>
        <v>3</v>
      </c>
      <c r="AR166" s="14">
        <f t="shared" si="44"/>
        <v>0</v>
      </c>
      <c r="AS166" s="14">
        <f t="shared" si="45"/>
        <v>1606013</v>
      </c>
      <c r="AT166" s="14" t="str">
        <f t="shared" si="46"/>
        <v>神器-3-碎片-3-5级</v>
      </c>
      <c r="AU166" s="13" t="s">
        <v>1195</v>
      </c>
      <c r="AV166" s="13">
        <f t="shared" si="47"/>
        <v>5</v>
      </c>
      <c r="AW166" s="14">
        <f t="shared" si="48"/>
        <v>1394</v>
      </c>
      <c r="AX166" s="14" t="str">
        <f t="shared" si="49"/>
        <v>DefExt</v>
      </c>
      <c r="AY166" s="14">
        <f t="shared" si="50"/>
        <v>116</v>
      </c>
      <c r="AZ166" s="14" t="str">
        <f t="shared" si="51"/>
        <v>HPExt</v>
      </c>
      <c r="BA166" s="14">
        <f t="shared" si="52"/>
        <v>234</v>
      </c>
      <c r="BB166" s="14" t="str">
        <f t="shared" si="53"/>
        <v/>
      </c>
      <c r="BC166" s="14" t="str">
        <f t="shared" si="54"/>
        <v/>
      </c>
      <c r="BD166" s="14" t="str">
        <f t="shared" si="55"/>
        <v/>
      </c>
      <c r="BE166" s="14" t="str">
        <f t="shared" si="56"/>
        <v/>
      </c>
    </row>
    <row r="167" spans="39:57" ht="16.5" x14ac:dyDescent="0.2">
      <c r="AM167" s="13">
        <v>162</v>
      </c>
      <c r="AN167" s="14">
        <f t="shared" si="57"/>
        <v>11</v>
      </c>
      <c r="AO167" s="29">
        <f t="shared" si="41"/>
        <v>0.42000000000000004</v>
      </c>
      <c r="AP167" s="14">
        <f t="shared" si="42"/>
        <v>2</v>
      </c>
      <c r="AQ167" s="14">
        <f t="shared" si="43"/>
        <v>3</v>
      </c>
      <c r="AR167" s="14">
        <f t="shared" si="44"/>
        <v>0</v>
      </c>
      <c r="AS167" s="14">
        <f t="shared" si="45"/>
        <v>1606013</v>
      </c>
      <c r="AT167" s="14" t="str">
        <f t="shared" si="46"/>
        <v>神器-3-碎片-3-6级</v>
      </c>
      <c r="AU167" s="13" t="s">
        <v>1195</v>
      </c>
      <c r="AV167" s="13">
        <f t="shared" si="47"/>
        <v>6</v>
      </c>
      <c r="AW167" s="14">
        <f t="shared" si="48"/>
        <v>1683</v>
      </c>
      <c r="AX167" s="14" t="str">
        <f t="shared" si="49"/>
        <v>DefExt</v>
      </c>
      <c r="AY167" s="14">
        <f t="shared" si="50"/>
        <v>140</v>
      </c>
      <c r="AZ167" s="14" t="str">
        <f t="shared" si="51"/>
        <v>HPExt</v>
      </c>
      <c r="BA167" s="14">
        <f t="shared" si="52"/>
        <v>283</v>
      </c>
      <c r="BB167" s="14" t="str">
        <f t="shared" si="53"/>
        <v/>
      </c>
      <c r="BC167" s="14" t="str">
        <f t="shared" si="54"/>
        <v/>
      </c>
      <c r="BD167" s="14" t="str">
        <f t="shared" si="55"/>
        <v/>
      </c>
      <c r="BE167" s="14" t="str">
        <f t="shared" si="56"/>
        <v/>
      </c>
    </row>
    <row r="168" spans="39:57" ht="16.5" x14ac:dyDescent="0.2">
      <c r="AM168" s="13">
        <v>163</v>
      </c>
      <c r="AN168" s="14">
        <f t="shared" si="57"/>
        <v>11</v>
      </c>
      <c r="AO168" s="29">
        <f t="shared" si="41"/>
        <v>0.496</v>
      </c>
      <c r="AP168" s="14">
        <f t="shared" si="42"/>
        <v>2</v>
      </c>
      <c r="AQ168" s="14">
        <f t="shared" si="43"/>
        <v>3</v>
      </c>
      <c r="AR168" s="14">
        <f t="shared" si="44"/>
        <v>0</v>
      </c>
      <c r="AS168" s="14">
        <f t="shared" si="45"/>
        <v>1606013</v>
      </c>
      <c r="AT168" s="14" t="str">
        <f t="shared" si="46"/>
        <v>神器-3-碎片-3-7级</v>
      </c>
      <c r="AU168" s="13" t="s">
        <v>1195</v>
      </c>
      <c r="AV168" s="13">
        <f t="shared" si="47"/>
        <v>7</v>
      </c>
      <c r="AW168" s="14">
        <f t="shared" si="48"/>
        <v>1984</v>
      </c>
      <c r="AX168" s="14" t="str">
        <f t="shared" si="49"/>
        <v>DefExt</v>
      </c>
      <c r="AY168" s="14">
        <f t="shared" si="50"/>
        <v>165</v>
      </c>
      <c r="AZ168" s="14" t="str">
        <f t="shared" si="51"/>
        <v>HPExt</v>
      </c>
      <c r="BA168" s="14">
        <f t="shared" si="52"/>
        <v>334</v>
      </c>
      <c r="BB168" s="14" t="str">
        <f t="shared" si="53"/>
        <v/>
      </c>
      <c r="BC168" s="14" t="str">
        <f t="shared" si="54"/>
        <v/>
      </c>
      <c r="BD168" s="14" t="str">
        <f t="shared" si="55"/>
        <v/>
      </c>
      <c r="BE168" s="14" t="str">
        <f t="shared" si="56"/>
        <v/>
      </c>
    </row>
    <row r="169" spans="39:57" ht="16.5" x14ac:dyDescent="0.2">
      <c r="AM169" s="13">
        <v>164</v>
      </c>
      <c r="AN169" s="14">
        <f t="shared" si="57"/>
        <v>11</v>
      </c>
      <c r="AO169" s="29">
        <f t="shared" si="41"/>
        <v>0.57600000000000007</v>
      </c>
      <c r="AP169" s="14">
        <f t="shared" si="42"/>
        <v>2</v>
      </c>
      <c r="AQ169" s="14">
        <f t="shared" si="43"/>
        <v>3</v>
      </c>
      <c r="AR169" s="14">
        <f t="shared" si="44"/>
        <v>0</v>
      </c>
      <c r="AS169" s="14">
        <f t="shared" si="45"/>
        <v>1606013</v>
      </c>
      <c r="AT169" s="14" t="str">
        <f t="shared" si="46"/>
        <v>神器-3-碎片-3-8级</v>
      </c>
      <c r="AU169" s="13" t="s">
        <v>1195</v>
      </c>
      <c r="AV169" s="13">
        <f t="shared" si="47"/>
        <v>8</v>
      </c>
      <c r="AW169" s="14">
        <f t="shared" si="48"/>
        <v>2308</v>
      </c>
      <c r="AX169" s="14" t="str">
        <f t="shared" si="49"/>
        <v>DefExt</v>
      </c>
      <c r="AY169" s="14">
        <f t="shared" si="50"/>
        <v>192</v>
      </c>
      <c r="AZ169" s="14" t="str">
        <f t="shared" si="51"/>
        <v>HPExt</v>
      </c>
      <c r="BA169" s="14">
        <f t="shared" si="52"/>
        <v>388</v>
      </c>
      <c r="BB169" s="14" t="str">
        <f t="shared" si="53"/>
        <v/>
      </c>
      <c r="BC169" s="14" t="str">
        <f t="shared" si="54"/>
        <v/>
      </c>
      <c r="BD169" s="14" t="str">
        <f t="shared" si="55"/>
        <v/>
      </c>
      <c r="BE169" s="14" t="str">
        <f t="shared" si="56"/>
        <v/>
      </c>
    </row>
    <row r="170" spans="39:57" ht="16.5" x14ac:dyDescent="0.2">
      <c r="AM170" s="13">
        <v>165</v>
      </c>
      <c r="AN170" s="14">
        <f t="shared" si="57"/>
        <v>11</v>
      </c>
      <c r="AO170" s="29">
        <f t="shared" si="41"/>
        <v>0.66</v>
      </c>
      <c r="AP170" s="14">
        <f t="shared" si="42"/>
        <v>2</v>
      </c>
      <c r="AQ170" s="14">
        <f t="shared" si="43"/>
        <v>3</v>
      </c>
      <c r="AR170" s="14">
        <f t="shared" si="44"/>
        <v>0</v>
      </c>
      <c r="AS170" s="14">
        <f t="shared" si="45"/>
        <v>1606013</v>
      </c>
      <c r="AT170" s="14" t="str">
        <f t="shared" si="46"/>
        <v>神器-3-碎片-3-9级</v>
      </c>
      <c r="AU170" s="13" t="s">
        <v>1195</v>
      </c>
      <c r="AV170" s="13">
        <f t="shared" si="47"/>
        <v>9</v>
      </c>
      <c r="AW170" s="14">
        <f t="shared" si="48"/>
        <v>2645</v>
      </c>
      <c r="AX170" s="14" t="str">
        <f t="shared" si="49"/>
        <v>DefExt</v>
      </c>
      <c r="AY170" s="14">
        <f t="shared" si="50"/>
        <v>220</v>
      </c>
      <c r="AZ170" s="14" t="str">
        <f t="shared" si="51"/>
        <v>HPExt</v>
      </c>
      <c r="BA170" s="14">
        <f t="shared" si="52"/>
        <v>445</v>
      </c>
      <c r="BB170" s="14" t="str">
        <f t="shared" si="53"/>
        <v/>
      </c>
      <c r="BC170" s="14" t="str">
        <f t="shared" si="54"/>
        <v/>
      </c>
      <c r="BD170" s="14" t="str">
        <f t="shared" si="55"/>
        <v/>
      </c>
      <c r="BE170" s="14" t="str">
        <f t="shared" si="56"/>
        <v/>
      </c>
    </row>
    <row r="171" spans="39:57" ht="16.5" x14ac:dyDescent="0.2">
      <c r="AM171" s="13">
        <v>166</v>
      </c>
      <c r="AN171" s="14">
        <f t="shared" si="57"/>
        <v>11</v>
      </c>
      <c r="AO171" s="29">
        <f t="shared" si="41"/>
        <v>0.748</v>
      </c>
      <c r="AP171" s="14">
        <f t="shared" si="42"/>
        <v>2</v>
      </c>
      <c r="AQ171" s="14">
        <f t="shared" si="43"/>
        <v>3</v>
      </c>
      <c r="AR171" s="14">
        <f t="shared" si="44"/>
        <v>0</v>
      </c>
      <c r="AS171" s="14">
        <f t="shared" si="45"/>
        <v>1606013</v>
      </c>
      <c r="AT171" s="14" t="str">
        <f t="shared" si="46"/>
        <v>神器-3-碎片-3-10级</v>
      </c>
      <c r="AU171" s="13" t="s">
        <v>1195</v>
      </c>
      <c r="AV171" s="13">
        <f t="shared" si="47"/>
        <v>10</v>
      </c>
      <c r="AW171" s="14">
        <f t="shared" si="48"/>
        <v>2994</v>
      </c>
      <c r="AX171" s="14" t="str">
        <f t="shared" si="49"/>
        <v>DefExt</v>
      </c>
      <c r="AY171" s="14">
        <f t="shared" si="50"/>
        <v>249</v>
      </c>
      <c r="AZ171" s="14" t="str">
        <f t="shared" si="51"/>
        <v>HPExt</v>
      </c>
      <c r="BA171" s="14">
        <f t="shared" si="52"/>
        <v>504</v>
      </c>
      <c r="BB171" s="14" t="str">
        <f t="shared" si="53"/>
        <v/>
      </c>
      <c r="BC171" s="14" t="str">
        <f t="shared" si="54"/>
        <v/>
      </c>
      <c r="BD171" s="14" t="str">
        <f t="shared" si="55"/>
        <v/>
      </c>
      <c r="BE171" s="14" t="str">
        <f t="shared" si="56"/>
        <v/>
      </c>
    </row>
    <row r="172" spans="39:57" ht="16.5" x14ac:dyDescent="0.2">
      <c r="AM172" s="13">
        <v>167</v>
      </c>
      <c r="AN172" s="14">
        <f t="shared" si="57"/>
        <v>11</v>
      </c>
      <c r="AO172" s="29">
        <f t="shared" si="41"/>
        <v>0.84000000000000008</v>
      </c>
      <c r="AP172" s="14">
        <f t="shared" si="42"/>
        <v>2</v>
      </c>
      <c r="AQ172" s="14">
        <f t="shared" si="43"/>
        <v>3</v>
      </c>
      <c r="AR172" s="14">
        <f t="shared" si="44"/>
        <v>0</v>
      </c>
      <c r="AS172" s="14">
        <f t="shared" si="45"/>
        <v>1606013</v>
      </c>
      <c r="AT172" s="14" t="str">
        <f t="shared" si="46"/>
        <v>神器-3-碎片-3-11级</v>
      </c>
      <c r="AU172" s="13" t="s">
        <v>1195</v>
      </c>
      <c r="AV172" s="13">
        <f t="shared" si="47"/>
        <v>11</v>
      </c>
      <c r="AW172" s="14">
        <f t="shared" si="48"/>
        <v>3356</v>
      </c>
      <c r="AX172" s="14" t="str">
        <f t="shared" si="49"/>
        <v>DefExt</v>
      </c>
      <c r="AY172" s="14">
        <f t="shared" si="50"/>
        <v>279</v>
      </c>
      <c r="AZ172" s="14" t="str">
        <f t="shared" si="51"/>
        <v>HPExt</v>
      </c>
      <c r="BA172" s="14">
        <f t="shared" si="52"/>
        <v>566</v>
      </c>
      <c r="BB172" s="14" t="str">
        <f t="shared" si="53"/>
        <v/>
      </c>
      <c r="BC172" s="14" t="str">
        <f t="shared" si="54"/>
        <v/>
      </c>
      <c r="BD172" s="14" t="str">
        <f t="shared" si="55"/>
        <v/>
      </c>
      <c r="BE172" s="14" t="str">
        <f t="shared" si="56"/>
        <v/>
      </c>
    </row>
    <row r="173" spans="39:57" ht="16.5" x14ac:dyDescent="0.2">
      <c r="AM173" s="13">
        <v>168</v>
      </c>
      <c r="AN173" s="14">
        <f t="shared" si="57"/>
        <v>11</v>
      </c>
      <c r="AO173" s="29">
        <f t="shared" si="41"/>
        <v>0.93600000000000017</v>
      </c>
      <c r="AP173" s="14">
        <f t="shared" si="42"/>
        <v>2</v>
      </c>
      <c r="AQ173" s="14">
        <f t="shared" si="43"/>
        <v>3</v>
      </c>
      <c r="AR173" s="14">
        <f t="shared" si="44"/>
        <v>0</v>
      </c>
      <c r="AS173" s="14">
        <f t="shared" si="45"/>
        <v>1606013</v>
      </c>
      <c r="AT173" s="14" t="str">
        <f t="shared" si="46"/>
        <v>神器-3-碎片-3-12级</v>
      </c>
      <c r="AU173" s="13" t="s">
        <v>1195</v>
      </c>
      <c r="AV173" s="13">
        <f t="shared" si="47"/>
        <v>12</v>
      </c>
      <c r="AW173" s="14">
        <f t="shared" si="48"/>
        <v>3741</v>
      </c>
      <c r="AX173" s="14" t="str">
        <f t="shared" si="49"/>
        <v>DefExt</v>
      </c>
      <c r="AY173" s="14">
        <f t="shared" si="50"/>
        <v>311</v>
      </c>
      <c r="AZ173" s="14" t="str">
        <f t="shared" si="51"/>
        <v>HPExt</v>
      </c>
      <c r="BA173" s="14">
        <f t="shared" si="52"/>
        <v>631</v>
      </c>
      <c r="BB173" s="14" t="str">
        <f t="shared" si="53"/>
        <v/>
      </c>
      <c r="BC173" s="14" t="str">
        <f t="shared" si="54"/>
        <v/>
      </c>
      <c r="BD173" s="14" t="str">
        <f t="shared" si="55"/>
        <v/>
      </c>
      <c r="BE173" s="14" t="str">
        <f t="shared" si="56"/>
        <v/>
      </c>
    </row>
    <row r="174" spans="39:57" ht="16.5" x14ac:dyDescent="0.2">
      <c r="AM174" s="13">
        <v>169</v>
      </c>
      <c r="AN174" s="14">
        <f t="shared" si="57"/>
        <v>11</v>
      </c>
      <c r="AO174" s="29">
        <f t="shared" si="41"/>
        <v>1.036</v>
      </c>
      <c r="AP174" s="14">
        <f t="shared" si="42"/>
        <v>2</v>
      </c>
      <c r="AQ174" s="14">
        <f t="shared" si="43"/>
        <v>3</v>
      </c>
      <c r="AR174" s="14">
        <f t="shared" si="44"/>
        <v>0</v>
      </c>
      <c r="AS174" s="14">
        <f t="shared" si="45"/>
        <v>1606013</v>
      </c>
      <c r="AT174" s="14" t="str">
        <f t="shared" si="46"/>
        <v>神器-3-碎片-3-13级</v>
      </c>
      <c r="AU174" s="13" t="s">
        <v>1195</v>
      </c>
      <c r="AV174" s="13">
        <f t="shared" si="47"/>
        <v>13</v>
      </c>
      <c r="AW174" s="14">
        <f t="shared" si="48"/>
        <v>4148</v>
      </c>
      <c r="AX174" s="14" t="str">
        <f t="shared" si="49"/>
        <v>DefExt</v>
      </c>
      <c r="AY174" s="14">
        <f t="shared" si="50"/>
        <v>345</v>
      </c>
      <c r="AZ174" s="14" t="str">
        <f t="shared" si="51"/>
        <v>HPExt</v>
      </c>
      <c r="BA174" s="14">
        <f t="shared" si="52"/>
        <v>698</v>
      </c>
      <c r="BB174" s="14" t="str">
        <f t="shared" si="53"/>
        <v/>
      </c>
      <c r="BC174" s="14" t="str">
        <f t="shared" si="54"/>
        <v/>
      </c>
      <c r="BD174" s="14" t="str">
        <f t="shared" si="55"/>
        <v/>
      </c>
      <c r="BE174" s="14" t="str">
        <f t="shared" si="56"/>
        <v/>
      </c>
    </row>
    <row r="175" spans="39:57" ht="16.5" x14ac:dyDescent="0.2">
      <c r="AM175" s="13">
        <v>170</v>
      </c>
      <c r="AN175" s="14">
        <f t="shared" si="57"/>
        <v>11</v>
      </c>
      <c r="AO175" s="29">
        <f t="shared" si="41"/>
        <v>1.1400000000000001</v>
      </c>
      <c r="AP175" s="14">
        <f t="shared" si="42"/>
        <v>2</v>
      </c>
      <c r="AQ175" s="14">
        <f t="shared" si="43"/>
        <v>3</v>
      </c>
      <c r="AR175" s="14">
        <f t="shared" si="44"/>
        <v>0</v>
      </c>
      <c r="AS175" s="14">
        <f t="shared" si="45"/>
        <v>1606013</v>
      </c>
      <c r="AT175" s="14" t="str">
        <f t="shared" si="46"/>
        <v>神器-3-碎片-3-14级</v>
      </c>
      <c r="AU175" s="13" t="s">
        <v>1195</v>
      </c>
      <c r="AV175" s="13">
        <f t="shared" si="47"/>
        <v>14</v>
      </c>
      <c r="AW175" s="14">
        <f t="shared" si="48"/>
        <v>4558</v>
      </c>
      <c r="AX175" s="14" t="str">
        <f t="shared" si="49"/>
        <v>DefExt</v>
      </c>
      <c r="AY175" s="14">
        <f t="shared" si="50"/>
        <v>379</v>
      </c>
      <c r="AZ175" s="14" t="str">
        <f t="shared" si="51"/>
        <v>HPExt</v>
      </c>
      <c r="BA175" s="14">
        <f t="shared" si="52"/>
        <v>768</v>
      </c>
      <c r="BB175" s="14" t="str">
        <f t="shared" si="53"/>
        <v/>
      </c>
      <c r="BC175" s="14" t="str">
        <f t="shared" si="54"/>
        <v/>
      </c>
      <c r="BD175" s="14" t="str">
        <f t="shared" si="55"/>
        <v/>
      </c>
      <c r="BE175" s="14" t="str">
        <f t="shared" si="56"/>
        <v/>
      </c>
    </row>
    <row r="176" spans="39:57" ht="16.5" x14ac:dyDescent="0.2">
      <c r="AM176" s="13">
        <v>171</v>
      </c>
      <c r="AN176" s="14">
        <f t="shared" si="57"/>
        <v>11</v>
      </c>
      <c r="AO176" s="29">
        <f t="shared" si="41"/>
        <v>1.248</v>
      </c>
      <c r="AP176" s="14">
        <f t="shared" si="42"/>
        <v>2</v>
      </c>
      <c r="AQ176" s="14">
        <f t="shared" si="43"/>
        <v>3</v>
      </c>
      <c r="AR176" s="14">
        <f t="shared" si="44"/>
        <v>0</v>
      </c>
      <c r="AS176" s="14">
        <f t="shared" si="45"/>
        <v>1606013</v>
      </c>
      <c r="AT176" s="14" t="str">
        <f t="shared" si="46"/>
        <v>神器-3-碎片-3-15级</v>
      </c>
      <c r="AU176" s="13" t="s">
        <v>1195</v>
      </c>
      <c r="AV176" s="13">
        <f t="shared" si="47"/>
        <v>15</v>
      </c>
      <c r="AW176" s="14">
        <f t="shared" si="48"/>
        <v>4991</v>
      </c>
      <c r="AX176" s="14" t="str">
        <f t="shared" si="49"/>
        <v>DefExt</v>
      </c>
      <c r="AY176" s="14">
        <f t="shared" si="50"/>
        <v>415</v>
      </c>
      <c r="AZ176" s="14" t="str">
        <f t="shared" si="51"/>
        <v>HPExt</v>
      </c>
      <c r="BA176" s="14">
        <f t="shared" si="52"/>
        <v>841</v>
      </c>
      <c r="BB176" s="14" t="str">
        <f t="shared" si="53"/>
        <v/>
      </c>
      <c r="BC176" s="14" t="str">
        <f t="shared" si="54"/>
        <v/>
      </c>
      <c r="BD176" s="14" t="str">
        <f t="shared" si="55"/>
        <v/>
      </c>
      <c r="BE176" s="14" t="str">
        <f t="shared" si="56"/>
        <v/>
      </c>
    </row>
    <row r="177" spans="39:57" ht="16.5" x14ac:dyDescent="0.2">
      <c r="AM177" s="13">
        <v>172</v>
      </c>
      <c r="AN177" s="14">
        <f t="shared" si="57"/>
        <v>11</v>
      </c>
      <c r="AO177" s="29">
        <f t="shared" si="41"/>
        <v>1.36</v>
      </c>
      <c r="AP177" s="14">
        <f t="shared" si="42"/>
        <v>2</v>
      </c>
      <c r="AQ177" s="14">
        <f t="shared" si="43"/>
        <v>3</v>
      </c>
      <c r="AR177" s="14">
        <f t="shared" si="44"/>
        <v>0</v>
      </c>
      <c r="AS177" s="14">
        <f t="shared" si="45"/>
        <v>1606013</v>
      </c>
      <c r="AT177" s="14" t="str">
        <f t="shared" si="46"/>
        <v>神器-3-碎片-3-16级</v>
      </c>
      <c r="AU177" s="13" t="s">
        <v>1195</v>
      </c>
      <c r="AV177" s="13">
        <f t="shared" si="47"/>
        <v>16</v>
      </c>
      <c r="AW177" s="14">
        <f t="shared" si="48"/>
        <v>5436</v>
      </c>
      <c r="AX177" s="14" t="str">
        <f t="shared" si="49"/>
        <v>DefExt</v>
      </c>
      <c r="AY177" s="14">
        <f t="shared" si="50"/>
        <v>452</v>
      </c>
      <c r="AZ177" s="14" t="str">
        <f t="shared" si="51"/>
        <v>HPExt</v>
      </c>
      <c r="BA177" s="14">
        <f t="shared" si="52"/>
        <v>916</v>
      </c>
      <c r="BB177" s="14" t="str">
        <f t="shared" si="53"/>
        <v/>
      </c>
      <c r="BC177" s="14" t="str">
        <f t="shared" si="54"/>
        <v/>
      </c>
      <c r="BD177" s="14" t="str">
        <f t="shared" si="55"/>
        <v/>
      </c>
      <c r="BE177" s="14" t="str">
        <f t="shared" si="56"/>
        <v/>
      </c>
    </row>
    <row r="178" spans="39:57" ht="16.5" x14ac:dyDescent="0.2">
      <c r="AM178" s="13">
        <v>173</v>
      </c>
      <c r="AN178" s="14">
        <f t="shared" si="57"/>
        <v>11</v>
      </c>
      <c r="AO178" s="29">
        <f t="shared" si="41"/>
        <v>1.476</v>
      </c>
      <c r="AP178" s="14">
        <f t="shared" si="42"/>
        <v>2</v>
      </c>
      <c r="AQ178" s="14">
        <f t="shared" si="43"/>
        <v>3</v>
      </c>
      <c r="AR178" s="14">
        <f t="shared" si="44"/>
        <v>0</v>
      </c>
      <c r="AS178" s="14">
        <f t="shared" si="45"/>
        <v>1606013</v>
      </c>
      <c r="AT178" s="14" t="str">
        <f t="shared" si="46"/>
        <v>神器-3-碎片-3-17级</v>
      </c>
      <c r="AU178" s="13" t="s">
        <v>1195</v>
      </c>
      <c r="AV178" s="13">
        <f t="shared" si="47"/>
        <v>17</v>
      </c>
      <c r="AW178" s="14">
        <f t="shared" si="48"/>
        <v>5904</v>
      </c>
      <c r="AX178" s="14" t="str">
        <f t="shared" si="49"/>
        <v>DefExt</v>
      </c>
      <c r="AY178" s="14">
        <f t="shared" si="50"/>
        <v>491</v>
      </c>
      <c r="AZ178" s="14" t="str">
        <f t="shared" si="51"/>
        <v>HPExt</v>
      </c>
      <c r="BA178" s="14">
        <f t="shared" si="52"/>
        <v>994</v>
      </c>
      <c r="BB178" s="14" t="str">
        <f t="shared" si="53"/>
        <v/>
      </c>
      <c r="BC178" s="14" t="str">
        <f t="shared" si="54"/>
        <v/>
      </c>
      <c r="BD178" s="14" t="str">
        <f t="shared" si="55"/>
        <v/>
      </c>
      <c r="BE178" s="14" t="str">
        <f t="shared" si="56"/>
        <v/>
      </c>
    </row>
    <row r="179" spans="39:57" ht="16.5" x14ac:dyDescent="0.2">
      <c r="AM179" s="13">
        <v>174</v>
      </c>
      <c r="AN179" s="14">
        <f t="shared" si="57"/>
        <v>11</v>
      </c>
      <c r="AO179" s="29">
        <f t="shared" si="41"/>
        <v>1.5960000000000001</v>
      </c>
      <c r="AP179" s="14">
        <f t="shared" si="42"/>
        <v>2</v>
      </c>
      <c r="AQ179" s="14">
        <f t="shared" si="43"/>
        <v>3</v>
      </c>
      <c r="AR179" s="14">
        <f t="shared" si="44"/>
        <v>0</v>
      </c>
      <c r="AS179" s="14">
        <f t="shared" si="45"/>
        <v>1606013</v>
      </c>
      <c r="AT179" s="14" t="str">
        <f t="shared" si="46"/>
        <v>神器-3-碎片-3-18级</v>
      </c>
      <c r="AU179" s="13" t="s">
        <v>1195</v>
      </c>
      <c r="AV179" s="13">
        <f t="shared" si="47"/>
        <v>18</v>
      </c>
      <c r="AW179" s="14">
        <f t="shared" si="48"/>
        <v>6385</v>
      </c>
      <c r="AX179" s="14" t="str">
        <f t="shared" si="49"/>
        <v>DefExt</v>
      </c>
      <c r="AY179" s="14">
        <f t="shared" si="50"/>
        <v>531</v>
      </c>
      <c r="AZ179" s="14" t="str">
        <f t="shared" si="51"/>
        <v>HPExt</v>
      </c>
      <c r="BA179" s="14">
        <f t="shared" si="52"/>
        <v>1075</v>
      </c>
      <c r="BB179" s="14" t="str">
        <f t="shared" si="53"/>
        <v/>
      </c>
      <c r="BC179" s="14" t="str">
        <f t="shared" si="54"/>
        <v/>
      </c>
      <c r="BD179" s="14" t="str">
        <f t="shared" si="55"/>
        <v/>
      </c>
      <c r="BE179" s="14" t="str">
        <f t="shared" si="56"/>
        <v/>
      </c>
    </row>
    <row r="180" spans="39:57" ht="16.5" x14ac:dyDescent="0.2">
      <c r="AM180" s="13">
        <v>175</v>
      </c>
      <c r="AN180" s="14">
        <f t="shared" si="57"/>
        <v>12</v>
      </c>
      <c r="AO180" s="29">
        <f t="shared" si="41"/>
        <v>0.1</v>
      </c>
      <c r="AP180" s="14">
        <f t="shared" si="42"/>
        <v>2</v>
      </c>
      <c r="AQ180" s="14">
        <f t="shared" si="43"/>
        <v>3</v>
      </c>
      <c r="AR180" s="14">
        <f t="shared" si="44"/>
        <v>0</v>
      </c>
      <c r="AS180" s="14">
        <f t="shared" si="45"/>
        <v>1606014</v>
      </c>
      <c r="AT180" s="14" t="str">
        <f t="shared" si="46"/>
        <v>神器-3-碎片-4-1级</v>
      </c>
      <c r="AU180" s="13" t="s">
        <v>1195</v>
      </c>
      <c r="AV180" s="13">
        <f t="shared" si="47"/>
        <v>1</v>
      </c>
      <c r="AW180" s="14">
        <f t="shared" si="48"/>
        <v>397</v>
      </c>
      <c r="AX180" s="14" t="str">
        <f t="shared" si="49"/>
        <v>DefExt</v>
      </c>
      <c r="AY180" s="14">
        <f t="shared" si="50"/>
        <v>33</v>
      </c>
      <c r="AZ180" s="14" t="str">
        <f t="shared" si="51"/>
        <v>HPExt</v>
      </c>
      <c r="BA180" s="14">
        <f t="shared" si="52"/>
        <v>67</v>
      </c>
      <c r="BB180" s="14" t="str">
        <f t="shared" si="53"/>
        <v/>
      </c>
      <c r="BC180" s="14" t="str">
        <f t="shared" si="54"/>
        <v/>
      </c>
      <c r="BD180" s="14" t="str">
        <f t="shared" si="55"/>
        <v/>
      </c>
      <c r="BE180" s="14" t="str">
        <f t="shared" si="56"/>
        <v/>
      </c>
    </row>
    <row r="181" spans="39:57" ht="16.5" x14ac:dyDescent="0.2">
      <c r="AM181" s="13">
        <v>176</v>
      </c>
      <c r="AN181" s="14">
        <f t="shared" si="57"/>
        <v>12</v>
      </c>
      <c r="AO181" s="29">
        <f t="shared" si="41"/>
        <v>0.15600000000000003</v>
      </c>
      <c r="AP181" s="14">
        <f t="shared" si="42"/>
        <v>2</v>
      </c>
      <c r="AQ181" s="14">
        <f t="shared" si="43"/>
        <v>3</v>
      </c>
      <c r="AR181" s="14">
        <f t="shared" si="44"/>
        <v>0</v>
      </c>
      <c r="AS181" s="14">
        <f t="shared" si="45"/>
        <v>1606014</v>
      </c>
      <c r="AT181" s="14" t="str">
        <f t="shared" si="46"/>
        <v>神器-3-碎片-4-2级</v>
      </c>
      <c r="AU181" s="13" t="s">
        <v>1195</v>
      </c>
      <c r="AV181" s="13">
        <f t="shared" si="47"/>
        <v>2</v>
      </c>
      <c r="AW181" s="14">
        <f t="shared" si="48"/>
        <v>625</v>
      </c>
      <c r="AX181" s="14" t="str">
        <f t="shared" si="49"/>
        <v>DefExt</v>
      </c>
      <c r="AY181" s="14">
        <f t="shared" si="50"/>
        <v>52</v>
      </c>
      <c r="AZ181" s="14" t="str">
        <f t="shared" si="51"/>
        <v>HPExt</v>
      </c>
      <c r="BA181" s="14">
        <f t="shared" si="52"/>
        <v>105</v>
      </c>
      <c r="BB181" s="14" t="str">
        <f t="shared" si="53"/>
        <v/>
      </c>
      <c r="BC181" s="14" t="str">
        <f t="shared" si="54"/>
        <v/>
      </c>
      <c r="BD181" s="14" t="str">
        <f t="shared" si="55"/>
        <v/>
      </c>
      <c r="BE181" s="14" t="str">
        <f t="shared" si="56"/>
        <v/>
      </c>
    </row>
    <row r="182" spans="39:57" ht="16.5" x14ac:dyDescent="0.2">
      <c r="AM182" s="13">
        <v>177</v>
      </c>
      <c r="AN182" s="14">
        <f t="shared" si="57"/>
        <v>12</v>
      </c>
      <c r="AO182" s="29">
        <f t="shared" si="41"/>
        <v>0.21600000000000003</v>
      </c>
      <c r="AP182" s="14">
        <f t="shared" si="42"/>
        <v>2</v>
      </c>
      <c r="AQ182" s="14">
        <f t="shared" si="43"/>
        <v>3</v>
      </c>
      <c r="AR182" s="14">
        <f t="shared" si="44"/>
        <v>0</v>
      </c>
      <c r="AS182" s="14">
        <f t="shared" si="45"/>
        <v>1606014</v>
      </c>
      <c r="AT182" s="14" t="str">
        <f t="shared" si="46"/>
        <v>神器-3-碎片-4-3级</v>
      </c>
      <c r="AU182" s="13" t="s">
        <v>1195</v>
      </c>
      <c r="AV182" s="13">
        <f t="shared" si="47"/>
        <v>3</v>
      </c>
      <c r="AW182" s="14">
        <f t="shared" si="48"/>
        <v>866</v>
      </c>
      <c r="AX182" s="14" t="str">
        <f t="shared" si="49"/>
        <v>DefExt</v>
      </c>
      <c r="AY182" s="14">
        <f t="shared" si="50"/>
        <v>72</v>
      </c>
      <c r="AZ182" s="14" t="str">
        <f t="shared" si="51"/>
        <v>HPExt</v>
      </c>
      <c r="BA182" s="14">
        <f t="shared" si="52"/>
        <v>146</v>
      </c>
      <c r="BB182" s="14" t="str">
        <f t="shared" si="53"/>
        <v/>
      </c>
      <c r="BC182" s="14" t="str">
        <f t="shared" si="54"/>
        <v/>
      </c>
      <c r="BD182" s="14" t="str">
        <f t="shared" si="55"/>
        <v/>
      </c>
      <c r="BE182" s="14" t="str">
        <f t="shared" si="56"/>
        <v/>
      </c>
    </row>
    <row r="183" spans="39:57" ht="16.5" x14ac:dyDescent="0.2">
      <c r="AM183" s="13">
        <v>178</v>
      </c>
      <c r="AN183" s="14">
        <f t="shared" si="57"/>
        <v>12</v>
      </c>
      <c r="AO183" s="29">
        <f t="shared" si="41"/>
        <v>0.28000000000000003</v>
      </c>
      <c r="AP183" s="14">
        <f t="shared" si="42"/>
        <v>2</v>
      </c>
      <c r="AQ183" s="14">
        <f t="shared" si="43"/>
        <v>3</v>
      </c>
      <c r="AR183" s="14">
        <f t="shared" si="44"/>
        <v>0</v>
      </c>
      <c r="AS183" s="14">
        <f t="shared" si="45"/>
        <v>1606014</v>
      </c>
      <c r="AT183" s="14" t="str">
        <f t="shared" si="46"/>
        <v>神器-3-碎片-4-4级</v>
      </c>
      <c r="AU183" s="13" t="s">
        <v>1195</v>
      </c>
      <c r="AV183" s="13">
        <f t="shared" si="47"/>
        <v>4</v>
      </c>
      <c r="AW183" s="14">
        <f t="shared" si="48"/>
        <v>1119</v>
      </c>
      <c r="AX183" s="14" t="str">
        <f t="shared" si="49"/>
        <v>DefExt</v>
      </c>
      <c r="AY183" s="14">
        <f t="shared" si="50"/>
        <v>93</v>
      </c>
      <c r="AZ183" s="14" t="str">
        <f t="shared" si="51"/>
        <v>HPExt</v>
      </c>
      <c r="BA183" s="14">
        <f t="shared" si="52"/>
        <v>189</v>
      </c>
      <c r="BB183" s="14" t="str">
        <f t="shared" si="53"/>
        <v/>
      </c>
      <c r="BC183" s="14" t="str">
        <f t="shared" si="54"/>
        <v/>
      </c>
      <c r="BD183" s="14" t="str">
        <f t="shared" si="55"/>
        <v/>
      </c>
      <c r="BE183" s="14" t="str">
        <f t="shared" si="56"/>
        <v/>
      </c>
    </row>
    <row r="184" spans="39:57" ht="16.5" x14ac:dyDescent="0.2">
      <c r="AM184" s="13">
        <v>179</v>
      </c>
      <c r="AN184" s="14">
        <f t="shared" si="57"/>
        <v>12</v>
      </c>
      <c r="AO184" s="29">
        <f t="shared" si="41"/>
        <v>0.34799999999999998</v>
      </c>
      <c r="AP184" s="14">
        <f t="shared" si="42"/>
        <v>2</v>
      </c>
      <c r="AQ184" s="14">
        <f t="shared" si="43"/>
        <v>3</v>
      </c>
      <c r="AR184" s="14">
        <f t="shared" si="44"/>
        <v>0</v>
      </c>
      <c r="AS184" s="14">
        <f t="shared" si="45"/>
        <v>1606014</v>
      </c>
      <c r="AT184" s="14" t="str">
        <f t="shared" si="46"/>
        <v>神器-3-碎片-4-5级</v>
      </c>
      <c r="AU184" s="13" t="s">
        <v>1195</v>
      </c>
      <c r="AV184" s="13">
        <f t="shared" si="47"/>
        <v>5</v>
      </c>
      <c r="AW184" s="14">
        <f t="shared" si="48"/>
        <v>1394</v>
      </c>
      <c r="AX184" s="14" t="str">
        <f t="shared" si="49"/>
        <v>DefExt</v>
      </c>
      <c r="AY184" s="14">
        <f t="shared" si="50"/>
        <v>116</v>
      </c>
      <c r="AZ184" s="14" t="str">
        <f t="shared" si="51"/>
        <v>HPExt</v>
      </c>
      <c r="BA184" s="14">
        <f t="shared" si="52"/>
        <v>234</v>
      </c>
      <c r="BB184" s="14" t="str">
        <f t="shared" si="53"/>
        <v/>
      </c>
      <c r="BC184" s="14" t="str">
        <f t="shared" si="54"/>
        <v/>
      </c>
      <c r="BD184" s="14" t="str">
        <f t="shared" si="55"/>
        <v/>
      </c>
      <c r="BE184" s="14" t="str">
        <f t="shared" si="56"/>
        <v/>
      </c>
    </row>
    <row r="185" spans="39:57" ht="16.5" x14ac:dyDescent="0.2">
      <c r="AM185" s="13">
        <v>180</v>
      </c>
      <c r="AN185" s="14">
        <f t="shared" si="57"/>
        <v>12</v>
      </c>
      <c r="AO185" s="29">
        <f t="shared" si="41"/>
        <v>0.42000000000000004</v>
      </c>
      <c r="AP185" s="14">
        <f t="shared" si="42"/>
        <v>2</v>
      </c>
      <c r="AQ185" s="14">
        <f t="shared" si="43"/>
        <v>3</v>
      </c>
      <c r="AR185" s="14">
        <f t="shared" si="44"/>
        <v>0</v>
      </c>
      <c r="AS185" s="14">
        <f t="shared" si="45"/>
        <v>1606014</v>
      </c>
      <c r="AT185" s="14" t="str">
        <f t="shared" si="46"/>
        <v>神器-3-碎片-4-6级</v>
      </c>
      <c r="AU185" s="13" t="s">
        <v>1195</v>
      </c>
      <c r="AV185" s="13">
        <f t="shared" si="47"/>
        <v>6</v>
      </c>
      <c r="AW185" s="14">
        <f t="shared" si="48"/>
        <v>1683</v>
      </c>
      <c r="AX185" s="14" t="str">
        <f t="shared" si="49"/>
        <v>DefExt</v>
      </c>
      <c r="AY185" s="14">
        <f t="shared" si="50"/>
        <v>140</v>
      </c>
      <c r="AZ185" s="14" t="str">
        <f t="shared" si="51"/>
        <v>HPExt</v>
      </c>
      <c r="BA185" s="14">
        <f t="shared" si="52"/>
        <v>283</v>
      </c>
      <c r="BB185" s="14" t="str">
        <f t="shared" si="53"/>
        <v/>
      </c>
      <c r="BC185" s="14" t="str">
        <f t="shared" si="54"/>
        <v/>
      </c>
      <c r="BD185" s="14" t="str">
        <f t="shared" si="55"/>
        <v/>
      </c>
      <c r="BE185" s="14" t="str">
        <f t="shared" si="56"/>
        <v/>
      </c>
    </row>
    <row r="186" spans="39:57" ht="16.5" x14ac:dyDescent="0.2">
      <c r="AM186" s="13">
        <v>181</v>
      </c>
      <c r="AN186" s="14">
        <f t="shared" si="57"/>
        <v>12</v>
      </c>
      <c r="AO186" s="29">
        <f t="shared" si="41"/>
        <v>0.496</v>
      </c>
      <c r="AP186" s="14">
        <f t="shared" si="42"/>
        <v>2</v>
      </c>
      <c r="AQ186" s="14">
        <f t="shared" si="43"/>
        <v>3</v>
      </c>
      <c r="AR186" s="14">
        <f t="shared" si="44"/>
        <v>0</v>
      </c>
      <c r="AS186" s="14">
        <f t="shared" si="45"/>
        <v>1606014</v>
      </c>
      <c r="AT186" s="14" t="str">
        <f t="shared" si="46"/>
        <v>神器-3-碎片-4-7级</v>
      </c>
      <c r="AU186" s="13" t="s">
        <v>1195</v>
      </c>
      <c r="AV186" s="13">
        <f t="shared" si="47"/>
        <v>7</v>
      </c>
      <c r="AW186" s="14">
        <f t="shared" si="48"/>
        <v>1984</v>
      </c>
      <c r="AX186" s="14" t="str">
        <f t="shared" si="49"/>
        <v>DefExt</v>
      </c>
      <c r="AY186" s="14">
        <f t="shared" si="50"/>
        <v>165</v>
      </c>
      <c r="AZ186" s="14" t="str">
        <f t="shared" si="51"/>
        <v>HPExt</v>
      </c>
      <c r="BA186" s="14">
        <f t="shared" si="52"/>
        <v>334</v>
      </c>
      <c r="BB186" s="14" t="str">
        <f t="shared" si="53"/>
        <v/>
      </c>
      <c r="BC186" s="14" t="str">
        <f t="shared" si="54"/>
        <v/>
      </c>
      <c r="BD186" s="14" t="str">
        <f t="shared" si="55"/>
        <v/>
      </c>
      <c r="BE186" s="14" t="str">
        <f t="shared" si="56"/>
        <v/>
      </c>
    </row>
    <row r="187" spans="39:57" ht="16.5" x14ac:dyDescent="0.2">
      <c r="AM187" s="13">
        <v>182</v>
      </c>
      <c r="AN187" s="14">
        <f t="shared" si="57"/>
        <v>12</v>
      </c>
      <c r="AO187" s="29">
        <f t="shared" si="41"/>
        <v>0.57600000000000007</v>
      </c>
      <c r="AP187" s="14">
        <f t="shared" si="42"/>
        <v>2</v>
      </c>
      <c r="AQ187" s="14">
        <f t="shared" si="43"/>
        <v>3</v>
      </c>
      <c r="AR187" s="14">
        <f t="shared" si="44"/>
        <v>0</v>
      </c>
      <c r="AS187" s="14">
        <f t="shared" si="45"/>
        <v>1606014</v>
      </c>
      <c r="AT187" s="14" t="str">
        <f t="shared" si="46"/>
        <v>神器-3-碎片-4-8级</v>
      </c>
      <c r="AU187" s="13" t="s">
        <v>1195</v>
      </c>
      <c r="AV187" s="13">
        <f t="shared" si="47"/>
        <v>8</v>
      </c>
      <c r="AW187" s="14">
        <f t="shared" si="48"/>
        <v>2308</v>
      </c>
      <c r="AX187" s="14" t="str">
        <f t="shared" si="49"/>
        <v>DefExt</v>
      </c>
      <c r="AY187" s="14">
        <f t="shared" si="50"/>
        <v>192</v>
      </c>
      <c r="AZ187" s="14" t="str">
        <f t="shared" si="51"/>
        <v>HPExt</v>
      </c>
      <c r="BA187" s="14">
        <f t="shared" si="52"/>
        <v>388</v>
      </c>
      <c r="BB187" s="14" t="str">
        <f t="shared" si="53"/>
        <v/>
      </c>
      <c r="BC187" s="14" t="str">
        <f t="shared" si="54"/>
        <v/>
      </c>
      <c r="BD187" s="14" t="str">
        <f t="shared" si="55"/>
        <v/>
      </c>
      <c r="BE187" s="14" t="str">
        <f t="shared" si="56"/>
        <v/>
      </c>
    </row>
    <row r="188" spans="39:57" ht="16.5" x14ac:dyDescent="0.2">
      <c r="AM188" s="13">
        <v>183</v>
      </c>
      <c r="AN188" s="14">
        <f t="shared" si="57"/>
        <v>12</v>
      </c>
      <c r="AO188" s="29">
        <f t="shared" si="41"/>
        <v>0.66</v>
      </c>
      <c r="AP188" s="14">
        <f t="shared" si="42"/>
        <v>2</v>
      </c>
      <c r="AQ188" s="14">
        <f t="shared" si="43"/>
        <v>3</v>
      </c>
      <c r="AR188" s="14">
        <f t="shared" si="44"/>
        <v>0</v>
      </c>
      <c r="AS188" s="14">
        <f t="shared" si="45"/>
        <v>1606014</v>
      </c>
      <c r="AT188" s="14" t="str">
        <f t="shared" si="46"/>
        <v>神器-3-碎片-4-9级</v>
      </c>
      <c r="AU188" s="13" t="s">
        <v>1195</v>
      </c>
      <c r="AV188" s="13">
        <f t="shared" si="47"/>
        <v>9</v>
      </c>
      <c r="AW188" s="14">
        <f t="shared" si="48"/>
        <v>2645</v>
      </c>
      <c r="AX188" s="14" t="str">
        <f t="shared" si="49"/>
        <v>DefExt</v>
      </c>
      <c r="AY188" s="14">
        <f t="shared" si="50"/>
        <v>220</v>
      </c>
      <c r="AZ188" s="14" t="str">
        <f t="shared" si="51"/>
        <v>HPExt</v>
      </c>
      <c r="BA188" s="14">
        <f t="shared" si="52"/>
        <v>445</v>
      </c>
      <c r="BB188" s="14" t="str">
        <f t="shared" si="53"/>
        <v/>
      </c>
      <c r="BC188" s="14" t="str">
        <f t="shared" si="54"/>
        <v/>
      </c>
      <c r="BD188" s="14" t="str">
        <f t="shared" si="55"/>
        <v/>
      </c>
      <c r="BE188" s="14" t="str">
        <f t="shared" si="56"/>
        <v/>
      </c>
    </row>
    <row r="189" spans="39:57" ht="16.5" x14ac:dyDescent="0.2">
      <c r="AM189" s="13">
        <v>184</v>
      </c>
      <c r="AN189" s="14">
        <f t="shared" si="57"/>
        <v>12</v>
      </c>
      <c r="AO189" s="29">
        <f t="shared" si="41"/>
        <v>0.748</v>
      </c>
      <c r="AP189" s="14">
        <f t="shared" si="42"/>
        <v>2</v>
      </c>
      <c r="AQ189" s="14">
        <f t="shared" si="43"/>
        <v>3</v>
      </c>
      <c r="AR189" s="14">
        <f t="shared" si="44"/>
        <v>0</v>
      </c>
      <c r="AS189" s="14">
        <f t="shared" si="45"/>
        <v>1606014</v>
      </c>
      <c r="AT189" s="14" t="str">
        <f t="shared" si="46"/>
        <v>神器-3-碎片-4-10级</v>
      </c>
      <c r="AU189" s="13" t="s">
        <v>1195</v>
      </c>
      <c r="AV189" s="13">
        <f t="shared" si="47"/>
        <v>10</v>
      </c>
      <c r="AW189" s="14">
        <f t="shared" si="48"/>
        <v>2994</v>
      </c>
      <c r="AX189" s="14" t="str">
        <f t="shared" si="49"/>
        <v>DefExt</v>
      </c>
      <c r="AY189" s="14">
        <f t="shared" si="50"/>
        <v>249</v>
      </c>
      <c r="AZ189" s="14" t="str">
        <f t="shared" si="51"/>
        <v>HPExt</v>
      </c>
      <c r="BA189" s="14">
        <f t="shared" si="52"/>
        <v>504</v>
      </c>
      <c r="BB189" s="14" t="str">
        <f t="shared" si="53"/>
        <v/>
      </c>
      <c r="BC189" s="14" t="str">
        <f t="shared" si="54"/>
        <v/>
      </c>
      <c r="BD189" s="14" t="str">
        <f t="shared" si="55"/>
        <v/>
      </c>
      <c r="BE189" s="14" t="str">
        <f t="shared" si="56"/>
        <v/>
      </c>
    </row>
    <row r="190" spans="39:57" ht="16.5" x14ac:dyDescent="0.2">
      <c r="AM190" s="13">
        <v>185</v>
      </c>
      <c r="AN190" s="14">
        <f t="shared" si="57"/>
        <v>12</v>
      </c>
      <c r="AO190" s="29">
        <f t="shared" si="41"/>
        <v>0.84000000000000008</v>
      </c>
      <c r="AP190" s="14">
        <f t="shared" si="42"/>
        <v>2</v>
      </c>
      <c r="AQ190" s="14">
        <f t="shared" si="43"/>
        <v>3</v>
      </c>
      <c r="AR190" s="14">
        <f t="shared" si="44"/>
        <v>0</v>
      </c>
      <c r="AS190" s="14">
        <f t="shared" si="45"/>
        <v>1606014</v>
      </c>
      <c r="AT190" s="14" t="str">
        <f t="shared" si="46"/>
        <v>神器-3-碎片-4-11级</v>
      </c>
      <c r="AU190" s="13" t="s">
        <v>1195</v>
      </c>
      <c r="AV190" s="13">
        <f t="shared" si="47"/>
        <v>11</v>
      </c>
      <c r="AW190" s="14">
        <f t="shared" si="48"/>
        <v>3356</v>
      </c>
      <c r="AX190" s="14" t="str">
        <f t="shared" si="49"/>
        <v>DefExt</v>
      </c>
      <c r="AY190" s="14">
        <f t="shared" si="50"/>
        <v>279</v>
      </c>
      <c r="AZ190" s="14" t="str">
        <f t="shared" si="51"/>
        <v>HPExt</v>
      </c>
      <c r="BA190" s="14">
        <f t="shared" si="52"/>
        <v>566</v>
      </c>
      <c r="BB190" s="14" t="str">
        <f t="shared" si="53"/>
        <v/>
      </c>
      <c r="BC190" s="14" t="str">
        <f t="shared" si="54"/>
        <v/>
      </c>
      <c r="BD190" s="14" t="str">
        <f t="shared" si="55"/>
        <v/>
      </c>
      <c r="BE190" s="14" t="str">
        <f t="shared" si="56"/>
        <v/>
      </c>
    </row>
    <row r="191" spans="39:57" ht="16.5" x14ac:dyDescent="0.2">
      <c r="AM191" s="13">
        <v>186</v>
      </c>
      <c r="AN191" s="14">
        <f t="shared" si="57"/>
        <v>12</v>
      </c>
      <c r="AO191" s="29">
        <f t="shared" si="41"/>
        <v>0.93600000000000017</v>
      </c>
      <c r="AP191" s="14">
        <f t="shared" si="42"/>
        <v>2</v>
      </c>
      <c r="AQ191" s="14">
        <f t="shared" si="43"/>
        <v>3</v>
      </c>
      <c r="AR191" s="14">
        <f t="shared" si="44"/>
        <v>0</v>
      </c>
      <c r="AS191" s="14">
        <f t="shared" si="45"/>
        <v>1606014</v>
      </c>
      <c r="AT191" s="14" t="str">
        <f t="shared" si="46"/>
        <v>神器-3-碎片-4-12级</v>
      </c>
      <c r="AU191" s="13" t="s">
        <v>1195</v>
      </c>
      <c r="AV191" s="13">
        <f t="shared" si="47"/>
        <v>12</v>
      </c>
      <c r="AW191" s="14">
        <f t="shared" si="48"/>
        <v>3741</v>
      </c>
      <c r="AX191" s="14" t="str">
        <f t="shared" si="49"/>
        <v>DefExt</v>
      </c>
      <c r="AY191" s="14">
        <f t="shared" si="50"/>
        <v>311</v>
      </c>
      <c r="AZ191" s="14" t="str">
        <f t="shared" si="51"/>
        <v>HPExt</v>
      </c>
      <c r="BA191" s="14">
        <f t="shared" si="52"/>
        <v>631</v>
      </c>
      <c r="BB191" s="14" t="str">
        <f t="shared" si="53"/>
        <v/>
      </c>
      <c r="BC191" s="14" t="str">
        <f t="shared" si="54"/>
        <v/>
      </c>
      <c r="BD191" s="14" t="str">
        <f t="shared" si="55"/>
        <v/>
      </c>
      <c r="BE191" s="14" t="str">
        <f t="shared" si="56"/>
        <v/>
      </c>
    </row>
    <row r="192" spans="39:57" ht="16.5" x14ac:dyDescent="0.2">
      <c r="AM192" s="13">
        <v>187</v>
      </c>
      <c r="AN192" s="14">
        <f t="shared" si="57"/>
        <v>12</v>
      </c>
      <c r="AO192" s="29">
        <f t="shared" si="41"/>
        <v>1.036</v>
      </c>
      <c r="AP192" s="14">
        <f t="shared" si="42"/>
        <v>2</v>
      </c>
      <c r="AQ192" s="14">
        <f t="shared" si="43"/>
        <v>3</v>
      </c>
      <c r="AR192" s="14">
        <f t="shared" si="44"/>
        <v>0</v>
      </c>
      <c r="AS192" s="14">
        <f t="shared" si="45"/>
        <v>1606014</v>
      </c>
      <c r="AT192" s="14" t="str">
        <f t="shared" si="46"/>
        <v>神器-3-碎片-4-13级</v>
      </c>
      <c r="AU192" s="13" t="s">
        <v>1195</v>
      </c>
      <c r="AV192" s="13">
        <f t="shared" si="47"/>
        <v>13</v>
      </c>
      <c r="AW192" s="14">
        <f t="shared" si="48"/>
        <v>4148</v>
      </c>
      <c r="AX192" s="14" t="str">
        <f t="shared" si="49"/>
        <v>DefExt</v>
      </c>
      <c r="AY192" s="14">
        <f t="shared" si="50"/>
        <v>345</v>
      </c>
      <c r="AZ192" s="14" t="str">
        <f t="shared" si="51"/>
        <v>HPExt</v>
      </c>
      <c r="BA192" s="14">
        <f t="shared" si="52"/>
        <v>698</v>
      </c>
      <c r="BB192" s="14" t="str">
        <f t="shared" si="53"/>
        <v/>
      </c>
      <c r="BC192" s="14" t="str">
        <f t="shared" si="54"/>
        <v/>
      </c>
      <c r="BD192" s="14" t="str">
        <f t="shared" si="55"/>
        <v/>
      </c>
      <c r="BE192" s="14" t="str">
        <f t="shared" si="56"/>
        <v/>
      </c>
    </row>
    <row r="193" spans="39:57" ht="16.5" x14ac:dyDescent="0.2">
      <c r="AM193" s="13">
        <v>188</v>
      </c>
      <c r="AN193" s="14">
        <f t="shared" si="57"/>
        <v>12</v>
      </c>
      <c r="AO193" s="29">
        <f t="shared" si="41"/>
        <v>1.1400000000000001</v>
      </c>
      <c r="AP193" s="14">
        <f t="shared" si="42"/>
        <v>2</v>
      </c>
      <c r="AQ193" s="14">
        <f t="shared" si="43"/>
        <v>3</v>
      </c>
      <c r="AR193" s="14">
        <f t="shared" si="44"/>
        <v>0</v>
      </c>
      <c r="AS193" s="14">
        <f t="shared" si="45"/>
        <v>1606014</v>
      </c>
      <c r="AT193" s="14" t="str">
        <f t="shared" si="46"/>
        <v>神器-3-碎片-4-14级</v>
      </c>
      <c r="AU193" s="13" t="s">
        <v>1195</v>
      </c>
      <c r="AV193" s="13">
        <f t="shared" si="47"/>
        <v>14</v>
      </c>
      <c r="AW193" s="14">
        <f t="shared" si="48"/>
        <v>4558</v>
      </c>
      <c r="AX193" s="14" t="str">
        <f t="shared" si="49"/>
        <v>DefExt</v>
      </c>
      <c r="AY193" s="14">
        <f t="shared" si="50"/>
        <v>379</v>
      </c>
      <c r="AZ193" s="14" t="str">
        <f t="shared" si="51"/>
        <v>HPExt</v>
      </c>
      <c r="BA193" s="14">
        <f t="shared" si="52"/>
        <v>768</v>
      </c>
      <c r="BB193" s="14" t="str">
        <f t="shared" si="53"/>
        <v/>
      </c>
      <c r="BC193" s="14" t="str">
        <f t="shared" si="54"/>
        <v/>
      </c>
      <c r="BD193" s="14" t="str">
        <f t="shared" si="55"/>
        <v/>
      </c>
      <c r="BE193" s="14" t="str">
        <f t="shared" si="56"/>
        <v/>
      </c>
    </row>
    <row r="194" spans="39:57" ht="16.5" x14ac:dyDescent="0.2">
      <c r="AM194" s="13">
        <v>189</v>
      </c>
      <c r="AN194" s="14">
        <f t="shared" si="57"/>
        <v>12</v>
      </c>
      <c r="AO194" s="29">
        <f t="shared" si="41"/>
        <v>1.248</v>
      </c>
      <c r="AP194" s="14">
        <f t="shared" si="42"/>
        <v>2</v>
      </c>
      <c r="AQ194" s="14">
        <f t="shared" si="43"/>
        <v>3</v>
      </c>
      <c r="AR194" s="14">
        <f t="shared" si="44"/>
        <v>0</v>
      </c>
      <c r="AS194" s="14">
        <f t="shared" si="45"/>
        <v>1606014</v>
      </c>
      <c r="AT194" s="14" t="str">
        <f t="shared" si="46"/>
        <v>神器-3-碎片-4-15级</v>
      </c>
      <c r="AU194" s="13" t="s">
        <v>1195</v>
      </c>
      <c r="AV194" s="13">
        <f t="shared" si="47"/>
        <v>15</v>
      </c>
      <c r="AW194" s="14">
        <f t="shared" si="48"/>
        <v>4991</v>
      </c>
      <c r="AX194" s="14" t="str">
        <f t="shared" si="49"/>
        <v>DefExt</v>
      </c>
      <c r="AY194" s="14">
        <f t="shared" si="50"/>
        <v>415</v>
      </c>
      <c r="AZ194" s="14" t="str">
        <f t="shared" si="51"/>
        <v>HPExt</v>
      </c>
      <c r="BA194" s="14">
        <f t="shared" si="52"/>
        <v>841</v>
      </c>
      <c r="BB194" s="14" t="str">
        <f t="shared" si="53"/>
        <v/>
      </c>
      <c r="BC194" s="14" t="str">
        <f t="shared" si="54"/>
        <v/>
      </c>
      <c r="BD194" s="14" t="str">
        <f t="shared" si="55"/>
        <v/>
      </c>
      <c r="BE194" s="14" t="str">
        <f t="shared" si="56"/>
        <v/>
      </c>
    </row>
    <row r="195" spans="39:57" ht="16.5" x14ac:dyDescent="0.2">
      <c r="AM195" s="13">
        <v>190</v>
      </c>
      <c r="AN195" s="14">
        <f t="shared" si="57"/>
        <v>12</v>
      </c>
      <c r="AO195" s="29">
        <f t="shared" si="41"/>
        <v>1.36</v>
      </c>
      <c r="AP195" s="14">
        <f t="shared" si="42"/>
        <v>2</v>
      </c>
      <c r="AQ195" s="14">
        <f t="shared" si="43"/>
        <v>3</v>
      </c>
      <c r="AR195" s="14">
        <f t="shared" si="44"/>
        <v>0</v>
      </c>
      <c r="AS195" s="14">
        <f t="shared" si="45"/>
        <v>1606014</v>
      </c>
      <c r="AT195" s="14" t="str">
        <f t="shared" si="46"/>
        <v>神器-3-碎片-4-16级</v>
      </c>
      <c r="AU195" s="13" t="s">
        <v>1195</v>
      </c>
      <c r="AV195" s="13">
        <f t="shared" si="47"/>
        <v>16</v>
      </c>
      <c r="AW195" s="14">
        <f t="shared" si="48"/>
        <v>5436</v>
      </c>
      <c r="AX195" s="14" t="str">
        <f t="shared" si="49"/>
        <v>DefExt</v>
      </c>
      <c r="AY195" s="14">
        <f t="shared" si="50"/>
        <v>452</v>
      </c>
      <c r="AZ195" s="14" t="str">
        <f t="shared" si="51"/>
        <v>HPExt</v>
      </c>
      <c r="BA195" s="14">
        <f t="shared" si="52"/>
        <v>916</v>
      </c>
      <c r="BB195" s="14" t="str">
        <f t="shared" si="53"/>
        <v/>
      </c>
      <c r="BC195" s="14" t="str">
        <f t="shared" si="54"/>
        <v/>
      </c>
      <c r="BD195" s="14" t="str">
        <f t="shared" si="55"/>
        <v/>
      </c>
      <c r="BE195" s="14" t="str">
        <f t="shared" si="56"/>
        <v/>
      </c>
    </row>
    <row r="196" spans="39:57" ht="16.5" x14ac:dyDescent="0.2">
      <c r="AM196" s="13">
        <v>191</v>
      </c>
      <c r="AN196" s="14">
        <f t="shared" si="57"/>
        <v>12</v>
      </c>
      <c r="AO196" s="29">
        <f t="shared" si="41"/>
        <v>1.476</v>
      </c>
      <c r="AP196" s="14">
        <f t="shared" si="42"/>
        <v>2</v>
      </c>
      <c r="AQ196" s="14">
        <f t="shared" si="43"/>
        <v>3</v>
      </c>
      <c r="AR196" s="14">
        <f t="shared" si="44"/>
        <v>0</v>
      </c>
      <c r="AS196" s="14">
        <f t="shared" si="45"/>
        <v>1606014</v>
      </c>
      <c r="AT196" s="14" t="str">
        <f t="shared" si="46"/>
        <v>神器-3-碎片-4-17级</v>
      </c>
      <c r="AU196" s="13" t="s">
        <v>1195</v>
      </c>
      <c r="AV196" s="13">
        <f t="shared" si="47"/>
        <v>17</v>
      </c>
      <c r="AW196" s="14">
        <f t="shared" si="48"/>
        <v>5904</v>
      </c>
      <c r="AX196" s="14" t="str">
        <f t="shared" si="49"/>
        <v>DefExt</v>
      </c>
      <c r="AY196" s="14">
        <f t="shared" si="50"/>
        <v>491</v>
      </c>
      <c r="AZ196" s="14" t="str">
        <f t="shared" si="51"/>
        <v>HPExt</v>
      </c>
      <c r="BA196" s="14">
        <f t="shared" si="52"/>
        <v>994</v>
      </c>
      <c r="BB196" s="14" t="str">
        <f t="shared" si="53"/>
        <v/>
      </c>
      <c r="BC196" s="14" t="str">
        <f t="shared" si="54"/>
        <v/>
      </c>
      <c r="BD196" s="14" t="str">
        <f t="shared" si="55"/>
        <v/>
      </c>
      <c r="BE196" s="14" t="str">
        <f t="shared" si="56"/>
        <v/>
      </c>
    </row>
    <row r="197" spans="39:57" ht="16.5" x14ac:dyDescent="0.2">
      <c r="AM197" s="13">
        <v>192</v>
      </c>
      <c r="AN197" s="14">
        <f t="shared" si="57"/>
        <v>12</v>
      </c>
      <c r="AO197" s="29">
        <f t="shared" si="41"/>
        <v>1.5960000000000001</v>
      </c>
      <c r="AP197" s="14">
        <f t="shared" si="42"/>
        <v>2</v>
      </c>
      <c r="AQ197" s="14">
        <f t="shared" si="43"/>
        <v>3</v>
      </c>
      <c r="AR197" s="14">
        <f t="shared" si="44"/>
        <v>0</v>
      </c>
      <c r="AS197" s="14">
        <f t="shared" si="45"/>
        <v>1606014</v>
      </c>
      <c r="AT197" s="14" t="str">
        <f t="shared" si="46"/>
        <v>神器-3-碎片-4-18级</v>
      </c>
      <c r="AU197" s="13" t="s">
        <v>1195</v>
      </c>
      <c r="AV197" s="13">
        <f t="shared" si="47"/>
        <v>18</v>
      </c>
      <c r="AW197" s="14">
        <f t="shared" si="48"/>
        <v>6385</v>
      </c>
      <c r="AX197" s="14" t="str">
        <f t="shared" si="49"/>
        <v>DefExt</v>
      </c>
      <c r="AY197" s="14">
        <f t="shared" si="50"/>
        <v>531</v>
      </c>
      <c r="AZ197" s="14" t="str">
        <f t="shared" si="51"/>
        <v>HPExt</v>
      </c>
      <c r="BA197" s="14">
        <f t="shared" si="52"/>
        <v>1075</v>
      </c>
      <c r="BB197" s="14" t="str">
        <f t="shared" si="53"/>
        <v/>
      </c>
      <c r="BC197" s="14" t="str">
        <f t="shared" si="54"/>
        <v/>
      </c>
      <c r="BD197" s="14" t="str">
        <f t="shared" si="55"/>
        <v/>
      </c>
      <c r="BE197" s="14" t="str">
        <f t="shared" si="56"/>
        <v/>
      </c>
    </row>
    <row r="198" spans="39:57" ht="16.5" x14ac:dyDescent="0.2">
      <c r="AM198" s="13">
        <v>193</v>
      </c>
      <c r="AN198" s="14">
        <f t="shared" si="57"/>
        <v>13</v>
      </c>
      <c r="AO198" s="29">
        <f t="shared" ref="AO198:AO261" si="58">4.8%+AV198*5%+AV198*AV198*0.2%</f>
        <v>0.1</v>
      </c>
      <c r="AP198" s="14">
        <f t="shared" ref="AP198:AP261" si="59">INDEX(AD$7:AD$48,$AN198)</f>
        <v>1</v>
      </c>
      <c r="AQ198" s="14">
        <f t="shared" ref="AQ198:AQ261" si="60">INDEX(AE$7:AE$48,$AN198)</f>
        <v>3</v>
      </c>
      <c r="AR198" s="14">
        <f t="shared" ref="AR198:AR261" si="61">INDEX(AF$7:AF$48,$AN198)</f>
        <v>0</v>
      </c>
      <c r="AS198" s="14">
        <f t="shared" ref="AS198:AS261" si="62">INDEX($W$7:$W$48,AN198)</f>
        <v>1606015</v>
      </c>
      <c r="AT198" s="14" t="str">
        <f t="shared" ref="AT198:AT261" si="63">"神器-"&amp;INDEX($S$7:$S$48,AN198)&amp;"-碎片-"&amp;INDEX($T$7:$T$48,AN198)&amp;"-"&amp;AV198&amp;"级"</f>
        <v>神器-3-碎片-5-1级</v>
      </c>
      <c r="AU198" s="13" t="s">
        <v>1195</v>
      </c>
      <c r="AV198" s="13">
        <f t="shared" ref="AV198:AV261" si="64">AM198-INDEX($AI$6:$AI$48,AN198)</f>
        <v>1</v>
      </c>
      <c r="AW198" s="14">
        <f t="shared" ref="AW198:AW261" si="65">AY198*INDEX($AP$2:$AR$2,AP198)+IF(AQ198&gt;0,BA198*INDEX($AP$2:$AR$2,AQ198),0)+IF(AR198&gt;0,BC198*INDEX($AP$2:$AR$2,AR198),0)+IF(BD198="Speed",BE198*100,0)</f>
        <v>305</v>
      </c>
      <c r="AX198" s="14" t="str">
        <f t="shared" ref="AX198:AX261" si="66">INDEX($AP$3:$AR$3,AP198)</f>
        <v>AtkExt</v>
      </c>
      <c r="AY198" s="14">
        <f t="shared" ref="AY198:AY261" si="67">ROUND(INDEX($X$7:$Z$48,AN198,AP198)*AO198,0)</f>
        <v>43</v>
      </c>
      <c r="AZ198" s="14" t="str">
        <f t="shared" ref="AZ198:AZ261" si="68">IF(AQ198&gt;0,INDEX($AP$3:$AR$3,AQ198),"")</f>
        <v>HPExt</v>
      </c>
      <c r="BA198" s="14">
        <f t="shared" ref="BA198:BA261" si="69">IF(AQ198&gt;0,ROUND(INDEX($X$7:$Z$48,AN198,AQ198)*AO198,0),"")</f>
        <v>90</v>
      </c>
      <c r="BB198" s="14" t="str">
        <f t="shared" ref="BB198:BB261" si="70">IF(AR198&gt;0,INDEX($AP$3:$AR$3,AR198),"")</f>
        <v/>
      </c>
      <c r="BC198" s="14" t="str">
        <f t="shared" ref="BC198:BC261" si="71">IF(AR198&gt;0,ROUND(INDEX($X$7:$Z$48,AN198,AR198)*AO198,0),"")</f>
        <v/>
      </c>
      <c r="BD198" s="14" t="str">
        <f t="shared" ref="BD198:BD261" si="72">IF(INDEX($AG$7:$AG$48,AN198)&gt;0,"Speed","")</f>
        <v/>
      </c>
      <c r="BE198" s="14" t="str">
        <f t="shared" ref="BE198:BE261" si="73">IF(INDEX($AG$7:$AG$48,AN198)&gt;0,INDEX($AG$7:$AG$48,AN198)*AV198,"")</f>
        <v/>
      </c>
    </row>
    <row r="199" spans="39:57" ht="16.5" x14ac:dyDescent="0.2">
      <c r="AM199" s="13">
        <v>194</v>
      </c>
      <c r="AN199" s="14">
        <f t="shared" ref="AN199:AN262" si="74">MATCH(AM199-1,$AI$6:$AI$48,1)</f>
        <v>13</v>
      </c>
      <c r="AO199" s="29">
        <f t="shared" si="58"/>
        <v>0.15600000000000003</v>
      </c>
      <c r="AP199" s="14">
        <f t="shared" si="59"/>
        <v>1</v>
      </c>
      <c r="AQ199" s="14">
        <f t="shared" si="60"/>
        <v>3</v>
      </c>
      <c r="AR199" s="14">
        <f t="shared" si="61"/>
        <v>0</v>
      </c>
      <c r="AS199" s="14">
        <f t="shared" si="62"/>
        <v>1606015</v>
      </c>
      <c r="AT199" s="14" t="str">
        <f t="shared" si="63"/>
        <v>神器-3-碎片-5-2级</v>
      </c>
      <c r="AU199" s="13" t="s">
        <v>1195</v>
      </c>
      <c r="AV199" s="13">
        <f t="shared" si="64"/>
        <v>2</v>
      </c>
      <c r="AW199" s="14">
        <f t="shared" si="65"/>
        <v>475</v>
      </c>
      <c r="AX199" s="14" t="str">
        <f t="shared" si="66"/>
        <v>AtkExt</v>
      </c>
      <c r="AY199" s="14">
        <f t="shared" si="67"/>
        <v>67</v>
      </c>
      <c r="AZ199" s="14" t="str">
        <f t="shared" si="68"/>
        <v>HPExt</v>
      </c>
      <c r="BA199" s="14">
        <f t="shared" si="69"/>
        <v>140</v>
      </c>
      <c r="BB199" s="14" t="str">
        <f t="shared" si="70"/>
        <v/>
      </c>
      <c r="BC199" s="14" t="str">
        <f t="shared" si="71"/>
        <v/>
      </c>
      <c r="BD199" s="14" t="str">
        <f t="shared" si="72"/>
        <v/>
      </c>
      <c r="BE199" s="14" t="str">
        <f t="shared" si="73"/>
        <v/>
      </c>
    </row>
    <row r="200" spans="39:57" ht="16.5" x14ac:dyDescent="0.2">
      <c r="AM200" s="13">
        <v>195</v>
      </c>
      <c r="AN200" s="14">
        <f t="shared" si="74"/>
        <v>13</v>
      </c>
      <c r="AO200" s="29">
        <f t="shared" si="58"/>
        <v>0.21600000000000003</v>
      </c>
      <c r="AP200" s="14">
        <f t="shared" si="59"/>
        <v>1</v>
      </c>
      <c r="AQ200" s="14">
        <f t="shared" si="60"/>
        <v>3</v>
      </c>
      <c r="AR200" s="14">
        <f t="shared" si="61"/>
        <v>0</v>
      </c>
      <c r="AS200" s="14">
        <f t="shared" si="62"/>
        <v>1606015</v>
      </c>
      <c r="AT200" s="14" t="str">
        <f t="shared" si="63"/>
        <v>神器-3-碎片-5-3级</v>
      </c>
      <c r="AU200" s="13" t="s">
        <v>1195</v>
      </c>
      <c r="AV200" s="13">
        <f t="shared" si="64"/>
        <v>3</v>
      </c>
      <c r="AW200" s="14">
        <f t="shared" si="65"/>
        <v>659</v>
      </c>
      <c r="AX200" s="14" t="str">
        <f t="shared" si="66"/>
        <v>AtkExt</v>
      </c>
      <c r="AY200" s="14">
        <f t="shared" si="67"/>
        <v>93</v>
      </c>
      <c r="AZ200" s="14" t="str">
        <f t="shared" si="68"/>
        <v>HPExt</v>
      </c>
      <c r="BA200" s="14">
        <f t="shared" si="69"/>
        <v>194</v>
      </c>
      <c r="BB200" s="14" t="str">
        <f t="shared" si="70"/>
        <v/>
      </c>
      <c r="BC200" s="14" t="str">
        <f t="shared" si="71"/>
        <v/>
      </c>
      <c r="BD200" s="14" t="str">
        <f t="shared" si="72"/>
        <v/>
      </c>
      <c r="BE200" s="14" t="str">
        <f t="shared" si="73"/>
        <v/>
      </c>
    </row>
    <row r="201" spans="39:57" ht="16.5" x14ac:dyDescent="0.2">
      <c r="AM201" s="13">
        <v>196</v>
      </c>
      <c r="AN201" s="14">
        <f t="shared" si="74"/>
        <v>13</v>
      </c>
      <c r="AO201" s="29">
        <f t="shared" si="58"/>
        <v>0.28000000000000003</v>
      </c>
      <c r="AP201" s="14">
        <f t="shared" si="59"/>
        <v>1</v>
      </c>
      <c r="AQ201" s="14">
        <f t="shared" si="60"/>
        <v>3</v>
      </c>
      <c r="AR201" s="14">
        <f t="shared" si="61"/>
        <v>0</v>
      </c>
      <c r="AS201" s="14">
        <f t="shared" si="62"/>
        <v>1606015</v>
      </c>
      <c r="AT201" s="14" t="str">
        <f t="shared" si="63"/>
        <v>神器-3-碎片-5-4级</v>
      </c>
      <c r="AU201" s="13" t="s">
        <v>1195</v>
      </c>
      <c r="AV201" s="13">
        <f t="shared" si="64"/>
        <v>4</v>
      </c>
      <c r="AW201" s="14">
        <f t="shared" si="65"/>
        <v>857</v>
      </c>
      <c r="AX201" s="14" t="str">
        <f t="shared" si="66"/>
        <v>AtkExt</v>
      </c>
      <c r="AY201" s="14">
        <f t="shared" si="67"/>
        <v>121</v>
      </c>
      <c r="AZ201" s="14" t="str">
        <f t="shared" si="68"/>
        <v>HPExt</v>
      </c>
      <c r="BA201" s="14">
        <f t="shared" si="69"/>
        <v>252</v>
      </c>
      <c r="BB201" s="14" t="str">
        <f t="shared" si="70"/>
        <v/>
      </c>
      <c r="BC201" s="14" t="str">
        <f t="shared" si="71"/>
        <v/>
      </c>
      <c r="BD201" s="14" t="str">
        <f t="shared" si="72"/>
        <v/>
      </c>
      <c r="BE201" s="14" t="str">
        <f t="shared" si="73"/>
        <v/>
      </c>
    </row>
    <row r="202" spans="39:57" ht="16.5" x14ac:dyDescent="0.2">
      <c r="AM202" s="13">
        <v>197</v>
      </c>
      <c r="AN202" s="14">
        <f t="shared" si="74"/>
        <v>13</v>
      </c>
      <c r="AO202" s="29">
        <f t="shared" si="58"/>
        <v>0.34799999999999998</v>
      </c>
      <c r="AP202" s="14">
        <f t="shared" si="59"/>
        <v>1</v>
      </c>
      <c r="AQ202" s="14">
        <f t="shared" si="60"/>
        <v>3</v>
      </c>
      <c r="AR202" s="14">
        <f t="shared" si="61"/>
        <v>0</v>
      </c>
      <c r="AS202" s="14">
        <f t="shared" si="62"/>
        <v>1606015</v>
      </c>
      <c r="AT202" s="14" t="str">
        <f t="shared" si="63"/>
        <v>神器-3-碎片-5-5级</v>
      </c>
      <c r="AU202" s="13" t="s">
        <v>1195</v>
      </c>
      <c r="AV202" s="13">
        <f t="shared" si="64"/>
        <v>5</v>
      </c>
      <c r="AW202" s="14">
        <f t="shared" si="65"/>
        <v>1063</v>
      </c>
      <c r="AX202" s="14" t="str">
        <f t="shared" si="66"/>
        <v>AtkExt</v>
      </c>
      <c r="AY202" s="14">
        <f t="shared" si="67"/>
        <v>150</v>
      </c>
      <c r="AZ202" s="14" t="str">
        <f t="shared" si="68"/>
        <v>HPExt</v>
      </c>
      <c r="BA202" s="14">
        <f t="shared" si="69"/>
        <v>313</v>
      </c>
      <c r="BB202" s="14" t="str">
        <f t="shared" si="70"/>
        <v/>
      </c>
      <c r="BC202" s="14" t="str">
        <f t="shared" si="71"/>
        <v/>
      </c>
      <c r="BD202" s="14" t="str">
        <f t="shared" si="72"/>
        <v/>
      </c>
      <c r="BE202" s="14" t="str">
        <f t="shared" si="73"/>
        <v/>
      </c>
    </row>
    <row r="203" spans="39:57" ht="16.5" x14ac:dyDescent="0.2">
      <c r="AM203" s="13">
        <v>198</v>
      </c>
      <c r="AN203" s="14">
        <f t="shared" si="74"/>
        <v>13</v>
      </c>
      <c r="AO203" s="29">
        <f t="shared" si="58"/>
        <v>0.42000000000000004</v>
      </c>
      <c r="AP203" s="14">
        <f t="shared" si="59"/>
        <v>1</v>
      </c>
      <c r="AQ203" s="14">
        <f t="shared" si="60"/>
        <v>3</v>
      </c>
      <c r="AR203" s="14">
        <f t="shared" si="61"/>
        <v>0</v>
      </c>
      <c r="AS203" s="14">
        <f t="shared" si="62"/>
        <v>1606015</v>
      </c>
      <c r="AT203" s="14" t="str">
        <f t="shared" si="63"/>
        <v>神器-3-碎片-5-6级</v>
      </c>
      <c r="AU203" s="13" t="s">
        <v>1195</v>
      </c>
      <c r="AV203" s="13">
        <f t="shared" si="64"/>
        <v>6</v>
      </c>
      <c r="AW203" s="14">
        <f t="shared" si="65"/>
        <v>1282</v>
      </c>
      <c r="AX203" s="14" t="str">
        <f t="shared" si="66"/>
        <v>AtkExt</v>
      </c>
      <c r="AY203" s="14">
        <f t="shared" si="67"/>
        <v>181</v>
      </c>
      <c r="AZ203" s="14" t="str">
        <f t="shared" si="68"/>
        <v>HPExt</v>
      </c>
      <c r="BA203" s="14">
        <f t="shared" si="69"/>
        <v>377</v>
      </c>
      <c r="BB203" s="14" t="str">
        <f t="shared" si="70"/>
        <v/>
      </c>
      <c r="BC203" s="14" t="str">
        <f t="shared" si="71"/>
        <v/>
      </c>
      <c r="BD203" s="14" t="str">
        <f t="shared" si="72"/>
        <v/>
      </c>
      <c r="BE203" s="14" t="str">
        <f t="shared" si="73"/>
        <v/>
      </c>
    </row>
    <row r="204" spans="39:57" ht="16.5" x14ac:dyDescent="0.2">
      <c r="AM204" s="13">
        <v>199</v>
      </c>
      <c r="AN204" s="14">
        <f t="shared" si="74"/>
        <v>13</v>
      </c>
      <c r="AO204" s="29">
        <f t="shared" si="58"/>
        <v>0.496</v>
      </c>
      <c r="AP204" s="14">
        <f t="shared" si="59"/>
        <v>1</v>
      </c>
      <c r="AQ204" s="14">
        <f t="shared" si="60"/>
        <v>3</v>
      </c>
      <c r="AR204" s="14">
        <f t="shared" si="61"/>
        <v>0</v>
      </c>
      <c r="AS204" s="14">
        <f t="shared" si="62"/>
        <v>1606015</v>
      </c>
      <c r="AT204" s="14" t="str">
        <f t="shared" si="63"/>
        <v>神器-3-碎片-5-7级</v>
      </c>
      <c r="AU204" s="13" t="s">
        <v>1195</v>
      </c>
      <c r="AV204" s="13">
        <f t="shared" si="64"/>
        <v>7</v>
      </c>
      <c r="AW204" s="14">
        <f t="shared" si="65"/>
        <v>1516</v>
      </c>
      <c r="AX204" s="14" t="str">
        <f t="shared" si="66"/>
        <v>AtkExt</v>
      </c>
      <c r="AY204" s="14">
        <f t="shared" si="67"/>
        <v>214</v>
      </c>
      <c r="AZ204" s="14" t="str">
        <f t="shared" si="68"/>
        <v>HPExt</v>
      </c>
      <c r="BA204" s="14">
        <f t="shared" si="69"/>
        <v>446</v>
      </c>
      <c r="BB204" s="14" t="str">
        <f t="shared" si="70"/>
        <v/>
      </c>
      <c r="BC204" s="14" t="str">
        <f t="shared" si="71"/>
        <v/>
      </c>
      <c r="BD204" s="14" t="str">
        <f t="shared" si="72"/>
        <v/>
      </c>
      <c r="BE204" s="14" t="str">
        <f t="shared" si="73"/>
        <v/>
      </c>
    </row>
    <row r="205" spans="39:57" ht="16.5" x14ac:dyDescent="0.2">
      <c r="AM205" s="13">
        <v>200</v>
      </c>
      <c r="AN205" s="14">
        <f t="shared" si="74"/>
        <v>13</v>
      </c>
      <c r="AO205" s="29">
        <f t="shared" si="58"/>
        <v>0.57600000000000007</v>
      </c>
      <c r="AP205" s="14">
        <f t="shared" si="59"/>
        <v>1</v>
      </c>
      <c r="AQ205" s="14">
        <f t="shared" si="60"/>
        <v>3</v>
      </c>
      <c r="AR205" s="14">
        <f t="shared" si="61"/>
        <v>0</v>
      </c>
      <c r="AS205" s="14">
        <f t="shared" si="62"/>
        <v>1606015</v>
      </c>
      <c r="AT205" s="14" t="str">
        <f t="shared" si="63"/>
        <v>神器-3-碎片-5-8级</v>
      </c>
      <c r="AU205" s="13" t="s">
        <v>1195</v>
      </c>
      <c r="AV205" s="13">
        <f t="shared" si="64"/>
        <v>8</v>
      </c>
      <c r="AW205" s="14">
        <f t="shared" si="65"/>
        <v>1757</v>
      </c>
      <c r="AX205" s="14" t="str">
        <f t="shared" si="66"/>
        <v>AtkExt</v>
      </c>
      <c r="AY205" s="14">
        <f t="shared" si="67"/>
        <v>248</v>
      </c>
      <c r="AZ205" s="14" t="str">
        <f t="shared" si="68"/>
        <v>HPExt</v>
      </c>
      <c r="BA205" s="14">
        <f t="shared" si="69"/>
        <v>517</v>
      </c>
      <c r="BB205" s="14" t="str">
        <f t="shared" si="70"/>
        <v/>
      </c>
      <c r="BC205" s="14" t="str">
        <f t="shared" si="71"/>
        <v/>
      </c>
      <c r="BD205" s="14" t="str">
        <f t="shared" si="72"/>
        <v/>
      </c>
      <c r="BE205" s="14" t="str">
        <f t="shared" si="73"/>
        <v/>
      </c>
    </row>
    <row r="206" spans="39:57" ht="16.5" x14ac:dyDescent="0.2">
      <c r="AM206" s="13">
        <v>201</v>
      </c>
      <c r="AN206" s="14">
        <f t="shared" si="74"/>
        <v>13</v>
      </c>
      <c r="AO206" s="29">
        <f t="shared" si="58"/>
        <v>0.66</v>
      </c>
      <c r="AP206" s="14">
        <f t="shared" si="59"/>
        <v>1</v>
      </c>
      <c r="AQ206" s="14">
        <f t="shared" si="60"/>
        <v>3</v>
      </c>
      <c r="AR206" s="14">
        <f t="shared" si="61"/>
        <v>0</v>
      </c>
      <c r="AS206" s="14">
        <f t="shared" si="62"/>
        <v>1606015</v>
      </c>
      <c r="AT206" s="14" t="str">
        <f t="shared" si="63"/>
        <v>神器-3-碎片-5-9级</v>
      </c>
      <c r="AU206" s="13" t="s">
        <v>1195</v>
      </c>
      <c r="AV206" s="13">
        <f t="shared" si="64"/>
        <v>9</v>
      </c>
      <c r="AW206" s="14">
        <f t="shared" si="65"/>
        <v>2018</v>
      </c>
      <c r="AX206" s="14" t="str">
        <f t="shared" si="66"/>
        <v>AtkExt</v>
      </c>
      <c r="AY206" s="14">
        <f t="shared" si="67"/>
        <v>285</v>
      </c>
      <c r="AZ206" s="14" t="str">
        <f t="shared" si="68"/>
        <v>HPExt</v>
      </c>
      <c r="BA206" s="14">
        <f t="shared" si="69"/>
        <v>593</v>
      </c>
      <c r="BB206" s="14" t="str">
        <f t="shared" si="70"/>
        <v/>
      </c>
      <c r="BC206" s="14" t="str">
        <f t="shared" si="71"/>
        <v/>
      </c>
      <c r="BD206" s="14" t="str">
        <f t="shared" si="72"/>
        <v/>
      </c>
      <c r="BE206" s="14" t="str">
        <f t="shared" si="73"/>
        <v/>
      </c>
    </row>
    <row r="207" spans="39:57" ht="16.5" x14ac:dyDescent="0.2">
      <c r="AM207" s="13">
        <v>202</v>
      </c>
      <c r="AN207" s="14">
        <f t="shared" si="74"/>
        <v>13</v>
      </c>
      <c r="AO207" s="29">
        <f t="shared" si="58"/>
        <v>0.748</v>
      </c>
      <c r="AP207" s="14">
        <f t="shared" si="59"/>
        <v>1</v>
      </c>
      <c r="AQ207" s="14">
        <f t="shared" si="60"/>
        <v>3</v>
      </c>
      <c r="AR207" s="14">
        <f t="shared" si="61"/>
        <v>0</v>
      </c>
      <c r="AS207" s="14">
        <f t="shared" si="62"/>
        <v>1606015</v>
      </c>
      <c r="AT207" s="14" t="str">
        <f t="shared" si="63"/>
        <v>神器-3-碎片-5-10级</v>
      </c>
      <c r="AU207" s="13" t="s">
        <v>1195</v>
      </c>
      <c r="AV207" s="13">
        <f t="shared" si="64"/>
        <v>10</v>
      </c>
      <c r="AW207" s="14">
        <f t="shared" si="65"/>
        <v>2287</v>
      </c>
      <c r="AX207" s="14" t="str">
        <f t="shared" si="66"/>
        <v>AtkExt</v>
      </c>
      <c r="AY207" s="14">
        <f t="shared" si="67"/>
        <v>323</v>
      </c>
      <c r="AZ207" s="14" t="str">
        <f t="shared" si="68"/>
        <v>HPExt</v>
      </c>
      <c r="BA207" s="14">
        <f t="shared" si="69"/>
        <v>672</v>
      </c>
      <c r="BB207" s="14" t="str">
        <f t="shared" si="70"/>
        <v/>
      </c>
      <c r="BC207" s="14" t="str">
        <f t="shared" si="71"/>
        <v/>
      </c>
      <c r="BD207" s="14" t="str">
        <f t="shared" si="72"/>
        <v/>
      </c>
      <c r="BE207" s="14" t="str">
        <f t="shared" si="73"/>
        <v/>
      </c>
    </row>
    <row r="208" spans="39:57" ht="16.5" x14ac:dyDescent="0.2">
      <c r="AM208" s="13">
        <v>203</v>
      </c>
      <c r="AN208" s="14">
        <f t="shared" si="74"/>
        <v>13</v>
      </c>
      <c r="AO208" s="29">
        <f t="shared" si="58"/>
        <v>0.84000000000000008</v>
      </c>
      <c r="AP208" s="14">
        <f t="shared" si="59"/>
        <v>1</v>
      </c>
      <c r="AQ208" s="14">
        <f t="shared" si="60"/>
        <v>3</v>
      </c>
      <c r="AR208" s="14">
        <f t="shared" si="61"/>
        <v>0</v>
      </c>
      <c r="AS208" s="14">
        <f t="shared" si="62"/>
        <v>1606015</v>
      </c>
      <c r="AT208" s="14" t="str">
        <f t="shared" si="63"/>
        <v>神器-3-碎片-5-11级</v>
      </c>
      <c r="AU208" s="13" t="s">
        <v>1195</v>
      </c>
      <c r="AV208" s="13">
        <f t="shared" si="64"/>
        <v>11</v>
      </c>
      <c r="AW208" s="14">
        <f t="shared" si="65"/>
        <v>2565</v>
      </c>
      <c r="AX208" s="14" t="str">
        <f t="shared" si="66"/>
        <v>AtkExt</v>
      </c>
      <c r="AY208" s="14">
        <f t="shared" si="67"/>
        <v>362</v>
      </c>
      <c r="AZ208" s="14" t="str">
        <f t="shared" si="68"/>
        <v>HPExt</v>
      </c>
      <c r="BA208" s="14">
        <f t="shared" si="69"/>
        <v>755</v>
      </c>
      <c r="BB208" s="14" t="str">
        <f t="shared" si="70"/>
        <v/>
      </c>
      <c r="BC208" s="14" t="str">
        <f t="shared" si="71"/>
        <v/>
      </c>
      <c r="BD208" s="14" t="str">
        <f t="shared" si="72"/>
        <v/>
      </c>
      <c r="BE208" s="14" t="str">
        <f t="shared" si="73"/>
        <v/>
      </c>
    </row>
    <row r="209" spans="39:57" ht="16.5" x14ac:dyDescent="0.2">
      <c r="AM209" s="13">
        <v>204</v>
      </c>
      <c r="AN209" s="14">
        <f t="shared" si="74"/>
        <v>13</v>
      </c>
      <c r="AO209" s="29">
        <f t="shared" si="58"/>
        <v>0.93600000000000017</v>
      </c>
      <c r="AP209" s="14">
        <f t="shared" si="59"/>
        <v>1</v>
      </c>
      <c r="AQ209" s="14">
        <f t="shared" si="60"/>
        <v>3</v>
      </c>
      <c r="AR209" s="14">
        <f t="shared" si="61"/>
        <v>0</v>
      </c>
      <c r="AS209" s="14">
        <f t="shared" si="62"/>
        <v>1606015</v>
      </c>
      <c r="AT209" s="14" t="str">
        <f t="shared" si="63"/>
        <v>神器-3-碎片-5-12级</v>
      </c>
      <c r="AU209" s="13" t="s">
        <v>1195</v>
      </c>
      <c r="AV209" s="13">
        <f t="shared" si="64"/>
        <v>12</v>
      </c>
      <c r="AW209" s="14">
        <f t="shared" si="65"/>
        <v>2861</v>
      </c>
      <c r="AX209" s="14" t="str">
        <f t="shared" si="66"/>
        <v>AtkExt</v>
      </c>
      <c r="AY209" s="14">
        <f t="shared" si="67"/>
        <v>404</v>
      </c>
      <c r="AZ209" s="14" t="str">
        <f t="shared" si="68"/>
        <v>HPExt</v>
      </c>
      <c r="BA209" s="14">
        <f t="shared" si="69"/>
        <v>841</v>
      </c>
      <c r="BB209" s="14" t="str">
        <f t="shared" si="70"/>
        <v/>
      </c>
      <c r="BC209" s="14" t="str">
        <f t="shared" si="71"/>
        <v/>
      </c>
      <c r="BD209" s="14" t="str">
        <f t="shared" si="72"/>
        <v/>
      </c>
      <c r="BE209" s="14" t="str">
        <f t="shared" si="73"/>
        <v/>
      </c>
    </row>
    <row r="210" spans="39:57" ht="16.5" x14ac:dyDescent="0.2">
      <c r="AM210" s="13">
        <v>205</v>
      </c>
      <c r="AN210" s="14">
        <f t="shared" si="74"/>
        <v>13</v>
      </c>
      <c r="AO210" s="29">
        <f t="shared" si="58"/>
        <v>1.036</v>
      </c>
      <c r="AP210" s="14">
        <f t="shared" si="59"/>
        <v>1</v>
      </c>
      <c r="AQ210" s="14">
        <f t="shared" si="60"/>
        <v>3</v>
      </c>
      <c r="AR210" s="14">
        <f t="shared" si="61"/>
        <v>0</v>
      </c>
      <c r="AS210" s="14">
        <f t="shared" si="62"/>
        <v>1606015</v>
      </c>
      <c r="AT210" s="14" t="str">
        <f t="shared" si="63"/>
        <v>神器-3-碎片-5-13级</v>
      </c>
      <c r="AU210" s="13" t="s">
        <v>1195</v>
      </c>
      <c r="AV210" s="13">
        <f t="shared" si="64"/>
        <v>13</v>
      </c>
      <c r="AW210" s="14">
        <f t="shared" si="65"/>
        <v>3166</v>
      </c>
      <c r="AX210" s="14" t="str">
        <f t="shared" si="66"/>
        <v>AtkExt</v>
      </c>
      <c r="AY210" s="14">
        <f t="shared" si="67"/>
        <v>447</v>
      </c>
      <c r="AZ210" s="14" t="str">
        <f t="shared" si="68"/>
        <v>HPExt</v>
      </c>
      <c r="BA210" s="14">
        <f t="shared" si="69"/>
        <v>931</v>
      </c>
      <c r="BB210" s="14" t="str">
        <f t="shared" si="70"/>
        <v/>
      </c>
      <c r="BC210" s="14" t="str">
        <f t="shared" si="71"/>
        <v/>
      </c>
      <c r="BD210" s="14" t="str">
        <f t="shared" si="72"/>
        <v/>
      </c>
      <c r="BE210" s="14" t="str">
        <f t="shared" si="73"/>
        <v/>
      </c>
    </row>
    <row r="211" spans="39:57" ht="16.5" x14ac:dyDescent="0.2">
      <c r="AM211" s="13">
        <v>206</v>
      </c>
      <c r="AN211" s="14">
        <f t="shared" si="74"/>
        <v>13</v>
      </c>
      <c r="AO211" s="29">
        <f t="shared" si="58"/>
        <v>1.1400000000000001</v>
      </c>
      <c r="AP211" s="14">
        <f t="shared" si="59"/>
        <v>1</v>
      </c>
      <c r="AQ211" s="14">
        <f t="shared" si="60"/>
        <v>3</v>
      </c>
      <c r="AR211" s="14">
        <f t="shared" si="61"/>
        <v>0</v>
      </c>
      <c r="AS211" s="14">
        <f t="shared" si="62"/>
        <v>1606015</v>
      </c>
      <c r="AT211" s="14" t="str">
        <f t="shared" si="63"/>
        <v>神器-3-碎片-5-14级</v>
      </c>
      <c r="AU211" s="13" t="s">
        <v>1195</v>
      </c>
      <c r="AV211" s="13">
        <f t="shared" si="64"/>
        <v>14</v>
      </c>
      <c r="AW211" s="14">
        <f t="shared" si="65"/>
        <v>3484</v>
      </c>
      <c r="AX211" s="14" t="str">
        <f t="shared" si="66"/>
        <v>AtkExt</v>
      </c>
      <c r="AY211" s="14">
        <f t="shared" si="67"/>
        <v>492</v>
      </c>
      <c r="AZ211" s="14" t="str">
        <f t="shared" si="68"/>
        <v>HPExt</v>
      </c>
      <c r="BA211" s="14">
        <f t="shared" si="69"/>
        <v>1024</v>
      </c>
      <c r="BB211" s="14" t="str">
        <f t="shared" si="70"/>
        <v/>
      </c>
      <c r="BC211" s="14" t="str">
        <f t="shared" si="71"/>
        <v/>
      </c>
      <c r="BD211" s="14" t="str">
        <f t="shared" si="72"/>
        <v/>
      </c>
      <c r="BE211" s="14" t="str">
        <f t="shared" si="73"/>
        <v/>
      </c>
    </row>
    <row r="212" spans="39:57" ht="16.5" x14ac:dyDescent="0.2">
      <c r="AM212" s="13">
        <v>207</v>
      </c>
      <c r="AN212" s="14">
        <f t="shared" si="74"/>
        <v>13</v>
      </c>
      <c r="AO212" s="29">
        <f t="shared" si="58"/>
        <v>1.248</v>
      </c>
      <c r="AP212" s="14">
        <f t="shared" si="59"/>
        <v>1</v>
      </c>
      <c r="AQ212" s="14">
        <f t="shared" si="60"/>
        <v>3</v>
      </c>
      <c r="AR212" s="14">
        <f t="shared" si="61"/>
        <v>0</v>
      </c>
      <c r="AS212" s="14">
        <f t="shared" si="62"/>
        <v>1606015</v>
      </c>
      <c r="AT212" s="14" t="str">
        <f t="shared" si="63"/>
        <v>神器-3-碎片-5-15级</v>
      </c>
      <c r="AU212" s="13" t="s">
        <v>1195</v>
      </c>
      <c r="AV212" s="13">
        <f t="shared" si="64"/>
        <v>15</v>
      </c>
      <c r="AW212" s="14">
        <f t="shared" si="65"/>
        <v>3811</v>
      </c>
      <c r="AX212" s="14" t="str">
        <f t="shared" si="66"/>
        <v>AtkExt</v>
      </c>
      <c r="AY212" s="14">
        <f t="shared" si="67"/>
        <v>538</v>
      </c>
      <c r="AZ212" s="14" t="str">
        <f t="shared" si="68"/>
        <v>HPExt</v>
      </c>
      <c r="BA212" s="14">
        <f t="shared" si="69"/>
        <v>1121</v>
      </c>
      <c r="BB212" s="14" t="str">
        <f t="shared" si="70"/>
        <v/>
      </c>
      <c r="BC212" s="14" t="str">
        <f t="shared" si="71"/>
        <v/>
      </c>
      <c r="BD212" s="14" t="str">
        <f t="shared" si="72"/>
        <v/>
      </c>
      <c r="BE212" s="14" t="str">
        <f t="shared" si="73"/>
        <v/>
      </c>
    </row>
    <row r="213" spans="39:57" ht="16.5" x14ac:dyDescent="0.2">
      <c r="AM213" s="13">
        <v>208</v>
      </c>
      <c r="AN213" s="14">
        <f t="shared" si="74"/>
        <v>13</v>
      </c>
      <c r="AO213" s="29">
        <f t="shared" si="58"/>
        <v>1.36</v>
      </c>
      <c r="AP213" s="14">
        <f t="shared" si="59"/>
        <v>1</v>
      </c>
      <c r="AQ213" s="14">
        <f t="shared" si="60"/>
        <v>3</v>
      </c>
      <c r="AR213" s="14">
        <f t="shared" si="61"/>
        <v>0</v>
      </c>
      <c r="AS213" s="14">
        <f t="shared" si="62"/>
        <v>1606015</v>
      </c>
      <c r="AT213" s="14" t="str">
        <f t="shared" si="63"/>
        <v>神器-3-碎片-5-16级</v>
      </c>
      <c r="AU213" s="13" t="s">
        <v>1195</v>
      </c>
      <c r="AV213" s="13">
        <f t="shared" si="64"/>
        <v>16</v>
      </c>
      <c r="AW213" s="14">
        <f t="shared" si="65"/>
        <v>4157</v>
      </c>
      <c r="AX213" s="14" t="str">
        <f t="shared" si="66"/>
        <v>AtkExt</v>
      </c>
      <c r="AY213" s="14">
        <f t="shared" si="67"/>
        <v>587</v>
      </c>
      <c r="AZ213" s="14" t="str">
        <f t="shared" si="68"/>
        <v>HPExt</v>
      </c>
      <c r="BA213" s="14">
        <f t="shared" si="69"/>
        <v>1222</v>
      </c>
      <c r="BB213" s="14" t="str">
        <f t="shared" si="70"/>
        <v/>
      </c>
      <c r="BC213" s="14" t="str">
        <f t="shared" si="71"/>
        <v/>
      </c>
      <c r="BD213" s="14" t="str">
        <f t="shared" si="72"/>
        <v/>
      </c>
      <c r="BE213" s="14" t="str">
        <f t="shared" si="73"/>
        <v/>
      </c>
    </row>
    <row r="214" spans="39:57" ht="16.5" x14ac:dyDescent="0.2">
      <c r="AM214" s="13">
        <v>209</v>
      </c>
      <c r="AN214" s="14">
        <f t="shared" si="74"/>
        <v>13</v>
      </c>
      <c r="AO214" s="29">
        <f t="shared" si="58"/>
        <v>1.476</v>
      </c>
      <c r="AP214" s="14">
        <f t="shared" si="59"/>
        <v>1</v>
      </c>
      <c r="AQ214" s="14">
        <f t="shared" si="60"/>
        <v>3</v>
      </c>
      <c r="AR214" s="14">
        <f t="shared" si="61"/>
        <v>0</v>
      </c>
      <c r="AS214" s="14">
        <f t="shared" si="62"/>
        <v>1606015</v>
      </c>
      <c r="AT214" s="14" t="str">
        <f t="shared" si="63"/>
        <v>神器-3-碎片-5-17级</v>
      </c>
      <c r="AU214" s="13" t="s">
        <v>1195</v>
      </c>
      <c r="AV214" s="13">
        <f t="shared" si="64"/>
        <v>17</v>
      </c>
      <c r="AW214" s="14">
        <f t="shared" si="65"/>
        <v>4511</v>
      </c>
      <c r="AX214" s="14" t="str">
        <f t="shared" si="66"/>
        <v>AtkExt</v>
      </c>
      <c r="AY214" s="14">
        <f t="shared" si="67"/>
        <v>637</v>
      </c>
      <c r="AZ214" s="14" t="str">
        <f t="shared" si="68"/>
        <v>HPExt</v>
      </c>
      <c r="BA214" s="14">
        <f t="shared" si="69"/>
        <v>1326</v>
      </c>
      <c r="BB214" s="14" t="str">
        <f t="shared" si="70"/>
        <v/>
      </c>
      <c r="BC214" s="14" t="str">
        <f t="shared" si="71"/>
        <v/>
      </c>
      <c r="BD214" s="14" t="str">
        <f t="shared" si="72"/>
        <v/>
      </c>
      <c r="BE214" s="14" t="str">
        <f t="shared" si="73"/>
        <v/>
      </c>
    </row>
    <row r="215" spans="39:57" ht="16.5" x14ac:dyDescent="0.2">
      <c r="AM215" s="13">
        <v>210</v>
      </c>
      <c r="AN215" s="14">
        <f t="shared" si="74"/>
        <v>13</v>
      </c>
      <c r="AO215" s="29">
        <f t="shared" si="58"/>
        <v>1.5960000000000001</v>
      </c>
      <c r="AP215" s="14">
        <f t="shared" si="59"/>
        <v>1</v>
      </c>
      <c r="AQ215" s="14">
        <f t="shared" si="60"/>
        <v>3</v>
      </c>
      <c r="AR215" s="14">
        <f t="shared" si="61"/>
        <v>0</v>
      </c>
      <c r="AS215" s="14">
        <f t="shared" si="62"/>
        <v>1606015</v>
      </c>
      <c r="AT215" s="14" t="str">
        <f t="shared" si="63"/>
        <v>神器-3-碎片-5-18级</v>
      </c>
      <c r="AU215" s="13" t="s">
        <v>1195</v>
      </c>
      <c r="AV215" s="13">
        <f t="shared" si="64"/>
        <v>18</v>
      </c>
      <c r="AW215" s="14">
        <f t="shared" si="65"/>
        <v>4874</v>
      </c>
      <c r="AX215" s="14" t="str">
        <f t="shared" si="66"/>
        <v>AtkExt</v>
      </c>
      <c r="AY215" s="14">
        <f t="shared" si="67"/>
        <v>688</v>
      </c>
      <c r="AZ215" s="14" t="str">
        <f t="shared" si="68"/>
        <v>HPExt</v>
      </c>
      <c r="BA215" s="14">
        <f t="shared" si="69"/>
        <v>1434</v>
      </c>
      <c r="BB215" s="14" t="str">
        <f t="shared" si="70"/>
        <v/>
      </c>
      <c r="BC215" s="14" t="str">
        <f t="shared" si="71"/>
        <v/>
      </c>
      <c r="BD215" s="14" t="str">
        <f t="shared" si="72"/>
        <v/>
      </c>
      <c r="BE215" s="14" t="str">
        <f t="shared" si="73"/>
        <v/>
      </c>
    </row>
    <row r="216" spans="39:57" ht="16.5" x14ac:dyDescent="0.2">
      <c r="AM216" s="13">
        <v>211</v>
      </c>
      <c r="AN216" s="14">
        <f t="shared" si="74"/>
        <v>14</v>
      </c>
      <c r="AO216" s="29">
        <f t="shared" si="58"/>
        <v>0.1</v>
      </c>
      <c r="AP216" s="14">
        <f t="shared" si="59"/>
        <v>1</v>
      </c>
      <c r="AQ216" s="14">
        <f t="shared" si="60"/>
        <v>0</v>
      </c>
      <c r="AR216" s="14">
        <f t="shared" si="61"/>
        <v>0</v>
      </c>
      <c r="AS216" s="14">
        <f t="shared" si="62"/>
        <v>1606016</v>
      </c>
      <c r="AT216" s="14" t="str">
        <f t="shared" si="63"/>
        <v>神器-3-碎片-6-1级</v>
      </c>
      <c r="AU216" s="13" t="s">
        <v>1195</v>
      </c>
      <c r="AV216" s="13">
        <f t="shared" si="64"/>
        <v>1</v>
      </c>
      <c r="AW216" s="14">
        <f t="shared" si="65"/>
        <v>1170</v>
      </c>
      <c r="AX216" s="14" t="str">
        <f t="shared" si="66"/>
        <v>AtkExt</v>
      </c>
      <c r="AY216" s="14">
        <f t="shared" si="67"/>
        <v>194</v>
      </c>
      <c r="AZ216" s="14" t="str">
        <f t="shared" si="68"/>
        <v/>
      </c>
      <c r="BA216" s="14" t="str">
        <f t="shared" si="69"/>
        <v/>
      </c>
      <c r="BB216" s="14" t="str">
        <f t="shared" si="70"/>
        <v/>
      </c>
      <c r="BC216" s="14" t="str">
        <f t="shared" si="71"/>
        <v/>
      </c>
      <c r="BD216" s="14" t="str">
        <f t="shared" si="72"/>
        <v>Speed</v>
      </c>
      <c r="BE216" s="14">
        <f t="shared" si="73"/>
        <v>2</v>
      </c>
    </row>
    <row r="217" spans="39:57" ht="16.5" x14ac:dyDescent="0.2">
      <c r="AM217" s="13">
        <v>212</v>
      </c>
      <c r="AN217" s="14">
        <f t="shared" si="74"/>
        <v>14</v>
      </c>
      <c r="AO217" s="29">
        <f t="shared" si="58"/>
        <v>0.15600000000000003</v>
      </c>
      <c r="AP217" s="14">
        <f t="shared" si="59"/>
        <v>1</v>
      </c>
      <c r="AQ217" s="14">
        <f t="shared" si="60"/>
        <v>0</v>
      </c>
      <c r="AR217" s="14">
        <f t="shared" si="61"/>
        <v>0</v>
      </c>
      <c r="AS217" s="14">
        <f t="shared" si="62"/>
        <v>1606016</v>
      </c>
      <c r="AT217" s="14" t="str">
        <f t="shared" si="63"/>
        <v>神器-3-碎片-6-2级</v>
      </c>
      <c r="AU217" s="13" t="s">
        <v>1195</v>
      </c>
      <c r="AV217" s="13">
        <f t="shared" si="64"/>
        <v>2</v>
      </c>
      <c r="AW217" s="14">
        <f t="shared" si="65"/>
        <v>1915</v>
      </c>
      <c r="AX217" s="14" t="str">
        <f t="shared" si="66"/>
        <v>AtkExt</v>
      </c>
      <c r="AY217" s="14">
        <f t="shared" si="67"/>
        <v>303</v>
      </c>
      <c r="AZ217" s="14" t="str">
        <f t="shared" si="68"/>
        <v/>
      </c>
      <c r="BA217" s="14" t="str">
        <f t="shared" si="69"/>
        <v/>
      </c>
      <c r="BB217" s="14" t="str">
        <f t="shared" si="70"/>
        <v/>
      </c>
      <c r="BC217" s="14" t="str">
        <f t="shared" si="71"/>
        <v/>
      </c>
      <c r="BD217" s="14" t="str">
        <f t="shared" si="72"/>
        <v>Speed</v>
      </c>
      <c r="BE217" s="14">
        <f t="shared" si="73"/>
        <v>4</v>
      </c>
    </row>
    <row r="218" spans="39:57" ht="16.5" x14ac:dyDescent="0.2">
      <c r="AM218" s="13">
        <v>213</v>
      </c>
      <c r="AN218" s="14">
        <f t="shared" si="74"/>
        <v>14</v>
      </c>
      <c r="AO218" s="29">
        <f t="shared" si="58"/>
        <v>0.21600000000000003</v>
      </c>
      <c r="AP218" s="14">
        <f t="shared" si="59"/>
        <v>1</v>
      </c>
      <c r="AQ218" s="14">
        <f t="shared" si="60"/>
        <v>0</v>
      </c>
      <c r="AR218" s="14">
        <f t="shared" si="61"/>
        <v>0</v>
      </c>
      <c r="AS218" s="14">
        <f t="shared" si="62"/>
        <v>1606016</v>
      </c>
      <c r="AT218" s="14" t="str">
        <f t="shared" si="63"/>
        <v>神器-3-碎片-6-3级</v>
      </c>
      <c r="AU218" s="13" t="s">
        <v>1195</v>
      </c>
      <c r="AV218" s="13">
        <f t="shared" si="64"/>
        <v>3</v>
      </c>
      <c r="AW218" s="14">
        <f t="shared" si="65"/>
        <v>2695</v>
      </c>
      <c r="AX218" s="14" t="str">
        <f t="shared" si="66"/>
        <v>AtkExt</v>
      </c>
      <c r="AY218" s="14">
        <f t="shared" si="67"/>
        <v>419</v>
      </c>
      <c r="AZ218" s="14" t="str">
        <f t="shared" si="68"/>
        <v/>
      </c>
      <c r="BA218" s="14" t="str">
        <f t="shared" si="69"/>
        <v/>
      </c>
      <c r="BB218" s="14" t="str">
        <f t="shared" si="70"/>
        <v/>
      </c>
      <c r="BC218" s="14" t="str">
        <f t="shared" si="71"/>
        <v/>
      </c>
      <c r="BD218" s="14" t="str">
        <f t="shared" si="72"/>
        <v>Speed</v>
      </c>
      <c r="BE218" s="14">
        <f t="shared" si="73"/>
        <v>6</v>
      </c>
    </row>
    <row r="219" spans="39:57" ht="16.5" x14ac:dyDescent="0.2">
      <c r="AM219" s="13">
        <v>214</v>
      </c>
      <c r="AN219" s="14">
        <f t="shared" si="74"/>
        <v>14</v>
      </c>
      <c r="AO219" s="29">
        <f t="shared" si="58"/>
        <v>0.28000000000000003</v>
      </c>
      <c r="AP219" s="14">
        <f t="shared" si="59"/>
        <v>1</v>
      </c>
      <c r="AQ219" s="14">
        <f t="shared" si="60"/>
        <v>0</v>
      </c>
      <c r="AR219" s="14">
        <f t="shared" si="61"/>
        <v>0</v>
      </c>
      <c r="AS219" s="14">
        <f t="shared" si="62"/>
        <v>1606016</v>
      </c>
      <c r="AT219" s="14" t="str">
        <f t="shared" si="63"/>
        <v>神器-3-碎片-6-4级</v>
      </c>
      <c r="AU219" s="13" t="s">
        <v>1195</v>
      </c>
      <c r="AV219" s="13">
        <f t="shared" si="64"/>
        <v>4</v>
      </c>
      <c r="AW219" s="14">
        <f t="shared" si="65"/>
        <v>3515</v>
      </c>
      <c r="AX219" s="14" t="str">
        <f t="shared" si="66"/>
        <v>AtkExt</v>
      </c>
      <c r="AY219" s="14">
        <f t="shared" si="67"/>
        <v>543</v>
      </c>
      <c r="AZ219" s="14" t="str">
        <f t="shared" si="68"/>
        <v/>
      </c>
      <c r="BA219" s="14" t="str">
        <f t="shared" si="69"/>
        <v/>
      </c>
      <c r="BB219" s="14" t="str">
        <f t="shared" si="70"/>
        <v/>
      </c>
      <c r="BC219" s="14" t="str">
        <f t="shared" si="71"/>
        <v/>
      </c>
      <c r="BD219" s="14" t="str">
        <f t="shared" si="72"/>
        <v>Speed</v>
      </c>
      <c r="BE219" s="14">
        <f t="shared" si="73"/>
        <v>8</v>
      </c>
    </row>
    <row r="220" spans="39:57" ht="16.5" x14ac:dyDescent="0.2">
      <c r="AM220" s="13">
        <v>215</v>
      </c>
      <c r="AN220" s="14">
        <f t="shared" si="74"/>
        <v>14</v>
      </c>
      <c r="AO220" s="29">
        <f t="shared" si="58"/>
        <v>0.34799999999999998</v>
      </c>
      <c r="AP220" s="14">
        <f t="shared" si="59"/>
        <v>1</v>
      </c>
      <c r="AQ220" s="14">
        <f t="shared" si="60"/>
        <v>0</v>
      </c>
      <c r="AR220" s="14">
        <f t="shared" si="61"/>
        <v>0</v>
      </c>
      <c r="AS220" s="14">
        <f t="shared" si="62"/>
        <v>1606016</v>
      </c>
      <c r="AT220" s="14" t="str">
        <f t="shared" si="63"/>
        <v>神器-3-碎片-6-5级</v>
      </c>
      <c r="AU220" s="13" t="s">
        <v>1195</v>
      </c>
      <c r="AV220" s="13">
        <f t="shared" si="64"/>
        <v>5</v>
      </c>
      <c r="AW220" s="14">
        <f t="shared" si="65"/>
        <v>4375</v>
      </c>
      <c r="AX220" s="14" t="str">
        <f t="shared" si="66"/>
        <v>AtkExt</v>
      </c>
      <c r="AY220" s="14">
        <f t="shared" si="67"/>
        <v>675</v>
      </c>
      <c r="AZ220" s="14" t="str">
        <f t="shared" si="68"/>
        <v/>
      </c>
      <c r="BA220" s="14" t="str">
        <f t="shared" si="69"/>
        <v/>
      </c>
      <c r="BB220" s="14" t="str">
        <f t="shared" si="70"/>
        <v/>
      </c>
      <c r="BC220" s="14" t="str">
        <f t="shared" si="71"/>
        <v/>
      </c>
      <c r="BD220" s="14" t="str">
        <f t="shared" si="72"/>
        <v>Speed</v>
      </c>
      <c r="BE220" s="14">
        <f t="shared" si="73"/>
        <v>10</v>
      </c>
    </row>
    <row r="221" spans="39:57" ht="16.5" x14ac:dyDescent="0.2">
      <c r="AM221" s="13">
        <v>216</v>
      </c>
      <c r="AN221" s="14">
        <f t="shared" si="74"/>
        <v>14</v>
      </c>
      <c r="AO221" s="29">
        <f t="shared" si="58"/>
        <v>0.42000000000000004</v>
      </c>
      <c r="AP221" s="14">
        <f t="shared" si="59"/>
        <v>1</v>
      </c>
      <c r="AQ221" s="14">
        <f t="shared" si="60"/>
        <v>0</v>
      </c>
      <c r="AR221" s="14">
        <f t="shared" si="61"/>
        <v>0</v>
      </c>
      <c r="AS221" s="14">
        <f t="shared" si="62"/>
        <v>1606016</v>
      </c>
      <c r="AT221" s="14" t="str">
        <f t="shared" si="63"/>
        <v>神器-3-碎片-6-6级</v>
      </c>
      <c r="AU221" s="13" t="s">
        <v>1195</v>
      </c>
      <c r="AV221" s="13">
        <f t="shared" si="64"/>
        <v>6</v>
      </c>
      <c r="AW221" s="14">
        <f t="shared" si="65"/>
        <v>5275</v>
      </c>
      <c r="AX221" s="14" t="str">
        <f t="shared" si="66"/>
        <v>AtkExt</v>
      </c>
      <c r="AY221" s="14">
        <f t="shared" si="67"/>
        <v>815</v>
      </c>
      <c r="AZ221" s="14" t="str">
        <f t="shared" si="68"/>
        <v/>
      </c>
      <c r="BA221" s="14" t="str">
        <f t="shared" si="69"/>
        <v/>
      </c>
      <c r="BB221" s="14" t="str">
        <f t="shared" si="70"/>
        <v/>
      </c>
      <c r="BC221" s="14" t="str">
        <f t="shared" si="71"/>
        <v/>
      </c>
      <c r="BD221" s="14" t="str">
        <f t="shared" si="72"/>
        <v>Speed</v>
      </c>
      <c r="BE221" s="14">
        <f t="shared" si="73"/>
        <v>12</v>
      </c>
    </row>
    <row r="222" spans="39:57" ht="16.5" x14ac:dyDescent="0.2">
      <c r="AM222" s="13">
        <v>217</v>
      </c>
      <c r="AN222" s="14">
        <f t="shared" si="74"/>
        <v>14</v>
      </c>
      <c r="AO222" s="29">
        <f t="shared" si="58"/>
        <v>0.496</v>
      </c>
      <c r="AP222" s="14">
        <f t="shared" si="59"/>
        <v>1</v>
      </c>
      <c r="AQ222" s="14">
        <f t="shared" si="60"/>
        <v>0</v>
      </c>
      <c r="AR222" s="14">
        <f t="shared" si="61"/>
        <v>0</v>
      </c>
      <c r="AS222" s="14">
        <f t="shared" si="62"/>
        <v>1606016</v>
      </c>
      <c r="AT222" s="14" t="str">
        <f t="shared" si="63"/>
        <v>神器-3-碎片-6-7级</v>
      </c>
      <c r="AU222" s="13" t="s">
        <v>1195</v>
      </c>
      <c r="AV222" s="13">
        <f t="shared" si="64"/>
        <v>7</v>
      </c>
      <c r="AW222" s="14">
        <f t="shared" si="65"/>
        <v>6215</v>
      </c>
      <c r="AX222" s="14" t="str">
        <f t="shared" si="66"/>
        <v>AtkExt</v>
      </c>
      <c r="AY222" s="14">
        <f t="shared" si="67"/>
        <v>963</v>
      </c>
      <c r="AZ222" s="14" t="str">
        <f t="shared" si="68"/>
        <v/>
      </c>
      <c r="BA222" s="14" t="str">
        <f t="shared" si="69"/>
        <v/>
      </c>
      <c r="BB222" s="14" t="str">
        <f t="shared" si="70"/>
        <v/>
      </c>
      <c r="BC222" s="14" t="str">
        <f t="shared" si="71"/>
        <v/>
      </c>
      <c r="BD222" s="14" t="str">
        <f t="shared" si="72"/>
        <v>Speed</v>
      </c>
      <c r="BE222" s="14">
        <f t="shared" si="73"/>
        <v>14</v>
      </c>
    </row>
    <row r="223" spans="39:57" ht="16.5" x14ac:dyDescent="0.2">
      <c r="AM223" s="13">
        <v>218</v>
      </c>
      <c r="AN223" s="14">
        <f t="shared" si="74"/>
        <v>14</v>
      </c>
      <c r="AO223" s="29">
        <f t="shared" si="58"/>
        <v>0.57600000000000007</v>
      </c>
      <c r="AP223" s="14">
        <f t="shared" si="59"/>
        <v>1</v>
      </c>
      <c r="AQ223" s="14">
        <f t="shared" si="60"/>
        <v>0</v>
      </c>
      <c r="AR223" s="14">
        <f t="shared" si="61"/>
        <v>0</v>
      </c>
      <c r="AS223" s="14">
        <f t="shared" si="62"/>
        <v>1606016</v>
      </c>
      <c r="AT223" s="14" t="str">
        <f t="shared" si="63"/>
        <v>神器-3-碎片-6-8级</v>
      </c>
      <c r="AU223" s="13" t="s">
        <v>1195</v>
      </c>
      <c r="AV223" s="13">
        <f t="shared" si="64"/>
        <v>8</v>
      </c>
      <c r="AW223" s="14">
        <f t="shared" si="65"/>
        <v>7190</v>
      </c>
      <c r="AX223" s="14" t="str">
        <f t="shared" si="66"/>
        <v>AtkExt</v>
      </c>
      <c r="AY223" s="14">
        <f t="shared" si="67"/>
        <v>1118</v>
      </c>
      <c r="AZ223" s="14" t="str">
        <f t="shared" si="68"/>
        <v/>
      </c>
      <c r="BA223" s="14" t="str">
        <f t="shared" si="69"/>
        <v/>
      </c>
      <c r="BB223" s="14" t="str">
        <f t="shared" si="70"/>
        <v/>
      </c>
      <c r="BC223" s="14" t="str">
        <f t="shared" si="71"/>
        <v/>
      </c>
      <c r="BD223" s="14" t="str">
        <f t="shared" si="72"/>
        <v>Speed</v>
      </c>
      <c r="BE223" s="14">
        <f t="shared" si="73"/>
        <v>16</v>
      </c>
    </row>
    <row r="224" spans="39:57" ht="16.5" x14ac:dyDescent="0.2">
      <c r="AM224" s="13">
        <v>219</v>
      </c>
      <c r="AN224" s="14">
        <f t="shared" si="74"/>
        <v>14</v>
      </c>
      <c r="AO224" s="29">
        <f t="shared" si="58"/>
        <v>0.66</v>
      </c>
      <c r="AP224" s="14">
        <f t="shared" si="59"/>
        <v>1</v>
      </c>
      <c r="AQ224" s="14">
        <f t="shared" si="60"/>
        <v>0</v>
      </c>
      <c r="AR224" s="14">
        <f t="shared" si="61"/>
        <v>0</v>
      </c>
      <c r="AS224" s="14">
        <f t="shared" si="62"/>
        <v>1606016</v>
      </c>
      <c r="AT224" s="14" t="str">
        <f t="shared" si="63"/>
        <v>神器-3-碎片-6-9级</v>
      </c>
      <c r="AU224" s="13" t="s">
        <v>1195</v>
      </c>
      <c r="AV224" s="13">
        <f t="shared" si="64"/>
        <v>9</v>
      </c>
      <c r="AW224" s="14">
        <f t="shared" si="65"/>
        <v>8205</v>
      </c>
      <c r="AX224" s="14" t="str">
        <f t="shared" si="66"/>
        <v>AtkExt</v>
      </c>
      <c r="AY224" s="14">
        <f t="shared" si="67"/>
        <v>1281</v>
      </c>
      <c r="AZ224" s="14" t="str">
        <f t="shared" si="68"/>
        <v/>
      </c>
      <c r="BA224" s="14" t="str">
        <f t="shared" si="69"/>
        <v/>
      </c>
      <c r="BB224" s="14" t="str">
        <f t="shared" si="70"/>
        <v/>
      </c>
      <c r="BC224" s="14" t="str">
        <f t="shared" si="71"/>
        <v/>
      </c>
      <c r="BD224" s="14" t="str">
        <f t="shared" si="72"/>
        <v>Speed</v>
      </c>
      <c r="BE224" s="14">
        <f t="shared" si="73"/>
        <v>18</v>
      </c>
    </row>
    <row r="225" spans="39:57" ht="16.5" x14ac:dyDescent="0.2">
      <c r="AM225" s="13">
        <v>220</v>
      </c>
      <c r="AN225" s="14">
        <f t="shared" si="74"/>
        <v>14</v>
      </c>
      <c r="AO225" s="29">
        <f t="shared" si="58"/>
        <v>0.748</v>
      </c>
      <c r="AP225" s="14">
        <f t="shared" si="59"/>
        <v>1</v>
      </c>
      <c r="AQ225" s="14">
        <f t="shared" si="60"/>
        <v>0</v>
      </c>
      <c r="AR225" s="14">
        <f t="shared" si="61"/>
        <v>0</v>
      </c>
      <c r="AS225" s="14">
        <f t="shared" si="62"/>
        <v>1606016</v>
      </c>
      <c r="AT225" s="14" t="str">
        <f t="shared" si="63"/>
        <v>神器-3-碎片-6-10级</v>
      </c>
      <c r="AU225" s="13" t="s">
        <v>1195</v>
      </c>
      <c r="AV225" s="13">
        <f t="shared" si="64"/>
        <v>10</v>
      </c>
      <c r="AW225" s="14">
        <f t="shared" si="65"/>
        <v>9260</v>
      </c>
      <c r="AX225" s="14" t="str">
        <f t="shared" si="66"/>
        <v>AtkExt</v>
      </c>
      <c r="AY225" s="14">
        <f t="shared" si="67"/>
        <v>1452</v>
      </c>
      <c r="AZ225" s="14" t="str">
        <f t="shared" si="68"/>
        <v/>
      </c>
      <c r="BA225" s="14" t="str">
        <f t="shared" si="69"/>
        <v/>
      </c>
      <c r="BB225" s="14" t="str">
        <f t="shared" si="70"/>
        <v/>
      </c>
      <c r="BC225" s="14" t="str">
        <f t="shared" si="71"/>
        <v/>
      </c>
      <c r="BD225" s="14" t="str">
        <f t="shared" si="72"/>
        <v>Speed</v>
      </c>
      <c r="BE225" s="14">
        <f t="shared" si="73"/>
        <v>20</v>
      </c>
    </row>
    <row r="226" spans="39:57" ht="16.5" x14ac:dyDescent="0.2">
      <c r="AM226" s="13">
        <v>221</v>
      </c>
      <c r="AN226" s="14">
        <f t="shared" si="74"/>
        <v>14</v>
      </c>
      <c r="AO226" s="29">
        <f t="shared" si="58"/>
        <v>0.84000000000000008</v>
      </c>
      <c r="AP226" s="14">
        <f t="shared" si="59"/>
        <v>1</v>
      </c>
      <c r="AQ226" s="14">
        <f t="shared" si="60"/>
        <v>0</v>
      </c>
      <c r="AR226" s="14">
        <f t="shared" si="61"/>
        <v>0</v>
      </c>
      <c r="AS226" s="14">
        <f t="shared" si="62"/>
        <v>1606016</v>
      </c>
      <c r="AT226" s="14" t="str">
        <f t="shared" si="63"/>
        <v>神器-3-碎片-6-11级</v>
      </c>
      <c r="AU226" s="13" t="s">
        <v>1195</v>
      </c>
      <c r="AV226" s="13">
        <f t="shared" si="64"/>
        <v>11</v>
      </c>
      <c r="AW226" s="14">
        <f t="shared" si="65"/>
        <v>10350</v>
      </c>
      <c r="AX226" s="14" t="str">
        <f t="shared" si="66"/>
        <v>AtkExt</v>
      </c>
      <c r="AY226" s="14">
        <f t="shared" si="67"/>
        <v>1630</v>
      </c>
      <c r="AZ226" s="14" t="str">
        <f t="shared" si="68"/>
        <v/>
      </c>
      <c r="BA226" s="14" t="str">
        <f t="shared" si="69"/>
        <v/>
      </c>
      <c r="BB226" s="14" t="str">
        <f t="shared" si="70"/>
        <v/>
      </c>
      <c r="BC226" s="14" t="str">
        <f t="shared" si="71"/>
        <v/>
      </c>
      <c r="BD226" s="14" t="str">
        <f t="shared" si="72"/>
        <v>Speed</v>
      </c>
      <c r="BE226" s="14">
        <f t="shared" si="73"/>
        <v>22</v>
      </c>
    </row>
    <row r="227" spans="39:57" ht="16.5" x14ac:dyDescent="0.2">
      <c r="AM227" s="13">
        <v>222</v>
      </c>
      <c r="AN227" s="14">
        <f t="shared" si="74"/>
        <v>14</v>
      </c>
      <c r="AO227" s="29">
        <f t="shared" si="58"/>
        <v>0.93600000000000017</v>
      </c>
      <c r="AP227" s="14">
        <f t="shared" si="59"/>
        <v>1</v>
      </c>
      <c r="AQ227" s="14">
        <f t="shared" si="60"/>
        <v>0</v>
      </c>
      <c r="AR227" s="14">
        <f t="shared" si="61"/>
        <v>0</v>
      </c>
      <c r="AS227" s="14">
        <f t="shared" si="62"/>
        <v>1606016</v>
      </c>
      <c r="AT227" s="14" t="str">
        <f t="shared" si="63"/>
        <v>神器-3-碎片-6-12级</v>
      </c>
      <c r="AU227" s="13" t="s">
        <v>1195</v>
      </c>
      <c r="AV227" s="13">
        <f t="shared" si="64"/>
        <v>12</v>
      </c>
      <c r="AW227" s="14">
        <f t="shared" si="65"/>
        <v>11485</v>
      </c>
      <c r="AX227" s="14" t="str">
        <f t="shared" si="66"/>
        <v>AtkExt</v>
      </c>
      <c r="AY227" s="14">
        <f t="shared" si="67"/>
        <v>1817</v>
      </c>
      <c r="AZ227" s="14" t="str">
        <f t="shared" si="68"/>
        <v/>
      </c>
      <c r="BA227" s="14" t="str">
        <f t="shared" si="69"/>
        <v/>
      </c>
      <c r="BB227" s="14" t="str">
        <f t="shared" si="70"/>
        <v/>
      </c>
      <c r="BC227" s="14" t="str">
        <f t="shared" si="71"/>
        <v/>
      </c>
      <c r="BD227" s="14" t="str">
        <f t="shared" si="72"/>
        <v>Speed</v>
      </c>
      <c r="BE227" s="14">
        <f t="shared" si="73"/>
        <v>24</v>
      </c>
    </row>
    <row r="228" spans="39:57" ht="16.5" x14ac:dyDescent="0.2">
      <c r="AM228" s="13">
        <v>223</v>
      </c>
      <c r="AN228" s="14">
        <f t="shared" si="74"/>
        <v>14</v>
      </c>
      <c r="AO228" s="29">
        <f t="shared" si="58"/>
        <v>1.036</v>
      </c>
      <c r="AP228" s="14">
        <f t="shared" si="59"/>
        <v>1</v>
      </c>
      <c r="AQ228" s="14">
        <f t="shared" si="60"/>
        <v>0</v>
      </c>
      <c r="AR228" s="14">
        <f t="shared" si="61"/>
        <v>0</v>
      </c>
      <c r="AS228" s="14">
        <f t="shared" si="62"/>
        <v>1606016</v>
      </c>
      <c r="AT228" s="14" t="str">
        <f t="shared" si="63"/>
        <v>神器-3-碎片-6-13级</v>
      </c>
      <c r="AU228" s="13" t="s">
        <v>1195</v>
      </c>
      <c r="AV228" s="13">
        <f t="shared" si="64"/>
        <v>13</v>
      </c>
      <c r="AW228" s="14">
        <f t="shared" si="65"/>
        <v>12655</v>
      </c>
      <c r="AX228" s="14" t="str">
        <f t="shared" si="66"/>
        <v>AtkExt</v>
      </c>
      <c r="AY228" s="14">
        <f t="shared" si="67"/>
        <v>2011</v>
      </c>
      <c r="AZ228" s="14" t="str">
        <f t="shared" si="68"/>
        <v/>
      </c>
      <c r="BA228" s="14" t="str">
        <f t="shared" si="69"/>
        <v/>
      </c>
      <c r="BB228" s="14" t="str">
        <f t="shared" si="70"/>
        <v/>
      </c>
      <c r="BC228" s="14" t="str">
        <f t="shared" si="71"/>
        <v/>
      </c>
      <c r="BD228" s="14" t="str">
        <f t="shared" si="72"/>
        <v>Speed</v>
      </c>
      <c r="BE228" s="14">
        <f t="shared" si="73"/>
        <v>26</v>
      </c>
    </row>
    <row r="229" spans="39:57" ht="16.5" x14ac:dyDescent="0.2">
      <c r="AM229" s="13">
        <v>224</v>
      </c>
      <c r="AN229" s="14">
        <f t="shared" si="74"/>
        <v>14</v>
      </c>
      <c r="AO229" s="29">
        <f t="shared" si="58"/>
        <v>1.1400000000000001</v>
      </c>
      <c r="AP229" s="14">
        <f t="shared" si="59"/>
        <v>1</v>
      </c>
      <c r="AQ229" s="14">
        <f t="shared" si="60"/>
        <v>0</v>
      </c>
      <c r="AR229" s="14">
        <f t="shared" si="61"/>
        <v>0</v>
      </c>
      <c r="AS229" s="14">
        <f t="shared" si="62"/>
        <v>1606016</v>
      </c>
      <c r="AT229" s="14" t="str">
        <f t="shared" si="63"/>
        <v>神器-3-碎片-6-14级</v>
      </c>
      <c r="AU229" s="13" t="s">
        <v>1195</v>
      </c>
      <c r="AV229" s="13">
        <f t="shared" si="64"/>
        <v>14</v>
      </c>
      <c r="AW229" s="14">
        <f t="shared" si="65"/>
        <v>13865</v>
      </c>
      <c r="AX229" s="14" t="str">
        <f t="shared" si="66"/>
        <v>AtkExt</v>
      </c>
      <c r="AY229" s="14">
        <f t="shared" si="67"/>
        <v>2213</v>
      </c>
      <c r="AZ229" s="14" t="str">
        <f t="shared" si="68"/>
        <v/>
      </c>
      <c r="BA229" s="14" t="str">
        <f t="shared" si="69"/>
        <v/>
      </c>
      <c r="BB229" s="14" t="str">
        <f t="shared" si="70"/>
        <v/>
      </c>
      <c r="BC229" s="14" t="str">
        <f t="shared" si="71"/>
        <v/>
      </c>
      <c r="BD229" s="14" t="str">
        <f t="shared" si="72"/>
        <v>Speed</v>
      </c>
      <c r="BE229" s="14">
        <f t="shared" si="73"/>
        <v>28</v>
      </c>
    </row>
    <row r="230" spans="39:57" ht="16.5" x14ac:dyDescent="0.2">
      <c r="AM230" s="13">
        <v>225</v>
      </c>
      <c r="AN230" s="14">
        <f t="shared" si="74"/>
        <v>14</v>
      </c>
      <c r="AO230" s="29">
        <f t="shared" si="58"/>
        <v>1.248</v>
      </c>
      <c r="AP230" s="14">
        <f t="shared" si="59"/>
        <v>1</v>
      </c>
      <c r="AQ230" s="14">
        <f t="shared" si="60"/>
        <v>0</v>
      </c>
      <c r="AR230" s="14">
        <f t="shared" si="61"/>
        <v>0</v>
      </c>
      <c r="AS230" s="14">
        <f t="shared" si="62"/>
        <v>1606016</v>
      </c>
      <c r="AT230" s="14" t="str">
        <f t="shared" si="63"/>
        <v>神器-3-碎片-6-15级</v>
      </c>
      <c r="AU230" s="13" t="s">
        <v>1195</v>
      </c>
      <c r="AV230" s="13">
        <f t="shared" si="64"/>
        <v>15</v>
      </c>
      <c r="AW230" s="14">
        <f t="shared" si="65"/>
        <v>15110</v>
      </c>
      <c r="AX230" s="14" t="str">
        <f t="shared" si="66"/>
        <v>AtkExt</v>
      </c>
      <c r="AY230" s="14">
        <f t="shared" si="67"/>
        <v>2422</v>
      </c>
      <c r="AZ230" s="14" t="str">
        <f t="shared" si="68"/>
        <v/>
      </c>
      <c r="BA230" s="14" t="str">
        <f t="shared" si="69"/>
        <v/>
      </c>
      <c r="BB230" s="14" t="str">
        <f t="shared" si="70"/>
        <v/>
      </c>
      <c r="BC230" s="14" t="str">
        <f t="shared" si="71"/>
        <v/>
      </c>
      <c r="BD230" s="14" t="str">
        <f t="shared" si="72"/>
        <v>Speed</v>
      </c>
      <c r="BE230" s="14">
        <f t="shared" si="73"/>
        <v>30</v>
      </c>
    </row>
    <row r="231" spans="39:57" ht="16.5" x14ac:dyDescent="0.2">
      <c r="AM231" s="13">
        <v>226</v>
      </c>
      <c r="AN231" s="14">
        <f t="shared" si="74"/>
        <v>14</v>
      </c>
      <c r="AO231" s="29">
        <f t="shared" si="58"/>
        <v>1.36</v>
      </c>
      <c r="AP231" s="14">
        <f t="shared" si="59"/>
        <v>1</v>
      </c>
      <c r="AQ231" s="14">
        <f t="shared" si="60"/>
        <v>0</v>
      </c>
      <c r="AR231" s="14">
        <f t="shared" si="61"/>
        <v>0</v>
      </c>
      <c r="AS231" s="14">
        <f t="shared" si="62"/>
        <v>1606016</v>
      </c>
      <c r="AT231" s="14" t="str">
        <f t="shared" si="63"/>
        <v>神器-3-碎片-6-16级</v>
      </c>
      <c r="AU231" s="13" t="s">
        <v>1195</v>
      </c>
      <c r="AV231" s="13">
        <f t="shared" si="64"/>
        <v>16</v>
      </c>
      <c r="AW231" s="14">
        <f t="shared" si="65"/>
        <v>16400</v>
      </c>
      <c r="AX231" s="14" t="str">
        <f t="shared" si="66"/>
        <v>AtkExt</v>
      </c>
      <c r="AY231" s="14">
        <f t="shared" si="67"/>
        <v>2640</v>
      </c>
      <c r="AZ231" s="14" t="str">
        <f t="shared" si="68"/>
        <v/>
      </c>
      <c r="BA231" s="14" t="str">
        <f t="shared" si="69"/>
        <v/>
      </c>
      <c r="BB231" s="14" t="str">
        <f t="shared" si="70"/>
        <v/>
      </c>
      <c r="BC231" s="14" t="str">
        <f t="shared" si="71"/>
        <v/>
      </c>
      <c r="BD231" s="14" t="str">
        <f t="shared" si="72"/>
        <v>Speed</v>
      </c>
      <c r="BE231" s="14">
        <f t="shared" si="73"/>
        <v>32</v>
      </c>
    </row>
    <row r="232" spans="39:57" ht="16.5" x14ac:dyDescent="0.2">
      <c r="AM232" s="13">
        <v>227</v>
      </c>
      <c r="AN232" s="14">
        <f t="shared" si="74"/>
        <v>14</v>
      </c>
      <c r="AO232" s="29">
        <f t="shared" si="58"/>
        <v>1.476</v>
      </c>
      <c r="AP232" s="14">
        <f t="shared" si="59"/>
        <v>1</v>
      </c>
      <c r="AQ232" s="14">
        <f t="shared" si="60"/>
        <v>0</v>
      </c>
      <c r="AR232" s="14">
        <f t="shared" si="61"/>
        <v>0</v>
      </c>
      <c r="AS232" s="14">
        <f t="shared" si="62"/>
        <v>1606016</v>
      </c>
      <c r="AT232" s="14" t="str">
        <f t="shared" si="63"/>
        <v>神器-3-碎片-6-17级</v>
      </c>
      <c r="AU232" s="13" t="s">
        <v>1195</v>
      </c>
      <c r="AV232" s="13">
        <f t="shared" si="64"/>
        <v>17</v>
      </c>
      <c r="AW232" s="14">
        <f t="shared" si="65"/>
        <v>17725</v>
      </c>
      <c r="AX232" s="14" t="str">
        <f t="shared" si="66"/>
        <v>AtkExt</v>
      </c>
      <c r="AY232" s="14">
        <f t="shared" si="67"/>
        <v>2865</v>
      </c>
      <c r="AZ232" s="14" t="str">
        <f t="shared" si="68"/>
        <v/>
      </c>
      <c r="BA232" s="14" t="str">
        <f t="shared" si="69"/>
        <v/>
      </c>
      <c r="BB232" s="14" t="str">
        <f t="shared" si="70"/>
        <v/>
      </c>
      <c r="BC232" s="14" t="str">
        <f t="shared" si="71"/>
        <v/>
      </c>
      <c r="BD232" s="14" t="str">
        <f t="shared" si="72"/>
        <v>Speed</v>
      </c>
      <c r="BE232" s="14">
        <f t="shared" si="73"/>
        <v>34</v>
      </c>
    </row>
    <row r="233" spans="39:57" ht="16.5" x14ac:dyDescent="0.2">
      <c r="AM233" s="13">
        <v>228</v>
      </c>
      <c r="AN233" s="14">
        <f t="shared" si="74"/>
        <v>14</v>
      </c>
      <c r="AO233" s="29">
        <f t="shared" si="58"/>
        <v>1.5960000000000001</v>
      </c>
      <c r="AP233" s="14">
        <f t="shared" si="59"/>
        <v>1</v>
      </c>
      <c r="AQ233" s="14">
        <f t="shared" si="60"/>
        <v>0</v>
      </c>
      <c r="AR233" s="14">
        <f t="shared" si="61"/>
        <v>0</v>
      </c>
      <c r="AS233" s="14">
        <f t="shared" si="62"/>
        <v>1606016</v>
      </c>
      <c r="AT233" s="14" t="str">
        <f t="shared" si="63"/>
        <v>神器-3-碎片-6-18级</v>
      </c>
      <c r="AU233" s="13" t="s">
        <v>1195</v>
      </c>
      <c r="AV233" s="13">
        <f t="shared" si="64"/>
        <v>18</v>
      </c>
      <c r="AW233" s="14">
        <f t="shared" si="65"/>
        <v>19090</v>
      </c>
      <c r="AX233" s="14" t="str">
        <f t="shared" si="66"/>
        <v>AtkExt</v>
      </c>
      <c r="AY233" s="14">
        <f t="shared" si="67"/>
        <v>3098</v>
      </c>
      <c r="AZ233" s="14" t="str">
        <f t="shared" si="68"/>
        <v/>
      </c>
      <c r="BA233" s="14" t="str">
        <f t="shared" si="69"/>
        <v/>
      </c>
      <c r="BB233" s="14" t="str">
        <f t="shared" si="70"/>
        <v/>
      </c>
      <c r="BC233" s="14" t="str">
        <f t="shared" si="71"/>
        <v/>
      </c>
      <c r="BD233" s="14" t="str">
        <f t="shared" si="72"/>
        <v>Speed</v>
      </c>
      <c r="BE233" s="14">
        <f t="shared" si="73"/>
        <v>36</v>
      </c>
    </row>
    <row r="234" spans="39:57" ht="16.5" x14ac:dyDescent="0.2">
      <c r="AM234" s="13">
        <v>229</v>
      </c>
      <c r="AN234" s="14">
        <f t="shared" si="74"/>
        <v>15</v>
      </c>
      <c r="AO234" s="29">
        <f t="shared" si="58"/>
        <v>0.1</v>
      </c>
      <c r="AP234" s="14">
        <f t="shared" si="59"/>
        <v>1</v>
      </c>
      <c r="AQ234" s="14">
        <f t="shared" si="60"/>
        <v>3</v>
      </c>
      <c r="AR234" s="14">
        <f t="shared" si="61"/>
        <v>0</v>
      </c>
      <c r="AS234" s="14">
        <f t="shared" si="62"/>
        <v>1606017</v>
      </c>
      <c r="AT234" s="14" t="str">
        <f t="shared" si="63"/>
        <v>神器-4-碎片-1-1级</v>
      </c>
      <c r="AU234" s="13" t="s">
        <v>1195</v>
      </c>
      <c r="AV234" s="13">
        <f t="shared" si="64"/>
        <v>1</v>
      </c>
      <c r="AW234" s="14">
        <f t="shared" si="65"/>
        <v>298</v>
      </c>
      <c r="AX234" s="14" t="str">
        <f t="shared" si="66"/>
        <v>AtkExt</v>
      </c>
      <c r="AY234" s="14">
        <f t="shared" si="67"/>
        <v>54</v>
      </c>
      <c r="AZ234" s="14" t="str">
        <f t="shared" si="68"/>
        <v>HPExt</v>
      </c>
      <c r="BA234" s="14">
        <f t="shared" si="69"/>
        <v>28</v>
      </c>
      <c r="BB234" s="14" t="str">
        <f t="shared" si="70"/>
        <v/>
      </c>
      <c r="BC234" s="14" t="str">
        <f t="shared" si="71"/>
        <v/>
      </c>
      <c r="BD234" s="14" t="str">
        <f t="shared" si="72"/>
        <v/>
      </c>
      <c r="BE234" s="14" t="str">
        <f t="shared" si="73"/>
        <v/>
      </c>
    </row>
    <row r="235" spans="39:57" ht="16.5" x14ac:dyDescent="0.2">
      <c r="AM235" s="13">
        <v>230</v>
      </c>
      <c r="AN235" s="14">
        <f t="shared" si="74"/>
        <v>15</v>
      </c>
      <c r="AO235" s="29">
        <f t="shared" si="58"/>
        <v>0.15600000000000003</v>
      </c>
      <c r="AP235" s="14">
        <f t="shared" si="59"/>
        <v>1</v>
      </c>
      <c r="AQ235" s="14">
        <f t="shared" si="60"/>
        <v>3</v>
      </c>
      <c r="AR235" s="14">
        <f t="shared" si="61"/>
        <v>0</v>
      </c>
      <c r="AS235" s="14">
        <f t="shared" si="62"/>
        <v>1606017</v>
      </c>
      <c r="AT235" s="14" t="str">
        <f t="shared" si="63"/>
        <v>神器-4-碎片-1-2级</v>
      </c>
      <c r="AU235" s="13" t="s">
        <v>1195</v>
      </c>
      <c r="AV235" s="13">
        <f t="shared" si="64"/>
        <v>2</v>
      </c>
      <c r="AW235" s="14">
        <f t="shared" si="65"/>
        <v>464</v>
      </c>
      <c r="AX235" s="14" t="str">
        <f t="shared" si="66"/>
        <v>AtkExt</v>
      </c>
      <c r="AY235" s="14">
        <f t="shared" si="67"/>
        <v>84</v>
      </c>
      <c r="AZ235" s="14" t="str">
        <f t="shared" si="68"/>
        <v>HPExt</v>
      </c>
      <c r="BA235" s="14">
        <f t="shared" si="69"/>
        <v>44</v>
      </c>
      <c r="BB235" s="14" t="str">
        <f t="shared" si="70"/>
        <v/>
      </c>
      <c r="BC235" s="14" t="str">
        <f t="shared" si="71"/>
        <v/>
      </c>
      <c r="BD235" s="14" t="str">
        <f t="shared" si="72"/>
        <v/>
      </c>
      <c r="BE235" s="14" t="str">
        <f t="shared" si="73"/>
        <v/>
      </c>
    </row>
    <row r="236" spans="39:57" ht="16.5" x14ac:dyDescent="0.2">
      <c r="AM236" s="13">
        <v>231</v>
      </c>
      <c r="AN236" s="14">
        <f t="shared" si="74"/>
        <v>15</v>
      </c>
      <c r="AO236" s="29">
        <f t="shared" si="58"/>
        <v>0.21600000000000003</v>
      </c>
      <c r="AP236" s="14">
        <f t="shared" si="59"/>
        <v>1</v>
      </c>
      <c r="AQ236" s="14">
        <f t="shared" si="60"/>
        <v>3</v>
      </c>
      <c r="AR236" s="14">
        <f t="shared" si="61"/>
        <v>0</v>
      </c>
      <c r="AS236" s="14">
        <f t="shared" si="62"/>
        <v>1606017</v>
      </c>
      <c r="AT236" s="14" t="str">
        <f t="shared" si="63"/>
        <v>神器-4-碎片-1-3级</v>
      </c>
      <c r="AU236" s="13" t="s">
        <v>1195</v>
      </c>
      <c r="AV236" s="13">
        <f t="shared" si="64"/>
        <v>3</v>
      </c>
      <c r="AW236" s="14">
        <f t="shared" si="65"/>
        <v>641</v>
      </c>
      <c r="AX236" s="14" t="str">
        <f t="shared" si="66"/>
        <v>AtkExt</v>
      </c>
      <c r="AY236" s="14">
        <f t="shared" si="67"/>
        <v>116</v>
      </c>
      <c r="AZ236" s="14" t="str">
        <f t="shared" si="68"/>
        <v>HPExt</v>
      </c>
      <c r="BA236" s="14">
        <f t="shared" si="69"/>
        <v>61</v>
      </c>
      <c r="BB236" s="14" t="str">
        <f t="shared" si="70"/>
        <v/>
      </c>
      <c r="BC236" s="14" t="str">
        <f t="shared" si="71"/>
        <v/>
      </c>
      <c r="BD236" s="14" t="str">
        <f t="shared" si="72"/>
        <v/>
      </c>
      <c r="BE236" s="14" t="str">
        <f t="shared" si="73"/>
        <v/>
      </c>
    </row>
    <row r="237" spans="39:57" ht="16.5" x14ac:dyDescent="0.2">
      <c r="AM237" s="13">
        <v>232</v>
      </c>
      <c r="AN237" s="14">
        <f t="shared" si="74"/>
        <v>15</v>
      </c>
      <c r="AO237" s="29">
        <f t="shared" si="58"/>
        <v>0.28000000000000003</v>
      </c>
      <c r="AP237" s="14">
        <f t="shared" si="59"/>
        <v>1</v>
      </c>
      <c r="AQ237" s="14">
        <f t="shared" si="60"/>
        <v>3</v>
      </c>
      <c r="AR237" s="14">
        <f t="shared" si="61"/>
        <v>0</v>
      </c>
      <c r="AS237" s="14">
        <f t="shared" si="62"/>
        <v>1606017</v>
      </c>
      <c r="AT237" s="14" t="str">
        <f t="shared" si="63"/>
        <v>神器-4-碎片-1-4级</v>
      </c>
      <c r="AU237" s="13" t="s">
        <v>1195</v>
      </c>
      <c r="AV237" s="13">
        <f t="shared" si="64"/>
        <v>4</v>
      </c>
      <c r="AW237" s="14">
        <f t="shared" si="65"/>
        <v>834</v>
      </c>
      <c r="AX237" s="14" t="str">
        <f t="shared" si="66"/>
        <v>AtkExt</v>
      </c>
      <c r="AY237" s="14">
        <f t="shared" si="67"/>
        <v>151</v>
      </c>
      <c r="AZ237" s="14" t="str">
        <f t="shared" si="68"/>
        <v>HPExt</v>
      </c>
      <c r="BA237" s="14">
        <f t="shared" si="69"/>
        <v>79</v>
      </c>
      <c r="BB237" s="14" t="str">
        <f t="shared" si="70"/>
        <v/>
      </c>
      <c r="BC237" s="14" t="str">
        <f t="shared" si="71"/>
        <v/>
      </c>
      <c r="BD237" s="14" t="str">
        <f t="shared" si="72"/>
        <v/>
      </c>
      <c r="BE237" s="14" t="str">
        <f t="shared" si="73"/>
        <v/>
      </c>
    </row>
    <row r="238" spans="39:57" ht="16.5" x14ac:dyDescent="0.2">
      <c r="AM238" s="13">
        <v>233</v>
      </c>
      <c r="AN238" s="14">
        <f t="shared" si="74"/>
        <v>15</v>
      </c>
      <c r="AO238" s="29">
        <f t="shared" si="58"/>
        <v>0.34799999999999998</v>
      </c>
      <c r="AP238" s="14">
        <f t="shared" si="59"/>
        <v>1</v>
      </c>
      <c r="AQ238" s="14">
        <f t="shared" si="60"/>
        <v>3</v>
      </c>
      <c r="AR238" s="14">
        <f t="shared" si="61"/>
        <v>0</v>
      </c>
      <c r="AS238" s="14">
        <f t="shared" si="62"/>
        <v>1606017</v>
      </c>
      <c r="AT238" s="14" t="str">
        <f t="shared" si="63"/>
        <v>神器-4-碎片-1-5级</v>
      </c>
      <c r="AU238" s="13" t="s">
        <v>1195</v>
      </c>
      <c r="AV238" s="13">
        <f t="shared" si="64"/>
        <v>5</v>
      </c>
      <c r="AW238" s="14">
        <f t="shared" si="65"/>
        <v>1038</v>
      </c>
      <c r="AX238" s="14" t="str">
        <f t="shared" si="66"/>
        <v>AtkExt</v>
      </c>
      <c r="AY238" s="14">
        <f t="shared" si="67"/>
        <v>188</v>
      </c>
      <c r="AZ238" s="14" t="str">
        <f t="shared" si="68"/>
        <v>HPExt</v>
      </c>
      <c r="BA238" s="14">
        <f t="shared" si="69"/>
        <v>98</v>
      </c>
      <c r="BB238" s="14" t="str">
        <f t="shared" si="70"/>
        <v/>
      </c>
      <c r="BC238" s="14" t="str">
        <f t="shared" si="71"/>
        <v/>
      </c>
      <c r="BD238" s="14" t="str">
        <f t="shared" si="72"/>
        <v/>
      </c>
      <c r="BE238" s="14" t="str">
        <f t="shared" si="73"/>
        <v/>
      </c>
    </row>
    <row r="239" spans="39:57" ht="16.5" x14ac:dyDescent="0.2">
      <c r="AM239" s="13">
        <v>234</v>
      </c>
      <c r="AN239" s="14">
        <f t="shared" si="74"/>
        <v>15</v>
      </c>
      <c r="AO239" s="29">
        <f t="shared" si="58"/>
        <v>0.42000000000000004</v>
      </c>
      <c r="AP239" s="14">
        <f t="shared" si="59"/>
        <v>1</v>
      </c>
      <c r="AQ239" s="14">
        <f t="shared" si="60"/>
        <v>3</v>
      </c>
      <c r="AR239" s="14">
        <f t="shared" si="61"/>
        <v>0</v>
      </c>
      <c r="AS239" s="14">
        <f t="shared" si="62"/>
        <v>1606017</v>
      </c>
      <c r="AT239" s="14" t="str">
        <f t="shared" si="63"/>
        <v>神器-4-碎片-1-6级</v>
      </c>
      <c r="AU239" s="13" t="s">
        <v>1195</v>
      </c>
      <c r="AV239" s="13">
        <f t="shared" si="64"/>
        <v>6</v>
      </c>
      <c r="AW239" s="14">
        <f t="shared" si="65"/>
        <v>1248</v>
      </c>
      <c r="AX239" s="14" t="str">
        <f t="shared" si="66"/>
        <v>AtkExt</v>
      </c>
      <c r="AY239" s="14">
        <f t="shared" si="67"/>
        <v>226</v>
      </c>
      <c r="AZ239" s="14" t="str">
        <f t="shared" si="68"/>
        <v>HPExt</v>
      </c>
      <c r="BA239" s="14">
        <f t="shared" si="69"/>
        <v>118</v>
      </c>
      <c r="BB239" s="14" t="str">
        <f t="shared" si="70"/>
        <v/>
      </c>
      <c r="BC239" s="14" t="str">
        <f t="shared" si="71"/>
        <v/>
      </c>
      <c r="BD239" s="14" t="str">
        <f t="shared" si="72"/>
        <v/>
      </c>
      <c r="BE239" s="14" t="str">
        <f t="shared" si="73"/>
        <v/>
      </c>
    </row>
    <row r="240" spans="39:57" ht="16.5" x14ac:dyDescent="0.2">
      <c r="AM240" s="13">
        <v>235</v>
      </c>
      <c r="AN240" s="14">
        <f t="shared" si="74"/>
        <v>15</v>
      </c>
      <c r="AO240" s="29">
        <f t="shared" si="58"/>
        <v>0.496</v>
      </c>
      <c r="AP240" s="14">
        <f t="shared" si="59"/>
        <v>1</v>
      </c>
      <c r="AQ240" s="14">
        <f t="shared" si="60"/>
        <v>3</v>
      </c>
      <c r="AR240" s="14">
        <f t="shared" si="61"/>
        <v>0</v>
      </c>
      <c r="AS240" s="14">
        <f t="shared" si="62"/>
        <v>1606017</v>
      </c>
      <c r="AT240" s="14" t="str">
        <f t="shared" si="63"/>
        <v>神器-4-碎片-1-7级</v>
      </c>
      <c r="AU240" s="13" t="s">
        <v>1195</v>
      </c>
      <c r="AV240" s="13">
        <f t="shared" si="64"/>
        <v>7</v>
      </c>
      <c r="AW240" s="14">
        <f t="shared" si="65"/>
        <v>1474</v>
      </c>
      <c r="AX240" s="14" t="str">
        <f t="shared" si="66"/>
        <v>AtkExt</v>
      </c>
      <c r="AY240" s="14">
        <f t="shared" si="67"/>
        <v>267</v>
      </c>
      <c r="AZ240" s="14" t="str">
        <f t="shared" si="68"/>
        <v>HPExt</v>
      </c>
      <c r="BA240" s="14">
        <f t="shared" si="69"/>
        <v>139</v>
      </c>
      <c r="BB240" s="14" t="str">
        <f t="shared" si="70"/>
        <v/>
      </c>
      <c r="BC240" s="14" t="str">
        <f t="shared" si="71"/>
        <v/>
      </c>
      <c r="BD240" s="14" t="str">
        <f t="shared" si="72"/>
        <v/>
      </c>
      <c r="BE240" s="14" t="str">
        <f t="shared" si="73"/>
        <v/>
      </c>
    </row>
    <row r="241" spans="39:57" ht="16.5" x14ac:dyDescent="0.2">
      <c r="AM241" s="13">
        <v>236</v>
      </c>
      <c r="AN241" s="14">
        <f t="shared" si="74"/>
        <v>15</v>
      </c>
      <c r="AO241" s="29">
        <f t="shared" si="58"/>
        <v>0.57600000000000007</v>
      </c>
      <c r="AP241" s="14">
        <f t="shared" si="59"/>
        <v>1</v>
      </c>
      <c r="AQ241" s="14">
        <f t="shared" si="60"/>
        <v>3</v>
      </c>
      <c r="AR241" s="14">
        <f t="shared" si="61"/>
        <v>0</v>
      </c>
      <c r="AS241" s="14">
        <f t="shared" si="62"/>
        <v>1606017</v>
      </c>
      <c r="AT241" s="14" t="str">
        <f t="shared" si="63"/>
        <v>神器-4-碎片-1-8级</v>
      </c>
      <c r="AU241" s="13" t="s">
        <v>1195</v>
      </c>
      <c r="AV241" s="13">
        <f t="shared" si="64"/>
        <v>8</v>
      </c>
      <c r="AW241" s="14">
        <f t="shared" si="65"/>
        <v>1717</v>
      </c>
      <c r="AX241" s="14" t="str">
        <f t="shared" si="66"/>
        <v>AtkExt</v>
      </c>
      <c r="AY241" s="14">
        <f t="shared" si="67"/>
        <v>311</v>
      </c>
      <c r="AZ241" s="14" t="str">
        <f t="shared" si="68"/>
        <v>HPExt</v>
      </c>
      <c r="BA241" s="14">
        <f t="shared" si="69"/>
        <v>162</v>
      </c>
      <c r="BB241" s="14" t="str">
        <f t="shared" si="70"/>
        <v/>
      </c>
      <c r="BC241" s="14" t="str">
        <f t="shared" si="71"/>
        <v/>
      </c>
      <c r="BD241" s="14" t="str">
        <f t="shared" si="72"/>
        <v/>
      </c>
      <c r="BE241" s="14" t="str">
        <f t="shared" si="73"/>
        <v/>
      </c>
    </row>
    <row r="242" spans="39:57" ht="16.5" x14ac:dyDescent="0.2">
      <c r="AM242" s="13">
        <v>237</v>
      </c>
      <c r="AN242" s="14">
        <f t="shared" si="74"/>
        <v>15</v>
      </c>
      <c r="AO242" s="29">
        <f t="shared" si="58"/>
        <v>0.66</v>
      </c>
      <c r="AP242" s="14">
        <f t="shared" si="59"/>
        <v>1</v>
      </c>
      <c r="AQ242" s="14">
        <f t="shared" si="60"/>
        <v>3</v>
      </c>
      <c r="AR242" s="14">
        <f t="shared" si="61"/>
        <v>0</v>
      </c>
      <c r="AS242" s="14">
        <f t="shared" si="62"/>
        <v>1606017</v>
      </c>
      <c r="AT242" s="14" t="str">
        <f t="shared" si="63"/>
        <v>神器-4-碎片-1-9级</v>
      </c>
      <c r="AU242" s="13" t="s">
        <v>1195</v>
      </c>
      <c r="AV242" s="13">
        <f t="shared" si="64"/>
        <v>9</v>
      </c>
      <c r="AW242" s="14">
        <f t="shared" si="65"/>
        <v>1965</v>
      </c>
      <c r="AX242" s="14" t="str">
        <f t="shared" si="66"/>
        <v>AtkExt</v>
      </c>
      <c r="AY242" s="14">
        <f t="shared" si="67"/>
        <v>356</v>
      </c>
      <c r="AZ242" s="14" t="str">
        <f t="shared" si="68"/>
        <v>HPExt</v>
      </c>
      <c r="BA242" s="14">
        <f t="shared" si="69"/>
        <v>185</v>
      </c>
      <c r="BB242" s="14" t="str">
        <f t="shared" si="70"/>
        <v/>
      </c>
      <c r="BC242" s="14" t="str">
        <f t="shared" si="71"/>
        <v/>
      </c>
      <c r="BD242" s="14" t="str">
        <f t="shared" si="72"/>
        <v/>
      </c>
      <c r="BE242" s="14" t="str">
        <f t="shared" si="73"/>
        <v/>
      </c>
    </row>
    <row r="243" spans="39:57" ht="16.5" x14ac:dyDescent="0.2">
      <c r="AM243" s="13">
        <v>238</v>
      </c>
      <c r="AN243" s="14">
        <f t="shared" si="74"/>
        <v>15</v>
      </c>
      <c r="AO243" s="29">
        <f t="shared" si="58"/>
        <v>0.748</v>
      </c>
      <c r="AP243" s="14">
        <f t="shared" si="59"/>
        <v>1</v>
      </c>
      <c r="AQ243" s="14">
        <f t="shared" si="60"/>
        <v>3</v>
      </c>
      <c r="AR243" s="14">
        <f t="shared" si="61"/>
        <v>0</v>
      </c>
      <c r="AS243" s="14">
        <f t="shared" si="62"/>
        <v>1606017</v>
      </c>
      <c r="AT243" s="14" t="str">
        <f t="shared" si="63"/>
        <v>神器-4-碎片-1-10级</v>
      </c>
      <c r="AU243" s="13" t="s">
        <v>1195</v>
      </c>
      <c r="AV243" s="13">
        <f t="shared" si="64"/>
        <v>10</v>
      </c>
      <c r="AW243" s="14">
        <f t="shared" si="65"/>
        <v>2225</v>
      </c>
      <c r="AX243" s="14" t="str">
        <f t="shared" si="66"/>
        <v>AtkExt</v>
      </c>
      <c r="AY243" s="14">
        <f t="shared" si="67"/>
        <v>403</v>
      </c>
      <c r="AZ243" s="14" t="str">
        <f t="shared" si="68"/>
        <v>HPExt</v>
      </c>
      <c r="BA243" s="14">
        <f t="shared" si="69"/>
        <v>210</v>
      </c>
      <c r="BB243" s="14" t="str">
        <f t="shared" si="70"/>
        <v/>
      </c>
      <c r="BC243" s="14" t="str">
        <f t="shared" si="71"/>
        <v/>
      </c>
      <c r="BD243" s="14" t="str">
        <f t="shared" si="72"/>
        <v/>
      </c>
      <c r="BE243" s="14" t="str">
        <f t="shared" si="73"/>
        <v/>
      </c>
    </row>
    <row r="244" spans="39:57" ht="16.5" x14ac:dyDescent="0.2">
      <c r="AM244" s="13">
        <v>239</v>
      </c>
      <c r="AN244" s="14">
        <f t="shared" si="74"/>
        <v>15</v>
      </c>
      <c r="AO244" s="29">
        <f t="shared" si="58"/>
        <v>0.84000000000000008</v>
      </c>
      <c r="AP244" s="14">
        <f t="shared" si="59"/>
        <v>1</v>
      </c>
      <c r="AQ244" s="14">
        <f t="shared" si="60"/>
        <v>3</v>
      </c>
      <c r="AR244" s="14">
        <f t="shared" si="61"/>
        <v>0</v>
      </c>
      <c r="AS244" s="14">
        <f t="shared" si="62"/>
        <v>1606017</v>
      </c>
      <c r="AT244" s="14" t="str">
        <f t="shared" si="63"/>
        <v>神器-4-碎片-1-11级</v>
      </c>
      <c r="AU244" s="13" t="s">
        <v>1195</v>
      </c>
      <c r="AV244" s="13">
        <f t="shared" si="64"/>
        <v>11</v>
      </c>
      <c r="AW244" s="14">
        <f t="shared" si="65"/>
        <v>2501</v>
      </c>
      <c r="AX244" s="14" t="str">
        <f t="shared" si="66"/>
        <v>AtkExt</v>
      </c>
      <c r="AY244" s="14">
        <f t="shared" si="67"/>
        <v>453</v>
      </c>
      <c r="AZ244" s="14" t="str">
        <f t="shared" si="68"/>
        <v>HPExt</v>
      </c>
      <c r="BA244" s="14">
        <f t="shared" si="69"/>
        <v>236</v>
      </c>
      <c r="BB244" s="14" t="str">
        <f t="shared" si="70"/>
        <v/>
      </c>
      <c r="BC244" s="14" t="str">
        <f t="shared" si="71"/>
        <v/>
      </c>
      <c r="BD244" s="14" t="str">
        <f t="shared" si="72"/>
        <v/>
      </c>
      <c r="BE244" s="14" t="str">
        <f t="shared" si="73"/>
        <v/>
      </c>
    </row>
    <row r="245" spans="39:57" ht="16.5" x14ac:dyDescent="0.2">
      <c r="AM245" s="13">
        <v>240</v>
      </c>
      <c r="AN245" s="14">
        <f t="shared" si="74"/>
        <v>15</v>
      </c>
      <c r="AO245" s="29">
        <f t="shared" si="58"/>
        <v>0.93600000000000017</v>
      </c>
      <c r="AP245" s="14">
        <f t="shared" si="59"/>
        <v>1</v>
      </c>
      <c r="AQ245" s="14">
        <f t="shared" si="60"/>
        <v>3</v>
      </c>
      <c r="AR245" s="14">
        <f t="shared" si="61"/>
        <v>0</v>
      </c>
      <c r="AS245" s="14">
        <f t="shared" si="62"/>
        <v>1606017</v>
      </c>
      <c r="AT245" s="14" t="str">
        <f t="shared" si="63"/>
        <v>神器-4-碎片-1-12级</v>
      </c>
      <c r="AU245" s="13" t="s">
        <v>1195</v>
      </c>
      <c r="AV245" s="13">
        <f t="shared" si="64"/>
        <v>12</v>
      </c>
      <c r="AW245" s="14">
        <f t="shared" si="65"/>
        <v>2788</v>
      </c>
      <c r="AX245" s="14" t="str">
        <f t="shared" si="66"/>
        <v>AtkExt</v>
      </c>
      <c r="AY245" s="14">
        <f t="shared" si="67"/>
        <v>505</v>
      </c>
      <c r="AZ245" s="14" t="str">
        <f t="shared" si="68"/>
        <v>HPExt</v>
      </c>
      <c r="BA245" s="14">
        <f t="shared" si="69"/>
        <v>263</v>
      </c>
      <c r="BB245" s="14" t="str">
        <f t="shared" si="70"/>
        <v/>
      </c>
      <c r="BC245" s="14" t="str">
        <f t="shared" si="71"/>
        <v/>
      </c>
      <c r="BD245" s="14" t="str">
        <f t="shared" si="72"/>
        <v/>
      </c>
      <c r="BE245" s="14" t="str">
        <f t="shared" si="73"/>
        <v/>
      </c>
    </row>
    <row r="246" spans="39:57" ht="16.5" x14ac:dyDescent="0.2">
      <c r="AM246" s="13">
        <v>241</v>
      </c>
      <c r="AN246" s="14">
        <f t="shared" si="74"/>
        <v>15</v>
      </c>
      <c r="AO246" s="29">
        <f t="shared" si="58"/>
        <v>1.036</v>
      </c>
      <c r="AP246" s="14">
        <f t="shared" si="59"/>
        <v>1</v>
      </c>
      <c r="AQ246" s="14">
        <f t="shared" si="60"/>
        <v>3</v>
      </c>
      <c r="AR246" s="14">
        <f t="shared" si="61"/>
        <v>0</v>
      </c>
      <c r="AS246" s="14">
        <f t="shared" si="62"/>
        <v>1606017</v>
      </c>
      <c r="AT246" s="14" t="str">
        <f t="shared" si="63"/>
        <v>神器-4-碎片-1-13级</v>
      </c>
      <c r="AU246" s="13" t="s">
        <v>1195</v>
      </c>
      <c r="AV246" s="13">
        <f t="shared" si="64"/>
        <v>13</v>
      </c>
      <c r="AW246" s="14">
        <f t="shared" si="65"/>
        <v>3086</v>
      </c>
      <c r="AX246" s="14" t="str">
        <f t="shared" si="66"/>
        <v>AtkExt</v>
      </c>
      <c r="AY246" s="14">
        <f t="shared" si="67"/>
        <v>559</v>
      </c>
      <c r="AZ246" s="14" t="str">
        <f t="shared" si="68"/>
        <v>HPExt</v>
      </c>
      <c r="BA246" s="14">
        <f t="shared" si="69"/>
        <v>291</v>
      </c>
      <c r="BB246" s="14" t="str">
        <f t="shared" si="70"/>
        <v/>
      </c>
      <c r="BC246" s="14" t="str">
        <f t="shared" si="71"/>
        <v/>
      </c>
      <c r="BD246" s="14" t="str">
        <f t="shared" si="72"/>
        <v/>
      </c>
      <c r="BE246" s="14" t="str">
        <f t="shared" si="73"/>
        <v/>
      </c>
    </row>
    <row r="247" spans="39:57" ht="16.5" x14ac:dyDescent="0.2">
      <c r="AM247" s="13">
        <v>242</v>
      </c>
      <c r="AN247" s="14">
        <f t="shared" si="74"/>
        <v>15</v>
      </c>
      <c r="AO247" s="29">
        <f t="shared" si="58"/>
        <v>1.1400000000000001</v>
      </c>
      <c r="AP247" s="14">
        <f t="shared" si="59"/>
        <v>1</v>
      </c>
      <c r="AQ247" s="14">
        <f t="shared" si="60"/>
        <v>3</v>
      </c>
      <c r="AR247" s="14">
        <f t="shared" si="61"/>
        <v>0</v>
      </c>
      <c r="AS247" s="14">
        <f t="shared" si="62"/>
        <v>1606017</v>
      </c>
      <c r="AT247" s="14" t="str">
        <f t="shared" si="63"/>
        <v>神器-4-碎片-1-14级</v>
      </c>
      <c r="AU247" s="13" t="s">
        <v>1195</v>
      </c>
      <c r="AV247" s="13">
        <f t="shared" si="64"/>
        <v>14</v>
      </c>
      <c r="AW247" s="14">
        <f t="shared" si="65"/>
        <v>3395</v>
      </c>
      <c r="AX247" s="14" t="str">
        <f t="shared" si="66"/>
        <v>AtkExt</v>
      </c>
      <c r="AY247" s="14">
        <f t="shared" si="67"/>
        <v>615</v>
      </c>
      <c r="AZ247" s="14" t="str">
        <f t="shared" si="68"/>
        <v>HPExt</v>
      </c>
      <c r="BA247" s="14">
        <f t="shared" si="69"/>
        <v>320</v>
      </c>
      <c r="BB247" s="14" t="str">
        <f t="shared" si="70"/>
        <v/>
      </c>
      <c r="BC247" s="14" t="str">
        <f t="shared" si="71"/>
        <v/>
      </c>
      <c r="BD247" s="14" t="str">
        <f t="shared" si="72"/>
        <v/>
      </c>
      <c r="BE247" s="14" t="str">
        <f t="shared" si="73"/>
        <v/>
      </c>
    </row>
    <row r="248" spans="39:57" ht="16.5" x14ac:dyDescent="0.2">
      <c r="AM248" s="13">
        <v>243</v>
      </c>
      <c r="AN248" s="14">
        <f t="shared" si="74"/>
        <v>15</v>
      </c>
      <c r="AO248" s="29">
        <f t="shared" si="58"/>
        <v>1.248</v>
      </c>
      <c r="AP248" s="14">
        <f t="shared" si="59"/>
        <v>1</v>
      </c>
      <c r="AQ248" s="14">
        <f t="shared" si="60"/>
        <v>3</v>
      </c>
      <c r="AR248" s="14">
        <f t="shared" si="61"/>
        <v>0</v>
      </c>
      <c r="AS248" s="14">
        <f t="shared" si="62"/>
        <v>1606017</v>
      </c>
      <c r="AT248" s="14" t="str">
        <f t="shared" si="63"/>
        <v>神器-4-碎片-1-15级</v>
      </c>
      <c r="AU248" s="13" t="s">
        <v>1195</v>
      </c>
      <c r="AV248" s="13">
        <f t="shared" si="64"/>
        <v>15</v>
      </c>
      <c r="AW248" s="14">
        <f t="shared" si="65"/>
        <v>3715</v>
      </c>
      <c r="AX248" s="14" t="str">
        <f t="shared" si="66"/>
        <v>AtkExt</v>
      </c>
      <c r="AY248" s="14">
        <f t="shared" si="67"/>
        <v>673</v>
      </c>
      <c r="AZ248" s="14" t="str">
        <f t="shared" si="68"/>
        <v>HPExt</v>
      </c>
      <c r="BA248" s="14">
        <f t="shared" si="69"/>
        <v>350</v>
      </c>
      <c r="BB248" s="14" t="str">
        <f t="shared" si="70"/>
        <v/>
      </c>
      <c r="BC248" s="14" t="str">
        <f t="shared" si="71"/>
        <v/>
      </c>
      <c r="BD248" s="14" t="str">
        <f t="shared" si="72"/>
        <v/>
      </c>
      <c r="BE248" s="14" t="str">
        <f t="shared" si="73"/>
        <v/>
      </c>
    </row>
    <row r="249" spans="39:57" ht="16.5" x14ac:dyDescent="0.2">
      <c r="AM249" s="13">
        <v>244</v>
      </c>
      <c r="AN249" s="14">
        <f t="shared" si="74"/>
        <v>15</v>
      </c>
      <c r="AO249" s="29">
        <f t="shared" si="58"/>
        <v>1.36</v>
      </c>
      <c r="AP249" s="14">
        <f t="shared" si="59"/>
        <v>1</v>
      </c>
      <c r="AQ249" s="14">
        <f t="shared" si="60"/>
        <v>3</v>
      </c>
      <c r="AR249" s="14">
        <f t="shared" si="61"/>
        <v>0</v>
      </c>
      <c r="AS249" s="14">
        <f t="shared" si="62"/>
        <v>1606017</v>
      </c>
      <c r="AT249" s="14" t="str">
        <f t="shared" si="63"/>
        <v>神器-4-碎片-1-16级</v>
      </c>
      <c r="AU249" s="13" t="s">
        <v>1195</v>
      </c>
      <c r="AV249" s="13">
        <f t="shared" si="64"/>
        <v>16</v>
      </c>
      <c r="AW249" s="14">
        <f t="shared" si="65"/>
        <v>4047</v>
      </c>
      <c r="AX249" s="14" t="str">
        <f t="shared" si="66"/>
        <v>AtkExt</v>
      </c>
      <c r="AY249" s="14">
        <f t="shared" si="67"/>
        <v>733</v>
      </c>
      <c r="AZ249" s="14" t="str">
        <f t="shared" si="68"/>
        <v>HPExt</v>
      </c>
      <c r="BA249" s="14">
        <f t="shared" si="69"/>
        <v>382</v>
      </c>
      <c r="BB249" s="14" t="str">
        <f t="shared" si="70"/>
        <v/>
      </c>
      <c r="BC249" s="14" t="str">
        <f t="shared" si="71"/>
        <v/>
      </c>
      <c r="BD249" s="14" t="str">
        <f t="shared" si="72"/>
        <v/>
      </c>
      <c r="BE249" s="14" t="str">
        <f t="shared" si="73"/>
        <v/>
      </c>
    </row>
    <row r="250" spans="39:57" ht="16.5" x14ac:dyDescent="0.2">
      <c r="AM250" s="13">
        <v>245</v>
      </c>
      <c r="AN250" s="14">
        <f t="shared" si="74"/>
        <v>15</v>
      </c>
      <c r="AO250" s="29">
        <f t="shared" si="58"/>
        <v>1.476</v>
      </c>
      <c r="AP250" s="14">
        <f t="shared" si="59"/>
        <v>1</v>
      </c>
      <c r="AQ250" s="14">
        <f t="shared" si="60"/>
        <v>3</v>
      </c>
      <c r="AR250" s="14">
        <f t="shared" si="61"/>
        <v>0</v>
      </c>
      <c r="AS250" s="14">
        <f t="shared" si="62"/>
        <v>1606017</v>
      </c>
      <c r="AT250" s="14" t="str">
        <f t="shared" si="63"/>
        <v>神器-4-碎片-1-17级</v>
      </c>
      <c r="AU250" s="13" t="s">
        <v>1195</v>
      </c>
      <c r="AV250" s="13">
        <f t="shared" si="64"/>
        <v>17</v>
      </c>
      <c r="AW250" s="14">
        <f t="shared" si="65"/>
        <v>4394</v>
      </c>
      <c r="AX250" s="14" t="str">
        <f t="shared" si="66"/>
        <v>AtkExt</v>
      </c>
      <c r="AY250" s="14">
        <f t="shared" si="67"/>
        <v>796</v>
      </c>
      <c r="AZ250" s="14" t="str">
        <f t="shared" si="68"/>
        <v>HPExt</v>
      </c>
      <c r="BA250" s="14">
        <f t="shared" si="69"/>
        <v>414</v>
      </c>
      <c r="BB250" s="14" t="str">
        <f t="shared" si="70"/>
        <v/>
      </c>
      <c r="BC250" s="14" t="str">
        <f t="shared" si="71"/>
        <v/>
      </c>
      <c r="BD250" s="14" t="str">
        <f t="shared" si="72"/>
        <v/>
      </c>
      <c r="BE250" s="14" t="str">
        <f t="shared" si="73"/>
        <v/>
      </c>
    </row>
    <row r="251" spans="39:57" ht="16.5" x14ac:dyDescent="0.2">
      <c r="AM251" s="13">
        <v>246</v>
      </c>
      <c r="AN251" s="14">
        <f t="shared" si="74"/>
        <v>15</v>
      </c>
      <c r="AO251" s="29">
        <f t="shared" si="58"/>
        <v>1.5960000000000001</v>
      </c>
      <c r="AP251" s="14">
        <f t="shared" si="59"/>
        <v>1</v>
      </c>
      <c r="AQ251" s="14">
        <f t="shared" si="60"/>
        <v>3</v>
      </c>
      <c r="AR251" s="14">
        <f t="shared" si="61"/>
        <v>0</v>
      </c>
      <c r="AS251" s="14">
        <f t="shared" si="62"/>
        <v>1606017</v>
      </c>
      <c r="AT251" s="14" t="str">
        <f t="shared" si="63"/>
        <v>神器-4-碎片-1-18级</v>
      </c>
      <c r="AU251" s="13" t="s">
        <v>1195</v>
      </c>
      <c r="AV251" s="13">
        <f t="shared" si="64"/>
        <v>18</v>
      </c>
      <c r="AW251" s="14">
        <f t="shared" si="65"/>
        <v>4748</v>
      </c>
      <c r="AX251" s="14" t="str">
        <f t="shared" si="66"/>
        <v>AtkExt</v>
      </c>
      <c r="AY251" s="14">
        <f t="shared" si="67"/>
        <v>860</v>
      </c>
      <c r="AZ251" s="14" t="str">
        <f t="shared" si="68"/>
        <v>HPExt</v>
      </c>
      <c r="BA251" s="14">
        <f t="shared" si="69"/>
        <v>448</v>
      </c>
      <c r="BB251" s="14" t="str">
        <f t="shared" si="70"/>
        <v/>
      </c>
      <c r="BC251" s="14" t="str">
        <f t="shared" si="71"/>
        <v/>
      </c>
      <c r="BD251" s="14" t="str">
        <f t="shared" si="72"/>
        <v/>
      </c>
      <c r="BE251" s="14" t="str">
        <f t="shared" si="73"/>
        <v/>
      </c>
    </row>
    <row r="252" spans="39:57" ht="16.5" x14ac:dyDescent="0.2">
      <c r="AM252" s="13">
        <v>247</v>
      </c>
      <c r="AN252" s="14">
        <f t="shared" si="74"/>
        <v>16</v>
      </c>
      <c r="AO252" s="29">
        <f t="shared" si="58"/>
        <v>0.1</v>
      </c>
      <c r="AP252" s="14">
        <f t="shared" si="59"/>
        <v>1</v>
      </c>
      <c r="AQ252" s="14">
        <f t="shared" si="60"/>
        <v>2</v>
      </c>
      <c r="AR252" s="14">
        <f t="shared" si="61"/>
        <v>0</v>
      </c>
      <c r="AS252" s="14">
        <f t="shared" si="62"/>
        <v>1606018</v>
      </c>
      <c r="AT252" s="14" t="str">
        <f t="shared" si="63"/>
        <v>神器-4-碎片-2-1级</v>
      </c>
      <c r="AU252" s="13" t="s">
        <v>1195</v>
      </c>
      <c r="AV252" s="13">
        <f t="shared" si="64"/>
        <v>1</v>
      </c>
      <c r="AW252" s="14">
        <f t="shared" si="65"/>
        <v>550</v>
      </c>
      <c r="AX252" s="14" t="str">
        <f t="shared" si="66"/>
        <v>AtkExt</v>
      </c>
      <c r="AY252" s="14">
        <f t="shared" si="67"/>
        <v>54</v>
      </c>
      <c r="AZ252" s="14" t="str">
        <f t="shared" si="68"/>
        <v>DefExt</v>
      </c>
      <c r="BA252" s="14">
        <f t="shared" si="69"/>
        <v>28</v>
      </c>
      <c r="BB252" s="14" t="str">
        <f t="shared" si="70"/>
        <v/>
      </c>
      <c r="BC252" s="14" t="str">
        <f t="shared" si="71"/>
        <v/>
      </c>
      <c r="BD252" s="14" t="str">
        <f t="shared" si="72"/>
        <v/>
      </c>
      <c r="BE252" s="14" t="str">
        <f t="shared" si="73"/>
        <v/>
      </c>
    </row>
    <row r="253" spans="39:57" ht="16.5" x14ac:dyDescent="0.2">
      <c r="AM253" s="13">
        <v>248</v>
      </c>
      <c r="AN253" s="14">
        <f t="shared" si="74"/>
        <v>16</v>
      </c>
      <c r="AO253" s="29">
        <f t="shared" si="58"/>
        <v>0.15600000000000003</v>
      </c>
      <c r="AP253" s="14">
        <f t="shared" si="59"/>
        <v>1</v>
      </c>
      <c r="AQ253" s="14">
        <f t="shared" si="60"/>
        <v>2</v>
      </c>
      <c r="AR253" s="14">
        <f t="shared" si="61"/>
        <v>0</v>
      </c>
      <c r="AS253" s="14">
        <f t="shared" si="62"/>
        <v>1606018</v>
      </c>
      <c r="AT253" s="14" t="str">
        <f t="shared" si="63"/>
        <v>神器-4-碎片-2-2级</v>
      </c>
      <c r="AU253" s="13" t="s">
        <v>1195</v>
      </c>
      <c r="AV253" s="13">
        <f t="shared" si="64"/>
        <v>2</v>
      </c>
      <c r="AW253" s="14">
        <f t="shared" si="65"/>
        <v>850</v>
      </c>
      <c r="AX253" s="14" t="str">
        <f t="shared" si="66"/>
        <v>AtkExt</v>
      </c>
      <c r="AY253" s="14">
        <f t="shared" si="67"/>
        <v>84</v>
      </c>
      <c r="AZ253" s="14" t="str">
        <f t="shared" si="68"/>
        <v>DefExt</v>
      </c>
      <c r="BA253" s="14">
        <f t="shared" si="69"/>
        <v>43</v>
      </c>
      <c r="BB253" s="14" t="str">
        <f t="shared" si="70"/>
        <v/>
      </c>
      <c r="BC253" s="14" t="str">
        <f t="shared" si="71"/>
        <v/>
      </c>
      <c r="BD253" s="14" t="str">
        <f t="shared" si="72"/>
        <v/>
      </c>
      <c r="BE253" s="14" t="str">
        <f t="shared" si="73"/>
        <v/>
      </c>
    </row>
    <row r="254" spans="39:57" ht="16.5" x14ac:dyDescent="0.2">
      <c r="AM254" s="13">
        <v>249</v>
      </c>
      <c r="AN254" s="14">
        <f t="shared" si="74"/>
        <v>16</v>
      </c>
      <c r="AO254" s="29">
        <f t="shared" si="58"/>
        <v>0.21600000000000003</v>
      </c>
      <c r="AP254" s="14">
        <f t="shared" si="59"/>
        <v>1</v>
      </c>
      <c r="AQ254" s="14">
        <f t="shared" si="60"/>
        <v>2</v>
      </c>
      <c r="AR254" s="14">
        <f t="shared" si="61"/>
        <v>0</v>
      </c>
      <c r="AS254" s="14">
        <f t="shared" si="62"/>
        <v>1606018</v>
      </c>
      <c r="AT254" s="14" t="str">
        <f t="shared" si="63"/>
        <v>神器-4-碎片-2-3级</v>
      </c>
      <c r="AU254" s="13" t="s">
        <v>1195</v>
      </c>
      <c r="AV254" s="13">
        <f t="shared" si="64"/>
        <v>3</v>
      </c>
      <c r="AW254" s="14">
        <f t="shared" si="65"/>
        <v>1180</v>
      </c>
      <c r="AX254" s="14" t="str">
        <f t="shared" si="66"/>
        <v>AtkExt</v>
      </c>
      <c r="AY254" s="14">
        <f t="shared" si="67"/>
        <v>116</v>
      </c>
      <c r="AZ254" s="14" t="str">
        <f t="shared" si="68"/>
        <v>DefExt</v>
      </c>
      <c r="BA254" s="14">
        <f t="shared" si="69"/>
        <v>60</v>
      </c>
      <c r="BB254" s="14" t="str">
        <f t="shared" si="70"/>
        <v/>
      </c>
      <c r="BC254" s="14" t="str">
        <f t="shared" si="71"/>
        <v/>
      </c>
      <c r="BD254" s="14" t="str">
        <f t="shared" si="72"/>
        <v/>
      </c>
      <c r="BE254" s="14" t="str">
        <f t="shared" si="73"/>
        <v/>
      </c>
    </row>
    <row r="255" spans="39:57" ht="16.5" x14ac:dyDescent="0.2">
      <c r="AM255" s="13">
        <v>250</v>
      </c>
      <c r="AN255" s="14">
        <f t="shared" si="74"/>
        <v>16</v>
      </c>
      <c r="AO255" s="29">
        <f t="shared" si="58"/>
        <v>0.28000000000000003</v>
      </c>
      <c r="AP255" s="14">
        <f t="shared" si="59"/>
        <v>1</v>
      </c>
      <c r="AQ255" s="14">
        <f t="shared" si="60"/>
        <v>2</v>
      </c>
      <c r="AR255" s="14">
        <f t="shared" si="61"/>
        <v>0</v>
      </c>
      <c r="AS255" s="14">
        <f t="shared" si="62"/>
        <v>1606018</v>
      </c>
      <c r="AT255" s="14" t="str">
        <f t="shared" si="63"/>
        <v>神器-4-碎片-2-4级</v>
      </c>
      <c r="AU255" s="13" t="s">
        <v>1195</v>
      </c>
      <c r="AV255" s="13">
        <f t="shared" si="64"/>
        <v>4</v>
      </c>
      <c r="AW255" s="14">
        <f t="shared" si="65"/>
        <v>1535</v>
      </c>
      <c r="AX255" s="14" t="str">
        <f t="shared" si="66"/>
        <v>AtkExt</v>
      </c>
      <c r="AY255" s="14">
        <f t="shared" si="67"/>
        <v>151</v>
      </c>
      <c r="AZ255" s="14" t="str">
        <f t="shared" si="68"/>
        <v>DefExt</v>
      </c>
      <c r="BA255" s="14">
        <f t="shared" si="69"/>
        <v>78</v>
      </c>
      <c r="BB255" s="14" t="str">
        <f t="shared" si="70"/>
        <v/>
      </c>
      <c r="BC255" s="14" t="str">
        <f t="shared" si="71"/>
        <v/>
      </c>
      <c r="BD255" s="14" t="str">
        <f t="shared" si="72"/>
        <v/>
      </c>
      <c r="BE255" s="14" t="str">
        <f t="shared" si="73"/>
        <v/>
      </c>
    </row>
    <row r="256" spans="39:57" ht="16.5" x14ac:dyDescent="0.2">
      <c r="AM256" s="13">
        <v>251</v>
      </c>
      <c r="AN256" s="14">
        <f t="shared" si="74"/>
        <v>16</v>
      </c>
      <c r="AO256" s="29">
        <f t="shared" si="58"/>
        <v>0.34799999999999998</v>
      </c>
      <c r="AP256" s="14">
        <f t="shared" si="59"/>
        <v>1</v>
      </c>
      <c r="AQ256" s="14">
        <f t="shared" si="60"/>
        <v>2</v>
      </c>
      <c r="AR256" s="14">
        <f t="shared" si="61"/>
        <v>0</v>
      </c>
      <c r="AS256" s="14">
        <f t="shared" si="62"/>
        <v>1606018</v>
      </c>
      <c r="AT256" s="14" t="str">
        <f t="shared" si="63"/>
        <v>神器-4-碎片-2-5级</v>
      </c>
      <c r="AU256" s="13" t="s">
        <v>1195</v>
      </c>
      <c r="AV256" s="13">
        <f t="shared" si="64"/>
        <v>5</v>
      </c>
      <c r="AW256" s="14">
        <f t="shared" si="65"/>
        <v>1900</v>
      </c>
      <c r="AX256" s="14" t="str">
        <f t="shared" si="66"/>
        <v>AtkExt</v>
      </c>
      <c r="AY256" s="14">
        <f t="shared" si="67"/>
        <v>188</v>
      </c>
      <c r="AZ256" s="14" t="str">
        <f t="shared" si="68"/>
        <v>DefExt</v>
      </c>
      <c r="BA256" s="14">
        <f t="shared" si="69"/>
        <v>96</v>
      </c>
      <c r="BB256" s="14" t="str">
        <f t="shared" si="70"/>
        <v/>
      </c>
      <c r="BC256" s="14" t="str">
        <f t="shared" si="71"/>
        <v/>
      </c>
      <c r="BD256" s="14" t="str">
        <f t="shared" si="72"/>
        <v/>
      </c>
      <c r="BE256" s="14" t="str">
        <f t="shared" si="73"/>
        <v/>
      </c>
    </row>
    <row r="257" spans="39:57" ht="16.5" x14ac:dyDescent="0.2">
      <c r="AM257" s="13">
        <v>252</v>
      </c>
      <c r="AN257" s="14">
        <f t="shared" si="74"/>
        <v>16</v>
      </c>
      <c r="AO257" s="29">
        <f t="shared" si="58"/>
        <v>0.42000000000000004</v>
      </c>
      <c r="AP257" s="14">
        <f t="shared" si="59"/>
        <v>1</v>
      </c>
      <c r="AQ257" s="14">
        <f t="shared" si="60"/>
        <v>2</v>
      </c>
      <c r="AR257" s="14">
        <f t="shared" si="61"/>
        <v>0</v>
      </c>
      <c r="AS257" s="14">
        <f t="shared" si="62"/>
        <v>1606018</v>
      </c>
      <c r="AT257" s="14" t="str">
        <f t="shared" si="63"/>
        <v>神器-4-碎片-2-6级</v>
      </c>
      <c r="AU257" s="13" t="s">
        <v>1195</v>
      </c>
      <c r="AV257" s="13">
        <f t="shared" si="64"/>
        <v>6</v>
      </c>
      <c r="AW257" s="14">
        <f t="shared" si="65"/>
        <v>2290</v>
      </c>
      <c r="AX257" s="14" t="str">
        <f t="shared" si="66"/>
        <v>AtkExt</v>
      </c>
      <c r="AY257" s="14">
        <f t="shared" si="67"/>
        <v>226</v>
      </c>
      <c r="AZ257" s="14" t="str">
        <f t="shared" si="68"/>
        <v>DefExt</v>
      </c>
      <c r="BA257" s="14">
        <f t="shared" si="69"/>
        <v>116</v>
      </c>
      <c r="BB257" s="14" t="str">
        <f t="shared" si="70"/>
        <v/>
      </c>
      <c r="BC257" s="14" t="str">
        <f t="shared" si="71"/>
        <v/>
      </c>
      <c r="BD257" s="14" t="str">
        <f t="shared" si="72"/>
        <v/>
      </c>
      <c r="BE257" s="14" t="str">
        <f t="shared" si="73"/>
        <v/>
      </c>
    </row>
    <row r="258" spans="39:57" ht="16.5" x14ac:dyDescent="0.2">
      <c r="AM258" s="13">
        <v>253</v>
      </c>
      <c r="AN258" s="14">
        <f t="shared" si="74"/>
        <v>16</v>
      </c>
      <c r="AO258" s="29">
        <f t="shared" si="58"/>
        <v>0.496</v>
      </c>
      <c r="AP258" s="14">
        <f t="shared" si="59"/>
        <v>1</v>
      </c>
      <c r="AQ258" s="14">
        <f t="shared" si="60"/>
        <v>2</v>
      </c>
      <c r="AR258" s="14">
        <f t="shared" si="61"/>
        <v>0</v>
      </c>
      <c r="AS258" s="14">
        <f t="shared" si="62"/>
        <v>1606018</v>
      </c>
      <c r="AT258" s="14" t="str">
        <f t="shared" si="63"/>
        <v>神器-4-碎片-2-7级</v>
      </c>
      <c r="AU258" s="13" t="s">
        <v>1195</v>
      </c>
      <c r="AV258" s="13">
        <f t="shared" si="64"/>
        <v>7</v>
      </c>
      <c r="AW258" s="14">
        <f t="shared" si="65"/>
        <v>2705</v>
      </c>
      <c r="AX258" s="14" t="str">
        <f t="shared" si="66"/>
        <v>AtkExt</v>
      </c>
      <c r="AY258" s="14">
        <f t="shared" si="67"/>
        <v>267</v>
      </c>
      <c r="AZ258" s="14" t="str">
        <f t="shared" si="68"/>
        <v>DefExt</v>
      </c>
      <c r="BA258" s="14">
        <f t="shared" si="69"/>
        <v>137</v>
      </c>
      <c r="BB258" s="14" t="str">
        <f t="shared" si="70"/>
        <v/>
      </c>
      <c r="BC258" s="14" t="str">
        <f t="shared" si="71"/>
        <v/>
      </c>
      <c r="BD258" s="14" t="str">
        <f t="shared" si="72"/>
        <v/>
      </c>
      <c r="BE258" s="14" t="str">
        <f t="shared" si="73"/>
        <v/>
      </c>
    </row>
    <row r="259" spans="39:57" ht="16.5" x14ac:dyDescent="0.2">
      <c r="AM259" s="13">
        <v>254</v>
      </c>
      <c r="AN259" s="14">
        <f t="shared" si="74"/>
        <v>16</v>
      </c>
      <c r="AO259" s="29">
        <f t="shared" si="58"/>
        <v>0.57600000000000007</v>
      </c>
      <c r="AP259" s="14">
        <f t="shared" si="59"/>
        <v>1</v>
      </c>
      <c r="AQ259" s="14">
        <f t="shared" si="60"/>
        <v>2</v>
      </c>
      <c r="AR259" s="14">
        <f t="shared" si="61"/>
        <v>0</v>
      </c>
      <c r="AS259" s="14">
        <f t="shared" si="62"/>
        <v>1606018</v>
      </c>
      <c r="AT259" s="14" t="str">
        <f t="shared" si="63"/>
        <v>神器-4-碎片-2-8级</v>
      </c>
      <c r="AU259" s="13" t="s">
        <v>1195</v>
      </c>
      <c r="AV259" s="13">
        <f t="shared" si="64"/>
        <v>8</v>
      </c>
      <c r="AW259" s="14">
        <f t="shared" si="65"/>
        <v>3155</v>
      </c>
      <c r="AX259" s="14" t="str">
        <f t="shared" si="66"/>
        <v>AtkExt</v>
      </c>
      <c r="AY259" s="14">
        <f t="shared" si="67"/>
        <v>311</v>
      </c>
      <c r="AZ259" s="14" t="str">
        <f t="shared" si="68"/>
        <v>DefExt</v>
      </c>
      <c r="BA259" s="14">
        <f t="shared" si="69"/>
        <v>160</v>
      </c>
      <c r="BB259" s="14" t="str">
        <f t="shared" si="70"/>
        <v/>
      </c>
      <c r="BC259" s="14" t="str">
        <f t="shared" si="71"/>
        <v/>
      </c>
      <c r="BD259" s="14" t="str">
        <f t="shared" si="72"/>
        <v/>
      </c>
      <c r="BE259" s="14" t="str">
        <f t="shared" si="73"/>
        <v/>
      </c>
    </row>
    <row r="260" spans="39:57" ht="16.5" x14ac:dyDescent="0.2">
      <c r="AM260" s="13">
        <v>255</v>
      </c>
      <c r="AN260" s="14">
        <f t="shared" si="74"/>
        <v>16</v>
      </c>
      <c r="AO260" s="29">
        <f t="shared" si="58"/>
        <v>0.66</v>
      </c>
      <c r="AP260" s="14">
        <f t="shared" si="59"/>
        <v>1</v>
      </c>
      <c r="AQ260" s="14">
        <f t="shared" si="60"/>
        <v>2</v>
      </c>
      <c r="AR260" s="14">
        <f t="shared" si="61"/>
        <v>0</v>
      </c>
      <c r="AS260" s="14">
        <f t="shared" si="62"/>
        <v>1606018</v>
      </c>
      <c r="AT260" s="14" t="str">
        <f t="shared" si="63"/>
        <v>神器-4-碎片-2-9级</v>
      </c>
      <c r="AU260" s="13" t="s">
        <v>1195</v>
      </c>
      <c r="AV260" s="13">
        <f t="shared" si="64"/>
        <v>9</v>
      </c>
      <c r="AW260" s="14">
        <f t="shared" si="65"/>
        <v>3610</v>
      </c>
      <c r="AX260" s="14" t="str">
        <f t="shared" si="66"/>
        <v>AtkExt</v>
      </c>
      <c r="AY260" s="14">
        <f t="shared" si="67"/>
        <v>356</v>
      </c>
      <c r="AZ260" s="14" t="str">
        <f t="shared" si="68"/>
        <v>DefExt</v>
      </c>
      <c r="BA260" s="14">
        <f t="shared" si="69"/>
        <v>183</v>
      </c>
      <c r="BB260" s="14" t="str">
        <f t="shared" si="70"/>
        <v/>
      </c>
      <c r="BC260" s="14" t="str">
        <f t="shared" si="71"/>
        <v/>
      </c>
      <c r="BD260" s="14" t="str">
        <f t="shared" si="72"/>
        <v/>
      </c>
      <c r="BE260" s="14" t="str">
        <f t="shared" si="73"/>
        <v/>
      </c>
    </row>
    <row r="261" spans="39:57" ht="16.5" x14ac:dyDescent="0.2">
      <c r="AM261" s="13">
        <v>256</v>
      </c>
      <c r="AN261" s="14">
        <f t="shared" si="74"/>
        <v>16</v>
      </c>
      <c r="AO261" s="29">
        <f t="shared" si="58"/>
        <v>0.748</v>
      </c>
      <c r="AP261" s="14">
        <f t="shared" si="59"/>
        <v>1</v>
      </c>
      <c r="AQ261" s="14">
        <f t="shared" si="60"/>
        <v>2</v>
      </c>
      <c r="AR261" s="14">
        <f t="shared" si="61"/>
        <v>0</v>
      </c>
      <c r="AS261" s="14">
        <f t="shared" si="62"/>
        <v>1606018</v>
      </c>
      <c r="AT261" s="14" t="str">
        <f t="shared" si="63"/>
        <v>神器-4-碎片-2-10级</v>
      </c>
      <c r="AU261" s="13" t="s">
        <v>1195</v>
      </c>
      <c r="AV261" s="13">
        <f t="shared" si="64"/>
        <v>10</v>
      </c>
      <c r="AW261" s="14">
        <f t="shared" si="65"/>
        <v>4085</v>
      </c>
      <c r="AX261" s="14" t="str">
        <f t="shared" si="66"/>
        <v>AtkExt</v>
      </c>
      <c r="AY261" s="14">
        <f t="shared" si="67"/>
        <v>403</v>
      </c>
      <c r="AZ261" s="14" t="str">
        <f t="shared" si="68"/>
        <v>DefExt</v>
      </c>
      <c r="BA261" s="14">
        <f t="shared" si="69"/>
        <v>207</v>
      </c>
      <c r="BB261" s="14" t="str">
        <f t="shared" si="70"/>
        <v/>
      </c>
      <c r="BC261" s="14" t="str">
        <f t="shared" si="71"/>
        <v/>
      </c>
      <c r="BD261" s="14" t="str">
        <f t="shared" si="72"/>
        <v/>
      </c>
      <c r="BE261" s="14" t="str">
        <f t="shared" si="73"/>
        <v/>
      </c>
    </row>
    <row r="262" spans="39:57" ht="16.5" x14ac:dyDescent="0.2">
      <c r="AM262" s="13">
        <v>257</v>
      </c>
      <c r="AN262" s="14">
        <f t="shared" si="74"/>
        <v>16</v>
      </c>
      <c r="AO262" s="29">
        <f t="shared" ref="AO262:AO325" si="75">4.8%+AV262*5%+AV262*AV262*0.2%</f>
        <v>0.84000000000000008</v>
      </c>
      <c r="AP262" s="14">
        <f t="shared" ref="AP262:AP325" si="76">INDEX(AD$7:AD$48,$AN262)</f>
        <v>1</v>
      </c>
      <c r="AQ262" s="14">
        <f t="shared" ref="AQ262:AQ325" si="77">INDEX(AE$7:AE$48,$AN262)</f>
        <v>2</v>
      </c>
      <c r="AR262" s="14">
        <f t="shared" ref="AR262:AR325" si="78">INDEX(AF$7:AF$48,$AN262)</f>
        <v>0</v>
      </c>
      <c r="AS262" s="14">
        <f t="shared" ref="AS262:AS325" si="79">INDEX($W$7:$W$48,AN262)</f>
        <v>1606018</v>
      </c>
      <c r="AT262" s="14" t="str">
        <f t="shared" ref="AT262:AT325" si="80">"神器-"&amp;INDEX($S$7:$S$48,AN262)&amp;"-碎片-"&amp;INDEX($T$7:$T$48,AN262)&amp;"-"&amp;AV262&amp;"级"</f>
        <v>神器-4-碎片-2-11级</v>
      </c>
      <c r="AU262" s="13" t="s">
        <v>1195</v>
      </c>
      <c r="AV262" s="13">
        <f t="shared" ref="AV262:AV325" si="81">AM262-INDEX($AI$6:$AI$48,AN262)</f>
        <v>11</v>
      </c>
      <c r="AW262" s="14">
        <f t="shared" ref="AW262:AW325" si="82">AY262*INDEX($AP$2:$AR$2,AP262)+IF(AQ262&gt;0,BA262*INDEX($AP$2:$AR$2,AQ262),0)+IF(AR262&gt;0,BC262*INDEX($AP$2:$AR$2,AR262),0)+IF(BD262="Speed",BE262*100,0)</f>
        <v>4595</v>
      </c>
      <c r="AX262" s="14" t="str">
        <f t="shared" ref="AX262:AX325" si="83">INDEX($AP$3:$AR$3,AP262)</f>
        <v>AtkExt</v>
      </c>
      <c r="AY262" s="14">
        <f t="shared" ref="AY262:AY325" si="84">ROUND(INDEX($X$7:$Z$48,AN262,AP262)*AO262,0)</f>
        <v>453</v>
      </c>
      <c r="AZ262" s="14" t="str">
        <f t="shared" ref="AZ262:AZ325" si="85">IF(AQ262&gt;0,INDEX($AP$3:$AR$3,AQ262),"")</f>
        <v>DefExt</v>
      </c>
      <c r="BA262" s="14">
        <f t="shared" ref="BA262:BA325" si="86">IF(AQ262&gt;0,ROUND(INDEX($X$7:$Z$48,AN262,AQ262)*AO262,0),"")</f>
        <v>233</v>
      </c>
      <c r="BB262" s="14" t="str">
        <f t="shared" ref="BB262:BB325" si="87">IF(AR262&gt;0,INDEX($AP$3:$AR$3,AR262),"")</f>
        <v/>
      </c>
      <c r="BC262" s="14" t="str">
        <f t="shared" ref="BC262:BC325" si="88">IF(AR262&gt;0,ROUND(INDEX($X$7:$Z$48,AN262,AR262)*AO262,0),"")</f>
        <v/>
      </c>
      <c r="BD262" s="14" t="str">
        <f t="shared" ref="BD262:BD325" si="89">IF(INDEX($AG$7:$AG$48,AN262)&gt;0,"Speed","")</f>
        <v/>
      </c>
      <c r="BE262" s="14" t="str">
        <f t="shared" ref="BE262:BE325" si="90">IF(INDEX($AG$7:$AG$48,AN262)&gt;0,INDEX($AG$7:$AG$48,AN262)*AV262,"")</f>
        <v/>
      </c>
    </row>
    <row r="263" spans="39:57" ht="16.5" x14ac:dyDescent="0.2">
      <c r="AM263" s="13">
        <v>258</v>
      </c>
      <c r="AN263" s="14">
        <f t="shared" ref="AN263:AN326" si="91">MATCH(AM263-1,$AI$6:$AI$48,1)</f>
        <v>16</v>
      </c>
      <c r="AO263" s="29">
        <f t="shared" si="75"/>
        <v>0.93600000000000017</v>
      </c>
      <c r="AP263" s="14">
        <f t="shared" si="76"/>
        <v>1</v>
      </c>
      <c r="AQ263" s="14">
        <f t="shared" si="77"/>
        <v>2</v>
      </c>
      <c r="AR263" s="14">
        <f t="shared" si="78"/>
        <v>0</v>
      </c>
      <c r="AS263" s="14">
        <f t="shared" si="79"/>
        <v>1606018</v>
      </c>
      <c r="AT263" s="14" t="str">
        <f t="shared" si="80"/>
        <v>神器-4-碎片-2-12级</v>
      </c>
      <c r="AU263" s="13" t="s">
        <v>1195</v>
      </c>
      <c r="AV263" s="13">
        <f t="shared" si="81"/>
        <v>12</v>
      </c>
      <c r="AW263" s="14">
        <f t="shared" si="82"/>
        <v>5115</v>
      </c>
      <c r="AX263" s="14" t="str">
        <f t="shared" si="83"/>
        <v>AtkExt</v>
      </c>
      <c r="AY263" s="14">
        <f t="shared" si="84"/>
        <v>505</v>
      </c>
      <c r="AZ263" s="14" t="str">
        <f t="shared" si="85"/>
        <v>DefExt</v>
      </c>
      <c r="BA263" s="14">
        <f t="shared" si="86"/>
        <v>259</v>
      </c>
      <c r="BB263" s="14" t="str">
        <f t="shared" si="87"/>
        <v/>
      </c>
      <c r="BC263" s="14" t="str">
        <f t="shared" si="88"/>
        <v/>
      </c>
      <c r="BD263" s="14" t="str">
        <f t="shared" si="89"/>
        <v/>
      </c>
      <c r="BE263" s="14" t="str">
        <f t="shared" si="90"/>
        <v/>
      </c>
    </row>
    <row r="264" spans="39:57" ht="16.5" x14ac:dyDescent="0.2">
      <c r="AM264" s="13">
        <v>259</v>
      </c>
      <c r="AN264" s="14">
        <f t="shared" si="91"/>
        <v>16</v>
      </c>
      <c r="AO264" s="29">
        <f t="shared" si="75"/>
        <v>1.036</v>
      </c>
      <c r="AP264" s="14">
        <f t="shared" si="76"/>
        <v>1</v>
      </c>
      <c r="AQ264" s="14">
        <f t="shared" si="77"/>
        <v>2</v>
      </c>
      <c r="AR264" s="14">
        <f t="shared" si="78"/>
        <v>0</v>
      </c>
      <c r="AS264" s="14">
        <f t="shared" si="79"/>
        <v>1606018</v>
      </c>
      <c r="AT264" s="14" t="str">
        <f t="shared" si="80"/>
        <v>神器-4-碎片-2-13级</v>
      </c>
      <c r="AU264" s="13" t="s">
        <v>1195</v>
      </c>
      <c r="AV264" s="13">
        <f t="shared" si="81"/>
        <v>13</v>
      </c>
      <c r="AW264" s="14">
        <f t="shared" si="82"/>
        <v>5665</v>
      </c>
      <c r="AX264" s="14" t="str">
        <f t="shared" si="83"/>
        <v>AtkExt</v>
      </c>
      <c r="AY264" s="14">
        <f t="shared" si="84"/>
        <v>559</v>
      </c>
      <c r="AZ264" s="14" t="str">
        <f t="shared" si="85"/>
        <v>DefExt</v>
      </c>
      <c r="BA264" s="14">
        <f t="shared" si="86"/>
        <v>287</v>
      </c>
      <c r="BB264" s="14" t="str">
        <f t="shared" si="87"/>
        <v/>
      </c>
      <c r="BC264" s="14" t="str">
        <f t="shared" si="88"/>
        <v/>
      </c>
      <c r="BD264" s="14" t="str">
        <f t="shared" si="89"/>
        <v/>
      </c>
      <c r="BE264" s="14" t="str">
        <f t="shared" si="90"/>
        <v/>
      </c>
    </row>
    <row r="265" spans="39:57" ht="16.5" x14ac:dyDescent="0.2">
      <c r="AM265" s="13">
        <v>260</v>
      </c>
      <c r="AN265" s="14">
        <f t="shared" si="91"/>
        <v>16</v>
      </c>
      <c r="AO265" s="29">
        <f t="shared" si="75"/>
        <v>1.1400000000000001</v>
      </c>
      <c r="AP265" s="14">
        <f t="shared" si="76"/>
        <v>1</v>
      </c>
      <c r="AQ265" s="14">
        <f t="shared" si="77"/>
        <v>2</v>
      </c>
      <c r="AR265" s="14">
        <f t="shared" si="78"/>
        <v>0</v>
      </c>
      <c r="AS265" s="14">
        <f t="shared" si="79"/>
        <v>1606018</v>
      </c>
      <c r="AT265" s="14" t="str">
        <f t="shared" si="80"/>
        <v>神器-4-碎片-2-14级</v>
      </c>
      <c r="AU265" s="13" t="s">
        <v>1195</v>
      </c>
      <c r="AV265" s="13">
        <f t="shared" si="81"/>
        <v>14</v>
      </c>
      <c r="AW265" s="14">
        <f t="shared" si="82"/>
        <v>6235</v>
      </c>
      <c r="AX265" s="14" t="str">
        <f t="shared" si="83"/>
        <v>AtkExt</v>
      </c>
      <c r="AY265" s="14">
        <f t="shared" si="84"/>
        <v>615</v>
      </c>
      <c r="AZ265" s="14" t="str">
        <f t="shared" si="85"/>
        <v>DefExt</v>
      </c>
      <c r="BA265" s="14">
        <f t="shared" si="86"/>
        <v>316</v>
      </c>
      <c r="BB265" s="14" t="str">
        <f t="shared" si="87"/>
        <v/>
      </c>
      <c r="BC265" s="14" t="str">
        <f t="shared" si="88"/>
        <v/>
      </c>
      <c r="BD265" s="14" t="str">
        <f t="shared" si="89"/>
        <v/>
      </c>
      <c r="BE265" s="14" t="str">
        <f t="shared" si="90"/>
        <v/>
      </c>
    </row>
    <row r="266" spans="39:57" ht="16.5" x14ac:dyDescent="0.2">
      <c r="AM266" s="13">
        <v>261</v>
      </c>
      <c r="AN266" s="14">
        <f t="shared" si="91"/>
        <v>16</v>
      </c>
      <c r="AO266" s="29">
        <f t="shared" si="75"/>
        <v>1.248</v>
      </c>
      <c r="AP266" s="14">
        <f t="shared" si="76"/>
        <v>1</v>
      </c>
      <c r="AQ266" s="14">
        <f t="shared" si="77"/>
        <v>2</v>
      </c>
      <c r="AR266" s="14">
        <f t="shared" si="78"/>
        <v>0</v>
      </c>
      <c r="AS266" s="14">
        <f t="shared" si="79"/>
        <v>1606018</v>
      </c>
      <c r="AT266" s="14" t="str">
        <f t="shared" si="80"/>
        <v>神器-4-碎片-2-15级</v>
      </c>
      <c r="AU266" s="13" t="s">
        <v>1195</v>
      </c>
      <c r="AV266" s="13">
        <f t="shared" si="81"/>
        <v>15</v>
      </c>
      <c r="AW266" s="14">
        <f t="shared" si="82"/>
        <v>6825</v>
      </c>
      <c r="AX266" s="14" t="str">
        <f t="shared" si="83"/>
        <v>AtkExt</v>
      </c>
      <c r="AY266" s="14">
        <f t="shared" si="84"/>
        <v>673</v>
      </c>
      <c r="AZ266" s="14" t="str">
        <f t="shared" si="85"/>
        <v>DefExt</v>
      </c>
      <c r="BA266" s="14">
        <f t="shared" si="86"/>
        <v>346</v>
      </c>
      <c r="BB266" s="14" t="str">
        <f t="shared" si="87"/>
        <v/>
      </c>
      <c r="BC266" s="14" t="str">
        <f t="shared" si="88"/>
        <v/>
      </c>
      <c r="BD266" s="14" t="str">
        <f t="shared" si="89"/>
        <v/>
      </c>
      <c r="BE266" s="14" t="str">
        <f t="shared" si="90"/>
        <v/>
      </c>
    </row>
    <row r="267" spans="39:57" ht="16.5" x14ac:dyDescent="0.2">
      <c r="AM267" s="13">
        <v>262</v>
      </c>
      <c r="AN267" s="14">
        <f t="shared" si="91"/>
        <v>16</v>
      </c>
      <c r="AO267" s="29">
        <f t="shared" si="75"/>
        <v>1.36</v>
      </c>
      <c r="AP267" s="14">
        <f t="shared" si="76"/>
        <v>1</v>
      </c>
      <c r="AQ267" s="14">
        <f t="shared" si="77"/>
        <v>2</v>
      </c>
      <c r="AR267" s="14">
        <f t="shared" si="78"/>
        <v>0</v>
      </c>
      <c r="AS267" s="14">
        <f t="shared" si="79"/>
        <v>1606018</v>
      </c>
      <c r="AT267" s="14" t="str">
        <f t="shared" si="80"/>
        <v>神器-4-碎片-2-16级</v>
      </c>
      <c r="AU267" s="13" t="s">
        <v>1195</v>
      </c>
      <c r="AV267" s="13">
        <f t="shared" si="81"/>
        <v>16</v>
      </c>
      <c r="AW267" s="14">
        <f t="shared" si="82"/>
        <v>7435</v>
      </c>
      <c r="AX267" s="14" t="str">
        <f t="shared" si="83"/>
        <v>AtkExt</v>
      </c>
      <c r="AY267" s="14">
        <f t="shared" si="84"/>
        <v>733</v>
      </c>
      <c r="AZ267" s="14" t="str">
        <f t="shared" si="85"/>
        <v>DefExt</v>
      </c>
      <c r="BA267" s="14">
        <f t="shared" si="86"/>
        <v>377</v>
      </c>
      <c r="BB267" s="14" t="str">
        <f t="shared" si="87"/>
        <v/>
      </c>
      <c r="BC267" s="14" t="str">
        <f t="shared" si="88"/>
        <v/>
      </c>
      <c r="BD267" s="14" t="str">
        <f t="shared" si="89"/>
        <v/>
      </c>
      <c r="BE267" s="14" t="str">
        <f t="shared" si="90"/>
        <v/>
      </c>
    </row>
    <row r="268" spans="39:57" ht="16.5" x14ac:dyDescent="0.2">
      <c r="AM268" s="13">
        <v>263</v>
      </c>
      <c r="AN268" s="14">
        <f t="shared" si="91"/>
        <v>16</v>
      </c>
      <c r="AO268" s="29">
        <f t="shared" si="75"/>
        <v>1.476</v>
      </c>
      <c r="AP268" s="14">
        <f t="shared" si="76"/>
        <v>1</v>
      </c>
      <c r="AQ268" s="14">
        <f t="shared" si="77"/>
        <v>2</v>
      </c>
      <c r="AR268" s="14">
        <f t="shared" si="78"/>
        <v>0</v>
      </c>
      <c r="AS268" s="14">
        <f t="shared" si="79"/>
        <v>1606018</v>
      </c>
      <c r="AT268" s="14" t="str">
        <f t="shared" si="80"/>
        <v>神器-4-碎片-2-17级</v>
      </c>
      <c r="AU268" s="13" t="s">
        <v>1195</v>
      </c>
      <c r="AV268" s="13">
        <f t="shared" si="81"/>
        <v>17</v>
      </c>
      <c r="AW268" s="14">
        <f t="shared" si="82"/>
        <v>8070</v>
      </c>
      <c r="AX268" s="14" t="str">
        <f t="shared" si="83"/>
        <v>AtkExt</v>
      </c>
      <c r="AY268" s="14">
        <f t="shared" si="84"/>
        <v>796</v>
      </c>
      <c r="AZ268" s="14" t="str">
        <f t="shared" si="85"/>
        <v>DefExt</v>
      </c>
      <c r="BA268" s="14">
        <f t="shared" si="86"/>
        <v>409</v>
      </c>
      <c r="BB268" s="14" t="str">
        <f t="shared" si="87"/>
        <v/>
      </c>
      <c r="BC268" s="14" t="str">
        <f t="shared" si="88"/>
        <v/>
      </c>
      <c r="BD268" s="14" t="str">
        <f t="shared" si="89"/>
        <v/>
      </c>
      <c r="BE268" s="14" t="str">
        <f t="shared" si="90"/>
        <v/>
      </c>
    </row>
    <row r="269" spans="39:57" ht="16.5" x14ac:dyDescent="0.2">
      <c r="AM269" s="13">
        <v>264</v>
      </c>
      <c r="AN269" s="14">
        <f t="shared" si="91"/>
        <v>16</v>
      </c>
      <c r="AO269" s="29">
        <f t="shared" si="75"/>
        <v>1.5960000000000001</v>
      </c>
      <c r="AP269" s="14">
        <f t="shared" si="76"/>
        <v>1</v>
      </c>
      <c r="AQ269" s="14">
        <f t="shared" si="77"/>
        <v>2</v>
      </c>
      <c r="AR269" s="14">
        <f t="shared" si="78"/>
        <v>0</v>
      </c>
      <c r="AS269" s="14">
        <f t="shared" si="79"/>
        <v>1606018</v>
      </c>
      <c r="AT269" s="14" t="str">
        <f t="shared" si="80"/>
        <v>神器-4-碎片-2-18级</v>
      </c>
      <c r="AU269" s="13" t="s">
        <v>1195</v>
      </c>
      <c r="AV269" s="13">
        <f t="shared" si="81"/>
        <v>18</v>
      </c>
      <c r="AW269" s="14">
        <f t="shared" si="82"/>
        <v>8720</v>
      </c>
      <c r="AX269" s="14" t="str">
        <f t="shared" si="83"/>
        <v>AtkExt</v>
      </c>
      <c r="AY269" s="14">
        <f t="shared" si="84"/>
        <v>860</v>
      </c>
      <c r="AZ269" s="14" t="str">
        <f t="shared" si="85"/>
        <v>DefExt</v>
      </c>
      <c r="BA269" s="14">
        <f t="shared" si="86"/>
        <v>442</v>
      </c>
      <c r="BB269" s="14" t="str">
        <f t="shared" si="87"/>
        <v/>
      </c>
      <c r="BC269" s="14" t="str">
        <f t="shared" si="88"/>
        <v/>
      </c>
      <c r="BD269" s="14" t="str">
        <f t="shared" si="89"/>
        <v/>
      </c>
      <c r="BE269" s="14" t="str">
        <f t="shared" si="90"/>
        <v/>
      </c>
    </row>
    <row r="270" spans="39:57" ht="16.5" x14ac:dyDescent="0.2">
      <c r="AM270" s="13">
        <v>265</v>
      </c>
      <c r="AN270" s="14">
        <f t="shared" si="91"/>
        <v>17</v>
      </c>
      <c r="AO270" s="29">
        <f t="shared" si="75"/>
        <v>0.1</v>
      </c>
      <c r="AP270" s="14">
        <f t="shared" si="76"/>
        <v>1</v>
      </c>
      <c r="AQ270" s="14">
        <f t="shared" si="77"/>
        <v>3</v>
      </c>
      <c r="AR270" s="14">
        <f t="shared" si="78"/>
        <v>0</v>
      </c>
      <c r="AS270" s="14">
        <f t="shared" si="79"/>
        <v>1606019</v>
      </c>
      <c r="AT270" s="14" t="str">
        <f t="shared" si="80"/>
        <v>神器-4-碎片-3-1级</v>
      </c>
      <c r="AU270" s="13" t="s">
        <v>1195</v>
      </c>
      <c r="AV270" s="13">
        <f t="shared" si="81"/>
        <v>1</v>
      </c>
      <c r="AW270" s="14">
        <f t="shared" si="82"/>
        <v>447</v>
      </c>
      <c r="AX270" s="14" t="str">
        <f t="shared" si="83"/>
        <v>AtkExt</v>
      </c>
      <c r="AY270" s="14">
        <f t="shared" si="84"/>
        <v>81</v>
      </c>
      <c r="AZ270" s="14" t="str">
        <f t="shared" si="85"/>
        <v>HPExt</v>
      </c>
      <c r="BA270" s="14">
        <f t="shared" si="86"/>
        <v>42</v>
      </c>
      <c r="BB270" s="14" t="str">
        <f t="shared" si="87"/>
        <v/>
      </c>
      <c r="BC270" s="14" t="str">
        <f t="shared" si="88"/>
        <v/>
      </c>
      <c r="BD270" s="14" t="str">
        <f t="shared" si="89"/>
        <v/>
      </c>
      <c r="BE270" s="14" t="str">
        <f t="shared" si="90"/>
        <v/>
      </c>
    </row>
    <row r="271" spans="39:57" ht="16.5" x14ac:dyDescent="0.2">
      <c r="AM271" s="13">
        <v>266</v>
      </c>
      <c r="AN271" s="14">
        <f t="shared" si="91"/>
        <v>17</v>
      </c>
      <c r="AO271" s="29">
        <f t="shared" si="75"/>
        <v>0.15600000000000003</v>
      </c>
      <c r="AP271" s="14">
        <f t="shared" si="76"/>
        <v>1</v>
      </c>
      <c r="AQ271" s="14">
        <f t="shared" si="77"/>
        <v>3</v>
      </c>
      <c r="AR271" s="14">
        <f t="shared" si="78"/>
        <v>0</v>
      </c>
      <c r="AS271" s="14">
        <f t="shared" si="79"/>
        <v>1606019</v>
      </c>
      <c r="AT271" s="14" t="str">
        <f t="shared" si="80"/>
        <v>神器-4-碎片-3-2级</v>
      </c>
      <c r="AU271" s="13" t="s">
        <v>1195</v>
      </c>
      <c r="AV271" s="13">
        <f t="shared" si="81"/>
        <v>2</v>
      </c>
      <c r="AW271" s="14">
        <f t="shared" si="82"/>
        <v>696</v>
      </c>
      <c r="AX271" s="14" t="str">
        <f t="shared" si="83"/>
        <v>AtkExt</v>
      </c>
      <c r="AY271" s="14">
        <f t="shared" si="84"/>
        <v>126</v>
      </c>
      <c r="AZ271" s="14" t="str">
        <f t="shared" si="85"/>
        <v>HPExt</v>
      </c>
      <c r="BA271" s="14">
        <f t="shared" si="86"/>
        <v>66</v>
      </c>
      <c r="BB271" s="14" t="str">
        <f t="shared" si="87"/>
        <v/>
      </c>
      <c r="BC271" s="14" t="str">
        <f t="shared" si="88"/>
        <v/>
      </c>
      <c r="BD271" s="14" t="str">
        <f t="shared" si="89"/>
        <v/>
      </c>
      <c r="BE271" s="14" t="str">
        <f t="shared" si="90"/>
        <v/>
      </c>
    </row>
    <row r="272" spans="39:57" ht="16.5" x14ac:dyDescent="0.2">
      <c r="AM272" s="13">
        <v>267</v>
      </c>
      <c r="AN272" s="14">
        <f t="shared" si="91"/>
        <v>17</v>
      </c>
      <c r="AO272" s="29">
        <f t="shared" si="75"/>
        <v>0.21600000000000003</v>
      </c>
      <c r="AP272" s="14">
        <f t="shared" si="76"/>
        <v>1</v>
      </c>
      <c r="AQ272" s="14">
        <f t="shared" si="77"/>
        <v>3</v>
      </c>
      <c r="AR272" s="14">
        <f t="shared" si="78"/>
        <v>0</v>
      </c>
      <c r="AS272" s="14">
        <f t="shared" si="79"/>
        <v>1606019</v>
      </c>
      <c r="AT272" s="14" t="str">
        <f t="shared" si="80"/>
        <v>神器-4-碎片-3-3级</v>
      </c>
      <c r="AU272" s="13" t="s">
        <v>1195</v>
      </c>
      <c r="AV272" s="13">
        <f t="shared" si="81"/>
        <v>3</v>
      </c>
      <c r="AW272" s="14">
        <f t="shared" si="82"/>
        <v>966</v>
      </c>
      <c r="AX272" s="14" t="str">
        <f t="shared" si="83"/>
        <v>AtkExt</v>
      </c>
      <c r="AY272" s="14">
        <f t="shared" si="84"/>
        <v>175</v>
      </c>
      <c r="AZ272" s="14" t="str">
        <f t="shared" si="85"/>
        <v>HPExt</v>
      </c>
      <c r="BA272" s="14">
        <f t="shared" si="86"/>
        <v>91</v>
      </c>
      <c r="BB272" s="14" t="str">
        <f t="shared" si="87"/>
        <v/>
      </c>
      <c r="BC272" s="14" t="str">
        <f t="shared" si="88"/>
        <v/>
      </c>
      <c r="BD272" s="14" t="str">
        <f t="shared" si="89"/>
        <v/>
      </c>
      <c r="BE272" s="14" t="str">
        <f t="shared" si="90"/>
        <v/>
      </c>
    </row>
    <row r="273" spans="39:57" ht="16.5" x14ac:dyDescent="0.2">
      <c r="AM273" s="13">
        <v>268</v>
      </c>
      <c r="AN273" s="14">
        <f t="shared" si="91"/>
        <v>17</v>
      </c>
      <c r="AO273" s="29">
        <f t="shared" si="75"/>
        <v>0.28000000000000003</v>
      </c>
      <c r="AP273" s="14">
        <f t="shared" si="76"/>
        <v>1</v>
      </c>
      <c r="AQ273" s="14">
        <f t="shared" si="77"/>
        <v>3</v>
      </c>
      <c r="AR273" s="14">
        <f t="shared" si="78"/>
        <v>0</v>
      </c>
      <c r="AS273" s="14">
        <f t="shared" si="79"/>
        <v>1606019</v>
      </c>
      <c r="AT273" s="14" t="str">
        <f t="shared" si="80"/>
        <v>神器-4-碎片-3-4级</v>
      </c>
      <c r="AU273" s="13" t="s">
        <v>1195</v>
      </c>
      <c r="AV273" s="13">
        <f t="shared" si="81"/>
        <v>4</v>
      </c>
      <c r="AW273" s="14">
        <f t="shared" si="82"/>
        <v>1248</v>
      </c>
      <c r="AX273" s="14" t="str">
        <f t="shared" si="83"/>
        <v>AtkExt</v>
      </c>
      <c r="AY273" s="14">
        <f t="shared" si="84"/>
        <v>226</v>
      </c>
      <c r="AZ273" s="14" t="str">
        <f t="shared" si="85"/>
        <v>HPExt</v>
      </c>
      <c r="BA273" s="14">
        <f t="shared" si="86"/>
        <v>118</v>
      </c>
      <c r="BB273" s="14" t="str">
        <f t="shared" si="87"/>
        <v/>
      </c>
      <c r="BC273" s="14" t="str">
        <f t="shared" si="88"/>
        <v/>
      </c>
      <c r="BD273" s="14" t="str">
        <f t="shared" si="89"/>
        <v/>
      </c>
      <c r="BE273" s="14" t="str">
        <f t="shared" si="90"/>
        <v/>
      </c>
    </row>
    <row r="274" spans="39:57" ht="16.5" x14ac:dyDescent="0.2">
      <c r="AM274" s="13">
        <v>269</v>
      </c>
      <c r="AN274" s="14">
        <f t="shared" si="91"/>
        <v>17</v>
      </c>
      <c r="AO274" s="29">
        <f t="shared" si="75"/>
        <v>0.34799999999999998</v>
      </c>
      <c r="AP274" s="14">
        <f t="shared" si="76"/>
        <v>1</v>
      </c>
      <c r="AQ274" s="14">
        <f t="shared" si="77"/>
        <v>3</v>
      </c>
      <c r="AR274" s="14">
        <f t="shared" si="78"/>
        <v>0</v>
      </c>
      <c r="AS274" s="14">
        <f t="shared" si="79"/>
        <v>1606019</v>
      </c>
      <c r="AT274" s="14" t="str">
        <f t="shared" si="80"/>
        <v>神器-4-碎片-3-5级</v>
      </c>
      <c r="AU274" s="13" t="s">
        <v>1195</v>
      </c>
      <c r="AV274" s="13">
        <f t="shared" si="81"/>
        <v>5</v>
      </c>
      <c r="AW274" s="14">
        <f t="shared" si="82"/>
        <v>1552</v>
      </c>
      <c r="AX274" s="14" t="str">
        <f t="shared" si="83"/>
        <v>AtkExt</v>
      </c>
      <c r="AY274" s="14">
        <f t="shared" si="84"/>
        <v>281</v>
      </c>
      <c r="AZ274" s="14" t="str">
        <f t="shared" si="85"/>
        <v>HPExt</v>
      </c>
      <c r="BA274" s="14">
        <f t="shared" si="86"/>
        <v>147</v>
      </c>
      <c r="BB274" s="14" t="str">
        <f t="shared" si="87"/>
        <v/>
      </c>
      <c r="BC274" s="14" t="str">
        <f t="shared" si="88"/>
        <v/>
      </c>
      <c r="BD274" s="14" t="str">
        <f t="shared" si="89"/>
        <v/>
      </c>
      <c r="BE274" s="14" t="str">
        <f t="shared" si="90"/>
        <v/>
      </c>
    </row>
    <row r="275" spans="39:57" ht="16.5" x14ac:dyDescent="0.2">
      <c r="AM275" s="13">
        <v>270</v>
      </c>
      <c r="AN275" s="14">
        <f t="shared" si="91"/>
        <v>17</v>
      </c>
      <c r="AO275" s="29">
        <f t="shared" si="75"/>
        <v>0.42000000000000004</v>
      </c>
      <c r="AP275" s="14">
        <f t="shared" si="76"/>
        <v>1</v>
      </c>
      <c r="AQ275" s="14">
        <f t="shared" si="77"/>
        <v>3</v>
      </c>
      <c r="AR275" s="14">
        <f t="shared" si="78"/>
        <v>0</v>
      </c>
      <c r="AS275" s="14">
        <f t="shared" si="79"/>
        <v>1606019</v>
      </c>
      <c r="AT275" s="14" t="str">
        <f t="shared" si="80"/>
        <v>神器-4-碎片-3-6级</v>
      </c>
      <c r="AU275" s="13" t="s">
        <v>1195</v>
      </c>
      <c r="AV275" s="13">
        <f t="shared" si="81"/>
        <v>6</v>
      </c>
      <c r="AW275" s="14">
        <f t="shared" si="82"/>
        <v>1877</v>
      </c>
      <c r="AX275" s="14" t="str">
        <f t="shared" si="83"/>
        <v>AtkExt</v>
      </c>
      <c r="AY275" s="14">
        <f t="shared" si="84"/>
        <v>340</v>
      </c>
      <c r="AZ275" s="14" t="str">
        <f t="shared" si="85"/>
        <v>HPExt</v>
      </c>
      <c r="BA275" s="14">
        <f t="shared" si="86"/>
        <v>177</v>
      </c>
      <c r="BB275" s="14" t="str">
        <f t="shared" si="87"/>
        <v/>
      </c>
      <c r="BC275" s="14" t="str">
        <f t="shared" si="88"/>
        <v/>
      </c>
      <c r="BD275" s="14" t="str">
        <f t="shared" si="89"/>
        <v/>
      </c>
      <c r="BE275" s="14" t="str">
        <f t="shared" si="90"/>
        <v/>
      </c>
    </row>
    <row r="276" spans="39:57" ht="16.5" x14ac:dyDescent="0.2">
      <c r="AM276" s="13">
        <v>271</v>
      </c>
      <c r="AN276" s="14">
        <f t="shared" si="91"/>
        <v>17</v>
      </c>
      <c r="AO276" s="29">
        <f t="shared" si="75"/>
        <v>0.496</v>
      </c>
      <c r="AP276" s="14">
        <f t="shared" si="76"/>
        <v>1</v>
      </c>
      <c r="AQ276" s="14">
        <f t="shared" si="77"/>
        <v>3</v>
      </c>
      <c r="AR276" s="14">
        <f t="shared" si="78"/>
        <v>0</v>
      </c>
      <c r="AS276" s="14">
        <f t="shared" si="79"/>
        <v>1606019</v>
      </c>
      <c r="AT276" s="14" t="str">
        <f t="shared" si="80"/>
        <v>神器-4-碎片-3-7级</v>
      </c>
      <c r="AU276" s="13" t="s">
        <v>1195</v>
      </c>
      <c r="AV276" s="13">
        <f t="shared" si="81"/>
        <v>7</v>
      </c>
      <c r="AW276" s="14">
        <f t="shared" si="82"/>
        <v>2214</v>
      </c>
      <c r="AX276" s="14" t="str">
        <f t="shared" si="83"/>
        <v>AtkExt</v>
      </c>
      <c r="AY276" s="14">
        <f t="shared" si="84"/>
        <v>401</v>
      </c>
      <c r="AZ276" s="14" t="str">
        <f t="shared" si="85"/>
        <v>HPExt</v>
      </c>
      <c r="BA276" s="14">
        <f t="shared" si="86"/>
        <v>209</v>
      </c>
      <c r="BB276" s="14" t="str">
        <f t="shared" si="87"/>
        <v/>
      </c>
      <c r="BC276" s="14" t="str">
        <f t="shared" si="88"/>
        <v/>
      </c>
      <c r="BD276" s="14" t="str">
        <f t="shared" si="89"/>
        <v/>
      </c>
      <c r="BE276" s="14" t="str">
        <f t="shared" si="90"/>
        <v/>
      </c>
    </row>
    <row r="277" spans="39:57" ht="16.5" x14ac:dyDescent="0.2">
      <c r="AM277" s="13">
        <v>272</v>
      </c>
      <c r="AN277" s="14">
        <f t="shared" si="91"/>
        <v>17</v>
      </c>
      <c r="AO277" s="29">
        <f t="shared" si="75"/>
        <v>0.57600000000000007</v>
      </c>
      <c r="AP277" s="14">
        <f t="shared" si="76"/>
        <v>1</v>
      </c>
      <c r="AQ277" s="14">
        <f t="shared" si="77"/>
        <v>3</v>
      </c>
      <c r="AR277" s="14">
        <f t="shared" si="78"/>
        <v>0</v>
      </c>
      <c r="AS277" s="14">
        <f t="shared" si="79"/>
        <v>1606019</v>
      </c>
      <c r="AT277" s="14" t="str">
        <f t="shared" si="80"/>
        <v>神器-4-碎片-3-8级</v>
      </c>
      <c r="AU277" s="13" t="s">
        <v>1195</v>
      </c>
      <c r="AV277" s="13">
        <f t="shared" si="81"/>
        <v>8</v>
      </c>
      <c r="AW277" s="14">
        <f t="shared" si="82"/>
        <v>2573</v>
      </c>
      <c r="AX277" s="14" t="str">
        <f t="shared" si="83"/>
        <v>AtkExt</v>
      </c>
      <c r="AY277" s="14">
        <f t="shared" si="84"/>
        <v>466</v>
      </c>
      <c r="AZ277" s="14" t="str">
        <f t="shared" si="85"/>
        <v>HPExt</v>
      </c>
      <c r="BA277" s="14">
        <f t="shared" si="86"/>
        <v>243</v>
      </c>
      <c r="BB277" s="14" t="str">
        <f t="shared" si="87"/>
        <v/>
      </c>
      <c r="BC277" s="14" t="str">
        <f t="shared" si="88"/>
        <v/>
      </c>
      <c r="BD277" s="14" t="str">
        <f t="shared" si="89"/>
        <v/>
      </c>
      <c r="BE277" s="14" t="str">
        <f t="shared" si="90"/>
        <v/>
      </c>
    </row>
    <row r="278" spans="39:57" ht="16.5" x14ac:dyDescent="0.2">
      <c r="AM278" s="13">
        <v>273</v>
      </c>
      <c r="AN278" s="14">
        <f t="shared" si="91"/>
        <v>17</v>
      </c>
      <c r="AO278" s="29">
        <f t="shared" si="75"/>
        <v>0.66</v>
      </c>
      <c r="AP278" s="14">
        <f t="shared" si="76"/>
        <v>1</v>
      </c>
      <c r="AQ278" s="14">
        <f t="shared" si="77"/>
        <v>3</v>
      </c>
      <c r="AR278" s="14">
        <f t="shared" si="78"/>
        <v>0</v>
      </c>
      <c r="AS278" s="14">
        <f t="shared" si="79"/>
        <v>1606019</v>
      </c>
      <c r="AT278" s="14" t="str">
        <f t="shared" si="80"/>
        <v>神器-4-碎片-3-9级</v>
      </c>
      <c r="AU278" s="13" t="s">
        <v>1195</v>
      </c>
      <c r="AV278" s="13">
        <f t="shared" si="81"/>
        <v>9</v>
      </c>
      <c r="AW278" s="14">
        <f t="shared" si="82"/>
        <v>2948</v>
      </c>
      <c r="AX278" s="14" t="str">
        <f t="shared" si="83"/>
        <v>AtkExt</v>
      </c>
      <c r="AY278" s="14">
        <f t="shared" si="84"/>
        <v>534</v>
      </c>
      <c r="AZ278" s="14" t="str">
        <f t="shared" si="85"/>
        <v>HPExt</v>
      </c>
      <c r="BA278" s="14">
        <f t="shared" si="86"/>
        <v>278</v>
      </c>
      <c r="BB278" s="14" t="str">
        <f t="shared" si="87"/>
        <v/>
      </c>
      <c r="BC278" s="14" t="str">
        <f t="shared" si="88"/>
        <v/>
      </c>
      <c r="BD278" s="14" t="str">
        <f t="shared" si="89"/>
        <v/>
      </c>
      <c r="BE278" s="14" t="str">
        <f t="shared" si="90"/>
        <v/>
      </c>
    </row>
    <row r="279" spans="39:57" ht="16.5" x14ac:dyDescent="0.2">
      <c r="AM279" s="13">
        <v>274</v>
      </c>
      <c r="AN279" s="14">
        <f t="shared" si="91"/>
        <v>17</v>
      </c>
      <c r="AO279" s="29">
        <f t="shared" si="75"/>
        <v>0.748</v>
      </c>
      <c r="AP279" s="14">
        <f t="shared" si="76"/>
        <v>1</v>
      </c>
      <c r="AQ279" s="14">
        <f t="shared" si="77"/>
        <v>3</v>
      </c>
      <c r="AR279" s="14">
        <f t="shared" si="78"/>
        <v>0</v>
      </c>
      <c r="AS279" s="14">
        <f t="shared" si="79"/>
        <v>1606019</v>
      </c>
      <c r="AT279" s="14" t="str">
        <f t="shared" si="80"/>
        <v>神器-4-碎片-3-10级</v>
      </c>
      <c r="AU279" s="13" t="s">
        <v>1195</v>
      </c>
      <c r="AV279" s="13">
        <f t="shared" si="81"/>
        <v>10</v>
      </c>
      <c r="AW279" s="14">
        <f t="shared" si="82"/>
        <v>3340</v>
      </c>
      <c r="AX279" s="14" t="str">
        <f t="shared" si="83"/>
        <v>AtkExt</v>
      </c>
      <c r="AY279" s="14">
        <f t="shared" si="84"/>
        <v>605</v>
      </c>
      <c r="AZ279" s="14" t="str">
        <f t="shared" si="85"/>
        <v>HPExt</v>
      </c>
      <c r="BA279" s="14">
        <f t="shared" si="86"/>
        <v>315</v>
      </c>
      <c r="BB279" s="14" t="str">
        <f t="shared" si="87"/>
        <v/>
      </c>
      <c r="BC279" s="14" t="str">
        <f t="shared" si="88"/>
        <v/>
      </c>
      <c r="BD279" s="14" t="str">
        <f t="shared" si="89"/>
        <v/>
      </c>
      <c r="BE279" s="14" t="str">
        <f t="shared" si="90"/>
        <v/>
      </c>
    </row>
    <row r="280" spans="39:57" ht="16.5" x14ac:dyDescent="0.2">
      <c r="AM280" s="13">
        <v>275</v>
      </c>
      <c r="AN280" s="14">
        <f t="shared" si="91"/>
        <v>17</v>
      </c>
      <c r="AO280" s="29">
        <f t="shared" si="75"/>
        <v>0.84000000000000008</v>
      </c>
      <c r="AP280" s="14">
        <f t="shared" si="76"/>
        <v>1</v>
      </c>
      <c r="AQ280" s="14">
        <f t="shared" si="77"/>
        <v>3</v>
      </c>
      <c r="AR280" s="14">
        <f t="shared" si="78"/>
        <v>0</v>
      </c>
      <c r="AS280" s="14">
        <f t="shared" si="79"/>
        <v>1606019</v>
      </c>
      <c r="AT280" s="14" t="str">
        <f t="shared" si="80"/>
        <v>神器-4-碎片-3-11级</v>
      </c>
      <c r="AU280" s="13" t="s">
        <v>1195</v>
      </c>
      <c r="AV280" s="13">
        <f t="shared" si="81"/>
        <v>11</v>
      </c>
      <c r="AW280" s="14">
        <f t="shared" si="82"/>
        <v>3749</v>
      </c>
      <c r="AX280" s="14" t="str">
        <f t="shared" si="83"/>
        <v>AtkExt</v>
      </c>
      <c r="AY280" s="14">
        <f t="shared" si="84"/>
        <v>679</v>
      </c>
      <c r="AZ280" s="14" t="str">
        <f t="shared" si="85"/>
        <v>HPExt</v>
      </c>
      <c r="BA280" s="14">
        <f t="shared" si="86"/>
        <v>354</v>
      </c>
      <c r="BB280" s="14" t="str">
        <f t="shared" si="87"/>
        <v/>
      </c>
      <c r="BC280" s="14" t="str">
        <f t="shared" si="88"/>
        <v/>
      </c>
      <c r="BD280" s="14" t="str">
        <f t="shared" si="89"/>
        <v/>
      </c>
      <c r="BE280" s="14" t="str">
        <f t="shared" si="90"/>
        <v/>
      </c>
    </row>
    <row r="281" spans="39:57" ht="16.5" x14ac:dyDescent="0.2">
      <c r="AM281" s="13">
        <v>276</v>
      </c>
      <c r="AN281" s="14">
        <f t="shared" si="91"/>
        <v>17</v>
      </c>
      <c r="AO281" s="29">
        <f t="shared" si="75"/>
        <v>0.93600000000000017</v>
      </c>
      <c r="AP281" s="14">
        <f t="shared" si="76"/>
        <v>1</v>
      </c>
      <c r="AQ281" s="14">
        <f t="shared" si="77"/>
        <v>3</v>
      </c>
      <c r="AR281" s="14">
        <f t="shared" si="78"/>
        <v>0</v>
      </c>
      <c r="AS281" s="14">
        <f t="shared" si="79"/>
        <v>1606019</v>
      </c>
      <c r="AT281" s="14" t="str">
        <f t="shared" si="80"/>
        <v>神器-4-碎片-3-12级</v>
      </c>
      <c r="AU281" s="13" t="s">
        <v>1195</v>
      </c>
      <c r="AV281" s="13">
        <f t="shared" si="81"/>
        <v>12</v>
      </c>
      <c r="AW281" s="14">
        <f t="shared" si="82"/>
        <v>4179</v>
      </c>
      <c r="AX281" s="14" t="str">
        <f t="shared" si="83"/>
        <v>AtkExt</v>
      </c>
      <c r="AY281" s="14">
        <f t="shared" si="84"/>
        <v>757</v>
      </c>
      <c r="AZ281" s="14" t="str">
        <f t="shared" si="85"/>
        <v>HPExt</v>
      </c>
      <c r="BA281" s="14">
        <f t="shared" si="86"/>
        <v>394</v>
      </c>
      <c r="BB281" s="14" t="str">
        <f t="shared" si="87"/>
        <v/>
      </c>
      <c r="BC281" s="14" t="str">
        <f t="shared" si="88"/>
        <v/>
      </c>
      <c r="BD281" s="14" t="str">
        <f t="shared" si="89"/>
        <v/>
      </c>
      <c r="BE281" s="14" t="str">
        <f t="shared" si="90"/>
        <v/>
      </c>
    </row>
    <row r="282" spans="39:57" ht="16.5" x14ac:dyDescent="0.2">
      <c r="AM282" s="13">
        <v>277</v>
      </c>
      <c r="AN282" s="14">
        <f t="shared" si="91"/>
        <v>17</v>
      </c>
      <c r="AO282" s="29">
        <f t="shared" si="75"/>
        <v>1.036</v>
      </c>
      <c r="AP282" s="14">
        <f t="shared" si="76"/>
        <v>1</v>
      </c>
      <c r="AQ282" s="14">
        <f t="shared" si="77"/>
        <v>3</v>
      </c>
      <c r="AR282" s="14">
        <f t="shared" si="78"/>
        <v>0</v>
      </c>
      <c r="AS282" s="14">
        <f t="shared" si="79"/>
        <v>1606019</v>
      </c>
      <c r="AT282" s="14" t="str">
        <f t="shared" si="80"/>
        <v>神器-4-碎片-3-13级</v>
      </c>
      <c r="AU282" s="13" t="s">
        <v>1195</v>
      </c>
      <c r="AV282" s="13">
        <f t="shared" si="81"/>
        <v>13</v>
      </c>
      <c r="AW282" s="14">
        <f t="shared" si="82"/>
        <v>4626</v>
      </c>
      <c r="AX282" s="14" t="str">
        <f t="shared" si="83"/>
        <v>AtkExt</v>
      </c>
      <c r="AY282" s="14">
        <f t="shared" si="84"/>
        <v>838</v>
      </c>
      <c r="AZ282" s="14" t="str">
        <f t="shared" si="85"/>
        <v>HPExt</v>
      </c>
      <c r="BA282" s="14">
        <f t="shared" si="86"/>
        <v>436</v>
      </c>
      <c r="BB282" s="14" t="str">
        <f t="shared" si="87"/>
        <v/>
      </c>
      <c r="BC282" s="14" t="str">
        <f t="shared" si="88"/>
        <v/>
      </c>
      <c r="BD282" s="14" t="str">
        <f t="shared" si="89"/>
        <v/>
      </c>
      <c r="BE282" s="14" t="str">
        <f t="shared" si="90"/>
        <v/>
      </c>
    </row>
    <row r="283" spans="39:57" ht="16.5" x14ac:dyDescent="0.2">
      <c r="AM283" s="13">
        <v>278</v>
      </c>
      <c r="AN283" s="14">
        <f t="shared" si="91"/>
        <v>17</v>
      </c>
      <c r="AO283" s="29">
        <f t="shared" si="75"/>
        <v>1.1400000000000001</v>
      </c>
      <c r="AP283" s="14">
        <f t="shared" si="76"/>
        <v>1</v>
      </c>
      <c r="AQ283" s="14">
        <f t="shared" si="77"/>
        <v>3</v>
      </c>
      <c r="AR283" s="14">
        <f t="shared" si="78"/>
        <v>0</v>
      </c>
      <c r="AS283" s="14">
        <f t="shared" si="79"/>
        <v>1606019</v>
      </c>
      <c r="AT283" s="14" t="str">
        <f t="shared" si="80"/>
        <v>神器-4-碎片-3-14级</v>
      </c>
      <c r="AU283" s="13" t="s">
        <v>1195</v>
      </c>
      <c r="AV283" s="13">
        <f t="shared" si="81"/>
        <v>14</v>
      </c>
      <c r="AW283" s="14">
        <f t="shared" si="82"/>
        <v>5090</v>
      </c>
      <c r="AX283" s="14" t="str">
        <f t="shared" si="83"/>
        <v>AtkExt</v>
      </c>
      <c r="AY283" s="14">
        <f t="shared" si="84"/>
        <v>922</v>
      </c>
      <c r="AZ283" s="14" t="str">
        <f t="shared" si="85"/>
        <v>HPExt</v>
      </c>
      <c r="BA283" s="14">
        <f t="shared" si="86"/>
        <v>480</v>
      </c>
      <c r="BB283" s="14" t="str">
        <f t="shared" si="87"/>
        <v/>
      </c>
      <c r="BC283" s="14" t="str">
        <f t="shared" si="88"/>
        <v/>
      </c>
      <c r="BD283" s="14" t="str">
        <f t="shared" si="89"/>
        <v/>
      </c>
      <c r="BE283" s="14" t="str">
        <f t="shared" si="90"/>
        <v/>
      </c>
    </row>
    <row r="284" spans="39:57" ht="16.5" x14ac:dyDescent="0.2">
      <c r="AM284" s="13">
        <v>279</v>
      </c>
      <c r="AN284" s="14">
        <f t="shared" si="91"/>
        <v>17</v>
      </c>
      <c r="AO284" s="29">
        <f t="shared" si="75"/>
        <v>1.248</v>
      </c>
      <c r="AP284" s="14">
        <f t="shared" si="76"/>
        <v>1</v>
      </c>
      <c r="AQ284" s="14">
        <f t="shared" si="77"/>
        <v>3</v>
      </c>
      <c r="AR284" s="14">
        <f t="shared" si="78"/>
        <v>0</v>
      </c>
      <c r="AS284" s="14">
        <f t="shared" si="79"/>
        <v>1606019</v>
      </c>
      <c r="AT284" s="14" t="str">
        <f t="shared" si="80"/>
        <v>神器-4-碎片-3-15级</v>
      </c>
      <c r="AU284" s="13" t="s">
        <v>1195</v>
      </c>
      <c r="AV284" s="13">
        <f t="shared" si="81"/>
        <v>15</v>
      </c>
      <c r="AW284" s="14">
        <f t="shared" si="82"/>
        <v>5570</v>
      </c>
      <c r="AX284" s="14" t="str">
        <f t="shared" si="83"/>
        <v>AtkExt</v>
      </c>
      <c r="AY284" s="14">
        <f t="shared" si="84"/>
        <v>1009</v>
      </c>
      <c r="AZ284" s="14" t="str">
        <f t="shared" si="85"/>
        <v>HPExt</v>
      </c>
      <c r="BA284" s="14">
        <f t="shared" si="86"/>
        <v>525</v>
      </c>
      <c r="BB284" s="14" t="str">
        <f t="shared" si="87"/>
        <v/>
      </c>
      <c r="BC284" s="14" t="str">
        <f t="shared" si="88"/>
        <v/>
      </c>
      <c r="BD284" s="14" t="str">
        <f t="shared" si="89"/>
        <v/>
      </c>
      <c r="BE284" s="14" t="str">
        <f t="shared" si="90"/>
        <v/>
      </c>
    </row>
    <row r="285" spans="39:57" ht="16.5" x14ac:dyDescent="0.2">
      <c r="AM285" s="13">
        <v>280</v>
      </c>
      <c r="AN285" s="14">
        <f t="shared" si="91"/>
        <v>17</v>
      </c>
      <c r="AO285" s="29">
        <f t="shared" si="75"/>
        <v>1.36</v>
      </c>
      <c r="AP285" s="14">
        <f t="shared" si="76"/>
        <v>1</v>
      </c>
      <c r="AQ285" s="14">
        <f t="shared" si="77"/>
        <v>3</v>
      </c>
      <c r="AR285" s="14">
        <f t="shared" si="78"/>
        <v>0</v>
      </c>
      <c r="AS285" s="14">
        <f t="shared" si="79"/>
        <v>1606019</v>
      </c>
      <c r="AT285" s="14" t="str">
        <f t="shared" si="80"/>
        <v>神器-4-碎片-3-16级</v>
      </c>
      <c r="AU285" s="13" t="s">
        <v>1195</v>
      </c>
      <c r="AV285" s="13">
        <f t="shared" si="81"/>
        <v>16</v>
      </c>
      <c r="AW285" s="14">
        <f t="shared" si="82"/>
        <v>6073</v>
      </c>
      <c r="AX285" s="14" t="str">
        <f t="shared" si="83"/>
        <v>AtkExt</v>
      </c>
      <c r="AY285" s="14">
        <f t="shared" si="84"/>
        <v>1100</v>
      </c>
      <c r="AZ285" s="14" t="str">
        <f t="shared" si="85"/>
        <v>HPExt</v>
      </c>
      <c r="BA285" s="14">
        <f t="shared" si="86"/>
        <v>573</v>
      </c>
      <c r="BB285" s="14" t="str">
        <f t="shared" si="87"/>
        <v/>
      </c>
      <c r="BC285" s="14" t="str">
        <f t="shared" si="88"/>
        <v/>
      </c>
      <c r="BD285" s="14" t="str">
        <f t="shared" si="89"/>
        <v/>
      </c>
      <c r="BE285" s="14" t="str">
        <f t="shared" si="90"/>
        <v/>
      </c>
    </row>
    <row r="286" spans="39:57" ht="16.5" x14ac:dyDescent="0.2">
      <c r="AM286" s="13">
        <v>281</v>
      </c>
      <c r="AN286" s="14">
        <f t="shared" si="91"/>
        <v>17</v>
      </c>
      <c r="AO286" s="29">
        <f t="shared" si="75"/>
        <v>1.476</v>
      </c>
      <c r="AP286" s="14">
        <f t="shared" si="76"/>
        <v>1</v>
      </c>
      <c r="AQ286" s="14">
        <f t="shared" si="77"/>
        <v>3</v>
      </c>
      <c r="AR286" s="14">
        <f t="shared" si="78"/>
        <v>0</v>
      </c>
      <c r="AS286" s="14">
        <f t="shared" si="79"/>
        <v>1606019</v>
      </c>
      <c r="AT286" s="14" t="str">
        <f t="shared" si="80"/>
        <v>神器-4-碎片-3-17级</v>
      </c>
      <c r="AU286" s="13" t="s">
        <v>1195</v>
      </c>
      <c r="AV286" s="13">
        <f t="shared" si="81"/>
        <v>17</v>
      </c>
      <c r="AW286" s="14">
        <f t="shared" si="82"/>
        <v>6591</v>
      </c>
      <c r="AX286" s="14" t="str">
        <f t="shared" si="83"/>
        <v>AtkExt</v>
      </c>
      <c r="AY286" s="14">
        <f t="shared" si="84"/>
        <v>1194</v>
      </c>
      <c r="AZ286" s="14" t="str">
        <f t="shared" si="85"/>
        <v>HPExt</v>
      </c>
      <c r="BA286" s="14">
        <f t="shared" si="86"/>
        <v>621</v>
      </c>
      <c r="BB286" s="14" t="str">
        <f t="shared" si="87"/>
        <v/>
      </c>
      <c r="BC286" s="14" t="str">
        <f t="shared" si="88"/>
        <v/>
      </c>
      <c r="BD286" s="14" t="str">
        <f t="shared" si="89"/>
        <v/>
      </c>
      <c r="BE286" s="14" t="str">
        <f t="shared" si="90"/>
        <v/>
      </c>
    </row>
    <row r="287" spans="39:57" ht="16.5" x14ac:dyDescent="0.2">
      <c r="AM287" s="13">
        <v>282</v>
      </c>
      <c r="AN287" s="14">
        <f t="shared" si="91"/>
        <v>17</v>
      </c>
      <c r="AO287" s="29">
        <f t="shared" si="75"/>
        <v>1.5960000000000001</v>
      </c>
      <c r="AP287" s="14">
        <f t="shared" si="76"/>
        <v>1</v>
      </c>
      <c r="AQ287" s="14">
        <f t="shared" si="77"/>
        <v>3</v>
      </c>
      <c r="AR287" s="14">
        <f t="shared" si="78"/>
        <v>0</v>
      </c>
      <c r="AS287" s="14">
        <f t="shared" si="79"/>
        <v>1606019</v>
      </c>
      <c r="AT287" s="14" t="str">
        <f t="shared" si="80"/>
        <v>神器-4-碎片-3-18级</v>
      </c>
      <c r="AU287" s="13" t="s">
        <v>1195</v>
      </c>
      <c r="AV287" s="13">
        <f t="shared" si="81"/>
        <v>18</v>
      </c>
      <c r="AW287" s="14">
        <f t="shared" si="82"/>
        <v>7127</v>
      </c>
      <c r="AX287" s="14" t="str">
        <f t="shared" si="83"/>
        <v>AtkExt</v>
      </c>
      <c r="AY287" s="14">
        <f t="shared" si="84"/>
        <v>1291</v>
      </c>
      <c r="AZ287" s="14" t="str">
        <f t="shared" si="85"/>
        <v>HPExt</v>
      </c>
      <c r="BA287" s="14">
        <f t="shared" si="86"/>
        <v>672</v>
      </c>
      <c r="BB287" s="14" t="str">
        <f t="shared" si="87"/>
        <v/>
      </c>
      <c r="BC287" s="14" t="str">
        <f t="shared" si="88"/>
        <v/>
      </c>
      <c r="BD287" s="14" t="str">
        <f t="shared" si="89"/>
        <v/>
      </c>
      <c r="BE287" s="14" t="str">
        <f t="shared" si="90"/>
        <v/>
      </c>
    </row>
    <row r="288" spans="39:57" ht="16.5" x14ac:dyDescent="0.2">
      <c r="AM288" s="13">
        <v>283</v>
      </c>
      <c r="AN288" s="14">
        <f t="shared" si="91"/>
        <v>18</v>
      </c>
      <c r="AO288" s="29">
        <f t="shared" si="75"/>
        <v>0.1</v>
      </c>
      <c r="AP288" s="14">
        <f t="shared" si="76"/>
        <v>1</v>
      </c>
      <c r="AQ288" s="14">
        <f t="shared" si="77"/>
        <v>3</v>
      </c>
      <c r="AR288" s="14">
        <f t="shared" si="78"/>
        <v>0</v>
      </c>
      <c r="AS288" s="14">
        <f t="shared" si="79"/>
        <v>1606020</v>
      </c>
      <c r="AT288" s="14" t="str">
        <f t="shared" si="80"/>
        <v>神器-4-碎片-4-1级</v>
      </c>
      <c r="AU288" s="13" t="s">
        <v>1195</v>
      </c>
      <c r="AV288" s="13">
        <f t="shared" si="81"/>
        <v>1</v>
      </c>
      <c r="AW288" s="14">
        <f t="shared" si="82"/>
        <v>447</v>
      </c>
      <c r="AX288" s="14" t="str">
        <f t="shared" si="83"/>
        <v>AtkExt</v>
      </c>
      <c r="AY288" s="14">
        <f t="shared" si="84"/>
        <v>81</v>
      </c>
      <c r="AZ288" s="14" t="str">
        <f t="shared" si="85"/>
        <v>HPExt</v>
      </c>
      <c r="BA288" s="14">
        <f t="shared" si="86"/>
        <v>42</v>
      </c>
      <c r="BB288" s="14" t="str">
        <f t="shared" si="87"/>
        <v/>
      </c>
      <c r="BC288" s="14" t="str">
        <f t="shared" si="88"/>
        <v/>
      </c>
      <c r="BD288" s="14" t="str">
        <f t="shared" si="89"/>
        <v/>
      </c>
      <c r="BE288" s="14" t="str">
        <f t="shared" si="90"/>
        <v/>
      </c>
    </row>
    <row r="289" spans="39:57" ht="16.5" x14ac:dyDescent="0.2">
      <c r="AM289" s="13">
        <v>284</v>
      </c>
      <c r="AN289" s="14">
        <f t="shared" si="91"/>
        <v>18</v>
      </c>
      <c r="AO289" s="29">
        <f t="shared" si="75"/>
        <v>0.15600000000000003</v>
      </c>
      <c r="AP289" s="14">
        <f t="shared" si="76"/>
        <v>1</v>
      </c>
      <c r="AQ289" s="14">
        <f t="shared" si="77"/>
        <v>3</v>
      </c>
      <c r="AR289" s="14">
        <f t="shared" si="78"/>
        <v>0</v>
      </c>
      <c r="AS289" s="14">
        <f t="shared" si="79"/>
        <v>1606020</v>
      </c>
      <c r="AT289" s="14" t="str">
        <f t="shared" si="80"/>
        <v>神器-4-碎片-4-2级</v>
      </c>
      <c r="AU289" s="13" t="s">
        <v>1195</v>
      </c>
      <c r="AV289" s="13">
        <f t="shared" si="81"/>
        <v>2</v>
      </c>
      <c r="AW289" s="14">
        <f t="shared" si="82"/>
        <v>696</v>
      </c>
      <c r="AX289" s="14" t="str">
        <f t="shared" si="83"/>
        <v>AtkExt</v>
      </c>
      <c r="AY289" s="14">
        <f t="shared" si="84"/>
        <v>126</v>
      </c>
      <c r="AZ289" s="14" t="str">
        <f t="shared" si="85"/>
        <v>HPExt</v>
      </c>
      <c r="BA289" s="14">
        <f t="shared" si="86"/>
        <v>66</v>
      </c>
      <c r="BB289" s="14" t="str">
        <f t="shared" si="87"/>
        <v/>
      </c>
      <c r="BC289" s="14" t="str">
        <f t="shared" si="88"/>
        <v/>
      </c>
      <c r="BD289" s="14" t="str">
        <f t="shared" si="89"/>
        <v/>
      </c>
      <c r="BE289" s="14" t="str">
        <f t="shared" si="90"/>
        <v/>
      </c>
    </row>
    <row r="290" spans="39:57" ht="16.5" x14ac:dyDescent="0.2">
      <c r="AM290" s="13">
        <v>285</v>
      </c>
      <c r="AN290" s="14">
        <f t="shared" si="91"/>
        <v>18</v>
      </c>
      <c r="AO290" s="29">
        <f t="shared" si="75"/>
        <v>0.21600000000000003</v>
      </c>
      <c r="AP290" s="14">
        <f t="shared" si="76"/>
        <v>1</v>
      </c>
      <c r="AQ290" s="14">
        <f t="shared" si="77"/>
        <v>3</v>
      </c>
      <c r="AR290" s="14">
        <f t="shared" si="78"/>
        <v>0</v>
      </c>
      <c r="AS290" s="14">
        <f t="shared" si="79"/>
        <v>1606020</v>
      </c>
      <c r="AT290" s="14" t="str">
        <f t="shared" si="80"/>
        <v>神器-4-碎片-4-3级</v>
      </c>
      <c r="AU290" s="13" t="s">
        <v>1195</v>
      </c>
      <c r="AV290" s="13">
        <f t="shared" si="81"/>
        <v>3</v>
      </c>
      <c r="AW290" s="14">
        <f t="shared" si="82"/>
        <v>966</v>
      </c>
      <c r="AX290" s="14" t="str">
        <f t="shared" si="83"/>
        <v>AtkExt</v>
      </c>
      <c r="AY290" s="14">
        <f t="shared" si="84"/>
        <v>175</v>
      </c>
      <c r="AZ290" s="14" t="str">
        <f t="shared" si="85"/>
        <v>HPExt</v>
      </c>
      <c r="BA290" s="14">
        <f t="shared" si="86"/>
        <v>91</v>
      </c>
      <c r="BB290" s="14" t="str">
        <f t="shared" si="87"/>
        <v/>
      </c>
      <c r="BC290" s="14" t="str">
        <f t="shared" si="88"/>
        <v/>
      </c>
      <c r="BD290" s="14" t="str">
        <f t="shared" si="89"/>
        <v/>
      </c>
      <c r="BE290" s="14" t="str">
        <f t="shared" si="90"/>
        <v/>
      </c>
    </row>
    <row r="291" spans="39:57" ht="16.5" x14ac:dyDescent="0.2">
      <c r="AM291" s="13">
        <v>286</v>
      </c>
      <c r="AN291" s="14">
        <f t="shared" si="91"/>
        <v>18</v>
      </c>
      <c r="AO291" s="29">
        <f t="shared" si="75"/>
        <v>0.28000000000000003</v>
      </c>
      <c r="AP291" s="14">
        <f t="shared" si="76"/>
        <v>1</v>
      </c>
      <c r="AQ291" s="14">
        <f t="shared" si="77"/>
        <v>3</v>
      </c>
      <c r="AR291" s="14">
        <f t="shared" si="78"/>
        <v>0</v>
      </c>
      <c r="AS291" s="14">
        <f t="shared" si="79"/>
        <v>1606020</v>
      </c>
      <c r="AT291" s="14" t="str">
        <f t="shared" si="80"/>
        <v>神器-4-碎片-4-4级</v>
      </c>
      <c r="AU291" s="13" t="s">
        <v>1195</v>
      </c>
      <c r="AV291" s="13">
        <f t="shared" si="81"/>
        <v>4</v>
      </c>
      <c r="AW291" s="14">
        <f t="shared" si="82"/>
        <v>1248</v>
      </c>
      <c r="AX291" s="14" t="str">
        <f t="shared" si="83"/>
        <v>AtkExt</v>
      </c>
      <c r="AY291" s="14">
        <f t="shared" si="84"/>
        <v>226</v>
      </c>
      <c r="AZ291" s="14" t="str">
        <f t="shared" si="85"/>
        <v>HPExt</v>
      </c>
      <c r="BA291" s="14">
        <f t="shared" si="86"/>
        <v>118</v>
      </c>
      <c r="BB291" s="14" t="str">
        <f t="shared" si="87"/>
        <v/>
      </c>
      <c r="BC291" s="14" t="str">
        <f t="shared" si="88"/>
        <v/>
      </c>
      <c r="BD291" s="14" t="str">
        <f t="shared" si="89"/>
        <v/>
      </c>
      <c r="BE291" s="14" t="str">
        <f t="shared" si="90"/>
        <v/>
      </c>
    </row>
    <row r="292" spans="39:57" ht="16.5" x14ac:dyDescent="0.2">
      <c r="AM292" s="13">
        <v>287</v>
      </c>
      <c r="AN292" s="14">
        <f t="shared" si="91"/>
        <v>18</v>
      </c>
      <c r="AO292" s="29">
        <f t="shared" si="75"/>
        <v>0.34799999999999998</v>
      </c>
      <c r="AP292" s="14">
        <f t="shared" si="76"/>
        <v>1</v>
      </c>
      <c r="AQ292" s="14">
        <f t="shared" si="77"/>
        <v>3</v>
      </c>
      <c r="AR292" s="14">
        <f t="shared" si="78"/>
        <v>0</v>
      </c>
      <c r="AS292" s="14">
        <f t="shared" si="79"/>
        <v>1606020</v>
      </c>
      <c r="AT292" s="14" t="str">
        <f t="shared" si="80"/>
        <v>神器-4-碎片-4-5级</v>
      </c>
      <c r="AU292" s="13" t="s">
        <v>1195</v>
      </c>
      <c r="AV292" s="13">
        <f t="shared" si="81"/>
        <v>5</v>
      </c>
      <c r="AW292" s="14">
        <f t="shared" si="82"/>
        <v>1552</v>
      </c>
      <c r="AX292" s="14" t="str">
        <f t="shared" si="83"/>
        <v>AtkExt</v>
      </c>
      <c r="AY292" s="14">
        <f t="shared" si="84"/>
        <v>281</v>
      </c>
      <c r="AZ292" s="14" t="str">
        <f t="shared" si="85"/>
        <v>HPExt</v>
      </c>
      <c r="BA292" s="14">
        <f t="shared" si="86"/>
        <v>147</v>
      </c>
      <c r="BB292" s="14" t="str">
        <f t="shared" si="87"/>
        <v/>
      </c>
      <c r="BC292" s="14" t="str">
        <f t="shared" si="88"/>
        <v/>
      </c>
      <c r="BD292" s="14" t="str">
        <f t="shared" si="89"/>
        <v/>
      </c>
      <c r="BE292" s="14" t="str">
        <f t="shared" si="90"/>
        <v/>
      </c>
    </row>
    <row r="293" spans="39:57" ht="16.5" x14ac:dyDescent="0.2">
      <c r="AM293" s="13">
        <v>288</v>
      </c>
      <c r="AN293" s="14">
        <f t="shared" si="91"/>
        <v>18</v>
      </c>
      <c r="AO293" s="29">
        <f t="shared" si="75"/>
        <v>0.42000000000000004</v>
      </c>
      <c r="AP293" s="14">
        <f t="shared" si="76"/>
        <v>1</v>
      </c>
      <c r="AQ293" s="14">
        <f t="shared" si="77"/>
        <v>3</v>
      </c>
      <c r="AR293" s="14">
        <f t="shared" si="78"/>
        <v>0</v>
      </c>
      <c r="AS293" s="14">
        <f t="shared" si="79"/>
        <v>1606020</v>
      </c>
      <c r="AT293" s="14" t="str">
        <f t="shared" si="80"/>
        <v>神器-4-碎片-4-6级</v>
      </c>
      <c r="AU293" s="13" t="s">
        <v>1195</v>
      </c>
      <c r="AV293" s="13">
        <f t="shared" si="81"/>
        <v>6</v>
      </c>
      <c r="AW293" s="14">
        <f t="shared" si="82"/>
        <v>1877</v>
      </c>
      <c r="AX293" s="14" t="str">
        <f t="shared" si="83"/>
        <v>AtkExt</v>
      </c>
      <c r="AY293" s="14">
        <f t="shared" si="84"/>
        <v>340</v>
      </c>
      <c r="AZ293" s="14" t="str">
        <f t="shared" si="85"/>
        <v>HPExt</v>
      </c>
      <c r="BA293" s="14">
        <f t="shared" si="86"/>
        <v>177</v>
      </c>
      <c r="BB293" s="14" t="str">
        <f t="shared" si="87"/>
        <v/>
      </c>
      <c r="BC293" s="14" t="str">
        <f t="shared" si="88"/>
        <v/>
      </c>
      <c r="BD293" s="14" t="str">
        <f t="shared" si="89"/>
        <v/>
      </c>
      <c r="BE293" s="14" t="str">
        <f t="shared" si="90"/>
        <v/>
      </c>
    </row>
    <row r="294" spans="39:57" ht="16.5" x14ac:dyDescent="0.2">
      <c r="AM294" s="13">
        <v>289</v>
      </c>
      <c r="AN294" s="14">
        <f t="shared" si="91"/>
        <v>18</v>
      </c>
      <c r="AO294" s="29">
        <f t="shared" si="75"/>
        <v>0.496</v>
      </c>
      <c r="AP294" s="14">
        <f t="shared" si="76"/>
        <v>1</v>
      </c>
      <c r="AQ294" s="14">
        <f t="shared" si="77"/>
        <v>3</v>
      </c>
      <c r="AR294" s="14">
        <f t="shared" si="78"/>
        <v>0</v>
      </c>
      <c r="AS294" s="14">
        <f t="shared" si="79"/>
        <v>1606020</v>
      </c>
      <c r="AT294" s="14" t="str">
        <f t="shared" si="80"/>
        <v>神器-4-碎片-4-7级</v>
      </c>
      <c r="AU294" s="13" t="s">
        <v>1195</v>
      </c>
      <c r="AV294" s="13">
        <f t="shared" si="81"/>
        <v>7</v>
      </c>
      <c r="AW294" s="14">
        <f t="shared" si="82"/>
        <v>2214</v>
      </c>
      <c r="AX294" s="14" t="str">
        <f t="shared" si="83"/>
        <v>AtkExt</v>
      </c>
      <c r="AY294" s="14">
        <f t="shared" si="84"/>
        <v>401</v>
      </c>
      <c r="AZ294" s="14" t="str">
        <f t="shared" si="85"/>
        <v>HPExt</v>
      </c>
      <c r="BA294" s="14">
        <f t="shared" si="86"/>
        <v>209</v>
      </c>
      <c r="BB294" s="14" t="str">
        <f t="shared" si="87"/>
        <v/>
      </c>
      <c r="BC294" s="14" t="str">
        <f t="shared" si="88"/>
        <v/>
      </c>
      <c r="BD294" s="14" t="str">
        <f t="shared" si="89"/>
        <v/>
      </c>
      <c r="BE294" s="14" t="str">
        <f t="shared" si="90"/>
        <v/>
      </c>
    </row>
    <row r="295" spans="39:57" ht="16.5" x14ac:dyDescent="0.2">
      <c r="AM295" s="13">
        <v>290</v>
      </c>
      <c r="AN295" s="14">
        <f t="shared" si="91"/>
        <v>18</v>
      </c>
      <c r="AO295" s="29">
        <f t="shared" si="75"/>
        <v>0.57600000000000007</v>
      </c>
      <c r="AP295" s="14">
        <f t="shared" si="76"/>
        <v>1</v>
      </c>
      <c r="AQ295" s="14">
        <f t="shared" si="77"/>
        <v>3</v>
      </c>
      <c r="AR295" s="14">
        <f t="shared" si="78"/>
        <v>0</v>
      </c>
      <c r="AS295" s="14">
        <f t="shared" si="79"/>
        <v>1606020</v>
      </c>
      <c r="AT295" s="14" t="str">
        <f t="shared" si="80"/>
        <v>神器-4-碎片-4-8级</v>
      </c>
      <c r="AU295" s="13" t="s">
        <v>1195</v>
      </c>
      <c r="AV295" s="13">
        <f t="shared" si="81"/>
        <v>8</v>
      </c>
      <c r="AW295" s="14">
        <f t="shared" si="82"/>
        <v>2573</v>
      </c>
      <c r="AX295" s="14" t="str">
        <f t="shared" si="83"/>
        <v>AtkExt</v>
      </c>
      <c r="AY295" s="14">
        <f t="shared" si="84"/>
        <v>466</v>
      </c>
      <c r="AZ295" s="14" t="str">
        <f t="shared" si="85"/>
        <v>HPExt</v>
      </c>
      <c r="BA295" s="14">
        <f t="shared" si="86"/>
        <v>243</v>
      </c>
      <c r="BB295" s="14" t="str">
        <f t="shared" si="87"/>
        <v/>
      </c>
      <c r="BC295" s="14" t="str">
        <f t="shared" si="88"/>
        <v/>
      </c>
      <c r="BD295" s="14" t="str">
        <f t="shared" si="89"/>
        <v/>
      </c>
      <c r="BE295" s="14" t="str">
        <f t="shared" si="90"/>
        <v/>
      </c>
    </row>
    <row r="296" spans="39:57" ht="16.5" x14ac:dyDescent="0.2">
      <c r="AM296" s="13">
        <v>291</v>
      </c>
      <c r="AN296" s="14">
        <f t="shared" si="91"/>
        <v>18</v>
      </c>
      <c r="AO296" s="29">
        <f t="shared" si="75"/>
        <v>0.66</v>
      </c>
      <c r="AP296" s="14">
        <f t="shared" si="76"/>
        <v>1</v>
      </c>
      <c r="AQ296" s="14">
        <f t="shared" si="77"/>
        <v>3</v>
      </c>
      <c r="AR296" s="14">
        <f t="shared" si="78"/>
        <v>0</v>
      </c>
      <c r="AS296" s="14">
        <f t="shared" si="79"/>
        <v>1606020</v>
      </c>
      <c r="AT296" s="14" t="str">
        <f t="shared" si="80"/>
        <v>神器-4-碎片-4-9级</v>
      </c>
      <c r="AU296" s="13" t="s">
        <v>1195</v>
      </c>
      <c r="AV296" s="13">
        <f t="shared" si="81"/>
        <v>9</v>
      </c>
      <c r="AW296" s="14">
        <f t="shared" si="82"/>
        <v>2948</v>
      </c>
      <c r="AX296" s="14" t="str">
        <f t="shared" si="83"/>
        <v>AtkExt</v>
      </c>
      <c r="AY296" s="14">
        <f t="shared" si="84"/>
        <v>534</v>
      </c>
      <c r="AZ296" s="14" t="str">
        <f t="shared" si="85"/>
        <v>HPExt</v>
      </c>
      <c r="BA296" s="14">
        <f t="shared" si="86"/>
        <v>278</v>
      </c>
      <c r="BB296" s="14" t="str">
        <f t="shared" si="87"/>
        <v/>
      </c>
      <c r="BC296" s="14" t="str">
        <f t="shared" si="88"/>
        <v/>
      </c>
      <c r="BD296" s="14" t="str">
        <f t="shared" si="89"/>
        <v/>
      </c>
      <c r="BE296" s="14" t="str">
        <f t="shared" si="90"/>
        <v/>
      </c>
    </row>
    <row r="297" spans="39:57" ht="16.5" x14ac:dyDescent="0.2">
      <c r="AM297" s="13">
        <v>292</v>
      </c>
      <c r="AN297" s="14">
        <f t="shared" si="91"/>
        <v>18</v>
      </c>
      <c r="AO297" s="29">
        <f t="shared" si="75"/>
        <v>0.748</v>
      </c>
      <c r="AP297" s="14">
        <f t="shared" si="76"/>
        <v>1</v>
      </c>
      <c r="AQ297" s="14">
        <f t="shared" si="77"/>
        <v>3</v>
      </c>
      <c r="AR297" s="14">
        <f t="shared" si="78"/>
        <v>0</v>
      </c>
      <c r="AS297" s="14">
        <f t="shared" si="79"/>
        <v>1606020</v>
      </c>
      <c r="AT297" s="14" t="str">
        <f t="shared" si="80"/>
        <v>神器-4-碎片-4-10级</v>
      </c>
      <c r="AU297" s="13" t="s">
        <v>1195</v>
      </c>
      <c r="AV297" s="13">
        <f t="shared" si="81"/>
        <v>10</v>
      </c>
      <c r="AW297" s="14">
        <f t="shared" si="82"/>
        <v>3340</v>
      </c>
      <c r="AX297" s="14" t="str">
        <f t="shared" si="83"/>
        <v>AtkExt</v>
      </c>
      <c r="AY297" s="14">
        <f t="shared" si="84"/>
        <v>605</v>
      </c>
      <c r="AZ297" s="14" t="str">
        <f t="shared" si="85"/>
        <v>HPExt</v>
      </c>
      <c r="BA297" s="14">
        <f t="shared" si="86"/>
        <v>315</v>
      </c>
      <c r="BB297" s="14" t="str">
        <f t="shared" si="87"/>
        <v/>
      </c>
      <c r="BC297" s="14" t="str">
        <f t="shared" si="88"/>
        <v/>
      </c>
      <c r="BD297" s="14" t="str">
        <f t="shared" si="89"/>
        <v/>
      </c>
      <c r="BE297" s="14" t="str">
        <f t="shared" si="90"/>
        <v/>
      </c>
    </row>
    <row r="298" spans="39:57" ht="16.5" x14ac:dyDescent="0.2">
      <c r="AM298" s="13">
        <v>293</v>
      </c>
      <c r="AN298" s="14">
        <f t="shared" si="91"/>
        <v>18</v>
      </c>
      <c r="AO298" s="29">
        <f t="shared" si="75"/>
        <v>0.84000000000000008</v>
      </c>
      <c r="AP298" s="14">
        <f t="shared" si="76"/>
        <v>1</v>
      </c>
      <c r="AQ298" s="14">
        <f t="shared" si="77"/>
        <v>3</v>
      </c>
      <c r="AR298" s="14">
        <f t="shared" si="78"/>
        <v>0</v>
      </c>
      <c r="AS298" s="14">
        <f t="shared" si="79"/>
        <v>1606020</v>
      </c>
      <c r="AT298" s="14" t="str">
        <f t="shared" si="80"/>
        <v>神器-4-碎片-4-11级</v>
      </c>
      <c r="AU298" s="13" t="s">
        <v>1195</v>
      </c>
      <c r="AV298" s="13">
        <f t="shared" si="81"/>
        <v>11</v>
      </c>
      <c r="AW298" s="14">
        <f t="shared" si="82"/>
        <v>3749</v>
      </c>
      <c r="AX298" s="14" t="str">
        <f t="shared" si="83"/>
        <v>AtkExt</v>
      </c>
      <c r="AY298" s="14">
        <f t="shared" si="84"/>
        <v>679</v>
      </c>
      <c r="AZ298" s="14" t="str">
        <f t="shared" si="85"/>
        <v>HPExt</v>
      </c>
      <c r="BA298" s="14">
        <f t="shared" si="86"/>
        <v>354</v>
      </c>
      <c r="BB298" s="14" t="str">
        <f t="shared" si="87"/>
        <v/>
      </c>
      <c r="BC298" s="14" t="str">
        <f t="shared" si="88"/>
        <v/>
      </c>
      <c r="BD298" s="14" t="str">
        <f t="shared" si="89"/>
        <v/>
      </c>
      <c r="BE298" s="14" t="str">
        <f t="shared" si="90"/>
        <v/>
      </c>
    </row>
    <row r="299" spans="39:57" ht="16.5" x14ac:dyDescent="0.2">
      <c r="AM299" s="13">
        <v>294</v>
      </c>
      <c r="AN299" s="14">
        <f t="shared" si="91"/>
        <v>18</v>
      </c>
      <c r="AO299" s="29">
        <f t="shared" si="75"/>
        <v>0.93600000000000017</v>
      </c>
      <c r="AP299" s="14">
        <f t="shared" si="76"/>
        <v>1</v>
      </c>
      <c r="AQ299" s="14">
        <f t="shared" si="77"/>
        <v>3</v>
      </c>
      <c r="AR299" s="14">
        <f t="shared" si="78"/>
        <v>0</v>
      </c>
      <c r="AS299" s="14">
        <f t="shared" si="79"/>
        <v>1606020</v>
      </c>
      <c r="AT299" s="14" t="str">
        <f t="shared" si="80"/>
        <v>神器-4-碎片-4-12级</v>
      </c>
      <c r="AU299" s="13" t="s">
        <v>1195</v>
      </c>
      <c r="AV299" s="13">
        <f t="shared" si="81"/>
        <v>12</v>
      </c>
      <c r="AW299" s="14">
        <f t="shared" si="82"/>
        <v>4179</v>
      </c>
      <c r="AX299" s="14" t="str">
        <f t="shared" si="83"/>
        <v>AtkExt</v>
      </c>
      <c r="AY299" s="14">
        <f t="shared" si="84"/>
        <v>757</v>
      </c>
      <c r="AZ299" s="14" t="str">
        <f t="shared" si="85"/>
        <v>HPExt</v>
      </c>
      <c r="BA299" s="14">
        <f t="shared" si="86"/>
        <v>394</v>
      </c>
      <c r="BB299" s="14" t="str">
        <f t="shared" si="87"/>
        <v/>
      </c>
      <c r="BC299" s="14" t="str">
        <f t="shared" si="88"/>
        <v/>
      </c>
      <c r="BD299" s="14" t="str">
        <f t="shared" si="89"/>
        <v/>
      </c>
      <c r="BE299" s="14" t="str">
        <f t="shared" si="90"/>
        <v/>
      </c>
    </row>
    <row r="300" spans="39:57" ht="16.5" x14ac:dyDescent="0.2">
      <c r="AM300" s="13">
        <v>295</v>
      </c>
      <c r="AN300" s="14">
        <f t="shared" si="91"/>
        <v>18</v>
      </c>
      <c r="AO300" s="29">
        <f t="shared" si="75"/>
        <v>1.036</v>
      </c>
      <c r="AP300" s="14">
        <f t="shared" si="76"/>
        <v>1</v>
      </c>
      <c r="AQ300" s="14">
        <f t="shared" si="77"/>
        <v>3</v>
      </c>
      <c r="AR300" s="14">
        <f t="shared" si="78"/>
        <v>0</v>
      </c>
      <c r="AS300" s="14">
        <f t="shared" si="79"/>
        <v>1606020</v>
      </c>
      <c r="AT300" s="14" t="str">
        <f t="shared" si="80"/>
        <v>神器-4-碎片-4-13级</v>
      </c>
      <c r="AU300" s="13" t="s">
        <v>1195</v>
      </c>
      <c r="AV300" s="13">
        <f t="shared" si="81"/>
        <v>13</v>
      </c>
      <c r="AW300" s="14">
        <f t="shared" si="82"/>
        <v>4626</v>
      </c>
      <c r="AX300" s="14" t="str">
        <f t="shared" si="83"/>
        <v>AtkExt</v>
      </c>
      <c r="AY300" s="14">
        <f t="shared" si="84"/>
        <v>838</v>
      </c>
      <c r="AZ300" s="14" t="str">
        <f t="shared" si="85"/>
        <v>HPExt</v>
      </c>
      <c r="BA300" s="14">
        <f t="shared" si="86"/>
        <v>436</v>
      </c>
      <c r="BB300" s="14" t="str">
        <f t="shared" si="87"/>
        <v/>
      </c>
      <c r="BC300" s="14" t="str">
        <f t="shared" si="88"/>
        <v/>
      </c>
      <c r="BD300" s="14" t="str">
        <f t="shared" si="89"/>
        <v/>
      </c>
      <c r="BE300" s="14" t="str">
        <f t="shared" si="90"/>
        <v/>
      </c>
    </row>
    <row r="301" spans="39:57" ht="16.5" x14ac:dyDescent="0.2">
      <c r="AM301" s="13">
        <v>296</v>
      </c>
      <c r="AN301" s="14">
        <f t="shared" si="91"/>
        <v>18</v>
      </c>
      <c r="AO301" s="29">
        <f t="shared" si="75"/>
        <v>1.1400000000000001</v>
      </c>
      <c r="AP301" s="14">
        <f t="shared" si="76"/>
        <v>1</v>
      </c>
      <c r="AQ301" s="14">
        <f t="shared" si="77"/>
        <v>3</v>
      </c>
      <c r="AR301" s="14">
        <f t="shared" si="78"/>
        <v>0</v>
      </c>
      <c r="AS301" s="14">
        <f t="shared" si="79"/>
        <v>1606020</v>
      </c>
      <c r="AT301" s="14" t="str">
        <f t="shared" si="80"/>
        <v>神器-4-碎片-4-14级</v>
      </c>
      <c r="AU301" s="13" t="s">
        <v>1195</v>
      </c>
      <c r="AV301" s="13">
        <f t="shared" si="81"/>
        <v>14</v>
      </c>
      <c r="AW301" s="14">
        <f t="shared" si="82"/>
        <v>5090</v>
      </c>
      <c r="AX301" s="14" t="str">
        <f t="shared" si="83"/>
        <v>AtkExt</v>
      </c>
      <c r="AY301" s="14">
        <f t="shared" si="84"/>
        <v>922</v>
      </c>
      <c r="AZ301" s="14" t="str">
        <f t="shared" si="85"/>
        <v>HPExt</v>
      </c>
      <c r="BA301" s="14">
        <f t="shared" si="86"/>
        <v>480</v>
      </c>
      <c r="BB301" s="14" t="str">
        <f t="shared" si="87"/>
        <v/>
      </c>
      <c r="BC301" s="14" t="str">
        <f t="shared" si="88"/>
        <v/>
      </c>
      <c r="BD301" s="14" t="str">
        <f t="shared" si="89"/>
        <v/>
      </c>
      <c r="BE301" s="14" t="str">
        <f t="shared" si="90"/>
        <v/>
      </c>
    </row>
    <row r="302" spans="39:57" ht="16.5" x14ac:dyDescent="0.2">
      <c r="AM302" s="13">
        <v>297</v>
      </c>
      <c r="AN302" s="14">
        <f t="shared" si="91"/>
        <v>18</v>
      </c>
      <c r="AO302" s="29">
        <f t="shared" si="75"/>
        <v>1.248</v>
      </c>
      <c r="AP302" s="14">
        <f t="shared" si="76"/>
        <v>1</v>
      </c>
      <c r="AQ302" s="14">
        <f t="shared" si="77"/>
        <v>3</v>
      </c>
      <c r="AR302" s="14">
        <f t="shared" si="78"/>
        <v>0</v>
      </c>
      <c r="AS302" s="14">
        <f t="shared" si="79"/>
        <v>1606020</v>
      </c>
      <c r="AT302" s="14" t="str">
        <f t="shared" si="80"/>
        <v>神器-4-碎片-4-15级</v>
      </c>
      <c r="AU302" s="13" t="s">
        <v>1195</v>
      </c>
      <c r="AV302" s="13">
        <f t="shared" si="81"/>
        <v>15</v>
      </c>
      <c r="AW302" s="14">
        <f t="shared" si="82"/>
        <v>5570</v>
      </c>
      <c r="AX302" s="14" t="str">
        <f t="shared" si="83"/>
        <v>AtkExt</v>
      </c>
      <c r="AY302" s="14">
        <f t="shared" si="84"/>
        <v>1009</v>
      </c>
      <c r="AZ302" s="14" t="str">
        <f t="shared" si="85"/>
        <v>HPExt</v>
      </c>
      <c r="BA302" s="14">
        <f t="shared" si="86"/>
        <v>525</v>
      </c>
      <c r="BB302" s="14" t="str">
        <f t="shared" si="87"/>
        <v/>
      </c>
      <c r="BC302" s="14" t="str">
        <f t="shared" si="88"/>
        <v/>
      </c>
      <c r="BD302" s="14" t="str">
        <f t="shared" si="89"/>
        <v/>
      </c>
      <c r="BE302" s="14" t="str">
        <f t="shared" si="90"/>
        <v/>
      </c>
    </row>
    <row r="303" spans="39:57" ht="16.5" x14ac:dyDescent="0.2">
      <c r="AM303" s="13">
        <v>298</v>
      </c>
      <c r="AN303" s="14">
        <f t="shared" si="91"/>
        <v>18</v>
      </c>
      <c r="AO303" s="29">
        <f t="shared" si="75"/>
        <v>1.36</v>
      </c>
      <c r="AP303" s="14">
        <f t="shared" si="76"/>
        <v>1</v>
      </c>
      <c r="AQ303" s="14">
        <f t="shared" si="77"/>
        <v>3</v>
      </c>
      <c r="AR303" s="14">
        <f t="shared" si="78"/>
        <v>0</v>
      </c>
      <c r="AS303" s="14">
        <f t="shared" si="79"/>
        <v>1606020</v>
      </c>
      <c r="AT303" s="14" t="str">
        <f t="shared" si="80"/>
        <v>神器-4-碎片-4-16级</v>
      </c>
      <c r="AU303" s="13" t="s">
        <v>1195</v>
      </c>
      <c r="AV303" s="13">
        <f t="shared" si="81"/>
        <v>16</v>
      </c>
      <c r="AW303" s="14">
        <f t="shared" si="82"/>
        <v>6073</v>
      </c>
      <c r="AX303" s="14" t="str">
        <f t="shared" si="83"/>
        <v>AtkExt</v>
      </c>
      <c r="AY303" s="14">
        <f t="shared" si="84"/>
        <v>1100</v>
      </c>
      <c r="AZ303" s="14" t="str">
        <f t="shared" si="85"/>
        <v>HPExt</v>
      </c>
      <c r="BA303" s="14">
        <f t="shared" si="86"/>
        <v>573</v>
      </c>
      <c r="BB303" s="14" t="str">
        <f t="shared" si="87"/>
        <v/>
      </c>
      <c r="BC303" s="14" t="str">
        <f t="shared" si="88"/>
        <v/>
      </c>
      <c r="BD303" s="14" t="str">
        <f t="shared" si="89"/>
        <v/>
      </c>
      <c r="BE303" s="14" t="str">
        <f t="shared" si="90"/>
        <v/>
      </c>
    </row>
    <row r="304" spans="39:57" ht="16.5" x14ac:dyDescent="0.2">
      <c r="AM304" s="13">
        <v>299</v>
      </c>
      <c r="AN304" s="14">
        <f t="shared" si="91"/>
        <v>18</v>
      </c>
      <c r="AO304" s="29">
        <f t="shared" si="75"/>
        <v>1.476</v>
      </c>
      <c r="AP304" s="14">
        <f t="shared" si="76"/>
        <v>1</v>
      </c>
      <c r="AQ304" s="14">
        <f t="shared" si="77"/>
        <v>3</v>
      </c>
      <c r="AR304" s="14">
        <f t="shared" si="78"/>
        <v>0</v>
      </c>
      <c r="AS304" s="14">
        <f t="shared" si="79"/>
        <v>1606020</v>
      </c>
      <c r="AT304" s="14" t="str">
        <f t="shared" si="80"/>
        <v>神器-4-碎片-4-17级</v>
      </c>
      <c r="AU304" s="13" t="s">
        <v>1195</v>
      </c>
      <c r="AV304" s="13">
        <f t="shared" si="81"/>
        <v>17</v>
      </c>
      <c r="AW304" s="14">
        <f t="shared" si="82"/>
        <v>6591</v>
      </c>
      <c r="AX304" s="14" t="str">
        <f t="shared" si="83"/>
        <v>AtkExt</v>
      </c>
      <c r="AY304" s="14">
        <f t="shared" si="84"/>
        <v>1194</v>
      </c>
      <c r="AZ304" s="14" t="str">
        <f t="shared" si="85"/>
        <v>HPExt</v>
      </c>
      <c r="BA304" s="14">
        <f t="shared" si="86"/>
        <v>621</v>
      </c>
      <c r="BB304" s="14" t="str">
        <f t="shared" si="87"/>
        <v/>
      </c>
      <c r="BC304" s="14" t="str">
        <f t="shared" si="88"/>
        <v/>
      </c>
      <c r="BD304" s="14" t="str">
        <f t="shared" si="89"/>
        <v/>
      </c>
      <c r="BE304" s="14" t="str">
        <f t="shared" si="90"/>
        <v/>
      </c>
    </row>
    <row r="305" spans="39:57" ht="16.5" x14ac:dyDescent="0.2">
      <c r="AM305" s="13">
        <v>300</v>
      </c>
      <c r="AN305" s="14">
        <f t="shared" si="91"/>
        <v>18</v>
      </c>
      <c r="AO305" s="29">
        <f t="shared" si="75"/>
        <v>1.5960000000000001</v>
      </c>
      <c r="AP305" s="14">
        <f t="shared" si="76"/>
        <v>1</v>
      </c>
      <c r="AQ305" s="14">
        <f t="shared" si="77"/>
        <v>3</v>
      </c>
      <c r="AR305" s="14">
        <f t="shared" si="78"/>
        <v>0</v>
      </c>
      <c r="AS305" s="14">
        <f t="shared" si="79"/>
        <v>1606020</v>
      </c>
      <c r="AT305" s="14" t="str">
        <f t="shared" si="80"/>
        <v>神器-4-碎片-4-18级</v>
      </c>
      <c r="AU305" s="13" t="s">
        <v>1195</v>
      </c>
      <c r="AV305" s="13">
        <f t="shared" si="81"/>
        <v>18</v>
      </c>
      <c r="AW305" s="14">
        <f t="shared" si="82"/>
        <v>7127</v>
      </c>
      <c r="AX305" s="14" t="str">
        <f t="shared" si="83"/>
        <v>AtkExt</v>
      </c>
      <c r="AY305" s="14">
        <f t="shared" si="84"/>
        <v>1291</v>
      </c>
      <c r="AZ305" s="14" t="str">
        <f t="shared" si="85"/>
        <v>HPExt</v>
      </c>
      <c r="BA305" s="14">
        <f t="shared" si="86"/>
        <v>672</v>
      </c>
      <c r="BB305" s="14" t="str">
        <f t="shared" si="87"/>
        <v/>
      </c>
      <c r="BC305" s="14" t="str">
        <f t="shared" si="88"/>
        <v/>
      </c>
      <c r="BD305" s="14" t="str">
        <f t="shared" si="89"/>
        <v/>
      </c>
      <c r="BE305" s="14" t="str">
        <f t="shared" si="90"/>
        <v/>
      </c>
    </row>
    <row r="306" spans="39:57" ht="16.5" x14ac:dyDescent="0.2">
      <c r="AM306" s="13">
        <v>301</v>
      </c>
      <c r="AN306" s="14">
        <f t="shared" si="91"/>
        <v>19</v>
      </c>
      <c r="AO306" s="29">
        <f t="shared" si="75"/>
        <v>0.1</v>
      </c>
      <c r="AP306" s="14">
        <f t="shared" si="76"/>
        <v>1</v>
      </c>
      <c r="AQ306" s="14">
        <f t="shared" si="77"/>
        <v>2</v>
      </c>
      <c r="AR306" s="14">
        <f t="shared" si="78"/>
        <v>3</v>
      </c>
      <c r="AS306" s="14">
        <f t="shared" si="79"/>
        <v>1606021</v>
      </c>
      <c r="AT306" s="14" t="str">
        <f t="shared" si="80"/>
        <v>神器-4-碎片-5-1级</v>
      </c>
      <c r="AU306" s="13" t="s">
        <v>1195</v>
      </c>
      <c r="AV306" s="13">
        <f t="shared" si="81"/>
        <v>1</v>
      </c>
      <c r="AW306" s="14">
        <f t="shared" si="82"/>
        <v>876</v>
      </c>
      <c r="AX306" s="14" t="str">
        <f t="shared" si="83"/>
        <v>AtkExt</v>
      </c>
      <c r="AY306" s="14">
        <f t="shared" si="84"/>
        <v>54</v>
      </c>
      <c r="AZ306" s="14" t="str">
        <f t="shared" si="85"/>
        <v>DefExt</v>
      </c>
      <c r="BA306" s="14">
        <f t="shared" si="86"/>
        <v>55</v>
      </c>
      <c r="BB306" s="14" t="str">
        <f t="shared" si="87"/>
        <v>HPExt</v>
      </c>
      <c r="BC306" s="14">
        <f t="shared" si="88"/>
        <v>56</v>
      </c>
      <c r="BD306" s="14" t="str">
        <f t="shared" si="89"/>
        <v/>
      </c>
      <c r="BE306" s="14" t="str">
        <f t="shared" si="90"/>
        <v/>
      </c>
    </row>
    <row r="307" spans="39:57" ht="16.5" x14ac:dyDescent="0.2">
      <c r="AM307" s="13">
        <v>302</v>
      </c>
      <c r="AN307" s="14">
        <f t="shared" si="91"/>
        <v>19</v>
      </c>
      <c r="AO307" s="29">
        <f t="shared" si="75"/>
        <v>0.15600000000000003</v>
      </c>
      <c r="AP307" s="14">
        <f t="shared" si="76"/>
        <v>1</v>
      </c>
      <c r="AQ307" s="14">
        <f t="shared" si="77"/>
        <v>2</v>
      </c>
      <c r="AR307" s="14">
        <f t="shared" si="78"/>
        <v>3</v>
      </c>
      <c r="AS307" s="14">
        <f t="shared" si="79"/>
        <v>1606021</v>
      </c>
      <c r="AT307" s="14" t="str">
        <f t="shared" si="80"/>
        <v>神器-4-碎片-5-2级</v>
      </c>
      <c r="AU307" s="13" t="s">
        <v>1195</v>
      </c>
      <c r="AV307" s="13">
        <f t="shared" si="81"/>
        <v>2</v>
      </c>
      <c r="AW307" s="14">
        <f t="shared" si="82"/>
        <v>1368</v>
      </c>
      <c r="AX307" s="14" t="str">
        <f t="shared" si="83"/>
        <v>AtkExt</v>
      </c>
      <c r="AY307" s="14">
        <f t="shared" si="84"/>
        <v>84</v>
      </c>
      <c r="AZ307" s="14" t="str">
        <f t="shared" si="85"/>
        <v>DefExt</v>
      </c>
      <c r="BA307" s="14">
        <f t="shared" si="86"/>
        <v>86</v>
      </c>
      <c r="BB307" s="14" t="str">
        <f t="shared" si="87"/>
        <v>HPExt</v>
      </c>
      <c r="BC307" s="14">
        <f t="shared" si="88"/>
        <v>88</v>
      </c>
      <c r="BD307" s="14" t="str">
        <f t="shared" si="89"/>
        <v/>
      </c>
      <c r="BE307" s="14" t="str">
        <f t="shared" si="90"/>
        <v/>
      </c>
    </row>
    <row r="308" spans="39:57" ht="16.5" x14ac:dyDescent="0.2">
      <c r="AM308" s="13">
        <v>303</v>
      </c>
      <c r="AN308" s="14">
        <f t="shared" si="91"/>
        <v>19</v>
      </c>
      <c r="AO308" s="29">
        <f t="shared" si="75"/>
        <v>0.21600000000000003</v>
      </c>
      <c r="AP308" s="14">
        <f t="shared" si="76"/>
        <v>1</v>
      </c>
      <c r="AQ308" s="14">
        <f t="shared" si="77"/>
        <v>2</v>
      </c>
      <c r="AR308" s="14">
        <f t="shared" si="78"/>
        <v>3</v>
      </c>
      <c r="AS308" s="14">
        <f t="shared" si="79"/>
        <v>1606021</v>
      </c>
      <c r="AT308" s="14" t="str">
        <f t="shared" si="80"/>
        <v>神器-4-碎片-5-3级</v>
      </c>
      <c r="AU308" s="13" t="s">
        <v>1195</v>
      </c>
      <c r="AV308" s="13">
        <f t="shared" si="81"/>
        <v>3</v>
      </c>
      <c r="AW308" s="14">
        <f t="shared" si="82"/>
        <v>1901</v>
      </c>
      <c r="AX308" s="14" t="str">
        <f t="shared" si="83"/>
        <v>AtkExt</v>
      </c>
      <c r="AY308" s="14">
        <f t="shared" si="84"/>
        <v>116</v>
      </c>
      <c r="AZ308" s="14" t="str">
        <f t="shared" si="85"/>
        <v>DefExt</v>
      </c>
      <c r="BA308" s="14">
        <f t="shared" si="86"/>
        <v>120</v>
      </c>
      <c r="BB308" s="14" t="str">
        <f t="shared" si="87"/>
        <v>HPExt</v>
      </c>
      <c r="BC308" s="14">
        <f t="shared" si="88"/>
        <v>121</v>
      </c>
      <c r="BD308" s="14" t="str">
        <f t="shared" si="89"/>
        <v/>
      </c>
      <c r="BE308" s="14" t="str">
        <f t="shared" si="90"/>
        <v/>
      </c>
    </row>
    <row r="309" spans="39:57" ht="16.5" x14ac:dyDescent="0.2">
      <c r="AM309" s="13">
        <v>304</v>
      </c>
      <c r="AN309" s="14">
        <f t="shared" si="91"/>
        <v>19</v>
      </c>
      <c r="AO309" s="29">
        <f t="shared" si="75"/>
        <v>0.28000000000000003</v>
      </c>
      <c r="AP309" s="14">
        <f t="shared" si="76"/>
        <v>1</v>
      </c>
      <c r="AQ309" s="14">
        <f t="shared" si="77"/>
        <v>2</v>
      </c>
      <c r="AR309" s="14">
        <f t="shared" si="78"/>
        <v>3</v>
      </c>
      <c r="AS309" s="14">
        <f t="shared" si="79"/>
        <v>1606021</v>
      </c>
      <c r="AT309" s="14" t="str">
        <f t="shared" si="80"/>
        <v>神器-4-碎片-5-4级</v>
      </c>
      <c r="AU309" s="13" t="s">
        <v>1195</v>
      </c>
      <c r="AV309" s="13">
        <f t="shared" si="81"/>
        <v>4</v>
      </c>
      <c r="AW309" s="14">
        <f t="shared" si="82"/>
        <v>2462</v>
      </c>
      <c r="AX309" s="14" t="str">
        <f t="shared" si="83"/>
        <v>AtkExt</v>
      </c>
      <c r="AY309" s="14">
        <f t="shared" si="84"/>
        <v>151</v>
      </c>
      <c r="AZ309" s="14" t="str">
        <f t="shared" si="85"/>
        <v>DefExt</v>
      </c>
      <c r="BA309" s="14">
        <f t="shared" si="86"/>
        <v>155</v>
      </c>
      <c r="BB309" s="14" t="str">
        <f t="shared" si="87"/>
        <v>HPExt</v>
      </c>
      <c r="BC309" s="14">
        <f t="shared" si="88"/>
        <v>157</v>
      </c>
      <c r="BD309" s="14" t="str">
        <f t="shared" si="89"/>
        <v/>
      </c>
      <c r="BE309" s="14" t="str">
        <f t="shared" si="90"/>
        <v/>
      </c>
    </row>
    <row r="310" spans="39:57" ht="16.5" x14ac:dyDescent="0.2">
      <c r="AM310" s="13">
        <v>305</v>
      </c>
      <c r="AN310" s="14">
        <f t="shared" si="91"/>
        <v>19</v>
      </c>
      <c r="AO310" s="29">
        <f t="shared" si="75"/>
        <v>0.34799999999999998</v>
      </c>
      <c r="AP310" s="14">
        <f t="shared" si="76"/>
        <v>1</v>
      </c>
      <c r="AQ310" s="14">
        <f t="shared" si="77"/>
        <v>2</v>
      </c>
      <c r="AR310" s="14">
        <f t="shared" si="78"/>
        <v>3</v>
      </c>
      <c r="AS310" s="14">
        <f t="shared" si="79"/>
        <v>1606021</v>
      </c>
      <c r="AT310" s="14" t="str">
        <f t="shared" si="80"/>
        <v>神器-4-碎片-5-5级</v>
      </c>
      <c r="AU310" s="13" t="s">
        <v>1195</v>
      </c>
      <c r="AV310" s="13">
        <f t="shared" si="81"/>
        <v>5</v>
      </c>
      <c r="AW310" s="14">
        <f t="shared" si="82"/>
        <v>3065</v>
      </c>
      <c r="AX310" s="14" t="str">
        <f t="shared" si="83"/>
        <v>AtkExt</v>
      </c>
      <c r="AY310" s="14">
        <f t="shared" si="84"/>
        <v>188</v>
      </c>
      <c r="AZ310" s="14" t="str">
        <f t="shared" si="85"/>
        <v>DefExt</v>
      </c>
      <c r="BA310" s="14">
        <f t="shared" si="86"/>
        <v>193</v>
      </c>
      <c r="BB310" s="14" t="str">
        <f t="shared" si="87"/>
        <v>HPExt</v>
      </c>
      <c r="BC310" s="14">
        <f t="shared" si="88"/>
        <v>195</v>
      </c>
      <c r="BD310" s="14" t="str">
        <f t="shared" si="89"/>
        <v/>
      </c>
      <c r="BE310" s="14" t="str">
        <f t="shared" si="90"/>
        <v/>
      </c>
    </row>
    <row r="311" spans="39:57" ht="16.5" x14ac:dyDescent="0.2">
      <c r="AM311" s="13">
        <v>306</v>
      </c>
      <c r="AN311" s="14">
        <f t="shared" si="91"/>
        <v>19</v>
      </c>
      <c r="AO311" s="29">
        <f t="shared" si="75"/>
        <v>0.42000000000000004</v>
      </c>
      <c r="AP311" s="14">
        <f t="shared" si="76"/>
        <v>1</v>
      </c>
      <c r="AQ311" s="14">
        <f t="shared" si="77"/>
        <v>2</v>
      </c>
      <c r="AR311" s="14">
        <f t="shared" si="78"/>
        <v>3</v>
      </c>
      <c r="AS311" s="14">
        <f t="shared" si="79"/>
        <v>1606021</v>
      </c>
      <c r="AT311" s="14" t="str">
        <f t="shared" si="80"/>
        <v>神器-4-碎片-5-6级</v>
      </c>
      <c r="AU311" s="13" t="s">
        <v>1195</v>
      </c>
      <c r="AV311" s="13">
        <f t="shared" si="81"/>
        <v>6</v>
      </c>
      <c r="AW311" s="14">
        <f t="shared" si="82"/>
        <v>3696</v>
      </c>
      <c r="AX311" s="14" t="str">
        <f t="shared" si="83"/>
        <v>AtkExt</v>
      </c>
      <c r="AY311" s="14">
        <f t="shared" si="84"/>
        <v>226</v>
      </c>
      <c r="AZ311" s="14" t="str">
        <f t="shared" si="85"/>
        <v>DefExt</v>
      </c>
      <c r="BA311" s="14">
        <f t="shared" si="86"/>
        <v>233</v>
      </c>
      <c r="BB311" s="14" t="str">
        <f t="shared" si="87"/>
        <v>HPExt</v>
      </c>
      <c r="BC311" s="14">
        <f t="shared" si="88"/>
        <v>236</v>
      </c>
      <c r="BD311" s="14" t="str">
        <f t="shared" si="89"/>
        <v/>
      </c>
      <c r="BE311" s="14" t="str">
        <f t="shared" si="90"/>
        <v/>
      </c>
    </row>
    <row r="312" spans="39:57" ht="16.5" x14ac:dyDescent="0.2">
      <c r="AM312" s="13">
        <v>307</v>
      </c>
      <c r="AN312" s="14">
        <f t="shared" si="91"/>
        <v>19</v>
      </c>
      <c r="AO312" s="29">
        <f t="shared" si="75"/>
        <v>0.496</v>
      </c>
      <c r="AP312" s="14">
        <f t="shared" si="76"/>
        <v>1</v>
      </c>
      <c r="AQ312" s="14">
        <f t="shared" si="77"/>
        <v>2</v>
      </c>
      <c r="AR312" s="14">
        <f t="shared" si="78"/>
        <v>3</v>
      </c>
      <c r="AS312" s="14">
        <f t="shared" si="79"/>
        <v>1606021</v>
      </c>
      <c r="AT312" s="14" t="str">
        <f t="shared" si="80"/>
        <v>神器-4-碎片-5-7级</v>
      </c>
      <c r="AU312" s="13" t="s">
        <v>1195</v>
      </c>
      <c r="AV312" s="13">
        <f t="shared" si="81"/>
        <v>7</v>
      </c>
      <c r="AW312" s="14">
        <f t="shared" si="82"/>
        <v>4363</v>
      </c>
      <c r="AX312" s="14" t="str">
        <f t="shared" si="83"/>
        <v>AtkExt</v>
      </c>
      <c r="AY312" s="14">
        <f t="shared" si="84"/>
        <v>267</v>
      </c>
      <c r="AZ312" s="14" t="str">
        <f t="shared" si="85"/>
        <v>DefExt</v>
      </c>
      <c r="BA312" s="14">
        <f t="shared" si="86"/>
        <v>275</v>
      </c>
      <c r="BB312" s="14" t="str">
        <f t="shared" si="87"/>
        <v>HPExt</v>
      </c>
      <c r="BC312" s="14">
        <f t="shared" si="88"/>
        <v>278</v>
      </c>
      <c r="BD312" s="14" t="str">
        <f t="shared" si="89"/>
        <v/>
      </c>
      <c r="BE312" s="14" t="str">
        <f t="shared" si="90"/>
        <v/>
      </c>
    </row>
    <row r="313" spans="39:57" ht="16.5" x14ac:dyDescent="0.2">
      <c r="AM313" s="13">
        <v>308</v>
      </c>
      <c r="AN313" s="14">
        <f t="shared" si="91"/>
        <v>19</v>
      </c>
      <c r="AO313" s="29">
        <f t="shared" si="75"/>
        <v>0.57600000000000007</v>
      </c>
      <c r="AP313" s="14">
        <f t="shared" si="76"/>
        <v>1</v>
      </c>
      <c r="AQ313" s="14">
        <f t="shared" si="77"/>
        <v>2</v>
      </c>
      <c r="AR313" s="14">
        <f t="shared" si="78"/>
        <v>3</v>
      </c>
      <c r="AS313" s="14">
        <f t="shared" si="79"/>
        <v>1606021</v>
      </c>
      <c r="AT313" s="14" t="str">
        <f t="shared" si="80"/>
        <v>神器-4-碎片-5-8级</v>
      </c>
      <c r="AU313" s="13" t="s">
        <v>1195</v>
      </c>
      <c r="AV313" s="13">
        <f t="shared" si="81"/>
        <v>8</v>
      </c>
      <c r="AW313" s="14">
        <f t="shared" si="82"/>
        <v>5068</v>
      </c>
      <c r="AX313" s="14" t="str">
        <f t="shared" si="83"/>
        <v>AtkExt</v>
      </c>
      <c r="AY313" s="14">
        <f t="shared" si="84"/>
        <v>311</v>
      </c>
      <c r="AZ313" s="14" t="str">
        <f t="shared" si="85"/>
        <v>DefExt</v>
      </c>
      <c r="BA313" s="14">
        <f t="shared" si="86"/>
        <v>319</v>
      </c>
      <c r="BB313" s="14" t="str">
        <f t="shared" si="87"/>
        <v>HPExt</v>
      </c>
      <c r="BC313" s="14">
        <f t="shared" si="88"/>
        <v>323</v>
      </c>
      <c r="BD313" s="14" t="str">
        <f t="shared" si="89"/>
        <v/>
      </c>
      <c r="BE313" s="14" t="str">
        <f t="shared" si="90"/>
        <v/>
      </c>
    </row>
    <row r="314" spans="39:57" ht="16.5" x14ac:dyDescent="0.2">
      <c r="AM314" s="13">
        <v>309</v>
      </c>
      <c r="AN314" s="14">
        <f t="shared" si="91"/>
        <v>19</v>
      </c>
      <c r="AO314" s="29">
        <f t="shared" si="75"/>
        <v>0.66</v>
      </c>
      <c r="AP314" s="14">
        <f t="shared" si="76"/>
        <v>1</v>
      </c>
      <c r="AQ314" s="14">
        <f t="shared" si="77"/>
        <v>2</v>
      </c>
      <c r="AR314" s="14">
        <f t="shared" si="78"/>
        <v>3</v>
      </c>
      <c r="AS314" s="14">
        <f t="shared" si="79"/>
        <v>1606021</v>
      </c>
      <c r="AT314" s="14" t="str">
        <f t="shared" si="80"/>
        <v>神器-4-碎片-5-9级</v>
      </c>
      <c r="AU314" s="13" t="s">
        <v>1195</v>
      </c>
      <c r="AV314" s="13">
        <f t="shared" si="81"/>
        <v>9</v>
      </c>
      <c r="AW314" s="14">
        <f t="shared" si="82"/>
        <v>5811</v>
      </c>
      <c r="AX314" s="14" t="str">
        <f t="shared" si="83"/>
        <v>AtkExt</v>
      </c>
      <c r="AY314" s="14">
        <f t="shared" si="84"/>
        <v>356</v>
      </c>
      <c r="AZ314" s="14" t="str">
        <f t="shared" si="85"/>
        <v>DefExt</v>
      </c>
      <c r="BA314" s="14">
        <f t="shared" si="86"/>
        <v>366</v>
      </c>
      <c r="BB314" s="14" t="str">
        <f t="shared" si="87"/>
        <v>HPExt</v>
      </c>
      <c r="BC314" s="14">
        <f t="shared" si="88"/>
        <v>371</v>
      </c>
      <c r="BD314" s="14" t="str">
        <f t="shared" si="89"/>
        <v/>
      </c>
      <c r="BE314" s="14" t="str">
        <f t="shared" si="90"/>
        <v/>
      </c>
    </row>
    <row r="315" spans="39:57" ht="16.5" x14ac:dyDescent="0.2">
      <c r="AM315" s="13">
        <v>310</v>
      </c>
      <c r="AN315" s="14">
        <f t="shared" si="91"/>
        <v>19</v>
      </c>
      <c r="AO315" s="29">
        <f t="shared" si="75"/>
        <v>0.748</v>
      </c>
      <c r="AP315" s="14">
        <f t="shared" si="76"/>
        <v>1</v>
      </c>
      <c r="AQ315" s="14">
        <f t="shared" si="77"/>
        <v>2</v>
      </c>
      <c r="AR315" s="14">
        <f t="shared" si="78"/>
        <v>3</v>
      </c>
      <c r="AS315" s="14">
        <f t="shared" si="79"/>
        <v>1606021</v>
      </c>
      <c r="AT315" s="14" t="str">
        <f t="shared" si="80"/>
        <v>神器-4-碎片-5-10级</v>
      </c>
      <c r="AU315" s="13" t="s">
        <v>1195</v>
      </c>
      <c r="AV315" s="13">
        <f t="shared" si="81"/>
        <v>10</v>
      </c>
      <c r="AW315" s="14">
        <f t="shared" si="82"/>
        <v>6585</v>
      </c>
      <c r="AX315" s="14" t="str">
        <f t="shared" si="83"/>
        <v>AtkExt</v>
      </c>
      <c r="AY315" s="14">
        <f t="shared" si="84"/>
        <v>403</v>
      </c>
      <c r="AZ315" s="14" t="str">
        <f t="shared" si="85"/>
        <v>DefExt</v>
      </c>
      <c r="BA315" s="14">
        <f t="shared" si="86"/>
        <v>415</v>
      </c>
      <c r="BB315" s="14" t="str">
        <f t="shared" si="87"/>
        <v>HPExt</v>
      </c>
      <c r="BC315" s="14">
        <f t="shared" si="88"/>
        <v>420</v>
      </c>
      <c r="BD315" s="14" t="str">
        <f t="shared" si="89"/>
        <v/>
      </c>
      <c r="BE315" s="14" t="str">
        <f t="shared" si="90"/>
        <v/>
      </c>
    </row>
    <row r="316" spans="39:57" ht="16.5" x14ac:dyDescent="0.2">
      <c r="AM316" s="13">
        <v>311</v>
      </c>
      <c r="AN316" s="14">
        <f t="shared" si="91"/>
        <v>19</v>
      </c>
      <c r="AO316" s="29">
        <f t="shared" si="75"/>
        <v>0.84000000000000008</v>
      </c>
      <c r="AP316" s="14">
        <f t="shared" si="76"/>
        <v>1</v>
      </c>
      <c r="AQ316" s="14">
        <f t="shared" si="77"/>
        <v>2</v>
      </c>
      <c r="AR316" s="14">
        <f t="shared" si="78"/>
        <v>3</v>
      </c>
      <c r="AS316" s="14">
        <f t="shared" si="79"/>
        <v>1606021</v>
      </c>
      <c r="AT316" s="14" t="str">
        <f t="shared" si="80"/>
        <v>神器-4-碎片-5-11级</v>
      </c>
      <c r="AU316" s="13" t="s">
        <v>1195</v>
      </c>
      <c r="AV316" s="13">
        <f t="shared" si="81"/>
        <v>11</v>
      </c>
      <c r="AW316" s="14">
        <f t="shared" si="82"/>
        <v>7397</v>
      </c>
      <c r="AX316" s="14" t="str">
        <f t="shared" si="83"/>
        <v>AtkExt</v>
      </c>
      <c r="AY316" s="14">
        <f t="shared" si="84"/>
        <v>453</v>
      </c>
      <c r="AZ316" s="14" t="str">
        <f t="shared" si="85"/>
        <v>DefExt</v>
      </c>
      <c r="BA316" s="14">
        <f t="shared" si="86"/>
        <v>466</v>
      </c>
      <c r="BB316" s="14" t="str">
        <f t="shared" si="87"/>
        <v>HPExt</v>
      </c>
      <c r="BC316" s="14">
        <f t="shared" si="88"/>
        <v>472</v>
      </c>
      <c r="BD316" s="14" t="str">
        <f t="shared" si="89"/>
        <v/>
      </c>
      <c r="BE316" s="14" t="str">
        <f t="shared" si="90"/>
        <v/>
      </c>
    </row>
    <row r="317" spans="39:57" ht="16.5" x14ac:dyDescent="0.2">
      <c r="AM317" s="13">
        <v>312</v>
      </c>
      <c r="AN317" s="14">
        <f t="shared" si="91"/>
        <v>19</v>
      </c>
      <c r="AO317" s="29">
        <f t="shared" si="75"/>
        <v>0.93600000000000017</v>
      </c>
      <c r="AP317" s="14">
        <f t="shared" si="76"/>
        <v>1</v>
      </c>
      <c r="AQ317" s="14">
        <f t="shared" si="77"/>
        <v>2</v>
      </c>
      <c r="AR317" s="14">
        <f t="shared" si="78"/>
        <v>3</v>
      </c>
      <c r="AS317" s="14">
        <f t="shared" si="79"/>
        <v>1606021</v>
      </c>
      <c r="AT317" s="14" t="str">
        <f t="shared" si="80"/>
        <v>神器-4-碎片-5-12级</v>
      </c>
      <c r="AU317" s="13" t="s">
        <v>1195</v>
      </c>
      <c r="AV317" s="13">
        <f t="shared" si="81"/>
        <v>12</v>
      </c>
      <c r="AW317" s="14">
        <f t="shared" si="82"/>
        <v>8240</v>
      </c>
      <c r="AX317" s="14" t="str">
        <f t="shared" si="83"/>
        <v>AtkExt</v>
      </c>
      <c r="AY317" s="14">
        <f t="shared" si="84"/>
        <v>505</v>
      </c>
      <c r="AZ317" s="14" t="str">
        <f t="shared" si="85"/>
        <v>DefExt</v>
      </c>
      <c r="BA317" s="14">
        <f t="shared" si="86"/>
        <v>519</v>
      </c>
      <c r="BB317" s="14" t="str">
        <f t="shared" si="87"/>
        <v>HPExt</v>
      </c>
      <c r="BC317" s="14">
        <f t="shared" si="88"/>
        <v>525</v>
      </c>
      <c r="BD317" s="14" t="str">
        <f t="shared" si="89"/>
        <v/>
      </c>
      <c r="BE317" s="14" t="str">
        <f t="shared" si="90"/>
        <v/>
      </c>
    </row>
    <row r="318" spans="39:57" ht="16.5" x14ac:dyDescent="0.2">
      <c r="AM318" s="13">
        <v>313</v>
      </c>
      <c r="AN318" s="14">
        <f t="shared" si="91"/>
        <v>19</v>
      </c>
      <c r="AO318" s="29">
        <f t="shared" si="75"/>
        <v>1.036</v>
      </c>
      <c r="AP318" s="14">
        <f t="shared" si="76"/>
        <v>1</v>
      </c>
      <c r="AQ318" s="14">
        <f t="shared" si="77"/>
        <v>2</v>
      </c>
      <c r="AR318" s="14">
        <f t="shared" si="78"/>
        <v>3</v>
      </c>
      <c r="AS318" s="14">
        <f t="shared" si="79"/>
        <v>1606021</v>
      </c>
      <c r="AT318" s="14" t="str">
        <f t="shared" si="80"/>
        <v>神器-4-碎片-5-13级</v>
      </c>
      <c r="AU318" s="13" t="s">
        <v>1195</v>
      </c>
      <c r="AV318" s="13">
        <f t="shared" si="81"/>
        <v>13</v>
      </c>
      <c r="AW318" s="14">
        <f t="shared" si="82"/>
        <v>9117</v>
      </c>
      <c r="AX318" s="14" t="str">
        <f t="shared" si="83"/>
        <v>AtkExt</v>
      </c>
      <c r="AY318" s="14">
        <f t="shared" si="84"/>
        <v>559</v>
      </c>
      <c r="AZ318" s="14" t="str">
        <f t="shared" si="85"/>
        <v>DefExt</v>
      </c>
      <c r="BA318" s="14">
        <f t="shared" si="86"/>
        <v>574</v>
      </c>
      <c r="BB318" s="14" t="str">
        <f t="shared" si="87"/>
        <v>HPExt</v>
      </c>
      <c r="BC318" s="14">
        <f t="shared" si="88"/>
        <v>582</v>
      </c>
      <c r="BD318" s="14" t="str">
        <f t="shared" si="89"/>
        <v/>
      </c>
      <c r="BE318" s="14" t="str">
        <f t="shared" si="90"/>
        <v/>
      </c>
    </row>
    <row r="319" spans="39:57" ht="16.5" x14ac:dyDescent="0.2">
      <c r="AM319" s="13">
        <v>314</v>
      </c>
      <c r="AN319" s="14">
        <f t="shared" si="91"/>
        <v>19</v>
      </c>
      <c r="AO319" s="29">
        <f t="shared" si="75"/>
        <v>1.1400000000000001</v>
      </c>
      <c r="AP319" s="14">
        <f t="shared" si="76"/>
        <v>1</v>
      </c>
      <c r="AQ319" s="14">
        <f t="shared" si="77"/>
        <v>2</v>
      </c>
      <c r="AR319" s="14">
        <f t="shared" si="78"/>
        <v>3</v>
      </c>
      <c r="AS319" s="14">
        <f t="shared" si="79"/>
        <v>1606021</v>
      </c>
      <c r="AT319" s="14" t="str">
        <f t="shared" si="80"/>
        <v>神器-4-碎片-5-14级</v>
      </c>
      <c r="AU319" s="13" t="s">
        <v>1195</v>
      </c>
      <c r="AV319" s="13">
        <f t="shared" si="81"/>
        <v>14</v>
      </c>
      <c r="AW319" s="14">
        <f t="shared" si="82"/>
        <v>10035</v>
      </c>
      <c r="AX319" s="14" t="str">
        <f t="shared" si="83"/>
        <v>AtkExt</v>
      </c>
      <c r="AY319" s="14">
        <f t="shared" si="84"/>
        <v>615</v>
      </c>
      <c r="AZ319" s="14" t="str">
        <f t="shared" si="85"/>
        <v>DefExt</v>
      </c>
      <c r="BA319" s="14">
        <f t="shared" si="86"/>
        <v>632</v>
      </c>
      <c r="BB319" s="14" t="str">
        <f t="shared" si="87"/>
        <v>HPExt</v>
      </c>
      <c r="BC319" s="14">
        <f t="shared" si="88"/>
        <v>640</v>
      </c>
      <c r="BD319" s="14" t="str">
        <f t="shared" si="89"/>
        <v/>
      </c>
      <c r="BE319" s="14" t="str">
        <f t="shared" si="90"/>
        <v/>
      </c>
    </row>
    <row r="320" spans="39:57" ht="16.5" x14ac:dyDescent="0.2">
      <c r="AM320" s="13">
        <v>315</v>
      </c>
      <c r="AN320" s="14">
        <f t="shared" si="91"/>
        <v>19</v>
      </c>
      <c r="AO320" s="29">
        <f t="shared" si="75"/>
        <v>1.248</v>
      </c>
      <c r="AP320" s="14">
        <f t="shared" si="76"/>
        <v>1</v>
      </c>
      <c r="AQ320" s="14">
        <f t="shared" si="77"/>
        <v>2</v>
      </c>
      <c r="AR320" s="14">
        <f t="shared" si="78"/>
        <v>3</v>
      </c>
      <c r="AS320" s="14">
        <f t="shared" si="79"/>
        <v>1606021</v>
      </c>
      <c r="AT320" s="14" t="str">
        <f t="shared" si="80"/>
        <v>神器-4-碎片-5-15级</v>
      </c>
      <c r="AU320" s="13" t="s">
        <v>1195</v>
      </c>
      <c r="AV320" s="13">
        <f t="shared" si="81"/>
        <v>15</v>
      </c>
      <c r="AW320" s="14">
        <f t="shared" si="82"/>
        <v>10986</v>
      </c>
      <c r="AX320" s="14" t="str">
        <f t="shared" si="83"/>
        <v>AtkExt</v>
      </c>
      <c r="AY320" s="14">
        <f t="shared" si="84"/>
        <v>673</v>
      </c>
      <c r="AZ320" s="14" t="str">
        <f t="shared" si="85"/>
        <v>DefExt</v>
      </c>
      <c r="BA320" s="14">
        <f t="shared" si="86"/>
        <v>692</v>
      </c>
      <c r="BB320" s="14" t="str">
        <f t="shared" si="87"/>
        <v>HPExt</v>
      </c>
      <c r="BC320" s="14">
        <f t="shared" si="88"/>
        <v>701</v>
      </c>
      <c r="BD320" s="14" t="str">
        <f t="shared" si="89"/>
        <v/>
      </c>
      <c r="BE320" s="14" t="str">
        <f t="shared" si="90"/>
        <v/>
      </c>
    </row>
    <row r="321" spans="39:57" ht="16.5" x14ac:dyDescent="0.2">
      <c r="AM321" s="13">
        <v>316</v>
      </c>
      <c r="AN321" s="14">
        <f t="shared" si="91"/>
        <v>19</v>
      </c>
      <c r="AO321" s="29">
        <f t="shared" si="75"/>
        <v>1.36</v>
      </c>
      <c r="AP321" s="14">
        <f t="shared" si="76"/>
        <v>1</v>
      </c>
      <c r="AQ321" s="14">
        <f t="shared" si="77"/>
        <v>2</v>
      </c>
      <c r="AR321" s="14">
        <f t="shared" si="78"/>
        <v>3</v>
      </c>
      <c r="AS321" s="14">
        <f t="shared" si="79"/>
        <v>1606021</v>
      </c>
      <c r="AT321" s="14" t="str">
        <f t="shared" si="80"/>
        <v>神器-4-碎片-5-16级</v>
      </c>
      <c r="AU321" s="13" t="s">
        <v>1195</v>
      </c>
      <c r="AV321" s="13">
        <f t="shared" si="81"/>
        <v>16</v>
      </c>
      <c r="AW321" s="14">
        <f t="shared" si="82"/>
        <v>11968</v>
      </c>
      <c r="AX321" s="14" t="str">
        <f t="shared" si="83"/>
        <v>AtkExt</v>
      </c>
      <c r="AY321" s="14">
        <f t="shared" si="84"/>
        <v>733</v>
      </c>
      <c r="AZ321" s="14" t="str">
        <f t="shared" si="85"/>
        <v>DefExt</v>
      </c>
      <c r="BA321" s="14">
        <f t="shared" si="86"/>
        <v>754</v>
      </c>
      <c r="BB321" s="14" t="str">
        <f t="shared" si="87"/>
        <v>HPExt</v>
      </c>
      <c r="BC321" s="14">
        <f t="shared" si="88"/>
        <v>763</v>
      </c>
      <c r="BD321" s="14" t="str">
        <f t="shared" si="89"/>
        <v/>
      </c>
      <c r="BE321" s="14" t="str">
        <f t="shared" si="90"/>
        <v/>
      </c>
    </row>
    <row r="322" spans="39:57" ht="16.5" x14ac:dyDescent="0.2">
      <c r="AM322" s="13">
        <v>317</v>
      </c>
      <c r="AN322" s="14">
        <f t="shared" si="91"/>
        <v>19</v>
      </c>
      <c r="AO322" s="29">
        <f t="shared" si="75"/>
        <v>1.476</v>
      </c>
      <c r="AP322" s="14">
        <f t="shared" si="76"/>
        <v>1</v>
      </c>
      <c r="AQ322" s="14">
        <f t="shared" si="77"/>
        <v>2</v>
      </c>
      <c r="AR322" s="14">
        <f t="shared" si="78"/>
        <v>3</v>
      </c>
      <c r="AS322" s="14">
        <f t="shared" si="79"/>
        <v>1606021</v>
      </c>
      <c r="AT322" s="14" t="str">
        <f t="shared" si="80"/>
        <v>神器-4-碎片-5-17级</v>
      </c>
      <c r="AU322" s="13" t="s">
        <v>1195</v>
      </c>
      <c r="AV322" s="13">
        <f t="shared" si="81"/>
        <v>17</v>
      </c>
      <c r="AW322" s="14">
        <f t="shared" si="82"/>
        <v>12989</v>
      </c>
      <c r="AX322" s="14" t="str">
        <f t="shared" si="83"/>
        <v>AtkExt</v>
      </c>
      <c r="AY322" s="14">
        <f t="shared" si="84"/>
        <v>796</v>
      </c>
      <c r="AZ322" s="14" t="str">
        <f t="shared" si="85"/>
        <v>DefExt</v>
      </c>
      <c r="BA322" s="14">
        <f t="shared" si="86"/>
        <v>818</v>
      </c>
      <c r="BB322" s="14" t="str">
        <f t="shared" si="87"/>
        <v>HPExt</v>
      </c>
      <c r="BC322" s="14">
        <f t="shared" si="88"/>
        <v>829</v>
      </c>
      <c r="BD322" s="14" t="str">
        <f t="shared" si="89"/>
        <v/>
      </c>
      <c r="BE322" s="14" t="str">
        <f t="shared" si="90"/>
        <v/>
      </c>
    </row>
    <row r="323" spans="39:57" ht="16.5" x14ac:dyDescent="0.2">
      <c r="AM323" s="13">
        <v>318</v>
      </c>
      <c r="AN323" s="14">
        <f t="shared" si="91"/>
        <v>19</v>
      </c>
      <c r="AO323" s="29">
        <f t="shared" si="75"/>
        <v>1.5960000000000001</v>
      </c>
      <c r="AP323" s="14">
        <f t="shared" si="76"/>
        <v>1</v>
      </c>
      <c r="AQ323" s="14">
        <f t="shared" si="77"/>
        <v>2</v>
      </c>
      <c r="AR323" s="14">
        <f t="shared" si="78"/>
        <v>3</v>
      </c>
      <c r="AS323" s="14">
        <f t="shared" si="79"/>
        <v>1606021</v>
      </c>
      <c r="AT323" s="14" t="str">
        <f t="shared" si="80"/>
        <v>神器-4-碎片-5-18级</v>
      </c>
      <c r="AU323" s="13" t="s">
        <v>1195</v>
      </c>
      <c r="AV323" s="13">
        <f t="shared" si="81"/>
        <v>18</v>
      </c>
      <c r="AW323" s="14">
        <f t="shared" si="82"/>
        <v>14046</v>
      </c>
      <c r="AX323" s="14" t="str">
        <f t="shared" si="83"/>
        <v>AtkExt</v>
      </c>
      <c r="AY323" s="14">
        <f t="shared" si="84"/>
        <v>860</v>
      </c>
      <c r="AZ323" s="14" t="str">
        <f t="shared" si="85"/>
        <v>DefExt</v>
      </c>
      <c r="BA323" s="14">
        <f t="shared" si="86"/>
        <v>885</v>
      </c>
      <c r="BB323" s="14" t="str">
        <f t="shared" si="87"/>
        <v>HPExt</v>
      </c>
      <c r="BC323" s="14">
        <f t="shared" si="88"/>
        <v>896</v>
      </c>
      <c r="BD323" s="14" t="str">
        <f t="shared" si="89"/>
        <v/>
      </c>
      <c r="BE323" s="14" t="str">
        <f t="shared" si="90"/>
        <v/>
      </c>
    </row>
    <row r="324" spans="39:57" ht="16.5" x14ac:dyDescent="0.2">
      <c r="AM324" s="13">
        <v>319</v>
      </c>
      <c r="AN324" s="14">
        <f t="shared" si="91"/>
        <v>20</v>
      </c>
      <c r="AO324" s="29">
        <f t="shared" si="75"/>
        <v>0.1</v>
      </c>
      <c r="AP324" s="14">
        <f t="shared" si="76"/>
        <v>3</v>
      </c>
      <c r="AQ324" s="14">
        <f t="shared" si="77"/>
        <v>0</v>
      </c>
      <c r="AR324" s="14">
        <f t="shared" si="78"/>
        <v>0</v>
      </c>
      <c r="AS324" s="14">
        <f t="shared" si="79"/>
        <v>1606022</v>
      </c>
      <c r="AT324" s="14" t="str">
        <f t="shared" si="80"/>
        <v>神器-4-碎片-6-1级</v>
      </c>
      <c r="AU324" s="13" t="s">
        <v>1195</v>
      </c>
      <c r="AV324" s="13">
        <f t="shared" si="81"/>
        <v>1</v>
      </c>
      <c r="AW324" s="14">
        <f t="shared" si="82"/>
        <v>453</v>
      </c>
      <c r="AX324" s="14" t="str">
        <f t="shared" si="83"/>
        <v>HPExt</v>
      </c>
      <c r="AY324" s="14">
        <f t="shared" si="84"/>
        <v>253</v>
      </c>
      <c r="AZ324" s="14" t="str">
        <f t="shared" si="85"/>
        <v/>
      </c>
      <c r="BA324" s="14" t="str">
        <f t="shared" si="86"/>
        <v/>
      </c>
      <c r="BB324" s="14" t="str">
        <f t="shared" si="87"/>
        <v/>
      </c>
      <c r="BC324" s="14" t="str">
        <f t="shared" si="88"/>
        <v/>
      </c>
      <c r="BD324" s="14" t="str">
        <f t="shared" si="89"/>
        <v>Speed</v>
      </c>
      <c r="BE324" s="14">
        <f t="shared" si="90"/>
        <v>2</v>
      </c>
    </row>
    <row r="325" spans="39:57" ht="16.5" x14ac:dyDescent="0.2">
      <c r="AM325" s="13">
        <v>320</v>
      </c>
      <c r="AN325" s="14">
        <f t="shared" si="91"/>
        <v>20</v>
      </c>
      <c r="AO325" s="29">
        <f t="shared" si="75"/>
        <v>0.15600000000000003</v>
      </c>
      <c r="AP325" s="14">
        <f t="shared" si="76"/>
        <v>3</v>
      </c>
      <c r="AQ325" s="14">
        <f t="shared" si="77"/>
        <v>0</v>
      </c>
      <c r="AR325" s="14">
        <f t="shared" si="78"/>
        <v>0</v>
      </c>
      <c r="AS325" s="14">
        <f t="shared" si="79"/>
        <v>1606022</v>
      </c>
      <c r="AT325" s="14" t="str">
        <f t="shared" si="80"/>
        <v>神器-4-碎片-6-2级</v>
      </c>
      <c r="AU325" s="13" t="s">
        <v>1195</v>
      </c>
      <c r="AV325" s="13">
        <f t="shared" si="81"/>
        <v>2</v>
      </c>
      <c r="AW325" s="14">
        <f t="shared" si="82"/>
        <v>794</v>
      </c>
      <c r="AX325" s="14" t="str">
        <f t="shared" si="83"/>
        <v>HPExt</v>
      </c>
      <c r="AY325" s="14">
        <f t="shared" si="84"/>
        <v>394</v>
      </c>
      <c r="AZ325" s="14" t="str">
        <f t="shared" si="85"/>
        <v/>
      </c>
      <c r="BA325" s="14" t="str">
        <f t="shared" si="86"/>
        <v/>
      </c>
      <c r="BB325" s="14" t="str">
        <f t="shared" si="87"/>
        <v/>
      </c>
      <c r="BC325" s="14" t="str">
        <f t="shared" si="88"/>
        <v/>
      </c>
      <c r="BD325" s="14" t="str">
        <f t="shared" si="89"/>
        <v>Speed</v>
      </c>
      <c r="BE325" s="14">
        <f t="shared" si="90"/>
        <v>4</v>
      </c>
    </row>
    <row r="326" spans="39:57" ht="16.5" x14ac:dyDescent="0.2">
      <c r="AM326" s="13">
        <v>321</v>
      </c>
      <c r="AN326" s="14">
        <f t="shared" si="91"/>
        <v>20</v>
      </c>
      <c r="AO326" s="29">
        <f t="shared" ref="AO326:AO389" si="92">4.8%+AV326*5%+AV326*AV326*0.2%</f>
        <v>0.21600000000000003</v>
      </c>
      <c r="AP326" s="14">
        <f t="shared" ref="AP326:AP389" si="93">INDEX(AD$7:AD$48,$AN326)</f>
        <v>3</v>
      </c>
      <c r="AQ326" s="14">
        <f t="shared" ref="AQ326:AQ389" si="94">INDEX(AE$7:AE$48,$AN326)</f>
        <v>0</v>
      </c>
      <c r="AR326" s="14">
        <f t="shared" ref="AR326:AR389" si="95">INDEX(AF$7:AF$48,$AN326)</f>
        <v>0</v>
      </c>
      <c r="AS326" s="14">
        <f t="shared" ref="AS326:AS389" si="96">INDEX($W$7:$W$48,AN326)</f>
        <v>1606022</v>
      </c>
      <c r="AT326" s="14" t="str">
        <f t="shared" ref="AT326:AT389" si="97">"神器-"&amp;INDEX($S$7:$S$48,AN326)&amp;"-碎片-"&amp;INDEX($T$7:$T$48,AN326)&amp;"-"&amp;AV326&amp;"级"</f>
        <v>神器-4-碎片-6-3级</v>
      </c>
      <c r="AU326" s="13" t="s">
        <v>1195</v>
      </c>
      <c r="AV326" s="13">
        <f t="shared" ref="AV326:AV389" si="98">AM326-INDEX($AI$6:$AI$48,AN326)</f>
        <v>3</v>
      </c>
      <c r="AW326" s="14">
        <f t="shared" ref="AW326:AW389" si="99">AY326*INDEX($AP$2:$AR$2,AP326)+IF(AQ326&gt;0,BA326*INDEX($AP$2:$AR$2,AQ326),0)+IF(AR326&gt;0,BC326*INDEX($AP$2:$AR$2,AR326),0)+IF(BD326="Speed",BE326*100,0)</f>
        <v>1146</v>
      </c>
      <c r="AX326" s="14" t="str">
        <f t="shared" ref="AX326:AX389" si="100">INDEX($AP$3:$AR$3,AP326)</f>
        <v>HPExt</v>
      </c>
      <c r="AY326" s="14">
        <f t="shared" ref="AY326:AY389" si="101">ROUND(INDEX($X$7:$Z$48,AN326,AP326)*AO326,0)</f>
        <v>546</v>
      </c>
      <c r="AZ326" s="14" t="str">
        <f t="shared" ref="AZ326:AZ389" si="102">IF(AQ326&gt;0,INDEX($AP$3:$AR$3,AQ326),"")</f>
        <v/>
      </c>
      <c r="BA326" s="14" t="str">
        <f t="shared" ref="BA326:BA389" si="103">IF(AQ326&gt;0,ROUND(INDEX($X$7:$Z$48,AN326,AQ326)*AO326,0),"")</f>
        <v/>
      </c>
      <c r="BB326" s="14" t="str">
        <f t="shared" ref="BB326:BB389" si="104">IF(AR326&gt;0,INDEX($AP$3:$AR$3,AR326),"")</f>
        <v/>
      </c>
      <c r="BC326" s="14" t="str">
        <f t="shared" ref="BC326:BC389" si="105">IF(AR326&gt;0,ROUND(INDEX($X$7:$Z$48,AN326,AR326)*AO326,0),"")</f>
        <v/>
      </c>
      <c r="BD326" s="14" t="str">
        <f t="shared" ref="BD326:BD389" si="106">IF(INDEX($AG$7:$AG$48,AN326)&gt;0,"Speed","")</f>
        <v>Speed</v>
      </c>
      <c r="BE326" s="14">
        <f t="shared" ref="BE326:BE389" si="107">IF(INDEX($AG$7:$AG$48,AN326)&gt;0,INDEX($AG$7:$AG$48,AN326)*AV326,"")</f>
        <v>6</v>
      </c>
    </row>
    <row r="327" spans="39:57" ht="16.5" x14ac:dyDescent="0.2">
      <c r="AM327" s="13">
        <v>322</v>
      </c>
      <c r="AN327" s="14">
        <f t="shared" ref="AN327:AN390" si="108">MATCH(AM327-1,$AI$6:$AI$48,1)</f>
        <v>20</v>
      </c>
      <c r="AO327" s="29">
        <f t="shared" si="92"/>
        <v>0.28000000000000003</v>
      </c>
      <c r="AP327" s="14">
        <f t="shared" si="93"/>
        <v>3</v>
      </c>
      <c r="AQ327" s="14">
        <f t="shared" si="94"/>
        <v>0</v>
      </c>
      <c r="AR327" s="14">
        <f t="shared" si="95"/>
        <v>0</v>
      </c>
      <c r="AS327" s="14">
        <f t="shared" si="96"/>
        <v>1606022</v>
      </c>
      <c r="AT327" s="14" t="str">
        <f t="shared" si="97"/>
        <v>神器-4-碎片-6-4级</v>
      </c>
      <c r="AU327" s="13" t="s">
        <v>1195</v>
      </c>
      <c r="AV327" s="13">
        <f t="shared" si="98"/>
        <v>4</v>
      </c>
      <c r="AW327" s="14">
        <f t="shared" si="99"/>
        <v>1507</v>
      </c>
      <c r="AX327" s="14" t="str">
        <f t="shared" si="100"/>
        <v>HPExt</v>
      </c>
      <c r="AY327" s="14">
        <f t="shared" si="101"/>
        <v>707</v>
      </c>
      <c r="AZ327" s="14" t="str">
        <f t="shared" si="102"/>
        <v/>
      </c>
      <c r="BA327" s="14" t="str">
        <f t="shared" si="103"/>
        <v/>
      </c>
      <c r="BB327" s="14" t="str">
        <f t="shared" si="104"/>
        <v/>
      </c>
      <c r="BC327" s="14" t="str">
        <f t="shared" si="105"/>
        <v/>
      </c>
      <c r="BD327" s="14" t="str">
        <f t="shared" si="106"/>
        <v>Speed</v>
      </c>
      <c r="BE327" s="14">
        <f t="shared" si="107"/>
        <v>8</v>
      </c>
    </row>
    <row r="328" spans="39:57" ht="16.5" x14ac:dyDescent="0.2">
      <c r="AM328" s="13">
        <v>323</v>
      </c>
      <c r="AN328" s="14">
        <f t="shared" si="108"/>
        <v>20</v>
      </c>
      <c r="AO328" s="29">
        <f t="shared" si="92"/>
        <v>0.34799999999999998</v>
      </c>
      <c r="AP328" s="14">
        <f t="shared" si="93"/>
        <v>3</v>
      </c>
      <c r="AQ328" s="14">
        <f t="shared" si="94"/>
        <v>0</v>
      </c>
      <c r="AR328" s="14">
        <f t="shared" si="95"/>
        <v>0</v>
      </c>
      <c r="AS328" s="14">
        <f t="shared" si="96"/>
        <v>1606022</v>
      </c>
      <c r="AT328" s="14" t="str">
        <f t="shared" si="97"/>
        <v>神器-4-碎片-6-5级</v>
      </c>
      <c r="AU328" s="13" t="s">
        <v>1195</v>
      </c>
      <c r="AV328" s="13">
        <f t="shared" si="98"/>
        <v>5</v>
      </c>
      <c r="AW328" s="14">
        <f t="shared" si="99"/>
        <v>1879</v>
      </c>
      <c r="AX328" s="14" t="str">
        <f t="shared" si="100"/>
        <v>HPExt</v>
      </c>
      <c r="AY328" s="14">
        <f t="shared" si="101"/>
        <v>879</v>
      </c>
      <c r="AZ328" s="14" t="str">
        <f t="shared" si="102"/>
        <v/>
      </c>
      <c r="BA328" s="14" t="str">
        <f t="shared" si="103"/>
        <v/>
      </c>
      <c r="BB328" s="14" t="str">
        <f t="shared" si="104"/>
        <v/>
      </c>
      <c r="BC328" s="14" t="str">
        <f t="shared" si="105"/>
        <v/>
      </c>
      <c r="BD328" s="14" t="str">
        <f t="shared" si="106"/>
        <v>Speed</v>
      </c>
      <c r="BE328" s="14">
        <f t="shared" si="107"/>
        <v>10</v>
      </c>
    </row>
    <row r="329" spans="39:57" ht="16.5" x14ac:dyDescent="0.2">
      <c r="AM329" s="13">
        <v>324</v>
      </c>
      <c r="AN329" s="14">
        <f t="shared" si="108"/>
        <v>20</v>
      </c>
      <c r="AO329" s="29">
        <f t="shared" si="92"/>
        <v>0.42000000000000004</v>
      </c>
      <c r="AP329" s="14">
        <f t="shared" si="93"/>
        <v>3</v>
      </c>
      <c r="AQ329" s="14">
        <f t="shared" si="94"/>
        <v>0</v>
      </c>
      <c r="AR329" s="14">
        <f t="shared" si="95"/>
        <v>0</v>
      </c>
      <c r="AS329" s="14">
        <f t="shared" si="96"/>
        <v>1606022</v>
      </c>
      <c r="AT329" s="14" t="str">
        <f t="shared" si="97"/>
        <v>神器-4-碎片-6-6级</v>
      </c>
      <c r="AU329" s="13" t="s">
        <v>1195</v>
      </c>
      <c r="AV329" s="13">
        <f t="shared" si="98"/>
        <v>6</v>
      </c>
      <c r="AW329" s="14">
        <f t="shared" si="99"/>
        <v>2261</v>
      </c>
      <c r="AX329" s="14" t="str">
        <f t="shared" si="100"/>
        <v>HPExt</v>
      </c>
      <c r="AY329" s="14">
        <f t="shared" si="101"/>
        <v>1061</v>
      </c>
      <c r="AZ329" s="14" t="str">
        <f t="shared" si="102"/>
        <v/>
      </c>
      <c r="BA329" s="14" t="str">
        <f t="shared" si="103"/>
        <v/>
      </c>
      <c r="BB329" s="14" t="str">
        <f t="shared" si="104"/>
        <v/>
      </c>
      <c r="BC329" s="14" t="str">
        <f t="shared" si="105"/>
        <v/>
      </c>
      <c r="BD329" s="14" t="str">
        <f t="shared" si="106"/>
        <v>Speed</v>
      </c>
      <c r="BE329" s="14">
        <f t="shared" si="107"/>
        <v>12</v>
      </c>
    </row>
    <row r="330" spans="39:57" ht="16.5" x14ac:dyDescent="0.2">
      <c r="AM330" s="13">
        <v>325</v>
      </c>
      <c r="AN330" s="14">
        <f t="shared" si="108"/>
        <v>20</v>
      </c>
      <c r="AO330" s="29">
        <f t="shared" si="92"/>
        <v>0.496</v>
      </c>
      <c r="AP330" s="14">
        <f t="shared" si="93"/>
        <v>3</v>
      </c>
      <c r="AQ330" s="14">
        <f t="shared" si="94"/>
        <v>0</v>
      </c>
      <c r="AR330" s="14">
        <f t="shared" si="95"/>
        <v>0</v>
      </c>
      <c r="AS330" s="14">
        <f t="shared" si="96"/>
        <v>1606022</v>
      </c>
      <c r="AT330" s="14" t="str">
        <f t="shared" si="97"/>
        <v>神器-4-碎片-6-7级</v>
      </c>
      <c r="AU330" s="13" t="s">
        <v>1195</v>
      </c>
      <c r="AV330" s="13">
        <f t="shared" si="98"/>
        <v>7</v>
      </c>
      <c r="AW330" s="14">
        <f t="shared" si="99"/>
        <v>2653</v>
      </c>
      <c r="AX330" s="14" t="str">
        <f t="shared" si="100"/>
        <v>HPExt</v>
      </c>
      <c r="AY330" s="14">
        <f t="shared" si="101"/>
        <v>1253</v>
      </c>
      <c r="AZ330" s="14" t="str">
        <f t="shared" si="102"/>
        <v/>
      </c>
      <c r="BA330" s="14" t="str">
        <f t="shared" si="103"/>
        <v/>
      </c>
      <c r="BB330" s="14" t="str">
        <f t="shared" si="104"/>
        <v/>
      </c>
      <c r="BC330" s="14" t="str">
        <f t="shared" si="105"/>
        <v/>
      </c>
      <c r="BD330" s="14" t="str">
        <f t="shared" si="106"/>
        <v>Speed</v>
      </c>
      <c r="BE330" s="14">
        <f t="shared" si="107"/>
        <v>14</v>
      </c>
    </row>
    <row r="331" spans="39:57" ht="16.5" x14ac:dyDescent="0.2">
      <c r="AM331" s="13">
        <v>326</v>
      </c>
      <c r="AN331" s="14">
        <f t="shared" si="108"/>
        <v>20</v>
      </c>
      <c r="AO331" s="29">
        <f t="shared" si="92"/>
        <v>0.57600000000000007</v>
      </c>
      <c r="AP331" s="14">
        <f t="shared" si="93"/>
        <v>3</v>
      </c>
      <c r="AQ331" s="14">
        <f t="shared" si="94"/>
        <v>0</v>
      </c>
      <c r="AR331" s="14">
        <f t="shared" si="95"/>
        <v>0</v>
      </c>
      <c r="AS331" s="14">
        <f t="shared" si="96"/>
        <v>1606022</v>
      </c>
      <c r="AT331" s="14" t="str">
        <f t="shared" si="97"/>
        <v>神器-4-碎片-6-8级</v>
      </c>
      <c r="AU331" s="13" t="s">
        <v>1195</v>
      </c>
      <c r="AV331" s="13">
        <f t="shared" si="98"/>
        <v>8</v>
      </c>
      <c r="AW331" s="14">
        <f t="shared" si="99"/>
        <v>3055</v>
      </c>
      <c r="AX331" s="14" t="str">
        <f t="shared" si="100"/>
        <v>HPExt</v>
      </c>
      <c r="AY331" s="14">
        <f t="shared" si="101"/>
        <v>1455</v>
      </c>
      <c r="AZ331" s="14" t="str">
        <f t="shared" si="102"/>
        <v/>
      </c>
      <c r="BA331" s="14" t="str">
        <f t="shared" si="103"/>
        <v/>
      </c>
      <c r="BB331" s="14" t="str">
        <f t="shared" si="104"/>
        <v/>
      </c>
      <c r="BC331" s="14" t="str">
        <f t="shared" si="105"/>
        <v/>
      </c>
      <c r="BD331" s="14" t="str">
        <f t="shared" si="106"/>
        <v>Speed</v>
      </c>
      <c r="BE331" s="14">
        <f t="shared" si="107"/>
        <v>16</v>
      </c>
    </row>
    <row r="332" spans="39:57" ht="16.5" x14ac:dyDescent="0.2">
      <c r="AM332" s="13">
        <v>327</v>
      </c>
      <c r="AN332" s="14">
        <f t="shared" si="108"/>
        <v>20</v>
      </c>
      <c r="AO332" s="29">
        <f t="shared" si="92"/>
        <v>0.66</v>
      </c>
      <c r="AP332" s="14">
        <f t="shared" si="93"/>
        <v>3</v>
      </c>
      <c r="AQ332" s="14">
        <f t="shared" si="94"/>
        <v>0</v>
      </c>
      <c r="AR332" s="14">
        <f t="shared" si="95"/>
        <v>0</v>
      </c>
      <c r="AS332" s="14">
        <f t="shared" si="96"/>
        <v>1606022</v>
      </c>
      <c r="AT332" s="14" t="str">
        <f t="shared" si="97"/>
        <v>神器-4-碎片-6-9级</v>
      </c>
      <c r="AU332" s="13" t="s">
        <v>1195</v>
      </c>
      <c r="AV332" s="13">
        <f t="shared" si="98"/>
        <v>9</v>
      </c>
      <c r="AW332" s="14">
        <f t="shared" si="99"/>
        <v>3467</v>
      </c>
      <c r="AX332" s="14" t="str">
        <f t="shared" si="100"/>
        <v>HPExt</v>
      </c>
      <c r="AY332" s="14">
        <f t="shared" si="101"/>
        <v>1667</v>
      </c>
      <c r="AZ332" s="14" t="str">
        <f t="shared" si="102"/>
        <v/>
      </c>
      <c r="BA332" s="14" t="str">
        <f t="shared" si="103"/>
        <v/>
      </c>
      <c r="BB332" s="14" t="str">
        <f t="shared" si="104"/>
        <v/>
      </c>
      <c r="BC332" s="14" t="str">
        <f t="shared" si="105"/>
        <v/>
      </c>
      <c r="BD332" s="14" t="str">
        <f t="shared" si="106"/>
        <v>Speed</v>
      </c>
      <c r="BE332" s="14">
        <f t="shared" si="107"/>
        <v>18</v>
      </c>
    </row>
    <row r="333" spans="39:57" ht="16.5" x14ac:dyDescent="0.2">
      <c r="AM333" s="13">
        <v>328</v>
      </c>
      <c r="AN333" s="14">
        <f t="shared" si="108"/>
        <v>20</v>
      </c>
      <c r="AO333" s="29">
        <f t="shared" si="92"/>
        <v>0.748</v>
      </c>
      <c r="AP333" s="14">
        <f t="shared" si="93"/>
        <v>3</v>
      </c>
      <c r="AQ333" s="14">
        <f t="shared" si="94"/>
        <v>0</v>
      </c>
      <c r="AR333" s="14">
        <f t="shared" si="95"/>
        <v>0</v>
      </c>
      <c r="AS333" s="14">
        <f t="shared" si="96"/>
        <v>1606022</v>
      </c>
      <c r="AT333" s="14" t="str">
        <f t="shared" si="97"/>
        <v>神器-4-碎片-6-10级</v>
      </c>
      <c r="AU333" s="13" t="s">
        <v>1195</v>
      </c>
      <c r="AV333" s="13">
        <f t="shared" si="98"/>
        <v>10</v>
      </c>
      <c r="AW333" s="14">
        <f t="shared" si="99"/>
        <v>3890</v>
      </c>
      <c r="AX333" s="14" t="str">
        <f t="shared" si="100"/>
        <v>HPExt</v>
      </c>
      <c r="AY333" s="14">
        <f t="shared" si="101"/>
        <v>1890</v>
      </c>
      <c r="AZ333" s="14" t="str">
        <f t="shared" si="102"/>
        <v/>
      </c>
      <c r="BA333" s="14" t="str">
        <f t="shared" si="103"/>
        <v/>
      </c>
      <c r="BB333" s="14" t="str">
        <f t="shared" si="104"/>
        <v/>
      </c>
      <c r="BC333" s="14" t="str">
        <f t="shared" si="105"/>
        <v/>
      </c>
      <c r="BD333" s="14" t="str">
        <f t="shared" si="106"/>
        <v>Speed</v>
      </c>
      <c r="BE333" s="14">
        <f t="shared" si="107"/>
        <v>20</v>
      </c>
    </row>
    <row r="334" spans="39:57" ht="16.5" x14ac:dyDescent="0.2">
      <c r="AM334" s="13">
        <v>329</v>
      </c>
      <c r="AN334" s="14">
        <f t="shared" si="108"/>
        <v>20</v>
      </c>
      <c r="AO334" s="29">
        <f t="shared" si="92"/>
        <v>0.84000000000000008</v>
      </c>
      <c r="AP334" s="14">
        <f t="shared" si="93"/>
        <v>3</v>
      </c>
      <c r="AQ334" s="14">
        <f t="shared" si="94"/>
        <v>0</v>
      </c>
      <c r="AR334" s="14">
        <f t="shared" si="95"/>
        <v>0</v>
      </c>
      <c r="AS334" s="14">
        <f t="shared" si="96"/>
        <v>1606022</v>
      </c>
      <c r="AT334" s="14" t="str">
        <f t="shared" si="97"/>
        <v>神器-4-碎片-6-11级</v>
      </c>
      <c r="AU334" s="13" t="s">
        <v>1195</v>
      </c>
      <c r="AV334" s="13">
        <f t="shared" si="98"/>
        <v>11</v>
      </c>
      <c r="AW334" s="14">
        <f t="shared" si="99"/>
        <v>4322</v>
      </c>
      <c r="AX334" s="14" t="str">
        <f t="shared" si="100"/>
        <v>HPExt</v>
      </c>
      <c r="AY334" s="14">
        <f t="shared" si="101"/>
        <v>2122</v>
      </c>
      <c r="AZ334" s="14" t="str">
        <f t="shared" si="102"/>
        <v/>
      </c>
      <c r="BA334" s="14" t="str">
        <f t="shared" si="103"/>
        <v/>
      </c>
      <c r="BB334" s="14" t="str">
        <f t="shared" si="104"/>
        <v/>
      </c>
      <c r="BC334" s="14" t="str">
        <f t="shared" si="105"/>
        <v/>
      </c>
      <c r="BD334" s="14" t="str">
        <f t="shared" si="106"/>
        <v>Speed</v>
      </c>
      <c r="BE334" s="14">
        <f t="shared" si="107"/>
        <v>22</v>
      </c>
    </row>
    <row r="335" spans="39:57" ht="16.5" x14ac:dyDescent="0.2">
      <c r="AM335" s="13">
        <v>330</v>
      </c>
      <c r="AN335" s="14">
        <f t="shared" si="108"/>
        <v>20</v>
      </c>
      <c r="AO335" s="29">
        <f t="shared" si="92"/>
        <v>0.93600000000000017</v>
      </c>
      <c r="AP335" s="14">
        <f t="shared" si="93"/>
        <v>3</v>
      </c>
      <c r="AQ335" s="14">
        <f t="shared" si="94"/>
        <v>0</v>
      </c>
      <c r="AR335" s="14">
        <f t="shared" si="95"/>
        <v>0</v>
      </c>
      <c r="AS335" s="14">
        <f t="shared" si="96"/>
        <v>1606022</v>
      </c>
      <c r="AT335" s="14" t="str">
        <f t="shared" si="97"/>
        <v>神器-4-碎片-6-12级</v>
      </c>
      <c r="AU335" s="13" t="s">
        <v>1195</v>
      </c>
      <c r="AV335" s="13">
        <f t="shared" si="98"/>
        <v>12</v>
      </c>
      <c r="AW335" s="14">
        <f t="shared" si="99"/>
        <v>4765</v>
      </c>
      <c r="AX335" s="14" t="str">
        <f t="shared" si="100"/>
        <v>HPExt</v>
      </c>
      <c r="AY335" s="14">
        <f t="shared" si="101"/>
        <v>2365</v>
      </c>
      <c r="AZ335" s="14" t="str">
        <f t="shared" si="102"/>
        <v/>
      </c>
      <c r="BA335" s="14" t="str">
        <f t="shared" si="103"/>
        <v/>
      </c>
      <c r="BB335" s="14" t="str">
        <f t="shared" si="104"/>
        <v/>
      </c>
      <c r="BC335" s="14" t="str">
        <f t="shared" si="105"/>
        <v/>
      </c>
      <c r="BD335" s="14" t="str">
        <f t="shared" si="106"/>
        <v>Speed</v>
      </c>
      <c r="BE335" s="14">
        <f t="shared" si="107"/>
        <v>24</v>
      </c>
    </row>
    <row r="336" spans="39:57" ht="16.5" x14ac:dyDescent="0.2">
      <c r="AM336" s="13">
        <v>331</v>
      </c>
      <c r="AN336" s="14">
        <f t="shared" si="108"/>
        <v>20</v>
      </c>
      <c r="AO336" s="29">
        <f t="shared" si="92"/>
        <v>1.036</v>
      </c>
      <c r="AP336" s="14">
        <f t="shared" si="93"/>
        <v>3</v>
      </c>
      <c r="AQ336" s="14">
        <f t="shared" si="94"/>
        <v>0</v>
      </c>
      <c r="AR336" s="14">
        <f t="shared" si="95"/>
        <v>0</v>
      </c>
      <c r="AS336" s="14">
        <f t="shared" si="96"/>
        <v>1606022</v>
      </c>
      <c r="AT336" s="14" t="str">
        <f t="shared" si="97"/>
        <v>神器-4-碎片-6-13级</v>
      </c>
      <c r="AU336" s="13" t="s">
        <v>1195</v>
      </c>
      <c r="AV336" s="13">
        <f t="shared" si="98"/>
        <v>13</v>
      </c>
      <c r="AW336" s="14">
        <f t="shared" si="99"/>
        <v>5217</v>
      </c>
      <c r="AX336" s="14" t="str">
        <f t="shared" si="100"/>
        <v>HPExt</v>
      </c>
      <c r="AY336" s="14">
        <f t="shared" si="101"/>
        <v>2617</v>
      </c>
      <c r="AZ336" s="14" t="str">
        <f t="shared" si="102"/>
        <v/>
      </c>
      <c r="BA336" s="14" t="str">
        <f t="shared" si="103"/>
        <v/>
      </c>
      <c r="BB336" s="14" t="str">
        <f t="shared" si="104"/>
        <v/>
      </c>
      <c r="BC336" s="14" t="str">
        <f t="shared" si="105"/>
        <v/>
      </c>
      <c r="BD336" s="14" t="str">
        <f t="shared" si="106"/>
        <v>Speed</v>
      </c>
      <c r="BE336" s="14">
        <f t="shared" si="107"/>
        <v>26</v>
      </c>
    </row>
    <row r="337" spans="39:57" ht="16.5" x14ac:dyDescent="0.2">
      <c r="AM337" s="13">
        <v>332</v>
      </c>
      <c r="AN337" s="14">
        <f t="shared" si="108"/>
        <v>20</v>
      </c>
      <c r="AO337" s="29">
        <f t="shared" si="92"/>
        <v>1.1400000000000001</v>
      </c>
      <c r="AP337" s="14">
        <f t="shared" si="93"/>
        <v>3</v>
      </c>
      <c r="AQ337" s="14">
        <f t="shared" si="94"/>
        <v>0</v>
      </c>
      <c r="AR337" s="14">
        <f t="shared" si="95"/>
        <v>0</v>
      </c>
      <c r="AS337" s="14">
        <f t="shared" si="96"/>
        <v>1606022</v>
      </c>
      <c r="AT337" s="14" t="str">
        <f t="shared" si="97"/>
        <v>神器-4-碎片-6-14级</v>
      </c>
      <c r="AU337" s="13" t="s">
        <v>1195</v>
      </c>
      <c r="AV337" s="13">
        <f t="shared" si="98"/>
        <v>14</v>
      </c>
      <c r="AW337" s="14">
        <f t="shared" si="99"/>
        <v>5680</v>
      </c>
      <c r="AX337" s="14" t="str">
        <f t="shared" si="100"/>
        <v>HPExt</v>
      </c>
      <c r="AY337" s="14">
        <f t="shared" si="101"/>
        <v>2880</v>
      </c>
      <c r="AZ337" s="14" t="str">
        <f t="shared" si="102"/>
        <v/>
      </c>
      <c r="BA337" s="14" t="str">
        <f t="shared" si="103"/>
        <v/>
      </c>
      <c r="BB337" s="14" t="str">
        <f t="shared" si="104"/>
        <v/>
      </c>
      <c r="BC337" s="14" t="str">
        <f t="shared" si="105"/>
        <v/>
      </c>
      <c r="BD337" s="14" t="str">
        <f t="shared" si="106"/>
        <v>Speed</v>
      </c>
      <c r="BE337" s="14">
        <f t="shared" si="107"/>
        <v>28</v>
      </c>
    </row>
    <row r="338" spans="39:57" ht="16.5" x14ac:dyDescent="0.2">
      <c r="AM338" s="13">
        <v>333</v>
      </c>
      <c r="AN338" s="14">
        <f t="shared" si="108"/>
        <v>20</v>
      </c>
      <c r="AO338" s="29">
        <f t="shared" si="92"/>
        <v>1.248</v>
      </c>
      <c r="AP338" s="14">
        <f t="shared" si="93"/>
        <v>3</v>
      </c>
      <c r="AQ338" s="14">
        <f t="shared" si="94"/>
        <v>0</v>
      </c>
      <c r="AR338" s="14">
        <f t="shared" si="95"/>
        <v>0</v>
      </c>
      <c r="AS338" s="14">
        <f t="shared" si="96"/>
        <v>1606022</v>
      </c>
      <c r="AT338" s="14" t="str">
        <f t="shared" si="97"/>
        <v>神器-4-碎片-6-15级</v>
      </c>
      <c r="AU338" s="13" t="s">
        <v>1195</v>
      </c>
      <c r="AV338" s="13">
        <f t="shared" si="98"/>
        <v>15</v>
      </c>
      <c r="AW338" s="14">
        <f t="shared" si="99"/>
        <v>6153</v>
      </c>
      <c r="AX338" s="14" t="str">
        <f t="shared" si="100"/>
        <v>HPExt</v>
      </c>
      <c r="AY338" s="14">
        <f t="shared" si="101"/>
        <v>3153</v>
      </c>
      <c r="AZ338" s="14" t="str">
        <f t="shared" si="102"/>
        <v/>
      </c>
      <c r="BA338" s="14" t="str">
        <f t="shared" si="103"/>
        <v/>
      </c>
      <c r="BB338" s="14" t="str">
        <f t="shared" si="104"/>
        <v/>
      </c>
      <c r="BC338" s="14" t="str">
        <f t="shared" si="105"/>
        <v/>
      </c>
      <c r="BD338" s="14" t="str">
        <f t="shared" si="106"/>
        <v>Speed</v>
      </c>
      <c r="BE338" s="14">
        <f t="shared" si="107"/>
        <v>30</v>
      </c>
    </row>
    <row r="339" spans="39:57" ht="16.5" x14ac:dyDescent="0.2">
      <c r="AM339" s="13">
        <v>334</v>
      </c>
      <c r="AN339" s="14">
        <f t="shared" si="108"/>
        <v>20</v>
      </c>
      <c r="AO339" s="29">
        <f t="shared" si="92"/>
        <v>1.36</v>
      </c>
      <c r="AP339" s="14">
        <f t="shared" si="93"/>
        <v>3</v>
      </c>
      <c r="AQ339" s="14">
        <f t="shared" si="94"/>
        <v>0</v>
      </c>
      <c r="AR339" s="14">
        <f t="shared" si="95"/>
        <v>0</v>
      </c>
      <c r="AS339" s="14">
        <f t="shared" si="96"/>
        <v>1606022</v>
      </c>
      <c r="AT339" s="14" t="str">
        <f t="shared" si="97"/>
        <v>神器-4-碎片-6-16级</v>
      </c>
      <c r="AU339" s="13" t="s">
        <v>1195</v>
      </c>
      <c r="AV339" s="13">
        <f t="shared" si="98"/>
        <v>16</v>
      </c>
      <c r="AW339" s="14">
        <f t="shared" si="99"/>
        <v>6636</v>
      </c>
      <c r="AX339" s="14" t="str">
        <f t="shared" si="100"/>
        <v>HPExt</v>
      </c>
      <c r="AY339" s="14">
        <f t="shared" si="101"/>
        <v>3436</v>
      </c>
      <c r="AZ339" s="14" t="str">
        <f t="shared" si="102"/>
        <v/>
      </c>
      <c r="BA339" s="14" t="str">
        <f t="shared" si="103"/>
        <v/>
      </c>
      <c r="BB339" s="14" t="str">
        <f t="shared" si="104"/>
        <v/>
      </c>
      <c r="BC339" s="14" t="str">
        <f t="shared" si="105"/>
        <v/>
      </c>
      <c r="BD339" s="14" t="str">
        <f t="shared" si="106"/>
        <v>Speed</v>
      </c>
      <c r="BE339" s="14">
        <f t="shared" si="107"/>
        <v>32</v>
      </c>
    </row>
    <row r="340" spans="39:57" ht="16.5" x14ac:dyDescent="0.2">
      <c r="AM340" s="13">
        <v>335</v>
      </c>
      <c r="AN340" s="14">
        <f t="shared" si="108"/>
        <v>20</v>
      </c>
      <c r="AO340" s="29">
        <f t="shared" si="92"/>
        <v>1.476</v>
      </c>
      <c r="AP340" s="14">
        <f t="shared" si="93"/>
        <v>3</v>
      </c>
      <c r="AQ340" s="14">
        <f t="shared" si="94"/>
        <v>0</v>
      </c>
      <c r="AR340" s="14">
        <f t="shared" si="95"/>
        <v>0</v>
      </c>
      <c r="AS340" s="14">
        <f t="shared" si="96"/>
        <v>1606022</v>
      </c>
      <c r="AT340" s="14" t="str">
        <f t="shared" si="97"/>
        <v>神器-4-碎片-6-17级</v>
      </c>
      <c r="AU340" s="13" t="s">
        <v>1195</v>
      </c>
      <c r="AV340" s="13">
        <f t="shared" si="98"/>
        <v>17</v>
      </c>
      <c r="AW340" s="14">
        <f t="shared" si="99"/>
        <v>7129</v>
      </c>
      <c r="AX340" s="14" t="str">
        <f t="shared" si="100"/>
        <v>HPExt</v>
      </c>
      <c r="AY340" s="14">
        <f t="shared" si="101"/>
        <v>3729</v>
      </c>
      <c r="AZ340" s="14" t="str">
        <f t="shared" si="102"/>
        <v/>
      </c>
      <c r="BA340" s="14" t="str">
        <f t="shared" si="103"/>
        <v/>
      </c>
      <c r="BB340" s="14" t="str">
        <f t="shared" si="104"/>
        <v/>
      </c>
      <c r="BC340" s="14" t="str">
        <f t="shared" si="105"/>
        <v/>
      </c>
      <c r="BD340" s="14" t="str">
        <f t="shared" si="106"/>
        <v>Speed</v>
      </c>
      <c r="BE340" s="14">
        <f t="shared" si="107"/>
        <v>34</v>
      </c>
    </row>
    <row r="341" spans="39:57" ht="16.5" x14ac:dyDescent="0.2">
      <c r="AM341" s="13">
        <v>336</v>
      </c>
      <c r="AN341" s="14">
        <f t="shared" si="108"/>
        <v>20</v>
      </c>
      <c r="AO341" s="29">
        <f t="shared" si="92"/>
        <v>1.5960000000000001</v>
      </c>
      <c r="AP341" s="14">
        <f t="shared" si="93"/>
        <v>3</v>
      </c>
      <c r="AQ341" s="14">
        <f t="shared" si="94"/>
        <v>0</v>
      </c>
      <c r="AR341" s="14">
        <f t="shared" si="95"/>
        <v>0</v>
      </c>
      <c r="AS341" s="14">
        <f t="shared" si="96"/>
        <v>1606022</v>
      </c>
      <c r="AT341" s="14" t="str">
        <f t="shared" si="97"/>
        <v>神器-4-碎片-6-18级</v>
      </c>
      <c r="AU341" s="13" t="s">
        <v>1195</v>
      </c>
      <c r="AV341" s="13">
        <f t="shared" si="98"/>
        <v>18</v>
      </c>
      <c r="AW341" s="14">
        <f t="shared" si="99"/>
        <v>7632</v>
      </c>
      <c r="AX341" s="14" t="str">
        <f t="shared" si="100"/>
        <v>HPExt</v>
      </c>
      <c r="AY341" s="14">
        <f t="shared" si="101"/>
        <v>4032</v>
      </c>
      <c r="AZ341" s="14" t="str">
        <f t="shared" si="102"/>
        <v/>
      </c>
      <c r="BA341" s="14" t="str">
        <f t="shared" si="103"/>
        <v/>
      </c>
      <c r="BB341" s="14" t="str">
        <f t="shared" si="104"/>
        <v/>
      </c>
      <c r="BC341" s="14" t="str">
        <f t="shared" si="105"/>
        <v/>
      </c>
      <c r="BD341" s="14" t="str">
        <f t="shared" si="106"/>
        <v>Speed</v>
      </c>
      <c r="BE341" s="14">
        <f t="shared" si="107"/>
        <v>36</v>
      </c>
    </row>
    <row r="342" spans="39:57" ht="16.5" x14ac:dyDescent="0.2">
      <c r="AM342" s="13">
        <v>337</v>
      </c>
      <c r="AN342" s="14">
        <f t="shared" si="108"/>
        <v>21</v>
      </c>
      <c r="AO342" s="29">
        <f t="shared" si="92"/>
        <v>0.1</v>
      </c>
      <c r="AP342" s="14">
        <f t="shared" si="93"/>
        <v>2</v>
      </c>
      <c r="AQ342" s="14">
        <f t="shared" si="94"/>
        <v>3</v>
      </c>
      <c r="AR342" s="14">
        <f t="shared" si="95"/>
        <v>0</v>
      </c>
      <c r="AS342" s="14">
        <f t="shared" si="96"/>
        <v>1606023</v>
      </c>
      <c r="AT342" s="14" t="str">
        <f t="shared" si="97"/>
        <v>神器-5-碎片-1-1级</v>
      </c>
      <c r="AU342" s="13" t="s">
        <v>1195</v>
      </c>
      <c r="AV342" s="13">
        <f t="shared" si="98"/>
        <v>1</v>
      </c>
      <c r="AW342" s="14">
        <f t="shared" si="99"/>
        <v>704</v>
      </c>
      <c r="AX342" s="14" t="str">
        <f t="shared" si="100"/>
        <v>DefExt</v>
      </c>
      <c r="AY342" s="14">
        <f t="shared" si="101"/>
        <v>67</v>
      </c>
      <c r="AZ342" s="14" t="str">
        <f t="shared" si="102"/>
        <v>HPExt</v>
      </c>
      <c r="BA342" s="14">
        <f t="shared" si="103"/>
        <v>34</v>
      </c>
      <c r="BB342" s="14" t="str">
        <f t="shared" si="104"/>
        <v/>
      </c>
      <c r="BC342" s="14" t="str">
        <f t="shared" si="105"/>
        <v/>
      </c>
      <c r="BD342" s="14" t="str">
        <f t="shared" si="106"/>
        <v/>
      </c>
      <c r="BE342" s="14" t="str">
        <f t="shared" si="107"/>
        <v/>
      </c>
    </row>
    <row r="343" spans="39:57" ht="16.5" x14ac:dyDescent="0.2">
      <c r="AM343" s="13">
        <v>338</v>
      </c>
      <c r="AN343" s="14">
        <f t="shared" si="108"/>
        <v>21</v>
      </c>
      <c r="AO343" s="29">
        <f t="shared" si="92"/>
        <v>0.15600000000000003</v>
      </c>
      <c r="AP343" s="14">
        <f t="shared" si="93"/>
        <v>2</v>
      </c>
      <c r="AQ343" s="14">
        <f t="shared" si="94"/>
        <v>3</v>
      </c>
      <c r="AR343" s="14">
        <f t="shared" si="95"/>
        <v>0</v>
      </c>
      <c r="AS343" s="14">
        <f t="shared" si="96"/>
        <v>1606023</v>
      </c>
      <c r="AT343" s="14" t="str">
        <f t="shared" si="97"/>
        <v>神器-5-碎片-1-2级</v>
      </c>
      <c r="AU343" s="13" t="s">
        <v>1195</v>
      </c>
      <c r="AV343" s="13">
        <f t="shared" si="98"/>
        <v>2</v>
      </c>
      <c r="AW343" s="14">
        <f t="shared" si="99"/>
        <v>1093</v>
      </c>
      <c r="AX343" s="14" t="str">
        <f t="shared" si="100"/>
        <v>DefExt</v>
      </c>
      <c r="AY343" s="14">
        <f t="shared" si="101"/>
        <v>104</v>
      </c>
      <c r="AZ343" s="14" t="str">
        <f t="shared" si="102"/>
        <v>HPExt</v>
      </c>
      <c r="BA343" s="14">
        <f t="shared" si="103"/>
        <v>53</v>
      </c>
      <c r="BB343" s="14" t="str">
        <f t="shared" si="104"/>
        <v/>
      </c>
      <c r="BC343" s="14" t="str">
        <f t="shared" si="105"/>
        <v/>
      </c>
      <c r="BD343" s="14" t="str">
        <f t="shared" si="106"/>
        <v/>
      </c>
      <c r="BE343" s="14" t="str">
        <f t="shared" si="107"/>
        <v/>
      </c>
    </row>
    <row r="344" spans="39:57" ht="16.5" x14ac:dyDescent="0.2">
      <c r="AM344" s="13">
        <v>339</v>
      </c>
      <c r="AN344" s="14">
        <f t="shared" si="108"/>
        <v>21</v>
      </c>
      <c r="AO344" s="29">
        <f t="shared" si="92"/>
        <v>0.21600000000000003</v>
      </c>
      <c r="AP344" s="14">
        <f t="shared" si="93"/>
        <v>2</v>
      </c>
      <c r="AQ344" s="14">
        <f t="shared" si="94"/>
        <v>3</v>
      </c>
      <c r="AR344" s="14">
        <f t="shared" si="95"/>
        <v>0</v>
      </c>
      <c r="AS344" s="14">
        <f t="shared" si="96"/>
        <v>1606023</v>
      </c>
      <c r="AT344" s="14" t="str">
        <f t="shared" si="97"/>
        <v>神器-5-碎片-1-3级</v>
      </c>
      <c r="AU344" s="13" t="s">
        <v>1195</v>
      </c>
      <c r="AV344" s="13">
        <f t="shared" si="98"/>
        <v>3</v>
      </c>
      <c r="AW344" s="14">
        <f t="shared" si="99"/>
        <v>1513</v>
      </c>
      <c r="AX344" s="14" t="str">
        <f t="shared" si="100"/>
        <v>DefExt</v>
      </c>
      <c r="AY344" s="14">
        <f t="shared" si="101"/>
        <v>144</v>
      </c>
      <c r="AZ344" s="14" t="str">
        <f t="shared" si="102"/>
        <v>HPExt</v>
      </c>
      <c r="BA344" s="14">
        <f t="shared" si="103"/>
        <v>73</v>
      </c>
      <c r="BB344" s="14" t="str">
        <f t="shared" si="104"/>
        <v/>
      </c>
      <c r="BC344" s="14" t="str">
        <f t="shared" si="105"/>
        <v/>
      </c>
      <c r="BD344" s="14" t="str">
        <f t="shared" si="106"/>
        <v/>
      </c>
      <c r="BE344" s="14" t="str">
        <f t="shared" si="107"/>
        <v/>
      </c>
    </row>
    <row r="345" spans="39:57" ht="16.5" x14ac:dyDescent="0.2">
      <c r="AM345" s="13">
        <v>340</v>
      </c>
      <c r="AN345" s="14">
        <f t="shared" si="108"/>
        <v>21</v>
      </c>
      <c r="AO345" s="29">
        <f t="shared" si="92"/>
        <v>0.28000000000000003</v>
      </c>
      <c r="AP345" s="14">
        <f t="shared" si="93"/>
        <v>2</v>
      </c>
      <c r="AQ345" s="14">
        <f t="shared" si="94"/>
        <v>3</v>
      </c>
      <c r="AR345" s="14">
        <f t="shared" si="95"/>
        <v>0</v>
      </c>
      <c r="AS345" s="14">
        <f t="shared" si="96"/>
        <v>1606023</v>
      </c>
      <c r="AT345" s="14" t="str">
        <f t="shared" si="97"/>
        <v>神器-5-碎片-1-4级</v>
      </c>
      <c r="AU345" s="13" t="s">
        <v>1195</v>
      </c>
      <c r="AV345" s="13">
        <f t="shared" si="98"/>
        <v>4</v>
      </c>
      <c r="AW345" s="14">
        <f t="shared" si="99"/>
        <v>1954</v>
      </c>
      <c r="AX345" s="14" t="str">
        <f t="shared" si="100"/>
        <v>DefExt</v>
      </c>
      <c r="AY345" s="14">
        <f t="shared" si="101"/>
        <v>186</v>
      </c>
      <c r="AZ345" s="14" t="str">
        <f t="shared" si="102"/>
        <v>HPExt</v>
      </c>
      <c r="BA345" s="14">
        <f t="shared" si="103"/>
        <v>94</v>
      </c>
      <c r="BB345" s="14" t="str">
        <f t="shared" si="104"/>
        <v/>
      </c>
      <c r="BC345" s="14" t="str">
        <f t="shared" si="105"/>
        <v/>
      </c>
      <c r="BD345" s="14" t="str">
        <f t="shared" si="106"/>
        <v/>
      </c>
      <c r="BE345" s="14" t="str">
        <f t="shared" si="107"/>
        <v/>
      </c>
    </row>
    <row r="346" spans="39:57" ht="16.5" x14ac:dyDescent="0.2">
      <c r="AM346" s="13">
        <v>341</v>
      </c>
      <c r="AN346" s="14">
        <f t="shared" si="108"/>
        <v>21</v>
      </c>
      <c r="AO346" s="29">
        <f t="shared" si="92"/>
        <v>0.34799999999999998</v>
      </c>
      <c r="AP346" s="14">
        <f t="shared" si="93"/>
        <v>2</v>
      </c>
      <c r="AQ346" s="14">
        <f t="shared" si="94"/>
        <v>3</v>
      </c>
      <c r="AR346" s="14">
        <f t="shared" si="95"/>
        <v>0</v>
      </c>
      <c r="AS346" s="14">
        <f t="shared" si="96"/>
        <v>1606023</v>
      </c>
      <c r="AT346" s="14" t="str">
        <f t="shared" si="97"/>
        <v>神器-5-碎片-1-5级</v>
      </c>
      <c r="AU346" s="13" t="s">
        <v>1195</v>
      </c>
      <c r="AV346" s="13">
        <f t="shared" si="98"/>
        <v>5</v>
      </c>
      <c r="AW346" s="14">
        <f t="shared" si="99"/>
        <v>2427</v>
      </c>
      <c r="AX346" s="14" t="str">
        <f t="shared" si="100"/>
        <v>DefExt</v>
      </c>
      <c r="AY346" s="14">
        <f t="shared" si="101"/>
        <v>231</v>
      </c>
      <c r="AZ346" s="14" t="str">
        <f t="shared" si="102"/>
        <v>HPExt</v>
      </c>
      <c r="BA346" s="14">
        <f t="shared" si="103"/>
        <v>117</v>
      </c>
      <c r="BB346" s="14" t="str">
        <f t="shared" si="104"/>
        <v/>
      </c>
      <c r="BC346" s="14" t="str">
        <f t="shared" si="105"/>
        <v/>
      </c>
      <c r="BD346" s="14" t="str">
        <f t="shared" si="106"/>
        <v/>
      </c>
      <c r="BE346" s="14" t="str">
        <f t="shared" si="107"/>
        <v/>
      </c>
    </row>
    <row r="347" spans="39:57" ht="16.5" x14ac:dyDescent="0.2">
      <c r="AM347" s="13">
        <v>342</v>
      </c>
      <c r="AN347" s="14">
        <f t="shared" si="108"/>
        <v>21</v>
      </c>
      <c r="AO347" s="29">
        <f t="shared" si="92"/>
        <v>0.42000000000000004</v>
      </c>
      <c r="AP347" s="14">
        <f t="shared" si="93"/>
        <v>2</v>
      </c>
      <c r="AQ347" s="14">
        <f t="shared" si="94"/>
        <v>3</v>
      </c>
      <c r="AR347" s="14">
        <f t="shared" si="95"/>
        <v>0</v>
      </c>
      <c r="AS347" s="14">
        <f t="shared" si="96"/>
        <v>1606023</v>
      </c>
      <c r="AT347" s="14" t="str">
        <f t="shared" si="97"/>
        <v>神器-5-碎片-1-6级</v>
      </c>
      <c r="AU347" s="13" t="s">
        <v>1195</v>
      </c>
      <c r="AV347" s="13">
        <f t="shared" si="98"/>
        <v>6</v>
      </c>
      <c r="AW347" s="14">
        <f t="shared" si="99"/>
        <v>2931</v>
      </c>
      <c r="AX347" s="14" t="str">
        <f t="shared" si="100"/>
        <v>DefExt</v>
      </c>
      <c r="AY347" s="14">
        <f t="shared" si="101"/>
        <v>279</v>
      </c>
      <c r="AZ347" s="14" t="str">
        <f t="shared" si="102"/>
        <v>HPExt</v>
      </c>
      <c r="BA347" s="14">
        <f t="shared" si="103"/>
        <v>141</v>
      </c>
      <c r="BB347" s="14" t="str">
        <f t="shared" si="104"/>
        <v/>
      </c>
      <c r="BC347" s="14" t="str">
        <f t="shared" si="105"/>
        <v/>
      </c>
      <c r="BD347" s="14" t="str">
        <f t="shared" si="106"/>
        <v/>
      </c>
      <c r="BE347" s="14" t="str">
        <f t="shared" si="107"/>
        <v/>
      </c>
    </row>
    <row r="348" spans="39:57" ht="16.5" x14ac:dyDescent="0.2">
      <c r="AM348" s="13">
        <v>343</v>
      </c>
      <c r="AN348" s="14">
        <f t="shared" si="108"/>
        <v>21</v>
      </c>
      <c r="AO348" s="29">
        <f t="shared" si="92"/>
        <v>0.496</v>
      </c>
      <c r="AP348" s="14">
        <f t="shared" si="93"/>
        <v>2</v>
      </c>
      <c r="AQ348" s="14">
        <f t="shared" si="94"/>
        <v>3</v>
      </c>
      <c r="AR348" s="14">
        <f t="shared" si="95"/>
        <v>0</v>
      </c>
      <c r="AS348" s="14">
        <f t="shared" si="96"/>
        <v>1606023</v>
      </c>
      <c r="AT348" s="14" t="str">
        <f t="shared" si="97"/>
        <v>神器-5-碎片-1-7级</v>
      </c>
      <c r="AU348" s="13" t="s">
        <v>1195</v>
      </c>
      <c r="AV348" s="13">
        <f t="shared" si="98"/>
        <v>7</v>
      </c>
      <c r="AW348" s="14">
        <f t="shared" si="99"/>
        <v>3467</v>
      </c>
      <c r="AX348" s="14" t="str">
        <f t="shared" si="100"/>
        <v>DefExt</v>
      </c>
      <c r="AY348" s="14">
        <f t="shared" si="101"/>
        <v>330</v>
      </c>
      <c r="AZ348" s="14" t="str">
        <f t="shared" si="102"/>
        <v>HPExt</v>
      </c>
      <c r="BA348" s="14">
        <f t="shared" si="103"/>
        <v>167</v>
      </c>
      <c r="BB348" s="14" t="str">
        <f t="shared" si="104"/>
        <v/>
      </c>
      <c r="BC348" s="14" t="str">
        <f t="shared" si="105"/>
        <v/>
      </c>
      <c r="BD348" s="14" t="str">
        <f t="shared" si="106"/>
        <v/>
      </c>
      <c r="BE348" s="14" t="str">
        <f t="shared" si="107"/>
        <v/>
      </c>
    </row>
    <row r="349" spans="39:57" ht="16.5" x14ac:dyDescent="0.2">
      <c r="AM349" s="13">
        <v>344</v>
      </c>
      <c r="AN349" s="14">
        <f t="shared" si="108"/>
        <v>21</v>
      </c>
      <c r="AO349" s="29">
        <f t="shared" si="92"/>
        <v>0.57600000000000007</v>
      </c>
      <c r="AP349" s="14">
        <f t="shared" si="93"/>
        <v>2</v>
      </c>
      <c r="AQ349" s="14">
        <f t="shared" si="94"/>
        <v>3</v>
      </c>
      <c r="AR349" s="14">
        <f t="shared" si="95"/>
        <v>0</v>
      </c>
      <c r="AS349" s="14">
        <f t="shared" si="96"/>
        <v>1606023</v>
      </c>
      <c r="AT349" s="14" t="str">
        <f t="shared" si="97"/>
        <v>神器-5-碎片-1-8级</v>
      </c>
      <c r="AU349" s="13" t="s">
        <v>1195</v>
      </c>
      <c r="AV349" s="13">
        <f t="shared" si="98"/>
        <v>8</v>
      </c>
      <c r="AW349" s="14">
        <f t="shared" si="99"/>
        <v>4024</v>
      </c>
      <c r="AX349" s="14" t="str">
        <f t="shared" si="100"/>
        <v>DefExt</v>
      </c>
      <c r="AY349" s="14">
        <f t="shared" si="101"/>
        <v>383</v>
      </c>
      <c r="AZ349" s="14" t="str">
        <f t="shared" si="102"/>
        <v>HPExt</v>
      </c>
      <c r="BA349" s="14">
        <f t="shared" si="103"/>
        <v>194</v>
      </c>
      <c r="BB349" s="14" t="str">
        <f t="shared" si="104"/>
        <v/>
      </c>
      <c r="BC349" s="14" t="str">
        <f t="shared" si="105"/>
        <v/>
      </c>
      <c r="BD349" s="14" t="str">
        <f t="shared" si="106"/>
        <v/>
      </c>
      <c r="BE349" s="14" t="str">
        <f t="shared" si="107"/>
        <v/>
      </c>
    </row>
    <row r="350" spans="39:57" ht="16.5" x14ac:dyDescent="0.2">
      <c r="AM350" s="13">
        <v>345</v>
      </c>
      <c r="AN350" s="14">
        <f t="shared" si="108"/>
        <v>21</v>
      </c>
      <c r="AO350" s="29">
        <f t="shared" si="92"/>
        <v>0.66</v>
      </c>
      <c r="AP350" s="14">
        <f t="shared" si="93"/>
        <v>2</v>
      </c>
      <c r="AQ350" s="14">
        <f t="shared" si="94"/>
        <v>3</v>
      </c>
      <c r="AR350" s="14">
        <f t="shared" si="95"/>
        <v>0</v>
      </c>
      <c r="AS350" s="14">
        <f t="shared" si="96"/>
        <v>1606023</v>
      </c>
      <c r="AT350" s="14" t="str">
        <f t="shared" si="97"/>
        <v>神器-5-碎片-1-9级</v>
      </c>
      <c r="AU350" s="13" t="s">
        <v>1195</v>
      </c>
      <c r="AV350" s="13">
        <f t="shared" si="98"/>
        <v>9</v>
      </c>
      <c r="AW350" s="14">
        <f t="shared" si="99"/>
        <v>4612</v>
      </c>
      <c r="AX350" s="14" t="str">
        <f t="shared" si="100"/>
        <v>DefExt</v>
      </c>
      <c r="AY350" s="14">
        <f t="shared" si="101"/>
        <v>439</v>
      </c>
      <c r="AZ350" s="14" t="str">
        <f t="shared" si="102"/>
        <v>HPExt</v>
      </c>
      <c r="BA350" s="14">
        <f t="shared" si="103"/>
        <v>222</v>
      </c>
      <c r="BB350" s="14" t="str">
        <f t="shared" si="104"/>
        <v/>
      </c>
      <c r="BC350" s="14" t="str">
        <f t="shared" si="105"/>
        <v/>
      </c>
      <c r="BD350" s="14" t="str">
        <f t="shared" si="106"/>
        <v/>
      </c>
      <c r="BE350" s="14" t="str">
        <f t="shared" si="107"/>
        <v/>
      </c>
    </row>
    <row r="351" spans="39:57" ht="16.5" x14ac:dyDescent="0.2">
      <c r="AM351" s="13">
        <v>346</v>
      </c>
      <c r="AN351" s="14">
        <f t="shared" si="108"/>
        <v>21</v>
      </c>
      <c r="AO351" s="29">
        <f t="shared" si="92"/>
        <v>0.748</v>
      </c>
      <c r="AP351" s="14">
        <f t="shared" si="93"/>
        <v>2</v>
      </c>
      <c r="AQ351" s="14">
        <f t="shared" si="94"/>
        <v>3</v>
      </c>
      <c r="AR351" s="14">
        <f t="shared" si="95"/>
        <v>0</v>
      </c>
      <c r="AS351" s="14">
        <f t="shared" si="96"/>
        <v>1606023</v>
      </c>
      <c r="AT351" s="14" t="str">
        <f t="shared" si="97"/>
        <v>神器-5-碎片-1-10级</v>
      </c>
      <c r="AU351" s="13" t="s">
        <v>1195</v>
      </c>
      <c r="AV351" s="13">
        <f t="shared" si="98"/>
        <v>10</v>
      </c>
      <c r="AW351" s="14">
        <f t="shared" si="99"/>
        <v>5232</v>
      </c>
      <c r="AX351" s="14" t="str">
        <f t="shared" si="100"/>
        <v>DefExt</v>
      </c>
      <c r="AY351" s="14">
        <f t="shared" si="101"/>
        <v>498</v>
      </c>
      <c r="AZ351" s="14" t="str">
        <f t="shared" si="102"/>
        <v>HPExt</v>
      </c>
      <c r="BA351" s="14">
        <f t="shared" si="103"/>
        <v>252</v>
      </c>
      <c r="BB351" s="14" t="str">
        <f t="shared" si="104"/>
        <v/>
      </c>
      <c r="BC351" s="14" t="str">
        <f t="shared" si="105"/>
        <v/>
      </c>
      <c r="BD351" s="14" t="str">
        <f t="shared" si="106"/>
        <v/>
      </c>
      <c r="BE351" s="14" t="str">
        <f t="shared" si="107"/>
        <v/>
      </c>
    </row>
    <row r="352" spans="39:57" ht="16.5" x14ac:dyDescent="0.2">
      <c r="AM352" s="13">
        <v>347</v>
      </c>
      <c r="AN352" s="14">
        <f t="shared" si="108"/>
        <v>21</v>
      </c>
      <c r="AO352" s="29">
        <f t="shared" si="92"/>
        <v>0.84000000000000008</v>
      </c>
      <c r="AP352" s="14">
        <f t="shared" si="93"/>
        <v>2</v>
      </c>
      <c r="AQ352" s="14">
        <f t="shared" si="94"/>
        <v>3</v>
      </c>
      <c r="AR352" s="14">
        <f t="shared" si="95"/>
        <v>0</v>
      </c>
      <c r="AS352" s="14">
        <f t="shared" si="96"/>
        <v>1606023</v>
      </c>
      <c r="AT352" s="14" t="str">
        <f t="shared" si="97"/>
        <v>神器-5-碎片-1-11级</v>
      </c>
      <c r="AU352" s="13" t="s">
        <v>1195</v>
      </c>
      <c r="AV352" s="13">
        <f t="shared" si="98"/>
        <v>11</v>
      </c>
      <c r="AW352" s="14">
        <f t="shared" si="99"/>
        <v>5873</v>
      </c>
      <c r="AX352" s="14" t="str">
        <f t="shared" si="100"/>
        <v>DefExt</v>
      </c>
      <c r="AY352" s="14">
        <f t="shared" si="101"/>
        <v>559</v>
      </c>
      <c r="AZ352" s="14" t="str">
        <f t="shared" si="102"/>
        <v>HPExt</v>
      </c>
      <c r="BA352" s="14">
        <f t="shared" si="103"/>
        <v>283</v>
      </c>
      <c r="BB352" s="14" t="str">
        <f t="shared" si="104"/>
        <v/>
      </c>
      <c r="BC352" s="14" t="str">
        <f t="shared" si="105"/>
        <v/>
      </c>
      <c r="BD352" s="14" t="str">
        <f t="shared" si="106"/>
        <v/>
      </c>
      <c r="BE352" s="14" t="str">
        <f t="shared" si="107"/>
        <v/>
      </c>
    </row>
    <row r="353" spans="39:57" ht="16.5" x14ac:dyDescent="0.2">
      <c r="AM353" s="13">
        <v>348</v>
      </c>
      <c r="AN353" s="14">
        <f t="shared" si="108"/>
        <v>21</v>
      </c>
      <c r="AO353" s="29">
        <f t="shared" si="92"/>
        <v>0.93600000000000017</v>
      </c>
      <c r="AP353" s="14">
        <f t="shared" si="93"/>
        <v>2</v>
      </c>
      <c r="AQ353" s="14">
        <f t="shared" si="94"/>
        <v>3</v>
      </c>
      <c r="AR353" s="14">
        <f t="shared" si="95"/>
        <v>0</v>
      </c>
      <c r="AS353" s="14">
        <f t="shared" si="96"/>
        <v>1606023</v>
      </c>
      <c r="AT353" s="14" t="str">
        <f t="shared" si="97"/>
        <v>神器-5-碎片-1-12级</v>
      </c>
      <c r="AU353" s="13" t="s">
        <v>1195</v>
      </c>
      <c r="AV353" s="13">
        <f t="shared" si="98"/>
        <v>12</v>
      </c>
      <c r="AW353" s="14">
        <f t="shared" si="99"/>
        <v>6545</v>
      </c>
      <c r="AX353" s="14" t="str">
        <f t="shared" si="100"/>
        <v>DefExt</v>
      </c>
      <c r="AY353" s="14">
        <f t="shared" si="101"/>
        <v>623</v>
      </c>
      <c r="AZ353" s="14" t="str">
        <f t="shared" si="102"/>
        <v>HPExt</v>
      </c>
      <c r="BA353" s="14">
        <f t="shared" si="103"/>
        <v>315</v>
      </c>
      <c r="BB353" s="14" t="str">
        <f t="shared" si="104"/>
        <v/>
      </c>
      <c r="BC353" s="14" t="str">
        <f t="shared" si="105"/>
        <v/>
      </c>
      <c r="BD353" s="14" t="str">
        <f t="shared" si="106"/>
        <v/>
      </c>
      <c r="BE353" s="14" t="str">
        <f t="shared" si="107"/>
        <v/>
      </c>
    </row>
    <row r="354" spans="39:57" ht="16.5" x14ac:dyDescent="0.2">
      <c r="AM354" s="13">
        <v>349</v>
      </c>
      <c r="AN354" s="14">
        <f t="shared" si="108"/>
        <v>21</v>
      </c>
      <c r="AO354" s="29">
        <f t="shared" si="92"/>
        <v>1.036</v>
      </c>
      <c r="AP354" s="14">
        <f t="shared" si="93"/>
        <v>2</v>
      </c>
      <c r="AQ354" s="14">
        <f t="shared" si="94"/>
        <v>3</v>
      </c>
      <c r="AR354" s="14">
        <f t="shared" si="95"/>
        <v>0</v>
      </c>
      <c r="AS354" s="14">
        <f t="shared" si="96"/>
        <v>1606023</v>
      </c>
      <c r="AT354" s="14" t="str">
        <f t="shared" si="97"/>
        <v>神器-5-碎片-1-13级</v>
      </c>
      <c r="AU354" s="13" t="s">
        <v>1195</v>
      </c>
      <c r="AV354" s="13">
        <f t="shared" si="98"/>
        <v>13</v>
      </c>
      <c r="AW354" s="14">
        <f t="shared" si="99"/>
        <v>7239</v>
      </c>
      <c r="AX354" s="14" t="str">
        <f t="shared" si="100"/>
        <v>DefExt</v>
      </c>
      <c r="AY354" s="14">
        <f t="shared" si="101"/>
        <v>689</v>
      </c>
      <c r="AZ354" s="14" t="str">
        <f t="shared" si="102"/>
        <v>HPExt</v>
      </c>
      <c r="BA354" s="14">
        <f t="shared" si="103"/>
        <v>349</v>
      </c>
      <c r="BB354" s="14" t="str">
        <f t="shared" si="104"/>
        <v/>
      </c>
      <c r="BC354" s="14" t="str">
        <f t="shared" si="105"/>
        <v/>
      </c>
      <c r="BD354" s="14" t="str">
        <f t="shared" si="106"/>
        <v/>
      </c>
      <c r="BE354" s="14" t="str">
        <f t="shared" si="107"/>
        <v/>
      </c>
    </row>
    <row r="355" spans="39:57" ht="16.5" x14ac:dyDescent="0.2">
      <c r="AM355" s="13">
        <v>350</v>
      </c>
      <c r="AN355" s="14">
        <f t="shared" si="108"/>
        <v>21</v>
      </c>
      <c r="AO355" s="29">
        <f t="shared" si="92"/>
        <v>1.1400000000000001</v>
      </c>
      <c r="AP355" s="14">
        <f t="shared" si="93"/>
        <v>2</v>
      </c>
      <c r="AQ355" s="14">
        <f t="shared" si="94"/>
        <v>3</v>
      </c>
      <c r="AR355" s="14">
        <f t="shared" si="95"/>
        <v>0</v>
      </c>
      <c r="AS355" s="14">
        <f t="shared" si="96"/>
        <v>1606023</v>
      </c>
      <c r="AT355" s="14" t="str">
        <f t="shared" si="97"/>
        <v>神器-5-碎片-1-14级</v>
      </c>
      <c r="AU355" s="13" t="s">
        <v>1195</v>
      </c>
      <c r="AV355" s="13">
        <f t="shared" si="98"/>
        <v>14</v>
      </c>
      <c r="AW355" s="14">
        <f t="shared" si="99"/>
        <v>7964</v>
      </c>
      <c r="AX355" s="14" t="str">
        <f t="shared" si="100"/>
        <v>DefExt</v>
      </c>
      <c r="AY355" s="14">
        <f t="shared" si="101"/>
        <v>758</v>
      </c>
      <c r="AZ355" s="14" t="str">
        <f t="shared" si="102"/>
        <v>HPExt</v>
      </c>
      <c r="BA355" s="14">
        <f t="shared" si="103"/>
        <v>384</v>
      </c>
      <c r="BB355" s="14" t="str">
        <f t="shared" si="104"/>
        <v/>
      </c>
      <c r="BC355" s="14" t="str">
        <f t="shared" si="105"/>
        <v/>
      </c>
      <c r="BD355" s="14" t="str">
        <f t="shared" si="106"/>
        <v/>
      </c>
      <c r="BE355" s="14" t="str">
        <f t="shared" si="107"/>
        <v/>
      </c>
    </row>
    <row r="356" spans="39:57" ht="16.5" x14ac:dyDescent="0.2">
      <c r="AM356" s="13">
        <v>351</v>
      </c>
      <c r="AN356" s="14">
        <f t="shared" si="108"/>
        <v>21</v>
      </c>
      <c r="AO356" s="29">
        <f t="shared" si="92"/>
        <v>1.248</v>
      </c>
      <c r="AP356" s="14">
        <f t="shared" si="93"/>
        <v>2</v>
      </c>
      <c r="AQ356" s="14">
        <f t="shared" si="94"/>
        <v>3</v>
      </c>
      <c r="AR356" s="14">
        <f t="shared" si="95"/>
        <v>0</v>
      </c>
      <c r="AS356" s="14">
        <f t="shared" si="96"/>
        <v>1606023</v>
      </c>
      <c r="AT356" s="14" t="str">
        <f t="shared" si="97"/>
        <v>神器-5-碎片-1-15级</v>
      </c>
      <c r="AU356" s="13" t="s">
        <v>1195</v>
      </c>
      <c r="AV356" s="13">
        <f t="shared" si="98"/>
        <v>15</v>
      </c>
      <c r="AW356" s="14">
        <f t="shared" si="99"/>
        <v>8720</v>
      </c>
      <c r="AX356" s="14" t="str">
        <f t="shared" si="100"/>
        <v>DefExt</v>
      </c>
      <c r="AY356" s="14">
        <f t="shared" si="101"/>
        <v>830</v>
      </c>
      <c r="AZ356" s="14" t="str">
        <f t="shared" si="102"/>
        <v>HPExt</v>
      </c>
      <c r="BA356" s="14">
        <f t="shared" si="103"/>
        <v>420</v>
      </c>
      <c r="BB356" s="14" t="str">
        <f t="shared" si="104"/>
        <v/>
      </c>
      <c r="BC356" s="14" t="str">
        <f t="shared" si="105"/>
        <v/>
      </c>
      <c r="BD356" s="14" t="str">
        <f t="shared" si="106"/>
        <v/>
      </c>
      <c r="BE356" s="14" t="str">
        <f t="shared" si="107"/>
        <v/>
      </c>
    </row>
    <row r="357" spans="39:57" ht="16.5" x14ac:dyDescent="0.2">
      <c r="AM357" s="13">
        <v>352</v>
      </c>
      <c r="AN357" s="14">
        <f t="shared" si="108"/>
        <v>21</v>
      </c>
      <c r="AO357" s="29">
        <f t="shared" si="92"/>
        <v>1.36</v>
      </c>
      <c r="AP357" s="14">
        <f t="shared" si="93"/>
        <v>2</v>
      </c>
      <c r="AQ357" s="14">
        <f t="shared" si="94"/>
        <v>3</v>
      </c>
      <c r="AR357" s="14">
        <f t="shared" si="95"/>
        <v>0</v>
      </c>
      <c r="AS357" s="14">
        <f t="shared" si="96"/>
        <v>1606023</v>
      </c>
      <c r="AT357" s="14" t="str">
        <f t="shared" si="97"/>
        <v>神器-5-碎片-1-16级</v>
      </c>
      <c r="AU357" s="13" t="s">
        <v>1195</v>
      </c>
      <c r="AV357" s="13">
        <f t="shared" si="98"/>
        <v>16</v>
      </c>
      <c r="AW357" s="14">
        <f t="shared" si="99"/>
        <v>9508</v>
      </c>
      <c r="AX357" s="14" t="str">
        <f t="shared" si="100"/>
        <v>DefExt</v>
      </c>
      <c r="AY357" s="14">
        <f t="shared" si="101"/>
        <v>905</v>
      </c>
      <c r="AZ357" s="14" t="str">
        <f t="shared" si="102"/>
        <v>HPExt</v>
      </c>
      <c r="BA357" s="14">
        <f t="shared" si="103"/>
        <v>458</v>
      </c>
      <c r="BB357" s="14" t="str">
        <f t="shared" si="104"/>
        <v/>
      </c>
      <c r="BC357" s="14" t="str">
        <f t="shared" si="105"/>
        <v/>
      </c>
      <c r="BD357" s="14" t="str">
        <f t="shared" si="106"/>
        <v/>
      </c>
      <c r="BE357" s="14" t="str">
        <f t="shared" si="107"/>
        <v/>
      </c>
    </row>
    <row r="358" spans="39:57" ht="16.5" x14ac:dyDescent="0.2">
      <c r="AM358" s="13">
        <v>353</v>
      </c>
      <c r="AN358" s="14">
        <f t="shared" si="108"/>
        <v>21</v>
      </c>
      <c r="AO358" s="29">
        <f t="shared" si="92"/>
        <v>1.476</v>
      </c>
      <c r="AP358" s="14">
        <f t="shared" si="93"/>
        <v>2</v>
      </c>
      <c r="AQ358" s="14">
        <f t="shared" si="94"/>
        <v>3</v>
      </c>
      <c r="AR358" s="14">
        <f t="shared" si="95"/>
        <v>0</v>
      </c>
      <c r="AS358" s="14">
        <f t="shared" si="96"/>
        <v>1606023</v>
      </c>
      <c r="AT358" s="14" t="str">
        <f t="shared" si="97"/>
        <v>神器-5-碎片-1-17级</v>
      </c>
      <c r="AU358" s="13" t="s">
        <v>1195</v>
      </c>
      <c r="AV358" s="13">
        <f t="shared" si="98"/>
        <v>17</v>
      </c>
      <c r="AW358" s="14">
        <f t="shared" si="99"/>
        <v>10317</v>
      </c>
      <c r="AX358" s="14" t="str">
        <f t="shared" si="100"/>
        <v>DefExt</v>
      </c>
      <c r="AY358" s="14">
        <f t="shared" si="101"/>
        <v>982</v>
      </c>
      <c r="AZ358" s="14" t="str">
        <f t="shared" si="102"/>
        <v>HPExt</v>
      </c>
      <c r="BA358" s="14">
        <f t="shared" si="103"/>
        <v>497</v>
      </c>
      <c r="BB358" s="14" t="str">
        <f t="shared" si="104"/>
        <v/>
      </c>
      <c r="BC358" s="14" t="str">
        <f t="shared" si="105"/>
        <v/>
      </c>
      <c r="BD358" s="14" t="str">
        <f t="shared" si="106"/>
        <v/>
      </c>
      <c r="BE358" s="14" t="str">
        <f t="shared" si="107"/>
        <v/>
      </c>
    </row>
    <row r="359" spans="39:57" ht="16.5" x14ac:dyDescent="0.2">
      <c r="AM359" s="13">
        <v>354</v>
      </c>
      <c r="AN359" s="14">
        <f t="shared" si="108"/>
        <v>21</v>
      </c>
      <c r="AO359" s="29">
        <f t="shared" si="92"/>
        <v>1.5960000000000001</v>
      </c>
      <c r="AP359" s="14">
        <f t="shared" si="93"/>
        <v>2</v>
      </c>
      <c r="AQ359" s="14">
        <f t="shared" si="94"/>
        <v>3</v>
      </c>
      <c r="AR359" s="14">
        <f t="shared" si="95"/>
        <v>0</v>
      </c>
      <c r="AS359" s="14">
        <f t="shared" si="96"/>
        <v>1606023</v>
      </c>
      <c r="AT359" s="14" t="str">
        <f t="shared" si="97"/>
        <v>神器-5-碎片-1-18级</v>
      </c>
      <c r="AU359" s="13" t="s">
        <v>1195</v>
      </c>
      <c r="AV359" s="13">
        <f t="shared" si="98"/>
        <v>18</v>
      </c>
      <c r="AW359" s="14">
        <f t="shared" si="99"/>
        <v>11158</v>
      </c>
      <c r="AX359" s="14" t="str">
        <f t="shared" si="100"/>
        <v>DefExt</v>
      </c>
      <c r="AY359" s="14">
        <f t="shared" si="101"/>
        <v>1062</v>
      </c>
      <c r="AZ359" s="14" t="str">
        <f t="shared" si="102"/>
        <v>HPExt</v>
      </c>
      <c r="BA359" s="14">
        <f t="shared" si="103"/>
        <v>538</v>
      </c>
      <c r="BB359" s="14" t="str">
        <f t="shared" si="104"/>
        <v/>
      </c>
      <c r="BC359" s="14" t="str">
        <f t="shared" si="105"/>
        <v/>
      </c>
      <c r="BD359" s="14" t="str">
        <f t="shared" si="106"/>
        <v/>
      </c>
      <c r="BE359" s="14" t="str">
        <f t="shared" si="107"/>
        <v/>
      </c>
    </row>
    <row r="360" spans="39:57" ht="16.5" x14ac:dyDescent="0.2">
      <c r="AM360" s="13">
        <v>355</v>
      </c>
      <c r="AN360" s="14">
        <f t="shared" si="108"/>
        <v>22</v>
      </c>
      <c r="AO360" s="29">
        <f t="shared" si="92"/>
        <v>0.1</v>
      </c>
      <c r="AP360" s="14">
        <f t="shared" si="93"/>
        <v>2</v>
      </c>
      <c r="AQ360" s="14">
        <f t="shared" si="94"/>
        <v>3</v>
      </c>
      <c r="AR360" s="14">
        <f t="shared" si="95"/>
        <v>0</v>
      </c>
      <c r="AS360" s="14">
        <f t="shared" si="96"/>
        <v>1606024</v>
      </c>
      <c r="AT360" s="14" t="str">
        <f t="shared" si="97"/>
        <v>神器-5-碎片-2-1级</v>
      </c>
      <c r="AU360" s="13" t="s">
        <v>1195</v>
      </c>
      <c r="AV360" s="13">
        <f t="shared" si="98"/>
        <v>1</v>
      </c>
      <c r="AW360" s="14">
        <f t="shared" si="99"/>
        <v>704</v>
      </c>
      <c r="AX360" s="14" t="str">
        <f t="shared" si="100"/>
        <v>DefExt</v>
      </c>
      <c r="AY360" s="14">
        <f t="shared" si="101"/>
        <v>67</v>
      </c>
      <c r="AZ360" s="14" t="str">
        <f t="shared" si="102"/>
        <v>HPExt</v>
      </c>
      <c r="BA360" s="14">
        <f t="shared" si="103"/>
        <v>34</v>
      </c>
      <c r="BB360" s="14" t="str">
        <f t="shared" si="104"/>
        <v/>
      </c>
      <c r="BC360" s="14" t="str">
        <f t="shared" si="105"/>
        <v/>
      </c>
      <c r="BD360" s="14" t="str">
        <f t="shared" si="106"/>
        <v/>
      </c>
      <c r="BE360" s="14" t="str">
        <f t="shared" si="107"/>
        <v/>
      </c>
    </row>
    <row r="361" spans="39:57" ht="16.5" x14ac:dyDescent="0.2">
      <c r="AM361" s="13">
        <v>356</v>
      </c>
      <c r="AN361" s="14">
        <f t="shared" si="108"/>
        <v>22</v>
      </c>
      <c r="AO361" s="29">
        <f t="shared" si="92"/>
        <v>0.15600000000000003</v>
      </c>
      <c r="AP361" s="14">
        <f t="shared" si="93"/>
        <v>2</v>
      </c>
      <c r="AQ361" s="14">
        <f t="shared" si="94"/>
        <v>3</v>
      </c>
      <c r="AR361" s="14">
        <f t="shared" si="95"/>
        <v>0</v>
      </c>
      <c r="AS361" s="14">
        <f t="shared" si="96"/>
        <v>1606024</v>
      </c>
      <c r="AT361" s="14" t="str">
        <f t="shared" si="97"/>
        <v>神器-5-碎片-2-2级</v>
      </c>
      <c r="AU361" s="13" t="s">
        <v>1195</v>
      </c>
      <c r="AV361" s="13">
        <f t="shared" si="98"/>
        <v>2</v>
      </c>
      <c r="AW361" s="14">
        <f t="shared" si="99"/>
        <v>1093</v>
      </c>
      <c r="AX361" s="14" t="str">
        <f t="shared" si="100"/>
        <v>DefExt</v>
      </c>
      <c r="AY361" s="14">
        <f t="shared" si="101"/>
        <v>104</v>
      </c>
      <c r="AZ361" s="14" t="str">
        <f t="shared" si="102"/>
        <v>HPExt</v>
      </c>
      <c r="BA361" s="14">
        <f t="shared" si="103"/>
        <v>53</v>
      </c>
      <c r="BB361" s="14" t="str">
        <f t="shared" si="104"/>
        <v/>
      </c>
      <c r="BC361" s="14" t="str">
        <f t="shared" si="105"/>
        <v/>
      </c>
      <c r="BD361" s="14" t="str">
        <f t="shared" si="106"/>
        <v/>
      </c>
      <c r="BE361" s="14" t="str">
        <f t="shared" si="107"/>
        <v/>
      </c>
    </row>
    <row r="362" spans="39:57" ht="16.5" x14ac:dyDescent="0.2">
      <c r="AM362" s="13">
        <v>357</v>
      </c>
      <c r="AN362" s="14">
        <f t="shared" si="108"/>
        <v>22</v>
      </c>
      <c r="AO362" s="29">
        <f t="shared" si="92"/>
        <v>0.21600000000000003</v>
      </c>
      <c r="AP362" s="14">
        <f t="shared" si="93"/>
        <v>2</v>
      </c>
      <c r="AQ362" s="14">
        <f t="shared" si="94"/>
        <v>3</v>
      </c>
      <c r="AR362" s="14">
        <f t="shared" si="95"/>
        <v>0</v>
      </c>
      <c r="AS362" s="14">
        <f t="shared" si="96"/>
        <v>1606024</v>
      </c>
      <c r="AT362" s="14" t="str">
        <f t="shared" si="97"/>
        <v>神器-5-碎片-2-3级</v>
      </c>
      <c r="AU362" s="13" t="s">
        <v>1195</v>
      </c>
      <c r="AV362" s="13">
        <f t="shared" si="98"/>
        <v>3</v>
      </c>
      <c r="AW362" s="14">
        <f t="shared" si="99"/>
        <v>1513</v>
      </c>
      <c r="AX362" s="14" t="str">
        <f t="shared" si="100"/>
        <v>DefExt</v>
      </c>
      <c r="AY362" s="14">
        <f t="shared" si="101"/>
        <v>144</v>
      </c>
      <c r="AZ362" s="14" t="str">
        <f t="shared" si="102"/>
        <v>HPExt</v>
      </c>
      <c r="BA362" s="14">
        <f t="shared" si="103"/>
        <v>73</v>
      </c>
      <c r="BB362" s="14" t="str">
        <f t="shared" si="104"/>
        <v/>
      </c>
      <c r="BC362" s="14" t="str">
        <f t="shared" si="105"/>
        <v/>
      </c>
      <c r="BD362" s="14" t="str">
        <f t="shared" si="106"/>
        <v/>
      </c>
      <c r="BE362" s="14" t="str">
        <f t="shared" si="107"/>
        <v/>
      </c>
    </row>
    <row r="363" spans="39:57" ht="16.5" x14ac:dyDescent="0.2">
      <c r="AM363" s="13">
        <v>358</v>
      </c>
      <c r="AN363" s="14">
        <f t="shared" si="108"/>
        <v>22</v>
      </c>
      <c r="AO363" s="29">
        <f t="shared" si="92"/>
        <v>0.28000000000000003</v>
      </c>
      <c r="AP363" s="14">
        <f t="shared" si="93"/>
        <v>2</v>
      </c>
      <c r="AQ363" s="14">
        <f t="shared" si="94"/>
        <v>3</v>
      </c>
      <c r="AR363" s="14">
        <f t="shared" si="95"/>
        <v>0</v>
      </c>
      <c r="AS363" s="14">
        <f t="shared" si="96"/>
        <v>1606024</v>
      </c>
      <c r="AT363" s="14" t="str">
        <f t="shared" si="97"/>
        <v>神器-5-碎片-2-4级</v>
      </c>
      <c r="AU363" s="13" t="s">
        <v>1195</v>
      </c>
      <c r="AV363" s="13">
        <f t="shared" si="98"/>
        <v>4</v>
      </c>
      <c r="AW363" s="14">
        <f t="shared" si="99"/>
        <v>1954</v>
      </c>
      <c r="AX363" s="14" t="str">
        <f t="shared" si="100"/>
        <v>DefExt</v>
      </c>
      <c r="AY363" s="14">
        <f t="shared" si="101"/>
        <v>186</v>
      </c>
      <c r="AZ363" s="14" t="str">
        <f t="shared" si="102"/>
        <v>HPExt</v>
      </c>
      <c r="BA363" s="14">
        <f t="shared" si="103"/>
        <v>94</v>
      </c>
      <c r="BB363" s="14" t="str">
        <f t="shared" si="104"/>
        <v/>
      </c>
      <c r="BC363" s="14" t="str">
        <f t="shared" si="105"/>
        <v/>
      </c>
      <c r="BD363" s="14" t="str">
        <f t="shared" si="106"/>
        <v/>
      </c>
      <c r="BE363" s="14" t="str">
        <f t="shared" si="107"/>
        <v/>
      </c>
    </row>
    <row r="364" spans="39:57" ht="16.5" x14ac:dyDescent="0.2">
      <c r="AM364" s="13">
        <v>359</v>
      </c>
      <c r="AN364" s="14">
        <f t="shared" si="108"/>
        <v>22</v>
      </c>
      <c r="AO364" s="29">
        <f t="shared" si="92"/>
        <v>0.34799999999999998</v>
      </c>
      <c r="AP364" s="14">
        <f t="shared" si="93"/>
        <v>2</v>
      </c>
      <c r="AQ364" s="14">
        <f t="shared" si="94"/>
        <v>3</v>
      </c>
      <c r="AR364" s="14">
        <f t="shared" si="95"/>
        <v>0</v>
      </c>
      <c r="AS364" s="14">
        <f t="shared" si="96"/>
        <v>1606024</v>
      </c>
      <c r="AT364" s="14" t="str">
        <f t="shared" si="97"/>
        <v>神器-5-碎片-2-5级</v>
      </c>
      <c r="AU364" s="13" t="s">
        <v>1195</v>
      </c>
      <c r="AV364" s="13">
        <f t="shared" si="98"/>
        <v>5</v>
      </c>
      <c r="AW364" s="14">
        <f t="shared" si="99"/>
        <v>2427</v>
      </c>
      <c r="AX364" s="14" t="str">
        <f t="shared" si="100"/>
        <v>DefExt</v>
      </c>
      <c r="AY364" s="14">
        <f t="shared" si="101"/>
        <v>231</v>
      </c>
      <c r="AZ364" s="14" t="str">
        <f t="shared" si="102"/>
        <v>HPExt</v>
      </c>
      <c r="BA364" s="14">
        <f t="shared" si="103"/>
        <v>117</v>
      </c>
      <c r="BB364" s="14" t="str">
        <f t="shared" si="104"/>
        <v/>
      </c>
      <c r="BC364" s="14" t="str">
        <f t="shared" si="105"/>
        <v/>
      </c>
      <c r="BD364" s="14" t="str">
        <f t="shared" si="106"/>
        <v/>
      </c>
      <c r="BE364" s="14" t="str">
        <f t="shared" si="107"/>
        <v/>
      </c>
    </row>
    <row r="365" spans="39:57" ht="16.5" x14ac:dyDescent="0.2">
      <c r="AM365" s="13">
        <v>360</v>
      </c>
      <c r="AN365" s="14">
        <f t="shared" si="108"/>
        <v>22</v>
      </c>
      <c r="AO365" s="29">
        <f t="shared" si="92"/>
        <v>0.42000000000000004</v>
      </c>
      <c r="AP365" s="14">
        <f t="shared" si="93"/>
        <v>2</v>
      </c>
      <c r="AQ365" s="14">
        <f t="shared" si="94"/>
        <v>3</v>
      </c>
      <c r="AR365" s="14">
        <f t="shared" si="95"/>
        <v>0</v>
      </c>
      <c r="AS365" s="14">
        <f t="shared" si="96"/>
        <v>1606024</v>
      </c>
      <c r="AT365" s="14" t="str">
        <f t="shared" si="97"/>
        <v>神器-5-碎片-2-6级</v>
      </c>
      <c r="AU365" s="13" t="s">
        <v>1195</v>
      </c>
      <c r="AV365" s="13">
        <f t="shared" si="98"/>
        <v>6</v>
      </c>
      <c r="AW365" s="14">
        <f t="shared" si="99"/>
        <v>2931</v>
      </c>
      <c r="AX365" s="14" t="str">
        <f t="shared" si="100"/>
        <v>DefExt</v>
      </c>
      <c r="AY365" s="14">
        <f t="shared" si="101"/>
        <v>279</v>
      </c>
      <c r="AZ365" s="14" t="str">
        <f t="shared" si="102"/>
        <v>HPExt</v>
      </c>
      <c r="BA365" s="14">
        <f t="shared" si="103"/>
        <v>141</v>
      </c>
      <c r="BB365" s="14" t="str">
        <f t="shared" si="104"/>
        <v/>
      </c>
      <c r="BC365" s="14" t="str">
        <f t="shared" si="105"/>
        <v/>
      </c>
      <c r="BD365" s="14" t="str">
        <f t="shared" si="106"/>
        <v/>
      </c>
      <c r="BE365" s="14" t="str">
        <f t="shared" si="107"/>
        <v/>
      </c>
    </row>
    <row r="366" spans="39:57" ht="16.5" x14ac:dyDescent="0.2">
      <c r="AM366" s="13">
        <v>361</v>
      </c>
      <c r="AN366" s="14">
        <f t="shared" si="108"/>
        <v>22</v>
      </c>
      <c r="AO366" s="29">
        <f t="shared" si="92"/>
        <v>0.496</v>
      </c>
      <c r="AP366" s="14">
        <f t="shared" si="93"/>
        <v>2</v>
      </c>
      <c r="AQ366" s="14">
        <f t="shared" si="94"/>
        <v>3</v>
      </c>
      <c r="AR366" s="14">
        <f t="shared" si="95"/>
        <v>0</v>
      </c>
      <c r="AS366" s="14">
        <f t="shared" si="96"/>
        <v>1606024</v>
      </c>
      <c r="AT366" s="14" t="str">
        <f t="shared" si="97"/>
        <v>神器-5-碎片-2-7级</v>
      </c>
      <c r="AU366" s="13" t="s">
        <v>1195</v>
      </c>
      <c r="AV366" s="13">
        <f t="shared" si="98"/>
        <v>7</v>
      </c>
      <c r="AW366" s="14">
        <f t="shared" si="99"/>
        <v>3467</v>
      </c>
      <c r="AX366" s="14" t="str">
        <f t="shared" si="100"/>
        <v>DefExt</v>
      </c>
      <c r="AY366" s="14">
        <f t="shared" si="101"/>
        <v>330</v>
      </c>
      <c r="AZ366" s="14" t="str">
        <f t="shared" si="102"/>
        <v>HPExt</v>
      </c>
      <c r="BA366" s="14">
        <f t="shared" si="103"/>
        <v>167</v>
      </c>
      <c r="BB366" s="14" t="str">
        <f t="shared" si="104"/>
        <v/>
      </c>
      <c r="BC366" s="14" t="str">
        <f t="shared" si="105"/>
        <v/>
      </c>
      <c r="BD366" s="14" t="str">
        <f t="shared" si="106"/>
        <v/>
      </c>
      <c r="BE366" s="14" t="str">
        <f t="shared" si="107"/>
        <v/>
      </c>
    </row>
    <row r="367" spans="39:57" ht="16.5" x14ac:dyDescent="0.2">
      <c r="AM367" s="13">
        <v>362</v>
      </c>
      <c r="AN367" s="14">
        <f t="shared" si="108"/>
        <v>22</v>
      </c>
      <c r="AO367" s="29">
        <f t="shared" si="92"/>
        <v>0.57600000000000007</v>
      </c>
      <c r="AP367" s="14">
        <f t="shared" si="93"/>
        <v>2</v>
      </c>
      <c r="AQ367" s="14">
        <f t="shared" si="94"/>
        <v>3</v>
      </c>
      <c r="AR367" s="14">
        <f t="shared" si="95"/>
        <v>0</v>
      </c>
      <c r="AS367" s="14">
        <f t="shared" si="96"/>
        <v>1606024</v>
      </c>
      <c r="AT367" s="14" t="str">
        <f t="shared" si="97"/>
        <v>神器-5-碎片-2-8级</v>
      </c>
      <c r="AU367" s="13" t="s">
        <v>1195</v>
      </c>
      <c r="AV367" s="13">
        <f t="shared" si="98"/>
        <v>8</v>
      </c>
      <c r="AW367" s="14">
        <f t="shared" si="99"/>
        <v>4024</v>
      </c>
      <c r="AX367" s="14" t="str">
        <f t="shared" si="100"/>
        <v>DefExt</v>
      </c>
      <c r="AY367" s="14">
        <f t="shared" si="101"/>
        <v>383</v>
      </c>
      <c r="AZ367" s="14" t="str">
        <f t="shared" si="102"/>
        <v>HPExt</v>
      </c>
      <c r="BA367" s="14">
        <f t="shared" si="103"/>
        <v>194</v>
      </c>
      <c r="BB367" s="14" t="str">
        <f t="shared" si="104"/>
        <v/>
      </c>
      <c r="BC367" s="14" t="str">
        <f t="shared" si="105"/>
        <v/>
      </c>
      <c r="BD367" s="14" t="str">
        <f t="shared" si="106"/>
        <v/>
      </c>
      <c r="BE367" s="14" t="str">
        <f t="shared" si="107"/>
        <v/>
      </c>
    </row>
    <row r="368" spans="39:57" ht="16.5" x14ac:dyDescent="0.2">
      <c r="AM368" s="13">
        <v>363</v>
      </c>
      <c r="AN368" s="14">
        <f t="shared" si="108"/>
        <v>22</v>
      </c>
      <c r="AO368" s="29">
        <f t="shared" si="92"/>
        <v>0.66</v>
      </c>
      <c r="AP368" s="14">
        <f t="shared" si="93"/>
        <v>2</v>
      </c>
      <c r="AQ368" s="14">
        <f t="shared" si="94"/>
        <v>3</v>
      </c>
      <c r="AR368" s="14">
        <f t="shared" si="95"/>
        <v>0</v>
      </c>
      <c r="AS368" s="14">
        <f t="shared" si="96"/>
        <v>1606024</v>
      </c>
      <c r="AT368" s="14" t="str">
        <f t="shared" si="97"/>
        <v>神器-5-碎片-2-9级</v>
      </c>
      <c r="AU368" s="13" t="s">
        <v>1195</v>
      </c>
      <c r="AV368" s="13">
        <f t="shared" si="98"/>
        <v>9</v>
      </c>
      <c r="AW368" s="14">
        <f t="shared" si="99"/>
        <v>4612</v>
      </c>
      <c r="AX368" s="14" t="str">
        <f t="shared" si="100"/>
        <v>DefExt</v>
      </c>
      <c r="AY368" s="14">
        <f t="shared" si="101"/>
        <v>439</v>
      </c>
      <c r="AZ368" s="14" t="str">
        <f t="shared" si="102"/>
        <v>HPExt</v>
      </c>
      <c r="BA368" s="14">
        <f t="shared" si="103"/>
        <v>222</v>
      </c>
      <c r="BB368" s="14" t="str">
        <f t="shared" si="104"/>
        <v/>
      </c>
      <c r="BC368" s="14" t="str">
        <f t="shared" si="105"/>
        <v/>
      </c>
      <c r="BD368" s="14" t="str">
        <f t="shared" si="106"/>
        <v/>
      </c>
      <c r="BE368" s="14" t="str">
        <f t="shared" si="107"/>
        <v/>
      </c>
    </row>
    <row r="369" spans="39:57" ht="16.5" x14ac:dyDescent="0.2">
      <c r="AM369" s="13">
        <v>364</v>
      </c>
      <c r="AN369" s="14">
        <f t="shared" si="108"/>
        <v>22</v>
      </c>
      <c r="AO369" s="29">
        <f t="shared" si="92"/>
        <v>0.748</v>
      </c>
      <c r="AP369" s="14">
        <f t="shared" si="93"/>
        <v>2</v>
      </c>
      <c r="AQ369" s="14">
        <f t="shared" si="94"/>
        <v>3</v>
      </c>
      <c r="AR369" s="14">
        <f t="shared" si="95"/>
        <v>0</v>
      </c>
      <c r="AS369" s="14">
        <f t="shared" si="96"/>
        <v>1606024</v>
      </c>
      <c r="AT369" s="14" t="str">
        <f t="shared" si="97"/>
        <v>神器-5-碎片-2-10级</v>
      </c>
      <c r="AU369" s="13" t="s">
        <v>1195</v>
      </c>
      <c r="AV369" s="13">
        <f t="shared" si="98"/>
        <v>10</v>
      </c>
      <c r="AW369" s="14">
        <f t="shared" si="99"/>
        <v>5232</v>
      </c>
      <c r="AX369" s="14" t="str">
        <f t="shared" si="100"/>
        <v>DefExt</v>
      </c>
      <c r="AY369" s="14">
        <f t="shared" si="101"/>
        <v>498</v>
      </c>
      <c r="AZ369" s="14" t="str">
        <f t="shared" si="102"/>
        <v>HPExt</v>
      </c>
      <c r="BA369" s="14">
        <f t="shared" si="103"/>
        <v>252</v>
      </c>
      <c r="BB369" s="14" t="str">
        <f t="shared" si="104"/>
        <v/>
      </c>
      <c r="BC369" s="14" t="str">
        <f t="shared" si="105"/>
        <v/>
      </c>
      <c r="BD369" s="14" t="str">
        <f t="shared" si="106"/>
        <v/>
      </c>
      <c r="BE369" s="14" t="str">
        <f t="shared" si="107"/>
        <v/>
      </c>
    </row>
    <row r="370" spans="39:57" ht="16.5" x14ac:dyDescent="0.2">
      <c r="AM370" s="13">
        <v>365</v>
      </c>
      <c r="AN370" s="14">
        <f t="shared" si="108"/>
        <v>22</v>
      </c>
      <c r="AO370" s="29">
        <f t="shared" si="92"/>
        <v>0.84000000000000008</v>
      </c>
      <c r="AP370" s="14">
        <f t="shared" si="93"/>
        <v>2</v>
      </c>
      <c r="AQ370" s="14">
        <f t="shared" si="94"/>
        <v>3</v>
      </c>
      <c r="AR370" s="14">
        <f t="shared" si="95"/>
        <v>0</v>
      </c>
      <c r="AS370" s="14">
        <f t="shared" si="96"/>
        <v>1606024</v>
      </c>
      <c r="AT370" s="14" t="str">
        <f t="shared" si="97"/>
        <v>神器-5-碎片-2-11级</v>
      </c>
      <c r="AU370" s="13" t="s">
        <v>1195</v>
      </c>
      <c r="AV370" s="13">
        <f t="shared" si="98"/>
        <v>11</v>
      </c>
      <c r="AW370" s="14">
        <f t="shared" si="99"/>
        <v>5873</v>
      </c>
      <c r="AX370" s="14" t="str">
        <f t="shared" si="100"/>
        <v>DefExt</v>
      </c>
      <c r="AY370" s="14">
        <f t="shared" si="101"/>
        <v>559</v>
      </c>
      <c r="AZ370" s="14" t="str">
        <f t="shared" si="102"/>
        <v>HPExt</v>
      </c>
      <c r="BA370" s="14">
        <f t="shared" si="103"/>
        <v>283</v>
      </c>
      <c r="BB370" s="14" t="str">
        <f t="shared" si="104"/>
        <v/>
      </c>
      <c r="BC370" s="14" t="str">
        <f t="shared" si="105"/>
        <v/>
      </c>
      <c r="BD370" s="14" t="str">
        <f t="shared" si="106"/>
        <v/>
      </c>
      <c r="BE370" s="14" t="str">
        <f t="shared" si="107"/>
        <v/>
      </c>
    </row>
    <row r="371" spans="39:57" ht="16.5" x14ac:dyDescent="0.2">
      <c r="AM371" s="13">
        <v>366</v>
      </c>
      <c r="AN371" s="14">
        <f t="shared" si="108"/>
        <v>22</v>
      </c>
      <c r="AO371" s="29">
        <f t="shared" si="92"/>
        <v>0.93600000000000017</v>
      </c>
      <c r="AP371" s="14">
        <f t="shared" si="93"/>
        <v>2</v>
      </c>
      <c r="AQ371" s="14">
        <f t="shared" si="94"/>
        <v>3</v>
      </c>
      <c r="AR371" s="14">
        <f t="shared" si="95"/>
        <v>0</v>
      </c>
      <c r="AS371" s="14">
        <f t="shared" si="96"/>
        <v>1606024</v>
      </c>
      <c r="AT371" s="14" t="str">
        <f t="shared" si="97"/>
        <v>神器-5-碎片-2-12级</v>
      </c>
      <c r="AU371" s="13" t="s">
        <v>1195</v>
      </c>
      <c r="AV371" s="13">
        <f t="shared" si="98"/>
        <v>12</v>
      </c>
      <c r="AW371" s="14">
        <f t="shared" si="99"/>
        <v>6545</v>
      </c>
      <c r="AX371" s="14" t="str">
        <f t="shared" si="100"/>
        <v>DefExt</v>
      </c>
      <c r="AY371" s="14">
        <f t="shared" si="101"/>
        <v>623</v>
      </c>
      <c r="AZ371" s="14" t="str">
        <f t="shared" si="102"/>
        <v>HPExt</v>
      </c>
      <c r="BA371" s="14">
        <f t="shared" si="103"/>
        <v>315</v>
      </c>
      <c r="BB371" s="14" t="str">
        <f t="shared" si="104"/>
        <v/>
      </c>
      <c r="BC371" s="14" t="str">
        <f t="shared" si="105"/>
        <v/>
      </c>
      <c r="BD371" s="14" t="str">
        <f t="shared" si="106"/>
        <v/>
      </c>
      <c r="BE371" s="14" t="str">
        <f t="shared" si="107"/>
        <v/>
      </c>
    </row>
    <row r="372" spans="39:57" ht="16.5" x14ac:dyDescent="0.2">
      <c r="AM372" s="13">
        <v>367</v>
      </c>
      <c r="AN372" s="14">
        <f t="shared" si="108"/>
        <v>22</v>
      </c>
      <c r="AO372" s="29">
        <f t="shared" si="92"/>
        <v>1.036</v>
      </c>
      <c r="AP372" s="14">
        <f t="shared" si="93"/>
        <v>2</v>
      </c>
      <c r="AQ372" s="14">
        <f t="shared" si="94"/>
        <v>3</v>
      </c>
      <c r="AR372" s="14">
        <f t="shared" si="95"/>
        <v>0</v>
      </c>
      <c r="AS372" s="14">
        <f t="shared" si="96"/>
        <v>1606024</v>
      </c>
      <c r="AT372" s="14" t="str">
        <f t="shared" si="97"/>
        <v>神器-5-碎片-2-13级</v>
      </c>
      <c r="AU372" s="13" t="s">
        <v>1195</v>
      </c>
      <c r="AV372" s="13">
        <f t="shared" si="98"/>
        <v>13</v>
      </c>
      <c r="AW372" s="14">
        <f t="shared" si="99"/>
        <v>7239</v>
      </c>
      <c r="AX372" s="14" t="str">
        <f t="shared" si="100"/>
        <v>DefExt</v>
      </c>
      <c r="AY372" s="14">
        <f t="shared" si="101"/>
        <v>689</v>
      </c>
      <c r="AZ372" s="14" t="str">
        <f t="shared" si="102"/>
        <v>HPExt</v>
      </c>
      <c r="BA372" s="14">
        <f t="shared" si="103"/>
        <v>349</v>
      </c>
      <c r="BB372" s="14" t="str">
        <f t="shared" si="104"/>
        <v/>
      </c>
      <c r="BC372" s="14" t="str">
        <f t="shared" si="105"/>
        <v/>
      </c>
      <c r="BD372" s="14" t="str">
        <f t="shared" si="106"/>
        <v/>
      </c>
      <c r="BE372" s="14" t="str">
        <f t="shared" si="107"/>
        <v/>
      </c>
    </row>
    <row r="373" spans="39:57" ht="16.5" x14ac:dyDescent="0.2">
      <c r="AM373" s="13">
        <v>368</v>
      </c>
      <c r="AN373" s="14">
        <f t="shared" si="108"/>
        <v>22</v>
      </c>
      <c r="AO373" s="29">
        <f t="shared" si="92"/>
        <v>1.1400000000000001</v>
      </c>
      <c r="AP373" s="14">
        <f t="shared" si="93"/>
        <v>2</v>
      </c>
      <c r="AQ373" s="14">
        <f t="shared" si="94"/>
        <v>3</v>
      </c>
      <c r="AR373" s="14">
        <f t="shared" si="95"/>
        <v>0</v>
      </c>
      <c r="AS373" s="14">
        <f t="shared" si="96"/>
        <v>1606024</v>
      </c>
      <c r="AT373" s="14" t="str">
        <f t="shared" si="97"/>
        <v>神器-5-碎片-2-14级</v>
      </c>
      <c r="AU373" s="13" t="s">
        <v>1195</v>
      </c>
      <c r="AV373" s="13">
        <f t="shared" si="98"/>
        <v>14</v>
      </c>
      <c r="AW373" s="14">
        <f t="shared" si="99"/>
        <v>7964</v>
      </c>
      <c r="AX373" s="14" t="str">
        <f t="shared" si="100"/>
        <v>DefExt</v>
      </c>
      <c r="AY373" s="14">
        <f t="shared" si="101"/>
        <v>758</v>
      </c>
      <c r="AZ373" s="14" t="str">
        <f t="shared" si="102"/>
        <v>HPExt</v>
      </c>
      <c r="BA373" s="14">
        <f t="shared" si="103"/>
        <v>384</v>
      </c>
      <c r="BB373" s="14" t="str">
        <f t="shared" si="104"/>
        <v/>
      </c>
      <c r="BC373" s="14" t="str">
        <f t="shared" si="105"/>
        <v/>
      </c>
      <c r="BD373" s="14" t="str">
        <f t="shared" si="106"/>
        <v/>
      </c>
      <c r="BE373" s="14" t="str">
        <f t="shared" si="107"/>
        <v/>
      </c>
    </row>
    <row r="374" spans="39:57" ht="16.5" x14ac:dyDescent="0.2">
      <c r="AM374" s="13">
        <v>369</v>
      </c>
      <c r="AN374" s="14">
        <f t="shared" si="108"/>
        <v>22</v>
      </c>
      <c r="AO374" s="29">
        <f t="shared" si="92"/>
        <v>1.248</v>
      </c>
      <c r="AP374" s="14">
        <f t="shared" si="93"/>
        <v>2</v>
      </c>
      <c r="AQ374" s="14">
        <f t="shared" si="94"/>
        <v>3</v>
      </c>
      <c r="AR374" s="14">
        <f t="shared" si="95"/>
        <v>0</v>
      </c>
      <c r="AS374" s="14">
        <f t="shared" si="96"/>
        <v>1606024</v>
      </c>
      <c r="AT374" s="14" t="str">
        <f t="shared" si="97"/>
        <v>神器-5-碎片-2-15级</v>
      </c>
      <c r="AU374" s="13" t="s">
        <v>1195</v>
      </c>
      <c r="AV374" s="13">
        <f t="shared" si="98"/>
        <v>15</v>
      </c>
      <c r="AW374" s="14">
        <f t="shared" si="99"/>
        <v>8720</v>
      </c>
      <c r="AX374" s="14" t="str">
        <f t="shared" si="100"/>
        <v>DefExt</v>
      </c>
      <c r="AY374" s="14">
        <f t="shared" si="101"/>
        <v>830</v>
      </c>
      <c r="AZ374" s="14" t="str">
        <f t="shared" si="102"/>
        <v>HPExt</v>
      </c>
      <c r="BA374" s="14">
        <f t="shared" si="103"/>
        <v>420</v>
      </c>
      <c r="BB374" s="14" t="str">
        <f t="shared" si="104"/>
        <v/>
      </c>
      <c r="BC374" s="14" t="str">
        <f t="shared" si="105"/>
        <v/>
      </c>
      <c r="BD374" s="14" t="str">
        <f t="shared" si="106"/>
        <v/>
      </c>
      <c r="BE374" s="14" t="str">
        <f t="shared" si="107"/>
        <v/>
      </c>
    </row>
    <row r="375" spans="39:57" ht="16.5" x14ac:dyDescent="0.2">
      <c r="AM375" s="13">
        <v>370</v>
      </c>
      <c r="AN375" s="14">
        <f t="shared" si="108"/>
        <v>22</v>
      </c>
      <c r="AO375" s="29">
        <f t="shared" si="92"/>
        <v>1.36</v>
      </c>
      <c r="AP375" s="14">
        <f t="shared" si="93"/>
        <v>2</v>
      </c>
      <c r="AQ375" s="14">
        <f t="shared" si="94"/>
        <v>3</v>
      </c>
      <c r="AR375" s="14">
        <f t="shared" si="95"/>
        <v>0</v>
      </c>
      <c r="AS375" s="14">
        <f t="shared" si="96"/>
        <v>1606024</v>
      </c>
      <c r="AT375" s="14" t="str">
        <f t="shared" si="97"/>
        <v>神器-5-碎片-2-16级</v>
      </c>
      <c r="AU375" s="13" t="s">
        <v>1195</v>
      </c>
      <c r="AV375" s="13">
        <f t="shared" si="98"/>
        <v>16</v>
      </c>
      <c r="AW375" s="14">
        <f t="shared" si="99"/>
        <v>9508</v>
      </c>
      <c r="AX375" s="14" t="str">
        <f t="shared" si="100"/>
        <v>DefExt</v>
      </c>
      <c r="AY375" s="14">
        <f t="shared" si="101"/>
        <v>905</v>
      </c>
      <c r="AZ375" s="14" t="str">
        <f t="shared" si="102"/>
        <v>HPExt</v>
      </c>
      <c r="BA375" s="14">
        <f t="shared" si="103"/>
        <v>458</v>
      </c>
      <c r="BB375" s="14" t="str">
        <f t="shared" si="104"/>
        <v/>
      </c>
      <c r="BC375" s="14" t="str">
        <f t="shared" si="105"/>
        <v/>
      </c>
      <c r="BD375" s="14" t="str">
        <f t="shared" si="106"/>
        <v/>
      </c>
      <c r="BE375" s="14" t="str">
        <f t="shared" si="107"/>
        <v/>
      </c>
    </row>
    <row r="376" spans="39:57" ht="16.5" x14ac:dyDescent="0.2">
      <c r="AM376" s="13">
        <v>371</v>
      </c>
      <c r="AN376" s="14">
        <f t="shared" si="108"/>
        <v>22</v>
      </c>
      <c r="AO376" s="29">
        <f t="shared" si="92"/>
        <v>1.476</v>
      </c>
      <c r="AP376" s="14">
        <f t="shared" si="93"/>
        <v>2</v>
      </c>
      <c r="AQ376" s="14">
        <f t="shared" si="94"/>
        <v>3</v>
      </c>
      <c r="AR376" s="14">
        <f t="shared" si="95"/>
        <v>0</v>
      </c>
      <c r="AS376" s="14">
        <f t="shared" si="96"/>
        <v>1606024</v>
      </c>
      <c r="AT376" s="14" t="str">
        <f t="shared" si="97"/>
        <v>神器-5-碎片-2-17级</v>
      </c>
      <c r="AU376" s="13" t="s">
        <v>1195</v>
      </c>
      <c r="AV376" s="13">
        <f t="shared" si="98"/>
        <v>17</v>
      </c>
      <c r="AW376" s="14">
        <f t="shared" si="99"/>
        <v>10317</v>
      </c>
      <c r="AX376" s="14" t="str">
        <f t="shared" si="100"/>
        <v>DefExt</v>
      </c>
      <c r="AY376" s="14">
        <f t="shared" si="101"/>
        <v>982</v>
      </c>
      <c r="AZ376" s="14" t="str">
        <f t="shared" si="102"/>
        <v>HPExt</v>
      </c>
      <c r="BA376" s="14">
        <f t="shared" si="103"/>
        <v>497</v>
      </c>
      <c r="BB376" s="14" t="str">
        <f t="shared" si="104"/>
        <v/>
      </c>
      <c r="BC376" s="14" t="str">
        <f t="shared" si="105"/>
        <v/>
      </c>
      <c r="BD376" s="14" t="str">
        <f t="shared" si="106"/>
        <v/>
      </c>
      <c r="BE376" s="14" t="str">
        <f t="shared" si="107"/>
        <v/>
      </c>
    </row>
    <row r="377" spans="39:57" ht="16.5" x14ac:dyDescent="0.2">
      <c r="AM377" s="13">
        <v>372</v>
      </c>
      <c r="AN377" s="14">
        <f t="shared" si="108"/>
        <v>22</v>
      </c>
      <c r="AO377" s="29">
        <f t="shared" si="92"/>
        <v>1.5960000000000001</v>
      </c>
      <c r="AP377" s="14">
        <f t="shared" si="93"/>
        <v>2</v>
      </c>
      <c r="AQ377" s="14">
        <f t="shared" si="94"/>
        <v>3</v>
      </c>
      <c r="AR377" s="14">
        <f t="shared" si="95"/>
        <v>0</v>
      </c>
      <c r="AS377" s="14">
        <f t="shared" si="96"/>
        <v>1606024</v>
      </c>
      <c r="AT377" s="14" t="str">
        <f t="shared" si="97"/>
        <v>神器-5-碎片-2-18级</v>
      </c>
      <c r="AU377" s="13" t="s">
        <v>1195</v>
      </c>
      <c r="AV377" s="13">
        <f t="shared" si="98"/>
        <v>18</v>
      </c>
      <c r="AW377" s="14">
        <f t="shared" si="99"/>
        <v>11158</v>
      </c>
      <c r="AX377" s="14" t="str">
        <f t="shared" si="100"/>
        <v>DefExt</v>
      </c>
      <c r="AY377" s="14">
        <f t="shared" si="101"/>
        <v>1062</v>
      </c>
      <c r="AZ377" s="14" t="str">
        <f t="shared" si="102"/>
        <v>HPExt</v>
      </c>
      <c r="BA377" s="14">
        <f t="shared" si="103"/>
        <v>538</v>
      </c>
      <c r="BB377" s="14" t="str">
        <f t="shared" si="104"/>
        <v/>
      </c>
      <c r="BC377" s="14" t="str">
        <f t="shared" si="105"/>
        <v/>
      </c>
      <c r="BD377" s="14" t="str">
        <f t="shared" si="106"/>
        <v/>
      </c>
      <c r="BE377" s="14" t="str">
        <f t="shared" si="107"/>
        <v/>
      </c>
    </row>
    <row r="378" spans="39:57" ht="16.5" x14ac:dyDescent="0.2">
      <c r="AM378" s="13">
        <v>373</v>
      </c>
      <c r="AN378" s="14">
        <f t="shared" si="108"/>
        <v>23</v>
      </c>
      <c r="AO378" s="29">
        <f t="shared" si="92"/>
        <v>0.1</v>
      </c>
      <c r="AP378" s="14">
        <f t="shared" si="93"/>
        <v>1</v>
      </c>
      <c r="AQ378" s="14">
        <f t="shared" si="94"/>
        <v>2</v>
      </c>
      <c r="AR378" s="14">
        <f t="shared" si="95"/>
        <v>0</v>
      </c>
      <c r="AS378" s="14">
        <f t="shared" si="96"/>
        <v>1606025</v>
      </c>
      <c r="AT378" s="14" t="str">
        <f t="shared" si="97"/>
        <v>神器-5-碎片-3-1级</v>
      </c>
      <c r="AU378" s="13" t="s">
        <v>1195</v>
      </c>
      <c r="AV378" s="13">
        <f t="shared" si="98"/>
        <v>1</v>
      </c>
      <c r="AW378" s="14">
        <f t="shared" si="99"/>
        <v>1245</v>
      </c>
      <c r="AX378" s="14" t="str">
        <f t="shared" si="100"/>
        <v>AtkExt</v>
      </c>
      <c r="AY378" s="14">
        <f t="shared" si="101"/>
        <v>49</v>
      </c>
      <c r="AZ378" s="14" t="str">
        <f t="shared" si="102"/>
        <v>DefExt</v>
      </c>
      <c r="BA378" s="14">
        <f t="shared" si="103"/>
        <v>100</v>
      </c>
      <c r="BB378" s="14" t="str">
        <f t="shared" si="104"/>
        <v/>
      </c>
      <c r="BC378" s="14" t="str">
        <f t="shared" si="105"/>
        <v/>
      </c>
      <c r="BD378" s="14" t="str">
        <f t="shared" si="106"/>
        <v/>
      </c>
      <c r="BE378" s="14" t="str">
        <f t="shared" si="107"/>
        <v/>
      </c>
    </row>
    <row r="379" spans="39:57" ht="16.5" x14ac:dyDescent="0.2">
      <c r="AM379" s="13">
        <v>374</v>
      </c>
      <c r="AN379" s="14">
        <f t="shared" si="108"/>
        <v>23</v>
      </c>
      <c r="AO379" s="29">
        <f t="shared" si="92"/>
        <v>0.15600000000000003</v>
      </c>
      <c r="AP379" s="14">
        <f t="shared" si="93"/>
        <v>1</v>
      </c>
      <c r="AQ379" s="14">
        <f t="shared" si="94"/>
        <v>2</v>
      </c>
      <c r="AR379" s="14">
        <f t="shared" si="95"/>
        <v>0</v>
      </c>
      <c r="AS379" s="14">
        <f t="shared" si="96"/>
        <v>1606025</v>
      </c>
      <c r="AT379" s="14" t="str">
        <f t="shared" si="97"/>
        <v>神器-5-碎片-3-2级</v>
      </c>
      <c r="AU379" s="13" t="s">
        <v>1195</v>
      </c>
      <c r="AV379" s="13">
        <f t="shared" si="98"/>
        <v>2</v>
      </c>
      <c r="AW379" s="14">
        <f t="shared" si="99"/>
        <v>1940</v>
      </c>
      <c r="AX379" s="14" t="str">
        <f t="shared" si="100"/>
        <v>AtkExt</v>
      </c>
      <c r="AY379" s="14">
        <f t="shared" si="101"/>
        <v>76</v>
      </c>
      <c r="AZ379" s="14" t="str">
        <f t="shared" si="102"/>
        <v>DefExt</v>
      </c>
      <c r="BA379" s="14">
        <f t="shared" si="103"/>
        <v>156</v>
      </c>
      <c r="BB379" s="14" t="str">
        <f t="shared" si="104"/>
        <v/>
      </c>
      <c r="BC379" s="14" t="str">
        <f t="shared" si="105"/>
        <v/>
      </c>
      <c r="BD379" s="14" t="str">
        <f t="shared" si="106"/>
        <v/>
      </c>
      <c r="BE379" s="14" t="str">
        <f t="shared" si="107"/>
        <v/>
      </c>
    </row>
    <row r="380" spans="39:57" ht="16.5" x14ac:dyDescent="0.2">
      <c r="AM380" s="13">
        <v>375</v>
      </c>
      <c r="AN380" s="14">
        <f t="shared" si="108"/>
        <v>23</v>
      </c>
      <c r="AO380" s="29">
        <f t="shared" si="92"/>
        <v>0.21600000000000003</v>
      </c>
      <c r="AP380" s="14">
        <f t="shared" si="93"/>
        <v>1</v>
      </c>
      <c r="AQ380" s="14">
        <f t="shared" si="94"/>
        <v>2</v>
      </c>
      <c r="AR380" s="14">
        <f t="shared" si="95"/>
        <v>0</v>
      </c>
      <c r="AS380" s="14">
        <f t="shared" si="96"/>
        <v>1606025</v>
      </c>
      <c r="AT380" s="14" t="str">
        <f t="shared" si="97"/>
        <v>神器-5-碎片-3-3级</v>
      </c>
      <c r="AU380" s="13" t="s">
        <v>1195</v>
      </c>
      <c r="AV380" s="13">
        <f t="shared" si="98"/>
        <v>3</v>
      </c>
      <c r="AW380" s="14">
        <f t="shared" si="99"/>
        <v>2685</v>
      </c>
      <c r="AX380" s="14" t="str">
        <f t="shared" si="100"/>
        <v>AtkExt</v>
      </c>
      <c r="AY380" s="14">
        <f t="shared" si="101"/>
        <v>105</v>
      </c>
      <c r="AZ380" s="14" t="str">
        <f t="shared" si="102"/>
        <v>DefExt</v>
      </c>
      <c r="BA380" s="14">
        <f t="shared" si="103"/>
        <v>216</v>
      </c>
      <c r="BB380" s="14" t="str">
        <f t="shared" si="104"/>
        <v/>
      </c>
      <c r="BC380" s="14" t="str">
        <f t="shared" si="105"/>
        <v/>
      </c>
      <c r="BD380" s="14" t="str">
        <f t="shared" si="106"/>
        <v/>
      </c>
      <c r="BE380" s="14" t="str">
        <f t="shared" si="107"/>
        <v/>
      </c>
    </row>
    <row r="381" spans="39:57" ht="16.5" x14ac:dyDescent="0.2">
      <c r="AM381" s="13">
        <v>376</v>
      </c>
      <c r="AN381" s="14">
        <f t="shared" si="108"/>
        <v>23</v>
      </c>
      <c r="AO381" s="29">
        <f t="shared" si="92"/>
        <v>0.28000000000000003</v>
      </c>
      <c r="AP381" s="14">
        <f t="shared" si="93"/>
        <v>1</v>
      </c>
      <c r="AQ381" s="14">
        <f t="shared" si="94"/>
        <v>2</v>
      </c>
      <c r="AR381" s="14">
        <f t="shared" si="95"/>
        <v>0</v>
      </c>
      <c r="AS381" s="14">
        <f t="shared" si="96"/>
        <v>1606025</v>
      </c>
      <c r="AT381" s="14" t="str">
        <f t="shared" si="97"/>
        <v>神器-5-碎片-3-4级</v>
      </c>
      <c r="AU381" s="13" t="s">
        <v>1195</v>
      </c>
      <c r="AV381" s="13">
        <f t="shared" si="98"/>
        <v>4</v>
      </c>
      <c r="AW381" s="14">
        <f t="shared" si="99"/>
        <v>3470</v>
      </c>
      <c r="AX381" s="14" t="str">
        <f t="shared" si="100"/>
        <v>AtkExt</v>
      </c>
      <c r="AY381" s="14">
        <f t="shared" si="101"/>
        <v>136</v>
      </c>
      <c r="AZ381" s="14" t="str">
        <f t="shared" si="102"/>
        <v>DefExt</v>
      </c>
      <c r="BA381" s="14">
        <f t="shared" si="103"/>
        <v>279</v>
      </c>
      <c r="BB381" s="14" t="str">
        <f t="shared" si="104"/>
        <v/>
      </c>
      <c r="BC381" s="14" t="str">
        <f t="shared" si="105"/>
        <v/>
      </c>
      <c r="BD381" s="14" t="str">
        <f t="shared" si="106"/>
        <v/>
      </c>
      <c r="BE381" s="14" t="str">
        <f t="shared" si="107"/>
        <v/>
      </c>
    </row>
    <row r="382" spans="39:57" ht="16.5" x14ac:dyDescent="0.2">
      <c r="AM382" s="13">
        <v>377</v>
      </c>
      <c r="AN382" s="14">
        <f t="shared" si="108"/>
        <v>23</v>
      </c>
      <c r="AO382" s="29">
        <f t="shared" si="92"/>
        <v>0.34799999999999998</v>
      </c>
      <c r="AP382" s="14">
        <f t="shared" si="93"/>
        <v>1</v>
      </c>
      <c r="AQ382" s="14">
        <f t="shared" si="94"/>
        <v>2</v>
      </c>
      <c r="AR382" s="14">
        <f t="shared" si="95"/>
        <v>0</v>
      </c>
      <c r="AS382" s="14">
        <f t="shared" si="96"/>
        <v>1606025</v>
      </c>
      <c r="AT382" s="14" t="str">
        <f t="shared" si="97"/>
        <v>神器-5-碎片-3-5级</v>
      </c>
      <c r="AU382" s="13" t="s">
        <v>1195</v>
      </c>
      <c r="AV382" s="13">
        <f t="shared" si="98"/>
        <v>5</v>
      </c>
      <c r="AW382" s="14">
        <f t="shared" si="99"/>
        <v>4315</v>
      </c>
      <c r="AX382" s="14" t="str">
        <f t="shared" si="100"/>
        <v>AtkExt</v>
      </c>
      <c r="AY382" s="14">
        <f t="shared" si="101"/>
        <v>169</v>
      </c>
      <c r="AZ382" s="14" t="str">
        <f t="shared" si="102"/>
        <v>DefExt</v>
      </c>
      <c r="BA382" s="14">
        <f t="shared" si="103"/>
        <v>347</v>
      </c>
      <c r="BB382" s="14" t="str">
        <f t="shared" si="104"/>
        <v/>
      </c>
      <c r="BC382" s="14" t="str">
        <f t="shared" si="105"/>
        <v/>
      </c>
      <c r="BD382" s="14" t="str">
        <f t="shared" si="106"/>
        <v/>
      </c>
      <c r="BE382" s="14" t="str">
        <f t="shared" si="107"/>
        <v/>
      </c>
    </row>
    <row r="383" spans="39:57" ht="16.5" x14ac:dyDescent="0.2">
      <c r="AM383" s="13">
        <v>378</v>
      </c>
      <c r="AN383" s="14">
        <f t="shared" si="108"/>
        <v>23</v>
      </c>
      <c r="AO383" s="29">
        <f t="shared" si="92"/>
        <v>0.42000000000000004</v>
      </c>
      <c r="AP383" s="14">
        <f t="shared" si="93"/>
        <v>1</v>
      </c>
      <c r="AQ383" s="14">
        <f t="shared" si="94"/>
        <v>2</v>
      </c>
      <c r="AR383" s="14">
        <f t="shared" si="95"/>
        <v>0</v>
      </c>
      <c r="AS383" s="14">
        <f t="shared" si="96"/>
        <v>1606025</v>
      </c>
      <c r="AT383" s="14" t="str">
        <f t="shared" si="97"/>
        <v>神器-5-碎片-3-6级</v>
      </c>
      <c r="AU383" s="13" t="s">
        <v>1195</v>
      </c>
      <c r="AV383" s="13">
        <f t="shared" si="98"/>
        <v>6</v>
      </c>
      <c r="AW383" s="14">
        <f t="shared" si="99"/>
        <v>5210</v>
      </c>
      <c r="AX383" s="14" t="str">
        <f t="shared" si="100"/>
        <v>AtkExt</v>
      </c>
      <c r="AY383" s="14">
        <f t="shared" si="101"/>
        <v>204</v>
      </c>
      <c r="AZ383" s="14" t="str">
        <f t="shared" si="102"/>
        <v>DefExt</v>
      </c>
      <c r="BA383" s="14">
        <f t="shared" si="103"/>
        <v>419</v>
      </c>
      <c r="BB383" s="14" t="str">
        <f t="shared" si="104"/>
        <v/>
      </c>
      <c r="BC383" s="14" t="str">
        <f t="shared" si="105"/>
        <v/>
      </c>
      <c r="BD383" s="14" t="str">
        <f t="shared" si="106"/>
        <v/>
      </c>
      <c r="BE383" s="14" t="str">
        <f t="shared" si="107"/>
        <v/>
      </c>
    </row>
    <row r="384" spans="39:57" ht="16.5" x14ac:dyDescent="0.2">
      <c r="AM384" s="13">
        <v>379</v>
      </c>
      <c r="AN384" s="14">
        <f t="shared" si="108"/>
        <v>23</v>
      </c>
      <c r="AO384" s="29">
        <f t="shared" si="92"/>
        <v>0.496</v>
      </c>
      <c r="AP384" s="14">
        <f t="shared" si="93"/>
        <v>1</v>
      </c>
      <c r="AQ384" s="14">
        <f t="shared" si="94"/>
        <v>2</v>
      </c>
      <c r="AR384" s="14">
        <f t="shared" si="95"/>
        <v>0</v>
      </c>
      <c r="AS384" s="14">
        <f t="shared" si="96"/>
        <v>1606025</v>
      </c>
      <c r="AT384" s="14" t="str">
        <f t="shared" si="97"/>
        <v>神器-5-碎片-3-7级</v>
      </c>
      <c r="AU384" s="13" t="s">
        <v>1195</v>
      </c>
      <c r="AV384" s="13">
        <f t="shared" si="98"/>
        <v>7</v>
      </c>
      <c r="AW384" s="14">
        <f t="shared" si="99"/>
        <v>6155</v>
      </c>
      <c r="AX384" s="14" t="str">
        <f t="shared" si="100"/>
        <v>AtkExt</v>
      </c>
      <c r="AY384" s="14">
        <f t="shared" si="101"/>
        <v>241</v>
      </c>
      <c r="AZ384" s="14" t="str">
        <f t="shared" si="102"/>
        <v>DefExt</v>
      </c>
      <c r="BA384" s="14">
        <f t="shared" si="103"/>
        <v>495</v>
      </c>
      <c r="BB384" s="14" t="str">
        <f t="shared" si="104"/>
        <v/>
      </c>
      <c r="BC384" s="14" t="str">
        <f t="shared" si="105"/>
        <v/>
      </c>
      <c r="BD384" s="14" t="str">
        <f t="shared" si="106"/>
        <v/>
      </c>
      <c r="BE384" s="14" t="str">
        <f t="shared" si="107"/>
        <v/>
      </c>
    </row>
    <row r="385" spans="39:57" ht="16.5" x14ac:dyDescent="0.2">
      <c r="AM385" s="13">
        <v>380</v>
      </c>
      <c r="AN385" s="14">
        <f t="shared" si="108"/>
        <v>23</v>
      </c>
      <c r="AO385" s="29">
        <f t="shared" si="92"/>
        <v>0.57600000000000007</v>
      </c>
      <c r="AP385" s="14">
        <f t="shared" si="93"/>
        <v>1</v>
      </c>
      <c r="AQ385" s="14">
        <f t="shared" si="94"/>
        <v>2</v>
      </c>
      <c r="AR385" s="14">
        <f t="shared" si="95"/>
        <v>0</v>
      </c>
      <c r="AS385" s="14">
        <f t="shared" si="96"/>
        <v>1606025</v>
      </c>
      <c r="AT385" s="14" t="str">
        <f t="shared" si="97"/>
        <v>神器-5-碎片-3-8级</v>
      </c>
      <c r="AU385" s="13" t="s">
        <v>1195</v>
      </c>
      <c r="AV385" s="13">
        <f t="shared" si="98"/>
        <v>8</v>
      </c>
      <c r="AW385" s="14">
        <f t="shared" si="99"/>
        <v>7145</v>
      </c>
      <c r="AX385" s="14" t="str">
        <f t="shared" si="100"/>
        <v>AtkExt</v>
      </c>
      <c r="AY385" s="14">
        <f t="shared" si="101"/>
        <v>279</v>
      </c>
      <c r="AZ385" s="14" t="str">
        <f t="shared" si="102"/>
        <v>DefExt</v>
      </c>
      <c r="BA385" s="14">
        <f t="shared" si="103"/>
        <v>575</v>
      </c>
      <c r="BB385" s="14" t="str">
        <f t="shared" si="104"/>
        <v/>
      </c>
      <c r="BC385" s="14" t="str">
        <f t="shared" si="105"/>
        <v/>
      </c>
      <c r="BD385" s="14" t="str">
        <f t="shared" si="106"/>
        <v/>
      </c>
      <c r="BE385" s="14" t="str">
        <f t="shared" si="107"/>
        <v/>
      </c>
    </row>
    <row r="386" spans="39:57" ht="16.5" x14ac:dyDescent="0.2">
      <c r="AM386" s="13">
        <v>381</v>
      </c>
      <c r="AN386" s="14">
        <f t="shared" si="108"/>
        <v>23</v>
      </c>
      <c r="AO386" s="29">
        <f t="shared" si="92"/>
        <v>0.66</v>
      </c>
      <c r="AP386" s="14">
        <f t="shared" si="93"/>
        <v>1</v>
      </c>
      <c r="AQ386" s="14">
        <f t="shared" si="94"/>
        <v>2</v>
      </c>
      <c r="AR386" s="14">
        <f t="shared" si="95"/>
        <v>0</v>
      </c>
      <c r="AS386" s="14">
        <f t="shared" si="96"/>
        <v>1606025</v>
      </c>
      <c r="AT386" s="14" t="str">
        <f t="shared" si="97"/>
        <v>神器-5-碎片-3-9级</v>
      </c>
      <c r="AU386" s="13" t="s">
        <v>1195</v>
      </c>
      <c r="AV386" s="13">
        <f t="shared" si="98"/>
        <v>9</v>
      </c>
      <c r="AW386" s="14">
        <f t="shared" si="99"/>
        <v>8190</v>
      </c>
      <c r="AX386" s="14" t="str">
        <f t="shared" si="100"/>
        <v>AtkExt</v>
      </c>
      <c r="AY386" s="14">
        <f t="shared" si="101"/>
        <v>320</v>
      </c>
      <c r="AZ386" s="14" t="str">
        <f t="shared" si="102"/>
        <v>DefExt</v>
      </c>
      <c r="BA386" s="14">
        <f t="shared" si="103"/>
        <v>659</v>
      </c>
      <c r="BB386" s="14" t="str">
        <f t="shared" si="104"/>
        <v/>
      </c>
      <c r="BC386" s="14" t="str">
        <f t="shared" si="105"/>
        <v/>
      </c>
      <c r="BD386" s="14" t="str">
        <f t="shared" si="106"/>
        <v/>
      </c>
      <c r="BE386" s="14" t="str">
        <f t="shared" si="107"/>
        <v/>
      </c>
    </row>
    <row r="387" spans="39:57" ht="16.5" x14ac:dyDescent="0.2">
      <c r="AM387" s="13">
        <v>382</v>
      </c>
      <c r="AN387" s="14">
        <f t="shared" si="108"/>
        <v>23</v>
      </c>
      <c r="AO387" s="29">
        <f t="shared" si="92"/>
        <v>0.748</v>
      </c>
      <c r="AP387" s="14">
        <f t="shared" si="93"/>
        <v>1</v>
      </c>
      <c r="AQ387" s="14">
        <f t="shared" si="94"/>
        <v>2</v>
      </c>
      <c r="AR387" s="14">
        <f t="shared" si="95"/>
        <v>0</v>
      </c>
      <c r="AS387" s="14">
        <f t="shared" si="96"/>
        <v>1606025</v>
      </c>
      <c r="AT387" s="14" t="str">
        <f t="shared" si="97"/>
        <v>神器-5-碎片-3-10级</v>
      </c>
      <c r="AU387" s="13" t="s">
        <v>1195</v>
      </c>
      <c r="AV387" s="13">
        <f t="shared" si="98"/>
        <v>10</v>
      </c>
      <c r="AW387" s="14">
        <f t="shared" si="99"/>
        <v>9275</v>
      </c>
      <c r="AX387" s="14" t="str">
        <f t="shared" si="100"/>
        <v>AtkExt</v>
      </c>
      <c r="AY387" s="14">
        <f t="shared" si="101"/>
        <v>363</v>
      </c>
      <c r="AZ387" s="14" t="str">
        <f t="shared" si="102"/>
        <v>DefExt</v>
      </c>
      <c r="BA387" s="14">
        <f t="shared" si="103"/>
        <v>746</v>
      </c>
      <c r="BB387" s="14" t="str">
        <f t="shared" si="104"/>
        <v/>
      </c>
      <c r="BC387" s="14" t="str">
        <f t="shared" si="105"/>
        <v/>
      </c>
      <c r="BD387" s="14" t="str">
        <f t="shared" si="106"/>
        <v/>
      </c>
      <c r="BE387" s="14" t="str">
        <f t="shared" si="107"/>
        <v/>
      </c>
    </row>
    <row r="388" spans="39:57" ht="16.5" x14ac:dyDescent="0.2">
      <c r="AM388" s="13">
        <v>383</v>
      </c>
      <c r="AN388" s="14">
        <f t="shared" si="108"/>
        <v>23</v>
      </c>
      <c r="AO388" s="29">
        <f t="shared" si="92"/>
        <v>0.84000000000000008</v>
      </c>
      <c r="AP388" s="14">
        <f t="shared" si="93"/>
        <v>1</v>
      </c>
      <c r="AQ388" s="14">
        <f t="shared" si="94"/>
        <v>2</v>
      </c>
      <c r="AR388" s="14">
        <f t="shared" si="95"/>
        <v>0</v>
      </c>
      <c r="AS388" s="14">
        <f t="shared" si="96"/>
        <v>1606025</v>
      </c>
      <c r="AT388" s="14" t="str">
        <f t="shared" si="97"/>
        <v>神器-5-碎片-3-11级</v>
      </c>
      <c r="AU388" s="13" t="s">
        <v>1195</v>
      </c>
      <c r="AV388" s="13">
        <f t="shared" si="98"/>
        <v>11</v>
      </c>
      <c r="AW388" s="14">
        <f t="shared" si="99"/>
        <v>10420</v>
      </c>
      <c r="AX388" s="14" t="str">
        <f t="shared" si="100"/>
        <v>AtkExt</v>
      </c>
      <c r="AY388" s="14">
        <f t="shared" si="101"/>
        <v>408</v>
      </c>
      <c r="AZ388" s="14" t="str">
        <f t="shared" si="102"/>
        <v>DefExt</v>
      </c>
      <c r="BA388" s="14">
        <f t="shared" si="103"/>
        <v>838</v>
      </c>
      <c r="BB388" s="14" t="str">
        <f t="shared" si="104"/>
        <v/>
      </c>
      <c r="BC388" s="14" t="str">
        <f t="shared" si="105"/>
        <v/>
      </c>
      <c r="BD388" s="14" t="str">
        <f t="shared" si="106"/>
        <v/>
      </c>
      <c r="BE388" s="14" t="str">
        <f t="shared" si="107"/>
        <v/>
      </c>
    </row>
    <row r="389" spans="39:57" ht="16.5" x14ac:dyDescent="0.2">
      <c r="AM389" s="13">
        <v>384</v>
      </c>
      <c r="AN389" s="14">
        <f t="shared" si="108"/>
        <v>23</v>
      </c>
      <c r="AO389" s="29">
        <f t="shared" si="92"/>
        <v>0.93600000000000017</v>
      </c>
      <c r="AP389" s="14">
        <f t="shared" si="93"/>
        <v>1</v>
      </c>
      <c r="AQ389" s="14">
        <f t="shared" si="94"/>
        <v>2</v>
      </c>
      <c r="AR389" s="14">
        <f t="shared" si="95"/>
        <v>0</v>
      </c>
      <c r="AS389" s="14">
        <f t="shared" si="96"/>
        <v>1606025</v>
      </c>
      <c r="AT389" s="14" t="str">
        <f t="shared" si="97"/>
        <v>神器-5-碎片-3-12级</v>
      </c>
      <c r="AU389" s="13" t="s">
        <v>1195</v>
      </c>
      <c r="AV389" s="13">
        <f t="shared" si="98"/>
        <v>12</v>
      </c>
      <c r="AW389" s="14">
        <f t="shared" si="99"/>
        <v>11610</v>
      </c>
      <c r="AX389" s="14" t="str">
        <f t="shared" si="100"/>
        <v>AtkExt</v>
      </c>
      <c r="AY389" s="14">
        <f t="shared" si="101"/>
        <v>454</v>
      </c>
      <c r="AZ389" s="14" t="str">
        <f t="shared" si="102"/>
        <v>DefExt</v>
      </c>
      <c r="BA389" s="14">
        <f t="shared" si="103"/>
        <v>934</v>
      </c>
      <c r="BB389" s="14" t="str">
        <f t="shared" si="104"/>
        <v/>
      </c>
      <c r="BC389" s="14" t="str">
        <f t="shared" si="105"/>
        <v/>
      </c>
      <c r="BD389" s="14" t="str">
        <f t="shared" si="106"/>
        <v/>
      </c>
      <c r="BE389" s="14" t="str">
        <f t="shared" si="107"/>
        <v/>
      </c>
    </row>
    <row r="390" spans="39:57" ht="16.5" x14ac:dyDescent="0.2">
      <c r="AM390" s="13">
        <v>385</v>
      </c>
      <c r="AN390" s="14">
        <f t="shared" si="108"/>
        <v>23</v>
      </c>
      <c r="AO390" s="29">
        <f t="shared" ref="AO390:AO453" si="109">4.8%+AV390*5%+AV390*AV390*0.2%</f>
        <v>1.036</v>
      </c>
      <c r="AP390" s="14">
        <f t="shared" ref="AP390:AP453" si="110">INDEX(AD$7:AD$48,$AN390)</f>
        <v>1</v>
      </c>
      <c r="AQ390" s="14">
        <f t="shared" ref="AQ390:AQ453" si="111">INDEX(AE$7:AE$48,$AN390)</f>
        <v>2</v>
      </c>
      <c r="AR390" s="14">
        <f t="shared" ref="AR390:AR453" si="112">INDEX(AF$7:AF$48,$AN390)</f>
        <v>0</v>
      </c>
      <c r="AS390" s="14">
        <f t="shared" ref="AS390:AS453" si="113">INDEX($W$7:$W$48,AN390)</f>
        <v>1606025</v>
      </c>
      <c r="AT390" s="14" t="str">
        <f t="shared" ref="AT390:AT453" si="114">"神器-"&amp;INDEX($S$7:$S$48,AN390)&amp;"-碎片-"&amp;INDEX($T$7:$T$48,AN390)&amp;"-"&amp;AV390&amp;"级"</f>
        <v>神器-5-碎片-3-13级</v>
      </c>
      <c r="AU390" s="13" t="s">
        <v>1195</v>
      </c>
      <c r="AV390" s="13">
        <f t="shared" ref="AV390:AV453" si="115">AM390-INDEX($AI$6:$AI$48,AN390)</f>
        <v>13</v>
      </c>
      <c r="AW390" s="14">
        <f t="shared" ref="AW390:AW453" si="116">AY390*INDEX($AP$2:$AR$2,AP390)+IF(AQ390&gt;0,BA390*INDEX($AP$2:$AR$2,AQ390),0)+IF(AR390&gt;0,BC390*INDEX($AP$2:$AR$2,AR390),0)+IF(BD390="Speed",BE390*100,0)</f>
        <v>12855</v>
      </c>
      <c r="AX390" s="14" t="str">
        <f t="shared" ref="AX390:AX453" si="117">INDEX($AP$3:$AR$3,AP390)</f>
        <v>AtkExt</v>
      </c>
      <c r="AY390" s="14">
        <f t="shared" ref="AY390:AY453" si="118">ROUND(INDEX($X$7:$Z$48,AN390,AP390)*AO390,0)</f>
        <v>503</v>
      </c>
      <c r="AZ390" s="14" t="str">
        <f t="shared" ref="AZ390:AZ453" si="119">IF(AQ390&gt;0,INDEX($AP$3:$AR$3,AQ390),"")</f>
        <v>DefExt</v>
      </c>
      <c r="BA390" s="14">
        <f t="shared" ref="BA390:BA453" si="120">IF(AQ390&gt;0,ROUND(INDEX($X$7:$Z$48,AN390,AQ390)*AO390,0),"")</f>
        <v>1034</v>
      </c>
      <c r="BB390" s="14" t="str">
        <f t="shared" ref="BB390:BB453" si="121">IF(AR390&gt;0,INDEX($AP$3:$AR$3,AR390),"")</f>
        <v/>
      </c>
      <c r="BC390" s="14" t="str">
        <f t="shared" ref="BC390:BC453" si="122">IF(AR390&gt;0,ROUND(INDEX($X$7:$Z$48,AN390,AR390)*AO390,0),"")</f>
        <v/>
      </c>
      <c r="BD390" s="14" t="str">
        <f t="shared" ref="BD390:BD453" si="123">IF(INDEX($AG$7:$AG$48,AN390)&gt;0,"Speed","")</f>
        <v/>
      </c>
      <c r="BE390" s="14" t="str">
        <f t="shared" ref="BE390:BE453" si="124">IF(INDEX($AG$7:$AG$48,AN390)&gt;0,INDEX($AG$7:$AG$48,AN390)*AV390,"")</f>
        <v/>
      </c>
    </row>
    <row r="391" spans="39:57" ht="16.5" x14ac:dyDescent="0.2">
      <c r="AM391" s="13">
        <v>386</v>
      </c>
      <c r="AN391" s="14">
        <f t="shared" ref="AN391:AN454" si="125">MATCH(AM391-1,$AI$6:$AI$48,1)</f>
        <v>23</v>
      </c>
      <c r="AO391" s="29">
        <f t="shared" si="109"/>
        <v>1.1400000000000001</v>
      </c>
      <c r="AP391" s="14">
        <f t="shared" si="110"/>
        <v>1</v>
      </c>
      <c r="AQ391" s="14">
        <f t="shared" si="111"/>
        <v>2</v>
      </c>
      <c r="AR391" s="14">
        <f t="shared" si="112"/>
        <v>0</v>
      </c>
      <c r="AS391" s="14">
        <f t="shared" si="113"/>
        <v>1606025</v>
      </c>
      <c r="AT391" s="14" t="str">
        <f t="shared" si="114"/>
        <v>神器-5-碎片-3-14级</v>
      </c>
      <c r="AU391" s="13" t="s">
        <v>1195</v>
      </c>
      <c r="AV391" s="13">
        <f t="shared" si="115"/>
        <v>14</v>
      </c>
      <c r="AW391" s="14">
        <f t="shared" si="116"/>
        <v>14145</v>
      </c>
      <c r="AX391" s="14" t="str">
        <f t="shared" si="117"/>
        <v>AtkExt</v>
      </c>
      <c r="AY391" s="14">
        <f t="shared" si="118"/>
        <v>553</v>
      </c>
      <c r="AZ391" s="14" t="str">
        <f t="shared" si="119"/>
        <v>DefExt</v>
      </c>
      <c r="BA391" s="14">
        <f t="shared" si="120"/>
        <v>1138</v>
      </c>
      <c r="BB391" s="14" t="str">
        <f t="shared" si="121"/>
        <v/>
      </c>
      <c r="BC391" s="14" t="str">
        <f t="shared" si="122"/>
        <v/>
      </c>
      <c r="BD391" s="14" t="str">
        <f t="shared" si="123"/>
        <v/>
      </c>
      <c r="BE391" s="14" t="str">
        <f t="shared" si="124"/>
        <v/>
      </c>
    </row>
    <row r="392" spans="39:57" ht="16.5" x14ac:dyDescent="0.2">
      <c r="AM392" s="13">
        <v>387</v>
      </c>
      <c r="AN392" s="14">
        <f t="shared" si="125"/>
        <v>23</v>
      </c>
      <c r="AO392" s="29">
        <f t="shared" si="109"/>
        <v>1.248</v>
      </c>
      <c r="AP392" s="14">
        <f t="shared" si="110"/>
        <v>1</v>
      </c>
      <c r="AQ392" s="14">
        <f t="shared" si="111"/>
        <v>2</v>
      </c>
      <c r="AR392" s="14">
        <f t="shared" si="112"/>
        <v>0</v>
      </c>
      <c r="AS392" s="14">
        <f t="shared" si="113"/>
        <v>1606025</v>
      </c>
      <c r="AT392" s="14" t="str">
        <f t="shared" si="114"/>
        <v>神器-5-碎片-3-15级</v>
      </c>
      <c r="AU392" s="13" t="s">
        <v>1195</v>
      </c>
      <c r="AV392" s="13">
        <f t="shared" si="115"/>
        <v>15</v>
      </c>
      <c r="AW392" s="14">
        <f t="shared" si="116"/>
        <v>15480</v>
      </c>
      <c r="AX392" s="14" t="str">
        <f t="shared" si="117"/>
        <v>AtkExt</v>
      </c>
      <c r="AY392" s="14">
        <f t="shared" si="118"/>
        <v>606</v>
      </c>
      <c r="AZ392" s="14" t="str">
        <f t="shared" si="119"/>
        <v>DefExt</v>
      </c>
      <c r="BA392" s="14">
        <f t="shared" si="120"/>
        <v>1245</v>
      </c>
      <c r="BB392" s="14" t="str">
        <f t="shared" si="121"/>
        <v/>
      </c>
      <c r="BC392" s="14" t="str">
        <f t="shared" si="122"/>
        <v/>
      </c>
      <c r="BD392" s="14" t="str">
        <f t="shared" si="123"/>
        <v/>
      </c>
      <c r="BE392" s="14" t="str">
        <f t="shared" si="124"/>
        <v/>
      </c>
    </row>
    <row r="393" spans="39:57" ht="16.5" x14ac:dyDescent="0.2">
      <c r="AM393" s="13">
        <v>388</v>
      </c>
      <c r="AN393" s="14">
        <f t="shared" si="125"/>
        <v>23</v>
      </c>
      <c r="AO393" s="29">
        <f t="shared" si="109"/>
        <v>1.36</v>
      </c>
      <c r="AP393" s="14">
        <f t="shared" si="110"/>
        <v>1</v>
      </c>
      <c r="AQ393" s="14">
        <f t="shared" si="111"/>
        <v>2</v>
      </c>
      <c r="AR393" s="14">
        <f t="shared" si="112"/>
        <v>0</v>
      </c>
      <c r="AS393" s="14">
        <f t="shared" si="113"/>
        <v>1606025</v>
      </c>
      <c r="AT393" s="14" t="str">
        <f t="shared" si="114"/>
        <v>神器-5-碎片-3-16级</v>
      </c>
      <c r="AU393" s="13" t="s">
        <v>1195</v>
      </c>
      <c r="AV393" s="13">
        <f t="shared" si="115"/>
        <v>16</v>
      </c>
      <c r="AW393" s="14">
        <f t="shared" si="116"/>
        <v>16870</v>
      </c>
      <c r="AX393" s="14" t="str">
        <f t="shared" si="117"/>
        <v>AtkExt</v>
      </c>
      <c r="AY393" s="14">
        <f t="shared" si="118"/>
        <v>660</v>
      </c>
      <c r="AZ393" s="14" t="str">
        <f t="shared" si="119"/>
        <v>DefExt</v>
      </c>
      <c r="BA393" s="14">
        <f t="shared" si="120"/>
        <v>1357</v>
      </c>
      <c r="BB393" s="14" t="str">
        <f t="shared" si="121"/>
        <v/>
      </c>
      <c r="BC393" s="14" t="str">
        <f t="shared" si="122"/>
        <v/>
      </c>
      <c r="BD393" s="14" t="str">
        <f t="shared" si="123"/>
        <v/>
      </c>
      <c r="BE393" s="14" t="str">
        <f t="shared" si="124"/>
        <v/>
      </c>
    </row>
    <row r="394" spans="39:57" ht="16.5" x14ac:dyDescent="0.2">
      <c r="AM394" s="13">
        <v>389</v>
      </c>
      <c r="AN394" s="14">
        <f t="shared" si="125"/>
        <v>23</v>
      </c>
      <c r="AO394" s="29">
        <f t="shared" si="109"/>
        <v>1.476</v>
      </c>
      <c r="AP394" s="14">
        <f t="shared" si="110"/>
        <v>1</v>
      </c>
      <c r="AQ394" s="14">
        <f t="shared" si="111"/>
        <v>2</v>
      </c>
      <c r="AR394" s="14">
        <f t="shared" si="112"/>
        <v>0</v>
      </c>
      <c r="AS394" s="14">
        <f t="shared" si="113"/>
        <v>1606025</v>
      </c>
      <c r="AT394" s="14" t="str">
        <f t="shared" si="114"/>
        <v>神器-5-碎片-3-17级</v>
      </c>
      <c r="AU394" s="13" t="s">
        <v>1195</v>
      </c>
      <c r="AV394" s="13">
        <f t="shared" si="115"/>
        <v>17</v>
      </c>
      <c r="AW394" s="14">
        <f t="shared" si="116"/>
        <v>18310</v>
      </c>
      <c r="AX394" s="14" t="str">
        <f t="shared" si="117"/>
        <v>AtkExt</v>
      </c>
      <c r="AY394" s="14">
        <f t="shared" si="118"/>
        <v>716</v>
      </c>
      <c r="AZ394" s="14" t="str">
        <f t="shared" si="119"/>
        <v>DefExt</v>
      </c>
      <c r="BA394" s="14">
        <f t="shared" si="120"/>
        <v>1473</v>
      </c>
      <c r="BB394" s="14" t="str">
        <f t="shared" si="121"/>
        <v/>
      </c>
      <c r="BC394" s="14" t="str">
        <f t="shared" si="122"/>
        <v/>
      </c>
      <c r="BD394" s="14" t="str">
        <f t="shared" si="123"/>
        <v/>
      </c>
      <c r="BE394" s="14" t="str">
        <f t="shared" si="124"/>
        <v/>
      </c>
    </row>
    <row r="395" spans="39:57" ht="16.5" x14ac:dyDescent="0.2">
      <c r="AM395" s="13">
        <v>390</v>
      </c>
      <c r="AN395" s="14">
        <f t="shared" si="125"/>
        <v>23</v>
      </c>
      <c r="AO395" s="29">
        <f t="shared" si="109"/>
        <v>1.5960000000000001</v>
      </c>
      <c r="AP395" s="14">
        <f t="shared" si="110"/>
        <v>1</v>
      </c>
      <c r="AQ395" s="14">
        <f t="shared" si="111"/>
        <v>2</v>
      </c>
      <c r="AR395" s="14">
        <f t="shared" si="112"/>
        <v>0</v>
      </c>
      <c r="AS395" s="14">
        <f t="shared" si="113"/>
        <v>1606025</v>
      </c>
      <c r="AT395" s="14" t="str">
        <f t="shared" si="114"/>
        <v>神器-5-碎片-3-18级</v>
      </c>
      <c r="AU395" s="13" t="s">
        <v>1195</v>
      </c>
      <c r="AV395" s="13">
        <f t="shared" si="115"/>
        <v>18</v>
      </c>
      <c r="AW395" s="14">
        <f t="shared" si="116"/>
        <v>19800</v>
      </c>
      <c r="AX395" s="14" t="str">
        <f t="shared" si="117"/>
        <v>AtkExt</v>
      </c>
      <c r="AY395" s="14">
        <f t="shared" si="118"/>
        <v>774</v>
      </c>
      <c r="AZ395" s="14" t="str">
        <f t="shared" si="119"/>
        <v>DefExt</v>
      </c>
      <c r="BA395" s="14">
        <f t="shared" si="120"/>
        <v>1593</v>
      </c>
      <c r="BB395" s="14" t="str">
        <f t="shared" si="121"/>
        <v/>
      </c>
      <c r="BC395" s="14" t="str">
        <f t="shared" si="122"/>
        <v/>
      </c>
      <c r="BD395" s="14" t="str">
        <f t="shared" si="123"/>
        <v/>
      </c>
      <c r="BE395" s="14" t="str">
        <f t="shared" si="124"/>
        <v/>
      </c>
    </row>
    <row r="396" spans="39:57" ht="16.5" x14ac:dyDescent="0.2">
      <c r="AM396" s="13">
        <v>391</v>
      </c>
      <c r="AN396" s="14">
        <f t="shared" si="125"/>
        <v>24</v>
      </c>
      <c r="AO396" s="29">
        <f t="shared" si="109"/>
        <v>0.1</v>
      </c>
      <c r="AP396" s="14">
        <f t="shared" si="110"/>
        <v>2</v>
      </c>
      <c r="AQ396" s="14">
        <f t="shared" si="111"/>
        <v>3</v>
      </c>
      <c r="AR396" s="14">
        <f t="shared" si="112"/>
        <v>0</v>
      </c>
      <c r="AS396" s="14">
        <f t="shared" si="113"/>
        <v>1606026</v>
      </c>
      <c r="AT396" s="14" t="str">
        <f t="shared" si="114"/>
        <v>神器-5-碎片-4-1级</v>
      </c>
      <c r="AU396" s="13" t="s">
        <v>1195</v>
      </c>
      <c r="AV396" s="13">
        <f t="shared" si="115"/>
        <v>1</v>
      </c>
      <c r="AW396" s="14">
        <f t="shared" si="116"/>
        <v>1051</v>
      </c>
      <c r="AX396" s="14" t="str">
        <f t="shared" si="117"/>
        <v>DefExt</v>
      </c>
      <c r="AY396" s="14">
        <f t="shared" si="118"/>
        <v>100</v>
      </c>
      <c r="AZ396" s="14" t="str">
        <f t="shared" si="119"/>
        <v>HPExt</v>
      </c>
      <c r="BA396" s="14">
        <f t="shared" si="120"/>
        <v>51</v>
      </c>
      <c r="BB396" s="14" t="str">
        <f t="shared" si="121"/>
        <v/>
      </c>
      <c r="BC396" s="14" t="str">
        <f t="shared" si="122"/>
        <v/>
      </c>
      <c r="BD396" s="14" t="str">
        <f t="shared" si="123"/>
        <v/>
      </c>
      <c r="BE396" s="14" t="str">
        <f t="shared" si="124"/>
        <v/>
      </c>
    </row>
    <row r="397" spans="39:57" ht="16.5" x14ac:dyDescent="0.2">
      <c r="AM397" s="13">
        <v>392</v>
      </c>
      <c r="AN397" s="14">
        <f t="shared" si="125"/>
        <v>24</v>
      </c>
      <c r="AO397" s="29">
        <f t="shared" si="109"/>
        <v>0.15600000000000003</v>
      </c>
      <c r="AP397" s="14">
        <f t="shared" si="110"/>
        <v>2</v>
      </c>
      <c r="AQ397" s="14">
        <f t="shared" si="111"/>
        <v>3</v>
      </c>
      <c r="AR397" s="14">
        <f t="shared" si="112"/>
        <v>0</v>
      </c>
      <c r="AS397" s="14">
        <f t="shared" si="113"/>
        <v>1606026</v>
      </c>
      <c r="AT397" s="14" t="str">
        <f t="shared" si="114"/>
        <v>神器-5-碎片-4-2级</v>
      </c>
      <c r="AU397" s="13" t="s">
        <v>1195</v>
      </c>
      <c r="AV397" s="13">
        <f t="shared" si="115"/>
        <v>2</v>
      </c>
      <c r="AW397" s="14">
        <f t="shared" si="116"/>
        <v>1639</v>
      </c>
      <c r="AX397" s="14" t="str">
        <f t="shared" si="117"/>
        <v>DefExt</v>
      </c>
      <c r="AY397" s="14">
        <f t="shared" si="118"/>
        <v>156</v>
      </c>
      <c r="AZ397" s="14" t="str">
        <f t="shared" si="119"/>
        <v>HPExt</v>
      </c>
      <c r="BA397" s="14">
        <f t="shared" si="120"/>
        <v>79</v>
      </c>
      <c r="BB397" s="14" t="str">
        <f t="shared" si="121"/>
        <v/>
      </c>
      <c r="BC397" s="14" t="str">
        <f t="shared" si="122"/>
        <v/>
      </c>
      <c r="BD397" s="14" t="str">
        <f t="shared" si="123"/>
        <v/>
      </c>
      <c r="BE397" s="14" t="str">
        <f t="shared" si="124"/>
        <v/>
      </c>
    </row>
    <row r="398" spans="39:57" ht="16.5" x14ac:dyDescent="0.2">
      <c r="AM398" s="13">
        <v>393</v>
      </c>
      <c r="AN398" s="14">
        <f t="shared" si="125"/>
        <v>24</v>
      </c>
      <c r="AO398" s="29">
        <f t="shared" si="109"/>
        <v>0.21600000000000003</v>
      </c>
      <c r="AP398" s="14">
        <f t="shared" si="110"/>
        <v>2</v>
      </c>
      <c r="AQ398" s="14">
        <f t="shared" si="111"/>
        <v>3</v>
      </c>
      <c r="AR398" s="14">
        <f t="shared" si="112"/>
        <v>0</v>
      </c>
      <c r="AS398" s="14">
        <f t="shared" si="113"/>
        <v>1606026</v>
      </c>
      <c r="AT398" s="14" t="str">
        <f t="shared" si="114"/>
        <v>神器-5-碎片-4-3级</v>
      </c>
      <c r="AU398" s="13" t="s">
        <v>1195</v>
      </c>
      <c r="AV398" s="13">
        <f t="shared" si="115"/>
        <v>3</v>
      </c>
      <c r="AW398" s="14">
        <f t="shared" si="116"/>
        <v>2269</v>
      </c>
      <c r="AX398" s="14" t="str">
        <f t="shared" si="117"/>
        <v>DefExt</v>
      </c>
      <c r="AY398" s="14">
        <f t="shared" si="118"/>
        <v>216</v>
      </c>
      <c r="AZ398" s="14" t="str">
        <f t="shared" si="119"/>
        <v>HPExt</v>
      </c>
      <c r="BA398" s="14">
        <f t="shared" si="120"/>
        <v>109</v>
      </c>
      <c r="BB398" s="14" t="str">
        <f t="shared" si="121"/>
        <v/>
      </c>
      <c r="BC398" s="14" t="str">
        <f t="shared" si="122"/>
        <v/>
      </c>
      <c r="BD398" s="14" t="str">
        <f t="shared" si="123"/>
        <v/>
      </c>
      <c r="BE398" s="14" t="str">
        <f t="shared" si="124"/>
        <v/>
      </c>
    </row>
    <row r="399" spans="39:57" ht="16.5" x14ac:dyDescent="0.2">
      <c r="AM399" s="13">
        <v>394</v>
      </c>
      <c r="AN399" s="14">
        <f t="shared" si="125"/>
        <v>24</v>
      </c>
      <c r="AO399" s="29">
        <f t="shared" si="109"/>
        <v>0.28000000000000003</v>
      </c>
      <c r="AP399" s="14">
        <f t="shared" si="110"/>
        <v>2</v>
      </c>
      <c r="AQ399" s="14">
        <f t="shared" si="111"/>
        <v>3</v>
      </c>
      <c r="AR399" s="14">
        <f t="shared" si="112"/>
        <v>0</v>
      </c>
      <c r="AS399" s="14">
        <f t="shared" si="113"/>
        <v>1606026</v>
      </c>
      <c r="AT399" s="14" t="str">
        <f t="shared" si="114"/>
        <v>神器-5-碎片-4-4级</v>
      </c>
      <c r="AU399" s="13" t="s">
        <v>1195</v>
      </c>
      <c r="AV399" s="13">
        <f t="shared" si="115"/>
        <v>4</v>
      </c>
      <c r="AW399" s="14">
        <f t="shared" si="116"/>
        <v>2931</v>
      </c>
      <c r="AX399" s="14" t="str">
        <f t="shared" si="117"/>
        <v>DefExt</v>
      </c>
      <c r="AY399" s="14">
        <f t="shared" si="118"/>
        <v>279</v>
      </c>
      <c r="AZ399" s="14" t="str">
        <f t="shared" si="119"/>
        <v>HPExt</v>
      </c>
      <c r="BA399" s="14">
        <f t="shared" si="120"/>
        <v>141</v>
      </c>
      <c r="BB399" s="14" t="str">
        <f t="shared" si="121"/>
        <v/>
      </c>
      <c r="BC399" s="14" t="str">
        <f t="shared" si="122"/>
        <v/>
      </c>
      <c r="BD399" s="14" t="str">
        <f t="shared" si="123"/>
        <v/>
      </c>
      <c r="BE399" s="14" t="str">
        <f t="shared" si="124"/>
        <v/>
      </c>
    </row>
    <row r="400" spans="39:57" ht="16.5" x14ac:dyDescent="0.2">
      <c r="AM400" s="13">
        <v>395</v>
      </c>
      <c r="AN400" s="14">
        <f t="shared" si="125"/>
        <v>24</v>
      </c>
      <c r="AO400" s="29">
        <f t="shared" si="109"/>
        <v>0.34799999999999998</v>
      </c>
      <c r="AP400" s="14">
        <f t="shared" si="110"/>
        <v>2</v>
      </c>
      <c r="AQ400" s="14">
        <f t="shared" si="111"/>
        <v>3</v>
      </c>
      <c r="AR400" s="14">
        <f t="shared" si="112"/>
        <v>0</v>
      </c>
      <c r="AS400" s="14">
        <f t="shared" si="113"/>
        <v>1606026</v>
      </c>
      <c r="AT400" s="14" t="str">
        <f t="shared" si="114"/>
        <v>神器-5-碎片-4-5级</v>
      </c>
      <c r="AU400" s="13" t="s">
        <v>1195</v>
      </c>
      <c r="AV400" s="13">
        <f t="shared" si="115"/>
        <v>5</v>
      </c>
      <c r="AW400" s="14">
        <f t="shared" si="116"/>
        <v>3646</v>
      </c>
      <c r="AX400" s="14" t="str">
        <f t="shared" si="117"/>
        <v>DefExt</v>
      </c>
      <c r="AY400" s="14">
        <f t="shared" si="118"/>
        <v>347</v>
      </c>
      <c r="AZ400" s="14" t="str">
        <f t="shared" si="119"/>
        <v>HPExt</v>
      </c>
      <c r="BA400" s="14">
        <f t="shared" si="120"/>
        <v>176</v>
      </c>
      <c r="BB400" s="14" t="str">
        <f t="shared" si="121"/>
        <v/>
      </c>
      <c r="BC400" s="14" t="str">
        <f t="shared" si="122"/>
        <v/>
      </c>
      <c r="BD400" s="14" t="str">
        <f t="shared" si="123"/>
        <v/>
      </c>
      <c r="BE400" s="14" t="str">
        <f t="shared" si="124"/>
        <v/>
      </c>
    </row>
    <row r="401" spans="39:57" ht="16.5" x14ac:dyDescent="0.2">
      <c r="AM401" s="13">
        <v>396</v>
      </c>
      <c r="AN401" s="14">
        <f t="shared" si="125"/>
        <v>24</v>
      </c>
      <c r="AO401" s="29">
        <f t="shared" si="109"/>
        <v>0.42000000000000004</v>
      </c>
      <c r="AP401" s="14">
        <f t="shared" si="110"/>
        <v>2</v>
      </c>
      <c r="AQ401" s="14">
        <f t="shared" si="111"/>
        <v>3</v>
      </c>
      <c r="AR401" s="14">
        <f t="shared" si="112"/>
        <v>0</v>
      </c>
      <c r="AS401" s="14">
        <f t="shared" si="113"/>
        <v>1606026</v>
      </c>
      <c r="AT401" s="14" t="str">
        <f t="shared" si="114"/>
        <v>神器-5-碎片-4-6级</v>
      </c>
      <c r="AU401" s="13" t="s">
        <v>1195</v>
      </c>
      <c r="AV401" s="13">
        <f t="shared" si="115"/>
        <v>6</v>
      </c>
      <c r="AW401" s="14">
        <f t="shared" si="116"/>
        <v>4402</v>
      </c>
      <c r="AX401" s="14" t="str">
        <f t="shared" si="117"/>
        <v>DefExt</v>
      </c>
      <c r="AY401" s="14">
        <f t="shared" si="118"/>
        <v>419</v>
      </c>
      <c r="AZ401" s="14" t="str">
        <f t="shared" si="119"/>
        <v>HPExt</v>
      </c>
      <c r="BA401" s="14">
        <f t="shared" si="120"/>
        <v>212</v>
      </c>
      <c r="BB401" s="14" t="str">
        <f t="shared" si="121"/>
        <v/>
      </c>
      <c r="BC401" s="14" t="str">
        <f t="shared" si="122"/>
        <v/>
      </c>
      <c r="BD401" s="14" t="str">
        <f t="shared" si="123"/>
        <v/>
      </c>
      <c r="BE401" s="14" t="str">
        <f t="shared" si="124"/>
        <v/>
      </c>
    </row>
    <row r="402" spans="39:57" ht="16.5" x14ac:dyDescent="0.2">
      <c r="AM402" s="13">
        <v>397</v>
      </c>
      <c r="AN402" s="14">
        <f t="shared" si="125"/>
        <v>24</v>
      </c>
      <c r="AO402" s="29">
        <f t="shared" si="109"/>
        <v>0.496</v>
      </c>
      <c r="AP402" s="14">
        <f t="shared" si="110"/>
        <v>2</v>
      </c>
      <c r="AQ402" s="14">
        <f t="shared" si="111"/>
        <v>3</v>
      </c>
      <c r="AR402" s="14">
        <f t="shared" si="112"/>
        <v>0</v>
      </c>
      <c r="AS402" s="14">
        <f t="shared" si="113"/>
        <v>1606026</v>
      </c>
      <c r="AT402" s="14" t="str">
        <f t="shared" si="114"/>
        <v>神器-5-碎片-4-7级</v>
      </c>
      <c r="AU402" s="13" t="s">
        <v>1195</v>
      </c>
      <c r="AV402" s="13">
        <f t="shared" si="115"/>
        <v>7</v>
      </c>
      <c r="AW402" s="14">
        <f t="shared" si="116"/>
        <v>5201</v>
      </c>
      <c r="AX402" s="14" t="str">
        <f t="shared" si="117"/>
        <v>DefExt</v>
      </c>
      <c r="AY402" s="14">
        <f t="shared" si="118"/>
        <v>495</v>
      </c>
      <c r="AZ402" s="14" t="str">
        <f t="shared" si="119"/>
        <v>HPExt</v>
      </c>
      <c r="BA402" s="14">
        <f t="shared" si="120"/>
        <v>251</v>
      </c>
      <c r="BB402" s="14" t="str">
        <f t="shared" si="121"/>
        <v/>
      </c>
      <c r="BC402" s="14" t="str">
        <f t="shared" si="122"/>
        <v/>
      </c>
      <c r="BD402" s="14" t="str">
        <f t="shared" si="123"/>
        <v/>
      </c>
      <c r="BE402" s="14" t="str">
        <f t="shared" si="124"/>
        <v/>
      </c>
    </row>
    <row r="403" spans="39:57" ht="16.5" x14ac:dyDescent="0.2">
      <c r="AM403" s="13">
        <v>398</v>
      </c>
      <c r="AN403" s="14">
        <f t="shared" si="125"/>
        <v>24</v>
      </c>
      <c r="AO403" s="29">
        <f t="shared" si="109"/>
        <v>0.57600000000000007</v>
      </c>
      <c r="AP403" s="14">
        <f t="shared" si="110"/>
        <v>2</v>
      </c>
      <c r="AQ403" s="14">
        <f t="shared" si="111"/>
        <v>3</v>
      </c>
      <c r="AR403" s="14">
        <f t="shared" si="112"/>
        <v>0</v>
      </c>
      <c r="AS403" s="14">
        <f t="shared" si="113"/>
        <v>1606026</v>
      </c>
      <c r="AT403" s="14" t="str">
        <f t="shared" si="114"/>
        <v>神器-5-碎片-4-8级</v>
      </c>
      <c r="AU403" s="13" t="s">
        <v>1195</v>
      </c>
      <c r="AV403" s="13">
        <f t="shared" si="115"/>
        <v>8</v>
      </c>
      <c r="AW403" s="14">
        <f t="shared" si="116"/>
        <v>6041</v>
      </c>
      <c r="AX403" s="14" t="str">
        <f t="shared" si="117"/>
        <v>DefExt</v>
      </c>
      <c r="AY403" s="14">
        <f t="shared" si="118"/>
        <v>575</v>
      </c>
      <c r="AZ403" s="14" t="str">
        <f t="shared" si="119"/>
        <v>HPExt</v>
      </c>
      <c r="BA403" s="14">
        <f t="shared" si="120"/>
        <v>291</v>
      </c>
      <c r="BB403" s="14" t="str">
        <f t="shared" si="121"/>
        <v/>
      </c>
      <c r="BC403" s="14" t="str">
        <f t="shared" si="122"/>
        <v/>
      </c>
      <c r="BD403" s="14" t="str">
        <f t="shared" si="123"/>
        <v/>
      </c>
      <c r="BE403" s="14" t="str">
        <f t="shared" si="124"/>
        <v/>
      </c>
    </row>
    <row r="404" spans="39:57" ht="16.5" x14ac:dyDescent="0.2">
      <c r="AM404" s="13">
        <v>399</v>
      </c>
      <c r="AN404" s="14">
        <f t="shared" si="125"/>
        <v>24</v>
      </c>
      <c r="AO404" s="29">
        <f t="shared" si="109"/>
        <v>0.66</v>
      </c>
      <c r="AP404" s="14">
        <f t="shared" si="110"/>
        <v>2</v>
      </c>
      <c r="AQ404" s="14">
        <f t="shared" si="111"/>
        <v>3</v>
      </c>
      <c r="AR404" s="14">
        <f t="shared" si="112"/>
        <v>0</v>
      </c>
      <c r="AS404" s="14">
        <f t="shared" si="113"/>
        <v>1606026</v>
      </c>
      <c r="AT404" s="14" t="str">
        <f t="shared" si="114"/>
        <v>神器-5-碎片-4-9级</v>
      </c>
      <c r="AU404" s="13" t="s">
        <v>1195</v>
      </c>
      <c r="AV404" s="13">
        <f t="shared" si="115"/>
        <v>9</v>
      </c>
      <c r="AW404" s="14">
        <f t="shared" si="116"/>
        <v>6923</v>
      </c>
      <c r="AX404" s="14" t="str">
        <f t="shared" si="117"/>
        <v>DefExt</v>
      </c>
      <c r="AY404" s="14">
        <f t="shared" si="118"/>
        <v>659</v>
      </c>
      <c r="AZ404" s="14" t="str">
        <f t="shared" si="119"/>
        <v>HPExt</v>
      </c>
      <c r="BA404" s="14">
        <f t="shared" si="120"/>
        <v>333</v>
      </c>
      <c r="BB404" s="14" t="str">
        <f t="shared" si="121"/>
        <v/>
      </c>
      <c r="BC404" s="14" t="str">
        <f t="shared" si="122"/>
        <v/>
      </c>
      <c r="BD404" s="14" t="str">
        <f t="shared" si="123"/>
        <v/>
      </c>
      <c r="BE404" s="14" t="str">
        <f t="shared" si="124"/>
        <v/>
      </c>
    </row>
    <row r="405" spans="39:57" ht="16.5" x14ac:dyDescent="0.2">
      <c r="AM405" s="13">
        <v>400</v>
      </c>
      <c r="AN405" s="14">
        <f t="shared" si="125"/>
        <v>24</v>
      </c>
      <c r="AO405" s="29">
        <f t="shared" si="109"/>
        <v>0.748</v>
      </c>
      <c r="AP405" s="14">
        <f t="shared" si="110"/>
        <v>2</v>
      </c>
      <c r="AQ405" s="14">
        <f t="shared" si="111"/>
        <v>3</v>
      </c>
      <c r="AR405" s="14">
        <f t="shared" si="112"/>
        <v>0</v>
      </c>
      <c r="AS405" s="14">
        <f t="shared" si="113"/>
        <v>1606026</v>
      </c>
      <c r="AT405" s="14" t="str">
        <f t="shared" si="114"/>
        <v>神器-5-碎片-4-10级</v>
      </c>
      <c r="AU405" s="13" t="s">
        <v>1195</v>
      </c>
      <c r="AV405" s="13">
        <f t="shared" si="115"/>
        <v>10</v>
      </c>
      <c r="AW405" s="14">
        <f t="shared" si="116"/>
        <v>7838</v>
      </c>
      <c r="AX405" s="14" t="str">
        <f t="shared" si="117"/>
        <v>DefExt</v>
      </c>
      <c r="AY405" s="14">
        <f t="shared" si="118"/>
        <v>746</v>
      </c>
      <c r="AZ405" s="14" t="str">
        <f t="shared" si="119"/>
        <v>HPExt</v>
      </c>
      <c r="BA405" s="14">
        <f t="shared" si="120"/>
        <v>378</v>
      </c>
      <c r="BB405" s="14" t="str">
        <f t="shared" si="121"/>
        <v/>
      </c>
      <c r="BC405" s="14" t="str">
        <f t="shared" si="122"/>
        <v/>
      </c>
      <c r="BD405" s="14" t="str">
        <f t="shared" si="123"/>
        <v/>
      </c>
      <c r="BE405" s="14" t="str">
        <f t="shared" si="124"/>
        <v/>
      </c>
    </row>
    <row r="406" spans="39:57" ht="16.5" x14ac:dyDescent="0.2">
      <c r="AM406" s="13">
        <v>401</v>
      </c>
      <c r="AN406" s="14">
        <f t="shared" si="125"/>
        <v>24</v>
      </c>
      <c r="AO406" s="29">
        <f t="shared" si="109"/>
        <v>0.84000000000000008</v>
      </c>
      <c r="AP406" s="14">
        <f t="shared" si="110"/>
        <v>2</v>
      </c>
      <c r="AQ406" s="14">
        <f t="shared" si="111"/>
        <v>3</v>
      </c>
      <c r="AR406" s="14">
        <f t="shared" si="112"/>
        <v>0</v>
      </c>
      <c r="AS406" s="14">
        <f t="shared" si="113"/>
        <v>1606026</v>
      </c>
      <c r="AT406" s="14" t="str">
        <f t="shared" si="114"/>
        <v>神器-5-碎片-4-11级</v>
      </c>
      <c r="AU406" s="13" t="s">
        <v>1195</v>
      </c>
      <c r="AV406" s="13">
        <f t="shared" si="115"/>
        <v>11</v>
      </c>
      <c r="AW406" s="14">
        <f t="shared" si="116"/>
        <v>8804</v>
      </c>
      <c r="AX406" s="14" t="str">
        <f t="shared" si="117"/>
        <v>DefExt</v>
      </c>
      <c r="AY406" s="14">
        <f t="shared" si="118"/>
        <v>838</v>
      </c>
      <c r="AZ406" s="14" t="str">
        <f t="shared" si="119"/>
        <v>HPExt</v>
      </c>
      <c r="BA406" s="14">
        <f t="shared" si="120"/>
        <v>424</v>
      </c>
      <c r="BB406" s="14" t="str">
        <f t="shared" si="121"/>
        <v/>
      </c>
      <c r="BC406" s="14" t="str">
        <f t="shared" si="122"/>
        <v/>
      </c>
      <c r="BD406" s="14" t="str">
        <f t="shared" si="123"/>
        <v/>
      </c>
      <c r="BE406" s="14" t="str">
        <f t="shared" si="124"/>
        <v/>
      </c>
    </row>
    <row r="407" spans="39:57" ht="16.5" x14ac:dyDescent="0.2">
      <c r="AM407" s="13">
        <v>402</v>
      </c>
      <c r="AN407" s="14">
        <f t="shared" si="125"/>
        <v>24</v>
      </c>
      <c r="AO407" s="29">
        <f t="shared" si="109"/>
        <v>0.93600000000000017</v>
      </c>
      <c r="AP407" s="14">
        <f t="shared" si="110"/>
        <v>2</v>
      </c>
      <c r="AQ407" s="14">
        <f t="shared" si="111"/>
        <v>3</v>
      </c>
      <c r="AR407" s="14">
        <f t="shared" si="112"/>
        <v>0</v>
      </c>
      <c r="AS407" s="14">
        <f t="shared" si="113"/>
        <v>1606026</v>
      </c>
      <c r="AT407" s="14" t="str">
        <f t="shared" si="114"/>
        <v>神器-5-碎片-4-12级</v>
      </c>
      <c r="AU407" s="13" t="s">
        <v>1195</v>
      </c>
      <c r="AV407" s="13">
        <f t="shared" si="115"/>
        <v>12</v>
      </c>
      <c r="AW407" s="14">
        <f t="shared" si="116"/>
        <v>9813</v>
      </c>
      <c r="AX407" s="14" t="str">
        <f t="shared" si="117"/>
        <v>DefExt</v>
      </c>
      <c r="AY407" s="14">
        <f t="shared" si="118"/>
        <v>934</v>
      </c>
      <c r="AZ407" s="14" t="str">
        <f t="shared" si="119"/>
        <v>HPExt</v>
      </c>
      <c r="BA407" s="14">
        <f t="shared" si="120"/>
        <v>473</v>
      </c>
      <c r="BB407" s="14" t="str">
        <f t="shared" si="121"/>
        <v/>
      </c>
      <c r="BC407" s="14" t="str">
        <f t="shared" si="122"/>
        <v/>
      </c>
      <c r="BD407" s="14" t="str">
        <f t="shared" si="123"/>
        <v/>
      </c>
      <c r="BE407" s="14" t="str">
        <f t="shared" si="124"/>
        <v/>
      </c>
    </row>
    <row r="408" spans="39:57" ht="16.5" x14ac:dyDescent="0.2">
      <c r="AM408" s="13">
        <v>403</v>
      </c>
      <c r="AN408" s="14">
        <f t="shared" si="125"/>
        <v>24</v>
      </c>
      <c r="AO408" s="29">
        <f t="shared" si="109"/>
        <v>1.036</v>
      </c>
      <c r="AP408" s="14">
        <f t="shared" si="110"/>
        <v>2</v>
      </c>
      <c r="AQ408" s="14">
        <f t="shared" si="111"/>
        <v>3</v>
      </c>
      <c r="AR408" s="14">
        <f t="shared" si="112"/>
        <v>0</v>
      </c>
      <c r="AS408" s="14">
        <f t="shared" si="113"/>
        <v>1606026</v>
      </c>
      <c r="AT408" s="14" t="str">
        <f t="shared" si="114"/>
        <v>神器-5-碎片-4-13级</v>
      </c>
      <c r="AU408" s="13" t="s">
        <v>1195</v>
      </c>
      <c r="AV408" s="13">
        <f t="shared" si="115"/>
        <v>13</v>
      </c>
      <c r="AW408" s="14">
        <f t="shared" si="116"/>
        <v>10863</v>
      </c>
      <c r="AX408" s="14" t="str">
        <f t="shared" si="117"/>
        <v>DefExt</v>
      </c>
      <c r="AY408" s="14">
        <f t="shared" si="118"/>
        <v>1034</v>
      </c>
      <c r="AZ408" s="14" t="str">
        <f t="shared" si="119"/>
        <v>HPExt</v>
      </c>
      <c r="BA408" s="14">
        <f t="shared" si="120"/>
        <v>523</v>
      </c>
      <c r="BB408" s="14" t="str">
        <f t="shared" si="121"/>
        <v/>
      </c>
      <c r="BC408" s="14" t="str">
        <f t="shared" si="122"/>
        <v/>
      </c>
      <c r="BD408" s="14" t="str">
        <f t="shared" si="123"/>
        <v/>
      </c>
      <c r="BE408" s="14" t="str">
        <f t="shared" si="124"/>
        <v/>
      </c>
    </row>
    <row r="409" spans="39:57" ht="16.5" x14ac:dyDescent="0.2">
      <c r="AM409" s="13">
        <v>404</v>
      </c>
      <c r="AN409" s="14">
        <f t="shared" si="125"/>
        <v>24</v>
      </c>
      <c r="AO409" s="29">
        <f t="shared" si="109"/>
        <v>1.1400000000000001</v>
      </c>
      <c r="AP409" s="14">
        <f t="shared" si="110"/>
        <v>2</v>
      </c>
      <c r="AQ409" s="14">
        <f t="shared" si="111"/>
        <v>3</v>
      </c>
      <c r="AR409" s="14">
        <f t="shared" si="112"/>
        <v>0</v>
      </c>
      <c r="AS409" s="14">
        <f t="shared" si="113"/>
        <v>1606026</v>
      </c>
      <c r="AT409" s="14" t="str">
        <f t="shared" si="114"/>
        <v>神器-5-碎片-4-14级</v>
      </c>
      <c r="AU409" s="13" t="s">
        <v>1195</v>
      </c>
      <c r="AV409" s="13">
        <f t="shared" si="115"/>
        <v>14</v>
      </c>
      <c r="AW409" s="14">
        <f t="shared" si="116"/>
        <v>11956</v>
      </c>
      <c r="AX409" s="14" t="str">
        <f t="shared" si="117"/>
        <v>DefExt</v>
      </c>
      <c r="AY409" s="14">
        <f t="shared" si="118"/>
        <v>1138</v>
      </c>
      <c r="AZ409" s="14" t="str">
        <f t="shared" si="119"/>
        <v>HPExt</v>
      </c>
      <c r="BA409" s="14">
        <f t="shared" si="120"/>
        <v>576</v>
      </c>
      <c r="BB409" s="14" t="str">
        <f t="shared" si="121"/>
        <v/>
      </c>
      <c r="BC409" s="14" t="str">
        <f t="shared" si="122"/>
        <v/>
      </c>
      <c r="BD409" s="14" t="str">
        <f t="shared" si="123"/>
        <v/>
      </c>
      <c r="BE409" s="14" t="str">
        <f t="shared" si="124"/>
        <v/>
      </c>
    </row>
    <row r="410" spans="39:57" ht="16.5" x14ac:dyDescent="0.2">
      <c r="AM410" s="13">
        <v>405</v>
      </c>
      <c r="AN410" s="14">
        <f t="shared" si="125"/>
        <v>24</v>
      </c>
      <c r="AO410" s="29">
        <f t="shared" si="109"/>
        <v>1.248</v>
      </c>
      <c r="AP410" s="14">
        <f t="shared" si="110"/>
        <v>2</v>
      </c>
      <c r="AQ410" s="14">
        <f t="shared" si="111"/>
        <v>3</v>
      </c>
      <c r="AR410" s="14">
        <f t="shared" si="112"/>
        <v>0</v>
      </c>
      <c r="AS410" s="14">
        <f t="shared" si="113"/>
        <v>1606026</v>
      </c>
      <c r="AT410" s="14" t="str">
        <f t="shared" si="114"/>
        <v>神器-5-碎片-4-15级</v>
      </c>
      <c r="AU410" s="13" t="s">
        <v>1195</v>
      </c>
      <c r="AV410" s="13">
        <f t="shared" si="115"/>
        <v>15</v>
      </c>
      <c r="AW410" s="14">
        <f t="shared" si="116"/>
        <v>13081</v>
      </c>
      <c r="AX410" s="14" t="str">
        <f t="shared" si="117"/>
        <v>DefExt</v>
      </c>
      <c r="AY410" s="14">
        <f t="shared" si="118"/>
        <v>1245</v>
      </c>
      <c r="AZ410" s="14" t="str">
        <f t="shared" si="119"/>
        <v>HPExt</v>
      </c>
      <c r="BA410" s="14">
        <f t="shared" si="120"/>
        <v>631</v>
      </c>
      <c r="BB410" s="14" t="str">
        <f t="shared" si="121"/>
        <v/>
      </c>
      <c r="BC410" s="14" t="str">
        <f t="shared" si="122"/>
        <v/>
      </c>
      <c r="BD410" s="14" t="str">
        <f t="shared" si="123"/>
        <v/>
      </c>
      <c r="BE410" s="14" t="str">
        <f t="shared" si="124"/>
        <v/>
      </c>
    </row>
    <row r="411" spans="39:57" ht="16.5" x14ac:dyDescent="0.2">
      <c r="AM411" s="13">
        <v>406</v>
      </c>
      <c r="AN411" s="14">
        <f t="shared" si="125"/>
        <v>24</v>
      </c>
      <c r="AO411" s="29">
        <f t="shared" si="109"/>
        <v>1.36</v>
      </c>
      <c r="AP411" s="14">
        <f t="shared" si="110"/>
        <v>2</v>
      </c>
      <c r="AQ411" s="14">
        <f t="shared" si="111"/>
        <v>3</v>
      </c>
      <c r="AR411" s="14">
        <f t="shared" si="112"/>
        <v>0</v>
      </c>
      <c r="AS411" s="14">
        <f t="shared" si="113"/>
        <v>1606026</v>
      </c>
      <c r="AT411" s="14" t="str">
        <f t="shared" si="114"/>
        <v>神器-5-碎片-4-16级</v>
      </c>
      <c r="AU411" s="13" t="s">
        <v>1195</v>
      </c>
      <c r="AV411" s="13">
        <f t="shared" si="115"/>
        <v>16</v>
      </c>
      <c r="AW411" s="14">
        <f t="shared" si="116"/>
        <v>14257</v>
      </c>
      <c r="AX411" s="14" t="str">
        <f t="shared" si="117"/>
        <v>DefExt</v>
      </c>
      <c r="AY411" s="14">
        <f t="shared" si="118"/>
        <v>1357</v>
      </c>
      <c r="AZ411" s="14" t="str">
        <f t="shared" si="119"/>
        <v>HPExt</v>
      </c>
      <c r="BA411" s="14">
        <f t="shared" si="120"/>
        <v>687</v>
      </c>
      <c r="BB411" s="14" t="str">
        <f t="shared" si="121"/>
        <v/>
      </c>
      <c r="BC411" s="14" t="str">
        <f t="shared" si="122"/>
        <v/>
      </c>
      <c r="BD411" s="14" t="str">
        <f t="shared" si="123"/>
        <v/>
      </c>
      <c r="BE411" s="14" t="str">
        <f t="shared" si="124"/>
        <v/>
      </c>
    </row>
    <row r="412" spans="39:57" ht="16.5" x14ac:dyDescent="0.2">
      <c r="AM412" s="13">
        <v>407</v>
      </c>
      <c r="AN412" s="14">
        <f t="shared" si="125"/>
        <v>24</v>
      </c>
      <c r="AO412" s="29">
        <f t="shared" si="109"/>
        <v>1.476</v>
      </c>
      <c r="AP412" s="14">
        <f t="shared" si="110"/>
        <v>2</v>
      </c>
      <c r="AQ412" s="14">
        <f t="shared" si="111"/>
        <v>3</v>
      </c>
      <c r="AR412" s="14">
        <f t="shared" si="112"/>
        <v>0</v>
      </c>
      <c r="AS412" s="14">
        <f t="shared" si="113"/>
        <v>1606026</v>
      </c>
      <c r="AT412" s="14" t="str">
        <f t="shared" si="114"/>
        <v>神器-5-碎片-4-17级</v>
      </c>
      <c r="AU412" s="13" t="s">
        <v>1195</v>
      </c>
      <c r="AV412" s="13">
        <f t="shared" si="115"/>
        <v>17</v>
      </c>
      <c r="AW412" s="14">
        <f t="shared" si="116"/>
        <v>15476</v>
      </c>
      <c r="AX412" s="14" t="str">
        <f t="shared" si="117"/>
        <v>DefExt</v>
      </c>
      <c r="AY412" s="14">
        <f t="shared" si="118"/>
        <v>1473</v>
      </c>
      <c r="AZ412" s="14" t="str">
        <f t="shared" si="119"/>
        <v>HPExt</v>
      </c>
      <c r="BA412" s="14">
        <f t="shared" si="120"/>
        <v>746</v>
      </c>
      <c r="BB412" s="14" t="str">
        <f t="shared" si="121"/>
        <v/>
      </c>
      <c r="BC412" s="14" t="str">
        <f t="shared" si="122"/>
        <v/>
      </c>
      <c r="BD412" s="14" t="str">
        <f t="shared" si="123"/>
        <v/>
      </c>
      <c r="BE412" s="14" t="str">
        <f t="shared" si="124"/>
        <v/>
      </c>
    </row>
    <row r="413" spans="39:57" ht="16.5" x14ac:dyDescent="0.2">
      <c r="AM413" s="13">
        <v>408</v>
      </c>
      <c r="AN413" s="14">
        <f t="shared" si="125"/>
        <v>24</v>
      </c>
      <c r="AO413" s="29">
        <f t="shared" si="109"/>
        <v>1.5960000000000001</v>
      </c>
      <c r="AP413" s="14">
        <f t="shared" si="110"/>
        <v>2</v>
      </c>
      <c r="AQ413" s="14">
        <f t="shared" si="111"/>
        <v>3</v>
      </c>
      <c r="AR413" s="14">
        <f t="shared" si="112"/>
        <v>0</v>
      </c>
      <c r="AS413" s="14">
        <f t="shared" si="113"/>
        <v>1606026</v>
      </c>
      <c r="AT413" s="14" t="str">
        <f t="shared" si="114"/>
        <v>神器-5-碎片-4-18级</v>
      </c>
      <c r="AU413" s="13" t="s">
        <v>1195</v>
      </c>
      <c r="AV413" s="13">
        <f t="shared" si="115"/>
        <v>18</v>
      </c>
      <c r="AW413" s="14">
        <f t="shared" si="116"/>
        <v>16736</v>
      </c>
      <c r="AX413" s="14" t="str">
        <f t="shared" si="117"/>
        <v>DefExt</v>
      </c>
      <c r="AY413" s="14">
        <f t="shared" si="118"/>
        <v>1593</v>
      </c>
      <c r="AZ413" s="14" t="str">
        <f t="shared" si="119"/>
        <v>HPExt</v>
      </c>
      <c r="BA413" s="14">
        <f t="shared" si="120"/>
        <v>806</v>
      </c>
      <c r="BB413" s="14" t="str">
        <f t="shared" si="121"/>
        <v/>
      </c>
      <c r="BC413" s="14" t="str">
        <f t="shared" si="122"/>
        <v/>
      </c>
      <c r="BD413" s="14" t="str">
        <f t="shared" si="123"/>
        <v/>
      </c>
      <c r="BE413" s="14" t="str">
        <f t="shared" si="124"/>
        <v/>
      </c>
    </row>
    <row r="414" spans="39:57" ht="16.5" x14ac:dyDescent="0.2">
      <c r="AM414" s="13">
        <v>409</v>
      </c>
      <c r="AN414" s="14">
        <f t="shared" si="125"/>
        <v>25</v>
      </c>
      <c r="AO414" s="29">
        <f t="shared" si="109"/>
        <v>0.1</v>
      </c>
      <c r="AP414" s="14">
        <f t="shared" si="110"/>
        <v>1</v>
      </c>
      <c r="AQ414" s="14">
        <f t="shared" si="111"/>
        <v>2</v>
      </c>
      <c r="AR414" s="14">
        <f t="shared" si="112"/>
        <v>3</v>
      </c>
      <c r="AS414" s="14">
        <f t="shared" si="113"/>
        <v>1606027</v>
      </c>
      <c r="AT414" s="14" t="str">
        <f t="shared" si="114"/>
        <v>神器-5-碎片-5-1级</v>
      </c>
      <c r="AU414" s="13" t="s">
        <v>1195</v>
      </c>
      <c r="AV414" s="13">
        <f t="shared" si="115"/>
        <v>1</v>
      </c>
      <c r="AW414" s="14">
        <f t="shared" si="116"/>
        <v>1062</v>
      </c>
      <c r="AX414" s="14" t="str">
        <f t="shared" si="117"/>
        <v>AtkExt</v>
      </c>
      <c r="AY414" s="14">
        <f t="shared" si="118"/>
        <v>65</v>
      </c>
      <c r="AZ414" s="14" t="str">
        <f t="shared" si="119"/>
        <v>DefExt</v>
      </c>
      <c r="BA414" s="14">
        <f t="shared" si="120"/>
        <v>67</v>
      </c>
      <c r="BB414" s="14" t="str">
        <f t="shared" si="121"/>
        <v>HPExt</v>
      </c>
      <c r="BC414" s="14">
        <f t="shared" si="122"/>
        <v>67</v>
      </c>
      <c r="BD414" s="14" t="str">
        <f t="shared" si="123"/>
        <v/>
      </c>
      <c r="BE414" s="14" t="str">
        <f t="shared" si="124"/>
        <v/>
      </c>
    </row>
    <row r="415" spans="39:57" ht="16.5" x14ac:dyDescent="0.2">
      <c r="AM415" s="13">
        <v>410</v>
      </c>
      <c r="AN415" s="14">
        <f t="shared" si="125"/>
        <v>25</v>
      </c>
      <c r="AO415" s="29">
        <f t="shared" si="109"/>
        <v>0.15600000000000003</v>
      </c>
      <c r="AP415" s="14">
        <f t="shared" si="110"/>
        <v>1</v>
      </c>
      <c r="AQ415" s="14">
        <f t="shared" si="111"/>
        <v>2</v>
      </c>
      <c r="AR415" s="14">
        <f t="shared" si="112"/>
        <v>3</v>
      </c>
      <c r="AS415" s="14">
        <f t="shared" si="113"/>
        <v>1606027</v>
      </c>
      <c r="AT415" s="14" t="str">
        <f t="shared" si="114"/>
        <v>神器-5-碎片-5-2级</v>
      </c>
      <c r="AU415" s="13" t="s">
        <v>1195</v>
      </c>
      <c r="AV415" s="13">
        <f t="shared" si="115"/>
        <v>2</v>
      </c>
      <c r="AW415" s="14">
        <f t="shared" si="116"/>
        <v>1650</v>
      </c>
      <c r="AX415" s="14" t="str">
        <f t="shared" si="117"/>
        <v>AtkExt</v>
      </c>
      <c r="AY415" s="14">
        <f t="shared" si="118"/>
        <v>101</v>
      </c>
      <c r="AZ415" s="14" t="str">
        <f t="shared" si="119"/>
        <v>DefExt</v>
      </c>
      <c r="BA415" s="14">
        <f t="shared" si="120"/>
        <v>104</v>
      </c>
      <c r="BB415" s="14" t="str">
        <f t="shared" si="121"/>
        <v>HPExt</v>
      </c>
      <c r="BC415" s="14">
        <f t="shared" si="122"/>
        <v>105</v>
      </c>
      <c r="BD415" s="14" t="str">
        <f t="shared" si="123"/>
        <v/>
      </c>
      <c r="BE415" s="14" t="str">
        <f t="shared" si="124"/>
        <v/>
      </c>
    </row>
    <row r="416" spans="39:57" ht="16.5" x14ac:dyDescent="0.2">
      <c r="AM416" s="13">
        <v>411</v>
      </c>
      <c r="AN416" s="14">
        <f t="shared" si="125"/>
        <v>25</v>
      </c>
      <c r="AO416" s="29">
        <f t="shared" si="109"/>
        <v>0.21600000000000003</v>
      </c>
      <c r="AP416" s="14">
        <f t="shared" si="110"/>
        <v>1</v>
      </c>
      <c r="AQ416" s="14">
        <f t="shared" si="111"/>
        <v>2</v>
      </c>
      <c r="AR416" s="14">
        <f t="shared" si="112"/>
        <v>3</v>
      </c>
      <c r="AS416" s="14">
        <f t="shared" si="113"/>
        <v>1606027</v>
      </c>
      <c r="AT416" s="14" t="str">
        <f t="shared" si="114"/>
        <v>神器-5-碎片-5-3级</v>
      </c>
      <c r="AU416" s="13" t="s">
        <v>1195</v>
      </c>
      <c r="AV416" s="13">
        <f t="shared" si="115"/>
        <v>3</v>
      </c>
      <c r="AW416" s="14">
        <f t="shared" si="116"/>
        <v>2286</v>
      </c>
      <c r="AX416" s="14" t="str">
        <f t="shared" si="117"/>
        <v>AtkExt</v>
      </c>
      <c r="AY416" s="14">
        <f t="shared" si="118"/>
        <v>140</v>
      </c>
      <c r="AZ416" s="14" t="str">
        <f t="shared" si="119"/>
        <v>DefExt</v>
      </c>
      <c r="BA416" s="14">
        <f t="shared" si="120"/>
        <v>144</v>
      </c>
      <c r="BB416" s="14" t="str">
        <f t="shared" si="121"/>
        <v>HPExt</v>
      </c>
      <c r="BC416" s="14">
        <f t="shared" si="122"/>
        <v>146</v>
      </c>
      <c r="BD416" s="14" t="str">
        <f t="shared" si="123"/>
        <v/>
      </c>
      <c r="BE416" s="14" t="str">
        <f t="shared" si="124"/>
        <v/>
      </c>
    </row>
    <row r="417" spans="39:57" ht="16.5" x14ac:dyDescent="0.2">
      <c r="AM417" s="13">
        <v>412</v>
      </c>
      <c r="AN417" s="14">
        <f t="shared" si="125"/>
        <v>25</v>
      </c>
      <c r="AO417" s="29">
        <f t="shared" si="109"/>
        <v>0.28000000000000003</v>
      </c>
      <c r="AP417" s="14">
        <f t="shared" si="110"/>
        <v>1</v>
      </c>
      <c r="AQ417" s="14">
        <f t="shared" si="111"/>
        <v>2</v>
      </c>
      <c r="AR417" s="14">
        <f t="shared" si="112"/>
        <v>3</v>
      </c>
      <c r="AS417" s="14">
        <f t="shared" si="113"/>
        <v>1606027</v>
      </c>
      <c r="AT417" s="14" t="str">
        <f t="shared" si="114"/>
        <v>神器-5-碎片-5-4级</v>
      </c>
      <c r="AU417" s="13" t="s">
        <v>1195</v>
      </c>
      <c r="AV417" s="13">
        <f t="shared" si="115"/>
        <v>4</v>
      </c>
      <c r="AW417" s="14">
        <f t="shared" si="116"/>
        <v>2954</v>
      </c>
      <c r="AX417" s="14" t="str">
        <f t="shared" si="117"/>
        <v>AtkExt</v>
      </c>
      <c r="AY417" s="14">
        <f t="shared" si="118"/>
        <v>181</v>
      </c>
      <c r="AZ417" s="14" t="str">
        <f t="shared" si="119"/>
        <v>DefExt</v>
      </c>
      <c r="BA417" s="14">
        <f t="shared" si="120"/>
        <v>186</v>
      </c>
      <c r="BB417" s="14" t="str">
        <f t="shared" si="121"/>
        <v>HPExt</v>
      </c>
      <c r="BC417" s="14">
        <f t="shared" si="122"/>
        <v>189</v>
      </c>
      <c r="BD417" s="14" t="str">
        <f t="shared" si="123"/>
        <v/>
      </c>
      <c r="BE417" s="14" t="str">
        <f t="shared" si="124"/>
        <v/>
      </c>
    </row>
    <row r="418" spans="39:57" ht="16.5" x14ac:dyDescent="0.2">
      <c r="AM418" s="13">
        <v>413</v>
      </c>
      <c r="AN418" s="14">
        <f t="shared" si="125"/>
        <v>25</v>
      </c>
      <c r="AO418" s="29">
        <f t="shared" si="109"/>
        <v>0.34799999999999998</v>
      </c>
      <c r="AP418" s="14">
        <f t="shared" si="110"/>
        <v>1</v>
      </c>
      <c r="AQ418" s="14">
        <f t="shared" si="111"/>
        <v>2</v>
      </c>
      <c r="AR418" s="14">
        <f t="shared" si="112"/>
        <v>3</v>
      </c>
      <c r="AS418" s="14">
        <f t="shared" si="113"/>
        <v>1606027</v>
      </c>
      <c r="AT418" s="14" t="str">
        <f t="shared" si="114"/>
        <v>神器-5-碎片-5-5级</v>
      </c>
      <c r="AU418" s="13" t="s">
        <v>1195</v>
      </c>
      <c r="AV418" s="13">
        <f t="shared" si="115"/>
        <v>5</v>
      </c>
      <c r="AW418" s="14">
        <f t="shared" si="116"/>
        <v>3669</v>
      </c>
      <c r="AX418" s="14" t="str">
        <f t="shared" si="117"/>
        <v>AtkExt</v>
      </c>
      <c r="AY418" s="14">
        <f t="shared" si="118"/>
        <v>225</v>
      </c>
      <c r="AZ418" s="14" t="str">
        <f t="shared" si="119"/>
        <v>DefExt</v>
      </c>
      <c r="BA418" s="14">
        <f t="shared" si="120"/>
        <v>231</v>
      </c>
      <c r="BB418" s="14" t="str">
        <f t="shared" si="121"/>
        <v>HPExt</v>
      </c>
      <c r="BC418" s="14">
        <f t="shared" si="122"/>
        <v>234</v>
      </c>
      <c r="BD418" s="14" t="str">
        <f t="shared" si="123"/>
        <v/>
      </c>
      <c r="BE418" s="14" t="str">
        <f t="shared" si="124"/>
        <v/>
      </c>
    </row>
    <row r="419" spans="39:57" ht="16.5" x14ac:dyDescent="0.2">
      <c r="AM419" s="13">
        <v>414</v>
      </c>
      <c r="AN419" s="14">
        <f t="shared" si="125"/>
        <v>25</v>
      </c>
      <c r="AO419" s="29">
        <f t="shared" si="109"/>
        <v>0.42000000000000004</v>
      </c>
      <c r="AP419" s="14">
        <f t="shared" si="110"/>
        <v>1</v>
      </c>
      <c r="AQ419" s="14">
        <f t="shared" si="111"/>
        <v>2</v>
      </c>
      <c r="AR419" s="14">
        <f t="shared" si="112"/>
        <v>3</v>
      </c>
      <c r="AS419" s="14">
        <f t="shared" si="113"/>
        <v>1606027</v>
      </c>
      <c r="AT419" s="14" t="str">
        <f t="shared" si="114"/>
        <v>神器-5-碎片-5-6级</v>
      </c>
      <c r="AU419" s="13" t="s">
        <v>1195</v>
      </c>
      <c r="AV419" s="13">
        <f t="shared" si="115"/>
        <v>6</v>
      </c>
      <c r="AW419" s="14">
        <f t="shared" si="116"/>
        <v>4433</v>
      </c>
      <c r="AX419" s="14" t="str">
        <f t="shared" si="117"/>
        <v>AtkExt</v>
      </c>
      <c r="AY419" s="14">
        <f t="shared" si="118"/>
        <v>272</v>
      </c>
      <c r="AZ419" s="14" t="str">
        <f t="shared" si="119"/>
        <v>DefExt</v>
      </c>
      <c r="BA419" s="14">
        <f t="shared" si="120"/>
        <v>279</v>
      </c>
      <c r="BB419" s="14" t="str">
        <f t="shared" si="121"/>
        <v>HPExt</v>
      </c>
      <c r="BC419" s="14">
        <f t="shared" si="122"/>
        <v>283</v>
      </c>
      <c r="BD419" s="14" t="str">
        <f t="shared" si="123"/>
        <v/>
      </c>
      <c r="BE419" s="14" t="str">
        <f t="shared" si="124"/>
        <v/>
      </c>
    </row>
    <row r="420" spans="39:57" ht="16.5" x14ac:dyDescent="0.2">
      <c r="AM420" s="13">
        <v>415</v>
      </c>
      <c r="AN420" s="14">
        <f t="shared" si="125"/>
        <v>25</v>
      </c>
      <c r="AO420" s="29">
        <f t="shared" si="109"/>
        <v>0.496</v>
      </c>
      <c r="AP420" s="14">
        <f t="shared" si="110"/>
        <v>1</v>
      </c>
      <c r="AQ420" s="14">
        <f t="shared" si="111"/>
        <v>2</v>
      </c>
      <c r="AR420" s="14">
        <f t="shared" si="112"/>
        <v>3</v>
      </c>
      <c r="AS420" s="14">
        <f t="shared" si="113"/>
        <v>1606027</v>
      </c>
      <c r="AT420" s="14" t="str">
        <f t="shared" si="114"/>
        <v>神器-5-碎片-5-7级</v>
      </c>
      <c r="AU420" s="13" t="s">
        <v>1195</v>
      </c>
      <c r="AV420" s="13">
        <f t="shared" si="115"/>
        <v>7</v>
      </c>
      <c r="AW420" s="14">
        <f t="shared" si="116"/>
        <v>5239</v>
      </c>
      <c r="AX420" s="14" t="str">
        <f t="shared" si="117"/>
        <v>AtkExt</v>
      </c>
      <c r="AY420" s="14">
        <f t="shared" si="118"/>
        <v>321</v>
      </c>
      <c r="AZ420" s="14" t="str">
        <f t="shared" si="119"/>
        <v>DefExt</v>
      </c>
      <c r="BA420" s="14">
        <f t="shared" si="120"/>
        <v>330</v>
      </c>
      <c r="BB420" s="14" t="str">
        <f t="shared" si="121"/>
        <v>HPExt</v>
      </c>
      <c r="BC420" s="14">
        <f t="shared" si="122"/>
        <v>334</v>
      </c>
      <c r="BD420" s="14" t="str">
        <f t="shared" si="123"/>
        <v/>
      </c>
      <c r="BE420" s="14" t="str">
        <f t="shared" si="124"/>
        <v/>
      </c>
    </row>
    <row r="421" spans="39:57" ht="16.5" x14ac:dyDescent="0.2">
      <c r="AM421" s="13">
        <v>416</v>
      </c>
      <c r="AN421" s="14">
        <f t="shared" si="125"/>
        <v>25</v>
      </c>
      <c r="AO421" s="29">
        <f t="shared" si="109"/>
        <v>0.57600000000000007</v>
      </c>
      <c r="AP421" s="14">
        <f t="shared" si="110"/>
        <v>1</v>
      </c>
      <c r="AQ421" s="14">
        <f t="shared" si="111"/>
        <v>2</v>
      </c>
      <c r="AR421" s="14">
        <f t="shared" si="112"/>
        <v>3</v>
      </c>
      <c r="AS421" s="14">
        <f t="shared" si="113"/>
        <v>1606027</v>
      </c>
      <c r="AT421" s="14" t="str">
        <f t="shared" si="114"/>
        <v>神器-5-碎片-5-8级</v>
      </c>
      <c r="AU421" s="13" t="s">
        <v>1195</v>
      </c>
      <c r="AV421" s="13">
        <f t="shared" si="115"/>
        <v>8</v>
      </c>
      <c r="AW421" s="14">
        <f t="shared" si="116"/>
        <v>6083</v>
      </c>
      <c r="AX421" s="14" t="str">
        <f t="shared" si="117"/>
        <v>AtkExt</v>
      </c>
      <c r="AY421" s="14">
        <f t="shared" si="118"/>
        <v>373</v>
      </c>
      <c r="AZ421" s="14" t="str">
        <f t="shared" si="119"/>
        <v>DefExt</v>
      </c>
      <c r="BA421" s="14">
        <f t="shared" si="120"/>
        <v>383</v>
      </c>
      <c r="BB421" s="14" t="str">
        <f t="shared" si="121"/>
        <v>HPExt</v>
      </c>
      <c r="BC421" s="14">
        <f t="shared" si="122"/>
        <v>388</v>
      </c>
      <c r="BD421" s="14" t="str">
        <f t="shared" si="123"/>
        <v/>
      </c>
      <c r="BE421" s="14" t="str">
        <f t="shared" si="124"/>
        <v/>
      </c>
    </row>
    <row r="422" spans="39:57" ht="16.5" x14ac:dyDescent="0.2">
      <c r="AM422" s="13">
        <v>417</v>
      </c>
      <c r="AN422" s="14">
        <f t="shared" si="125"/>
        <v>25</v>
      </c>
      <c r="AO422" s="29">
        <f t="shared" si="109"/>
        <v>0.66</v>
      </c>
      <c r="AP422" s="14">
        <f t="shared" si="110"/>
        <v>1</v>
      </c>
      <c r="AQ422" s="14">
        <f t="shared" si="111"/>
        <v>2</v>
      </c>
      <c r="AR422" s="14">
        <f t="shared" si="112"/>
        <v>3</v>
      </c>
      <c r="AS422" s="14">
        <f t="shared" si="113"/>
        <v>1606027</v>
      </c>
      <c r="AT422" s="14" t="str">
        <f t="shared" si="114"/>
        <v>神器-5-碎片-5-9级</v>
      </c>
      <c r="AU422" s="13" t="s">
        <v>1195</v>
      </c>
      <c r="AV422" s="13">
        <f t="shared" si="115"/>
        <v>9</v>
      </c>
      <c r="AW422" s="14">
        <f t="shared" si="116"/>
        <v>6970</v>
      </c>
      <c r="AX422" s="14" t="str">
        <f t="shared" si="117"/>
        <v>AtkExt</v>
      </c>
      <c r="AY422" s="14">
        <f t="shared" si="118"/>
        <v>427</v>
      </c>
      <c r="AZ422" s="14" t="str">
        <f t="shared" si="119"/>
        <v>DefExt</v>
      </c>
      <c r="BA422" s="14">
        <f t="shared" si="120"/>
        <v>439</v>
      </c>
      <c r="BB422" s="14" t="str">
        <f t="shared" si="121"/>
        <v>HPExt</v>
      </c>
      <c r="BC422" s="14">
        <f t="shared" si="122"/>
        <v>445</v>
      </c>
      <c r="BD422" s="14" t="str">
        <f t="shared" si="123"/>
        <v/>
      </c>
      <c r="BE422" s="14" t="str">
        <f t="shared" si="124"/>
        <v/>
      </c>
    </row>
    <row r="423" spans="39:57" ht="16.5" x14ac:dyDescent="0.2">
      <c r="AM423" s="13">
        <v>418</v>
      </c>
      <c r="AN423" s="14">
        <f t="shared" si="125"/>
        <v>25</v>
      </c>
      <c r="AO423" s="29">
        <f t="shared" si="109"/>
        <v>0.748</v>
      </c>
      <c r="AP423" s="14">
        <f t="shared" si="110"/>
        <v>1</v>
      </c>
      <c r="AQ423" s="14">
        <f t="shared" si="111"/>
        <v>2</v>
      </c>
      <c r="AR423" s="14">
        <f t="shared" si="112"/>
        <v>3</v>
      </c>
      <c r="AS423" s="14">
        <f t="shared" si="113"/>
        <v>1606027</v>
      </c>
      <c r="AT423" s="14" t="str">
        <f t="shared" si="114"/>
        <v>神器-5-碎片-5-10级</v>
      </c>
      <c r="AU423" s="13" t="s">
        <v>1195</v>
      </c>
      <c r="AV423" s="13">
        <f t="shared" si="115"/>
        <v>10</v>
      </c>
      <c r="AW423" s="14">
        <f t="shared" si="116"/>
        <v>7904</v>
      </c>
      <c r="AX423" s="14" t="str">
        <f t="shared" si="117"/>
        <v>AtkExt</v>
      </c>
      <c r="AY423" s="14">
        <f t="shared" si="118"/>
        <v>484</v>
      </c>
      <c r="AZ423" s="14" t="str">
        <f t="shared" si="119"/>
        <v>DefExt</v>
      </c>
      <c r="BA423" s="14">
        <f t="shared" si="120"/>
        <v>498</v>
      </c>
      <c r="BB423" s="14" t="str">
        <f t="shared" si="121"/>
        <v>HPExt</v>
      </c>
      <c r="BC423" s="14">
        <f t="shared" si="122"/>
        <v>504</v>
      </c>
      <c r="BD423" s="14" t="str">
        <f t="shared" si="123"/>
        <v/>
      </c>
      <c r="BE423" s="14" t="str">
        <f t="shared" si="124"/>
        <v/>
      </c>
    </row>
    <row r="424" spans="39:57" ht="16.5" x14ac:dyDescent="0.2">
      <c r="AM424" s="13">
        <v>419</v>
      </c>
      <c r="AN424" s="14">
        <f t="shared" si="125"/>
        <v>25</v>
      </c>
      <c r="AO424" s="29">
        <f t="shared" si="109"/>
        <v>0.84000000000000008</v>
      </c>
      <c r="AP424" s="14">
        <f t="shared" si="110"/>
        <v>1</v>
      </c>
      <c r="AQ424" s="14">
        <f t="shared" si="111"/>
        <v>2</v>
      </c>
      <c r="AR424" s="14">
        <f t="shared" si="112"/>
        <v>3</v>
      </c>
      <c r="AS424" s="14">
        <f t="shared" si="113"/>
        <v>1606027</v>
      </c>
      <c r="AT424" s="14" t="str">
        <f t="shared" si="114"/>
        <v>神器-5-碎片-5-11级</v>
      </c>
      <c r="AU424" s="13" t="s">
        <v>1195</v>
      </c>
      <c r="AV424" s="13">
        <f t="shared" si="115"/>
        <v>11</v>
      </c>
      <c r="AW424" s="14">
        <f t="shared" si="116"/>
        <v>8871</v>
      </c>
      <c r="AX424" s="14" t="str">
        <f t="shared" si="117"/>
        <v>AtkExt</v>
      </c>
      <c r="AY424" s="14">
        <f t="shared" si="118"/>
        <v>543</v>
      </c>
      <c r="AZ424" s="14" t="str">
        <f t="shared" si="119"/>
        <v>DefExt</v>
      </c>
      <c r="BA424" s="14">
        <f t="shared" si="120"/>
        <v>559</v>
      </c>
      <c r="BB424" s="14" t="str">
        <f t="shared" si="121"/>
        <v>HPExt</v>
      </c>
      <c r="BC424" s="14">
        <f t="shared" si="122"/>
        <v>566</v>
      </c>
      <c r="BD424" s="14" t="str">
        <f t="shared" si="123"/>
        <v/>
      </c>
      <c r="BE424" s="14" t="str">
        <f t="shared" si="124"/>
        <v/>
      </c>
    </row>
    <row r="425" spans="39:57" ht="16.5" x14ac:dyDescent="0.2">
      <c r="AM425" s="13">
        <v>420</v>
      </c>
      <c r="AN425" s="14">
        <f t="shared" si="125"/>
        <v>25</v>
      </c>
      <c r="AO425" s="29">
        <f t="shared" si="109"/>
        <v>0.93600000000000017</v>
      </c>
      <c r="AP425" s="14">
        <f t="shared" si="110"/>
        <v>1</v>
      </c>
      <c r="AQ425" s="14">
        <f t="shared" si="111"/>
        <v>2</v>
      </c>
      <c r="AR425" s="14">
        <f t="shared" si="112"/>
        <v>3</v>
      </c>
      <c r="AS425" s="14">
        <f t="shared" si="113"/>
        <v>1606027</v>
      </c>
      <c r="AT425" s="14" t="str">
        <f t="shared" si="114"/>
        <v>神器-5-碎片-5-12级</v>
      </c>
      <c r="AU425" s="13" t="s">
        <v>1195</v>
      </c>
      <c r="AV425" s="13">
        <f t="shared" si="115"/>
        <v>12</v>
      </c>
      <c r="AW425" s="14">
        <f t="shared" si="116"/>
        <v>9891</v>
      </c>
      <c r="AX425" s="14" t="str">
        <f t="shared" si="117"/>
        <v>AtkExt</v>
      </c>
      <c r="AY425" s="14">
        <f t="shared" si="118"/>
        <v>606</v>
      </c>
      <c r="AZ425" s="14" t="str">
        <f t="shared" si="119"/>
        <v>DefExt</v>
      </c>
      <c r="BA425" s="14">
        <f t="shared" si="120"/>
        <v>623</v>
      </c>
      <c r="BB425" s="14" t="str">
        <f t="shared" si="121"/>
        <v>HPExt</v>
      </c>
      <c r="BC425" s="14">
        <f t="shared" si="122"/>
        <v>631</v>
      </c>
      <c r="BD425" s="14" t="str">
        <f t="shared" si="123"/>
        <v/>
      </c>
      <c r="BE425" s="14" t="str">
        <f t="shared" si="124"/>
        <v/>
      </c>
    </row>
    <row r="426" spans="39:57" ht="16.5" x14ac:dyDescent="0.2">
      <c r="AM426" s="13">
        <v>421</v>
      </c>
      <c r="AN426" s="14">
        <f t="shared" si="125"/>
        <v>25</v>
      </c>
      <c r="AO426" s="29">
        <f t="shared" si="109"/>
        <v>1.036</v>
      </c>
      <c r="AP426" s="14">
        <f t="shared" si="110"/>
        <v>1</v>
      </c>
      <c r="AQ426" s="14">
        <f t="shared" si="111"/>
        <v>2</v>
      </c>
      <c r="AR426" s="14">
        <f t="shared" si="112"/>
        <v>3</v>
      </c>
      <c r="AS426" s="14">
        <f t="shared" si="113"/>
        <v>1606027</v>
      </c>
      <c r="AT426" s="14" t="str">
        <f t="shared" si="114"/>
        <v>神器-5-碎片-5-13级</v>
      </c>
      <c r="AU426" s="13" t="s">
        <v>1195</v>
      </c>
      <c r="AV426" s="13">
        <f t="shared" si="115"/>
        <v>13</v>
      </c>
      <c r="AW426" s="14">
        <f t="shared" si="116"/>
        <v>10938</v>
      </c>
      <c r="AX426" s="14" t="str">
        <f t="shared" si="117"/>
        <v>AtkExt</v>
      </c>
      <c r="AY426" s="14">
        <f t="shared" si="118"/>
        <v>670</v>
      </c>
      <c r="AZ426" s="14" t="str">
        <f t="shared" si="119"/>
        <v>DefExt</v>
      </c>
      <c r="BA426" s="14">
        <f t="shared" si="120"/>
        <v>689</v>
      </c>
      <c r="BB426" s="14" t="str">
        <f t="shared" si="121"/>
        <v>HPExt</v>
      </c>
      <c r="BC426" s="14">
        <f t="shared" si="122"/>
        <v>698</v>
      </c>
      <c r="BD426" s="14" t="str">
        <f t="shared" si="123"/>
        <v/>
      </c>
      <c r="BE426" s="14" t="str">
        <f t="shared" si="124"/>
        <v/>
      </c>
    </row>
    <row r="427" spans="39:57" ht="16.5" x14ac:dyDescent="0.2">
      <c r="AM427" s="13">
        <v>422</v>
      </c>
      <c r="AN427" s="14">
        <f t="shared" si="125"/>
        <v>25</v>
      </c>
      <c r="AO427" s="29">
        <f t="shared" si="109"/>
        <v>1.1400000000000001</v>
      </c>
      <c r="AP427" s="14">
        <f t="shared" si="110"/>
        <v>1</v>
      </c>
      <c r="AQ427" s="14">
        <f t="shared" si="111"/>
        <v>2</v>
      </c>
      <c r="AR427" s="14">
        <f t="shared" si="112"/>
        <v>3</v>
      </c>
      <c r="AS427" s="14">
        <f t="shared" si="113"/>
        <v>1606027</v>
      </c>
      <c r="AT427" s="14" t="str">
        <f t="shared" si="114"/>
        <v>神器-5-碎片-5-14级</v>
      </c>
      <c r="AU427" s="13" t="s">
        <v>1195</v>
      </c>
      <c r="AV427" s="13">
        <f t="shared" si="115"/>
        <v>14</v>
      </c>
      <c r="AW427" s="14">
        <f t="shared" si="116"/>
        <v>12038</v>
      </c>
      <c r="AX427" s="14" t="str">
        <f t="shared" si="117"/>
        <v>AtkExt</v>
      </c>
      <c r="AY427" s="14">
        <f t="shared" si="118"/>
        <v>738</v>
      </c>
      <c r="AZ427" s="14" t="str">
        <f t="shared" si="119"/>
        <v>DefExt</v>
      </c>
      <c r="BA427" s="14">
        <f t="shared" si="120"/>
        <v>758</v>
      </c>
      <c r="BB427" s="14" t="str">
        <f t="shared" si="121"/>
        <v>HPExt</v>
      </c>
      <c r="BC427" s="14">
        <f t="shared" si="122"/>
        <v>768</v>
      </c>
      <c r="BD427" s="14" t="str">
        <f t="shared" si="123"/>
        <v/>
      </c>
      <c r="BE427" s="14" t="str">
        <f t="shared" si="124"/>
        <v/>
      </c>
    </row>
    <row r="428" spans="39:57" ht="16.5" x14ac:dyDescent="0.2">
      <c r="AM428" s="13">
        <v>423</v>
      </c>
      <c r="AN428" s="14">
        <f t="shared" si="125"/>
        <v>25</v>
      </c>
      <c r="AO428" s="29">
        <f t="shared" si="109"/>
        <v>1.248</v>
      </c>
      <c r="AP428" s="14">
        <f t="shared" si="110"/>
        <v>1</v>
      </c>
      <c r="AQ428" s="14">
        <f t="shared" si="111"/>
        <v>2</v>
      </c>
      <c r="AR428" s="14">
        <f t="shared" si="112"/>
        <v>3</v>
      </c>
      <c r="AS428" s="14">
        <f t="shared" si="113"/>
        <v>1606027</v>
      </c>
      <c r="AT428" s="14" t="str">
        <f t="shared" si="114"/>
        <v>神器-5-碎片-5-15级</v>
      </c>
      <c r="AU428" s="13" t="s">
        <v>1195</v>
      </c>
      <c r="AV428" s="13">
        <f t="shared" si="115"/>
        <v>15</v>
      </c>
      <c r="AW428" s="14">
        <f t="shared" si="116"/>
        <v>13176</v>
      </c>
      <c r="AX428" s="14" t="str">
        <f t="shared" si="117"/>
        <v>AtkExt</v>
      </c>
      <c r="AY428" s="14">
        <f t="shared" si="118"/>
        <v>807</v>
      </c>
      <c r="AZ428" s="14" t="str">
        <f t="shared" si="119"/>
        <v>DefExt</v>
      </c>
      <c r="BA428" s="14">
        <f t="shared" si="120"/>
        <v>830</v>
      </c>
      <c r="BB428" s="14" t="str">
        <f t="shared" si="121"/>
        <v>HPExt</v>
      </c>
      <c r="BC428" s="14">
        <f t="shared" si="122"/>
        <v>841</v>
      </c>
      <c r="BD428" s="14" t="str">
        <f t="shared" si="123"/>
        <v/>
      </c>
      <c r="BE428" s="14" t="str">
        <f t="shared" si="124"/>
        <v/>
      </c>
    </row>
    <row r="429" spans="39:57" ht="16.5" x14ac:dyDescent="0.2">
      <c r="AM429" s="13">
        <v>424</v>
      </c>
      <c r="AN429" s="14">
        <f t="shared" si="125"/>
        <v>25</v>
      </c>
      <c r="AO429" s="29">
        <f t="shared" si="109"/>
        <v>1.36</v>
      </c>
      <c r="AP429" s="14">
        <f t="shared" si="110"/>
        <v>1</v>
      </c>
      <c r="AQ429" s="14">
        <f t="shared" si="111"/>
        <v>2</v>
      </c>
      <c r="AR429" s="14">
        <f t="shared" si="112"/>
        <v>3</v>
      </c>
      <c r="AS429" s="14">
        <f t="shared" si="113"/>
        <v>1606027</v>
      </c>
      <c r="AT429" s="14" t="str">
        <f t="shared" si="114"/>
        <v>神器-5-碎片-5-16级</v>
      </c>
      <c r="AU429" s="13" t="s">
        <v>1195</v>
      </c>
      <c r="AV429" s="13">
        <f t="shared" si="115"/>
        <v>16</v>
      </c>
      <c r="AW429" s="14">
        <f t="shared" si="116"/>
        <v>14366</v>
      </c>
      <c r="AX429" s="14" t="str">
        <f t="shared" si="117"/>
        <v>AtkExt</v>
      </c>
      <c r="AY429" s="14">
        <f t="shared" si="118"/>
        <v>880</v>
      </c>
      <c r="AZ429" s="14" t="str">
        <f t="shared" si="119"/>
        <v>DefExt</v>
      </c>
      <c r="BA429" s="14">
        <f t="shared" si="120"/>
        <v>905</v>
      </c>
      <c r="BB429" s="14" t="str">
        <f t="shared" si="121"/>
        <v>HPExt</v>
      </c>
      <c r="BC429" s="14">
        <f t="shared" si="122"/>
        <v>916</v>
      </c>
      <c r="BD429" s="14" t="str">
        <f t="shared" si="123"/>
        <v/>
      </c>
      <c r="BE429" s="14" t="str">
        <f t="shared" si="124"/>
        <v/>
      </c>
    </row>
    <row r="430" spans="39:57" ht="16.5" x14ac:dyDescent="0.2">
      <c r="AM430" s="13">
        <v>425</v>
      </c>
      <c r="AN430" s="14">
        <f t="shared" si="125"/>
        <v>25</v>
      </c>
      <c r="AO430" s="29">
        <f t="shared" si="109"/>
        <v>1.476</v>
      </c>
      <c r="AP430" s="14">
        <f t="shared" si="110"/>
        <v>1</v>
      </c>
      <c r="AQ430" s="14">
        <f t="shared" si="111"/>
        <v>2</v>
      </c>
      <c r="AR430" s="14">
        <f t="shared" si="112"/>
        <v>3</v>
      </c>
      <c r="AS430" s="14">
        <f t="shared" si="113"/>
        <v>1606027</v>
      </c>
      <c r="AT430" s="14" t="str">
        <f t="shared" si="114"/>
        <v>神器-5-碎片-5-17级</v>
      </c>
      <c r="AU430" s="13" t="s">
        <v>1195</v>
      </c>
      <c r="AV430" s="13">
        <f t="shared" si="115"/>
        <v>17</v>
      </c>
      <c r="AW430" s="14">
        <f t="shared" si="116"/>
        <v>15589</v>
      </c>
      <c r="AX430" s="14" t="str">
        <f t="shared" si="117"/>
        <v>AtkExt</v>
      </c>
      <c r="AY430" s="14">
        <f t="shared" si="118"/>
        <v>955</v>
      </c>
      <c r="AZ430" s="14" t="str">
        <f t="shared" si="119"/>
        <v>DefExt</v>
      </c>
      <c r="BA430" s="14">
        <f t="shared" si="120"/>
        <v>982</v>
      </c>
      <c r="BB430" s="14" t="str">
        <f t="shared" si="121"/>
        <v>HPExt</v>
      </c>
      <c r="BC430" s="14">
        <f t="shared" si="122"/>
        <v>994</v>
      </c>
      <c r="BD430" s="14" t="str">
        <f t="shared" si="123"/>
        <v/>
      </c>
      <c r="BE430" s="14" t="str">
        <f t="shared" si="124"/>
        <v/>
      </c>
    </row>
    <row r="431" spans="39:57" ht="16.5" x14ac:dyDescent="0.2">
      <c r="AM431" s="13">
        <v>426</v>
      </c>
      <c r="AN431" s="14">
        <f t="shared" si="125"/>
        <v>25</v>
      </c>
      <c r="AO431" s="29">
        <f t="shared" si="109"/>
        <v>1.5960000000000001</v>
      </c>
      <c r="AP431" s="14">
        <f t="shared" si="110"/>
        <v>1</v>
      </c>
      <c r="AQ431" s="14">
        <f t="shared" si="111"/>
        <v>2</v>
      </c>
      <c r="AR431" s="14">
        <f t="shared" si="112"/>
        <v>3</v>
      </c>
      <c r="AS431" s="14">
        <f t="shared" si="113"/>
        <v>1606027</v>
      </c>
      <c r="AT431" s="14" t="str">
        <f t="shared" si="114"/>
        <v>神器-5-碎片-5-18级</v>
      </c>
      <c r="AU431" s="13" t="s">
        <v>1195</v>
      </c>
      <c r="AV431" s="13">
        <f t="shared" si="115"/>
        <v>18</v>
      </c>
      <c r="AW431" s="14">
        <f t="shared" si="116"/>
        <v>16860</v>
      </c>
      <c r="AX431" s="14" t="str">
        <f t="shared" si="117"/>
        <v>AtkExt</v>
      </c>
      <c r="AY431" s="14">
        <f t="shared" si="118"/>
        <v>1033</v>
      </c>
      <c r="AZ431" s="14" t="str">
        <f t="shared" si="119"/>
        <v>DefExt</v>
      </c>
      <c r="BA431" s="14">
        <f t="shared" si="120"/>
        <v>1062</v>
      </c>
      <c r="BB431" s="14" t="str">
        <f t="shared" si="121"/>
        <v>HPExt</v>
      </c>
      <c r="BC431" s="14">
        <f t="shared" si="122"/>
        <v>1075</v>
      </c>
      <c r="BD431" s="14" t="str">
        <f t="shared" si="123"/>
        <v/>
      </c>
      <c r="BE431" s="14" t="str">
        <f t="shared" si="124"/>
        <v/>
      </c>
    </row>
    <row r="432" spans="39:57" ht="16.5" x14ac:dyDescent="0.2">
      <c r="AM432" s="13">
        <v>427</v>
      </c>
      <c r="AN432" s="14">
        <f t="shared" si="125"/>
        <v>26</v>
      </c>
      <c r="AO432" s="29">
        <f t="shared" si="109"/>
        <v>0.1</v>
      </c>
      <c r="AP432" s="14">
        <f t="shared" si="110"/>
        <v>2</v>
      </c>
      <c r="AQ432" s="14">
        <f t="shared" si="111"/>
        <v>0</v>
      </c>
      <c r="AR432" s="14">
        <f t="shared" si="112"/>
        <v>0</v>
      </c>
      <c r="AS432" s="14">
        <f t="shared" si="113"/>
        <v>1606028</v>
      </c>
      <c r="AT432" s="14" t="str">
        <f t="shared" si="114"/>
        <v>神器-5-碎片-6-1级</v>
      </c>
      <c r="AU432" s="13" t="s">
        <v>1195</v>
      </c>
      <c r="AV432" s="13">
        <f t="shared" si="115"/>
        <v>1</v>
      </c>
      <c r="AW432" s="14">
        <f t="shared" si="116"/>
        <v>2990</v>
      </c>
      <c r="AX432" s="14" t="str">
        <f t="shared" si="117"/>
        <v>DefExt</v>
      </c>
      <c r="AY432" s="14">
        <f t="shared" si="118"/>
        <v>299</v>
      </c>
      <c r="AZ432" s="14" t="str">
        <f t="shared" si="119"/>
        <v/>
      </c>
      <c r="BA432" s="14" t="str">
        <f t="shared" si="120"/>
        <v/>
      </c>
      <c r="BB432" s="14" t="str">
        <f t="shared" si="121"/>
        <v/>
      </c>
      <c r="BC432" s="14" t="str">
        <f t="shared" si="122"/>
        <v/>
      </c>
      <c r="BD432" s="14" t="str">
        <f t="shared" si="123"/>
        <v/>
      </c>
      <c r="BE432" s="14" t="str">
        <f t="shared" si="124"/>
        <v/>
      </c>
    </row>
    <row r="433" spans="39:57" ht="16.5" x14ac:dyDescent="0.2">
      <c r="AM433" s="13">
        <v>428</v>
      </c>
      <c r="AN433" s="14">
        <f t="shared" si="125"/>
        <v>26</v>
      </c>
      <c r="AO433" s="29">
        <f t="shared" si="109"/>
        <v>0.15600000000000003</v>
      </c>
      <c r="AP433" s="14">
        <f t="shared" si="110"/>
        <v>2</v>
      </c>
      <c r="AQ433" s="14">
        <f t="shared" si="111"/>
        <v>0</v>
      </c>
      <c r="AR433" s="14">
        <f t="shared" si="112"/>
        <v>0</v>
      </c>
      <c r="AS433" s="14">
        <f t="shared" si="113"/>
        <v>1606028</v>
      </c>
      <c r="AT433" s="14" t="str">
        <f t="shared" si="114"/>
        <v>神器-5-碎片-6-2级</v>
      </c>
      <c r="AU433" s="13" t="s">
        <v>1195</v>
      </c>
      <c r="AV433" s="13">
        <f t="shared" si="115"/>
        <v>2</v>
      </c>
      <c r="AW433" s="14">
        <f t="shared" si="116"/>
        <v>4670</v>
      </c>
      <c r="AX433" s="14" t="str">
        <f t="shared" si="117"/>
        <v>DefExt</v>
      </c>
      <c r="AY433" s="14">
        <f t="shared" si="118"/>
        <v>467</v>
      </c>
      <c r="AZ433" s="14" t="str">
        <f t="shared" si="119"/>
        <v/>
      </c>
      <c r="BA433" s="14" t="str">
        <f t="shared" si="120"/>
        <v/>
      </c>
      <c r="BB433" s="14" t="str">
        <f t="shared" si="121"/>
        <v/>
      </c>
      <c r="BC433" s="14" t="str">
        <f t="shared" si="122"/>
        <v/>
      </c>
      <c r="BD433" s="14" t="str">
        <f t="shared" si="123"/>
        <v/>
      </c>
      <c r="BE433" s="14" t="str">
        <f t="shared" si="124"/>
        <v/>
      </c>
    </row>
    <row r="434" spans="39:57" ht="16.5" x14ac:dyDescent="0.2">
      <c r="AM434" s="13">
        <v>429</v>
      </c>
      <c r="AN434" s="14">
        <f t="shared" si="125"/>
        <v>26</v>
      </c>
      <c r="AO434" s="29">
        <f t="shared" si="109"/>
        <v>0.21600000000000003</v>
      </c>
      <c r="AP434" s="14">
        <f t="shared" si="110"/>
        <v>2</v>
      </c>
      <c r="AQ434" s="14">
        <f t="shared" si="111"/>
        <v>0</v>
      </c>
      <c r="AR434" s="14">
        <f t="shared" si="112"/>
        <v>0</v>
      </c>
      <c r="AS434" s="14">
        <f t="shared" si="113"/>
        <v>1606028</v>
      </c>
      <c r="AT434" s="14" t="str">
        <f t="shared" si="114"/>
        <v>神器-5-碎片-6-3级</v>
      </c>
      <c r="AU434" s="13" t="s">
        <v>1195</v>
      </c>
      <c r="AV434" s="13">
        <f t="shared" si="115"/>
        <v>3</v>
      </c>
      <c r="AW434" s="14">
        <f t="shared" si="116"/>
        <v>6470</v>
      </c>
      <c r="AX434" s="14" t="str">
        <f t="shared" si="117"/>
        <v>DefExt</v>
      </c>
      <c r="AY434" s="14">
        <f t="shared" si="118"/>
        <v>647</v>
      </c>
      <c r="AZ434" s="14" t="str">
        <f t="shared" si="119"/>
        <v/>
      </c>
      <c r="BA434" s="14" t="str">
        <f t="shared" si="120"/>
        <v/>
      </c>
      <c r="BB434" s="14" t="str">
        <f t="shared" si="121"/>
        <v/>
      </c>
      <c r="BC434" s="14" t="str">
        <f t="shared" si="122"/>
        <v/>
      </c>
      <c r="BD434" s="14" t="str">
        <f t="shared" si="123"/>
        <v/>
      </c>
      <c r="BE434" s="14" t="str">
        <f t="shared" si="124"/>
        <v/>
      </c>
    </row>
    <row r="435" spans="39:57" ht="16.5" x14ac:dyDescent="0.2">
      <c r="AM435" s="13">
        <v>430</v>
      </c>
      <c r="AN435" s="14">
        <f t="shared" si="125"/>
        <v>26</v>
      </c>
      <c r="AO435" s="29">
        <f t="shared" si="109"/>
        <v>0.28000000000000003</v>
      </c>
      <c r="AP435" s="14">
        <f t="shared" si="110"/>
        <v>2</v>
      </c>
      <c r="AQ435" s="14">
        <f t="shared" si="111"/>
        <v>0</v>
      </c>
      <c r="AR435" s="14">
        <f t="shared" si="112"/>
        <v>0</v>
      </c>
      <c r="AS435" s="14">
        <f t="shared" si="113"/>
        <v>1606028</v>
      </c>
      <c r="AT435" s="14" t="str">
        <f t="shared" si="114"/>
        <v>神器-5-碎片-6-4级</v>
      </c>
      <c r="AU435" s="13" t="s">
        <v>1195</v>
      </c>
      <c r="AV435" s="13">
        <f t="shared" si="115"/>
        <v>4</v>
      </c>
      <c r="AW435" s="14">
        <f t="shared" si="116"/>
        <v>8380</v>
      </c>
      <c r="AX435" s="14" t="str">
        <f t="shared" si="117"/>
        <v>DefExt</v>
      </c>
      <c r="AY435" s="14">
        <f t="shared" si="118"/>
        <v>838</v>
      </c>
      <c r="AZ435" s="14" t="str">
        <f t="shared" si="119"/>
        <v/>
      </c>
      <c r="BA435" s="14" t="str">
        <f t="shared" si="120"/>
        <v/>
      </c>
      <c r="BB435" s="14" t="str">
        <f t="shared" si="121"/>
        <v/>
      </c>
      <c r="BC435" s="14" t="str">
        <f t="shared" si="122"/>
        <v/>
      </c>
      <c r="BD435" s="14" t="str">
        <f t="shared" si="123"/>
        <v/>
      </c>
      <c r="BE435" s="14" t="str">
        <f t="shared" si="124"/>
        <v/>
      </c>
    </row>
    <row r="436" spans="39:57" ht="16.5" x14ac:dyDescent="0.2">
      <c r="AM436" s="13">
        <v>431</v>
      </c>
      <c r="AN436" s="14">
        <f t="shared" si="125"/>
        <v>26</v>
      </c>
      <c r="AO436" s="29">
        <f t="shared" si="109"/>
        <v>0.34799999999999998</v>
      </c>
      <c r="AP436" s="14">
        <f t="shared" si="110"/>
        <v>2</v>
      </c>
      <c r="AQ436" s="14">
        <f t="shared" si="111"/>
        <v>0</v>
      </c>
      <c r="AR436" s="14">
        <f t="shared" si="112"/>
        <v>0</v>
      </c>
      <c r="AS436" s="14">
        <f t="shared" si="113"/>
        <v>1606028</v>
      </c>
      <c r="AT436" s="14" t="str">
        <f t="shared" si="114"/>
        <v>神器-5-碎片-6-5级</v>
      </c>
      <c r="AU436" s="13" t="s">
        <v>1195</v>
      </c>
      <c r="AV436" s="13">
        <f t="shared" si="115"/>
        <v>5</v>
      </c>
      <c r="AW436" s="14">
        <f t="shared" si="116"/>
        <v>10420</v>
      </c>
      <c r="AX436" s="14" t="str">
        <f t="shared" si="117"/>
        <v>DefExt</v>
      </c>
      <c r="AY436" s="14">
        <f t="shared" si="118"/>
        <v>1042</v>
      </c>
      <c r="AZ436" s="14" t="str">
        <f t="shared" si="119"/>
        <v/>
      </c>
      <c r="BA436" s="14" t="str">
        <f t="shared" si="120"/>
        <v/>
      </c>
      <c r="BB436" s="14" t="str">
        <f t="shared" si="121"/>
        <v/>
      </c>
      <c r="BC436" s="14" t="str">
        <f t="shared" si="122"/>
        <v/>
      </c>
      <c r="BD436" s="14" t="str">
        <f t="shared" si="123"/>
        <v/>
      </c>
      <c r="BE436" s="14" t="str">
        <f t="shared" si="124"/>
        <v/>
      </c>
    </row>
    <row r="437" spans="39:57" ht="16.5" x14ac:dyDescent="0.2">
      <c r="AM437" s="13">
        <v>432</v>
      </c>
      <c r="AN437" s="14">
        <f t="shared" si="125"/>
        <v>26</v>
      </c>
      <c r="AO437" s="29">
        <f t="shared" si="109"/>
        <v>0.42000000000000004</v>
      </c>
      <c r="AP437" s="14">
        <f t="shared" si="110"/>
        <v>2</v>
      </c>
      <c r="AQ437" s="14">
        <f t="shared" si="111"/>
        <v>0</v>
      </c>
      <c r="AR437" s="14">
        <f t="shared" si="112"/>
        <v>0</v>
      </c>
      <c r="AS437" s="14">
        <f t="shared" si="113"/>
        <v>1606028</v>
      </c>
      <c r="AT437" s="14" t="str">
        <f t="shared" si="114"/>
        <v>神器-5-碎片-6-6级</v>
      </c>
      <c r="AU437" s="13" t="s">
        <v>1195</v>
      </c>
      <c r="AV437" s="13">
        <f t="shared" si="115"/>
        <v>6</v>
      </c>
      <c r="AW437" s="14">
        <f t="shared" si="116"/>
        <v>12570</v>
      </c>
      <c r="AX437" s="14" t="str">
        <f t="shared" si="117"/>
        <v>DefExt</v>
      </c>
      <c r="AY437" s="14">
        <f t="shared" si="118"/>
        <v>1257</v>
      </c>
      <c r="AZ437" s="14" t="str">
        <f t="shared" si="119"/>
        <v/>
      </c>
      <c r="BA437" s="14" t="str">
        <f t="shared" si="120"/>
        <v/>
      </c>
      <c r="BB437" s="14" t="str">
        <f t="shared" si="121"/>
        <v/>
      </c>
      <c r="BC437" s="14" t="str">
        <f t="shared" si="122"/>
        <v/>
      </c>
      <c r="BD437" s="14" t="str">
        <f t="shared" si="123"/>
        <v/>
      </c>
      <c r="BE437" s="14" t="str">
        <f t="shared" si="124"/>
        <v/>
      </c>
    </row>
    <row r="438" spans="39:57" ht="16.5" x14ac:dyDescent="0.2">
      <c r="AM438" s="13">
        <v>433</v>
      </c>
      <c r="AN438" s="14">
        <f t="shared" si="125"/>
        <v>26</v>
      </c>
      <c r="AO438" s="29">
        <f t="shared" si="109"/>
        <v>0.496</v>
      </c>
      <c r="AP438" s="14">
        <f t="shared" si="110"/>
        <v>2</v>
      </c>
      <c r="AQ438" s="14">
        <f t="shared" si="111"/>
        <v>0</v>
      </c>
      <c r="AR438" s="14">
        <f t="shared" si="112"/>
        <v>0</v>
      </c>
      <c r="AS438" s="14">
        <f t="shared" si="113"/>
        <v>1606028</v>
      </c>
      <c r="AT438" s="14" t="str">
        <f t="shared" si="114"/>
        <v>神器-5-碎片-6-7级</v>
      </c>
      <c r="AU438" s="13" t="s">
        <v>1195</v>
      </c>
      <c r="AV438" s="13">
        <f t="shared" si="115"/>
        <v>7</v>
      </c>
      <c r="AW438" s="14">
        <f t="shared" si="116"/>
        <v>14850</v>
      </c>
      <c r="AX438" s="14" t="str">
        <f t="shared" si="117"/>
        <v>DefExt</v>
      </c>
      <c r="AY438" s="14">
        <f t="shared" si="118"/>
        <v>1485</v>
      </c>
      <c r="AZ438" s="14" t="str">
        <f t="shared" si="119"/>
        <v/>
      </c>
      <c r="BA438" s="14" t="str">
        <f t="shared" si="120"/>
        <v/>
      </c>
      <c r="BB438" s="14" t="str">
        <f t="shared" si="121"/>
        <v/>
      </c>
      <c r="BC438" s="14" t="str">
        <f t="shared" si="122"/>
        <v/>
      </c>
      <c r="BD438" s="14" t="str">
        <f t="shared" si="123"/>
        <v/>
      </c>
      <c r="BE438" s="14" t="str">
        <f t="shared" si="124"/>
        <v/>
      </c>
    </row>
    <row r="439" spans="39:57" ht="16.5" x14ac:dyDescent="0.2">
      <c r="AM439" s="13">
        <v>434</v>
      </c>
      <c r="AN439" s="14">
        <f t="shared" si="125"/>
        <v>26</v>
      </c>
      <c r="AO439" s="29">
        <f t="shared" si="109"/>
        <v>0.57600000000000007</v>
      </c>
      <c r="AP439" s="14">
        <f t="shared" si="110"/>
        <v>2</v>
      </c>
      <c r="AQ439" s="14">
        <f t="shared" si="111"/>
        <v>0</v>
      </c>
      <c r="AR439" s="14">
        <f t="shared" si="112"/>
        <v>0</v>
      </c>
      <c r="AS439" s="14">
        <f t="shared" si="113"/>
        <v>1606028</v>
      </c>
      <c r="AT439" s="14" t="str">
        <f t="shared" si="114"/>
        <v>神器-5-碎片-6-8级</v>
      </c>
      <c r="AU439" s="13" t="s">
        <v>1195</v>
      </c>
      <c r="AV439" s="13">
        <f t="shared" si="115"/>
        <v>8</v>
      </c>
      <c r="AW439" s="14">
        <f t="shared" si="116"/>
        <v>17240</v>
      </c>
      <c r="AX439" s="14" t="str">
        <f t="shared" si="117"/>
        <v>DefExt</v>
      </c>
      <c r="AY439" s="14">
        <f t="shared" si="118"/>
        <v>1724</v>
      </c>
      <c r="AZ439" s="14" t="str">
        <f t="shared" si="119"/>
        <v/>
      </c>
      <c r="BA439" s="14" t="str">
        <f t="shared" si="120"/>
        <v/>
      </c>
      <c r="BB439" s="14" t="str">
        <f t="shared" si="121"/>
        <v/>
      </c>
      <c r="BC439" s="14" t="str">
        <f t="shared" si="122"/>
        <v/>
      </c>
      <c r="BD439" s="14" t="str">
        <f t="shared" si="123"/>
        <v/>
      </c>
      <c r="BE439" s="14" t="str">
        <f t="shared" si="124"/>
        <v/>
      </c>
    </row>
    <row r="440" spans="39:57" ht="16.5" x14ac:dyDescent="0.2">
      <c r="AM440" s="13">
        <v>435</v>
      </c>
      <c r="AN440" s="14">
        <f t="shared" si="125"/>
        <v>26</v>
      </c>
      <c r="AO440" s="29">
        <f t="shared" si="109"/>
        <v>0.66</v>
      </c>
      <c r="AP440" s="14">
        <f t="shared" si="110"/>
        <v>2</v>
      </c>
      <c r="AQ440" s="14">
        <f t="shared" si="111"/>
        <v>0</v>
      </c>
      <c r="AR440" s="14">
        <f t="shared" si="112"/>
        <v>0</v>
      </c>
      <c r="AS440" s="14">
        <f t="shared" si="113"/>
        <v>1606028</v>
      </c>
      <c r="AT440" s="14" t="str">
        <f t="shared" si="114"/>
        <v>神器-5-碎片-6-9级</v>
      </c>
      <c r="AU440" s="13" t="s">
        <v>1195</v>
      </c>
      <c r="AV440" s="13">
        <f t="shared" si="115"/>
        <v>9</v>
      </c>
      <c r="AW440" s="14">
        <f t="shared" si="116"/>
        <v>19760</v>
      </c>
      <c r="AX440" s="14" t="str">
        <f t="shared" si="117"/>
        <v>DefExt</v>
      </c>
      <c r="AY440" s="14">
        <f t="shared" si="118"/>
        <v>1976</v>
      </c>
      <c r="AZ440" s="14" t="str">
        <f t="shared" si="119"/>
        <v/>
      </c>
      <c r="BA440" s="14" t="str">
        <f t="shared" si="120"/>
        <v/>
      </c>
      <c r="BB440" s="14" t="str">
        <f t="shared" si="121"/>
        <v/>
      </c>
      <c r="BC440" s="14" t="str">
        <f t="shared" si="122"/>
        <v/>
      </c>
      <c r="BD440" s="14" t="str">
        <f t="shared" si="123"/>
        <v/>
      </c>
      <c r="BE440" s="14" t="str">
        <f t="shared" si="124"/>
        <v/>
      </c>
    </row>
    <row r="441" spans="39:57" ht="16.5" x14ac:dyDescent="0.2">
      <c r="AM441" s="13">
        <v>436</v>
      </c>
      <c r="AN441" s="14">
        <f t="shared" si="125"/>
        <v>26</v>
      </c>
      <c r="AO441" s="29">
        <f t="shared" si="109"/>
        <v>0.748</v>
      </c>
      <c r="AP441" s="14">
        <f t="shared" si="110"/>
        <v>2</v>
      </c>
      <c r="AQ441" s="14">
        <f t="shared" si="111"/>
        <v>0</v>
      </c>
      <c r="AR441" s="14">
        <f t="shared" si="112"/>
        <v>0</v>
      </c>
      <c r="AS441" s="14">
        <f t="shared" si="113"/>
        <v>1606028</v>
      </c>
      <c r="AT441" s="14" t="str">
        <f t="shared" si="114"/>
        <v>神器-5-碎片-6-10级</v>
      </c>
      <c r="AU441" s="13" t="s">
        <v>1195</v>
      </c>
      <c r="AV441" s="13">
        <f t="shared" si="115"/>
        <v>10</v>
      </c>
      <c r="AW441" s="14">
        <f t="shared" si="116"/>
        <v>22390</v>
      </c>
      <c r="AX441" s="14" t="str">
        <f t="shared" si="117"/>
        <v>DefExt</v>
      </c>
      <c r="AY441" s="14">
        <f t="shared" si="118"/>
        <v>2239</v>
      </c>
      <c r="AZ441" s="14" t="str">
        <f t="shared" si="119"/>
        <v/>
      </c>
      <c r="BA441" s="14" t="str">
        <f t="shared" si="120"/>
        <v/>
      </c>
      <c r="BB441" s="14" t="str">
        <f t="shared" si="121"/>
        <v/>
      </c>
      <c r="BC441" s="14" t="str">
        <f t="shared" si="122"/>
        <v/>
      </c>
      <c r="BD441" s="14" t="str">
        <f t="shared" si="123"/>
        <v/>
      </c>
      <c r="BE441" s="14" t="str">
        <f t="shared" si="124"/>
        <v/>
      </c>
    </row>
    <row r="442" spans="39:57" ht="16.5" x14ac:dyDescent="0.2">
      <c r="AM442" s="13">
        <v>437</v>
      </c>
      <c r="AN442" s="14">
        <f t="shared" si="125"/>
        <v>26</v>
      </c>
      <c r="AO442" s="29">
        <f t="shared" si="109"/>
        <v>0.84000000000000008</v>
      </c>
      <c r="AP442" s="14">
        <f t="shared" si="110"/>
        <v>2</v>
      </c>
      <c r="AQ442" s="14">
        <f t="shared" si="111"/>
        <v>0</v>
      </c>
      <c r="AR442" s="14">
        <f t="shared" si="112"/>
        <v>0</v>
      </c>
      <c r="AS442" s="14">
        <f t="shared" si="113"/>
        <v>1606028</v>
      </c>
      <c r="AT442" s="14" t="str">
        <f t="shared" si="114"/>
        <v>神器-5-碎片-6-11级</v>
      </c>
      <c r="AU442" s="13" t="s">
        <v>1195</v>
      </c>
      <c r="AV442" s="13">
        <f t="shared" si="115"/>
        <v>11</v>
      </c>
      <c r="AW442" s="14">
        <f t="shared" si="116"/>
        <v>25150</v>
      </c>
      <c r="AX442" s="14" t="str">
        <f t="shared" si="117"/>
        <v>DefExt</v>
      </c>
      <c r="AY442" s="14">
        <f t="shared" si="118"/>
        <v>2515</v>
      </c>
      <c r="AZ442" s="14" t="str">
        <f t="shared" si="119"/>
        <v/>
      </c>
      <c r="BA442" s="14" t="str">
        <f t="shared" si="120"/>
        <v/>
      </c>
      <c r="BB442" s="14" t="str">
        <f t="shared" si="121"/>
        <v/>
      </c>
      <c r="BC442" s="14" t="str">
        <f t="shared" si="122"/>
        <v/>
      </c>
      <c r="BD442" s="14" t="str">
        <f t="shared" si="123"/>
        <v/>
      </c>
      <c r="BE442" s="14" t="str">
        <f t="shared" si="124"/>
        <v/>
      </c>
    </row>
    <row r="443" spans="39:57" ht="16.5" x14ac:dyDescent="0.2">
      <c r="AM443" s="13">
        <v>438</v>
      </c>
      <c r="AN443" s="14">
        <f t="shared" si="125"/>
        <v>26</v>
      </c>
      <c r="AO443" s="29">
        <f t="shared" si="109"/>
        <v>0.93600000000000017</v>
      </c>
      <c r="AP443" s="14">
        <f t="shared" si="110"/>
        <v>2</v>
      </c>
      <c r="AQ443" s="14">
        <f t="shared" si="111"/>
        <v>0</v>
      </c>
      <c r="AR443" s="14">
        <f t="shared" si="112"/>
        <v>0</v>
      </c>
      <c r="AS443" s="14">
        <f t="shared" si="113"/>
        <v>1606028</v>
      </c>
      <c r="AT443" s="14" t="str">
        <f t="shared" si="114"/>
        <v>神器-5-碎片-6-12级</v>
      </c>
      <c r="AU443" s="13" t="s">
        <v>1195</v>
      </c>
      <c r="AV443" s="13">
        <f t="shared" si="115"/>
        <v>12</v>
      </c>
      <c r="AW443" s="14">
        <f t="shared" si="116"/>
        <v>28020</v>
      </c>
      <c r="AX443" s="14" t="str">
        <f t="shared" si="117"/>
        <v>DefExt</v>
      </c>
      <c r="AY443" s="14">
        <f t="shared" si="118"/>
        <v>2802</v>
      </c>
      <c r="AZ443" s="14" t="str">
        <f t="shared" si="119"/>
        <v/>
      </c>
      <c r="BA443" s="14" t="str">
        <f t="shared" si="120"/>
        <v/>
      </c>
      <c r="BB443" s="14" t="str">
        <f t="shared" si="121"/>
        <v/>
      </c>
      <c r="BC443" s="14" t="str">
        <f t="shared" si="122"/>
        <v/>
      </c>
      <c r="BD443" s="14" t="str">
        <f t="shared" si="123"/>
        <v/>
      </c>
      <c r="BE443" s="14" t="str">
        <f t="shared" si="124"/>
        <v/>
      </c>
    </row>
    <row r="444" spans="39:57" ht="16.5" x14ac:dyDescent="0.2">
      <c r="AM444" s="13">
        <v>439</v>
      </c>
      <c r="AN444" s="14">
        <f t="shared" si="125"/>
        <v>26</v>
      </c>
      <c r="AO444" s="29">
        <f t="shared" si="109"/>
        <v>1.036</v>
      </c>
      <c r="AP444" s="14">
        <f t="shared" si="110"/>
        <v>2</v>
      </c>
      <c r="AQ444" s="14">
        <f t="shared" si="111"/>
        <v>0</v>
      </c>
      <c r="AR444" s="14">
        <f t="shared" si="112"/>
        <v>0</v>
      </c>
      <c r="AS444" s="14">
        <f t="shared" si="113"/>
        <v>1606028</v>
      </c>
      <c r="AT444" s="14" t="str">
        <f t="shared" si="114"/>
        <v>神器-5-碎片-6-13级</v>
      </c>
      <c r="AU444" s="13" t="s">
        <v>1195</v>
      </c>
      <c r="AV444" s="13">
        <f t="shared" si="115"/>
        <v>13</v>
      </c>
      <c r="AW444" s="14">
        <f t="shared" si="116"/>
        <v>31010</v>
      </c>
      <c r="AX444" s="14" t="str">
        <f t="shared" si="117"/>
        <v>DefExt</v>
      </c>
      <c r="AY444" s="14">
        <f t="shared" si="118"/>
        <v>3101</v>
      </c>
      <c r="AZ444" s="14" t="str">
        <f t="shared" si="119"/>
        <v/>
      </c>
      <c r="BA444" s="14" t="str">
        <f t="shared" si="120"/>
        <v/>
      </c>
      <c r="BB444" s="14" t="str">
        <f t="shared" si="121"/>
        <v/>
      </c>
      <c r="BC444" s="14" t="str">
        <f t="shared" si="122"/>
        <v/>
      </c>
      <c r="BD444" s="14" t="str">
        <f t="shared" si="123"/>
        <v/>
      </c>
      <c r="BE444" s="14" t="str">
        <f t="shared" si="124"/>
        <v/>
      </c>
    </row>
    <row r="445" spans="39:57" ht="16.5" x14ac:dyDescent="0.2">
      <c r="AM445" s="13">
        <v>440</v>
      </c>
      <c r="AN445" s="14">
        <f t="shared" si="125"/>
        <v>26</v>
      </c>
      <c r="AO445" s="29">
        <f t="shared" si="109"/>
        <v>1.1400000000000001</v>
      </c>
      <c r="AP445" s="14">
        <f t="shared" si="110"/>
        <v>2</v>
      </c>
      <c r="AQ445" s="14">
        <f t="shared" si="111"/>
        <v>0</v>
      </c>
      <c r="AR445" s="14">
        <f t="shared" si="112"/>
        <v>0</v>
      </c>
      <c r="AS445" s="14">
        <f t="shared" si="113"/>
        <v>1606028</v>
      </c>
      <c r="AT445" s="14" t="str">
        <f t="shared" si="114"/>
        <v>神器-5-碎片-6-14级</v>
      </c>
      <c r="AU445" s="13" t="s">
        <v>1195</v>
      </c>
      <c r="AV445" s="13">
        <f t="shared" si="115"/>
        <v>14</v>
      </c>
      <c r="AW445" s="14">
        <f t="shared" si="116"/>
        <v>34130</v>
      </c>
      <c r="AX445" s="14" t="str">
        <f t="shared" si="117"/>
        <v>DefExt</v>
      </c>
      <c r="AY445" s="14">
        <f t="shared" si="118"/>
        <v>3413</v>
      </c>
      <c r="AZ445" s="14" t="str">
        <f t="shared" si="119"/>
        <v/>
      </c>
      <c r="BA445" s="14" t="str">
        <f t="shared" si="120"/>
        <v/>
      </c>
      <c r="BB445" s="14" t="str">
        <f t="shared" si="121"/>
        <v/>
      </c>
      <c r="BC445" s="14" t="str">
        <f t="shared" si="122"/>
        <v/>
      </c>
      <c r="BD445" s="14" t="str">
        <f t="shared" si="123"/>
        <v/>
      </c>
      <c r="BE445" s="14" t="str">
        <f t="shared" si="124"/>
        <v/>
      </c>
    </row>
    <row r="446" spans="39:57" ht="16.5" x14ac:dyDescent="0.2">
      <c r="AM446" s="13">
        <v>441</v>
      </c>
      <c r="AN446" s="14">
        <f t="shared" si="125"/>
        <v>26</v>
      </c>
      <c r="AO446" s="29">
        <f t="shared" si="109"/>
        <v>1.248</v>
      </c>
      <c r="AP446" s="14">
        <f t="shared" si="110"/>
        <v>2</v>
      </c>
      <c r="AQ446" s="14">
        <f t="shared" si="111"/>
        <v>0</v>
      </c>
      <c r="AR446" s="14">
        <f t="shared" si="112"/>
        <v>0</v>
      </c>
      <c r="AS446" s="14">
        <f t="shared" si="113"/>
        <v>1606028</v>
      </c>
      <c r="AT446" s="14" t="str">
        <f t="shared" si="114"/>
        <v>神器-5-碎片-6-15级</v>
      </c>
      <c r="AU446" s="13" t="s">
        <v>1195</v>
      </c>
      <c r="AV446" s="13">
        <f t="shared" si="115"/>
        <v>15</v>
      </c>
      <c r="AW446" s="14">
        <f t="shared" si="116"/>
        <v>37360</v>
      </c>
      <c r="AX446" s="14" t="str">
        <f t="shared" si="117"/>
        <v>DefExt</v>
      </c>
      <c r="AY446" s="14">
        <f t="shared" si="118"/>
        <v>3736</v>
      </c>
      <c r="AZ446" s="14" t="str">
        <f t="shared" si="119"/>
        <v/>
      </c>
      <c r="BA446" s="14" t="str">
        <f t="shared" si="120"/>
        <v/>
      </c>
      <c r="BB446" s="14" t="str">
        <f t="shared" si="121"/>
        <v/>
      </c>
      <c r="BC446" s="14" t="str">
        <f t="shared" si="122"/>
        <v/>
      </c>
      <c r="BD446" s="14" t="str">
        <f t="shared" si="123"/>
        <v/>
      </c>
      <c r="BE446" s="14" t="str">
        <f t="shared" si="124"/>
        <v/>
      </c>
    </row>
    <row r="447" spans="39:57" ht="16.5" x14ac:dyDescent="0.2">
      <c r="AM447" s="13">
        <v>442</v>
      </c>
      <c r="AN447" s="14">
        <f t="shared" si="125"/>
        <v>26</v>
      </c>
      <c r="AO447" s="29">
        <f t="shared" si="109"/>
        <v>1.36</v>
      </c>
      <c r="AP447" s="14">
        <f t="shared" si="110"/>
        <v>2</v>
      </c>
      <c r="AQ447" s="14">
        <f t="shared" si="111"/>
        <v>0</v>
      </c>
      <c r="AR447" s="14">
        <f t="shared" si="112"/>
        <v>0</v>
      </c>
      <c r="AS447" s="14">
        <f t="shared" si="113"/>
        <v>1606028</v>
      </c>
      <c r="AT447" s="14" t="str">
        <f t="shared" si="114"/>
        <v>神器-5-碎片-6-16级</v>
      </c>
      <c r="AU447" s="13" t="s">
        <v>1195</v>
      </c>
      <c r="AV447" s="13">
        <f t="shared" si="115"/>
        <v>16</v>
      </c>
      <c r="AW447" s="14">
        <f t="shared" si="116"/>
        <v>40710</v>
      </c>
      <c r="AX447" s="14" t="str">
        <f t="shared" si="117"/>
        <v>DefExt</v>
      </c>
      <c r="AY447" s="14">
        <f t="shared" si="118"/>
        <v>4071</v>
      </c>
      <c r="AZ447" s="14" t="str">
        <f t="shared" si="119"/>
        <v/>
      </c>
      <c r="BA447" s="14" t="str">
        <f t="shared" si="120"/>
        <v/>
      </c>
      <c r="BB447" s="14" t="str">
        <f t="shared" si="121"/>
        <v/>
      </c>
      <c r="BC447" s="14" t="str">
        <f t="shared" si="122"/>
        <v/>
      </c>
      <c r="BD447" s="14" t="str">
        <f t="shared" si="123"/>
        <v/>
      </c>
      <c r="BE447" s="14" t="str">
        <f t="shared" si="124"/>
        <v/>
      </c>
    </row>
    <row r="448" spans="39:57" ht="16.5" x14ac:dyDescent="0.2">
      <c r="AM448" s="13">
        <v>443</v>
      </c>
      <c r="AN448" s="14">
        <f t="shared" si="125"/>
        <v>26</v>
      </c>
      <c r="AO448" s="29">
        <f t="shared" si="109"/>
        <v>1.476</v>
      </c>
      <c r="AP448" s="14">
        <f t="shared" si="110"/>
        <v>2</v>
      </c>
      <c r="AQ448" s="14">
        <f t="shared" si="111"/>
        <v>0</v>
      </c>
      <c r="AR448" s="14">
        <f t="shared" si="112"/>
        <v>0</v>
      </c>
      <c r="AS448" s="14">
        <f t="shared" si="113"/>
        <v>1606028</v>
      </c>
      <c r="AT448" s="14" t="str">
        <f t="shared" si="114"/>
        <v>神器-5-碎片-6-17级</v>
      </c>
      <c r="AU448" s="13" t="s">
        <v>1195</v>
      </c>
      <c r="AV448" s="13">
        <f t="shared" si="115"/>
        <v>17</v>
      </c>
      <c r="AW448" s="14">
        <f t="shared" si="116"/>
        <v>44180</v>
      </c>
      <c r="AX448" s="14" t="str">
        <f t="shared" si="117"/>
        <v>DefExt</v>
      </c>
      <c r="AY448" s="14">
        <f t="shared" si="118"/>
        <v>4418</v>
      </c>
      <c r="AZ448" s="14" t="str">
        <f t="shared" si="119"/>
        <v/>
      </c>
      <c r="BA448" s="14" t="str">
        <f t="shared" si="120"/>
        <v/>
      </c>
      <c r="BB448" s="14" t="str">
        <f t="shared" si="121"/>
        <v/>
      </c>
      <c r="BC448" s="14" t="str">
        <f t="shared" si="122"/>
        <v/>
      </c>
      <c r="BD448" s="14" t="str">
        <f t="shared" si="123"/>
        <v/>
      </c>
      <c r="BE448" s="14" t="str">
        <f t="shared" si="124"/>
        <v/>
      </c>
    </row>
    <row r="449" spans="39:57" ht="16.5" x14ac:dyDescent="0.2">
      <c r="AM449" s="13">
        <v>444</v>
      </c>
      <c r="AN449" s="14">
        <f t="shared" si="125"/>
        <v>26</v>
      </c>
      <c r="AO449" s="29">
        <f t="shared" si="109"/>
        <v>1.5960000000000001</v>
      </c>
      <c r="AP449" s="14">
        <f t="shared" si="110"/>
        <v>2</v>
      </c>
      <c r="AQ449" s="14">
        <f t="shared" si="111"/>
        <v>0</v>
      </c>
      <c r="AR449" s="14">
        <f t="shared" si="112"/>
        <v>0</v>
      </c>
      <c r="AS449" s="14">
        <f t="shared" si="113"/>
        <v>1606028</v>
      </c>
      <c r="AT449" s="14" t="str">
        <f t="shared" si="114"/>
        <v>神器-5-碎片-6-18级</v>
      </c>
      <c r="AU449" s="13" t="s">
        <v>1195</v>
      </c>
      <c r="AV449" s="13">
        <f t="shared" si="115"/>
        <v>18</v>
      </c>
      <c r="AW449" s="14">
        <f t="shared" si="116"/>
        <v>47780</v>
      </c>
      <c r="AX449" s="14" t="str">
        <f t="shared" si="117"/>
        <v>DefExt</v>
      </c>
      <c r="AY449" s="14">
        <f t="shared" si="118"/>
        <v>4778</v>
      </c>
      <c r="AZ449" s="14" t="str">
        <f t="shared" si="119"/>
        <v/>
      </c>
      <c r="BA449" s="14" t="str">
        <f t="shared" si="120"/>
        <v/>
      </c>
      <c r="BB449" s="14" t="str">
        <f t="shared" si="121"/>
        <v/>
      </c>
      <c r="BC449" s="14" t="str">
        <f t="shared" si="122"/>
        <v/>
      </c>
      <c r="BD449" s="14" t="str">
        <f t="shared" si="123"/>
        <v/>
      </c>
      <c r="BE449" s="14" t="str">
        <f t="shared" si="124"/>
        <v/>
      </c>
    </row>
    <row r="450" spans="39:57" ht="16.5" x14ac:dyDescent="0.2">
      <c r="AM450" s="13">
        <v>445</v>
      </c>
      <c r="AN450" s="14">
        <f t="shared" si="125"/>
        <v>27</v>
      </c>
      <c r="AO450" s="29">
        <f t="shared" si="109"/>
        <v>0.1</v>
      </c>
      <c r="AP450" s="14">
        <f t="shared" si="110"/>
        <v>1</v>
      </c>
      <c r="AQ450" s="14">
        <f t="shared" si="111"/>
        <v>2</v>
      </c>
      <c r="AR450" s="14">
        <f t="shared" si="112"/>
        <v>0</v>
      </c>
      <c r="AS450" s="14">
        <f t="shared" si="113"/>
        <v>1606029</v>
      </c>
      <c r="AT450" s="14" t="str">
        <f t="shared" si="114"/>
        <v>神器-6-碎片-1-1级</v>
      </c>
      <c r="AU450" s="13" t="s">
        <v>1195</v>
      </c>
      <c r="AV450" s="13">
        <f t="shared" si="115"/>
        <v>1</v>
      </c>
      <c r="AW450" s="14">
        <f t="shared" si="116"/>
        <v>1315</v>
      </c>
      <c r="AX450" s="14" t="str">
        <f t="shared" si="117"/>
        <v>AtkExt</v>
      </c>
      <c r="AY450" s="14">
        <f t="shared" si="118"/>
        <v>129</v>
      </c>
      <c r="AZ450" s="14" t="str">
        <f t="shared" si="119"/>
        <v>DefExt</v>
      </c>
      <c r="BA450" s="14">
        <f t="shared" si="120"/>
        <v>67</v>
      </c>
      <c r="BB450" s="14" t="str">
        <f t="shared" si="121"/>
        <v/>
      </c>
      <c r="BC450" s="14" t="str">
        <f t="shared" si="122"/>
        <v/>
      </c>
      <c r="BD450" s="14" t="str">
        <f t="shared" si="123"/>
        <v/>
      </c>
      <c r="BE450" s="14" t="str">
        <f t="shared" si="124"/>
        <v/>
      </c>
    </row>
    <row r="451" spans="39:57" ht="16.5" x14ac:dyDescent="0.2">
      <c r="AM451" s="13">
        <v>446</v>
      </c>
      <c r="AN451" s="14">
        <f t="shared" si="125"/>
        <v>27</v>
      </c>
      <c r="AO451" s="29">
        <f t="shared" si="109"/>
        <v>0.15600000000000003</v>
      </c>
      <c r="AP451" s="14">
        <f t="shared" si="110"/>
        <v>1</v>
      </c>
      <c r="AQ451" s="14">
        <f t="shared" si="111"/>
        <v>2</v>
      </c>
      <c r="AR451" s="14">
        <f t="shared" si="112"/>
        <v>0</v>
      </c>
      <c r="AS451" s="14">
        <f t="shared" si="113"/>
        <v>1606029</v>
      </c>
      <c r="AT451" s="14" t="str">
        <f t="shared" si="114"/>
        <v>神器-6-碎片-1-2级</v>
      </c>
      <c r="AU451" s="13" t="s">
        <v>1195</v>
      </c>
      <c r="AV451" s="13">
        <f t="shared" si="115"/>
        <v>2</v>
      </c>
      <c r="AW451" s="14">
        <f t="shared" si="116"/>
        <v>2050</v>
      </c>
      <c r="AX451" s="14" t="str">
        <f t="shared" si="117"/>
        <v>AtkExt</v>
      </c>
      <c r="AY451" s="14">
        <f t="shared" si="118"/>
        <v>202</v>
      </c>
      <c r="AZ451" s="14" t="str">
        <f t="shared" si="119"/>
        <v>DefExt</v>
      </c>
      <c r="BA451" s="14">
        <f t="shared" si="120"/>
        <v>104</v>
      </c>
      <c r="BB451" s="14" t="str">
        <f t="shared" si="121"/>
        <v/>
      </c>
      <c r="BC451" s="14" t="str">
        <f t="shared" si="122"/>
        <v/>
      </c>
      <c r="BD451" s="14" t="str">
        <f t="shared" si="123"/>
        <v/>
      </c>
      <c r="BE451" s="14" t="str">
        <f t="shared" si="124"/>
        <v/>
      </c>
    </row>
    <row r="452" spans="39:57" ht="16.5" x14ac:dyDescent="0.2">
      <c r="AM452" s="13">
        <v>447</v>
      </c>
      <c r="AN452" s="14">
        <f t="shared" si="125"/>
        <v>27</v>
      </c>
      <c r="AO452" s="29">
        <f t="shared" si="109"/>
        <v>0.21600000000000003</v>
      </c>
      <c r="AP452" s="14">
        <f t="shared" si="110"/>
        <v>1</v>
      </c>
      <c r="AQ452" s="14">
        <f t="shared" si="111"/>
        <v>2</v>
      </c>
      <c r="AR452" s="14">
        <f t="shared" si="112"/>
        <v>0</v>
      </c>
      <c r="AS452" s="14">
        <f t="shared" si="113"/>
        <v>1606029</v>
      </c>
      <c r="AT452" s="14" t="str">
        <f t="shared" si="114"/>
        <v>神器-6-碎片-1-3级</v>
      </c>
      <c r="AU452" s="13" t="s">
        <v>1195</v>
      </c>
      <c r="AV452" s="13">
        <f t="shared" si="115"/>
        <v>3</v>
      </c>
      <c r="AW452" s="14">
        <f t="shared" si="116"/>
        <v>2835</v>
      </c>
      <c r="AX452" s="14" t="str">
        <f t="shared" si="117"/>
        <v>AtkExt</v>
      </c>
      <c r="AY452" s="14">
        <f t="shared" si="118"/>
        <v>279</v>
      </c>
      <c r="AZ452" s="14" t="str">
        <f t="shared" si="119"/>
        <v>DefExt</v>
      </c>
      <c r="BA452" s="14">
        <f t="shared" si="120"/>
        <v>144</v>
      </c>
      <c r="BB452" s="14" t="str">
        <f t="shared" si="121"/>
        <v/>
      </c>
      <c r="BC452" s="14" t="str">
        <f t="shared" si="122"/>
        <v/>
      </c>
      <c r="BD452" s="14" t="str">
        <f t="shared" si="123"/>
        <v/>
      </c>
      <c r="BE452" s="14" t="str">
        <f t="shared" si="124"/>
        <v/>
      </c>
    </row>
    <row r="453" spans="39:57" ht="16.5" x14ac:dyDescent="0.2">
      <c r="AM453" s="13">
        <v>448</v>
      </c>
      <c r="AN453" s="14">
        <f t="shared" si="125"/>
        <v>27</v>
      </c>
      <c r="AO453" s="29">
        <f t="shared" si="109"/>
        <v>0.28000000000000003</v>
      </c>
      <c r="AP453" s="14">
        <f t="shared" si="110"/>
        <v>1</v>
      </c>
      <c r="AQ453" s="14">
        <f t="shared" si="111"/>
        <v>2</v>
      </c>
      <c r="AR453" s="14">
        <f t="shared" si="112"/>
        <v>0</v>
      </c>
      <c r="AS453" s="14">
        <f t="shared" si="113"/>
        <v>1606029</v>
      </c>
      <c r="AT453" s="14" t="str">
        <f t="shared" si="114"/>
        <v>神器-6-碎片-1-4级</v>
      </c>
      <c r="AU453" s="13" t="s">
        <v>1195</v>
      </c>
      <c r="AV453" s="13">
        <f t="shared" si="115"/>
        <v>4</v>
      </c>
      <c r="AW453" s="14">
        <f t="shared" si="116"/>
        <v>3670</v>
      </c>
      <c r="AX453" s="14" t="str">
        <f t="shared" si="117"/>
        <v>AtkExt</v>
      </c>
      <c r="AY453" s="14">
        <f t="shared" si="118"/>
        <v>362</v>
      </c>
      <c r="AZ453" s="14" t="str">
        <f t="shared" si="119"/>
        <v>DefExt</v>
      </c>
      <c r="BA453" s="14">
        <f t="shared" si="120"/>
        <v>186</v>
      </c>
      <c r="BB453" s="14" t="str">
        <f t="shared" si="121"/>
        <v/>
      </c>
      <c r="BC453" s="14" t="str">
        <f t="shared" si="122"/>
        <v/>
      </c>
      <c r="BD453" s="14" t="str">
        <f t="shared" si="123"/>
        <v/>
      </c>
      <c r="BE453" s="14" t="str">
        <f t="shared" si="124"/>
        <v/>
      </c>
    </row>
    <row r="454" spans="39:57" ht="16.5" x14ac:dyDescent="0.2">
      <c r="AM454" s="13">
        <v>449</v>
      </c>
      <c r="AN454" s="14">
        <f t="shared" si="125"/>
        <v>27</v>
      </c>
      <c r="AO454" s="29">
        <f t="shared" ref="AO454:AO517" si="126">4.8%+AV454*5%+AV454*AV454*0.2%</f>
        <v>0.34799999999999998</v>
      </c>
      <c r="AP454" s="14">
        <f t="shared" ref="AP454:AP517" si="127">INDEX(AD$7:AD$48,$AN454)</f>
        <v>1</v>
      </c>
      <c r="AQ454" s="14">
        <f t="shared" ref="AQ454:AQ517" si="128">INDEX(AE$7:AE$48,$AN454)</f>
        <v>2</v>
      </c>
      <c r="AR454" s="14">
        <f t="shared" ref="AR454:AR517" si="129">INDEX(AF$7:AF$48,$AN454)</f>
        <v>0</v>
      </c>
      <c r="AS454" s="14">
        <f t="shared" ref="AS454:AS517" si="130">INDEX($W$7:$W$48,AN454)</f>
        <v>1606029</v>
      </c>
      <c r="AT454" s="14" t="str">
        <f t="shared" ref="AT454:AT517" si="131">"神器-"&amp;INDEX($S$7:$S$48,AN454)&amp;"-碎片-"&amp;INDEX($T$7:$T$48,AN454)&amp;"-"&amp;AV454&amp;"级"</f>
        <v>神器-6-碎片-1-5级</v>
      </c>
      <c r="AU454" s="13" t="s">
        <v>1195</v>
      </c>
      <c r="AV454" s="13">
        <f t="shared" ref="AV454:AV517" si="132">AM454-INDEX($AI$6:$AI$48,AN454)</f>
        <v>5</v>
      </c>
      <c r="AW454" s="14">
        <f t="shared" ref="AW454:AW517" si="133">AY454*INDEX($AP$2:$AR$2,AP454)+IF(AQ454&gt;0,BA454*INDEX($AP$2:$AR$2,AQ454),0)+IF(AR454&gt;0,BC454*INDEX($AP$2:$AR$2,AR454),0)+IF(BD454="Speed",BE454*100,0)</f>
        <v>4560</v>
      </c>
      <c r="AX454" s="14" t="str">
        <f t="shared" ref="AX454:AX517" si="134">INDEX($AP$3:$AR$3,AP454)</f>
        <v>AtkExt</v>
      </c>
      <c r="AY454" s="14">
        <f t="shared" ref="AY454:AY517" si="135">ROUND(INDEX($X$7:$Z$48,AN454,AP454)*AO454,0)</f>
        <v>450</v>
      </c>
      <c r="AZ454" s="14" t="str">
        <f t="shared" ref="AZ454:AZ517" si="136">IF(AQ454&gt;0,INDEX($AP$3:$AR$3,AQ454),"")</f>
        <v>DefExt</v>
      </c>
      <c r="BA454" s="14">
        <f t="shared" ref="BA454:BA517" si="137">IF(AQ454&gt;0,ROUND(INDEX($X$7:$Z$48,AN454,AQ454)*AO454,0),"")</f>
        <v>231</v>
      </c>
      <c r="BB454" s="14" t="str">
        <f t="shared" ref="BB454:BB517" si="138">IF(AR454&gt;0,INDEX($AP$3:$AR$3,AR454),"")</f>
        <v/>
      </c>
      <c r="BC454" s="14" t="str">
        <f t="shared" ref="BC454:BC517" si="139">IF(AR454&gt;0,ROUND(INDEX($X$7:$Z$48,AN454,AR454)*AO454,0),"")</f>
        <v/>
      </c>
      <c r="BD454" s="14" t="str">
        <f t="shared" ref="BD454:BD517" si="140">IF(INDEX($AG$7:$AG$48,AN454)&gt;0,"Speed","")</f>
        <v/>
      </c>
      <c r="BE454" s="14" t="str">
        <f t="shared" ref="BE454:BE517" si="141">IF(INDEX($AG$7:$AG$48,AN454)&gt;0,INDEX($AG$7:$AG$48,AN454)*AV454,"")</f>
        <v/>
      </c>
    </row>
    <row r="455" spans="39:57" ht="16.5" x14ac:dyDescent="0.2">
      <c r="AM455" s="13">
        <v>450</v>
      </c>
      <c r="AN455" s="14">
        <f t="shared" ref="AN455:AN518" si="142">MATCH(AM455-1,$AI$6:$AI$48,1)</f>
        <v>27</v>
      </c>
      <c r="AO455" s="29">
        <f t="shared" si="126"/>
        <v>0.42000000000000004</v>
      </c>
      <c r="AP455" s="14">
        <f t="shared" si="127"/>
        <v>1</v>
      </c>
      <c r="AQ455" s="14">
        <f t="shared" si="128"/>
        <v>2</v>
      </c>
      <c r="AR455" s="14">
        <f t="shared" si="129"/>
        <v>0</v>
      </c>
      <c r="AS455" s="14">
        <f t="shared" si="130"/>
        <v>1606029</v>
      </c>
      <c r="AT455" s="14" t="str">
        <f t="shared" si="131"/>
        <v>神器-6-碎片-1-6级</v>
      </c>
      <c r="AU455" s="13" t="s">
        <v>1195</v>
      </c>
      <c r="AV455" s="13">
        <f t="shared" si="132"/>
        <v>6</v>
      </c>
      <c r="AW455" s="14">
        <f t="shared" si="133"/>
        <v>5505</v>
      </c>
      <c r="AX455" s="14" t="str">
        <f t="shared" si="134"/>
        <v>AtkExt</v>
      </c>
      <c r="AY455" s="14">
        <f t="shared" si="135"/>
        <v>543</v>
      </c>
      <c r="AZ455" s="14" t="str">
        <f t="shared" si="136"/>
        <v>DefExt</v>
      </c>
      <c r="BA455" s="14">
        <f t="shared" si="137"/>
        <v>279</v>
      </c>
      <c r="BB455" s="14" t="str">
        <f t="shared" si="138"/>
        <v/>
      </c>
      <c r="BC455" s="14" t="str">
        <f t="shared" si="139"/>
        <v/>
      </c>
      <c r="BD455" s="14" t="str">
        <f t="shared" si="140"/>
        <v/>
      </c>
      <c r="BE455" s="14" t="str">
        <f t="shared" si="141"/>
        <v/>
      </c>
    </row>
    <row r="456" spans="39:57" ht="16.5" x14ac:dyDescent="0.2">
      <c r="AM456" s="13">
        <v>451</v>
      </c>
      <c r="AN456" s="14">
        <f t="shared" si="142"/>
        <v>27</v>
      </c>
      <c r="AO456" s="29">
        <f t="shared" si="126"/>
        <v>0.496</v>
      </c>
      <c r="AP456" s="14">
        <f t="shared" si="127"/>
        <v>1</v>
      </c>
      <c r="AQ456" s="14">
        <f t="shared" si="128"/>
        <v>2</v>
      </c>
      <c r="AR456" s="14">
        <f t="shared" si="129"/>
        <v>0</v>
      </c>
      <c r="AS456" s="14">
        <f t="shared" si="130"/>
        <v>1606029</v>
      </c>
      <c r="AT456" s="14" t="str">
        <f t="shared" si="131"/>
        <v>神器-6-碎片-1-7级</v>
      </c>
      <c r="AU456" s="13" t="s">
        <v>1195</v>
      </c>
      <c r="AV456" s="13">
        <f t="shared" si="132"/>
        <v>7</v>
      </c>
      <c r="AW456" s="14">
        <f t="shared" si="133"/>
        <v>6510</v>
      </c>
      <c r="AX456" s="14" t="str">
        <f t="shared" si="134"/>
        <v>AtkExt</v>
      </c>
      <c r="AY456" s="14">
        <f t="shared" si="135"/>
        <v>642</v>
      </c>
      <c r="AZ456" s="14" t="str">
        <f t="shared" si="136"/>
        <v>DefExt</v>
      </c>
      <c r="BA456" s="14">
        <f t="shared" si="137"/>
        <v>330</v>
      </c>
      <c r="BB456" s="14" t="str">
        <f t="shared" si="138"/>
        <v/>
      </c>
      <c r="BC456" s="14" t="str">
        <f t="shared" si="139"/>
        <v/>
      </c>
      <c r="BD456" s="14" t="str">
        <f t="shared" si="140"/>
        <v/>
      </c>
      <c r="BE456" s="14" t="str">
        <f t="shared" si="141"/>
        <v/>
      </c>
    </row>
    <row r="457" spans="39:57" ht="16.5" x14ac:dyDescent="0.2">
      <c r="AM457" s="13">
        <v>452</v>
      </c>
      <c r="AN457" s="14">
        <f t="shared" si="142"/>
        <v>27</v>
      </c>
      <c r="AO457" s="29">
        <f t="shared" si="126"/>
        <v>0.57600000000000007</v>
      </c>
      <c r="AP457" s="14">
        <f t="shared" si="127"/>
        <v>1</v>
      </c>
      <c r="AQ457" s="14">
        <f t="shared" si="128"/>
        <v>2</v>
      </c>
      <c r="AR457" s="14">
        <f t="shared" si="129"/>
        <v>0</v>
      </c>
      <c r="AS457" s="14">
        <f t="shared" si="130"/>
        <v>1606029</v>
      </c>
      <c r="AT457" s="14" t="str">
        <f t="shared" si="131"/>
        <v>神器-6-碎片-1-8级</v>
      </c>
      <c r="AU457" s="13" t="s">
        <v>1195</v>
      </c>
      <c r="AV457" s="13">
        <f t="shared" si="132"/>
        <v>8</v>
      </c>
      <c r="AW457" s="14">
        <f t="shared" si="133"/>
        <v>7555</v>
      </c>
      <c r="AX457" s="14" t="str">
        <f t="shared" si="134"/>
        <v>AtkExt</v>
      </c>
      <c r="AY457" s="14">
        <f t="shared" si="135"/>
        <v>745</v>
      </c>
      <c r="AZ457" s="14" t="str">
        <f t="shared" si="136"/>
        <v>DefExt</v>
      </c>
      <c r="BA457" s="14">
        <f t="shared" si="137"/>
        <v>383</v>
      </c>
      <c r="BB457" s="14" t="str">
        <f t="shared" si="138"/>
        <v/>
      </c>
      <c r="BC457" s="14" t="str">
        <f t="shared" si="139"/>
        <v/>
      </c>
      <c r="BD457" s="14" t="str">
        <f t="shared" si="140"/>
        <v/>
      </c>
      <c r="BE457" s="14" t="str">
        <f t="shared" si="141"/>
        <v/>
      </c>
    </row>
    <row r="458" spans="39:57" ht="16.5" x14ac:dyDescent="0.2">
      <c r="AM458" s="13">
        <v>453</v>
      </c>
      <c r="AN458" s="14">
        <f t="shared" si="142"/>
        <v>27</v>
      </c>
      <c r="AO458" s="29">
        <f t="shared" si="126"/>
        <v>0.66</v>
      </c>
      <c r="AP458" s="14">
        <f t="shared" si="127"/>
        <v>1</v>
      </c>
      <c r="AQ458" s="14">
        <f t="shared" si="128"/>
        <v>2</v>
      </c>
      <c r="AR458" s="14">
        <f t="shared" si="129"/>
        <v>0</v>
      </c>
      <c r="AS458" s="14">
        <f t="shared" si="130"/>
        <v>1606029</v>
      </c>
      <c r="AT458" s="14" t="str">
        <f t="shared" si="131"/>
        <v>神器-6-碎片-1-9级</v>
      </c>
      <c r="AU458" s="13" t="s">
        <v>1195</v>
      </c>
      <c r="AV458" s="13">
        <f t="shared" si="132"/>
        <v>9</v>
      </c>
      <c r="AW458" s="14">
        <f t="shared" si="133"/>
        <v>8660</v>
      </c>
      <c r="AX458" s="14" t="str">
        <f t="shared" si="134"/>
        <v>AtkExt</v>
      </c>
      <c r="AY458" s="14">
        <f t="shared" si="135"/>
        <v>854</v>
      </c>
      <c r="AZ458" s="14" t="str">
        <f t="shared" si="136"/>
        <v>DefExt</v>
      </c>
      <c r="BA458" s="14">
        <f t="shared" si="137"/>
        <v>439</v>
      </c>
      <c r="BB458" s="14" t="str">
        <f t="shared" si="138"/>
        <v/>
      </c>
      <c r="BC458" s="14" t="str">
        <f t="shared" si="139"/>
        <v/>
      </c>
      <c r="BD458" s="14" t="str">
        <f t="shared" si="140"/>
        <v/>
      </c>
      <c r="BE458" s="14" t="str">
        <f t="shared" si="141"/>
        <v/>
      </c>
    </row>
    <row r="459" spans="39:57" ht="16.5" x14ac:dyDescent="0.2">
      <c r="AM459" s="13">
        <v>454</v>
      </c>
      <c r="AN459" s="14">
        <f t="shared" si="142"/>
        <v>27</v>
      </c>
      <c r="AO459" s="29">
        <f t="shared" si="126"/>
        <v>0.748</v>
      </c>
      <c r="AP459" s="14">
        <f t="shared" si="127"/>
        <v>1</v>
      </c>
      <c r="AQ459" s="14">
        <f t="shared" si="128"/>
        <v>2</v>
      </c>
      <c r="AR459" s="14">
        <f t="shared" si="129"/>
        <v>0</v>
      </c>
      <c r="AS459" s="14">
        <f t="shared" si="130"/>
        <v>1606029</v>
      </c>
      <c r="AT459" s="14" t="str">
        <f t="shared" si="131"/>
        <v>神器-6-碎片-1-10级</v>
      </c>
      <c r="AU459" s="13" t="s">
        <v>1195</v>
      </c>
      <c r="AV459" s="13">
        <f t="shared" si="132"/>
        <v>10</v>
      </c>
      <c r="AW459" s="14">
        <f t="shared" si="133"/>
        <v>9820</v>
      </c>
      <c r="AX459" s="14" t="str">
        <f t="shared" si="134"/>
        <v>AtkExt</v>
      </c>
      <c r="AY459" s="14">
        <f t="shared" si="135"/>
        <v>968</v>
      </c>
      <c r="AZ459" s="14" t="str">
        <f t="shared" si="136"/>
        <v>DefExt</v>
      </c>
      <c r="BA459" s="14">
        <f t="shared" si="137"/>
        <v>498</v>
      </c>
      <c r="BB459" s="14" t="str">
        <f t="shared" si="138"/>
        <v/>
      </c>
      <c r="BC459" s="14" t="str">
        <f t="shared" si="139"/>
        <v/>
      </c>
      <c r="BD459" s="14" t="str">
        <f t="shared" si="140"/>
        <v/>
      </c>
      <c r="BE459" s="14" t="str">
        <f t="shared" si="141"/>
        <v/>
      </c>
    </row>
    <row r="460" spans="39:57" ht="16.5" x14ac:dyDescent="0.2">
      <c r="AM460" s="13">
        <v>455</v>
      </c>
      <c r="AN460" s="14">
        <f t="shared" si="142"/>
        <v>27</v>
      </c>
      <c r="AO460" s="29">
        <f t="shared" si="126"/>
        <v>0.84000000000000008</v>
      </c>
      <c r="AP460" s="14">
        <f t="shared" si="127"/>
        <v>1</v>
      </c>
      <c r="AQ460" s="14">
        <f t="shared" si="128"/>
        <v>2</v>
      </c>
      <c r="AR460" s="14">
        <f t="shared" si="129"/>
        <v>0</v>
      </c>
      <c r="AS460" s="14">
        <f t="shared" si="130"/>
        <v>1606029</v>
      </c>
      <c r="AT460" s="14" t="str">
        <f t="shared" si="131"/>
        <v>神器-6-碎片-1-11级</v>
      </c>
      <c r="AU460" s="13" t="s">
        <v>1195</v>
      </c>
      <c r="AV460" s="13">
        <f t="shared" si="132"/>
        <v>11</v>
      </c>
      <c r="AW460" s="14">
        <f t="shared" si="133"/>
        <v>11025</v>
      </c>
      <c r="AX460" s="14" t="str">
        <f t="shared" si="134"/>
        <v>AtkExt</v>
      </c>
      <c r="AY460" s="14">
        <f t="shared" si="135"/>
        <v>1087</v>
      </c>
      <c r="AZ460" s="14" t="str">
        <f t="shared" si="136"/>
        <v>DefExt</v>
      </c>
      <c r="BA460" s="14">
        <f t="shared" si="137"/>
        <v>559</v>
      </c>
      <c r="BB460" s="14" t="str">
        <f t="shared" si="138"/>
        <v/>
      </c>
      <c r="BC460" s="14" t="str">
        <f t="shared" si="139"/>
        <v/>
      </c>
      <c r="BD460" s="14" t="str">
        <f t="shared" si="140"/>
        <v/>
      </c>
      <c r="BE460" s="14" t="str">
        <f t="shared" si="141"/>
        <v/>
      </c>
    </row>
    <row r="461" spans="39:57" ht="16.5" x14ac:dyDescent="0.2">
      <c r="AM461" s="13">
        <v>456</v>
      </c>
      <c r="AN461" s="14">
        <f t="shared" si="142"/>
        <v>27</v>
      </c>
      <c r="AO461" s="29">
        <f t="shared" si="126"/>
        <v>0.93600000000000017</v>
      </c>
      <c r="AP461" s="14">
        <f t="shared" si="127"/>
        <v>1</v>
      </c>
      <c r="AQ461" s="14">
        <f t="shared" si="128"/>
        <v>2</v>
      </c>
      <c r="AR461" s="14">
        <f t="shared" si="129"/>
        <v>0</v>
      </c>
      <c r="AS461" s="14">
        <f t="shared" si="130"/>
        <v>1606029</v>
      </c>
      <c r="AT461" s="14" t="str">
        <f t="shared" si="131"/>
        <v>神器-6-碎片-1-12级</v>
      </c>
      <c r="AU461" s="13" t="s">
        <v>1195</v>
      </c>
      <c r="AV461" s="13">
        <f t="shared" si="132"/>
        <v>12</v>
      </c>
      <c r="AW461" s="14">
        <f t="shared" si="133"/>
        <v>12285</v>
      </c>
      <c r="AX461" s="14" t="str">
        <f t="shared" si="134"/>
        <v>AtkExt</v>
      </c>
      <c r="AY461" s="14">
        <f t="shared" si="135"/>
        <v>1211</v>
      </c>
      <c r="AZ461" s="14" t="str">
        <f t="shared" si="136"/>
        <v>DefExt</v>
      </c>
      <c r="BA461" s="14">
        <f t="shared" si="137"/>
        <v>623</v>
      </c>
      <c r="BB461" s="14" t="str">
        <f t="shared" si="138"/>
        <v/>
      </c>
      <c r="BC461" s="14" t="str">
        <f t="shared" si="139"/>
        <v/>
      </c>
      <c r="BD461" s="14" t="str">
        <f t="shared" si="140"/>
        <v/>
      </c>
      <c r="BE461" s="14" t="str">
        <f t="shared" si="141"/>
        <v/>
      </c>
    </row>
    <row r="462" spans="39:57" ht="16.5" x14ac:dyDescent="0.2">
      <c r="AM462" s="13">
        <v>457</v>
      </c>
      <c r="AN462" s="14">
        <f t="shared" si="142"/>
        <v>27</v>
      </c>
      <c r="AO462" s="29">
        <f t="shared" si="126"/>
        <v>1.036</v>
      </c>
      <c r="AP462" s="14">
        <f t="shared" si="127"/>
        <v>1</v>
      </c>
      <c r="AQ462" s="14">
        <f t="shared" si="128"/>
        <v>2</v>
      </c>
      <c r="AR462" s="14">
        <f t="shared" si="129"/>
        <v>0</v>
      </c>
      <c r="AS462" s="14">
        <f t="shared" si="130"/>
        <v>1606029</v>
      </c>
      <c r="AT462" s="14" t="str">
        <f t="shared" si="131"/>
        <v>神器-6-碎片-1-13级</v>
      </c>
      <c r="AU462" s="13" t="s">
        <v>1195</v>
      </c>
      <c r="AV462" s="13">
        <f t="shared" si="132"/>
        <v>13</v>
      </c>
      <c r="AW462" s="14">
        <f t="shared" si="133"/>
        <v>13590</v>
      </c>
      <c r="AX462" s="14" t="str">
        <f t="shared" si="134"/>
        <v>AtkExt</v>
      </c>
      <c r="AY462" s="14">
        <f t="shared" si="135"/>
        <v>1340</v>
      </c>
      <c r="AZ462" s="14" t="str">
        <f t="shared" si="136"/>
        <v>DefExt</v>
      </c>
      <c r="BA462" s="14">
        <f t="shared" si="137"/>
        <v>689</v>
      </c>
      <c r="BB462" s="14" t="str">
        <f t="shared" si="138"/>
        <v/>
      </c>
      <c r="BC462" s="14" t="str">
        <f t="shared" si="139"/>
        <v/>
      </c>
      <c r="BD462" s="14" t="str">
        <f t="shared" si="140"/>
        <v/>
      </c>
      <c r="BE462" s="14" t="str">
        <f t="shared" si="141"/>
        <v/>
      </c>
    </row>
    <row r="463" spans="39:57" ht="16.5" x14ac:dyDescent="0.2">
      <c r="AM463" s="13">
        <v>458</v>
      </c>
      <c r="AN463" s="14">
        <f t="shared" si="142"/>
        <v>27</v>
      </c>
      <c r="AO463" s="29">
        <f t="shared" si="126"/>
        <v>1.1400000000000001</v>
      </c>
      <c r="AP463" s="14">
        <f t="shared" si="127"/>
        <v>1</v>
      </c>
      <c r="AQ463" s="14">
        <f t="shared" si="128"/>
        <v>2</v>
      </c>
      <c r="AR463" s="14">
        <f t="shared" si="129"/>
        <v>0</v>
      </c>
      <c r="AS463" s="14">
        <f t="shared" si="130"/>
        <v>1606029</v>
      </c>
      <c r="AT463" s="14" t="str">
        <f t="shared" si="131"/>
        <v>神器-6-碎片-1-14级</v>
      </c>
      <c r="AU463" s="13" t="s">
        <v>1195</v>
      </c>
      <c r="AV463" s="13">
        <f t="shared" si="132"/>
        <v>14</v>
      </c>
      <c r="AW463" s="14">
        <f t="shared" si="133"/>
        <v>14955</v>
      </c>
      <c r="AX463" s="14" t="str">
        <f t="shared" si="134"/>
        <v>AtkExt</v>
      </c>
      <c r="AY463" s="14">
        <f t="shared" si="135"/>
        <v>1475</v>
      </c>
      <c r="AZ463" s="14" t="str">
        <f t="shared" si="136"/>
        <v>DefExt</v>
      </c>
      <c r="BA463" s="14">
        <f t="shared" si="137"/>
        <v>758</v>
      </c>
      <c r="BB463" s="14" t="str">
        <f t="shared" si="138"/>
        <v/>
      </c>
      <c r="BC463" s="14" t="str">
        <f t="shared" si="139"/>
        <v/>
      </c>
      <c r="BD463" s="14" t="str">
        <f t="shared" si="140"/>
        <v/>
      </c>
      <c r="BE463" s="14" t="str">
        <f t="shared" si="141"/>
        <v/>
      </c>
    </row>
    <row r="464" spans="39:57" ht="16.5" x14ac:dyDescent="0.2">
      <c r="AM464" s="13">
        <v>459</v>
      </c>
      <c r="AN464" s="14">
        <f t="shared" si="142"/>
        <v>27</v>
      </c>
      <c r="AO464" s="29">
        <f t="shared" si="126"/>
        <v>1.248</v>
      </c>
      <c r="AP464" s="14">
        <f t="shared" si="127"/>
        <v>1</v>
      </c>
      <c r="AQ464" s="14">
        <f t="shared" si="128"/>
        <v>2</v>
      </c>
      <c r="AR464" s="14">
        <f t="shared" si="129"/>
        <v>0</v>
      </c>
      <c r="AS464" s="14">
        <f t="shared" si="130"/>
        <v>1606029</v>
      </c>
      <c r="AT464" s="14" t="str">
        <f t="shared" si="131"/>
        <v>神器-6-碎片-1-15级</v>
      </c>
      <c r="AU464" s="13" t="s">
        <v>1195</v>
      </c>
      <c r="AV464" s="13">
        <f t="shared" si="132"/>
        <v>15</v>
      </c>
      <c r="AW464" s="14">
        <f t="shared" si="133"/>
        <v>16375</v>
      </c>
      <c r="AX464" s="14" t="str">
        <f t="shared" si="134"/>
        <v>AtkExt</v>
      </c>
      <c r="AY464" s="14">
        <f t="shared" si="135"/>
        <v>1615</v>
      </c>
      <c r="AZ464" s="14" t="str">
        <f t="shared" si="136"/>
        <v>DefExt</v>
      </c>
      <c r="BA464" s="14">
        <f t="shared" si="137"/>
        <v>830</v>
      </c>
      <c r="BB464" s="14" t="str">
        <f t="shared" si="138"/>
        <v/>
      </c>
      <c r="BC464" s="14" t="str">
        <f t="shared" si="139"/>
        <v/>
      </c>
      <c r="BD464" s="14" t="str">
        <f t="shared" si="140"/>
        <v/>
      </c>
      <c r="BE464" s="14" t="str">
        <f t="shared" si="141"/>
        <v/>
      </c>
    </row>
    <row r="465" spans="39:57" ht="16.5" x14ac:dyDescent="0.2">
      <c r="AM465" s="13">
        <v>460</v>
      </c>
      <c r="AN465" s="14">
        <f t="shared" si="142"/>
        <v>27</v>
      </c>
      <c r="AO465" s="29">
        <f t="shared" si="126"/>
        <v>1.36</v>
      </c>
      <c r="AP465" s="14">
        <f t="shared" si="127"/>
        <v>1</v>
      </c>
      <c r="AQ465" s="14">
        <f t="shared" si="128"/>
        <v>2</v>
      </c>
      <c r="AR465" s="14">
        <f t="shared" si="129"/>
        <v>0</v>
      </c>
      <c r="AS465" s="14">
        <f t="shared" si="130"/>
        <v>1606029</v>
      </c>
      <c r="AT465" s="14" t="str">
        <f t="shared" si="131"/>
        <v>神器-6-碎片-1-16级</v>
      </c>
      <c r="AU465" s="13" t="s">
        <v>1195</v>
      </c>
      <c r="AV465" s="13">
        <f t="shared" si="132"/>
        <v>16</v>
      </c>
      <c r="AW465" s="14">
        <f t="shared" si="133"/>
        <v>17850</v>
      </c>
      <c r="AX465" s="14" t="str">
        <f t="shared" si="134"/>
        <v>AtkExt</v>
      </c>
      <c r="AY465" s="14">
        <f t="shared" si="135"/>
        <v>1760</v>
      </c>
      <c r="AZ465" s="14" t="str">
        <f t="shared" si="136"/>
        <v>DefExt</v>
      </c>
      <c r="BA465" s="14">
        <f t="shared" si="137"/>
        <v>905</v>
      </c>
      <c r="BB465" s="14" t="str">
        <f t="shared" si="138"/>
        <v/>
      </c>
      <c r="BC465" s="14" t="str">
        <f t="shared" si="139"/>
        <v/>
      </c>
      <c r="BD465" s="14" t="str">
        <f t="shared" si="140"/>
        <v/>
      </c>
      <c r="BE465" s="14" t="str">
        <f t="shared" si="141"/>
        <v/>
      </c>
    </row>
    <row r="466" spans="39:57" ht="16.5" x14ac:dyDescent="0.2">
      <c r="AM466" s="13">
        <v>461</v>
      </c>
      <c r="AN466" s="14">
        <f t="shared" si="142"/>
        <v>27</v>
      </c>
      <c r="AO466" s="29">
        <f t="shared" si="126"/>
        <v>1.476</v>
      </c>
      <c r="AP466" s="14">
        <f t="shared" si="127"/>
        <v>1</v>
      </c>
      <c r="AQ466" s="14">
        <f t="shared" si="128"/>
        <v>2</v>
      </c>
      <c r="AR466" s="14">
        <f t="shared" si="129"/>
        <v>0</v>
      </c>
      <c r="AS466" s="14">
        <f t="shared" si="130"/>
        <v>1606029</v>
      </c>
      <c r="AT466" s="14" t="str">
        <f t="shared" si="131"/>
        <v>神器-6-碎片-1-17级</v>
      </c>
      <c r="AU466" s="13" t="s">
        <v>1195</v>
      </c>
      <c r="AV466" s="13">
        <f t="shared" si="132"/>
        <v>17</v>
      </c>
      <c r="AW466" s="14">
        <f t="shared" si="133"/>
        <v>19370</v>
      </c>
      <c r="AX466" s="14" t="str">
        <f t="shared" si="134"/>
        <v>AtkExt</v>
      </c>
      <c r="AY466" s="14">
        <f t="shared" si="135"/>
        <v>1910</v>
      </c>
      <c r="AZ466" s="14" t="str">
        <f t="shared" si="136"/>
        <v>DefExt</v>
      </c>
      <c r="BA466" s="14">
        <f t="shared" si="137"/>
        <v>982</v>
      </c>
      <c r="BB466" s="14" t="str">
        <f t="shared" si="138"/>
        <v/>
      </c>
      <c r="BC466" s="14" t="str">
        <f t="shared" si="139"/>
        <v/>
      </c>
      <c r="BD466" s="14" t="str">
        <f t="shared" si="140"/>
        <v/>
      </c>
      <c r="BE466" s="14" t="str">
        <f t="shared" si="141"/>
        <v/>
      </c>
    </row>
    <row r="467" spans="39:57" ht="16.5" x14ac:dyDescent="0.2">
      <c r="AM467" s="13">
        <v>462</v>
      </c>
      <c r="AN467" s="14">
        <f t="shared" si="142"/>
        <v>27</v>
      </c>
      <c r="AO467" s="29">
        <f t="shared" si="126"/>
        <v>1.5960000000000001</v>
      </c>
      <c r="AP467" s="14">
        <f t="shared" si="127"/>
        <v>1</v>
      </c>
      <c r="AQ467" s="14">
        <f t="shared" si="128"/>
        <v>2</v>
      </c>
      <c r="AR467" s="14">
        <f t="shared" si="129"/>
        <v>0</v>
      </c>
      <c r="AS467" s="14">
        <f t="shared" si="130"/>
        <v>1606029</v>
      </c>
      <c r="AT467" s="14" t="str">
        <f t="shared" si="131"/>
        <v>神器-6-碎片-1-18级</v>
      </c>
      <c r="AU467" s="13" t="s">
        <v>1195</v>
      </c>
      <c r="AV467" s="13">
        <f t="shared" si="132"/>
        <v>18</v>
      </c>
      <c r="AW467" s="14">
        <f t="shared" si="133"/>
        <v>20945</v>
      </c>
      <c r="AX467" s="14" t="str">
        <f t="shared" si="134"/>
        <v>AtkExt</v>
      </c>
      <c r="AY467" s="14">
        <f t="shared" si="135"/>
        <v>2065</v>
      </c>
      <c r="AZ467" s="14" t="str">
        <f t="shared" si="136"/>
        <v>DefExt</v>
      </c>
      <c r="BA467" s="14">
        <f t="shared" si="137"/>
        <v>1062</v>
      </c>
      <c r="BB467" s="14" t="str">
        <f t="shared" si="138"/>
        <v/>
      </c>
      <c r="BC467" s="14" t="str">
        <f t="shared" si="139"/>
        <v/>
      </c>
      <c r="BD467" s="14" t="str">
        <f t="shared" si="140"/>
        <v/>
      </c>
      <c r="BE467" s="14" t="str">
        <f t="shared" si="141"/>
        <v/>
      </c>
    </row>
    <row r="468" spans="39:57" ht="16.5" x14ac:dyDescent="0.2">
      <c r="AM468" s="13">
        <v>463</v>
      </c>
      <c r="AN468" s="14">
        <f t="shared" si="142"/>
        <v>27</v>
      </c>
      <c r="AO468" s="29">
        <f t="shared" si="126"/>
        <v>1.7200000000000002</v>
      </c>
      <c r="AP468" s="14">
        <f t="shared" si="127"/>
        <v>1</v>
      </c>
      <c r="AQ468" s="14">
        <f t="shared" si="128"/>
        <v>2</v>
      </c>
      <c r="AR468" s="14">
        <f t="shared" si="129"/>
        <v>0</v>
      </c>
      <c r="AS468" s="14">
        <f t="shared" si="130"/>
        <v>1606029</v>
      </c>
      <c r="AT468" s="14" t="str">
        <f t="shared" si="131"/>
        <v>神器-6-碎片-1-19级</v>
      </c>
      <c r="AU468" s="13" t="s">
        <v>1195</v>
      </c>
      <c r="AV468" s="13">
        <f t="shared" si="132"/>
        <v>19</v>
      </c>
      <c r="AW468" s="14">
        <f t="shared" si="133"/>
        <v>22565</v>
      </c>
      <c r="AX468" s="14" t="str">
        <f t="shared" si="134"/>
        <v>AtkExt</v>
      </c>
      <c r="AY468" s="14">
        <f t="shared" si="135"/>
        <v>2225</v>
      </c>
      <c r="AZ468" s="14" t="str">
        <f t="shared" si="136"/>
        <v>DefExt</v>
      </c>
      <c r="BA468" s="14">
        <f t="shared" si="137"/>
        <v>1144</v>
      </c>
      <c r="BB468" s="14" t="str">
        <f t="shared" si="138"/>
        <v/>
      </c>
      <c r="BC468" s="14" t="str">
        <f t="shared" si="139"/>
        <v/>
      </c>
      <c r="BD468" s="14" t="str">
        <f t="shared" si="140"/>
        <v/>
      </c>
      <c r="BE468" s="14" t="str">
        <f t="shared" si="141"/>
        <v/>
      </c>
    </row>
    <row r="469" spans="39:57" ht="16.5" x14ac:dyDescent="0.2">
      <c r="AM469" s="13">
        <v>464</v>
      </c>
      <c r="AN469" s="14">
        <f t="shared" si="142"/>
        <v>27</v>
      </c>
      <c r="AO469" s="29">
        <f t="shared" si="126"/>
        <v>1.8480000000000001</v>
      </c>
      <c r="AP469" s="14">
        <f t="shared" si="127"/>
        <v>1</v>
      </c>
      <c r="AQ469" s="14">
        <f t="shared" si="128"/>
        <v>2</v>
      </c>
      <c r="AR469" s="14">
        <f t="shared" si="129"/>
        <v>0</v>
      </c>
      <c r="AS469" s="14">
        <f t="shared" si="130"/>
        <v>1606029</v>
      </c>
      <c r="AT469" s="14" t="str">
        <f t="shared" si="131"/>
        <v>神器-6-碎片-1-20级</v>
      </c>
      <c r="AU469" s="13" t="s">
        <v>1195</v>
      </c>
      <c r="AV469" s="13">
        <f t="shared" si="132"/>
        <v>20</v>
      </c>
      <c r="AW469" s="14">
        <f t="shared" si="133"/>
        <v>24245</v>
      </c>
      <c r="AX469" s="14" t="str">
        <f t="shared" si="134"/>
        <v>AtkExt</v>
      </c>
      <c r="AY469" s="14">
        <f t="shared" si="135"/>
        <v>2391</v>
      </c>
      <c r="AZ469" s="14" t="str">
        <f t="shared" si="136"/>
        <v>DefExt</v>
      </c>
      <c r="BA469" s="14">
        <f t="shared" si="137"/>
        <v>1229</v>
      </c>
      <c r="BB469" s="14" t="str">
        <f t="shared" si="138"/>
        <v/>
      </c>
      <c r="BC469" s="14" t="str">
        <f t="shared" si="139"/>
        <v/>
      </c>
      <c r="BD469" s="14" t="str">
        <f t="shared" si="140"/>
        <v/>
      </c>
      <c r="BE469" s="14" t="str">
        <f t="shared" si="141"/>
        <v/>
      </c>
    </row>
    <row r="470" spans="39:57" ht="16.5" x14ac:dyDescent="0.2">
      <c r="AM470" s="13">
        <v>465</v>
      </c>
      <c r="AN470" s="14">
        <f t="shared" si="142"/>
        <v>27</v>
      </c>
      <c r="AO470" s="29">
        <f t="shared" si="126"/>
        <v>1.98</v>
      </c>
      <c r="AP470" s="14">
        <f t="shared" si="127"/>
        <v>1</v>
      </c>
      <c r="AQ470" s="14">
        <f t="shared" si="128"/>
        <v>2</v>
      </c>
      <c r="AR470" s="14">
        <f t="shared" si="129"/>
        <v>0</v>
      </c>
      <c r="AS470" s="14">
        <f t="shared" si="130"/>
        <v>1606029</v>
      </c>
      <c r="AT470" s="14" t="str">
        <f t="shared" si="131"/>
        <v>神器-6-碎片-1-21级</v>
      </c>
      <c r="AU470" s="13" t="s">
        <v>1195</v>
      </c>
      <c r="AV470" s="13">
        <f t="shared" si="132"/>
        <v>21</v>
      </c>
      <c r="AW470" s="14">
        <f t="shared" si="133"/>
        <v>25980</v>
      </c>
      <c r="AX470" s="14" t="str">
        <f t="shared" si="134"/>
        <v>AtkExt</v>
      </c>
      <c r="AY470" s="14">
        <f t="shared" si="135"/>
        <v>2562</v>
      </c>
      <c r="AZ470" s="14" t="str">
        <f t="shared" si="136"/>
        <v>DefExt</v>
      </c>
      <c r="BA470" s="14">
        <f t="shared" si="137"/>
        <v>1317</v>
      </c>
      <c r="BB470" s="14" t="str">
        <f t="shared" si="138"/>
        <v/>
      </c>
      <c r="BC470" s="14" t="str">
        <f t="shared" si="139"/>
        <v/>
      </c>
      <c r="BD470" s="14" t="str">
        <f t="shared" si="140"/>
        <v/>
      </c>
      <c r="BE470" s="14" t="str">
        <f t="shared" si="141"/>
        <v/>
      </c>
    </row>
    <row r="471" spans="39:57" ht="16.5" x14ac:dyDescent="0.2">
      <c r="AM471" s="13">
        <v>466</v>
      </c>
      <c r="AN471" s="14">
        <f t="shared" si="142"/>
        <v>28</v>
      </c>
      <c r="AO471" s="29">
        <f t="shared" si="126"/>
        <v>0.1</v>
      </c>
      <c r="AP471" s="14">
        <f t="shared" si="127"/>
        <v>2</v>
      </c>
      <c r="AQ471" s="14">
        <f t="shared" si="128"/>
        <v>3</v>
      </c>
      <c r="AR471" s="14">
        <f t="shared" si="129"/>
        <v>0</v>
      </c>
      <c r="AS471" s="14">
        <f t="shared" si="130"/>
        <v>1606030</v>
      </c>
      <c r="AT471" s="14" t="str">
        <f t="shared" si="131"/>
        <v>神器-6-碎片-2-1级</v>
      </c>
      <c r="AU471" s="13" t="s">
        <v>1195</v>
      </c>
      <c r="AV471" s="13">
        <f t="shared" si="132"/>
        <v>1</v>
      </c>
      <c r="AW471" s="14">
        <f t="shared" si="133"/>
        <v>1397</v>
      </c>
      <c r="AX471" s="14" t="str">
        <f t="shared" si="134"/>
        <v>DefExt</v>
      </c>
      <c r="AY471" s="14">
        <f t="shared" si="135"/>
        <v>133</v>
      </c>
      <c r="AZ471" s="14" t="str">
        <f t="shared" si="136"/>
        <v>HPExt</v>
      </c>
      <c r="BA471" s="14">
        <f t="shared" si="137"/>
        <v>67</v>
      </c>
      <c r="BB471" s="14" t="str">
        <f t="shared" si="138"/>
        <v/>
      </c>
      <c r="BC471" s="14" t="str">
        <f t="shared" si="139"/>
        <v/>
      </c>
      <c r="BD471" s="14" t="str">
        <f t="shared" si="140"/>
        <v/>
      </c>
      <c r="BE471" s="14" t="str">
        <f t="shared" si="141"/>
        <v/>
      </c>
    </row>
    <row r="472" spans="39:57" ht="16.5" x14ac:dyDescent="0.2">
      <c r="AM472" s="13">
        <v>467</v>
      </c>
      <c r="AN472" s="14">
        <f t="shared" si="142"/>
        <v>28</v>
      </c>
      <c r="AO472" s="29">
        <f t="shared" si="126"/>
        <v>0.15600000000000003</v>
      </c>
      <c r="AP472" s="14">
        <f t="shared" si="127"/>
        <v>2</v>
      </c>
      <c r="AQ472" s="14">
        <f t="shared" si="128"/>
        <v>3</v>
      </c>
      <c r="AR472" s="14">
        <f t="shared" si="129"/>
        <v>0</v>
      </c>
      <c r="AS472" s="14">
        <f t="shared" si="130"/>
        <v>1606030</v>
      </c>
      <c r="AT472" s="14" t="str">
        <f t="shared" si="131"/>
        <v>神器-6-碎片-2-2级</v>
      </c>
      <c r="AU472" s="13" t="s">
        <v>1195</v>
      </c>
      <c r="AV472" s="13">
        <f t="shared" si="132"/>
        <v>2</v>
      </c>
      <c r="AW472" s="14">
        <f t="shared" si="133"/>
        <v>2185</v>
      </c>
      <c r="AX472" s="14" t="str">
        <f t="shared" si="134"/>
        <v>DefExt</v>
      </c>
      <c r="AY472" s="14">
        <f t="shared" si="135"/>
        <v>208</v>
      </c>
      <c r="AZ472" s="14" t="str">
        <f t="shared" si="136"/>
        <v>HPExt</v>
      </c>
      <c r="BA472" s="14">
        <f t="shared" si="137"/>
        <v>105</v>
      </c>
      <c r="BB472" s="14" t="str">
        <f t="shared" si="138"/>
        <v/>
      </c>
      <c r="BC472" s="14" t="str">
        <f t="shared" si="139"/>
        <v/>
      </c>
      <c r="BD472" s="14" t="str">
        <f t="shared" si="140"/>
        <v/>
      </c>
      <c r="BE472" s="14" t="str">
        <f t="shared" si="141"/>
        <v/>
      </c>
    </row>
    <row r="473" spans="39:57" ht="16.5" x14ac:dyDescent="0.2">
      <c r="AM473" s="13">
        <v>468</v>
      </c>
      <c r="AN473" s="14">
        <f t="shared" si="142"/>
        <v>28</v>
      </c>
      <c r="AO473" s="29">
        <f t="shared" si="126"/>
        <v>0.21600000000000003</v>
      </c>
      <c r="AP473" s="14">
        <f t="shared" si="127"/>
        <v>2</v>
      </c>
      <c r="AQ473" s="14">
        <f t="shared" si="128"/>
        <v>3</v>
      </c>
      <c r="AR473" s="14">
        <f t="shared" si="129"/>
        <v>0</v>
      </c>
      <c r="AS473" s="14">
        <f t="shared" si="130"/>
        <v>1606030</v>
      </c>
      <c r="AT473" s="14" t="str">
        <f t="shared" si="131"/>
        <v>神器-6-碎片-2-3级</v>
      </c>
      <c r="AU473" s="13" t="s">
        <v>1195</v>
      </c>
      <c r="AV473" s="13">
        <f t="shared" si="132"/>
        <v>3</v>
      </c>
      <c r="AW473" s="14">
        <f t="shared" si="133"/>
        <v>3016</v>
      </c>
      <c r="AX473" s="14" t="str">
        <f t="shared" si="134"/>
        <v>DefExt</v>
      </c>
      <c r="AY473" s="14">
        <f t="shared" si="135"/>
        <v>287</v>
      </c>
      <c r="AZ473" s="14" t="str">
        <f t="shared" si="136"/>
        <v>HPExt</v>
      </c>
      <c r="BA473" s="14">
        <f t="shared" si="137"/>
        <v>146</v>
      </c>
      <c r="BB473" s="14" t="str">
        <f t="shared" si="138"/>
        <v/>
      </c>
      <c r="BC473" s="14" t="str">
        <f t="shared" si="139"/>
        <v/>
      </c>
      <c r="BD473" s="14" t="str">
        <f t="shared" si="140"/>
        <v/>
      </c>
      <c r="BE473" s="14" t="str">
        <f t="shared" si="141"/>
        <v/>
      </c>
    </row>
    <row r="474" spans="39:57" ht="16.5" x14ac:dyDescent="0.2">
      <c r="AM474" s="13">
        <v>469</v>
      </c>
      <c r="AN474" s="14">
        <f t="shared" si="142"/>
        <v>28</v>
      </c>
      <c r="AO474" s="29">
        <f t="shared" si="126"/>
        <v>0.28000000000000003</v>
      </c>
      <c r="AP474" s="14">
        <f t="shared" si="127"/>
        <v>2</v>
      </c>
      <c r="AQ474" s="14">
        <f t="shared" si="128"/>
        <v>3</v>
      </c>
      <c r="AR474" s="14">
        <f t="shared" si="129"/>
        <v>0</v>
      </c>
      <c r="AS474" s="14">
        <f t="shared" si="130"/>
        <v>1606030</v>
      </c>
      <c r="AT474" s="14" t="str">
        <f t="shared" si="131"/>
        <v>神器-6-碎片-2-4级</v>
      </c>
      <c r="AU474" s="13" t="s">
        <v>1195</v>
      </c>
      <c r="AV474" s="13">
        <f t="shared" si="132"/>
        <v>4</v>
      </c>
      <c r="AW474" s="14">
        <f t="shared" si="133"/>
        <v>3919</v>
      </c>
      <c r="AX474" s="14" t="str">
        <f t="shared" si="134"/>
        <v>DefExt</v>
      </c>
      <c r="AY474" s="14">
        <f t="shared" si="135"/>
        <v>373</v>
      </c>
      <c r="AZ474" s="14" t="str">
        <f t="shared" si="136"/>
        <v>HPExt</v>
      </c>
      <c r="BA474" s="14">
        <f t="shared" si="137"/>
        <v>189</v>
      </c>
      <c r="BB474" s="14" t="str">
        <f t="shared" si="138"/>
        <v/>
      </c>
      <c r="BC474" s="14" t="str">
        <f t="shared" si="139"/>
        <v/>
      </c>
      <c r="BD474" s="14" t="str">
        <f t="shared" si="140"/>
        <v/>
      </c>
      <c r="BE474" s="14" t="str">
        <f t="shared" si="141"/>
        <v/>
      </c>
    </row>
    <row r="475" spans="39:57" ht="16.5" x14ac:dyDescent="0.2">
      <c r="AM475" s="13">
        <v>470</v>
      </c>
      <c r="AN475" s="14">
        <f t="shared" si="142"/>
        <v>28</v>
      </c>
      <c r="AO475" s="29">
        <f t="shared" si="126"/>
        <v>0.34799999999999998</v>
      </c>
      <c r="AP475" s="14">
        <f t="shared" si="127"/>
        <v>2</v>
      </c>
      <c r="AQ475" s="14">
        <f t="shared" si="128"/>
        <v>3</v>
      </c>
      <c r="AR475" s="14">
        <f t="shared" si="129"/>
        <v>0</v>
      </c>
      <c r="AS475" s="14">
        <f t="shared" si="130"/>
        <v>1606030</v>
      </c>
      <c r="AT475" s="14" t="str">
        <f t="shared" si="131"/>
        <v>神器-6-碎片-2-5级</v>
      </c>
      <c r="AU475" s="13" t="s">
        <v>1195</v>
      </c>
      <c r="AV475" s="13">
        <f t="shared" si="132"/>
        <v>5</v>
      </c>
      <c r="AW475" s="14">
        <f t="shared" si="133"/>
        <v>4864</v>
      </c>
      <c r="AX475" s="14" t="str">
        <f t="shared" si="134"/>
        <v>DefExt</v>
      </c>
      <c r="AY475" s="14">
        <f t="shared" si="135"/>
        <v>463</v>
      </c>
      <c r="AZ475" s="14" t="str">
        <f t="shared" si="136"/>
        <v>HPExt</v>
      </c>
      <c r="BA475" s="14">
        <f t="shared" si="137"/>
        <v>234</v>
      </c>
      <c r="BB475" s="14" t="str">
        <f t="shared" si="138"/>
        <v/>
      </c>
      <c r="BC475" s="14" t="str">
        <f t="shared" si="139"/>
        <v/>
      </c>
      <c r="BD475" s="14" t="str">
        <f t="shared" si="140"/>
        <v/>
      </c>
      <c r="BE475" s="14" t="str">
        <f t="shared" si="141"/>
        <v/>
      </c>
    </row>
    <row r="476" spans="39:57" ht="16.5" x14ac:dyDescent="0.2">
      <c r="AM476" s="13">
        <v>471</v>
      </c>
      <c r="AN476" s="14">
        <f t="shared" si="142"/>
        <v>28</v>
      </c>
      <c r="AO476" s="29">
        <f t="shared" si="126"/>
        <v>0.42000000000000004</v>
      </c>
      <c r="AP476" s="14">
        <f t="shared" si="127"/>
        <v>2</v>
      </c>
      <c r="AQ476" s="14">
        <f t="shared" si="128"/>
        <v>3</v>
      </c>
      <c r="AR476" s="14">
        <f t="shared" si="129"/>
        <v>0</v>
      </c>
      <c r="AS476" s="14">
        <f t="shared" si="130"/>
        <v>1606030</v>
      </c>
      <c r="AT476" s="14" t="str">
        <f t="shared" si="131"/>
        <v>神器-6-碎片-2-6级</v>
      </c>
      <c r="AU476" s="13" t="s">
        <v>1195</v>
      </c>
      <c r="AV476" s="13">
        <f t="shared" si="132"/>
        <v>6</v>
      </c>
      <c r="AW476" s="14">
        <f t="shared" si="133"/>
        <v>5873</v>
      </c>
      <c r="AX476" s="14" t="str">
        <f t="shared" si="134"/>
        <v>DefExt</v>
      </c>
      <c r="AY476" s="14">
        <f t="shared" si="135"/>
        <v>559</v>
      </c>
      <c r="AZ476" s="14" t="str">
        <f t="shared" si="136"/>
        <v>HPExt</v>
      </c>
      <c r="BA476" s="14">
        <f t="shared" si="137"/>
        <v>283</v>
      </c>
      <c r="BB476" s="14" t="str">
        <f t="shared" si="138"/>
        <v/>
      </c>
      <c r="BC476" s="14" t="str">
        <f t="shared" si="139"/>
        <v/>
      </c>
      <c r="BD476" s="14" t="str">
        <f t="shared" si="140"/>
        <v/>
      </c>
      <c r="BE476" s="14" t="str">
        <f t="shared" si="141"/>
        <v/>
      </c>
    </row>
    <row r="477" spans="39:57" ht="16.5" x14ac:dyDescent="0.2">
      <c r="AM477" s="13">
        <v>472</v>
      </c>
      <c r="AN477" s="14">
        <f t="shared" si="142"/>
        <v>28</v>
      </c>
      <c r="AO477" s="29">
        <f t="shared" si="126"/>
        <v>0.496</v>
      </c>
      <c r="AP477" s="14">
        <f t="shared" si="127"/>
        <v>2</v>
      </c>
      <c r="AQ477" s="14">
        <f t="shared" si="128"/>
        <v>3</v>
      </c>
      <c r="AR477" s="14">
        <f t="shared" si="129"/>
        <v>0</v>
      </c>
      <c r="AS477" s="14">
        <f t="shared" si="130"/>
        <v>1606030</v>
      </c>
      <c r="AT477" s="14" t="str">
        <f t="shared" si="131"/>
        <v>神器-6-碎片-2-7级</v>
      </c>
      <c r="AU477" s="13" t="s">
        <v>1195</v>
      </c>
      <c r="AV477" s="13">
        <f t="shared" si="132"/>
        <v>7</v>
      </c>
      <c r="AW477" s="14">
        <f t="shared" si="133"/>
        <v>6934</v>
      </c>
      <c r="AX477" s="14" t="str">
        <f t="shared" si="134"/>
        <v>DefExt</v>
      </c>
      <c r="AY477" s="14">
        <f t="shared" si="135"/>
        <v>660</v>
      </c>
      <c r="AZ477" s="14" t="str">
        <f t="shared" si="136"/>
        <v>HPExt</v>
      </c>
      <c r="BA477" s="14">
        <f t="shared" si="137"/>
        <v>334</v>
      </c>
      <c r="BB477" s="14" t="str">
        <f t="shared" si="138"/>
        <v/>
      </c>
      <c r="BC477" s="14" t="str">
        <f t="shared" si="139"/>
        <v/>
      </c>
      <c r="BD477" s="14" t="str">
        <f t="shared" si="140"/>
        <v/>
      </c>
      <c r="BE477" s="14" t="str">
        <f t="shared" si="141"/>
        <v/>
      </c>
    </row>
    <row r="478" spans="39:57" ht="16.5" x14ac:dyDescent="0.2">
      <c r="AM478" s="13">
        <v>473</v>
      </c>
      <c r="AN478" s="14">
        <f t="shared" si="142"/>
        <v>28</v>
      </c>
      <c r="AO478" s="29">
        <f t="shared" si="126"/>
        <v>0.57600000000000007</v>
      </c>
      <c r="AP478" s="14">
        <f t="shared" si="127"/>
        <v>2</v>
      </c>
      <c r="AQ478" s="14">
        <f t="shared" si="128"/>
        <v>3</v>
      </c>
      <c r="AR478" s="14">
        <f t="shared" si="129"/>
        <v>0</v>
      </c>
      <c r="AS478" s="14">
        <f t="shared" si="130"/>
        <v>1606030</v>
      </c>
      <c r="AT478" s="14" t="str">
        <f t="shared" si="131"/>
        <v>神器-6-碎片-2-8级</v>
      </c>
      <c r="AU478" s="13" t="s">
        <v>1195</v>
      </c>
      <c r="AV478" s="13">
        <f t="shared" si="132"/>
        <v>8</v>
      </c>
      <c r="AW478" s="14">
        <f t="shared" si="133"/>
        <v>8048</v>
      </c>
      <c r="AX478" s="14" t="str">
        <f t="shared" si="134"/>
        <v>DefExt</v>
      </c>
      <c r="AY478" s="14">
        <f t="shared" si="135"/>
        <v>766</v>
      </c>
      <c r="AZ478" s="14" t="str">
        <f t="shared" si="136"/>
        <v>HPExt</v>
      </c>
      <c r="BA478" s="14">
        <f t="shared" si="137"/>
        <v>388</v>
      </c>
      <c r="BB478" s="14" t="str">
        <f t="shared" si="138"/>
        <v/>
      </c>
      <c r="BC478" s="14" t="str">
        <f t="shared" si="139"/>
        <v/>
      </c>
      <c r="BD478" s="14" t="str">
        <f t="shared" si="140"/>
        <v/>
      </c>
      <c r="BE478" s="14" t="str">
        <f t="shared" si="141"/>
        <v/>
      </c>
    </row>
    <row r="479" spans="39:57" ht="16.5" x14ac:dyDescent="0.2">
      <c r="AM479" s="13">
        <v>474</v>
      </c>
      <c r="AN479" s="14">
        <f t="shared" si="142"/>
        <v>28</v>
      </c>
      <c r="AO479" s="29">
        <f t="shared" si="126"/>
        <v>0.66</v>
      </c>
      <c r="AP479" s="14">
        <f t="shared" si="127"/>
        <v>2</v>
      </c>
      <c r="AQ479" s="14">
        <f t="shared" si="128"/>
        <v>3</v>
      </c>
      <c r="AR479" s="14">
        <f t="shared" si="129"/>
        <v>0</v>
      </c>
      <c r="AS479" s="14">
        <f t="shared" si="130"/>
        <v>1606030</v>
      </c>
      <c r="AT479" s="14" t="str">
        <f t="shared" si="131"/>
        <v>神器-6-碎片-2-9级</v>
      </c>
      <c r="AU479" s="13" t="s">
        <v>1195</v>
      </c>
      <c r="AV479" s="13">
        <f t="shared" si="132"/>
        <v>9</v>
      </c>
      <c r="AW479" s="14">
        <f t="shared" si="133"/>
        <v>9225</v>
      </c>
      <c r="AX479" s="14" t="str">
        <f t="shared" si="134"/>
        <v>DefExt</v>
      </c>
      <c r="AY479" s="14">
        <f t="shared" si="135"/>
        <v>878</v>
      </c>
      <c r="AZ479" s="14" t="str">
        <f t="shared" si="136"/>
        <v>HPExt</v>
      </c>
      <c r="BA479" s="14">
        <f t="shared" si="137"/>
        <v>445</v>
      </c>
      <c r="BB479" s="14" t="str">
        <f t="shared" si="138"/>
        <v/>
      </c>
      <c r="BC479" s="14" t="str">
        <f t="shared" si="139"/>
        <v/>
      </c>
      <c r="BD479" s="14" t="str">
        <f t="shared" si="140"/>
        <v/>
      </c>
      <c r="BE479" s="14" t="str">
        <f t="shared" si="141"/>
        <v/>
      </c>
    </row>
    <row r="480" spans="39:57" ht="16.5" x14ac:dyDescent="0.2">
      <c r="AM480" s="13">
        <v>475</v>
      </c>
      <c r="AN480" s="14">
        <f t="shared" si="142"/>
        <v>28</v>
      </c>
      <c r="AO480" s="29">
        <f t="shared" si="126"/>
        <v>0.748</v>
      </c>
      <c r="AP480" s="14">
        <f t="shared" si="127"/>
        <v>2</v>
      </c>
      <c r="AQ480" s="14">
        <f t="shared" si="128"/>
        <v>3</v>
      </c>
      <c r="AR480" s="14">
        <f t="shared" si="129"/>
        <v>0</v>
      </c>
      <c r="AS480" s="14">
        <f t="shared" si="130"/>
        <v>1606030</v>
      </c>
      <c r="AT480" s="14" t="str">
        <f t="shared" si="131"/>
        <v>神器-6-碎片-2-10级</v>
      </c>
      <c r="AU480" s="13" t="s">
        <v>1195</v>
      </c>
      <c r="AV480" s="13">
        <f t="shared" si="132"/>
        <v>10</v>
      </c>
      <c r="AW480" s="14">
        <f t="shared" si="133"/>
        <v>10454</v>
      </c>
      <c r="AX480" s="14" t="str">
        <f t="shared" si="134"/>
        <v>DefExt</v>
      </c>
      <c r="AY480" s="14">
        <f t="shared" si="135"/>
        <v>995</v>
      </c>
      <c r="AZ480" s="14" t="str">
        <f t="shared" si="136"/>
        <v>HPExt</v>
      </c>
      <c r="BA480" s="14">
        <f t="shared" si="137"/>
        <v>504</v>
      </c>
      <c r="BB480" s="14" t="str">
        <f t="shared" si="138"/>
        <v/>
      </c>
      <c r="BC480" s="14" t="str">
        <f t="shared" si="139"/>
        <v/>
      </c>
      <c r="BD480" s="14" t="str">
        <f t="shared" si="140"/>
        <v/>
      </c>
      <c r="BE480" s="14" t="str">
        <f t="shared" si="141"/>
        <v/>
      </c>
    </row>
    <row r="481" spans="39:57" ht="16.5" x14ac:dyDescent="0.2">
      <c r="AM481" s="13">
        <v>476</v>
      </c>
      <c r="AN481" s="14">
        <f t="shared" si="142"/>
        <v>28</v>
      </c>
      <c r="AO481" s="29">
        <f t="shared" si="126"/>
        <v>0.84000000000000008</v>
      </c>
      <c r="AP481" s="14">
        <f t="shared" si="127"/>
        <v>2</v>
      </c>
      <c r="AQ481" s="14">
        <f t="shared" si="128"/>
        <v>3</v>
      </c>
      <c r="AR481" s="14">
        <f t="shared" si="129"/>
        <v>0</v>
      </c>
      <c r="AS481" s="14">
        <f t="shared" si="130"/>
        <v>1606030</v>
      </c>
      <c r="AT481" s="14" t="str">
        <f t="shared" si="131"/>
        <v>神器-6-碎片-2-11级</v>
      </c>
      <c r="AU481" s="13" t="s">
        <v>1195</v>
      </c>
      <c r="AV481" s="13">
        <f t="shared" si="132"/>
        <v>11</v>
      </c>
      <c r="AW481" s="14">
        <f t="shared" si="133"/>
        <v>11746</v>
      </c>
      <c r="AX481" s="14" t="str">
        <f t="shared" si="134"/>
        <v>DefExt</v>
      </c>
      <c r="AY481" s="14">
        <f t="shared" si="135"/>
        <v>1118</v>
      </c>
      <c r="AZ481" s="14" t="str">
        <f t="shared" si="136"/>
        <v>HPExt</v>
      </c>
      <c r="BA481" s="14">
        <f t="shared" si="137"/>
        <v>566</v>
      </c>
      <c r="BB481" s="14" t="str">
        <f t="shared" si="138"/>
        <v/>
      </c>
      <c r="BC481" s="14" t="str">
        <f t="shared" si="139"/>
        <v/>
      </c>
      <c r="BD481" s="14" t="str">
        <f t="shared" si="140"/>
        <v/>
      </c>
      <c r="BE481" s="14" t="str">
        <f t="shared" si="141"/>
        <v/>
      </c>
    </row>
    <row r="482" spans="39:57" ht="16.5" x14ac:dyDescent="0.2">
      <c r="AM482" s="13">
        <v>477</v>
      </c>
      <c r="AN482" s="14">
        <f t="shared" si="142"/>
        <v>28</v>
      </c>
      <c r="AO482" s="29">
        <f t="shared" si="126"/>
        <v>0.93600000000000017</v>
      </c>
      <c r="AP482" s="14">
        <f t="shared" si="127"/>
        <v>2</v>
      </c>
      <c r="AQ482" s="14">
        <f t="shared" si="128"/>
        <v>3</v>
      </c>
      <c r="AR482" s="14">
        <f t="shared" si="129"/>
        <v>0</v>
      </c>
      <c r="AS482" s="14">
        <f t="shared" si="130"/>
        <v>1606030</v>
      </c>
      <c r="AT482" s="14" t="str">
        <f t="shared" si="131"/>
        <v>神器-6-碎片-2-12级</v>
      </c>
      <c r="AU482" s="13" t="s">
        <v>1195</v>
      </c>
      <c r="AV482" s="13">
        <f t="shared" si="132"/>
        <v>12</v>
      </c>
      <c r="AW482" s="14">
        <f t="shared" si="133"/>
        <v>13081</v>
      </c>
      <c r="AX482" s="14" t="str">
        <f t="shared" si="134"/>
        <v>DefExt</v>
      </c>
      <c r="AY482" s="14">
        <f t="shared" si="135"/>
        <v>1245</v>
      </c>
      <c r="AZ482" s="14" t="str">
        <f t="shared" si="136"/>
        <v>HPExt</v>
      </c>
      <c r="BA482" s="14">
        <f t="shared" si="137"/>
        <v>631</v>
      </c>
      <c r="BB482" s="14" t="str">
        <f t="shared" si="138"/>
        <v/>
      </c>
      <c r="BC482" s="14" t="str">
        <f t="shared" si="139"/>
        <v/>
      </c>
      <c r="BD482" s="14" t="str">
        <f t="shared" si="140"/>
        <v/>
      </c>
      <c r="BE482" s="14" t="str">
        <f t="shared" si="141"/>
        <v/>
      </c>
    </row>
    <row r="483" spans="39:57" ht="16.5" x14ac:dyDescent="0.2">
      <c r="AM483" s="13">
        <v>478</v>
      </c>
      <c r="AN483" s="14">
        <f t="shared" si="142"/>
        <v>28</v>
      </c>
      <c r="AO483" s="29">
        <f t="shared" si="126"/>
        <v>1.036</v>
      </c>
      <c r="AP483" s="14">
        <f t="shared" si="127"/>
        <v>2</v>
      </c>
      <c r="AQ483" s="14">
        <f t="shared" si="128"/>
        <v>3</v>
      </c>
      <c r="AR483" s="14">
        <f t="shared" si="129"/>
        <v>0</v>
      </c>
      <c r="AS483" s="14">
        <f t="shared" si="130"/>
        <v>1606030</v>
      </c>
      <c r="AT483" s="14" t="str">
        <f t="shared" si="131"/>
        <v>神器-6-碎片-2-13级</v>
      </c>
      <c r="AU483" s="13" t="s">
        <v>1195</v>
      </c>
      <c r="AV483" s="13">
        <f t="shared" si="132"/>
        <v>13</v>
      </c>
      <c r="AW483" s="14">
        <f t="shared" si="133"/>
        <v>14478</v>
      </c>
      <c r="AX483" s="14" t="str">
        <f t="shared" si="134"/>
        <v>DefExt</v>
      </c>
      <c r="AY483" s="14">
        <f t="shared" si="135"/>
        <v>1378</v>
      </c>
      <c r="AZ483" s="14" t="str">
        <f t="shared" si="136"/>
        <v>HPExt</v>
      </c>
      <c r="BA483" s="14">
        <f t="shared" si="137"/>
        <v>698</v>
      </c>
      <c r="BB483" s="14" t="str">
        <f t="shared" si="138"/>
        <v/>
      </c>
      <c r="BC483" s="14" t="str">
        <f t="shared" si="139"/>
        <v/>
      </c>
      <c r="BD483" s="14" t="str">
        <f t="shared" si="140"/>
        <v/>
      </c>
      <c r="BE483" s="14" t="str">
        <f t="shared" si="141"/>
        <v/>
      </c>
    </row>
    <row r="484" spans="39:57" ht="16.5" x14ac:dyDescent="0.2">
      <c r="AM484" s="13">
        <v>479</v>
      </c>
      <c r="AN484" s="14">
        <f t="shared" si="142"/>
        <v>28</v>
      </c>
      <c r="AO484" s="29">
        <f t="shared" si="126"/>
        <v>1.1400000000000001</v>
      </c>
      <c r="AP484" s="14">
        <f t="shared" si="127"/>
        <v>2</v>
      </c>
      <c r="AQ484" s="14">
        <f t="shared" si="128"/>
        <v>3</v>
      </c>
      <c r="AR484" s="14">
        <f t="shared" si="129"/>
        <v>0</v>
      </c>
      <c r="AS484" s="14">
        <f t="shared" si="130"/>
        <v>1606030</v>
      </c>
      <c r="AT484" s="14" t="str">
        <f t="shared" si="131"/>
        <v>神器-6-碎片-2-14级</v>
      </c>
      <c r="AU484" s="13" t="s">
        <v>1195</v>
      </c>
      <c r="AV484" s="13">
        <f t="shared" si="132"/>
        <v>14</v>
      </c>
      <c r="AW484" s="14">
        <f t="shared" si="133"/>
        <v>15938</v>
      </c>
      <c r="AX484" s="14" t="str">
        <f t="shared" si="134"/>
        <v>DefExt</v>
      </c>
      <c r="AY484" s="14">
        <f t="shared" si="135"/>
        <v>1517</v>
      </c>
      <c r="AZ484" s="14" t="str">
        <f t="shared" si="136"/>
        <v>HPExt</v>
      </c>
      <c r="BA484" s="14">
        <f t="shared" si="137"/>
        <v>768</v>
      </c>
      <c r="BB484" s="14" t="str">
        <f t="shared" si="138"/>
        <v/>
      </c>
      <c r="BC484" s="14" t="str">
        <f t="shared" si="139"/>
        <v/>
      </c>
      <c r="BD484" s="14" t="str">
        <f t="shared" si="140"/>
        <v/>
      </c>
      <c r="BE484" s="14" t="str">
        <f t="shared" si="141"/>
        <v/>
      </c>
    </row>
    <row r="485" spans="39:57" ht="16.5" x14ac:dyDescent="0.2">
      <c r="AM485" s="13">
        <v>480</v>
      </c>
      <c r="AN485" s="14">
        <f t="shared" si="142"/>
        <v>28</v>
      </c>
      <c r="AO485" s="29">
        <f t="shared" si="126"/>
        <v>1.248</v>
      </c>
      <c r="AP485" s="14">
        <f t="shared" si="127"/>
        <v>2</v>
      </c>
      <c r="AQ485" s="14">
        <f t="shared" si="128"/>
        <v>3</v>
      </c>
      <c r="AR485" s="14">
        <f t="shared" si="129"/>
        <v>0</v>
      </c>
      <c r="AS485" s="14">
        <f t="shared" si="130"/>
        <v>1606030</v>
      </c>
      <c r="AT485" s="14" t="str">
        <f t="shared" si="131"/>
        <v>神器-6-碎片-2-15级</v>
      </c>
      <c r="AU485" s="13" t="s">
        <v>1195</v>
      </c>
      <c r="AV485" s="13">
        <f t="shared" si="132"/>
        <v>15</v>
      </c>
      <c r="AW485" s="14">
        <f t="shared" si="133"/>
        <v>17441</v>
      </c>
      <c r="AX485" s="14" t="str">
        <f t="shared" si="134"/>
        <v>DefExt</v>
      </c>
      <c r="AY485" s="14">
        <f t="shared" si="135"/>
        <v>1660</v>
      </c>
      <c r="AZ485" s="14" t="str">
        <f t="shared" si="136"/>
        <v>HPExt</v>
      </c>
      <c r="BA485" s="14">
        <f t="shared" si="137"/>
        <v>841</v>
      </c>
      <c r="BB485" s="14" t="str">
        <f t="shared" si="138"/>
        <v/>
      </c>
      <c r="BC485" s="14" t="str">
        <f t="shared" si="139"/>
        <v/>
      </c>
      <c r="BD485" s="14" t="str">
        <f t="shared" si="140"/>
        <v/>
      </c>
      <c r="BE485" s="14" t="str">
        <f t="shared" si="141"/>
        <v/>
      </c>
    </row>
    <row r="486" spans="39:57" ht="16.5" x14ac:dyDescent="0.2">
      <c r="AM486" s="13">
        <v>481</v>
      </c>
      <c r="AN486" s="14">
        <f t="shared" si="142"/>
        <v>28</v>
      </c>
      <c r="AO486" s="29">
        <f t="shared" si="126"/>
        <v>1.36</v>
      </c>
      <c r="AP486" s="14">
        <f t="shared" si="127"/>
        <v>2</v>
      </c>
      <c r="AQ486" s="14">
        <f t="shared" si="128"/>
        <v>3</v>
      </c>
      <c r="AR486" s="14">
        <f t="shared" si="129"/>
        <v>0</v>
      </c>
      <c r="AS486" s="14">
        <f t="shared" si="130"/>
        <v>1606030</v>
      </c>
      <c r="AT486" s="14" t="str">
        <f t="shared" si="131"/>
        <v>神器-6-碎片-2-16级</v>
      </c>
      <c r="AU486" s="13" t="s">
        <v>1195</v>
      </c>
      <c r="AV486" s="13">
        <f t="shared" si="132"/>
        <v>16</v>
      </c>
      <c r="AW486" s="14">
        <f t="shared" si="133"/>
        <v>19006</v>
      </c>
      <c r="AX486" s="14" t="str">
        <f t="shared" si="134"/>
        <v>DefExt</v>
      </c>
      <c r="AY486" s="14">
        <f t="shared" si="135"/>
        <v>1809</v>
      </c>
      <c r="AZ486" s="14" t="str">
        <f t="shared" si="136"/>
        <v>HPExt</v>
      </c>
      <c r="BA486" s="14">
        <f t="shared" si="137"/>
        <v>916</v>
      </c>
      <c r="BB486" s="14" t="str">
        <f t="shared" si="138"/>
        <v/>
      </c>
      <c r="BC486" s="14" t="str">
        <f t="shared" si="139"/>
        <v/>
      </c>
      <c r="BD486" s="14" t="str">
        <f t="shared" si="140"/>
        <v/>
      </c>
      <c r="BE486" s="14" t="str">
        <f t="shared" si="141"/>
        <v/>
      </c>
    </row>
    <row r="487" spans="39:57" ht="16.5" x14ac:dyDescent="0.2">
      <c r="AM487" s="13">
        <v>482</v>
      </c>
      <c r="AN487" s="14">
        <f t="shared" si="142"/>
        <v>28</v>
      </c>
      <c r="AO487" s="29">
        <f t="shared" si="126"/>
        <v>1.476</v>
      </c>
      <c r="AP487" s="14">
        <f t="shared" si="127"/>
        <v>2</v>
      </c>
      <c r="AQ487" s="14">
        <f t="shared" si="128"/>
        <v>3</v>
      </c>
      <c r="AR487" s="14">
        <f t="shared" si="129"/>
        <v>0</v>
      </c>
      <c r="AS487" s="14">
        <f t="shared" si="130"/>
        <v>1606030</v>
      </c>
      <c r="AT487" s="14" t="str">
        <f t="shared" si="131"/>
        <v>神器-6-碎片-2-17级</v>
      </c>
      <c r="AU487" s="13" t="s">
        <v>1195</v>
      </c>
      <c r="AV487" s="13">
        <f t="shared" si="132"/>
        <v>17</v>
      </c>
      <c r="AW487" s="14">
        <f t="shared" si="133"/>
        <v>20634</v>
      </c>
      <c r="AX487" s="14" t="str">
        <f t="shared" si="134"/>
        <v>DefExt</v>
      </c>
      <c r="AY487" s="14">
        <f t="shared" si="135"/>
        <v>1964</v>
      </c>
      <c r="AZ487" s="14" t="str">
        <f t="shared" si="136"/>
        <v>HPExt</v>
      </c>
      <c r="BA487" s="14">
        <f t="shared" si="137"/>
        <v>994</v>
      </c>
      <c r="BB487" s="14" t="str">
        <f t="shared" si="138"/>
        <v/>
      </c>
      <c r="BC487" s="14" t="str">
        <f t="shared" si="139"/>
        <v/>
      </c>
      <c r="BD487" s="14" t="str">
        <f t="shared" si="140"/>
        <v/>
      </c>
      <c r="BE487" s="14" t="str">
        <f t="shared" si="141"/>
        <v/>
      </c>
    </row>
    <row r="488" spans="39:57" ht="16.5" x14ac:dyDescent="0.2">
      <c r="AM488" s="13">
        <v>483</v>
      </c>
      <c r="AN488" s="14">
        <f t="shared" si="142"/>
        <v>28</v>
      </c>
      <c r="AO488" s="29">
        <f t="shared" si="126"/>
        <v>1.5960000000000001</v>
      </c>
      <c r="AP488" s="14">
        <f t="shared" si="127"/>
        <v>2</v>
      </c>
      <c r="AQ488" s="14">
        <f t="shared" si="128"/>
        <v>3</v>
      </c>
      <c r="AR488" s="14">
        <f t="shared" si="129"/>
        <v>0</v>
      </c>
      <c r="AS488" s="14">
        <f t="shared" si="130"/>
        <v>1606030</v>
      </c>
      <c r="AT488" s="14" t="str">
        <f t="shared" si="131"/>
        <v>神器-6-碎片-2-18级</v>
      </c>
      <c r="AU488" s="13" t="s">
        <v>1195</v>
      </c>
      <c r="AV488" s="13">
        <f t="shared" si="132"/>
        <v>18</v>
      </c>
      <c r="AW488" s="14">
        <f t="shared" si="133"/>
        <v>22305</v>
      </c>
      <c r="AX488" s="14" t="str">
        <f t="shared" si="134"/>
        <v>DefExt</v>
      </c>
      <c r="AY488" s="14">
        <f t="shared" si="135"/>
        <v>2123</v>
      </c>
      <c r="AZ488" s="14" t="str">
        <f t="shared" si="136"/>
        <v>HPExt</v>
      </c>
      <c r="BA488" s="14">
        <f t="shared" si="137"/>
        <v>1075</v>
      </c>
      <c r="BB488" s="14" t="str">
        <f t="shared" si="138"/>
        <v/>
      </c>
      <c r="BC488" s="14" t="str">
        <f t="shared" si="139"/>
        <v/>
      </c>
      <c r="BD488" s="14" t="str">
        <f t="shared" si="140"/>
        <v/>
      </c>
      <c r="BE488" s="14" t="str">
        <f t="shared" si="141"/>
        <v/>
      </c>
    </row>
    <row r="489" spans="39:57" ht="16.5" x14ac:dyDescent="0.2">
      <c r="AM489" s="13">
        <v>484</v>
      </c>
      <c r="AN489" s="14">
        <f t="shared" si="142"/>
        <v>28</v>
      </c>
      <c r="AO489" s="29">
        <f t="shared" si="126"/>
        <v>1.7200000000000002</v>
      </c>
      <c r="AP489" s="14">
        <f t="shared" si="127"/>
        <v>2</v>
      </c>
      <c r="AQ489" s="14">
        <f t="shared" si="128"/>
        <v>3</v>
      </c>
      <c r="AR489" s="14">
        <f t="shared" si="129"/>
        <v>0</v>
      </c>
      <c r="AS489" s="14">
        <f t="shared" si="130"/>
        <v>1606030</v>
      </c>
      <c r="AT489" s="14" t="str">
        <f t="shared" si="131"/>
        <v>神器-6-碎片-2-19级</v>
      </c>
      <c r="AU489" s="13" t="s">
        <v>1195</v>
      </c>
      <c r="AV489" s="13">
        <f t="shared" si="132"/>
        <v>19</v>
      </c>
      <c r="AW489" s="14">
        <f t="shared" si="133"/>
        <v>24039</v>
      </c>
      <c r="AX489" s="14" t="str">
        <f t="shared" si="134"/>
        <v>DefExt</v>
      </c>
      <c r="AY489" s="14">
        <f t="shared" si="135"/>
        <v>2288</v>
      </c>
      <c r="AZ489" s="14" t="str">
        <f t="shared" si="136"/>
        <v>HPExt</v>
      </c>
      <c r="BA489" s="14">
        <f t="shared" si="137"/>
        <v>1159</v>
      </c>
      <c r="BB489" s="14" t="str">
        <f t="shared" si="138"/>
        <v/>
      </c>
      <c r="BC489" s="14" t="str">
        <f t="shared" si="139"/>
        <v/>
      </c>
      <c r="BD489" s="14" t="str">
        <f t="shared" si="140"/>
        <v/>
      </c>
      <c r="BE489" s="14" t="str">
        <f t="shared" si="141"/>
        <v/>
      </c>
    </row>
    <row r="490" spans="39:57" ht="16.5" x14ac:dyDescent="0.2">
      <c r="AM490" s="13">
        <v>485</v>
      </c>
      <c r="AN490" s="14">
        <f t="shared" si="142"/>
        <v>28</v>
      </c>
      <c r="AO490" s="29">
        <f t="shared" si="126"/>
        <v>1.8480000000000001</v>
      </c>
      <c r="AP490" s="14">
        <f t="shared" si="127"/>
        <v>2</v>
      </c>
      <c r="AQ490" s="14">
        <f t="shared" si="128"/>
        <v>3</v>
      </c>
      <c r="AR490" s="14">
        <f t="shared" si="129"/>
        <v>0</v>
      </c>
      <c r="AS490" s="14">
        <f t="shared" si="130"/>
        <v>1606030</v>
      </c>
      <c r="AT490" s="14" t="str">
        <f t="shared" si="131"/>
        <v>神器-6-碎片-2-20级</v>
      </c>
      <c r="AU490" s="13" t="s">
        <v>1195</v>
      </c>
      <c r="AV490" s="13">
        <f t="shared" si="132"/>
        <v>20</v>
      </c>
      <c r="AW490" s="14">
        <f t="shared" si="133"/>
        <v>25835</v>
      </c>
      <c r="AX490" s="14" t="str">
        <f t="shared" si="134"/>
        <v>DefExt</v>
      </c>
      <c r="AY490" s="14">
        <f t="shared" si="135"/>
        <v>2459</v>
      </c>
      <c r="AZ490" s="14" t="str">
        <f t="shared" si="136"/>
        <v>HPExt</v>
      </c>
      <c r="BA490" s="14">
        <f t="shared" si="137"/>
        <v>1245</v>
      </c>
      <c r="BB490" s="14" t="str">
        <f t="shared" si="138"/>
        <v/>
      </c>
      <c r="BC490" s="14" t="str">
        <f t="shared" si="139"/>
        <v/>
      </c>
      <c r="BD490" s="14" t="str">
        <f t="shared" si="140"/>
        <v/>
      </c>
      <c r="BE490" s="14" t="str">
        <f t="shared" si="141"/>
        <v/>
      </c>
    </row>
    <row r="491" spans="39:57" ht="16.5" x14ac:dyDescent="0.2">
      <c r="AM491" s="13">
        <v>486</v>
      </c>
      <c r="AN491" s="14">
        <f t="shared" si="142"/>
        <v>28</v>
      </c>
      <c r="AO491" s="29">
        <f t="shared" si="126"/>
        <v>1.98</v>
      </c>
      <c r="AP491" s="14">
        <f t="shared" si="127"/>
        <v>2</v>
      </c>
      <c r="AQ491" s="14">
        <f t="shared" si="128"/>
        <v>3</v>
      </c>
      <c r="AR491" s="14">
        <f t="shared" si="129"/>
        <v>0</v>
      </c>
      <c r="AS491" s="14">
        <f t="shared" si="130"/>
        <v>1606030</v>
      </c>
      <c r="AT491" s="14" t="str">
        <f t="shared" si="131"/>
        <v>神器-6-碎片-2-21级</v>
      </c>
      <c r="AU491" s="13" t="s">
        <v>1195</v>
      </c>
      <c r="AV491" s="13">
        <f t="shared" si="132"/>
        <v>21</v>
      </c>
      <c r="AW491" s="14">
        <f t="shared" si="133"/>
        <v>27674</v>
      </c>
      <c r="AX491" s="14" t="str">
        <f t="shared" si="134"/>
        <v>DefExt</v>
      </c>
      <c r="AY491" s="14">
        <f t="shared" si="135"/>
        <v>2634</v>
      </c>
      <c r="AZ491" s="14" t="str">
        <f t="shared" si="136"/>
        <v>HPExt</v>
      </c>
      <c r="BA491" s="14">
        <f t="shared" si="137"/>
        <v>1334</v>
      </c>
      <c r="BB491" s="14" t="str">
        <f t="shared" si="138"/>
        <v/>
      </c>
      <c r="BC491" s="14" t="str">
        <f t="shared" si="139"/>
        <v/>
      </c>
      <c r="BD491" s="14" t="str">
        <f t="shared" si="140"/>
        <v/>
      </c>
      <c r="BE491" s="14" t="str">
        <f t="shared" si="141"/>
        <v/>
      </c>
    </row>
    <row r="492" spans="39:57" ht="16.5" x14ac:dyDescent="0.2">
      <c r="AM492" s="13">
        <v>487</v>
      </c>
      <c r="AN492" s="14">
        <f t="shared" si="142"/>
        <v>29</v>
      </c>
      <c r="AO492" s="29">
        <f t="shared" si="126"/>
        <v>0.1</v>
      </c>
      <c r="AP492" s="14">
        <f t="shared" si="127"/>
        <v>1</v>
      </c>
      <c r="AQ492" s="14">
        <f t="shared" si="128"/>
        <v>2</v>
      </c>
      <c r="AR492" s="14">
        <f t="shared" si="129"/>
        <v>3</v>
      </c>
      <c r="AS492" s="14">
        <f t="shared" si="130"/>
        <v>1606031</v>
      </c>
      <c r="AT492" s="14" t="str">
        <f t="shared" si="131"/>
        <v>神器-6-碎片-3-1级</v>
      </c>
      <c r="AU492" s="13" t="s">
        <v>1195</v>
      </c>
      <c r="AV492" s="13">
        <f t="shared" si="132"/>
        <v>1</v>
      </c>
      <c r="AW492" s="14">
        <f t="shared" si="133"/>
        <v>1062</v>
      </c>
      <c r="AX492" s="14" t="str">
        <f t="shared" si="134"/>
        <v>AtkExt</v>
      </c>
      <c r="AY492" s="14">
        <f t="shared" si="135"/>
        <v>65</v>
      </c>
      <c r="AZ492" s="14" t="str">
        <f t="shared" si="136"/>
        <v>DefExt</v>
      </c>
      <c r="BA492" s="14">
        <f t="shared" si="137"/>
        <v>67</v>
      </c>
      <c r="BB492" s="14" t="str">
        <f t="shared" si="138"/>
        <v>HPExt</v>
      </c>
      <c r="BC492" s="14">
        <f t="shared" si="139"/>
        <v>67</v>
      </c>
      <c r="BD492" s="14" t="str">
        <f t="shared" si="140"/>
        <v/>
      </c>
      <c r="BE492" s="14" t="str">
        <f t="shared" si="141"/>
        <v/>
      </c>
    </row>
    <row r="493" spans="39:57" ht="16.5" x14ac:dyDescent="0.2">
      <c r="AM493" s="13">
        <v>488</v>
      </c>
      <c r="AN493" s="14">
        <f t="shared" si="142"/>
        <v>29</v>
      </c>
      <c r="AO493" s="29">
        <f t="shared" si="126"/>
        <v>0.15600000000000003</v>
      </c>
      <c r="AP493" s="14">
        <f t="shared" si="127"/>
        <v>1</v>
      </c>
      <c r="AQ493" s="14">
        <f t="shared" si="128"/>
        <v>2</v>
      </c>
      <c r="AR493" s="14">
        <f t="shared" si="129"/>
        <v>3</v>
      </c>
      <c r="AS493" s="14">
        <f t="shared" si="130"/>
        <v>1606031</v>
      </c>
      <c r="AT493" s="14" t="str">
        <f t="shared" si="131"/>
        <v>神器-6-碎片-3-2级</v>
      </c>
      <c r="AU493" s="13" t="s">
        <v>1195</v>
      </c>
      <c r="AV493" s="13">
        <f t="shared" si="132"/>
        <v>2</v>
      </c>
      <c r="AW493" s="14">
        <f t="shared" si="133"/>
        <v>1650</v>
      </c>
      <c r="AX493" s="14" t="str">
        <f t="shared" si="134"/>
        <v>AtkExt</v>
      </c>
      <c r="AY493" s="14">
        <f t="shared" si="135"/>
        <v>101</v>
      </c>
      <c r="AZ493" s="14" t="str">
        <f t="shared" si="136"/>
        <v>DefExt</v>
      </c>
      <c r="BA493" s="14">
        <f t="shared" si="137"/>
        <v>104</v>
      </c>
      <c r="BB493" s="14" t="str">
        <f t="shared" si="138"/>
        <v>HPExt</v>
      </c>
      <c r="BC493" s="14">
        <f t="shared" si="139"/>
        <v>105</v>
      </c>
      <c r="BD493" s="14" t="str">
        <f t="shared" si="140"/>
        <v/>
      </c>
      <c r="BE493" s="14" t="str">
        <f t="shared" si="141"/>
        <v/>
      </c>
    </row>
    <row r="494" spans="39:57" ht="16.5" x14ac:dyDescent="0.2">
      <c r="AM494" s="13">
        <v>489</v>
      </c>
      <c r="AN494" s="14">
        <f t="shared" si="142"/>
        <v>29</v>
      </c>
      <c r="AO494" s="29">
        <f t="shared" si="126"/>
        <v>0.21600000000000003</v>
      </c>
      <c r="AP494" s="14">
        <f t="shared" si="127"/>
        <v>1</v>
      </c>
      <c r="AQ494" s="14">
        <f t="shared" si="128"/>
        <v>2</v>
      </c>
      <c r="AR494" s="14">
        <f t="shared" si="129"/>
        <v>3</v>
      </c>
      <c r="AS494" s="14">
        <f t="shared" si="130"/>
        <v>1606031</v>
      </c>
      <c r="AT494" s="14" t="str">
        <f t="shared" si="131"/>
        <v>神器-6-碎片-3-3级</v>
      </c>
      <c r="AU494" s="13" t="s">
        <v>1195</v>
      </c>
      <c r="AV494" s="13">
        <f t="shared" si="132"/>
        <v>3</v>
      </c>
      <c r="AW494" s="14">
        <f t="shared" si="133"/>
        <v>2286</v>
      </c>
      <c r="AX494" s="14" t="str">
        <f t="shared" si="134"/>
        <v>AtkExt</v>
      </c>
      <c r="AY494" s="14">
        <f t="shared" si="135"/>
        <v>140</v>
      </c>
      <c r="AZ494" s="14" t="str">
        <f t="shared" si="136"/>
        <v>DefExt</v>
      </c>
      <c r="BA494" s="14">
        <f t="shared" si="137"/>
        <v>144</v>
      </c>
      <c r="BB494" s="14" t="str">
        <f t="shared" si="138"/>
        <v>HPExt</v>
      </c>
      <c r="BC494" s="14">
        <f t="shared" si="139"/>
        <v>146</v>
      </c>
      <c r="BD494" s="14" t="str">
        <f t="shared" si="140"/>
        <v/>
      </c>
      <c r="BE494" s="14" t="str">
        <f t="shared" si="141"/>
        <v/>
      </c>
    </row>
    <row r="495" spans="39:57" ht="16.5" x14ac:dyDescent="0.2">
      <c r="AM495" s="13">
        <v>490</v>
      </c>
      <c r="AN495" s="14">
        <f t="shared" si="142"/>
        <v>29</v>
      </c>
      <c r="AO495" s="29">
        <f t="shared" si="126"/>
        <v>0.28000000000000003</v>
      </c>
      <c r="AP495" s="14">
        <f t="shared" si="127"/>
        <v>1</v>
      </c>
      <c r="AQ495" s="14">
        <f t="shared" si="128"/>
        <v>2</v>
      </c>
      <c r="AR495" s="14">
        <f t="shared" si="129"/>
        <v>3</v>
      </c>
      <c r="AS495" s="14">
        <f t="shared" si="130"/>
        <v>1606031</v>
      </c>
      <c r="AT495" s="14" t="str">
        <f t="shared" si="131"/>
        <v>神器-6-碎片-3-4级</v>
      </c>
      <c r="AU495" s="13" t="s">
        <v>1195</v>
      </c>
      <c r="AV495" s="13">
        <f t="shared" si="132"/>
        <v>4</v>
      </c>
      <c r="AW495" s="14">
        <f t="shared" si="133"/>
        <v>2954</v>
      </c>
      <c r="AX495" s="14" t="str">
        <f t="shared" si="134"/>
        <v>AtkExt</v>
      </c>
      <c r="AY495" s="14">
        <f t="shared" si="135"/>
        <v>181</v>
      </c>
      <c r="AZ495" s="14" t="str">
        <f t="shared" si="136"/>
        <v>DefExt</v>
      </c>
      <c r="BA495" s="14">
        <f t="shared" si="137"/>
        <v>186</v>
      </c>
      <c r="BB495" s="14" t="str">
        <f t="shared" si="138"/>
        <v>HPExt</v>
      </c>
      <c r="BC495" s="14">
        <f t="shared" si="139"/>
        <v>189</v>
      </c>
      <c r="BD495" s="14" t="str">
        <f t="shared" si="140"/>
        <v/>
      </c>
      <c r="BE495" s="14" t="str">
        <f t="shared" si="141"/>
        <v/>
      </c>
    </row>
    <row r="496" spans="39:57" ht="16.5" x14ac:dyDescent="0.2">
      <c r="AM496" s="13">
        <v>491</v>
      </c>
      <c r="AN496" s="14">
        <f t="shared" si="142"/>
        <v>29</v>
      </c>
      <c r="AO496" s="29">
        <f t="shared" si="126"/>
        <v>0.34799999999999998</v>
      </c>
      <c r="AP496" s="14">
        <f t="shared" si="127"/>
        <v>1</v>
      </c>
      <c r="AQ496" s="14">
        <f t="shared" si="128"/>
        <v>2</v>
      </c>
      <c r="AR496" s="14">
        <f t="shared" si="129"/>
        <v>3</v>
      </c>
      <c r="AS496" s="14">
        <f t="shared" si="130"/>
        <v>1606031</v>
      </c>
      <c r="AT496" s="14" t="str">
        <f t="shared" si="131"/>
        <v>神器-6-碎片-3-5级</v>
      </c>
      <c r="AU496" s="13" t="s">
        <v>1195</v>
      </c>
      <c r="AV496" s="13">
        <f t="shared" si="132"/>
        <v>5</v>
      </c>
      <c r="AW496" s="14">
        <f t="shared" si="133"/>
        <v>3669</v>
      </c>
      <c r="AX496" s="14" t="str">
        <f t="shared" si="134"/>
        <v>AtkExt</v>
      </c>
      <c r="AY496" s="14">
        <f t="shared" si="135"/>
        <v>225</v>
      </c>
      <c r="AZ496" s="14" t="str">
        <f t="shared" si="136"/>
        <v>DefExt</v>
      </c>
      <c r="BA496" s="14">
        <f t="shared" si="137"/>
        <v>231</v>
      </c>
      <c r="BB496" s="14" t="str">
        <f t="shared" si="138"/>
        <v>HPExt</v>
      </c>
      <c r="BC496" s="14">
        <f t="shared" si="139"/>
        <v>234</v>
      </c>
      <c r="BD496" s="14" t="str">
        <f t="shared" si="140"/>
        <v/>
      </c>
      <c r="BE496" s="14" t="str">
        <f t="shared" si="141"/>
        <v/>
      </c>
    </row>
    <row r="497" spans="39:57" ht="16.5" x14ac:dyDescent="0.2">
      <c r="AM497" s="13">
        <v>492</v>
      </c>
      <c r="AN497" s="14">
        <f t="shared" si="142"/>
        <v>29</v>
      </c>
      <c r="AO497" s="29">
        <f t="shared" si="126"/>
        <v>0.42000000000000004</v>
      </c>
      <c r="AP497" s="14">
        <f t="shared" si="127"/>
        <v>1</v>
      </c>
      <c r="AQ497" s="14">
        <f t="shared" si="128"/>
        <v>2</v>
      </c>
      <c r="AR497" s="14">
        <f t="shared" si="129"/>
        <v>3</v>
      </c>
      <c r="AS497" s="14">
        <f t="shared" si="130"/>
        <v>1606031</v>
      </c>
      <c r="AT497" s="14" t="str">
        <f t="shared" si="131"/>
        <v>神器-6-碎片-3-6级</v>
      </c>
      <c r="AU497" s="13" t="s">
        <v>1195</v>
      </c>
      <c r="AV497" s="13">
        <f t="shared" si="132"/>
        <v>6</v>
      </c>
      <c r="AW497" s="14">
        <f t="shared" si="133"/>
        <v>4433</v>
      </c>
      <c r="AX497" s="14" t="str">
        <f t="shared" si="134"/>
        <v>AtkExt</v>
      </c>
      <c r="AY497" s="14">
        <f t="shared" si="135"/>
        <v>272</v>
      </c>
      <c r="AZ497" s="14" t="str">
        <f t="shared" si="136"/>
        <v>DefExt</v>
      </c>
      <c r="BA497" s="14">
        <f t="shared" si="137"/>
        <v>279</v>
      </c>
      <c r="BB497" s="14" t="str">
        <f t="shared" si="138"/>
        <v>HPExt</v>
      </c>
      <c r="BC497" s="14">
        <f t="shared" si="139"/>
        <v>283</v>
      </c>
      <c r="BD497" s="14" t="str">
        <f t="shared" si="140"/>
        <v/>
      </c>
      <c r="BE497" s="14" t="str">
        <f t="shared" si="141"/>
        <v/>
      </c>
    </row>
    <row r="498" spans="39:57" ht="16.5" x14ac:dyDescent="0.2">
      <c r="AM498" s="13">
        <v>493</v>
      </c>
      <c r="AN498" s="14">
        <f t="shared" si="142"/>
        <v>29</v>
      </c>
      <c r="AO498" s="29">
        <f t="shared" si="126"/>
        <v>0.496</v>
      </c>
      <c r="AP498" s="14">
        <f t="shared" si="127"/>
        <v>1</v>
      </c>
      <c r="AQ498" s="14">
        <f t="shared" si="128"/>
        <v>2</v>
      </c>
      <c r="AR498" s="14">
        <f t="shared" si="129"/>
        <v>3</v>
      </c>
      <c r="AS498" s="14">
        <f t="shared" si="130"/>
        <v>1606031</v>
      </c>
      <c r="AT498" s="14" t="str">
        <f t="shared" si="131"/>
        <v>神器-6-碎片-3-7级</v>
      </c>
      <c r="AU498" s="13" t="s">
        <v>1195</v>
      </c>
      <c r="AV498" s="13">
        <f t="shared" si="132"/>
        <v>7</v>
      </c>
      <c r="AW498" s="14">
        <f t="shared" si="133"/>
        <v>5239</v>
      </c>
      <c r="AX498" s="14" t="str">
        <f t="shared" si="134"/>
        <v>AtkExt</v>
      </c>
      <c r="AY498" s="14">
        <f t="shared" si="135"/>
        <v>321</v>
      </c>
      <c r="AZ498" s="14" t="str">
        <f t="shared" si="136"/>
        <v>DefExt</v>
      </c>
      <c r="BA498" s="14">
        <f t="shared" si="137"/>
        <v>330</v>
      </c>
      <c r="BB498" s="14" t="str">
        <f t="shared" si="138"/>
        <v>HPExt</v>
      </c>
      <c r="BC498" s="14">
        <f t="shared" si="139"/>
        <v>334</v>
      </c>
      <c r="BD498" s="14" t="str">
        <f t="shared" si="140"/>
        <v/>
      </c>
      <c r="BE498" s="14" t="str">
        <f t="shared" si="141"/>
        <v/>
      </c>
    </row>
    <row r="499" spans="39:57" ht="16.5" x14ac:dyDescent="0.2">
      <c r="AM499" s="13">
        <v>494</v>
      </c>
      <c r="AN499" s="14">
        <f t="shared" si="142"/>
        <v>29</v>
      </c>
      <c r="AO499" s="29">
        <f t="shared" si="126"/>
        <v>0.57600000000000007</v>
      </c>
      <c r="AP499" s="14">
        <f t="shared" si="127"/>
        <v>1</v>
      </c>
      <c r="AQ499" s="14">
        <f t="shared" si="128"/>
        <v>2</v>
      </c>
      <c r="AR499" s="14">
        <f t="shared" si="129"/>
        <v>3</v>
      </c>
      <c r="AS499" s="14">
        <f t="shared" si="130"/>
        <v>1606031</v>
      </c>
      <c r="AT499" s="14" t="str">
        <f t="shared" si="131"/>
        <v>神器-6-碎片-3-8级</v>
      </c>
      <c r="AU499" s="13" t="s">
        <v>1195</v>
      </c>
      <c r="AV499" s="13">
        <f t="shared" si="132"/>
        <v>8</v>
      </c>
      <c r="AW499" s="14">
        <f t="shared" si="133"/>
        <v>6083</v>
      </c>
      <c r="AX499" s="14" t="str">
        <f t="shared" si="134"/>
        <v>AtkExt</v>
      </c>
      <c r="AY499" s="14">
        <f t="shared" si="135"/>
        <v>373</v>
      </c>
      <c r="AZ499" s="14" t="str">
        <f t="shared" si="136"/>
        <v>DefExt</v>
      </c>
      <c r="BA499" s="14">
        <f t="shared" si="137"/>
        <v>383</v>
      </c>
      <c r="BB499" s="14" t="str">
        <f t="shared" si="138"/>
        <v>HPExt</v>
      </c>
      <c r="BC499" s="14">
        <f t="shared" si="139"/>
        <v>388</v>
      </c>
      <c r="BD499" s="14" t="str">
        <f t="shared" si="140"/>
        <v/>
      </c>
      <c r="BE499" s="14" t="str">
        <f t="shared" si="141"/>
        <v/>
      </c>
    </row>
    <row r="500" spans="39:57" ht="16.5" x14ac:dyDescent="0.2">
      <c r="AM500" s="13">
        <v>495</v>
      </c>
      <c r="AN500" s="14">
        <f t="shared" si="142"/>
        <v>29</v>
      </c>
      <c r="AO500" s="29">
        <f t="shared" si="126"/>
        <v>0.66</v>
      </c>
      <c r="AP500" s="14">
        <f t="shared" si="127"/>
        <v>1</v>
      </c>
      <c r="AQ500" s="14">
        <f t="shared" si="128"/>
        <v>2</v>
      </c>
      <c r="AR500" s="14">
        <f t="shared" si="129"/>
        <v>3</v>
      </c>
      <c r="AS500" s="14">
        <f t="shared" si="130"/>
        <v>1606031</v>
      </c>
      <c r="AT500" s="14" t="str">
        <f t="shared" si="131"/>
        <v>神器-6-碎片-3-9级</v>
      </c>
      <c r="AU500" s="13" t="s">
        <v>1195</v>
      </c>
      <c r="AV500" s="13">
        <f t="shared" si="132"/>
        <v>9</v>
      </c>
      <c r="AW500" s="14">
        <f t="shared" si="133"/>
        <v>6970</v>
      </c>
      <c r="AX500" s="14" t="str">
        <f t="shared" si="134"/>
        <v>AtkExt</v>
      </c>
      <c r="AY500" s="14">
        <f t="shared" si="135"/>
        <v>427</v>
      </c>
      <c r="AZ500" s="14" t="str">
        <f t="shared" si="136"/>
        <v>DefExt</v>
      </c>
      <c r="BA500" s="14">
        <f t="shared" si="137"/>
        <v>439</v>
      </c>
      <c r="BB500" s="14" t="str">
        <f t="shared" si="138"/>
        <v>HPExt</v>
      </c>
      <c r="BC500" s="14">
        <f t="shared" si="139"/>
        <v>445</v>
      </c>
      <c r="BD500" s="14" t="str">
        <f t="shared" si="140"/>
        <v/>
      </c>
      <c r="BE500" s="14" t="str">
        <f t="shared" si="141"/>
        <v/>
      </c>
    </row>
    <row r="501" spans="39:57" ht="16.5" x14ac:dyDescent="0.2">
      <c r="AM501" s="13">
        <v>496</v>
      </c>
      <c r="AN501" s="14">
        <f t="shared" si="142"/>
        <v>29</v>
      </c>
      <c r="AO501" s="29">
        <f t="shared" si="126"/>
        <v>0.748</v>
      </c>
      <c r="AP501" s="14">
        <f t="shared" si="127"/>
        <v>1</v>
      </c>
      <c r="AQ501" s="14">
        <f t="shared" si="128"/>
        <v>2</v>
      </c>
      <c r="AR501" s="14">
        <f t="shared" si="129"/>
        <v>3</v>
      </c>
      <c r="AS501" s="14">
        <f t="shared" si="130"/>
        <v>1606031</v>
      </c>
      <c r="AT501" s="14" t="str">
        <f t="shared" si="131"/>
        <v>神器-6-碎片-3-10级</v>
      </c>
      <c r="AU501" s="13" t="s">
        <v>1195</v>
      </c>
      <c r="AV501" s="13">
        <f t="shared" si="132"/>
        <v>10</v>
      </c>
      <c r="AW501" s="14">
        <f t="shared" si="133"/>
        <v>7904</v>
      </c>
      <c r="AX501" s="14" t="str">
        <f t="shared" si="134"/>
        <v>AtkExt</v>
      </c>
      <c r="AY501" s="14">
        <f t="shared" si="135"/>
        <v>484</v>
      </c>
      <c r="AZ501" s="14" t="str">
        <f t="shared" si="136"/>
        <v>DefExt</v>
      </c>
      <c r="BA501" s="14">
        <f t="shared" si="137"/>
        <v>498</v>
      </c>
      <c r="BB501" s="14" t="str">
        <f t="shared" si="138"/>
        <v>HPExt</v>
      </c>
      <c r="BC501" s="14">
        <f t="shared" si="139"/>
        <v>504</v>
      </c>
      <c r="BD501" s="14" t="str">
        <f t="shared" si="140"/>
        <v/>
      </c>
      <c r="BE501" s="14" t="str">
        <f t="shared" si="141"/>
        <v/>
      </c>
    </row>
    <row r="502" spans="39:57" ht="16.5" x14ac:dyDescent="0.2">
      <c r="AM502" s="13">
        <v>497</v>
      </c>
      <c r="AN502" s="14">
        <f t="shared" si="142"/>
        <v>29</v>
      </c>
      <c r="AO502" s="29">
        <f t="shared" si="126"/>
        <v>0.84000000000000008</v>
      </c>
      <c r="AP502" s="14">
        <f t="shared" si="127"/>
        <v>1</v>
      </c>
      <c r="AQ502" s="14">
        <f t="shared" si="128"/>
        <v>2</v>
      </c>
      <c r="AR502" s="14">
        <f t="shared" si="129"/>
        <v>3</v>
      </c>
      <c r="AS502" s="14">
        <f t="shared" si="130"/>
        <v>1606031</v>
      </c>
      <c r="AT502" s="14" t="str">
        <f t="shared" si="131"/>
        <v>神器-6-碎片-3-11级</v>
      </c>
      <c r="AU502" s="13" t="s">
        <v>1195</v>
      </c>
      <c r="AV502" s="13">
        <f t="shared" si="132"/>
        <v>11</v>
      </c>
      <c r="AW502" s="14">
        <f t="shared" si="133"/>
        <v>8871</v>
      </c>
      <c r="AX502" s="14" t="str">
        <f t="shared" si="134"/>
        <v>AtkExt</v>
      </c>
      <c r="AY502" s="14">
        <f t="shared" si="135"/>
        <v>543</v>
      </c>
      <c r="AZ502" s="14" t="str">
        <f t="shared" si="136"/>
        <v>DefExt</v>
      </c>
      <c r="BA502" s="14">
        <f t="shared" si="137"/>
        <v>559</v>
      </c>
      <c r="BB502" s="14" t="str">
        <f t="shared" si="138"/>
        <v>HPExt</v>
      </c>
      <c r="BC502" s="14">
        <f t="shared" si="139"/>
        <v>566</v>
      </c>
      <c r="BD502" s="14" t="str">
        <f t="shared" si="140"/>
        <v/>
      </c>
      <c r="BE502" s="14" t="str">
        <f t="shared" si="141"/>
        <v/>
      </c>
    </row>
    <row r="503" spans="39:57" ht="16.5" x14ac:dyDescent="0.2">
      <c r="AM503" s="13">
        <v>498</v>
      </c>
      <c r="AN503" s="14">
        <f t="shared" si="142"/>
        <v>29</v>
      </c>
      <c r="AO503" s="29">
        <f t="shared" si="126"/>
        <v>0.93600000000000017</v>
      </c>
      <c r="AP503" s="14">
        <f t="shared" si="127"/>
        <v>1</v>
      </c>
      <c r="AQ503" s="14">
        <f t="shared" si="128"/>
        <v>2</v>
      </c>
      <c r="AR503" s="14">
        <f t="shared" si="129"/>
        <v>3</v>
      </c>
      <c r="AS503" s="14">
        <f t="shared" si="130"/>
        <v>1606031</v>
      </c>
      <c r="AT503" s="14" t="str">
        <f t="shared" si="131"/>
        <v>神器-6-碎片-3-12级</v>
      </c>
      <c r="AU503" s="13" t="s">
        <v>1195</v>
      </c>
      <c r="AV503" s="13">
        <f t="shared" si="132"/>
        <v>12</v>
      </c>
      <c r="AW503" s="14">
        <f t="shared" si="133"/>
        <v>9891</v>
      </c>
      <c r="AX503" s="14" t="str">
        <f t="shared" si="134"/>
        <v>AtkExt</v>
      </c>
      <c r="AY503" s="14">
        <f t="shared" si="135"/>
        <v>606</v>
      </c>
      <c r="AZ503" s="14" t="str">
        <f t="shared" si="136"/>
        <v>DefExt</v>
      </c>
      <c r="BA503" s="14">
        <f t="shared" si="137"/>
        <v>623</v>
      </c>
      <c r="BB503" s="14" t="str">
        <f t="shared" si="138"/>
        <v>HPExt</v>
      </c>
      <c r="BC503" s="14">
        <f t="shared" si="139"/>
        <v>631</v>
      </c>
      <c r="BD503" s="14" t="str">
        <f t="shared" si="140"/>
        <v/>
      </c>
      <c r="BE503" s="14" t="str">
        <f t="shared" si="141"/>
        <v/>
      </c>
    </row>
    <row r="504" spans="39:57" ht="16.5" x14ac:dyDescent="0.2">
      <c r="AM504" s="13">
        <v>499</v>
      </c>
      <c r="AN504" s="14">
        <f t="shared" si="142"/>
        <v>29</v>
      </c>
      <c r="AO504" s="29">
        <f t="shared" si="126"/>
        <v>1.036</v>
      </c>
      <c r="AP504" s="14">
        <f t="shared" si="127"/>
        <v>1</v>
      </c>
      <c r="AQ504" s="14">
        <f t="shared" si="128"/>
        <v>2</v>
      </c>
      <c r="AR504" s="14">
        <f t="shared" si="129"/>
        <v>3</v>
      </c>
      <c r="AS504" s="14">
        <f t="shared" si="130"/>
        <v>1606031</v>
      </c>
      <c r="AT504" s="14" t="str">
        <f t="shared" si="131"/>
        <v>神器-6-碎片-3-13级</v>
      </c>
      <c r="AU504" s="13" t="s">
        <v>1195</v>
      </c>
      <c r="AV504" s="13">
        <f t="shared" si="132"/>
        <v>13</v>
      </c>
      <c r="AW504" s="14">
        <f t="shared" si="133"/>
        <v>10938</v>
      </c>
      <c r="AX504" s="14" t="str">
        <f t="shared" si="134"/>
        <v>AtkExt</v>
      </c>
      <c r="AY504" s="14">
        <f t="shared" si="135"/>
        <v>670</v>
      </c>
      <c r="AZ504" s="14" t="str">
        <f t="shared" si="136"/>
        <v>DefExt</v>
      </c>
      <c r="BA504" s="14">
        <f t="shared" si="137"/>
        <v>689</v>
      </c>
      <c r="BB504" s="14" t="str">
        <f t="shared" si="138"/>
        <v>HPExt</v>
      </c>
      <c r="BC504" s="14">
        <f t="shared" si="139"/>
        <v>698</v>
      </c>
      <c r="BD504" s="14" t="str">
        <f t="shared" si="140"/>
        <v/>
      </c>
      <c r="BE504" s="14" t="str">
        <f t="shared" si="141"/>
        <v/>
      </c>
    </row>
    <row r="505" spans="39:57" ht="16.5" x14ac:dyDescent="0.2">
      <c r="AM505" s="13">
        <v>500</v>
      </c>
      <c r="AN505" s="14">
        <f t="shared" si="142"/>
        <v>29</v>
      </c>
      <c r="AO505" s="29">
        <f t="shared" si="126"/>
        <v>1.1400000000000001</v>
      </c>
      <c r="AP505" s="14">
        <f t="shared" si="127"/>
        <v>1</v>
      </c>
      <c r="AQ505" s="14">
        <f t="shared" si="128"/>
        <v>2</v>
      </c>
      <c r="AR505" s="14">
        <f t="shared" si="129"/>
        <v>3</v>
      </c>
      <c r="AS505" s="14">
        <f t="shared" si="130"/>
        <v>1606031</v>
      </c>
      <c r="AT505" s="14" t="str">
        <f t="shared" si="131"/>
        <v>神器-6-碎片-3-14级</v>
      </c>
      <c r="AU505" s="13" t="s">
        <v>1195</v>
      </c>
      <c r="AV505" s="13">
        <f t="shared" si="132"/>
        <v>14</v>
      </c>
      <c r="AW505" s="14">
        <f t="shared" si="133"/>
        <v>12038</v>
      </c>
      <c r="AX505" s="14" t="str">
        <f t="shared" si="134"/>
        <v>AtkExt</v>
      </c>
      <c r="AY505" s="14">
        <f t="shared" si="135"/>
        <v>738</v>
      </c>
      <c r="AZ505" s="14" t="str">
        <f t="shared" si="136"/>
        <v>DefExt</v>
      </c>
      <c r="BA505" s="14">
        <f t="shared" si="137"/>
        <v>758</v>
      </c>
      <c r="BB505" s="14" t="str">
        <f t="shared" si="138"/>
        <v>HPExt</v>
      </c>
      <c r="BC505" s="14">
        <f t="shared" si="139"/>
        <v>768</v>
      </c>
      <c r="BD505" s="14" t="str">
        <f t="shared" si="140"/>
        <v/>
      </c>
      <c r="BE505" s="14" t="str">
        <f t="shared" si="141"/>
        <v/>
      </c>
    </row>
    <row r="506" spans="39:57" ht="16.5" x14ac:dyDescent="0.2">
      <c r="AM506" s="13">
        <v>501</v>
      </c>
      <c r="AN506" s="14">
        <f t="shared" si="142"/>
        <v>29</v>
      </c>
      <c r="AO506" s="29">
        <f t="shared" si="126"/>
        <v>1.248</v>
      </c>
      <c r="AP506" s="14">
        <f t="shared" si="127"/>
        <v>1</v>
      </c>
      <c r="AQ506" s="14">
        <f t="shared" si="128"/>
        <v>2</v>
      </c>
      <c r="AR506" s="14">
        <f t="shared" si="129"/>
        <v>3</v>
      </c>
      <c r="AS506" s="14">
        <f t="shared" si="130"/>
        <v>1606031</v>
      </c>
      <c r="AT506" s="14" t="str">
        <f t="shared" si="131"/>
        <v>神器-6-碎片-3-15级</v>
      </c>
      <c r="AU506" s="13" t="s">
        <v>1195</v>
      </c>
      <c r="AV506" s="13">
        <f t="shared" si="132"/>
        <v>15</v>
      </c>
      <c r="AW506" s="14">
        <f t="shared" si="133"/>
        <v>13176</v>
      </c>
      <c r="AX506" s="14" t="str">
        <f t="shared" si="134"/>
        <v>AtkExt</v>
      </c>
      <c r="AY506" s="14">
        <f t="shared" si="135"/>
        <v>807</v>
      </c>
      <c r="AZ506" s="14" t="str">
        <f t="shared" si="136"/>
        <v>DefExt</v>
      </c>
      <c r="BA506" s="14">
        <f t="shared" si="137"/>
        <v>830</v>
      </c>
      <c r="BB506" s="14" t="str">
        <f t="shared" si="138"/>
        <v>HPExt</v>
      </c>
      <c r="BC506" s="14">
        <f t="shared" si="139"/>
        <v>841</v>
      </c>
      <c r="BD506" s="14" t="str">
        <f t="shared" si="140"/>
        <v/>
      </c>
      <c r="BE506" s="14" t="str">
        <f t="shared" si="141"/>
        <v/>
      </c>
    </row>
    <row r="507" spans="39:57" ht="16.5" x14ac:dyDescent="0.2">
      <c r="AM507" s="13">
        <v>502</v>
      </c>
      <c r="AN507" s="14">
        <f t="shared" si="142"/>
        <v>29</v>
      </c>
      <c r="AO507" s="29">
        <f t="shared" si="126"/>
        <v>1.36</v>
      </c>
      <c r="AP507" s="14">
        <f t="shared" si="127"/>
        <v>1</v>
      </c>
      <c r="AQ507" s="14">
        <f t="shared" si="128"/>
        <v>2</v>
      </c>
      <c r="AR507" s="14">
        <f t="shared" si="129"/>
        <v>3</v>
      </c>
      <c r="AS507" s="14">
        <f t="shared" si="130"/>
        <v>1606031</v>
      </c>
      <c r="AT507" s="14" t="str">
        <f t="shared" si="131"/>
        <v>神器-6-碎片-3-16级</v>
      </c>
      <c r="AU507" s="13" t="s">
        <v>1195</v>
      </c>
      <c r="AV507" s="13">
        <f t="shared" si="132"/>
        <v>16</v>
      </c>
      <c r="AW507" s="14">
        <f t="shared" si="133"/>
        <v>14366</v>
      </c>
      <c r="AX507" s="14" t="str">
        <f t="shared" si="134"/>
        <v>AtkExt</v>
      </c>
      <c r="AY507" s="14">
        <f t="shared" si="135"/>
        <v>880</v>
      </c>
      <c r="AZ507" s="14" t="str">
        <f t="shared" si="136"/>
        <v>DefExt</v>
      </c>
      <c r="BA507" s="14">
        <f t="shared" si="137"/>
        <v>905</v>
      </c>
      <c r="BB507" s="14" t="str">
        <f t="shared" si="138"/>
        <v>HPExt</v>
      </c>
      <c r="BC507" s="14">
        <f t="shared" si="139"/>
        <v>916</v>
      </c>
      <c r="BD507" s="14" t="str">
        <f t="shared" si="140"/>
        <v/>
      </c>
      <c r="BE507" s="14" t="str">
        <f t="shared" si="141"/>
        <v/>
      </c>
    </row>
    <row r="508" spans="39:57" ht="16.5" x14ac:dyDescent="0.2">
      <c r="AM508" s="13">
        <v>503</v>
      </c>
      <c r="AN508" s="14">
        <f t="shared" si="142"/>
        <v>29</v>
      </c>
      <c r="AO508" s="29">
        <f t="shared" si="126"/>
        <v>1.476</v>
      </c>
      <c r="AP508" s="14">
        <f t="shared" si="127"/>
        <v>1</v>
      </c>
      <c r="AQ508" s="14">
        <f t="shared" si="128"/>
        <v>2</v>
      </c>
      <c r="AR508" s="14">
        <f t="shared" si="129"/>
        <v>3</v>
      </c>
      <c r="AS508" s="14">
        <f t="shared" si="130"/>
        <v>1606031</v>
      </c>
      <c r="AT508" s="14" t="str">
        <f t="shared" si="131"/>
        <v>神器-6-碎片-3-17级</v>
      </c>
      <c r="AU508" s="13" t="s">
        <v>1195</v>
      </c>
      <c r="AV508" s="13">
        <f t="shared" si="132"/>
        <v>17</v>
      </c>
      <c r="AW508" s="14">
        <f t="shared" si="133"/>
        <v>15589</v>
      </c>
      <c r="AX508" s="14" t="str">
        <f t="shared" si="134"/>
        <v>AtkExt</v>
      </c>
      <c r="AY508" s="14">
        <f t="shared" si="135"/>
        <v>955</v>
      </c>
      <c r="AZ508" s="14" t="str">
        <f t="shared" si="136"/>
        <v>DefExt</v>
      </c>
      <c r="BA508" s="14">
        <f t="shared" si="137"/>
        <v>982</v>
      </c>
      <c r="BB508" s="14" t="str">
        <f t="shared" si="138"/>
        <v>HPExt</v>
      </c>
      <c r="BC508" s="14">
        <f t="shared" si="139"/>
        <v>994</v>
      </c>
      <c r="BD508" s="14" t="str">
        <f t="shared" si="140"/>
        <v/>
      </c>
      <c r="BE508" s="14" t="str">
        <f t="shared" si="141"/>
        <v/>
      </c>
    </row>
    <row r="509" spans="39:57" ht="16.5" x14ac:dyDescent="0.2">
      <c r="AM509" s="13">
        <v>504</v>
      </c>
      <c r="AN509" s="14">
        <f t="shared" si="142"/>
        <v>29</v>
      </c>
      <c r="AO509" s="29">
        <f t="shared" si="126"/>
        <v>1.5960000000000001</v>
      </c>
      <c r="AP509" s="14">
        <f t="shared" si="127"/>
        <v>1</v>
      </c>
      <c r="AQ509" s="14">
        <f t="shared" si="128"/>
        <v>2</v>
      </c>
      <c r="AR509" s="14">
        <f t="shared" si="129"/>
        <v>3</v>
      </c>
      <c r="AS509" s="14">
        <f t="shared" si="130"/>
        <v>1606031</v>
      </c>
      <c r="AT509" s="14" t="str">
        <f t="shared" si="131"/>
        <v>神器-6-碎片-3-18级</v>
      </c>
      <c r="AU509" s="13" t="s">
        <v>1195</v>
      </c>
      <c r="AV509" s="13">
        <f t="shared" si="132"/>
        <v>18</v>
      </c>
      <c r="AW509" s="14">
        <f t="shared" si="133"/>
        <v>16860</v>
      </c>
      <c r="AX509" s="14" t="str">
        <f t="shared" si="134"/>
        <v>AtkExt</v>
      </c>
      <c r="AY509" s="14">
        <f t="shared" si="135"/>
        <v>1033</v>
      </c>
      <c r="AZ509" s="14" t="str">
        <f t="shared" si="136"/>
        <v>DefExt</v>
      </c>
      <c r="BA509" s="14">
        <f t="shared" si="137"/>
        <v>1062</v>
      </c>
      <c r="BB509" s="14" t="str">
        <f t="shared" si="138"/>
        <v>HPExt</v>
      </c>
      <c r="BC509" s="14">
        <f t="shared" si="139"/>
        <v>1075</v>
      </c>
      <c r="BD509" s="14" t="str">
        <f t="shared" si="140"/>
        <v/>
      </c>
      <c r="BE509" s="14" t="str">
        <f t="shared" si="141"/>
        <v/>
      </c>
    </row>
    <row r="510" spans="39:57" ht="16.5" x14ac:dyDescent="0.2">
      <c r="AM510" s="13">
        <v>505</v>
      </c>
      <c r="AN510" s="14">
        <f t="shared" si="142"/>
        <v>29</v>
      </c>
      <c r="AO510" s="29">
        <f t="shared" si="126"/>
        <v>1.7200000000000002</v>
      </c>
      <c r="AP510" s="14">
        <f t="shared" si="127"/>
        <v>1</v>
      </c>
      <c r="AQ510" s="14">
        <f t="shared" si="128"/>
        <v>2</v>
      </c>
      <c r="AR510" s="14">
        <f t="shared" si="129"/>
        <v>3</v>
      </c>
      <c r="AS510" s="14">
        <f t="shared" si="130"/>
        <v>1606031</v>
      </c>
      <c r="AT510" s="14" t="str">
        <f t="shared" si="131"/>
        <v>神器-6-碎片-3-19级</v>
      </c>
      <c r="AU510" s="13" t="s">
        <v>1195</v>
      </c>
      <c r="AV510" s="13">
        <f t="shared" si="132"/>
        <v>19</v>
      </c>
      <c r="AW510" s="14">
        <f t="shared" si="133"/>
        <v>18164</v>
      </c>
      <c r="AX510" s="14" t="str">
        <f t="shared" si="134"/>
        <v>AtkExt</v>
      </c>
      <c r="AY510" s="14">
        <f t="shared" si="135"/>
        <v>1113</v>
      </c>
      <c r="AZ510" s="14" t="str">
        <f t="shared" si="136"/>
        <v>DefExt</v>
      </c>
      <c r="BA510" s="14">
        <f t="shared" si="137"/>
        <v>1144</v>
      </c>
      <c r="BB510" s="14" t="str">
        <f t="shared" si="138"/>
        <v>HPExt</v>
      </c>
      <c r="BC510" s="14">
        <f t="shared" si="139"/>
        <v>1159</v>
      </c>
      <c r="BD510" s="14" t="str">
        <f t="shared" si="140"/>
        <v/>
      </c>
      <c r="BE510" s="14" t="str">
        <f t="shared" si="141"/>
        <v/>
      </c>
    </row>
    <row r="511" spans="39:57" ht="16.5" x14ac:dyDescent="0.2">
      <c r="AM511" s="13">
        <v>506</v>
      </c>
      <c r="AN511" s="14">
        <f t="shared" si="142"/>
        <v>29</v>
      </c>
      <c r="AO511" s="29">
        <f t="shared" si="126"/>
        <v>1.8480000000000001</v>
      </c>
      <c r="AP511" s="14">
        <f t="shared" si="127"/>
        <v>1</v>
      </c>
      <c r="AQ511" s="14">
        <f t="shared" si="128"/>
        <v>2</v>
      </c>
      <c r="AR511" s="14">
        <f t="shared" si="129"/>
        <v>3</v>
      </c>
      <c r="AS511" s="14">
        <f t="shared" si="130"/>
        <v>1606031</v>
      </c>
      <c r="AT511" s="14" t="str">
        <f t="shared" si="131"/>
        <v>神器-6-碎片-3-20级</v>
      </c>
      <c r="AU511" s="13" t="s">
        <v>1195</v>
      </c>
      <c r="AV511" s="13">
        <f t="shared" si="132"/>
        <v>20</v>
      </c>
      <c r="AW511" s="14">
        <f t="shared" si="133"/>
        <v>19515</v>
      </c>
      <c r="AX511" s="14" t="str">
        <f t="shared" si="134"/>
        <v>AtkExt</v>
      </c>
      <c r="AY511" s="14">
        <f t="shared" si="135"/>
        <v>1196</v>
      </c>
      <c r="AZ511" s="14" t="str">
        <f t="shared" si="136"/>
        <v>DefExt</v>
      </c>
      <c r="BA511" s="14">
        <f t="shared" si="137"/>
        <v>1229</v>
      </c>
      <c r="BB511" s="14" t="str">
        <f t="shared" si="138"/>
        <v>HPExt</v>
      </c>
      <c r="BC511" s="14">
        <f t="shared" si="139"/>
        <v>1245</v>
      </c>
      <c r="BD511" s="14" t="str">
        <f t="shared" si="140"/>
        <v/>
      </c>
      <c r="BE511" s="14" t="str">
        <f t="shared" si="141"/>
        <v/>
      </c>
    </row>
    <row r="512" spans="39:57" ht="16.5" x14ac:dyDescent="0.2">
      <c r="AM512" s="13">
        <v>507</v>
      </c>
      <c r="AN512" s="14">
        <f t="shared" si="142"/>
        <v>29</v>
      </c>
      <c r="AO512" s="29">
        <f t="shared" si="126"/>
        <v>1.98</v>
      </c>
      <c r="AP512" s="14">
        <f t="shared" si="127"/>
        <v>1</v>
      </c>
      <c r="AQ512" s="14">
        <f t="shared" si="128"/>
        <v>2</v>
      </c>
      <c r="AR512" s="14">
        <f t="shared" si="129"/>
        <v>3</v>
      </c>
      <c r="AS512" s="14">
        <f t="shared" si="130"/>
        <v>1606031</v>
      </c>
      <c r="AT512" s="14" t="str">
        <f t="shared" si="131"/>
        <v>神器-6-碎片-3-21级</v>
      </c>
      <c r="AU512" s="13" t="s">
        <v>1195</v>
      </c>
      <c r="AV512" s="13">
        <f t="shared" si="132"/>
        <v>21</v>
      </c>
      <c r="AW512" s="14">
        <f t="shared" si="133"/>
        <v>20909</v>
      </c>
      <c r="AX512" s="14" t="str">
        <f t="shared" si="134"/>
        <v>AtkExt</v>
      </c>
      <c r="AY512" s="14">
        <f t="shared" si="135"/>
        <v>1281</v>
      </c>
      <c r="AZ512" s="14" t="str">
        <f t="shared" si="136"/>
        <v>DefExt</v>
      </c>
      <c r="BA512" s="14">
        <f t="shared" si="137"/>
        <v>1317</v>
      </c>
      <c r="BB512" s="14" t="str">
        <f t="shared" si="138"/>
        <v>HPExt</v>
      </c>
      <c r="BC512" s="14">
        <f t="shared" si="139"/>
        <v>1334</v>
      </c>
      <c r="BD512" s="14" t="str">
        <f t="shared" si="140"/>
        <v/>
      </c>
      <c r="BE512" s="14" t="str">
        <f t="shared" si="141"/>
        <v/>
      </c>
    </row>
    <row r="513" spans="39:57" ht="16.5" x14ac:dyDescent="0.2">
      <c r="AM513" s="13">
        <v>508</v>
      </c>
      <c r="AN513" s="14">
        <f t="shared" si="142"/>
        <v>30</v>
      </c>
      <c r="AO513" s="29">
        <f t="shared" si="126"/>
        <v>0.1</v>
      </c>
      <c r="AP513" s="14">
        <f t="shared" si="127"/>
        <v>1</v>
      </c>
      <c r="AQ513" s="14">
        <f t="shared" si="128"/>
        <v>2</v>
      </c>
      <c r="AR513" s="14">
        <f t="shared" si="129"/>
        <v>0</v>
      </c>
      <c r="AS513" s="14">
        <f t="shared" si="130"/>
        <v>1606032</v>
      </c>
      <c r="AT513" s="14" t="str">
        <f t="shared" si="131"/>
        <v>神器-6-碎片-4-1级</v>
      </c>
      <c r="AU513" s="13" t="s">
        <v>1195</v>
      </c>
      <c r="AV513" s="13">
        <f t="shared" si="132"/>
        <v>1</v>
      </c>
      <c r="AW513" s="14">
        <f t="shared" si="133"/>
        <v>2200</v>
      </c>
      <c r="AX513" s="14" t="str">
        <f t="shared" si="134"/>
        <v>AtkExt</v>
      </c>
      <c r="AY513" s="14">
        <f t="shared" si="135"/>
        <v>86</v>
      </c>
      <c r="AZ513" s="14" t="str">
        <f t="shared" si="136"/>
        <v>DefExt</v>
      </c>
      <c r="BA513" s="14">
        <f t="shared" si="137"/>
        <v>177</v>
      </c>
      <c r="BB513" s="14" t="str">
        <f t="shared" si="138"/>
        <v/>
      </c>
      <c r="BC513" s="14" t="str">
        <f t="shared" si="139"/>
        <v/>
      </c>
      <c r="BD513" s="14" t="str">
        <f t="shared" si="140"/>
        <v/>
      </c>
      <c r="BE513" s="14" t="str">
        <f t="shared" si="141"/>
        <v/>
      </c>
    </row>
    <row r="514" spans="39:57" ht="16.5" x14ac:dyDescent="0.2">
      <c r="AM514" s="13">
        <v>509</v>
      </c>
      <c r="AN514" s="14">
        <f t="shared" si="142"/>
        <v>30</v>
      </c>
      <c r="AO514" s="29">
        <f t="shared" si="126"/>
        <v>0.15600000000000003</v>
      </c>
      <c r="AP514" s="14">
        <f t="shared" si="127"/>
        <v>1</v>
      </c>
      <c r="AQ514" s="14">
        <f t="shared" si="128"/>
        <v>2</v>
      </c>
      <c r="AR514" s="14">
        <f t="shared" si="129"/>
        <v>0</v>
      </c>
      <c r="AS514" s="14">
        <f t="shared" si="130"/>
        <v>1606032</v>
      </c>
      <c r="AT514" s="14" t="str">
        <f t="shared" si="131"/>
        <v>神器-6-碎片-4-2级</v>
      </c>
      <c r="AU514" s="13" t="s">
        <v>1195</v>
      </c>
      <c r="AV514" s="13">
        <f t="shared" si="132"/>
        <v>2</v>
      </c>
      <c r="AW514" s="14">
        <f t="shared" si="133"/>
        <v>3445</v>
      </c>
      <c r="AX514" s="14" t="str">
        <f t="shared" si="134"/>
        <v>AtkExt</v>
      </c>
      <c r="AY514" s="14">
        <f t="shared" si="135"/>
        <v>135</v>
      </c>
      <c r="AZ514" s="14" t="str">
        <f t="shared" si="136"/>
        <v>DefExt</v>
      </c>
      <c r="BA514" s="14">
        <f t="shared" si="137"/>
        <v>277</v>
      </c>
      <c r="BB514" s="14" t="str">
        <f t="shared" si="138"/>
        <v/>
      </c>
      <c r="BC514" s="14" t="str">
        <f t="shared" si="139"/>
        <v/>
      </c>
      <c r="BD514" s="14" t="str">
        <f t="shared" si="140"/>
        <v/>
      </c>
      <c r="BE514" s="14" t="str">
        <f t="shared" si="141"/>
        <v/>
      </c>
    </row>
    <row r="515" spans="39:57" ht="16.5" x14ac:dyDescent="0.2">
      <c r="AM515" s="13">
        <v>510</v>
      </c>
      <c r="AN515" s="14">
        <f t="shared" si="142"/>
        <v>30</v>
      </c>
      <c r="AO515" s="29">
        <f t="shared" si="126"/>
        <v>0.21600000000000003</v>
      </c>
      <c r="AP515" s="14">
        <f t="shared" si="127"/>
        <v>1</v>
      </c>
      <c r="AQ515" s="14">
        <f t="shared" si="128"/>
        <v>2</v>
      </c>
      <c r="AR515" s="14">
        <f t="shared" si="129"/>
        <v>0</v>
      </c>
      <c r="AS515" s="14">
        <f t="shared" si="130"/>
        <v>1606032</v>
      </c>
      <c r="AT515" s="14" t="str">
        <f t="shared" si="131"/>
        <v>神器-6-碎片-4-3级</v>
      </c>
      <c r="AU515" s="13" t="s">
        <v>1195</v>
      </c>
      <c r="AV515" s="13">
        <f t="shared" si="132"/>
        <v>3</v>
      </c>
      <c r="AW515" s="14">
        <f t="shared" si="133"/>
        <v>4760</v>
      </c>
      <c r="AX515" s="14" t="str">
        <f t="shared" si="134"/>
        <v>AtkExt</v>
      </c>
      <c r="AY515" s="14">
        <f t="shared" si="135"/>
        <v>186</v>
      </c>
      <c r="AZ515" s="14" t="str">
        <f t="shared" si="136"/>
        <v>DefExt</v>
      </c>
      <c r="BA515" s="14">
        <f t="shared" si="137"/>
        <v>383</v>
      </c>
      <c r="BB515" s="14" t="str">
        <f t="shared" si="138"/>
        <v/>
      </c>
      <c r="BC515" s="14" t="str">
        <f t="shared" si="139"/>
        <v/>
      </c>
      <c r="BD515" s="14" t="str">
        <f t="shared" si="140"/>
        <v/>
      </c>
      <c r="BE515" s="14" t="str">
        <f t="shared" si="141"/>
        <v/>
      </c>
    </row>
    <row r="516" spans="39:57" ht="16.5" x14ac:dyDescent="0.2">
      <c r="AM516" s="13">
        <v>511</v>
      </c>
      <c r="AN516" s="14">
        <f t="shared" si="142"/>
        <v>30</v>
      </c>
      <c r="AO516" s="29">
        <f t="shared" si="126"/>
        <v>0.28000000000000003</v>
      </c>
      <c r="AP516" s="14">
        <f t="shared" si="127"/>
        <v>1</v>
      </c>
      <c r="AQ516" s="14">
        <f t="shared" si="128"/>
        <v>2</v>
      </c>
      <c r="AR516" s="14">
        <f t="shared" si="129"/>
        <v>0</v>
      </c>
      <c r="AS516" s="14">
        <f t="shared" si="130"/>
        <v>1606032</v>
      </c>
      <c r="AT516" s="14" t="str">
        <f t="shared" si="131"/>
        <v>神器-6-碎片-4-4级</v>
      </c>
      <c r="AU516" s="13" t="s">
        <v>1195</v>
      </c>
      <c r="AV516" s="13">
        <f t="shared" si="132"/>
        <v>4</v>
      </c>
      <c r="AW516" s="14">
        <f t="shared" si="133"/>
        <v>6180</v>
      </c>
      <c r="AX516" s="14" t="str">
        <f t="shared" si="134"/>
        <v>AtkExt</v>
      </c>
      <c r="AY516" s="14">
        <f t="shared" si="135"/>
        <v>242</v>
      </c>
      <c r="AZ516" s="14" t="str">
        <f t="shared" si="136"/>
        <v>DefExt</v>
      </c>
      <c r="BA516" s="14">
        <f t="shared" si="137"/>
        <v>497</v>
      </c>
      <c r="BB516" s="14" t="str">
        <f t="shared" si="138"/>
        <v/>
      </c>
      <c r="BC516" s="14" t="str">
        <f t="shared" si="139"/>
        <v/>
      </c>
      <c r="BD516" s="14" t="str">
        <f t="shared" si="140"/>
        <v/>
      </c>
      <c r="BE516" s="14" t="str">
        <f t="shared" si="141"/>
        <v/>
      </c>
    </row>
    <row r="517" spans="39:57" ht="16.5" x14ac:dyDescent="0.2">
      <c r="AM517" s="13">
        <v>512</v>
      </c>
      <c r="AN517" s="14">
        <f t="shared" si="142"/>
        <v>30</v>
      </c>
      <c r="AO517" s="29">
        <f t="shared" si="126"/>
        <v>0.34799999999999998</v>
      </c>
      <c r="AP517" s="14">
        <f t="shared" si="127"/>
        <v>1</v>
      </c>
      <c r="AQ517" s="14">
        <f t="shared" si="128"/>
        <v>2</v>
      </c>
      <c r="AR517" s="14">
        <f t="shared" si="129"/>
        <v>0</v>
      </c>
      <c r="AS517" s="14">
        <f t="shared" si="130"/>
        <v>1606032</v>
      </c>
      <c r="AT517" s="14" t="str">
        <f t="shared" si="131"/>
        <v>神器-6-碎片-4-5级</v>
      </c>
      <c r="AU517" s="13" t="s">
        <v>1195</v>
      </c>
      <c r="AV517" s="13">
        <f t="shared" si="132"/>
        <v>5</v>
      </c>
      <c r="AW517" s="14">
        <f t="shared" si="133"/>
        <v>7670</v>
      </c>
      <c r="AX517" s="14" t="str">
        <f t="shared" si="134"/>
        <v>AtkExt</v>
      </c>
      <c r="AY517" s="14">
        <f t="shared" si="135"/>
        <v>300</v>
      </c>
      <c r="AZ517" s="14" t="str">
        <f t="shared" si="136"/>
        <v>DefExt</v>
      </c>
      <c r="BA517" s="14">
        <f t="shared" si="137"/>
        <v>617</v>
      </c>
      <c r="BB517" s="14" t="str">
        <f t="shared" si="138"/>
        <v/>
      </c>
      <c r="BC517" s="14" t="str">
        <f t="shared" si="139"/>
        <v/>
      </c>
      <c r="BD517" s="14" t="str">
        <f t="shared" si="140"/>
        <v/>
      </c>
      <c r="BE517" s="14" t="str">
        <f t="shared" si="141"/>
        <v/>
      </c>
    </row>
    <row r="518" spans="39:57" ht="16.5" x14ac:dyDescent="0.2">
      <c r="AM518" s="13">
        <v>513</v>
      </c>
      <c r="AN518" s="14">
        <f t="shared" si="142"/>
        <v>30</v>
      </c>
      <c r="AO518" s="29">
        <f t="shared" ref="AO518:AO581" si="143">4.8%+AV518*5%+AV518*AV518*0.2%</f>
        <v>0.42000000000000004</v>
      </c>
      <c r="AP518" s="14">
        <f t="shared" ref="AP518:AP581" si="144">INDEX(AD$7:AD$48,$AN518)</f>
        <v>1</v>
      </c>
      <c r="AQ518" s="14">
        <f t="shared" ref="AQ518:AQ581" si="145">INDEX(AE$7:AE$48,$AN518)</f>
        <v>2</v>
      </c>
      <c r="AR518" s="14">
        <f t="shared" ref="AR518:AR581" si="146">INDEX(AF$7:AF$48,$AN518)</f>
        <v>0</v>
      </c>
      <c r="AS518" s="14">
        <f t="shared" ref="AS518:AS581" si="147">INDEX($W$7:$W$48,AN518)</f>
        <v>1606032</v>
      </c>
      <c r="AT518" s="14" t="str">
        <f t="shared" ref="AT518:AT581" si="148">"神器-"&amp;INDEX($S$7:$S$48,AN518)&amp;"-碎片-"&amp;INDEX($T$7:$T$48,AN518)&amp;"-"&amp;AV518&amp;"级"</f>
        <v>神器-6-碎片-4-6级</v>
      </c>
      <c r="AU518" s="13" t="s">
        <v>1195</v>
      </c>
      <c r="AV518" s="13">
        <f t="shared" ref="AV518:AV581" si="149">AM518-INDEX($AI$6:$AI$48,AN518)</f>
        <v>6</v>
      </c>
      <c r="AW518" s="14">
        <f t="shared" ref="AW518:AW581" si="150">AY518*INDEX($AP$2:$AR$2,AP518)+IF(AQ518&gt;0,BA518*INDEX($AP$2:$AR$2,AQ518),0)+IF(AR518&gt;0,BC518*INDEX($AP$2:$AR$2,AR518),0)+IF(BD518="Speed",BE518*100,0)</f>
        <v>9260</v>
      </c>
      <c r="AX518" s="14" t="str">
        <f t="shared" ref="AX518:AX581" si="151">INDEX($AP$3:$AR$3,AP518)</f>
        <v>AtkExt</v>
      </c>
      <c r="AY518" s="14">
        <f t="shared" ref="AY518:AY581" si="152">ROUND(INDEX($X$7:$Z$48,AN518,AP518)*AO518,0)</f>
        <v>362</v>
      </c>
      <c r="AZ518" s="14" t="str">
        <f t="shared" ref="AZ518:AZ581" si="153">IF(AQ518&gt;0,INDEX($AP$3:$AR$3,AQ518),"")</f>
        <v>DefExt</v>
      </c>
      <c r="BA518" s="14">
        <f t="shared" ref="BA518:BA581" si="154">IF(AQ518&gt;0,ROUND(INDEX($X$7:$Z$48,AN518,AQ518)*AO518,0),"")</f>
        <v>745</v>
      </c>
      <c r="BB518" s="14" t="str">
        <f t="shared" ref="BB518:BB581" si="155">IF(AR518&gt;0,INDEX($AP$3:$AR$3,AR518),"")</f>
        <v/>
      </c>
      <c r="BC518" s="14" t="str">
        <f t="shared" ref="BC518:BC581" si="156">IF(AR518&gt;0,ROUND(INDEX($X$7:$Z$48,AN518,AR518)*AO518,0),"")</f>
        <v/>
      </c>
      <c r="BD518" s="14" t="str">
        <f t="shared" ref="BD518:BD581" si="157">IF(INDEX($AG$7:$AG$48,AN518)&gt;0,"Speed","")</f>
        <v/>
      </c>
      <c r="BE518" s="14" t="str">
        <f t="shared" ref="BE518:BE581" si="158">IF(INDEX($AG$7:$AG$48,AN518)&gt;0,INDEX($AG$7:$AG$48,AN518)*AV518,"")</f>
        <v/>
      </c>
    </row>
    <row r="519" spans="39:57" ht="16.5" x14ac:dyDescent="0.2">
      <c r="AM519" s="13">
        <v>514</v>
      </c>
      <c r="AN519" s="14">
        <f t="shared" ref="AN519:AN582" si="159">MATCH(AM519-1,$AI$6:$AI$48,1)</f>
        <v>30</v>
      </c>
      <c r="AO519" s="29">
        <f t="shared" si="143"/>
        <v>0.496</v>
      </c>
      <c r="AP519" s="14">
        <f t="shared" si="144"/>
        <v>1</v>
      </c>
      <c r="AQ519" s="14">
        <f t="shared" si="145"/>
        <v>2</v>
      </c>
      <c r="AR519" s="14">
        <f t="shared" si="146"/>
        <v>0</v>
      </c>
      <c r="AS519" s="14">
        <f t="shared" si="147"/>
        <v>1606032</v>
      </c>
      <c r="AT519" s="14" t="str">
        <f t="shared" si="148"/>
        <v>神器-6-碎片-4-7级</v>
      </c>
      <c r="AU519" s="13" t="s">
        <v>1195</v>
      </c>
      <c r="AV519" s="13">
        <f t="shared" si="149"/>
        <v>7</v>
      </c>
      <c r="AW519" s="14">
        <f t="shared" si="150"/>
        <v>10940</v>
      </c>
      <c r="AX519" s="14" t="str">
        <f t="shared" si="151"/>
        <v>AtkExt</v>
      </c>
      <c r="AY519" s="14">
        <f t="shared" si="152"/>
        <v>428</v>
      </c>
      <c r="AZ519" s="14" t="str">
        <f t="shared" si="153"/>
        <v>DefExt</v>
      </c>
      <c r="BA519" s="14">
        <f t="shared" si="154"/>
        <v>880</v>
      </c>
      <c r="BB519" s="14" t="str">
        <f t="shared" si="155"/>
        <v/>
      </c>
      <c r="BC519" s="14" t="str">
        <f t="shared" si="156"/>
        <v/>
      </c>
      <c r="BD519" s="14" t="str">
        <f t="shared" si="157"/>
        <v/>
      </c>
      <c r="BE519" s="14" t="str">
        <f t="shared" si="158"/>
        <v/>
      </c>
    </row>
    <row r="520" spans="39:57" ht="16.5" x14ac:dyDescent="0.2">
      <c r="AM520" s="13">
        <v>515</v>
      </c>
      <c r="AN520" s="14">
        <f t="shared" si="159"/>
        <v>30</v>
      </c>
      <c r="AO520" s="29">
        <f t="shared" si="143"/>
        <v>0.57600000000000007</v>
      </c>
      <c r="AP520" s="14">
        <f t="shared" si="144"/>
        <v>1</v>
      </c>
      <c r="AQ520" s="14">
        <f t="shared" si="145"/>
        <v>2</v>
      </c>
      <c r="AR520" s="14">
        <f t="shared" si="146"/>
        <v>0</v>
      </c>
      <c r="AS520" s="14">
        <f t="shared" si="147"/>
        <v>1606032</v>
      </c>
      <c r="AT520" s="14" t="str">
        <f t="shared" si="148"/>
        <v>神器-6-碎片-4-8级</v>
      </c>
      <c r="AU520" s="13" t="s">
        <v>1195</v>
      </c>
      <c r="AV520" s="13">
        <f t="shared" si="149"/>
        <v>8</v>
      </c>
      <c r="AW520" s="14">
        <f t="shared" si="150"/>
        <v>12705</v>
      </c>
      <c r="AX520" s="14" t="str">
        <f t="shared" si="151"/>
        <v>AtkExt</v>
      </c>
      <c r="AY520" s="14">
        <f t="shared" si="152"/>
        <v>497</v>
      </c>
      <c r="AZ520" s="14" t="str">
        <f t="shared" si="153"/>
        <v>DefExt</v>
      </c>
      <c r="BA520" s="14">
        <f t="shared" si="154"/>
        <v>1022</v>
      </c>
      <c r="BB520" s="14" t="str">
        <f t="shared" si="155"/>
        <v/>
      </c>
      <c r="BC520" s="14" t="str">
        <f t="shared" si="156"/>
        <v/>
      </c>
      <c r="BD520" s="14" t="str">
        <f t="shared" si="157"/>
        <v/>
      </c>
      <c r="BE520" s="14" t="str">
        <f t="shared" si="158"/>
        <v/>
      </c>
    </row>
    <row r="521" spans="39:57" ht="16.5" x14ac:dyDescent="0.2">
      <c r="AM521" s="13">
        <v>516</v>
      </c>
      <c r="AN521" s="14">
        <f t="shared" si="159"/>
        <v>30</v>
      </c>
      <c r="AO521" s="29">
        <f t="shared" si="143"/>
        <v>0.66</v>
      </c>
      <c r="AP521" s="14">
        <f t="shared" si="144"/>
        <v>1</v>
      </c>
      <c r="AQ521" s="14">
        <f t="shared" si="145"/>
        <v>2</v>
      </c>
      <c r="AR521" s="14">
        <f t="shared" si="146"/>
        <v>0</v>
      </c>
      <c r="AS521" s="14">
        <f t="shared" si="147"/>
        <v>1606032</v>
      </c>
      <c r="AT521" s="14" t="str">
        <f t="shared" si="148"/>
        <v>神器-6-碎片-4-9级</v>
      </c>
      <c r="AU521" s="13" t="s">
        <v>1195</v>
      </c>
      <c r="AV521" s="13">
        <f t="shared" si="149"/>
        <v>9</v>
      </c>
      <c r="AW521" s="14">
        <f t="shared" si="150"/>
        <v>14555</v>
      </c>
      <c r="AX521" s="14" t="str">
        <f t="shared" si="151"/>
        <v>AtkExt</v>
      </c>
      <c r="AY521" s="14">
        <f t="shared" si="152"/>
        <v>569</v>
      </c>
      <c r="AZ521" s="14" t="str">
        <f t="shared" si="153"/>
        <v>DefExt</v>
      </c>
      <c r="BA521" s="14">
        <f t="shared" si="154"/>
        <v>1171</v>
      </c>
      <c r="BB521" s="14" t="str">
        <f t="shared" si="155"/>
        <v/>
      </c>
      <c r="BC521" s="14" t="str">
        <f t="shared" si="156"/>
        <v/>
      </c>
      <c r="BD521" s="14" t="str">
        <f t="shared" si="157"/>
        <v/>
      </c>
      <c r="BE521" s="14" t="str">
        <f t="shared" si="158"/>
        <v/>
      </c>
    </row>
    <row r="522" spans="39:57" ht="16.5" x14ac:dyDescent="0.2">
      <c r="AM522" s="13">
        <v>517</v>
      </c>
      <c r="AN522" s="14">
        <f t="shared" si="159"/>
        <v>30</v>
      </c>
      <c r="AO522" s="29">
        <f t="shared" si="143"/>
        <v>0.748</v>
      </c>
      <c r="AP522" s="14">
        <f t="shared" si="144"/>
        <v>1</v>
      </c>
      <c r="AQ522" s="14">
        <f t="shared" si="145"/>
        <v>2</v>
      </c>
      <c r="AR522" s="14">
        <f t="shared" si="146"/>
        <v>0</v>
      </c>
      <c r="AS522" s="14">
        <f t="shared" si="147"/>
        <v>1606032</v>
      </c>
      <c r="AT522" s="14" t="str">
        <f t="shared" si="148"/>
        <v>神器-6-碎片-4-10级</v>
      </c>
      <c r="AU522" s="13" t="s">
        <v>1195</v>
      </c>
      <c r="AV522" s="13">
        <f t="shared" si="149"/>
        <v>10</v>
      </c>
      <c r="AW522" s="14">
        <f t="shared" si="150"/>
        <v>16495</v>
      </c>
      <c r="AX522" s="14" t="str">
        <f t="shared" si="151"/>
        <v>AtkExt</v>
      </c>
      <c r="AY522" s="14">
        <f t="shared" si="152"/>
        <v>645</v>
      </c>
      <c r="AZ522" s="14" t="str">
        <f t="shared" si="153"/>
        <v>DefExt</v>
      </c>
      <c r="BA522" s="14">
        <f t="shared" si="154"/>
        <v>1327</v>
      </c>
      <c r="BB522" s="14" t="str">
        <f t="shared" si="155"/>
        <v/>
      </c>
      <c r="BC522" s="14" t="str">
        <f t="shared" si="156"/>
        <v/>
      </c>
      <c r="BD522" s="14" t="str">
        <f t="shared" si="157"/>
        <v/>
      </c>
      <c r="BE522" s="14" t="str">
        <f t="shared" si="158"/>
        <v/>
      </c>
    </row>
    <row r="523" spans="39:57" ht="16.5" x14ac:dyDescent="0.2">
      <c r="AM523" s="13">
        <v>518</v>
      </c>
      <c r="AN523" s="14">
        <f t="shared" si="159"/>
        <v>30</v>
      </c>
      <c r="AO523" s="29">
        <f t="shared" si="143"/>
        <v>0.84000000000000008</v>
      </c>
      <c r="AP523" s="14">
        <f t="shared" si="144"/>
        <v>1</v>
      </c>
      <c r="AQ523" s="14">
        <f t="shared" si="145"/>
        <v>2</v>
      </c>
      <c r="AR523" s="14">
        <f t="shared" si="146"/>
        <v>0</v>
      </c>
      <c r="AS523" s="14">
        <f t="shared" si="147"/>
        <v>1606032</v>
      </c>
      <c r="AT523" s="14" t="str">
        <f t="shared" si="148"/>
        <v>神器-6-碎片-4-11级</v>
      </c>
      <c r="AU523" s="13" t="s">
        <v>1195</v>
      </c>
      <c r="AV523" s="13">
        <f t="shared" si="149"/>
        <v>11</v>
      </c>
      <c r="AW523" s="14">
        <f t="shared" si="150"/>
        <v>18525</v>
      </c>
      <c r="AX523" s="14" t="str">
        <f t="shared" si="151"/>
        <v>AtkExt</v>
      </c>
      <c r="AY523" s="14">
        <f t="shared" si="152"/>
        <v>725</v>
      </c>
      <c r="AZ523" s="14" t="str">
        <f t="shared" si="153"/>
        <v>DefExt</v>
      </c>
      <c r="BA523" s="14">
        <f t="shared" si="154"/>
        <v>1490</v>
      </c>
      <c r="BB523" s="14" t="str">
        <f t="shared" si="155"/>
        <v/>
      </c>
      <c r="BC523" s="14" t="str">
        <f t="shared" si="156"/>
        <v/>
      </c>
      <c r="BD523" s="14" t="str">
        <f t="shared" si="157"/>
        <v/>
      </c>
      <c r="BE523" s="14" t="str">
        <f t="shared" si="158"/>
        <v/>
      </c>
    </row>
    <row r="524" spans="39:57" ht="16.5" x14ac:dyDescent="0.2">
      <c r="AM524" s="13">
        <v>519</v>
      </c>
      <c r="AN524" s="14">
        <f t="shared" si="159"/>
        <v>30</v>
      </c>
      <c r="AO524" s="29">
        <f t="shared" si="143"/>
        <v>0.93600000000000017</v>
      </c>
      <c r="AP524" s="14">
        <f t="shared" si="144"/>
        <v>1</v>
      </c>
      <c r="AQ524" s="14">
        <f t="shared" si="145"/>
        <v>2</v>
      </c>
      <c r="AR524" s="14">
        <f t="shared" si="146"/>
        <v>0</v>
      </c>
      <c r="AS524" s="14">
        <f t="shared" si="147"/>
        <v>1606032</v>
      </c>
      <c r="AT524" s="14" t="str">
        <f t="shared" si="148"/>
        <v>神器-6-碎片-4-12级</v>
      </c>
      <c r="AU524" s="13" t="s">
        <v>1195</v>
      </c>
      <c r="AV524" s="13">
        <f t="shared" si="149"/>
        <v>12</v>
      </c>
      <c r="AW524" s="14">
        <f t="shared" si="150"/>
        <v>20635</v>
      </c>
      <c r="AX524" s="14" t="str">
        <f t="shared" si="151"/>
        <v>AtkExt</v>
      </c>
      <c r="AY524" s="14">
        <f t="shared" si="152"/>
        <v>807</v>
      </c>
      <c r="AZ524" s="14" t="str">
        <f t="shared" si="153"/>
        <v>DefExt</v>
      </c>
      <c r="BA524" s="14">
        <f t="shared" si="154"/>
        <v>1660</v>
      </c>
      <c r="BB524" s="14" t="str">
        <f t="shared" si="155"/>
        <v/>
      </c>
      <c r="BC524" s="14" t="str">
        <f t="shared" si="156"/>
        <v/>
      </c>
      <c r="BD524" s="14" t="str">
        <f t="shared" si="157"/>
        <v/>
      </c>
      <c r="BE524" s="14" t="str">
        <f t="shared" si="158"/>
        <v/>
      </c>
    </row>
    <row r="525" spans="39:57" ht="16.5" x14ac:dyDescent="0.2">
      <c r="AM525" s="13">
        <v>520</v>
      </c>
      <c r="AN525" s="14">
        <f t="shared" si="159"/>
        <v>30</v>
      </c>
      <c r="AO525" s="29">
        <f t="shared" si="143"/>
        <v>1.036</v>
      </c>
      <c r="AP525" s="14">
        <f t="shared" si="144"/>
        <v>1</v>
      </c>
      <c r="AQ525" s="14">
        <f t="shared" si="145"/>
        <v>2</v>
      </c>
      <c r="AR525" s="14">
        <f t="shared" si="146"/>
        <v>0</v>
      </c>
      <c r="AS525" s="14">
        <f t="shared" si="147"/>
        <v>1606032</v>
      </c>
      <c r="AT525" s="14" t="str">
        <f t="shared" si="148"/>
        <v>神器-6-碎片-4-13级</v>
      </c>
      <c r="AU525" s="13" t="s">
        <v>1195</v>
      </c>
      <c r="AV525" s="13">
        <f t="shared" si="149"/>
        <v>13</v>
      </c>
      <c r="AW525" s="14">
        <f t="shared" si="150"/>
        <v>22850</v>
      </c>
      <c r="AX525" s="14" t="str">
        <f t="shared" si="151"/>
        <v>AtkExt</v>
      </c>
      <c r="AY525" s="14">
        <f t="shared" si="152"/>
        <v>894</v>
      </c>
      <c r="AZ525" s="14" t="str">
        <f t="shared" si="153"/>
        <v>DefExt</v>
      </c>
      <c r="BA525" s="14">
        <f t="shared" si="154"/>
        <v>1838</v>
      </c>
      <c r="BB525" s="14" t="str">
        <f t="shared" si="155"/>
        <v/>
      </c>
      <c r="BC525" s="14" t="str">
        <f t="shared" si="156"/>
        <v/>
      </c>
      <c r="BD525" s="14" t="str">
        <f t="shared" si="157"/>
        <v/>
      </c>
      <c r="BE525" s="14" t="str">
        <f t="shared" si="158"/>
        <v/>
      </c>
    </row>
    <row r="526" spans="39:57" ht="16.5" x14ac:dyDescent="0.2">
      <c r="AM526" s="13">
        <v>521</v>
      </c>
      <c r="AN526" s="14">
        <f t="shared" si="159"/>
        <v>30</v>
      </c>
      <c r="AO526" s="29">
        <f t="shared" si="143"/>
        <v>1.1400000000000001</v>
      </c>
      <c r="AP526" s="14">
        <f t="shared" si="144"/>
        <v>1</v>
      </c>
      <c r="AQ526" s="14">
        <f t="shared" si="145"/>
        <v>2</v>
      </c>
      <c r="AR526" s="14">
        <f t="shared" si="146"/>
        <v>0</v>
      </c>
      <c r="AS526" s="14">
        <f t="shared" si="147"/>
        <v>1606032</v>
      </c>
      <c r="AT526" s="14" t="str">
        <f t="shared" si="148"/>
        <v>神器-6-碎片-4-14级</v>
      </c>
      <c r="AU526" s="13" t="s">
        <v>1195</v>
      </c>
      <c r="AV526" s="13">
        <f t="shared" si="149"/>
        <v>14</v>
      </c>
      <c r="AW526" s="14">
        <f t="shared" si="150"/>
        <v>25135</v>
      </c>
      <c r="AX526" s="14" t="str">
        <f t="shared" si="151"/>
        <v>AtkExt</v>
      </c>
      <c r="AY526" s="14">
        <f t="shared" si="152"/>
        <v>983</v>
      </c>
      <c r="AZ526" s="14" t="str">
        <f t="shared" si="153"/>
        <v>DefExt</v>
      </c>
      <c r="BA526" s="14">
        <f t="shared" si="154"/>
        <v>2022</v>
      </c>
      <c r="BB526" s="14" t="str">
        <f t="shared" si="155"/>
        <v/>
      </c>
      <c r="BC526" s="14" t="str">
        <f t="shared" si="156"/>
        <v/>
      </c>
      <c r="BD526" s="14" t="str">
        <f t="shared" si="157"/>
        <v/>
      </c>
      <c r="BE526" s="14" t="str">
        <f t="shared" si="158"/>
        <v/>
      </c>
    </row>
    <row r="527" spans="39:57" ht="16.5" x14ac:dyDescent="0.2">
      <c r="AM527" s="13">
        <v>522</v>
      </c>
      <c r="AN527" s="14">
        <f t="shared" si="159"/>
        <v>30</v>
      </c>
      <c r="AO527" s="29">
        <f t="shared" si="143"/>
        <v>1.248</v>
      </c>
      <c r="AP527" s="14">
        <f t="shared" si="144"/>
        <v>1</v>
      </c>
      <c r="AQ527" s="14">
        <f t="shared" si="145"/>
        <v>2</v>
      </c>
      <c r="AR527" s="14">
        <f t="shared" si="146"/>
        <v>0</v>
      </c>
      <c r="AS527" s="14">
        <f t="shared" si="147"/>
        <v>1606032</v>
      </c>
      <c r="AT527" s="14" t="str">
        <f t="shared" si="148"/>
        <v>神器-6-碎片-4-15级</v>
      </c>
      <c r="AU527" s="13" t="s">
        <v>1195</v>
      </c>
      <c r="AV527" s="13">
        <f t="shared" si="149"/>
        <v>15</v>
      </c>
      <c r="AW527" s="14">
        <f t="shared" si="150"/>
        <v>27525</v>
      </c>
      <c r="AX527" s="14" t="str">
        <f t="shared" si="151"/>
        <v>AtkExt</v>
      </c>
      <c r="AY527" s="14">
        <f t="shared" si="152"/>
        <v>1077</v>
      </c>
      <c r="AZ527" s="14" t="str">
        <f t="shared" si="153"/>
        <v>DefExt</v>
      </c>
      <c r="BA527" s="14">
        <f t="shared" si="154"/>
        <v>2214</v>
      </c>
      <c r="BB527" s="14" t="str">
        <f t="shared" si="155"/>
        <v/>
      </c>
      <c r="BC527" s="14" t="str">
        <f t="shared" si="156"/>
        <v/>
      </c>
      <c r="BD527" s="14" t="str">
        <f t="shared" si="157"/>
        <v/>
      </c>
      <c r="BE527" s="14" t="str">
        <f t="shared" si="158"/>
        <v/>
      </c>
    </row>
    <row r="528" spans="39:57" ht="16.5" x14ac:dyDescent="0.2">
      <c r="AM528" s="13">
        <v>523</v>
      </c>
      <c r="AN528" s="14">
        <f t="shared" si="159"/>
        <v>30</v>
      </c>
      <c r="AO528" s="29">
        <f t="shared" si="143"/>
        <v>1.36</v>
      </c>
      <c r="AP528" s="14">
        <f t="shared" si="144"/>
        <v>1</v>
      </c>
      <c r="AQ528" s="14">
        <f t="shared" si="145"/>
        <v>2</v>
      </c>
      <c r="AR528" s="14">
        <f t="shared" si="146"/>
        <v>0</v>
      </c>
      <c r="AS528" s="14">
        <f t="shared" si="147"/>
        <v>1606032</v>
      </c>
      <c r="AT528" s="14" t="str">
        <f t="shared" si="148"/>
        <v>神器-6-碎片-4-16级</v>
      </c>
      <c r="AU528" s="13" t="s">
        <v>1195</v>
      </c>
      <c r="AV528" s="13">
        <f t="shared" si="149"/>
        <v>16</v>
      </c>
      <c r="AW528" s="14">
        <f t="shared" si="150"/>
        <v>29995</v>
      </c>
      <c r="AX528" s="14" t="str">
        <f t="shared" si="151"/>
        <v>AtkExt</v>
      </c>
      <c r="AY528" s="14">
        <f t="shared" si="152"/>
        <v>1173</v>
      </c>
      <c r="AZ528" s="14" t="str">
        <f t="shared" si="153"/>
        <v>DefExt</v>
      </c>
      <c r="BA528" s="14">
        <f t="shared" si="154"/>
        <v>2413</v>
      </c>
      <c r="BB528" s="14" t="str">
        <f t="shared" si="155"/>
        <v/>
      </c>
      <c r="BC528" s="14" t="str">
        <f t="shared" si="156"/>
        <v/>
      </c>
      <c r="BD528" s="14" t="str">
        <f t="shared" si="157"/>
        <v/>
      </c>
      <c r="BE528" s="14" t="str">
        <f t="shared" si="158"/>
        <v/>
      </c>
    </row>
    <row r="529" spans="39:57" ht="16.5" x14ac:dyDescent="0.2">
      <c r="AM529" s="13">
        <v>524</v>
      </c>
      <c r="AN529" s="14">
        <f t="shared" si="159"/>
        <v>30</v>
      </c>
      <c r="AO529" s="29">
        <f t="shared" si="143"/>
        <v>1.476</v>
      </c>
      <c r="AP529" s="14">
        <f t="shared" si="144"/>
        <v>1</v>
      </c>
      <c r="AQ529" s="14">
        <f t="shared" si="145"/>
        <v>2</v>
      </c>
      <c r="AR529" s="14">
        <f t="shared" si="146"/>
        <v>0</v>
      </c>
      <c r="AS529" s="14">
        <f t="shared" si="147"/>
        <v>1606032</v>
      </c>
      <c r="AT529" s="14" t="str">
        <f t="shared" si="148"/>
        <v>神器-6-碎片-4-17级</v>
      </c>
      <c r="AU529" s="13" t="s">
        <v>1195</v>
      </c>
      <c r="AV529" s="13">
        <f t="shared" si="149"/>
        <v>17</v>
      </c>
      <c r="AW529" s="14">
        <f t="shared" si="150"/>
        <v>32545</v>
      </c>
      <c r="AX529" s="14" t="str">
        <f t="shared" si="151"/>
        <v>AtkExt</v>
      </c>
      <c r="AY529" s="14">
        <f t="shared" si="152"/>
        <v>1273</v>
      </c>
      <c r="AZ529" s="14" t="str">
        <f t="shared" si="153"/>
        <v>DefExt</v>
      </c>
      <c r="BA529" s="14">
        <f t="shared" si="154"/>
        <v>2618</v>
      </c>
      <c r="BB529" s="14" t="str">
        <f t="shared" si="155"/>
        <v/>
      </c>
      <c r="BC529" s="14" t="str">
        <f t="shared" si="156"/>
        <v/>
      </c>
      <c r="BD529" s="14" t="str">
        <f t="shared" si="157"/>
        <v/>
      </c>
      <c r="BE529" s="14" t="str">
        <f t="shared" si="158"/>
        <v/>
      </c>
    </row>
    <row r="530" spans="39:57" ht="16.5" x14ac:dyDescent="0.2">
      <c r="AM530" s="13">
        <v>525</v>
      </c>
      <c r="AN530" s="14">
        <f t="shared" si="159"/>
        <v>30</v>
      </c>
      <c r="AO530" s="29">
        <f t="shared" si="143"/>
        <v>1.5960000000000001</v>
      </c>
      <c r="AP530" s="14">
        <f t="shared" si="144"/>
        <v>1</v>
      </c>
      <c r="AQ530" s="14">
        <f t="shared" si="145"/>
        <v>2</v>
      </c>
      <c r="AR530" s="14">
        <f t="shared" si="146"/>
        <v>0</v>
      </c>
      <c r="AS530" s="14">
        <f t="shared" si="147"/>
        <v>1606032</v>
      </c>
      <c r="AT530" s="14" t="str">
        <f t="shared" si="148"/>
        <v>神器-6-碎片-4-18级</v>
      </c>
      <c r="AU530" s="13" t="s">
        <v>1195</v>
      </c>
      <c r="AV530" s="13">
        <f t="shared" si="149"/>
        <v>18</v>
      </c>
      <c r="AW530" s="14">
        <f t="shared" si="150"/>
        <v>35195</v>
      </c>
      <c r="AX530" s="14" t="str">
        <f t="shared" si="151"/>
        <v>AtkExt</v>
      </c>
      <c r="AY530" s="14">
        <f t="shared" si="152"/>
        <v>1377</v>
      </c>
      <c r="AZ530" s="14" t="str">
        <f t="shared" si="153"/>
        <v>DefExt</v>
      </c>
      <c r="BA530" s="14">
        <f t="shared" si="154"/>
        <v>2831</v>
      </c>
      <c r="BB530" s="14" t="str">
        <f t="shared" si="155"/>
        <v/>
      </c>
      <c r="BC530" s="14" t="str">
        <f t="shared" si="156"/>
        <v/>
      </c>
      <c r="BD530" s="14" t="str">
        <f t="shared" si="157"/>
        <v/>
      </c>
      <c r="BE530" s="14" t="str">
        <f t="shared" si="158"/>
        <v/>
      </c>
    </row>
    <row r="531" spans="39:57" ht="16.5" x14ac:dyDescent="0.2">
      <c r="AM531" s="13">
        <v>526</v>
      </c>
      <c r="AN531" s="14">
        <f t="shared" si="159"/>
        <v>30</v>
      </c>
      <c r="AO531" s="29">
        <f t="shared" si="143"/>
        <v>1.7200000000000002</v>
      </c>
      <c r="AP531" s="14">
        <f t="shared" si="144"/>
        <v>1</v>
      </c>
      <c r="AQ531" s="14">
        <f t="shared" si="145"/>
        <v>2</v>
      </c>
      <c r="AR531" s="14">
        <f t="shared" si="146"/>
        <v>0</v>
      </c>
      <c r="AS531" s="14">
        <f t="shared" si="147"/>
        <v>1606032</v>
      </c>
      <c r="AT531" s="14" t="str">
        <f t="shared" si="148"/>
        <v>神器-6-碎片-4-19级</v>
      </c>
      <c r="AU531" s="13" t="s">
        <v>1195</v>
      </c>
      <c r="AV531" s="13">
        <f t="shared" si="149"/>
        <v>19</v>
      </c>
      <c r="AW531" s="14">
        <f t="shared" si="150"/>
        <v>37930</v>
      </c>
      <c r="AX531" s="14" t="str">
        <f t="shared" si="151"/>
        <v>AtkExt</v>
      </c>
      <c r="AY531" s="14">
        <f t="shared" si="152"/>
        <v>1484</v>
      </c>
      <c r="AZ531" s="14" t="str">
        <f t="shared" si="153"/>
        <v>DefExt</v>
      </c>
      <c r="BA531" s="14">
        <f t="shared" si="154"/>
        <v>3051</v>
      </c>
      <c r="BB531" s="14" t="str">
        <f t="shared" si="155"/>
        <v/>
      </c>
      <c r="BC531" s="14" t="str">
        <f t="shared" si="156"/>
        <v/>
      </c>
      <c r="BD531" s="14" t="str">
        <f t="shared" si="157"/>
        <v/>
      </c>
      <c r="BE531" s="14" t="str">
        <f t="shared" si="158"/>
        <v/>
      </c>
    </row>
    <row r="532" spans="39:57" ht="16.5" x14ac:dyDescent="0.2">
      <c r="AM532" s="13">
        <v>527</v>
      </c>
      <c r="AN532" s="14">
        <f t="shared" si="159"/>
        <v>30</v>
      </c>
      <c r="AO532" s="29">
        <f t="shared" si="143"/>
        <v>1.8480000000000001</v>
      </c>
      <c r="AP532" s="14">
        <f t="shared" si="144"/>
        <v>1</v>
      </c>
      <c r="AQ532" s="14">
        <f t="shared" si="145"/>
        <v>2</v>
      </c>
      <c r="AR532" s="14">
        <f t="shared" si="146"/>
        <v>0</v>
      </c>
      <c r="AS532" s="14">
        <f t="shared" si="147"/>
        <v>1606032</v>
      </c>
      <c r="AT532" s="14" t="str">
        <f t="shared" si="148"/>
        <v>神器-6-碎片-4-20级</v>
      </c>
      <c r="AU532" s="13" t="s">
        <v>1195</v>
      </c>
      <c r="AV532" s="13">
        <f t="shared" si="149"/>
        <v>20</v>
      </c>
      <c r="AW532" s="14">
        <f t="shared" si="150"/>
        <v>40750</v>
      </c>
      <c r="AX532" s="14" t="str">
        <f t="shared" si="151"/>
        <v>AtkExt</v>
      </c>
      <c r="AY532" s="14">
        <f t="shared" si="152"/>
        <v>1594</v>
      </c>
      <c r="AZ532" s="14" t="str">
        <f t="shared" si="153"/>
        <v>DefExt</v>
      </c>
      <c r="BA532" s="14">
        <f t="shared" si="154"/>
        <v>3278</v>
      </c>
      <c r="BB532" s="14" t="str">
        <f t="shared" si="155"/>
        <v/>
      </c>
      <c r="BC532" s="14" t="str">
        <f t="shared" si="156"/>
        <v/>
      </c>
      <c r="BD532" s="14" t="str">
        <f t="shared" si="157"/>
        <v/>
      </c>
      <c r="BE532" s="14" t="str">
        <f t="shared" si="158"/>
        <v/>
      </c>
    </row>
    <row r="533" spans="39:57" ht="16.5" x14ac:dyDescent="0.2">
      <c r="AM533" s="13">
        <v>528</v>
      </c>
      <c r="AN533" s="14">
        <f t="shared" si="159"/>
        <v>30</v>
      </c>
      <c r="AO533" s="29">
        <f t="shared" si="143"/>
        <v>1.98</v>
      </c>
      <c r="AP533" s="14">
        <f t="shared" si="144"/>
        <v>1</v>
      </c>
      <c r="AQ533" s="14">
        <f t="shared" si="145"/>
        <v>2</v>
      </c>
      <c r="AR533" s="14">
        <f t="shared" si="146"/>
        <v>0</v>
      </c>
      <c r="AS533" s="14">
        <f t="shared" si="147"/>
        <v>1606032</v>
      </c>
      <c r="AT533" s="14" t="str">
        <f t="shared" si="148"/>
        <v>神器-6-碎片-4-21级</v>
      </c>
      <c r="AU533" s="13" t="s">
        <v>1195</v>
      </c>
      <c r="AV533" s="13">
        <f t="shared" si="149"/>
        <v>21</v>
      </c>
      <c r="AW533" s="14">
        <f t="shared" si="150"/>
        <v>43660</v>
      </c>
      <c r="AX533" s="14" t="str">
        <f t="shared" si="151"/>
        <v>AtkExt</v>
      </c>
      <c r="AY533" s="14">
        <f t="shared" si="152"/>
        <v>1708</v>
      </c>
      <c r="AZ533" s="14" t="str">
        <f t="shared" si="153"/>
        <v>DefExt</v>
      </c>
      <c r="BA533" s="14">
        <f t="shared" si="154"/>
        <v>3512</v>
      </c>
      <c r="BB533" s="14" t="str">
        <f t="shared" si="155"/>
        <v/>
      </c>
      <c r="BC533" s="14" t="str">
        <f t="shared" si="156"/>
        <v/>
      </c>
      <c r="BD533" s="14" t="str">
        <f t="shared" si="157"/>
        <v/>
      </c>
      <c r="BE533" s="14" t="str">
        <f t="shared" si="158"/>
        <v/>
      </c>
    </row>
    <row r="534" spans="39:57" ht="16.5" x14ac:dyDescent="0.2">
      <c r="AM534" s="13">
        <v>529</v>
      </c>
      <c r="AN534" s="14">
        <f t="shared" si="159"/>
        <v>31</v>
      </c>
      <c r="AO534" s="29">
        <f t="shared" si="143"/>
        <v>0.1</v>
      </c>
      <c r="AP534" s="14">
        <f t="shared" si="144"/>
        <v>1</v>
      </c>
      <c r="AQ534" s="14">
        <f t="shared" si="145"/>
        <v>3</v>
      </c>
      <c r="AR534" s="14">
        <f t="shared" si="146"/>
        <v>0</v>
      </c>
      <c r="AS534" s="14">
        <f t="shared" si="147"/>
        <v>1606033</v>
      </c>
      <c r="AT534" s="14" t="str">
        <f t="shared" si="148"/>
        <v>神器-6-碎片-5-1级</v>
      </c>
      <c r="AU534" s="13" t="s">
        <v>1195</v>
      </c>
      <c r="AV534" s="13">
        <f t="shared" si="149"/>
        <v>1</v>
      </c>
      <c r="AW534" s="14">
        <f t="shared" si="150"/>
        <v>610</v>
      </c>
      <c r="AX534" s="14" t="str">
        <f t="shared" si="151"/>
        <v>AtkExt</v>
      </c>
      <c r="AY534" s="14">
        <f t="shared" si="152"/>
        <v>86</v>
      </c>
      <c r="AZ534" s="14" t="str">
        <f t="shared" si="153"/>
        <v>HPExt</v>
      </c>
      <c r="BA534" s="14">
        <f t="shared" si="154"/>
        <v>180</v>
      </c>
      <c r="BB534" s="14" t="str">
        <f t="shared" si="155"/>
        <v/>
      </c>
      <c r="BC534" s="14" t="str">
        <f t="shared" si="156"/>
        <v/>
      </c>
      <c r="BD534" s="14" t="str">
        <f t="shared" si="157"/>
        <v/>
      </c>
      <c r="BE534" s="14" t="str">
        <f t="shared" si="158"/>
        <v/>
      </c>
    </row>
    <row r="535" spans="39:57" ht="16.5" x14ac:dyDescent="0.2">
      <c r="AM535" s="13">
        <v>530</v>
      </c>
      <c r="AN535" s="14">
        <f t="shared" si="159"/>
        <v>31</v>
      </c>
      <c r="AO535" s="29">
        <f t="shared" si="143"/>
        <v>0.15600000000000003</v>
      </c>
      <c r="AP535" s="14">
        <f t="shared" si="144"/>
        <v>1</v>
      </c>
      <c r="AQ535" s="14">
        <f t="shared" si="145"/>
        <v>3</v>
      </c>
      <c r="AR535" s="14">
        <f t="shared" si="146"/>
        <v>0</v>
      </c>
      <c r="AS535" s="14">
        <f t="shared" si="147"/>
        <v>1606033</v>
      </c>
      <c r="AT535" s="14" t="str">
        <f t="shared" si="148"/>
        <v>神器-6-碎片-5-2级</v>
      </c>
      <c r="AU535" s="13" t="s">
        <v>1195</v>
      </c>
      <c r="AV535" s="13">
        <f t="shared" si="149"/>
        <v>2</v>
      </c>
      <c r="AW535" s="14">
        <f t="shared" si="150"/>
        <v>955</v>
      </c>
      <c r="AX535" s="14" t="str">
        <f t="shared" si="151"/>
        <v>AtkExt</v>
      </c>
      <c r="AY535" s="14">
        <f t="shared" si="152"/>
        <v>135</v>
      </c>
      <c r="AZ535" s="14" t="str">
        <f t="shared" si="153"/>
        <v>HPExt</v>
      </c>
      <c r="BA535" s="14">
        <f t="shared" si="154"/>
        <v>280</v>
      </c>
      <c r="BB535" s="14" t="str">
        <f t="shared" si="155"/>
        <v/>
      </c>
      <c r="BC535" s="14" t="str">
        <f t="shared" si="156"/>
        <v/>
      </c>
      <c r="BD535" s="14" t="str">
        <f t="shared" si="157"/>
        <v/>
      </c>
      <c r="BE535" s="14" t="str">
        <f t="shared" si="158"/>
        <v/>
      </c>
    </row>
    <row r="536" spans="39:57" ht="16.5" x14ac:dyDescent="0.2">
      <c r="AM536" s="13">
        <v>531</v>
      </c>
      <c r="AN536" s="14">
        <f t="shared" si="159"/>
        <v>31</v>
      </c>
      <c r="AO536" s="29">
        <f t="shared" si="143"/>
        <v>0.21600000000000003</v>
      </c>
      <c r="AP536" s="14">
        <f t="shared" si="144"/>
        <v>1</v>
      </c>
      <c r="AQ536" s="14">
        <f t="shared" si="145"/>
        <v>3</v>
      </c>
      <c r="AR536" s="14">
        <f t="shared" si="146"/>
        <v>0</v>
      </c>
      <c r="AS536" s="14">
        <f t="shared" si="147"/>
        <v>1606033</v>
      </c>
      <c r="AT536" s="14" t="str">
        <f t="shared" si="148"/>
        <v>神器-6-碎片-5-3级</v>
      </c>
      <c r="AU536" s="13" t="s">
        <v>1195</v>
      </c>
      <c r="AV536" s="13">
        <f t="shared" si="149"/>
        <v>3</v>
      </c>
      <c r="AW536" s="14">
        <f t="shared" si="150"/>
        <v>1318</v>
      </c>
      <c r="AX536" s="14" t="str">
        <f t="shared" si="151"/>
        <v>AtkExt</v>
      </c>
      <c r="AY536" s="14">
        <f t="shared" si="152"/>
        <v>186</v>
      </c>
      <c r="AZ536" s="14" t="str">
        <f t="shared" si="153"/>
        <v>HPExt</v>
      </c>
      <c r="BA536" s="14">
        <f t="shared" si="154"/>
        <v>388</v>
      </c>
      <c r="BB536" s="14" t="str">
        <f t="shared" si="155"/>
        <v/>
      </c>
      <c r="BC536" s="14" t="str">
        <f t="shared" si="156"/>
        <v/>
      </c>
      <c r="BD536" s="14" t="str">
        <f t="shared" si="157"/>
        <v/>
      </c>
      <c r="BE536" s="14" t="str">
        <f t="shared" si="158"/>
        <v/>
      </c>
    </row>
    <row r="537" spans="39:57" ht="16.5" x14ac:dyDescent="0.2">
      <c r="AM537" s="13">
        <v>532</v>
      </c>
      <c r="AN537" s="14">
        <f t="shared" si="159"/>
        <v>31</v>
      </c>
      <c r="AO537" s="29">
        <f t="shared" si="143"/>
        <v>0.28000000000000003</v>
      </c>
      <c r="AP537" s="14">
        <f t="shared" si="144"/>
        <v>1</v>
      </c>
      <c r="AQ537" s="14">
        <f t="shared" si="145"/>
        <v>3</v>
      </c>
      <c r="AR537" s="14">
        <f t="shared" si="146"/>
        <v>0</v>
      </c>
      <c r="AS537" s="14">
        <f t="shared" si="147"/>
        <v>1606033</v>
      </c>
      <c r="AT537" s="14" t="str">
        <f t="shared" si="148"/>
        <v>神器-6-碎片-5-4级</v>
      </c>
      <c r="AU537" s="13" t="s">
        <v>1195</v>
      </c>
      <c r="AV537" s="13">
        <f t="shared" si="149"/>
        <v>4</v>
      </c>
      <c r="AW537" s="14">
        <f t="shared" si="150"/>
        <v>1713</v>
      </c>
      <c r="AX537" s="14" t="str">
        <f t="shared" si="151"/>
        <v>AtkExt</v>
      </c>
      <c r="AY537" s="14">
        <f t="shared" si="152"/>
        <v>242</v>
      </c>
      <c r="AZ537" s="14" t="str">
        <f t="shared" si="153"/>
        <v>HPExt</v>
      </c>
      <c r="BA537" s="14">
        <f t="shared" si="154"/>
        <v>503</v>
      </c>
      <c r="BB537" s="14" t="str">
        <f t="shared" si="155"/>
        <v/>
      </c>
      <c r="BC537" s="14" t="str">
        <f t="shared" si="156"/>
        <v/>
      </c>
      <c r="BD537" s="14" t="str">
        <f t="shared" si="157"/>
        <v/>
      </c>
      <c r="BE537" s="14" t="str">
        <f t="shared" si="158"/>
        <v/>
      </c>
    </row>
    <row r="538" spans="39:57" ht="16.5" x14ac:dyDescent="0.2">
      <c r="AM538" s="13">
        <v>533</v>
      </c>
      <c r="AN538" s="14">
        <f t="shared" si="159"/>
        <v>31</v>
      </c>
      <c r="AO538" s="29">
        <f t="shared" si="143"/>
        <v>0.34799999999999998</v>
      </c>
      <c r="AP538" s="14">
        <f t="shared" si="144"/>
        <v>1</v>
      </c>
      <c r="AQ538" s="14">
        <f t="shared" si="145"/>
        <v>3</v>
      </c>
      <c r="AR538" s="14">
        <f t="shared" si="146"/>
        <v>0</v>
      </c>
      <c r="AS538" s="14">
        <f t="shared" si="147"/>
        <v>1606033</v>
      </c>
      <c r="AT538" s="14" t="str">
        <f t="shared" si="148"/>
        <v>神器-6-碎片-5-5级</v>
      </c>
      <c r="AU538" s="13" t="s">
        <v>1195</v>
      </c>
      <c r="AV538" s="13">
        <f t="shared" si="149"/>
        <v>5</v>
      </c>
      <c r="AW538" s="14">
        <f t="shared" si="150"/>
        <v>2125</v>
      </c>
      <c r="AX538" s="14" t="str">
        <f t="shared" si="151"/>
        <v>AtkExt</v>
      </c>
      <c r="AY538" s="14">
        <f t="shared" si="152"/>
        <v>300</v>
      </c>
      <c r="AZ538" s="14" t="str">
        <f t="shared" si="153"/>
        <v>HPExt</v>
      </c>
      <c r="BA538" s="14">
        <f t="shared" si="154"/>
        <v>625</v>
      </c>
      <c r="BB538" s="14" t="str">
        <f t="shared" si="155"/>
        <v/>
      </c>
      <c r="BC538" s="14" t="str">
        <f t="shared" si="156"/>
        <v/>
      </c>
      <c r="BD538" s="14" t="str">
        <f t="shared" si="157"/>
        <v/>
      </c>
      <c r="BE538" s="14" t="str">
        <f t="shared" si="158"/>
        <v/>
      </c>
    </row>
    <row r="539" spans="39:57" ht="16.5" x14ac:dyDescent="0.2">
      <c r="AM539" s="13">
        <v>534</v>
      </c>
      <c r="AN539" s="14">
        <f t="shared" si="159"/>
        <v>31</v>
      </c>
      <c r="AO539" s="29">
        <f t="shared" si="143"/>
        <v>0.42000000000000004</v>
      </c>
      <c r="AP539" s="14">
        <f t="shared" si="144"/>
        <v>1</v>
      </c>
      <c r="AQ539" s="14">
        <f t="shared" si="145"/>
        <v>3</v>
      </c>
      <c r="AR539" s="14">
        <f t="shared" si="146"/>
        <v>0</v>
      </c>
      <c r="AS539" s="14">
        <f t="shared" si="147"/>
        <v>1606033</v>
      </c>
      <c r="AT539" s="14" t="str">
        <f t="shared" si="148"/>
        <v>神器-6-碎片-5-6级</v>
      </c>
      <c r="AU539" s="13" t="s">
        <v>1195</v>
      </c>
      <c r="AV539" s="13">
        <f t="shared" si="149"/>
        <v>6</v>
      </c>
      <c r="AW539" s="14">
        <f t="shared" si="150"/>
        <v>2565</v>
      </c>
      <c r="AX539" s="14" t="str">
        <f t="shared" si="151"/>
        <v>AtkExt</v>
      </c>
      <c r="AY539" s="14">
        <f t="shared" si="152"/>
        <v>362</v>
      </c>
      <c r="AZ539" s="14" t="str">
        <f t="shared" si="153"/>
        <v>HPExt</v>
      </c>
      <c r="BA539" s="14">
        <f t="shared" si="154"/>
        <v>755</v>
      </c>
      <c r="BB539" s="14" t="str">
        <f t="shared" si="155"/>
        <v/>
      </c>
      <c r="BC539" s="14" t="str">
        <f t="shared" si="156"/>
        <v/>
      </c>
      <c r="BD539" s="14" t="str">
        <f t="shared" si="157"/>
        <v/>
      </c>
      <c r="BE539" s="14" t="str">
        <f t="shared" si="158"/>
        <v/>
      </c>
    </row>
    <row r="540" spans="39:57" ht="16.5" x14ac:dyDescent="0.2">
      <c r="AM540" s="13">
        <v>535</v>
      </c>
      <c r="AN540" s="14">
        <f t="shared" si="159"/>
        <v>31</v>
      </c>
      <c r="AO540" s="29">
        <f t="shared" si="143"/>
        <v>0.496</v>
      </c>
      <c r="AP540" s="14">
        <f t="shared" si="144"/>
        <v>1</v>
      </c>
      <c r="AQ540" s="14">
        <f t="shared" si="145"/>
        <v>3</v>
      </c>
      <c r="AR540" s="14">
        <f t="shared" si="146"/>
        <v>0</v>
      </c>
      <c r="AS540" s="14">
        <f t="shared" si="147"/>
        <v>1606033</v>
      </c>
      <c r="AT540" s="14" t="str">
        <f t="shared" si="148"/>
        <v>神器-6-碎片-5-7级</v>
      </c>
      <c r="AU540" s="13" t="s">
        <v>1195</v>
      </c>
      <c r="AV540" s="13">
        <f t="shared" si="149"/>
        <v>7</v>
      </c>
      <c r="AW540" s="14">
        <f t="shared" si="150"/>
        <v>3031</v>
      </c>
      <c r="AX540" s="14" t="str">
        <f t="shared" si="151"/>
        <v>AtkExt</v>
      </c>
      <c r="AY540" s="14">
        <f t="shared" si="152"/>
        <v>428</v>
      </c>
      <c r="AZ540" s="14" t="str">
        <f t="shared" si="153"/>
        <v>HPExt</v>
      </c>
      <c r="BA540" s="14">
        <f t="shared" si="154"/>
        <v>891</v>
      </c>
      <c r="BB540" s="14" t="str">
        <f t="shared" si="155"/>
        <v/>
      </c>
      <c r="BC540" s="14" t="str">
        <f t="shared" si="156"/>
        <v/>
      </c>
      <c r="BD540" s="14" t="str">
        <f t="shared" si="157"/>
        <v/>
      </c>
      <c r="BE540" s="14" t="str">
        <f t="shared" si="158"/>
        <v/>
      </c>
    </row>
    <row r="541" spans="39:57" ht="16.5" x14ac:dyDescent="0.2">
      <c r="AM541" s="13">
        <v>536</v>
      </c>
      <c r="AN541" s="14">
        <f t="shared" si="159"/>
        <v>31</v>
      </c>
      <c r="AO541" s="29">
        <f t="shared" si="143"/>
        <v>0.57600000000000007</v>
      </c>
      <c r="AP541" s="14">
        <f t="shared" si="144"/>
        <v>1</v>
      </c>
      <c r="AQ541" s="14">
        <f t="shared" si="145"/>
        <v>3</v>
      </c>
      <c r="AR541" s="14">
        <f t="shared" si="146"/>
        <v>0</v>
      </c>
      <c r="AS541" s="14">
        <f t="shared" si="147"/>
        <v>1606033</v>
      </c>
      <c r="AT541" s="14" t="str">
        <f t="shared" si="148"/>
        <v>神器-6-碎片-5-8级</v>
      </c>
      <c r="AU541" s="13" t="s">
        <v>1195</v>
      </c>
      <c r="AV541" s="13">
        <f t="shared" si="149"/>
        <v>8</v>
      </c>
      <c r="AW541" s="14">
        <f t="shared" si="150"/>
        <v>3520</v>
      </c>
      <c r="AX541" s="14" t="str">
        <f t="shared" si="151"/>
        <v>AtkExt</v>
      </c>
      <c r="AY541" s="14">
        <f t="shared" si="152"/>
        <v>497</v>
      </c>
      <c r="AZ541" s="14" t="str">
        <f t="shared" si="153"/>
        <v>HPExt</v>
      </c>
      <c r="BA541" s="14">
        <f t="shared" si="154"/>
        <v>1035</v>
      </c>
      <c r="BB541" s="14" t="str">
        <f t="shared" si="155"/>
        <v/>
      </c>
      <c r="BC541" s="14" t="str">
        <f t="shared" si="156"/>
        <v/>
      </c>
      <c r="BD541" s="14" t="str">
        <f t="shared" si="157"/>
        <v/>
      </c>
      <c r="BE541" s="14" t="str">
        <f t="shared" si="158"/>
        <v/>
      </c>
    </row>
    <row r="542" spans="39:57" ht="16.5" x14ac:dyDescent="0.2">
      <c r="AM542" s="13">
        <v>537</v>
      </c>
      <c r="AN542" s="14">
        <f t="shared" si="159"/>
        <v>31</v>
      </c>
      <c r="AO542" s="29">
        <f t="shared" si="143"/>
        <v>0.66</v>
      </c>
      <c r="AP542" s="14">
        <f t="shared" si="144"/>
        <v>1</v>
      </c>
      <c r="AQ542" s="14">
        <f t="shared" si="145"/>
        <v>3</v>
      </c>
      <c r="AR542" s="14">
        <f t="shared" si="146"/>
        <v>0</v>
      </c>
      <c r="AS542" s="14">
        <f t="shared" si="147"/>
        <v>1606033</v>
      </c>
      <c r="AT542" s="14" t="str">
        <f t="shared" si="148"/>
        <v>神器-6-碎片-5-9级</v>
      </c>
      <c r="AU542" s="13" t="s">
        <v>1195</v>
      </c>
      <c r="AV542" s="13">
        <f t="shared" si="149"/>
        <v>9</v>
      </c>
      <c r="AW542" s="14">
        <f t="shared" si="150"/>
        <v>4031</v>
      </c>
      <c r="AX542" s="14" t="str">
        <f t="shared" si="151"/>
        <v>AtkExt</v>
      </c>
      <c r="AY542" s="14">
        <f t="shared" si="152"/>
        <v>569</v>
      </c>
      <c r="AZ542" s="14" t="str">
        <f t="shared" si="153"/>
        <v>HPExt</v>
      </c>
      <c r="BA542" s="14">
        <f t="shared" si="154"/>
        <v>1186</v>
      </c>
      <c r="BB542" s="14" t="str">
        <f t="shared" si="155"/>
        <v/>
      </c>
      <c r="BC542" s="14" t="str">
        <f t="shared" si="156"/>
        <v/>
      </c>
      <c r="BD542" s="14" t="str">
        <f t="shared" si="157"/>
        <v/>
      </c>
      <c r="BE542" s="14" t="str">
        <f t="shared" si="158"/>
        <v/>
      </c>
    </row>
    <row r="543" spans="39:57" ht="16.5" x14ac:dyDescent="0.2">
      <c r="AM543" s="13">
        <v>538</v>
      </c>
      <c r="AN543" s="14">
        <f t="shared" si="159"/>
        <v>31</v>
      </c>
      <c r="AO543" s="29">
        <f t="shared" si="143"/>
        <v>0.748</v>
      </c>
      <c r="AP543" s="14">
        <f t="shared" si="144"/>
        <v>1</v>
      </c>
      <c r="AQ543" s="14">
        <f t="shared" si="145"/>
        <v>3</v>
      </c>
      <c r="AR543" s="14">
        <f t="shared" si="146"/>
        <v>0</v>
      </c>
      <c r="AS543" s="14">
        <f t="shared" si="147"/>
        <v>1606033</v>
      </c>
      <c r="AT543" s="14" t="str">
        <f t="shared" si="148"/>
        <v>神器-6-碎片-5-10级</v>
      </c>
      <c r="AU543" s="13" t="s">
        <v>1195</v>
      </c>
      <c r="AV543" s="13">
        <f t="shared" si="149"/>
        <v>10</v>
      </c>
      <c r="AW543" s="14">
        <f t="shared" si="150"/>
        <v>4569</v>
      </c>
      <c r="AX543" s="14" t="str">
        <f t="shared" si="151"/>
        <v>AtkExt</v>
      </c>
      <c r="AY543" s="14">
        <f t="shared" si="152"/>
        <v>645</v>
      </c>
      <c r="AZ543" s="14" t="str">
        <f t="shared" si="153"/>
        <v>HPExt</v>
      </c>
      <c r="BA543" s="14">
        <f t="shared" si="154"/>
        <v>1344</v>
      </c>
      <c r="BB543" s="14" t="str">
        <f t="shared" si="155"/>
        <v/>
      </c>
      <c r="BC543" s="14" t="str">
        <f t="shared" si="156"/>
        <v/>
      </c>
      <c r="BD543" s="14" t="str">
        <f t="shared" si="157"/>
        <v/>
      </c>
      <c r="BE543" s="14" t="str">
        <f t="shared" si="158"/>
        <v/>
      </c>
    </row>
    <row r="544" spans="39:57" ht="16.5" x14ac:dyDescent="0.2">
      <c r="AM544" s="13">
        <v>539</v>
      </c>
      <c r="AN544" s="14">
        <f t="shared" si="159"/>
        <v>31</v>
      </c>
      <c r="AO544" s="29">
        <f t="shared" si="143"/>
        <v>0.84000000000000008</v>
      </c>
      <c r="AP544" s="14">
        <f t="shared" si="144"/>
        <v>1</v>
      </c>
      <c r="AQ544" s="14">
        <f t="shared" si="145"/>
        <v>3</v>
      </c>
      <c r="AR544" s="14">
        <f t="shared" si="146"/>
        <v>0</v>
      </c>
      <c r="AS544" s="14">
        <f t="shared" si="147"/>
        <v>1606033</v>
      </c>
      <c r="AT544" s="14" t="str">
        <f t="shared" si="148"/>
        <v>神器-6-碎片-5-11级</v>
      </c>
      <c r="AU544" s="13" t="s">
        <v>1195</v>
      </c>
      <c r="AV544" s="13">
        <f t="shared" si="149"/>
        <v>11</v>
      </c>
      <c r="AW544" s="14">
        <f t="shared" si="150"/>
        <v>5134</v>
      </c>
      <c r="AX544" s="14" t="str">
        <f t="shared" si="151"/>
        <v>AtkExt</v>
      </c>
      <c r="AY544" s="14">
        <f t="shared" si="152"/>
        <v>725</v>
      </c>
      <c r="AZ544" s="14" t="str">
        <f t="shared" si="153"/>
        <v>HPExt</v>
      </c>
      <c r="BA544" s="14">
        <f t="shared" si="154"/>
        <v>1509</v>
      </c>
      <c r="BB544" s="14" t="str">
        <f t="shared" si="155"/>
        <v/>
      </c>
      <c r="BC544" s="14" t="str">
        <f t="shared" si="156"/>
        <v/>
      </c>
      <c r="BD544" s="14" t="str">
        <f t="shared" si="157"/>
        <v/>
      </c>
      <c r="BE544" s="14" t="str">
        <f t="shared" si="158"/>
        <v/>
      </c>
    </row>
    <row r="545" spans="39:57" ht="16.5" x14ac:dyDescent="0.2">
      <c r="AM545" s="13">
        <v>540</v>
      </c>
      <c r="AN545" s="14">
        <f t="shared" si="159"/>
        <v>31</v>
      </c>
      <c r="AO545" s="29">
        <f t="shared" si="143"/>
        <v>0.93600000000000017</v>
      </c>
      <c r="AP545" s="14">
        <f t="shared" si="144"/>
        <v>1</v>
      </c>
      <c r="AQ545" s="14">
        <f t="shared" si="145"/>
        <v>3</v>
      </c>
      <c r="AR545" s="14">
        <f t="shared" si="146"/>
        <v>0</v>
      </c>
      <c r="AS545" s="14">
        <f t="shared" si="147"/>
        <v>1606033</v>
      </c>
      <c r="AT545" s="14" t="str">
        <f t="shared" si="148"/>
        <v>神器-6-碎片-5-12级</v>
      </c>
      <c r="AU545" s="13" t="s">
        <v>1195</v>
      </c>
      <c r="AV545" s="13">
        <f t="shared" si="149"/>
        <v>12</v>
      </c>
      <c r="AW545" s="14">
        <f t="shared" si="150"/>
        <v>5716</v>
      </c>
      <c r="AX545" s="14" t="str">
        <f t="shared" si="151"/>
        <v>AtkExt</v>
      </c>
      <c r="AY545" s="14">
        <f t="shared" si="152"/>
        <v>807</v>
      </c>
      <c r="AZ545" s="14" t="str">
        <f t="shared" si="153"/>
        <v>HPExt</v>
      </c>
      <c r="BA545" s="14">
        <f t="shared" si="154"/>
        <v>1681</v>
      </c>
      <c r="BB545" s="14" t="str">
        <f t="shared" si="155"/>
        <v/>
      </c>
      <c r="BC545" s="14" t="str">
        <f t="shared" si="156"/>
        <v/>
      </c>
      <c r="BD545" s="14" t="str">
        <f t="shared" si="157"/>
        <v/>
      </c>
      <c r="BE545" s="14" t="str">
        <f t="shared" si="158"/>
        <v/>
      </c>
    </row>
    <row r="546" spans="39:57" ht="16.5" x14ac:dyDescent="0.2">
      <c r="AM546" s="13">
        <v>541</v>
      </c>
      <c r="AN546" s="14">
        <f t="shared" si="159"/>
        <v>31</v>
      </c>
      <c r="AO546" s="29">
        <f t="shared" si="143"/>
        <v>1.036</v>
      </c>
      <c r="AP546" s="14">
        <f t="shared" si="144"/>
        <v>1</v>
      </c>
      <c r="AQ546" s="14">
        <f t="shared" si="145"/>
        <v>3</v>
      </c>
      <c r="AR546" s="14">
        <f t="shared" si="146"/>
        <v>0</v>
      </c>
      <c r="AS546" s="14">
        <f t="shared" si="147"/>
        <v>1606033</v>
      </c>
      <c r="AT546" s="14" t="str">
        <f t="shared" si="148"/>
        <v>神器-6-碎片-5-13级</v>
      </c>
      <c r="AU546" s="13" t="s">
        <v>1195</v>
      </c>
      <c r="AV546" s="13">
        <f t="shared" si="149"/>
        <v>13</v>
      </c>
      <c r="AW546" s="14">
        <f t="shared" si="150"/>
        <v>6331</v>
      </c>
      <c r="AX546" s="14" t="str">
        <f t="shared" si="151"/>
        <v>AtkExt</v>
      </c>
      <c r="AY546" s="14">
        <f t="shared" si="152"/>
        <v>894</v>
      </c>
      <c r="AZ546" s="14" t="str">
        <f t="shared" si="153"/>
        <v>HPExt</v>
      </c>
      <c r="BA546" s="14">
        <f t="shared" si="154"/>
        <v>1861</v>
      </c>
      <c r="BB546" s="14" t="str">
        <f t="shared" si="155"/>
        <v/>
      </c>
      <c r="BC546" s="14" t="str">
        <f t="shared" si="156"/>
        <v/>
      </c>
      <c r="BD546" s="14" t="str">
        <f t="shared" si="157"/>
        <v/>
      </c>
      <c r="BE546" s="14" t="str">
        <f t="shared" si="158"/>
        <v/>
      </c>
    </row>
    <row r="547" spans="39:57" ht="16.5" x14ac:dyDescent="0.2">
      <c r="AM547" s="13">
        <v>542</v>
      </c>
      <c r="AN547" s="14">
        <f t="shared" si="159"/>
        <v>31</v>
      </c>
      <c r="AO547" s="29">
        <f t="shared" si="143"/>
        <v>1.1400000000000001</v>
      </c>
      <c r="AP547" s="14">
        <f t="shared" si="144"/>
        <v>1</v>
      </c>
      <c r="AQ547" s="14">
        <f t="shared" si="145"/>
        <v>3</v>
      </c>
      <c r="AR547" s="14">
        <f t="shared" si="146"/>
        <v>0</v>
      </c>
      <c r="AS547" s="14">
        <f t="shared" si="147"/>
        <v>1606033</v>
      </c>
      <c r="AT547" s="14" t="str">
        <f t="shared" si="148"/>
        <v>神器-6-碎片-5-14级</v>
      </c>
      <c r="AU547" s="13" t="s">
        <v>1195</v>
      </c>
      <c r="AV547" s="13">
        <f t="shared" si="149"/>
        <v>14</v>
      </c>
      <c r="AW547" s="14">
        <f t="shared" si="150"/>
        <v>6963</v>
      </c>
      <c r="AX547" s="14" t="str">
        <f t="shared" si="151"/>
        <v>AtkExt</v>
      </c>
      <c r="AY547" s="14">
        <f t="shared" si="152"/>
        <v>983</v>
      </c>
      <c r="AZ547" s="14" t="str">
        <f t="shared" si="153"/>
        <v>HPExt</v>
      </c>
      <c r="BA547" s="14">
        <f t="shared" si="154"/>
        <v>2048</v>
      </c>
      <c r="BB547" s="14" t="str">
        <f t="shared" si="155"/>
        <v/>
      </c>
      <c r="BC547" s="14" t="str">
        <f t="shared" si="156"/>
        <v/>
      </c>
      <c r="BD547" s="14" t="str">
        <f t="shared" si="157"/>
        <v/>
      </c>
      <c r="BE547" s="14" t="str">
        <f t="shared" si="158"/>
        <v/>
      </c>
    </row>
    <row r="548" spans="39:57" ht="16.5" x14ac:dyDescent="0.2">
      <c r="AM548" s="13">
        <v>543</v>
      </c>
      <c r="AN548" s="14">
        <f t="shared" si="159"/>
        <v>31</v>
      </c>
      <c r="AO548" s="29">
        <f t="shared" si="143"/>
        <v>1.248</v>
      </c>
      <c r="AP548" s="14">
        <f t="shared" si="144"/>
        <v>1</v>
      </c>
      <c r="AQ548" s="14">
        <f t="shared" si="145"/>
        <v>3</v>
      </c>
      <c r="AR548" s="14">
        <f t="shared" si="146"/>
        <v>0</v>
      </c>
      <c r="AS548" s="14">
        <f t="shared" si="147"/>
        <v>1606033</v>
      </c>
      <c r="AT548" s="14" t="str">
        <f t="shared" si="148"/>
        <v>神器-6-碎片-5-15级</v>
      </c>
      <c r="AU548" s="13" t="s">
        <v>1195</v>
      </c>
      <c r="AV548" s="13">
        <f t="shared" si="149"/>
        <v>15</v>
      </c>
      <c r="AW548" s="14">
        <f t="shared" si="150"/>
        <v>7627</v>
      </c>
      <c r="AX548" s="14" t="str">
        <f t="shared" si="151"/>
        <v>AtkExt</v>
      </c>
      <c r="AY548" s="14">
        <f t="shared" si="152"/>
        <v>1077</v>
      </c>
      <c r="AZ548" s="14" t="str">
        <f t="shared" si="153"/>
        <v>HPExt</v>
      </c>
      <c r="BA548" s="14">
        <f t="shared" si="154"/>
        <v>2242</v>
      </c>
      <c r="BB548" s="14" t="str">
        <f t="shared" si="155"/>
        <v/>
      </c>
      <c r="BC548" s="14" t="str">
        <f t="shared" si="156"/>
        <v/>
      </c>
      <c r="BD548" s="14" t="str">
        <f t="shared" si="157"/>
        <v/>
      </c>
      <c r="BE548" s="14" t="str">
        <f t="shared" si="158"/>
        <v/>
      </c>
    </row>
    <row r="549" spans="39:57" ht="16.5" x14ac:dyDescent="0.2">
      <c r="AM549" s="13">
        <v>544</v>
      </c>
      <c r="AN549" s="14">
        <f t="shared" si="159"/>
        <v>31</v>
      </c>
      <c r="AO549" s="29">
        <f t="shared" si="143"/>
        <v>1.36</v>
      </c>
      <c r="AP549" s="14">
        <f t="shared" si="144"/>
        <v>1</v>
      </c>
      <c r="AQ549" s="14">
        <f t="shared" si="145"/>
        <v>3</v>
      </c>
      <c r="AR549" s="14">
        <f t="shared" si="146"/>
        <v>0</v>
      </c>
      <c r="AS549" s="14">
        <f t="shared" si="147"/>
        <v>1606033</v>
      </c>
      <c r="AT549" s="14" t="str">
        <f t="shared" si="148"/>
        <v>神器-6-碎片-5-16级</v>
      </c>
      <c r="AU549" s="13" t="s">
        <v>1195</v>
      </c>
      <c r="AV549" s="13">
        <f t="shared" si="149"/>
        <v>16</v>
      </c>
      <c r="AW549" s="14">
        <f t="shared" si="150"/>
        <v>8308</v>
      </c>
      <c r="AX549" s="14" t="str">
        <f t="shared" si="151"/>
        <v>AtkExt</v>
      </c>
      <c r="AY549" s="14">
        <f t="shared" si="152"/>
        <v>1173</v>
      </c>
      <c r="AZ549" s="14" t="str">
        <f t="shared" si="153"/>
        <v>HPExt</v>
      </c>
      <c r="BA549" s="14">
        <f t="shared" si="154"/>
        <v>2443</v>
      </c>
      <c r="BB549" s="14" t="str">
        <f t="shared" si="155"/>
        <v/>
      </c>
      <c r="BC549" s="14" t="str">
        <f t="shared" si="156"/>
        <v/>
      </c>
      <c r="BD549" s="14" t="str">
        <f t="shared" si="157"/>
        <v/>
      </c>
      <c r="BE549" s="14" t="str">
        <f t="shared" si="158"/>
        <v/>
      </c>
    </row>
    <row r="550" spans="39:57" ht="16.5" x14ac:dyDescent="0.2">
      <c r="AM550" s="13">
        <v>545</v>
      </c>
      <c r="AN550" s="14">
        <f t="shared" si="159"/>
        <v>31</v>
      </c>
      <c r="AO550" s="29">
        <f t="shared" si="143"/>
        <v>1.476</v>
      </c>
      <c r="AP550" s="14">
        <f t="shared" si="144"/>
        <v>1</v>
      </c>
      <c r="AQ550" s="14">
        <f t="shared" si="145"/>
        <v>3</v>
      </c>
      <c r="AR550" s="14">
        <f t="shared" si="146"/>
        <v>0</v>
      </c>
      <c r="AS550" s="14">
        <f t="shared" si="147"/>
        <v>1606033</v>
      </c>
      <c r="AT550" s="14" t="str">
        <f t="shared" si="148"/>
        <v>神器-6-碎片-5-17级</v>
      </c>
      <c r="AU550" s="13" t="s">
        <v>1195</v>
      </c>
      <c r="AV550" s="13">
        <f t="shared" si="149"/>
        <v>17</v>
      </c>
      <c r="AW550" s="14">
        <f t="shared" si="150"/>
        <v>9017</v>
      </c>
      <c r="AX550" s="14" t="str">
        <f t="shared" si="151"/>
        <v>AtkExt</v>
      </c>
      <c r="AY550" s="14">
        <f t="shared" si="152"/>
        <v>1273</v>
      </c>
      <c r="AZ550" s="14" t="str">
        <f t="shared" si="153"/>
        <v>HPExt</v>
      </c>
      <c r="BA550" s="14">
        <f t="shared" si="154"/>
        <v>2652</v>
      </c>
      <c r="BB550" s="14" t="str">
        <f t="shared" si="155"/>
        <v/>
      </c>
      <c r="BC550" s="14" t="str">
        <f t="shared" si="156"/>
        <v/>
      </c>
      <c r="BD550" s="14" t="str">
        <f t="shared" si="157"/>
        <v/>
      </c>
      <c r="BE550" s="14" t="str">
        <f t="shared" si="158"/>
        <v/>
      </c>
    </row>
    <row r="551" spans="39:57" ht="16.5" x14ac:dyDescent="0.2">
      <c r="AM551" s="13">
        <v>546</v>
      </c>
      <c r="AN551" s="14">
        <f t="shared" si="159"/>
        <v>31</v>
      </c>
      <c r="AO551" s="29">
        <f t="shared" si="143"/>
        <v>1.5960000000000001</v>
      </c>
      <c r="AP551" s="14">
        <f t="shared" si="144"/>
        <v>1</v>
      </c>
      <c r="AQ551" s="14">
        <f t="shared" si="145"/>
        <v>3</v>
      </c>
      <c r="AR551" s="14">
        <f t="shared" si="146"/>
        <v>0</v>
      </c>
      <c r="AS551" s="14">
        <f t="shared" si="147"/>
        <v>1606033</v>
      </c>
      <c r="AT551" s="14" t="str">
        <f t="shared" si="148"/>
        <v>神器-6-碎片-5-18级</v>
      </c>
      <c r="AU551" s="13" t="s">
        <v>1195</v>
      </c>
      <c r="AV551" s="13">
        <f t="shared" si="149"/>
        <v>18</v>
      </c>
      <c r="AW551" s="14">
        <f t="shared" si="150"/>
        <v>9752</v>
      </c>
      <c r="AX551" s="14" t="str">
        <f t="shared" si="151"/>
        <v>AtkExt</v>
      </c>
      <c r="AY551" s="14">
        <f t="shared" si="152"/>
        <v>1377</v>
      </c>
      <c r="AZ551" s="14" t="str">
        <f t="shared" si="153"/>
        <v>HPExt</v>
      </c>
      <c r="BA551" s="14">
        <f t="shared" si="154"/>
        <v>2867</v>
      </c>
      <c r="BB551" s="14" t="str">
        <f t="shared" si="155"/>
        <v/>
      </c>
      <c r="BC551" s="14" t="str">
        <f t="shared" si="156"/>
        <v/>
      </c>
      <c r="BD551" s="14" t="str">
        <f t="shared" si="157"/>
        <v/>
      </c>
      <c r="BE551" s="14" t="str">
        <f t="shared" si="158"/>
        <v/>
      </c>
    </row>
    <row r="552" spans="39:57" ht="16.5" x14ac:dyDescent="0.2">
      <c r="AM552" s="13">
        <v>547</v>
      </c>
      <c r="AN552" s="14">
        <f t="shared" si="159"/>
        <v>31</v>
      </c>
      <c r="AO552" s="29">
        <f t="shared" si="143"/>
        <v>1.7200000000000002</v>
      </c>
      <c r="AP552" s="14">
        <f t="shared" si="144"/>
        <v>1</v>
      </c>
      <c r="AQ552" s="14">
        <f t="shared" si="145"/>
        <v>3</v>
      </c>
      <c r="AR552" s="14">
        <f t="shared" si="146"/>
        <v>0</v>
      </c>
      <c r="AS552" s="14">
        <f t="shared" si="147"/>
        <v>1606033</v>
      </c>
      <c r="AT552" s="14" t="str">
        <f t="shared" si="148"/>
        <v>神器-6-碎片-5-19级</v>
      </c>
      <c r="AU552" s="13" t="s">
        <v>1195</v>
      </c>
      <c r="AV552" s="13">
        <f t="shared" si="149"/>
        <v>19</v>
      </c>
      <c r="AW552" s="14">
        <f t="shared" si="150"/>
        <v>10510</v>
      </c>
      <c r="AX552" s="14" t="str">
        <f t="shared" si="151"/>
        <v>AtkExt</v>
      </c>
      <c r="AY552" s="14">
        <f t="shared" si="152"/>
        <v>1484</v>
      </c>
      <c r="AZ552" s="14" t="str">
        <f t="shared" si="153"/>
        <v>HPExt</v>
      </c>
      <c r="BA552" s="14">
        <f t="shared" si="154"/>
        <v>3090</v>
      </c>
      <c r="BB552" s="14" t="str">
        <f t="shared" si="155"/>
        <v/>
      </c>
      <c r="BC552" s="14" t="str">
        <f t="shared" si="156"/>
        <v/>
      </c>
      <c r="BD552" s="14" t="str">
        <f t="shared" si="157"/>
        <v/>
      </c>
      <c r="BE552" s="14" t="str">
        <f t="shared" si="158"/>
        <v/>
      </c>
    </row>
    <row r="553" spans="39:57" ht="16.5" x14ac:dyDescent="0.2">
      <c r="AM553" s="13">
        <v>548</v>
      </c>
      <c r="AN553" s="14">
        <f t="shared" si="159"/>
        <v>31</v>
      </c>
      <c r="AO553" s="29">
        <f t="shared" si="143"/>
        <v>1.8480000000000001</v>
      </c>
      <c r="AP553" s="14">
        <f t="shared" si="144"/>
        <v>1</v>
      </c>
      <c r="AQ553" s="14">
        <f t="shared" si="145"/>
        <v>3</v>
      </c>
      <c r="AR553" s="14">
        <f t="shared" si="146"/>
        <v>0</v>
      </c>
      <c r="AS553" s="14">
        <f t="shared" si="147"/>
        <v>1606033</v>
      </c>
      <c r="AT553" s="14" t="str">
        <f t="shared" si="148"/>
        <v>神器-6-碎片-5-20级</v>
      </c>
      <c r="AU553" s="13" t="s">
        <v>1195</v>
      </c>
      <c r="AV553" s="13">
        <f t="shared" si="149"/>
        <v>20</v>
      </c>
      <c r="AW553" s="14">
        <f t="shared" si="150"/>
        <v>11290</v>
      </c>
      <c r="AX553" s="14" t="str">
        <f t="shared" si="151"/>
        <v>AtkExt</v>
      </c>
      <c r="AY553" s="14">
        <f t="shared" si="152"/>
        <v>1594</v>
      </c>
      <c r="AZ553" s="14" t="str">
        <f t="shared" si="153"/>
        <v>HPExt</v>
      </c>
      <c r="BA553" s="14">
        <f t="shared" si="154"/>
        <v>3320</v>
      </c>
      <c r="BB553" s="14" t="str">
        <f t="shared" si="155"/>
        <v/>
      </c>
      <c r="BC553" s="14" t="str">
        <f t="shared" si="156"/>
        <v/>
      </c>
      <c r="BD553" s="14" t="str">
        <f t="shared" si="157"/>
        <v/>
      </c>
      <c r="BE553" s="14" t="str">
        <f t="shared" si="158"/>
        <v/>
      </c>
    </row>
    <row r="554" spans="39:57" ht="16.5" x14ac:dyDescent="0.2">
      <c r="AM554" s="13">
        <v>549</v>
      </c>
      <c r="AN554" s="14">
        <f t="shared" si="159"/>
        <v>31</v>
      </c>
      <c r="AO554" s="29">
        <f t="shared" si="143"/>
        <v>1.98</v>
      </c>
      <c r="AP554" s="14">
        <f t="shared" si="144"/>
        <v>1</v>
      </c>
      <c r="AQ554" s="14">
        <f t="shared" si="145"/>
        <v>3</v>
      </c>
      <c r="AR554" s="14">
        <f t="shared" si="146"/>
        <v>0</v>
      </c>
      <c r="AS554" s="14">
        <f t="shared" si="147"/>
        <v>1606033</v>
      </c>
      <c r="AT554" s="14" t="str">
        <f t="shared" si="148"/>
        <v>神器-6-碎片-5-21级</v>
      </c>
      <c r="AU554" s="13" t="s">
        <v>1195</v>
      </c>
      <c r="AV554" s="13">
        <f t="shared" si="149"/>
        <v>21</v>
      </c>
      <c r="AW554" s="14">
        <f t="shared" si="150"/>
        <v>12097</v>
      </c>
      <c r="AX554" s="14" t="str">
        <f t="shared" si="151"/>
        <v>AtkExt</v>
      </c>
      <c r="AY554" s="14">
        <f t="shared" si="152"/>
        <v>1708</v>
      </c>
      <c r="AZ554" s="14" t="str">
        <f t="shared" si="153"/>
        <v>HPExt</v>
      </c>
      <c r="BA554" s="14">
        <f t="shared" si="154"/>
        <v>3557</v>
      </c>
      <c r="BB554" s="14" t="str">
        <f t="shared" si="155"/>
        <v/>
      </c>
      <c r="BC554" s="14" t="str">
        <f t="shared" si="156"/>
        <v/>
      </c>
      <c r="BD554" s="14" t="str">
        <f t="shared" si="157"/>
        <v/>
      </c>
      <c r="BE554" s="14" t="str">
        <f t="shared" si="158"/>
        <v/>
      </c>
    </row>
    <row r="555" spans="39:57" ht="16.5" x14ac:dyDescent="0.2">
      <c r="AM555" s="13">
        <v>550</v>
      </c>
      <c r="AN555" s="14">
        <f t="shared" si="159"/>
        <v>32</v>
      </c>
      <c r="AO555" s="29">
        <f t="shared" si="143"/>
        <v>0.1</v>
      </c>
      <c r="AP555" s="14">
        <f t="shared" si="144"/>
        <v>1</v>
      </c>
      <c r="AQ555" s="14">
        <f t="shared" si="145"/>
        <v>2</v>
      </c>
      <c r="AR555" s="14">
        <f t="shared" si="146"/>
        <v>3</v>
      </c>
      <c r="AS555" s="14">
        <f t="shared" si="147"/>
        <v>1606034</v>
      </c>
      <c r="AT555" s="14" t="str">
        <f t="shared" si="148"/>
        <v>神器-6-碎片-6-1级</v>
      </c>
      <c r="AU555" s="13" t="s">
        <v>1195</v>
      </c>
      <c r="AV555" s="13">
        <f t="shared" si="149"/>
        <v>1</v>
      </c>
      <c r="AW555" s="14">
        <f t="shared" si="150"/>
        <v>1410</v>
      </c>
      <c r="AX555" s="14" t="str">
        <f t="shared" si="151"/>
        <v>AtkExt</v>
      </c>
      <c r="AY555" s="14">
        <f t="shared" si="152"/>
        <v>86</v>
      </c>
      <c r="AZ555" s="14" t="str">
        <f t="shared" si="153"/>
        <v>DefExt</v>
      </c>
      <c r="BA555" s="14">
        <f t="shared" si="154"/>
        <v>89</v>
      </c>
      <c r="BB555" s="14" t="str">
        <f t="shared" si="155"/>
        <v>HPExt</v>
      </c>
      <c r="BC555" s="14">
        <f t="shared" si="156"/>
        <v>90</v>
      </c>
      <c r="BD555" s="14" t="str">
        <f t="shared" si="157"/>
        <v/>
      </c>
      <c r="BE555" s="14" t="str">
        <f t="shared" si="158"/>
        <v/>
      </c>
    </row>
    <row r="556" spans="39:57" ht="16.5" x14ac:dyDescent="0.2">
      <c r="AM556" s="13">
        <v>551</v>
      </c>
      <c r="AN556" s="14">
        <f t="shared" si="159"/>
        <v>32</v>
      </c>
      <c r="AO556" s="29">
        <f t="shared" si="143"/>
        <v>0.15600000000000003</v>
      </c>
      <c r="AP556" s="14">
        <f t="shared" si="144"/>
        <v>1</v>
      </c>
      <c r="AQ556" s="14">
        <f t="shared" si="145"/>
        <v>2</v>
      </c>
      <c r="AR556" s="14">
        <f t="shared" si="146"/>
        <v>3</v>
      </c>
      <c r="AS556" s="14">
        <f t="shared" si="147"/>
        <v>1606034</v>
      </c>
      <c r="AT556" s="14" t="str">
        <f t="shared" si="148"/>
        <v>神器-6-碎片-6-2级</v>
      </c>
      <c r="AU556" s="13" t="s">
        <v>1195</v>
      </c>
      <c r="AV556" s="13">
        <f t="shared" si="149"/>
        <v>2</v>
      </c>
      <c r="AW556" s="14">
        <f t="shared" si="150"/>
        <v>2195</v>
      </c>
      <c r="AX556" s="14" t="str">
        <f t="shared" si="151"/>
        <v>AtkExt</v>
      </c>
      <c r="AY556" s="14">
        <f t="shared" si="152"/>
        <v>135</v>
      </c>
      <c r="AZ556" s="14" t="str">
        <f t="shared" si="153"/>
        <v>DefExt</v>
      </c>
      <c r="BA556" s="14">
        <f t="shared" si="154"/>
        <v>138</v>
      </c>
      <c r="BB556" s="14" t="str">
        <f t="shared" si="155"/>
        <v>HPExt</v>
      </c>
      <c r="BC556" s="14">
        <f t="shared" si="156"/>
        <v>140</v>
      </c>
      <c r="BD556" s="14" t="str">
        <f t="shared" si="157"/>
        <v/>
      </c>
      <c r="BE556" s="14" t="str">
        <f t="shared" si="158"/>
        <v/>
      </c>
    </row>
    <row r="557" spans="39:57" ht="16.5" x14ac:dyDescent="0.2">
      <c r="AM557" s="13">
        <v>552</v>
      </c>
      <c r="AN557" s="14">
        <f t="shared" si="159"/>
        <v>32</v>
      </c>
      <c r="AO557" s="29">
        <f t="shared" si="143"/>
        <v>0.21600000000000003</v>
      </c>
      <c r="AP557" s="14">
        <f t="shared" si="144"/>
        <v>1</v>
      </c>
      <c r="AQ557" s="14">
        <f t="shared" si="145"/>
        <v>2</v>
      </c>
      <c r="AR557" s="14">
        <f t="shared" si="146"/>
        <v>3</v>
      </c>
      <c r="AS557" s="14">
        <f t="shared" si="147"/>
        <v>1606034</v>
      </c>
      <c r="AT557" s="14" t="str">
        <f t="shared" si="148"/>
        <v>神器-6-碎片-6-3级</v>
      </c>
      <c r="AU557" s="13" t="s">
        <v>1195</v>
      </c>
      <c r="AV557" s="13">
        <f t="shared" si="149"/>
        <v>3</v>
      </c>
      <c r="AW557" s="14">
        <f t="shared" si="150"/>
        <v>3044</v>
      </c>
      <c r="AX557" s="14" t="str">
        <f t="shared" si="151"/>
        <v>AtkExt</v>
      </c>
      <c r="AY557" s="14">
        <f t="shared" si="152"/>
        <v>186</v>
      </c>
      <c r="AZ557" s="14" t="str">
        <f t="shared" si="153"/>
        <v>DefExt</v>
      </c>
      <c r="BA557" s="14">
        <f t="shared" si="154"/>
        <v>192</v>
      </c>
      <c r="BB557" s="14" t="str">
        <f t="shared" si="155"/>
        <v>HPExt</v>
      </c>
      <c r="BC557" s="14">
        <f t="shared" si="156"/>
        <v>194</v>
      </c>
      <c r="BD557" s="14" t="str">
        <f t="shared" si="157"/>
        <v/>
      </c>
      <c r="BE557" s="14" t="str">
        <f t="shared" si="158"/>
        <v/>
      </c>
    </row>
    <row r="558" spans="39:57" ht="16.5" x14ac:dyDescent="0.2">
      <c r="AM558" s="13">
        <v>553</v>
      </c>
      <c r="AN558" s="14">
        <f t="shared" si="159"/>
        <v>32</v>
      </c>
      <c r="AO558" s="29">
        <f t="shared" si="143"/>
        <v>0.28000000000000003</v>
      </c>
      <c r="AP558" s="14">
        <f t="shared" si="144"/>
        <v>1</v>
      </c>
      <c r="AQ558" s="14">
        <f t="shared" si="145"/>
        <v>2</v>
      </c>
      <c r="AR558" s="14">
        <f t="shared" si="146"/>
        <v>3</v>
      </c>
      <c r="AS558" s="14">
        <f t="shared" si="147"/>
        <v>1606034</v>
      </c>
      <c r="AT558" s="14" t="str">
        <f t="shared" si="148"/>
        <v>神器-6-碎片-6-4级</v>
      </c>
      <c r="AU558" s="13" t="s">
        <v>1195</v>
      </c>
      <c r="AV558" s="13">
        <f t="shared" si="149"/>
        <v>4</v>
      </c>
      <c r="AW558" s="14">
        <f t="shared" si="150"/>
        <v>3942</v>
      </c>
      <c r="AX558" s="14" t="str">
        <f t="shared" si="151"/>
        <v>AtkExt</v>
      </c>
      <c r="AY558" s="14">
        <f t="shared" si="152"/>
        <v>242</v>
      </c>
      <c r="AZ558" s="14" t="str">
        <f t="shared" si="153"/>
        <v>DefExt</v>
      </c>
      <c r="BA558" s="14">
        <f t="shared" si="154"/>
        <v>248</v>
      </c>
      <c r="BB558" s="14" t="str">
        <f t="shared" si="155"/>
        <v>HPExt</v>
      </c>
      <c r="BC558" s="14">
        <f t="shared" si="156"/>
        <v>252</v>
      </c>
      <c r="BD558" s="14" t="str">
        <f t="shared" si="157"/>
        <v/>
      </c>
      <c r="BE558" s="14" t="str">
        <f t="shared" si="158"/>
        <v/>
      </c>
    </row>
    <row r="559" spans="39:57" ht="16.5" x14ac:dyDescent="0.2">
      <c r="AM559" s="13">
        <v>554</v>
      </c>
      <c r="AN559" s="14">
        <f t="shared" si="159"/>
        <v>32</v>
      </c>
      <c r="AO559" s="29">
        <f t="shared" si="143"/>
        <v>0.34799999999999998</v>
      </c>
      <c r="AP559" s="14">
        <f t="shared" si="144"/>
        <v>1</v>
      </c>
      <c r="AQ559" s="14">
        <f t="shared" si="145"/>
        <v>2</v>
      </c>
      <c r="AR559" s="14">
        <f t="shared" si="146"/>
        <v>3</v>
      </c>
      <c r="AS559" s="14">
        <f t="shared" si="147"/>
        <v>1606034</v>
      </c>
      <c r="AT559" s="14" t="str">
        <f t="shared" si="148"/>
        <v>神器-6-碎片-6-5级</v>
      </c>
      <c r="AU559" s="13" t="s">
        <v>1195</v>
      </c>
      <c r="AV559" s="13">
        <f t="shared" si="149"/>
        <v>5</v>
      </c>
      <c r="AW559" s="14">
        <f t="shared" si="150"/>
        <v>4903</v>
      </c>
      <c r="AX559" s="14" t="str">
        <f t="shared" si="151"/>
        <v>AtkExt</v>
      </c>
      <c r="AY559" s="14">
        <f t="shared" si="152"/>
        <v>300</v>
      </c>
      <c r="AZ559" s="14" t="str">
        <f t="shared" si="153"/>
        <v>DefExt</v>
      </c>
      <c r="BA559" s="14">
        <f t="shared" si="154"/>
        <v>309</v>
      </c>
      <c r="BB559" s="14" t="str">
        <f t="shared" si="155"/>
        <v>HPExt</v>
      </c>
      <c r="BC559" s="14">
        <f t="shared" si="156"/>
        <v>313</v>
      </c>
      <c r="BD559" s="14" t="str">
        <f t="shared" si="157"/>
        <v/>
      </c>
      <c r="BE559" s="14" t="str">
        <f t="shared" si="158"/>
        <v/>
      </c>
    </row>
    <row r="560" spans="39:57" ht="16.5" x14ac:dyDescent="0.2">
      <c r="AM560" s="13">
        <v>555</v>
      </c>
      <c r="AN560" s="14">
        <f t="shared" si="159"/>
        <v>32</v>
      </c>
      <c r="AO560" s="29">
        <f t="shared" si="143"/>
        <v>0.42000000000000004</v>
      </c>
      <c r="AP560" s="14">
        <f t="shared" si="144"/>
        <v>1</v>
      </c>
      <c r="AQ560" s="14">
        <f t="shared" si="145"/>
        <v>2</v>
      </c>
      <c r="AR560" s="14">
        <f t="shared" si="146"/>
        <v>3</v>
      </c>
      <c r="AS560" s="14">
        <f t="shared" si="147"/>
        <v>1606034</v>
      </c>
      <c r="AT560" s="14" t="str">
        <f t="shared" si="148"/>
        <v>神器-6-碎片-6-6级</v>
      </c>
      <c r="AU560" s="13" t="s">
        <v>1195</v>
      </c>
      <c r="AV560" s="13">
        <f t="shared" si="149"/>
        <v>6</v>
      </c>
      <c r="AW560" s="14">
        <f t="shared" si="150"/>
        <v>5917</v>
      </c>
      <c r="AX560" s="14" t="str">
        <f t="shared" si="151"/>
        <v>AtkExt</v>
      </c>
      <c r="AY560" s="14">
        <f t="shared" si="152"/>
        <v>362</v>
      </c>
      <c r="AZ560" s="14" t="str">
        <f t="shared" si="153"/>
        <v>DefExt</v>
      </c>
      <c r="BA560" s="14">
        <f t="shared" si="154"/>
        <v>373</v>
      </c>
      <c r="BB560" s="14" t="str">
        <f t="shared" si="155"/>
        <v>HPExt</v>
      </c>
      <c r="BC560" s="14">
        <f t="shared" si="156"/>
        <v>377</v>
      </c>
      <c r="BD560" s="14" t="str">
        <f t="shared" si="157"/>
        <v/>
      </c>
      <c r="BE560" s="14" t="str">
        <f t="shared" si="158"/>
        <v/>
      </c>
    </row>
    <row r="561" spans="39:57" ht="16.5" x14ac:dyDescent="0.2">
      <c r="AM561" s="13">
        <v>556</v>
      </c>
      <c r="AN561" s="14">
        <f t="shared" si="159"/>
        <v>32</v>
      </c>
      <c r="AO561" s="29">
        <f t="shared" si="143"/>
        <v>0.496</v>
      </c>
      <c r="AP561" s="14">
        <f t="shared" si="144"/>
        <v>1</v>
      </c>
      <c r="AQ561" s="14">
        <f t="shared" si="145"/>
        <v>2</v>
      </c>
      <c r="AR561" s="14">
        <f t="shared" si="146"/>
        <v>3</v>
      </c>
      <c r="AS561" s="14">
        <f t="shared" si="147"/>
        <v>1606034</v>
      </c>
      <c r="AT561" s="14" t="str">
        <f t="shared" si="148"/>
        <v>神器-6-碎片-6-7级</v>
      </c>
      <c r="AU561" s="13" t="s">
        <v>1195</v>
      </c>
      <c r="AV561" s="13">
        <f t="shared" si="149"/>
        <v>7</v>
      </c>
      <c r="AW561" s="14">
        <f t="shared" si="150"/>
        <v>6986</v>
      </c>
      <c r="AX561" s="14" t="str">
        <f t="shared" si="151"/>
        <v>AtkExt</v>
      </c>
      <c r="AY561" s="14">
        <f t="shared" si="152"/>
        <v>428</v>
      </c>
      <c r="AZ561" s="14" t="str">
        <f t="shared" si="153"/>
        <v>DefExt</v>
      </c>
      <c r="BA561" s="14">
        <f t="shared" si="154"/>
        <v>440</v>
      </c>
      <c r="BB561" s="14" t="str">
        <f t="shared" si="155"/>
        <v>HPExt</v>
      </c>
      <c r="BC561" s="14">
        <f t="shared" si="156"/>
        <v>446</v>
      </c>
      <c r="BD561" s="14" t="str">
        <f t="shared" si="157"/>
        <v/>
      </c>
      <c r="BE561" s="14" t="str">
        <f t="shared" si="158"/>
        <v/>
      </c>
    </row>
    <row r="562" spans="39:57" ht="16.5" x14ac:dyDescent="0.2">
      <c r="AM562" s="13">
        <v>557</v>
      </c>
      <c r="AN562" s="14">
        <f t="shared" si="159"/>
        <v>32</v>
      </c>
      <c r="AO562" s="29">
        <f t="shared" si="143"/>
        <v>0.57600000000000007</v>
      </c>
      <c r="AP562" s="14">
        <f t="shared" si="144"/>
        <v>1</v>
      </c>
      <c r="AQ562" s="14">
        <f t="shared" si="145"/>
        <v>2</v>
      </c>
      <c r="AR562" s="14">
        <f t="shared" si="146"/>
        <v>3</v>
      </c>
      <c r="AS562" s="14">
        <f t="shared" si="147"/>
        <v>1606034</v>
      </c>
      <c r="AT562" s="14" t="str">
        <f t="shared" si="148"/>
        <v>神器-6-碎片-6-8级</v>
      </c>
      <c r="AU562" s="13" t="s">
        <v>1195</v>
      </c>
      <c r="AV562" s="13">
        <f t="shared" si="149"/>
        <v>8</v>
      </c>
      <c r="AW562" s="14">
        <f t="shared" si="150"/>
        <v>8112</v>
      </c>
      <c r="AX562" s="14" t="str">
        <f t="shared" si="151"/>
        <v>AtkExt</v>
      </c>
      <c r="AY562" s="14">
        <f t="shared" si="152"/>
        <v>497</v>
      </c>
      <c r="AZ562" s="14" t="str">
        <f t="shared" si="153"/>
        <v>DefExt</v>
      </c>
      <c r="BA562" s="14">
        <f t="shared" si="154"/>
        <v>511</v>
      </c>
      <c r="BB562" s="14" t="str">
        <f t="shared" si="155"/>
        <v>HPExt</v>
      </c>
      <c r="BC562" s="14">
        <f t="shared" si="156"/>
        <v>517</v>
      </c>
      <c r="BD562" s="14" t="str">
        <f t="shared" si="157"/>
        <v/>
      </c>
      <c r="BE562" s="14" t="str">
        <f t="shared" si="158"/>
        <v/>
      </c>
    </row>
    <row r="563" spans="39:57" ht="16.5" x14ac:dyDescent="0.2">
      <c r="AM563" s="13">
        <v>558</v>
      </c>
      <c r="AN563" s="14">
        <f t="shared" si="159"/>
        <v>32</v>
      </c>
      <c r="AO563" s="29">
        <f t="shared" si="143"/>
        <v>0.66</v>
      </c>
      <c r="AP563" s="14">
        <f t="shared" si="144"/>
        <v>1</v>
      </c>
      <c r="AQ563" s="14">
        <f t="shared" si="145"/>
        <v>2</v>
      </c>
      <c r="AR563" s="14">
        <f t="shared" si="146"/>
        <v>3</v>
      </c>
      <c r="AS563" s="14">
        <f t="shared" si="147"/>
        <v>1606034</v>
      </c>
      <c r="AT563" s="14" t="str">
        <f t="shared" si="148"/>
        <v>神器-6-碎片-6-9级</v>
      </c>
      <c r="AU563" s="13" t="s">
        <v>1195</v>
      </c>
      <c r="AV563" s="13">
        <f t="shared" si="149"/>
        <v>9</v>
      </c>
      <c r="AW563" s="14">
        <f t="shared" si="150"/>
        <v>9288</v>
      </c>
      <c r="AX563" s="14" t="str">
        <f t="shared" si="151"/>
        <v>AtkExt</v>
      </c>
      <c r="AY563" s="14">
        <f t="shared" si="152"/>
        <v>569</v>
      </c>
      <c r="AZ563" s="14" t="str">
        <f t="shared" si="153"/>
        <v>DefExt</v>
      </c>
      <c r="BA563" s="14">
        <f t="shared" si="154"/>
        <v>585</v>
      </c>
      <c r="BB563" s="14" t="str">
        <f t="shared" si="155"/>
        <v>HPExt</v>
      </c>
      <c r="BC563" s="14">
        <f t="shared" si="156"/>
        <v>593</v>
      </c>
      <c r="BD563" s="14" t="str">
        <f t="shared" si="157"/>
        <v/>
      </c>
      <c r="BE563" s="14" t="str">
        <f t="shared" si="158"/>
        <v/>
      </c>
    </row>
    <row r="564" spans="39:57" ht="16.5" x14ac:dyDescent="0.2">
      <c r="AM564" s="13">
        <v>559</v>
      </c>
      <c r="AN564" s="14">
        <f t="shared" si="159"/>
        <v>32</v>
      </c>
      <c r="AO564" s="29">
        <f t="shared" si="143"/>
        <v>0.748</v>
      </c>
      <c r="AP564" s="14">
        <f t="shared" si="144"/>
        <v>1</v>
      </c>
      <c r="AQ564" s="14">
        <f t="shared" si="145"/>
        <v>2</v>
      </c>
      <c r="AR564" s="14">
        <f t="shared" si="146"/>
        <v>3</v>
      </c>
      <c r="AS564" s="14">
        <f t="shared" si="147"/>
        <v>1606034</v>
      </c>
      <c r="AT564" s="14" t="str">
        <f t="shared" si="148"/>
        <v>神器-6-碎片-6-10级</v>
      </c>
      <c r="AU564" s="13" t="s">
        <v>1195</v>
      </c>
      <c r="AV564" s="13">
        <f t="shared" si="149"/>
        <v>10</v>
      </c>
      <c r="AW564" s="14">
        <f t="shared" si="150"/>
        <v>10527</v>
      </c>
      <c r="AX564" s="14" t="str">
        <f t="shared" si="151"/>
        <v>AtkExt</v>
      </c>
      <c r="AY564" s="14">
        <f t="shared" si="152"/>
        <v>645</v>
      </c>
      <c r="AZ564" s="14" t="str">
        <f t="shared" si="153"/>
        <v>DefExt</v>
      </c>
      <c r="BA564" s="14">
        <f t="shared" si="154"/>
        <v>663</v>
      </c>
      <c r="BB564" s="14" t="str">
        <f t="shared" si="155"/>
        <v>HPExt</v>
      </c>
      <c r="BC564" s="14">
        <f t="shared" si="156"/>
        <v>672</v>
      </c>
      <c r="BD564" s="14" t="str">
        <f t="shared" si="157"/>
        <v/>
      </c>
      <c r="BE564" s="14" t="str">
        <f t="shared" si="158"/>
        <v/>
      </c>
    </row>
    <row r="565" spans="39:57" ht="16.5" x14ac:dyDescent="0.2">
      <c r="AM565" s="13">
        <v>560</v>
      </c>
      <c r="AN565" s="14">
        <f t="shared" si="159"/>
        <v>32</v>
      </c>
      <c r="AO565" s="29">
        <f t="shared" si="143"/>
        <v>0.84000000000000008</v>
      </c>
      <c r="AP565" s="14">
        <f t="shared" si="144"/>
        <v>1</v>
      </c>
      <c r="AQ565" s="14">
        <f t="shared" si="145"/>
        <v>2</v>
      </c>
      <c r="AR565" s="14">
        <f t="shared" si="146"/>
        <v>3</v>
      </c>
      <c r="AS565" s="14">
        <f t="shared" si="147"/>
        <v>1606034</v>
      </c>
      <c r="AT565" s="14" t="str">
        <f t="shared" si="148"/>
        <v>神器-6-碎片-6-11级</v>
      </c>
      <c r="AU565" s="13" t="s">
        <v>1195</v>
      </c>
      <c r="AV565" s="13">
        <f t="shared" si="149"/>
        <v>11</v>
      </c>
      <c r="AW565" s="14">
        <f t="shared" si="150"/>
        <v>11830</v>
      </c>
      <c r="AX565" s="14" t="str">
        <f t="shared" si="151"/>
        <v>AtkExt</v>
      </c>
      <c r="AY565" s="14">
        <f t="shared" si="152"/>
        <v>725</v>
      </c>
      <c r="AZ565" s="14" t="str">
        <f t="shared" si="153"/>
        <v>DefExt</v>
      </c>
      <c r="BA565" s="14">
        <f t="shared" si="154"/>
        <v>745</v>
      </c>
      <c r="BB565" s="14" t="str">
        <f t="shared" si="155"/>
        <v>HPExt</v>
      </c>
      <c r="BC565" s="14">
        <f t="shared" si="156"/>
        <v>755</v>
      </c>
      <c r="BD565" s="14" t="str">
        <f t="shared" si="157"/>
        <v/>
      </c>
      <c r="BE565" s="14" t="str">
        <f t="shared" si="158"/>
        <v/>
      </c>
    </row>
    <row r="566" spans="39:57" ht="16.5" x14ac:dyDescent="0.2">
      <c r="AM566" s="13">
        <v>561</v>
      </c>
      <c r="AN566" s="14">
        <f t="shared" si="159"/>
        <v>32</v>
      </c>
      <c r="AO566" s="29">
        <f t="shared" si="143"/>
        <v>0.93600000000000017</v>
      </c>
      <c r="AP566" s="14">
        <f t="shared" si="144"/>
        <v>1</v>
      </c>
      <c r="AQ566" s="14">
        <f t="shared" si="145"/>
        <v>2</v>
      </c>
      <c r="AR566" s="14">
        <f t="shared" si="146"/>
        <v>3</v>
      </c>
      <c r="AS566" s="14">
        <f t="shared" si="147"/>
        <v>1606034</v>
      </c>
      <c r="AT566" s="14" t="str">
        <f t="shared" si="148"/>
        <v>神器-6-碎片-6-12级</v>
      </c>
      <c r="AU566" s="13" t="s">
        <v>1195</v>
      </c>
      <c r="AV566" s="13">
        <f t="shared" si="149"/>
        <v>12</v>
      </c>
      <c r="AW566" s="14">
        <f t="shared" si="150"/>
        <v>13176</v>
      </c>
      <c r="AX566" s="14" t="str">
        <f t="shared" si="151"/>
        <v>AtkExt</v>
      </c>
      <c r="AY566" s="14">
        <f t="shared" si="152"/>
        <v>807</v>
      </c>
      <c r="AZ566" s="14" t="str">
        <f t="shared" si="153"/>
        <v>DefExt</v>
      </c>
      <c r="BA566" s="14">
        <f t="shared" si="154"/>
        <v>830</v>
      </c>
      <c r="BB566" s="14" t="str">
        <f t="shared" si="155"/>
        <v>HPExt</v>
      </c>
      <c r="BC566" s="14">
        <f t="shared" si="156"/>
        <v>841</v>
      </c>
      <c r="BD566" s="14" t="str">
        <f t="shared" si="157"/>
        <v/>
      </c>
      <c r="BE566" s="14" t="str">
        <f t="shared" si="158"/>
        <v/>
      </c>
    </row>
    <row r="567" spans="39:57" ht="16.5" x14ac:dyDescent="0.2">
      <c r="AM567" s="13">
        <v>562</v>
      </c>
      <c r="AN567" s="14">
        <f t="shared" si="159"/>
        <v>32</v>
      </c>
      <c r="AO567" s="29">
        <f t="shared" si="143"/>
        <v>1.036</v>
      </c>
      <c r="AP567" s="14">
        <f t="shared" si="144"/>
        <v>1</v>
      </c>
      <c r="AQ567" s="14">
        <f t="shared" si="145"/>
        <v>2</v>
      </c>
      <c r="AR567" s="14">
        <f t="shared" si="146"/>
        <v>3</v>
      </c>
      <c r="AS567" s="14">
        <f t="shared" si="147"/>
        <v>1606034</v>
      </c>
      <c r="AT567" s="14" t="str">
        <f t="shared" si="148"/>
        <v>神器-6-碎片-6-13级</v>
      </c>
      <c r="AU567" s="13" t="s">
        <v>1195</v>
      </c>
      <c r="AV567" s="13">
        <f t="shared" si="149"/>
        <v>13</v>
      </c>
      <c r="AW567" s="14">
        <f t="shared" si="150"/>
        <v>14591</v>
      </c>
      <c r="AX567" s="14" t="str">
        <f t="shared" si="151"/>
        <v>AtkExt</v>
      </c>
      <c r="AY567" s="14">
        <f t="shared" si="152"/>
        <v>894</v>
      </c>
      <c r="AZ567" s="14" t="str">
        <f t="shared" si="153"/>
        <v>DefExt</v>
      </c>
      <c r="BA567" s="14">
        <f t="shared" si="154"/>
        <v>919</v>
      </c>
      <c r="BB567" s="14" t="str">
        <f t="shared" si="155"/>
        <v>HPExt</v>
      </c>
      <c r="BC567" s="14">
        <f t="shared" si="156"/>
        <v>931</v>
      </c>
      <c r="BD567" s="14" t="str">
        <f t="shared" si="157"/>
        <v/>
      </c>
      <c r="BE567" s="14" t="str">
        <f t="shared" si="158"/>
        <v/>
      </c>
    </row>
    <row r="568" spans="39:57" ht="16.5" x14ac:dyDescent="0.2">
      <c r="AM568" s="13">
        <v>563</v>
      </c>
      <c r="AN568" s="14">
        <f t="shared" si="159"/>
        <v>32</v>
      </c>
      <c r="AO568" s="29">
        <f t="shared" si="143"/>
        <v>1.1400000000000001</v>
      </c>
      <c r="AP568" s="14">
        <f t="shared" si="144"/>
        <v>1</v>
      </c>
      <c r="AQ568" s="14">
        <f t="shared" si="145"/>
        <v>2</v>
      </c>
      <c r="AR568" s="14">
        <f t="shared" si="146"/>
        <v>3</v>
      </c>
      <c r="AS568" s="14">
        <f t="shared" si="147"/>
        <v>1606034</v>
      </c>
      <c r="AT568" s="14" t="str">
        <f t="shared" si="148"/>
        <v>神器-6-碎片-6-14级</v>
      </c>
      <c r="AU568" s="13" t="s">
        <v>1195</v>
      </c>
      <c r="AV568" s="13">
        <f t="shared" si="149"/>
        <v>14</v>
      </c>
      <c r="AW568" s="14">
        <f t="shared" si="150"/>
        <v>16049</v>
      </c>
      <c r="AX568" s="14" t="str">
        <f t="shared" si="151"/>
        <v>AtkExt</v>
      </c>
      <c r="AY568" s="14">
        <f t="shared" si="152"/>
        <v>983</v>
      </c>
      <c r="AZ568" s="14" t="str">
        <f t="shared" si="153"/>
        <v>DefExt</v>
      </c>
      <c r="BA568" s="14">
        <f t="shared" si="154"/>
        <v>1011</v>
      </c>
      <c r="BB568" s="14" t="str">
        <f t="shared" si="155"/>
        <v>HPExt</v>
      </c>
      <c r="BC568" s="14">
        <f t="shared" si="156"/>
        <v>1024</v>
      </c>
      <c r="BD568" s="14" t="str">
        <f t="shared" si="157"/>
        <v/>
      </c>
      <c r="BE568" s="14" t="str">
        <f t="shared" si="158"/>
        <v/>
      </c>
    </row>
    <row r="569" spans="39:57" ht="16.5" x14ac:dyDescent="0.2">
      <c r="AM569" s="13">
        <v>564</v>
      </c>
      <c r="AN569" s="14">
        <f t="shared" si="159"/>
        <v>32</v>
      </c>
      <c r="AO569" s="29">
        <f t="shared" si="143"/>
        <v>1.248</v>
      </c>
      <c r="AP569" s="14">
        <f t="shared" si="144"/>
        <v>1</v>
      </c>
      <c r="AQ569" s="14">
        <f t="shared" si="145"/>
        <v>2</v>
      </c>
      <c r="AR569" s="14">
        <f t="shared" si="146"/>
        <v>3</v>
      </c>
      <c r="AS569" s="14">
        <f t="shared" si="147"/>
        <v>1606034</v>
      </c>
      <c r="AT569" s="14" t="str">
        <f t="shared" si="148"/>
        <v>神器-6-碎片-6-15级</v>
      </c>
      <c r="AU569" s="13" t="s">
        <v>1195</v>
      </c>
      <c r="AV569" s="13">
        <f t="shared" si="149"/>
        <v>15</v>
      </c>
      <c r="AW569" s="14">
        <f t="shared" si="150"/>
        <v>17576</v>
      </c>
      <c r="AX569" s="14" t="str">
        <f t="shared" si="151"/>
        <v>AtkExt</v>
      </c>
      <c r="AY569" s="14">
        <f t="shared" si="152"/>
        <v>1077</v>
      </c>
      <c r="AZ569" s="14" t="str">
        <f t="shared" si="153"/>
        <v>DefExt</v>
      </c>
      <c r="BA569" s="14">
        <f t="shared" si="154"/>
        <v>1107</v>
      </c>
      <c r="BB569" s="14" t="str">
        <f t="shared" si="155"/>
        <v>HPExt</v>
      </c>
      <c r="BC569" s="14">
        <f t="shared" si="156"/>
        <v>1121</v>
      </c>
      <c r="BD569" s="14" t="str">
        <f t="shared" si="157"/>
        <v/>
      </c>
      <c r="BE569" s="14" t="str">
        <f t="shared" si="158"/>
        <v/>
      </c>
    </row>
    <row r="570" spans="39:57" ht="16.5" x14ac:dyDescent="0.2">
      <c r="AM570" s="13">
        <v>565</v>
      </c>
      <c r="AN570" s="14">
        <f t="shared" si="159"/>
        <v>32</v>
      </c>
      <c r="AO570" s="29">
        <f t="shared" si="143"/>
        <v>1.36</v>
      </c>
      <c r="AP570" s="14">
        <f t="shared" si="144"/>
        <v>1</v>
      </c>
      <c r="AQ570" s="14">
        <f t="shared" si="145"/>
        <v>2</v>
      </c>
      <c r="AR570" s="14">
        <f t="shared" si="146"/>
        <v>3</v>
      </c>
      <c r="AS570" s="14">
        <f t="shared" si="147"/>
        <v>1606034</v>
      </c>
      <c r="AT570" s="14" t="str">
        <f t="shared" si="148"/>
        <v>神器-6-碎片-6-16级</v>
      </c>
      <c r="AU570" s="13" t="s">
        <v>1195</v>
      </c>
      <c r="AV570" s="13">
        <f t="shared" si="149"/>
        <v>16</v>
      </c>
      <c r="AW570" s="14">
        <f t="shared" si="150"/>
        <v>19147</v>
      </c>
      <c r="AX570" s="14" t="str">
        <f t="shared" si="151"/>
        <v>AtkExt</v>
      </c>
      <c r="AY570" s="14">
        <f t="shared" si="152"/>
        <v>1173</v>
      </c>
      <c r="AZ570" s="14" t="str">
        <f t="shared" si="153"/>
        <v>DefExt</v>
      </c>
      <c r="BA570" s="14">
        <f t="shared" si="154"/>
        <v>1206</v>
      </c>
      <c r="BB570" s="14" t="str">
        <f t="shared" si="155"/>
        <v>HPExt</v>
      </c>
      <c r="BC570" s="14">
        <f t="shared" si="156"/>
        <v>1222</v>
      </c>
      <c r="BD570" s="14" t="str">
        <f t="shared" si="157"/>
        <v/>
      </c>
      <c r="BE570" s="14" t="str">
        <f t="shared" si="158"/>
        <v/>
      </c>
    </row>
    <row r="571" spans="39:57" ht="16.5" x14ac:dyDescent="0.2">
      <c r="AM571" s="13">
        <v>566</v>
      </c>
      <c r="AN571" s="14">
        <f t="shared" si="159"/>
        <v>32</v>
      </c>
      <c r="AO571" s="29">
        <f t="shared" si="143"/>
        <v>1.476</v>
      </c>
      <c r="AP571" s="14">
        <f t="shared" si="144"/>
        <v>1</v>
      </c>
      <c r="AQ571" s="14">
        <f t="shared" si="145"/>
        <v>2</v>
      </c>
      <c r="AR571" s="14">
        <f t="shared" si="146"/>
        <v>3</v>
      </c>
      <c r="AS571" s="14">
        <f t="shared" si="147"/>
        <v>1606034</v>
      </c>
      <c r="AT571" s="14" t="str">
        <f t="shared" si="148"/>
        <v>神器-6-碎片-6-17级</v>
      </c>
      <c r="AU571" s="13" t="s">
        <v>1195</v>
      </c>
      <c r="AV571" s="13">
        <f t="shared" si="149"/>
        <v>17</v>
      </c>
      <c r="AW571" s="14">
        <f t="shared" si="150"/>
        <v>20781</v>
      </c>
      <c r="AX571" s="14" t="str">
        <f t="shared" si="151"/>
        <v>AtkExt</v>
      </c>
      <c r="AY571" s="14">
        <f t="shared" si="152"/>
        <v>1273</v>
      </c>
      <c r="AZ571" s="14" t="str">
        <f t="shared" si="153"/>
        <v>DefExt</v>
      </c>
      <c r="BA571" s="14">
        <f t="shared" si="154"/>
        <v>1309</v>
      </c>
      <c r="BB571" s="14" t="str">
        <f t="shared" si="155"/>
        <v>HPExt</v>
      </c>
      <c r="BC571" s="14">
        <f t="shared" si="156"/>
        <v>1326</v>
      </c>
      <c r="BD571" s="14" t="str">
        <f t="shared" si="157"/>
        <v/>
      </c>
      <c r="BE571" s="14" t="str">
        <f t="shared" si="158"/>
        <v/>
      </c>
    </row>
    <row r="572" spans="39:57" ht="16.5" x14ac:dyDescent="0.2">
      <c r="AM572" s="13">
        <v>567</v>
      </c>
      <c r="AN572" s="14">
        <f t="shared" si="159"/>
        <v>32</v>
      </c>
      <c r="AO572" s="29">
        <f t="shared" si="143"/>
        <v>1.5960000000000001</v>
      </c>
      <c r="AP572" s="14">
        <f t="shared" si="144"/>
        <v>1</v>
      </c>
      <c r="AQ572" s="14">
        <f t="shared" si="145"/>
        <v>2</v>
      </c>
      <c r="AR572" s="14">
        <f t="shared" si="146"/>
        <v>3</v>
      </c>
      <c r="AS572" s="14">
        <f t="shared" si="147"/>
        <v>1606034</v>
      </c>
      <c r="AT572" s="14" t="str">
        <f t="shared" si="148"/>
        <v>神器-6-碎片-6-18级</v>
      </c>
      <c r="AU572" s="13" t="s">
        <v>1195</v>
      </c>
      <c r="AV572" s="13">
        <f t="shared" si="149"/>
        <v>18</v>
      </c>
      <c r="AW572" s="14">
        <f t="shared" si="150"/>
        <v>22479</v>
      </c>
      <c r="AX572" s="14" t="str">
        <f t="shared" si="151"/>
        <v>AtkExt</v>
      </c>
      <c r="AY572" s="14">
        <f t="shared" si="152"/>
        <v>1377</v>
      </c>
      <c r="AZ572" s="14" t="str">
        <f t="shared" si="153"/>
        <v>DefExt</v>
      </c>
      <c r="BA572" s="14">
        <f t="shared" si="154"/>
        <v>1416</v>
      </c>
      <c r="BB572" s="14" t="str">
        <f t="shared" si="155"/>
        <v>HPExt</v>
      </c>
      <c r="BC572" s="14">
        <f t="shared" si="156"/>
        <v>1434</v>
      </c>
      <c r="BD572" s="14" t="str">
        <f t="shared" si="157"/>
        <v/>
      </c>
      <c r="BE572" s="14" t="str">
        <f t="shared" si="158"/>
        <v/>
      </c>
    </row>
    <row r="573" spans="39:57" ht="16.5" x14ac:dyDescent="0.2">
      <c r="AM573" s="13">
        <v>568</v>
      </c>
      <c r="AN573" s="14">
        <f t="shared" si="159"/>
        <v>32</v>
      </c>
      <c r="AO573" s="29">
        <f t="shared" si="143"/>
        <v>1.7200000000000002</v>
      </c>
      <c r="AP573" s="14">
        <f t="shared" si="144"/>
        <v>1</v>
      </c>
      <c r="AQ573" s="14">
        <f t="shared" si="145"/>
        <v>2</v>
      </c>
      <c r="AR573" s="14">
        <f t="shared" si="146"/>
        <v>3</v>
      </c>
      <c r="AS573" s="14">
        <f t="shared" si="147"/>
        <v>1606034</v>
      </c>
      <c r="AT573" s="14" t="str">
        <f t="shared" si="148"/>
        <v>神器-6-碎片-6-19级</v>
      </c>
      <c r="AU573" s="13" t="s">
        <v>1195</v>
      </c>
      <c r="AV573" s="13">
        <f t="shared" si="149"/>
        <v>19</v>
      </c>
      <c r="AW573" s="14">
        <f t="shared" si="150"/>
        <v>24225</v>
      </c>
      <c r="AX573" s="14" t="str">
        <f t="shared" si="151"/>
        <v>AtkExt</v>
      </c>
      <c r="AY573" s="14">
        <f t="shared" si="152"/>
        <v>1484</v>
      </c>
      <c r="AZ573" s="14" t="str">
        <f t="shared" si="153"/>
        <v>DefExt</v>
      </c>
      <c r="BA573" s="14">
        <f t="shared" si="154"/>
        <v>1526</v>
      </c>
      <c r="BB573" s="14" t="str">
        <f t="shared" si="155"/>
        <v>HPExt</v>
      </c>
      <c r="BC573" s="14">
        <f t="shared" si="156"/>
        <v>1545</v>
      </c>
      <c r="BD573" s="14" t="str">
        <f t="shared" si="157"/>
        <v/>
      </c>
      <c r="BE573" s="14" t="str">
        <f t="shared" si="158"/>
        <v/>
      </c>
    </row>
    <row r="574" spans="39:57" ht="16.5" x14ac:dyDescent="0.2">
      <c r="AM574" s="13">
        <v>569</v>
      </c>
      <c r="AN574" s="14">
        <f t="shared" si="159"/>
        <v>32</v>
      </c>
      <c r="AO574" s="29">
        <f t="shared" si="143"/>
        <v>1.8480000000000001</v>
      </c>
      <c r="AP574" s="14">
        <f t="shared" si="144"/>
        <v>1</v>
      </c>
      <c r="AQ574" s="14">
        <f t="shared" si="145"/>
        <v>2</v>
      </c>
      <c r="AR574" s="14">
        <f t="shared" si="146"/>
        <v>3</v>
      </c>
      <c r="AS574" s="14">
        <f t="shared" si="147"/>
        <v>1606034</v>
      </c>
      <c r="AT574" s="14" t="str">
        <f t="shared" si="148"/>
        <v>神器-6-碎片-6-20级</v>
      </c>
      <c r="AU574" s="13" t="s">
        <v>1195</v>
      </c>
      <c r="AV574" s="13">
        <f t="shared" si="149"/>
        <v>20</v>
      </c>
      <c r="AW574" s="14">
        <f t="shared" si="150"/>
        <v>26020</v>
      </c>
      <c r="AX574" s="14" t="str">
        <f t="shared" si="151"/>
        <v>AtkExt</v>
      </c>
      <c r="AY574" s="14">
        <f t="shared" si="152"/>
        <v>1594</v>
      </c>
      <c r="AZ574" s="14" t="str">
        <f t="shared" si="153"/>
        <v>DefExt</v>
      </c>
      <c r="BA574" s="14">
        <f t="shared" si="154"/>
        <v>1639</v>
      </c>
      <c r="BB574" s="14" t="str">
        <f t="shared" si="155"/>
        <v>HPExt</v>
      </c>
      <c r="BC574" s="14">
        <f t="shared" si="156"/>
        <v>1660</v>
      </c>
      <c r="BD574" s="14" t="str">
        <f t="shared" si="157"/>
        <v/>
      </c>
      <c r="BE574" s="14" t="str">
        <f t="shared" si="158"/>
        <v/>
      </c>
    </row>
    <row r="575" spans="39:57" ht="16.5" x14ac:dyDescent="0.2">
      <c r="AM575" s="13">
        <v>570</v>
      </c>
      <c r="AN575" s="14">
        <f t="shared" si="159"/>
        <v>32</v>
      </c>
      <c r="AO575" s="29">
        <f t="shared" si="143"/>
        <v>1.98</v>
      </c>
      <c r="AP575" s="14">
        <f t="shared" si="144"/>
        <v>1</v>
      </c>
      <c r="AQ575" s="14">
        <f t="shared" si="145"/>
        <v>2</v>
      </c>
      <c r="AR575" s="14">
        <f t="shared" si="146"/>
        <v>3</v>
      </c>
      <c r="AS575" s="14">
        <f t="shared" si="147"/>
        <v>1606034</v>
      </c>
      <c r="AT575" s="14" t="str">
        <f t="shared" si="148"/>
        <v>神器-6-碎片-6-21级</v>
      </c>
      <c r="AU575" s="13" t="s">
        <v>1195</v>
      </c>
      <c r="AV575" s="13">
        <f t="shared" si="149"/>
        <v>21</v>
      </c>
      <c r="AW575" s="14">
        <f t="shared" si="150"/>
        <v>27878</v>
      </c>
      <c r="AX575" s="14" t="str">
        <f t="shared" si="151"/>
        <v>AtkExt</v>
      </c>
      <c r="AY575" s="14">
        <f t="shared" si="152"/>
        <v>1708</v>
      </c>
      <c r="AZ575" s="14" t="str">
        <f t="shared" si="153"/>
        <v>DefExt</v>
      </c>
      <c r="BA575" s="14">
        <f t="shared" si="154"/>
        <v>1756</v>
      </c>
      <c r="BB575" s="14" t="str">
        <f t="shared" si="155"/>
        <v>HPExt</v>
      </c>
      <c r="BC575" s="14">
        <f t="shared" si="156"/>
        <v>1778</v>
      </c>
      <c r="BD575" s="14" t="str">
        <f t="shared" si="157"/>
        <v/>
      </c>
      <c r="BE575" s="14" t="str">
        <f t="shared" si="158"/>
        <v/>
      </c>
    </row>
    <row r="576" spans="39:57" ht="16.5" x14ac:dyDescent="0.2">
      <c r="AM576" s="13">
        <v>571</v>
      </c>
      <c r="AN576" s="14">
        <f t="shared" si="159"/>
        <v>33</v>
      </c>
      <c r="AO576" s="29">
        <f t="shared" si="143"/>
        <v>0.1</v>
      </c>
      <c r="AP576" s="14">
        <f t="shared" si="144"/>
        <v>1</v>
      </c>
      <c r="AQ576" s="14">
        <f t="shared" si="145"/>
        <v>2</v>
      </c>
      <c r="AR576" s="14">
        <f t="shared" si="146"/>
        <v>0</v>
      </c>
      <c r="AS576" s="14">
        <f t="shared" si="147"/>
        <v>1606035</v>
      </c>
      <c r="AT576" s="14" t="str">
        <f t="shared" si="148"/>
        <v>神器-6-碎片-7-1级</v>
      </c>
      <c r="AU576" s="13" t="s">
        <v>1195</v>
      </c>
      <c r="AV576" s="13">
        <f t="shared" si="149"/>
        <v>1</v>
      </c>
      <c r="AW576" s="14">
        <f t="shared" si="150"/>
        <v>4055</v>
      </c>
      <c r="AX576" s="14" t="str">
        <f t="shared" si="151"/>
        <v>AtkExt</v>
      </c>
      <c r="AY576" s="14">
        <f t="shared" si="152"/>
        <v>259</v>
      </c>
      <c r="AZ576" s="14" t="str">
        <f t="shared" si="153"/>
        <v>DefExt</v>
      </c>
      <c r="BA576" s="14">
        <f t="shared" si="154"/>
        <v>266</v>
      </c>
      <c r="BB576" s="14" t="str">
        <f t="shared" si="155"/>
        <v/>
      </c>
      <c r="BC576" s="14" t="str">
        <f t="shared" si="156"/>
        <v/>
      </c>
      <c r="BD576" s="14" t="str">
        <f t="shared" si="157"/>
        <v>Speed</v>
      </c>
      <c r="BE576" s="14">
        <f t="shared" si="158"/>
        <v>1</v>
      </c>
    </row>
    <row r="577" spans="39:57" ht="16.5" x14ac:dyDescent="0.2">
      <c r="AM577" s="13">
        <v>572</v>
      </c>
      <c r="AN577" s="14">
        <f t="shared" si="159"/>
        <v>33</v>
      </c>
      <c r="AO577" s="29">
        <f t="shared" si="143"/>
        <v>0.15600000000000003</v>
      </c>
      <c r="AP577" s="14">
        <f t="shared" si="144"/>
        <v>1</v>
      </c>
      <c r="AQ577" s="14">
        <f t="shared" si="145"/>
        <v>2</v>
      </c>
      <c r="AR577" s="14">
        <f t="shared" si="146"/>
        <v>0</v>
      </c>
      <c r="AS577" s="14">
        <f t="shared" si="147"/>
        <v>1606035</v>
      </c>
      <c r="AT577" s="14" t="str">
        <f t="shared" si="148"/>
        <v>神器-6-碎片-7-2级</v>
      </c>
      <c r="AU577" s="13" t="s">
        <v>1195</v>
      </c>
      <c r="AV577" s="13">
        <f t="shared" si="149"/>
        <v>2</v>
      </c>
      <c r="AW577" s="14">
        <f t="shared" si="150"/>
        <v>6370</v>
      </c>
      <c r="AX577" s="14" t="str">
        <f t="shared" si="151"/>
        <v>AtkExt</v>
      </c>
      <c r="AY577" s="14">
        <f t="shared" si="152"/>
        <v>404</v>
      </c>
      <c r="AZ577" s="14" t="str">
        <f t="shared" si="153"/>
        <v>DefExt</v>
      </c>
      <c r="BA577" s="14">
        <f t="shared" si="154"/>
        <v>415</v>
      </c>
      <c r="BB577" s="14" t="str">
        <f t="shared" si="155"/>
        <v/>
      </c>
      <c r="BC577" s="14" t="str">
        <f t="shared" si="156"/>
        <v/>
      </c>
      <c r="BD577" s="14" t="str">
        <f t="shared" si="157"/>
        <v>Speed</v>
      </c>
      <c r="BE577" s="14">
        <f t="shared" si="158"/>
        <v>2</v>
      </c>
    </row>
    <row r="578" spans="39:57" ht="16.5" x14ac:dyDescent="0.2">
      <c r="AM578" s="13">
        <v>573</v>
      </c>
      <c r="AN578" s="14">
        <f t="shared" si="159"/>
        <v>33</v>
      </c>
      <c r="AO578" s="29">
        <f t="shared" si="143"/>
        <v>0.21600000000000003</v>
      </c>
      <c r="AP578" s="14">
        <f t="shared" si="144"/>
        <v>1</v>
      </c>
      <c r="AQ578" s="14">
        <f t="shared" si="145"/>
        <v>2</v>
      </c>
      <c r="AR578" s="14">
        <f t="shared" si="146"/>
        <v>0</v>
      </c>
      <c r="AS578" s="14">
        <f t="shared" si="147"/>
        <v>1606035</v>
      </c>
      <c r="AT578" s="14" t="str">
        <f t="shared" si="148"/>
        <v>神器-6-碎片-7-3级</v>
      </c>
      <c r="AU578" s="13" t="s">
        <v>1195</v>
      </c>
      <c r="AV578" s="13">
        <f t="shared" si="149"/>
        <v>3</v>
      </c>
      <c r="AW578" s="14">
        <f t="shared" si="150"/>
        <v>8845</v>
      </c>
      <c r="AX578" s="14" t="str">
        <f t="shared" si="151"/>
        <v>AtkExt</v>
      </c>
      <c r="AY578" s="14">
        <f t="shared" si="152"/>
        <v>559</v>
      </c>
      <c r="AZ578" s="14" t="str">
        <f t="shared" si="153"/>
        <v>DefExt</v>
      </c>
      <c r="BA578" s="14">
        <f t="shared" si="154"/>
        <v>575</v>
      </c>
      <c r="BB578" s="14" t="str">
        <f t="shared" si="155"/>
        <v/>
      </c>
      <c r="BC578" s="14" t="str">
        <f t="shared" si="156"/>
        <v/>
      </c>
      <c r="BD578" s="14" t="str">
        <f t="shared" si="157"/>
        <v>Speed</v>
      </c>
      <c r="BE578" s="14">
        <f t="shared" si="158"/>
        <v>3</v>
      </c>
    </row>
    <row r="579" spans="39:57" ht="16.5" x14ac:dyDescent="0.2">
      <c r="AM579" s="13">
        <v>574</v>
      </c>
      <c r="AN579" s="14">
        <f t="shared" si="159"/>
        <v>33</v>
      </c>
      <c r="AO579" s="29">
        <f t="shared" si="143"/>
        <v>0.28000000000000003</v>
      </c>
      <c r="AP579" s="14">
        <f t="shared" si="144"/>
        <v>1</v>
      </c>
      <c r="AQ579" s="14">
        <f t="shared" si="145"/>
        <v>2</v>
      </c>
      <c r="AR579" s="14">
        <f t="shared" si="146"/>
        <v>0</v>
      </c>
      <c r="AS579" s="14">
        <f t="shared" si="147"/>
        <v>1606035</v>
      </c>
      <c r="AT579" s="14" t="str">
        <f t="shared" si="148"/>
        <v>神器-6-碎片-7-4级</v>
      </c>
      <c r="AU579" s="13" t="s">
        <v>1195</v>
      </c>
      <c r="AV579" s="13">
        <f t="shared" si="149"/>
        <v>4</v>
      </c>
      <c r="AW579" s="14">
        <f t="shared" si="150"/>
        <v>11475</v>
      </c>
      <c r="AX579" s="14" t="str">
        <f t="shared" si="151"/>
        <v>AtkExt</v>
      </c>
      <c r="AY579" s="14">
        <f t="shared" si="152"/>
        <v>725</v>
      </c>
      <c r="AZ579" s="14" t="str">
        <f t="shared" si="153"/>
        <v>DefExt</v>
      </c>
      <c r="BA579" s="14">
        <f t="shared" si="154"/>
        <v>745</v>
      </c>
      <c r="BB579" s="14" t="str">
        <f t="shared" si="155"/>
        <v/>
      </c>
      <c r="BC579" s="14" t="str">
        <f t="shared" si="156"/>
        <v/>
      </c>
      <c r="BD579" s="14" t="str">
        <f t="shared" si="157"/>
        <v>Speed</v>
      </c>
      <c r="BE579" s="14">
        <f t="shared" si="158"/>
        <v>4</v>
      </c>
    </row>
    <row r="580" spans="39:57" ht="16.5" x14ac:dyDescent="0.2">
      <c r="AM580" s="13">
        <v>575</v>
      </c>
      <c r="AN580" s="14">
        <f t="shared" si="159"/>
        <v>33</v>
      </c>
      <c r="AO580" s="29">
        <f t="shared" si="143"/>
        <v>0.34799999999999998</v>
      </c>
      <c r="AP580" s="14">
        <f t="shared" si="144"/>
        <v>1</v>
      </c>
      <c r="AQ580" s="14">
        <f t="shared" si="145"/>
        <v>2</v>
      </c>
      <c r="AR580" s="14">
        <f t="shared" si="146"/>
        <v>0</v>
      </c>
      <c r="AS580" s="14">
        <f t="shared" si="147"/>
        <v>1606035</v>
      </c>
      <c r="AT580" s="14" t="str">
        <f t="shared" si="148"/>
        <v>神器-6-碎片-7-5级</v>
      </c>
      <c r="AU580" s="13" t="s">
        <v>1195</v>
      </c>
      <c r="AV580" s="13">
        <f t="shared" si="149"/>
        <v>5</v>
      </c>
      <c r="AW580" s="14">
        <f t="shared" si="150"/>
        <v>14265</v>
      </c>
      <c r="AX580" s="14" t="str">
        <f t="shared" si="151"/>
        <v>AtkExt</v>
      </c>
      <c r="AY580" s="14">
        <f t="shared" si="152"/>
        <v>901</v>
      </c>
      <c r="AZ580" s="14" t="str">
        <f t="shared" si="153"/>
        <v>DefExt</v>
      </c>
      <c r="BA580" s="14">
        <f t="shared" si="154"/>
        <v>926</v>
      </c>
      <c r="BB580" s="14" t="str">
        <f t="shared" si="155"/>
        <v/>
      </c>
      <c r="BC580" s="14" t="str">
        <f t="shared" si="156"/>
        <v/>
      </c>
      <c r="BD580" s="14" t="str">
        <f t="shared" si="157"/>
        <v>Speed</v>
      </c>
      <c r="BE580" s="14">
        <f t="shared" si="158"/>
        <v>5</v>
      </c>
    </row>
    <row r="581" spans="39:57" ht="16.5" x14ac:dyDescent="0.2">
      <c r="AM581" s="13">
        <v>576</v>
      </c>
      <c r="AN581" s="14">
        <f t="shared" si="159"/>
        <v>33</v>
      </c>
      <c r="AO581" s="29">
        <f t="shared" si="143"/>
        <v>0.42000000000000004</v>
      </c>
      <c r="AP581" s="14">
        <f t="shared" si="144"/>
        <v>1</v>
      </c>
      <c r="AQ581" s="14">
        <f t="shared" si="145"/>
        <v>2</v>
      </c>
      <c r="AR581" s="14">
        <f t="shared" si="146"/>
        <v>0</v>
      </c>
      <c r="AS581" s="14">
        <f t="shared" si="147"/>
        <v>1606035</v>
      </c>
      <c r="AT581" s="14" t="str">
        <f t="shared" si="148"/>
        <v>神器-6-碎片-7-6级</v>
      </c>
      <c r="AU581" s="13" t="s">
        <v>1195</v>
      </c>
      <c r="AV581" s="13">
        <f t="shared" si="149"/>
        <v>6</v>
      </c>
      <c r="AW581" s="14">
        <f t="shared" si="150"/>
        <v>17215</v>
      </c>
      <c r="AX581" s="14" t="str">
        <f t="shared" si="151"/>
        <v>AtkExt</v>
      </c>
      <c r="AY581" s="14">
        <f t="shared" si="152"/>
        <v>1087</v>
      </c>
      <c r="AZ581" s="14" t="str">
        <f t="shared" si="153"/>
        <v>DefExt</v>
      </c>
      <c r="BA581" s="14">
        <f t="shared" si="154"/>
        <v>1118</v>
      </c>
      <c r="BB581" s="14" t="str">
        <f t="shared" si="155"/>
        <v/>
      </c>
      <c r="BC581" s="14" t="str">
        <f t="shared" si="156"/>
        <v/>
      </c>
      <c r="BD581" s="14" t="str">
        <f t="shared" si="157"/>
        <v>Speed</v>
      </c>
      <c r="BE581" s="14">
        <f t="shared" si="158"/>
        <v>6</v>
      </c>
    </row>
    <row r="582" spans="39:57" ht="16.5" x14ac:dyDescent="0.2">
      <c r="AM582" s="13">
        <v>577</v>
      </c>
      <c r="AN582" s="14">
        <f t="shared" si="159"/>
        <v>33</v>
      </c>
      <c r="AO582" s="29">
        <f t="shared" ref="AO582:AO645" si="160">4.8%+AV582*5%+AV582*AV582*0.2%</f>
        <v>0.496</v>
      </c>
      <c r="AP582" s="14">
        <f t="shared" ref="AP582:AP645" si="161">INDEX(AD$7:AD$48,$AN582)</f>
        <v>1</v>
      </c>
      <c r="AQ582" s="14">
        <f t="shared" ref="AQ582:AQ645" si="162">INDEX(AE$7:AE$48,$AN582)</f>
        <v>2</v>
      </c>
      <c r="AR582" s="14">
        <f t="shared" ref="AR582:AR645" si="163">INDEX(AF$7:AF$48,$AN582)</f>
        <v>0</v>
      </c>
      <c r="AS582" s="14">
        <f t="shared" ref="AS582:AS645" si="164">INDEX($W$7:$W$48,AN582)</f>
        <v>1606035</v>
      </c>
      <c r="AT582" s="14" t="str">
        <f t="shared" ref="AT582:AT645" si="165">"神器-"&amp;INDEX($S$7:$S$48,AN582)&amp;"-碎片-"&amp;INDEX($T$7:$T$48,AN582)&amp;"-"&amp;AV582&amp;"级"</f>
        <v>神器-6-碎片-7-7级</v>
      </c>
      <c r="AU582" s="13" t="s">
        <v>1195</v>
      </c>
      <c r="AV582" s="13">
        <f t="shared" ref="AV582:AV645" si="166">AM582-INDEX($AI$6:$AI$48,AN582)</f>
        <v>7</v>
      </c>
      <c r="AW582" s="14">
        <f t="shared" ref="AW582:AW645" si="167">AY582*INDEX($AP$2:$AR$2,AP582)+IF(AQ582&gt;0,BA582*INDEX($AP$2:$AR$2,AQ582),0)+IF(AR582&gt;0,BC582*INDEX($AP$2:$AR$2,AR582),0)+IF(BD582="Speed",BE582*100,0)</f>
        <v>20320</v>
      </c>
      <c r="AX582" s="14" t="str">
        <f t="shared" ref="AX582:AX645" si="168">INDEX($AP$3:$AR$3,AP582)</f>
        <v>AtkExt</v>
      </c>
      <c r="AY582" s="14">
        <f t="shared" ref="AY582:AY645" si="169">ROUND(INDEX($X$7:$Z$48,AN582,AP582)*AO582,0)</f>
        <v>1284</v>
      </c>
      <c r="AZ582" s="14" t="str">
        <f t="shared" ref="AZ582:AZ645" si="170">IF(AQ582&gt;0,INDEX($AP$3:$AR$3,AQ582),"")</f>
        <v>DefExt</v>
      </c>
      <c r="BA582" s="14">
        <f t="shared" ref="BA582:BA645" si="171">IF(AQ582&gt;0,ROUND(INDEX($X$7:$Z$48,AN582,AQ582)*AO582,0),"")</f>
        <v>1320</v>
      </c>
      <c r="BB582" s="14" t="str">
        <f t="shared" ref="BB582:BB645" si="172">IF(AR582&gt;0,INDEX($AP$3:$AR$3,AR582),"")</f>
        <v/>
      </c>
      <c r="BC582" s="14" t="str">
        <f t="shared" ref="BC582:BC645" si="173">IF(AR582&gt;0,ROUND(INDEX($X$7:$Z$48,AN582,AR582)*AO582,0),"")</f>
        <v/>
      </c>
      <c r="BD582" s="14" t="str">
        <f t="shared" ref="BD582:BD645" si="174">IF(INDEX($AG$7:$AG$48,AN582)&gt;0,"Speed","")</f>
        <v>Speed</v>
      </c>
      <c r="BE582" s="14">
        <f t="shared" ref="BE582:BE645" si="175">IF(INDEX($AG$7:$AG$48,AN582)&gt;0,INDEX($AG$7:$AG$48,AN582)*AV582,"")</f>
        <v>7</v>
      </c>
    </row>
    <row r="583" spans="39:57" ht="16.5" x14ac:dyDescent="0.2">
      <c r="AM583" s="13">
        <v>578</v>
      </c>
      <c r="AN583" s="14">
        <f t="shared" ref="AN583:AN646" si="176">MATCH(AM583-1,$AI$6:$AI$48,1)</f>
        <v>33</v>
      </c>
      <c r="AO583" s="29">
        <f t="shared" si="160"/>
        <v>0.57600000000000007</v>
      </c>
      <c r="AP583" s="14">
        <f t="shared" si="161"/>
        <v>1</v>
      </c>
      <c r="AQ583" s="14">
        <f t="shared" si="162"/>
        <v>2</v>
      </c>
      <c r="AR583" s="14">
        <f t="shared" si="163"/>
        <v>0</v>
      </c>
      <c r="AS583" s="14">
        <f t="shared" si="164"/>
        <v>1606035</v>
      </c>
      <c r="AT583" s="14" t="str">
        <f t="shared" si="165"/>
        <v>神器-6-碎片-7-8级</v>
      </c>
      <c r="AU583" s="13" t="s">
        <v>1195</v>
      </c>
      <c r="AV583" s="13">
        <f t="shared" si="166"/>
        <v>8</v>
      </c>
      <c r="AW583" s="14">
        <f t="shared" si="167"/>
        <v>23585</v>
      </c>
      <c r="AX583" s="14" t="str">
        <f t="shared" si="168"/>
        <v>AtkExt</v>
      </c>
      <c r="AY583" s="14">
        <f t="shared" si="169"/>
        <v>1491</v>
      </c>
      <c r="AZ583" s="14" t="str">
        <f t="shared" si="170"/>
        <v>DefExt</v>
      </c>
      <c r="BA583" s="14">
        <f t="shared" si="171"/>
        <v>1533</v>
      </c>
      <c r="BB583" s="14" t="str">
        <f t="shared" si="172"/>
        <v/>
      </c>
      <c r="BC583" s="14" t="str">
        <f t="shared" si="173"/>
        <v/>
      </c>
      <c r="BD583" s="14" t="str">
        <f t="shared" si="174"/>
        <v>Speed</v>
      </c>
      <c r="BE583" s="14">
        <f t="shared" si="175"/>
        <v>8</v>
      </c>
    </row>
    <row r="584" spans="39:57" ht="16.5" x14ac:dyDescent="0.2">
      <c r="AM584" s="13">
        <v>579</v>
      </c>
      <c r="AN584" s="14">
        <f t="shared" si="176"/>
        <v>33</v>
      </c>
      <c r="AO584" s="29">
        <f t="shared" si="160"/>
        <v>0.66</v>
      </c>
      <c r="AP584" s="14">
        <f t="shared" si="161"/>
        <v>1</v>
      </c>
      <c r="AQ584" s="14">
        <f t="shared" si="162"/>
        <v>2</v>
      </c>
      <c r="AR584" s="14">
        <f t="shared" si="163"/>
        <v>0</v>
      </c>
      <c r="AS584" s="14">
        <f t="shared" si="164"/>
        <v>1606035</v>
      </c>
      <c r="AT584" s="14" t="str">
        <f t="shared" si="165"/>
        <v>神器-6-碎片-7-9级</v>
      </c>
      <c r="AU584" s="13" t="s">
        <v>1195</v>
      </c>
      <c r="AV584" s="13">
        <f t="shared" si="166"/>
        <v>9</v>
      </c>
      <c r="AW584" s="14">
        <f t="shared" si="167"/>
        <v>27000</v>
      </c>
      <c r="AX584" s="14" t="str">
        <f t="shared" si="168"/>
        <v>AtkExt</v>
      </c>
      <c r="AY584" s="14">
        <f t="shared" si="169"/>
        <v>1708</v>
      </c>
      <c r="AZ584" s="14" t="str">
        <f t="shared" si="170"/>
        <v>DefExt</v>
      </c>
      <c r="BA584" s="14">
        <f t="shared" si="171"/>
        <v>1756</v>
      </c>
      <c r="BB584" s="14" t="str">
        <f t="shared" si="172"/>
        <v/>
      </c>
      <c r="BC584" s="14" t="str">
        <f t="shared" si="173"/>
        <v/>
      </c>
      <c r="BD584" s="14" t="str">
        <f t="shared" si="174"/>
        <v>Speed</v>
      </c>
      <c r="BE584" s="14">
        <f t="shared" si="175"/>
        <v>9</v>
      </c>
    </row>
    <row r="585" spans="39:57" ht="16.5" x14ac:dyDescent="0.2">
      <c r="AM585" s="13">
        <v>580</v>
      </c>
      <c r="AN585" s="14">
        <f t="shared" si="176"/>
        <v>33</v>
      </c>
      <c r="AO585" s="29">
        <f t="shared" si="160"/>
        <v>0.748</v>
      </c>
      <c r="AP585" s="14">
        <f t="shared" si="161"/>
        <v>1</v>
      </c>
      <c r="AQ585" s="14">
        <f t="shared" si="162"/>
        <v>2</v>
      </c>
      <c r="AR585" s="14">
        <f t="shared" si="163"/>
        <v>0</v>
      </c>
      <c r="AS585" s="14">
        <f t="shared" si="164"/>
        <v>1606035</v>
      </c>
      <c r="AT585" s="14" t="str">
        <f t="shared" si="165"/>
        <v>神器-6-碎片-7-10级</v>
      </c>
      <c r="AU585" s="13" t="s">
        <v>1195</v>
      </c>
      <c r="AV585" s="13">
        <f t="shared" si="166"/>
        <v>10</v>
      </c>
      <c r="AW585" s="14">
        <f t="shared" si="167"/>
        <v>30580</v>
      </c>
      <c r="AX585" s="14" t="str">
        <f t="shared" si="168"/>
        <v>AtkExt</v>
      </c>
      <c r="AY585" s="14">
        <f t="shared" si="169"/>
        <v>1936</v>
      </c>
      <c r="AZ585" s="14" t="str">
        <f t="shared" si="170"/>
        <v>DefExt</v>
      </c>
      <c r="BA585" s="14">
        <f t="shared" si="171"/>
        <v>1990</v>
      </c>
      <c r="BB585" s="14" t="str">
        <f t="shared" si="172"/>
        <v/>
      </c>
      <c r="BC585" s="14" t="str">
        <f t="shared" si="173"/>
        <v/>
      </c>
      <c r="BD585" s="14" t="str">
        <f t="shared" si="174"/>
        <v>Speed</v>
      </c>
      <c r="BE585" s="14">
        <f t="shared" si="175"/>
        <v>10</v>
      </c>
    </row>
    <row r="586" spans="39:57" ht="16.5" x14ac:dyDescent="0.2">
      <c r="AM586" s="13">
        <v>581</v>
      </c>
      <c r="AN586" s="14">
        <f t="shared" si="176"/>
        <v>33</v>
      </c>
      <c r="AO586" s="29">
        <f t="shared" si="160"/>
        <v>0.84000000000000008</v>
      </c>
      <c r="AP586" s="14">
        <f t="shared" si="161"/>
        <v>1</v>
      </c>
      <c r="AQ586" s="14">
        <f t="shared" si="162"/>
        <v>2</v>
      </c>
      <c r="AR586" s="14">
        <f t="shared" si="163"/>
        <v>0</v>
      </c>
      <c r="AS586" s="14">
        <f t="shared" si="164"/>
        <v>1606035</v>
      </c>
      <c r="AT586" s="14" t="str">
        <f t="shared" si="165"/>
        <v>神器-6-碎片-7-11级</v>
      </c>
      <c r="AU586" s="13" t="s">
        <v>1195</v>
      </c>
      <c r="AV586" s="13">
        <f t="shared" si="166"/>
        <v>11</v>
      </c>
      <c r="AW586" s="14">
        <f t="shared" si="167"/>
        <v>34320</v>
      </c>
      <c r="AX586" s="14" t="str">
        <f t="shared" si="168"/>
        <v>AtkExt</v>
      </c>
      <c r="AY586" s="14">
        <f t="shared" si="169"/>
        <v>2174</v>
      </c>
      <c r="AZ586" s="14" t="str">
        <f t="shared" si="170"/>
        <v>DefExt</v>
      </c>
      <c r="BA586" s="14">
        <f t="shared" si="171"/>
        <v>2235</v>
      </c>
      <c r="BB586" s="14" t="str">
        <f t="shared" si="172"/>
        <v/>
      </c>
      <c r="BC586" s="14" t="str">
        <f t="shared" si="173"/>
        <v/>
      </c>
      <c r="BD586" s="14" t="str">
        <f t="shared" si="174"/>
        <v>Speed</v>
      </c>
      <c r="BE586" s="14">
        <f t="shared" si="175"/>
        <v>11</v>
      </c>
    </row>
    <row r="587" spans="39:57" ht="16.5" x14ac:dyDescent="0.2">
      <c r="AM587" s="13">
        <v>582</v>
      </c>
      <c r="AN587" s="14">
        <f t="shared" si="176"/>
        <v>33</v>
      </c>
      <c r="AO587" s="29">
        <f t="shared" si="160"/>
        <v>0.93600000000000017</v>
      </c>
      <c r="AP587" s="14">
        <f t="shared" si="161"/>
        <v>1</v>
      </c>
      <c r="AQ587" s="14">
        <f t="shared" si="162"/>
        <v>2</v>
      </c>
      <c r="AR587" s="14">
        <f t="shared" si="163"/>
        <v>0</v>
      </c>
      <c r="AS587" s="14">
        <f t="shared" si="164"/>
        <v>1606035</v>
      </c>
      <c r="AT587" s="14" t="str">
        <f t="shared" si="165"/>
        <v>神器-6-碎片-7-12级</v>
      </c>
      <c r="AU587" s="13" t="s">
        <v>1195</v>
      </c>
      <c r="AV587" s="13">
        <f t="shared" si="166"/>
        <v>12</v>
      </c>
      <c r="AW587" s="14">
        <f t="shared" si="167"/>
        <v>38220</v>
      </c>
      <c r="AX587" s="14" t="str">
        <f t="shared" si="168"/>
        <v>AtkExt</v>
      </c>
      <c r="AY587" s="14">
        <f t="shared" si="169"/>
        <v>2422</v>
      </c>
      <c r="AZ587" s="14" t="str">
        <f t="shared" si="170"/>
        <v>DefExt</v>
      </c>
      <c r="BA587" s="14">
        <f t="shared" si="171"/>
        <v>2491</v>
      </c>
      <c r="BB587" s="14" t="str">
        <f t="shared" si="172"/>
        <v/>
      </c>
      <c r="BC587" s="14" t="str">
        <f t="shared" si="173"/>
        <v/>
      </c>
      <c r="BD587" s="14" t="str">
        <f t="shared" si="174"/>
        <v>Speed</v>
      </c>
      <c r="BE587" s="14">
        <f t="shared" si="175"/>
        <v>12</v>
      </c>
    </row>
    <row r="588" spans="39:57" ht="16.5" x14ac:dyDescent="0.2">
      <c r="AM588" s="13">
        <v>583</v>
      </c>
      <c r="AN588" s="14">
        <f t="shared" si="176"/>
        <v>33</v>
      </c>
      <c r="AO588" s="29">
        <f t="shared" si="160"/>
        <v>1.036</v>
      </c>
      <c r="AP588" s="14">
        <f t="shared" si="161"/>
        <v>1</v>
      </c>
      <c r="AQ588" s="14">
        <f t="shared" si="162"/>
        <v>2</v>
      </c>
      <c r="AR588" s="14">
        <f t="shared" si="163"/>
        <v>0</v>
      </c>
      <c r="AS588" s="14">
        <f t="shared" si="164"/>
        <v>1606035</v>
      </c>
      <c r="AT588" s="14" t="str">
        <f t="shared" si="165"/>
        <v>神器-6-碎片-7-13级</v>
      </c>
      <c r="AU588" s="13" t="s">
        <v>1195</v>
      </c>
      <c r="AV588" s="13">
        <f t="shared" si="166"/>
        <v>13</v>
      </c>
      <c r="AW588" s="14">
        <f t="shared" si="167"/>
        <v>42275</v>
      </c>
      <c r="AX588" s="14" t="str">
        <f t="shared" si="168"/>
        <v>AtkExt</v>
      </c>
      <c r="AY588" s="14">
        <f t="shared" si="169"/>
        <v>2681</v>
      </c>
      <c r="AZ588" s="14" t="str">
        <f t="shared" si="170"/>
        <v>DefExt</v>
      </c>
      <c r="BA588" s="14">
        <f t="shared" si="171"/>
        <v>2757</v>
      </c>
      <c r="BB588" s="14" t="str">
        <f t="shared" si="172"/>
        <v/>
      </c>
      <c r="BC588" s="14" t="str">
        <f t="shared" si="173"/>
        <v/>
      </c>
      <c r="BD588" s="14" t="str">
        <f t="shared" si="174"/>
        <v>Speed</v>
      </c>
      <c r="BE588" s="14">
        <f t="shared" si="175"/>
        <v>13</v>
      </c>
    </row>
    <row r="589" spans="39:57" ht="16.5" x14ac:dyDescent="0.2">
      <c r="AM589" s="13">
        <v>584</v>
      </c>
      <c r="AN589" s="14">
        <f t="shared" si="176"/>
        <v>33</v>
      </c>
      <c r="AO589" s="29">
        <f t="shared" si="160"/>
        <v>1.1400000000000001</v>
      </c>
      <c r="AP589" s="14">
        <f t="shared" si="161"/>
        <v>1</v>
      </c>
      <c r="AQ589" s="14">
        <f t="shared" si="162"/>
        <v>2</v>
      </c>
      <c r="AR589" s="14">
        <f t="shared" si="163"/>
        <v>0</v>
      </c>
      <c r="AS589" s="14">
        <f t="shared" si="164"/>
        <v>1606035</v>
      </c>
      <c r="AT589" s="14" t="str">
        <f t="shared" si="165"/>
        <v>神器-6-碎片-7-14级</v>
      </c>
      <c r="AU589" s="13" t="s">
        <v>1195</v>
      </c>
      <c r="AV589" s="13">
        <f t="shared" si="166"/>
        <v>14</v>
      </c>
      <c r="AW589" s="14">
        <f t="shared" si="167"/>
        <v>46480</v>
      </c>
      <c r="AX589" s="14" t="str">
        <f t="shared" si="168"/>
        <v>AtkExt</v>
      </c>
      <c r="AY589" s="14">
        <f t="shared" si="169"/>
        <v>2950</v>
      </c>
      <c r="AZ589" s="14" t="str">
        <f t="shared" si="170"/>
        <v>DefExt</v>
      </c>
      <c r="BA589" s="14">
        <f t="shared" si="171"/>
        <v>3033</v>
      </c>
      <c r="BB589" s="14" t="str">
        <f t="shared" si="172"/>
        <v/>
      </c>
      <c r="BC589" s="14" t="str">
        <f t="shared" si="173"/>
        <v/>
      </c>
      <c r="BD589" s="14" t="str">
        <f t="shared" si="174"/>
        <v>Speed</v>
      </c>
      <c r="BE589" s="14">
        <f t="shared" si="175"/>
        <v>14</v>
      </c>
    </row>
    <row r="590" spans="39:57" ht="16.5" x14ac:dyDescent="0.2">
      <c r="AM590" s="13">
        <v>585</v>
      </c>
      <c r="AN590" s="14">
        <f t="shared" si="176"/>
        <v>33</v>
      </c>
      <c r="AO590" s="29">
        <f t="shared" si="160"/>
        <v>1.248</v>
      </c>
      <c r="AP590" s="14">
        <f t="shared" si="161"/>
        <v>1</v>
      </c>
      <c r="AQ590" s="14">
        <f t="shared" si="162"/>
        <v>2</v>
      </c>
      <c r="AR590" s="14">
        <f t="shared" si="163"/>
        <v>0</v>
      </c>
      <c r="AS590" s="14">
        <f t="shared" si="164"/>
        <v>1606035</v>
      </c>
      <c r="AT590" s="14" t="str">
        <f t="shared" si="165"/>
        <v>神器-6-碎片-7-15级</v>
      </c>
      <c r="AU590" s="13" t="s">
        <v>1195</v>
      </c>
      <c r="AV590" s="13">
        <f t="shared" si="166"/>
        <v>15</v>
      </c>
      <c r="AW590" s="14">
        <f t="shared" si="167"/>
        <v>50860</v>
      </c>
      <c r="AX590" s="14" t="str">
        <f t="shared" si="168"/>
        <v>AtkExt</v>
      </c>
      <c r="AY590" s="14">
        <f t="shared" si="169"/>
        <v>3230</v>
      </c>
      <c r="AZ590" s="14" t="str">
        <f t="shared" si="170"/>
        <v>DefExt</v>
      </c>
      <c r="BA590" s="14">
        <f t="shared" si="171"/>
        <v>3321</v>
      </c>
      <c r="BB590" s="14" t="str">
        <f t="shared" si="172"/>
        <v/>
      </c>
      <c r="BC590" s="14" t="str">
        <f t="shared" si="173"/>
        <v/>
      </c>
      <c r="BD590" s="14" t="str">
        <f t="shared" si="174"/>
        <v>Speed</v>
      </c>
      <c r="BE590" s="14">
        <f t="shared" si="175"/>
        <v>15</v>
      </c>
    </row>
    <row r="591" spans="39:57" ht="16.5" x14ac:dyDescent="0.2">
      <c r="AM591" s="13">
        <v>586</v>
      </c>
      <c r="AN591" s="14">
        <f t="shared" si="176"/>
        <v>33</v>
      </c>
      <c r="AO591" s="29">
        <f t="shared" si="160"/>
        <v>1.36</v>
      </c>
      <c r="AP591" s="14">
        <f t="shared" si="161"/>
        <v>1</v>
      </c>
      <c r="AQ591" s="14">
        <f t="shared" si="162"/>
        <v>2</v>
      </c>
      <c r="AR591" s="14">
        <f t="shared" si="163"/>
        <v>0</v>
      </c>
      <c r="AS591" s="14">
        <f t="shared" si="164"/>
        <v>1606035</v>
      </c>
      <c r="AT591" s="14" t="str">
        <f t="shared" si="165"/>
        <v>神器-6-碎片-7-16级</v>
      </c>
      <c r="AU591" s="13" t="s">
        <v>1195</v>
      </c>
      <c r="AV591" s="13">
        <f t="shared" si="166"/>
        <v>16</v>
      </c>
      <c r="AW591" s="14">
        <f t="shared" si="167"/>
        <v>55385</v>
      </c>
      <c r="AX591" s="14" t="str">
        <f t="shared" si="168"/>
        <v>AtkExt</v>
      </c>
      <c r="AY591" s="14">
        <f t="shared" si="169"/>
        <v>3519</v>
      </c>
      <c r="AZ591" s="14" t="str">
        <f t="shared" si="170"/>
        <v>DefExt</v>
      </c>
      <c r="BA591" s="14">
        <f t="shared" si="171"/>
        <v>3619</v>
      </c>
      <c r="BB591" s="14" t="str">
        <f t="shared" si="172"/>
        <v/>
      </c>
      <c r="BC591" s="14" t="str">
        <f t="shared" si="173"/>
        <v/>
      </c>
      <c r="BD591" s="14" t="str">
        <f t="shared" si="174"/>
        <v>Speed</v>
      </c>
      <c r="BE591" s="14">
        <f t="shared" si="175"/>
        <v>16</v>
      </c>
    </row>
    <row r="592" spans="39:57" ht="16.5" x14ac:dyDescent="0.2">
      <c r="AM592" s="13">
        <v>587</v>
      </c>
      <c r="AN592" s="14">
        <f t="shared" si="176"/>
        <v>33</v>
      </c>
      <c r="AO592" s="29">
        <f t="shared" si="160"/>
        <v>1.476</v>
      </c>
      <c r="AP592" s="14">
        <f t="shared" si="161"/>
        <v>1</v>
      </c>
      <c r="AQ592" s="14">
        <f t="shared" si="162"/>
        <v>2</v>
      </c>
      <c r="AR592" s="14">
        <f t="shared" si="163"/>
        <v>0</v>
      </c>
      <c r="AS592" s="14">
        <f t="shared" si="164"/>
        <v>1606035</v>
      </c>
      <c r="AT592" s="14" t="str">
        <f t="shared" si="165"/>
        <v>神器-6-碎片-7-17级</v>
      </c>
      <c r="AU592" s="13" t="s">
        <v>1195</v>
      </c>
      <c r="AV592" s="13">
        <f t="shared" si="166"/>
        <v>17</v>
      </c>
      <c r="AW592" s="14">
        <f t="shared" si="167"/>
        <v>60070</v>
      </c>
      <c r="AX592" s="14" t="str">
        <f t="shared" si="168"/>
        <v>AtkExt</v>
      </c>
      <c r="AY592" s="14">
        <f t="shared" si="169"/>
        <v>3820</v>
      </c>
      <c r="AZ592" s="14" t="str">
        <f t="shared" si="170"/>
        <v>DefExt</v>
      </c>
      <c r="BA592" s="14">
        <f t="shared" si="171"/>
        <v>3927</v>
      </c>
      <c r="BB592" s="14" t="str">
        <f t="shared" si="172"/>
        <v/>
      </c>
      <c r="BC592" s="14" t="str">
        <f t="shared" si="173"/>
        <v/>
      </c>
      <c r="BD592" s="14" t="str">
        <f t="shared" si="174"/>
        <v>Speed</v>
      </c>
      <c r="BE592" s="14">
        <f t="shared" si="175"/>
        <v>17</v>
      </c>
    </row>
    <row r="593" spans="39:57" ht="16.5" x14ac:dyDescent="0.2">
      <c r="AM593" s="13">
        <v>588</v>
      </c>
      <c r="AN593" s="14">
        <f t="shared" si="176"/>
        <v>33</v>
      </c>
      <c r="AO593" s="29">
        <f t="shared" si="160"/>
        <v>1.5960000000000001</v>
      </c>
      <c r="AP593" s="14">
        <f t="shared" si="161"/>
        <v>1</v>
      </c>
      <c r="AQ593" s="14">
        <f t="shared" si="162"/>
        <v>2</v>
      </c>
      <c r="AR593" s="14">
        <f t="shared" si="163"/>
        <v>0</v>
      </c>
      <c r="AS593" s="14">
        <f t="shared" si="164"/>
        <v>1606035</v>
      </c>
      <c r="AT593" s="14" t="str">
        <f t="shared" si="165"/>
        <v>神器-6-碎片-7-18级</v>
      </c>
      <c r="AU593" s="13" t="s">
        <v>1195</v>
      </c>
      <c r="AV593" s="13">
        <f t="shared" si="166"/>
        <v>18</v>
      </c>
      <c r="AW593" s="14">
        <f t="shared" si="167"/>
        <v>64920</v>
      </c>
      <c r="AX593" s="14" t="str">
        <f t="shared" si="168"/>
        <v>AtkExt</v>
      </c>
      <c r="AY593" s="14">
        <f t="shared" si="169"/>
        <v>4130</v>
      </c>
      <c r="AZ593" s="14" t="str">
        <f t="shared" si="170"/>
        <v>DefExt</v>
      </c>
      <c r="BA593" s="14">
        <f t="shared" si="171"/>
        <v>4247</v>
      </c>
      <c r="BB593" s="14" t="str">
        <f t="shared" si="172"/>
        <v/>
      </c>
      <c r="BC593" s="14" t="str">
        <f t="shared" si="173"/>
        <v/>
      </c>
      <c r="BD593" s="14" t="str">
        <f t="shared" si="174"/>
        <v>Speed</v>
      </c>
      <c r="BE593" s="14">
        <f t="shared" si="175"/>
        <v>18</v>
      </c>
    </row>
    <row r="594" spans="39:57" ht="16.5" x14ac:dyDescent="0.2">
      <c r="AM594" s="13">
        <v>589</v>
      </c>
      <c r="AN594" s="14">
        <f t="shared" si="176"/>
        <v>33</v>
      </c>
      <c r="AO594" s="29">
        <f t="shared" si="160"/>
        <v>1.7200000000000002</v>
      </c>
      <c r="AP594" s="14">
        <f t="shared" si="161"/>
        <v>1</v>
      </c>
      <c r="AQ594" s="14">
        <f t="shared" si="162"/>
        <v>2</v>
      </c>
      <c r="AR594" s="14">
        <f t="shared" si="163"/>
        <v>0</v>
      </c>
      <c r="AS594" s="14">
        <f t="shared" si="164"/>
        <v>1606035</v>
      </c>
      <c r="AT594" s="14" t="str">
        <f t="shared" si="165"/>
        <v>神器-6-碎片-7-19级</v>
      </c>
      <c r="AU594" s="13" t="s">
        <v>1195</v>
      </c>
      <c r="AV594" s="13">
        <f t="shared" si="166"/>
        <v>19</v>
      </c>
      <c r="AW594" s="14">
        <f t="shared" si="167"/>
        <v>69925</v>
      </c>
      <c r="AX594" s="14" t="str">
        <f t="shared" si="168"/>
        <v>AtkExt</v>
      </c>
      <c r="AY594" s="14">
        <f t="shared" si="169"/>
        <v>4451</v>
      </c>
      <c r="AZ594" s="14" t="str">
        <f t="shared" si="170"/>
        <v>DefExt</v>
      </c>
      <c r="BA594" s="14">
        <f t="shared" si="171"/>
        <v>4577</v>
      </c>
      <c r="BB594" s="14" t="str">
        <f t="shared" si="172"/>
        <v/>
      </c>
      <c r="BC594" s="14" t="str">
        <f t="shared" si="173"/>
        <v/>
      </c>
      <c r="BD594" s="14" t="str">
        <f t="shared" si="174"/>
        <v>Speed</v>
      </c>
      <c r="BE594" s="14">
        <f t="shared" si="175"/>
        <v>19</v>
      </c>
    </row>
    <row r="595" spans="39:57" ht="16.5" x14ac:dyDescent="0.2">
      <c r="AM595" s="13">
        <v>590</v>
      </c>
      <c r="AN595" s="14">
        <f t="shared" si="176"/>
        <v>33</v>
      </c>
      <c r="AO595" s="29">
        <f t="shared" si="160"/>
        <v>1.8480000000000001</v>
      </c>
      <c r="AP595" s="14">
        <f t="shared" si="161"/>
        <v>1</v>
      </c>
      <c r="AQ595" s="14">
        <f t="shared" si="162"/>
        <v>2</v>
      </c>
      <c r="AR595" s="14">
        <f t="shared" si="163"/>
        <v>0</v>
      </c>
      <c r="AS595" s="14">
        <f t="shared" si="164"/>
        <v>1606035</v>
      </c>
      <c r="AT595" s="14" t="str">
        <f t="shared" si="165"/>
        <v>神器-6-碎片-7-20级</v>
      </c>
      <c r="AU595" s="13" t="s">
        <v>1195</v>
      </c>
      <c r="AV595" s="13">
        <f t="shared" si="166"/>
        <v>20</v>
      </c>
      <c r="AW595" s="14">
        <f t="shared" si="167"/>
        <v>75080</v>
      </c>
      <c r="AX595" s="14" t="str">
        <f t="shared" si="168"/>
        <v>AtkExt</v>
      </c>
      <c r="AY595" s="14">
        <f t="shared" si="169"/>
        <v>4782</v>
      </c>
      <c r="AZ595" s="14" t="str">
        <f t="shared" si="170"/>
        <v>DefExt</v>
      </c>
      <c r="BA595" s="14">
        <f t="shared" si="171"/>
        <v>4917</v>
      </c>
      <c r="BB595" s="14" t="str">
        <f t="shared" si="172"/>
        <v/>
      </c>
      <c r="BC595" s="14" t="str">
        <f t="shared" si="173"/>
        <v/>
      </c>
      <c r="BD595" s="14" t="str">
        <f t="shared" si="174"/>
        <v>Speed</v>
      </c>
      <c r="BE595" s="14">
        <f t="shared" si="175"/>
        <v>20</v>
      </c>
    </row>
    <row r="596" spans="39:57" ht="16.5" x14ac:dyDescent="0.2">
      <c r="AM596" s="13">
        <v>591</v>
      </c>
      <c r="AN596" s="14">
        <f t="shared" si="176"/>
        <v>33</v>
      </c>
      <c r="AO596" s="29">
        <f t="shared" si="160"/>
        <v>1.98</v>
      </c>
      <c r="AP596" s="14">
        <f t="shared" si="161"/>
        <v>1</v>
      </c>
      <c r="AQ596" s="14">
        <f t="shared" si="162"/>
        <v>2</v>
      </c>
      <c r="AR596" s="14">
        <f t="shared" si="163"/>
        <v>0</v>
      </c>
      <c r="AS596" s="14">
        <f t="shared" si="164"/>
        <v>1606035</v>
      </c>
      <c r="AT596" s="14" t="str">
        <f t="shared" si="165"/>
        <v>神器-6-碎片-7-21级</v>
      </c>
      <c r="AU596" s="13" t="s">
        <v>1195</v>
      </c>
      <c r="AV596" s="13">
        <f t="shared" si="166"/>
        <v>21</v>
      </c>
      <c r="AW596" s="14">
        <f t="shared" si="167"/>
        <v>80410</v>
      </c>
      <c r="AX596" s="14" t="str">
        <f t="shared" si="168"/>
        <v>AtkExt</v>
      </c>
      <c r="AY596" s="14">
        <f t="shared" si="169"/>
        <v>5124</v>
      </c>
      <c r="AZ596" s="14" t="str">
        <f t="shared" si="170"/>
        <v>DefExt</v>
      </c>
      <c r="BA596" s="14">
        <f t="shared" si="171"/>
        <v>5269</v>
      </c>
      <c r="BB596" s="14" t="str">
        <f t="shared" si="172"/>
        <v/>
      </c>
      <c r="BC596" s="14" t="str">
        <f t="shared" si="173"/>
        <v/>
      </c>
      <c r="BD596" s="14" t="str">
        <f t="shared" si="174"/>
        <v>Speed</v>
      </c>
      <c r="BE596" s="14">
        <f t="shared" si="175"/>
        <v>21</v>
      </c>
    </row>
    <row r="597" spans="39:57" ht="16.5" x14ac:dyDescent="0.2">
      <c r="AM597" s="13">
        <v>592</v>
      </c>
      <c r="AN597" s="14">
        <f t="shared" si="176"/>
        <v>34</v>
      </c>
      <c r="AO597" s="29">
        <f t="shared" si="160"/>
        <v>0.1</v>
      </c>
      <c r="AP597" s="14">
        <f t="shared" si="161"/>
        <v>2</v>
      </c>
      <c r="AQ597" s="14">
        <f t="shared" si="162"/>
        <v>3</v>
      </c>
      <c r="AR597" s="14">
        <f t="shared" si="163"/>
        <v>0</v>
      </c>
      <c r="AS597" s="14">
        <f t="shared" si="164"/>
        <v>1606036</v>
      </c>
      <c r="AT597" s="14" t="str">
        <f t="shared" si="165"/>
        <v>神器-6-碎片-8-1级</v>
      </c>
      <c r="AU597" s="13" t="s">
        <v>1195</v>
      </c>
      <c r="AV597" s="13">
        <f t="shared" si="166"/>
        <v>1</v>
      </c>
      <c r="AW597" s="14">
        <f t="shared" si="167"/>
        <v>3029</v>
      </c>
      <c r="AX597" s="14" t="str">
        <f t="shared" si="168"/>
        <v>DefExt</v>
      </c>
      <c r="AY597" s="14">
        <f t="shared" si="169"/>
        <v>266</v>
      </c>
      <c r="AZ597" s="14" t="str">
        <f t="shared" si="170"/>
        <v>HPExt</v>
      </c>
      <c r="BA597" s="14">
        <f t="shared" si="171"/>
        <v>269</v>
      </c>
      <c r="BB597" s="14" t="str">
        <f t="shared" si="172"/>
        <v/>
      </c>
      <c r="BC597" s="14" t="str">
        <f t="shared" si="173"/>
        <v/>
      </c>
      <c r="BD597" s="14" t="str">
        <f t="shared" si="174"/>
        <v>Speed</v>
      </c>
      <c r="BE597" s="14">
        <f t="shared" si="175"/>
        <v>1</v>
      </c>
    </row>
    <row r="598" spans="39:57" ht="16.5" x14ac:dyDescent="0.2">
      <c r="AM598" s="13">
        <v>593</v>
      </c>
      <c r="AN598" s="14">
        <f t="shared" si="176"/>
        <v>34</v>
      </c>
      <c r="AO598" s="29">
        <f t="shared" si="160"/>
        <v>0.15600000000000003</v>
      </c>
      <c r="AP598" s="14">
        <f t="shared" si="161"/>
        <v>2</v>
      </c>
      <c r="AQ598" s="14">
        <f t="shared" si="162"/>
        <v>3</v>
      </c>
      <c r="AR598" s="14">
        <f t="shared" si="163"/>
        <v>0</v>
      </c>
      <c r="AS598" s="14">
        <f t="shared" si="164"/>
        <v>1606036</v>
      </c>
      <c r="AT598" s="14" t="str">
        <f t="shared" si="165"/>
        <v>神器-6-碎片-8-2级</v>
      </c>
      <c r="AU598" s="13" t="s">
        <v>1195</v>
      </c>
      <c r="AV598" s="13">
        <f t="shared" si="166"/>
        <v>2</v>
      </c>
      <c r="AW598" s="14">
        <f t="shared" si="167"/>
        <v>4770</v>
      </c>
      <c r="AX598" s="14" t="str">
        <f t="shared" si="168"/>
        <v>DefExt</v>
      </c>
      <c r="AY598" s="14">
        <f t="shared" si="169"/>
        <v>415</v>
      </c>
      <c r="AZ598" s="14" t="str">
        <f t="shared" si="170"/>
        <v>HPExt</v>
      </c>
      <c r="BA598" s="14">
        <f t="shared" si="171"/>
        <v>420</v>
      </c>
      <c r="BB598" s="14" t="str">
        <f t="shared" si="172"/>
        <v/>
      </c>
      <c r="BC598" s="14" t="str">
        <f t="shared" si="173"/>
        <v/>
      </c>
      <c r="BD598" s="14" t="str">
        <f t="shared" si="174"/>
        <v>Speed</v>
      </c>
      <c r="BE598" s="14">
        <f t="shared" si="175"/>
        <v>2</v>
      </c>
    </row>
    <row r="599" spans="39:57" ht="16.5" x14ac:dyDescent="0.2">
      <c r="AM599" s="13">
        <v>594</v>
      </c>
      <c r="AN599" s="14">
        <f t="shared" si="176"/>
        <v>34</v>
      </c>
      <c r="AO599" s="29">
        <f t="shared" si="160"/>
        <v>0.21600000000000003</v>
      </c>
      <c r="AP599" s="14">
        <f t="shared" si="161"/>
        <v>2</v>
      </c>
      <c r="AQ599" s="14">
        <f t="shared" si="162"/>
        <v>3</v>
      </c>
      <c r="AR599" s="14">
        <f t="shared" si="163"/>
        <v>0</v>
      </c>
      <c r="AS599" s="14">
        <f t="shared" si="164"/>
        <v>1606036</v>
      </c>
      <c r="AT599" s="14" t="str">
        <f t="shared" si="165"/>
        <v>神器-6-碎片-8-3级</v>
      </c>
      <c r="AU599" s="13" t="s">
        <v>1195</v>
      </c>
      <c r="AV599" s="13">
        <f t="shared" si="166"/>
        <v>3</v>
      </c>
      <c r="AW599" s="14">
        <f t="shared" si="167"/>
        <v>6632</v>
      </c>
      <c r="AX599" s="14" t="str">
        <f t="shared" si="168"/>
        <v>DefExt</v>
      </c>
      <c r="AY599" s="14">
        <f t="shared" si="169"/>
        <v>575</v>
      </c>
      <c r="AZ599" s="14" t="str">
        <f t="shared" si="170"/>
        <v>HPExt</v>
      </c>
      <c r="BA599" s="14">
        <f t="shared" si="171"/>
        <v>582</v>
      </c>
      <c r="BB599" s="14" t="str">
        <f t="shared" si="172"/>
        <v/>
      </c>
      <c r="BC599" s="14" t="str">
        <f t="shared" si="173"/>
        <v/>
      </c>
      <c r="BD599" s="14" t="str">
        <f t="shared" si="174"/>
        <v>Speed</v>
      </c>
      <c r="BE599" s="14">
        <f t="shared" si="175"/>
        <v>3</v>
      </c>
    </row>
    <row r="600" spans="39:57" ht="16.5" x14ac:dyDescent="0.2">
      <c r="AM600" s="13">
        <v>595</v>
      </c>
      <c r="AN600" s="14">
        <f t="shared" si="176"/>
        <v>34</v>
      </c>
      <c r="AO600" s="29">
        <f t="shared" si="160"/>
        <v>0.28000000000000003</v>
      </c>
      <c r="AP600" s="14">
        <f t="shared" si="161"/>
        <v>2</v>
      </c>
      <c r="AQ600" s="14">
        <f t="shared" si="162"/>
        <v>3</v>
      </c>
      <c r="AR600" s="14">
        <f t="shared" si="163"/>
        <v>0</v>
      </c>
      <c r="AS600" s="14">
        <f t="shared" si="164"/>
        <v>1606036</v>
      </c>
      <c r="AT600" s="14" t="str">
        <f t="shared" si="165"/>
        <v>神器-6-碎片-8-4级</v>
      </c>
      <c r="AU600" s="13" t="s">
        <v>1195</v>
      </c>
      <c r="AV600" s="13">
        <f t="shared" si="166"/>
        <v>4</v>
      </c>
      <c r="AW600" s="14">
        <f t="shared" si="167"/>
        <v>8605</v>
      </c>
      <c r="AX600" s="14" t="str">
        <f t="shared" si="168"/>
        <v>DefExt</v>
      </c>
      <c r="AY600" s="14">
        <f t="shared" si="169"/>
        <v>745</v>
      </c>
      <c r="AZ600" s="14" t="str">
        <f t="shared" si="170"/>
        <v>HPExt</v>
      </c>
      <c r="BA600" s="14">
        <f t="shared" si="171"/>
        <v>755</v>
      </c>
      <c r="BB600" s="14" t="str">
        <f t="shared" si="172"/>
        <v/>
      </c>
      <c r="BC600" s="14" t="str">
        <f t="shared" si="173"/>
        <v/>
      </c>
      <c r="BD600" s="14" t="str">
        <f t="shared" si="174"/>
        <v>Speed</v>
      </c>
      <c r="BE600" s="14">
        <f t="shared" si="175"/>
        <v>4</v>
      </c>
    </row>
    <row r="601" spans="39:57" ht="16.5" x14ac:dyDescent="0.2">
      <c r="AM601" s="13">
        <v>596</v>
      </c>
      <c r="AN601" s="14">
        <f t="shared" si="176"/>
        <v>34</v>
      </c>
      <c r="AO601" s="29">
        <f t="shared" si="160"/>
        <v>0.34799999999999998</v>
      </c>
      <c r="AP601" s="14">
        <f t="shared" si="161"/>
        <v>2</v>
      </c>
      <c r="AQ601" s="14">
        <f t="shared" si="162"/>
        <v>3</v>
      </c>
      <c r="AR601" s="14">
        <f t="shared" si="163"/>
        <v>0</v>
      </c>
      <c r="AS601" s="14">
        <f t="shared" si="164"/>
        <v>1606036</v>
      </c>
      <c r="AT601" s="14" t="str">
        <f t="shared" si="165"/>
        <v>神器-6-碎片-8-5级</v>
      </c>
      <c r="AU601" s="13" t="s">
        <v>1195</v>
      </c>
      <c r="AV601" s="13">
        <f t="shared" si="166"/>
        <v>5</v>
      </c>
      <c r="AW601" s="14">
        <f t="shared" si="167"/>
        <v>10698</v>
      </c>
      <c r="AX601" s="14" t="str">
        <f t="shared" si="168"/>
        <v>DefExt</v>
      </c>
      <c r="AY601" s="14">
        <f t="shared" si="169"/>
        <v>926</v>
      </c>
      <c r="AZ601" s="14" t="str">
        <f t="shared" si="170"/>
        <v>HPExt</v>
      </c>
      <c r="BA601" s="14">
        <f t="shared" si="171"/>
        <v>938</v>
      </c>
      <c r="BB601" s="14" t="str">
        <f t="shared" si="172"/>
        <v/>
      </c>
      <c r="BC601" s="14" t="str">
        <f t="shared" si="173"/>
        <v/>
      </c>
      <c r="BD601" s="14" t="str">
        <f t="shared" si="174"/>
        <v>Speed</v>
      </c>
      <c r="BE601" s="14">
        <f t="shared" si="175"/>
        <v>5</v>
      </c>
    </row>
    <row r="602" spans="39:57" ht="16.5" x14ac:dyDescent="0.2">
      <c r="AM602" s="13">
        <v>597</v>
      </c>
      <c r="AN602" s="14">
        <f t="shared" si="176"/>
        <v>34</v>
      </c>
      <c r="AO602" s="29">
        <f t="shared" si="160"/>
        <v>0.42000000000000004</v>
      </c>
      <c r="AP602" s="14">
        <f t="shared" si="161"/>
        <v>2</v>
      </c>
      <c r="AQ602" s="14">
        <f t="shared" si="162"/>
        <v>3</v>
      </c>
      <c r="AR602" s="14">
        <f t="shared" si="163"/>
        <v>0</v>
      </c>
      <c r="AS602" s="14">
        <f t="shared" si="164"/>
        <v>1606036</v>
      </c>
      <c r="AT602" s="14" t="str">
        <f t="shared" si="165"/>
        <v>神器-6-碎片-8-6级</v>
      </c>
      <c r="AU602" s="13" t="s">
        <v>1195</v>
      </c>
      <c r="AV602" s="13">
        <f t="shared" si="166"/>
        <v>6</v>
      </c>
      <c r="AW602" s="14">
        <f t="shared" si="167"/>
        <v>12912</v>
      </c>
      <c r="AX602" s="14" t="str">
        <f t="shared" si="168"/>
        <v>DefExt</v>
      </c>
      <c r="AY602" s="14">
        <f t="shared" si="169"/>
        <v>1118</v>
      </c>
      <c r="AZ602" s="14" t="str">
        <f t="shared" si="170"/>
        <v>HPExt</v>
      </c>
      <c r="BA602" s="14">
        <f t="shared" si="171"/>
        <v>1132</v>
      </c>
      <c r="BB602" s="14" t="str">
        <f t="shared" si="172"/>
        <v/>
      </c>
      <c r="BC602" s="14" t="str">
        <f t="shared" si="173"/>
        <v/>
      </c>
      <c r="BD602" s="14" t="str">
        <f t="shared" si="174"/>
        <v>Speed</v>
      </c>
      <c r="BE602" s="14">
        <f t="shared" si="175"/>
        <v>6</v>
      </c>
    </row>
    <row r="603" spans="39:57" ht="16.5" x14ac:dyDescent="0.2">
      <c r="AM603" s="13">
        <v>598</v>
      </c>
      <c r="AN603" s="14">
        <f t="shared" si="176"/>
        <v>34</v>
      </c>
      <c r="AO603" s="29">
        <f t="shared" si="160"/>
        <v>0.496</v>
      </c>
      <c r="AP603" s="14">
        <f t="shared" si="161"/>
        <v>2</v>
      </c>
      <c r="AQ603" s="14">
        <f t="shared" si="162"/>
        <v>3</v>
      </c>
      <c r="AR603" s="14">
        <f t="shared" si="163"/>
        <v>0</v>
      </c>
      <c r="AS603" s="14">
        <f t="shared" si="164"/>
        <v>1606036</v>
      </c>
      <c r="AT603" s="14" t="str">
        <f t="shared" si="165"/>
        <v>神器-6-碎片-8-7级</v>
      </c>
      <c r="AU603" s="13" t="s">
        <v>1195</v>
      </c>
      <c r="AV603" s="13">
        <f t="shared" si="166"/>
        <v>7</v>
      </c>
      <c r="AW603" s="14">
        <f t="shared" si="167"/>
        <v>15237</v>
      </c>
      <c r="AX603" s="14" t="str">
        <f t="shared" si="168"/>
        <v>DefExt</v>
      </c>
      <c r="AY603" s="14">
        <f t="shared" si="169"/>
        <v>1320</v>
      </c>
      <c r="AZ603" s="14" t="str">
        <f t="shared" si="170"/>
        <v>HPExt</v>
      </c>
      <c r="BA603" s="14">
        <f t="shared" si="171"/>
        <v>1337</v>
      </c>
      <c r="BB603" s="14" t="str">
        <f t="shared" si="172"/>
        <v/>
      </c>
      <c r="BC603" s="14" t="str">
        <f t="shared" si="173"/>
        <v/>
      </c>
      <c r="BD603" s="14" t="str">
        <f t="shared" si="174"/>
        <v>Speed</v>
      </c>
      <c r="BE603" s="14">
        <f t="shared" si="175"/>
        <v>7</v>
      </c>
    </row>
    <row r="604" spans="39:57" ht="16.5" x14ac:dyDescent="0.2">
      <c r="AM604" s="13">
        <v>599</v>
      </c>
      <c r="AN604" s="14">
        <f t="shared" si="176"/>
        <v>34</v>
      </c>
      <c r="AO604" s="29">
        <f t="shared" si="160"/>
        <v>0.57600000000000007</v>
      </c>
      <c r="AP604" s="14">
        <f t="shared" si="161"/>
        <v>2</v>
      </c>
      <c r="AQ604" s="14">
        <f t="shared" si="162"/>
        <v>3</v>
      </c>
      <c r="AR604" s="14">
        <f t="shared" si="163"/>
        <v>0</v>
      </c>
      <c r="AS604" s="14">
        <f t="shared" si="164"/>
        <v>1606036</v>
      </c>
      <c r="AT604" s="14" t="str">
        <f t="shared" si="165"/>
        <v>神器-6-碎片-8-8级</v>
      </c>
      <c r="AU604" s="13" t="s">
        <v>1195</v>
      </c>
      <c r="AV604" s="13">
        <f t="shared" si="166"/>
        <v>8</v>
      </c>
      <c r="AW604" s="14">
        <f t="shared" si="167"/>
        <v>17682</v>
      </c>
      <c r="AX604" s="14" t="str">
        <f t="shared" si="168"/>
        <v>DefExt</v>
      </c>
      <c r="AY604" s="14">
        <f t="shared" si="169"/>
        <v>1533</v>
      </c>
      <c r="AZ604" s="14" t="str">
        <f t="shared" si="170"/>
        <v>HPExt</v>
      </c>
      <c r="BA604" s="14">
        <f t="shared" si="171"/>
        <v>1552</v>
      </c>
      <c r="BB604" s="14" t="str">
        <f t="shared" si="172"/>
        <v/>
      </c>
      <c r="BC604" s="14" t="str">
        <f t="shared" si="173"/>
        <v/>
      </c>
      <c r="BD604" s="14" t="str">
        <f t="shared" si="174"/>
        <v>Speed</v>
      </c>
      <c r="BE604" s="14">
        <f t="shared" si="175"/>
        <v>8</v>
      </c>
    </row>
    <row r="605" spans="39:57" ht="16.5" x14ac:dyDescent="0.2">
      <c r="AM605" s="13">
        <v>600</v>
      </c>
      <c r="AN605" s="14">
        <f t="shared" si="176"/>
        <v>34</v>
      </c>
      <c r="AO605" s="29">
        <f t="shared" si="160"/>
        <v>0.66</v>
      </c>
      <c r="AP605" s="14">
        <f t="shared" si="161"/>
        <v>2</v>
      </c>
      <c r="AQ605" s="14">
        <f t="shared" si="162"/>
        <v>3</v>
      </c>
      <c r="AR605" s="14">
        <f t="shared" si="163"/>
        <v>0</v>
      </c>
      <c r="AS605" s="14">
        <f t="shared" si="164"/>
        <v>1606036</v>
      </c>
      <c r="AT605" s="14" t="str">
        <f t="shared" si="165"/>
        <v>神器-6-碎片-8-9级</v>
      </c>
      <c r="AU605" s="13" t="s">
        <v>1195</v>
      </c>
      <c r="AV605" s="13">
        <f t="shared" si="166"/>
        <v>9</v>
      </c>
      <c r="AW605" s="14">
        <f t="shared" si="167"/>
        <v>20238</v>
      </c>
      <c r="AX605" s="14" t="str">
        <f t="shared" si="168"/>
        <v>DefExt</v>
      </c>
      <c r="AY605" s="14">
        <f t="shared" si="169"/>
        <v>1756</v>
      </c>
      <c r="AZ605" s="14" t="str">
        <f t="shared" si="170"/>
        <v>HPExt</v>
      </c>
      <c r="BA605" s="14">
        <f t="shared" si="171"/>
        <v>1778</v>
      </c>
      <c r="BB605" s="14" t="str">
        <f t="shared" si="172"/>
        <v/>
      </c>
      <c r="BC605" s="14" t="str">
        <f t="shared" si="173"/>
        <v/>
      </c>
      <c r="BD605" s="14" t="str">
        <f t="shared" si="174"/>
        <v>Speed</v>
      </c>
      <c r="BE605" s="14">
        <f t="shared" si="175"/>
        <v>9</v>
      </c>
    </row>
    <row r="606" spans="39:57" ht="16.5" x14ac:dyDescent="0.2">
      <c r="AM606" s="13">
        <v>601</v>
      </c>
      <c r="AN606" s="14">
        <f t="shared" si="176"/>
        <v>34</v>
      </c>
      <c r="AO606" s="29">
        <f t="shared" si="160"/>
        <v>0.748</v>
      </c>
      <c r="AP606" s="14">
        <f t="shared" si="161"/>
        <v>2</v>
      </c>
      <c r="AQ606" s="14">
        <f t="shared" si="162"/>
        <v>3</v>
      </c>
      <c r="AR606" s="14">
        <f t="shared" si="163"/>
        <v>0</v>
      </c>
      <c r="AS606" s="14">
        <f t="shared" si="164"/>
        <v>1606036</v>
      </c>
      <c r="AT606" s="14" t="str">
        <f t="shared" si="165"/>
        <v>神器-6-碎片-8-10级</v>
      </c>
      <c r="AU606" s="13" t="s">
        <v>1195</v>
      </c>
      <c r="AV606" s="13">
        <f t="shared" si="166"/>
        <v>10</v>
      </c>
      <c r="AW606" s="14">
        <f t="shared" si="167"/>
        <v>22916</v>
      </c>
      <c r="AX606" s="14" t="str">
        <f t="shared" si="168"/>
        <v>DefExt</v>
      </c>
      <c r="AY606" s="14">
        <f t="shared" si="169"/>
        <v>1990</v>
      </c>
      <c r="AZ606" s="14" t="str">
        <f t="shared" si="170"/>
        <v>HPExt</v>
      </c>
      <c r="BA606" s="14">
        <f t="shared" si="171"/>
        <v>2016</v>
      </c>
      <c r="BB606" s="14" t="str">
        <f t="shared" si="172"/>
        <v/>
      </c>
      <c r="BC606" s="14" t="str">
        <f t="shared" si="173"/>
        <v/>
      </c>
      <c r="BD606" s="14" t="str">
        <f t="shared" si="174"/>
        <v>Speed</v>
      </c>
      <c r="BE606" s="14">
        <f t="shared" si="175"/>
        <v>10</v>
      </c>
    </row>
    <row r="607" spans="39:57" ht="16.5" x14ac:dyDescent="0.2">
      <c r="AM607" s="13">
        <v>602</v>
      </c>
      <c r="AN607" s="14">
        <f t="shared" si="176"/>
        <v>34</v>
      </c>
      <c r="AO607" s="29">
        <f t="shared" si="160"/>
        <v>0.84000000000000008</v>
      </c>
      <c r="AP607" s="14">
        <f t="shared" si="161"/>
        <v>2</v>
      </c>
      <c r="AQ607" s="14">
        <f t="shared" si="162"/>
        <v>3</v>
      </c>
      <c r="AR607" s="14">
        <f t="shared" si="163"/>
        <v>0</v>
      </c>
      <c r="AS607" s="14">
        <f t="shared" si="164"/>
        <v>1606036</v>
      </c>
      <c r="AT607" s="14" t="str">
        <f t="shared" si="165"/>
        <v>神器-6-碎片-8-11级</v>
      </c>
      <c r="AU607" s="13" t="s">
        <v>1195</v>
      </c>
      <c r="AV607" s="13">
        <f t="shared" si="166"/>
        <v>11</v>
      </c>
      <c r="AW607" s="14">
        <f t="shared" si="167"/>
        <v>25714</v>
      </c>
      <c r="AX607" s="14" t="str">
        <f t="shared" si="168"/>
        <v>DefExt</v>
      </c>
      <c r="AY607" s="14">
        <f t="shared" si="169"/>
        <v>2235</v>
      </c>
      <c r="AZ607" s="14" t="str">
        <f t="shared" si="170"/>
        <v>HPExt</v>
      </c>
      <c r="BA607" s="14">
        <f t="shared" si="171"/>
        <v>2264</v>
      </c>
      <c r="BB607" s="14" t="str">
        <f t="shared" si="172"/>
        <v/>
      </c>
      <c r="BC607" s="14" t="str">
        <f t="shared" si="173"/>
        <v/>
      </c>
      <c r="BD607" s="14" t="str">
        <f t="shared" si="174"/>
        <v>Speed</v>
      </c>
      <c r="BE607" s="14">
        <f t="shared" si="175"/>
        <v>11</v>
      </c>
    </row>
    <row r="608" spans="39:57" ht="16.5" x14ac:dyDescent="0.2">
      <c r="AM608" s="13">
        <v>603</v>
      </c>
      <c r="AN608" s="14">
        <f t="shared" si="176"/>
        <v>34</v>
      </c>
      <c r="AO608" s="29">
        <f t="shared" si="160"/>
        <v>0.93600000000000017</v>
      </c>
      <c r="AP608" s="14">
        <f t="shared" si="161"/>
        <v>2</v>
      </c>
      <c r="AQ608" s="14">
        <f t="shared" si="162"/>
        <v>3</v>
      </c>
      <c r="AR608" s="14">
        <f t="shared" si="163"/>
        <v>0</v>
      </c>
      <c r="AS608" s="14">
        <f t="shared" si="164"/>
        <v>1606036</v>
      </c>
      <c r="AT608" s="14" t="str">
        <f t="shared" si="165"/>
        <v>神器-6-碎片-8-12级</v>
      </c>
      <c r="AU608" s="13" t="s">
        <v>1195</v>
      </c>
      <c r="AV608" s="13">
        <f t="shared" si="166"/>
        <v>12</v>
      </c>
      <c r="AW608" s="14">
        <f t="shared" si="167"/>
        <v>28632</v>
      </c>
      <c r="AX608" s="14" t="str">
        <f t="shared" si="168"/>
        <v>DefExt</v>
      </c>
      <c r="AY608" s="14">
        <f t="shared" si="169"/>
        <v>2491</v>
      </c>
      <c r="AZ608" s="14" t="str">
        <f t="shared" si="170"/>
        <v>HPExt</v>
      </c>
      <c r="BA608" s="14">
        <f t="shared" si="171"/>
        <v>2522</v>
      </c>
      <c r="BB608" s="14" t="str">
        <f t="shared" si="172"/>
        <v/>
      </c>
      <c r="BC608" s="14" t="str">
        <f t="shared" si="173"/>
        <v/>
      </c>
      <c r="BD608" s="14" t="str">
        <f t="shared" si="174"/>
        <v>Speed</v>
      </c>
      <c r="BE608" s="14">
        <f t="shared" si="175"/>
        <v>12</v>
      </c>
    </row>
    <row r="609" spans="39:57" ht="16.5" x14ac:dyDescent="0.2">
      <c r="AM609" s="13">
        <v>604</v>
      </c>
      <c r="AN609" s="14">
        <f t="shared" si="176"/>
        <v>34</v>
      </c>
      <c r="AO609" s="29">
        <f t="shared" si="160"/>
        <v>1.036</v>
      </c>
      <c r="AP609" s="14">
        <f t="shared" si="161"/>
        <v>2</v>
      </c>
      <c r="AQ609" s="14">
        <f t="shared" si="162"/>
        <v>3</v>
      </c>
      <c r="AR609" s="14">
        <f t="shared" si="163"/>
        <v>0</v>
      </c>
      <c r="AS609" s="14">
        <f t="shared" si="164"/>
        <v>1606036</v>
      </c>
      <c r="AT609" s="14" t="str">
        <f t="shared" si="165"/>
        <v>神器-6-碎片-8-13级</v>
      </c>
      <c r="AU609" s="13" t="s">
        <v>1195</v>
      </c>
      <c r="AV609" s="13">
        <f t="shared" si="166"/>
        <v>13</v>
      </c>
      <c r="AW609" s="14">
        <f t="shared" si="167"/>
        <v>31662</v>
      </c>
      <c r="AX609" s="14" t="str">
        <f t="shared" si="168"/>
        <v>DefExt</v>
      </c>
      <c r="AY609" s="14">
        <f t="shared" si="169"/>
        <v>2757</v>
      </c>
      <c r="AZ609" s="14" t="str">
        <f t="shared" si="170"/>
        <v>HPExt</v>
      </c>
      <c r="BA609" s="14">
        <f t="shared" si="171"/>
        <v>2792</v>
      </c>
      <c r="BB609" s="14" t="str">
        <f t="shared" si="172"/>
        <v/>
      </c>
      <c r="BC609" s="14" t="str">
        <f t="shared" si="173"/>
        <v/>
      </c>
      <c r="BD609" s="14" t="str">
        <f t="shared" si="174"/>
        <v>Speed</v>
      </c>
      <c r="BE609" s="14">
        <f t="shared" si="175"/>
        <v>13</v>
      </c>
    </row>
    <row r="610" spans="39:57" ht="16.5" x14ac:dyDescent="0.2">
      <c r="AM610" s="13">
        <v>605</v>
      </c>
      <c r="AN610" s="14">
        <f t="shared" si="176"/>
        <v>34</v>
      </c>
      <c r="AO610" s="29">
        <f t="shared" si="160"/>
        <v>1.1400000000000001</v>
      </c>
      <c r="AP610" s="14">
        <f t="shared" si="161"/>
        <v>2</v>
      </c>
      <c r="AQ610" s="14">
        <f t="shared" si="162"/>
        <v>3</v>
      </c>
      <c r="AR610" s="14">
        <f t="shared" si="163"/>
        <v>0</v>
      </c>
      <c r="AS610" s="14">
        <f t="shared" si="164"/>
        <v>1606036</v>
      </c>
      <c r="AT610" s="14" t="str">
        <f t="shared" si="165"/>
        <v>神器-6-碎片-8-14级</v>
      </c>
      <c r="AU610" s="13" t="s">
        <v>1195</v>
      </c>
      <c r="AV610" s="13">
        <f t="shared" si="166"/>
        <v>14</v>
      </c>
      <c r="AW610" s="14">
        <f t="shared" si="167"/>
        <v>34802</v>
      </c>
      <c r="AX610" s="14" t="str">
        <f t="shared" si="168"/>
        <v>DefExt</v>
      </c>
      <c r="AY610" s="14">
        <f t="shared" si="169"/>
        <v>3033</v>
      </c>
      <c r="AZ610" s="14" t="str">
        <f t="shared" si="170"/>
        <v>HPExt</v>
      </c>
      <c r="BA610" s="14">
        <f t="shared" si="171"/>
        <v>3072</v>
      </c>
      <c r="BB610" s="14" t="str">
        <f t="shared" si="172"/>
        <v/>
      </c>
      <c r="BC610" s="14" t="str">
        <f t="shared" si="173"/>
        <v/>
      </c>
      <c r="BD610" s="14" t="str">
        <f t="shared" si="174"/>
        <v>Speed</v>
      </c>
      <c r="BE610" s="14">
        <f t="shared" si="175"/>
        <v>14</v>
      </c>
    </row>
    <row r="611" spans="39:57" ht="16.5" x14ac:dyDescent="0.2">
      <c r="AM611" s="13">
        <v>606</v>
      </c>
      <c r="AN611" s="14">
        <f t="shared" si="176"/>
        <v>34</v>
      </c>
      <c r="AO611" s="29">
        <f t="shared" si="160"/>
        <v>1.248</v>
      </c>
      <c r="AP611" s="14">
        <f t="shared" si="161"/>
        <v>2</v>
      </c>
      <c r="AQ611" s="14">
        <f t="shared" si="162"/>
        <v>3</v>
      </c>
      <c r="AR611" s="14">
        <f t="shared" si="163"/>
        <v>0</v>
      </c>
      <c r="AS611" s="14">
        <f t="shared" si="164"/>
        <v>1606036</v>
      </c>
      <c r="AT611" s="14" t="str">
        <f t="shared" si="165"/>
        <v>神器-6-碎片-8-15级</v>
      </c>
      <c r="AU611" s="13" t="s">
        <v>1195</v>
      </c>
      <c r="AV611" s="13">
        <f t="shared" si="166"/>
        <v>15</v>
      </c>
      <c r="AW611" s="14">
        <f t="shared" si="167"/>
        <v>38073</v>
      </c>
      <c r="AX611" s="14" t="str">
        <f t="shared" si="168"/>
        <v>DefExt</v>
      </c>
      <c r="AY611" s="14">
        <f t="shared" si="169"/>
        <v>3321</v>
      </c>
      <c r="AZ611" s="14" t="str">
        <f t="shared" si="170"/>
        <v>HPExt</v>
      </c>
      <c r="BA611" s="14">
        <f t="shared" si="171"/>
        <v>3363</v>
      </c>
      <c r="BB611" s="14" t="str">
        <f t="shared" si="172"/>
        <v/>
      </c>
      <c r="BC611" s="14" t="str">
        <f t="shared" si="173"/>
        <v/>
      </c>
      <c r="BD611" s="14" t="str">
        <f t="shared" si="174"/>
        <v>Speed</v>
      </c>
      <c r="BE611" s="14">
        <f t="shared" si="175"/>
        <v>15</v>
      </c>
    </row>
    <row r="612" spans="39:57" ht="16.5" x14ac:dyDescent="0.2">
      <c r="AM612" s="13">
        <v>607</v>
      </c>
      <c r="AN612" s="14">
        <f t="shared" si="176"/>
        <v>34</v>
      </c>
      <c r="AO612" s="29">
        <f t="shared" si="160"/>
        <v>1.36</v>
      </c>
      <c r="AP612" s="14">
        <f t="shared" si="161"/>
        <v>2</v>
      </c>
      <c r="AQ612" s="14">
        <f t="shared" si="162"/>
        <v>3</v>
      </c>
      <c r="AR612" s="14">
        <f t="shared" si="163"/>
        <v>0</v>
      </c>
      <c r="AS612" s="14">
        <f t="shared" si="164"/>
        <v>1606036</v>
      </c>
      <c r="AT612" s="14" t="str">
        <f t="shared" si="165"/>
        <v>神器-6-碎片-8-16级</v>
      </c>
      <c r="AU612" s="13" t="s">
        <v>1195</v>
      </c>
      <c r="AV612" s="13">
        <f t="shared" si="166"/>
        <v>16</v>
      </c>
      <c r="AW612" s="14">
        <f t="shared" si="167"/>
        <v>41455</v>
      </c>
      <c r="AX612" s="14" t="str">
        <f t="shared" si="168"/>
        <v>DefExt</v>
      </c>
      <c r="AY612" s="14">
        <f t="shared" si="169"/>
        <v>3619</v>
      </c>
      <c r="AZ612" s="14" t="str">
        <f t="shared" si="170"/>
        <v>HPExt</v>
      </c>
      <c r="BA612" s="14">
        <f t="shared" si="171"/>
        <v>3665</v>
      </c>
      <c r="BB612" s="14" t="str">
        <f t="shared" si="172"/>
        <v/>
      </c>
      <c r="BC612" s="14" t="str">
        <f t="shared" si="173"/>
        <v/>
      </c>
      <c r="BD612" s="14" t="str">
        <f t="shared" si="174"/>
        <v>Speed</v>
      </c>
      <c r="BE612" s="14">
        <f t="shared" si="175"/>
        <v>16</v>
      </c>
    </row>
    <row r="613" spans="39:57" ht="16.5" x14ac:dyDescent="0.2">
      <c r="AM613" s="13">
        <v>608</v>
      </c>
      <c r="AN613" s="14">
        <f t="shared" si="176"/>
        <v>34</v>
      </c>
      <c r="AO613" s="29">
        <f t="shared" si="160"/>
        <v>1.476</v>
      </c>
      <c r="AP613" s="14">
        <f t="shared" si="161"/>
        <v>2</v>
      </c>
      <c r="AQ613" s="14">
        <f t="shared" si="162"/>
        <v>3</v>
      </c>
      <c r="AR613" s="14">
        <f t="shared" si="163"/>
        <v>0</v>
      </c>
      <c r="AS613" s="14">
        <f t="shared" si="164"/>
        <v>1606036</v>
      </c>
      <c r="AT613" s="14" t="str">
        <f t="shared" si="165"/>
        <v>神器-6-碎片-8-17级</v>
      </c>
      <c r="AU613" s="13" t="s">
        <v>1195</v>
      </c>
      <c r="AV613" s="13">
        <f t="shared" si="166"/>
        <v>17</v>
      </c>
      <c r="AW613" s="14">
        <f t="shared" si="167"/>
        <v>44947</v>
      </c>
      <c r="AX613" s="14" t="str">
        <f t="shared" si="168"/>
        <v>DefExt</v>
      </c>
      <c r="AY613" s="14">
        <f t="shared" si="169"/>
        <v>3927</v>
      </c>
      <c r="AZ613" s="14" t="str">
        <f t="shared" si="170"/>
        <v>HPExt</v>
      </c>
      <c r="BA613" s="14">
        <f t="shared" si="171"/>
        <v>3977</v>
      </c>
      <c r="BB613" s="14" t="str">
        <f t="shared" si="172"/>
        <v/>
      </c>
      <c r="BC613" s="14" t="str">
        <f t="shared" si="173"/>
        <v/>
      </c>
      <c r="BD613" s="14" t="str">
        <f t="shared" si="174"/>
        <v>Speed</v>
      </c>
      <c r="BE613" s="14">
        <f t="shared" si="175"/>
        <v>17</v>
      </c>
    </row>
    <row r="614" spans="39:57" ht="16.5" x14ac:dyDescent="0.2">
      <c r="AM614" s="13">
        <v>609</v>
      </c>
      <c r="AN614" s="14">
        <f t="shared" si="176"/>
        <v>34</v>
      </c>
      <c r="AO614" s="29">
        <f t="shared" si="160"/>
        <v>1.5960000000000001</v>
      </c>
      <c r="AP614" s="14">
        <f t="shared" si="161"/>
        <v>2</v>
      </c>
      <c r="AQ614" s="14">
        <f t="shared" si="162"/>
        <v>3</v>
      </c>
      <c r="AR614" s="14">
        <f t="shared" si="163"/>
        <v>0</v>
      </c>
      <c r="AS614" s="14">
        <f t="shared" si="164"/>
        <v>1606036</v>
      </c>
      <c r="AT614" s="14" t="str">
        <f t="shared" si="165"/>
        <v>神器-6-碎片-8-18级</v>
      </c>
      <c r="AU614" s="13" t="s">
        <v>1195</v>
      </c>
      <c r="AV614" s="13">
        <f t="shared" si="166"/>
        <v>18</v>
      </c>
      <c r="AW614" s="14">
        <f t="shared" si="167"/>
        <v>48571</v>
      </c>
      <c r="AX614" s="14" t="str">
        <f t="shared" si="168"/>
        <v>DefExt</v>
      </c>
      <c r="AY614" s="14">
        <f t="shared" si="169"/>
        <v>4247</v>
      </c>
      <c r="AZ614" s="14" t="str">
        <f t="shared" si="170"/>
        <v>HPExt</v>
      </c>
      <c r="BA614" s="14">
        <f t="shared" si="171"/>
        <v>4301</v>
      </c>
      <c r="BB614" s="14" t="str">
        <f t="shared" si="172"/>
        <v/>
      </c>
      <c r="BC614" s="14" t="str">
        <f t="shared" si="173"/>
        <v/>
      </c>
      <c r="BD614" s="14" t="str">
        <f t="shared" si="174"/>
        <v>Speed</v>
      </c>
      <c r="BE614" s="14">
        <f t="shared" si="175"/>
        <v>18</v>
      </c>
    </row>
    <row r="615" spans="39:57" ht="16.5" x14ac:dyDescent="0.2">
      <c r="AM615" s="13">
        <v>610</v>
      </c>
      <c r="AN615" s="14">
        <f t="shared" si="176"/>
        <v>34</v>
      </c>
      <c r="AO615" s="29">
        <f t="shared" si="160"/>
        <v>1.7200000000000002</v>
      </c>
      <c r="AP615" s="14">
        <f t="shared" si="161"/>
        <v>2</v>
      </c>
      <c r="AQ615" s="14">
        <f t="shared" si="162"/>
        <v>3</v>
      </c>
      <c r="AR615" s="14">
        <f t="shared" si="163"/>
        <v>0</v>
      </c>
      <c r="AS615" s="14">
        <f t="shared" si="164"/>
        <v>1606036</v>
      </c>
      <c r="AT615" s="14" t="str">
        <f t="shared" si="165"/>
        <v>神器-6-碎片-8-19级</v>
      </c>
      <c r="AU615" s="13" t="s">
        <v>1195</v>
      </c>
      <c r="AV615" s="13">
        <f t="shared" si="166"/>
        <v>19</v>
      </c>
      <c r="AW615" s="14">
        <f t="shared" si="167"/>
        <v>52305</v>
      </c>
      <c r="AX615" s="14" t="str">
        <f t="shared" si="168"/>
        <v>DefExt</v>
      </c>
      <c r="AY615" s="14">
        <f t="shared" si="169"/>
        <v>4577</v>
      </c>
      <c r="AZ615" s="14" t="str">
        <f t="shared" si="170"/>
        <v>HPExt</v>
      </c>
      <c r="BA615" s="14">
        <f t="shared" si="171"/>
        <v>4635</v>
      </c>
      <c r="BB615" s="14" t="str">
        <f t="shared" si="172"/>
        <v/>
      </c>
      <c r="BC615" s="14" t="str">
        <f t="shared" si="173"/>
        <v/>
      </c>
      <c r="BD615" s="14" t="str">
        <f t="shared" si="174"/>
        <v>Speed</v>
      </c>
      <c r="BE615" s="14">
        <f t="shared" si="175"/>
        <v>19</v>
      </c>
    </row>
    <row r="616" spans="39:57" ht="16.5" x14ac:dyDescent="0.2">
      <c r="AM616" s="13">
        <v>611</v>
      </c>
      <c r="AN616" s="14">
        <f t="shared" si="176"/>
        <v>34</v>
      </c>
      <c r="AO616" s="29">
        <f t="shared" si="160"/>
        <v>1.8480000000000001</v>
      </c>
      <c r="AP616" s="14">
        <f t="shared" si="161"/>
        <v>2</v>
      </c>
      <c r="AQ616" s="14">
        <f t="shared" si="162"/>
        <v>3</v>
      </c>
      <c r="AR616" s="14">
        <f t="shared" si="163"/>
        <v>0</v>
      </c>
      <c r="AS616" s="14">
        <f t="shared" si="164"/>
        <v>1606036</v>
      </c>
      <c r="AT616" s="14" t="str">
        <f t="shared" si="165"/>
        <v>神器-6-碎片-8-20级</v>
      </c>
      <c r="AU616" s="13" t="s">
        <v>1195</v>
      </c>
      <c r="AV616" s="13">
        <f t="shared" si="166"/>
        <v>20</v>
      </c>
      <c r="AW616" s="14">
        <f t="shared" si="167"/>
        <v>56150</v>
      </c>
      <c r="AX616" s="14" t="str">
        <f t="shared" si="168"/>
        <v>DefExt</v>
      </c>
      <c r="AY616" s="14">
        <f t="shared" si="169"/>
        <v>4917</v>
      </c>
      <c r="AZ616" s="14" t="str">
        <f t="shared" si="170"/>
        <v>HPExt</v>
      </c>
      <c r="BA616" s="14">
        <f t="shared" si="171"/>
        <v>4980</v>
      </c>
      <c r="BB616" s="14" t="str">
        <f t="shared" si="172"/>
        <v/>
      </c>
      <c r="BC616" s="14" t="str">
        <f t="shared" si="173"/>
        <v/>
      </c>
      <c r="BD616" s="14" t="str">
        <f t="shared" si="174"/>
        <v>Speed</v>
      </c>
      <c r="BE616" s="14">
        <f t="shared" si="175"/>
        <v>20</v>
      </c>
    </row>
    <row r="617" spans="39:57" ht="16.5" x14ac:dyDescent="0.2">
      <c r="AM617" s="13">
        <v>612</v>
      </c>
      <c r="AN617" s="14">
        <f t="shared" si="176"/>
        <v>34</v>
      </c>
      <c r="AO617" s="29">
        <f t="shared" si="160"/>
        <v>1.98</v>
      </c>
      <c r="AP617" s="14">
        <f t="shared" si="161"/>
        <v>2</v>
      </c>
      <c r="AQ617" s="14">
        <f t="shared" si="162"/>
        <v>3</v>
      </c>
      <c r="AR617" s="14">
        <f t="shared" si="163"/>
        <v>0</v>
      </c>
      <c r="AS617" s="14">
        <f t="shared" si="164"/>
        <v>1606036</v>
      </c>
      <c r="AT617" s="14" t="str">
        <f t="shared" si="165"/>
        <v>神器-6-碎片-8-21级</v>
      </c>
      <c r="AU617" s="13" t="s">
        <v>1195</v>
      </c>
      <c r="AV617" s="13">
        <f t="shared" si="166"/>
        <v>21</v>
      </c>
      <c r="AW617" s="14">
        <f t="shared" si="167"/>
        <v>60125</v>
      </c>
      <c r="AX617" s="14" t="str">
        <f t="shared" si="168"/>
        <v>DefExt</v>
      </c>
      <c r="AY617" s="14">
        <f t="shared" si="169"/>
        <v>5269</v>
      </c>
      <c r="AZ617" s="14" t="str">
        <f t="shared" si="170"/>
        <v>HPExt</v>
      </c>
      <c r="BA617" s="14">
        <f t="shared" si="171"/>
        <v>5335</v>
      </c>
      <c r="BB617" s="14" t="str">
        <f t="shared" si="172"/>
        <v/>
      </c>
      <c r="BC617" s="14" t="str">
        <f t="shared" si="173"/>
        <v/>
      </c>
      <c r="BD617" s="14" t="str">
        <f t="shared" si="174"/>
        <v>Speed</v>
      </c>
      <c r="BE617" s="14">
        <f t="shared" si="175"/>
        <v>21</v>
      </c>
    </row>
    <row r="618" spans="39:57" ht="16.5" x14ac:dyDescent="0.2">
      <c r="AM618" s="13">
        <v>613</v>
      </c>
      <c r="AN618" s="14">
        <f t="shared" si="176"/>
        <v>35</v>
      </c>
      <c r="AO618" s="29">
        <f t="shared" si="160"/>
        <v>0.1</v>
      </c>
      <c r="AP618" s="14">
        <f t="shared" si="161"/>
        <v>1</v>
      </c>
      <c r="AQ618" s="14">
        <f t="shared" si="162"/>
        <v>3</v>
      </c>
      <c r="AR618" s="14">
        <f t="shared" si="163"/>
        <v>0</v>
      </c>
      <c r="AS618" s="14">
        <f t="shared" si="164"/>
        <v>1606037</v>
      </c>
      <c r="AT618" s="14" t="str">
        <f t="shared" si="165"/>
        <v>神器-7-碎片-1-1级</v>
      </c>
      <c r="AU618" s="13" t="s">
        <v>1195</v>
      </c>
      <c r="AV618" s="13">
        <f t="shared" si="166"/>
        <v>1</v>
      </c>
      <c r="AW618" s="14">
        <f t="shared" si="167"/>
        <v>573</v>
      </c>
      <c r="AX618" s="14" t="str">
        <f t="shared" si="168"/>
        <v>AtkExt</v>
      </c>
      <c r="AY618" s="14">
        <f t="shared" si="169"/>
        <v>81</v>
      </c>
      <c r="AZ618" s="14" t="str">
        <f t="shared" si="170"/>
        <v>HPExt</v>
      </c>
      <c r="BA618" s="14">
        <f t="shared" si="171"/>
        <v>168</v>
      </c>
      <c r="BB618" s="14" t="str">
        <f t="shared" si="172"/>
        <v/>
      </c>
      <c r="BC618" s="14" t="str">
        <f t="shared" si="173"/>
        <v/>
      </c>
      <c r="BD618" s="14" t="str">
        <f t="shared" si="174"/>
        <v/>
      </c>
      <c r="BE618" s="14" t="str">
        <f t="shared" si="175"/>
        <v/>
      </c>
    </row>
    <row r="619" spans="39:57" ht="16.5" x14ac:dyDescent="0.2">
      <c r="AM619" s="13">
        <v>614</v>
      </c>
      <c r="AN619" s="14">
        <f t="shared" si="176"/>
        <v>35</v>
      </c>
      <c r="AO619" s="29">
        <f t="shared" si="160"/>
        <v>0.15600000000000003</v>
      </c>
      <c r="AP619" s="14">
        <f t="shared" si="161"/>
        <v>1</v>
      </c>
      <c r="AQ619" s="14">
        <f t="shared" si="162"/>
        <v>3</v>
      </c>
      <c r="AR619" s="14">
        <f t="shared" si="163"/>
        <v>0</v>
      </c>
      <c r="AS619" s="14">
        <f t="shared" si="164"/>
        <v>1606037</v>
      </c>
      <c r="AT619" s="14" t="str">
        <f t="shared" si="165"/>
        <v>神器-7-碎片-1-2级</v>
      </c>
      <c r="AU619" s="13" t="s">
        <v>1195</v>
      </c>
      <c r="AV619" s="13">
        <f t="shared" si="166"/>
        <v>2</v>
      </c>
      <c r="AW619" s="14">
        <f t="shared" si="167"/>
        <v>893</v>
      </c>
      <c r="AX619" s="14" t="str">
        <f t="shared" si="168"/>
        <v>AtkExt</v>
      </c>
      <c r="AY619" s="14">
        <f t="shared" si="169"/>
        <v>126</v>
      </c>
      <c r="AZ619" s="14" t="str">
        <f t="shared" si="170"/>
        <v>HPExt</v>
      </c>
      <c r="BA619" s="14">
        <f t="shared" si="171"/>
        <v>263</v>
      </c>
      <c r="BB619" s="14" t="str">
        <f t="shared" si="172"/>
        <v/>
      </c>
      <c r="BC619" s="14" t="str">
        <f t="shared" si="173"/>
        <v/>
      </c>
      <c r="BD619" s="14" t="str">
        <f t="shared" si="174"/>
        <v/>
      </c>
      <c r="BE619" s="14" t="str">
        <f t="shared" si="175"/>
        <v/>
      </c>
    </row>
    <row r="620" spans="39:57" ht="16.5" x14ac:dyDescent="0.2">
      <c r="AM620" s="13">
        <v>615</v>
      </c>
      <c r="AN620" s="14">
        <f t="shared" si="176"/>
        <v>35</v>
      </c>
      <c r="AO620" s="29">
        <f t="shared" si="160"/>
        <v>0.21600000000000003</v>
      </c>
      <c r="AP620" s="14">
        <f t="shared" si="161"/>
        <v>1</v>
      </c>
      <c r="AQ620" s="14">
        <f t="shared" si="162"/>
        <v>3</v>
      </c>
      <c r="AR620" s="14">
        <f t="shared" si="163"/>
        <v>0</v>
      </c>
      <c r="AS620" s="14">
        <f t="shared" si="164"/>
        <v>1606037</v>
      </c>
      <c r="AT620" s="14" t="str">
        <f t="shared" si="165"/>
        <v>神器-7-碎片-1-3级</v>
      </c>
      <c r="AU620" s="13" t="s">
        <v>1195</v>
      </c>
      <c r="AV620" s="13">
        <f t="shared" si="166"/>
        <v>3</v>
      </c>
      <c r="AW620" s="14">
        <f t="shared" si="167"/>
        <v>1239</v>
      </c>
      <c r="AX620" s="14" t="str">
        <f t="shared" si="168"/>
        <v>AtkExt</v>
      </c>
      <c r="AY620" s="14">
        <f t="shared" si="169"/>
        <v>175</v>
      </c>
      <c r="AZ620" s="14" t="str">
        <f t="shared" si="170"/>
        <v>HPExt</v>
      </c>
      <c r="BA620" s="14">
        <f t="shared" si="171"/>
        <v>364</v>
      </c>
      <c r="BB620" s="14" t="str">
        <f t="shared" si="172"/>
        <v/>
      </c>
      <c r="BC620" s="14" t="str">
        <f t="shared" si="173"/>
        <v/>
      </c>
      <c r="BD620" s="14" t="str">
        <f t="shared" si="174"/>
        <v/>
      </c>
      <c r="BE620" s="14" t="str">
        <f t="shared" si="175"/>
        <v/>
      </c>
    </row>
    <row r="621" spans="39:57" ht="16.5" x14ac:dyDescent="0.2">
      <c r="AM621" s="13">
        <v>616</v>
      </c>
      <c r="AN621" s="14">
        <f t="shared" si="176"/>
        <v>35</v>
      </c>
      <c r="AO621" s="29">
        <f t="shared" si="160"/>
        <v>0.28000000000000003</v>
      </c>
      <c r="AP621" s="14">
        <f t="shared" si="161"/>
        <v>1</v>
      </c>
      <c r="AQ621" s="14">
        <f t="shared" si="162"/>
        <v>3</v>
      </c>
      <c r="AR621" s="14">
        <f t="shared" si="163"/>
        <v>0</v>
      </c>
      <c r="AS621" s="14">
        <f t="shared" si="164"/>
        <v>1606037</v>
      </c>
      <c r="AT621" s="14" t="str">
        <f t="shared" si="165"/>
        <v>神器-7-碎片-1-4级</v>
      </c>
      <c r="AU621" s="13" t="s">
        <v>1195</v>
      </c>
      <c r="AV621" s="13">
        <f t="shared" si="166"/>
        <v>4</v>
      </c>
      <c r="AW621" s="14">
        <f t="shared" si="167"/>
        <v>1602</v>
      </c>
      <c r="AX621" s="14" t="str">
        <f t="shared" si="168"/>
        <v>AtkExt</v>
      </c>
      <c r="AY621" s="14">
        <f t="shared" si="169"/>
        <v>226</v>
      </c>
      <c r="AZ621" s="14" t="str">
        <f t="shared" si="170"/>
        <v>HPExt</v>
      </c>
      <c r="BA621" s="14">
        <f t="shared" si="171"/>
        <v>472</v>
      </c>
      <c r="BB621" s="14" t="str">
        <f t="shared" si="172"/>
        <v/>
      </c>
      <c r="BC621" s="14" t="str">
        <f t="shared" si="173"/>
        <v/>
      </c>
      <c r="BD621" s="14" t="str">
        <f t="shared" si="174"/>
        <v/>
      </c>
      <c r="BE621" s="14" t="str">
        <f t="shared" si="175"/>
        <v/>
      </c>
    </row>
    <row r="622" spans="39:57" ht="16.5" x14ac:dyDescent="0.2">
      <c r="AM622" s="13">
        <v>617</v>
      </c>
      <c r="AN622" s="14">
        <f t="shared" si="176"/>
        <v>35</v>
      </c>
      <c r="AO622" s="29">
        <f t="shared" si="160"/>
        <v>0.34799999999999998</v>
      </c>
      <c r="AP622" s="14">
        <f t="shared" si="161"/>
        <v>1</v>
      </c>
      <c r="AQ622" s="14">
        <f t="shared" si="162"/>
        <v>3</v>
      </c>
      <c r="AR622" s="14">
        <f t="shared" si="163"/>
        <v>0</v>
      </c>
      <c r="AS622" s="14">
        <f t="shared" si="164"/>
        <v>1606037</v>
      </c>
      <c r="AT622" s="14" t="str">
        <f t="shared" si="165"/>
        <v>神器-7-碎片-1-5级</v>
      </c>
      <c r="AU622" s="13" t="s">
        <v>1195</v>
      </c>
      <c r="AV622" s="13">
        <f t="shared" si="166"/>
        <v>5</v>
      </c>
      <c r="AW622" s="14">
        <f t="shared" si="167"/>
        <v>1991</v>
      </c>
      <c r="AX622" s="14" t="str">
        <f t="shared" si="168"/>
        <v>AtkExt</v>
      </c>
      <c r="AY622" s="14">
        <f t="shared" si="169"/>
        <v>281</v>
      </c>
      <c r="AZ622" s="14" t="str">
        <f t="shared" si="170"/>
        <v>HPExt</v>
      </c>
      <c r="BA622" s="14">
        <f t="shared" si="171"/>
        <v>586</v>
      </c>
      <c r="BB622" s="14" t="str">
        <f t="shared" si="172"/>
        <v/>
      </c>
      <c r="BC622" s="14" t="str">
        <f t="shared" si="173"/>
        <v/>
      </c>
      <c r="BD622" s="14" t="str">
        <f t="shared" si="174"/>
        <v/>
      </c>
      <c r="BE622" s="14" t="str">
        <f t="shared" si="175"/>
        <v/>
      </c>
    </row>
    <row r="623" spans="39:57" ht="16.5" x14ac:dyDescent="0.2">
      <c r="AM623" s="13">
        <v>618</v>
      </c>
      <c r="AN623" s="14">
        <f t="shared" si="176"/>
        <v>35</v>
      </c>
      <c r="AO623" s="29">
        <f t="shared" si="160"/>
        <v>0.42000000000000004</v>
      </c>
      <c r="AP623" s="14">
        <f t="shared" si="161"/>
        <v>1</v>
      </c>
      <c r="AQ623" s="14">
        <f t="shared" si="162"/>
        <v>3</v>
      </c>
      <c r="AR623" s="14">
        <f t="shared" si="163"/>
        <v>0</v>
      </c>
      <c r="AS623" s="14">
        <f t="shared" si="164"/>
        <v>1606037</v>
      </c>
      <c r="AT623" s="14" t="str">
        <f t="shared" si="165"/>
        <v>神器-7-碎片-1-6级</v>
      </c>
      <c r="AU623" s="13" t="s">
        <v>1195</v>
      </c>
      <c r="AV623" s="13">
        <f t="shared" si="166"/>
        <v>6</v>
      </c>
      <c r="AW623" s="14">
        <f t="shared" si="167"/>
        <v>2407</v>
      </c>
      <c r="AX623" s="14" t="str">
        <f t="shared" si="168"/>
        <v>AtkExt</v>
      </c>
      <c r="AY623" s="14">
        <f t="shared" si="169"/>
        <v>340</v>
      </c>
      <c r="AZ623" s="14" t="str">
        <f t="shared" si="170"/>
        <v>HPExt</v>
      </c>
      <c r="BA623" s="14">
        <f t="shared" si="171"/>
        <v>707</v>
      </c>
      <c r="BB623" s="14" t="str">
        <f t="shared" si="172"/>
        <v/>
      </c>
      <c r="BC623" s="14" t="str">
        <f t="shared" si="173"/>
        <v/>
      </c>
      <c r="BD623" s="14" t="str">
        <f t="shared" si="174"/>
        <v/>
      </c>
      <c r="BE623" s="14" t="str">
        <f t="shared" si="175"/>
        <v/>
      </c>
    </row>
    <row r="624" spans="39:57" ht="16.5" x14ac:dyDescent="0.2">
      <c r="AM624" s="13">
        <v>619</v>
      </c>
      <c r="AN624" s="14">
        <f t="shared" si="176"/>
        <v>35</v>
      </c>
      <c r="AO624" s="29">
        <f t="shared" si="160"/>
        <v>0.496</v>
      </c>
      <c r="AP624" s="14">
        <f t="shared" si="161"/>
        <v>1</v>
      </c>
      <c r="AQ624" s="14">
        <f t="shared" si="162"/>
        <v>3</v>
      </c>
      <c r="AR624" s="14">
        <f t="shared" si="163"/>
        <v>0</v>
      </c>
      <c r="AS624" s="14">
        <f t="shared" si="164"/>
        <v>1606037</v>
      </c>
      <c r="AT624" s="14" t="str">
        <f t="shared" si="165"/>
        <v>神器-7-碎片-1-7级</v>
      </c>
      <c r="AU624" s="13" t="s">
        <v>1195</v>
      </c>
      <c r="AV624" s="13">
        <f t="shared" si="166"/>
        <v>7</v>
      </c>
      <c r="AW624" s="14">
        <f t="shared" si="167"/>
        <v>2840</v>
      </c>
      <c r="AX624" s="14" t="str">
        <f t="shared" si="168"/>
        <v>AtkExt</v>
      </c>
      <c r="AY624" s="14">
        <f t="shared" si="169"/>
        <v>401</v>
      </c>
      <c r="AZ624" s="14" t="str">
        <f t="shared" si="170"/>
        <v>HPExt</v>
      </c>
      <c r="BA624" s="14">
        <f t="shared" si="171"/>
        <v>835</v>
      </c>
      <c r="BB624" s="14" t="str">
        <f t="shared" si="172"/>
        <v/>
      </c>
      <c r="BC624" s="14" t="str">
        <f t="shared" si="173"/>
        <v/>
      </c>
      <c r="BD624" s="14" t="str">
        <f t="shared" si="174"/>
        <v/>
      </c>
      <c r="BE624" s="14" t="str">
        <f t="shared" si="175"/>
        <v/>
      </c>
    </row>
    <row r="625" spans="39:57" ht="16.5" x14ac:dyDescent="0.2">
      <c r="AM625" s="13">
        <v>620</v>
      </c>
      <c r="AN625" s="14">
        <f t="shared" si="176"/>
        <v>35</v>
      </c>
      <c r="AO625" s="29">
        <f t="shared" si="160"/>
        <v>0.57600000000000007</v>
      </c>
      <c r="AP625" s="14">
        <f t="shared" si="161"/>
        <v>1</v>
      </c>
      <c r="AQ625" s="14">
        <f t="shared" si="162"/>
        <v>3</v>
      </c>
      <c r="AR625" s="14">
        <f t="shared" si="163"/>
        <v>0</v>
      </c>
      <c r="AS625" s="14">
        <f t="shared" si="164"/>
        <v>1606037</v>
      </c>
      <c r="AT625" s="14" t="str">
        <f t="shared" si="165"/>
        <v>神器-7-碎片-1-8级</v>
      </c>
      <c r="AU625" s="13" t="s">
        <v>1195</v>
      </c>
      <c r="AV625" s="13">
        <f t="shared" si="166"/>
        <v>8</v>
      </c>
      <c r="AW625" s="14">
        <f t="shared" si="167"/>
        <v>3300</v>
      </c>
      <c r="AX625" s="14" t="str">
        <f t="shared" si="168"/>
        <v>AtkExt</v>
      </c>
      <c r="AY625" s="14">
        <f t="shared" si="169"/>
        <v>466</v>
      </c>
      <c r="AZ625" s="14" t="str">
        <f t="shared" si="170"/>
        <v>HPExt</v>
      </c>
      <c r="BA625" s="14">
        <f t="shared" si="171"/>
        <v>970</v>
      </c>
      <c r="BB625" s="14" t="str">
        <f t="shared" si="172"/>
        <v/>
      </c>
      <c r="BC625" s="14" t="str">
        <f t="shared" si="173"/>
        <v/>
      </c>
      <c r="BD625" s="14" t="str">
        <f t="shared" si="174"/>
        <v/>
      </c>
      <c r="BE625" s="14" t="str">
        <f t="shared" si="175"/>
        <v/>
      </c>
    </row>
    <row r="626" spans="39:57" ht="16.5" x14ac:dyDescent="0.2">
      <c r="AM626" s="13">
        <v>621</v>
      </c>
      <c r="AN626" s="14">
        <f t="shared" si="176"/>
        <v>35</v>
      </c>
      <c r="AO626" s="29">
        <f t="shared" si="160"/>
        <v>0.66</v>
      </c>
      <c r="AP626" s="14">
        <f t="shared" si="161"/>
        <v>1</v>
      </c>
      <c r="AQ626" s="14">
        <f t="shared" si="162"/>
        <v>3</v>
      </c>
      <c r="AR626" s="14">
        <f t="shared" si="163"/>
        <v>0</v>
      </c>
      <c r="AS626" s="14">
        <f t="shared" si="164"/>
        <v>1606037</v>
      </c>
      <c r="AT626" s="14" t="str">
        <f t="shared" si="165"/>
        <v>神器-7-碎片-1-9级</v>
      </c>
      <c r="AU626" s="13" t="s">
        <v>1195</v>
      </c>
      <c r="AV626" s="13">
        <f t="shared" si="166"/>
        <v>9</v>
      </c>
      <c r="AW626" s="14">
        <f t="shared" si="167"/>
        <v>3782</v>
      </c>
      <c r="AX626" s="14" t="str">
        <f t="shared" si="168"/>
        <v>AtkExt</v>
      </c>
      <c r="AY626" s="14">
        <f t="shared" si="169"/>
        <v>534</v>
      </c>
      <c r="AZ626" s="14" t="str">
        <f t="shared" si="170"/>
        <v>HPExt</v>
      </c>
      <c r="BA626" s="14">
        <f t="shared" si="171"/>
        <v>1112</v>
      </c>
      <c r="BB626" s="14" t="str">
        <f t="shared" si="172"/>
        <v/>
      </c>
      <c r="BC626" s="14" t="str">
        <f t="shared" si="173"/>
        <v/>
      </c>
      <c r="BD626" s="14" t="str">
        <f t="shared" si="174"/>
        <v/>
      </c>
      <c r="BE626" s="14" t="str">
        <f t="shared" si="175"/>
        <v/>
      </c>
    </row>
    <row r="627" spans="39:57" ht="16.5" x14ac:dyDescent="0.2">
      <c r="AM627" s="13">
        <v>622</v>
      </c>
      <c r="AN627" s="14">
        <f t="shared" si="176"/>
        <v>35</v>
      </c>
      <c r="AO627" s="29">
        <f t="shared" si="160"/>
        <v>0.748</v>
      </c>
      <c r="AP627" s="14">
        <f t="shared" si="161"/>
        <v>1</v>
      </c>
      <c r="AQ627" s="14">
        <f t="shared" si="162"/>
        <v>3</v>
      </c>
      <c r="AR627" s="14">
        <f t="shared" si="163"/>
        <v>0</v>
      </c>
      <c r="AS627" s="14">
        <f t="shared" si="164"/>
        <v>1606037</v>
      </c>
      <c r="AT627" s="14" t="str">
        <f t="shared" si="165"/>
        <v>神器-7-碎片-1-10级</v>
      </c>
      <c r="AU627" s="13" t="s">
        <v>1195</v>
      </c>
      <c r="AV627" s="13">
        <f t="shared" si="166"/>
        <v>10</v>
      </c>
      <c r="AW627" s="14">
        <f t="shared" si="167"/>
        <v>4285</v>
      </c>
      <c r="AX627" s="14" t="str">
        <f t="shared" si="168"/>
        <v>AtkExt</v>
      </c>
      <c r="AY627" s="14">
        <f t="shared" si="169"/>
        <v>605</v>
      </c>
      <c r="AZ627" s="14" t="str">
        <f t="shared" si="170"/>
        <v>HPExt</v>
      </c>
      <c r="BA627" s="14">
        <f t="shared" si="171"/>
        <v>1260</v>
      </c>
      <c r="BB627" s="14" t="str">
        <f t="shared" si="172"/>
        <v/>
      </c>
      <c r="BC627" s="14" t="str">
        <f t="shared" si="173"/>
        <v/>
      </c>
      <c r="BD627" s="14" t="str">
        <f t="shared" si="174"/>
        <v/>
      </c>
      <c r="BE627" s="14" t="str">
        <f t="shared" si="175"/>
        <v/>
      </c>
    </row>
    <row r="628" spans="39:57" ht="16.5" x14ac:dyDescent="0.2">
      <c r="AM628" s="13">
        <v>623</v>
      </c>
      <c r="AN628" s="14">
        <f t="shared" si="176"/>
        <v>35</v>
      </c>
      <c r="AO628" s="29">
        <f t="shared" si="160"/>
        <v>0.84000000000000008</v>
      </c>
      <c r="AP628" s="14">
        <f t="shared" si="161"/>
        <v>1</v>
      </c>
      <c r="AQ628" s="14">
        <f t="shared" si="162"/>
        <v>3</v>
      </c>
      <c r="AR628" s="14">
        <f t="shared" si="163"/>
        <v>0</v>
      </c>
      <c r="AS628" s="14">
        <f t="shared" si="164"/>
        <v>1606037</v>
      </c>
      <c r="AT628" s="14" t="str">
        <f t="shared" si="165"/>
        <v>神器-7-碎片-1-11级</v>
      </c>
      <c r="AU628" s="13" t="s">
        <v>1195</v>
      </c>
      <c r="AV628" s="13">
        <f t="shared" si="166"/>
        <v>11</v>
      </c>
      <c r="AW628" s="14">
        <f t="shared" si="167"/>
        <v>4810</v>
      </c>
      <c r="AX628" s="14" t="str">
        <f t="shared" si="168"/>
        <v>AtkExt</v>
      </c>
      <c r="AY628" s="14">
        <f t="shared" si="169"/>
        <v>679</v>
      </c>
      <c r="AZ628" s="14" t="str">
        <f t="shared" si="170"/>
        <v>HPExt</v>
      </c>
      <c r="BA628" s="14">
        <f t="shared" si="171"/>
        <v>1415</v>
      </c>
      <c r="BB628" s="14" t="str">
        <f t="shared" si="172"/>
        <v/>
      </c>
      <c r="BC628" s="14" t="str">
        <f t="shared" si="173"/>
        <v/>
      </c>
      <c r="BD628" s="14" t="str">
        <f t="shared" si="174"/>
        <v/>
      </c>
      <c r="BE628" s="14" t="str">
        <f t="shared" si="175"/>
        <v/>
      </c>
    </row>
    <row r="629" spans="39:57" ht="16.5" x14ac:dyDescent="0.2">
      <c r="AM629" s="13">
        <v>624</v>
      </c>
      <c r="AN629" s="14">
        <f t="shared" si="176"/>
        <v>35</v>
      </c>
      <c r="AO629" s="29">
        <f t="shared" si="160"/>
        <v>0.93600000000000017</v>
      </c>
      <c r="AP629" s="14">
        <f t="shared" si="161"/>
        <v>1</v>
      </c>
      <c r="AQ629" s="14">
        <f t="shared" si="162"/>
        <v>3</v>
      </c>
      <c r="AR629" s="14">
        <f t="shared" si="163"/>
        <v>0</v>
      </c>
      <c r="AS629" s="14">
        <f t="shared" si="164"/>
        <v>1606037</v>
      </c>
      <c r="AT629" s="14" t="str">
        <f t="shared" si="165"/>
        <v>神器-7-碎片-1-12级</v>
      </c>
      <c r="AU629" s="13" t="s">
        <v>1195</v>
      </c>
      <c r="AV629" s="13">
        <f t="shared" si="166"/>
        <v>12</v>
      </c>
      <c r="AW629" s="14">
        <f t="shared" si="167"/>
        <v>5361</v>
      </c>
      <c r="AX629" s="14" t="str">
        <f t="shared" si="168"/>
        <v>AtkExt</v>
      </c>
      <c r="AY629" s="14">
        <f t="shared" si="169"/>
        <v>757</v>
      </c>
      <c r="AZ629" s="14" t="str">
        <f t="shared" si="170"/>
        <v>HPExt</v>
      </c>
      <c r="BA629" s="14">
        <f t="shared" si="171"/>
        <v>1576</v>
      </c>
      <c r="BB629" s="14" t="str">
        <f t="shared" si="172"/>
        <v/>
      </c>
      <c r="BC629" s="14" t="str">
        <f t="shared" si="173"/>
        <v/>
      </c>
      <c r="BD629" s="14" t="str">
        <f t="shared" si="174"/>
        <v/>
      </c>
      <c r="BE629" s="14" t="str">
        <f t="shared" si="175"/>
        <v/>
      </c>
    </row>
    <row r="630" spans="39:57" ht="16.5" x14ac:dyDescent="0.2">
      <c r="AM630" s="13">
        <v>625</v>
      </c>
      <c r="AN630" s="14">
        <f t="shared" si="176"/>
        <v>35</v>
      </c>
      <c r="AO630" s="29">
        <f t="shared" si="160"/>
        <v>1.036</v>
      </c>
      <c r="AP630" s="14">
        <f t="shared" si="161"/>
        <v>1</v>
      </c>
      <c r="AQ630" s="14">
        <f t="shared" si="162"/>
        <v>3</v>
      </c>
      <c r="AR630" s="14">
        <f t="shared" si="163"/>
        <v>0</v>
      </c>
      <c r="AS630" s="14">
        <f t="shared" si="164"/>
        <v>1606037</v>
      </c>
      <c r="AT630" s="14" t="str">
        <f t="shared" si="165"/>
        <v>神器-7-碎片-1-13级</v>
      </c>
      <c r="AU630" s="13" t="s">
        <v>1195</v>
      </c>
      <c r="AV630" s="13">
        <f t="shared" si="166"/>
        <v>13</v>
      </c>
      <c r="AW630" s="14">
        <f t="shared" si="167"/>
        <v>5935</v>
      </c>
      <c r="AX630" s="14" t="str">
        <f t="shared" si="168"/>
        <v>AtkExt</v>
      </c>
      <c r="AY630" s="14">
        <f t="shared" si="169"/>
        <v>838</v>
      </c>
      <c r="AZ630" s="14" t="str">
        <f t="shared" si="170"/>
        <v>HPExt</v>
      </c>
      <c r="BA630" s="14">
        <f t="shared" si="171"/>
        <v>1745</v>
      </c>
      <c r="BB630" s="14" t="str">
        <f t="shared" si="172"/>
        <v/>
      </c>
      <c r="BC630" s="14" t="str">
        <f t="shared" si="173"/>
        <v/>
      </c>
      <c r="BD630" s="14" t="str">
        <f t="shared" si="174"/>
        <v/>
      </c>
      <c r="BE630" s="14" t="str">
        <f t="shared" si="175"/>
        <v/>
      </c>
    </row>
    <row r="631" spans="39:57" ht="16.5" x14ac:dyDescent="0.2">
      <c r="AM631" s="13">
        <v>626</v>
      </c>
      <c r="AN631" s="14">
        <f t="shared" si="176"/>
        <v>35</v>
      </c>
      <c r="AO631" s="29">
        <f t="shared" si="160"/>
        <v>1.1400000000000001</v>
      </c>
      <c r="AP631" s="14">
        <f t="shared" si="161"/>
        <v>1</v>
      </c>
      <c r="AQ631" s="14">
        <f t="shared" si="162"/>
        <v>3</v>
      </c>
      <c r="AR631" s="14">
        <f t="shared" si="163"/>
        <v>0</v>
      </c>
      <c r="AS631" s="14">
        <f t="shared" si="164"/>
        <v>1606037</v>
      </c>
      <c r="AT631" s="14" t="str">
        <f t="shared" si="165"/>
        <v>神器-7-碎片-1-14级</v>
      </c>
      <c r="AU631" s="13" t="s">
        <v>1195</v>
      </c>
      <c r="AV631" s="13">
        <f t="shared" si="166"/>
        <v>14</v>
      </c>
      <c r="AW631" s="14">
        <f t="shared" si="167"/>
        <v>6530</v>
      </c>
      <c r="AX631" s="14" t="str">
        <f t="shared" si="168"/>
        <v>AtkExt</v>
      </c>
      <c r="AY631" s="14">
        <f t="shared" si="169"/>
        <v>922</v>
      </c>
      <c r="AZ631" s="14" t="str">
        <f t="shared" si="170"/>
        <v>HPExt</v>
      </c>
      <c r="BA631" s="14">
        <f t="shared" si="171"/>
        <v>1920</v>
      </c>
      <c r="BB631" s="14" t="str">
        <f t="shared" si="172"/>
        <v/>
      </c>
      <c r="BC631" s="14" t="str">
        <f t="shared" si="173"/>
        <v/>
      </c>
      <c r="BD631" s="14" t="str">
        <f t="shared" si="174"/>
        <v/>
      </c>
      <c r="BE631" s="14" t="str">
        <f t="shared" si="175"/>
        <v/>
      </c>
    </row>
    <row r="632" spans="39:57" ht="16.5" x14ac:dyDescent="0.2">
      <c r="AM632" s="13">
        <v>627</v>
      </c>
      <c r="AN632" s="14">
        <f t="shared" si="176"/>
        <v>35</v>
      </c>
      <c r="AO632" s="29">
        <f t="shared" si="160"/>
        <v>1.248</v>
      </c>
      <c r="AP632" s="14">
        <f t="shared" si="161"/>
        <v>1</v>
      </c>
      <c r="AQ632" s="14">
        <f t="shared" si="162"/>
        <v>3</v>
      </c>
      <c r="AR632" s="14">
        <f t="shared" si="163"/>
        <v>0</v>
      </c>
      <c r="AS632" s="14">
        <f t="shared" si="164"/>
        <v>1606037</v>
      </c>
      <c r="AT632" s="14" t="str">
        <f t="shared" si="165"/>
        <v>神器-7-碎片-1-15级</v>
      </c>
      <c r="AU632" s="13" t="s">
        <v>1195</v>
      </c>
      <c r="AV632" s="13">
        <f t="shared" si="166"/>
        <v>15</v>
      </c>
      <c r="AW632" s="14">
        <f t="shared" si="167"/>
        <v>7147</v>
      </c>
      <c r="AX632" s="14" t="str">
        <f t="shared" si="168"/>
        <v>AtkExt</v>
      </c>
      <c r="AY632" s="14">
        <f t="shared" si="169"/>
        <v>1009</v>
      </c>
      <c r="AZ632" s="14" t="str">
        <f t="shared" si="170"/>
        <v>HPExt</v>
      </c>
      <c r="BA632" s="14">
        <f t="shared" si="171"/>
        <v>2102</v>
      </c>
      <c r="BB632" s="14" t="str">
        <f t="shared" si="172"/>
        <v/>
      </c>
      <c r="BC632" s="14" t="str">
        <f t="shared" si="173"/>
        <v/>
      </c>
      <c r="BD632" s="14" t="str">
        <f t="shared" si="174"/>
        <v/>
      </c>
      <c r="BE632" s="14" t="str">
        <f t="shared" si="175"/>
        <v/>
      </c>
    </row>
    <row r="633" spans="39:57" ht="16.5" x14ac:dyDescent="0.2">
      <c r="AM633" s="13">
        <v>628</v>
      </c>
      <c r="AN633" s="14">
        <f t="shared" si="176"/>
        <v>35</v>
      </c>
      <c r="AO633" s="29">
        <f t="shared" si="160"/>
        <v>1.36</v>
      </c>
      <c r="AP633" s="14">
        <f t="shared" si="161"/>
        <v>1</v>
      </c>
      <c r="AQ633" s="14">
        <f t="shared" si="162"/>
        <v>3</v>
      </c>
      <c r="AR633" s="14">
        <f t="shared" si="163"/>
        <v>0</v>
      </c>
      <c r="AS633" s="14">
        <f t="shared" si="164"/>
        <v>1606037</v>
      </c>
      <c r="AT633" s="14" t="str">
        <f t="shared" si="165"/>
        <v>神器-7-碎片-1-16级</v>
      </c>
      <c r="AU633" s="13" t="s">
        <v>1195</v>
      </c>
      <c r="AV633" s="13">
        <f t="shared" si="166"/>
        <v>16</v>
      </c>
      <c r="AW633" s="14">
        <f t="shared" si="167"/>
        <v>7790</v>
      </c>
      <c r="AX633" s="14" t="str">
        <f t="shared" si="168"/>
        <v>AtkExt</v>
      </c>
      <c r="AY633" s="14">
        <f t="shared" si="169"/>
        <v>1100</v>
      </c>
      <c r="AZ633" s="14" t="str">
        <f t="shared" si="170"/>
        <v>HPExt</v>
      </c>
      <c r="BA633" s="14">
        <f t="shared" si="171"/>
        <v>2290</v>
      </c>
      <c r="BB633" s="14" t="str">
        <f t="shared" si="172"/>
        <v/>
      </c>
      <c r="BC633" s="14" t="str">
        <f t="shared" si="173"/>
        <v/>
      </c>
      <c r="BD633" s="14" t="str">
        <f t="shared" si="174"/>
        <v/>
      </c>
      <c r="BE633" s="14" t="str">
        <f t="shared" si="175"/>
        <v/>
      </c>
    </row>
    <row r="634" spans="39:57" ht="16.5" x14ac:dyDescent="0.2">
      <c r="AM634" s="13">
        <v>629</v>
      </c>
      <c r="AN634" s="14">
        <f t="shared" si="176"/>
        <v>35</v>
      </c>
      <c r="AO634" s="29">
        <f t="shared" si="160"/>
        <v>1.476</v>
      </c>
      <c r="AP634" s="14">
        <f t="shared" si="161"/>
        <v>1</v>
      </c>
      <c r="AQ634" s="14">
        <f t="shared" si="162"/>
        <v>3</v>
      </c>
      <c r="AR634" s="14">
        <f t="shared" si="163"/>
        <v>0</v>
      </c>
      <c r="AS634" s="14">
        <f t="shared" si="164"/>
        <v>1606037</v>
      </c>
      <c r="AT634" s="14" t="str">
        <f t="shared" si="165"/>
        <v>神器-7-碎片-1-17级</v>
      </c>
      <c r="AU634" s="13" t="s">
        <v>1195</v>
      </c>
      <c r="AV634" s="13">
        <f t="shared" si="166"/>
        <v>17</v>
      </c>
      <c r="AW634" s="14">
        <f t="shared" si="167"/>
        <v>8456</v>
      </c>
      <c r="AX634" s="14" t="str">
        <f t="shared" si="168"/>
        <v>AtkExt</v>
      </c>
      <c r="AY634" s="14">
        <f t="shared" si="169"/>
        <v>1194</v>
      </c>
      <c r="AZ634" s="14" t="str">
        <f t="shared" si="170"/>
        <v>HPExt</v>
      </c>
      <c r="BA634" s="14">
        <f t="shared" si="171"/>
        <v>2486</v>
      </c>
      <c r="BB634" s="14" t="str">
        <f t="shared" si="172"/>
        <v/>
      </c>
      <c r="BC634" s="14" t="str">
        <f t="shared" si="173"/>
        <v/>
      </c>
      <c r="BD634" s="14" t="str">
        <f t="shared" si="174"/>
        <v/>
      </c>
      <c r="BE634" s="14" t="str">
        <f t="shared" si="175"/>
        <v/>
      </c>
    </row>
    <row r="635" spans="39:57" ht="16.5" x14ac:dyDescent="0.2">
      <c r="AM635" s="13">
        <v>630</v>
      </c>
      <c r="AN635" s="14">
        <f t="shared" si="176"/>
        <v>35</v>
      </c>
      <c r="AO635" s="29">
        <f t="shared" si="160"/>
        <v>1.5960000000000001</v>
      </c>
      <c r="AP635" s="14">
        <f t="shared" si="161"/>
        <v>1</v>
      </c>
      <c r="AQ635" s="14">
        <f t="shared" si="162"/>
        <v>3</v>
      </c>
      <c r="AR635" s="14">
        <f t="shared" si="163"/>
        <v>0</v>
      </c>
      <c r="AS635" s="14">
        <f t="shared" si="164"/>
        <v>1606037</v>
      </c>
      <c r="AT635" s="14" t="str">
        <f t="shared" si="165"/>
        <v>神器-7-碎片-1-18级</v>
      </c>
      <c r="AU635" s="13" t="s">
        <v>1195</v>
      </c>
      <c r="AV635" s="13">
        <f t="shared" si="166"/>
        <v>18</v>
      </c>
      <c r="AW635" s="14">
        <f t="shared" si="167"/>
        <v>9143</v>
      </c>
      <c r="AX635" s="14" t="str">
        <f t="shared" si="168"/>
        <v>AtkExt</v>
      </c>
      <c r="AY635" s="14">
        <f t="shared" si="169"/>
        <v>1291</v>
      </c>
      <c r="AZ635" s="14" t="str">
        <f t="shared" si="170"/>
        <v>HPExt</v>
      </c>
      <c r="BA635" s="14">
        <f t="shared" si="171"/>
        <v>2688</v>
      </c>
      <c r="BB635" s="14" t="str">
        <f t="shared" si="172"/>
        <v/>
      </c>
      <c r="BC635" s="14" t="str">
        <f t="shared" si="173"/>
        <v/>
      </c>
      <c r="BD635" s="14" t="str">
        <f t="shared" si="174"/>
        <v/>
      </c>
      <c r="BE635" s="14" t="str">
        <f t="shared" si="175"/>
        <v/>
      </c>
    </row>
    <row r="636" spans="39:57" ht="16.5" x14ac:dyDescent="0.2">
      <c r="AM636" s="13">
        <v>631</v>
      </c>
      <c r="AN636" s="14">
        <f t="shared" si="176"/>
        <v>35</v>
      </c>
      <c r="AO636" s="29">
        <f t="shared" si="160"/>
        <v>1.7200000000000002</v>
      </c>
      <c r="AP636" s="14">
        <f t="shared" si="161"/>
        <v>1</v>
      </c>
      <c r="AQ636" s="14">
        <f t="shared" si="162"/>
        <v>3</v>
      </c>
      <c r="AR636" s="14">
        <f t="shared" si="163"/>
        <v>0</v>
      </c>
      <c r="AS636" s="14">
        <f t="shared" si="164"/>
        <v>1606037</v>
      </c>
      <c r="AT636" s="14" t="str">
        <f t="shared" si="165"/>
        <v>神器-7-碎片-1-19级</v>
      </c>
      <c r="AU636" s="13" t="s">
        <v>1195</v>
      </c>
      <c r="AV636" s="13">
        <f t="shared" si="166"/>
        <v>19</v>
      </c>
      <c r="AW636" s="14">
        <f t="shared" si="167"/>
        <v>9852</v>
      </c>
      <c r="AX636" s="14" t="str">
        <f t="shared" si="168"/>
        <v>AtkExt</v>
      </c>
      <c r="AY636" s="14">
        <f t="shared" si="169"/>
        <v>1391</v>
      </c>
      <c r="AZ636" s="14" t="str">
        <f t="shared" si="170"/>
        <v>HPExt</v>
      </c>
      <c r="BA636" s="14">
        <f t="shared" si="171"/>
        <v>2897</v>
      </c>
      <c r="BB636" s="14" t="str">
        <f t="shared" si="172"/>
        <v/>
      </c>
      <c r="BC636" s="14" t="str">
        <f t="shared" si="173"/>
        <v/>
      </c>
      <c r="BD636" s="14" t="str">
        <f t="shared" si="174"/>
        <v/>
      </c>
      <c r="BE636" s="14" t="str">
        <f t="shared" si="175"/>
        <v/>
      </c>
    </row>
    <row r="637" spans="39:57" ht="16.5" x14ac:dyDescent="0.2">
      <c r="AM637" s="13">
        <v>632</v>
      </c>
      <c r="AN637" s="14">
        <f t="shared" si="176"/>
        <v>35</v>
      </c>
      <c r="AO637" s="29">
        <f t="shared" si="160"/>
        <v>1.8480000000000001</v>
      </c>
      <c r="AP637" s="14">
        <f t="shared" si="161"/>
        <v>1</v>
      </c>
      <c r="AQ637" s="14">
        <f t="shared" si="162"/>
        <v>3</v>
      </c>
      <c r="AR637" s="14">
        <f t="shared" si="163"/>
        <v>0</v>
      </c>
      <c r="AS637" s="14">
        <f t="shared" si="164"/>
        <v>1606037</v>
      </c>
      <c r="AT637" s="14" t="str">
        <f t="shared" si="165"/>
        <v>神器-7-碎片-1-20级</v>
      </c>
      <c r="AU637" s="13" t="s">
        <v>1195</v>
      </c>
      <c r="AV637" s="13">
        <f t="shared" si="166"/>
        <v>20</v>
      </c>
      <c r="AW637" s="14">
        <f t="shared" si="167"/>
        <v>10582</v>
      </c>
      <c r="AX637" s="14" t="str">
        <f t="shared" si="168"/>
        <v>AtkExt</v>
      </c>
      <c r="AY637" s="14">
        <f t="shared" si="169"/>
        <v>1494</v>
      </c>
      <c r="AZ637" s="14" t="str">
        <f t="shared" si="170"/>
        <v>HPExt</v>
      </c>
      <c r="BA637" s="14">
        <f t="shared" si="171"/>
        <v>3112</v>
      </c>
      <c r="BB637" s="14" t="str">
        <f t="shared" si="172"/>
        <v/>
      </c>
      <c r="BC637" s="14" t="str">
        <f t="shared" si="173"/>
        <v/>
      </c>
      <c r="BD637" s="14" t="str">
        <f t="shared" si="174"/>
        <v/>
      </c>
      <c r="BE637" s="14" t="str">
        <f t="shared" si="175"/>
        <v/>
      </c>
    </row>
    <row r="638" spans="39:57" ht="16.5" x14ac:dyDescent="0.2">
      <c r="AM638" s="13">
        <v>633</v>
      </c>
      <c r="AN638" s="14">
        <f t="shared" si="176"/>
        <v>35</v>
      </c>
      <c r="AO638" s="29">
        <f t="shared" si="160"/>
        <v>1.98</v>
      </c>
      <c r="AP638" s="14">
        <f t="shared" si="161"/>
        <v>1</v>
      </c>
      <c r="AQ638" s="14">
        <f t="shared" si="162"/>
        <v>3</v>
      </c>
      <c r="AR638" s="14">
        <f t="shared" si="163"/>
        <v>0</v>
      </c>
      <c r="AS638" s="14">
        <f t="shared" si="164"/>
        <v>1606037</v>
      </c>
      <c r="AT638" s="14" t="str">
        <f t="shared" si="165"/>
        <v>神器-7-碎片-1-21级</v>
      </c>
      <c r="AU638" s="13" t="s">
        <v>1195</v>
      </c>
      <c r="AV638" s="13">
        <f t="shared" si="166"/>
        <v>21</v>
      </c>
      <c r="AW638" s="14">
        <f t="shared" si="167"/>
        <v>11340</v>
      </c>
      <c r="AX638" s="14" t="str">
        <f t="shared" si="168"/>
        <v>AtkExt</v>
      </c>
      <c r="AY638" s="14">
        <f t="shared" si="169"/>
        <v>1601</v>
      </c>
      <c r="AZ638" s="14" t="str">
        <f t="shared" si="170"/>
        <v>HPExt</v>
      </c>
      <c r="BA638" s="14">
        <f t="shared" si="171"/>
        <v>3335</v>
      </c>
      <c r="BB638" s="14" t="str">
        <f t="shared" si="172"/>
        <v/>
      </c>
      <c r="BC638" s="14" t="str">
        <f t="shared" si="173"/>
        <v/>
      </c>
      <c r="BD638" s="14" t="str">
        <f t="shared" si="174"/>
        <v/>
      </c>
      <c r="BE638" s="14" t="str">
        <f t="shared" si="175"/>
        <v/>
      </c>
    </row>
    <row r="639" spans="39:57" ht="16.5" x14ac:dyDescent="0.2">
      <c r="AM639" s="13">
        <v>634</v>
      </c>
      <c r="AN639" s="14">
        <f t="shared" si="176"/>
        <v>36</v>
      </c>
      <c r="AO639" s="29">
        <f t="shared" si="160"/>
        <v>0.1</v>
      </c>
      <c r="AP639" s="14">
        <f t="shared" si="161"/>
        <v>1</v>
      </c>
      <c r="AQ639" s="14">
        <f t="shared" si="162"/>
        <v>2</v>
      </c>
      <c r="AR639" s="14">
        <f t="shared" si="163"/>
        <v>0</v>
      </c>
      <c r="AS639" s="14">
        <f t="shared" si="164"/>
        <v>1606038</v>
      </c>
      <c r="AT639" s="14" t="str">
        <f t="shared" si="165"/>
        <v>神器-7-碎片-2-1级</v>
      </c>
      <c r="AU639" s="13" t="s">
        <v>1195</v>
      </c>
      <c r="AV639" s="13">
        <f t="shared" si="166"/>
        <v>1</v>
      </c>
      <c r="AW639" s="14">
        <f t="shared" si="167"/>
        <v>1640</v>
      </c>
      <c r="AX639" s="14" t="str">
        <f t="shared" si="168"/>
        <v>AtkExt</v>
      </c>
      <c r="AY639" s="14">
        <f t="shared" si="169"/>
        <v>162</v>
      </c>
      <c r="AZ639" s="14" t="str">
        <f t="shared" si="170"/>
        <v>DefExt</v>
      </c>
      <c r="BA639" s="14">
        <f t="shared" si="171"/>
        <v>83</v>
      </c>
      <c r="BB639" s="14" t="str">
        <f t="shared" si="172"/>
        <v/>
      </c>
      <c r="BC639" s="14" t="str">
        <f t="shared" si="173"/>
        <v/>
      </c>
      <c r="BD639" s="14" t="str">
        <f t="shared" si="174"/>
        <v/>
      </c>
      <c r="BE639" s="14" t="str">
        <f t="shared" si="175"/>
        <v/>
      </c>
    </row>
    <row r="640" spans="39:57" ht="16.5" x14ac:dyDescent="0.2">
      <c r="AM640" s="13">
        <v>635</v>
      </c>
      <c r="AN640" s="14">
        <f t="shared" si="176"/>
        <v>36</v>
      </c>
      <c r="AO640" s="29">
        <f t="shared" si="160"/>
        <v>0.15600000000000003</v>
      </c>
      <c r="AP640" s="14">
        <f t="shared" si="161"/>
        <v>1</v>
      </c>
      <c r="AQ640" s="14">
        <f t="shared" si="162"/>
        <v>2</v>
      </c>
      <c r="AR640" s="14">
        <f t="shared" si="163"/>
        <v>0</v>
      </c>
      <c r="AS640" s="14">
        <f t="shared" si="164"/>
        <v>1606038</v>
      </c>
      <c r="AT640" s="14" t="str">
        <f t="shared" si="165"/>
        <v>神器-7-碎片-2-2级</v>
      </c>
      <c r="AU640" s="13" t="s">
        <v>1195</v>
      </c>
      <c r="AV640" s="13">
        <f t="shared" si="166"/>
        <v>2</v>
      </c>
      <c r="AW640" s="14">
        <f t="shared" si="167"/>
        <v>2560</v>
      </c>
      <c r="AX640" s="14" t="str">
        <f t="shared" si="168"/>
        <v>AtkExt</v>
      </c>
      <c r="AY640" s="14">
        <f t="shared" si="169"/>
        <v>252</v>
      </c>
      <c r="AZ640" s="14" t="str">
        <f t="shared" si="170"/>
        <v>DefExt</v>
      </c>
      <c r="BA640" s="14">
        <f t="shared" si="171"/>
        <v>130</v>
      </c>
      <c r="BB640" s="14" t="str">
        <f t="shared" si="172"/>
        <v/>
      </c>
      <c r="BC640" s="14" t="str">
        <f t="shared" si="173"/>
        <v/>
      </c>
      <c r="BD640" s="14" t="str">
        <f t="shared" si="174"/>
        <v/>
      </c>
      <c r="BE640" s="14" t="str">
        <f t="shared" si="175"/>
        <v/>
      </c>
    </row>
    <row r="641" spans="39:57" ht="16.5" x14ac:dyDescent="0.2">
      <c r="AM641" s="13">
        <v>636</v>
      </c>
      <c r="AN641" s="14">
        <f t="shared" si="176"/>
        <v>36</v>
      </c>
      <c r="AO641" s="29">
        <f t="shared" si="160"/>
        <v>0.21600000000000003</v>
      </c>
      <c r="AP641" s="14">
        <f t="shared" si="161"/>
        <v>1</v>
      </c>
      <c r="AQ641" s="14">
        <f t="shared" si="162"/>
        <v>2</v>
      </c>
      <c r="AR641" s="14">
        <f t="shared" si="163"/>
        <v>0</v>
      </c>
      <c r="AS641" s="14">
        <f t="shared" si="164"/>
        <v>1606038</v>
      </c>
      <c r="AT641" s="14" t="str">
        <f t="shared" si="165"/>
        <v>神器-7-碎片-2-3级</v>
      </c>
      <c r="AU641" s="13" t="s">
        <v>1195</v>
      </c>
      <c r="AV641" s="13">
        <f t="shared" si="166"/>
        <v>3</v>
      </c>
      <c r="AW641" s="14">
        <f t="shared" si="167"/>
        <v>3545</v>
      </c>
      <c r="AX641" s="14" t="str">
        <f t="shared" si="168"/>
        <v>AtkExt</v>
      </c>
      <c r="AY641" s="14">
        <f t="shared" si="169"/>
        <v>349</v>
      </c>
      <c r="AZ641" s="14" t="str">
        <f t="shared" si="170"/>
        <v>DefExt</v>
      </c>
      <c r="BA641" s="14">
        <f t="shared" si="171"/>
        <v>180</v>
      </c>
      <c r="BB641" s="14" t="str">
        <f t="shared" si="172"/>
        <v/>
      </c>
      <c r="BC641" s="14" t="str">
        <f t="shared" si="173"/>
        <v/>
      </c>
      <c r="BD641" s="14" t="str">
        <f t="shared" si="174"/>
        <v/>
      </c>
      <c r="BE641" s="14" t="str">
        <f t="shared" si="175"/>
        <v/>
      </c>
    </row>
    <row r="642" spans="39:57" ht="16.5" x14ac:dyDescent="0.2">
      <c r="AM642" s="13">
        <v>637</v>
      </c>
      <c r="AN642" s="14">
        <f t="shared" si="176"/>
        <v>36</v>
      </c>
      <c r="AO642" s="29">
        <f t="shared" si="160"/>
        <v>0.28000000000000003</v>
      </c>
      <c r="AP642" s="14">
        <f t="shared" si="161"/>
        <v>1</v>
      </c>
      <c r="AQ642" s="14">
        <f t="shared" si="162"/>
        <v>2</v>
      </c>
      <c r="AR642" s="14">
        <f t="shared" si="163"/>
        <v>0</v>
      </c>
      <c r="AS642" s="14">
        <f t="shared" si="164"/>
        <v>1606038</v>
      </c>
      <c r="AT642" s="14" t="str">
        <f t="shared" si="165"/>
        <v>神器-7-碎片-2-4级</v>
      </c>
      <c r="AU642" s="13" t="s">
        <v>1195</v>
      </c>
      <c r="AV642" s="13">
        <f t="shared" si="166"/>
        <v>4</v>
      </c>
      <c r="AW642" s="14">
        <f t="shared" si="167"/>
        <v>4595</v>
      </c>
      <c r="AX642" s="14" t="str">
        <f t="shared" si="168"/>
        <v>AtkExt</v>
      </c>
      <c r="AY642" s="14">
        <f t="shared" si="169"/>
        <v>453</v>
      </c>
      <c r="AZ642" s="14" t="str">
        <f t="shared" si="170"/>
        <v>DefExt</v>
      </c>
      <c r="BA642" s="14">
        <f t="shared" si="171"/>
        <v>233</v>
      </c>
      <c r="BB642" s="14" t="str">
        <f t="shared" si="172"/>
        <v/>
      </c>
      <c r="BC642" s="14" t="str">
        <f t="shared" si="173"/>
        <v/>
      </c>
      <c r="BD642" s="14" t="str">
        <f t="shared" si="174"/>
        <v/>
      </c>
      <c r="BE642" s="14" t="str">
        <f t="shared" si="175"/>
        <v/>
      </c>
    </row>
    <row r="643" spans="39:57" ht="16.5" x14ac:dyDescent="0.2">
      <c r="AM643" s="13">
        <v>638</v>
      </c>
      <c r="AN643" s="14">
        <f t="shared" si="176"/>
        <v>36</v>
      </c>
      <c r="AO643" s="29">
        <f t="shared" si="160"/>
        <v>0.34799999999999998</v>
      </c>
      <c r="AP643" s="14">
        <f t="shared" si="161"/>
        <v>1</v>
      </c>
      <c r="AQ643" s="14">
        <f t="shared" si="162"/>
        <v>2</v>
      </c>
      <c r="AR643" s="14">
        <f t="shared" si="163"/>
        <v>0</v>
      </c>
      <c r="AS643" s="14">
        <f t="shared" si="164"/>
        <v>1606038</v>
      </c>
      <c r="AT643" s="14" t="str">
        <f t="shared" si="165"/>
        <v>神器-7-碎片-2-5级</v>
      </c>
      <c r="AU643" s="13" t="s">
        <v>1195</v>
      </c>
      <c r="AV643" s="13">
        <f t="shared" si="166"/>
        <v>5</v>
      </c>
      <c r="AW643" s="14">
        <f t="shared" si="167"/>
        <v>5705</v>
      </c>
      <c r="AX643" s="14" t="str">
        <f t="shared" si="168"/>
        <v>AtkExt</v>
      </c>
      <c r="AY643" s="14">
        <f t="shared" si="169"/>
        <v>563</v>
      </c>
      <c r="AZ643" s="14" t="str">
        <f t="shared" si="170"/>
        <v>DefExt</v>
      </c>
      <c r="BA643" s="14">
        <f t="shared" si="171"/>
        <v>289</v>
      </c>
      <c r="BB643" s="14" t="str">
        <f t="shared" si="172"/>
        <v/>
      </c>
      <c r="BC643" s="14" t="str">
        <f t="shared" si="173"/>
        <v/>
      </c>
      <c r="BD643" s="14" t="str">
        <f t="shared" si="174"/>
        <v/>
      </c>
      <c r="BE643" s="14" t="str">
        <f t="shared" si="175"/>
        <v/>
      </c>
    </row>
    <row r="644" spans="39:57" ht="16.5" x14ac:dyDescent="0.2">
      <c r="AM644" s="13">
        <v>639</v>
      </c>
      <c r="AN644" s="14">
        <f t="shared" si="176"/>
        <v>36</v>
      </c>
      <c r="AO644" s="29">
        <f t="shared" si="160"/>
        <v>0.42000000000000004</v>
      </c>
      <c r="AP644" s="14">
        <f t="shared" si="161"/>
        <v>1</v>
      </c>
      <c r="AQ644" s="14">
        <f t="shared" si="162"/>
        <v>2</v>
      </c>
      <c r="AR644" s="14">
        <f t="shared" si="163"/>
        <v>0</v>
      </c>
      <c r="AS644" s="14">
        <f t="shared" si="164"/>
        <v>1606038</v>
      </c>
      <c r="AT644" s="14" t="str">
        <f t="shared" si="165"/>
        <v>神器-7-碎片-2-6级</v>
      </c>
      <c r="AU644" s="13" t="s">
        <v>1195</v>
      </c>
      <c r="AV644" s="13">
        <f t="shared" si="166"/>
        <v>6</v>
      </c>
      <c r="AW644" s="14">
        <f t="shared" si="167"/>
        <v>6885</v>
      </c>
      <c r="AX644" s="14" t="str">
        <f t="shared" si="168"/>
        <v>AtkExt</v>
      </c>
      <c r="AY644" s="14">
        <f t="shared" si="169"/>
        <v>679</v>
      </c>
      <c r="AZ644" s="14" t="str">
        <f t="shared" si="170"/>
        <v>DefExt</v>
      </c>
      <c r="BA644" s="14">
        <f t="shared" si="171"/>
        <v>349</v>
      </c>
      <c r="BB644" s="14" t="str">
        <f t="shared" si="172"/>
        <v/>
      </c>
      <c r="BC644" s="14" t="str">
        <f t="shared" si="173"/>
        <v/>
      </c>
      <c r="BD644" s="14" t="str">
        <f t="shared" si="174"/>
        <v/>
      </c>
      <c r="BE644" s="14" t="str">
        <f t="shared" si="175"/>
        <v/>
      </c>
    </row>
    <row r="645" spans="39:57" ht="16.5" x14ac:dyDescent="0.2">
      <c r="AM645" s="13">
        <v>640</v>
      </c>
      <c r="AN645" s="14">
        <f t="shared" si="176"/>
        <v>36</v>
      </c>
      <c r="AO645" s="29">
        <f t="shared" si="160"/>
        <v>0.496</v>
      </c>
      <c r="AP645" s="14">
        <f t="shared" si="161"/>
        <v>1</v>
      </c>
      <c r="AQ645" s="14">
        <f t="shared" si="162"/>
        <v>2</v>
      </c>
      <c r="AR645" s="14">
        <f t="shared" si="163"/>
        <v>0</v>
      </c>
      <c r="AS645" s="14">
        <f t="shared" si="164"/>
        <v>1606038</v>
      </c>
      <c r="AT645" s="14" t="str">
        <f t="shared" si="165"/>
        <v>神器-7-碎片-2-7级</v>
      </c>
      <c r="AU645" s="13" t="s">
        <v>1195</v>
      </c>
      <c r="AV645" s="13">
        <f t="shared" si="166"/>
        <v>7</v>
      </c>
      <c r="AW645" s="14">
        <f t="shared" si="167"/>
        <v>8130</v>
      </c>
      <c r="AX645" s="14" t="str">
        <f t="shared" si="168"/>
        <v>AtkExt</v>
      </c>
      <c r="AY645" s="14">
        <f t="shared" si="169"/>
        <v>802</v>
      </c>
      <c r="AZ645" s="14" t="str">
        <f t="shared" si="170"/>
        <v>DefExt</v>
      </c>
      <c r="BA645" s="14">
        <f t="shared" si="171"/>
        <v>412</v>
      </c>
      <c r="BB645" s="14" t="str">
        <f t="shared" si="172"/>
        <v/>
      </c>
      <c r="BC645" s="14" t="str">
        <f t="shared" si="173"/>
        <v/>
      </c>
      <c r="BD645" s="14" t="str">
        <f t="shared" si="174"/>
        <v/>
      </c>
      <c r="BE645" s="14" t="str">
        <f t="shared" si="175"/>
        <v/>
      </c>
    </row>
    <row r="646" spans="39:57" ht="16.5" x14ac:dyDescent="0.2">
      <c r="AM646" s="13">
        <v>641</v>
      </c>
      <c r="AN646" s="14">
        <f t="shared" si="176"/>
        <v>36</v>
      </c>
      <c r="AO646" s="29">
        <f t="shared" ref="AO646:AO709" si="177">4.8%+AV646*5%+AV646*AV646*0.2%</f>
        <v>0.57600000000000007</v>
      </c>
      <c r="AP646" s="14">
        <f t="shared" ref="AP646:AP709" si="178">INDEX(AD$7:AD$48,$AN646)</f>
        <v>1</v>
      </c>
      <c r="AQ646" s="14">
        <f t="shared" ref="AQ646:AQ709" si="179">INDEX(AE$7:AE$48,$AN646)</f>
        <v>2</v>
      </c>
      <c r="AR646" s="14">
        <f t="shared" ref="AR646:AR709" si="180">INDEX(AF$7:AF$48,$AN646)</f>
        <v>0</v>
      </c>
      <c r="AS646" s="14">
        <f t="shared" ref="AS646:AS709" si="181">INDEX($W$7:$W$48,AN646)</f>
        <v>1606038</v>
      </c>
      <c r="AT646" s="14" t="str">
        <f t="shared" ref="AT646:AT709" si="182">"神器-"&amp;INDEX($S$7:$S$48,AN646)&amp;"-碎片-"&amp;INDEX($T$7:$T$48,AN646)&amp;"-"&amp;AV646&amp;"级"</f>
        <v>神器-7-碎片-2-8级</v>
      </c>
      <c r="AU646" s="13" t="s">
        <v>1195</v>
      </c>
      <c r="AV646" s="13">
        <f t="shared" ref="AV646:AV709" si="183">AM646-INDEX($AI$6:$AI$48,AN646)</f>
        <v>8</v>
      </c>
      <c r="AW646" s="14">
        <f t="shared" ref="AW646:AW709" si="184">AY646*INDEX($AP$2:$AR$2,AP646)+IF(AQ646&gt;0,BA646*INDEX($AP$2:$AR$2,AQ646),0)+IF(AR646&gt;0,BC646*INDEX($AP$2:$AR$2,AR646),0)+IF(BD646="Speed",BE646*100,0)</f>
        <v>9450</v>
      </c>
      <c r="AX646" s="14" t="str">
        <f t="shared" ref="AX646:AX709" si="185">INDEX($AP$3:$AR$3,AP646)</f>
        <v>AtkExt</v>
      </c>
      <c r="AY646" s="14">
        <f t="shared" ref="AY646:AY709" si="186">ROUND(INDEX($X$7:$Z$48,AN646,AP646)*AO646,0)</f>
        <v>932</v>
      </c>
      <c r="AZ646" s="14" t="str">
        <f t="shared" ref="AZ646:AZ709" si="187">IF(AQ646&gt;0,INDEX($AP$3:$AR$3,AQ646),"")</f>
        <v>DefExt</v>
      </c>
      <c r="BA646" s="14">
        <f t="shared" ref="BA646:BA709" si="188">IF(AQ646&gt;0,ROUND(INDEX($X$7:$Z$48,AN646,AQ646)*AO646,0),"")</f>
        <v>479</v>
      </c>
      <c r="BB646" s="14" t="str">
        <f t="shared" ref="BB646:BB709" si="189">IF(AR646&gt;0,INDEX($AP$3:$AR$3,AR646),"")</f>
        <v/>
      </c>
      <c r="BC646" s="14" t="str">
        <f t="shared" ref="BC646:BC709" si="190">IF(AR646&gt;0,ROUND(INDEX($X$7:$Z$48,AN646,AR646)*AO646,0),"")</f>
        <v/>
      </c>
      <c r="BD646" s="14" t="str">
        <f t="shared" ref="BD646:BD709" si="191">IF(INDEX($AG$7:$AG$48,AN646)&gt;0,"Speed","")</f>
        <v/>
      </c>
      <c r="BE646" s="14" t="str">
        <f t="shared" ref="BE646:BE709" si="192">IF(INDEX($AG$7:$AG$48,AN646)&gt;0,INDEX($AG$7:$AG$48,AN646)*AV646,"")</f>
        <v/>
      </c>
    </row>
    <row r="647" spans="39:57" ht="16.5" x14ac:dyDescent="0.2">
      <c r="AM647" s="13">
        <v>642</v>
      </c>
      <c r="AN647" s="14">
        <f t="shared" ref="AN647:AN710" si="193">MATCH(AM647-1,$AI$6:$AI$48,1)</f>
        <v>36</v>
      </c>
      <c r="AO647" s="29">
        <f t="shared" si="177"/>
        <v>0.66</v>
      </c>
      <c r="AP647" s="14">
        <f t="shared" si="178"/>
        <v>1</v>
      </c>
      <c r="AQ647" s="14">
        <f t="shared" si="179"/>
        <v>2</v>
      </c>
      <c r="AR647" s="14">
        <f t="shared" si="180"/>
        <v>0</v>
      </c>
      <c r="AS647" s="14">
        <f t="shared" si="181"/>
        <v>1606038</v>
      </c>
      <c r="AT647" s="14" t="str">
        <f t="shared" si="182"/>
        <v>神器-7-碎片-2-9级</v>
      </c>
      <c r="AU647" s="13" t="s">
        <v>1195</v>
      </c>
      <c r="AV647" s="13">
        <f t="shared" si="183"/>
        <v>9</v>
      </c>
      <c r="AW647" s="14">
        <f t="shared" si="184"/>
        <v>10825</v>
      </c>
      <c r="AX647" s="14" t="str">
        <f t="shared" si="185"/>
        <v>AtkExt</v>
      </c>
      <c r="AY647" s="14">
        <f t="shared" si="186"/>
        <v>1067</v>
      </c>
      <c r="AZ647" s="14" t="str">
        <f t="shared" si="187"/>
        <v>DefExt</v>
      </c>
      <c r="BA647" s="14">
        <f t="shared" si="188"/>
        <v>549</v>
      </c>
      <c r="BB647" s="14" t="str">
        <f t="shared" si="189"/>
        <v/>
      </c>
      <c r="BC647" s="14" t="str">
        <f t="shared" si="190"/>
        <v/>
      </c>
      <c r="BD647" s="14" t="str">
        <f t="shared" si="191"/>
        <v/>
      </c>
      <c r="BE647" s="14" t="str">
        <f t="shared" si="192"/>
        <v/>
      </c>
    </row>
    <row r="648" spans="39:57" ht="16.5" x14ac:dyDescent="0.2">
      <c r="AM648" s="13">
        <v>643</v>
      </c>
      <c r="AN648" s="14">
        <f t="shared" si="193"/>
        <v>36</v>
      </c>
      <c r="AO648" s="29">
        <f t="shared" si="177"/>
        <v>0.748</v>
      </c>
      <c r="AP648" s="14">
        <f t="shared" si="178"/>
        <v>1</v>
      </c>
      <c r="AQ648" s="14">
        <f t="shared" si="179"/>
        <v>2</v>
      </c>
      <c r="AR648" s="14">
        <f t="shared" si="180"/>
        <v>0</v>
      </c>
      <c r="AS648" s="14">
        <f t="shared" si="181"/>
        <v>1606038</v>
      </c>
      <c r="AT648" s="14" t="str">
        <f t="shared" si="182"/>
        <v>神器-7-碎片-2-10级</v>
      </c>
      <c r="AU648" s="13" t="s">
        <v>1195</v>
      </c>
      <c r="AV648" s="13">
        <f t="shared" si="183"/>
        <v>10</v>
      </c>
      <c r="AW648" s="14">
        <f t="shared" si="184"/>
        <v>12270</v>
      </c>
      <c r="AX648" s="14" t="str">
        <f t="shared" si="185"/>
        <v>AtkExt</v>
      </c>
      <c r="AY648" s="14">
        <f t="shared" si="186"/>
        <v>1210</v>
      </c>
      <c r="AZ648" s="14" t="str">
        <f t="shared" si="187"/>
        <v>DefExt</v>
      </c>
      <c r="BA648" s="14">
        <f t="shared" si="188"/>
        <v>622</v>
      </c>
      <c r="BB648" s="14" t="str">
        <f t="shared" si="189"/>
        <v/>
      </c>
      <c r="BC648" s="14" t="str">
        <f t="shared" si="190"/>
        <v/>
      </c>
      <c r="BD648" s="14" t="str">
        <f t="shared" si="191"/>
        <v/>
      </c>
      <c r="BE648" s="14" t="str">
        <f t="shared" si="192"/>
        <v/>
      </c>
    </row>
    <row r="649" spans="39:57" ht="16.5" x14ac:dyDescent="0.2">
      <c r="AM649" s="13">
        <v>644</v>
      </c>
      <c r="AN649" s="14">
        <f t="shared" si="193"/>
        <v>36</v>
      </c>
      <c r="AO649" s="29">
        <f t="shared" si="177"/>
        <v>0.84000000000000008</v>
      </c>
      <c r="AP649" s="14">
        <f t="shared" si="178"/>
        <v>1</v>
      </c>
      <c r="AQ649" s="14">
        <f t="shared" si="179"/>
        <v>2</v>
      </c>
      <c r="AR649" s="14">
        <f t="shared" si="180"/>
        <v>0</v>
      </c>
      <c r="AS649" s="14">
        <f t="shared" si="181"/>
        <v>1606038</v>
      </c>
      <c r="AT649" s="14" t="str">
        <f t="shared" si="182"/>
        <v>神器-7-碎片-2-11级</v>
      </c>
      <c r="AU649" s="13" t="s">
        <v>1195</v>
      </c>
      <c r="AV649" s="13">
        <f t="shared" si="183"/>
        <v>11</v>
      </c>
      <c r="AW649" s="14">
        <f t="shared" si="184"/>
        <v>13775</v>
      </c>
      <c r="AX649" s="14" t="str">
        <f t="shared" si="185"/>
        <v>AtkExt</v>
      </c>
      <c r="AY649" s="14">
        <f t="shared" si="186"/>
        <v>1359</v>
      </c>
      <c r="AZ649" s="14" t="str">
        <f t="shared" si="187"/>
        <v>DefExt</v>
      </c>
      <c r="BA649" s="14">
        <f t="shared" si="188"/>
        <v>698</v>
      </c>
      <c r="BB649" s="14" t="str">
        <f t="shared" si="189"/>
        <v/>
      </c>
      <c r="BC649" s="14" t="str">
        <f t="shared" si="190"/>
        <v/>
      </c>
      <c r="BD649" s="14" t="str">
        <f t="shared" si="191"/>
        <v/>
      </c>
      <c r="BE649" s="14" t="str">
        <f t="shared" si="192"/>
        <v/>
      </c>
    </row>
    <row r="650" spans="39:57" ht="16.5" x14ac:dyDescent="0.2">
      <c r="AM650" s="13">
        <v>645</v>
      </c>
      <c r="AN650" s="14">
        <f t="shared" si="193"/>
        <v>36</v>
      </c>
      <c r="AO650" s="29">
        <f t="shared" si="177"/>
        <v>0.93600000000000017</v>
      </c>
      <c r="AP650" s="14">
        <f t="shared" si="178"/>
        <v>1</v>
      </c>
      <c r="AQ650" s="14">
        <f t="shared" si="179"/>
        <v>2</v>
      </c>
      <c r="AR650" s="14">
        <f t="shared" si="180"/>
        <v>0</v>
      </c>
      <c r="AS650" s="14">
        <f t="shared" si="181"/>
        <v>1606038</v>
      </c>
      <c r="AT650" s="14" t="str">
        <f t="shared" si="182"/>
        <v>神器-7-碎片-2-12级</v>
      </c>
      <c r="AU650" s="13" t="s">
        <v>1195</v>
      </c>
      <c r="AV650" s="13">
        <f t="shared" si="183"/>
        <v>12</v>
      </c>
      <c r="AW650" s="14">
        <f t="shared" si="184"/>
        <v>15350</v>
      </c>
      <c r="AX650" s="14" t="str">
        <f t="shared" si="185"/>
        <v>AtkExt</v>
      </c>
      <c r="AY650" s="14">
        <f t="shared" si="186"/>
        <v>1514</v>
      </c>
      <c r="AZ650" s="14" t="str">
        <f t="shared" si="187"/>
        <v>DefExt</v>
      </c>
      <c r="BA650" s="14">
        <f t="shared" si="188"/>
        <v>778</v>
      </c>
      <c r="BB650" s="14" t="str">
        <f t="shared" si="189"/>
        <v/>
      </c>
      <c r="BC650" s="14" t="str">
        <f t="shared" si="190"/>
        <v/>
      </c>
      <c r="BD650" s="14" t="str">
        <f t="shared" si="191"/>
        <v/>
      </c>
      <c r="BE650" s="14" t="str">
        <f t="shared" si="192"/>
        <v/>
      </c>
    </row>
    <row r="651" spans="39:57" ht="16.5" x14ac:dyDescent="0.2">
      <c r="AM651" s="13">
        <v>646</v>
      </c>
      <c r="AN651" s="14">
        <f t="shared" si="193"/>
        <v>36</v>
      </c>
      <c r="AO651" s="29">
        <f t="shared" si="177"/>
        <v>1.036</v>
      </c>
      <c r="AP651" s="14">
        <f t="shared" si="178"/>
        <v>1</v>
      </c>
      <c r="AQ651" s="14">
        <f t="shared" si="179"/>
        <v>2</v>
      </c>
      <c r="AR651" s="14">
        <f t="shared" si="180"/>
        <v>0</v>
      </c>
      <c r="AS651" s="14">
        <f t="shared" si="181"/>
        <v>1606038</v>
      </c>
      <c r="AT651" s="14" t="str">
        <f t="shared" si="182"/>
        <v>神器-7-碎片-2-13级</v>
      </c>
      <c r="AU651" s="13" t="s">
        <v>1195</v>
      </c>
      <c r="AV651" s="13">
        <f t="shared" si="183"/>
        <v>13</v>
      </c>
      <c r="AW651" s="14">
        <f t="shared" si="184"/>
        <v>16990</v>
      </c>
      <c r="AX651" s="14" t="str">
        <f t="shared" si="185"/>
        <v>AtkExt</v>
      </c>
      <c r="AY651" s="14">
        <f t="shared" si="186"/>
        <v>1676</v>
      </c>
      <c r="AZ651" s="14" t="str">
        <f t="shared" si="187"/>
        <v>DefExt</v>
      </c>
      <c r="BA651" s="14">
        <f t="shared" si="188"/>
        <v>861</v>
      </c>
      <c r="BB651" s="14" t="str">
        <f t="shared" si="189"/>
        <v/>
      </c>
      <c r="BC651" s="14" t="str">
        <f t="shared" si="190"/>
        <v/>
      </c>
      <c r="BD651" s="14" t="str">
        <f t="shared" si="191"/>
        <v/>
      </c>
      <c r="BE651" s="14" t="str">
        <f t="shared" si="192"/>
        <v/>
      </c>
    </row>
    <row r="652" spans="39:57" ht="16.5" x14ac:dyDescent="0.2">
      <c r="AM652" s="13">
        <v>647</v>
      </c>
      <c r="AN652" s="14">
        <f t="shared" si="193"/>
        <v>36</v>
      </c>
      <c r="AO652" s="29">
        <f t="shared" si="177"/>
        <v>1.1400000000000001</v>
      </c>
      <c r="AP652" s="14">
        <f t="shared" si="178"/>
        <v>1</v>
      </c>
      <c r="AQ652" s="14">
        <f t="shared" si="179"/>
        <v>2</v>
      </c>
      <c r="AR652" s="14">
        <f t="shared" si="180"/>
        <v>0</v>
      </c>
      <c r="AS652" s="14">
        <f t="shared" si="181"/>
        <v>1606038</v>
      </c>
      <c r="AT652" s="14" t="str">
        <f t="shared" si="182"/>
        <v>神器-7-碎片-2-14级</v>
      </c>
      <c r="AU652" s="13" t="s">
        <v>1195</v>
      </c>
      <c r="AV652" s="13">
        <f t="shared" si="183"/>
        <v>14</v>
      </c>
      <c r="AW652" s="14">
        <f t="shared" si="184"/>
        <v>18700</v>
      </c>
      <c r="AX652" s="14" t="str">
        <f t="shared" si="185"/>
        <v>AtkExt</v>
      </c>
      <c r="AY652" s="14">
        <f t="shared" si="186"/>
        <v>1844</v>
      </c>
      <c r="AZ652" s="14" t="str">
        <f t="shared" si="187"/>
        <v>DefExt</v>
      </c>
      <c r="BA652" s="14">
        <f t="shared" si="188"/>
        <v>948</v>
      </c>
      <c r="BB652" s="14" t="str">
        <f t="shared" si="189"/>
        <v/>
      </c>
      <c r="BC652" s="14" t="str">
        <f t="shared" si="190"/>
        <v/>
      </c>
      <c r="BD652" s="14" t="str">
        <f t="shared" si="191"/>
        <v/>
      </c>
      <c r="BE652" s="14" t="str">
        <f t="shared" si="192"/>
        <v/>
      </c>
    </row>
    <row r="653" spans="39:57" ht="16.5" x14ac:dyDescent="0.2">
      <c r="AM653" s="13">
        <v>648</v>
      </c>
      <c r="AN653" s="14">
        <f t="shared" si="193"/>
        <v>36</v>
      </c>
      <c r="AO653" s="29">
        <f t="shared" si="177"/>
        <v>1.248</v>
      </c>
      <c r="AP653" s="14">
        <f t="shared" si="178"/>
        <v>1</v>
      </c>
      <c r="AQ653" s="14">
        <f t="shared" si="179"/>
        <v>2</v>
      </c>
      <c r="AR653" s="14">
        <f t="shared" si="180"/>
        <v>0</v>
      </c>
      <c r="AS653" s="14">
        <f t="shared" si="181"/>
        <v>1606038</v>
      </c>
      <c r="AT653" s="14" t="str">
        <f t="shared" si="182"/>
        <v>神器-7-碎片-2-15级</v>
      </c>
      <c r="AU653" s="13" t="s">
        <v>1195</v>
      </c>
      <c r="AV653" s="13">
        <f t="shared" si="183"/>
        <v>15</v>
      </c>
      <c r="AW653" s="14">
        <f t="shared" si="184"/>
        <v>20470</v>
      </c>
      <c r="AX653" s="14" t="str">
        <f t="shared" si="185"/>
        <v>AtkExt</v>
      </c>
      <c r="AY653" s="14">
        <f t="shared" si="186"/>
        <v>2018</v>
      </c>
      <c r="AZ653" s="14" t="str">
        <f t="shared" si="187"/>
        <v>DefExt</v>
      </c>
      <c r="BA653" s="14">
        <f t="shared" si="188"/>
        <v>1038</v>
      </c>
      <c r="BB653" s="14" t="str">
        <f t="shared" si="189"/>
        <v/>
      </c>
      <c r="BC653" s="14" t="str">
        <f t="shared" si="190"/>
        <v/>
      </c>
      <c r="BD653" s="14" t="str">
        <f t="shared" si="191"/>
        <v/>
      </c>
      <c r="BE653" s="14" t="str">
        <f t="shared" si="192"/>
        <v/>
      </c>
    </row>
    <row r="654" spans="39:57" ht="16.5" x14ac:dyDescent="0.2">
      <c r="AM654" s="13">
        <v>649</v>
      </c>
      <c r="AN654" s="14">
        <f t="shared" si="193"/>
        <v>36</v>
      </c>
      <c r="AO654" s="29">
        <f t="shared" si="177"/>
        <v>1.36</v>
      </c>
      <c r="AP654" s="14">
        <f t="shared" si="178"/>
        <v>1</v>
      </c>
      <c r="AQ654" s="14">
        <f t="shared" si="179"/>
        <v>2</v>
      </c>
      <c r="AR654" s="14">
        <f t="shared" si="180"/>
        <v>0</v>
      </c>
      <c r="AS654" s="14">
        <f t="shared" si="181"/>
        <v>1606038</v>
      </c>
      <c r="AT654" s="14" t="str">
        <f t="shared" si="182"/>
        <v>神器-7-碎片-2-16级</v>
      </c>
      <c r="AU654" s="13" t="s">
        <v>1195</v>
      </c>
      <c r="AV654" s="13">
        <f t="shared" si="183"/>
        <v>16</v>
      </c>
      <c r="AW654" s="14">
        <f t="shared" si="184"/>
        <v>22310</v>
      </c>
      <c r="AX654" s="14" t="str">
        <f t="shared" si="185"/>
        <v>AtkExt</v>
      </c>
      <c r="AY654" s="14">
        <f t="shared" si="186"/>
        <v>2200</v>
      </c>
      <c r="AZ654" s="14" t="str">
        <f t="shared" si="187"/>
        <v>DefExt</v>
      </c>
      <c r="BA654" s="14">
        <f t="shared" si="188"/>
        <v>1131</v>
      </c>
      <c r="BB654" s="14" t="str">
        <f t="shared" si="189"/>
        <v/>
      </c>
      <c r="BC654" s="14" t="str">
        <f t="shared" si="190"/>
        <v/>
      </c>
      <c r="BD654" s="14" t="str">
        <f t="shared" si="191"/>
        <v/>
      </c>
      <c r="BE654" s="14" t="str">
        <f t="shared" si="192"/>
        <v/>
      </c>
    </row>
    <row r="655" spans="39:57" ht="16.5" x14ac:dyDescent="0.2">
      <c r="AM655" s="13">
        <v>650</v>
      </c>
      <c r="AN655" s="14">
        <f t="shared" si="193"/>
        <v>36</v>
      </c>
      <c r="AO655" s="29">
        <f t="shared" si="177"/>
        <v>1.476</v>
      </c>
      <c r="AP655" s="14">
        <f t="shared" si="178"/>
        <v>1</v>
      </c>
      <c r="AQ655" s="14">
        <f t="shared" si="179"/>
        <v>2</v>
      </c>
      <c r="AR655" s="14">
        <f t="shared" si="180"/>
        <v>0</v>
      </c>
      <c r="AS655" s="14">
        <f t="shared" si="181"/>
        <v>1606038</v>
      </c>
      <c r="AT655" s="14" t="str">
        <f t="shared" si="182"/>
        <v>神器-7-碎片-2-17级</v>
      </c>
      <c r="AU655" s="13" t="s">
        <v>1195</v>
      </c>
      <c r="AV655" s="13">
        <f t="shared" si="183"/>
        <v>17</v>
      </c>
      <c r="AW655" s="14">
        <f t="shared" si="184"/>
        <v>24205</v>
      </c>
      <c r="AX655" s="14" t="str">
        <f t="shared" si="185"/>
        <v>AtkExt</v>
      </c>
      <c r="AY655" s="14">
        <f t="shared" si="186"/>
        <v>2387</v>
      </c>
      <c r="AZ655" s="14" t="str">
        <f t="shared" si="187"/>
        <v>DefExt</v>
      </c>
      <c r="BA655" s="14">
        <f t="shared" si="188"/>
        <v>1227</v>
      </c>
      <c r="BB655" s="14" t="str">
        <f t="shared" si="189"/>
        <v/>
      </c>
      <c r="BC655" s="14" t="str">
        <f t="shared" si="190"/>
        <v/>
      </c>
      <c r="BD655" s="14" t="str">
        <f t="shared" si="191"/>
        <v/>
      </c>
      <c r="BE655" s="14" t="str">
        <f t="shared" si="192"/>
        <v/>
      </c>
    </row>
    <row r="656" spans="39:57" ht="16.5" x14ac:dyDescent="0.2">
      <c r="AM656" s="13">
        <v>651</v>
      </c>
      <c r="AN656" s="14">
        <f t="shared" si="193"/>
        <v>36</v>
      </c>
      <c r="AO656" s="29">
        <f t="shared" si="177"/>
        <v>1.5960000000000001</v>
      </c>
      <c r="AP656" s="14">
        <f t="shared" si="178"/>
        <v>1</v>
      </c>
      <c r="AQ656" s="14">
        <f t="shared" si="179"/>
        <v>2</v>
      </c>
      <c r="AR656" s="14">
        <f t="shared" si="180"/>
        <v>0</v>
      </c>
      <c r="AS656" s="14">
        <f t="shared" si="181"/>
        <v>1606038</v>
      </c>
      <c r="AT656" s="14" t="str">
        <f t="shared" si="182"/>
        <v>神器-7-碎片-2-18级</v>
      </c>
      <c r="AU656" s="13" t="s">
        <v>1195</v>
      </c>
      <c r="AV656" s="13">
        <f t="shared" si="183"/>
        <v>18</v>
      </c>
      <c r="AW656" s="14">
        <f t="shared" si="184"/>
        <v>26175</v>
      </c>
      <c r="AX656" s="14" t="str">
        <f t="shared" si="185"/>
        <v>AtkExt</v>
      </c>
      <c r="AY656" s="14">
        <f t="shared" si="186"/>
        <v>2581</v>
      </c>
      <c r="AZ656" s="14" t="str">
        <f t="shared" si="187"/>
        <v>DefExt</v>
      </c>
      <c r="BA656" s="14">
        <f t="shared" si="188"/>
        <v>1327</v>
      </c>
      <c r="BB656" s="14" t="str">
        <f t="shared" si="189"/>
        <v/>
      </c>
      <c r="BC656" s="14" t="str">
        <f t="shared" si="190"/>
        <v/>
      </c>
      <c r="BD656" s="14" t="str">
        <f t="shared" si="191"/>
        <v/>
      </c>
      <c r="BE656" s="14" t="str">
        <f t="shared" si="192"/>
        <v/>
      </c>
    </row>
    <row r="657" spans="39:57" ht="16.5" x14ac:dyDescent="0.2">
      <c r="AM657" s="13">
        <v>652</v>
      </c>
      <c r="AN657" s="14">
        <f t="shared" si="193"/>
        <v>36</v>
      </c>
      <c r="AO657" s="29">
        <f t="shared" si="177"/>
        <v>1.7200000000000002</v>
      </c>
      <c r="AP657" s="14">
        <f t="shared" si="178"/>
        <v>1</v>
      </c>
      <c r="AQ657" s="14">
        <f t="shared" si="179"/>
        <v>2</v>
      </c>
      <c r="AR657" s="14">
        <f t="shared" si="180"/>
        <v>0</v>
      </c>
      <c r="AS657" s="14">
        <f t="shared" si="181"/>
        <v>1606038</v>
      </c>
      <c r="AT657" s="14" t="str">
        <f t="shared" si="182"/>
        <v>神器-7-碎片-2-19级</v>
      </c>
      <c r="AU657" s="13" t="s">
        <v>1195</v>
      </c>
      <c r="AV657" s="13">
        <f t="shared" si="183"/>
        <v>19</v>
      </c>
      <c r="AW657" s="14">
        <f t="shared" si="184"/>
        <v>28210</v>
      </c>
      <c r="AX657" s="14" t="str">
        <f t="shared" si="185"/>
        <v>AtkExt</v>
      </c>
      <c r="AY657" s="14">
        <f t="shared" si="186"/>
        <v>2782</v>
      </c>
      <c r="AZ657" s="14" t="str">
        <f t="shared" si="187"/>
        <v>DefExt</v>
      </c>
      <c r="BA657" s="14">
        <f t="shared" si="188"/>
        <v>1430</v>
      </c>
      <c r="BB657" s="14" t="str">
        <f t="shared" si="189"/>
        <v/>
      </c>
      <c r="BC657" s="14" t="str">
        <f t="shared" si="190"/>
        <v/>
      </c>
      <c r="BD657" s="14" t="str">
        <f t="shared" si="191"/>
        <v/>
      </c>
      <c r="BE657" s="14" t="str">
        <f t="shared" si="192"/>
        <v/>
      </c>
    </row>
    <row r="658" spans="39:57" ht="16.5" x14ac:dyDescent="0.2">
      <c r="AM658" s="13">
        <v>653</v>
      </c>
      <c r="AN658" s="14">
        <f t="shared" si="193"/>
        <v>36</v>
      </c>
      <c r="AO658" s="29">
        <f t="shared" si="177"/>
        <v>1.8480000000000001</v>
      </c>
      <c r="AP658" s="14">
        <f t="shared" si="178"/>
        <v>1</v>
      </c>
      <c r="AQ658" s="14">
        <f t="shared" si="179"/>
        <v>2</v>
      </c>
      <c r="AR658" s="14">
        <f t="shared" si="180"/>
        <v>0</v>
      </c>
      <c r="AS658" s="14">
        <f t="shared" si="181"/>
        <v>1606038</v>
      </c>
      <c r="AT658" s="14" t="str">
        <f t="shared" si="182"/>
        <v>神器-7-碎片-2-20级</v>
      </c>
      <c r="AU658" s="13" t="s">
        <v>1195</v>
      </c>
      <c r="AV658" s="13">
        <f t="shared" si="183"/>
        <v>20</v>
      </c>
      <c r="AW658" s="14">
        <f t="shared" si="184"/>
        <v>30315</v>
      </c>
      <c r="AX658" s="14" t="str">
        <f t="shared" si="185"/>
        <v>AtkExt</v>
      </c>
      <c r="AY658" s="14">
        <f t="shared" si="186"/>
        <v>2989</v>
      </c>
      <c r="AZ658" s="14" t="str">
        <f t="shared" si="187"/>
        <v>DefExt</v>
      </c>
      <c r="BA658" s="14">
        <f t="shared" si="188"/>
        <v>1537</v>
      </c>
      <c r="BB658" s="14" t="str">
        <f t="shared" si="189"/>
        <v/>
      </c>
      <c r="BC658" s="14" t="str">
        <f t="shared" si="190"/>
        <v/>
      </c>
      <c r="BD658" s="14" t="str">
        <f t="shared" si="191"/>
        <v/>
      </c>
      <c r="BE658" s="14" t="str">
        <f t="shared" si="192"/>
        <v/>
      </c>
    </row>
    <row r="659" spans="39:57" ht="16.5" x14ac:dyDescent="0.2">
      <c r="AM659" s="13">
        <v>654</v>
      </c>
      <c r="AN659" s="14">
        <f t="shared" si="193"/>
        <v>36</v>
      </c>
      <c r="AO659" s="29">
        <f t="shared" si="177"/>
        <v>1.98</v>
      </c>
      <c r="AP659" s="14">
        <f t="shared" si="178"/>
        <v>1</v>
      </c>
      <c r="AQ659" s="14">
        <f t="shared" si="179"/>
        <v>2</v>
      </c>
      <c r="AR659" s="14">
        <f t="shared" si="180"/>
        <v>0</v>
      </c>
      <c r="AS659" s="14">
        <f t="shared" si="181"/>
        <v>1606038</v>
      </c>
      <c r="AT659" s="14" t="str">
        <f t="shared" si="182"/>
        <v>神器-7-碎片-2-21级</v>
      </c>
      <c r="AU659" s="13" t="s">
        <v>1195</v>
      </c>
      <c r="AV659" s="13">
        <f t="shared" si="183"/>
        <v>21</v>
      </c>
      <c r="AW659" s="14">
        <f t="shared" si="184"/>
        <v>32470</v>
      </c>
      <c r="AX659" s="14" t="str">
        <f t="shared" si="185"/>
        <v>AtkExt</v>
      </c>
      <c r="AY659" s="14">
        <f t="shared" si="186"/>
        <v>3202</v>
      </c>
      <c r="AZ659" s="14" t="str">
        <f t="shared" si="187"/>
        <v>DefExt</v>
      </c>
      <c r="BA659" s="14">
        <f t="shared" si="188"/>
        <v>1646</v>
      </c>
      <c r="BB659" s="14" t="str">
        <f t="shared" si="189"/>
        <v/>
      </c>
      <c r="BC659" s="14" t="str">
        <f t="shared" si="190"/>
        <v/>
      </c>
      <c r="BD659" s="14" t="str">
        <f t="shared" si="191"/>
        <v/>
      </c>
      <c r="BE659" s="14" t="str">
        <f t="shared" si="192"/>
        <v/>
      </c>
    </row>
    <row r="660" spans="39:57" ht="16.5" x14ac:dyDescent="0.2">
      <c r="AM660" s="13">
        <v>655</v>
      </c>
      <c r="AN660" s="14">
        <f t="shared" si="193"/>
        <v>37</v>
      </c>
      <c r="AO660" s="29">
        <f t="shared" si="177"/>
        <v>0.1</v>
      </c>
      <c r="AP660" s="14">
        <f t="shared" si="178"/>
        <v>1</v>
      </c>
      <c r="AQ660" s="14">
        <f t="shared" si="179"/>
        <v>2</v>
      </c>
      <c r="AR660" s="14">
        <f t="shared" si="180"/>
        <v>3</v>
      </c>
      <c r="AS660" s="14">
        <f t="shared" si="181"/>
        <v>1606039</v>
      </c>
      <c r="AT660" s="14" t="str">
        <f t="shared" si="182"/>
        <v>神器-7-碎片-3-1级</v>
      </c>
      <c r="AU660" s="13" t="s">
        <v>1195</v>
      </c>
      <c r="AV660" s="13">
        <f t="shared" si="183"/>
        <v>1</v>
      </c>
      <c r="AW660" s="14">
        <f t="shared" si="184"/>
        <v>1319</v>
      </c>
      <c r="AX660" s="14" t="str">
        <f t="shared" si="185"/>
        <v>AtkExt</v>
      </c>
      <c r="AY660" s="14">
        <f t="shared" si="186"/>
        <v>81</v>
      </c>
      <c r="AZ660" s="14" t="str">
        <f t="shared" si="187"/>
        <v>DefExt</v>
      </c>
      <c r="BA660" s="14">
        <f t="shared" si="188"/>
        <v>83</v>
      </c>
      <c r="BB660" s="14" t="str">
        <f t="shared" si="189"/>
        <v>HPExt</v>
      </c>
      <c r="BC660" s="14">
        <f t="shared" si="190"/>
        <v>84</v>
      </c>
      <c r="BD660" s="14" t="str">
        <f t="shared" si="191"/>
        <v/>
      </c>
      <c r="BE660" s="14" t="str">
        <f t="shared" si="192"/>
        <v/>
      </c>
    </row>
    <row r="661" spans="39:57" ht="16.5" x14ac:dyDescent="0.2">
      <c r="AM661" s="13">
        <v>656</v>
      </c>
      <c r="AN661" s="14">
        <f t="shared" si="193"/>
        <v>37</v>
      </c>
      <c r="AO661" s="29">
        <f t="shared" si="177"/>
        <v>0.15600000000000003</v>
      </c>
      <c r="AP661" s="14">
        <f t="shared" si="178"/>
        <v>1</v>
      </c>
      <c r="AQ661" s="14">
        <f t="shared" si="179"/>
        <v>2</v>
      </c>
      <c r="AR661" s="14">
        <f t="shared" si="180"/>
        <v>3</v>
      </c>
      <c r="AS661" s="14">
        <f t="shared" si="181"/>
        <v>1606039</v>
      </c>
      <c r="AT661" s="14" t="str">
        <f t="shared" si="182"/>
        <v>神器-7-碎片-3-2级</v>
      </c>
      <c r="AU661" s="13" t="s">
        <v>1195</v>
      </c>
      <c r="AV661" s="13">
        <f t="shared" si="183"/>
        <v>2</v>
      </c>
      <c r="AW661" s="14">
        <f t="shared" si="184"/>
        <v>2061</v>
      </c>
      <c r="AX661" s="14" t="str">
        <f t="shared" si="185"/>
        <v>AtkExt</v>
      </c>
      <c r="AY661" s="14">
        <f t="shared" si="186"/>
        <v>126</v>
      </c>
      <c r="AZ661" s="14" t="str">
        <f t="shared" si="187"/>
        <v>DefExt</v>
      </c>
      <c r="BA661" s="14">
        <f t="shared" si="188"/>
        <v>130</v>
      </c>
      <c r="BB661" s="14" t="str">
        <f t="shared" si="189"/>
        <v>HPExt</v>
      </c>
      <c r="BC661" s="14">
        <f t="shared" si="190"/>
        <v>131</v>
      </c>
      <c r="BD661" s="14" t="str">
        <f t="shared" si="191"/>
        <v/>
      </c>
      <c r="BE661" s="14" t="str">
        <f t="shared" si="192"/>
        <v/>
      </c>
    </row>
    <row r="662" spans="39:57" ht="16.5" x14ac:dyDescent="0.2">
      <c r="AM662" s="13">
        <v>657</v>
      </c>
      <c r="AN662" s="14">
        <f t="shared" si="193"/>
        <v>37</v>
      </c>
      <c r="AO662" s="29">
        <f t="shared" si="177"/>
        <v>0.21600000000000003</v>
      </c>
      <c r="AP662" s="14">
        <f t="shared" si="178"/>
        <v>1</v>
      </c>
      <c r="AQ662" s="14">
        <f t="shared" si="179"/>
        <v>2</v>
      </c>
      <c r="AR662" s="14">
        <f t="shared" si="180"/>
        <v>3</v>
      </c>
      <c r="AS662" s="14">
        <f t="shared" si="181"/>
        <v>1606039</v>
      </c>
      <c r="AT662" s="14" t="str">
        <f t="shared" si="182"/>
        <v>神器-7-碎片-3-3级</v>
      </c>
      <c r="AU662" s="13" t="s">
        <v>1195</v>
      </c>
      <c r="AV662" s="13">
        <f t="shared" si="183"/>
        <v>3</v>
      </c>
      <c r="AW662" s="14">
        <f t="shared" si="184"/>
        <v>2857</v>
      </c>
      <c r="AX662" s="14" t="str">
        <f t="shared" si="185"/>
        <v>AtkExt</v>
      </c>
      <c r="AY662" s="14">
        <f t="shared" si="186"/>
        <v>175</v>
      </c>
      <c r="AZ662" s="14" t="str">
        <f t="shared" si="187"/>
        <v>DefExt</v>
      </c>
      <c r="BA662" s="14">
        <f t="shared" si="188"/>
        <v>180</v>
      </c>
      <c r="BB662" s="14" t="str">
        <f t="shared" si="189"/>
        <v>HPExt</v>
      </c>
      <c r="BC662" s="14">
        <f t="shared" si="190"/>
        <v>182</v>
      </c>
      <c r="BD662" s="14" t="str">
        <f t="shared" si="191"/>
        <v/>
      </c>
      <c r="BE662" s="14" t="str">
        <f t="shared" si="192"/>
        <v/>
      </c>
    </row>
    <row r="663" spans="39:57" ht="16.5" x14ac:dyDescent="0.2">
      <c r="AM663" s="13">
        <v>658</v>
      </c>
      <c r="AN663" s="14">
        <f t="shared" si="193"/>
        <v>37</v>
      </c>
      <c r="AO663" s="29">
        <f t="shared" si="177"/>
        <v>0.28000000000000003</v>
      </c>
      <c r="AP663" s="14">
        <f t="shared" si="178"/>
        <v>1</v>
      </c>
      <c r="AQ663" s="14">
        <f t="shared" si="179"/>
        <v>2</v>
      </c>
      <c r="AR663" s="14">
        <f t="shared" si="180"/>
        <v>3</v>
      </c>
      <c r="AS663" s="14">
        <f t="shared" si="181"/>
        <v>1606039</v>
      </c>
      <c r="AT663" s="14" t="str">
        <f t="shared" si="182"/>
        <v>神器-7-碎片-3-4级</v>
      </c>
      <c r="AU663" s="13" t="s">
        <v>1195</v>
      </c>
      <c r="AV663" s="13">
        <f t="shared" si="183"/>
        <v>4</v>
      </c>
      <c r="AW663" s="14">
        <f t="shared" si="184"/>
        <v>3696</v>
      </c>
      <c r="AX663" s="14" t="str">
        <f t="shared" si="185"/>
        <v>AtkExt</v>
      </c>
      <c r="AY663" s="14">
        <f t="shared" si="186"/>
        <v>226</v>
      </c>
      <c r="AZ663" s="14" t="str">
        <f t="shared" si="187"/>
        <v>DefExt</v>
      </c>
      <c r="BA663" s="14">
        <f t="shared" si="188"/>
        <v>233</v>
      </c>
      <c r="BB663" s="14" t="str">
        <f t="shared" si="189"/>
        <v>HPExt</v>
      </c>
      <c r="BC663" s="14">
        <f t="shared" si="190"/>
        <v>236</v>
      </c>
      <c r="BD663" s="14" t="str">
        <f t="shared" si="191"/>
        <v/>
      </c>
      <c r="BE663" s="14" t="str">
        <f t="shared" si="192"/>
        <v/>
      </c>
    </row>
    <row r="664" spans="39:57" ht="16.5" x14ac:dyDescent="0.2">
      <c r="AM664" s="13">
        <v>659</v>
      </c>
      <c r="AN664" s="14">
        <f t="shared" si="193"/>
        <v>37</v>
      </c>
      <c r="AO664" s="29">
        <f t="shared" si="177"/>
        <v>0.34799999999999998</v>
      </c>
      <c r="AP664" s="14">
        <f t="shared" si="178"/>
        <v>1</v>
      </c>
      <c r="AQ664" s="14">
        <f t="shared" si="179"/>
        <v>2</v>
      </c>
      <c r="AR664" s="14">
        <f t="shared" si="180"/>
        <v>3</v>
      </c>
      <c r="AS664" s="14">
        <f t="shared" si="181"/>
        <v>1606039</v>
      </c>
      <c r="AT664" s="14" t="str">
        <f t="shared" si="182"/>
        <v>神器-7-碎片-3-5级</v>
      </c>
      <c r="AU664" s="13" t="s">
        <v>1195</v>
      </c>
      <c r="AV664" s="13">
        <f t="shared" si="183"/>
        <v>5</v>
      </c>
      <c r="AW664" s="14">
        <f t="shared" si="184"/>
        <v>4588</v>
      </c>
      <c r="AX664" s="14" t="str">
        <f t="shared" si="185"/>
        <v>AtkExt</v>
      </c>
      <c r="AY664" s="14">
        <f t="shared" si="186"/>
        <v>281</v>
      </c>
      <c r="AZ664" s="14" t="str">
        <f t="shared" si="187"/>
        <v>DefExt</v>
      </c>
      <c r="BA664" s="14">
        <f t="shared" si="188"/>
        <v>289</v>
      </c>
      <c r="BB664" s="14" t="str">
        <f t="shared" si="189"/>
        <v>HPExt</v>
      </c>
      <c r="BC664" s="14">
        <f t="shared" si="190"/>
        <v>293</v>
      </c>
      <c r="BD664" s="14" t="str">
        <f t="shared" si="191"/>
        <v/>
      </c>
      <c r="BE664" s="14" t="str">
        <f t="shared" si="192"/>
        <v/>
      </c>
    </row>
    <row r="665" spans="39:57" ht="16.5" x14ac:dyDescent="0.2">
      <c r="AM665" s="13">
        <v>660</v>
      </c>
      <c r="AN665" s="14">
        <f t="shared" si="193"/>
        <v>37</v>
      </c>
      <c r="AO665" s="29">
        <f t="shared" si="177"/>
        <v>0.42000000000000004</v>
      </c>
      <c r="AP665" s="14">
        <f t="shared" si="178"/>
        <v>1</v>
      </c>
      <c r="AQ665" s="14">
        <f t="shared" si="179"/>
        <v>2</v>
      </c>
      <c r="AR665" s="14">
        <f t="shared" si="180"/>
        <v>3</v>
      </c>
      <c r="AS665" s="14">
        <f t="shared" si="181"/>
        <v>1606039</v>
      </c>
      <c r="AT665" s="14" t="str">
        <f t="shared" si="182"/>
        <v>神器-7-碎片-3-6级</v>
      </c>
      <c r="AU665" s="13" t="s">
        <v>1195</v>
      </c>
      <c r="AV665" s="13">
        <f t="shared" si="183"/>
        <v>6</v>
      </c>
      <c r="AW665" s="14">
        <f t="shared" si="184"/>
        <v>5544</v>
      </c>
      <c r="AX665" s="14" t="str">
        <f t="shared" si="185"/>
        <v>AtkExt</v>
      </c>
      <c r="AY665" s="14">
        <f t="shared" si="186"/>
        <v>340</v>
      </c>
      <c r="AZ665" s="14" t="str">
        <f t="shared" si="187"/>
        <v>DefExt</v>
      </c>
      <c r="BA665" s="14">
        <f t="shared" si="188"/>
        <v>349</v>
      </c>
      <c r="BB665" s="14" t="str">
        <f t="shared" si="189"/>
        <v>HPExt</v>
      </c>
      <c r="BC665" s="14">
        <f t="shared" si="190"/>
        <v>354</v>
      </c>
      <c r="BD665" s="14" t="str">
        <f t="shared" si="191"/>
        <v/>
      </c>
      <c r="BE665" s="14" t="str">
        <f t="shared" si="192"/>
        <v/>
      </c>
    </row>
    <row r="666" spans="39:57" ht="16.5" x14ac:dyDescent="0.2">
      <c r="AM666" s="13">
        <v>661</v>
      </c>
      <c r="AN666" s="14">
        <f t="shared" si="193"/>
        <v>37</v>
      </c>
      <c r="AO666" s="29">
        <f t="shared" si="177"/>
        <v>0.496</v>
      </c>
      <c r="AP666" s="14">
        <f t="shared" si="178"/>
        <v>1</v>
      </c>
      <c r="AQ666" s="14">
        <f t="shared" si="179"/>
        <v>2</v>
      </c>
      <c r="AR666" s="14">
        <f t="shared" si="180"/>
        <v>3</v>
      </c>
      <c r="AS666" s="14">
        <f t="shared" si="181"/>
        <v>1606039</v>
      </c>
      <c r="AT666" s="14" t="str">
        <f t="shared" si="182"/>
        <v>神器-7-碎片-3-7级</v>
      </c>
      <c r="AU666" s="13" t="s">
        <v>1195</v>
      </c>
      <c r="AV666" s="13">
        <f t="shared" si="183"/>
        <v>7</v>
      </c>
      <c r="AW666" s="14">
        <f t="shared" si="184"/>
        <v>6543</v>
      </c>
      <c r="AX666" s="14" t="str">
        <f t="shared" si="185"/>
        <v>AtkExt</v>
      </c>
      <c r="AY666" s="14">
        <f t="shared" si="186"/>
        <v>401</v>
      </c>
      <c r="AZ666" s="14" t="str">
        <f t="shared" si="187"/>
        <v>DefExt</v>
      </c>
      <c r="BA666" s="14">
        <f t="shared" si="188"/>
        <v>412</v>
      </c>
      <c r="BB666" s="14" t="str">
        <f t="shared" si="189"/>
        <v>HPExt</v>
      </c>
      <c r="BC666" s="14">
        <f t="shared" si="190"/>
        <v>418</v>
      </c>
      <c r="BD666" s="14" t="str">
        <f t="shared" si="191"/>
        <v/>
      </c>
      <c r="BE666" s="14" t="str">
        <f t="shared" si="192"/>
        <v/>
      </c>
    </row>
    <row r="667" spans="39:57" ht="16.5" x14ac:dyDescent="0.2">
      <c r="AM667" s="13">
        <v>662</v>
      </c>
      <c r="AN667" s="14">
        <f t="shared" si="193"/>
        <v>37</v>
      </c>
      <c r="AO667" s="29">
        <f t="shared" si="177"/>
        <v>0.57600000000000007</v>
      </c>
      <c r="AP667" s="14">
        <f t="shared" si="178"/>
        <v>1</v>
      </c>
      <c r="AQ667" s="14">
        <f t="shared" si="179"/>
        <v>2</v>
      </c>
      <c r="AR667" s="14">
        <f t="shared" si="180"/>
        <v>3</v>
      </c>
      <c r="AS667" s="14">
        <f t="shared" si="181"/>
        <v>1606039</v>
      </c>
      <c r="AT667" s="14" t="str">
        <f t="shared" si="182"/>
        <v>神器-7-碎片-3-8级</v>
      </c>
      <c r="AU667" s="13" t="s">
        <v>1195</v>
      </c>
      <c r="AV667" s="13">
        <f t="shared" si="183"/>
        <v>8</v>
      </c>
      <c r="AW667" s="14">
        <f t="shared" si="184"/>
        <v>7605</v>
      </c>
      <c r="AX667" s="14" t="str">
        <f t="shared" si="185"/>
        <v>AtkExt</v>
      </c>
      <c r="AY667" s="14">
        <f t="shared" si="186"/>
        <v>466</v>
      </c>
      <c r="AZ667" s="14" t="str">
        <f t="shared" si="187"/>
        <v>DefExt</v>
      </c>
      <c r="BA667" s="14">
        <f t="shared" si="188"/>
        <v>479</v>
      </c>
      <c r="BB667" s="14" t="str">
        <f t="shared" si="189"/>
        <v>HPExt</v>
      </c>
      <c r="BC667" s="14">
        <f t="shared" si="190"/>
        <v>485</v>
      </c>
      <c r="BD667" s="14" t="str">
        <f t="shared" si="191"/>
        <v/>
      </c>
      <c r="BE667" s="14" t="str">
        <f t="shared" si="192"/>
        <v/>
      </c>
    </row>
    <row r="668" spans="39:57" ht="16.5" x14ac:dyDescent="0.2">
      <c r="AM668" s="13">
        <v>663</v>
      </c>
      <c r="AN668" s="14">
        <f t="shared" si="193"/>
        <v>37</v>
      </c>
      <c r="AO668" s="29">
        <f t="shared" si="177"/>
        <v>0.66</v>
      </c>
      <c r="AP668" s="14">
        <f t="shared" si="178"/>
        <v>1</v>
      </c>
      <c r="AQ668" s="14">
        <f t="shared" si="179"/>
        <v>2</v>
      </c>
      <c r="AR668" s="14">
        <f t="shared" si="180"/>
        <v>3</v>
      </c>
      <c r="AS668" s="14">
        <f t="shared" si="181"/>
        <v>1606039</v>
      </c>
      <c r="AT668" s="14" t="str">
        <f t="shared" si="182"/>
        <v>神器-7-碎片-3-9级</v>
      </c>
      <c r="AU668" s="13" t="s">
        <v>1195</v>
      </c>
      <c r="AV668" s="13">
        <f t="shared" si="183"/>
        <v>9</v>
      </c>
      <c r="AW668" s="14">
        <f t="shared" si="184"/>
        <v>8716</v>
      </c>
      <c r="AX668" s="14" t="str">
        <f t="shared" si="185"/>
        <v>AtkExt</v>
      </c>
      <c r="AY668" s="14">
        <f t="shared" si="186"/>
        <v>534</v>
      </c>
      <c r="AZ668" s="14" t="str">
        <f t="shared" si="187"/>
        <v>DefExt</v>
      </c>
      <c r="BA668" s="14">
        <f t="shared" si="188"/>
        <v>549</v>
      </c>
      <c r="BB668" s="14" t="str">
        <f t="shared" si="189"/>
        <v>HPExt</v>
      </c>
      <c r="BC668" s="14">
        <f t="shared" si="190"/>
        <v>556</v>
      </c>
      <c r="BD668" s="14" t="str">
        <f t="shared" si="191"/>
        <v/>
      </c>
      <c r="BE668" s="14" t="str">
        <f t="shared" si="192"/>
        <v/>
      </c>
    </row>
    <row r="669" spans="39:57" ht="16.5" x14ac:dyDescent="0.2">
      <c r="AM669" s="13">
        <v>664</v>
      </c>
      <c r="AN669" s="14">
        <f t="shared" si="193"/>
        <v>37</v>
      </c>
      <c r="AO669" s="29">
        <f t="shared" si="177"/>
        <v>0.748</v>
      </c>
      <c r="AP669" s="14">
        <f t="shared" si="178"/>
        <v>1</v>
      </c>
      <c r="AQ669" s="14">
        <f t="shared" si="179"/>
        <v>2</v>
      </c>
      <c r="AR669" s="14">
        <f t="shared" si="180"/>
        <v>3</v>
      </c>
      <c r="AS669" s="14">
        <f t="shared" si="181"/>
        <v>1606039</v>
      </c>
      <c r="AT669" s="14" t="str">
        <f t="shared" si="182"/>
        <v>神器-7-碎片-3-10级</v>
      </c>
      <c r="AU669" s="13" t="s">
        <v>1195</v>
      </c>
      <c r="AV669" s="13">
        <f t="shared" si="183"/>
        <v>10</v>
      </c>
      <c r="AW669" s="14">
        <f t="shared" si="184"/>
        <v>9875</v>
      </c>
      <c r="AX669" s="14" t="str">
        <f t="shared" si="185"/>
        <v>AtkExt</v>
      </c>
      <c r="AY669" s="14">
        <f t="shared" si="186"/>
        <v>605</v>
      </c>
      <c r="AZ669" s="14" t="str">
        <f t="shared" si="187"/>
        <v>DefExt</v>
      </c>
      <c r="BA669" s="14">
        <f t="shared" si="188"/>
        <v>622</v>
      </c>
      <c r="BB669" s="14" t="str">
        <f t="shared" si="189"/>
        <v>HPExt</v>
      </c>
      <c r="BC669" s="14">
        <f t="shared" si="190"/>
        <v>630</v>
      </c>
      <c r="BD669" s="14" t="str">
        <f t="shared" si="191"/>
        <v/>
      </c>
      <c r="BE669" s="14" t="str">
        <f t="shared" si="192"/>
        <v/>
      </c>
    </row>
    <row r="670" spans="39:57" ht="16.5" x14ac:dyDescent="0.2">
      <c r="AM670" s="13">
        <v>665</v>
      </c>
      <c r="AN670" s="14">
        <f t="shared" si="193"/>
        <v>37</v>
      </c>
      <c r="AO670" s="29">
        <f t="shared" si="177"/>
        <v>0.84000000000000008</v>
      </c>
      <c r="AP670" s="14">
        <f t="shared" si="178"/>
        <v>1</v>
      </c>
      <c r="AQ670" s="14">
        <f t="shared" si="179"/>
        <v>2</v>
      </c>
      <c r="AR670" s="14">
        <f t="shared" si="180"/>
        <v>3</v>
      </c>
      <c r="AS670" s="14">
        <f t="shared" si="181"/>
        <v>1606039</v>
      </c>
      <c r="AT670" s="14" t="str">
        <f t="shared" si="182"/>
        <v>神器-7-碎片-3-11级</v>
      </c>
      <c r="AU670" s="13" t="s">
        <v>1195</v>
      </c>
      <c r="AV670" s="13">
        <f t="shared" si="183"/>
        <v>11</v>
      </c>
      <c r="AW670" s="14">
        <f t="shared" si="184"/>
        <v>11082</v>
      </c>
      <c r="AX670" s="14" t="str">
        <f t="shared" si="185"/>
        <v>AtkExt</v>
      </c>
      <c r="AY670" s="14">
        <f t="shared" si="186"/>
        <v>679</v>
      </c>
      <c r="AZ670" s="14" t="str">
        <f t="shared" si="187"/>
        <v>DefExt</v>
      </c>
      <c r="BA670" s="14">
        <f t="shared" si="188"/>
        <v>698</v>
      </c>
      <c r="BB670" s="14" t="str">
        <f t="shared" si="189"/>
        <v>HPExt</v>
      </c>
      <c r="BC670" s="14">
        <f t="shared" si="190"/>
        <v>707</v>
      </c>
      <c r="BD670" s="14" t="str">
        <f t="shared" si="191"/>
        <v/>
      </c>
      <c r="BE670" s="14" t="str">
        <f t="shared" si="192"/>
        <v/>
      </c>
    </row>
    <row r="671" spans="39:57" ht="16.5" x14ac:dyDescent="0.2">
      <c r="AM671" s="13">
        <v>666</v>
      </c>
      <c r="AN671" s="14">
        <f t="shared" si="193"/>
        <v>37</v>
      </c>
      <c r="AO671" s="29">
        <f t="shared" si="177"/>
        <v>0.93600000000000017</v>
      </c>
      <c r="AP671" s="14">
        <f t="shared" si="178"/>
        <v>1</v>
      </c>
      <c r="AQ671" s="14">
        <f t="shared" si="179"/>
        <v>2</v>
      </c>
      <c r="AR671" s="14">
        <f t="shared" si="180"/>
        <v>3</v>
      </c>
      <c r="AS671" s="14">
        <f t="shared" si="181"/>
        <v>1606039</v>
      </c>
      <c r="AT671" s="14" t="str">
        <f t="shared" si="182"/>
        <v>神器-7-碎片-3-12级</v>
      </c>
      <c r="AU671" s="13" t="s">
        <v>1195</v>
      </c>
      <c r="AV671" s="13">
        <f t="shared" si="183"/>
        <v>12</v>
      </c>
      <c r="AW671" s="14">
        <f t="shared" si="184"/>
        <v>12353</v>
      </c>
      <c r="AX671" s="14" t="str">
        <f t="shared" si="185"/>
        <v>AtkExt</v>
      </c>
      <c r="AY671" s="14">
        <f t="shared" si="186"/>
        <v>757</v>
      </c>
      <c r="AZ671" s="14" t="str">
        <f t="shared" si="187"/>
        <v>DefExt</v>
      </c>
      <c r="BA671" s="14">
        <f t="shared" si="188"/>
        <v>778</v>
      </c>
      <c r="BB671" s="14" t="str">
        <f t="shared" si="189"/>
        <v>HPExt</v>
      </c>
      <c r="BC671" s="14">
        <f t="shared" si="190"/>
        <v>788</v>
      </c>
      <c r="BD671" s="14" t="str">
        <f t="shared" si="191"/>
        <v/>
      </c>
      <c r="BE671" s="14" t="str">
        <f t="shared" si="192"/>
        <v/>
      </c>
    </row>
    <row r="672" spans="39:57" ht="16.5" x14ac:dyDescent="0.2">
      <c r="AM672" s="13">
        <v>667</v>
      </c>
      <c r="AN672" s="14">
        <f t="shared" si="193"/>
        <v>37</v>
      </c>
      <c r="AO672" s="29">
        <f t="shared" si="177"/>
        <v>1.036</v>
      </c>
      <c r="AP672" s="14">
        <f t="shared" si="178"/>
        <v>1</v>
      </c>
      <c r="AQ672" s="14">
        <f t="shared" si="179"/>
        <v>2</v>
      </c>
      <c r="AR672" s="14">
        <f t="shared" si="180"/>
        <v>3</v>
      </c>
      <c r="AS672" s="14">
        <f t="shared" si="181"/>
        <v>1606039</v>
      </c>
      <c r="AT672" s="14" t="str">
        <f t="shared" si="182"/>
        <v>神器-7-碎片-3-13级</v>
      </c>
      <c r="AU672" s="13" t="s">
        <v>1195</v>
      </c>
      <c r="AV672" s="13">
        <f t="shared" si="183"/>
        <v>13</v>
      </c>
      <c r="AW672" s="14">
        <f t="shared" si="184"/>
        <v>13672</v>
      </c>
      <c r="AX672" s="14" t="str">
        <f t="shared" si="185"/>
        <v>AtkExt</v>
      </c>
      <c r="AY672" s="14">
        <f t="shared" si="186"/>
        <v>838</v>
      </c>
      <c r="AZ672" s="14" t="str">
        <f t="shared" si="187"/>
        <v>DefExt</v>
      </c>
      <c r="BA672" s="14">
        <f t="shared" si="188"/>
        <v>861</v>
      </c>
      <c r="BB672" s="14" t="str">
        <f t="shared" si="189"/>
        <v>HPExt</v>
      </c>
      <c r="BC672" s="14">
        <f t="shared" si="190"/>
        <v>872</v>
      </c>
      <c r="BD672" s="14" t="str">
        <f t="shared" si="191"/>
        <v/>
      </c>
      <c r="BE672" s="14" t="str">
        <f t="shared" si="192"/>
        <v/>
      </c>
    </row>
    <row r="673" spans="39:57" ht="16.5" x14ac:dyDescent="0.2">
      <c r="AM673" s="13">
        <v>668</v>
      </c>
      <c r="AN673" s="14">
        <f t="shared" si="193"/>
        <v>37</v>
      </c>
      <c r="AO673" s="29">
        <f t="shared" si="177"/>
        <v>1.1400000000000001</v>
      </c>
      <c r="AP673" s="14">
        <f t="shared" si="178"/>
        <v>1</v>
      </c>
      <c r="AQ673" s="14">
        <f t="shared" si="179"/>
        <v>2</v>
      </c>
      <c r="AR673" s="14">
        <f t="shared" si="180"/>
        <v>3</v>
      </c>
      <c r="AS673" s="14">
        <f t="shared" si="181"/>
        <v>1606039</v>
      </c>
      <c r="AT673" s="14" t="str">
        <f t="shared" si="182"/>
        <v>神器-7-碎片-3-14级</v>
      </c>
      <c r="AU673" s="13" t="s">
        <v>1195</v>
      </c>
      <c r="AV673" s="13">
        <f t="shared" si="183"/>
        <v>14</v>
      </c>
      <c r="AW673" s="14">
        <f t="shared" si="184"/>
        <v>15050</v>
      </c>
      <c r="AX673" s="14" t="str">
        <f t="shared" si="185"/>
        <v>AtkExt</v>
      </c>
      <c r="AY673" s="14">
        <f t="shared" si="186"/>
        <v>922</v>
      </c>
      <c r="AZ673" s="14" t="str">
        <f t="shared" si="187"/>
        <v>DefExt</v>
      </c>
      <c r="BA673" s="14">
        <f t="shared" si="188"/>
        <v>948</v>
      </c>
      <c r="BB673" s="14" t="str">
        <f t="shared" si="189"/>
        <v>HPExt</v>
      </c>
      <c r="BC673" s="14">
        <f t="shared" si="190"/>
        <v>960</v>
      </c>
      <c r="BD673" s="14" t="str">
        <f t="shared" si="191"/>
        <v/>
      </c>
      <c r="BE673" s="14" t="str">
        <f t="shared" si="192"/>
        <v/>
      </c>
    </row>
    <row r="674" spans="39:57" ht="16.5" x14ac:dyDescent="0.2">
      <c r="AM674" s="13">
        <v>669</v>
      </c>
      <c r="AN674" s="14">
        <f t="shared" si="193"/>
        <v>37</v>
      </c>
      <c r="AO674" s="29">
        <f t="shared" si="177"/>
        <v>1.248</v>
      </c>
      <c r="AP674" s="14">
        <f t="shared" si="178"/>
        <v>1</v>
      </c>
      <c r="AQ674" s="14">
        <f t="shared" si="179"/>
        <v>2</v>
      </c>
      <c r="AR674" s="14">
        <f t="shared" si="180"/>
        <v>3</v>
      </c>
      <c r="AS674" s="14">
        <f t="shared" si="181"/>
        <v>1606039</v>
      </c>
      <c r="AT674" s="14" t="str">
        <f t="shared" si="182"/>
        <v>神器-7-碎片-3-15级</v>
      </c>
      <c r="AU674" s="13" t="s">
        <v>1195</v>
      </c>
      <c r="AV674" s="13">
        <f t="shared" si="183"/>
        <v>15</v>
      </c>
      <c r="AW674" s="14">
        <f t="shared" si="184"/>
        <v>16476</v>
      </c>
      <c r="AX674" s="14" t="str">
        <f t="shared" si="185"/>
        <v>AtkExt</v>
      </c>
      <c r="AY674" s="14">
        <f t="shared" si="186"/>
        <v>1009</v>
      </c>
      <c r="AZ674" s="14" t="str">
        <f t="shared" si="187"/>
        <v>DefExt</v>
      </c>
      <c r="BA674" s="14">
        <f t="shared" si="188"/>
        <v>1038</v>
      </c>
      <c r="BB674" s="14" t="str">
        <f t="shared" si="189"/>
        <v>HPExt</v>
      </c>
      <c r="BC674" s="14">
        <f t="shared" si="190"/>
        <v>1051</v>
      </c>
      <c r="BD674" s="14" t="str">
        <f t="shared" si="191"/>
        <v/>
      </c>
      <c r="BE674" s="14" t="str">
        <f t="shared" si="192"/>
        <v/>
      </c>
    </row>
    <row r="675" spans="39:57" ht="16.5" x14ac:dyDescent="0.2">
      <c r="AM675" s="13">
        <v>670</v>
      </c>
      <c r="AN675" s="14">
        <f t="shared" si="193"/>
        <v>37</v>
      </c>
      <c r="AO675" s="29">
        <f t="shared" si="177"/>
        <v>1.36</v>
      </c>
      <c r="AP675" s="14">
        <f t="shared" si="178"/>
        <v>1</v>
      </c>
      <c r="AQ675" s="14">
        <f t="shared" si="179"/>
        <v>2</v>
      </c>
      <c r="AR675" s="14">
        <f t="shared" si="180"/>
        <v>3</v>
      </c>
      <c r="AS675" s="14">
        <f t="shared" si="181"/>
        <v>1606039</v>
      </c>
      <c r="AT675" s="14" t="str">
        <f t="shared" si="182"/>
        <v>神器-7-碎片-3-16级</v>
      </c>
      <c r="AU675" s="13" t="s">
        <v>1195</v>
      </c>
      <c r="AV675" s="13">
        <f t="shared" si="183"/>
        <v>16</v>
      </c>
      <c r="AW675" s="14">
        <f t="shared" si="184"/>
        <v>17955</v>
      </c>
      <c r="AX675" s="14" t="str">
        <f t="shared" si="185"/>
        <v>AtkExt</v>
      </c>
      <c r="AY675" s="14">
        <f t="shared" si="186"/>
        <v>1100</v>
      </c>
      <c r="AZ675" s="14" t="str">
        <f t="shared" si="187"/>
        <v>DefExt</v>
      </c>
      <c r="BA675" s="14">
        <f t="shared" si="188"/>
        <v>1131</v>
      </c>
      <c r="BB675" s="14" t="str">
        <f t="shared" si="189"/>
        <v>HPExt</v>
      </c>
      <c r="BC675" s="14">
        <f t="shared" si="190"/>
        <v>1145</v>
      </c>
      <c r="BD675" s="14" t="str">
        <f t="shared" si="191"/>
        <v/>
      </c>
      <c r="BE675" s="14" t="str">
        <f t="shared" si="192"/>
        <v/>
      </c>
    </row>
    <row r="676" spans="39:57" ht="16.5" x14ac:dyDescent="0.2">
      <c r="AM676" s="13">
        <v>671</v>
      </c>
      <c r="AN676" s="14">
        <f t="shared" si="193"/>
        <v>37</v>
      </c>
      <c r="AO676" s="29">
        <f t="shared" si="177"/>
        <v>1.476</v>
      </c>
      <c r="AP676" s="14">
        <f t="shared" si="178"/>
        <v>1</v>
      </c>
      <c r="AQ676" s="14">
        <f t="shared" si="179"/>
        <v>2</v>
      </c>
      <c r="AR676" s="14">
        <f t="shared" si="180"/>
        <v>3</v>
      </c>
      <c r="AS676" s="14">
        <f t="shared" si="181"/>
        <v>1606039</v>
      </c>
      <c r="AT676" s="14" t="str">
        <f t="shared" si="182"/>
        <v>神器-7-碎片-3-17级</v>
      </c>
      <c r="AU676" s="13" t="s">
        <v>1195</v>
      </c>
      <c r="AV676" s="13">
        <f t="shared" si="183"/>
        <v>17</v>
      </c>
      <c r="AW676" s="14">
        <f t="shared" si="184"/>
        <v>19483</v>
      </c>
      <c r="AX676" s="14" t="str">
        <f t="shared" si="185"/>
        <v>AtkExt</v>
      </c>
      <c r="AY676" s="14">
        <f t="shared" si="186"/>
        <v>1194</v>
      </c>
      <c r="AZ676" s="14" t="str">
        <f t="shared" si="187"/>
        <v>DefExt</v>
      </c>
      <c r="BA676" s="14">
        <f t="shared" si="188"/>
        <v>1227</v>
      </c>
      <c r="BB676" s="14" t="str">
        <f t="shared" si="189"/>
        <v>HPExt</v>
      </c>
      <c r="BC676" s="14">
        <f t="shared" si="190"/>
        <v>1243</v>
      </c>
      <c r="BD676" s="14" t="str">
        <f t="shared" si="191"/>
        <v/>
      </c>
      <c r="BE676" s="14" t="str">
        <f t="shared" si="192"/>
        <v/>
      </c>
    </row>
    <row r="677" spans="39:57" ht="16.5" x14ac:dyDescent="0.2">
      <c r="AM677" s="13">
        <v>672</v>
      </c>
      <c r="AN677" s="14">
        <f t="shared" si="193"/>
        <v>37</v>
      </c>
      <c r="AO677" s="29">
        <f t="shared" si="177"/>
        <v>1.5960000000000001</v>
      </c>
      <c r="AP677" s="14">
        <f t="shared" si="178"/>
        <v>1</v>
      </c>
      <c r="AQ677" s="14">
        <f t="shared" si="179"/>
        <v>2</v>
      </c>
      <c r="AR677" s="14">
        <f t="shared" si="180"/>
        <v>3</v>
      </c>
      <c r="AS677" s="14">
        <f t="shared" si="181"/>
        <v>1606039</v>
      </c>
      <c r="AT677" s="14" t="str">
        <f t="shared" si="182"/>
        <v>神器-7-碎片-3-18级</v>
      </c>
      <c r="AU677" s="13" t="s">
        <v>1195</v>
      </c>
      <c r="AV677" s="13">
        <f t="shared" si="183"/>
        <v>18</v>
      </c>
      <c r="AW677" s="14">
        <f t="shared" si="184"/>
        <v>21069</v>
      </c>
      <c r="AX677" s="14" t="str">
        <f t="shared" si="185"/>
        <v>AtkExt</v>
      </c>
      <c r="AY677" s="14">
        <f t="shared" si="186"/>
        <v>1291</v>
      </c>
      <c r="AZ677" s="14" t="str">
        <f t="shared" si="187"/>
        <v>DefExt</v>
      </c>
      <c r="BA677" s="14">
        <f t="shared" si="188"/>
        <v>1327</v>
      </c>
      <c r="BB677" s="14" t="str">
        <f t="shared" si="189"/>
        <v>HPExt</v>
      </c>
      <c r="BC677" s="14">
        <f t="shared" si="190"/>
        <v>1344</v>
      </c>
      <c r="BD677" s="14" t="str">
        <f t="shared" si="191"/>
        <v/>
      </c>
      <c r="BE677" s="14" t="str">
        <f t="shared" si="192"/>
        <v/>
      </c>
    </row>
    <row r="678" spans="39:57" ht="16.5" x14ac:dyDescent="0.2">
      <c r="AM678" s="13">
        <v>673</v>
      </c>
      <c r="AN678" s="14">
        <f t="shared" si="193"/>
        <v>37</v>
      </c>
      <c r="AO678" s="29">
        <f t="shared" si="177"/>
        <v>1.7200000000000002</v>
      </c>
      <c r="AP678" s="14">
        <f t="shared" si="178"/>
        <v>1</v>
      </c>
      <c r="AQ678" s="14">
        <f t="shared" si="179"/>
        <v>2</v>
      </c>
      <c r="AR678" s="14">
        <f t="shared" si="180"/>
        <v>3</v>
      </c>
      <c r="AS678" s="14">
        <f t="shared" si="181"/>
        <v>1606039</v>
      </c>
      <c r="AT678" s="14" t="str">
        <f t="shared" si="182"/>
        <v>神器-7-碎片-3-19级</v>
      </c>
      <c r="AU678" s="13" t="s">
        <v>1195</v>
      </c>
      <c r="AV678" s="13">
        <f t="shared" si="183"/>
        <v>19</v>
      </c>
      <c r="AW678" s="14">
        <f t="shared" si="184"/>
        <v>22703</v>
      </c>
      <c r="AX678" s="14" t="str">
        <f t="shared" si="185"/>
        <v>AtkExt</v>
      </c>
      <c r="AY678" s="14">
        <f t="shared" si="186"/>
        <v>1391</v>
      </c>
      <c r="AZ678" s="14" t="str">
        <f t="shared" si="187"/>
        <v>DefExt</v>
      </c>
      <c r="BA678" s="14">
        <f t="shared" si="188"/>
        <v>1430</v>
      </c>
      <c r="BB678" s="14" t="str">
        <f t="shared" si="189"/>
        <v>HPExt</v>
      </c>
      <c r="BC678" s="14">
        <f t="shared" si="190"/>
        <v>1448</v>
      </c>
      <c r="BD678" s="14" t="str">
        <f t="shared" si="191"/>
        <v/>
      </c>
      <c r="BE678" s="14" t="str">
        <f t="shared" si="192"/>
        <v/>
      </c>
    </row>
    <row r="679" spans="39:57" ht="16.5" x14ac:dyDescent="0.2">
      <c r="AM679" s="13">
        <v>674</v>
      </c>
      <c r="AN679" s="14">
        <f t="shared" si="193"/>
        <v>37</v>
      </c>
      <c r="AO679" s="29">
        <f t="shared" si="177"/>
        <v>1.8480000000000001</v>
      </c>
      <c r="AP679" s="14">
        <f t="shared" si="178"/>
        <v>1</v>
      </c>
      <c r="AQ679" s="14">
        <f t="shared" si="179"/>
        <v>2</v>
      </c>
      <c r="AR679" s="14">
        <f t="shared" si="180"/>
        <v>3</v>
      </c>
      <c r="AS679" s="14">
        <f t="shared" si="181"/>
        <v>1606039</v>
      </c>
      <c r="AT679" s="14" t="str">
        <f t="shared" si="182"/>
        <v>神器-7-碎片-3-20级</v>
      </c>
      <c r="AU679" s="13" t="s">
        <v>1195</v>
      </c>
      <c r="AV679" s="13">
        <f t="shared" si="183"/>
        <v>20</v>
      </c>
      <c r="AW679" s="14">
        <f t="shared" si="184"/>
        <v>24396</v>
      </c>
      <c r="AX679" s="14" t="str">
        <f t="shared" si="185"/>
        <v>AtkExt</v>
      </c>
      <c r="AY679" s="14">
        <f t="shared" si="186"/>
        <v>1494</v>
      </c>
      <c r="AZ679" s="14" t="str">
        <f t="shared" si="187"/>
        <v>DefExt</v>
      </c>
      <c r="BA679" s="14">
        <f t="shared" si="188"/>
        <v>1537</v>
      </c>
      <c r="BB679" s="14" t="str">
        <f t="shared" si="189"/>
        <v>HPExt</v>
      </c>
      <c r="BC679" s="14">
        <f t="shared" si="190"/>
        <v>1556</v>
      </c>
      <c r="BD679" s="14" t="str">
        <f t="shared" si="191"/>
        <v/>
      </c>
      <c r="BE679" s="14" t="str">
        <f t="shared" si="192"/>
        <v/>
      </c>
    </row>
    <row r="680" spans="39:57" ht="16.5" x14ac:dyDescent="0.2">
      <c r="AM680" s="13">
        <v>675</v>
      </c>
      <c r="AN680" s="14">
        <f t="shared" si="193"/>
        <v>37</v>
      </c>
      <c r="AO680" s="29">
        <f t="shared" si="177"/>
        <v>1.98</v>
      </c>
      <c r="AP680" s="14">
        <f t="shared" si="178"/>
        <v>1</v>
      </c>
      <c r="AQ680" s="14">
        <f t="shared" si="179"/>
        <v>2</v>
      </c>
      <c r="AR680" s="14">
        <f t="shared" si="180"/>
        <v>3</v>
      </c>
      <c r="AS680" s="14">
        <f t="shared" si="181"/>
        <v>1606039</v>
      </c>
      <c r="AT680" s="14" t="str">
        <f t="shared" si="182"/>
        <v>神器-7-碎片-3-21级</v>
      </c>
      <c r="AU680" s="13" t="s">
        <v>1195</v>
      </c>
      <c r="AV680" s="13">
        <f t="shared" si="183"/>
        <v>21</v>
      </c>
      <c r="AW680" s="14">
        <f t="shared" si="184"/>
        <v>26132</v>
      </c>
      <c r="AX680" s="14" t="str">
        <f t="shared" si="185"/>
        <v>AtkExt</v>
      </c>
      <c r="AY680" s="14">
        <f t="shared" si="186"/>
        <v>1601</v>
      </c>
      <c r="AZ680" s="14" t="str">
        <f t="shared" si="187"/>
        <v>DefExt</v>
      </c>
      <c r="BA680" s="14">
        <f t="shared" si="188"/>
        <v>1646</v>
      </c>
      <c r="BB680" s="14" t="str">
        <f t="shared" si="189"/>
        <v>HPExt</v>
      </c>
      <c r="BC680" s="14">
        <f t="shared" si="190"/>
        <v>1667</v>
      </c>
      <c r="BD680" s="14" t="str">
        <f t="shared" si="191"/>
        <v/>
      </c>
      <c r="BE680" s="14" t="str">
        <f t="shared" si="192"/>
        <v/>
      </c>
    </row>
    <row r="681" spans="39:57" ht="16.5" x14ac:dyDescent="0.2">
      <c r="AM681" s="13">
        <v>676</v>
      </c>
      <c r="AN681" s="14">
        <f t="shared" si="193"/>
        <v>38</v>
      </c>
      <c r="AO681" s="29">
        <f t="shared" si="177"/>
        <v>0.1</v>
      </c>
      <c r="AP681" s="14">
        <f t="shared" si="178"/>
        <v>1</v>
      </c>
      <c r="AQ681" s="14">
        <f t="shared" si="179"/>
        <v>2</v>
      </c>
      <c r="AR681" s="14">
        <f t="shared" si="180"/>
        <v>0</v>
      </c>
      <c r="AS681" s="14">
        <f t="shared" si="181"/>
        <v>1606040</v>
      </c>
      <c r="AT681" s="14" t="str">
        <f t="shared" si="182"/>
        <v>神器-7-碎片-4-1级</v>
      </c>
      <c r="AU681" s="13" t="s">
        <v>1195</v>
      </c>
      <c r="AV681" s="13">
        <f t="shared" si="183"/>
        <v>1</v>
      </c>
      <c r="AW681" s="14">
        <f t="shared" si="184"/>
        <v>2190</v>
      </c>
      <c r="AX681" s="14" t="str">
        <f t="shared" si="185"/>
        <v>AtkExt</v>
      </c>
      <c r="AY681" s="14">
        <f t="shared" si="186"/>
        <v>216</v>
      </c>
      <c r="AZ681" s="14" t="str">
        <f t="shared" si="187"/>
        <v>DefExt</v>
      </c>
      <c r="BA681" s="14">
        <f t="shared" si="188"/>
        <v>111</v>
      </c>
      <c r="BB681" s="14" t="str">
        <f t="shared" si="189"/>
        <v/>
      </c>
      <c r="BC681" s="14" t="str">
        <f t="shared" si="190"/>
        <v/>
      </c>
      <c r="BD681" s="14" t="str">
        <f t="shared" si="191"/>
        <v/>
      </c>
      <c r="BE681" s="14" t="str">
        <f t="shared" si="192"/>
        <v/>
      </c>
    </row>
    <row r="682" spans="39:57" ht="16.5" x14ac:dyDescent="0.2">
      <c r="AM682" s="13">
        <v>677</v>
      </c>
      <c r="AN682" s="14">
        <f t="shared" si="193"/>
        <v>38</v>
      </c>
      <c r="AO682" s="29">
        <f t="shared" si="177"/>
        <v>0.15600000000000003</v>
      </c>
      <c r="AP682" s="14">
        <f t="shared" si="178"/>
        <v>1</v>
      </c>
      <c r="AQ682" s="14">
        <f t="shared" si="179"/>
        <v>2</v>
      </c>
      <c r="AR682" s="14">
        <f t="shared" si="180"/>
        <v>0</v>
      </c>
      <c r="AS682" s="14">
        <f t="shared" si="181"/>
        <v>1606040</v>
      </c>
      <c r="AT682" s="14" t="str">
        <f t="shared" si="182"/>
        <v>神器-7-碎片-4-2级</v>
      </c>
      <c r="AU682" s="13" t="s">
        <v>1195</v>
      </c>
      <c r="AV682" s="13">
        <f t="shared" si="183"/>
        <v>2</v>
      </c>
      <c r="AW682" s="14">
        <f t="shared" si="184"/>
        <v>3410</v>
      </c>
      <c r="AX682" s="14" t="str">
        <f t="shared" si="185"/>
        <v>AtkExt</v>
      </c>
      <c r="AY682" s="14">
        <f t="shared" si="186"/>
        <v>336</v>
      </c>
      <c r="AZ682" s="14" t="str">
        <f t="shared" si="187"/>
        <v>DefExt</v>
      </c>
      <c r="BA682" s="14">
        <f t="shared" si="188"/>
        <v>173</v>
      </c>
      <c r="BB682" s="14" t="str">
        <f t="shared" si="189"/>
        <v/>
      </c>
      <c r="BC682" s="14" t="str">
        <f t="shared" si="190"/>
        <v/>
      </c>
      <c r="BD682" s="14" t="str">
        <f t="shared" si="191"/>
        <v/>
      </c>
      <c r="BE682" s="14" t="str">
        <f t="shared" si="192"/>
        <v/>
      </c>
    </row>
    <row r="683" spans="39:57" ht="16.5" x14ac:dyDescent="0.2">
      <c r="AM683" s="13">
        <v>678</v>
      </c>
      <c r="AN683" s="14">
        <f t="shared" si="193"/>
        <v>38</v>
      </c>
      <c r="AO683" s="29">
        <f t="shared" si="177"/>
        <v>0.21600000000000003</v>
      </c>
      <c r="AP683" s="14">
        <f t="shared" si="178"/>
        <v>1</v>
      </c>
      <c r="AQ683" s="14">
        <f t="shared" si="179"/>
        <v>2</v>
      </c>
      <c r="AR683" s="14">
        <f t="shared" si="180"/>
        <v>0</v>
      </c>
      <c r="AS683" s="14">
        <f t="shared" si="181"/>
        <v>1606040</v>
      </c>
      <c r="AT683" s="14" t="str">
        <f t="shared" si="182"/>
        <v>神器-7-碎片-4-3级</v>
      </c>
      <c r="AU683" s="13" t="s">
        <v>1195</v>
      </c>
      <c r="AV683" s="13">
        <f t="shared" si="183"/>
        <v>3</v>
      </c>
      <c r="AW683" s="14">
        <f t="shared" si="184"/>
        <v>4720</v>
      </c>
      <c r="AX683" s="14" t="str">
        <f t="shared" si="185"/>
        <v>AtkExt</v>
      </c>
      <c r="AY683" s="14">
        <f t="shared" si="186"/>
        <v>466</v>
      </c>
      <c r="AZ683" s="14" t="str">
        <f t="shared" si="187"/>
        <v>DefExt</v>
      </c>
      <c r="BA683" s="14">
        <f t="shared" si="188"/>
        <v>239</v>
      </c>
      <c r="BB683" s="14" t="str">
        <f t="shared" si="189"/>
        <v/>
      </c>
      <c r="BC683" s="14" t="str">
        <f t="shared" si="190"/>
        <v/>
      </c>
      <c r="BD683" s="14" t="str">
        <f t="shared" si="191"/>
        <v/>
      </c>
      <c r="BE683" s="14" t="str">
        <f t="shared" si="192"/>
        <v/>
      </c>
    </row>
    <row r="684" spans="39:57" ht="16.5" x14ac:dyDescent="0.2">
      <c r="AM684" s="13">
        <v>679</v>
      </c>
      <c r="AN684" s="14">
        <f t="shared" si="193"/>
        <v>38</v>
      </c>
      <c r="AO684" s="29">
        <f t="shared" si="177"/>
        <v>0.28000000000000003</v>
      </c>
      <c r="AP684" s="14">
        <f t="shared" si="178"/>
        <v>1</v>
      </c>
      <c r="AQ684" s="14">
        <f t="shared" si="179"/>
        <v>2</v>
      </c>
      <c r="AR684" s="14">
        <f t="shared" si="180"/>
        <v>0</v>
      </c>
      <c r="AS684" s="14">
        <f t="shared" si="181"/>
        <v>1606040</v>
      </c>
      <c r="AT684" s="14" t="str">
        <f t="shared" si="182"/>
        <v>神器-7-碎片-4-4级</v>
      </c>
      <c r="AU684" s="13" t="s">
        <v>1195</v>
      </c>
      <c r="AV684" s="13">
        <f t="shared" si="183"/>
        <v>4</v>
      </c>
      <c r="AW684" s="14">
        <f t="shared" si="184"/>
        <v>6120</v>
      </c>
      <c r="AX684" s="14" t="str">
        <f t="shared" si="185"/>
        <v>AtkExt</v>
      </c>
      <c r="AY684" s="14">
        <f t="shared" si="186"/>
        <v>604</v>
      </c>
      <c r="AZ684" s="14" t="str">
        <f t="shared" si="187"/>
        <v>DefExt</v>
      </c>
      <c r="BA684" s="14">
        <f t="shared" si="188"/>
        <v>310</v>
      </c>
      <c r="BB684" s="14" t="str">
        <f t="shared" si="189"/>
        <v/>
      </c>
      <c r="BC684" s="14" t="str">
        <f t="shared" si="190"/>
        <v/>
      </c>
      <c r="BD684" s="14" t="str">
        <f t="shared" si="191"/>
        <v/>
      </c>
      <c r="BE684" s="14" t="str">
        <f t="shared" si="192"/>
        <v/>
      </c>
    </row>
    <row r="685" spans="39:57" ht="16.5" x14ac:dyDescent="0.2">
      <c r="AM685" s="13">
        <v>680</v>
      </c>
      <c r="AN685" s="14">
        <f t="shared" si="193"/>
        <v>38</v>
      </c>
      <c r="AO685" s="29">
        <f t="shared" si="177"/>
        <v>0.34799999999999998</v>
      </c>
      <c r="AP685" s="14">
        <f t="shared" si="178"/>
        <v>1</v>
      </c>
      <c r="AQ685" s="14">
        <f t="shared" si="179"/>
        <v>2</v>
      </c>
      <c r="AR685" s="14">
        <f t="shared" si="180"/>
        <v>0</v>
      </c>
      <c r="AS685" s="14">
        <f t="shared" si="181"/>
        <v>1606040</v>
      </c>
      <c r="AT685" s="14" t="str">
        <f t="shared" si="182"/>
        <v>神器-7-碎片-4-5级</v>
      </c>
      <c r="AU685" s="13" t="s">
        <v>1195</v>
      </c>
      <c r="AV685" s="13">
        <f t="shared" si="183"/>
        <v>5</v>
      </c>
      <c r="AW685" s="14">
        <f t="shared" si="184"/>
        <v>7610</v>
      </c>
      <c r="AX685" s="14" t="str">
        <f t="shared" si="185"/>
        <v>AtkExt</v>
      </c>
      <c r="AY685" s="14">
        <f t="shared" si="186"/>
        <v>750</v>
      </c>
      <c r="AZ685" s="14" t="str">
        <f t="shared" si="187"/>
        <v>DefExt</v>
      </c>
      <c r="BA685" s="14">
        <f t="shared" si="188"/>
        <v>386</v>
      </c>
      <c r="BB685" s="14" t="str">
        <f t="shared" si="189"/>
        <v/>
      </c>
      <c r="BC685" s="14" t="str">
        <f t="shared" si="190"/>
        <v/>
      </c>
      <c r="BD685" s="14" t="str">
        <f t="shared" si="191"/>
        <v/>
      </c>
      <c r="BE685" s="14" t="str">
        <f t="shared" si="192"/>
        <v/>
      </c>
    </row>
    <row r="686" spans="39:57" ht="16.5" x14ac:dyDescent="0.2">
      <c r="AM686" s="13">
        <v>681</v>
      </c>
      <c r="AN686" s="14">
        <f t="shared" si="193"/>
        <v>38</v>
      </c>
      <c r="AO686" s="29">
        <f t="shared" si="177"/>
        <v>0.42000000000000004</v>
      </c>
      <c r="AP686" s="14">
        <f t="shared" si="178"/>
        <v>1</v>
      </c>
      <c r="AQ686" s="14">
        <f t="shared" si="179"/>
        <v>2</v>
      </c>
      <c r="AR686" s="14">
        <f t="shared" si="180"/>
        <v>0</v>
      </c>
      <c r="AS686" s="14">
        <f t="shared" si="181"/>
        <v>1606040</v>
      </c>
      <c r="AT686" s="14" t="str">
        <f t="shared" si="182"/>
        <v>神器-7-碎片-4-6级</v>
      </c>
      <c r="AU686" s="13" t="s">
        <v>1195</v>
      </c>
      <c r="AV686" s="13">
        <f t="shared" si="183"/>
        <v>6</v>
      </c>
      <c r="AW686" s="14">
        <f t="shared" si="184"/>
        <v>9190</v>
      </c>
      <c r="AX686" s="14" t="str">
        <f t="shared" si="185"/>
        <v>AtkExt</v>
      </c>
      <c r="AY686" s="14">
        <f t="shared" si="186"/>
        <v>906</v>
      </c>
      <c r="AZ686" s="14" t="str">
        <f t="shared" si="187"/>
        <v>DefExt</v>
      </c>
      <c r="BA686" s="14">
        <f t="shared" si="188"/>
        <v>466</v>
      </c>
      <c r="BB686" s="14" t="str">
        <f t="shared" si="189"/>
        <v/>
      </c>
      <c r="BC686" s="14" t="str">
        <f t="shared" si="190"/>
        <v/>
      </c>
      <c r="BD686" s="14" t="str">
        <f t="shared" si="191"/>
        <v/>
      </c>
      <c r="BE686" s="14" t="str">
        <f t="shared" si="192"/>
        <v/>
      </c>
    </row>
    <row r="687" spans="39:57" ht="16.5" x14ac:dyDescent="0.2">
      <c r="AM687" s="13">
        <v>682</v>
      </c>
      <c r="AN687" s="14">
        <f t="shared" si="193"/>
        <v>38</v>
      </c>
      <c r="AO687" s="29">
        <f t="shared" si="177"/>
        <v>0.496</v>
      </c>
      <c r="AP687" s="14">
        <f t="shared" si="178"/>
        <v>1</v>
      </c>
      <c r="AQ687" s="14">
        <f t="shared" si="179"/>
        <v>2</v>
      </c>
      <c r="AR687" s="14">
        <f t="shared" si="180"/>
        <v>0</v>
      </c>
      <c r="AS687" s="14">
        <f t="shared" si="181"/>
        <v>1606040</v>
      </c>
      <c r="AT687" s="14" t="str">
        <f t="shared" si="182"/>
        <v>神器-7-碎片-4-7级</v>
      </c>
      <c r="AU687" s="13" t="s">
        <v>1195</v>
      </c>
      <c r="AV687" s="13">
        <f t="shared" si="183"/>
        <v>7</v>
      </c>
      <c r="AW687" s="14">
        <f t="shared" si="184"/>
        <v>10850</v>
      </c>
      <c r="AX687" s="14" t="str">
        <f t="shared" si="185"/>
        <v>AtkExt</v>
      </c>
      <c r="AY687" s="14">
        <f t="shared" si="186"/>
        <v>1070</v>
      </c>
      <c r="AZ687" s="14" t="str">
        <f t="shared" si="187"/>
        <v>DefExt</v>
      </c>
      <c r="BA687" s="14">
        <f t="shared" si="188"/>
        <v>550</v>
      </c>
      <c r="BB687" s="14" t="str">
        <f t="shared" si="189"/>
        <v/>
      </c>
      <c r="BC687" s="14" t="str">
        <f t="shared" si="190"/>
        <v/>
      </c>
      <c r="BD687" s="14" t="str">
        <f t="shared" si="191"/>
        <v/>
      </c>
      <c r="BE687" s="14" t="str">
        <f t="shared" si="192"/>
        <v/>
      </c>
    </row>
    <row r="688" spans="39:57" ht="16.5" x14ac:dyDescent="0.2">
      <c r="AM688" s="13">
        <v>683</v>
      </c>
      <c r="AN688" s="14">
        <f t="shared" si="193"/>
        <v>38</v>
      </c>
      <c r="AO688" s="29">
        <f t="shared" si="177"/>
        <v>0.57600000000000007</v>
      </c>
      <c r="AP688" s="14">
        <f t="shared" si="178"/>
        <v>1</v>
      </c>
      <c r="AQ688" s="14">
        <f t="shared" si="179"/>
        <v>2</v>
      </c>
      <c r="AR688" s="14">
        <f t="shared" si="180"/>
        <v>0</v>
      </c>
      <c r="AS688" s="14">
        <f t="shared" si="181"/>
        <v>1606040</v>
      </c>
      <c r="AT688" s="14" t="str">
        <f t="shared" si="182"/>
        <v>神器-7-碎片-4-8级</v>
      </c>
      <c r="AU688" s="13" t="s">
        <v>1195</v>
      </c>
      <c r="AV688" s="13">
        <f t="shared" si="183"/>
        <v>8</v>
      </c>
      <c r="AW688" s="14">
        <f t="shared" si="184"/>
        <v>12600</v>
      </c>
      <c r="AX688" s="14" t="str">
        <f t="shared" si="185"/>
        <v>AtkExt</v>
      </c>
      <c r="AY688" s="14">
        <f t="shared" si="186"/>
        <v>1242</v>
      </c>
      <c r="AZ688" s="14" t="str">
        <f t="shared" si="187"/>
        <v>DefExt</v>
      </c>
      <c r="BA688" s="14">
        <f t="shared" si="188"/>
        <v>639</v>
      </c>
      <c r="BB688" s="14" t="str">
        <f t="shared" si="189"/>
        <v/>
      </c>
      <c r="BC688" s="14" t="str">
        <f t="shared" si="190"/>
        <v/>
      </c>
      <c r="BD688" s="14" t="str">
        <f t="shared" si="191"/>
        <v/>
      </c>
      <c r="BE688" s="14" t="str">
        <f t="shared" si="192"/>
        <v/>
      </c>
    </row>
    <row r="689" spans="39:57" ht="16.5" x14ac:dyDescent="0.2">
      <c r="AM689" s="13">
        <v>684</v>
      </c>
      <c r="AN689" s="14">
        <f t="shared" si="193"/>
        <v>38</v>
      </c>
      <c r="AO689" s="29">
        <f t="shared" si="177"/>
        <v>0.66</v>
      </c>
      <c r="AP689" s="14">
        <f t="shared" si="178"/>
        <v>1</v>
      </c>
      <c r="AQ689" s="14">
        <f t="shared" si="179"/>
        <v>2</v>
      </c>
      <c r="AR689" s="14">
        <f t="shared" si="180"/>
        <v>0</v>
      </c>
      <c r="AS689" s="14">
        <f t="shared" si="181"/>
        <v>1606040</v>
      </c>
      <c r="AT689" s="14" t="str">
        <f t="shared" si="182"/>
        <v>神器-7-碎片-4-9级</v>
      </c>
      <c r="AU689" s="13" t="s">
        <v>1195</v>
      </c>
      <c r="AV689" s="13">
        <f t="shared" si="183"/>
        <v>9</v>
      </c>
      <c r="AW689" s="14">
        <f t="shared" si="184"/>
        <v>14435</v>
      </c>
      <c r="AX689" s="14" t="str">
        <f t="shared" si="185"/>
        <v>AtkExt</v>
      </c>
      <c r="AY689" s="14">
        <f t="shared" si="186"/>
        <v>1423</v>
      </c>
      <c r="AZ689" s="14" t="str">
        <f t="shared" si="187"/>
        <v>DefExt</v>
      </c>
      <c r="BA689" s="14">
        <f t="shared" si="188"/>
        <v>732</v>
      </c>
      <c r="BB689" s="14" t="str">
        <f t="shared" si="189"/>
        <v/>
      </c>
      <c r="BC689" s="14" t="str">
        <f t="shared" si="190"/>
        <v/>
      </c>
      <c r="BD689" s="14" t="str">
        <f t="shared" si="191"/>
        <v/>
      </c>
      <c r="BE689" s="14" t="str">
        <f t="shared" si="192"/>
        <v/>
      </c>
    </row>
    <row r="690" spans="39:57" ht="16.5" x14ac:dyDescent="0.2">
      <c r="AM690" s="13">
        <v>685</v>
      </c>
      <c r="AN690" s="14">
        <f t="shared" si="193"/>
        <v>38</v>
      </c>
      <c r="AO690" s="29">
        <f t="shared" si="177"/>
        <v>0.748</v>
      </c>
      <c r="AP690" s="14">
        <f t="shared" si="178"/>
        <v>1</v>
      </c>
      <c r="AQ690" s="14">
        <f t="shared" si="179"/>
        <v>2</v>
      </c>
      <c r="AR690" s="14">
        <f t="shared" si="180"/>
        <v>0</v>
      </c>
      <c r="AS690" s="14">
        <f t="shared" si="181"/>
        <v>1606040</v>
      </c>
      <c r="AT690" s="14" t="str">
        <f t="shared" si="182"/>
        <v>神器-7-碎片-4-10级</v>
      </c>
      <c r="AU690" s="13" t="s">
        <v>1195</v>
      </c>
      <c r="AV690" s="13">
        <f t="shared" si="183"/>
        <v>10</v>
      </c>
      <c r="AW690" s="14">
        <f t="shared" si="184"/>
        <v>16355</v>
      </c>
      <c r="AX690" s="14" t="str">
        <f t="shared" si="185"/>
        <v>AtkExt</v>
      </c>
      <c r="AY690" s="14">
        <f t="shared" si="186"/>
        <v>1613</v>
      </c>
      <c r="AZ690" s="14" t="str">
        <f t="shared" si="187"/>
        <v>DefExt</v>
      </c>
      <c r="BA690" s="14">
        <f t="shared" si="188"/>
        <v>829</v>
      </c>
      <c r="BB690" s="14" t="str">
        <f t="shared" si="189"/>
        <v/>
      </c>
      <c r="BC690" s="14" t="str">
        <f t="shared" si="190"/>
        <v/>
      </c>
      <c r="BD690" s="14" t="str">
        <f t="shared" si="191"/>
        <v/>
      </c>
      <c r="BE690" s="14" t="str">
        <f t="shared" si="192"/>
        <v/>
      </c>
    </row>
    <row r="691" spans="39:57" ht="16.5" x14ac:dyDescent="0.2">
      <c r="AM691" s="13">
        <v>686</v>
      </c>
      <c r="AN691" s="14">
        <f t="shared" si="193"/>
        <v>38</v>
      </c>
      <c r="AO691" s="29">
        <f t="shared" si="177"/>
        <v>0.84000000000000008</v>
      </c>
      <c r="AP691" s="14">
        <f t="shared" si="178"/>
        <v>1</v>
      </c>
      <c r="AQ691" s="14">
        <f t="shared" si="179"/>
        <v>2</v>
      </c>
      <c r="AR691" s="14">
        <f t="shared" si="180"/>
        <v>0</v>
      </c>
      <c r="AS691" s="14">
        <f t="shared" si="181"/>
        <v>1606040</v>
      </c>
      <c r="AT691" s="14" t="str">
        <f t="shared" si="182"/>
        <v>神器-7-碎片-4-11级</v>
      </c>
      <c r="AU691" s="13" t="s">
        <v>1195</v>
      </c>
      <c r="AV691" s="13">
        <f t="shared" si="183"/>
        <v>11</v>
      </c>
      <c r="AW691" s="14">
        <f t="shared" si="184"/>
        <v>18365</v>
      </c>
      <c r="AX691" s="14" t="str">
        <f t="shared" si="185"/>
        <v>AtkExt</v>
      </c>
      <c r="AY691" s="14">
        <f t="shared" si="186"/>
        <v>1811</v>
      </c>
      <c r="AZ691" s="14" t="str">
        <f t="shared" si="187"/>
        <v>DefExt</v>
      </c>
      <c r="BA691" s="14">
        <f t="shared" si="188"/>
        <v>931</v>
      </c>
      <c r="BB691" s="14" t="str">
        <f t="shared" si="189"/>
        <v/>
      </c>
      <c r="BC691" s="14" t="str">
        <f t="shared" si="190"/>
        <v/>
      </c>
      <c r="BD691" s="14" t="str">
        <f t="shared" si="191"/>
        <v/>
      </c>
      <c r="BE691" s="14" t="str">
        <f t="shared" si="192"/>
        <v/>
      </c>
    </row>
    <row r="692" spans="39:57" ht="16.5" x14ac:dyDescent="0.2">
      <c r="AM692" s="13">
        <v>687</v>
      </c>
      <c r="AN692" s="14">
        <f t="shared" si="193"/>
        <v>38</v>
      </c>
      <c r="AO692" s="29">
        <f t="shared" si="177"/>
        <v>0.93600000000000017</v>
      </c>
      <c r="AP692" s="14">
        <f t="shared" si="178"/>
        <v>1</v>
      </c>
      <c r="AQ692" s="14">
        <f t="shared" si="179"/>
        <v>2</v>
      </c>
      <c r="AR692" s="14">
        <f t="shared" si="180"/>
        <v>0</v>
      </c>
      <c r="AS692" s="14">
        <f t="shared" si="181"/>
        <v>1606040</v>
      </c>
      <c r="AT692" s="14" t="str">
        <f t="shared" si="182"/>
        <v>神器-7-碎片-4-12级</v>
      </c>
      <c r="AU692" s="13" t="s">
        <v>1195</v>
      </c>
      <c r="AV692" s="13">
        <f t="shared" si="183"/>
        <v>12</v>
      </c>
      <c r="AW692" s="14">
        <f t="shared" si="184"/>
        <v>20470</v>
      </c>
      <c r="AX692" s="14" t="str">
        <f t="shared" si="185"/>
        <v>AtkExt</v>
      </c>
      <c r="AY692" s="14">
        <f t="shared" si="186"/>
        <v>2018</v>
      </c>
      <c r="AZ692" s="14" t="str">
        <f t="shared" si="187"/>
        <v>DefExt</v>
      </c>
      <c r="BA692" s="14">
        <f t="shared" si="188"/>
        <v>1038</v>
      </c>
      <c r="BB692" s="14" t="str">
        <f t="shared" si="189"/>
        <v/>
      </c>
      <c r="BC692" s="14" t="str">
        <f t="shared" si="190"/>
        <v/>
      </c>
      <c r="BD692" s="14" t="str">
        <f t="shared" si="191"/>
        <v/>
      </c>
      <c r="BE692" s="14" t="str">
        <f t="shared" si="192"/>
        <v/>
      </c>
    </row>
    <row r="693" spans="39:57" ht="16.5" x14ac:dyDescent="0.2">
      <c r="AM693" s="13">
        <v>688</v>
      </c>
      <c r="AN693" s="14">
        <f t="shared" si="193"/>
        <v>38</v>
      </c>
      <c r="AO693" s="29">
        <f t="shared" si="177"/>
        <v>1.036</v>
      </c>
      <c r="AP693" s="14">
        <f t="shared" si="178"/>
        <v>1</v>
      </c>
      <c r="AQ693" s="14">
        <f t="shared" si="179"/>
        <v>2</v>
      </c>
      <c r="AR693" s="14">
        <f t="shared" si="180"/>
        <v>0</v>
      </c>
      <c r="AS693" s="14">
        <f t="shared" si="181"/>
        <v>1606040</v>
      </c>
      <c r="AT693" s="14" t="str">
        <f t="shared" si="182"/>
        <v>神器-7-碎片-4-13级</v>
      </c>
      <c r="AU693" s="13" t="s">
        <v>1195</v>
      </c>
      <c r="AV693" s="13">
        <f t="shared" si="183"/>
        <v>13</v>
      </c>
      <c r="AW693" s="14">
        <f t="shared" si="184"/>
        <v>22660</v>
      </c>
      <c r="AX693" s="14" t="str">
        <f t="shared" si="185"/>
        <v>AtkExt</v>
      </c>
      <c r="AY693" s="14">
        <f t="shared" si="186"/>
        <v>2234</v>
      </c>
      <c r="AZ693" s="14" t="str">
        <f t="shared" si="187"/>
        <v>DefExt</v>
      </c>
      <c r="BA693" s="14">
        <f t="shared" si="188"/>
        <v>1149</v>
      </c>
      <c r="BB693" s="14" t="str">
        <f t="shared" si="189"/>
        <v/>
      </c>
      <c r="BC693" s="14" t="str">
        <f t="shared" si="190"/>
        <v/>
      </c>
      <c r="BD693" s="14" t="str">
        <f t="shared" si="191"/>
        <v/>
      </c>
      <c r="BE693" s="14" t="str">
        <f t="shared" si="192"/>
        <v/>
      </c>
    </row>
    <row r="694" spans="39:57" ht="16.5" x14ac:dyDescent="0.2">
      <c r="AM694" s="13">
        <v>689</v>
      </c>
      <c r="AN694" s="14">
        <f t="shared" si="193"/>
        <v>38</v>
      </c>
      <c r="AO694" s="29">
        <f t="shared" si="177"/>
        <v>1.1400000000000001</v>
      </c>
      <c r="AP694" s="14">
        <f t="shared" si="178"/>
        <v>1</v>
      </c>
      <c r="AQ694" s="14">
        <f t="shared" si="179"/>
        <v>2</v>
      </c>
      <c r="AR694" s="14">
        <f t="shared" si="180"/>
        <v>0</v>
      </c>
      <c r="AS694" s="14">
        <f t="shared" si="181"/>
        <v>1606040</v>
      </c>
      <c r="AT694" s="14" t="str">
        <f t="shared" si="182"/>
        <v>神器-7-碎片-4-14级</v>
      </c>
      <c r="AU694" s="13" t="s">
        <v>1195</v>
      </c>
      <c r="AV694" s="13">
        <f t="shared" si="183"/>
        <v>14</v>
      </c>
      <c r="AW694" s="14">
        <f t="shared" si="184"/>
        <v>24930</v>
      </c>
      <c r="AX694" s="14" t="str">
        <f t="shared" si="185"/>
        <v>AtkExt</v>
      </c>
      <c r="AY694" s="14">
        <f t="shared" si="186"/>
        <v>2458</v>
      </c>
      <c r="AZ694" s="14" t="str">
        <f t="shared" si="187"/>
        <v>DefExt</v>
      </c>
      <c r="BA694" s="14">
        <f t="shared" si="188"/>
        <v>1264</v>
      </c>
      <c r="BB694" s="14" t="str">
        <f t="shared" si="189"/>
        <v/>
      </c>
      <c r="BC694" s="14" t="str">
        <f t="shared" si="190"/>
        <v/>
      </c>
      <c r="BD694" s="14" t="str">
        <f t="shared" si="191"/>
        <v/>
      </c>
      <c r="BE694" s="14" t="str">
        <f t="shared" si="192"/>
        <v/>
      </c>
    </row>
    <row r="695" spans="39:57" ht="16.5" x14ac:dyDescent="0.2">
      <c r="AM695" s="13">
        <v>690</v>
      </c>
      <c r="AN695" s="14">
        <f t="shared" si="193"/>
        <v>38</v>
      </c>
      <c r="AO695" s="29">
        <f t="shared" si="177"/>
        <v>1.248</v>
      </c>
      <c r="AP695" s="14">
        <f t="shared" si="178"/>
        <v>1</v>
      </c>
      <c r="AQ695" s="14">
        <f t="shared" si="179"/>
        <v>2</v>
      </c>
      <c r="AR695" s="14">
        <f t="shared" si="180"/>
        <v>0</v>
      </c>
      <c r="AS695" s="14">
        <f t="shared" si="181"/>
        <v>1606040</v>
      </c>
      <c r="AT695" s="14" t="str">
        <f t="shared" si="182"/>
        <v>神器-7-碎片-4-15级</v>
      </c>
      <c r="AU695" s="13" t="s">
        <v>1195</v>
      </c>
      <c r="AV695" s="13">
        <f t="shared" si="183"/>
        <v>15</v>
      </c>
      <c r="AW695" s="14">
        <f t="shared" si="184"/>
        <v>27295</v>
      </c>
      <c r="AX695" s="14" t="str">
        <f t="shared" si="185"/>
        <v>AtkExt</v>
      </c>
      <c r="AY695" s="14">
        <f t="shared" si="186"/>
        <v>2691</v>
      </c>
      <c r="AZ695" s="14" t="str">
        <f t="shared" si="187"/>
        <v>DefExt</v>
      </c>
      <c r="BA695" s="14">
        <f t="shared" si="188"/>
        <v>1384</v>
      </c>
      <c r="BB695" s="14" t="str">
        <f t="shared" si="189"/>
        <v/>
      </c>
      <c r="BC695" s="14" t="str">
        <f t="shared" si="190"/>
        <v/>
      </c>
      <c r="BD695" s="14" t="str">
        <f t="shared" si="191"/>
        <v/>
      </c>
      <c r="BE695" s="14" t="str">
        <f t="shared" si="192"/>
        <v/>
      </c>
    </row>
    <row r="696" spans="39:57" ht="16.5" x14ac:dyDescent="0.2">
      <c r="AM696" s="13">
        <v>691</v>
      </c>
      <c r="AN696" s="14">
        <f t="shared" si="193"/>
        <v>38</v>
      </c>
      <c r="AO696" s="29">
        <f t="shared" si="177"/>
        <v>1.36</v>
      </c>
      <c r="AP696" s="14">
        <f t="shared" si="178"/>
        <v>1</v>
      </c>
      <c r="AQ696" s="14">
        <f t="shared" si="179"/>
        <v>2</v>
      </c>
      <c r="AR696" s="14">
        <f t="shared" si="180"/>
        <v>0</v>
      </c>
      <c r="AS696" s="14">
        <f t="shared" si="181"/>
        <v>1606040</v>
      </c>
      <c r="AT696" s="14" t="str">
        <f t="shared" si="182"/>
        <v>神器-7-碎片-4-16级</v>
      </c>
      <c r="AU696" s="13" t="s">
        <v>1195</v>
      </c>
      <c r="AV696" s="13">
        <f t="shared" si="183"/>
        <v>16</v>
      </c>
      <c r="AW696" s="14">
        <f t="shared" si="184"/>
        <v>29745</v>
      </c>
      <c r="AX696" s="14" t="str">
        <f t="shared" si="185"/>
        <v>AtkExt</v>
      </c>
      <c r="AY696" s="14">
        <f t="shared" si="186"/>
        <v>2933</v>
      </c>
      <c r="AZ696" s="14" t="str">
        <f t="shared" si="187"/>
        <v>DefExt</v>
      </c>
      <c r="BA696" s="14">
        <f t="shared" si="188"/>
        <v>1508</v>
      </c>
      <c r="BB696" s="14" t="str">
        <f t="shared" si="189"/>
        <v/>
      </c>
      <c r="BC696" s="14" t="str">
        <f t="shared" si="190"/>
        <v/>
      </c>
      <c r="BD696" s="14" t="str">
        <f t="shared" si="191"/>
        <v/>
      </c>
      <c r="BE696" s="14" t="str">
        <f t="shared" si="192"/>
        <v/>
      </c>
    </row>
    <row r="697" spans="39:57" ht="16.5" x14ac:dyDescent="0.2">
      <c r="AM697" s="13">
        <v>692</v>
      </c>
      <c r="AN697" s="14">
        <f t="shared" si="193"/>
        <v>38</v>
      </c>
      <c r="AO697" s="29">
        <f t="shared" si="177"/>
        <v>1.476</v>
      </c>
      <c r="AP697" s="14">
        <f t="shared" si="178"/>
        <v>1</v>
      </c>
      <c r="AQ697" s="14">
        <f t="shared" si="179"/>
        <v>2</v>
      </c>
      <c r="AR697" s="14">
        <f t="shared" si="180"/>
        <v>0</v>
      </c>
      <c r="AS697" s="14">
        <f t="shared" si="181"/>
        <v>1606040</v>
      </c>
      <c r="AT697" s="14" t="str">
        <f t="shared" si="182"/>
        <v>神器-7-碎片-4-17级</v>
      </c>
      <c r="AU697" s="13" t="s">
        <v>1195</v>
      </c>
      <c r="AV697" s="13">
        <f t="shared" si="183"/>
        <v>17</v>
      </c>
      <c r="AW697" s="14">
        <f t="shared" si="184"/>
        <v>32275</v>
      </c>
      <c r="AX697" s="14" t="str">
        <f t="shared" si="185"/>
        <v>AtkExt</v>
      </c>
      <c r="AY697" s="14">
        <f t="shared" si="186"/>
        <v>3183</v>
      </c>
      <c r="AZ697" s="14" t="str">
        <f t="shared" si="187"/>
        <v>DefExt</v>
      </c>
      <c r="BA697" s="14">
        <f t="shared" si="188"/>
        <v>1636</v>
      </c>
      <c r="BB697" s="14" t="str">
        <f t="shared" si="189"/>
        <v/>
      </c>
      <c r="BC697" s="14" t="str">
        <f t="shared" si="190"/>
        <v/>
      </c>
      <c r="BD697" s="14" t="str">
        <f t="shared" si="191"/>
        <v/>
      </c>
      <c r="BE697" s="14" t="str">
        <f t="shared" si="192"/>
        <v/>
      </c>
    </row>
    <row r="698" spans="39:57" ht="16.5" x14ac:dyDescent="0.2">
      <c r="AM698" s="13">
        <v>693</v>
      </c>
      <c r="AN698" s="14">
        <f t="shared" si="193"/>
        <v>38</v>
      </c>
      <c r="AO698" s="29">
        <f t="shared" si="177"/>
        <v>1.5960000000000001</v>
      </c>
      <c r="AP698" s="14">
        <f t="shared" si="178"/>
        <v>1</v>
      </c>
      <c r="AQ698" s="14">
        <f t="shared" si="179"/>
        <v>2</v>
      </c>
      <c r="AR698" s="14">
        <f t="shared" si="180"/>
        <v>0</v>
      </c>
      <c r="AS698" s="14">
        <f t="shared" si="181"/>
        <v>1606040</v>
      </c>
      <c r="AT698" s="14" t="str">
        <f t="shared" si="182"/>
        <v>神器-7-碎片-4-18级</v>
      </c>
      <c r="AU698" s="13" t="s">
        <v>1195</v>
      </c>
      <c r="AV698" s="13">
        <f t="shared" si="183"/>
        <v>18</v>
      </c>
      <c r="AW698" s="14">
        <f t="shared" si="184"/>
        <v>34900</v>
      </c>
      <c r="AX698" s="14" t="str">
        <f t="shared" si="185"/>
        <v>AtkExt</v>
      </c>
      <c r="AY698" s="14">
        <f t="shared" si="186"/>
        <v>3442</v>
      </c>
      <c r="AZ698" s="14" t="str">
        <f t="shared" si="187"/>
        <v>DefExt</v>
      </c>
      <c r="BA698" s="14">
        <f t="shared" si="188"/>
        <v>1769</v>
      </c>
      <c r="BB698" s="14" t="str">
        <f t="shared" si="189"/>
        <v/>
      </c>
      <c r="BC698" s="14" t="str">
        <f t="shared" si="190"/>
        <v/>
      </c>
      <c r="BD698" s="14" t="str">
        <f t="shared" si="191"/>
        <v/>
      </c>
      <c r="BE698" s="14" t="str">
        <f t="shared" si="192"/>
        <v/>
      </c>
    </row>
    <row r="699" spans="39:57" ht="16.5" x14ac:dyDescent="0.2">
      <c r="AM699" s="13">
        <v>694</v>
      </c>
      <c r="AN699" s="14">
        <f t="shared" si="193"/>
        <v>38</v>
      </c>
      <c r="AO699" s="29">
        <f t="shared" si="177"/>
        <v>1.7200000000000002</v>
      </c>
      <c r="AP699" s="14">
        <f t="shared" si="178"/>
        <v>1</v>
      </c>
      <c r="AQ699" s="14">
        <f t="shared" si="179"/>
        <v>2</v>
      </c>
      <c r="AR699" s="14">
        <f t="shared" si="180"/>
        <v>0</v>
      </c>
      <c r="AS699" s="14">
        <f t="shared" si="181"/>
        <v>1606040</v>
      </c>
      <c r="AT699" s="14" t="str">
        <f t="shared" si="182"/>
        <v>神器-7-碎片-4-19级</v>
      </c>
      <c r="AU699" s="13" t="s">
        <v>1195</v>
      </c>
      <c r="AV699" s="13">
        <f t="shared" si="183"/>
        <v>19</v>
      </c>
      <c r="AW699" s="14">
        <f t="shared" si="184"/>
        <v>37615</v>
      </c>
      <c r="AX699" s="14" t="str">
        <f t="shared" si="185"/>
        <v>AtkExt</v>
      </c>
      <c r="AY699" s="14">
        <f t="shared" si="186"/>
        <v>3709</v>
      </c>
      <c r="AZ699" s="14" t="str">
        <f t="shared" si="187"/>
        <v>DefExt</v>
      </c>
      <c r="BA699" s="14">
        <f t="shared" si="188"/>
        <v>1907</v>
      </c>
      <c r="BB699" s="14" t="str">
        <f t="shared" si="189"/>
        <v/>
      </c>
      <c r="BC699" s="14" t="str">
        <f t="shared" si="190"/>
        <v/>
      </c>
      <c r="BD699" s="14" t="str">
        <f t="shared" si="191"/>
        <v/>
      </c>
      <c r="BE699" s="14" t="str">
        <f t="shared" si="192"/>
        <v/>
      </c>
    </row>
    <row r="700" spans="39:57" ht="16.5" x14ac:dyDescent="0.2">
      <c r="AM700" s="13">
        <v>695</v>
      </c>
      <c r="AN700" s="14">
        <f t="shared" si="193"/>
        <v>38</v>
      </c>
      <c r="AO700" s="29">
        <f t="shared" si="177"/>
        <v>1.8480000000000001</v>
      </c>
      <c r="AP700" s="14">
        <f t="shared" si="178"/>
        <v>1</v>
      </c>
      <c r="AQ700" s="14">
        <f t="shared" si="179"/>
        <v>2</v>
      </c>
      <c r="AR700" s="14">
        <f t="shared" si="180"/>
        <v>0</v>
      </c>
      <c r="AS700" s="14">
        <f t="shared" si="181"/>
        <v>1606040</v>
      </c>
      <c r="AT700" s="14" t="str">
        <f t="shared" si="182"/>
        <v>神器-7-碎片-4-20级</v>
      </c>
      <c r="AU700" s="13" t="s">
        <v>1195</v>
      </c>
      <c r="AV700" s="13">
        <f t="shared" si="183"/>
        <v>20</v>
      </c>
      <c r="AW700" s="14">
        <f t="shared" si="184"/>
        <v>40415</v>
      </c>
      <c r="AX700" s="14" t="str">
        <f t="shared" si="185"/>
        <v>AtkExt</v>
      </c>
      <c r="AY700" s="14">
        <f t="shared" si="186"/>
        <v>3985</v>
      </c>
      <c r="AZ700" s="14" t="str">
        <f t="shared" si="187"/>
        <v>DefExt</v>
      </c>
      <c r="BA700" s="14">
        <f t="shared" si="188"/>
        <v>2049</v>
      </c>
      <c r="BB700" s="14" t="str">
        <f t="shared" si="189"/>
        <v/>
      </c>
      <c r="BC700" s="14" t="str">
        <f t="shared" si="190"/>
        <v/>
      </c>
      <c r="BD700" s="14" t="str">
        <f t="shared" si="191"/>
        <v/>
      </c>
      <c r="BE700" s="14" t="str">
        <f t="shared" si="192"/>
        <v/>
      </c>
    </row>
    <row r="701" spans="39:57" ht="16.5" x14ac:dyDescent="0.2">
      <c r="AM701" s="13">
        <v>696</v>
      </c>
      <c r="AN701" s="14">
        <f t="shared" si="193"/>
        <v>38</v>
      </c>
      <c r="AO701" s="29">
        <f t="shared" si="177"/>
        <v>1.98</v>
      </c>
      <c r="AP701" s="14">
        <f t="shared" si="178"/>
        <v>1</v>
      </c>
      <c r="AQ701" s="14">
        <f t="shared" si="179"/>
        <v>2</v>
      </c>
      <c r="AR701" s="14">
        <f t="shared" si="180"/>
        <v>0</v>
      </c>
      <c r="AS701" s="14">
        <f t="shared" si="181"/>
        <v>1606040</v>
      </c>
      <c r="AT701" s="14" t="str">
        <f t="shared" si="182"/>
        <v>神器-7-碎片-4-21级</v>
      </c>
      <c r="AU701" s="13" t="s">
        <v>1195</v>
      </c>
      <c r="AV701" s="13">
        <f t="shared" si="183"/>
        <v>21</v>
      </c>
      <c r="AW701" s="14">
        <f t="shared" si="184"/>
        <v>43300</v>
      </c>
      <c r="AX701" s="14" t="str">
        <f t="shared" si="185"/>
        <v>AtkExt</v>
      </c>
      <c r="AY701" s="14">
        <f t="shared" si="186"/>
        <v>4270</v>
      </c>
      <c r="AZ701" s="14" t="str">
        <f t="shared" si="187"/>
        <v>DefExt</v>
      </c>
      <c r="BA701" s="14">
        <f t="shared" si="188"/>
        <v>2195</v>
      </c>
      <c r="BB701" s="14" t="str">
        <f t="shared" si="189"/>
        <v/>
      </c>
      <c r="BC701" s="14" t="str">
        <f t="shared" si="190"/>
        <v/>
      </c>
      <c r="BD701" s="14" t="str">
        <f t="shared" si="191"/>
        <v/>
      </c>
      <c r="BE701" s="14" t="str">
        <f t="shared" si="192"/>
        <v/>
      </c>
    </row>
    <row r="702" spans="39:57" ht="16.5" x14ac:dyDescent="0.2">
      <c r="AM702" s="13">
        <v>697</v>
      </c>
      <c r="AN702" s="14">
        <f t="shared" si="193"/>
        <v>39</v>
      </c>
      <c r="AO702" s="29">
        <f t="shared" si="177"/>
        <v>0.1</v>
      </c>
      <c r="AP702" s="14">
        <f t="shared" si="178"/>
        <v>2</v>
      </c>
      <c r="AQ702" s="14">
        <f t="shared" si="179"/>
        <v>3</v>
      </c>
      <c r="AR702" s="14">
        <f t="shared" si="180"/>
        <v>0</v>
      </c>
      <c r="AS702" s="14">
        <f t="shared" si="181"/>
        <v>1606041</v>
      </c>
      <c r="AT702" s="14" t="str">
        <f t="shared" si="182"/>
        <v>神器-7-碎片-5-1级</v>
      </c>
      <c r="AU702" s="13" t="s">
        <v>1195</v>
      </c>
      <c r="AV702" s="13">
        <f t="shared" si="183"/>
        <v>1</v>
      </c>
      <c r="AW702" s="14">
        <f t="shared" si="184"/>
        <v>2332</v>
      </c>
      <c r="AX702" s="14" t="str">
        <f t="shared" si="185"/>
        <v>DefExt</v>
      </c>
      <c r="AY702" s="14">
        <f t="shared" si="186"/>
        <v>222</v>
      </c>
      <c r="AZ702" s="14" t="str">
        <f t="shared" si="187"/>
        <v>HPExt</v>
      </c>
      <c r="BA702" s="14">
        <f t="shared" si="188"/>
        <v>112</v>
      </c>
      <c r="BB702" s="14" t="str">
        <f t="shared" si="189"/>
        <v/>
      </c>
      <c r="BC702" s="14" t="str">
        <f t="shared" si="190"/>
        <v/>
      </c>
      <c r="BD702" s="14" t="str">
        <f t="shared" si="191"/>
        <v/>
      </c>
      <c r="BE702" s="14" t="str">
        <f t="shared" si="192"/>
        <v/>
      </c>
    </row>
    <row r="703" spans="39:57" ht="16.5" x14ac:dyDescent="0.2">
      <c r="AM703" s="13">
        <v>698</v>
      </c>
      <c r="AN703" s="14">
        <f t="shared" si="193"/>
        <v>39</v>
      </c>
      <c r="AO703" s="29">
        <f t="shared" si="177"/>
        <v>0.15600000000000003</v>
      </c>
      <c r="AP703" s="14">
        <f t="shared" si="178"/>
        <v>2</v>
      </c>
      <c r="AQ703" s="14">
        <f t="shared" si="179"/>
        <v>3</v>
      </c>
      <c r="AR703" s="14">
        <f t="shared" si="180"/>
        <v>0</v>
      </c>
      <c r="AS703" s="14">
        <f t="shared" si="181"/>
        <v>1606041</v>
      </c>
      <c r="AT703" s="14" t="str">
        <f t="shared" si="182"/>
        <v>神器-7-碎片-5-2级</v>
      </c>
      <c r="AU703" s="13" t="s">
        <v>1195</v>
      </c>
      <c r="AV703" s="13">
        <f t="shared" si="183"/>
        <v>2</v>
      </c>
      <c r="AW703" s="14">
        <f t="shared" si="184"/>
        <v>3635</v>
      </c>
      <c r="AX703" s="14" t="str">
        <f t="shared" si="185"/>
        <v>DefExt</v>
      </c>
      <c r="AY703" s="14">
        <f t="shared" si="186"/>
        <v>346</v>
      </c>
      <c r="AZ703" s="14" t="str">
        <f t="shared" si="187"/>
        <v>HPExt</v>
      </c>
      <c r="BA703" s="14">
        <f t="shared" si="188"/>
        <v>175</v>
      </c>
      <c r="BB703" s="14" t="str">
        <f t="shared" si="189"/>
        <v/>
      </c>
      <c r="BC703" s="14" t="str">
        <f t="shared" si="190"/>
        <v/>
      </c>
      <c r="BD703" s="14" t="str">
        <f t="shared" si="191"/>
        <v/>
      </c>
      <c r="BE703" s="14" t="str">
        <f t="shared" si="192"/>
        <v/>
      </c>
    </row>
    <row r="704" spans="39:57" ht="16.5" x14ac:dyDescent="0.2">
      <c r="AM704" s="13">
        <v>699</v>
      </c>
      <c r="AN704" s="14">
        <f t="shared" si="193"/>
        <v>39</v>
      </c>
      <c r="AO704" s="29">
        <f t="shared" si="177"/>
        <v>0.21600000000000003</v>
      </c>
      <c r="AP704" s="14">
        <f t="shared" si="178"/>
        <v>2</v>
      </c>
      <c r="AQ704" s="14">
        <f t="shared" si="179"/>
        <v>3</v>
      </c>
      <c r="AR704" s="14">
        <f t="shared" si="180"/>
        <v>0</v>
      </c>
      <c r="AS704" s="14">
        <f t="shared" si="181"/>
        <v>1606041</v>
      </c>
      <c r="AT704" s="14" t="str">
        <f t="shared" si="182"/>
        <v>神器-7-碎片-5-3级</v>
      </c>
      <c r="AU704" s="13" t="s">
        <v>1195</v>
      </c>
      <c r="AV704" s="13">
        <f t="shared" si="183"/>
        <v>3</v>
      </c>
      <c r="AW704" s="14">
        <f t="shared" si="184"/>
        <v>5033</v>
      </c>
      <c r="AX704" s="14" t="str">
        <f t="shared" si="185"/>
        <v>DefExt</v>
      </c>
      <c r="AY704" s="14">
        <f t="shared" si="186"/>
        <v>479</v>
      </c>
      <c r="AZ704" s="14" t="str">
        <f t="shared" si="187"/>
        <v>HPExt</v>
      </c>
      <c r="BA704" s="14">
        <f t="shared" si="188"/>
        <v>243</v>
      </c>
      <c r="BB704" s="14" t="str">
        <f t="shared" si="189"/>
        <v/>
      </c>
      <c r="BC704" s="14" t="str">
        <f t="shared" si="190"/>
        <v/>
      </c>
      <c r="BD704" s="14" t="str">
        <f t="shared" si="191"/>
        <v/>
      </c>
      <c r="BE704" s="14" t="str">
        <f t="shared" si="192"/>
        <v/>
      </c>
    </row>
    <row r="705" spans="39:57" ht="16.5" x14ac:dyDescent="0.2">
      <c r="AM705" s="13">
        <v>700</v>
      </c>
      <c r="AN705" s="14">
        <f t="shared" si="193"/>
        <v>39</v>
      </c>
      <c r="AO705" s="29">
        <f t="shared" si="177"/>
        <v>0.28000000000000003</v>
      </c>
      <c r="AP705" s="14">
        <f t="shared" si="178"/>
        <v>2</v>
      </c>
      <c r="AQ705" s="14">
        <f t="shared" si="179"/>
        <v>3</v>
      </c>
      <c r="AR705" s="14">
        <f t="shared" si="180"/>
        <v>0</v>
      </c>
      <c r="AS705" s="14">
        <f t="shared" si="181"/>
        <v>1606041</v>
      </c>
      <c r="AT705" s="14" t="str">
        <f t="shared" si="182"/>
        <v>神器-7-碎片-5-4级</v>
      </c>
      <c r="AU705" s="13" t="s">
        <v>1195</v>
      </c>
      <c r="AV705" s="13">
        <f t="shared" si="183"/>
        <v>4</v>
      </c>
      <c r="AW705" s="14">
        <f t="shared" si="184"/>
        <v>6524</v>
      </c>
      <c r="AX705" s="14" t="str">
        <f t="shared" si="185"/>
        <v>DefExt</v>
      </c>
      <c r="AY705" s="14">
        <f t="shared" si="186"/>
        <v>621</v>
      </c>
      <c r="AZ705" s="14" t="str">
        <f t="shared" si="187"/>
        <v>HPExt</v>
      </c>
      <c r="BA705" s="14">
        <f t="shared" si="188"/>
        <v>314</v>
      </c>
      <c r="BB705" s="14" t="str">
        <f t="shared" si="189"/>
        <v/>
      </c>
      <c r="BC705" s="14" t="str">
        <f t="shared" si="190"/>
        <v/>
      </c>
      <c r="BD705" s="14" t="str">
        <f t="shared" si="191"/>
        <v/>
      </c>
      <c r="BE705" s="14" t="str">
        <f t="shared" si="192"/>
        <v/>
      </c>
    </row>
    <row r="706" spans="39:57" ht="16.5" x14ac:dyDescent="0.2">
      <c r="AM706" s="13">
        <v>701</v>
      </c>
      <c r="AN706" s="14">
        <f t="shared" si="193"/>
        <v>39</v>
      </c>
      <c r="AO706" s="29">
        <f t="shared" si="177"/>
        <v>0.34799999999999998</v>
      </c>
      <c r="AP706" s="14">
        <f t="shared" si="178"/>
        <v>2</v>
      </c>
      <c r="AQ706" s="14">
        <f t="shared" si="179"/>
        <v>3</v>
      </c>
      <c r="AR706" s="14">
        <f t="shared" si="180"/>
        <v>0</v>
      </c>
      <c r="AS706" s="14">
        <f t="shared" si="181"/>
        <v>1606041</v>
      </c>
      <c r="AT706" s="14" t="str">
        <f t="shared" si="182"/>
        <v>神器-7-碎片-5-5级</v>
      </c>
      <c r="AU706" s="13" t="s">
        <v>1195</v>
      </c>
      <c r="AV706" s="13">
        <f t="shared" si="183"/>
        <v>5</v>
      </c>
      <c r="AW706" s="14">
        <f t="shared" si="184"/>
        <v>8111</v>
      </c>
      <c r="AX706" s="14" t="str">
        <f t="shared" si="185"/>
        <v>DefExt</v>
      </c>
      <c r="AY706" s="14">
        <f t="shared" si="186"/>
        <v>772</v>
      </c>
      <c r="AZ706" s="14" t="str">
        <f t="shared" si="187"/>
        <v>HPExt</v>
      </c>
      <c r="BA706" s="14">
        <f t="shared" si="188"/>
        <v>391</v>
      </c>
      <c r="BB706" s="14" t="str">
        <f t="shared" si="189"/>
        <v/>
      </c>
      <c r="BC706" s="14" t="str">
        <f t="shared" si="190"/>
        <v/>
      </c>
      <c r="BD706" s="14" t="str">
        <f t="shared" si="191"/>
        <v/>
      </c>
      <c r="BE706" s="14" t="str">
        <f t="shared" si="192"/>
        <v/>
      </c>
    </row>
    <row r="707" spans="39:57" ht="16.5" x14ac:dyDescent="0.2">
      <c r="AM707" s="13">
        <v>702</v>
      </c>
      <c r="AN707" s="14">
        <f t="shared" si="193"/>
        <v>39</v>
      </c>
      <c r="AO707" s="29">
        <f t="shared" si="177"/>
        <v>0.42000000000000004</v>
      </c>
      <c r="AP707" s="14">
        <f t="shared" si="178"/>
        <v>2</v>
      </c>
      <c r="AQ707" s="14">
        <f t="shared" si="179"/>
        <v>3</v>
      </c>
      <c r="AR707" s="14">
        <f t="shared" si="180"/>
        <v>0</v>
      </c>
      <c r="AS707" s="14">
        <f t="shared" si="181"/>
        <v>1606041</v>
      </c>
      <c r="AT707" s="14" t="str">
        <f t="shared" si="182"/>
        <v>神器-7-碎片-5-6级</v>
      </c>
      <c r="AU707" s="13" t="s">
        <v>1195</v>
      </c>
      <c r="AV707" s="13">
        <f t="shared" si="183"/>
        <v>6</v>
      </c>
      <c r="AW707" s="14">
        <f t="shared" si="184"/>
        <v>9782</v>
      </c>
      <c r="AX707" s="14" t="str">
        <f t="shared" si="185"/>
        <v>DefExt</v>
      </c>
      <c r="AY707" s="14">
        <f t="shared" si="186"/>
        <v>931</v>
      </c>
      <c r="AZ707" s="14" t="str">
        <f t="shared" si="187"/>
        <v>HPExt</v>
      </c>
      <c r="BA707" s="14">
        <f t="shared" si="188"/>
        <v>472</v>
      </c>
      <c r="BB707" s="14" t="str">
        <f t="shared" si="189"/>
        <v/>
      </c>
      <c r="BC707" s="14" t="str">
        <f t="shared" si="190"/>
        <v/>
      </c>
      <c r="BD707" s="14" t="str">
        <f t="shared" si="191"/>
        <v/>
      </c>
      <c r="BE707" s="14" t="str">
        <f t="shared" si="192"/>
        <v/>
      </c>
    </row>
    <row r="708" spans="39:57" ht="16.5" x14ac:dyDescent="0.2">
      <c r="AM708" s="13">
        <v>703</v>
      </c>
      <c r="AN708" s="14">
        <f t="shared" si="193"/>
        <v>39</v>
      </c>
      <c r="AO708" s="29">
        <f t="shared" si="177"/>
        <v>0.496</v>
      </c>
      <c r="AP708" s="14">
        <f t="shared" si="178"/>
        <v>2</v>
      </c>
      <c r="AQ708" s="14">
        <f t="shared" si="179"/>
        <v>3</v>
      </c>
      <c r="AR708" s="14">
        <f t="shared" si="180"/>
        <v>0</v>
      </c>
      <c r="AS708" s="14">
        <f t="shared" si="181"/>
        <v>1606041</v>
      </c>
      <c r="AT708" s="14" t="str">
        <f t="shared" si="182"/>
        <v>神器-7-碎片-5-7级</v>
      </c>
      <c r="AU708" s="13" t="s">
        <v>1195</v>
      </c>
      <c r="AV708" s="13">
        <f t="shared" si="183"/>
        <v>7</v>
      </c>
      <c r="AW708" s="14">
        <f t="shared" si="184"/>
        <v>11557</v>
      </c>
      <c r="AX708" s="14" t="str">
        <f t="shared" si="185"/>
        <v>DefExt</v>
      </c>
      <c r="AY708" s="14">
        <f t="shared" si="186"/>
        <v>1100</v>
      </c>
      <c r="AZ708" s="14" t="str">
        <f t="shared" si="187"/>
        <v>HPExt</v>
      </c>
      <c r="BA708" s="14">
        <f t="shared" si="188"/>
        <v>557</v>
      </c>
      <c r="BB708" s="14" t="str">
        <f t="shared" si="189"/>
        <v/>
      </c>
      <c r="BC708" s="14" t="str">
        <f t="shared" si="190"/>
        <v/>
      </c>
      <c r="BD708" s="14" t="str">
        <f t="shared" si="191"/>
        <v/>
      </c>
      <c r="BE708" s="14" t="str">
        <f t="shared" si="192"/>
        <v/>
      </c>
    </row>
    <row r="709" spans="39:57" ht="16.5" x14ac:dyDescent="0.2">
      <c r="AM709" s="13">
        <v>704</v>
      </c>
      <c r="AN709" s="14">
        <f t="shared" si="193"/>
        <v>39</v>
      </c>
      <c r="AO709" s="29">
        <f t="shared" si="177"/>
        <v>0.57600000000000007</v>
      </c>
      <c r="AP709" s="14">
        <f t="shared" si="178"/>
        <v>2</v>
      </c>
      <c r="AQ709" s="14">
        <f t="shared" si="179"/>
        <v>3</v>
      </c>
      <c r="AR709" s="14">
        <f t="shared" si="180"/>
        <v>0</v>
      </c>
      <c r="AS709" s="14">
        <f t="shared" si="181"/>
        <v>1606041</v>
      </c>
      <c r="AT709" s="14" t="str">
        <f t="shared" si="182"/>
        <v>神器-7-碎片-5-8级</v>
      </c>
      <c r="AU709" s="13" t="s">
        <v>1195</v>
      </c>
      <c r="AV709" s="13">
        <f t="shared" si="183"/>
        <v>8</v>
      </c>
      <c r="AW709" s="14">
        <f t="shared" si="184"/>
        <v>13417</v>
      </c>
      <c r="AX709" s="14" t="str">
        <f t="shared" si="185"/>
        <v>DefExt</v>
      </c>
      <c r="AY709" s="14">
        <f t="shared" si="186"/>
        <v>1277</v>
      </c>
      <c r="AZ709" s="14" t="str">
        <f t="shared" si="187"/>
        <v>HPExt</v>
      </c>
      <c r="BA709" s="14">
        <f t="shared" si="188"/>
        <v>647</v>
      </c>
      <c r="BB709" s="14" t="str">
        <f t="shared" si="189"/>
        <v/>
      </c>
      <c r="BC709" s="14" t="str">
        <f t="shared" si="190"/>
        <v/>
      </c>
      <c r="BD709" s="14" t="str">
        <f t="shared" si="191"/>
        <v/>
      </c>
      <c r="BE709" s="14" t="str">
        <f t="shared" si="192"/>
        <v/>
      </c>
    </row>
    <row r="710" spans="39:57" ht="16.5" x14ac:dyDescent="0.2">
      <c r="AM710" s="13">
        <v>705</v>
      </c>
      <c r="AN710" s="14">
        <f t="shared" si="193"/>
        <v>39</v>
      </c>
      <c r="AO710" s="29">
        <f t="shared" ref="AO710:AO773" si="194">4.8%+AV710*5%+AV710*AV710*0.2%</f>
        <v>0.66</v>
      </c>
      <c r="AP710" s="14">
        <f t="shared" ref="AP710:AP773" si="195">INDEX(AD$7:AD$48,$AN710)</f>
        <v>2</v>
      </c>
      <c r="AQ710" s="14">
        <f t="shared" ref="AQ710:AQ773" si="196">INDEX(AE$7:AE$48,$AN710)</f>
        <v>3</v>
      </c>
      <c r="AR710" s="14">
        <f t="shared" ref="AR710:AR773" si="197">INDEX(AF$7:AF$48,$AN710)</f>
        <v>0</v>
      </c>
      <c r="AS710" s="14">
        <f t="shared" ref="AS710:AS773" si="198">INDEX($W$7:$W$48,AN710)</f>
        <v>1606041</v>
      </c>
      <c r="AT710" s="14" t="str">
        <f t="shared" ref="AT710:AT773" si="199">"神器-"&amp;INDEX($S$7:$S$48,AN710)&amp;"-碎片-"&amp;INDEX($T$7:$T$48,AN710)&amp;"-"&amp;AV710&amp;"级"</f>
        <v>神器-7-碎片-5-9级</v>
      </c>
      <c r="AU710" s="13" t="s">
        <v>1195</v>
      </c>
      <c r="AV710" s="13">
        <f t="shared" ref="AV710:AV773" si="200">AM710-INDEX($AI$6:$AI$48,AN710)</f>
        <v>9</v>
      </c>
      <c r="AW710" s="14">
        <f t="shared" ref="AW710:AW773" si="201">AY710*INDEX($AP$2:$AR$2,AP710)+IF(AQ710&gt;0,BA710*INDEX($AP$2:$AR$2,AQ710),0)+IF(AR710&gt;0,BC710*INDEX($AP$2:$AR$2,AR710),0)+IF(BD710="Speed",BE710*100,0)</f>
        <v>15371</v>
      </c>
      <c r="AX710" s="14" t="str">
        <f t="shared" ref="AX710:AX773" si="202">INDEX($AP$3:$AR$3,AP710)</f>
        <v>DefExt</v>
      </c>
      <c r="AY710" s="14">
        <f t="shared" ref="AY710:AY773" si="203">ROUND(INDEX($X$7:$Z$48,AN710,AP710)*AO710,0)</f>
        <v>1463</v>
      </c>
      <c r="AZ710" s="14" t="str">
        <f t="shared" ref="AZ710:AZ773" si="204">IF(AQ710&gt;0,INDEX($AP$3:$AR$3,AQ710),"")</f>
        <v>HPExt</v>
      </c>
      <c r="BA710" s="14">
        <f t="shared" ref="BA710:BA773" si="205">IF(AQ710&gt;0,ROUND(INDEX($X$7:$Z$48,AN710,AQ710)*AO710,0),"")</f>
        <v>741</v>
      </c>
      <c r="BB710" s="14" t="str">
        <f t="shared" ref="BB710:BB773" si="206">IF(AR710&gt;0,INDEX($AP$3:$AR$3,AR710),"")</f>
        <v/>
      </c>
      <c r="BC710" s="14" t="str">
        <f t="shared" ref="BC710:BC773" si="207">IF(AR710&gt;0,ROUND(INDEX($X$7:$Z$48,AN710,AR710)*AO710,0),"")</f>
        <v/>
      </c>
      <c r="BD710" s="14" t="str">
        <f t="shared" ref="BD710:BD773" si="208">IF(INDEX($AG$7:$AG$48,AN710)&gt;0,"Speed","")</f>
        <v/>
      </c>
      <c r="BE710" s="14" t="str">
        <f t="shared" ref="BE710:BE773" si="209">IF(INDEX($AG$7:$AG$48,AN710)&gt;0,INDEX($AG$7:$AG$48,AN710)*AV710,"")</f>
        <v/>
      </c>
    </row>
    <row r="711" spans="39:57" ht="16.5" x14ac:dyDescent="0.2">
      <c r="AM711" s="13">
        <v>706</v>
      </c>
      <c r="AN711" s="14">
        <f t="shared" ref="AN711:AN737" si="210">MATCH(AM711-1,$AI$6:$AI$48,1)</f>
        <v>39</v>
      </c>
      <c r="AO711" s="29">
        <f t="shared" si="194"/>
        <v>0.748</v>
      </c>
      <c r="AP711" s="14">
        <f t="shared" si="195"/>
        <v>2</v>
      </c>
      <c r="AQ711" s="14">
        <f t="shared" si="196"/>
        <v>3</v>
      </c>
      <c r="AR711" s="14">
        <f t="shared" si="197"/>
        <v>0</v>
      </c>
      <c r="AS711" s="14">
        <f t="shared" si="198"/>
        <v>1606041</v>
      </c>
      <c r="AT711" s="14" t="str">
        <f t="shared" si="199"/>
        <v>神器-7-碎片-5-10级</v>
      </c>
      <c r="AU711" s="13" t="s">
        <v>1195</v>
      </c>
      <c r="AV711" s="13">
        <f t="shared" si="200"/>
        <v>10</v>
      </c>
      <c r="AW711" s="14">
        <f t="shared" si="201"/>
        <v>17430</v>
      </c>
      <c r="AX711" s="14" t="str">
        <f t="shared" si="202"/>
        <v>DefExt</v>
      </c>
      <c r="AY711" s="14">
        <f t="shared" si="203"/>
        <v>1659</v>
      </c>
      <c r="AZ711" s="14" t="str">
        <f t="shared" si="204"/>
        <v>HPExt</v>
      </c>
      <c r="BA711" s="14">
        <f t="shared" si="205"/>
        <v>840</v>
      </c>
      <c r="BB711" s="14" t="str">
        <f t="shared" si="206"/>
        <v/>
      </c>
      <c r="BC711" s="14" t="str">
        <f t="shared" si="207"/>
        <v/>
      </c>
      <c r="BD711" s="14" t="str">
        <f t="shared" si="208"/>
        <v/>
      </c>
      <c r="BE711" s="14" t="str">
        <f t="shared" si="209"/>
        <v/>
      </c>
    </row>
    <row r="712" spans="39:57" ht="16.5" x14ac:dyDescent="0.2">
      <c r="AM712" s="13">
        <v>707</v>
      </c>
      <c r="AN712" s="14">
        <f t="shared" si="210"/>
        <v>39</v>
      </c>
      <c r="AO712" s="29">
        <f t="shared" si="194"/>
        <v>0.84000000000000008</v>
      </c>
      <c r="AP712" s="14">
        <f t="shared" si="195"/>
        <v>2</v>
      </c>
      <c r="AQ712" s="14">
        <f t="shared" si="196"/>
        <v>3</v>
      </c>
      <c r="AR712" s="14">
        <f t="shared" si="197"/>
        <v>0</v>
      </c>
      <c r="AS712" s="14">
        <f t="shared" si="198"/>
        <v>1606041</v>
      </c>
      <c r="AT712" s="14" t="str">
        <f t="shared" si="199"/>
        <v>神器-7-碎片-5-11级</v>
      </c>
      <c r="AU712" s="13" t="s">
        <v>1195</v>
      </c>
      <c r="AV712" s="13">
        <f t="shared" si="200"/>
        <v>11</v>
      </c>
      <c r="AW712" s="14">
        <f t="shared" si="201"/>
        <v>19573</v>
      </c>
      <c r="AX712" s="14" t="str">
        <f t="shared" si="202"/>
        <v>DefExt</v>
      </c>
      <c r="AY712" s="14">
        <f t="shared" si="203"/>
        <v>1863</v>
      </c>
      <c r="AZ712" s="14" t="str">
        <f t="shared" si="204"/>
        <v>HPExt</v>
      </c>
      <c r="BA712" s="14">
        <f t="shared" si="205"/>
        <v>943</v>
      </c>
      <c r="BB712" s="14" t="str">
        <f t="shared" si="206"/>
        <v/>
      </c>
      <c r="BC712" s="14" t="str">
        <f t="shared" si="207"/>
        <v/>
      </c>
      <c r="BD712" s="14" t="str">
        <f t="shared" si="208"/>
        <v/>
      </c>
      <c r="BE712" s="14" t="str">
        <f t="shared" si="209"/>
        <v/>
      </c>
    </row>
    <row r="713" spans="39:57" ht="16.5" x14ac:dyDescent="0.2">
      <c r="AM713" s="13">
        <v>708</v>
      </c>
      <c r="AN713" s="14">
        <f t="shared" si="210"/>
        <v>39</v>
      </c>
      <c r="AO713" s="29">
        <f t="shared" si="194"/>
        <v>0.93600000000000017</v>
      </c>
      <c r="AP713" s="14">
        <f t="shared" si="195"/>
        <v>2</v>
      </c>
      <c r="AQ713" s="14">
        <f t="shared" si="196"/>
        <v>3</v>
      </c>
      <c r="AR713" s="14">
        <f t="shared" si="197"/>
        <v>0</v>
      </c>
      <c r="AS713" s="14">
        <f t="shared" si="198"/>
        <v>1606041</v>
      </c>
      <c r="AT713" s="14" t="str">
        <f t="shared" si="199"/>
        <v>神器-7-碎片-5-12级</v>
      </c>
      <c r="AU713" s="13" t="s">
        <v>1195</v>
      </c>
      <c r="AV713" s="13">
        <f t="shared" si="200"/>
        <v>12</v>
      </c>
      <c r="AW713" s="14">
        <f t="shared" si="201"/>
        <v>21801</v>
      </c>
      <c r="AX713" s="14" t="str">
        <f t="shared" si="202"/>
        <v>DefExt</v>
      </c>
      <c r="AY713" s="14">
        <f t="shared" si="203"/>
        <v>2075</v>
      </c>
      <c r="AZ713" s="14" t="str">
        <f t="shared" si="204"/>
        <v>HPExt</v>
      </c>
      <c r="BA713" s="14">
        <f t="shared" si="205"/>
        <v>1051</v>
      </c>
      <c r="BB713" s="14" t="str">
        <f t="shared" si="206"/>
        <v/>
      </c>
      <c r="BC713" s="14" t="str">
        <f t="shared" si="207"/>
        <v/>
      </c>
      <c r="BD713" s="14" t="str">
        <f t="shared" si="208"/>
        <v/>
      </c>
      <c r="BE713" s="14" t="str">
        <f t="shared" si="209"/>
        <v/>
      </c>
    </row>
    <row r="714" spans="39:57" ht="16.5" x14ac:dyDescent="0.2">
      <c r="AM714" s="13">
        <v>709</v>
      </c>
      <c r="AN714" s="14">
        <f t="shared" si="210"/>
        <v>39</v>
      </c>
      <c r="AO714" s="29">
        <f t="shared" si="194"/>
        <v>1.036</v>
      </c>
      <c r="AP714" s="14">
        <f t="shared" si="195"/>
        <v>2</v>
      </c>
      <c r="AQ714" s="14">
        <f t="shared" si="196"/>
        <v>3</v>
      </c>
      <c r="AR714" s="14">
        <f t="shared" si="197"/>
        <v>0</v>
      </c>
      <c r="AS714" s="14">
        <f t="shared" si="198"/>
        <v>1606041</v>
      </c>
      <c r="AT714" s="14" t="str">
        <f t="shared" si="199"/>
        <v>神器-7-碎片-5-13级</v>
      </c>
      <c r="AU714" s="13" t="s">
        <v>1195</v>
      </c>
      <c r="AV714" s="13">
        <f t="shared" si="200"/>
        <v>13</v>
      </c>
      <c r="AW714" s="14">
        <f t="shared" si="201"/>
        <v>24133</v>
      </c>
      <c r="AX714" s="14" t="str">
        <f t="shared" si="202"/>
        <v>DefExt</v>
      </c>
      <c r="AY714" s="14">
        <f t="shared" si="203"/>
        <v>2297</v>
      </c>
      <c r="AZ714" s="14" t="str">
        <f t="shared" si="204"/>
        <v>HPExt</v>
      </c>
      <c r="BA714" s="14">
        <f t="shared" si="205"/>
        <v>1163</v>
      </c>
      <c r="BB714" s="14" t="str">
        <f t="shared" si="206"/>
        <v/>
      </c>
      <c r="BC714" s="14" t="str">
        <f t="shared" si="207"/>
        <v/>
      </c>
      <c r="BD714" s="14" t="str">
        <f t="shared" si="208"/>
        <v/>
      </c>
      <c r="BE714" s="14" t="str">
        <f t="shared" si="209"/>
        <v/>
      </c>
    </row>
    <row r="715" spans="39:57" ht="16.5" x14ac:dyDescent="0.2">
      <c r="AM715" s="13">
        <v>710</v>
      </c>
      <c r="AN715" s="14">
        <f t="shared" si="210"/>
        <v>39</v>
      </c>
      <c r="AO715" s="29">
        <f t="shared" si="194"/>
        <v>1.1400000000000001</v>
      </c>
      <c r="AP715" s="14">
        <f t="shared" si="195"/>
        <v>2</v>
      </c>
      <c r="AQ715" s="14">
        <f t="shared" si="196"/>
        <v>3</v>
      </c>
      <c r="AR715" s="14">
        <f t="shared" si="197"/>
        <v>0</v>
      </c>
      <c r="AS715" s="14">
        <f t="shared" si="198"/>
        <v>1606041</v>
      </c>
      <c r="AT715" s="14" t="str">
        <f t="shared" si="199"/>
        <v>神器-7-碎片-5-14级</v>
      </c>
      <c r="AU715" s="13" t="s">
        <v>1195</v>
      </c>
      <c r="AV715" s="13">
        <f t="shared" si="200"/>
        <v>14</v>
      </c>
      <c r="AW715" s="14">
        <f t="shared" si="201"/>
        <v>26560</v>
      </c>
      <c r="AX715" s="14" t="str">
        <f t="shared" si="202"/>
        <v>DefExt</v>
      </c>
      <c r="AY715" s="14">
        <f t="shared" si="203"/>
        <v>2528</v>
      </c>
      <c r="AZ715" s="14" t="str">
        <f t="shared" si="204"/>
        <v>HPExt</v>
      </c>
      <c r="BA715" s="14">
        <f t="shared" si="205"/>
        <v>1280</v>
      </c>
      <c r="BB715" s="14" t="str">
        <f t="shared" si="206"/>
        <v/>
      </c>
      <c r="BC715" s="14" t="str">
        <f t="shared" si="207"/>
        <v/>
      </c>
      <c r="BD715" s="14" t="str">
        <f t="shared" si="208"/>
        <v/>
      </c>
      <c r="BE715" s="14" t="str">
        <f t="shared" si="209"/>
        <v/>
      </c>
    </row>
    <row r="716" spans="39:57" ht="16.5" x14ac:dyDescent="0.2">
      <c r="AM716" s="13">
        <v>711</v>
      </c>
      <c r="AN716" s="14">
        <f t="shared" si="210"/>
        <v>39</v>
      </c>
      <c r="AO716" s="29">
        <f t="shared" si="194"/>
        <v>1.248</v>
      </c>
      <c r="AP716" s="14">
        <f t="shared" si="195"/>
        <v>2</v>
      </c>
      <c r="AQ716" s="14">
        <f t="shared" si="196"/>
        <v>3</v>
      </c>
      <c r="AR716" s="14">
        <f t="shared" si="197"/>
        <v>0</v>
      </c>
      <c r="AS716" s="14">
        <f t="shared" si="198"/>
        <v>1606041</v>
      </c>
      <c r="AT716" s="14" t="str">
        <f t="shared" si="199"/>
        <v>神器-7-碎片-5-15级</v>
      </c>
      <c r="AU716" s="13" t="s">
        <v>1195</v>
      </c>
      <c r="AV716" s="13">
        <f t="shared" si="200"/>
        <v>15</v>
      </c>
      <c r="AW716" s="14">
        <f t="shared" si="201"/>
        <v>29071</v>
      </c>
      <c r="AX716" s="14" t="str">
        <f t="shared" si="202"/>
        <v>DefExt</v>
      </c>
      <c r="AY716" s="14">
        <f t="shared" si="203"/>
        <v>2767</v>
      </c>
      <c r="AZ716" s="14" t="str">
        <f t="shared" si="204"/>
        <v>HPExt</v>
      </c>
      <c r="BA716" s="14">
        <f t="shared" si="205"/>
        <v>1401</v>
      </c>
      <c r="BB716" s="14" t="str">
        <f t="shared" si="206"/>
        <v/>
      </c>
      <c r="BC716" s="14" t="str">
        <f t="shared" si="207"/>
        <v/>
      </c>
      <c r="BD716" s="14" t="str">
        <f t="shared" si="208"/>
        <v/>
      </c>
      <c r="BE716" s="14" t="str">
        <f t="shared" si="209"/>
        <v/>
      </c>
    </row>
    <row r="717" spans="39:57" ht="16.5" x14ac:dyDescent="0.2">
      <c r="AM717" s="13">
        <v>712</v>
      </c>
      <c r="AN717" s="14">
        <f t="shared" si="210"/>
        <v>39</v>
      </c>
      <c r="AO717" s="29">
        <f t="shared" si="194"/>
        <v>1.36</v>
      </c>
      <c r="AP717" s="14">
        <f t="shared" si="195"/>
        <v>2</v>
      </c>
      <c r="AQ717" s="14">
        <f t="shared" si="196"/>
        <v>3</v>
      </c>
      <c r="AR717" s="14">
        <f t="shared" si="197"/>
        <v>0</v>
      </c>
      <c r="AS717" s="14">
        <f t="shared" si="198"/>
        <v>1606041</v>
      </c>
      <c r="AT717" s="14" t="str">
        <f t="shared" si="199"/>
        <v>神器-7-碎片-5-16级</v>
      </c>
      <c r="AU717" s="13" t="s">
        <v>1195</v>
      </c>
      <c r="AV717" s="13">
        <f t="shared" si="200"/>
        <v>16</v>
      </c>
      <c r="AW717" s="14">
        <f t="shared" si="201"/>
        <v>31687</v>
      </c>
      <c r="AX717" s="14" t="str">
        <f t="shared" si="202"/>
        <v>DefExt</v>
      </c>
      <c r="AY717" s="14">
        <f t="shared" si="203"/>
        <v>3016</v>
      </c>
      <c r="AZ717" s="14" t="str">
        <f t="shared" si="204"/>
        <v>HPExt</v>
      </c>
      <c r="BA717" s="14">
        <f t="shared" si="205"/>
        <v>1527</v>
      </c>
      <c r="BB717" s="14" t="str">
        <f t="shared" si="206"/>
        <v/>
      </c>
      <c r="BC717" s="14" t="str">
        <f t="shared" si="207"/>
        <v/>
      </c>
      <c r="BD717" s="14" t="str">
        <f t="shared" si="208"/>
        <v/>
      </c>
      <c r="BE717" s="14" t="str">
        <f t="shared" si="209"/>
        <v/>
      </c>
    </row>
    <row r="718" spans="39:57" ht="16.5" x14ac:dyDescent="0.2">
      <c r="AM718" s="13">
        <v>713</v>
      </c>
      <c r="AN718" s="14">
        <f t="shared" si="210"/>
        <v>39</v>
      </c>
      <c r="AO718" s="29">
        <f t="shared" si="194"/>
        <v>1.476</v>
      </c>
      <c r="AP718" s="14">
        <f t="shared" si="195"/>
        <v>2</v>
      </c>
      <c r="AQ718" s="14">
        <f t="shared" si="196"/>
        <v>3</v>
      </c>
      <c r="AR718" s="14">
        <f t="shared" si="197"/>
        <v>0</v>
      </c>
      <c r="AS718" s="14">
        <f t="shared" si="198"/>
        <v>1606041</v>
      </c>
      <c r="AT718" s="14" t="str">
        <f t="shared" si="199"/>
        <v>神器-7-碎片-5-17级</v>
      </c>
      <c r="AU718" s="13" t="s">
        <v>1195</v>
      </c>
      <c r="AV718" s="13">
        <f t="shared" si="200"/>
        <v>17</v>
      </c>
      <c r="AW718" s="14">
        <f t="shared" si="201"/>
        <v>34387</v>
      </c>
      <c r="AX718" s="14" t="str">
        <f t="shared" si="202"/>
        <v>DefExt</v>
      </c>
      <c r="AY718" s="14">
        <f t="shared" si="203"/>
        <v>3273</v>
      </c>
      <c r="AZ718" s="14" t="str">
        <f t="shared" si="204"/>
        <v>HPExt</v>
      </c>
      <c r="BA718" s="14">
        <f t="shared" si="205"/>
        <v>1657</v>
      </c>
      <c r="BB718" s="14" t="str">
        <f t="shared" si="206"/>
        <v/>
      </c>
      <c r="BC718" s="14" t="str">
        <f t="shared" si="207"/>
        <v/>
      </c>
      <c r="BD718" s="14" t="str">
        <f t="shared" si="208"/>
        <v/>
      </c>
      <c r="BE718" s="14" t="str">
        <f t="shared" si="209"/>
        <v/>
      </c>
    </row>
    <row r="719" spans="39:57" ht="16.5" x14ac:dyDescent="0.2">
      <c r="AM719" s="13">
        <v>714</v>
      </c>
      <c r="AN719" s="14">
        <f t="shared" si="210"/>
        <v>39</v>
      </c>
      <c r="AO719" s="29">
        <f t="shared" si="194"/>
        <v>1.5960000000000001</v>
      </c>
      <c r="AP719" s="14">
        <f t="shared" si="195"/>
        <v>2</v>
      </c>
      <c r="AQ719" s="14">
        <f t="shared" si="196"/>
        <v>3</v>
      </c>
      <c r="AR719" s="14">
        <f t="shared" si="197"/>
        <v>0</v>
      </c>
      <c r="AS719" s="14">
        <f t="shared" si="198"/>
        <v>1606041</v>
      </c>
      <c r="AT719" s="14" t="str">
        <f t="shared" si="199"/>
        <v>神器-7-碎片-5-18级</v>
      </c>
      <c r="AU719" s="13" t="s">
        <v>1195</v>
      </c>
      <c r="AV719" s="13">
        <f t="shared" si="200"/>
        <v>18</v>
      </c>
      <c r="AW719" s="14">
        <f t="shared" si="201"/>
        <v>37182</v>
      </c>
      <c r="AX719" s="14" t="str">
        <f t="shared" si="202"/>
        <v>DefExt</v>
      </c>
      <c r="AY719" s="14">
        <f t="shared" si="203"/>
        <v>3539</v>
      </c>
      <c r="AZ719" s="14" t="str">
        <f t="shared" si="204"/>
        <v>HPExt</v>
      </c>
      <c r="BA719" s="14">
        <f t="shared" si="205"/>
        <v>1792</v>
      </c>
      <c r="BB719" s="14" t="str">
        <f t="shared" si="206"/>
        <v/>
      </c>
      <c r="BC719" s="14" t="str">
        <f t="shared" si="207"/>
        <v/>
      </c>
      <c r="BD719" s="14" t="str">
        <f t="shared" si="208"/>
        <v/>
      </c>
      <c r="BE719" s="14" t="str">
        <f t="shared" si="209"/>
        <v/>
      </c>
    </row>
    <row r="720" spans="39:57" ht="16.5" x14ac:dyDescent="0.2">
      <c r="AM720" s="13">
        <v>715</v>
      </c>
      <c r="AN720" s="14">
        <f t="shared" si="210"/>
        <v>39</v>
      </c>
      <c r="AO720" s="29">
        <f t="shared" si="194"/>
        <v>1.7200000000000002</v>
      </c>
      <c r="AP720" s="14">
        <f t="shared" si="195"/>
        <v>2</v>
      </c>
      <c r="AQ720" s="14">
        <f t="shared" si="196"/>
        <v>3</v>
      </c>
      <c r="AR720" s="14">
        <f t="shared" si="197"/>
        <v>0</v>
      </c>
      <c r="AS720" s="14">
        <f t="shared" si="198"/>
        <v>1606041</v>
      </c>
      <c r="AT720" s="14" t="str">
        <f t="shared" si="199"/>
        <v>神器-7-碎片-5-19级</v>
      </c>
      <c r="AU720" s="13" t="s">
        <v>1195</v>
      </c>
      <c r="AV720" s="13">
        <f t="shared" si="200"/>
        <v>19</v>
      </c>
      <c r="AW720" s="14">
        <f t="shared" si="201"/>
        <v>40071</v>
      </c>
      <c r="AX720" s="14" t="str">
        <f t="shared" si="202"/>
        <v>DefExt</v>
      </c>
      <c r="AY720" s="14">
        <f t="shared" si="203"/>
        <v>3814</v>
      </c>
      <c r="AZ720" s="14" t="str">
        <f t="shared" si="204"/>
        <v>HPExt</v>
      </c>
      <c r="BA720" s="14">
        <f t="shared" si="205"/>
        <v>1931</v>
      </c>
      <c r="BB720" s="14" t="str">
        <f t="shared" si="206"/>
        <v/>
      </c>
      <c r="BC720" s="14" t="str">
        <f t="shared" si="207"/>
        <v/>
      </c>
      <c r="BD720" s="14" t="str">
        <f t="shared" si="208"/>
        <v/>
      </c>
      <c r="BE720" s="14" t="str">
        <f t="shared" si="209"/>
        <v/>
      </c>
    </row>
    <row r="721" spans="39:57" ht="16.5" x14ac:dyDescent="0.2">
      <c r="AM721" s="13">
        <v>716</v>
      </c>
      <c r="AN721" s="14">
        <f t="shared" si="210"/>
        <v>39</v>
      </c>
      <c r="AO721" s="29">
        <f t="shared" si="194"/>
        <v>1.8480000000000001</v>
      </c>
      <c r="AP721" s="14">
        <f t="shared" si="195"/>
        <v>2</v>
      </c>
      <c r="AQ721" s="14">
        <f t="shared" si="196"/>
        <v>3</v>
      </c>
      <c r="AR721" s="14">
        <f t="shared" si="197"/>
        <v>0</v>
      </c>
      <c r="AS721" s="14">
        <f t="shared" si="198"/>
        <v>1606041</v>
      </c>
      <c r="AT721" s="14" t="str">
        <f t="shared" si="199"/>
        <v>神器-7-碎片-5-20级</v>
      </c>
      <c r="AU721" s="13" t="s">
        <v>1195</v>
      </c>
      <c r="AV721" s="13">
        <f t="shared" si="200"/>
        <v>20</v>
      </c>
      <c r="AW721" s="14">
        <f t="shared" si="201"/>
        <v>43055</v>
      </c>
      <c r="AX721" s="14" t="str">
        <f t="shared" si="202"/>
        <v>DefExt</v>
      </c>
      <c r="AY721" s="14">
        <f t="shared" si="203"/>
        <v>4098</v>
      </c>
      <c r="AZ721" s="14" t="str">
        <f t="shared" si="204"/>
        <v>HPExt</v>
      </c>
      <c r="BA721" s="14">
        <f t="shared" si="205"/>
        <v>2075</v>
      </c>
      <c r="BB721" s="14" t="str">
        <f t="shared" si="206"/>
        <v/>
      </c>
      <c r="BC721" s="14" t="str">
        <f t="shared" si="207"/>
        <v/>
      </c>
      <c r="BD721" s="14" t="str">
        <f t="shared" si="208"/>
        <v/>
      </c>
      <c r="BE721" s="14" t="str">
        <f t="shared" si="209"/>
        <v/>
      </c>
    </row>
    <row r="722" spans="39:57" ht="16.5" x14ac:dyDescent="0.2">
      <c r="AM722" s="13">
        <v>717</v>
      </c>
      <c r="AN722" s="14">
        <f t="shared" si="210"/>
        <v>39</v>
      </c>
      <c r="AO722" s="29">
        <f t="shared" si="194"/>
        <v>1.98</v>
      </c>
      <c r="AP722" s="14">
        <f t="shared" si="195"/>
        <v>2</v>
      </c>
      <c r="AQ722" s="14">
        <f t="shared" si="196"/>
        <v>3</v>
      </c>
      <c r="AR722" s="14">
        <f t="shared" si="197"/>
        <v>0</v>
      </c>
      <c r="AS722" s="14">
        <f t="shared" si="198"/>
        <v>1606041</v>
      </c>
      <c r="AT722" s="14" t="str">
        <f t="shared" si="199"/>
        <v>神器-7-碎片-5-21级</v>
      </c>
      <c r="AU722" s="13" t="s">
        <v>1195</v>
      </c>
      <c r="AV722" s="13">
        <f t="shared" si="200"/>
        <v>21</v>
      </c>
      <c r="AW722" s="14">
        <f t="shared" si="201"/>
        <v>46123</v>
      </c>
      <c r="AX722" s="14" t="str">
        <f t="shared" si="202"/>
        <v>DefExt</v>
      </c>
      <c r="AY722" s="14">
        <f t="shared" si="203"/>
        <v>4390</v>
      </c>
      <c r="AZ722" s="14" t="str">
        <f t="shared" si="204"/>
        <v>HPExt</v>
      </c>
      <c r="BA722" s="14">
        <f t="shared" si="205"/>
        <v>2223</v>
      </c>
      <c r="BB722" s="14" t="str">
        <f t="shared" si="206"/>
        <v/>
      </c>
      <c r="BC722" s="14" t="str">
        <f t="shared" si="207"/>
        <v/>
      </c>
      <c r="BD722" s="14" t="str">
        <f t="shared" si="208"/>
        <v/>
      </c>
      <c r="BE722" s="14" t="str">
        <f t="shared" si="209"/>
        <v/>
      </c>
    </row>
    <row r="723" spans="39:57" ht="16.5" x14ac:dyDescent="0.2">
      <c r="AM723" s="13">
        <v>718</v>
      </c>
      <c r="AN723" s="14">
        <f t="shared" si="210"/>
        <v>40</v>
      </c>
      <c r="AO723" s="29">
        <f t="shared" si="194"/>
        <v>0.1</v>
      </c>
      <c r="AP723" s="14">
        <f t="shared" si="195"/>
        <v>1</v>
      </c>
      <c r="AQ723" s="14">
        <f t="shared" si="196"/>
        <v>2</v>
      </c>
      <c r="AR723" s="14">
        <f t="shared" si="197"/>
        <v>3</v>
      </c>
      <c r="AS723" s="14">
        <f t="shared" si="198"/>
        <v>1606042</v>
      </c>
      <c r="AT723" s="14" t="str">
        <f t="shared" si="199"/>
        <v>神器-7-碎片-6-1级</v>
      </c>
      <c r="AU723" s="13" t="s">
        <v>1195</v>
      </c>
      <c r="AV723" s="13">
        <f t="shared" si="200"/>
        <v>1</v>
      </c>
      <c r="AW723" s="14">
        <f t="shared" si="201"/>
        <v>1762</v>
      </c>
      <c r="AX723" s="14" t="str">
        <f t="shared" si="202"/>
        <v>AtkExt</v>
      </c>
      <c r="AY723" s="14">
        <f t="shared" si="203"/>
        <v>108</v>
      </c>
      <c r="AZ723" s="14" t="str">
        <f t="shared" si="204"/>
        <v>DefExt</v>
      </c>
      <c r="BA723" s="14">
        <f t="shared" si="205"/>
        <v>111</v>
      </c>
      <c r="BB723" s="14" t="str">
        <f t="shared" si="206"/>
        <v>HPExt</v>
      </c>
      <c r="BC723" s="14">
        <f t="shared" si="207"/>
        <v>112</v>
      </c>
      <c r="BD723" s="14" t="str">
        <f t="shared" si="208"/>
        <v/>
      </c>
      <c r="BE723" s="14" t="str">
        <f t="shared" si="209"/>
        <v/>
      </c>
    </row>
    <row r="724" spans="39:57" ht="16.5" x14ac:dyDescent="0.2">
      <c r="AM724" s="13">
        <v>719</v>
      </c>
      <c r="AN724" s="14">
        <f t="shared" si="210"/>
        <v>40</v>
      </c>
      <c r="AO724" s="29">
        <f t="shared" si="194"/>
        <v>0.15600000000000003</v>
      </c>
      <c r="AP724" s="14">
        <f t="shared" si="195"/>
        <v>1</v>
      </c>
      <c r="AQ724" s="14">
        <f t="shared" si="196"/>
        <v>2</v>
      </c>
      <c r="AR724" s="14">
        <f t="shared" si="197"/>
        <v>3</v>
      </c>
      <c r="AS724" s="14">
        <f t="shared" si="198"/>
        <v>1606042</v>
      </c>
      <c r="AT724" s="14" t="str">
        <f t="shared" si="199"/>
        <v>神器-7-碎片-6-2级</v>
      </c>
      <c r="AU724" s="13" t="s">
        <v>1195</v>
      </c>
      <c r="AV724" s="13">
        <f t="shared" si="200"/>
        <v>2</v>
      </c>
      <c r="AW724" s="14">
        <f t="shared" si="201"/>
        <v>2745</v>
      </c>
      <c r="AX724" s="14" t="str">
        <f t="shared" si="202"/>
        <v>AtkExt</v>
      </c>
      <c r="AY724" s="14">
        <f t="shared" si="203"/>
        <v>168</v>
      </c>
      <c r="AZ724" s="14" t="str">
        <f t="shared" si="204"/>
        <v>DefExt</v>
      </c>
      <c r="BA724" s="14">
        <f t="shared" si="205"/>
        <v>173</v>
      </c>
      <c r="BB724" s="14" t="str">
        <f t="shared" si="206"/>
        <v>HPExt</v>
      </c>
      <c r="BC724" s="14">
        <f t="shared" si="207"/>
        <v>175</v>
      </c>
      <c r="BD724" s="14" t="str">
        <f t="shared" si="208"/>
        <v/>
      </c>
      <c r="BE724" s="14" t="str">
        <f t="shared" si="209"/>
        <v/>
      </c>
    </row>
    <row r="725" spans="39:57" ht="16.5" x14ac:dyDescent="0.2">
      <c r="AM725" s="13">
        <v>720</v>
      </c>
      <c r="AN725" s="14">
        <f t="shared" si="210"/>
        <v>40</v>
      </c>
      <c r="AO725" s="29">
        <f t="shared" si="194"/>
        <v>0.21600000000000003</v>
      </c>
      <c r="AP725" s="14">
        <f t="shared" si="195"/>
        <v>1</v>
      </c>
      <c r="AQ725" s="14">
        <f t="shared" si="196"/>
        <v>2</v>
      </c>
      <c r="AR725" s="14">
        <f t="shared" si="197"/>
        <v>3</v>
      </c>
      <c r="AS725" s="14">
        <f t="shared" si="198"/>
        <v>1606042</v>
      </c>
      <c r="AT725" s="14" t="str">
        <f t="shared" si="199"/>
        <v>神器-7-碎片-6-3级</v>
      </c>
      <c r="AU725" s="13" t="s">
        <v>1195</v>
      </c>
      <c r="AV725" s="13">
        <f t="shared" si="200"/>
        <v>3</v>
      </c>
      <c r="AW725" s="14">
        <f t="shared" si="201"/>
        <v>3798</v>
      </c>
      <c r="AX725" s="14" t="str">
        <f t="shared" si="202"/>
        <v>AtkExt</v>
      </c>
      <c r="AY725" s="14">
        <f t="shared" si="203"/>
        <v>233</v>
      </c>
      <c r="AZ725" s="14" t="str">
        <f t="shared" si="204"/>
        <v>DefExt</v>
      </c>
      <c r="BA725" s="14">
        <f t="shared" si="205"/>
        <v>239</v>
      </c>
      <c r="BB725" s="14" t="str">
        <f t="shared" si="206"/>
        <v>HPExt</v>
      </c>
      <c r="BC725" s="14">
        <f t="shared" si="207"/>
        <v>243</v>
      </c>
      <c r="BD725" s="14" t="str">
        <f t="shared" si="208"/>
        <v/>
      </c>
      <c r="BE725" s="14" t="str">
        <f t="shared" si="209"/>
        <v/>
      </c>
    </row>
    <row r="726" spans="39:57" ht="16.5" x14ac:dyDescent="0.2">
      <c r="AM726" s="13">
        <v>721</v>
      </c>
      <c r="AN726" s="14">
        <f t="shared" si="210"/>
        <v>40</v>
      </c>
      <c r="AO726" s="29">
        <f t="shared" si="194"/>
        <v>0.28000000000000003</v>
      </c>
      <c r="AP726" s="14">
        <f t="shared" si="195"/>
        <v>1</v>
      </c>
      <c r="AQ726" s="14">
        <f t="shared" si="196"/>
        <v>2</v>
      </c>
      <c r="AR726" s="14">
        <f t="shared" si="197"/>
        <v>3</v>
      </c>
      <c r="AS726" s="14">
        <f t="shared" si="198"/>
        <v>1606042</v>
      </c>
      <c r="AT726" s="14" t="str">
        <f t="shared" si="199"/>
        <v>神器-7-碎片-6-4级</v>
      </c>
      <c r="AU726" s="13" t="s">
        <v>1195</v>
      </c>
      <c r="AV726" s="13">
        <f t="shared" si="200"/>
        <v>4</v>
      </c>
      <c r="AW726" s="14">
        <f t="shared" si="201"/>
        <v>4924</v>
      </c>
      <c r="AX726" s="14" t="str">
        <f t="shared" si="202"/>
        <v>AtkExt</v>
      </c>
      <c r="AY726" s="14">
        <f t="shared" si="203"/>
        <v>302</v>
      </c>
      <c r="AZ726" s="14" t="str">
        <f t="shared" si="204"/>
        <v>DefExt</v>
      </c>
      <c r="BA726" s="14">
        <f t="shared" si="205"/>
        <v>310</v>
      </c>
      <c r="BB726" s="14" t="str">
        <f t="shared" si="206"/>
        <v>HPExt</v>
      </c>
      <c r="BC726" s="14">
        <f t="shared" si="207"/>
        <v>314</v>
      </c>
      <c r="BD726" s="14" t="str">
        <f t="shared" si="208"/>
        <v/>
      </c>
      <c r="BE726" s="14" t="str">
        <f t="shared" si="209"/>
        <v/>
      </c>
    </row>
    <row r="727" spans="39:57" ht="16.5" x14ac:dyDescent="0.2">
      <c r="AM727" s="13">
        <v>722</v>
      </c>
      <c r="AN727" s="14">
        <f t="shared" si="210"/>
        <v>40</v>
      </c>
      <c r="AO727" s="29">
        <f t="shared" si="194"/>
        <v>0.34799999999999998</v>
      </c>
      <c r="AP727" s="14">
        <f t="shared" si="195"/>
        <v>1</v>
      </c>
      <c r="AQ727" s="14">
        <f t="shared" si="196"/>
        <v>2</v>
      </c>
      <c r="AR727" s="14">
        <f t="shared" si="197"/>
        <v>3</v>
      </c>
      <c r="AS727" s="14">
        <f t="shared" si="198"/>
        <v>1606042</v>
      </c>
      <c r="AT727" s="14" t="str">
        <f t="shared" si="199"/>
        <v>神器-7-碎片-6-5级</v>
      </c>
      <c r="AU727" s="13" t="s">
        <v>1195</v>
      </c>
      <c r="AV727" s="13">
        <f t="shared" si="200"/>
        <v>5</v>
      </c>
      <c r="AW727" s="14">
        <f t="shared" si="201"/>
        <v>6126</v>
      </c>
      <c r="AX727" s="14" t="str">
        <f t="shared" si="202"/>
        <v>AtkExt</v>
      </c>
      <c r="AY727" s="14">
        <f t="shared" si="203"/>
        <v>375</v>
      </c>
      <c r="AZ727" s="14" t="str">
        <f t="shared" si="204"/>
        <v>DefExt</v>
      </c>
      <c r="BA727" s="14">
        <f t="shared" si="205"/>
        <v>386</v>
      </c>
      <c r="BB727" s="14" t="str">
        <f t="shared" si="206"/>
        <v>HPExt</v>
      </c>
      <c r="BC727" s="14">
        <f t="shared" si="207"/>
        <v>391</v>
      </c>
      <c r="BD727" s="14" t="str">
        <f t="shared" si="208"/>
        <v/>
      </c>
      <c r="BE727" s="14" t="str">
        <f t="shared" si="209"/>
        <v/>
      </c>
    </row>
    <row r="728" spans="39:57" ht="16.5" x14ac:dyDescent="0.2">
      <c r="AM728" s="13">
        <v>723</v>
      </c>
      <c r="AN728" s="14">
        <f t="shared" si="210"/>
        <v>40</v>
      </c>
      <c r="AO728" s="29">
        <f t="shared" si="194"/>
        <v>0.42000000000000004</v>
      </c>
      <c r="AP728" s="14">
        <f t="shared" si="195"/>
        <v>1</v>
      </c>
      <c r="AQ728" s="14">
        <f t="shared" si="196"/>
        <v>2</v>
      </c>
      <c r="AR728" s="14">
        <f t="shared" si="197"/>
        <v>3</v>
      </c>
      <c r="AS728" s="14">
        <f t="shared" si="198"/>
        <v>1606042</v>
      </c>
      <c r="AT728" s="14" t="str">
        <f t="shared" si="199"/>
        <v>神器-7-碎片-6-6级</v>
      </c>
      <c r="AU728" s="13" t="s">
        <v>1195</v>
      </c>
      <c r="AV728" s="13">
        <f t="shared" si="200"/>
        <v>6</v>
      </c>
      <c r="AW728" s="14">
        <f t="shared" si="201"/>
        <v>7397</v>
      </c>
      <c r="AX728" s="14" t="str">
        <f t="shared" si="202"/>
        <v>AtkExt</v>
      </c>
      <c r="AY728" s="14">
        <f t="shared" si="203"/>
        <v>453</v>
      </c>
      <c r="AZ728" s="14" t="str">
        <f t="shared" si="204"/>
        <v>DefExt</v>
      </c>
      <c r="BA728" s="14">
        <f t="shared" si="205"/>
        <v>466</v>
      </c>
      <c r="BB728" s="14" t="str">
        <f t="shared" si="206"/>
        <v>HPExt</v>
      </c>
      <c r="BC728" s="14">
        <f t="shared" si="207"/>
        <v>472</v>
      </c>
      <c r="BD728" s="14" t="str">
        <f t="shared" si="208"/>
        <v/>
      </c>
      <c r="BE728" s="14" t="str">
        <f t="shared" si="209"/>
        <v/>
      </c>
    </row>
    <row r="729" spans="39:57" ht="16.5" x14ac:dyDescent="0.2">
      <c r="AM729" s="13">
        <v>724</v>
      </c>
      <c r="AN729" s="14">
        <f t="shared" si="210"/>
        <v>40</v>
      </c>
      <c r="AO729" s="29">
        <f t="shared" si="194"/>
        <v>0.496</v>
      </c>
      <c r="AP729" s="14">
        <f t="shared" si="195"/>
        <v>1</v>
      </c>
      <c r="AQ729" s="14">
        <f t="shared" si="196"/>
        <v>2</v>
      </c>
      <c r="AR729" s="14">
        <f t="shared" si="197"/>
        <v>3</v>
      </c>
      <c r="AS729" s="14">
        <f t="shared" si="198"/>
        <v>1606042</v>
      </c>
      <c r="AT729" s="14" t="str">
        <f t="shared" si="199"/>
        <v>神器-7-碎片-6-7级</v>
      </c>
      <c r="AU729" s="13" t="s">
        <v>1195</v>
      </c>
      <c r="AV729" s="13">
        <f t="shared" si="200"/>
        <v>7</v>
      </c>
      <c r="AW729" s="14">
        <f t="shared" si="201"/>
        <v>8732</v>
      </c>
      <c r="AX729" s="14" t="str">
        <f t="shared" si="202"/>
        <v>AtkExt</v>
      </c>
      <c r="AY729" s="14">
        <f t="shared" si="203"/>
        <v>535</v>
      </c>
      <c r="AZ729" s="14" t="str">
        <f t="shared" si="204"/>
        <v>DefExt</v>
      </c>
      <c r="BA729" s="14">
        <f t="shared" si="205"/>
        <v>550</v>
      </c>
      <c r="BB729" s="14" t="str">
        <f t="shared" si="206"/>
        <v>HPExt</v>
      </c>
      <c r="BC729" s="14">
        <f t="shared" si="207"/>
        <v>557</v>
      </c>
      <c r="BD729" s="14" t="str">
        <f t="shared" si="208"/>
        <v/>
      </c>
      <c r="BE729" s="14" t="str">
        <f t="shared" si="209"/>
        <v/>
      </c>
    </row>
    <row r="730" spans="39:57" ht="16.5" x14ac:dyDescent="0.2">
      <c r="AM730" s="13">
        <v>725</v>
      </c>
      <c r="AN730" s="14">
        <f t="shared" si="210"/>
        <v>40</v>
      </c>
      <c r="AO730" s="29">
        <f t="shared" si="194"/>
        <v>0.57600000000000007</v>
      </c>
      <c r="AP730" s="14">
        <f t="shared" si="195"/>
        <v>1</v>
      </c>
      <c r="AQ730" s="14">
        <f t="shared" si="196"/>
        <v>2</v>
      </c>
      <c r="AR730" s="14">
        <f t="shared" si="197"/>
        <v>3</v>
      </c>
      <c r="AS730" s="14">
        <f t="shared" si="198"/>
        <v>1606042</v>
      </c>
      <c r="AT730" s="14" t="str">
        <f t="shared" si="199"/>
        <v>神器-7-碎片-6-8级</v>
      </c>
      <c r="AU730" s="13" t="s">
        <v>1195</v>
      </c>
      <c r="AV730" s="13">
        <f t="shared" si="200"/>
        <v>8</v>
      </c>
      <c r="AW730" s="14">
        <f t="shared" si="201"/>
        <v>10142</v>
      </c>
      <c r="AX730" s="14" t="str">
        <f t="shared" si="202"/>
        <v>AtkExt</v>
      </c>
      <c r="AY730" s="14">
        <f t="shared" si="203"/>
        <v>621</v>
      </c>
      <c r="AZ730" s="14" t="str">
        <f t="shared" si="204"/>
        <v>DefExt</v>
      </c>
      <c r="BA730" s="14">
        <f t="shared" si="205"/>
        <v>639</v>
      </c>
      <c r="BB730" s="14" t="str">
        <f t="shared" si="206"/>
        <v>HPExt</v>
      </c>
      <c r="BC730" s="14">
        <f t="shared" si="207"/>
        <v>647</v>
      </c>
      <c r="BD730" s="14" t="str">
        <f t="shared" si="208"/>
        <v/>
      </c>
      <c r="BE730" s="14" t="str">
        <f t="shared" si="209"/>
        <v/>
      </c>
    </row>
    <row r="731" spans="39:57" ht="16.5" x14ac:dyDescent="0.2">
      <c r="AM731" s="13">
        <v>726</v>
      </c>
      <c r="AN731" s="14">
        <f t="shared" si="210"/>
        <v>40</v>
      </c>
      <c r="AO731" s="29">
        <f t="shared" si="194"/>
        <v>0.66</v>
      </c>
      <c r="AP731" s="14">
        <f t="shared" si="195"/>
        <v>1</v>
      </c>
      <c r="AQ731" s="14">
        <f t="shared" si="196"/>
        <v>2</v>
      </c>
      <c r="AR731" s="14">
        <f t="shared" si="197"/>
        <v>3</v>
      </c>
      <c r="AS731" s="14">
        <f t="shared" si="198"/>
        <v>1606042</v>
      </c>
      <c r="AT731" s="14" t="str">
        <f t="shared" si="199"/>
        <v>神器-7-碎片-6-9级</v>
      </c>
      <c r="AU731" s="13" t="s">
        <v>1195</v>
      </c>
      <c r="AV731" s="13">
        <f t="shared" si="200"/>
        <v>9</v>
      </c>
      <c r="AW731" s="14">
        <f t="shared" si="201"/>
        <v>11621</v>
      </c>
      <c r="AX731" s="14" t="str">
        <f t="shared" si="202"/>
        <v>AtkExt</v>
      </c>
      <c r="AY731" s="14">
        <f t="shared" si="203"/>
        <v>712</v>
      </c>
      <c r="AZ731" s="14" t="str">
        <f t="shared" si="204"/>
        <v>DefExt</v>
      </c>
      <c r="BA731" s="14">
        <f t="shared" si="205"/>
        <v>732</v>
      </c>
      <c r="BB731" s="14" t="str">
        <f t="shared" si="206"/>
        <v>HPExt</v>
      </c>
      <c r="BC731" s="14">
        <f t="shared" si="207"/>
        <v>741</v>
      </c>
      <c r="BD731" s="14" t="str">
        <f t="shared" si="208"/>
        <v/>
      </c>
      <c r="BE731" s="14" t="str">
        <f t="shared" si="209"/>
        <v/>
      </c>
    </row>
    <row r="732" spans="39:57" ht="16.5" x14ac:dyDescent="0.2">
      <c r="AM732" s="13">
        <v>727</v>
      </c>
      <c r="AN732" s="14">
        <f t="shared" si="210"/>
        <v>40</v>
      </c>
      <c r="AO732" s="29">
        <f t="shared" si="194"/>
        <v>0.748</v>
      </c>
      <c r="AP732" s="14">
        <f t="shared" si="195"/>
        <v>1</v>
      </c>
      <c r="AQ732" s="14">
        <f t="shared" si="196"/>
        <v>2</v>
      </c>
      <c r="AR732" s="14">
        <f t="shared" si="197"/>
        <v>3</v>
      </c>
      <c r="AS732" s="14">
        <f t="shared" si="198"/>
        <v>1606042</v>
      </c>
      <c r="AT732" s="14" t="str">
        <f t="shared" si="199"/>
        <v>神器-7-碎片-6-10级</v>
      </c>
      <c r="AU732" s="13" t="s">
        <v>1195</v>
      </c>
      <c r="AV732" s="13">
        <f t="shared" si="200"/>
        <v>10</v>
      </c>
      <c r="AW732" s="14">
        <f t="shared" si="201"/>
        <v>13165</v>
      </c>
      <c r="AX732" s="14" t="str">
        <f t="shared" si="202"/>
        <v>AtkExt</v>
      </c>
      <c r="AY732" s="14">
        <f t="shared" si="203"/>
        <v>807</v>
      </c>
      <c r="AZ732" s="14" t="str">
        <f t="shared" si="204"/>
        <v>DefExt</v>
      </c>
      <c r="BA732" s="14">
        <f t="shared" si="205"/>
        <v>829</v>
      </c>
      <c r="BB732" s="14" t="str">
        <f t="shared" si="206"/>
        <v>HPExt</v>
      </c>
      <c r="BC732" s="14">
        <f t="shared" si="207"/>
        <v>840</v>
      </c>
      <c r="BD732" s="14" t="str">
        <f t="shared" si="208"/>
        <v/>
      </c>
      <c r="BE732" s="14" t="str">
        <f t="shared" si="209"/>
        <v/>
      </c>
    </row>
    <row r="733" spans="39:57" ht="16.5" x14ac:dyDescent="0.2">
      <c r="AM733" s="13">
        <v>728</v>
      </c>
      <c r="AN733" s="14">
        <f t="shared" si="210"/>
        <v>40</v>
      </c>
      <c r="AO733" s="29">
        <f t="shared" si="194"/>
        <v>0.84000000000000008</v>
      </c>
      <c r="AP733" s="14">
        <f t="shared" si="195"/>
        <v>1</v>
      </c>
      <c r="AQ733" s="14">
        <f t="shared" si="196"/>
        <v>2</v>
      </c>
      <c r="AR733" s="14">
        <f t="shared" si="197"/>
        <v>3</v>
      </c>
      <c r="AS733" s="14">
        <f t="shared" si="198"/>
        <v>1606042</v>
      </c>
      <c r="AT733" s="14" t="str">
        <f t="shared" si="199"/>
        <v>神器-7-碎片-6-11级</v>
      </c>
      <c r="AU733" s="13" t="s">
        <v>1195</v>
      </c>
      <c r="AV733" s="13">
        <f t="shared" si="200"/>
        <v>11</v>
      </c>
      <c r="AW733" s="14">
        <f t="shared" si="201"/>
        <v>14783</v>
      </c>
      <c r="AX733" s="14" t="str">
        <f t="shared" si="202"/>
        <v>AtkExt</v>
      </c>
      <c r="AY733" s="14">
        <f t="shared" si="203"/>
        <v>906</v>
      </c>
      <c r="AZ733" s="14" t="str">
        <f t="shared" si="204"/>
        <v>DefExt</v>
      </c>
      <c r="BA733" s="14">
        <f t="shared" si="205"/>
        <v>931</v>
      </c>
      <c r="BB733" s="14" t="str">
        <f t="shared" si="206"/>
        <v>HPExt</v>
      </c>
      <c r="BC733" s="14">
        <f t="shared" si="207"/>
        <v>943</v>
      </c>
      <c r="BD733" s="14" t="str">
        <f t="shared" si="208"/>
        <v/>
      </c>
      <c r="BE733" s="14" t="str">
        <f t="shared" si="209"/>
        <v/>
      </c>
    </row>
    <row r="734" spans="39:57" ht="16.5" x14ac:dyDescent="0.2">
      <c r="AM734" s="13">
        <v>729</v>
      </c>
      <c r="AN734" s="14">
        <f t="shared" si="210"/>
        <v>40</v>
      </c>
      <c r="AO734" s="29">
        <f t="shared" si="194"/>
        <v>0.93600000000000017</v>
      </c>
      <c r="AP734" s="14">
        <f t="shared" si="195"/>
        <v>1</v>
      </c>
      <c r="AQ734" s="14">
        <f t="shared" si="196"/>
        <v>2</v>
      </c>
      <c r="AR734" s="14">
        <f t="shared" si="197"/>
        <v>3</v>
      </c>
      <c r="AS734" s="14">
        <f t="shared" si="198"/>
        <v>1606042</v>
      </c>
      <c r="AT734" s="14" t="str">
        <f t="shared" si="199"/>
        <v>神器-7-碎片-6-12级</v>
      </c>
      <c r="AU734" s="13" t="s">
        <v>1195</v>
      </c>
      <c r="AV734" s="13">
        <f t="shared" si="200"/>
        <v>12</v>
      </c>
      <c r="AW734" s="14">
        <f t="shared" si="201"/>
        <v>16476</v>
      </c>
      <c r="AX734" s="14" t="str">
        <f t="shared" si="202"/>
        <v>AtkExt</v>
      </c>
      <c r="AY734" s="14">
        <f t="shared" si="203"/>
        <v>1009</v>
      </c>
      <c r="AZ734" s="14" t="str">
        <f t="shared" si="204"/>
        <v>DefExt</v>
      </c>
      <c r="BA734" s="14">
        <f t="shared" si="205"/>
        <v>1038</v>
      </c>
      <c r="BB734" s="14" t="str">
        <f t="shared" si="206"/>
        <v>HPExt</v>
      </c>
      <c r="BC734" s="14">
        <f t="shared" si="207"/>
        <v>1051</v>
      </c>
      <c r="BD734" s="14" t="str">
        <f t="shared" si="208"/>
        <v/>
      </c>
      <c r="BE734" s="14" t="str">
        <f t="shared" si="209"/>
        <v/>
      </c>
    </row>
    <row r="735" spans="39:57" ht="16.5" x14ac:dyDescent="0.2">
      <c r="AM735" s="13">
        <v>730</v>
      </c>
      <c r="AN735" s="14">
        <f t="shared" si="210"/>
        <v>40</v>
      </c>
      <c r="AO735" s="29">
        <f t="shared" si="194"/>
        <v>1.036</v>
      </c>
      <c r="AP735" s="14">
        <f t="shared" si="195"/>
        <v>1</v>
      </c>
      <c r="AQ735" s="14">
        <f t="shared" si="196"/>
        <v>2</v>
      </c>
      <c r="AR735" s="14">
        <f t="shared" si="197"/>
        <v>3</v>
      </c>
      <c r="AS735" s="14">
        <f t="shared" si="198"/>
        <v>1606042</v>
      </c>
      <c r="AT735" s="14" t="str">
        <f t="shared" si="199"/>
        <v>神器-7-碎片-6-13级</v>
      </c>
      <c r="AU735" s="13" t="s">
        <v>1195</v>
      </c>
      <c r="AV735" s="13">
        <f t="shared" si="200"/>
        <v>13</v>
      </c>
      <c r="AW735" s="14">
        <f t="shared" si="201"/>
        <v>18238</v>
      </c>
      <c r="AX735" s="14" t="str">
        <f t="shared" si="202"/>
        <v>AtkExt</v>
      </c>
      <c r="AY735" s="14">
        <f t="shared" si="203"/>
        <v>1117</v>
      </c>
      <c r="AZ735" s="14" t="str">
        <f t="shared" si="204"/>
        <v>DefExt</v>
      </c>
      <c r="BA735" s="14">
        <f t="shared" si="205"/>
        <v>1149</v>
      </c>
      <c r="BB735" s="14" t="str">
        <f t="shared" si="206"/>
        <v>HPExt</v>
      </c>
      <c r="BC735" s="14">
        <f t="shared" si="207"/>
        <v>1163</v>
      </c>
      <c r="BD735" s="14" t="str">
        <f t="shared" si="208"/>
        <v/>
      </c>
      <c r="BE735" s="14" t="str">
        <f t="shared" si="209"/>
        <v/>
      </c>
    </row>
    <row r="736" spans="39:57" ht="16.5" x14ac:dyDescent="0.2">
      <c r="AM736" s="13">
        <v>731</v>
      </c>
      <c r="AN736" s="14">
        <f t="shared" si="210"/>
        <v>40</v>
      </c>
      <c r="AO736" s="29">
        <f t="shared" si="194"/>
        <v>1.1400000000000001</v>
      </c>
      <c r="AP736" s="14">
        <f t="shared" si="195"/>
        <v>1</v>
      </c>
      <c r="AQ736" s="14">
        <f t="shared" si="196"/>
        <v>2</v>
      </c>
      <c r="AR736" s="14">
        <f t="shared" si="197"/>
        <v>3</v>
      </c>
      <c r="AS736" s="14">
        <f t="shared" si="198"/>
        <v>1606042</v>
      </c>
      <c r="AT736" s="14" t="str">
        <f t="shared" si="199"/>
        <v>神器-7-碎片-6-14级</v>
      </c>
      <c r="AU736" s="13" t="s">
        <v>1195</v>
      </c>
      <c r="AV736" s="13">
        <f t="shared" si="200"/>
        <v>14</v>
      </c>
      <c r="AW736" s="14">
        <f t="shared" si="201"/>
        <v>20065</v>
      </c>
      <c r="AX736" s="14" t="str">
        <f t="shared" si="202"/>
        <v>AtkExt</v>
      </c>
      <c r="AY736" s="14">
        <f t="shared" si="203"/>
        <v>1229</v>
      </c>
      <c r="AZ736" s="14" t="str">
        <f t="shared" si="204"/>
        <v>DefExt</v>
      </c>
      <c r="BA736" s="14">
        <f t="shared" si="205"/>
        <v>1264</v>
      </c>
      <c r="BB736" s="14" t="str">
        <f t="shared" si="206"/>
        <v>HPExt</v>
      </c>
      <c r="BC736" s="14">
        <f t="shared" si="207"/>
        <v>1280</v>
      </c>
      <c r="BD736" s="14" t="str">
        <f t="shared" si="208"/>
        <v/>
      </c>
      <c r="BE736" s="14" t="str">
        <f t="shared" si="209"/>
        <v/>
      </c>
    </row>
    <row r="737" spans="39:57" ht="16.5" x14ac:dyDescent="0.2">
      <c r="AM737" s="13">
        <v>732</v>
      </c>
      <c r="AN737" s="14">
        <f t="shared" si="210"/>
        <v>40</v>
      </c>
      <c r="AO737" s="29">
        <f t="shared" si="194"/>
        <v>1.248</v>
      </c>
      <c r="AP737" s="14">
        <f t="shared" si="195"/>
        <v>1</v>
      </c>
      <c r="AQ737" s="14">
        <f t="shared" si="196"/>
        <v>2</v>
      </c>
      <c r="AR737" s="14">
        <f t="shared" si="197"/>
        <v>3</v>
      </c>
      <c r="AS737" s="14">
        <f t="shared" si="198"/>
        <v>1606042</v>
      </c>
      <c r="AT737" s="14" t="str">
        <f t="shared" si="199"/>
        <v>神器-7-碎片-6-15级</v>
      </c>
      <c r="AU737" s="13" t="s">
        <v>1195</v>
      </c>
      <c r="AV737" s="13">
        <f t="shared" si="200"/>
        <v>15</v>
      </c>
      <c r="AW737" s="14">
        <f t="shared" si="201"/>
        <v>21971</v>
      </c>
      <c r="AX737" s="14" t="str">
        <f t="shared" si="202"/>
        <v>AtkExt</v>
      </c>
      <c r="AY737" s="14">
        <f t="shared" si="203"/>
        <v>1346</v>
      </c>
      <c r="AZ737" s="14" t="str">
        <f t="shared" si="204"/>
        <v>DefExt</v>
      </c>
      <c r="BA737" s="14">
        <f t="shared" si="205"/>
        <v>1384</v>
      </c>
      <c r="BB737" s="14" t="str">
        <f t="shared" si="206"/>
        <v>HPExt</v>
      </c>
      <c r="BC737" s="14">
        <f t="shared" si="207"/>
        <v>1401</v>
      </c>
      <c r="BD737" s="14" t="str">
        <f t="shared" si="208"/>
        <v/>
      </c>
      <c r="BE737" s="14" t="str">
        <f t="shared" si="209"/>
        <v/>
      </c>
    </row>
    <row r="738" spans="39:57" ht="16.5" x14ac:dyDescent="0.2">
      <c r="AM738" s="13">
        <v>733</v>
      </c>
      <c r="AN738" s="14">
        <f t="shared" ref="AN738:AN785" si="211">MATCH(AM738-1,$AI$6:$AI$48,1)</f>
        <v>40</v>
      </c>
      <c r="AO738" s="29">
        <f t="shared" si="194"/>
        <v>1.36</v>
      </c>
      <c r="AP738" s="14">
        <f t="shared" si="195"/>
        <v>1</v>
      </c>
      <c r="AQ738" s="14">
        <f t="shared" si="196"/>
        <v>2</v>
      </c>
      <c r="AR738" s="14">
        <f t="shared" si="197"/>
        <v>3</v>
      </c>
      <c r="AS738" s="14">
        <f t="shared" si="198"/>
        <v>1606042</v>
      </c>
      <c r="AT738" s="14" t="str">
        <f t="shared" si="199"/>
        <v>神器-7-碎片-6-16级</v>
      </c>
      <c r="AU738" s="13" t="s">
        <v>1195</v>
      </c>
      <c r="AV738" s="13">
        <f t="shared" si="200"/>
        <v>16</v>
      </c>
      <c r="AW738" s="14">
        <f t="shared" si="201"/>
        <v>23937</v>
      </c>
      <c r="AX738" s="14" t="str">
        <f t="shared" si="202"/>
        <v>AtkExt</v>
      </c>
      <c r="AY738" s="14">
        <f t="shared" si="203"/>
        <v>1466</v>
      </c>
      <c r="AZ738" s="14" t="str">
        <f t="shared" si="204"/>
        <v>DefExt</v>
      </c>
      <c r="BA738" s="14">
        <f t="shared" si="205"/>
        <v>1508</v>
      </c>
      <c r="BB738" s="14" t="str">
        <f t="shared" si="206"/>
        <v>HPExt</v>
      </c>
      <c r="BC738" s="14">
        <f t="shared" si="207"/>
        <v>1527</v>
      </c>
      <c r="BD738" s="14" t="str">
        <f t="shared" si="208"/>
        <v/>
      </c>
      <c r="BE738" s="14" t="str">
        <f t="shared" si="209"/>
        <v/>
      </c>
    </row>
    <row r="739" spans="39:57" ht="16.5" x14ac:dyDescent="0.2">
      <c r="AM739" s="13">
        <v>734</v>
      </c>
      <c r="AN739" s="14">
        <f t="shared" si="211"/>
        <v>40</v>
      </c>
      <c r="AO739" s="29">
        <f t="shared" si="194"/>
        <v>1.476</v>
      </c>
      <c r="AP739" s="14">
        <f t="shared" si="195"/>
        <v>1</v>
      </c>
      <c r="AQ739" s="14">
        <f t="shared" si="196"/>
        <v>2</v>
      </c>
      <c r="AR739" s="14">
        <f t="shared" si="197"/>
        <v>3</v>
      </c>
      <c r="AS739" s="14">
        <f t="shared" si="198"/>
        <v>1606042</v>
      </c>
      <c r="AT739" s="14" t="str">
        <f t="shared" si="199"/>
        <v>神器-7-碎片-6-17级</v>
      </c>
      <c r="AU739" s="13" t="s">
        <v>1195</v>
      </c>
      <c r="AV739" s="13">
        <f t="shared" si="200"/>
        <v>17</v>
      </c>
      <c r="AW739" s="14">
        <f t="shared" si="201"/>
        <v>25972</v>
      </c>
      <c r="AX739" s="14" t="str">
        <f t="shared" si="202"/>
        <v>AtkExt</v>
      </c>
      <c r="AY739" s="14">
        <f t="shared" si="203"/>
        <v>1591</v>
      </c>
      <c r="AZ739" s="14" t="str">
        <f t="shared" si="204"/>
        <v>DefExt</v>
      </c>
      <c r="BA739" s="14">
        <f t="shared" si="205"/>
        <v>1636</v>
      </c>
      <c r="BB739" s="14" t="str">
        <f t="shared" si="206"/>
        <v>HPExt</v>
      </c>
      <c r="BC739" s="14">
        <f t="shared" si="207"/>
        <v>1657</v>
      </c>
      <c r="BD739" s="14" t="str">
        <f t="shared" si="208"/>
        <v/>
      </c>
      <c r="BE739" s="14" t="str">
        <f t="shared" si="209"/>
        <v/>
      </c>
    </row>
    <row r="740" spans="39:57" ht="16.5" x14ac:dyDescent="0.2">
      <c r="AM740" s="13">
        <v>735</v>
      </c>
      <c r="AN740" s="14">
        <f t="shared" si="211"/>
        <v>40</v>
      </c>
      <c r="AO740" s="29">
        <f t="shared" si="194"/>
        <v>1.5960000000000001</v>
      </c>
      <c r="AP740" s="14">
        <f t="shared" si="195"/>
        <v>1</v>
      </c>
      <c r="AQ740" s="14">
        <f t="shared" si="196"/>
        <v>2</v>
      </c>
      <c r="AR740" s="14">
        <f t="shared" si="197"/>
        <v>3</v>
      </c>
      <c r="AS740" s="14">
        <f t="shared" si="198"/>
        <v>1606042</v>
      </c>
      <c r="AT740" s="14" t="str">
        <f t="shared" si="199"/>
        <v>神器-7-碎片-6-18级</v>
      </c>
      <c r="AU740" s="13" t="s">
        <v>1195</v>
      </c>
      <c r="AV740" s="13">
        <f t="shared" si="200"/>
        <v>18</v>
      </c>
      <c r="AW740" s="14">
        <f t="shared" si="201"/>
        <v>28087</v>
      </c>
      <c r="AX740" s="14" t="str">
        <f t="shared" si="202"/>
        <v>AtkExt</v>
      </c>
      <c r="AY740" s="14">
        <f t="shared" si="203"/>
        <v>1721</v>
      </c>
      <c r="AZ740" s="14" t="str">
        <f t="shared" si="204"/>
        <v>DefExt</v>
      </c>
      <c r="BA740" s="14">
        <f t="shared" si="205"/>
        <v>1769</v>
      </c>
      <c r="BB740" s="14" t="str">
        <f t="shared" si="206"/>
        <v>HPExt</v>
      </c>
      <c r="BC740" s="14">
        <f t="shared" si="207"/>
        <v>1792</v>
      </c>
      <c r="BD740" s="14" t="str">
        <f t="shared" si="208"/>
        <v/>
      </c>
      <c r="BE740" s="14" t="str">
        <f t="shared" si="209"/>
        <v/>
      </c>
    </row>
    <row r="741" spans="39:57" ht="16.5" x14ac:dyDescent="0.2">
      <c r="AM741" s="13">
        <v>736</v>
      </c>
      <c r="AN741" s="14">
        <f t="shared" si="211"/>
        <v>40</v>
      </c>
      <c r="AO741" s="29">
        <f t="shared" si="194"/>
        <v>1.7200000000000002</v>
      </c>
      <c r="AP741" s="14">
        <f t="shared" si="195"/>
        <v>1</v>
      </c>
      <c r="AQ741" s="14">
        <f t="shared" si="196"/>
        <v>2</v>
      </c>
      <c r="AR741" s="14">
        <f t="shared" si="197"/>
        <v>3</v>
      </c>
      <c r="AS741" s="14">
        <f t="shared" si="198"/>
        <v>1606042</v>
      </c>
      <c r="AT741" s="14" t="str">
        <f t="shared" si="199"/>
        <v>神器-7-碎片-6-19级</v>
      </c>
      <c r="AU741" s="13" t="s">
        <v>1195</v>
      </c>
      <c r="AV741" s="13">
        <f t="shared" si="200"/>
        <v>19</v>
      </c>
      <c r="AW741" s="14">
        <f t="shared" si="201"/>
        <v>30276</v>
      </c>
      <c r="AX741" s="14" t="str">
        <f t="shared" si="202"/>
        <v>AtkExt</v>
      </c>
      <c r="AY741" s="14">
        <f t="shared" si="203"/>
        <v>1855</v>
      </c>
      <c r="AZ741" s="14" t="str">
        <f t="shared" si="204"/>
        <v>DefExt</v>
      </c>
      <c r="BA741" s="14">
        <f t="shared" si="205"/>
        <v>1907</v>
      </c>
      <c r="BB741" s="14" t="str">
        <f t="shared" si="206"/>
        <v>HPExt</v>
      </c>
      <c r="BC741" s="14">
        <f t="shared" si="207"/>
        <v>1931</v>
      </c>
      <c r="BD741" s="14" t="str">
        <f t="shared" si="208"/>
        <v/>
      </c>
      <c r="BE741" s="14" t="str">
        <f t="shared" si="209"/>
        <v/>
      </c>
    </row>
    <row r="742" spans="39:57" ht="16.5" x14ac:dyDescent="0.2">
      <c r="AM742" s="13">
        <v>737</v>
      </c>
      <c r="AN742" s="14">
        <f t="shared" si="211"/>
        <v>40</v>
      </c>
      <c r="AO742" s="29">
        <f t="shared" si="194"/>
        <v>1.8480000000000001</v>
      </c>
      <c r="AP742" s="14">
        <f t="shared" si="195"/>
        <v>1</v>
      </c>
      <c r="AQ742" s="14">
        <f t="shared" si="196"/>
        <v>2</v>
      </c>
      <c r="AR742" s="14">
        <f t="shared" si="197"/>
        <v>3</v>
      </c>
      <c r="AS742" s="14">
        <f t="shared" si="198"/>
        <v>1606042</v>
      </c>
      <c r="AT742" s="14" t="str">
        <f t="shared" si="199"/>
        <v>神器-7-碎片-6-20级</v>
      </c>
      <c r="AU742" s="13" t="s">
        <v>1195</v>
      </c>
      <c r="AV742" s="13">
        <f t="shared" si="200"/>
        <v>20</v>
      </c>
      <c r="AW742" s="14">
        <f t="shared" si="201"/>
        <v>32530</v>
      </c>
      <c r="AX742" s="14" t="str">
        <f t="shared" si="202"/>
        <v>AtkExt</v>
      </c>
      <c r="AY742" s="14">
        <f t="shared" si="203"/>
        <v>1993</v>
      </c>
      <c r="AZ742" s="14" t="str">
        <f t="shared" si="204"/>
        <v>DefExt</v>
      </c>
      <c r="BA742" s="14">
        <f t="shared" si="205"/>
        <v>2049</v>
      </c>
      <c r="BB742" s="14" t="str">
        <f t="shared" si="206"/>
        <v>HPExt</v>
      </c>
      <c r="BC742" s="14">
        <f t="shared" si="207"/>
        <v>2075</v>
      </c>
      <c r="BD742" s="14" t="str">
        <f t="shared" si="208"/>
        <v/>
      </c>
      <c r="BE742" s="14" t="str">
        <f t="shared" si="209"/>
        <v/>
      </c>
    </row>
    <row r="743" spans="39:57" ht="16.5" x14ac:dyDescent="0.2">
      <c r="AM743" s="13">
        <v>738</v>
      </c>
      <c r="AN743" s="14">
        <f t="shared" si="211"/>
        <v>40</v>
      </c>
      <c r="AO743" s="29">
        <f t="shared" si="194"/>
        <v>1.98</v>
      </c>
      <c r="AP743" s="14">
        <f t="shared" si="195"/>
        <v>1</v>
      </c>
      <c r="AQ743" s="14">
        <f t="shared" si="196"/>
        <v>2</v>
      </c>
      <c r="AR743" s="14">
        <f t="shared" si="197"/>
        <v>3</v>
      </c>
      <c r="AS743" s="14">
        <f t="shared" si="198"/>
        <v>1606042</v>
      </c>
      <c r="AT743" s="14" t="str">
        <f t="shared" si="199"/>
        <v>神器-7-碎片-6-21级</v>
      </c>
      <c r="AU743" s="13" t="s">
        <v>1195</v>
      </c>
      <c r="AV743" s="13">
        <f t="shared" si="200"/>
        <v>21</v>
      </c>
      <c r="AW743" s="14">
        <f t="shared" si="201"/>
        <v>34848</v>
      </c>
      <c r="AX743" s="14" t="str">
        <f t="shared" si="202"/>
        <v>AtkExt</v>
      </c>
      <c r="AY743" s="14">
        <f t="shared" si="203"/>
        <v>2135</v>
      </c>
      <c r="AZ743" s="14" t="str">
        <f t="shared" si="204"/>
        <v>DefExt</v>
      </c>
      <c r="BA743" s="14">
        <f t="shared" si="205"/>
        <v>2195</v>
      </c>
      <c r="BB743" s="14" t="str">
        <f t="shared" si="206"/>
        <v>HPExt</v>
      </c>
      <c r="BC743" s="14">
        <f t="shared" si="207"/>
        <v>2223</v>
      </c>
      <c r="BD743" s="14" t="str">
        <f t="shared" si="208"/>
        <v/>
      </c>
      <c r="BE743" s="14" t="str">
        <f t="shared" si="209"/>
        <v/>
      </c>
    </row>
    <row r="744" spans="39:57" ht="16.5" x14ac:dyDescent="0.2">
      <c r="AM744" s="13">
        <v>739</v>
      </c>
      <c r="AN744" s="14">
        <f t="shared" si="211"/>
        <v>41</v>
      </c>
      <c r="AO744" s="29">
        <f t="shared" si="194"/>
        <v>0.1</v>
      </c>
      <c r="AP744" s="14">
        <f t="shared" si="195"/>
        <v>1</v>
      </c>
      <c r="AQ744" s="14">
        <f t="shared" si="196"/>
        <v>3</v>
      </c>
      <c r="AR744" s="14">
        <f t="shared" si="197"/>
        <v>0</v>
      </c>
      <c r="AS744" s="14">
        <f t="shared" si="198"/>
        <v>1606043</v>
      </c>
      <c r="AT744" s="14" t="str">
        <f t="shared" si="199"/>
        <v>神器-7-碎片-7-1级</v>
      </c>
      <c r="AU744" s="13" t="s">
        <v>1195</v>
      </c>
      <c r="AV744" s="13">
        <f t="shared" si="200"/>
        <v>1</v>
      </c>
      <c r="AW744" s="14">
        <f t="shared" si="201"/>
        <v>2052</v>
      </c>
      <c r="AX744" s="14" t="str">
        <f t="shared" si="202"/>
        <v>AtkExt</v>
      </c>
      <c r="AY744" s="14">
        <f t="shared" si="203"/>
        <v>323</v>
      </c>
      <c r="AZ744" s="14" t="str">
        <f t="shared" si="204"/>
        <v>HPExt</v>
      </c>
      <c r="BA744" s="14">
        <f t="shared" si="205"/>
        <v>337</v>
      </c>
      <c r="BB744" s="14" t="str">
        <f t="shared" si="206"/>
        <v/>
      </c>
      <c r="BC744" s="14" t="str">
        <f t="shared" si="207"/>
        <v/>
      </c>
      <c r="BD744" s="14" t="str">
        <f t="shared" si="208"/>
        <v>Speed</v>
      </c>
      <c r="BE744" s="14">
        <f t="shared" si="209"/>
        <v>1</v>
      </c>
    </row>
    <row r="745" spans="39:57" ht="16.5" x14ac:dyDescent="0.2">
      <c r="AM745" s="13">
        <v>740</v>
      </c>
      <c r="AN745" s="14">
        <f t="shared" si="211"/>
        <v>41</v>
      </c>
      <c r="AO745" s="29">
        <f t="shared" si="194"/>
        <v>0.15600000000000003</v>
      </c>
      <c r="AP745" s="14">
        <f t="shared" si="195"/>
        <v>1</v>
      </c>
      <c r="AQ745" s="14">
        <f t="shared" si="196"/>
        <v>3</v>
      </c>
      <c r="AR745" s="14">
        <f t="shared" si="197"/>
        <v>0</v>
      </c>
      <c r="AS745" s="14">
        <f t="shared" si="198"/>
        <v>1606043</v>
      </c>
      <c r="AT745" s="14" t="str">
        <f t="shared" si="199"/>
        <v>神器-7-碎片-7-2级</v>
      </c>
      <c r="AU745" s="13" t="s">
        <v>1195</v>
      </c>
      <c r="AV745" s="13">
        <f t="shared" si="200"/>
        <v>2</v>
      </c>
      <c r="AW745" s="14">
        <f t="shared" si="201"/>
        <v>3250</v>
      </c>
      <c r="AX745" s="14" t="str">
        <f t="shared" si="202"/>
        <v>AtkExt</v>
      </c>
      <c r="AY745" s="14">
        <f t="shared" si="203"/>
        <v>505</v>
      </c>
      <c r="AZ745" s="14" t="str">
        <f t="shared" si="204"/>
        <v>HPExt</v>
      </c>
      <c r="BA745" s="14">
        <f t="shared" si="205"/>
        <v>525</v>
      </c>
      <c r="BB745" s="14" t="str">
        <f t="shared" si="206"/>
        <v/>
      </c>
      <c r="BC745" s="14" t="str">
        <f t="shared" si="207"/>
        <v/>
      </c>
      <c r="BD745" s="14" t="str">
        <f t="shared" si="208"/>
        <v>Speed</v>
      </c>
      <c r="BE745" s="14">
        <f t="shared" si="209"/>
        <v>2</v>
      </c>
    </row>
    <row r="746" spans="39:57" ht="16.5" x14ac:dyDescent="0.2">
      <c r="AM746" s="13">
        <v>741</v>
      </c>
      <c r="AN746" s="14">
        <f t="shared" si="211"/>
        <v>41</v>
      </c>
      <c r="AO746" s="29">
        <f t="shared" si="194"/>
        <v>0.21600000000000003</v>
      </c>
      <c r="AP746" s="14">
        <f t="shared" si="195"/>
        <v>1</v>
      </c>
      <c r="AQ746" s="14">
        <f t="shared" si="196"/>
        <v>3</v>
      </c>
      <c r="AR746" s="14">
        <f t="shared" si="197"/>
        <v>0</v>
      </c>
      <c r="AS746" s="14">
        <f t="shared" si="198"/>
        <v>1606043</v>
      </c>
      <c r="AT746" s="14" t="str">
        <f t="shared" si="199"/>
        <v>神器-7-碎片-7-3级</v>
      </c>
      <c r="AU746" s="13" t="s">
        <v>1195</v>
      </c>
      <c r="AV746" s="13">
        <f t="shared" si="200"/>
        <v>3</v>
      </c>
      <c r="AW746" s="14">
        <f t="shared" si="201"/>
        <v>4523</v>
      </c>
      <c r="AX746" s="14" t="str">
        <f t="shared" si="202"/>
        <v>AtkExt</v>
      </c>
      <c r="AY746" s="14">
        <f t="shared" si="203"/>
        <v>699</v>
      </c>
      <c r="AZ746" s="14" t="str">
        <f t="shared" si="204"/>
        <v>HPExt</v>
      </c>
      <c r="BA746" s="14">
        <f t="shared" si="205"/>
        <v>728</v>
      </c>
      <c r="BB746" s="14" t="str">
        <f t="shared" si="206"/>
        <v/>
      </c>
      <c r="BC746" s="14" t="str">
        <f t="shared" si="207"/>
        <v/>
      </c>
      <c r="BD746" s="14" t="str">
        <f t="shared" si="208"/>
        <v>Speed</v>
      </c>
      <c r="BE746" s="14">
        <f t="shared" si="209"/>
        <v>3</v>
      </c>
    </row>
    <row r="747" spans="39:57" ht="16.5" x14ac:dyDescent="0.2">
      <c r="AM747" s="13">
        <v>742</v>
      </c>
      <c r="AN747" s="14">
        <f t="shared" si="211"/>
        <v>41</v>
      </c>
      <c r="AO747" s="29">
        <f t="shared" si="194"/>
        <v>0.28000000000000003</v>
      </c>
      <c r="AP747" s="14">
        <f t="shared" si="195"/>
        <v>1</v>
      </c>
      <c r="AQ747" s="14">
        <f t="shared" si="196"/>
        <v>3</v>
      </c>
      <c r="AR747" s="14">
        <f t="shared" si="197"/>
        <v>0</v>
      </c>
      <c r="AS747" s="14">
        <f t="shared" si="198"/>
        <v>1606043</v>
      </c>
      <c r="AT747" s="14" t="str">
        <f t="shared" si="199"/>
        <v>神器-7-碎片-7-4级</v>
      </c>
      <c r="AU747" s="13" t="s">
        <v>1195</v>
      </c>
      <c r="AV747" s="13">
        <f t="shared" si="200"/>
        <v>4</v>
      </c>
      <c r="AW747" s="14">
        <f t="shared" si="201"/>
        <v>5873</v>
      </c>
      <c r="AX747" s="14" t="str">
        <f t="shared" si="202"/>
        <v>AtkExt</v>
      </c>
      <c r="AY747" s="14">
        <f t="shared" si="203"/>
        <v>906</v>
      </c>
      <c r="AZ747" s="14" t="str">
        <f t="shared" si="204"/>
        <v>HPExt</v>
      </c>
      <c r="BA747" s="14">
        <f t="shared" si="205"/>
        <v>943</v>
      </c>
      <c r="BB747" s="14" t="str">
        <f t="shared" si="206"/>
        <v/>
      </c>
      <c r="BC747" s="14" t="str">
        <f t="shared" si="207"/>
        <v/>
      </c>
      <c r="BD747" s="14" t="str">
        <f t="shared" si="208"/>
        <v>Speed</v>
      </c>
      <c r="BE747" s="14">
        <f t="shared" si="209"/>
        <v>4</v>
      </c>
    </row>
    <row r="748" spans="39:57" ht="16.5" x14ac:dyDescent="0.2">
      <c r="AM748" s="13">
        <v>743</v>
      </c>
      <c r="AN748" s="14">
        <f t="shared" si="211"/>
        <v>41</v>
      </c>
      <c r="AO748" s="29">
        <f t="shared" si="194"/>
        <v>0.34799999999999998</v>
      </c>
      <c r="AP748" s="14">
        <f t="shared" si="195"/>
        <v>1</v>
      </c>
      <c r="AQ748" s="14">
        <f t="shared" si="196"/>
        <v>3</v>
      </c>
      <c r="AR748" s="14">
        <f t="shared" si="197"/>
        <v>0</v>
      </c>
      <c r="AS748" s="14">
        <f t="shared" si="198"/>
        <v>1606043</v>
      </c>
      <c r="AT748" s="14" t="str">
        <f t="shared" si="199"/>
        <v>神器-7-碎片-7-5级</v>
      </c>
      <c r="AU748" s="13" t="s">
        <v>1195</v>
      </c>
      <c r="AV748" s="13">
        <f t="shared" si="200"/>
        <v>5</v>
      </c>
      <c r="AW748" s="14">
        <f t="shared" si="201"/>
        <v>7302</v>
      </c>
      <c r="AX748" s="14" t="str">
        <f t="shared" si="202"/>
        <v>AtkExt</v>
      </c>
      <c r="AY748" s="14">
        <f t="shared" si="203"/>
        <v>1126</v>
      </c>
      <c r="AZ748" s="14" t="str">
        <f t="shared" si="204"/>
        <v>HPExt</v>
      </c>
      <c r="BA748" s="14">
        <f t="shared" si="205"/>
        <v>1172</v>
      </c>
      <c r="BB748" s="14" t="str">
        <f t="shared" si="206"/>
        <v/>
      </c>
      <c r="BC748" s="14" t="str">
        <f t="shared" si="207"/>
        <v/>
      </c>
      <c r="BD748" s="14" t="str">
        <f t="shared" si="208"/>
        <v>Speed</v>
      </c>
      <c r="BE748" s="14">
        <f t="shared" si="209"/>
        <v>5</v>
      </c>
    </row>
    <row r="749" spans="39:57" ht="16.5" x14ac:dyDescent="0.2">
      <c r="AM749" s="13">
        <v>744</v>
      </c>
      <c r="AN749" s="14">
        <f t="shared" si="211"/>
        <v>41</v>
      </c>
      <c r="AO749" s="29">
        <f t="shared" si="194"/>
        <v>0.42000000000000004</v>
      </c>
      <c r="AP749" s="14">
        <f t="shared" si="195"/>
        <v>1</v>
      </c>
      <c r="AQ749" s="14">
        <f t="shared" si="196"/>
        <v>3</v>
      </c>
      <c r="AR749" s="14">
        <f t="shared" si="197"/>
        <v>0</v>
      </c>
      <c r="AS749" s="14">
        <f t="shared" si="198"/>
        <v>1606043</v>
      </c>
      <c r="AT749" s="14" t="str">
        <f t="shared" si="199"/>
        <v>神器-7-碎片-7-6级</v>
      </c>
      <c r="AU749" s="13" t="s">
        <v>1195</v>
      </c>
      <c r="AV749" s="13">
        <f t="shared" si="200"/>
        <v>6</v>
      </c>
      <c r="AW749" s="14">
        <f t="shared" si="201"/>
        <v>8810</v>
      </c>
      <c r="AX749" s="14" t="str">
        <f t="shared" si="202"/>
        <v>AtkExt</v>
      </c>
      <c r="AY749" s="14">
        <f t="shared" si="203"/>
        <v>1359</v>
      </c>
      <c r="AZ749" s="14" t="str">
        <f t="shared" si="204"/>
        <v>HPExt</v>
      </c>
      <c r="BA749" s="14">
        <f t="shared" si="205"/>
        <v>1415</v>
      </c>
      <c r="BB749" s="14" t="str">
        <f t="shared" si="206"/>
        <v/>
      </c>
      <c r="BC749" s="14" t="str">
        <f t="shared" si="207"/>
        <v/>
      </c>
      <c r="BD749" s="14" t="str">
        <f t="shared" si="208"/>
        <v>Speed</v>
      </c>
      <c r="BE749" s="14">
        <f t="shared" si="209"/>
        <v>6</v>
      </c>
    </row>
    <row r="750" spans="39:57" ht="16.5" x14ac:dyDescent="0.2">
      <c r="AM750" s="13">
        <v>745</v>
      </c>
      <c r="AN750" s="14">
        <f t="shared" si="211"/>
        <v>41</v>
      </c>
      <c r="AO750" s="29">
        <f t="shared" si="194"/>
        <v>0.496</v>
      </c>
      <c r="AP750" s="14">
        <f t="shared" si="195"/>
        <v>1</v>
      </c>
      <c r="AQ750" s="14">
        <f t="shared" si="196"/>
        <v>3</v>
      </c>
      <c r="AR750" s="14">
        <f t="shared" si="197"/>
        <v>0</v>
      </c>
      <c r="AS750" s="14">
        <f t="shared" si="198"/>
        <v>1606043</v>
      </c>
      <c r="AT750" s="14" t="str">
        <f t="shared" si="199"/>
        <v>神器-7-碎片-7-7级</v>
      </c>
      <c r="AU750" s="13" t="s">
        <v>1195</v>
      </c>
      <c r="AV750" s="13">
        <f t="shared" si="200"/>
        <v>7</v>
      </c>
      <c r="AW750" s="14">
        <f t="shared" si="201"/>
        <v>10391</v>
      </c>
      <c r="AX750" s="14" t="str">
        <f t="shared" si="202"/>
        <v>AtkExt</v>
      </c>
      <c r="AY750" s="14">
        <f t="shared" si="203"/>
        <v>1604</v>
      </c>
      <c r="AZ750" s="14" t="str">
        <f t="shared" si="204"/>
        <v>HPExt</v>
      </c>
      <c r="BA750" s="14">
        <f t="shared" si="205"/>
        <v>1671</v>
      </c>
      <c r="BB750" s="14" t="str">
        <f t="shared" si="206"/>
        <v/>
      </c>
      <c r="BC750" s="14" t="str">
        <f t="shared" si="207"/>
        <v/>
      </c>
      <c r="BD750" s="14" t="str">
        <f t="shared" si="208"/>
        <v>Speed</v>
      </c>
      <c r="BE750" s="14">
        <f t="shared" si="209"/>
        <v>7</v>
      </c>
    </row>
    <row r="751" spans="39:57" ht="16.5" x14ac:dyDescent="0.2">
      <c r="AM751" s="13">
        <v>746</v>
      </c>
      <c r="AN751" s="14">
        <f t="shared" si="211"/>
        <v>41</v>
      </c>
      <c r="AO751" s="29">
        <f t="shared" si="194"/>
        <v>0.57600000000000007</v>
      </c>
      <c r="AP751" s="14">
        <f t="shared" si="195"/>
        <v>1</v>
      </c>
      <c r="AQ751" s="14">
        <f t="shared" si="196"/>
        <v>3</v>
      </c>
      <c r="AR751" s="14">
        <f t="shared" si="197"/>
        <v>0</v>
      </c>
      <c r="AS751" s="14">
        <f t="shared" si="198"/>
        <v>1606043</v>
      </c>
      <c r="AT751" s="14" t="str">
        <f t="shared" si="199"/>
        <v>神器-7-碎片-7-8级</v>
      </c>
      <c r="AU751" s="13" t="s">
        <v>1195</v>
      </c>
      <c r="AV751" s="13">
        <f t="shared" si="200"/>
        <v>8</v>
      </c>
      <c r="AW751" s="14">
        <f t="shared" si="201"/>
        <v>12055</v>
      </c>
      <c r="AX751" s="14" t="str">
        <f t="shared" si="202"/>
        <v>AtkExt</v>
      </c>
      <c r="AY751" s="14">
        <f t="shared" si="203"/>
        <v>1863</v>
      </c>
      <c r="AZ751" s="14" t="str">
        <f t="shared" si="204"/>
        <v>HPExt</v>
      </c>
      <c r="BA751" s="14">
        <f t="shared" si="205"/>
        <v>1940</v>
      </c>
      <c r="BB751" s="14" t="str">
        <f t="shared" si="206"/>
        <v/>
      </c>
      <c r="BC751" s="14" t="str">
        <f t="shared" si="207"/>
        <v/>
      </c>
      <c r="BD751" s="14" t="str">
        <f t="shared" si="208"/>
        <v>Speed</v>
      </c>
      <c r="BE751" s="14">
        <f t="shared" si="209"/>
        <v>8</v>
      </c>
    </row>
    <row r="752" spans="39:57" ht="16.5" x14ac:dyDescent="0.2">
      <c r="AM752" s="13">
        <v>747</v>
      </c>
      <c r="AN752" s="14">
        <f t="shared" si="211"/>
        <v>41</v>
      </c>
      <c r="AO752" s="29">
        <f t="shared" si="194"/>
        <v>0.66</v>
      </c>
      <c r="AP752" s="14">
        <f t="shared" si="195"/>
        <v>1</v>
      </c>
      <c r="AQ752" s="14">
        <f t="shared" si="196"/>
        <v>3</v>
      </c>
      <c r="AR752" s="14">
        <f t="shared" si="197"/>
        <v>0</v>
      </c>
      <c r="AS752" s="14">
        <f t="shared" si="198"/>
        <v>1606043</v>
      </c>
      <c r="AT752" s="14" t="str">
        <f t="shared" si="199"/>
        <v>神器-7-碎片-7-9级</v>
      </c>
      <c r="AU752" s="13" t="s">
        <v>1195</v>
      </c>
      <c r="AV752" s="13">
        <f t="shared" si="200"/>
        <v>9</v>
      </c>
      <c r="AW752" s="14">
        <f t="shared" si="201"/>
        <v>13798</v>
      </c>
      <c r="AX752" s="14" t="str">
        <f t="shared" si="202"/>
        <v>AtkExt</v>
      </c>
      <c r="AY752" s="14">
        <f t="shared" si="203"/>
        <v>2135</v>
      </c>
      <c r="AZ752" s="14" t="str">
        <f t="shared" si="204"/>
        <v>HPExt</v>
      </c>
      <c r="BA752" s="14">
        <f t="shared" si="205"/>
        <v>2223</v>
      </c>
      <c r="BB752" s="14" t="str">
        <f t="shared" si="206"/>
        <v/>
      </c>
      <c r="BC752" s="14" t="str">
        <f t="shared" si="207"/>
        <v/>
      </c>
      <c r="BD752" s="14" t="str">
        <f t="shared" si="208"/>
        <v>Speed</v>
      </c>
      <c r="BE752" s="14">
        <f t="shared" si="209"/>
        <v>9</v>
      </c>
    </row>
    <row r="753" spans="39:57" ht="16.5" x14ac:dyDescent="0.2">
      <c r="AM753" s="13">
        <v>748</v>
      </c>
      <c r="AN753" s="14">
        <f t="shared" si="211"/>
        <v>41</v>
      </c>
      <c r="AO753" s="29">
        <f t="shared" si="194"/>
        <v>0.748</v>
      </c>
      <c r="AP753" s="14">
        <f t="shared" si="195"/>
        <v>1</v>
      </c>
      <c r="AQ753" s="14">
        <f t="shared" si="196"/>
        <v>3</v>
      </c>
      <c r="AR753" s="14">
        <f t="shared" si="197"/>
        <v>0</v>
      </c>
      <c r="AS753" s="14">
        <f t="shared" si="198"/>
        <v>1606043</v>
      </c>
      <c r="AT753" s="14" t="str">
        <f t="shared" si="199"/>
        <v>神器-7-碎片-7-10级</v>
      </c>
      <c r="AU753" s="13" t="s">
        <v>1195</v>
      </c>
      <c r="AV753" s="13">
        <f t="shared" si="200"/>
        <v>10</v>
      </c>
      <c r="AW753" s="14">
        <f t="shared" si="201"/>
        <v>15620</v>
      </c>
      <c r="AX753" s="14" t="str">
        <f t="shared" si="202"/>
        <v>AtkExt</v>
      </c>
      <c r="AY753" s="14">
        <f t="shared" si="203"/>
        <v>2420</v>
      </c>
      <c r="AZ753" s="14" t="str">
        <f t="shared" si="204"/>
        <v>HPExt</v>
      </c>
      <c r="BA753" s="14">
        <f t="shared" si="205"/>
        <v>2520</v>
      </c>
      <c r="BB753" s="14" t="str">
        <f t="shared" si="206"/>
        <v/>
      </c>
      <c r="BC753" s="14" t="str">
        <f t="shared" si="207"/>
        <v/>
      </c>
      <c r="BD753" s="14" t="str">
        <f t="shared" si="208"/>
        <v>Speed</v>
      </c>
      <c r="BE753" s="14">
        <f t="shared" si="209"/>
        <v>10</v>
      </c>
    </row>
    <row r="754" spans="39:57" ht="16.5" x14ac:dyDescent="0.2">
      <c r="AM754" s="13">
        <v>749</v>
      </c>
      <c r="AN754" s="14">
        <f t="shared" si="211"/>
        <v>41</v>
      </c>
      <c r="AO754" s="29">
        <f t="shared" si="194"/>
        <v>0.84000000000000008</v>
      </c>
      <c r="AP754" s="14">
        <f t="shared" si="195"/>
        <v>1</v>
      </c>
      <c r="AQ754" s="14">
        <f t="shared" si="196"/>
        <v>3</v>
      </c>
      <c r="AR754" s="14">
        <f t="shared" si="197"/>
        <v>0</v>
      </c>
      <c r="AS754" s="14">
        <f t="shared" si="198"/>
        <v>1606043</v>
      </c>
      <c r="AT754" s="14" t="str">
        <f t="shared" si="199"/>
        <v>神器-7-碎片-7-11级</v>
      </c>
      <c r="AU754" s="13" t="s">
        <v>1195</v>
      </c>
      <c r="AV754" s="13">
        <f t="shared" si="200"/>
        <v>11</v>
      </c>
      <c r="AW754" s="14">
        <f t="shared" si="201"/>
        <v>17514</v>
      </c>
      <c r="AX754" s="14" t="str">
        <f t="shared" si="202"/>
        <v>AtkExt</v>
      </c>
      <c r="AY754" s="14">
        <f t="shared" si="203"/>
        <v>2717</v>
      </c>
      <c r="AZ754" s="14" t="str">
        <f t="shared" si="204"/>
        <v>HPExt</v>
      </c>
      <c r="BA754" s="14">
        <f t="shared" si="205"/>
        <v>2829</v>
      </c>
      <c r="BB754" s="14" t="str">
        <f t="shared" si="206"/>
        <v/>
      </c>
      <c r="BC754" s="14" t="str">
        <f t="shared" si="207"/>
        <v/>
      </c>
      <c r="BD754" s="14" t="str">
        <f t="shared" si="208"/>
        <v>Speed</v>
      </c>
      <c r="BE754" s="14">
        <f t="shared" si="209"/>
        <v>11</v>
      </c>
    </row>
    <row r="755" spans="39:57" ht="16.5" x14ac:dyDescent="0.2">
      <c r="AM755" s="13">
        <v>750</v>
      </c>
      <c r="AN755" s="14">
        <f t="shared" si="211"/>
        <v>41</v>
      </c>
      <c r="AO755" s="29">
        <f t="shared" si="194"/>
        <v>0.93600000000000017</v>
      </c>
      <c r="AP755" s="14">
        <f t="shared" si="195"/>
        <v>1</v>
      </c>
      <c r="AQ755" s="14">
        <f t="shared" si="196"/>
        <v>3</v>
      </c>
      <c r="AR755" s="14">
        <f t="shared" si="197"/>
        <v>0</v>
      </c>
      <c r="AS755" s="14">
        <f t="shared" si="198"/>
        <v>1606043</v>
      </c>
      <c r="AT755" s="14" t="str">
        <f t="shared" si="199"/>
        <v>神器-7-碎片-7-12级</v>
      </c>
      <c r="AU755" s="13" t="s">
        <v>1195</v>
      </c>
      <c r="AV755" s="13">
        <f t="shared" si="200"/>
        <v>12</v>
      </c>
      <c r="AW755" s="14">
        <f t="shared" si="201"/>
        <v>19493</v>
      </c>
      <c r="AX755" s="14" t="str">
        <f t="shared" si="202"/>
        <v>AtkExt</v>
      </c>
      <c r="AY755" s="14">
        <f t="shared" si="203"/>
        <v>3028</v>
      </c>
      <c r="AZ755" s="14" t="str">
        <f t="shared" si="204"/>
        <v>HPExt</v>
      </c>
      <c r="BA755" s="14">
        <f t="shared" si="205"/>
        <v>3153</v>
      </c>
      <c r="BB755" s="14" t="str">
        <f t="shared" si="206"/>
        <v/>
      </c>
      <c r="BC755" s="14" t="str">
        <f t="shared" si="207"/>
        <v/>
      </c>
      <c r="BD755" s="14" t="str">
        <f t="shared" si="208"/>
        <v>Speed</v>
      </c>
      <c r="BE755" s="14">
        <f t="shared" si="209"/>
        <v>12</v>
      </c>
    </row>
    <row r="756" spans="39:57" ht="16.5" x14ac:dyDescent="0.2">
      <c r="AM756" s="13">
        <v>751</v>
      </c>
      <c r="AN756" s="14">
        <f t="shared" si="211"/>
        <v>41</v>
      </c>
      <c r="AO756" s="29">
        <f t="shared" si="194"/>
        <v>1.036</v>
      </c>
      <c r="AP756" s="14">
        <f t="shared" si="195"/>
        <v>1</v>
      </c>
      <c r="AQ756" s="14">
        <f t="shared" si="196"/>
        <v>3</v>
      </c>
      <c r="AR756" s="14">
        <f t="shared" si="197"/>
        <v>0</v>
      </c>
      <c r="AS756" s="14">
        <f t="shared" si="198"/>
        <v>1606043</v>
      </c>
      <c r="AT756" s="14" t="str">
        <f t="shared" si="199"/>
        <v>神器-7-碎片-7-13级</v>
      </c>
      <c r="AU756" s="13" t="s">
        <v>1195</v>
      </c>
      <c r="AV756" s="13">
        <f t="shared" si="200"/>
        <v>13</v>
      </c>
      <c r="AW756" s="14">
        <f t="shared" si="201"/>
        <v>21545</v>
      </c>
      <c r="AX756" s="14" t="str">
        <f t="shared" si="202"/>
        <v>AtkExt</v>
      </c>
      <c r="AY756" s="14">
        <f t="shared" si="203"/>
        <v>3351</v>
      </c>
      <c r="AZ756" s="14" t="str">
        <f t="shared" si="204"/>
        <v>HPExt</v>
      </c>
      <c r="BA756" s="14">
        <f t="shared" si="205"/>
        <v>3490</v>
      </c>
      <c r="BB756" s="14" t="str">
        <f t="shared" si="206"/>
        <v/>
      </c>
      <c r="BC756" s="14" t="str">
        <f t="shared" si="207"/>
        <v/>
      </c>
      <c r="BD756" s="14" t="str">
        <f t="shared" si="208"/>
        <v>Speed</v>
      </c>
      <c r="BE756" s="14">
        <f t="shared" si="209"/>
        <v>13</v>
      </c>
    </row>
    <row r="757" spans="39:57" ht="16.5" x14ac:dyDescent="0.2">
      <c r="AM757" s="13">
        <v>752</v>
      </c>
      <c r="AN757" s="14">
        <f t="shared" si="211"/>
        <v>41</v>
      </c>
      <c r="AO757" s="29">
        <f t="shared" si="194"/>
        <v>1.1400000000000001</v>
      </c>
      <c r="AP757" s="14">
        <f t="shared" si="195"/>
        <v>1</v>
      </c>
      <c r="AQ757" s="14">
        <f t="shared" si="196"/>
        <v>3</v>
      </c>
      <c r="AR757" s="14">
        <f t="shared" si="197"/>
        <v>0</v>
      </c>
      <c r="AS757" s="14">
        <f t="shared" si="198"/>
        <v>1606043</v>
      </c>
      <c r="AT757" s="14" t="str">
        <f t="shared" si="199"/>
        <v>神器-7-碎片-7-14级</v>
      </c>
      <c r="AU757" s="13" t="s">
        <v>1195</v>
      </c>
      <c r="AV757" s="13">
        <f t="shared" si="200"/>
        <v>14</v>
      </c>
      <c r="AW757" s="14">
        <f t="shared" si="201"/>
        <v>23680</v>
      </c>
      <c r="AX757" s="14" t="str">
        <f t="shared" si="202"/>
        <v>AtkExt</v>
      </c>
      <c r="AY757" s="14">
        <f t="shared" si="203"/>
        <v>3688</v>
      </c>
      <c r="AZ757" s="14" t="str">
        <f t="shared" si="204"/>
        <v>HPExt</v>
      </c>
      <c r="BA757" s="14">
        <f t="shared" si="205"/>
        <v>3840</v>
      </c>
      <c r="BB757" s="14" t="str">
        <f t="shared" si="206"/>
        <v/>
      </c>
      <c r="BC757" s="14" t="str">
        <f t="shared" si="207"/>
        <v/>
      </c>
      <c r="BD757" s="14" t="str">
        <f t="shared" si="208"/>
        <v>Speed</v>
      </c>
      <c r="BE757" s="14">
        <f t="shared" si="209"/>
        <v>14</v>
      </c>
    </row>
    <row r="758" spans="39:57" ht="16.5" x14ac:dyDescent="0.2">
      <c r="AM758" s="13">
        <v>753</v>
      </c>
      <c r="AN758" s="14">
        <f t="shared" si="211"/>
        <v>41</v>
      </c>
      <c r="AO758" s="29">
        <f t="shared" si="194"/>
        <v>1.248</v>
      </c>
      <c r="AP758" s="14">
        <f t="shared" si="195"/>
        <v>1</v>
      </c>
      <c r="AQ758" s="14">
        <f t="shared" si="196"/>
        <v>3</v>
      </c>
      <c r="AR758" s="14">
        <f t="shared" si="197"/>
        <v>0</v>
      </c>
      <c r="AS758" s="14">
        <f t="shared" si="198"/>
        <v>1606043</v>
      </c>
      <c r="AT758" s="14" t="str">
        <f t="shared" si="199"/>
        <v>神器-7-碎片-7-15级</v>
      </c>
      <c r="AU758" s="13" t="s">
        <v>1195</v>
      </c>
      <c r="AV758" s="13">
        <f t="shared" si="200"/>
        <v>15</v>
      </c>
      <c r="AW758" s="14">
        <f t="shared" si="201"/>
        <v>25889</v>
      </c>
      <c r="AX758" s="14" t="str">
        <f t="shared" si="202"/>
        <v>AtkExt</v>
      </c>
      <c r="AY758" s="14">
        <f t="shared" si="203"/>
        <v>4037</v>
      </c>
      <c r="AZ758" s="14" t="str">
        <f t="shared" si="204"/>
        <v>HPExt</v>
      </c>
      <c r="BA758" s="14">
        <f t="shared" si="205"/>
        <v>4204</v>
      </c>
      <c r="BB758" s="14" t="str">
        <f t="shared" si="206"/>
        <v/>
      </c>
      <c r="BC758" s="14" t="str">
        <f t="shared" si="207"/>
        <v/>
      </c>
      <c r="BD758" s="14" t="str">
        <f t="shared" si="208"/>
        <v>Speed</v>
      </c>
      <c r="BE758" s="14">
        <f t="shared" si="209"/>
        <v>15</v>
      </c>
    </row>
    <row r="759" spans="39:57" ht="16.5" x14ac:dyDescent="0.2">
      <c r="AM759" s="13">
        <v>754</v>
      </c>
      <c r="AN759" s="14">
        <f t="shared" si="211"/>
        <v>41</v>
      </c>
      <c r="AO759" s="29">
        <f t="shared" si="194"/>
        <v>1.36</v>
      </c>
      <c r="AP759" s="14">
        <f t="shared" si="195"/>
        <v>1</v>
      </c>
      <c r="AQ759" s="14">
        <f t="shared" si="196"/>
        <v>3</v>
      </c>
      <c r="AR759" s="14">
        <f t="shared" si="197"/>
        <v>0</v>
      </c>
      <c r="AS759" s="14">
        <f t="shared" si="198"/>
        <v>1606043</v>
      </c>
      <c r="AT759" s="14" t="str">
        <f t="shared" si="199"/>
        <v>神器-7-碎片-7-16级</v>
      </c>
      <c r="AU759" s="13" t="s">
        <v>1195</v>
      </c>
      <c r="AV759" s="13">
        <f t="shared" si="200"/>
        <v>16</v>
      </c>
      <c r="AW759" s="14">
        <f t="shared" si="201"/>
        <v>28176</v>
      </c>
      <c r="AX759" s="14" t="str">
        <f t="shared" si="202"/>
        <v>AtkExt</v>
      </c>
      <c r="AY759" s="14">
        <f t="shared" si="203"/>
        <v>4399</v>
      </c>
      <c r="AZ759" s="14" t="str">
        <f t="shared" si="204"/>
        <v>HPExt</v>
      </c>
      <c r="BA759" s="14">
        <f t="shared" si="205"/>
        <v>4581</v>
      </c>
      <c r="BB759" s="14" t="str">
        <f t="shared" si="206"/>
        <v/>
      </c>
      <c r="BC759" s="14" t="str">
        <f t="shared" si="207"/>
        <v/>
      </c>
      <c r="BD759" s="14" t="str">
        <f t="shared" si="208"/>
        <v>Speed</v>
      </c>
      <c r="BE759" s="14">
        <f t="shared" si="209"/>
        <v>16</v>
      </c>
    </row>
    <row r="760" spans="39:57" ht="16.5" x14ac:dyDescent="0.2">
      <c r="AM760" s="13">
        <v>755</v>
      </c>
      <c r="AN760" s="14">
        <f t="shared" si="211"/>
        <v>41</v>
      </c>
      <c r="AO760" s="29">
        <f t="shared" si="194"/>
        <v>1.476</v>
      </c>
      <c r="AP760" s="14">
        <f t="shared" si="195"/>
        <v>1</v>
      </c>
      <c r="AQ760" s="14">
        <f t="shared" si="196"/>
        <v>3</v>
      </c>
      <c r="AR760" s="14">
        <f t="shared" si="197"/>
        <v>0</v>
      </c>
      <c r="AS760" s="14">
        <f t="shared" si="198"/>
        <v>1606043</v>
      </c>
      <c r="AT760" s="14" t="str">
        <f t="shared" si="199"/>
        <v>神器-7-碎片-7-17级</v>
      </c>
      <c r="AU760" s="13" t="s">
        <v>1195</v>
      </c>
      <c r="AV760" s="13">
        <f t="shared" si="200"/>
        <v>17</v>
      </c>
      <c r="AW760" s="14">
        <f t="shared" si="201"/>
        <v>30542</v>
      </c>
      <c r="AX760" s="14" t="str">
        <f t="shared" si="202"/>
        <v>AtkExt</v>
      </c>
      <c r="AY760" s="14">
        <f t="shared" si="203"/>
        <v>4774</v>
      </c>
      <c r="AZ760" s="14" t="str">
        <f t="shared" si="204"/>
        <v>HPExt</v>
      </c>
      <c r="BA760" s="14">
        <f t="shared" si="205"/>
        <v>4972</v>
      </c>
      <c r="BB760" s="14" t="str">
        <f t="shared" si="206"/>
        <v/>
      </c>
      <c r="BC760" s="14" t="str">
        <f t="shared" si="207"/>
        <v/>
      </c>
      <c r="BD760" s="14" t="str">
        <f t="shared" si="208"/>
        <v>Speed</v>
      </c>
      <c r="BE760" s="14">
        <f t="shared" si="209"/>
        <v>17</v>
      </c>
    </row>
    <row r="761" spans="39:57" ht="16.5" x14ac:dyDescent="0.2">
      <c r="AM761" s="13">
        <v>756</v>
      </c>
      <c r="AN761" s="14">
        <f t="shared" si="211"/>
        <v>41</v>
      </c>
      <c r="AO761" s="29">
        <f t="shared" si="194"/>
        <v>1.5960000000000001</v>
      </c>
      <c r="AP761" s="14">
        <f t="shared" si="195"/>
        <v>1</v>
      </c>
      <c r="AQ761" s="14">
        <f t="shared" si="196"/>
        <v>3</v>
      </c>
      <c r="AR761" s="14">
        <f t="shared" si="197"/>
        <v>0</v>
      </c>
      <c r="AS761" s="14">
        <f t="shared" si="198"/>
        <v>1606043</v>
      </c>
      <c r="AT761" s="14" t="str">
        <f t="shared" si="199"/>
        <v>神器-7-碎片-7-18级</v>
      </c>
      <c r="AU761" s="13" t="s">
        <v>1195</v>
      </c>
      <c r="AV761" s="13">
        <f t="shared" si="200"/>
        <v>18</v>
      </c>
      <c r="AW761" s="14">
        <f t="shared" si="201"/>
        <v>32991</v>
      </c>
      <c r="AX761" s="14" t="str">
        <f t="shared" si="202"/>
        <v>AtkExt</v>
      </c>
      <c r="AY761" s="14">
        <f t="shared" si="203"/>
        <v>5163</v>
      </c>
      <c r="AZ761" s="14" t="str">
        <f t="shared" si="204"/>
        <v>HPExt</v>
      </c>
      <c r="BA761" s="14">
        <f t="shared" si="205"/>
        <v>5376</v>
      </c>
      <c r="BB761" s="14" t="str">
        <f t="shared" si="206"/>
        <v/>
      </c>
      <c r="BC761" s="14" t="str">
        <f t="shared" si="207"/>
        <v/>
      </c>
      <c r="BD761" s="14" t="str">
        <f t="shared" si="208"/>
        <v>Speed</v>
      </c>
      <c r="BE761" s="14">
        <f t="shared" si="209"/>
        <v>18</v>
      </c>
    </row>
    <row r="762" spans="39:57" ht="16.5" x14ac:dyDescent="0.2">
      <c r="AM762" s="13">
        <v>757</v>
      </c>
      <c r="AN762" s="14">
        <f t="shared" si="211"/>
        <v>41</v>
      </c>
      <c r="AO762" s="29">
        <f t="shared" si="194"/>
        <v>1.7200000000000002</v>
      </c>
      <c r="AP762" s="14">
        <f t="shared" si="195"/>
        <v>1</v>
      </c>
      <c r="AQ762" s="14">
        <f t="shared" si="196"/>
        <v>3</v>
      </c>
      <c r="AR762" s="14">
        <f t="shared" si="197"/>
        <v>0</v>
      </c>
      <c r="AS762" s="14">
        <f t="shared" si="198"/>
        <v>1606043</v>
      </c>
      <c r="AT762" s="14" t="str">
        <f t="shared" si="199"/>
        <v>神器-7-碎片-7-19级</v>
      </c>
      <c r="AU762" s="13" t="s">
        <v>1195</v>
      </c>
      <c r="AV762" s="13">
        <f t="shared" si="200"/>
        <v>19</v>
      </c>
      <c r="AW762" s="14">
        <f t="shared" si="201"/>
        <v>35514</v>
      </c>
      <c r="AX762" s="14" t="str">
        <f t="shared" si="202"/>
        <v>AtkExt</v>
      </c>
      <c r="AY762" s="14">
        <f t="shared" si="203"/>
        <v>5564</v>
      </c>
      <c r="AZ762" s="14" t="str">
        <f t="shared" si="204"/>
        <v>HPExt</v>
      </c>
      <c r="BA762" s="14">
        <f t="shared" si="205"/>
        <v>5794</v>
      </c>
      <c r="BB762" s="14" t="str">
        <f t="shared" si="206"/>
        <v/>
      </c>
      <c r="BC762" s="14" t="str">
        <f t="shared" si="207"/>
        <v/>
      </c>
      <c r="BD762" s="14" t="str">
        <f t="shared" si="208"/>
        <v>Speed</v>
      </c>
      <c r="BE762" s="14">
        <f t="shared" si="209"/>
        <v>19</v>
      </c>
    </row>
    <row r="763" spans="39:57" ht="16.5" x14ac:dyDescent="0.2">
      <c r="AM763" s="13">
        <v>758</v>
      </c>
      <c r="AN763" s="14">
        <f t="shared" si="211"/>
        <v>41</v>
      </c>
      <c r="AO763" s="29">
        <f t="shared" si="194"/>
        <v>1.8480000000000001</v>
      </c>
      <c r="AP763" s="14">
        <f t="shared" si="195"/>
        <v>1</v>
      </c>
      <c r="AQ763" s="14">
        <f t="shared" si="196"/>
        <v>3</v>
      </c>
      <c r="AR763" s="14">
        <f t="shared" si="197"/>
        <v>0</v>
      </c>
      <c r="AS763" s="14">
        <f t="shared" si="198"/>
        <v>1606043</v>
      </c>
      <c r="AT763" s="14" t="str">
        <f t="shared" si="199"/>
        <v>神器-7-碎片-7-20级</v>
      </c>
      <c r="AU763" s="13" t="s">
        <v>1195</v>
      </c>
      <c r="AV763" s="13">
        <f t="shared" si="200"/>
        <v>20</v>
      </c>
      <c r="AW763" s="14">
        <f t="shared" si="201"/>
        <v>38115</v>
      </c>
      <c r="AX763" s="14" t="str">
        <f t="shared" si="202"/>
        <v>AtkExt</v>
      </c>
      <c r="AY763" s="14">
        <f t="shared" si="203"/>
        <v>5978</v>
      </c>
      <c r="AZ763" s="14" t="str">
        <f t="shared" si="204"/>
        <v>HPExt</v>
      </c>
      <c r="BA763" s="14">
        <f t="shared" si="205"/>
        <v>6225</v>
      </c>
      <c r="BB763" s="14" t="str">
        <f t="shared" si="206"/>
        <v/>
      </c>
      <c r="BC763" s="14" t="str">
        <f t="shared" si="207"/>
        <v/>
      </c>
      <c r="BD763" s="14" t="str">
        <f t="shared" si="208"/>
        <v>Speed</v>
      </c>
      <c r="BE763" s="14">
        <f t="shared" si="209"/>
        <v>20</v>
      </c>
    </row>
    <row r="764" spans="39:57" ht="16.5" x14ac:dyDescent="0.2">
      <c r="AM764" s="13">
        <v>759</v>
      </c>
      <c r="AN764" s="14">
        <f t="shared" si="211"/>
        <v>41</v>
      </c>
      <c r="AO764" s="29">
        <f t="shared" si="194"/>
        <v>1.98</v>
      </c>
      <c r="AP764" s="14">
        <f t="shared" si="195"/>
        <v>1</v>
      </c>
      <c r="AQ764" s="14">
        <f t="shared" si="196"/>
        <v>3</v>
      </c>
      <c r="AR764" s="14">
        <f t="shared" si="197"/>
        <v>0</v>
      </c>
      <c r="AS764" s="14">
        <f t="shared" si="198"/>
        <v>1606043</v>
      </c>
      <c r="AT764" s="14" t="str">
        <f t="shared" si="199"/>
        <v>神器-7-碎片-7-21级</v>
      </c>
      <c r="AU764" s="13" t="s">
        <v>1195</v>
      </c>
      <c r="AV764" s="13">
        <f t="shared" si="200"/>
        <v>21</v>
      </c>
      <c r="AW764" s="14">
        <f t="shared" si="201"/>
        <v>40794</v>
      </c>
      <c r="AX764" s="14" t="str">
        <f t="shared" si="202"/>
        <v>AtkExt</v>
      </c>
      <c r="AY764" s="14">
        <f t="shared" si="203"/>
        <v>6405</v>
      </c>
      <c r="AZ764" s="14" t="str">
        <f t="shared" si="204"/>
        <v>HPExt</v>
      </c>
      <c r="BA764" s="14">
        <f t="shared" si="205"/>
        <v>6669</v>
      </c>
      <c r="BB764" s="14" t="str">
        <f t="shared" si="206"/>
        <v/>
      </c>
      <c r="BC764" s="14" t="str">
        <f t="shared" si="207"/>
        <v/>
      </c>
      <c r="BD764" s="14" t="str">
        <f t="shared" si="208"/>
        <v>Speed</v>
      </c>
      <c r="BE764" s="14">
        <f t="shared" si="209"/>
        <v>21</v>
      </c>
    </row>
    <row r="765" spans="39:57" ht="16.5" x14ac:dyDescent="0.2">
      <c r="AM765" s="13">
        <v>760</v>
      </c>
      <c r="AN765" s="14">
        <f t="shared" si="211"/>
        <v>42</v>
      </c>
      <c r="AO765" s="29">
        <f t="shared" si="194"/>
        <v>0.1</v>
      </c>
      <c r="AP765" s="14">
        <f t="shared" si="195"/>
        <v>1</v>
      </c>
      <c r="AQ765" s="14">
        <f t="shared" si="196"/>
        <v>3</v>
      </c>
      <c r="AR765" s="14">
        <f t="shared" si="197"/>
        <v>0</v>
      </c>
      <c r="AS765" s="14">
        <f t="shared" si="198"/>
        <v>1606044</v>
      </c>
      <c r="AT765" s="14" t="str">
        <f t="shared" si="199"/>
        <v>神器-7-碎片-8-1级</v>
      </c>
      <c r="AU765" s="13" t="s">
        <v>1195</v>
      </c>
      <c r="AV765" s="13">
        <f t="shared" si="200"/>
        <v>1</v>
      </c>
      <c r="AW765" s="14">
        <f t="shared" si="201"/>
        <v>1278</v>
      </c>
      <c r="AX765" s="14" t="str">
        <f t="shared" si="202"/>
        <v>AtkExt</v>
      </c>
      <c r="AY765" s="14">
        <f t="shared" si="203"/>
        <v>162</v>
      </c>
      <c r="AZ765" s="14" t="str">
        <f t="shared" si="204"/>
        <v>HPExt</v>
      </c>
      <c r="BA765" s="14">
        <f t="shared" si="205"/>
        <v>168</v>
      </c>
      <c r="BB765" s="14" t="str">
        <f t="shared" si="206"/>
        <v/>
      </c>
      <c r="BC765" s="14" t="str">
        <f t="shared" si="207"/>
        <v/>
      </c>
      <c r="BD765" s="14" t="str">
        <f t="shared" si="208"/>
        <v>Speed</v>
      </c>
      <c r="BE765" s="14">
        <f t="shared" si="209"/>
        <v>3</v>
      </c>
    </row>
    <row r="766" spans="39:57" ht="16.5" x14ac:dyDescent="0.2">
      <c r="AM766" s="13">
        <v>761</v>
      </c>
      <c r="AN766" s="14">
        <f t="shared" si="211"/>
        <v>42</v>
      </c>
      <c r="AO766" s="29">
        <f t="shared" si="194"/>
        <v>0.15600000000000003</v>
      </c>
      <c r="AP766" s="14">
        <f t="shared" si="195"/>
        <v>1</v>
      </c>
      <c r="AQ766" s="14">
        <f t="shared" si="196"/>
        <v>3</v>
      </c>
      <c r="AR766" s="14">
        <f t="shared" si="197"/>
        <v>0</v>
      </c>
      <c r="AS766" s="14">
        <f t="shared" si="198"/>
        <v>1606044</v>
      </c>
      <c r="AT766" s="14" t="str">
        <f t="shared" si="199"/>
        <v>神器-7-碎片-8-2级</v>
      </c>
      <c r="AU766" s="13" t="s">
        <v>1195</v>
      </c>
      <c r="AV766" s="13">
        <f t="shared" si="200"/>
        <v>2</v>
      </c>
      <c r="AW766" s="14">
        <f t="shared" si="201"/>
        <v>2123</v>
      </c>
      <c r="AX766" s="14" t="str">
        <f t="shared" si="202"/>
        <v>AtkExt</v>
      </c>
      <c r="AY766" s="14">
        <f t="shared" si="203"/>
        <v>252</v>
      </c>
      <c r="AZ766" s="14" t="str">
        <f t="shared" si="204"/>
        <v>HPExt</v>
      </c>
      <c r="BA766" s="14">
        <f t="shared" si="205"/>
        <v>263</v>
      </c>
      <c r="BB766" s="14" t="str">
        <f t="shared" si="206"/>
        <v/>
      </c>
      <c r="BC766" s="14" t="str">
        <f t="shared" si="207"/>
        <v/>
      </c>
      <c r="BD766" s="14" t="str">
        <f t="shared" si="208"/>
        <v>Speed</v>
      </c>
      <c r="BE766" s="14">
        <f t="shared" si="209"/>
        <v>6</v>
      </c>
    </row>
    <row r="767" spans="39:57" ht="16.5" x14ac:dyDescent="0.2">
      <c r="AM767" s="13">
        <v>762</v>
      </c>
      <c r="AN767" s="14">
        <f t="shared" si="211"/>
        <v>42</v>
      </c>
      <c r="AO767" s="29">
        <f t="shared" si="194"/>
        <v>0.21600000000000003</v>
      </c>
      <c r="AP767" s="14">
        <f t="shared" si="195"/>
        <v>1</v>
      </c>
      <c r="AQ767" s="14">
        <f t="shared" si="196"/>
        <v>3</v>
      </c>
      <c r="AR767" s="14">
        <f t="shared" si="197"/>
        <v>0</v>
      </c>
      <c r="AS767" s="14">
        <f t="shared" si="198"/>
        <v>1606044</v>
      </c>
      <c r="AT767" s="14" t="str">
        <f t="shared" si="199"/>
        <v>神器-7-碎片-8-3级</v>
      </c>
      <c r="AU767" s="13" t="s">
        <v>1195</v>
      </c>
      <c r="AV767" s="13">
        <f t="shared" si="200"/>
        <v>3</v>
      </c>
      <c r="AW767" s="14">
        <f t="shared" si="201"/>
        <v>3009</v>
      </c>
      <c r="AX767" s="14" t="str">
        <f t="shared" si="202"/>
        <v>AtkExt</v>
      </c>
      <c r="AY767" s="14">
        <f t="shared" si="203"/>
        <v>349</v>
      </c>
      <c r="AZ767" s="14" t="str">
        <f t="shared" si="204"/>
        <v>HPExt</v>
      </c>
      <c r="BA767" s="14">
        <f t="shared" si="205"/>
        <v>364</v>
      </c>
      <c r="BB767" s="14" t="str">
        <f t="shared" si="206"/>
        <v/>
      </c>
      <c r="BC767" s="14" t="str">
        <f t="shared" si="207"/>
        <v/>
      </c>
      <c r="BD767" s="14" t="str">
        <f t="shared" si="208"/>
        <v>Speed</v>
      </c>
      <c r="BE767" s="14">
        <f t="shared" si="209"/>
        <v>9</v>
      </c>
    </row>
    <row r="768" spans="39:57" ht="16.5" x14ac:dyDescent="0.2">
      <c r="AM768" s="13">
        <v>763</v>
      </c>
      <c r="AN768" s="14">
        <f t="shared" si="211"/>
        <v>42</v>
      </c>
      <c r="AO768" s="29">
        <f t="shared" si="194"/>
        <v>0.28000000000000003</v>
      </c>
      <c r="AP768" s="14">
        <f t="shared" si="195"/>
        <v>1</v>
      </c>
      <c r="AQ768" s="14">
        <f t="shared" si="196"/>
        <v>3</v>
      </c>
      <c r="AR768" s="14">
        <f t="shared" si="197"/>
        <v>0</v>
      </c>
      <c r="AS768" s="14">
        <f t="shared" si="198"/>
        <v>1606044</v>
      </c>
      <c r="AT768" s="14" t="str">
        <f t="shared" si="199"/>
        <v>神器-7-碎片-8-4级</v>
      </c>
      <c r="AU768" s="13" t="s">
        <v>1195</v>
      </c>
      <c r="AV768" s="13">
        <f t="shared" si="200"/>
        <v>4</v>
      </c>
      <c r="AW768" s="14">
        <f t="shared" si="201"/>
        <v>3937</v>
      </c>
      <c r="AX768" s="14" t="str">
        <f t="shared" si="202"/>
        <v>AtkExt</v>
      </c>
      <c r="AY768" s="14">
        <f t="shared" si="203"/>
        <v>453</v>
      </c>
      <c r="AZ768" s="14" t="str">
        <f t="shared" si="204"/>
        <v>HPExt</v>
      </c>
      <c r="BA768" s="14">
        <f t="shared" si="205"/>
        <v>472</v>
      </c>
      <c r="BB768" s="14" t="str">
        <f t="shared" si="206"/>
        <v/>
      </c>
      <c r="BC768" s="14" t="str">
        <f t="shared" si="207"/>
        <v/>
      </c>
      <c r="BD768" s="14" t="str">
        <f t="shared" si="208"/>
        <v>Speed</v>
      </c>
      <c r="BE768" s="14">
        <f t="shared" si="209"/>
        <v>12</v>
      </c>
    </row>
    <row r="769" spans="39:57" ht="16.5" x14ac:dyDescent="0.2">
      <c r="AM769" s="13">
        <v>764</v>
      </c>
      <c r="AN769" s="14">
        <f t="shared" si="211"/>
        <v>42</v>
      </c>
      <c r="AO769" s="29">
        <f t="shared" si="194"/>
        <v>0.34799999999999998</v>
      </c>
      <c r="AP769" s="14">
        <f t="shared" si="195"/>
        <v>1</v>
      </c>
      <c r="AQ769" s="14">
        <f t="shared" si="196"/>
        <v>3</v>
      </c>
      <c r="AR769" s="14">
        <f t="shared" si="197"/>
        <v>0</v>
      </c>
      <c r="AS769" s="14">
        <f t="shared" si="198"/>
        <v>1606044</v>
      </c>
      <c r="AT769" s="14" t="str">
        <f t="shared" si="199"/>
        <v>神器-7-碎片-8-5级</v>
      </c>
      <c r="AU769" s="13" t="s">
        <v>1195</v>
      </c>
      <c r="AV769" s="13">
        <f t="shared" si="200"/>
        <v>5</v>
      </c>
      <c r="AW769" s="14">
        <f t="shared" si="201"/>
        <v>4901</v>
      </c>
      <c r="AX769" s="14" t="str">
        <f t="shared" si="202"/>
        <v>AtkExt</v>
      </c>
      <c r="AY769" s="14">
        <f t="shared" si="203"/>
        <v>563</v>
      </c>
      <c r="AZ769" s="14" t="str">
        <f t="shared" si="204"/>
        <v>HPExt</v>
      </c>
      <c r="BA769" s="14">
        <f t="shared" si="205"/>
        <v>586</v>
      </c>
      <c r="BB769" s="14" t="str">
        <f t="shared" si="206"/>
        <v/>
      </c>
      <c r="BC769" s="14" t="str">
        <f t="shared" si="207"/>
        <v/>
      </c>
      <c r="BD769" s="14" t="str">
        <f t="shared" si="208"/>
        <v>Speed</v>
      </c>
      <c r="BE769" s="14">
        <f t="shared" si="209"/>
        <v>15</v>
      </c>
    </row>
    <row r="770" spans="39:57" ht="16.5" x14ac:dyDescent="0.2">
      <c r="AM770" s="13">
        <v>765</v>
      </c>
      <c r="AN770" s="14">
        <f t="shared" si="211"/>
        <v>42</v>
      </c>
      <c r="AO770" s="29">
        <f t="shared" si="194"/>
        <v>0.42000000000000004</v>
      </c>
      <c r="AP770" s="14">
        <f t="shared" si="195"/>
        <v>1</v>
      </c>
      <c r="AQ770" s="14">
        <f t="shared" si="196"/>
        <v>3</v>
      </c>
      <c r="AR770" s="14">
        <f t="shared" si="197"/>
        <v>0</v>
      </c>
      <c r="AS770" s="14">
        <f t="shared" si="198"/>
        <v>1606044</v>
      </c>
      <c r="AT770" s="14" t="str">
        <f t="shared" si="199"/>
        <v>神器-7-碎片-8-6级</v>
      </c>
      <c r="AU770" s="13" t="s">
        <v>1195</v>
      </c>
      <c r="AV770" s="13">
        <f t="shared" si="200"/>
        <v>6</v>
      </c>
      <c r="AW770" s="14">
        <f t="shared" si="201"/>
        <v>5902</v>
      </c>
      <c r="AX770" s="14" t="str">
        <f t="shared" si="202"/>
        <v>AtkExt</v>
      </c>
      <c r="AY770" s="14">
        <f t="shared" si="203"/>
        <v>679</v>
      </c>
      <c r="AZ770" s="14" t="str">
        <f t="shared" si="204"/>
        <v>HPExt</v>
      </c>
      <c r="BA770" s="14">
        <f t="shared" si="205"/>
        <v>707</v>
      </c>
      <c r="BB770" s="14" t="str">
        <f t="shared" si="206"/>
        <v/>
      </c>
      <c r="BC770" s="14" t="str">
        <f t="shared" si="207"/>
        <v/>
      </c>
      <c r="BD770" s="14" t="str">
        <f t="shared" si="208"/>
        <v>Speed</v>
      </c>
      <c r="BE770" s="14">
        <f t="shared" si="209"/>
        <v>18</v>
      </c>
    </row>
    <row r="771" spans="39:57" ht="16.5" x14ac:dyDescent="0.2">
      <c r="AM771" s="13">
        <v>766</v>
      </c>
      <c r="AN771" s="14">
        <f t="shared" si="211"/>
        <v>42</v>
      </c>
      <c r="AO771" s="29">
        <f t="shared" si="194"/>
        <v>0.496</v>
      </c>
      <c r="AP771" s="14">
        <f t="shared" si="195"/>
        <v>1</v>
      </c>
      <c r="AQ771" s="14">
        <f t="shared" si="196"/>
        <v>3</v>
      </c>
      <c r="AR771" s="14">
        <f t="shared" si="197"/>
        <v>0</v>
      </c>
      <c r="AS771" s="14">
        <f t="shared" si="198"/>
        <v>1606044</v>
      </c>
      <c r="AT771" s="14" t="str">
        <f t="shared" si="199"/>
        <v>神器-7-碎片-8-7级</v>
      </c>
      <c r="AU771" s="13" t="s">
        <v>1195</v>
      </c>
      <c r="AV771" s="13">
        <f t="shared" si="200"/>
        <v>7</v>
      </c>
      <c r="AW771" s="14">
        <f t="shared" si="201"/>
        <v>6945</v>
      </c>
      <c r="AX771" s="14" t="str">
        <f t="shared" si="202"/>
        <v>AtkExt</v>
      </c>
      <c r="AY771" s="14">
        <f t="shared" si="203"/>
        <v>802</v>
      </c>
      <c r="AZ771" s="14" t="str">
        <f t="shared" si="204"/>
        <v>HPExt</v>
      </c>
      <c r="BA771" s="14">
        <f t="shared" si="205"/>
        <v>835</v>
      </c>
      <c r="BB771" s="14" t="str">
        <f t="shared" si="206"/>
        <v/>
      </c>
      <c r="BC771" s="14" t="str">
        <f t="shared" si="207"/>
        <v/>
      </c>
      <c r="BD771" s="14" t="str">
        <f t="shared" si="208"/>
        <v>Speed</v>
      </c>
      <c r="BE771" s="14">
        <f t="shared" si="209"/>
        <v>21</v>
      </c>
    </row>
    <row r="772" spans="39:57" ht="16.5" x14ac:dyDescent="0.2">
      <c r="AM772" s="13">
        <v>767</v>
      </c>
      <c r="AN772" s="14">
        <f t="shared" si="211"/>
        <v>42</v>
      </c>
      <c r="AO772" s="29">
        <f t="shared" si="194"/>
        <v>0.57600000000000007</v>
      </c>
      <c r="AP772" s="14">
        <f t="shared" si="195"/>
        <v>1</v>
      </c>
      <c r="AQ772" s="14">
        <f t="shared" si="196"/>
        <v>3</v>
      </c>
      <c r="AR772" s="14">
        <f t="shared" si="197"/>
        <v>0</v>
      </c>
      <c r="AS772" s="14">
        <f t="shared" si="198"/>
        <v>1606044</v>
      </c>
      <c r="AT772" s="14" t="str">
        <f t="shared" si="199"/>
        <v>神器-7-碎片-8-8级</v>
      </c>
      <c r="AU772" s="13" t="s">
        <v>1195</v>
      </c>
      <c r="AV772" s="13">
        <f t="shared" si="200"/>
        <v>8</v>
      </c>
      <c r="AW772" s="14">
        <f t="shared" si="201"/>
        <v>8030</v>
      </c>
      <c r="AX772" s="14" t="str">
        <f t="shared" si="202"/>
        <v>AtkExt</v>
      </c>
      <c r="AY772" s="14">
        <f t="shared" si="203"/>
        <v>932</v>
      </c>
      <c r="AZ772" s="14" t="str">
        <f t="shared" si="204"/>
        <v>HPExt</v>
      </c>
      <c r="BA772" s="14">
        <f t="shared" si="205"/>
        <v>970</v>
      </c>
      <c r="BB772" s="14" t="str">
        <f t="shared" si="206"/>
        <v/>
      </c>
      <c r="BC772" s="14" t="str">
        <f t="shared" si="207"/>
        <v/>
      </c>
      <c r="BD772" s="14" t="str">
        <f t="shared" si="208"/>
        <v>Speed</v>
      </c>
      <c r="BE772" s="14">
        <f t="shared" si="209"/>
        <v>24</v>
      </c>
    </row>
    <row r="773" spans="39:57" ht="16.5" x14ac:dyDescent="0.2">
      <c r="AM773" s="13">
        <v>768</v>
      </c>
      <c r="AN773" s="14">
        <f t="shared" si="211"/>
        <v>42</v>
      </c>
      <c r="AO773" s="29">
        <f t="shared" si="194"/>
        <v>0.66</v>
      </c>
      <c r="AP773" s="14">
        <f t="shared" si="195"/>
        <v>1</v>
      </c>
      <c r="AQ773" s="14">
        <f t="shared" si="196"/>
        <v>3</v>
      </c>
      <c r="AR773" s="14">
        <f t="shared" si="197"/>
        <v>0</v>
      </c>
      <c r="AS773" s="14">
        <f t="shared" si="198"/>
        <v>1606044</v>
      </c>
      <c r="AT773" s="14" t="str">
        <f t="shared" si="199"/>
        <v>神器-7-碎片-8-9级</v>
      </c>
      <c r="AU773" s="13" t="s">
        <v>1195</v>
      </c>
      <c r="AV773" s="13">
        <f t="shared" si="200"/>
        <v>9</v>
      </c>
      <c r="AW773" s="14">
        <f t="shared" si="201"/>
        <v>9147</v>
      </c>
      <c r="AX773" s="14" t="str">
        <f t="shared" si="202"/>
        <v>AtkExt</v>
      </c>
      <c r="AY773" s="14">
        <f t="shared" si="203"/>
        <v>1067</v>
      </c>
      <c r="AZ773" s="14" t="str">
        <f t="shared" si="204"/>
        <v>HPExt</v>
      </c>
      <c r="BA773" s="14">
        <f t="shared" si="205"/>
        <v>1112</v>
      </c>
      <c r="BB773" s="14" t="str">
        <f t="shared" si="206"/>
        <v/>
      </c>
      <c r="BC773" s="14" t="str">
        <f t="shared" si="207"/>
        <v/>
      </c>
      <c r="BD773" s="14" t="str">
        <f t="shared" si="208"/>
        <v>Speed</v>
      </c>
      <c r="BE773" s="14">
        <f t="shared" si="209"/>
        <v>27</v>
      </c>
    </row>
    <row r="774" spans="39:57" ht="16.5" x14ac:dyDescent="0.2">
      <c r="AM774" s="13">
        <v>769</v>
      </c>
      <c r="AN774" s="14">
        <f t="shared" si="211"/>
        <v>42</v>
      </c>
      <c r="AO774" s="29">
        <f t="shared" ref="AO774:AO785" si="212">4.8%+AV774*5%+AV774*AV774*0.2%</f>
        <v>0.748</v>
      </c>
      <c r="AP774" s="14">
        <f t="shared" ref="AP774:AP785" si="213">INDEX(AD$7:AD$48,$AN774)</f>
        <v>1</v>
      </c>
      <c r="AQ774" s="14">
        <f t="shared" ref="AQ774:AQ785" si="214">INDEX(AE$7:AE$48,$AN774)</f>
        <v>3</v>
      </c>
      <c r="AR774" s="14">
        <f t="shared" ref="AR774:AR785" si="215">INDEX(AF$7:AF$48,$AN774)</f>
        <v>0</v>
      </c>
      <c r="AS774" s="14">
        <f t="shared" ref="AS774:AS785" si="216">INDEX($W$7:$W$48,AN774)</f>
        <v>1606044</v>
      </c>
      <c r="AT774" s="14" t="str">
        <f t="shared" ref="AT774:AT785" si="217">"神器-"&amp;INDEX($S$7:$S$48,AN774)&amp;"-碎片-"&amp;INDEX($T$7:$T$48,AN774)&amp;"-"&amp;AV774&amp;"级"</f>
        <v>神器-7-碎片-8-10级</v>
      </c>
      <c r="AU774" s="13" t="s">
        <v>1195</v>
      </c>
      <c r="AV774" s="13">
        <f t="shared" ref="AV774:AV785" si="218">AM774-INDEX($AI$6:$AI$48,AN774)</f>
        <v>10</v>
      </c>
      <c r="AW774" s="14">
        <f t="shared" ref="AW774:AW785" si="219">AY774*INDEX($AP$2:$AR$2,AP774)+IF(AQ774&gt;0,BA774*INDEX($AP$2:$AR$2,AQ774),0)+IF(AR774&gt;0,BC774*INDEX($AP$2:$AR$2,AR774),0)+IF(BD774="Speed",BE774*100,0)</f>
        <v>10310</v>
      </c>
      <c r="AX774" s="14" t="str">
        <f t="shared" ref="AX774:AX785" si="220">INDEX($AP$3:$AR$3,AP774)</f>
        <v>AtkExt</v>
      </c>
      <c r="AY774" s="14">
        <f t="shared" ref="AY774:AY785" si="221">ROUND(INDEX($X$7:$Z$48,AN774,AP774)*AO774,0)</f>
        <v>1210</v>
      </c>
      <c r="AZ774" s="14" t="str">
        <f t="shared" ref="AZ774:AZ785" si="222">IF(AQ774&gt;0,INDEX($AP$3:$AR$3,AQ774),"")</f>
        <v>HPExt</v>
      </c>
      <c r="BA774" s="14">
        <f t="shared" ref="BA774:BA785" si="223">IF(AQ774&gt;0,ROUND(INDEX($X$7:$Z$48,AN774,AQ774)*AO774,0),"")</f>
        <v>1260</v>
      </c>
      <c r="BB774" s="14" t="str">
        <f t="shared" ref="BB774:BB785" si="224">IF(AR774&gt;0,INDEX($AP$3:$AR$3,AR774),"")</f>
        <v/>
      </c>
      <c r="BC774" s="14" t="str">
        <f t="shared" ref="BC774:BC785" si="225">IF(AR774&gt;0,ROUND(INDEX($X$7:$Z$48,AN774,AR774)*AO774,0),"")</f>
        <v/>
      </c>
      <c r="BD774" s="14" t="str">
        <f t="shared" ref="BD774:BD785" si="226">IF(INDEX($AG$7:$AG$48,AN774)&gt;0,"Speed","")</f>
        <v>Speed</v>
      </c>
      <c r="BE774" s="14">
        <f t="shared" ref="BE774:BE785" si="227">IF(INDEX($AG$7:$AG$48,AN774)&gt;0,INDEX($AG$7:$AG$48,AN774)*AV774,"")</f>
        <v>30</v>
      </c>
    </row>
    <row r="775" spans="39:57" ht="16.5" x14ac:dyDescent="0.2">
      <c r="AM775" s="13">
        <v>770</v>
      </c>
      <c r="AN775" s="14">
        <f t="shared" si="211"/>
        <v>42</v>
      </c>
      <c r="AO775" s="29">
        <f t="shared" si="212"/>
        <v>0.84000000000000008</v>
      </c>
      <c r="AP775" s="14">
        <f t="shared" si="213"/>
        <v>1</v>
      </c>
      <c r="AQ775" s="14">
        <f t="shared" si="214"/>
        <v>3</v>
      </c>
      <c r="AR775" s="14">
        <f t="shared" si="215"/>
        <v>0</v>
      </c>
      <c r="AS775" s="14">
        <f t="shared" si="216"/>
        <v>1606044</v>
      </c>
      <c r="AT775" s="14" t="str">
        <f t="shared" si="217"/>
        <v>神器-7-碎片-8-11级</v>
      </c>
      <c r="AU775" s="13" t="s">
        <v>1195</v>
      </c>
      <c r="AV775" s="13">
        <f t="shared" si="218"/>
        <v>11</v>
      </c>
      <c r="AW775" s="14">
        <f t="shared" si="219"/>
        <v>11510</v>
      </c>
      <c r="AX775" s="14" t="str">
        <f t="shared" si="220"/>
        <v>AtkExt</v>
      </c>
      <c r="AY775" s="14">
        <f t="shared" si="221"/>
        <v>1359</v>
      </c>
      <c r="AZ775" s="14" t="str">
        <f t="shared" si="222"/>
        <v>HPExt</v>
      </c>
      <c r="BA775" s="14">
        <f t="shared" si="223"/>
        <v>1415</v>
      </c>
      <c r="BB775" s="14" t="str">
        <f t="shared" si="224"/>
        <v/>
      </c>
      <c r="BC775" s="14" t="str">
        <f t="shared" si="225"/>
        <v/>
      </c>
      <c r="BD775" s="14" t="str">
        <f t="shared" si="226"/>
        <v>Speed</v>
      </c>
      <c r="BE775" s="14">
        <f t="shared" si="227"/>
        <v>33</v>
      </c>
    </row>
    <row r="776" spans="39:57" ht="16.5" x14ac:dyDescent="0.2">
      <c r="AM776" s="13">
        <v>771</v>
      </c>
      <c r="AN776" s="14">
        <f t="shared" si="211"/>
        <v>42</v>
      </c>
      <c r="AO776" s="29">
        <f t="shared" si="212"/>
        <v>0.93600000000000017</v>
      </c>
      <c r="AP776" s="14">
        <f t="shared" si="213"/>
        <v>1</v>
      </c>
      <c r="AQ776" s="14">
        <f t="shared" si="214"/>
        <v>3</v>
      </c>
      <c r="AR776" s="14">
        <f t="shared" si="215"/>
        <v>0</v>
      </c>
      <c r="AS776" s="14">
        <f t="shared" si="216"/>
        <v>1606044</v>
      </c>
      <c r="AT776" s="14" t="str">
        <f t="shared" si="217"/>
        <v>神器-7-碎片-8-12级</v>
      </c>
      <c r="AU776" s="13" t="s">
        <v>1195</v>
      </c>
      <c r="AV776" s="13">
        <f t="shared" si="218"/>
        <v>12</v>
      </c>
      <c r="AW776" s="14">
        <f t="shared" si="219"/>
        <v>12746</v>
      </c>
      <c r="AX776" s="14" t="str">
        <f t="shared" si="220"/>
        <v>AtkExt</v>
      </c>
      <c r="AY776" s="14">
        <f t="shared" si="221"/>
        <v>1514</v>
      </c>
      <c r="AZ776" s="14" t="str">
        <f t="shared" si="222"/>
        <v>HPExt</v>
      </c>
      <c r="BA776" s="14">
        <f t="shared" si="223"/>
        <v>1576</v>
      </c>
      <c r="BB776" s="14" t="str">
        <f t="shared" si="224"/>
        <v/>
      </c>
      <c r="BC776" s="14" t="str">
        <f t="shared" si="225"/>
        <v/>
      </c>
      <c r="BD776" s="14" t="str">
        <f t="shared" si="226"/>
        <v>Speed</v>
      </c>
      <c r="BE776" s="14">
        <f t="shared" si="227"/>
        <v>36</v>
      </c>
    </row>
    <row r="777" spans="39:57" ht="16.5" x14ac:dyDescent="0.2">
      <c r="AM777" s="13">
        <v>772</v>
      </c>
      <c r="AN777" s="14">
        <f t="shared" si="211"/>
        <v>42</v>
      </c>
      <c r="AO777" s="29">
        <f t="shared" si="212"/>
        <v>1.036</v>
      </c>
      <c r="AP777" s="14">
        <f t="shared" si="213"/>
        <v>1</v>
      </c>
      <c r="AQ777" s="14">
        <f t="shared" si="214"/>
        <v>3</v>
      </c>
      <c r="AR777" s="14">
        <f t="shared" si="215"/>
        <v>0</v>
      </c>
      <c r="AS777" s="14">
        <f t="shared" si="216"/>
        <v>1606044</v>
      </c>
      <c r="AT777" s="14" t="str">
        <f t="shared" si="217"/>
        <v>神器-7-碎片-8-13级</v>
      </c>
      <c r="AU777" s="13" t="s">
        <v>1195</v>
      </c>
      <c r="AV777" s="13">
        <f t="shared" si="218"/>
        <v>13</v>
      </c>
      <c r="AW777" s="14">
        <f t="shared" si="219"/>
        <v>14025</v>
      </c>
      <c r="AX777" s="14" t="str">
        <f t="shared" si="220"/>
        <v>AtkExt</v>
      </c>
      <c r="AY777" s="14">
        <f t="shared" si="221"/>
        <v>1676</v>
      </c>
      <c r="AZ777" s="14" t="str">
        <f t="shared" si="222"/>
        <v>HPExt</v>
      </c>
      <c r="BA777" s="14">
        <f t="shared" si="223"/>
        <v>1745</v>
      </c>
      <c r="BB777" s="14" t="str">
        <f t="shared" si="224"/>
        <v/>
      </c>
      <c r="BC777" s="14" t="str">
        <f t="shared" si="225"/>
        <v/>
      </c>
      <c r="BD777" s="14" t="str">
        <f t="shared" si="226"/>
        <v>Speed</v>
      </c>
      <c r="BE777" s="14">
        <f t="shared" si="227"/>
        <v>39</v>
      </c>
    </row>
    <row r="778" spans="39:57" ht="16.5" x14ac:dyDescent="0.2">
      <c r="AM778" s="13">
        <v>773</v>
      </c>
      <c r="AN778" s="14">
        <f t="shared" si="211"/>
        <v>42</v>
      </c>
      <c r="AO778" s="29">
        <f t="shared" si="212"/>
        <v>1.1400000000000001</v>
      </c>
      <c r="AP778" s="14">
        <f t="shared" si="213"/>
        <v>1</v>
      </c>
      <c r="AQ778" s="14">
        <f t="shared" si="214"/>
        <v>3</v>
      </c>
      <c r="AR778" s="14">
        <f t="shared" si="215"/>
        <v>0</v>
      </c>
      <c r="AS778" s="14">
        <f t="shared" si="216"/>
        <v>1606044</v>
      </c>
      <c r="AT778" s="14" t="str">
        <f t="shared" si="217"/>
        <v>神器-7-碎片-8-14级</v>
      </c>
      <c r="AU778" s="13" t="s">
        <v>1195</v>
      </c>
      <c r="AV778" s="13">
        <f t="shared" si="218"/>
        <v>14</v>
      </c>
      <c r="AW778" s="14">
        <f t="shared" si="219"/>
        <v>15340</v>
      </c>
      <c r="AX778" s="14" t="str">
        <f t="shared" si="220"/>
        <v>AtkExt</v>
      </c>
      <c r="AY778" s="14">
        <f t="shared" si="221"/>
        <v>1844</v>
      </c>
      <c r="AZ778" s="14" t="str">
        <f t="shared" si="222"/>
        <v>HPExt</v>
      </c>
      <c r="BA778" s="14">
        <f t="shared" si="223"/>
        <v>1920</v>
      </c>
      <c r="BB778" s="14" t="str">
        <f t="shared" si="224"/>
        <v/>
      </c>
      <c r="BC778" s="14" t="str">
        <f t="shared" si="225"/>
        <v/>
      </c>
      <c r="BD778" s="14" t="str">
        <f t="shared" si="226"/>
        <v>Speed</v>
      </c>
      <c r="BE778" s="14">
        <f t="shared" si="227"/>
        <v>42</v>
      </c>
    </row>
    <row r="779" spans="39:57" ht="16.5" x14ac:dyDescent="0.2">
      <c r="AM779" s="13">
        <v>774</v>
      </c>
      <c r="AN779" s="14">
        <f t="shared" si="211"/>
        <v>42</v>
      </c>
      <c r="AO779" s="29">
        <f t="shared" si="212"/>
        <v>1.248</v>
      </c>
      <c r="AP779" s="14">
        <f t="shared" si="213"/>
        <v>1</v>
      </c>
      <c r="AQ779" s="14">
        <f t="shared" si="214"/>
        <v>3</v>
      </c>
      <c r="AR779" s="14">
        <f t="shared" si="215"/>
        <v>0</v>
      </c>
      <c r="AS779" s="14">
        <f t="shared" si="216"/>
        <v>1606044</v>
      </c>
      <c r="AT779" s="14" t="str">
        <f t="shared" si="217"/>
        <v>神器-7-碎片-8-15级</v>
      </c>
      <c r="AU779" s="13" t="s">
        <v>1195</v>
      </c>
      <c r="AV779" s="13">
        <f t="shared" si="218"/>
        <v>15</v>
      </c>
      <c r="AW779" s="14">
        <f t="shared" si="219"/>
        <v>16692</v>
      </c>
      <c r="AX779" s="14" t="str">
        <f t="shared" si="220"/>
        <v>AtkExt</v>
      </c>
      <c r="AY779" s="14">
        <f t="shared" si="221"/>
        <v>2018</v>
      </c>
      <c r="AZ779" s="14" t="str">
        <f t="shared" si="222"/>
        <v>HPExt</v>
      </c>
      <c r="BA779" s="14">
        <f t="shared" si="223"/>
        <v>2102</v>
      </c>
      <c r="BB779" s="14" t="str">
        <f t="shared" si="224"/>
        <v/>
      </c>
      <c r="BC779" s="14" t="str">
        <f t="shared" si="225"/>
        <v/>
      </c>
      <c r="BD779" s="14" t="str">
        <f t="shared" si="226"/>
        <v>Speed</v>
      </c>
      <c r="BE779" s="14">
        <f t="shared" si="227"/>
        <v>45</v>
      </c>
    </row>
    <row r="780" spans="39:57" ht="16.5" x14ac:dyDescent="0.2">
      <c r="AM780" s="13">
        <v>775</v>
      </c>
      <c r="AN780" s="14">
        <f t="shared" si="211"/>
        <v>42</v>
      </c>
      <c r="AO780" s="29">
        <f t="shared" si="212"/>
        <v>1.36</v>
      </c>
      <c r="AP780" s="14">
        <f t="shared" si="213"/>
        <v>1</v>
      </c>
      <c r="AQ780" s="14">
        <f t="shared" si="214"/>
        <v>3</v>
      </c>
      <c r="AR780" s="14">
        <f t="shared" si="215"/>
        <v>0</v>
      </c>
      <c r="AS780" s="14">
        <f t="shared" si="216"/>
        <v>1606044</v>
      </c>
      <c r="AT780" s="14" t="str">
        <f t="shared" si="217"/>
        <v>神器-7-碎片-8-16级</v>
      </c>
      <c r="AU780" s="13" t="s">
        <v>1195</v>
      </c>
      <c r="AV780" s="13">
        <f t="shared" si="218"/>
        <v>16</v>
      </c>
      <c r="AW780" s="14">
        <f t="shared" si="219"/>
        <v>18090</v>
      </c>
      <c r="AX780" s="14" t="str">
        <f t="shared" si="220"/>
        <v>AtkExt</v>
      </c>
      <c r="AY780" s="14">
        <f t="shared" si="221"/>
        <v>2200</v>
      </c>
      <c r="AZ780" s="14" t="str">
        <f t="shared" si="222"/>
        <v>HPExt</v>
      </c>
      <c r="BA780" s="14">
        <f t="shared" si="223"/>
        <v>2290</v>
      </c>
      <c r="BB780" s="14" t="str">
        <f t="shared" si="224"/>
        <v/>
      </c>
      <c r="BC780" s="14" t="str">
        <f t="shared" si="225"/>
        <v/>
      </c>
      <c r="BD780" s="14" t="str">
        <f t="shared" si="226"/>
        <v>Speed</v>
      </c>
      <c r="BE780" s="14">
        <f t="shared" si="227"/>
        <v>48</v>
      </c>
    </row>
    <row r="781" spans="39:57" ht="16.5" x14ac:dyDescent="0.2">
      <c r="AM781" s="13">
        <v>776</v>
      </c>
      <c r="AN781" s="14">
        <f t="shared" si="211"/>
        <v>42</v>
      </c>
      <c r="AO781" s="29">
        <f t="shared" si="212"/>
        <v>1.476</v>
      </c>
      <c r="AP781" s="14">
        <f t="shared" si="213"/>
        <v>1</v>
      </c>
      <c r="AQ781" s="14">
        <f t="shared" si="214"/>
        <v>3</v>
      </c>
      <c r="AR781" s="14">
        <f t="shared" si="215"/>
        <v>0</v>
      </c>
      <c r="AS781" s="14">
        <f t="shared" si="216"/>
        <v>1606044</v>
      </c>
      <c r="AT781" s="14" t="str">
        <f t="shared" si="217"/>
        <v>神器-7-碎片-8-17级</v>
      </c>
      <c r="AU781" s="13" t="s">
        <v>1195</v>
      </c>
      <c r="AV781" s="13">
        <f t="shared" si="218"/>
        <v>17</v>
      </c>
      <c r="AW781" s="14">
        <f t="shared" si="219"/>
        <v>19521</v>
      </c>
      <c r="AX781" s="14" t="str">
        <f t="shared" si="220"/>
        <v>AtkExt</v>
      </c>
      <c r="AY781" s="14">
        <f t="shared" si="221"/>
        <v>2387</v>
      </c>
      <c r="AZ781" s="14" t="str">
        <f t="shared" si="222"/>
        <v>HPExt</v>
      </c>
      <c r="BA781" s="14">
        <f t="shared" si="223"/>
        <v>2486</v>
      </c>
      <c r="BB781" s="14" t="str">
        <f t="shared" si="224"/>
        <v/>
      </c>
      <c r="BC781" s="14" t="str">
        <f t="shared" si="225"/>
        <v/>
      </c>
      <c r="BD781" s="14" t="str">
        <f t="shared" si="226"/>
        <v>Speed</v>
      </c>
      <c r="BE781" s="14">
        <f t="shared" si="227"/>
        <v>51</v>
      </c>
    </row>
    <row r="782" spans="39:57" ht="16.5" x14ac:dyDescent="0.2">
      <c r="AM782" s="13">
        <v>777</v>
      </c>
      <c r="AN782" s="14">
        <f t="shared" si="211"/>
        <v>42</v>
      </c>
      <c r="AO782" s="29">
        <f t="shared" si="212"/>
        <v>1.5960000000000001</v>
      </c>
      <c r="AP782" s="14">
        <f t="shared" si="213"/>
        <v>1</v>
      </c>
      <c r="AQ782" s="14">
        <f t="shared" si="214"/>
        <v>3</v>
      </c>
      <c r="AR782" s="14">
        <f t="shared" si="215"/>
        <v>0</v>
      </c>
      <c r="AS782" s="14">
        <f t="shared" si="216"/>
        <v>1606044</v>
      </c>
      <c r="AT782" s="14" t="str">
        <f t="shared" si="217"/>
        <v>神器-7-碎片-8-18级</v>
      </c>
      <c r="AU782" s="13" t="s">
        <v>1195</v>
      </c>
      <c r="AV782" s="13">
        <f t="shared" si="218"/>
        <v>18</v>
      </c>
      <c r="AW782" s="14">
        <f t="shared" si="219"/>
        <v>20993</v>
      </c>
      <c r="AX782" s="14" t="str">
        <f t="shared" si="220"/>
        <v>AtkExt</v>
      </c>
      <c r="AY782" s="14">
        <f t="shared" si="221"/>
        <v>2581</v>
      </c>
      <c r="AZ782" s="14" t="str">
        <f t="shared" si="222"/>
        <v>HPExt</v>
      </c>
      <c r="BA782" s="14">
        <f t="shared" si="223"/>
        <v>2688</v>
      </c>
      <c r="BB782" s="14" t="str">
        <f t="shared" si="224"/>
        <v/>
      </c>
      <c r="BC782" s="14" t="str">
        <f t="shared" si="225"/>
        <v/>
      </c>
      <c r="BD782" s="14" t="str">
        <f t="shared" si="226"/>
        <v>Speed</v>
      </c>
      <c r="BE782" s="14">
        <f t="shared" si="227"/>
        <v>54</v>
      </c>
    </row>
    <row r="783" spans="39:57" ht="16.5" x14ac:dyDescent="0.2">
      <c r="AM783" s="13">
        <v>778</v>
      </c>
      <c r="AN783" s="14">
        <f t="shared" si="211"/>
        <v>42</v>
      </c>
      <c r="AO783" s="29">
        <f t="shared" si="212"/>
        <v>1.7200000000000002</v>
      </c>
      <c r="AP783" s="14">
        <f t="shared" si="213"/>
        <v>1</v>
      </c>
      <c r="AQ783" s="14">
        <f t="shared" si="214"/>
        <v>3</v>
      </c>
      <c r="AR783" s="14">
        <f t="shared" si="215"/>
        <v>0</v>
      </c>
      <c r="AS783" s="14">
        <f t="shared" si="216"/>
        <v>1606044</v>
      </c>
      <c r="AT783" s="14" t="str">
        <f t="shared" si="217"/>
        <v>神器-7-碎片-8-19级</v>
      </c>
      <c r="AU783" s="13" t="s">
        <v>1195</v>
      </c>
      <c r="AV783" s="13">
        <f t="shared" si="218"/>
        <v>19</v>
      </c>
      <c r="AW783" s="14">
        <f t="shared" si="219"/>
        <v>22507</v>
      </c>
      <c r="AX783" s="14" t="str">
        <f t="shared" si="220"/>
        <v>AtkExt</v>
      </c>
      <c r="AY783" s="14">
        <f t="shared" si="221"/>
        <v>2782</v>
      </c>
      <c r="AZ783" s="14" t="str">
        <f t="shared" si="222"/>
        <v>HPExt</v>
      </c>
      <c r="BA783" s="14">
        <f t="shared" si="223"/>
        <v>2897</v>
      </c>
      <c r="BB783" s="14" t="str">
        <f t="shared" si="224"/>
        <v/>
      </c>
      <c r="BC783" s="14" t="str">
        <f t="shared" si="225"/>
        <v/>
      </c>
      <c r="BD783" s="14" t="str">
        <f t="shared" si="226"/>
        <v>Speed</v>
      </c>
      <c r="BE783" s="14">
        <f t="shared" si="227"/>
        <v>57</v>
      </c>
    </row>
    <row r="784" spans="39:57" ht="16.5" x14ac:dyDescent="0.2">
      <c r="AM784" s="13">
        <v>779</v>
      </c>
      <c r="AN784" s="14">
        <f t="shared" si="211"/>
        <v>42</v>
      </c>
      <c r="AO784" s="29">
        <f t="shared" si="212"/>
        <v>1.8480000000000001</v>
      </c>
      <c r="AP784" s="14">
        <f t="shared" si="213"/>
        <v>1</v>
      </c>
      <c r="AQ784" s="14">
        <f t="shared" si="214"/>
        <v>3</v>
      </c>
      <c r="AR784" s="14">
        <f t="shared" si="215"/>
        <v>0</v>
      </c>
      <c r="AS784" s="14">
        <f t="shared" si="216"/>
        <v>1606044</v>
      </c>
      <c r="AT784" s="14" t="str">
        <f t="shared" si="217"/>
        <v>神器-7-碎片-8-20级</v>
      </c>
      <c r="AU784" s="13" t="s">
        <v>1195</v>
      </c>
      <c r="AV784" s="13">
        <f t="shared" si="218"/>
        <v>20</v>
      </c>
      <c r="AW784" s="14">
        <f t="shared" si="219"/>
        <v>24057</v>
      </c>
      <c r="AX784" s="14" t="str">
        <f t="shared" si="220"/>
        <v>AtkExt</v>
      </c>
      <c r="AY784" s="14">
        <f t="shared" si="221"/>
        <v>2989</v>
      </c>
      <c r="AZ784" s="14" t="str">
        <f t="shared" si="222"/>
        <v>HPExt</v>
      </c>
      <c r="BA784" s="14">
        <f t="shared" si="223"/>
        <v>3112</v>
      </c>
      <c r="BB784" s="14" t="str">
        <f t="shared" si="224"/>
        <v/>
      </c>
      <c r="BC784" s="14" t="str">
        <f t="shared" si="225"/>
        <v/>
      </c>
      <c r="BD784" s="14" t="str">
        <f t="shared" si="226"/>
        <v>Speed</v>
      </c>
      <c r="BE784" s="14">
        <f t="shared" si="227"/>
        <v>60</v>
      </c>
    </row>
    <row r="785" spans="39:57" ht="16.5" x14ac:dyDescent="0.2">
      <c r="AM785" s="13">
        <v>780</v>
      </c>
      <c r="AN785" s="14">
        <f t="shared" si="211"/>
        <v>42</v>
      </c>
      <c r="AO785" s="29">
        <f t="shared" si="212"/>
        <v>1.98</v>
      </c>
      <c r="AP785" s="14">
        <f t="shared" si="213"/>
        <v>1</v>
      </c>
      <c r="AQ785" s="14">
        <f t="shared" si="214"/>
        <v>3</v>
      </c>
      <c r="AR785" s="14">
        <f t="shared" si="215"/>
        <v>0</v>
      </c>
      <c r="AS785" s="14">
        <f t="shared" si="216"/>
        <v>1606044</v>
      </c>
      <c r="AT785" s="14" t="str">
        <f t="shared" si="217"/>
        <v>神器-7-碎片-8-21级</v>
      </c>
      <c r="AU785" s="13" t="s">
        <v>1195</v>
      </c>
      <c r="AV785" s="13">
        <f t="shared" si="218"/>
        <v>21</v>
      </c>
      <c r="AW785" s="14">
        <f t="shared" si="219"/>
        <v>25645</v>
      </c>
      <c r="AX785" s="14" t="str">
        <f t="shared" si="220"/>
        <v>AtkExt</v>
      </c>
      <c r="AY785" s="14">
        <f t="shared" si="221"/>
        <v>3202</v>
      </c>
      <c r="AZ785" s="14" t="str">
        <f t="shared" si="222"/>
        <v>HPExt</v>
      </c>
      <c r="BA785" s="14">
        <f t="shared" si="223"/>
        <v>3335</v>
      </c>
      <c r="BB785" s="14" t="str">
        <f t="shared" si="224"/>
        <v/>
      </c>
      <c r="BC785" s="14" t="str">
        <f t="shared" si="225"/>
        <v/>
      </c>
      <c r="BD785" s="14" t="str">
        <f t="shared" si="226"/>
        <v>Speed</v>
      </c>
      <c r="BE785" s="14">
        <f t="shared" si="227"/>
        <v>63</v>
      </c>
    </row>
    <row r="786" spans="39:57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</row>
    <row r="787" spans="39:57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</row>
    <row r="788" spans="39:57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</row>
    <row r="789" spans="39:57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</row>
    <row r="790" spans="39:57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</row>
    <row r="791" spans="39:57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</row>
    <row r="792" spans="39:57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</row>
    <row r="793" spans="39:57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</row>
    <row r="794" spans="39:57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</row>
    <row r="795" spans="39:57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</row>
    <row r="796" spans="39:57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</row>
    <row r="797" spans="39:57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</row>
    <row r="798" spans="39:57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</row>
    <row r="799" spans="39:57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</row>
    <row r="800" spans="39:57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</row>
    <row r="801" spans="39:55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</row>
    <row r="802" spans="39:55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</row>
    <row r="803" spans="39:55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</row>
    <row r="804" spans="39:55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</row>
    <row r="805" spans="39:55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</row>
    <row r="806" spans="39:55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</row>
    <row r="807" spans="39:55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</row>
    <row r="808" spans="39:55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</row>
    <row r="809" spans="39:55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</row>
    <row r="810" spans="39:55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</row>
    <row r="811" spans="39:55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</row>
    <row r="812" spans="39:55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</row>
    <row r="813" spans="39:55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</row>
    <row r="814" spans="39:55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</row>
    <row r="815" spans="39:55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</row>
    <row r="816" spans="39:55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</row>
    <row r="817" spans="37:55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</row>
    <row r="818" spans="37:55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</row>
    <row r="819" spans="37:55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</row>
    <row r="820" spans="37:55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</row>
    <row r="821" spans="37:55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</row>
    <row r="822" spans="37:55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</row>
    <row r="823" spans="37:55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</row>
    <row r="824" spans="37:55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</row>
    <row r="825" spans="37:55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</row>
    <row r="826" spans="37:55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</row>
    <row r="827" spans="37:55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</row>
    <row r="828" spans="37:55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</row>
    <row r="829" spans="37:55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</row>
    <row r="830" spans="37:55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</row>
    <row r="831" spans="37:55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</row>
    <row r="832" spans="37:55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</row>
    <row r="833" spans="39:55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</row>
    <row r="834" spans="39:55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</row>
    <row r="835" spans="39:55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</row>
    <row r="836" spans="39:55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</row>
    <row r="837" spans="39:55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</row>
    <row r="838" spans="39:55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</row>
    <row r="839" spans="39:55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</row>
  </sheetData>
  <mergeCells count="3">
    <mergeCell ref="A4:G4"/>
    <mergeCell ref="S4:AJ4"/>
    <mergeCell ref="AM4:BE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1" t="s">
        <v>166</v>
      </c>
      <c r="D3" s="71"/>
      <c r="E3" s="71"/>
      <c r="F3" s="71"/>
      <c r="G3" s="71" t="s">
        <v>167</v>
      </c>
      <c r="H3" s="71"/>
      <c r="I3" s="71"/>
      <c r="J3" s="71"/>
    </row>
    <row r="4" spans="1:20" ht="17.25" x14ac:dyDescent="0.2">
      <c r="A4" s="21" t="s">
        <v>163</v>
      </c>
      <c r="B4" s="21" t="s">
        <v>143</v>
      </c>
      <c r="C4" s="21" t="s">
        <v>164</v>
      </c>
      <c r="D4" s="21" t="s">
        <v>165</v>
      </c>
      <c r="E4" s="21" t="s">
        <v>164</v>
      </c>
      <c r="F4" s="21" t="s">
        <v>165</v>
      </c>
      <c r="G4" s="21" t="s">
        <v>164</v>
      </c>
      <c r="H4" s="21" t="s">
        <v>165</v>
      </c>
      <c r="I4" s="21" t="s">
        <v>164</v>
      </c>
      <c r="J4" s="21" t="s">
        <v>165</v>
      </c>
      <c r="P4" s="12" t="s">
        <v>185</v>
      </c>
      <c r="Q4" s="12" t="s">
        <v>172</v>
      </c>
      <c r="R4" s="12" t="s">
        <v>186</v>
      </c>
      <c r="S4" s="12" t="s">
        <v>173</v>
      </c>
      <c r="T4" s="12" t="s">
        <v>170</v>
      </c>
    </row>
    <row r="5" spans="1:20" ht="16.5" x14ac:dyDescent="0.2">
      <c r="A5" s="13">
        <v>1</v>
      </c>
      <c r="B5" s="20" t="s">
        <v>131</v>
      </c>
      <c r="C5" s="13" t="s">
        <v>171</v>
      </c>
      <c r="D5" s="24">
        <v>0.12</v>
      </c>
      <c r="E5" s="13"/>
      <c r="F5" s="13"/>
      <c r="G5" s="13" t="s">
        <v>171</v>
      </c>
      <c r="H5" s="24">
        <v>0.2</v>
      </c>
      <c r="I5" s="13"/>
      <c r="J5" s="13"/>
      <c r="L5" t="s">
        <v>202</v>
      </c>
      <c r="O5" s="15" t="s">
        <v>168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133</v>
      </c>
      <c r="C6" s="13" t="s">
        <v>174</v>
      </c>
      <c r="D6" s="24">
        <v>0.25</v>
      </c>
      <c r="E6" s="13"/>
      <c r="F6" s="13"/>
      <c r="G6" s="13" t="s">
        <v>174</v>
      </c>
      <c r="H6" s="24">
        <v>0.5</v>
      </c>
      <c r="I6" s="13"/>
      <c r="J6" s="13"/>
      <c r="L6" t="s">
        <v>201</v>
      </c>
      <c r="O6" s="15" t="s">
        <v>169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153</v>
      </c>
      <c r="C7" s="13" t="s">
        <v>175</v>
      </c>
      <c r="D7" s="24">
        <v>0.12</v>
      </c>
      <c r="E7" s="13"/>
      <c r="F7" s="13"/>
      <c r="G7" s="13" t="s">
        <v>175</v>
      </c>
      <c r="H7" s="24">
        <v>0.2</v>
      </c>
      <c r="I7" s="13"/>
      <c r="J7" s="13"/>
      <c r="L7" t="s">
        <v>203</v>
      </c>
    </row>
    <row r="8" spans="1:20" ht="16.5" x14ac:dyDescent="0.2">
      <c r="A8" s="13">
        <v>4</v>
      </c>
      <c r="B8" s="20" t="s">
        <v>53</v>
      </c>
      <c r="C8" s="20" t="s">
        <v>176</v>
      </c>
      <c r="D8" s="24">
        <v>0.12</v>
      </c>
      <c r="E8" s="13"/>
      <c r="F8" s="13"/>
      <c r="G8" s="20" t="s">
        <v>176</v>
      </c>
      <c r="H8" s="24">
        <v>0.2</v>
      </c>
      <c r="I8" s="13"/>
      <c r="J8" s="13"/>
      <c r="L8" t="s">
        <v>204</v>
      </c>
    </row>
    <row r="9" spans="1:20" ht="16.5" x14ac:dyDescent="0.2">
      <c r="A9" s="13">
        <v>5</v>
      </c>
      <c r="B9" s="20" t="s">
        <v>144</v>
      </c>
      <c r="C9" s="13" t="s">
        <v>177</v>
      </c>
      <c r="D9" s="24">
        <v>0.12</v>
      </c>
      <c r="E9" s="13"/>
      <c r="F9" s="13"/>
      <c r="G9" s="13" t="s">
        <v>177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154</v>
      </c>
      <c r="C10" s="13" t="s">
        <v>179</v>
      </c>
      <c r="D10" s="24">
        <v>0.25</v>
      </c>
      <c r="E10" s="13"/>
      <c r="F10" s="13"/>
      <c r="G10" s="13" t="s">
        <v>178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145</v>
      </c>
      <c r="C11" s="20" t="s">
        <v>180</v>
      </c>
      <c r="D11" s="24">
        <v>0.12</v>
      </c>
      <c r="E11" s="13"/>
      <c r="F11" s="13"/>
      <c r="G11" s="20" t="s">
        <v>180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132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146</v>
      </c>
      <c r="C13" s="20" t="s">
        <v>181</v>
      </c>
      <c r="D13" s="24">
        <v>0.2</v>
      </c>
      <c r="E13" s="13"/>
      <c r="F13" s="13"/>
      <c r="G13" s="20" t="s">
        <v>181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147</v>
      </c>
      <c r="C14" s="13" t="s">
        <v>182</v>
      </c>
      <c r="D14" s="24">
        <v>0.12</v>
      </c>
      <c r="E14" s="13"/>
      <c r="F14" s="13"/>
      <c r="G14" s="13" t="s">
        <v>182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148</v>
      </c>
      <c r="C15" s="13" t="s">
        <v>183</v>
      </c>
      <c r="D15" s="24">
        <v>0.12</v>
      </c>
      <c r="E15" s="13"/>
      <c r="F15" s="13"/>
      <c r="G15" s="13" t="s">
        <v>183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149</v>
      </c>
      <c r="C16" s="13" t="s">
        <v>184</v>
      </c>
      <c r="D16" s="24">
        <v>0.12</v>
      </c>
      <c r="E16" s="13"/>
      <c r="F16" s="13"/>
      <c r="G16" s="13" t="s">
        <v>184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155</v>
      </c>
      <c r="C17" s="13" t="s">
        <v>187</v>
      </c>
      <c r="D17" s="13">
        <v>1</v>
      </c>
      <c r="E17" s="13"/>
      <c r="F17" s="13"/>
      <c r="G17" s="13" t="s">
        <v>187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156</v>
      </c>
      <c r="C18" s="13" t="s">
        <v>188</v>
      </c>
      <c r="D18" s="13">
        <v>1</v>
      </c>
      <c r="E18" s="13"/>
      <c r="F18" s="13"/>
      <c r="G18" s="13" t="s">
        <v>188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150</v>
      </c>
      <c r="C19" s="13" t="s">
        <v>189</v>
      </c>
      <c r="D19" s="13">
        <v>1</v>
      </c>
      <c r="E19" s="13"/>
      <c r="F19" s="13"/>
      <c r="G19" s="13" t="s">
        <v>189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157</v>
      </c>
      <c r="C20" s="13" t="s">
        <v>190</v>
      </c>
      <c r="D20" s="13">
        <v>2</v>
      </c>
      <c r="E20" s="24">
        <v>0.25</v>
      </c>
      <c r="F20" s="13"/>
      <c r="G20" s="13" t="s">
        <v>190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192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191</v>
      </c>
      <c r="C22" s="13" t="s">
        <v>184</v>
      </c>
      <c r="D22" s="24">
        <v>0.06</v>
      </c>
      <c r="E22" s="13"/>
      <c r="F22" s="13"/>
      <c r="G22" s="13" t="s">
        <v>184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158</v>
      </c>
      <c r="C23" s="13" t="s">
        <v>193</v>
      </c>
      <c r="D23" s="24">
        <v>-0.2</v>
      </c>
      <c r="E23" s="13" t="s">
        <v>194</v>
      </c>
      <c r="F23" s="24">
        <v>-0.3</v>
      </c>
      <c r="G23" s="13" t="s">
        <v>193</v>
      </c>
      <c r="H23" s="24">
        <v>-0.2</v>
      </c>
      <c r="I23" s="13" t="s">
        <v>194</v>
      </c>
      <c r="J23" s="24">
        <v>-0.4</v>
      </c>
    </row>
    <row r="24" spans="1:10" ht="16.5" x14ac:dyDescent="0.2">
      <c r="A24" s="13">
        <v>20</v>
      </c>
      <c r="B24" s="20" t="s">
        <v>151</v>
      </c>
      <c r="C24" s="13" t="s">
        <v>195</v>
      </c>
      <c r="D24" s="24">
        <v>-0.2</v>
      </c>
      <c r="E24" s="13" t="s">
        <v>196</v>
      </c>
      <c r="F24" s="24">
        <v>0.25</v>
      </c>
      <c r="G24" s="13" t="s">
        <v>195</v>
      </c>
      <c r="H24" s="24">
        <v>-0.2</v>
      </c>
      <c r="I24" s="13" t="s">
        <v>196</v>
      </c>
      <c r="J24" s="24">
        <v>0.35</v>
      </c>
    </row>
    <row r="25" spans="1:10" ht="16.5" x14ac:dyDescent="0.2">
      <c r="A25" s="13">
        <v>21</v>
      </c>
      <c r="B25" s="20" t="s">
        <v>152</v>
      </c>
      <c r="C25" s="13" t="s">
        <v>197</v>
      </c>
      <c r="D25" s="24">
        <v>0.06</v>
      </c>
      <c r="E25" s="13" t="s">
        <v>198</v>
      </c>
      <c r="F25" s="24">
        <v>0.06</v>
      </c>
      <c r="G25" s="13" t="s">
        <v>197</v>
      </c>
      <c r="H25" s="24">
        <v>0.12</v>
      </c>
      <c r="I25" s="13" t="s">
        <v>198</v>
      </c>
      <c r="J25" s="24">
        <v>0.12</v>
      </c>
    </row>
    <row r="26" spans="1:10" ht="16.5" x14ac:dyDescent="0.2">
      <c r="A26" s="13">
        <v>22</v>
      </c>
      <c r="B26" s="20" t="s">
        <v>159</v>
      </c>
      <c r="C26" s="13" t="s">
        <v>184</v>
      </c>
      <c r="D26" s="24">
        <v>0.06</v>
      </c>
      <c r="E26" s="13" t="s">
        <v>199</v>
      </c>
      <c r="F26" s="24">
        <v>0.06</v>
      </c>
      <c r="G26" s="13" t="s">
        <v>184</v>
      </c>
      <c r="H26" s="24">
        <v>0.12</v>
      </c>
      <c r="I26" s="13" t="s">
        <v>199</v>
      </c>
      <c r="J26" s="24">
        <v>0.12</v>
      </c>
    </row>
    <row r="27" spans="1:10" ht="16.5" x14ac:dyDescent="0.2">
      <c r="A27" s="13">
        <v>23</v>
      </c>
      <c r="B27" s="20" t="s">
        <v>160</v>
      </c>
      <c r="C27" s="13" t="s">
        <v>196</v>
      </c>
      <c r="D27" s="13"/>
      <c r="E27" s="13" t="s">
        <v>200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161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162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71" t="s">
        <v>245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N2" s="30"/>
      <c r="O2" s="30"/>
      <c r="P2" s="30"/>
      <c r="R2" s="71" t="s">
        <v>72</v>
      </c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</row>
    <row r="3" spans="1:30" ht="16.5" x14ac:dyDescent="0.2">
      <c r="A3" s="15" t="s">
        <v>240</v>
      </c>
      <c r="B3" s="13">
        <v>3</v>
      </c>
      <c r="C3" s="15" t="s">
        <v>66</v>
      </c>
      <c r="D3" s="13">
        <v>1</v>
      </c>
      <c r="R3" s="15" t="s">
        <v>240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238</v>
      </c>
      <c r="B4" s="12" t="s">
        <v>239</v>
      </c>
      <c r="C4" s="12" t="s">
        <v>246</v>
      </c>
      <c r="D4" s="12" t="s">
        <v>63</v>
      </c>
      <c r="E4" s="12" t="s">
        <v>64</v>
      </c>
      <c r="F4" s="12" t="s">
        <v>62</v>
      </c>
      <c r="G4" s="12" t="s">
        <v>241</v>
      </c>
      <c r="H4" s="12" t="s">
        <v>61</v>
      </c>
      <c r="I4" s="12" t="s">
        <v>244</v>
      </c>
      <c r="J4" s="12" t="s">
        <v>242</v>
      </c>
      <c r="K4" s="12" t="s">
        <v>243</v>
      </c>
      <c r="L4" s="12" t="s">
        <v>25</v>
      </c>
      <c r="R4" s="12" t="s">
        <v>238</v>
      </c>
      <c r="S4" s="12" t="s">
        <v>239</v>
      </c>
      <c r="T4" s="12" t="s">
        <v>246</v>
      </c>
      <c r="U4" s="12" t="s">
        <v>63</v>
      </c>
      <c r="V4" s="12" t="s">
        <v>64</v>
      </c>
      <c r="W4" s="12" t="s">
        <v>62</v>
      </c>
      <c r="X4" s="12" t="s">
        <v>241</v>
      </c>
      <c r="Y4" s="12" t="s">
        <v>61</v>
      </c>
      <c r="Z4" s="12" t="s">
        <v>244</v>
      </c>
      <c r="AA4" s="12" t="s">
        <v>242</v>
      </c>
      <c r="AB4" s="12" t="s">
        <v>243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V875"/>
  <sheetViews>
    <sheetView zoomScaleNormal="100" workbookViewId="0">
      <selection activeCell="J30" sqref="J30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7" width="9" style="30"/>
    <col min="38" max="38" width="10.25" style="30" customWidth="1"/>
    <col min="39" max="39" width="13.25" style="30" customWidth="1"/>
    <col min="40" max="40" width="11.875" style="30" customWidth="1"/>
    <col min="41" max="51" width="8.125" style="30" customWidth="1"/>
    <col min="52" max="54" width="9" style="30"/>
    <col min="55" max="55" width="14.5" style="30" customWidth="1"/>
    <col min="56" max="71" width="9" style="30"/>
    <col min="72" max="72" width="22.5" style="30" customWidth="1"/>
    <col min="73" max="73" width="11.75" style="30" customWidth="1"/>
    <col min="74" max="74" width="7.75" style="30" customWidth="1"/>
    <col min="75" max="75" width="9.625" style="30" customWidth="1"/>
    <col min="76" max="77" width="9" style="30" customWidth="1"/>
    <col min="78" max="79" width="8.875" style="30" customWidth="1"/>
    <col min="80" max="80" width="9" style="30" customWidth="1"/>
    <col min="81" max="81" width="9.625" style="30" customWidth="1"/>
    <col min="82" max="88" width="10.625" style="30" customWidth="1"/>
    <col min="89" max="89" width="9.75" style="30" customWidth="1"/>
    <col min="90" max="90" width="9.625" style="30" customWidth="1"/>
    <col min="91" max="91" width="10.75" style="30" customWidth="1"/>
    <col min="92" max="102" width="10.625" style="30" customWidth="1"/>
    <col min="103" max="103" width="10.125" style="30" customWidth="1"/>
    <col min="104" max="112" width="10.625" style="30" customWidth="1"/>
    <col min="113" max="120" width="30.625" style="30" customWidth="1"/>
    <col min="121" max="122" width="10.625" style="30" customWidth="1"/>
    <col min="123" max="124" width="9" style="30"/>
    <col min="125" max="125" width="13.625" style="30" customWidth="1"/>
    <col min="126" max="128" width="9" style="30"/>
    <col min="129" max="129" width="9.625" style="30" customWidth="1"/>
    <col min="130" max="135" width="9" style="30"/>
    <col min="136" max="136" width="9.625" style="30" customWidth="1"/>
    <col min="137" max="137" width="10.375" style="30" customWidth="1"/>
    <col min="138" max="138" width="9.375" style="30" customWidth="1"/>
    <col min="139" max="139" width="10.375" style="30" customWidth="1"/>
    <col min="140" max="140" width="11" style="30" customWidth="1"/>
    <col min="141" max="147" width="9" style="30"/>
    <col min="149" max="150" width="9" style="30"/>
    <col min="152" max="153" width="9" style="30"/>
    <col min="155" max="161" width="9" style="30"/>
    <col min="162" max="162" width="15.125" customWidth="1"/>
    <col min="163" max="163" width="39.75" customWidth="1"/>
    <col min="164" max="164" width="10.5" customWidth="1"/>
    <col min="166" max="170" width="9" style="30"/>
    <col min="171" max="171" width="9" style="30" customWidth="1"/>
    <col min="172" max="174" width="9" customWidth="1"/>
    <col min="175" max="175" width="9.625" customWidth="1"/>
    <col min="176" max="177" width="9" customWidth="1"/>
    <col min="178" max="179" width="9" style="30" customWidth="1"/>
    <col min="180" max="180" width="10.625" style="30" customWidth="1"/>
    <col min="181" max="181" width="31" customWidth="1"/>
    <col min="182" max="183" width="9" style="30" customWidth="1"/>
    <col min="187" max="187" width="9" style="30"/>
    <col min="188" max="188" width="9.5" customWidth="1"/>
    <col min="189" max="189" width="10" customWidth="1"/>
    <col min="190" max="190" width="10" style="30" customWidth="1"/>
    <col min="191" max="191" width="9.875" customWidth="1"/>
    <col min="192" max="192" width="10.75" customWidth="1"/>
    <col min="193" max="193" width="9.75" style="30" customWidth="1"/>
    <col min="194" max="194" width="12.625" customWidth="1"/>
    <col min="195" max="195" width="9.75" style="30" customWidth="1"/>
    <col min="196" max="196" width="8.75" style="30" customWidth="1"/>
    <col min="197" max="197" width="11.75" style="30" customWidth="1"/>
    <col min="198" max="198" width="7.25" style="30" customWidth="1"/>
    <col min="201" max="201" width="9" style="30"/>
    <col min="202" max="202" width="19" style="30" customWidth="1"/>
    <col min="203" max="204" width="9" style="30"/>
    <col min="206" max="208" width="9" style="30"/>
    <col min="209" max="209" width="9.75" style="30" customWidth="1"/>
    <col min="210" max="210" width="28.25" style="30" customWidth="1"/>
    <col min="211" max="211" width="20.125" style="30" customWidth="1"/>
    <col min="212" max="213" width="9" style="30"/>
    <col min="214" max="214" width="11.875" style="30" customWidth="1"/>
    <col min="215" max="215" width="12.5" style="30" customWidth="1"/>
    <col min="216" max="217" width="9" style="30"/>
    <col min="219" max="219" width="9" style="30"/>
    <col min="220" max="223" width="8.25" style="30" customWidth="1"/>
    <col min="224" max="224" width="23.625" style="30" customWidth="1"/>
    <col min="228" max="228" width="12.125" customWidth="1"/>
    <col min="229" max="229" width="9" style="30"/>
  </cols>
  <sheetData>
    <row r="2" spans="1:230" s="30" customFormat="1" x14ac:dyDescent="0.2">
      <c r="CB2" s="30">
        <v>10</v>
      </c>
      <c r="CC2" s="30">
        <v>20</v>
      </c>
      <c r="CD2" s="30">
        <v>1</v>
      </c>
      <c r="FY2" s="30" t="s">
        <v>1429</v>
      </c>
    </row>
    <row r="3" spans="1:230" s="30" customFormat="1" ht="16.5" x14ac:dyDescent="0.2">
      <c r="A3" s="15" t="s">
        <v>713</v>
      </c>
      <c r="B3" s="13">
        <v>4</v>
      </c>
      <c r="C3" s="15" t="s">
        <v>839</v>
      </c>
      <c r="D3" s="13">
        <v>1</v>
      </c>
      <c r="E3" s="15" t="s">
        <v>275</v>
      </c>
      <c r="F3" s="13">
        <v>1</v>
      </c>
      <c r="AR3" s="30" t="s">
        <v>1238</v>
      </c>
      <c r="AS3" s="30" t="s">
        <v>262</v>
      </c>
      <c r="AT3" s="30" t="s">
        <v>1236</v>
      </c>
      <c r="AU3" s="30" t="s">
        <v>1237</v>
      </c>
      <c r="AV3" s="30" t="s">
        <v>263</v>
      </c>
      <c r="AW3" s="30" t="s">
        <v>264</v>
      </c>
      <c r="AX3" s="30" t="s">
        <v>265</v>
      </c>
      <c r="AY3" s="30" t="s">
        <v>266</v>
      </c>
      <c r="BH3" s="30" t="s">
        <v>298</v>
      </c>
      <c r="BI3" s="30" t="s">
        <v>299</v>
      </c>
      <c r="BJ3" s="30" t="s">
        <v>300</v>
      </c>
      <c r="BT3" s="15" t="s">
        <v>714</v>
      </c>
      <c r="BU3" s="13">
        <v>4</v>
      </c>
      <c r="BV3" s="15" t="s">
        <v>844</v>
      </c>
      <c r="BW3" s="13">
        <v>2</v>
      </c>
      <c r="CB3" s="30" t="s">
        <v>1370</v>
      </c>
      <c r="CC3" s="48" t="s">
        <v>1368</v>
      </c>
      <c r="CD3" s="30" t="s">
        <v>1369</v>
      </c>
      <c r="CE3" s="30" t="s">
        <v>1371</v>
      </c>
      <c r="CF3" s="30" t="s">
        <v>1372</v>
      </c>
      <c r="CG3" s="30" t="s">
        <v>1373</v>
      </c>
      <c r="CH3" s="30" t="s">
        <v>1374</v>
      </c>
      <c r="CI3" s="30" t="s">
        <v>1375</v>
      </c>
      <c r="DA3" s="30">
        <v>1</v>
      </c>
      <c r="DB3" s="30">
        <v>2</v>
      </c>
      <c r="DC3" s="30">
        <v>3</v>
      </c>
      <c r="DD3" s="30">
        <v>4</v>
      </c>
      <c r="DE3" s="30">
        <v>5</v>
      </c>
      <c r="DF3" s="30">
        <v>6</v>
      </c>
      <c r="DG3" s="30">
        <v>7</v>
      </c>
      <c r="DH3" s="30">
        <v>8</v>
      </c>
      <c r="DY3" s="30">
        <v>1800</v>
      </c>
      <c r="DZ3" s="30">
        <v>1800</v>
      </c>
      <c r="EA3" s="30">
        <v>2000</v>
      </c>
      <c r="EB3" s="30">
        <v>500</v>
      </c>
      <c r="EC3" s="30">
        <v>400</v>
      </c>
      <c r="ED3" s="30">
        <v>500</v>
      </c>
      <c r="EE3" s="30">
        <v>500</v>
      </c>
      <c r="EF3" s="30">
        <v>500</v>
      </c>
      <c r="EG3" s="30">
        <v>500</v>
      </c>
      <c r="EH3" s="30">
        <v>500</v>
      </c>
      <c r="EI3" s="30">
        <v>500</v>
      </c>
      <c r="EJ3" s="30">
        <v>500</v>
      </c>
      <c r="EU3" s="15" t="s">
        <v>1322</v>
      </c>
      <c r="EV3" s="14">
        <f>AQ64</f>
        <v>435</v>
      </c>
      <c r="EW3" s="15" t="s">
        <v>1324</v>
      </c>
      <c r="EX3" s="14">
        <f>COUNT(A6:A16)</f>
        <v>11</v>
      </c>
      <c r="FS3" s="19">
        <v>5</v>
      </c>
      <c r="FT3" s="19">
        <v>10</v>
      </c>
      <c r="FU3" s="19">
        <v>1</v>
      </c>
    </row>
    <row r="4" spans="1:230" s="19" customFormat="1" ht="20.25" x14ac:dyDescent="0.2">
      <c r="A4" s="72" t="s">
        <v>1292</v>
      </c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30"/>
      <c r="AF4" s="30"/>
      <c r="AG4" s="71" t="s">
        <v>1291</v>
      </c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30"/>
      <c r="BA4" s="30"/>
      <c r="BB4" s="71"/>
      <c r="BC4" s="71"/>
      <c r="BD4" s="30"/>
      <c r="BE4" s="30"/>
      <c r="BF4" s="71" t="s">
        <v>1289</v>
      </c>
      <c r="BG4" s="71"/>
      <c r="BH4" s="71"/>
      <c r="BI4" s="71"/>
      <c r="BJ4" s="71"/>
      <c r="BK4" s="71"/>
      <c r="BL4" s="71"/>
      <c r="BM4" s="71"/>
      <c r="BN4" s="30"/>
      <c r="BO4" s="30"/>
      <c r="BP4" s="71" t="s">
        <v>1290</v>
      </c>
      <c r="BQ4" s="71"/>
      <c r="BR4" s="71"/>
      <c r="BS4" s="30"/>
      <c r="BT4" s="72" t="s">
        <v>1293</v>
      </c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30"/>
      <c r="DR4" s="30"/>
      <c r="DS4" s="30"/>
      <c r="DT4" s="30"/>
      <c r="DU4" s="30"/>
      <c r="DV4" s="30"/>
      <c r="DW4" s="30"/>
      <c r="DX4" s="30"/>
      <c r="DY4" s="30" t="s">
        <v>331</v>
      </c>
      <c r="DZ4" s="30" t="s">
        <v>332</v>
      </c>
      <c r="EA4" s="30" t="s">
        <v>333</v>
      </c>
      <c r="EB4" s="30" t="s">
        <v>337</v>
      </c>
      <c r="EC4" s="30" t="s">
        <v>356</v>
      </c>
      <c r="ED4" s="30" t="s">
        <v>357</v>
      </c>
      <c r="EE4" s="30" t="s">
        <v>366</v>
      </c>
      <c r="EF4" s="30" t="s">
        <v>367</v>
      </c>
      <c r="EG4" s="30" t="s">
        <v>368</v>
      </c>
      <c r="EH4" s="30" t="s">
        <v>369</v>
      </c>
      <c r="EI4" s="30" t="s">
        <v>370</v>
      </c>
      <c r="EJ4" s="30" t="s">
        <v>371</v>
      </c>
      <c r="EK4" s="30"/>
      <c r="EL4" s="30"/>
      <c r="EM4" s="71" t="s">
        <v>346</v>
      </c>
      <c r="EN4" s="71"/>
      <c r="EO4" s="71"/>
      <c r="EP4" s="71"/>
      <c r="EQ4" s="30"/>
      <c r="ES4" s="30"/>
      <c r="ET4" s="30"/>
      <c r="EU4" s="71" t="s">
        <v>1320</v>
      </c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30"/>
      <c r="GA4" s="30"/>
      <c r="GC4" s="71" t="s">
        <v>1298</v>
      </c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S4" s="30"/>
      <c r="GT4" s="30"/>
      <c r="GU4" s="30"/>
      <c r="GV4" s="30"/>
      <c r="GW4" s="71" t="s">
        <v>1397</v>
      </c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30"/>
      <c r="HI4" s="30"/>
      <c r="HK4" s="72" t="s">
        <v>894</v>
      </c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</row>
    <row r="5" spans="1:230" s="19" customFormat="1" ht="17.25" x14ac:dyDescent="0.2">
      <c r="A5" s="12" t="s">
        <v>270</v>
      </c>
      <c r="B5" s="12" t="s">
        <v>274</v>
      </c>
      <c r="C5" s="12" t="s">
        <v>276</v>
      </c>
      <c r="D5" s="12" t="s">
        <v>277</v>
      </c>
      <c r="E5" s="12" t="s">
        <v>843</v>
      </c>
      <c r="F5" s="12" t="s">
        <v>840</v>
      </c>
      <c r="G5" s="12" t="s">
        <v>841</v>
      </c>
      <c r="H5" s="12" t="s">
        <v>842</v>
      </c>
      <c r="I5" s="12" t="s">
        <v>275</v>
      </c>
      <c r="J5" s="12" t="s">
        <v>278</v>
      </c>
      <c r="K5" s="12" t="s">
        <v>279</v>
      </c>
      <c r="L5" s="12" t="s">
        <v>280</v>
      </c>
      <c r="M5" s="12" t="s">
        <v>384</v>
      </c>
      <c r="N5" s="12" t="s">
        <v>385</v>
      </c>
      <c r="O5" s="12" t="s">
        <v>386</v>
      </c>
      <c r="P5" s="12" t="s">
        <v>271</v>
      </c>
      <c r="Q5" s="12" t="s">
        <v>273</v>
      </c>
      <c r="R5" s="12" t="s">
        <v>272</v>
      </c>
      <c r="S5" s="12" t="s">
        <v>383</v>
      </c>
      <c r="T5" s="12" t="s">
        <v>380</v>
      </c>
      <c r="U5" s="12" t="s">
        <v>381</v>
      </c>
      <c r="V5" s="12" t="s">
        <v>1283</v>
      </c>
      <c r="W5" s="12" t="s">
        <v>1284</v>
      </c>
      <c r="X5" s="12" t="s">
        <v>1285</v>
      </c>
      <c r="Y5" s="12" t="s">
        <v>1286</v>
      </c>
      <c r="Z5" s="12" t="s">
        <v>1287</v>
      </c>
      <c r="AA5" s="12" t="s">
        <v>1294</v>
      </c>
      <c r="AB5" s="12" t="s">
        <v>1295</v>
      </c>
      <c r="AC5" s="12" t="s">
        <v>1296</v>
      </c>
      <c r="AD5" s="12" t="s">
        <v>1297</v>
      </c>
      <c r="AE5" s="16"/>
      <c r="AF5" s="30"/>
      <c r="AG5" s="12" t="s">
        <v>1239</v>
      </c>
      <c r="AH5" s="12" t="s">
        <v>1278</v>
      </c>
      <c r="AI5" s="12" t="s">
        <v>1281</v>
      </c>
      <c r="AJ5" s="12" t="s">
        <v>1280</v>
      </c>
      <c r="AK5" s="12" t="s">
        <v>1279</v>
      </c>
      <c r="AL5" s="12" t="s">
        <v>1256</v>
      </c>
      <c r="AM5" s="12" t="s">
        <v>1258</v>
      </c>
      <c r="AN5" s="12" t="s">
        <v>1277</v>
      </c>
      <c r="AO5" s="12" t="s">
        <v>1272</v>
      </c>
      <c r="AP5" s="12" t="s">
        <v>1273</v>
      </c>
      <c r="AQ5" s="12" t="s">
        <v>1276</v>
      </c>
      <c r="AR5" s="12" t="s">
        <v>1274</v>
      </c>
      <c r="AS5" s="12" t="s">
        <v>255</v>
      </c>
      <c r="AT5" s="12" t="s">
        <v>256</v>
      </c>
      <c r="AU5" s="12" t="s">
        <v>257</v>
      </c>
      <c r="AV5" s="12" t="s">
        <v>258</v>
      </c>
      <c r="AW5" s="12" t="s">
        <v>259</v>
      </c>
      <c r="AX5" s="12" t="s">
        <v>260</v>
      </c>
      <c r="AY5" s="12" t="s">
        <v>261</v>
      </c>
      <c r="AZ5" s="30"/>
      <c r="BA5" s="30"/>
      <c r="BB5" s="12" t="s">
        <v>1317</v>
      </c>
      <c r="BC5" s="12" t="s">
        <v>1316</v>
      </c>
      <c r="BD5" s="30"/>
      <c r="BE5" s="30"/>
      <c r="BF5" s="12" t="s">
        <v>285</v>
      </c>
      <c r="BG5" s="12" t="s">
        <v>281</v>
      </c>
      <c r="BH5" s="12" t="s">
        <v>282</v>
      </c>
      <c r="BI5" s="12" t="s">
        <v>283</v>
      </c>
      <c r="BJ5" s="12" t="s">
        <v>284</v>
      </c>
      <c r="BK5" s="12" t="s">
        <v>1288</v>
      </c>
      <c r="BL5" s="12" t="s">
        <v>296</v>
      </c>
      <c r="BM5" s="12" t="s">
        <v>297</v>
      </c>
      <c r="BN5" s="30"/>
      <c r="BO5" s="30"/>
      <c r="BP5" s="12" t="s">
        <v>291</v>
      </c>
      <c r="BQ5" s="12" t="s">
        <v>289</v>
      </c>
      <c r="BR5" s="12" t="s">
        <v>290</v>
      </c>
      <c r="BS5" s="30"/>
      <c r="BT5" s="12" t="s">
        <v>313</v>
      </c>
      <c r="BU5" s="12" t="s">
        <v>1367</v>
      </c>
      <c r="BV5" s="12" t="s">
        <v>845</v>
      </c>
      <c r="BW5" s="12" t="s">
        <v>846</v>
      </c>
      <c r="BX5" s="12" t="s">
        <v>311</v>
      </c>
      <c r="BY5" s="12" t="s">
        <v>1345</v>
      </c>
      <c r="BZ5" s="12" t="s">
        <v>312</v>
      </c>
      <c r="CA5" s="12" t="s">
        <v>1346</v>
      </c>
      <c r="CB5" s="12" t="s">
        <v>311</v>
      </c>
      <c r="CC5" s="12" t="s">
        <v>1345</v>
      </c>
      <c r="CD5" s="12" t="s">
        <v>312</v>
      </c>
      <c r="CE5" s="12" t="s">
        <v>1347</v>
      </c>
      <c r="CF5" s="12" t="s">
        <v>1348</v>
      </c>
      <c r="CG5" s="12" t="s">
        <v>1349</v>
      </c>
      <c r="CH5" s="12" t="s">
        <v>1350</v>
      </c>
      <c r="CI5" s="12" t="s">
        <v>1351</v>
      </c>
      <c r="CJ5" s="12" t="s">
        <v>848</v>
      </c>
      <c r="CK5" s="12" t="s">
        <v>1352</v>
      </c>
      <c r="CL5" s="12" t="s">
        <v>1353</v>
      </c>
      <c r="CM5" s="12" t="s">
        <v>1354</v>
      </c>
      <c r="CN5" s="12" t="s">
        <v>1355</v>
      </c>
      <c r="CO5" s="12" t="s">
        <v>1356</v>
      </c>
      <c r="CP5" s="12" t="s">
        <v>1357</v>
      </c>
      <c r="CQ5" s="12" t="s">
        <v>1358</v>
      </c>
      <c r="CR5" s="12" t="s">
        <v>1358</v>
      </c>
      <c r="CS5" s="12" t="s">
        <v>1358</v>
      </c>
      <c r="CT5" s="12" t="s">
        <v>1358</v>
      </c>
      <c r="CU5" s="12" t="s">
        <v>1359</v>
      </c>
      <c r="CV5" s="12" t="s">
        <v>1359</v>
      </c>
      <c r="CW5" s="12" t="s">
        <v>1359</v>
      </c>
      <c r="CX5" s="12" t="s">
        <v>1359</v>
      </c>
      <c r="CY5" s="12" t="s">
        <v>1378</v>
      </c>
      <c r="CZ5" s="12" t="s">
        <v>1377</v>
      </c>
      <c r="DA5" s="12" t="s">
        <v>1379</v>
      </c>
      <c r="DB5" s="12" t="s">
        <v>1380</v>
      </c>
      <c r="DC5" s="12" t="s">
        <v>1381</v>
      </c>
      <c r="DD5" s="12" t="s">
        <v>1382</v>
      </c>
      <c r="DE5" s="12" t="s">
        <v>1383</v>
      </c>
      <c r="DF5" s="12" t="s">
        <v>1384</v>
      </c>
      <c r="DG5" s="12" t="s">
        <v>1385</v>
      </c>
      <c r="DH5" s="12" t="s">
        <v>1386</v>
      </c>
      <c r="DI5" s="12" t="s">
        <v>1387</v>
      </c>
      <c r="DJ5" s="12" t="s">
        <v>1388</v>
      </c>
      <c r="DK5" s="12" t="s">
        <v>1389</v>
      </c>
      <c r="DL5" s="12" t="s">
        <v>1390</v>
      </c>
      <c r="DM5" s="12" t="s">
        <v>1391</v>
      </c>
      <c r="DN5" s="12" t="s">
        <v>1392</v>
      </c>
      <c r="DO5" s="12" t="s">
        <v>1393</v>
      </c>
      <c r="DP5" s="12" t="s">
        <v>1394</v>
      </c>
      <c r="DQ5" s="30"/>
      <c r="DR5" s="30"/>
      <c r="DS5" s="30"/>
      <c r="DT5" s="12" t="s">
        <v>338</v>
      </c>
      <c r="DU5" s="12" t="s">
        <v>1299</v>
      </c>
      <c r="DV5" s="12" t="s">
        <v>329</v>
      </c>
      <c r="DW5" s="12" t="s">
        <v>328</v>
      </c>
      <c r="DX5" s="12" t="s">
        <v>327</v>
      </c>
      <c r="DY5" s="12" t="s">
        <v>324</v>
      </c>
      <c r="DZ5" s="12" t="s">
        <v>325</v>
      </c>
      <c r="EA5" s="12" t="s">
        <v>326</v>
      </c>
      <c r="EB5" s="12" t="s">
        <v>334</v>
      </c>
      <c r="EC5" s="12" t="s">
        <v>335</v>
      </c>
      <c r="ED5" s="12" t="s">
        <v>336</v>
      </c>
      <c r="EE5" s="12" t="s">
        <v>361</v>
      </c>
      <c r="EF5" s="12" t="s">
        <v>364</v>
      </c>
      <c r="EG5" s="12" t="s">
        <v>363</v>
      </c>
      <c r="EH5" s="12" t="s">
        <v>362</v>
      </c>
      <c r="EI5" s="12" t="s">
        <v>31</v>
      </c>
      <c r="EJ5" s="12" t="s">
        <v>365</v>
      </c>
      <c r="EK5" s="12"/>
      <c r="EL5" s="30"/>
      <c r="EM5" s="12" t="s">
        <v>348</v>
      </c>
      <c r="EN5" s="12" t="s">
        <v>349</v>
      </c>
      <c r="EO5" s="12" t="s">
        <v>350</v>
      </c>
      <c r="EP5" s="12" t="s">
        <v>351</v>
      </c>
      <c r="EQ5" s="30"/>
      <c r="ER5" s="12" t="s">
        <v>1427</v>
      </c>
      <c r="ES5" s="12" t="s">
        <v>1428</v>
      </c>
      <c r="ET5" s="30"/>
      <c r="EU5" s="12" t="s">
        <v>253</v>
      </c>
      <c r="EV5" s="12" t="s">
        <v>1314</v>
      </c>
      <c r="EW5" s="12" t="s">
        <v>1321</v>
      </c>
      <c r="EX5" s="12" t="s">
        <v>267</v>
      </c>
      <c r="EY5" s="12" t="s">
        <v>359</v>
      </c>
      <c r="EZ5" s="12" t="s">
        <v>1323</v>
      </c>
      <c r="FA5" s="12" t="s">
        <v>1281</v>
      </c>
      <c r="FB5" s="12" t="s">
        <v>1280</v>
      </c>
      <c r="FC5" s="12" t="s">
        <v>1410</v>
      </c>
      <c r="FD5" s="12" t="s">
        <v>1282</v>
      </c>
      <c r="FE5" s="12" t="s">
        <v>1411</v>
      </c>
      <c r="FF5" s="12" t="s">
        <v>249</v>
      </c>
      <c r="FG5" s="12" t="s">
        <v>250</v>
      </c>
      <c r="FH5" s="12" t="s">
        <v>252</v>
      </c>
      <c r="FI5" s="12" t="s">
        <v>251</v>
      </c>
      <c r="FJ5" s="12" t="s">
        <v>303</v>
      </c>
      <c r="FK5" s="12" t="s">
        <v>304</v>
      </c>
      <c r="FL5" s="12" t="s">
        <v>1278</v>
      </c>
      <c r="FM5" s="12" t="s">
        <v>268</v>
      </c>
      <c r="FN5" s="12" t="s">
        <v>323</v>
      </c>
      <c r="FO5" s="12" t="s">
        <v>360</v>
      </c>
      <c r="FP5" s="12" t="s">
        <v>286</v>
      </c>
      <c r="FQ5" s="12" t="s">
        <v>287</v>
      </c>
      <c r="FR5" s="12" t="s">
        <v>288</v>
      </c>
      <c r="FS5" s="12" t="s">
        <v>295</v>
      </c>
      <c r="FT5" s="12" t="s">
        <v>382</v>
      </c>
      <c r="FU5" s="12" t="s">
        <v>272</v>
      </c>
      <c r="FV5" s="12" t="s">
        <v>352</v>
      </c>
      <c r="FW5" s="12" t="s">
        <v>346</v>
      </c>
      <c r="FX5" s="12" t="s">
        <v>347</v>
      </c>
      <c r="FY5" s="37" t="s">
        <v>1412</v>
      </c>
      <c r="FZ5" s="30"/>
      <c r="GA5" s="30"/>
      <c r="GC5" s="12" t="s">
        <v>296</v>
      </c>
      <c r="GD5" s="12" t="s">
        <v>301</v>
      </c>
      <c r="GE5" s="12" t="s">
        <v>847</v>
      </c>
      <c r="GF5" s="12" t="s">
        <v>302</v>
      </c>
      <c r="GG5" s="12" t="s">
        <v>305</v>
      </c>
      <c r="GH5" s="12" t="s">
        <v>306</v>
      </c>
      <c r="GI5" s="12" t="s">
        <v>307</v>
      </c>
      <c r="GJ5" s="12" t="s">
        <v>308</v>
      </c>
      <c r="GK5" s="12" t="s">
        <v>309</v>
      </c>
      <c r="GL5" s="12" t="s">
        <v>310</v>
      </c>
      <c r="GM5" s="12" t="s">
        <v>353</v>
      </c>
      <c r="GN5" s="12" t="s">
        <v>354</v>
      </c>
      <c r="GO5" s="12" t="s">
        <v>358</v>
      </c>
      <c r="GP5" s="12" t="s">
        <v>355</v>
      </c>
      <c r="GS5" s="12" t="s">
        <v>316</v>
      </c>
      <c r="GT5" s="12" t="s">
        <v>315</v>
      </c>
      <c r="GU5" s="30"/>
      <c r="GV5" s="30"/>
      <c r="GW5" s="12" t="s">
        <v>1360</v>
      </c>
      <c r="GX5" s="12" t="s">
        <v>1361</v>
      </c>
      <c r="GY5" s="12" t="s">
        <v>1362</v>
      </c>
      <c r="GZ5" s="12" t="s">
        <v>1376</v>
      </c>
      <c r="HA5" s="12" t="s">
        <v>1363</v>
      </c>
      <c r="HB5" s="12" t="s">
        <v>1364</v>
      </c>
      <c r="HC5" s="12" t="s">
        <v>1395</v>
      </c>
      <c r="HD5" s="12" t="s">
        <v>1365</v>
      </c>
      <c r="HE5" s="12" t="s">
        <v>1366</v>
      </c>
      <c r="HF5" s="12" t="s">
        <v>522</v>
      </c>
      <c r="HG5" s="12" t="s">
        <v>523</v>
      </c>
      <c r="HH5" s="30"/>
      <c r="HI5" s="30"/>
      <c r="HK5" s="12" t="s">
        <v>339</v>
      </c>
      <c r="HL5" s="12" t="s">
        <v>344</v>
      </c>
      <c r="HM5" s="12" t="s">
        <v>1315</v>
      </c>
      <c r="HN5" s="12" t="s">
        <v>1403</v>
      </c>
      <c r="HO5" s="12" t="s">
        <v>1313</v>
      </c>
      <c r="HP5" s="12" t="s">
        <v>345</v>
      </c>
      <c r="HQ5" s="12" t="s">
        <v>330</v>
      </c>
      <c r="HR5" s="12" t="s">
        <v>340</v>
      </c>
      <c r="HS5" s="12" t="s">
        <v>341</v>
      </c>
      <c r="HT5" s="12" t="s">
        <v>342</v>
      </c>
      <c r="HU5" s="12" t="s">
        <v>343</v>
      </c>
      <c r="HV5" s="12" t="s">
        <v>343</v>
      </c>
    </row>
    <row r="6" spans="1:230" s="19" customFormat="1" ht="16.5" x14ac:dyDescent="0.2">
      <c r="A6" s="13">
        <v>1</v>
      </c>
      <c r="B6" s="13">
        <v>1</v>
      </c>
      <c r="C6" s="13">
        <v>2</v>
      </c>
      <c r="D6" s="14">
        <f>INDEX(属性投放!$AE$7:$AE$26,装备!C6)</f>
        <v>15</v>
      </c>
      <c r="E6" s="13">
        <v>15</v>
      </c>
      <c r="F6" s="14">
        <f>SUMIFS(属性投放!BY$6:BY$85,属性投放!$AT$6:$AT$85,"="&amp;装备!$B$3,属性投放!$AU$6:$AU$85,"&lt;="&amp;装备!$C6)*INDEX(属性投放!$DX$6:$DX$10,装备!$D$3)*装备!$F$3</f>
        <v>358</v>
      </c>
      <c r="G6" s="14">
        <f>SUMIFS(属性投放!BZ$6:BZ$85,属性投放!$AT$6:$AT$85,"="&amp;装备!$B$3,属性投放!$AU$6:$AU$85,"&lt;="&amp;装备!$C6)*INDEX(属性投放!$DX$6:$DX$10,装备!$D$3)*装备!$F$3</f>
        <v>185</v>
      </c>
      <c r="H6" s="14">
        <f>SUMIFS(属性投放!CA$6:CA$85,属性投放!$AT$6:$AT$85,"="&amp;装备!$B$3,属性投放!$AU$6:$AU$85,"&lt;="&amp;装备!$C6)*INDEX(属性投放!$DX$6:$DX$10,装备!$D$3)*装备!$F$3</f>
        <v>2148</v>
      </c>
      <c r="I6" s="26">
        <v>0.3</v>
      </c>
      <c r="J6" s="14">
        <f t="shared" ref="J6:J7" si="0">F6*$I6</f>
        <v>107.39999999999999</v>
      </c>
      <c r="K6" s="14">
        <f t="shared" ref="K6:K7" si="1">G6*$I6</f>
        <v>55.5</v>
      </c>
      <c r="L6" s="14">
        <f t="shared" ref="L6:L7" si="2">H6*$I6</f>
        <v>644.4</v>
      </c>
      <c r="M6" s="13">
        <f>ROUND(J6/5,0)*5</f>
        <v>105</v>
      </c>
      <c r="N6" s="13">
        <f t="shared" ref="N6:O6" si="3">ROUND(K6/5,0)*5</f>
        <v>55</v>
      </c>
      <c r="O6" s="13">
        <f t="shared" si="3"/>
        <v>645</v>
      </c>
      <c r="P6" s="13">
        <f>(F6-M6)/$D6</f>
        <v>16.866666666666667</v>
      </c>
      <c r="Q6" s="13">
        <f t="shared" ref="Q6:R6" si="4">(G6-N6)/$D6</f>
        <v>8.6666666666666661</v>
      </c>
      <c r="R6" s="13">
        <f t="shared" si="4"/>
        <v>100.2</v>
      </c>
      <c r="S6" s="13">
        <f>ROUND(P6*10/5,0)*5/10</f>
        <v>17</v>
      </c>
      <c r="T6" s="13">
        <f t="shared" ref="T6:U6" si="5">ROUND(Q6*10/5,0)*5/10</f>
        <v>8.5</v>
      </c>
      <c r="U6" s="13">
        <f t="shared" si="5"/>
        <v>100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6"/>
      <c r="AF6" s="30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0"/>
      <c r="BA6" s="30"/>
      <c r="BB6" s="13">
        <v>1</v>
      </c>
      <c r="BC6" s="13" t="s">
        <v>1318</v>
      </c>
      <c r="BD6" s="30"/>
      <c r="BE6" s="30"/>
      <c r="BF6" s="13">
        <v>1</v>
      </c>
      <c r="BG6" s="13" t="s">
        <v>1238</v>
      </c>
      <c r="BH6" s="24">
        <v>0.6</v>
      </c>
      <c r="BI6" s="13"/>
      <c r="BJ6" s="13"/>
      <c r="BK6" s="13">
        <v>2</v>
      </c>
      <c r="BL6" s="13">
        <v>1</v>
      </c>
      <c r="BM6" s="13"/>
      <c r="BN6" s="30"/>
      <c r="BO6" s="30"/>
      <c r="BP6" s="13">
        <v>1</v>
      </c>
      <c r="BQ6" s="13" t="s">
        <v>292</v>
      </c>
      <c r="BR6" s="24">
        <v>0.5</v>
      </c>
      <c r="BS6" s="30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0"/>
      <c r="DR6" s="30"/>
      <c r="DS6" s="30"/>
      <c r="DT6" s="13">
        <v>1014</v>
      </c>
      <c r="DU6" s="13" t="s">
        <v>1457</v>
      </c>
      <c r="DV6" s="13">
        <v>2</v>
      </c>
      <c r="DW6" s="13">
        <v>3</v>
      </c>
      <c r="DX6" s="31">
        <v>0.35</v>
      </c>
      <c r="DY6" s="13">
        <f t="shared" ref="DY6:DY27" si="6">ROUND(INDEX($D$6:$D$27,DV6)*S6*$DX6/8,0)</f>
        <v>26</v>
      </c>
      <c r="DZ6" s="13">
        <f t="shared" ref="DZ6:DZ27" si="7">ROUND(INDEX($D$6:$D$27,DW6)*T6*$DX6/8,0)</f>
        <v>19</v>
      </c>
      <c r="EA6" s="13">
        <f t="shared" ref="EA6:EA27" si="8">ROUND(INDEX($D$6:$D$27,DX6)*U6*$DX6/8,0)</f>
        <v>66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0"/>
      <c r="EM6" s="13">
        <v>0</v>
      </c>
      <c r="EN6" s="13">
        <v>0</v>
      </c>
      <c r="EO6" s="13">
        <v>1</v>
      </c>
      <c r="EP6" s="13">
        <v>2</v>
      </c>
      <c r="EQ6" s="30"/>
      <c r="ER6" s="13">
        <v>1</v>
      </c>
      <c r="ES6" s="13">
        <v>20</v>
      </c>
      <c r="ET6" s="30"/>
      <c r="EU6" s="13">
        <v>1</v>
      </c>
      <c r="EV6" s="14">
        <f>IF(EU6&lt;=$EV$3,1,2)</f>
        <v>1</v>
      </c>
      <c r="EW6" s="14">
        <f>MOD(EU6-1,$EV$3)+1</f>
        <v>1</v>
      </c>
      <c r="EX6" s="14">
        <f>MATCH(EW6-1,$AQ$6:$AQ$64,1)</f>
        <v>1</v>
      </c>
      <c r="EY6" s="14">
        <f t="shared" ref="EY6:EY69" si="9">INDEX($AK$7:$AK$64,EX6)</f>
        <v>10</v>
      </c>
      <c r="EZ6" s="14">
        <f t="shared" ref="EZ6:EZ69" si="10">(EV6-1)*$EX$3+FL6</f>
        <v>1</v>
      </c>
      <c r="FA6" s="14">
        <f t="shared" ref="FA6:FA69" si="11">INDEX(AI$7:AI$64,$EX6)</f>
        <v>15</v>
      </c>
      <c r="FB6" s="14">
        <f t="shared" ref="FB6:FB69" si="12">INDEX(AJ$7:AJ$64,$EX6)</f>
        <v>1</v>
      </c>
      <c r="FC6" s="14">
        <f t="shared" ref="FC6:FC69" si="13">EW6-INDEX($AQ$6:$AQ$64,EX6)</f>
        <v>1</v>
      </c>
      <c r="FD6" s="14">
        <f t="shared" ref="FD6:FD69" si="14">INDEX($AR$7:$AY$64,EX6,EW6-INDEX($AQ$6:$AQ$64,EX6))</f>
        <v>1</v>
      </c>
      <c r="FE6" s="14" t="b">
        <f>IF(FN6="",FALSE,TRUE)</f>
        <v>0</v>
      </c>
      <c r="FF6" s="14">
        <f t="shared" ref="FF6:FF69" si="15">INDEX($AN$7:$AN$64,EX6)*10+FD6+(EV6-1)*100000+2000000</f>
        <v>2001101</v>
      </c>
      <c r="FG6" s="13" t="str">
        <f t="shared" ref="FG6:FG69" si="16">INDEX($AL$7:$AL$64,EX6)&amp;"-"&amp;INDEX($AM$7:$AM$64,EX6)&amp;INDEX($BC$6:$BC$7,EV6)&amp;INDEX($AR$3:$AY$3,FD6)</f>
        <v>15级-普通寄灵人の灵器</v>
      </c>
      <c r="FH6" s="14">
        <f t="shared" ref="FH6:FH69" si="17">EV6</f>
        <v>1</v>
      </c>
      <c r="FI6" s="14">
        <f t="shared" ref="FI6:FI69" si="18">INDEX($AJ$7:$AJ$64,EX6)</f>
        <v>1</v>
      </c>
      <c r="FJ6" s="14">
        <f t="shared" ref="FJ6:FJ69" si="19">INDEX($AI$7:$AI$64,EX6)</f>
        <v>15</v>
      </c>
      <c r="FK6" s="14">
        <v>1</v>
      </c>
      <c r="FL6" s="14">
        <f t="shared" ref="FL6:FL69" si="20">INDEX(AH$7:AH$64,$EX6)</f>
        <v>1</v>
      </c>
      <c r="FM6" s="14">
        <f>FD6</f>
        <v>1</v>
      </c>
      <c r="FN6" s="14" t="str">
        <f t="shared" ref="FN6:FN69" si="21">IF(INDEX($AO$7:$AO$64,EX6)&gt;0,INDEX($AO$7:$AO$64,EX6) + (EV6-1)*10000+200000,"")</f>
        <v/>
      </c>
      <c r="FO6" s="14">
        <f t="shared" ref="FO6:FO69" si="22">INT(SUMPRODUCT($FS$3:$FU$3,FS6:FU6)*IF(FN6="",1,1.5))</f>
        <v>25</v>
      </c>
      <c r="FP6" s="14">
        <f>ROUND(INDEX(M$6:M$27,$EZ6)*INDEX(BH$6:BH$13,$FD6)*INDEX($BR$6:$BR$9,FI6)/5,0)*5</f>
        <v>30</v>
      </c>
      <c r="FQ6" s="14">
        <f>ROUND(INDEX(N$6:N$27,$EZ6)*INDEX(BI$6:BI$13,$FD6)*INDEX($BR$6:$BR$9,FI6)/5,0)*5</f>
        <v>0</v>
      </c>
      <c r="FR6" s="14">
        <f>ROUND(INDEX(O$6:O$27,$EZ6)*INDEX(BJ$6:BJ$13,$FD6)*INDEX($BR$6:$BR$9,FI6)/5,0)*5</f>
        <v>0</v>
      </c>
      <c r="FS6" s="14">
        <f>ROUND(INDEX(S$6:S$27,$EZ6)*INDEX(BH$6:BH$13,$FD6)*INDEX($BR$6:$BR$9,FI6),0)</f>
        <v>5</v>
      </c>
      <c r="FT6" s="14">
        <f>ROUND(INDEX(T$6:T$27,$EZ6)*INDEX(BI$6:BI$13,$FD6)*INDEX($BR$6:$BR$9,FI6),0)</f>
        <v>0</v>
      </c>
      <c r="FU6" s="14">
        <f>ROUND(INDEX(U$6:U$27,$EZ6)*INDEX(BJ$6:BJ$13,$FD6)*INDEX($BR$6:$BR$9,FI6),0)</f>
        <v>0</v>
      </c>
      <c r="FV6" s="14">
        <f t="shared" ref="FV6:FV69" si="23">FL6*10+FB6+EV6*1000</f>
        <v>1011</v>
      </c>
      <c r="FW6" s="14">
        <f t="shared" ref="FW6:FW69" si="24">INDEX($V$17:$Y$27,FL6,FB6)</f>
        <v>0</v>
      </c>
      <c r="FX6" s="14" t="str">
        <f t="shared" ref="FX6:FX69" si="25">IF(FB6&gt;2,FL6*10+FB6+EV6*1000,"")</f>
        <v/>
      </c>
      <c r="FY6" s="25" t="str">
        <f>IF(FE6,"icon_"&amp;FF6,FY$2&amp;INDEX($ES$6:$ES$7,EV6)*100000+FL6*1000+100+FD6)</f>
        <v>icon_2001101</v>
      </c>
      <c r="FZ6" s="30"/>
      <c r="GA6" s="30"/>
      <c r="GC6" s="14">
        <f t="shared" ref="GC6:GC69" si="26">INDEX(BL$6:BL$13,$FM6)</f>
        <v>1</v>
      </c>
      <c r="GD6" s="14">
        <f t="shared" ref="GD6:GD69" si="27">INDEX(BM$6:BM$13,$FM6)</f>
        <v>0</v>
      </c>
      <c r="GE6" s="14">
        <f>FO6</f>
        <v>25</v>
      </c>
      <c r="GF6" s="14" t="str">
        <f t="shared" ref="GF6:GF69" si="28">INDEX($BH$3:$BJ$3,GC6)</f>
        <v>AtkExt</v>
      </c>
      <c r="GG6" s="14">
        <f>INDEX(FP6:FR6,GC6)</f>
        <v>30</v>
      </c>
      <c r="GH6" s="14">
        <f>INDEX(FS6:FU6,GC6)</f>
        <v>5</v>
      </c>
      <c r="GI6" s="14" t="str">
        <f t="shared" ref="GI6:GI69" si="29">IF(GD6&gt;0,INDEX($BH$3:$BJ$3,GD6),"")</f>
        <v/>
      </c>
      <c r="GJ6" s="14" t="str">
        <f>IF(GD6&gt;0,INDEX(FP6:FR6,GD6),"")</f>
        <v/>
      </c>
      <c r="GK6" s="14" t="str">
        <f>IF(GD6&gt;0,INDEX(FS6:FU6,GD6),"")</f>
        <v/>
      </c>
      <c r="GL6" s="14">
        <f t="shared" ref="GL6:GL69" si="30">20000+FL6*100+FB6*10</f>
        <v>20110</v>
      </c>
      <c r="GM6" s="14">
        <f>FW6</f>
        <v>0</v>
      </c>
      <c r="GN6" s="14" t="str">
        <f>FX6</f>
        <v/>
      </c>
      <c r="GO6" s="25" t="s">
        <v>1471</v>
      </c>
      <c r="GP6" s="14">
        <f t="shared" ref="GP6:GP69" si="31">ROUND(INDEX($AA$17:$AD$27,FL6,FB6)*INDEX($BK$6:$BK$13,FM6),0)</f>
        <v>10</v>
      </c>
      <c r="GS6" s="13">
        <v>1011</v>
      </c>
      <c r="GT6" s="13" t="s">
        <v>317</v>
      </c>
      <c r="GU6" s="30"/>
      <c r="GV6" s="30"/>
      <c r="GW6" s="13">
        <v>1</v>
      </c>
      <c r="GX6" s="14">
        <f>MATCH(GW6-1,$CL$6:$CL$34,1)</f>
        <v>1</v>
      </c>
      <c r="GY6" s="14">
        <f>GW6-INDEX($CL$6:$CL$34,GX6)</f>
        <v>1</v>
      </c>
      <c r="GZ6" s="14">
        <f>INDEX($CM$7:$CP$34,GX6,GY6)</f>
        <v>1</v>
      </c>
      <c r="HA6" s="14">
        <f>INDEX($BU$7:$BU$34,GX6)</f>
        <v>200143</v>
      </c>
      <c r="HB6" s="14" t="str">
        <f>INDEX($BT$7:$BT$34,GX6)&amp;" : 属性-"&amp;GY6</f>
        <v>15级寄灵人の新手套 : 属性-1</v>
      </c>
      <c r="HC6" s="14" t="s">
        <v>1396</v>
      </c>
      <c r="HD6" s="14">
        <f>GY6</f>
        <v>1</v>
      </c>
      <c r="HE6" s="14">
        <f>INDEX($CU$7:$CX$34,GX6,GY6)</f>
        <v>2</v>
      </c>
      <c r="HF6" s="14" t="str">
        <f>INDEX($CB$3:$CI$3,GZ6)</f>
        <v>AtkExt</v>
      </c>
      <c r="HG6" s="14">
        <f>INDEX($CB$7:$CI$34,GX6,GZ6)*INDEX($CQ$7:$CT$34,GX6,GY6)</f>
        <v>400</v>
      </c>
      <c r="HH6" s="30"/>
      <c r="HI6" s="30"/>
      <c r="HK6" s="13">
        <v>1</v>
      </c>
      <c r="HL6" s="14">
        <f>INT((HK6-1)/24)+1</f>
        <v>1</v>
      </c>
      <c r="HM6" s="14">
        <f>IF(HL6&gt;11,2,1)</f>
        <v>1</v>
      </c>
      <c r="HN6" s="14">
        <f>HL6-(HM6-1)*11</f>
        <v>1</v>
      </c>
      <c r="HO6" s="14">
        <f>IF(MOD(HK6-1,24)&gt;=12,4,3)</f>
        <v>3</v>
      </c>
      <c r="HP6" s="14" t="str">
        <f>INDEX($DU$6:$DU$27,HL6)&amp;"洗练-Q"&amp;HO6&amp;"-"&amp;HR6</f>
        <v>15级寄灵人洗练-Q3-1</v>
      </c>
      <c r="HQ6" s="14">
        <f>HM6*1000+HN6*10+HO6</f>
        <v>1013</v>
      </c>
      <c r="HR6" s="14">
        <f>MOD(HK6-1,12)+1</f>
        <v>1</v>
      </c>
      <c r="HS6" s="14">
        <f>INDEX($DY$3:$EJ$3,HR6)</f>
        <v>1800</v>
      </c>
      <c r="HT6" s="14" t="str">
        <f>INDEX($DY$4:$EJ$4,HR6)</f>
        <v>AtkExt</v>
      </c>
      <c r="HU6" s="14">
        <f>IF(HV6&gt;1,INT(HV6*0.35),ROUND(HV6*0.35,3))</f>
        <v>9</v>
      </c>
      <c r="HV6" s="14">
        <f>INDEX($DY$6:$EJ$27,HL6,HR6)</f>
        <v>26</v>
      </c>
    </row>
    <row r="7" spans="1:230" s="19" customFormat="1" ht="16.5" x14ac:dyDescent="0.2">
      <c r="A7" s="13">
        <v>2</v>
      </c>
      <c r="B7" s="13">
        <v>1</v>
      </c>
      <c r="C7" s="13">
        <v>4</v>
      </c>
      <c r="D7" s="14">
        <f>INDEX(属性投放!$AE$7:$AE$26,装备!C7)</f>
        <v>35</v>
      </c>
      <c r="E7" s="13">
        <v>30</v>
      </c>
      <c r="F7" s="14">
        <f>SUMIFS(属性投放!BY$6:BY$85,属性投放!$AT$6:$AT$85,"="&amp;装备!$B$3,属性投放!$AU$6:$AU$85,"&lt;="&amp;装备!$C7)*INDEX(属性投放!$DX$6:$DX$10,装备!$D$3)*装备!$F$3</f>
        <v>1048</v>
      </c>
      <c r="G7" s="14">
        <f>SUMIFS(属性投放!BZ$6:BZ$85,属性投放!$AT$6:$AT$85,"="&amp;装备!$B$3,属性投放!$AU$6:$AU$85,"&lt;="&amp;装备!$C7)*INDEX(属性投放!$DX$6:$DX$10,装备!$D$3)*装备!$F$3</f>
        <v>537</v>
      </c>
      <c r="H7" s="14">
        <f>SUMIFS(属性投放!CA$6:CA$85,属性投放!$AT$6:$AT$85,"="&amp;装备!$B$3,属性投放!$AU$6:$AU$85,"&lt;="&amp;装备!$C7)*INDEX(属性投放!$DX$6:$DX$10,装备!$D$3)*装备!$F$3</f>
        <v>6678</v>
      </c>
      <c r="I7" s="26">
        <v>0.25</v>
      </c>
      <c r="J7" s="14">
        <f t="shared" si="0"/>
        <v>262</v>
      </c>
      <c r="K7" s="14">
        <f t="shared" si="1"/>
        <v>134.25</v>
      </c>
      <c r="L7" s="14">
        <f t="shared" si="2"/>
        <v>1669.5</v>
      </c>
      <c r="M7" s="13">
        <f t="shared" ref="M7" si="32">ROUND(J7/5,0)*5</f>
        <v>260</v>
      </c>
      <c r="N7" s="13">
        <f t="shared" ref="N7" si="33">ROUND(K7/5,0)*5</f>
        <v>135</v>
      </c>
      <c r="O7" s="13">
        <f t="shared" ref="O7" si="34">ROUND(L7/5,0)*5</f>
        <v>1670</v>
      </c>
      <c r="P7" s="13">
        <f t="shared" ref="P7" si="35">(F7-M7)/$D7</f>
        <v>22.514285714285716</v>
      </c>
      <c r="Q7" s="13">
        <f t="shared" ref="Q7" si="36">(G7-N7)/$D7</f>
        <v>11.485714285714286</v>
      </c>
      <c r="R7" s="13">
        <f t="shared" ref="R7" si="37">(H7-O7)/$D7</f>
        <v>143.08571428571429</v>
      </c>
      <c r="S7" s="13">
        <f t="shared" ref="S7" si="38">ROUND(P7*10/5,0)*5/10</f>
        <v>22.5</v>
      </c>
      <c r="T7" s="13">
        <f t="shared" ref="T7" si="39">ROUND(Q7*10/5,0)*5/10</f>
        <v>11.5</v>
      </c>
      <c r="U7" s="13">
        <f t="shared" ref="U7" si="40">ROUND(R7*10/5,0)*5/10</f>
        <v>143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>
        <v>15</v>
      </c>
      <c r="AJ7" s="13">
        <v>1</v>
      </c>
      <c r="AK7" s="13">
        <v>10</v>
      </c>
      <c r="AL7" s="13" t="s">
        <v>1445</v>
      </c>
      <c r="AM7" s="13" t="s">
        <v>1259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0"/>
      <c r="BA7" s="30"/>
      <c r="BB7" s="13">
        <v>2</v>
      </c>
      <c r="BC7" s="13" t="s">
        <v>1319</v>
      </c>
      <c r="BD7" s="30"/>
      <c r="BE7" s="30"/>
      <c r="BF7" s="13">
        <v>2</v>
      </c>
      <c r="BG7" s="13" t="s">
        <v>262</v>
      </c>
      <c r="BH7" s="13"/>
      <c r="BI7" s="24">
        <v>0.3</v>
      </c>
      <c r="BJ7" s="13"/>
      <c r="BK7" s="13">
        <v>1</v>
      </c>
      <c r="BL7" s="13">
        <v>2</v>
      </c>
      <c r="BM7" s="13"/>
      <c r="BN7" s="30"/>
      <c r="BO7" s="30"/>
      <c r="BP7" s="13">
        <v>2</v>
      </c>
      <c r="BQ7" s="13" t="s">
        <v>293</v>
      </c>
      <c r="BR7" s="24">
        <v>0.7</v>
      </c>
      <c r="BS7" s="30"/>
      <c r="BT7" s="13" t="s">
        <v>1449</v>
      </c>
      <c r="BU7" s="13">
        <v>200143</v>
      </c>
      <c r="BV7" s="13">
        <v>3</v>
      </c>
      <c r="BW7" s="13">
        <v>0.55000000000000004</v>
      </c>
      <c r="BX7" s="14">
        <f>SUMIFS(属性投放!BY$6:BY$85,属性投放!$AT$6:$AT$85,"="&amp;装备!$BU$3,属性投放!$AU$6:$AU$85,"&lt;="&amp;装备!$BV7)*INDEX(属性投放!$DX$6:$DX$10,装备!$BW$3)*$BW7</f>
        <v>398.09000000000009</v>
      </c>
      <c r="BY7" s="14">
        <f>SUMIFS(属性投放!BZ$6:BZ$85,属性投放!$AT$6:$AT$85,"="&amp;装备!$BU$3,属性投放!$AU$6:$AU$85,"&lt;="&amp;装备!$BV7)*INDEX(属性投放!$DX$6:$DX$10,装备!$BW$3)*$BW7</f>
        <v>206.30500000000004</v>
      </c>
      <c r="BZ7" s="14">
        <f>SUMIFS(属性投放!CA$6:CA$85,属性投放!$AT$6:$AT$85,"="&amp;装备!$BU$3,属性投放!$AU$6:$AU$85,"&lt;="&amp;装备!$BV7)*INDEX(属性投放!$DX$6:$DX$10,装备!$BW$3)*BW7/2</f>
        <v>1194.2700000000002</v>
      </c>
      <c r="CA7" s="13">
        <v>50</v>
      </c>
      <c r="CB7" s="13">
        <f>ROUND(BX7/CA7,0)*CA7</f>
        <v>400</v>
      </c>
      <c r="CC7" s="13">
        <f>ROUND(BY7/CA7*2,0)*CA7/2</f>
        <v>200</v>
      </c>
      <c r="CD7" s="13">
        <f>CB7*5</f>
        <v>2000</v>
      </c>
      <c r="CE7" s="24">
        <v>0.15</v>
      </c>
      <c r="CF7" s="24">
        <v>0.15</v>
      </c>
      <c r="CG7" s="24">
        <v>0.15</v>
      </c>
      <c r="CH7" s="24">
        <v>0.1</v>
      </c>
      <c r="CI7" s="24">
        <v>0.1</v>
      </c>
      <c r="CJ7" s="14">
        <f t="shared" ref="CJ7:CJ34" si="41">SUMPRODUCT(CB$2:CD$2,CB7:CD7)/250</f>
        <v>40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42">IF(DB$3&lt;=INDEX($AP$7:$AP$64,$CZ7),$BU7*10+INDEX($AR$7:$AY$64,$CZ7,DB$3),0)</f>
        <v>2001432</v>
      </c>
      <c r="DC7" s="13">
        <f t="shared" si="42"/>
        <v>2001433</v>
      </c>
      <c r="DD7" s="13">
        <f t="shared" si="42"/>
        <v>2001434</v>
      </c>
      <c r="DE7" s="13">
        <f t="shared" si="42"/>
        <v>2001435</v>
      </c>
      <c r="DF7" s="13">
        <f t="shared" si="42"/>
        <v>2001436</v>
      </c>
      <c r="DG7" s="13">
        <f t="shared" si="42"/>
        <v>2001437</v>
      </c>
      <c r="DH7" s="13">
        <f t="shared" si="42"/>
        <v>2001438</v>
      </c>
      <c r="DI7" s="13" t="str">
        <f t="shared" ref="DI7:DI34" si="43">IF(DA7&gt;0,VLOOKUP(DA7,$FF$6:$FG$875,2),"")</f>
        <v>15级-新手套寄灵人の灵器</v>
      </c>
      <c r="DJ7" s="13" t="str">
        <f t="shared" ref="DJ7:DJ34" si="44">IF(DB7&gt;0,VLOOKUP(DB7,$FF$6:$FG$875,2),"")</f>
        <v>15级-新手套寄灵人の头盔</v>
      </c>
      <c r="DK7" s="13" t="str">
        <f t="shared" ref="DK7:DK34" si="45">IF(DC7&gt;0,VLOOKUP(DC7,$FF$6:$FG$875,2),"")</f>
        <v>15级-新手套寄灵人の铠甲</v>
      </c>
      <c r="DL7" s="13" t="str">
        <f t="shared" ref="DL7:DL34" si="46">IF(DD7&gt;0,VLOOKUP(DD7,$FF$6:$FG$875,2),"")</f>
        <v>15级-新手套寄灵人の裤子</v>
      </c>
      <c r="DM7" s="13" t="str">
        <f t="shared" ref="DM7:DM34" si="47">IF(DE7&gt;0,VLOOKUP(DE7,$FF$6:$FG$875,2),"")</f>
        <v>15级-新手套寄灵人の鞋子</v>
      </c>
      <c r="DN7" s="13" t="str">
        <f t="shared" ref="DN7:DN34" si="48">IF(DF7&gt;0,VLOOKUP(DF7,$FF$6:$FG$875,2),"")</f>
        <v>15级-新手套寄灵人の护手</v>
      </c>
      <c r="DO7" s="13" t="str">
        <f t="shared" ref="DO7:DO34" si="49">IF(DG7&gt;0,VLOOKUP(DG7,$FF$6:$FG$875,2),"")</f>
        <v>15级-新手套寄灵人の项链</v>
      </c>
      <c r="DP7" s="13" t="str">
        <f t="shared" ref="DP7:DP34" si="50">IF(DH7&gt;0,VLOOKUP(DH7,$FF$6:$FG$875,2),"")</f>
        <v>15级-新手套寄灵人の戒指</v>
      </c>
      <c r="DQ7" s="30"/>
      <c r="DR7" s="30"/>
      <c r="DS7" s="30"/>
      <c r="DT7" s="13">
        <v>1024</v>
      </c>
      <c r="DU7" s="13" t="s">
        <v>1458</v>
      </c>
      <c r="DV7" s="13">
        <v>3</v>
      </c>
      <c r="DW7" s="13">
        <v>3</v>
      </c>
      <c r="DX7" s="31">
        <v>0.35</v>
      </c>
      <c r="DY7" s="13">
        <f t="shared" si="6"/>
        <v>51</v>
      </c>
      <c r="DZ7" s="13">
        <f t="shared" si="7"/>
        <v>26</v>
      </c>
      <c r="EA7" s="13">
        <f t="shared" si="8"/>
        <v>219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0"/>
      <c r="EM7" s="13">
        <v>0</v>
      </c>
      <c r="EN7" s="13">
        <v>0</v>
      </c>
      <c r="EO7" s="13">
        <v>2</v>
      </c>
      <c r="EP7" s="13">
        <v>3</v>
      </c>
      <c r="EQ7" s="30"/>
      <c r="ER7" s="13">
        <v>2</v>
      </c>
      <c r="ES7" s="13">
        <v>21</v>
      </c>
      <c r="ET7" s="30"/>
      <c r="EU7" s="13">
        <v>2</v>
      </c>
      <c r="EV7" s="14">
        <f t="shared" ref="EV7:EV70" si="51">IF(EU7&lt;=$EV$3,1,2)</f>
        <v>1</v>
      </c>
      <c r="EW7" s="14">
        <f t="shared" ref="EW7:EW70" si="52">MOD(EU7-1,$EV$3)+1</f>
        <v>2</v>
      </c>
      <c r="EX7" s="14">
        <f t="shared" ref="EX7:EX70" si="53">MATCH(EW7-1,$AQ$6:$AQ$64,1)</f>
        <v>1</v>
      </c>
      <c r="EY7" s="14">
        <f t="shared" si="9"/>
        <v>10</v>
      </c>
      <c r="EZ7" s="14">
        <f t="shared" si="10"/>
        <v>1</v>
      </c>
      <c r="FA7" s="14">
        <f t="shared" si="11"/>
        <v>15</v>
      </c>
      <c r="FB7" s="14">
        <f t="shared" si="12"/>
        <v>1</v>
      </c>
      <c r="FC7" s="14">
        <f t="shared" si="13"/>
        <v>2</v>
      </c>
      <c r="FD7" s="14">
        <f t="shared" si="14"/>
        <v>2</v>
      </c>
      <c r="FE7" s="14" t="b">
        <f t="shared" ref="FE7:FE70" si="54">IF(FN7="",FALSE,TRUE)</f>
        <v>0</v>
      </c>
      <c r="FF7" s="14">
        <f t="shared" si="15"/>
        <v>2001102</v>
      </c>
      <c r="FG7" s="13" t="str">
        <f t="shared" si="16"/>
        <v>15级-普通寄灵人の头盔</v>
      </c>
      <c r="FH7" s="14">
        <f t="shared" si="17"/>
        <v>1</v>
      </c>
      <c r="FI7" s="14">
        <f t="shared" si="18"/>
        <v>1</v>
      </c>
      <c r="FJ7" s="14">
        <f t="shared" si="19"/>
        <v>15</v>
      </c>
      <c r="FK7" s="14">
        <v>1</v>
      </c>
      <c r="FL7" s="14">
        <f t="shared" si="20"/>
        <v>1</v>
      </c>
      <c r="FM7" s="14">
        <f t="shared" ref="FM7:FM70" si="55">FD7</f>
        <v>2</v>
      </c>
      <c r="FN7" s="14" t="str">
        <f t="shared" si="21"/>
        <v/>
      </c>
      <c r="FO7" s="14">
        <f t="shared" si="22"/>
        <v>10</v>
      </c>
      <c r="FP7" s="14">
        <f t="shared" ref="FP7:FP70" si="56">ROUND(INDEX(M$6:M$27,$EZ7)*INDEX(BH$6:BH$13,$FD7)*INDEX($BR$6:$BR$9,FI7)/5,0)*5</f>
        <v>0</v>
      </c>
      <c r="FQ7" s="14">
        <f t="shared" ref="FQ7:FQ70" si="57">ROUND(INDEX(N$6:N$27,$EZ7)*INDEX(BI$6:BI$13,$FD7)*INDEX($BR$6:$BR$9,FI7)/5,0)*5</f>
        <v>10</v>
      </c>
      <c r="FR7" s="14">
        <f t="shared" ref="FR7:FR70" si="58">ROUND(INDEX(O$6:O$27,$EZ7)*INDEX(BJ$6:BJ$13,$FD7)*INDEX($BR$6:$BR$9,FI7)/5,0)*5</f>
        <v>0</v>
      </c>
      <c r="FS7" s="14">
        <f t="shared" ref="FS7:FS70" si="59">ROUND(INDEX(S$6:S$27,$EZ7)*INDEX(BH$6:BH$13,$FD7)*INDEX($BR$6:$BR$9,FI7),0)</f>
        <v>0</v>
      </c>
      <c r="FT7" s="14">
        <f t="shared" ref="FT7:FT70" si="60">ROUND(INDEX(T$6:T$27,$EZ7)*INDEX(BI$6:BI$13,$FD7)*INDEX($BR$6:$BR$9,FI7),0)</f>
        <v>1</v>
      </c>
      <c r="FU7" s="14">
        <f t="shared" ref="FU7:FU70" si="61">ROUND(INDEX(U$6:U$27,$EZ7)*INDEX(BJ$6:BJ$13,$FD7)*INDEX($BR$6:$BR$9,FI7),0)</f>
        <v>0</v>
      </c>
      <c r="FV7" s="14">
        <f t="shared" si="23"/>
        <v>1011</v>
      </c>
      <c r="FW7" s="14">
        <f t="shared" si="24"/>
        <v>0</v>
      </c>
      <c r="FX7" s="14" t="str">
        <f t="shared" si="25"/>
        <v/>
      </c>
      <c r="FY7" s="25" t="str">
        <f t="shared" ref="FY7:FY70" si="62">IF(FE7,"icon_"&amp;FF7,FY$2&amp;INDEX($ES$6:$ES$7,EV7)*100000+FL7*1000+100+FD7)</f>
        <v>icon_2001102</v>
      </c>
      <c r="FZ7" s="30"/>
      <c r="GA7" s="30"/>
      <c r="GC7" s="14">
        <f t="shared" si="26"/>
        <v>2</v>
      </c>
      <c r="GD7" s="14">
        <f t="shared" si="27"/>
        <v>0</v>
      </c>
      <c r="GE7" s="14">
        <f t="shared" ref="GE7:GE70" si="63">FO7</f>
        <v>10</v>
      </c>
      <c r="GF7" s="14" t="str">
        <f t="shared" si="28"/>
        <v>DefExt</v>
      </c>
      <c r="GG7" s="14">
        <f t="shared" ref="GG7:GG70" si="64">INDEX(FP7:FR7,GC7)</f>
        <v>10</v>
      </c>
      <c r="GH7" s="14">
        <f t="shared" ref="GH7:GH70" si="65">INDEX(FS7:FU7,GC7)</f>
        <v>1</v>
      </c>
      <c r="GI7" s="14" t="str">
        <f t="shared" si="29"/>
        <v/>
      </c>
      <c r="GJ7" s="14" t="str">
        <f t="shared" ref="GJ7:GJ70" si="66">IF(GD7&gt;0,INDEX(FP7:FR7,GD7),"")</f>
        <v/>
      </c>
      <c r="GK7" s="14" t="str">
        <f t="shared" ref="GK7:GK70" si="67">IF(GD7&gt;0,INDEX(FS7:FU7,GD7),"")</f>
        <v/>
      </c>
      <c r="GL7" s="14">
        <f t="shared" si="30"/>
        <v>20110</v>
      </c>
      <c r="GM7" s="14">
        <f t="shared" ref="GM7:GM70" si="68">FW7</f>
        <v>0</v>
      </c>
      <c r="GN7" s="14" t="str">
        <f t="shared" ref="GN7:GN70" si="69">FX7</f>
        <v/>
      </c>
      <c r="GO7" s="25" t="s">
        <v>1471</v>
      </c>
      <c r="GP7" s="14">
        <f t="shared" si="31"/>
        <v>5</v>
      </c>
      <c r="GS7" s="13">
        <v>1021</v>
      </c>
      <c r="GT7" s="13" t="s">
        <v>318</v>
      </c>
      <c r="GU7" s="30"/>
      <c r="GV7" s="30"/>
      <c r="GW7" s="13">
        <v>2</v>
      </c>
      <c r="GX7" s="14">
        <f t="shared" ref="GX7:GX70" si="70">MATCH(GW7-1,$CL$6:$CL$34,1)</f>
        <v>1</v>
      </c>
      <c r="GY7" s="14">
        <f t="shared" ref="GY7:GY70" si="71">GW7-INDEX($CL$6:$CL$34,GX7)</f>
        <v>2</v>
      </c>
      <c r="GZ7" s="14">
        <f t="shared" ref="GZ7:GZ70" si="72">INDEX($CM$7:$CP$34,GX7,GY7)</f>
        <v>2</v>
      </c>
      <c r="HA7" s="14">
        <f t="shared" ref="HA7:HA70" si="73">INDEX($BU$7:$BU$34,GX7)</f>
        <v>200143</v>
      </c>
      <c r="HB7" s="14" t="str">
        <f t="shared" ref="HB7:HB70" si="74">INDEX($BT$7:$BT$34,GX7)&amp;" : 属性-"&amp;GY7</f>
        <v>15级寄灵人の新手套 : 属性-2</v>
      </c>
      <c r="HC7" s="14" t="s">
        <v>1396</v>
      </c>
      <c r="HD7" s="14">
        <f t="shared" ref="HD7:HD70" si="75">GY7</f>
        <v>2</v>
      </c>
      <c r="HE7" s="14">
        <f t="shared" ref="HE7:HE70" si="76">INDEX($CU$7:$CX$34,GX7,GY7)</f>
        <v>4</v>
      </c>
      <c r="HF7" s="14" t="str">
        <f t="shared" ref="HF7:HF70" si="77">INDEX($CB$3:$CI$3,GZ7)</f>
        <v>DefExt</v>
      </c>
      <c r="HG7" s="14">
        <f t="shared" ref="HG7:HG70" si="78">INDEX($CB$7:$CI$34,GX7,GZ7)*INDEX($CQ$7:$CT$34,GX7,GY7)</f>
        <v>200</v>
      </c>
      <c r="HH7" s="30"/>
      <c r="HI7" s="30"/>
      <c r="HK7" s="13">
        <v>2</v>
      </c>
      <c r="HL7" s="14">
        <f t="shared" ref="HL7:HL70" si="79">INT((HK7-1)/24)+1</f>
        <v>1</v>
      </c>
      <c r="HM7" s="14">
        <f t="shared" ref="HM7:HM70" si="80">IF(HL7&gt;11,2,1)</f>
        <v>1</v>
      </c>
      <c r="HN7" s="14">
        <f t="shared" ref="HN7:HN70" si="81">HL7-(HM7-1)*11</f>
        <v>1</v>
      </c>
      <c r="HO7" s="14">
        <f t="shared" ref="HO7:HO70" si="82">IF(MOD(HK7-1,24)&gt;=12,4,3)</f>
        <v>3</v>
      </c>
      <c r="HP7" s="14" t="str">
        <f t="shared" ref="HP7:HP70" si="83">INDEX($DU$6:$DU$27,HL7)&amp;"洗练-Q"&amp;HO7&amp;"-"&amp;HR7</f>
        <v>15级寄灵人洗练-Q3-2</v>
      </c>
      <c r="HQ7" s="14">
        <f t="shared" ref="HQ7:HQ70" si="84">HM7*1000+HN7*10+HO7</f>
        <v>1013</v>
      </c>
      <c r="HR7" s="14">
        <f t="shared" ref="HR7:HR70" si="85">MOD(HK7-1,12)+1</f>
        <v>2</v>
      </c>
      <c r="HS7" s="14">
        <f t="shared" ref="HS7:HS70" si="86">INDEX($DY$3:$EJ$3,HR7)</f>
        <v>1800</v>
      </c>
      <c r="HT7" s="14" t="str">
        <f t="shared" ref="HT7:HT70" si="87">INDEX($DY$4:$EJ$4,HR7)</f>
        <v>DefExt</v>
      </c>
      <c r="HU7" s="14">
        <f t="shared" ref="HU7:HU70" si="88">IF(HV7&gt;1,INT(HV7*0.35),ROUND(HV7*0.35,3))</f>
        <v>6</v>
      </c>
      <c r="HV7" s="14">
        <f t="shared" ref="HV7:HV70" si="89">INDEX($DY$6:$EJ$27,HL7,HR7)</f>
        <v>19</v>
      </c>
    </row>
    <row r="8" spans="1:230" s="19" customFormat="1" ht="16.5" x14ac:dyDescent="0.2">
      <c r="A8" s="13">
        <v>3</v>
      </c>
      <c r="B8" s="13">
        <v>1</v>
      </c>
      <c r="C8" s="13">
        <v>7</v>
      </c>
      <c r="D8" s="14">
        <f>INDEX(属性投放!$AE$7:$AE$26,装备!C8)</f>
        <v>52</v>
      </c>
      <c r="E8" s="28">
        <v>50</v>
      </c>
      <c r="F8" s="14">
        <f>SUMIFS(属性投放!BY$6:BY$85,属性投放!$AT$6:$AT$85,"="&amp;装备!$B$3,属性投放!$AU$6:$AU$85,"&lt;="&amp;装备!$C8)*INDEX(属性投放!$DX$6:$DX$10,装备!$D$3)*装备!$F$3</f>
        <v>2248</v>
      </c>
      <c r="G8" s="14">
        <f>SUMIFS(属性投放!BZ$6:BZ$85,属性投放!$AT$6:$AT$85,"="&amp;装备!$B$3,属性投放!$AU$6:$AU$85,"&lt;="&amp;装备!$C8)*INDEX(属性投放!$DX$6:$DX$10,装备!$D$3)*装备!$F$3</f>
        <v>1141</v>
      </c>
      <c r="H8" s="14">
        <f>SUMIFS(属性投放!CA$6:CA$85,属性投放!$AT$6:$AT$85,"="&amp;装备!$B$3,属性投放!$AU$6:$AU$85,"&lt;="&amp;装备!$C8)*INDEX(属性投放!$DX$6:$DX$10,装备!$D$3)*装备!$F$3</f>
        <v>15528</v>
      </c>
      <c r="I8" s="26">
        <v>0.2</v>
      </c>
      <c r="J8" s="14">
        <f t="shared" ref="J8" si="90">F8*$I8</f>
        <v>449.6</v>
      </c>
      <c r="K8" s="14">
        <f t="shared" ref="K8" si="91">G8*$I8</f>
        <v>228.20000000000002</v>
      </c>
      <c r="L8" s="14">
        <f t="shared" ref="L8" si="92">H8*$I8</f>
        <v>3105.6000000000004</v>
      </c>
      <c r="M8" s="13">
        <f t="shared" ref="M8" si="93">ROUND(J8/5,0)*5</f>
        <v>450</v>
      </c>
      <c r="N8" s="13">
        <f t="shared" ref="N8" si="94">ROUND(K8/5,0)*5</f>
        <v>230</v>
      </c>
      <c r="O8" s="13">
        <f t="shared" ref="O8" si="95">ROUND(L8/5,0)*5</f>
        <v>3105</v>
      </c>
      <c r="P8" s="13">
        <f t="shared" ref="P8" si="96">(F8-M8)/$D8</f>
        <v>34.57692307692308</v>
      </c>
      <c r="Q8" s="13">
        <f t="shared" ref="Q8" si="97">(G8-N8)/$D8</f>
        <v>17.51923076923077</v>
      </c>
      <c r="R8" s="13">
        <f t="shared" ref="R8" si="98">(H8-O8)/$D8</f>
        <v>238.90384615384616</v>
      </c>
      <c r="S8" s="13">
        <f t="shared" ref="S8" si="99">ROUND(P8*10/5,0)*5/10</f>
        <v>34.5</v>
      </c>
      <c r="T8" s="13">
        <f t="shared" ref="T8" si="100">ROUND(Q8*10/5,0)*5/10</f>
        <v>17.5</v>
      </c>
      <c r="U8" s="13">
        <f t="shared" ref="U8" si="101">ROUND(R8*10/5,0)*5/10</f>
        <v>239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>
        <v>15</v>
      </c>
      <c r="AJ8" s="13">
        <v>2</v>
      </c>
      <c r="AK8" s="13">
        <v>20</v>
      </c>
      <c r="AL8" s="13" t="s">
        <v>1445</v>
      </c>
      <c r="AM8" s="13" t="s">
        <v>1260</v>
      </c>
      <c r="AN8" s="13">
        <f t="shared" ref="AN8:AN64" si="10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0"/>
      <c r="BA8" s="30"/>
      <c r="BB8" s="30"/>
      <c r="BC8" s="30"/>
      <c r="BD8" s="30"/>
      <c r="BE8" s="30"/>
      <c r="BF8" s="13">
        <v>3</v>
      </c>
      <c r="BG8" s="13" t="s">
        <v>1236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0"/>
      <c r="BO8" s="30"/>
      <c r="BP8" s="13">
        <v>3</v>
      </c>
      <c r="BQ8" s="13" t="s">
        <v>269</v>
      </c>
      <c r="BR8" s="24">
        <v>0.85</v>
      </c>
      <c r="BS8" s="30"/>
      <c r="BT8" s="13" t="s">
        <v>1450</v>
      </c>
      <c r="BU8" s="13">
        <v>200241</v>
      </c>
      <c r="BV8" s="13">
        <v>5</v>
      </c>
      <c r="BW8" s="13">
        <v>0.3</v>
      </c>
      <c r="BX8" s="14">
        <f>SUMIFS(属性投放!BY$6:BY$85,属性投放!$AT$6:$AT$85,"="&amp;装备!$BU$3,属性投放!$AU$6:$AU$85,"&lt;="&amp;装备!$BV8)*INDEX(属性投放!$DX$6:$DX$10,装备!$BW$3)*$BW8</f>
        <v>467.94000000000005</v>
      </c>
      <c r="BY8" s="14">
        <f>SUMIFS(属性投放!BZ$6:BZ$85,属性投放!$AT$6:$AT$85,"="&amp;装备!$BU$3,属性投放!$AU$6:$AU$85,"&lt;="&amp;装备!$BV8)*INDEX(属性投放!$DX$6:$DX$10,装备!$BW$3)*$BW8</f>
        <v>238.59</v>
      </c>
      <c r="BZ8" s="14">
        <f>SUMIFS(属性投放!CA$6:CA$85,属性投放!$AT$6:$AT$85,"="&amp;装备!$BU$3,属性投放!$AU$6:$AU$85,"&lt;="&amp;装备!$BV8)*INDEX(属性投放!$DX$6:$DX$10,装备!$BW$3)*BW8/2</f>
        <v>1529.22</v>
      </c>
      <c r="CA8" s="13">
        <v>50</v>
      </c>
      <c r="CB8" s="13">
        <f t="shared" ref="CB8:CB20" si="103">ROUND(BX8/CA8,0)*CA8</f>
        <v>450</v>
      </c>
      <c r="CC8" s="13">
        <f t="shared" ref="CC8:CC20" si="104">ROUND(BY8/CA8*2,0)*CA8/2</f>
        <v>250</v>
      </c>
      <c r="CD8" s="13">
        <f t="shared" ref="CD8:CD20" si="105">CB8*5</f>
        <v>2250</v>
      </c>
      <c r="CE8" s="24">
        <v>0.15</v>
      </c>
      <c r="CF8" s="24">
        <v>0.15</v>
      </c>
      <c r="CG8" s="24">
        <v>0.15</v>
      </c>
      <c r="CH8" s="24">
        <v>0.1</v>
      </c>
      <c r="CI8" s="24">
        <v>0.1</v>
      </c>
      <c r="CJ8" s="14">
        <f t="shared" si="41"/>
        <v>47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106">IF(DA$3&lt;=INDEX($AP$7:$AP$64,$CZ8),$BU8*10+INDEX($AR$7:$AY$64,$CZ8,DA$3),0)</f>
        <v>2002411</v>
      </c>
      <c r="DB8" s="13">
        <f t="shared" si="42"/>
        <v>2002412</v>
      </c>
      <c r="DC8" s="13">
        <f t="shared" si="42"/>
        <v>2002413</v>
      </c>
      <c r="DD8" s="13">
        <f t="shared" si="42"/>
        <v>2002415</v>
      </c>
      <c r="DE8" s="13">
        <f t="shared" si="42"/>
        <v>2002417</v>
      </c>
      <c r="DF8" s="13">
        <f t="shared" si="42"/>
        <v>2002418</v>
      </c>
      <c r="DG8" s="13">
        <f t="shared" si="42"/>
        <v>0</v>
      </c>
      <c r="DH8" s="13">
        <f t="shared" si="42"/>
        <v>0</v>
      </c>
      <c r="DI8" s="13" t="str">
        <f t="shared" si="43"/>
        <v>30级-攻击套寄灵人の灵器</v>
      </c>
      <c r="DJ8" s="13" t="str">
        <f t="shared" si="44"/>
        <v>30级-攻击套寄灵人の头盔</v>
      </c>
      <c r="DK8" s="13" t="str">
        <f t="shared" si="45"/>
        <v>30级-攻击套寄灵人の铠甲</v>
      </c>
      <c r="DL8" s="13" t="str">
        <f t="shared" si="46"/>
        <v>30级-攻击套寄灵人の鞋子</v>
      </c>
      <c r="DM8" s="13" t="str">
        <f t="shared" si="47"/>
        <v>30级-攻击套寄灵人の项链</v>
      </c>
      <c r="DN8" s="13" t="str">
        <f t="shared" si="48"/>
        <v>30级-攻击套寄灵人の戒指</v>
      </c>
      <c r="DO8" s="13" t="str">
        <f t="shared" si="49"/>
        <v/>
      </c>
      <c r="DP8" s="13" t="str">
        <f t="shared" si="50"/>
        <v/>
      </c>
      <c r="DQ8" s="30"/>
      <c r="DR8" s="30"/>
      <c r="DS8" s="30"/>
      <c r="DT8" s="13">
        <v>1034</v>
      </c>
      <c r="DU8" s="28" t="s">
        <v>1459</v>
      </c>
      <c r="DV8" s="13">
        <v>3</v>
      </c>
      <c r="DW8" s="13">
        <v>3</v>
      </c>
      <c r="DX8" s="31">
        <v>0.35</v>
      </c>
      <c r="DY8" s="13">
        <f t="shared" si="6"/>
        <v>78</v>
      </c>
      <c r="DZ8" s="13">
        <f t="shared" si="7"/>
        <v>40</v>
      </c>
      <c r="EA8" s="13">
        <f t="shared" si="8"/>
        <v>544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0"/>
      <c r="EM8" s="13">
        <v>0</v>
      </c>
      <c r="EN8" s="13">
        <v>0</v>
      </c>
      <c r="EO8" s="13">
        <v>2</v>
      </c>
      <c r="EP8" s="13">
        <v>3</v>
      </c>
      <c r="EQ8" s="30"/>
      <c r="ES8" s="30"/>
      <c r="ET8" s="30"/>
      <c r="EU8" s="13">
        <v>3</v>
      </c>
      <c r="EV8" s="14">
        <f t="shared" si="51"/>
        <v>1</v>
      </c>
      <c r="EW8" s="14">
        <f t="shared" si="52"/>
        <v>3</v>
      </c>
      <c r="EX8" s="14">
        <f t="shared" si="53"/>
        <v>1</v>
      </c>
      <c r="EY8" s="14">
        <f t="shared" si="9"/>
        <v>10</v>
      </c>
      <c r="EZ8" s="14">
        <f t="shared" si="10"/>
        <v>1</v>
      </c>
      <c r="FA8" s="14">
        <f t="shared" si="11"/>
        <v>15</v>
      </c>
      <c r="FB8" s="14">
        <f t="shared" si="12"/>
        <v>1</v>
      </c>
      <c r="FC8" s="14">
        <f t="shared" si="13"/>
        <v>3</v>
      </c>
      <c r="FD8" s="14">
        <f t="shared" si="14"/>
        <v>3</v>
      </c>
      <c r="FE8" s="14" t="b">
        <f t="shared" si="54"/>
        <v>0</v>
      </c>
      <c r="FF8" s="14">
        <f t="shared" si="15"/>
        <v>2001103</v>
      </c>
      <c r="FG8" s="13" t="str">
        <f t="shared" si="16"/>
        <v>15级-普通寄灵人の铠甲</v>
      </c>
      <c r="FH8" s="14">
        <f t="shared" si="17"/>
        <v>1</v>
      </c>
      <c r="FI8" s="14">
        <f t="shared" si="18"/>
        <v>1</v>
      </c>
      <c r="FJ8" s="14">
        <f t="shared" si="19"/>
        <v>15</v>
      </c>
      <c r="FK8" s="14">
        <v>1</v>
      </c>
      <c r="FL8" s="14">
        <f t="shared" si="20"/>
        <v>1</v>
      </c>
      <c r="FM8" s="14">
        <f t="shared" si="55"/>
        <v>3</v>
      </c>
      <c r="FN8" s="14" t="str">
        <f t="shared" si="21"/>
        <v/>
      </c>
      <c r="FO8" s="14">
        <f t="shared" si="22"/>
        <v>18</v>
      </c>
      <c r="FP8" s="14">
        <f t="shared" si="56"/>
        <v>0</v>
      </c>
      <c r="FQ8" s="14">
        <f t="shared" si="57"/>
        <v>5</v>
      </c>
      <c r="FR8" s="14">
        <f t="shared" si="58"/>
        <v>50</v>
      </c>
      <c r="FS8" s="14">
        <f t="shared" si="59"/>
        <v>0</v>
      </c>
      <c r="FT8" s="14">
        <f t="shared" si="60"/>
        <v>1</v>
      </c>
      <c r="FU8" s="14">
        <f t="shared" si="61"/>
        <v>8</v>
      </c>
      <c r="FV8" s="14">
        <f t="shared" si="23"/>
        <v>1011</v>
      </c>
      <c r="FW8" s="14">
        <f t="shared" si="24"/>
        <v>0</v>
      </c>
      <c r="FX8" s="14" t="str">
        <f t="shared" si="25"/>
        <v/>
      </c>
      <c r="FY8" s="25" t="str">
        <f t="shared" si="62"/>
        <v>icon_2001103</v>
      </c>
      <c r="FZ8" s="30"/>
      <c r="GA8" s="30"/>
      <c r="GC8" s="14">
        <f t="shared" si="26"/>
        <v>2</v>
      </c>
      <c r="GD8" s="14">
        <f t="shared" si="27"/>
        <v>3</v>
      </c>
      <c r="GE8" s="14">
        <f t="shared" si="63"/>
        <v>18</v>
      </c>
      <c r="GF8" s="14" t="str">
        <f t="shared" si="28"/>
        <v>DefExt</v>
      </c>
      <c r="GG8" s="14">
        <f t="shared" si="64"/>
        <v>5</v>
      </c>
      <c r="GH8" s="14">
        <f t="shared" si="65"/>
        <v>1</v>
      </c>
      <c r="GI8" s="14" t="str">
        <f t="shared" si="29"/>
        <v>HPExt</v>
      </c>
      <c r="GJ8" s="14">
        <f t="shared" si="66"/>
        <v>50</v>
      </c>
      <c r="GK8" s="14">
        <f t="shared" si="67"/>
        <v>8</v>
      </c>
      <c r="GL8" s="14">
        <f t="shared" si="30"/>
        <v>20110</v>
      </c>
      <c r="GM8" s="14">
        <f t="shared" si="68"/>
        <v>0</v>
      </c>
      <c r="GN8" s="14" t="str">
        <f t="shared" si="69"/>
        <v/>
      </c>
      <c r="GO8" s="25" t="s">
        <v>1471</v>
      </c>
      <c r="GP8" s="14">
        <f t="shared" si="31"/>
        <v>5</v>
      </c>
      <c r="GS8" s="13">
        <v>1022</v>
      </c>
      <c r="GT8" s="13" t="s">
        <v>319</v>
      </c>
      <c r="GU8" s="30"/>
      <c r="GV8" s="30"/>
      <c r="GW8" s="13">
        <v>3</v>
      </c>
      <c r="GX8" s="14">
        <f t="shared" si="70"/>
        <v>1</v>
      </c>
      <c r="GY8" s="14">
        <f t="shared" si="71"/>
        <v>3</v>
      </c>
      <c r="GZ8" s="14">
        <f t="shared" si="72"/>
        <v>3</v>
      </c>
      <c r="HA8" s="14">
        <f t="shared" si="73"/>
        <v>200143</v>
      </c>
      <c r="HB8" s="14" t="str">
        <f t="shared" si="74"/>
        <v>15级寄灵人の新手套 : 属性-3</v>
      </c>
      <c r="HC8" s="14" t="s">
        <v>1396</v>
      </c>
      <c r="HD8" s="14">
        <f t="shared" si="75"/>
        <v>3</v>
      </c>
      <c r="HE8" s="14">
        <f t="shared" si="76"/>
        <v>6</v>
      </c>
      <c r="HF8" s="14" t="str">
        <f t="shared" si="77"/>
        <v>HPExt</v>
      </c>
      <c r="HG8" s="14">
        <f t="shared" si="78"/>
        <v>2000</v>
      </c>
      <c r="HH8" s="30"/>
      <c r="HI8" s="30"/>
      <c r="HK8" s="13">
        <v>3</v>
      </c>
      <c r="HL8" s="14">
        <f t="shared" si="79"/>
        <v>1</v>
      </c>
      <c r="HM8" s="14">
        <f t="shared" si="80"/>
        <v>1</v>
      </c>
      <c r="HN8" s="14">
        <f t="shared" si="81"/>
        <v>1</v>
      </c>
      <c r="HO8" s="14">
        <f t="shared" si="82"/>
        <v>3</v>
      </c>
      <c r="HP8" s="14" t="str">
        <f t="shared" si="83"/>
        <v>15级寄灵人洗练-Q3-3</v>
      </c>
      <c r="HQ8" s="14">
        <f t="shared" si="84"/>
        <v>1013</v>
      </c>
      <c r="HR8" s="14">
        <f t="shared" si="85"/>
        <v>3</v>
      </c>
      <c r="HS8" s="14">
        <f t="shared" si="86"/>
        <v>2000</v>
      </c>
      <c r="HT8" s="14" t="str">
        <f t="shared" si="87"/>
        <v>HPExt</v>
      </c>
      <c r="HU8" s="14">
        <f t="shared" si="88"/>
        <v>23</v>
      </c>
      <c r="HV8" s="14">
        <f t="shared" si="89"/>
        <v>66</v>
      </c>
    </row>
    <row r="9" spans="1:230" s="19" customFormat="1" ht="16.5" x14ac:dyDescent="0.2">
      <c r="A9" s="13">
        <v>4</v>
      </c>
      <c r="B9" s="13">
        <v>1</v>
      </c>
      <c r="C9" s="13">
        <v>10</v>
      </c>
      <c r="D9" s="14">
        <f>INDEX(属性投放!$AE$7:$AE$26,装备!C9)</f>
        <v>72</v>
      </c>
      <c r="E9" s="13">
        <v>70</v>
      </c>
      <c r="F9" s="14">
        <f>SUMIFS(属性投放!BY$6:BY$85,属性投放!$AT$6:$AT$85,"="&amp;装备!$B$3,属性投放!$AU$6:$AU$85,"&lt;="&amp;装备!$C9)*INDEX(属性投放!$DX$6:$DX$10,装备!$D$3)*装备!$F$3</f>
        <v>4243</v>
      </c>
      <c r="G9" s="14">
        <f>SUMIFS(属性投放!BZ$6:BZ$85,属性投放!$AT$6:$AT$85,"="&amp;装备!$B$3,属性投放!$AU$6:$AU$85,"&lt;="&amp;装备!$C9)*INDEX(属性投放!$DX$6:$DX$10,装备!$D$3)*装备!$F$3</f>
        <v>2147</v>
      </c>
      <c r="H9" s="14">
        <f>SUMIFS(属性投放!CA$6:CA$85,属性投放!$AT$6:$AT$85,"="&amp;装备!$B$3,属性投放!$AU$6:$AU$85,"&lt;="&amp;装备!$C9)*INDEX(属性投放!$DX$6:$DX$10,装备!$D$3)*装备!$F$3</f>
        <v>32288</v>
      </c>
      <c r="I9" s="26">
        <v>0.2</v>
      </c>
      <c r="J9" s="14">
        <f t="shared" ref="J9:L12" si="107">F9*$I9</f>
        <v>848.6</v>
      </c>
      <c r="K9" s="14">
        <f t="shared" si="107"/>
        <v>429.40000000000003</v>
      </c>
      <c r="L9" s="14">
        <f t="shared" si="107"/>
        <v>6457.6</v>
      </c>
      <c r="M9" s="13">
        <f t="shared" ref="M9:O12" si="108">ROUND(J9/5,0)*5</f>
        <v>850</v>
      </c>
      <c r="N9" s="13">
        <f t="shared" si="108"/>
        <v>430</v>
      </c>
      <c r="O9" s="13">
        <f t="shared" si="108"/>
        <v>6460</v>
      </c>
      <c r="P9" s="13">
        <f t="shared" ref="P9:R12" si="109">(F9-M9)/$D9</f>
        <v>47.125</v>
      </c>
      <c r="Q9" s="13">
        <f t="shared" si="109"/>
        <v>23.847222222222221</v>
      </c>
      <c r="R9" s="13">
        <f t="shared" si="109"/>
        <v>358.72222222222223</v>
      </c>
      <c r="S9" s="13">
        <f t="shared" ref="S9:U12" si="110">ROUND(P9*10/5,0)*5/10</f>
        <v>47</v>
      </c>
      <c r="T9" s="13">
        <f t="shared" si="110"/>
        <v>24</v>
      </c>
      <c r="U9" s="13">
        <f t="shared" si="110"/>
        <v>358.5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>
        <v>15</v>
      </c>
      <c r="AJ9" s="13">
        <v>3</v>
      </c>
      <c r="AK9" s="13">
        <v>30</v>
      </c>
      <c r="AL9" s="13" t="s">
        <v>1445</v>
      </c>
      <c r="AM9" s="13" t="s">
        <v>1261</v>
      </c>
      <c r="AN9" s="13">
        <f t="shared" si="10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0"/>
      <c r="BA9" s="30"/>
      <c r="BB9" s="30"/>
      <c r="BC9" s="30"/>
      <c r="BD9" s="30"/>
      <c r="BE9" s="30"/>
      <c r="BF9" s="13">
        <v>4</v>
      </c>
      <c r="BG9" s="13" t="s">
        <v>1237</v>
      </c>
      <c r="BH9" s="13"/>
      <c r="BI9" s="24">
        <v>0.3</v>
      </c>
      <c r="BJ9" s="13"/>
      <c r="BK9" s="13">
        <v>1</v>
      </c>
      <c r="BL9" s="13">
        <v>2</v>
      </c>
      <c r="BM9" s="13"/>
      <c r="BN9" s="30"/>
      <c r="BO9" s="30"/>
      <c r="BP9" s="13">
        <v>4</v>
      </c>
      <c r="BQ9" s="13" t="s">
        <v>294</v>
      </c>
      <c r="BR9" s="24">
        <v>1</v>
      </c>
      <c r="BS9" s="30"/>
      <c r="BT9" s="13" t="s">
        <v>1451</v>
      </c>
      <c r="BU9" s="13">
        <v>200342</v>
      </c>
      <c r="BV9" s="13">
        <v>8</v>
      </c>
      <c r="BW9" s="13">
        <v>0.2</v>
      </c>
      <c r="BX9" s="14">
        <f>SUMIFS(属性投放!BY$6:BY$85,属性投放!$AT$6:$AT$85,"="&amp;装备!$BU$3,属性投放!$AU$6:$AU$85,"&lt;="&amp;装备!$BV9)*INDEX(属性投放!$DX$6:$DX$10,装备!$BW$3)*$BW9</f>
        <v>593.56000000000006</v>
      </c>
      <c r="BY9" s="14">
        <f>SUMIFS(属性投放!BZ$6:BZ$85,属性投放!$AT$6:$AT$85,"="&amp;装备!$BU$3,属性投放!$AU$6:$AU$85,"&lt;="&amp;装备!$BV9)*INDEX(属性投放!$DX$6:$DX$10,装备!$BW$3)*$BW9</f>
        <v>301.18</v>
      </c>
      <c r="BZ9" s="14">
        <f>SUMIFS(属性投放!CA$6:CA$85,属性投放!$AT$6:$AT$85,"="&amp;装备!$BU$3,属性投放!$AU$6:$AU$85,"&lt;="&amp;装备!$BV9)*INDEX(属性投放!$DX$6:$DX$10,装备!$BW$3)*BW9/2</f>
        <v>2104.0800000000004</v>
      </c>
      <c r="CA9" s="13">
        <v>50</v>
      </c>
      <c r="CB9" s="13">
        <f t="shared" si="103"/>
        <v>600</v>
      </c>
      <c r="CC9" s="13">
        <f t="shared" si="104"/>
        <v>300</v>
      </c>
      <c r="CD9" s="13">
        <f t="shared" si="105"/>
        <v>3000</v>
      </c>
      <c r="CE9" s="24">
        <v>0.15</v>
      </c>
      <c r="CF9" s="24">
        <v>0.15</v>
      </c>
      <c r="CG9" s="24">
        <v>0.15</v>
      </c>
      <c r="CH9" s="24">
        <v>0.1</v>
      </c>
      <c r="CI9" s="24">
        <v>0.1</v>
      </c>
      <c r="CJ9" s="14">
        <f t="shared" si="41"/>
        <v>60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106"/>
        <v>2003421</v>
      </c>
      <c r="DB9" s="13">
        <f t="shared" si="42"/>
        <v>2003422</v>
      </c>
      <c r="DC9" s="13">
        <f t="shared" si="42"/>
        <v>2003423</v>
      </c>
      <c r="DD9" s="13">
        <f t="shared" si="42"/>
        <v>2003424</v>
      </c>
      <c r="DE9" s="13">
        <f t="shared" si="42"/>
        <v>2003425</v>
      </c>
      <c r="DF9" s="13">
        <f t="shared" si="42"/>
        <v>2003426</v>
      </c>
      <c r="DG9" s="13">
        <f t="shared" si="42"/>
        <v>0</v>
      </c>
      <c r="DH9" s="13">
        <f t="shared" si="42"/>
        <v>0</v>
      </c>
      <c r="DI9" s="13" t="str">
        <f t="shared" si="43"/>
        <v>50级-防御套寄灵人の灵器</v>
      </c>
      <c r="DJ9" s="13" t="str">
        <f t="shared" si="44"/>
        <v>50级-防御套寄灵人の头盔</v>
      </c>
      <c r="DK9" s="13" t="str">
        <f t="shared" si="45"/>
        <v>50级-防御套寄灵人の铠甲</v>
      </c>
      <c r="DL9" s="13" t="str">
        <f t="shared" si="46"/>
        <v>50级-防御套寄灵人の裤子</v>
      </c>
      <c r="DM9" s="13" t="str">
        <f t="shared" si="47"/>
        <v>50级-防御套寄灵人の鞋子</v>
      </c>
      <c r="DN9" s="13" t="str">
        <f t="shared" si="48"/>
        <v>50级-防御套寄灵人の护手</v>
      </c>
      <c r="DO9" s="13" t="str">
        <f t="shared" si="49"/>
        <v/>
      </c>
      <c r="DP9" s="13" t="str">
        <f t="shared" si="50"/>
        <v/>
      </c>
      <c r="DQ9" s="30"/>
      <c r="DR9" s="30"/>
      <c r="DS9" s="30"/>
      <c r="DT9" s="13">
        <v>1044</v>
      </c>
      <c r="DU9" s="13" t="s">
        <v>1460</v>
      </c>
      <c r="DV9" s="13">
        <v>5</v>
      </c>
      <c r="DW9" s="13">
        <v>4</v>
      </c>
      <c r="DX9" s="31">
        <v>0.35</v>
      </c>
      <c r="DY9" s="13">
        <f t="shared" si="6"/>
        <v>179</v>
      </c>
      <c r="DZ9" s="13">
        <f t="shared" si="7"/>
        <v>76</v>
      </c>
      <c r="EA9" s="13">
        <f t="shared" si="8"/>
        <v>1129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0"/>
      <c r="EM9" s="13">
        <v>0</v>
      </c>
      <c r="EN9" s="13">
        <v>0</v>
      </c>
      <c r="EO9" s="13">
        <v>3</v>
      </c>
      <c r="EP9" s="13">
        <v>4</v>
      </c>
      <c r="EQ9" s="30"/>
      <c r="ES9" s="30"/>
      <c r="ET9" s="30"/>
      <c r="EU9" s="13">
        <v>4</v>
      </c>
      <c r="EV9" s="14">
        <f t="shared" si="51"/>
        <v>1</v>
      </c>
      <c r="EW9" s="14">
        <f t="shared" si="52"/>
        <v>4</v>
      </c>
      <c r="EX9" s="14">
        <f t="shared" si="53"/>
        <v>1</v>
      </c>
      <c r="EY9" s="14">
        <f t="shared" si="9"/>
        <v>10</v>
      </c>
      <c r="EZ9" s="14">
        <f t="shared" si="10"/>
        <v>1</v>
      </c>
      <c r="FA9" s="14">
        <f t="shared" si="11"/>
        <v>15</v>
      </c>
      <c r="FB9" s="14">
        <f t="shared" si="12"/>
        <v>1</v>
      </c>
      <c r="FC9" s="14">
        <f t="shared" si="13"/>
        <v>4</v>
      </c>
      <c r="FD9" s="14">
        <f t="shared" si="14"/>
        <v>4</v>
      </c>
      <c r="FE9" s="14" t="b">
        <f t="shared" si="54"/>
        <v>0</v>
      </c>
      <c r="FF9" s="14">
        <f t="shared" si="15"/>
        <v>2001104</v>
      </c>
      <c r="FG9" s="13" t="str">
        <f t="shared" si="16"/>
        <v>15级-普通寄灵人の裤子</v>
      </c>
      <c r="FH9" s="14">
        <f t="shared" si="17"/>
        <v>1</v>
      </c>
      <c r="FI9" s="14">
        <f t="shared" si="18"/>
        <v>1</v>
      </c>
      <c r="FJ9" s="14">
        <f t="shared" si="19"/>
        <v>15</v>
      </c>
      <c r="FK9" s="14">
        <v>1</v>
      </c>
      <c r="FL9" s="14">
        <f t="shared" si="20"/>
        <v>1</v>
      </c>
      <c r="FM9" s="14">
        <f t="shared" si="55"/>
        <v>4</v>
      </c>
      <c r="FN9" s="14" t="str">
        <f t="shared" si="21"/>
        <v/>
      </c>
      <c r="FO9" s="14">
        <f t="shared" si="22"/>
        <v>10</v>
      </c>
      <c r="FP9" s="14">
        <f t="shared" si="56"/>
        <v>0</v>
      </c>
      <c r="FQ9" s="14">
        <f t="shared" si="57"/>
        <v>10</v>
      </c>
      <c r="FR9" s="14">
        <f t="shared" si="58"/>
        <v>0</v>
      </c>
      <c r="FS9" s="14">
        <f t="shared" si="59"/>
        <v>0</v>
      </c>
      <c r="FT9" s="14">
        <f t="shared" si="60"/>
        <v>1</v>
      </c>
      <c r="FU9" s="14">
        <f t="shared" si="61"/>
        <v>0</v>
      </c>
      <c r="FV9" s="14">
        <f t="shared" si="23"/>
        <v>1011</v>
      </c>
      <c r="FW9" s="14">
        <f t="shared" si="24"/>
        <v>0</v>
      </c>
      <c r="FX9" s="14" t="str">
        <f t="shared" si="25"/>
        <v/>
      </c>
      <c r="FY9" s="25" t="str">
        <f t="shared" si="62"/>
        <v>icon_2001104</v>
      </c>
      <c r="FZ9" s="30"/>
      <c r="GA9" s="30"/>
      <c r="GC9" s="14">
        <f t="shared" si="26"/>
        <v>2</v>
      </c>
      <c r="GD9" s="14">
        <f t="shared" si="27"/>
        <v>0</v>
      </c>
      <c r="GE9" s="14">
        <f t="shared" si="63"/>
        <v>10</v>
      </c>
      <c r="GF9" s="14" t="str">
        <f t="shared" si="28"/>
        <v>DefExt</v>
      </c>
      <c r="GG9" s="14">
        <f t="shared" si="64"/>
        <v>10</v>
      </c>
      <c r="GH9" s="14">
        <f t="shared" si="65"/>
        <v>1</v>
      </c>
      <c r="GI9" s="14" t="str">
        <f t="shared" si="29"/>
        <v/>
      </c>
      <c r="GJ9" s="14" t="str">
        <f t="shared" si="66"/>
        <v/>
      </c>
      <c r="GK9" s="14" t="str">
        <f t="shared" si="67"/>
        <v/>
      </c>
      <c r="GL9" s="14">
        <f t="shared" si="30"/>
        <v>20110</v>
      </c>
      <c r="GM9" s="14">
        <f t="shared" si="68"/>
        <v>0</v>
      </c>
      <c r="GN9" s="14" t="str">
        <f t="shared" si="69"/>
        <v/>
      </c>
      <c r="GO9" s="25" t="s">
        <v>1471</v>
      </c>
      <c r="GP9" s="14">
        <f t="shared" si="31"/>
        <v>5</v>
      </c>
      <c r="GS9" s="13">
        <v>1031</v>
      </c>
      <c r="GT9" s="13" t="s">
        <v>981</v>
      </c>
      <c r="GU9" s="30"/>
      <c r="GV9" s="30"/>
      <c r="GW9" s="13">
        <v>4</v>
      </c>
      <c r="GX9" s="14">
        <f t="shared" si="70"/>
        <v>1</v>
      </c>
      <c r="GY9" s="14">
        <f t="shared" si="71"/>
        <v>4</v>
      </c>
      <c r="GZ9" s="14">
        <f t="shared" si="72"/>
        <v>7</v>
      </c>
      <c r="HA9" s="14">
        <f t="shared" si="73"/>
        <v>200143</v>
      </c>
      <c r="HB9" s="14" t="str">
        <f t="shared" si="74"/>
        <v>15级寄灵人の新手套 : 属性-4</v>
      </c>
      <c r="HC9" s="14" t="s">
        <v>1396</v>
      </c>
      <c r="HD9" s="14">
        <f t="shared" si="75"/>
        <v>4</v>
      </c>
      <c r="HE9" s="14">
        <f t="shared" si="76"/>
        <v>8</v>
      </c>
      <c r="HF9" s="14" t="str">
        <f t="shared" si="77"/>
        <v>DmgBonus</v>
      </c>
      <c r="HG9" s="14">
        <f>INDEX($CB$7:$CI$34,GX9,GZ9)*INDEX($CQ$7:$CT$34,GX9,GY9)</f>
        <v>0.1</v>
      </c>
      <c r="HH9" s="30"/>
      <c r="HI9" s="30"/>
      <c r="HK9" s="13">
        <v>4</v>
      </c>
      <c r="HL9" s="14">
        <f t="shared" si="79"/>
        <v>1</v>
      </c>
      <c r="HM9" s="14">
        <f t="shared" si="80"/>
        <v>1</v>
      </c>
      <c r="HN9" s="14">
        <f t="shared" si="81"/>
        <v>1</v>
      </c>
      <c r="HO9" s="14">
        <f t="shared" si="82"/>
        <v>3</v>
      </c>
      <c r="HP9" s="14" t="str">
        <f t="shared" si="83"/>
        <v>15级寄灵人洗练-Q3-4</v>
      </c>
      <c r="HQ9" s="14">
        <f t="shared" si="84"/>
        <v>1013</v>
      </c>
      <c r="HR9" s="14">
        <f t="shared" si="85"/>
        <v>4</v>
      </c>
      <c r="HS9" s="14">
        <f t="shared" si="86"/>
        <v>500</v>
      </c>
      <c r="HT9" s="14" t="str">
        <f t="shared" si="87"/>
        <v>AtkRate</v>
      </c>
      <c r="HU9" s="14">
        <f t="shared" si="88"/>
        <v>1.4E-2</v>
      </c>
      <c r="HV9" s="14">
        <f t="shared" si="89"/>
        <v>0.04</v>
      </c>
    </row>
    <row r="10" spans="1:230" s="19" customFormat="1" ht="16.5" x14ac:dyDescent="0.2">
      <c r="A10" s="13">
        <v>5</v>
      </c>
      <c r="B10" s="13">
        <v>1</v>
      </c>
      <c r="C10" s="13">
        <v>12</v>
      </c>
      <c r="D10" s="14">
        <f>INDEX(属性投放!$AE$7:$AE$26,装备!C10)</f>
        <v>87</v>
      </c>
      <c r="E10" s="13">
        <v>90</v>
      </c>
      <c r="F10" s="14">
        <f>SUMIFS(属性投放!BY$6:BY$85,属性投放!$AT$6:$AT$85,"="&amp;装备!$B$3,属性投放!$AU$6:$AU$85,"&lt;="&amp;装备!$C10)*INDEX(属性投放!$DX$6:$DX$10,装备!$D$3)*装备!$F$3</f>
        <v>6578</v>
      </c>
      <c r="G10" s="14">
        <f>SUMIFS(属性投放!BZ$6:BZ$85,属性投放!$AT$6:$AT$85,"="&amp;装备!$B$3,属性投放!$AU$6:$AU$85,"&lt;="&amp;装备!$C10)*INDEX(属性投放!$DX$6:$DX$10,装备!$D$3)*装备!$F$3</f>
        <v>3316</v>
      </c>
      <c r="H10" s="14">
        <f>SUMIFS(属性投放!CA$6:CA$85,属性投放!$AT$6:$AT$85,"="&amp;装备!$B$3,属性投放!$AU$6:$AU$85,"&lt;="&amp;装备!$C10)*INDEX(属性投放!$DX$6:$DX$10,装备!$D$3)*装备!$F$3</f>
        <v>53303</v>
      </c>
      <c r="I10" s="26">
        <v>0.18</v>
      </c>
      <c r="J10" s="14">
        <f t="shared" si="107"/>
        <v>1184.04</v>
      </c>
      <c r="K10" s="14">
        <f t="shared" si="107"/>
        <v>596.88</v>
      </c>
      <c r="L10" s="14">
        <f t="shared" si="107"/>
        <v>9594.5399999999991</v>
      </c>
      <c r="M10" s="13">
        <f t="shared" si="108"/>
        <v>1185</v>
      </c>
      <c r="N10" s="13">
        <f t="shared" si="108"/>
        <v>595</v>
      </c>
      <c r="O10" s="13">
        <f t="shared" si="108"/>
        <v>9595</v>
      </c>
      <c r="P10" s="13">
        <f t="shared" si="109"/>
        <v>61.988505747126439</v>
      </c>
      <c r="Q10" s="13">
        <f t="shared" si="109"/>
        <v>31.275862068965516</v>
      </c>
      <c r="R10" s="13">
        <f t="shared" si="109"/>
        <v>502.39080459770116</v>
      </c>
      <c r="S10" s="13">
        <f t="shared" si="110"/>
        <v>62</v>
      </c>
      <c r="T10" s="13">
        <f t="shared" si="110"/>
        <v>31.5</v>
      </c>
      <c r="U10" s="13">
        <f t="shared" si="110"/>
        <v>502.5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>
        <v>15</v>
      </c>
      <c r="AJ10" s="13">
        <v>4</v>
      </c>
      <c r="AK10" s="13">
        <v>40</v>
      </c>
      <c r="AL10" s="13" t="s">
        <v>1445</v>
      </c>
      <c r="AM10" s="13" t="s">
        <v>1262</v>
      </c>
      <c r="AN10" s="13">
        <f t="shared" si="10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0"/>
      <c r="BA10" s="30"/>
      <c r="BB10" s="30"/>
      <c r="BC10" s="30"/>
      <c r="BD10" s="30"/>
      <c r="BE10" s="30"/>
      <c r="BF10" s="13">
        <v>5</v>
      </c>
      <c r="BG10" s="13" t="s">
        <v>263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0"/>
      <c r="BO10" s="30"/>
      <c r="BP10" s="30"/>
      <c r="BQ10" s="30"/>
      <c r="BR10" s="30"/>
      <c r="BS10" s="30"/>
      <c r="BT10" s="13" t="s">
        <v>1452</v>
      </c>
      <c r="BU10" s="13">
        <v>200441</v>
      </c>
      <c r="BV10" s="13">
        <v>11</v>
      </c>
      <c r="BW10" s="13">
        <v>0.2</v>
      </c>
      <c r="BX10" s="14">
        <f>SUMIFS(属性投放!BY$6:BY$85,属性投放!$AT$6:$AT$85,"="&amp;装备!$BU$3,属性投放!$AU$6:$AU$85,"&lt;="&amp;装备!$BV10)*INDEX(属性投放!$DX$6:$DX$10,装备!$BW$3)*$BW10</f>
        <v>1164.46</v>
      </c>
      <c r="BY10" s="14">
        <f>SUMIFS(属性投放!BZ$6:BZ$85,属性投放!$AT$6:$AT$85,"="&amp;装备!$BU$3,属性投放!$AU$6:$AU$85,"&lt;="&amp;装备!$BV10)*INDEX(属性投放!$DX$6:$DX$10,装备!$BW$3)*$BW10</f>
        <v>587.84</v>
      </c>
      <c r="BZ10" s="14">
        <f>SUMIFS(属性投放!CA$6:CA$85,属性投放!$AT$6:$AT$85,"="&amp;装备!$BU$3,属性投放!$AU$6:$AU$85,"&lt;="&amp;装备!$BV10)*INDEX(属性投放!$DX$6:$DX$10,装备!$BW$3)*BW10/2</f>
        <v>4591.18</v>
      </c>
      <c r="CA10" s="13">
        <v>50</v>
      </c>
      <c r="CB10" s="13">
        <f t="shared" si="103"/>
        <v>1150</v>
      </c>
      <c r="CC10" s="13">
        <f t="shared" si="104"/>
        <v>600</v>
      </c>
      <c r="CD10" s="13">
        <f t="shared" si="105"/>
        <v>5750</v>
      </c>
      <c r="CE10" s="24">
        <v>0.15</v>
      </c>
      <c r="CF10" s="24">
        <v>0.15</v>
      </c>
      <c r="CG10" s="24">
        <v>0.15</v>
      </c>
      <c r="CH10" s="24">
        <v>0.1</v>
      </c>
      <c r="CI10" s="24">
        <v>0.1</v>
      </c>
      <c r="CJ10" s="14">
        <f t="shared" si="41"/>
        <v>117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106"/>
        <v>2004411</v>
      </c>
      <c r="DB10" s="13">
        <f t="shared" si="42"/>
        <v>2004412</v>
      </c>
      <c r="DC10" s="13">
        <f t="shared" si="42"/>
        <v>2004413</v>
      </c>
      <c r="DD10" s="13">
        <f t="shared" si="42"/>
        <v>2004415</v>
      </c>
      <c r="DE10" s="13">
        <f t="shared" si="42"/>
        <v>2004417</v>
      </c>
      <c r="DF10" s="13">
        <f t="shared" si="42"/>
        <v>2004418</v>
      </c>
      <c r="DG10" s="13">
        <f t="shared" si="42"/>
        <v>0</v>
      </c>
      <c r="DH10" s="13">
        <f t="shared" si="42"/>
        <v>0</v>
      </c>
      <c r="DI10" s="13" t="str">
        <f t="shared" si="43"/>
        <v>70级-史诗寄灵人の戒指</v>
      </c>
      <c r="DJ10" s="13" t="str">
        <f t="shared" si="44"/>
        <v>70级-史诗寄灵人の戒指</v>
      </c>
      <c r="DK10" s="13" t="str">
        <f t="shared" si="45"/>
        <v>70级-史诗寄灵人の戒指</v>
      </c>
      <c r="DL10" s="13" t="str">
        <f t="shared" si="46"/>
        <v>70级-史诗寄灵人の戒指</v>
      </c>
      <c r="DM10" s="13" t="str">
        <f t="shared" si="47"/>
        <v>70级-史诗寄灵人の戒指</v>
      </c>
      <c r="DN10" s="13" t="str">
        <f t="shared" si="48"/>
        <v>70级-史诗寄灵人の戒指</v>
      </c>
      <c r="DO10" s="13" t="str">
        <f t="shared" si="49"/>
        <v/>
      </c>
      <c r="DP10" s="13" t="str">
        <f t="shared" si="50"/>
        <v/>
      </c>
      <c r="DQ10" s="30"/>
      <c r="DR10" s="30"/>
      <c r="DS10" s="30"/>
      <c r="DT10" s="13">
        <v>1054</v>
      </c>
      <c r="DU10" s="13" t="s">
        <v>1300</v>
      </c>
      <c r="DV10" s="13">
        <v>5</v>
      </c>
      <c r="DW10" s="13">
        <v>4</v>
      </c>
      <c r="DX10" s="31">
        <v>0.35</v>
      </c>
      <c r="DY10" s="13">
        <f t="shared" si="6"/>
        <v>236</v>
      </c>
      <c r="DZ10" s="13">
        <f t="shared" si="7"/>
        <v>99</v>
      </c>
      <c r="EA10" s="13">
        <f t="shared" si="8"/>
        <v>1913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0"/>
      <c r="EM10" s="13">
        <v>0</v>
      </c>
      <c r="EN10" s="13">
        <v>0</v>
      </c>
      <c r="EO10" s="13">
        <v>4</v>
      </c>
      <c r="EP10" s="13">
        <v>5</v>
      </c>
      <c r="EQ10" s="30"/>
      <c r="ES10" s="30"/>
      <c r="ET10" s="30"/>
      <c r="EU10" s="13">
        <v>5</v>
      </c>
      <c r="EV10" s="14">
        <f t="shared" si="51"/>
        <v>1</v>
      </c>
      <c r="EW10" s="14">
        <f t="shared" si="52"/>
        <v>5</v>
      </c>
      <c r="EX10" s="14">
        <f t="shared" si="53"/>
        <v>1</v>
      </c>
      <c r="EY10" s="14">
        <f t="shared" si="9"/>
        <v>10</v>
      </c>
      <c r="EZ10" s="14">
        <f t="shared" si="10"/>
        <v>1</v>
      </c>
      <c r="FA10" s="14">
        <f t="shared" si="11"/>
        <v>15</v>
      </c>
      <c r="FB10" s="14">
        <f t="shared" si="12"/>
        <v>1</v>
      </c>
      <c r="FC10" s="14">
        <f t="shared" si="13"/>
        <v>5</v>
      </c>
      <c r="FD10" s="14">
        <f t="shared" si="14"/>
        <v>5</v>
      </c>
      <c r="FE10" s="14" t="b">
        <f t="shared" si="54"/>
        <v>0</v>
      </c>
      <c r="FF10" s="14">
        <f t="shared" si="15"/>
        <v>2001105</v>
      </c>
      <c r="FG10" s="13" t="str">
        <f t="shared" si="16"/>
        <v>15级-普通寄灵人の鞋子</v>
      </c>
      <c r="FH10" s="14">
        <f t="shared" si="17"/>
        <v>1</v>
      </c>
      <c r="FI10" s="14">
        <f t="shared" si="18"/>
        <v>1</v>
      </c>
      <c r="FJ10" s="14">
        <f t="shared" si="19"/>
        <v>15</v>
      </c>
      <c r="FK10" s="14">
        <v>1</v>
      </c>
      <c r="FL10" s="14">
        <f t="shared" si="20"/>
        <v>1</v>
      </c>
      <c r="FM10" s="14">
        <f t="shared" si="55"/>
        <v>5</v>
      </c>
      <c r="FN10" s="14" t="str">
        <f t="shared" si="21"/>
        <v/>
      </c>
      <c r="FO10" s="14">
        <f t="shared" si="22"/>
        <v>15</v>
      </c>
      <c r="FP10" s="14">
        <f t="shared" si="56"/>
        <v>0</v>
      </c>
      <c r="FQ10" s="14">
        <f t="shared" si="57"/>
        <v>0</v>
      </c>
      <c r="FR10" s="14">
        <f t="shared" si="58"/>
        <v>95</v>
      </c>
      <c r="FS10" s="14">
        <f t="shared" si="59"/>
        <v>0</v>
      </c>
      <c r="FT10" s="14">
        <f t="shared" si="60"/>
        <v>0</v>
      </c>
      <c r="FU10" s="14">
        <f t="shared" si="61"/>
        <v>15</v>
      </c>
      <c r="FV10" s="14">
        <f t="shared" si="23"/>
        <v>1011</v>
      </c>
      <c r="FW10" s="14">
        <f t="shared" si="24"/>
        <v>0</v>
      </c>
      <c r="FX10" s="14" t="str">
        <f t="shared" si="25"/>
        <v/>
      </c>
      <c r="FY10" s="25" t="str">
        <f t="shared" si="62"/>
        <v>icon_2001105</v>
      </c>
      <c r="FZ10" s="30"/>
      <c r="GA10" s="30"/>
      <c r="GC10" s="14">
        <f t="shared" si="26"/>
        <v>3</v>
      </c>
      <c r="GD10" s="14">
        <f t="shared" si="27"/>
        <v>0</v>
      </c>
      <c r="GE10" s="14">
        <f t="shared" si="63"/>
        <v>15</v>
      </c>
      <c r="GF10" s="14" t="str">
        <f t="shared" si="28"/>
        <v>HPExt</v>
      </c>
      <c r="GG10" s="14">
        <f t="shared" si="64"/>
        <v>95</v>
      </c>
      <c r="GH10" s="14">
        <f t="shared" si="65"/>
        <v>15</v>
      </c>
      <c r="GI10" s="14" t="str">
        <f t="shared" si="29"/>
        <v/>
      </c>
      <c r="GJ10" s="14" t="str">
        <f t="shared" si="66"/>
        <v/>
      </c>
      <c r="GK10" s="14" t="str">
        <f t="shared" si="67"/>
        <v/>
      </c>
      <c r="GL10" s="14">
        <f t="shared" si="30"/>
        <v>20110</v>
      </c>
      <c r="GM10" s="14">
        <f t="shared" si="68"/>
        <v>0</v>
      </c>
      <c r="GN10" s="14" t="str">
        <f t="shared" si="69"/>
        <v/>
      </c>
      <c r="GO10" s="25" t="s">
        <v>1471</v>
      </c>
      <c r="GP10" s="14">
        <f t="shared" si="31"/>
        <v>5</v>
      </c>
      <c r="GS10" s="13">
        <v>1032</v>
      </c>
      <c r="GT10" s="13" t="s">
        <v>982</v>
      </c>
      <c r="GU10" s="30"/>
      <c r="GV10" s="30"/>
      <c r="GW10" s="13">
        <v>5</v>
      </c>
      <c r="GX10" s="14">
        <f t="shared" si="70"/>
        <v>2</v>
      </c>
      <c r="GY10" s="14">
        <f t="shared" si="71"/>
        <v>1</v>
      </c>
      <c r="GZ10" s="14">
        <f t="shared" si="72"/>
        <v>1</v>
      </c>
      <c r="HA10" s="14">
        <f t="shared" si="73"/>
        <v>200241</v>
      </c>
      <c r="HB10" s="14" t="str">
        <f t="shared" si="74"/>
        <v>30级寄灵人の攻击套 : 属性-1</v>
      </c>
      <c r="HC10" s="14" t="s">
        <v>1396</v>
      </c>
      <c r="HD10" s="14">
        <f t="shared" si="75"/>
        <v>1</v>
      </c>
      <c r="HE10" s="14">
        <f t="shared" si="76"/>
        <v>2</v>
      </c>
      <c r="HF10" s="14" t="str">
        <f t="shared" si="77"/>
        <v>AtkExt</v>
      </c>
      <c r="HG10" s="14">
        <f t="shared" si="78"/>
        <v>450</v>
      </c>
      <c r="HH10" s="30"/>
      <c r="HI10" s="30"/>
      <c r="HK10" s="13">
        <v>5</v>
      </c>
      <c r="HL10" s="14">
        <f t="shared" si="79"/>
        <v>1</v>
      </c>
      <c r="HM10" s="14">
        <f t="shared" si="80"/>
        <v>1</v>
      </c>
      <c r="HN10" s="14">
        <f t="shared" si="81"/>
        <v>1</v>
      </c>
      <c r="HO10" s="14">
        <f t="shared" si="82"/>
        <v>3</v>
      </c>
      <c r="HP10" s="14" t="str">
        <f t="shared" si="83"/>
        <v>15级寄灵人洗练-Q3-5</v>
      </c>
      <c r="HQ10" s="14">
        <f t="shared" si="84"/>
        <v>1013</v>
      </c>
      <c r="HR10" s="14">
        <f t="shared" si="85"/>
        <v>5</v>
      </c>
      <c r="HS10" s="14">
        <f t="shared" si="86"/>
        <v>400</v>
      </c>
      <c r="HT10" s="14" t="str">
        <f t="shared" si="87"/>
        <v>DefRate</v>
      </c>
      <c r="HU10" s="14">
        <f t="shared" si="88"/>
        <v>1.4E-2</v>
      </c>
      <c r="HV10" s="14">
        <f t="shared" si="89"/>
        <v>0.04</v>
      </c>
    </row>
    <row r="11" spans="1:230" s="19" customFormat="1" ht="16.5" x14ac:dyDescent="0.2">
      <c r="A11" s="13">
        <v>6</v>
      </c>
      <c r="B11" s="13">
        <v>1</v>
      </c>
      <c r="C11" s="13">
        <v>14</v>
      </c>
      <c r="D11" s="14">
        <f>INDEX(属性投放!$AE$7:$AE$26,装备!C11)</f>
        <v>102</v>
      </c>
      <c r="E11" s="13">
        <v>100</v>
      </c>
      <c r="F11" s="14">
        <f>SUMIFS(属性投放!BY$6:BY$85,属性投放!$AT$6:$AT$85,"="&amp;装备!$B$3,属性投放!$AU$6:$AU$85,"&lt;="&amp;装备!$C11)*INDEX(属性投放!$DX$6:$DX$10,装备!$D$3)*装备!$F$3</f>
        <v>9913</v>
      </c>
      <c r="G11" s="14">
        <f>SUMIFS(属性投放!BZ$6:BZ$85,属性投放!$AT$6:$AT$85,"="&amp;装备!$B$3,属性投放!$AU$6:$AU$85,"&lt;="&amp;装备!$C11)*INDEX(属性投放!$DX$6:$DX$10,装备!$D$3)*装备!$F$3</f>
        <v>4985</v>
      </c>
      <c r="H11" s="14">
        <f>SUMIFS(属性投放!CA$6:CA$85,属性投放!$AT$6:$AT$85,"="&amp;装备!$B$3,属性投放!$AU$6:$AU$85,"&lt;="&amp;装备!$C11)*INDEX(属性投放!$DX$6:$DX$10,装备!$D$3)*装备!$F$3</f>
        <v>86653</v>
      </c>
      <c r="I11" s="26">
        <v>0.15</v>
      </c>
      <c r="J11" s="14">
        <f t="shared" si="107"/>
        <v>1486.95</v>
      </c>
      <c r="K11" s="14">
        <f t="shared" si="107"/>
        <v>747.75</v>
      </c>
      <c r="L11" s="14">
        <f t="shared" si="107"/>
        <v>12997.949999999999</v>
      </c>
      <c r="M11" s="13">
        <f t="shared" si="108"/>
        <v>1485</v>
      </c>
      <c r="N11" s="13">
        <f t="shared" si="108"/>
        <v>750</v>
      </c>
      <c r="O11" s="13">
        <f t="shared" si="108"/>
        <v>13000</v>
      </c>
      <c r="P11" s="13">
        <f t="shared" si="109"/>
        <v>82.627450980392155</v>
      </c>
      <c r="Q11" s="13">
        <f t="shared" si="109"/>
        <v>41.519607843137258</v>
      </c>
      <c r="R11" s="13">
        <f t="shared" si="109"/>
        <v>722.08823529411768</v>
      </c>
      <c r="S11" s="13">
        <f t="shared" si="110"/>
        <v>82.5</v>
      </c>
      <c r="T11" s="13">
        <f t="shared" si="110"/>
        <v>41.5</v>
      </c>
      <c r="U11" s="13">
        <f t="shared" si="110"/>
        <v>722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>
        <v>15</v>
      </c>
      <c r="AJ11" s="13">
        <v>4</v>
      </c>
      <c r="AK11" s="13">
        <v>43</v>
      </c>
      <c r="AL11" s="13" t="s">
        <v>1445</v>
      </c>
      <c r="AM11" s="13" t="s">
        <v>1264</v>
      </c>
      <c r="AN11" s="13">
        <f t="shared" si="10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0"/>
      <c r="BA11" s="30"/>
      <c r="BB11" s="30"/>
      <c r="BC11" s="30"/>
      <c r="BD11" s="30"/>
      <c r="BE11" s="30"/>
      <c r="BF11" s="13">
        <v>6</v>
      </c>
      <c r="BG11" s="13" t="s">
        <v>264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0"/>
      <c r="BO11" s="30"/>
      <c r="BP11" s="30"/>
      <c r="BQ11" s="30"/>
      <c r="BR11" s="30"/>
      <c r="BS11" s="30"/>
      <c r="BT11" s="13" t="s">
        <v>1325</v>
      </c>
      <c r="BU11" s="13">
        <v>200542</v>
      </c>
      <c r="BV11" s="13">
        <v>12</v>
      </c>
      <c r="BW11" s="13">
        <v>0.2</v>
      </c>
      <c r="BX11" s="14">
        <f>SUMIFS(属性投放!BY$6:BY$85,属性投放!$AT$6:$AT$85,"="&amp;装备!$BU$3,属性投放!$AU$6:$AU$85,"&lt;="&amp;装备!$BV11)*INDEX(属性投放!$DX$6:$DX$10,装备!$BW$3)*$BW11</f>
        <v>1447.16</v>
      </c>
      <c r="BY11" s="14">
        <f>SUMIFS(属性投放!BZ$6:BZ$85,属性投放!$AT$6:$AT$85,"="&amp;装备!$BU$3,属性投放!$AU$6:$AU$85,"&lt;="&amp;装备!$BV11)*INDEX(属性投放!$DX$6:$DX$10,装备!$BW$3)*$BW11</f>
        <v>729.5200000000001</v>
      </c>
      <c r="BZ11" s="14">
        <f>SUMIFS(属性投放!CA$6:CA$85,属性投放!$AT$6:$AT$85,"="&amp;装备!$BU$3,属性投放!$AU$6:$AU$85,"&lt;="&amp;装备!$BV11)*INDEX(属性投放!$DX$6:$DX$10,装备!$BW$3)*BW11/2</f>
        <v>5863.3300000000008</v>
      </c>
      <c r="CA11" s="13">
        <v>100</v>
      </c>
      <c r="CB11" s="13">
        <f t="shared" si="103"/>
        <v>1400</v>
      </c>
      <c r="CC11" s="13">
        <f t="shared" si="104"/>
        <v>750</v>
      </c>
      <c r="CD11" s="13">
        <f t="shared" si="105"/>
        <v>7000</v>
      </c>
      <c r="CE11" s="24">
        <v>0.15</v>
      </c>
      <c r="CF11" s="24">
        <v>0.15</v>
      </c>
      <c r="CG11" s="24">
        <v>0.15</v>
      </c>
      <c r="CH11" s="24">
        <v>0.1</v>
      </c>
      <c r="CI11" s="24">
        <v>0.1</v>
      </c>
      <c r="CJ11" s="14">
        <f t="shared" si="41"/>
        <v>144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106"/>
        <v>2005421</v>
      </c>
      <c r="DB11" s="13">
        <f t="shared" si="42"/>
        <v>2005422</v>
      </c>
      <c r="DC11" s="13">
        <f t="shared" si="42"/>
        <v>2005423</v>
      </c>
      <c r="DD11" s="13">
        <f t="shared" si="42"/>
        <v>2005424</v>
      </c>
      <c r="DE11" s="13">
        <f t="shared" si="42"/>
        <v>2005425</v>
      </c>
      <c r="DF11" s="13">
        <f t="shared" si="42"/>
        <v>2005426</v>
      </c>
      <c r="DG11" s="13">
        <f t="shared" si="42"/>
        <v>0</v>
      </c>
      <c r="DH11" s="13">
        <f t="shared" si="42"/>
        <v>0</v>
      </c>
      <c r="DI11" s="13" t="str">
        <f t="shared" si="43"/>
        <v>90级-防御套寄灵人の灵器</v>
      </c>
      <c r="DJ11" s="13" t="str">
        <f t="shared" si="44"/>
        <v>90级-防御套寄灵人の头盔</v>
      </c>
      <c r="DK11" s="13" t="str">
        <f t="shared" si="45"/>
        <v>90级-防御套寄灵人の铠甲</v>
      </c>
      <c r="DL11" s="13" t="str">
        <f t="shared" si="46"/>
        <v>90级-防御套寄灵人の裤子</v>
      </c>
      <c r="DM11" s="13" t="str">
        <f t="shared" si="47"/>
        <v>90级-防御套寄灵人の鞋子</v>
      </c>
      <c r="DN11" s="13" t="str">
        <f t="shared" si="48"/>
        <v>90级-防御套寄灵人の护手</v>
      </c>
      <c r="DO11" s="13" t="str">
        <f t="shared" si="49"/>
        <v/>
      </c>
      <c r="DP11" s="13" t="str">
        <f t="shared" si="50"/>
        <v/>
      </c>
      <c r="DQ11" s="30"/>
      <c r="DR11" s="30"/>
      <c r="DS11" s="30"/>
      <c r="DT11" s="13">
        <v>1064</v>
      </c>
      <c r="DU11" s="13" t="s">
        <v>1301</v>
      </c>
      <c r="DV11" s="13">
        <v>8</v>
      </c>
      <c r="DW11" s="13">
        <v>5</v>
      </c>
      <c r="DX11" s="31">
        <v>0.35</v>
      </c>
      <c r="DY11" s="13">
        <f t="shared" si="6"/>
        <v>451</v>
      </c>
      <c r="DZ11" s="13">
        <f t="shared" si="7"/>
        <v>158</v>
      </c>
      <c r="EA11" s="13">
        <f t="shared" si="8"/>
        <v>3222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0"/>
      <c r="EM11" s="13">
        <v>0</v>
      </c>
      <c r="EN11" s="13">
        <v>0</v>
      </c>
      <c r="EO11" s="13">
        <v>5</v>
      </c>
      <c r="EP11" s="13">
        <v>6</v>
      </c>
      <c r="EQ11" s="30"/>
      <c r="ES11" s="30"/>
      <c r="ET11" s="30"/>
      <c r="EU11" s="13">
        <v>6</v>
      </c>
      <c r="EV11" s="14">
        <f t="shared" si="51"/>
        <v>1</v>
      </c>
      <c r="EW11" s="14">
        <f t="shared" si="52"/>
        <v>6</v>
      </c>
      <c r="EX11" s="14">
        <f t="shared" si="53"/>
        <v>1</v>
      </c>
      <c r="EY11" s="14">
        <f t="shared" si="9"/>
        <v>10</v>
      </c>
      <c r="EZ11" s="14">
        <f t="shared" si="10"/>
        <v>1</v>
      </c>
      <c r="FA11" s="14">
        <f t="shared" si="11"/>
        <v>15</v>
      </c>
      <c r="FB11" s="14">
        <f t="shared" si="12"/>
        <v>1</v>
      </c>
      <c r="FC11" s="14">
        <f t="shared" si="13"/>
        <v>6</v>
      </c>
      <c r="FD11" s="14">
        <f t="shared" si="14"/>
        <v>6</v>
      </c>
      <c r="FE11" s="14" t="b">
        <f t="shared" si="54"/>
        <v>0</v>
      </c>
      <c r="FF11" s="14">
        <f t="shared" si="15"/>
        <v>2001106</v>
      </c>
      <c r="FG11" s="13" t="str">
        <f t="shared" si="16"/>
        <v>15级-普通寄灵人の护手</v>
      </c>
      <c r="FH11" s="14">
        <f t="shared" si="17"/>
        <v>1</v>
      </c>
      <c r="FI11" s="14">
        <f t="shared" si="18"/>
        <v>1</v>
      </c>
      <c r="FJ11" s="14">
        <f t="shared" si="19"/>
        <v>15</v>
      </c>
      <c r="FK11" s="14">
        <v>1</v>
      </c>
      <c r="FL11" s="14">
        <f t="shared" si="20"/>
        <v>1</v>
      </c>
      <c r="FM11" s="14">
        <f t="shared" si="55"/>
        <v>6</v>
      </c>
      <c r="FN11" s="14" t="str">
        <f t="shared" si="21"/>
        <v/>
      </c>
      <c r="FO11" s="14">
        <f t="shared" si="22"/>
        <v>15</v>
      </c>
      <c r="FP11" s="14">
        <f t="shared" si="56"/>
        <v>0</v>
      </c>
      <c r="FQ11" s="14">
        <f t="shared" si="57"/>
        <v>0</v>
      </c>
      <c r="FR11" s="14">
        <f t="shared" si="58"/>
        <v>95</v>
      </c>
      <c r="FS11" s="14">
        <f t="shared" si="59"/>
        <v>0</v>
      </c>
      <c r="FT11" s="14">
        <f t="shared" si="60"/>
        <v>0</v>
      </c>
      <c r="FU11" s="14">
        <f t="shared" si="61"/>
        <v>15</v>
      </c>
      <c r="FV11" s="14">
        <f t="shared" si="23"/>
        <v>1011</v>
      </c>
      <c r="FW11" s="14">
        <f t="shared" si="24"/>
        <v>0</v>
      </c>
      <c r="FX11" s="14" t="str">
        <f t="shared" si="25"/>
        <v/>
      </c>
      <c r="FY11" s="25" t="str">
        <f t="shared" si="62"/>
        <v>icon_2001106</v>
      </c>
      <c r="FZ11" s="30"/>
      <c r="GA11" s="30"/>
      <c r="GC11" s="14">
        <f t="shared" si="26"/>
        <v>3</v>
      </c>
      <c r="GD11" s="14">
        <f t="shared" si="27"/>
        <v>0</v>
      </c>
      <c r="GE11" s="14">
        <f t="shared" si="63"/>
        <v>15</v>
      </c>
      <c r="GF11" s="14" t="str">
        <f t="shared" si="28"/>
        <v>HPExt</v>
      </c>
      <c r="GG11" s="14">
        <f t="shared" si="64"/>
        <v>95</v>
      </c>
      <c r="GH11" s="14">
        <f t="shared" si="65"/>
        <v>15</v>
      </c>
      <c r="GI11" s="14" t="str">
        <f t="shared" si="29"/>
        <v/>
      </c>
      <c r="GJ11" s="14" t="str">
        <f t="shared" si="66"/>
        <v/>
      </c>
      <c r="GK11" s="14" t="str">
        <f t="shared" si="67"/>
        <v/>
      </c>
      <c r="GL11" s="14">
        <f t="shared" si="30"/>
        <v>20110</v>
      </c>
      <c r="GM11" s="14">
        <f t="shared" si="68"/>
        <v>0</v>
      </c>
      <c r="GN11" s="14" t="str">
        <f t="shared" si="69"/>
        <v/>
      </c>
      <c r="GO11" s="25" t="s">
        <v>1471</v>
      </c>
      <c r="GP11" s="14">
        <f t="shared" si="31"/>
        <v>5</v>
      </c>
      <c r="GS11" s="13">
        <v>1041</v>
      </c>
      <c r="GT11" s="13" t="s">
        <v>983</v>
      </c>
      <c r="GU11" s="30"/>
      <c r="GV11" s="30"/>
      <c r="GW11" s="13">
        <v>6</v>
      </c>
      <c r="GX11" s="14">
        <f t="shared" si="70"/>
        <v>2</v>
      </c>
      <c r="GY11" s="14">
        <f t="shared" si="71"/>
        <v>2</v>
      </c>
      <c r="GZ11" s="14">
        <f t="shared" si="72"/>
        <v>3</v>
      </c>
      <c r="HA11" s="14">
        <f t="shared" si="73"/>
        <v>200241</v>
      </c>
      <c r="HB11" s="14" t="str">
        <f t="shared" si="74"/>
        <v>30级寄灵人の攻击套 : 属性-2</v>
      </c>
      <c r="HC11" s="14" t="s">
        <v>1396</v>
      </c>
      <c r="HD11" s="14">
        <f t="shared" si="75"/>
        <v>2</v>
      </c>
      <c r="HE11" s="14">
        <f t="shared" si="76"/>
        <v>4</v>
      </c>
      <c r="HF11" s="14" t="str">
        <f t="shared" si="77"/>
        <v>HPExt</v>
      </c>
      <c r="HG11" s="14">
        <f t="shared" si="78"/>
        <v>2250</v>
      </c>
      <c r="HH11" s="30"/>
      <c r="HI11" s="30"/>
      <c r="HK11" s="13">
        <v>6</v>
      </c>
      <c r="HL11" s="14">
        <f t="shared" si="79"/>
        <v>1</v>
      </c>
      <c r="HM11" s="14">
        <f t="shared" si="80"/>
        <v>1</v>
      </c>
      <c r="HN11" s="14">
        <f t="shared" si="81"/>
        <v>1</v>
      </c>
      <c r="HO11" s="14">
        <f t="shared" si="82"/>
        <v>3</v>
      </c>
      <c r="HP11" s="14" t="str">
        <f t="shared" si="83"/>
        <v>15级寄灵人洗练-Q3-6</v>
      </c>
      <c r="HQ11" s="14">
        <f t="shared" si="84"/>
        <v>1013</v>
      </c>
      <c r="HR11" s="14">
        <f t="shared" si="85"/>
        <v>6</v>
      </c>
      <c r="HS11" s="14">
        <f t="shared" si="86"/>
        <v>500</v>
      </c>
      <c r="HT11" s="14" t="str">
        <f t="shared" si="87"/>
        <v>HPRate</v>
      </c>
      <c r="HU11" s="14">
        <f t="shared" si="88"/>
        <v>1.4E-2</v>
      </c>
      <c r="HV11" s="14">
        <f t="shared" si="89"/>
        <v>0.04</v>
      </c>
    </row>
    <row r="12" spans="1:230" s="19" customFormat="1" ht="16.5" x14ac:dyDescent="0.2">
      <c r="A12" s="13">
        <v>7</v>
      </c>
      <c r="B12" s="13">
        <v>1</v>
      </c>
      <c r="C12" s="13">
        <v>15</v>
      </c>
      <c r="D12" s="14">
        <f>INDEX(属性投放!$AE$7:$AE$26,装备!C12)</f>
        <v>110</v>
      </c>
      <c r="E12" s="13">
        <v>110</v>
      </c>
      <c r="F12" s="14">
        <f>SUMIFS(属性投放!BY$6:BY$85,属性投放!$AT$6:$AT$85,"="&amp;装备!$B$3,属性投放!$AU$6:$AU$85,"&lt;="&amp;装备!$C12)*INDEX(属性投放!$DX$6:$DX$10,装备!$D$3)*装备!$F$3</f>
        <v>12368</v>
      </c>
      <c r="G12" s="14">
        <f>SUMIFS(属性投放!BZ$6:BZ$85,属性投放!$AT$6:$AT$85,"="&amp;装备!$B$3,属性投放!$AU$6:$AU$85,"&lt;="&amp;装备!$C12)*INDEX(属性投放!$DX$6:$DX$10,装备!$D$3)*装备!$F$3</f>
        <v>6214</v>
      </c>
      <c r="H12" s="14">
        <f>SUMIFS(属性投放!CA$6:CA$85,属性投放!$AT$6:$AT$85,"="&amp;装备!$B$3,属性投放!$AU$6:$AU$85,"&lt;="&amp;装备!$C12)*INDEX(属性投放!$DX$6:$DX$10,装备!$D$3)*装备!$F$3</f>
        <v>111203</v>
      </c>
      <c r="I12" s="26">
        <v>0.15</v>
      </c>
      <c r="J12" s="14">
        <f t="shared" si="107"/>
        <v>1855.1999999999998</v>
      </c>
      <c r="K12" s="14">
        <f t="shared" si="107"/>
        <v>932.09999999999991</v>
      </c>
      <c r="L12" s="14">
        <f t="shared" si="107"/>
        <v>16680.45</v>
      </c>
      <c r="M12" s="13">
        <f t="shared" si="108"/>
        <v>1855</v>
      </c>
      <c r="N12" s="13">
        <f t="shared" si="108"/>
        <v>930</v>
      </c>
      <c r="O12" s="13">
        <f t="shared" si="108"/>
        <v>16680</v>
      </c>
      <c r="P12" s="13">
        <f t="shared" si="109"/>
        <v>95.572727272727278</v>
      </c>
      <c r="Q12" s="13">
        <f t="shared" si="109"/>
        <v>48.036363636363639</v>
      </c>
      <c r="R12" s="13">
        <f t="shared" si="109"/>
        <v>859.3</v>
      </c>
      <c r="S12" s="13">
        <f t="shared" si="110"/>
        <v>95.5</v>
      </c>
      <c r="T12" s="13">
        <f t="shared" si="110"/>
        <v>48</v>
      </c>
      <c r="U12" s="13">
        <f t="shared" si="110"/>
        <v>859.5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>
        <v>30</v>
      </c>
      <c r="AJ12" s="13">
        <v>1</v>
      </c>
      <c r="AK12" s="13">
        <v>10</v>
      </c>
      <c r="AL12" s="13" t="s">
        <v>1446</v>
      </c>
      <c r="AM12" s="13" t="s">
        <v>1259</v>
      </c>
      <c r="AN12" s="13">
        <f t="shared" si="10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0"/>
      <c r="BA12" s="30"/>
      <c r="BB12" s="30"/>
      <c r="BC12" s="30"/>
      <c r="BD12" s="30"/>
      <c r="BE12" s="30"/>
      <c r="BF12" s="13">
        <v>7</v>
      </c>
      <c r="BG12" s="13" t="s">
        <v>265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0"/>
      <c r="BO12" s="30"/>
      <c r="BP12" s="30"/>
      <c r="BQ12" s="30"/>
      <c r="BR12" s="30"/>
      <c r="BS12" s="30"/>
      <c r="BT12" s="13" t="s">
        <v>1326</v>
      </c>
      <c r="BU12" s="13">
        <v>200543</v>
      </c>
      <c r="BV12" s="13">
        <v>13</v>
      </c>
      <c r="BW12" s="13">
        <v>0.25</v>
      </c>
      <c r="BX12" s="14">
        <f>SUMIFS(属性投放!BY$6:BY$85,属性投放!$AT$6:$AT$85,"="&amp;装备!$BU$3,属性投放!$AU$6:$AU$85,"&lt;="&amp;装备!$BV12)*INDEX(属性投放!$DX$6:$DX$10,装备!$BW$3)*$BW12</f>
        <v>2247.5750000000003</v>
      </c>
      <c r="BY12" s="14">
        <f>SUMIFS(属性投放!BZ$6:BZ$85,属性投放!$AT$6:$AT$85,"="&amp;装备!$BU$3,属性投放!$AU$6:$AU$85,"&lt;="&amp;装备!$BV12)*INDEX(属性投放!$DX$6:$DX$10,装备!$BW$3)*$BW12</f>
        <v>1131.625</v>
      </c>
      <c r="BZ12" s="14">
        <f>SUMIFS(属性投放!CA$6:CA$85,属性投放!$AT$6:$AT$85,"="&amp;装备!$BU$3,属性投放!$AU$6:$AU$85,"&lt;="&amp;装备!$BV12)*INDEX(属性投放!$DX$6:$DX$10,装备!$BW$3)*BW12/2</f>
        <v>9522.2875000000004</v>
      </c>
      <c r="CA12" s="13">
        <v>100</v>
      </c>
      <c r="CB12" s="13">
        <f t="shared" si="103"/>
        <v>2200</v>
      </c>
      <c r="CC12" s="13">
        <f t="shared" si="104"/>
        <v>1150</v>
      </c>
      <c r="CD12" s="13">
        <f t="shared" si="105"/>
        <v>11000</v>
      </c>
      <c r="CE12" s="24">
        <v>0.15</v>
      </c>
      <c r="CF12" s="24">
        <v>0.15</v>
      </c>
      <c r="CG12" s="24">
        <v>0.15</v>
      </c>
      <c r="CH12" s="24">
        <v>0.1</v>
      </c>
      <c r="CI12" s="24">
        <v>0.1</v>
      </c>
      <c r="CJ12" s="14">
        <f t="shared" si="41"/>
        <v>224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106"/>
        <v>2005431</v>
      </c>
      <c r="DB12" s="13">
        <f t="shared" si="42"/>
        <v>2005432</v>
      </c>
      <c r="DC12" s="13">
        <f t="shared" si="42"/>
        <v>2005433</v>
      </c>
      <c r="DD12" s="13">
        <f t="shared" si="42"/>
        <v>2005434</v>
      </c>
      <c r="DE12" s="13">
        <f t="shared" si="42"/>
        <v>2005436</v>
      </c>
      <c r="DF12" s="13">
        <f t="shared" si="42"/>
        <v>0</v>
      </c>
      <c r="DG12" s="13">
        <f t="shared" si="42"/>
        <v>0</v>
      </c>
      <c r="DH12" s="13">
        <f t="shared" si="42"/>
        <v>0</v>
      </c>
      <c r="DI12" s="13" t="str">
        <f t="shared" si="43"/>
        <v>90级-绝世套寄灵人の灵器</v>
      </c>
      <c r="DJ12" s="13" t="str">
        <f t="shared" si="44"/>
        <v>90级-绝世套寄灵人の头盔</v>
      </c>
      <c r="DK12" s="13" t="str">
        <f t="shared" si="45"/>
        <v>90级-绝世套寄灵人の铠甲</v>
      </c>
      <c r="DL12" s="13" t="str">
        <f t="shared" si="46"/>
        <v>90级-绝世套寄灵人の裤子</v>
      </c>
      <c r="DM12" s="13" t="str">
        <f t="shared" si="47"/>
        <v>90级-绝世套寄灵人の护手</v>
      </c>
      <c r="DN12" s="13" t="str">
        <f t="shared" si="48"/>
        <v/>
      </c>
      <c r="DO12" s="13" t="str">
        <f t="shared" si="49"/>
        <v/>
      </c>
      <c r="DP12" s="13" t="str">
        <f t="shared" si="50"/>
        <v/>
      </c>
      <c r="DQ12" s="30"/>
      <c r="DR12" s="30"/>
      <c r="DS12" s="30"/>
      <c r="DT12" s="13">
        <v>1074</v>
      </c>
      <c r="DU12" s="13" t="s">
        <v>1302</v>
      </c>
      <c r="DV12" s="13">
        <v>8</v>
      </c>
      <c r="DW12" s="13">
        <v>5</v>
      </c>
      <c r="DX12" s="31">
        <v>0.35</v>
      </c>
      <c r="DY12" s="13">
        <f t="shared" si="6"/>
        <v>522</v>
      </c>
      <c r="DZ12" s="13">
        <f t="shared" si="7"/>
        <v>183</v>
      </c>
      <c r="EA12" s="13">
        <f t="shared" si="8"/>
        <v>4136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0"/>
      <c r="EM12" s="13">
        <v>0</v>
      </c>
      <c r="EN12" s="13">
        <v>0</v>
      </c>
      <c r="EO12" s="13">
        <v>1</v>
      </c>
      <c r="EP12" s="13">
        <v>2</v>
      </c>
      <c r="EQ12" s="30"/>
      <c r="ES12" s="30"/>
      <c r="ET12" s="30"/>
      <c r="EU12" s="13">
        <v>7</v>
      </c>
      <c r="EV12" s="14">
        <f t="shared" si="51"/>
        <v>1</v>
      </c>
      <c r="EW12" s="14">
        <f t="shared" si="52"/>
        <v>7</v>
      </c>
      <c r="EX12" s="14">
        <f t="shared" si="53"/>
        <v>1</v>
      </c>
      <c r="EY12" s="14">
        <f t="shared" si="9"/>
        <v>10</v>
      </c>
      <c r="EZ12" s="14">
        <f t="shared" si="10"/>
        <v>1</v>
      </c>
      <c r="FA12" s="14">
        <f t="shared" si="11"/>
        <v>15</v>
      </c>
      <c r="FB12" s="14">
        <f t="shared" si="12"/>
        <v>1</v>
      </c>
      <c r="FC12" s="14">
        <f t="shared" si="13"/>
        <v>7</v>
      </c>
      <c r="FD12" s="14">
        <f t="shared" si="14"/>
        <v>7</v>
      </c>
      <c r="FE12" s="14" t="b">
        <f t="shared" si="54"/>
        <v>0</v>
      </c>
      <c r="FF12" s="14">
        <f t="shared" si="15"/>
        <v>2001107</v>
      </c>
      <c r="FG12" s="13" t="str">
        <f t="shared" si="16"/>
        <v>15级-普通寄灵人の项链</v>
      </c>
      <c r="FH12" s="14">
        <f t="shared" si="17"/>
        <v>1</v>
      </c>
      <c r="FI12" s="14">
        <f t="shared" si="18"/>
        <v>1</v>
      </c>
      <c r="FJ12" s="14">
        <f t="shared" si="19"/>
        <v>15</v>
      </c>
      <c r="FK12" s="14">
        <v>1</v>
      </c>
      <c r="FL12" s="14">
        <f t="shared" si="20"/>
        <v>1</v>
      </c>
      <c r="FM12" s="14">
        <f t="shared" si="55"/>
        <v>7</v>
      </c>
      <c r="FN12" s="14" t="str">
        <f t="shared" si="21"/>
        <v/>
      </c>
      <c r="FO12" s="14">
        <f t="shared" si="22"/>
        <v>20</v>
      </c>
      <c r="FP12" s="14">
        <f t="shared" si="56"/>
        <v>10</v>
      </c>
      <c r="FQ12" s="14">
        <f t="shared" si="57"/>
        <v>5</v>
      </c>
      <c r="FR12" s="14">
        <f t="shared" si="58"/>
        <v>0</v>
      </c>
      <c r="FS12" s="14">
        <f t="shared" si="59"/>
        <v>2</v>
      </c>
      <c r="FT12" s="14">
        <f t="shared" si="60"/>
        <v>1</v>
      </c>
      <c r="FU12" s="14">
        <f t="shared" si="61"/>
        <v>0</v>
      </c>
      <c r="FV12" s="14">
        <f t="shared" si="23"/>
        <v>1011</v>
      </c>
      <c r="FW12" s="14">
        <f t="shared" si="24"/>
        <v>0</v>
      </c>
      <c r="FX12" s="14" t="str">
        <f t="shared" si="25"/>
        <v/>
      </c>
      <c r="FY12" s="25" t="str">
        <f t="shared" si="62"/>
        <v>icon_2001107</v>
      </c>
      <c r="FZ12" s="30"/>
      <c r="GA12" s="30"/>
      <c r="GC12" s="14">
        <f t="shared" si="26"/>
        <v>1</v>
      </c>
      <c r="GD12" s="14">
        <f t="shared" si="27"/>
        <v>2</v>
      </c>
      <c r="GE12" s="14">
        <f t="shared" si="63"/>
        <v>20</v>
      </c>
      <c r="GF12" s="14" t="str">
        <f t="shared" si="28"/>
        <v>AtkExt</v>
      </c>
      <c r="GG12" s="14">
        <f t="shared" si="64"/>
        <v>10</v>
      </c>
      <c r="GH12" s="14">
        <f t="shared" si="65"/>
        <v>2</v>
      </c>
      <c r="GI12" s="14" t="str">
        <f t="shared" si="29"/>
        <v>DefExt</v>
      </c>
      <c r="GJ12" s="14">
        <f t="shared" si="66"/>
        <v>5</v>
      </c>
      <c r="GK12" s="14">
        <f t="shared" si="67"/>
        <v>1</v>
      </c>
      <c r="GL12" s="14">
        <f t="shared" si="30"/>
        <v>20110</v>
      </c>
      <c r="GM12" s="14">
        <f t="shared" si="68"/>
        <v>0</v>
      </c>
      <c r="GN12" s="14" t="str">
        <f t="shared" si="69"/>
        <v/>
      </c>
      <c r="GO12" s="25" t="s">
        <v>1471</v>
      </c>
      <c r="GP12" s="14">
        <f t="shared" si="31"/>
        <v>8</v>
      </c>
      <c r="GS12" s="13">
        <v>1042</v>
      </c>
      <c r="GT12" s="13" t="s">
        <v>984</v>
      </c>
      <c r="GU12" s="30"/>
      <c r="GV12" s="30"/>
      <c r="GW12" s="13">
        <v>7</v>
      </c>
      <c r="GX12" s="14">
        <f t="shared" si="70"/>
        <v>2</v>
      </c>
      <c r="GY12" s="14">
        <f t="shared" si="71"/>
        <v>3</v>
      </c>
      <c r="GZ12" s="14">
        <f t="shared" si="72"/>
        <v>4</v>
      </c>
      <c r="HA12" s="14">
        <f t="shared" si="73"/>
        <v>200241</v>
      </c>
      <c r="HB12" s="14" t="str">
        <f t="shared" si="74"/>
        <v>30级寄灵人の攻击套 : 属性-3</v>
      </c>
      <c r="HC12" s="14" t="s">
        <v>1396</v>
      </c>
      <c r="HD12" s="14">
        <f t="shared" si="75"/>
        <v>3</v>
      </c>
      <c r="HE12" s="14">
        <f t="shared" si="76"/>
        <v>5</v>
      </c>
      <c r="HF12" s="14" t="str">
        <f t="shared" si="77"/>
        <v>AtkRate</v>
      </c>
      <c r="HG12" s="14">
        <f t="shared" si="78"/>
        <v>0.15</v>
      </c>
      <c r="HH12" s="30"/>
      <c r="HI12" s="30"/>
      <c r="HK12" s="13">
        <v>7</v>
      </c>
      <c r="HL12" s="14">
        <f t="shared" si="79"/>
        <v>1</v>
      </c>
      <c r="HM12" s="14">
        <f t="shared" si="80"/>
        <v>1</v>
      </c>
      <c r="HN12" s="14">
        <f t="shared" si="81"/>
        <v>1</v>
      </c>
      <c r="HO12" s="14">
        <f t="shared" si="82"/>
        <v>3</v>
      </c>
      <c r="HP12" s="14" t="str">
        <f t="shared" si="83"/>
        <v>15级寄灵人洗练-Q3-7</v>
      </c>
      <c r="HQ12" s="14">
        <f t="shared" si="84"/>
        <v>1013</v>
      </c>
      <c r="HR12" s="14">
        <f t="shared" si="85"/>
        <v>7</v>
      </c>
      <c r="HS12" s="14">
        <f t="shared" si="86"/>
        <v>500</v>
      </c>
      <c r="HT12" s="14" t="str">
        <f t="shared" si="87"/>
        <v>Crit</v>
      </c>
      <c r="HU12" s="14">
        <f t="shared" si="88"/>
        <v>1.0999999999999999E-2</v>
      </c>
      <c r="HV12" s="14">
        <f t="shared" si="89"/>
        <v>0.03</v>
      </c>
    </row>
    <row r="13" spans="1:230" s="19" customFormat="1" ht="16.5" x14ac:dyDescent="0.2">
      <c r="A13" s="13">
        <v>8</v>
      </c>
      <c r="B13" s="13">
        <v>1</v>
      </c>
      <c r="C13" s="13">
        <v>17</v>
      </c>
      <c r="D13" s="14">
        <f>INDEX(属性投放!$AE$7:$AE$26,装备!C13)</f>
        <v>125</v>
      </c>
      <c r="E13" s="13">
        <v>120</v>
      </c>
      <c r="F13" s="14">
        <f>SUMIFS(属性投放!BY$6:BY$85,属性投放!$AT$6:$AT$85,"="&amp;装备!$B$3,属性投放!$AU$6:$AU$85,"&lt;="&amp;装备!$C13)*INDEX(属性投放!$DX$6:$DX$10,装备!$D$3)*装备!$F$3</f>
        <v>18428</v>
      </c>
      <c r="G13" s="14">
        <f>SUMIFS(属性投放!BZ$6:BZ$85,属性投放!$AT$6:$AT$85,"="&amp;装备!$B$3,属性投放!$AU$6:$AU$85,"&lt;="&amp;装备!$C13)*INDEX(属性投放!$DX$6:$DX$10,装备!$D$3)*装备!$F$3</f>
        <v>9244</v>
      </c>
      <c r="H13" s="14">
        <f>SUMIFS(属性投放!CA$6:CA$85,属性投放!$AT$6:$AT$85,"="&amp;装备!$B$3,属性投放!$AU$6:$AU$85,"&lt;="&amp;装备!$C13)*INDEX(属性投放!$DX$6:$DX$10,装备!$D$3)*装备!$F$3</f>
        <v>171803</v>
      </c>
      <c r="I13" s="26">
        <v>0.14000000000000001</v>
      </c>
      <c r="J13" s="14">
        <f t="shared" ref="J13:J16" si="111">F13*$I13</f>
        <v>2579.92</v>
      </c>
      <c r="K13" s="14">
        <f t="shared" ref="K13:K16" si="112">G13*$I13</f>
        <v>1294.1600000000001</v>
      </c>
      <c r="L13" s="14">
        <f t="shared" ref="L13:L16" si="113">H13*$I13</f>
        <v>24052.420000000002</v>
      </c>
      <c r="M13" s="13">
        <f t="shared" ref="M13:M16" si="114">ROUND(J13/5,0)*5</f>
        <v>2580</v>
      </c>
      <c r="N13" s="13">
        <f t="shared" ref="N13:N16" si="115">ROUND(K13/5,0)*5</f>
        <v>1295</v>
      </c>
      <c r="O13" s="13">
        <f t="shared" ref="O13:O16" si="116">ROUND(L13/5,0)*5</f>
        <v>24050</v>
      </c>
      <c r="P13" s="13">
        <f t="shared" ref="P13:P16" si="117">(F13-M13)/$D13</f>
        <v>126.78400000000001</v>
      </c>
      <c r="Q13" s="13">
        <f t="shared" ref="Q13:Q16" si="118">(G13-N13)/$D13</f>
        <v>63.591999999999999</v>
      </c>
      <c r="R13" s="13">
        <f t="shared" ref="R13:R16" si="119">(H13-O13)/$D13</f>
        <v>1182.0239999999999</v>
      </c>
      <c r="S13" s="13">
        <f t="shared" ref="S13:S16" si="120">ROUND(P13*10/5,0)*5/10</f>
        <v>127</v>
      </c>
      <c r="T13" s="13">
        <f t="shared" ref="T13:T16" si="121">ROUND(Q13*10/5,0)*5/10</f>
        <v>63.5</v>
      </c>
      <c r="U13" s="13">
        <f t="shared" ref="U13:U16" si="122">ROUND(R13*10/5,0)*5/10</f>
        <v>1182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>
        <v>30</v>
      </c>
      <c r="AJ13" s="13">
        <v>2</v>
      </c>
      <c r="AK13" s="13">
        <v>20</v>
      </c>
      <c r="AL13" s="13" t="s">
        <v>1446</v>
      </c>
      <c r="AM13" s="13" t="s">
        <v>1260</v>
      </c>
      <c r="AN13" s="13">
        <f t="shared" si="10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0"/>
      <c r="BA13" s="30"/>
      <c r="BB13" s="30"/>
      <c r="BC13" s="30"/>
      <c r="BD13" s="30"/>
      <c r="BE13" s="30"/>
      <c r="BF13" s="13">
        <v>8</v>
      </c>
      <c r="BG13" s="13" t="s">
        <v>266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0"/>
      <c r="BO13" s="30"/>
      <c r="BP13" s="30"/>
      <c r="BQ13" s="30"/>
      <c r="BR13" s="30"/>
      <c r="BS13" s="30"/>
      <c r="BT13" s="13" t="s">
        <v>1327</v>
      </c>
      <c r="BU13" s="13">
        <v>200641</v>
      </c>
      <c r="BV13" s="13">
        <v>14</v>
      </c>
      <c r="BW13" s="13">
        <v>0.2</v>
      </c>
      <c r="BX13" s="14">
        <f>SUMIFS(属性投放!BY$6:BY$85,属性投放!$AT$6:$AT$85,"="&amp;装备!$BU$3,属性投放!$AU$6:$AU$85,"&lt;="&amp;装备!$BV13)*INDEX(属性投放!$DX$6:$DX$10,装备!$BW$3)*$BW13</f>
        <v>2180.86</v>
      </c>
      <c r="BY13" s="14">
        <f>SUMIFS(属性投放!BZ$6:BZ$85,属性投放!$AT$6:$AT$85,"="&amp;装备!$BU$3,属性投放!$AU$6:$AU$85,"&lt;="&amp;装备!$BV13)*INDEX(属性投放!$DX$6:$DX$10,装备!$BW$3)*$BW13</f>
        <v>1096.7</v>
      </c>
      <c r="BZ13" s="14">
        <f>SUMIFS(属性投放!CA$6:CA$85,属性投放!$AT$6:$AT$85,"="&amp;装备!$BU$3,属性投放!$AU$6:$AU$85,"&lt;="&amp;装备!$BV13)*INDEX(属性投放!$DX$6:$DX$10,装备!$BW$3)*BW13/2</f>
        <v>9531.83</v>
      </c>
      <c r="CA13" s="13">
        <v>100</v>
      </c>
      <c r="CB13" s="13">
        <f t="shared" si="103"/>
        <v>2200</v>
      </c>
      <c r="CC13" s="13">
        <f t="shared" si="104"/>
        <v>1100</v>
      </c>
      <c r="CD13" s="13">
        <f t="shared" si="105"/>
        <v>11000</v>
      </c>
      <c r="CE13" s="24">
        <v>0.15</v>
      </c>
      <c r="CF13" s="24">
        <v>0.15</v>
      </c>
      <c r="CG13" s="24">
        <v>0.15</v>
      </c>
      <c r="CH13" s="24">
        <v>0.1</v>
      </c>
      <c r="CI13" s="24">
        <v>0.1</v>
      </c>
      <c r="CJ13" s="14">
        <f t="shared" si="41"/>
        <v>220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106"/>
        <v>2006411</v>
      </c>
      <c r="DB13" s="13">
        <f t="shared" si="42"/>
        <v>2006412</v>
      </c>
      <c r="DC13" s="13">
        <f t="shared" si="42"/>
        <v>2006413</v>
      </c>
      <c r="DD13" s="13">
        <f t="shared" si="42"/>
        <v>2006415</v>
      </c>
      <c r="DE13" s="13">
        <f t="shared" si="42"/>
        <v>2006417</v>
      </c>
      <c r="DF13" s="13">
        <f t="shared" si="42"/>
        <v>2006418</v>
      </c>
      <c r="DG13" s="13">
        <f t="shared" si="42"/>
        <v>0</v>
      </c>
      <c r="DH13" s="13">
        <f t="shared" si="42"/>
        <v>0</v>
      </c>
      <c r="DI13" s="13" t="str">
        <f t="shared" si="43"/>
        <v>100级-攻击套寄灵人の灵器</v>
      </c>
      <c r="DJ13" s="13" t="str">
        <f t="shared" si="44"/>
        <v>100级-攻击套寄灵人の头盔</v>
      </c>
      <c r="DK13" s="13" t="str">
        <f t="shared" si="45"/>
        <v>100级-攻击套寄灵人の铠甲</v>
      </c>
      <c r="DL13" s="13" t="str">
        <f t="shared" si="46"/>
        <v>100级-攻击套寄灵人の鞋子</v>
      </c>
      <c r="DM13" s="13" t="str">
        <f t="shared" si="47"/>
        <v>100级-攻击套寄灵人の项链</v>
      </c>
      <c r="DN13" s="13" t="str">
        <f t="shared" si="48"/>
        <v>100级-攻击套寄灵人の戒指</v>
      </c>
      <c r="DO13" s="13" t="str">
        <f t="shared" si="49"/>
        <v/>
      </c>
      <c r="DP13" s="13" t="str">
        <f t="shared" si="50"/>
        <v/>
      </c>
      <c r="DQ13" s="30"/>
      <c r="DR13" s="30"/>
      <c r="DS13" s="30"/>
      <c r="DT13" s="13">
        <v>1084</v>
      </c>
      <c r="DU13" s="13" t="s">
        <v>1303</v>
      </c>
      <c r="DV13" s="13">
        <v>8</v>
      </c>
      <c r="DW13" s="13">
        <v>5</v>
      </c>
      <c r="DX13" s="31">
        <v>0.35</v>
      </c>
      <c r="DY13" s="13">
        <f t="shared" si="6"/>
        <v>695</v>
      </c>
      <c r="DZ13" s="13">
        <f t="shared" si="7"/>
        <v>242</v>
      </c>
      <c r="EA13" s="13">
        <f t="shared" si="8"/>
        <v>6464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0"/>
      <c r="EM13" s="13">
        <v>0</v>
      </c>
      <c r="EN13" s="13">
        <v>0</v>
      </c>
      <c r="EO13" s="13">
        <v>2</v>
      </c>
      <c r="EP13" s="13">
        <v>3</v>
      </c>
      <c r="EQ13" s="30"/>
      <c r="ES13" s="30"/>
      <c r="ET13" s="30"/>
      <c r="EU13" s="13">
        <v>8</v>
      </c>
      <c r="EV13" s="14">
        <f t="shared" si="51"/>
        <v>1</v>
      </c>
      <c r="EW13" s="14">
        <f t="shared" si="52"/>
        <v>8</v>
      </c>
      <c r="EX13" s="14">
        <f t="shared" si="53"/>
        <v>1</v>
      </c>
      <c r="EY13" s="14">
        <f t="shared" si="9"/>
        <v>10</v>
      </c>
      <c r="EZ13" s="14">
        <f t="shared" si="10"/>
        <v>1</v>
      </c>
      <c r="FA13" s="14">
        <f t="shared" si="11"/>
        <v>15</v>
      </c>
      <c r="FB13" s="14">
        <f t="shared" si="12"/>
        <v>1</v>
      </c>
      <c r="FC13" s="14">
        <f t="shared" si="13"/>
        <v>8</v>
      </c>
      <c r="FD13" s="14">
        <f t="shared" si="14"/>
        <v>8</v>
      </c>
      <c r="FE13" s="14" t="b">
        <f t="shared" si="54"/>
        <v>0</v>
      </c>
      <c r="FF13" s="14">
        <f t="shared" si="15"/>
        <v>2001108</v>
      </c>
      <c r="FG13" s="13" t="str">
        <f t="shared" si="16"/>
        <v>15级-普通寄灵人の戒指</v>
      </c>
      <c r="FH13" s="14">
        <f t="shared" si="17"/>
        <v>1</v>
      </c>
      <c r="FI13" s="14">
        <f t="shared" si="18"/>
        <v>1</v>
      </c>
      <c r="FJ13" s="14">
        <f t="shared" si="19"/>
        <v>15</v>
      </c>
      <c r="FK13" s="14">
        <v>1</v>
      </c>
      <c r="FL13" s="14">
        <f t="shared" si="20"/>
        <v>1</v>
      </c>
      <c r="FM13" s="14">
        <f t="shared" si="55"/>
        <v>8</v>
      </c>
      <c r="FN13" s="14" t="str">
        <f t="shared" si="21"/>
        <v/>
      </c>
      <c r="FO13" s="14">
        <f t="shared" si="22"/>
        <v>23</v>
      </c>
      <c r="FP13" s="14">
        <f t="shared" si="56"/>
        <v>10</v>
      </c>
      <c r="FQ13" s="14">
        <f t="shared" si="57"/>
        <v>0</v>
      </c>
      <c r="FR13" s="14">
        <f t="shared" si="58"/>
        <v>80</v>
      </c>
      <c r="FS13" s="14">
        <f t="shared" si="59"/>
        <v>2</v>
      </c>
      <c r="FT13" s="14">
        <f t="shared" si="60"/>
        <v>0</v>
      </c>
      <c r="FU13" s="14">
        <f t="shared" si="61"/>
        <v>13</v>
      </c>
      <c r="FV13" s="14">
        <f t="shared" si="23"/>
        <v>1011</v>
      </c>
      <c r="FW13" s="14">
        <f t="shared" si="24"/>
        <v>0</v>
      </c>
      <c r="FX13" s="14" t="str">
        <f t="shared" si="25"/>
        <v/>
      </c>
      <c r="FY13" s="25" t="str">
        <f t="shared" si="62"/>
        <v>icon_2001108</v>
      </c>
      <c r="FZ13" s="30"/>
      <c r="GA13" s="30"/>
      <c r="GC13" s="14">
        <f t="shared" si="26"/>
        <v>1</v>
      </c>
      <c r="GD13" s="14">
        <f t="shared" si="27"/>
        <v>3</v>
      </c>
      <c r="GE13" s="14">
        <f t="shared" si="63"/>
        <v>23</v>
      </c>
      <c r="GF13" s="14" t="str">
        <f t="shared" si="28"/>
        <v>AtkExt</v>
      </c>
      <c r="GG13" s="14">
        <f t="shared" si="64"/>
        <v>10</v>
      </c>
      <c r="GH13" s="14">
        <f t="shared" si="65"/>
        <v>2</v>
      </c>
      <c r="GI13" s="14" t="str">
        <f t="shared" si="29"/>
        <v>HPExt</v>
      </c>
      <c r="GJ13" s="14">
        <f t="shared" si="66"/>
        <v>80</v>
      </c>
      <c r="GK13" s="14">
        <f t="shared" si="67"/>
        <v>13</v>
      </c>
      <c r="GL13" s="14">
        <f t="shared" si="30"/>
        <v>20110</v>
      </c>
      <c r="GM13" s="14">
        <f t="shared" si="68"/>
        <v>0</v>
      </c>
      <c r="GN13" s="14" t="str">
        <f t="shared" si="69"/>
        <v/>
      </c>
      <c r="GO13" s="25" t="s">
        <v>1471</v>
      </c>
      <c r="GP13" s="14">
        <f t="shared" si="31"/>
        <v>8</v>
      </c>
      <c r="GS13" s="13">
        <v>1043</v>
      </c>
      <c r="GT13" s="13" t="s">
        <v>985</v>
      </c>
      <c r="GU13" s="30"/>
      <c r="GV13" s="30"/>
      <c r="GW13" s="13">
        <v>8</v>
      </c>
      <c r="GX13" s="14">
        <f t="shared" si="70"/>
        <v>3</v>
      </c>
      <c r="GY13" s="14">
        <f t="shared" si="71"/>
        <v>1</v>
      </c>
      <c r="GZ13" s="14">
        <f t="shared" si="72"/>
        <v>2</v>
      </c>
      <c r="HA13" s="14">
        <f t="shared" si="73"/>
        <v>200342</v>
      </c>
      <c r="HB13" s="14" t="str">
        <f t="shared" si="74"/>
        <v>50级寄灵人の防御套 : 属性-1</v>
      </c>
      <c r="HC13" s="14" t="s">
        <v>1396</v>
      </c>
      <c r="HD13" s="14">
        <f t="shared" si="75"/>
        <v>1</v>
      </c>
      <c r="HE13" s="14">
        <f t="shared" si="76"/>
        <v>2</v>
      </c>
      <c r="HF13" s="14" t="str">
        <f t="shared" si="77"/>
        <v>DefExt</v>
      </c>
      <c r="HG13" s="14">
        <f t="shared" si="78"/>
        <v>300</v>
      </c>
      <c r="HH13" s="30"/>
      <c r="HI13" s="30"/>
      <c r="HK13" s="13">
        <v>8</v>
      </c>
      <c r="HL13" s="14">
        <f t="shared" si="79"/>
        <v>1</v>
      </c>
      <c r="HM13" s="14">
        <f t="shared" si="80"/>
        <v>1</v>
      </c>
      <c r="HN13" s="14">
        <f t="shared" si="81"/>
        <v>1</v>
      </c>
      <c r="HO13" s="14">
        <f t="shared" si="82"/>
        <v>3</v>
      </c>
      <c r="HP13" s="14" t="str">
        <f t="shared" si="83"/>
        <v>15级寄灵人洗练-Q3-8</v>
      </c>
      <c r="HQ13" s="14">
        <f t="shared" si="84"/>
        <v>1013</v>
      </c>
      <c r="HR13" s="14">
        <f t="shared" si="85"/>
        <v>8</v>
      </c>
      <c r="HS13" s="14">
        <f t="shared" si="86"/>
        <v>500</v>
      </c>
      <c r="HT13" s="14" t="str">
        <f t="shared" si="87"/>
        <v>CritRate</v>
      </c>
      <c r="HU13" s="14">
        <f t="shared" si="88"/>
        <v>2.8000000000000001E-2</v>
      </c>
      <c r="HV13" s="14">
        <f t="shared" si="89"/>
        <v>0.08</v>
      </c>
    </row>
    <row r="14" spans="1:230" s="19" customFormat="1" ht="16.5" x14ac:dyDescent="0.2">
      <c r="A14" s="13">
        <v>9</v>
      </c>
      <c r="B14" s="13">
        <v>1</v>
      </c>
      <c r="C14" s="13">
        <v>18</v>
      </c>
      <c r="D14" s="14">
        <f>INDEX(属性投放!$AE$7:$AE$26,装备!C14)</f>
        <v>132</v>
      </c>
      <c r="E14" s="13">
        <v>130</v>
      </c>
      <c r="F14" s="14">
        <f>SUMIFS(属性投放!BY$6:BY$85,属性投放!$AT$6:$AT$85,"="&amp;装备!$B$3,属性投放!$AU$6:$AU$85,"&lt;="&amp;装备!$C14)*INDEX(属性投放!$DX$6:$DX$10,装备!$D$3)*装备!$F$3</f>
        <v>22528</v>
      </c>
      <c r="G14" s="14">
        <f>SUMIFS(属性投放!BZ$6:BZ$85,属性投放!$AT$6:$AT$85,"="&amp;装备!$B$3,属性投放!$AU$6:$AU$85,"&lt;="&amp;装备!$C14)*INDEX(属性投放!$DX$6:$DX$10,装备!$D$3)*装备!$F$3</f>
        <v>11294</v>
      </c>
      <c r="H14" s="14">
        <f>SUMIFS(属性投放!CA$6:CA$85,属性投放!$AT$6:$AT$85,"="&amp;装备!$B$3,属性投放!$AU$6:$AU$85,"&lt;="&amp;装备!$C14)*INDEX(属性投放!$DX$6:$DX$10,装备!$D$3)*装备!$F$3</f>
        <v>212803</v>
      </c>
      <c r="I14" s="26">
        <v>0.13</v>
      </c>
      <c r="J14" s="14">
        <f t="shared" si="111"/>
        <v>2928.6400000000003</v>
      </c>
      <c r="K14" s="14">
        <f t="shared" si="112"/>
        <v>1468.22</v>
      </c>
      <c r="L14" s="14">
        <f t="shared" si="113"/>
        <v>27664.39</v>
      </c>
      <c r="M14" s="13">
        <f t="shared" si="114"/>
        <v>2930</v>
      </c>
      <c r="N14" s="13">
        <f t="shared" si="115"/>
        <v>1470</v>
      </c>
      <c r="O14" s="13">
        <f t="shared" si="116"/>
        <v>27665</v>
      </c>
      <c r="P14" s="13">
        <f t="shared" si="117"/>
        <v>148.46969696969697</v>
      </c>
      <c r="Q14" s="13">
        <f t="shared" si="118"/>
        <v>74.424242424242422</v>
      </c>
      <c r="R14" s="13">
        <f t="shared" si="119"/>
        <v>1402.560606060606</v>
      </c>
      <c r="S14" s="13">
        <f t="shared" si="120"/>
        <v>148.5</v>
      </c>
      <c r="T14" s="13">
        <f t="shared" si="121"/>
        <v>74.5</v>
      </c>
      <c r="U14" s="13">
        <f t="shared" si="122"/>
        <v>1402.5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>
        <v>30</v>
      </c>
      <c r="AJ14" s="13">
        <v>3</v>
      </c>
      <c r="AK14" s="13">
        <v>30</v>
      </c>
      <c r="AL14" s="13" t="s">
        <v>1446</v>
      </c>
      <c r="AM14" s="13" t="s">
        <v>1261</v>
      </c>
      <c r="AN14" s="13">
        <f t="shared" si="10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13" t="s">
        <v>1328</v>
      </c>
      <c r="BU14" s="13">
        <v>200742</v>
      </c>
      <c r="BV14" s="13">
        <v>15</v>
      </c>
      <c r="BW14" s="13">
        <v>0.2</v>
      </c>
      <c r="BX14" s="14">
        <f>SUMIFS(属性投放!BY$6:BY$85,属性投放!$AT$6:$AT$85,"="&amp;装备!$BU$3,属性投放!$AU$6:$AU$85,"&lt;="&amp;装备!$BV14)*INDEX(属性投放!$DX$6:$DX$10,装备!$BW$3)*$BW14</f>
        <v>2720.9600000000005</v>
      </c>
      <c r="BY14" s="14">
        <f>SUMIFS(属性投放!BZ$6:BZ$85,属性投放!$AT$6:$AT$85,"="&amp;装备!$BU$3,属性投放!$AU$6:$AU$85,"&lt;="&amp;装备!$BV14)*INDEX(属性投放!$DX$6:$DX$10,装备!$BW$3)*$BW14</f>
        <v>1367.0800000000002</v>
      </c>
      <c r="BZ14" s="14">
        <f>SUMIFS(属性投放!CA$6:CA$85,属性投放!$AT$6:$AT$85,"="&amp;装备!$BU$3,属性投放!$AU$6:$AU$85,"&lt;="&amp;装备!$BV14)*INDEX(属性投放!$DX$6:$DX$10,装备!$BW$3)*BW14/2</f>
        <v>12232.330000000002</v>
      </c>
      <c r="CA14" s="13">
        <v>100</v>
      </c>
      <c r="CB14" s="13">
        <f t="shared" si="103"/>
        <v>2700</v>
      </c>
      <c r="CC14" s="13">
        <f t="shared" si="104"/>
        <v>1350</v>
      </c>
      <c r="CD14" s="13">
        <f t="shared" si="105"/>
        <v>13500</v>
      </c>
      <c r="CE14" s="24">
        <v>0.15</v>
      </c>
      <c r="CF14" s="24">
        <v>0.15</v>
      </c>
      <c r="CG14" s="24">
        <v>0.15</v>
      </c>
      <c r="CH14" s="24">
        <v>0.1</v>
      </c>
      <c r="CI14" s="24">
        <v>0.1</v>
      </c>
      <c r="CJ14" s="14">
        <f t="shared" si="41"/>
        <v>270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106"/>
        <v>2007421</v>
      </c>
      <c r="DB14" s="13">
        <f t="shared" si="42"/>
        <v>2007422</v>
      </c>
      <c r="DC14" s="13">
        <f t="shared" si="42"/>
        <v>2007423</v>
      </c>
      <c r="DD14" s="13">
        <f t="shared" si="42"/>
        <v>2007424</v>
      </c>
      <c r="DE14" s="13">
        <f t="shared" si="42"/>
        <v>2007425</v>
      </c>
      <c r="DF14" s="13">
        <f t="shared" si="42"/>
        <v>2007426</v>
      </c>
      <c r="DG14" s="13">
        <f t="shared" si="42"/>
        <v>0</v>
      </c>
      <c r="DH14" s="13">
        <f t="shared" si="42"/>
        <v>0</v>
      </c>
      <c r="DI14" s="13" t="str">
        <f t="shared" si="43"/>
        <v>110级-防御套寄灵人の灵器</v>
      </c>
      <c r="DJ14" s="13" t="str">
        <f t="shared" si="44"/>
        <v>110级-防御套寄灵人の头盔</v>
      </c>
      <c r="DK14" s="13" t="str">
        <f t="shared" si="45"/>
        <v>110级-防御套寄灵人の铠甲</v>
      </c>
      <c r="DL14" s="13" t="str">
        <f t="shared" si="46"/>
        <v>110级-防御套寄灵人の裤子</v>
      </c>
      <c r="DM14" s="13" t="str">
        <f t="shared" si="47"/>
        <v>110级-防御套寄灵人の鞋子</v>
      </c>
      <c r="DN14" s="13" t="str">
        <f t="shared" si="48"/>
        <v>110级-防御套寄灵人の护手</v>
      </c>
      <c r="DO14" s="13" t="str">
        <f t="shared" si="49"/>
        <v/>
      </c>
      <c r="DP14" s="13" t="str">
        <f t="shared" si="50"/>
        <v/>
      </c>
      <c r="DQ14" s="30"/>
      <c r="DR14" s="30"/>
      <c r="DS14" s="30"/>
      <c r="DT14" s="13">
        <v>1094</v>
      </c>
      <c r="DU14" s="13" t="s">
        <v>1304</v>
      </c>
      <c r="DV14" s="13">
        <v>10</v>
      </c>
      <c r="DW14" s="13">
        <v>6</v>
      </c>
      <c r="DX14" s="31">
        <v>0.35</v>
      </c>
      <c r="DY14" s="13">
        <f t="shared" si="6"/>
        <v>910</v>
      </c>
      <c r="DZ14" s="13">
        <f t="shared" si="7"/>
        <v>332</v>
      </c>
      <c r="EA14" s="13">
        <f t="shared" si="8"/>
        <v>8099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0"/>
      <c r="EM14" s="13">
        <v>0</v>
      </c>
      <c r="EN14" s="13">
        <v>0</v>
      </c>
      <c r="EO14" s="13">
        <v>2</v>
      </c>
      <c r="EP14" s="13">
        <v>3</v>
      </c>
      <c r="EQ14" s="30"/>
      <c r="ES14" s="30"/>
      <c r="ET14" s="30"/>
      <c r="EU14" s="13">
        <v>9</v>
      </c>
      <c r="EV14" s="14">
        <f t="shared" si="51"/>
        <v>1</v>
      </c>
      <c r="EW14" s="14">
        <f t="shared" si="52"/>
        <v>9</v>
      </c>
      <c r="EX14" s="14">
        <f t="shared" si="53"/>
        <v>2</v>
      </c>
      <c r="EY14" s="14">
        <f t="shared" si="9"/>
        <v>20</v>
      </c>
      <c r="EZ14" s="14">
        <f t="shared" si="10"/>
        <v>1</v>
      </c>
      <c r="FA14" s="14">
        <f t="shared" si="11"/>
        <v>15</v>
      </c>
      <c r="FB14" s="14">
        <f t="shared" si="12"/>
        <v>2</v>
      </c>
      <c r="FC14" s="14">
        <f t="shared" si="13"/>
        <v>1</v>
      </c>
      <c r="FD14" s="14">
        <f t="shared" si="14"/>
        <v>1</v>
      </c>
      <c r="FE14" s="14" t="b">
        <f t="shared" si="54"/>
        <v>0</v>
      </c>
      <c r="FF14" s="14">
        <f t="shared" si="15"/>
        <v>2001201</v>
      </c>
      <c r="FG14" s="13" t="str">
        <f t="shared" si="16"/>
        <v>15级-优秀寄灵人の灵器</v>
      </c>
      <c r="FH14" s="14">
        <f t="shared" si="17"/>
        <v>1</v>
      </c>
      <c r="FI14" s="14">
        <f t="shared" si="18"/>
        <v>2</v>
      </c>
      <c r="FJ14" s="14">
        <f t="shared" si="19"/>
        <v>15</v>
      </c>
      <c r="FK14" s="14">
        <v>1</v>
      </c>
      <c r="FL14" s="14">
        <f t="shared" si="20"/>
        <v>1</v>
      </c>
      <c r="FM14" s="14">
        <f t="shared" si="55"/>
        <v>1</v>
      </c>
      <c r="FN14" s="14" t="str">
        <f t="shared" si="21"/>
        <v/>
      </c>
      <c r="FO14" s="14">
        <f t="shared" si="22"/>
        <v>35</v>
      </c>
      <c r="FP14" s="14">
        <f t="shared" si="56"/>
        <v>45</v>
      </c>
      <c r="FQ14" s="14">
        <f t="shared" si="57"/>
        <v>0</v>
      </c>
      <c r="FR14" s="14">
        <f t="shared" si="58"/>
        <v>0</v>
      </c>
      <c r="FS14" s="14">
        <f t="shared" si="59"/>
        <v>7</v>
      </c>
      <c r="FT14" s="14">
        <f t="shared" si="60"/>
        <v>0</v>
      </c>
      <c r="FU14" s="14">
        <f t="shared" si="61"/>
        <v>0</v>
      </c>
      <c r="FV14" s="14">
        <f t="shared" si="23"/>
        <v>1012</v>
      </c>
      <c r="FW14" s="14">
        <f t="shared" si="24"/>
        <v>0</v>
      </c>
      <c r="FX14" s="14" t="str">
        <f t="shared" si="25"/>
        <v/>
      </c>
      <c r="FY14" s="25" t="str">
        <f t="shared" si="62"/>
        <v>icon_2001101</v>
      </c>
      <c r="FZ14" s="30"/>
      <c r="GA14" s="30"/>
      <c r="GC14" s="14">
        <f t="shared" si="26"/>
        <v>1</v>
      </c>
      <c r="GD14" s="14">
        <f t="shared" si="27"/>
        <v>0</v>
      </c>
      <c r="GE14" s="14">
        <f t="shared" si="63"/>
        <v>35</v>
      </c>
      <c r="GF14" s="14" t="str">
        <f t="shared" si="28"/>
        <v>AtkExt</v>
      </c>
      <c r="GG14" s="14">
        <f t="shared" si="64"/>
        <v>45</v>
      </c>
      <c r="GH14" s="14">
        <f t="shared" si="65"/>
        <v>7</v>
      </c>
      <c r="GI14" s="14" t="str">
        <f t="shared" si="29"/>
        <v/>
      </c>
      <c r="GJ14" s="14" t="str">
        <f t="shared" si="66"/>
        <v/>
      </c>
      <c r="GK14" s="14" t="str">
        <f t="shared" si="67"/>
        <v/>
      </c>
      <c r="GL14" s="14">
        <f t="shared" si="30"/>
        <v>20120</v>
      </c>
      <c r="GM14" s="14">
        <f t="shared" si="68"/>
        <v>0</v>
      </c>
      <c r="GN14" s="14" t="str">
        <f t="shared" si="69"/>
        <v/>
      </c>
      <c r="GO14" s="25" t="s">
        <v>1471</v>
      </c>
      <c r="GP14" s="14">
        <f t="shared" si="31"/>
        <v>30</v>
      </c>
      <c r="GS14" s="13">
        <v>1051</v>
      </c>
      <c r="GT14" s="13" t="s">
        <v>986</v>
      </c>
      <c r="GU14" s="30"/>
      <c r="GV14" s="30"/>
      <c r="GW14" s="13">
        <v>9</v>
      </c>
      <c r="GX14" s="14">
        <f t="shared" si="70"/>
        <v>3</v>
      </c>
      <c r="GY14" s="14">
        <f t="shared" si="71"/>
        <v>2</v>
      </c>
      <c r="GZ14" s="14">
        <f t="shared" si="72"/>
        <v>3</v>
      </c>
      <c r="HA14" s="14">
        <f t="shared" si="73"/>
        <v>200342</v>
      </c>
      <c r="HB14" s="14" t="str">
        <f t="shared" si="74"/>
        <v>50级寄灵人の防御套 : 属性-2</v>
      </c>
      <c r="HC14" s="14" t="s">
        <v>1396</v>
      </c>
      <c r="HD14" s="14">
        <f t="shared" si="75"/>
        <v>2</v>
      </c>
      <c r="HE14" s="14">
        <f t="shared" si="76"/>
        <v>4</v>
      </c>
      <c r="HF14" s="14" t="str">
        <f t="shared" si="77"/>
        <v>HPExt</v>
      </c>
      <c r="HG14" s="14">
        <f t="shared" si="78"/>
        <v>3000</v>
      </c>
      <c r="HH14" s="30"/>
      <c r="HI14" s="30"/>
      <c r="HK14" s="13">
        <v>9</v>
      </c>
      <c r="HL14" s="14">
        <f t="shared" si="79"/>
        <v>1</v>
      </c>
      <c r="HM14" s="14">
        <f t="shared" si="80"/>
        <v>1</v>
      </c>
      <c r="HN14" s="14">
        <f t="shared" si="81"/>
        <v>1</v>
      </c>
      <c r="HO14" s="14">
        <f t="shared" si="82"/>
        <v>3</v>
      </c>
      <c r="HP14" s="14" t="str">
        <f t="shared" si="83"/>
        <v>15级寄灵人洗练-Q3-9</v>
      </c>
      <c r="HQ14" s="14">
        <f t="shared" si="84"/>
        <v>1013</v>
      </c>
      <c r="HR14" s="14">
        <f t="shared" si="85"/>
        <v>9</v>
      </c>
      <c r="HS14" s="14">
        <f t="shared" si="86"/>
        <v>500</v>
      </c>
      <c r="HT14" s="14" t="str">
        <f t="shared" si="87"/>
        <v>DefIgnor</v>
      </c>
      <c r="HU14" s="14">
        <f t="shared" si="88"/>
        <v>1.0999999999999999E-2</v>
      </c>
      <c r="HV14" s="14">
        <f t="shared" si="89"/>
        <v>0.03</v>
      </c>
    </row>
    <row r="15" spans="1:230" s="19" customFormat="1" ht="16.5" x14ac:dyDescent="0.2">
      <c r="A15" s="13">
        <v>10</v>
      </c>
      <c r="B15" s="13">
        <v>1</v>
      </c>
      <c r="C15" s="13">
        <v>19</v>
      </c>
      <c r="D15" s="14">
        <f>INDEX(属性投放!$AE$7:$AE$26,装备!C15)</f>
        <v>140</v>
      </c>
      <c r="E15" s="13">
        <v>140</v>
      </c>
      <c r="F15" s="14">
        <f>SUMIFS(属性投放!BY$6:BY$85,属性投放!$AT$6:$AT$85,"="&amp;装备!$B$3,属性投放!$AU$6:$AU$85,"&lt;="&amp;装备!$C15)*INDEX(属性投放!$DX$6:$DX$10,装备!$D$3)*装备!$F$3</f>
        <v>27328</v>
      </c>
      <c r="G15" s="14">
        <f>SUMIFS(属性投放!BZ$6:BZ$85,属性投放!$AT$6:$AT$85,"="&amp;装备!$B$3,属性投放!$AU$6:$AU$85,"&lt;="&amp;装备!$C15)*INDEX(属性投放!$DX$6:$DX$10,装备!$D$3)*装备!$F$3</f>
        <v>13698</v>
      </c>
      <c r="H15" s="14">
        <f>SUMIFS(属性投放!CA$6:CA$85,属性投放!$AT$6:$AT$85,"="&amp;装备!$B$3,属性投放!$AU$6:$AU$85,"&lt;="&amp;装备!$C15)*INDEX(属性投放!$DX$6:$DX$10,装备!$D$3)*装备!$F$3</f>
        <v>260803</v>
      </c>
      <c r="I15" s="26">
        <v>0.12</v>
      </c>
      <c r="J15" s="14">
        <f t="shared" si="111"/>
        <v>3279.3599999999997</v>
      </c>
      <c r="K15" s="14">
        <f t="shared" si="112"/>
        <v>1643.76</v>
      </c>
      <c r="L15" s="14">
        <f t="shared" si="113"/>
        <v>31296.36</v>
      </c>
      <c r="M15" s="13">
        <f t="shared" si="114"/>
        <v>3280</v>
      </c>
      <c r="N15" s="13">
        <f t="shared" si="115"/>
        <v>1645</v>
      </c>
      <c r="O15" s="13">
        <f t="shared" si="116"/>
        <v>31295</v>
      </c>
      <c r="P15" s="13">
        <f t="shared" si="117"/>
        <v>171.77142857142857</v>
      </c>
      <c r="Q15" s="13">
        <f t="shared" si="118"/>
        <v>86.092857142857142</v>
      </c>
      <c r="R15" s="13">
        <f t="shared" si="119"/>
        <v>1639.3428571428572</v>
      </c>
      <c r="S15" s="13">
        <f t="shared" si="120"/>
        <v>172</v>
      </c>
      <c r="T15" s="13">
        <f t="shared" si="121"/>
        <v>86</v>
      </c>
      <c r="U15" s="13">
        <f t="shared" si="122"/>
        <v>1639.5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>
        <v>30</v>
      </c>
      <c r="AJ15" s="13">
        <v>4</v>
      </c>
      <c r="AK15" s="13">
        <v>40</v>
      </c>
      <c r="AL15" s="13" t="s">
        <v>1446</v>
      </c>
      <c r="AM15" s="13" t="s">
        <v>1262</v>
      </c>
      <c r="AN15" s="13">
        <f t="shared" si="10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13" t="s">
        <v>1329</v>
      </c>
      <c r="BU15" s="13">
        <v>200841</v>
      </c>
      <c r="BV15" s="13">
        <v>16</v>
      </c>
      <c r="BW15" s="13">
        <v>0.2</v>
      </c>
      <c r="BX15" s="14">
        <f>SUMIFS(属性投放!BY$6:BY$85,属性投放!$AT$6:$AT$85,"="&amp;装备!$BU$3,属性投放!$AU$6:$AU$85,"&lt;="&amp;装备!$BV15)*INDEX(属性投放!$DX$6:$DX$10,装备!$BW$3)*$BW15</f>
        <v>3328.1600000000008</v>
      </c>
      <c r="BY15" s="14">
        <f>SUMIFS(属性投放!BZ$6:BZ$85,属性投放!$AT$6:$AT$85,"="&amp;装备!$BU$3,属性投放!$AU$6:$AU$85,"&lt;="&amp;装备!$BV15)*INDEX(属性投放!$DX$6:$DX$10,装备!$BW$3)*$BW15</f>
        <v>1670.6800000000003</v>
      </c>
      <c r="BZ15" s="14">
        <f>SUMIFS(属性投放!CA$6:CA$85,属性投放!$AT$6:$AT$85,"="&amp;装备!$BU$3,属性投放!$AU$6:$AU$85,"&lt;="&amp;装备!$BV15)*INDEX(属性投放!$DX$6:$DX$10,装备!$BW$3)*BW15/2</f>
        <v>15268.330000000002</v>
      </c>
      <c r="CA15" s="13">
        <v>500</v>
      </c>
      <c r="CB15" s="13">
        <f t="shared" si="103"/>
        <v>3500</v>
      </c>
      <c r="CC15" s="13">
        <f t="shared" si="104"/>
        <v>1750</v>
      </c>
      <c r="CD15" s="13">
        <f t="shared" si="105"/>
        <v>17500</v>
      </c>
      <c r="CE15" s="24">
        <v>0.15</v>
      </c>
      <c r="CF15" s="24">
        <v>0.15</v>
      </c>
      <c r="CG15" s="24">
        <v>0.15</v>
      </c>
      <c r="CH15" s="24">
        <v>0.1</v>
      </c>
      <c r="CI15" s="24">
        <v>0.1</v>
      </c>
      <c r="CJ15" s="14">
        <f t="shared" si="41"/>
        <v>350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106"/>
        <v>2008411</v>
      </c>
      <c r="DB15" s="13">
        <f t="shared" si="42"/>
        <v>2008412</v>
      </c>
      <c r="DC15" s="13">
        <f t="shared" si="42"/>
        <v>2008413</v>
      </c>
      <c r="DD15" s="13">
        <f t="shared" si="42"/>
        <v>2008415</v>
      </c>
      <c r="DE15" s="13">
        <f t="shared" si="42"/>
        <v>2008417</v>
      </c>
      <c r="DF15" s="13">
        <f t="shared" si="42"/>
        <v>2008418</v>
      </c>
      <c r="DG15" s="13">
        <f t="shared" si="42"/>
        <v>0</v>
      </c>
      <c r="DH15" s="13">
        <f t="shared" si="42"/>
        <v>0</v>
      </c>
      <c r="DI15" s="13" t="str">
        <f t="shared" si="43"/>
        <v>120级-攻击套寄灵人の灵器</v>
      </c>
      <c r="DJ15" s="13" t="str">
        <f t="shared" si="44"/>
        <v>120级-攻击套寄灵人の头盔</v>
      </c>
      <c r="DK15" s="13" t="str">
        <f t="shared" si="45"/>
        <v>120级-攻击套寄灵人の铠甲</v>
      </c>
      <c r="DL15" s="13" t="str">
        <f t="shared" si="46"/>
        <v>120级-攻击套寄灵人の鞋子</v>
      </c>
      <c r="DM15" s="13" t="str">
        <f t="shared" si="47"/>
        <v>120级-攻击套寄灵人の项链</v>
      </c>
      <c r="DN15" s="13" t="str">
        <f t="shared" si="48"/>
        <v>120级-攻击套寄灵人の戒指</v>
      </c>
      <c r="DO15" s="13" t="str">
        <f t="shared" si="49"/>
        <v/>
      </c>
      <c r="DP15" s="13" t="str">
        <f t="shared" si="50"/>
        <v/>
      </c>
      <c r="DQ15" s="30"/>
      <c r="DR15" s="30"/>
      <c r="DS15" s="30"/>
      <c r="DT15" s="13">
        <v>1104</v>
      </c>
      <c r="DU15" s="13" t="s">
        <v>1305</v>
      </c>
      <c r="DV15" s="13">
        <v>10</v>
      </c>
      <c r="DW15" s="13">
        <v>6</v>
      </c>
      <c r="DX15" s="31">
        <v>0.35</v>
      </c>
      <c r="DY15" s="13">
        <f t="shared" si="6"/>
        <v>1054</v>
      </c>
      <c r="DZ15" s="13">
        <f t="shared" si="7"/>
        <v>384</v>
      </c>
      <c r="EA15" s="13">
        <f t="shared" si="8"/>
        <v>10042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0"/>
      <c r="EM15" s="13">
        <v>0</v>
      </c>
      <c r="EN15" s="13">
        <v>0</v>
      </c>
      <c r="EO15" s="13">
        <v>3</v>
      </c>
      <c r="EP15" s="13">
        <v>4</v>
      </c>
      <c r="EQ15" s="30"/>
      <c r="ES15" s="30"/>
      <c r="ET15" s="30"/>
      <c r="EU15" s="13">
        <v>10</v>
      </c>
      <c r="EV15" s="14">
        <f t="shared" si="51"/>
        <v>1</v>
      </c>
      <c r="EW15" s="14">
        <f t="shared" si="52"/>
        <v>10</v>
      </c>
      <c r="EX15" s="14">
        <f t="shared" si="53"/>
        <v>2</v>
      </c>
      <c r="EY15" s="14">
        <f t="shared" si="9"/>
        <v>20</v>
      </c>
      <c r="EZ15" s="14">
        <f t="shared" si="10"/>
        <v>1</v>
      </c>
      <c r="FA15" s="14">
        <f t="shared" si="11"/>
        <v>15</v>
      </c>
      <c r="FB15" s="14">
        <f t="shared" si="12"/>
        <v>2</v>
      </c>
      <c r="FC15" s="14">
        <f t="shared" si="13"/>
        <v>2</v>
      </c>
      <c r="FD15" s="14">
        <f t="shared" si="14"/>
        <v>2</v>
      </c>
      <c r="FE15" s="14" t="b">
        <f t="shared" si="54"/>
        <v>0</v>
      </c>
      <c r="FF15" s="14">
        <f t="shared" si="15"/>
        <v>2001202</v>
      </c>
      <c r="FG15" s="13" t="str">
        <f t="shared" si="16"/>
        <v>15级-优秀寄灵人の头盔</v>
      </c>
      <c r="FH15" s="14">
        <f t="shared" si="17"/>
        <v>1</v>
      </c>
      <c r="FI15" s="14">
        <f t="shared" si="18"/>
        <v>2</v>
      </c>
      <c r="FJ15" s="14">
        <f t="shared" si="19"/>
        <v>15</v>
      </c>
      <c r="FK15" s="14">
        <v>1</v>
      </c>
      <c r="FL15" s="14">
        <f t="shared" si="20"/>
        <v>1</v>
      </c>
      <c r="FM15" s="14">
        <f t="shared" si="55"/>
        <v>2</v>
      </c>
      <c r="FN15" s="14" t="str">
        <f t="shared" si="21"/>
        <v/>
      </c>
      <c r="FO15" s="14">
        <f t="shared" si="22"/>
        <v>20</v>
      </c>
      <c r="FP15" s="14">
        <f t="shared" si="56"/>
        <v>0</v>
      </c>
      <c r="FQ15" s="14">
        <f t="shared" si="57"/>
        <v>10</v>
      </c>
      <c r="FR15" s="14">
        <f t="shared" si="58"/>
        <v>0</v>
      </c>
      <c r="FS15" s="14">
        <f t="shared" si="59"/>
        <v>0</v>
      </c>
      <c r="FT15" s="14">
        <f t="shared" si="60"/>
        <v>2</v>
      </c>
      <c r="FU15" s="14">
        <f t="shared" si="61"/>
        <v>0</v>
      </c>
      <c r="FV15" s="14">
        <f t="shared" si="23"/>
        <v>1012</v>
      </c>
      <c r="FW15" s="14">
        <f t="shared" si="24"/>
        <v>0</v>
      </c>
      <c r="FX15" s="14" t="str">
        <f t="shared" si="25"/>
        <v/>
      </c>
      <c r="FY15" s="25" t="str">
        <f t="shared" si="62"/>
        <v>icon_2001102</v>
      </c>
      <c r="FZ15" s="30"/>
      <c r="GA15" s="30"/>
      <c r="GC15" s="14">
        <f t="shared" si="26"/>
        <v>2</v>
      </c>
      <c r="GD15" s="14">
        <f t="shared" si="27"/>
        <v>0</v>
      </c>
      <c r="GE15" s="14">
        <f t="shared" si="63"/>
        <v>20</v>
      </c>
      <c r="GF15" s="14" t="str">
        <f t="shared" si="28"/>
        <v>DefExt</v>
      </c>
      <c r="GG15" s="14">
        <f t="shared" si="64"/>
        <v>10</v>
      </c>
      <c r="GH15" s="14">
        <f t="shared" si="65"/>
        <v>2</v>
      </c>
      <c r="GI15" s="14" t="str">
        <f t="shared" si="29"/>
        <v/>
      </c>
      <c r="GJ15" s="14" t="str">
        <f t="shared" si="66"/>
        <v/>
      </c>
      <c r="GK15" s="14" t="str">
        <f t="shared" si="67"/>
        <v/>
      </c>
      <c r="GL15" s="14">
        <f t="shared" si="30"/>
        <v>20120</v>
      </c>
      <c r="GM15" s="14">
        <f t="shared" si="68"/>
        <v>0</v>
      </c>
      <c r="GN15" s="14" t="str">
        <f t="shared" si="69"/>
        <v/>
      </c>
      <c r="GO15" s="25" t="s">
        <v>1471</v>
      </c>
      <c r="GP15" s="14">
        <f t="shared" si="31"/>
        <v>15</v>
      </c>
      <c r="GS15" s="13">
        <v>1052</v>
      </c>
      <c r="GT15" s="13" t="s">
        <v>987</v>
      </c>
      <c r="GU15" s="30"/>
      <c r="GV15" s="30"/>
      <c r="GW15" s="13">
        <v>10</v>
      </c>
      <c r="GX15" s="14">
        <f t="shared" si="70"/>
        <v>3</v>
      </c>
      <c r="GY15" s="14">
        <f t="shared" si="71"/>
        <v>3</v>
      </c>
      <c r="GZ15" s="14">
        <f t="shared" si="72"/>
        <v>5</v>
      </c>
      <c r="HA15" s="14">
        <f t="shared" si="73"/>
        <v>200342</v>
      </c>
      <c r="HB15" s="14" t="str">
        <f t="shared" si="74"/>
        <v>50级寄灵人の防御套 : 属性-3</v>
      </c>
      <c r="HC15" s="14" t="s">
        <v>1396</v>
      </c>
      <c r="HD15" s="14">
        <f t="shared" si="75"/>
        <v>3</v>
      </c>
      <c r="HE15" s="14">
        <f t="shared" si="76"/>
        <v>5</v>
      </c>
      <c r="HF15" s="14" t="str">
        <f t="shared" si="77"/>
        <v>DefRate</v>
      </c>
      <c r="HG15" s="14">
        <f t="shared" si="78"/>
        <v>0.15</v>
      </c>
      <c r="HH15" s="30"/>
      <c r="HI15" s="30"/>
      <c r="HK15" s="13">
        <v>10</v>
      </c>
      <c r="HL15" s="14">
        <f t="shared" si="79"/>
        <v>1</v>
      </c>
      <c r="HM15" s="14">
        <f t="shared" si="80"/>
        <v>1</v>
      </c>
      <c r="HN15" s="14">
        <f t="shared" si="81"/>
        <v>1</v>
      </c>
      <c r="HO15" s="14">
        <f t="shared" si="82"/>
        <v>3</v>
      </c>
      <c r="HP15" s="14" t="str">
        <f t="shared" si="83"/>
        <v>15级寄灵人洗练-Q3-10</v>
      </c>
      <c r="HQ15" s="14">
        <f t="shared" si="84"/>
        <v>1013</v>
      </c>
      <c r="HR15" s="14">
        <f t="shared" si="85"/>
        <v>10</v>
      </c>
      <c r="HS15" s="14">
        <f t="shared" si="86"/>
        <v>500</v>
      </c>
      <c r="HT15" s="14" t="str">
        <f t="shared" si="87"/>
        <v>Block</v>
      </c>
      <c r="HU15" s="14">
        <f t="shared" si="88"/>
        <v>1.0999999999999999E-2</v>
      </c>
      <c r="HV15" s="14">
        <f t="shared" si="89"/>
        <v>0.03</v>
      </c>
    </row>
    <row r="16" spans="1:230" s="19" customFormat="1" ht="16.5" x14ac:dyDescent="0.2">
      <c r="A16" s="13">
        <v>11</v>
      </c>
      <c r="B16" s="13">
        <v>1</v>
      </c>
      <c r="C16" s="13">
        <v>20</v>
      </c>
      <c r="D16" s="14">
        <f>INDEX(属性投放!$AE$7:$AE$26,装备!C16)</f>
        <v>150</v>
      </c>
      <c r="E16" s="13">
        <v>150</v>
      </c>
      <c r="F16" s="14">
        <f>SUMIFS(属性投放!BY$6:BY$85,属性投放!$AT$6:$AT$85,"="&amp;装备!$B$3,属性投放!$AU$6:$AU$85,"&lt;="&amp;装备!$C16)*INDEX(属性投放!$DX$6:$DX$10,装备!$D$3)*装备!$F$3</f>
        <v>33578</v>
      </c>
      <c r="G16" s="14">
        <f>SUMIFS(属性投放!BZ$6:BZ$85,属性投放!$AT$6:$AT$85,"="&amp;装备!$B$3,属性投放!$AU$6:$AU$85,"&lt;="&amp;装备!$C16)*INDEX(属性投放!$DX$6:$DX$10,装备!$D$3)*装备!$F$3</f>
        <v>16828</v>
      </c>
      <c r="H16" s="14">
        <f>SUMIFS(属性投放!CA$6:CA$85,属性投放!$AT$6:$AT$85,"="&amp;装备!$B$3,属性投放!$AU$6:$AU$85,"&lt;="&amp;装备!$C16)*INDEX(属性投放!$DX$6:$DX$10,装备!$D$3)*装备!$F$3</f>
        <v>323303</v>
      </c>
      <c r="I16" s="26">
        <v>0.1</v>
      </c>
      <c r="J16" s="14">
        <f t="shared" si="111"/>
        <v>3357.8</v>
      </c>
      <c r="K16" s="14">
        <f t="shared" si="112"/>
        <v>1682.8000000000002</v>
      </c>
      <c r="L16" s="14">
        <f t="shared" si="113"/>
        <v>32330.300000000003</v>
      </c>
      <c r="M16" s="13">
        <f t="shared" si="114"/>
        <v>3360</v>
      </c>
      <c r="N16" s="13">
        <f t="shared" si="115"/>
        <v>1685</v>
      </c>
      <c r="O16" s="13">
        <f t="shared" si="116"/>
        <v>32330</v>
      </c>
      <c r="P16" s="13">
        <f t="shared" si="117"/>
        <v>201.45333333333335</v>
      </c>
      <c r="Q16" s="13">
        <f t="shared" si="118"/>
        <v>100.95333333333333</v>
      </c>
      <c r="R16" s="13">
        <f t="shared" si="119"/>
        <v>1939.82</v>
      </c>
      <c r="S16" s="13">
        <f t="shared" si="120"/>
        <v>201.5</v>
      </c>
      <c r="T16" s="13">
        <f t="shared" si="121"/>
        <v>101</v>
      </c>
      <c r="U16" s="13">
        <f t="shared" si="122"/>
        <v>1940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>
        <v>30</v>
      </c>
      <c r="AJ16" s="13">
        <v>4</v>
      </c>
      <c r="AK16" s="13">
        <v>41</v>
      </c>
      <c r="AL16" s="13" t="s">
        <v>1446</v>
      </c>
      <c r="AM16" s="13" t="s">
        <v>1257</v>
      </c>
      <c r="AN16" s="13">
        <f t="shared" si="10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13" t="s">
        <v>1330</v>
      </c>
      <c r="BU16" s="13">
        <v>200843</v>
      </c>
      <c r="BV16" s="13">
        <v>17</v>
      </c>
      <c r="BW16" s="13">
        <v>0.25</v>
      </c>
      <c r="BX16" s="14">
        <f>SUMIFS(属性投放!BY$6:BY$85,属性投放!$AT$6:$AT$85,"="&amp;装备!$BU$3,属性投放!$AU$6:$AU$85,"&lt;="&amp;装备!$BV16)*INDEX(属性投放!$DX$6:$DX$10,装备!$BW$3)*$BW16</f>
        <v>5067.7000000000007</v>
      </c>
      <c r="BY16" s="14">
        <f>SUMIFS(属性投放!BZ$6:BZ$85,属性投放!$AT$6:$AT$85,"="&amp;装备!$BU$3,属性投放!$AU$6:$AU$85,"&lt;="&amp;装备!$BV16)*INDEX(属性投放!$DX$6:$DX$10,装备!$BW$3)*$BW16</f>
        <v>2542.1000000000004</v>
      </c>
      <c r="BZ16" s="14">
        <f>SUMIFS(属性投放!CA$6:CA$85,属性投放!$AT$6:$AT$85,"="&amp;装备!$BU$3,属性投放!$AU$6:$AU$85,"&lt;="&amp;装备!$BV16)*INDEX(属性投放!$DX$6:$DX$10,装备!$BW$3)*BW16/2</f>
        <v>23622.912500000002</v>
      </c>
      <c r="CA16" s="13">
        <v>500</v>
      </c>
      <c r="CB16" s="13">
        <f t="shared" si="103"/>
        <v>5000</v>
      </c>
      <c r="CC16" s="13">
        <f t="shared" si="104"/>
        <v>2500</v>
      </c>
      <c r="CD16" s="13">
        <f t="shared" si="105"/>
        <v>25000</v>
      </c>
      <c r="CE16" s="24">
        <v>0.15</v>
      </c>
      <c r="CF16" s="24">
        <v>0.15</v>
      </c>
      <c r="CG16" s="24">
        <v>0.15</v>
      </c>
      <c r="CH16" s="24">
        <v>0.1</v>
      </c>
      <c r="CI16" s="24">
        <v>0.1</v>
      </c>
      <c r="CJ16" s="14">
        <f t="shared" si="41"/>
        <v>500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106"/>
        <v>2008431</v>
      </c>
      <c r="DB16" s="13">
        <f t="shared" si="42"/>
        <v>2008432</v>
      </c>
      <c r="DC16" s="13">
        <f t="shared" si="42"/>
        <v>2008433</v>
      </c>
      <c r="DD16" s="13">
        <f t="shared" si="42"/>
        <v>2008437</v>
      </c>
      <c r="DE16" s="13">
        <f t="shared" si="42"/>
        <v>2008438</v>
      </c>
      <c r="DF16" s="13">
        <f t="shared" si="42"/>
        <v>0</v>
      </c>
      <c r="DG16" s="13">
        <f t="shared" si="42"/>
        <v>0</v>
      </c>
      <c r="DH16" s="13">
        <f t="shared" si="42"/>
        <v>0</v>
      </c>
      <c r="DI16" s="13" t="str">
        <f t="shared" si="43"/>
        <v>120级-绝世套寄灵人の戒指</v>
      </c>
      <c r="DJ16" s="13" t="str">
        <f t="shared" si="44"/>
        <v>120级-绝世套寄灵人の戒指</v>
      </c>
      <c r="DK16" s="13" t="str">
        <f t="shared" si="45"/>
        <v>120级-绝世套寄灵人の戒指</v>
      </c>
      <c r="DL16" s="13" t="str">
        <f t="shared" si="46"/>
        <v>120级-绝世套寄灵人の戒指</v>
      </c>
      <c r="DM16" s="13" t="str">
        <f t="shared" si="47"/>
        <v>120级-绝世套寄灵人の戒指</v>
      </c>
      <c r="DN16" s="13" t="str">
        <f t="shared" si="48"/>
        <v/>
      </c>
      <c r="DO16" s="13" t="str">
        <f t="shared" si="49"/>
        <v/>
      </c>
      <c r="DP16" s="13" t="str">
        <f t="shared" si="50"/>
        <v/>
      </c>
      <c r="DQ16" s="30"/>
      <c r="DR16" s="30"/>
      <c r="DS16" s="30"/>
      <c r="DT16" s="13">
        <v>1114</v>
      </c>
      <c r="DU16" s="13" t="s">
        <v>1306</v>
      </c>
      <c r="DV16" s="13">
        <v>11</v>
      </c>
      <c r="DW16" s="13">
        <v>7</v>
      </c>
      <c r="DX16" s="31">
        <v>0.35</v>
      </c>
      <c r="DY16" s="13">
        <f t="shared" si="6"/>
        <v>1322</v>
      </c>
      <c r="DZ16" s="13">
        <f t="shared" si="7"/>
        <v>486</v>
      </c>
      <c r="EA16" s="13">
        <f t="shared" si="8"/>
        <v>12731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0"/>
      <c r="EM16" s="13">
        <v>0</v>
      </c>
      <c r="EN16" s="13">
        <v>0</v>
      </c>
      <c r="EO16" s="13">
        <v>4</v>
      </c>
      <c r="EP16" s="13">
        <v>5</v>
      </c>
      <c r="EQ16" s="30"/>
      <c r="ES16" s="30"/>
      <c r="ET16" s="30"/>
      <c r="EU16" s="13">
        <v>11</v>
      </c>
      <c r="EV16" s="14">
        <f t="shared" si="51"/>
        <v>1</v>
      </c>
      <c r="EW16" s="14">
        <f t="shared" si="52"/>
        <v>11</v>
      </c>
      <c r="EX16" s="14">
        <f t="shared" si="53"/>
        <v>2</v>
      </c>
      <c r="EY16" s="14">
        <f t="shared" si="9"/>
        <v>20</v>
      </c>
      <c r="EZ16" s="14">
        <f t="shared" si="10"/>
        <v>1</v>
      </c>
      <c r="FA16" s="14">
        <f t="shared" si="11"/>
        <v>15</v>
      </c>
      <c r="FB16" s="14">
        <f t="shared" si="12"/>
        <v>2</v>
      </c>
      <c r="FC16" s="14">
        <f t="shared" si="13"/>
        <v>3</v>
      </c>
      <c r="FD16" s="14">
        <f t="shared" si="14"/>
        <v>3</v>
      </c>
      <c r="FE16" s="14" t="b">
        <f t="shared" si="54"/>
        <v>0</v>
      </c>
      <c r="FF16" s="14">
        <f t="shared" si="15"/>
        <v>2001203</v>
      </c>
      <c r="FG16" s="13" t="str">
        <f t="shared" si="16"/>
        <v>15级-优秀寄灵人の铠甲</v>
      </c>
      <c r="FH16" s="14">
        <f t="shared" si="17"/>
        <v>1</v>
      </c>
      <c r="FI16" s="14">
        <f t="shared" si="18"/>
        <v>2</v>
      </c>
      <c r="FJ16" s="14">
        <f t="shared" si="19"/>
        <v>15</v>
      </c>
      <c r="FK16" s="14">
        <v>1</v>
      </c>
      <c r="FL16" s="14">
        <f t="shared" si="20"/>
        <v>1</v>
      </c>
      <c r="FM16" s="14">
        <f t="shared" si="55"/>
        <v>3</v>
      </c>
      <c r="FN16" s="14" t="str">
        <f t="shared" si="21"/>
        <v/>
      </c>
      <c r="FO16" s="14">
        <f t="shared" si="22"/>
        <v>21</v>
      </c>
      <c r="FP16" s="14">
        <f t="shared" si="56"/>
        <v>0</v>
      </c>
      <c r="FQ16" s="14">
        <f t="shared" si="57"/>
        <v>5</v>
      </c>
      <c r="FR16" s="14">
        <f t="shared" si="58"/>
        <v>70</v>
      </c>
      <c r="FS16" s="14">
        <f t="shared" si="59"/>
        <v>0</v>
      </c>
      <c r="FT16" s="14">
        <f t="shared" si="60"/>
        <v>1</v>
      </c>
      <c r="FU16" s="14">
        <f t="shared" si="61"/>
        <v>11</v>
      </c>
      <c r="FV16" s="14">
        <f t="shared" si="23"/>
        <v>1012</v>
      </c>
      <c r="FW16" s="14">
        <f t="shared" si="24"/>
        <v>0</v>
      </c>
      <c r="FX16" s="14" t="str">
        <f t="shared" si="25"/>
        <v/>
      </c>
      <c r="FY16" s="25" t="str">
        <f t="shared" si="62"/>
        <v>icon_2001103</v>
      </c>
      <c r="FZ16" s="30"/>
      <c r="GA16" s="30"/>
      <c r="GC16" s="14">
        <f t="shared" si="26"/>
        <v>2</v>
      </c>
      <c r="GD16" s="14">
        <f t="shared" si="27"/>
        <v>3</v>
      </c>
      <c r="GE16" s="14">
        <f t="shared" si="63"/>
        <v>21</v>
      </c>
      <c r="GF16" s="14" t="str">
        <f t="shared" si="28"/>
        <v>DefExt</v>
      </c>
      <c r="GG16" s="14">
        <f t="shared" si="64"/>
        <v>5</v>
      </c>
      <c r="GH16" s="14">
        <f t="shared" si="65"/>
        <v>1</v>
      </c>
      <c r="GI16" s="14" t="str">
        <f t="shared" si="29"/>
        <v>HPExt</v>
      </c>
      <c r="GJ16" s="14">
        <f t="shared" si="66"/>
        <v>70</v>
      </c>
      <c r="GK16" s="14">
        <f t="shared" si="67"/>
        <v>11</v>
      </c>
      <c r="GL16" s="14">
        <f t="shared" si="30"/>
        <v>20120</v>
      </c>
      <c r="GM16" s="14">
        <f t="shared" si="68"/>
        <v>0</v>
      </c>
      <c r="GN16" s="14" t="str">
        <f t="shared" si="69"/>
        <v/>
      </c>
      <c r="GO16" s="25" t="s">
        <v>1471</v>
      </c>
      <c r="GP16" s="14">
        <f t="shared" si="31"/>
        <v>15</v>
      </c>
      <c r="GS16" s="13">
        <v>1053</v>
      </c>
      <c r="GT16" s="13" t="s">
        <v>988</v>
      </c>
      <c r="GU16" s="30"/>
      <c r="GV16" s="30"/>
      <c r="GW16" s="13">
        <v>11</v>
      </c>
      <c r="GX16" s="14">
        <f t="shared" si="70"/>
        <v>4</v>
      </c>
      <c r="GY16" s="14">
        <f t="shared" si="71"/>
        <v>1</v>
      </c>
      <c r="GZ16" s="14">
        <f t="shared" si="72"/>
        <v>1</v>
      </c>
      <c r="HA16" s="14">
        <f t="shared" si="73"/>
        <v>200441</v>
      </c>
      <c r="HB16" s="14" t="str">
        <f t="shared" si="74"/>
        <v>70级寄灵人の攻击套 : 属性-1</v>
      </c>
      <c r="HC16" s="14" t="s">
        <v>1396</v>
      </c>
      <c r="HD16" s="14">
        <f t="shared" si="75"/>
        <v>1</v>
      </c>
      <c r="HE16" s="14">
        <f t="shared" si="76"/>
        <v>2</v>
      </c>
      <c r="HF16" s="14" t="str">
        <f t="shared" si="77"/>
        <v>AtkExt</v>
      </c>
      <c r="HG16" s="14">
        <f t="shared" si="78"/>
        <v>1150</v>
      </c>
      <c r="HH16" s="30"/>
      <c r="HI16" s="30"/>
      <c r="HK16" s="13">
        <v>11</v>
      </c>
      <c r="HL16" s="14">
        <f t="shared" si="79"/>
        <v>1</v>
      </c>
      <c r="HM16" s="14">
        <f t="shared" si="80"/>
        <v>1</v>
      </c>
      <c r="HN16" s="14">
        <f t="shared" si="81"/>
        <v>1</v>
      </c>
      <c r="HO16" s="14">
        <f t="shared" si="82"/>
        <v>3</v>
      </c>
      <c r="HP16" s="14" t="str">
        <f t="shared" si="83"/>
        <v>15级寄灵人洗练-Q3-11</v>
      </c>
      <c r="HQ16" s="14">
        <f t="shared" si="84"/>
        <v>1013</v>
      </c>
      <c r="HR16" s="14">
        <f t="shared" si="85"/>
        <v>11</v>
      </c>
      <c r="HS16" s="14">
        <f t="shared" si="86"/>
        <v>500</v>
      </c>
      <c r="HT16" s="14" t="str">
        <f t="shared" si="87"/>
        <v>EffectHit</v>
      </c>
      <c r="HU16" s="14">
        <f t="shared" si="88"/>
        <v>1.7999999999999999E-2</v>
      </c>
      <c r="HV16" s="14">
        <f t="shared" si="89"/>
        <v>0.05</v>
      </c>
    </row>
    <row r="17" spans="1:230" s="19" customFormat="1" ht="16.5" x14ac:dyDescent="0.2">
      <c r="A17" s="13">
        <v>1</v>
      </c>
      <c r="B17" s="13">
        <v>2</v>
      </c>
      <c r="C17" s="13">
        <v>2</v>
      </c>
      <c r="D17" s="14">
        <f>INDEX(属性投放!$AE$7:$AE$26,装备!C17)</f>
        <v>15</v>
      </c>
      <c r="E17" s="13">
        <v>15</v>
      </c>
      <c r="F17" s="14">
        <f>SUMIFS(属性投放!BY$6:BY$85,属性投放!$AT$6:$AT$85,"="&amp;装备!$B$3,属性投放!$AU$6:$AU$85,"&lt;="&amp;装备!$C17)*INDEX(属性投放!$DX$6:$DX$10,装备!$D$3)*装备!$F$3</f>
        <v>358</v>
      </c>
      <c r="G17" s="14">
        <f>SUMIFS(属性投放!BZ$6:BZ$85,属性投放!$AT$6:$AT$85,"="&amp;装备!$B$3,属性投放!$AU$6:$AU$85,"&lt;="&amp;装备!$C17)*INDEX(属性投放!$DX$6:$DX$10,装备!$D$3)*装备!$F$3</f>
        <v>185</v>
      </c>
      <c r="H17" s="14">
        <f>SUMIFS(属性投放!CA$6:CA$85,属性投放!$AT$6:$AT$85,"="&amp;装备!$B$3,属性投放!$AU$6:$AU$85,"&lt;="&amp;装备!$C17)*INDEX(属性投放!$DX$6:$DX$10,装备!$D$3)*装备!$F$3</f>
        <v>2148</v>
      </c>
      <c r="I17" s="26">
        <v>0.3</v>
      </c>
      <c r="J17" s="14">
        <f t="shared" ref="J17:L23" si="123">F17*$I17</f>
        <v>107.39999999999999</v>
      </c>
      <c r="K17" s="14">
        <f t="shared" si="123"/>
        <v>55.5</v>
      </c>
      <c r="L17" s="14">
        <f t="shared" si="123"/>
        <v>644.4</v>
      </c>
      <c r="M17" s="13">
        <f t="shared" ref="M17:O18" si="124">ROUND(J17/5,0)*5</f>
        <v>105</v>
      </c>
      <c r="N17" s="13">
        <f t="shared" si="124"/>
        <v>55</v>
      </c>
      <c r="O17" s="13">
        <f t="shared" si="124"/>
        <v>645</v>
      </c>
      <c r="P17" s="13">
        <f t="shared" ref="P17:R23" si="125">(F17-M17)/$D17</f>
        <v>16.866666666666667</v>
      </c>
      <c r="Q17" s="13">
        <f t="shared" si="125"/>
        <v>8.6666666666666661</v>
      </c>
      <c r="R17" s="13">
        <f t="shared" si="125"/>
        <v>100.2</v>
      </c>
      <c r="S17" s="13">
        <f t="shared" ref="S17:U18" si="126">ROUND(P17*10/5,0)*5/10</f>
        <v>17</v>
      </c>
      <c r="T17" s="13">
        <f t="shared" si="126"/>
        <v>8.5</v>
      </c>
      <c r="U17" s="13">
        <f t="shared" si="126"/>
        <v>100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>
        <v>50</v>
      </c>
      <c r="AJ17" s="13">
        <v>1</v>
      </c>
      <c r="AK17" s="13">
        <v>10</v>
      </c>
      <c r="AL17" s="13" t="s">
        <v>1447</v>
      </c>
      <c r="AM17" s="13" t="s">
        <v>1259</v>
      </c>
      <c r="AN17" s="13">
        <f t="shared" si="10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 t="s">
        <v>1331</v>
      </c>
      <c r="BU17" s="13">
        <v>200942</v>
      </c>
      <c r="BV17" s="13">
        <v>18</v>
      </c>
      <c r="BW17" s="13">
        <v>0.2</v>
      </c>
      <c r="BX17" s="14">
        <f>SUMIFS(属性投放!BY$6:BY$85,属性投放!$AT$6:$AT$85,"="&amp;装备!$BU$3,属性投放!$AU$6:$AU$85,"&lt;="&amp;装备!$BV17)*INDEX(属性投放!$DX$6:$DX$10,装备!$BW$3)*$BW17</f>
        <v>4956.1600000000008</v>
      </c>
      <c r="BY17" s="14">
        <f>SUMIFS(属性投放!BZ$6:BZ$85,属性投放!$AT$6:$AT$85,"="&amp;装备!$BU$3,属性投放!$AU$6:$AU$85,"&lt;="&amp;装备!$BV17)*INDEX(属性投放!$DX$6:$DX$10,装备!$BW$3)*$BW17</f>
        <v>2484.6800000000003</v>
      </c>
      <c r="BZ17" s="14">
        <f>SUMIFS(属性投放!CA$6:CA$85,属性投放!$AT$6:$AT$85,"="&amp;装备!$BU$3,属性投放!$AU$6:$AU$85,"&lt;="&amp;装备!$BV17)*INDEX(属性投放!$DX$6:$DX$10,装备!$BW$3)*BW17/2</f>
        <v>23408.33</v>
      </c>
      <c r="CA17" s="13">
        <v>500</v>
      </c>
      <c r="CB17" s="13">
        <f t="shared" si="103"/>
        <v>5000</v>
      </c>
      <c r="CC17" s="13">
        <f t="shared" si="104"/>
        <v>2500</v>
      </c>
      <c r="CD17" s="13">
        <f t="shared" si="105"/>
        <v>25000</v>
      </c>
      <c r="CE17" s="24">
        <v>0.15</v>
      </c>
      <c r="CF17" s="24">
        <v>0.15</v>
      </c>
      <c r="CG17" s="24">
        <v>0.15</v>
      </c>
      <c r="CH17" s="24">
        <v>0.1</v>
      </c>
      <c r="CI17" s="24">
        <v>0.1</v>
      </c>
      <c r="CJ17" s="14">
        <f t="shared" si="41"/>
        <v>500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106"/>
        <v>2009421</v>
      </c>
      <c r="DB17" s="13">
        <f t="shared" si="42"/>
        <v>2009422</v>
      </c>
      <c r="DC17" s="13">
        <f t="shared" si="42"/>
        <v>2009423</v>
      </c>
      <c r="DD17" s="13">
        <f t="shared" si="42"/>
        <v>2009424</v>
      </c>
      <c r="DE17" s="13">
        <f t="shared" si="42"/>
        <v>2009425</v>
      </c>
      <c r="DF17" s="13">
        <f t="shared" si="42"/>
        <v>2009426</v>
      </c>
      <c r="DG17" s="13">
        <f t="shared" si="42"/>
        <v>0</v>
      </c>
      <c r="DH17" s="13">
        <f t="shared" si="42"/>
        <v>0</v>
      </c>
      <c r="DI17" s="13" t="str">
        <f t="shared" si="43"/>
        <v>130级-防御套寄灵人の灵器</v>
      </c>
      <c r="DJ17" s="13" t="str">
        <f t="shared" si="44"/>
        <v>130级-防御套寄灵人の头盔</v>
      </c>
      <c r="DK17" s="13" t="str">
        <f t="shared" si="45"/>
        <v>130级-防御套寄灵人の铠甲</v>
      </c>
      <c r="DL17" s="13" t="str">
        <f t="shared" si="46"/>
        <v>130级-防御套寄灵人の裤子</v>
      </c>
      <c r="DM17" s="13" t="str">
        <f t="shared" si="47"/>
        <v>130级-防御套寄灵人の鞋子</v>
      </c>
      <c r="DN17" s="13" t="str">
        <f t="shared" si="48"/>
        <v>130级-防御套寄灵人の护手</v>
      </c>
      <c r="DO17" s="13" t="str">
        <f t="shared" si="49"/>
        <v/>
      </c>
      <c r="DP17" s="13" t="str">
        <f t="shared" si="50"/>
        <v/>
      </c>
      <c r="DQ17" s="30"/>
      <c r="DR17" s="30"/>
      <c r="DS17" s="30"/>
      <c r="DT17" s="13">
        <v>2014</v>
      </c>
      <c r="DU17" s="13" t="s">
        <v>1461</v>
      </c>
      <c r="DV17" s="13">
        <v>13</v>
      </c>
      <c r="DW17" s="13">
        <v>3</v>
      </c>
      <c r="DX17" s="31">
        <v>0.35</v>
      </c>
      <c r="DY17" s="13">
        <f t="shared" si="6"/>
        <v>26</v>
      </c>
      <c r="DZ17" s="13">
        <f t="shared" si="7"/>
        <v>19</v>
      </c>
      <c r="EA17" s="13">
        <f t="shared" si="8"/>
        <v>66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0"/>
      <c r="EM17" s="13">
        <v>0</v>
      </c>
      <c r="EN17" s="13">
        <v>0</v>
      </c>
      <c r="EO17" s="13">
        <v>5</v>
      </c>
      <c r="EP17" s="13">
        <v>6</v>
      </c>
      <c r="EQ17" s="30"/>
      <c r="ES17" s="30"/>
      <c r="ET17" s="30"/>
      <c r="EU17" s="13">
        <v>12</v>
      </c>
      <c r="EV17" s="14">
        <f t="shared" si="51"/>
        <v>1</v>
      </c>
      <c r="EW17" s="14">
        <f t="shared" si="52"/>
        <v>12</v>
      </c>
      <c r="EX17" s="14">
        <f t="shared" si="53"/>
        <v>2</v>
      </c>
      <c r="EY17" s="14">
        <f t="shared" si="9"/>
        <v>20</v>
      </c>
      <c r="EZ17" s="14">
        <f t="shared" si="10"/>
        <v>1</v>
      </c>
      <c r="FA17" s="14">
        <f t="shared" si="11"/>
        <v>15</v>
      </c>
      <c r="FB17" s="14">
        <f t="shared" si="12"/>
        <v>2</v>
      </c>
      <c r="FC17" s="14">
        <f t="shared" si="13"/>
        <v>4</v>
      </c>
      <c r="FD17" s="14">
        <f t="shared" si="14"/>
        <v>4</v>
      </c>
      <c r="FE17" s="14" t="b">
        <f t="shared" si="54"/>
        <v>0</v>
      </c>
      <c r="FF17" s="14">
        <f t="shared" si="15"/>
        <v>2001204</v>
      </c>
      <c r="FG17" s="13" t="str">
        <f t="shared" si="16"/>
        <v>15级-优秀寄灵人の裤子</v>
      </c>
      <c r="FH17" s="14">
        <f t="shared" si="17"/>
        <v>1</v>
      </c>
      <c r="FI17" s="14">
        <f t="shared" si="18"/>
        <v>2</v>
      </c>
      <c r="FJ17" s="14">
        <f t="shared" si="19"/>
        <v>15</v>
      </c>
      <c r="FK17" s="14">
        <v>1</v>
      </c>
      <c r="FL17" s="14">
        <f t="shared" si="20"/>
        <v>1</v>
      </c>
      <c r="FM17" s="14">
        <f t="shared" si="55"/>
        <v>4</v>
      </c>
      <c r="FN17" s="14" t="str">
        <f t="shared" si="21"/>
        <v/>
      </c>
      <c r="FO17" s="14">
        <f t="shared" si="22"/>
        <v>20</v>
      </c>
      <c r="FP17" s="14">
        <f t="shared" si="56"/>
        <v>0</v>
      </c>
      <c r="FQ17" s="14">
        <f t="shared" si="57"/>
        <v>10</v>
      </c>
      <c r="FR17" s="14">
        <f t="shared" si="58"/>
        <v>0</v>
      </c>
      <c r="FS17" s="14">
        <f t="shared" si="59"/>
        <v>0</v>
      </c>
      <c r="FT17" s="14">
        <f t="shared" si="60"/>
        <v>2</v>
      </c>
      <c r="FU17" s="14">
        <f t="shared" si="61"/>
        <v>0</v>
      </c>
      <c r="FV17" s="14">
        <f t="shared" si="23"/>
        <v>1012</v>
      </c>
      <c r="FW17" s="14">
        <f t="shared" si="24"/>
        <v>0</v>
      </c>
      <c r="FX17" s="14" t="str">
        <f t="shared" si="25"/>
        <v/>
      </c>
      <c r="FY17" s="25" t="str">
        <f t="shared" si="62"/>
        <v>icon_2001104</v>
      </c>
      <c r="FZ17" s="30"/>
      <c r="GA17" s="30"/>
      <c r="GC17" s="14">
        <f t="shared" si="26"/>
        <v>2</v>
      </c>
      <c r="GD17" s="14">
        <f t="shared" si="27"/>
        <v>0</v>
      </c>
      <c r="GE17" s="14">
        <f t="shared" si="63"/>
        <v>20</v>
      </c>
      <c r="GF17" s="14" t="str">
        <f t="shared" si="28"/>
        <v>DefExt</v>
      </c>
      <c r="GG17" s="14">
        <f t="shared" si="64"/>
        <v>10</v>
      </c>
      <c r="GH17" s="14">
        <f t="shared" si="65"/>
        <v>2</v>
      </c>
      <c r="GI17" s="14" t="str">
        <f t="shared" si="29"/>
        <v/>
      </c>
      <c r="GJ17" s="14" t="str">
        <f t="shared" si="66"/>
        <v/>
      </c>
      <c r="GK17" s="14" t="str">
        <f t="shared" si="67"/>
        <v/>
      </c>
      <c r="GL17" s="14">
        <f t="shared" si="30"/>
        <v>20120</v>
      </c>
      <c r="GM17" s="14">
        <f t="shared" si="68"/>
        <v>0</v>
      </c>
      <c r="GN17" s="14" t="str">
        <f t="shared" si="69"/>
        <v/>
      </c>
      <c r="GO17" s="25" t="s">
        <v>1471</v>
      </c>
      <c r="GP17" s="14">
        <f t="shared" si="31"/>
        <v>15</v>
      </c>
      <c r="GS17" s="13">
        <v>1061</v>
      </c>
      <c r="GT17" s="13" t="s">
        <v>989</v>
      </c>
      <c r="GU17" s="30"/>
      <c r="GV17" s="30"/>
      <c r="GW17" s="13">
        <v>12</v>
      </c>
      <c r="GX17" s="14">
        <f t="shared" si="70"/>
        <v>4</v>
      </c>
      <c r="GY17" s="14">
        <f t="shared" si="71"/>
        <v>2</v>
      </c>
      <c r="GZ17" s="14">
        <f t="shared" si="72"/>
        <v>3</v>
      </c>
      <c r="HA17" s="14">
        <f t="shared" si="73"/>
        <v>200441</v>
      </c>
      <c r="HB17" s="14" t="str">
        <f t="shared" si="74"/>
        <v>70级寄灵人の攻击套 : 属性-2</v>
      </c>
      <c r="HC17" s="14" t="s">
        <v>1396</v>
      </c>
      <c r="HD17" s="14">
        <f t="shared" si="75"/>
        <v>2</v>
      </c>
      <c r="HE17" s="14">
        <f t="shared" si="76"/>
        <v>3</v>
      </c>
      <c r="HF17" s="14" t="str">
        <f t="shared" si="77"/>
        <v>HPExt</v>
      </c>
      <c r="HG17" s="14">
        <f t="shared" si="78"/>
        <v>5750</v>
      </c>
      <c r="HH17" s="30"/>
      <c r="HI17" s="30"/>
      <c r="HK17" s="13">
        <v>12</v>
      </c>
      <c r="HL17" s="14">
        <f t="shared" si="79"/>
        <v>1</v>
      </c>
      <c r="HM17" s="14">
        <f t="shared" si="80"/>
        <v>1</v>
      </c>
      <c r="HN17" s="14">
        <f t="shared" si="81"/>
        <v>1</v>
      </c>
      <c r="HO17" s="14">
        <f t="shared" si="82"/>
        <v>3</v>
      </c>
      <c r="HP17" s="14" t="str">
        <f t="shared" si="83"/>
        <v>15级寄灵人洗练-Q3-12</v>
      </c>
      <c r="HQ17" s="14">
        <f t="shared" si="84"/>
        <v>1013</v>
      </c>
      <c r="HR17" s="14">
        <f t="shared" si="85"/>
        <v>12</v>
      </c>
      <c r="HS17" s="14">
        <f t="shared" si="86"/>
        <v>500</v>
      </c>
      <c r="HT17" s="14" t="str">
        <f t="shared" si="87"/>
        <v>EffectResist</v>
      </c>
      <c r="HU17" s="14">
        <f t="shared" si="88"/>
        <v>1.7999999999999999E-2</v>
      </c>
      <c r="HV17" s="14">
        <f t="shared" si="89"/>
        <v>0.05</v>
      </c>
    </row>
    <row r="18" spans="1:230" s="19" customFormat="1" ht="16.5" x14ac:dyDescent="0.2">
      <c r="A18" s="13">
        <v>2</v>
      </c>
      <c r="B18" s="13">
        <v>2</v>
      </c>
      <c r="C18" s="13">
        <v>4</v>
      </c>
      <c r="D18" s="14">
        <f>INDEX(属性投放!$AE$7:$AE$26,装备!C18)</f>
        <v>35</v>
      </c>
      <c r="E18" s="13">
        <v>30</v>
      </c>
      <c r="F18" s="14">
        <f>SUMIFS(属性投放!BY$6:BY$85,属性投放!$AT$6:$AT$85,"="&amp;装备!$B$3,属性投放!$AU$6:$AU$85,"&lt;="&amp;装备!$C18)*INDEX(属性投放!$DX$6:$DX$10,装备!$D$3)*装备!$F$3</f>
        <v>1048</v>
      </c>
      <c r="G18" s="14">
        <f>SUMIFS(属性投放!BZ$6:BZ$85,属性投放!$AT$6:$AT$85,"="&amp;装备!$B$3,属性投放!$AU$6:$AU$85,"&lt;="&amp;装备!$C18)*INDEX(属性投放!$DX$6:$DX$10,装备!$D$3)*装备!$F$3</f>
        <v>537</v>
      </c>
      <c r="H18" s="14">
        <f>SUMIFS(属性投放!CA$6:CA$85,属性投放!$AT$6:$AT$85,"="&amp;装备!$B$3,属性投放!$AU$6:$AU$85,"&lt;="&amp;装备!$C18)*INDEX(属性投放!$DX$6:$DX$10,装备!$D$3)*装备!$F$3</f>
        <v>6678</v>
      </c>
      <c r="I18" s="26">
        <v>0.25</v>
      </c>
      <c r="J18" s="14">
        <f t="shared" si="123"/>
        <v>262</v>
      </c>
      <c r="K18" s="14">
        <f t="shared" si="123"/>
        <v>134.25</v>
      </c>
      <c r="L18" s="14">
        <f t="shared" si="123"/>
        <v>1669.5</v>
      </c>
      <c r="M18" s="13">
        <f t="shared" si="124"/>
        <v>260</v>
      </c>
      <c r="N18" s="13">
        <f t="shared" si="124"/>
        <v>135</v>
      </c>
      <c r="O18" s="13">
        <f t="shared" si="124"/>
        <v>1670</v>
      </c>
      <c r="P18" s="13">
        <f t="shared" si="125"/>
        <v>22.514285714285716</v>
      </c>
      <c r="Q18" s="13">
        <f t="shared" si="125"/>
        <v>11.485714285714286</v>
      </c>
      <c r="R18" s="13">
        <f t="shared" si="125"/>
        <v>143.08571428571429</v>
      </c>
      <c r="S18" s="13">
        <f t="shared" si="126"/>
        <v>22.5</v>
      </c>
      <c r="T18" s="13">
        <f t="shared" si="126"/>
        <v>11.5</v>
      </c>
      <c r="U18" s="13">
        <f t="shared" si="126"/>
        <v>143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>
        <v>50</v>
      </c>
      <c r="AJ18" s="13">
        <v>2</v>
      </c>
      <c r="AK18" s="13">
        <v>20</v>
      </c>
      <c r="AL18" s="13" t="s">
        <v>1447</v>
      </c>
      <c r="AM18" s="13" t="s">
        <v>1260</v>
      </c>
      <c r="AN18" s="13">
        <f t="shared" si="10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13" t="s">
        <v>1332</v>
      </c>
      <c r="BU18" s="13">
        <v>201041</v>
      </c>
      <c r="BV18" s="13">
        <v>19</v>
      </c>
      <c r="BW18" s="13">
        <v>0.2</v>
      </c>
      <c r="BX18" s="14">
        <f>SUMIFS(属性投放!BY$6:BY$85,属性投放!$AT$6:$AT$85,"="&amp;装备!$BU$3,属性投放!$AU$6:$AU$85,"&lt;="&amp;装备!$BV18)*INDEX(属性投放!$DX$6:$DX$10,装备!$BW$3)*$BW18</f>
        <v>6012.1600000000008</v>
      </c>
      <c r="BY18" s="14">
        <f>SUMIFS(属性投放!BZ$6:BZ$85,属性投放!$AT$6:$AT$85,"="&amp;装备!$BU$3,属性投放!$AU$6:$AU$85,"&lt;="&amp;装备!$BV18)*INDEX(属性投放!$DX$6:$DX$10,装备!$BW$3)*$BW18</f>
        <v>3013.5600000000004</v>
      </c>
      <c r="BZ18" s="14">
        <f>SUMIFS(属性投放!CA$6:CA$85,属性投放!$AT$6:$AT$85,"="&amp;装备!$BU$3,属性投放!$AU$6:$AU$85,"&lt;="&amp;装备!$BV18)*INDEX(属性投放!$DX$6:$DX$10,装备!$BW$3)*BW18/2</f>
        <v>28688.330000000005</v>
      </c>
      <c r="CA18" s="13">
        <v>500</v>
      </c>
      <c r="CB18" s="13">
        <f t="shared" si="103"/>
        <v>6000</v>
      </c>
      <c r="CC18" s="13">
        <f t="shared" si="104"/>
        <v>3000</v>
      </c>
      <c r="CD18" s="13">
        <f t="shared" si="105"/>
        <v>30000</v>
      </c>
      <c r="CE18" s="24">
        <v>0.15</v>
      </c>
      <c r="CF18" s="24">
        <v>0.15</v>
      </c>
      <c r="CG18" s="24">
        <v>0.15</v>
      </c>
      <c r="CH18" s="24">
        <v>0.1</v>
      </c>
      <c r="CI18" s="24">
        <v>0.1</v>
      </c>
      <c r="CJ18" s="14">
        <f t="shared" si="41"/>
        <v>600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106"/>
        <v>2010411</v>
      </c>
      <c r="DB18" s="13">
        <f t="shared" si="42"/>
        <v>2010412</v>
      </c>
      <c r="DC18" s="13">
        <f t="shared" si="42"/>
        <v>2010413</v>
      </c>
      <c r="DD18" s="13">
        <f t="shared" si="42"/>
        <v>2010415</v>
      </c>
      <c r="DE18" s="13">
        <f t="shared" si="42"/>
        <v>2010417</v>
      </c>
      <c r="DF18" s="13">
        <f t="shared" si="42"/>
        <v>2010418</v>
      </c>
      <c r="DG18" s="13">
        <f t="shared" si="42"/>
        <v>0</v>
      </c>
      <c r="DH18" s="13">
        <f t="shared" si="42"/>
        <v>0</v>
      </c>
      <c r="DI18" s="13" t="str">
        <f t="shared" si="43"/>
        <v>140级-攻击套寄灵人の灵器</v>
      </c>
      <c r="DJ18" s="13" t="str">
        <f t="shared" si="44"/>
        <v>140级-攻击套寄灵人の头盔</v>
      </c>
      <c r="DK18" s="13" t="str">
        <f t="shared" si="45"/>
        <v>140级-攻击套寄灵人の铠甲</v>
      </c>
      <c r="DL18" s="13" t="str">
        <f t="shared" si="46"/>
        <v>140级-攻击套寄灵人の鞋子</v>
      </c>
      <c r="DM18" s="13" t="str">
        <f t="shared" si="47"/>
        <v>140级-攻击套寄灵人の项链</v>
      </c>
      <c r="DN18" s="13" t="str">
        <f t="shared" si="48"/>
        <v>140级-攻击套寄灵人の戒指</v>
      </c>
      <c r="DO18" s="13" t="str">
        <f t="shared" si="49"/>
        <v/>
      </c>
      <c r="DP18" s="13" t="str">
        <f t="shared" si="50"/>
        <v/>
      </c>
      <c r="DQ18" s="30"/>
      <c r="DR18" s="30"/>
      <c r="DS18" s="30"/>
      <c r="DT18" s="13">
        <v>2024</v>
      </c>
      <c r="DU18" s="13" t="s">
        <v>1462</v>
      </c>
      <c r="DV18" s="13">
        <v>14</v>
      </c>
      <c r="DW18" s="13">
        <v>3</v>
      </c>
      <c r="DX18" s="31">
        <v>0.35</v>
      </c>
      <c r="DY18" s="13">
        <f t="shared" si="6"/>
        <v>51</v>
      </c>
      <c r="DZ18" s="13">
        <f t="shared" si="7"/>
        <v>26</v>
      </c>
      <c r="EA18" s="13">
        <f t="shared" si="8"/>
        <v>219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0"/>
      <c r="EM18" s="30"/>
      <c r="EN18" s="30"/>
      <c r="EO18" s="30"/>
      <c r="EP18" s="30"/>
      <c r="EQ18" s="30"/>
      <c r="ES18" s="30"/>
      <c r="ET18" s="30"/>
      <c r="EU18" s="13">
        <v>13</v>
      </c>
      <c r="EV18" s="14">
        <f t="shared" si="51"/>
        <v>1</v>
      </c>
      <c r="EW18" s="14">
        <f t="shared" si="52"/>
        <v>13</v>
      </c>
      <c r="EX18" s="14">
        <f t="shared" si="53"/>
        <v>2</v>
      </c>
      <c r="EY18" s="14">
        <f t="shared" si="9"/>
        <v>20</v>
      </c>
      <c r="EZ18" s="14">
        <f t="shared" si="10"/>
        <v>1</v>
      </c>
      <c r="FA18" s="14">
        <f t="shared" si="11"/>
        <v>15</v>
      </c>
      <c r="FB18" s="14">
        <f t="shared" si="12"/>
        <v>2</v>
      </c>
      <c r="FC18" s="14">
        <f t="shared" si="13"/>
        <v>5</v>
      </c>
      <c r="FD18" s="14">
        <f t="shared" si="14"/>
        <v>5</v>
      </c>
      <c r="FE18" s="14" t="b">
        <f t="shared" si="54"/>
        <v>0</v>
      </c>
      <c r="FF18" s="14">
        <f t="shared" si="15"/>
        <v>2001205</v>
      </c>
      <c r="FG18" s="13" t="str">
        <f t="shared" si="16"/>
        <v>15级-优秀寄灵人の鞋子</v>
      </c>
      <c r="FH18" s="14">
        <f t="shared" si="17"/>
        <v>1</v>
      </c>
      <c r="FI18" s="14">
        <f t="shared" si="18"/>
        <v>2</v>
      </c>
      <c r="FJ18" s="14">
        <f t="shared" si="19"/>
        <v>15</v>
      </c>
      <c r="FK18" s="14">
        <v>1</v>
      </c>
      <c r="FL18" s="14">
        <f t="shared" si="20"/>
        <v>1</v>
      </c>
      <c r="FM18" s="14">
        <f t="shared" si="55"/>
        <v>5</v>
      </c>
      <c r="FN18" s="14" t="str">
        <f t="shared" si="21"/>
        <v/>
      </c>
      <c r="FO18" s="14">
        <f t="shared" si="22"/>
        <v>21</v>
      </c>
      <c r="FP18" s="14">
        <f t="shared" si="56"/>
        <v>0</v>
      </c>
      <c r="FQ18" s="14">
        <f t="shared" si="57"/>
        <v>0</v>
      </c>
      <c r="FR18" s="14">
        <f t="shared" si="58"/>
        <v>135</v>
      </c>
      <c r="FS18" s="14">
        <f t="shared" si="59"/>
        <v>0</v>
      </c>
      <c r="FT18" s="14">
        <f t="shared" si="60"/>
        <v>0</v>
      </c>
      <c r="FU18" s="14">
        <f t="shared" si="61"/>
        <v>21</v>
      </c>
      <c r="FV18" s="14">
        <f t="shared" si="23"/>
        <v>1012</v>
      </c>
      <c r="FW18" s="14">
        <f t="shared" si="24"/>
        <v>0</v>
      </c>
      <c r="FX18" s="14" t="str">
        <f t="shared" si="25"/>
        <v/>
      </c>
      <c r="FY18" s="25" t="str">
        <f t="shared" si="62"/>
        <v>icon_2001105</v>
      </c>
      <c r="FZ18" s="30"/>
      <c r="GA18" s="30"/>
      <c r="GC18" s="14">
        <f t="shared" si="26"/>
        <v>3</v>
      </c>
      <c r="GD18" s="14">
        <f t="shared" si="27"/>
        <v>0</v>
      </c>
      <c r="GE18" s="14">
        <f t="shared" si="63"/>
        <v>21</v>
      </c>
      <c r="GF18" s="14" t="str">
        <f t="shared" si="28"/>
        <v>HPExt</v>
      </c>
      <c r="GG18" s="14">
        <f t="shared" si="64"/>
        <v>135</v>
      </c>
      <c r="GH18" s="14">
        <f t="shared" si="65"/>
        <v>21</v>
      </c>
      <c r="GI18" s="14" t="str">
        <f t="shared" si="29"/>
        <v/>
      </c>
      <c r="GJ18" s="14" t="str">
        <f t="shared" si="66"/>
        <v/>
      </c>
      <c r="GK18" s="14" t="str">
        <f t="shared" si="67"/>
        <v/>
      </c>
      <c r="GL18" s="14">
        <f t="shared" si="30"/>
        <v>20120</v>
      </c>
      <c r="GM18" s="14">
        <f t="shared" si="68"/>
        <v>0</v>
      </c>
      <c r="GN18" s="14" t="str">
        <f t="shared" si="69"/>
        <v/>
      </c>
      <c r="GO18" s="25" t="s">
        <v>1471</v>
      </c>
      <c r="GP18" s="14">
        <f t="shared" si="31"/>
        <v>15</v>
      </c>
      <c r="GS18" s="13">
        <v>1062</v>
      </c>
      <c r="GT18" s="13" t="s">
        <v>990</v>
      </c>
      <c r="GU18" s="30"/>
      <c r="GV18" s="30"/>
      <c r="GW18" s="13">
        <v>13</v>
      </c>
      <c r="GX18" s="14">
        <f t="shared" si="70"/>
        <v>4</v>
      </c>
      <c r="GY18" s="14">
        <f t="shared" si="71"/>
        <v>3</v>
      </c>
      <c r="GZ18" s="14">
        <f t="shared" si="72"/>
        <v>4</v>
      </c>
      <c r="HA18" s="14">
        <f t="shared" si="73"/>
        <v>200441</v>
      </c>
      <c r="HB18" s="14" t="str">
        <f t="shared" si="74"/>
        <v>70级寄灵人の攻击套 : 属性-3</v>
      </c>
      <c r="HC18" s="14" t="s">
        <v>1396</v>
      </c>
      <c r="HD18" s="14">
        <f t="shared" si="75"/>
        <v>3</v>
      </c>
      <c r="HE18" s="14">
        <f t="shared" si="76"/>
        <v>5</v>
      </c>
      <c r="HF18" s="14" t="str">
        <f t="shared" si="77"/>
        <v>AtkRate</v>
      </c>
      <c r="HG18" s="14">
        <f t="shared" si="78"/>
        <v>0.15</v>
      </c>
      <c r="HH18" s="30"/>
      <c r="HI18" s="30"/>
      <c r="HK18" s="13">
        <v>13</v>
      </c>
      <c r="HL18" s="14">
        <f t="shared" si="79"/>
        <v>1</v>
      </c>
      <c r="HM18" s="14">
        <f t="shared" si="80"/>
        <v>1</v>
      </c>
      <c r="HN18" s="14">
        <f t="shared" si="81"/>
        <v>1</v>
      </c>
      <c r="HO18" s="14">
        <f t="shared" si="82"/>
        <v>4</v>
      </c>
      <c r="HP18" s="14" t="str">
        <f t="shared" si="83"/>
        <v>15级寄灵人洗练-Q4-1</v>
      </c>
      <c r="HQ18" s="14">
        <f t="shared" si="84"/>
        <v>1014</v>
      </c>
      <c r="HR18" s="14">
        <f t="shared" si="85"/>
        <v>1</v>
      </c>
      <c r="HS18" s="14">
        <f t="shared" si="86"/>
        <v>1800</v>
      </c>
      <c r="HT18" s="14" t="str">
        <f t="shared" si="87"/>
        <v>AtkExt</v>
      </c>
      <c r="HU18" s="14">
        <f t="shared" si="88"/>
        <v>9</v>
      </c>
      <c r="HV18" s="14">
        <f t="shared" si="89"/>
        <v>26</v>
      </c>
    </row>
    <row r="19" spans="1:230" s="19" customFormat="1" ht="16.5" x14ac:dyDescent="0.2">
      <c r="A19" s="13">
        <v>3</v>
      </c>
      <c r="B19" s="13">
        <v>2</v>
      </c>
      <c r="C19" s="28">
        <v>7</v>
      </c>
      <c r="D19" s="14">
        <f>INDEX(属性投放!$AE$7:$AE$26,装备!C19)</f>
        <v>52</v>
      </c>
      <c r="E19" s="28">
        <v>50</v>
      </c>
      <c r="F19" s="14">
        <f>SUMIFS(属性投放!BY$6:BY$85,属性投放!$AT$6:$AT$85,"="&amp;装备!$B$3,属性投放!$AU$6:$AU$85,"&lt;="&amp;装备!$C19)*INDEX(属性投放!$DX$6:$DX$10,装备!$D$3)*装备!$F$3</f>
        <v>2248</v>
      </c>
      <c r="G19" s="14">
        <f>SUMIFS(属性投放!BZ$6:BZ$85,属性投放!$AT$6:$AT$85,"="&amp;装备!$B$3,属性投放!$AU$6:$AU$85,"&lt;="&amp;装备!$C19)*INDEX(属性投放!$DX$6:$DX$10,装备!$D$3)*装备!$F$3</f>
        <v>1141</v>
      </c>
      <c r="H19" s="14">
        <f>SUMIFS(属性投放!CA$6:CA$85,属性投放!$AT$6:$AT$85,"="&amp;装备!$B$3,属性投放!$AU$6:$AU$85,"&lt;="&amp;装备!$C19)*INDEX(属性投放!$DX$6:$DX$10,装备!$D$3)*装备!$F$3</f>
        <v>15528</v>
      </c>
      <c r="I19" s="26">
        <v>0.2</v>
      </c>
      <c r="J19" s="14">
        <f t="shared" si="123"/>
        <v>449.6</v>
      </c>
      <c r="K19" s="14">
        <f t="shared" si="123"/>
        <v>228.20000000000002</v>
      </c>
      <c r="L19" s="14">
        <f t="shared" si="123"/>
        <v>3105.6000000000004</v>
      </c>
      <c r="M19" s="13">
        <f t="shared" ref="M19" si="127">ROUND(J19/5,0)*5</f>
        <v>450</v>
      </c>
      <c r="N19" s="13">
        <f t="shared" ref="N19" si="128">ROUND(K19/5,0)*5</f>
        <v>230</v>
      </c>
      <c r="O19" s="13">
        <f t="shared" ref="O19" si="129">ROUND(L19/5,0)*5</f>
        <v>3105</v>
      </c>
      <c r="P19" s="13">
        <f t="shared" si="125"/>
        <v>34.57692307692308</v>
      </c>
      <c r="Q19" s="13">
        <f t="shared" si="125"/>
        <v>17.51923076923077</v>
      </c>
      <c r="R19" s="13">
        <f t="shared" si="125"/>
        <v>238.90384615384616</v>
      </c>
      <c r="S19" s="13">
        <f t="shared" ref="S19" si="130">ROUND(P19*10/5,0)*5/10</f>
        <v>34.5</v>
      </c>
      <c r="T19" s="13">
        <f t="shared" ref="T19" si="131">ROUND(Q19*10/5,0)*5/10</f>
        <v>17.5</v>
      </c>
      <c r="U19" s="13">
        <f t="shared" ref="U19" si="132">ROUND(R19*10/5,0)*5/10</f>
        <v>239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>
        <v>50</v>
      </c>
      <c r="AJ19" s="13">
        <v>3</v>
      </c>
      <c r="AK19" s="13">
        <v>30</v>
      </c>
      <c r="AL19" s="13" t="s">
        <v>1447</v>
      </c>
      <c r="AM19" s="13" t="s">
        <v>1261</v>
      </c>
      <c r="AN19" s="13">
        <f t="shared" si="10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13" t="s">
        <v>1333</v>
      </c>
      <c r="BU19" s="13">
        <v>201142</v>
      </c>
      <c r="BV19" s="13">
        <v>20</v>
      </c>
      <c r="BW19" s="13">
        <v>0.2</v>
      </c>
      <c r="BX19" s="14">
        <f>SUMIFS(属性投放!BY$6:BY$85,属性投放!$AT$6:$AT$85,"="&amp;装备!$BU$3,属性投放!$AU$6:$AU$85,"&lt;="&amp;装备!$BV19)*INDEX(属性投放!$DX$6:$DX$10,装备!$BW$3)*$BW19</f>
        <v>7387.1600000000008</v>
      </c>
      <c r="BY19" s="14">
        <f>SUMIFS(属性投放!BZ$6:BZ$85,属性投放!$AT$6:$AT$85,"="&amp;装备!$BU$3,属性投放!$AU$6:$AU$85,"&lt;="&amp;装备!$BV19)*INDEX(属性投放!$DX$6:$DX$10,装备!$BW$3)*$BW19</f>
        <v>3702.1600000000008</v>
      </c>
      <c r="BZ19" s="14">
        <f>SUMIFS(属性投放!CA$6:CA$85,属性投放!$AT$6:$AT$85,"="&amp;装备!$BU$3,属性投放!$AU$6:$AU$85,"&lt;="&amp;装备!$BV19)*INDEX(属性投放!$DX$6:$DX$10,装备!$BW$3)*BW19/2</f>
        <v>35563.330000000009</v>
      </c>
      <c r="CA19" s="13">
        <v>500</v>
      </c>
      <c r="CB19" s="13">
        <f t="shared" si="103"/>
        <v>7500</v>
      </c>
      <c r="CC19" s="13">
        <f t="shared" si="104"/>
        <v>3750</v>
      </c>
      <c r="CD19" s="13">
        <f t="shared" si="105"/>
        <v>37500</v>
      </c>
      <c r="CE19" s="24">
        <v>0.15</v>
      </c>
      <c r="CF19" s="24">
        <v>0.15</v>
      </c>
      <c r="CG19" s="24">
        <v>0.15</v>
      </c>
      <c r="CH19" s="24">
        <v>0.1</v>
      </c>
      <c r="CI19" s="24">
        <v>0.1</v>
      </c>
      <c r="CJ19" s="14">
        <f t="shared" si="41"/>
        <v>750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106"/>
        <v>2011421</v>
      </c>
      <c r="DB19" s="13">
        <f t="shared" si="42"/>
        <v>2011422</v>
      </c>
      <c r="DC19" s="13">
        <f t="shared" si="42"/>
        <v>2011423</v>
      </c>
      <c r="DD19" s="13">
        <f t="shared" si="42"/>
        <v>2011424</v>
      </c>
      <c r="DE19" s="13">
        <f t="shared" si="42"/>
        <v>2011425</v>
      </c>
      <c r="DF19" s="13">
        <f t="shared" si="42"/>
        <v>2011426</v>
      </c>
      <c r="DG19" s="13">
        <f t="shared" si="42"/>
        <v>0</v>
      </c>
      <c r="DH19" s="13">
        <f t="shared" si="42"/>
        <v>0</v>
      </c>
      <c r="DI19" s="13" t="str">
        <f t="shared" si="43"/>
        <v>150级-防御套寄灵人の灵器</v>
      </c>
      <c r="DJ19" s="13" t="str">
        <f t="shared" si="44"/>
        <v>150级-防御套寄灵人の头盔</v>
      </c>
      <c r="DK19" s="13" t="str">
        <f t="shared" si="45"/>
        <v>150级-防御套寄灵人の铠甲</v>
      </c>
      <c r="DL19" s="13" t="str">
        <f t="shared" si="46"/>
        <v>150级-防御套寄灵人の裤子</v>
      </c>
      <c r="DM19" s="13" t="str">
        <f t="shared" si="47"/>
        <v>150级-防御套寄灵人の鞋子</v>
      </c>
      <c r="DN19" s="13" t="str">
        <f t="shared" si="48"/>
        <v>150级-防御套寄灵人の护手</v>
      </c>
      <c r="DO19" s="13" t="str">
        <f t="shared" si="49"/>
        <v/>
      </c>
      <c r="DP19" s="13" t="str">
        <f t="shared" si="50"/>
        <v/>
      </c>
      <c r="DQ19" s="30"/>
      <c r="DR19" s="30"/>
      <c r="DS19" s="30"/>
      <c r="DT19" s="13">
        <v>2034</v>
      </c>
      <c r="DU19" s="28" t="s">
        <v>1463</v>
      </c>
      <c r="DV19" s="13">
        <v>14</v>
      </c>
      <c r="DW19" s="13">
        <v>3</v>
      </c>
      <c r="DX19" s="31">
        <v>0.35</v>
      </c>
      <c r="DY19" s="13">
        <f t="shared" si="6"/>
        <v>78</v>
      </c>
      <c r="DZ19" s="13">
        <f t="shared" si="7"/>
        <v>40</v>
      </c>
      <c r="EA19" s="13">
        <f t="shared" si="8"/>
        <v>544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0"/>
      <c r="EM19" s="30"/>
      <c r="EN19" s="30"/>
      <c r="EO19" s="30"/>
      <c r="EP19" s="30"/>
      <c r="EQ19" s="30"/>
      <c r="ES19" s="30"/>
      <c r="ET19" s="30"/>
      <c r="EU19" s="13">
        <v>14</v>
      </c>
      <c r="EV19" s="14">
        <f t="shared" si="51"/>
        <v>1</v>
      </c>
      <c r="EW19" s="14">
        <f t="shared" si="52"/>
        <v>14</v>
      </c>
      <c r="EX19" s="14">
        <f t="shared" si="53"/>
        <v>2</v>
      </c>
      <c r="EY19" s="14">
        <f t="shared" si="9"/>
        <v>20</v>
      </c>
      <c r="EZ19" s="14">
        <f t="shared" si="10"/>
        <v>1</v>
      </c>
      <c r="FA19" s="14">
        <f t="shared" si="11"/>
        <v>15</v>
      </c>
      <c r="FB19" s="14">
        <f t="shared" si="12"/>
        <v>2</v>
      </c>
      <c r="FC19" s="14">
        <f t="shared" si="13"/>
        <v>6</v>
      </c>
      <c r="FD19" s="14">
        <f t="shared" si="14"/>
        <v>6</v>
      </c>
      <c r="FE19" s="14" t="b">
        <f t="shared" si="54"/>
        <v>0</v>
      </c>
      <c r="FF19" s="14">
        <f t="shared" si="15"/>
        <v>2001206</v>
      </c>
      <c r="FG19" s="13" t="str">
        <f t="shared" si="16"/>
        <v>15级-优秀寄灵人の护手</v>
      </c>
      <c r="FH19" s="14">
        <f t="shared" si="17"/>
        <v>1</v>
      </c>
      <c r="FI19" s="14">
        <f t="shared" si="18"/>
        <v>2</v>
      </c>
      <c r="FJ19" s="14">
        <f t="shared" si="19"/>
        <v>15</v>
      </c>
      <c r="FK19" s="14">
        <v>1</v>
      </c>
      <c r="FL19" s="14">
        <f t="shared" si="20"/>
        <v>1</v>
      </c>
      <c r="FM19" s="14">
        <f t="shared" si="55"/>
        <v>6</v>
      </c>
      <c r="FN19" s="14" t="str">
        <f t="shared" si="21"/>
        <v/>
      </c>
      <c r="FO19" s="14">
        <f t="shared" si="22"/>
        <v>21</v>
      </c>
      <c r="FP19" s="14">
        <f t="shared" si="56"/>
        <v>0</v>
      </c>
      <c r="FQ19" s="14">
        <f t="shared" si="57"/>
        <v>0</v>
      </c>
      <c r="FR19" s="14">
        <f t="shared" si="58"/>
        <v>135</v>
      </c>
      <c r="FS19" s="14">
        <f t="shared" si="59"/>
        <v>0</v>
      </c>
      <c r="FT19" s="14">
        <f t="shared" si="60"/>
        <v>0</v>
      </c>
      <c r="FU19" s="14">
        <f t="shared" si="61"/>
        <v>21</v>
      </c>
      <c r="FV19" s="14">
        <f t="shared" si="23"/>
        <v>1012</v>
      </c>
      <c r="FW19" s="14">
        <f t="shared" si="24"/>
        <v>0</v>
      </c>
      <c r="FX19" s="14" t="str">
        <f t="shared" si="25"/>
        <v/>
      </c>
      <c r="FY19" s="25" t="str">
        <f t="shared" si="62"/>
        <v>icon_2001106</v>
      </c>
      <c r="FZ19" s="30"/>
      <c r="GA19" s="30"/>
      <c r="GC19" s="14">
        <f t="shared" si="26"/>
        <v>3</v>
      </c>
      <c r="GD19" s="14">
        <f t="shared" si="27"/>
        <v>0</v>
      </c>
      <c r="GE19" s="14">
        <f t="shared" si="63"/>
        <v>21</v>
      </c>
      <c r="GF19" s="14" t="str">
        <f t="shared" si="28"/>
        <v>HPExt</v>
      </c>
      <c r="GG19" s="14">
        <f t="shared" si="64"/>
        <v>135</v>
      </c>
      <c r="GH19" s="14">
        <f t="shared" si="65"/>
        <v>21</v>
      </c>
      <c r="GI19" s="14" t="str">
        <f t="shared" si="29"/>
        <v/>
      </c>
      <c r="GJ19" s="14" t="str">
        <f t="shared" si="66"/>
        <v/>
      </c>
      <c r="GK19" s="14" t="str">
        <f t="shared" si="67"/>
        <v/>
      </c>
      <c r="GL19" s="14">
        <f t="shared" si="30"/>
        <v>20120</v>
      </c>
      <c r="GM19" s="14">
        <f t="shared" si="68"/>
        <v>0</v>
      </c>
      <c r="GN19" s="14" t="str">
        <f t="shared" si="69"/>
        <v/>
      </c>
      <c r="GO19" s="25" t="s">
        <v>1471</v>
      </c>
      <c r="GP19" s="14">
        <f t="shared" si="31"/>
        <v>15</v>
      </c>
      <c r="GS19" s="13">
        <v>1063</v>
      </c>
      <c r="GT19" s="13" t="s">
        <v>991</v>
      </c>
      <c r="GU19" s="30"/>
      <c r="GV19" s="30"/>
      <c r="GW19" s="13">
        <v>14</v>
      </c>
      <c r="GX19" s="14">
        <f t="shared" si="70"/>
        <v>5</v>
      </c>
      <c r="GY19" s="14">
        <f t="shared" si="71"/>
        <v>1</v>
      </c>
      <c r="GZ19" s="14">
        <f t="shared" si="72"/>
        <v>2</v>
      </c>
      <c r="HA19" s="14">
        <f t="shared" si="73"/>
        <v>200542</v>
      </c>
      <c r="HB19" s="14" t="str">
        <f t="shared" si="74"/>
        <v>90级寄灵人の防御套 : 属性-1</v>
      </c>
      <c r="HC19" s="14" t="s">
        <v>1396</v>
      </c>
      <c r="HD19" s="14">
        <f t="shared" si="75"/>
        <v>1</v>
      </c>
      <c r="HE19" s="14">
        <f t="shared" si="76"/>
        <v>2</v>
      </c>
      <c r="HF19" s="14" t="str">
        <f t="shared" si="77"/>
        <v>DefExt</v>
      </c>
      <c r="HG19" s="14">
        <f t="shared" si="78"/>
        <v>750</v>
      </c>
      <c r="HH19" s="30"/>
      <c r="HI19" s="30"/>
      <c r="HK19" s="13">
        <v>14</v>
      </c>
      <c r="HL19" s="14">
        <f t="shared" si="79"/>
        <v>1</v>
      </c>
      <c r="HM19" s="14">
        <f t="shared" si="80"/>
        <v>1</v>
      </c>
      <c r="HN19" s="14">
        <f t="shared" si="81"/>
        <v>1</v>
      </c>
      <c r="HO19" s="14">
        <f t="shared" si="82"/>
        <v>4</v>
      </c>
      <c r="HP19" s="14" t="str">
        <f t="shared" si="83"/>
        <v>15级寄灵人洗练-Q4-2</v>
      </c>
      <c r="HQ19" s="14">
        <f t="shared" si="84"/>
        <v>1014</v>
      </c>
      <c r="HR19" s="14">
        <f t="shared" si="85"/>
        <v>2</v>
      </c>
      <c r="HS19" s="14">
        <f t="shared" si="86"/>
        <v>1800</v>
      </c>
      <c r="HT19" s="14" t="str">
        <f t="shared" si="87"/>
        <v>DefExt</v>
      </c>
      <c r="HU19" s="14">
        <f t="shared" si="88"/>
        <v>6</v>
      </c>
      <c r="HV19" s="14">
        <f t="shared" si="89"/>
        <v>19</v>
      </c>
    </row>
    <row r="20" spans="1:230" s="19" customFormat="1" ht="16.5" x14ac:dyDescent="0.2">
      <c r="A20" s="13">
        <v>4</v>
      </c>
      <c r="B20" s="13">
        <v>2</v>
      </c>
      <c r="C20" s="13">
        <v>10</v>
      </c>
      <c r="D20" s="14">
        <f>INDEX(属性投放!$AE$7:$AE$26,装备!C20)</f>
        <v>72</v>
      </c>
      <c r="E20" s="13">
        <v>70</v>
      </c>
      <c r="F20" s="14">
        <f>SUMIFS(属性投放!BY$6:BY$85,属性投放!$AT$6:$AT$85,"="&amp;装备!$B$3,属性投放!$AU$6:$AU$85,"&lt;="&amp;装备!$C20)*INDEX(属性投放!$DX$6:$DX$10,装备!$D$3)*装备!$F$3</f>
        <v>4243</v>
      </c>
      <c r="G20" s="14">
        <f>SUMIFS(属性投放!BZ$6:BZ$85,属性投放!$AT$6:$AT$85,"="&amp;装备!$B$3,属性投放!$AU$6:$AU$85,"&lt;="&amp;装备!$C20)*INDEX(属性投放!$DX$6:$DX$10,装备!$D$3)*装备!$F$3</f>
        <v>2147</v>
      </c>
      <c r="H20" s="14">
        <f>SUMIFS(属性投放!CA$6:CA$85,属性投放!$AT$6:$AT$85,"="&amp;装备!$B$3,属性投放!$AU$6:$AU$85,"&lt;="&amp;装备!$C20)*INDEX(属性投放!$DX$6:$DX$10,装备!$D$3)*装备!$F$3</f>
        <v>32288</v>
      </c>
      <c r="I20" s="26">
        <v>0.2</v>
      </c>
      <c r="J20" s="14">
        <f t="shared" si="123"/>
        <v>848.6</v>
      </c>
      <c r="K20" s="14">
        <f t="shared" si="123"/>
        <v>429.40000000000003</v>
      </c>
      <c r="L20" s="14">
        <f t="shared" si="123"/>
        <v>6457.6</v>
      </c>
      <c r="M20" s="13">
        <f t="shared" ref="M20:O23" si="133">ROUND(J20/5,0)*5</f>
        <v>850</v>
      </c>
      <c r="N20" s="13">
        <f t="shared" si="133"/>
        <v>430</v>
      </c>
      <c r="O20" s="13">
        <f t="shared" si="133"/>
        <v>6460</v>
      </c>
      <c r="P20" s="13">
        <f t="shared" si="125"/>
        <v>47.125</v>
      </c>
      <c r="Q20" s="13">
        <f t="shared" si="125"/>
        <v>23.847222222222221</v>
      </c>
      <c r="R20" s="13">
        <f t="shared" si="125"/>
        <v>358.72222222222223</v>
      </c>
      <c r="S20" s="13">
        <f t="shared" ref="S20:U23" si="134">ROUND(P20*10/5,0)*5/10</f>
        <v>47</v>
      </c>
      <c r="T20" s="13">
        <f t="shared" si="134"/>
        <v>24</v>
      </c>
      <c r="U20" s="13">
        <f t="shared" si="134"/>
        <v>358.5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>
        <v>50</v>
      </c>
      <c r="AJ20" s="13">
        <v>4</v>
      </c>
      <c r="AK20" s="13">
        <v>40</v>
      </c>
      <c r="AL20" s="13" t="s">
        <v>1447</v>
      </c>
      <c r="AM20" s="13" t="s">
        <v>1262</v>
      </c>
      <c r="AN20" s="13">
        <f t="shared" si="10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13" t="s">
        <v>1334</v>
      </c>
      <c r="BU20" s="13">
        <v>201143</v>
      </c>
      <c r="BV20" s="13">
        <v>20</v>
      </c>
      <c r="BW20" s="13">
        <v>0.25</v>
      </c>
      <c r="BX20" s="14">
        <f>SUMIFS(属性投放!BY$6:BY$85,属性投放!$AT$6:$AT$85,"="&amp;装备!$BU$3,属性投放!$AU$6:$AU$85,"&lt;="&amp;装备!$BV20)*INDEX(属性投放!$DX$6:$DX$10,装备!$BW$3)*$BW20</f>
        <v>9233.9500000000007</v>
      </c>
      <c r="BY20" s="14">
        <f>SUMIFS(属性投放!BZ$6:BZ$85,属性投放!$AT$6:$AT$85,"="&amp;装备!$BU$3,属性投放!$AU$6:$AU$85,"&lt;="&amp;装备!$BV20)*INDEX(属性投放!$DX$6:$DX$10,装备!$BW$3)*$BW20</f>
        <v>4627.7000000000007</v>
      </c>
      <c r="BZ20" s="14">
        <f>SUMIFS(属性投放!CA$6:CA$85,属性投放!$AT$6:$AT$85,"="&amp;装备!$BU$3,属性投放!$AU$6:$AU$85,"&lt;="&amp;装备!$BV20)*INDEX(属性投放!$DX$6:$DX$10,装备!$BW$3)*BW20/2</f>
        <v>44454.162500000006</v>
      </c>
      <c r="CA20" s="13">
        <v>5000</v>
      </c>
      <c r="CB20" s="13">
        <f t="shared" si="103"/>
        <v>10000</v>
      </c>
      <c r="CC20" s="13">
        <f t="shared" si="104"/>
        <v>5000</v>
      </c>
      <c r="CD20" s="13">
        <f t="shared" si="105"/>
        <v>50000</v>
      </c>
      <c r="CE20" s="24">
        <v>0.15</v>
      </c>
      <c r="CF20" s="24">
        <v>0.15</v>
      </c>
      <c r="CG20" s="24">
        <v>0.15</v>
      </c>
      <c r="CH20" s="24">
        <v>0.1</v>
      </c>
      <c r="CI20" s="24">
        <v>0.1</v>
      </c>
      <c r="CJ20" s="14">
        <f t="shared" si="41"/>
        <v>1000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106"/>
        <v>2011431</v>
      </c>
      <c r="DB20" s="13">
        <f t="shared" si="42"/>
        <v>2011432</v>
      </c>
      <c r="DC20" s="13">
        <f t="shared" si="42"/>
        <v>2011433</v>
      </c>
      <c r="DD20" s="13">
        <f t="shared" si="42"/>
        <v>2011434</v>
      </c>
      <c r="DE20" s="13">
        <f t="shared" si="42"/>
        <v>2011436</v>
      </c>
      <c r="DF20" s="13">
        <f t="shared" si="42"/>
        <v>0</v>
      </c>
      <c r="DG20" s="13">
        <f t="shared" si="42"/>
        <v>0</v>
      </c>
      <c r="DH20" s="13">
        <f t="shared" si="42"/>
        <v>0</v>
      </c>
      <c r="DI20" s="13" t="str">
        <f t="shared" si="43"/>
        <v>150级-绝世寄灵人の灵器</v>
      </c>
      <c r="DJ20" s="13" t="str">
        <f t="shared" si="44"/>
        <v>150级-绝世寄灵人の头盔</v>
      </c>
      <c r="DK20" s="13" t="str">
        <f t="shared" si="45"/>
        <v>150级-绝世寄灵人の铠甲</v>
      </c>
      <c r="DL20" s="13" t="str">
        <f t="shared" si="46"/>
        <v>150级-绝世寄灵人の裤子</v>
      </c>
      <c r="DM20" s="13" t="str">
        <f t="shared" si="47"/>
        <v>150级-绝世寄灵人の护手</v>
      </c>
      <c r="DN20" s="13" t="str">
        <f t="shared" si="48"/>
        <v/>
      </c>
      <c r="DO20" s="13" t="str">
        <f t="shared" si="49"/>
        <v/>
      </c>
      <c r="DP20" s="13" t="str">
        <f t="shared" si="50"/>
        <v/>
      </c>
      <c r="DQ20" s="30"/>
      <c r="DR20" s="30"/>
      <c r="DS20" s="30"/>
      <c r="DT20" s="13">
        <v>2044</v>
      </c>
      <c r="DU20" s="13" t="s">
        <v>1464</v>
      </c>
      <c r="DV20" s="13">
        <v>16</v>
      </c>
      <c r="DW20" s="13">
        <v>4</v>
      </c>
      <c r="DX20" s="31">
        <v>0.35</v>
      </c>
      <c r="DY20" s="13">
        <f t="shared" si="6"/>
        <v>179</v>
      </c>
      <c r="DZ20" s="13">
        <f t="shared" si="7"/>
        <v>76</v>
      </c>
      <c r="EA20" s="13">
        <f t="shared" si="8"/>
        <v>1129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0"/>
      <c r="EM20" s="30"/>
      <c r="EN20" s="30"/>
      <c r="EO20" s="30"/>
      <c r="EP20" s="30"/>
      <c r="EQ20" s="30"/>
      <c r="ES20" s="30"/>
      <c r="ET20" s="30"/>
      <c r="EU20" s="13">
        <v>15</v>
      </c>
      <c r="EV20" s="14">
        <f t="shared" si="51"/>
        <v>1</v>
      </c>
      <c r="EW20" s="14">
        <f t="shared" si="52"/>
        <v>15</v>
      </c>
      <c r="EX20" s="14">
        <f t="shared" si="53"/>
        <v>2</v>
      </c>
      <c r="EY20" s="14">
        <f t="shared" si="9"/>
        <v>20</v>
      </c>
      <c r="EZ20" s="14">
        <f t="shared" si="10"/>
        <v>1</v>
      </c>
      <c r="FA20" s="14">
        <f t="shared" si="11"/>
        <v>15</v>
      </c>
      <c r="FB20" s="14">
        <f t="shared" si="12"/>
        <v>2</v>
      </c>
      <c r="FC20" s="14">
        <f t="shared" si="13"/>
        <v>7</v>
      </c>
      <c r="FD20" s="14">
        <f t="shared" si="14"/>
        <v>7</v>
      </c>
      <c r="FE20" s="14" t="b">
        <f t="shared" si="54"/>
        <v>0</v>
      </c>
      <c r="FF20" s="14">
        <f t="shared" si="15"/>
        <v>2001207</v>
      </c>
      <c r="FG20" s="13" t="str">
        <f t="shared" si="16"/>
        <v>15级-优秀寄灵人の项链</v>
      </c>
      <c r="FH20" s="14">
        <f t="shared" si="17"/>
        <v>1</v>
      </c>
      <c r="FI20" s="14">
        <f t="shared" si="18"/>
        <v>2</v>
      </c>
      <c r="FJ20" s="14">
        <f t="shared" si="19"/>
        <v>15</v>
      </c>
      <c r="FK20" s="14">
        <v>1</v>
      </c>
      <c r="FL20" s="14">
        <f t="shared" si="20"/>
        <v>1</v>
      </c>
      <c r="FM20" s="14">
        <f t="shared" si="55"/>
        <v>7</v>
      </c>
      <c r="FN20" s="14" t="str">
        <f t="shared" si="21"/>
        <v/>
      </c>
      <c r="FO20" s="14">
        <f t="shared" si="22"/>
        <v>20</v>
      </c>
      <c r="FP20" s="14">
        <f t="shared" si="56"/>
        <v>15</v>
      </c>
      <c r="FQ20" s="14">
        <f t="shared" si="57"/>
        <v>10</v>
      </c>
      <c r="FR20" s="14">
        <f t="shared" si="58"/>
        <v>0</v>
      </c>
      <c r="FS20" s="14">
        <f t="shared" si="59"/>
        <v>2</v>
      </c>
      <c r="FT20" s="14">
        <f t="shared" si="60"/>
        <v>1</v>
      </c>
      <c r="FU20" s="14">
        <f t="shared" si="61"/>
        <v>0</v>
      </c>
      <c r="FV20" s="14">
        <f t="shared" si="23"/>
        <v>1012</v>
      </c>
      <c r="FW20" s="14">
        <f t="shared" si="24"/>
        <v>0</v>
      </c>
      <c r="FX20" s="14" t="str">
        <f t="shared" si="25"/>
        <v/>
      </c>
      <c r="FY20" s="25" t="str">
        <f t="shared" si="62"/>
        <v>icon_2001107</v>
      </c>
      <c r="FZ20" s="30"/>
      <c r="GA20" s="30"/>
      <c r="GC20" s="14">
        <f t="shared" si="26"/>
        <v>1</v>
      </c>
      <c r="GD20" s="14">
        <f t="shared" si="27"/>
        <v>2</v>
      </c>
      <c r="GE20" s="14">
        <f t="shared" si="63"/>
        <v>20</v>
      </c>
      <c r="GF20" s="14" t="str">
        <f t="shared" si="28"/>
        <v>AtkExt</v>
      </c>
      <c r="GG20" s="14">
        <f t="shared" si="64"/>
        <v>15</v>
      </c>
      <c r="GH20" s="14">
        <f t="shared" si="65"/>
        <v>2</v>
      </c>
      <c r="GI20" s="14" t="str">
        <f t="shared" si="29"/>
        <v>DefExt</v>
      </c>
      <c r="GJ20" s="14">
        <f t="shared" si="66"/>
        <v>10</v>
      </c>
      <c r="GK20" s="14">
        <f t="shared" si="67"/>
        <v>1</v>
      </c>
      <c r="GL20" s="14">
        <f t="shared" si="30"/>
        <v>20120</v>
      </c>
      <c r="GM20" s="14">
        <f t="shared" si="68"/>
        <v>0</v>
      </c>
      <c r="GN20" s="14" t="str">
        <f t="shared" si="69"/>
        <v/>
      </c>
      <c r="GO20" s="25" t="s">
        <v>1471</v>
      </c>
      <c r="GP20" s="14">
        <f t="shared" si="31"/>
        <v>23</v>
      </c>
      <c r="GS20" s="13">
        <f>GS6+1000</f>
        <v>2011</v>
      </c>
      <c r="GT20" s="13" t="s">
        <v>320</v>
      </c>
      <c r="GU20" s="30"/>
      <c r="GV20" s="30"/>
      <c r="GW20" s="13">
        <v>15</v>
      </c>
      <c r="GX20" s="14">
        <f t="shared" si="70"/>
        <v>5</v>
      </c>
      <c r="GY20" s="14">
        <f t="shared" si="71"/>
        <v>2</v>
      </c>
      <c r="GZ20" s="14">
        <f t="shared" si="72"/>
        <v>3</v>
      </c>
      <c r="HA20" s="14">
        <f t="shared" si="73"/>
        <v>200542</v>
      </c>
      <c r="HB20" s="14" t="str">
        <f t="shared" si="74"/>
        <v>90级寄灵人の防御套 : 属性-2</v>
      </c>
      <c r="HC20" s="14" t="s">
        <v>1396</v>
      </c>
      <c r="HD20" s="14">
        <f t="shared" si="75"/>
        <v>2</v>
      </c>
      <c r="HE20" s="14">
        <f t="shared" si="76"/>
        <v>3</v>
      </c>
      <c r="HF20" s="14" t="str">
        <f t="shared" si="77"/>
        <v>HPExt</v>
      </c>
      <c r="HG20" s="14">
        <f t="shared" si="78"/>
        <v>7000</v>
      </c>
      <c r="HH20" s="30"/>
      <c r="HI20" s="30"/>
      <c r="HK20" s="13">
        <v>15</v>
      </c>
      <c r="HL20" s="14">
        <f t="shared" si="79"/>
        <v>1</v>
      </c>
      <c r="HM20" s="14">
        <f t="shared" si="80"/>
        <v>1</v>
      </c>
      <c r="HN20" s="14">
        <f t="shared" si="81"/>
        <v>1</v>
      </c>
      <c r="HO20" s="14">
        <f t="shared" si="82"/>
        <v>4</v>
      </c>
      <c r="HP20" s="14" t="str">
        <f t="shared" si="83"/>
        <v>15级寄灵人洗练-Q4-3</v>
      </c>
      <c r="HQ20" s="14">
        <f t="shared" si="84"/>
        <v>1014</v>
      </c>
      <c r="HR20" s="14">
        <f t="shared" si="85"/>
        <v>3</v>
      </c>
      <c r="HS20" s="14">
        <f t="shared" si="86"/>
        <v>2000</v>
      </c>
      <c r="HT20" s="14" t="str">
        <f t="shared" si="87"/>
        <v>HPExt</v>
      </c>
      <c r="HU20" s="14">
        <f t="shared" si="88"/>
        <v>23</v>
      </c>
      <c r="HV20" s="14">
        <f t="shared" si="89"/>
        <v>66</v>
      </c>
    </row>
    <row r="21" spans="1:230" s="19" customFormat="1" ht="16.5" x14ac:dyDescent="0.2">
      <c r="A21" s="13">
        <v>5</v>
      </c>
      <c r="B21" s="13">
        <v>2</v>
      </c>
      <c r="C21" s="13">
        <v>12</v>
      </c>
      <c r="D21" s="14">
        <f>INDEX(属性投放!$AE$7:$AE$26,装备!C21)</f>
        <v>87</v>
      </c>
      <c r="E21" s="13">
        <v>90</v>
      </c>
      <c r="F21" s="14">
        <f>SUMIFS(属性投放!BY$6:BY$85,属性投放!$AT$6:$AT$85,"="&amp;装备!$B$3,属性投放!$AU$6:$AU$85,"&lt;="&amp;装备!$C21)*INDEX(属性投放!$DX$6:$DX$10,装备!$D$3)*装备!$F$3</f>
        <v>6578</v>
      </c>
      <c r="G21" s="14">
        <f>SUMIFS(属性投放!BZ$6:BZ$85,属性投放!$AT$6:$AT$85,"="&amp;装备!$B$3,属性投放!$AU$6:$AU$85,"&lt;="&amp;装备!$C21)*INDEX(属性投放!$DX$6:$DX$10,装备!$D$3)*装备!$F$3</f>
        <v>3316</v>
      </c>
      <c r="H21" s="14">
        <f>SUMIFS(属性投放!CA$6:CA$85,属性投放!$AT$6:$AT$85,"="&amp;装备!$B$3,属性投放!$AU$6:$AU$85,"&lt;="&amp;装备!$C21)*INDEX(属性投放!$DX$6:$DX$10,装备!$D$3)*装备!$F$3</f>
        <v>53303</v>
      </c>
      <c r="I21" s="26">
        <v>0.18</v>
      </c>
      <c r="J21" s="14">
        <f t="shared" si="123"/>
        <v>1184.04</v>
      </c>
      <c r="K21" s="14">
        <f t="shared" si="123"/>
        <v>596.88</v>
      </c>
      <c r="L21" s="14">
        <f t="shared" si="123"/>
        <v>9594.5399999999991</v>
      </c>
      <c r="M21" s="13">
        <f t="shared" si="133"/>
        <v>1185</v>
      </c>
      <c r="N21" s="13">
        <f t="shared" si="133"/>
        <v>595</v>
      </c>
      <c r="O21" s="13">
        <f t="shared" si="133"/>
        <v>9595</v>
      </c>
      <c r="P21" s="13">
        <f t="shared" si="125"/>
        <v>61.988505747126439</v>
      </c>
      <c r="Q21" s="13">
        <f t="shared" si="125"/>
        <v>31.275862068965516</v>
      </c>
      <c r="R21" s="13">
        <f t="shared" si="125"/>
        <v>502.39080459770116</v>
      </c>
      <c r="S21" s="13">
        <f t="shared" si="134"/>
        <v>62</v>
      </c>
      <c r="T21" s="13">
        <f t="shared" si="134"/>
        <v>31.5</v>
      </c>
      <c r="U21" s="13">
        <f t="shared" si="134"/>
        <v>502.5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>
        <v>50</v>
      </c>
      <c r="AJ21" s="13">
        <v>4</v>
      </c>
      <c r="AK21" s="13">
        <v>42</v>
      </c>
      <c r="AL21" s="13" t="s">
        <v>1447</v>
      </c>
      <c r="AM21" s="13" t="s">
        <v>1265</v>
      </c>
      <c r="AN21" s="13">
        <f t="shared" si="10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13" t="s">
        <v>1453</v>
      </c>
      <c r="BU21" s="13">
        <v>210143</v>
      </c>
      <c r="BV21" s="13">
        <v>3</v>
      </c>
      <c r="BW21" s="13">
        <v>0.4</v>
      </c>
      <c r="BX21" s="14">
        <f>SUMIFS(属性投放!BY$6:BY$85,属性投放!$AT$6:$AT$85,"="&amp;装备!$BU$3,属性投放!$AU$6:$AU$85,"&lt;="&amp;装备!$BV21)*INDEX(属性投放!$DX$6:$DX$10,装备!$BW$3)*$BW21</f>
        <v>289.52000000000004</v>
      </c>
      <c r="BY21" s="14">
        <f>SUMIFS(属性投放!BZ$6:BZ$85,属性投放!$AT$6:$AT$85,"="&amp;装备!$BU$3,属性投放!$AU$6:$AU$85,"&lt;="&amp;装备!$BV21)*INDEX(属性投放!$DX$6:$DX$10,装备!$BW$3)*$BW21</f>
        <v>150.04000000000002</v>
      </c>
      <c r="BZ21" s="14">
        <f>SUMIFS(属性投放!CA$6:CA$85,属性投放!$AT$6:$AT$85,"="&amp;装备!$BU$3,属性投放!$AU$6:$AU$85,"&lt;="&amp;装备!$BV21)*INDEX(属性投放!$DX$6:$DX$10,装备!$BW$3)*BW21/2</f>
        <v>868.56000000000006</v>
      </c>
      <c r="CA21" s="13">
        <v>50</v>
      </c>
      <c r="CB21" s="13">
        <f>ROUND(BX21/CA21,0)*CA21</f>
        <v>300</v>
      </c>
      <c r="CC21" s="13">
        <f>ROUND(BY21/CA21*2,0)*CA21/2</f>
        <v>150</v>
      </c>
      <c r="CD21" s="13">
        <f>CB21*10</f>
        <v>3000</v>
      </c>
      <c r="CE21" s="24">
        <v>0.15</v>
      </c>
      <c r="CF21" s="24">
        <v>0.15</v>
      </c>
      <c r="CG21" s="24">
        <v>0.15</v>
      </c>
      <c r="CH21" s="24">
        <v>0.1</v>
      </c>
      <c r="CI21" s="24">
        <v>0.1</v>
      </c>
      <c r="CJ21" s="14">
        <f t="shared" si="41"/>
        <v>36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106"/>
        <v>2101431</v>
      </c>
      <c r="DB21" s="13">
        <f t="shared" si="42"/>
        <v>2101432</v>
      </c>
      <c r="DC21" s="13">
        <f t="shared" si="42"/>
        <v>2101433</v>
      </c>
      <c r="DD21" s="13">
        <f t="shared" si="42"/>
        <v>2101434</v>
      </c>
      <c r="DE21" s="13">
        <f t="shared" si="42"/>
        <v>2101435</v>
      </c>
      <c r="DF21" s="13">
        <f t="shared" si="42"/>
        <v>2101436</v>
      </c>
      <c r="DG21" s="13">
        <f t="shared" si="42"/>
        <v>2101437</v>
      </c>
      <c r="DH21" s="13">
        <f t="shared" si="42"/>
        <v>2101438</v>
      </c>
      <c r="DI21" s="13" t="str">
        <f t="shared" si="43"/>
        <v>15级-新手套守护灵の灵器</v>
      </c>
      <c r="DJ21" s="13" t="str">
        <f t="shared" si="44"/>
        <v>15级-新手套守护灵の头盔</v>
      </c>
      <c r="DK21" s="13" t="str">
        <f t="shared" si="45"/>
        <v>15级-新手套守护灵の铠甲</v>
      </c>
      <c r="DL21" s="13" t="str">
        <f t="shared" si="46"/>
        <v>15级-新手套守护灵の裤子</v>
      </c>
      <c r="DM21" s="13" t="str">
        <f t="shared" si="47"/>
        <v>15级-新手套守护灵の鞋子</v>
      </c>
      <c r="DN21" s="13" t="str">
        <f t="shared" si="48"/>
        <v>15级-新手套守护灵の护手</v>
      </c>
      <c r="DO21" s="13" t="str">
        <f t="shared" si="49"/>
        <v>15级-新手套守护灵の项链</v>
      </c>
      <c r="DP21" s="13" t="str">
        <f t="shared" si="50"/>
        <v>15级-新手套守护灵の戒指</v>
      </c>
      <c r="DQ21" s="30"/>
      <c r="DR21" s="30"/>
      <c r="DS21" s="30"/>
      <c r="DT21" s="13">
        <v>2054</v>
      </c>
      <c r="DU21" s="13" t="s">
        <v>1465</v>
      </c>
      <c r="DV21" s="13">
        <v>16</v>
      </c>
      <c r="DW21" s="13">
        <v>4</v>
      </c>
      <c r="DX21" s="31">
        <v>0.35</v>
      </c>
      <c r="DY21" s="13">
        <f t="shared" si="6"/>
        <v>236</v>
      </c>
      <c r="DZ21" s="13">
        <f t="shared" si="7"/>
        <v>99</v>
      </c>
      <c r="EA21" s="13">
        <f t="shared" si="8"/>
        <v>1913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0"/>
      <c r="EM21" s="30"/>
      <c r="EN21" s="30"/>
      <c r="EO21" s="30"/>
      <c r="EP21" s="30"/>
      <c r="EQ21" s="30"/>
      <c r="ES21" s="30"/>
      <c r="ET21" s="30"/>
      <c r="EU21" s="13">
        <v>16</v>
      </c>
      <c r="EV21" s="14">
        <f t="shared" si="51"/>
        <v>1</v>
      </c>
      <c r="EW21" s="14">
        <f t="shared" si="52"/>
        <v>16</v>
      </c>
      <c r="EX21" s="14">
        <f t="shared" si="53"/>
        <v>2</v>
      </c>
      <c r="EY21" s="14">
        <f t="shared" si="9"/>
        <v>20</v>
      </c>
      <c r="EZ21" s="14">
        <f t="shared" si="10"/>
        <v>1</v>
      </c>
      <c r="FA21" s="14">
        <f t="shared" si="11"/>
        <v>15</v>
      </c>
      <c r="FB21" s="14">
        <f t="shared" si="12"/>
        <v>2</v>
      </c>
      <c r="FC21" s="14">
        <f t="shared" si="13"/>
        <v>8</v>
      </c>
      <c r="FD21" s="14">
        <f t="shared" si="14"/>
        <v>8</v>
      </c>
      <c r="FE21" s="14" t="b">
        <f t="shared" si="54"/>
        <v>0</v>
      </c>
      <c r="FF21" s="14">
        <f t="shared" si="15"/>
        <v>2001208</v>
      </c>
      <c r="FG21" s="13" t="str">
        <f t="shared" si="16"/>
        <v>15级-优秀寄灵人の戒指</v>
      </c>
      <c r="FH21" s="14">
        <f t="shared" si="17"/>
        <v>1</v>
      </c>
      <c r="FI21" s="14">
        <f t="shared" si="18"/>
        <v>2</v>
      </c>
      <c r="FJ21" s="14">
        <f t="shared" si="19"/>
        <v>15</v>
      </c>
      <c r="FK21" s="14">
        <v>1</v>
      </c>
      <c r="FL21" s="14">
        <f t="shared" si="20"/>
        <v>1</v>
      </c>
      <c r="FM21" s="14">
        <f t="shared" si="55"/>
        <v>8</v>
      </c>
      <c r="FN21" s="14" t="str">
        <f t="shared" si="21"/>
        <v/>
      </c>
      <c r="FO21" s="14">
        <f t="shared" si="22"/>
        <v>28</v>
      </c>
      <c r="FP21" s="14">
        <f t="shared" si="56"/>
        <v>15</v>
      </c>
      <c r="FQ21" s="14">
        <f t="shared" si="57"/>
        <v>0</v>
      </c>
      <c r="FR21" s="14">
        <f t="shared" si="58"/>
        <v>115</v>
      </c>
      <c r="FS21" s="14">
        <f t="shared" si="59"/>
        <v>2</v>
      </c>
      <c r="FT21" s="14">
        <f t="shared" si="60"/>
        <v>0</v>
      </c>
      <c r="FU21" s="14">
        <f t="shared" si="61"/>
        <v>18</v>
      </c>
      <c r="FV21" s="14">
        <f t="shared" si="23"/>
        <v>1012</v>
      </c>
      <c r="FW21" s="14">
        <f t="shared" si="24"/>
        <v>0</v>
      </c>
      <c r="FX21" s="14" t="str">
        <f t="shared" si="25"/>
        <v/>
      </c>
      <c r="FY21" s="25" t="str">
        <f t="shared" si="62"/>
        <v>icon_2001108</v>
      </c>
      <c r="FZ21" s="30"/>
      <c r="GA21" s="30"/>
      <c r="GC21" s="14">
        <f t="shared" si="26"/>
        <v>1</v>
      </c>
      <c r="GD21" s="14">
        <f t="shared" si="27"/>
        <v>3</v>
      </c>
      <c r="GE21" s="14">
        <f t="shared" si="63"/>
        <v>28</v>
      </c>
      <c r="GF21" s="14" t="str">
        <f t="shared" si="28"/>
        <v>AtkExt</v>
      </c>
      <c r="GG21" s="14">
        <f t="shared" si="64"/>
        <v>15</v>
      </c>
      <c r="GH21" s="14">
        <f t="shared" si="65"/>
        <v>2</v>
      </c>
      <c r="GI21" s="14" t="str">
        <f t="shared" si="29"/>
        <v>HPExt</v>
      </c>
      <c r="GJ21" s="14">
        <f t="shared" si="66"/>
        <v>115</v>
      </c>
      <c r="GK21" s="14">
        <f t="shared" si="67"/>
        <v>18</v>
      </c>
      <c r="GL21" s="14">
        <f t="shared" si="30"/>
        <v>20120</v>
      </c>
      <c r="GM21" s="14">
        <f t="shared" si="68"/>
        <v>0</v>
      </c>
      <c r="GN21" s="14" t="str">
        <f t="shared" si="69"/>
        <v/>
      </c>
      <c r="GO21" s="25" t="s">
        <v>1471</v>
      </c>
      <c r="GP21" s="14">
        <f t="shared" si="31"/>
        <v>23</v>
      </c>
      <c r="GS21" s="13">
        <f t="shared" ref="GS21:GS33" si="135">GS7+1000</f>
        <v>2021</v>
      </c>
      <c r="GT21" s="13" t="s">
        <v>321</v>
      </c>
      <c r="GU21" s="30"/>
      <c r="GV21" s="30"/>
      <c r="GW21" s="13">
        <v>16</v>
      </c>
      <c r="GX21" s="14">
        <f t="shared" si="70"/>
        <v>5</v>
      </c>
      <c r="GY21" s="14">
        <f t="shared" si="71"/>
        <v>3</v>
      </c>
      <c r="GZ21" s="14">
        <f t="shared" si="72"/>
        <v>5</v>
      </c>
      <c r="HA21" s="14">
        <f t="shared" si="73"/>
        <v>200542</v>
      </c>
      <c r="HB21" s="14" t="str">
        <f t="shared" si="74"/>
        <v>90级寄灵人の防御套 : 属性-3</v>
      </c>
      <c r="HC21" s="14" t="s">
        <v>1396</v>
      </c>
      <c r="HD21" s="14">
        <f t="shared" si="75"/>
        <v>3</v>
      </c>
      <c r="HE21" s="14">
        <f t="shared" si="76"/>
        <v>5</v>
      </c>
      <c r="HF21" s="14" t="str">
        <f t="shared" si="77"/>
        <v>DefRate</v>
      </c>
      <c r="HG21" s="14">
        <f t="shared" si="78"/>
        <v>0.15</v>
      </c>
      <c r="HH21" s="30"/>
      <c r="HI21" s="30"/>
      <c r="HK21" s="13">
        <v>16</v>
      </c>
      <c r="HL21" s="14">
        <f t="shared" si="79"/>
        <v>1</v>
      </c>
      <c r="HM21" s="14">
        <f t="shared" si="80"/>
        <v>1</v>
      </c>
      <c r="HN21" s="14">
        <f t="shared" si="81"/>
        <v>1</v>
      </c>
      <c r="HO21" s="14">
        <f t="shared" si="82"/>
        <v>4</v>
      </c>
      <c r="HP21" s="14" t="str">
        <f t="shared" si="83"/>
        <v>15级寄灵人洗练-Q4-4</v>
      </c>
      <c r="HQ21" s="14">
        <f t="shared" si="84"/>
        <v>1014</v>
      </c>
      <c r="HR21" s="14">
        <f t="shared" si="85"/>
        <v>4</v>
      </c>
      <c r="HS21" s="14">
        <f t="shared" si="86"/>
        <v>500</v>
      </c>
      <c r="HT21" s="14" t="str">
        <f t="shared" si="87"/>
        <v>AtkRate</v>
      </c>
      <c r="HU21" s="14">
        <f t="shared" si="88"/>
        <v>1.4E-2</v>
      </c>
      <c r="HV21" s="14">
        <f t="shared" si="89"/>
        <v>0.04</v>
      </c>
    </row>
    <row r="22" spans="1:230" s="19" customFormat="1" ht="16.5" x14ac:dyDescent="0.2">
      <c r="A22" s="13">
        <v>6</v>
      </c>
      <c r="B22" s="13">
        <v>2</v>
      </c>
      <c r="C22" s="13">
        <v>14</v>
      </c>
      <c r="D22" s="14">
        <f>INDEX(属性投放!$AE$7:$AE$26,装备!C22)</f>
        <v>102</v>
      </c>
      <c r="E22" s="13">
        <v>100</v>
      </c>
      <c r="F22" s="14">
        <f>SUMIFS(属性投放!BY$6:BY$85,属性投放!$AT$6:$AT$85,"="&amp;装备!$B$3,属性投放!$AU$6:$AU$85,"&lt;="&amp;装备!$C22)*INDEX(属性投放!$DX$6:$DX$10,装备!$D$3)*装备!$F$3</f>
        <v>9913</v>
      </c>
      <c r="G22" s="14">
        <f>SUMIFS(属性投放!BZ$6:BZ$85,属性投放!$AT$6:$AT$85,"="&amp;装备!$B$3,属性投放!$AU$6:$AU$85,"&lt;="&amp;装备!$C22)*INDEX(属性投放!$DX$6:$DX$10,装备!$D$3)*装备!$F$3</f>
        <v>4985</v>
      </c>
      <c r="H22" s="14">
        <f>SUMIFS(属性投放!CA$6:CA$85,属性投放!$AT$6:$AT$85,"="&amp;装备!$B$3,属性投放!$AU$6:$AU$85,"&lt;="&amp;装备!$C22)*INDEX(属性投放!$DX$6:$DX$10,装备!$D$3)*装备!$F$3</f>
        <v>86653</v>
      </c>
      <c r="I22" s="26">
        <v>0.15</v>
      </c>
      <c r="J22" s="14">
        <f t="shared" si="123"/>
        <v>1486.95</v>
      </c>
      <c r="K22" s="14">
        <f t="shared" si="123"/>
        <v>747.75</v>
      </c>
      <c r="L22" s="14">
        <f t="shared" si="123"/>
        <v>12997.949999999999</v>
      </c>
      <c r="M22" s="13">
        <f t="shared" si="133"/>
        <v>1485</v>
      </c>
      <c r="N22" s="13">
        <f t="shared" si="133"/>
        <v>750</v>
      </c>
      <c r="O22" s="13">
        <f t="shared" si="133"/>
        <v>13000</v>
      </c>
      <c r="P22" s="13">
        <f t="shared" si="125"/>
        <v>82.627450980392155</v>
      </c>
      <c r="Q22" s="13">
        <f t="shared" si="125"/>
        <v>41.519607843137258</v>
      </c>
      <c r="R22" s="13">
        <f t="shared" si="125"/>
        <v>722.08823529411768</v>
      </c>
      <c r="S22" s="13">
        <f t="shared" si="134"/>
        <v>82.5</v>
      </c>
      <c r="T22" s="13">
        <f t="shared" si="134"/>
        <v>41.5</v>
      </c>
      <c r="U22" s="13">
        <f t="shared" si="134"/>
        <v>722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>
        <v>70</v>
      </c>
      <c r="AJ22" s="13">
        <v>1</v>
      </c>
      <c r="AK22" s="13">
        <v>10</v>
      </c>
      <c r="AL22" s="13" t="s">
        <v>1448</v>
      </c>
      <c r="AM22" s="13" t="s">
        <v>1259</v>
      </c>
      <c r="AN22" s="13">
        <f t="shared" si="10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13" t="s">
        <v>1454</v>
      </c>
      <c r="BU22" s="13">
        <v>210241</v>
      </c>
      <c r="BV22" s="13">
        <v>5</v>
      </c>
      <c r="BW22" s="13">
        <v>0.3</v>
      </c>
      <c r="BX22" s="14">
        <f>SUMIFS(属性投放!BY$6:BY$85,属性投放!$AT$6:$AT$85,"="&amp;装备!$BU$3,属性投放!$AU$6:$AU$85,"&lt;="&amp;装备!$BV22)*INDEX(属性投放!$DX$6:$DX$10,装备!$BW$3)*$BW22</f>
        <v>467.94000000000005</v>
      </c>
      <c r="BY22" s="14">
        <f>SUMIFS(属性投放!BZ$6:BZ$85,属性投放!$AT$6:$AT$85,"="&amp;装备!$BU$3,属性投放!$AU$6:$AU$85,"&lt;="&amp;装备!$BV22)*INDEX(属性投放!$DX$6:$DX$10,装备!$BW$3)*$BW22</f>
        <v>238.59</v>
      </c>
      <c r="BZ22" s="14">
        <f>SUMIFS(属性投放!CA$6:CA$85,属性投放!$AT$6:$AT$85,"="&amp;装备!$BU$3,属性投放!$AU$6:$AU$85,"&lt;="&amp;装备!$BV22)*INDEX(属性投放!$DX$6:$DX$10,装备!$BW$3)*BW22/2</f>
        <v>1529.22</v>
      </c>
      <c r="CA22" s="13">
        <v>50</v>
      </c>
      <c r="CB22" s="13">
        <f t="shared" ref="CB22:CB34" si="136">ROUND(BX22/CA22,0)*CA22</f>
        <v>450</v>
      </c>
      <c r="CC22" s="13">
        <f t="shared" ref="CC22:CC34" si="137">ROUND(BY22/CA22*2,0)*CA22/2</f>
        <v>250</v>
      </c>
      <c r="CD22" s="13">
        <f t="shared" ref="CD22:CD34" si="138">CB22*10</f>
        <v>4500</v>
      </c>
      <c r="CE22" s="24">
        <v>0.15</v>
      </c>
      <c r="CF22" s="24">
        <v>0.15</v>
      </c>
      <c r="CG22" s="24">
        <v>0.15</v>
      </c>
      <c r="CH22" s="24">
        <v>0.1</v>
      </c>
      <c r="CI22" s="24">
        <v>0.1</v>
      </c>
      <c r="CJ22" s="14">
        <f t="shared" si="41"/>
        <v>56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106"/>
        <v>2102411</v>
      </c>
      <c r="DB22" s="13">
        <f t="shared" si="42"/>
        <v>2102412</v>
      </c>
      <c r="DC22" s="13">
        <f t="shared" si="42"/>
        <v>2102413</v>
      </c>
      <c r="DD22" s="13">
        <f t="shared" si="42"/>
        <v>2102415</v>
      </c>
      <c r="DE22" s="13">
        <f t="shared" si="42"/>
        <v>2102417</v>
      </c>
      <c r="DF22" s="13">
        <f t="shared" si="42"/>
        <v>2102418</v>
      </c>
      <c r="DG22" s="13">
        <f t="shared" si="42"/>
        <v>0</v>
      </c>
      <c r="DH22" s="13">
        <f t="shared" si="42"/>
        <v>0</v>
      </c>
      <c r="DI22" s="13" t="str">
        <f t="shared" si="43"/>
        <v>30级-攻击套守护灵の灵器</v>
      </c>
      <c r="DJ22" s="13" t="str">
        <f t="shared" si="44"/>
        <v>30级-攻击套守护灵の头盔</v>
      </c>
      <c r="DK22" s="13" t="str">
        <f t="shared" si="45"/>
        <v>30级-攻击套守护灵の铠甲</v>
      </c>
      <c r="DL22" s="13" t="str">
        <f t="shared" si="46"/>
        <v>30级-攻击套守护灵の鞋子</v>
      </c>
      <c r="DM22" s="13" t="str">
        <f t="shared" si="47"/>
        <v>30级-攻击套守护灵の项链</v>
      </c>
      <c r="DN22" s="13" t="str">
        <f t="shared" si="48"/>
        <v>30级-攻击套守护灵の戒指</v>
      </c>
      <c r="DO22" s="13" t="str">
        <f t="shared" si="49"/>
        <v/>
      </c>
      <c r="DP22" s="13" t="str">
        <f t="shared" si="50"/>
        <v/>
      </c>
      <c r="DQ22" s="30"/>
      <c r="DR22" s="30"/>
      <c r="DS22" s="30"/>
      <c r="DT22" s="13">
        <v>2064</v>
      </c>
      <c r="DU22" s="13" t="s">
        <v>1307</v>
      </c>
      <c r="DV22" s="13">
        <v>19</v>
      </c>
      <c r="DW22" s="13">
        <v>5</v>
      </c>
      <c r="DX22" s="31">
        <v>0.35</v>
      </c>
      <c r="DY22" s="13">
        <f t="shared" si="6"/>
        <v>451</v>
      </c>
      <c r="DZ22" s="13">
        <f t="shared" si="7"/>
        <v>158</v>
      </c>
      <c r="EA22" s="13">
        <f t="shared" si="8"/>
        <v>3222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0"/>
      <c r="EM22" s="30"/>
      <c r="EN22" s="30"/>
      <c r="EO22" s="30"/>
      <c r="EP22" s="30"/>
      <c r="EQ22" s="30"/>
      <c r="ES22" s="30"/>
      <c r="ET22" s="30"/>
      <c r="EU22" s="13">
        <v>17</v>
      </c>
      <c r="EV22" s="14">
        <f t="shared" si="51"/>
        <v>1</v>
      </c>
      <c r="EW22" s="14">
        <f t="shared" si="52"/>
        <v>17</v>
      </c>
      <c r="EX22" s="14">
        <f t="shared" si="53"/>
        <v>3</v>
      </c>
      <c r="EY22" s="14">
        <f t="shared" si="9"/>
        <v>30</v>
      </c>
      <c r="EZ22" s="14">
        <f t="shared" si="10"/>
        <v>1</v>
      </c>
      <c r="FA22" s="14">
        <f t="shared" si="11"/>
        <v>15</v>
      </c>
      <c r="FB22" s="14">
        <f t="shared" si="12"/>
        <v>3</v>
      </c>
      <c r="FC22" s="14">
        <f t="shared" si="13"/>
        <v>1</v>
      </c>
      <c r="FD22" s="14">
        <f t="shared" si="14"/>
        <v>1</v>
      </c>
      <c r="FE22" s="14" t="b">
        <f t="shared" si="54"/>
        <v>0</v>
      </c>
      <c r="FF22" s="14">
        <f t="shared" si="15"/>
        <v>2001301</v>
      </c>
      <c r="FG22" s="13" t="str">
        <f t="shared" si="16"/>
        <v>15级-精良寄灵人の灵器</v>
      </c>
      <c r="FH22" s="14">
        <f t="shared" si="17"/>
        <v>1</v>
      </c>
      <c r="FI22" s="14">
        <f t="shared" si="18"/>
        <v>3</v>
      </c>
      <c r="FJ22" s="14">
        <f t="shared" si="19"/>
        <v>15</v>
      </c>
      <c r="FK22" s="14">
        <v>1</v>
      </c>
      <c r="FL22" s="14">
        <f t="shared" si="20"/>
        <v>1</v>
      </c>
      <c r="FM22" s="14">
        <f t="shared" si="55"/>
        <v>1</v>
      </c>
      <c r="FN22" s="14" t="str">
        <f t="shared" si="21"/>
        <v/>
      </c>
      <c r="FO22" s="14">
        <f t="shared" si="22"/>
        <v>45</v>
      </c>
      <c r="FP22" s="14">
        <f t="shared" si="56"/>
        <v>55</v>
      </c>
      <c r="FQ22" s="14">
        <f t="shared" si="57"/>
        <v>0</v>
      </c>
      <c r="FR22" s="14">
        <f t="shared" si="58"/>
        <v>0</v>
      </c>
      <c r="FS22" s="14">
        <f t="shared" si="59"/>
        <v>9</v>
      </c>
      <c r="FT22" s="14">
        <f t="shared" si="60"/>
        <v>0</v>
      </c>
      <c r="FU22" s="14">
        <f t="shared" si="61"/>
        <v>0</v>
      </c>
      <c r="FV22" s="14">
        <f t="shared" si="23"/>
        <v>1013</v>
      </c>
      <c r="FW22" s="14">
        <f t="shared" si="24"/>
        <v>2</v>
      </c>
      <c r="FX22" s="14">
        <f t="shared" si="25"/>
        <v>1013</v>
      </c>
      <c r="FY22" s="25" t="str">
        <f t="shared" si="62"/>
        <v>icon_2001101</v>
      </c>
      <c r="FZ22" s="30"/>
      <c r="GA22" s="30"/>
      <c r="GC22" s="14">
        <f t="shared" si="26"/>
        <v>1</v>
      </c>
      <c r="GD22" s="14">
        <f t="shared" si="27"/>
        <v>0</v>
      </c>
      <c r="GE22" s="14">
        <f t="shared" si="63"/>
        <v>45</v>
      </c>
      <c r="GF22" s="14" t="str">
        <f t="shared" si="28"/>
        <v>AtkExt</v>
      </c>
      <c r="GG22" s="14">
        <f t="shared" si="64"/>
        <v>55</v>
      </c>
      <c r="GH22" s="14">
        <f t="shared" si="65"/>
        <v>9</v>
      </c>
      <c r="GI22" s="14" t="str">
        <f t="shared" si="29"/>
        <v/>
      </c>
      <c r="GJ22" s="14" t="str">
        <f t="shared" si="66"/>
        <v/>
      </c>
      <c r="GK22" s="14" t="str">
        <f t="shared" si="67"/>
        <v/>
      </c>
      <c r="GL22" s="14">
        <f t="shared" si="30"/>
        <v>20130</v>
      </c>
      <c r="GM22" s="14">
        <f t="shared" si="68"/>
        <v>2</v>
      </c>
      <c r="GN22" s="14">
        <f t="shared" si="69"/>
        <v>1013</v>
      </c>
      <c r="GO22" s="25" t="s">
        <v>1471</v>
      </c>
      <c r="GP22" s="14">
        <f t="shared" si="31"/>
        <v>50</v>
      </c>
      <c r="GS22" s="13">
        <f t="shared" si="135"/>
        <v>2022</v>
      </c>
      <c r="GT22" s="13" t="s">
        <v>322</v>
      </c>
      <c r="GU22" s="30"/>
      <c r="GV22" s="30"/>
      <c r="GW22" s="13">
        <v>17</v>
      </c>
      <c r="GX22" s="14">
        <f t="shared" si="70"/>
        <v>6</v>
      </c>
      <c r="GY22" s="14">
        <f t="shared" si="71"/>
        <v>1</v>
      </c>
      <c r="GZ22" s="14">
        <f t="shared" si="72"/>
        <v>1</v>
      </c>
      <c r="HA22" s="14">
        <f t="shared" si="73"/>
        <v>200543</v>
      </c>
      <c r="HB22" s="14" t="str">
        <f t="shared" si="74"/>
        <v>90级寄灵人の绝世套 : 属性-1</v>
      </c>
      <c r="HC22" s="14" t="s">
        <v>1396</v>
      </c>
      <c r="HD22" s="14">
        <f t="shared" si="75"/>
        <v>1</v>
      </c>
      <c r="HE22" s="14">
        <f t="shared" si="76"/>
        <v>2</v>
      </c>
      <c r="HF22" s="14" t="str">
        <f t="shared" si="77"/>
        <v>AtkExt</v>
      </c>
      <c r="HG22" s="14">
        <f t="shared" si="78"/>
        <v>2200</v>
      </c>
      <c r="HH22" s="30"/>
      <c r="HI22" s="30"/>
      <c r="HK22" s="13">
        <v>17</v>
      </c>
      <c r="HL22" s="14">
        <f t="shared" si="79"/>
        <v>1</v>
      </c>
      <c r="HM22" s="14">
        <f t="shared" si="80"/>
        <v>1</v>
      </c>
      <c r="HN22" s="14">
        <f t="shared" si="81"/>
        <v>1</v>
      </c>
      <c r="HO22" s="14">
        <f t="shared" si="82"/>
        <v>4</v>
      </c>
      <c r="HP22" s="14" t="str">
        <f t="shared" si="83"/>
        <v>15级寄灵人洗练-Q4-5</v>
      </c>
      <c r="HQ22" s="14">
        <f t="shared" si="84"/>
        <v>1014</v>
      </c>
      <c r="HR22" s="14">
        <f t="shared" si="85"/>
        <v>5</v>
      </c>
      <c r="HS22" s="14">
        <f t="shared" si="86"/>
        <v>400</v>
      </c>
      <c r="HT22" s="14" t="str">
        <f t="shared" si="87"/>
        <v>DefRate</v>
      </c>
      <c r="HU22" s="14">
        <f t="shared" si="88"/>
        <v>1.4E-2</v>
      </c>
      <c r="HV22" s="14">
        <f t="shared" si="89"/>
        <v>0.04</v>
      </c>
    </row>
    <row r="23" spans="1:230" s="19" customFormat="1" ht="16.5" x14ac:dyDescent="0.2">
      <c r="A23" s="13">
        <v>7</v>
      </c>
      <c r="B23" s="13">
        <v>2</v>
      </c>
      <c r="C23" s="13">
        <v>15</v>
      </c>
      <c r="D23" s="14">
        <f>INDEX(属性投放!$AE$7:$AE$26,装备!C23)</f>
        <v>110</v>
      </c>
      <c r="E23" s="13">
        <v>110</v>
      </c>
      <c r="F23" s="14">
        <f>SUMIFS(属性投放!BY$6:BY$85,属性投放!$AT$6:$AT$85,"="&amp;装备!$B$3,属性投放!$AU$6:$AU$85,"&lt;="&amp;装备!$C23)*INDEX(属性投放!$DX$6:$DX$10,装备!$D$3)*装备!$F$3</f>
        <v>12368</v>
      </c>
      <c r="G23" s="14">
        <f>SUMIFS(属性投放!BZ$6:BZ$85,属性投放!$AT$6:$AT$85,"="&amp;装备!$B$3,属性投放!$AU$6:$AU$85,"&lt;="&amp;装备!$C23)*INDEX(属性投放!$DX$6:$DX$10,装备!$D$3)*装备!$F$3</f>
        <v>6214</v>
      </c>
      <c r="H23" s="14">
        <f>SUMIFS(属性投放!CA$6:CA$85,属性投放!$AT$6:$AT$85,"="&amp;装备!$B$3,属性投放!$AU$6:$AU$85,"&lt;="&amp;装备!$C23)*INDEX(属性投放!$DX$6:$DX$10,装备!$D$3)*装备!$F$3</f>
        <v>111203</v>
      </c>
      <c r="I23" s="26">
        <v>0.15</v>
      </c>
      <c r="J23" s="14">
        <f t="shared" si="123"/>
        <v>1855.1999999999998</v>
      </c>
      <c r="K23" s="14">
        <f t="shared" si="123"/>
        <v>932.09999999999991</v>
      </c>
      <c r="L23" s="14">
        <f t="shared" si="123"/>
        <v>16680.45</v>
      </c>
      <c r="M23" s="13">
        <f t="shared" si="133"/>
        <v>1855</v>
      </c>
      <c r="N23" s="13">
        <f t="shared" si="133"/>
        <v>930</v>
      </c>
      <c r="O23" s="13">
        <f t="shared" si="133"/>
        <v>16680</v>
      </c>
      <c r="P23" s="13">
        <f t="shared" si="125"/>
        <v>95.572727272727278</v>
      </c>
      <c r="Q23" s="13">
        <f t="shared" si="125"/>
        <v>48.036363636363639</v>
      </c>
      <c r="R23" s="13">
        <f t="shared" si="125"/>
        <v>859.3</v>
      </c>
      <c r="S23" s="13">
        <f t="shared" si="134"/>
        <v>95.5</v>
      </c>
      <c r="T23" s="13">
        <f t="shared" si="134"/>
        <v>48</v>
      </c>
      <c r="U23" s="13">
        <f t="shared" si="134"/>
        <v>859.5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>
        <v>70</v>
      </c>
      <c r="AJ23" s="13">
        <v>2</v>
      </c>
      <c r="AK23" s="13">
        <v>20</v>
      </c>
      <c r="AL23" s="13" t="s">
        <v>1448</v>
      </c>
      <c r="AM23" s="13" t="s">
        <v>1260</v>
      </c>
      <c r="AN23" s="13">
        <f t="shared" si="10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13" t="s">
        <v>1455</v>
      </c>
      <c r="BU23" s="13">
        <v>210342</v>
      </c>
      <c r="BV23" s="13">
        <v>8</v>
      </c>
      <c r="BW23" s="13">
        <v>0.2</v>
      </c>
      <c r="BX23" s="14">
        <f>SUMIFS(属性投放!BY$6:BY$85,属性投放!$AT$6:$AT$85,"="&amp;装备!$BU$3,属性投放!$AU$6:$AU$85,"&lt;="&amp;装备!$BV23)*INDEX(属性投放!$DX$6:$DX$10,装备!$BW$3)*$BW23</f>
        <v>593.56000000000006</v>
      </c>
      <c r="BY23" s="14">
        <f>SUMIFS(属性投放!BZ$6:BZ$85,属性投放!$AT$6:$AT$85,"="&amp;装备!$BU$3,属性投放!$AU$6:$AU$85,"&lt;="&amp;装备!$BV23)*INDEX(属性投放!$DX$6:$DX$10,装备!$BW$3)*$BW23</f>
        <v>301.18</v>
      </c>
      <c r="BZ23" s="14">
        <f>SUMIFS(属性投放!CA$6:CA$85,属性投放!$AT$6:$AT$85,"="&amp;装备!$BU$3,属性投放!$AU$6:$AU$85,"&lt;="&amp;装备!$BV23)*INDEX(属性投放!$DX$6:$DX$10,装备!$BW$3)*BW23/2</f>
        <v>2104.0800000000004</v>
      </c>
      <c r="CA23" s="13">
        <v>50</v>
      </c>
      <c r="CB23" s="13">
        <f t="shared" si="136"/>
        <v>600</v>
      </c>
      <c r="CC23" s="13">
        <f t="shared" si="137"/>
        <v>300</v>
      </c>
      <c r="CD23" s="13">
        <f t="shared" si="138"/>
        <v>6000</v>
      </c>
      <c r="CE23" s="24">
        <v>0.15</v>
      </c>
      <c r="CF23" s="24">
        <v>0.15</v>
      </c>
      <c r="CG23" s="24">
        <v>0.15</v>
      </c>
      <c r="CH23" s="24">
        <v>0.1</v>
      </c>
      <c r="CI23" s="24">
        <v>0.1</v>
      </c>
      <c r="CJ23" s="14">
        <f t="shared" si="41"/>
        <v>72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106"/>
        <v>2103421</v>
      </c>
      <c r="DB23" s="13">
        <f t="shared" si="106"/>
        <v>2103422</v>
      </c>
      <c r="DC23" s="13">
        <f t="shared" si="106"/>
        <v>2103423</v>
      </c>
      <c r="DD23" s="13">
        <f t="shared" si="106"/>
        <v>2103424</v>
      </c>
      <c r="DE23" s="13">
        <f t="shared" si="106"/>
        <v>2103425</v>
      </c>
      <c r="DF23" s="13">
        <f t="shared" si="106"/>
        <v>2103426</v>
      </c>
      <c r="DG23" s="13">
        <f t="shared" si="106"/>
        <v>0</v>
      </c>
      <c r="DH23" s="13">
        <f t="shared" si="106"/>
        <v>0</v>
      </c>
      <c r="DI23" s="13" t="str">
        <f t="shared" si="43"/>
        <v>50级-防御套守护灵の灵器</v>
      </c>
      <c r="DJ23" s="13" t="str">
        <f t="shared" si="44"/>
        <v>50级-防御套守护灵の头盔</v>
      </c>
      <c r="DK23" s="13" t="str">
        <f t="shared" si="45"/>
        <v>50级-防御套守护灵の铠甲</v>
      </c>
      <c r="DL23" s="13" t="str">
        <f t="shared" si="46"/>
        <v>50级-防御套守护灵の裤子</v>
      </c>
      <c r="DM23" s="13" t="str">
        <f t="shared" si="47"/>
        <v>50级-防御套守护灵の鞋子</v>
      </c>
      <c r="DN23" s="13" t="str">
        <f t="shared" si="48"/>
        <v>50级-防御套守护灵の护手</v>
      </c>
      <c r="DO23" s="13" t="str">
        <f t="shared" si="49"/>
        <v/>
      </c>
      <c r="DP23" s="13" t="str">
        <f t="shared" si="50"/>
        <v/>
      </c>
      <c r="DQ23" s="30"/>
      <c r="DR23" s="30"/>
      <c r="DS23" s="30"/>
      <c r="DT23" s="13">
        <v>2074</v>
      </c>
      <c r="DU23" s="13" t="s">
        <v>1308</v>
      </c>
      <c r="DV23" s="13">
        <v>19</v>
      </c>
      <c r="DW23" s="13">
        <v>5</v>
      </c>
      <c r="DX23" s="31">
        <v>0.35</v>
      </c>
      <c r="DY23" s="13">
        <f t="shared" si="6"/>
        <v>522</v>
      </c>
      <c r="DZ23" s="13">
        <f t="shared" si="7"/>
        <v>183</v>
      </c>
      <c r="EA23" s="13">
        <f t="shared" si="8"/>
        <v>4136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0"/>
      <c r="EM23" s="30"/>
      <c r="EN23" s="30"/>
      <c r="EO23" s="30"/>
      <c r="EP23" s="30"/>
      <c r="EQ23" s="30"/>
      <c r="ES23" s="30"/>
      <c r="ET23" s="30"/>
      <c r="EU23" s="13">
        <v>18</v>
      </c>
      <c r="EV23" s="14">
        <f t="shared" si="51"/>
        <v>1</v>
      </c>
      <c r="EW23" s="14">
        <f t="shared" si="52"/>
        <v>18</v>
      </c>
      <c r="EX23" s="14">
        <f t="shared" si="53"/>
        <v>3</v>
      </c>
      <c r="EY23" s="14">
        <f t="shared" si="9"/>
        <v>30</v>
      </c>
      <c r="EZ23" s="14">
        <f t="shared" si="10"/>
        <v>1</v>
      </c>
      <c r="FA23" s="14">
        <f t="shared" si="11"/>
        <v>15</v>
      </c>
      <c r="FB23" s="14">
        <f t="shared" si="12"/>
        <v>3</v>
      </c>
      <c r="FC23" s="14">
        <f t="shared" si="13"/>
        <v>2</v>
      </c>
      <c r="FD23" s="14">
        <f t="shared" si="14"/>
        <v>2</v>
      </c>
      <c r="FE23" s="14" t="b">
        <f t="shared" si="54"/>
        <v>0</v>
      </c>
      <c r="FF23" s="14">
        <f t="shared" si="15"/>
        <v>2001302</v>
      </c>
      <c r="FG23" s="13" t="str">
        <f t="shared" si="16"/>
        <v>15级-精良寄灵人の头盔</v>
      </c>
      <c r="FH23" s="14">
        <f t="shared" si="17"/>
        <v>1</v>
      </c>
      <c r="FI23" s="14">
        <f t="shared" si="18"/>
        <v>3</v>
      </c>
      <c r="FJ23" s="14">
        <f t="shared" si="19"/>
        <v>15</v>
      </c>
      <c r="FK23" s="14">
        <v>1</v>
      </c>
      <c r="FL23" s="14">
        <f t="shared" si="20"/>
        <v>1</v>
      </c>
      <c r="FM23" s="14">
        <f t="shared" si="55"/>
        <v>2</v>
      </c>
      <c r="FN23" s="14" t="str">
        <f t="shared" si="21"/>
        <v/>
      </c>
      <c r="FO23" s="14">
        <f t="shared" si="22"/>
        <v>20</v>
      </c>
      <c r="FP23" s="14">
        <f t="shared" si="56"/>
        <v>0</v>
      </c>
      <c r="FQ23" s="14">
        <f t="shared" si="57"/>
        <v>15</v>
      </c>
      <c r="FR23" s="14">
        <f t="shared" si="58"/>
        <v>0</v>
      </c>
      <c r="FS23" s="14">
        <f t="shared" si="59"/>
        <v>0</v>
      </c>
      <c r="FT23" s="14">
        <f t="shared" si="60"/>
        <v>2</v>
      </c>
      <c r="FU23" s="14">
        <f t="shared" si="61"/>
        <v>0</v>
      </c>
      <c r="FV23" s="14">
        <f t="shared" si="23"/>
        <v>1013</v>
      </c>
      <c r="FW23" s="14">
        <f t="shared" si="24"/>
        <v>2</v>
      </c>
      <c r="FX23" s="14">
        <f t="shared" si="25"/>
        <v>1013</v>
      </c>
      <c r="FY23" s="25" t="str">
        <f t="shared" si="62"/>
        <v>icon_2001102</v>
      </c>
      <c r="FZ23" s="30"/>
      <c r="GA23" s="30"/>
      <c r="GC23" s="14">
        <f t="shared" si="26"/>
        <v>2</v>
      </c>
      <c r="GD23" s="14">
        <f t="shared" si="27"/>
        <v>0</v>
      </c>
      <c r="GE23" s="14">
        <f t="shared" si="63"/>
        <v>20</v>
      </c>
      <c r="GF23" s="14" t="str">
        <f t="shared" si="28"/>
        <v>DefExt</v>
      </c>
      <c r="GG23" s="14">
        <f t="shared" si="64"/>
        <v>15</v>
      </c>
      <c r="GH23" s="14">
        <f t="shared" si="65"/>
        <v>2</v>
      </c>
      <c r="GI23" s="14" t="str">
        <f t="shared" si="29"/>
        <v/>
      </c>
      <c r="GJ23" s="14" t="str">
        <f t="shared" si="66"/>
        <v/>
      </c>
      <c r="GK23" s="14" t="str">
        <f t="shared" si="67"/>
        <v/>
      </c>
      <c r="GL23" s="14">
        <f t="shared" si="30"/>
        <v>20130</v>
      </c>
      <c r="GM23" s="14">
        <f t="shared" si="68"/>
        <v>2</v>
      </c>
      <c r="GN23" s="14">
        <f t="shared" si="69"/>
        <v>1013</v>
      </c>
      <c r="GO23" s="25" t="s">
        <v>1471</v>
      </c>
      <c r="GP23" s="14">
        <f t="shared" si="31"/>
        <v>25</v>
      </c>
      <c r="GS23" s="13">
        <f t="shared" si="135"/>
        <v>2031</v>
      </c>
      <c r="GT23" s="13" t="s">
        <v>976</v>
      </c>
      <c r="GU23" s="30"/>
      <c r="GV23" s="30"/>
      <c r="GW23" s="13">
        <v>18</v>
      </c>
      <c r="GX23" s="14">
        <f t="shared" si="70"/>
        <v>6</v>
      </c>
      <c r="GY23" s="14">
        <f t="shared" si="71"/>
        <v>2</v>
      </c>
      <c r="GZ23" s="14">
        <f t="shared" si="72"/>
        <v>2</v>
      </c>
      <c r="HA23" s="14">
        <f t="shared" si="73"/>
        <v>200543</v>
      </c>
      <c r="HB23" s="14" t="str">
        <f t="shared" si="74"/>
        <v>90级寄灵人の绝世套 : 属性-2</v>
      </c>
      <c r="HC23" s="14" t="s">
        <v>1396</v>
      </c>
      <c r="HD23" s="14">
        <f t="shared" si="75"/>
        <v>2</v>
      </c>
      <c r="HE23" s="14">
        <f t="shared" si="76"/>
        <v>3</v>
      </c>
      <c r="HF23" s="14" t="str">
        <f t="shared" si="77"/>
        <v>DefExt</v>
      </c>
      <c r="HG23" s="14">
        <f t="shared" si="78"/>
        <v>1150</v>
      </c>
      <c r="HH23" s="30"/>
      <c r="HI23" s="30"/>
      <c r="HK23" s="13">
        <v>18</v>
      </c>
      <c r="HL23" s="14">
        <f t="shared" si="79"/>
        <v>1</v>
      </c>
      <c r="HM23" s="14">
        <f t="shared" si="80"/>
        <v>1</v>
      </c>
      <c r="HN23" s="14">
        <f t="shared" si="81"/>
        <v>1</v>
      </c>
      <c r="HO23" s="14">
        <f t="shared" si="82"/>
        <v>4</v>
      </c>
      <c r="HP23" s="14" t="str">
        <f t="shared" si="83"/>
        <v>15级寄灵人洗练-Q4-6</v>
      </c>
      <c r="HQ23" s="14">
        <f t="shared" si="84"/>
        <v>1014</v>
      </c>
      <c r="HR23" s="14">
        <f t="shared" si="85"/>
        <v>6</v>
      </c>
      <c r="HS23" s="14">
        <f t="shared" si="86"/>
        <v>500</v>
      </c>
      <c r="HT23" s="14" t="str">
        <f t="shared" si="87"/>
        <v>HPRate</v>
      </c>
      <c r="HU23" s="14">
        <f t="shared" si="88"/>
        <v>1.4E-2</v>
      </c>
      <c r="HV23" s="14">
        <f t="shared" si="89"/>
        <v>0.04</v>
      </c>
    </row>
    <row r="24" spans="1:230" s="19" customFormat="1" ht="16.5" x14ac:dyDescent="0.2">
      <c r="A24" s="13">
        <v>8</v>
      </c>
      <c r="B24" s="13">
        <v>2</v>
      </c>
      <c r="C24" s="13">
        <v>17</v>
      </c>
      <c r="D24" s="14">
        <f>INDEX(属性投放!$AE$7:$AE$26,装备!C24)</f>
        <v>125</v>
      </c>
      <c r="E24" s="13">
        <v>120</v>
      </c>
      <c r="F24" s="14">
        <f>SUMIFS(属性投放!BY$6:BY$85,属性投放!$AT$6:$AT$85,"="&amp;装备!$B$3,属性投放!$AU$6:$AU$85,"&lt;="&amp;装备!$C24)*INDEX(属性投放!$DX$6:$DX$10,装备!$D$3)*装备!$F$3</f>
        <v>18428</v>
      </c>
      <c r="G24" s="14">
        <f>SUMIFS(属性投放!BZ$6:BZ$85,属性投放!$AT$6:$AT$85,"="&amp;装备!$B$3,属性投放!$AU$6:$AU$85,"&lt;="&amp;装备!$C24)*INDEX(属性投放!$DX$6:$DX$10,装备!$D$3)*装备!$F$3</f>
        <v>9244</v>
      </c>
      <c r="H24" s="14">
        <f>SUMIFS(属性投放!CA$6:CA$85,属性投放!$AT$6:$AT$85,"="&amp;装备!$B$3,属性投放!$AU$6:$AU$85,"&lt;="&amp;装备!$C24)*INDEX(属性投放!$DX$6:$DX$10,装备!$D$3)*装备!$F$3</f>
        <v>171803</v>
      </c>
      <c r="I24" s="26">
        <v>0.14000000000000001</v>
      </c>
      <c r="J24" s="14">
        <f t="shared" ref="J24:J27" si="139">F24*$I24</f>
        <v>2579.92</v>
      </c>
      <c r="K24" s="14">
        <f t="shared" ref="K24:K27" si="140">G24*$I24</f>
        <v>1294.1600000000001</v>
      </c>
      <c r="L24" s="14">
        <f t="shared" ref="L24:L27" si="141">H24*$I24</f>
        <v>24052.420000000002</v>
      </c>
      <c r="M24" s="13">
        <f t="shared" ref="M24:M27" si="142">ROUND(J24/5,0)*5</f>
        <v>2580</v>
      </c>
      <c r="N24" s="13">
        <f t="shared" ref="N24:N27" si="143">ROUND(K24/5,0)*5</f>
        <v>1295</v>
      </c>
      <c r="O24" s="13">
        <f t="shared" ref="O24:O26" si="144">ROUND(L24/5,0)*5</f>
        <v>24050</v>
      </c>
      <c r="P24" s="13">
        <f t="shared" ref="P24:P27" si="145">(F24-M24)/$D24</f>
        <v>126.78400000000001</v>
      </c>
      <c r="Q24" s="13">
        <f t="shared" ref="Q24:Q27" si="146">(G24-N24)/$D24</f>
        <v>63.591999999999999</v>
      </c>
      <c r="R24" s="13">
        <f t="shared" ref="R24:R27" si="147">(H24-O24)/$D24</f>
        <v>1182.0239999999999</v>
      </c>
      <c r="S24" s="13">
        <f t="shared" ref="S24:S27" si="148">ROUND(P24*10/5,0)*5/10</f>
        <v>127</v>
      </c>
      <c r="T24" s="13">
        <f t="shared" ref="T24:T27" si="149">ROUND(Q24*10/5,0)*5/10</f>
        <v>63.5</v>
      </c>
      <c r="U24" s="13">
        <f t="shared" ref="U24:U27" si="150">ROUND(R24*10/5,0)*5/10</f>
        <v>1182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>
        <v>70</v>
      </c>
      <c r="AJ24" s="13">
        <v>3</v>
      </c>
      <c r="AK24" s="13">
        <v>30</v>
      </c>
      <c r="AL24" s="13" t="s">
        <v>1448</v>
      </c>
      <c r="AM24" s="13" t="s">
        <v>1261</v>
      </c>
      <c r="AN24" s="13">
        <f t="shared" si="10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 t="s">
        <v>1456</v>
      </c>
      <c r="BU24" s="13">
        <v>210441</v>
      </c>
      <c r="BV24" s="13">
        <v>11</v>
      </c>
      <c r="BW24" s="13">
        <v>0.2</v>
      </c>
      <c r="BX24" s="14">
        <f>SUMIFS(属性投放!BY$6:BY$85,属性投放!$AT$6:$AT$85,"="&amp;装备!$BU$3,属性投放!$AU$6:$AU$85,"&lt;="&amp;装备!$BV24)*INDEX(属性投放!$DX$6:$DX$10,装备!$BW$3)*$BW24</f>
        <v>1164.46</v>
      </c>
      <c r="BY24" s="14">
        <f>SUMIFS(属性投放!BZ$6:BZ$85,属性投放!$AT$6:$AT$85,"="&amp;装备!$BU$3,属性投放!$AU$6:$AU$85,"&lt;="&amp;装备!$BV24)*INDEX(属性投放!$DX$6:$DX$10,装备!$BW$3)*$BW24</f>
        <v>587.84</v>
      </c>
      <c r="BZ24" s="14">
        <f>SUMIFS(属性投放!CA$6:CA$85,属性投放!$AT$6:$AT$85,"="&amp;装备!$BU$3,属性投放!$AU$6:$AU$85,"&lt;="&amp;装备!$BV24)*INDEX(属性投放!$DX$6:$DX$10,装备!$BW$3)*BW24/2</f>
        <v>4591.18</v>
      </c>
      <c r="CA24" s="13">
        <v>50</v>
      </c>
      <c r="CB24" s="13">
        <f t="shared" si="136"/>
        <v>1150</v>
      </c>
      <c r="CC24" s="13">
        <f t="shared" si="137"/>
        <v>600</v>
      </c>
      <c r="CD24" s="13">
        <f t="shared" si="138"/>
        <v>11500</v>
      </c>
      <c r="CE24" s="24">
        <v>0.15</v>
      </c>
      <c r="CF24" s="24">
        <v>0.15</v>
      </c>
      <c r="CG24" s="24">
        <v>0.15</v>
      </c>
      <c r="CH24" s="24">
        <v>0.1</v>
      </c>
      <c r="CI24" s="24">
        <v>0.1</v>
      </c>
      <c r="CJ24" s="14">
        <f t="shared" si="41"/>
        <v>140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106"/>
        <v>2104411</v>
      </c>
      <c r="DB24" s="13">
        <f t="shared" si="106"/>
        <v>2104412</v>
      </c>
      <c r="DC24" s="13">
        <f t="shared" si="106"/>
        <v>2104413</v>
      </c>
      <c r="DD24" s="13">
        <f t="shared" si="106"/>
        <v>2104415</v>
      </c>
      <c r="DE24" s="13">
        <f t="shared" si="106"/>
        <v>2104417</v>
      </c>
      <c r="DF24" s="13">
        <f t="shared" si="106"/>
        <v>2104418</v>
      </c>
      <c r="DG24" s="13">
        <f t="shared" si="106"/>
        <v>0</v>
      </c>
      <c r="DH24" s="13">
        <f t="shared" si="106"/>
        <v>0</v>
      </c>
      <c r="DI24" s="13" t="str">
        <f t="shared" si="43"/>
        <v>70级-史诗守护灵の戒指</v>
      </c>
      <c r="DJ24" s="13" t="str">
        <f t="shared" si="44"/>
        <v>70级-史诗守护灵の戒指</v>
      </c>
      <c r="DK24" s="13" t="str">
        <f t="shared" si="45"/>
        <v>70级-史诗守护灵の戒指</v>
      </c>
      <c r="DL24" s="13" t="str">
        <f t="shared" si="46"/>
        <v>70级-史诗守护灵の戒指</v>
      </c>
      <c r="DM24" s="13" t="str">
        <f t="shared" si="47"/>
        <v>70级-史诗守护灵の戒指</v>
      </c>
      <c r="DN24" s="13" t="str">
        <f t="shared" si="48"/>
        <v>70级-史诗守护灵の戒指</v>
      </c>
      <c r="DO24" s="13" t="str">
        <f t="shared" si="49"/>
        <v/>
      </c>
      <c r="DP24" s="13" t="str">
        <f t="shared" si="50"/>
        <v/>
      </c>
      <c r="DQ24" s="30"/>
      <c r="DR24" s="30"/>
      <c r="DS24" s="30"/>
      <c r="DT24" s="13">
        <v>2084</v>
      </c>
      <c r="DU24" s="13" t="s">
        <v>1309</v>
      </c>
      <c r="DV24" s="13">
        <v>19</v>
      </c>
      <c r="DW24" s="13">
        <v>5</v>
      </c>
      <c r="DX24" s="31">
        <v>0.35</v>
      </c>
      <c r="DY24" s="13">
        <f t="shared" si="6"/>
        <v>695</v>
      </c>
      <c r="DZ24" s="13">
        <f t="shared" si="7"/>
        <v>242</v>
      </c>
      <c r="EA24" s="13">
        <f t="shared" si="8"/>
        <v>6464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0"/>
      <c r="EM24" s="30"/>
      <c r="EN24" s="30"/>
      <c r="EO24" s="30"/>
      <c r="EP24" s="30"/>
      <c r="EQ24" s="30"/>
      <c r="ES24" s="30"/>
      <c r="ET24" s="30"/>
      <c r="EU24" s="13">
        <v>19</v>
      </c>
      <c r="EV24" s="14">
        <f t="shared" si="51"/>
        <v>1</v>
      </c>
      <c r="EW24" s="14">
        <f t="shared" si="52"/>
        <v>19</v>
      </c>
      <c r="EX24" s="14">
        <f t="shared" si="53"/>
        <v>3</v>
      </c>
      <c r="EY24" s="14">
        <f t="shared" si="9"/>
        <v>30</v>
      </c>
      <c r="EZ24" s="14">
        <f t="shared" si="10"/>
        <v>1</v>
      </c>
      <c r="FA24" s="14">
        <f t="shared" si="11"/>
        <v>15</v>
      </c>
      <c r="FB24" s="14">
        <f t="shared" si="12"/>
        <v>3</v>
      </c>
      <c r="FC24" s="14">
        <f t="shared" si="13"/>
        <v>3</v>
      </c>
      <c r="FD24" s="14">
        <f t="shared" si="14"/>
        <v>3</v>
      </c>
      <c r="FE24" s="14" t="b">
        <f t="shared" si="54"/>
        <v>0</v>
      </c>
      <c r="FF24" s="14">
        <f t="shared" si="15"/>
        <v>2001303</v>
      </c>
      <c r="FG24" s="13" t="str">
        <f t="shared" si="16"/>
        <v>15级-精良寄灵人の铠甲</v>
      </c>
      <c r="FH24" s="14">
        <f t="shared" si="17"/>
        <v>1</v>
      </c>
      <c r="FI24" s="14">
        <f t="shared" si="18"/>
        <v>3</v>
      </c>
      <c r="FJ24" s="14">
        <f t="shared" si="19"/>
        <v>15</v>
      </c>
      <c r="FK24" s="14">
        <v>1</v>
      </c>
      <c r="FL24" s="14">
        <f t="shared" si="20"/>
        <v>1</v>
      </c>
      <c r="FM24" s="14">
        <f t="shared" si="55"/>
        <v>3</v>
      </c>
      <c r="FN24" s="14" t="str">
        <f t="shared" si="21"/>
        <v/>
      </c>
      <c r="FO24" s="14">
        <f t="shared" si="22"/>
        <v>23</v>
      </c>
      <c r="FP24" s="14">
        <f t="shared" si="56"/>
        <v>0</v>
      </c>
      <c r="FQ24" s="14">
        <f t="shared" si="57"/>
        <v>5</v>
      </c>
      <c r="FR24" s="14">
        <f t="shared" si="58"/>
        <v>80</v>
      </c>
      <c r="FS24" s="14">
        <f t="shared" si="59"/>
        <v>0</v>
      </c>
      <c r="FT24" s="14">
        <f t="shared" si="60"/>
        <v>1</v>
      </c>
      <c r="FU24" s="14">
        <f t="shared" si="61"/>
        <v>13</v>
      </c>
      <c r="FV24" s="14">
        <f t="shared" si="23"/>
        <v>1013</v>
      </c>
      <c r="FW24" s="14">
        <f t="shared" si="24"/>
        <v>2</v>
      </c>
      <c r="FX24" s="14">
        <f t="shared" si="25"/>
        <v>1013</v>
      </c>
      <c r="FY24" s="25" t="str">
        <f t="shared" si="62"/>
        <v>icon_2001103</v>
      </c>
      <c r="FZ24" s="30"/>
      <c r="GA24" s="30"/>
      <c r="GC24" s="14">
        <f t="shared" si="26"/>
        <v>2</v>
      </c>
      <c r="GD24" s="14">
        <f t="shared" si="27"/>
        <v>3</v>
      </c>
      <c r="GE24" s="14">
        <f t="shared" si="63"/>
        <v>23</v>
      </c>
      <c r="GF24" s="14" t="str">
        <f t="shared" si="28"/>
        <v>DefExt</v>
      </c>
      <c r="GG24" s="14">
        <f t="shared" si="64"/>
        <v>5</v>
      </c>
      <c r="GH24" s="14">
        <f t="shared" si="65"/>
        <v>1</v>
      </c>
      <c r="GI24" s="14" t="str">
        <f t="shared" si="29"/>
        <v>HPExt</v>
      </c>
      <c r="GJ24" s="14">
        <f t="shared" si="66"/>
        <v>80</v>
      </c>
      <c r="GK24" s="14">
        <f t="shared" si="67"/>
        <v>13</v>
      </c>
      <c r="GL24" s="14">
        <f t="shared" si="30"/>
        <v>20130</v>
      </c>
      <c r="GM24" s="14">
        <f t="shared" si="68"/>
        <v>2</v>
      </c>
      <c r="GN24" s="14">
        <f t="shared" si="69"/>
        <v>1013</v>
      </c>
      <c r="GO24" s="25" t="s">
        <v>1471</v>
      </c>
      <c r="GP24" s="14">
        <f t="shared" si="31"/>
        <v>25</v>
      </c>
      <c r="GS24" s="13">
        <f t="shared" si="135"/>
        <v>2032</v>
      </c>
      <c r="GT24" s="13" t="s">
        <v>992</v>
      </c>
      <c r="GU24" s="30"/>
      <c r="GV24" s="30"/>
      <c r="GW24" s="13">
        <v>19</v>
      </c>
      <c r="GX24" s="14">
        <f t="shared" si="70"/>
        <v>6</v>
      </c>
      <c r="GY24" s="14">
        <f t="shared" si="71"/>
        <v>3</v>
      </c>
      <c r="GZ24" s="14">
        <f t="shared" si="72"/>
        <v>7</v>
      </c>
      <c r="HA24" s="14">
        <f t="shared" si="73"/>
        <v>200543</v>
      </c>
      <c r="HB24" s="14" t="str">
        <f t="shared" si="74"/>
        <v>90级寄灵人の绝世套 : 属性-3</v>
      </c>
      <c r="HC24" s="14" t="s">
        <v>1396</v>
      </c>
      <c r="HD24" s="14">
        <f t="shared" si="75"/>
        <v>3</v>
      </c>
      <c r="HE24" s="14">
        <f t="shared" si="76"/>
        <v>4</v>
      </c>
      <c r="HF24" s="14" t="str">
        <f t="shared" si="77"/>
        <v>DmgBonus</v>
      </c>
      <c r="HG24" s="14">
        <f t="shared" si="78"/>
        <v>0.1</v>
      </c>
      <c r="HH24" s="30"/>
      <c r="HI24" s="30"/>
      <c r="HK24" s="13">
        <v>19</v>
      </c>
      <c r="HL24" s="14">
        <f t="shared" si="79"/>
        <v>1</v>
      </c>
      <c r="HM24" s="14">
        <f t="shared" si="80"/>
        <v>1</v>
      </c>
      <c r="HN24" s="14">
        <f t="shared" si="81"/>
        <v>1</v>
      </c>
      <c r="HO24" s="14">
        <f t="shared" si="82"/>
        <v>4</v>
      </c>
      <c r="HP24" s="14" t="str">
        <f t="shared" si="83"/>
        <v>15级寄灵人洗练-Q4-7</v>
      </c>
      <c r="HQ24" s="14">
        <f t="shared" si="84"/>
        <v>1014</v>
      </c>
      <c r="HR24" s="14">
        <f t="shared" si="85"/>
        <v>7</v>
      </c>
      <c r="HS24" s="14">
        <f t="shared" si="86"/>
        <v>500</v>
      </c>
      <c r="HT24" s="14" t="str">
        <f t="shared" si="87"/>
        <v>Crit</v>
      </c>
      <c r="HU24" s="14">
        <f t="shared" si="88"/>
        <v>1.0999999999999999E-2</v>
      </c>
      <c r="HV24" s="14">
        <f t="shared" si="89"/>
        <v>0.03</v>
      </c>
    </row>
    <row r="25" spans="1:230" s="19" customFormat="1" ht="16.5" x14ac:dyDescent="0.2">
      <c r="A25" s="13">
        <v>9</v>
      </c>
      <c r="B25" s="13">
        <v>2</v>
      </c>
      <c r="C25" s="13">
        <v>18</v>
      </c>
      <c r="D25" s="14">
        <f>INDEX(属性投放!$AE$7:$AE$26,装备!C25)</f>
        <v>132</v>
      </c>
      <c r="E25" s="13">
        <v>130</v>
      </c>
      <c r="F25" s="14">
        <f>SUMIFS(属性投放!BY$6:BY$85,属性投放!$AT$6:$AT$85,"="&amp;装备!$B$3,属性投放!$AU$6:$AU$85,"&lt;="&amp;装备!$C25)*INDEX(属性投放!$DX$6:$DX$10,装备!$D$3)*装备!$F$3</f>
        <v>22528</v>
      </c>
      <c r="G25" s="14">
        <f>SUMIFS(属性投放!BZ$6:BZ$85,属性投放!$AT$6:$AT$85,"="&amp;装备!$B$3,属性投放!$AU$6:$AU$85,"&lt;="&amp;装备!$C25)*INDEX(属性投放!$DX$6:$DX$10,装备!$D$3)*装备!$F$3</f>
        <v>11294</v>
      </c>
      <c r="H25" s="14">
        <f>SUMIFS(属性投放!CA$6:CA$85,属性投放!$AT$6:$AT$85,"="&amp;装备!$B$3,属性投放!$AU$6:$AU$85,"&lt;="&amp;装备!$C25)*INDEX(属性投放!$DX$6:$DX$10,装备!$D$3)*装备!$F$3</f>
        <v>212803</v>
      </c>
      <c r="I25" s="26">
        <v>0.13</v>
      </c>
      <c r="J25" s="14">
        <f t="shared" si="139"/>
        <v>2928.6400000000003</v>
      </c>
      <c r="K25" s="14">
        <f t="shared" si="140"/>
        <v>1468.22</v>
      </c>
      <c r="L25" s="14">
        <f t="shared" si="141"/>
        <v>27664.39</v>
      </c>
      <c r="M25" s="13">
        <f t="shared" si="142"/>
        <v>2930</v>
      </c>
      <c r="N25" s="13">
        <f t="shared" si="143"/>
        <v>1470</v>
      </c>
      <c r="O25" s="13">
        <f t="shared" si="144"/>
        <v>27665</v>
      </c>
      <c r="P25" s="13">
        <f t="shared" si="145"/>
        <v>148.46969696969697</v>
      </c>
      <c r="Q25" s="13">
        <f t="shared" si="146"/>
        <v>74.424242424242422</v>
      </c>
      <c r="R25" s="13">
        <f t="shared" si="147"/>
        <v>1402.560606060606</v>
      </c>
      <c r="S25" s="13">
        <f t="shared" si="148"/>
        <v>148.5</v>
      </c>
      <c r="T25" s="13">
        <f t="shared" si="149"/>
        <v>74.5</v>
      </c>
      <c r="U25" s="13">
        <f t="shared" si="150"/>
        <v>1402.5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>
        <v>70</v>
      </c>
      <c r="AJ25" s="13">
        <v>4</v>
      </c>
      <c r="AK25" s="13">
        <v>40</v>
      </c>
      <c r="AL25" s="13" t="s">
        <v>1448</v>
      </c>
      <c r="AM25" s="13" t="s">
        <v>1262</v>
      </c>
      <c r="AN25" s="13">
        <f t="shared" si="10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 t="s">
        <v>1335</v>
      </c>
      <c r="BU25" s="13">
        <v>210542</v>
      </c>
      <c r="BV25" s="13">
        <v>12</v>
      </c>
      <c r="BW25" s="13">
        <v>0.2</v>
      </c>
      <c r="BX25" s="14">
        <f>SUMIFS(属性投放!BY$6:BY$85,属性投放!$AT$6:$AT$85,"="&amp;装备!$BU$3,属性投放!$AU$6:$AU$85,"&lt;="&amp;装备!$BV25)*INDEX(属性投放!$DX$6:$DX$10,装备!$BW$3)*$BW25</f>
        <v>1447.16</v>
      </c>
      <c r="BY25" s="14">
        <f>SUMIFS(属性投放!BZ$6:BZ$85,属性投放!$AT$6:$AT$85,"="&amp;装备!$BU$3,属性投放!$AU$6:$AU$85,"&lt;="&amp;装备!$BV25)*INDEX(属性投放!$DX$6:$DX$10,装备!$BW$3)*$BW25</f>
        <v>729.5200000000001</v>
      </c>
      <c r="BZ25" s="14">
        <f>SUMIFS(属性投放!CA$6:CA$85,属性投放!$AT$6:$AT$85,"="&amp;装备!$BU$3,属性投放!$AU$6:$AU$85,"&lt;="&amp;装备!$BV25)*INDEX(属性投放!$DX$6:$DX$10,装备!$BW$3)*BW25/2</f>
        <v>5863.3300000000008</v>
      </c>
      <c r="CA25" s="13">
        <v>100</v>
      </c>
      <c r="CB25" s="13">
        <f t="shared" si="136"/>
        <v>1400</v>
      </c>
      <c r="CC25" s="13">
        <f t="shared" si="137"/>
        <v>750</v>
      </c>
      <c r="CD25" s="13">
        <f t="shared" si="138"/>
        <v>14000</v>
      </c>
      <c r="CE25" s="24">
        <v>0.15</v>
      </c>
      <c r="CF25" s="24">
        <v>0.15</v>
      </c>
      <c r="CG25" s="24">
        <v>0.15</v>
      </c>
      <c r="CH25" s="24">
        <v>0.1</v>
      </c>
      <c r="CI25" s="24">
        <v>0.1</v>
      </c>
      <c r="CJ25" s="14">
        <f t="shared" si="41"/>
        <v>172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106"/>
        <v>2105421</v>
      </c>
      <c r="DB25" s="13">
        <f t="shared" si="106"/>
        <v>2105422</v>
      </c>
      <c r="DC25" s="13">
        <f t="shared" si="106"/>
        <v>2105423</v>
      </c>
      <c r="DD25" s="13">
        <f t="shared" si="106"/>
        <v>2105424</v>
      </c>
      <c r="DE25" s="13">
        <f t="shared" si="106"/>
        <v>2105425</v>
      </c>
      <c r="DF25" s="13">
        <f t="shared" si="106"/>
        <v>2105426</v>
      </c>
      <c r="DG25" s="13">
        <f t="shared" si="106"/>
        <v>0</v>
      </c>
      <c r="DH25" s="13">
        <f t="shared" si="106"/>
        <v>0</v>
      </c>
      <c r="DI25" s="13" t="str">
        <f t="shared" si="43"/>
        <v>90级-防御套守护灵の灵器</v>
      </c>
      <c r="DJ25" s="13" t="str">
        <f t="shared" si="44"/>
        <v>90级-防御套守护灵の头盔</v>
      </c>
      <c r="DK25" s="13" t="str">
        <f t="shared" si="45"/>
        <v>90级-防御套守护灵の铠甲</v>
      </c>
      <c r="DL25" s="13" t="str">
        <f t="shared" si="46"/>
        <v>90级-防御套守护灵の裤子</v>
      </c>
      <c r="DM25" s="13" t="str">
        <f t="shared" si="47"/>
        <v>90级-防御套守护灵の鞋子</v>
      </c>
      <c r="DN25" s="13" t="str">
        <f t="shared" si="48"/>
        <v>90级-防御套守护灵の护手</v>
      </c>
      <c r="DO25" s="13" t="str">
        <f t="shared" si="49"/>
        <v/>
      </c>
      <c r="DP25" s="13" t="str">
        <f t="shared" si="50"/>
        <v/>
      </c>
      <c r="DQ25" s="30"/>
      <c r="DR25" s="30"/>
      <c r="DS25" s="30"/>
      <c r="DT25" s="13">
        <v>2094</v>
      </c>
      <c r="DU25" s="13" t="s">
        <v>1310</v>
      </c>
      <c r="DV25" s="13">
        <v>21</v>
      </c>
      <c r="DW25" s="13">
        <v>6</v>
      </c>
      <c r="DX25" s="31">
        <v>0.35</v>
      </c>
      <c r="DY25" s="13">
        <f t="shared" si="6"/>
        <v>910</v>
      </c>
      <c r="DZ25" s="13">
        <f t="shared" si="7"/>
        <v>332</v>
      </c>
      <c r="EA25" s="13">
        <f t="shared" si="8"/>
        <v>8099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0"/>
      <c r="EM25" s="30"/>
      <c r="EN25" s="30"/>
      <c r="EO25" s="30"/>
      <c r="EP25" s="30"/>
      <c r="EQ25" s="30"/>
      <c r="ES25" s="30"/>
      <c r="ET25" s="30"/>
      <c r="EU25" s="13">
        <v>20</v>
      </c>
      <c r="EV25" s="14">
        <f t="shared" si="51"/>
        <v>1</v>
      </c>
      <c r="EW25" s="14">
        <f t="shared" si="52"/>
        <v>20</v>
      </c>
      <c r="EX25" s="14">
        <f t="shared" si="53"/>
        <v>3</v>
      </c>
      <c r="EY25" s="14">
        <f t="shared" si="9"/>
        <v>30</v>
      </c>
      <c r="EZ25" s="14">
        <f t="shared" si="10"/>
        <v>1</v>
      </c>
      <c r="FA25" s="14">
        <f t="shared" si="11"/>
        <v>15</v>
      </c>
      <c r="FB25" s="14">
        <f t="shared" si="12"/>
        <v>3</v>
      </c>
      <c r="FC25" s="14">
        <f t="shared" si="13"/>
        <v>4</v>
      </c>
      <c r="FD25" s="14">
        <f t="shared" si="14"/>
        <v>4</v>
      </c>
      <c r="FE25" s="14" t="b">
        <f t="shared" si="54"/>
        <v>0</v>
      </c>
      <c r="FF25" s="14">
        <f t="shared" si="15"/>
        <v>2001304</v>
      </c>
      <c r="FG25" s="13" t="str">
        <f t="shared" si="16"/>
        <v>15级-精良寄灵人の裤子</v>
      </c>
      <c r="FH25" s="14">
        <f t="shared" si="17"/>
        <v>1</v>
      </c>
      <c r="FI25" s="14">
        <f t="shared" si="18"/>
        <v>3</v>
      </c>
      <c r="FJ25" s="14">
        <f t="shared" si="19"/>
        <v>15</v>
      </c>
      <c r="FK25" s="14">
        <v>1</v>
      </c>
      <c r="FL25" s="14">
        <f t="shared" si="20"/>
        <v>1</v>
      </c>
      <c r="FM25" s="14">
        <f t="shared" si="55"/>
        <v>4</v>
      </c>
      <c r="FN25" s="14" t="str">
        <f t="shared" si="21"/>
        <v/>
      </c>
      <c r="FO25" s="14">
        <f t="shared" si="22"/>
        <v>20</v>
      </c>
      <c r="FP25" s="14">
        <f t="shared" si="56"/>
        <v>0</v>
      </c>
      <c r="FQ25" s="14">
        <f t="shared" si="57"/>
        <v>15</v>
      </c>
      <c r="FR25" s="14">
        <f t="shared" si="58"/>
        <v>0</v>
      </c>
      <c r="FS25" s="14">
        <f t="shared" si="59"/>
        <v>0</v>
      </c>
      <c r="FT25" s="14">
        <f t="shared" si="60"/>
        <v>2</v>
      </c>
      <c r="FU25" s="14">
        <f t="shared" si="61"/>
        <v>0</v>
      </c>
      <c r="FV25" s="14">
        <f t="shared" si="23"/>
        <v>1013</v>
      </c>
      <c r="FW25" s="14">
        <f t="shared" si="24"/>
        <v>2</v>
      </c>
      <c r="FX25" s="14">
        <f t="shared" si="25"/>
        <v>1013</v>
      </c>
      <c r="FY25" s="25" t="str">
        <f t="shared" si="62"/>
        <v>icon_2001104</v>
      </c>
      <c r="FZ25" s="30"/>
      <c r="GA25" s="30"/>
      <c r="GC25" s="14">
        <f t="shared" si="26"/>
        <v>2</v>
      </c>
      <c r="GD25" s="14">
        <f t="shared" si="27"/>
        <v>0</v>
      </c>
      <c r="GE25" s="14">
        <f t="shared" si="63"/>
        <v>20</v>
      </c>
      <c r="GF25" s="14" t="str">
        <f t="shared" si="28"/>
        <v>DefExt</v>
      </c>
      <c r="GG25" s="14">
        <f t="shared" si="64"/>
        <v>15</v>
      </c>
      <c r="GH25" s="14">
        <f t="shared" si="65"/>
        <v>2</v>
      </c>
      <c r="GI25" s="14" t="str">
        <f t="shared" si="29"/>
        <v/>
      </c>
      <c r="GJ25" s="14" t="str">
        <f t="shared" si="66"/>
        <v/>
      </c>
      <c r="GK25" s="14" t="str">
        <f t="shared" si="67"/>
        <v/>
      </c>
      <c r="GL25" s="14">
        <f t="shared" si="30"/>
        <v>20130</v>
      </c>
      <c r="GM25" s="14">
        <f t="shared" si="68"/>
        <v>2</v>
      </c>
      <c r="GN25" s="14">
        <f t="shared" si="69"/>
        <v>1013</v>
      </c>
      <c r="GO25" s="25" t="s">
        <v>1471</v>
      </c>
      <c r="GP25" s="14">
        <f t="shared" si="31"/>
        <v>25</v>
      </c>
      <c r="GS25" s="13">
        <f t="shared" si="135"/>
        <v>2041</v>
      </c>
      <c r="GT25" s="13" t="s">
        <v>993</v>
      </c>
      <c r="GU25" s="30"/>
      <c r="GV25" s="30"/>
      <c r="GW25" s="13">
        <v>20</v>
      </c>
      <c r="GX25" s="14">
        <f t="shared" si="70"/>
        <v>6</v>
      </c>
      <c r="GY25" s="14">
        <f t="shared" si="71"/>
        <v>4</v>
      </c>
      <c r="GZ25" s="14">
        <f t="shared" si="72"/>
        <v>8</v>
      </c>
      <c r="HA25" s="14">
        <f t="shared" si="73"/>
        <v>200543</v>
      </c>
      <c r="HB25" s="14" t="str">
        <f t="shared" si="74"/>
        <v>90级寄灵人の绝世套 : 属性-4</v>
      </c>
      <c r="HC25" s="14" t="s">
        <v>1396</v>
      </c>
      <c r="HD25" s="14">
        <f t="shared" si="75"/>
        <v>4</v>
      </c>
      <c r="HE25" s="14">
        <f t="shared" si="76"/>
        <v>5</v>
      </c>
      <c r="HF25" s="14" t="str">
        <f t="shared" si="77"/>
        <v>DmgResist</v>
      </c>
      <c r="HG25" s="14">
        <f t="shared" si="78"/>
        <v>0.1</v>
      </c>
      <c r="HH25" s="30"/>
      <c r="HI25" s="30"/>
      <c r="HK25" s="13">
        <v>20</v>
      </c>
      <c r="HL25" s="14">
        <f t="shared" si="79"/>
        <v>1</v>
      </c>
      <c r="HM25" s="14">
        <f t="shared" si="80"/>
        <v>1</v>
      </c>
      <c r="HN25" s="14">
        <f t="shared" si="81"/>
        <v>1</v>
      </c>
      <c r="HO25" s="14">
        <f t="shared" si="82"/>
        <v>4</v>
      </c>
      <c r="HP25" s="14" t="str">
        <f t="shared" si="83"/>
        <v>15级寄灵人洗练-Q4-8</v>
      </c>
      <c r="HQ25" s="14">
        <f t="shared" si="84"/>
        <v>1014</v>
      </c>
      <c r="HR25" s="14">
        <f t="shared" si="85"/>
        <v>8</v>
      </c>
      <c r="HS25" s="14">
        <f t="shared" si="86"/>
        <v>500</v>
      </c>
      <c r="HT25" s="14" t="str">
        <f t="shared" si="87"/>
        <v>CritRate</v>
      </c>
      <c r="HU25" s="14">
        <f t="shared" si="88"/>
        <v>2.8000000000000001E-2</v>
      </c>
      <c r="HV25" s="14">
        <f t="shared" si="89"/>
        <v>0.08</v>
      </c>
    </row>
    <row r="26" spans="1:230" s="19" customFormat="1" ht="16.5" x14ac:dyDescent="0.2">
      <c r="A26" s="13">
        <v>10</v>
      </c>
      <c r="B26" s="13">
        <v>2</v>
      </c>
      <c r="C26" s="13">
        <v>19</v>
      </c>
      <c r="D26" s="14">
        <f>INDEX(属性投放!$AE$7:$AE$26,装备!C26)</f>
        <v>140</v>
      </c>
      <c r="E26" s="13">
        <v>140</v>
      </c>
      <c r="F26" s="14">
        <f>SUMIFS(属性投放!BY$6:BY$85,属性投放!$AT$6:$AT$85,"="&amp;装备!$B$3,属性投放!$AU$6:$AU$85,"&lt;="&amp;装备!$C26)*INDEX(属性投放!$DX$6:$DX$10,装备!$D$3)*装备!$F$3</f>
        <v>27328</v>
      </c>
      <c r="G26" s="14">
        <f>SUMIFS(属性投放!BZ$6:BZ$85,属性投放!$AT$6:$AT$85,"="&amp;装备!$B$3,属性投放!$AU$6:$AU$85,"&lt;="&amp;装备!$C26)*INDEX(属性投放!$DX$6:$DX$10,装备!$D$3)*装备!$F$3</f>
        <v>13698</v>
      </c>
      <c r="H26" s="14">
        <f>SUMIFS(属性投放!CA$6:CA$85,属性投放!$AT$6:$AT$85,"="&amp;装备!$B$3,属性投放!$AU$6:$AU$85,"&lt;="&amp;装备!$C26)*INDEX(属性投放!$DX$6:$DX$10,装备!$D$3)*装备!$F$3</f>
        <v>260803</v>
      </c>
      <c r="I26" s="26">
        <v>0.12</v>
      </c>
      <c r="J26" s="14">
        <f t="shared" si="139"/>
        <v>3279.3599999999997</v>
      </c>
      <c r="K26" s="14">
        <f t="shared" si="140"/>
        <v>1643.76</v>
      </c>
      <c r="L26" s="14">
        <f t="shared" si="141"/>
        <v>31296.36</v>
      </c>
      <c r="M26" s="13">
        <f t="shared" si="142"/>
        <v>3280</v>
      </c>
      <c r="N26" s="13">
        <f t="shared" si="143"/>
        <v>1645</v>
      </c>
      <c r="O26" s="13">
        <f t="shared" si="144"/>
        <v>31295</v>
      </c>
      <c r="P26" s="13">
        <f t="shared" si="145"/>
        <v>171.77142857142857</v>
      </c>
      <c r="Q26" s="13">
        <f t="shared" si="146"/>
        <v>86.092857142857142</v>
      </c>
      <c r="R26" s="13">
        <f t="shared" si="147"/>
        <v>1639.3428571428572</v>
      </c>
      <c r="S26" s="13">
        <f t="shared" si="148"/>
        <v>172</v>
      </c>
      <c r="T26" s="13">
        <f t="shared" si="149"/>
        <v>86</v>
      </c>
      <c r="U26" s="13">
        <f t="shared" si="150"/>
        <v>1639.5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>
        <v>70</v>
      </c>
      <c r="AJ26" s="13">
        <v>4</v>
      </c>
      <c r="AK26" s="13">
        <v>42</v>
      </c>
      <c r="AL26" s="13" t="s">
        <v>1448</v>
      </c>
      <c r="AM26" s="13" t="s">
        <v>1240</v>
      </c>
      <c r="AN26" s="13">
        <f t="shared" si="10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13" t="s">
        <v>1336</v>
      </c>
      <c r="BU26" s="13">
        <v>210543</v>
      </c>
      <c r="BV26" s="13">
        <v>13</v>
      </c>
      <c r="BW26" s="13">
        <v>0.25</v>
      </c>
      <c r="BX26" s="14">
        <f>SUMIFS(属性投放!BY$6:BY$85,属性投放!$AT$6:$AT$85,"="&amp;装备!$BU$3,属性投放!$AU$6:$AU$85,"&lt;="&amp;装备!$BV26)*INDEX(属性投放!$DX$6:$DX$10,装备!$BW$3)*$BW26</f>
        <v>2247.5750000000003</v>
      </c>
      <c r="BY26" s="14">
        <f>SUMIFS(属性投放!BZ$6:BZ$85,属性投放!$AT$6:$AT$85,"="&amp;装备!$BU$3,属性投放!$AU$6:$AU$85,"&lt;="&amp;装备!$BV26)*INDEX(属性投放!$DX$6:$DX$10,装备!$BW$3)*$BW26</f>
        <v>1131.625</v>
      </c>
      <c r="BZ26" s="14">
        <f>SUMIFS(属性投放!CA$6:CA$85,属性投放!$AT$6:$AT$85,"="&amp;装备!$BU$3,属性投放!$AU$6:$AU$85,"&lt;="&amp;装备!$BV26)*INDEX(属性投放!$DX$6:$DX$10,装备!$BW$3)*BW26/2</f>
        <v>9522.2875000000004</v>
      </c>
      <c r="CA26" s="13">
        <v>100</v>
      </c>
      <c r="CB26" s="13">
        <f t="shared" si="136"/>
        <v>2200</v>
      </c>
      <c r="CC26" s="13">
        <f t="shared" si="137"/>
        <v>1150</v>
      </c>
      <c r="CD26" s="13">
        <f t="shared" si="138"/>
        <v>22000</v>
      </c>
      <c r="CE26" s="24">
        <v>0.15</v>
      </c>
      <c r="CF26" s="24">
        <v>0.15</v>
      </c>
      <c r="CG26" s="24">
        <v>0.15</v>
      </c>
      <c r="CH26" s="24">
        <v>0.1</v>
      </c>
      <c r="CI26" s="24">
        <v>0.1</v>
      </c>
      <c r="CJ26" s="14">
        <f t="shared" si="41"/>
        <v>268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106"/>
        <v>2105431</v>
      </c>
      <c r="DB26" s="13">
        <f t="shared" si="106"/>
        <v>2105432</v>
      </c>
      <c r="DC26" s="13">
        <f t="shared" si="106"/>
        <v>2105433</v>
      </c>
      <c r="DD26" s="13">
        <f t="shared" si="106"/>
        <v>2105434</v>
      </c>
      <c r="DE26" s="13">
        <f t="shared" si="106"/>
        <v>2105436</v>
      </c>
      <c r="DF26" s="13">
        <f t="shared" si="106"/>
        <v>0</v>
      </c>
      <c r="DG26" s="13">
        <f t="shared" si="106"/>
        <v>0</v>
      </c>
      <c r="DH26" s="13">
        <f t="shared" si="106"/>
        <v>0</v>
      </c>
      <c r="DI26" s="13" t="str">
        <f t="shared" si="43"/>
        <v>90级-绝世套守护灵の灵器</v>
      </c>
      <c r="DJ26" s="13" t="str">
        <f t="shared" si="44"/>
        <v>90级-绝世套守护灵の头盔</v>
      </c>
      <c r="DK26" s="13" t="str">
        <f t="shared" si="45"/>
        <v>90级-绝世套守护灵の铠甲</v>
      </c>
      <c r="DL26" s="13" t="str">
        <f t="shared" si="46"/>
        <v>90级-绝世套守护灵の裤子</v>
      </c>
      <c r="DM26" s="13" t="str">
        <f t="shared" si="47"/>
        <v>90级-绝世套守护灵の护手</v>
      </c>
      <c r="DN26" s="13" t="str">
        <f t="shared" si="48"/>
        <v/>
      </c>
      <c r="DO26" s="13" t="str">
        <f t="shared" si="49"/>
        <v/>
      </c>
      <c r="DP26" s="13" t="str">
        <f t="shared" si="50"/>
        <v/>
      </c>
      <c r="DQ26" s="30"/>
      <c r="DR26" s="30"/>
      <c r="DS26" s="30"/>
      <c r="DT26" s="13">
        <v>2104</v>
      </c>
      <c r="DU26" s="13" t="s">
        <v>1311</v>
      </c>
      <c r="DV26" s="13">
        <v>21</v>
      </c>
      <c r="DW26" s="13">
        <v>6</v>
      </c>
      <c r="DX26" s="31">
        <v>0.35</v>
      </c>
      <c r="DY26" s="13">
        <f t="shared" si="6"/>
        <v>1054</v>
      </c>
      <c r="DZ26" s="13">
        <f t="shared" si="7"/>
        <v>384</v>
      </c>
      <c r="EA26" s="13">
        <f t="shared" si="8"/>
        <v>10042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0"/>
      <c r="EM26" s="30"/>
      <c r="EN26" s="30"/>
      <c r="EO26" s="30"/>
      <c r="EP26" s="30"/>
      <c r="EQ26" s="30"/>
      <c r="ES26" s="30"/>
      <c r="ET26" s="30"/>
      <c r="EU26" s="13">
        <v>21</v>
      </c>
      <c r="EV26" s="14">
        <f t="shared" si="51"/>
        <v>1</v>
      </c>
      <c r="EW26" s="14">
        <f t="shared" si="52"/>
        <v>21</v>
      </c>
      <c r="EX26" s="14">
        <f t="shared" si="53"/>
        <v>3</v>
      </c>
      <c r="EY26" s="14">
        <f t="shared" si="9"/>
        <v>30</v>
      </c>
      <c r="EZ26" s="14">
        <f t="shared" si="10"/>
        <v>1</v>
      </c>
      <c r="FA26" s="14">
        <f t="shared" si="11"/>
        <v>15</v>
      </c>
      <c r="FB26" s="14">
        <f t="shared" si="12"/>
        <v>3</v>
      </c>
      <c r="FC26" s="14">
        <f t="shared" si="13"/>
        <v>5</v>
      </c>
      <c r="FD26" s="14">
        <f t="shared" si="14"/>
        <v>5</v>
      </c>
      <c r="FE26" s="14" t="b">
        <f t="shared" si="54"/>
        <v>0</v>
      </c>
      <c r="FF26" s="14">
        <f t="shared" si="15"/>
        <v>2001305</v>
      </c>
      <c r="FG26" s="13" t="str">
        <f t="shared" si="16"/>
        <v>15级-精良寄灵人の鞋子</v>
      </c>
      <c r="FH26" s="14">
        <f t="shared" si="17"/>
        <v>1</v>
      </c>
      <c r="FI26" s="14">
        <f t="shared" si="18"/>
        <v>3</v>
      </c>
      <c r="FJ26" s="14">
        <f t="shared" si="19"/>
        <v>15</v>
      </c>
      <c r="FK26" s="14">
        <v>1</v>
      </c>
      <c r="FL26" s="14">
        <f t="shared" si="20"/>
        <v>1</v>
      </c>
      <c r="FM26" s="14">
        <f t="shared" si="55"/>
        <v>5</v>
      </c>
      <c r="FN26" s="14" t="str">
        <f t="shared" si="21"/>
        <v/>
      </c>
      <c r="FO26" s="14">
        <f t="shared" si="22"/>
        <v>26</v>
      </c>
      <c r="FP26" s="14">
        <f t="shared" si="56"/>
        <v>0</v>
      </c>
      <c r="FQ26" s="14">
        <f t="shared" si="57"/>
        <v>0</v>
      </c>
      <c r="FR26" s="14">
        <f t="shared" si="58"/>
        <v>165</v>
      </c>
      <c r="FS26" s="14">
        <f t="shared" si="59"/>
        <v>0</v>
      </c>
      <c r="FT26" s="14">
        <f t="shared" si="60"/>
        <v>0</v>
      </c>
      <c r="FU26" s="14">
        <f t="shared" si="61"/>
        <v>26</v>
      </c>
      <c r="FV26" s="14">
        <f t="shared" si="23"/>
        <v>1013</v>
      </c>
      <c r="FW26" s="14">
        <f t="shared" si="24"/>
        <v>2</v>
      </c>
      <c r="FX26" s="14">
        <f t="shared" si="25"/>
        <v>1013</v>
      </c>
      <c r="FY26" s="25" t="str">
        <f t="shared" si="62"/>
        <v>icon_2001105</v>
      </c>
      <c r="FZ26" s="30"/>
      <c r="GA26" s="30"/>
      <c r="GC26" s="14">
        <f t="shared" si="26"/>
        <v>3</v>
      </c>
      <c r="GD26" s="14">
        <f t="shared" si="27"/>
        <v>0</v>
      </c>
      <c r="GE26" s="14">
        <f t="shared" si="63"/>
        <v>26</v>
      </c>
      <c r="GF26" s="14" t="str">
        <f t="shared" si="28"/>
        <v>HPExt</v>
      </c>
      <c r="GG26" s="14">
        <f t="shared" si="64"/>
        <v>165</v>
      </c>
      <c r="GH26" s="14">
        <f t="shared" si="65"/>
        <v>26</v>
      </c>
      <c r="GI26" s="14" t="str">
        <f t="shared" si="29"/>
        <v/>
      </c>
      <c r="GJ26" s="14" t="str">
        <f t="shared" si="66"/>
        <v/>
      </c>
      <c r="GK26" s="14" t="str">
        <f t="shared" si="67"/>
        <v/>
      </c>
      <c r="GL26" s="14">
        <f t="shared" si="30"/>
        <v>20130</v>
      </c>
      <c r="GM26" s="14">
        <f t="shared" si="68"/>
        <v>2</v>
      </c>
      <c r="GN26" s="14">
        <f t="shared" si="69"/>
        <v>1013</v>
      </c>
      <c r="GO26" s="25" t="s">
        <v>1471</v>
      </c>
      <c r="GP26" s="14">
        <f t="shared" si="31"/>
        <v>25</v>
      </c>
      <c r="GS26" s="13">
        <f t="shared" si="135"/>
        <v>2042</v>
      </c>
      <c r="GT26" s="13" t="s">
        <v>977</v>
      </c>
      <c r="GU26" s="30"/>
      <c r="GV26" s="30"/>
      <c r="GW26" s="13">
        <v>21</v>
      </c>
      <c r="GX26" s="14">
        <f t="shared" si="70"/>
        <v>7</v>
      </c>
      <c r="GY26" s="14">
        <f t="shared" si="71"/>
        <v>1</v>
      </c>
      <c r="GZ26" s="14">
        <f t="shared" si="72"/>
        <v>1</v>
      </c>
      <c r="HA26" s="14">
        <f t="shared" si="73"/>
        <v>200641</v>
      </c>
      <c r="HB26" s="14" t="str">
        <f t="shared" si="74"/>
        <v>100级寄灵人の攻击套 : 属性-1</v>
      </c>
      <c r="HC26" s="14" t="s">
        <v>1396</v>
      </c>
      <c r="HD26" s="14">
        <f t="shared" si="75"/>
        <v>1</v>
      </c>
      <c r="HE26" s="14">
        <f t="shared" si="76"/>
        <v>2</v>
      </c>
      <c r="HF26" s="14" t="str">
        <f t="shared" si="77"/>
        <v>AtkExt</v>
      </c>
      <c r="HG26" s="14">
        <f t="shared" si="78"/>
        <v>2200</v>
      </c>
      <c r="HH26" s="30"/>
      <c r="HI26" s="30"/>
      <c r="HK26" s="13">
        <v>21</v>
      </c>
      <c r="HL26" s="14">
        <f t="shared" si="79"/>
        <v>1</v>
      </c>
      <c r="HM26" s="14">
        <f t="shared" si="80"/>
        <v>1</v>
      </c>
      <c r="HN26" s="14">
        <f t="shared" si="81"/>
        <v>1</v>
      </c>
      <c r="HO26" s="14">
        <f t="shared" si="82"/>
        <v>4</v>
      </c>
      <c r="HP26" s="14" t="str">
        <f t="shared" si="83"/>
        <v>15级寄灵人洗练-Q4-9</v>
      </c>
      <c r="HQ26" s="14">
        <f t="shared" si="84"/>
        <v>1014</v>
      </c>
      <c r="HR26" s="14">
        <f t="shared" si="85"/>
        <v>9</v>
      </c>
      <c r="HS26" s="14">
        <f t="shared" si="86"/>
        <v>500</v>
      </c>
      <c r="HT26" s="14" t="str">
        <f t="shared" si="87"/>
        <v>DefIgnor</v>
      </c>
      <c r="HU26" s="14">
        <f t="shared" si="88"/>
        <v>1.0999999999999999E-2</v>
      </c>
      <c r="HV26" s="14">
        <f t="shared" si="89"/>
        <v>0.03</v>
      </c>
    </row>
    <row r="27" spans="1:230" s="19" customFormat="1" ht="16.5" x14ac:dyDescent="0.2">
      <c r="A27" s="13">
        <v>11</v>
      </c>
      <c r="B27" s="13">
        <v>2</v>
      </c>
      <c r="C27" s="13">
        <v>20</v>
      </c>
      <c r="D27" s="14">
        <f>INDEX(属性投放!$AE$7:$AE$26,装备!C27)</f>
        <v>150</v>
      </c>
      <c r="E27" s="13">
        <v>150</v>
      </c>
      <c r="F27" s="14">
        <f>SUMIFS(属性投放!BY$6:BY$85,属性投放!$AT$6:$AT$85,"="&amp;装备!$B$3,属性投放!$AU$6:$AU$85,"&lt;="&amp;装备!$C27)*INDEX(属性投放!$DX$6:$DX$10,装备!$D$3)*装备!$F$3</f>
        <v>33578</v>
      </c>
      <c r="G27" s="14">
        <f>SUMIFS(属性投放!BZ$6:BZ$85,属性投放!$AT$6:$AT$85,"="&amp;装备!$B$3,属性投放!$AU$6:$AU$85,"&lt;="&amp;装备!$C27)*INDEX(属性投放!$DX$6:$DX$10,装备!$D$3)*装备!$F$3</f>
        <v>16828</v>
      </c>
      <c r="H27" s="14">
        <f>SUMIFS(属性投放!CA$6:CA$85,属性投放!$AT$6:$AT$85,"="&amp;装备!$B$3,属性投放!$AU$6:$AU$85,"&lt;="&amp;装备!$C27)*INDEX(属性投放!$DX$6:$DX$10,装备!$D$3)*装备!$F$3</f>
        <v>323303</v>
      </c>
      <c r="I27" s="26">
        <v>0.1</v>
      </c>
      <c r="J27" s="14">
        <f t="shared" si="139"/>
        <v>3357.8</v>
      </c>
      <c r="K27" s="14">
        <f t="shared" si="140"/>
        <v>1682.8000000000002</v>
      </c>
      <c r="L27" s="14">
        <f t="shared" si="141"/>
        <v>32330.300000000003</v>
      </c>
      <c r="M27" s="13">
        <f t="shared" si="142"/>
        <v>3360</v>
      </c>
      <c r="N27" s="13">
        <f t="shared" si="143"/>
        <v>1685</v>
      </c>
      <c r="O27" s="50" t="s">
        <v>1472</v>
      </c>
      <c r="P27" s="13">
        <f t="shared" si="145"/>
        <v>201.45333333333335</v>
      </c>
      <c r="Q27" s="13">
        <f t="shared" si="146"/>
        <v>100.95333333333333</v>
      </c>
      <c r="R27" s="13" t="e">
        <f t="shared" si="147"/>
        <v>#VALUE!</v>
      </c>
      <c r="S27" s="13">
        <f t="shared" si="148"/>
        <v>201.5</v>
      </c>
      <c r="T27" s="13">
        <f t="shared" si="149"/>
        <v>101</v>
      </c>
      <c r="U27" s="13" t="e">
        <f t="shared" si="150"/>
        <v>#VALUE!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1241</v>
      </c>
      <c r="AM27" s="13" t="s">
        <v>1259</v>
      </c>
      <c r="AN27" s="13">
        <f t="shared" si="10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13" t="s">
        <v>1337</v>
      </c>
      <c r="BU27" s="13">
        <v>210641</v>
      </c>
      <c r="BV27" s="13">
        <v>14</v>
      </c>
      <c r="BW27" s="13">
        <v>0.2</v>
      </c>
      <c r="BX27" s="14">
        <f>SUMIFS(属性投放!BY$6:BY$85,属性投放!$AT$6:$AT$85,"="&amp;装备!$BU$3,属性投放!$AU$6:$AU$85,"&lt;="&amp;装备!$BV27)*INDEX(属性投放!$DX$6:$DX$10,装备!$BW$3)*$BW27</f>
        <v>2180.86</v>
      </c>
      <c r="BY27" s="14">
        <f>SUMIFS(属性投放!BZ$6:BZ$85,属性投放!$AT$6:$AT$85,"="&amp;装备!$BU$3,属性投放!$AU$6:$AU$85,"&lt;="&amp;装备!$BV27)*INDEX(属性投放!$DX$6:$DX$10,装备!$BW$3)*$BW27</f>
        <v>1096.7</v>
      </c>
      <c r="BZ27" s="14">
        <f>SUMIFS(属性投放!CA$6:CA$85,属性投放!$AT$6:$AT$85,"="&amp;装备!$BU$3,属性投放!$AU$6:$AU$85,"&lt;="&amp;装备!$BV27)*INDEX(属性投放!$DX$6:$DX$10,装备!$BW$3)*BW27/2</f>
        <v>9531.83</v>
      </c>
      <c r="CA27" s="13">
        <v>100</v>
      </c>
      <c r="CB27" s="13">
        <f t="shared" si="136"/>
        <v>2200</v>
      </c>
      <c r="CC27" s="13">
        <f t="shared" si="137"/>
        <v>1100</v>
      </c>
      <c r="CD27" s="13">
        <f t="shared" si="138"/>
        <v>22000</v>
      </c>
      <c r="CE27" s="24">
        <v>0.15</v>
      </c>
      <c r="CF27" s="24">
        <v>0.15</v>
      </c>
      <c r="CG27" s="24">
        <v>0.15</v>
      </c>
      <c r="CH27" s="24">
        <v>0.1</v>
      </c>
      <c r="CI27" s="24">
        <v>0.1</v>
      </c>
      <c r="CJ27" s="14">
        <f t="shared" si="41"/>
        <v>264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106"/>
        <v>2106411</v>
      </c>
      <c r="DB27" s="13">
        <f t="shared" si="106"/>
        <v>2106412</v>
      </c>
      <c r="DC27" s="13">
        <f t="shared" si="106"/>
        <v>2106413</v>
      </c>
      <c r="DD27" s="13">
        <f t="shared" si="106"/>
        <v>2106415</v>
      </c>
      <c r="DE27" s="13">
        <f t="shared" si="106"/>
        <v>2106417</v>
      </c>
      <c r="DF27" s="13">
        <f t="shared" si="106"/>
        <v>2106418</v>
      </c>
      <c r="DG27" s="13">
        <f t="shared" si="106"/>
        <v>0</v>
      </c>
      <c r="DH27" s="13">
        <f t="shared" si="106"/>
        <v>0</v>
      </c>
      <c r="DI27" s="13" t="str">
        <f t="shared" si="43"/>
        <v>100级-攻击套守护灵の灵器</v>
      </c>
      <c r="DJ27" s="13" t="str">
        <f t="shared" si="44"/>
        <v>100级-攻击套守护灵の头盔</v>
      </c>
      <c r="DK27" s="13" t="str">
        <f t="shared" si="45"/>
        <v>100级-攻击套守护灵の铠甲</v>
      </c>
      <c r="DL27" s="13" t="str">
        <f t="shared" si="46"/>
        <v>100级-攻击套守护灵の鞋子</v>
      </c>
      <c r="DM27" s="13" t="str">
        <f t="shared" si="47"/>
        <v>100级-攻击套守护灵の项链</v>
      </c>
      <c r="DN27" s="13" t="str">
        <f t="shared" si="48"/>
        <v>100级-攻击套守护灵の戒指</v>
      </c>
      <c r="DO27" s="13" t="str">
        <f t="shared" si="49"/>
        <v/>
      </c>
      <c r="DP27" s="13" t="str">
        <f t="shared" si="50"/>
        <v/>
      </c>
      <c r="DQ27" s="30"/>
      <c r="DR27" s="30"/>
      <c r="DS27" s="30"/>
      <c r="DT27" s="13">
        <v>2114</v>
      </c>
      <c r="DU27" s="13" t="s">
        <v>1312</v>
      </c>
      <c r="DV27" s="13">
        <v>22</v>
      </c>
      <c r="DW27" s="13">
        <v>7</v>
      </c>
      <c r="DX27" s="31">
        <v>0.35</v>
      </c>
      <c r="DY27" s="13">
        <f t="shared" si="6"/>
        <v>1322</v>
      </c>
      <c r="DZ27" s="13">
        <f t="shared" si="7"/>
        <v>486</v>
      </c>
      <c r="EA27" s="13" t="e">
        <f t="shared" si="8"/>
        <v>#VALUE!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0"/>
      <c r="EM27" s="30"/>
      <c r="EN27" s="30"/>
      <c r="EO27" s="30"/>
      <c r="EP27" s="30"/>
      <c r="EQ27" s="30"/>
      <c r="ES27" s="30"/>
      <c r="ET27" s="30"/>
      <c r="EU27" s="13">
        <v>22</v>
      </c>
      <c r="EV27" s="14">
        <f t="shared" si="51"/>
        <v>1</v>
      </c>
      <c r="EW27" s="14">
        <f t="shared" si="52"/>
        <v>22</v>
      </c>
      <c r="EX27" s="14">
        <f t="shared" si="53"/>
        <v>3</v>
      </c>
      <c r="EY27" s="14">
        <f t="shared" si="9"/>
        <v>30</v>
      </c>
      <c r="EZ27" s="14">
        <f t="shared" si="10"/>
        <v>1</v>
      </c>
      <c r="FA27" s="14">
        <f t="shared" si="11"/>
        <v>15</v>
      </c>
      <c r="FB27" s="14">
        <f t="shared" si="12"/>
        <v>3</v>
      </c>
      <c r="FC27" s="14">
        <f t="shared" si="13"/>
        <v>6</v>
      </c>
      <c r="FD27" s="14">
        <f t="shared" si="14"/>
        <v>6</v>
      </c>
      <c r="FE27" s="14" t="b">
        <f t="shared" si="54"/>
        <v>0</v>
      </c>
      <c r="FF27" s="14">
        <f t="shared" si="15"/>
        <v>2001306</v>
      </c>
      <c r="FG27" s="13" t="str">
        <f t="shared" si="16"/>
        <v>15级-精良寄灵人の护手</v>
      </c>
      <c r="FH27" s="14">
        <f t="shared" si="17"/>
        <v>1</v>
      </c>
      <c r="FI27" s="14">
        <f t="shared" si="18"/>
        <v>3</v>
      </c>
      <c r="FJ27" s="14">
        <f t="shared" si="19"/>
        <v>15</v>
      </c>
      <c r="FK27" s="14">
        <v>1</v>
      </c>
      <c r="FL27" s="14">
        <f t="shared" si="20"/>
        <v>1</v>
      </c>
      <c r="FM27" s="14">
        <f t="shared" si="55"/>
        <v>6</v>
      </c>
      <c r="FN27" s="14" t="str">
        <f t="shared" si="21"/>
        <v/>
      </c>
      <c r="FO27" s="14">
        <f t="shared" si="22"/>
        <v>26</v>
      </c>
      <c r="FP27" s="14">
        <f t="shared" si="56"/>
        <v>0</v>
      </c>
      <c r="FQ27" s="14">
        <f t="shared" si="57"/>
        <v>0</v>
      </c>
      <c r="FR27" s="14">
        <f t="shared" si="58"/>
        <v>165</v>
      </c>
      <c r="FS27" s="14">
        <f t="shared" si="59"/>
        <v>0</v>
      </c>
      <c r="FT27" s="14">
        <f t="shared" si="60"/>
        <v>0</v>
      </c>
      <c r="FU27" s="14">
        <f t="shared" si="61"/>
        <v>26</v>
      </c>
      <c r="FV27" s="14">
        <f t="shared" si="23"/>
        <v>1013</v>
      </c>
      <c r="FW27" s="14">
        <f t="shared" si="24"/>
        <v>2</v>
      </c>
      <c r="FX27" s="14">
        <f t="shared" si="25"/>
        <v>1013</v>
      </c>
      <c r="FY27" s="25" t="str">
        <f t="shared" si="62"/>
        <v>icon_2001106</v>
      </c>
      <c r="FZ27" s="30"/>
      <c r="GA27" s="30"/>
      <c r="GC27" s="14">
        <f t="shared" si="26"/>
        <v>3</v>
      </c>
      <c r="GD27" s="14">
        <f t="shared" si="27"/>
        <v>0</v>
      </c>
      <c r="GE27" s="14">
        <f t="shared" si="63"/>
        <v>26</v>
      </c>
      <c r="GF27" s="14" t="str">
        <f t="shared" si="28"/>
        <v>HPExt</v>
      </c>
      <c r="GG27" s="14">
        <f t="shared" si="64"/>
        <v>165</v>
      </c>
      <c r="GH27" s="14">
        <f t="shared" si="65"/>
        <v>26</v>
      </c>
      <c r="GI27" s="14" t="str">
        <f t="shared" si="29"/>
        <v/>
      </c>
      <c r="GJ27" s="14" t="str">
        <f t="shared" si="66"/>
        <v/>
      </c>
      <c r="GK27" s="14" t="str">
        <f t="shared" si="67"/>
        <v/>
      </c>
      <c r="GL27" s="14">
        <f t="shared" si="30"/>
        <v>20130</v>
      </c>
      <c r="GM27" s="14">
        <f t="shared" si="68"/>
        <v>2</v>
      </c>
      <c r="GN27" s="14">
        <f t="shared" si="69"/>
        <v>1013</v>
      </c>
      <c r="GO27" s="25" t="s">
        <v>1471</v>
      </c>
      <c r="GP27" s="14">
        <f t="shared" si="31"/>
        <v>25</v>
      </c>
      <c r="GS27" s="13">
        <f t="shared" si="135"/>
        <v>2043</v>
      </c>
      <c r="GT27" s="13" t="s">
        <v>978</v>
      </c>
      <c r="GU27" s="30"/>
      <c r="GV27" s="30"/>
      <c r="GW27" s="13">
        <v>22</v>
      </c>
      <c r="GX27" s="14">
        <f t="shared" si="70"/>
        <v>7</v>
      </c>
      <c r="GY27" s="14">
        <f t="shared" si="71"/>
        <v>2</v>
      </c>
      <c r="GZ27" s="14">
        <f t="shared" si="72"/>
        <v>3</v>
      </c>
      <c r="HA27" s="14">
        <f t="shared" si="73"/>
        <v>200641</v>
      </c>
      <c r="HB27" s="14" t="str">
        <f t="shared" si="74"/>
        <v>100级寄灵人の攻击套 : 属性-2</v>
      </c>
      <c r="HC27" s="14" t="s">
        <v>1396</v>
      </c>
      <c r="HD27" s="14">
        <f t="shared" si="75"/>
        <v>2</v>
      </c>
      <c r="HE27" s="14">
        <f t="shared" si="76"/>
        <v>3</v>
      </c>
      <c r="HF27" s="14" t="str">
        <f t="shared" si="77"/>
        <v>HPExt</v>
      </c>
      <c r="HG27" s="14">
        <f t="shared" si="78"/>
        <v>11000</v>
      </c>
      <c r="HH27" s="30"/>
      <c r="HI27" s="30"/>
      <c r="HK27" s="13">
        <v>22</v>
      </c>
      <c r="HL27" s="14">
        <f t="shared" si="79"/>
        <v>1</v>
      </c>
      <c r="HM27" s="14">
        <f t="shared" si="80"/>
        <v>1</v>
      </c>
      <c r="HN27" s="14">
        <f t="shared" si="81"/>
        <v>1</v>
      </c>
      <c r="HO27" s="14">
        <f t="shared" si="82"/>
        <v>4</v>
      </c>
      <c r="HP27" s="14" t="str">
        <f t="shared" si="83"/>
        <v>15级寄灵人洗练-Q4-10</v>
      </c>
      <c r="HQ27" s="14">
        <f t="shared" si="84"/>
        <v>1014</v>
      </c>
      <c r="HR27" s="14">
        <f t="shared" si="85"/>
        <v>10</v>
      </c>
      <c r="HS27" s="14">
        <f t="shared" si="86"/>
        <v>500</v>
      </c>
      <c r="HT27" s="14" t="str">
        <f t="shared" si="87"/>
        <v>Block</v>
      </c>
      <c r="HU27" s="14">
        <f t="shared" si="88"/>
        <v>1.0999999999999999E-2</v>
      </c>
      <c r="HV27" s="14">
        <f t="shared" si="89"/>
        <v>0.03</v>
      </c>
    </row>
    <row r="28" spans="1:230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1241</v>
      </c>
      <c r="AM28" s="13" t="s">
        <v>1260</v>
      </c>
      <c r="AN28" s="13">
        <f t="shared" si="10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13" t="s">
        <v>1338</v>
      </c>
      <c r="BU28" s="13">
        <v>210742</v>
      </c>
      <c r="BV28" s="13">
        <v>15</v>
      </c>
      <c r="BW28" s="13">
        <v>0.2</v>
      </c>
      <c r="BX28" s="14">
        <f>SUMIFS(属性投放!BY$6:BY$85,属性投放!$AT$6:$AT$85,"="&amp;装备!$BU$3,属性投放!$AU$6:$AU$85,"&lt;="&amp;装备!$BV28)*INDEX(属性投放!$DX$6:$DX$10,装备!$BW$3)*$BW28</f>
        <v>2720.9600000000005</v>
      </c>
      <c r="BY28" s="14">
        <f>SUMIFS(属性投放!BZ$6:BZ$85,属性投放!$AT$6:$AT$85,"="&amp;装备!$BU$3,属性投放!$AU$6:$AU$85,"&lt;="&amp;装备!$BV28)*INDEX(属性投放!$DX$6:$DX$10,装备!$BW$3)*$BW28</f>
        <v>1367.0800000000002</v>
      </c>
      <c r="BZ28" s="14">
        <f>SUMIFS(属性投放!CA$6:CA$85,属性投放!$AT$6:$AT$85,"="&amp;装备!$BU$3,属性投放!$AU$6:$AU$85,"&lt;="&amp;装备!$BV28)*INDEX(属性投放!$DX$6:$DX$10,装备!$BW$3)*BW28/2</f>
        <v>12232.330000000002</v>
      </c>
      <c r="CA28" s="13">
        <v>100</v>
      </c>
      <c r="CB28" s="13">
        <f t="shared" si="136"/>
        <v>2700</v>
      </c>
      <c r="CC28" s="13">
        <f t="shared" si="137"/>
        <v>1350</v>
      </c>
      <c r="CD28" s="13">
        <f t="shared" si="138"/>
        <v>27000</v>
      </c>
      <c r="CE28" s="24">
        <v>0.15</v>
      </c>
      <c r="CF28" s="24">
        <v>0.15</v>
      </c>
      <c r="CG28" s="24">
        <v>0.15</v>
      </c>
      <c r="CH28" s="24">
        <v>0.1</v>
      </c>
      <c r="CI28" s="24">
        <v>0.1</v>
      </c>
      <c r="CJ28" s="14">
        <f t="shared" si="41"/>
        <v>324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106"/>
        <v>2107421</v>
      </c>
      <c r="DB28" s="13">
        <f t="shared" si="106"/>
        <v>2107422</v>
      </c>
      <c r="DC28" s="13">
        <f t="shared" si="106"/>
        <v>2107423</v>
      </c>
      <c r="DD28" s="13">
        <f t="shared" si="106"/>
        <v>2107424</v>
      </c>
      <c r="DE28" s="13">
        <f t="shared" si="106"/>
        <v>2107425</v>
      </c>
      <c r="DF28" s="13">
        <f t="shared" si="106"/>
        <v>2107426</v>
      </c>
      <c r="DG28" s="13">
        <f t="shared" si="106"/>
        <v>0</v>
      </c>
      <c r="DH28" s="13">
        <f t="shared" si="106"/>
        <v>0</v>
      </c>
      <c r="DI28" s="13" t="str">
        <f t="shared" si="43"/>
        <v>110级-防御套守护灵の灵器</v>
      </c>
      <c r="DJ28" s="13" t="str">
        <f t="shared" si="44"/>
        <v>110级-防御套守护灵の头盔</v>
      </c>
      <c r="DK28" s="13" t="str">
        <f t="shared" si="45"/>
        <v>110级-防御套守护灵の铠甲</v>
      </c>
      <c r="DL28" s="13" t="str">
        <f t="shared" si="46"/>
        <v>110级-防御套守护灵の裤子</v>
      </c>
      <c r="DM28" s="13" t="str">
        <f t="shared" si="47"/>
        <v>110级-防御套守护灵の鞋子</v>
      </c>
      <c r="DN28" s="13" t="str">
        <f t="shared" si="48"/>
        <v>110级-防御套守护灵の护手</v>
      </c>
      <c r="DO28" s="13" t="str">
        <f t="shared" si="49"/>
        <v/>
      </c>
      <c r="DP28" s="13" t="str">
        <f t="shared" si="50"/>
        <v/>
      </c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S28" s="30"/>
      <c r="ET28" s="30"/>
      <c r="EU28" s="13">
        <v>23</v>
      </c>
      <c r="EV28" s="14">
        <f t="shared" si="51"/>
        <v>1</v>
      </c>
      <c r="EW28" s="14">
        <f t="shared" si="52"/>
        <v>23</v>
      </c>
      <c r="EX28" s="14">
        <f t="shared" si="53"/>
        <v>3</v>
      </c>
      <c r="EY28" s="14">
        <f t="shared" si="9"/>
        <v>30</v>
      </c>
      <c r="EZ28" s="14">
        <f t="shared" si="10"/>
        <v>1</v>
      </c>
      <c r="FA28" s="14">
        <f t="shared" si="11"/>
        <v>15</v>
      </c>
      <c r="FB28" s="14">
        <f t="shared" si="12"/>
        <v>3</v>
      </c>
      <c r="FC28" s="14">
        <f t="shared" si="13"/>
        <v>7</v>
      </c>
      <c r="FD28" s="14">
        <f t="shared" si="14"/>
        <v>7</v>
      </c>
      <c r="FE28" s="14" t="b">
        <f t="shared" si="54"/>
        <v>0</v>
      </c>
      <c r="FF28" s="14">
        <f t="shared" si="15"/>
        <v>2001307</v>
      </c>
      <c r="FG28" s="13" t="str">
        <f t="shared" si="16"/>
        <v>15级-精良寄灵人の项链</v>
      </c>
      <c r="FH28" s="14">
        <f t="shared" si="17"/>
        <v>1</v>
      </c>
      <c r="FI28" s="14">
        <f t="shared" si="18"/>
        <v>3</v>
      </c>
      <c r="FJ28" s="14">
        <f t="shared" si="19"/>
        <v>15</v>
      </c>
      <c r="FK28" s="14">
        <v>1</v>
      </c>
      <c r="FL28" s="14">
        <f t="shared" si="20"/>
        <v>1</v>
      </c>
      <c r="FM28" s="14">
        <f t="shared" si="55"/>
        <v>7</v>
      </c>
      <c r="FN28" s="14" t="str">
        <f t="shared" si="21"/>
        <v/>
      </c>
      <c r="FO28" s="14">
        <f t="shared" si="22"/>
        <v>35</v>
      </c>
      <c r="FP28" s="14">
        <f t="shared" si="56"/>
        <v>20</v>
      </c>
      <c r="FQ28" s="14">
        <f t="shared" si="57"/>
        <v>10</v>
      </c>
      <c r="FR28" s="14">
        <f t="shared" si="58"/>
        <v>0</v>
      </c>
      <c r="FS28" s="14">
        <f t="shared" si="59"/>
        <v>3</v>
      </c>
      <c r="FT28" s="14">
        <f t="shared" si="60"/>
        <v>2</v>
      </c>
      <c r="FU28" s="14">
        <f t="shared" si="61"/>
        <v>0</v>
      </c>
      <c r="FV28" s="14">
        <f t="shared" si="23"/>
        <v>1013</v>
      </c>
      <c r="FW28" s="14">
        <f t="shared" si="24"/>
        <v>2</v>
      </c>
      <c r="FX28" s="14">
        <f t="shared" si="25"/>
        <v>1013</v>
      </c>
      <c r="FY28" s="25" t="str">
        <f t="shared" si="62"/>
        <v>icon_2001107</v>
      </c>
      <c r="FZ28" s="30"/>
      <c r="GA28" s="30"/>
      <c r="GC28" s="14">
        <f t="shared" si="26"/>
        <v>1</v>
      </c>
      <c r="GD28" s="14">
        <f t="shared" si="27"/>
        <v>2</v>
      </c>
      <c r="GE28" s="14">
        <f t="shared" si="63"/>
        <v>35</v>
      </c>
      <c r="GF28" s="14" t="str">
        <f t="shared" si="28"/>
        <v>AtkExt</v>
      </c>
      <c r="GG28" s="14">
        <f t="shared" si="64"/>
        <v>20</v>
      </c>
      <c r="GH28" s="14">
        <f t="shared" si="65"/>
        <v>3</v>
      </c>
      <c r="GI28" s="14" t="str">
        <f t="shared" si="29"/>
        <v>DefExt</v>
      </c>
      <c r="GJ28" s="14">
        <f t="shared" si="66"/>
        <v>10</v>
      </c>
      <c r="GK28" s="14">
        <f t="shared" si="67"/>
        <v>2</v>
      </c>
      <c r="GL28" s="14">
        <f t="shared" si="30"/>
        <v>20130</v>
      </c>
      <c r="GM28" s="14">
        <f t="shared" si="68"/>
        <v>2</v>
      </c>
      <c r="GN28" s="14">
        <f t="shared" si="69"/>
        <v>1013</v>
      </c>
      <c r="GO28" s="25" t="s">
        <v>1471</v>
      </c>
      <c r="GP28" s="14">
        <f t="shared" si="31"/>
        <v>38</v>
      </c>
      <c r="GS28" s="13">
        <f t="shared" si="135"/>
        <v>2051</v>
      </c>
      <c r="GT28" s="13" t="s">
        <v>979</v>
      </c>
      <c r="GU28" s="30"/>
      <c r="GV28" s="30"/>
      <c r="GW28" s="13">
        <v>23</v>
      </c>
      <c r="GX28" s="14">
        <f t="shared" si="70"/>
        <v>7</v>
      </c>
      <c r="GY28" s="14">
        <f t="shared" si="71"/>
        <v>3</v>
      </c>
      <c r="GZ28" s="14">
        <f t="shared" si="72"/>
        <v>4</v>
      </c>
      <c r="HA28" s="14">
        <f t="shared" si="73"/>
        <v>200641</v>
      </c>
      <c r="HB28" s="14" t="str">
        <f t="shared" si="74"/>
        <v>100级寄灵人の攻击套 : 属性-3</v>
      </c>
      <c r="HC28" s="14" t="s">
        <v>1396</v>
      </c>
      <c r="HD28" s="14">
        <f t="shared" si="75"/>
        <v>3</v>
      </c>
      <c r="HE28" s="14">
        <f t="shared" si="76"/>
        <v>5</v>
      </c>
      <c r="HF28" s="14" t="str">
        <f t="shared" si="77"/>
        <v>AtkRate</v>
      </c>
      <c r="HG28" s="14">
        <f t="shared" si="78"/>
        <v>0.15</v>
      </c>
      <c r="HH28" s="30"/>
      <c r="HI28" s="30"/>
      <c r="HK28" s="13">
        <v>23</v>
      </c>
      <c r="HL28" s="14">
        <f t="shared" si="79"/>
        <v>1</v>
      </c>
      <c r="HM28" s="14">
        <f t="shared" si="80"/>
        <v>1</v>
      </c>
      <c r="HN28" s="14">
        <f t="shared" si="81"/>
        <v>1</v>
      </c>
      <c r="HO28" s="14">
        <f t="shared" si="82"/>
        <v>4</v>
      </c>
      <c r="HP28" s="14" t="str">
        <f t="shared" si="83"/>
        <v>15级寄灵人洗练-Q4-11</v>
      </c>
      <c r="HQ28" s="14">
        <f t="shared" si="84"/>
        <v>1014</v>
      </c>
      <c r="HR28" s="14">
        <f t="shared" si="85"/>
        <v>11</v>
      </c>
      <c r="HS28" s="14">
        <f t="shared" si="86"/>
        <v>500</v>
      </c>
      <c r="HT28" s="14" t="str">
        <f t="shared" si="87"/>
        <v>EffectHit</v>
      </c>
      <c r="HU28" s="14">
        <f t="shared" si="88"/>
        <v>1.7999999999999999E-2</v>
      </c>
      <c r="HV28" s="14">
        <f t="shared" si="89"/>
        <v>0.05</v>
      </c>
    </row>
    <row r="29" spans="1:230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1241</v>
      </c>
      <c r="AM29" s="13" t="s">
        <v>1261</v>
      </c>
      <c r="AN29" s="13">
        <f t="shared" si="10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13" t="s">
        <v>1339</v>
      </c>
      <c r="BU29" s="13">
        <v>210841</v>
      </c>
      <c r="BV29" s="13">
        <v>16</v>
      </c>
      <c r="BW29" s="13">
        <v>0.2</v>
      </c>
      <c r="BX29" s="14">
        <f>SUMIFS(属性投放!BY$6:BY$85,属性投放!$AT$6:$AT$85,"="&amp;装备!$BU$3,属性投放!$AU$6:$AU$85,"&lt;="&amp;装备!$BV29)*INDEX(属性投放!$DX$6:$DX$10,装备!$BW$3)*$BW29</f>
        <v>3328.1600000000008</v>
      </c>
      <c r="BY29" s="14">
        <f>SUMIFS(属性投放!BZ$6:BZ$85,属性投放!$AT$6:$AT$85,"="&amp;装备!$BU$3,属性投放!$AU$6:$AU$85,"&lt;="&amp;装备!$BV29)*INDEX(属性投放!$DX$6:$DX$10,装备!$BW$3)*$BW29</f>
        <v>1670.6800000000003</v>
      </c>
      <c r="BZ29" s="14">
        <f>SUMIFS(属性投放!CA$6:CA$85,属性投放!$AT$6:$AT$85,"="&amp;装备!$BU$3,属性投放!$AU$6:$AU$85,"&lt;="&amp;装备!$BV29)*INDEX(属性投放!$DX$6:$DX$10,装备!$BW$3)*BW29/2</f>
        <v>15268.330000000002</v>
      </c>
      <c r="CA29" s="13">
        <v>500</v>
      </c>
      <c r="CB29" s="13">
        <f t="shared" si="136"/>
        <v>3500</v>
      </c>
      <c r="CC29" s="13">
        <f t="shared" si="137"/>
        <v>1750</v>
      </c>
      <c r="CD29" s="13">
        <f t="shared" si="138"/>
        <v>35000</v>
      </c>
      <c r="CE29" s="24">
        <v>0.15</v>
      </c>
      <c r="CF29" s="24">
        <v>0.15</v>
      </c>
      <c r="CG29" s="24">
        <v>0.15</v>
      </c>
      <c r="CH29" s="24">
        <v>0.1</v>
      </c>
      <c r="CI29" s="24">
        <v>0.1</v>
      </c>
      <c r="CJ29" s="14">
        <f t="shared" si="41"/>
        <v>420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106"/>
        <v>2108411</v>
      </c>
      <c r="DB29" s="13">
        <f t="shared" si="106"/>
        <v>2108412</v>
      </c>
      <c r="DC29" s="13">
        <f t="shared" si="106"/>
        <v>2108413</v>
      </c>
      <c r="DD29" s="13">
        <f t="shared" si="106"/>
        <v>2108415</v>
      </c>
      <c r="DE29" s="13">
        <f t="shared" si="106"/>
        <v>2108417</v>
      </c>
      <c r="DF29" s="13">
        <f t="shared" si="106"/>
        <v>2108418</v>
      </c>
      <c r="DG29" s="13">
        <f t="shared" si="106"/>
        <v>0</v>
      </c>
      <c r="DH29" s="13">
        <f t="shared" si="106"/>
        <v>0</v>
      </c>
      <c r="DI29" s="13" t="str">
        <f t="shared" si="43"/>
        <v>120级-攻击套守护灵の灵器</v>
      </c>
      <c r="DJ29" s="13" t="str">
        <f t="shared" si="44"/>
        <v>120级-攻击套守护灵の头盔</v>
      </c>
      <c r="DK29" s="13" t="str">
        <f t="shared" si="45"/>
        <v>120级-攻击套守护灵の铠甲</v>
      </c>
      <c r="DL29" s="13" t="str">
        <f t="shared" si="46"/>
        <v>120级-攻击套守护灵の鞋子</v>
      </c>
      <c r="DM29" s="13" t="str">
        <f t="shared" si="47"/>
        <v>120级-攻击套守护灵の项链</v>
      </c>
      <c r="DN29" s="13" t="str">
        <f t="shared" si="48"/>
        <v>120级-攻击套守护灵の戒指</v>
      </c>
      <c r="DO29" s="13" t="str">
        <f t="shared" si="49"/>
        <v/>
      </c>
      <c r="DP29" s="13" t="str">
        <f t="shared" si="50"/>
        <v/>
      </c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S29" s="30"/>
      <c r="ET29" s="30"/>
      <c r="EU29" s="13">
        <v>24</v>
      </c>
      <c r="EV29" s="14">
        <f t="shared" si="51"/>
        <v>1</v>
      </c>
      <c r="EW29" s="14">
        <f t="shared" si="52"/>
        <v>24</v>
      </c>
      <c r="EX29" s="14">
        <f t="shared" si="53"/>
        <v>3</v>
      </c>
      <c r="EY29" s="14">
        <f t="shared" si="9"/>
        <v>30</v>
      </c>
      <c r="EZ29" s="14">
        <f t="shared" si="10"/>
        <v>1</v>
      </c>
      <c r="FA29" s="14">
        <f t="shared" si="11"/>
        <v>15</v>
      </c>
      <c r="FB29" s="14">
        <f t="shared" si="12"/>
        <v>3</v>
      </c>
      <c r="FC29" s="14">
        <f t="shared" si="13"/>
        <v>8</v>
      </c>
      <c r="FD29" s="14">
        <f t="shared" si="14"/>
        <v>8</v>
      </c>
      <c r="FE29" s="14" t="b">
        <f t="shared" si="54"/>
        <v>0</v>
      </c>
      <c r="FF29" s="14">
        <f t="shared" si="15"/>
        <v>2001308</v>
      </c>
      <c r="FG29" s="13" t="str">
        <f t="shared" si="16"/>
        <v>15级-精良寄灵人の戒指</v>
      </c>
      <c r="FH29" s="14">
        <f t="shared" si="17"/>
        <v>1</v>
      </c>
      <c r="FI29" s="14">
        <f t="shared" si="18"/>
        <v>3</v>
      </c>
      <c r="FJ29" s="14">
        <f t="shared" si="19"/>
        <v>15</v>
      </c>
      <c r="FK29" s="14">
        <v>1</v>
      </c>
      <c r="FL29" s="14">
        <f t="shared" si="20"/>
        <v>1</v>
      </c>
      <c r="FM29" s="14">
        <f t="shared" si="55"/>
        <v>8</v>
      </c>
      <c r="FN29" s="14" t="str">
        <f t="shared" si="21"/>
        <v/>
      </c>
      <c r="FO29" s="14">
        <f t="shared" si="22"/>
        <v>36</v>
      </c>
      <c r="FP29" s="14">
        <f t="shared" si="56"/>
        <v>20</v>
      </c>
      <c r="FQ29" s="14">
        <f t="shared" si="57"/>
        <v>0</v>
      </c>
      <c r="FR29" s="14">
        <f t="shared" si="58"/>
        <v>135</v>
      </c>
      <c r="FS29" s="14">
        <f t="shared" si="59"/>
        <v>3</v>
      </c>
      <c r="FT29" s="14">
        <f t="shared" si="60"/>
        <v>0</v>
      </c>
      <c r="FU29" s="14">
        <f t="shared" si="61"/>
        <v>21</v>
      </c>
      <c r="FV29" s="14">
        <f t="shared" si="23"/>
        <v>1013</v>
      </c>
      <c r="FW29" s="14">
        <f t="shared" si="24"/>
        <v>2</v>
      </c>
      <c r="FX29" s="14">
        <f t="shared" si="25"/>
        <v>1013</v>
      </c>
      <c r="FY29" s="25" t="str">
        <f t="shared" si="62"/>
        <v>icon_2001108</v>
      </c>
      <c r="FZ29" s="30"/>
      <c r="GA29" s="30"/>
      <c r="GC29" s="14">
        <f t="shared" si="26"/>
        <v>1</v>
      </c>
      <c r="GD29" s="14">
        <f t="shared" si="27"/>
        <v>3</v>
      </c>
      <c r="GE29" s="14">
        <f t="shared" si="63"/>
        <v>36</v>
      </c>
      <c r="GF29" s="14" t="str">
        <f t="shared" si="28"/>
        <v>AtkExt</v>
      </c>
      <c r="GG29" s="14">
        <f t="shared" si="64"/>
        <v>20</v>
      </c>
      <c r="GH29" s="14">
        <f t="shared" si="65"/>
        <v>3</v>
      </c>
      <c r="GI29" s="14" t="str">
        <f t="shared" si="29"/>
        <v>HPExt</v>
      </c>
      <c r="GJ29" s="14">
        <f t="shared" si="66"/>
        <v>135</v>
      </c>
      <c r="GK29" s="14">
        <f t="shared" si="67"/>
        <v>21</v>
      </c>
      <c r="GL29" s="14">
        <f t="shared" si="30"/>
        <v>20130</v>
      </c>
      <c r="GM29" s="14">
        <f t="shared" si="68"/>
        <v>2</v>
      </c>
      <c r="GN29" s="14">
        <f t="shared" si="69"/>
        <v>1013</v>
      </c>
      <c r="GO29" s="25" t="s">
        <v>1471</v>
      </c>
      <c r="GP29" s="14">
        <f t="shared" si="31"/>
        <v>38</v>
      </c>
      <c r="GS29" s="13">
        <f t="shared" si="135"/>
        <v>2052</v>
      </c>
      <c r="GT29" s="13" t="s">
        <v>980</v>
      </c>
      <c r="GU29" s="30"/>
      <c r="GV29" s="30"/>
      <c r="GW29" s="13">
        <v>24</v>
      </c>
      <c r="GX29" s="14">
        <f t="shared" si="70"/>
        <v>8</v>
      </c>
      <c r="GY29" s="14">
        <f t="shared" si="71"/>
        <v>1</v>
      </c>
      <c r="GZ29" s="14">
        <f t="shared" si="72"/>
        <v>2</v>
      </c>
      <c r="HA29" s="14">
        <f t="shared" si="73"/>
        <v>200742</v>
      </c>
      <c r="HB29" s="14" t="str">
        <f t="shared" si="74"/>
        <v>110级寄灵人の防御套 : 属性-1</v>
      </c>
      <c r="HC29" s="14" t="s">
        <v>1396</v>
      </c>
      <c r="HD29" s="14">
        <f t="shared" si="75"/>
        <v>1</v>
      </c>
      <c r="HE29" s="14">
        <f t="shared" si="76"/>
        <v>2</v>
      </c>
      <c r="HF29" s="14" t="str">
        <f t="shared" si="77"/>
        <v>DefExt</v>
      </c>
      <c r="HG29" s="14">
        <f t="shared" si="78"/>
        <v>1350</v>
      </c>
      <c r="HH29" s="30"/>
      <c r="HI29" s="30"/>
      <c r="HK29" s="13">
        <v>24</v>
      </c>
      <c r="HL29" s="14">
        <f t="shared" si="79"/>
        <v>1</v>
      </c>
      <c r="HM29" s="14">
        <f t="shared" si="80"/>
        <v>1</v>
      </c>
      <c r="HN29" s="14">
        <f t="shared" si="81"/>
        <v>1</v>
      </c>
      <c r="HO29" s="14">
        <f t="shared" si="82"/>
        <v>4</v>
      </c>
      <c r="HP29" s="14" t="str">
        <f t="shared" si="83"/>
        <v>15级寄灵人洗练-Q4-12</v>
      </c>
      <c r="HQ29" s="14">
        <f t="shared" si="84"/>
        <v>1014</v>
      </c>
      <c r="HR29" s="14">
        <f t="shared" si="85"/>
        <v>12</v>
      </c>
      <c r="HS29" s="14">
        <f t="shared" si="86"/>
        <v>500</v>
      </c>
      <c r="HT29" s="14" t="str">
        <f t="shared" si="87"/>
        <v>EffectResist</v>
      </c>
      <c r="HU29" s="14">
        <f t="shared" si="88"/>
        <v>1.7999999999999999E-2</v>
      </c>
      <c r="HV29" s="14">
        <f t="shared" si="89"/>
        <v>0.05</v>
      </c>
    </row>
    <row r="30" spans="1:230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1241</v>
      </c>
      <c r="AM30" s="13" t="s">
        <v>1262</v>
      </c>
      <c r="AN30" s="13">
        <f t="shared" si="10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13" t="s">
        <v>1340</v>
      </c>
      <c r="BU30" s="13">
        <v>210843</v>
      </c>
      <c r="BV30" s="13">
        <v>17</v>
      </c>
      <c r="BW30" s="13">
        <v>0.25</v>
      </c>
      <c r="BX30" s="14">
        <f>SUMIFS(属性投放!BY$6:BY$85,属性投放!$AT$6:$AT$85,"="&amp;装备!$BU$3,属性投放!$AU$6:$AU$85,"&lt;="&amp;装备!$BV30)*INDEX(属性投放!$DX$6:$DX$10,装备!$BW$3)*$BW30</f>
        <v>5067.7000000000007</v>
      </c>
      <c r="BY30" s="14">
        <f>SUMIFS(属性投放!BZ$6:BZ$85,属性投放!$AT$6:$AT$85,"="&amp;装备!$BU$3,属性投放!$AU$6:$AU$85,"&lt;="&amp;装备!$BV30)*INDEX(属性投放!$DX$6:$DX$10,装备!$BW$3)*$BW30</f>
        <v>2542.1000000000004</v>
      </c>
      <c r="BZ30" s="14">
        <f>SUMIFS(属性投放!CA$6:CA$85,属性投放!$AT$6:$AT$85,"="&amp;装备!$BU$3,属性投放!$AU$6:$AU$85,"&lt;="&amp;装备!$BV30)*INDEX(属性投放!$DX$6:$DX$10,装备!$BW$3)*BW30/2</f>
        <v>23622.912500000002</v>
      </c>
      <c r="CA30" s="13">
        <v>500</v>
      </c>
      <c r="CB30" s="13">
        <f t="shared" si="136"/>
        <v>5000</v>
      </c>
      <c r="CC30" s="13">
        <f t="shared" si="137"/>
        <v>2500</v>
      </c>
      <c r="CD30" s="13">
        <f t="shared" si="138"/>
        <v>50000</v>
      </c>
      <c r="CE30" s="24">
        <v>0.15</v>
      </c>
      <c r="CF30" s="24">
        <v>0.15</v>
      </c>
      <c r="CG30" s="24">
        <v>0.15</v>
      </c>
      <c r="CH30" s="24">
        <v>0.1</v>
      </c>
      <c r="CI30" s="24">
        <v>0.1</v>
      </c>
      <c r="CJ30" s="14">
        <f t="shared" si="41"/>
        <v>600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106"/>
        <v>2108431</v>
      </c>
      <c r="DB30" s="13">
        <f t="shared" si="106"/>
        <v>2108432</v>
      </c>
      <c r="DC30" s="13">
        <f t="shared" si="106"/>
        <v>2108433</v>
      </c>
      <c r="DD30" s="13">
        <f t="shared" si="106"/>
        <v>2108437</v>
      </c>
      <c r="DE30" s="13">
        <f t="shared" si="106"/>
        <v>2108438</v>
      </c>
      <c r="DF30" s="13">
        <f t="shared" si="106"/>
        <v>0</v>
      </c>
      <c r="DG30" s="13">
        <f t="shared" si="106"/>
        <v>0</v>
      </c>
      <c r="DH30" s="13">
        <f t="shared" si="106"/>
        <v>0</v>
      </c>
      <c r="DI30" s="13" t="str">
        <f t="shared" si="43"/>
        <v>120级-绝世套守护灵の戒指</v>
      </c>
      <c r="DJ30" s="13" t="str">
        <f t="shared" si="44"/>
        <v>120级-绝世套守护灵の戒指</v>
      </c>
      <c r="DK30" s="13" t="str">
        <f t="shared" si="45"/>
        <v>120级-绝世套守护灵の戒指</v>
      </c>
      <c r="DL30" s="13" t="str">
        <f t="shared" si="46"/>
        <v>120级-绝世套守护灵の戒指</v>
      </c>
      <c r="DM30" s="13" t="str">
        <f t="shared" si="47"/>
        <v>120级-绝世套守护灵の戒指</v>
      </c>
      <c r="DN30" s="13" t="str">
        <f t="shared" si="48"/>
        <v/>
      </c>
      <c r="DO30" s="13" t="str">
        <f t="shared" si="49"/>
        <v/>
      </c>
      <c r="DP30" s="13" t="str">
        <f t="shared" si="50"/>
        <v/>
      </c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S30" s="30"/>
      <c r="ET30" s="30"/>
      <c r="EU30" s="13">
        <v>25</v>
      </c>
      <c r="EV30" s="14">
        <f t="shared" si="51"/>
        <v>1</v>
      </c>
      <c r="EW30" s="14">
        <f t="shared" si="52"/>
        <v>25</v>
      </c>
      <c r="EX30" s="14">
        <f t="shared" si="53"/>
        <v>4</v>
      </c>
      <c r="EY30" s="14">
        <f t="shared" si="9"/>
        <v>40</v>
      </c>
      <c r="EZ30" s="14">
        <f t="shared" si="10"/>
        <v>1</v>
      </c>
      <c r="FA30" s="14">
        <f t="shared" si="11"/>
        <v>15</v>
      </c>
      <c r="FB30" s="14">
        <f t="shared" si="12"/>
        <v>4</v>
      </c>
      <c r="FC30" s="14">
        <f t="shared" si="13"/>
        <v>1</v>
      </c>
      <c r="FD30" s="14">
        <f t="shared" si="14"/>
        <v>1</v>
      </c>
      <c r="FE30" s="14" t="b">
        <f t="shared" si="54"/>
        <v>0</v>
      </c>
      <c r="FF30" s="14">
        <f t="shared" si="15"/>
        <v>2001401</v>
      </c>
      <c r="FG30" s="13" t="str">
        <f t="shared" si="16"/>
        <v>15级-史诗寄灵人の灵器</v>
      </c>
      <c r="FH30" s="14">
        <f t="shared" si="17"/>
        <v>1</v>
      </c>
      <c r="FI30" s="14">
        <f t="shared" si="18"/>
        <v>4</v>
      </c>
      <c r="FJ30" s="14">
        <f t="shared" si="19"/>
        <v>15</v>
      </c>
      <c r="FK30" s="14">
        <v>1</v>
      </c>
      <c r="FL30" s="14">
        <f t="shared" si="20"/>
        <v>1</v>
      </c>
      <c r="FM30" s="14">
        <f t="shared" si="55"/>
        <v>1</v>
      </c>
      <c r="FN30" s="14" t="str">
        <f t="shared" si="21"/>
        <v/>
      </c>
      <c r="FO30" s="14">
        <f t="shared" si="22"/>
        <v>50</v>
      </c>
      <c r="FP30" s="14">
        <f t="shared" si="56"/>
        <v>65</v>
      </c>
      <c r="FQ30" s="14">
        <f t="shared" si="57"/>
        <v>0</v>
      </c>
      <c r="FR30" s="14">
        <f t="shared" si="58"/>
        <v>0</v>
      </c>
      <c r="FS30" s="14">
        <f t="shared" si="59"/>
        <v>10</v>
      </c>
      <c r="FT30" s="14">
        <f t="shared" si="60"/>
        <v>0</v>
      </c>
      <c r="FU30" s="14">
        <f t="shared" si="61"/>
        <v>0</v>
      </c>
      <c r="FV30" s="14">
        <f t="shared" si="23"/>
        <v>1014</v>
      </c>
      <c r="FW30" s="14">
        <f t="shared" si="24"/>
        <v>3</v>
      </c>
      <c r="FX30" s="14">
        <f t="shared" si="25"/>
        <v>1014</v>
      </c>
      <c r="FY30" s="25" t="str">
        <f t="shared" si="62"/>
        <v>icon_2001101</v>
      </c>
      <c r="FZ30" s="30"/>
      <c r="GA30" s="30"/>
      <c r="GC30" s="14">
        <f t="shared" si="26"/>
        <v>1</v>
      </c>
      <c r="GD30" s="14">
        <f t="shared" si="27"/>
        <v>0</v>
      </c>
      <c r="GE30" s="14">
        <f t="shared" si="63"/>
        <v>50</v>
      </c>
      <c r="GF30" s="14" t="str">
        <f t="shared" si="28"/>
        <v>AtkExt</v>
      </c>
      <c r="GG30" s="14">
        <f t="shared" si="64"/>
        <v>65</v>
      </c>
      <c r="GH30" s="14">
        <f t="shared" si="65"/>
        <v>10</v>
      </c>
      <c r="GI30" s="14" t="str">
        <f t="shared" si="29"/>
        <v/>
      </c>
      <c r="GJ30" s="14" t="str">
        <f t="shared" si="66"/>
        <v/>
      </c>
      <c r="GK30" s="14" t="str">
        <f t="shared" si="67"/>
        <v/>
      </c>
      <c r="GL30" s="14">
        <f t="shared" si="30"/>
        <v>20140</v>
      </c>
      <c r="GM30" s="14">
        <f t="shared" si="68"/>
        <v>3</v>
      </c>
      <c r="GN30" s="14">
        <f t="shared" si="69"/>
        <v>1014</v>
      </c>
      <c r="GO30" s="25" t="s">
        <v>1471</v>
      </c>
      <c r="GP30" s="14">
        <f t="shared" si="31"/>
        <v>100</v>
      </c>
      <c r="GS30" s="13">
        <f t="shared" si="135"/>
        <v>2053</v>
      </c>
      <c r="GT30" s="13" t="s">
        <v>994</v>
      </c>
      <c r="GU30" s="30"/>
      <c r="GV30" s="30"/>
      <c r="GW30" s="13">
        <v>25</v>
      </c>
      <c r="GX30" s="14">
        <f t="shared" si="70"/>
        <v>8</v>
      </c>
      <c r="GY30" s="14">
        <f t="shared" si="71"/>
        <v>2</v>
      </c>
      <c r="GZ30" s="14">
        <f t="shared" si="72"/>
        <v>3</v>
      </c>
      <c r="HA30" s="14">
        <f t="shared" si="73"/>
        <v>200742</v>
      </c>
      <c r="HB30" s="14" t="str">
        <f t="shared" si="74"/>
        <v>110级寄灵人の防御套 : 属性-2</v>
      </c>
      <c r="HC30" s="14" t="s">
        <v>1396</v>
      </c>
      <c r="HD30" s="14">
        <f t="shared" si="75"/>
        <v>2</v>
      </c>
      <c r="HE30" s="14">
        <f t="shared" si="76"/>
        <v>3</v>
      </c>
      <c r="HF30" s="14" t="str">
        <f t="shared" si="77"/>
        <v>HPExt</v>
      </c>
      <c r="HG30" s="14">
        <f t="shared" si="78"/>
        <v>13500</v>
      </c>
      <c r="HH30" s="30"/>
      <c r="HI30" s="30"/>
      <c r="HK30" s="13">
        <v>25</v>
      </c>
      <c r="HL30" s="14">
        <f t="shared" si="79"/>
        <v>2</v>
      </c>
      <c r="HM30" s="14">
        <f t="shared" si="80"/>
        <v>1</v>
      </c>
      <c r="HN30" s="14">
        <f t="shared" si="81"/>
        <v>2</v>
      </c>
      <c r="HO30" s="14">
        <f t="shared" si="82"/>
        <v>3</v>
      </c>
      <c r="HP30" s="14" t="str">
        <f t="shared" si="83"/>
        <v>30级寄灵人洗练-Q3-1</v>
      </c>
      <c r="HQ30" s="14">
        <f t="shared" si="84"/>
        <v>1023</v>
      </c>
      <c r="HR30" s="14">
        <f t="shared" si="85"/>
        <v>1</v>
      </c>
      <c r="HS30" s="14">
        <f t="shared" si="86"/>
        <v>1800</v>
      </c>
      <c r="HT30" s="14" t="str">
        <f t="shared" si="87"/>
        <v>AtkExt</v>
      </c>
      <c r="HU30" s="14">
        <f t="shared" si="88"/>
        <v>17</v>
      </c>
      <c r="HV30" s="14">
        <f t="shared" si="89"/>
        <v>51</v>
      </c>
    </row>
    <row r="31" spans="1:230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1242</v>
      </c>
      <c r="AM31" s="13" t="s">
        <v>1265</v>
      </c>
      <c r="AN31" s="13">
        <f t="shared" si="10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13" t="s">
        <v>1341</v>
      </c>
      <c r="BU31" s="13">
        <v>210942</v>
      </c>
      <c r="BV31" s="13">
        <v>18</v>
      </c>
      <c r="BW31" s="13">
        <v>0.2</v>
      </c>
      <c r="BX31" s="14">
        <f>SUMIFS(属性投放!BY$6:BY$85,属性投放!$AT$6:$AT$85,"="&amp;装备!$BU$3,属性投放!$AU$6:$AU$85,"&lt;="&amp;装备!$BV31)*INDEX(属性投放!$DX$6:$DX$10,装备!$BW$3)*$BW31</f>
        <v>4956.1600000000008</v>
      </c>
      <c r="BY31" s="14">
        <f>SUMIFS(属性投放!BZ$6:BZ$85,属性投放!$AT$6:$AT$85,"="&amp;装备!$BU$3,属性投放!$AU$6:$AU$85,"&lt;="&amp;装备!$BV31)*INDEX(属性投放!$DX$6:$DX$10,装备!$BW$3)*$BW31</f>
        <v>2484.6800000000003</v>
      </c>
      <c r="BZ31" s="14">
        <f>SUMIFS(属性投放!CA$6:CA$85,属性投放!$AT$6:$AT$85,"="&amp;装备!$BU$3,属性投放!$AU$6:$AU$85,"&lt;="&amp;装备!$BV31)*INDEX(属性投放!$DX$6:$DX$10,装备!$BW$3)*BW31/2</f>
        <v>23408.33</v>
      </c>
      <c r="CA31" s="13">
        <v>500</v>
      </c>
      <c r="CB31" s="13">
        <f t="shared" si="136"/>
        <v>5000</v>
      </c>
      <c r="CC31" s="13">
        <f t="shared" si="137"/>
        <v>2500</v>
      </c>
      <c r="CD31" s="13">
        <f t="shared" si="138"/>
        <v>50000</v>
      </c>
      <c r="CE31" s="24">
        <v>0.15</v>
      </c>
      <c r="CF31" s="24">
        <v>0.15</v>
      </c>
      <c r="CG31" s="24">
        <v>0.15</v>
      </c>
      <c r="CH31" s="24">
        <v>0.1</v>
      </c>
      <c r="CI31" s="24">
        <v>0.1</v>
      </c>
      <c r="CJ31" s="14">
        <f t="shared" si="41"/>
        <v>600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106"/>
        <v>2109421</v>
      </c>
      <c r="DB31" s="13">
        <f t="shared" si="106"/>
        <v>2109422</v>
      </c>
      <c r="DC31" s="13">
        <f t="shared" si="106"/>
        <v>2109423</v>
      </c>
      <c r="DD31" s="13">
        <f t="shared" si="106"/>
        <v>2109424</v>
      </c>
      <c r="DE31" s="13">
        <f t="shared" si="106"/>
        <v>2109425</v>
      </c>
      <c r="DF31" s="13">
        <f t="shared" si="106"/>
        <v>2109426</v>
      </c>
      <c r="DG31" s="13">
        <f t="shared" si="106"/>
        <v>0</v>
      </c>
      <c r="DH31" s="13">
        <f t="shared" si="106"/>
        <v>0</v>
      </c>
      <c r="DI31" s="13" t="str">
        <f t="shared" si="43"/>
        <v>130级-防御套守护灵の灵器</v>
      </c>
      <c r="DJ31" s="13" t="str">
        <f t="shared" si="44"/>
        <v>130级-防御套守护灵の头盔</v>
      </c>
      <c r="DK31" s="13" t="str">
        <f t="shared" si="45"/>
        <v>130级-防御套守护灵の铠甲</v>
      </c>
      <c r="DL31" s="13" t="str">
        <f t="shared" si="46"/>
        <v>130级-防御套守护灵の裤子</v>
      </c>
      <c r="DM31" s="13" t="str">
        <f t="shared" si="47"/>
        <v>130级-防御套守护灵の鞋子</v>
      </c>
      <c r="DN31" s="13" t="str">
        <f t="shared" si="48"/>
        <v>130级-防御套守护灵の护手</v>
      </c>
      <c r="DO31" s="13" t="str">
        <f t="shared" si="49"/>
        <v/>
      </c>
      <c r="DP31" s="13" t="str">
        <f t="shared" si="50"/>
        <v/>
      </c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S31" s="30"/>
      <c r="ET31" s="30"/>
      <c r="EU31" s="13">
        <v>26</v>
      </c>
      <c r="EV31" s="14">
        <f t="shared" si="51"/>
        <v>1</v>
      </c>
      <c r="EW31" s="14">
        <f t="shared" si="52"/>
        <v>26</v>
      </c>
      <c r="EX31" s="14">
        <f t="shared" si="53"/>
        <v>4</v>
      </c>
      <c r="EY31" s="14">
        <f t="shared" si="9"/>
        <v>40</v>
      </c>
      <c r="EZ31" s="14">
        <f t="shared" si="10"/>
        <v>1</v>
      </c>
      <c r="FA31" s="14">
        <f t="shared" si="11"/>
        <v>15</v>
      </c>
      <c r="FB31" s="14">
        <f t="shared" si="12"/>
        <v>4</v>
      </c>
      <c r="FC31" s="14">
        <f t="shared" si="13"/>
        <v>2</v>
      </c>
      <c r="FD31" s="14">
        <f t="shared" si="14"/>
        <v>2</v>
      </c>
      <c r="FE31" s="14" t="b">
        <f t="shared" si="54"/>
        <v>0</v>
      </c>
      <c r="FF31" s="14">
        <f t="shared" si="15"/>
        <v>2001402</v>
      </c>
      <c r="FG31" s="13" t="str">
        <f t="shared" si="16"/>
        <v>15级-史诗寄灵人の头盔</v>
      </c>
      <c r="FH31" s="14">
        <f t="shared" si="17"/>
        <v>1</v>
      </c>
      <c r="FI31" s="14">
        <f t="shared" si="18"/>
        <v>4</v>
      </c>
      <c r="FJ31" s="14">
        <f t="shared" si="19"/>
        <v>15</v>
      </c>
      <c r="FK31" s="14">
        <v>1</v>
      </c>
      <c r="FL31" s="14">
        <f t="shared" si="20"/>
        <v>1</v>
      </c>
      <c r="FM31" s="14">
        <f t="shared" si="55"/>
        <v>2</v>
      </c>
      <c r="FN31" s="14" t="str">
        <f t="shared" si="21"/>
        <v/>
      </c>
      <c r="FO31" s="14">
        <f t="shared" si="22"/>
        <v>30</v>
      </c>
      <c r="FP31" s="14">
        <f t="shared" si="56"/>
        <v>0</v>
      </c>
      <c r="FQ31" s="14">
        <f t="shared" si="57"/>
        <v>15</v>
      </c>
      <c r="FR31" s="14">
        <f t="shared" si="58"/>
        <v>0</v>
      </c>
      <c r="FS31" s="14">
        <f t="shared" si="59"/>
        <v>0</v>
      </c>
      <c r="FT31" s="14">
        <f t="shared" si="60"/>
        <v>3</v>
      </c>
      <c r="FU31" s="14">
        <f t="shared" si="61"/>
        <v>0</v>
      </c>
      <c r="FV31" s="14">
        <f t="shared" si="23"/>
        <v>1014</v>
      </c>
      <c r="FW31" s="14">
        <f t="shared" si="24"/>
        <v>3</v>
      </c>
      <c r="FX31" s="14">
        <f t="shared" si="25"/>
        <v>1014</v>
      </c>
      <c r="FY31" s="25" t="str">
        <f t="shared" si="62"/>
        <v>icon_2001102</v>
      </c>
      <c r="FZ31" s="30"/>
      <c r="GA31" s="30"/>
      <c r="GC31" s="14">
        <f t="shared" si="26"/>
        <v>2</v>
      </c>
      <c r="GD31" s="14">
        <f t="shared" si="27"/>
        <v>0</v>
      </c>
      <c r="GE31" s="14">
        <f t="shared" si="63"/>
        <v>30</v>
      </c>
      <c r="GF31" s="14" t="str">
        <f t="shared" si="28"/>
        <v>DefExt</v>
      </c>
      <c r="GG31" s="14">
        <f t="shared" si="64"/>
        <v>15</v>
      </c>
      <c r="GH31" s="14">
        <f t="shared" si="65"/>
        <v>3</v>
      </c>
      <c r="GI31" s="14" t="str">
        <f t="shared" si="29"/>
        <v/>
      </c>
      <c r="GJ31" s="14" t="str">
        <f t="shared" si="66"/>
        <v/>
      </c>
      <c r="GK31" s="14" t="str">
        <f t="shared" si="67"/>
        <v/>
      </c>
      <c r="GL31" s="14">
        <f t="shared" si="30"/>
        <v>20140</v>
      </c>
      <c r="GM31" s="14">
        <f t="shared" si="68"/>
        <v>3</v>
      </c>
      <c r="GN31" s="14">
        <f t="shared" si="69"/>
        <v>1014</v>
      </c>
      <c r="GO31" s="25" t="s">
        <v>1471</v>
      </c>
      <c r="GP31" s="14">
        <f t="shared" si="31"/>
        <v>50</v>
      </c>
      <c r="GS31" s="13">
        <f t="shared" si="135"/>
        <v>2061</v>
      </c>
      <c r="GT31" s="13" t="s">
        <v>995</v>
      </c>
      <c r="GU31" s="30"/>
      <c r="GV31" s="30"/>
      <c r="GW31" s="13">
        <v>26</v>
      </c>
      <c r="GX31" s="14">
        <f t="shared" si="70"/>
        <v>8</v>
      </c>
      <c r="GY31" s="14">
        <f t="shared" si="71"/>
        <v>3</v>
      </c>
      <c r="GZ31" s="14">
        <f t="shared" si="72"/>
        <v>5</v>
      </c>
      <c r="HA31" s="14">
        <f t="shared" si="73"/>
        <v>200742</v>
      </c>
      <c r="HB31" s="14" t="str">
        <f t="shared" si="74"/>
        <v>110级寄灵人の防御套 : 属性-3</v>
      </c>
      <c r="HC31" s="14" t="s">
        <v>1396</v>
      </c>
      <c r="HD31" s="14">
        <f t="shared" si="75"/>
        <v>3</v>
      </c>
      <c r="HE31" s="14">
        <f t="shared" si="76"/>
        <v>5</v>
      </c>
      <c r="HF31" s="14" t="str">
        <f t="shared" si="77"/>
        <v>DefRate</v>
      </c>
      <c r="HG31" s="14">
        <f t="shared" si="78"/>
        <v>0.15</v>
      </c>
      <c r="HH31" s="30"/>
      <c r="HI31" s="30"/>
      <c r="HK31" s="13">
        <v>26</v>
      </c>
      <c r="HL31" s="14">
        <f t="shared" si="79"/>
        <v>2</v>
      </c>
      <c r="HM31" s="14">
        <f t="shared" si="80"/>
        <v>1</v>
      </c>
      <c r="HN31" s="14">
        <f t="shared" si="81"/>
        <v>2</v>
      </c>
      <c r="HO31" s="14">
        <f t="shared" si="82"/>
        <v>3</v>
      </c>
      <c r="HP31" s="14" t="str">
        <f t="shared" si="83"/>
        <v>30级寄灵人洗练-Q3-2</v>
      </c>
      <c r="HQ31" s="14">
        <f t="shared" si="84"/>
        <v>1023</v>
      </c>
      <c r="HR31" s="14">
        <f t="shared" si="85"/>
        <v>2</v>
      </c>
      <c r="HS31" s="14">
        <f t="shared" si="86"/>
        <v>1800</v>
      </c>
      <c r="HT31" s="14" t="str">
        <f t="shared" si="87"/>
        <v>DefExt</v>
      </c>
      <c r="HU31" s="14">
        <f t="shared" si="88"/>
        <v>9</v>
      </c>
      <c r="HV31" s="14">
        <f t="shared" si="89"/>
        <v>26</v>
      </c>
    </row>
    <row r="32" spans="1:230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1243</v>
      </c>
      <c r="AM32" s="13" t="s">
        <v>1266</v>
      </c>
      <c r="AN32" s="13">
        <f t="shared" si="10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13" t="s">
        <v>1342</v>
      </c>
      <c r="BU32" s="13">
        <v>211041</v>
      </c>
      <c r="BV32" s="13">
        <v>19</v>
      </c>
      <c r="BW32" s="13">
        <v>0.2</v>
      </c>
      <c r="BX32" s="14">
        <f>SUMIFS(属性投放!BY$6:BY$85,属性投放!$AT$6:$AT$85,"="&amp;装备!$BU$3,属性投放!$AU$6:$AU$85,"&lt;="&amp;装备!$BV32)*INDEX(属性投放!$DX$6:$DX$10,装备!$BW$3)*$BW32</f>
        <v>6012.1600000000008</v>
      </c>
      <c r="BY32" s="14">
        <f>SUMIFS(属性投放!BZ$6:BZ$85,属性投放!$AT$6:$AT$85,"="&amp;装备!$BU$3,属性投放!$AU$6:$AU$85,"&lt;="&amp;装备!$BV32)*INDEX(属性投放!$DX$6:$DX$10,装备!$BW$3)*$BW32</f>
        <v>3013.5600000000004</v>
      </c>
      <c r="BZ32" s="14">
        <f>SUMIFS(属性投放!CA$6:CA$85,属性投放!$AT$6:$AT$85,"="&amp;装备!$BU$3,属性投放!$AU$6:$AU$85,"&lt;="&amp;装备!$BV32)*INDEX(属性投放!$DX$6:$DX$10,装备!$BW$3)*BW32/2</f>
        <v>28688.330000000005</v>
      </c>
      <c r="CA32" s="13">
        <v>500</v>
      </c>
      <c r="CB32" s="13">
        <f t="shared" si="136"/>
        <v>6000</v>
      </c>
      <c r="CC32" s="13">
        <f t="shared" si="137"/>
        <v>3000</v>
      </c>
      <c r="CD32" s="13">
        <f t="shared" si="138"/>
        <v>60000</v>
      </c>
      <c r="CE32" s="24">
        <v>0.15</v>
      </c>
      <c r="CF32" s="24">
        <v>0.15</v>
      </c>
      <c r="CG32" s="24">
        <v>0.15</v>
      </c>
      <c r="CH32" s="24">
        <v>0.1</v>
      </c>
      <c r="CI32" s="24">
        <v>0.1</v>
      </c>
      <c r="CJ32" s="14">
        <f t="shared" si="41"/>
        <v>720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106"/>
        <v>2110411</v>
      </c>
      <c r="DB32" s="13">
        <f t="shared" si="106"/>
        <v>2110412</v>
      </c>
      <c r="DC32" s="13">
        <f t="shared" si="106"/>
        <v>2110413</v>
      </c>
      <c r="DD32" s="13">
        <f t="shared" si="106"/>
        <v>2110415</v>
      </c>
      <c r="DE32" s="13">
        <f t="shared" si="106"/>
        <v>2110417</v>
      </c>
      <c r="DF32" s="13">
        <f t="shared" si="106"/>
        <v>2110418</v>
      </c>
      <c r="DG32" s="13">
        <f t="shared" si="106"/>
        <v>0</v>
      </c>
      <c r="DH32" s="13">
        <f t="shared" si="106"/>
        <v>0</v>
      </c>
      <c r="DI32" s="13" t="str">
        <f t="shared" si="43"/>
        <v>140级-攻击套守护灵の灵器</v>
      </c>
      <c r="DJ32" s="13" t="str">
        <f t="shared" si="44"/>
        <v>140级-攻击套守护灵の头盔</v>
      </c>
      <c r="DK32" s="13" t="str">
        <f t="shared" si="45"/>
        <v>140级-攻击套守护灵の铠甲</v>
      </c>
      <c r="DL32" s="13" t="str">
        <f t="shared" si="46"/>
        <v>140级-攻击套守护灵の鞋子</v>
      </c>
      <c r="DM32" s="13" t="str">
        <f t="shared" si="47"/>
        <v>140级-攻击套守护灵の项链</v>
      </c>
      <c r="DN32" s="13" t="str">
        <f t="shared" si="48"/>
        <v>140级-攻击套守护灵の戒指</v>
      </c>
      <c r="DO32" s="13" t="str">
        <f t="shared" si="49"/>
        <v/>
      </c>
      <c r="DP32" s="13" t="str">
        <f t="shared" si="50"/>
        <v/>
      </c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S32" s="30"/>
      <c r="ET32" s="30"/>
      <c r="EU32" s="13">
        <v>27</v>
      </c>
      <c r="EV32" s="14">
        <f t="shared" si="51"/>
        <v>1</v>
      </c>
      <c r="EW32" s="14">
        <f t="shared" si="52"/>
        <v>27</v>
      </c>
      <c r="EX32" s="14">
        <f t="shared" si="53"/>
        <v>4</v>
      </c>
      <c r="EY32" s="14">
        <f t="shared" si="9"/>
        <v>40</v>
      </c>
      <c r="EZ32" s="14">
        <f t="shared" si="10"/>
        <v>1</v>
      </c>
      <c r="FA32" s="14">
        <f t="shared" si="11"/>
        <v>15</v>
      </c>
      <c r="FB32" s="14">
        <f t="shared" si="12"/>
        <v>4</v>
      </c>
      <c r="FC32" s="14">
        <f t="shared" si="13"/>
        <v>3</v>
      </c>
      <c r="FD32" s="14">
        <f t="shared" si="14"/>
        <v>3</v>
      </c>
      <c r="FE32" s="14" t="b">
        <f t="shared" si="54"/>
        <v>0</v>
      </c>
      <c r="FF32" s="14">
        <f t="shared" si="15"/>
        <v>2001403</v>
      </c>
      <c r="FG32" s="13" t="str">
        <f t="shared" si="16"/>
        <v>15级-史诗寄灵人の铠甲</v>
      </c>
      <c r="FH32" s="14">
        <f t="shared" si="17"/>
        <v>1</v>
      </c>
      <c r="FI32" s="14">
        <f t="shared" si="18"/>
        <v>4</v>
      </c>
      <c r="FJ32" s="14">
        <f t="shared" si="19"/>
        <v>15</v>
      </c>
      <c r="FK32" s="14">
        <v>1</v>
      </c>
      <c r="FL32" s="14">
        <f t="shared" si="20"/>
        <v>1</v>
      </c>
      <c r="FM32" s="14">
        <f t="shared" si="55"/>
        <v>3</v>
      </c>
      <c r="FN32" s="14" t="str">
        <f t="shared" si="21"/>
        <v/>
      </c>
      <c r="FO32" s="14">
        <f t="shared" si="22"/>
        <v>25</v>
      </c>
      <c r="FP32" s="14">
        <f t="shared" si="56"/>
        <v>0</v>
      </c>
      <c r="FQ32" s="14">
        <f t="shared" si="57"/>
        <v>10</v>
      </c>
      <c r="FR32" s="14">
        <f t="shared" si="58"/>
        <v>95</v>
      </c>
      <c r="FS32" s="14">
        <f t="shared" si="59"/>
        <v>0</v>
      </c>
      <c r="FT32" s="14">
        <f t="shared" si="60"/>
        <v>1</v>
      </c>
      <c r="FU32" s="14">
        <f t="shared" si="61"/>
        <v>15</v>
      </c>
      <c r="FV32" s="14">
        <f t="shared" si="23"/>
        <v>1014</v>
      </c>
      <c r="FW32" s="14">
        <f t="shared" si="24"/>
        <v>3</v>
      </c>
      <c r="FX32" s="14">
        <f t="shared" si="25"/>
        <v>1014</v>
      </c>
      <c r="FY32" s="25" t="str">
        <f t="shared" si="62"/>
        <v>icon_2001103</v>
      </c>
      <c r="FZ32" s="30"/>
      <c r="GA32" s="30"/>
      <c r="GC32" s="14">
        <f t="shared" si="26"/>
        <v>2</v>
      </c>
      <c r="GD32" s="14">
        <f t="shared" si="27"/>
        <v>3</v>
      </c>
      <c r="GE32" s="14">
        <f t="shared" si="63"/>
        <v>25</v>
      </c>
      <c r="GF32" s="14" t="str">
        <f t="shared" si="28"/>
        <v>DefExt</v>
      </c>
      <c r="GG32" s="14">
        <f t="shared" si="64"/>
        <v>10</v>
      </c>
      <c r="GH32" s="14">
        <f t="shared" si="65"/>
        <v>1</v>
      </c>
      <c r="GI32" s="14" t="str">
        <f t="shared" si="29"/>
        <v>HPExt</v>
      </c>
      <c r="GJ32" s="14">
        <f t="shared" si="66"/>
        <v>95</v>
      </c>
      <c r="GK32" s="14">
        <f t="shared" si="67"/>
        <v>15</v>
      </c>
      <c r="GL32" s="14">
        <f t="shared" si="30"/>
        <v>20140</v>
      </c>
      <c r="GM32" s="14">
        <f t="shared" si="68"/>
        <v>3</v>
      </c>
      <c r="GN32" s="14">
        <f t="shared" si="69"/>
        <v>1014</v>
      </c>
      <c r="GO32" s="25" t="s">
        <v>1471</v>
      </c>
      <c r="GP32" s="14">
        <f t="shared" si="31"/>
        <v>50</v>
      </c>
      <c r="GS32" s="13">
        <f t="shared" si="135"/>
        <v>2062</v>
      </c>
      <c r="GT32" s="13" t="s">
        <v>996</v>
      </c>
      <c r="GU32" s="30"/>
      <c r="GV32" s="30"/>
      <c r="GW32" s="13">
        <v>27</v>
      </c>
      <c r="GX32" s="14">
        <f t="shared" si="70"/>
        <v>9</v>
      </c>
      <c r="GY32" s="14">
        <f t="shared" si="71"/>
        <v>1</v>
      </c>
      <c r="GZ32" s="14">
        <f t="shared" si="72"/>
        <v>1</v>
      </c>
      <c r="HA32" s="14">
        <f t="shared" si="73"/>
        <v>200841</v>
      </c>
      <c r="HB32" s="14" t="str">
        <f t="shared" si="74"/>
        <v>120级寄灵人の攻击套 : 属性-1</v>
      </c>
      <c r="HC32" s="14" t="s">
        <v>1396</v>
      </c>
      <c r="HD32" s="14">
        <f t="shared" si="75"/>
        <v>1</v>
      </c>
      <c r="HE32" s="14">
        <f t="shared" si="76"/>
        <v>2</v>
      </c>
      <c r="HF32" s="14" t="str">
        <f t="shared" si="77"/>
        <v>AtkExt</v>
      </c>
      <c r="HG32" s="14">
        <f t="shared" si="78"/>
        <v>3500</v>
      </c>
      <c r="HH32" s="30"/>
      <c r="HI32" s="30"/>
      <c r="HK32" s="13">
        <v>27</v>
      </c>
      <c r="HL32" s="14">
        <f t="shared" si="79"/>
        <v>2</v>
      </c>
      <c r="HM32" s="14">
        <f t="shared" si="80"/>
        <v>1</v>
      </c>
      <c r="HN32" s="14">
        <f t="shared" si="81"/>
        <v>2</v>
      </c>
      <c r="HO32" s="14">
        <f t="shared" si="82"/>
        <v>3</v>
      </c>
      <c r="HP32" s="14" t="str">
        <f t="shared" si="83"/>
        <v>30级寄灵人洗练-Q3-3</v>
      </c>
      <c r="HQ32" s="14">
        <f t="shared" si="84"/>
        <v>1023</v>
      </c>
      <c r="HR32" s="14">
        <f t="shared" si="85"/>
        <v>3</v>
      </c>
      <c r="HS32" s="14">
        <f t="shared" si="86"/>
        <v>2000</v>
      </c>
      <c r="HT32" s="14" t="str">
        <f t="shared" si="87"/>
        <v>HPExt</v>
      </c>
      <c r="HU32" s="14">
        <f t="shared" si="88"/>
        <v>76</v>
      </c>
      <c r="HV32" s="14">
        <f t="shared" si="89"/>
        <v>219</v>
      </c>
    </row>
    <row r="33" spans="1:230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1244</v>
      </c>
      <c r="AM33" s="13" t="s">
        <v>1259</v>
      </c>
      <c r="AN33" s="13">
        <f t="shared" si="10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13" t="s">
        <v>1343</v>
      </c>
      <c r="BU33" s="13">
        <v>211142</v>
      </c>
      <c r="BV33" s="13">
        <v>20</v>
      </c>
      <c r="BW33" s="13">
        <v>0.2</v>
      </c>
      <c r="BX33" s="14">
        <f>SUMIFS(属性投放!BY$6:BY$85,属性投放!$AT$6:$AT$85,"="&amp;装备!$BU$3,属性投放!$AU$6:$AU$85,"&lt;="&amp;装备!$BV33)*INDEX(属性投放!$DX$6:$DX$10,装备!$BW$3)*$BW33</f>
        <v>7387.1600000000008</v>
      </c>
      <c r="BY33" s="14">
        <f>SUMIFS(属性投放!BZ$6:BZ$85,属性投放!$AT$6:$AT$85,"="&amp;装备!$BU$3,属性投放!$AU$6:$AU$85,"&lt;="&amp;装备!$BV33)*INDEX(属性投放!$DX$6:$DX$10,装备!$BW$3)*$BW33</f>
        <v>3702.1600000000008</v>
      </c>
      <c r="BZ33" s="14">
        <f>SUMIFS(属性投放!CA$6:CA$85,属性投放!$AT$6:$AT$85,"="&amp;装备!$BU$3,属性投放!$AU$6:$AU$85,"&lt;="&amp;装备!$BV33)*INDEX(属性投放!$DX$6:$DX$10,装备!$BW$3)*BW33/2</f>
        <v>35563.330000000009</v>
      </c>
      <c r="CA33" s="13">
        <v>500</v>
      </c>
      <c r="CB33" s="13">
        <f t="shared" si="136"/>
        <v>7500</v>
      </c>
      <c r="CC33" s="13">
        <f t="shared" si="137"/>
        <v>3750</v>
      </c>
      <c r="CD33" s="13">
        <f t="shared" si="138"/>
        <v>75000</v>
      </c>
      <c r="CE33" s="24">
        <v>0.15</v>
      </c>
      <c r="CF33" s="24">
        <v>0.15</v>
      </c>
      <c r="CG33" s="24">
        <v>0.15</v>
      </c>
      <c r="CH33" s="24">
        <v>0.1</v>
      </c>
      <c r="CI33" s="24">
        <v>0.1</v>
      </c>
      <c r="CJ33" s="14">
        <f t="shared" si="41"/>
        <v>900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106"/>
        <v>2111421</v>
      </c>
      <c r="DB33" s="13">
        <f t="shared" si="106"/>
        <v>2111422</v>
      </c>
      <c r="DC33" s="13">
        <f t="shared" si="106"/>
        <v>2111423</v>
      </c>
      <c r="DD33" s="13">
        <f t="shared" si="106"/>
        <v>2111424</v>
      </c>
      <c r="DE33" s="13">
        <f t="shared" si="106"/>
        <v>2111425</v>
      </c>
      <c r="DF33" s="13">
        <f t="shared" si="106"/>
        <v>2111426</v>
      </c>
      <c r="DG33" s="13">
        <f t="shared" si="106"/>
        <v>0</v>
      </c>
      <c r="DH33" s="13">
        <f t="shared" si="106"/>
        <v>0</v>
      </c>
      <c r="DI33" s="13" t="str">
        <f t="shared" si="43"/>
        <v>150级-防御套守护灵の灵器</v>
      </c>
      <c r="DJ33" s="13" t="str">
        <f t="shared" si="44"/>
        <v>150级-防御套守护灵の头盔</v>
      </c>
      <c r="DK33" s="13" t="str">
        <f t="shared" si="45"/>
        <v>150级-防御套守护灵の铠甲</v>
      </c>
      <c r="DL33" s="13" t="str">
        <f t="shared" si="46"/>
        <v>150级-防御套守护灵の裤子</v>
      </c>
      <c r="DM33" s="13" t="str">
        <f t="shared" si="47"/>
        <v>150级-防御套守护灵の鞋子</v>
      </c>
      <c r="DN33" s="13" t="str">
        <f t="shared" si="48"/>
        <v>150级-防御套守护灵の护手</v>
      </c>
      <c r="DO33" s="13" t="str">
        <f t="shared" si="49"/>
        <v/>
      </c>
      <c r="DP33" s="13" t="str">
        <f t="shared" si="50"/>
        <v/>
      </c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S33" s="30"/>
      <c r="ET33" s="30"/>
      <c r="EU33" s="13">
        <v>28</v>
      </c>
      <c r="EV33" s="14">
        <f t="shared" si="51"/>
        <v>1</v>
      </c>
      <c r="EW33" s="14">
        <f t="shared" si="52"/>
        <v>28</v>
      </c>
      <c r="EX33" s="14">
        <f t="shared" si="53"/>
        <v>4</v>
      </c>
      <c r="EY33" s="14">
        <f t="shared" si="9"/>
        <v>40</v>
      </c>
      <c r="EZ33" s="14">
        <f t="shared" si="10"/>
        <v>1</v>
      </c>
      <c r="FA33" s="14">
        <f t="shared" si="11"/>
        <v>15</v>
      </c>
      <c r="FB33" s="14">
        <f t="shared" si="12"/>
        <v>4</v>
      </c>
      <c r="FC33" s="14">
        <f t="shared" si="13"/>
        <v>4</v>
      </c>
      <c r="FD33" s="14">
        <f t="shared" si="14"/>
        <v>4</v>
      </c>
      <c r="FE33" s="14" t="b">
        <f t="shared" si="54"/>
        <v>0</v>
      </c>
      <c r="FF33" s="14">
        <f t="shared" si="15"/>
        <v>2001404</v>
      </c>
      <c r="FG33" s="13" t="str">
        <f t="shared" si="16"/>
        <v>15级-史诗寄灵人の裤子</v>
      </c>
      <c r="FH33" s="14">
        <f t="shared" si="17"/>
        <v>1</v>
      </c>
      <c r="FI33" s="14">
        <f t="shared" si="18"/>
        <v>4</v>
      </c>
      <c r="FJ33" s="14">
        <f t="shared" si="19"/>
        <v>15</v>
      </c>
      <c r="FK33" s="14">
        <v>1</v>
      </c>
      <c r="FL33" s="14">
        <f t="shared" si="20"/>
        <v>1</v>
      </c>
      <c r="FM33" s="14">
        <f t="shared" si="55"/>
        <v>4</v>
      </c>
      <c r="FN33" s="14" t="str">
        <f t="shared" si="21"/>
        <v/>
      </c>
      <c r="FO33" s="14">
        <f t="shared" si="22"/>
        <v>30</v>
      </c>
      <c r="FP33" s="14">
        <f t="shared" si="56"/>
        <v>0</v>
      </c>
      <c r="FQ33" s="14">
        <f t="shared" si="57"/>
        <v>15</v>
      </c>
      <c r="FR33" s="14">
        <f t="shared" si="58"/>
        <v>0</v>
      </c>
      <c r="FS33" s="14">
        <f t="shared" si="59"/>
        <v>0</v>
      </c>
      <c r="FT33" s="14">
        <f t="shared" si="60"/>
        <v>3</v>
      </c>
      <c r="FU33" s="14">
        <f t="shared" si="61"/>
        <v>0</v>
      </c>
      <c r="FV33" s="14">
        <f t="shared" si="23"/>
        <v>1014</v>
      </c>
      <c r="FW33" s="14">
        <f t="shared" si="24"/>
        <v>3</v>
      </c>
      <c r="FX33" s="14">
        <f t="shared" si="25"/>
        <v>1014</v>
      </c>
      <c r="FY33" s="25" t="str">
        <f t="shared" si="62"/>
        <v>icon_2001104</v>
      </c>
      <c r="FZ33" s="30"/>
      <c r="GA33" s="30"/>
      <c r="GC33" s="14">
        <f t="shared" si="26"/>
        <v>2</v>
      </c>
      <c r="GD33" s="14">
        <f t="shared" si="27"/>
        <v>0</v>
      </c>
      <c r="GE33" s="14">
        <f t="shared" si="63"/>
        <v>30</v>
      </c>
      <c r="GF33" s="14" t="str">
        <f t="shared" si="28"/>
        <v>DefExt</v>
      </c>
      <c r="GG33" s="14">
        <f t="shared" si="64"/>
        <v>15</v>
      </c>
      <c r="GH33" s="14">
        <f t="shared" si="65"/>
        <v>3</v>
      </c>
      <c r="GI33" s="14" t="str">
        <f t="shared" si="29"/>
        <v/>
      </c>
      <c r="GJ33" s="14" t="str">
        <f t="shared" si="66"/>
        <v/>
      </c>
      <c r="GK33" s="14" t="str">
        <f t="shared" si="67"/>
        <v/>
      </c>
      <c r="GL33" s="14">
        <f t="shared" si="30"/>
        <v>20140</v>
      </c>
      <c r="GM33" s="14">
        <f t="shared" si="68"/>
        <v>3</v>
      </c>
      <c r="GN33" s="14">
        <f t="shared" si="69"/>
        <v>1014</v>
      </c>
      <c r="GO33" s="25" t="s">
        <v>1471</v>
      </c>
      <c r="GP33" s="14">
        <f t="shared" si="31"/>
        <v>50</v>
      </c>
      <c r="GS33" s="13">
        <f t="shared" si="135"/>
        <v>2063</v>
      </c>
      <c r="GT33" s="13" t="s">
        <v>997</v>
      </c>
      <c r="GU33" s="30"/>
      <c r="GV33" s="30"/>
      <c r="GW33" s="13">
        <v>28</v>
      </c>
      <c r="GX33" s="14">
        <f t="shared" si="70"/>
        <v>9</v>
      </c>
      <c r="GY33" s="14">
        <f t="shared" si="71"/>
        <v>2</v>
      </c>
      <c r="GZ33" s="14">
        <f t="shared" si="72"/>
        <v>3</v>
      </c>
      <c r="HA33" s="14">
        <f t="shared" si="73"/>
        <v>200841</v>
      </c>
      <c r="HB33" s="14" t="str">
        <f t="shared" si="74"/>
        <v>120级寄灵人の攻击套 : 属性-2</v>
      </c>
      <c r="HC33" s="14" t="s">
        <v>1396</v>
      </c>
      <c r="HD33" s="14">
        <f t="shared" si="75"/>
        <v>2</v>
      </c>
      <c r="HE33" s="14">
        <f t="shared" si="76"/>
        <v>3</v>
      </c>
      <c r="HF33" s="14" t="str">
        <f t="shared" si="77"/>
        <v>HPExt</v>
      </c>
      <c r="HG33" s="14">
        <f t="shared" si="78"/>
        <v>17500</v>
      </c>
      <c r="HH33" s="30"/>
      <c r="HI33" s="30"/>
      <c r="HK33" s="13">
        <v>28</v>
      </c>
      <c r="HL33" s="14">
        <f t="shared" si="79"/>
        <v>2</v>
      </c>
      <c r="HM33" s="14">
        <f t="shared" si="80"/>
        <v>1</v>
      </c>
      <c r="HN33" s="14">
        <f t="shared" si="81"/>
        <v>2</v>
      </c>
      <c r="HO33" s="14">
        <f t="shared" si="82"/>
        <v>3</v>
      </c>
      <c r="HP33" s="14" t="str">
        <f t="shared" si="83"/>
        <v>30级寄灵人洗练-Q3-4</v>
      </c>
      <c r="HQ33" s="14">
        <f t="shared" si="84"/>
        <v>1023</v>
      </c>
      <c r="HR33" s="14">
        <f t="shared" si="85"/>
        <v>4</v>
      </c>
      <c r="HS33" s="14">
        <f t="shared" si="86"/>
        <v>500</v>
      </c>
      <c r="HT33" s="14" t="str">
        <f t="shared" si="87"/>
        <v>AtkRate</v>
      </c>
      <c r="HU33" s="14">
        <f t="shared" si="88"/>
        <v>1.4E-2</v>
      </c>
      <c r="HV33" s="14">
        <f t="shared" si="89"/>
        <v>0.04</v>
      </c>
    </row>
    <row r="34" spans="1:230" s="19" customFormat="1" ht="16.5" x14ac:dyDescent="0.2">
      <c r="A34" t="s">
        <v>1200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1244</v>
      </c>
      <c r="AM34" s="13" t="s">
        <v>1260</v>
      </c>
      <c r="AN34" s="13">
        <f t="shared" si="10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13" t="s">
        <v>1344</v>
      </c>
      <c r="BU34" s="13">
        <v>211143</v>
      </c>
      <c r="BV34" s="13">
        <v>20</v>
      </c>
      <c r="BW34" s="13">
        <v>0.25</v>
      </c>
      <c r="BX34" s="14">
        <f>SUMIFS(属性投放!BY$6:BY$85,属性投放!$AT$6:$AT$85,"="&amp;装备!$BU$3,属性投放!$AU$6:$AU$85,"&lt;="&amp;装备!$BV34)*INDEX(属性投放!$DX$6:$DX$10,装备!$BW$3)*$BW34</f>
        <v>9233.9500000000007</v>
      </c>
      <c r="BY34" s="14">
        <f>SUMIFS(属性投放!BZ$6:BZ$85,属性投放!$AT$6:$AT$85,"="&amp;装备!$BU$3,属性投放!$AU$6:$AU$85,"&lt;="&amp;装备!$BV34)*INDEX(属性投放!$DX$6:$DX$10,装备!$BW$3)*$BW34</f>
        <v>4627.7000000000007</v>
      </c>
      <c r="BZ34" s="14">
        <f>SUMIFS(属性投放!CA$6:CA$85,属性投放!$AT$6:$AT$85,"="&amp;装备!$BU$3,属性投放!$AU$6:$AU$85,"&lt;="&amp;装备!$BV34)*INDEX(属性投放!$DX$6:$DX$10,装备!$BW$3)*BW34/2</f>
        <v>44454.162500000006</v>
      </c>
      <c r="CA34" s="13">
        <v>5000</v>
      </c>
      <c r="CB34" s="13">
        <f t="shared" si="136"/>
        <v>10000</v>
      </c>
      <c r="CC34" s="13">
        <f t="shared" si="137"/>
        <v>5000</v>
      </c>
      <c r="CD34" s="13">
        <f t="shared" si="138"/>
        <v>100000</v>
      </c>
      <c r="CE34" s="24">
        <v>0.15</v>
      </c>
      <c r="CF34" s="24">
        <v>0.15</v>
      </c>
      <c r="CG34" s="24">
        <v>0.15</v>
      </c>
      <c r="CH34" s="24">
        <v>0.1</v>
      </c>
      <c r="CI34" s="24">
        <v>0.1</v>
      </c>
      <c r="CJ34" s="14">
        <f t="shared" si="41"/>
        <v>1200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106"/>
        <v>2111431</v>
      </c>
      <c r="DB34" s="13">
        <f t="shared" si="106"/>
        <v>2111432</v>
      </c>
      <c r="DC34" s="13">
        <f t="shared" si="106"/>
        <v>2111433</v>
      </c>
      <c r="DD34" s="13">
        <f t="shared" si="106"/>
        <v>2111434</v>
      </c>
      <c r="DE34" s="13">
        <f t="shared" si="106"/>
        <v>2111436</v>
      </c>
      <c r="DF34" s="13">
        <f t="shared" si="106"/>
        <v>0</v>
      </c>
      <c r="DG34" s="13">
        <f t="shared" si="106"/>
        <v>0</v>
      </c>
      <c r="DH34" s="13">
        <f t="shared" si="106"/>
        <v>0</v>
      </c>
      <c r="DI34" s="13" t="str">
        <f t="shared" si="43"/>
        <v>150级-绝世守护灵の灵器</v>
      </c>
      <c r="DJ34" s="13" t="str">
        <f t="shared" si="44"/>
        <v>150级-绝世守护灵の头盔</v>
      </c>
      <c r="DK34" s="13" t="str">
        <f t="shared" si="45"/>
        <v>150级-绝世守护灵の铠甲</v>
      </c>
      <c r="DL34" s="13" t="str">
        <f t="shared" si="46"/>
        <v>150级-绝世守护灵の裤子</v>
      </c>
      <c r="DM34" s="13" t="str">
        <f t="shared" si="47"/>
        <v>150级-绝世守护灵の护手</v>
      </c>
      <c r="DN34" s="13" t="str">
        <f t="shared" si="48"/>
        <v/>
      </c>
      <c r="DO34" s="13" t="str">
        <f t="shared" si="49"/>
        <v/>
      </c>
      <c r="DP34" s="13" t="str">
        <f t="shared" si="50"/>
        <v/>
      </c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S34" s="30"/>
      <c r="ET34" s="30"/>
      <c r="EU34" s="13">
        <v>29</v>
      </c>
      <c r="EV34" s="14">
        <f t="shared" si="51"/>
        <v>1</v>
      </c>
      <c r="EW34" s="14">
        <f t="shared" si="52"/>
        <v>29</v>
      </c>
      <c r="EX34" s="14">
        <f t="shared" si="53"/>
        <v>4</v>
      </c>
      <c r="EY34" s="14">
        <f t="shared" si="9"/>
        <v>40</v>
      </c>
      <c r="EZ34" s="14">
        <f t="shared" si="10"/>
        <v>1</v>
      </c>
      <c r="FA34" s="14">
        <f t="shared" si="11"/>
        <v>15</v>
      </c>
      <c r="FB34" s="14">
        <f t="shared" si="12"/>
        <v>4</v>
      </c>
      <c r="FC34" s="14">
        <f t="shared" si="13"/>
        <v>5</v>
      </c>
      <c r="FD34" s="14">
        <f t="shared" si="14"/>
        <v>5</v>
      </c>
      <c r="FE34" s="14" t="b">
        <f t="shared" si="54"/>
        <v>0</v>
      </c>
      <c r="FF34" s="14">
        <f t="shared" si="15"/>
        <v>2001405</v>
      </c>
      <c r="FG34" s="13" t="str">
        <f t="shared" si="16"/>
        <v>15级-史诗寄灵人の鞋子</v>
      </c>
      <c r="FH34" s="14">
        <f t="shared" si="17"/>
        <v>1</v>
      </c>
      <c r="FI34" s="14">
        <f t="shared" si="18"/>
        <v>4</v>
      </c>
      <c r="FJ34" s="14">
        <f t="shared" si="19"/>
        <v>15</v>
      </c>
      <c r="FK34" s="14">
        <v>1</v>
      </c>
      <c r="FL34" s="14">
        <f t="shared" si="20"/>
        <v>1</v>
      </c>
      <c r="FM34" s="14">
        <f t="shared" si="55"/>
        <v>5</v>
      </c>
      <c r="FN34" s="14" t="str">
        <f t="shared" si="21"/>
        <v/>
      </c>
      <c r="FO34" s="14">
        <f t="shared" si="22"/>
        <v>30</v>
      </c>
      <c r="FP34" s="14">
        <f t="shared" si="56"/>
        <v>0</v>
      </c>
      <c r="FQ34" s="14">
        <f t="shared" si="57"/>
        <v>0</v>
      </c>
      <c r="FR34" s="14">
        <f t="shared" si="58"/>
        <v>195</v>
      </c>
      <c r="FS34" s="14">
        <f t="shared" si="59"/>
        <v>0</v>
      </c>
      <c r="FT34" s="14">
        <f t="shared" si="60"/>
        <v>0</v>
      </c>
      <c r="FU34" s="14">
        <f t="shared" si="61"/>
        <v>30</v>
      </c>
      <c r="FV34" s="14">
        <f t="shared" si="23"/>
        <v>1014</v>
      </c>
      <c r="FW34" s="14">
        <f t="shared" si="24"/>
        <v>3</v>
      </c>
      <c r="FX34" s="14">
        <f t="shared" si="25"/>
        <v>1014</v>
      </c>
      <c r="FY34" s="25" t="str">
        <f t="shared" si="62"/>
        <v>icon_2001105</v>
      </c>
      <c r="FZ34" s="30"/>
      <c r="GA34" s="30"/>
      <c r="GC34" s="14">
        <f t="shared" si="26"/>
        <v>3</v>
      </c>
      <c r="GD34" s="14">
        <f t="shared" si="27"/>
        <v>0</v>
      </c>
      <c r="GE34" s="14">
        <f t="shared" si="63"/>
        <v>30</v>
      </c>
      <c r="GF34" s="14" t="str">
        <f t="shared" si="28"/>
        <v>HPExt</v>
      </c>
      <c r="GG34" s="14">
        <f t="shared" si="64"/>
        <v>195</v>
      </c>
      <c r="GH34" s="14">
        <f t="shared" si="65"/>
        <v>30</v>
      </c>
      <c r="GI34" s="14" t="str">
        <f t="shared" si="29"/>
        <v/>
      </c>
      <c r="GJ34" s="14" t="str">
        <f t="shared" si="66"/>
        <v/>
      </c>
      <c r="GK34" s="14" t="str">
        <f t="shared" si="67"/>
        <v/>
      </c>
      <c r="GL34" s="14">
        <f t="shared" si="30"/>
        <v>20140</v>
      </c>
      <c r="GM34" s="14">
        <f t="shared" si="68"/>
        <v>3</v>
      </c>
      <c r="GN34" s="14">
        <f t="shared" si="69"/>
        <v>1014</v>
      </c>
      <c r="GO34" s="25" t="s">
        <v>1471</v>
      </c>
      <c r="GP34" s="14">
        <f t="shared" si="31"/>
        <v>50</v>
      </c>
      <c r="GS34" s="16"/>
      <c r="GT34" s="16"/>
      <c r="GU34" s="30"/>
      <c r="GV34" s="30"/>
      <c r="GW34" s="13">
        <v>29</v>
      </c>
      <c r="GX34" s="14">
        <f t="shared" si="70"/>
        <v>9</v>
      </c>
      <c r="GY34" s="14">
        <f t="shared" si="71"/>
        <v>3</v>
      </c>
      <c r="GZ34" s="14">
        <f t="shared" si="72"/>
        <v>4</v>
      </c>
      <c r="HA34" s="14">
        <f t="shared" si="73"/>
        <v>200841</v>
      </c>
      <c r="HB34" s="14" t="str">
        <f t="shared" si="74"/>
        <v>120级寄灵人の攻击套 : 属性-3</v>
      </c>
      <c r="HC34" s="14" t="s">
        <v>1396</v>
      </c>
      <c r="HD34" s="14">
        <f t="shared" si="75"/>
        <v>3</v>
      </c>
      <c r="HE34" s="14">
        <f t="shared" si="76"/>
        <v>5</v>
      </c>
      <c r="HF34" s="14" t="str">
        <f t="shared" si="77"/>
        <v>AtkRate</v>
      </c>
      <c r="HG34" s="14">
        <f t="shared" si="78"/>
        <v>0.15</v>
      </c>
      <c r="HH34" s="30"/>
      <c r="HI34" s="30"/>
      <c r="HK34" s="13">
        <v>29</v>
      </c>
      <c r="HL34" s="14">
        <f t="shared" si="79"/>
        <v>2</v>
      </c>
      <c r="HM34" s="14">
        <f t="shared" si="80"/>
        <v>1</v>
      </c>
      <c r="HN34" s="14">
        <f t="shared" si="81"/>
        <v>2</v>
      </c>
      <c r="HO34" s="14">
        <f t="shared" si="82"/>
        <v>3</v>
      </c>
      <c r="HP34" s="14" t="str">
        <f t="shared" si="83"/>
        <v>30级寄灵人洗练-Q3-5</v>
      </c>
      <c r="HQ34" s="14">
        <f t="shared" si="84"/>
        <v>1023</v>
      </c>
      <c r="HR34" s="14">
        <f t="shared" si="85"/>
        <v>5</v>
      </c>
      <c r="HS34" s="14">
        <f t="shared" si="86"/>
        <v>400</v>
      </c>
      <c r="HT34" s="14" t="str">
        <f t="shared" si="87"/>
        <v>DefRate</v>
      </c>
      <c r="HU34" s="14">
        <f t="shared" si="88"/>
        <v>1.4E-2</v>
      </c>
      <c r="HV34" s="14">
        <f t="shared" si="89"/>
        <v>0.04</v>
      </c>
    </row>
    <row r="35" spans="1:230" s="19" customFormat="1" ht="16.5" x14ac:dyDescent="0.2">
      <c r="A35" t="s">
        <v>1201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1244</v>
      </c>
      <c r="AM35" s="13" t="s">
        <v>1261</v>
      </c>
      <c r="AN35" s="13">
        <f t="shared" si="10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S35" s="30"/>
      <c r="ET35" s="30"/>
      <c r="EU35" s="13">
        <v>30</v>
      </c>
      <c r="EV35" s="14">
        <f t="shared" si="51"/>
        <v>1</v>
      </c>
      <c r="EW35" s="14">
        <f t="shared" si="52"/>
        <v>30</v>
      </c>
      <c r="EX35" s="14">
        <f t="shared" si="53"/>
        <v>4</v>
      </c>
      <c r="EY35" s="14">
        <f t="shared" si="9"/>
        <v>40</v>
      </c>
      <c r="EZ35" s="14">
        <f t="shared" si="10"/>
        <v>1</v>
      </c>
      <c r="FA35" s="14">
        <f t="shared" si="11"/>
        <v>15</v>
      </c>
      <c r="FB35" s="14">
        <f t="shared" si="12"/>
        <v>4</v>
      </c>
      <c r="FC35" s="14">
        <f t="shared" si="13"/>
        <v>6</v>
      </c>
      <c r="FD35" s="14">
        <f t="shared" si="14"/>
        <v>6</v>
      </c>
      <c r="FE35" s="14" t="b">
        <f t="shared" si="54"/>
        <v>0</v>
      </c>
      <c r="FF35" s="14">
        <f t="shared" si="15"/>
        <v>2001406</v>
      </c>
      <c r="FG35" s="13" t="str">
        <f t="shared" si="16"/>
        <v>15级-史诗寄灵人の护手</v>
      </c>
      <c r="FH35" s="14">
        <f t="shared" si="17"/>
        <v>1</v>
      </c>
      <c r="FI35" s="14">
        <f t="shared" si="18"/>
        <v>4</v>
      </c>
      <c r="FJ35" s="14">
        <f t="shared" si="19"/>
        <v>15</v>
      </c>
      <c r="FK35" s="14">
        <v>1</v>
      </c>
      <c r="FL35" s="14">
        <f t="shared" si="20"/>
        <v>1</v>
      </c>
      <c r="FM35" s="14">
        <f t="shared" si="55"/>
        <v>6</v>
      </c>
      <c r="FN35" s="14" t="str">
        <f t="shared" si="21"/>
        <v/>
      </c>
      <c r="FO35" s="14">
        <f t="shared" si="22"/>
        <v>30</v>
      </c>
      <c r="FP35" s="14">
        <f t="shared" si="56"/>
        <v>0</v>
      </c>
      <c r="FQ35" s="14">
        <f t="shared" si="57"/>
        <v>0</v>
      </c>
      <c r="FR35" s="14">
        <f t="shared" si="58"/>
        <v>195</v>
      </c>
      <c r="FS35" s="14">
        <f t="shared" si="59"/>
        <v>0</v>
      </c>
      <c r="FT35" s="14">
        <f t="shared" si="60"/>
        <v>0</v>
      </c>
      <c r="FU35" s="14">
        <f t="shared" si="61"/>
        <v>30</v>
      </c>
      <c r="FV35" s="14">
        <f t="shared" si="23"/>
        <v>1014</v>
      </c>
      <c r="FW35" s="14">
        <f t="shared" si="24"/>
        <v>3</v>
      </c>
      <c r="FX35" s="14">
        <f t="shared" si="25"/>
        <v>1014</v>
      </c>
      <c r="FY35" s="25" t="str">
        <f t="shared" si="62"/>
        <v>icon_2001106</v>
      </c>
      <c r="FZ35" s="30"/>
      <c r="GA35" s="30"/>
      <c r="GC35" s="14">
        <f t="shared" si="26"/>
        <v>3</v>
      </c>
      <c r="GD35" s="14">
        <f t="shared" si="27"/>
        <v>0</v>
      </c>
      <c r="GE35" s="14">
        <f t="shared" si="63"/>
        <v>30</v>
      </c>
      <c r="GF35" s="14" t="str">
        <f t="shared" si="28"/>
        <v>HPExt</v>
      </c>
      <c r="GG35" s="14">
        <f t="shared" si="64"/>
        <v>195</v>
      </c>
      <c r="GH35" s="14">
        <f t="shared" si="65"/>
        <v>30</v>
      </c>
      <c r="GI35" s="14" t="str">
        <f t="shared" si="29"/>
        <v/>
      </c>
      <c r="GJ35" s="14" t="str">
        <f t="shared" si="66"/>
        <v/>
      </c>
      <c r="GK35" s="14" t="str">
        <f t="shared" si="67"/>
        <v/>
      </c>
      <c r="GL35" s="14">
        <f t="shared" si="30"/>
        <v>20140</v>
      </c>
      <c r="GM35" s="14">
        <f t="shared" si="68"/>
        <v>3</v>
      </c>
      <c r="GN35" s="14">
        <f t="shared" si="69"/>
        <v>1014</v>
      </c>
      <c r="GO35" s="25" t="s">
        <v>1471</v>
      </c>
      <c r="GP35" s="14">
        <f t="shared" si="31"/>
        <v>50</v>
      </c>
      <c r="GS35" s="16"/>
      <c r="GT35" s="16"/>
      <c r="GU35" s="30"/>
      <c r="GV35" s="30"/>
      <c r="GW35" s="13">
        <v>30</v>
      </c>
      <c r="GX35" s="14">
        <f t="shared" si="70"/>
        <v>10</v>
      </c>
      <c r="GY35" s="14">
        <f t="shared" si="71"/>
        <v>1</v>
      </c>
      <c r="GZ35" s="14">
        <f t="shared" si="72"/>
        <v>1</v>
      </c>
      <c r="HA35" s="14">
        <f t="shared" si="73"/>
        <v>200843</v>
      </c>
      <c r="HB35" s="14" t="str">
        <f t="shared" si="74"/>
        <v>120级寄灵人の绝世套 : 属性-1</v>
      </c>
      <c r="HC35" s="14" t="s">
        <v>1396</v>
      </c>
      <c r="HD35" s="14">
        <f t="shared" si="75"/>
        <v>1</v>
      </c>
      <c r="HE35" s="14">
        <f t="shared" si="76"/>
        <v>2</v>
      </c>
      <c r="HF35" s="14" t="str">
        <f t="shared" si="77"/>
        <v>AtkExt</v>
      </c>
      <c r="HG35" s="14">
        <f t="shared" si="78"/>
        <v>5000</v>
      </c>
      <c r="HH35" s="30"/>
      <c r="HI35" s="30"/>
      <c r="HK35" s="13">
        <v>30</v>
      </c>
      <c r="HL35" s="14">
        <f t="shared" si="79"/>
        <v>2</v>
      </c>
      <c r="HM35" s="14">
        <f t="shared" si="80"/>
        <v>1</v>
      </c>
      <c r="HN35" s="14">
        <f t="shared" si="81"/>
        <v>2</v>
      </c>
      <c r="HO35" s="14">
        <f t="shared" si="82"/>
        <v>3</v>
      </c>
      <c r="HP35" s="14" t="str">
        <f t="shared" si="83"/>
        <v>30级寄灵人洗练-Q3-6</v>
      </c>
      <c r="HQ35" s="14">
        <f t="shared" si="84"/>
        <v>1023</v>
      </c>
      <c r="HR35" s="14">
        <f t="shared" si="85"/>
        <v>6</v>
      </c>
      <c r="HS35" s="14">
        <f t="shared" si="86"/>
        <v>500</v>
      </c>
      <c r="HT35" s="14" t="str">
        <f t="shared" si="87"/>
        <v>HPRate</v>
      </c>
      <c r="HU35" s="14">
        <f t="shared" si="88"/>
        <v>1.4E-2</v>
      </c>
      <c r="HV35" s="14">
        <f t="shared" si="89"/>
        <v>0.04</v>
      </c>
    </row>
    <row r="36" spans="1:230" s="19" customFormat="1" ht="16.5" x14ac:dyDescent="0.2">
      <c r="A36" t="s">
        <v>1202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1244</v>
      </c>
      <c r="AM36" s="13" t="s">
        <v>1262</v>
      </c>
      <c r="AN36" s="13">
        <f t="shared" si="10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S36" s="30"/>
      <c r="ET36" s="30"/>
      <c r="EU36" s="13">
        <v>31</v>
      </c>
      <c r="EV36" s="14">
        <f t="shared" si="51"/>
        <v>1</v>
      </c>
      <c r="EW36" s="14">
        <f t="shared" si="52"/>
        <v>31</v>
      </c>
      <c r="EX36" s="14">
        <f t="shared" si="53"/>
        <v>4</v>
      </c>
      <c r="EY36" s="14">
        <f t="shared" si="9"/>
        <v>40</v>
      </c>
      <c r="EZ36" s="14">
        <f t="shared" si="10"/>
        <v>1</v>
      </c>
      <c r="FA36" s="14">
        <f t="shared" si="11"/>
        <v>15</v>
      </c>
      <c r="FB36" s="14">
        <f t="shared" si="12"/>
        <v>4</v>
      </c>
      <c r="FC36" s="14">
        <f t="shared" si="13"/>
        <v>7</v>
      </c>
      <c r="FD36" s="14">
        <f t="shared" si="14"/>
        <v>7</v>
      </c>
      <c r="FE36" s="14" t="b">
        <f t="shared" si="54"/>
        <v>0</v>
      </c>
      <c r="FF36" s="14">
        <f t="shared" si="15"/>
        <v>2001407</v>
      </c>
      <c r="FG36" s="13" t="str">
        <f t="shared" si="16"/>
        <v>15级-史诗寄灵人の项链</v>
      </c>
      <c r="FH36" s="14">
        <f t="shared" si="17"/>
        <v>1</v>
      </c>
      <c r="FI36" s="14">
        <f t="shared" si="18"/>
        <v>4</v>
      </c>
      <c r="FJ36" s="14">
        <f t="shared" si="19"/>
        <v>15</v>
      </c>
      <c r="FK36" s="14">
        <v>1</v>
      </c>
      <c r="FL36" s="14">
        <f t="shared" si="20"/>
        <v>1</v>
      </c>
      <c r="FM36" s="14">
        <f t="shared" si="55"/>
        <v>7</v>
      </c>
      <c r="FN36" s="14" t="str">
        <f t="shared" si="21"/>
        <v/>
      </c>
      <c r="FO36" s="14">
        <f t="shared" si="22"/>
        <v>35</v>
      </c>
      <c r="FP36" s="14">
        <f t="shared" si="56"/>
        <v>20</v>
      </c>
      <c r="FQ36" s="14">
        <f t="shared" si="57"/>
        <v>15</v>
      </c>
      <c r="FR36" s="14">
        <f t="shared" si="58"/>
        <v>0</v>
      </c>
      <c r="FS36" s="14">
        <f t="shared" si="59"/>
        <v>3</v>
      </c>
      <c r="FT36" s="14">
        <f t="shared" si="60"/>
        <v>2</v>
      </c>
      <c r="FU36" s="14">
        <f t="shared" si="61"/>
        <v>0</v>
      </c>
      <c r="FV36" s="14">
        <f t="shared" si="23"/>
        <v>1014</v>
      </c>
      <c r="FW36" s="14">
        <f t="shared" si="24"/>
        <v>3</v>
      </c>
      <c r="FX36" s="14">
        <f t="shared" si="25"/>
        <v>1014</v>
      </c>
      <c r="FY36" s="25" t="str">
        <f t="shared" si="62"/>
        <v>icon_2001107</v>
      </c>
      <c r="FZ36" s="30"/>
      <c r="GA36" s="30"/>
      <c r="GC36" s="14">
        <f t="shared" si="26"/>
        <v>1</v>
      </c>
      <c r="GD36" s="14">
        <f t="shared" si="27"/>
        <v>2</v>
      </c>
      <c r="GE36" s="14">
        <f t="shared" si="63"/>
        <v>35</v>
      </c>
      <c r="GF36" s="14" t="str">
        <f t="shared" si="28"/>
        <v>AtkExt</v>
      </c>
      <c r="GG36" s="14">
        <f t="shared" si="64"/>
        <v>20</v>
      </c>
      <c r="GH36" s="14">
        <f t="shared" si="65"/>
        <v>3</v>
      </c>
      <c r="GI36" s="14" t="str">
        <f t="shared" si="29"/>
        <v>DefExt</v>
      </c>
      <c r="GJ36" s="14">
        <f t="shared" si="66"/>
        <v>15</v>
      </c>
      <c r="GK36" s="14">
        <f t="shared" si="67"/>
        <v>2</v>
      </c>
      <c r="GL36" s="14">
        <f t="shared" si="30"/>
        <v>20140</v>
      </c>
      <c r="GM36" s="14">
        <f t="shared" si="68"/>
        <v>3</v>
      </c>
      <c r="GN36" s="14">
        <f t="shared" si="69"/>
        <v>1014</v>
      </c>
      <c r="GO36" s="25" t="s">
        <v>1471</v>
      </c>
      <c r="GP36" s="14">
        <f t="shared" si="31"/>
        <v>75</v>
      </c>
      <c r="GS36" s="30"/>
      <c r="GT36" s="30"/>
      <c r="GU36" s="30"/>
      <c r="GV36" s="30"/>
      <c r="GW36" s="13">
        <v>31</v>
      </c>
      <c r="GX36" s="14">
        <f t="shared" si="70"/>
        <v>10</v>
      </c>
      <c r="GY36" s="14">
        <f t="shared" si="71"/>
        <v>2</v>
      </c>
      <c r="GZ36" s="14">
        <f t="shared" si="72"/>
        <v>2</v>
      </c>
      <c r="HA36" s="14">
        <f t="shared" si="73"/>
        <v>200843</v>
      </c>
      <c r="HB36" s="14" t="str">
        <f t="shared" si="74"/>
        <v>120级寄灵人の绝世套 : 属性-2</v>
      </c>
      <c r="HC36" s="14" t="s">
        <v>1396</v>
      </c>
      <c r="HD36" s="14">
        <f t="shared" si="75"/>
        <v>2</v>
      </c>
      <c r="HE36" s="14">
        <f t="shared" si="76"/>
        <v>3</v>
      </c>
      <c r="HF36" s="14" t="str">
        <f t="shared" si="77"/>
        <v>DefExt</v>
      </c>
      <c r="HG36" s="14">
        <f t="shared" si="78"/>
        <v>2500</v>
      </c>
      <c r="HH36" s="30"/>
      <c r="HI36" s="30"/>
      <c r="HK36" s="13">
        <v>31</v>
      </c>
      <c r="HL36" s="14">
        <f t="shared" si="79"/>
        <v>2</v>
      </c>
      <c r="HM36" s="14">
        <f t="shared" si="80"/>
        <v>1</v>
      </c>
      <c r="HN36" s="14">
        <f t="shared" si="81"/>
        <v>2</v>
      </c>
      <c r="HO36" s="14">
        <f t="shared" si="82"/>
        <v>3</v>
      </c>
      <c r="HP36" s="14" t="str">
        <f t="shared" si="83"/>
        <v>30级寄灵人洗练-Q3-7</v>
      </c>
      <c r="HQ36" s="14">
        <f t="shared" si="84"/>
        <v>1023</v>
      </c>
      <c r="HR36" s="14">
        <f t="shared" si="85"/>
        <v>7</v>
      </c>
      <c r="HS36" s="14">
        <f t="shared" si="86"/>
        <v>500</v>
      </c>
      <c r="HT36" s="14" t="str">
        <f t="shared" si="87"/>
        <v>Crit</v>
      </c>
      <c r="HU36" s="14">
        <f t="shared" si="88"/>
        <v>1.0999999999999999E-2</v>
      </c>
      <c r="HV36" s="14">
        <f t="shared" si="89"/>
        <v>0.03</v>
      </c>
    </row>
    <row r="37" spans="1:230" s="19" customFormat="1" ht="16.5" x14ac:dyDescent="0.2">
      <c r="A37" t="s">
        <v>1203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1245</v>
      </c>
      <c r="AM37" s="13" t="s">
        <v>1267</v>
      </c>
      <c r="AN37" s="13">
        <f t="shared" si="10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S37" s="30"/>
      <c r="ET37" s="30"/>
      <c r="EU37" s="13">
        <v>32</v>
      </c>
      <c r="EV37" s="14">
        <f t="shared" si="51"/>
        <v>1</v>
      </c>
      <c r="EW37" s="14">
        <f t="shared" si="52"/>
        <v>32</v>
      </c>
      <c r="EX37" s="14">
        <f t="shared" si="53"/>
        <v>4</v>
      </c>
      <c r="EY37" s="14">
        <f t="shared" si="9"/>
        <v>40</v>
      </c>
      <c r="EZ37" s="14">
        <f t="shared" si="10"/>
        <v>1</v>
      </c>
      <c r="FA37" s="14">
        <f t="shared" si="11"/>
        <v>15</v>
      </c>
      <c r="FB37" s="14">
        <f t="shared" si="12"/>
        <v>4</v>
      </c>
      <c r="FC37" s="14">
        <f t="shared" si="13"/>
        <v>8</v>
      </c>
      <c r="FD37" s="14">
        <f t="shared" si="14"/>
        <v>8</v>
      </c>
      <c r="FE37" s="14" t="b">
        <f t="shared" si="54"/>
        <v>0</v>
      </c>
      <c r="FF37" s="14">
        <f t="shared" si="15"/>
        <v>2001408</v>
      </c>
      <c r="FG37" s="13" t="str">
        <f t="shared" si="16"/>
        <v>15级-史诗寄灵人の戒指</v>
      </c>
      <c r="FH37" s="14">
        <f t="shared" si="17"/>
        <v>1</v>
      </c>
      <c r="FI37" s="14">
        <f t="shared" si="18"/>
        <v>4</v>
      </c>
      <c r="FJ37" s="14">
        <f t="shared" si="19"/>
        <v>15</v>
      </c>
      <c r="FK37" s="14">
        <v>1</v>
      </c>
      <c r="FL37" s="14">
        <f t="shared" si="20"/>
        <v>1</v>
      </c>
      <c r="FM37" s="14">
        <f t="shared" si="55"/>
        <v>8</v>
      </c>
      <c r="FN37" s="14" t="str">
        <f t="shared" si="21"/>
        <v/>
      </c>
      <c r="FO37" s="14">
        <f t="shared" si="22"/>
        <v>40</v>
      </c>
      <c r="FP37" s="14">
        <f t="shared" si="56"/>
        <v>20</v>
      </c>
      <c r="FQ37" s="14">
        <f t="shared" si="57"/>
        <v>0</v>
      </c>
      <c r="FR37" s="14">
        <f t="shared" si="58"/>
        <v>160</v>
      </c>
      <c r="FS37" s="14">
        <f t="shared" si="59"/>
        <v>3</v>
      </c>
      <c r="FT37" s="14">
        <f t="shared" si="60"/>
        <v>0</v>
      </c>
      <c r="FU37" s="14">
        <f t="shared" si="61"/>
        <v>25</v>
      </c>
      <c r="FV37" s="14">
        <f t="shared" si="23"/>
        <v>1014</v>
      </c>
      <c r="FW37" s="14">
        <f t="shared" si="24"/>
        <v>3</v>
      </c>
      <c r="FX37" s="14">
        <f t="shared" si="25"/>
        <v>1014</v>
      </c>
      <c r="FY37" s="25" t="str">
        <f t="shared" si="62"/>
        <v>icon_2001108</v>
      </c>
      <c r="FZ37" s="30"/>
      <c r="GA37" s="30"/>
      <c r="GC37" s="14">
        <f t="shared" si="26"/>
        <v>1</v>
      </c>
      <c r="GD37" s="14">
        <f t="shared" si="27"/>
        <v>3</v>
      </c>
      <c r="GE37" s="14">
        <f t="shared" si="63"/>
        <v>40</v>
      </c>
      <c r="GF37" s="14" t="str">
        <f t="shared" si="28"/>
        <v>AtkExt</v>
      </c>
      <c r="GG37" s="14">
        <f t="shared" si="64"/>
        <v>20</v>
      </c>
      <c r="GH37" s="14">
        <f t="shared" si="65"/>
        <v>3</v>
      </c>
      <c r="GI37" s="14" t="str">
        <f t="shared" si="29"/>
        <v>HPExt</v>
      </c>
      <c r="GJ37" s="14">
        <f t="shared" si="66"/>
        <v>160</v>
      </c>
      <c r="GK37" s="14">
        <f t="shared" si="67"/>
        <v>25</v>
      </c>
      <c r="GL37" s="14">
        <f t="shared" si="30"/>
        <v>20140</v>
      </c>
      <c r="GM37" s="14">
        <f t="shared" si="68"/>
        <v>3</v>
      </c>
      <c r="GN37" s="14">
        <f t="shared" si="69"/>
        <v>1014</v>
      </c>
      <c r="GO37" s="25" t="s">
        <v>1471</v>
      </c>
      <c r="GP37" s="14">
        <f t="shared" si="31"/>
        <v>75</v>
      </c>
      <c r="GS37" s="30"/>
      <c r="GT37" s="30"/>
      <c r="GU37" s="30"/>
      <c r="GV37" s="30"/>
      <c r="GW37" s="13">
        <v>32</v>
      </c>
      <c r="GX37" s="14">
        <f t="shared" si="70"/>
        <v>10</v>
      </c>
      <c r="GY37" s="14">
        <f t="shared" si="71"/>
        <v>3</v>
      </c>
      <c r="GZ37" s="14">
        <f t="shared" si="72"/>
        <v>7</v>
      </c>
      <c r="HA37" s="14">
        <f t="shared" si="73"/>
        <v>200843</v>
      </c>
      <c r="HB37" s="14" t="str">
        <f t="shared" si="74"/>
        <v>120级寄灵人の绝世套 : 属性-3</v>
      </c>
      <c r="HC37" s="14" t="s">
        <v>1396</v>
      </c>
      <c r="HD37" s="14">
        <f t="shared" si="75"/>
        <v>3</v>
      </c>
      <c r="HE37" s="14">
        <f t="shared" si="76"/>
        <v>4</v>
      </c>
      <c r="HF37" s="14" t="str">
        <f t="shared" si="77"/>
        <v>DmgBonus</v>
      </c>
      <c r="HG37" s="14">
        <f t="shared" si="78"/>
        <v>0.1</v>
      </c>
      <c r="HH37" s="30"/>
      <c r="HI37" s="30"/>
      <c r="HK37" s="13">
        <v>32</v>
      </c>
      <c r="HL37" s="14">
        <f t="shared" si="79"/>
        <v>2</v>
      </c>
      <c r="HM37" s="14">
        <f t="shared" si="80"/>
        <v>1</v>
      </c>
      <c r="HN37" s="14">
        <f t="shared" si="81"/>
        <v>2</v>
      </c>
      <c r="HO37" s="14">
        <f t="shared" si="82"/>
        <v>3</v>
      </c>
      <c r="HP37" s="14" t="str">
        <f t="shared" si="83"/>
        <v>30级寄灵人洗练-Q3-8</v>
      </c>
      <c r="HQ37" s="14">
        <f t="shared" si="84"/>
        <v>1023</v>
      </c>
      <c r="HR37" s="14">
        <f t="shared" si="85"/>
        <v>8</v>
      </c>
      <c r="HS37" s="14">
        <f t="shared" si="86"/>
        <v>500</v>
      </c>
      <c r="HT37" s="14" t="str">
        <f t="shared" si="87"/>
        <v>CritRate</v>
      </c>
      <c r="HU37" s="14">
        <f t="shared" si="88"/>
        <v>2.8000000000000001E-2</v>
      </c>
      <c r="HV37" s="14">
        <f t="shared" si="89"/>
        <v>0.08</v>
      </c>
    </row>
    <row r="38" spans="1:230" s="19" customFormat="1" ht="16.5" x14ac:dyDescent="0.2">
      <c r="A38" t="s">
        <v>1204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1246</v>
      </c>
      <c r="AM38" s="13" t="s">
        <v>1259</v>
      </c>
      <c r="AN38" s="13">
        <f t="shared" si="10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S38" s="30"/>
      <c r="ET38" s="30"/>
      <c r="EU38" s="13">
        <v>33</v>
      </c>
      <c r="EV38" s="14">
        <f t="shared" si="51"/>
        <v>1</v>
      </c>
      <c r="EW38" s="14">
        <f t="shared" si="52"/>
        <v>33</v>
      </c>
      <c r="EX38" s="14">
        <f t="shared" si="53"/>
        <v>5</v>
      </c>
      <c r="EY38" s="14">
        <f t="shared" si="9"/>
        <v>43</v>
      </c>
      <c r="EZ38" s="14">
        <f t="shared" si="10"/>
        <v>1</v>
      </c>
      <c r="FA38" s="14">
        <f t="shared" si="11"/>
        <v>15</v>
      </c>
      <c r="FB38" s="14">
        <f t="shared" si="12"/>
        <v>4</v>
      </c>
      <c r="FC38" s="14">
        <f t="shared" si="13"/>
        <v>1</v>
      </c>
      <c r="FD38" s="14">
        <f t="shared" si="14"/>
        <v>1</v>
      </c>
      <c r="FE38" s="14" t="b">
        <f t="shared" si="54"/>
        <v>1</v>
      </c>
      <c r="FF38" s="14">
        <f t="shared" si="15"/>
        <v>2001431</v>
      </c>
      <c r="FG38" s="13" t="str">
        <f t="shared" si="16"/>
        <v>15级-新手套寄灵人の灵器</v>
      </c>
      <c r="FH38" s="14">
        <f t="shared" si="17"/>
        <v>1</v>
      </c>
      <c r="FI38" s="14">
        <f t="shared" si="18"/>
        <v>4</v>
      </c>
      <c r="FJ38" s="14">
        <f t="shared" si="19"/>
        <v>15</v>
      </c>
      <c r="FK38" s="14">
        <v>1</v>
      </c>
      <c r="FL38" s="14">
        <f t="shared" si="20"/>
        <v>1</v>
      </c>
      <c r="FM38" s="14">
        <f t="shared" si="55"/>
        <v>1</v>
      </c>
      <c r="FN38" s="14">
        <f t="shared" si="21"/>
        <v>200143</v>
      </c>
      <c r="FO38" s="14">
        <f t="shared" si="22"/>
        <v>75</v>
      </c>
      <c r="FP38" s="14">
        <f t="shared" si="56"/>
        <v>65</v>
      </c>
      <c r="FQ38" s="14">
        <f t="shared" si="57"/>
        <v>0</v>
      </c>
      <c r="FR38" s="14">
        <f t="shared" si="58"/>
        <v>0</v>
      </c>
      <c r="FS38" s="14">
        <f t="shared" si="59"/>
        <v>10</v>
      </c>
      <c r="FT38" s="14">
        <f t="shared" si="60"/>
        <v>0</v>
      </c>
      <c r="FU38" s="14">
        <f t="shared" si="61"/>
        <v>0</v>
      </c>
      <c r="FV38" s="14">
        <f t="shared" si="23"/>
        <v>1014</v>
      </c>
      <c r="FW38" s="14">
        <f t="shared" si="24"/>
        <v>3</v>
      </c>
      <c r="FX38" s="14">
        <f t="shared" si="25"/>
        <v>1014</v>
      </c>
      <c r="FY38" s="25" t="str">
        <f t="shared" si="62"/>
        <v>icon_2001431</v>
      </c>
      <c r="FZ38" s="30" t="s">
        <v>1430</v>
      </c>
      <c r="GA38" s="30"/>
      <c r="GC38" s="14">
        <f t="shared" si="26"/>
        <v>1</v>
      </c>
      <c r="GD38" s="14">
        <f t="shared" si="27"/>
        <v>0</v>
      </c>
      <c r="GE38" s="14">
        <f t="shared" si="63"/>
        <v>75</v>
      </c>
      <c r="GF38" s="14" t="str">
        <f t="shared" si="28"/>
        <v>AtkExt</v>
      </c>
      <c r="GG38" s="14">
        <f t="shared" si="64"/>
        <v>65</v>
      </c>
      <c r="GH38" s="14">
        <f t="shared" si="65"/>
        <v>10</v>
      </c>
      <c r="GI38" s="14" t="str">
        <f t="shared" si="29"/>
        <v/>
      </c>
      <c r="GJ38" s="14" t="str">
        <f t="shared" si="66"/>
        <v/>
      </c>
      <c r="GK38" s="14" t="str">
        <f t="shared" si="67"/>
        <v/>
      </c>
      <c r="GL38" s="14">
        <f t="shared" si="30"/>
        <v>20140</v>
      </c>
      <c r="GM38" s="14">
        <f t="shared" si="68"/>
        <v>3</v>
      </c>
      <c r="GN38" s="14">
        <f t="shared" si="69"/>
        <v>1014</v>
      </c>
      <c r="GO38" s="25" t="s">
        <v>1471</v>
      </c>
      <c r="GP38" s="14">
        <f t="shared" si="31"/>
        <v>100</v>
      </c>
      <c r="GS38" s="30"/>
      <c r="GT38" s="30"/>
      <c r="GU38" s="30"/>
      <c r="GV38" s="30"/>
      <c r="GW38" s="13">
        <v>33</v>
      </c>
      <c r="GX38" s="14">
        <f t="shared" si="70"/>
        <v>10</v>
      </c>
      <c r="GY38" s="14">
        <f t="shared" si="71"/>
        <v>4</v>
      </c>
      <c r="GZ38" s="14">
        <f t="shared" si="72"/>
        <v>8</v>
      </c>
      <c r="HA38" s="14">
        <f t="shared" si="73"/>
        <v>200843</v>
      </c>
      <c r="HB38" s="14" t="str">
        <f t="shared" si="74"/>
        <v>120级寄灵人の绝世套 : 属性-4</v>
      </c>
      <c r="HC38" s="14" t="s">
        <v>1396</v>
      </c>
      <c r="HD38" s="14">
        <f t="shared" si="75"/>
        <v>4</v>
      </c>
      <c r="HE38" s="14">
        <f t="shared" si="76"/>
        <v>5</v>
      </c>
      <c r="HF38" s="14" t="str">
        <f t="shared" si="77"/>
        <v>DmgResist</v>
      </c>
      <c r="HG38" s="14">
        <f t="shared" si="78"/>
        <v>0.1</v>
      </c>
      <c r="HH38" s="30"/>
      <c r="HI38" s="30"/>
      <c r="HK38" s="13">
        <v>33</v>
      </c>
      <c r="HL38" s="14">
        <f t="shared" si="79"/>
        <v>2</v>
      </c>
      <c r="HM38" s="14">
        <f t="shared" si="80"/>
        <v>1</v>
      </c>
      <c r="HN38" s="14">
        <f t="shared" si="81"/>
        <v>2</v>
      </c>
      <c r="HO38" s="14">
        <f t="shared" si="82"/>
        <v>3</v>
      </c>
      <c r="HP38" s="14" t="str">
        <f t="shared" si="83"/>
        <v>30级寄灵人洗练-Q3-9</v>
      </c>
      <c r="HQ38" s="14">
        <f t="shared" si="84"/>
        <v>1023</v>
      </c>
      <c r="HR38" s="14">
        <f t="shared" si="85"/>
        <v>9</v>
      </c>
      <c r="HS38" s="14">
        <f t="shared" si="86"/>
        <v>500</v>
      </c>
      <c r="HT38" s="14" t="str">
        <f t="shared" si="87"/>
        <v>DefIgnor</v>
      </c>
      <c r="HU38" s="14">
        <f t="shared" si="88"/>
        <v>1.0999999999999999E-2</v>
      </c>
      <c r="HV38" s="14">
        <f t="shared" si="89"/>
        <v>0.03</v>
      </c>
    </row>
    <row r="39" spans="1:230" s="19" customFormat="1" ht="16.5" x14ac:dyDescent="0.2">
      <c r="A39" t="s">
        <v>1205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1246</v>
      </c>
      <c r="AM39" s="13" t="s">
        <v>1260</v>
      </c>
      <c r="AN39" s="13">
        <f t="shared" si="10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S39" s="30"/>
      <c r="ET39" s="30"/>
      <c r="EU39" s="13">
        <v>34</v>
      </c>
      <c r="EV39" s="14">
        <f t="shared" si="51"/>
        <v>1</v>
      </c>
      <c r="EW39" s="14">
        <f t="shared" si="52"/>
        <v>34</v>
      </c>
      <c r="EX39" s="14">
        <f t="shared" si="53"/>
        <v>5</v>
      </c>
      <c r="EY39" s="14">
        <f t="shared" si="9"/>
        <v>43</v>
      </c>
      <c r="EZ39" s="14">
        <f t="shared" si="10"/>
        <v>1</v>
      </c>
      <c r="FA39" s="14">
        <f t="shared" si="11"/>
        <v>15</v>
      </c>
      <c r="FB39" s="14">
        <f t="shared" si="12"/>
        <v>4</v>
      </c>
      <c r="FC39" s="14">
        <f t="shared" si="13"/>
        <v>2</v>
      </c>
      <c r="FD39" s="14">
        <f t="shared" si="14"/>
        <v>2</v>
      </c>
      <c r="FE39" s="14" t="b">
        <f t="shared" si="54"/>
        <v>1</v>
      </c>
      <c r="FF39" s="14">
        <f t="shared" si="15"/>
        <v>2001432</v>
      </c>
      <c r="FG39" s="13" t="str">
        <f t="shared" si="16"/>
        <v>15级-新手套寄灵人の头盔</v>
      </c>
      <c r="FH39" s="14">
        <f t="shared" si="17"/>
        <v>1</v>
      </c>
      <c r="FI39" s="14">
        <f t="shared" si="18"/>
        <v>4</v>
      </c>
      <c r="FJ39" s="14">
        <f t="shared" si="19"/>
        <v>15</v>
      </c>
      <c r="FK39" s="14">
        <v>1</v>
      </c>
      <c r="FL39" s="14">
        <f t="shared" si="20"/>
        <v>1</v>
      </c>
      <c r="FM39" s="14">
        <f t="shared" si="55"/>
        <v>2</v>
      </c>
      <c r="FN39" s="14">
        <f t="shared" si="21"/>
        <v>200143</v>
      </c>
      <c r="FO39" s="14">
        <f t="shared" si="22"/>
        <v>45</v>
      </c>
      <c r="FP39" s="14">
        <f t="shared" si="56"/>
        <v>0</v>
      </c>
      <c r="FQ39" s="14">
        <f t="shared" si="57"/>
        <v>15</v>
      </c>
      <c r="FR39" s="14">
        <f t="shared" si="58"/>
        <v>0</v>
      </c>
      <c r="FS39" s="14">
        <f t="shared" si="59"/>
        <v>0</v>
      </c>
      <c r="FT39" s="14">
        <f t="shared" si="60"/>
        <v>3</v>
      </c>
      <c r="FU39" s="14">
        <f t="shared" si="61"/>
        <v>0</v>
      </c>
      <c r="FV39" s="14">
        <f t="shared" si="23"/>
        <v>1014</v>
      </c>
      <c r="FW39" s="14">
        <f t="shared" si="24"/>
        <v>3</v>
      </c>
      <c r="FX39" s="14">
        <f t="shared" si="25"/>
        <v>1014</v>
      </c>
      <c r="FY39" s="25" t="str">
        <f t="shared" si="62"/>
        <v>icon_2001432</v>
      </c>
      <c r="FZ39" s="30" t="s">
        <v>1431</v>
      </c>
      <c r="GA39" s="30"/>
      <c r="GC39" s="14">
        <f t="shared" si="26"/>
        <v>2</v>
      </c>
      <c r="GD39" s="14">
        <f t="shared" si="27"/>
        <v>0</v>
      </c>
      <c r="GE39" s="14">
        <f t="shared" si="63"/>
        <v>45</v>
      </c>
      <c r="GF39" s="14" t="str">
        <f t="shared" si="28"/>
        <v>DefExt</v>
      </c>
      <c r="GG39" s="14">
        <f t="shared" si="64"/>
        <v>15</v>
      </c>
      <c r="GH39" s="14">
        <f t="shared" si="65"/>
        <v>3</v>
      </c>
      <c r="GI39" s="14" t="str">
        <f t="shared" si="29"/>
        <v/>
      </c>
      <c r="GJ39" s="14" t="str">
        <f t="shared" si="66"/>
        <v/>
      </c>
      <c r="GK39" s="14" t="str">
        <f t="shared" si="67"/>
        <v/>
      </c>
      <c r="GL39" s="14">
        <f t="shared" si="30"/>
        <v>20140</v>
      </c>
      <c r="GM39" s="14">
        <f t="shared" si="68"/>
        <v>3</v>
      </c>
      <c r="GN39" s="14">
        <f t="shared" si="69"/>
        <v>1014</v>
      </c>
      <c r="GO39" s="25" t="s">
        <v>1471</v>
      </c>
      <c r="GP39" s="14">
        <f t="shared" si="31"/>
        <v>50</v>
      </c>
      <c r="GS39" s="30"/>
      <c r="GT39" s="30"/>
      <c r="GU39" s="30"/>
      <c r="GV39" s="30"/>
      <c r="GW39" s="13">
        <v>34</v>
      </c>
      <c r="GX39" s="14">
        <f t="shared" si="70"/>
        <v>11</v>
      </c>
      <c r="GY39" s="14">
        <f t="shared" si="71"/>
        <v>1</v>
      </c>
      <c r="GZ39" s="14">
        <f t="shared" si="72"/>
        <v>2</v>
      </c>
      <c r="HA39" s="14">
        <f t="shared" si="73"/>
        <v>200942</v>
      </c>
      <c r="HB39" s="14" t="str">
        <f t="shared" si="74"/>
        <v>130级寄灵人の防御套 : 属性-1</v>
      </c>
      <c r="HC39" s="14" t="s">
        <v>1396</v>
      </c>
      <c r="HD39" s="14">
        <f t="shared" si="75"/>
        <v>1</v>
      </c>
      <c r="HE39" s="14">
        <f t="shared" si="76"/>
        <v>2</v>
      </c>
      <c r="HF39" s="14" t="str">
        <f t="shared" si="77"/>
        <v>DefExt</v>
      </c>
      <c r="HG39" s="14">
        <f t="shared" si="78"/>
        <v>2500</v>
      </c>
      <c r="HH39" s="30"/>
      <c r="HI39" s="30"/>
      <c r="HK39" s="13">
        <v>34</v>
      </c>
      <c r="HL39" s="14">
        <f t="shared" si="79"/>
        <v>2</v>
      </c>
      <c r="HM39" s="14">
        <f t="shared" si="80"/>
        <v>1</v>
      </c>
      <c r="HN39" s="14">
        <f t="shared" si="81"/>
        <v>2</v>
      </c>
      <c r="HO39" s="14">
        <f t="shared" si="82"/>
        <v>3</v>
      </c>
      <c r="HP39" s="14" t="str">
        <f t="shared" si="83"/>
        <v>30级寄灵人洗练-Q3-10</v>
      </c>
      <c r="HQ39" s="14">
        <f t="shared" si="84"/>
        <v>1023</v>
      </c>
      <c r="HR39" s="14">
        <f t="shared" si="85"/>
        <v>10</v>
      </c>
      <c r="HS39" s="14">
        <f t="shared" si="86"/>
        <v>500</v>
      </c>
      <c r="HT39" s="14" t="str">
        <f t="shared" si="87"/>
        <v>Block</v>
      </c>
      <c r="HU39" s="14">
        <f t="shared" si="88"/>
        <v>1.0999999999999999E-2</v>
      </c>
      <c r="HV39" s="14">
        <f t="shared" si="89"/>
        <v>0.03</v>
      </c>
    </row>
    <row r="40" spans="1:230" s="19" customFormat="1" ht="16.5" x14ac:dyDescent="0.2">
      <c r="A40" t="s">
        <v>1206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1246</v>
      </c>
      <c r="AM40" s="13" t="s">
        <v>1261</v>
      </c>
      <c r="AN40" s="13">
        <f t="shared" si="10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S40" s="30"/>
      <c r="ET40" s="30"/>
      <c r="EU40" s="13">
        <v>35</v>
      </c>
      <c r="EV40" s="14">
        <f t="shared" si="51"/>
        <v>1</v>
      </c>
      <c r="EW40" s="14">
        <f t="shared" si="52"/>
        <v>35</v>
      </c>
      <c r="EX40" s="14">
        <f t="shared" si="53"/>
        <v>5</v>
      </c>
      <c r="EY40" s="14">
        <f t="shared" si="9"/>
        <v>43</v>
      </c>
      <c r="EZ40" s="14">
        <f t="shared" si="10"/>
        <v>1</v>
      </c>
      <c r="FA40" s="14">
        <f t="shared" si="11"/>
        <v>15</v>
      </c>
      <c r="FB40" s="14">
        <f t="shared" si="12"/>
        <v>4</v>
      </c>
      <c r="FC40" s="14">
        <f t="shared" si="13"/>
        <v>3</v>
      </c>
      <c r="FD40" s="14">
        <f t="shared" si="14"/>
        <v>3</v>
      </c>
      <c r="FE40" s="14" t="b">
        <f t="shared" si="54"/>
        <v>1</v>
      </c>
      <c r="FF40" s="14">
        <f t="shared" si="15"/>
        <v>2001433</v>
      </c>
      <c r="FG40" s="13" t="str">
        <f t="shared" si="16"/>
        <v>15级-新手套寄灵人の铠甲</v>
      </c>
      <c r="FH40" s="14">
        <f t="shared" si="17"/>
        <v>1</v>
      </c>
      <c r="FI40" s="14">
        <f t="shared" si="18"/>
        <v>4</v>
      </c>
      <c r="FJ40" s="14">
        <f t="shared" si="19"/>
        <v>15</v>
      </c>
      <c r="FK40" s="14">
        <v>1</v>
      </c>
      <c r="FL40" s="14">
        <f t="shared" si="20"/>
        <v>1</v>
      </c>
      <c r="FM40" s="14">
        <f t="shared" si="55"/>
        <v>3</v>
      </c>
      <c r="FN40" s="14">
        <f t="shared" si="21"/>
        <v>200143</v>
      </c>
      <c r="FO40" s="14">
        <f t="shared" si="22"/>
        <v>37</v>
      </c>
      <c r="FP40" s="14">
        <f t="shared" si="56"/>
        <v>0</v>
      </c>
      <c r="FQ40" s="14">
        <f t="shared" si="57"/>
        <v>10</v>
      </c>
      <c r="FR40" s="14">
        <f t="shared" si="58"/>
        <v>95</v>
      </c>
      <c r="FS40" s="14">
        <f t="shared" si="59"/>
        <v>0</v>
      </c>
      <c r="FT40" s="14">
        <f t="shared" si="60"/>
        <v>1</v>
      </c>
      <c r="FU40" s="14">
        <f t="shared" si="61"/>
        <v>15</v>
      </c>
      <c r="FV40" s="14">
        <f t="shared" si="23"/>
        <v>1014</v>
      </c>
      <c r="FW40" s="14">
        <f t="shared" si="24"/>
        <v>3</v>
      </c>
      <c r="FX40" s="14">
        <f t="shared" si="25"/>
        <v>1014</v>
      </c>
      <c r="FY40" s="25" t="str">
        <f t="shared" si="62"/>
        <v>icon_2001433</v>
      </c>
      <c r="FZ40" s="30" t="s">
        <v>1432</v>
      </c>
      <c r="GA40" s="30"/>
      <c r="GC40" s="14">
        <f t="shared" si="26"/>
        <v>2</v>
      </c>
      <c r="GD40" s="14">
        <f t="shared" si="27"/>
        <v>3</v>
      </c>
      <c r="GE40" s="14">
        <f t="shared" si="63"/>
        <v>37</v>
      </c>
      <c r="GF40" s="14" t="str">
        <f t="shared" si="28"/>
        <v>DefExt</v>
      </c>
      <c r="GG40" s="14">
        <f t="shared" si="64"/>
        <v>10</v>
      </c>
      <c r="GH40" s="14">
        <f t="shared" si="65"/>
        <v>1</v>
      </c>
      <c r="GI40" s="14" t="str">
        <f t="shared" si="29"/>
        <v>HPExt</v>
      </c>
      <c r="GJ40" s="14">
        <f t="shared" si="66"/>
        <v>95</v>
      </c>
      <c r="GK40" s="14">
        <f t="shared" si="67"/>
        <v>15</v>
      </c>
      <c r="GL40" s="14">
        <f t="shared" si="30"/>
        <v>20140</v>
      </c>
      <c r="GM40" s="14">
        <f t="shared" si="68"/>
        <v>3</v>
      </c>
      <c r="GN40" s="14">
        <f t="shared" si="69"/>
        <v>1014</v>
      </c>
      <c r="GO40" s="25" t="s">
        <v>1471</v>
      </c>
      <c r="GP40" s="14">
        <f t="shared" si="31"/>
        <v>50</v>
      </c>
      <c r="GS40" s="30"/>
      <c r="GT40" s="30"/>
      <c r="GU40" s="30"/>
      <c r="GV40" s="30"/>
      <c r="GW40" s="13">
        <v>35</v>
      </c>
      <c r="GX40" s="14">
        <f t="shared" si="70"/>
        <v>11</v>
      </c>
      <c r="GY40" s="14">
        <f t="shared" si="71"/>
        <v>2</v>
      </c>
      <c r="GZ40" s="14">
        <f t="shared" si="72"/>
        <v>3</v>
      </c>
      <c r="HA40" s="14">
        <f t="shared" si="73"/>
        <v>200942</v>
      </c>
      <c r="HB40" s="14" t="str">
        <f t="shared" si="74"/>
        <v>130级寄灵人の防御套 : 属性-2</v>
      </c>
      <c r="HC40" s="14" t="s">
        <v>1396</v>
      </c>
      <c r="HD40" s="14">
        <f t="shared" si="75"/>
        <v>2</v>
      </c>
      <c r="HE40" s="14">
        <f t="shared" si="76"/>
        <v>3</v>
      </c>
      <c r="HF40" s="14" t="str">
        <f t="shared" si="77"/>
        <v>HPExt</v>
      </c>
      <c r="HG40" s="14">
        <f t="shared" si="78"/>
        <v>25000</v>
      </c>
      <c r="HH40" s="30"/>
      <c r="HI40" s="30"/>
      <c r="HK40" s="13">
        <v>35</v>
      </c>
      <c r="HL40" s="14">
        <f t="shared" si="79"/>
        <v>2</v>
      </c>
      <c r="HM40" s="14">
        <f t="shared" si="80"/>
        <v>1</v>
      </c>
      <c r="HN40" s="14">
        <f t="shared" si="81"/>
        <v>2</v>
      </c>
      <c r="HO40" s="14">
        <f t="shared" si="82"/>
        <v>3</v>
      </c>
      <c r="HP40" s="14" t="str">
        <f t="shared" si="83"/>
        <v>30级寄灵人洗练-Q3-11</v>
      </c>
      <c r="HQ40" s="14">
        <f t="shared" si="84"/>
        <v>1023</v>
      </c>
      <c r="HR40" s="14">
        <f t="shared" si="85"/>
        <v>11</v>
      </c>
      <c r="HS40" s="14">
        <f t="shared" si="86"/>
        <v>500</v>
      </c>
      <c r="HT40" s="14" t="str">
        <f t="shared" si="87"/>
        <v>EffectHit</v>
      </c>
      <c r="HU40" s="14">
        <f t="shared" si="88"/>
        <v>1.7999999999999999E-2</v>
      </c>
      <c r="HV40" s="14">
        <f t="shared" si="89"/>
        <v>0.05</v>
      </c>
    </row>
    <row r="41" spans="1:230" s="19" customFormat="1" ht="16.5" x14ac:dyDescent="0.2">
      <c r="A41" t="s">
        <v>1207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1246</v>
      </c>
      <c r="AM41" s="13" t="s">
        <v>1262</v>
      </c>
      <c r="AN41" s="13">
        <f t="shared" si="10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S41" s="30"/>
      <c r="ET41" s="30"/>
      <c r="EU41" s="13">
        <v>36</v>
      </c>
      <c r="EV41" s="14">
        <f t="shared" si="51"/>
        <v>1</v>
      </c>
      <c r="EW41" s="14">
        <f t="shared" si="52"/>
        <v>36</v>
      </c>
      <c r="EX41" s="14">
        <f t="shared" si="53"/>
        <v>5</v>
      </c>
      <c r="EY41" s="14">
        <f t="shared" si="9"/>
        <v>43</v>
      </c>
      <c r="EZ41" s="14">
        <f t="shared" si="10"/>
        <v>1</v>
      </c>
      <c r="FA41" s="14">
        <f t="shared" si="11"/>
        <v>15</v>
      </c>
      <c r="FB41" s="14">
        <f t="shared" si="12"/>
        <v>4</v>
      </c>
      <c r="FC41" s="14">
        <f t="shared" si="13"/>
        <v>4</v>
      </c>
      <c r="FD41" s="14">
        <f t="shared" si="14"/>
        <v>4</v>
      </c>
      <c r="FE41" s="14" t="b">
        <f t="shared" si="54"/>
        <v>1</v>
      </c>
      <c r="FF41" s="14">
        <f t="shared" si="15"/>
        <v>2001434</v>
      </c>
      <c r="FG41" s="13" t="str">
        <f t="shared" si="16"/>
        <v>15级-新手套寄灵人の裤子</v>
      </c>
      <c r="FH41" s="14">
        <f t="shared" si="17"/>
        <v>1</v>
      </c>
      <c r="FI41" s="14">
        <f t="shared" si="18"/>
        <v>4</v>
      </c>
      <c r="FJ41" s="14">
        <f t="shared" si="19"/>
        <v>15</v>
      </c>
      <c r="FK41" s="14">
        <v>1</v>
      </c>
      <c r="FL41" s="14">
        <f t="shared" si="20"/>
        <v>1</v>
      </c>
      <c r="FM41" s="14">
        <f t="shared" si="55"/>
        <v>4</v>
      </c>
      <c r="FN41" s="14">
        <f t="shared" si="21"/>
        <v>200143</v>
      </c>
      <c r="FO41" s="14">
        <f t="shared" si="22"/>
        <v>45</v>
      </c>
      <c r="FP41" s="14">
        <f t="shared" si="56"/>
        <v>0</v>
      </c>
      <c r="FQ41" s="14">
        <f t="shared" si="57"/>
        <v>15</v>
      </c>
      <c r="FR41" s="14">
        <f t="shared" si="58"/>
        <v>0</v>
      </c>
      <c r="FS41" s="14">
        <f t="shared" si="59"/>
        <v>0</v>
      </c>
      <c r="FT41" s="14">
        <f t="shared" si="60"/>
        <v>3</v>
      </c>
      <c r="FU41" s="14">
        <f t="shared" si="61"/>
        <v>0</v>
      </c>
      <c r="FV41" s="14">
        <f t="shared" si="23"/>
        <v>1014</v>
      </c>
      <c r="FW41" s="14">
        <f t="shared" si="24"/>
        <v>3</v>
      </c>
      <c r="FX41" s="14">
        <f t="shared" si="25"/>
        <v>1014</v>
      </c>
      <c r="FY41" s="25" t="str">
        <f t="shared" si="62"/>
        <v>icon_2001434</v>
      </c>
      <c r="FZ41" s="30" t="s">
        <v>1433</v>
      </c>
      <c r="GA41" s="30"/>
      <c r="GC41" s="14">
        <f t="shared" si="26"/>
        <v>2</v>
      </c>
      <c r="GD41" s="14">
        <f t="shared" si="27"/>
        <v>0</v>
      </c>
      <c r="GE41" s="14">
        <f t="shared" si="63"/>
        <v>45</v>
      </c>
      <c r="GF41" s="14" t="str">
        <f t="shared" si="28"/>
        <v>DefExt</v>
      </c>
      <c r="GG41" s="14">
        <f t="shared" si="64"/>
        <v>15</v>
      </c>
      <c r="GH41" s="14">
        <f t="shared" si="65"/>
        <v>3</v>
      </c>
      <c r="GI41" s="14" t="str">
        <f t="shared" si="29"/>
        <v/>
      </c>
      <c r="GJ41" s="14" t="str">
        <f t="shared" si="66"/>
        <v/>
      </c>
      <c r="GK41" s="14" t="str">
        <f t="shared" si="67"/>
        <v/>
      </c>
      <c r="GL41" s="14">
        <f t="shared" si="30"/>
        <v>20140</v>
      </c>
      <c r="GM41" s="14">
        <f t="shared" si="68"/>
        <v>3</v>
      </c>
      <c r="GN41" s="14">
        <f t="shared" si="69"/>
        <v>1014</v>
      </c>
      <c r="GO41" s="25" t="s">
        <v>1471</v>
      </c>
      <c r="GP41" s="14">
        <f t="shared" si="31"/>
        <v>50</v>
      </c>
      <c r="GS41" s="30"/>
      <c r="GT41" s="30"/>
      <c r="GU41" s="30"/>
      <c r="GV41" s="30"/>
      <c r="GW41" s="13">
        <v>36</v>
      </c>
      <c r="GX41" s="14">
        <f t="shared" si="70"/>
        <v>11</v>
      </c>
      <c r="GY41" s="14">
        <f t="shared" si="71"/>
        <v>3</v>
      </c>
      <c r="GZ41" s="14">
        <f t="shared" si="72"/>
        <v>5</v>
      </c>
      <c r="HA41" s="14">
        <f t="shared" si="73"/>
        <v>200942</v>
      </c>
      <c r="HB41" s="14" t="str">
        <f t="shared" si="74"/>
        <v>130级寄灵人の防御套 : 属性-3</v>
      </c>
      <c r="HC41" s="14" t="s">
        <v>1396</v>
      </c>
      <c r="HD41" s="14">
        <f t="shared" si="75"/>
        <v>3</v>
      </c>
      <c r="HE41" s="14">
        <f t="shared" si="76"/>
        <v>5</v>
      </c>
      <c r="HF41" s="14" t="str">
        <f t="shared" si="77"/>
        <v>DefRate</v>
      </c>
      <c r="HG41" s="14">
        <f t="shared" si="78"/>
        <v>0.15</v>
      </c>
      <c r="HH41" s="30"/>
      <c r="HI41" s="30"/>
      <c r="HK41" s="13">
        <v>36</v>
      </c>
      <c r="HL41" s="14">
        <f t="shared" si="79"/>
        <v>2</v>
      </c>
      <c r="HM41" s="14">
        <f t="shared" si="80"/>
        <v>1</v>
      </c>
      <c r="HN41" s="14">
        <f t="shared" si="81"/>
        <v>2</v>
      </c>
      <c r="HO41" s="14">
        <f t="shared" si="82"/>
        <v>3</v>
      </c>
      <c r="HP41" s="14" t="str">
        <f t="shared" si="83"/>
        <v>30级寄灵人洗练-Q3-12</v>
      </c>
      <c r="HQ41" s="14">
        <f t="shared" si="84"/>
        <v>1023</v>
      </c>
      <c r="HR41" s="14">
        <f t="shared" si="85"/>
        <v>12</v>
      </c>
      <c r="HS41" s="14">
        <f t="shared" si="86"/>
        <v>500</v>
      </c>
      <c r="HT41" s="14" t="str">
        <f t="shared" si="87"/>
        <v>EffectResist</v>
      </c>
      <c r="HU41" s="14">
        <f t="shared" si="88"/>
        <v>1.7999999999999999E-2</v>
      </c>
      <c r="HV41" s="14">
        <f t="shared" si="89"/>
        <v>0.05</v>
      </c>
    </row>
    <row r="42" spans="1:230" s="19" customFormat="1" ht="16.5" x14ac:dyDescent="0.2">
      <c r="A42" t="s">
        <v>1208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1247</v>
      </c>
      <c r="AM42" s="13" t="s">
        <v>1268</v>
      </c>
      <c r="AN42" s="13">
        <f t="shared" si="10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S42" s="30"/>
      <c r="ET42" s="30"/>
      <c r="EU42" s="13">
        <v>37</v>
      </c>
      <c r="EV42" s="14">
        <f t="shared" si="51"/>
        <v>1</v>
      </c>
      <c r="EW42" s="14">
        <f t="shared" si="52"/>
        <v>37</v>
      </c>
      <c r="EX42" s="14">
        <f t="shared" si="53"/>
        <v>5</v>
      </c>
      <c r="EY42" s="14">
        <f t="shared" si="9"/>
        <v>43</v>
      </c>
      <c r="EZ42" s="14">
        <f t="shared" si="10"/>
        <v>1</v>
      </c>
      <c r="FA42" s="14">
        <f t="shared" si="11"/>
        <v>15</v>
      </c>
      <c r="FB42" s="14">
        <f t="shared" si="12"/>
        <v>4</v>
      </c>
      <c r="FC42" s="14">
        <f t="shared" si="13"/>
        <v>5</v>
      </c>
      <c r="FD42" s="14">
        <f t="shared" si="14"/>
        <v>5</v>
      </c>
      <c r="FE42" s="14" t="b">
        <f t="shared" si="54"/>
        <v>1</v>
      </c>
      <c r="FF42" s="14">
        <f t="shared" si="15"/>
        <v>2001435</v>
      </c>
      <c r="FG42" s="13" t="str">
        <f t="shared" si="16"/>
        <v>15级-新手套寄灵人の鞋子</v>
      </c>
      <c r="FH42" s="14">
        <f t="shared" si="17"/>
        <v>1</v>
      </c>
      <c r="FI42" s="14">
        <f t="shared" si="18"/>
        <v>4</v>
      </c>
      <c r="FJ42" s="14">
        <f t="shared" si="19"/>
        <v>15</v>
      </c>
      <c r="FK42" s="14">
        <v>1</v>
      </c>
      <c r="FL42" s="14">
        <f t="shared" si="20"/>
        <v>1</v>
      </c>
      <c r="FM42" s="14">
        <f t="shared" si="55"/>
        <v>5</v>
      </c>
      <c r="FN42" s="14">
        <f t="shared" si="21"/>
        <v>200143</v>
      </c>
      <c r="FO42" s="14">
        <f t="shared" si="22"/>
        <v>45</v>
      </c>
      <c r="FP42" s="14">
        <f t="shared" si="56"/>
        <v>0</v>
      </c>
      <c r="FQ42" s="14">
        <f t="shared" si="57"/>
        <v>0</v>
      </c>
      <c r="FR42" s="14">
        <f t="shared" si="58"/>
        <v>195</v>
      </c>
      <c r="FS42" s="14">
        <f t="shared" si="59"/>
        <v>0</v>
      </c>
      <c r="FT42" s="14">
        <f t="shared" si="60"/>
        <v>0</v>
      </c>
      <c r="FU42" s="14">
        <f t="shared" si="61"/>
        <v>30</v>
      </c>
      <c r="FV42" s="14">
        <f t="shared" si="23"/>
        <v>1014</v>
      </c>
      <c r="FW42" s="14">
        <f t="shared" si="24"/>
        <v>3</v>
      </c>
      <c r="FX42" s="14">
        <f t="shared" si="25"/>
        <v>1014</v>
      </c>
      <c r="FY42" s="25" t="str">
        <f t="shared" si="62"/>
        <v>icon_2001435</v>
      </c>
      <c r="FZ42" s="30" t="s">
        <v>1434</v>
      </c>
      <c r="GA42" s="30"/>
      <c r="GC42" s="14">
        <f t="shared" si="26"/>
        <v>3</v>
      </c>
      <c r="GD42" s="14">
        <f t="shared" si="27"/>
        <v>0</v>
      </c>
      <c r="GE42" s="14">
        <f t="shared" si="63"/>
        <v>45</v>
      </c>
      <c r="GF42" s="14" t="str">
        <f t="shared" si="28"/>
        <v>HPExt</v>
      </c>
      <c r="GG42" s="14">
        <f t="shared" si="64"/>
        <v>195</v>
      </c>
      <c r="GH42" s="14">
        <f t="shared" si="65"/>
        <v>30</v>
      </c>
      <c r="GI42" s="14" t="str">
        <f t="shared" si="29"/>
        <v/>
      </c>
      <c r="GJ42" s="14" t="str">
        <f t="shared" si="66"/>
        <v/>
      </c>
      <c r="GK42" s="14" t="str">
        <f t="shared" si="67"/>
        <v/>
      </c>
      <c r="GL42" s="14">
        <f t="shared" si="30"/>
        <v>20140</v>
      </c>
      <c r="GM42" s="14">
        <f t="shared" si="68"/>
        <v>3</v>
      </c>
      <c r="GN42" s="14">
        <f t="shared" si="69"/>
        <v>1014</v>
      </c>
      <c r="GO42" s="25" t="s">
        <v>1471</v>
      </c>
      <c r="GP42" s="14">
        <f t="shared" si="31"/>
        <v>50</v>
      </c>
      <c r="GS42" s="30"/>
      <c r="GT42" s="30"/>
      <c r="GU42" s="30"/>
      <c r="GV42" s="30"/>
      <c r="GW42" s="13">
        <v>37</v>
      </c>
      <c r="GX42" s="14">
        <f t="shared" si="70"/>
        <v>12</v>
      </c>
      <c r="GY42" s="14">
        <f t="shared" si="71"/>
        <v>1</v>
      </c>
      <c r="GZ42" s="14">
        <f t="shared" si="72"/>
        <v>1</v>
      </c>
      <c r="HA42" s="14">
        <f t="shared" si="73"/>
        <v>201041</v>
      </c>
      <c r="HB42" s="14" t="str">
        <f t="shared" si="74"/>
        <v>140级寄灵人の攻击套 : 属性-1</v>
      </c>
      <c r="HC42" s="14" t="s">
        <v>1396</v>
      </c>
      <c r="HD42" s="14">
        <f t="shared" si="75"/>
        <v>1</v>
      </c>
      <c r="HE42" s="14">
        <f t="shared" si="76"/>
        <v>2</v>
      </c>
      <c r="HF42" s="14" t="str">
        <f t="shared" si="77"/>
        <v>AtkExt</v>
      </c>
      <c r="HG42" s="14">
        <f t="shared" si="78"/>
        <v>6000</v>
      </c>
      <c r="HH42" s="30"/>
      <c r="HI42" s="30"/>
      <c r="HK42" s="13">
        <v>37</v>
      </c>
      <c r="HL42" s="14">
        <f t="shared" si="79"/>
        <v>2</v>
      </c>
      <c r="HM42" s="14">
        <f t="shared" si="80"/>
        <v>1</v>
      </c>
      <c r="HN42" s="14">
        <f t="shared" si="81"/>
        <v>2</v>
      </c>
      <c r="HO42" s="14">
        <f t="shared" si="82"/>
        <v>4</v>
      </c>
      <c r="HP42" s="14" t="str">
        <f t="shared" si="83"/>
        <v>30级寄灵人洗练-Q4-1</v>
      </c>
      <c r="HQ42" s="14">
        <f t="shared" si="84"/>
        <v>1024</v>
      </c>
      <c r="HR42" s="14">
        <f t="shared" si="85"/>
        <v>1</v>
      </c>
      <c r="HS42" s="14">
        <f t="shared" si="86"/>
        <v>1800</v>
      </c>
      <c r="HT42" s="14" t="str">
        <f t="shared" si="87"/>
        <v>AtkExt</v>
      </c>
      <c r="HU42" s="14">
        <f t="shared" si="88"/>
        <v>17</v>
      </c>
      <c r="HV42" s="14">
        <f t="shared" si="89"/>
        <v>51</v>
      </c>
    </row>
    <row r="43" spans="1:230" s="19" customFormat="1" ht="16.5" x14ac:dyDescent="0.2">
      <c r="A43" t="s">
        <v>1209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1248</v>
      </c>
      <c r="AM43" s="13" t="s">
        <v>1259</v>
      </c>
      <c r="AN43" s="13">
        <f t="shared" si="10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S43" s="30"/>
      <c r="ET43" s="30"/>
      <c r="EU43" s="13">
        <v>38</v>
      </c>
      <c r="EV43" s="14">
        <f t="shared" si="51"/>
        <v>1</v>
      </c>
      <c r="EW43" s="14">
        <f t="shared" si="52"/>
        <v>38</v>
      </c>
      <c r="EX43" s="14">
        <f t="shared" si="53"/>
        <v>5</v>
      </c>
      <c r="EY43" s="14">
        <f t="shared" si="9"/>
        <v>43</v>
      </c>
      <c r="EZ43" s="14">
        <f t="shared" si="10"/>
        <v>1</v>
      </c>
      <c r="FA43" s="14">
        <f t="shared" si="11"/>
        <v>15</v>
      </c>
      <c r="FB43" s="14">
        <f t="shared" si="12"/>
        <v>4</v>
      </c>
      <c r="FC43" s="14">
        <f t="shared" si="13"/>
        <v>6</v>
      </c>
      <c r="FD43" s="14">
        <f t="shared" si="14"/>
        <v>6</v>
      </c>
      <c r="FE43" s="14" t="b">
        <f t="shared" si="54"/>
        <v>1</v>
      </c>
      <c r="FF43" s="14">
        <f t="shared" si="15"/>
        <v>2001436</v>
      </c>
      <c r="FG43" s="13" t="str">
        <f t="shared" si="16"/>
        <v>15级-新手套寄灵人の护手</v>
      </c>
      <c r="FH43" s="14">
        <f t="shared" si="17"/>
        <v>1</v>
      </c>
      <c r="FI43" s="14">
        <f t="shared" si="18"/>
        <v>4</v>
      </c>
      <c r="FJ43" s="14">
        <f t="shared" si="19"/>
        <v>15</v>
      </c>
      <c r="FK43" s="14">
        <v>1</v>
      </c>
      <c r="FL43" s="14">
        <f t="shared" si="20"/>
        <v>1</v>
      </c>
      <c r="FM43" s="14">
        <f t="shared" si="55"/>
        <v>6</v>
      </c>
      <c r="FN43" s="14">
        <f t="shared" si="21"/>
        <v>200143</v>
      </c>
      <c r="FO43" s="14">
        <f t="shared" si="22"/>
        <v>45</v>
      </c>
      <c r="FP43" s="14">
        <f t="shared" si="56"/>
        <v>0</v>
      </c>
      <c r="FQ43" s="14">
        <f t="shared" si="57"/>
        <v>0</v>
      </c>
      <c r="FR43" s="14">
        <f t="shared" si="58"/>
        <v>195</v>
      </c>
      <c r="FS43" s="14">
        <f t="shared" si="59"/>
        <v>0</v>
      </c>
      <c r="FT43" s="14">
        <f t="shared" si="60"/>
        <v>0</v>
      </c>
      <c r="FU43" s="14">
        <f t="shared" si="61"/>
        <v>30</v>
      </c>
      <c r="FV43" s="14">
        <f t="shared" si="23"/>
        <v>1014</v>
      </c>
      <c r="FW43" s="14">
        <f t="shared" si="24"/>
        <v>3</v>
      </c>
      <c r="FX43" s="14">
        <f t="shared" si="25"/>
        <v>1014</v>
      </c>
      <c r="FY43" s="25" t="str">
        <f t="shared" si="62"/>
        <v>icon_2001436</v>
      </c>
      <c r="FZ43" s="30" t="s">
        <v>1435</v>
      </c>
      <c r="GA43" s="30"/>
      <c r="GC43" s="14">
        <f t="shared" si="26"/>
        <v>3</v>
      </c>
      <c r="GD43" s="14">
        <f t="shared" si="27"/>
        <v>0</v>
      </c>
      <c r="GE43" s="14">
        <f t="shared" si="63"/>
        <v>45</v>
      </c>
      <c r="GF43" s="14" t="str">
        <f t="shared" si="28"/>
        <v>HPExt</v>
      </c>
      <c r="GG43" s="14">
        <f t="shared" si="64"/>
        <v>195</v>
      </c>
      <c r="GH43" s="14">
        <f t="shared" si="65"/>
        <v>30</v>
      </c>
      <c r="GI43" s="14" t="str">
        <f t="shared" si="29"/>
        <v/>
      </c>
      <c r="GJ43" s="14" t="str">
        <f t="shared" si="66"/>
        <v/>
      </c>
      <c r="GK43" s="14" t="str">
        <f t="shared" si="67"/>
        <v/>
      </c>
      <c r="GL43" s="14">
        <f t="shared" si="30"/>
        <v>20140</v>
      </c>
      <c r="GM43" s="14">
        <f t="shared" si="68"/>
        <v>3</v>
      </c>
      <c r="GN43" s="14">
        <f t="shared" si="69"/>
        <v>1014</v>
      </c>
      <c r="GO43" s="25" t="s">
        <v>1471</v>
      </c>
      <c r="GP43" s="14">
        <f t="shared" si="31"/>
        <v>50</v>
      </c>
      <c r="GS43" s="30"/>
      <c r="GT43" s="30"/>
      <c r="GU43" s="30"/>
      <c r="GV43" s="30"/>
      <c r="GW43" s="13">
        <v>38</v>
      </c>
      <c r="GX43" s="14">
        <f t="shared" si="70"/>
        <v>12</v>
      </c>
      <c r="GY43" s="14">
        <f t="shared" si="71"/>
        <v>2</v>
      </c>
      <c r="GZ43" s="14">
        <f t="shared" si="72"/>
        <v>3</v>
      </c>
      <c r="HA43" s="14">
        <f t="shared" si="73"/>
        <v>201041</v>
      </c>
      <c r="HB43" s="14" t="str">
        <f t="shared" si="74"/>
        <v>140级寄灵人の攻击套 : 属性-2</v>
      </c>
      <c r="HC43" s="14" t="s">
        <v>1396</v>
      </c>
      <c r="HD43" s="14">
        <f t="shared" si="75"/>
        <v>2</v>
      </c>
      <c r="HE43" s="14">
        <f t="shared" si="76"/>
        <v>3</v>
      </c>
      <c r="HF43" s="14" t="str">
        <f t="shared" si="77"/>
        <v>HPExt</v>
      </c>
      <c r="HG43" s="14">
        <f t="shared" si="78"/>
        <v>30000</v>
      </c>
      <c r="HH43" s="30"/>
      <c r="HI43" s="30"/>
      <c r="HK43" s="13">
        <v>38</v>
      </c>
      <c r="HL43" s="14">
        <f t="shared" si="79"/>
        <v>2</v>
      </c>
      <c r="HM43" s="14">
        <f t="shared" si="80"/>
        <v>1</v>
      </c>
      <c r="HN43" s="14">
        <f t="shared" si="81"/>
        <v>2</v>
      </c>
      <c r="HO43" s="14">
        <f t="shared" si="82"/>
        <v>4</v>
      </c>
      <c r="HP43" s="14" t="str">
        <f t="shared" si="83"/>
        <v>30级寄灵人洗练-Q4-2</v>
      </c>
      <c r="HQ43" s="14">
        <f t="shared" si="84"/>
        <v>1024</v>
      </c>
      <c r="HR43" s="14">
        <f t="shared" si="85"/>
        <v>2</v>
      </c>
      <c r="HS43" s="14">
        <f t="shared" si="86"/>
        <v>1800</v>
      </c>
      <c r="HT43" s="14" t="str">
        <f t="shared" si="87"/>
        <v>DefExt</v>
      </c>
      <c r="HU43" s="14">
        <f t="shared" si="88"/>
        <v>9</v>
      </c>
      <c r="HV43" s="14">
        <f t="shared" si="89"/>
        <v>26</v>
      </c>
    </row>
    <row r="44" spans="1:230" s="19" customFormat="1" ht="16.5" x14ac:dyDescent="0.2">
      <c r="A44" t="s">
        <v>1210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1248</v>
      </c>
      <c r="AM44" s="13" t="s">
        <v>1260</v>
      </c>
      <c r="AN44" s="13">
        <f t="shared" si="10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S44" s="30"/>
      <c r="ET44" s="30"/>
      <c r="EU44" s="13">
        <v>39</v>
      </c>
      <c r="EV44" s="14">
        <f t="shared" si="51"/>
        <v>1</v>
      </c>
      <c r="EW44" s="14">
        <f t="shared" si="52"/>
        <v>39</v>
      </c>
      <c r="EX44" s="14">
        <f t="shared" si="53"/>
        <v>5</v>
      </c>
      <c r="EY44" s="14">
        <f t="shared" si="9"/>
        <v>43</v>
      </c>
      <c r="EZ44" s="14">
        <f t="shared" si="10"/>
        <v>1</v>
      </c>
      <c r="FA44" s="14">
        <f t="shared" si="11"/>
        <v>15</v>
      </c>
      <c r="FB44" s="14">
        <f t="shared" si="12"/>
        <v>4</v>
      </c>
      <c r="FC44" s="14">
        <f t="shared" si="13"/>
        <v>7</v>
      </c>
      <c r="FD44" s="14">
        <f t="shared" si="14"/>
        <v>7</v>
      </c>
      <c r="FE44" s="14" t="b">
        <f t="shared" si="54"/>
        <v>1</v>
      </c>
      <c r="FF44" s="14">
        <f t="shared" si="15"/>
        <v>2001437</v>
      </c>
      <c r="FG44" s="13" t="str">
        <f t="shared" si="16"/>
        <v>15级-新手套寄灵人の项链</v>
      </c>
      <c r="FH44" s="14">
        <f t="shared" si="17"/>
        <v>1</v>
      </c>
      <c r="FI44" s="14">
        <f t="shared" si="18"/>
        <v>4</v>
      </c>
      <c r="FJ44" s="14">
        <f t="shared" si="19"/>
        <v>15</v>
      </c>
      <c r="FK44" s="14">
        <v>1</v>
      </c>
      <c r="FL44" s="14">
        <f t="shared" si="20"/>
        <v>1</v>
      </c>
      <c r="FM44" s="14">
        <f t="shared" si="55"/>
        <v>7</v>
      </c>
      <c r="FN44" s="14">
        <f t="shared" si="21"/>
        <v>200143</v>
      </c>
      <c r="FO44" s="14">
        <f t="shared" si="22"/>
        <v>52</v>
      </c>
      <c r="FP44" s="14">
        <f t="shared" si="56"/>
        <v>20</v>
      </c>
      <c r="FQ44" s="14">
        <f t="shared" si="57"/>
        <v>15</v>
      </c>
      <c r="FR44" s="14">
        <f t="shared" si="58"/>
        <v>0</v>
      </c>
      <c r="FS44" s="14">
        <f t="shared" si="59"/>
        <v>3</v>
      </c>
      <c r="FT44" s="14">
        <f t="shared" si="60"/>
        <v>2</v>
      </c>
      <c r="FU44" s="14">
        <f t="shared" si="61"/>
        <v>0</v>
      </c>
      <c r="FV44" s="14">
        <f t="shared" si="23"/>
        <v>1014</v>
      </c>
      <c r="FW44" s="14">
        <f t="shared" si="24"/>
        <v>3</v>
      </c>
      <c r="FX44" s="14">
        <f t="shared" si="25"/>
        <v>1014</v>
      </c>
      <c r="FY44" s="25" t="str">
        <f t="shared" si="62"/>
        <v>icon_2001437</v>
      </c>
      <c r="FZ44" s="30" t="s">
        <v>1436</v>
      </c>
      <c r="GA44" s="30"/>
      <c r="GC44" s="14">
        <f t="shared" si="26"/>
        <v>1</v>
      </c>
      <c r="GD44" s="14">
        <f t="shared" si="27"/>
        <v>2</v>
      </c>
      <c r="GE44" s="14">
        <f t="shared" si="63"/>
        <v>52</v>
      </c>
      <c r="GF44" s="14" t="str">
        <f t="shared" si="28"/>
        <v>AtkExt</v>
      </c>
      <c r="GG44" s="14">
        <f t="shared" si="64"/>
        <v>20</v>
      </c>
      <c r="GH44" s="14">
        <f t="shared" si="65"/>
        <v>3</v>
      </c>
      <c r="GI44" s="14" t="str">
        <f t="shared" si="29"/>
        <v>DefExt</v>
      </c>
      <c r="GJ44" s="14">
        <f t="shared" si="66"/>
        <v>15</v>
      </c>
      <c r="GK44" s="14">
        <f t="shared" si="67"/>
        <v>2</v>
      </c>
      <c r="GL44" s="14">
        <f t="shared" si="30"/>
        <v>20140</v>
      </c>
      <c r="GM44" s="14">
        <f t="shared" si="68"/>
        <v>3</v>
      </c>
      <c r="GN44" s="14">
        <f t="shared" si="69"/>
        <v>1014</v>
      </c>
      <c r="GO44" s="25" t="s">
        <v>1471</v>
      </c>
      <c r="GP44" s="14">
        <f t="shared" si="31"/>
        <v>75</v>
      </c>
      <c r="GS44" s="30"/>
      <c r="GT44" s="30"/>
      <c r="GU44" s="30"/>
      <c r="GV44" s="30"/>
      <c r="GW44" s="13">
        <v>39</v>
      </c>
      <c r="GX44" s="14">
        <f t="shared" si="70"/>
        <v>12</v>
      </c>
      <c r="GY44" s="14">
        <f t="shared" si="71"/>
        <v>3</v>
      </c>
      <c r="GZ44" s="14">
        <f t="shared" si="72"/>
        <v>4</v>
      </c>
      <c r="HA44" s="14">
        <f t="shared" si="73"/>
        <v>201041</v>
      </c>
      <c r="HB44" s="14" t="str">
        <f t="shared" si="74"/>
        <v>140级寄灵人の攻击套 : 属性-3</v>
      </c>
      <c r="HC44" s="14" t="s">
        <v>1396</v>
      </c>
      <c r="HD44" s="14">
        <f t="shared" si="75"/>
        <v>3</v>
      </c>
      <c r="HE44" s="14">
        <f t="shared" si="76"/>
        <v>5</v>
      </c>
      <c r="HF44" s="14" t="str">
        <f t="shared" si="77"/>
        <v>AtkRate</v>
      </c>
      <c r="HG44" s="14">
        <f t="shared" si="78"/>
        <v>0.15</v>
      </c>
      <c r="HH44" s="30"/>
      <c r="HI44" s="30"/>
      <c r="HK44" s="13">
        <v>39</v>
      </c>
      <c r="HL44" s="14">
        <f t="shared" si="79"/>
        <v>2</v>
      </c>
      <c r="HM44" s="14">
        <f t="shared" si="80"/>
        <v>1</v>
      </c>
      <c r="HN44" s="14">
        <f t="shared" si="81"/>
        <v>2</v>
      </c>
      <c r="HO44" s="14">
        <f t="shared" si="82"/>
        <v>4</v>
      </c>
      <c r="HP44" s="14" t="str">
        <f t="shared" si="83"/>
        <v>30级寄灵人洗练-Q4-3</v>
      </c>
      <c r="HQ44" s="14">
        <f t="shared" si="84"/>
        <v>1024</v>
      </c>
      <c r="HR44" s="14">
        <f t="shared" si="85"/>
        <v>3</v>
      </c>
      <c r="HS44" s="14">
        <f t="shared" si="86"/>
        <v>2000</v>
      </c>
      <c r="HT44" s="14" t="str">
        <f t="shared" si="87"/>
        <v>HPExt</v>
      </c>
      <c r="HU44" s="14">
        <f t="shared" si="88"/>
        <v>76</v>
      </c>
      <c r="HV44" s="14">
        <f t="shared" si="89"/>
        <v>219</v>
      </c>
    </row>
    <row r="45" spans="1:230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1248</v>
      </c>
      <c r="AM45" s="13" t="s">
        <v>1261</v>
      </c>
      <c r="AN45" s="13">
        <f t="shared" si="10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S45" s="30"/>
      <c r="ET45" s="30"/>
      <c r="EU45" s="13">
        <v>40</v>
      </c>
      <c r="EV45" s="14">
        <f t="shared" si="51"/>
        <v>1</v>
      </c>
      <c r="EW45" s="14">
        <f t="shared" si="52"/>
        <v>40</v>
      </c>
      <c r="EX45" s="14">
        <f t="shared" si="53"/>
        <v>5</v>
      </c>
      <c r="EY45" s="14">
        <f t="shared" si="9"/>
        <v>43</v>
      </c>
      <c r="EZ45" s="14">
        <f t="shared" si="10"/>
        <v>1</v>
      </c>
      <c r="FA45" s="14">
        <f t="shared" si="11"/>
        <v>15</v>
      </c>
      <c r="FB45" s="14">
        <f t="shared" si="12"/>
        <v>4</v>
      </c>
      <c r="FC45" s="14">
        <f t="shared" si="13"/>
        <v>8</v>
      </c>
      <c r="FD45" s="14">
        <f t="shared" si="14"/>
        <v>8</v>
      </c>
      <c r="FE45" s="14" t="b">
        <f t="shared" si="54"/>
        <v>1</v>
      </c>
      <c r="FF45" s="14">
        <f t="shared" si="15"/>
        <v>2001438</v>
      </c>
      <c r="FG45" s="13" t="str">
        <f t="shared" si="16"/>
        <v>15级-新手套寄灵人の戒指</v>
      </c>
      <c r="FH45" s="14">
        <f t="shared" si="17"/>
        <v>1</v>
      </c>
      <c r="FI45" s="14">
        <f t="shared" si="18"/>
        <v>4</v>
      </c>
      <c r="FJ45" s="14">
        <f t="shared" si="19"/>
        <v>15</v>
      </c>
      <c r="FK45" s="14">
        <v>1</v>
      </c>
      <c r="FL45" s="14">
        <f t="shared" si="20"/>
        <v>1</v>
      </c>
      <c r="FM45" s="14">
        <f t="shared" si="55"/>
        <v>8</v>
      </c>
      <c r="FN45" s="14">
        <f t="shared" si="21"/>
        <v>200143</v>
      </c>
      <c r="FO45" s="14">
        <f t="shared" si="22"/>
        <v>60</v>
      </c>
      <c r="FP45" s="14">
        <f t="shared" si="56"/>
        <v>20</v>
      </c>
      <c r="FQ45" s="14">
        <f t="shared" si="57"/>
        <v>0</v>
      </c>
      <c r="FR45" s="14">
        <f t="shared" si="58"/>
        <v>160</v>
      </c>
      <c r="FS45" s="14">
        <f t="shared" si="59"/>
        <v>3</v>
      </c>
      <c r="FT45" s="14">
        <f t="shared" si="60"/>
        <v>0</v>
      </c>
      <c r="FU45" s="14">
        <f t="shared" si="61"/>
        <v>25</v>
      </c>
      <c r="FV45" s="14">
        <f t="shared" si="23"/>
        <v>1014</v>
      </c>
      <c r="FW45" s="14">
        <f t="shared" si="24"/>
        <v>3</v>
      </c>
      <c r="FX45" s="14">
        <f t="shared" si="25"/>
        <v>1014</v>
      </c>
      <c r="FY45" s="25" t="str">
        <f t="shared" si="62"/>
        <v>icon_2001438</v>
      </c>
      <c r="FZ45" s="30" t="s">
        <v>1437</v>
      </c>
      <c r="GA45" s="30"/>
      <c r="GC45" s="14">
        <f t="shared" si="26"/>
        <v>1</v>
      </c>
      <c r="GD45" s="14">
        <f t="shared" si="27"/>
        <v>3</v>
      </c>
      <c r="GE45" s="14">
        <f t="shared" si="63"/>
        <v>60</v>
      </c>
      <c r="GF45" s="14" t="str">
        <f t="shared" si="28"/>
        <v>AtkExt</v>
      </c>
      <c r="GG45" s="14">
        <f t="shared" si="64"/>
        <v>20</v>
      </c>
      <c r="GH45" s="14">
        <f t="shared" si="65"/>
        <v>3</v>
      </c>
      <c r="GI45" s="14" t="str">
        <f t="shared" si="29"/>
        <v>HPExt</v>
      </c>
      <c r="GJ45" s="14">
        <f t="shared" si="66"/>
        <v>160</v>
      </c>
      <c r="GK45" s="14">
        <f t="shared" si="67"/>
        <v>25</v>
      </c>
      <c r="GL45" s="14">
        <f t="shared" si="30"/>
        <v>20140</v>
      </c>
      <c r="GM45" s="14">
        <f t="shared" si="68"/>
        <v>3</v>
      </c>
      <c r="GN45" s="14">
        <f t="shared" si="69"/>
        <v>1014</v>
      </c>
      <c r="GO45" s="25" t="s">
        <v>1471</v>
      </c>
      <c r="GP45" s="14">
        <f t="shared" si="31"/>
        <v>75</v>
      </c>
      <c r="GS45" s="30"/>
      <c r="GT45" s="30"/>
      <c r="GU45" s="30"/>
      <c r="GV45" s="30"/>
      <c r="GW45" s="13">
        <v>40</v>
      </c>
      <c r="GX45" s="14">
        <f t="shared" si="70"/>
        <v>13</v>
      </c>
      <c r="GY45" s="14">
        <f t="shared" si="71"/>
        <v>1</v>
      </c>
      <c r="GZ45" s="14">
        <f t="shared" si="72"/>
        <v>2</v>
      </c>
      <c r="HA45" s="14">
        <f t="shared" si="73"/>
        <v>201142</v>
      </c>
      <c r="HB45" s="14" t="str">
        <f t="shared" si="74"/>
        <v>150级寄灵人の防御套 : 属性-1</v>
      </c>
      <c r="HC45" s="14" t="s">
        <v>1396</v>
      </c>
      <c r="HD45" s="14">
        <f t="shared" si="75"/>
        <v>1</v>
      </c>
      <c r="HE45" s="14">
        <f t="shared" si="76"/>
        <v>2</v>
      </c>
      <c r="HF45" s="14" t="str">
        <f t="shared" si="77"/>
        <v>DefExt</v>
      </c>
      <c r="HG45" s="14">
        <f t="shared" si="78"/>
        <v>3750</v>
      </c>
      <c r="HH45" s="30"/>
      <c r="HI45" s="30"/>
      <c r="HK45" s="13">
        <v>40</v>
      </c>
      <c r="HL45" s="14">
        <f t="shared" si="79"/>
        <v>2</v>
      </c>
      <c r="HM45" s="14">
        <f t="shared" si="80"/>
        <v>1</v>
      </c>
      <c r="HN45" s="14">
        <f t="shared" si="81"/>
        <v>2</v>
      </c>
      <c r="HO45" s="14">
        <f t="shared" si="82"/>
        <v>4</v>
      </c>
      <c r="HP45" s="14" t="str">
        <f t="shared" si="83"/>
        <v>30级寄灵人洗练-Q4-4</v>
      </c>
      <c r="HQ45" s="14">
        <f t="shared" si="84"/>
        <v>1024</v>
      </c>
      <c r="HR45" s="14">
        <f t="shared" si="85"/>
        <v>4</v>
      </c>
      <c r="HS45" s="14">
        <f t="shared" si="86"/>
        <v>500</v>
      </c>
      <c r="HT45" s="14" t="str">
        <f t="shared" si="87"/>
        <v>AtkRate</v>
      </c>
      <c r="HU45" s="14">
        <f t="shared" si="88"/>
        <v>1.4E-2</v>
      </c>
      <c r="HV45" s="14">
        <f t="shared" si="89"/>
        <v>0.04</v>
      </c>
    </row>
    <row r="46" spans="1:230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1248</v>
      </c>
      <c r="AM46" s="13" t="s">
        <v>1262</v>
      </c>
      <c r="AN46" s="13">
        <f t="shared" si="10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S46" s="30"/>
      <c r="ET46" s="30"/>
      <c r="EU46" s="13">
        <v>41</v>
      </c>
      <c r="EV46" s="14">
        <f t="shared" si="51"/>
        <v>1</v>
      </c>
      <c r="EW46" s="14">
        <f t="shared" si="52"/>
        <v>41</v>
      </c>
      <c r="EX46" s="14">
        <f t="shared" si="53"/>
        <v>6</v>
      </c>
      <c r="EY46" s="14">
        <f t="shared" si="9"/>
        <v>10</v>
      </c>
      <c r="EZ46" s="14">
        <f t="shared" si="10"/>
        <v>2</v>
      </c>
      <c r="FA46" s="14">
        <f t="shared" si="11"/>
        <v>30</v>
      </c>
      <c r="FB46" s="14">
        <f t="shared" si="12"/>
        <v>1</v>
      </c>
      <c r="FC46" s="14">
        <f t="shared" si="13"/>
        <v>1</v>
      </c>
      <c r="FD46" s="14">
        <f t="shared" si="14"/>
        <v>1</v>
      </c>
      <c r="FE46" s="14" t="b">
        <f t="shared" si="54"/>
        <v>0</v>
      </c>
      <c r="FF46" s="14">
        <f t="shared" si="15"/>
        <v>2002101</v>
      </c>
      <c r="FG46" s="13" t="str">
        <f t="shared" si="16"/>
        <v>30级-普通寄灵人の灵器</v>
      </c>
      <c r="FH46" s="14">
        <f t="shared" si="17"/>
        <v>1</v>
      </c>
      <c r="FI46" s="14">
        <f t="shared" si="18"/>
        <v>1</v>
      </c>
      <c r="FJ46" s="14">
        <f t="shared" si="19"/>
        <v>30</v>
      </c>
      <c r="FK46" s="14">
        <v>1</v>
      </c>
      <c r="FL46" s="14">
        <f t="shared" si="20"/>
        <v>2</v>
      </c>
      <c r="FM46" s="14">
        <f t="shared" si="55"/>
        <v>1</v>
      </c>
      <c r="FN46" s="14" t="str">
        <f t="shared" si="21"/>
        <v/>
      </c>
      <c r="FO46" s="14">
        <f t="shared" si="22"/>
        <v>35</v>
      </c>
      <c r="FP46" s="14">
        <f t="shared" si="56"/>
        <v>80</v>
      </c>
      <c r="FQ46" s="14">
        <f t="shared" si="57"/>
        <v>0</v>
      </c>
      <c r="FR46" s="14">
        <f t="shared" si="58"/>
        <v>0</v>
      </c>
      <c r="FS46" s="14">
        <f t="shared" si="59"/>
        <v>7</v>
      </c>
      <c r="FT46" s="14">
        <f t="shared" si="60"/>
        <v>0</v>
      </c>
      <c r="FU46" s="14">
        <f t="shared" si="61"/>
        <v>0</v>
      </c>
      <c r="FV46" s="14">
        <f t="shared" si="23"/>
        <v>1021</v>
      </c>
      <c r="FW46" s="14">
        <f t="shared" si="24"/>
        <v>0</v>
      </c>
      <c r="FX46" s="14" t="str">
        <f t="shared" si="25"/>
        <v/>
      </c>
      <c r="FY46" s="25" t="str">
        <f t="shared" si="62"/>
        <v>icon_2002101</v>
      </c>
      <c r="FZ46" s="30"/>
      <c r="GA46" s="30"/>
      <c r="GC46" s="14">
        <f t="shared" si="26"/>
        <v>1</v>
      </c>
      <c r="GD46" s="14">
        <f t="shared" si="27"/>
        <v>0</v>
      </c>
      <c r="GE46" s="14">
        <f t="shared" si="63"/>
        <v>35</v>
      </c>
      <c r="GF46" s="14" t="str">
        <f t="shared" si="28"/>
        <v>AtkExt</v>
      </c>
      <c r="GG46" s="14">
        <f t="shared" si="64"/>
        <v>80</v>
      </c>
      <c r="GH46" s="14">
        <f t="shared" si="65"/>
        <v>7</v>
      </c>
      <c r="GI46" s="14" t="str">
        <f t="shared" si="29"/>
        <v/>
      </c>
      <c r="GJ46" s="14" t="str">
        <f t="shared" si="66"/>
        <v/>
      </c>
      <c r="GK46" s="14" t="str">
        <f t="shared" si="67"/>
        <v/>
      </c>
      <c r="GL46" s="14">
        <f t="shared" si="30"/>
        <v>20210</v>
      </c>
      <c r="GM46" s="14">
        <f t="shared" si="68"/>
        <v>0</v>
      </c>
      <c r="GN46" s="14" t="str">
        <f t="shared" si="69"/>
        <v/>
      </c>
      <c r="GO46" s="25" t="s">
        <v>1471</v>
      </c>
      <c r="GP46" s="14">
        <f t="shared" si="31"/>
        <v>16</v>
      </c>
      <c r="GS46" s="30"/>
      <c r="GT46" s="30"/>
      <c r="GU46" s="30"/>
      <c r="GV46" s="30"/>
      <c r="GW46" s="13">
        <v>41</v>
      </c>
      <c r="GX46" s="14">
        <f t="shared" si="70"/>
        <v>13</v>
      </c>
      <c r="GY46" s="14">
        <f t="shared" si="71"/>
        <v>2</v>
      </c>
      <c r="GZ46" s="14">
        <f t="shared" si="72"/>
        <v>3</v>
      </c>
      <c r="HA46" s="14">
        <f t="shared" si="73"/>
        <v>201142</v>
      </c>
      <c r="HB46" s="14" t="str">
        <f t="shared" si="74"/>
        <v>150级寄灵人の防御套 : 属性-2</v>
      </c>
      <c r="HC46" s="14" t="s">
        <v>1396</v>
      </c>
      <c r="HD46" s="14">
        <f t="shared" si="75"/>
        <v>2</v>
      </c>
      <c r="HE46" s="14">
        <f t="shared" si="76"/>
        <v>3</v>
      </c>
      <c r="HF46" s="14" t="str">
        <f t="shared" si="77"/>
        <v>HPExt</v>
      </c>
      <c r="HG46" s="14">
        <f t="shared" si="78"/>
        <v>37500</v>
      </c>
      <c r="HH46" s="30"/>
      <c r="HI46" s="30"/>
      <c r="HK46" s="13">
        <v>41</v>
      </c>
      <c r="HL46" s="14">
        <f t="shared" si="79"/>
        <v>2</v>
      </c>
      <c r="HM46" s="14">
        <f t="shared" si="80"/>
        <v>1</v>
      </c>
      <c r="HN46" s="14">
        <f t="shared" si="81"/>
        <v>2</v>
      </c>
      <c r="HO46" s="14">
        <f t="shared" si="82"/>
        <v>4</v>
      </c>
      <c r="HP46" s="14" t="str">
        <f t="shared" si="83"/>
        <v>30级寄灵人洗练-Q4-5</v>
      </c>
      <c r="HQ46" s="14">
        <f t="shared" si="84"/>
        <v>1024</v>
      </c>
      <c r="HR46" s="14">
        <f t="shared" si="85"/>
        <v>5</v>
      </c>
      <c r="HS46" s="14">
        <f t="shared" si="86"/>
        <v>400</v>
      </c>
      <c r="HT46" s="14" t="str">
        <f t="shared" si="87"/>
        <v>DefRate</v>
      </c>
      <c r="HU46" s="14">
        <f t="shared" si="88"/>
        <v>1.4E-2</v>
      </c>
      <c r="HV46" s="14">
        <f t="shared" si="89"/>
        <v>0.04</v>
      </c>
    </row>
    <row r="47" spans="1:230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1248</v>
      </c>
      <c r="AM47" s="13" t="s">
        <v>1269</v>
      </c>
      <c r="AN47" s="13">
        <f t="shared" si="10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S47" s="30"/>
      <c r="ET47" s="30"/>
      <c r="EU47" s="13">
        <v>42</v>
      </c>
      <c r="EV47" s="14">
        <f t="shared" si="51"/>
        <v>1</v>
      </c>
      <c r="EW47" s="14">
        <f t="shared" si="52"/>
        <v>42</v>
      </c>
      <c r="EX47" s="14">
        <f t="shared" si="53"/>
        <v>6</v>
      </c>
      <c r="EY47" s="14">
        <f t="shared" si="9"/>
        <v>10</v>
      </c>
      <c r="EZ47" s="14">
        <f t="shared" si="10"/>
        <v>2</v>
      </c>
      <c r="FA47" s="14">
        <f t="shared" si="11"/>
        <v>30</v>
      </c>
      <c r="FB47" s="14">
        <f t="shared" si="12"/>
        <v>1</v>
      </c>
      <c r="FC47" s="14">
        <f t="shared" si="13"/>
        <v>2</v>
      </c>
      <c r="FD47" s="14">
        <f t="shared" si="14"/>
        <v>2</v>
      </c>
      <c r="FE47" s="14" t="b">
        <f t="shared" si="54"/>
        <v>0</v>
      </c>
      <c r="FF47" s="14">
        <f t="shared" si="15"/>
        <v>2002102</v>
      </c>
      <c r="FG47" s="13" t="str">
        <f t="shared" si="16"/>
        <v>30级-普通寄灵人の头盔</v>
      </c>
      <c r="FH47" s="14">
        <f t="shared" si="17"/>
        <v>1</v>
      </c>
      <c r="FI47" s="14">
        <f t="shared" si="18"/>
        <v>1</v>
      </c>
      <c r="FJ47" s="14">
        <f t="shared" si="19"/>
        <v>30</v>
      </c>
      <c r="FK47" s="14">
        <v>1</v>
      </c>
      <c r="FL47" s="14">
        <f t="shared" si="20"/>
        <v>2</v>
      </c>
      <c r="FM47" s="14">
        <f t="shared" si="55"/>
        <v>2</v>
      </c>
      <c r="FN47" s="14" t="str">
        <f t="shared" si="21"/>
        <v/>
      </c>
      <c r="FO47" s="14">
        <f t="shared" si="22"/>
        <v>20</v>
      </c>
      <c r="FP47" s="14">
        <f t="shared" si="56"/>
        <v>0</v>
      </c>
      <c r="FQ47" s="14">
        <f t="shared" si="57"/>
        <v>20</v>
      </c>
      <c r="FR47" s="14">
        <f t="shared" si="58"/>
        <v>0</v>
      </c>
      <c r="FS47" s="14">
        <f t="shared" si="59"/>
        <v>0</v>
      </c>
      <c r="FT47" s="14">
        <f t="shared" si="60"/>
        <v>2</v>
      </c>
      <c r="FU47" s="14">
        <f t="shared" si="61"/>
        <v>0</v>
      </c>
      <c r="FV47" s="14">
        <f t="shared" si="23"/>
        <v>1021</v>
      </c>
      <c r="FW47" s="14">
        <f t="shared" si="24"/>
        <v>0</v>
      </c>
      <c r="FX47" s="14" t="str">
        <f t="shared" si="25"/>
        <v/>
      </c>
      <c r="FY47" s="25" t="str">
        <f t="shared" si="62"/>
        <v>icon_2002102</v>
      </c>
      <c r="FZ47" s="30"/>
      <c r="GA47" s="30"/>
      <c r="GC47" s="14">
        <f t="shared" si="26"/>
        <v>2</v>
      </c>
      <c r="GD47" s="14">
        <f t="shared" si="27"/>
        <v>0</v>
      </c>
      <c r="GE47" s="14">
        <f t="shared" si="63"/>
        <v>20</v>
      </c>
      <c r="GF47" s="14" t="str">
        <f t="shared" si="28"/>
        <v>DefExt</v>
      </c>
      <c r="GG47" s="14">
        <f t="shared" si="64"/>
        <v>20</v>
      </c>
      <c r="GH47" s="14">
        <f t="shared" si="65"/>
        <v>2</v>
      </c>
      <c r="GI47" s="14" t="str">
        <f t="shared" si="29"/>
        <v/>
      </c>
      <c r="GJ47" s="14" t="str">
        <f t="shared" si="66"/>
        <v/>
      </c>
      <c r="GK47" s="14" t="str">
        <f t="shared" si="67"/>
        <v/>
      </c>
      <c r="GL47" s="14">
        <f t="shared" si="30"/>
        <v>20210</v>
      </c>
      <c r="GM47" s="14">
        <f t="shared" si="68"/>
        <v>0</v>
      </c>
      <c r="GN47" s="14" t="str">
        <f t="shared" si="69"/>
        <v/>
      </c>
      <c r="GO47" s="25" t="s">
        <v>1471</v>
      </c>
      <c r="GP47" s="14">
        <f t="shared" si="31"/>
        <v>8</v>
      </c>
      <c r="GS47" s="30"/>
      <c r="GT47" s="30"/>
      <c r="GU47" s="30"/>
      <c r="GV47" s="30"/>
      <c r="GW47" s="13">
        <v>42</v>
      </c>
      <c r="GX47" s="14">
        <f t="shared" si="70"/>
        <v>13</v>
      </c>
      <c r="GY47" s="14">
        <f t="shared" si="71"/>
        <v>3</v>
      </c>
      <c r="GZ47" s="14">
        <f t="shared" si="72"/>
        <v>5</v>
      </c>
      <c r="HA47" s="14">
        <f t="shared" si="73"/>
        <v>201142</v>
      </c>
      <c r="HB47" s="14" t="str">
        <f t="shared" si="74"/>
        <v>150级寄灵人の防御套 : 属性-3</v>
      </c>
      <c r="HC47" s="14" t="s">
        <v>1396</v>
      </c>
      <c r="HD47" s="14">
        <f t="shared" si="75"/>
        <v>3</v>
      </c>
      <c r="HE47" s="14">
        <f t="shared" si="76"/>
        <v>5</v>
      </c>
      <c r="HF47" s="14" t="str">
        <f t="shared" si="77"/>
        <v>DefRate</v>
      </c>
      <c r="HG47" s="14">
        <f t="shared" si="78"/>
        <v>0.15</v>
      </c>
      <c r="HH47" s="30"/>
      <c r="HI47" s="30"/>
      <c r="HK47" s="13">
        <v>42</v>
      </c>
      <c r="HL47" s="14">
        <f t="shared" si="79"/>
        <v>2</v>
      </c>
      <c r="HM47" s="14">
        <f t="shared" si="80"/>
        <v>1</v>
      </c>
      <c r="HN47" s="14">
        <f t="shared" si="81"/>
        <v>2</v>
      </c>
      <c r="HO47" s="14">
        <f t="shared" si="82"/>
        <v>4</v>
      </c>
      <c r="HP47" s="14" t="str">
        <f t="shared" si="83"/>
        <v>30级寄灵人洗练-Q4-6</v>
      </c>
      <c r="HQ47" s="14">
        <f t="shared" si="84"/>
        <v>1024</v>
      </c>
      <c r="HR47" s="14">
        <f t="shared" si="85"/>
        <v>6</v>
      </c>
      <c r="HS47" s="14">
        <f t="shared" si="86"/>
        <v>500</v>
      </c>
      <c r="HT47" s="14" t="str">
        <f t="shared" si="87"/>
        <v>HPRate</v>
      </c>
      <c r="HU47" s="14">
        <f t="shared" si="88"/>
        <v>1.4E-2</v>
      </c>
      <c r="HV47" s="14">
        <f t="shared" si="89"/>
        <v>0.04</v>
      </c>
    </row>
    <row r="48" spans="1:230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1248</v>
      </c>
      <c r="AM48" s="13" t="s">
        <v>1271</v>
      </c>
      <c r="AN48" s="13">
        <f t="shared" si="10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S48" s="30"/>
      <c r="ET48" s="30"/>
      <c r="EU48" s="13">
        <v>43</v>
      </c>
      <c r="EV48" s="14">
        <f t="shared" si="51"/>
        <v>1</v>
      </c>
      <c r="EW48" s="14">
        <f t="shared" si="52"/>
        <v>43</v>
      </c>
      <c r="EX48" s="14">
        <f t="shared" si="53"/>
        <v>6</v>
      </c>
      <c r="EY48" s="14">
        <f t="shared" si="9"/>
        <v>10</v>
      </c>
      <c r="EZ48" s="14">
        <f t="shared" si="10"/>
        <v>2</v>
      </c>
      <c r="FA48" s="14">
        <f t="shared" si="11"/>
        <v>30</v>
      </c>
      <c r="FB48" s="14">
        <f t="shared" si="12"/>
        <v>1</v>
      </c>
      <c r="FC48" s="14">
        <f t="shared" si="13"/>
        <v>3</v>
      </c>
      <c r="FD48" s="14">
        <f t="shared" si="14"/>
        <v>3</v>
      </c>
      <c r="FE48" s="14" t="b">
        <f t="shared" si="54"/>
        <v>0</v>
      </c>
      <c r="FF48" s="14">
        <f t="shared" si="15"/>
        <v>2002103</v>
      </c>
      <c r="FG48" s="13" t="str">
        <f t="shared" si="16"/>
        <v>30级-普通寄灵人の铠甲</v>
      </c>
      <c r="FH48" s="14">
        <f t="shared" si="17"/>
        <v>1</v>
      </c>
      <c r="FI48" s="14">
        <f t="shared" si="18"/>
        <v>1</v>
      </c>
      <c r="FJ48" s="14">
        <f t="shared" si="19"/>
        <v>30</v>
      </c>
      <c r="FK48" s="14">
        <v>1</v>
      </c>
      <c r="FL48" s="14">
        <f t="shared" si="20"/>
        <v>2</v>
      </c>
      <c r="FM48" s="14">
        <f t="shared" si="55"/>
        <v>3</v>
      </c>
      <c r="FN48" s="14" t="str">
        <f t="shared" si="21"/>
        <v/>
      </c>
      <c r="FO48" s="14">
        <f t="shared" si="22"/>
        <v>21</v>
      </c>
      <c r="FP48" s="14">
        <f t="shared" si="56"/>
        <v>0</v>
      </c>
      <c r="FQ48" s="14">
        <f t="shared" si="57"/>
        <v>10</v>
      </c>
      <c r="FR48" s="14">
        <f t="shared" si="58"/>
        <v>125</v>
      </c>
      <c r="FS48" s="14">
        <f t="shared" si="59"/>
        <v>0</v>
      </c>
      <c r="FT48" s="14">
        <f t="shared" si="60"/>
        <v>1</v>
      </c>
      <c r="FU48" s="14">
        <f t="shared" si="61"/>
        <v>11</v>
      </c>
      <c r="FV48" s="14">
        <f t="shared" si="23"/>
        <v>1021</v>
      </c>
      <c r="FW48" s="14">
        <f t="shared" si="24"/>
        <v>0</v>
      </c>
      <c r="FX48" s="14" t="str">
        <f t="shared" si="25"/>
        <v/>
      </c>
      <c r="FY48" s="25" t="str">
        <f t="shared" si="62"/>
        <v>icon_2002103</v>
      </c>
      <c r="FZ48" s="30"/>
      <c r="GA48" s="30"/>
      <c r="GC48" s="14">
        <f t="shared" si="26"/>
        <v>2</v>
      </c>
      <c r="GD48" s="14">
        <f t="shared" si="27"/>
        <v>3</v>
      </c>
      <c r="GE48" s="14">
        <f t="shared" si="63"/>
        <v>21</v>
      </c>
      <c r="GF48" s="14" t="str">
        <f t="shared" si="28"/>
        <v>DefExt</v>
      </c>
      <c r="GG48" s="14">
        <f t="shared" si="64"/>
        <v>10</v>
      </c>
      <c r="GH48" s="14">
        <f t="shared" si="65"/>
        <v>1</v>
      </c>
      <c r="GI48" s="14" t="str">
        <f t="shared" si="29"/>
        <v>HPExt</v>
      </c>
      <c r="GJ48" s="14">
        <f t="shared" si="66"/>
        <v>125</v>
      </c>
      <c r="GK48" s="14">
        <f t="shared" si="67"/>
        <v>11</v>
      </c>
      <c r="GL48" s="14">
        <f t="shared" si="30"/>
        <v>20210</v>
      </c>
      <c r="GM48" s="14">
        <f t="shared" si="68"/>
        <v>0</v>
      </c>
      <c r="GN48" s="14" t="str">
        <f t="shared" si="69"/>
        <v/>
      </c>
      <c r="GO48" s="25" t="s">
        <v>1471</v>
      </c>
      <c r="GP48" s="14">
        <f t="shared" si="31"/>
        <v>8</v>
      </c>
      <c r="GS48" s="30"/>
      <c r="GT48" s="30"/>
      <c r="GU48" s="30"/>
      <c r="GV48" s="30"/>
      <c r="GW48" s="13">
        <v>43</v>
      </c>
      <c r="GX48" s="14">
        <f t="shared" si="70"/>
        <v>14</v>
      </c>
      <c r="GY48" s="14">
        <f t="shared" si="71"/>
        <v>1</v>
      </c>
      <c r="GZ48" s="14">
        <f t="shared" si="72"/>
        <v>1</v>
      </c>
      <c r="HA48" s="14">
        <f t="shared" si="73"/>
        <v>201143</v>
      </c>
      <c r="HB48" s="14" t="str">
        <f t="shared" si="74"/>
        <v>150级寄灵人の绝世套 : 属性-1</v>
      </c>
      <c r="HC48" s="14" t="s">
        <v>1396</v>
      </c>
      <c r="HD48" s="14">
        <f t="shared" si="75"/>
        <v>1</v>
      </c>
      <c r="HE48" s="14">
        <f t="shared" si="76"/>
        <v>2</v>
      </c>
      <c r="HF48" s="14" t="str">
        <f t="shared" si="77"/>
        <v>AtkExt</v>
      </c>
      <c r="HG48" s="14">
        <f t="shared" si="78"/>
        <v>10000</v>
      </c>
      <c r="HH48" s="30"/>
      <c r="HI48" s="30"/>
      <c r="HK48" s="13">
        <v>43</v>
      </c>
      <c r="HL48" s="14">
        <f t="shared" si="79"/>
        <v>2</v>
      </c>
      <c r="HM48" s="14">
        <f t="shared" si="80"/>
        <v>1</v>
      </c>
      <c r="HN48" s="14">
        <f t="shared" si="81"/>
        <v>2</v>
      </c>
      <c r="HO48" s="14">
        <f t="shared" si="82"/>
        <v>4</v>
      </c>
      <c r="HP48" s="14" t="str">
        <f t="shared" si="83"/>
        <v>30级寄灵人洗练-Q4-7</v>
      </c>
      <c r="HQ48" s="14">
        <f t="shared" si="84"/>
        <v>1024</v>
      </c>
      <c r="HR48" s="14">
        <f t="shared" si="85"/>
        <v>7</v>
      </c>
      <c r="HS48" s="14">
        <f t="shared" si="86"/>
        <v>500</v>
      </c>
      <c r="HT48" s="14" t="str">
        <f t="shared" si="87"/>
        <v>Crit</v>
      </c>
      <c r="HU48" s="14">
        <f t="shared" si="88"/>
        <v>1.0999999999999999E-2</v>
      </c>
      <c r="HV48" s="14">
        <f t="shared" si="89"/>
        <v>0.03</v>
      </c>
    </row>
    <row r="49" spans="1:230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1249</v>
      </c>
      <c r="AM49" s="13" t="s">
        <v>1259</v>
      </c>
      <c r="AN49" s="13">
        <f t="shared" si="10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S49" s="30"/>
      <c r="ET49" s="30"/>
      <c r="EU49" s="13">
        <v>44</v>
      </c>
      <c r="EV49" s="14">
        <f t="shared" si="51"/>
        <v>1</v>
      </c>
      <c r="EW49" s="14">
        <f t="shared" si="52"/>
        <v>44</v>
      </c>
      <c r="EX49" s="14">
        <f t="shared" si="53"/>
        <v>6</v>
      </c>
      <c r="EY49" s="14">
        <f t="shared" si="9"/>
        <v>10</v>
      </c>
      <c r="EZ49" s="14">
        <f t="shared" si="10"/>
        <v>2</v>
      </c>
      <c r="FA49" s="14">
        <f t="shared" si="11"/>
        <v>30</v>
      </c>
      <c r="FB49" s="14">
        <f t="shared" si="12"/>
        <v>1</v>
      </c>
      <c r="FC49" s="14">
        <f t="shared" si="13"/>
        <v>4</v>
      </c>
      <c r="FD49" s="14">
        <f t="shared" si="14"/>
        <v>4</v>
      </c>
      <c r="FE49" s="14" t="b">
        <f t="shared" si="54"/>
        <v>0</v>
      </c>
      <c r="FF49" s="14">
        <f t="shared" si="15"/>
        <v>2002104</v>
      </c>
      <c r="FG49" s="13" t="str">
        <f t="shared" si="16"/>
        <v>30级-普通寄灵人の裤子</v>
      </c>
      <c r="FH49" s="14">
        <f t="shared" si="17"/>
        <v>1</v>
      </c>
      <c r="FI49" s="14">
        <f t="shared" si="18"/>
        <v>1</v>
      </c>
      <c r="FJ49" s="14">
        <f t="shared" si="19"/>
        <v>30</v>
      </c>
      <c r="FK49" s="14">
        <v>1</v>
      </c>
      <c r="FL49" s="14">
        <f t="shared" si="20"/>
        <v>2</v>
      </c>
      <c r="FM49" s="14">
        <f t="shared" si="55"/>
        <v>4</v>
      </c>
      <c r="FN49" s="14" t="str">
        <f t="shared" si="21"/>
        <v/>
      </c>
      <c r="FO49" s="14">
        <f t="shared" si="22"/>
        <v>20</v>
      </c>
      <c r="FP49" s="14">
        <f t="shared" si="56"/>
        <v>0</v>
      </c>
      <c r="FQ49" s="14">
        <f t="shared" si="57"/>
        <v>20</v>
      </c>
      <c r="FR49" s="14">
        <f t="shared" si="58"/>
        <v>0</v>
      </c>
      <c r="FS49" s="14">
        <f t="shared" si="59"/>
        <v>0</v>
      </c>
      <c r="FT49" s="14">
        <f t="shared" si="60"/>
        <v>2</v>
      </c>
      <c r="FU49" s="14">
        <f t="shared" si="61"/>
        <v>0</v>
      </c>
      <c r="FV49" s="14">
        <f t="shared" si="23"/>
        <v>1021</v>
      </c>
      <c r="FW49" s="14">
        <f t="shared" si="24"/>
        <v>0</v>
      </c>
      <c r="FX49" s="14" t="str">
        <f t="shared" si="25"/>
        <v/>
      </c>
      <c r="FY49" s="25" t="str">
        <f t="shared" si="62"/>
        <v>icon_2002104</v>
      </c>
      <c r="FZ49" s="30"/>
      <c r="GA49" s="30"/>
      <c r="GC49" s="14">
        <f t="shared" si="26"/>
        <v>2</v>
      </c>
      <c r="GD49" s="14">
        <f t="shared" si="27"/>
        <v>0</v>
      </c>
      <c r="GE49" s="14">
        <f t="shared" si="63"/>
        <v>20</v>
      </c>
      <c r="GF49" s="14" t="str">
        <f t="shared" si="28"/>
        <v>DefExt</v>
      </c>
      <c r="GG49" s="14">
        <f t="shared" si="64"/>
        <v>20</v>
      </c>
      <c r="GH49" s="14">
        <f t="shared" si="65"/>
        <v>2</v>
      </c>
      <c r="GI49" s="14" t="str">
        <f t="shared" si="29"/>
        <v/>
      </c>
      <c r="GJ49" s="14" t="str">
        <f t="shared" si="66"/>
        <v/>
      </c>
      <c r="GK49" s="14" t="str">
        <f t="shared" si="67"/>
        <v/>
      </c>
      <c r="GL49" s="14">
        <f t="shared" si="30"/>
        <v>20210</v>
      </c>
      <c r="GM49" s="14">
        <f t="shared" si="68"/>
        <v>0</v>
      </c>
      <c r="GN49" s="14" t="str">
        <f t="shared" si="69"/>
        <v/>
      </c>
      <c r="GO49" s="25" t="s">
        <v>1471</v>
      </c>
      <c r="GP49" s="14">
        <f t="shared" si="31"/>
        <v>8</v>
      </c>
      <c r="GS49" s="30"/>
      <c r="GT49" s="30"/>
      <c r="GU49" s="30"/>
      <c r="GV49" s="30"/>
      <c r="GW49" s="13">
        <v>44</v>
      </c>
      <c r="GX49" s="14">
        <f t="shared" si="70"/>
        <v>14</v>
      </c>
      <c r="GY49" s="14">
        <f t="shared" si="71"/>
        <v>2</v>
      </c>
      <c r="GZ49" s="14">
        <f t="shared" si="72"/>
        <v>2</v>
      </c>
      <c r="HA49" s="14">
        <f t="shared" si="73"/>
        <v>201143</v>
      </c>
      <c r="HB49" s="14" t="str">
        <f t="shared" si="74"/>
        <v>150级寄灵人の绝世套 : 属性-2</v>
      </c>
      <c r="HC49" s="14" t="s">
        <v>1396</v>
      </c>
      <c r="HD49" s="14">
        <f t="shared" si="75"/>
        <v>2</v>
      </c>
      <c r="HE49" s="14">
        <f t="shared" si="76"/>
        <v>3</v>
      </c>
      <c r="HF49" s="14" t="str">
        <f t="shared" si="77"/>
        <v>DefExt</v>
      </c>
      <c r="HG49" s="14">
        <f t="shared" si="78"/>
        <v>5000</v>
      </c>
      <c r="HH49" s="30"/>
      <c r="HI49" s="30"/>
      <c r="HK49" s="13">
        <v>44</v>
      </c>
      <c r="HL49" s="14">
        <f t="shared" si="79"/>
        <v>2</v>
      </c>
      <c r="HM49" s="14">
        <f t="shared" si="80"/>
        <v>1</v>
      </c>
      <c r="HN49" s="14">
        <f t="shared" si="81"/>
        <v>2</v>
      </c>
      <c r="HO49" s="14">
        <f t="shared" si="82"/>
        <v>4</v>
      </c>
      <c r="HP49" s="14" t="str">
        <f t="shared" si="83"/>
        <v>30级寄灵人洗练-Q4-8</v>
      </c>
      <c r="HQ49" s="14">
        <f t="shared" si="84"/>
        <v>1024</v>
      </c>
      <c r="HR49" s="14">
        <f t="shared" si="85"/>
        <v>8</v>
      </c>
      <c r="HS49" s="14">
        <f t="shared" si="86"/>
        <v>500</v>
      </c>
      <c r="HT49" s="14" t="str">
        <f t="shared" si="87"/>
        <v>CritRate</v>
      </c>
      <c r="HU49" s="14">
        <f t="shared" si="88"/>
        <v>2.8000000000000001E-2</v>
      </c>
      <c r="HV49" s="14">
        <f t="shared" si="89"/>
        <v>0.08</v>
      </c>
    </row>
    <row r="50" spans="1:230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1249</v>
      </c>
      <c r="AM50" s="13" t="s">
        <v>1260</v>
      </c>
      <c r="AN50" s="13">
        <f t="shared" si="10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S50" s="30"/>
      <c r="ET50" s="30"/>
      <c r="EU50" s="13">
        <v>45</v>
      </c>
      <c r="EV50" s="14">
        <f t="shared" si="51"/>
        <v>1</v>
      </c>
      <c r="EW50" s="14">
        <f t="shared" si="52"/>
        <v>45</v>
      </c>
      <c r="EX50" s="14">
        <f t="shared" si="53"/>
        <v>6</v>
      </c>
      <c r="EY50" s="14">
        <f t="shared" si="9"/>
        <v>10</v>
      </c>
      <c r="EZ50" s="14">
        <f t="shared" si="10"/>
        <v>2</v>
      </c>
      <c r="FA50" s="14">
        <f t="shared" si="11"/>
        <v>30</v>
      </c>
      <c r="FB50" s="14">
        <f t="shared" si="12"/>
        <v>1</v>
      </c>
      <c r="FC50" s="14">
        <f t="shared" si="13"/>
        <v>5</v>
      </c>
      <c r="FD50" s="14">
        <f t="shared" si="14"/>
        <v>5</v>
      </c>
      <c r="FE50" s="14" t="b">
        <f t="shared" si="54"/>
        <v>0</v>
      </c>
      <c r="FF50" s="14">
        <f t="shared" si="15"/>
        <v>2002105</v>
      </c>
      <c r="FG50" s="13" t="str">
        <f t="shared" si="16"/>
        <v>30级-普通寄灵人の鞋子</v>
      </c>
      <c r="FH50" s="14">
        <f t="shared" si="17"/>
        <v>1</v>
      </c>
      <c r="FI50" s="14">
        <f t="shared" si="18"/>
        <v>1</v>
      </c>
      <c r="FJ50" s="14">
        <f t="shared" si="19"/>
        <v>30</v>
      </c>
      <c r="FK50" s="14">
        <v>1</v>
      </c>
      <c r="FL50" s="14">
        <f t="shared" si="20"/>
        <v>2</v>
      </c>
      <c r="FM50" s="14">
        <f t="shared" si="55"/>
        <v>5</v>
      </c>
      <c r="FN50" s="14" t="str">
        <f t="shared" si="21"/>
        <v/>
      </c>
      <c r="FO50" s="14">
        <f t="shared" si="22"/>
        <v>21</v>
      </c>
      <c r="FP50" s="14">
        <f t="shared" si="56"/>
        <v>0</v>
      </c>
      <c r="FQ50" s="14">
        <f t="shared" si="57"/>
        <v>0</v>
      </c>
      <c r="FR50" s="14">
        <f t="shared" si="58"/>
        <v>250</v>
      </c>
      <c r="FS50" s="14">
        <f t="shared" si="59"/>
        <v>0</v>
      </c>
      <c r="FT50" s="14">
        <f t="shared" si="60"/>
        <v>0</v>
      </c>
      <c r="FU50" s="14">
        <f t="shared" si="61"/>
        <v>21</v>
      </c>
      <c r="FV50" s="14">
        <f t="shared" si="23"/>
        <v>1021</v>
      </c>
      <c r="FW50" s="14">
        <f t="shared" si="24"/>
        <v>0</v>
      </c>
      <c r="FX50" s="14" t="str">
        <f t="shared" si="25"/>
        <v/>
      </c>
      <c r="FY50" s="25" t="str">
        <f t="shared" si="62"/>
        <v>icon_2002105</v>
      </c>
      <c r="FZ50" s="30"/>
      <c r="GA50" s="30"/>
      <c r="GC50" s="14">
        <f t="shared" si="26"/>
        <v>3</v>
      </c>
      <c r="GD50" s="14">
        <f t="shared" si="27"/>
        <v>0</v>
      </c>
      <c r="GE50" s="14">
        <f t="shared" si="63"/>
        <v>21</v>
      </c>
      <c r="GF50" s="14" t="str">
        <f t="shared" si="28"/>
        <v>HPExt</v>
      </c>
      <c r="GG50" s="14">
        <f t="shared" si="64"/>
        <v>250</v>
      </c>
      <c r="GH50" s="14">
        <f t="shared" si="65"/>
        <v>21</v>
      </c>
      <c r="GI50" s="14" t="str">
        <f t="shared" si="29"/>
        <v/>
      </c>
      <c r="GJ50" s="14" t="str">
        <f t="shared" si="66"/>
        <v/>
      </c>
      <c r="GK50" s="14" t="str">
        <f t="shared" si="67"/>
        <v/>
      </c>
      <c r="GL50" s="14">
        <f t="shared" si="30"/>
        <v>20210</v>
      </c>
      <c r="GM50" s="14">
        <f t="shared" si="68"/>
        <v>0</v>
      </c>
      <c r="GN50" s="14" t="str">
        <f t="shared" si="69"/>
        <v/>
      </c>
      <c r="GO50" s="25" t="s">
        <v>1471</v>
      </c>
      <c r="GP50" s="14">
        <f t="shared" si="31"/>
        <v>8</v>
      </c>
      <c r="GS50" s="30"/>
      <c r="GT50" s="30"/>
      <c r="GU50" s="30"/>
      <c r="GV50" s="30"/>
      <c r="GW50" s="13">
        <v>45</v>
      </c>
      <c r="GX50" s="14">
        <f t="shared" si="70"/>
        <v>14</v>
      </c>
      <c r="GY50" s="14">
        <f t="shared" si="71"/>
        <v>3</v>
      </c>
      <c r="GZ50" s="14">
        <f t="shared" si="72"/>
        <v>7</v>
      </c>
      <c r="HA50" s="14">
        <f t="shared" si="73"/>
        <v>201143</v>
      </c>
      <c r="HB50" s="14" t="str">
        <f t="shared" si="74"/>
        <v>150级寄灵人の绝世套 : 属性-3</v>
      </c>
      <c r="HC50" s="14" t="s">
        <v>1396</v>
      </c>
      <c r="HD50" s="14">
        <f t="shared" si="75"/>
        <v>3</v>
      </c>
      <c r="HE50" s="14">
        <f t="shared" si="76"/>
        <v>4</v>
      </c>
      <c r="HF50" s="14" t="str">
        <f t="shared" si="77"/>
        <v>DmgBonus</v>
      </c>
      <c r="HG50" s="14">
        <f t="shared" si="78"/>
        <v>0.1</v>
      </c>
      <c r="HH50" s="30"/>
      <c r="HI50" s="30"/>
      <c r="HK50" s="13">
        <v>45</v>
      </c>
      <c r="HL50" s="14">
        <f t="shared" si="79"/>
        <v>2</v>
      </c>
      <c r="HM50" s="14">
        <f t="shared" si="80"/>
        <v>1</v>
      </c>
      <c r="HN50" s="14">
        <f t="shared" si="81"/>
        <v>2</v>
      </c>
      <c r="HO50" s="14">
        <f t="shared" si="82"/>
        <v>4</v>
      </c>
      <c r="HP50" s="14" t="str">
        <f t="shared" si="83"/>
        <v>30级寄灵人洗练-Q4-9</v>
      </c>
      <c r="HQ50" s="14">
        <f t="shared" si="84"/>
        <v>1024</v>
      </c>
      <c r="HR50" s="14">
        <f t="shared" si="85"/>
        <v>9</v>
      </c>
      <c r="HS50" s="14">
        <f t="shared" si="86"/>
        <v>500</v>
      </c>
      <c r="HT50" s="14" t="str">
        <f t="shared" si="87"/>
        <v>DefIgnor</v>
      </c>
      <c r="HU50" s="14">
        <f t="shared" si="88"/>
        <v>1.0999999999999999E-2</v>
      </c>
      <c r="HV50" s="14">
        <f t="shared" si="89"/>
        <v>0.03</v>
      </c>
    </row>
    <row r="51" spans="1:230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1249</v>
      </c>
      <c r="AM51" s="13" t="s">
        <v>1261</v>
      </c>
      <c r="AN51" s="13">
        <f t="shared" si="10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S51" s="30"/>
      <c r="ET51" s="30"/>
      <c r="EU51" s="13">
        <v>46</v>
      </c>
      <c r="EV51" s="14">
        <f t="shared" si="51"/>
        <v>1</v>
      </c>
      <c r="EW51" s="14">
        <f t="shared" si="52"/>
        <v>46</v>
      </c>
      <c r="EX51" s="14">
        <f t="shared" si="53"/>
        <v>6</v>
      </c>
      <c r="EY51" s="14">
        <f t="shared" si="9"/>
        <v>10</v>
      </c>
      <c r="EZ51" s="14">
        <f t="shared" si="10"/>
        <v>2</v>
      </c>
      <c r="FA51" s="14">
        <f t="shared" si="11"/>
        <v>30</v>
      </c>
      <c r="FB51" s="14">
        <f t="shared" si="12"/>
        <v>1</v>
      </c>
      <c r="FC51" s="14">
        <f t="shared" si="13"/>
        <v>6</v>
      </c>
      <c r="FD51" s="14">
        <f t="shared" si="14"/>
        <v>6</v>
      </c>
      <c r="FE51" s="14" t="b">
        <f t="shared" si="54"/>
        <v>0</v>
      </c>
      <c r="FF51" s="14">
        <f t="shared" si="15"/>
        <v>2002106</v>
      </c>
      <c r="FG51" s="13" t="str">
        <f t="shared" si="16"/>
        <v>30级-普通寄灵人の护手</v>
      </c>
      <c r="FH51" s="14">
        <f t="shared" si="17"/>
        <v>1</v>
      </c>
      <c r="FI51" s="14">
        <f t="shared" si="18"/>
        <v>1</v>
      </c>
      <c r="FJ51" s="14">
        <f t="shared" si="19"/>
        <v>30</v>
      </c>
      <c r="FK51" s="14">
        <v>1</v>
      </c>
      <c r="FL51" s="14">
        <f t="shared" si="20"/>
        <v>2</v>
      </c>
      <c r="FM51" s="14">
        <f t="shared" si="55"/>
        <v>6</v>
      </c>
      <c r="FN51" s="14" t="str">
        <f t="shared" si="21"/>
        <v/>
      </c>
      <c r="FO51" s="14">
        <f t="shared" si="22"/>
        <v>21</v>
      </c>
      <c r="FP51" s="14">
        <f t="shared" si="56"/>
        <v>0</v>
      </c>
      <c r="FQ51" s="14">
        <f t="shared" si="57"/>
        <v>0</v>
      </c>
      <c r="FR51" s="14">
        <f t="shared" si="58"/>
        <v>250</v>
      </c>
      <c r="FS51" s="14">
        <f t="shared" si="59"/>
        <v>0</v>
      </c>
      <c r="FT51" s="14">
        <f t="shared" si="60"/>
        <v>0</v>
      </c>
      <c r="FU51" s="14">
        <f t="shared" si="61"/>
        <v>21</v>
      </c>
      <c r="FV51" s="14">
        <f t="shared" si="23"/>
        <v>1021</v>
      </c>
      <c r="FW51" s="14">
        <f t="shared" si="24"/>
        <v>0</v>
      </c>
      <c r="FX51" s="14" t="str">
        <f t="shared" si="25"/>
        <v/>
      </c>
      <c r="FY51" s="25" t="str">
        <f t="shared" si="62"/>
        <v>icon_2002106</v>
      </c>
      <c r="FZ51" s="30"/>
      <c r="GA51" s="30"/>
      <c r="GC51" s="14">
        <f t="shared" si="26"/>
        <v>3</v>
      </c>
      <c r="GD51" s="14">
        <f t="shared" si="27"/>
        <v>0</v>
      </c>
      <c r="GE51" s="14">
        <f t="shared" si="63"/>
        <v>21</v>
      </c>
      <c r="GF51" s="14" t="str">
        <f t="shared" si="28"/>
        <v>HPExt</v>
      </c>
      <c r="GG51" s="14">
        <f t="shared" si="64"/>
        <v>250</v>
      </c>
      <c r="GH51" s="14">
        <f t="shared" si="65"/>
        <v>21</v>
      </c>
      <c r="GI51" s="14" t="str">
        <f t="shared" si="29"/>
        <v/>
      </c>
      <c r="GJ51" s="14" t="str">
        <f t="shared" si="66"/>
        <v/>
      </c>
      <c r="GK51" s="14" t="str">
        <f t="shared" si="67"/>
        <v/>
      </c>
      <c r="GL51" s="14">
        <f t="shared" si="30"/>
        <v>20210</v>
      </c>
      <c r="GM51" s="14">
        <f t="shared" si="68"/>
        <v>0</v>
      </c>
      <c r="GN51" s="14" t="str">
        <f t="shared" si="69"/>
        <v/>
      </c>
      <c r="GO51" s="25" t="s">
        <v>1471</v>
      </c>
      <c r="GP51" s="14">
        <f t="shared" si="31"/>
        <v>8</v>
      </c>
      <c r="GS51" s="30"/>
      <c r="GT51" s="30"/>
      <c r="GU51" s="30"/>
      <c r="GV51" s="30"/>
      <c r="GW51" s="13">
        <v>46</v>
      </c>
      <c r="GX51" s="14">
        <f t="shared" si="70"/>
        <v>14</v>
      </c>
      <c r="GY51" s="14">
        <f t="shared" si="71"/>
        <v>4</v>
      </c>
      <c r="GZ51" s="14">
        <f t="shared" si="72"/>
        <v>8</v>
      </c>
      <c r="HA51" s="14">
        <f t="shared" si="73"/>
        <v>201143</v>
      </c>
      <c r="HB51" s="14" t="str">
        <f t="shared" si="74"/>
        <v>150级寄灵人の绝世套 : 属性-4</v>
      </c>
      <c r="HC51" s="14" t="s">
        <v>1396</v>
      </c>
      <c r="HD51" s="14">
        <f t="shared" si="75"/>
        <v>4</v>
      </c>
      <c r="HE51" s="14">
        <f t="shared" si="76"/>
        <v>5</v>
      </c>
      <c r="HF51" s="14" t="str">
        <f t="shared" si="77"/>
        <v>DmgResist</v>
      </c>
      <c r="HG51" s="14">
        <f t="shared" si="78"/>
        <v>0.1</v>
      </c>
      <c r="HH51" s="30"/>
      <c r="HI51" s="30"/>
      <c r="HK51" s="13">
        <v>46</v>
      </c>
      <c r="HL51" s="14">
        <f t="shared" si="79"/>
        <v>2</v>
      </c>
      <c r="HM51" s="14">
        <f t="shared" si="80"/>
        <v>1</v>
      </c>
      <c r="HN51" s="14">
        <f t="shared" si="81"/>
        <v>2</v>
      </c>
      <c r="HO51" s="14">
        <f t="shared" si="82"/>
        <v>4</v>
      </c>
      <c r="HP51" s="14" t="str">
        <f t="shared" si="83"/>
        <v>30级寄灵人洗练-Q4-10</v>
      </c>
      <c r="HQ51" s="14">
        <f t="shared" si="84"/>
        <v>1024</v>
      </c>
      <c r="HR51" s="14">
        <f t="shared" si="85"/>
        <v>10</v>
      </c>
      <c r="HS51" s="14">
        <f t="shared" si="86"/>
        <v>500</v>
      </c>
      <c r="HT51" s="14" t="str">
        <f t="shared" si="87"/>
        <v>Block</v>
      </c>
      <c r="HU51" s="14">
        <f t="shared" si="88"/>
        <v>1.0999999999999999E-2</v>
      </c>
      <c r="HV51" s="14">
        <f t="shared" si="89"/>
        <v>0.03</v>
      </c>
    </row>
    <row r="52" spans="1:230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1249</v>
      </c>
      <c r="AM52" s="13" t="s">
        <v>1262</v>
      </c>
      <c r="AN52" s="13">
        <f t="shared" si="10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S52" s="30"/>
      <c r="ET52" s="30"/>
      <c r="EU52" s="13">
        <v>47</v>
      </c>
      <c r="EV52" s="14">
        <f t="shared" si="51"/>
        <v>1</v>
      </c>
      <c r="EW52" s="14">
        <f t="shared" si="52"/>
        <v>47</v>
      </c>
      <c r="EX52" s="14">
        <f t="shared" si="53"/>
        <v>6</v>
      </c>
      <c r="EY52" s="14">
        <f t="shared" si="9"/>
        <v>10</v>
      </c>
      <c r="EZ52" s="14">
        <f t="shared" si="10"/>
        <v>2</v>
      </c>
      <c r="FA52" s="14">
        <f t="shared" si="11"/>
        <v>30</v>
      </c>
      <c r="FB52" s="14">
        <f t="shared" si="12"/>
        <v>1</v>
      </c>
      <c r="FC52" s="14">
        <f t="shared" si="13"/>
        <v>7</v>
      </c>
      <c r="FD52" s="14">
        <f t="shared" si="14"/>
        <v>7</v>
      </c>
      <c r="FE52" s="14" t="b">
        <f t="shared" si="54"/>
        <v>0</v>
      </c>
      <c r="FF52" s="14">
        <f t="shared" si="15"/>
        <v>2002107</v>
      </c>
      <c r="FG52" s="13" t="str">
        <f t="shared" si="16"/>
        <v>30级-普通寄灵人の项链</v>
      </c>
      <c r="FH52" s="14">
        <f t="shared" si="17"/>
        <v>1</v>
      </c>
      <c r="FI52" s="14">
        <f t="shared" si="18"/>
        <v>1</v>
      </c>
      <c r="FJ52" s="14">
        <f t="shared" si="19"/>
        <v>30</v>
      </c>
      <c r="FK52" s="14">
        <v>1</v>
      </c>
      <c r="FL52" s="14">
        <f t="shared" si="20"/>
        <v>2</v>
      </c>
      <c r="FM52" s="14">
        <f t="shared" si="55"/>
        <v>7</v>
      </c>
      <c r="FN52" s="14" t="str">
        <f t="shared" si="21"/>
        <v/>
      </c>
      <c r="FO52" s="14">
        <f t="shared" si="22"/>
        <v>20</v>
      </c>
      <c r="FP52" s="14">
        <f t="shared" si="56"/>
        <v>25</v>
      </c>
      <c r="FQ52" s="14">
        <f t="shared" si="57"/>
        <v>15</v>
      </c>
      <c r="FR52" s="14">
        <f t="shared" si="58"/>
        <v>0</v>
      </c>
      <c r="FS52" s="14">
        <f t="shared" si="59"/>
        <v>2</v>
      </c>
      <c r="FT52" s="14">
        <f t="shared" si="60"/>
        <v>1</v>
      </c>
      <c r="FU52" s="14">
        <f t="shared" si="61"/>
        <v>0</v>
      </c>
      <c r="FV52" s="14">
        <f t="shared" si="23"/>
        <v>1021</v>
      </c>
      <c r="FW52" s="14">
        <f t="shared" si="24"/>
        <v>0</v>
      </c>
      <c r="FX52" s="14" t="str">
        <f t="shared" si="25"/>
        <v/>
      </c>
      <c r="FY52" s="25" t="str">
        <f t="shared" si="62"/>
        <v>icon_2002107</v>
      </c>
      <c r="FZ52" s="30"/>
      <c r="GA52" s="30"/>
      <c r="GC52" s="14">
        <f t="shared" si="26"/>
        <v>1</v>
      </c>
      <c r="GD52" s="14">
        <f t="shared" si="27"/>
        <v>2</v>
      </c>
      <c r="GE52" s="14">
        <f t="shared" si="63"/>
        <v>20</v>
      </c>
      <c r="GF52" s="14" t="str">
        <f t="shared" si="28"/>
        <v>AtkExt</v>
      </c>
      <c r="GG52" s="14">
        <f t="shared" si="64"/>
        <v>25</v>
      </c>
      <c r="GH52" s="14">
        <f t="shared" si="65"/>
        <v>2</v>
      </c>
      <c r="GI52" s="14" t="str">
        <f t="shared" si="29"/>
        <v>DefExt</v>
      </c>
      <c r="GJ52" s="14">
        <f t="shared" si="66"/>
        <v>15</v>
      </c>
      <c r="GK52" s="14">
        <f t="shared" si="67"/>
        <v>1</v>
      </c>
      <c r="GL52" s="14">
        <f t="shared" si="30"/>
        <v>20210</v>
      </c>
      <c r="GM52" s="14">
        <f t="shared" si="68"/>
        <v>0</v>
      </c>
      <c r="GN52" s="14" t="str">
        <f t="shared" si="69"/>
        <v/>
      </c>
      <c r="GO52" s="25" t="s">
        <v>1471</v>
      </c>
      <c r="GP52" s="14">
        <f t="shared" si="31"/>
        <v>12</v>
      </c>
      <c r="GS52" s="30"/>
      <c r="GT52" s="30"/>
      <c r="GU52" s="30"/>
      <c r="GV52" s="30"/>
      <c r="GW52" s="13">
        <v>47</v>
      </c>
      <c r="GX52" s="14">
        <f t="shared" si="70"/>
        <v>15</v>
      </c>
      <c r="GY52" s="14">
        <f t="shared" si="71"/>
        <v>1</v>
      </c>
      <c r="GZ52" s="14">
        <f t="shared" si="72"/>
        <v>1</v>
      </c>
      <c r="HA52" s="14">
        <f t="shared" si="73"/>
        <v>210143</v>
      </c>
      <c r="HB52" s="14" t="str">
        <f t="shared" si="74"/>
        <v>15级守护灵の新手套 : 属性-1</v>
      </c>
      <c r="HC52" s="14" t="s">
        <v>1396</v>
      </c>
      <c r="HD52" s="14">
        <f t="shared" si="75"/>
        <v>1</v>
      </c>
      <c r="HE52" s="14">
        <f t="shared" si="76"/>
        <v>2</v>
      </c>
      <c r="HF52" s="14" t="str">
        <f t="shared" si="77"/>
        <v>AtkExt</v>
      </c>
      <c r="HG52" s="14">
        <f t="shared" si="78"/>
        <v>300</v>
      </c>
      <c r="HH52" s="30"/>
      <c r="HI52" s="30"/>
      <c r="HK52" s="13">
        <v>47</v>
      </c>
      <c r="HL52" s="14">
        <f t="shared" si="79"/>
        <v>2</v>
      </c>
      <c r="HM52" s="14">
        <f t="shared" si="80"/>
        <v>1</v>
      </c>
      <c r="HN52" s="14">
        <f t="shared" si="81"/>
        <v>2</v>
      </c>
      <c r="HO52" s="14">
        <f t="shared" si="82"/>
        <v>4</v>
      </c>
      <c r="HP52" s="14" t="str">
        <f t="shared" si="83"/>
        <v>30级寄灵人洗练-Q4-11</v>
      </c>
      <c r="HQ52" s="14">
        <f t="shared" si="84"/>
        <v>1024</v>
      </c>
      <c r="HR52" s="14">
        <f t="shared" si="85"/>
        <v>11</v>
      </c>
      <c r="HS52" s="14">
        <f t="shared" si="86"/>
        <v>500</v>
      </c>
      <c r="HT52" s="14" t="str">
        <f t="shared" si="87"/>
        <v>EffectHit</v>
      </c>
      <c r="HU52" s="14">
        <f t="shared" si="88"/>
        <v>1.7999999999999999E-2</v>
      </c>
      <c r="HV52" s="14">
        <f t="shared" si="89"/>
        <v>0.05</v>
      </c>
    </row>
    <row r="53" spans="1:230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1250</v>
      </c>
      <c r="AM53" s="13" t="s">
        <v>1265</v>
      </c>
      <c r="AN53" s="13">
        <f t="shared" si="10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S53" s="30"/>
      <c r="ET53" s="30"/>
      <c r="EU53" s="13">
        <v>48</v>
      </c>
      <c r="EV53" s="14">
        <f t="shared" si="51"/>
        <v>1</v>
      </c>
      <c r="EW53" s="14">
        <f t="shared" si="52"/>
        <v>48</v>
      </c>
      <c r="EX53" s="14">
        <f t="shared" si="53"/>
        <v>6</v>
      </c>
      <c r="EY53" s="14">
        <f t="shared" si="9"/>
        <v>10</v>
      </c>
      <c r="EZ53" s="14">
        <f t="shared" si="10"/>
        <v>2</v>
      </c>
      <c r="FA53" s="14">
        <f t="shared" si="11"/>
        <v>30</v>
      </c>
      <c r="FB53" s="14">
        <f t="shared" si="12"/>
        <v>1</v>
      </c>
      <c r="FC53" s="14">
        <f t="shared" si="13"/>
        <v>8</v>
      </c>
      <c r="FD53" s="14">
        <f t="shared" si="14"/>
        <v>8</v>
      </c>
      <c r="FE53" s="14" t="b">
        <f t="shared" si="54"/>
        <v>0</v>
      </c>
      <c r="FF53" s="14">
        <f t="shared" si="15"/>
        <v>2002108</v>
      </c>
      <c r="FG53" s="13" t="str">
        <f t="shared" si="16"/>
        <v>30级-普通寄灵人の戒指</v>
      </c>
      <c r="FH53" s="14">
        <f t="shared" si="17"/>
        <v>1</v>
      </c>
      <c r="FI53" s="14">
        <f t="shared" si="18"/>
        <v>1</v>
      </c>
      <c r="FJ53" s="14">
        <f t="shared" si="19"/>
        <v>30</v>
      </c>
      <c r="FK53" s="14">
        <v>1</v>
      </c>
      <c r="FL53" s="14">
        <f t="shared" si="20"/>
        <v>2</v>
      </c>
      <c r="FM53" s="14">
        <f t="shared" si="55"/>
        <v>8</v>
      </c>
      <c r="FN53" s="14" t="str">
        <f t="shared" si="21"/>
        <v/>
      </c>
      <c r="FO53" s="14">
        <f t="shared" si="22"/>
        <v>28</v>
      </c>
      <c r="FP53" s="14">
        <f t="shared" si="56"/>
        <v>25</v>
      </c>
      <c r="FQ53" s="14">
        <f t="shared" si="57"/>
        <v>0</v>
      </c>
      <c r="FR53" s="14">
        <f t="shared" si="58"/>
        <v>210</v>
      </c>
      <c r="FS53" s="14">
        <f t="shared" si="59"/>
        <v>2</v>
      </c>
      <c r="FT53" s="14">
        <f t="shared" si="60"/>
        <v>0</v>
      </c>
      <c r="FU53" s="14">
        <f t="shared" si="61"/>
        <v>18</v>
      </c>
      <c r="FV53" s="14">
        <f t="shared" si="23"/>
        <v>1021</v>
      </c>
      <c r="FW53" s="14">
        <f t="shared" si="24"/>
        <v>0</v>
      </c>
      <c r="FX53" s="14" t="str">
        <f t="shared" si="25"/>
        <v/>
      </c>
      <c r="FY53" s="25" t="str">
        <f t="shared" si="62"/>
        <v>icon_2002108</v>
      </c>
      <c r="FZ53" s="30"/>
      <c r="GA53" s="30"/>
      <c r="GC53" s="14">
        <f t="shared" si="26"/>
        <v>1</v>
      </c>
      <c r="GD53" s="14">
        <f t="shared" si="27"/>
        <v>3</v>
      </c>
      <c r="GE53" s="14">
        <f t="shared" si="63"/>
        <v>28</v>
      </c>
      <c r="GF53" s="14" t="str">
        <f t="shared" si="28"/>
        <v>AtkExt</v>
      </c>
      <c r="GG53" s="14">
        <f t="shared" si="64"/>
        <v>25</v>
      </c>
      <c r="GH53" s="14">
        <f t="shared" si="65"/>
        <v>2</v>
      </c>
      <c r="GI53" s="14" t="str">
        <f t="shared" si="29"/>
        <v>HPExt</v>
      </c>
      <c r="GJ53" s="14">
        <f t="shared" si="66"/>
        <v>210</v>
      </c>
      <c r="GK53" s="14">
        <f t="shared" si="67"/>
        <v>18</v>
      </c>
      <c r="GL53" s="14">
        <f t="shared" si="30"/>
        <v>20210</v>
      </c>
      <c r="GM53" s="14">
        <f t="shared" si="68"/>
        <v>0</v>
      </c>
      <c r="GN53" s="14" t="str">
        <f t="shared" si="69"/>
        <v/>
      </c>
      <c r="GO53" s="25" t="s">
        <v>1471</v>
      </c>
      <c r="GP53" s="14">
        <f t="shared" si="31"/>
        <v>12</v>
      </c>
      <c r="GS53" s="30"/>
      <c r="GT53" s="30"/>
      <c r="GU53" s="30"/>
      <c r="GV53" s="30"/>
      <c r="GW53" s="13">
        <v>48</v>
      </c>
      <c r="GX53" s="14">
        <f t="shared" si="70"/>
        <v>15</v>
      </c>
      <c r="GY53" s="14">
        <f t="shared" si="71"/>
        <v>2</v>
      </c>
      <c r="GZ53" s="14">
        <f t="shared" si="72"/>
        <v>2</v>
      </c>
      <c r="HA53" s="14">
        <f t="shared" si="73"/>
        <v>210143</v>
      </c>
      <c r="HB53" s="14" t="str">
        <f t="shared" si="74"/>
        <v>15级守护灵の新手套 : 属性-2</v>
      </c>
      <c r="HC53" s="14" t="s">
        <v>1396</v>
      </c>
      <c r="HD53" s="14">
        <f t="shared" si="75"/>
        <v>2</v>
      </c>
      <c r="HE53" s="14">
        <f t="shared" si="76"/>
        <v>4</v>
      </c>
      <c r="HF53" s="14" t="str">
        <f t="shared" si="77"/>
        <v>DefExt</v>
      </c>
      <c r="HG53" s="14">
        <f t="shared" si="78"/>
        <v>150</v>
      </c>
      <c r="HH53" s="30"/>
      <c r="HI53" s="30"/>
      <c r="HK53" s="13">
        <v>48</v>
      </c>
      <c r="HL53" s="14">
        <f t="shared" si="79"/>
        <v>2</v>
      </c>
      <c r="HM53" s="14">
        <f t="shared" si="80"/>
        <v>1</v>
      </c>
      <c r="HN53" s="14">
        <f t="shared" si="81"/>
        <v>2</v>
      </c>
      <c r="HO53" s="14">
        <f t="shared" si="82"/>
        <v>4</v>
      </c>
      <c r="HP53" s="14" t="str">
        <f t="shared" si="83"/>
        <v>30级寄灵人洗练-Q4-12</v>
      </c>
      <c r="HQ53" s="14">
        <f t="shared" si="84"/>
        <v>1024</v>
      </c>
      <c r="HR53" s="14">
        <f t="shared" si="85"/>
        <v>12</v>
      </c>
      <c r="HS53" s="14">
        <f t="shared" si="86"/>
        <v>500</v>
      </c>
      <c r="HT53" s="14" t="str">
        <f t="shared" si="87"/>
        <v>EffectResist</v>
      </c>
      <c r="HU53" s="14">
        <f t="shared" si="88"/>
        <v>1.7999999999999999E-2</v>
      </c>
      <c r="HV53" s="14">
        <f t="shared" si="89"/>
        <v>0.05</v>
      </c>
    </row>
    <row r="54" spans="1:230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1251</v>
      </c>
      <c r="AM54" s="13" t="s">
        <v>1259</v>
      </c>
      <c r="AN54" s="13">
        <f t="shared" si="10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S54" s="30"/>
      <c r="ET54" s="30"/>
      <c r="EU54" s="13">
        <v>49</v>
      </c>
      <c r="EV54" s="14">
        <f t="shared" si="51"/>
        <v>1</v>
      </c>
      <c r="EW54" s="14">
        <f t="shared" si="52"/>
        <v>49</v>
      </c>
      <c r="EX54" s="14">
        <f t="shared" si="53"/>
        <v>7</v>
      </c>
      <c r="EY54" s="14">
        <f t="shared" si="9"/>
        <v>20</v>
      </c>
      <c r="EZ54" s="14">
        <f t="shared" si="10"/>
        <v>2</v>
      </c>
      <c r="FA54" s="14">
        <f t="shared" si="11"/>
        <v>30</v>
      </c>
      <c r="FB54" s="14">
        <f t="shared" si="12"/>
        <v>2</v>
      </c>
      <c r="FC54" s="14">
        <f t="shared" si="13"/>
        <v>1</v>
      </c>
      <c r="FD54" s="14">
        <f t="shared" si="14"/>
        <v>1</v>
      </c>
      <c r="FE54" s="14" t="b">
        <f t="shared" si="54"/>
        <v>0</v>
      </c>
      <c r="FF54" s="14">
        <f t="shared" si="15"/>
        <v>2002201</v>
      </c>
      <c r="FG54" s="13" t="str">
        <f t="shared" si="16"/>
        <v>30级-优秀寄灵人の灵器</v>
      </c>
      <c r="FH54" s="14">
        <f t="shared" si="17"/>
        <v>1</v>
      </c>
      <c r="FI54" s="14">
        <f t="shared" si="18"/>
        <v>2</v>
      </c>
      <c r="FJ54" s="14">
        <f t="shared" si="19"/>
        <v>30</v>
      </c>
      <c r="FK54" s="14">
        <v>1</v>
      </c>
      <c r="FL54" s="14">
        <f t="shared" si="20"/>
        <v>2</v>
      </c>
      <c r="FM54" s="14">
        <f t="shared" si="55"/>
        <v>1</v>
      </c>
      <c r="FN54" s="14" t="str">
        <f t="shared" si="21"/>
        <v/>
      </c>
      <c r="FO54" s="14">
        <f t="shared" si="22"/>
        <v>45</v>
      </c>
      <c r="FP54" s="14">
        <f t="shared" si="56"/>
        <v>110</v>
      </c>
      <c r="FQ54" s="14">
        <f t="shared" si="57"/>
        <v>0</v>
      </c>
      <c r="FR54" s="14">
        <f t="shared" si="58"/>
        <v>0</v>
      </c>
      <c r="FS54" s="14">
        <f t="shared" si="59"/>
        <v>9</v>
      </c>
      <c r="FT54" s="14">
        <f t="shared" si="60"/>
        <v>0</v>
      </c>
      <c r="FU54" s="14">
        <f t="shared" si="61"/>
        <v>0</v>
      </c>
      <c r="FV54" s="14">
        <f t="shared" si="23"/>
        <v>1022</v>
      </c>
      <c r="FW54" s="14">
        <f t="shared" si="24"/>
        <v>0</v>
      </c>
      <c r="FX54" s="14" t="str">
        <f t="shared" si="25"/>
        <v/>
      </c>
      <c r="FY54" s="25" t="str">
        <f t="shared" si="62"/>
        <v>icon_2002101</v>
      </c>
      <c r="FZ54" s="30"/>
      <c r="GA54" s="30"/>
      <c r="GC54" s="14">
        <f t="shared" si="26"/>
        <v>1</v>
      </c>
      <c r="GD54" s="14">
        <f t="shared" si="27"/>
        <v>0</v>
      </c>
      <c r="GE54" s="14">
        <f t="shared" si="63"/>
        <v>45</v>
      </c>
      <c r="GF54" s="14" t="str">
        <f t="shared" si="28"/>
        <v>AtkExt</v>
      </c>
      <c r="GG54" s="14">
        <f t="shared" si="64"/>
        <v>110</v>
      </c>
      <c r="GH54" s="14">
        <f t="shared" si="65"/>
        <v>9</v>
      </c>
      <c r="GI54" s="14" t="str">
        <f t="shared" si="29"/>
        <v/>
      </c>
      <c r="GJ54" s="14" t="str">
        <f t="shared" si="66"/>
        <v/>
      </c>
      <c r="GK54" s="14" t="str">
        <f t="shared" si="67"/>
        <v/>
      </c>
      <c r="GL54" s="14">
        <f t="shared" si="30"/>
        <v>20220</v>
      </c>
      <c r="GM54" s="14">
        <f t="shared" si="68"/>
        <v>0</v>
      </c>
      <c r="GN54" s="14" t="str">
        <f t="shared" si="69"/>
        <v/>
      </c>
      <c r="GO54" s="25" t="s">
        <v>1471</v>
      </c>
      <c r="GP54" s="14">
        <f t="shared" si="31"/>
        <v>48</v>
      </c>
      <c r="GS54" s="30"/>
      <c r="GT54" s="30"/>
      <c r="GU54" s="30"/>
      <c r="GV54" s="30"/>
      <c r="GW54" s="13">
        <v>49</v>
      </c>
      <c r="GX54" s="14">
        <f t="shared" si="70"/>
        <v>15</v>
      </c>
      <c r="GY54" s="14">
        <f t="shared" si="71"/>
        <v>3</v>
      </c>
      <c r="GZ54" s="14">
        <f t="shared" si="72"/>
        <v>3</v>
      </c>
      <c r="HA54" s="14">
        <f t="shared" si="73"/>
        <v>210143</v>
      </c>
      <c r="HB54" s="14" t="str">
        <f t="shared" si="74"/>
        <v>15级守护灵の新手套 : 属性-3</v>
      </c>
      <c r="HC54" s="14" t="s">
        <v>1396</v>
      </c>
      <c r="HD54" s="14">
        <f t="shared" si="75"/>
        <v>3</v>
      </c>
      <c r="HE54" s="14">
        <f t="shared" si="76"/>
        <v>6</v>
      </c>
      <c r="HF54" s="14" t="str">
        <f t="shared" si="77"/>
        <v>HPExt</v>
      </c>
      <c r="HG54" s="14">
        <f t="shared" si="78"/>
        <v>3000</v>
      </c>
      <c r="HH54" s="30"/>
      <c r="HI54" s="30"/>
      <c r="HK54" s="13">
        <v>49</v>
      </c>
      <c r="HL54" s="14">
        <f t="shared" si="79"/>
        <v>3</v>
      </c>
      <c r="HM54" s="14">
        <f t="shared" si="80"/>
        <v>1</v>
      </c>
      <c r="HN54" s="14">
        <f t="shared" si="81"/>
        <v>3</v>
      </c>
      <c r="HO54" s="14">
        <f t="shared" si="82"/>
        <v>3</v>
      </c>
      <c r="HP54" s="14" t="str">
        <f t="shared" si="83"/>
        <v>50级寄灵人洗练-Q3-1</v>
      </c>
      <c r="HQ54" s="14">
        <f t="shared" si="84"/>
        <v>1033</v>
      </c>
      <c r="HR54" s="14">
        <f t="shared" si="85"/>
        <v>1</v>
      </c>
      <c r="HS54" s="14">
        <f t="shared" si="86"/>
        <v>1800</v>
      </c>
      <c r="HT54" s="14" t="str">
        <f t="shared" si="87"/>
        <v>AtkExt</v>
      </c>
      <c r="HU54" s="14">
        <f t="shared" si="88"/>
        <v>27</v>
      </c>
      <c r="HV54" s="14">
        <f t="shared" si="89"/>
        <v>78</v>
      </c>
    </row>
    <row r="55" spans="1:230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1251</v>
      </c>
      <c r="AM55" s="13" t="s">
        <v>1260</v>
      </c>
      <c r="AN55" s="13">
        <f t="shared" si="10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S55" s="30"/>
      <c r="ET55" s="30"/>
      <c r="EU55" s="13">
        <v>50</v>
      </c>
      <c r="EV55" s="14">
        <f t="shared" si="51"/>
        <v>1</v>
      </c>
      <c r="EW55" s="14">
        <f t="shared" si="52"/>
        <v>50</v>
      </c>
      <c r="EX55" s="14">
        <f t="shared" si="53"/>
        <v>7</v>
      </c>
      <c r="EY55" s="14">
        <f t="shared" si="9"/>
        <v>20</v>
      </c>
      <c r="EZ55" s="14">
        <f t="shared" si="10"/>
        <v>2</v>
      </c>
      <c r="FA55" s="14">
        <f t="shared" si="11"/>
        <v>30</v>
      </c>
      <c r="FB55" s="14">
        <f t="shared" si="12"/>
        <v>2</v>
      </c>
      <c r="FC55" s="14">
        <f t="shared" si="13"/>
        <v>2</v>
      </c>
      <c r="FD55" s="14">
        <f t="shared" si="14"/>
        <v>2</v>
      </c>
      <c r="FE55" s="14" t="b">
        <f t="shared" si="54"/>
        <v>0</v>
      </c>
      <c r="FF55" s="14">
        <f t="shared" si="15"/>
        <v>2002202</v>
      </c>
      <c r="FG55" s="13" t="str">
        <f t="shared" si="16"/>
        <v>30级-优秀寄灵人の头盔</v>
      </c>
      <c r="FH55" s="14">
        <f t="shared" si="17"/>
        <v>1</v>
      </c>
      <c r="FI55" s="14">
        <f t="shared" si="18"/>
        <v>2</v>
      </c>
      <c r="FJ55" s="14">
        <f t="shared" si="19"/>
        <v>30</v>
      </c>
      <c r="FK55" s="14">
        <v>1</v>
      </c>
      <c r="FL55" s="14">
        <f t="shared" si="20"/>
        <v>2</v>
      </c>
      <c r="FM55" s="14">
        <f t="shared" si="55"/>
        <v>2</v>
      </c>
      <c r="FN55" s="14" t="str">
        <f t="shared" si="21"/>
        <v/>
      </c>
      <c r="FO55" s="14">
        <f t="shared" si="22"/>
        <v>20</v>
      </c>
      <c r="FP55" s="14">
        <f t="shared" si="56"/>
        <v>0</v>
      </c>
      <c r="FQ55" s="14">
        <f t="shared" si="57"/>
        <v>30</v>
      </c>
      <c r="FR55" s="14">
        <f t="shared" si="58"/>
        <v>0</v>
      </c>
      <c r="FS55" s="14">
        <f t="shared" si="59"/>
        <v>0</v>
      </c>
      <c r="FT55" s="14">
        <f t="shared" si="60"/>
        <v>2</v>
      </c>
      <c r="FU55" s="14">
        <f t="shared" si="61"/>
        <v>0</v>
      </c>
      <c r="FV55" s="14">
        <f t="shared" si="23"/>
        <v>1022</v>
      </c>
      <c r="FW55" s="14">
        <f t="shared" si="24"/>
        <v>0</v>
      </c>
      <c r="FX55" s="14" t="str">
        <f t="shared" si="25"/>
        <v/>
      </c>
      <c r="FY55" s="25" t="str">
        <f t="shared" si="62"/>
        <v>icon_2002102</v>
      </c>
      <c r="FZ55" s="30"/>
      <c r="GA55" s="30"/>
      <c r="GC55" s="14">
        <f t="shared" si="26"/>
        <v>2</v>
      </c>
      <c r="GD55" s="14">
        <f t="shared" si="27"/>
        <v>0</v>
      </c>
      <c r="GE55" s="14">
        <f t="shared" si="63"/>
        <v>20</v>
      </c>
      <c r="GF55" s="14" t="str">
        <f t="shared" si="28"/>
        <v>DefExt</v>
      </c>
      <c r="GG55" s="14">
        <f t="shared" si="64"/>
        <v>30</v>
      </c>
      <c r="GH55" s="14">
        <f t="shared" si="65"/>
        <v>2</v>
      </c>
      <c r="GI55" s="14" t="str">
        <f t="shared" si="29"/>
        <v/>
      </c>
      <c r="GJ55" s="14" t="str">
        <f t="shared" si="66"/>
        <v/>
      </c>
      <c r="GK55" s="14" t="str">
        <f t="shared" si="67"/>
        <v/>
      </c>
      <c r="GL55" s="14">
        <f t="shared" si="30"/>
        <v>20220</v>
      </c>
      <c r="GM55" s="14">
        <f t="shared" si="68"/>
        <v>0</v>
      </c>
      <c r="GN55" s="14" t="str">
        <f t="shared" si="69"/>
        <v/>
      </c>
      <c r="GO55" s="25" t="s">
        <v>1471</v>
      </c>
      <c r="GP55" s="14">
        <f t="shared" si="31"/>
        <v>24</v>
      </c>
      <c r="GS55" s="30"/>
      <c r="GT55" s="30"/>
      <c r="GU55" s="30"/>
      <c r="GV55" s="30"/>
      <c r="GW55" s="13">
        <v>50</v>
      </c>
      <c r="GX55" s="14">
        <f t="shared" si="70"/>
        <v>15</v>
      </c>
      <c r="GY55" s="14">
        <f t="shared" si="71"/>
        <v>4</v>
      </c>
      <c r="GZ55" s="14">
        <f t="shared" si="72"/>
        <v>7</v>
      </c>
      <c r="HA55" s="14">
        <f t="shared" si="73"/>
        <v>210143</v>
      </c>
      <c r="HB55" s="14" t="str">
        <f t="shared" si="74"/>
        <v>15级守护灵の新手套 : 属性-4</v>
      </c>
      <c r="HC55" s="14" t="s">
        <v>1396</v>
      </c>
      <c r="HD55" s="14">
        <f t="shared" si="75"/>
        <v>4</v>
      </c>
      <c r="HE55" s="14">
        <f t="shared" si="76"/>
        <v>8</v>
      </c>
      <c r="HF55" s="14" t="str">
        <f t="shared" si="77"/>
        <v>DmgBonus</v>
      </c>
      <c r="HG55" s="14">
        <f t="shared" si="78"/>
        <v>0.1</v>
      </c>
      <c r="HH55" s="30"/>
      <c r="HI55" s="30"/>
      <c r="HK55" s="13">
        <v>50</v>
      </c>
      <c r="HL55" s="14">
        <f t="shared" si="79"/>
        <v>3</v>
      </c>
      <c r="HM55" s="14">
        <f t="shared" si="80"/>
        <v>1</v>
      </c>
      <c r="HN55" s="14">
        <f t="shared" si="81"/>
        <v>3</v>
      </c>
      <c r="HO55" s="14">
        <f t="shared" si="82"/>
        <v>3</v>
      </c>
      <c r="HP55" s="14" t="str">
        <f t="shared" si="83"/>
        <v>50级寄灵人洗练-Q3-2</v>
      </c>
      <c r="HQ55" s="14">
        <f t="shared" si="84"/>
        <v>1033</v>
      </c>
      <c r="HR55" s="14">
        <f t="shared" si="85"/>
        <v>2</v>
      </c>
      <c r="HS55" s="14">
        <f t="shared" si="86"/>
        <v>1800</v>
      </c>
      <c r="HT55" s="14" t="str">
        <f t="shared" si="87"/>
        <v>DefExt</v>
      </c>
      <c r="HU55" s="14">
        <f t="shared" si="88"/>
        <v>14</v>
      </c>
      <c r="HV55" s="14">
        <f t="shared" si="89"/>
        <v>40</v>
      </c>
    </row>
    <row r="56" spans="1:230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1251</v>
      </c>
      <c r="AM56" s="13" t="s">
        <v>1261</v>
      </c>
      <c r="AN56" s="13">
        <f t="shared" si="10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S56" s="30"/>
      <c r="ET56" s="30"/>
      <c r="EU56" s="13">
        <v>51</v>
      </c>
      <c r="EV56" s="14">
        <f t="shared" si="51"/>
        <v>1</v>
      </c>
      <c r="EW56" s="14">
        <f t="shared" si="52"/>
        <v>51</v>
      </c>
      <c r="EX56" s="14">
        <f t="shared" si="53"/>
        <v>7</v>
      </c>
      <c r="EY56" s="14">
        <f t="shared" si="9"/>
        <v>20</v>
      </c>
      <c r="EZ56" s="14">
        <f t="shared" si="10"/>
        <v>2</v>
      </c>
      <c r="FA56" s="14">
        <f t="shared" si="11"/>
        <v>30</v>
      </c>
      <c r="FB56" s="14">
        <f t="shared" si="12"/>
        <v>2</v>
      </c>
      <c r="FC56" s="14">
        <f t="shared" si="13"/>
        <v>3</v>
      </c>
      <c r="FD56" s="14">
        <f t="shared" si="14"/>
        <v>3</v>
      </c>
      <c r="FE56" s="14" t="b">
        <f t="shared" si="54"/>
        <v>0</v>
      </c>
      <c r="FF56" s="14">
        <f t="shared" si="15"/>
        <v>2002203</v>
      </c>
      <c r="FG56" s="13" t="str">
        <f t="shared" si="16"/>
        <v>30级-优秀寄灵人の铠甲</v>
      </c>
      <c r="FH56" s="14">
        <f t="shared" si="17"/>
        <v>1</v>
      </c>
      <c r="FI56" s="14">
        <f t="shared" si="18"/>
        <v>2</v>
      </c>
      <c r="FJ56" s="14">
        <f t="shared" si="19"/>
        <v>30</v>
      </c>
      <c r="FK56" s="14">
        <v>1</v>
      </c>
      <c r="FL56" s="14">
        <f t="shared" si="20"/>
        <v>2</v>
      </c>
      <c r="FM56" s="14">
        <f t="shared" si="55"/>
        <v>3</v>
      </c>
      <c r="FN56" s="14" t="str">
        <f t="shared" si="21"/>
        <v/>
      </c>
      <c r="FO56" s="14">
        <f t="shared" si="22"/>
        <v>25</v>
      </c>
      <c r="FP56" s="14">
        <f t="shared" si="56"/>
        <v>0</v>
      </c>
      <c r="FQ56" s="14">
        <f t="shared" si="57"/>
        <v>15</v>
      </c>
      <c r="FR56" s="14">
        <f t="shared" si="58"/>
        <v>175</v>
      </c>
      <c r="FS56" s="14">
        <f t="shared" si="59"/>
        <v>0</v>
      </c>
      <c r="FT56" s="14">
        <f t="shared" si="60"/>
        <v>1</v>
      </c>
      <c r="FU56" s="14">
        <f t="shared" si="61"/>
        <v>15</v>
      </c>
      <c r="FV56" s="14">
        <f t="shared" si="23"/>
        <v>1022</v>
      </c>
      <c r="FW56" s="14">
        <f t="shared" si="24"/>
        <v>0</v>
      </c>
      <c r="FX56" s="14" t="str">
        <f t="shared" si="25"/>
        <v/>
      </c>
      <c r="FY56" s="25" t="str">
        <f t="shared" si="62"/>
        <v>icon_2002103</v>
      </c>
      <c r="FZ56" s="30"/>
      <c r="GA56" s="30"/>
      <c r="GC56" s="14">
        <f t="shared" si="26"/>
        <v>2</v>
      </c>
      <c r="GD56" s="14">
        <f t="shared" si="27"/>
        <v>3</v>
      </c>
      <c r="GE56" s="14">
        <f t="shared" si="63"/>
        <v>25</v>
      </c>
      <c r="GF56" s="14" t="str">
        <f t="shared" si="28"/>
        <v>DefExt</v>
      </c>
      <c r="GG56" s="14">
        <f t="shared" si="64"/>
        <v>15</v>
      </c>
      <c r="GH56" s="14">
        <f t="shared" si="65"/>
        <v>1</v>
      </c>
      <c r="GI56" s="14" t="str">
        <f t="shared" si="29"/>
        <v>HPExt</v>
      </c>
      <c r="GJ56" s="14">
        <f t="shared" si="66"/>
        <v>175</v>
      </c>
      <c r="GK56" s="14">
        <f t="shared" si="67"/>
        <v>15</v>
      </c>
      <c r="GL56" s="14">
        <f t="shared" si="30"/>
        <v>20220</v>
      </c>
      <c r="GM56" s="14">
        <f t="shared" si="68"/>
        <v>0</v>
      </c>
      <c r="GN56" s="14" t="str">
        <f t="shared" si="69"/>
        <v/>
      </c>
      <c r="GO56" s="25" t="s">
        <v>1471</v>
      </c>
      <c r="GP56" s="14">
        <f t="shared" si="31"/>
        <v>24</v>
      </c>
      <c r="GS56" s="30"/>
      <c r="GT56" s="30"/>
      <c r="GU56" s="30"/>
      <c r="GV56" s="30"/>
      <c r="GW56" s="13">
        <v>51</v>
      </c>
      <c r="GX56" s="14">
        <f t="shared" si="70"/>
        <v>16</v>
      </c>
      <c r="GY56" s="14">
        <f t="shared" si="71"/>
        <v>1</v>
      </c>
      <c r="GZ56" s="14">
        <f t="shared" si="72"/>
        <v>1</v>
      </c>
      <c r="HA56" s="14">
        <f t="shared" si="73"/>
        <v>210241</v>
      </c>
      <c r="HB56" s="14" t="str">
        <f t="shared" si="74"/>
        <v>30级守护灵の攻击套 : 属性-1</v>
      </c>
      <c r="HC56" s="14" t="s">
        <v>1396</v>
      </c>
      <c r="HD56" s="14">
        <f t="shared" si="75"/>
        <v>1</v>
      </c>
      <c r="HE56" s="14">
        <f t="shared" si="76"/>
        <v>2</v>
      </c>
      <c r="HF56" s="14" t="str">
        <f t="shared" si="77"/>
        <v>AtkExt</v>
      </c>
      <c r="HG56" s="14">
        <f t="shared" si="78"/>
        <v>450</v>
      </c>
      <c r="HH56" s="30"/>
      <c r="HI56" s="30"/>
      <c r="HK56" s="13">
        <v>51</v>
      </c>
      <c r="HL56" s="14">
        <f t="shared" si="79"/>
        <v>3</v>
      </c>
      <c r="HM56" s="14">
        <f t="shared" si="80"/>
        <v>1</v>
      </c>
      <c r="HN56" s="14">
        <f t="shared" si="81"/>
        <v>3</v>
      </c>
      <c r="HO56" s="14">
        <f t="shared" si="82"/>
        <v>3</v>
      </c>
      <c r="HP56" s="14" t="str">
        <f t="shared" si="83"/>
        <v>50级寄灵人洗练-Q3-3</v>
      </c>
      <c r="HQ56" s="14">
        <f t="shared" si="84"/>
        <v>1033</v>
      </c>
      <c r="HR56" s="14">
        <f t="shared" si="85"/>
        <v>3</v>
      </c>
      <c r="HS56" s="14">
        <f t="shared" si="86"/>
        <v>2000</v>
      </c>
      <c r="HT56" s="14" t="str">
        <f t="shared" si="87"/>
        <v>HPExt</v>
      </c>
      <c r="HU56" s="14">
        <f t="shared" si="88"/>
        <v>190</v>
      </c>
      <c r="HV56" s="14">
        <f t="shared" si="89"/>
        <v>544</v>
      </c>
    </row>
    <row r="57" spans="1:230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1251</v>
      </c>
      <c r="AM57" s="13" t="s">
        <v>1262</v>
      </c>
      <c r="AN57" s="13">
        <f t="shared" si="10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S57" s="30"/>
      <c r="ET57" s="30"/>
      <c r="EU57" s="13">
        <v>52</v>
      </c>
      <c r="EV57" s="14">
        <f t="shared" si="51"/>
        <v>1</v>
      </c>
      <c r="EW57" s="14">
        <f t="shared" si="52"/>
        <v>52</v>
      </c>
      <c r="EX57" s="14">
        <f t="shared" si="53"/>
        <v>7</v>
      </c>
      <c r="EY57" s="14">
        <f t="shared" si="9"/>
        <v>20</v>
      </c>
      <c r="EZ57" s="14">
        <f t="shared" si="10"/>
        <v>2</v>
      </c>
      <c r="FA57" s="14">
        <f t="shared" si="11"/>
        <v>30</v>
      </c>
      <c r="FB57" s="14">
        <f t="shared" si="12"/>
        <v>2</v>
      </c>
      <c r="FC57" s="14">
        <f t="shared" si="13"/>
        <v>4</v>
      </c>
      <c r="FD57" s="14">
        <f t="shared" si="14"/>
        <v>4</v>
      </c>
      <c r="FE57" s="14" t="b">
        <f t="shared" si="54"/>
        <v>0</v>
      </c>
      <c r="FF57" s="14">
        <f t="shared" si="15"/>
        <v>2002204</v>
      </c>
      <c r="FG57" s="13" t="str">
        <f t="shared" si="16"/>
        <v>30级-优秀寄灵人の裤子</v>
      </c>
      <c r="FH57" s="14">
        <f t="shared" si="17"/>
        <v>1</v>
      </c>
      <c r="FI57" s="14">
        <f t="shared" si="18"/>
        <v>2</v>
      </c>
      <c r="FJ57" s="14">
        <f t="shared" si="19"/>
        <v>30</v>
      </c>
      <c r="FK57" s="14">
        <v>1</v>
      </c>
      <c r="FL57" s="14">
        <f t="shared" si="20"/>
        <v>2</v>
      </c>
      <c r="FM57" s="14">
        <f t="shared" si="55"/>
        <v>4</v>
      </c>
      <c r="FN57" s="14" t="str">
        <f t="shared" si="21"/>
        <v/>
      </c>
      <c r="FO57" s="14">
        <f t="shared" si="22"/>
        <v>20</v>
      </c>
      <c r="FP57" s="14">
        <f t="shared" si="56"/>
        <v>0</v>
      </c>
      <c r="FQ57" s="14">
        <f t="shared" si="57"/>
        <v>30</v>
      </c>
      <c r="FR57" s="14">
        <f t="shared" si="58"/>
        <v>0</v>
      </c>
      <c r="FS57" s="14">
        <f t="shared" si="59"/>
        <v>0</v>
      </c>
      <c r="FT57" s="14">
        <f t="shared" si="60"/>
        <v>2</v>
      </c>
      <c r="FU57" s="14">
        <f t="shared" si="61"/>
        <v>0</v>
      </c>
      <c r="FV57" s="14">
        <f t="shared" si="23"/>
        <v>1022</v>
      </c>
      <c r="FW57" s="14">
        <f t="shared" si="24"/>
        <v>0</v>
      </c>
      <c r="FX57" s="14" t="str">
        <f t="shared" si="25"/>
        <v/>
      </c>
      <c r="FY57" s="25" t="str">
        <f t="shared" si="62"/>
        <v>icon_2002104</v>
      </c>
      <c r="FZ57" s="30"/>
      <c r="GA57" s="30"/>
      <c r="GC57" s="14">
        <f t="shared" si="26"/>
        <v>2</v>
      </c>
      <c r="GD57" s="14">
        <f t="shared" si="27"/>
        <v>0</v>
      </c>
      <c r="GE57" s="14">
        <f t="shared" si="63"/>
        <v>20</v>
      </c>
      <c r="GF57" s="14" t="str">
        <f t="shared" si="28"/>
        <v>DefExt</v>
      </c>
      <c r="GG57" s="14">
        <f t="shared" si="64"/>
        <v>30</v>
      </c>
      <c r="GH57" s="14">
        <f t="shared" si="65"/>
        <v>2</v>
      </c>
      <c r="GI57" s="14" t="str">
        <f t="shared" si="29"/>
        <v/>
      </c>
      <c r="GJ57" s="14" t="str">
        <f t="shared" si="66"/>
        <v/>
      </c>
      <c r="GK57" s="14" t="str">
        <f t="shared" si="67"/>
        <v/>
      </c>
      <c r="GL57" s="14">
        <f t="shared" si="30"/>
        <v>20220</v>
      </c>
      <c r="GM57" s="14">
        <f t="shared" si="68"/>
        <v>0</v>
      </c>
      <c r="GN57" s="14" t="str">
        <f t="shared" si="69"/>
        <v/>
      </c>
      <c r="GO57" s="25" t="s">
        <v>1471</v>
      </c>
      <c r="GP57" s="14">
        <f t="shared" si="31"/>
        <v>24</v>
      </c>
      <c r="GS57" s="30"/>
      <c r="GT57" s="30"/>
      <c r="GU57" s="30"/>
      <c r="GV57" s="30"/>
      <c r="GW57" s="13">
        <v>52</v>
      </c>
      <c r="GX57" s="14">
        <f t="shared" si="70"/>
        <v>16</v>
      </c>
      <c r="GY57" s="14">
        <f t="shared" si="71"/>
        <v>2</v>
      </c>
      <c r="GZ57" s="14">
        <f t="shared" si="72"/>
        <v>3</v>
      </c>
      <c r="HA57" s="14">
        <f t="shared" si="73"/>
        <v>210241</v>
      </c>
      <c r="HB57" s="14" t="str">
        <f t="shared" si="74"/>
        <v>30级守护灵の攻击套 : 属性-2</v>
      </c>
      <c r="HC57" s="14" t="s">
        <v>1396</v>
      </c>
      <c r="HD57" s="14">
        <f t="shared" si="75"/>
        <v>2</v>
      </c>
      <c r="HE57" s="14">
        <f t="shared" si="76"/>
        <v>4</v>
      </c>
      <c r="HF57" s="14" t="str">
        <f t="shared" si="77"/>
        <v>HPExt</v>
      </c>
      <c r="HG57" s="14">
        <f t="shared" si="78"/>
        <v>4500</v>
      </c>
      <c r="HH57" s="30"/>
      <c r="HI57" s="30"/>
      <c r="HK57" s="13">
        <v>52</v>
      </c>
      <c r="HL57" s="14">
        <f t="shared" si="79"/>
        <v>3</v>
      </c>
      <c r="HM57" s="14">
        <f t="shared" si="80"/>
        <v>1</v>
      </c>
      <c r="HN57" s="14">
        <f t="shared" si="81"/>
        <v>3</v>
      </c>
      <c r="HO57" s="14">
        <f t="shared" si="82"/>
        <v>3</v>
      </c>
      <c r="HP57" s="14" t="str">
        <f t="shared" si="83"/>
        <v>50级寄灵人洗练-Q3-4</v>
      </c>
      <c r="HQ57" s="14">
        <f t="shared" si="84"/>
        <v>1033</v>
      </c>
      <c r="HR57" s="14">
        <f t="shared" si="85"/>
        <v>4</v>
      </c>
      <c r="HS57" s="14">
        <f t="shared" si="86"/>
        <v>500</v>
      </c>
      <c r="HT57" s="14" t="str">
        <f t="shared" si="87"/>
        <v>AtkRate</v>
      </c>
      <c r="HU57" s="14">
        <f t="shared" si="88"/>
        <v>1.4E-2</v>
      </c>
      <c r="HV57" s="14">
        <f t="shared" si="89"/>
        <v>0.04</v>
      </c>
    </row>
    <row r="58" spans="1:230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1252</v>
      </c>
      <c r="AM58" s="13" t="s">
        <v>1270</v>
      </c>
      <c r="AN58" s="13">
        <f t="shared" si="10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S58" s="30"/>
      <c r="ET58" s="30"/>
      <c r="EU58" s="13">
        <v>53</v>
      </c>
      <c r="EV58" s="14">
        <f t="shared" si="51"/>
        <v>1</v>
      </c>
      <c r="EW58" s="14">
        <f t="shared" si="52"/>
        <v>53</v>
      </c>
      <c r="EX58" s="14">
        <f t="shared" si="53"/>
        <v>7</v>
      </c>
      <c r="EY58" s="14">
        <f t="shared" si="9"/>
        <v>20</v>
      </c>
      <c r="EZ58" s="14">
        <f t="shared" si="10"/>
        <v>2</v>
      </c>
      <c r="FA58" s="14">
        <f t="shared" si="11"/>
        <v>30</v>
      </c>
      <c r="FB58" s="14">
        <f t="shared" si="12"/>
        <v>2</v>
      </c>
      <c r="FC58" s="14">
        <f t="shared" si="13"/>
        <v>5</v>
      </c>
      <c r="FD58" s="14">
        <f t="shared" si="14"/>
        <v>5</v>
      </c>
      <c r="FE58" s="14" t="b">
        <f t="shared" si="54"/>
        <v>0</v>
      </c>
      <c r="FF58" s="14">
        <f t="shared" si="15"/>
        <v>2002205</v>
      </c>
      <c r="FG58" s="13" t="str">
        <f t="shared" si="16"/>
        <v>30级-优秀寄灵人の鞋子</v>
      </c>
      <c r="FH58" s="14">
        <f t="shared" si="17"/>
        <v>1</v>
      </c>
      <c r="FI58" s="14">
        <f t="shared" si="18"/>
        <v>2</v>
      </c>
      <c r="FJ58" s="14">
        <f t="shared" si="19"/>
        <v>30</v>
      </c>
      <c r="FK58" s="14">
        <v>1</v>
      </c>
      <c r="FL58" s="14">
        <f t="shared" si="20"/>
        <v>2</v>
      </c>
      <c r="FM58" s="14">
        <f t="shared" si="55"/>
        <v>5</v>
      </c>
      <c r="FN58" s="14" t="str">
        <f t="shared" si="21"/>
        <v/>
      </c>
      <c r="FO58" s="14">
        <f t="shared" si="22"/>
        <v>30</v>
      </c>
      <c r="FP58" s="14">
        <f t="shared" si="56"/>
        <v>0</v>
      </c>
      <c r="FQ58" s="14">
        <f t="shared" si="57"/>
        <v>0</v>
      </c>
      <c r="FR58" s="14">
        <f t="shared" si="58"/>
        <v>350</v>
      </c>
      <c r="FS58" s="14">
        <f t="shared" si="59"/>
        <v>0</v>
      </c>
      <c r="FT58" s="14">
        <f t="shared" si="60"/>
        <v>0</v>
      </c>
      <c r="FU58" s="14">
        <f t="shared" si="61"/>
        <v>30</v>
      </c>
      <c r="FV58" s="14">
        <f t="shared" si="23"/>
        <v>1022</v>
      </c>
      <c r="FW58" s="14">
        <f t="shared" si="24"/>
        <v>0</v>
      </c>
      <c r="FX58" s="14" t="str">
        <f t="shared" si="25"/>
        <v/>
      </c>
      <c r="FY58" s="25" t="str">
        <f t="shared" si="62"/>
        <v>icon_2002105</v>
      </c>
      <c r="FZ58" s="30"/>
      <c r="GA58" s="30"/>
      <c r="GC58" s="14">
        <f t="shared" si="26"/>
        <v>3</v>
      </c>
      <c r="GD58" s="14">
        <f t="shared" si="27"/>
        <v>0</v>
      </c>
      <c r="GE58" s="14">
        <f t="shared" si="63"/>
        <v>30</v>
      </c>
      <c r="GF58" s="14" t="str">
        <f t="shared" si="28"/>
        <v>HPExt</v>
      </c>
      <c r="GG58" s="14">
        <f t="shared" si="64"/>
        <v>350</v>
      </c>
      <c r="GH58" s="14">
        <f t="shared" si="65"/>
        <v>30</v>
      </c>
      <c r="GI58" s="14" t="str">
        <f t="shared" si="29"/>
        <v/>
      </c>
      <c r="GJ58" s="14" t="str">
        <f t="shared" si="66"/>
        <v/>
      </c>
      <c r="GK58" s="14" t="str">
        <f t="shared" si="67"/>
        <v/>
      </c>
      <c r="GL58" s="14">
        <f t="shared" si="30"/>
        <v>20220</v>
      </c>
      <c r="GM58" s="14">
        <f t="shared" si="68"/>
        <v>0</v>
      </c>
      <c r="GN58" s="14" t="str">
        <f t="shared" si="69"/>
        <v/>
      </c>
      <c r="GO58" s="25" t="s">
        <v>1471</v>
      </c>
      <c r="GP58" s="14">
        <f t="shared" si="31"/>
        <v>24</v>
      </c>
      <c r="GS58" s="30"/>
      <c r="GT58" s="30"/>
      <c r="GU58" s="30"/>
      <c r="GV58" s="30"/>
      <c r="GW58" s="13">
        <v>53</v>
      </c>
      <c r="GX58" s="14">
        <f t="shared" si="70"/>
        <v>16</v>
      </c>
      <c r="GY58" s="14">
        <f t="shared" si="71"/>
        <v>3</v>
      </c>
      <c r="GZ58" s="14">
        <f t="shared" si="72"/>
        <v>4</v>
      </c>
      <c r="HA58" s="14">
        <f t="shared" si="73"/>
        <v>210241</v>
      </c>
      <c r="HB58" s="14" t="str">
        <f t="shared" si="74"/>
        <v>30级守护灵の攻击套 : 属性-3</v>
      </c>
      <c r="HC58" s="14" t="s">
        <v>1396</v>
      </c>
      <c r="HD58" s="14">
        <f t="shared" si="75"/>
        <v>3</v>
      </c>
      <c r="HE58" s="14">
        <f t="shared" si="76"/>
        <v>5</v>
      </c>
      <c r="HF58" s="14" t="str">
        <f t="shared" si="77"/>
        <v>AtkRate</v>
      </c>
      <c r="HG58" s="14">
        <f t="shared" si="78"/>
        <v>0.15</v>
      </c>
      <c r="HH58" s="30"/>
      <c r="HI58" s="30"/>
      <c r="HK58" s="13">
        <v>53</v>
      </c>
      <c r="HL58" s="14">
        <f t="shared" si="79"/>
        <v>3</v>
      </c>
      <c r="HM58" s="14">
        <f t="shared" si="80"/>
        <v>1</v>
      </c>
      <c r="HN58" s="14">
        <f t="shared" si="81"/>
        <v>3</v>
      </c>
      <c r="HO58" s="14">
        <f t="shared" si="82"/>
        <v>3</v>
      </c>
      <c r="HP58" s="14" t="str">
        <f t="shared" si="83"/>
        <v>50级寄灵人洗练-Q3-5</v>
      </c>
      <c r="HQ58" s="14">
        <f t="shared" si="84"/>
        <v>1033</v>
      </c>
      <c r="HR58" s="14">
        <f t="shared" si="85"/>
        <v>5</v>
      </c>
      <c r="HS58" s="14">
        <f t="shared" si="86"/>
        <v>400</v>
      </c>
      <c r="HT58" s="14" t="str">
        <f t="shared" si="87"/>
        <v>DefRate</v>
      </c>
      <c r="HU58" s="14">
        <f t="shared" si="88"/>
        <v>1.4E-2</v>
      </c>
      <c r="HV58" s="14">
        <f t="shared" si="89"/>
        <v>0.04</v>
      </c>
    </row>
    <row r="59" spans="1:230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1253</v>
      </c>
      <c r="AM59" s="13" t="s">
        <v>1259</v>
      </c>
      <c r="AN59" s="13">
        <f t="shared" si="10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S59" s="30"/>
      <c r="ET59" s="30"/>
      <c r="EU59" s="13">
        <v>54</v>
      </c>
      <c r="EV59" s="14">
        <f t="shared" si="51"/>
        <v>1</v>
      </c>
      <c r="EW59" s="14">
        <f t="shared" si="52"/>
        <v>54</v>
      </c>
      <c r="EX59" s="14">
        <f t="shared" si="53"/>
        <v>7</v>
      </c>
      <c r="EY59" s="14">
        <f t="shared" si="9"/>
        <v>20</v>
      </c>
      <c r="EZ59" s="14">
        <f t="shared" si="10"/>
        <v>2</v>
      </c>
      <c r="FA59" s="14">
        <f t="shared" si="11"/>
        <v>30</v>
      </c>
      <c r="FB59" s="14">
        <f t="shared" si="12"/>
        <v>2</v>
      </c>
      <c r="FC59" s="14">
        <f t="shared" si="13"/>
        <v>6</v>
      </c>
      <c r="FD59" s="14">
        <f t="shared" si="14"/>
        <v>6</v>
      </c>
      <c r="FE59" s="14" t="b">
        <f t="shared" si="54"/>
        <v>0</v>
      </c>
      <c r="FF59" s="14">
        <f t="shared" si="15"/>
        <v>2002206</v>
      </c>
      <c r="FG59" s="13" t="str">
        <f t="shared" si="16"/>
        <v>30级-优秀寄灵人の护手</v>
      </c>
      <c r="FH59" s="14">
        <f t="shared" si="17"/>
        <v>1</v>
      </c>
      <c r="FI59" s="14">
        <f t="shared" si="18"/>
        <v>2</v>
      </c>
      <c r="FJ59" s="14">
        <f t="shared" si="19"/>
        <v>30</v>
      </c>
      <c r="FK59" s="14">
        <v>1</v>
      </c>
      <c r="FL59" s="14">
        <f t="shared" si="20"/>
        <v>2</v>
      </c>
      <c r="FM59" s="14">
        <f t="shared" si="55"/>
        <v>6</v>
      </c>
      <c r="FN59" s="14" t="str">
        <f t="shared" si="21"/>
        <v/>
      </c>
      <c r="FO59" s="14">
        <f t="shared" si="22"/>
        <v>30</v>
      </c>
      <c r="FP59" s="14">
        <f t="shared" si="56"/>
        <v>0</v>
      </c>
      <c r="FQ59" s="14">
        <f t="shared" si="57"/>
        <v>0</v>
      </c>
      <c r="FR59" s="14">
        <f t="shared" si="58"/>
        <v>350</v>
      </c>
      <c r="FS59" s="14">
        <f t="shared" si="59"/>
        <v>0</v>
      </c>
      <c r="FT59" s="14">
        <f t="shared" si="60"/>
        <v>0</v>
      </c>
      <c r="FU59" s="14">
        <f t="shared" si="61"/>
        <v>30</v>
      </c>
      <c r="FV59" s="14">
        <f t="shared" si="23"/>
        <v>1022</v>
      </c>
      <c r="FW59" s="14">
        <f t="shared" si="24"/>
        <v>0</v>
      </c>
      <c r="FX59" s="14" t="str">
        <f t="shared" si="25"/>
        <v/>
      </c>
      <c r="FY59" s="25" t="str">
        <f t="shared" si="62"/>
        <v>icon_2002106</v>
      </c>
      <c r="FZ59" s="30"/>
      <c r="GA59" s="30"/>
      <c r="GC59" s="14">
        <f t="shared" si="26"/>
        <v>3</v>
      </c>
      <c r="GD59" s="14">
        <f t="shared" si="27"/>
        <v>0</v>
      </c>
      <c r="GE59" s="14">
        <f t="shared" si="63"/>
        <v>30</v>
      </c>
      <c r="GF59" s="14" t="str">
        <f t="shared" si="28"/>
        <v>HPExt</v>
      </c>
      <c r="GG59" s="14">
        <f t="shared" si="64"/>
        <v>350</v>
      </c>
      <c r="GH59" s="14">
        <f t="shared" si="65"/>
        <v>30</v>
      </c>
      <c r="GI59" s="14" t="str">
        <f t="shared" si="29"/>
        <v/>
      </c>
      <c r="GJ59" s="14" t="str">
        <f t="shared" si="66"/>
        <v/>
      </c>
      <c r="GK59" s="14" t="str">
        <f t="shared" si="67"/>
        <v/>
      </c>
      <c r="GL59" s="14">
        <f t="shared" si="30"/>
        <v>20220</v>
      </c>
      <c r="GM59" s="14">
        <f t="shared" si="68"/>
        <v>0</v>
      </c>
      <c r="GN59" s="14" t="str">
        <f t="shared" si="69"/>
        <v/>
      </c>
      <c r="GO59" s="25" t="s">
        <v>1471</v>
      </c>
      <c r="GP59" s="14">
        <f t="shared" si="31"/>
        <v>24</v>
      </c>
      <c r="GS59" s="30"/>
      <c r="GT59" s="30"/>
      <c r="GU59" s="30"/>
      <c r="GV59" s="30"/>
      <c r="GW59" s="13">
        <v>54</v>
      </c>
      <c r="GX59" s="14">
        <f t="shared" si="70"/>
        <v>17</v>
      </c>
      <c r="GY59" s="14">
        <f t="shared" si="71"/>
        <v>1</v>
      </c>
      <c r="GZ59" s="14">
        <f t="shared" si="72"/>
        <v>2</v>
      </c>
      <c r="HA59" s="14">
        <f t="shared" si="73"/>
        <v>210342</v>
      </c>
      <c r="HB59" s="14" t="str">
        <f t="shared" si="74"/>
        <v>50级守护灵の防御套 : 属性-1</v>
      </c>
      <c r="HC59" s="14" t="s">
        <v>1396</v>
      </c>
      <c r="HD59" s="14">
        <f t="shared" si="75"/>
        <v>1</v>
      </c>
      <c r="HE59" s="14">
        <f t="shared" si="76"/>
        <v>2</v>
      </c>
      <c r="HF59" s="14" t="str">
        <f t="shared" si="77"/>
        <v>DefExt</v>
      </c>
      <c r="HG59" s="14">
        <f t="shared" si="78"/>
        <v>300</v>
      </c>
      <c r="HH59" s="30"/>
      <c r="HI59" s="30"/>
      <c r="HK59" s="13">
        <v>54</v>
      </c>
      <c r="HL59" s="14">
        <f t="shared" si="79"/>
        <v>3</v>
      </c>
      <c r="HM59" s="14">
        <f t="shared" si="80"/>
        <v>1</v>
      </c>
      <c r="HN59" s="14">
        <f t="shared" si="81"/>
        <v>3</v>
      </c>
      <c r="HO59" s="14">
        <f t="shared" si="82"/>
        <v>3</v>
      </c>
      <c r="HP59" s="14" t="str">
        <f t="shared" si="83"/>
        <v>50级寄灵人洗练-Q3-6</v>
      </c>
      <c r="HQ59" s="14">
        <f t="shared" si="84"/>
        <v>1033</v>
      </c>
      <c r="HR59" s="14">
        <f t="shared" si="85"/>
        <v>6</v>
      </c>
      <c r="HS59" s="14">
        <f t="shared" si="86"/>
        <v>500</v>
      </c>
      <c r="HT59" s="14" t="str">
        <f t="shared" si="87"/>
        <v>HPRate</v>
      </c>
      <c r="HU59" s="14">
        <f t="shared" si="88"/>
        <v>1.4E-2</v>
      </c>
      <c r="HV59" s="14">
        <f t="shared" si="89"/>
        <v>0.04</v>
      </c>
    </row>
    <row r="60" spans="1:230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1253</v>
      </c>
      <c r="AM60" s="13" t="s">
        <v>1260</v>
      </c>
      <c r="AN60" s="13">
        <f t="shared" si="10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S60" s="30"/>
      <c r="ET60" s="30"/>
      <c r="EU60" s="13">
        <v>55</v>
      </c>
      <c r="EV60" s="14">
        <f t="shared" si="51"/>
        <v>1</v>
      </c>
      <c r="EW60" s="14">
        <f t="shared" si="52"/>
        <v>55</v>
      </c>
      <c r="EX60" s="14">
        <f t="shared" si="53"/>
        <v>7</v>
      </c>
      <c r="EY60" s="14">
        <f t="shared" si="9"/>
        <v>20</v>
      </c>
      <c r="EZ60" s="14">
        <f t="shared" si="10"/>
        <v>2</v>
      </c>
      <c r="FA60" s="14">
        <f t="shared" si="11"/>
        <v>30</v>
      </c>
      <c r="FB60" s="14">
        <f t="shared" si="12"/>
        <v>2</v>
      </c>
      <c r="FC60" s="14">
        <f t="shared" si="13"/>
        <v>7</v>
      </c>
      <c r="FD60" s="14">
        <f t="shared" si="14"/>
        <v>7</v>
      </c>
      <c r="FE60" s="14" t="b">
        <f t="shared" si="54"/>
        <v>0</v>
      </c>
      <c r="FF60" s="14">
        <f t="shared" si="15"/>
        <v>2002207</v>
      </c>
      <c r="FG60" s="13" t="str">
        <f t="shared" si="16"/>
        <v>30级-优秀寄灵人の项链</v>
      </c>
      <c r="FH60" s="14">
        <f t="shared" si="17"/>
        <v>1</v>
      </c>
      <c r="FI60" s="14">
        <f t="shared" si="18"/>
        <v>2</v>
      </c>
      <c r="FJ60" s="14">
        <f t="shared" si="19"/>
        <v>30</v>
      </c>
      <c r="FK60" s="14">
        <v>1</v>
      </c>
      <c r="FL60" s="14">
        <f t="shared" si="20"/>
        <v>2</v>
      </c>
      <c r="FM60" s="14">
        <f t="shared" si="55"/>
        <v>7</v>
      </c>
      <c r="FN60" s="14" t="str">
        <f t="shared" si="21"/>
        <v/>
      </c>
      <c r="FO60" s="14">
        <f t="shared" si="22"/>
        <v>35</v>
      </c>
      <c r="FP60" s="14">
        <f t="shared" si="56"/>
        <v>35</v>
      </c>
      <c r="FQ60" s="14">
        <f t="shared" si="57"/>
        <v>25</v>
      </c>
      <c r="FR60" s="14">
        <f t="shared" si="58"/>
        <v>0</v>
      </c>
      <c r="FS60" s="14">
        <f t="shared" si="59"/>
        <v>3</v>
      </c>
      <c r="FT60" s="14">
        <f t="shared" si="60"/>
        <v>2</v>
      </c>
      <c r="FU60" s="14">
        <f t="shared" si="61"/>
        <v>0</v>
      </c>
      <c r="FV60" s="14">
        <f t="shared" si="23"/>
        <v>1022</v>
      </c>
      <c r="FW60" s="14">
        <f t="shared" si="24"/>
        <v>0</v>
      </c>
      <c r="FX60" s="14" t="str">
        <f t="shared" si="25"/>
        <v/>
      </c>
      <c r="FY60" s="25" t="str">
        <f t="shared" si="62"/>
        <v>icon_2002107</v>
      </c>
      <c r="FZ60" s="30"/>
      <c r="GA60" s="30"/>
      <c r="GC60" s="14">
        <f t="shared" si="26"/>
        <v>1</v>
      </c>
      <c r="GD60" s="14">
        <f t="shared" si="27"/>
        <v>2</v>
      </c>
      <c r="GE60" s="14">
        <f t="shared" si="63"/>
        <v>35</v>
      </c>
      <c r="GF60" s="14" t="str">
        <f t="shared" si="28"/>
        <v>AtkExt</v>
      </c>
      <c r="GG60" s="14">
        <f t="shared" si="64"/>
        <v>35</v>
      </c>
      <c r="GH60" s="14">
        <f t="shared" si="65"/>
        <v>3</v>
      </c>
      <c r="GI60" s="14" t="str">
        <f t="shared" si="29"/>
        <v>DefExt</v>
      </c>
      <c r="GJ60" s="14">
        <f t="shared" si="66"/>
        <v>25</v>
      </c>
      <c r="GK60" s="14">
        <f t="shared" si="67"/>
        <v>2</v>
      </c>
      <c r="GL60" s="14">
        <f t="shared" si="30"/>
        <v>20220</v>
      </c>
      <c r="GM60" s="14">
        <f t="shared" si="68"/>
        <v>0</v>
      </c>
      <c r="GN60" s="14" t="str">
        <f t="shared" si="69"/>
        <v/>
      </c>
      <c r="GO60" s="25" t="s">
        <v>1471</v>
      </c>
      <c r="GP60" s="14">
        <f t="shared" si="31"/>
        <v>36</v>
      </c>
      <c r="GS60" s="30"/>
      <c r="GT60" s="30"/>
      <c r="GU60" s="30"/>
      <c r="GV60" s="30"/>
      <c r="GW60" s="13">
        <v>55</v>
      </c>
      <c r="GX60" s="14">
        <f t="shared" si="70"/>
        <v>17</v>
      </c>
      <c r="GY60" s="14">
        <f t="shared" si="71"/>
        <v>2</v>
      </c>
      <c r="GZ60" s="14">
        <f t="shared" si="72"/>
        <v>3</v>
      </c>
      <c r="HA60" s="14">
        <f t="shared" si="73"/>
        <v>210342</v>
      </c>
      <c r="HB60" s="14" t="str">
        <f t="shared" si="74"/>
        <v>50级守护灵の防御套 : 属性-2</v>
      </c>
      <c r="HC60" s="14" t="s">
        <v>1396</v>
      </c>
      <c r="HD60" s="14">
        <f t="shared" si="75"/>
        <v>2</v>
      </c>
      <c r="HE60" s="14">
        <f t="shared" si="76"/>
        <v>4</v>
      </c>
      <c r="HF60" s="14" t="str">
        <f t="shared" si="77"/>
        <v>HPExt</v>
      </c>
      <c r="HG60" s="14">
        <f t="shared" si="78"/>
        <v>6000</v>
      </c>
      <c r="HH60" s="30"/>
      <c r="HI60" s="30"/>
      <c r="HK60" s="13">
        <v>55</v>
      </c>
      <c r="HL60" s="14">
        <f t="shared" si="79"/>
        <v>3</v>
      </c>
      <c r="HM60" s="14">
        <f t="shared" si="80"/>
        <v>1</v>
      </c>
      <c r="HN60" s="14">
        <f t="shared" si="81"/>
        <v>3</v>
      </c>
      <c r="HO60" s="14">
        <f t="shared" si="82"/>
        <v>3</v>
      </c>
      <c r="HP60" s="14" t="str">
        <f t="shared" si="83"/>
        <v>50级寄灵人洗练-Q3-7</v>
      </c>
      <c r="HQ60" s="14">
        <f t="shared" si="84"/>
        <v>1033</v>
      </c>
      <c r="HR60" s="14">
        <f t="shared" si="85"/>
        <v>7</v>
      </c>
      <c r="HS60" s="14">
        <f t="shared" si="86"/>
        <v>500</v>
      </c>
      <c r="HT60" s="14" t="str">
        <f t="shared" si="87"/>
        <v>Crit</v>
      </c>
      <c r="HU60" s="14">
        <f t="shared" si="88"/>
        <v>1.0999999999999999E-2</v>
      </c>
      <c r="HV60" s="14">
        <f t="shared" si="89"/>
        <v>0.03</v>
      </c>
    </row>
    <row r="61" spans="1:230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1253</v>
      </c>
      <c r="AM61" s="13" t="s">
        <v>1261</v>
      </c>
      <c r="AN61" s="13">
        <f t="shared" si="10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S61" s="30"/>
      <c r="ET61" s="30"/>
      <c r="EU61" s="13">
        <v>56</v>
      </c>
      <c r="EV61" s="14">
        <f t="shared" si="51"/>
        <v>1</v>
      </c>
      <c r="EW61" s="14">
        <f t="shared" si="52"/>
        <v>56</v>
      </c>
      <c r="EX61" s="14">
        <f t="shared" si="53"/>
        <v>7</v>
      </c>
      <c r="EY61" s="14">
        <f t="shared" si="9"/>
        <v>20</v>
      </c>
      <c r="EZ61" s="14">
        <f t="shared" si="10"/>
        <v>2</v>
      </c>
      <c r="FA61" s="14">
        <f t="shared" si="11"/>
        <v>30</v>
      </c>
      <c r="FB61" s="14">
        <f t="shared" si="12"/>
        <v>2</v>
      </c>
      <c r="FC61" s="14">
        <f t="shared" si="13"/>
        <v>8</v>
      </c>
      <c r="FD61" s="14">
        <f t="shared" si="14"/>
        <v>8</v>
      </c>
      <c r="FE61" s="14" t="b">
        <f t="shared" si="54"/>
        <v>0</v>
      </c>
      <c r="FF61" s="14">
        <f t="shared" si="15"/>
        <v>2002208</v>
      </c>
      <c r="FG61" s="13" t="str">
        <f t="shared" si="16"/>
        <v>30级-优秀寄灵人の戒指</v>
      </c>
      <c r="FH61" s="14">
        <f t="shared" si="17"/>
        <v>1</v>
      </c>
      <c r="FI61" s="14">
        <f t="shared" si="18"/>
        <v>2</v>
      </c>
      <c r="FJ61" s="14">
        <f t="shared" si="19"/>
        <v>30</v>
      </c>
      <c r="FK61" s="14">
        <v>1</v>
      </c>
      <c r="FL61" s="14">
        <f t="shared" si="20"/>
        <v>2</v>
      </c>
      <c r="FM61" s="14">
        <f t="shared" si="55"/>
        <v>8</v>
      </c>
      <c r="FN61" s="14" t="str">
        <f t="shared" si="21"/>
        <v/>
      </c>
      <c r="FO61" s="14">
        <f t="shared" si="22"/>
        <v>40</v>
      </c>
      <c r="FP61" s="14">
        <f t="shared" si="56"/>
        <v>35</v>
      </c>
      <c r="FQ61" s="14">
        <f t="shared" si="57"/>
        <v>0</v>
      </c>
      <c r="FR61" s="14">
        <f t="shared" si="58"/>
        <v>290</v>
      </c>
      <c r="FS61" s="14">
        <f t="shared" si="59"/>
        <v>3</v>
      </c>
      <c r="FT61" s="14">
        <f t="shared" si="60"/>
        <v>0</v>
      </c>
      <c r="FU61" s="14">
        <f t="shared" si="61"/>
        <v>25</v>
      </c>
      <c r="FV61" s="14">
        <f t="shared" si="23"/>
        <v>1022</v>
      </c>
      <c r="FW61" s="14">
        <f t="shared" si="24"/>
        <v>0</v>
      </c>
      <c r="FX61" s="14" t="str">
        <f t="shared" si="25"/>
        <v/>
      </c>
      <c r="FY61" s="25" t="str">
        <f t="shared" si="62"/>
        <v>icon_2002108</v>
      </c>
      <c r="FZ61" s="30"/>
      <c r="GA61" s="30"/>
      <c r="GC61" s="14">
        <f t="shared" si="26"/>
        <v>1</v>
      </c>
      <c r="GD61" s="14">
        <f t="shared" si="27"/>
        <v>3</v>
      </c>
      <c r="GE61" s="14">
        <f t="shared" si="63"/>
        <v>40</v>
      </c>
      <c r="GF61" s="14" t="str">
        <f t="shared" si="28"/>
        <v>AtkExt</v>
      </c>
      <c r="GG61" s="14">
        <f t="shared" si="64"/>
        <v>35</v>
      </c>
      <c r="GH61" s="14">
        <f t="shared" si="65"/>
        <v>3</v>
      </c>
      <c r="GI61" s="14" t="str">
        <f t="shared" si="29"/>
        <v>HPExt</v>
      </c>
      <c r="GJ61" s="14">
        <f t="shared" si="66"/>
        <v>290</v>
      </c>
      <c r="GK61" s="14">
        <f t="shared" si="67"/>
        <v>25</v>
      </c>
      <c r="GL61" s="14">
        <f t="shared" si="30"/>
        <v>20220</v>
      </c>
      <c r="GM61" s="14">
        <f t="shared" si="68"/>
        <v>0</v>
      </c>
      <c r="GN61" s="14" t="str">
        <f t="shared" si="69"/>
        <v/>
      </c>
      <c r="GO61" s="25" t="s">
        <v>1471</v>
      </c>
      <c r="GP61" s="14">
        <f t="shared" si="31"/>
        <v>36</v>
      </c>
      <c r="GS61" s="30"/>
      <c r="GT61" s="30"/>
      <c r="GU61" s="30"/>
      <c r="GV61" s="30"/>
      <c r="GW61" s="13">
        <v>56</v>
      </c>
      <c r="GX61" s="14">
        <f t="shared" si="70"/>
        <v>17</v>
      </c>
      <c r="GY61" s="14">
        <f t="shared" si="71"/>
        <v>3</v>
      </c>
      <c r="GZ61" s="14">
        <f t="shared" si="72"/>
        <v>5</v>
      </c>
      <c r="HA61" s="14">
        <f t="shared" si="73"/>
        <v>210342</v>
      </c>
      <c r="HB61" s="14" t="str">
        <f t="shared" si="74"/>
        <v>50级守护灵の防御套 : 属性-3</v>
      </c>
      <c r="HC61" s="14" t="s">
        <v>1396</v>
      </c>
      <c r="HD61" s="14">
        <f t="shared" si="75"/>
        <v>3</v>
      </c>
      <c r="HE61" s="14">
        <f t="shared" si="76"/>
        <v>5</v>
      </c>
      <c r="HF61" s="14" t="str">
        <f t="shared" si="77"/>
        <v>DefRate</v>
      </c>
      <c r="HG61" s="14">
        <f t="shared" si="78"/>
        <v>0.15</v>
      </c>
      <c r="HH61" s="30"/>
      <c r="HI61" s="30"/>
      <c r="HK61" s="13">
        <v>56</v>
      </c>
      <c r="HL61" s="14">
        <f t="shared" si="79"/>
        <v>3</v>
      </c>
      <c r="HM61" s="14">
        <f t="shared" si="80"/>
        <v>1</v>
      </c>
      <c r="HN61" s="14">
        <f t="shared" si="81"/>
        <v>3</v>
      </c>
      <c r="HO61" s="14">
        <f t="shared" si="82"/>
        <v>3</v>
      </c>
      <c r="HP61" s="14" t="str">
        <f t="shared" si="83"/>
        <v>50级寄灵人洗练-Q3-8</v>
      </c>
      <c r="HQ61" s="14">
        <f t="shared" si="84"/>
        <v>1033</v>
      </c>
      <c r="HR61" s="14">
        <f t="shared" si="85"/>
        <v>8</v>
      </c>
      <c r="HS61" s="14">
        <f t="shared" si="86"/>
        <v>500</v>
      </c>
      <c r="HT61" s="14" t="str">
        <f t="shared" si="87"/>
        <v>CritRate</v>
      </c>
      <c r="HU61" s="14">
        <f t="shared" si="88"/>
        <v>2.8000000000000001E-2</v>
      </c>
      <c r="HV61" s="14">
        <f t="shared" si="89"/>
        <v>0.08</v>
      </c>
    </row>
    <row r="62" spans="1:230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1253</v>
      </c>
      <c r="AM62" s="13" t="s">
        <v>1262</v>
      </c>
      <c r="AN62" s="13">
        <f t="shared" si="10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S62" s="30"/>
      <c r="ET62" s="30"/>
      <c r="EU62" s="13">
        <v>57</v>
      </c>
      <c r="EV62" s="14">
        <f t="shared" si="51"/>
        <v>1</v>
      </c>
      <c r="EW62" s="14">
        <f t="shared" si="52"/>
        <v>57</v>
      </c>
      <c r="EX62" s="14">
        <f t="shared" si="53"/>
        <v>8</v>
      </c>
      <c r="EY62" s="14">
        <f t="shared" si="9"/>
        <v>30</v>
      </c>
      <c r="EZ62" s="14">
        <f t="shared" si="10"/>
        <v>2</v>
      </c>
      <c r="FA62" s="14">
        <f t="shared" si="11"/>
        <v>30</v>
      </c>
      <c r="FB62" s="14">
        <f t="shared" si="12"/>
        <v>3</v>
      </c>
      <c r="FC62" s="14">
        <f t="shared" si="13"/>
        <v>1</v>
      </c>
      <c r="FD62" s="14">
        <f t="shared" si="14"/>
        <v>1</v>
      </c>
      <c r="FE62" s="14" t="b">
        <f t="shared" si="54"/>
        <v>0</v>
      </c>
      <c r="FF62" s="14">
        <f t="shared" si="15"/>
        <v>2002301</v>
      </c>
      <c r="FG62" s="13" t="str">
        <f t="shared" si="16"/>
        <v>30级-精良寄灵人の灵器</v>
      </c>
      <c r="FH62" s="14">
        <f t="shared" si="17"/>
        <v>1</v>
      </c>
      <c r="FI62" s="14">
        <f t="shared" si="18"/>
        <v>3</v>
      </c>
      <c r="FJ62" s="14">
        <f t="shared" si="19"/>
        <v>30</v>
      </c>
      <c r="FK62" s="14">
        <v>1</v>
      </c>
      <c r="FL62" s="14">
        <f t="shared" si="20"/>
        <v>2</v>
      </c>
      <c r="FM62" s="14">
        <f t="shared" si="55"/>
        <v>1</v>
      </c>
      <c r="FN62" s="14" t="str">
        <f t="shared" si="21"/>
        <v/>
      </c>
      <c r="FO62" s="14">
        <f t="shared" si="22"/>
        <v>55</v>
      </c>
      <c r="FP62" s="14">
        <f t="shared" si="56"/>
        <v>135</v>
      </c>
      <c r="FQ62" s="14">
        <f t="shared" si="57"/>
        <v>0</v>
      </c>
      <c r="FR62" s="14">
        <f t="shared" si="58"/>
        <v>0</v>
      </c>
      <c r="FS62" s="14">
        <f t="shared" si="59"/>
        <v>11</v>
      </c>
      <c r="FT62" s="14">
        <f t="shared" si="60"/>
        <v>0</v>
      </c>
      <c r="FU62" s="14">
        <f t="shared" si="61"/>
        <v>0</v>
      </c>
      <c r="FV62" s="14">
        <f t="shared" si="23"/>
        <v>1023</v>
      </c>
      <c r="FW62" s="14">
        <f t="shared" si="24"/>
        <v>2</v>
      </c>
      <c r="FX62" s="14">
        <f t="shared" si="25"/>
        <v>1023</v>
      </c>
      <c r="FY62" s="25" t="str">
        <f t="shared" si="62"/>
        <v>icon_2002101</v>
      </c>
      <c r="FZ62" s="30"/>
      <c r="GA62" s="30"/>
      <c r="GC62" s="14">
        <f t="shared" si="26"/>
        <v>1</v>
      </c>
      <c r="GD62" s="14">
        <f t="shared" si="27"/>
        <v>0</v>
      </c>
      <c r="GE62" s="14">
        <f t="shared" si="63"/>
        <v>55</v>
      </c>
      <c r="GF62" s="14" t="str">
        <f t="shared" si="28"/>
        <v>AtkExt</v>
      </c>
      <c r="GG62" s="14">
        <f t="shared" si="64"/>
        <v>135</v>
      </c>
      <c r="GH62" s="14">
        <f t="shared" si="65"/>
        <v>11</v>
      </c>
      <c r="GI62" s="14" t="str">
        <f t="shared" si="29"/>
        <v/>
      </c>
      <c r="GJ62" s="14" t="str">
        <f t="shared" si="66"/>
        <v/>
      </c>
      <c r="GK62" s="14" t="str">
        <f t="shared" si="67"/>
        <v/>
      </c>
      <c r="GL62" s="14">
        <f t="shared" si="30"/>
        <v>20230</v>
      </c>
      <c r="GM62" s="14">
        <f t="shared" si="68"/>
        <v>2</v>
      </c>
      <c r="GN62" s="14">
        <f t="shared" si="69"/>
        <v>1023</v>
      </c>
      <c r="GO62" s="25" t="s">
        <v>1471</v>
      </c>
      <c r="GP62" s="14">
        <f t="shared" si="31"/>
        <v>80</v>
      </c>
      <c r="GS62" s="30"/>
      <c r="GT62" s="30"/>
      <c r="GU62" s="30"/>
      <c r="GV62" s="30"/>
      <c r="GW62" s="13">
        <v>57</v>
      </c>
      <c r="GX62" s="14">
        <f t="shared" si="70"/>
        <v>18</v>
      </c>
      <c r="GY62" s="14">
        <f t="shared" si="71"/>
        <v>1</v>
      </c>
      <c r="GZ62" s="14">
        <f t="shared" si="72"/>
        <v>1</v>
      </c>
      <c r="HA62" s="14">
        <f t="shared" si="73"/>
        <v>210441</v>
      </c>
      <c r="HB62" s="14" t="str">
        <f t="shared" si="74"/>
        <v>70级守护灵の攻击套 : 属性-1</v>
      </c>
      <c r="HC62" s="14" t="s">
        <v>1396</v>
      </c>
      <c r="HD62" s="14">
        <f t="shared" si="75"/>
        <v>1</v>
      </c>
      <c r="HE62" s="14">
        <f t="shared" si="76"/>
        <v>2</v>
      </c>
      <c r="HF62" s="14" t="str">
        <f t="shared" si="77"/>
        <v>AtkExt</v>
      </c>
      <c r="HG62" s="14">
        <f t="shared" si="78"/>
        <v>1150</v>
      </c>
      <c r="HH62" s="30"/>
      <c r="HI62" s="30"/>
      <c r="HK62" s="13">
        <v>57</v>
      </c>
      <c r="HL62" s="14">
        <f t="shared" si="79"/>
        <v>3</v>
      </c>
      <c r="HM62" s="14">
        <f t="shared" si="80"/>
        <v>1</v>
      </c>
      <c r="HN62" s="14">
        <f t="shared" si="81"/>
        <v>3</v>
      </c>
      <c r="HO62" s="14">
        <f t="shared" si="82"/>
        <v>3</v>
      </c>
      <c r="HP62" s="14" t="str">
        <f t="shared" si="83"/>
        <v>50级寄灵人洗练-Q3-9</v>
      </c>
      <c r="HQ62" s="14">
        <f t="shared" si="84"/>
        <v>1033</v>
      </c>
      <c r="HR62" s="14">
        <f t="shared" si="85"/>
        <v>9</v>
      </c>
      <c r="HS62" s="14">
        <f t="shared" si="86"/>
        <v>500</v>
      </c>
      <c r="HT62" s="14" t="str">
        <f t="shared" si="87"/>
        <v>DefIgnor</v>
      </c>
      <c r="HU62" s="14">
        <f t="shared" si="88"/>
        <v>1.0999999999999999E-2</v>
      </c>
      <c r="HV62" s="14">
        <f t="shared" si="89"/>
        <v>0.03</v>
      </c>
    </row>
    <row r="63" spans="1:230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1254</v>
      </c>
      <c r="AM63" s="13" t="s">
        <v>1275</v>
      </c>
      <c r="AN63" s="13">
        <f t="shared" si="10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S63" s="30"/>
      <c r="ET63" s="30"/>
      <c r="EU63" s="13">
        <v>58</v>
      </c>
      <c r="EV63" s="14">
        <f t="shared" si="51"/>
        <v>1</v>
      </c>
      <c r="EW63" s="14">
        <f t="shared" si="52"/>
        <v>58</v>
      </c>
      <c r="EX63" s="14">
        <f t="shared" si="53"/>
        <v>8</v>
      </c>
      <c r="EY63" s="14">
        <f t="shared" si="9"/>
        <v>30</v>
      </c>
      <c r="EZ63" s="14">
        <f t="shared" si="10"/>
        <v>2</v>
      </c>
      <c r="FA63" s="14">
        <f t="shared" si="11"/>
        <v>30</v>
      </c>
      <c r="FB63" s="14">
        <f t="shared" si="12"/>
        <v>3</v>
      </c>
      <c r="FC63" s="14">
        <f t="shared" si="13"/>
        <v>2</v>
      </c>
      <c r="FD63" s="14">
        <f t="shared" si="14"/>
        <v>2</v>
      </c>
      <c r="FE63" s="14" t="b">
        <f t="shared" si="54"/>
        <v>0</v>
      </c>
      <c r="FF63" s="14">
        <f t="shared" si="15"/>
        <v>2002302</v>
      </c>
      <c r="FG63" s="13" t="str">
        <f t="shared" si="16"/>
        <v>30级-精良寄灵人の头盔</v>
      </c>
      <c r="FH63" s="14">
        <f t="shared" si="17"/>
        <v>1</v>
      </c>
      <c r="FI63" s="14">
        <f t="shared" si="18"/>
        <v>3</v>
      </c>
      <c r="FJ63" s="14">
        <f t="shared" si="19"/>
        <v>30</v>
      </c>
      <c r="FK63" s="14">
        <v>1</v>
      </c>
      <c r="FL63" s="14">
        <f t="shared" si="20"/>
        <v>2</v>
      </c>
      <c r="FM63" s="14">
        <f t="shared" si="55"/>
        <v>2</v>
      </c>
      <c r="FN63" s="14" t="str">
        <f t="shared" si="21"/>
        <v/>
      </c>
      <c r="FO63" s="14">
        <f t="shared" si="22"/>
        <v>30</v>
      </c>
      <c r="FP63" s="14">
        <f t="shared" si="56"/>
        <v>0</v>
      </c>
      <c r="FQ63" s="14">
        <f t="shared" si="57"/>
        <v>35</v>
      </c>
      <c r="FR63" s="14">
        <f t="shared" si="58"/>
        <v>0</v>
      </c>
      <c r="FS63" s="14">
        <f t="shared" si="59"/>
        <v>0</v>
      </c>
      <c r="FT63" s="14">
        <f t="shared" si="60"/>
        <v>3</v>
      </c>
      <c r="FU63" s="14">
        <f t="shared" si="61"/>
        <v>0</v>
      </c>
      <c r="FV63" s="14">
        <f t="shared" si="23"/>
        <v>1023</v>
      </c>
      <c r="FW63" s="14">
        <f t="shared" si="24"/>
        <v>2</v>
      </c>
      <c r="FX63" s="14">
        <f t="shared" si="25"/>
        <v>1023</v>
      </c>
      <c r="FY63" s="25" t="str">
        <f t="shared" si="62"/>
        <v>icon_2002102</v>
      </c>
      <c r="FZ63" s="30"/>
      <c r="GA63" s="30"/>
      <c r="GC63" s="14">
        <f t="shared" si="26"/>
        <v>2</v>
      </c>
      <c r="GD63" s="14">
        <f t="shared" si="27"/>
        <v>0</v>
      </c>
      <c r="GE63" s="14">
        <f t="shared" si="63"/>
        <v>30</v>
      </c>
      <c r="GF63" s="14" t="str">
        <f t="shared" si="28"/>
        <v>DefExt</v>
      </c>
      <c r="GG63" s="14">
        <f t="shared" si="64"/>
        <v>35</v>
      </c>
      <c r="GH63" s="14">
        <f t="shared" si="65"/>
        <v>3</v>
      </c>
      <c r="GI63" s="14" t="str">
        <f t="shared" si="29"/>
        <v/>
      </c>
      <c r="GJ63" s="14" t="str">
        <f t="shared" si="66"/>
        <v/>
      </c>
      <c r="GK63" s="14" t="str">
        <f t="shared" si="67"/>
        <v/>
      </c>
      <c r="GL63" s="14">
        <f t="shared" si="30"/>
        <v>20230</v>
      </c>
      <c r="GM63" s="14">
        <f t="shared" si="68"/>
        <v>2</v>
      </c>
      <c r="GN63" s="14">
        <f t="shared" si="69"/>
        <v>1023</v>
      </c>
      <c r="GO63" s="25" t="s">
        <v>1471</v>
      </c>
      <c r="GP63" s="14">
        <f t="shared" si="31"/>
        <v>40</v>
      </c>
      <c r="GS63" s="30"/>
      <c r="GT63" s="30"/>
      <c r="GU63" s="30"/>
      <c r="GV63" s="30"/>
      <c r="GW63" s="13">
        <v>58</v>
      </c>
      <c r="GX63" s="14">
        <f t="shared" si="70"/>
        <v>18</v>
      </c>
      <c r="GY63" s="14">
        <f t="shared" si="71"/>
        <v>2</v>
      </c>
      <c r="GZ63" s="14">
        <f t="shared" si="72"/>
        <v>3</v>
      </c>
      <c r="HA63" s="14">
        <f t="shared" si="73"/>
        <v>210441</v>
      </c>
      <c r="HB63" s="14" t="str">
        <f t="shared" si="74"/>
        <v>70级守护灵の攻击套 : 属性-2</v>
      </c>
      <c r="HC63" s="14" t="s">
        <v>1396</v>
      </c>
      <c r="HD63" s="14">
        <f t="shared" si="75"/>
        <v>2</v>
      </c>
      <c r="HE63" s="14">
        <f t="shared" si="76"/>
        <v>3</v>
      </c>
      <c r="HF63" s="14" t="str">
        <f t="shared" si="77"/>
        <v>HPExt</v>
      </c>
      <c r="HG63" s="14">
        <f t="shared" si="78"/>
        <v>11500</v>
      </c>
      <c r="HH63" s="30"/>
      <c r="HI63" s="30"/>
      <c r="HK63" s="13">
        <v>58</v>
      </c>
      <c r="HL63" s="14">
        <f t="shared" si="79"/>
        <v>3</v>
      </c>
      <c r="HM63" s="14">
        <f t="shared" si="80"/>
        <v>1</v>
      </c>
      <c r="HN63" s="14">
        <f t="shared" si="81"/>
        <v>3</v>
      </c>
      <c r="HO63" s="14">
        <f t="shared" si="82"/>
        <v>3</v>
      </c>
      <c r="HP63" s="14" t="str">
        <f t="shared" si="83"/>
        <v>50级寄灵人洗练-Q3-10</v>
      </c>
      <c r="HQ63" s="14">
        <f t="shared" si="84"/>
        <v>1033</v>
      </c>
      <c r="HR63" s="14">
        <f t="shared" si="85"/>
        <v>10</v>
      </c>
      <c r="HS63" s="14">
        <f t="shared" si="86"/>
        <v>500</v>
      </c>
      <c r="HT63" s="14" t="str">
        <f t="shared" si="87"/>
        <v>Block</v>
      </c>
      <c r="HU63" s="14">
        <f t="shared" si="88"/>
        <v>1.0999999999999999E-2</v>
      </c>
      <c r="HV63" s="14">
        <f t="shared" si="89"/>
        <v>0.03</v>
      </c>
    </row>
    <row r="64" spans="1:230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1255</v>
      </c>
      <c r="AM64" s="13" t="s">
        <v>1263</v>
      </c>
      <c r="AN64" s="13">
        <f t="shared" si="10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S64" s="30"/>
      <c r="ET64" s="30"/>
      <c r="EU64" s="13">
        <v>59</v>
      </c>
      <c r="EV64" s="14">
        <f t="shared" si="51"/>
        <v>1</v>
      </c>
      <c r="EW64" s="14">
        <f t="shared" si="52"/>
        <v>59</v>
      </c>
      <c r="EX64" s="14">
        <f t="shared" si="53"/>
        <v>8</v>
      </c>
      <c r="EY64" s="14">
        <f t="shared" si="9"/>
        <v>30</v>
      </c>
      <c r="EZ64" s="14">
        <f t="shared" si="10"/>
        <v>2</v>
      </c>
      <c r="FA64" s="14">
        <f t="shared" si="11"/>
        <v>30</v>
      </c>
      <c r="FB64" s="14">
        <f t="shared" si="12"/>
        <v>3</v>
      </c>
      <c r="FC64" s="14">
        <f t="shared" si="13"/>
        <v>3</v>
      </c>
      <c r="FD64" s="14">
        <f t="shared" si="14"/>
        <v>3</v>
      </c>
      <c r="FE64" s="14" t="b">
        <f t="shared" si="54"/>
        <v>0</v>
      </c>
      <c r="FF64" s="14">
        <f t="shared" si="15"/>
        <v>2002303</v>
      </c>
      <c r="FG64" s="13" t="str">
        <f t="shared" si="16"/>
        <v>30级-精良寄灵人の铠甲</v>
      </c>
      <c r="FH64" s="14">
        <f t="shared" si="17"/>
        <v>1</v>
      </c>
      <c r="FI64" s="14">
        <f t="shared" si="18"/>
        <v>3</v>
      </c>
      <c r="FJ64" s="14">
        <f t="shared" si="19"/>
        <v>30</v>
      </c>
      <c r="FK64" s="14">
        <v>1</v>
      </c>
      <c r="FL64" s="14">
        <f t="shared" si="20"/>
        <v>2</v>
      </c>
      <c r="FM64" s="14">
        <f t="shared" si="55"/>
        <v>3</v>
      </c>
      <c r="FN64" s="14" t="str">
        <f t="shared" si="21"/>
        <v/>
      </c>
      <c r="FO64" s="14">
        <f t="shared" si="22"/>
        <v>28</v>
      </c>
      <c r="FP64" s="14">
        <f t="shared" si="56"/>
        <v>0</v>
      </c>
      <c r="FQ64" s="14">
        <f t="shared" si="57"/>
        <v>15</v>
      </c>
      <c r="FR64" s="14">
        <f t="shared" si="58"/>
        <v>215</v>
      </c>
      <c r="FS64" s="14">
        <f t="shared" si="59"/>
        <v>0</v>
      </c>
      <c r="FT64" s="14">
        <f t="shared" si="60"/>
        <v>1</v>
      </c>
      <c r="FU64" s="14">
        <f t="shared" si="61"/>
        <v>18</v>
      </c>
      <c r="FV64" s="14">
        <f t="shared" si="23"/>
        <v>1023</v>
      </c>
      <c r="FW64" s="14">
        <f t="shared" si="24"/>
        <v>2</v>
      </c>
      <c r="FX64" s="14">
        <f t="shared" si="25"/>
        <v>1023</v>
      </c>
      <c r="FY64" s="25" t="str">
        <f t="shared" si="62"/>
        <v>icon_2002103</v>
      </c>
      <c r="FZ64" s="30"/>
      <c r="GA64" s="30"/>
      <c r="GC64" s="14">
        <f t="shared" si="26"/>
        <v>2</v>
      </c>
      <c r="GD64" s="14">
        <f t="shared" si="27"/>
        <v>3</v>
      </c>
      <c r="GE64" s="14">
        <f t="shared" si="63"/>
        <v>28</v>
      </c>
      <c r="GF64" s="14" t="str">
        <f t="shared" si="28"/>
        <v>DefExt</v>
      </c>
      <c r="GG64" s="14">
        <f t="shared" si="64"/>
        <v>15</v>
      </c>
      <c r="GH64" s="14">
        <f t="shared" si="65"/>
        <v>1</v>
      </c>
      <c r="GI64" s="14" t="str">
        <f t="shared" si="29"/>
        <v>HPExt</v>
      </c>
      <c r="GJ64" s="14">
        <f t="shared" si="66"/>
        <v>215</v>
      </c>
      <c r="GK64" s="14">
        <f t="shared" si="67"/>
        <v>18</v>
      </c>
      <c r="GL64" s="14">
        <f t="shared" si="30"/>
        <v>20230</v>
      </c>
      <c r="GM64" s="14">
        <f t="shared" si="68"/>
        <v>2</v>
      </c>
      <c r="GN64" s="14">
        <f t="shared" si="69"/>
        <v>1023</v>
      </c>
      <c r="GO64" s="25" t="s">
        <v>1471</v>
      </c>
      <c r="GP64" s="14">
        <f t="shared" si="31"/>
        <v>40</v>
      </c>
      <c r="GS64" s="30"/>
      <c r="GT64" s="30"/>
      <c r="GU64" s="30"/>
      <c r="GV64" s="30"/>
      <c r="GW64" s="13">
        <v>59</v>
      </c>
      <c r="GX64" s="14">
        <f t="shared" si="70"/>
        <v>18</v>
      </c>
      <c r="GY64" s="14">
        <f t="shared" si="71"/>
        <v>3</v>
      </c>
      <c r="GZ64" s="14">
        <f t="shared" si="72"/>
        <v>4</v>
      </c>
      <c r="HA64" s="14">
        <f t="shared" si="73"/>
        <v>210441</v>
      </c>
      <c r="HB64" s="14" t="str">
        <f t="shared" si="74"/>
        <v>70级守护灵の攻击套 : 属性-3</v>
      </c>
      <c r="HC64" s="14" t="s">
        <v>1396</v>
      </c>
      <c r="HD64" s="14">
        <f t="shared" si="75"/>
        <v>3</v>
      </c>
      <c r="HE64" s="14">
        <f t="shared" si="76"/>
        <v>5</v>
      </c>
      <c r="HF64" s="14" t="str">
        <f t="shared" si="77"/>
        <v>AtkRate</v>
      </c>
      <c r="HG64" s="14">
        <f t="shared" si="78"/>
        <v>0.15</v>
      </c>
      <c r="HH64" s="30"/>
      <c r="HI64" s="30"/>
      <c r="HK64" s="13">
        <v>59</v>
      </c>
      <c r="HL64" s="14">
        <f t="shared" si="79"/>
        <v>3</v>
      </c>
      <c r="HM64" s="14">
        <f t="shared" si="80"/>
        <v>1</v>
      </c>
      <c r="HN64" s="14">
        <f t="shared" si="81"/>
        <v>3</v>
      </c>
      <c r="HO64" s="14">
        <f t="shared" si="82"/>
        <v>3</v>
      </c>
      <c r="HP64" s="14" t="str">
        <f t="shared" si="83"/>
        <v>50级寄灵人洗练-Q3-11</v>
      </c>
      <c r="HQ64" s="14">
        <f t="shared" si="84"/>
        <v>1033</v>
      </c>
      <c r="HR64" s="14">
        <f t="shared" si="85"/>
        <v>11</v>
      </c>
      <c r="HS64" s="14">
        <f t="shared" si="86"/>
        <v>500</v>
      </c>
      <c r="HT64" s="14" t="str">
        <f t="shared" si="87"/>
        <v>EffectHit</v>
      </c>
      <c r="HU64" s="14">
        <f t="shared" si="88"/>
        <v>1.7999999999999999E-2</v>
      </c>
      <c r="HV64" s="14">
        <f t="shared" si="89"/>
        <v>0.05</v>
      </c>
    </row>
    <row r="65" spans="1:230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S65" s="30"/>
      <c r="ET65" s="30"/>
      <c r="EU65" s="13">
        <v>60</v>
      </c>
      <c r="EV65" s="14">
        <f t="shared" si="51"/>
        <v>1</v>
      </c>
      <c r="EW65" s="14">
        <f t="shared" si="52"/>
        <v>60</v>
      </c>
      <c r="EX65" s="14">
        <f t="shared" si="53"/>
        <v>8</v>
      </c>
      <c r="EY65" s="14">
        <f t="shared" si="9"/>
        <v>30</v>
      </c>
      <c r="EZ65" s="14">
        <f t="shared" si="10"/>
        <v>2</v>
      </c>
      <c r="FA65" s="14">
        <f t="shared" si="11"/>
        <v>30</v>
      </c>
      <c r="FB65" s="14">
        <f t="shared" si="12"/>
        <v>3</v>
      </c>
      <c r="FC65" s="14">
        <f t="shared" si="13"/>
        <v>4</v>
      </c>
      <c r="FD65" s="14">
        <f t="shared" si="14"/>
        <v>4</v>
      </c>
      <c r="FE65" s="14" t="b">
        <f t="shared" si="54"/>
        <v>0</v>
      </c>
      <c r="FF65" s="14">
        <f t="shared" si="15"/>
        <v>2002304</v>
      </c>
      <c r="FG65" s="13" t="str">
        <f t="shared" si="16"/>
        <v>30级-精良寄灵人の裤子</v>
      </c>
      <c r="FH65" s="14">
        <f t="shared" si="17"/>
        <v>1</v>
      </c>
      <c r="FI65" s="14">
        <f t="shared" si="18"/>
        <v>3</v>
      </c>
      <c r="FJ65" s="14">
        <f t="shared" si="19"/>
        <v>30</v>
      </c>
      <c r="FK65" s="14">
        <v>1</v>
      </c>
      <c r="FL65" s="14">
        <f t="shared" si="20"/>
        <v>2</v>
      </c>
      <c r="FM65" s="14">
        <f t="shared" si="55"/>
        <v>4</v>
      </c>
      <c r="FN65" s="14" t="str">
        <f t="shared" si="21"/>
        <v/>
      </c>
      <c r="FO65" s="14">
        <f t="shared" si="22"/>
        <v>30</v>
      </c>
      <c r="FP65" s="14">
        <f t="shared" si="56"/>
        <v>0</v>
      </c>
      <c r="FQ65" s="14">
        <f t="shared" si="57"/>
        <v>35</v>
      </c>
      <c r="FR65" s="14">
        <f t="shared" si="58"/>
        <v>0</v>
      </c>
      <c r="FS65" s="14">
        <f t="shared" si="59"/>
        <v>0</v>
      </c>
      <c r="FT65" s="14">
        <f t="shared" si="60"/>
        <v>3</v>
      </c>
      <c r="FU65" s="14">
        <f t="shared" si="61"/>
        <v>0</v>
      </c>
      <c r="FV65" s="14">
        <f t="shared" si="23"/>
        <v>1023</v>
      </c>
      <c r="FW65" s="14">
        <f t="shared" si="24"/>
        <v>2</v>
      </c>
      <c r="FX65" s="14">
        <f t="shared" si="25"/>
        <v>1023</v>
      </c>
      <c r="FY65" s="25" t="str">
        <f t="shared" si="62"/>
        <v>icon_2002104</v>
      </c>
      <c r="FZ65" s="30"/>
      <c r="GA65" s="30"/>
      <c r="GC65" s="14">
        <f t="shared" si="26"/>
        <v>2</v>
      </c>
      <c r="GD65" s="14">
        <f t="shared" si="27"/>
        <v>0</v>
      </c>
      <c r="GE65" s="14">
        <f t="shared" si="63"/>
        <v>30</v>
      </c>
      <c r="GF65" s="14" t="str">
        <f t="shared" si="28"/>
        <v>DefExt</v>
      </c>
      <c r="GG65" s="14">
        <f t="shared" si="64"/>
        <v>35</v>
      </c>
      <c r="GH65" s="14">
        <f t="shared" si="65"/>
        <v>3</v>
      </c>
      <c r="GI65" s="14" t="str">
        <f t="shared" si="29"/>
        <v/>
      </c>
      <c r="GJ65" s="14" t="str">
        <f t="shared" si="66"/>
        <v/>
      </c>
      <c r="GK65" s="14" t="str">
        <f t="shared" si="67"/>
        <v/>
      </c>
      <c r="GL65" s="14">
        <f t="shared" si="30"/>
        <v>20230</v>
      </c>
      <c r="GM65" s="14">
        <f t="shared" si="68"/>
        <v>2</v>
      </c>
      <c r="GN65" s="14">
        <f t="shared" si="69"/>
        <v>1023</v>
      </c>
      <c r="GO65" s="25" t="s">
        <v>1471</v>
      </c>
      <c r="GP65" s="14">
        <f t="shared" si="31"/>
        <v>40</v>
      </c>
      <c r="GS65" s="30"/>
      <c r="GT65" s="30"/>
      <c r="GU65" s="30"/>
      <c r="GV65" s="30"/>
      <c r="GW65" s="13">
        <v>60</v>
      </c>
      <c r="GX65" s="14">
        <f t="shared" si="70"/>
        <v>19</v>
      </c>
      <c r="GY65" s="14">
        <f t="shared" si="71"/>
        <v>1</v>
      </c>
      <c r="GZ65" s="14">
        <f t="shared" si="72"/>
        <v>2</v>
      </c>
      <c r="HA65" s="14">
        <f t="shared" si="73"/>
        <v>210542</v>
      </c>
      <c r="HB65" s="14" t="str">
        <f t="shared" si="74"/>
        <v>90级守护灵の防御套 : 属性-1</v>
      </c>
      <c r="HC65" s="14" t="s">
        <v>1396</v>
      </c>
      <c r="HD65" s="14">
        <f t="shared" si="75"/>
        <v>1</v>
      </c>
      <c r="HE65" s="14">
        <f t="shared" si="76"/>
        <v>2</v>
      </c>
      <c r="HF65" s="14" t="str">
        <f t="shared" si="77"/>
        <v>DefExt</v>
      </c>
      <c r="HG65" s="14">
        <f t="shared" si="78"/>
        <v>750</v>
      </c>
      <c r="HH65" s="30"/>
      <c r="HI65" s="30"/>
      <c r="HK65" s="13">
        <v>60</v>
      </c>
      <c r="HL65" s="14">
        <f t="shared" si="79"/>
        <v>3</v>
      </c>
      <c r="HM65" s="14">
        <f t="shared" si="80"/>
        <v>1</v>
      </c>
      <c r="HN65" s="14">
        <f t="shared" si="81"/>
        <v>3</v>
      </c>
      <c r="HO65" s="14">
        <f t="shared" si="82"/>
        <v>3</v>
      </c>
      <c r="HP65" s="14" t="str">
        <f t="shared" si="83"/>
        <v>50级寄灵人洗练-Q3-12</v>
      </c>
      <c r="HQ65" s="14">
        <f t="shared" si="84"/>
        <v>1033</v>
      </c>
      <c r="HR65" s="14">
        <f t="shared" si="85"/>
        <v>12</v>
      </c>
      <c r="HS65" s="14">
        <f t="shared" si="86"/>
        <v>500</v>
      </c>
      <c r="HT65" s="14" t="str">
        <f t="shared" si="87"/>
        <v>EffectResist</v>
      </c>
      <c r="HU65" s="14">
        <f t="shared" si="88"/>
        <v>1.7999999999999999E-2</v>
      </c>
      <c r="HV65" s="14">
        <f t="shared" si="89"/>
        <v>0.05</v>
      </c>
    </row>
    <row r="66" spans="1:230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S66" s="30"/>
      <c r="ET66" s="30"/>
      <c r="EU66" s="13">
        <v>61</v>
      </c>
      <c r="EV66" s="14">
        <f t="shared" si="51"/>
        <v>1</v>
      </c>
      <c r="EW66" s="14">
        <f t="shared" si="52"/>
        <v>61</v>
      </c>
      <c r="EX66" s="14">
        <f t="shared" si="53"/>
        <v>8</v>
      </c>
      <c r="EY66" s="14">
        <f t="shared" si="9"/>
        <v>30</v>
      </c>
      <c r="EZ66" s="14">
        <f t="shared" si="10"/>
        <v>2</v>
      </c>
      <c r="FA66" s="14">
        <f t="shared" si="11"/>
        <v>30</v>
      </c>
      <c r="FB66" s="14">
        <f t="shared" si="12"/>
        <v>3</v>
      </c>
      <c r="FC66" s="14">
        <f t="shared" si="13"/>
        <v>5</v>
      </c>
      <c r="FD66" s="14">
        <f t="shared" si="14"/>
        <v>5</v>
      </c>
      <c r="FE66" s="14" t="b">
        <f t="shared" si="54"/>
        <v>0</v>
      </c>
      <c r="FF66" s="14">
        <f t="shared" si="15"/>
        <v>2002305</v>
      </c>
      <c r="FG66" s="13" t="str">
        <f t="shared" si="16"/>
        <v>30级-精良寄灵人の鞋子</v>
      </c>
      <c r="FH66" s="14">
        <f t="shared" si="17"/>
        <v>1</v>
      </c>
      <c r="FI66" s="14">
        <f t="shared" si="18"/>
        <v>3</v>
      </c>
      <c r="FJ66" s="14">
        <f t="shared" si="19"/>
        <v>30</v>
      </c>
      <c r="FK66" s="14">
        <v>1</v>
      </c>
      <c r="FL66" s="14">
        <f t="shared" si="20"/>
        <v>2</v>
      </c>
      <c r="FM66" s="14">
        <f t="shared" si="55"/>
        <v>5</v>
      </c>
      <c r="FN66" s="14" t="str">
        <f t="shared" si="21"/>
        <v/>
      </c>
      <c r="FO66" s="14">
        <f t="shared" si="22"/>
        <v>36</v>
      </c>
      <c r="FP66" s="14">
        <f t="shared" si="56"/>
        <v>0</v>
      </c>
      <c r="FQ66" s="14">
        <f t="shared" si="57"/>
        <v>0</v>
      </c>
      <c r="FR66" s="14">
        <f t="shared" si="58"/>
        <v>425</v>
      </c>
      <c r="FS66" s="14">
        <f t="shared" si="59"/>
        <v>0</v>
      </c>
      <c r="FT66" s="14">
        <f t="shared" si="60"/>
        <v>0</v>
      </c>
      <c r="FU66" s="14">
        <f t="shared" si="61"/>
        <v>36</v>
      </c>
      <c r="FV66" s="14">
        <f t="shared" si="23"/>
        <v>1023</v>
      </c>
      <c r="FW66" s="14">
        <f t="shared" si="24"/>
        <v>2</v>
      </c>
      <c r="FX66" s="14">
        <f t="shared" si="25"/>
        <v>1023</v>
      </c>
      <c r="FY66" s="25" t="str">
        <f t="shared" si="62"/>
        <v>icon_2002105</v>
      </c>
      <c r="FZ66" s="30"/>
      <c r="GA66" s="30"/>
      <c r="GC66" s="14">
        <f t="shared" si="26"/>
        <v>3</v>
      </c>
      <c r="GD66" s="14">
        <f t="shared" si="27"/>
        <v>0</v>
      </c>
      <c r="GE66" s="14">
        <f t="shared" si="63"/>
        <v>36</v>
      </c>
      <c r="GF66" s="14" t="str">
        <f t="shared" si="28"/>
        <v>HPExt</v>
      </c>
      <c r="GG66" s="14">
        <f t="shared" si="64"/>
        <v>425</v>
      </c>
      <c r="GH66" s="14">
        <f t="shared" si="65"/>
        <v>36</v>
      </c>
      <c r="GI66" s="14" t="str">
        <f t="shared" si="29"/>
        <v/>
      </c>
      <c r="GJ66" s="14" t="str">
        <f t="shared" si="66"/>
        <v/>
      </c>
      <c r="GK66" s="14" t="str">
        <f t="shared" si="67"/>
        <v/>
      </c>
      <c r="GL66" s="14">
        <f t="shared" si="30"/>
        <v>20230</v>
      </c>
      <c r="GM66" s="14">
        <f t="shared" si="68"/>
        <v>2</v>
      </c>
      <c r="GN66" s="14">
        <f t="shared" si="69"/>
        <v>1023</v>
      </c>
      <c r="GO66" s="25" t="s">
        <v>1471</v>
      </c>
      <c r="GP66" s="14">
        <f t="shared" si="31"/>
        <v>40</v>
      </c>
      <c r="GS66" s="30"/>
      <c r="GT66" s="30"/>
      <c r="GU66" s="30"/>
      <c r="GV66" s="30"/>
      <c r="GW66" s="13">
        <v>61</v>
      </c>
      <c r="GX66" s="14">
        <f t="shared" si="70"/>
        <v>19</v>
      </c>
      <c r="GY66" s="14">
        <f t="shared" si="71"/>
        <v>2</v>
      </c>
      <c r="GZ66" s="14">
        <f t="shared" si="72"/>
        <v>3</v>
      </c>
      <c r="HA66" s="14">
        <f t="shared" si="73"/>
        <v>210542</v>
      </c>
      <c r="HB66" s="14" t="str">
        <f t="shared" si="74"/>
        <v>90级守护灵の防御套 : 属性-2</v>
      </c>
      <c r="HC66" s="14" t="s">
        <v>1396</v>
      </c>
      <c r="HD66" s="14">
        <f t="shared" si="75"/>
        <v>2</v>
      </c>
      <c r="HE66" s="14">
        <f t="shared" si="76"/>
        <v>3</v>
      </c>
      <c r="HF66" s="14" t="str">
        <f t="shared" si="77"/>
        <v>HPExt</v>
      </c>
      <c r="HG66" s="14">
        <f t="shared" si="78"/>
        <v>14000</v>
      </c>
      <c r="HH66" s="30"/>
      <c r="HI66" s="30"/>
      <c r="HK66" s="13">
        <v>61</v>
      </c>
      <c r="HL66" s="14">
        <f t="shared" si="79"/>
        <v>3</v>
      </c>
      <c r="HM66" s="14">
        <f t="shared" si="80"/>
        <v>1</v>
      </c>
      <c r="HN66" s="14">
        <f t="shared" si="81"/>
        <v>3</v>
      </c>
      <c r="HO66" s="14">
        <f t="shared" si="82"/>
        <v>4</v>
      </c>
      <c r="HP66" s="14" t="str">
        <f t="shared" si="83"/>
        <v>50级寄灵人洗练-Q4-1</v>
      </c>
      <c r="HQ66" s="14">
        <f t="shared" si="84"/>
        <v>1034</v>
      </c>
      <c r="HR66" s="14">
        <f t="shared" si="85"/>
        <v>1</v>
      </c>
      <c r="HS66" s="14">
        <f t="shared" si="86"/>
        <v>1800</v>
      </c>
      <c r="HT66" s="14" t="str">
        <f t="shared" si="87"/>
        <v>AtkExt</v>
      </c>
      <c r="HU66" s="14">
        <f t="shared" si="88"/>
        <v>27</v>
      </c>
      <c r="HV66" s="14">
        <f t="shared" si="89"/>
        <v>78</v>
      </c>
    </row>
    <row r="67" spans="1:230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S67" s="30"/>
      <c r="ET67" s="30"/>
      <c r="EU67" s="13">
        <v>62</v>
      </c>
      <c r="EV67" s="14">
        <f t="shared" si="51"/>
        <v>1</v>
      </c>
      <c r="EW67" s="14">
        <f t="shared" si="52"/>
        <v>62</v>
      </c>
      <c r="EX67" s="14">
        <f t="shared" si="53"/>
        <v>8</v>
      </c>
      <c r="EY67" s="14">
        <f t="shared" si="9"/>
        <v>30</v>
      </c>
      <c r="EZ67" s="14">
        <f t="shared" si="10"/>
        <v>2</v>
      </c>
      <c r="FA67" s="14">
        <f t="shared" si="11"/>
        <v>30</v>
      </c>
      <c r="FB67" s="14">
        <f t="shared" si="12"/>
        <v>3</v>
      </c>
      <c r="FC67" s="14">
        <f t="shared" si="13"/>
        <v>6</v>
      </c>
      <c r="FD67" s="14">
        <f t="shared" si="14"/>
        <v>6</v>
      </c>
      <c r="FE67" s="14" t="b">
        <f t="shared" si="54"/>
        <v>0</v>
      </c>
      <c r="FF67" s="14">
        <f t="shared" si="15"/>
        <v>2002306</v>
      </c>
      <c r="FG67" s="13" t="str">
        <f t="shared" si="16"/>
        <v>30级-精良寄灵人の护手</v>
      </c>
      <c r="FH67" s="14">
        <f t="shared" si="17"/>
        <v>1</v>
      </c>
      <c r="FI67" s="14">
        <f t="shared" si="18"/>
        <v>3</v>
      </c>
      <c r="FJ67" s="14">
        <f t="shared" si="19"/>
        <v>30</v>
      </c>
      <c r="FK67" s="14">
        <v>1</v>
      </c>
      <c r="FL67" s="14">
        <f t="shared" si="20"/>
        <v>2</v>
      </c>
      <c r="FM67" s="14">
        <f t="shared" si="55"/>
        <v>6</v>
      </c>
      <c r="FN67" s="14" t="str">
        <f t="shared" si="21"/>
        <v/>
      </c>
      <c r="FO67" s="14">
        <f t="shared" si="22"/>
        <v>36</v>
      </c>
      <c r="FP67" s="14">
        <f t="shared" si="56"/>
        <v>0</v>
      </c>
      <c r="FQ67" s="14">
        <f t="shared" si="57"/>
        <v>0</v>
      </c>
      <c r="FR67" s="14">
        <f t="shared" si="58"/>
        <v>425</v>
      </c>
      <c r="FS67" s="14">
        <f t="shared" si="59"/>
        <v>0</v>
      </c>
      <c r="FT67" s="14">
        <f t="shared" si="60"/>
        <v>0</v>
      </c>
      <c r="FU67" s="14">
        <f t="shared" si="61"/>
        <v>36</v>
      </c>
      <c r="FV67" s="14">
        <f t="shared" si="23"/>
        <v>1023</v>
      </c>
      <c r="FW67" s="14">
        <f t="shared" si="24"/>
        <v>2</v>
      </c>
      <c r="FX67" s="14">
        <f t="shared" si="25"/>
        <v>1023</v>
      </c>
      <c r="FY67" s="25" t="str">
        <f t="shared" si="62"/>
        <v>icon_2002106</v>
      </c>
      <c r="FZ67" s="30"/>
      <c r="GA67" s="30"/>
      <c r="GC67" s="14">
        <f t="shared" si="26"/>
        <v>3</v>
      </c>
      <c r="GD67" s="14">
        <f t="shared" si="27"/>
        <v>0</v>
      </c>
      <c r="GE67" s="14">
        <f t="shared" si="63"/>
        <v>36</v>
      </c>
      <c r="GF67" s="14" t="str">
        <f t="shared" si="28"/>
        <v>HPExt</v>
      </c>
      <c r="GG67" s="14">
        <f t="shared" si="64"/>
        <v>425</v>
      </c>
      <c r="GH67" s="14">
        <f t="shared" si="65"/>
        <v>36</v>
      </c>
      <c r="GI67" s="14" t="str">
        <f t="shared" si="29"/>
        <v/>
      </c>
      <c r="GJ67" s="14" t="str">
        <f t="shared" si="66"/>
        <v/>
      </c>
      <c r="GK67" s="14" t="str">
        <f t="shared" si="67"/>
        <v/>
      </c>
      <c r="GL67" s="14">
        <f t="shared" si="30"/>
        <v>20230</v>
      </c>
      <c r="GM67" s="14">
        <f t="shared" si="68"/>
        <v>2</v>
      </c>
      <c r="GN67" s="14">
        <f t="shared" si="69"/>
        <v>1023</v>
      </c>
      <c r="GO67" s="25" t="s">
        <v>1471</v>
      </c>
      <c r="GP67" s="14">
        <f t="shared" si="31"/>
        <v>40</v>
      </c>
      <c r="GS67" s="30"/>
      <c r="GT67" s="30"/>
      <c r="GU67" s="30"/>
      <c r="GV67" s="30"/>
      <c r="GW67" s="13">
        <v>62</v>
      </c>
      <c r="GX67" s="14">
        <f t="shared" si="70"/>
        <v>19</v>
      </c>
      <c r="GY67" s="14">
        <f t="shared" si="71"/>
        <v>3</v>
      </c>
      <c r="GZ67" s="14">
        <f t="shared" si="72"/>
        <v>5</v>
      </c>
      <c r="HA67" s="14">
        <f t="shared" si="73"/>
        <v>210542</v>
      </c>
      <c r="HB67" s="14" t="str">
        <f t="shared" si="74"/>
        <v>90级守护灵の防御套 : 属性-3</v>
      </c>
      <c r="HC67" s="14" t="s">
        <v>1396</v>
      </c>
      <c r="HD67" s="14">
        <f t="shared" si="75"/>
        <v>3</v>
      </c>
      <c r="HE67" s="14">
        <f t="shared" si="76"/>
        <v>5</v>
      </c>
      <c r="HF67" s="14" t="str">
        <f t="shared" si="77"/>
        <v>DefRate</v>
      </c>
      <c r="HG67" s="14">
        <f t="shared" si="78"/>
        <v>0.15</v>
      </c>
      <c r="HH67" s="30"/>
      <c r="HI67" s="30"/>
      <c r="HK67" s="13">
        <v>62</v>
      </c>
      <c r="HL67" s="14">
        <f t="shared" si="79"/>
        <v>3</v>
      </c>
      <c r="HM67" s="14">
        <f t="shared" si="80"/>
        <v>1</v>
      </c>
      <c r="HN67" s="14">
        <f t="shared" si="81"/>
        <v>3</v>
      </c>
      <c r="HO67" s="14">
        <f t="shared" si="82"/>
        <v>4</v>
      </c>
      <c r="HP67" s="14" t="str">
        <f t="shared" si="83"/>
        <v>50级寄灵人洗练-Q4-2</v>
      </c>
      <c r="HQ67" s="14">
        <f t="shared" si="84"/>
        <v>1034</v>
      </c>
      <c r="HR67" s="14">
        <f t="shared" si="85"/>
        <v>2</v>
      </c>
      <c r="HS67" s="14">
        <f t="shared" si="86"/>
        <v>1800</v>
      </c>
      <c r="HT67" s="14" t="str">
        <f t="shared" si="87"/>
        <v>DefExt</v>
      </c>
      <c r="HU67" s="14">
        <f t="shared" si="88"/>
        <v>14</v>
      </c>
      <c r="HV67" s="14">
        <f t="shared" si="89"/>
        <v>40</v>
      </c>
    </row>
    <row r="68" spans="1:230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S68" s="30"/>
      <c r="ET68" s="30"/>
      <c r="EU68" s="13">
        <v>63</v>
      </c>
      <c r="EV68" s="14">
        <f t="shared" si="51"/>
        <v>1</v>
      </c>
      <c r="EW68" s="14">
        <f t="shared" si="52"/>
        <v>63</v>
      </c>
      <c r="EX68" s="14">
        <f t="shared" si="53"/>
        <v>8</v>
      </c>
      <c r="EY68" s="14">
        <f t="shared" si="9"/>
        <v>30</v>
      </c>
      <c r="EZ68" s="14">
        <f t="shared" si="10"/>
        <v>2</v>
      </c>
      <c r="FA68" s="14">
        <f t="shared" si="11"/>
        <v>30</v>
      </c>
      <c r="FB68" s="14">
        <f t="shared" si="12"/>
        <v>3</v>
      </c>
      <c r="FC68" s="14">
        <f t="shared" si="13"/>
        <v>7</v>
      </c>
      <c r="FD68" s="14">
        <f t="shared" si="14"/>
        <v>7</v>
      </c>
      <c r="FE68" s="14" t="b">
        <f t="shared" si="54"/>
        <v>0</v>
      </c>
      <c r="FF68" s="14">
        <f t="shared" si="15"/>
        <v>2002307</v>
      </c>
      <c r="FG68" s="13" t="str">
        <f t="shared" si="16"/>
        <v>30级-精良寄灵人の项链</v>
      </c>
      <c r="FH68" s="14">
        <f t="shared" si="17"/>
        <v>1</v>
      </c>
      <c r="FI68" s="14">
        <f t="shared" si="18"/>
        <v>3</v>
      </c>
      <c r="FJ68" s="14">
        <f t="shared" si="19"/>
        <v>30</v>
      </c>
      <c r="FK68" s="14">
        <v>1</v>
      </c>
      <c r="FL68" s="14">
        <f t="shared" si="20"/>
        <v>2</v>
      </c>
      <c r="FM68" s="14">
        <f t="shared" si="55"/>
        <v>7</v>
      </c>
      <c r="FN68" s="14" t="str">
        <f t="shared" si="21"/>
        <v/>
      </c>
      <c r="FO68" s="14">
        <f t="shared" si="22"/>
        <v>40</v>
      </c>
      <c r="FP68" s="14">
        <f t="shared" si="56"/>
        <v>45</v>
      </c>
      <c r="FQ68" s="14">
        <f t="shared" si="57"/>
        <v>30</v>
      </c>
      <c r="FR68" s="14">
        <f t="shared" si="58"/>
        <v>0</v>
      </c>
      <c r="FS68" s="14">
        <f t="shared" si="59"/>
        <v>4</v>
      </c>
      <c r="FT68" s="14">
        <f t="shared" si="60"/>
        <v>2</v>
      </c>
      <c r="FU68" s="14">
        <f t="shared" si="61"/>
        <v>0</v>
      </c>
      <c r="FV68" s="14">
        <f t="shared" si="23"/>
        <v>1023</v>
      </c>
      <c r="FW68" s="14">
        <f t="shared" si="24"/>
        <v>2</v>
      </c>
      <c r="FX68" s="14">
        <f t="shared" si="25"/>
        <v>1023</v>
      </c>
      <c r="FY68" s="25" t="str">
        <f t="shared" si="62"/>
        <v>icon_2002107</v>
      </c>
      <c r="FZ68" s="30"/>
      <c r="GA68" s="30"/>
      <c r="GC68" s="14">
        <f t="shared" si="26"/>
        <v>1</v>
      </c>
      <c r="GD68" s="14">
        <f t="shared" si="27"/>
        <v>2</v>
      </c>
      <c r="GE68" s="14">
        <f t="shared" si="63"/>
        <v>40</v>
      </c>
      <c r="GF68" s="14" t="str">
        <f t="shared" si="28"/>
        <v>AtkExt</v>
      </c>
      <c r="GG68" s="14">
        <f t="shared" si="64"/>
        <v>45</v>
      </c>
      <c r="GH68" s="14">
        <f t="shared" si="65"/>
        <v>4</v>
      </c>
      <c r="GI68" s="14" t="str">
        <f t="shared" si="29"/>
        <v>DefExt</v>
      </c>
      <c r="GJ68" s="14">
        <f t="shared" si="66"/>
        <v>30</v>
      </c>
      <c r="GK68" s="14">
        <f t="shared" si="67"/>
        <v>2</v>
      </c>
      <c r="GL68" s="14">
        <f t="shared" si="30"/>
        <v>20230</v>
      </c>
      <c r="GM68" s="14">
        <f t="shared" si="68"/>
        <v>2</v>
      </c>
      <c r="GN68" s="14">
        <f t="shared" si="69"/>
        <v>1023</v>
      </c>
      <c r="GO68" s="25" t="s">
        <v>1471</v>
      </c>
      <c r="GP68" s="14">
        <f t="shared" si="31"/>
        <v>60</v>
      </c>
      <c r="GS68" s="30"/>
      <c r="GT68" s="30"/>
      <c r="GU68" s="30"/>
      <c r="GV68" s="30"/>
      <c r="GW68" s="13">
        <v>63</v>
      </c>
      <c r="GX68" s="14">
        <f t="shared" si="70"/>
        <v>20</v>
      </c>
      <c r="GY68" s="14">
        <f t="shared" si="71"/>
        <v>1</v>
      </c>
      <c r="GZ68" s="14">
        <f t="shared" si="72"/>
        <v>1</v>
      </c>
      <c r="HA68" s="14">
        <f t="shared" si="73"/>
        <v>210543</v>
      </c>
      <c r="HB68" s="14" t="str">
        <f t="shared" si="74"/>
        <v>90级守护灵の绝世套 : 属性-1</v>
      </c>
      <c r="HC68" s="14" t="s">
        <v>1396</v>
      </c>
      <c r="HD68" s="14">
        <f t="shared" si="75"/>
        <v>1</v>
      </c>
      <c r="HE68" s="14">
        <f t="shared" si="76"/>
        <v>2</v>
      </c>
      <c r="HF68" s="14" t="str">
        <f t="shared" si="77"/>
        <v>AtkExt</v>
      </c>
      <c r="HG68" s="14">
        <f t="shared" si="78"/>
        <v>2200</v>
      </c>
      <c r="HH68" s="30"/>
      <c r="HI68" s="30"/>
      <c r="HK68" s="13">
        <v>63</v>
      </c>
      <c r="HL68" s="14">
        <f t="shared" si="79"/>
        <v>3</v>
      </c>
      <c r="HM68" s="14">
        <f t="shared" si="80"/>
        <v>1</v>
      </c>
      <c r="HN68" s="14">
        <f t="shared" si="81"/>
        <v>3</v>
      </c>
      <c r="HO68" s="14">
        <f t="shared" si="82"/>
        <v>4</v>
      </c>
      <c r="HP68" s="14" t="str">
        <f t="shared" si="83"/>
        <v>50级寄灵人洗练-Q4-3</v>
      </c>
      <c r="HQ68" s="14">
        <f t="shared" si="84"/>
        <v>1034</v>
      </c>
      <c r="HR68" s="14">
        <f t="shared" si="85"/>
        <v>3</v>
      </c>
      <c r="HS68" s="14">
        <f t="shared" si="86"/>
        <v>2000</v>
      </c>
      <c r="HT68" s="14" t="str">
        <f t="shared" si="87"/>
        <v>HPExt</v>
      </c>
      <c r="HU68" s="14">
        <f t="shared" si="88"/>
        <v>190</v>
      </c>
      <c r="HV68" s="14">
        <f t="shared" si="89"/>
        <v>544</v>
      </c>
    </row>
    <row r="69" spans="1:230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S69" s="30"/>
      <c r="ET69" s="30"/>
      <c r="EU69" s="13">
        <v>64</v>
      </c>
      <c r="EV69" s="14">
        <f t="shared" si="51"/>
        <v>1</v>
      </c>
      <c r="EW69" s="14">
        <f t="shared" si="52"/>
        <v>64</v>
      </c>
      <c r="EX69" s="14">
        <f t="shared" si="53"/>
        <v>8</v>
      </c>
      <c r="EY69" s="14">
        <f t="shared" si="9"/>
        <v>30</v>
      </c>
      <c r="EZ69" s="14">
        <f t="shared" si="10"/>
        <v>2</v>
      </c>
      <c r="FA69" s="14">
        <f t="shared" si="11"/>
        <v>30</v>
      </c>
      <c r="FB69" s="14">
        <f t="shared" si="12"/>
        <v>3</v>
      </c>
      <c r="FC69" s="14">
        <f t="shared" si="13"/>
        <v>8</v>
      </c>
      <c r="FD69" s="14">
        <f t="shared" si="14"/>
        <v>8</v>
      </c>
      <c r="FE69" s="14" t="b">
        <f t="shared" si="54"/>
        <v>0</v>
      </c>
      <c r="FF69" s="14">
        <f t="shared" si="15"/>
        <v>2002308</v>
      </c>
      <c r="FG69" s="13" t="str">
        <f t="shared" si="16"/>
        <v>30级-精良寄灵人の戒指</v>
      </c>
      <c r="FH69" s="14">
        <f t="shared" si="17"/>
        <v>1</v>
      </c>
      <c r="FI69" s="14">
        <f t="shared" si="18"/>
        <v>3</v>
      </c>
      <c r="FJ69" s="14">
        <f t="shared" si="19"/>
        <v>30</v>
      </c>
      <c r="FK69" s="14">
        <v>1</v>
      </c>
      <c r="FL69" s="14">
        <f t="shared" si="20"/>
        <v>2</v>
      </c>
      <c r="FM69" s="14">
        <f t="shared" si="55"/>
        <v>8</v>
      </c>
      <c r="FN69" s="14" t="str">
        <f t="shared" si="21"/>
        <v/>
      </c>
      <c r="FO69" s="14">
        <f t="shared" si="22"/>
        <v>50</v>
      </c>
      <c r="FP69" s="14">
        <f t="shared" si="56"/>
        <v>45</v>
      </c>
      <c r="FQ69" s="14">
        <f t="shared" si="57"/>
        <v>0</v>
      </c>
      <c r="FR69" s="14">
        <f t="shared" si="58"/>
        <v>355</v>
      </c>
      <c r="FS69" s="14">
        <f t="shared" si="59"/>
        <v>4</v>
      </c>
      <c r="FT69" s="14">
        <f t="shared" si="60"/>
        <v>0</v>
      </c>
      <c r="FU69" s="14">
        <f t="shared" si="61"/>
        <v>30</v>
      </c>
      <c r="FV69" s="14">
        <f t="shared" si="23"/>
        <v>1023</v>
      </c>
      <c r="FW69" s="14">
        <f t="shared" si="24"/>
        <v>2</v>
      </c>
      <c r="FX69" s="14">
        <f t="shared" si="25"/>
        <v>1023</v>
      </c>
      <c r="FY69" s="25" t="str">
        <f t="shared" si="62"/>
        <v>icon_2002108</v>
      </c>
      <c r="FZ69" s="30"/>
      <c r="GA69" s="30"/>
      <c r="GC69" s="14">
        <f t="shared" si="26"/>
        <v>1</v>
      </c>
      <c r="GD69" s="14">
        <f t="shared" si="27"/>
        <v>3</v>
      </c>
      <c r="GE69" s="14">
        <f t="shared" si="63"/>
        <v>50</v>
      </c>
      <c r="GF69" s="14" t="str">
        <f t="shared" si="28"/>
        <v>AtkExt</v>
      </c>
      <c r="GG69" s="14">
        <f t="shared" si="64"/>
        <v>45</v>
      </c>
      <c r="GH69" s="14">
        <f t="shared" si="65"/>
        <v>4</v>
      </c>
      <c r="GI69" s="14" t="str">
        <f t="shared" si="29"/>
        <v>HPExt</v>
      </c>
      <c r="GJ69" s="14">
        <f t="shared" si="66"/>
        <v>355</v>
      </c>
      <c r="GK69" s="14">
        <f t="shared" si="67"/>
        <v>30</v>
      </c>
      <c r="GL69" s="14">
        <f t="shared" si="30"/>
        <v>20230</v>
      </c>
      <c r="GM69" s="14">
        <f t="shared" si="68"/>
        <v>2</v>
      </c>
      <c r="GN69" s="14">
        <f t="shared" si="69"/>
        <v>1023</v>
      </c>
      <c r="GO69" s="25" t="s">
        <v>1471</v>
      </c>
      <c r="GP69" s="14">
        <f t="shared" si="31"/>
        <v>60</v>
      </c>
      <c r="GS69" s="30"/>
      <c r="GT69" s="30"/>
      <c r="GU69" s="30"/>
      <c r="GV69" s="30"/>
      <c r="GW69" s="13">
        <v>64</v>
      </c>
      <c r="GX69" s="14">
        <f t="shared" si="70"/>
        <v>20</v>
      </c>
      <c r="GY69" s="14">
        <f t="shared" si="71"/>
        <v>2</v>
      </c>
      <c r="GZ69" s="14">
        <f t="shared" si="72"/>
        <v>2</v>
      </c>
      <c r="HA69" s="14">
        <f t="shared" si="73"/>
        <v>210543</v>
      </c>
      <c r="HB69" s="14" t="str">
        <f t="shared" si="74"/>
        <v>90级守护灵の绝世套 : 属性-2</v>
      </c>
      <c r="HC69" s="14" t="s">
        <v>1396</v>
      </c>
      <c r="HD69" s="14">
        <f t="shared" si="75"/>
        <v>2</v>
      </c>
      <c r="HE69" s="14">
        <f t="shared" si="76"/>
        <v>3</v>
      </c>
      <c r="HF69" s="14" t="str">
        <f t="shared" si="77"/>
        <v>DefExt</v>
      </c>
      <c r="HG69" s="14">
        <f t="shared" si="78"/>
        <v>1150</v>
      </c>
      <c r="HH69" s="30"/>
      <c r="HI69" s="30"/>
      <c r="HK69" s="13">
        <v>64</v>
      </c>
      <c r="HL69" s="14">
        <f t="shared" si="79"/>
        <v>3</v>
      </c>
      <c r="HM69" s="14">
        <f t="shared" si="80"/>
        <v>1</v>
      </c>
      <c r="HN69" s="14">
        <f t="shared" si="81"/>
        <v>3</v>
      </c>
      <c r="HO69" s="14">
        <f t="shared" si="82"/>
        <v>4</v>
      </c>
      <c r="HP69" s="14" t="str">
        <f t="shared" si="83"/>
        <v>50级寄灵人洗练-Q4-4</v>
      </c>
      <c r="HQ69" s="14">
        <f t="shared" si="84"/>
        <v>1034</v>
      </c>
      <c r="HR69" s="14">
        <f t="shared" si="85"/>
        <v>4</v>
      </c>
      <c r="HS69" s="14">
        <f t="shared" si="86"/>
        <v>500</v>
      </c>
      <c r="HT69" s="14" t="str">
        <f t="shared" si="87"/>
        <v>AtkRate</v>
      </c>
      <c r="HU69" s="14">
        <f t="shared" si="88"/>
        <v>1.4E-2</v>
      </c>
      <c r="HV69" s="14">
        <f t="shared" si="89"/>
        <v>0.04</v>
      </c>
    </row>
    <row r="70" spans="1:230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S70" s="30"/>
      <c r="ET70" s="30"/>
      <c r="EU70" s="13">
        <v>65</v>
      </c>
      <c r="EV70" s="14">
        <f t="shared" si="51"/>
        <v>1</v>
      </c>
      <c r="EW70" s="14">
        <f t="shared" si="52"/>
        <v>65</v>
      </c>
      <c r="EX70" s="14">
        <f t="shared" si="53"/>
        <v>9</v>
      </c>
      <c r="EY70" s="14">
        <f t="shared" ref="EY70:EY133" si="151">INDEX($AK$7:$AK$64,EX70)</f>
        <v>40</v>
      </c>
      <c r="EZ70" s="14">
        <f t="shared" ref="EZ70:EZ133" si="152">(EV70-1)*$EX$3+FL70</f>
        <v>2</v>
      </c>
      <c r="FA70" s="14">
        <f t="shared" ref="FA70:FA133" si="153">INDEX(AI$7:AI$64,$EX70)</f>
        <v>30</v>
      </c>
      <c r="FB70" s="14">
        <f t="shared" ref="FB70:FB133" si="154">INDEX(AJ$7:AJ$64,$EX70)</f>
        <v>4</v>
      </c>
      <c r="FC70" s="14">
        <f t="shared" ref="FC70:FC133" si="155">EW70-INDEX($AQ$6:$AQ$64,EX70)</f>
        <v>1</v>
      </c>
      <c r="FD70" s="14">
        <f t="shared" ref="FD70:FD133" si="156">INDEX($AR$7:$AY$64,EX70,EW70-INDEX($AQ$6:$AQ$64,EX70))</f>
        <v>1</v>
      </c>
      <c r="FE70" s="14" t="b">
        <f t="shared" si="54"/>
        <v>0</v>
      </c>
      <c r="FF70" s="14">
        <f t="shared" ref="FF70:FF133" si="157">INDEX($AN$7:$AN$64,EX70)*10+FD70+(EV70-1)*100000+2000000</f>
        <v>2002401</v>
      </c>
      <c r="FG70" s="13" t="str">
        <f t="shared" ref="FG70:FG133" si="158">INDEX($AL$7:$AL$64,EX70)&amp;"-"&amp;INDEX($AM$7:$AM$64,EX70)&amp;INDEX($BC$6:$BC$7,EV70)&amp;INDEX($AR$3:$AY$3,FD70)</f>
        <v>30级-史诗寄灵人の灵器</v>
      </c>
      <c r="FH70" s="14">
        <f t="shared" ref="FH70:FH133" si="159">EV70</f>
        <v>1</v>
      </c>
      <c r="FI70" s="14">
        <f t="shared" ref="FI70:FI133" si="160">INDEX($AJ$7:$AJ$64,EX70)</f>
        <v>4</v>
      </c>
      <c r="FJ70" s="14">
        <f t="shared" ref="FJ70:FJ133" si="161">INDEX($AI$7:$AI$64,EX70)</f>
        <v>30</v>
      </c>
      <c r="FK70" s="14">
        <v>1</v>
      </c>
      <c r="FL70" s="14">
        <f t="shared" ref="FL70:FL133" si="162">INDEX(AH$7:AH$64,$EX70)</f>
        <v>2</v>
      </c>
      <c r="FM70" s="14">
        <f t="shared" si="55"/>
        <v>1</v>
      </c>
      <c r="FN70" s="14" t="str">
        <f t="shared" ref="FN70:FN133" si="163">IF(INDEX($AO$7:$AO$64,EX70)&gt;0,INDEX($AO$7:$AO$64,EX70) + (EV70-1)*10000+200000,"")</f>
        <v/>
      </c>
      <c r="FO70" s="14">
        <f t="shared" ref="FO70:FO133" si="164">INT(SUMPRODUCT($FS$3:$FU$3,FS70:FU70)*IF(FN70="",1,1.5))</f>
        <v>70</v>
      </c>
      <c r="FP70" s="14">
        <f t="shared" si="56"/>
        <v>155</v>
      </c>
      <c r="FQ70" s="14">
        <f t="shared" si="57"/>
        <v>0</v>
      </c>
      <c r="FR70" s="14">
        <f t="shared" si="58"/>
        <v>0</v>
      </c>
      <c r="FS70" s="14">
        <f t="shared" si="59"/>
        <v>14</v>
      </c>
      <c r="FT70" s="14">
        <f t="shared" si="60"/>
        <v>0</v>
      </c>
      <c r="FU70" s="14">
        <f t="shared" si="61"/>
        <v>0</v>
      </c>
      <c r="FV70" s="14">
        <f t="shared" ref="FV70:FV133" si="165">FL70*10+FB70+EV70*1000</f>
        <v>1024</v>
      </c>
      <c r="FW70" s="14">
        <f t="shared" ref="FW70:FW133" si="166">INDEX($V$17:$Y$27,FL70,FB70)</f>
        <v>3</v>
      </c>
      <c r="FX70" s="14">
        <f t="shared" ref="FX70:FX133" si="167">IF(FB70&gt;2,FL70*10+FB70+EV70*1000,"")</f>
        <v>1024</v>
      </c>
      <c r="FY70" s="25" t="str">
        <f t="shared" si="62"/>
        <v>icon_2002101</v>
      </c>
      <c r="FZ70" s="30"/>
      <c r="GA70" s="30"/>
      <c r="GC70" s="14">
        <f t="shared" ref="GC70:GC133" si="168">INDEX(BL$6:BL$13,$FM70)</f>
        <v>1</v>
      </c>
      <c r="GD70" s="14">
        <f t="shared" ref="GD70:GD133" si="169">INDEX(BM$6:BM$13,$FM70)</f>
        <v>0</v>
      </c>
      <c r="GE70" s="14">
        <f t="shared" si="63"/>
        <v>70</v>
      </c>
      <c r="GF70" s="14" t="str">
        <f t="shared" ref="GF70:GF133" si="170">INDEX($BH$3:$BJ$3,GC70)</f>
        <v>AtkExt</v>
      </c>
      <c r="GG70" s="14">
        <f t="shared" si="64"/>
        <v>155</v>
      </c>
      <c r="GH70" s="14">
        <f t="shared" si="65"/>
        <v>14</v>
      </c>
      <c r="GI70" s="14" t="str">
        <f t="shared" ref="GI70:GI133" si="171">IF(GD70&gt;0,INDEX($BH$3:$BJ$3,GD70),"")</f>
        <v/>
      </c>
      <c r="GJ70" s="14" t="str">
        <f t="shared" si="66"/>
        <v/>
      </c>
      <c r="GK70" s="14" t="str">
        <f t="shared" si="67"/>
        <v/>
      </c>
      <c r="GL70" s="14">
        <f t="shared" ref="GL70:GL133" si="172">20000+FL70*100+FB70*10</f>
        <v>20240</v>
      </c>
      <c r="GM70" s="14">
        <f t="shared" si="68"/>
        <v>3</v>
      </c>
      <c r="GN70" s="14">
        <f t="shared" si="69"/>
        <v>1024</v>
      </c>
      <c r="GO70" s="25" t="s">
        <v>1471</v>
      </c>
      <c r="GP70" s="14">
        <f t="shared" ref="GP70:GP133" si="173">ROUND(INDEX($AA$17:$AD$27,FL70,FB70)*INDEX($BK$6:$BK$13,FM70),0)</f>
        <v>160</v>
      </c>
      <c r="GS70" s="30"/>
      <c r="GT70" s="30"/>
      <c r="GU70" s="30"/>
      <c r="GV70" s="30"/>
      <c r="GW70" s="13">
        <v>65</v>
      </c>
      <c r="GX70" s="14">
        <f t="shared" si="70"/>
        <v>20</v>
      </c>
      <c r="GY70" s="14">
        <f t="shared" si="71"/>
        <v>3</v>
      </c>
      <c r="GZ70" s="14">
        <f t="shared" si="72"/>
        <v>7</v>
      </c>
      <c r="HA70" s="14">
        <f t="shared" si="73"/>
        <v>210543</v>
      </c>
      <c r="HB70" s="14" t="str">
        <f t="shared" si="74"/>
        <v>90级守护灵の绝世套 : 属性-3</v>
      </c>
      <c r="HC70" s="14" t="s">
        <v>1396</v>
      </c>
      <c r="HD70" s="14">
        <f t="shared" si="75"/>
        <v>3</v>
      </c>
      <c r="HE70" s="14">
        <f t="shared" si="76"/>
        <v>4</v>
      </c>
      <c r="HF70" s="14" t="str">
        <f t="shared" si="77"/>
        <v>DmgBonus</v>
      </c>
      <c r="HG70" s="14">
        <f t="shared" si="78"/>
        <v>0.1</v>
      </c>
      <c r="HH70" s="30"/>
      <c r="HI70" s="30"/>
      <c r="HK70" s="13">
        <v>65</v>
      </c>
      <c r="HL70" s="14">
        <f t="shared" si="79"/>
        <v>3</v>
      </c>
      <c r="HM70" s="14">
        <f t="shared" si="80"/>
        <v>1</v>
      </c>
      <c r="HN70" s="14">
        <f t="shared" si="81"/>
        <v>3</v>
      </c>
      <c r="HO70" s="14">
        <f t="shared" si="82"/>
        <v>4</v>
      </c>
      <c r="HP70" s="14" t="str">
        <f t="shared" si="83"/>
        <v>50级寄灵人洗练-Q4-5</v>
      </c>
      <c r="HQ70" s="14">
        <f t="shared" si="84"/>
        <v>1034</v>
      </c>
      <c r="HR70" s="14">
        <f t="shared" si="85"/>
        <v>5</v>
      </c>
      <c r="HS70" s="14">
        <f t="shared" si="86"/>
        <v>400</v>
      </c>
      <c r="HT70" s="14" t="str">
        <f t="shared" si="87"/>
        <v>DefRate</v>
      </c>
      <c r="HU70" s="14">
        <f t="shared" si="88"/>
        <v>1.4E-2</v>
      </c>
      <c r="HV70" s="14">
        <f t="shared" si="89"/>
        <v>0.04</v>
      </c>
    </row>
    <row r="71" spans="1:230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S71" s="30"/>
      <c r="ET71" s="30"/>
      <c r="EU71" s="13">
        <v>66</v>
      </c>
      <c r="EV71" s="14">
        <f t="shared" ref="EV71:EV134" si="174">IF(EU71&lt;=$EV$3,1,2)</f>
        <v>1</v>
      </c>
      <c r="EW71" s="14">
        <f t="shared" ref="EW71:EW134" si="175">MOD(EU71-1,$EV$3)+1</f>
        <v>66</v>
      </c>
      <c r="EX71" s="14">
        <f t="shared" ref="EX71:EX134" si="176">MATCH(EW71-1,$AQ$6:$AQ$64,1)</f>
        <v>9</v>
      </c>
      <c r="EY71" s="14">
        <f t="shared" si="151"/>
        <v>40</v>
      </c>
      <c r="EZ71" s="14">
        <f t="shared" si="152"/>
        <v>2</v>
      </c>
      <c r="FA71" s="14">
        <f t="shared" si="153"/>
        <v>30</v>
      </c>
      <c r="FB71" s="14">
        <f t="shared" si="154"/>
        <v>4</v>
      </c>
      <c r="FC71" s="14">
        <f t="shared" si="155"/>
        <v>2</v>
      </c>
      <c r="FD71" s="14">
        <f t="shared" si="156"/>
        <v>2</v>
      </c>
      <c r="FE71" s="14" t="b">
        <f t="shared" ref="FE71:FE134" si="177">IF(FN71="",FALSE,TRUE)</f>
        <v>0</v>
      </c>
      <c r="FF71" s="14">
        <f t="shared" si="157"/>
        <v>2002402</v>
      </c>
      <c r="FG71" s="13" t="str">
        <f t="shared" si="158"/>
        <v>30级-史诗寄灵人の头盔</v>
      </c>
      <c r="FH71" s="14">
        <f t="shared" si="159"/>
        <v>1</v>
      </c>
      <c r="FI71" s="14">
        <f t="shared" si="160"/>
        <v>4</v>
      </c>
      <c r="FJ71" s="14">
        <f t="shared" si="161"/>
        <v>30</v>
      </c>
      <c r="FK71" s="14">
        <v>1</v>
      </c>
      <c r="FL71" s="14">
        <f t="shared" si="162"/>
        <v>2</v>
      </c>
      <c r="FM71" s="14">
        <f t="shared" ref="FM71:FM134" si="178">FD71</f>
        <v>2</v>
      </c>
      <c r="FN71" s="14" t="str">
        <f t="shared" si="163"/>
        <v/>
      </c>
      <c r="FO71" s="14">
        <f t="shared" si="164"/>
        <v>30</v>
      </c>
      <c r="FP71" s="14">
        <f t="shared" ref="FP71:FP134" si="179">ROUND(INDEX(M$6:M$27,$EZ71)*INDEX(BH$6:BH$13,$FD71)*INDEX($BR$6:$BR$9,FI71)/5,0)*5</f>
        <v>0</v>
      </c>
      <c r="FQ71" s="14">
        <f t="shared" ref="FQ71:FQ134" si="180">ROUND(INDEX(N$6:N$27,$EZ71)*INDEX(BI$6:BI$13,$FD71)*INDEX($BR$6:$BR$9,FI71)/5,0)*5</f>
        <v>40</v>
      </c>
      <c r="FR71" s="14">
        <f t="shared" ref="FR71:FR134" si="181">ROUND(INDEX(O$6:O$27,$EZ71)*INDEX(BJ$6:BJ$13,$FD71)*INDEX($BR$6:$BR$9,FI71)/5,0)*5</f>
        <v>0</v>
      </c>
      <c r="FS71" s="14">
        <f t="shared" ref="FS71:FS134" si="182">ROUND(INDEX(S$6:S$27,$EZ71)*INDEX(BH$6:BH$13,$FD71)*INDEX($BR$6:$BR$9,FI71),0)</f>
        <v>0</v>
      </c>
      <c r="FT71" s="14">
        <f t="shared" ref="FT71:FT134" si="183">ROUND(INDEX(T$6:T$27,$EZ71)*INDEX(BI$6:BI$13,$FD71)*INDEX($BR$6:$BR$9,FI71),0)</f>
        <v>3</v>
      </c>
      <c r="FU71" s="14">
        <f t="shared" ref="FU71:FU134" si="184">ROUND(INDEX(U$6:U$27,$EZ71)*INDEX(BJ$6:BJ$13,$FD71)*INDEX($BR$6:$BR$9,FI71),0)</f>
        <v>0</v>
      </c>
      <c r="FV71" s="14">
        <f t="shared" si="165"/>
        <v>1024</v>
      </c>
      <c r="FW71" s="14">
        <f t="shared" si="166"/>
        <v>3</v>
      </c>
      <c r="FX71" s="14">
        <f t="shared" si="167"/>
        <v>1024</v>
      </c>
      <c r="FY71" s="25" t="str">
        <f t="shared" ref="FY71:FY134" si="185">IF(FE71,"icon_"&amp;FF71,FY$2&amp;INDEX($ES$6:$ES$7,EV71)*100000+FL71*1000+100+FD71)</f>
        <v>icon_2002102</v>
      </c>
      <c r="FZ71" s="30"/>
      <c r="GA71" s="30"/>
      <c r="GC71" s="14">
        <f t="shared" si="168"/>
        <v>2</v>
      </c>
      <c r="GD71" s="14">
        <f t="shared" si="169"/>
        <v>0</v>
      </c>
      <c r="GE71" s="14">
        <f t="shared" ref="GE71:GE134" si="186">FO71</f>
        <v>30</v>
      </c>
      <c r="GF71" s="14" t="str">
        <f t="shared" si="170"/>
        <v>DefExt</v>
      </c>
      <c r="GG71" s="14">
        <f t="shared" ref="GG71:GG134" si="187">INDEX(FP71:FR71,GC71)</f>
        <v>40</v>
      </c>
      <c r="GH71" s="14">
        <f t="shared" ref="GH71:GH134" si="188">INDEX(FS71:FU71,GC71)</f>
        <v>3</v>
      </c>
      <c r="GI71" s="14" t="str">
        <f t="shared" si="171"/>
        <v/>
      </c>
      <c r="GJ71" s="14" t="str">
        <f t="shared" ref="GJ71:GJ134" si="189">IF(GD71&gt;0,INDEX(FP71:FR71,GD71),"")</f>
        <v/>
      </c>
      <c r="GK71" s="14" t="str">
        <f t="shared" ref="GK71:GK134" si="190">IF(GD71&gt;0,INDEX(FS71:FU71,GD71),"")</f>
        <v/>
      </c>
      <c r="GL71" s="14">
        <f t="shared" si="172"/>
        <v>20240</v>
      </c>
      <c r="GM71" s="14">
        <f t="shared" ref="GM71:GM134" si="191">FW71</f>
        <v>3</v>
      </c>
      <c r="GN71" s="14">
        <f t="shared" ref="GN71:GN134" si="192">FX71</f>
        <v>1024</v>
      </c>
      <c r="GO71" s="25" t="s">
        <v>1471</v>
      </c>
      <c r="GP71" s="14">
        <f t="shared" si="173"/>
        <v>80</v>
      </c>
      <c r="GS71" s="30"/>
      <c r="GT71" s="30"/>
      <c r="GU71" s="30"/>
      <c r="GV71" s="30"/>
      <c r="GW71" s="13">
        <v>66</v>
      </c>
      <c r="GX71" s="14">
        <f t="shared" ref="GX71:GX97" si="193">MATCH(GW71-1,$CL$6:$CL$34,1)</f>
        <v>20</v>
      </c>
      <c r="GY71" s="14">
        <f t="shared" ref="GY71:GY97" si="194">GW71-INDEX($CL$6:$CL$34,GX71)</f>
        <v>4</v>
      </c>
      <c r="GZ71" s="14">
        <f t="shared" ref="GZ71:GZ97" si="195">INDEX($CM$7:$CP$34,GX71,GY71)</f>
        <v>8</v>
      </c>
      <c r="HA71" s="14">
        <f t="shared" ref="HA71:HA97" si="196">INDEX($BU$7:$BU$34,GX71)</f>
        <v>210543</v>
      </c>
      <c r="HB71" s="14" t="str">
        <f t="shared" ref="HB71:HB97" si="197">INDEX($BT$7:$BT$34,GX71)&amp;" : 属性-"&amp;GY71</f>
        <v>90级守护灵の绝世套 : 属性-4</v>
      </c>
      <c r="HC71" s="14" t="s">
        <v>1396</v>
      </c>
      <c r="HD71" s="14">
        <f t="shared" ref="HD71:HD97" si="198">GY71</f>
        <v>4</v>
      </c>
      <c r="HE71" s="14">
        <f t="shared" ref="HE71:HE97" si="199">INDEX($CU$7:$CX$34,GX71,GY71)</f>
        <v>5</v>
      </c>
      <c r="HF71" s="14" t="str">
        <f t="shared" ref="HF71:HF97" si="200">INDEX($CB$3:$CI$3,GZ71)</f>
        <v>DmgResist</v>
      </c>
      <c r="HG71" s="14">
        <f t="shared" ref="HG71:HG97" si="201">INDEX($CB$7:$CI$34,GX71,GZ71)*INDEX($CQ$7:$CT$34,GX71,GY71)</f>
        <v>0.1</v>
      </c>
      <c r="HH71" s="30"/>
      <c r="HI71" s="30"/>
      <c r="HK71" s="13">
        <v>66</v>
      </c>
      <c r="HL71" s="14">
        <f t="shared" ref="HL71:HL134" si="202">INT((HK71-1)/24)+1</f>
        <v>3</v>
      </c>
      <c r="HM71" s="14">
        <f t="shared" ref="HM71:HM134" si="203">IF(HL71&gt;11,2,1)</f>
        <v>1</v>
      </c>
      <c r="HN71" s="14">
        <f t="shared" ref="HN71:HN134" si="204">HL71-(HM71-1)*11</f>
        <v>3</v>
      </c>
      <c r="HO71" s="14">
        <f t="shared" ref="HO71:HO134" si="205">IF(MOD(HK71-1,24)&gt;=12,4,3)</f>
        <v>4</v>
      </c>
      <c r="HP71" s="14" t="str">
        <f t="shared" ref="HP71:HP134" si="206">INDEX($DU$6:$DU$27,HL71)&amp;"洗练-Q"&amp;HO71&amp;"-"&amp;HR71</f>
        <v>50级寄灵人洗练-Q4-6</v>
      </c>
      <c r="HQ71" s="14">
        <f t="shared" ref="HQ71:HQ134" si="207">HM71*1000+HN71*10+HO71</f>
        <v>1034</v>
      </c>
      <c r="HR71" s="14">
        <f t="shared" ref="HR71:HR134" si="208">MOD(HK71-1,12)+1</f>
        <v>6</v>
      </c>
      <c r="HS71" s="14">
        <f t="shared" ref="HS71:HS134" si="209">INDEX($DY$3:$EJ$3,HR71)</f>
        <v>500</v>
      </c>
      <c r="HT71" s="14" t="str">
        <f t="shared" ref="HT71:HT134" si="210">INDEX($DY$4:$EJ$4,HR71)</f>
        <v>HPRate</v>
      </c>
      <c r="HU71" s="14">
        <f t="shared" ref="HU71:HU134" si="211">IF(HV71&gt;1,INT(HV71*0.35),ROUND(HV71*0.35,3))</f>
        <v>1.4E-2</v>
      </c>
      <c r="HV71" s="14">
        <f t="shared" ref="HV71:HV134" si="212">INDEX($DY$6:$EJ$27,HL71,HR71)</f>
        <v>0.04</v>
      </c>
    </row>
    <row r="72" spans="1:230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S72" s="30"/>
      <c r="ET72" s="30"/>
      <c r="EU72" s="13">
        <v>67</v>
      </c>
      <c r="EV72" s="14">
        <f t="shared" si="174"/>
        <v>1</v>
      </c>
      <c r="EW72" s="14">
        <f t="shared" si="175"/>
        <v>67</v>
      </c>
      <c r="EX72" s="14">
        <f t="shared" si="176"/>
        <v>9</v>
      </c>
      <c r="EY72" s="14">
        <f t="shared" si="151"/>
        <v>40</v>
      </c>
      <c r="EZ72" s="14">
        <f t="shared" si="152"/>
        <v>2</v>
      </c>
      <c r="FA72" s="14">
        <f t="shared" si="153"/>
        <v>30</v>
      </c>
      <c r="FB72" s="14">
        <f t="shared" si="154"/>
        <v>4</v>
      </c>
      <c r="FC72" s="14">
        <f t="shared" si="155"/>
        <v>3</v>
      </c>
      <c r="FD72" s="14">
        <f t="shared" si="156"/>
        <v>3</v>
      </c>
      <c r="FE72" s="14" t="b">
        <f t="shared" si="177"/>
        <v>0</v>
      </c>
      <c r="FF72" s="14">
        <f t="shared" si="157"/>
        <v>2002403</v>
      </c>
      <c r="FG72" s="13" t="str">
        <f t="shared" si="158"/>
        <v>30级-史诗寄灵人の铠甲</v>
      </c>
      <c r="FH72" s="14">
        <f t="shared" si="159"/>
        <v>1</v>
      </c>
      <c r="FI72" s="14">
        <f t="shared" si="160"/>
        <v>4</v>
      </c>
      <c r="FJ72" s="14">
        <f t="shared" si="161"/>
        <v>30</v>
      </c>
      <c r="FK72" s="14">
        <v>1</v>
      </c>
      <c r="FL72" s="14">
        <f t="shared" si="162"/>
        <v>2</v>
      </c>
      <c r="FM72" s="14">
        <f t="shared" si="178"/>
        <v>3</v>
      </c>
      <c r="FN72" s="14" t="str">
        <f t="shared" si="163"/>
        <v/>
      </c>
      <c r="FO72" s="14">
        <f t="shared" si="164"/>
        <v>41</v>
      </c>
      <c r="FP72" s="14">
        <f t="shared" si="179"/>
        <v>0</v>
      </c>
      <c r="FQ72" s="14">
        <f t="shared" si="180"/>
        <v>20</v>
      </c>
      <c r="FR72" s="14">
        <f t="shared" si="181"/>
        <v>250</v>
      </c>
      <c r="FS72" s="14">
        <f t="shared" si="182"/>
        <v>0</v>
      </c>
      <c r="FT72" s="14">
        <f t="shared" si="183"/>
        <v>2</v>
      </c>
      <c r="FU72" s="14">
        <f t="shared" si="184"/>
        <v>21</v>
      </c>
      <c r="FV72" s="14">
        <f t="shared" si="165"/>
        <v>1024</v>
      </c>
      <c r="FW72" s="14">
        <f t="shared" si="166"/>
        <v>3</v>
      </c>
      <c r="FX72" s="14">
        <f t="shared" si="167"/>
        <v>1024</v>
      </c>
      <c r="FY72" s="25" t="str">
        <f t="shared" si="185"/>
        <v>icon_2002103</v>
      </c>
      <c r="FZ72" s="30"/>
      <c r="GA72" s="30"/>
      <c r="GC72" s="14">
        <f t="shared" si="168"/>
        <v>2</v>
      </c>
      <c r="GD72" s="14">
        <f t="shared" si="169"/>
        <v>3</v>
      </c>
      <c r="GE72" s="14">
        <f t="shared" si="186"/>
        <v>41</v>
      </c>
      <c r="GF72" s="14" t="str">
        <f t="shared" si="170"/>
        <v>DefExt</v>
      </c>
      <c r="GG72" s="14">
        <f t="shared" si="187"/>
        <v>20</v>
      </c>
      <c r="GH72" s="14">
        <f t="shared" si="188"/>
        <v>2</v>
      </c>
      <c r="GI72" s="14" t="str">
        <f t="shared" si="171"/>
        <v>HPExt</v>
      </c>
      <c r="GJ72" s="14">
        <f t="shared" si="189"/>
        <v>250</v>
      </c>
      <c r="GK72" s="14">
        <f t="shared" si="190"/>
        <v>21</v>
      </c>
      <c r="GL72" s="14">
        <f t="shared" si="172"/>
        <v>20240</v>
      </c>
      <c r="GM72" s="14">
        <f t="shared" si="191"/>
        <v>3</v>
      </c>
      <c r="GN72" s="14">
        <f t="shared" si="192"/>
        <v>1024</v>
      </c>
      <c r="GO72" s="25" t="s">
        <v>1471</v>
      </c>
      <c r="GP72" s="14">
        <f t="shared" si="173"/>
        <v>80</v>
      </c>
      <c r="GS72" s="30"/>
      <c r="GT72" s="30"/>
      <c r="GU72" s="30"/>
      <c r="GV72" s="30"/>
      <c r="GW72" s="13">
        <v>67</v>
      </c>
      <c r="GX72" s="14">
        <f t="shared" si="193"/>
        <v>21</v>
      </c>
      <c r="GY72" s="14">
        <f t="shared" si="194"/>
        <v>1</v>
      </c>
      <c r="GZ72" s="14">
        <f t="shared" si="195"/>
        <v>1</v>
      </c>
      <c r="HA72" s="14">
        <f t="shared" si="196"/>
        <v>210641</v>
      </c>
      <c r="HB72" s="14" t="str">
        <f t="shared" si="197"/>
        <v>100级守护灵の攻击套 : 属性-1</v>
      </c>
      <c r="HC72" s="14" t="s">
        <v>1396</v>
      </c>
      <c r="HD72" s="14">
        <f t="shared" si="198"/>
        <v>1</v>
      </c>
      <c r="HE72" s="14">
        <f t="shared" si="199"/>
        <v>2</v>
      </c>
      <c r="HF72" s="14" t="str">
        <f t="shared" si="200"/>
        <v>AtkExt</v>
      </c>
      <c r="HG72" s="14">
        <f t="shared" si="201"/>
        <v>2200</v>
      </c>
      <c r="HH72" s="30"/>
      <c r="HI72" s="30"/>
      <c r="HK72" s="13">
        <v>67</v>
      </c>
      <c r="HL72" s="14">
        <f t="shared" si="202"/>
        <v>3</v>
      </c>
      <c r="HM72" s="14">
        <f t="shared" si="203"/>
        <v>1</v>
      </c>
      <c r="HN72" s="14">
        <f t="shared" si="204"/>
        <v>3</v>
      </c>
      <c r="HO72" s="14">
        <f t="shared" si="205"/>
        <v>4</v>
      </c>
      <c r="HP72" s="14" t="str">
        <f t="shared" si="206"/>
        <v>50级寄灵人洗练-Q4-7</v>
      </c>
      <c r="HQ72" s="14">
        <f t="shared" si="207"/>
        <v>1034</v>
      </c>
      <c r="HR72" s="14">
        <f t="shared" si="208"/>
        <v>7</v>
      </c>
      <c r="HS72" s="14">
        <f t="shared" si="209"/>
        <v>500</v>
      </c>
      <c r="HT72" s="14" t="str">
        <f t="shared" si="210"/>
        <v>Crit</v>
      </c>
      <c r="HU72" s="14">
        <f t="shared" si="211"/>
        <v>1.0999999999999999E-2</v>
      </c>
      <c r="HV72" s="14">
        <f t="shared" si="212"/>
        <v>0.03</v>
      </c>
    </row>
    <row r="73" spans="1:230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S73" s="30"/>
      <c r="ET73" s="30"/>
      <c r="EU73" s="13">
        <v>68</v>
      </c>
      <c r="EV73" s="14">
        <f t="shared" si="174"/>
        <v>1</v>
      </c>
      <c r="EW73" s="14">
        <f t="shared" si="175"/>
        <v>68</v>
      </c>
      <c r="EX73" s="14">
        <f t="shared" si="176"/>
        <v>9</v>
      </c>
      <c r="EY73" s="14">
        <f t="shared" si="151"/>
        <v>40</v>
      </c>
      <c r="EZ73" s="14">
        <f t="shared" si="152"/>
        <v>2</v>
      </c>
      <c r="FA73" s="14">
        <f t="shared" si="153"/>
        <v>30</v>
      </c>
      <c r="FB73" s="14">
        <f t="shared" si="154"/>
        <v>4</v>
      </c>
      <c r="FC73" s="14">
        <f t="shared" si="155"/>
        <v>4</v>
      </c>
      <c r="FD73" s="14">
        <f t="shared" si="156"/>
        <v>4</v>
      </c>
      <c r="FE73" s="14" t="b">
        <f t="shared" si="177"/>
        <v>0</v>
      </c>
      <c r="FF73" s="14">
        <f t="shared" si="157"/>
        <v>2002404</v>
      </c>
      <c r="FG73" s="13" t="str">
        <f t="shared" si="158"/>
        <v>30级-史诗寄灵人の裤子</v>
      </c>
      <c r="FH73" s="14">
        <f t="shared" si="159"/>
        <v>1</v>
      </c>
      <c r="FI73" s="14">
        <f t="shared" si="160"/>
        <v>4</v>
      </c>
      <c r="FJ73" s="14">
        <f t="shared" si="161"/>
        <v>30</v>
      </c>
      <c r="FK73" s="14">
        <v>1</v>
      </c>
      <c r="FL73" s="14">
        <f t="shared" si="162"/>
        <v>2</v>
      </c>
      <c r="FM73" s="14">
        <f t="shared" si="178"/>
        <v>4</v>
      </c>
      <c r="FN73" s="14" t="str">
        <f t="shared" si="163"/>
        <v/>
      </c>
      <c r="FO73" s="14">
        <f t="shared" si="164"/>
        <v>30</v>
      </c>
      <c r="FP73" s="14">
        <f t="shared" si="179"/>
        <v>0</v>
      </c>
      <c r="FQ73" s="14">
        <f t="shared" si="180"/>
        <v>40</v>
      </c>
      <c r="FR73" s="14">
        <f t="shared" si="181"/>
        <v>0</v>
      </c>
      <c r="FS73" s="14">
        <f t="shared" si="182"/>
        <v>0</v>
      </c>
      <c r="FT73" s="14">
        <f t="shared" si="183"/>
        <v>3</v>
      </c>
      <c r="FU73" s="14">
        <f t="shared" si="184"/>
        <v>0</v>
      </c>
      <c r="FV73" s="14">
        <f t="shared" si="165"/>
        <v>1024</v>
      </c>
      <c r="FW73" s="14">
        <f t="shared" si="166"/>
        <v>3</v>
      </c>
      <c r="FX73" s="14">
        <f t="shared" si="167"/>
        <v>1024</v>
      </c>
      <c r="FY73" s="25" t="str">
        <f t="shared" si="185"/>
        <v>icon_2002104</v>
      </c>
      <c r="FZ73" s="30"/>
      <c r="GA73" s="30"/>
      <c r="GC73" s="14">
        <f t="shared" si="168"/>
        <v>2</v>
      </c>
      <c r="GD73" s="14">
        <f t="shared" si="169"/>
        <v>0</v>
      </c>
      <c r="GE73" s="14">
        <f t="shared" si="186"/>
        <v>30</v>
      </c>
      <c r="GF73" s="14" t="str">
        <f t="shared" si="170"/>
        <v>DefExt</v>
      </c>
      <c r="GG73" s="14">
        <f t="shared" si="187"/>
        <v>40</v>
      </c>
      <c r="GH73" s="14">
        <f t="shared" si="188"/>
        <v>3</v>
      </c>
      <c r="GI73" s="14" t="str">
        <f t="shared" si="171"/>
        <v/>
      </c>
      <c r="GJ73" s="14" t="str">
        <f t="shared" si="189"/>
        <v/>
      </c>
      <c r="GK73" s="14" t="str">
        <f t="shared" si="190"/>
        <v/>
      </c>
      <c r="GL73" s="14">
        <f t="shared" si="172"/>
        <v>20240</v>
      </c>
      <c r="GM73" s="14">
        <f t="shared" si="191"/>
        <v>3</v>
      </c>
      <c r="GN73" s="14">
        <f t="shared" si="192"/>
        <v>1024</v>
      </c>
      <c r="GO73" s="25" t="s">
        <v>1471</v>
      </c>
      <c r="GP73" s="14">
        <f t="shared" si="173"/>
        <v>80</v>
      </c>
      <c r="GS73" s="30"/>
      <c r="GT73" s="30"/>
      <c r="GU73" s="30"/>
      <c r="GV73" s="30"/>
      <c r="GW73" s="13">
        <v>68</v>
      </c>
      <c r="GX73" s="14">
        <f t="shared" si="193"/>
        <v>21</v>
      </c>
      <c r="GY73" s="14">
        <f t="shared" si="194"/>
        <v>2</v>
      </c>
      <c r="GZ73" s="14">
        <f t="shared" si="195"/>
        <v>3</v>
      </c>
      <c r="HA73" s="14">
        <f t="shared" si="196"/>
        <v>210641</v>
      </c>
      <c r="HB73" s="14" t="str">
        <f t="shared" si="197"/>
        <v>100级守护灵の攻击套 : 属性-2</v>
      </c>
      <c r="HC73" s="14" t="s">
        <v>1396</v>
      </c>
      <c r="HD73" s="14">
        <f t="shared" si="198"/>
        <v>2</v>
      </c>
      <c r="HE73" s="14">
        <f t="shared" si="199"/>
        <v>3</v>
      </c>
      <c r="HF73" s="14" t="str">
        <f t="shared" si="200"/>
        <v>HPExt</v>
      </c>
      <c r="HG73" s="14">
        <f t="shared" si="201"/>
        <v>22000</v>
      </c>
      <c r="HH73" s="30"/>
      <c r="HI73" s="30"/>
      <c r="HK73" s="13">
        <v>68</v>
      </c>
      <c r="HL73" s="14">
        <f t="shared" si="202"/>
        <v>3</v>
      </c>
      <c r="HM73" s="14">
        <f t="shared" si="203"/>
        <v>1</v>
      </c>
      <c r="HN73" s="14">
        <f t="shared" si="204"/>
        <v>3</v>
      </c>
      <c r="HO73" s="14">
        <f t="shared" si="205"/>
        <v>4</v>
      </c>
      <c r="HP73" s="14" t="str">
        <f t="shared" si="206"/>
        <v>50级寄灵人洗练-Q4-8</v>
      </c>
      <c r="HQ73" s="14">
        <f t="shared" si="207"/>
        <v>1034</v>
      </c>
      <c r="HR73" s="14">
        <f t="shared" si="208"/>
        <v>8</v>
      </c>
      <c r="HS73" s="14">
        <f t="shared" si="209"/>
        <v>500</v>
      </c>
      <c r="HT73" s="14" t="str">
        <f t="shared" si="210"/>
        <v>CritRate</v>
      </c>
      <c r="HU73" s="14">
        <f t="shared" si="211"/>
        <v>2.8000000000000001E-2</v>
      </c>
      <c r="HV73" s="14">
        <f t="shared" si="212"/>
        <v>0.08</v>
      </c>
    </row>
    <row r="74" spans="1:230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S74" s="30"/>
      <c r="ET74" s="30"/>
      <c r="EU74" s="13">
        <v>69</v>
      </c>
      <c r="EV74" s="14">
        <f t="shared" si="174"/>
        <v>1</v>
      </c>
      <c r="EW74" s="14">
        <f t="shared" si="175"/>
        <v>69</v>
      </c>
      <c r="EX74" s="14">
        <f t="shared" si="176"/>
        <v>9</v>
      </c>
      <c r="EY74" s="14">
        <f t="shared" si="151"/>
        <v>40</v>
      </c>
      <c r="EZ74" s="14">
        <f t="shared" si="152"/>
        <v>2</v>
      </c>
      <c r="FA74" s="14">
        <f t="shared" si="153"/>
        <v>30</v>
      </c>
      <c r="FB74" s="14">
        <f t="shared" si="154"/>
        <v>4</v>
      </c>
      <c r="FC74" s="14">
        <f t="shared" si="155"/>
        <v>5</v>
      </c>
      <c r="FD74" s="14">
        <f t="shared" si="156"/>
        <v>5</v>
      </c>
      <c r="FE74" s="14" t="b">
        <f t="shared" si="177"/>
        <v>0</v>
      </c>
      <c r="FF74" s="14">
        <f t="shared" si="157"/>
        <v>2002405</v>
      </c>
      <c r="FG74" s="13" t="str">
        <f t="shared" si="158"/>
        <v>30级-史诗寄灵人の鞋子</v>
      </c>
      <c r="FH74" s="14">
        <f t="shared" si="159"/>
        <v>1</v>
      </c>
      <c r="FI74" s="14">
        <f t="shared" si="160"/>
        <v>4</v>
      </c>
      <c r="FJ74" s="14">
        <f t="shared" si="161"/>
        <v>30</v>
      </c>
      <c r="FK74" s="14">
        <v>1</v>
      </c>
      <c r="FL74" s="14">
        <f t="shared" si="162"/>
        <v>2</v>
      </c>
      <c r="FM74" s="14">
        <f t="shared" si="178"/>
        <v>5</v>
      </c>
      <c r="FN74" s="14" t="str">
        <f t="shared" si="163"/>
        <v/>
      </c>
      <c r="FO74" s="14">
        <f t="shared" si="164"/>
        <v>43</v>
      </c>
      <c r="FP74" s="14">
        <f t="shared" si="179"/>
        <v>0</v>
      </c>
      <c r="FQ74" s="14">
        <f t="shared" si="180"/>
        <v>0</v>
      </c>
      <c r="FR74" s="14">
        <f t="shared" si="181"/>
        <v>500</v>
      </c>
      <c r="FS74" s="14">
        <f t="shared" si="182"/>
        <v>0</v>
      </c>
      <c r="FT74" s="14">
        <f t="shared" si="183"/>
        <v>0</v>
      </c>
      <c r="FU74" s="14">
        <f t="shared" si="184"/>
        <v>43</v>
      </c>
      <c r="FV74" s="14">
        <f t="shared" si="165"/>
        <v>1024</v>
      </c>
      <c r="FW74" s="14">
        <f t="shared" si="166"/>
        <v>3</v>
      </c>
      <c r="FX74" s="14">
        <f t="shared" si="167"/>
        <v>1024</v>
      </c>
      <c r="FY74" s="25" t="str">
        <f t="shared" si="185"/>
        <v>icon_2002105</v>
      </c>
      <c r="FZ74" s="30"/>
      <c r="GA74" s="30"/>
      <c r="GC74" s="14">
        <f t="shared" si="168"/>
        <v>3</v>
      </c>
      <c r="GD74" s="14">
        <f t="shared" si="169"/>
        <v>0</v>
      </c>
      <c r="GE74" s="14">
        <f t="shared" si="186"/>
        <v>43</v>
      </c>
      <c r="GF74" s="14" t="str">
        <f t="shared" si="170"/>
        <v>HPExt</v>
      </c>
      <c r="GG74" s="14">
        <f t="shared" si="187"/>
        <v>500</v>
      </c>
      <c r="GH74" s="14">
        <f t="shared" si="188"/>
        <v>43</v>
      </c>
      <c r="GI74" s="14" t="str">
        <f t="shared" si="171"/>
        <v/>
      </c>
      <c r="GJ74" s="14" t="str">
        <f t="shared" si="189"/>
        <v/>
      </c>
      <c r="GK74" s="14" t="str">
        <f t="shared" si="190"/>
        <v/>
      </c>
      <c r="GL74" s="14">
        <f t="shared" si="172"/>
        <v>20240</v>
      </c>
      <c r="GM74" s="14">
        <f t="shared" si="191"/>
        <v>3</v>
      </c>
      <c r="GN74" s="14">
        <f t="shared" si="192"/>
        <v>1024</v>
      </c>
      <c r="GO74" s="25" t="s">
        <v>1471</v>
      </c>
      <c r="GP74" s="14">
        <f t="shared" si="173"/>
        <v>80</v>
      </c>
      <c r="GS74" s="30"/>
      <c r="GT74" s="30"/>
      <c r="GU74" s="30"/>
      <c r="GV74" s="30"/>
      <c r="GW74" s="13">
        <v>69</v>
      </c>
      <c r="GX74" s="14">
        <f t="shared" si="193"/>
        <v>21</v>
      </c>
      <c r="GY74" s="14">
        <f t="shared" si="194"/>
        <v>3</v>
      </c>
      <c r="GZ74" s="14">
        <f t="shared" si="195"/>
        <v>4</v>
      </c>
      <c r="HA74" s="14">
        <f t="shared" si="196"/>
        <v>210641</v>
      </c>
      <c r="HB74" s="14" t="str">
        <f t="shared" si="197"/>
        <v>100级守护灵の攻击套 : 属性-3</v>
      </c>
      <c r="HC74" s="14" t="s">
        <v>1396</v>
      </c>
      <c r="HD74" s="14">
        <f t="shared" si="198"/>
        <v>3</v>
      </c>
      <c r="HE74" s="14">
        <f t="shared" si="199"/>
        <v>5</v>
      </c>
      <c r="HF74" s="14" t="str">
        <f t="shared" si="200"/>
        <v>AtkRate</v>
      </c>
      <c r="HG74" s="14">
        <f t="shared" si="201"/>
        <v>0.15</v>
      </c>
      <c r="HH74" s="30"/>
      <c r="HI74" s="30"/>
      <c r="HK74" s="13">
        <v>69</v>
      </c>
      <c r="HL74" s="14">
        <f t="shared" si="202"/>
        <v>3</v>
      </c>
      <c r="HM74" s="14">
        <f t="shared" si="203"/>
        <v>1</v>
      </c>
      <c r="HN74" s="14">
        <f t="shared" si="204"/>
        <v>3</v>
      </c>
      <c r="HO74" s="14">
        <f t="shared" si="205"/>
        <v>4</v>
      </c>
      <c r="HP74" s="14" t="str">
        <f t="shared" si="206"/>
        <v>50级寄灵人洗练-Q4-9</v>
      </c>
      <c r="HQ74" s="14">
        <f t="shared" si="207"/>
        <v>1034</v>
      </c>
      <c r="HR74" s="14">
        <f t="shared" si="208"/>
        <v>9</v>
      </c>
      <c r="HS74" s="14">
        <f t="shared" si="209"/>
        <v>500</v>
      </c>
      <c r="HT74" s="14" t="str">
        <f t="shared" si="210"/>
        <v>DefIgnor</v>
      </c>
      <c r="HU74" s="14">
        <f t="shared" si="211"/>
        <v>1.0999999999999999E-2</v>
      </c>
      <c r="HV74" s="14">
        <f t="shared" si="212"/>
        <v>0.03</v>
      </c>
    </row>
    <row r="75" spans="1:230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S75" s="30"/>
      <c r="ET75" s="30"/>
      <c r="EU75" s="13">
        <v>70</v>
      </c>
      <c r="EV75" s="14">
        <f t="shared" si="174"/>
        <v>1</v>
      </c>
      <c r="EW75" s="14">
        <f t="shared" si="175"/>
        <v>70</v>
      </c>
      <c r="EX75" s="14">
        <f t="shared" si="176"/>
        <v>9</v>
      </c>
      <c r="EY75" s="14">
        <f t="shared" si="151"/>
        <v>40</v>
      </c>
      <c r="EZ75" s="14">
        <f t="shared" si="152"/>
        <v>2</v>
      </c>
      <c r="FA75" s="14">
        <f t="shared" si="153"/>
        <v>30</v>
      </c>
      <c r="FB75" s="14">
        <f t="shared" si="154"/>
        <v>4</v>
      </c>
      <c r="FC75" s="14">
        <f t="shared" si="155"/>
        <v>6</v>
      </c>
      <c r="FD75" s="14">
        <f t="shared" si="156"/>
        <v>6</v>
      </c>
      <c r="FE75" s="14" t="b">
        <f t="shared" si="177"/>
        <v>0</v>
      </c>
      <c r="FF75" s="14">
        <f t="shared" si="157"/>
        <v>2002406</v>
      </c>
      <c r="FG75" s="13" t="str">
        <f t="shared" si="158"/>
        <v>30级-史诗寄灵人の护手</v>
      </c>
      <c r="FH75" s="14">
        <f t="shared" si="159"/>
        <v>1</v>
      </c>
      <c r="FI75" s="14">
        <f t="shared" si="160"/>
        <v>4</v>
      </c>
      <c r="FJ75" s="14">
        <f t="shared" si="161"/>
        <v>30</v>
      </c>
      <c r="FK75" s="14">
        <v>1</v>
      </c>
      <c r="FL75" s="14">
        <f t="shared" si="162"/>
        <v>2</v>
      </c>
      <c r="FM75" s="14">
        <f t="shared" si="178"/>
        <v>6</v>
      </c>
      <c r="FN75" s="14" t="str">
        <f t="shared" si="163"/>
        <v/>
      </c>
      <c r="FO75" s="14">
        <f t="shared" si="164"/>
        <v>43</v>
      </c>
      <c r="FP75" s="14">
        <f t="shared" si="179"/>
        <v>0</v>
      </c>
      <c r="FQ75" s="14">
        <f t="shared" si="180"/>
        <v>0</v>
      </c>
      <c r="FR75" s="14">
        <f t="shared" si="181"/>
        <v>500</v>
      </c>
      <c r="FS75" s="14">
        <f t="shared" si="182"/>
        <v>0</v>
      </c>
      <c r="FT75" s="14">
        <f t="shared" si="183"/>
        <v>0</v>
      </c>
      <c r="FU75" s="14">
        <f t="shared" si="184"/>
        <v>43</v>
      </c>
      <c r="FV75" s="14">
        <f t="shared" si="165"/>
        <v>1024</v>
      </c>
      <c r="FW75" s="14">
        <f t="shared" si="166"/>
        <v>3</v>
      </c>
      <c r="FX75" s="14">
        <f t="shared" si="167"/>
        <v>1024</v>
      </c>
      <c r="FY75" s="25" t="str">
        <f t="shared" si="185"/>
        <v>icon_2002106</v>
      </c>
      <c r="FZ75" s="30"/>
      <c r="GA75" s="30"/>
      <c r="GC75" s="14">
        <f t="shared" si="168"/>
        <v>3</v>
      </c>
      <c r="GD75" s="14">
        <f t="shared" si="169"/>
        <v>0</v>
      </c>
      <c r="GE75" s="14">
        <f t="shared" si="186"/>
        <v>43</v>
      </c>
      <c r="GF75" s="14" t="str">
        <f t="shared" si="170"/>
        <v>HPExt</v>
      </c>
      <c r="GG75" s="14">
        <f t="shared" si="187"/>
        <v>500</v>
      </c>
      <c r="GH75" s="14">
        <f t="shared" si="188"/>
        <v>43</v>
      </c>
      <c r="GI75" s="14" t="str">
        <f t="shared" si="171"/>
        <v/>
      </c>
      <c r="GJ75" s="14" t="str">
        <f t="shared" si="189"/>
        <v/>
      </c>
      <c r="GK75" s="14" t="str">
        <f t="shared" si="190"/>
        <v/>
      </c>
      <c r="GL75" s="14">
        <f t="shared" si="172"/>
        <v>20240</v>
      </c>
      <c r="GM75" s="14">
        <f t="shared" si="191"/>
        <v>3</v>
      </c>
      <c r="GN75" s="14">
        <f t="shared" si="192"/>
        <v>1024</v>
      </c>
      <c r="GO75" s="25" t="s">
        <v>1471</v>
      </c>
      <c r="GP75" s="14">
        <f t="shared" si="173"/>
        <v>80</v>
      </c>
      <c r="GS75" s="30"/>
      <c r="GT75" s="30"/>
      <c r="GU75" s="30"/>
      <c r="GV75" s="30"/>
      <c r="GW75" s="13">
        <v>70</v>
      </c>
      <c r="GX75" s="14">
        <f t="shared" si="193"/>
        <v>22</v>
      </c>
      <c r="GY75" s="14">
        <f t="shared" si="194"/>
        <v>1</v>
      </c>
      <c r="GZ75" s="14">
        <f t="shared" si="195"/>
        <v>2</v>
      </c>
      <c r="HA75" s="14">
        <f t="shared" si="196"/>
        <v>210742</v>
      </c>
      <c r="HB75" s="14" t="str">
        <f t="shared" si="197"/>
        <v>110级守护灵の防御套 : 属性-1</v>
      </c>
      <c r="HC75" s="14" t="s">
        <v>1396</v>
      </c>
      <c r="HD75" s="14">
        <f t="shared" si="198"/>
        <v>1</v>
      </c>
      <c r="HE75" s="14">
        <f t="shared" si="199"/>
        <v>2</v>
      </c>
      <c r="HF75" s="14" t="str">
        <f t="shared" si="200"/>
        <v>DefExt</v>
      </c>
      <c r="HG75" s="14">
        <f t="shared" si="201"/>
        <v>1350</v>
      </c>
      <c r="HH75" s="30"/>
      <c r="HI75" s="30"/>
      <c r="HK75" s="13">
        <v>70</v>
      </c>
      <c r="HL75" s="14">
        <f t="shared" si="202"/>
        <v>3</v>
      </c>
      <c r="HM75" s="14">
        <f t="shared" si="203"/>
        <v>1</v>
      </c>
      <c r="HN75" s="14">
        <f t="shared" si="204"/>
        <v>3</v>
      </c>
      <c r="HO75" s="14">
        <f t="shared" si="205"/>
        <v>4</v>
      </c>
      <c r="HP75" s="14" t="str">
        <f t="shared" si="206"/>
        <v>50级寄灵人洗练-Q4-10</v>
      </c>
      <c r="HQ75" s="14">
        <f t="shared" si="207"/>
        <v>1034</v>
      </c>
      <c r="HR75" s="14">
        <f t="shared" si="208"/>
        <v>10</v>
      </c>
      <c r="HS75" s="14">
        <f t="shared" si="209"/>
        <v>500</v>
      </c>
      <c r="HT75" s="14" t="str">
        <f t="shared" si="210"/>
        <v>Block</v>
      </c>
      <c r="HU75" s="14">
        <f t="shared" si="211"/>
        <v>1.0999999999999999E-2</v>
      </c>
      <c r="HV75" s="14">
        <f t="shared" si="212"/>
        <v>0.03</v>
      </c>
    </row>
    <row r="76" spans="1:230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S76" s="30"/>
      <c r="ET76" s="30"/>
      <c r="EU76" s="13">
        <v>71</v>
      </c>
      <c r="EV76" s="14">
        <f t="shared" si="174"/>
        <v>1</v>
      </c>
      <c r="EW76" s="14">
        <f t="shared" si="175"/>
        <v>71</v>
      </c>
      <c r="EX76" s="14">
        <f t="shared" si="176"/>
        <v>9</v>
      </c>
      <c r="EY76" s="14">
        <f t="shared" si="151"/>
        <v>40</v>
      </c>
      <c r="EZ76" s="14">
        <f t="shared" si="152"/>
        <v>2</v>
      </c>
      <c r="FA76" s="14">
        <f t="shared" si="153"/>
        <v>30</v>
      </c>
      <c r="FB76" s="14">
        <f t="shared" si="154"/>
        <v>4</v>
      </c>
      <c r="FC76" s="14">
        <f t="shared" si="155"/>
        <v>7</v>
      </c>
      <c r="FD76" s="14">
        <f t="shared" si="156"/>
        <v>7</v>
      </c>
      <c r="FE76" s="14" t="b">
        <f t="shared" si="177"/>
        <v>0</v>
      </c>
      <c r="FF76" s="14">
        <f t="shared" si="157"/>
        <v>2002407</v>
      </c>
      <c r="FG76" s="13" t="str">
        <f t="shared" si="158"/>
        <v>30级-史诗寄灵人の项链</v>
      </c>
      <c r="FH76" s="14">
        <f t="shared" si="159"/>
        <v>1</v>
      </c>
      <c r="FI76" s="14">
        <f t="shared" si="160"/>
        <v>4</v>
      </c>
      <c r="FJ76" s="14">
        <f t="shared" si="161"/>
        <v>30</v>
      </c>
      <c r="FK76" s="14">
        <v>1</v>
      </c>
      <c r="FL76" s="14">
        <f t="shared" si="162"/>
        <v>2</v>
      </c>
      <c r="FM76" s="14">
        <f t="shared" si="178"/>
        <v>7</v>
      </c>
      <c r="FN76" s="14" t="str">
        <f t="shared" si="163"/>
        <v/>
      </c>
      <c r="FO76" s="14">
        <f t="shared" si="164"/>
        <v>55</v>
      </c>
      <c r="FP76" s="14">
        <f t="shared" si="179"/>
        <v>50</v>
      </c>
      <c r="FQ76" s="14">
        <f t="shared" si="180"/>
        <v>35</v>
      </c>
      <c r="FR76" s="14">
        <f t="shared" si="181"/>
        <v>0</v>
      </c>
      <c r="FS76" s="14">
        <f t="shared" si="182"/>
        <v>5</v>
      </c>
      <c r="FT76" s="14">
        <f t="shared" si="183"/>
        <v>3</v>
      </c>
      <c r="FU76" s="14">
        <f t="shared" si="184"/>
        <v>0</v>
      </c>
      <c r="FV76" s="14">
        <f t="shared" si="165"/>
        <v>1024</v>
      </c>
      <c r="FW76" s="14">
        <f t="shared" si="166"/>
        <v>3</v>
      </c>
      <c r="FX76" s="14">
        <f t="shared" si="167"/>
        <v>1024</v>
      </c>
      <c r="FY76" s="25" t="str">
        <f t="shared" si="185"/>
        <v>icon_2002107</v>
      </c>
      <c r="FZ76" s="30"/>
      <c r="GA76" s="30"/>
      <c r="GC76" s="14">
        <f t="shared" si="168"/>
        <v>1</v>
      </c>
      <c r="GD76" s="14">
        <f t="shared" si="169"/>
        <v>2</v>
      </c>
      <c r="GE76" s="14">
        <f t="shared" si="186"/>
        <v>55</v>
      </c>
      <c r="GF76" s="14" t="str">
        <f t="shared" si="170"/>
        <v>AtkExt</v>
      </c>
      <c r="GG76" s="14">
        <f t="shared" si="187"/>
        <v>50</v>
      </c>
      <c r="GH76" s="14">
        <f t="shared" si="188"/>
        <v>5</v>
      </c>
      <c r="GI76" s="14" t="str">
        <f t="shared" si="171"/>
        <v>DefExt</v>
      </c>
      <c r="GJ76" s="14">
        <f t="shared" si="189"/>
        <v>35</v>
      </c>
      <c r="GK76" s="14">
        <f t="shared" si="190"/>
        <v>3</v>
      </c>
      <c r="GL76" s="14">
        <f t="shared" si="172"/>
        <v>20240</v>
      </c>
      <c r="GM76" s="14">
        <f t="shared" si="191"/>
        <v>3</v>
      </c>
      <c r="GN76" s="14">
        <f t="shared" si="192"/>
        <v>1024</v>
      </c>
      <c r="GO76" s="25" t="s">
        <v>1471</v>
      </c>
      <c r="GP76" s="14">
        <f t="shared" si="173"/>
        <v>120</v>
      </c>
      <c r="GS76" s="30"/>
      <c r="GT76" s="30"/>
      <c r="GU76" s="30"/>
      <c r="GV76" s="30"/>
      <c r="GW76" s="13">
        <v>71</v>
      </c>
      <c r="GX76" s="14">
        <f t="shared" si="193"/>
        <v>22</v>
      </c>
      <c r="GY76" s="14">
        <f t="shared" si="194"/>
        <v>2</v>
      </c>
      <c r="GZ76" s="14">
        <f t="shared" si="195"/>
        <v>3</v>
      </c>
      <c r="HA76" s="14">
        <f t="shared" si="196"/>
        <v>210742</v>
      </c>
      <c r="HB76" s="14" t="str">
        <f t="shared" si="197"/>
        <v>110级守护灵の防御套 : 属性-2</v>
      </c>
      <c r="HC76" s="14" t="s">
        <v>1396</v>
      </c>
      <c r="HD76" s="14">
        <f t="shared" si="198"/>
        <v>2</v>
      </c>
      <c r="HE76" s="14">
        <f t="shared" si="199"/>
        <v>3</v>
      </c>
      <c r="HF76" s="14" t="str">
        <f t="shared" si="200"/>
        <v>HPExt</v>
      </c>
      <c r="HG76" s="14">
        <f t="shared" si="201"/>
        <v>27000</v>
      </c>
      <c r="HH76" s="30"/>
      <c r="HI76" s="30"/>
      <c r="HK76" s="13">
        <v>71</v>
      </c>
      <c r="HL76" s="14">
        <f t="shared" si="202"/>
        <v>3</v>
      </c>
      <c r="HM76" s="14">
        <f t="shared" si="203"/>
        <v>1</v>
      </c>
      <c r="HN76" s="14">
        <f t="shared" si="204"/>
        <v>3</v>
      </c>
      <c r="HO76" s="14">
        <f t="shared" si="205"/>
        <v>4</v>
      </c>
      <c r="HP76" s="14" t="str">
        <f t="shared" si="206"/>
        <v>50级寄灵人洗练-Q4-11</v>
      </c>
      <c r="HQ76" s="14">
        <f t="shared" si="207"/>
        <v>1034</v>
      </c>
      <c r="HR76" s="14">
        <f t="shared" si="208"/>
        <v>11</v>
      </c>
      <c r="HS76" s="14">
        <f t="shared" si="209"/>
        <v>500</v>
      </c>
      <c r="HT76" s="14" t="str">
        <f t="shared" si="210"/>
        <v>EffectHit</v>
      </c>
      <c r="HU76" s="14">
        <f t="shared" si="211"/>
        <v>1.7999999999999999E-2</v>
      </c>
      <c r="HV76" s="14">
        <f t="shared" si="212"/>
        <v>0.05</v>
      </c>
    </row>
    <row r="77" spans="1:230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S77" s="30"/>
      <c r="ET77" s="30"/>
      <c r="EU77" s="13">
        <v>72</v>
      </c>
      <c r="EV77" s="14">
        <f t="shared" si="174"/>
        <v>1</v>
      </c>
      <c r="EW77" s="14">
        <f t="shared" si="175"/>
        <v>72</v>
      </c>
      <c r="EX77" s="14">
        <f t="shared" si="176"/>
        <v>9</v>
      </c>
      <c r="EY77" s="14">
        <f t="shared" si="151"/>
        <v>40</v>
      </c>
      <c r="EZ77" s="14">
        <f t="shared" si="152"/>
        <v>2</v>
      </c>
      <c r="FA77" s="14">
        <f t="shared" si="153"/>
        <v>30</v>
      </c>
      <c r="FB77" s="14">
        <f t="shared" si="154"/>
        <v>4</v>
      </c>
      <c r="FC77" s="14">
        <f t="shared" si="155"/>
        <v>8</v>
      </c>
      <c r="FD77" s="14">
        <f t="shared" si="156"/>
        <v>8</v>
      </c>
      <c r="FE77" s="14" t="b">
        <f t="shared" si="177"/>
        <v>0</v>
      </c>
      <c r="FF77" s="14">
        <f t="shared" si="157"/>
        <v>2002408</v>
      </c>
      <c r="FG77" s="13" t="str">
        <f t="shared" si="158"/>
        <v>30级-史诗寄灵人の戒指</v>
      </c>
      <c r="FH77" s="14">
        <f t="shared" si="159"/>
        <v>1</v>
      </c>
      <c r="FI77" s="14">
        <f t="shared" si="160"/>
        <v>4</v>
      </c>
      <c r="FJ77" s="14">
        <f t="shared" si="161"/>
        <v>30</v>
      </c>
      <c r="FK77" s="14">
        <v>1</v>
      </c>
      <c r="FL77" s="14">
        <f t="shared" si="162"/>
        <v>2</v>
      </c>
      <c r="FM77" s="14">
        <f t="shared" si="178"/>
        <v>8</v>
      </c>
      <c r="FN77" s="14" t="str">
        <f t="shared" si="163"/>
        <v/>
      </c>
      <c r="FO77" s="14">
        <f t="shared" si="164"/>
        <v>61</v>
      </c>
      <c r="FP77" s="14">
        <f t="shared" si="179"/>
        <v>50</v>
      </c>
      <c r="FQ77" s="14">
        <f t="shared" si="180"/>
        <v>0</v>
      </c>
      <c r="FR77" s="14">
        <f t="shared" si="181"/>
        <v>420</v>
      </c>
      <c r="FS77" s="14">
        <f t="shared" si="182"/>
        <v>5</v>
      </c>
      <c r="FT77" s="14">
        <f t="shared" si="183"/>
        <v>0</v>
      </c>
      <c r="FU77" s="14">
        <f t="shared" si="184"/>
        <v>36</v>
      </c>
      <c r="FV77" s="14">
        <f t="shared" si="165"/>
        <v>1024</v>
      </c>
      <c r="FW77" s="14">
        <f t="shared" si="166"/>
        <v>3</v>
      </c>
      <c r="FX77" s="14">
        <f t="shared" si="167"/>
        <v>1024</v>
      </c>
      <c r="FY77" s="25" t="str">
        <f t="shared" si="185"/>
        <v>icon_2002108</v>
      </c>
      <c r="FZ77" s="30"/>
      <c r="GA77" s="30"/>
      <c r="GC77" s="14">
        <f t="shared" si="168"/>
        <v>1</v>
      </c>
      <c r="GD77" s="14">
        <f t="shared" si="169"/>
        <v>3</v>
      </c>
      <c r="GE77" s="14">
        <f t="shared" si="186"/>
        <v>61</v>
      </c>
      <c r="GF77" s="14" t="str">
        <f t="shared" si="170"/>
        <v>AtkExt</v>
      </c>
      <c r="GG77" s="14">
        <f t="shared" si="187"/>
        <v>50</v>
      </c>
      <c r="GH77" s="14">
        <f t="shared" si="188"/>
        <v>5</v>
      </c>
      <c r="GI77" s="14" t="str">
        <f t="shared" si="171"/>
        <v>HPExt</v>
      </c>
      <c r="GJ77" s="14">
        <f t="shared" si="189"/>
        <v>420</v>
      </c>
      <c r="GK77" s="14">
        <f t="shared" si="190"/>
        <v>36</v>
      </c>
      <c r="GL77" s="14">
        <f t="shared" si="172"/>
        <v>20240</v>
      </c>
      <c r="GM77" s="14">
        <f t="shared" si="191"/>
        <v>3</v>
      </c>
      <c r="GN77" s="14">
        <f t="shared" si="192"/>
        <v>1024</v>
      </c>
      <c r="GO77" s="25" t="s">
        <v>1471</v>
      </c>
      <c r="GP77" s="14">
        <f t="shared" si="173"/>
        <v>120</v>
      </c>
      <c r="GS77" s="30"/>
      <c r="GT77" s="30"/>
      <c r="GU77" s="30"/>
      <c r="GV77" s="30"/>
      <c r="GW77" s="13">
        <v>72</v>
      </c>
      <c r="GX77" s="14">
        <f t="shared" si="193"/>
        <v>22</v>
      </c>
      <c r="GY77" s="14">
        <f t="shared" si="194"/>
        <v>3</v>
      </c>
      <c r="GZ77" s="14">
        <f t="shared" si="195"/>
        <v>5</v>
      </c>
      <c r="HA77" s="14">
        <f t="shared" si="196"/>
        <v>210742</v>
      </c>
      <c r="HB77" s="14" t="str">
        <f t="shared" si="197"/>
        <v>110级守护灵の防御套 : 属性-3</v>
      </c>
      <c r="HC77" s="14" t="s">
        <v>1396</v>
      </c>
      <c r="HD77" s="14">
        <f t="shared" si="198"/>
        <v>3</v>
      </c>
      <c r="HE77" s="14">
        <f t="shared" si="199"/>
        <v>5</v>
      </c>
      <c r="HF77" s="14" t="str">
        <f t="shared" si="200"/>
        <v>DefRate</v>
      </c>
      <c r="HG77" s="14">
        <f t="shared" si="201"/>
        <v>0.15</v>
      </c>
      <c r="HH77" s="30"/>
      <c r="HI77" s="30"/>
      <c r="HK77" s="13">
        <v>72</v>
      </c>
      <c r="HL77" s="14">
        <f t="shared" si="202"/>
        <v>3</v>
      </c>
      <c r="HM77" s="14">
        <f t="shared" si="203"/>
        <v>1</v>
      </c>
      <c r="HN77" s="14">
        <f t="shared" si="204"/>
        <v>3</v>
      </c>
      <c r="HO77" s="14">
        <f t="shared" si="205"/>
        <v>4</v>
      </c>
      <c r="HP77" s="14" t="str">
        <f t="shared" si="206"/>
        <v>50级寄灵人洗练-Q4-12</v>
      </c>
      <c r="HQ77" s="14">
        <f t="shared" si="207"/>
        <v>1034</v>
      </c>
      <c r="HR77" s="14">
        <f t="shared" si="208"/>
        <v>12</v>
      </c>
      <c r="HS77" s="14">
        <f t="shared" si="209"/>
        <v>500</v>
      </c>
      <c r="HT77" s="14" t="str">
        <f t="shared" si="210"/>
        <v>EffectResist</v>
      </c>
      <c r="HU77" s="14">
        <f t="shared" si="211"/>
        <v>1.7999999999999999E-2</v>
      </c>
      <c r="HV77" s="14">
        <f t="shared" si="212"/>
        <v>0.05</v>
      </c>
    </row>
    <row r="78" spans="1:230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S78" s="30"/>
      <c r="ET78" s="30"/>
      <c r="EU78" s="13">
        <v>73</v>
      </c>
      <c r="EV78" s="14">
        <f t="shared" si="174"/>
        <v>1</v>
      </c>
      <c r="EW78" s="14">
        <f t="shared" si="175"/>
        <v>73</v>
      </c>
      <c r="EX78" s="14">
        <f t="shared" si="176"/>
        <v>10</v>
      </c>
      <c r="EY78" s="14">
        <f t="shared" si="151"/>
        <v>41</v>
      </c>
      <c r="EZ78" s="14">
        <f t="shared" si="152"/>
        <v>2</v>
      </c>
      <c r="FA78" s="14">
        <f t="shared" si="153"/>
        <v>30</v>
      </c>
      <c r="FB78" s="14">
        <f t="shared" si="154"/>
        <v>4</v>
      </c>
      <c r="FC78" s="14">
        <f t="shared" si="155"/>
        <v>1</v>
      </c>
      <c r="FD78" s="14">
        <f t="shared" si="156"/>
        <v>1</v>
      </c>
      <c r="FE78" s="14" t="b">
        <f t="shared" si="177"/>
        <v>1</v>
      </c>
      <c r="FF78" s="14">
        <f t="shared" si="157"/>
        <v>2002411</v>
      </c>
      <c r="FG78" s="13" t="str">
        <f t="shared" si="158"/>
        <v>30级-攻击套寄灵人の灵器</v>
      </c>
      <c r="FH78" s="14">
        <f t="shared" si="159"/>
        <v>1</v>
      </c>
      <c r="FI78" s="14">
        <f t="shared" si="160"/>
        <v>4</v>
      </c>
      <c r="FJ78" s="14">
        <f t="shared" si="161"/>
        <v>30</v>
      </c>
      <c r="FK78" s="14">
        <v>1</v>
      </c>
      <c r="FL78" s="14">
        <f t="shared" si="162"/>
        <v>2</v>
      </c>
      <c r="FM78" s="14">
        <f t="shared" si="178"/>
        <v>1</v>
      </c>
      <c r="FN78" s="14">
        <f t="shared" si="163"/>
        <v>200241</v>
      </c>
      <c r="FO78" s="14">
        <f t="shared" si="164"/>
        <v>105</v>
      </c>
      <c r="FP78" s="14">
        <f t="shared" si="179"/>
        <v>155</v>
      </c>
      <c r="FQ78" s="14">
        <f t="shared" si="180"/>
        <v>0</v>
      </c>
      <c r="FR78" s="14">
        <f t="shared" si="181"/>
        <v>0</v>
      </c>
      <c r="FS78" s="14">
        <f t="shared" si="182"/>
        <v>14</v>
      </c>
      <c r="FT78" s="14">
        <f t="shared" si="183"/>
        <v>0</v>
      </c>
      <c r="FU78" s="14">
        <f t="shared" si="184"/>
        <v>0</v>
      </c>
      <c r="FV78" s="14">
        <f t="shared" si="165"/>
        <v>1024</v>
      </c>
      <c r="FW78" s="14">
        <f t="shared" si="166"/>
        <v>3</v>
      </c>
      <c r="FX78" s="14">
        <f t="shared" si="167"/>
        <v>1024</v>
      </c>
      <c r="FY78" s="25" t="str">
        <f t="shared" si="185"/>
        <v>icon_2002411</v>
      </c>
      <c r="FZ78" s="30"/>
      <c r="GA78" s="30"/>
      <c r="GC78" s="14">
        <f t="shared" si="168"/>
        <v>1</v>
      </c>
      <c r="GD78" s="14">
        <f t="shared" si="169"/>
        <v>0</v>
      </c>
      <c r="GE78" s="14">
        <f t="shared" si="186"/>
        <v>105</v>
      </c>
      <c r="GF78" s="14" t="str">
        <f t="shared" si="170"/>
        <v>AtkExt</v>
      </c>
      <c r="GG78" s="14">
        <f t="shared" si="187"/>
        <v>155</v>
      </c>
      <c r="GH78" s="14">
        <f t="shared" si="188"/>
        <v>14</v>
      </c>
      <c r="GI78" s="14" t="str">
        <f t="shared" si="171"/>
        <v/>
      </c>
      <c r="GJ78" s="14" t="str">
        <f t="shared" si="189"/>
        <v/>
      </c>
      <c r="GK78" s="14" t="str">
        <f t="shared" si="190"/>
        <v/>
      </c>
      <c r="GL78" s="14">
        <f t="shared" si="172"/>
        <v>20240</v>
      </c>
      <c r="GM78" s="14">
        <f t="shared" si="191"/>
        <v>3</v>
      </c>
      <c r="GN78" s="14">
        <f t="shared" si="192"/>
        <v>1024</v>
      </c>
      <c r="GO78" s="25" t="s">
        <v>1471</v>
      </c>
      <c r="GP78" s="14">
        <f t="shared" si="173"/>
        <v>160</v>
      </c>
      <c r="GS78" s="30"/>
      <c r="GT78" s="30"/>
      <c r="GU78" s="30"/>
      <c r="GV78" s="30"/>
      <c r="GW78" s="13">
        <v>73</v>
      </c>
      <c r="GX78" s="14">
        <f t="shared" si="193"/>
        <v>23</v>
      </c>
      <c r="GY78" s="14">
        <f t="shared" si="194"/>
        <v>1</v>
      </c>
      <c r="GZ78" s="14">
        <f t="shared" si="195"/>
        <v>1</v>
      </c>
      <c r="HA78" s="14">
        <f t="shared" si="196"/>
        <v>210841</v>
      </c>
      <c r="HB78" s="14" t="str">
        <f t="shared" si="197"/>
        <v>120级守护灵の攻击套 : 属性-1</v>
      </c>
      <c r="HC78" s="14" t="s">
        <v>1396</v>
      </c>
      <c r="HD78" s="14">
        <f t="shared" si="198"/>
        <v>1</v>
      </c>
      <c r="HE78" s="14">
        <f t="shared" si="199"/>
        <v>2</v>
      </c>
      <c r="HF78" s="14" t="str">
        <f t="shared" si="200"/>
        <v>AtkExt</v>
      </c>
      <c r="HG78" s="14">
        <f t="shared" si="201"/>
        <v>3500</v>
      </c>
      <c r="HH78" s="30"/>
      <c r="HI78" s="30"/>
      <c r="HK78" s="13">
        <v>73</v>
      </c>
      <c r="HL78" s="14">
        <f t="shared" si="202"/>
        <v>4</v>
      </c>
      <c r="HM78" s="14">
        <f t="shared" si="203"/>
        <v>1</v>
      </c>
      <c r="HN78" s="14">
        <f t="shared" si="204"/>
        <v>4</v>
      </c>
      <c r="HO78" s="14">
        <f t="shared" si="205"/>
        <v>3</v>
      </c>
      <c r="HP78" s="14" t="str">
        <f t="shared" si="206"/>
        <v>70级寄灵人洗练-Q3-1</v>
      </c>
      <c r="HQ78" s="14">
        <f t="shared" si="207"/>
        <v>1043</v>
      </c>
      <c r="HR78" s="14">
        <f t="shared" si="208"/>
        <v>1</v>
      </c>
      <c r="HS78" s="14">
        <f t="shared" si="209"/>
        <v>1800</v>
      </c>
      <c r="HT78" s="14" t="str">
        <f t="shared" si="210"/>
        <v>AtkExt</v>
      </c>
      <c r="HU78" s="14">
        <f t="shared" si="211"/>
        <v>62</v>
      </c>
      <c r="HV78" s="14">
        <f t="shared" si="212"/>
        <v>179</v>
      </c>
    </row>
    <row r="79" spans="1:230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S79" s="30"/>
      <c r="ET79" s="30"/>
      <c r="EU79" s="13">
        <v>74</v>
      </c>
      <c r="EV79" s="14">
        <f t="shared" si="174"/>
        <v>1</v>
      </c>
      <c r="EW79" s="14">
        <f t="shared" si="175"/>
        <v>74</v>
      </c>
      <c r="EX79" s="14">
        <f t="shared" si="176"/>
        <v>10</v>
      </c>
      <c r="EY79" s="14">
        <f t="shared" si="151"/>
        <v>41</v>
      </c>
      <c r="EZ79" s="14">
        <f t="shared" si="152"/>
        <v>2</v>
      </c>
      <c r="FA79" s="14">
        <f t="shared" si="153"/>
        <v>30</v>
      </c>
      <c r="FB79" s="14">
        <f t="shared" si="154"/>
        <v>4</v>
      </c>
      <c r="FC79" s="14">
        <f t="shared" si="155"/>
        <v>2</v>
      </c>
      <c r="FD79" s="14">
        <f t="shared" si="156"/>
        <v>2</v>
      </c>
      <c r="FE79" s="14" t="b">
        <f t="shared" si="177"/>
        <v>1</v>
      </c>
      <c r="FF79" s="14">
        <f t="shared" si="157"/>
        <v>2002412</v>
      </c>
      <c r="FG79" s="13" t="str">
        <f t="shared" si="158"/>
        <v>30级-攻击套寄灵人の头盔</v>
      </c>
      <c r="FH79" s="14">
        <f t="shared" si="159"/>
        <v>1</v>
      </c>
      <c r="FI79" s="14">
        <f t="shared" si="160"/>
        <v>4</v>
      </c>
      <c r="FJ79" s="14">
        <f t="shared" si="161"/>
        <v>30</v>
      </c>
      <c r="FK79" s="14">
        <v>1</v>
      </c>
      <c r="FL79" s="14">
        <f t="shared" si="162"/>
        <v>2</v>
      </c>
      <c r="FM79" s="14">
        <f t="shared" si="178"/>
        <v>2</v>
      </c>
      <c r="FN79" s="14">
        <f t="shared" si="163"/>
        <v>200241</v>
      </c>
      <c r="FO79" s="14">
        <f t="shared" si="164"/>
        <v>45</v>
      </c>
      <c r="FP79" s="14">
        <f t="shared" si="179"/>
        <v>0</v>
      </c>
      <c r="FQ79" s="14">
        <f t="shared" si="180"/>
        <v>40</v>
      </c>
      <c r="FR79" s="14">
        <f t="shared" si="181"/>
        <v>0</v>
      </c>
      <c r="FS79" s="14">
        <f t="shared" si="182"/>
        <v>0</v>
      </c>
      <c r="FT79" s="14">
        <f t="shared" si="183"/>
        <v>3</v>
      </c>
      <c r="FU79" s="14">
        <f t="shared" si="184"/>
        <v>0</v>
      </c>
      <c r="FV79" s="14">
        <f t="shared" si="165"/>
        <v>1024</v>
      </c>
      <c r="FW79" s="14">
        <f t="shared" si="166"/>
        <v>3</v>
      </c>
      <c r="FX79" s="14">
        <f t="shared" si="167"/>
        <v>1024</v>
      </c>
      <c r="FY79" s="25" t="str">
        <f t="shared" si="185"/>
        <v>icon_2002412</v>
      </c>
      <c r="FZ79" s="30"/>
      <c r="GA79" s="30"/>
      <c r="GC79" s="14">
        <f t="shared" si="168"/>
        <v>2</v>
      </c>
      <c r="GD79" s="14">
        <f t="shared" si="169"/>
        <v>0</v>
      </c>
      <c r="GE79" s="14">
        <f t="shared" si="186"/>
        <v>45</v>
      </c>
      <c r="GF79" s="14" t="str">
        <f t="shared" si="170"/>
        <v>DefExt</v>
      </c>
      <c r="GG79" s="14">
        <f t="shared" si="187"/>
        <v>40</v>
      </c>
      <c r="GH79" s="14">
        <f t="shared" si="188"/>
        <v>3</v>
      </c>
      <c r="GI79" s="14" t="str">
        <f t="shared" si="171"/>
        <v/>
      </c>
      <c r="GJ79" s="14" t="str">
        <f t="shared" si="189"/>
        <v/>
      </c>
      <c r="GK79" s="14" t="str">
        <f t="shared" si="190"/>
        <v/>
      </c>
      <c r="GL79" s="14">
        <f t="shared" si="172"/>
        <v>20240</v>
      </c>
      <c r="GM79" s="14">
        <f t="shared" si="191"/>
        <v>3</v>
      </c>
      <c r="GN79" s="14">
        <f t="shared" si="192"/>
        <v>1024</v>
      </c>
      <c r="GO79" s="25" t="s">
        <v>1471</v>
      </c>
      <c r="GP79" s="14">
        <f t="shared" si="173"/>
        <v>80</v>
      </c>
      <c r="GS79" s="30"/>
      <c r="GT79" s="30"/>
      <c r="GU79" s="30"/>
      <c r="GV79" s="30"/>
      <c r="GW79" s="13">
        <v>74</v>
      </c>
      <c r="GX79" s="14">
        <f t="shared" si="193"/>
        <v>23</v>
      </c>
      <c r="GY79" s="14">
        <f t="shared" si="194"/>
        <v>2</v>
      </c>
      <c r="GZ79" s="14">
        <f t="shared" si="195"/>
        <v>3</v>
      </c>
      <c r="HA79" s="14">
        <f t="shared" si="196"/>
        <v>210841</v>
      </c>
      <c r="HB79" s="14" t="str">
        <f t="shared" si="197"/>
        <v>120级守护灵の攻击套 : 属性-2</v>
      </c>
      <c r="HC79" s="14" t="s">
        <v>1396</v>
      </c>
      <c r="HD79" s="14">
        <f t="shared" si="198"/>
        <v>2</v>
      </c>
      <c r="HE79" s="14">
        <f t="shared" si="199"/>
        <v>3</v>
      </c>
      <c r="HF79" s="14" t="str">
        <f t="shared" si="200"/>
        <v>HPExt</v>
      </c>
      <c r="HG79" s="14">
        <f t="shared" si="201"/>
        <v>35000</v>
      </c>
      <c r="HH79" s="30"/>
      <c r="HI79" s="30"/>
      <c r="HK79" s="13">
        <v>74</v>
      </c>
      <c r="HL79" s="14">
        <f t="shared" si="202"/>
        <v>4</v>
      </c>
      <c r="HM79" s="14">
        <f t="shared" si="203"/>
        <v>1</v>
      </c>
      <c r="HN79" s="14">
        <f t="shared" si="204"/>
        <v>4</v>
      </c>
      <c r="HO79" s="14">
        <f t="shared" si="205"/>
        <v>3</v>
      </c>
      <c r="HP79" s="14" t="str">
        <f t="shared" si="206"/>
        <v>70级寄灵人洗练-Q3-2</v>
      </c>
      <c r="HQ79" s="14">
        <f t="shared" si="207"/>
        <v>1043</v>
      </c>
      <c r="HR79" s="14">
        <f t="shared" si="208"/>
        <v>2</v>
      </c>
      <c r="HS79" s="14">
        <f t="shared" si="209"/>
        <v>1800</v>
      </c>
      <c r="HT79" s="14" t="str">
        <f t="shared" si="210"/>
        <v>DefExt</v>
      </c>
      <c r="HU79" s="14">
        <f t="shared" si="211"/>
        <v>26</v>
      </c>
      <c r="HV79" s="14">
        <f t="shared" si="212"/>
        <v>76</v>
      </c>
    </row>
    <row r="80" spans="1:230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S80" s="30"/>
      <c r="ET80" s="30"/>
      <c r="EU80" s="13">
        <v>75</v>
      </c>
      <c r="EV80" s="14">
        <f t="shared" si="174"/>
        <v>1</v>
      </c>
      <c r="EW80" s="14">
        <f t="shared" si="175"/>
        <v>75</v>
      </c>
      <c r="EX80" s="14">
        <f t="shared" si="176"/>
        <v>10</v>
      </c>
      <c r="EY80" s="14">
        <f t="shared" si="151"/>
        <v>41</v>
      </c>
      <c r="EZ80" s="14">
        <f t="shared" si="152"/>
        <v>2</v>
      </c>
      <c r="FA80" s="14">
        <f t="shared" si="153"/>
        <v>30</v>
      </c>
      <c r="FB80" s="14">
        <f t="shared" si="154"/>
        <v>4</v>
      </c>
      <c r="FC80" s="14">
        <f t="shared" si="155"/>
        <v>3</v>
      </c>
      <c r="FD80" s="14">
        <f t="shared" si="156"/>
        <v>3</v>
      </c>
      <c r="FE80" s="14" t="b">
        <f t="shared" si="177"/>
        <v>1</v>
      </c>
      <c r="FF80" s="14">
        <f t="shared" si="157"/>
        <v>2002413</v>
      </c>
      <c r="FG80" s="13" t="str">
        <f t="shared" si="158"/>
        <v>30级-攻击套寄灵人の铠甲</v>
      </c>
      <c r="FH80" s="14">
        <f t="shared" si="159"/>
        <v>1</v>
      </c>
      <c r="FI80" s="14">
        <f t="shared" si="160"/>
        <v>4</v>
      </c>
      <c r="FJ80" s="14">
        <f t="shared" si="161"/>
        <v>30</v>
      </c>
      <c r="FK80" s="14">
        <v>1</v>
      </c>
      <c r="FL80" s="14">
        <f t="shared" si="162"/>
        <v>2</v>
      </c>
      <c r="FM80" s="14">
        <f t="shared" si="178"/>
        <v>3</v>
      </c>
      <c r="FN80" s="14">
        <f t="shared" si="163"/>
        <v>200241</v>
      </c>
      <c r="FO80" s="14">
        <f t="shared" si="164"/>
        <v>61</v>
      </c>
      <c r="FP80" s="14">
        <f t="shared" si="179"/>
        <v>0</v>
      </c>
      <c r="FQ80" s="14">
        <f t="shared" si="180"/>
        <v>20</v>
      </c>
      <c r="FR80" s="14">
        <f t="shared" si="181"/>
        <v>250</v>
      </c>
      <c r="FS80" s="14">
        <f t="shared" si="182"/>
        <v>0</v>
      </c>
      <c r="FT80" s="14">
        <f t="shared" si="183"/>
        <v>2</v>
      </c>
      <c r="FU80" s="14">
        <f t="shared" si="184"/>
        <v>21</v>
      </c>
      <c r="FV80" s="14">
        <f t="shared" si="165"/>
        <v>1024</v>
      </c>
      <c r="FW80" s="14">
        <f t="shared" si="166"/>
        <v>3</v>
      </c>
      <c r="FX80" s="14">
        <f t="shared" si="167"/>
        <v>1024</v>
      </c>
      <c r="FY80" s="25" t="str">
        <f t="shared" si="185"/>
        <v>icon_2002413</v>
      </c>
      <c r="FZ80" s="30"/>
      <c r="GA80" s="30"/>
      <c r="GC80" s="14">
        <f t="shared" si="168"/>
        <v>2</v>
      </c>
      <c r="GD80" s="14">
        <f t="shared" si="169"/>
        <v>3</v>
      </c>
      <c r="GE80" s="14">
        <f t="shared" si="186"/>
        <v>61</v>
      </c>
      <c r="GF80" s="14" t="str">
        <f t="shared" si="170"/>
        <v>DefExt</v>
      </c>
      <c r="GG80" s="14">
        <f t="shared" si="187"/>
        <v>20</v>
      </c>
      <c r="GH80" s="14">
        <f t="shared" si="188"/>
        <v>2</v>
      </c>
      <c r="GI80" s="14" t="str">
        <f t="shared" si="171"/>
        <v>HPExt</v>
      </c>
      <c r="GJ80" s="14">
        <f t="shared" si="189"/>
        <v>250</v>
      </c>
      <c r="GK80" s="14">
        <f t="shared" si="190"/>
        <v>21</v>
      </c>
      <c r="GL80" s="14">
        <f t="shared" si="172"/>
        <v>20240</v>
      </c>
      <c r="GM80" s="14">
        <f t="shared" si="191"/>
        <v>3</v>
      </c>
      <c r="GN80" s="14">
        <f t="shared" si="192"/>
        <v>1024</v>
      </c>
      <c r="GO80" s="25" t="s">
        <v>1471</v>
      </c>
      <c r="GP80" s="14">
        <f t="shared" si="173"/>
        <v>80</v>
      </c>
      <c r="GS80" s="30"/>
      <c r="GT80" s="30"/>
      <c r="GU80" s="30"/>
      <c r="GV80" s="30"/>
      <c r="GW80" s="13">
        <v>75</v>
      </c>
      <c r="GX80" s="14">
        <f t="shared" si="193"/>
        <v>23</v>
      </c>
      <c r="GY80" s="14">
        <f t="shared" si="194"/>
        <v>3</v>
      </c>
      <c r="GZ80" s="14">
        <f t="shared" si="195"/>
        <v>4</v>
      </c>
      <c r="HA80" s="14">
        <f t="shared" si="196"/>
        <v>210841</v>
      </c>
      <c r="HB80" s="14" t="str">
        <f t="shared" si="197"/>
        <v>120级守护灵の攻击套 : 属性-3</v>
      </c>
      <c r="HC80" s="14" t="s">
        <v>1396</v>
      </c>
      <c r="HD80" s="14">
        <f t="shared" si="198"/>
        <v>3</v>
      </c>
      <c r="HE80" s="14">
        <f t="shared" si="199"/>
        <v>5</v>
      </c>
      <c r="HF80" s="14" t="str">
        <f t="shared" si="200"/>
        <v>AtkRate</v>
      </c>
      <c r="HG80" s="14">
        <f t="shared" si="201"/>
        <v>0.15</v>
      </c>
      <c r="HH80" s="30"/>
      <c r="HI80" s="30"/>
      <c r="HK80" s="13">
        <v>75</v>
      </c>
      <c r="HL80" s="14">
        <f t="shared" si="202"/>
        <v>4</v>
      </c>
      <c r="HM80" s="14">
        <f t="shared" si="203"/>
        <v>1</v>
      </c>
      <c r="HN80" s="14">
        <f t="shared" si="204"/>
        <v>4</v>
      </c>
      <c r="HO80" s="14">
        <f t="shared" si="205"/>
        <v>3</v>
      </c>
      <c r="HP80" s="14" t="str">
        <f t="shared" si="206"/>
        <v>70级寄灵人洗练-Q3-3</v>
      </c>
      <c r="HQ80" s="14">
        <f t="shared" si="207"/>
        <v>1043</v>
      </c>
      <c r="HR80" s="14">
        <f t="shared" si="208"/>
        <v>3</v>
      </c>
      <c r="HS80" s="14">
        <f t="shared" si="209"/>
        <v>2000</v>
      </c>
      <c r="HT80" s="14" t="str">
        <f t="shared" si="210"/>
        <v>HPExt</v>
      </c>
      <c r="HU80" s="14">
        <f t="shared" si="211"/>
        <v>395</v>
      </c>
      <c r="HV80" s="14">
        <f t="shared" si="212"/>
        <v>1129</v>
      </c>
    </row>
    <row r="81" spans="1:230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S81" s="30"/>
      <c r="ET81" s="30"/>
      <c r="EU81" s="13">
        <v>76</v>
      </c>
      <c r="EV81" s="14">
        <f t="shared" si="174"/>
        <v>1</v>
      </c>
      <c r="EW81" s="14">
        <f t="shared" si="175"/>
        <v>76</v>
      </c>
      <c r="EX81" s="14">
        <f t="shared" si="176"/>
        <v>10</v>
      </c>
      <c r="EY81" s="14">
        <f t="shared" si="151"/>
        <v>41</v>
      </c>
      <c r="EZ81" s="14">
        <f t="shared" si="152"/>
        <v>2</v>
      </c>
      <c r="FA81" s="14">
        <f t="shared" si="153"/>
        <v>30</v>
      </c>
      <c r="FB81" s="14">
        <f t="shared" si="154"/>
        <v>4</v>
      </c>
      <c r="FC81" s="14">
        <f t="shared" si="155"/>
        <v>4</v>
      </c>
      <c r="FD81" s="14">
        <f t="shared" si="156"/>
        <v>5</v>
      </c>
      <c r="FE81" s="14" t="b">
        <f t="shared" si="177"/>
        <v>1</v>
      </c>
      <c r="FF81" s="14">
        <f t="shared" si="157"/>
        <v>2002415</v>
      </c>
      <c r="FG81" s="13" t="str">
        <f t="shared" si="158"/>
        <v>30级-攻击套寄灵人の鞋子</v>
      </c>
      <c r="FH81" s="14">
        <f t="shared" si="159"/>
        <v>1</v>
      </c>
      <c r="FI81" s="14">
        <f t="shared" si="160"/>
        <v>4</v>
      </c>
      <c r="FJ81" s="14">
        <f t="shared" si="161"/>
        <v>30</v>
      </c>
      <c r="FK81" s="14">
        <v>1</v>
      </c>
      <c r="FL81" s="14">
        <f t="shared" si="162"/>
        <v>2</v>
      </c>
      <c r="FM81" s="14">
        <f t="shared" si="178"/>
        <v>5</v>
      </c>
      <c r="FN81" s="14">
        <f t="shared" si="163"/>
        <v>200241</v>
      </c>
      <c r="FO81" s="14">
        <f t="shared" si="164"/>
        <v>64</v>
      </c>
      <c r="FP81" s="14">
        <f t="shared" si="179"/>
        <v>0</v>
      </c>
      <c r="FQ81" s="14">
        <f t="shared" si="180"/>
        <v>0</v>
      </c>
      <c r="FR81" s="14">
        <f t="shared" si="181"/>
        <v>500</v>
      </c>
      <c r="FS81" s="14">
        <f t="shared" si="182"/>
        <v>0</v>
      </c>
      <c r="FT81" s="14">
        <f t="shared" si="183"/>
        <v>0</v>
      </c>
      <c r="FU81" s="14">
        <f t="shared" si="184"/>
        <v>43</v>
      </c>
      <c r="FV81" s="14">
        <f t="shared" si="165"/>
        <v>1024</v>
      </c>
      <c r="FW81" s="14">
        <f t="shared" si="166"/>
        <v>3</v>
      </c>
      <c r="FX81" s="14">
        <f t="shared" si="167"/>
        <v>1024</v>
      </c>
      <c r="FY81" s="25" t="str">
        <f t="shared" si="185"/>
        <v>icon_2002415</v>
      </c>
      <c r="FZ81" s="30"/>
      <c r="GA81" s="30"/>
      <c r="GC81" s="14">
        <f t="shared" si="168"/>
        <v>3</v>
      </c>
      <c r="GD81" s="14">
        <f t="shared" si="169"/>
        <v>0</v>
      </c>
      <c r="GE81" s="14">
        <f t="shared" si="186"/>
        <v>64</v>
      </c>
      <c r="GF81" s="14" t="str">
        <f t="shared" si="170"/>
        <v>HPExt</v>
      </c>
      <c r="GG81" s="14">
        <f t="shared" si="187"/>
        <v>500</v>
      </c>
      <c r="GH81" s="14">
        <f t="shared" si="188"/>
        <v>43</v>
      </c>
      <c r="GI81" s="14" t="str">
        <f t="shared" si="171"/>
        <v/>
      </c>
      <c r="GJ81" s="14" t="str">
        <f t="shared" si="189"/>
        <v/>
      </c>
      <c r="GK81" s="14" t="str">
        <f t="shared" si="190"/>
        <v/>
      </c>
      <c r="GL81" s="14">
        <f t="shared" si="172"/>
        <v>20240</v>
      </c>
      <c r="GM81" s="14">
        <f t="shared" si="191"/>
        <v>3</v>
      </c>
      <c r="GN81" s="14">
        <f t="shared" si="192"/>
        <v>1024</v>
      </c>
      <c r="GO81" s="25" t="s">
        <v>1471</v>
      </c>
      <c r="GP81" s="14">
        <f t="shared" si="173"/>
        <v>80</v>
      </c>
      <c r="GS81" s="30"/>
      <c r="GT81" s="30"/>
      <c r="GU81" s="30"/>
      <c r="GV81" s="30"/>
      <c r="GW81" s="13">
        <v>76</v>
      </c>
      <c r="GX81" s="14">
        <f t="shared" si="193"/>
        <v>24</v>
      </c>
      <c r="GY81" s="14">
        <f t="shared" si="194"/>
        <v>1</v>
      </c>
      <c r="GZ81" s="14">
        <f t="shared" si="195"/>
        <v>1</v>
      </c>
      <c r="HA81" s="14">
        <f t="shared" si="196"/>
        <v>210843</v>
      </c>
      <c r="HB81" s="14" t="str">
        <f t="shared" si="197"/>
        <v>120级守护灵の绝世套 : 属性-1</v>
      </c>
      <c r="HC81" s="14" t="s">
        <v>1396</v>
      </c>
      <c r="HD81" s="14">
        <f t="shared" si="198"/>
        <v>1</v>
      </c>
      <c r="HE81" s="14">
        <f t="shared" si="199"/>
        <v>2</v>
      </c>
      <c r="HF81" s="14" t="str">
        <f t="shared" si="200"/>
        <v>AtkExt</v>
      </c>
      <c r="HG81" s="14">
        <f t="shared" si="201"/>
        <v>5000</v>
      </c>
      <c r="HH81" s="30"/>
      <c r="HI81" s="30"/>
      <c r="HK81" s="13">
        <v>76</v>
      </c>
      <c r="HL81" s="14">
        <f t="shared" si="202"/>
        <v>4</v>
      </c>
      <c r="HM81" s="14">
        <f t="shared" si="203"/>
        <v>1</v>
      </c>
      <c r="HN81" s="14">
        <f t="shared" si="204"/>
        <v>4</v>
      </c>
      <c r="HO81" s="14">
        <f t="shared" si="205"/>
        <v>3</v>
      </c>
      <c r="HP81" s="14" t="str">
        <f t="shared" si="206"/>
        <v>70级寄灵人洗练-Q3-4</v>
      </c>
      <c r="HQ81" s="14">
        <f t="shared" si="207"/>
        <v>1043</v>
      </c>
      <c r="HR81" s="14">
        <f t="shared" si="208"/>
        <v>4</v>
      </c>
      <c r="HS81" s="14">
        <f t="shared" si="209"/>
        <v>500</v>
      </c>
      <c r="HT81" s="14" t="str">
        <f t="shared" si="210"/>
        <v>AtkRate</v>
      </c>
      <c r="HU81" s="14">
        <f t="shared" si="211"/>
        <v>1.4E-2</v>
      </c>
      <c r="HV81" s="14">
        <f t="shared" si="212"/>
        <v>0.04</v>
      </c>
    </row>
    <row r="82" spans="1:230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S82" s="30"/>
      <c r="ET82" s="30"/>
      <c r="EU82" s="13">
        <v>77</v>
      </c>
      <c r="EV82" s="14">
        <f t="shared" si="174"/>
        <v>1</v>
      </c>
      <c r="EW82" s="14">
        <f t="shared" si="175"/>
        <v>77</v>
      </c>
      <c r="EX82" s="14">
        <f t="shared" si="176"/>
        <v>10</v>
      </c>
      <c r="EY82" s="14">
        <f t="shared" si="151"/>
        <v>41</v>
      </c>
      <c r="EZ82" s="14">
        <f t="shared" si="152"/>
        <v>2</v>
      </c>
      <c r="FA82" s="14">
        <f t="shared" si="153"/>
        <v>30</v>
      </c>
      <c r="FB82" s="14">
        <f t="shared" si="154"/>
        <v>4</v>
      </c>
      <c r="FC82" s="14">
        <f t="shared" si="155"/>
        <v>5</v>
      </c>
      <c r="FD82" s="14">
        <f t="shared" si="156"/>
        <v>7</v>
      </c>
      <c r="FE82" s="14" t="b">
        <f t="shared" si="177"/>
        <v>1</v>
      </c>
      <c r="FF82" s="14">
        <f t="shared" si="157"/>
        <v>2002417</v>
      </c>
      <c r="FG82" s="13" t="str">
        <f t="shared" si="158"/>
        <v>30级-攻击套寄灵人の项链</v>
      </c>
      <c r="FH82" s="14">
        <f t="shared" si="159"/>
        <v>1</v>
      </c>
      <c r="FI82" s="14">
        <f t="shared" si="160"/>
        <v>4</v>
      </c>
      <c r="FJ82" s="14">
        <f t="shared" si="161"/>
        <v>30</v>
      </c>
      <c r="FK82" s="14">
        <v>1</v>
      </c>
      <c r="FL82" s="14">
        <f t="shared" si="162"/>
        <v>2</v>
      </c>
      <c r="FM82" s="14">
        <f t="shared" si="178"/>
        <v>7</v>
      </c>
      <c r="FN82" s="14">
        <f t="shared" si="163"/>
        <v>200241</v>
      </c>
      <c r="FO82" s="14">
        <f t="shared" si="164"/>
        <v>82</v>
      </c>
      <c r="FP82" s="14">
        <f t="shared" si="179"/>
        <v>50</v>
      </c>
      <c r="FQ82" s="14">
        <f t="shared" si="180"/>
        <v>35</v>
      </c>
      <c r="FR82" s="14">
        <f t="shared" si="181"/>
        <v>0</v>
      </c>
      <c r="FS82" s="14">
        <f t="shared" si="182"/>
        <v>5</v>
      </c>
      <c r="FT82" s="14">
        <f t="shared" si="183"/>
        <v>3</v>
      </c>
      <c r="FU82" s="14">
        <f t="shared" si="184"/>
        <v>0</v>
      </c>
      <c r="FV82" s="14">
        <f t="shared" si="165"/>
        <v>1024</v>
      </c>
      <c r="FW82" s="14">
        <f t="shared" si="166"/>
        <v>3</v>
      </c>
      <c r="FX82" s="14">
        <f t="shared" si="167"/>
        <v>1024</v>
      </c>
      <c r="FY82" s="25" t="str">
        <f t="shared" si="185"/>
        <v>icon_2002417</v>
      </c>
      <c r="FZ82" s="30"/>
      <c r="GA82" s="30"/>
      <c r="GC82" s="14">
        <f t="shared" si="168"/>
        <v>1</v>
      </c>
      <c r="GD82" s="14">
        <f t="shared" si="169"/>
        <v>2</v>
      </c>
      <c r="GE82" s="14">
        <f t="shared" si="186"/>
        <v>82</v>
      </c>
      <c r="GF82" s="14" t="str">
        <f t="shared" si="170"/>
        <v>AtkExt</v>
      </c>
      <c r="GG82" s="14">
        <f t="shared" si="187"/>
        <v>50</v>
      </c>
      <c r="GH82" s="14">
        <f t="shared" si="188"/>
        <v>5</v>
      </c>
      <c r="GI82" s="14" t="str">
        <f t="shared" si="171"/>
        <v>DefExt</v>
      </c>
      <c r="GJ82" s="14">
        <f t="shared" si="189"/>
        <v>35</v>
      </c>
      <c r="GK82" s="14">
        <f t="shared" si="190"/>
        <v>3</v>
      </c>
      <c r="GL82" s="14">
        <f t="shared" si="172"/>
        <v>20240</v>
      </c>
      <c r="GM82" s="14">
        <f t="shared" si="191"/>
        <v>3</v>
      </c>
      <c r="GN82" s="14">
        <f t="shared" si="192"/>
        <v>1024</v>
      </c>
      <c r="GO82" s="25" t="s">
        <v>1471</v>
      </c>
      <c r="GP82" s="14">
        <f t="shared" si="173"/>
        <v>120</v>
      </c>
      <c r="GS82" s="30"/>
      <c r="GT82" s="30"/>
      <c r="GU82" s="30"/>
      <c r="GV82" s="30"/>
      <c r="GW82" s="13">
        <v>77</v>
      </c>
      <c r="GX82" s="14">
        <f t="shared" si="193"/>
        <v>24</v>
      </c>
      <c r="GY82" s="14">
        <f t="shared" si="194"/>
        <v>2</v>
      </c>
      <c r="GZ82" s="14">
        <f t="shared" si="195"/>
        <v>2</v>
      </c>
      <c r="HA82" s="14">
        <f t="shared" si="196"/>
        <v>210843</v>
      </c>
      <c r="HB82" s="14" t="str">
        <f t="shared" si="197"/>
        <v>120级守护灵の绝世套 : 属性-2</v>
      </c>
      <c r="HC82" s="14" t="s">
        <v>1396</v>
      </c>
      <c r="HD82" s="14">
        <f t="shared" si="198"/>
        <v>2</v>
      </c>
      <c r="HE82" s="14">
        <f t="shared" si="199"/>
        <v>3</v>
      </c>
      <c r="HF82" s="14" t="str">
        <f t="shared" si="200"/>
        <v>DefExt</v>
      </c>
      <c r="HG82" s="14">
        <f t="shared" si="201"/>
        <v>2500</v>
      </c>
      <c r="HH82" s="30"/>
      <c r="HI82" s="30"/>
      <c r="HK82" s="13">
        <v>77</v>
      </c>
      <c r="HL82" s="14">
        <f t="shared" si="202"/>
        <v>4</v>
      </c>
      <c r="HM82" s="14">
        <f t="shared" si="203"/>
        <v>1</v>
      </c>
      <c r="HN82" s="14">
        <f t="shared" si="204"/>
        <v>4</v>
      </c>
      <c r="HO82" s="14">
        <f t="shared" si="205"/>
        <v>3</v>
      </c>
      <c r="HP82" s="14" t="str">
        <f t="shared" si="206"/>
        <v>70级寄灵人洗练-Q3-5</v>
      </c>
      <c r="HQ82" s="14">
        <f t="shared" si="207"/>
        <v>1043</v>
      </c>
      <c r="HR82" s="14">
        <f t="shared" si="208"/>
        <v>5</v>
      </c>
      <c r="HS82" s="14">
        <f t="shared" si="209"/>
        <v>400</v>
      </c>
      <c r="HT82" s="14" t="str">
        <f t="shared" si="210"/>
        <v>DefRate</v>
      </c>
      <c r="HU82" s="14">
        <f t="shared" si="211"/>
        <v>1.4E-2</v>
      </c>
      <c r="HV82" s="14">
        <f t="shared" si="212"/>
        <v>0.04</v>
      </c>
    </row>
    <row r="83" spans="1:230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S83" s="30"/>
      <c r="ET83" s="30"/>
      <c r="EU83" s="13">
        <v>78</v>
      </c>
      <c r="EV83" s="14">
        <f t="shared" si="174"/>
        <v>1</v>
      </c>
      <c r="EW83" s="14">
        <f t="shared" si="175"/>
        <v>78</v>
      </c>
      <c r="EX83" s="14">
        <f t="shared" si="176"/>
        <v>10</v>
      </c>
      <c r="EY83" s="14">
        <f t="shared" si="151"/>
        <v>41</v>
      </c>
      <c r="EZ83" s="14">
        <f t="shared" si="152"/>
        <v>2</v>
      </c>
      <c r="FA83" s="14">
        <f t="shared" si="153"/>
        <v>30</v>
      </c>
      <c r="FB83" s="14">
        <f t="shared" si="154"/>
        <v>4</v>
      </c>
      <c r="FC83" s="14">
        <f t="shared" si="155"/>
        <v>6</v>
      </c>
      <c r="FD83" s="14">
        <f t="shared" si="156"/>
        <v>8</v>
      </c>
      <c r="FE83" s="14" t="b">
        <f t="shared" si="177"/>
        <v>1</v>
      </c>
      <c r="FF83" s="14">
        <f t="shared" si="157"/>
        <v>2002418</v>
      </c>
      <c r="FG83" s="13" t="str">
        <f t="shared" si="158"/>
        <v>30级-攻击套寄灵人の戒指</v>
      </c>
      <c r="FH83" s="14">
        <f t="shared" si="159"/>
        <v>1</v>
      </c>
      <c r="FI83" s="14">
        <f t="shared" si="160"/>
        <v>4</v>
      </c>
      <c r="FJ83" s="14">
        <f t="shared" si="161"/>
        <v>30</v>
      </c>
      <c r="FK83" s="14">
        <v>1</v>
      </c>
      <c r="FL83" s="14">
        <f t="shared" si="162"/>
        <v>2</v>
      </c>
      <c r="FM83" s="14">
        <f t="shared" si="178"/>
        <v>8</v>
      </c>
      <c r="FN83" s="14">
        <f t="shared" si="163"/>
        <v>200241</v>
      </c>
      <c r="FO83" s="14">
        <f t="shared" si="164"/>
        <v>91</v>
      </c>
      <c r="FP83" s="14">
        <f t="shared" si="179"/>
        <v>50</v>
      </c>
      <c r="FQ83" s="14">
        <f t="shared" si="180"/>
        <v>0</v>
      </c>
      <c r="FR83" s="14">
        <f t="shared" si="181"/>
        <v>420</v>
      </c>
      <c r="FS83" s="14">
        <f t="shared" si="182"/>
        <v>5</v>
      </c>
      <c r="FT83" s="14">
        <f t="shared" si="183"/>
        <v>0</v>
      </c>
      <c r="FU83" s="14">
        <f t="shared" si="184"/>
        <v>36</v>
      </c>
      <c r="FV83" s="14">
        <f t="shared" si="165"/>
        <v>1024</v>
      </c>
      <c r="FW83" s="14">
        <f t="shared" si="166"/>
        <v>3</v>
      </c>
      <c r="FX83" s="14">
        <f t="shared" si="167"/>
        <v>1024</v>
      </c>
      <c r="FY83" s="25" t="str">
        <f t="shared" si="185"/>
        <v>icon_2002418</v>
      </c>
      <c r="FZ83" s="30"/>
      <c r="GA83" s="30"/>
      <c r="GC83" s="14">
        <f t="shared" si="168"/>
        <v>1</v>
      </c>
      <c r="GD83" s="14">
        <f t="shared" si="169"/>
        <v>3</v>
      </c>
      <c r="GE83" s="14">
        <f t="shared" si="186"/>
        <v>91</v>
      </c>
      <c r="GF83" s="14" t="str">
        <f t="shared" si="170"/>
        <v>AtkExt</v>
      </c>
      <c r="GG83" s="14">
        <f t="shared" si="187"/>
        <v>50</v>
      </c>
      <c r="GH83" s="14">
        <f t="shared" si="188"/>
        <v>5</v>
      </c>
      <c r="GI83" s="14" t="str">
        <f t="shared" si="171"/>
        <v>HPExt</v>
      </c>
      <c r="GJ83" s="14">
        <f t="shared" si="189"/>
        <v>420</v>
      </c>
      <c r="GK83" s="14">
        <f t="shared" si="190"/>
        <v>36</v>
      </c>
      <c r="GL83" s="14">
        <f t="shared" si="172"/>
        <v>20240</v>
      </c>
      <c r="GM83" s="14">
        <f t="shared" si="191"/>
        <v>3</v>
      </c>
      <c r="GN83" s="14">
        <f t="shared" si="192"/>
        <v>1024</v>
      </c>
      <c r="GO83" s="25" t="s">
        <v>1471</v>
      </c>
      <c r="GP83" s="14">
        <f t="shared" si="173"/>
        <v>120</v>
      </c>
      <c r="GS83" s="30"/>
      <c r="GT83" s="30"/>
      <c r="GU83" s="30"/>
      <c r="GV83" s="30"/>
      <c r="GW83" s="13">
        <v>78</v>
      </c>
      <c r="GX83" s="14">
        <f t="shared" si="193"/>
        <v>24</v>
      </c>
      <c r="GY83" s="14">
        <f t="shared" si="194"/>
        <v>3</v>
      </c>
      <c r="GZ83" s="14">
        <f t="shared" si="195"/>
        <v>7</v>
      </c>
      <c r="HA83" s="14">
        <f t="shared" si="196"/>
        <v>210843</v>
      </c>
      <c r="HB83" s="14" t="str">
        <f t="shared" si="197"/>
        <v>120级守护灵の绝世套 : 属性-3</v>
      </c>
      <c r="HC83" s="14" t="s">
        <v>1396</v>
      </c>
      <c r="HD83" s="14">
        <f t="shared" si="198"/>
        <v>3</v>
      </c>
      <c r="HE83" s="14">
        <f t="shared" si="199"/>
        <v>4</v>
      </c>
      <c r="HF83" s="14" t="str">
        <f t="shared" si="200"/>
        <v>DmgBonus</v>
      </c>
      <c r="HG83" s="14">
        <f t="shared" si="201"/>
        <v>0.1</v>
      </c>
      <c r="HH83" s="30"/>
      <c r="HI83" s="30"/>
      <c r="HK83" s="13">
        <v>78</v>
      </c>
      <c r="HL83" s="14">
        <f t="shared" si="202"/>
        <v>4</v>
      </c>
      <c r="HM83" s="14">
        <f t="shared" si="203"/>
        <v>1</v>
      </c>
      <c r="HN83" s="14">
        <f t="shared" si="204"/>
        <v>4</v>
      </c>
      <c r="HO83" s="14">
        <f t="shared" si="205"/>
        <v>3</v>
      </c>
      <c r="HP83" s="14" t="str">
        <f t="shared" si="206"/>
        <v>70级寄灵人洗练-Q3-6</v>
      </c>
      <c r="HQ83" s="14">
        <f t="shared" si="207"/>
        <v>1043</v>
      </c>
      <c r="HR83" s="14">
        <f t="shared" si="208"/>
        <v>6</v>
      </c>
      <c r="HS83" s="14">
        <f t="shared" si="209"/>
        <v>500</v>
      </c>
      <c r="HT83" s="14" t="str">
        <f t="shared" si="210"/>
        <v>HPRate</v>
      </c>
      <c r="HU83" s="14">
        <f t="shared" si="211"/>
        <v>1.4E-2</v>
      </c>
      <c r="HV83" s="14">
        <f t="shared" si="212"/>
        <v>0.04</v>
      </c>
    </row>
    <row r="84" spans="1:230" ht="16.5" x14ac:dyDescent="0.2">
      <c r="EU84" s="13">
        <v>79</v>
      </c>
      <c r="EV84" s="14">
        <f t="shared" si="174"/>
        <v>1</v>
      </c>
      <c r="EW84" s="14">
        <f t="shared" si="175"/>
        <v>79</v>
      </c>
      <c r="EX84" s="14">
        <f t="shared" si="176"/>
        <v>11</v>
      </c>
      <c r="EY84" s="14">
        <f t="shared" si="151"/>
        <v>10</v>
      </c>
      <c r="EZ84" s="14">
        <f t="shared" si="152"/>
        <v>3</v>
      </c>
      <c r="FA84" s="14">
        <f t="shared" si="153"/>
        <v>50</v>
      </c>
      <c r="FB84" s="14">
        <f t="shared" si="154"/>
        <v>1</v>
      </c>
      <c r="FC84" s="14">
        <f t="shared" si="155"/>
        <v>1</v>
      </c>
      <c r="FD84" s="14">
        <f t="shared" si="156"/>
        <v>1</v>
      </c>
      <c r="FE84" s="14" t="b">
        <f t="shared" si="177"/>
        <v>0</v>
      </c>
      <c r="FF84" s="14">
        <f t="shared" si="157"/>
        <v>2003101</v>
      </c>
      <c r="FG84" s="13" t="str">
        <f t="shared" si="158"/>
        <v>50级-普通寄灵人の灵器</v>
      </c>
      <c r="FH84" s="14">
        <f t="shared" si="159"/>
        <v>1</v>
      </c>
      <c r="FI84" s="14">
        <f t="shared" si="160"/>
        <v>1</v>
      </c>
      <c r="FJ84" s="14">
        <f t="shared" si="161"/>
        <v>50</v>
      </c>
      <c r="FK84" s="14">
        <v>1</v>
      </c>
      <c r="FL84" s="14">
        <f t="shared" si="162"/>
        <v>3</v>
      </c>
      <c r="FM84" s="14">
        <f t="shared" si="178"/>
        <v>1</v>
      </c>
      <c r="FN84" s="14" t="str">
        <f t="shared" si="163"/>
        <v/>
      </c>
      <c r="FO84" s="14">
        <f t="shared" si="164"/>
        <v>50</v>
      </c>
      <c r="FP84" s="14">
        <f t="shared" si="179"/>
        <v>135</v>
      </c>
      <c r="FQ84" s="14">
        <f t="shared" si="180"/>
        <v>0</v>
      </c>
      <c r="FR84" s="14">
        <f t="shared" si="181"/>
        <v>0</v>
      </c>
      <c r="FS84" s="14">
        <f t="shared" si="182"/>
        <v>10</v>
      </c>
      <c r="FT84" s="14">
        <f t="shared" si="183"/>
        <v>0</v>
      </c>
      <c r="FU84" s="14">
        <f t="shared" si="184"/>
        <v>0</v>
      </c>
      <c r="FV84" s="14">
        <f t="shared" si="165"/>
        <v>1031</v>
      </c>
      <c r="FW84" s="14">
        <f t="shared" si="166"/>
        <v>0</v>
      </c>
      <c r="FX84" s="14" t="str">
        <f t="shared" si="167"/>
        <v/>
      </c>
      <c r="FY84" s="25" t="str">
        <f t="shared" si="185"/>
        <v>icon_2003101</v>
      </c>
      <c r="GC84" s="14">
        <f t="shared" si="168"/>
        <v>1</v>
      </c>
      <c r="GD84" s="14">
        <f t="shared" si="169"/>
        <v>0</v>
      </c>
      <c r="GE84" s="14">
        <f t="shared" si="186"/>
        <v>50</v>
      </c>
      <c r="GF84" s="14" t="str">
        <f t="shared" si="170"/>
        <v>AtkExt</v>
      </c>
      <c r="GG84" s="14">
        <f t="shared" si="187"/>
        <v>135</v>
      </c>
      <c r="GH84" s="14">
        <f t="shared" si="188"/>
        <v>10</v>
      </c>
      <c r="GI84" s="14" t="str">
        <f t="shared" si="171"/>
        <v/>
      </c>
      <c r="GJ84" s="14" t="str">
        <f t="shared" si="189"/>
        <v/>
      </c>
      <c r="GK84" s="14" t="str">
        <f t="shared" si="190"/>
        <v/>
      </c>
      <c r="GL84" s="14">
        <f t="shared" si="172"/>
        <v>20310</v>
      </c>
      <c r="GM84" s="14">
        <f t="shared" si="191"/>
        <v>0</v>
      </c>
      <c r="GN84" s="14" t="str">
        <f t="shared" si="192"/>
        <v/>
      </c>
      <c r="GO84" s="25" t="s">
        <v>1471</v>
      </c>
      <c r="GP84" s="14">
        <f t="shared" si="173"/>
        <v>20</v>
      </c>
      <c r="GW84" s="13">
        <v>79</v>
      </c>
      <c r="GX84" s="14">
        <f t="shared" si="193"/>
        <v>24</v>
      </c>
      <c r="GY84" s="14">
        <f t="shared" si="194"/>
        <v>4</v>
      </c>
      <c r="GZ84" s="14">
        <f t="shared" si="195"/>
        <v>8</v>
      </c>
      <c r="HA84" s="14">
        <f t="shared" si="196"/>
        <v>210843</v>
      </c>
      <c r="HB84" s="14" t="str">
        <f t="shared" si="197"/>
        <v>120级守护灵の绝世套 : 属性-4</v>
      </c>
      <c r="HC84" s="14" t="s">
        <v>1396</v>
      </c>
      <c r="HD84" s="14">
        <f t="shared" si="198"/>
        <v>4</v>
      </c>
      <c r="HE84" s="14">
        <f t="shared" si="199"/>
        <v>5</v>
      </c>
      <c r="HF84" s="14" t="str">
        <f t="shared" si="200"/>
        <v>DmgResist</v>
      </c>
      <c r="HG84" s="14">
        <f t="shared" si="201"/>
        <v>0.1</v>
      </c>
      <c r="HK84" s="13">
        <v>79</v>
      </c>
      <c r="HL84" s="14">
        <f t="shared" si="202"/>
        <v>4</v>
      </c>
      <c r="HM84" s="14">
        <f t="shared" si="203"/>
        <v>1</v>
      </c>
      <c r="HN84" s="14">
        <f t="shared" si="204"/>
        <v>4</v>
      </c>
      <c r="HO84" s="14">
        <f t="shared" si="205"/>
        <v>3</v>
      </c>
      <c r="HP84" s="14" t="str">
        <f t="shared" si="206"/>
        <v>70级寄灵人洗练-Q3-7</v>
      </c>
      <c r="HQ84" s="14">
        <f t="shared" si="207"/>
        <v>1043</v>
      </c>
      <c r="HR84" s="14">
        <f t="shared" si="208"/>
        <v>7</v>
      </c>
      <c r="HS84" s="14">
        <f t="shared" si="209"/>
        <v>500</v>
      </c>
      <c r="HT84" s="14" t="str">
        <f t="shared" si="210"/>
        <v>Crit</v>
      </c>
      <c r="HU84" s="14">
        <f t="shared" si="211"/>
        <v>1.0999999999999999E-2</v>
      </c>
      <c r="HV84" s="14">
        <f t="shared" si="212"/>
        <v>0.03</v>
      </c>
    </row>
    <row r="85" spans="1:230" ht="16.5" x14ac:dyDescent="0.2">
      <c r="EU85" s="13">
        <v>80</v>
      </c>
      <c r="EV85" s="14">
        <f t="shared" si="174"/>
        <v>1</v>
      </c>
      <c r="EW85" s="14">
        <f t="shared" si="175"/>
        <v>80</v>
      </c>
      <c r="EX85" s="14">
        <f t="shared" si="176"/>
        <v>11</v>
      </c>
      <c r="EY85" s="14">
        <f t="shared" si="151"/>
        <v>10</v>
      </c>
      <c r="EZ85" s="14">
        <f t="shared" si="152"/>
        <v>3</v>
      </c>
      <c r="FA85" s="14">
        <f t="shared" si="153"/>
        <v>50</v>
      </c>
      <c r="FB85" s="14">
        <f t="shared" si="154"/>
        <v>1</v>
      </c>
      <c r="FC85" s="14">
        <f t="shared" si="155"/>
        <v>2</v>
      </c>
      <c r="FD85" s="14">
        <f t="shared" si="156"/>
        <v>2</v>
      </c>
      <c r="FE85" s="14" t="b">
        <f t="shared" si="177"/>
        <v>0</v>
      </c>
      <c r="FF85" s="14">
        <f t="shared" si="157"/>
        <v>2003102</v>
      </c>
      <c r="FG85" s="13" t="str">
        <f t="shared" si="158"/>
        <v>50级-普通寄灵人の头盔</v>
      </c>
      <c r="FH85" s="14">
        <f t="shared" si="159"/>
        <v>1</v>
      </c>
      <c r="FI85" s="14">
        <f t="shared" si="160"/>
        <v>1</v>
      </c>
      <c r="FJ85" s="14">
        <f t="shared" si="161"/>
        <v>50</v>
      </c>
      <c r="FK85" s="14">
        <v>1</v>
      </c>
      <c r="FL85" s="14">
        <f t="shared" si="162"/>
        <v>3</v>
      </c>
      <c r="FM85" s="14">
        <f t="shared" si="178"/>
        <v>2</v>
      </c>
      <c r="FN85" s="14" t="str">
        <f t="shared" si="163"/>
        <v/>
      </c>
      <c r="FO85" s="14">
        <f t="shared" si="164"/>
        <v>30</v>
      </c>
      <c r="FP85" s="14">
        <f t="shared" si="179"/>
        <v>0</v>
      </c>
      <c r="FQ85" s="14">
        <f t="shared" si="180"/>
        <v>35</v>
      </c>
      <c r="FR85" s="14">
        <f t="shared" si="181"/>
        <v>0</v>
      </c>
      <c r="FS85" s="14">
        <f t="shared" si="182"/>
        <v>0</v>
      </c>
      <c r="FT85" s="14">
        <f t="shared" si="183"/>
        <v>3</v>
      </c>
      <c r="FU85" s="14">
        <f t="shared" si="184"/>
        <v>0</v>
      </c>
      <c r="FV85" s="14">
        <f t="shared" si="165"/>
        <v>1031</v>
      </c>
      <c r="FW85" s="14">
        <f t="shared" si="166"/>
        <v>0</v>
      </c>
      <c r="FX85" s="14" t="str">
        <f t="shared" si="167"/>
        <v/>
      </c>
      <c r="FY85" s="25" t="str">
        <f t="shared" si="185"/>
        <v>icon_2003102</v>
      </c>
      <c r="GC85" s="14">
        <f t="shared" si="168"/>
        <v>2</v>
      </c>
      <c r="GD85" s="14">
        <f t="shared" si="169"/>
        <v>0</v>
      </c>
      <c r="GE85" s="14">
        <f t="shared" si="186"/>
        <v>30</v>
      </c>
      <c r="GF85" s="14" t="str">
        <f t="shared" si="170"/>
        <v>DefExt</v>
      </c>
      <c r="GG85" s="14">
        <f t="shared" si="187"/>
        <v>35</v>
      </c>
      <c r="GH85" s="14">
        <f t="shared" si="188"/>
        <v>3</v>
      </c>
      <c r="GI85" s="14" t="str">
        <f t="shared" si="171"/>
        <v/>
      </c>
      <c r="GJ85" s="14" t="str">
        <f t="shared" si="189"/>
        <v/>
      </c>
      <c r="GK85" s="14" t="str">
        <f t="shared" si="190"/>
        <v/>
      </c>
      <c r="GL85" s="14">
        <f t="shared" si="172"/>
        <v>20310</v>
      </c>
      <c r="GM85" s="14">
        <f t="shared" si="191"/>
        <v>0</v>
      </c>
      <c r="GN85" s="14" t="str">
        <f t="shared" si="192"/>
        <v/>
      </c>
      <c r="GO85" s="25" t="s">
        <v>1471</v>
      </c>
      <c r="GP85" s="14">
        <f t="shared" si="173"/>
        <v>10</v>
      </c>
      <c r="GW85" s="13">
        <v>80</v>
      </c>
      <c r="GX85" s="14">
        <f t="shared" si="193"/>
        <v>25</v>
      </c>
      <c r="GY85" s="14">
        <f t="shared" si="194"/>
        <v>1</v>
      </c>
      <c r="GZ85" s="14">
        <f t="shared" si="195"/>
        <v>2</v>
      </c>
      <c r="HA85" s="14">
        <f t="shared" si="196"/>
        <v>210942</v>
      </c>
      <c r="HB85" s="14" t="str">
        <f t="shared" si="197"/>
        <v>130级守护灵の防御套 : 属性-1</v>
      </c>
      <c r="HC85" s="14" t="s">
        <v>1396</v>
      </c>
      <c r="HD85" s="14">
        <f t="shared" si="198"/>
        <v>1</v>
      </c>
      <c r="HE85" s="14">
        <f t="shared" si="199"/>
        <v>2</v>
      </c>
      <c r="HF85" s="14" t="str">
        <f t="shared" si="200"/>
        <v>DefExt</v>
      </c>
      <c r="HG85" s="14">
        <f t="shared" si="201"/>
        <v>2500</v>
      </c>
      <c r="HK85" s="13">
        <v>80</v>
      </c>
      <c r="HL85" s="14">
        <f t="shared" si="202"/>
        <v>4</v>
      </c>
      <c r="HM85" s="14">
        <f t="shared" si="203"/>
        <v>1</v>
      </c>
      <c r="HN85" s="14">
        <f t="shared" si="204"/>
        <v>4</v>
      </c>
      <c r="HO85" s="14">
        <f t="shared" si="205"/>
        <v>3</v>
      </c>
      <c r="HP85" s="14" t="str">
        <f t="shared" si="206"/>
        <v>70级寄灵人洗练-Q3-8</v>
      </c>
      <c r="HQ85" s="14">
        <f t="shared" si="207"/>
        <v>1043</v>
      </c>
      <c r="HR85" s="14">
        <f t="shared" si="208"/>
        <v>8</v>
      </c>
      <c r="HS85" s="14">
        <f t="shared" si="209"/>
        <v>500</v>
      </c>
      <c r="HT85" s="14" t="str">
        <f t="shared" si="210"/>
        <v>CritRate</v>
      </c>
      <c r="HU85" s="14">
        <f t="shared" si="211"/>
        <v>2.8000000000000001E-2</v>
      </c>
      <c r="HV85" s="14">
        <f t="shared" si="212"/>
        <v>0.08</v>
      </c>
    </row>
    <row r="86" spans="1:230" ht="16.5" x14ac:dyDescent="0.2">
      <c r="EU86" s="13">
        <v>81</v>
      </c>
      <c r="EV86" s="14">
        <f t="shared" si="174"/>
        <v>1</v>
      </c>
      <c r="EW86" s="14">
        <f t="shared" si="175"/>
        <v>81</v>
      </c>
      <c r="EX86" s="14">
        <f t="shared" si="176"/>
        <v>11</v>
      </c>
      <c r="EY86" s="14">
        <f t="shared" si="151"/>
        <v>10</v>
      </c>
      <c r="EZ86" s="14">
        <f t="shared" si="152"/>
        <v>3</v>
      </c>
      <c r="FA86" s="14">
        <f t="shared" si="153"/>
        <v>50</v>
      </c>
      <c r="FB86" s="14">
        <f t="shared" si="154"/>
        <v>1</v>
      </c>
      <c r="FC86" s="14">
        <f t="shared" si="155"/>
        <v>3</v>
      </c>
      <c r="FD86" s="14">
        <f t="shared" si="156"/>
        <v>3</v>
      </c>
      <c r="FE86" s="14" t="b">
        <f t="shared" si="177"/>
        <v>0</v>
      </c>
      <c r="FF86" s="14">
        <f t="shared" si="157"/>
        <v>2003103</v>
      </c>
      <c r="FG86" s="13" t="str">
        <f t="shared" si="158"/>
        <v>50级-普通寄灵人の铠甲</v>
      </c>
      <c r="FH86" s="14">
        <f t="shared" si="159"/>
        <v>1</v>
      </c>
      <c r="FI86" s="14">
        <f t="shared" si="160"/>
        <v>1</v>
      </c>
      <c r="FJ86" s="14">
        <f t="shared" si="161"/>
        <v>50</v>
      </c>
      <c r="FK86" s="14">
        <v>1</v>
      </c>
      <c r="FL86" s="14">
        <f t="shared" si="162"/>
        <v>3</v>
      </c>
      <c r="FM86" s="14">
        <f t="shared" si="178"/>
        <v>3</v>
      </c>
      <c r="FN86" s="14" t="str">
        <f t="shared" si="163"/>
        <v/>
      </c>
      <c r="FO86" s="14">
        <f t="shared" si="164"/>
        <v>28</v>
      </c>
      <c r="FP86" s="14">
        <f t="shared" si="179"/>
        <v>0</v>
      </c>
      <c r="FQ86" s="14">
        <f t="shared" si="180"/>
        <v>15</v>
      </c>
      <c r="FR86" s="14">
        <f t="shared" si="181"/>
        <v>235</v>
      </c>
      <c r="FS86" s="14">
        <f t="shared" si="182"/>
        <v>0</v>
      </c>
      <c r="FT86" s="14">
        <f t="shared" si="183"/>
        <v>1</v>
      </c>
      <c r="FU86" s="14">
        <f t="shared" si="184"/>
        <v>18</v>
      </c>
      <c r="FV86" s="14">
        <f t="shared" si="165"/>
        <v>1031</v>
      </c>
      <c r="FW86" s="14">
        <f t="shared" si="166"/>
        <v>0</v>
      </c>
      <c r="FX86" s="14" t="str">
        <f t="shared" si="167"/>
        <v/>
      </c>
      <c r="FY86" s="25" t="str">
        <f t="shared" si="185"/>
        <v>icon_2003103</v>
      </c>
      <c r="GC86" s="14">
        <f t="shared" si="168"/>
        <v>2</v>
      </c>
      <c r="GD86" s="14">
        <f t="shared" si="169"/>
        <v>3</v>
      </c>
      <c r="GE86" s="14">
        <f t="shared" si="186"/>
        <v>28</v>
      </c>
      <c r="GF86" s="14" t="str">
        <f t="shared" si="170"/>
        <v>DefExt</v>
      </c>
      <c r="GG86" s="14">
        <f t="shared" si="187"/>
        <v>15</v>
      </c>
      <c r="GH86" s="14">
        <f t="shared" si="188"/>
        <v>1</v>
      </c>
      <c r="GI86" s="14" t="str">
        <f t="shared" si="171"/>
        <v>HPExt</v>
      </c>
      <c r="GJ86" s="14">
        <f t="shared" si="189"/>
        <v>235</v>
      </c>
      <c r="GK86" s="14">
        <f t="shared" si="190"/>
        <v>18</v>
      </c>
      <c r="GL86" s="14">
        <f t="shared" si="172"/>
        <v>20310</v>
      </c>
      <c r="GM86" s="14">
        <f t="shared" si="191"/>
        <v>0</v>
      </c>
      <c r="GN86" s="14" t="str">
        <f t="shared" si="192"/>
        <v/>
      </c>
      <c r="GO86" s="25" t="s">
        <v>1471</v>
      </c>
      <c r="GP86" s="14">
        <f t="shared" si="173"/>
        <v>10</v>
      </c>
      <c r="GW86" s="13">
        <v>81</v>
      </c>
      <c r="GX86" s="14">
        <f t="shared" si="193"/>
        <v>25</v>
      </c>
      <c r="GY86" s="14">
        <f t="shared" si="194"/>
        <v>2</v>
      </c>
      <c r="GZ86" s="14">
        <f t="shared" si="195"/>
        <v>3</v>
      </c>
      <c r="HA86" s="14">
        <f t="shared" si="196"/>
        <v>210942</v>
      </c>
      <c r="HB86" s="14" t="str">
        <f t="shared" si="197"/>
        <v>130级守护灵の防御套 : 属性-2</v>
      </c>
      <c r="HC86" s="14" t="s">
        <v>1396</v>
      </c>
      <c r="HD86" s="14">
        <f t="shared" si="198"/>
        <v>2</v>
      </c>
      <c r="HE86" s="14">
        <f t="shared" si="199"/>
        <v>3</v>
      </c>
      <c r="HF86" s="14" t="str">
        <f t="shared" si="200"/>
        <v>HPExt</v>
      </c>
      <c r="HG86" s="14">
        <f t="shared" si="201"/>
        <v>50000</v>
      </c>
      <c r="HK86" s="13">
        <v>81</v>
      </c>
      <c r="HL86" s="14">
        <f t="shared" si="202"/>
        <v>4</v>
      </c>
      <c r="HM86" s="14">
        <f t="shared" si="203"/>
        <v>1</v>
      </c>
      <c r="HN86" s="14">
        <f t="shared" si="204"/>
        <v>4</v>
      </c>
      <c r="HO86" s="14">
        <f t="shared" si="205"/>
        <v>3</v>
      </c>
      <c r="HP86" s="14" t="str">
        <f t="shared" si="206"/>
        <v>70级寄灵人洗练-Q3-9</v>
      </c>
      <c r="HQ86" s="14">
        <f t="shared" si="207"/>
        <v>1043</v>
      </c>
      <c r="HR86" s="14">
        <f t="shared" si="208"/>
        <v>9</v>
      </c>
      <c r="HS86" s="14">
        <f t="shared" si="209"/>
        <v>500</v>
      </c>
      <c r="HT86" s="14" t="str">
        <f t="shared" si="210"/>
        <v>DefIgnor</v>
      </c>
      <c r="HU86" s="14">
        <f t="shared" si="211"/>
        <v>1.0999999999999999E-2</v>
      </c>
      <c r="HV86" s="14">
        <f t="shared" si="212"/>
        <v>0.03</v>
      </c>
    </row>
    <row r="87" spans="1:230" ht="16.5" x14ac:dyDescent="0.2">
      <c r="EU87" s="13">
        <v>82</v>
      </c>
      <c r="EV87" s="14">
        <f t="shared" si="174"/>
        <v>1</v>
      </c>
      <c r="EW87" s="14">
        <f t="shared" si="175"/>
        <v>82</v>
      </c>
      <c r="EX87" s="14">
        <f t="shared" si="176"/>
        <v>11</v>
      </c>
      <c r="EY87" s="14">
        <f t="shared" si="151"/>
        <v>10</v>
      </c>
      <c r="EZ87" s="14">
        <f t="shared" si="152"/>
        <v>3</v>
      </c>
      <c r="FA87" s="14">
        <f t="shared" si="153"/>
        <v>50</v>
      </c>
      <c r="FB87" s="14">
        <f t="shared" si="154"/>
        <v>1</v>
      </c>
      <c r="FC87" s="14">
        <f t="shared" si="155"/>
        <v>4</v>
      </c>
      <c r="FD87" s="14">
        <f t="shared" si="156"/>
        <v>4</v>
      </c>
      <c r="FE87" s="14" t="b">
        <f t="shared" si="177"/>
        <v>0</v>
      </c>
      <c r="FF87" s="14">
        <f t="shared" si="157"/>
        <v>2003104</v>
      </c>
      <c r="FG87" s="13" t="str">
        <f t="shared" si="158"/>
        <v>50级-普通寄灵人の裤子</v>
      </c>
      <c r="FH87" s="14">
        <f t="shared" si="159"/>
        <v>1</v>
      </c>
      <c r="FI87" s="14">
        <f t="shared" si="160"/>
        <v>1</v>
      </c>
      <c r="FJ87" s="14">
        <f t="shared" si="161"/>
        <v>50</v>
      </c>
      <c r="FK87" s="14">
        <v>1</v>
      </c>
      <c r="FL87" s="14">
        <f t="shared" si="162"/>
        <v>3</v>
      </c>
      <c r="FM87" s="14">
        <f t="shared" si="178"/>
        <v>4</v>
      </c>
      <c r="FN87" s="14" t="str">
        <f t="shared" si="163"/>
        <v/>
      </c>
      <c r="FO87" s="14">
        <f t="shared" si="164"/>
        <v>30</v>
      </c>
      <c r="FP87" s="14">
        <f t="shared" si="179"/>
        <v>0</v>
      </c>
      <c r="FQ87" s="14">
        <f t="shared" si="180"/>
        <v>35</v>
      </c>
      <c r="FR87" s="14">
        <f t="shared" si="181"/>
        <v>0</v>
      </c>
      <c r="FS87" s="14">
        <f t="shared" si="182"/>
        <v>0</v>
      </c>
      <c r="FT87" s="14">
        <f t="shared" si="183"/>
        <v>3</v>
      </c>
      <c r="FU87" s="14">
        <f t="shared" si="184"/>
        <v>0</v>
      </c>
      <c r="FV87" s="14">
        <f t="shared" si="165"/>
        <v>1031</v>
      </c>
      <c r="FW87" s="14">
        <f t="shared" si="166"/>
        <v>0</v>
      </c>
      <c r="FX87" s="14" t="str">
        <f t="shared" si="167"/>
        <v/>
      </c>
      <c r="FY87" s="25" t="str">
        <f t="shared" si="185"/>
        <v>icon_2003104</v>
      </c>
      <c r="GC87" s="14">
        <f t="shared" si="168"/>
        <v>2</v>
      </c>
      <c r="GD87" s="14">
        <f t="shared" si="169"/>
        <v>0</v>
      </c>
      <c r="GE87" s="14">
        <f t="shared" si="186"/>
        <v>30</v>
      </c>
      <c r="GF87" s="14" t="str">
        <f t="shared" si="170"/>
        <v>DefExt</v>
      </c>
      <c r="GG87" s="14">
        <f t="shared" si="187"/>
        <v>35</v>
      </c>
      <c r="GH87" s="14">
        <f t="shared" si="188"/>
        <v>3</v>
      </c>
      <c r="GI87" s="14" t="str">
        <f t="shared" si="171"/>
        <v/>
      </c>
      <c r="GJ87" s="14" t="str">
        <f t="shared" si="189"/>
        <v/>
      </c>
      <c r="GK87" s="14" t="str">
        <f t="shared" si="190"/>
        <v/>
      </c>
      <c r="GL87" s="14">
        <f t="shared" si="172"/>
        <v>20310</v>
      </c>
      <c r="GM87" s="14">
        <f t="shared" si="191"/>
        <v>0</v>
      </c>
      <c r="GN87" s="14" t="str">
        <f t="shared" si="192"/>
        <v/>
      </c>
      <c r="GO87" s="25" t="s">
        <v>1471</v>
      </c>
      <c r="GP87" s="14">
        <f t="shared" si="173"/>
        <v>10</v>
      </c>
      <c r="GW87" s="13">
        <v>82</v>
      </c>
      <c r="GX87" s="14">
        <f t="shared" si="193"/>
        <v>25</v>
      </c>
      <c r="GY87" s="14">
        <f t="shared" si="194"/>
        <v>3</v>
      </c>
      <c r="GZ87" s="14">
        <f t="shared" si="195"/>
        <v>5</v>
      </c>
      <c r="HA87" s="14">
        <f t="shared" si="196"/>
        <v>210942</v>
      </c>
      <c r="HB87" s="14" t="str">
        <f t="shared" si="197"/>
        <v>130级守护灵の防御套 : 属性-3</v>
      </c>
      <c r="HC87" s="14" t="s">
        <v>1396</v>
      </c>
      <c r="HD87" s="14">
        <f t="shared" si="198"/>
        <v>3</v>
      </c>
      <c r="HE87" s="14">
        <f t="shared" si="199"/>
        <v>5</v>
      </c>
      <c r="HF87" s="14" t="str">
        <f t="shared" si="200"/>
        <v>DefRate</v>
      </c>
      <c r="HG87" s="14">
        <f t="shared" si="201"/>
        <v>0.15</v>
      </c>
      <c r="HK87" s="13">
        <v>82</v>
      </c>
      <c r="HL87" s="14">
        <f t="shared" si="202"/>
        <v>4</v>
      </c>
      <c r="HM87" s="14">
        <f t="shared" si="203"/>
        <v>1</v>
      </c>
      <c r="HN87" s="14">
        <f t="shared" si="204"/>
        <v>4</v>
      </c>
      <c r="HO87" s="14">
        <f t="shared" si="205"/>
        <v>3</v>
      </c>
      <c r="HP87" s="14" t="str">
        <f t="shared" si="206"/>
        <v>70级寄灵人洗练-Q3-10</v>
      </c>
      <c r="HQ87" s="14">
        <f t="shared" si="207"/>
        <v>1043</v>
      </c>
      <c r="HR87" s="14">
        <f t="shared" si="208"/>
        <v>10</v>
      </c>
      <c r="HS87" s="14">
        <f t="shared" si="209"/>
        <v>500</v>
      </c>
      <c r="HT87" s="14" t="str">
        <f t="shared" si="210"/>
        <v>Block</v>
      </c>
      <c r="HU87" s="14">
        <f t="shared" si="211"/>
        <v>1.0999999999999999E-2</v>
      </c>
      <c r="HV87" s="14">
        <f t="shared" si="212"/>
        <v>0.03</v>
      </c>
    </row>
    <row r="88" spans="1:230" ht="16.5" x14ac:dyDescent="0.2">
      <c r="EU88" s="13">
        <v>83</v>
      </c>
      <c r="EV88" s="14">
        <f t="shared" si="174"/>
        <v>1</v>
      </c>
      <c r="EW88" s="14">
        <f t="shared" si="175"/>
        <v>83</v>
      </c>
      <c r="EX88" s="14">
        <f t="shared" si="176"/>
        <v>11</v>
      </c>
      <c r="EY88" s="14">
        <f t="shared" si="151"/>
        <v>10</v>
      </c>
      <c r="EZ88" s="14">
        <f t="shared" si="152"/>
        <v>3</v>
      </c>
      <c r="FA88" s="14">
        <f t="shared" si="153"/>
        <v>50</v>
      </c>
      <c r="FB88" s="14">
        <f t="shared" si="154"/>
        <v>1</v>
      </c>
      <c r="FC88" s="14">
        <f t="shared" si="155"/>
        <v>5</v>
      </c>
      <c r="FD88" s="14">
        <f t="shared" si="156"/>
        <v>5</v>
      </c>
      <c r="FE88" s="14" t="b">
        <f t="shared" si="177"/>
        <v>0</v>
      </c>
      <c r="FF88" s="14">
        <f t="shared" si="157"/>
        <v>2003105</v>
      </c>
      <c r="FG88" s="13" t="str">
        <f t="shared" si="158"/>
        <v>50级-普通寄灵人の鞋子</v>
      </c>
      <c r="FH88" s="14">
        <f t="shared" si="159"/>
        <v>1</v>
      </c>
      <c r="FI88" s="14">
        <f t="shared" si="160"/>
        <v>1</v>
      </c>
      <c r="FJ88" s="14">
        <f t="shared" si="161"/>
        <v>50</v>
      </c>
      <c r="FK88" s="14">
        <v>1</v>
      </c>
      <c r="FL88" s="14">
        <f t="shared" si="162"/>
        <v>3</v>
      </c>
      <c r="FM88" s="14">
        <f t="shared" si="178"/>
        <v>5</v>
      </c>
      <c r="FN88" s="14" t="str">
        <f t="shared" si="163"/>
        <v/>
      </c>
      <c r="FO88" s="14">
        <f t="shared" si="164"/>
        <v>36</v>
      </c>
      <c r="FP88" s="14">
        <f t="shared" si="179"/>
        <v>0</v>
      </c>
      <c r="FQ88" s="14">
        <f t="shared" si="180"/>
        <v>0</v>
      </c>
      <c r="FR88" s="14">
        <f t="shared" si="181"/>
        <v>465</v>
      </c>
      <c r="FS88" s="14">
        <f t="shared" si="182"/>
        <v>0</v>
      </c>
      <c r="FT88" s="14">
        <f t="shared" si="183"/>
        <v>0</v>
      </c>
      <c r="FU88" s="14">
        <f t="shared" si="184"/>
        <v>36</v>
      </c>
      <c r="FV88" s="14">
        <f t="shared" si="165"/>
        <v>1031</v>
      </c>
      <c r="FW88" s="14">
        <f t="shared" si="166"/>
        <v>0</v>
      </c>
      <c r="FX88" s="14" t="str">
        <f t="shared" si="167"/>
        <v/>
      </c>
      <c r="FY88" s="25" t="str">
        <f t="shared" si="185"/>
        <v>icon_2003105</v>
      </c>
      <c r="GC88" s="14">
        <f t="shared" si="168"/>
        <v>3</v>
      </c>
      <c r="GD88" s="14">
        <f t="shared" si="169"/>
        <v>0</v>
      </c>
      <c r="GE88" s="14">
        <f t="shared" si="186"/>
        <v>36</v>
      </c>
      <c r="GF88" s="14" t="str">
        <f t="shared" si="170"/>
        <v>HPExt</v>
      </c>
      <c r="GG88" s="14">
        <f t="shared" si="187"/>
        <v>465</v>
      </c>
      <c r="GH88" s="14">
        <f t="shared" si="188"/>
        <v>36</v>
      </c>
      <c r="GI88" s="14" t="str">
        <f t="shared" si="171"/>
        <v/>
      </c>
      <c r="GJ88" s="14" t="str">
        <f t="shared" si="189"/>
        <v/>
      </c>
      <c r="GK88" s="14" t="str">
        <f t="shared" si="190"/>
        <v/>
      </c>
      <c r="GL88" s="14">
        <f t="shared" si="172"/>
        <v>20310</v>
      </c>
      <c r="GM88" s="14">
        <f t="shared" si="191"/>
        <v>0</v>
      </c>
      <c r="GN88" s="14" t="str">
        <f t="shared" si="192"/>
        <v/>
      </c>
      <c r="GO88" s="25" t="s">
        <v>1471</v>
      </c>
      <c r="GP88" s="14">
        <f t="shared" si="173"/>
        <v>10</v>
      </c>
      <c r="GW88" s="13">
        <v>83</v>
      </c>
      <c r="GX88" s="14">
        <f t="shared" si="193"/>
        <v>26</v>
      </c>
      <c r="GY88" s="14">
        <f t="shared" si="194"/>
        <v>1</v>
      </c>
      <c r="GZ88" s="14">
        <f t="shared" si="195"/>
        <v>1</v>
      </c>
      <c r="HA88" s="14">
        <f t="shared" si="196"/>
        <v>211041</v>
      </c>
      <c r="HB88" s="14" t="str">
        <f t="shared" si="197"/>
        <v>140级守护灵の攻击套 : 属性-1</v>
      </c>
      <c r="HC88" s="14" t="s">
        <v>1396</v>
      </c>
      <c r="HD88" s="14">
        <f t="shared" si="198"/>
        <v>1</v>
      </c>
      <c r="HE88" s="14">
        <f t="shared" si="199"/>
        <v>2</v>
      </c>
      <c r="HF88" s="14" t="str">
        <f t="shared" si="200"/>
        <v>AtkExt</v>
      </c>
      <c r="HG88" s="14">
        <f t="shared" si="201"/>
        <v>6000</v>
      </c>
      <c r="HK88" s="13">
        <v>83</v>
      </c>
      <c r="HL88" s="14">
        <f t="shared" si="202"/>
        <v>4</v>
      </c>
      <c r="HM88" s="14">
        <f t="shared" si="203"/>
        <v>1</v>
      </c>
      <c r="HN88" s="14">
        <f t="shared" si="204"/>
        <v>4</v>
      </c>
      <c r="HO88" s="14">
        <f t="shared" si="205"/>
        <v>3</v>
      </c>
      <c r="HP88" s="14" t="str">
        <f t="shared" si="206"/>
        <v>70级寄灵人洗练-Q3-11</v>
      </c>
      <c r="HQ88" s="14">
        <f t="shared" si="207"/>
        <v>1043</v>
      </c>
      <c r="HR88" s="14">
        <f t="shared" si="208"/>
        <v>11</v>
      </c>
      <c r="HS88" s="14">
        <f t="shared" si="209"/>
        <v>500</v>
      </c>
      <c r="HT88" s="14" t="str">
        <f t="shared" si="210"/>
        <v>EffectHit</v>
      </c>
      <c r="HU88" s="14">
        <f t="shared" si="211"/>
        <v>1.7999999999999999E-2</v>
      </c>
      <c r="HV88" s="14">
        <f t="shared" si="212"/>
        <v>0.05</v>
      </c>
    </row>
    <row r="89" spans="1:230" ht="16.5" x14ac:dyDescent="0.2">
      <c r="EU89" s="13">
        <v>84</v>
      </c>
      <c r="EV89" s="14">
        <f t="shared" si="174"/>
        <v>1</v>
      </c>
      <c r="EW89" s="14">
        <f t="shared" si="175"/>
        <v>84</v>
      </c>
      <c r="EX89" s="14">
        <f t="shared" si="176"/>
        <v>11</v>
      </c>
      <c r="EY89" s="14">
        <f t="shared" si="151"/>
        <v>10</v>
      </c>
      <c r="EZ89" s="14">
        <f t="shared" si="152"/>
        <v>3</v>
      </c>
      <c r="FA89" s="14">
        <f t="shared" si="153"/>
        <v>50</v>
      </c>
      <c r="FB89" s="14">
        <f t="shared" si="154"/>
        <v>1</v>
      </c>
      <c r="FC89" s="14">
        <f t="shared" si="155"/>
        <v>6</v>
      </c>
      <c r="FD89" s="14">
        <f t="shared" si="156"/>
        <v>6</v>
      </c>
      <c r="FE89" s="14" t="b">
        <f t="shared" si="177"/>
        <v>0</v>
      </c>
      <c r="FF89" s="14">
        <f t="shared" si="157"/>
        <v>2003106</v>
      </c>
      <c r="FG89" s="13" t="str">
        <f t="shared" si="158"/>
        <v>50级-普通寄灵人の护手</v>
      </c>
      <c r="FH89" s="14">
        <f t="shared" si="159"/>
        <v>1</v>
      </c>
      <c r="FI89" s="14">
        <f t="shared" si="160"/>
        <v>1</v>
      </c>
      <c r="FJ89" s="14">
        <f t="shared" si="161"/>
        <v>50</v>
      </c>
      <c r="FK89" s="14">
        <v>1</v>
      </c>
      <c r="FL89" s="14">
        <f t="shared" si="162"/>
        <v>3</v>
      </c>
      <c r="FM89" s="14">
        <f t="shared" si="178"/>
        <v>6</v>
      </c>
      <c r="FN89" s="14" t="str">
        <f t="shared" si="163"/>
        <v/>
      </c>
      <c r="FO89" s="14">
        <f t="shared" si="164"/>
        <v>36</v>
      </c>
      <c r="FP89" s="14">
        <f t="shared" si="179"/>
        <v>0</v>
      </c>
      <c r="FQ89" s="14">
        <f t="shared" si="180"/>
        <v>0</v>
      </c>
      <c r="FR89" s="14">
        <f t="shared" si="181"/>
        <v>465</v>
      </c>
      <c r="FS89" s="14">
        <f t="shared" si="182"/>
        <v>0</v>
      </c>
      <c r="FT89" s="14">
        <f t="shared" si="183"/>
        <v>0</v>
      </c>
      <c r="FU89" s="14">
        <f t="shared" si="184"/>
        <v>36</v>
      </c>
      <c r="FV89" s="14">
        <f t="shared" si="165"/>
        <v>1031</v>
      </c>
      <c r="FW89" s="14">
        <f t="shared" si="166"/>
        <v>0</v>
      </c>
      <c r="FX89" s="14" t="str">
        <f t="shared" si="167"/>
        <v/>
      </c>
      <c r="FY89" s="25" t="str">
        <f t="shared" si="185"/>
        <v>icon_2003106</v>
      </c>
      <c r="GC89" s="14">
        <f t="shared" si="168"/>
        <v>3</v>
      </c>
      <c r="GD89" s="14">
        <f t="shared" si="169"/>
        <v>0</v>
      </c>
      <c r="GE89" s="14">
        <f t="shared" si="186"/>
        <v>36</v>
      </c>
      <c r="GF89" s="14" t="str">
        <f t="shared" si="170"/>
        <v>HPExt</v>
      </c>
      <c r="GG89" s="14">
        <f t="shared" si="187"/>
        <v>465</v>
      </c>
      <c r="GH89" s="14">
        <f t="shared" si="188"/>
        <v>36</v>
      </c>
      <c r="GI89" s="14" t="str">
        <f t="shared" si="171"/>
        <v/>
      </c>
      <c r="GJ89" s="14" t="str">
        <f t="shared" si="189"/>
        <v/>
      </c>
      <c r="GK89" s="14" t="str">
        <f t="shared" si="190"/>
        <v/>
      </c>
      <c r="GL89" s="14">
        <f t="shared" si="172"/>
        <v>20310</v>
      </c>
      <c r="GM89" s="14">
        <f t="shared" si="191"/>
        <v>0</v>
      </c>
      <c r="GN89" s="14" t="str">
        <f t="shared" si="192"/>
        <v/>
      </c>
      <c r="GO89" s="25" t="s">
        <v>1471</v>
      </c>
      <c r="GP89" s="14">
        <f t="shared" si="173"/>
        <v>10</v>
      </c>
      <c r="GW89" s="13">
        <v>84</v>
      </c>
      <c r="GX89" s="14">
        <f t="shared" si="193"/>
        <v>26</v>
      </c>
      <c r="GY89" s="14">
        <f t="shared" si="194"/>
        <v>2</v>
      </c>
      <c r="GZ89" s="14">
        <f t="shared" si="195"/>
        <v>3</v>
      </c>
      <c r="HA89" s="14">
        <f t="shared" si="196"/>
        <v>211041</v>
      </c>
      <c r="HB89" s="14" t="str">
        <f t="shared" si="197"/>
        <v>140级守护灵の攻击套 : 属性-2</v>
      </c>
      <c r="HC89" s="14" t="s">
        <v>1396</v>
      </c>
      <c r="HD89" s="14">
        <f t="shared" si="198"/>
        <v>2</v>
      </c>
      <c r="HE89" s="14">
        <f t="shared" si="199"/>
        <v>3</v>
      </c>
      <c r="HF89" s="14" t="str">
        <f t="shared" si="200"/>
        <v>HPExt</v>
      </c>
      <c r="HG89" s="14">
        <f t="shared" si="201"/>
        <v>60000</v>
      </c>
      <c r="HK89" s="13">
        <v>84</v>
      </c>
      <c r="HL89" s="14">
        <f t="shared" si="202"/>
        <v>4</v>
      </c>
      <c r="HM89" s="14">
        <f t="shared" si="203"/>
        <v>1</v>
      </c>
      <c r="HN89" s="14">
        <f t="shared" si="204"/>
        <v>4</v>
      </c>
      <c r="HO89" s="14">
        <f t="shared" si="205"/>
        <v>3</v>
      </c>
      <c r="HP89" s="14" t="str">
        <f t="shared" si="206"/>
        <v>70级寄灵人洗练-Q3-12</v>
      </c>
      <c r="HQ89" s="14">
        <f t="shared" si="207"/>
        <v>1043</v>
      </c>
      <c r="HR89" s="14">
        <f t="shared" si="208"/>
        <v>12</v>
      </c>
      <c r="HS89" s="14">
        <f t="shared" si="209"/>
        <v>500</v>
      </c>
      <c r="HT89" s="14" t="str">
        <f t="shared" si="210"/>
        <v>EffectResist</v>
      </c>
      <c r="HU89" s="14">
        <f t="shared" si="211"/>
        <v>1.7999999999999999E-2</v>
      </c>
      <c r="HV89" s="14">
        <f t="shared" si="212"/>
        <v>0.05</v>
      </c>
    </row>
    <row r="90" spans="1:230" ht="16.5" x14ac:dyDescent="0.2">
      <c r="EU90" s="13">
        <v>85</v>
      </c>
      <c r="EV90" s="14">
        <f t="shared" si="174"/>
        <v>1</v>
      </c>
      <c r="EW90" s="14">
        <f t="shared" si="175"/>
        <v>85</v>
      </c>
      <c r="EX90" s="14">
        <f t="shared" si="176"/>
        <v>11</v>
      </c>
      <c r="EY90" s="14">
        <f t="shared" si="151"/>
        <v>10</v>
      </c>
      <c r="EZ90" s="14">
        <f t="shared" si="152"/>
        <v>3</v>
      </c>
      <c r="FA90" s="14">
        <f t="shared" si="153"/>
        <v>50</v>
      </c>
      <c r="FB90" s="14">
        <f t="shared" si="154"/>
        <v>1</v>
      </c>
      <c r="FC90" s="14">
        <f t="shared" si="155"/>
        <v>7</v>
      </c>
      <c r="FD90" s="14">
        <f t="shared" si="156"/>
        <v>7</v>
      </c>
      <c r="FE90" s="14" t="b">
        <f t="shared" si="177"/>
        <v>0</v>
      </c>
      <c r="FF90" s="14">
        <f t="shared" si="157"/>
        <v>2003107</v>
      </c>
      <c r="FG90" s="13" t="str">
        <f t="shared" si="158"/>
        <v>50级-普通寄灵人の项链</v>
      </c>
      <c r="FH90" s="14">
        <f t="shared" si="159"/>
        <v>1</v>
      </c>
      <c r="FI90" s="14">
        <f t="shared" si="160"/>
        <v>1</v>
      </c>
      <c r="FJ90" s="14">
        <f t="shared" si="161"/>
        <v>50</v>
      </c>
      <c r="FK90" s="14">
        <v>1</v>
      </c>
      <c r="FL90" s="14">
        <f t="shared" si="162"/>
        <v>3</v>
      </c>
      <c r="FM90" s="14">
        <f t="shared" si="178"/>
        <v>7</v>
      </c>
      <c r="FN90" s="14" t="str">
        <f t="shared" si="163"/>
        <v/>
      </c>
      <c r="FO90" s="14">
        <f t="shared" si="164"/>
        <v>35</v>
      </c>
      <c r="FP90" s="14">
        <f t="shared" si="179"/>
        <v>45</v>
      </c>
      <c r="FQ90" s="14">
        <f t="shared" si="180"/>
        <v>30</v>
      </c>
      <c r="FR90" s="14">
        <f t="shared" si="181"/>
        <v>0</v>
      </c>
      <c r="FS90" s="14">
        <f t="shared" si="182"/>
        <v>3</v>
      </c>
      <c r="FT90" s="14">
        <f t="shared" si="183"/>
        <v>2</v>
      </c>
      <c r="FU90" s="14">
        <f t="shared" si="184"/>
        <v>0</v>
      </c>
      <c r="FV90" s="14">
        <f t="shared" si="165"/>
        <v>1031</v>
      </c>
      <c r="FW90" s="14">
        <f t="shared" si="166"/>
        <v>0</v>
      </c>
      <c r="FX90" s="14" t="str">
        <f t="shared" si="167"/>
        <v/>
      </c>
      <c r="FY90" s="25" t="str">
        <f t="shared" si="185"/>
        <v>icon_2003107</v>
      </c>
      <c r="GC90" s="14">
        <f t="shared" si="168"/>
        <v>1</v>
      </c>
      <c r="GD90" s="14">
        <f t="shared" si="169"/>
        <v>2</v>
      </c>
      <c r="GE90" s="14">
        <f t="shared" si="186"/>
        <v>35</v>
      </c>
      <c r="GF90" s="14" t="str">
        <f t="shared" si="170"/>
        <v>AtkExt</v>
      </c>
      <c r="GG90" s="14">
        <f t="shared" si="187"/>
        <v>45</v>
      </c>
      <c r="GH90" s="14">
        <f t="shared" si="188"/>
        <v>3</v>
      </c>
      <c r="GI90" s="14" t="str">
        <f t="shared" si="171"/>
        <v>DefExt</v>
      </c>
      <c r="GJ90" s="14">
        <f t="shared" si="189"/>
        <v>30</v>
      </c>
      <c r="GK90" s="14">
        <f t="shared" si="190"/>
        <v>2</v>
      </c>
      <c r="GL90" s="14">
        <f t="shared" si="172"/>
        <v>20310</v>
      </c>
      <c r="GM90" s="14">
        <f t="shared" si="191"/>
        <v>0</v>
      </c>
      <c r="GN90" s="14" t="str">
        <f t="shared" si="192"/>
        <v/>
      </c>
      <c r="GO90" s="25" t="s">
        <v>1471</v>
      </c>
      <c r="GP90" s="14">
        <f t="shared" si="173"/>
        <v>15</v>
      </c>
      <c r="GW90" s="13">
        <v>85</v>
      </c>
      <c r="GX90" s="14">
        <f t="shared" si="193"/>
        <v>26</v>
      </c>
      <c r="GY90" s="14">
        <f t="shared" si="194"/>
        <v>3</v>
      </c>
      <c r="GZ90" s="14">
        <f t="shared" si="195"/>
        <v>4</v>
      </c>
      <c r="HA90" s="14">
        <f t="shared" si="196"/>
        <v>211041</v>
      </c>
      <c r="HB90" s="14" t="str">
        <f t="shared" si="197"/>
        <v>140级守护灵の攻击套 : 属性-3</v>
      </c>
      <c r="HC90" s="14" t="s">
        <v>1396</v>
      </c>
      <c r="HD90" s="14">
        <f t="shared" si="198"/>
        <v>3</v>
      </c>
      <c r="HE90" s="14">
        <f t="shared" si="199"/>
        <v>5</v>
      </c>
      <c r="HF90" s="14" t="str">
        <f t="shared" si="200"/>
        <v>AtkRate</v>
      </c>
      <c r="HG90" s="14">
        <f t="shared" si="201"/>
        <v>0.15</v>
      </c>
      <c r="HK90" s="13">
        <v>85</v>
      </c>
      <c r="HL90" s="14">
        <f t="shared" si="202"/>
        <v>4</v>
      </c>
      <c r="HM90" s="14">
        <f t="shared" si="203"/>
        <v>1</v>
      </c>
      <c r="HN90" s="14">
        <f t="shared" si="204"/>
        <v>4</v>
      </c>
      <c r="HO90" s="14">
        <f t="shared" si="205"/>
        <v>4</v>
      </c>
      <c r="HP90" s="14" t="str">
        <f t="shared" si="206"/>
        <v>70级寄灵人洗练-Q4-1</v>
      </c>
      <c r="HQ90" s="14">
        <f t="shared" si="207"/>
        <v>1044</v>
      </c>
      <c r="HR90" s="14">
        <f t="shared" si="208"/>
        <v>1</v>
      </c>
      <c r="HS90" s="14">
        <f t="shared" si="209"/>
        <v>1800</v>
      </c>
      <c r="HT90" s="14" t="str">
        <f t="shared" si="210"/>
        <v>AtkExt</v>
      </c>
      <c r="HU90" s="14">
        <f t="shared" si="211"/>
        <v>62</v>
      </c>
      <c r="HV90" s="14">
        <f t="shared" si="212"/>
        <v>179</v>
      </c>
    </row>
    <row r="91" spans="1:230" ht="16.5" x14ac:dyDescent="0.2">
      <c r="EU91" s="13">
        <v>86</v>
      </c>
      <c r="EV91" s="14">
        <f t="shared" si="174"/>
        <v>1</v>
      </c>
      <c r="EW91" s="14">
        <f t="shared" si="175"/>
        <v>86</v>
      </c>
      <c r="EX91" s="14">
        <f t="shared" si="176"/>
        <v>11</v>
      </c>
      <c r="EY91" s="14">
        <f t="shared" si="151"/>
        <v>10</v>
      </c>
      <c r="EZ91" s="14">
        <f t="shared" si="152"/>
        <v>3</v>
      </c>
      <c r="FA91" s="14">
        <f t="shared" si="153"/>
        <v>50</v>
      </c>
      <c r="FB91" s="14">
        <f t="shared" si="154"/>
        <v>1</v>
      </c>
      <c r="FC91" s="14">
        <f t="shared" si="155"/>
        <v>8</v>
      </c>
      <c r="FD91" s="14">
        <f t="shared" si="156"/>
        <v>8</v>
      </c>
      <c r="FE91" s="14" t="b">
        <f t="shared" si="177"/>
        <v>0</v>
      </c>
      <c r="FF91" s="14">
        <f t="shared" si="157"/>
        <v>2003108</v>
      </c>
      <c r="FG91" s="13" t="str">
        <f t="shared" si="158"/>
        <v>50级-普通寄灵人の戒指</v>
      </c>
      <c r="FH91" s="14">
        <f t="shared" si="159"/>
        <v>1</v>
      </c>
      <c r="FI91" s="14">
        <f t="shared" si="160"/>
        <v>1</v>
      </c>
      <c r="FJ91" s="14">
        <f t="shared" si="161"/>
        <v>50</v>
      </c>
      <c r="FK91" s="14">
        <v>1</v>
      </c>
      <c r="FL91" s="14">
        <f t="shared" si="162"/>
        <v>3</v>
      </c>
      <c r="FM91" s="14">
        <f t="shared" si="178"/>
        <v>8</v>
      </c>
      <c r="FN91" s="14" t="str">
        <f t="shared" si="163"/>
        <v/>
      </c>
      <c r="FO91" s="14">
        <f t="shared" si="164"/>
        <v>45</v>
      </c>
      <c r="FP91" s="14">
        <f t="shared" si="179"/>
        <v>45</v>
      </c>
      <c r="FQ91" s="14">
        <f t="shared" si="180"/>
        <v>0</v>
      </c>
      <c r="FR91" s="14">
        <f t="shared" si="181"/>
        <v>390</v>
      </c>
      <c r="FS91" s="14">
        <f t="shared" si="182"/>
        <v>3</v>
      </c>
      <c r="FT91" s="14">
        <f t="shared" si="183"/>
        <v>0</v>
      </c>
      <c r="FU91" s="14">
        <f t="shared" si="184"/>
        <v>30</v>
      </c>
      <c r="FV91" s="14">
        <f t="shared" si="165"/>
        <v>1031</v>
      </c>
      <c r="FW91" s="14">
        <f t="shared" si="166"/>
        <v>0</v>
      </c>
      <c r="FX91" s="14" t="str">
        <f t="shared" si="167"/>
        <v/>
      </c>
      <c r="FY91" s="25" t="str">
        <f t="shared" si="185"/>
        <v>icon_2003108</v>
      </c>
      <c r="GC91" s="14">
        <f t="shared" si="168"/>
        <v>1</v>
      </c>
      <c r="GD91" s="14">
        <f t="shared" si="169"/>
        <v>3</v>
      </c>
      <c r="GE91" s="14">
        <f t="shared" si="186"/>
        <v>45</v>
      </c>
      <c r="GF91" s="14" t="str">
        <f t="shared" si="170"/>
        <v>AtkExt</v>
      </c>
      <c r="GG91" s="14">
        <f t="shared" si="187"/>
        <v>45</v>
      </c>
      <c r="GH91" s="14">
        <f t="shared" si="188"/>
        <v>3</v>
      </c>
      <c r="GI91" s="14" t="str">
        <f t="shared" si="171"/>
        <v>HPExt</v>
      </c>
      <c r="GJ91" s="14">
        <f t="shared" si="189"/>
        <v>390</v>
      </c>
      <c r="GK91" s="14">
        <f t="shared" si="190"/>
        <v>30</v>
      </c>
      <c r="GL91" s="14">
        <f t="shared" si="172"/>
        <v>20310</v>
      </c>
      <c r="GM91" s="14">
        <f t="shared" si="191"/>
        <v>0</v>
      </c>
      <c r="GN91" s="14" t="str">
        <f t="shared" si="192"/>
        <v/>
      </c>
      <c r="GO91" s="25" t="s">
        <v>1471</v>
      </c>
      <c r="GP91" s="14">
        <f t="shared" si="173"/>
        <v>15</v>
      </c>
      <c r="GW91" s="13">
        <v>86</v>
      </c>
      <c r="GX91" s="14">
        <f t="shared" si="193"/>
        <v>27</v>
      </c>
      <c r="GY91" s="14">
        <f t="shared" si="194"/>
        <v>1</v>
      </c>
      <c r="GZ91" s="14">
        <f t="shared" si="195"/>
        <v>2</v>
      </c>
      <c r="HA91" s="14">
        <f t="shared" si="196"/>
        <v>211142</v>
      </c>
      <c r="HB91" s="14" t="str">
        <f t="shared" si="197"/>
        <v>150级守护灵の防御套 : 属性-1</v>
      </c>
      <c r="HC91" s="14" t="s">
        <v>1396</v>
      </c>
      <c r="HD91" s="14">
        <f t="shared" si="198"/>
        <v>1</v>
      </c>
      <c r="HE91" s="14">
        <f t="shared" si="199"/>
        <v>2</v>
      </c>
      <c r="HF91" s="14" t="str">
        <f t="shared" si="200"/>
        <v>DefExt</v>
      </c>
      <c r="HG91" s="14">
        <f t="shared" si="201"/>
        <v>3750</v>
      </c>
      <c r="HK91" s="13">
        <v>86</v>
      </c>
      <c r="HL91" s="14">
        <f t="shared" si="202"/>
        <v>4</v>
      </c>
      <c r="HM91" s="14">
        <f t="shared" si="203"/>
        <v>1</v>
      </c>
      <c r="HN91" s="14">
        <f t="shared" si="204"/>
        <v>4</v>
      </c>
      <c r="HO91" s="14">
        <f t="shared" si="205"/>
        <v>4</v>
      </c>
      <c r="HP91" s="14" t="str">
        <f t="shared" si="206"/>
        <v>70级寄灵人洗练-Q4-2</v>
      </c>
      <c r="HQ91" s="14">
        <f t="shared" si="207"/>
        <v>1044</v>
      </c>
      <c r="HR91" s="14">
        <f t="shared" si="208"/>
        <v>2</v>
      </c>
      <c r="HS91" s="14">
        <f t="shared" si="209"/>
        <v>1800</v>
      </c>
      <c r="HT91" s="14" t="str">
        <f t="shared" si="210"/>
        <v>DefExt</v>
      </c>
      <c r="HU91" s="14">
        <f t="shared" si="211"/>
        <v>26</v>
      </c>
      <c r="HV91" s="14">
        <f t="shared" si="212"/>
        <v>76</v>
      </c>
    </row>
    <row r="92" spans="1:230" ht="16.5" x14ac:dyDescent="0.2">
      <c r="EU92" s="13">
        <v>87</v>
      </c>
      <c r="EV92" s="14">
        <f t="shared" si="174"/>
        <v>1</v>
      </c>
      <c r="EW92" s="14">
        <f t="shared" si="175"/>
        <v>87</v>
      </c>
      <c r="EX92" s="14">
        <f t="shared" si="176"/>
        <v>12</v>
      </c>
      <c r="EY92" s="14">
        <f t="shared" si="151"/>
        <v>20</v>
      </c>
      <c r="EZ92" s="14">
        <f t="shared" si="152"/>
        <v>3</v>
      </c>
      <c r="FA92" s="14">
        <f t="shared" si="153"/>
        <v>50</v>
      </c>
      <c r="FB92" s="14">
        <f t="shared" si="154"/>
        <v>2</v>
      </c>
      <c r="FC92" s="14">
        <f t="shared" si="155"/>
        <v>1</v>
      </c>
      <c r="FD92" s="14">
        <f t="shared" si="156"/>
        <v>1</v>
      </c>
      <c r="FE92" s="14" t="b">
        <f t="shared" si="177"/>
        <v>0</v>
      </c>
      <c r="FF92" s="14">
        <f t="shared" si="157"/>
        <v>2003201</v>
      </c>
      <c r="FG92" s="13" t="str">
        <f t="shared" si="158"/>
        <v>50级-优秀寄灵人の灵器</v>
      </c>
      <c r="FH92" s="14">
        <f t="shared" si="159"/>
        <v>1</v>
      </c>
      <c r="FI92" s="14">
        <f t="shared" si="160"/>
        <v>2</v>
      </c>
      <c r="FJ92" s="14">
        <f t="shared" si="161"/>
        <v>50</v>
      </c>
      <c r="FK92" s="14">
        <v>1</v>
      </c>
      <c r="FL92" s="14">
        <f t="shared" si="162"/>
        <v>3</v>
      </c>
      <c r="FM92" s="14">
        <f t="shared" si="178"/>
        <v>1</v>
      </c>
      <c r="FN92" s="14" t="str">
        <f t="shared" si="163"/>
        <v/>
      </c>
      <c r="FO92" s="14">
        <f t="shared" si="164"/>
        <v>70</v>
      </c>
      <c r="FP92" s="14">
        <f t="shared" si="179"/>
        <v>190</v>
      </c>
      <c r="FQ92" s="14">
        <f t="shared" si="180"/>
        <v>0</v>
      </c>
      <c r="FR92" s="14">
        <f t="shared" si="181"/>
        <v>0</v>
      </c>
      <c r="FS92" s="14">
        <f t="shared" si="182"/>
        <v>14</v>
      </c>
      <c r="FT92" s="14">
        <f t="shared" si="183"/>
        <v>0</v>
      </c>
      <c r="FU92" s="14">
        <f t="shared" si="184"/>
        <v>0</v>
      </c>
      <c r="FV92" s="14">
        <f t="shared" si="165"/>
        <v>1032</v>
      </c>
      <c r="FW92" s="14">
        <f t="shared" si="166"/>
        <v>0</v>
      </c>
      <c r="FX92" s="14" t="str">
        <f t="shared" si="167"/>
        <v/>
      </c>
      <c r="FY92" s="25" t="str">
        <f t="shared" si="185"/>
        <v>icon_2003101</v>
      </c>
      <c r="GC92" s="14">
        <f t="shared" si="168"/>
        <v>1</v>
      </c>
      <c r="GD92" s="14">
        <f t="shared" si="169"/>
        <v>0</v>
      </c>
      <c r="GE92" s="14">
        <f t="shared" si="186"/>
        <v>70</v>
      </c>
      <c r="GF92" s="14" t="str">
        <f t="shared" si="170"/>
        <v>AtkExt</v>
      </c>
      <c r="GG92" s="14">
        <f t="shared" si="187"/>
        <v>190</v>
      </c>
      <c r="GH92" s="14">
        <f t="shared" si="188"/>
        <v>14</v>
      </c>
      <c r="GI92" s="14" t="str">
        <f t="shared" si="171"/>
        <v/>
      </c>
      <c r="GJ92" s="14" t="str">
        <f t="shared" si="189"/>
        <v/>
      </c>
      <c r="GK92" s="14" t="str">
        <f t="shared" si="190"/>
        <v/>
      </c>
      <c r="GL92" s="14">
        <f t="shared" si="172"/>
        <v>20320</v>
      </c>
      <c r="GM92" s="14">
        <f t="shared" si="191"/>
        <v>0</v>
      </c>
      <c r="GN92" s="14" t="str">
        <f t="shared" si="192"/>
        <v/>
      </c>
      <c r="GO92" s="25" t="s">
        <v>1471</v>
      </c>
      <c r="GP92" s="14">
        <f t="shared" si="173"/>
        <v>60</v>
      </c>
      <c r="GW92" s="13">
        <v>87</v>
      </c>
      <c r="GX92" s="14">
        <f t="shared" si="193"/>
        <v>27</v>
      </c>
      <c r="GY92" s="14">
        <f t="shared" si="194"/>
        <v>2</v>
      </c>
      <c r="GZ92" s="14">
        <f t="shared" si="195"/>
        <v>3</v>
      </c>
      <c r="HA92" s="14">
        <f t="shared" si="196"/>
        <v>211142</v>
      </c>
      <c r="HB92" s="14" t="str">
        <f t="shared" si="197"/>
        <v>150级守护灵の防御套 : 属性-2</v>
      </c>
      <c r="HC92" s="14" t="s">
        <v>1396</v>
      </c>
      <c r="HD92" s="14">
        <f t="shared" si="198"/>
        <v>2</v>
      </c>
      <c r="HE92" s="14">
        <f t="shared" si="199"/>
        <v>3</v>
      </c>
      <c r="HF92" s="14" t="str">
        <f t="shared" si="200"/>
        <v>HPExt</v>
      </c>
      <c r="HG92" s="14">
        <f t="shared" si="201"/>
        <v>75000</v>
      </c>
      <c r="HK92" s="13">
        <v>87</v>
      </c>
      <c r="HL92" s="14">
        <f t="shared" si="202"/>
        <v>4</v>
      </c>
      <c r="HM92" s="14">
        <f t="shared" si="203"/>
        <v>1</v>
      </c>
      <c r="HN92" s="14">
        <f t="shared" si="204"/>
        <v>4</v>
      </c>
      <c r="HO92" s="14">
        <f t="shared" si="205"/>
        <v>4</v>
      </c>
      <c r="HP92" s="14" t="str">
        <f t="shared" si="206"/>
        <v>70级寄灵人洗练-Q4-3</v>
      </c>
      <c r="HQ92" s="14">
        <f t="shared" si="207"/>
        <v>1044</v>
      </c>
      <c r="HR92" s="14">
        <f t="shared" si="208"/>
        <v>3</v>
      </c>
      <c r="HS92" s="14">
        <f t="shared" si="209"/>
        <v>2000</v>
      </c>
      <c r="HT92" s="14" t="str">
        <f t="shared" si="210"/>
        <v>HPExt</v>
      </c>
      <c r="HU92" s="14">
        <f t="shared" si="211"/>
        <v>395</v>
      </c>
      <c r="HV92" s="14">
        <f t="shared" si="212"/>
        <v>1129</v>
      </c>
    </row>
    <row r="93" spans="1:230" ht="16.5" x14ac:dyDescent="0.2">
      <c r="EU93" s="13">
        <v>88</v>
      </c>
      <c r="EV93" s="14">
        <f t="shared" si="174"/>
        <v>1</v>
      </c>
      <c r="EW93" s="14">
        <f t="shared" si="175"/>
        <v>88</v>
      </c>
      <c r="EX93" s="14">
        <f t="shared" si="176"/>
        <v>12</v>
      </c>
      <c r="EY93" s="14">
        <f t="shared" si="151"/>
        <v>20</v>
      </c>
      <c r="EZ93" s="14">
        <f t="shared" si="152"/>
        <v>3</v>
      </c>
      <c r="FA93" s="14">
        <f t="shared" si="153"/>
        <v>50</v>
      </c>
      <c r="FB93" s="14">
        <f t="shared" si="154"/>
        <v>2</v>
      </c>
      <c r="FC93" s="14">
        <f t="shared" si="155"/>
        <v>2</v>
      </c>
      <c r="FD93" s="14">
        <f t="shared" si="156"/>
        <v>2</v>
      </c>
      <c r="FE93" s="14" t="b">
        <f t="shared" si="177"/>
        <v>0</v>
      </c>
      <c r="FF93" s="14">
        <f t="shared" si="157"/>
        <v>2003202</v>
      </c>
      <c r="FG93" s="13" t="str">
        <f t="shared" si="158"/>
        <v>50级-优秀寄灵人の头盔</v>
      </c>
      <c r="FH93" s="14">
        <f t="shared" si="159"/>
        <v>1</v>
      </c>
      <c r="FI93" s="14">
        <f t="shared" si="160"/>
        <v>2</v>
      </c>
      <c r="FJ93" s="14">
        <f t="shared" si="161"/>
        <v>50</v>
      </c>
      <c r="FK93" s="14">
        <v>1</v>
      </c>
      <c r="FL93" s="14">
        <f t="shared" si="162"/>
        <v>3</v>
      </c>
      <c r="FM93" s="14">
        <f t="shared" si="178"/>
        <v>2</v>
      </c>
      <c r="FN93" s="14" t="str">
        <f t="shared" si="163"/>
        <v/>
      </c>
      <c r="FO93" s="14">
        <f t="shared" si="164"/>
        <v>40</v>
      </c>
      <c r="FP93" s="14">
        <f t="shared" si="179"/>
        <v>0</v>
      </c>
      <c r="FQ93" s="14">
        <f t="shared" si="180"/>
        <v>50</v>
      </c>
      <c r="FR93" s="14">
        <f t="shared" si="181"/>
        <v>0</v>
      </c>
      <c r="FS93" s="14">
        <f t="shared" si="182"/>
        <v>0</v>
      </c>
      <c r="FT93" s="14">
        <f t="shared" si="183"/>
        <v>4</v>
      </c>
      <c r="FU93" s="14">
        <f t="shared" si="184"/>
        <v>0</v>
      </c>
      <c r="FV93" s="14">
        <f t="shared" si="165"/>
        <v>1032</v>
      </c>
      <c r="FW93" s="14">
        <f t="shared" si="166"/>
        <v>0</v>
      </c>
      <c r="FX93" s="14" t="str">
        <f t="shared" si="167"/>
        <v/>
      </c>
      <c r="FY93" s="25" t="str">
        <f t="shared" si="185"/>
        <v>icon_2003102</v>
      </c>
      <c r="GC93" s="14">
        <f t="shared" si="168"/>
        <v>2</v>
      </c>
      <c r="GD93" s="14">
        <f t="shared" si="169"/>
        <v>0</v>
      </c>
      <c r="GE93" s="14">
        <f t="shared" si="186"/>
        <v>40</v>
      </c>
      <c r="GF93" s="14" t="str">
        <f t="shared" si="170"/>
        <v>DefExt</v>
      </c>
      <c r="GG93" s="14">
        <f t="shared" si="187"/>
        <v>50</v>
      </c>
      <c r="GH93" s="14">
        <f t="shared" si="188"/>
        <v>4</v>
      </c>
      <c r="GI93" s="14" t="str">
        <f t="shared" si="171"/>
        <v/>
      </c>
      <c r="GJ93" s="14" t="str">
        <f t="shared" si="189"/>
        <v/>
      </c>
      <c r="GK93" s="14" t="str">
        <f t="shared" si="190"/>
        <v/>
      </c>
      <c r="GL93" s="14">
        <f t="shared" si="172"/>
        <v>20320</v>
      </c>
      <c r="GM93" s="14">
        <f t="shared" si="191"/>
        <v>0</v>
      </c>
      <c r="GN93" s="14" t="str">
        <f t="shared" si="192"/>
        <v/>
      </c>
      <c r="GO93" s="25" t="s">
        <v>1471</v>
      </c>
      <c r="GP93" s="14">
        <f t="shared" si="173"/>
        <v>30</v>
      </c>
      <c r="GW93" s="13">
        <v>88</v>
      </c>
      <c r="GX93" s="14">
        <f t="shared" si="193"/>
        <v>27</v>
      </c>
      <c r="GY93" s="14">
        <f t="shared" si="194"/>
        <v>3</v>
      </c>
      <c r="GZ93" s="14">
        <f t="shared" si="195"/>
        <v>5</v>
      </c>
      <c r="HA93" s="14">
        <f t="shared" si="196"/>
        <v>211142</v>
      </c>
      <c r="HB93" s="14" t="str">
        <f t="shared" si="197"/>
        <v>150级守护灵の防御套 : 属性-3</v>
      </c>
      <c r="HC93" s="14" t="s">
        <v>1396</v>
      </c>
      <c r="HD93" s="14">
        <f t="shared" si="198"/>
        <v>3</v>
      </c>
      <c r="HE93" s="14">
        <f t="shared" si="199"/>
        <v>5</v>
      </c>
      <c r="HF93" s="14" t="str">
        <f t="shared" si="200"/>
        <v>DefRate</v>
      </c>
      <c r="HG93" s="14">
        <f t="shared" si="201"/>
        <v>0.15</v>
      </c>
      <c r="HK93" s="13">
        <v>88</v>
      </c>
      <c r="HL93" s="14">
        <f t="shared" si="202"/>
        <v>4</v>
      </c>
      <c r="HM93" s="14">
        <f t="shared" si="203"/>
        <v>1</v>
      </c>
      <c r="HN93" s="14">
        <f t="shared" si="204"/>
        <v>4</v>
      </c>
      <c r="HO93" s="14">
        <f t="shared" si="205"/>
        <v>4</v>
      </c>
      <c r="HP93" s="14" t="str">
        <f t="shared" si="206"/>
        <v>70级寄灵人洗练-Q4-4</v>
      </c>
      <c r="HQ93" s="14">
        <f t="shared" si="207"/>
        <v>1044</v>
      </c>
      <c r="HR93" s="14">
        <f t="shared" si="208"/>
        <v>4</v>
      </c>
      <c r="HS93" s="14">
        <f t="shared" si="209"/>
        <v>500</v>
      </c>
      <c r="HT93" s="14" t="str">
        <f t="shared" si="210"/>
        <v>AtkRate</v>
      </c>
      <c r="HU93" s="14">
        <f t="shared" si="211"/>
        <v>1.4E-2</v>
      </c>
      <c r="HV93" s="14">
        <f t="shared" si="212"/>
        <v>0.04</v>
      </c>
    </row>
    <row r="94" spans="1:230" ht="16.5" x14ac:dyDescent="0.2">
      <c r="EU94" s="13">
        <v>89</v>
      </c>
      <c r="EV94" s="14">
        <f t="shared" si="174"/>
        <v>1</v>
      </c>
      <c r="EW94" s="14">
        <f t="shared" si="175"/>
        <v>89</v>
      </c>
      <c r="EX94" s="14">
        <f t="shared" si="176"/>
        <v>12</v>
      </c>
      <c r="EY94" s="14">
        <f t="shared" si="151"/>
        <v>20</v>
      </c>
      <c r="EZ94" s="14">
        <f t="shared" si="152"/>
        <v>3</v>
      </c>
      <c r="FA94" s="14">
        <f t="shared" si="153"/>
        <v>50</v>
      </c>
      <c r="FB94" s="14">
        <f t="shared" si="154"/>
        <v>2</v>
      </c>
      <c r="FC94" s="14">
        <f t="shared" si="155"/>
        <v>3</v>
      </c>
      <c r="FD94" s="14">
        <f t="shared" si="156"/>
        <v>3</v>
      </c>
      <c r="FE94" s="14" t="b">
        <f t="shared" si="177"/>
        <v>0</v>
      </c>
      <c r="FF94" s="14">
        <f t="shared" si="157"/>
        <v>2003203</v>
      </c>
      <c r="FG94" s="13" t="str">
        <f t="shared" si="158"/>
        <v>50级-优秀寄灵人の铠甲</v>
      </c>
      <c r="FH94" s="14">
        <f t="shared" si="159"/>
        <v>1</v>
      </c>
      <c r="FI94" s="14">
        <f t="shared" si="160"/>
        <v>2</v>
      </c>
      <c r="FJ94" s="14">
        <f t="shared" si="161"/>
        <v>50</v>
      </c>
      <c r="FK94" s="14">
        <v>1</v>
      </c>
      <c r="FL94" s="14">
        <f t="shared" si="162"/>
        <v>3</v>
      </c>
      <c r="FM94" s="14">
        <f t="shared" si="178"/>
        <v>3</v>
      </c>
      <c r="FN94" s="14" t="str">
        <f t="shared" si="163"/>
        <v/>
      </c>
      <c r="FO94" s="14">
        <f t="shared" si="164"/>
        <v>45</v>
      </c>
      <c r="FP94" s="14">
        <f t="shared" si="179"/>
        <v>0</v>
      </c>
      <c r="FQ94" s="14">
        <f t="shared" si="180"/>
        <v>25</v>
      </c>
      <c r="FR94" s="14">
        <f t="shared" si="181"/>
        <v>325</v>
      </c>
      <c r="FS94" s="14">
        <f t="shared" si="182"/>
        <v>0</v>
      </c>
      <c r="FT94" s="14">
        <f t="shared" si="183"/>
        <v>2</v>
      </c>
      <c r="FU94" s="14">
        <f t="shared" si="184"/>
        <v>25</v>
      </c>
      <c r="FV94" s="14">
        <f t="shared" si="165"/>
        <v>1032</v>
      </c>
      <c r="FW94" s="14">
        <f t="shared" si="166"/>
        <v>0</v>
      </c>
      <c r="FX94" s="14" t="str">
        <f t="shared" si="167"/>
        <v/>
      </c>
      <c r="FY94" s="25" t="str">
        <f t="shared" si="185"/>
        <v>icon_2003103</v>
      </c>
      <c r="GC94" s="14">
        <f t="shared" si="168"/>
        <v>2</v>
      </c>
      <c r="GD94" s="14">
        <f t="shared" si="169"/>
        <v>3</v>
      </c>
      <c r="GE94" s="14">
        <f t="shared" si="186"/>
        <v>45</v>
      </c>
      <c r="GF94" s="14" t="str">
        <f t="shared" si="170"/>
        <v>DefExt</v>
      </c>
      <c r="GG94" s="14">
        <f t="shared" si="187"/>
        <v>25</v>
      </c>
      <c r="GH94" s="14">
        <f t="shared" si="188"/>
        <v>2</v>
      </c>
      <c r="GI94" s="14" t="str">
        <f t="shared" si="171"/>
        <v>HPExt</v>
      </c>
      <c r="GJ94" s="14">
        <f t="shared" si="189"/>
        <v>325</v>
      </c>
      <c r="GK94" s="14">
        <f t="shared" si="190"/>
        <v>25</v>
      </c>
      <c r="GL94" s="14">
        <f t="shared" si="172"/>
        <v>20320</v>
      </c>
      <c r="GM94" s="14">
        <f t="shared" si="191"/>
        <v>0</v>
      </c>
      <c r="GN94" s="14" t="str">
        <f t="shared" si="192"/>
        <v/>
      </c>
      <c r="GO94" s="25" t="s">
        <v>1471</v>
      </c>
      <c r="GP94" s="14">
        <f t="shared" si="173"/>
        <v>30</v>
      </c>
      <c r="GW94" s="13">
        <v>89</v>
      </c>
      <c r="GX94" s="14">
        <f t="shared" si="193"/>
        <v>28</v>
      </c>
      <c r="GY94" s="14">
        <f t="shared" si="194"/>
        <v>1</v>
      </c>
      <c r="GZ94" s="14">
        <f t="shared" si="195"/>
        <v>1</v>
      </c>
      <c r="HA94" s="14">
        <f t="shared" si="196"/>
        <v>211143</v>
      </c>
      <c r="HB94" s="14" t="str">
        <f t="shared" si="197"/>
        <v>150级守护灵の绝世套 : 属性-1</v>
      </c>
      <c r="HC94" s="14" t="s">
        <v>1396</v>
      </c>
      <c r="HD94" s="14">
        <f t="shared" si="198"/>
        <v>1</v>
      </c>
      <c r="HE94" s="14">
        <f t="shared" si="199"/>
        <v>2</v>
      </c>
      <c r="HF94" s="14" t="str">
        <f t="shared" si="200"/>
        <v>AtkExt</v>
      </c>
      <c r="HG94" s="14">
        <f t="shared" si="201"/>
        <v>10000</v>
      </c>
      <c r="HK94" s="13">
        <v>89</v>
      </c>
      <c r="HL94" s="14">
        <f t="shared" si="202"/>
        <v>4</v>
      </c>
      <c r="HM94" s="14">
        <f t="shared" si="203"/>
        <v>1</v>
      </c>
      <c r="HN94" s="14">
        <f t="shared" si="204"/>
        <v>4</v>
      </c>
      <c r="HO94" s="14">
        <f t="shared" si="205"/>
        <v>4</v>
      </c>
      <c r="HP94" s="14" t="str">
        <f t="shared" si="206"/>
        <v>70级寄灵人洗练-Q4-5</v>
      </c>
      <c r="HQ94" s="14">
        <f t="shared" si="207"/>
        <v>1044</v>
      </c>
      <c r="HR94" s="14">
        <f t="shared" si="208"/>
        <v>5</v>
      </c>
      <c r="HS94" s="14">
        <f t="shared" si="209"/>
        <v>400</v>
      </c>
      <c r="HT94" s="14" t="str">
        <f t="shared" si="210"/>
        <v>DefRate</v>
      </c>
      <c r="HU94" s="14">
        <f t="shared" si="211"/>
        <v>1.4E-2</v>
      </c>
      <c r="HV94" s="14">
        <f t="shared" si="212"/>
        <v>0.04</v>
      </c>
    </row>
    <row r="95" spans="1:230" ht="16.5" x14ac:dyDescent="0.2">
      <c r="EU95" s="13">
        <v>90</v>
      </c>
      <c r="EV95" s="14">
        <f t="shared" si="174"/>
        <v>1</v>
      </c>
      <c r="EW95" s="14">
        <f t="shared" si="175"/>
        <v>90</v>
      </c>
      <c r="EX95" s="14">
        <f t="shared" si="176"/>
        <v>12</v>
      </c>
      <c r="EY95" s="14">
        <f t="shared" si="151"/>
        <v>20</v>
      </c>
      <c r="EZ95" s="14">
        <f t="shared" si="152"/>
        <v>3</v>
      </c>
      <c r="FA95" s="14">
        <f t="shared" si="153"/>
        <v>50</v>
      </c>
      <c r="FB95" s="14">
        <f t="shared" si="154"/>
        <v>2</v>
      </c>
      <c r="FC95" s="14">
        <f t="shared" si="155"/>
        <v>4</v>
      </c>
      <c r="FD95" s="14">
        <f t="shared" si="156"/>
        <v>4</v>
      </c>
      <c r="FE95" s="14" t="b">
        <f t="shared" si="177"/>
        <v>0</v>
      </c>
      <c r="FF95" s="14">
        <f t="shared" si="157"/>
        <v>2003204</v>
      </c>
      <c r="FG95" s="13" t="str">
        <f t="shared" si="158"/>
        <v>50级-优秀寄灵人の裤子</v>
      </c>
      <c r="FH95" s="14">
        <f t="shared" si="159"/>
        <v>1</v>
      </c>
      <c r="FI95" s="14">
        <f t="shared" si="160"/>
        <v>2</v>
      </c>
      <c r="FJ95" s="14">
        <f t="shared" si="161"/>
        <v>50</v>
      </c>
      <c r="FK95" s="14">
        <v>1</v>
      </c>
      <c r="FL95" s="14">
        <f t="shared" si="162"/>
        <v>3</v>
      </c>
      <c r="FM95" s="14">
        <f t="shared" si="178"/>
        <v>4</v>
      </c>
      <c r="FN95" s="14" t="str">
        <f t="shared" si="163"/>
        <v/>
      </c>
      <c r="FO95" s="14">
        <f t="shared" si="164"/>
        <v>40</v>
      </c>
      <c r="FP95" s="14">
        <f t="shared" si="179"/>
        <v>0</v>
      </c>
      <c r="FQ95" s="14">
        <f t="shared" si="180"/>
        <v>50</v>
      </c>
      <c r="FR95" s="14">
        <f t="shared" si="181"/>
        <v>0</v>
      </c>
      <c r="FS95" s="14">
        <f t="shared" si="182"/>
        <v>0</v>
      </c>
      <c r="FT95" s="14">
        <f t="shared" si="183"/>
        <v>4</v>
      </c>
      <c r="FU95" s="14">
        <f t="shared" si="184"/>
        <v>0</v>
      </c>
      <c r="FV95" s="14">
        <f t="shared" si="165"/>
        <v>1032</v>
      </c>
      <c r="FW95" s="14">
        <f t="shared" si="166"/>
        <v>0</v>
      </c>
      <c r="FX95" s="14" t="str">
        <f t="shared" si="167"/>
        <v/>
      </c>
      <c r="FY95" s="25" t="str">
        <f t="shared" si="185"/>
        <v>icon_2003104</v>
      </c>
      <c r="GC95" s="14">
        <f t="shared" si="168"/>
        <v>2</v>
      </c>
      <c r="GD95" s="14">
        <f t="shared" si="169"/>
        <v>0</v>
      </c>
      <c r="GE95" s="14">
        <f t="shared" si="186"/>
        <v>40</v>
      </c>
      <c r="GF95" s="14" t="str">
        <f t="shared" si="170"/>
        <v>DefExt</v>
      </c>
      <c r="GG95" s="14">
        <f t="shared" si="187"/>
        <v>50</v>
      </c>
      <c r="GH95" s="14">
        <f t="shared" si="188"/>
        <v>4</v>
      </c>
      <c r="GI95" s="14" t="str">
        <f t="shared" si="171"/>
        <v/>
      </c>
      <c r="GJ95" s="14" t="str">
        <f t="shared" si="189"/>
        <v/>
      </c>
      <c r="GK95" s="14" t="str">
        <f t="shared" si="190"/>
        <v/>
      </c>
      <c r="GL95" s="14">
        <f t="shared" si="172"/>
        <v>20320</v>
      </c>
      <c r="GM95" s="14">
        <f t="shared" si="191"/>
        <v>0</v>
      </c>
      <c r="GN95" s="14" t="str">
        <f t="shared" si="192"/>
        <v/>
      </c>
      <c r="GO95" s="25" t="s">
        <v>1471</v>
      </c>
      <c r="GP95" s="14">
        <f t="shared" si="173"/>
        <v>30</v>
      </c>
      <c r="GW95" s="13">
        <v>90</v>
      </c>
      <c r="GX95" s="14">
        <f t="shared" si="193"/>
        <v>28</v>
      </c>
      <c r="GY95" s="14">
        <f t="shared" si="194"/>
        <v>2</v>
      </c>
      <c r="GZ95" s="14">
        <f t="shared" si="195"/>
        <v>2</v>
      </c>
      <c r="HA95" s="14">
        <f t="shared" si="196"/>
        <v>211143</v>
      </c>
      <c r="HB95" s="14" t="str">
        <f t="shared" si="197"/>
        <v>150级守护灵の绝世套 : 属性-2</v>
      </c>
      <c r="HC95" s="14" t="s">
        <v>1396</v>
      </c>
      <c r="HD95" s="14">
        <f t="shared" si="198"/>
        <v>2</v>
      </c>
      <c r="HE95" s="14">
        <f t="shared" si="199"/>
        <v>3</v>
      </c>
      <c r="HF95" s="14" t="str">
        <f t="shared" si="200"/>
        <v>DefExt</v>
      </c>
      <c r="HG95" s="14">
        <f t="shared" si="201"/>
        <v>5000</v>
      </c>
      <c r="HK95" s="13">
        <v>90</v>
      </c>
      <c r="HL95" s="14">
        <f t="shared" si="202"/>
        <v>4</v>
      </c>
      <c r="HM95" s="14">
        <f t="shared" si="203"/>
        <v>1</v>
      </c>
      <c r="HN95" s="14">
        <f t="shared" si="204"/>
        <v>4</v>
      </c>
      <c r="HO95" s="14">
        <f t="shared" si="205"/>
        <v>4</v>
      </c>
      <c r="HP95" s="14" t="str">
        <f t="shared" si="206"/>
        <v>70级寄灵人洗练-Q4-6</v>
      </c>
      <c r="HQ95" s="14">
        <f t="shared" si="207"/>
        <v>1044</v>
      </c>
      <c r="HR95" s="14">
        <f t="shared" si="208"/>
        <v>6</v>
      </c>
      <c r="HS95" s="14">
        <f t="shared" si="209"/>
        <v>500</v>
      </c>
      <c r="HT95" s="14" t="str">
        <f t="shared" si="210"/>
        <v>HPRate</v>
      </c>
      <c r="HU95" s="14">
        <f t="shared" si="211"/>
        <v>1.4E-2</v>
      </c>
      <c r="HV95" s="14">
        <f t="shared" si="212"/>
        <v>0.04</v>
      </c>
    </row>
    <row r="96" spans="1:230" ht="16.5" x14ac:dyDescent="0.2">
      <c r="EU96" s="13">
        <v>91</v>
      </c>
      <c r="EV96" s="14">
        <f t="shared" si="174"/>
        <v>1</v>
      </c>
      <c r="EW96" s="14">
        <f t="shared" si="175"/>
        <v>91</v>
      </c>
      <c r="EX96" s="14">
        <f t="shared" si="176"/>
        <v>12</v>
      </c>
      <c r="EY96" s="14">
        <f t="shared" si="151"/>
        <v>20</v>
      </c>
      <c r="EZ96" s="14">
        <f t="shared" si="152"/>
        <v>3</v>
      </c>
      <c r="FA96" s="14">
        <f t="shared" si="153"/>
        <v>50</v>
      </c>
      <c r="FB96" s="14">
        <f t="shared" si="154"/>
        <v>2</v>
      </c>
      <c r="FC96" s="14">
        <f t="shared" si="155"/>
        <v>5</v>
      </c>
      <c r="FD96" s="14">
        <f t="shared" si="156"/>
        <v>5</v>
      </c>
      <c r="FE96" s="14" t="b">
        <f t="shared" si="177"/>
        <v>0</v>
      </c>
      <c r="FF96" s="14">
        <f t="shared" si="157"/>
        <v>2003205</v>
      </c>
      <c r="FG96" s="13" t="str">
        <f t="shared" si="158"/>
        <v>50级-优秀寄灵人の鞋子</v>
      </c>
      <c r="FH96" s="14">
        <f t="shared" si="159"/>
        <v>1</v>
      </c>
      <c r="FI96" s="14">
        <f t="shared" si="160"/>
        <v>2</v>
      </c>
      <c r="FJ96" s="14">
        <f t="shared" si="161"/>
        <v>50</v>
      </c>
      <c r="FK96" s="14">
        <v>1</v>
      </c>
      <c r="FL96" s="14">
        <f t="shared" si="162"/>
        <v>3</v>
      </c>
      <c r="FM96" s="14">
        <f t="shared" si="178"/>
        <v>5</v>
      </c>
      <c r="FN96" s="14" t="str">
        <f t="shared" si="163"/>
        <v/>
      </c>
      <c r="FO96" s="14">
        <f t="shared" si="164"/>
        <v>50</v>
      </c>
      <c r="FP96" s="14">
        <f t="shared" si="179"/>
        <v>0</v>
      </c>
      <c r="FQ96" s="14">
        <f t="shared" si="180"/>
        <v>0</v>
      </c>
      <c r="FR96" s="14">
        <f t="shared" si="181"/>
        <v>650</v>
      </c>
      <c r="FS96" s="14">
        <f t="shared" si="182"/>
        <v>0</v>
      </c>
      <c r="FT96" s="14">
        <f t="shared" si="183"/>
        <v>0</v>
      </c>
      <c r="FU96" s="14">
        <f t="shared" si="184"/>
        <v>50</v>
      </c>
      <c r="FV96" s="14">
        <f t="shared" si="165"/>
        <v>1032</v>
      </c>
      <c r="FW96" s="14">
        <f t="shared" si="166"/>
        <v>0</v>
      </c>
      <c r="FX96" s="14" t="str">
        <f t="shared" si="167"/>
        <v/>
      </c>
      <c r="FY96" s="25" t="str">
        <f t="shared" si="185"/>
        <v>icon_2003105</v>
      </c>
      <c r="GC96" s="14">
        <f t="shared" si="168"/>
        <v>3</v>
      </c>
      <c r="GD96" s="14">
        <f t="shared" si="169"/>
        <v>0</v>
      </c>
      <c r="GE96" s="14">
        <f t="shared" si="186"/>
        <v>50</v>
      </c>
      <c r="GF96" s="14" t="str">
        <f t="shared" si="170"/>
        <v>HPExt</v>
      </c>
      <c r="GG96" s="14">
        <f t="shared" si="187"/>
        <v>650</v>
      </c>
      <c r="GH96" s="14">
        <f t="shared" si="188"/>
        <v>50</v>
      </c>
      <c r="GI96" s="14" t="str">
        <f t="shared" si="171"/>
        <v/>
      </c>
      <c r="GJ96" s="14" t="str">
        <f t="shared" si="189"/>
        <v/>
      </c>
      <c r="GK96" s="14" t="str">
        <f t="shared" si="190"/>
        <v/>
      </c>
      <c r="GL96" s="14">
        <f t="shared" si="172"/>
        <v>20320</v>
      </c>
      <c r="GM96" s="14">
        <f t="shared" si="191"/>
        <v>0</v>
      </c>
      <c r="GN96" s="14" t="str">
        <f t="shared" si="192"/>
        <v/>
      </c>
      <c r="GO96" s="25" t="s">
        <v>1471</v>
      </c>
      <c r="GP96" s="14">
        <f t="shared" si="173"/>
        <v>30</v>
      </c>
      <c r="GW96" s="13">
        <v>91</v>
      </c>
      <c r="GX96" s="14">
        <f t="shared" si="193"/>
        <v>28</v>
      </c>
      <c r="GY96" s="14">
        <f t="shared" si="194"/>
        <v>3</v>
      </c>
      <c r="GZ96" s="14">
        <f t="shared" si="195"/>
        <v>7</v>
      </c>
      <c r="HA96" s="14">
        <f t="shared" si="196"/>
        <v>211143</v>
      </c>
      <c r="HB96" s="14" t="str">
        <f t="shared" si="197"/>
        <v>150级守护灵の绝世套 : 属性-3</v>
      </c>
      <c r="HC96" s="14" t="s">
        <v>1396</v>
      </c>
      <c r="HD96" s="14">
        <f t="shared" si="198"/>
        <v>3</v>
      </c>
      <c r="HE96" s="14">
        <f t="shared" si="199"/>
        <v>4</v>
      </c>
      <c r="HF96" s="14" t="str">
        <f t="shared" si="200"/>
        <v>DmgBonus</v>
      </c>
      <c r="HG96" s="14">
        <f t="shared" si="201"/>
        <v>0.1</v>
      </c>
      <c r="HK96" s="13">
        <v>91</v>
      </c>
      <c r="HL96" s="14">
        <f t="shared" si="202"/>
        <v>4</v>
      </c>
      <c r="HM96" s="14">
        <f t="shared" si="203"/>
        <v>1</v>
      </c>
      <c r="HN96" s="14">
        <f t="shared" si="204"/>
        <v>4</v>
      </c>
      <c r="HO96" s="14">
        <f t="shared" si="205"/>
        <v>4</v>
      </c>
      <c r="HP96" s="14" t="str">
        <f t="shared" si="206"/>
        <v>70级寄灵人洗练-Q4-7</v>
      </c>
      <c r="HQ96" s="14">
        <f t="shared" si="207"/>
        <v>1044</v>
      </c>
      <c r="HR96" s="14">
        <f t="shared" si="208"/>
        <v>7</v>
      </c>
      <c r="HS96" s="14">
        <f t="shared" si="209"/>
        <v>500</v>
      </c>
      <c r="HT96" s="14" t="str">
        <f t="shared" si="210"/>
        <v>Crit</v>
      </c>
      <c r="HU96" s="14">
        <f t="shared" si="211"/>
        <v>1.0999999999999999E-2</v>
      </c>
      <c r="HV96" s="14">
        <f t="shared" si="212"/>
        <v>0.03</v>
      </c>
    </row>
    <row r="97" spans="151:230" ht="16.5" x14ac:dyDescent="0.2">
      <c r="EU97" s="13">
        <v>92</v>
      </c>
      <c r="EV97" s="14">
        <f t="shared" si="174"/>
        <v>1</v>
      </c>
      <c r="EW97" s="14">
        <f t="shared" si="175"/>
        <v>92</v>
      </c>
      <c r="EX97" s="14">
        <f t="shared" si="176"/>
        <v>12</v>
      </c>
      <c r="EY97" s="14">
        <f t="shared" si="151"/>
        <v>20</v>
      </c>
      <c r="EZ97" s="14">
        <f t="shared" si="152"/>
        <v>3</v>
      </c>
      <c r="FA97" s="14">
        <f t="shared" si="153"/>
        <v>50</v>
      </c>
      <c r="FB97" s="14">
        <f t="shared" si="154"/>
        <v>2</v>
      </c>
      <c r="FC97" s="14">
        <f t="shared" si="155"/>
        <v>6</v>
      </c>
      <c r="FD97" s="14">
        <f t="shared" si="156"/>
        <v>6</v>
      </c>
      <c r="FE97" s="14" t="b">
        <f t="shared" si="177"/>
        <v>0</v>
      </c>
      <c r="FF97" s="14">
        <f t="shared" si="157"/>
        <v>2003206</v>
      </c>
      <c r="FG97" s="13" t="str">
        <f t="shared" si="158"/>
        <v>50级-优秀寄灵人の护手</v>
      </c>
      <c r="FH97" s="14">
        <f t="shared" si="159"/>
        <v>1</v>
      </c>
      <c r="FI97" s="14">
        <f t="shared" si="160"/>
        <v>2</v>
      </c>
      <c r="FJ97" s="14">
        <f t="shared" si="161"/>
        <v>50</v>
      </c>
      <c r="FK97" s="14">
        <v>1</v>
      </c>
      <c r="FL97" s="14">
        <f t="shared" si="162"/>
        <v>3</v>
      </c>
      <c r="FM97" s="14">
        <f t="shared" si="178"/>
        <v>6</v>
      </c>
      <c r="FN97" s="14" t="str">
        <f t="shared" si="163"/>
        <v/>
      </c>
      <c r="FO97" s="14">
        <f t="shared" si="164"/>
        <v>50</v>
      </c>
      <c r="FP97" s="14">
        <f t="shared" si="179"/>
        <v>0</v>
      </c>
      <c r="FQ97" s="14">
        <f t="shared" si="180"/>
        <v>0</v>
      </c>
      <c r="FR97" s="14">
        <f t="shared" si="181"/>
        <v>650</v>
      </c>
      <c r="FS97" s="14">
        <f t="shared" si="182"/>
        <v>0</v>
      </c>
      <c r="FT97" s="14">
        <f t="shared" si="183"/>
        <v>0</v>
      </c>
      <c r="FU97" s="14">
        <f t="shared" si="184"/>
        <v>50</v>
      </c>
      <c r="FV97" s="14">
        <f t="shared" si="165"/>
        <v>1032</v>
      </c>
      <c r="FW97" s="14">
        <f t="shared" si="166"/>
        <v>0</v>
      </c>
      <c r="FX97" s="14" t="str">
        <f t="shared" si="167"/>
        <v/>
      </c>
      <c r="FY97" s="25" t="str">
        <f t="shared" si="185"/>
        <v>icon_2003106</v>
      </c>
      <c r="GC97" s="14">
        <f t="shared" si="168"/>
        <v>3</v>
      </c>
      <c r="GD97" s="14">
        <f t="shared" si="169"/>
        <v>0</v>
      </c>
      <c r="GE97" s="14">
        <f t="shared" si="186"/>
        <v>50</v>
      </c>
      <c r="GF97" s="14" t="str">
        <f t="shared" si="170"/>
        <v>HPExt</v>
      </c>
      <c r="GG97" s="14">
        <f t="shared" si="187"/>
        <v>650</v>
      </c>
      <c r="GH97" s="14">
        <f t="shared" si="188"/>
        <v>50</v>
      </c>
      <c r="GI97" s="14" t="str">
        <f t="shared" si="171"/>
        <v/>
      </c>
      <c r="GJ97" s="14" t="str">
        <f t="shared" si="189"/>
        <v/>
      </c>
      <c r="GK97" s="14" t="str">
        <f t="shared" si="190"/>
        <v/>
      </c>
      <c r="GL97" s="14">
        <f t="shared" si="172"/>
        <v>20320</v>
      </c>
      <c r="GM97" s="14">
        <f t="shared" si="191"/>
        <v>0</v>
      </c>
      <c r="GN97" s="14" t="str">
        <f t="shared" si="192"/>
        <v/>
      </c>
      <c r="GO97" s="25" t="s">
        <v>1471</v>
      </c>
      <c r="GP97" s="14">
        <f t="shared" si="173"/>
        <v>30</v>
      </c>
      <c r="GW97" s="13">
        <v>92</v>
      </c>
      <c r="GX97" s="14">
        <f t="shared" si="193"/>
        <v>28</v>
      </c>
      <c r="GY97" s="14">
        <f t="shared" si="194"/>
        <v>4</v>
      </c>
      <c r="GZ97" s="14">
        <f t="shared" si="195"/>
        <v>8</v>
      </c>
      <c r="HA97" s="14">
        <f t="shared" si="196"/>
        <v>211143</v>
      </c>
      <c r="HB97" s="14" t="str">
        <f t="shared" si="197"/>
        <v>150级守护灵の绝世套 : 属性-4</v>
      </c>
      <c r="HC97" s="14" t="s">
        <v>1396</v>
      </c>
      <c r="HD97" s="14">
        <f t="shared" si="198"/>
        <v>4</v>
      </c>
      <c r="HE97" s="14">
        <f t="shared" si="199"/>
        <v>5</v>
      </c>
      <c r="HF97" s="14" t="str">
        <f t="shared" si="200"/>
        <v>DmgResist</v>
      </c>
      <c r="HG97" s="14">
        <f t="shared" si="201"/>
        <v>0.1</v>
      </c>
      <c r="HK97" s="13">
        <v>92</v>
      </c>
      <c r="HL97" s="14">
        <f t="shared" si="202"/>
        <v>4</v>
      </c>
      <c r="HM97" s="14">
        <f t="shared" si="203"/>
        <v>1</v>
      </c>
      <c r="HN97" s="14">
        <f t="shared" si="204"/>
        <v>4</v>
      </c>
      <c r="HO97" s="14">
        <f t="shared" si="205"/>
        <v>4</v>
      </c>
      <c r="HP97" s="14" t="str">
        <f t="shared" si="206"/>
        <v>70级寄灵人洗练-Q4-8</v>
      </c>
      <c r="HQ97" s="14">
        <f t="shared" si="207"/>
        <v>1044</v>
      </c>
      <c r="HR97" s="14">
        <f t="shared" si="208"/>
        <v>8</v>
      </c>
      <c r="HS97" s="14">
        <f t="shared" si="209"/>
        <v>500</v>
      </c>
      <c r="HT97" s="14" t="str">
        <f t="shared" si="210"/>
        <v>CritRate</v>
      </c>
      <c r="HU97" s="14">
        <f t="shared" si="211"/>
        <v>2.8000000000000001E-2</v>
      </c>
      <c r="HV97" s="14">
        <f t="shared" si="212"/>
        <v>0.08</v>
      </c>
    </row>
    <row r="98" spans="151:230" ht="16.5" x14ac:dyDescent="0.2">
      <c r="EU98" s="13">
        <v>93</v>
      </c>
      <c r="EV98" s="14">
        <f t="shared" si="174"/>
        <v>1</v>
      </c>
      <c r="EW98" s="14">
        <f t="shared" si="175"/>
        <v>93</v>
      </c>
      <c r="EX98" s="14">
        <f t="shared" si="176"/>
        <v>12</v>
      </c>
      <c r="EY98" s="14">
        <f t="shared" si="151"/>
        <v>20</v>
      </c>
      <c r="EZ98" s="14">
        <f t="shared" si="152"/>
        <v>3</v>
      </c>
      <c r="FA98" s="14">
        <f t="shared" si="153"/>
        <v>50</v>
      </c>
      <c r="FB98" s="14">
        <f t="shared" si="154"/>
        <v>2</v>
      </c>
      <c r="FC98" s="14">
        <f t="shared" si="155"/>
        <v>7</v>
      </c>
      <c r="FD98" s="14">
        <f t="shared" si="156"/>
        <v>7</v>
      </c>
      <c r="FE98" s="14" t="b">
        <f t="shared" si="177"/>
        <v>0</v>
      </c>
      <c r="FF98" s="14">
        <f t="shared" si="157"/>
        <v>2003207</v>
      </c>
      <c r="FG98" s="13" t="str">
        <f t="shared" si="158"/>
        <v>50级-优秀寄灵人の项链</v>
      </c>
      <c r="FH98" s="14">
        <f t="shared" si="159"/>
        <v>1</v>
      </c>
      <c r="FI98" s="14">
        <f t="shared" si="160"/>
        <v>2</v>
      </c>
      <c r="FJ98" s="14">
        <f t="shared" si="161"/>
        <v>50</v>
      </c>
      <c r="FK98" s="14">
        <v>1</v>
      </c>
      <c r="FL98" s="14">
        <f t="shared" si="162"/>
        <v>3</v>
      </c>
      <c r="FM98" s="14">
        <f t="shared" si="178"/>
        <v>7</v>
      </c>
      <c r="FN98" s="14" t="str">
        <f t="shared" si="163"/>
        <v/>
      </c>
      <c r="FO98" s="14">
        <f t="shared" si="164"/>
        <v>55</v>
      </c>
      <c r="FP98" s="14">
        <f t="shared" si="179"/>
        <v>65</v>
      </c>
      <c r="FQ98" s="14">
        <f t="shared" si="180"/>
        <v>40</v>
      </c>
      <c r="FR98" s="14">
        <f t="shared" si="181"/>
        <v>0</v>
      </c>
      <c r="FS98" s="14">
        <f t="shared" si="182"/>
        <v>5</v>
      </c>
      <c r="FT98" s="14">
        <f t="shared" si="183"/>
        <v>3</v>
      </c>
      <c r="FU98" s="14">
        <f t="shared" si="184"/>
        <v>0</v>
      </c>
      <c r="FV98" s="14">
        <f t="shared" si="165"/>
        <v>1032</v>
      </c>
      <c r="FW98" s="14">
        <f t="shared" si="166"/>
        <v>0</v>
      </c>
      <c r="FX98" s="14" t="str">
        <f t="shared" si="167"/>
        <v/>
      </c>
      <c r="FY98" s="25" t="str">
        <f t="shared" si="185"/>
        <v>icon_2003107</v>
      </c>
      <c r="GC98" s="14">
        <f t="shared" si="168"/>
        <v>1</v>
      </c>
      <c r="GD98" s="14">
        <f t="shared" si="169"/>
        <v>2</v>
      </c>
      <c r="GE98" s="14">
        <f t="shared" si="186"/>
        <v>55</v>
      </c>
      <c r="GF98" s="14" t="str">
        <f t="shared" si="170"/>
        <v>AtkExt</v>
      </c>
      <c r="GG98" s="14">
        <f t="shared" si="187"/>
        <v>65</v>
      </c>
      <c r="GH98" s="14">
        <f t="shared" si="188"/>
        <v>5</v>
      </c>
      <c r="GI98" s="14" t="str">
        <f t="shared" si="171"/>
        <v>DefExt</v>
      </c>
      <c r="GJ98" s="14">
        <f t="shared" si="189"/>
        <v>40</v>
      </c>
      <c r="GK98" s="14">
        <f t="shared" si="190"/>
        <v>3</v>
      </c>
      <c r="GL98" s="14">
        <f t="shared" si="172"/>
        <v>20320</v>
      </c>
      <c r="GM98" s="14">
        <f t="shared" si="191"/>
        <v>0</v>
      </c>
      <c r="GN98" s="14" t="str">
        <f t="shared" si="192"/>
        <v/>
      </c>
      <c r="GO98" s="25" t="s">
        <v>1471</v>
      </c>
      <c r="GP98" s="14">
        <f t="shared" si="173"/>
        <v>45</v>
      </c>
      <c r="HK98" s="13">
        <v>93</v>
      </c>
      <c r="HL98" s="14">
        <f t="shared" si="202"/>
        <v>4</v>
      </c>
      <c r="HM98" s="14">
        <f t="shared" si="203"/>
        <v>1</v>
      </c>
      <c r="HN98" s="14">
        <f t="shared" si="204"/>
        <v>4</v>
      </c>
      <c r="HO98" s="14">
        <f t="shared" si="205"/>
        <v>4</v>
      </c>
      <c r="HP98" s="14" t="str">
        <f t="shared" si="206"/>
        <v>70级寄灵人洗练-Q4-9</v>
      </c>
      <c r="HQ98" s="14">
        <f t="shared" si="207"/>
        <v>1044</v>
      </c>
      <c r="HR98" s="14">
        <f t="shared" si="208"/>
        <v>9</v>
      </c>
      <c r="HS98" s="14">
        <f t="shared" si="209"/>
        <v>500</v>
      </c>
      <c r="HT98" s="14" t="str">
        <f t="shared" si="210"/>
        <v>DefIgnor</v>
      </c>
      <c r="HU98" s="14">
        <f t="shared" si="211"/>
        <v>1.0999999999999999E-2</v>
      </c>
      <c r="HV98" s="14">
        <f t="shared" si="212"/>
        <v>0.03</v>
      </c>
    </row>
    <row r="99" spans="151:230" ht="16.5" x14ac:dyDescent="0.2">
      <c r="EU99" s="13">
        <v>94</v>
      </c>
      <c r="EV99" s="14">
        <f t="shared" si="174"/>
        <v>1</v>
      </c>
      <c r="EW99" s="14">
        <f t="shared" si="175"/>
        <v>94</v>
      </c>
      <c r="EX99" s="14">
        <f t="shared" si="176"/>
        <v>12</v>
      </c>
      <c r="EY99" s="14">
        <f t="shared" si="151"/>
        <v>20</v>
      </c>
      <c r="EZ99" s="14">
        <f t="shared" si="152"/>
        <v>3</v>
      </c>
      <c r="FA99" s="14">
        <f t="shared" si="153"/>
        <v>50</v>
      </c>
      <c r="FB99" s="14">
        <f t="shared" si="154"/>
        <v>2</v>
      </c>
      <c r="FC99" s="14">
        <f t="shared" si="155"/>
        <v>8</v>
      </c>
      <c r="FD99" s="14">
        <f t="shared" si="156"/>
        <v>8</v>
      </c>
      <c r="FE99" s="14" t="b">
        <f t="shared" si="177"/>
        <v>0</v>
      </c>
      <c r="FF99" s="14">
        <f t="shared" si="157"/>
        <v>2003208</v>
      </c>
      <c r="FG99" s="13" t="str">
        <f t="shared" si="158"/>
        <v>50级-优秀寄灵人の戒指</v>
      </c>
      <c r="FH99" s="14">
        <f t="shared" si="159"/>
        <v>1</v>
      </c>
      <c r="FI99" s="14">
        <f t="shared" si="160"/>
        <v>2</v>
      </c>
      <c r="FJ99" s="14">
        <f t="shared" si="161"/>
        <v>50</v>
      </c>
      <c r="FK99" s="14">
        <v>1</v>
      </c>
      <c r="FL99" s="14">
        <f t="shared" si="162"/>
        <v>3</v>
      </c>
      <c r="FM99" s="14">
        <f t="shared" si="178"/>
        <v>8</v>
      </c>
      <c r="FN99" s="14" t="str">
        <f t="shared" si="163"/>
        <v/>
      </c>
      <c r="FO99" s="14">
        <f t="shared" si="164"/>
        <v>67</v>
      </c>
      <c r="FP99" s="14">
        <f t="shared" si="179"/>
        <v>65</v>
      </c>
      <c r="FQ99" s="14">
        <f t="shared" si="180"/>
        <v>0</v>
      </c>
      <c r="FR99" s="14">
        <f t="shared" si="181"/>
        <v>545</v>
      </c>
      <c r="FS99" s="14">
        <f t="shared" si="182"/>
        <v>5</v>
      </c>
      <c r="FT99" s="14">
        <f t="shared" si="183"/>
        <v>0</v>
      </c>
      <c r="FU99" s="14">
        <f t="shared" si="184"/>
        <v>42</v>
      </c>
      <c r="FV99" s="14">
        <f t="shared" si="165"/>
        <v>1032</v>
      </c>
      <c r="FW99" s="14">
        <f t="shared" si="166"/>
        <v>0</v>
      </c>
      <c r="FX99" s="14" t="str">
        <f t="shared" si="167"/>
        <v/>
      </c>
      <c r="FY99" s="25" t="str">
        <f t="shared" si="185"/>
        <v>icon_2003108</v>
      </c>
      <c r="GC99" s="14">
        <f t="shared" si="168"/>
        <v>1</v>
      </c>
      <c r="GD99" s="14">
        <f t="shared" si="169"/>
        <v>3</v>
      </c>
      <c r="GE99" s="14">
        <f t="shared" si="186"/>
        <v>67</v>
      </c>
      <c r="GF99" s="14" t="str">
        <f t="shared" si="170"/>
        <v>AtkExt</v>
      </c>
      <c r="GG99" s="14">
        <f t="shared" si="187"/>
        <v>65</v>
      </c>
      <c r="GH99" s="14">
        <f t="shared" si="188"/>
        <v>5</v>
      </c>
      <c r="GI99" s="14" t="str">
        <f t="shared" si="171"/>
        <v>HPExt</v>
      </c>
      <c r="GJ99" s="14">
        <f t="shared" si="189"/>
        <v>545</v>
      </c>
      <c r="GK99" s="14">
        <f t="shared" si="190"/>
        <v>42</v>
      </c>
      <c r="GL99" s="14">
        <f t="shared" si="172"/>
        <v>20320</v>
      </c>
      <c r="GM99" s="14">
        <f t="shared" si="191"/>
        <v>0</v>
      </c>
      <c r="GN99" s="14" t="str">
        <f t="shared" si="192"/>
        <v/>
      </c>
      <c r="GO99" s="25" t="s">
        <v>1471</v>
      </c>
      <c r="GP99" s="14">
        <f t="shared" si="173"/>
        <v>45</v>
      </c>
      <c r="HK99" s="13">
        <v>94</v>
      </c>
      <c r="HL99" s="14">
        <f t="shared" si="202"/>
        <v>4</v>
      </c>
      <c r="HM99" s="14">
        <f t="shared" si="203"/>
        <v>1</v>
      </c>
      <c r="HN99" s="14">
        <f t="shared" si="204"/>
        <v>4</v>
      </c>
      <c r="HO99" s="14">
        <f t="shared" si="205"/>
        <v>4</v>
      </c>
      <c r="HP99" s="14" t="str">
        <f t="shared" si="206"/>
        <v>70级寄灵人洗练-Q4-10</v>
      </c>
      <c r="HQ99" s="14">
        <f t="shared" si="207"/>
        <v>1044</v>
      </c>
      <c r="HR99" s="14">
        <f t="shared" si="208"/>
        <v>10</v>
      </c>
      <c r="HS99" s="14">
        <f t="shared" si="209"/>
        <v>500</v>
      </c>
      <c r="HT99" s="14" t="str">
        <f t="shared" si="210"/>
        <v>Block</v>
      </c>
      <c r="HU99" s="14">
        <f t="shared" si="211"/>
        <v>1.0999999999999999E-2</v>
      </c>
      <c r="HV99" s="14">
        <f t="shared" si="212"/>
        <v>0.03</v>
      </c>
    </row>
    <row r="100" spans="151:230" ht="16.5" x14ac:dyDescent="0.2">
      <c r="EU100" s="13">
        <v>95</v>
      </c>
      <c r="EV100" s="14">
        <f t="shared" si="174"/>
        <v>1</v>
      </c>
      <c r="EW100" s="14">
        <f t="shared" si="175"/>
        <v>95</v>
      </c>
      <c r="EX100" s="14">
        <f t="shared" si="176"/>
        <v>13</v>
      </c>
      <c r="EY100" s="14">
        <f t="shared" si="151"/>
        <v>30</v>
      </c>
      <c r="EZ100" s="14">
        <f t="shared" si="152"/>
        <v>3</v>
      </c>
      <c r="FA100" s="14">
        <f t="shared" si="153"/>
        <v>50</v>
      </c>
      <c r="FB100" s="14">
        <f t="shared" si="154"/>
        <v>3</v>
      </c>
      <c r="FC100" s="14">
        <f t="shared" si="155"/>
        <v>1</v>
      </c>
      <c r="FD100" s="14">
        <f t="shared" si="156"/>
        <v>1</v>
      </c>
      <c r="FE100" s="14" t="b">
        <f t="shared" si="177"/>
        <v>0</v>
      </c>
      <c r="FF100" s="14">
        <f t="shared" si="157"/>
        <v>2003301</v>
      </c>
      <c r="FG100" s="13" t="str">
        <f t="shared" si="158"/>
        <v>50级-精良寄灵人の灵器</v>
      </c>
      <c r="FH100" s="14">
        <f t="shared" si="159"/>
        <v>1</v>
      </c>
      <c r="FI100" s="14">
        <f t="shared" si="160"/>
        <v>3</v>
      </c>
      <c r="FJ100" s="14">
        <f t="shared" si="161"/>
        <v>50</v>
      </c>
      <c r="FK100" s="14">
        <v>1</v>
      </c>
      <c r="FL100" s="14">
        <f t="shared" si="162"/>
        <v>3</v>
      </c>
      <c r="FM100" s="14">
        <f t="shared" si="178"/>
        <v>1</v>
      </c>
      <c r="FN100" s="14" t="str">
        <f t="shared" si="163"/>
        <v/>
      </c>
      <c r="FO100" s="14">
        <f t="shared" si="164"/>
        <v>90</v>
      </c>
      <c r="FP100" s="14">
        <f t="shared" si="179"/>
        <v>230</v>
      </c>
      <c r="FQ100" s="14">
        <f t="shared" si="180"/>
        <v>0</v>
      </c>
      <c r="FR100" s="14">
        <f t="shared" si="181"/>
        <v>0</v>
      </c>
      <c r="FS100" s="14">
        <f t="shared" si="182"/>
        <v>18</v>
      </c>
      <c r="FT100" s="14">
        <f t="shared" si="183"/>
        <v>0</v>
      </c>
      <c r="FU100" s="14">
        <f t="shared" si="184"/>
        <v>0</v>
      </c>
      <c r="FV100" s="14">
        <f t="shared" si="165"/>
        <v>1033</v>
      </c>
      <c r="FW100" s="14">
        <f t="shared" si="166"/>
        <v>2</v>
      </c>
      <c r="FX100" s="14">
        <f t="shared" si="167"/>
        <v>1033</v>
      </c>
      <c r="FY100" s="25" t="str">
        <f t="shared" si="185"/>
        <v>icon_2003101</v>
      </c>
      <c r="GC100" s="14">
        <f t="shared" si="168"/>
        <v>1</v>
      </c>
      <c r="GD100" s="14">
        <f t="shared" si="169"/>
        <v>0</v>
      </c>
      <c r="GE100" s="14">
        <f t="shared" si="186"/>
        <v>90</v>
      </c>
      <c r="GF100" s="14" t="str">
        <f t="shared" si="170"/>
        <v>AtkExt</v>
      </c>
      <c r="GG100" s="14">
        <f t="shared" si="187"/>
        <v>230</v>
      </c>
      <c r="GH100" s="14">
        <f t="shared" si="188"/>
        <v>18</v>
      </c>
      <c r="GI100" s="14" t="str">
        <f t="shared" si="171"/>
        <v/>
      </c>
      <c r="GJ100" s="14" t="str">
        <f t="shared" si="189"/>
        <v/>
      </c>
      <c r="GK100" s="14" t="str">
        <f t="shared" si="190"/>
        <v/>
      </c>
      <c r="GL100" s="14">
        <f t="shared" si="172"/>
        <v>20330</v>
      </c>
      <c r="GM100" s="14">
        <f t="shared" si="191"/>
        <v>2</v>
      </c>
      <c r="GN100" s="14">
        <f t="shared" si="192"/>
        <v>1033</v>
      </c>
      <c r="GO100" s="25" t="s">
        <v>1471</v>
      </c>
      <c r="GP100" s="14">
        <f t="shared" si="173"/>
        <v>100</v>
      </c>
      <c r="HK100" s="13">
        <v>95</v>
      </c>
      <c r="HL100" s="14">
        <f t="shared" si="202"/>
        <v>4</v>
      </c>
      <c r="HM100" s="14">
        <f t="shared" si="203"/>
        <v>1</v>
      </c>
      <c r="HN100" s="14">
        <f t="shared" si="204"/>
        <v>4</v>
      </c>
      <c r="HO100" s="14">
        <f t="shared" si="205"/>
        <v>4</v>
      </c>
      <c r="HP100" s="14" t="str">
        <f t="shared" si="206"/>
        <v>70级寄灵人洗练-Q4-11</v>
      </c>
      <c r="HQ100" s="14">
        <f t="shared" si="207"/>
        <v>1044</v>
      </c>
      <c r="HR100" s="14">
        <f t="shared" si="208"/>
        <v>11</v>
      </c>
      <c r="HS100" s="14">
        <f t="shared" si="209"/>
        <v>500</v>
      </c>
      <c r="HT100" s="14" t="str">
        <f t="shared" si="210"/>
        <v>EffectHit</v>
      </c>
      <c r="HU100" s="14">
        <f t="shared" si="211"/>
        <v>1.7999999999999999E-2</v>
      </c>
      <c r="HV100" s="14">
        <f t="shared" si="212"/>
        <v>0.05</v>
      </c>
    </row>
    <row r="101" spans="151:230" ht="16.5" x14ac:dyDescent="0.2">
      <c r="EU101" s="13">
        <v>96</v>
      </c>
      <c r="EV101" s="14">
        <f t="shared" si="174"/>
        <v>1</v>
      </c>
      <c r="EW101" s="14">
        <f t="shared" si="175"/>
        <v>96</v>
      </c>
      <c r="EX101" s="14">
        <f t="shared" si="176"/>
        <v>13</v>
      </c>
      <c r="EY101" s="14">
        <f t="shared" si="151"/>
        <v>30</v>
      </c>
      <c r="EZ101" s="14">
        <f t="shared" si="152"/>
        <v>3</v>
      </c>
      <c r="FA101" s="14">
        <f t="shared" si="153"/>
        <v>50</v>
      </c>
      <c r="FB101" s="14">
        <f t="shared" si="154"/>
        <v>3</v>
      </c>
      <c r="FC101" s="14">
        <f t="shared" si="155"/>
        <v>2</v>
      </c>
      <c r="FD101" s="14">
        <f t="shared" si="156"/>
        <v>2</v>
      </c>
      <c r="FE101" s="14" t="b">
        <f t="shared" si="177"/>
        <v>0</v>
      </c>
      <c r="FF101" s="14">
        <f t="shared" si="157"/>
        <v>2003302</v>
      </c>
      <c r="FG101" s="13" t="str">
        <f t="shared" si="158"/>
        <v>50级-精良寄灵人の头盔</v>
      </c>
      <c r="FH101" s="14">
        <f t="shared" si="159"/>
        <v>1</v>
      </c>
      <c r="FI101" s="14">
        <f t="shared" si="160"/>
        <v>3</v>
      </c>
      <c r="FJ101" s="14">
        <f t="shared" si="161"/>
        <v>50</v>
      </c>
      <c r="FK101" s="14">
        <v>1</v>
      </c>
      <c r="FL101" s="14">
        <f t="shared" si="162"/>
        <v>3</v>
      </c>
      <c r="FM101" s="14">
        <f t="shared" si="178"/>
        <v>2</v>
      </c>
      <c r="FN101" s="14" t="str">
        <f t="shared" si="163"/>
        <v/>
      </c>
      <c r="FO101" s="14">
        <f t="shared" si="164"/>
        <v>40</v>
      </c>
      <c r="FP101" s="14">
        <f t="shared" si="179"/>
        <v>0</v>
      </c>
      <c r="FQ101" s="14">
        <f t="shared" si="180"/>
        <v>60</v>
      </c>
      <c r="FR101" s="14">
        <f t="shared" si="181"/>
        <v>0</v>
      </c>
      <c r="FS101" s="14">
        <f t="shared" si="182"/>
        <v>0</v>
      </c>
      <c r="FT101" s="14">
        <f t="shared" si="183"/>
        <v>4</v>
      </c>
      <c r="FU101" s="14">
        <f t="shared" si="184"/>
        <v>0</v>
      </c>
      <c r="FV101" s="14">
        <f t="shared" si="165"/>
        <v>1033</v>
      </c>
      <c r="FW101" s="14">
        <f t="shared" si="166"/>
        <v>2</v>
      </c>
      <c r="FX101" s="14">
        <f t="shared" si="167"/>
        <v>1033</v>
      </c>
      <c r="FY101" s="25" t="str">
        <f t="shared" si="185"/>
        <v>icon_2003102</v>
      </c>
      <c r="GC101" s="14">
        <f t="shared" si="168"/>
        <v>2</v>
      </c>
      <c r="GD101" s="14">
        <f t="shared" si="169"/>
        <v>0</v>
      </c>
      <c r="GE101" s="14">
        <f t="shared" si="186"/>
        <v>40</v>
      </c>
      <c r="GF101" s="14" t="str">
        <f t="shared" si="170"/>
        <v>DefExt</v>
      </c>
      <c r="GG101" s="14">
        <f t="shared" si="187"/>
        <v>60</v>
      </c>
      <c r="GH101" s="14">
        <f t="shared" si="188"/>
        <v>4</v>
      </c>
      <c r="GI101" s="14" t="str">
        <f t="shared" si="171"/>
        <v/>
      </c>
      <c r="GJ101" s="14" t="str">
        <f t="shared" si="189"/>
        <v/>
      </c>
      <c r="GK101" s="14" t="str">
        <f t="shared" si="190"/>
        <v/>
      </c>
      <c r="GL101" s="14">
        <f t="shared" si="172"/>
        <v>20330</v>
      </c>
      <c r="GM101" s="14">
        <f t="shared" si="191"/>
        <v>2</v>
      </c>
      <c r="GN101" s="14">
        <f t="shared" si="192"/>
        <v>1033</v>
      </c>
      <c r="GO101" s="25" t="s">
        <v>1471</v>
      </c>
      <c r="GP101" s="14">
        <f t="shared" si="173"/>
        <v>50</v>
      </c>
      <c r="HK101" s="13">
        <v>96</v>
      </c>
      <c r="HL101" s="14">
        <f t="shared" si="202"/>
        <v>4</v>
      </c>
      <c r="HM101" s="14">
        <f t="shared" si="203"/>
        <v>1</v>
      </c>
      <c r="HN101" s="14">
        <f t="shared" si="204"/>
        <v>4</v>
      </c>
      <c r="HO101" s="14">
        <f t="shared" si="205"/>
        <v>4</v>
      </c>
      <c r="HP101" s="14" t="str">
        <f t="shared" si="206"/>
        <v>70级寄灵人洗练-Q4-12</v>
      </c>
      <c r="HQ101" s="14">
        <f t="shared" si="207"/>
        <v>1044</v>
      </c>
      <c r="HR101" s="14">
        <f t="shared" si="208"/>
        <v>12</v>
      </c>
      <c r="HS101" s="14">
        <f t="shared" si="209"/>
        <v>500</v>
      </c>
      <c r="HT101" s="14" t="str">
        <f t="shared" si="210"/>
        <v>EffectResist</v>
      </c>
      <c r="HU101" s="14">
        <f t="shared" si="211"/>
        <v>1.7999999999999999E-2</v>
      </c>
      <c r="HV101" s="14">
        <f t="shared" si="212"/>
        <v>0.05</v>
      </c>
    </row>
    <row r="102" spans="151:230" ht="16.5" x14ac:dyDescent="0.2">
      <c r="EU102" s="13">
        <v>97</v>
      </c>
      <c r="EV102" s="14">
        <f t="shared" si="174"/>
        <v>1</v>
      </c>
      <c r="EW102" s="14">
        <f t="shared" si="175"/>
        <v>97</v>
      </c>
      <c r="EX102" s="14">
        <f t="shared" si="176"/>
        <v>13</v>
      </c>
      <c r="EY102" s="14">
        <f t="shared" si="151"/>
        <v>30</v>
      </c>
      <c r="EZ102" s="14">
        <f t="shared" si="152"/>
        <v>3</v>
      </c>
      <c r="FA102" s="14">
        <f t="shared" si="153"/>
        <v>50</v>
      </c>
      <c r="FB102" s="14">
        <f t="shared" si="154"/>
        <v>3</v>
      </c>
      <c r="FC102" s="14">
        <f t="shared" si="155"/>
        <v>3</v>
      </c>
      <c r="FD102" s="14">
        <f t="shared" si="156"/>
        <v>3</v>
      </c>
      <c r="FE102" s="14" t="b">
        <f t="shared" si="177"/>
        <v>0</v>
      </c>
      <c r="FF102" s="14">
        <f t="shared" si="157"/>
        <v>2003303</v>
      </c>
      <c r="FG102" s="13" t="str">
        <f t="shared" si="158"/>
        <v>50级-精良寄灵人の铠甲</v>
      </c>
      <c r="FH102" s="14">
        <f t="shared" si="159"/>
        <v>1</v>
      </c>
      <c r="FI102" s="14">
        <f t="shared" si="160"/>
        <v>3</v>
      </c>
      <c r="FJ102" s="14">
        <f t="shared" si="161"/>
        <v>50</v>
      </c>
      <c r="FK102" s="14">
        <v>1</v>
      </c>
      <c r="FL102" s="14">
        <f t="shared" si="162"/>
        <v>3</v>
      </c>
      <c r="FM102" s="14">
        <f t="shared" si="178"/>
        <v>3</v>
      </c>
      <c r="FN102" s="14" t="str">
        <f t="shared" si="163"/>
        <v/>
      </c>
      <c r="FO102" s="14">
        <f t="shared" si="164"/>
        <v>50</v>
      </c>
      <c r="FP102" s="14">
        <f t="shared" si="179"/>
        <v>0</v>
      </c>
      <c r="FQ102" s="14">
        <f t="shared" si="180"/>
        <v>30</v>
      </c>
      <c r="FR102" s="14">
        <f t="shared" si="181"/>
        <v>395</v>
      </c>
      <c r="FS102" s="14">
        <f t="shared" si="182"/>
        <v>0</v>
      </c>
      <c r="FT102" s="14">
        <f t="shared" si="183"/>
        <v>2</v>
      </c>
      <c r="FU102" s="14">
        <f t="shared" si="184"/>
        <v>30</v>
      </c>
      <c r="FV102" s="14">
        <f t="shared" si="165"/>
        <v>1033</v>
      </c>
      <c r="FW102" s="14">
        <f t="shared" si="166"/>
        <v>2</v>
      </c>
      <c r="FX102" s="14">
        <f t="shared" si="167"/>
        <v>1033</v>
      </c>
      <c r="FY102" s="25" t="str">
        <f t="shared" si="185"/>
        <v>icon_2003103</v>
      </c>
      <c r="GC102" s="14">
        <f t="shared" si="168"/>
        <v>2</v>
      </c>
      <c r="GD102" s="14">
        <f t="shared" si="169"/>
        <v>3</v>
      </c>
      <c r="GE102" s="14">
        <f t="shared" si="186"/>
        <v>50</v>
      </c>
      <c r="GF102" s="14" t="str">
        <f t="shared" si="170"/>
        <v>DefExt</v>
      </c>
      <c r="GG102" s="14">
        <f t="shared" si="187"/>
        <v>30</v>
      </c>
      <c r="GH102" s="14">
        <f t="shared" si="188"/>
        <v>2</v>
      </c>
      <c r="GI102" s="14" t="str">
        <f t="shared" si="171"/>
        <v>HPExt</v>
      </c>
      <c r="GJ102" s="14">
        <f t="shared" si="189"/>
        <v>395</v>
      </c>
      <c r="GK102" s="14">
        <f t="shared" si="190"/>
        <v>30</v>
      </c>
      <c r="GL102" s="14">
        <f t="shared" si="172"/>
        <v>20330</v>
      </c>
      <c r="GM102" s="14">
        <f t="shared" si="191"/>
        <v>2</v>
      </c>
      <c r="GN102" s="14">
        <f t="shared" si="192"/>
        <v>1033</v>
      </c>
      <c r="GO102" s="25" t="s">
        <v>1471</v>
      </c>
      <c r="GP102" s="14">
        <f t="shared" si="173"/>
        <v>50</v>
      </c>
      <c r="HK102" s="13">
        <v>97</v>
      </c>
      <c r="HL102" s="14">
        <f t="shared" si="202"/>
        <v>5</v>
      </c>
      <c r="HM102" s="14">
        <f t="shared" si="203"/>
        <v>1</v>
      </c>
      <c r="HN102" s="14">
        <f t="shared" si="204"/>
        <v>5</v>
      </c>
      <c r="HO102" s="14">
        <f t="shared" si="205"/>
        <v>3</v>
      </c>
      <c r="HP102" s="14" t="str">
        <f t="shared" si="206"/>
        <v>90级寄灵人洗练-Q3-1</v>
      </c>
      <c r="HQ102" s="14">
        <f t="shared" si="207"/>
        <v>1053</v>
      </c>
      <c r="HR102" s="14">
        <f t="shared" si="208"/>
        <v>1</v>
      </c>
      <c r="HS102" s="14">
        <f t="shared" si="209"/>
        <v>1800</v>
      </c>
      <c r="HT102" s="14" t="str">
        <f t="shared" si="210"/>
        <v>AtkExt</v>
      </c>
      <c r="HU102" s="14">
        <f t="shared" si="211"/>
        <v>82</v>
      </c>
      <c r="HV102" s="14">
        <f t="shared" si="212"/>
        <v>236</v>
      </c>
    </row>
    <row r="103" spans="151:230" ht="16.5" x14ac:dyDescent="0.2">
      <c r="EU103" s="13">
        <v>98</v>
      </c>
      <c r="EV103" s="14">
        <f t="shared" si="174"/>
        <v>1</v>
      </c>
      <c r="EW103" s="14">
        <f t="shared" si="175"/>
        <v>98</v>
      </c>
      <c r="EX103" s="14">
        <f t="shared" si="176"/>
        <v>13</v>
      </c>
      <c r="EY103" s="14">
        <f t="shared" si="151"/>
        <v>30</v>
      </c>
      <c r="EZ103" s="14">
        <f t="shared" si="152"/>
        <v>3</v>
      </c>
      <c r="FA103" s="14">
        <f t="shared" si="153"/>
        <v>50</v>
      </c>
      <c r="FB103" s="14">
        <f t="shared" si="154"/>
        <v>3</v>
      </c>
      <c r="FC103" s="14">
        <f t="shared" si="155"/>
        <v>4</v>
      </c>
      <c r="FD103" s="14">
        <f t="shared" si="156"/>
        <v>4</v>
      </c>
      <c r="FE103" s="14" t="b">
        <f t="shared" si="177"/>
        <v>0</v>
      </c>
      <c r="FF103" s="14">
        <f t="shared" si="157"/>
        <v>2003304</v>
      </c>
      <c r="FG103" s="13" t="str">
        <f t="shared" si="158"/>
        <v>50级-精良寄灵人の裤子</v>
      </c>
      <c r="FH103" s="14">
        <f t="shared" si="159"/>
        <v>1</v>
      </c>
      <c r="FI103" s="14">
        <f t="shared" si="160"/>
        <v>3</v>
      </c>
      <c r="FJ103" s="14">
        <f t="shared" si="161"/>
        <v>50</v>
      </c>
      <c r="FK103" s="14">
        <v>1</v>
      </c>
      <c r="FL103" s="14">
        <f t="shared" si="162"/>
        <v>3</v>
      </c>
      <c r="FM103" s="14">
        <f t="shared" si="178"/>
        <v>4</v>
      </c>
      <c r="FN103" s="14" t="str">
        <f t="shared" si="163"/>
        <v/>
      </c>
      <c r="FO103" s="14">
        <f t="shared" si="164"/>
        <v>40</v>
      </c>
      <c r="FP103" s="14">
        <f t="shared" si="179"/>
        <v>0</v>
      </c>
      <c r="FQ103" s="14">
        <f t="shared" si="180"/>
        <v>60</v>
      </c>
      <c r="FR103" s="14">
        <f t="shared" si="181"/>
        <v>0</v>
      </c>
      <c r="FS103" s="14">
        <f t="shared" si="182"/>
        <v>0</v>
      </c>
      <c r="FT103" s="14">
        <f t="shared" si="183"/>
        <v>4</v>
      </c>
      <c r="FU103" s="14">
        <f t="shared" si="184"/>
        <v>0</v>
      </c>
      <c r="FV103" s="14">
        <f t="shared" si="165"/>
        <v>1033</v>
      </c>
      <c r="FW103" s="14">
        <f t="shared" si="166"/>
        <v>2</v>
      </c>
      <c r="FX103" s="14">
        <f t="shared" si="167"/>
        <v>1033</v>
      </c>
      <c r="FY103" s="25" t="str">
        <f t="shared" si="185"/>
        <v>icon_2003104</v>
      </c>
      <c r="GC103" s="14">
        <f t="shared" si="168"/>
        <v>2</v>
      </c>
      <c r="GD103" s="14">
        <f t="shared" si="169"/>
        <v>0</v>
      </c>
      <c r="GE103" s="14">
        <f t="shared" si="186"/>
        <v>40</v>
      </c>
      <c r="GF103" s="14" t="str">
        <f t="shared" si="170"/>
        <v>DefExt</v>
      </c>
      <c r="GG103" s="14">
        <f t="shared" si="187"/>
        <v>60</v>
      </c>
      <c r="GH103" s="14">
        <f t="shared" si="188"/>
        <v>4</v>
      </c>
      <c r="GI103" s="14" t="str">
        <f t="shared" si="171"/>
        <v/>
      </c>
      <c r="GJ103" s="14" t="str">
        <f t="shared" si="189"/>
        <v/>
      </c>
      <c r="GK103" s="14" t="str">
        <f t="shared" si="190"/>
        <v/>
      </c>
      <c r="GL103" s="14">
        <f t="shared" si="172"/>
        <v>20330</v>
      </c>
      <c r="GM103" s="14">
        <f t="shared" si="191"/>
        <v>2</v>
      </c>
      <c r="GN103" s="14">
        <f t="shared" si="192"/>
        <v>1033</v>
      </c>
      <c r="GO103" s="25" t="s">
        <v>1471</v>
      </c>
      <c r="GP103" s="14">
        <f t="shared" si="173"/>
        <v>50</v>
      </c>
      <c r="HK103" s="13">
        <v>98</v>
      </c>
      <c r="HL103" s="14">
        <f t="shared" si="202"/>
        <v>5</v>
      </c>
      <c r="HM103" s="14">
        <f t="shared" si="203"/>
        <v>1</v>
      </c>
      <c r="HN103" s="14">
        <f t="shared" si="204"/>
        <v>5</v>
      </c>
      <c r="HO103" s="14">
        <f t="shared" si="205"/>
        <v>3</v>
      </c>
      <c r="HP103" s="14" t="str">
        <f t="shared" si="206"/>
        <v>90级寄灵人洗练-Q3-2</v>
      </c>
      <c r="HQ103" s="14">
        <f t="shared" si="207"/>
        <v>1053</v>
      </c>
      <c r="HR103" s="14">
        <f t="shared" si="208"/>
        <v>2</v>
      </c>
      <c r="HS103" s="14">
        <f t="shared" si="209"/>
        <v>1800</v>
      </c>
      <c r="HT103" s="14" t="str">
        <f t="shared" si="210"/>
        <v>DefExt</v>
      </c>
      <c r="HU103" s="14">
        <f t="shared" si="211"/>
        <v>34</v>
      </c>
      <c r="HV103" s="14">
        <f t="shared" si="212"/>
        <v>99</v>
      </c>
    </row>
    <row r="104" spans="151:230" ht="16.5" x14ac:dyDescent="0.2">
      <c r="EU104" s="13">
        <v>99</v>
      </c>
      <c r="EV104" s="14">
        <f t="shared" si="174"/>
        <v>1</v>
      </c>
      <c r="EW104" s="14">
        <f t="shared" si="175"/>
        <v>99</v>
      </c>
      <c r="EX104" s="14">
        <f t="shared" si="176"/>
        <v>13</v>
      </c>
      <c r="EY104" s="14">
        <f t="shared" si="151"/>
        <v>30</v>
      </c>
      <c r="EZ104" s="14">
        <f t="shared" si="152"/>
        <v>3</v>
      </c>
      <c r="FA104" s="14">
        <f t="shared" si="153"/>
        <v>50</v>
      </c>
      <c r="FB104" s="14">
        <f t="shared" si="154"/>
        <v>3</v>
      </c>
      <c r="FC104" s="14">
        <f t="shared" si="155"/>
        <v>5</v>
      </c>
      <c r="FD104" s="14">
        <f t="shared" si="156"/>
        <v>5</v>
      </c>
      <c r="FE104" s="14" t="b">
        <f t="shared" si="177"/>
        <v>0</v>
      </c>
      <c r="FF104" s="14">
        <f t="shared" si="157"/>
        <v>2003305</v>
      </c>
      <c r="FG104" s="13" t="str">
        <f t="shared" si="158"/>
        <v>50级-精良寄灵人の鞋子</v>
      </c>
      <c r="FH104" s="14">
        <f t="shared" si="159"/>
        <v>1</v>
      </c>
      <c r="FI104" s="14">
        <f t="shared" si="160"/>
        <v>3</v>
      </c>
      <c r="FJ104" s="14">
        <f t="shared" si="161"/>
        <v>50</v>
      </c>
      <c r="FK104" s="14">
        <v>1</v>
      </c>
      <c r="FL104" s="14">
        <f t="shared" si="162"/>
        <v>3</v>
      </c>
      <c r="FM104" s="14">
        <f t="shared" si="178"/>
        <v>5</v>
      </c>
      <c r="FN104" s="14" t="str">
        <f t="shared" si="163"/>
        <v/>
      </c>
      <c r="FO104" s="14">
        <f t="shared" si="164"/>
        <v>61</v>
      </c>
      <c r="FP104" s="14">
        <f t="shared" si="179"/>
        <v>0</v>
      </c>
      <c r="FQ104" s="14">
        <f t="shared" si="180"/>
        <v>0</v>
      </c>
      <c r="FR104" s="14">
        <f t="shared" si="181"/>
        <v>790</v>
      </c>
      <c r="FS104" s="14">
        <f t="shared" si="182"/>
        <v>0</v>
      </c>
      <c r="FT104" s="14">
        <f t="shared" si="183"/>
        <v>0</v>
      </c>
      <c r="FU104" s="14">
        <f t="shared" si="184"/>
        <v>61</v>
      </c>
      <c r="FV104" s="14">
        <f t="shared" si="165"/>
        <v>1033</v>
      </c>
      <c r="FW104" s="14">
        <f t="shared" si="166"/>
        <v>2</v>
      </c>
      <c r="FX104" s="14">
        <f t="shared" si="167"/>
        <v>1033</v>
      </c>
      <c r="FY104" s="25" t="str">
        <f t="shared" si="185"/>
        <v>icon_2003105</v>
      </c>
      <c r="GC104" s="14">
        <f t="shared" si="168"/>
        <v>3</v>
      </c>
      <c r="GD104" s="14">
        <f t="shared" si="169"/>
        <v>0</v>
      </c>
      <c r="GE104" s="14">
        <f t="shared" si="186"/>
        <v>61</v>
      </c>
      <c r="GF104" s="14" t="str">
        <f t="shared" si="170"/>
        <v>HPExt</v>
      </c>
      <c r="GG104" s="14">
        <f t="shared" si="187"/>
        <v>790</v>
      </c>
      <c r="GH104" s="14">
        <f t="shared" si="188"/>
        <v>61</v>
      </c>
      <c r="GI104" s="14" t="str">
        <f t="shared" si="171"/>
        <v/>
      </c>
      <c r="GJ104" s="14" t="str">
        <f t="shared" si="189"/>
        <v/>
      </c>
      <c r="GK104" s="14" t="str">
        <f t="shared" si="190"/>
        <v/>
      </c>
      <c r="GL104" s="14">
        <f t="shared" si="172"/>
        <v>20330</v>
      </c>
      <c r="GM104" s="14">
        <f t="shared" si="191"/>
        <v>2</v>
      </c>
      <c r="GN104" s="14">
        <f t="shared" si="192"/>
        <v>1033</v>
      </c>
      <c r="GO104" s="25" t="s">
        <v>1471</v>
      </c>
      <c r="GP104" s="14">
        <f t="shared" si="173"/>
        <v>50</v>
      </c>
      <c r="HK104" s="13">
        <v>99</v>
      </c>
      <c r="HL104" s="14">
        <f t="shared" si="202"/>
        <v>5</v>
      </c>
      <c r="HM104" s="14">
        <f t="shared" si="203"/>
        <v>1</v>
      </c>
      <c r="HN104" s="14">
        <f t="shared" si="204"/>
        <v>5</v>
      </c>
      <c r="HO104" s="14">
        <f t="shared" si="205"/>
        <v>3</v>
      </c>
      <c r="HP104" s="14" t="str">
        <f t="shared" si="206"/>
        <v>90级寄灵人洗练-Q3-3</v>
      </c>
      <c r="HQ104" s="14">
        <f t="shared" si="207"/>
        <v>1053</v>
      </c>
      <c r="HR104" s="14">
        <f t="shared" si="208"/>
        <v>3</v>
      </c>
      <c r="HS104" s="14">
        <f t="shared" si="209"/>
        <v>2000</v>
      </c>
      <c r="HT104" s="14" t="str">
        <f t="shared" si="210"/>
        <v>HPExt</v>
      </c>
      <c r="HU104" s="14">
        <f t="shared" si="211"/>
        <v>669</v>
      </c>
      <c r="HV104" s="14">
        <f t="shared" si="212"/>
        <v>1913</v>
      </c>
    </row>
    <row r="105" spans="151:230" ht="16.5" x14ac:dyDescent="0.2">
      <c r="EU105" s="13">
        <v>100</v>
      </c>
      <c r="EV105" s="14">
        <f t="shared" si="174"/>
        <v>1</v>
      </c>
      <c r="EW105" s="14">
        <f t="shared" si="175"/>
        <v>100</v>
      </c>
      <c r="EX105" s="14">
        <f t="shared" si="176"/>
        <v>13</v>
      </c>
      <c r="EY105" s="14">
        <f t="shared" si="151"/>
        <v>30</v>
      </c>
      <c r="EZ105" s="14">
        <f t="shared" si="152"/>
        <v>3</v>
      </c>
      <c r="FA105" s="14">
        <f t="shared" si="153"/>
        <v>50</v>
      </c>
      <c r="FB105" s="14">
        <f t="shared" si="154"/>
        <v>3</v>
      </c>
      <c r="FC105" s="14">
        <f t="shared" si="155"/>
        <v>6</v>
      </c>
      <c r="FD105" s="14">
        <f t="shared" si="156"/>
        <v>6</v>
      </c>
      <c r="FE105" s="14" t="b">
        <f t="shared" si="177"/>
        <v>0</v>
      </c>
      <c r="FF105" s="14">
        <f t="shared" si="157"/>
        <v>2003306</v>
      </c>
      <c r="FG105" s="13" t="str">
        <f t="shared" si="158"/>
        <v>50级-精良寄灵人の护手</v>
      </c>
      <c r="FH105" s="14">
        <f t="shared" si="159"/>
        <v>1</v>
      </c>
      <c r="FI105" s="14">
        <f t="shared" si="160"/>
        <v>3</v>
      </c>
      <c r="FJ105" s="14">
        <f t="shared" si="161"/>
        <v>50</v>
      </c>
      <c r="FK105" s="14">
        <v>1</v>
      </c>
      <c r="FL105" s="14">
        <f t="shared" si="162"/>
        <v>3</v>
      </c>
      <c r="FM105" s="14">
        <f t="shared" si="178"/>
        <v>6</v>
      </c>
      <c r="FN105" s="14" t="str">
        <f t="shared" si="163"/>
        <v/>
      </c>
      <c r="FO105" s="14">
        <f t="shared" si="164"/>
        <v>61</v>
      </c>
      <c r="FP105" s="14">
        <f t="shared" si="179"/>
        <v>0</v>
      </c>
      <c r="FQ105" s="14">
        <f t="shared" si="180"/>
        <v>0</v>
      </c>
      <c r="FR105" s="14">
        <f t="shared" si="181"/>
        <v>790</v>
      </c>
      <c r="FS105" s="14">
        <f t="shared" si="182"/>
        <v>0</v>
      </c>
      <c r="FT105" s="14">
        <f t="shared" si="183"/>
        <v>0</v>
      </c>
      <c r="FU105" s="14">
        <f t="shared" si="184"/>
        <v>61</v>
      </c>
      <c r="FV105" s="14">
        <f t="shared" si="165"/>
        <v>1033</v>
      </c>
      <c r="FW105" s="14">
        <f t="shared" si="166"/>
        <v>2</v>
      </c>
      <c r="FX105" s="14">
        <f t="shared" si="167"/>
        <v>1033</v>
      </c>
      <c r="FY105" s="25" t="str">
        <f t="shared" si="185"/>
        <v>icon_2003106</v>
      </c>
      <c r="GC105" s="14">
        <f t="shared" si="168"/>
        <v>3</v>
      </c>
      <c r="GD105" s="14">
        <f t="shared" si="169"/>
        <v>0</v>
      </c>
      <c r="GE105" s="14">
        <f t="shared" si="186"/>
        <v>61</v>
      </c>
      <c r="GF105" s="14" t="str">
        <f t="shared" si="170"/>
        <v>HPExt</v>
      </c>
      <c r="GG105" s="14">
        <f t="shared" si="187"/>
        <v>790</v>
      </c>
      <c r="GH105" s="14">
        <f t="shared" si="188"/>
        <v>61</v>
      </c>
      <c r="GI105" s="14" t="str">
        <f t="shared" si="171"/>
        <v/>
      </c>
      <c r="GJ105" s="14" t="str">
        <f t="shared" si="189"/>
        <v/>
      </c>
      <c r="GK105" s="14" t="str">
        <f t="shared" si="190"/>
        <v/>
      </c>
      <c r="GL105" s="14">
        <f t="shared" si="172"/>
        <v>20330</v>
      </c>
      <c r="GM105" s="14">
        <f t="shared" si="191"/>
        <v>2</v>
      </c>
      <c r="GN105" s="14">
        <f t="shared" si="192"/>
        <v>1033</v>
      </c>
      <c r="GO105" s="25" t="s">
        <v>1471</v>
      </c>
      <c r="GP105" s="14">
        <f t="shared" si="173"/>
        <v>50</v>
      </c>
      <c r="HK105" s="13">
        <v>100</v>
      </c>
      <c r="HL105" s="14">
        <f t="shared" si="202"/>
        <v>5</v>
      </c>
      <c r="HM105" s="14">
        <f t="shared" si="203"/>
        <v>1</v>
      </c>
      <c r="HN105" s="14">
        <f t="shared" si="204"/>
        <v>5</v>
      </c>
      <c r="HO105" s="14">
        <f t="shared" si="205"/>
        <v>3</v>
      </c>
      <c r="HP105" s="14" t="str">
        <f t="shared" si="206"/>
        <v>90级寄灵人洗练-Q3-4</v>
      </c>
      <c r="HQ105" s="14">
        <f t="shared" si="207"/>
        <v>1053</v>
      </c>
      <c r="HR105" s="14">
        <f t="shared" si="208"/>
        <v>4</v>
      </c>
      <c r="HS105" s="14">
        <f t="shared" si="209"/>
        <v>500</v>
      </c>
      <c r="HT105" s="14" t="str">
        <f t="shared" si="210"/>
        <v>AtkRate</v>
      </c>
      <c r="HU105" s="14">
        <f t="shared" si="211"/>
        <v>1.4E-2</v>
      </c>
      <c r="HV105" s="14">
        <f t="shared" si="212"/>
        <v>0.04</v>
      </c>
    </row>
    <row r="106" spans="151:230" ht="16.5" x14ac:dyDescent="0.2">
      <c r="EU106" s="13">
        <v>101</v>
      </c>
      <c r="EV106" s="14">
        <f t="shared" si="174"/>
        <v>1</v>
      </c>
      <c r="EW106" s="14">
        <f t="shared" si="175"/>
        <v>101</v>
      </c>
      <c r="EX106" s="14">
        <f t="shared" si="176"/>
        <v>13</v>
      </c>
      <c r="EY106" s="14">
        <f t="shared" si="151"/>
        <v>30</v>
      </c>
      <c r="EZ106" s="14">
        <f t="shared" si="152"/>
        <v>3</v>
      </c>
      <c r="FA106" s="14">
        <f t="shared" si="153"/>
        <v>50</v>
      </c>
      <c r="FB106" s="14">
        <f t="shared" si="154"/>
        <v>3</v>
      </c>
      <c r="FC106" s="14">
        <f t="shared" si="155"/>
        <v>7</v>
      </c>
      <c r="FD106" s="14">
        <f t="shared" si="156"/>
        <v>7</v>
      </c>
      <c r="FE106" s="14" t="b">
        <f t="shared" si="177"/>
        <v>0</v>
      </c>
      <c r="FF106" s="14">
        <f t="shared" si="157"/>
        <v>2003307</v>
      </c>
      <c r="FG106" s="13" t="str">
        <f t="shared" si="158"/>
        <v>50级-精良寄灵人の项链</v>
      </c>
      <c r="FH106" s="14">
        <f t="shared" si="159"/>
        <v>1</v>
      </c>
      <c r="FI106" s="14">
        <f t="shared" si="160"/>
        <v>3</v>
      </c>
      <c r="FJ106" s="14">
        <f t="shared" si="161"/>
        <v>50</v>
      </c>
      <c r="FK106" s="14">
        <v>1</v>
      </c>
      <c r="FL106" s="14">
        <f t="shared" si="162"/>
        <v>3</v>
      </c>
      <c r="FM106" s="14">
        <f t="shared" si="178"/>
        <v>7</v>
      </c>
      <c r="FN106" s="14" t="str">
        <f t="shared" si="163"/>
        <v/>
      </c>
      <c r="FO106" s="14">
        <f t="shared" si="164"/>
        <v>70</v>
      </c>
      <c r="FP106" s="14">
        <f t="shared" si="179"/>
        <v>75</v>
      </c>
      <c r="FQ106" s="14">
        <f t="shared" si="180"/>
        <v>50</v>
      </c>
      <c r="FR106" s="14">
        <f t="shared" si="181"/>
        <v>0</v>
      </c>
      <c r="FS106" s="14">
        <f t="shared" si="182"/>
        <v>6</v>
      </c>
      <c r="FT106" s="14">
        <f t="shared" si="183"/>
        <v>4</v>
      </c>
      <c r="FU106" s="14">
        <f t="shared" si="184"/>
        <v>0</v>
      </c>
      <c r="FV106" s="14">
        <f t="shared" si="165"/>
        <v>1033</v>
      </c>
      <c r="FW106" s="14">
        <f t="shared" si="166"/>
        <v>2</v>
      </c>
      <c r="FX106" s="14">
        <f t="shared" si="167"/>
        <v>1033</v>
      </c>
      <c r="FY106" s="25" t="str">
        <f t="shared" si="185"/>
        <v>icon_2003107</v>
      </c>
      <c r="GC106" s="14">
        <f t="shared" si="168"/>
        <v>1</v>
      </c>
      <c r="GD106" s="14">
        <f t="shared" si="169"/>
        <v>2</v>
      </c>
      <c r="GE106" s="14">
        <f t="shared" si="186"/>
        <v>70</v>
      </c>
      <c r="GF106" s="14" t="str">
        <f t="shared" si="170"/>
        <v>AtkExt</v>
      </c>
      <c r="GG106" s="14">
        <f t="shared" si="187"/>
        <v>75</v>
      </c>
      <c r="GH106" s="14">
        <f t="shared" si="188"/>
        <v>6</v>
      </c>
      <c r="GI106" s="14" t="str">
        <f t="shared" si="171"/>
        <v>DefExt</v>
      </c>
      <c r="GJ106" s="14">
        <f t="shared" si="189"/>
        <v>50</v>
      </c>
      <c r="GK106" s="14">
        <f t="shared" si="190"/>
        <v>4</v>
      </c>
      <c r="GL106" s="14">
        <f t="shared" si="172"/>
        <v>20330</v>
      </c>
      <c r="GM106" s="14">
        <f t="shared" si="191"/>
        <v>2</v>
      </c>
      <c r="GN106" s="14">
        <f t="shared" si="192"/>
        <v>1033</v>
      </c>
      <c r="GO106" s="25" t="s">
        <v>1471</v>
      </c>
      <c r="GP106" s="14">
        <f t="shared" si="173"/>
        <v>75</v>
      </c>
      <c r="HK106" s="13">
        <v>101</v>
      </c>
      <c r="HL106" s="14">
        <f t="shared" si="202"/>
        <v>5</v>
      </c>
      <c r="HM106" s="14">
        <f t="shared" si="203"/>
        <v>1</v>
      </c>
      <c r="HN106" s="14">
        <f t="shared" si="204"/>
        <v>5</v>
      </c>
      <c r="HO106" s="14">
        <f t="shared" si="205"/>
        <v>3</v>
      </c>
      <c r="HP106" s="14" t="str">
        <f t="shared" si="206"/>
        <v>90级寄灵人洗练-Q3-5</v>
      </c>
      <c r="HQ106" s="14">
        <f t="shared" si="207"/>
        <v>1053</v>
      </c>
      <c r="HR106" s="14">
        <f t="shared" si="208"/>
        <v>5</v>
      </c>
      <c r="HS106" s="14">
        <f t="shared" si="209"/>
        <v>400</v>
      </c>
      <c r="HT106" s="14" t="str">
        <f t="shared" si="210"/>
        <v>DefRate</v>
      </c>
      <c r="HU106" s="14">
        <f t="shared" si="211"/>
        <v>1.4E-2</v>
      </c>
      <c r="HV106" s="14">
        <f t="shared" si="212"/>
        <v>0.04</v>
      </c>
    </row>
    <row r="107" spans="151:230" ht="16.5" x14ac:dyDescent="0.2">
      <c r="EU107" s="13">
        <v>102</v>
      </c>
      <c r="EV107" s="14">
        <f t="shared" si="174"/>
        <v>1</v>
      </c>
      <c r="EW107" s="14">
        <f t="shared" si="175"/>
        <v>102</v>
      </c>
      <c r="EX107" s="14">
        <f t="shared" si="176"/>
        <v>13</v>
      </c>
      <c r="EY107" s="14">
        <f t="shared" si="151"/>
        <v>30</v>
      </c>
      <c r="EZ107" s="14">
        <f t="shared" si="152"/>
        <v>3</v>
      </c>
      <c r="FA107" s="14">
        <f t="shared" si="153"/>
        <v>50</v>
      </c>
      <c r="FB107" s="14">
        <f t="shared" si="154"/>
        <v>3</v>
      </c>
      <c r="FC107" s="14">
        <f t="shared" si="155"/>
        <v>8</v>
      </c>
      <c r="FD107" s="14">
        <f t="shared" si="156"/>
        <v>8</v>
      </c>
      <c r="FE107" s="14" t="b">
        <f t="shared" si="177"/>
        <v>0</v>
      </c>
      <c r="FF107" s="14">
        <f t="shared" si="157"/>
        <v>2003308</v>
      </c>
      <c r="FG107" s="13" t="str">
        <f t="shared" si="158"/>
        <v>50级-精良寄灵人の戒指</v>
      </c>
      <c r="FH107" s="14">
        <f t="shared" si="159"/>
        <v>1</v>
      </c>
      <c r="FI107" s="14">
        <f t="shared" si="160"/>
        <v>3</v>
      </c>
      <c r="FJ107" s="14">
        <f t="shared" si="161"/>
        <v>50</v>
      </c>
      <c r="FK107" s="14">
        <v>1</v>
      </c>
      <c r="FL107" s="14">
        <f t="shared" si="162"/>
        <v>3</v>
      </c>
      <c r="FM107" s="14">
        <f t="shared" si="178"/>
        <v>8</v>
      </c>
      <c r="FN107" s="14" t="str">
        <f t="shared" si="163"/>
        <v/>
      </c>
      <c r="FO107" s="14">
        <f t="shared" si="164"/>
        <v>81</v>
      </c>
      <c r="FP107" s="14">
        <f t="shared" si="179"/>
        <v>75</v>
      </c>
      <c r="FQ107" s="14">
        <f t="shared" si="180"/>
        <v>0</v>
      </c>
      <c r="FR107" s="14">
        <f t="shared" si="181"/>
        <v>660</v>
      </c>
      <c r="FS107" s="14">
        <f t="shared" si="182"/>
        <v>6</v>
      </c>
      <c r="FT107" s="14">
        <f t="shared" si="183"/>
        <v>0</v>
      </c>
      <c r="FU107" s="14">
        <f t="shared" si="184"/>
        <v>51</v>
      </c>
      <c r="FV107" s="14">
        <f t="shared" si="165"/>
        <v>1033</v>
      </c>
      <c r="FW107" s="14">
        <f t="shared" si="166"/>
        <v>2</v>
      </c>
      <c r="FX107" s="14">
        <f t="shared" si="167"/>
        <v>1033</v>
      </c>
      <c r="FY107" s="25" t="str">
        <f t="shared" si="185"/>
        <v>icon_2003108</v>
      </c>
      <c r="GC107" s="14">
        <f t="shared" si="168"/>
        <v>1</v>
      </c>
      <c r="GD107" s="14">
        <f t="shared" si="169"/>
        <v>3</v>
      </c>
      <c r="GE107" s="14">
        <f t="shared" si="186"/>
        <v>81</v>
      </c>
      <c r="GF107" s="14" t="str">
        <f t="shared" si="170"/>
        <v>AtkExt</v>
      </c>
      <c r="GG107" s="14">
        <f t="shared" si="187"/>
        <v>75</v>
      </c>
      <c r="GH107" s="14">
        <f t="shared" si="188"/>
        <v>6</v>
      </c>
      <c r="GI107" s="14" t="str">
        <f t="shared" si="171"/>
        <v>HPExt</v>
      </c>
      <c r="GJ107" s="14">
        <f t="shared" si="189"/>
        <v>660</v>
      </c>
      <c r="GK107" s="14">
        <f t="shared" si="190"/>
        <v>51</v>
      </c>
      <c r="GL107" s="14">
        <f t="shared" si="172"/>
        <v>20330</v>
      </c>
      <c r="GM107" s="14">
        <f t="shared" si="191"/>
        <v>2</v>
      </c>
      <c r="GN107" s="14">
        <f t="shared" si="192"/>
        <v>1033</v>
      </c>
      <c r="GO107" s="25" t="s">
        <v>1471</v>
      </c>
      <c r="GP107" s="14">
        <f t="shared" si="173"/>
        <v>75</v>
      </c>
      <c r="HK107" s="13">
        <v>102</v>
      </c>
      <c r="HL107" s="14">
        <f t="shared" si="202"/>
        <v>5</v>
      </c>
      <c r="HM107" s="14">
        <f t="shared" si="203"/>
        <v>1</v>
      </c>
      <c r="HN107" s="14">
        <f t="shared" si="204"/>
        <v>5</v>
      </c>
      <c r="HO107" s="14">
        <f t="shared" si="205"/>
        <v>3</v>
      </c>
      <c r="HP107" s="14" t="str">
        <f t="shared" si="206"/>
        <v>90级寄灵人洗练-Q3-6</v>
      </c>
      <c r="HQ107" s="14">
        <f t="shared" si="207"/>
        <v>1053</v>
      </c>
      <c r="HR107" s="14">
        <f t="shared" si="208"/>
        <v>6</v>
      </c>
      <c r="HS107" s="14">
        <f t="shared" si="209"/>
        <v>500</v>
      </c>
      <c r="HT107" s="14" t="str">
        <f t="shared" si="210"/>
        <v>HPRate</v>
      </c>
      <c r="HU107" s="14">
        <f t="shared" si="211"/>
        <v>1.4E-2</v>
      </c>
      <c r="HV107" s="14">
        <f t="shared" si="212"/>
        <v>0.04</v>
      </c>
    </row>
    <row r="108" spans="151:230" ht="16.5" x14ac:dyDescent="0.2">
      <c r="EU108" s="13">
        <v>103</v>
      </c>
      <c r="EV108" s="14">
        <f t="shared" si="174"/>
        <v>1</v>
      </c>
      <c r="EW108" s="14">
        <f t="shared" si="175"/>
        <v>103</v>
      </c>
      <c r="EX108" s="14">
        <f t="shared" si="176"/>
        <v>14</v>
      </c>
      <c r="EY108" s="14">
        <f t="shared" si="151"/>
        <v>40</v>
      </c>
      <c r="EZ108" s="14">
        <f t="shared" si="152"/>
        <v>3</v>
      </c>
      <c r="FA108" s="14">
        <f t="shared" si="153"/>
        <v>50</v>
      </c>
      <c r="FB108" s="14">
        <f t="shared" si="154"/>
        <v>4</v>
      </c>
      <c r="FC108" s="14">
        <f t="shared" si="155"/>
        <v>1</v>
      </c>
      <c r="FD108" s="14">
        <f t="shared" si="156"/>
        <v>1</v>
      </c>
      <c r="FE108" s="14" t="b">
        <f t="shared" si="177"/>
        <v>0</v>
      </c>
      <c r="FF108" s="14">
        <f t="shared" si="157"/>
        <v>2003401</v>
      </c>
      <c r="FG108" s="13" t="str">
        <f t="shared" si="158"/>
        <v>50级-史诗寄灵人の灵器</v>
      </c>
      <c r="FH108" s="14">
        <f t="shared" si="159"/>
        <v>1</v>
      </c>
      <c r="FI108" s="14">
        <f t="shared" si="160"/>
        <v>4</v>
      </c>
      <c r="FJ108" s="14">
        <f t="shared" si="161"/>
        <v>50</v>
      </c>
      <c r="FK108" s="14">
        <v>1</v>
      </c>
      <c r="FL108" s="14">
        <f t="shared" si="162"/>
        <v>3</v>
      </c>
      <c r="FM108" s="14">
        <f t="shared" si="178"/>
        <v>1</v>
      </c>
      <c r="FN108" s="14" t="str">
        <f t="shared" si="163"/>
        <v/>
      </c>
      <c r="FO108" s="14">
        <f t="shared" si="164"/>
        <v>105</v>
      </c>
      <c r="FP108" s="14">
        <f t="shared" si="179"/>
        <v>270</v>
      </c>
      <c r="FQ108" s="14">
        <f t="shared" si="180"/>
        <v>0</v>
      </c>
      <c r="FR108" s="14">
        <f t="shared" si="181"/>
        <v>0</v>
      </c>
      <c r="FS108" s="14">
        <f t="shared" si="182"/>
        <v>21</v>
      </c>
      <c r="FT108" s="14">
        <f t="shared" si="183"/>
        <v>0</v>
      </c>
      <c r="FU108" s="14">
        <f t="shared" si="184"/>
        <v>0</v>
      </c>
      <c r="FV108" s="14">
        <f t="shared" si="165"/>
        <v>1034</v>
      </c>
      <c r="FW108" s="14">
        <f t="shared" si="166"/>
        <v>3</v>
      </c>
      <c r="FX108" s="14">
        <f t="shared" si="167"/>
        <v>1034</v>
      </c>
      <c r="FY108" s="25" t="str">
        <f t="shared" si="185"/>
        <v>icon_2003101</v>
      </c>
      <c r="GC108" s="14">
        <f t="shared" si="168"/>
        <v>1</v>
      </c>
      <c r="GD108" s="14">
        <f t="shared" si="169"/>
        <v>0</v>
      </c>
      <c r="GE108" s="14">
        <f t="shared" si="186"/>
        <v>105</v>
      </c>
      <c r="GF108" s="14" t="str">
        <f t="shared" si="170"/>
        <v>AtkExt</v>
      </c>
      <c r="GG108" s="14">
        <f t="shared" si="187"/>
        <v>270</v>
      </c>
      <c r="GH108" s="14">
        <f t="shared" si="188"/>
        <v>21</v>
      </c>
      <c r="GI108" s="14" t="str">
        <f t="shared" si="171"/>
        <v/>
      </c>
      <c r="GJ108" s="14" t="str">
        <f t="shared" si="189"/>
        <v/>
      </c>
      <c r="GK108" s="14" t="str">
        <f t="shared" si="190"/>
        <v/>
      </c>
      <c r="GL108" s="14">
        <f t="shared" si="172"/>
        <v>20340</v>
      </c>
      <c r="GM108" s="14">
        <f t="shared" si="191"/>
        <v>3</v>
      </c>
      <c r="GN108" s="14">
        <f t="shared" si="192"/>
        <v>1034</v>
      </c>
      <c r="GO108" s="25" t="s">
        <v>1471</v>
      </c>
      <c r="GP108" s="14">
        <f t="shared" si="173"/>
        <v>200</v>
      </c>
      <c r="HK108" s="13">
        <v>103</v>
      </c>
      <c r="HL108" s="14">
        <f t="shared" si="202"/>
        <v>5</v>
      </c>
      <c r="HM108" s="14">
        <f t="shared" si="203"/>
        <v>1</v>
      </c>
      <c r="HN108" s="14">
        <f t="shared" si="204"/>
        <v>5</v>
      </c>
      <c r="HO108" s="14">
        <f t="shared" si="205"/>
        <v>3</v>
      </c>
      <c r="HP108" s="14" t="str">
        <f t="shared" si="206"/>
        <v>90级寄灵人洗练-Q3-7</v>
      </c>
      <c r="HQ108" s="14">
        <f t="shared" si="207"/>
        <v>1053</v>
      </c>
      <c r="HR108" s="14">
        <f t="shared" si="208"/>
        <v>7</v>
      </c>
      <c r="HS108" s="14">
        <f t="shared" si="209"/>
        <v>500</v>
      </c>
      <c r="HT108" s="14" t="str">
        <f t="shared" si="210"/>
        <v>Crit</v>
      </c>
      <c r="HU108" s="14">
        <f t="shared" si="211"/>
        <v>1.0999999999999999E-2</v>
      </c>
      <c r="HV108" s="14">
        <f t="shared" si="212"/>
        <v>0.03</v>
      </c>
    </row>
    <row r="109" spans="151:230" ht="16.5" x14ac:dyDescent="0.2">
      <c r="EU109" s="13">
        <v>104</v>
      </c>
      <c r="EV109" s="14">
        <f t="shared" si="174"/>
        <v>1</v>
      </c>
      <c r="EW109" s="14">
        <f t="shared" si="175"/>
        <v>104</v>
      </c>
      <c r="EX109" s="14">
        <f t="shared" si="176"/>
        <v>14</v>
      </c>
      <c r="EY109" s="14">
        <f t="shared" si="151"/>
        <v>40</v>
      </c>
      <c r="EZ109" s="14">
        <f t="shared" si="152"/>
        <v>3</v>
      </c>
      <c r="FA109" s="14">
        <f t="shared" si="153"/>
        <v>50</v>
      </c>
      <c r="FB109" s="14">
        <f t="shared" si="154"/>
        <v>4</v>
      </c>
      <c r="FC109" s="14">
        <f t="shared" si="155"/>
        <v>2</v>
      </c>
      <c r="FD109" s="14">
        <f t="shared" si="156"/>
        <v>2</v>
      </c>
      <c r="FE109" s="14" t="b">
        <f t="shared" si="177"/>
        <v>0</v>
      </c>
      <c r="FF109" s="14">
        <f t="shared" si="157"/>
        <v>2003402</v>
      </c>
      <c r="FG109" s="13" t="str">
        <f t="shared" si="158"/>
        <v>50级-史诗寄灵人の头盔</v>
      </c>
      <c r="FH109" s="14">
        <f t="shared" si="159"/>
        <v>1</v>
      </c>
      <c r="FI109" s="14">
        <f t="shared" si="160"/>
        <v>4</v>
      </c>
      <c r="FJ109" s="14">
        <f t="shared" si="161"/>
        <v>50</v>
      </c>
      <c r="FK109" s="14">
        <v>1</v>
      </c>
      <c r="FL109" s="14">
        <f t="shared" si="162"/>
        <v>3</v>
      </c>
      <c r="FM109" s="14">
        <f t="shared" si="178"/>
        <v>2</v>
      </c>
      <c r="FN109" s="14" t="str">
        <f t="shared" si="163"/>
        <v/>
      </c>
      <c r="FO109" s="14">
        <f t="shared" si="164"/>
        <v>50</v>
      </c>
      <c r="FP109" s="14">
        <f t="shared" si="179"/>
        <v>0</v>
      </c>
      <c r="FQ109" s="14">
        <f t="shared" si="180"/>
        <v>70</v>
      </c>
      <c r="FR109" s="14">
        <f t="shared" si="181"/>
        <v>0</v>
      </c>
      <c r="FS109" s="14">
        <f t="shared" si="182"/>
        <v>0</v>
      </c>
      <c r="FT109" s="14">
        <f t="shared" si="183"/>
        <v>5</v>
      </c>
      <c r="FU109" s="14">
        <f t="shared" si="184"/>
        <v>0</v>
      </c>
      <c r="FV109" s="14">
        <f t="shared" si="165"/>
        <v>1034</v>
      </c>
      <c r="FW109" s="14">
        <f t="shared" si="166"/>
        <v>3</v>
      </c>
      <c r="FX109" s="14">
        <f t="shared" si="167"/>
        <v>1034</v>
      </c>
      <c r="FY109" s="25" t="str">
        <f t="shared" si="185"/>
        <v>icon_2003102</v>
      </c>
      <c r="GC109" s="14">
        <f t="shared" si="168"/>
        <v>2</v>
      </c>
      <c r="GD109" s="14">
        <f t="shared" si="169"/>
        <v>0</v>
      </c>
      <c r="GE109" s="14">
        <f t="shared" si="186"/>
        <v>50</v>
      </c>
      <c r="GF109" s="14" t="str">
        <f t="shared" si="170"/>
        <v>DefExt</v>
      </c>
      <c r="GG109" s="14">
        <f t="shared" si="187"/>
        <v>70</v>
      </c>
      <c r="GH109" s="14">
        <f t="shared" si="188"/>
        <v>5</v>
      </c>
      <c r="GI109" s="14" t="str">
        <f t="shared" si="171"/>
        <v/>
      </c>
      <c r="GJ109" s="14" t="str">
        <f t="shared" si="189"/>
        <v/>
      </c>
      <c r="GK109" s="14" t="str">
        <f t="shared" si="190"/>
        <v/>
      </c>
      <c r="GL109" s="14">
        <f t="shared" si="172"/>
        <v>20340</v>
      </c>
      <c r="GM109" s="14">
        <f t="shared" si="191"/>
        <v>3</v>
      </c>
      <c r="GN109" s="14">
        <f t="shared" si="192"/>
        <v>1034</v>
      </c>
      <c r="GO109" s="25" t="s">
        <v>1471</v>
      </c>
      <c r="GP109" s="14">
        <f t="shared" si="173"/>
        <v>100</v>
      </c>
      <c r="HK109" s="13">
        <v>104</v>
      </c>
      <c r="HL109" s="14">
        <f t="shared" si="202"/>
        <v>5</v>
      </c>
      <c r="HM109" s="14">
        <f t="shared" si="203"/>
        <v>1</v>
      </c>
      <c r="HN109" s="14">
        <f t="shared" si="204"/>
        <v>5</v>
      </c>
      <c r="HO109" s="14">
        <f t="shared" si="205"/>
        <v>3</v>
      </c>
      <c r="HP109" s="14" t="str">
        <f t="shared" si="206"/>
        <v>90级寄灵人洗练-Q3-8</v>
      </c>
      <c r="HQ109" s="14">
        <f t="shared" si="207"/>
        <v>1053</v>
      </c>
      <c r="HR109" s="14">
        <f t="shared" si="208"/>
        <v>8</v>
      </c>
      <c r="HS109" s="14">
        <f t="shared" si="209"/>
        <v>500</v>
      </c>
      <c r="HT109" s="14" t="str">
        <f t="shared" si="210"/>
        <v>CritRate</v>
      </c>
      <c r="HU109" s="14">
        <f t="shared" si="211"/>
        <v>2.8000000000000001E-2</v>
      </c>
      <c r="HV109" s="14">
        <f t="shared" si="212"/>
        <v>0.08</v>
      </c>
    </row>
    <row r="110" spans="151:230" ht="16.5" x14ac:dyDescent="0.2">
      <c r="EU110" s="13">
        <v>105</v>
      </c>
      <c r="EV110" s="14">
        <f t="shared" si="174"/>
        <v>1</v>
      </c>
      <c r="EW110" s="14">
        <f t="shared" si="175"/>
        <v>105</v>
      </c>
      <c r="EX110" s="14">
        <f t="shared" si="176"/>
        <v>14</v>
      </c>
      <c r="EY110" s="14">
        <f t="shared" si="151"/>
        <v>40</v>
      </c>
      <c r="EZ110" s="14">
        <f t="shared" si="152"/>
        <v>3</v>
      </c>
      <c r="FA110" s="14">
        <f t="shared" si="153"/>
        <v>50</v>
      </c>
      <c r="FB110" s="14">
        <f t="shared" si="154"/>
        <v>4</v>
      </c>
      <c r="FC110" s="14">
        <f t="shared" si="155"/>
        <v>3</v>
      </c>
      <c r="FD110" s="14">
        <f t="shared" si="156"/>
        <v>3</v>
      </c>
      <c r="FE110" s="14" t="b">
        <f t="shared" si="177"/>
        <v>0</v>
      </c>
      <c r="FF110" s="14">
        <f t="shared" si="157"/>
        <v>2003403</v>
      </c>
      <c r="FG110" s="13" t="str">
        <f t="shared" si="158"/>
        <v>50级-史诗寄灵人の铠甲</v>
      </c>
      <c r="FH110" s="14">
        <f t="shared" si="159"/>
        <v>1</v>
      </c>
      <c r="FI110" s="14">
        <f t="shared" si="160"/>
        <v>4</v>
      </c>
      <c r="FJ110" s="14">
        <f t="shared" si="161"/>
        <v>50</v>
      </c>
      <c r="FK110" s="14">
        <v>1</v>
      </c>
      <c r="FL110" s="14">
        <f t="shared" si="162"/>
        <v>3</v>
      </c>
      <c r="FM110" s="14">
        <f t="shared" si="178"/>
        <v>3</v>
      </c>
      <c r="FN110" s="14" t="str">
        <f t="shared" si="163"/>
        <v/>
      </c>
      <c r="FO110" s="14">
        <f t="shared" si="164"/>
        <v>66</v>
      </c>
      <c r="FP110" s="14">
        <f t="shared" si="179"/>
        <v>0</v>
      </c>
      <c r="FQ110" s="14">
        <f t="shared" si="180"/>
        <v>35</v>
      </c>
      <c r="FR110" s="14">
        <f t="shared" si="181"/>
        <v>465</v>
      </c>
      <c r="FS110" s="14">
        <f t="shared" si="182"/>
        <v>0</v>
      </c>
      <c r="FT110" s="14">
        <f t="shared" si="183"/>
        <v>3</v>
      </c>
      <c r="FU110" s="14">
        <f t="shared" si="184"/>
        <v>36</v>
      </c>
      <c r="FV110" s="14">
        <f t="shared" si="165"/>
        <v>1034</v>
      </c>
      <c r="FW110" s="14">
        <f t="shared" si="166"/>
        <v>3</v>
      </c>
      <c r="FX110" s="14">
        <f t="shared" si="167"/>
        <v>1034</v>
      </c>
      <c r="FY110" s="25" t="str">
        <f t="shared" si="185"/>
        <v>icon_2003103</v>
      </c>
      <c r="GC110" s="14">
        <f t="shared" si="168"/>
        <v>2</v>
      </c>
      <c r="GD110" s="14">
        <f t="shared" si="169"/>
        <v>3</v>
      </c>
      <c r="GE110" s="14">
        <f t="shared" si="186"/>
        <v>66</v>
      </c>
      <c r="GF110" s="14" t="str">
        <f t="shared" si="170"/>
        <v>DefExt</v>
      </c>
      <c r="GG110" s="14">
        <f t="shared" si="187"/>
        <v>35</v>
      </c>
      <c r="GH110" s="14">
        <f t="shared" si="188"/>
        <v>3</v>
      </c>
      <c r="GI110" s="14" t="str">
        <f t="shared" si="171"/>
        <v>HPExt</v>
      </c>
      <c r="GJ110" s="14">
        <f t="shared" si="189"/>
        <v>465</v>
      </c>
      <c r="GK110" s="14">
        <f t="shared" si="190"/>
        <v>36</v>
      </c>
      <c r="GL110" s="14">
        <f t="shared" si="172"/>
        <v>20340</v>
      </c>
      <c r="GM110" s="14">
        <f t="shared" si="191"/>
        <v>3</v>
      </c>
      <c r="GN110" s="14">
        <f t="shared" si="192"/>
        <v>1034</v>
      </c>
      <c r="GO110" s="25" t="s">
        <v>1471</v>
      </c>
      <c r="GP110" s="14">
        <f t="shared" si="173"/>
        <v>100</v>
      </c>
      <c r="HK110" s="13">
        <v>105</v>
      </c>
      <c r="HL110" s="14">
        <f t="shared" si="202"/>
        <v>5</v>
      </c>
      <c r="HM110" s="14">
        <f t="shared" si="203"/>
        <v>1</v>
      </c>
      <c r="HN110" s="14">
        <f t="shared" si="204"/>
        <v>5</v>
      </c>
      <c r="HO110" s="14">
        <f t="shared" si="205"/>
        <v>3</v>
      </c>
      <c r="HP110" s="14" t="str">
        <f t="shared" si="206"/>
        <v>90级寄灵人洗练-Q3-9</v>
      </c>
      <c r="HQ110" s="14">
        <f t="shared" si="207"/>
        <v>1053</v>
      </c>
      <c r="HR110" s="14">
        <f t="shared" si="208"/>
        <v>9</v>
      </c>
      <c r="HS110" s="14">
        <f t="shared" si="209"/>
        <v>500</v>
      </c>
      <c r="HT110" s="14" t="str">
        <f t="shared" si="210"/>
        <v>DefIgnor</v>
      </c>
      <c r="HU110" s="14">
        <f t="shared" si="211"/>
        <v>1.0999999999999999E-2</v>
      </c>
      <c r="HV110" s="14">
        <f t="shared" si="212"/>
        <v>0.03</v>
      </c>
    </row>
    <row r="111" spans="151:230" ht="16.5" x14ac:dyDescent="0.2">
      <c r="EU111" s="13">
        <v>106</v>
      </c>
      <c r="EV111" s="14">
        <f t="shared" si="174"/>
        <v>1</v>
      </c>
      <c r="EW111" s="14">
        <f t="shared" si="175"/>
        <v>106</v>
      </c>
      <c r="EX111" s="14">
        <f t="shared" si="176"/>
        <v>14</v>
      </c>
      <c r="EY111" s="14">
        <f t="shared" si="151"/>
        <v>40</v>
      </c>
      <c r="EZ111" s="14">
        <f t="shared" si="152"/>
        <v>3</v>
      </c>
      <c r="FA111" s="14">
        <f t="shared" si="153"/>
        <v>50</v>
      </c>
      <c r="FB111" s="14">
        <f t="shared" si="154"/>
        <v>4</v>
      </c>
      <c r="FC111" s="14">
        <f t="shared" si="155"/>
        <v>4</v>
      </c>
      <c r="FD111" s="14">
        <f t="shared" si="156"/>
        <v>4</v>
      </c>
      <c r="FE111" s="14" t="b">
        <f t="shared" si="177"/>
        <v>0</v>
      </c>
      <c r="FF111" s="14">
        <f t="shared" si="157"/>
        <v>2003404</v>
      </c>
      <c r="FG111" s="13" t="str">
        <f t="shared" si="158"/>
        <v>50级-史诗寄灵人の裤子</v>
      </c>
      <c r="FH111" s="14">
        <f t="shared" si="159"/>
        <v>1</v>
      </c>
      <c r="FI111" s="14">
        <f t="shared" si="160"/>
        <v>4</v>
      </c>
      <c r="FJ111" s="14">
        <f t="shared" si="161"/>
        <v>50</v>
      </c>
      <c r="FK111" s="14">
        <v>1</v>
      </c>
      <c r="FL111" s="14">
        <f t="shared" si="162"/>
        <v>3</v>
      </c>
      <c r="FM111" s="14">
        <f t="shared" si="178"/>
        <v>4</v>
      </c>
      <c r="FN111" s="14" t="str">
        <f t="shared" si="163"/>
        <v/>
      </c>
      <c r="FO111" s="14">
        <f t="shared" si="164"/>
        <v>50</v>
      </c>
      <c r="FP111" s="14">
        <f t="shared" si="179"/>
        <v>0</v>
      </c>
      <c r="FQ111" s="14">
        <f t="shared" si="180"/>
        <v>70</v>
      </c>
      <c r="FR111" s="14">
        <f t="shared" si="181"/>
        <v>0</v>
      </c>
      <c r="FS111" s="14">
        <f t="shared" si="182"/>
        <v>0</v>
      </c>
      <c r="FT111" s="14">
        <f t="shared" si="183"/>
        <v>5</v>
      </c>
      <c r="FU111" s="14">
        <f t="shared" si="184"/>
        <v>0</v>
      </c>
      <c r="FV111" s="14">
        <f t="shared" si="165"/>
        <v>1034</v>
      </c>
      <c r="FW111" s="14">
        <f t="shared" si="166"/>
        <v>3</v>
      </c>
      <c r="FX111" s="14">
        <f t="shared" si="167"/>
        <v>1034</v>
      </c>
      <c r="FY111" s="25" t="str">
        <f t="shared" si="185"/>
        <v>icon_2003104</v>
      </c>
      <c r="GC111" s="14">
        <f t="shared" si="168"/>
        <v>2</v>
      </c>
      <c r="GD111" s="14">
        <f t="shared" si="169"/>
        <v>0</v>
      </c>
      <c r="GE111" s="14">
        <f t="shared" si="186"/>
        <v>50</v>
      </c>
      <c r="GF111" s="14" t="str">
        <f t="shared" si="170"/>
        <v>DefExt</v>
      </c>
      <c r="GG111" s="14">
        <f t="shared" si="187"/>
        <v>70</v>
      </c>
      <c r="GH111" s="14">
        <f t="shared" si="188"/>
        <v>5</v>
      </c>
      <c r="GI111" s="14" t="str">
        <f t="shared" si="171"/>
        <v/>
      </c>
      <c r="GJ111" s="14" t="str">
        <f t="shared" si="189"/>
        <v/>
      </c>
      <c r="GK111" s="14" t="str">
        <f t="shared" si="190"/>
        <v/>
      </c>
      <c r="GL111" s="14">
        <f t="shared" si="172"/>
        <v>20340</v>
      </c>
      <c r="GM111" s="14">
        <f t="shared" si="191"/>
        <v>3</v>
      </c>
      <c r="GN111" s="14">
        <f t="shared" si="192"/>
        <v>1034</v>
      </c>
      <c r="GO111" s="25" t="s">
        <v>1471</v>
      </c>
      <c r="GP111" s="14">
        <f t="shared" si="173"/>
        <v>100</v>
      </c>
      <c r="HK111" s="13">
        <v>106</v>
      </c>
      <c r="HL111" s="14">
        <f t="shared" si="202"/>
        <v>5</v>
      </c>
      <c r="HM111" s="14">
        <f t="shared" si="203"/>
        <v>1</v>
      </c>
      <c r="HN111" s="14">
        <f t="shared" si="204"/>
        <v>5</v>
      </c>
      <c r="HO111" s="14">
        <f t="shared" si="205"/>
        <v>3</v>
      </c>
      <c r="HP111" s="14" t="str">
        <f t="shared" si="206"/>
        <v>90级寄灵人洗练-Q3-10</v>
      </c>
      <c r="HQ111" s="14">
        <f t="shared" si="207"/>
        <v>1053</v>
      </c>
      <c r="HR111" s="14">
        <f t="shared" si="208"/>
        <v>10</v>
      </c>
      <c r="HS111" s="14">
        <f t="shared" si="209"/>
        <v>500</v>
      </c>
      <c r="HT111" s="14" t="str">
        <f t="shared" si="210"/>
        <v>Block</v>
      </c>
      <c r="HU111" s="14">
        <f t="shared" si="211"/>
        <v>1.0999999999999999E-2</v>
      </c>
      <c r="HV111" s="14">
        <f t="shared" si="212"/>
        <v>0.03</v>
      </c>
    </row>
    <row r="112" spans="151:230" ht="16.5" x14ac:dyDescent="0.2">
      <c r="EU112" s="13">
        <v>107</v>
      </c>
      <c r="EV112" s="14">
        <f t="shared" si="174"/>
        <v>1</v>
      </c>
      <c r="EW112" s="14">
        <f t="shared" si="175"/>
        <v>107</v>
      </c>
      <c r="EX112" s="14">
        <f t="shared" si="176"/>
        <v>14</v>
      </c>
      <c r="EY112" s="14">
        <f t="shared" si="151"/>
        <v>40</v>
      </c>
      <c r="EZ112" s="14">
        <f t="shared" si="152"/>
        <v>3</v>
      </c>
      <c r="FA112" s="14">
        <f t="shared" si="153"/>
        <v>50</v>
      </c>
      <c r="FB112" s="14">
        <f t="shared" si="154"/>
        <v>4</v>
      </c>
      <c r="FC112" s="14">
        <f t="shared" si="155"/>
        <v>5</v>
      </c>
      <c r="FD112" s="14">
        <f t="shared" si="156"/>
        <v>5</v>
      </c>
      <c r="FE112" s="14" t="b">
        <f t="shared" si="177"/>
        <v>0</v>
      </c>
      <c r="FF112" s="14">
        <f t="shared" si="157"/>
        <v>2003405</v>
      </c>
      <c r="FG112" s="13" t="str">
        <f t="shared" si="158"/>
        <v>50级-史诗寄灵人の鞋子</v>
      </c>
      <c r="FH112" s="14">
        <f t="shared" si="159"/>
        <v>1</v>
      </c>
      <c r="FI112" s="14">
        <f t="shared" si="160"/>
        <v>4</v>
      </c>
      <c r="FJ112" s="14">
        <f t="shared" si="161"/>
        <v>50</v>
      </c>
      <c r="FK112" s="14">
        <v>1</v>
      </c>
      <c r="FL112" s="14">
        <f t="shared" si="162"/>
        <v>3</v>
      </c>
      <c r="FM112" s="14">
        <f t="shared" si="178"/>
        <v>5</v>
      </c>
      <c r="FN112" s="14" t="str">
        <f t="shared" si="163"/>
        <v/>
      </c>
      <c r="FO112" s="14">
        <f t="shared" si="164"/>
        <v>72</v>
      </c>
      <c r="FP112" s="14">
        <f t="shared" si="179"/>
        <v>0</v>
      </c>
      <c r="FQ112" s="14">
        <f t="shared" si="180"/>
        <v>0</v>
      </c>
      <c r="FR112" s="14">
        <f t="shared" si="181"/>
        <v>930</v>
      </c>
      <c r="FS112" s="14">
        <f t="shared" si="182"/>
        <v>0</v>
      </c>
      <c r="FT112" s="14">
        <f t="shared" si="183"/>
        <v>0</v>
      </c>
      <c r="FU112" s="14">
        <f t="shared" si="184"/>
        <v>72</v>
      </c>
      <c r="FV112" s="14">
        <f t="shared" si="165"/>
        <v>1034</v>
      </c>
      <c r="FW112" s="14">
        <f t="shared" si="166"/>
        <v>3</v>
      </c>
      <c r="FX112" s="14">
        <f t="shared" si="167"/>
        <v>1034</v>
      </c>
      <c r="FY112" s="25" t="str">
        <f t="shared" si="185"/>
        <v>icon_2003105</v>
      </c>
      <c r="GC112" s="14">
        <f t="shared" si="168"/>
        <v>3</v>
      </c>
      <c r="GD112" s="14">
        <f t="shared" si="169"/>
        <v>0</v>
      </c>
      <c r="GE112" s="14">
        <f t="shared" si="186"/>
        <v>72</v>
      </c>
      <c r="GF112" s="14" t="str">
        <f t="shared" si="170"/>
        <v>HPExt</v>
      </c>
      <c r="GG112" s="14">
        <f t="shared" si="187"/>
        <v>930</v>
      </c>
      <c r="GH112" s="14">
        <f t="shared" si="188"/>
        <v>72</v>
      </c>
      <c r="GI112" s="14" t="str">
        <f t="shared" si="171"/>
        <v/>
      </c>
      <c r="GJ112" s="14" t="str">
        <f t="shared" si="189"/>
        <v/>
      </c>
      <c r="GK112" s="14" t="str">
        <f t="shared" si="190"/>
        <v/>
      </c>
      <c r="GL112" s="14">
        <f t="shared" si="172"/>
        <v>20340</v>
      </c>
      <c r="GM112" s="14">
        <f t="shared" si="191"/>
        <v>3</v>
      </c>
      <c r="GN112" s="14">
        <f t="shared" si="192"/>
        <v>1034</v>
      </c>
      <c r="GO112" s="25" t="s">
        <v>1471</v>
      </c>
      <c r="GP112" s="14">
        <f t="shared" si="173"/>
        <v>100</v>
      </c>
      <c r="HK112" s="13">
        <v>107</v>
      </c>
      <c r="HL112" s="14">
        <f t="shared" si="202"/>
        <v>5</v>
      </c>
      <c r="HM112" s="14">
        <f t="shared" si="203"/>
        <v>1</v>
      </c>
      <c r="HN112" s="14">
        <f t="shared" si="204"/>
        <v>5</v>
      </c>
      <c r="HO112" s="14">
        <f t="shared" si="205"/>
        <v>3</v>
      </c>
      <c r="HP112" s="14" t="str">
        <f t="shared" si="206"/>
        <v>90级寄灵人洗练-Q3-11</v>
      </c>
      <c r="HQ112" s="14">
        <f t="shared" si="207"/>
        <v>1053</v>
      </c>
      <c r="HR112" s="14">
        <f t="shared" si="208"/>
        <v>11</v>
      </c>
      <c r="HS112" s="14">
        <f t="shared" si="209"/>
        <v>500</v>
      </c>
      <c r="HT112" s="14" t="str">
        <f t="shared" si="210"/>
        <v>EffectHit</v>
      </c>
      <c r="HU112" s="14">
        <f t="shared" si="211"/>
        <v>1.7999999999999999E-2</v>
      </c>
      <c r="HV112" s="14">
        <f t="shared" si="212"/>
        <v>0.05</v>
      </c>
    </row>
    <row r="113" spans="151:230" ht="16.5" x14ac:dyDescent="0.2">
      <c r="EU113" s="13">
        <v>108</v>
      </c>
      <c r="EV113" s="14">
        <f t="shared" si="174"/>
        <v>1</v>
      </c>
      <c r="EW113" s="14">
        <f t="shared" si="175"/>
        <v>108</v>
      </c>
      <c r="EX113" s="14">
        <f t="shared" si="176"/>
        <v>14</v>
      </c>
      <c r="EY113" s="14">
        <f t="shared" si="151"/>
        <v>40</v>
      </c>
      <c r="EZ113" s="14">
        <f t="shared" si="152"/>
        <v>3</v>
      </c>
      <c r="FA113" s="14">
        <f t="shared" si="153"/>
        <v>50</v>
      </c>
      <c r="FB113" s="14">
        <f t="shared" si="154"/>
        <v>4</v>
      </c>
      <c r="FC113" s="14">
        <f t="shared" si="155"/>
        <v>6</v>
      </c>
      <c r="FD113" s="14">
        <f t="shared" si="156"/>
        <v>6</v>
      </c>
      <c r="FE113" s="14" t="b">
        <f t="shared" si="177"/>
        <v>0</v>
      </c>
      <c r="FF113" s="14">
        <f t="shared" si="157"/>
        <v>2003406</v>
      </c>
      <c r="FG113" s="13" t="str">
        <f t="shared" si="158"/>
        <v>50级-史诗寄灵人の护手</v>
      </c>
      <c r="FH113" s="14">
        <f t="shared" si="159"/>
        <v>1</v>
      </c>
      <c r="FI113" s="14">
        <f t="shared" si="160"/>
        <v>4</v>
      </c>
      <c r="FJ113" s="14">
        <f t="shared" si="161"/>
        <v>50</v>
      </c>
      <c r="FK113" s="14">
        <v>1</v>
      </c>
      <c r="FL113" s="14">
        <f t="shared" si="162"/>
        <v>3</v>
      </c>
      <c r="FM113" s="14">
        <f t="shared" si="178"/>
        <v>6</v>
      </c>
      <c r="FN113" s="14" t="str">
        <f t="shared" si="163"/>
        <v/>
      </c>
      <c r="FO113" s="14">
        <f t="shared" si="164"/>
        <v>72</v>
      </c>
      <c r="FP113" s="14">
        <f t="shared" si="179"/>
        <v>0</v>
      </c>
      <c r="FQ113" s="14">
        <f t="shared" si="180"/>
        <v>0</v>
      </c>
      <c r="FR113" s="14">
        <f t="shared" si="181"/>
        <v>930</v>
      </c>
      <c r="FS113" s="14">
        <f t="shared" si="182"/>
        <v>0</v>
      </c>
      <c r="FT113" s="14">
        <f t="shared" si="183"/>
        <v>0</v>
      </c>
      <c r="FU113" s="14">
        <f t="shared" si="184"/>
        <v>72</v>
      </c>
      <c r="FV113" s="14">
        <f t="shared" si="165"/>
        <v>1034</v>
      </c>
      <c r="FW113" s="14">
        <f t="shared" si="166"/>
        <v>3</v>
      </c>
      <c r="FX113" s="14">
        <f t="shared" si="167"/>
        <v>1034</v>
      </c>
      <c r="FY113" s="25" t="str">
        <f t="shared" si="185"/>
        <v>icon_2003106</v>
      </c>
      <c r="GC113" s="14">
        <f t="shared" si="168"/>
        <v>3</v>
      </c>
      <c r="GD113" s="14">
        <f t="shared" si="169"/>
        <v>0</v>
      </c>
      <c r="GE113" s="14">
        <f t="shared" si="186"/>
        <v>72</v>
      </c>
      <c r="GF113" s="14" t="str">
        <f t="shared" si="170"/>
        <v>HPExt</v>
      </c>
      <c r="GG113" s="14">
        <f t="shared" si="187"/>
        <v>930</v>
      </c>
      <c r="GH113" s="14">
        <f t="shared" si="188"/>
        <v>72</v>
      </c>
      <c r="GI113" s="14" t="str">
        <f t="shared" si="171"/>
        <v/>
      </c>
      <c r="GJ113" s="14" t="str">
        <f t="shared" si="189"/>
        <v/>
      </c>
      <c r="GK113" s="14" t="str">
        <f t="shared" si="190"/>
        <v/>
      </c>
      <c r="GL113" s="14">
        <f t="shared" si="172"/>
        <v>20340</v>
      </c>
      <c r="GM113" s="14">
        <f t="shared" si="191"/>
        <v>3</v>
      </c>
      <c r="GN113" s="14">
        <f t="shared" si="192"/>
        <v>1034</v>
      </c>
      <c r="GO113" s="25" t="s">
        <v>1471</v>
      </c>
      <c r="GP113" s="14">
        <f t="shared" si="173"/>
        <v>100</v>
      </c>
      <c r="HK113" s="13">
        <v>108</v>
      </c>
      <c r="HL113" s="14">
        <f t="shared" si="202"/>
        <v>5</v>
      </c>
      <c r="HM113" s="14">
        <f t="shared" si="203"/>
        <v>1</v>
      </c>
      <c r="HN113" s="14">
        <f t="shared" si="204"/>
        <v>5</v>
      </c>
      <c r="HO113" s="14">
        <f t="shared" si="205"/>
        <v>3</v>
      </c>
      <c r="HP113" s="14" t="str">
        <f t="shared" si="206"/>
        <v>90级寄灵人洗练-Q3-12</v>
      </c>
      <c r="HQ113" s="14">
        <f t="shared" si="207"/>
        <v>1053</v>
      </c>
      <c r="HR113" s="14">
        <f t="shared" si="208"/>
        <v>12</v>
      </c>
      <c r="HS113" s="14">
        <f t="shared" si="209"/>
        <v>500</v>
      </c>
      <c r="HT113" s="14" t="str">
        <f t="shared" si="210"/>
        <v>EffectResist</v>
      </c>
      <c r="HU113" s="14">
        <f t="shared" si="211"/>
        <v>1.7999999999999999E-2</v>
      </c>
      <c r="HV113" s="14">
        <f t="shared" si="212"/>
        <v>0.05</v>
      </c>
    </row>
    <row r="114" spans="151:230" ht="16.5" x14ac:dyDescent="0.2">
      <c r="EU114" s="13">
        <v>109</v>
      </c>
      <c r="EV114" s="14">
        <f t="shared" si="174"/>
        <v>1</v>
      </c>
      <c r="EW114" s="14">
        <f t="shared" si="175"/>
        <v>109</v>
      </c>
      <c r="EX114" s="14">
        <f t="shared" si="176"/>
        <v>14</v>
      </c>
      <c r="EY114" s="14">
        <f t="shared" si="151"/>
        <v>40</v>
      </c>
      <c r="EZ114" s="14">
        <f t="shared" si="152"/>
        <v>3</v>
      </c>
      <c r="FA114" s="14">
        <f t="shared" si="153"/>
        <v>50</v>
      </c>
      <c r="FB114" s="14">
        <f t="shared" si="154"/>
        <v>4</v>
      </c>
      <c r="FC114" s="14">
        <f t="shared" si="155"/>
        <v>7</v>
      </c>
      <c r="FD114" s="14">
        <f t="shared" si="156"/>
        <v>7</v>
      </c>
      <c r="FE114" s="14" t="b">
        <f t="shared" si="177"/>
        <v>0</v>
      </c>
      <c r="FF114" s="14">
        <f t="shared" si="157"/>
        <v>2003407</v>
      </c>
      <c r="FG114" s="13" t="str">
        <f t="shared" si="158"/>
        <v>50级-史诗寄灵人の项链</v>
      </c>
      <c r="FH114" s="14">
        <f t="shared" si="159"/>
        <v>1</v>
      </c>
      <c r="FI114" s="14">
        <f t="shared" si="160"/>
        <v>4</v>
      </c>
      <c r="FJ114" s="14">
        <f t="shared" si="161"/>
        <v>50</v>
      </c>
      <c r="FK114" s="14">
        <v>1</v>
      </c>
      <c r="FL114" s="14">
        <f t="shared" si="162"/>
        <v>3</v>
      </c>
      <c r="FM114" s="14">
        <f t="shared" si="178"/>
        <v>7</v>
      </c>
      <c r="FN114" s="14" t="str">
        <f t="shared" si="163"/>
        <v/>
      </c>
      <c r="FO114" s="14">
        <f t="shared" si="164"/>
        <v>75</v>
      </c>
      <c r="FP114" s="14">
        <f t="shared" si="179"/>
        <v>90</v>
      </c>
      <c r="FQ114" s="14">
        <f t="shared" si="180"/>
        <v>60</v>
      </c>
      <c r="FR114" s="14">
        <f t="shared" si="181"/>
        <v>0</v>
      </c>
      <c r="FS114" s="14">
        <f t="shared" si="182"/>
        <v>7</v>
      </c>
      <c r="FT114" s="14">
        <f t="shared" si="183"/>
        <v>4</v>
      </c>
      <c r="FU114" s="14">
        <f t="shared" si="184"/>
        <v>0</v>
      </c>
      <c r="FV114" s="14">
        <f t="shared" si="165"/>
        <v>1034</v>
      </c>
      <c r="FW114" s="14">
        <f t="shared" si="166"/>
        <v>3</v>
      </c>
      <c r="FX114" s="14">
        <f t="shared" si="167"/>
        <v>1034</v>
      </c>
      <c r="FY114" s="25" t="str">
        <f t="shared" si="185"/>
        <v>icon_2003107</v>
      </c>
      <c r="GC114" s="14">
        <f t="shared" si="168"/>
        <v>1</v>
      </c>
      <c r="GD114" s="14">
        <f t="shared" si="169"/>
        <v>2</v>
      </c>
      <c r="GE114" s="14">
        <f t="shared" si="186"/>
        <v>75</v>
      </c>
      <c r="GF114" s="14" t="str">
        <f t="shared" si="170"/>
        <v>AtkExt</v>
      </c>
      <c r="GG114" s="14">
        <f t="shared" si="187"/>
        <v>90</v>
      </c>
      <c r="GH114" s="14">
        <f t="shared" si="188"/>
        <v>7</v>
      </c>
      <c r="GI114" s="14" t="str">
        <f t="shared" si="171"/>
        <v>DefExt</v>
      </c>
      <c r="GJ114" s="14">
        <f t="shared" si="189"/>
        <v>60</v>
      </c>
      <c r="GK114" s="14">
        <f t="shared" si="190"/>
        <v>4</v>
      </c>
      <c r="GL114" s="14">
        <f t="shared" si="172"/>
        <v>20340</v>
      </c>
      <c r="GM114" s="14">
        <f t="shared" si="191"/>
        <v>3</v>
      </c>
      <c r="GN114" s="14">
        <f t="shared" si="192"/>
        <v>1034</v>
      </c>
      <c r="GO114" s="25" t="s">
        <v>1471</v>
      </c>
      <c r="GP114" s="14">
        <f t="shared" si="173"/>
        <v>150</v>
      </c>
      <c r="HK114" s="13">
        <v>109</v>
      </c>
      <c r="HL114" s="14">
        <f t="shared" si="202"/>
        <v>5</v>
      </c>
      <c r="HM114" s="14">
        <f t="shared" si="203"/>
        <v>1</v>
      </c>
      <c r="HN114" s="14">
        <f t="shared" si="204"/>
        <v>5</v>
      </c>
      <c r="HO114" s="14">
        <f t="shared" si="205"/>
        <v>4</v>
      </c>
      <c r="HP114" s="14" t="str">
        <f t="shared" si="206"/>
        <v>90级寄灵人洗练-Q4-1</v>
      </c>
      <c r="HQ114" s="14">
        <f t="shared" si="207"/>
        <v>1054</v>
      </c>
      <c r="HR114" s="14">
        <f t="shared" si="208"/>
        <v>1</v>
      </c>
      <c r="HS114" s="14">
        <f t="shared" si="209"/>
        <v>1800</v>
      </c>
      <c r="HT114" s="14" t="str">
        <f t="shared" si="210"/>
        <v>AtkExt</v>
      </c>
      <c r="HU114" s="14">
        <f t="shared" si="211"/>
        <v>82</v>
      </c>
      <c r="HV114" s="14">
        <f t="shared" si="212"/>
        <v>236</v>
      </c>
    </row>
    <row r="115" spans="151:230" ht="16.5" x14ac:dyDescent="0.2">
      <c r="EU115" s="13">
        <v>110</v>
      </c>
      <c r="EV115" s="14">
        <f t="shared" si="174"/>
        <v>1</v>
      </c>
      <c r="EW115" s="14">
        <f t="shared" si="175"/>
        <v>110</v>
      </c>
      <c r="EX115" s="14">
        <f t="shared" si="176"/>
        <v>14</v>
      </c>
      <c r="EY115" s="14">
        <f t="shared" si="151"/>
        <v>40</v>
      </c>
      <c r="EZ115" s="14">
        <f t="shared" si="152"/>
        <v>3</v>
      </c>
      <c r="FA115" s="14">
        <f t="shared" si="153"/>
        <v>50</v>
      </c>
      <c r="FB115" s="14">
        <f t="shared" si="154"/>
        <v>4</v>
      </c>
      <c r="FC115" s="14">
        <f t="shared" si="155"/>
        <v>8</v>
      </c>
      <c r="FD115" s="14">
        <f t="shared" si="156"/>
        <v>8</v>
      </c>
      <c r="FE115" s="14" t="b">
        <f t="shared" si="177"/>
        <v>0</v>
      </c>
      <c r="FF115" s="14">
        <f t="shared" si="157"/>
        <v>2003408</v>
      </c>
      <c r="FG115" s="13" t="str">
        <f t="shared" si="158"/>
        <v>50级-史诗寄灵人の戒指</v>
      </c>
      <c r="FH115" s="14">
        <f t="shared" si="159"/>
        <v>1</v>
      </c>
      <c r="FI115" s="14">
        <f t="shared" si="160"/>
        <v>4</v>
      </c>
      <c r="FJ115" s="14">
        <f t="shared" si="161"/>
        <v>50</v>
      </c>
      <c r="FK115" s="14">
        <v>1</v>
      </c>
      <c r="FL115" s="14">
        <f t="shared" si="162"/>
        <v>3</v>
      </c>
      <c r="FM115" s="14">
        <f t="shared" si="178"/>
        <v>8</v>
      </c>
      <c r="FN115" s="14" t="str">
        <f t="shared" si="163"/>
        <v/>
      </c>
      <c r="FO115" s="14">
        <f t="shared" si="164"/>
        <v>95</v>
      </c>
      <c r="FP115" s="14">
        <f t="shared" si="179"/>
        <v>90</v>
      </c>
      <c r="FQ115" s="14">
        <f t="shared" si="180"/>
        <v>0</v>
      </c>
      <c r="FR115" s="14">
        <f t="shared" si="181"/>
        <v>775</v>
      </c>
      <c r="FS115" s="14">
        <f t="shared" si="182"/>
        <v>7</v>
      </c>
      <c r="FT115" s="14">
        <f t="shared" si="183"/>
        <v>0</v>
      </c>
      <c r="FU115" s="14">
        <f t="shared" si="184"/>
        <v>60</v>
      </c>
      <c r="FV115" s="14">
        <f t="shared" si="165"/>
        <v>1034</v>
      </c>
      <c r="FW115" s="14">
        <f t="shared" si="166"/>
        <v>3</v>
      </c>
      <c r="FX115" s="14">
        <f t="shared" si="167"/>
        <v>1034</v>
      </c>
      <c r="FY115" s="25" t="str">
        <f t="shared" si="185"/>
        <v>icon_2003108</v>
      </c>
      <c r="GC115" s="14">
        <f t="shared" si="168"/>
        <v>1</v>
      </c>
      <c r="GD115" s="14">
        <f t="shared" si="169"/>
        <v>3</v>
      </c>
      <c r="GE115" s="14">
        <f t="shared" si="186"/>
        <v>95</v>
      </c>
      <c r="GF115" s="14" t="str">
        <f t="shared" si="170"/>
        <v>AtkExt</v>
      </c>
      <c r="GG115" s="14">
        <f t="shared" si="187"/>
        <v>90</v>
      </c>
      <c r="GH115" s="14">
        <f t="shared" si="188"/>
        <v>7</v>
      </c>
      <c r="GI115" s="14" t="str">
        <f t="shared" si="171"/>
        <v>HPExt</v>
      </c>
      <c r="GJ115" s="14">
        <f t="shared" si="189"/>
        <v>775</v>
      </c>
      <c r="GK115" s="14">
        <f t="shared" si="190"/>
        <v>60</v>
      </c>
      <c r="GL115" s="14">
        <f t="shared" si="172"/>
        <v>20340</v>
      </c>
      <c r="GM115" s="14">
        <f t="shared" si="191"/>
        <v>3</v>
      </c>
      <c r="GN115" s="14">
        <f t="shared" si="192"/>
        <v>1034</v>
      </c>
      <c r="GO115" s="25" t="s">
        <v>1471</v>
      </c>
      <c r="GP115" s="14">
        <f t="shared" si="173"/>
        <v>150</v>
      </c>
      <c r="HK115" s="13">
        <v>110</v>
      </c>
      <c r="HL115" s="14">
        <f t="shared" si="202"/>
        <v>5</v>
      </c>
      <c r="HM115" s="14">
        <f t="shared" si="203"/>
        <v>1</v>
      </c>
      <c r="HN115" s="14">
        <f t="shared" si="204"/>
        <v>5</v>
      </c>
      <c r="HO115" s="14">
        <f t="shared" si="205"/>
        <v>4</v>
      </c>
      <c r="HP115" s="14" t="str">
        <f t="shared" si="206"/>
        <v>90级寄灵人洗练-Q4-2</v>
      </c>
      <c r="HQ115" s="14">
        <f t="shared" si="207"/>
        <v>1054</v>
      </c>
      <c r="HR115" s="14">
        <f t="shared" si="208"/>
        <v>2</v>
      </c>
      <c r="HS115" s="14">
        <f t="shared" si="209"/>
        <v>1800</v>
      </c>
      <c r="HT115" s="14" t="str">
        <f t="shared" si="210"/>
        <v>DefExt</v>
      </c>
      <c r="HU115" s="14">
        <f t="shared" si="211"/>
        <v>34</v>
      </c>
      <c r="HV115" s="14">
        <f t="shared" si="212"/>
        <v>99</v>
      </c>
    </row>
    <row r="116" spans="151:230" ht="16.5" x14ac:dyDescent="0.2">
      <c r="EU116" s="13">
        <v>111</v>
      </c>
      <c r="EV116" s="14">
        <f t="shared" si="174"/>
        <v>1</v>
      </c>
      <c r="EW116" s="14">
        <f t="shared" si="175"/>
        <v>111</v>
      </c>
      <c r="EX116" s="14">
        <f t="shared" si="176"/>
        <v>15</v>
      </c>
      <c r="EY116" s="14">
        <f t="shared" si="151"/>
        <v>42</v>
      </c>
      <c r="EZ116" s="14">
        <f t="shared" si="152"/>
        <v>3</v>
      </c>
      <c r="FA116" s="14">
        <f t="shared" si="153"/>
        <v>50</v>
      </c>
      <c r="FB116" s="14">
        <f t="shared" si="154"/>
        <v>4</v>
      </c>
      <c r="FC116" s="14">
        <f t="shared" si="155"/>
        <v>1</v>
      </c>
      <c r="FD116" s="14">
        <f t="shared" si="156"/>
        <v>1</v>
      </c>
      <c r="FE116" s="14" t="b">
        <f t="shared" si="177"/>
        <v>1</v>
      </c>
      <c r="FF116" s="14">
        <f t="shared" si="157"/>
        <v>2003421</v>
      </c>
      <c r="FG116" s="13" t="str">
        <f t="shared" si="158"/>
        <v>50级-防御套寄灵人の灵器</v>
      </c>
      <c r="FH116" s="14">
        <f t="shared" si="159"/>
        <v>1</v>
      </c>
      <c r="FI116" s="14">
        <f t="shared" si="160"/>
        <v>4</v>
      </c>
      <c r="FJ116" s="14">
        <f t="shared" si="161"/>
        <v>50</v>
      </c>
      <c r="FK116" s="14">
        <v>1</v>
      </c>
      <c r="FL116" s="14">
        <f t="shared" si="162"/>
        <v>3</v>
      </c>
      <c r="FM116" s="14">
        <f t="shared" si="178"/>
        <v>1</v>
      </c>
      <c r="FN116" s="14">
        <f t="shared" si="163"/>
        <v>200342</v>
      </c>
      <c r="FO116" s="14">
        <f t="shared" si="164"/>
        <v>157</v>
      </c>
      <c r="FP116" s="14">
        <f t="shared" si="179"/>
        <v>270</v>
      </c>
      <c r="FQ116" s="14">
        <f t="shared" si="180"/>
        <v>0</v>
      </c>
      <c r="FR116" s="14">
        <f t="shared" si="181"/>
        <v>0</v>
      </c>
      <c r="FS116" s="14">
        <f t="shared" si="182"/>
        <v>21</v>
      </c>
      <c r="FT116" s="14">
        <f t="shared" si="183"/>
        <v>0</v>
      </c>
      <c r="FU116" s="14">
        <f t="shared" si="184"/>
        <v>0</v>
      </c>
      <c r="FV116" s="14">
        <f t="shared" si="165"/>
        <v>1034</v>
      </c>
      <c r="FW116" s="14">
        <f t="shared" si="166"/>
        <v>3</v>
      </c>
      <c r="FX116" s="14">
        <f t="shared" si="167"/>
        <v>1034</v>
      </c>
      <c r="FY116" s="25" t="str">
        <f t="shared" si="185"/>
        <v>icon_2003421</v>
      </c>
      <c r="GC116" s="14">
        <f t="shared" si="168"/>
        <v>1</v>
      </c>
      <c r="GD116" s="14">
        <f t="shared" si="169"/>
        <v>0</v>
      </c>
      <c r="GE116" s="14">
        <f t="shared" si="186"/>
        <v>157</v>
      </c>
      <c r="GF116" s="14" t="str">
        <f t="shared" si="170"/>
        <v>AtkExt</v>
      </c>
      <c r="GG116" s="14">
        <f t="shared" si="187"/>
        <v>270</v>
      </c>
      <c r="GH116" s="14">
        <f t="shared" si="188"/>
        <v>21</v>
      </c>
      <c r="GI116" s="14" t="str">
        <f t="shared" si="171"/>
        <v/>
      </c>
      <c r="GJ116" s="14" t="str">
        <f t="shared" si="189"/>
        <v/>
      </c>
      <c r="GK116" s="14" t="str">
        <f t="shared" si="190"/>
        <v/>
      </c>
      <c r="GL116" s="14">
        <f t="shared" si="172"/>
        <v>20340</v>
      </c>
      <c r="GM116" s="14">
        <f t="shared" si="191"/>
        <v>3</v>
      </c>
      <c r="GN116" s="14">
        <f t="shared" si="192"/>
        <v>1034</v>
      </c>
      <c r="GO116" s="25" t="s">
        <v>1471</v>
      </c>
      <c r="GP116" s="14">
        <f t="shared" si="173"/>
        <v>200</v>
      </c>
      <c r="HK116" s="13">
        <v>111</v>
      </c>
      <c r="HL116" s="14">
        <f t="shared" si="202"/>
        <v>5</v>
      </c>
      <c r="HM116" s="14">
        <f t="shared" si="203"/>
        <v>1</v>
      </c>
      <c r="HN116" s="14">
        <f t="shared" si="204"/>
        <v>5</v>
      </c>
      <c r="HO116" s="14">
        <f t="shared" si="205"/>
        <v>4</v>
      </c>
      <c r="HP116" s="14" t="str">
        <f t="shared" si="206"/>
        <v>90级寄灵人洗练-Q4-3</v>
      </c>
      <c r="HQ116" s="14">
        <f t="shared" si="207"/>
        <v>1054</v>
      </c>
      <c r="HR116" s="14">
        <f t="shared" si="208"/>
        <v>3</v>
      </c>
      <c r="HS116" s="14">
        <f t="shared" si="209"/>
        <v>2000</v>
      </c>
      <c r="HT116" s="14" t="str">
        <f t="shared" si="210"/>
        <v>HPExt</v>
      </c>
      <c r="HU116" s="14">
        <f t="shared" si="211"/>
        <v>669</v>
      </c>
      <c r="HV116" s="14">
        <f t="shared" si="212"/>
        <v>1913</v>
      </c>
    </row>
    <row r="117" spans="151:230" ht="16.5" x14ac:dyDescent="0.2">
      <c r="EU117" s="13">
        <v>112</v>
      </c>
      <c r="EV117" s="14">
        <f t="shared" si="174"/>
        <v>1</v>
      </c>
      <c r="EW117" s="14">
        <f t="shared" si="175"/>
        <v>112</v>
      </c>
      <c r="EX117" s="14">
        <f t="shared" si="176"/>
        <v>15</v>
      </c>
      <c r="EY117" s="14">
        <f t="shared" si="151"/>
        <v>42</v>
      </c>
      <c r="EZ117" s="14">
        <f t="shared" si="152"/>
        <v>3</v>
      </c>
      <c r="FA117" s="14">
        <f t="shared" si="153"/>
        <v>50</v>
      </c>
      <c r="FB117" s="14">
        <f t="shared" si="154"/>
        <v>4</v>
      </c>
      <c r="FC117" s="14">
        <f t="shared" si="155"/>
        <v>2</v>
      </c>
      <c r="FD117" s="14">
        <f t="shared" si="156"/>
        <v>2</v>
      </c>
      <c r="FE117" s="14" t="b">
        <f t="shared" si="177"/>
        <v>1</v>
      </c>
      <c r="FF117" s="14">
        <f t="shared" si="157"/>
        <v>2003422</v>
      </c>
      <c r="FG117" s="13" t="str">
        <f t="shared" si="158"/>
        <v>50级-防御套寄灵人の头盔</v>
      </c>
      <c r="FH117" s="14">
        <f t="shared" si="159"/>
        <v>1</v>
      </c>
      <c r="FI117" s="14">
        <f t="shared" si="160"/>
        <v>4</v>
      </c>
      <c r="FJ117" s="14">
        <f t="shared" si="161"/>
        <v>50</v>
      </c>
      <c r="FK117" s="14">
        <v>1</v>
      </c>
      <c r="FL117" s="14">
        <f t="shared" si="162"/>
        <v>3</v>
      </c>
      <c r="FM117" s="14">
        <f t="shared" si="178"/>
        <v>2</v>
      </c>
      <c r="FN117" s="14">
        <f t="shared" si="163"/>
        <v>200342</v>
      </c>
      <c r="FO117" s="14">
        <f t="shared" si="164"/>
        <v>75</v>
      </c>
      <c r="FP117" s="14">
        <f t="shared" si="179"/>
        <v>0</v>
      </c>
      <c r="FQ117" s="14">
        <f t="shared" si="180"/>
        <v>70</v>
      </c>
      <c r="FR117" s="14">
        <f t="shared" si="181"/>
        <v>0</v>
      </c>
      <c r="FS117" s="14">
        <f t="shared" si="182"/>
        <v>0</v>
      </c>
      <c r="FT117" s="14">
        <f t="shared" si="183"/>
        <v>5</v>
      </c>
      <c r="FU117" s="14">
        <f t="shared" si="184"/>
        <v>0</v>
      </c>
      <c r="FV117" s="14">
        <f t="shared" si="165"/>
        <v>1034</v>
      </c>
      <c r="FW117" s="14">
        <f t="shared" si="166"/>
        <v>3</v>
      </c>
      <c r="FX117" s="14">
        <f t="shared" si="167"/>
        <v>1034</v>
      </c>
      <c r="FY117" s="25" t="str">
        <f t="shared" si="185"/>
        <v>icon_2003422</v>
      </c>
      <c r="GC117" s="14">
        <f t="shared" si="168"/>
        <v>2</v>
      </c>
      <c r="GD117" s="14">
        <f t="shared" si="169"/>
        <v>0</v>
      </c>
      <c r="GE117" s="14">
        <f t="shared" si="186"/>
        <v>75</v>
      </c>
      <c r="GF117" s="14" t="str">
        <f t="shared" si="170"/>
        <v>DefExt</v>
      </c>
      <c r="GG117" s="14">
        <f t="shared" si="187"/>
        <v>70</v>
      </c>
      <c r="GH117" s="14">
        <f t="shared" si="188"/>
        <v>5</v>
      </c>
      <c r="GI117" s="14" t="str">
        <f t="shared" si="171"/>
        <v/>
      </c>
      <c r="GJ117" s="14" t="str">
        <f t="shared" si="189"/>
        <v/>
      </c>
      <c r="GK117" s="14" t="str">
        <f t="shared" si="190"/>
        <v/>
      </c>
      <c r="GL117" s="14">
        <f t="shared" si="172"/>
        <v>20340</v>
      </c>
      <c r="GM117" s="14">
        <f t="shared" si="191"/>
        <v>3</v>
      </c>
      <c r="GN117" s="14">
        <f t="shared" si="192"/>
        <v>1034</v>
      </c>
      <c r="GO117" s="25" t="s">
        <v>1471</v>
      </c>
      <c r="GP117" s="14">
        <f t="shared" si="173"/>
        <v>100</v>
      </c>
      <c r="HK117" s="13">
        <v>112</v>
      </c>
      <c r="HL117" s="14">
        <f t="shared" si="202"/>
        <v>5</v>
      </c>
      <c r="HM117" s="14">
        <f t="shared" si="203"/>
        <v>1</v>
      </c>
      <c r="HN117" s="14">
        <f t="shared" si="204"/>
        <v>5</v>
      </c>
      <c r="HO117" s="14">
        <f t="shared" si="205"/>
        <v>4</v>
      </c>
      <c r="HP117" s="14" t="str">
        <f t="shared" si="206"/>
        <v>90级寄灵人洗练-Q4-4</v>
      </c>
      <c r="HQ117" s="14">
        <f t="shared" si="207"/>
        <v>1054</v>
      </c>
      <c r="HR117" s="14">
        <f t="shared" si="208"/>
        <v>4</v>
      </c>
      <c r="HS117" s="14">
        <f t="shared" si="209"/>
        <v>500</v>
      </c>
      <c r="HT117" s="14" t="str">
        <f t="shared" si="210"/>
        <v>AtkRate</v>
      </c>
      <c r="HU117" s="14">
        <f t="shared" si="211"/>
        <v>1.4E-2</v>
      </c>
      <c r="HV117" s="14">
        <f t="shared" si="212"/>
        <v>0.04</v>
      </c>
    </row>
    <row r="118" spans="151:230" ht="16.5" x14ac:dyDescent="0.2">
      <c r="EU118" s="13">
        <v>113</v>
      </c>
      <c r="EV118" s="14">
        <f t="shared" si="174"/>
        <v>1</v>
      </c>
      <c r="EW118" s="14">
        <f t="shared" si="175"/>
        <v>113</v>
      </c>
      <c r="EX118" s="14">
        <f t="shared" si="176"/>
        <v>15</v>
      </c>
      <c r="EY118" s="14">
        <f t="shared" si="151"/>
        <v>42</v>
      </c>
      <c r="EZ118" s="14">
        <f t="shared" si="152"/>
        <v>3</v>
      </c>
      <c r="FA118" s="14">
        <f t="shared" si="153"/>
        <v>50</v>
      </c>
      <c r="FB118" s="14">
        <f t="shared" si="154"/>
        <v>4</v>
      </c>
      <c r="FC118" s="14">
        <f t="shared" si="155"/>
        <v>3</v>
      </c>
      <c r="FD118" s="14">
        <f t="shared" si="156"/>
        <v>3</v>
      </c>
      <c r="FE118" s="14" t="b">
        <f t="shared" si="177"/>
        <v>1</v>
      </c>
      <c r="FF118" s="14">
        <f t="shared" si="157"/>
        <v>2003423</v>
      </c>
      <c r="FG118" s="13" t="str">
        <f t="shared" si="158"/>
        <v>50级-防御套寄灵人の铠甲</v>
      </c>
      <c r="FH118" s="14">
        <f t="shared" si="159"/>
        <v>1</v>
      </c>
      <c r="FI118" s="14">
        <f t="shared" si="160"/>
        <v>4</v>
      </c>
      <c r="FJ118" s="14">
        <f t="shared" si="161"/>
        <v>50</v>
      </c>
      <c r="FK118" s="14">
        <v>1</v>
      </c>
      <c r="FL118" s="14">
        <f t="shared" si="162"/>
        <v>3</v>
      </c>
      <c r="FM118" s="14">
        <f t="shared" si="178"/>
        <v>3</v>
      </c>
      <c r="FN118" s="14">
        <f t="shared" si="163"/>
        <v>200342</v>
      </c>
      <c r="FO118" s="14">
        <f t="shared" si="164"/>
        <v>99</v>
      </c>
      <c r="FP118" s="14">
        <f t="shared" si="179"/>
        <v>0</v>
      </c>
      <c r="FQ118" s="14">
        <f t="shared" si="180"/>
        <v>35</v>
      </c>
      <c r="FR118" s="14">
        <f t="shared" si="181"/>
        <v>465</v>
      </c>
      <c r="FS118" s="14">
        <f t="shared" si="182"/>
        <v>0</v>
      </c>
      <c r="FT118" s="14">
        <f t="shared" si="183"/>
        <v>3</v>
      </c>
      <c r="FU118" s="14">
        <f t="shared" si="184"/>
        <v>36</v>
      </c>
      <c r="FV118" s="14">
        <f t="shared" si="165"/>
        <v>1034</v>
      </c>
      <c r="FW118" s="14">
        <f t="shared" si="166"/>
        <v>3</v>
      </c>
      <c r="FX118" s="14">
        <f t="shared" si="167"/>
        <v>1034</v>
      </c>
      <c r="FY118" s="25" t="str">
        <f t="shared" si="185"/>
        <v>icon_2003423</v>
      </c>
      <c r="GC118" s="14">
        <f t="shared" si="168"/>
        <v>2</v>
      </c>
      <c r="GD118" s="14">
        <f t="shared" si="169"/>
        <v>3</v>
      </c>
      <c r="GE118" s="14">
        <f t="shared" si="186"/>
        <v>99</v>
      </c>
      <c r="GF118" s="14" t="str">
        <f t="shared" si="170"/>
        <v>DefExt</v>
      </c>
      <c r="GG118" s="14">
        <f t="shared" si="187"/>
        <v>35</v>
      </c>
      <c r="GH118" s="14">
        <f t="shared" si="188"/>
        <v>3</v>
      </c>
      <c r="GI118" s="14" t="str">
        <f t="shared" si="171"/>
        <v>HPExt</v>
      </c>
      <c r="GJ118" s="14">
        <f t="shared" si="189"/>
        <v>465</v>
      </c>
      <c r="GK118" s="14">
        <f t="shared" si="190"/>
        <v>36</v>
      </c>
      <c r="GL118" s="14">
        <f t="shared" si="172"/>
        <v>20340</v>
      </c>
      <c r="GM118" s="14">
        <f t="shared" si="191"/>
        <v>3</v>
      </c>
      <c r="GN118" s="14">
        <f t="shared" si="192"/>
        <v>1034</v>
      </c>
      <c r="GO118" s="25" t="s">
        <v>1471</v>
      </c>
      <c r="GP118" s="14">
        <f t="shared" si="173"/>
        <v>100</v>
      </c>
      <c r="HK118" s="13">
        <v>113</v>
      </c>
      <c r="HL118" s="14">
        <f t="shared" si="202"/>
        <v>5</v>
      </c>
      <c r="HM118" s="14">
        <f t="shared" si="203"/>
        <v>1</v>
      </c>
      <c r="HN118" s="14">
        <f t="shared" si="204"/>
        <v>5</v>
      </c>
      <c r="HO118" s="14">
        <f t="shared" si="205"/>
        <v>4</v>
      </c>
      <c r="HP118" s="14" t="str">
        <f t="shared" si="206"/>
        <v>90级寄灵人洗练-Q4-5</v>
      </c>
      <c r="HQ118" s="14">
        <f t="shared" si="207"/>
        <v>1054</v>
      </c>
      <c r="HR118" s="14">
        <f t="shared" si="208"/>
        <v>5</v>
      </c>
      <c r="HS118" s="14">
        <f t="shared" si="209"/>
        <v>400</v>
      </c>
      <c r="HT118" s="14" t="str">
        <f t="shared" si="210"/>
        <v>DefRate</v>
      </c>
      <c r="HU118" s="14">
        <f t="shared" si="211"/>
        <v>1.4E-2</v>
      </c>
      <c r="HV118" s="14">
        <f t="shared" si="212"/>
        <v>0.04</v>
      </c>
    </row>
    <row r="119" spans="151:230" ht="16.5" x14ac:dyDescent="0.2">
      <c r="EU119" s="13">
        <v>114</v>
      </c>
      <c r="EV119" s="14">
        <f t="shared" si="174"/>
        <v>1</v>
      </c>
      <c r="EW119" s="14">
        <f t="shared" si="175"/>
        <v>114</v>
      </c>
      <c r="EX119" s="14">
        <f t="shared" si="176"/>
        <v>15</v>
      </c>
      <c r="EY119" s="14">
        <f t="shared" si="151"/>
        <v>42</v>
      </c>
      <c r="EZ119" s="14">
        <f t="shared" si="152"/>
        <v>3</v>
      </c>
      <c r="FA119" s="14">
        <f t="shared" si="153"/>
        <v>50</v>
      </c>
      <c r="FB119" s="14">
        <f t="shared" si="154"/>
        <v>4</v>
      </c>
      <c r="FC119" s="14">
        <f t="shared" si="155"/>
        <v>4</v>
      </c>
      <c r="FD119" s="14">
        <f t="shared" si="156"/>
        <v>4</v>
      </c>
      <c r="FE119" s="14" t="b">
        <f t="shared" si="177"/>
        <v>1</v>
      </c>
      <c r="FF119" s="14">
        <f t="shared" si="157"/>
        <v>2003424</v>
      </c>
      <c r="FG119" s="13" t="str">
        <f t="shared" si="158"/>
        <v>50级-防御套寄灵人の裤子</v>
      </c>
      <c r="FH119" s="14">
        <f t="shared" si="159"/>
        <v>1</v>
      </c>
      <c r="FI119" s="14">
        <f t="shared" si="160"/>
        <v>4</v>
      </c>
      <c r="FJ119" s="14">
        <f t="shared" si="161"/>
        <v>50</v>
      </c>
      <c r="FK119" s="14">
        <v>1</v>
      </c>
      <c r="FL119" s="14">
        <f t="shared" si="162"/>
        <v>3</v>
      </c>
      <c r="FM119" s="14">
        <f t="shared" si="178"/>
        <v>4</v>
      </c>
      <c r="FN119" s="14">
        <f t="shared" si="163"/>
        <v>200342</v>
      </c>
      <c r="FO119" s="14">
        <f t="shared" si="164"/>
        <v>75</v>
      </c>
      <c r="FP119" s="14">
        <f t="shared" si="179"/>
        <v>0</v>
      </c>
      <c r="FQ119" s="14">
        <f t="shared" si="180"/>
        <v>70</v>
      </c>
      <c r="FR119" s="14">
        <f t="shared" si="181"/>
        <v>0</v>
      </c>
      <c r="FS119" s="14">
        <f t="shared" si="182"/>
        <v>0</v>
      </c>
      <c r="FT119" s="14">
        <f t="shared" si="183"/>
        <v>5</v>
      </c>
      <c r="FU119" s="14">
        <f t="shared" si="184"/>
        <v>0</v>
      </c>
      <c r="FV119" s="14">
        <f t="shared" si="165"/>
        <v>1034</v>
      </c>
      <c r="FW119" s="14">
        <f t="shared" si="166"/>
        <v>3</v>
      </c>
      <c r="FX119" s="14">
        <f t="shared" si="167"/>
        <v>1034</v>
      </c>
      <c r="FY119" s="25" t="str">
        <f t="shared" si="185"/>
        <v>icon_2003424</v>
      </c>
      <c r="GC119" s="14">
        <f t="shared" si="168"/>
        <v>2</v>
      </c>
      <c r="GD119" s="14">
        <f t="shared" si="169"/>
        <v>0</v>
      </c>
      <c r="GE119" s="14">
        <f t="shared" si="186"/>
        <v>75</v>
      </c>
      <c r="GF119" s="14" t="str">
        <f t="shared" si="170"/>
        <v>DefExt</v>
      </c>
      <c r="GG119" s="14">
        <f t="shared" si="187"/>
        <v>70</v>
      </c>
      <c r="GH119" s="14">
        <f t="shared" si="188"/>
        <v>5</v>
      </c>
      <c r="GI119" s="14" t="str">
        <f t="shared" si="171"/>
        <v/>
      </c>
      <c r="GJ119" s="14" t="str">
        <f t="shared" si="189"/>
        <v/>
      </c>
      <c r="GK119" s="14" t="str">
        <f t="shared" si="190"/>
        <v/>
      </c>
      <c r="GL119" s="14">
        <f t="shared" si="172"/>
        <v>20340</v>
      </c>
      <c r="GM119" s="14">
        <f t="shared" si="191"/>
        <v>3</v>
      </c>
      <c r="GN119" s="14">
        <f t="shared" si="192"/>
        <v>1034</v>
      </c>
      <c r="GO119" s="25" t="s">
        <v>1471</v>
      </c>
      <c r="GP119" s="14">
        <f t="shared" si="173"/>
        <v>100</v>
      </c>
      <c r="HK119" s="13">
        <v>114</v>
      </c>
      <c r="HL119" s="14">
        <f t="shared" si="202"/>
        <v>5</v>
      </c>
      <c r="HM119" s="14">
        <f t="shared" si="203"/>
        <v>1</v>
      </c>
      <c r="HN119" s="14">
        <f t="shared" si="204"/>
        <v>5</v>
      </c>
      <c r="HO119" s="14">
        <f t="shared" si="205"/>
        <v>4</v>
      </c>
      <c r="HP119" s="14" t="str">
        <f t="shared" si="206"/>
        <v>90级寄灵人洗练-Q4-6</v>
      </c>
      <c r="HQ119" s="14">
        <f t="shared" si="207"/>
        <v>1054</v>
      </c>
      <c r="HR119" s="14">
        <f t="shared" si="208"/>
        <v>6</v>
      </c>
      <c r="HS119" s="14">
        <f t="shared" si="209"/>
        <v>500</v>
      </c>
      <c r="HT119" s="14" t="str">
        <f t="shared" si="210"/>
        <v>HPRate</v>
      </c>
      <c r="HU119" s="14">
        <f t="shared" si="211"/>
        <v>1.4E-2</v>
      </c>
      <c r="HV119" s="14">
        <f t="shared" si="212"/>
        <v>0.04</v>
      </c>
    </row>
    <row r="120" spans="151:230" ht="16.5" x14ac:dyDescent="0.2">
      <c r="EU120" s="13">
        <v>115</v>
      </c>
      <c r="EV120" s="14">
        <f t="shared" si="174"/>
        <v>1</v>
      </c>
      <c r="EW120" s="14">
        <f t="shared" si="175"/>
        <v>115</v>
      </c>
      <c r="EX120" s="14">
        <f t="shared" si="176"/>
        <v>15</v>
      </c>
      <c r="EY120" s="14">
        <f t="shared" si="151"/>
        <v>42</v>
      </c>
      <c r="EZ120" s="14">
        <f t="shared" si="152"/>
        <v>3</v>
      </c>
      <c r="FA120" s="14">
        <f t="shared" si="153"/>
        <v>50</v>
      </c>
      <c r="FB120" s="14">
        <f t="shared" si="154"/>
        <v>4</v>
      </c>
      <c r="FC120" s="14">
        <f t="shared" si="155"/>
        <v>5</v>
      </c>
      <c r="FD120" s="14">
        <f t="shared" si="156"/>
        <v>5</v>
      </c>
      <c r="FE120" s="14" t="b">
        <f t="shared" si="177"/>
        <v>1</v>
      </c>
      <c r="FF120" s="14">
        <f t="shared" si="157"/>
        <v>2003425</v>
      </c>
      <c r="FG120" s="13" t="str">
        <f t="shared" si="158"/>
        <v>50级-防御套寄灵人の鞋子</v>
      </c>
      <c r="FH120" s="14">
        <f t="shared" si="159"/>
        <v>1</v>
      </c>
      <c r="FI120" s="14">
        <f t="shared" si="160"/>
        <v>4</v>
      </c>
      <c r="FJ120" s="14">
        <f t="shared" si="161"/>
        <v>50</v>
      </c>
      <c r="FK120" s="14">
        <v>1</v>
      </c>
      <c r="FL120" s="14">
        <f t="shared" si="162"/>
        <v>3</v>
      </c>
      <c r="FM120" s="14">
        <f t="shared" si="178"/>
        <v>5</v>
      </c>
      <c r="FN120" s="14">
        <f t="shared" si="163"/>
        <v>200342</v>
      </c>
      <c r="FO120" s="14">
        <f t="shared" si="164"/>
        <v>108</v>
      </c>
      <c r="FP120" s="14">
        <f t="shared" si="179"/>
        <v>0</v>
      </c>
      <c r="FQ120" s="14">
        <f t="shared" si="180"/>
        <v>0</v>
      </c>
      <c r="FR120" s="14">
        <f t="shared" si="181"/>
        <v>930</v>
      </c>
      <c r="FS120" s="14">
        <f t="shared" si="182"/>
        <v>0</v>
      </c>
      <c r="FT120" s="14">
        <f t="shared" si="183"/>
        <v>0</v>
      </c>
      <c r="FU120" s="14">
        <f t="shared" si="184"/>
        <v>72</v>
      </c>
      <c r="FV120" s="14">
        <f t="shared" si="165"/>
        <v>1034</v>
      </c>
      <c r="FW120" s="14">
        <f t="shared" si="166"/>
        <v>3</v>
      </c>
      <c r="FX120" s="14">
        <f t="shared" si="167"/>
        <v>1034</v>
      </c>
      <c r="FY120" s="25" t="str">
        <f t="shared" si="185"/>
        <v>icon_2003425</v>
      </c>
      <c r="GC120" s="14">
        <f t="shared" si="168"/>
        <v>3</v>
      </c>
      <c r="GD120" s="14">
        <f t="shared" si="169"/>
        <v>0</v>
      </c>
      <c r="GE120" s="14">
        <f t="shared" si="186"/>
        <v>108</v>
      </c>
      <c r="GF120" s="14" t="str">
        <f t="shared" si="170"/>
        <v>HPExt</v>
      </c>
      <c r="GG120" s="14">
        <f t="shared" si="187"/>
        <v>930</v>
      </c>
      <c r="GH120" s="14">
        <f t="shared" si="188"/>
        <v>72</v>
      </c>
      <c r="GI120" s="14" t="str">
        <f t="shared" si="171"/>
        <v/>
      </c>
      <c r="GJ120" s="14" t="str">
        <f t="shared" si="189"/>
        <v/>
      </c>
      <c r="GK120" s="14" t="str">
        <f t="shared" si="190"/>
        <v/>
      </c>
      <c r="GL120" s="14">
        <f t="shared" si="172"/>
        <v>20340</v>
      </c>
      <c r="GM120" s="14">
        <f t="shared" si="191"/>
        <v>3</v>
      </c>
      <c r="GN120" s="14">
        <f t="shared" si="192"/>
        <v>1034</v>
      </c>
      <c r="GO120" s="25" t="s">
        <v>1471</v>
      </c>
      <c r="GP120" s="14">
        <f t="shared" si="173"/>
        <v>100</v>
      </c>
      <c r="HK120" s="13">
        <v>115</v>
      </c>
      <c r="HL120" s="14">
        <f t="shared" si="202"/>
        <v>5</v>
      </c>
      <c r="HM120" s="14">
        <f t="shared" si="203"/>
        <v>1</v>
      </c>
      <c r="HN120" s="14">
        <f t="shared" si="204"/>
        <v>5</v>
      </c>
      <c r="HO120" s="14">
        <f t="shared" si="205"/>
        <v>4</v>
      </c>
      <c r="HP120" s="14" t="str">
        <f t="shared" si="206"/>
        <v>90级寄灵人洗练-Q4-7</v>
      </c>
      <c r="HQ120" s="14">
        <f t="shared" si="207"/>
        <v>1054</v>
      </c>
      <c r="HR120" s="14">
        <f t="shared" si="208"/>
        <v>7</v>
      </c>
      <c r="HS120" s="14">
        <f t="shared" si="209"/>
        <v>500</v>
      </c>
      <c r="HT120" s="14" t="str">
        <f t="shared" si="210"/>
        <v>Crit</v>
      </c>
      <c r="HU120" s="14">
        <f t="shared" si="211"/>
        <v>1.0999999999999999E-2</v>
      </c>
      <c r="HV120" s="14">
        <f t="shared" si="212"/>
        <v>0.03</v>
      </c>
    </row>
    <row r="121" spans="151:230" ht="16.5" x14ac:dyDescent="0.2">
      <c r="EU121" s="13">
        <v>116</v>
      </c>
      <c r="EV121" s="14">
        <f t="shared" si="174"/>
        <v>1</v>
      </c>
      <c r="EW121" s="14">
        <f t="shared" si="175"/>
        <v>116</v>
      </c>
      <c r="EX121" s="14">
        <f t="shared" si="176"/>
        <v>15</v>
      </c>
      <c r="EY121" s="14">
        <f t="shared" si="151"/>
        <v>42</v>
      </c>
      <c r="EZ121" s="14">
        <f t="shared" si="152"/>
        <v>3</v>
      </c>
      <c r="FA121" s="14">
        <f t="shared" si="153"/>
        <v>50</v>
      </c>
      <c r="FB121" s="14">
        <f t="shared" si="154"/>
        <v>4</v>
      </c>
      <c r="FC121" s="14">
        <f t="shared" si="155"/>
        <v>6</v>
      </c>
      <c r="FD121" s="14">
        <f t="shared" si="156"/>
        <v>6</v>
      </c>
      <c r="FE121" s="14" t="b">
        <f t="shared" si="177"/>
        <v>1</v>
      </c>
      <c r="FF121" s="14">
        <f t="shared" si="157"/>
        <v>2003426</v>
      </c>
      <c r="FG121" s="13" t="str">
        <f t="shared" si="158"/>
        <v>50级-防御套寄灵人の护手</v>
      </c>
      <c r="FH121" s="14">
        <f t="shared" si="159"/>
        <v>1</v>
      </c>
      <c r="FI121" s="14">
        <f t="shared" si="160"/>
        <v>4</v>
      </c>
      <c r="FJ121" s="14">
        <f t="shared" si="161"/>
        <v>50</v>
      </c>
      <c r="FK121" s="14">
        <v>1</v>
      </c>
      <c r="FL121" s="14">
        <f t="shared" si="162"/>
        <v>3</v>
      </c>
      <c r="FM121" s="14">
        <f t="shared" si="178"/>
        <v>6</v>
      </c>
      <c r="FN121" s="14">
        <f t="shared" si="163"/>
        <v>200342</v>
      </c>
      <c r="FO121" s="14">
        <f t="shared" si="164"/>
        <v>108</v>
      </c>
      <c r="FP121" s="14">
        <f t="shared" si="179"/>
        <v>0</v>
      </c>
      <c r="FQ121" s="14">
        <f t="shared" si="180"/>
        <v>0</v>
      </c>
      <c r="FR121" s="14">
        <f t="shared" si="181"/>
        <v>930</v>
      </c>
      <c r="FS121" s="14">
        <f t="shared" si="182"/>
        <v>0</v>
      </c>
      <c r="FT121" s="14">
        <f t="shared" si="183"/>
        <v>0</v>
      </c>
      <c r="FU121" s="14">
        <f t="shared" si="184"/>
        <v>72</v>
      </c>
      <c r="FV121" s="14">
        <f t="shared" si="165"/>
        <v>1034</v>
      </c>
      <c r="FW121" s="14">
        <f t="shared" si="166"/>
        <v>3</v>
      </c>
      <c r="FX121" s="14">
        <f t="shared" si="167"/>
        <v>1034</v>
      </c>
      <c r="FY121" s="25" t="str">
        <f t="shared" si="185"/>
        <v>icon_2003426</v>
      </c>
      <c r="GC121" s="14">
        <f t="shared" si="168"/>
        <v>3</v>
      </c>
      <c r="GD121" s="14">
        <f t="shared" si="169"/>
        <v>0</v>
      </c>
      <c r="GE121" s="14">
        <f t="shared" si="186"/>
        <v>108</v>
      </c>
      <c r="GF121" s="14" t="str">
        <f t="shared" si="170"/>
        <v>HPExt</v>
      </c>
      <c r="GG121" s="14">
        <f t="shared" si="187"/>
        <v>930</v>
      </c>
      <c r="GH121" s="14">
        <f t="shared" si="188"/>
        <v>72</v>
      </c>
      <c r="GI121" s="14" t="str">
        <f t="shared" si="171"/>
        <v/>
      </c>
      <c r="GJ121" s="14" t="str">
        <f t="shared" si="189"/>
        <v/>
      </c>
      <c r="GK121" s="14" t="str">
        <f t="shared" si="190"/>
        <v/>
      </c>
      <c r="GL121" s="14">
        <f t="shared" si="172"/>
        <v>20340</v>
      </c>
      <c r="GM121" s="14">
        <f t="shared" si="191"/>
        <v>3</v>
      </c>
      <c r="GN121" s="14">
        <f t="shared" si="192"/>
        <v>1034</v>
      </c>
      <c r="GO121" s="25" t="s">
        <v>1471</v>
      </c>
      <c r="GP121" s="14">
        <f t="shared" si="173"/>
        <v>100</v>
      </c>
      <c r="HK121" s="13">
        <v>116</v>
      </c>
      <c r="HL121" s="14">
        <f t="shared" si="202"/>
        <v>5</v>
      </c>
      <c r="HM121" s="14">
        <f t="shared" si="203"/>
        <v>1</v>
      </c>
      <c r="HN121" s="14">
        <f t="shared" si="204"/>
        <v>5</v>
      </c>
      <c r="HO121" s="14">
        <f t="shared" si="205"/>
        <v>4</v>
      </c>
      <c r="HP121" s="14" t="str">
        <f t="shared" si="206"/>
        <v>90级寄灵人洗练-Q4-8</v>
      </c>
      <c r="HQ121" s="14">
        <f t="shared" si="207"/>
        <v>1054</v>
      </c>
      <c r="HR121" s="14">
        <f t="shared" si="208"/>
        <v>8</v>
      </c>
      <c r="HS121" s="14">
        <f t="shared" si="209"/>
        <v>500</v>
      </c>
      <c r="HT121" s="14" t="str">
        <f t="shared" si="210"/>
        <v>CritRate</v>
      </c>
      <c r="HU121" s="14">
        <f t="shared" si="211"/>
        <v>2.8000000000000001E-2</v>
      </c>
      <c r="HV121" s="14">
        <f t="shared" si="212"/>
        <v>0.08</v>
      </c>
    </row>
    <row r="122" spans="151:230" ht="16.5" x14ac:dyDescent="0.2">
      <c r="EU122" s="13">
        <v>117</v>
      </c>
      <c r="EV122" s="14">
        <f t="shared" si="174"/>
        <v>1</v>
      </c>
      <c r="EW122" s="14">
        <f t="shared" si="175"/>
        <v>117</v>
      </c>
      <c r="EX122" s="14">
        <f t="shared" si="176"/>
        <v>16</v>
      </c>
      <c r="EY122" s="14">
        <f t="shared" si="151"/>
        <v>10</v>
      </c>
      <c r="EZ122" s="14">
        <f t="shared" si="152"/>
        <v>4</v>
      </c>
      <c r="FA122" s="14">
        <f t="shared" si="153"/>
        <v>70</v>
      </c>
      <c r="FB122" s="14">
        <f t="shared" si="154"/>
        <v>1</v>
      </c>
      <c r="FC122" s="14">
        <f t="shared" si="155"/>
        <v>1</v>
      </c>
      <c r="FD122" s="14">
        <f t="shared" si="156"/>
        <v>1</v>
      </c>
      <c r="FE122" s="14" t="b">
        <f t="shared" si="177"/>
        <v>0</v>
      </c>
      <c r="FF122" s="14">
        <f t="shared" si="157"/>
        <v>2004101</v>
      </c>
      <c r="FG122" s="13" t="str">
        <f t="shared" si="158"/>
        <v>70级-普通寄灵人の灵器</v>
      </c>
      <c r="FH122" s="14">
        <f t="shared" si="159"/>
        <v>1</v>
      </c>
      <c r="FI122" s="14">
        <f t="shared" si="160"/>
        <v>1</v>
      </c>
      <c r="FJ122" s="14">
        <f t="shared" si="161"/>
        <v>70</v>
      </c>
      <c r="FK122" s="14">
        <v>1</v>
      </c>
      <c r="FL122" s="14">
        <f t="shared" si="162"/>
        <v>4</v>
      </c>
      <c r="FM122" s="14">
        <f t="shared" si="178"/>
        <v>1</v>
      </c>
      <c r="FN122" s="14" t="str">
        <f t="shared" si="163"/>
        <v/>
      </c>
      <c r="FO122" s="14">
        <f t="shared" si="164"/>
        <v>70</v>
      </c>
      <c r="FP122" s="14">
        <f t="shared" si="179"/>
        <v>255</v>
      </c>
      <c r="FQ122" s="14">
        <f t="shared" si="180"/>
        <v>0</v>
      </c>
      <c r="FR122" s="14">
        <f t="shared" si="181"/>
        <v>0</v>
      </c>
      <c r="FS122" s="14">
        <f t="shared" si="182"/>
        <v>14</v>
      </c>
      <c r="FT122" s="14">
        <f t="shared" si="183"/>
        <v>0</v>
      </c>
      <c r="FU122" s="14">
        <f t="shared" si="184"/>
        <v>0</v>
      </c>
      <c r="FV122" s="14">
        <f t="shared" si="165"/>
        <v>1041</v>
      </c>
      <c r="FW122" s="14">
        <f t="shared" si="166"/>
        <v>0</v>
      </c>
      <c r="FX122" s="14" t="str">
        <f t="shared" si="167"/>
        <v/>
      </c>
      <c r="FY122" s="25" t="str">
        <f t="shared" si="185"/>
        <v>icon_2004101</v>
      </c>
      <c r="GC122" s="14">
        <f t="shared" si="168"/>
        <v>1</v>
      </c>
      <c r="GD122" s="14">
        <f t="shared" si="169"/>
        <v>0</v>
      </c>
      <c r="GE122" s="14">
        <f t="shared" si="186"/>
        <v>70</v>
      </c>
      <c r="GF122" s="14" t="str">
        <f t="shared" si="170"/>
        <v>AtkExt</v>
      </c>
      <c r="GG122" s="14">
        <f t="shared" si="187"/>
        <v>255</v>
      </c>
      <c r="GH122" s="14">
        <f t="shared" si="188"/>
        <v>14</v>
      </c>
      <c r="GI122" s="14" t="str">
        <f t="shared" si="171"/>
        <v/>
      </c>
      <c r="GJ122" s="14" t="str">
        <f t="shared" si="189"/>
        <v/>
      </c>
      <c r="GK122" s="14" t="str">
        <f t="shared" si="190"/>
        <v/>
      </c>
      <c r="GL122" s="14">
        <f t="shared" si="172"/>
        <v>20410</v>
      </c>
      <c r="GM122" s="14">
        <f t="shared" si="191"/>
        <v>0</v>
      </c>
      <c r="GN122" s="14" t="str">
        <f t="shared" si="192"/>
        <v/>
      </c>
      <c r="GO122" s="25" t="s">
        <v>1471</v>
      </c>
      <c r="GP122" s="14">
        <f t="shared" si="173"/>
        <v>30</v>
      </c>
      <c r="HK122" s="13">
        <v>117</v>
      </c>
      <c r="HL122" s="14">
        <f t="shared" si="202"/>
        <v>5</v>
      </c>
      <c r="HM122" s="14">
        <f t="shared" si="203"/>
        <v>1</v>
      </c>
      <c r="HN122" s="14">
        <f t="shared" si="204"/>
        <v>5</v>
      </c>
      <c r="HO122" s="14">
        <f t="shared" si="205"/>
        <v>4</v>
      </c>
      <c r="HP122" s="14" t="str">
        <f t="shared" si="206"/>
        <v>90级寄灵人洗练-Q4-9</v>
      </c>
      <c r="HQ122" s="14">
        <f t="shared" si="207"/>
        <v>1054</v>
      </c>
      <c r="HR122" s="14">
        <f t="shared" si="208"/>
        <v>9</v>
      </c>
      <c r="HS122" s="14">
        <f t="shared" si="209"/>
        <v>500</v>
      </c>
      <c r="HT122" s="14" t="str">
        <f t="shared" si="210"/>
        <v>DefIgnor</v>
      </c>
      <c r="HU122" s="14">
        <f t="shared" si="211"/>
        <v>1.0999999999999999E-2</v>
      </c>
      <c r="HV122" s="14">
        <f t="shared" si="212"/>
        <v>0.03</v>
      </c>
    </row>
    <row r="123" spans="151:230" ht="16.5" x14ac:dyDescent="0.2">
      <c r="EU123" s="13">
        <v>118</v>
      </c>
      <c r="EV123" s="14">
        <f t="shared" si="174"/>
        <v>1</v>
      </c>
      <c r="EW123" s="14">
        <f t="shared" si="175"/>
        <v>118</v>
      </c>
      <c r="EX123" s="14">
        <f t="shared" si="176"/>
        <v>16</v>
      </c>
      <c r="EY123" s="14">
        <f t="shared" si="151"/>
        <v>10</v>
      </c>
      <c r="EZ123" s="14">
        <f t="shared" si="152"/>
        <v>4</v>
      </c>
      <c r="FA123" s="14">
        <f t="shared" si="153"/>
        <v>70</v>
      </c>
      <c r="FB123" s="14">
        <f t="shared" si="154"/>
        <v>1</v>
      </c>
      <c r="FC123" s="14">
        <f t="shared" si="155"/>
        <v>2</v>
      </c>
      <c r="FD123" s="14">
        <f t="shared" si="156"/>
        <v>2</v>
      </c>
      <c r="FE123" s="14" t="b">
        <f t="shared" si="177"/>
        <v>0</v>
      </c>
      <c r="FF123" s="14">
        <f t="shared" si="157"/>
        <v>2004102</v>
      </c>
      <c r="FG123" s="13" t="str">
        <f t="shared" si="158"/>
        <v>70级-普通寄灵人の头盔</v>
      </c>
      <c r="FH123" s="14">
        <f t="shared" si="159"/>
        <v>1</v>
      </c>
      <c r="FI123" s="14">
        <f t="shared" si="160"/>
        <v>1</v>
      </c>
      <c r="FJ123" s="14">
        <f t="shared" si="161"/>
        <v>70</v>
      </c>
      <c r="FK123" s="14">
        <v>1</v>
      </c>
      <c r="FL123" s="14">
        <f t="shared" si="162"/>
        <v>4</v>
      </c>
      <c r="FM123" s="14">
        <f t="shared" si="178"/>
        <v>2</v>
      </c>
      <c r="FN123" s="14" t="str">
        <f t="shared" si="163"/>
        <v/>
      </c>
      <c r="FO123" s="14">
        <f t="shared" si="164"/>
        <v>40</v>
      </c>
      <c r="FP123" s="14">
        <f t="shared" si="179"/>
        <v>0</v>
      </c>
      <c r="FQ123" s="14">
        <f t="shared" si="180"/>
        <v>65</v>
      </c>
      <c r="FR123" s="14">
        <f t="shared" si="181"/>
        <v>0</v>
      </c>
      <c r="FS123" s="14">
        <f t="shared" si="182"/>
        <v>0</v>
      </c>
      <c r="FT123" s="14">
        <f t="shared" si="183"/>
        <v>4</v>
      </c>
      <c r="FU123" s="14">
        <f t="shared" si="184"/>
        <v>0</v>
      </c>
      <c r="FV123" s="14">
        <f t="shared" si="165"/>
        <v>1041</v>
      </c>
      <c r="FW123" s="14">
        <f t="shared" si="166"/>
        <v>0</v>
      </c>
      <c r="FX123" s="14" t="str">
        <f t="shared" si="167"/>
        <v/>
      </c>
      <c r="FY123" s="25" t="str">
        <f t="shared" si="185"/>
        <v>icon_2004102</v>
      </c>
      <c r="GC123" s="14">
        <f t="shared" si="168"/>
        <v>2</v>
      </c>
      <c r="GD123" s="14">
        <f t="shared" si="169"/>
        <v>0</v>
      </c>
      <c r="GE123" s="14">
        <f t="shared" si="186"/>
        <v>40</v>
      </c>
      <c r="GF123" s="14" t="str">
        <f t="shared" si="170"/>
        <v>DefExt</v>
      </c>
      <c r="GG123" s="14">
        <f t="shared" si="187"/>
        <v>65</v>
      </c>
      <c r="GH123" s="14">
        <f t="shared" si="188"/>
        <v>4</v>
      </c>
      <c r="GI123" s="14" t="str">
        <f t="shared" si="171"/>
        <v/>
      </c>
      <c r="GJ123" s="14" t="str">
        <f t="shared" si="189"/>
        <v/>
      </c>
      <c r="GK123" s="14" t="str">
        <f t="shared" si="190"/>
        <v/>
      </c>
      <c r="GL123" s="14">
        <f t="shared" si="172"/>
        <v>20410</v>
      </c>
      <c r="GM123" s="14">
        <f t="shared" si="191"/>
        <v>0</v>
      </c>
      <c r="GN123" s="14" t="str">
        <f t="shared" si="192"/>
        <v/>
      </c>
      <c r="GO123" s="25" t="s">
        <v>1471</v>
      </c>
      <c r="GP123" s="14">
        <f t="shared" si="173"/>
        <v>15</v>
      </c>
      <c r="HK123" s="13">
        <v>118</v>
      </c>
      <c r="HL123" s="14">
        <f t="shared" si="202"/>
        <v>5</v>
      </c>
      <c r="HM123" s="14">
        <f t="shared" si="203"/>
        <v>1</v>
      </c>
      <c r="HN123" s="14">
        <f t="shared" si="204"/>
        <v>5</v>
      </c>
      <c r="HO123" s="14">
        <f t="shared" si="205"/>
        <v>4</v>
      </c>
      <c r="HP123" s="14" t="str">
        <f t="shared" si="206"/>
        <v>90级寄灵人洗练-Q4-10</v>
      </c>
      <c r="HQ123" s="14">
        <f t="shared" si="207"/>
        <v>1054</v>
      </c>
      <c r="HR123" s="14">
        <f t="shared" si="208"/>
        <v>10</v>
      </c>
      <c r="HS123" s="14">
        <f t="shared" si="209"/>
        <v>500</v>
      </c>
      <c r="HT123" s="14" t="str">
        <f t="shared" si="210"/>
        <v>Block</v>
      </c>
      <c r="HU123" s="14">
        <f t="shared" si="211"/>
        <v>1.0999999999999999E-2</v>
      </c>
      <c r="HV123" s="14">
        <f t="shared" si="212"/>
        <v>0.03</v>
      </c>
    </row>
    <row r="124" spans="151:230" ht="16.5" x14ac:dyDescent="0.2">
      <c r="EU124" s="13">
        <v>119</v>
      </c>
      <c r="EV124" s="14">
        <f t="shared" si="174"/>
        <v>1</v>
      </c>
      <c r="EW124" s="14">
        <f t="shared" si="175"/>
        <v>119</v>
      </c>
      <c r="EX124" s="14">
        <f t="shared" si="176"/>
        <v>16</v>
      </c>
      <c r="EY124" s="14">
        <f t="shared" si="151"/>
        <v>10</v>
      </c>
      <c r="EZ124" s="14">
        <f t="shared" si="152"/>
        <v>4</v>
      </c>
      <c r="FA124" s="14">
        <f t="shared" si="153"/>
        <v>70</v>
      </c>
      <c r="FB124" s="14">
        <f t="shared" si="154"/>
        <v>1</v>
      </c>
      <c r="FC124" s="14">
        <f t="shared" si="155"/>
        <v>3</v>
      </c>
      <c r="FD124" s="14">
        <f t="shared" si="156"/>
        <v>3</v>
      </c>
      <c r="FE124" s="14" t="b">
        <f t="shared" si="177"/>
        <v>0</v>
      </c>
      <c r="FF124" s="14">
        <f t="shared" si="157"/>
        <v>2004103</v>
      </c>
      <c r="FG124" s="13" t="str">
        <f t="shared" si="158"/>
        <v>70级-普通寄灵人の铠甲</v>
      </c>
      <c r="FH124" s="14">
        <f t="shared" si="159"/>
        <v>1</v>
      </c>
      <c r="FI124" s="14">
        <f t="shared" si="160"/>
        <v>1</v>
      </c>
      <c r="FJ124" s="14">
        <f t="shared" si="161"/>
        <v>70</v>
      </c>
      <c r="FK124" s="14">
        <v>1</v>
      </c>
      <c r="FL124" s="14">
        <f t="shared" si="162"/>
        <v>4</v>
      </c>
      <c r="FM124" s="14">
        <f t="shared" si="178"/>
        <v>3</v>
      </c>
      <c r="FN124" s="14" t="str">
        <f t="shared" si="163"/>
        <v/>
      </c>
      <c r="FO124" s="14">
        <f t="shared" si="164"/>
        <v>47</v>
      </c>
      <c r="FP124" s="14">
        <f t="shared" si="179"/>
        <v>0</v>
      </c>
      <c r="FQ124" s="14">
        <f t="shared" si="180"/>
        <v>30</v>
      </c>
      <c r="FR124" s="14">
        <f t="shared" si="181"/>
        <v>485</v>
      </c>
      <c r="FS124" s="14">
        <f t="shared" si="182"/>
        <v>0</v>
      </c>
      <c r="FT124" s="14">
        <f t="shared" si="183"/>
        <v>2</v>
      </c>
      <c r="FU124" s="14">
        <f t="shared" si="184"/>
        <v>27</v>
      </c>
      <c r="FV124" s="14">
        <f t="shared" si="165"/>
        <v>1041</v>
      </c>
      <c r="FW124" s="14">
        <f t="shared" si="166"/>
        <v>0</v>
      </c>
      <c r="FX124" s="14" t="str">
        <f t="shared" si="167"/>
        <v/>
      </c>
      <c r="FY124" s="25" t="str">
        <f t="shared" si="185"/>
        <v>icon_2004103</v>
      </c>
      <c r="GC124" s="14">
        <f t="shared" si="168"/>
        <v>2</v>
      </c>
      <c r="GD124" s="14">
        <f t="shared" si="169"/>
        <v>3</v>
      </c>
      <c r="GE124" s="14">
        <f t="shared" si="186"/>
        <v>47</v>
      </c>
      <c r="GF124" s="14" t="str">
        <f t="shared" si="170"/>
        <v>DefExt</v>
      </c>
      <c r="GG124" s="14">
        <f t="shared" si="187"/>
        <v>30</v>
      </c>
      <c r="GH124" s="14">
        <f t="shared" si="188"/>
        <v>2</v>
      </c>
      <c r="GI124" s="14" t="str">
        <f t="shared" si="171"/>
        <v>HPExt</v>
      </c>
      <c r="GJ124" s="14">
        <f t="shared" si="189"/>
        <v>485</v>
      </c>
      <c r="GK124" s="14">
        <f t="shared" si="190"/>
        <v>27</v>
      </c>
      <c r="GL124" s="14">
        <f t="shared" si="172"/>
        <v>20410</v>
      </c>
      <c r="GM124" s="14">
        <f t="shared" si="191"/>
        <v>0</v>
      </c>
      <c r="GN124" s="14" t="str">
        <f t="shared" si="192"/>
        <v/>
      </c>
      <c r="GO124" s="25" t="s">
        <v>1471</v>
      </c>
      <c r="GP124" s="14">
        <f t="shared" si="173"/>
        <v>15</v>
      </c>
      <c r="HK124" s="13">
        <v>119</v>
      </c>
      <c r="HL124" s="14">
        <f t="shared" si="202"/>
        <v>5</v>
      </c>
      <c r="HM124" s="14">
        <f t="shared" si="203"/>
        <v>1</v>
      </c>
      <c r="HN124" s="14">
        <f t="shared" si="204"/>
        <v>5</v>
      </c>
      <c r="HO124" s="14">
        <f t="shared" si="205"/>
        <v>4</v>
      </c>
      <c r="HP124" s="14" t="str">
        <f t="shared" si="206"/>
        <v>90级寄灵人洗练-Q4-11</v>
      </c>
      <c r="HQ124" s="14">
        <f t="shared" si="207"/>
        <v>1054</v>
      </c>
      <c r="HR124" s="14">
        <f t="shared" si="208"/>
        <v>11</v>
      </c>
      <c r="HS124" s="14">
        <f t="shared" si="209"/>
        <v>500</v>
      </c>
      <c r="HT124" s="14" t="str">
        <f t="shared" si="210"/>
        <v>EffectHit</v>
      </c>
      <c r="HU124" s="14">
        <f t="shared" si="211"/>
        <v>1.7999999999999999E-2</v>
      </c>
      <c r="HV124" s="14">
        <f t="shared" si="212"/>
        <v>0.05</v>
      </c>
    </row>
    <row r="125" spans="151:230" ht="16.5" x14ac:dyDescent="0.2">
      <c r="EU125" s="13">
        <v>120</v>
      </c>
      <c r="EV125" s="14">
        <f t="shared" si="174"/>
        <v>1</v>
      </c>
      <c r="EW125" s="14">
        <f t="shared" si="175"/>
        <v>120</v>
      </c>
      <c r="EX125" s="14">
        <f t="shared" si="176"/>
        <v>16</v>
      </c>
      <c r="EY125" s="14">
        <f t="shared" si="151"/>
        <v>10</v>
      </c>
      <c r="EZ125" s="14">
        <f t="shared" si="152"/>
        <v>4</v>
      </c>
      <c r="FA125" s="14">
        <f t="shared" si="153"/>
        <v>70</v>
      </c>
      <c r="FB125" s="14">
        <f t="shared" si="154"/>
        <v>1</v>
      </c>
      <c r="FC125" s="14">
        <f t="shared" si="155"/>
        <v>4</v>
      </c>
      <c r="FD125" s="14">
        <f t="shared" si="156"/>
        <v>4</v>
      </c>
      <c r="FE125" s="14" t="b">
        <f t="shared" si="177"/>
        <v>0</v>
      </c>
      <c r="FF125" s="14">
        <f t="shared" si="157"/>
        <v>2004104</v>
      </c>
      <c r="FG125" s="13" t="str">
        <f t="shared" si="158"/>
        <v>70级-普通寄灵人の裤子</v>
      </c>
      <c r="FH125" s="14">
        <f t="shared" si="159"/>
        <v>1</v>
      </c>
      <c r="FI125" s="14">
        <f t="shared" si="160"/>
        <v>1</v>
      </c>
      <c r="FJ125" s="14">
        <f t="shared" si="161"/>
        <v>70</v>
      </c>
      <c r="FK125" s="14">
        <v>1</v>
      </c>
      <c r="FL125" s="14">
        <f t="shared" si="162"/>
        <v>4</v>
      </c>
      <c r="FM125" s="14">
        <f t="shared" si="178"/>
        <v>4</v>
      </c>
      <c r="FN125" s="14" t="str">
        <f t="shared" si="163"/>
        <v/>
      </c>
      <c r="FO125" s="14">
        <f t="shared" si="164"/>
        <v>40</v>
      </c>
      <c r="FP125" s="14">
        <f t="shared" si="179"/>
        <v>0</v>
      </c>
      <c r="FQ125" s="14">
        <f t="shared" si="180"/>
        <v>65</v>
      </c>
      <c r="FR125" s="14">
        <f t="shared" si="181"/>
        <v>0</v>
      </c>
      <c r="FS125" s="14">
        <f t="shared" si="182"/>
        <v>0</v>
      </c>
      <c r="FT125" s="14">
        <f t="shared" si="183"/>
        <v>4</v>
      </c>
      <c r="FU125" s="14">
        <f t="shared" si="184"/>
        <v>0</v>
      </c>
      <c r="FV125" s="14">
        <f t="shared" si="165"/>
        <v>1041</v>
      </c>
      <c r="FW125" s="14">
        <f t="shared" si="166"/>
        <v>0</v>
      </c>
      <c r="FX125" s="14" t="str">
        <f t="shared" si="167"/>
        <v/>
      </c>
      <c r="FY125" s="25" t="str">
        <f t="shared" si="185"/>
        <v>icon_2004104</v>
      </c>
      <c r="GC125" s="14">
        <f t="shared" si="168"/>
        <v>2</v>
      </c>
      <c r="GD125" s="14">
        <f t="shared" si="169"/>
        <v>0</v>
      </c>
      <c r="GE125" s="14">
        <f t="shared" si="186"/>
        <v>40</v>
      </c>
      <c r="GF125" s="14" t="str">
        <f t="shared" si="170"/>
        <v>DefExt</v>
      </c>
      <c r="GG125" s="14">
        <f t="shared" si="187"/>
        <v>65</v>
      </c>
      <c r="GH125" s="14">
        <f t="shared" si="188"/>
        <v>4</v>
      </c>
      <c r="GI125" s="14" t="str">
        <f t="shared" si="171"/>
        <v/>
      </c>
      <c r="GJ125" s="14" t="str">
        <f t="shared" si="189"/>
        <v/>
      </c>
      <c r="GK125" s="14" t="str">
        <f t="shared" si="190"/>
        <v/>
      </c>
      <c r="GL125" s="14">
        <f t="shared" si="172"/>
        <v>20410</v>
      </c>
      <c r="GM125" s="14">
        <f t="shared" si="191"/>
        <v>0</v>
      </c>
      <c r="GN125" s="14" t="str">
        <f t="shared" si="192"/>
        <v/>
      </c>
      <c r="GO125" s="25" t="s">
        <v>1471</v>
      </c>
      <c r="GP125" s="14">
        <f t="shared" si="173"/>
        <v>15</v>
      </c>
      <c r="HK125" s="13">
        <v>120</v>
      </c>
      <c r="HL125" s="14">
        <f t="shared" si="202"/>
        <v>5</v>
      </c>
      <c r="HM125" s="14">
        <f t="shared" si="203"/>
        <v>1</v>
      </c>
      <c r="HN125" s="14">
        <f t="shared" si="204"/>
        <v>5</v>
      </c>
      <c r="HO125" s="14">
        <f t="shared" si="205"/>
        <v>4</v>
      </c>
      <c r="HP125" s="14" t="str">
        <f t="shared" si="206"/>
        <v>90级寄灵人洗练-Q4-12</v>
      </c>
      <c r="HQ125" s="14">
        <f t="shared" si="207"/>
        <v>1054</v>
      </c>
      <c r="HR125" s="14">
        <f t="shared" si="208"/>
        <v>12</v>
      </c>
      <c r="HS125" s="14">
        <f t="shared" si="209"/>
        <v>500</v>
      </c>
      <c r="HT125" s="14" t="str">
        <f t="shared" si="210"/>
        <v>EffectResist</v>
      </c>
      <c r="HU125" s="14">
        <f t="shared" si="211"/>
        <v>1.7999999999999999E-2</v>
      </c>
      <c r="HV125" s="14">
        <f t="shared" si="212"/>
        <v>0.05</v>
      </c>
    </row>
    <row r="126" spans="151:230" ht="16.5" x14ac:dyDescent="0.2">
      <c r="EU126" s="13">
        <v>121</v>
      </c>
      <c r="EV126" s="14">
        <f t="shared" si="174"/>
        <v>1</v>
      </c>
      <c r="EW126" s="14">
        <f t="shared" si="175"/>
        <v>121</v>
      </c>
      <c r="EX126" s="14">
        <f t="shared" si="176"/>
        <v>16</v>
      </c>
      <c r="EY126" s="14">
        <f t="shared" si="151"/>
        <v>10</v>
      </c>
      <c r="EZ126" s="14">
        <f t="shared" si="152"/>
        <v>4</v>
      </c>
      <c r="FA126" s="14">
        <f t="shared" si="153"/>
        <v>70</v>
      </c>
      <c r="FB126" s="14">
        <f t="shared" si="154"/>
        <v>1</v>
      </c>
      <c r="FC126" s="14">
        <f t="shared" si="155"/>
        <v>5</v>
      </c>
      <c r="FD126" s="14">
        <f t="shared" si="156"/>
        <v>5</v>
      </c>
      <c r="FE126" s="14" t="b">
        <f t="shared" si="177"/>
        <v>0</v>
      </c>
      <c r="FF126" s="14">
        <f t="shared" si="157"/>
        <v>2004105</v>
      </c>
      <c r="FG126" s="13" t="str">
        <f t="shared" si="158"/>
        <v>70级-普通寄灵人の鞋子</v>
      </c>
      <c r="FH126" s="14">
        <f t="shared" si="159"/>
        <v>1</v>
      </c>
      <c r="FI126" s="14">
        <f t="shared" si="160"/>
        <v>1</v>
      </c>
      <c r="FJ126" s="14">
        <f t="shared" si="161"/>
        <v>70</v>
      </c>
      <c r="FK126" s="14">
        <v>1</v>
      </c>
      <c r="FL126" s="14">
        <f t="shared" si="162"/>
        <v>4</v>
      </c>
      <c r="FM126" s="14">
        <f t="shared" si="178"/>
        <v>5</v>
      </c>
      <c r="FN126" s="14" t="str">
        <f t="shared" si="163"/>
        <v/>
      </c>
      <c r="FO126" s="14">
        <f t="shared" si="164"/>
        <v>54</v>
      </c>
      <c r="FP126" s="14">
        <f t="shared" si="179"/>
        <v>0</v>
      </c>
      <c r="FQ126" s="14">
        <f t="shared" si="180"/>
        <v>0</v>
      </c>
      <c r="FR126" s="14">
        <f t="shared" si="181"/>
        <v>970</v>
      </c>
      <c r="FS126" s="14">
        <f t="shared" si="182"/>
        <v>0</v>
      </c>
      <c r="FT126" s="14">
        <f t="shared" si="183"/>
        <v>0</v>
      </c>
      <c r="FU126" s="14">
        <f t="shared" si="184"/>
        <v>54</v>
      </c>
      <c r="FV126" s="14">
        <f t="shared" si="165"/>
        <v>1041</v>
      </c>
      <c r="FW126" s="14">
        <f t="shared" si="166"/>
        <v>0</v>
      </c>
      <c r="FX126" s="14" t="str">
        <f t="shared" si="167"/>
        <v/>
      </c>
      <c r="FY126" s="25" t="str">
        <f t="shared" si="185"/>
        <v>icon_2004105</v>
      </c>
      <c r="GC126" s="14">
        <f t="shared" si="168"/>
        <v>3</v>
      </c>
      <c r="GD126" s="14">
        <f t="shared" si="169"/>
        <v>0</v>
      </c>
      <c r="GE126" s="14">
        <f t="shared" si="186"/>
        <v>54</v>
      </c>
      <c r="GF126" s="14" t="str">
        <f t="shared" si="170"/>
        <v>HPExt</v>
      </c>
      <c r="GG126" s="14">
        <f t="shared" si="187"/>
        <v>970</v>
      </c>
      <c r="GH126" s="14">
        <f t="shared" si="188"/>
        <v>54</v>
      </c>
      <c r="GI126" s="14" t="str">
        <f t="shared" si="171"/>
        <v/>
      </c>
      <c r="GJ126" s="14" t="str">
        <f t="shared" si="189"/>
        <v/>
      </c>
      <c r="GK126" s="14" t="str">
        <f t="shared" si="190"/>
        <v/>
      </c>
      <c r="GL126" s="14">
        <f t="shared" si="172"/>
        <v>20410</v>
      </c>
      <c r="GM126" s="14">
        <f t="shared" si="191"/>
        <v>0</v>
      </c>
      <c r="GN126" s="14" t="str">
        <f t="shared" si="192"/>
        <v/>
      </c>
      <c r="GO126" s="25" t="s">
        <v>1471</v>
      </c>
      <c r="GP126" s="14">
        <f t="shared" si="173"/>
        <v>15</v>
      </c>
      <c r="HK126" s="13">
        <v>121</v>
      </c>
      <c r="HL126" s="14">
        <f t="shared" si="202"/>
        <v>6</v>
      </c>
      <c r="HM126" s="14">
        <f t="shared" si="203"/>
        <v>1</v>
      </c>
      <c r="HN126" s="14">
        <f t="shared" si="204"/>
        <v>6</v>
      </c>
      <c r="HO126" s="14">
        <f t="shared" si="205"/>
        <v>3</v>
      </c>
      <c r="HP126" s="14" t="str">
        <f t="shared" si="206"/>
        <v>100级寄灵人洗练-Q3-1</v>
      </c>
      <c r="HQ126" s="14">
        <f t="shared" si="207"/>
        <v>1063</v>
      </c>
      <c r="HR126" s="14">
        <f t="shared" si="208"/>
        <v>1</v>
      </c>
      <c r="HS126" s="14">
        <f t="shared" si="209"/>
        <v>1800</v>
      </c>
      <c r="HT126" s="14" t="str">
        <f t="shared" si="210"/>
        <v>AtkExt</v>
      </c>
      <c r="HU126" s="14">
        <f t="shared" si="211"/>
        <v>157</v>
      </c>
      <c r="HV126" s="14">
        <f t="shared" si="212"/>
        <v>451</v>
      </c>
    </row>
    <row r="127" spans="151:230" ht="16.5" x14ac:dyDescent="0.2">
      <c r="EU127" s="13">
        <v>122</v>
      </c>
      <c r="EV127" s="14">
        <f t="shared" si="174"/>
        <v>1</v>
      </c>
      <c r="EW127" s="14">
        <f t="shared" si="175"/>
        <v>122</v>
      </c>
      <c r="EX127" s="14">
        <f t="shared" si="176"/>
        <v>16</v>
      </c>
      <c r="EY127" s="14">
        <f t="shared" si="151"/>
        <v>10</v>
      </c>
      <c r="EZ127" s="14">
        <f t="shared" si="152"/>
        <v>4</v>
      </c>
      <c r="FA127" s="14">
        <f t="shared" si="153"/>
        <v>70</v>
      </c>
      <c r="FB127" s="14">
        <f t="shared" si="154"/>
        <v>1</v>
      </c>
      <c r="FC127" s="14">
        <f t="shared" si="155"/>
        <v>6</v>
      </c>
      <c r="FD127" s="14">
        <f t="shared" si="156"/>
        <v>6</v>
      </c>
      <c r="FE127" s="14" t="b">
        <f t="shared" si="177"/>
        <v>0</v>
      </c>
      <c r="FF127" s="14">
        <f t="shared" si="157"/>
        <v>2004106</v>
      </c>
      <c r="FG127" s="13" t="str">
        <f t="shared" si="158"/>
        <v>70级-普通寄灵人の护手</v>
      </c>
      <c r="FH127" s="14">
        <f t="shared" si="159"/>
        <v>1</v>
      </c>
      <c r="FI127" s="14">
        <f t="shared" si="160"/>
        <v>1</v>
      </c>
      <c r="FJ127" s="14">
        <f t="shared" si="161"/>
        <v>70</v>
      </c>
      <c r="FK127" s="14">
        <v>1</v>
      </c>
      <c r="FL127" s="14">
        <f t="shared" si="162"/>
        <v>4</v>
      </c>
      <c r="FM127" s="14">
        <f t="shared" si="178"/>
        <v>6</v>
      </c>
      <c r="FN127" s="14" t="str">
        <f t="shared" si="163"/>
        <v/>
      </c>
      <c r="FO127" s="14">
        <f t="shared" si="164"/>
        <v>54</v>
      </c>
      <c r="FP127" s="14">
        <f t="shared" si="179"/>
        <v>0</v>
      </c>
      <c r="FQ127" s="14">
        <f t="shared" si="180"/>
        <v>0</v>
      </c>
      <c r="FR127" s="14">
        <f t="shared" si="181"/>
        <v>970</v>
      </c>
      <c r="FS127" s="14">
        <f t="shared" si="182"/>
        <v>0</v>
      </c>
      <c r="FT127" s="14">
        <f t="shared" si="183"/>
        <v>0</v>
      </c>
      <c r="FU127" s="14">
        <f t="shared" si="184"/>
        <v>54</v>
      </c>
      <c r="FV127" s="14">
        <f t="shared" si="165"/>
        <v>1041</v>
      </c>
      <c r="FW127" s="14">
        <f t="shared" si="166"/>
        <v>0</v>
      </c>
      <c r="FX127" s="14" t="str">
        <f t="shared" si="167"/>
        <v/>
      </c>
      <c r="FY127" s="25" t="str">
        <f t="shared" si="185"/>
        <v>icon_2004106</v>
      </c>
      <c r="GC127" s="14">
        <f t="shared" si="168"/>
        <v>3</v>
      </c>
      <c r="GD127" s="14">
        <f t="shared" si="169"/>
        <v>0</v>
      </c>
      <c r="GE127" s="14">
        <f t="shared" si="186"/>
        <v>54</v>
      </c>
      <c r="GF127" s="14" t="str">
        <f t="shared" si="170"/>
        <v>HPExt</v>
      </c>
      <c r="GG127" s="14">
        <f t="shared" si="187"/>
        <v>970</v>
      </c>
      <c r="GH127" s="14">
        <f t="shared" si="188"/>
        <v>54</v>
      </c>
      <c r="GI127" s="14" t="str">
        <f t="shared" si="171"/>
        <v/>
      </c>
      <c r="GJ127" s="14" t="str">
        <f t="shared" si="189"/>
        <v/>
      </c>
      <c r="GK127" s="14" t="str">
        <f t="shared" si="190"/>
        <v/>
      </c>
      <c r="GL127" s="14">
        <f t="shared" si="172"/>
        <v>20410</v>
      </c>
      <c r="GM127" s="14">
        <f t="shared" si="191"/>
        <v>0</v>
      </c>
      <c r="GN127" s="14" t="str">
        <f t="shared" si="192"/>
        <v/>
      </c>
      <c r="GO127" s="25" t="s">
        <v>1471</v>
      </c>
      <c r="GP127" s="14">
        <f t="shared" si="173"/>
        <v>15</v>
      </c>
      <c r="HK127" s="13">
        <v>122</v>
      </c>
      <c r="HL127" s="14">
        <f t="shared" si="202"/>
        <v>6</v>
      </c>
      <c r="HM127" s="14">
        <f t="shared" si="203"/>
        <v>1</v>
      </c>
      <c r="HN127" s="14">
        <f t="shared" si="204"/>
        <v>6</v>
      </c>
      <c r="HO127" s="14">
        <f t="shared" si="205"/>
        <v>3</v>
      </c>
      <c r="HP127" s="14" t="str">
        <f t="shared" si="206"/>
        <v>100级寄灵人洗练-Q3-2</v>
      </c>
      <c r="HQ127" s="14">
        <f t="shared" si="207"/>
        <v>1063</v>
      </c>
      <c r="HR127" s="14">
        <f t="shared" si="208"/>
        <v>2</v>
      </c>
      <c r="HS127" s="14">
        <f t="shared" si="209"/>
        <v>1800</v>
      </c>
      <c r="HT127" s="14" t="str">
        <f t="shared" si="210"/>
        <v>DefExt</v>
      </c>
      <c r="HU127" s="14">
        <f t="shared" si="211"/>
        <v>55</v>
      </c>
      <c r="HV127" s="14">
        <f t="shared" si="212"/>
        <v>158</v>
      </c>
    </row>
    <row r="128" spans="151:230" ht="16.5" x14ac:dyDescent="0.2">
      <c r="EU128" s="13">
        <v>123</v>
      </c>
      <c r="EV128" s="14">
        <f t="shared" si="174"/>
        <v>1</v>
      </c>
      <c r="EW128" s="14">
        <f t="shared" si="175"/>
        <v>123</v>
      </c>
      <c r="EX128" s="14">
        <f t="shared" si="176"/>
        <v>16</v>
      </c>
      <c r="EY128" s="14">
        <f t="shared" si="151"/>
        <v>10</v>
      </c>
      <c r="EZ128" s="14">
        <f t="shared" si="152"/>
        <v>4</v>
      </c>
      <c r="FA128" s="14">
        <f t="shared" si="153"/>
        <v>70</v>
      </c>
      <c r="FB128" s="14">
        <f t="shared" si="154"/>
        <v>1</v>
      </c>
      <c r="FC128" s="14">
        <f t="shared" si="155"/>
        <v>7</v>
      </c>
      <c r="FD128" s="14">
        <f t="shared" si="156"/>
        <v>7</v>
      </c>
      <c r="FE128" s="14" t="b">
        <f t="shared" si="177"/>
        <v>0</v>
      </c>
      <c r="FF128" s="14">
        <f t="shared" si="157"/>
        <v>2004107</v>
      </c>
      <c r="FG128" s="13" t="str">
        <f t="shared" si="158"/>
        <v>70级-普通寄灵人の项链</v>
      </c>
      <c r="FH128" s="14">
        <f t="shared" si="159"/>
        <v>1</v>
      </c>
      <c r="FI128" s="14">
        <f t="shared" si="160"/>
        <v>1</v>
      </c>
      <c r="FJ128" s="14">
        <f t="shared" si="161"/>
        <v>70</v>
      </c>
      <c r="FK128" s="14">
        <v>1</v>
      </c>
      <c r="FL128" s="14">
        <f t="shared" si="162"/>
        <v>4</v>
      </c>
      <c r="FM128" s="14">
        <f t="shared" si="178"/>
        <v>7</v>
      </c>
      <c r="FN128" s="14" t="str">
        <f t="shared" si="163"/>
        <v/>
      </c>
      <c r="FO128" s="14">
        <f t="shared" si="164"/>
        <v>55</v>
      </c>
      <c r="FP128" s="14">
        <f t="shared" si="179"/>
        <v>85</v>
      </c>
      <c r="FQ128" s="14">
        <f t="shared" si="180"/>
        <v>55</v>
      </c>
      <c r="FR128" s="14">
        <f t="shared" si="181"/>
        <v>0</v>
      </c>
      <c r="FS128" s="14">
        <f t="shared" si="182"/>
        <v>5</v>
      </c>
      <c r="FT128" s="14">
        <f t="shared" si="183"/>
        <v>3</v>
      </c>
      <c r="FU128" s="14">
        <f t="shared" si="184"/>
        <v>0</v>
      </c>
      <c r="FV128" s="14">
        <f t="shared" si="165"/>
        <v>1041</v>
      </c>
      <c r="FW128" s="14">
        <f t="shared" si="166"/>
        <v>0</v>
      </c>
      <c r="FX128" s="14" t="str">
        <f t="shared" si="167"/>
        <v/>
      </c>
      <c r="FY128" s="25" t="str">
        <f t="shared" si="185"/>
        <v>icon_2004107</v>
      </c>
      <c r="GC128" s="14">
        <f t="shared" si="168"/>
        <v>1</v>
      </c>
      <c r="GD128" s="14">
        <f t="shared" si="169"/>
        <v>2</v>
      </c>
      <c r="GE128" s="14">
        <f t="shared" si="186"/>
        <v>55</v>
      </c>
      <c r="GF128" s="14" t="str">
        <f t="shared" si="170"/>
        <v>AtkExt</v>
      </c>
      <c r="GG128" s="14">
        <f t="shared" si="187"/>
        <v>85</v>
      </c>
      <c r="GH128" s="14">
        <f t="shared" si="188"/>
        <v>5</v>
      </c>
      <c r="GI128" s="14" t="str">
        <f t="shared" si="171"/>
        <v>DefExt</v>
      </c>
      <c r="GJ128" s="14">
        <f t="shared" si="189"/>
        <v>55</v>
      </c>
      <c r="GK128" s="14">
        <f t="shared" si="190"/>
        <v>3</v>
      </c>
      <c r="GL128" s="14">
        <f t="shared" si="172"/>
        <v>20410</v>
      </c>
      <c r="GM128" s="14">
        <f t="shared" si="191"/>
        <v>0</v>
      </c>
      <c r="GN128" s="14" t="str">
        <f t="shared" si="192"/>
        <v/>
      </c>
      <c r="GO128" s="25" t="s">
        <v>1471</v>
      </c>
      <c r="GP128" s="14">
        <f t="shared" si="173"/>
        <v>23</v>
      </c>
      <c r="HK128" s="13">
        <v>123</v>
      </c>
      <c r="HL128" s="14">
        <f t="shared" si="202"/>
        <v>6</v>
      </c>
      <c r="HM128" s="14">
        <f t="shared" si="203"/>
        <v>1</v>
      </c>
      <c r="HN128" s="14">
        <f t="shared" si="204"/>
        <v>6</v>
      </c>
      <c r="HO128" s="14">
        <f t="shared" si="205"/>
        <v>3</v>
      </c>
      <c r="HP128" s="14" t="str">
        <f t="shared" si="206"/>
        <v>100级寄灵人洗练-Q3-3</v>
      </c>
      <c r="HQ128" s="14">
        <f t="shared" si="207"/>
        <v>1063</v>
      </c>
      <c r="HR128" s="14">
        <f t="shared" si="208"/>
        <v>3</v>
      </c>
      <c r="HS128" s="14">
        <f t="shared" si="209"/>
        <v>2000</v>
      </c>
      <c r="HT128" s="14" t="str">
        <f t="shared" si="210"/>
        <v>HPExt</v>
      </c>
      <c r="HU128" s="14">
        <f t="shared" si="211"/>
        <v>1127</v>
      </c>
      <c r="HV128" s="14">
        <f t="shared" si="212"/>
        <v>3222</v>
      </c>
    </row>
    <row r="129" spans="151:230" ht="16.5" x14ac:dyDescent="0.2">
      <c r="EU129" s="13">
        <v>124</v>
      </c>
      <c r="EV129" s="14">
        <f t="shared" si="174"/>
        <v>1</v>
      </c>
      <c r="EW129" s="14">
        <f t="shared" si="175"/>
        <v>124</v>
      </c>
      <c r="EX129" s="14">
        <f t="shared" si="176"/>
        <v>16</v>
      </c>
      <c r="EY129" s="14">
        <f t="shared" si="151"/>
        <v>10</v>
      </c>
      <c r="EZ129" s="14">
        <f t="shared" si="152"/>
        <v>4</v>
      </c>
      <c r="FA129" s="14">
        <f t="shared" si="153"/>
        <v>70</v>
      </c>
      <c r="FB129" s="14">
        <f t="shared" si="154"/>
        <v>1</v>
      </c>
      <c r="FC129" s="14">
        <f t="shared" si="155"/>
        <v>8</v>
      </c>
      <c r="FD129" s="14">
        <f t="shared" si="156"/>
        <v>8</v>
      </c>
      <c r="FE129" s="14" t="b">
        <f t="shared" si="177"/>
        <v>0</v>
      </c>
      <c r="FF129" s="14">
        <f t="shared" si="157"/>
        <v>2004108</v>
      </c>
      <c r="FG129" s="13" t="str">
        <f t="shared" si="158"/>
        <v>70级-普通寄灵人の戒指</v>
      </c>
      <c r="FH129" s="14">
        <f t="shared" si="159"/>
        <v>1</v>
      </c>
      <c r="FI129" s="14">
        <f t="shared" si="160"/>
        <v>1</v>
      </c>
      <c r="FJ129" s="14">
        <f t="shared" si="161"/>
        <v>70</v>
      </c>
      <c r="FK129" s="14">
        <v>1</v>
      </c>
      <c r="FL129" s="14">
        <f t="shared" si="162"/>
        <v>4</v>
      </c>
      <c r="FM129" s="14">
        <f t="shared" si="178"/>
        <v>8</v>
      </c>
      <c r="FN129" s="14" t="str">
        <f t="shared" si="163"/>
        <v/>
      </c>
      <c r="FO129" s="14">
        <f t="shared" si="164"/>
        <v>70</v>
      </c>
      <c r="FP129" s="14">
        <f t="shared" si="179"/>
        <v>85</v>
      </c>
      <c r="FQ129" s="14">
        <f t="shared" si="180"/>
        <v>0</v>
      </c>
      <c r="FR129" s="14">
        <f t="shared" si="181"/>
        <v>810</v>
      </c>
      <c r="FS129" s="14">
        <f t="shared" si="182"/>
        <v>5</v>
      </c>
      <c r="FT129" s="14">
        <f t="shared" si="183"/>
        <v>0</v>
      </c>
      <c r="FU129" s="14">
        <f t="shared" si="184"/>
        <v>45</v>
      </c>
      <c r="FV129" s="14">
        <f t="shared" si="165"/>
        <v>1041</v>
      </c>
      <c r="FW129" s="14">
        <f t="shared" si="166"/>
        <v>0</v>
      </c>
      <c r="FX129" s="14" t="str">
        <f t="shared" si="167"/>
        <v/>
      </c>
      <c r="FY129" s="25" t="str">
        <f t="shared" si="185"/>
        <v>icon_2004108</v>
      </c>
      <c r="GC129" s="14">
        <f t="shared" si="168"/>
        <v>1</v>
      </c>
      <c r="GD129" s="14">
        <f t="shared" si="169"/>
        <v>3</v>
      </c>
      <c r="GE129" s="14">
        <f t="shared" si="186"/>
        <v>70</v>
      </c>
      <c r="GF129" s="14" t="str">
        <f t="shared" si="170"/>
        <v>AtkExt</v>
      </c>
      <c r="GG129" s="14">
        <f t="shared" si="187"/>
        <v>85</v>
      </c>
      <c r="GH129" s="14">
        <f t="shared" si="188"/>
        <v>5</v>
      </c>
      <c r="GI129" s="14" t="str">
        <f t="shared" si="171"/>
        <v>HPExt</v>
      </c>
      <c r="GJ129" s="14">
        <f t="shared" si="189"/>
        <v>810</v>
      </c>
      <c r="GK129" s="14">
        <f t="shared" si="190"/>
        <v>45</v>
      </c>
      <c r="GL129" s="14">
        <f t="shared" si="172"/>
        <v>20410</v>
      </c>
      <c r="GM129" s="14">
        <f t="shared" si="191"/>
        <v>0</v>
      </c>
      <c r="GN129" s="14" t="str">
        <f t="shared" si="192"/>
        <v/>
      </c>
      <c r="GO129" s="25" t="s">
        <v>1471</v>
      </c>
      <c r="GP129" s="14">
        <f t="shared" si="173"/>
        <v>23</v>
      </c>
      <c r="HK129" s="13">
        <v>124</v>
      </c>
      <c r="HL129" s="14">
        <f t="shared" si="202"/>
        <v>6</v>
      </c>
      <c r="HM129" s="14">
        <f t="shared" si="203"/>
        <v>1</v>
      </c>
      <c r="HN129" s="14">
        <f t="shared" si="204"/>
        <v>6</v>
      </c>
      <c r="HO129" s="14">
        <f t="shared" si="205"/>
        <v>3</v>
      </c>
      <c r="HP129" s="14" t="str">
        <f t="shared" si="206"/>
        <v>100级寄灵人洗练-Q3-4</v>
      </c>
      <c r="HQ129" s="14">
        <f t="shared" si="207"/>
        <v>1063</v>
      </c>
      <c r="HR129" s="14">
        <f t="shared" si="208"/>
        <v>4</v>
      </c>
      <c r="HS129" s="14">
        <f t="shared" si="209"/>
        <v>500</v>
      </c>
      <c r="HT129" s="14" t="str">
        <f t="shared" si="210"/>
        <v>AtkRate</v>
      </c>
      <c r="HU129" s="14">
        <f t="shared" si="211"/>
        <v>1.4E-2</v>
      </c>
      <c r="HV129" s="14">
        <f t="shared" si="212"/>
        <v>0.04</v>
      </c>
    </row>
    <row r="130" spans="151:230" ht="16.5" x14ac:dyDescent="0.2">
      <c r="EU130" s="13">
        <v>125</v>
      </c>
      <c r="EV130" s="14">
        <f t="shared" si="174"/>
        <v>1</v>
      </c>
      <c r="EW130" s="14">
        <f t="shared" si="175"/>
        <v>125</v>
      </c>
      <c r="EX130" s="14">
        <f t="shared" si="176"/>
        <v>17</v>
      </c>
      <c r="EY130" s="14">
        <f t="shared" si="151"/>
        <v>20</v>
      </c>
      <c r="EZ130" s="14">
        <f t="shared" si="152"/>
        <v>4</v>
      </c>
      <c r="FA130" s="14">
        <f t="shared" si="153"/>
        <v>70</v>
      </c>
      <c r="FB130" s="14">
        <f t="shared" si="154"/>
        <v>2</v>
      </c>
      <c r="FC130" s="14">
        <f t="shared" si="155"/>
        <v>1</v>
      </c>
      <c r="FD130" s="14">
        <f t="shared" si="156"/>
        <v>1</v>
      </c>
      <c r="FE130" s="14" t="b">
        <f t="shared" si="177"/>
        <v>0</v>
      </c>
      <c r="FF130" s="14">
        <f t="shared" si="157"/>
        <v>2004201</v>
      </c>
      <c r="FG130" s="13" t="str">
        <f t="shared" si="158"/>
        <v>70级-优秀寄灵人の灵器</v>
      </c>
      <c r="FH130" s="14">
        <f t="shared" si="159"/>
        <v>1</v>
      </c>
      <c r="FI130" s="14">
        <f t="shared" si="160"/>
        <v>2</v>
      </c>
      <c r="FJ130" s="14">
        <f t="shared" si="161"/>
        <v>70</v>
      </c>
      <c r="FK130" s="14">
        <v>1</v>
      </c>
      <c r="FL130" s="14">
        <f t="shared" si="162"/>
        <v>4</v>
      </c>
      <c r="FM130" s="14">
        <f t="shared" si="178"/>
        <v>1</v>
      </c>
      <c r="FN130" s="14" t="str">
        <f t="shared" si="163"/>
        <v/>
      </c>
      <c r="FO130" s="14">
        <f t="shared" si="164"/>
        <v>100</v>
      </c>
      <c r="FP130" s="14">
        <f t="shared" si="179"/>
        <v>355</v>
      </c>
      <c r="FQ130" s="14">
        <f t="shared" si="180"/>
        <v>0</v>
      </c>
      <c r="FR130" s="14">
        <f t="shared" si="181"/>
        <v>0</v>
      </c>
      <c r="FS130" s="14">
        <f t="shared" si="182"/>
        <v>20</v>
      </c>
      <c r="FT130" s="14">
        <f t="shared" si="183"/>
        <v>0</v>
      </c>
      <c r="FU130" s="14">
        <f t="shared" si="184"/>
        <v>0</v>
      </c>
      <c r="FV130" s="14">
        <f t="shared" si="165"/>
        <v>1042</v>
      </c>
      <c r="FW130" s="14">
        <f t="shared" si="166"/>
        <v>0</v>
      </c>
      <c r="FX130" s="14" t="str">
        <f t="shared" si="167"/>
        <v/>
      </c>
      <c r="FY130" s="25" t="str">
        <f t="shared" si="185"/>
        <v>icon_2004101</v>
      </c>
      <c r="GC130" s="14">
        <f t="shared" si="168"/>
        <v>1</v>
      </c>
      <c r="GD130" s="14">
        <f t="shared" si="169"/>
        <v>0</v>
      </c>
      <c r="GE130" s="14">
        <f t="shared" si="186"/>
        <v>100</v>
      </c>
      <c r="GF130" s="14" t="str">
        <f t="shared" si="170"/>
        <v>AtkExt</v>
      </c>
      <c r="GG130" s="14">
        <f t="shared" si="187"/>
        <v>355</v>
      </c>
      <c r="GH130" s="14">
        <f t="shared" si="188"/>
        <v>20</v>
      </c>
      <c r="GI130" s="14" t="str">
        <f t="shared" si="171"/>
        <v/>
      </c>
      <c r="GJ130" s="14" t="str">
        <f t="shared" si="189"/>
        <v/>
      </c>
      <c r="GK130" s="14" t="str">
        <f t="shared" si="190"/>
        <v/>
      </c>
      <c r="GL130" s="14">
        <f t="shared" si="172"/>
        <v>20420</v>
      </c>
      <c r="GM130" s="14">
        <f t="shared" si="191"/>
        <v>0</v>
      </c>
      <c r="GN130" s="14" t="str">
        <f t="shared" si="192"/>
        <v/>
      </c>
      <c r="GO130" s="25" t="s">
        <v>1471</v>
      </c>
      <c r="GP130" s="14">
        <f t="shared" si="173"/>
        <v>90</v>
      </c>
      <c r="HK130" s="13">
        <v>125</v>
      </c>
      <c r="HL130" s="14">
        <f t="shared" si="202"/>
        <v>6</v>
      </c>
      <c r="HM130" s="14">
        <f t="shared" si="203"/>
        <v>1</v>
      </c>
      <c r="HN130" s="14">
        <f t="shared" si="204"/>
        <v>6</v>
      </c>
      <c r="HO130" s="14">
        <f t="shared" si="205"/>
        <v>3</v>
      </c>
      <c r="HP130" s="14" t="str">
        <f t="shared" si="206"/>
        <v>100级寄灵人洗练-Q3-5</v>
      </c>
      <c r="HQ130" s="14">
        <f t="shared" si="207"/>
        <v>1063</v>
      </c>
      <c r="HR130" s="14">
        <f t="shared" si="208"/>
        <v>5</v>
      </c>
      <c r="HS130" s="14">
        <f t="shared" si="209"/>
        <v>400</v>
      </c>
      <c r="HT130" s="14" t="str">
        <f t="shared" si="210"/>
        <v>DefRate</v>
      </c>
      <c r="HU130" s="14">
        <f t="shared" si="211"/>
        <v>1.4E-2</v>
      </c>
      <c r="HV130" s="14">
        <f t="shared" si="212"/>
        <v>0.04</v>
      </c>
    </row>
    <row r="131" spans="151:230" ht="16.5" x14ac:dyDescent="0.2">
      <c r="EU131" s="13">
        <v>126</v>
      </c>
      <c r="EV131" s="14">
        <f t="shared" si="174"/>
        <v>1</v>
      </c>
      <c r="EW131" s="14">
        <f t="shared" si="175"/>
        <v>126</v>
      </c>
      <c r="EX131" s="14">
        <f t="shared" si="176"/>
        <v>17</v>
      </c>
      <c r="EY131" s="14">
        <f t="shared" si="151"/>
        <v>20</v>
      </c>
      <c r="EZ131" s="14">
        <f t="shared" si="152"/>
        <v>4</v>
      </c>
      <c r="FA131" s="14">
        <f t="shared" si="153"/>
        <v>70</v>
      </c>
      <c r="FB131" s="14">
        <f t="shared" si="154"/>
        <v>2</v>
      </c>
      <c r="FC131" s="14">
        <f t="shared" si="155"/>
        <v>2</v>
      </c>
      <c r="FD131" s="14">
        <f t="shared" si="156"/>
        <v>2</v>
      </c>
      <c r="FE131" s="14" t="b">
        <f t="shared" si="177"/>
        <v>0</v>
      </c>
      <c r="FF131" s="14">
        <f t="shared" si="157"/>
        <v>2004202</v>
      </c>
      <c r="FG131" s="13" t="str">
        <f t="shared" si="158"/>
        <v>70级-优秀寄灵人の头盔</v>
      </c>
      <c r="FH131" s="14">
        <f t="shared" si="159"/>
        <v>1</v>
      </c>
      <c r="FI131" s="14">
        <f t="shared" si="160"/>
        <v>2</v>
      </c>
      <c r="FJ131" s="14">
        <f t="shared" si="161"/>
        <v>70</v>
      </c>
      <c r="FK131" s="14">
        <v>1</v>
      </c>
      <c r="FL131" s="14">
        <f t="shared" si="162"/>
        <v>4</v>
      </c>
      <c r="FM131" s="14">
        <f t="shared" si="178"/>
        <v>2</v>
      </c>
      <c r="FN131" s="14" t="str">
        <f t="shared" si="163"/>
        <v/>
      </c>
      <c r="FO131" s="14">
        <f t="shared" si="164"/>
        <v>50</v>
      </c>
      <c r="FP131" s="14">
        <f t="shared" si="179"/>
        <v>0</v>
      </c>
      <c r="FQ131" s="14">
        <f t="shared" si="180"/>
        <v>90</v>
      </c>
      <c r="FR131" s="14">
        <f t="shared" si="181"/>
        <v>0</v>
      </c>
      <c r="FS131" s="14">
        <f t="shared" si="182"/>
        <v>0</v>
      </c>
      <c r="FT131" s="14">
        <f t="shared" si="183"/>
        <v>5</v>
      </c>
      <c r="FU131" s="14">
        <f t="shared" si="184"/>
        <v>0</v>
      </c>
      <c r="FV131" s="14">
        <f t="shared" si="165"/>
        <v>1042</v>
      </c>
      <c r="FW131" s="14">
        <f t="shared" si="166"/>
        <v>0</v>
      </c>
      <c r="FX131" s="14" t="str">
        <f t="shared" si="167"/>
        <v/>
      </c>
      <c r="FY131" s="25" t="str">
        <f t="shared" si="185"/>
        <v>icon_2004102</v>
      </c>
      <c r="GC131" s="14">
        <f t="shared" si="168"/>
        <v>2</v>
      </c>
      <c r="GD131" s="14">
        <f t="shared" si="169"/>
        <v>0</v>
      </c>
      <c r="GE131" s="14">
        <f t="shared" si="186"/>
        <v>50</v>
      </c>
      <c r="GF131" s="14" t="str">
        <f t="shared" si="170"/>
        <v>DefExt</v>
      </c>
      <c r="GG131" s="14">
        <f t="shared" si="187"/>
        <v>90</v>
      </c>
      <c r="GH131" s="14">
        <f t="shared" si="188"/>
        <v>5</v>
      </c>
      <c r="GI131" s="14" t="str">
        <f t="shared" si="171"/>
        <v/>
      </c>
      <c r="GJ131" s="14" t="str">
        <f t="shared" si="189"/>
        <v/>
      </c>
      <c r="GK131" s="14" t="str">
        <f t="shared" si="190"/>
        <v/>
      </c>
      <c r="GL131" s="14">
        <f t="shared" si="172"/>
        <v>20420</v>
      </c>
      <c r="GM131" s="14">
        <f t="shared" si="191"/>
        <v>0</v>
      </c>
      <c r="GN131" s="14" t="str">
        <f t="shared" si="192"/>
        <v/>
      </c>
      <c r="GO131" s="25" t="s">
        <v>1471</v>
      </c>
      <c r="GP131" s="14">
        <f t="shared" si="173"/>
        <v>45</v>
      </c>
      <c r="HK131" s="13">
        <v>126</v>
      </c>
      <c r="HL131" s="14">
        <f t="shared" si="202"/>
        <v>6</v>
      </c>
      <c r="HM131" s="14">
        <f t="shared" si="203"/>
        <v>1</v>
      </c>
      <c r="HN131" s="14">
        <f t="shared" si="204"/>
        <v>6</v>
      </c>
      <c r="HO131" s="14">
        <f t="shared" si="205"/>
        <v>3</v>
      </c>
      <c r="HP131" s="14" t="str">
        <f t="shared" si="206"/>
        <v>100级寄灵人洗练-Q3-6</v>
      </c>
      <c r="HQ131" s="14">
        <f t="shared" si="207"/>
        <v>1063</v>
      </c>
      <c r="HR131" s="14">
        <f t="shared" si="208"/>
        <v>6</v>
      </c>
      <c r="HS131" s="14">
        <f t="shared" si="209"/>
        <v>500</v>
      </c>
      <c r="HT131" s="14" t="str">
        <f t="shared" si="210"/>
        <v>HPRate</v>
      </c>
      <c r="HU131" s="14">
        <f t="shared" si="211"/>
        <v>1.4E-2</v>
      </c>
      <c r="HV131" s="14">
        <f t="shared" si="212"/>
        <v>0.04</v>
      </c>
    </row>
    <row r="132" spans="151:230" ht="16.5" x14ac:dyDescent="0.2">
      <c r="EU132" s="13">
        <v>127</v>
      </c>
      <c r="EV132" s="14">
        <f t="shared" si="174"/>
        <v>1</v>
      </c>
      <c r="EW132" s="14">
        <f t="shared" si="175"/>
        <v>127</v>
      </c>
      <c r="EX132" s="14">
        <f t="shared" si="176"/>
        <v>17</v>
      </c>
      <c r="EY132" s="14">
        <f t="shared" si="151"/>
        <v>20</v>
      </c>
      <c r="EZ132" s="14">
        <f t="shared" si="152"/>
        <v>4</v>
      </c>
      <c r="FA132" s="14">
        <f t="shared" si="153"/>
        <v>70</v>
      </c>
      <c r="FB132" s="14">
        <f t="shared" si="154"/>
        <v>2</v>
      </c>
      <c r="FC132" s="14">
        <f t="shared" si="155"/>
        <v>3</v>
      </c>
      <c r="FD132" s="14">
        <f t="shared" si="156"/>
        <v>3</v>
      </c>
      <c r="FE132" s="14" t="b">
        <f t="shared" si="177"/>
        <v>0</v>
      </c>
      <c r="FF132" s="14">
        <f t="shared" si="157"/>
        <v>2004203</v>
      </c>
      <c r="FG132" s="13" t="str">
        <f t="shared" si="158"/>
        <v>70级-优秀寄灵人の铠甲</v>
      </c>
      <c r="FH132" s="14">
        <f t="shared" si="159"/>
        <v>1</v>
      </c>
      <c r="FI132" s="14">
        <f t="shared" si="160"/>
        <v>2</v>
      </c>
      <c r="FJ132" s="14">
        <f t="shared" si="161"/>
        <v>70</v>
      </c>
      <c r="FK132" s="14">
        <v>1</v>
      </c>
      <c r="FL132" s="14">
        <f t="shared" si="162"/>
        <v>4</v>
      </c>
      <c r="FM132" s="14">
        <f t="shared" si="178"/>
        <v>3</v>
      </c>
      <c r="FN132" s="14" t="str">
        <f t="shared" si="163"/>
        <v/>
      </c>
      <c r="FO132" s="14">
        <f t="shared" si="164"/>
        <v>68</v>
      </c>
      <c r="FP132" s="14">
        <f t="shared" si="179"/>
        <v>0</v>
      </c>
      <c r="FQ132" s="14">
        <f t="shared" si="180"/>
        <v>45</v>
      </c>
      <c r="FR132" s="14">
        <f t="shared" si="181"/>
        <v>680</v>
      </c>
      <c r="FS132" s="14">
        <f t="shared" si="182"/>
        <v>0</v>
      </c>
      <c r="FT132" s="14">
        <f t="shared" si="183"/>
        <v>3</v>
      </c>
      <c r="FU132" s="14">
        <f t="shared" si="184"/>
        <v>38</v>
      </c>
      <c r="FV132" s="14">
        <f t="shared" si="165"/>
        <v>1042</v>
      </c>
      <c r="FW132" s="14">
        <f t="shared" si="166"/>
        <v>0</v>
      </c>
      <c r="FX132" s="14" t="str">
        <f t="shared" si="167"/>
        <v/>
      </c>
      <c r="FY132" s="25" t="str">
        <f t="shared" si="185"/>
        <v>icon_2004103</v>
      </c>
      <c r="GC132" s="14">
        <f t="shared" si="168"/>
        <v>2</v>
      </c>
      <c r="GD132" s="14">
        <f t="shared" si="169"/>
        <v>3</v>
      </c>
      <c r="GE132" s="14">
        <f t="shared" si="186"/>
        <v>68</v>
      </c>
      <c r="GF132" s="14" t="str">
        <f t="shared" si="170"/>
        <v>DefExt</v>
      </c>
      <c r="GG132" s="14">
        <f t="shared" si="187"/>
        <v>45</v>
      </c>
      <c r="GH132" s="14">
        <f t="shared" si="188"/>
        <v>3</v>
      </c>
      <c r="GI132" s="14" t="str">
        <f t="shared" si="171"/>
        <v>HPExt</v>
      </c>
      <c r="GJ132" s="14">
        <f t="shared" si="189"/>
        <v>680</v>
      </c>
      <c r="GK132" s="14">
        <f t="shared" si="190"/>
        <v>38</v>
      </c>
      <c r="GL132" s="14">
        <f t="shared" si="172"/>
        <v>20420</v>
      </c>
      <c r="GM132" s="14">
        <f t="shared" si="191"/>
        <v>0</v>
      </c>
      <c r="GN132" s="14" t="str">
        <f t="shared" si="192"/>
        <v/>
      </c>
      <c r="GO132" s="25" t="s">
        <v>1471</v>
      </c>
      <c r="GP132" s="14">
        <f t="shared" si="173"/>
        <v>45</v>
      </c>
      <c r="HK132" s="13">
        <v>127</v>
      </c>
      <c r="HL132" s="14">
        <f t="shared" si="202"/>
        <v>6</v>
      </c>
      <c r="HM132" s="14">
        <f t="shared" si="203"/>
        <v>1</v>
      </c>
      <c r="HN132" s="14">
        <f t="shared" si="204"/>
        <v>6</v>
      </c>
      <c r="HO132" s="14">
        <f t="shared" si="205"/>
        <v>3</v>
      </c>
      <c r="HP132" s="14" t="str">
        <f t="shared" si="206"/>
        <v>100级寄灵人洗练-Q3-7</v>
      </c>
      <c r="HQ132" s="14">
        <f t="shared" si="207"/>
        <v>1063</v>
      </c>
      <c r="HR132" s="14">
        <f t="shared" si="208"/>
        <v>7</v>
      </c>
      <c r="HS132" s="14">
        <f t="shared" si="209"/>
        <v>500</v>
      </c>
      <c r="HT132" s="14" t="str">
        <f t="shared" si="210"/>
        <v>Crit</v>
      </c>
      <c r="HU132" s="14">
        <f t="shared" si="211"/>
        <v>1.0999999999999999E-2</v>
      </c>
      <c r="HV132" s="14">
        <f t="shared" si="212"/>
        <v>0.03</v>
      </c>
    </row>
    <row r="133" spans="151:230" ht="16.5" x14ac:dyDescent="0.2">
      <c r="EU133" s="13">
        <v>128</v>
      </c>
      <c r="EV133" s="14">
        <f t="shared" si="174"/>
        <v>1</v>
      </c>
      <c r="EW133" s="14">
        <f t="shared" si="175"/>
        <v>128</v>
      </c>
      <c r="EX133" s="14">
        <f t="shared" si="176"/>
        <v>17</v>
      </c>
      <c r="EY133" s="14">
        <f t="shared" si="151"/>
        <v>20</v>
      </c>
      <c r="EZ133" s="14">
        <f t="shared" si="152"/>
        <v>4</v>
      </c>
      <c r="FA133" s="14">
        <f t="shared" si="153"/>
        <v>70</v>
      </c>
      <c r="FB133" s="14">
        <f t="shared" si="154"/>
        <v>2</v>
      </c>
      <c r="FC133" s="14">
        <f t="shared" si="155"/>
        <v>4</v>
      </c>
      <c r="FD133" s="14">
        <f t="shared" si="156"/>
        <v>4</v>
      </c>
      <c r="FE133" s="14" t="b">
        <f t="shared" si="177"/>
        <v>0</v>
      </c>
      <c r="FF133" s="14">
        <f t="shared" si="157"/>
        <v>2004204</v>
      </c>
      <c r="FG133" s="13" t="str">
        <f t="shared" si="158"/>
        <v>70级-优秀寄灵人の裤子</v>
      </c>
      <c r="FH133" s="14">
        <f t="shared" si="159"/>
        <v>1</v>
      </c>
      <c r="FI133" s="14">
        <f t="shared" si="160"/>
        <v>2</v>
      </c>
      <c r="FJ133" s="14">
        <f t="shared" si="161"/>
        <v>70</v>
      </c>
      <c r="FK133" s="14">
        <v>1</v>
      </c>
      <c r="FL133" s="14">
        <f t="shared" si="162"/>
        <v>4</v>
      </c>
      <c r="FM133" s="14">
        <f t="shared" si="178"/>
        <v>4</v>
      </c>
      <c r="FN133" s="14" t="str">
        <f t="shared" si="163"/>
        <v/>
      </c>
      <c r="FO133" s="14">
        <f t="shared" si="164"/>
        <v>50</v>
      </c>
      <c r="FP133" s="14">
        <f t="shared" si="179"/>
        <v>0</v>
      </c>
      <c r="FQ133" s="14">
        <f t="shared" si="180"/>
        <v>90</v>
      </c>
      <c r="FR133" s="14">
        <f t="shared" si="181"/>
        <v>0</v>
      </c>
      <c r="FS133" s="14">
        <f t="shared" si="182"/>
        <v>0</v>
      </c>
      <c r="FT133" s="14">
        <f t="shared" si="183"/>
        <v>5</v>
      </c>
      <c r="FU133" s="14">
        <f t="shared" si="184"/>
        <v>0</v>
      </c>
      <c r="FV133" s="14">
        <f t="shared" si="165"/>
        <v>1042</v>
      </c>
      <c r="FW133" s="14">
        <f t="shared" si="166"/>
        <v>0</v>
      </c>
      <c r="FX133" s="14" t="str">
        <f t="shared" si="167"/>
        <v/>
      </c>
      <c r="FY133" s="25" t="str">
        <f t="shared" si="185"/>
        <v>icon_2004104</v>
      </c>
      <c r="GC133" s="14">
        <f t="shared" si="168"/>
        <v>2</v>
      </c>
      <c r="GD133" s="14">
        <f t="shared" si="169"/>
        <v>0</v>
      </c>
      <c r="GE133" s="14">
        <f t="shared" si="186"/>
        <v>50</v>
      </c>
      <c r="GF133" s="14" t="str">
        <f t="shared" si="170"/>
        <v>DefExt</v>
      </c>
      <c r="GG133" s="14">
        <f t="shared" si="187"/>
        <v>90</v>
      </c>
      <c r="GH133" s="14">
        <f t="shared" si="188"/>
        <v>5</v>
      </c>
      <c r="GI133" s="14" t="str">
        <f t="shared" si="171"/>
        <v/>
      </c>
      <c r="GJ133" s="14" t="str">
        <f t="shared" si="189"/>
        <v/>
      </c>
      <c r="GK133" s="14" t="str">
        <f t="shared" si="190"/>
        <v/>
      </c>
      <c r="GL133" s="14">
        <f t="shared" si="172"/>
        <v>20420</v>
      </c>
      <c r="GM133" s="14">
        <f t="shared" si="191"/>
        <v>0</v>
      </c>
      <c r="GN133" s="14" t="str">
        <f t="shared" si="192"/>
        <v/>
      </c>
      <c r="GO133" s="25" t="s">
        <v>1471</v>
      </c>
      <c r="GP133" s="14">
        <f t="shared" si="173"/>
        <v>45</v>
      </c>
      <c r="HK133" s="13">
        <v>128</v>
      </c>
      <c r="HL133" s="14">
        <f t="shared" si="202"/>
        <v>6</v>
      </c>
      <c r="HM133" s="14">
        <f t="shared" si="203"/>
        <v>1</v>
      </c>
      <c r="HN133" s="14">
        <f t="shared" si="204"/>
        <v>6</v>
      </c>
      <c r="HO133" s="14">
        <f t="shared" si="205"/>
        <v>3</v>
      </c>
      <c r="HP133" s="14" t="str">
        <f t="shared" si="206"/>
        <v>100级寄灵人洗练-Q3-8</v>
      </c>
      <c r="HQ133" s="14">
        <f t="shared" si="207"/>
        <v>1063</v>
      </c>
      <c r="HR133" s="14">
        <f t="shared" si="208"/>
        <v>8</v>
      </c>
      <c r="HS133" s="14">
        <f t="shared" si="209"/>
        <v>500</v>
      </c>
      <c r="HT133" s="14" t="str">
        <f t="shared" si="210"/>
        <v>CritRate</v>
      </c>
      <c r="HU133" s="14">
        <f t="shared" si="211"/>
        <v>2.8000000000000001E-2</v>
      </c>
      <c r="HV133" s="14">
        <f t="shared" si="212"/>
        <v>0.08</v>
      </c>
    </row>
    <row r="134" spans="151:230" ht="16.5" x14ac:dyDescent="0.2">
      <c r="EU134" s="13">
        <v>129</v>
      </c>
      <c r="EV134" s="14">
        <f t="shared" si="174"/>
        <v>1</v>
      </c>
      <c r="EW134" s="14">
        <f t="shared" si="175"/>
        <v>129</v>
      </c>
      <c r="EX134" s="14">
        <f t="shared" si="176"/>
        <v>17</v>
      </c>
      <c r="EY134" s="14">
        <f t="shared" ref="EY134:EY197" si="213">INDEX($AK$7:$AK$64,EX134)</f>
        <v>20</v>
      </c>
      <c r="EZ134" s="14">
        <f t="shared" ref="EZ134:EZ197" si="214">(EV134-1)*$EX$3+FL134</f>
        <v>4</v>
      </c>
      <c r="FA134" s="14">
        <f t="shared" ref="FA134:FA197" si="215">INDEX(AI$7:AI$64,$EX134)</f>
        <v>70</v>
      </c>
      <c r="FB134" s="14">
        <f t="shared" ref="FB134:FB197" si="216">INDEX(AJ$7:AJ$64,$EX134)</f>
        <v>2</v>
      </c>
      <c r="FC134" s="14">
        <f t="shared" ref="FC134:FC197" si="217">EW134-INDEX($AQ$6:$AQ$64,EX134)</f>
        <v>5</v>
      </c>
      <c r="FD134" s="14">
        <f t="shared" ref="FD134:FD197" si="218">INDEX($AR$7:$AY$64,EX134,EW134-INDEX($AQ$6:$AQ$64,EX134))</f>
        <v>5</v>
      </c>
      <c r="FE134" s="14" t="b">
        <f t="shared" si="177"/>
        <v>0</v>
      </c>
      <c r="FF134" s="14">
        <f t="shared" ref="FF134:FF197" si="219">INDEX($AN$7:$AN$64,EX134)*10+FD134+(EV134-1)*100000+2000000</f>
        <v>2004205</v>
      </c>
      <c r="FG134" s="13" t="str">
        <f t="shared" ref="FG134:FG197" si="220">INDEX($AL$7:$AL$64,EX134)&amp;"-"&amp;INDEX($AM$7:$AM$64,EX134)&amp;INDEX($BC$6:$BC$7,EV134)&amp;INDEX($AR$3:$AY$3,FD134)</f>
        <v>70级-优秀寄灵人の鞋子</v>
      </c>
      <c r="FH134" s="14">
        <f t="shared" ref="FH134:FH197" si="221">EV134</f>
        <v>1</v>
      </c>
      <c r="FI134" s="14">
        <f t="shared" ref="FI134:FI197" si="222">INDEX($AJ$7:$AJ$64,EX134)</f>
        <v>2</v>
      </c>
      <c r="FJ134" s="14">
        <f t="shared" ref="FJ134:FJ197" si="223">INDEX($AI$7:$AI$64,EX134)</f>
        <v>70</v>
      </c>
      <c r="FK134" s="14">
        <v>1</v>
      </c>
      <c r="FL134" s="14">
        <f t="shared" ref="FL134:FL197" si="224">INDEX(AH$7:AH$64,$EX134)</f>
        <v>4</v>
      </c>
      <c r="FM134" s="14">
        <f t="shared" si="178"/>
        <v>5</v>
      </c>
      <c r="FN134" s="14" t="str">
        <f t="shared" ref="FN134:FN197" si="225">IF(INDEX($AO$7:$AO$64,EX134)&gt;0,INDEX($AO$7:$AO$64,EX134) + (EV134-1)*10000+200000,"")</f>
        <v/>
      </c>
      <c r="FO134" s="14">
        <f t="shared" ref="FO134:FO197" si="226">INT(SUMPRODUCT($FS$3:$FU$3,FS134:FU134)*IF(FN134="",1,1.5))</f>
        <v>75</v>
      </c>
      <c r="FP134" s="14">
        <f t="shared" si="179"/>
        <v>0</v>
      </c>
      <c r="FQ134" s="14">
        <f t="shared" si="180"/>
        <v>0</v>
      </c>
      <c r="FR134" s="14">
        <f t="shared" si="181"/>
        <v>1355</v>
      </c>
      <c r="FS134" s="14">
        <f t="shared" si="182"/>
        <v>0</v>
      </c>
      <c r="FT134" s="14">
        <f t="shared" si="183"/>
        <v>0</v>
      </c>
      <c r="FU134" s="14">
        <f t="shared" si="184"/>
        <v>75</v>
      </c>
      <c r="FV134" s="14">
        <f t="shared" ref="FV134:FV197" si="227">FL134*10+FB134+EV134*1000</f>
        <v>1042</v>
      </c>
      <c r="FW134" s="14">
        <f t="shared" ref="FW134:FW197" si="228">INDEX($V$17:$Y$27,FL134,FB134)</f>
        <v>0</v>
      </c>
      <c r="FX134" s="14" t="str">
        <f t="shared" ref="FX134:FX197" si="229">IF(FB134&gt;2,FL134*10+FB134+EV134*1000,"")</f>
        <v/>
      </c>
      <c r="FY134" s="25" t="str">
        <f t="shared" si="185"/>
        <v>icon_2004105</v>
      </c>
      <c r="GC134" s="14">
        <f t="shared" ref="GC134:GC197" si="230">INDEX(BL$6:BL$13,$FM134)</f>
        <v>3</v>
      </c>
      <c r="GD134" s="14">
        <f t="shared" ref="GD134:GD197" si="231">INDEX(BM$6:BM$13,$FM134)</f>
        <v>0</v>
      </c>
      <c r="GE134" s="14">
        <f t="shared" si="186"/>
        <v>75</v>
      </c>
      <c r="GF134" s="14" t="str">
        <f t="shared" ref="GF134:GF197" si="232">INDEX($BH$3:$BJ$3,GC134)</f>
        <v>HPExt</v>
      </c>
      <c r="GG134" s="14">
        <f t="shared" si="187"/>
        <v>1355</v>
      </c>
      <c r="GH134" s="14">
        <f t="shared" si="188"/>
        <v>75</v>
      </c>
      <c r="GI134" s="14" t="str">
        <f t="shared" ref="GI134:GI197" si="233">IF(GD134&gt;0,INDEX($BH$3:$BJ$3,GD134),"")</f>
        <v/>
      </c>
      <c r="GJ134" s="14" t="str">
        <f t="shared" si="189"/>
        <v/>
      </c>
      <c r="GK134" s="14" t="str">
        <f t="shared" si="190"/>
        <v/>
      </c>
      <c r="GL134" s="14">
        <f t="shared" ref="GL134:GL197" si="234">20000+FL134*100+FB134*10</f>
        <v>20420</v>
      </c>
      <c r="GM134" s="14">
        <f t="shared" si="191"/>
        <v>0</v>
      </c>
      <c r="GN134" s="14" t="str">
        <f t="shared" si="192"/>
        <v/>
      </c>
      <c r="GO134" s="25" t="s">
        <v>1471</v>
      </c>
      <c r="GP134" s="14">
        <f t="shared" ref="GP134:GP197" si="235">ROUND(INDEX($AA$17:$AD$27,FL134,FB134)*INDEX($BK$6:$BK$13,FM134),0)</f>
        <v>45</v>
      </c>
      <c r="HK134" s="13">
        <v>129</v>
      </c>
      <c r="HL134" s="14">
        <f t="shared" si="202"/>
        <v>6</v>
      </c>
      <c r="HM134" s="14">
        <f t="shared" si="203"/>
        <v>1</v>
      </c>
      <c r="HN134" s="14">
        <f t="shared" si="204"/>
        <v>6</v>
      </c>
      <c r="HO134" s="14">
        <f t="shared" si="205"/>
        <v>3</v>
      </c>
      <c r="HP134" s="14" t="str">
        <f t="shared" si="206"/>
        <v>100级寄灵人洗练-Q3-9</v>
      </c>
      <c r="HQ134" s="14">
        <f t="shared" si="207"/>
        <v>1063</v>
      </c>
      <c r="HR134" s="14">
        <f t="shared" si="208"/>
        <v>9</v>
      </c>
      <c r="HS134" s="14">
        <f t="shared" si="209"/>
        <v>500</v>
      </c>
      <c r="HT134" s="14" t="str">
        <f t="shared" si="210"/>
        <v>DefIgnor</v>
      </c>
      <c r="HU134" s="14">
        <f t="shared" si="211"/>
        <v>1.0999999999999999E-2</v>
      </c>
      <c r="HV134" s="14">
        <f t="shared" si="212"/>
        <v>0.03</v>
      </c>
    </row>
    <row r="135" spans="151:230" ht="16.5" x14ac:dyDescent="0.2">
      <c r="EU135" s="13">
        <v>130</v>
      </c>
      <c r="EV135" s="14">
        <f t="shared" ref="EV135:EV198" si="236">IF(EU135&lt;=$EV$3,1,2)</f>
        <v>1</v>
      </c>
      <c r="EW135" s="14">
        <f t="shared" ref="EW135:EW198" si="237">MOD(EU135-1,$EV$3)+1</f>
        <v>130</v>
      </c>
      <c r="EX135" s="14">
        <f t="shared" ref="EX135:EX198" si="238">MATCH(EW135-1,$AQ$6:$AQ$64,1)</f>
        <v>17</v>
      </c>
      <c r="EY135" s="14">
        <f t="shared" si="213"/>
        <v>20</v>
      </c>
      <c r="EZ135" s="14">
        <f t="shared" si="214"/>
        <v>4</v>
      </c>
      <c r="FA135" s="14">
        <f t="shared" si="215"/>
        <v>70</v>
      </c>
      <c r="FB135" s="14">
        <f t="shared" si="216"/>
        <v>2</v>
      </c>
      <c r="FC135" s="14">
        <f t="shared" si="217"/>
        <v>6</v>
      </c>
      <c r="FD135" s="14">
        <f t="shared" si="218"/>
        <v>6</v>
      </c>
      <c r="FE135" s="14" t="b">
        <f t="shared" ref="FE135:FE198" si="239">IF(FN135="",FALSE,TRUE)</f>
        <v>0</v>
      </c>
      <c r="FF135" s="14">
        <f t="shared" si="219"/>
        <v>2004206</v>
      </c>
      <c r="FG135" s="13" t="str">
        <f t="shared" si="220"/>
        <v>70级-优秀寄灵人の护手</v>
      </c>
      <c r="FH135" s="14">
        <f t="shared" si="221"/>
        <v>1</v>
      </c>
      <c r="FI135" s="14">
        <f t="shared" si="222"/>
        <v>2</v>
      </c>
      <c r="FJ135" s="14">
        <f t="shared" si="223"/>
        <v>70</v>
      </c>
      <c r="FK135" s="14">
        <v>1</v>
      </c>
      <c r="FL135" s="14">
        <f t="shared" si="224"/>
        <v>4</v>
      </c>
      <c r="FM135" s="14">
        <f t="shared" ref="FM135:FM198" si="240">FD135</f>
        <v>6</v>
      </c>
      <c r="FN135" s="14" t="str">
        <f t="shared" si="225"/>
        <v/>
      </c>
      <c r="FO135" s="14">
        <f t="shared" si="226"/>
        <v>75</v>
      </c>
      <c r="FP135" s="14">
        <f t="shared" ref="FP135:FP198" si="241">ROUND(INDEX(M$6:M$27,$EZ135)*INDEX(BH$6:BH$13,$FD135)*INDEX($BR$6:$BR$9,FI135)/5,0)*5</f>
        <v>0</v>
      </c>
      <c r="FQ135" s="14">
        <f t="shared" ref="FQ135:FQ198" si="242">ROUND(INDEX(N$6:N$27,$EZ135)*INDEX(BI$6:BI$13,$FD135)*INDEX($BR$6:$BR$9,FI135)/5,0)*5</f>
        <v>0</v>
      </c>
      <c r="FR135" s="14">
        <f t="shared" ref="FR135:FR198" si="243">ROUND(INDEX(O$6:O$27,$EZ135)*INDEX(BJ$6:BJ$13,$FD135)*INDEX($BR$6:$BR$9,FI135)/5,0)*5</f>
        <v>1355</v>
      </c>
      <c r="FS135" s="14">
        <f t="shared" ref="FS135:FS198" si="244">ROUND(INDEX(S$6:S$27,$EZ135)*INDEX(BH$6:BH$13,$FD135)*INDEX($BR$6:$BR$9,FI135),0)</f>
        <v>0</v>
      </c>
      <c r="FT135" s="14">
        <f t="shared" ref="FT135:FT198" si="245">ROUND(INDEX(T$6:T$27,$EZ135)*INDEX(BI$6:BI$13,$FD135)*INDEX($BR$6:$BR$9,FI135),0)</f>
        <v>0</v>
      </c>
      <c r="FU135" s="14">
        <f t="shared" ref="FU135:FU198" si="246">ROUND(INDEX(U$6:U$27,$EZ135)*INDEX(BJ$6:BJ$13,$FD135)*INDEX($BR$6:$BR$9,FI135),0)</f>
        <v>75</v>
      </c>
      <c r="FV135" s="14">
        <f t="shared" si="227"/>
        <v>1042</v>
      </c>
      <c r="FW135" s="14">
        <f t="shared" si="228"/>
        <v>0</v>
      </c>
      <c r="FX135" s="14" t="str">
        <f t="shared" si="229"/>
        <v/>
      </c>
      <c r="FY135" s="25" t="str">
        <f t="shared" ref="FY135:FY198" si="247">IF(FE135,"icon_"&amp;FF135,FY$2&amp;INDEX($ES$6:$ES$7,EV135)*100000+FL135*1000+100+FD135)</f>
        <v>icon_2004106</v>
      </c>
      <c r="GC135" s="14">
        <f t="shared" si="230"/>
        <v>3</v>
      </c>
      <c r="GD135" s="14">
        <f t="shared" si="231"/>
        <v>0</v>
      </c>
      <c r="GE135" s="14">
        <f t="shared" ref="GE135:GE198" si="248">FO135</f>
        <v>75</v>
      </c>
      <c r="GF135" s="14" t="str">
        <f t="shared" si="232"/>
        <v>HPExt</v>
      </c>
      <c r="GG135" s="14">
        <f t="shared" ref="GG135:GG198" si="249">INDEX(FP135:FR135,GC135)</f>
        <v>1355</v>
      </c>
      <c r="GH135" s="14">
        <f t="shared" ref="GH135:GH198" si="250">INDEX(FS135:FU135,GC135)</f>
        <v>75</v>
      </c>
      <c r="GI135" s="14" t="str">
        <f t="shared" si="233"/>
        <v/>
      </c>
      <c r="GJ135" s="14" t="str">
        <f t="shared" ref="GJ135:GJ198" si="251">IF(GD135&gt;0,INDEX(FP135:FR135,GD135),"")</f>
        <v/>
      </c>
      <c r="GK135" s="14" t="str">
        <f t="shared" ref="GK135:GK198" si="252">IF(GD135&gt;0,INDEX(FS135:FU135,GD135),"")</f>
        <v/>
      </c>
      <c r="GL135" s="14">
        <f t="shared" si="234"/>
        <v>20420</v>
      </c>
      <c r="GM135" s="14">
        <f t="shared" ref="GM135:GM198" si="253">FW135</f>
        <v>0</v>
      </c>
      <c r="GN135" s="14" t="str">
        <f t="shared" ref="GN135:GN198" si="254">FX135</f>
        <v/>
      </c>
      <c r="GO135" s="25" t="s">
        <v>1471</v>
      </c>
      <c r="GP135" s="14">
        <f t="shared" si="235"/>
        <v>45</v>
      </c>
      <c r="HK135" s="13">
        <v>130</v>
      </c>
      <c r="HL135" s="14">
        <f t="shared" ref="HL135:HL198" si="255">INT((HK135-1)/24)+1</f>
        <v>6</v>
      </c>
      <c r="HM135" s="14">
        <f t="shared" ref="HM135:HM198" si="256">IF(HL135&gt;11,2,1)</f>
        <v>1</v>
      </c>
      <c r="HN135" s="14">
        <f t="shared" ref="HN135:HN198" si="257">HL135-(HM135-1)*11</f>
        <v>6</v>
      </c>
      <c r="HO135" s="14">
        <f t="shared" ref="HO135:HO198" si="258">IF(MOD(HK135-1,24)&gt;=12,4,3)</f>
        <v>3</v>
      </c>
      <c r="HP135" s="14" t="str">
        <f t="shared" ref="HP135:HP198" si="259">INDEX($DU$6:$DU$27,HL135)&amp;"洗练-Q"&amp;HO135&amp;"-"&amp;HR135</f>
        <v>100级寄灵人洗练-Q3-10</v>
      </c>
      <c r="HQ135" s="14">
        <f t="shared" ref="HQ135:HQ198" si="260">HM135*1000+HN135*10+HO135</f>
        <v>1063</v>
      </c>
      <c r="HR135" s="14">
        <f t="shared" ref="HR135:HR198" si="261">MOD(HK135-1,12)+1</f>
        <v>10</v>
      </c>
      <c r="HS135" s="14">
        <f t="shared" ref="HS135:HS198" si="262">INDEX($DY$3:$EJ$3,HR135)</f>
        <v>500</v>
      </c>
      <c r="HT135" s="14" t="str">
        <f t="shared" ref="HT135:HT198" si="263">INDEX($DY$4:$EJ$4,HR135)</f>
        <v>Block</v>
      </c>
      <c r="HU135" s="14">
        <f t="shared" ref="HU135:HU198" si="264">IF(HV135&gt;1,INT(HV135*0.35),ROUND(HV135*0.35,3))</f>
        <v>1.0999999999999999E-2</v>
      </c>
      <c r="HV135" s="14">
        <f t="shared" ref="HV135:HV198" si="265">INDEX($DY$6:$EJ$27,HL135,HR135)</f>
        <v>0.03</v>
      </c>
    </row>
    <row r="136" spans="151:230" ht="16.5" x14ac:dyDescent="0.2">
      <c r="EU136" s="13">
        <v>131</v>
      </c>
      <c r="EV136" s="14">
        <f t="shared" si="236"/>
        <v>1</v>
      </c>
      <c r="EW136" s="14">
        <f t="shared" si="237"/>
        <v>131</v>
      </c>
      <c r="EX136" s="14">
        <f t="shared" si="238"/>
        <v>17</v>
      </c>
      <c r="EY136" s="14">
        <f t="shared" si="213"/>
        <v>20</v>
      </c>
      <c r="EZ136" s="14">
        <f t="shared" si="214"/>
        <v>4</v>
      </c>
      <c r="FA136" s="14">
        <f t="shared" si="215"/>
        <v>70</v>
      </c>
      <c r="FB136" s="14">
        <f t="shared" si="216"/>
        <v>2</v>
      </c>
      <c r="FC136" s="14">
        <f t="shared" si="217"/>
        <v>7</v>
      </c>
      <c r="FD136" s="14">
        <f t="shared" si="218"/>
        <v>7</v>
      </c>
      <c r="FE136" s="14" t="b">
        <f t="shared" si="239"/>
        <v>0</v>
      </c>
      <c r="FF136" s="14">
        <f t="shared" si="219"/>
        <v>2004207</v>
      </c>
      <c r="FG136" s="13" t="str">
        <f t="shared" si="220"/>
        <v>70级-优秀寄灵人の项链</v>
      </c>
      <c r="FH136" s="14">
        <f t="shared" si="221"/>
        <v>1</v>
      </c>
      <c r="FI136" s="14">
        <f t="shared" si="222"/>
        <v>2</v>
      </c>
      <c r="FJ136" s="14">
        <f t="shared" si="223"/>
        <v>70</v>
      </c>
      <c r="FK136" s="14">
        <v>1</v>
      </c>
      <c r="FL136" s="14">
        <f t="shared" si="224"/>
        <v>4</v>
      </c>
      <c r="FM136" s="14">
        <f t="shared" si="240"/>
        <v>7</v>
      </c>
      <c r="FN136" s="14" t="str">
        <f t="shared" si="225"/>
        <v/>
      </c>
      <c r="FO136" s="14">
        <f t="shared" si="226"/>
        <v>75</v>
      </c>
      <c r="FP136" s="14">
        <f t="shared" si="241"/>
        <v>120</v>
      </c>
      <c r="FQ136" s="14">
        <f t="shared" si="242"/>
        <v>75</v>
      </c>
      <c r="FR136" s="14">
        <f t="shared" si="243"/>
        <v>0</v>
      </c>
      <c r="FS136" s="14">
        <f t="shared" si="244"/>
        <v>7</v>
      </c>
      <c r="FT136" s="14">
        <f t="shared" si="245"/>
        <v>4</v>
      </c>
      <c r="FU136" s="14">
        <f t="shared" si="246"/>
        <v>0</v>
      </c>
      <c r="FV136" s="14">
        <f t="shared" si="227"/>
        <v>1042</v>
      </c>
      <c r="FW136" s="14">
        <f t="shared" si="228"/>
        <v>0</v>
      </c>
      <c r="FX136" s="14" t="str">
        <f t="shared" si="229"/>
        <v/>
      </c>
      <c r="FY136" s="25" t="str">
        <f t="shared" si="247"/>
        <v>icon_2004107</v>
      </c>
      <c r="GC136" s="14">
        <f t="shared" si="230"/>
        <v>1</v>
      </c>
      <c r="GD136" s="14">
        <f t="shared" si="231"/>
        <v>2</v>
      </c>
      <c r="GE136" s="14">
        <f t="shared" si="248"/>
        <v>75</v>
      </c>
      <c r="GF136" s="14" t="str">
        <f t="shared" si="232"/>
        <v>AtkExt</v>
      </c>
      <c r="GG136" s="14">
        <f t="shared" si="249"/>
        <v>120</v>
      </c>
      <c r="GH136" s="14">
        <f t="shared" si="250"/>
        <v>7</v>
      </c>
      <c r="GI136" s="14" t="str">
        <f t="shared" si="233"/>
        <v>DefExt</v>
      </c>
      <c r="GJ136" s="14">
        <f t="shared" si="251"/>
        <v>75</v>
      </c>
      <c r="GK136" s="14">
        <f t="shared" si="252"/>
        <v>4</v>
      </c>
      <c r="GL136" s="14">
        <f t="shared" si="234"/>
        <v>20420</v>
      </c>
      <c r="GM136" s="14">
        <f t="shared" si="253"/>
        <v>0</v>
      </c>
      <c r="GN136" s="14" t="str">
        <f t="shared" si="254"/>
        <v/>
      </c>
      <c r="GO136" s="25" t="s">
        <v>1471</v>
      </c>
      <c r="GP136" s="14">
        <f t="shared" si="235"/>
        <v>68</v>
      </c>
      <c r="HK136" s="13">
        <v>131</v>
      </c>
      <c r="HL136" s="14">
        <f t="shared" si="255"/>
        <v>6</v>
      </c>
      <c r="HM136" s="14">
        <f t="shared" si="256"/>
        <v>1</v>
      </c>
      <c r="HN136" s="14">
        <f t="shared" si="257"/>
        <v>6</v>
      </c>
      <c r="HO136" s="14">
        <f t="shared" si="258"/>
        <v>3</v>
      </c>
      <c r="HP136" s="14" t="str">
        <f t="shared" si="259"/>
        <v>100级寄灵人洗练-Q3-11</v>
      </c>
      <c r="HQ136" s="14">
        <f t="shared" si="260"/>
        <v>1063</v>
      </c>
      <c r="HR136" s="14">
        <f t="shared" si="261"/>
        <v>11</v>
      </c>
      <c r="HS136" s="14">
        <f t="shared" si="262"/>
        <v>500</v>
      </c>
      <c r="HT136" s="14" t="str">
        <f t="shared" si="263"/>
        <v>EffectHit</v>
      </c>
      <c r="HU136" s="14">
        <f t="shared" si="264"/>
        <v>1.7999999999999999E-2</v>
      </c>
      <c r="HV136" s="14">
        <f t="shared" si="265"/>
        <v>0.05</v>
      </c>
    </row>
    <row r="137" spans="151:230" ht="16.5" x14ac:dyDescent="0.2">
      <c r="EU137" s="13">
        <v>132</v>
      </c>
      <c r="EV137" s="14">
        <f t="shared" si="236"/>
        <v>1</v>
      </c>
      <c r="EW137" s="14">
        <f t="shared" si="237"/>
        <v>132</v>
      </c>
      <c r="EX137" s="14">
        <f t="shared" si="238"/>
        <v>17</v>
      </c>
      <c r="EY137" s="14">
        <f t="shared" si="213"/>
        <v>20</v>
      </c>
      <c r="EZ137" s="14">
        <f t="shared" si="214"/>
        <v>4</v>
      </c>
      <c r="FA137" s="14">
        <f t="shared" si="215"/>
        <v>70</v>
      </c>
      <c r="FB137" s="14">
        <f t="shared" si="216"/>
        <v>2</v>
      </c>
      <c r="FC137" s="14">
        <f t="shared" si="217"/>
        <v>8</v>
      </c>
      <c r="FD137" s="14">
        <f t="shared" si="218"/>
        <v>8</v>
      </c>
      <c r="FE137" s="14" t="b">
        <f t="shared" si="239"/>
        <v>0</v>
      </c>
      <c r="FF137" s="14">
        <f t="shared" si="219"/>
        <v>2004208</v>
      </c>
      <c r="FG137" s="13" t="str">
        <f t="shared" si="220"/>
        <v>70级-优秀寄灵人の戒指</v>
      </c>
      <c r="FH137" s="14">
        <f t="shared" si="221"/>
        <v>1</v>
      </c>
      <c r="FI137" s="14">
        <f t="shared" si="222"/>
        <v>2</v>
      </c>
      <c r="FJ137" s="14">
        <f t="shared" si="223"/>
        <v>70</v>
      </c>
      <c r="FK137" s="14">
        <v>1</v>
      </c>
      <c r="FL137" s="14">
        <f t="shared" si="224"/>
        <v>4</v>
      </c>
      <c r="FM137" s="14">
        <f t="shared" si="240"/>
        <v>8</v>
      </c>
      <c r="FN137" s="14" t="str">
        <f t="shared" si="225"/>
        <v/>
      </c>
      <c r="FO137" s="14">
        <f t="shared" si="226"/>
        <v>98</v>
      </c>
      <c r="FP137" s="14">
        <f t="shared" si="241"/>
        <v>120</v>
      </c>
      <c r="FQ137" s="14">
        <f t="shared" si="242"/>
        <v>0</v>
      </c>
      <c r="FR137" s="14">
        <f t="shared" si="243"/>
        <v>1130</v>
      </c>
      <c r="FS137" s="14">
        <f t="shared" si="244"/>
        <v>7</v>
      </c>
      <c r="FT137" s="14">
        <f t="shared" si="245"/>
        <v>0</v>
      </c>
      <c r="FU137" s="14">
        <f t="shared" si="246"/>
        <v>63</v>
      </c>
      <c r="FV137" s="14">
        <f t="shared" si="227"/>
        <v>1042</v>
      </c>
      <c r="FW137" s="14">
        <f t="shared" si="228"/>
        <v>0</v>
      </c>
      <c r="FX137" s="14" t="str">
        <f t="shared" si="229"/>
        <v/>
      </c>
      <c r="FY137" s="25" t="str">
        <f t="shared" si="247"/>
        <v>icon_2004108</v>
      </c>
      <c r="GC137" s="14">
        <f t="shared" si="230"/>
        <v>1</v>
      </c>
      <c r="GD137" s="14">
        <f t="shared" si="231"/>
        <v>3</v>
      </c>
      <c r="GE137" s="14">
        <f t="shared" si="248"/>
        <v>98</v>
      </c>
      <c r="GF137" s="14" t="str">
        <f t="shared" si="232"/>
        <v>AtkExt</v>
      </c>
      <c r="GG137" s="14">
        <f t="shared" si="249"/>
        <v>120</v>
      </c>
      <c r="GH137" s="14">
        <f t="shared" si="250"/>
        <v>7</v>
      </c>
      <c r="GI137" s="14" t="str">
        <f t="shared" si="233"/>
        <v>HPExt</v>
      </c>
      <c r="GJ137" s="14">
        <f t="shared" si="251"/>
        <v>1130</v>
      </c>
      <c r="GK137" s="14">
        <f t="shared" si="252"/>
        <v>63</v>
      </c>
      <c r="GL137" s="14">
        <f t="shared" si="234"/>
        <v>20420</v>
      </c>
      <c r="GM137" s="14">
        <f t="shared" si="253"/>
        <v>0</v>
      </c>
      <c r="GN137" s="14" t="str">
        <f t="shared" si="254"/>
        <v/>
      </c>
      <c r="GO137" s="25" t="s">
        <v>1471</v>
      </c>
      <c r="GP137" s="14">
        <f t="shared" si="235"/>
        <v>68</v>
      </c>
      <c r="HK137" s="13">
        <v>132</v>
      </c>
      <c r="HL137" s="14">
        <f t="shared" si="255"/>
        <v>6</v>
      </c>
      <c r="HM137" s="14">
        <f t="shared" si="256"/>
        <v>1</v>
      </c>
      <c r="HN137" s="14">
        <f t="shared" si="257"/>
        <v>6</v>
      </c>
      <c r="HO137" s="14">
        <f t="shared" si="258"/>
        <v>3</v>
      </c>
      <c r="HP137" s="14" t="str">
        <f t="shared" si="259"/>
        <v>100级寄灵人洗练-Q3-12</v>
      </c>
      <c r="HQ137" s="14">
        <f t="shared" si="260"/>
        <v>1063</v>
      </c>
      <c r="HR137" s="14">
        <f t="shared" si="261"/>
        <v>12</v>
      </c>
      <c r="HS137" s="14">
        <f t="shared" si="262"/>
        <v>500</v>
      </c>
      <c r="HT137" s="14" t="str">
        <f t="shared" si="263"/>
        <v>EffectResist</v>
      </c>
      <c r="HU137" s="14">
        <f t="shared" si="264"/>
        <v>1.7999999999999999E-2</v>
      </c>
      <c r="HV137" s="14">
        <f t="shared" si="265"/>
        <v>0.05</v>
      </c>
    </row>
    <row r="138" spans="151:230" ht="16.5" x14ac:dyDescent="0.2">
      <c r="EU138" s="13">
        <v>133</v>
      </c>
      <c r="EV138" s="14">
        <f t="shared" si="236"/>
        <v>1</v>
      </c>
      <c r="EW138" s="14">
        <f t="shared" si="237"/>
        <v>133</v>
      </c>
      <c r="EX138" s="14">
        <f t="shared" si="238"/>
        <v>18</v>
      </c>
      <c r="EY138" s="14">
        <f t="shared" si="213"/>
        <v>30</v>
      </c>
      <c r="EZ138" s="14">
        <f t="shared" si="214"/>
        <v>4</v>
      </c>
      <c r="FA138" s="14">
        <f t="shared" si="215"/>
        <v>70</v>
      </c>
      <c r="FB138" s="14">
        <f t="shared" si="216"/>
        <v>3</v>
      </c>
      <c r="FC138" s="14">
        <f t="shared" si="217"/>
        <v>1</v>
      </c>
      <c r="FD138" s="14">
        <f t="shared" si="218"/>
        <v>1</v>
      </c>
      <c r="FE138" s="14" t="b">
        <f t="shared" si="239"/>
        <v>0</v>
      </c>
      <c r="FF138" s="14">
        <f t="shared" si="219"/>
        <v>2004301</v>
      </c>
      <c r="FG138" s="13" t="str">
        <f t="shared" si="220"/>
        <v>70级-精良寄灵人の灵器</v>
      </c>
      <c r="FH138" s="14">
        <f t="shared" si="221"/>
        <v>1</v>
      </c>
      <c r="FI138" s="14">
        <f t="shared" si="222"/>
        <v>3</v>
      </c>
      <c r="FJ138" s="14">
        <f t="shared" si="223"/>
        <v>70</v>
      </c>
      <c r="FK138" s="14">
        <v>1</v>
      </c>
      <c r="FL138" s="14">
        <f t="shared" si="224"/>
        <v>4</v>
      </c>
      <c r="FM138" s="14">
        <f t="shared" si="240"/>
        <v>1</v>
      </c>
      <c r="FN138" s="14" t="str">
        <f t="shared" si="225"/>
        <v/>
      </c>
      <c r="FO138" s="14">
        <f t="shared" si="226"/>
        <v>120</v>
      </c>
      <c r="FP138" s="14">
        <f t="shared" si="241"/>
        <v>435</v>
      </c>
      <c r="FQ138" s="14">
        <f t="shared" si="242"/>
        <v>0</v>
      </c>
      <c r="FR138" s="14">
        <f t="shared" si="243"/>
        <v>0</v>
      </c>
      <c r="FS138" s="14">
        <f t="shared" si="244"/>
        <v>24</v>
      </c>
      <c r="FT138" s="14">
        <f t="shared" si="245"/>
        <v>0</v>
      </c>
      <c r="FU138" s="14">
        <f t="shared" si="246"/>
        <v>0</v>
      </c>
      <c r="FV138" s="14">
        <f t="shared" si="227"/>
        <v>1043</v>
      </c>
      <c r="FW138" s="14">
        <f t="shared" si="228"/>
        <v>3</v>
      </c>
      <c r="FX138" s="14">
        <f t="shared" si="229"/>
        <v>1043</v>
      </c>
      <c r="FY138" s="25" t="str">
        <f t="shared" si="247"/>
        <v>icon_2004101</v>
      </c>
      <c r="GC138" s="14">
        <f t="shared" si="230"/>
        <v>1</v>
      </c>
      <c r="GD138" s="14">
        <f t="shared" si="231"/>
        <v>0</v>
      </c>
      <c r="GE138" s="14">
        <f t="shared" si="248"/>
        <v>120</v>
      </c>
      <c r="GF138" s="14" t="str">
        <f t="shared" si="232"/>
        <v>AtkExt</v>
      </c>
      <c r="GG138" s="14">
        <f t="shared" si="249"/>
        <v>435</v>
      </c>
      <c r="GH138" s="14">
        <f t="shared" si="250"/>
        <v>24</v>
      </c>
      <c r="GI138" s="14" t="str">
        <f t="shared" si="233"/>
        <v/>
      </c>
      <c r="GJ138" s="14" t="str">
        <f t="shared" si="251"/>
        <v/>
      </c>
      <c r="GK138" s="14" t="str">
        <f t="shared" si="252"/>
        <v/>
      </c>
      <c r="GL138" s="14">
        <f t="shared" si="234"/>
        <v>20430</v>
      </c>
      <c r="GM138" s="14">
        <f t="shared" si="253"/>
        <v>3</v>
      </c>
      <c r="GN138" s="14">
        <f t="shared" si="254"/>
        <v>1043</v>
      </c>
      <c r="GO138" s="25" t="s">
        <v>1471</v>
      </c>
      <c r="GP138" s="14">
        <f t="shared" si="235"/>
        <v>150</v>
      </c>
      <c r="HK138" s="13">
        <v>133</v>
      </c>
      <c r="HL138" s="14">
        <f t="shared" si="255"/>
        <v>6</v>
      </c>
      <c r="HM138" s="14">
        <f t="shared" si="256"/>
        <v>1</v>
      </c>
      <c r="HN138" s="14">
        <f t="shared" si="257"/>
        <v>6</v>
      </c>
      <c r="HO138" s="14">
        <f t="shared" si="258"/>
        <v>4</v>
      </c>
      <c r="HP138" s="14" t="str">
        <f t="shared" si="259"/>
        <v>100级寄灵人洗练-Q4-1</v>
      </c>
      <c r="HQ138" s="14">
        <f t="shared" si="260"/>
        <v>1064</v>
      </c>
      <c r="HR138" s="14">
        <f t="shared" si="261"/>
        <v>1</v>
      </c>
      <c r="HS138" s="14">
        <f t="shared" si="262"/>
        <v>1800</v>
      </c>
      <c r="HT138" s="14" t="str">
        <f t="shared" si="263"/>
        <v>AtkExt</v>
      </c>
      <c r="HU138" s="14">
        <f t="shared" si="264"/>
        <v>157</v>
      </c>
      <c r="HV138" s="14">
        <f t="shared" si="265"/>
        <v>451</v>
      </c>
    </row>
    <row r="139" spans="151:230" ht="16.5" x14ac:dyDescent="0.2">
      <c r="EU139" s="13">
        <v>134</v>
      </c>
      <c r="EV139" s="14">
        <f t="shared" si="236"/>
        <v>1</v>
      </c>
      <c r="EW139" s="14">
        <f t="shared" si="237"/>
        <v>134</v>
      </c>
      <c r="EX139" s="14">
        <f t="shared" si="238"/>
        <v>18</v>
      </c>
      <c r="EY139" s="14">
        <f t="shared" si="213"/>
        <v>30</v>
      </c>
      <c r="EZ139" s="14">
        <f t="shared" si="214"/>
        <v>4</v>
      </c>
      <c r="FA139" s="14">
        <f t="shared" si="215"/>
        <v>70</v>
      </c>
      <c r="FB139" s="14">
        <f t="shared" si="216"/>
        <v>3</v>
      </c>
      <c r="FC139" s="14">
        <f t="shared" si="217"/>
        <v>2</v>
      </c>
      <c r="FD139" s="14">
        <f t="shared" si="218"/>
        <v>2</v>
      </c>
      <c r="FE139" s="14" t="b">
        <f t="shared" si="239"/>
        <v>0</v>
      </c>
      <c r="FF139" s="14">
        <f t="shared" si="219"/>
        <v>2004302</v>
      </c>
      <c r="FG139" s="13" t="str">
        <f t="shared" si="220"/>
        <v>70级-精良寄灵人の头盔</v>
      </c>
      <c r="FH139" s="14">
        <f t="shared" si="221"/>
        <v>1</v>
      </c>
      <c r="FI139" s="14">
        <f t="shared" si="222"/>
        <v>3</v>
      </c>
      <c r="FJ139" s="14">
        <f t="shared" si="223"/>
        <v>70</v>
      </c>
      <c r="FK139" s="14">
        <v>1</v>
      </c>
      <c r="FL139" s="14">
        <f t="shared" si="224"/>
        <v>4</v>
      </c>
      <c r="FM139" s="14">
        <f t="shared" si="240"/>
        <v>2</v>
      </c>
      <c r="FN139" s="14" t="str">
        <f t="shared" si="225"/>
        <v/>
      </c>
      <c r="FO139" s="14">
        <f t="shared" si="226"/>
        <v>60</v>
      </c>
      <c r="FP139" s="14">
        <f t="shared" si="241"/>
        <v>0</v>
      </c>
      <c r="FQ139" s="14">
        <f t="shared" si="242"/>
        <v>110</v>
      </c>
      <c r="FR139" s="14">
        <f t="shared" si="243"/>
        <v>0</v>
      </c>
      <c r="FS139" s="14">
        <f t="shared" si="244"/>
        <v>0</v>
      </c>
      <c r="FT139" s="14">
        <f t="shared" si="245"/>
        <v>6</v>
      </c>
      <c r="FU139" s="14">
        <f t="shared" si="246"/>
        <v>0</v>
      </c>
      <c r="FV139" s="14">
        <f t="shared" si="227"/>
        <v>1043</v>
      </c>
      <c r="FW139" s="14">
        <f t="shared" si="228"/>
        <v>3</v>
      </c>
      <c r="FX139" s="14">
        <f t="shared" si="229"/>
        <v>1043</v>
      </c>
      <c r="FY139" s="25" t="str">
        <f t="shared" si="247"/>
        <v>icon_2004102</v>
      </c>
      <c r="GC139" s="14">
        <f t="shared" si="230"/>
        <v>2</v>
      </c>
      <c r="GD139" s="14">
        <f t="shared" si="231"/>
        <v>0</v>
      </c>
      <c r="GE139" s="14">
        <f t="shared" si="248"/>
        <v>60</v>
      </c>
      <c r="GF139" s="14" t="str">
        <f t="shared" si="232"/>
        <v>DefExt</v>
      </c>
      <c r="GG139" s="14">
        <f t="shared" si="249"/>
        <v>110</v>
      </c>
      <c r="GH139" s="14">
        <f t="shared" si="250"/>
        <v>6</v>
      </c>
      <c r="GI139" s="14" t="str">
        <f t="shared" si="233"/>
        <v/>
      </c>
      <c r="GJ139" s="14" t="str">
        <f t="shared" si="251"/>
        <v/>
      </c>
      <c r="GK139" s="14" t="str">
        <f t="shared" si="252"/>
        <v/>
      </c>
      <c r="GL139" s="14">
        <f t="shared" si="234"/>
        <v>20430</v>
      </c>
      <c r="GM139" s="14">
        <f t="shared" si="253"/>
        <v>3</v>
      </c>
      <c r="GN139" s="14">
        <f t="shared" si="254"/>
        <v>1043</v>
      </c>
      <c r="GO139" s="25" t="s">
        <v>1471</v>
      </c>
      <c r="GP139" s="14">
        <f t="shared" si="235"/>
        <v>75</v>
      </c>
      <c r="HK139" s="13">
        <v>134</v>
      </c>
      <c r="HL139" s="14">
        <f t="shared" si="255"/>
        <v>6</v>
      </c>
      <c r="HM139" s="14">
        <f t="shared" si="256"/>
        <v>1</v>
      </c>
      <c r="HN139" s="14">
        <f t="shared" si="257"/>
        <v>6</v>
      </c>
      <c r="HO139" s="14">
        <f t="shared" si="258"/>
        <v>4</v>
      </c>
      <c r="HP139" s="14" t="str">
        <f t="shared" si="259"/>
        <v>100级寄灵人洗练-Q4-2</v>
      </c>
      <c r="HQ139" s="14">
        <f t="shared" si="260"/>
        <v>1064</v>
      </c>
      <c r="HR139" s="14">
        <f t="shared" si="261"/>
        <v>2</v>
      </c>
      <c r="HS139" s="14">
        <f t="shared" si="262"/>
        <v>1800</v>
      </c>
      <c r="HT139" s="14" t="str">
        <f t="shared" si="263"/>
        <v>DefExt</v>
      </c>
      <c r="HU139" s="14">
        <f t="shared" si="264"/>
        <v>55</v>
      </c>
      <c r="HV139" s="14">
        <f t="shared" si="265"/>
        <v>158</v>
      </c>
    </row>
    <row r="140" spans="151:230" ht="16.5" x14ac:dyDescent="0.2">
      <c r="EU140" s="13">
        <v>135</v>
      </c>
      <c r="EV140" s="14">
        <f t="shared" si="236"/>
        <v>1</v>
      </c>
      <c r="EW140" s="14">
        <f t="shared" si="237"/>
        <v>135</v>
      </c>
      <c r="EX140" s="14">
        <f t="shared" si="238"/>
        <v>18</v>
      </c>
      <c r="EY140" s="14">
        <f t="shared" si="213"/>
        <v>30</v>
      </c>
      <c r="EZ140" s="14">
        <f t="shared" si="214"/>
        <v>4</v>
      </c>
      <c r="FA140" s="14">
        <f t="shared" si="215"/>
        <v>70</v>
      </c>
      <c r="FB140" s="14">
        <f t="shared" si="216"/>
        <v>3</v>
      </c>
      <c r="FC140" s="14">
        <f t="shared" si="217"/>
        <v>3</v>
      </c>
      <c r="FD140" s="14">
        <f t="shared" si="218"/>
        <v>3</v>
      </c>
      <c r="FE140" s="14" t="b">
        <f t="shared" si="239"/>
        <v>0</v>
      </c>
      <c r="FF140" s="14">
        <f t="shared" si="219"/>
        <v>2004303</v>
      </c>
      <c r="FG140" s="13" t="str">
        <f t="shared" si="220"/>
        <v>70级-精良寄灵人の铠甲</v>
      </c>
      <c r="FH140" s="14">
        <f t="shared" si="221"/>
        <v>1</v>
      </c>
      <c r="FI140" s="14">
        <f t="shared" si="222"/>
        <v>3</v>
      </c>
      <c r="FJ140" s="14">
        <f t="shared" si="223"/>
        <v>70</v>
      </c>
      <c r="FK140" s="14">
        <v>1</v>
      </c>
      <c r="FL140" s="14">
        <f t="shared" si="224"/>
        <v>4</v>
      </c>
      <c r="FM140" s="14">
        <f t="shared" si="240"/>
        <v>3</v>
      </c>
      <c r="FN140" s="14" t="str">
        <f t="shared" si="225"/>
        <v/>
      </c>
      <c r="FO140" s="14">
        <f t="shared" si="226"/>
        <v>76</v>
      </c>
      <c r="FP140" s="14">
        <f t="shared" si="241"/>
        <v>0</v>
      </c>
      <c r="FQ140" s="14">
        <f t="shared" si="242"/>
        <v>55</v>
      </c>
      <c r="FR140" s="14">
        <f t="shared" si="243"/>
        <v>825</v>
      </c>
      <c r="FS140" s="14">
        <f t="shared" si="244"/>
        <v>0</v>
      </c>
      <c r="FT140" s="14">
        <f t="shared" si="245"/>
        <v>3</v>
      </c>
      <c r="FU140" s="14">
        <f t="shared" si="246"/>
        <v>46</v>
      </c>
      <c r="FV140" s="14">
        <f t="shared" si="227"/>
        <v>1043</v>
      </c>
      <c r="FW140" s="14">
        <f t="shared" si="228"/>
        <v>3</v>
      </c>
      <c r="FX140" s="14">
        <f t="shared" si="229"/>
        <v>1043</v>
      </c>
      <c r="FY140" s="25" t="str">
        <f t="shared" si="247"/>
        <v>icon_2004103</v>
      </c>
      <c r="GC140" s="14">
        <f t="shared" si="230"/>
        <v>2</v>
      </c>
      <c r="GD140" s="14">
        <f t="shared" si="231"/>
        <v>3</v>
      </c>
      <c r="GE140" s="14">
        <f t="shared" si="248"/>
        <v>76</v>
      </c>
      <c r="GF140" s="14" t="str">
        <f t="shared" si="232"/>
        <v>DefExt</v>
      </c>
      <c r="GG140" s="14">
        <f t="shared" si="249"/>
        <v>55</v>
      </c>
      <c r="GH140" s="14">
        <f t="shared" si="250"/>
        <v>3</v>
      </c>
      <c r="GI140" s="14" t="str">
        <f t="shared" si="233"/>
        <v>HPExt</v>
      </c>
      <c r="GJ140" s="14">
        <f t="shared" si="251"/>
        <v>825</v>
      </c>
      <c r="GK140" s="14">
        <f t="shared" si="252"/>
        <v>46</v>
      </c>
      <c r="GL140" s="14">
        <f t="shared" si="234"/>
        <v>20430</v>
      </c>
      <c r="GM140" s="14">
        <f t="shared" si="253"/>
        <v>3</v>
      </c>
      <c r="GN140" s="14">
        <f t="shared" si="254"/>
        <v>1043</v>
      </c>
      <c r="GO140" s="25" t="s">
        <v>1471</v>
      </c>
      <c r="GP140" s="14">
        <f t="shared" si="235"/>
        <v>75</v>
      </c>
      <c r="HK140" s="13">
        <v>135</v>
      </c>
      <c r="HL140" s="14">
        <f t="shared" si="255"/>
        <v>6</v>
      </c>
      <c r="HM140" s="14">
        <f t="shared" si="256"/>
        <v>1</v>
      </c>
      <c r="HN140" s="14">
        <f t="shared" si="257"/>
        <v>6</v>
      </c>
      <c r="HO140" s="14">
        <f t="shared" si="258"/>
        <v>4</v>
      </c>
      <c r="HP140" s="14" t="str">
        <f t="shared" si="259"/>
        <v>100级寄灵人洗练-Q4-3</v>
      </c>
      <c r="HQ140" s="14">
        <f t="shared" si="260"/>
        <v>1064</v>
      </c>
      <c r="HR140" s="14">
        <f t="shared" si="261"/>
        <v>3</v>
      </c>
      <c r="HS140" s="14">
        <f t="shared" si="262"/>
        <v>2000</v>
      </c>
      <c r="HT140" s="14" t="str">
        <f t="shared" si="263"/>
        <v>HPExt</v>
      </c>
      <c r="HU140" s="14">
        <f t="shared" si="264"/>
        <v>1127</v>
      </c>
      <c r="HV140" s="14">
        <f t="shared" si="265"/>
        <v>3222</v>
      </c>
    </row>
    <row r="141" spans="151:230" ht="16.5" x14ac:dyDescent="0.2">
      <c r="EU141" s="13">
        <v>136</v>
      </c>
      <c r="EV141" s="14">
        <f t="shared" si="236"/>
        <v>1</v>
      </c>
      <c r="EW141" s="14">
        <f t="shared" si="237"/>
        <v>136</v>
      </c>
      <c r="EX141" s="14">
        <f t="shared" si="238"/>
        <v>18</v>
      </c>
      <c r="EY141" s="14">
        <f t="shared" si="213"/>
        <v>30</v>
      </c>
      <c r="EZ141" s="14">
        <f t="shared" si="214"/>
        <v>4</v>
      </c>
      <c r="FA141" s="14">
        <f t="shared" si="215"/>
        <v>70</v>
      </c>
      <c r="FB141" s="14">
        <f t="shared" si="216"/>
        <v>3</v>
      </c>
      <c r="FC141" s="14">
        <f t="shared" si="217"/>
        <v>4</v>
      </c>
      <c r="FD141" s="14">
        <f t="shared" si="218"/>
        <v>4</v>
      </c>
      <c r="FE141" s="14" t="b">
        <f t="shared" si="239"/>
        <v>0</v>
      </c>
      <c r="FF141" s="14">
        <f t="shared" si="219"/>
        <v>2004304</v>
      </c>
      <c r="FG141" s="13" t="str">
        <f t="shared" si="220"/>
        <v>70级-精良寄灵人の裤子</v>
      </c>
      <c r="FH141" s="14">
        <f t="shared" si="221"/>
        <v>1</v>
      </c>
      <c r="FI141" s="14">
        <f t="shared" si="222"/>
        <v>3</v>
      </c>
      <c r="FJ141" s="14">
        <f t="shared" si="223"/>
        <v>70</v>
      </c>
      <c r="FK141" s="14">
        <v>1</v>
      </c>
      <c r="FL141" s="14">
        <f t="shared" si="224"/>
        <v>4</v>
      </c>
      <c r="FM141" s="14">
        <f t="shared" si="240"/>
        <v>4</v>
      </c>
      <c r="FN141" s="14" t="str">
        <f t="shared" si="225"/>
        <v/>
      </c>
      <c r="FO141" s="14">
        <f t="shared" si="226"/>
        <v>60</v>
      </c>
      <c r="FP141" s="14">
        <f t="shared" si="241"/>
        <v>0</v>
      </c>
      <c r="FQ141" s="14">
        <f t="shared" si="242"/>
        <v>110</v>
      </c>
      <c r="FR141" s="14">
        <f t="shared" si="243"/>
        <v>0</v>
      </c>
      <c r="FS141" s="14">
        <f t="shared" si="244"/>
        <v>0</v>
      </c>
      <c r="FT141" s="14">
        <f t="shared" si="245"/>
        <v>6</v>
      </c>
      <c r="FU141" s="14">
        <f t="shared" si="246"/>
        <v>0</v>
      </c>
      <c r="FV141" s="14">
        <f t="shared" si="227"/>
        <v>1043</v>
      </c>
      <c r="FW141" s="14">
        <f t="shared" si="228"/>
        <v>3</v>
      </c>
      <c r="FX141" s="14">
        <f t="shared" si="229"/>
        <v>1043</v>
      </c>
      <c r="FY141" s="25" t="str">
        <f t="shared" si="247"/>
        <v>icon_2004104</v>
      </c>
      <c r="GC141" s="14">
        <f t="shared" si="230"/>
        <v>2</v>
      </c>
      <c r="GD141" s="14">
        <f t="shared" si="231"/>
        <v>0</v>
      </c>
      <c r="GE141" s="14">
        <f t="shared" si="248"/>
        <v>60</v>
      </c>
      <c r="GF141" s="14" t="str">
        <f t="shared" si="232"/>
        <v>DefExt</v>
      </c>
      <c r="GG141" s="14">
        <f t="shared" si="249"/>
        <v>110</v>
      </c>
      <c r="GH141" s="14">
        <f t="shared" si="250"/>
        <v>6</v>
      </c>
      <c r="GI141" s="14" t="str">
        <f t="shared" si="233"/>
        <v/>
      </c>
      <c r="GJ141" s="14" t="str">
        <f t="shared" si="251"/>
        <v/>
      </c>
      <c r="GK141" s="14" t="str">
        <f t="shared" si="252"/>
        <v/>
      </c>
      <c r="GL141" s="14">
        <f t="shared" si="234"/>
        <v>20430</v>
      </c>
      <c r="GM141" s="14">
        <f t="shared" si="253"/>
        <v>3</v>
      </c>
      <c r="GN141" s="14">
        <f t="shared" si="254"/>
        <v>1043</v>
      </c>
      <c r="GO141" s="25" t="s">
        <v>1471</v>
      </c>
      <c r="GP141" s="14">
        <f t="shared" si="235"/>
        <v>75</v>
      </c>
      <c r="HK141" s="13">
        <v>136</v>
      </c>
      <c r="HL141" s="14">
        <f t="shared" si="255"/>
        <v>6</v>
      </c>
      <c r="HM141" s="14">
        <f t="shared" si="256"/>
        <v>1</v>
      </c>
      <c r="HN141" s="14">
        <f t="shared" si="257"/>
        <v>6</v>
      </c>
      <c r="HO141" s="14">
        <f t="shared" si="258"/>
        <v>4</v>
      </c>
      <c r="HP141" s="14" t="str">
        <f t="shared" si="259"/>
        <v>100级寄灵人洗练-Q4-4</v>
      </c>
      <c r="HQ141" s="14">
        <f t="shared" si="260"/>
        <v>1064</v>
      </c>
      <c r="HR141" s="14">
        <f t="shared" si="261"/>
        <v>4</v>
      </c>
      <c r="HS141" s="14">
        <f t="shared" si="262"/>
        <v>500</v>
      </c>
      <c r="HT141" s="14" t="str">
        <f t="shared" si="263"/>
        <v>AtkRate</v>
      </c>
      <c r="HU141" s="14">
        <f t="shared" si="264"/>
        <v>1.4E-2</v>
      </c>
      <c r="HV141" s="14">
        <f t="shared" si="265"/>
        <v>0.04</v>
      </c>
    </row>
    <row r="142" spans="151:230" ht="16.5" x14ac:dyDescent="0.2">
      <c r="EU142" s="13">
        <v>137</v>
      </c>
      <c r="EV142" s="14">
        <f t="shared" si="236"/>
        <v>1</v>
      </c>
      <c r="EW142" s="14">
        <f t="shared" si="237"/>
        <v>137</v>
      </c>
      <c r="EX142" s="14">
        <f t="shared" si="238"/>
        <v>18</v>
      </c>
      <c r="EY142" s="14">
        <f t="shared" si="213"/>
        <v>30</v>
      </c>
      <c r="EZ142" s="14">
        <f t="shared" si="214"/>
        <v>4</v>
      </c>
      <c r="FA142" s="14">
        <f t="shared" si="215"/>
        <v>70</v>
      </c>
      <c r="FB142" s="14">
        <f t="shared" si="216"/>
        <v>3</v>
      </c>
      <c r="FC142" s="14">
        <f t="shared" si="217"/>
        <v>5</v>
      </c>
      <c r="FD142" s="14">
        <f t="shared" si="218"/>
        <v>5</v>
      </c>
      <c r="FE142" s="14" t="b">
        <f t="shared" si="239"/>
        <v>0</v>
      </c>
      <c r="FF142" s="14">
        <f t="shared" si="219"/>
        <v>2004305</v>
      </c>
      <c r="FG142" s="13" t="str">
        <f t="shared" si="220"/>
        <v>70级-精良寄灵人の鞋子</v>
      </c>
      <c r="FH142" s="14">
        <f t="shared" si="221"/>
        <v>1</v>
      </c>
      <c r="FI142" s="14">
        <f t="shared" si="222"/>
        <v>3</v>
      </c>
      <c r="FJ142" s="14">
        <f t="shared" si="223"/>
        <v>70</v>
      </c>
      <c r="FK142" s="14">
        <v>1</v>
      </c>
      <c r="FL142" s="14">
        <f t="shared" si="224"/>
        <v>4</v>
      </c>
      <c r="FM142" s="14">
        <f t="shared" si="240"/>
        <v>5</v>
      </c>
      <c r="FN142" s="14" t="str">
        <f t="shared" si="225"/>
        <v/>
      </c>
      <c r="FO142" s="14">
        <f t="shared" si="226"/>
        <v>91</v>
      </c>
      <c r="FP142" s="14">
        <f t="shared" si="241"/>
        <v>0</v>
      </c>
      <c r="FQ142" s="14">
        <f t="shared" si="242"/>
        <v>0</v>
      </c>
      <c r="FR142" s="14">
        <f t="shared" si="243"/>
        <v>1645</v>
      </c>
      <c r="FS142" s="14">
        <f t="shared" si="244"/>
        <v>0</v>
      </c>
      <c r="FT142" s="14">
        <f t="shared" si="245"/>
        <v>0</v>
      </c>
      <c r="FU142" s="14">
        <f t="shared" si="246"/>
        <v>91</v>
      </c>
      <c r="FV142" s="14">
        <f t="shared" si="227"/>
        <v>1043</v>
      </c>
      <c r="FW142" s="14">
        <f t="shared" si="228"/>
        <v>3</v>
      </c>
      <c r="FX142" s="14">
        <f t="shared" si="229"/>
        <v>1043</v>
      </c>
      <c r="FY142" s="25" t="str">
        <f t="shared" si="247"/>
        <v>icon_2004105</v>
      </c>
      <c r="GC142" s="14">
        <f t="shared" si="230"/>
        <v>3</v>
      </c>
      <c r="GD142" s="14">
        <f t="shared" si="231"/>
        <v>0</v>
      </c>
      <c r="GE142" s="14">
        <f t="shared" si="248"/>
        <v>91</v>
      </c>
      <c r="GF142" s="14" t="str">
        <f t="shared" si="232"/>
        <v>HPExt</v>
      </c>
      <c r="GG142" s="14">
        <f t="shared" si="249"/>
        <v>1645</v>
      </c>
      <c r="GH142" s="14">
        <f t="shared" si="250"/>
        <v>91</v>
      </c>
      <c r="GI142" s="14" t="str">
        <f t="shared" si="233"/>
        <v/>
      </c>
      <c r="GJ142" s="14" t="str">
        <f t="shared" si="251"/>
        <v/>
      </c>
      <c r="GK142" s="14" t="str">
        <f t="shared" si="252"/>
        <v/>
      </c>
      <c r="GL142" s="14">
        <f t="shared" si="234"/>
        <v>20430</v>
      </c>
      <c r="GM142" s="14">
        <f t="shared" si="253"/>
        <v>3</v>
      </c>
      <c r="GN142" s="14">
        <f t="shared" si="254"/>
        <v>1043</v>
      </c>
      <c r="GO142" s="25" t="s">
        <v>1471</v>
      </c>
      <c r="GP142" s="14">
        <f t="shared" si="235"/>
        <v>75</v>
      </c>
      <c r="HK142" s="13">
        <v>137</v>
      </c>
      <c r="HL142" s="14">
        <f t="shared" si="255"/>
        <v>6</v>
      </c>
      <c r="HM142" s="14">
        <f t="shared" si="256"/>
        <v>1</v>
      </c>
      <c r="HN142" s="14">
        <f t="shared" si="257"/>
        <v>6</v>
      </c>
      <c r="HO142" s="14">
        <f t="shared" si="258"/>
        <v>4</v>
      </c>
      <c r="HP142" s="14" t="str">
        <f t="shared" si="259"/>
        <v>100级寄灵人洗练-Q4-5</v>
      </c>
      <c r="HQ142" s="14">
        <f t="shared" si="260"/>
        <v>1064</v>
      </c>
      <c r="HR142" s="14">
        <f t="shared" si="261"/>
        <v>5</v>
      </c>
      <c r="HS142" s="14">
        <f t="shared" si="262"/>
        <v>400</v>
      </c>
      <c r="HT142" s="14" t="str">
        <f t="shared" si="263"/>
        <v>DefRate</v>
      </c>
      <c r="HU142" s="14">
        <f t="shared" si="264"/>
        <v>1.4E-2</v>
      </c>
      <c r="HV142" s="14">
        <f t="shared" si="265"/>
        <v>0.04</v>
      </c>
    </row>
    <row r="143" spans="151:230" ht="16.5" x14ac:dyDescent="0.2">
      <c r="EU143" s="13">
        <v>138</v>
      </c>
      <c r="EV143" s="14">
        <f t="shared" si="236"/>
        <v>1</v>
      </c>
      <c r="EW143" s="14">
        <f t="shared" si="237"/>
        <v>138</v>
      </c>
      <c r="EX143" s="14">
        <f t="shared" si="238"/>
        <v>18</v>
      </c>
      <c r="EY143" s="14">
        <f t="shared" si="213"/>
        <v>30</v>
      </c>
      <c r="EZ143" s="14">
        <f t="shared" si="214"/>
        <v>4</v>
      </c>
      <c r="FA143" s="14">
        <f t="shared" si="215"/>
        <v>70</v>
      </c>
      <c r="FB143" s="14">
        <f t="shared" si="216"/>
        <v>3</v>
      </c>
      <c r="FC143" s="14">
        <f t="shared" si="217"/>
        <v>6</v>
      </c>
      <c r="FD143" s="14">
        <f t="shared" si="218"/>
        <v>6</v>
      </c>
      <c r="FE143" s="14" t="b">
        <f t="shared" si="239"/>
        <v>0</v>
      </c>
      <c r="FF143" s="14">
        <f t="shared" si="219"/>
        <v>2004306</v>
      </c>
      <c r="FG143" s="13" t="str">
        <f t="shared" si="220"/>
        <v>70级-精良寄灵人の护手</v>
      </c>
      <c r="FH143" s="14">
        <f t="shared" si="221"/>
        <v>1</v>
      </c>
      <c r="FI143" s="14">
        <f t="shared" si="222"/>
        <v>3</v>
      </c>
      <c r="FJ143" s="14">
        <f t="shared" si="223"/>
        <v>70</v>
      </c>
      <c r="FK143" s="14">
        <v>1</v>
      </c>
      <c r="FL143" s="14">
        <f t="shared" si="224"/>
        <v>4</v>
      </c>
      <c r="FM143" s="14">
        <f t="shared" si="240"/>
        <v>6</v>
      </c>
      <c r="FN143" s="14" t="str">
        <f t="shared" si="225"/>
        <v/>
      </c>
      <c r="FO143" s="14">
        <f t="shared" si="226"/>
        <v>91</v>
      </c>
      <c r="FP143" s="14">
        <f t="shared" si="241"/>
        <v>0</v>
      </c>
      <c r="FQ143" s="14">
        <f t="shared" si="242"/>
        <v>0</v>
      </c>
      <c r="FR143" s="14">
        <f t="shared" si="243"/>
        <v>1645</v>
      </c>
      <c r="FS143" s="14">
        <f t="shared" si="244"/>
        <v>0</v>
      </c>
      <c r="FT143" s="14">
        <f t="shared" si="245"/>
        <v>0</v>
      </c>
      <c r="FU143" s="14">
        <f t="shared" si="246"/>
        <v>91</v>
      </c>
      <c r="FV143" s="14">
        <f t="shared" si="227"/>
        <v>1043</v>
      </c>
      <c r="FW143" s="14">
        <f t="shared" si="228"/>
        <v>3</v>
      </c>
      <c r="FX143" s="14">
        <f t="shared" si="229"/>
        <v>1043</v>
      </c>
      <c r="FY143" s="25" t="str">
        <f t="shared" si="247"/>
        <v>icon_2004106</v>
      </c>
      <c r="GC143" s="14">
        <f t="shared" si="230"/>
        <v>3</v>
      </c>
      <c r="GD143" s="14">
        <f t="shared" si="231"/>
        <v>0</v>
      </c>
      <c r="GE143" s="14">
        <f t="shared" si="248"/>
        <v>91</v>
      </c>
      <c r="GF143" s="14" t="str">
        <f t="shared" si="232"/>
        <v>HPExt</v>
      </c>
      <c r="GG143" s="14">
        <f t="shared" si="249"/>
        <v>1645</v>
      </c>
      <c r="GH143" s="14">
        <f t="shared" si="250"/>
        <v>91</v>
      </c>
      <c r="GI143" s="14" t="str">
        <f t="shared" si="233"/>
        <v/>
      </c>
      <c r="GJ143" s="14" t="str">
        <f t="shared" si="251"/>
        <v/>
      </c>
      <c r="GK143" s="14" t="str">
        <f t="shared" si="252"/>
        <v/>
      </c>
      <c r="GL143" s="14">
        <f t="shared" si="234"/>
        <v>20430</v>
      </c>
      <c r="GM143" s="14">
        <f t="shared" si="253"/>
        <v>3</v>
      </c>
      <c r="GN143" s="14">
        <f t="shared" si="254"/>
        <v>1043</v>
      </c>
      <c r="GO143" s="25" t="s">
        <v>1471</v>
      </c>
      <c r="GP143" s="14">
        <f t="shared" si="235"/>
        <v>75</v>
      </c>
      <c r="HK143" s="13">
        <v>138</v>
      </c>
      <c r="HL143" s="14">
        <f t="shared" si="255"/>
        <v>6</v>
      </c>
      <c r="HM143" s="14">
        <f t="shared" si="256"/>
        <v>1</v>
      </c>
      <c r="HN143" s="14">
        <f t="shared" si="257"/>
        <v>6</v>
      </c>
      <c r="HO143" s="14">
        <f t="shared" si="258"/>
        <v>4</v>
      </c>
      <c r="HP143" s="14" t="str">
        <f t="shared" si="259"/>
        <v>100级寄灵人洗练-Q4-6</v>
      </c>
      <c r="HQ143" s="14">
        <f t="shared" si="260"/>
        <v>1064</v>
      </c>
      <c r="HR143" s="14">
        <f t="shared" si="261"/>
        <v>6</v>
      </c>
      <c r="HS143" s="14">
        <f t="shared" si="262"/>
        <v>500</v>
      </c>
      <c r="HT143" s="14" t="str">
        <f t="shared" si="263"/>
        <v>HPRate</v>
      </c>
      <c r="HU143" s="14">
        <f t="shared" si="264"/>
        <v>1.4E-2</v>
      </c>
      <c r="HV143" s="14">
        <f t="shared" si="265"/>
        <v>0.04</v>
      </c>
    </row>
    <row r="144" spans="151:230" ht="16.5" x14ac:dyDescent="0.2">
      <c r="EU144" s="13">
        <v>139</v>
      </c>
      <c r="EV144" s="14">
        <f t="shared" si="236"/>
        <v>1</v>
      </c>
      <c r="EW144" s="14">
        <f t="shared" si="237"/>
        <v>139</v>
      </c>
      <c r="EX144" s="14">
        <f t="shared" si="238"/>
        <v>18</v>
      </c>
      <c r="EY144" s="14">
        <f t="shared" si="213"/>
        <v>30</v>
      </c>
      <c r="EZ144" s="14">
        <f t="shared" si="214"/>
        <v>4</v>
      </c>
      <c r="FA144" s="14">
        <f t="shared" si="215"/>
        <v>70</v>
      </c>
      <c r="FB144" s="14">
        <f t="shared" si="216"/>
        <v>3</v>
      </c>
      <c r="FC144" s="14">
        <f t="shared" si="217"/>
        <v>7</v>
      </c>
      <c r="FD144" s="14">
        <f t="shared" si="218"/>
        <v>7</v>
      </c>
      <c r="FE144" s="14" t="b">
        <f t="shared" si="239"/>
        <v>0</v>
      </c>
      <c r="FF144" s="14">
        <f t="shared" si="219"/>
        <v>2004307</v>
      </c>
      <c r="FG144" s="13" t="str">
        <f t="shared" si="220"/>
        <v>70级-精良寄灵人の项链</v>
      </c>
      <c r="FH144" s="14">
        <f t="shared" si="221"/>
        <v>1</v>
      </c>
      <c r="FI144" s="14">
        <f t="shared" si="222"/>
        <v>3</v>
      </c>
      <c r="FJ144" s="14">
        <f t="shared" si="223"/>
        <v>70</v>
      </c>
      <c r="FK144" s="14">
        <v>1</v>
      </c>
      <c r="FL144" s="14">
        <f t="shared" si="224"/>
        <v>4</v>
      </c>
      <c r="FM144" s="14">
        <f t="shared" si="240"/>
        <v>7</v>
      </c>
      <c r="FN144" s="14" t="str">
        <f t="shared" si="225"/>
        <v/>
      </c>
      <c r="FO144" s="14">
        <f t="shared" si="226"/>
        <v>90</v>
      </c>
      <c r="FP144" s="14">
        <f t="shared" si="241"/>
        <v>145</v>
      </c>
      <c r="FQ144" s="14">
        <f t="shared" si="242"/>
        <v>90</v>
      </c>
      <c r="FR144" s="14">
        <f t="shared" si="243"/>
        <v>0</v>
      </c>
      <c r="FS144" s="14">
        <f t="shared" si="244"/>
        <v>8</v>
      </c>
      <c r="FT144" s="14">
        <f t="shared" si="245"/>
        <v>5</v>
      </c>
      <c r="FU144" s="14">
        <f t="shared" si="246"/>
        <v>0</v>
      </c>
      <c r="FV144" s="14">
        <f t="shared" si="227"/>
        <v>1043</v>
      </c>
      <c r="FW144" s="14">
        <f t="shared" si="228"/>
        <v>3</v>
      </c>
      <c r="FX144" s="14">
        <f t="shared" si="229"/>
        <v>1043</v>
      </c>
      <c r="FY144" s="25" t="str">
        <f t="shared" si="247"/>
        <v>icon_2004107</v>
      </c>
      <c r="GC144" s="14">
        <f t="shared" si="230"/>
        <v>1</v>
      </c>
      <c r="GD144" s="14">
        <f t="shared" si="231"/>
        <v>2</v>
      </c>
      <c r="GE144" s="14">
        <f t="shared" si="248"/>
        <v>90</v>
      </c>
      <c r="GF144" s="14" t="str">
        <f t="shared" si="232"/>
        <v>AtkExt</v>
      </c>
      <c r="GG144" s="14">
        <f t="shared" si="249"/>
        <v>145</v>
      </c>
      <c r="GH144" s="14">
        <f t="shared" si="250"/>
        <v>8</v>
      </c>
      <c r="GI144" s="14" t="str">
        <f t="shared" si="233"/>
        <v>DefExt</v>
      </c>
      <c r="GJ144" s="14">
        <f t="shared" si="251"/>
        <v>90</v>
      </c>
      <c r="GK144" s="14">
        <f t="shared" si="252"/>
        <v>5</v>
      </c>
      <c r="GL144" s="14">
        <f t="shared" si="234"/>
        <v>20430</v>
      </c>
      <c r="GM144" s="14">
        <f t="shared" si="253"/>
        <v>3</v>
      </c>
      <c r="GN144" s="14">
        <f t="shared" si="254"/>
        <v>1043</v>
      </c>
      <c r="GO144" s="25" t="s">
        <v>1471</v>
      </c>
      <c r="GP144" s="14">
        <f t="shared" si="235"/>
        <v>113</v>
      </c>
      <c r="HK144" s="13">
        <v>139</v>
      </c>
      <c r="HL144" s="14">
        <f t="shared" si="255"/>
        <v>6</v>
      </c>
      <c r="HM144" s="14">
        <f t="shared" si="256"/>
        <v>1</v>
      </c>
      <c r="HN144" s="14">
        <f t="shared" si="257"/>
        <v>6</v>
      </c>
      <c r="HO144" s="14">
        <f t="shared" si="258"/>
        <v>4</v>
      </c>
      <c r="HP144" s="14" t="str">
        <f t="shared" si="259"/>
        <v>100级寄灵人洗练-Q4-7</v>
      </c>
      <c r="HQ144" s="14">
        <f t="shared" si="260"/>
        <v>1064</v>
      </c>
      <c r="HR144" s="14">
        <f t="shared" si="261"/>
        <v>7</v>
      </c>
      <c r="HS144" s="14">
        <f t="shared" si="262"/>
        <v>500</v>
      </c>
      <c r="HT144" s="14" t="str">
        <f t="shared" si="263"/>
        <v>Crit</v>
      </c>
      <c r="HU144" s="14">
        <f t="shared" si="264"/>
        <v>1.0999999999999999E-2</v>
      </c>
      <c r="HV144" s="14">
        <f t="shared" si="265"/>
        <v>0.03</v>
      </c>
    </row>
    <row r="145" spans="151:230" ht="16.5" x14ac:dyDescent="0.2">
      <c r="EU145" s="13">
        <v>140</v>
      </c>
      <c r="EV145" s="14">
        <f t="shared" si="236"/>
        <v>1</v>
      </c>
      <c r="EW145" s="14">
        <f t="shared" si="237"/>
        <v>140</v>
      </c>
      <c r="EX145" s="14">
        <f t="shared" si="238"/>
        <v>18</v>
      </c>
      <c r="EY145" s="14">
        <f t="shared" si="213"/>
        <v>30</v>
      </c>
      <c r="EZ145" s="14">
        <f t="shared" si="214"/>
        <v>4</v>
      </c>
      <c r="FA145" s="14">
        <f t="shared" si="215"/>
        <v>70</v>
      </c>
      <c r="FB145" s="14">
        <f t="shared" si="216"/>
        <v>3</v>
      </c>
      <c r="FC145" s="14">
        <f t="shared" si="217"/>
        <v>8</v>
      </c>
      <c r="FD145" s="14">
        <f t="shared" si="218"/>
        <v>8</v>
      </c>
      <c r="FE145" s="14" t="b">
        <f t="shared" si="239"/>
        <v>0</v>
      </c>
      <c r="FF145" s="14">
        <f t="shared" si="219"/>
        <v>2004308</v>
      </c>
      <c r="FG145" s="13" t="str">
        <f t="shared" si="220"/>
        <v>70级-精良寄灵人の戒指</v>
      </c>
      <c r="FH145" s="14">
        <f t="shared" si="221"/>
        <v>1</v>
      </c>
      <c r="FI145" s="14">
        <f t="shared" si="222"/>
        <v>3</v>
      </c>
      <c r="FJ145" s="14">
        <f t="shared" si="223"/>
        <v>70</v>
      </c>
      <c r="FK145" s="14">
        <v>1</v>
      </c>
      <c r="FL145" s="14">
        <f t="shared" si="224"/>
        <v>4</v>
      </c>
      <c r="FM145" s="14">
        <f t="shared" si="240"/>
        <v>8</v>
      </c>
      <c r="FN145" s="14" t="str">
        <f t="shared" si="225"/>
        <v/>
      </c>
      <c r="FO145" s="14">
        <f t="shared" si="226"/>
        <v>116</v>
      </c>
      <c r="FP145" s="14">
        <f t="shared" si="241"/>
        <v>145</v>
      </c>
      <c r="FQ145" s="14">
        <f t="shared" si="242"/>
        <v>0</v>
      </c>
      <c r="FR145" s="14">
        <f t="shared" si="243"/>
        <v>1375</v>
      </c>
      <c r="FS145" s="14">
        <f t="shared" si="244"/>
        <v>8</v>
      </c>
      <c r="FT145" s="14">
        <f t="shared" si="245"/>
        <v>0</v>
      </c>
      <c r="FU145" s="14">
        <f t="shared" si="246"/>
        <v>76</v>
      </c>
      <c r="FV145" s="14">
        <f t="shared" si="227"/>
        <v>1043</v>
      </c>
      <c r="FW145" s="14">
        <f t="shared" si="228"/>
        <v>3</v>
      </c>
      <c r="FX145" s="14">
        <f t="shared" si="229"/>
        <v>1043</v>
      </c>
      <c r="FY145" s="25" t="str">
        <f t="shared" si="247"/>
        <v>icon_2004108</v>
      </c>
      <c r="GC145" s="14">
        <f t="shared" si="230"/>
        <v>1</v>
      </c>
      <c r="GD145" s="14">
        <f t="shared" si="231"/>
        <v>3</v>
      </c>
      <c r="GE145" s="14">
        <f t="shared" si="248"/>
        <v>116</v>
      </c>
      <c r="GF145" s="14" t="str">
        <f t="shared" si="232"/>
        <v>AtkExt</v>
      </c>
      <c r="GG145" s="14">
        <f t="shared" si="249"/>
        <v>145</v>
      </c>
      <c r="GH145" s="14">
        <f t="shared" si="250"/>
        <v>8</v>
      </c>
      <c r="GI145" s="14" t="str">
        <f t="shared" si="233"/>
        <v>HPExt</v>
      </c>
      <c r="GJ145" s="14">
        <f t="shared" si="251"/>
        <v>1375</v>
      </c>
      <c r="GK145" s="14">
        <f t="shared" si="252"/>
        <v>76</v>
      </c>
      <c r="GL145" s="14">
        <f t="shared" si="234"/>
        <v>20430</v>
      </c>
      <c r="GM145" s="14">
        <f t="shared" si="253"/>
        <v>3</v>
      </c>
      <c r="GN145" s="14">
        <f t="shared" si="254"/>
        <v>1043</v>
      </c>
      <c r="GO145" s="25" t="s">
        <v>1471</v>
      </c>
      <c r="GP145" s="14">
        <f t="shared" si="235"/>
        <v>113</v>
      </c>
      <c r="HK145" s="13">
        <v>140</v>
      </c>
      <c r="HL145" s="14">
        <f t="shared" si="255"/>
        <v>6</v>
      </c>
      <c r="HM145" s="14">
        <f t="shared" si="256"/>
        <v>1</v>
      </c>
      <c r="HN145" s="14">
        <f t="shared" si="257"/>
        <v>6</v>
      </c>
      <c r="HO145" s="14">
        <f t="shared" si="258"/>
        <v>4</v>
      </c>
      <c r="HP145" s="14" t="str">
        <f t="shared" si="259"/>
        <v>100级寄灵人洗练-Q4-8</v>
      </c>
      <c r="HQ145" s="14">
        <f t="shared" si="260"/>
        <v>1064</v>
      </c>
      <c r="HR145" s="14">
        <f t="shared" si="261"/>
        <v>8</v>
      </c>
      <c r="HS145" s="14">
        <f t="shared" si="262"/>
        <v>500</v>
      </c>
      <c r="HT145" s="14" t="str">
        <f t="shared" si="263"/>
        <v>CritRate</v>
      </c>
      <c r="HU145" s="14">
        <f t="shared" si="264"/>
        <v>2.8000000000000001E-2</v>
      </c>
      <c r="HV145" s="14">
        <f t="shared" si="265"/>
        <v>0.08</v>
      </c>
    </row>
    <row r="146" spans="151:230" ht="16.5" x14ac:dyDescent="0.2">
      <c r="EU146" s="13">
        <v>141</v>
      </c>
      <c r="EV146" s="14">
        <f t="shared" si="236"/>
        <v>1</v>
      </c>
      <c r="EW146" s="14">
        <f t="shared" si="237"/>
        <v>141</v>
      </c>
      <c r="EX146" s="14">
        <f t="shared" si="238"/>
        <v>19</v>
      </c>
      <c r="EY146" s="14">
        <f t="shared" si="213"/>
        <v>40</v>
      </c>
      <c r="EZ146" s="14">
        <f t="shared" si="214"/>
        <v>4</v>
      </c>
      <c r="FA146" s="14">
        <f t="shared" si="215"/>
        <v>70</v>
      </c>
      <c r="FB146" s="14">
        <f t="shared" si="216"/>
        <v>4</v>
      </c>
      <c r="FC146" s="14">
        <f t="shared" si="217"/>
        <v>1</v>
      </c>
      <c r="FD146" s="14">
        <f t="shared" si="218"/>
        <v>1</v>
      </c>
      <c r="FE146" s="14" t="b">
        <f t="shared" si="239"/>
        <v>0</v>
      </c>
      <c r="FF146" s="14">
        <f t="shared" si="219"/>
        <v>2004401</v>
      </c>
      <c r="FG146" s="13" t="str">
        <f t="shared" si="220"/>
        <v>70级-史诗寄灵人の灵器</v>
      </c>
      <c r="FH146" s="14">
        <f t="shared" si="221"/>
        <v>1</v>
      </c>
      <c r="FI146" s="14">
        <f t="shared" si="222"/>
        <v>4</v>
      </c>
      <c r="FJ146" s="14">
        <f t="shared" si="223"/>
        <v>70</v>
      </c>
      <c r="FK146" s="14">
        <v>1</v>
      </c>
      <c r="FL146" s="14">
        <f t="shared" si="224"/>
        <v>4</v>
      </c>
      <c r="FM146" s="14">
        <f t="shared" si="240"/>
        <v>1</v>
      </c>
      <c r="FN146" s="14" t="str">
        <f t="shared" si="225"/>
        <v/>
      </c>
      <c r="FO146" s="14">
        <f t="shared" si="226"/>
        <v>140</v>
      </c>
      <c r="FP146" s="14">
        <f t="shared" si="241"/>
        <v>510</v>
      </c>
      <c r="FQ146" s="14">
        <f t="shared" si="242"/>
        <v>0</v>
      </c>
      <c r="FR146" s="14">
        <f t="shared" si="243"/>
        <v>0</v>
      </c>
      <c r="FS146" s="14">
        <f t="shared" si="244"/>
        <v>28</v>
      </c>
      <c r="FT146" s="14">
        <f t="shared" si="245"/>
        <v>0</v>
      </c>
      <c r="FU146" s="14">
        <f t="shared" si="246"/>
        <v>0</v>
      </c>
      <c r="FV146" s="14">
        <f t="shared" si="227"/>
        <v>1044</v>
      </c>
      <c r="FW146" s="14">
        <f t="shared" si="228"/>
        <v>4</v>
      </c>
      <c r="FX146" s="14">
        <f t="shared" si="229"/>
        <v>1044</v>
      </c>
      <c r="FY146" s="25" t="str">
        <f t="shared" si="247"/>
        <v>icon_2004101</v>
      </c>
      <c r="GC146" s="14">
        <f t="shared" si="230"/>
        <v>1</v>
      </c>
      <c r="GD146" s="14">
        <f t="shared" si="231"/>
        <v>0</v>
      </c>
      <c r="GE146" s="14">
        <f t="shared" si="248"/>
        <v>140</v>
      </c>
      <c r="GF146" s="14" t="str">
        <f t="shared" si="232"/>
        <v>AtkExt</v>
      </c>
      <c r="GG146" s="14">
        <f t="shared" si="249"/>
        <v>510</v>
      </c>
      <c r="GH146" s="14">
        <f t="shared" si="250"/>
        <v>28</v>
      </c>
      <c r="GI146" s="14" t="str">
        <f t="shared" si="233"/>
        <v/>
      </c>
      <c r="GJ146" s="14" t="str">
        <f t="shared" si="251"/>
        <v/>
      </c>
      <c r="GK146" s="14" t="str">
        <f t="shared" si="252"/>
        <v/>
      </c>
      <c r="GL146" s="14">
        <f t="shared" si="234"/>
        <v>20440</v>
      </c>
      <c r="GM146" s="14">
        <f t="shared" si="253"/>
        <v>4</v>
      </c>
      <c r="GN146" s="14">
        <f t="shared" si="254"/>
        <v>1044</v>
      </c>
      <c r="GO146" s="25" t="s">
        <v>1471</v>
      </c>
      <c r="GP146" s="14">
        <f t="shared" si="235"/>
        <v>300</v>
      </c>
      <c r="HK146" s="13">
        <v>141</v>
      </c>
      <c r="HL146" s="14">
        <f t="shared" si="255"/>
        <v>6</v>
      </c>
      <c r="HM146" s="14">
        <f t="shared" si="256"/>
        <v>1</v>
      </c>
      <c r="HN146" s="14">
        <f t="shared" si="257"/>
        <v>6</v>
      </c>
      <c r="HO146" s="14">
        <f t="shared" si="258"/>
        <v>4</v>
      </c>
      <c r="HP146" s="14" t="str">
        <f t="shared" si="259"/>
        <v>100级寄灵人洗练-Q4-9</v>
      </c>
      <c r="HQ146" s="14">
        <f t="shared" si="260"/>
        <v>1064</v>
      </c>
      <c r="HR146" s="14">
        <f t="shared" si="261"/>
        <v>9</v>
      </c>
      <c r="HS146" s="14">
        <f t="shared" si="262"/>
        <v>500</v>
      </c>
      <c r="HT146" s="14" t="str">
        <f t="shared" si="263"/>
        <v>DefIgnor</v>
      </c>
      <c r="HU146" s="14">
        <f t="shared" si="264"/>
        <v>1.0999999999999999E-2</v>
      </c>
      <c r="HV146" s="14">
        <f t="shared" si="265"/>
        <v>0.03</v>
      </c>
    </row>
    <row r="147" spans="151:230" ht="16.5" x14ac:dyDescent="0.2">
      <c r="EU147" s="13">
        <v>142</v>
      </c>
      <c r="EV147" s="14">
        <f t="shared" si="236"/>
        <v>1</v>
      </c>
      <c r="EW147" s="14">
        <f t="shared" si="237"/>
        <v>142</v>
      </c>
      <c r="EX147" s="14">
        <f t="shared" si="238"/>
        <v>19</v>
      </c>
      <c r="EY147" s="14">
        <f t="shared" si="213"/>
        <v>40</v>
      </c>
      <c r="EZ147" s="14">
        <f t="shared" si="214"/>
        <v>4</v>
      </c>
      <c r="FA147" s="14">
        <f t="shared" si="215"/>
        <v>70</v>
      </c>
      <c r="FB147" s="14">
        <f t="shared" si="216"/>
        <v>4</v>
      </c>
      <c r="FC147" s="14">
        <f t="shared" si="217"/>
        <v>2</v>
      </c>
      <c r="FD147" s="14">
        <f t="shared" si="218"/>
        <v>2</v>
      </c>
      <c r="FE147" s="14" t="b">
        <f t="shared" si="239"/>
        <v>0</v>
      </c>
      <c r="FF147" s="14">
        <f t="shared" si="219"/>
        <v>2004402</v>
      </c>
      <c r="FG147" s="13" t="str">
        <f t="shared" si="220"/>
        <v>70级-史诗寄灵人の头盔</v>
      </c>
      <c r="FH147" s="14">
        <f t="shared" si="221"/>
        <v>1</v>
      </c>
      <c r="FI147" s="14">
        <f t="shared" si="222"/>
        <v>4</v>
      </c>
      <c r="FJ147" s="14">
        <f t="shared" si="223"/>
        <v>70</v>
      </c>
      <c r="FK147" s="14">
        <v>1</v>
      </c>
      <c r="FL147" s="14">
        <f t="shared" si="224"/>
        <v>4</v>
      </c>
      <c r="FM147" s="14">
        <f t="shared" si="240"/>
        <v>2</v>
      </c>
      <c r="FN147" s="14" t="str">
        <f t="shared" si="225"/>
        <v/>
      </c>
      <c r="FO147" s="14">
        <f t="shared" si="226"/>
        <v>70</v>
      </c>
      <c r="FP147" s="14">
        <f t="shared" si="241"/>
        <v>0</v>
      </c>
      <c r="FQ147" s="14">
        <f t="shared" si="242"/>
        <v>130</v>
      </c>
      <c r="FR147" s="14">
        <f t="shared" si="243"/>
        <v>0</v>
      </c>
      <c r="FS147" s="14">
        <f t="shared" si="244"/>
        <v>0</v>
      </c>
      <c r="FT147" s="14">
        <f t="shared" si="245"/>
        <v>7</v>
      </c>
      <c r="FU147" s="14">
        <f t="shared" si="246"/>
        <v>0</v>
      </c>
      <c r="FV147" s="14">
        <f t="shared" si="227"/>
        <v>1044</v>
      </c>
      <c r="FW147" s="14">
        <f t="shared" si="228"/>
        <v>4</v>
      </c>
      <c r="FX147" s="14">
        <f t="shared" si="229"/>
        <v>1044</v>
      </c>
      <c r="FY147" s="25" t="str">
        <f t="shared" si="247"/>
        <v>icon_2004102</v>
      </c>
      <c r="GC147" s="14">
        <f t="shared" si="230"/>
        <v>2</v>
      </c>
      <c r="GD147" s="14">
        <f t="shared" si="231"/>
        <v>0</v>
      </c>
      <c r="GE147" s="14">
        <f t="shared" si="248"/>
        <v>70</v>
      </c>
      <c r="GF147" s="14" t="str">
        <f t="shared" si="232"/>
        <v>DefExt</v>
      </c>
      <c r="GG147" s="14">
        <f t="shared" si="249"/>
        <v>130</v>
      </c>
      <c r="GH147" s="14">
        <f t="shared" si="250"/>
        <v>7</v>
      </c>
      <c r="GI147" s="14" t="str">
        <f t="shared" si="233"/>
        <v/>
      </c>
      <c r="GJ147" s="14" t="str">
        <f t="shared" si="251"/>
        <v/>
      </c>
      <c r="GK147" s="14" t="str">
        <f t="shared" si="252"/>
        <v/>
      </c>
      <c r="GL147" s="14">
        <f t="shared" si="234"/>
        <v>20440</v>
      </c>
      <c r="GM147" s="14">
        <f t="shared" si="253"/>
        <v>4</v>
      </c>
      <c r="GN147" s="14">
        <f t="shared" si="254"/>
        <v>1044</v>
      </c>
      <c r="GO147" s="25" t="s">
        <v>1471</v>
      </c>
      <c r="GP147" s="14">
        <f t="shared" si="235"/>
        <v>150</v>
      </c>
      <c r="HK147" s="13">
        <v>142</v>
      </c>
      <c r="HL147" s="14">
        <f t="shared" si="255"/>
        <v>6</v>
      </c>
      <c r="HM147" s="14">
        <f t="shared" si="256"/>
        <v>1</v>
      </c>
      <c r="HN147" s="14">
        <f t="shared" si="257"/>
        <v>6</v>
      </c>
      <c r="HO147" s="14">
        <f t="shared" si="258"/>
        <v>4</v>
      </c>
      <c r="HP147" s="14" t="str">
        <f t="shared" si="259"/>
        <v>100级寄灵人洗练-Q4-10</v>
      </c>
      <c r="HQ147" s="14">
        <f t="shared" si="260"/>
        <v>1064</v>
      </c>
      <c r="HR147" s="14">
        <f t="shared" si="261"/>
        <v>10</v>
      </c>
      <c r="HS147" s="14">
        <f t="shared" si="262"/>
        <v>500</v>
      </c>
      <c r="HT147" s="14" t="str">
        <f t="shared" si="263"/>
        <v>Block</v>
      </c>
      <c r="HU147" s="14">
        <f t="shared" si="264"/>
        <v>1.0999999999999999E-2</v>
      </c>
      <c r="HV147" s="14">
        <f t="shared" si="265"/>
        <v>0.03</v>
      </c>
    </row>
    <row r="148" spans="151:230" ht="16.5" x14ac:dyDescent="0.2">
      <c r="EU148" s="13">
        <v>143</v>
      </c>
      <c r="EV148" s="14">
        <f t="shared" si="236"/>
        <v>1</v>
      </c>
      <c r="EW148" s="14">
        <f t="shared" si="237"/>
        <v>143</v>
      </c>
      <c r="EX148" s="14">
        <f t="shared" si="238"/>
        <v>19</v>
      </c>
      <c r="EY148" s="14">
        <f t="shared" si="213"/>
        <v>40</v>
      </c>
      <c r="EZ148" s="14">
        <f t="shared" si="214"/>
        <v>4</v>
      </c>
      <c r="FA148" s="14">
        <f t="shared" si="215"/>
        <v>70</v>
      </c>
      <c r="FB148" s="14">
        <f t="shared" si="216"/>
        <v>4</v>
      </c>
      <c r="FC148" s="14">
        <f t="shared" si="217"/>
        <v>3</v>
      </c>
      <c r="FD148" s="14">
        <f t="shared" si="218"/>
        <v>3</v>
      </c>
      <c r="FE148" s="14" t="b">
        <f t="shared" si="239"/>
        <v>0</v>
      </c>
      <c r="FF148" s="14">
        <f t="shared" si="219"/>
        <v>2004403</v>
      </c>
      <c r="FG148" s="13" t="str">
        <f t="shared" si="220"/>
        <v>70级-史诗寄灵人の铠甲</v>
      </c>
      <c r="FH148" s="14">
        <f t="shared" si="221"/>
        <v>1</v>
      </c>
      <c r="FI148" s="14">
        <f t="shared" si="222"/>
        <v>4</v>
      </c>
      <c r="FJ148" s="14">
        <f t="shared" si="223"/>
        <v>70</v>
      </c>
      <c r="FK148" s="14">
        <v>1</v>
      </c>
      <c r="FL148" s="14">
        <f t="shared" si="224"/>
        <v>4</v>
      </c>
      <c r="FM148" s="14">
        <f t="shared" si="240"/>
        <v>3</v>
      </c>
      <c r="FN148" s="14" t="str">
        <f t="shared" si="225"/>
        <v/>
      </c>
      <c r="FO148" s="14">
        <f t="shared" si="226"/>
        <v>94</v>
      </c>
      <c r="FP148" s="14">
        <f t="shared" si="241"/>
        <v>0</v>
      </c>
      <c r="FQ148" s="14">
        <f t="shared" si="242"/>
        <v>65</v>
      </c>
      <c r="FR148" s="14">
        <f t="shared" si="243"/>
        <v>970</v>
      </c>
      <c r="FS148" s="14">
        <f t="shared" si="244"/>
        <v>0</v>
      </c>
      <c r="FT148" s="14">
        <f t="shared" si="245"/>
        <v>4</v>
      </c>
      <c r="FU148" s="14">
        <f t="shared" si="246"/>
        <v>54</v>
      </c>
      <c r="FV148" s="14">
        <f t="shared" si="227"/>
        <v>1044</v>
      </c>
      <c r="FW148" s="14">
        <f t="shared" si="228"/>
        <v>4</v>
      </c>
      <c r="FX148" s="14">
        <f t="shared" si="229"/>
        <v>1044</v>
      </c>
      <c r="FY148" s="25" t="str">
        <f t="shared" si="247"/>
        <v>icon_2004103</v>
      </c>
      <c r="GC148" s="14">
        <f t="shared" si="230"/>
        <v>2</v>
      </c>
      <c r="GD148" s="14">
        <f t="shared" si="231"/>
        <v>3</v>
      </c>
      <c r="GE148" s="14">
        <f t="shared" si="248"/>
        <v>94</v>
      </c>
      <c r="GF148" s="14" t="str">
        <f t="shared" si="232"/>
        <v>DefExt</v>
      </c>
      <c r="GG148" s="14">
        <f t="shared" si="249"/>
        <v>65</v>
      </c>
      <c r="GH148" s="14">
        <f t="shared" si="250"/>
        <v>4</v>
      </c>
      <c r="GI148" s="14" t="str">
        <f t="shared" si="233"/>
        <v>HPExt</v>
      </c>
      <c r="GJ148" s="14">
        <f t="shared" si="251"/>
        <v>970</v>
      </c>
      <c r="GK148" s="14">
        <f t="shared" si="252"/>
        <v>54</v>
      </c>
      <c r="GL148" s="14">
        <f t="shared" si="234"/>
        <v>20440</v>
      </c>
      <c r="GM148" s="14">
        <f t="shared" si="253"/>
        <v>4</v>
      </c>
      <c r="GN148" s="14">
        <f t="shared" si="254"/>
        <v>1044</v>
      </c>
      <c r="GO148" s="25" t="s">
        <v>1471</v>
      </c>
      <c r="GP148" s="14">
        <f t="shared" si="235"/>
        <v>150</v>
      </c>
      <c r="HK148" s="13">
        <v>143</v>
      </c>
      <c r="HL148" s="14">
        <f t="shared" si="255"/>
        <v>6</v>
      </c>
      <c r="HM148" s="14">
        <f t="shared" si="256"/>
        <v>1</v>
      </c>
      <c r="HN148" s="14">
        <f t="shared" si="257"/>
        <v>6</v>
      </c>
      <c r="HO148" s="14">
        <f t="shared" si="258"/>
        <v>4</v>
      </c>
      <c r="HP148" s="14" t="str">
        <f t="shared" si="259"/>
        <v>100级寄灵人洗练-Q4-11</v>
      </c>
      <c r="HQ148" s="14">
        <f t="shared" si="260"/>
        <v>1064</v>
      </c>
      <c r="HR148" s="14">
        <f t="shared" si="261"/>
        <v>11</v>
      </c>
      <c r="HS148" s="14">
        <f t="shared" si="262"/>
        <v>500</v>
      </c>
      <c r="HT148" s="14" t="str">
        <f t="shared" si="263"/>
        <v>EffectHit</v>
      </c>
      <c r="HU148" s="14">
        <f t="shared" si="264"/>
        <v>1.7999999999999999E-2</v>
      </c>
      <c r="HV148" s="14">
        <f t="shared" si="265"/>
        <v>0.05</v>
      </c>
    </row>
    <row r="149" spans="151:230" ht="16.5" x14ac:dyDescent="0.2">
      <c r="EU149" s="13">
        <v>144</v>
      </c>
      <c r="EV149" s="14">
        <f t="shared" si="236"/>
        <v>1</v>
      </c>
      <c r="EW149" s="14">
        <f t="shared" si="237"/>
        <v>144</v>
      </c>
      <c r="EX149" s="14">
        <f t="shared" si="238"/>
        <v>19</v>
      </c>
      <c r="EY149" s="14">
        <f t="shared" si="213"/>
        <v>40</v>
      </c>
      <c r="EZ149" s="14">
        <f t="shared" si="214"/>
        <v>4</v>
      </c>
      <c r="FA149" s="14">
        <f t="shared" si="215"/>
        <v>70</v>
      </c>
      <c r="FB149" s="14">
        <f t="shared" si="216"/>
        <v>4</v>
      </c>
      <c r="FC149" s="14">
        <f t="shared" si="217"/>
        <v>4</v>
      </c>
      <c r="FD149" s="14">
        <f t="shared" si="218"/>
        <v>4</v>
      </c>
      <c r="FE149" s="14" t="b">
        <f t="shared" si="239"/>
        <v>0</v>
      </c>
      <c r="FF149" s="14">
        <f t="shared" si="219"/>
        <v>2004404</v>
      </c>
      <c r="FG149" s="13" t="str">
        <f t="shared" si="220"/>
        <v>70级-史诗寄灵人の裤子</v>
      </c>
      <c r="FH149" s="14">
        <f t="shared" si="221"/>
        <v>1</v>
      </c>
      <c r="FI149" s="14">
        <f t="shared" si="222"/>
        <v>4</v>
      </c>
      <c r="FJ149" s="14">
        <f t="shared" si="223"/>
        <v>70</v>
      </c>
      <c r="FK149" s="14">
        <v>1</v>
      </c>
      <c r="FL149" s="14">
        <f t="shared" si="224"/>
        <v>4</v>
      </c>
      <c r="FM149" s="14">
        <f t="shared" si="240"/>
        <v>4</v>
      </c>
      <c r="FN149" s="14" t="str">
        <f t="shared" si="225"/>
        <v/>
      </c>
      <c r="FO149" s="14">
        <f t="shared" si="226"/>
        <v>70</v>
      </c>
      <c r="FP149" s="14">
        <f t="shared" si="241"/>
        <v>0</v>
      </c>
      <c r="FQ149" s="14">
        <f t="shared" si="242"/>
        <v>130</v>
      </c>
      <c r="FR149" s="14">
        <f t="shared" si="243"/>
        <v>0</v>
      </c>
      <c r="FS149" s="14">
        <f t="shared" si="244"/>
        <v>0</v>
      </c>
      <c r="FT149" s="14">
        <f t="shared" si="245"/>
        <v>7</v>
      </c>
      <c r="FU149" s="14">
        <f t="shared" si="246"/>
        <v>0</v>
      </c>
      <c r="FV149" s="14">
        <f t="shared" si="227"/>
        <v>1044</v>
      </c>
      <c r="FW149" s="14">
        <f t="shared" si="228"/>
        <v>4</v>
      </c>
      <c r="FX149" s="14">
        <f t="shared" si="229"/>
        <v>1044</v>
      </c>
      <c r="FY149" s="25" t="str">
        <f t="shared" si="247"/>
        <v>icon_2004104</v>
      </c>
      <c r="GC149" s="14">
        <f t="shared" si="230"/>
        <v>2</v>
      </c>
      <c r="GD149" s="14">
        <f t="shared" si="231"/>
        <v>0</v>
      </c>
      <c r="GE149" s="14">
        <f t="shared" si="248"/>
        <v>70</v>
      </c>
      <c r="GF149" s="14" t="str">
        <f t="shared" si="232"/>
        <v>DefExt</v>
      </c>
      <c r="GG149" s="14">
        <f t="shared" si="249"/>
        <v>130</v>
      </c>
      <c r="GH149" s="14">
        <f t="shared" si="250"/>
        <v>7</v>
      </c>
      <c r="GI149" s="14" t="str">
        <f t="shared" si="233"/>
        <v/>
      </c>
      <c r="GJ149" s="14" t="str">
        <f t="shared" si="251"/>
        <v/>
      </c>
      <c r="GK149" s="14" t="str">
        <f t="shared" si="252"/>
        <v/>
      </c>
      <c r="GL149" s="14">
        <f t="shared" si="234"/>
        <v>20440</v>
      </c>
      <c r="GM149" s="14">
        <f t="shared" si="253"/>
        <v>4</v>
      </c>
      <c r="GN149" s="14">
        <f t="shared" si="254"/>
        <v>1044</v>
      </c>
      <c r="GO149" s="25" t="s">
        <v>1471</v>
      </c>
      <c r="GP149" s="14">
        <f t="shared" si="235"/>
        <v>150</v>
      </c>
      <c r="HK149" s="13">
        <v>144</v>
      </c>
      <c r="HL149" s="14">
        <f t="shared" si="255"/>
        <v>6</v>
      </c>
      <c r="HM149" s="14">
        <f t="shared" si="256"/>
        <v>1</v>
      </c>
      <c r="HN149" s="14">
        <f t="shared" si="257"/>
        <v>6</v>
      </c>
      <c r="HO149" s="14">
        <f t="shared" si="258"/>
        <v>4</v>
      </c>
      <c r="HP149" s="14" t="str">
        <f t="shared" si="259"/>
        <v>100级寄灵人洗练-Q4-12</v>
      </c>
      <c r="HQ149" s="14">
        <f t="shared" si="260"/>
        <v>1064</v>
      </c>
      <c r="HR149" s="14">
        <f t="shared" si="261"/>
        <v>12</v>
      </c>
      <c r="HS149" s="14">
        <f t="shared" si="262"/>
        <v>500</v>
      </c>
      <c r="HT149" s="14" t="str">
        <f t="shared" si="263"/>
        <v>EffectResist</v>
      </c>
      <c r="HU149" s="14">
        <f t="shared" si="264"/>
        <v>1.7999999999999999E-2</v>
      </c>
      <c r="HV149" s="14">
        <f t="shared" si="265"/>
        <v>0.05</v>
      </c>
    </row>
    <row r="150" spans="151:230" ht="16.5" x14ac:dyDescent="0.2">
      <c r="EU150" s="13">
        <v>145</v>
      </c>
      <c r="EV150" s="14">
        <f t="shared" si="236"/>
        <v>1</v>
      </c>
      <c r="EW150" s="14">
        <f t="shared" si="237"/>
        <v>145</v>
      </c>
      <c r="EX150" s="14">
        <f t="shared" si="238"/>
        <v>19</v>
      </c>
      <c r="EY150" s="14">
        <f t="shared" si="213"/>
        <v>40</v>
      </c>
      <c r="EZ150" s="14">
        <f t="shared" si="214"/>
        <v>4</v>
      </c>
      <c r="FA150" s="14">
        <f t="shared" si="215"/>
        <v>70</v>
      </c>
      <c r="FB150" s="14">
        <f t="shared" si="216"/>
        <v>4</v>
      </c>
      <c r="FC150" s="14">
        <f t="shared" si="217"/>
        <v>5</v>
      </c>
      <c r="FD150" s="14">
        <f t="shared" si="218"/>
        <v>5</v>
      </c>
      <c r="FE150" s="14" t="b">
        <f t="shared" si="239"/>
        <v>0</v>
      </c>
      <c r="FF150" s="14">
        <f t="shared" si="219"/>
        <v>2004405</v>
      </c>
      <c r="FG150" s="13" t="str">
        <f t="shared" si="220"/>
        <v>70级-史诗寄灵人の鞋子</v>
      </c>
      <c r="FH150" s="14">
        <f t="shared" si="221"/>
        <v>1</v>
      </c>
      <c r="FI150" s="14">
        <f t="shared" si="222"/>
        <v>4</v>
      </c>
      <c r="FJ150" s="14">
        <f t="shared" si="223"/>
        <v>70</v>
      </c>
      <c r="FK150" s="14">
        <v>1</v>
      </c>
      <c r="FL150" s="14">
        <f t="shared" si="224"/>
        <v>4</v>
      </c>
      <c r="FM150" s="14">
        <f t="shared" si="240"/>
        <v>5</v>
      </c>
      <c r="FN150" s="14" t="str">
        <f t="shared" si="225"/>
        <v/>
      </c>
      <c r="FO150" s="14">
        <f t="shared" si="226"/>
        <v>108</v>
      </c>
      <c r="FP150" s="14">
        <f t="shared" si="241"/>
        <v>0</v>
      </c>
      <c r="FQ150" s="14">
        <f t="shared" si="242"/>
        <v>0</v>
      </c>
      <c r="FR150" s="14">
        <f t="shared" si="243"/>
        <v>1940</v>
      </c>
      <c r="FS150" s="14">
        <f t="shared" si="244"/>
        <v>0</v>
      </c>
      <c r="FT150" s="14">
        <f t="shared" si="245"/>
        <v>0</v>
      </c>
      <c r="FU150" s="14">
        <f t="shared" si="246"/>
        <v>108</v>
      </c>
      <c r="FV150" s="14">
        <f t="shared" si="227"/>
        <v>1044</v>
      </c>
      <c r="FW150" s="14">
        <f t="shared" si="228"/>
        <v>4</v>
      </c>
      <c r="FX150" s="14">
        <f t="shared" si="229"/>
        <v>1044</v>
      </c>
      <c r="FY150" s="25" t="str">
        <f t="shared" si="247"/>
        <v>icon_2004105</v>
      </c>
      <c r="GC150" s="14">
        <f t="shared" si="230"/>
        <v>3</v>
      </c>
      <c r="GD150" s="14">
        <f t="shared" si="231"/>
        <v>0</v>
      </c>
      <c r="GE150" s="14">
        <f t="shared" si="248"/>
        <v>108</v>
      </c>
      <c r="GF150" s="14" t="str">
        <f t="shared" si="232"/>
        <v>HPExt</v>
      </c>
      <c r="GG150" s="14">
        <f t="shared" si="249"/>
        <v>1940</v>
      </c>
      <c r="GH150" s="14">
        <f t="shared" si="250"/>
        <v>108</v>
      </c>
      <c r="GI150" s="14" t="str">
        <f t="shared" si="233"/>
        <v/>
      </c>
      <c r="GJ150" s="14" t="str">
        <f t="shared" si="251"/>
        <v/>
      </c>
      <c r="GK150" s="14" t="str">
        <f t="shared" si="252"/>
        <v/>
      </c>
      <c r="GL150" s="14">
        <f t="shared" si="234"/>
        <v>20440</v>
      </c>
      <c r="GM150" s="14">
        <f t="shared" si="253"/>
        <v>4</v>
      </c>
      <c r="GN150" s="14">
        <f t="shared" si="254"/>
        <v>1044</v>
      </c>
      <c r="GO150" s="25" t="s">
        <v>1471</v>
      </c>
      <c r="GP150" s="14">
        <f t="shared" si="235"/>
        <v>150</v>
      </c>
      <c r="HK150" s="13">
        <v>145</v>
      </c>
      <c r="HL150" s="14">
        <f t="shared" si="255"/>
        <v>7</v>
      </c>
      <c r="HM150" s="14">
        <f t="shared" si="256"/>
        <v>1</v>
      </c>
      <c r="HN150" s="14">
        <f t="shared" si="257"/>
        <v>7</v>
      </c>
      <c r="HO150" s="14">
        <f t="shared" si="258"/>
        <v>3</v>
      </c>
      <c r="HP150" s="14" t="str">
        <f t="shared" si="259"/>
        <v>110级寄灵人洗练-Q3-1</v>
      </c>
      <c r="HQ150" s="14">
        <f t="shared" si="260"/>
        <v>1073</v>
      </c>
      <c r="HR150" s="14">
        <f t="shared" si="261"/>
        <v>1</v>
      </c>
      <c r="HS150" s="14">
        <f t="shared" si="262"/>
        <v>1800</v>
      </c>
      <c r="HT150" s="14" t="str">
        <f t="shared" si="263"/>
        <v>AtkExt</v>
      </c>
      <c r="HU150" s="14">
        <f t="shared" si="264"/>
        <v>182</v>
      </c>
      <c r="HV150" s="14">
        <f t="shared" si="265"/>
        <v>522</v>
      </c>
    </row>
    <row r="151" spans="151:230" ht="16.5" x14ac:dyDescent="0.2">
      <c r="EU151" s="13">
        <v>146</v>
      </c>
      <c r="EV151" s="14">
        <f t="shared" si="236"/>
        <v>1</v>
      </c>
      <c r="EW151" s="14">
        <f t="shared" si="237"/>
        <v>146</v>
      </c>
      <c r="EX151" s="14">
        <f t="shared" si="238"/>
        <v>19</v>
      </c>
      <c r="EY151" s="14">
        <f t="shared" si="213"/>
        <v>40</v>
      </c>
      <c r="EZ151" s="14">
        <f t="shared" si="214"/>
        <v>4</v>
      </c>
      <c r="FA151" s="14">
        <f t="shared" si="215"/>
        <v>70</v>
      </c>
      <c r="FB151" s="14">
        <f t="shared" si="216"/>
        <v>4</v>
      </c>
      <c r="FC151" s="14">
        <f t="shared" si="217"/>
        <v>6</v>
      </c>
      <c r="FD151" s="14">
        <f t="shared" si="218"/>
        <v>6</v>
      </c>
      <c r="FE151" s="14" t="b">
        <f t="shared" si="239"/>
        <v>0</v>
      </c>
      <c r="FF151" s="14">
        <f t="shared" si="219"/>
        <v>2004406</v>
      </c>
      <c r="FG151" s="13" t="str">
        <f t="shared" si="220"/>
        <v>70级-史诗寄灵人の护手</v>
      </c>
      <c r="FH151" s="14">
        <f t="shared" si="221"/>
        <v>1</v>
      </c>
      <c r="FI151" s="14">
        <f t="shared" si="222"/>
        <v>4</v>
      </c>
      <c r="FJ151" s="14">
        <f t="shared" si="223"/>
        <v>70</v>
      </c>
      <c r="FK151" s="14">
        <v>1</v>
      </c>
      <c r="FL151" s="14">
        <f t="shared" si="224"/>
        <v>4</v>
      </c>
      <c r="FM151" s="14">
        <f t="shared" si="240"/>
        <v>6</v>
      </c>
      <c r="FN151" s="14" t="str">
        <f t="shared" si="225"/>
        <v/>
      </c>
      <c r="FO151" s="14">
        <f t="shared" si="226"/>
        <v>108</v>
      </c>
      <c r="FP151" s="14">
        <f t="shared" si="241"/>
        <v>0</v>
      </c>
      <c r="FQ151" s="14">
        <f t="shared" si="242"/>
        <v>0</v>
      </c>
      <c r="FR151" s="14">
        <f t="shared" si="243"/>
        <v>1940</v>
      </c>
      <c r="FS151" s="14">
        <f t="shared" si="244"/>
        <v>0</v>
      </c>
      <c r="FT151" s="14">
        <f t="shared" si="245"/>
        <v>0</v>
      </c>
      <c r="FU151" s="14">
        <f t="shared" si="246"/>
        <v>108</v>
      </c>
      <c r="FV151" s="14">
        <f t="shared" si="227"/>
        <v>1044</v>
      </c>
      <c r="FW151" s="14">
        <f t="shared" si="228"/>
        <v>4</v>
      </c>
      <c r="FX151" s="14">
        <f t="shared" si="229"/>
        <v>1044</v>
      </c>
      <c r="FY151" s="25" t="str">
        <f t="shared" si="247"/>
        <v>icon_2004106</v>
      </c>
      <c r="GC151" s="14">
        <f t="shared" si="230"/>
        <v>3</v>
      </c>
      <c r="GD151" s="14">
        <f t="shared" si="231"/>
        <v>0</v>
      </c>
      <c r="GE151" s="14">
        <f t="shared" si="248"/>
        <v>108</v>
      </c>
      <c r="GF151" s="14" t="str">
        <f t="shared" si="232"/>
        <v>HPExt</v>
      </c>
      <c r="GG151" s="14">
        <f t="shared" si="249"/>
        <v>1940</v>
      </c>
      <c r="GH151" s="14">
        <f t="shared" si="250"/>
        <v>108</v>
      </c>
      <c r="GI151" s="14" t="str">
        <f t="shared" si="233"/>
        <v/>
      </c>
      <c r="GJ151" s="14" t="str">
        <f t="shared" si="251"/>
        <v/>
      </c>
      <c r="GK151" s="14" t="str">
        <f t="shared" si="252"/>
        <v/>
      </c>
      <c r="GL151" s="14">
        <f t="shared" si="234"/>
        <v>20440</v>
      </c>
      <c r="GM151" s="14">
        <f t="shared" si="253"/>
        <v>4</v>
      </c>
      <c r="GN151" s="14">
        <f t="shared" si="254"/>
        <v>1044</v>
      </c>
      <c r="GO151" s="25" t="s">
        <v>1471</v>
      </c>
      <c r="GP151" s="14">
        <f t="shared" si="235"/>
        <v>150</v>
      </c>
      <c r="HK151" s="13">
        <v>146</v>
      </c>
      <c r="HL151" s="14">
        <f t="shared" si="255"/>
        <v>7</v>
      </c>
      <c r="HM151" s="14">
        <f t="shared" si="256"/>
        <v>1</v>
      </c>
      <c r="HN151" s="14">
        <f t="shared" si="257"/>
        <v>7</v>
      </c>
      <c r="HO151" s="14">
        <f t="shared" si="258"/>
        <v>3</v>
      </c>
      <c r="HP151" s="14" t="str">
        <f t="shared" si="259"/>
        <v>110级寄灵人洗练-Q3-2</v>
      </c>
      <c r="HQ151" s="14">
        <f t="shared" si="260"/>
        <v>1073</v>
      </c>
      <c r="HR151" s="14">
        <f t="shared" si="261"/>
        <v>2</v>
      </c>
      <c r="HS151" s="14">
        <f t="shared" si="262"/>
        <v>1800</v>
      </c>
      <c r="HT151" s="14" t="str">
        <f t="shared" si="263"/>
        <v>DefExt</v>
      </c>
      <c r="HU151" s="14">
        <f t="shared" si="264"/>
        <v>64</v>
      </c>
      <c r="HV151" s="14">
        <f t="shared" si="265"/>
        <v>183</v>
      </c>
    </row>
    <row r="152" spans="151:230" ht="16.5" x14ac:dyDescent="0.2">
      <c r="EU152" s="13">
        <v>147</v>
      </c>
      <c r="EV152" s="14">
        <f t="shared" si="236"/>
        <v>1</v>
      </c>
      <c r="EW152" s="14">
        <f t="shared" si="237"/>
        <v>147</v>
      </c>
      <c r="EX152" s="14">
        <f t="shared" si="238"/>
        <v>19</v>
      </c>
      <c r="EY152" s="14">
        <f t="shared" si="213"/>
        <v>40</v>
      </c>
      <c r="EZ152" s="14">
        <f t="shared" si="214"/>
        <v>4</v>
      </c>
      <c r="FA152" s="14">
        <f t="shared" si="215"/>
        <v>70</v>
      </c>
      <c r="FB152" s="14">
        <f t="shared" si="216"/>
        <v>4</v>
      </c>
      <c r="FC152" s="14">
        <f t="shared" si="217"/>
        <v>7</v>
      </c>
      <c r="FD152" s="14">
        <f t="shared" si="218"/>
        <v>7</v>
      </c>
      <c r="FE152" s="14" t="b">
        <f t="shared" si="239"/>
        <v>0</v>
      </c>
      <c r="FF152" s="14">
        <f t="shared" si="219"/>
        <v>2004407</v>
      </c>
      <c r="FG152" s="13" t="str">
        <f t="shared" si="220"/>
        <v>70级-史诗寄灵人の项链</v>
      </c>
      <c r="FH152" s="14">
        <f t="shared" si="221"/>
        <v>1</v>
      </c>
      <c r="FI152" s="14">
        <f t="shared" si="222"/>
        <v>4</v>
      </c>
      <c r="FJ152" s="14">
        <f t="shared" si="223"/>
        <v>70</v>
      </c>
      <c r="FK152" s="14">
        <v>1</v>
      </c>
      <c r="FL152" s="14">
        <f t="shared" si="224"/>
        <v>4</v>
      </c>
      <c r="FM152" s="14">
        <f t="shared" si="240"/>
        <v>7</v>
      </c>
      <c r="FN152" s="14" t="str">
        <f t="shared" si="225"/>
        <v/>
      </c>
      <c r="FO152" s="14">
        <f t="shared" si="226"/>
        <v>105</v>
      </c>
      <c r="FP152" s="14">
        <f t="shared" si="241"/>
        <v>170</v>
      </c>
      <c r="FQ152" s="14">
        <f t="shared" si="242"/>
        <v>110</v>
      </c>
      <c r="FR152" s="14">
        <f t="shared" si="243"/>
        <v>0</v>
      </c>
      <c r="FS152" s="14">
        <f t="shared" si="244"/>
        <v>9</v>
      </c>
      <c r="FT152" s="14">
        <f t="shared" si="245"/>
        <v>6</v>
      </c>
      <c r="FU152" s="14">
        <f t="shared" si="246"/>
        <v>0</v>
      </c>
      <c r="FV152" s="14">
        <f t="shared" si="227"/>
        <v>1044</v>
      </c>
      <c r="FW152" s="14">
        <f t="shared" si="228"/>
        <v>4</v>
      </c>
      <c r="FX152" s="14">
        <f t="shared" si="229"/>
        <v>1044</v>
      </c>
      <c r="FY152" s="25" t="str">
        <f t="shared" si="247"/>
        <v>icon_2004107</v>
      </c>
      <c r="GC152" s="14">
        <f t="shared" si="230"/>
        <v>1</v>
      </c>
      <c r="GD152" s="14">
        <f t="shared" si="231"/>
        <v>2</v>
      </c>
      <c r="GE152" s="14">
        <f t="shared" si="248"/>
        <v>105</v>
      </c>
      <c r="GF152" s="14" t="str">
        <f t="shared" si="232"/>
        <v>AtkExt</v>
      </c>
      <c r="GG152" s="14">
        <f t="shared" si="249"/>
        <v>170</v>
      </c>
      <c r="GH152" s="14">
        <f t="shared" si="250"/>
        <v>9</v>
      </c>
      <c r="GI152" s="14" t="str">
        <f t="shared" si="233"/>
        <v>DefExt</v>
      </c>
      <c r="GJ152" s="14">
        <f t="shared" si="251"/>
        <v>110</v>
      </c>
      <c r="GK152" s="14">
        <f t="shared" si="252"/>
        <v>6</v>
      </c>
      <c r="GL152" s="14">
        <f t="shared" si="234"/>
        <v>20440</v>
      </c>
      <c r="GM152" s="14">
        <f t="shared" si="253"/>
        <v>4</v>
      </c>
      <c r="GN152" s="14">
        <f t="shared" si="254"/>
        <v>1044</v>
      </c>
      <c r="GO152" s="25" t="s">
        <v>1471</v>
      </c>
      <c r="GP152" s="14">
        <f t="shared" si="235"/>
        <v>225</v>
      </c>
      <c r="HK152" s="13">
        <v>147</v>
      </c>
      <c r="HL152" s="14">
        <f t="shared" si="255"/>
        <v>7</v>
      </c>
      <c r="HM152" s="14">
        <f t="shared" si="256"/>
        <v>1</v>
      </c>
      <c r="HN152" s="14">
        <f t="shared" si="257"/>
        <v>7</v>
      </c>
      <c r="HO152" s="14">
        <f t="shared" si="258"/>
        <v>3</v>
      </c>
      <c r="HP152" s="14" t="str">
        <f t="shared" si="259"/>
        <v>110级寄灵人洗练-Q3-3</v>
      </c>
      <c r="HQ152" s="14">
        <f t="shared" si="260"/>
        <v>1073</v>
      </c>
      <c r="HR152" s="14">
        <f t="shared" si="261"/>
        <v>3</v>
      </c>
      <c r="HS152" s="14">
        <f t="shared" si="262"/>
        <v>2000</v>
      </c>
      <c r="HT152" s="14" t="str">
        <f t="shared" si="263"/>
        <v>HPExt</v>
      </c>
      <c r="HU152" s="14">
        <f t="shared" si="264"/>
        <v>1447</v>
      </c>
      <c r="HV152" s="14">
        <f t="shared" si="265"/>
        <v>4136</v>
      </c>
    </row>
    <row r="153" spans="151:230" ht="16.5" x14ac:dyDescent="0.2">
      <c r="EU153" s="13">
        <v>148</v>
      </c>
      <c r="EV153" s="14">
        <f t="shared" si="236"/>
        <v>1</v>
      </c>
      <c r="EW153" s="14">
        <f t="shared" si="237"/>
        <v>148</v>
      </c>
      <c r="EX153" s="14">
        <f t="shared" si="238"/>
        <v>19</v>
      </c>
      <c r="EY153" s="14">
        <f t="shared" si="213"/>
        <v>40</v>
      </c>
      <c r="EZ153" s="14">
        <f t="shared" si="214"/>
        <v>4</v>
      </c>
      <c r="FA153" s="14">
        <f t="shared" si="215"/>
        <v>70</v>
      </c>
      <c r="FB153" s="14">
        <f t="shared" si="216"/>
        <v>4</v>
      </c>
      <c r="FC153" s="14">
        <f t="shared" si="217"/>
        <v>8</v>
      </c>
      <c r="FD153" s="14">
        <f t="shared" si="218"/>
        <v>8</v>
      </c>
      <c r="FE153" s="14" t="b">
        <f t="shared" si="239"/>
        <v>0</v>
      </c>
      <c r="FF153" s="14">
        <f t="shared" si="219"/>
        <v>2004408</v>
      </c>
      <c r="FG153" s="13" t="str">
        <f t="shared" si="220"/>
        <v>70级-史诗寄灵人の戒指</v>
      </c>
      <c r="FH153" s="14">
        <f t="shared" si="221"/>
        <v>1</v>
      </c>
      <c r="FI153" s="14">
        <f t="shared" si="222"/>
        <v>4</v>
      </c>
      <c r="FJ153" s="14">
        <f t="shared" si="223"/>
        <v>70</v>
      </c>
      <c r="FK153" s="14">
        <v>1</v>
      </c>
      <c r="FL153" s="14">
        <f t="shared" si="224"/>
        <v>4</v>
      </c>
      <c r="FM153" s="14">
        <f t="shared" si="240"/>
        <v>8</v>
      </c>
      <c r="FN153" s="14" t="str">
        <f t="shared" si="225"/>
        <v/>
      </c>
      <c r="FO153" s="14">
        <f t="shared" si="226"/>
        <v>135</v>
      </c>
      <c r="FP153" s="14">
        <f t="shared" si="241"/>
        <v>170</v>
      </c>
      <c r="FQ153" s="14">
        <f t="shared" si="242"/>
        <v>0</v>
      </c>
      <c r="FR153" s="14">
        <f t="shared" si="243"/>
        <v>1615</v>
      </c>
      <c r="FS153" s="14">
        <f t="shared" si="244"/>
        <v>9</v>
      </c>
      <c r="FT153" s="14">
        <f t="shared" si="245"/>
        <v>0</v>
      </c>
      <c r="FU153" s="14">
        <f t="shared" si="246"/>
        <v>90</v>
      </c>
      <c r="FV153" s="14">
        <f t="shared" si="227"/>
        <v>1044</v>
      </c>
      <c r="FW153" s="14">
        <f t="shared" si="228"/>
        <v>4</v>
      </c>
      <c r="FX153" s="14">
        <f t="shared" si="229"/>
        <v>1044</v>
      </c>
      <c r="FY153" s="25" t="str">
        <f t="shared" si="247"/>
        <v>icon_2004108</v>
      </c>
      <c r="GC153" s="14">
        <f t="shared" si="230"/>
        <v>1</v>
      </c>
      <c r="GD153" s="14">
        <f t="shared" si="231"/>
        <v>3</v>
      </c>
      <c r="GE153" s="14">
        <f t="shared" si="248"/>
        <v>135</v>
      </c>
      <c r="GF153" s="14" t="str">
        <f t="shared" si="232"/>
        <v>AtkExt</v>
      </c>
      <c r="GG153" s="14">
        <f t="shared" si="249"/>
        <v>170</v>
      </c>
      <c r="GH153" s="14">
        <f t="shared" si="250"/>
        <v>9</v>
      </c>
      <c r="GI153" s="14" t="str">
        <f t="shared" si="233"/>
        <v>HPExt</v>
      </c>
      <c r="GJ153" s="14">
        <f t="shared" si="251"/>
        <v>1615</v>
      </c>
      <c r="GK153" s="14">
        <f t="shared" si="252"/>
        <v>90</v>
      </c>
      <c r="GL153" s="14">
        <f t="shared" si="234"/>
        <v>20440</v>
      </c>
      <c r="GM153" s="14">
        <f t="shared" si="253"/>
        <v>4</v>
      </c>
      <c r="GN153" s="14">
        <f t="shared" si="254"/>
        <v>1044</v>
      </c>
      <c r="GO153" s="25" t="s">
        <v>1471</v>
      </c>
      <c r="GP153" s="14">
        <f t="shared" si="235"/>
        <v>225</v>
      </c>
      <c r="HK153" s="13">
        <v>148</v>
      </c>
      <c r="HL153" s="14">
        <f t="shared" si="255"/>
        <v>7</v>
      </c>
      <c r="HM153" s="14">
        <f t="shared" si="256"/>
        <v>1</v>
      </c>
      <c r="HN153" s="14">
        <f t="shared" si="257"/>
        <v>7</v>
      </c>
      <c r="HO153" s="14">
        <f t="shared" si="258"/>
        <v>3</v>
      </c>
      <c r="HP153" s="14" t="str">
        <f t="shared" si="259"/>
        <v>110级寄灵人洗练-Q3-4</v>
      </c>
      <c r="HQ153" s="14">
        <f t="shared" si="260"/>
        <v>1073</v>
      </c>
      <c r="HR153" s="14">
        <f t="shared" si="261"/>
        <v>4</v>
      </c>
      <c r="HS153" s="14">
        <f t="shared" si="262"/>
        <v>500</v>
      </c>
      <c r="HT153" s="14" t="str">
        <f t="shared" si="263"/>
        <v>AtkRate</v>
      </c>
      <c r="HU153" s="14">
        <f t="shared" si="264"/>
        <v>1.4E-2</v>
      </c>
      <c r="HV153" s="14">
        <f t="shared" si="265"/>
        <v>0.04</v>
      </c>
    </row>
    <row r="154" spans="151:230" ht="16.5" x14ac:dyDescent="0.2">
      <c r="EU154" s="13">
        <v>149</v>
      </c>
      <c r="EV154" s="14">
        <f t="shared" si="236"/>
        <v>1</v>
      </c>
      <c r="EW154" s="14">
        <f t="shared" si="237"/>
        <v>149</v>
      </c>
      <c r="EX154" s="14">
        <f t="shared" si="238"/>
        <v>20</v>
      </c>
      <c r="EY154" s="14">
        <f t="shared" si="213"/>
        <v>42</v>
      </c>
      <c r="EZ154" s="14">
        <f t="shared" si="214"/>
        <v>4</v>
      </c>
      <c r="FA154" s="14">
        <f t="shared" si="215"/>
        <v>70</v>
      </c>
      <c r="FB154" s="14">
        <f t="shared" si="216"/>
        <v>4</v>
      </c>
      <c r="FC154" s="14">
        <f t="shared" si="217"/>
        <v>1</v>
      </c>
      <c r="FD154" s="14">
        <f t="shared" si="218"/>
        <v>1</v>
      </c>
      <c r="FE154" s="14" t="b">
        <f t="shared" si="239"/>
        <v>1</v>
      </c>
      <c r="FF154" s="14">
        <f t="shared" si="219"/>
        <v>2004421</v>
      </c>
      <c r="FG154" s="13" t="str">
        <f t="shared" si="220"/>
        <v>70级-攻击套寄灵人の灵器</v>
      </c>
      <c r="FH154" s="14">
        <f t="shared" si="221"/>
        <v>1</v>
      </c>
      <c r="FI154" s="14">
        <f t="shared" si="222"/>
        <v>4</v>
      </c>
      <c r="FJ154" s="14">
        <f t="shared" si="223"/>
        <v>70</v>
      </c>
      <c r="FK154" s="14">
        <v>1</v>
      </c>
      <c r="FL154" s="14">
        <f t="shared" si="224"/>
        <v>4</v>
      </c>
      <c r="FM154" s="14">
        <f t="shared" si="240"/>
        <v>1</v>
      </c>
      <c r="FN154" s="14">
        <f t="shared" si="225"/>
        <v>200441</v>
      </c>
      <c r="FO154" s="14">
        <f t="shared" si="226"/>
        <v>210</v>
      </c>
      <c r="FP154" s="14">
        <f t="shared" si="241"/>
        <v>510</v>
      </c>
      <c r="FQ154" s="14">
        <f t="shared" si="242"/>
        <v>0</v>
      </c>
      <c r="FR154" s="14">
        <f t="shared" si="243"/>
        <v>0</v>
      </c>
      <c r="FS154" s="14">
        <f t="shared" si="244"/>
        <v>28</v>
      </c>
      <c r="FT154" s="14">
        <f t="shared" si="245"/>
        <v>0</v>
      </c>
      <c r="FU154" s="14">
        <f t="shared" si="246"/>
        <v>0</v>
      </c>
      <c r="FV154" s="14">
        <f t="shared" si="227"/>
        <v>1044</v>
      </c>
      <c r="FW154" s="14">
        <f t="shared" si="228"/>
        <v>4</v>
      </c>
      <c r="FX154" s="14">
        <f t="shared" si="229"/>
        <v>1044</v>
      </c>
      <c r="FY154" s="25" t="str">
        <f t="shared" si="247"/>
        <v>icon_2004421</v>
      </c>
      <c r="GC154" s="14">
        <f t="shared" si="230"/>
        <v>1</v>
      </c>
      <c r="GD154" s="14">
        <f t="shared" si="231"/>
        <v>0</v>
      </c>
      <c r="GE154" s="14">
        <f t="shared" si="248"/>
        <v>210</v>
      </c>
      <c r="GF154" s="14" t="str">
        <f t="shared" si="232"/>
        <v>AtkExt</v>
      </c>
      <c r="GG154" s="14">
        <f t="shared" si="249"/>
        <v>510</v>
      </c>
      <c r="GH154" s="14">
        <f t="shared" si="250"/>
        <v>28</v>
      </c>
      <c r="GI154" s="14" t="str">
        <f t="shared" si="233"/>
        <v/>
      </c>
      <c r="GJ154" s="14" t="str">
        <f t="shared" si="251"/>
        <v/>
      </c>
      <c r="GK154" s="14" t="str">
        <f t="shared" si="252"/>
        <v/>
      </c>
      <c r="GL154" s="14">
        <f t="shared" si="234"/>
        <v>20440</v>
      </c>
      <c r="GM154" s="14">
        <f t="shared" si="253"/>
        <v>4</v>
      </c>
      <c r="GN154" s="14">
        <f t="shared" si="254"/>
        <v>1044</v>
      </c>
      <c r="GO154" s="25" t="s">
        <v>1471</v>
      </c>
      <c r="GP154" s="14">
        <f t="shared" si="235"/>
        <v>300</v>
      </c>
      <c r="HK154" s="13">
        <v>149</v>
      </c>
      <c r="HL154" s="14">
        <f t="shared" si="255"/>
        <v>7</v>
      </c>
      <c r="HM154" s="14">
        <f t="shared" si="256"/>
        <v>1</v>
      </c>
      <c r="HN154" s="14">
        <f t="shared" si="257"/>
        <v>7</v>
      </c>
      <c r="HO154" s="14">
        <f t="shared" si="258"/>
        <v>3</v>
      </c>
      <c r="HP154" s="14" t="str">
        <f t="shared" si="259"/>
        <v>110级寄灵人洗练-Q3-5</v>
      </c>
      <c r="HQ154" s="14">
        <f t="shared" si="260"/>
        <v>1073</v>
      </c>
      <c r="HR154" s="14">
        <f t="shared" si="261"/>
        <v>5</v>
      </c>
      <c r="HS154" s="14">
        <f t="shared" si="262"/>
        <v>400</v>
      </c>
      <c r="HT154" s="14" t="str">
        <f t="shared" si="263"/>
        <v>DefRate</v>
      </c>
      <c r="HU154" s="14">
        <f t="shared" si="264"/>
        <v>1.4E-2</v>
      </c>
      <c r="HV154" s="14">
        <f t="shared" si="265"/>
        <v>0.04</v>
      </c>
    </row>
    <row r="155" spans="151:230" ht="16.5" x14ac:dyDescent="0.2">
      <c r="EU155" s="13">
        <v>150</v>
      </c>
      <c r="EV155" s="14">
        <f t="shared" si="236"/>
        <v>1</v>
      </c>
      <c r="EW155" s="14">
        <f t="shared" si="237"/>
        <v>150</v>
      </c>
      <c r="EX155" s="14">
        <f t="shared" si="238"/>
        <v>20</v>
      </c>
      <c r="EY155" s="14">
        <f t="shared" si="213"/>
        <v>42</v>
      </c>
      <c r="EZ155" s="14">
        <f t="shared" si="214"/>
        <v>4</v>
      </c>
      <c r="FA155" s="14">
        <f t="shared" si="215"/>
        <v>70</v>
      </c>
      <c r="FB155" s="14">
        <f t="shared" si="216"/>
        <v>4</v>
      </c>
      <c r="FC155" s="14">
        <f t="shared" si="217"/>
        <v>2</v>
      </c>
      <c r="FD155" s="14">
        <f t="shared" si="218"/>
        <v>2</v>
      </c>
      <c r="FE155" s="14" t="b">
        <f t="shared" si="239"/>
        <v>1</v>
      </c>
      <c r="FF155" s="14">
        <f t="shared" si="219"/>
        <v>2004422</v>
      </c>
      <c r="FG155" s="13" t="str">
        <f t="shared" si="220"/>
        <v>70级-攻击套寄灵人の头盔</v>
      </c>
      <c r="FH155" s="14">
        <f t="shared" si="221"/>
        <v>1</v>
      </c>
      <c r="FI155" s="14">
        <f t="shared" si="222"/>
        <v>4</v>
      </c>
      <c r="FJ155" s="14">
        <f t="shared" si="223"/>
        <v>70</v>
      </c>
      <c r="FK155" s="14">
        <v>1</v>
      </c>
      <c r="FL155" s="14">
        <f t="shared" si="224"/>
        <v>4</v>
      </c>
      <c r="FM155" s="14">
        <f t="shared" si="240"/>
        <v>2</v>
      </c>
      <c r="FN155" s="14">
        <f t="shared" si="225"/>
        <v>200441</v>
      </c>
      <c r="FO155" s="14">
        <f t="shared" si="226"/>
        <v>105</v>
      </c>
      <c r="FP155" s="14">
        <f t="shared" si="241"/>
        <v>0</v>
      </c>
      <c r="FQ155" s="14">
        <f t="shared" si="242"/>
        <v>130</v>
      </c>
      <c r="FR155" s="14">
        <f t="shared" si="243"/>
        <v>0</v>
      </c>
      <c r="FS155" s="14">
        <f t="shared" si="244"/>
        <v>0</v>
      </c>
      <c r="FT155" s="14">
        <f t="shared" si="245"/>
        <v>7</v>
      </c>
      <c r="FU155" s="14">
        <f t="shared" si="246"/>
        <v>0</v>
      </c>
      <c r="FV155" s="14">
        <f t="shared" si="227"/>
        <v>1044</v>
      </c>
      <c r="FW155" s="14">
        <f t="shared" si="228"/>
        <v>4</v>
      </c>
      <c r="FX155" s="14">
        <f t="shared" si="229"/>
        <v>1044</v>
      </c>
      <c r="FY155" s="25" t="str">
        <f t="shared" si="247"/>
        <v>icon_2004422</v>
      </c>
      <c r="GC155" s="14">
        <f t="shared" si="230"/>
        <v>2</v>
      </c>
      <c r="GD155" s="14">
        <f t="shared" si="231"/>
        <v>0</v>
      </c>
      <c r="GE155" s="14">
        <f t="shared" si="248"/>
        <v>105</v>
      </c>
      <c r="GF155" s="14" t="str">
        <f t="shared" si="232"/>
        <v>DefExt</v>
      </c>
      <c r="GG155" s="14">
        <f t="shared" si="249"/>
        <v>130</v>
      </c>
      <c r="GH155" s="14">
        <f t="shared" si="250"/>
        <v>7</v>
      </c>
      <c r="GI155" s="14" t="str">
        <f t="shared" si="233"/>
        <v/>
      </c>
      <c r="GJ155" s="14" t="str">
        <f t="shared" si="251"/>
        <v/>
      </c>
      <c r="GK155" s="14" t="str">
        <f t="shared" si="252"/>
        <v/>
      </c>
      <c r="GL155" s="14">
        <f t="shared" si="234"/>
        <v>20440</v>
      </c>
      <c r="GM155" s="14">
        <f t="shared" si="253"/>
        <v>4</v>
      </c>
      <c r="GN155" s="14">
        <f t="shared" si="254"/>
        <v>1044</v>
      </c>
      <c r="GO155" s="25" t="s">
        <v>1471</v>
      </c>
      <c r="GP155" s="14">
        <f t="shared" si="235"/>
        <v>150</v>
      </c>
      <c r="HK155" s="13">
        <v>150</v>
      </c>
      <c r="HL155" s="14">
        <f t="shared" si="255"/>
        <v>7</v>
      </c>
      <c r="HM155" s="14">
        <f t="shared" si="256"/>
        <v>1</v>
      </c>
      <c r="HN155" s="14">
        <f t="shared" si="257"/>
        <v>7</v>
      </c>
      <c r="HO155" s="14">
        <f t="shared" si="258"/>
        <v>3</v>
      </c>
      <c r="HP155" s="14" t="str">
        <f t="shared" si="259"/>
        <v>110级寄灵人洗练-Q3-6</v>
      </c>
      <c r="HQ155" s="14">
        <f t="shared" si="260"/>
        <v>1073</v>
      </c>
      <c r="HR155" s="14">
        <f t="shared" si="261"/>
        <v>6</v>
      </c>
      <c r="HS155" s="14">
        <f t="shared" si="262"/>
        <v>500</v>
      </c>
      <c r="HT155" s="14" t="str">
        <f t="shared" si="263"/>
        <v>HPRate</v>
      </c>
      <c r="HU155" s="14">
        <f t="shared" si="264"/>
        <v>1.4E-2</v>
      </c>
      <c r="HV155" s="14">
        <f t="shared" si="265"/>
        <v>0.04</v>
      </c>
    </row>
    <row r="156" spans="151:230" ht="16.5" x14ac:dyDescent="0.2">
      <c r="EU156" s="13">
        <v>151</v>
      </c>
      <c r="EV156" s="14">
        <f t="shared" si="236"/>
        <v>1</v>
      </c>
      <c r="EW156" s="14">
        <f t="shared" si="237"/>
        <v>151</v>
      </c>
      <c r="EX156" s="14">
        <f t="shared" si="238"/>
        <v>20</v>
      </c>
      <c r="EY156" s="14">
        <f t="shared" si="213"/>
        <v>42</v>
      </c>
      <c r="EZ156" s="14">
        <f t="shared" si="214"/>
        <v>4</v>
      </c>
      <c r="FA156" s="14">
        <f t="shared" si="215"/>
        <v>70</v>
      </c>
      <c r="FB156" s="14">
        <f t="shared" si="216"/>
        <v>4</v>
      </c>
      <c r="FC156" s="14">
        <f t="shared" si="217"/>
        <v>3</v>
      </c>
      <c r="FD156" s="14">
        <f t="shared" si="218"/>
        <v>3</v>
      </c>
      <c r="FE156" s="14" t="b">
        <f t="shared" si="239"/>
        <v>1</v>
      </c>
      <c r="FF156" s="14">
        <f t="shared" si="219"/>
        <v>2004423</v>
      </c>
      <c r="FG156" s="13" t="str">
        <f t="shared" si="220"/>
        <v>70级-攻击套寄灵人の铠甲</v>
      </c>
      <c r="FH156" s="14">
        <f t="shared" si="221"/>
        <v>1</v>
      </c>
      <c r="FI156" s="14">
        <f t="shared" si="222"/>
        <v>4</v>
      </c>
      <c r="FJ156" s="14">
        <f t="shared" si="223"/>
        <v>70</v>
      </c>
      <c r="FK156" s="14">
        <v>1</v>
      </c>
      <c r="FL156" s="14">
        <f t="shared" si="224"/>
        <v>4</v>
      </c>
      <c r="FM156" s="14">
        <f t="shared" si="240"/>
        <v>3</v>
      </c>
      <c r="FN156" s="14">
        <f t="shared" si="225"/>
        <v>200441</v>
      </c>
      <c r="FO156" s="14">
        <f t="shared" si="226"/>
        <v>141</v>
      </c>
      <c r="FP156" s="14">
        <f t="shared" si="241"/>
        <v>0</v>
      </c>
      <c r="FQ156" s="14">
        <f t="shared" si="242"/>
        <v>65</v>
      </c>
      <c r="FR156" s="14">
        <f t="shared" si="243"/>
        <v>970</v>
      </c>
      <c r="FS156" s="14">
        <f t="shared" si="244"/>
        <v>0</v>
      </c>
      <c r="FT156" s="14">
        <f t="shared" si="245"/>
        <v>4</v>
      </c>
      <c r="FU156" s="14">
        <f t="shared" si="246"/>
        <v>54</v>
      </c>
      <c r="FV156" s="14">
        <f t="shared" si="227"/>
        <v>1044</v>
      </c>
      <c r="FW156" s="14">
        <f t="shared" si="228"/>
        <v>4</v>
      </c>
      <c r="FX156" s="14">
        <f t="shared" si="229"/>
        <v>1044</v>
      </c>
      <c r="FY156" s="25" t="str">
        <f t="shared" si="247"/>
        <v>icon_2004423</v>
      </c>
      <c r="GC156" s="14">
        <f t="shared" si="230"/>
        <v>2</v>
      </c>
      <c r="GD156" s="14">
        <f t="shared" si="231"/>
        <v>3</v>
      </c>
      <c r="GE156" s="14">
        <f t="shared" si="248"/>
        <v>141</v>
      </c>
      <c r="GF156" s="14" t="str">
        <f t="shared" si="232"/>
        <v>DefExt</v>
      </c>
      <c r="GG156" s="14">
        <f t="shared" si="249"/>
        <v>65</v>
      </c>
      <c r="GH156" s="14">
        <f t="shared" si="250"/>
        <v>4</v>
      </c>
      <c r="GI156" s="14" t="str">
        <f t="shared" si="233"/>
        <v>HPExt</v>
      </c>
      <c r="GJ156" s="14">
        <f t="shared" si="251"/>
        <v>970</v>
      </c>
      <c r="GK156" s="14">
        <f t="shared" si="252"/>
        <v>54</v>
      </c>
      <c r="GL156" s="14">
        <f t="shared" si="234"/>
        <v>20440</v>
      </c>
      <c r="GM156" s="14">
        <f t="shared" si="253"/>
        <v>4</v>
      </c>
      <c r="GN156" s="14">
        <f t="shared" si="254"/>
        <v>1044</v>
      </c>
      <c r="GO156" s="25" t="s">
        <v>1471</v>
      </c>
      <c r="GP156" s="14">
        <f t="shared" si="235"/>
        <v>150</v>
      </c>
      <c r="HK156" s="13">
        <v>151</v>
      </c>
      <c r="HL156" s="14">
        <f t="shared" si="255"/>
        <v>7</v>
      </c>
      <c r="HM156" s="14">
        <f t="shared" si="256"/>
        <v>1</v>
      </c>
      <c r="HN156" s="14">
        <f t="shared" si="257"/>
        <v>7</v>
      </c>
      <c r="HO156" s="14">
        <f t="shared" si="258"/>
        <v>3</v>
      </c>
      <c r="HP156" s="14" t="str">
        <f t="shared" si="259"/>
        <v>110级寄灵人洗练-Q3-7</v>
      </c>
      <c r="HQ156" s="14">
        <f t="shared" si="260"/>
        <v>1073</v>
      </c>
      <c r="HR156" s="14">
        <f t="shared" si="261"/>
        <v>7</v>
      </c>
      <c r="HS156" s="14">
        <f t="shared" si="262"/>
        <v>500</v>
      </c>
      <c r="HT156" s="14" t="str">
        <f t="shared" si="263"/>
        <v>Crit</v>
      </c>
      <c r="HU156" s="14">
        <f t="shared" si="264"/>
        <v>1.0999999999999999E-2</v>
      </c>
      <c r="HV156" s="14">
        <f t="shared" si="265"/>
        <v>0.03</v>
      </c>
    </row>
    <row r="157" spans="151:230" ht="16.5" x14ac:dyDescent="0.2">
      <c r="EU157" s="13">
        <v>152</v>
      </c>
      <c r="EV157" s="14">
        <f t="shared" si="236"/>
        <v>1</v>
      </c>
      <c r="EW157" s="14">
        <f t="shared" si="237"/>
        <v>152</v>
      </c>
      <c r="EX157" s="14">
        <f t="shared" si="238"/>
        <v>20</v>
      </c>
      <c r="EY157" s="14">
        <f t="shared" si="213"/>
        <v>42</v>
      </c>
      <c r="EZ157" s="14">
        <f t="shared" si="214"/>
        <v>4</v>
      </c>
      <c r="FA157" s="14">
        <f t="shared" si="215"/>
        <v>70</v>
      </c>
      <c r="FB157" s="14">
        <f t="shared" si="216"/>
        <v>4</v>
      </c>
      <c r="FC157" s="14">
        <f t="shared" si="217"/>
        <v>4</v>
      </c>
      <c r="FD157" s="14">
        <f t="shared" si="218"/>
        <v>5</v>
      </c>
      <c r="FE157" s="14" t="b">
        <f t="shared" si="239"/>
        <v>1</v>
      </c>
      <c r="FF157" s="14">
        <f t="shared" si="219"/>
        <v>2004425</v>
      </c>
      <c r="FG157" s="13" t="str">
        <f t="shared" si="220"/>
        <v>70级-攻击套寄灵人の鞋子</v>
      </c>
      <c r="FH157" s="14">
        <f t="shared" si="221"/>
        <v>1</v>
      </c>
      <c r="FI157" s="14">
        <f t="shared" si="222"/>
        <v>4</v>
      </c>
      <c r="FJ157" s="14">
        <f t="shared" si="223"/>
        <v>70</v>
      </c>
      <c r="FK157" s="14">
        <v>1</v>
      </c>
      <c r="FL157" s="14">
        <f t="shared" si="224"/>
        <v>4</v>
      </c>
      <c r="FM157" s="14">
        <f t="shared" si="240"/>
        <v>5</v>
      </c>
      <c r="FN157" s="14">
        <f t="shared" si="225"/>
        <v>200441</v>
      </c>
      <c r="FO157" s="14">
        <f t="shared" si="226"/>
        <v>162</v>
      </c>
      <c r="FP157" s="14">
        <f t="shared" si="241"/>
        <v>0</v>
      </c>
      <c r="FQ157" s="14">
        <f t="shared" si="242"/>
        <v>0</v>
      </c>
      <c r="FR157" s="14">
        <f t="shared" si="243"/>
        <v>1940</v>
      </c>
      <c r="FS157" s="14">
        <f t="shared" si="244"/>
        <v>0</v>
      </c>
      <c r="FT157" s="14">
        <f t="shared" si="245"/>
        <v>0</v>
      </c>
      <c r="FU157" s="14">
        <f t="shared" si="246"/>
        <v>108</v>
      </c>
      <c r="FV157" s="14">
        <f t="shared" si="227"/>
        <v>1044</v>
      </c>
      <c r="FW157" s="14">
        <f t="shared" si="228"/>
        <v>4</v>
      </c>
      <c r="FX157" s="14">
        <f t="shared" si="229"/>
        <v>1044</v>
      </c>
      <c r="FY157" s="25" t="str">
        <f t="shared" si="247"/>
        <v>icon_2004425</v>
      </c>
      <c r="GC157" s="14">
        <f t="shared" si="230"/>
        <v>3</v>
      </c>
      <c r="GD157" s="14">
        <f t="shared" si="231"/>
        <v>0</v>
      </c>
      <c r="GE157" s="14">
        <f t="shared" si="248"/>
        <v>162</v>
      </c>
      <c r="GF157" s="14" t="str">
        <f t="shared" si="232"/>
        <v>HPExt</v>
      </c>
      <c r="GG157" s="14">
        <f t="shared" si="249"/>
        <v>1940</v>
      </c>
      <c r="GH157" s="14">
        <f t="shared" si="250"/>
        <v>108</v>
      </c>
      <c r="GI157" s="14" t="str">
        <f t="shared" si="233"/>
        <v/>
      </c>
      <c r="GJ157" s="14" t="str">
        <f t="shared" si="251"/>
        <v/>
      </c>
      <c r="GK157" s="14" t="str">
        <f t="shared" si="252"/>
        <v/>
      </c>
      <c r="GL157" s="14">
        <f t="shared" si="234"/>
        <v>20440</v>
      </c>
      <c r="GM157" s="14">
        <f t="shared" si="253"/>
        <v>4</v>
      </c>
      <c r="GN157" s="14">
        <f t="shared" si="254"/>
        <v>1044</v>
      </c>
      <c r="GO157" s="25" t="s">
        <v>1471</v>
      </c>
      <c r="GP157" s="14">
        <f t="shared" si="235"/>
        <v>150</v>
      </c>
      <c r="HK157" s="13">
        <v>152</v>
      </c>
      <c r="HL157" s="14">
        <f t="shared" si="255"/>
        <v>7</v>
      </c>
      <c r="HM157" s="14">
        <f t="shared" si="256"/>
        <v>1</v>
      </c>
      <c r="HN157" s="14">
        <f t="shared" si="257"/>
        <v>7</v>
      </c>
      <c r="HO157" s="14">
        <f t="shared" si="258"/>
        <v>3</v>
      </c>
      <c r="HP157" s="14" t="str">
        <f t="shared" si="259"/>
        <v>110级寄灵人洗练-Q3-8</v>
      </c>
      <c r="HQ157" s="14">
        <f t="shared" si="260"/>
        <v>1073</v>
      </c>
      <c r="HR157" s="14">
        <f t="shared" si="261"/>
        <v>8</v>
      </c>
      <c r="HS157" s="14">
        <f t="shared" si="262"/>
        <v>500</v>
      </c>
      <c r="HT157" s="14" t="str">
        <f t="shared" si="263"/>
        <v>CritRate</v>
      </c>
      <c r="HU157" s="14">
        <f t="shared" si="264"/>
        <v>2.8000000000000001E-2</v>
      </c>
      <c r="HV157" s="14">
        <f t="shared" si="265"/>
        <v>0.08</v>
      </c>
    </row>
    <row r="158" spans="151:230" ht="16.5" x14ac:dyDescent="0.2">
      <c r="EU158" s="13">
        <v>153</v>
      </c>
      <c r="EV158" s="14">
        <f t="shared" si="236"/>
        <v>1</v>
      </c>
      <c r="EW158" s="14">
        <f t="shared" si="237"/>
        <v>153</v>
      </c>
      <c r="EX158" s="14">
        <f t="shared" si="238"/>
        <v>20</v>
      </c>
      <c r="EY158" s="14">
        <f t="shared" si="213"/>
        <v>42</v>
      </c>
      <c r="EZ158" s="14">
        <f t="shared" si="214"/>
        <v>4</v>
      </c>
      <c r="FA158" s="14">
        <f t="shared" si="215"/>
        <v>70</v>
      </c>
      <c r="FB158" s="14">
        <f t="shared" si="216"/>
        <v>4</v>
      </c>
      <c r="FC158" s="14">
        <f t="shared" si="217"/>
        <v>5</v>
      </c>
      <c r="FD158" s="14">
        <f t="shared" si="218"/>
        <v>7</v>
      </c>
      <c r="FE158" s="14" t="b">
        <f t="shared" si="239"/>
        <v>1</v>
      </c>
      <c r="FF158" s="14">
        <f t="shared" si="219"/>
        <v>2004427</v>
      </c>
      <c r="FG158" s="13" t="str">
        <f t="shared" si="220"/>
        <v>70级-攻击套寄灵人の项链</v>
      </c>
      <c r="FH158" s="14">
        <f t="shared" si="221"/>
        <v>1</v>
      </c>
      <c r="FI158" s="14">
        <f t="shared" si="222"/>
        <v>4</v>
      </c>
      <c r="FJ158" s="14">
        <f t="shared" si="223"/>
        <v>70</v>
      </c>
      <c r="FK158" s="14">
        <v>1</v>
      </c>
      <c r="FL158" s="14">
        <f t="shared" si="224"/>
        <v>4</v>
      </c>
      <c r="FM158" s="14">
        <f t="shared" si="240"/>
        <v>7</v>
      </c>
      <c r="FN158" s="14">
        <f t="shared" si="225"/>
        <v>200441</v>
      </c>
      <c r="FO158" s="14">
        <f t="shared" si="226"/>
        <v>157</v>
      </c>
      <c r="FP158" s="14">
        <f t="shared" si="241"/>
        <v>170</v>
      </c>
      <c r="FQ158" s="14">
        <f t="shared" si="242"/>
        <v>110</v>
      </c>
      <c r="FR158" s="14">
        <f t="shared" si="243"/>
        <v>0</v>
      </c>
      <c r="FS158" s="14">
        <f t="shared" si="244"/>
        <v>9</v>
      </c>
      <c r="FT158" s="14">
        <f t="shared" si="245"/>
        <v>6</v>
      </c>
      <c r="FU158" s="14">
        <f t="shared" si="246"/>
        <v>0</v>
      </c>
      <c r="FV158" s="14">
        <f t="shared" si="227"/>
        <v>1044</v>
      </c>
      <c r="FW158" s="14">
        <f t="shared" si="228"/>
        <v>4</v>
      </c>
      <c r="FX158" s="14">
        <f t="shared" si="229"/>
        <v>1044</v>
      </c>
      <c r="FY158" s="25" t="str">
        <f t="shared" si="247"/>
        <v>icon_2004427</v>
      </c>
      <c r="GC158" s="14">
        <f t="shared" si="230"/>
        <v>1</v>
      </c>
      <c r="GD158" s="14">
        <f t="shared" si="231"/>
        <v>2</v>
      </c>
      <c r="GE158" s="14">
        <f t="shared" si="248"/>
        <v>157</v>
      </c>
      <c r="GF158" s="14" t="str">
        <f t="shared" si="232"/>
        <v>AtkExt</v>
      </c>
      <c r="GG158" s="14">
        <f t="shared" si="249"/>
        <v>170</v>
      </c>
      <c r="GH158" s="14">
        <f t="shared" si="250"/>
        <v>9</v>
      </c>
      <c r="GI158" s="14" t="str">
        <f t="shared" si="233"/>
        <v>DefExt</v>
      </c>
      <c r="GJ158" s="14">
        <f t="shared" si="251"/>
        <v>110</v>
      </c>
      <c r="GK158" s="14">
        <f t="shared" si="252"/>
        <v>6</v>
      </c>
      <c r="GL158" s="14">
        <f t="shared" si="234"/>
        <v>20440</v>
      </c>
      <c r="GM158" s="14">
        <f t="shared" si="253"/>
        <v>4</v>
      </c>
      <c r="GN158" s="14">
        <f t="shared" si="254"/>
        <v>1044</v>
      </c>
      <c r="GO158" s="25" t="s">
        <v>1471</v>
      </c>
      <c r="GP158" s="14">
        <f t="shared" si="235"/>
        <v>225</v>
      </c>
      <c r="HK158" s="13">
        <v>153</v>
      </c>
      <c r="HL158" s="14">
        <f t="shared" si="255"/>
        <v>7</v>
      </c>
      <c r="HM158" s="14">
        <f t="shared" si="256"/>
        <v>1</v>
      </c>
      <c r="HN158" s="14">
        <f t="shared" si="257"/>
        <v>7</v>
      </c>
      <c r="HO158" s="14">
        <f t="shared" si="258"/>
        <v>3</v>
      </c>
      <c r="HP158" s="14" t="str">
        <f t="shared" si="259"/>
        <v>110级寄灵人洗练-Q3-9</v>
      </c>
      <c r="HQ158" s="14">
        <f t="shared" si="260"/>
        <v>1073</v>
      </c>
      <c r="HR158" s="14">
        <f t="shared" si="261"/>
        <v>9</v>
      </c>
      <c r="HS158" s="14">
        <f t="shared" si="262"/>
        <v>500</v>
      </c>
      <c r="HT158" s="14" t="str">
        <f t="shared" si="263"/>
        <v>DefIgnor</v>
      </c>
      <c r="HU158" s="14">
        <f t="shared" si="264"/>
        <v>1.0999999999999999E-2</v>
      </c>
      <c r="HV158" s="14">
        <f t="shared" si="265"/>
        <v>0.03</v>
      </c>
    </row>
    <row r="159" spans="151:230" ht="16.5" x14ac:dyDescent="0.2">
      <c r="EU159" s="13">
        <v>154</v>
      </c>
      <c r="EV159" s="14">
        <f t="shared" si="236"/>
        <v>1</v>
      </c>
      <c r="EW159" s="14">
        <f t="shared" si="237"/>
        <v>154</v>
      </c>
      <c r="EX159" s="14">
        <f t="shared" si="238"/>
        <v>20</v>
      </c>
      <c r="EY159" s="14">
        <f t="shared" si="213"/>
        <v>42</v>
      </c>
      <c r="EZ159" s="14">
        <f t="shared" si="214"/>
        <v>4</v>
      </c>
      <c r="FA159" s="14">
        <f t="shared" si="215"/>
        <v>70</v>
      </c>
      <c r="FB159" s="14">
        <f t="shared" si="216"/>
        <v>4</v>
      </c>
      <c r="FC159" s="14">
        <f t="shared" si="217"/>
        <v>6</v>
      </c>
      <c r="FD159" s="14">
        <f t="shared" si="218"/>
        <v>8</v>
      </c>
      <c r="FE159" s="14" t="b">
        <f t="shared" si="239"/>
        <v>1</v>
      </c>
      <c r="FF159" s="14">
        <f t="shared" si="219"/>
        <v>2004428</v>
      </c>
      <c r="FG159" s="13" t="str">
        <f t="shared" si="220"/>
        <v>70级-攻击套寄灵人の戒指</v>
      </c>
      <c r="FH159" s="14">
        <f t="shared" si="221"/>
        <v>1</v>
      </c>
      <c r="FI159" s="14">
        <f t="shared" si="222"/>
        <v>4</v>
      </c>
      <c r="FJ159" s="14">
        <f t="shared" si="223"/>
        <v>70</v>
      </c>
      <c r="FK159" s="14">
        <v>1</v>
      </c>
      <c r="FL159" s="14">
        <f t="shared" si="224"/>
        <v>4</v>
      </c>
      <c r="FM159" s="14">
        <f t="shared" si="240"/>
        <v>8</v>
      </c>
      <c r="FN159" s="14">
        <f t="shared" si="225"/>
        <v>200441</v>
      </c>
      <c r="FO159" s="14">
        <f t="shared" si="226"/>
        <v>202</v>
      </c>
      <c r="FP159" s="14">
        <f t="shared" si="241"/>
        <v>170</v>
      </c>
      <c r="FQ159" s="14">
        <f t="shared" si="242"/>
        <v>0</v>
      </c>
      <c r="FR159" s="14">
        <f t="shared" si="243"/>
        <v>1615</v>
      </c>
      <c r="FS159" s="14">
        <f t="shared" si="244"/>
        <v>9</v>
      </c>
      <c r="FT159" s="14">
        <f t="shared" si="245"/>
        <v>0</v>
      </c>
      <c r="FU159" s="14">
        <f t="shared" si="246"/>
        <v>90</v>
      </c>
      <c r="FV159" s="14">
        <f t="shared" si="227"/>
        <v>1044</v>
      </c>
      <c r="FW159" s="14">
        <f t="shared" si="228"/>
        <v>4</v>
      </c>
      <c r="FX159" s="14">
        <f t="shared" si="229"/>
        <v>1044</v>
      </c>
      <c r="FY159" s="25" t="str">
        <f t="shared" si="247"/>
        <v>icon_2004428</v>
      </c>
      <c r="GC159" s="14">
        <f t="shared" si="230"/>
        <v>1</v>
      </c>
      <c r="GD159" s="14">
        <f t="shared" si="231"/>
        <v>3</v>
      </c>
      <c r="GE159" s="14">
        <f t="shared" si="248"/>
        <v>202</v>
      </c>
      <c r="GF159" s="14" t="str">
        <f t="shared" si="232"/>
        <v>AtkExt</v>
      </c>
      <c r="GG159" s="14">
        <f t="shared" si="249"/>
        <v>170</v>
      </c>
      <c r="GH159" s="14">
        <f t="shared" si="250"/>
        <v>9</v>
      </c>
      <c r="GI159" s="14" t="str">
        <f t="shared" si="233"/>
        <v>HPExt</v>
      </c>
      <c r="GJ159" s="14">
        <f t="shared" si="251"/>
        <v>1615</v>
      </c>
      <c r="GK159" s="14">
        <f t="shared" si="252"/>
        <v>90</v>
      </c>
      <c r="GL159" s="14">
        <f t="shared" si="234"/>
        <v>20440</v>
      </c>
      <c r="GM159" s="14">
        <f t="shared" si="253"/>
        <v>4</v>
      </c>
      <c r="GN159" s="14">
        <f t="shared" si="254"/>
        <v>1044</v>
      </c>
      <c r="GO159" s="25" t="s">
        <v>1471</v>
      </c>
      <c r="GP159" s="14">
        <f t="shared" si="235"/>
        <v>225</v>
      </c>
      <c r="HK159" s="13">
        <v>154</v>
      </c>
      <c r="HL159" s="14">
        <f t="shared" si="255"/>
        <v>7</v>
      </c>
      <c r="HM159" s="14">
        <f t="shared" si="256"/>
        <v>1</v>
      </c>
      <c r="HN159" s="14">
        <f t="shared" si="257"/>
        <v>7</v>
      </c>
      <c r="HO159" s="14">
        <f t="shared" si="258"/>
        <v>3</v>
      </c>
      <c r="HP159" s="14" t="str">
        <f t="shared" si="259"/>
        <v>110级寄灵人洗练-Q3-10</v>
      </c>
      <c r="HQ159" s="14">
        <f t="shared" si="260"/>
        <v>1073</v>
      </c>
      <c r="HR159" s="14">
        <f t="shared" si="261"/>
        <v>10</v>
      </c>
      <c r="HS159" s="14">
        <f t="shared" si="262"/>
        <v>500</v>
      </c>
      <c r="HT159" s="14" t="str">
        <f t="shared" si="263"/>
        <v>Block</v>
      </c>
      <c r="HU159" s="14">
        <f t="shared" si="264"/>
        <v>1.0999999999999999E-2</v>
      </c>
      <c r="HV159" s="14">
        <f t="shared" si="265"/>
        <v>0.03</v>
      </c>
    </row>
    <row r="160" spans="151:230" ht="16.5" x14ac:dyDescent="0.2">
      <c r="EU160" s="13">
        <v>155</v>
      </c>
      <c r="EV160" s="14">
        <f t="shared" si="236"/>
        <v>1</v>
      </c>
      <c r="EW160" s="14">
        <f t="shared" si="237"/>
        <v>155</v>
      </c>
      <c r="EX160" s="14">
        <f t="shared" si="238"/>
        <v>21</v>
      </c>
      <c r="EY160" s="14">
        <f t="shared" si="213"/>
        <v>10</v>
      </c>
      <c r="EZ160" s="14">
        <f t="shared" si="214"/>
        <v>5</v>
      </c>
      <c r="FA160" s="14">
        <f t="shared" si="215"/>
        <v>90</v>
      </c>
      <c r="FB160" s="14">
        <f t="shared" si="216"/>
        <v>1</v>
      </c>
      <c r="FC160" s="14">
        <f t="shared" si="217"/>
        <v>1</v>
      </c>
      <c r="FD160" s="14">
        <f t="shared" si="218"/>
        <v>1</v>
      </c>
      <c r="FE160" s="14" t="b">
        <f t="shared" si="239"/>
        <v>0</v>
      </c>
      <c r="FF160" s="14">
        <f t="shared" si="219"/>
        <v>2005101</v>
      </c>
      <c r="FG160" s="13" t="str">
        <f t="shared" si="220"/>
        <v>90级-普通寄灵人の灵器</v>
      </c>
      <c r="FH160" s="14">
        <f t="shared" si="221"/>
        <v>1</v>
      </c>
      <c r="FI160" s="14">
        <f t="shared" si="222"/>
        <v>1</v>
      </c>
      <c r="FJ160" s="14">
        <f t="shared" si="223"/>
        <v>90</v>
      </c>
      <c r="FK160" s="14">
        <v>1</v>
      </c>
      <c r="FL160" s="14">
        <f t="shared" si="224"/>
        <v>5</v>
      </c>
      <c r="FM160" s="14">
        <f t="shared" si="240"/>
        <v>1</v>
      </c>
      <c r="FN160" s="14" t="str">
        <f t="shared" si="225"/>
        <v/>
      </c>
      <c r="FO160" s="14">
        <f t="shared" si="226"/>
        <v>95</v>
      </c>
      <c r="FP160" s="14">
        <f t="shared" si="241"/>
        <v>355</v>
      </c>
      <c r="FQ160" s="14">
        <f t="shared" si="242"/>
        <v>0</v>
      </c>
      <c r="FR160" s="14">
        <f t="shared" si="243"/>
        <v>0</v>
      </c>
      <c r="FS160" s="14">
        <f t="shared" si="244"/>
        <v>19</v>
      </c>
      <c r="FT160" s="14">
        <f t="shared" si="245"/>
        <v>0</v>
      </c>
      <c r="FU160" s="14">
        <f t="shared" si="246"/>
        <v>0</v>
      </c>
      <c r="FV160" s="14">
        <f t="shared" si="227"/>
        <v>1051</v>
      </c>
      <c r="FW160" s="14">
        <f t="shared" si="228"/>
        <v>0</v>
      </c>
      <c r="FX160" s="14" t="str">
        <f t="shared" si="229"/>
        <v/>
      </c>
      <c r="FY160" s="25" t="str">
        <f t="shared" si="247"/>
        <v>icon_2005101</v>
      </c>
      <c r="GC160" s="14">
        <f t="shared" si="230"/>
        <v>1</v>
      </c>
      <c r="GD160" s="14">
        <f t="shared" si="231"/>
        <v>0</v>
      </c>
      <c r="GE160" s="14">
        <f t="shared" si="248"/>
        <v>95</v>
      </c>
      <c r="GF160" s="14" t="str">
        <f t="shared" si="232"/>
        <v>AtkExt</v>
      </c>
      <c r="GG160" s="14">
        <f t="shared" si="249"/>
        <v>355</v>
      </c>
      <c r="GH160" s="14">
        <f t="shared" si="250"/>
        <v>19</v>
      </c>
      <c r="GI160" s="14" t="str">
        <f t="shared" si="233"/>
        <v/>
      </c>
      <c r="GJ160" s="14" t="str">
        <f t="shared" si="251"/>
        <v/>
      </c>
      <c r="GK160" s="14" t="str">
        <f t="shared" si="252"/>
        <v/>
      </c>
      <c r="GL160" s="14">
        <f t="shared" si="234"/>
        <v>20510</v>
      </c>
      <c r="GM160" s="14">
        <f t="shared" si="253"/>
        <v>0</v>
      </c>
      <c r="GN160" s="14" t="str">
        <f t="shared" si="254"/>
        <v/>
      </c>
      <c r="GO160" s="25" t="s">
        <v>1471</v>
      </c>
      <c r="GP160" s="14">
        <f t="shared" si="235"/>
        <v>40</v>
      </c>
      <c r="HK160" s="13">
        <v>155</v>
      </c>
      <c r="HL160" s="14">
        <f t="shared" si="255"/>
        <v>7</v>
      </c>
      <c r="HM160" s="14">
        <f t="shared" si="256"/>
        <v>1</v>
      </c>
      <c r="HN160" s="14">
        <f t="shared" si="257"/>
        <v>7</v>
      </c>
      <c r="HO160" s="14">
        <f t="shared" si="258"/>
        <v>3</v>
      </c>
      <c r="HP160" s="14" t="str">
        <f t="shared" si="259"/>
        <v>110级寄灵人洗练-Q3-11</v>
      </c>
      <c r="HQ160" s="14">
        <f t="shared" si="260"/>
        <v>1073</v>
      </c>
      <c r="HR160" s="14">
        <f t="shared" si="261"/>
        <v>11</v>
      </c>
      <c r="HS160" s="14">
        <f t="shared" si="262"/>
        <v>500</v>
      </c>
      <c r="HT160" s="14" t="str">
        <f t="shared" si="263"/>
        <v>EffectHit</v>
      </c>
      <c r="HU160" s="14">
        <f t="shared" si="264"/>
        <v>1.7999999999999999E-2</v>
      </c>
      <c r="HV160" s="14">
        <f t="shared" si="265"/>
        <v>0.05</v>
      </c>
    </row>
    <row r="161" spans="151:230" ht="16.5" x14ac:dyDescent="0.2">
      <c r="EU161" s="13">
        <v>156</v>
      </c>
      <c r="EV161" s="14">
        <f t="shared" si="236"/>
        <v>1</v>
      </c>
      <c r="EW161" s="14">
        <f t="shared" si="237"/>
        <v>156</v>
      </c>
      <c r="EX161" s="14">
        <f t="shared" si="238"/>
        <v>21</v>
      </c>
      <c r="EY161" s="14">
        <f t="shared" si="213"/>
        <v>10</v>
      </c>
      <c r="EZ161" s="14">
        <f t="shared" si="214"/>
        <v>5</v>
      </c>
      <c r="FA161" s="14">
        <f t="shared" si="215"/>
        <v>90</v>
      </c>
      <c r="FB161" s="14">
        <f t="shared" si="216"/>
        <v>1</v>
      </c>
      <c r="FC161" s="14">
        <f t="shared" si="217"/>
        <v>2</v>
      </c>
      <c r="FD161" s="14">
        <f t="shared" si="218"/>
        <v>2</v>
      </c>
      <c r="FE161" s="14" t="b">
        <f t="shared" si="239"/>
        <v>0</v>
      </c>
      <c r="FF161" s="14">
        <f t="shared" si="219"/>
        <v>2005102</v>
      </c>
      <c r="FG161" s="13" t="str">
        <f t="shared" si="220"/>
        <v>90级-普通寄灵人の头盔</v>
      </c>
      <c r="FH161" s="14">
        <f t="shared" si="221"/>
        <v>1</v>
      </c>
      <c r="FI161" s="14">
        <f t="shared" si="222"/>
        <v>1</v>
      </c>
      <c r="FJ161" s="14">
        <f t="shared" si="223"/>
        <v>90</v>
      </c>
      <c r="FK161" s="14">
        <v>1</v>
      </c>
      <c r="FL161" s="14">
        <f t="shared" si="224"/>
        <v>5</v>
      </c>
      <c r="FM161" s="14">
        <f t="shared" si="240"/>
        <v>2</v>
      </c>
      <c r="FN161" s="14" t="str">
        <f t="shared" si="225"/>
        <v/>
      </c>
      <c r="FO161" s="14">
        <f t="shared" si="226"/>
        <v>50</v>
      </c>
      <c r="FP161" s="14">
        <f t="shared" si="241"/>
        <v>0</v>
      </c>
      <c r="FQ161" s="14">
        <f t="shared" si="242"/>
        <v>90</v>
      </c>
      <c r="FR161" s="14">
        <f t="shared" si="243"/>
        <v>0</v>
      </c>
      <c r="FS161" s="14">
        <f t="shared" si="244"/>
        <v>0</v>
      </c>
      <c r="FT161" s="14">
        <f t="shared" si="245"/>
        <v>5</v>
      </c>
      <c r="FU161" s="14">
        <f t="shared" si="246"/>
        <v>0</v>
      </c>
      <c r="FV161" s="14">
        <f t="shared" si="227"/>
        <v>1051</v>
      </c>
      <c r="FW161" s="14">
        <f t="shared" si="228"/>
        <v>0</v>
      </c>
      <c r="FX161" s="14" t="str">
        <f t="shared" si="229"/>
        <v/>
      </c>
      <c r="FY161" s="25" t="str">
        <f t="shared" si="247"/>
        <v>icon_2005102</v>
      </c>
      <c r="GC161" s="14">
        <f t="shared" si="230"/>
        <v>2</v>
      </c>
      <c r="GD161" s="14">
        <f t="shared" si="231"/>
        <v>0</v>
      </c>
      <c r="GE161" s="14">
        <f t="shared" si="248"/>
        <v>50</v>
      </c>
      <c r="GF161" s="14" t="str">
        <f t="shared" si="232"/>
        <v>DefExt</v>
      </c>
      <c r="GG161" s="14">
        <f t="shared" si="249"/>
        <v>90</v>
      </c>
      <c r="GH161" s="14">
        <f t="shared" si="250"/>
        <v>5</v>
      </c>
      <c r="GI161" s="14" t="str">
        <f t="shared" si="233"/>
        <v/>
      </c>
      <c r="GJ161" s="14" t="str">
        <f t="shared" si="251"/>
        <v/>
      </c>
      <c r="GK161" s="14" t="str">
        <f t="shared" si="252"/>
        <v/>
      </c>
      <c r="GL161" s="14">
        <f t="shared" si="234"/>
        <v>20510</v>
      </c>
      <c r="GM161" s="14">
        <f t="shared" si="253"/>
        <v>0</v>
      </c>
      <c r="GN161" s="14" t="str">
        <f t="shared" si="254"/>
        <v/>
      </c>
      <c r="GO161" s="25" t="s">
        <v>1471</v>
      </c>
      <c r="GP161" s="14">
        <f t="shared" si="235"/>
        <v>20</v>
      </c>
      <c r="HK161" s="13">
        <v>156</v>
      </c>
      <c r="HL161" s="14">
        <f t="shared" si="255"/>
        <v>7</v>
      </c>
      <c r="HM161" s="14">
        <f t="shared" si="256"/>
        <v>1</v>
      </c>
      <c r="HN161" s="14">
        <f t="shared" si="257"/>
        <v>7</v>
      </c>
      <c r="HO161" s="14">
        <f t="shared" si="258"/>
        <v>3</v>
      </c>
      <c r="HP161" s="14" t="str">
        <f t="shared" si="259"/>
        <v>110级寄灵人洗练-Q3-12</v>
      </c>
      <c r="HQ161" s="14">
        <f t="shared" si="260"/>
        <v>1073</v>
      </c>
      <c r="HR161" s="14">
        <f t="shared" si="261"/>
        <v>12</v>
      </c>
      <c r="HS161" s="14">
        <f t="shared" si="262"/>
        <v>500</v>
      </c>
      <c r="HT161" s="14" t="str">
        <f t="shared" si="263"/>
        <v>EffectResist</v>
      </c>
      <c r="HU161" s="14">
        <f t="shared" si="264"/>
        <v>1.7999999999999999E-2</v>
      </c>
      <c r="HV161" s="14">
        <f t="shared" si="265"/>
        <v>0.05</v>
      </c>
    </row>
    <row r="162" spans="151:230" ht="16.5" x14ac:dyDescent="0.2">
      <c r="EU162" s="13">
        <v>157</v>
      </c>
      <c r="EV162" s="14">
        <f t="shared" si="236"/>
        <v>1</v>
      </c>
      <c r="EW162" s="14">
        <f t="shared" si="237"/>
        <v>157</v>
      </c>
      <c r="EX162" s="14">
        <f t="shared" si="238"/>
        <v>21</v>
      </c>
      <c r="EY162" s="14">
        <f t="shared" si="213"/>
        <v>10</v>
      </c>
      <c r="EZ162" s="14">
        <f t="shared" si="214"/>
        <v>5</v>
      </c>
      <c r="FA162" s="14">
        <f t="shared" si="215"/>
        <v>90</v>
      </c>
      <c r="FB162" s="14">
        <f t="shared" si="216"/>
        <v>1</v>
      </c>
      <c r="FC162" s="14">
        <f t="shared" si="217"/>
        <v>3</v>
      </c>
      <c r="FD162" s="14">
        <f t="shared" si="218"/>
        <v>3</v>
      </c>
      <c r="FE162" s="14" t="b">
        <f t="shared" si="239"/>
        <v>0</v>
      </c>
      <c r="FF162" s="14">
        <f t="shared" si="219"/>
        <v>2005103</v>
      </c>
      <c r="FG162" s="13" t="str">
        <f t="shared" si="220"/>
        <v>90级-普通寄灵人の铠甲</v>
      </c>
      <c r="FH162" s="14">
        <f t="shared" si="221"/>
        <v>1</v>
      </c>
      <c r="FI162" s="14">
        <f t="shared" si="222"/>
        <v>1</v>
      </c>
      <c r="FJ162" s="14">
        <f t="shared" si="223"/>
        <v>90</v>
      </c>
      <c r="FK162" s="14">
        <v>1</v>
      </c>
      <c r="FL162" s="14">
        <f t="shared" si="224"/>
        <v>5</v>
      </c>
      <c r="FM162" s="14">
        <f t="shared" si="240"/>
        <v>3</v>
      </c>
      <c r="FN162" s="14" t="str">
        <f t="shared" si="225"/>
        <v/>
      </c>
      <c r="FO162" s="14">
        <f t="shared" si="226"/>
        <v>58</v>
      </c>
      <c r="FP162" s="14">
        <f t="shared" si="241"/>
        <v>0</v>
      </c>
      <c r="FQ162" s="14">
        <f t="shared" si="242"/>
        <v>45</v>
      </c>
      <c r="FR162" s="14">
        <f t="shared" si="243"/>
        <v>720</v>
      </c>
      <c r="FS162" s="14">
        <f t="shared" si="244"/>
        <v>0</v>
      </c>
      <c r="FT162" s="14">
        <f t="shared" si="245"/>
        <v>2</v>
      </c>
      <c r="FU162" s="14">
        <f t="shared" si="246"/>
        <v>38</v>
      </c>
      <c r="FV162" s="14">
        <f t="shared" si="227"/>
        <v>1051</v>
      </c>
      <c r="FW162" s="14">
        <f t="shared" si="228"/>
        <v>0</v>
      </c>
      <c r="FX162" s="14" t="str">
        <f t="shared" si="229"/>
        <v/>
      </c>
      <c r="FY162" s="25" t="str">
        <f t="shared" si="247"/>
        <v>icon_2005103</v>
      </c>
      <c r="GC162" s="14">
        <f t="shared" si="230"/>
        <v>2</v>
      </c>
      <c r="GD162" s="14">
        <f t="shared" si="231"/>
        <v>3</v>
      </c>
      <c r="GE162" s="14">
        <f t="shared" si="248"/>
        <v>58</v>
      </c>
      <c r="GF162" s="14" t="str">
        <f t="shared" si="232"/>
        <v>DefExt</v>
      </c>
      <c r="GG162" s="14">
        <f t="shared" si="249"/>
        <v>45</v>
      </c>
      <c r="GH162" s="14">
        <f t="shared" si="250"/>
        <v>2</v>
      </c>
      <c r="GI162" s="14" t="str">
        <f t="shared" si="233"/>
        <v>HPExt</v>
      </c>
      <c r="GJ162" s="14">
        <f t="shared" si="251"/>
        <v>720</v>
      </c>
      <c r="GK162" s="14">
        <f t="shared" si="252"/>
        <v>38</v>
      </c>
      <c r="GL162" s="14">
        <f t="shared" si="234"/>
        <v>20510</v>
      </c>
      <c r="GM162" s="14">
        <f t="shared" si="253"/>
        <v>0</v>
      </c>
      <c r="GN162" s="14" t="str">
        <f t="shared" si="254"/>
        <v/>
      </c>
      <c r="GO162" s="25" t="s">
        <v>1471</v>
      </c>
      <c r="GP162" s="14">
        <f t="shared" si="235"/>
        <v>20</v>
      </c>
      <c r="HK162" s="13">
        <v>157</v>
      </c>
      <c r="HL162" s="14">
        <f t="shared" si="255"/>
        <v>7</v>
      </c>
      <c r="HM162" s="14">
        <f t="shared" si="256"/>
        <v>1</v>
      </c>
      <c r="HN162" s="14">
        <f t="shared" si="257"/>
        <v>7</v>
      </c>
      <c r="HO162" s="14">
        <f t="shared" si="258"/>
        <v>4</v>
      </c>
      <c r="HP162" s="14" t="str">
        <f t="shared" si="259"/>
        <v>110级寄灵人洗练-Q4-1</v>
      </c>
      <c r="HQ162" s="14">
        <f t="shared" si="260"/>
        <v>1074</v>
      </c>
      <c r="HR162" s="14">
        <f t="shared" si="261"/>
        <v>1</v>
      </c>
      <c r="HS162" s="14">
        <f t="shared" si="262"/>
        <v>1800</v>
      </c>
      <c r="HT162" s="14" t="str">
        <f t="shared" si="263"/>
        <v>AtkExt</v>
      </c>
      <c r="HU162" s="14">
        <f t="shared" si="264"/>
        <v>182</v>
      </c>
      <c r="HV162" s="14">
        <f t="shared" si="265"/>
        <v>522</v>
      </c>
    </row>
    <row r="163" spans="151:230" ht="16.5" x14ac:dyDescent="0.2">
      <c r="EU163" s="13">
        <v>158</v>
      </c>
      <c r="EV163" s="14">
        <f t="shared" si="236"/>
        <v>1</v>
      </c>
      <c r="EW163" s="14">
        <f t="shared" si="237"/>
        <v>158</v>
      </c>
      <c r="EX163" s="14">
        <f t="shared" si="238"/>
        <v>21</v>
      </c>
      <c r="EY163" s="14">
        <f t="shared" si="213"/>
        <v>10</v>
      </c>
      <c r="EZ163" s="14">
        <f t="shared" si="214"/>
        <v>5</v>
      </c>
      <c r="FA163" s="14">
        <f t="shared" si="215"/>
        <v>90</v>
      </c>
      <c r="FB163" s="14">
        <f t="shared" si="216"/>
        <v>1</v>
      </c>
      <c r="FC163" s="14">
        <f t="shared" si="217"/>
        <v>4</v>
      </c>
      <c r="FD163" s="14">
        <f t="shared" si="218"/>
        <v>4</v>
      </c>
      <c r="FE163" s="14" t="b">
        <f t="shared" si="239"/>
        <v>0</v>
      </c>
      <c r="FF163" s="14">
        <f t="shared" si="219"/>
        <v>2005104</v>
      </c>
      <c r="FG163" s="13" t="str">
        <f t="shared" si="220"/>
        <v>90级-普通寄灵人の裤子</v>
      </c>
      <c r="FH163" s="14">
        <f t="shared" si="221"/>
        <v>1</v>
      </c>
      <c r="FI163" s="14">
        <f t="shared" si="222"/>
        <v>1</v>
      </c>
      <c r="FJ163" s="14">
        <f t="shared" si="223"/>
        <v>90</v>
      </c>
      <c r="FK163" s="14">
        <v>1</v>
      </c>
      <c r="FL163" s="14">
        <f t="shared" si="224"/>
        <v>5</v>
      </c>
      <c r="FM163" s="14">
        <f t="shared" si="240"/>
        <v>4</v>
      </c>
      <c r="FN163" s="14" t="str">
        <f t="shared" si="225"/>
        <v/>
      </c>
      <c r="FO163" s="14">
        <f t="shared" si="226"/>
        <v>50</v>
      </c>
      <c r="FP163" s="14">
        <f t="shared" si="241"/>
        <v>0</v>
      </c>
      <c r="FQ163" s="14">
        <f t="shared" si="242"/>
        <v>90</v>
      </c>
      <c r="FR163" s="14">
        <f t="shared" si="243"/>
        <v>0</v>
      </c>
      <c r="FS163" s="14">
        <f t="shared" si="244"/>
        <v>0</v>
      </c>
      <c r="FT163" s="14">
        <f t="shared" si="245"/>
        <v>5</v>
      </c>
      <c r="FU163" s="14">
        <f t="shared" si="246"/>
        <v>0</v>
      </c>
      <c r="FV163" s="14">
        <f t="shared" si="227"/>
        <v>1051</v>
      </c>
      <c r="FW163" s="14">
        <f t="shared" si="228"/>
        <v>0</v>
      </c>
      <c r="FX163" s="14" t="str">
        <f t="shared" si="229"/>
        <v/>
      </c>
      <c r="FY163" s="25" t="str">
        <f t="shared" si="247"/>
        <v>icon_2005104</v>
      </c>
      <c r="GC163" s="14">
        <f t="shared" si="230"/>
        <v>2</v>
      </c>
      <c r="GD163" s="14">
        <f t="shared" si="231"/>
        <v>0</v>
      </c>
      <c r="GE163" s="14">
        <f t="shared" si="248"/>
        <v>50</v>
      </c>
      <c r="GF163" s="14" t="str">
        <f t="shared" si="232"/>
        <v>DefExt</v>
      </c>
      <c r="GG163" s="14">
        <f t="shared" si="249"/>
        <v>90</v>
      </c>
      <c r="GH163" s="14">
        <f t="shared" si="250"/>
        <v>5</v>
      </c>
      <c r="GI163" s="14" t="str">
        <f t="shared" si="233"/>
        <v/>
      </c>
      <c r="GJ163" s="14" t="str">
        <f t="shared" si="251"/>
        <v/>
      </c>
      <c r="GK163" s="14" t="str">
        <f t="shared" si="252"/>
        <v/>
      </c>
      <c r="GL163" s="14">
        <f t="shared" si="234"/>
        <v>20510</v>
      </c>
      <c r="GM163" s="14">
        <f t="shared" si="253"/>
        <v>0</v>
      </c>
      <c r="GN163" s="14" t="str">
        <f t="shared" si="254"/>
        <v/>
      </c>
      <c r="GO163" s="25" t="s">
        <v>1471</v>
      </c>
      <c r="GP163" s="14">
        <f t="shared" si="235"/>
        <v>20</v>
      </c>
      <c r="HK163" s="13">
        <v>158</v>
      </c>
      <c r="HL163" s="14">
        <f t="shared" si="255"/>
        <v>7</v>
      </c>
      <c r="HM163" s="14">
        <f t="shared" si="256"/>
        <v>1</v>
      </c>
      <c r="HN163" s="14">
        <f t="shared" si="257"/>
        <v>7</v>
      </c>
      <c r="HO163" s="14">
        <f t="shared" si="258"/>
        <v>4</v>
      </c>
      <c r="HP163" s="14" t="str">
        <f t="shared" si="259"/>
        <v>110级寄灵人洗练-Q4-2</v>
      </c>
      <c r="HQ163" s="14">
        <f t="shared" si="260"/>
        <v>1074</v>
      </c>
      <c r="HR163" s="14">
        <f t="shared" si="261"/>
        <v>2</v>
      </c>
      <c r="HS163" s="14">
        <f t="shared" si="262"/>
        <v>1800</v>
      </c>
      <c r="HT163" s="14" t="str">
        <f t="shared" si="263"/>
        <v>DefExt</v>
      </c>
      <c r="HU163" s="14">
        <f t="shared" si="264"/>
        <v>64</v>
      </c>
      <c r="HV163" s="14">
        <f t="shared" si="265"/>
        <v>183</v>
      </c>
    </row>
    <row r="164" spans="151:230" ht="16.5" x14ac:dyDescent="0.2">
      <c r="EU164" s="13">
        <v>159</v>
      </c>
      <c r="EV164" s="14">
        <f t="shared" si="236"/>
        <v>1</v>
      </c>
      <c r="EW164" s="14">
        <f t="shared" si="237"/>
        <v>159</v>
      </c>
      <c r="EX164" s="14">
        <f t="shared" si="238"/>
        <v>21</v>
      </c>
      <c r="EY164" s="14">
        <f t="shared" si="213"/>
        <v>10</v>
      </c>
      <c r="EZ164" s="14">
        <f t="shared" si="214"/>
        <v>5</v>
      </c>
      <c r="FA164" s="14">
        <f t="shared" si="215"/>
        <v>90</v>
      </c>
      <c r="FB164" s="14">
        <f t="shared" si="216"/>
        <v>1</v>
      </c>
      <c r="FC164" s="14">
        <f t="shared" si="217"/>
        <v>5</v>
      </c>
      <c r="FD164" s="14">
        <f t="shared" si="218"/>
        <v>5</v>
      </c>
      <c r="FE164" s="14" t="b">
        <f t="shared" si="239"/>
        <v>0</v>
      </c>
      <c r="FF164" s="14">
        <f t="shared" si="219"/>
        <v>2005105</v>
      </c>
      <c r="FG164" s="13" t="str">
        <f t="shared" si="220"/>
        <v>90级-普通寄灵人の鞋子</v>
      </c>
      <c r="FH164" s="14">
        <f t="shared" si="221"/>
        <v>1</v>
      </c>
      <c r="FI164" s="14">
        <f t="shared" si="222"/>
        <v>1</v>
      </c>
      <c r="FJ164" s="14">
        <f t="shared" si="223"/>
        <v>90</v>
      </c>
      <c r="FK164" s="14">
        <v>1</v>
      </c>
      <c r="FL164" s="14">
        <f t="shared" si="224"/>
        <v>5</v>
      </c>
      <c r="FM164" s="14">
        <f t="shared" si="240"/>
        <v>5</v>
      </c>
      <c r="FN164" s="14" t="str">
        <f t="shared" si="225"/>
        <v/>
      </c>
      <c r="FO164" s="14">
        <f t="shared" si="226"/>
        <v>75</v>
      </c>
      <c r="FP164" s="14">
        <f t="shared" si="241"/>
        <v>0</v>
      </c>
      <c r="FQ164" s="14">
        <f t="shared" si="242"/>
        <v>0</v>
      </c>
      <c r="FR164" s="14">
        <f t="shared" si="243"/>
        <v>1440</v>
      </c>
      <c r="FS164" s="14">
        <f t="shared" si="244"/>
        <v>0</v>
      </c>
      <c r="FT164" s="14">
        <f t="shared" si="245"/>
        <v>0</v>
      </c>
      <c r="FU164" s="14">
        <f t="shared" si="246"/>
        <v>75</v>
      </c>
      <c r="FV164" s="14">
        <f t="shared" si="227"/>
        <v>1051</v>
      </c>
      <c r="FW164" s="14">
        <f t="shared" si="228"/>
        <v>0</v>
      </c>
      <c r="FX164" s="14" t="str">
        <f t="shared" si="229"/>
        <v/>
      </c>
      <c r="FY164" s="25" t="str">
        <f t="shared" si="247"/>
        <v>icon_2005105</v>
      </c>
      <c r="GC164" s="14">
        <f t="shared" si="230"/>
        <v>3</v>
      </c>
      <c r="GD164" s="14">
        <f t="shared" si="231"/>
        <v>0</v>
      </c>
      <c r="GE164" s="14">
        <f t="shared" si="248"/>
        <v>75</v>
      </c>
      <c r="GF164" s="14" t="str">
        <f t="shared" si="232"/>
        <v>HPExt</v>
      </c>
      <c r="GG164" s="14">
        <f t="shared" si="249"/>
        <v>1440</v>
      </c>
      <c r="GH164" s="14">
        <f t="shared" si="250"/>
        <v>75</v>
      </c>
      <c r="GI164" s="14" t="str">
        <f t="shared" si="233"/>
        <v/>
      </c>
      <c r="GJ164" s="14" t="str">
        <f t="shared" si="251"/>
        <v/>
      </c>
      <c r="GK164" s="14" t="str">
        <f t="shared" si="252"/>
        <v/>
      </c>
      <c r="GL164" s="14">
        <f t="shared" si="234"/>
        <v>20510</v>
      </c>
      <c r="GM164" s="14">
        <f t="shared" si="253"/>
        <v>0</v>
      </c>
      <c r="GN164" s="14" t="str">
        <f t="shared" si="254"/>
        <v/>
      </c>
      <c r="GO164" s="25" t="s">
        <v>1471</v>
      </c>
      <c r="GP164" s="14">
        <f t="shared" si="235"/>
        <v>20</v>
      </c>
      <c r="HK164" s="13">
        <v>159</v>
      </c>
      <c r="HL164" s="14">
        <f t="shared" si="255"/>
        <v>7</v>
      </c>
      <c r="HM164" s="14">
        <f t="shared" si="256"/>
        <v>1</v>
      </c>
      <c r="HN164" s="14">
        <f t="shared" si="257"/>
        <v>7</v>
      </c>
      <c r="HO164" s="14">
        <f t="shared" si="258"/>
        <v>4</v>
      </c>
      <c r="HP164" s="14" t="str">
        <f t="shared" si="259"/>
        <v>110级寄灵人洗练-Q4-3</v>
      </c>
      <c r="HQ164" s="14">
        <f t="shared" si="260"/>
        <v>1074</v>
      </c>
      <c r="HR164" s="14">
        <f t="shared" si="261"/>
        <v>3</v>
      </c>
      <c r="HS164" s="14">
        <f t="shared" si="262"/>
        <v>2000</v>
      </c>
      <c r="HT164" s="14" t="str">
        <f t="shared" si="263"/>
        <v>HPExt</v>
      </c>
      <c r="HU164" s="14">
        <f t="shared" si="264"/>
        <v>1447</v>
      </c>
      <c r="HV164" s="14">
        <f t="shared" si="265"/>
        <v>4136</v>
      </c>
    </row>
    <row r="165" spans="151:230" ht="16.5" x14ac:dyDescent="0.2">
      <c r="EU165" s="13">
        <v>160</v>
      </c>
      <c r="EV165" s="14">
        <f t="shared" si="236"/>
        <v>1</v>
      </c>
      <c r="EW165" s="14">
        <f t="shared" si="237"/>
        <v>160</v>
      </c>
      <c r="EX165" s="14">
        <f t="shared" si="238"/>
        <v>21</v>
      </c>
      <c r="EY165" s="14">
        <f t="shared" si="213"/>
        <v>10</v>
      </c>
      <c r="EZ165" s="14">
        <f t="shared" si="214"/>
        <v>5</v>
      </c>
      <c r="FA165" s="14">
        <f t="shared" si="215"/>
        <v>90</v>
      </c>
      <c r="FB165" s="14">
        <f t="shared" si="216"/>
        <v>1</v>
      </c>
      <c r="FC165" s="14">
        <f t="shared" si="217"/>
        <v>6</v>
      </c>
      <c r="FD165" s="14">
        <f t="shared" si="218"/>
        <v>6</v>
      </c>
      <c r="FE165" s="14" t="b">
        <f t="shared" si="239"/>
        <v>0</v>
      </c>
      <c r="FF165" s="14">
        <f t="shared" si="219"/>
        <v>2005106</v>
      </c>
      <c r="FG165" s="13" t="str">
        <f t="shared" si="220"/>
        <v>90级-普通寄灵人の护手</v>
      </c>
      <c r="FH165" s="14">
        <f t="shared" si="221"/>
        <v>1</v>
      </c>
      <c r="FI165" s="14">
        <f t="shared" si="222"/>
        <v>1</v>
      </c>
      <c r="FJ165" s="14">
        <f t="shared" si="223"/>
        <v>90</v>
      </c>
      <c r="FK165" s="14">
        <v>1</v>
      </c>
      <c r="FL165" s="14">
        <f t="shared" si="224"/>
        <v>5</v>
      </c>
      <c r="FM165" s="14">
        <f t="shared" si="240"/>
        <v>6</v>
      </c>
      <c r="FN165" s="14" t="str">
        <f t="shared" si="225"/>
        <v/>
      </c>
      <c r="FO165" s="14">
        <f t="shared" si="226"/>
        <v>75</v>
      </c>
      <c r="FP165" s="14">
        <f t="shared" si="241"/>
        <v>0</v>
      </c>
      <c r="FQ165" s="14">
        <f t="shared" si="242"/>
        <v>0</v>
      </c>
      <c r="FR165" s="14">
        <f t="shared" si="243"/>
        <v>1440</v>
      </c>
      <c r="FS165" s="14">
        <f t="shared" si="244"/>
        <v>0</v>
      </c>
      <c r="FT165" s="14">
        <f t="shared" si="245"/>
        <v>0</v>
      </c>
      <c r="FU165" s="14">
        <f t="shared" si="246"/>
        <v>75</v>
      </c>
      <c r="FV165" s="14">
        <f t="shared" si="227"/>
        <v>1051</v>
      </c>
      <c r="FW165" s="14">
        <f t="shared" si="228"/>
        <v>0</v>
      </c>
      <c r="FX165" s="14" t="str">
        <f t="shared" si="229"/>
        <v/>
      </c>
      <c r="FY165" s="25" t="str">
        <f t="shared" si="247"/>
        <v>icon_2005106</v>
      </c>
      <c r="GC165" s="14">
        <f t="shared" si="230"/>
        <v>3</v>
      </c>
      <c r="GD165" s="14">
        <f t="shared" si="231"/>
        <v>0</v>
      </c>
      <c r="GE165" s="14">
        <f t="shared" si="248"/>
        <v>75</v>
      </c>
      <c r="GF165" s="14" t="str">
        <f t="shared" si="232"/>
        <v>HPExt</v>
      </c>
      <c r="GG165" s="14">
        <f t="shared" si="249"/>
        <v>1440</v>
      </c>
      <c r="GH165" s="14">
        <f t="shared" si="250"/>
        <v>75</v>
      </c>
      <c r="GI165" s="14" t="str">
        <f t="shared" si="233"/>
        <v/>
      </c>
      <c r="GJ165" s="14" t="str">
        <f t="shared" si="251"/>
        <v/>
      </c>
      <c r="GK165" s="14" t="str">
        <f t="shared" si="252"/>
        <v/>
      </c>
      <c r="GL165" s="14">
        <f t="shared" si="234"/>
        <v>20510</v>
      </c>
      <c r="GM165" s="14">
        <f t="shared" si="253"/>
        <v>0</v>
      </c>
      <c r="GN165" s="14" t="str">
        <f t="shared" si="254"/>
        <v/>
      </c>
      <c r="GO165" s="25" t="s">
        <v>1471</v>
      </c>
      <c r="GP165" s="14">
        <f t="shared" si="235"/>
        <v>20</v>
      </c>
      <c r="HK165" s="13">
        <v>160</v>
      </c>
      <c r="HL165" s="14">
        <f t="shared" si="255"/>
        <v>7</v>
      </c>
      <c r="HM165" s="14">
        <f t="shared" si="256"/>
        <v>1</v>
      </c>
      <c r="HN165" s="14">
        <f t="shared" si="257"/>
        <v>7</v>
      </c>
      <c r="HO165" s="14">
        <f t="shared" si="258"/>
        <v>4</v>
      </c>
      <c r="HP165" s="14" t="str">
        <f t="shared" si="259"/>
        <v>110级寄灵人洗练-Q4-4</v>
      </c>
      <c r="HQ165" s="14">
        <f t="shared" si="260"/>
        <v>1074</v>
      </c>
      <c r="HR165" s="14">
        <f t="shared" si="261"/>
        <v>4</v>
      </c>
      <c r="HS165" s="14">
        <f t="shared" si="262"/>
        <v>500</v>
      </c>
      <c r="HT165" s="14" t="str">
        <f t="shared" si="263"/>
        <v>AtkRate</v>
      </c>
      <c r="HU165" s="14">
        <f t="shared" si="264"/>
        <v>1.4E-2</v>
      </c>
      <c r="HV165" s="14">
        <f t="shared" si="265"/>
        <v>0.04</v>
      </c>
    </row>
    <row r="166" spans="151:230" ht="16.5" x14ac:dyDescent="0.2">
      <c r="EU166" s="13">
        <v>161</v>
      </c>
      <c r="EV166" s="14">
        <f t="shared" si="236"/>
        <v>1</v>
      </c>
      <c r="EW166" s="14">
        <f t="shared" si="237"/>
        <v>161</v>
      </c>
      <c r="EX166" s="14">
        <f t="shared" si="238"/>
        <v>21</v>
      </c>
      <c r="EY166" s="14">
        <f t="shared" si="213"/>
        <v>10</v>
      </c>
      <c r="EZ166" s="14">
        <f t="shared" si="214"/>
        <v>5</v>
      </c>
      <c r="FA166" s="14">
        <f t="shared" si="215"/>
        <v>90</v>
      </c>
      <c r="FB166" s="14">
        <f t="shared" si="216"/>
        <v>1</v>
      </c>
      <c r="FC166" s="14">
        <f t="shared" si="217"/>
        <v>7</v>
      </c>
      <c r="FD166" s="14">
        <f t="shared" si="218"/>
        <v>7</v>
      </c>
      <c r="FE166" s="14" t="b">
        <f t="shared" si="239"/>
        <v>0</v>
      </c>
      <c r="FF166" s="14">
        <f t="shared" si="219"/>
        <v>2005107</v>
      </c>
      <c r="FG166" s="13" t="str">
        <f t="shared" si="220"/>
        <v>90级-普通寄灵人の项链</v>
      </c>
      <c r="FH166" s="14">
        <f t="shared" si="221"/>
        <v>1</v>
      </c>
      <c r="FI166" s="14">
        <f t="shared" si="222"/>
        <v>1</v>
      </c>
      <c r="FJ166" s="14">
        <f t="shared" si="223"/>
        <v>90</v>
      </c>
      <c r="FK166" s="14">
        <v>1</v>
      </c>
      <c r="FL166" s="14">
        <f t="shared" si="224"/>
        <v>5</v>
      </c>
      <c r="FM166" s="14">
        <f t="shared" si="240"/>
        <v>7</v>
      </c>
      <c r="FN166" s="14" t="str">
        <f t="shared" si="225"/>
        <v/>
      </c>
      <c r="FO166" s="14">
        <f t="shared" si="226"/>
        <v>70</v>
      </c>
      <c r="FP166" s="14">
        <f t="shared" si="241"/>
        <v>120</v>
      </c>
      <c r="FQ166" s="14">
        <f t="shared" si="242"/>
        <v>75</v>
      </c>
      <c r="FR166" s="14">
        <f t="shared" si="243"/>
        <v>0</v>
      </c>
      <c r="FS166" s="14">
        <f t="shared" si="244"/>
        <v>6</v>
      </c>
      <c r="FT166" s="14">
        <f t="shared" si="245"/>
        <v>4</v>
      </c>
      <c r="FU166" s="14">
        <f t="shared" si="246"/>
        <v>0</v>
      </c>
      <c r="FV166" s="14">
        <f t="shared" si="227"/>
        <v>1051</v>
      </c>
      <c r="FW166" s="14">
        <f t="shared" si="228"/>
        <v>0</v>
      </c>
      <c r="FX166" s="14" t="str">
        <f t="shared" si="229"/>
        <v/>
      </c>
      <c r="FY166" s="25" t="str">
        <f t="shared" si="247"/>
        <v>icon_2005107</v>
      </c>
      <c r="GC166" s="14">
        <f t="shared" si="230"/>
        <v>1</v>
      </c>
      <c r="GD166" s="14">
        <f t="shared" si="231"/>
        <v>2</v>
      </c>
      <c r="GE166" s="14">
        <f t="shared" si="248"/>
        <v>70</v>
      </c>
      <c r="GF166" s="14" t="str">
        <f t="shared" si="232"/>
        <v>AtkExt</v>
      </c>
      <c r="GG166" s="14">
        <f t="shared" si="249"/>
        <v>120</v>
      </c>
      <c r="GH166" s="14">
        <f t="shared" si="250"/>
        <v>6</v>
      </c>
      <c r="GI166" s="14" t="str">
        <f t="shared" si="233"/>
        <v>DefExt</v>
      </c>
      <c r="GJ166" s="14">
        <f t="shared" si="251"/>
        <v>75</v>
      </c>
      <c r="GK166" s="14">
        <f t="shared" si="252"/>
        <v>4</v>
      </c>
      <c r="GL166" s="14">
        <f t="shared" si="234"/>
        <v>20510</v>
      </c>
      <c r="GM166" s="14">
        <f t="shared" si="253"/>
        <v>0</v>
      </c>
      <c r="GN166" s="14" t="str">
        <f t="shared" si="254"/>
        <v/>
      </c>
      <c r="GO166" s="25" t="s">
        <v>1471</v>
      </c>
      <c r="GP166" s="14">
        <f t="shared" si="235"/>
        <v>30</v>
      </c>
      <c r="HK166" s="13">
        <v>161</v>
      </c>
      <c r="HL166" s="14">
        <f t="shared" si="255"/>
        <v>7</v>
      </c>
      <c r="HM166" s="14">
        <f t="shared" si="256"/>
        <v>1</v>
      </c>
      <c r="HN166" s="14">
        <f t="shared" si="257"/>
        <v>7</v>
      </c>
      <c r="HO166" s="14">
        <f t="shared" si="258"/>
        <v>4</v>
      </c>
      <c r="HP166" s="14" t="str">
        <f t="shared" si="259"/>
        <v>110级寄灵人洗练-Q4-5</v>
      </c>
      <c r="HQ166" s="14">
        <f t="shared" si="260"/>
        <v>1074</v>
      </c>
      <c r="HR166" s="14">
        <f t="shared" si="261"/>
        <v>5</v>
      </c>
      <c r="HS166" s="14">
        <f t="shared" si="262"/>
        <v>400</v>
      </c>
      <c r="HT166" s="14" t="str">
        <f t="shared" si="263"/>
        <v>DefRate</v>
      </c>
      <c r="HU166" s="14">
        <f t="shared" si="264"/>
        <v>1.4E-2</v>
      </c>
      <c r="HV166" s="14">
        <f t="shared" si="265"/>
        <v>0.04</v>
      </c>
    </row>
    <row r="167" spans="151:230" ht="16.5" x14ac:dyDescent="0.2">
      <c r="EU167" s="13">
        <v>162</v>
      </c>
      <c r="EV167" s="14">
        <f t="shared" si="236"/>
        <v>1</v>
      </c>
      <c r="EW167" s="14">
        <f t="shared" si="237"/>
        <v>162</v>
      </c>
      <c r="EX167" s="14">
        <f t="shared" si="238"/>
        <v>21</v>
      </c>
      <c r="EY167" s="14">
        <f t="shared" si="213"/>
        <v>10</v>
      </c>
      <c r="EZ167" s="14">
        <f t="shared" si="214"/>
        <v>5</v>
      </c>
      <c r="FA167" s="14">
        <f t="shared" si="215"/>
        <v>90</v>
      </c>
      <c r="FB167" s="14">
        <f t="shared" si="216"/>
        <v>1</v>
      </c>
      <c r="FC167" s="14">
        <f t="shared" si="217"/>
        <v>8</v>
      </c>
      <c r="FD167" s="14">
        <f t="shared" si="218"/>
        <v>8</v>
      </c>
      <c r="FE167" s="14" t="b">
        <f t="shared" si="239"/>
        <v>0</v>
      </c>
      <c r="FF167" s="14">
        <f t="shared" si="219"/>
        <v>2005108</v>
      </c>
      <c r="FG167" s="13" t="str">
        <f t="shared" si="220"/>
        <v>90级-普通寄灵人の戒指</v>
      </c>
      <c r="FH167" s="14">
        <f t="shared" si="221"/>
        <v>1</v>
      </c>
      <c r="FI167" s="14">
        <f t="shared" si="222"/>
        <v>1</v>
      </c>
      <c r="FJ167" s="14">
        <f t="shared" si="223"/>
        <v>90</v>
      </c>
      <c r="FK167" s="14">
        <v>1</v>
      </c>
      <c r="FL167" s="14">
        <f t="shared" si="224"/>
        <v>5</v>
      </c>
      <c r="FM167" s="14">
        <f t="shared" si="240"/>
        <v>8</v>
      </c>
      <c r="FN167" s="14" t="str">
        <f t="shared" si="225"/>
        <v/>
      </c>
      <c r="FO167" s="14">
        <f t="shared" si="226"/>
        <v>93</v>
      </c>
      <c r="FP167" s="14">
        <f t="shared" si="241"/>
        <v>120</v>
      </c>
      <c r="FQ167" s="14">
        <f t="shared" si="242"/>
        <v>0</v>
      </c>
      <c r="FR167" s="14">
        <f t="shared" si="243"/>
        <v>1200</v>
      </c>
      <c r="FS167" s="14">
        <f t="shared" si="244"/>
        <v>6</v>
      </c>
      <c r="FT167" s="14">
        <f t="shared" si="245"/>
        <v>0</v>
      </c>
      <c r="FU167" s="14">
        <f t="shared" si="246"/>
        <v>63</v>
      </c>
      <c r="FV167" s="14">
        <f t="shared" si="227"/>
        <v>1051</v>
      </c>
      <c r="FW167" s="14">
        <f t="shared" si="228"/>
        <v>0</v>
      </c>
      <c r="FX167" s="14" t="str">
        <f t="shared" si="229"/>
        <v/>
      </c>
      <c r="FY167" s="25" t="str">
        <f t="shared" si="247"/>
        <v>icon_2005108</v>
      </c>
      <c r="GC167" s="14">
        <f t="shared" si="230"/>
        <v>1</v>
      </c>
      <c r="GD167" s="14">
        <f t="shared" si="231"/>
        <v>3</v>
      </c>
      <c r="GE167" s="14">
        <f t="shared" si="248"/>
        <v>93</v>
      </c>
      <c r="GF167" s="14" t="str">
        <f t="shared" si="232"/>
        <v>AtkExt</v>
      </c>
      <c r="GG167" s="14">
        <f t="shared" si="249"/>
        <v>120</v>
      </c>
      <c r="GH167" s="14">
        <f t="shared" si="250"/>
        <v>6</v>
      </c>
      <c r="GI167" s="14" t="str">
        <f t="shared" si="233"/>
        <v>HPExt</v>
      </c>
      <c r="GJ167" s="14">
        <f t="shared" si="251"/>
        <v>1200</v>
      </c>
      <c r="GK167" s="14">
        <f t="shared" si="252"/>
        <v>63</v>
      </c>
      <c r="GL167" s="14">
        <f t="shared" si="234"/>
        <v>20510</v>
      </c>
      <c r="GM167" s="14">
        <f t="shared" si="253"/>
        <v>0</v>
      </c>
      <c r="GN167" s="14" t="str">
        <f t="shared" si="254"/>
        <v/>
      </c>
      <c r="GO167" s="25" t="s">
        <v>1471</v>
      </c>
      <c r="GP167" s="14">
        <f t="shared" si="235"/>
        <v>30</v>
      </c>
      <c r="HK167" s="13">
        <v>162</v>
      </c>
      <c r="HL167" s="14">
        <f t="shared" si="255"/>
        <v>7</v>
      </c>
      <c r="HM167" s="14">
        <f t="shared" si="256"/>
        <v>1</v>
      </c>
      <c r="HN167" s="14">
        <f t="shared" si="257"/>
        <v>7</v>
      </c>
      <c r="HO167" s="14">
        <f t="shared" si="258"/>
        <v>4</v>
      </c>
      <c r="HP167" s="14" t="str">
        <f t="shared" si="259"/>
        <v>110级寄灵人洗练-Q4-6</v>
      </c>
      <c r="HQ167" s="14">
        <f t="shared" si="260"/>
        <v>1074</v>
      </c>
      <c r="HR167" s="14">
        <f t="shared" si="261"/>
        <v>6</v>
      </c>
      <c r="HS167" s="14">
        <f t="shared" si="262"/>
        <v>500</v>
      </c>
      <c r="HT167" s="14" t="str">
        <f t="shared" si="263"/>
        <v>HPRate</v>
      </c>
      <c r="HU167" s="14">
        <f t="shared" si="264"/>
        <v>1.4E-2</v>
      </c>
      <c r="HV167" s="14">
        <f t="shared" si="265"/>
        <v>0.04</v>
      </c>
    </row>
    <row r="168" spans="151:230" ht="16.5" x14ac:dyDescent="0.2">
      <c r="EU168" s="13">
        <v>163</v>
      </c>
      <c r="EV168" s="14">
        <f t="shared" si="236"/>
        <v>1</v>
      </c>
      <c r="EW168" s="14">
        <f t="shared" si="237"/>
        <v>163</v>
      </c>
      <c r="EX168" s="14">
        <f t="shared" si="238"/>
        <v>22</v>
      </c>
      <c r="EY168" s="14">
        <f t="shared" si="213"/>
        <v>20</v>
      </c>
      <c r="EZ168" s="14">
        <f t="shared" si="214"/>
        <v>5</v>
      </c>
      <c r="FA168" s="14">
        <f t="shared" si="215"/>
        <v>90</v>
      </c>
      <c r="FB168" s="14">
        <f t="shared" si="216"/>
        <v>2</v>
      </c>
      <c r="FC168" s="14">
        <f t="shared" si="217"/>
        <v>1</v>
      </c>
      <c r="FD168" s="14">
        <f t="shared" si="218"/>
        <v>1</v>
      </c>
      <c r="FE168" s="14" t="b">
        <f t="shared" si="239"/>
        <v>0</v>
      </c>
      <c r="FF168" s="14">
        <f t="shared" si="219"/>
        <v>2005201</v>
      </c>
      <c r="FG168" s="13" t="str">
        <f t="shared" si="220"/>
        <v>90级-优秀寄灵人の灵器</v>
      </c>
      <c r="FH168" s="14">
        <f t="shared" si="221"/>
        <v>1</v>
      </c>
      <c r="FI168" s="14">
        <f t="shared" si="222"/>
        <v>2</v>
      </c>
      <c r="FJ168" s="14">
        <f t="shared" si="223"/>
        <v>90</v>
      </c>
      <c r="FK168" s="14">
        <v>1</v>
      </c>
      <c r="FL168" s="14">
        <f t="shared" si="224"/>
        <v>5</v>
      </c>
      <c r="FM168" s="14">
        <f t="shared" si="240"/>
        <v>1</v>
      </c>
      <c r="FN168" s="14" t="str">
        <f t="shared" si="225"/>
        <v/>
      </c>
      <c r="FO168" s="14">
        <f t="shared" si="226"/>
        <v>130</v>
      </c>
      <c r="FP168" s="14">
        <f t="shared" si="241"/>
        <v>500</v>
      </c>
      <c r="FQ168" s="14">
        <f t="shared" si="242"/>
        <v>0</v>
      </c>
      <c r="FR168" s="14">
        <f t="shared" si="243"/>
        <v>0</v>
      </c>
      <c r="FS168" s="14">
        <f t="shared" si="244"/>
        <v>26</v>
      </c>
      <c r="FT168" s="14">
        <f t="shared" si="245"/>
        <v>0</v>
      </c>
      <c r="FU168" s="14">
        <f t="shared" si="246"/>
        <v>0</v>
      </c>
      <c r="FV168" s="14">
        <f t="shared" si="227"/>
        <v>1052</v>
      </c>
      <c r="FW168" s="14">
        <f t="shared" si="228"/>
        <v>0</v>
      </c>
      <c r="FX168" s="14" t="str">
        <f t="shared" si="229"/>
        <v/>
      </c>
      <c r="FY168" s="25" t="str">
        <f t="shared" si="247"/>
        <v>icon_2005101</v>
      </c>
      <c r="GC168" s="14">
        <f t="shared" si="230"/>
        <v>1</v>
      </c>
      <c r="GD168" s="14">
        <f t="shared" si="231"/>
        <v>0</v>
      </c>
      <c r="GE168" s="14">
        <f t="shared" si="248"/>
        <v>130</v>
      </c>
      <c r="GF168" s="14" t="str">
        <f t="shared" si="232"/>
        <v>AtkExt</v>
      </c>
      <c r="GG168" s="14">
        <f t="shared" si="249"/>
        <v>500</v>
      </c>
      <c r="GH168" s="14">
        <f t="shared" si="250"/>
        <v>26</v>
      </c>
      <c r="GI168" s="14" t="str">
        <f t="shared" si="233"/>
        <v/>
      </c>
      <c r="GJ168" s="14" t="str">
        <f t="shared" si="251"/>
        <v/>
      </c>
      <c r="GK168" s="14" t="str">
        <f t="shared" si="252"/>
        <v/>
      </c>
      <c r="GL168" s="14">
        <f t="shared" si="234"/>
        <v>20520</v>
      </c>
      <c r="GM168" s="14">
        <f t="shared" si="253"/>
        <v>0</v>
      </c>
      <c r="GN168" s="14" t="str">
        <f t="shared" si="254"/>
        <v/>
      </c>
      <c r="GO168" s="25" t="s">
        <v>1471</v>
      </c>
      <c r="GP168" s="14">
        <f t="shared" si="235"/>
        <v>120</v>
      </c>
      <c r="HK168" s="13">
        <v>163</v>
      </c>
      <c r="HL168" s="14">
        <f t="shared" si="255"/>
        <v>7</v>
      </c>
      <c r="HM168" s="14">
        <f t="shared" si="256"/>
        <v>1</v>
      </c>
      <c r="HN168" s="14">
        <f t="shared" si="257"/>
        <v>7</v>
      </c>
      <c r="HO168" s="14">
        <f t="shared" si="258"/>
        <v>4</v>
      </c>
      <c r="HP168" s="14" t="str">
        <f t="shared" si="259"/>
        <v>110级寄灵人洗练-Q4-7</v>
      </c>
      <c r="HQ168" s="14">
        <f t="shared" si="260"/>
        <v>1074</v>
      </c>
      <c r="HR168" s="14">
        <f t="shared" si="261"/>
        <v>7</v>
      </c>
      <c r="HS168" s="14">
        <f t="shared" si="262"/>
        <v>500</v>
      </c>
      <c r="HT168" s="14" t="str">
        <f t="shared" si="263"/>
        <v>Crit</v>
      </c>
      <c r="HU168" s="14">
        <f t="shared" si="264"/>
        <v>1.0999999999999999E-2</v>
      </c>
      <c r="HV168" s="14">
        <f t="shared" si="265"/>
        <v>0.03</v>
      </c>
    </row>
    <row r="169" spans="151:230" ht="16.5" x14ac:dyDescent="0.2">
      <c r="EU169" s="13">
        <v>164</v>
      </c>
      <c r="EV169" s="14">
        <f t="shared" si="236"/>
        <v>1</v>
      </c>
      <c r="EW169" s="14">
        <f t="shared" si="237"/>
        <v>164</v>
      </c>
      <c r="EX169" s="14">
        <f t="shared" si="238"/>
        <v>22</v>
      </c>
      <c r="EY169" s="14">
        <f t="shared" si="213"/>
        <v>20</v>
      </c>
      <c r="EZ169" s="14">
        <f t="shared" si="214"/>
        <v>5</v>
      </c>
      <c r="FA169" s="14">
        <f t="shared" si="215"/>
        <v>90</v>
      </c>
      <c r="FB169" s="14">
        <f t="shared" si="216"/>
        <v>2</v>
      </c>
      <c r="FC169" s="14">
        <f t="shared" si="217"/>
        <v>2</v>
      </c>
      <c r="FD169" s="14">
        <f t="shared" si="218"/>
        <v>2</v>
      </c>
      <c r="FE169" s="14" t="b">
        <f t="shared" si="239"/>
        <v>0</v>
      </c>
      <c r="FF169" s="14">
        <f t="shared" si="219"/>
        <v>2005202</v>
      </c>
      <c r="FG169" s="13" t="str">
        <f t="shared" si="220"/>
        <v>90级-优秀寄灵人の头盔</v>
      </c>
      <c r="FH169" s="14">
        <f t="shared" si="221"/>
        <v>1</v>
      </c>
      <c r="FI169" s="14">
        <f t="shared" si="222"/>
        <v>2</v>
      </c>
      <c r="FJ169" s="14">
        <f t="shared" si="223"/>
        <v>90</v>
      </c>
      <c r="FK169" s="14">
        <v>1</v>
      </c>
      <c r="FL169" s="14">
        <f t="shared" si="224"/>
        <v>5</v>
      </c>
      <c r="FM169" s="14">
        <f t="shared" si="240"/>
        <v>2</v>
      </c>
      <c r="FN169" s="14" t="str">
        <f t="shared" si="225"/>
        <v/>
      </c>
      <c r="FO169" s="14">
        <f t="shared" si="226"/>
        <v>70</v>
      </c>
      <c r="FP169" s="14">
        <f t="shared" si="241"/>
        <v>0</v>
      </c>
      <c r="FQ169" s="14">
        <f t="shared" si="242"/>
        <v>125</v>
      </c>
      <c r="FR169" s="14">
        <f t="shared" si="243"/>
        <v>0</v>
      </c>
      <c r="FS169" s="14">
        <f t="shared" si="244"/>
        <v>0</v>
      </c>
      <c r="FT169" s="14">
        <f t="shared" si="245"/>
        <v>7</v>
      </c>
      <c r="FU169" s="14">
        <f t="shared" si="246"/>
        <v>0</v>
      </c>
      <c r="FV169" s="14">
        <f t="shared" si="227"/>
        <v>1052</v>
      </c>
      <c r="FW169" s="14">
        <f t="shared" si="228"/>
        <v>0</v>
      </c>
      <c r="FX169" s="14" t="str">
        <f t="shared" si="229"/>
        <v/>
      </c>
      <c r="FY169" s="25" t="str">
        <f t="shared" si="247"/>
        <v>icon_2005102</v>
      </c>
      <c r="GC169" s="14">
        <f t="shared" si="230"/>
        <v>2</v>
      </c>
      <c r="GD169" s="14">
        <f t="shared" si="231"/>
        <v>0</v>
      </c>
      <c r="GE169" s="14">
        <f t="shared" si="248"/>
        <v>70</v>
      </c>
      <c r="GF169" s="14" t="str">
        <f t="shared" si="232"/>
        <v>DefExt</v>
      </c>
      <c r="GG169" s="14">
        <f t="shared" si="249"/>
        <v>125</v>
      </c>
      <c r="GH169" s="14">
        <f t="shared" si="250"/>
        <v>7</v>
      </c>
      <c r="GI169" s="14" t="str">
        <f t="shared" si="233"/>
        <v/>
      </c>
      <c r="GJ169" s="14" t="str">
        <f t="shared" si="251"/>
        <v/>
      </c>
      <c r="GK169" s="14" t="str">
        <f t="shared" si="252"/>
        <v/>
      </c>
      <c r="GL169" s="14">
        <f t="shared" si="234"/>
        <v>20520</v>
      </c>
      <c r="GM169" s="14">
        <f t="shared" si="253"/>
        <v>0</v>
      </c>
      <c r="GN169" s="14" t="str">
        <f t="shared" si="254"/>
        <v/>
      </c>
      <c r="GO169" s="25" t="s">
        <v>1471</v>
      </c>
      <c r="GP169" s="14">
        <f t="shared" si="235"/>
        <v>60</v>
      </c>
      <c r="HK169" s="13">
        <v>164</v>
      </c>
      <c r="HL169" s="14">
        <f t="shared" si="255"/>
        <v>7</v>
      </c>
      <c r="HM169" s="14">
        <f t="shared" si="256"/>
        <v>1</v>
      </c>
      <c r="HN169" s="14">
        <f t="shared" si="257"/>
        <v>7</v>
      </c>
      <c r="HO169" s="14">
        <f t="shared" si="258"/>
        <v>4</v>
      </c>
      <c r="HP169" s="14" t="str">
        <f t="shared" si="259"/>
        <v>110级寄灵人洗练-Q4-8</v>
      </c>
      <c r="HQ169" s="14">
        <f t="shared" si="260"/>
        <v>1074</v>
      </c>
      <c r="HR169" s="14">
        <f t="shared" si="261"/>
        <v>8</v>
      </c>
      <c r="HS169" s="14">
        <f t="shared" si="262"/>
        <v>500</v>
      </c>
      <c r="HT169" s="14" t="str">
        <f t="shared" si="263"/>
        <v>CritRate</v>
      </c>
      <c r="HU169" s="14">
        <f t="shared" si="264"/>
        <v>2.8000000000000001E-2</v>
      </c>
      <c r="HV169" s="14">
        <f t="shared" si="265"/>
        <v>0.08</v>
      </c>
    </row>
    <row r="170" spans="151:230" ht="16.5" x14ac:dyDescent="0.2">
      <c r="EU170" s="13">
        <v>165</v>
      </c>
      <c r="EV170" s="14">
        <f t="shared" si="236"/>
        <v>1</v>
      </c>
      <c r="EW170" s="14">
        <f t="shared" si="237"/>
        <v>165</v>
      </c>
      <c r="EX170" s="14">
        <f t="shared" si="238"/>
        <v>22</v>
      </c>
      <c r="EY170" s="14">
        <f t="shared" si="213"/>
        <v>20</v>
      </c>
      <c r="EZ170" s="14">
        <f t="shared" si="214"/>
        <v>5</v>
      </c>
      <c r="FA170" s="14">
        <f t="shared" si="215"/>
        <v>90</v>
      </c>
      <c r="FB170" s="14">
        <f t="shared" si="216"/>
        <v>2</v>
      </c>
      <c r="FC170" s="14">
        <f t="shared" si="217"/>
        <v>3</v>
      </c>
      <c r="FD170" s="14">
        <f t="shared" si="218"/>
        <v>3</v>
      </c>
      <c r="FE170" s="14" t="b">
        <f t="shared" si="239"/>
        <v>0</v>
      </c>
      <c r="FF170" s="14">
        <f t="shared" si="219"/>
        <v>2005203</v>
      </c>
      <c r="FG170" s="13" t="str">
        <f t="shared" si="220"/>
        <v>90级-优秀寄灵人の铠甲</v>
      </c>
      <c r="FH170" s="14">
        <f t="shared" si="221"/>
        <v>1</v>
      </c>
      <c r="FI170" s="14">
        <f t="shared" si="222"/>
        <v>2</v>
      </c>
      <c r="FJ170" s="14">
        <f t="shared" si="223"/>
        <v>90</v>
      </c>
      <c r="FK170" s="14">
        <v>1</v>
      </c>
      <c r="FL170" s="14">
        <f t="shared" si="224"/>
        <v>5</v>
      </c>
      <c r="FM170" s="14">
        <f t="shared" si="240"/>
        <v>3</v>
      </c>
      <c r="FN170" s="14" t="str">
        <f t="shared" si="225"/>
        <v/>
      </c>
      <c r="FO170" s="14">
        <f t="shared" si="226"/>
        <v>83</v>
      </c>
      <c r="FP170" s="14">
        <f t="shared" si="241"/>
        <v>0</v>
      </c>
      <c r="FQ170" s="14">
        <f t="shared" si="242"/>
        <v>60</v>
      </c>
      <c r="FR170" s="14">
        <f t="shared" si="243"/>
        <v>1005</v>
      </c>
      <c r="FS170" s="14">
        <f t="shared" si="244"/>
        <v>0</v>
      </c>
      <c r="FT170" s="14">
        <f t="shared" si="245"/>
        <v>3</v>
      </c>
      <c r="FU170" s="14">
        <f t="shared" si="246"/>
        <v>53</v>
      </c>
      <c r="FV170" s="14">
        <f t="shared" si="227"/>
        <v>1052</v>
      </c>
      <c r="FW170" s="14">
        <f t="shared" si="228"/>
        <v>0</v>
      </c>
      <c r="FX170" s="14" t="str">
        <f t="shared" si="229"/>
        <v/>
      </c>
      <c r="FY170" s="25" t="str">
        <f t="shared" si="247"/>
        <v>icon_2005103</v>
      </c>
      <c r="GC170" s="14">
        <f t="shared" si="230"/>
        <v>2</v>
      </c>
      <c r="GD170" s="14">
        <f t="shared" si="231"/>
        <v>3</v>
      </c>
      <c r="GE170" s="14">
        <f t="shared" si="248"/>
        <v>83</v>
      </c>
      <c r="GF170" s="14" t="str">
        <f t="shared" si="232"/>
        <v>DefExt</v>
      </c>
      <c r="GG170" s="14">
        <f t="shared" si="249"/>
        <v>60</v>
      </c>
      <c r="GH170" s="14">
        <f t="shared" si="250"/>
        <v>3</v>
      </c>
      <c r="GI170" s="14" t="str">
        <f t="shared" si="233"/>
        <v>HPExt</v>
      </c>
      <c r="GJ170" s="14">
        <f t="shared" si="251"/>
        <v>1005</v>
      </c>
      <c r="GK170" s="14">
        <f t="shared" si="252"/>
        <v>53</v>
      </c>
      <c r="GL170" s="14">
        <f t="shared" si="234"/>
        <v>20520</v>
      </c>
      <c r="GM170" s="14">
        <f t="shared" si="253"/>
        <v>0</v>
      </c>
      <c r="GN170" s="14" t="str">
        <f t="shared" si="254"/>
        <v/>
      </c>
      <c r="GO170" s="25" t="s">
        <v>1471</v>
      </c>
      <c r="GP170" s="14">
        <f t="shared" si="235"/>
        <v>60</v>
      </c>
      <c r="HK170" s="13">
        <v>165</v>
      </c>
      <c r="HL170" s="14">
        <f t="shared" si="255"/>
        <v>7</v>
      </c>
      <c r="HM170" s="14">
        <f t="shared" si="256"/>
        <v>1</v>
      </c>
      <c r="HN170" s="14">
        <f t="shared" si="257"/>
        <v>7</v>
      </c>
      <c r="HO170" s="14">
        <f t="shared" si="258"/>
        <v>4</v>
      </c>
      <c r="HP170" s="14" t="str">
        <f t="shared" si="259"/>
        <v>110级寄灵人洗练-Q4-9</v>
      </c>
      <c r="HQ170" s="14">
        <f t="shared" si="260"/>
        <v>1074</v>
      </c>
      <c r="HR170" s="14">
        <f t="shared" si="261"/>
        <v>9</v>
      </c>
      <c r="HS170" s="14">
        <f t="shared" si="262"/>
        <v>500</v>
      </c>
      <c r="HT170" s="14" t="str">
        <f t="shared" si="263"/>
        <v>DefIgnor</v>
      </c>
      <c r="HU170" s="14">
        <f t="shared" si="264"/>
        <v>1.0999999999999999E-2</v>
      </c>
      <c r="HV170" s="14">
        <f t="shared" si="265"/>
        <v>0.03</v>
      </c>
    </row>
    <row r="171" spans="151:230" ht="16.5" x14ac:dyDescent="0.2">
      <c r="EU171" s="13">
        <v>166</v>
      </c>
      <c r="EV171" s="14">
        <f t="shared" si="236"/>
        <v>1</v>
      </c>
      <c r="EW171" s="14">
        <f t="shared" si="237"/>
        <v>166</v>
      </c>
      <c r="EX171" s="14">
        <f t="shared" si="238"/>
        <v>22</v>
      </c>
      <c r="EY171" s="14">
        <f t="shared" si="213"/>
        <v>20</v>
      </c>
      <c r="EZ171" s="14">
        <f t="shared" si="214"/>
        <v>5</v>
      </c>
      <c r="FA171" s="14">
        <f t="shared" si="215"/>
        <v>90</v>
      </c>
      <c r="FB171" s="14">
        <f t="shared" si="216"/>
        <v>2</v>
      </c>
      <c r="FC171" s="14">
        <f t="shared" si="217"/>
        <v>4</v>
      </c>
      <c r="FD171" s="14">
        <f t="shared" si="218"/>
        <v>4</v>
      </c>
      <c r="FE171" s="14" t="b">
        <f t="shared" si="239"/>
        <v>0</v>
      </c>
      <c r="FF171" s="14">
        <f t="shared" si="219"/>
        <v>2005204</v>
      </c>
      <c r="FG171" s="13" t="str">
        <f t="shared" si="220"/>
        <v>90级-优秀寄灵人の裤子</v>
      </c>
      <c r="FH171" s="14">
        <f t="shared" si="221"/>
        <v>1</v>
      </c>
      <c r="FI171" s="14">
        <f t="shared" si="222"/>
        <v>2</v>
      </c>
      <c r="FJ171" s="14">
        <f t="shared" si="223"/>
        <v>90</v>
      </c>
      <c r="FK171" s="14">
        <v>1</v>
      </c>
      <c r="FL171" s="14">
        <f t="shared" si="224"/>
        <v>5</v>
      </c>
      <c r="FM171" s="14">
        <f t="shared" si="240"/>
        <v>4</v>
      </c>
      <c r="FN171" s="14" t="str">
        <f t="shared" si="225"/>
        <v/>
      </c>
      <c r="FO171" s="14">
        <f t="shared" si="226"/>
        <v>70</v>
      </c>
      <c r="FP171" s="14">
        <f t="shared" si="241"/>
        <v>0</v>
      </c>
      <c r="FQ171" s="14">
        <f t="shared" si="242"/>
        <v>125</v>
      </c>
      <c r="FR171" s="14">
        <f t="shared" si="243"/>
        <v>0</v>
      </c>
      <c r="FS171" s="14">
        <f t="shared" si="244"/>
        <v>0</v>
      </c>
      <c r="FT171" s="14">
        <f t="shared" si="245"/>
        <v>7</v>
      </c>
      <c r="FU171" s="14">
        <f t="shared" si="246"/>
        <v>0</v>
      </c>
      <c r="FV171" s="14">
        <f t="shared" si="227"/>
        <v>1052</v>
      </c>
      <c r="FW171" s="14">
        <f t="shared" si="228"/>
        <v>0</v>
      </c>
      <c r="FX171" s="14" t="str">
        <f t="shared" si="229"/>
        <v/>
      </c>
      <c r="FY171" s="25" t="str">
        <f t="shared" si="247"/>
        <v>icon_2005104</v>
      </c>
      <c r="GC171" s="14">
        <f t="shared" si="230"/>
        <v>2</v>
      </c>
      <c r="GD171" s="14">
        <f t="shared" si="231"/>
        <v>0</v>
      </c>
      <c r="GE171" s="14">
        <f t="shared" si="248"/>
        <v>70</v>
      </c>
      <c r="GF171" s="14" t="str">
        <f t="shared" si="232"/>
        <v>DefExt</v>
      </c>
      <c r="GG171" s="14">
        <f t="shared" si="249"/>
        <v>125</v>
      </c>
      <c r="GH171" s="14">
        <f t="shared" si="250"/>
        <v>7</v>
      </c>
      <c r="GI171" s="14" t="str">
        <f t="shared" si="233"/>
        <v/>
      </c>
      <c r="GJ171" s="14" t="str">
        <f t="shared" si="251"/>
        <v/>
      </c>
      <c r="GK171" s="14" t="str">
        <f t="shared" si="252"/>
        <v/>
      </c>
      <c r="GL171" s="14">
        <f t="shared" si="234"/>
        <v>20520</v>
      </c>
      <c r="GM171" s="14">
        <f t="shared" si="253"/>
        <v>0</v>
      </c>
      <c r="GN171" s="14" t="str">
        <f t="shared" si="254"/>
        <v/>
      </c>
      <c r="GO171" s="25" t="s">
        <v>1471</v>
      </c>
      <c r="GP171" s="14">
        <f t="shared" si="235"/>
        <v>60</v>
      </c>
      <c r="HK171" s="13">
        <v>166</v>
      </c>
      <c r="HL171" s="14">
        <f t="shared" si="255"/>
        <v>7</v>
      </c>
      <c r="HM171" s="14">
        <f t="shared" si="256"/>
        <v>1</v>
      </c>
      <c r="HN171" s="14">
        <f t="shared" si="257"/>
        <v>7</v>
      </c>
      <c r="HO171" s="14">
        <f t="shared" si="258"/>
        <v>4</v>
      </c>
      <c r="HP171" s="14" t="str">
        <f t="shared" si="259"/>
        <v>110级寄灵人洗练-Q4-10</v>
      </c>
      <c r="HQ171" s="14">
        <f t="shared" si="260"/>
        <v>1074</v>
      </c>
      <c r="HR171" s="14">
        <f t="shared" si="261"/>
        <v>10</v>
      </c>
      <c r="HS171" s="14">
        <f t="shared" si="262"/>
        <v>500</v>
      </c>
      <c r="HT171" s="14" t="str">
        <f t="shared" si="263"/>
        <v>Block</v>
      </c>
      <c r="HU171" s="14">
        <f t="shared" si="264"/>
        <v>1.0999999999999999E-2</v>
      </c>
      <c r="HV171" s="14">
        <f t="shared" si="265"/>
        <v>0.03</v>
      </c>
    </row>
    <row r="172" spans="151:230" ht="16.5" x14ac:dyDescent="0.2">
      <c r="EU172" s="13">
        <v>167</v>
      </c>
      <c r="EV172" s="14">
        <f t="shared" si="236"/>
        <v>1</v>
      </c>
      <c r="EW172" s="14">
        <f t="shared" si="237"/>
        <v>167</v>
      </c>
      <c r="EX172" s="14">
        <f t="shared" si="238"/>
        <v>22</v>
      </c>
      <c r="EY172" s="14">
        <f t="shared" si="213"/>
        <v>20</v>
      </c>
      <c r="EZ172" s="14">
        <f t="shared" si="214"/>
        <v>5</v>
      </c>
      <c r="FA172" s="14">
        <f t="shared" si="215"/>
        <v>90</v>
      </c>
      <c r="FB172" s="14">
        <f t="shared" si="216"/>
        <v>2</v>
      </c>
      <c r="FC172" s="14">
        <f t="shared" si="217"/>
        <v>5</v>
      </c>
      <c r="FD172" s="14">
        <f t="shared" si="218"/>
        <v>5</v>
      </c>
      <c r="FE172" s="14" t="b">
        <f t="shared" si="239"/>
        <v>0</v>
      </c>
      <c r="FF172" s="14">
        <f t="shared" si="219"/>
        <v>2005205</v>
      </c>
      <c r="FG172" s="13" t="str">
        <f t="shared" si="220"/>
        <v>90级-优秀寄灵人の鞋子</v>
      </c>
      <c r="FH172" s="14">
        <f t="shared" si="221"/>
        <v>1</v>
      </c>
      <c r="FI172" s="14">
        <f t="shared" si="222"/>
        <v>2</v>
      </c>
      <c r="FJ172" s="14">
        <f t="shared" si="223"/>
        <v>90</v>
      </c>
      <c r="FK172" s="14">
        <v>1</v>
      </c>
      <c r="FL172" s="14">
        <f t="shared" si="224"/>
        <v>5</v>
      </c>
      <c r="FM172" s="14">
        <f t="shared" si="240"/>
        <v>5</v>
      </c>
      <c r="FN172" s="14" t="str">
        <f t="shared" si="225"/>
        <v/>
      </c>
      <c r="FO172" s="14">
        <f t="shared" si="226"/>
        <v>106</v>
      </c>
      <c r="FP172" s="14">
        <f t="shared" si="241"/>
        <v>0</v>
      </c>
      <c r="FQ172" s="14">
        <f t="shared" si="242"/>
        <v>0</v>
      </c>
      <c r="FR172" s="14">
        <f t="shared" si="243"/>
        <v>2015</v>
      </c>
      <c r="FS172" s="14">
        <f t="shared" si="244"/>
        <v>0</v>
      </c>
      <c r="FT172" s="14">
        <f t="shared" si="245"/>
        <v>0</v>
      </c>
      <c r="FU172" s="14">
        <f t="shared" si="246"/>
        <v>106</v>
      </c>
      <c r="FV172" s="14">
        <f t="shared" si="227"/>
        <v>1052</v>
      </c>
      <c r="FW172" s="14">
        <f t="shared" si="228"/>
        <v>0</v>
      </c>
      <c r="FX172" s="14" t="str">
        <f t="shared" si="229"/>
        <v/>
      </c>
      <c r="FY172" s="25" t="str">
        <f t="shared" si="247"/>
        <v>icon_2005105</v>
      </c>
      <c r="GC172" s="14">
        <f t="shared" si="230"/>
        <v>3</v>
      </c>
      <c r="GD172" s="14">
        <f t="shared" si="231"/>
        <v>0</v>
      </c>
      <c r="GE172" s="14">
        <f t="shared" si="248"/>
        <v>106</v>
      </c>
      <c r="GF172" s="14" t="str">
        <f t="shared" si="232"/>
        <v>HPExt</v>
      </c>
      <c r="GG172" s="14">
        <f t="shared" si="249"/>
        <v>2015</v>
      </c>
      <c r="GH172" s="14">
        <f t="shared" si="250"/>
        <v>106</v>
      </c>
      <c r="GI172" s="14" t="str">
        <f t="shared" si="233"/>
        <v/>
      </c>
      <c r="GJ172" s="14" t="str">
        <f t="shared" si="251"/>
        <v/>
      </c>
      <c r="GK172" s="14" t="str">
        <f t="shared" si="252"/>
        <v/>
      </c>
      <c r="GL172" s="14">
        <f t="shared" si="234"/>
        <v>20520</v>
      </c>
      <c r="GM172" s="14">
        <f t="shared" si="253"/>
        <v>0</v>
      </c>
      <c r="GN172" s="14" t="str">
        <f t="shared" si="254"/>
        <v/>
      </c>
      <c r="GO172" s="25" t="s">
        <v>1471</v>
      </c>
      <c r="GP172" s="14">
        <f t="shared" si="235"/>
        <v>60</v>
      </c>
      <c r="HK172" s="13">
        <v>167</v>
      </c>
      <c r="HL172" s="14">
        <f t="shared" si="255"/>
        <v>7</v>
      </c>
      <c r="HM172" s="14">
        <f t="shared" si="256"/>
        <v>1</v>
      </c>
      <c r="HN172" s="14">
        <f t="shared" si="257"/>
        <v>7</v>
      </c>
      <c r="HO172" s="14">
        <f t="shared" si="258"/>
        <v>4</v>
      </c>
      <c r="HP172" s="14" t="str">
        <f t="shared" si="259"/>
        <v>110级寄灵人洗练-Q4-11</v>
      </c>
      <c r="HQ172" s="14">
        <f t="shared" si="260"/>
        <v>1074</v>
      </c>
      <c r="HR172" s="14">
        <f t="shared" si="261"/>
        <v>11</v>
      </c>
      <c r="HS172" s="14">
        <f t="shared" si="262"/>
        <v>500</v>
      </c>
      <c r="HT172" s="14" t="str">
        <f t="shared" si="263"/>
        <v>EffectHit</v>
      </c>
      <c r="HU172" s="14">
        <f t="shared" si="264"/>
        <v>1.7999999999999999E-2</v>
      </c>
      <c r="HV172" s="14">
        <f t="shared" si="265"/>
        <v>0.05</v>
      </c>
    </row>
    <row r="173" spans="151:230" ht="16.5" x14ac:dyDescent="0.2">
      <c r="EU173" s="13">
        <v>168</v>
      </c>
      <c r="EV173" s="14">
        <f t="shared" si="236"/>
        <v>1</v>
      </c>
      <c r="EW173" s="14">
        <f t="shared" si="237"/>
        <v>168</v>
      </c>
      <c r="EX173" s="14">
        <f t="shared" si="238"/>
        <v>22</v>
      </c>
      <c r="EY173" s="14">
        <f t="shared" si="213"/>
        <v>20</v>
      </c>
      <c r="EZ173" s="14">
        <f t="shared" si="214"/>
        <v>5</v>
      </c>
      <c r="FA173" s="14">
        <f t="shared" si="215"/>
        <v>90</v>
      </c>
      <c r="FB173" s="14">
        <f t="shared" si="216"/>
        <v>2</v>
      </c>
      <c r="FC173" s="14">
        <f t="shared" si="217"/>
        <v>6</v>
      </c>
      <c r="FD173" s="14">
        <f t="shared" si="218"/>
        <v>6</v>
      </c>
      <c r="FE173" s="14" t="b">
        <f t="shared" si="239"/>
        <v>0</v>
      </c>
      <c r="FF173" s="14">
        <f t="shared" si="219"/>
        <v>2005206</v>
      </c>
      <c r="FG173" s="13" t="str">
        <f t="shared" si="220"/>
        <v>90级-优秀寄灵人の护手</v>
      </c>
      <c r="FH173" s="14">
        <f t="shared" si="221"/>
        <v>1</v>
      </c>
      <c r="FI173" s="14">
        <f t="shared" si="222"/>
        <v>2</v>
      </c>
      <c r="FJ173" s="14">
        <f t="shared" si="223"/>
        <v>90</v>
      </c>
      <c r="FK173" s="14">
        <v>1</v>
      </c>
      <c r="FL173" s="14">
        <f t="shared" si="224"/>
        <v>5</v>
      </c>
      <c r="FM173" s="14">
        <f t="shared" si="240"/>
        <v>6</v>
      </c>
      <c r="FN173" s="14" t="str">
        <f t="shared" si="225"/>
        <v/>
      </c>
      <c r="FO173" s="14">
        <f t="shared" si="226"/>
        <v>106</v>
      </c>
      <c r="FP173" s="14">
        <f t="shared" si="241"/>
        <v>0</v>
      </c>
      <c r="FQ173" s="14">
        <f t="shared" si="242"/>
        <v>0</v>
      </c>
      <c r="FR173" s="14">
        <f t="shared" si="243"/>
        <v>2015</v>
      </c>
      <c r="FS173" s="14">
        <f t="shared" si="244"/>
        <v>0</v>
      </c>
      <c r="FT173" s="14">
        <f t="shared" si="245"/>
        <v>0</v>
      </c>
      <c r="FU173" s="14">
        <f t="shared" si="246"/>
        <v>106</v>
      </c>
      <c r="FV173" s="14">
        <f t="shared" si="227"/>
        <v>1052</v>
      </c>
      <c r="FW173" s="14">
        <f t="shared" si="228"/>
        <v>0</v>
      </c>
      <c r="FX173" s="14" t="str">
        <f t="shared" si="229"/>
        <v/>
      </c>
      <c r="FY173" s="25" t="str">
        <f t="shared" si="247"/>
        <v>icon_2005106</v>
      </c>
      <c r="GC173" s="14">
        <f t="shared" si="230"/>
        <v>3</v>
      </c>
      <c r="GD173" s="14">
        <f t="shared" si="231"/>
        <v>0</v>
      </c>
      <c r="GE173" s="14">
        <f t="shared" si="248"/>
        <v>106</v>
      </c>
      <c r="GF173" s="14" t="str">
        <f t="shared" si="232"/>
        <v>HPExt</v>
      </c>
      <c r="GG173" s="14">
        <f t="shared" si="249"/>
        <v>2015</v>
      </c>
      <c r="GH173" s="14">
        <f t="shared" si="250"/>
        <v>106</v>
      </c>
      <c r="GI173" s="14" t="str">
        <f t="shared" si="233"/>
        <v/>
      </c>
      <c r="GJ173" s="14" t="str">
        <f t="shared" si="251"/>
        <v/>
      </c>
      <c r="GK173" s="14" t="str">
        <f t="shared" si="252"/>
        <v/>
      </c>
      <c r="GL173" s="14">
        <f t="shared" si="234"/>
        <v>20520</v>
      </c>
      <c r="GM173" s="14">
        <f t="shared" si="253"/>
        <v>0</v>
      </c>
      <c r="GN173" s="14" t="str">
        <f t="shared" si="254"/>
        <v/>
      </c>
      <c r="GO173" s="25" t="s">
        <v>1471</v>
      </c>
      <c r="GP173" s="14">
        <f t="shared" si="235"/>
        <v>60</v>
      </c>
      <c r="HK173" s="13">
        <v>168</v>
      </c>
      <c r="HL173" s="14">
        <f t="shared" si="255"/>
        <v>7</v>
      </c>
      <c r="HM173" s="14">
        <f t="shared" si="256"/>
        <v>1</v>
      </c>
      <c r="HN173" s="14">
        <f t="shared" si="257"/>
        <v>7</v>
      </c>
      <c r="HO173" s="14">
        <f t="shared" si="258"/>
        <v>4</v>
      </c>
      <c r="HP173" s="14" t="str">
        <f t="shared" si="259"/>
        <v>110级寄灵人洗练-Q4-12</v>
      </c>
      <c r="HQ173" s="14">
        <f t="shared" si="260"/>
        <v>1074</v>
      </c>
      <c r="HR173" s="14">
        <f t="shared" si="261"/>
        <v>12</v>
      </c>
      <c r="HS173" s="14">
        <f t="shared" si="262"/>
        <v>500</v>
      </c>
      <c r="HT173" s="14" t="str">
        <f t="shared" si="263"/>
        <v>EffectResist</v>
      </c>
      <c r="HU173" s="14">
        <f t="shared" si="264"/>
        <v>1.7999999999999999E-2</v>
      </c>
      <c r="HV173" s="14">
        <f t="shared" si="265"/>
        <v>0.05</v>
      </c>
    </row>
    <row r="174" spans="151:230" ht="16.5" x14ac:dyDescent="0.2">
      <c r="EU174" s="13">
        <v>169</v>
      </c>
      <c r="EV174" s="14">
        <f t="shared" si="236"/>
        <v>1</v>
      </c>
      <c r="EW174" s="14">
        <f t="shared" si="237"/>
        <v>169</v>
      </c>
      <c r="EX174" s="14">
        <f t="shared" si="238"/>
        <v>22</v>
      </c>
      <c r="EY174" s="14">
        <f t="shared" si="213"/>
        <v>20</v>
      </c>
      <c r="EZ174" s="14">
        <f t="shared" si="214"/>
        <v>5</v>
      </c>
      <c r="FA174" s="14">
        <f t="shared" si="215"/>
        <v>90</v>
      </c>
      <c r="FB174" s="14">
        <f t="shared" si="216"/>
        <v>2</v>
      </c>
      <c r="FC174" s="14">
        <f t="shared" si="217"/>
        <v>7</v>
      </c>
      <c r="FD174" s="14">
        <f t="shared" si="218"/>
        <v>7</v>
      </c>
      <c r="FE174" s="14" t="b">
        <f t="shared" si="239"/>
        <v>0</v>
      </c>
      <c r="FF174" s="14">
        <f t="shared" si="219"/>
        <v>2005207</v>
      </c>
      <c r="FG174" s="13" t="str">
        <f t="shared" si="220"/>
        <v>90级-优秀寄灵人の项链</v>
      </c>
      <c r="FH174" s="14">
        <f t="shared" si="221"/>
        <v>1</v>
      </c>
      <c r="FI174" s="14">
        <f t="shared" si="222"/>
        <v>2</v>
      </c>
      <c r="FJ174" s="14">
        <f t="shared" si="223"/>
        <v>90</v>
      </c>
      <c r="FK174" s="14">
        <v>1</v>
      </c>
      <c r="FL174" s="14">
        <f t="shared" si="224"/>
        <v>5</v>
      </c>
      <c r="FM174" s="14">
        <f t="shared" si="240"/>
        <v>7</v>
      </c>
      <c r="FN174" s="14" t="str">
        <f t="shared" si="225"/>
        <v/>
      </c>
      <c r="FO174" s="14">
        <f t="shared" si="226"/>
        <v>105</v>
      </c>
      <c r="FP174" s="14">
        <f t="shared" si="241"/>
        <v>165</v>
      </c>
      <c r="FQ174" s="14">
        <f t="shared" si="242"/>
        <v>105</v>
      </c>
      <c r="FR174" s="14">
        <f t="shared" si="243"/>
        <v>0</v>
      </c>
      <c r="FS174" s="14">
        <f t="shared" si="244"/>
        <v>9</v>
      </c>
      <c r="FT174" s="14">
        <f t="shared" si="245"/>
        <v>6</v>
      </c>
      <c r="FU174" s="14">
        <f t="shared" si="246"/>
        <v>0</v>
      </c>
      <c r="FV174" s="14">
        <f t="shared" si="227"/>
        <v>1052</v>
      </c>
      <c r="FW174" s="14">
        <f t="shared" si="228"/>
        <v>0</v>
      </c>
      <c r="FX174" s="14" t="str">
        <f t="shared" si="229"/>
        <v/>
      </c>
      <c r="FY174" s="25" t="str">
        <f t="shared" si="247"/>
        <v>icon_2005107</v>
      </c>
      <c r="GC174" s="14">
        <f t="shared" si="230"/>
        <v>1</v>
      </c>
      <c r="GD174" s="14">
        <f t="shared" si="231"/>
        <v>2</v>
      </c>
      <c r="GE174" s="14">
        <f t="shared" si="248"/>
        <v>105</v>
      </c>
      <c r="GF174" s="14" t="str">
        <f t="shared" si="232"/>
        <v>AtkExt</v>
      </c>
      <c r="GG174" s="14">
        <f t="shared" si="249"/>
        <v>165</v>
      </c>
      <c r="GH174" s="14">
        <f t="shared" si="250"/>
        <v>9</v>
      </c>
      <c r="GI174" s="14" t="str">
        <f t="shared" si="233"/>
        <v>DefExt</v>
      </c>
      <c r="GJ174" s="14">
        <f t="shared" si="251"/>
        <v>105</v>
      </c>
      <c r="GK174" s="14">
        <f t="shared" si="252"/>
        <v>6</v>
      </c>
      <c r="GL174" s="14">
        <f t="shared" si="234"/>
        <v>20520</v>
      </c>
      <c r="GM174" s="14">
        <f t="shared" si="253"/>
        <v>0</v>
      </c>
      <c r="GN174" s="14" t="str">
        <f t="shared" si="254"/>
        <v/>
      </c>
      <c r="GO174" s="25" t="s">
        <v>1471</v>
      </c>
      <c r="GP174" s="14">
        <f t="shared" si="235"/>
        <v>90</v>
      </c>
      <c r="HK174" s="13">
        <v>169</v>
      </c>
      <c r="HL174" s="14">
        <f t="shared" si="255"/>
        <v>8</v>
      </c>
      <c r="HM174" s="14">
        <f t="shared" si="256"/>
        <v>1</v>
      </c>
      <c r="HN174" s="14">
        <f t="shared" si="257"/>
        <v>8</v>
      </c>
      <c r="HO174" s="14">
        <f t="shared" si="258"/>
        <v>3</v>
      </c>
      <c r="HP174" s="14" t="str">
        <f t="shared" si="259"/>
        <v>120级寄灵人洗练-Q3-1</v>
      </c>
      <c r="HQ174" s="14">
        <f t="shared" si="260"/>
        <v>1083</v>
      </c>
      <c r="HR174" s="14">
        <f t="shared" si="261"/>
        <v>1</v>
      </c>
      <c r="HS174" s="14">
        <f t="shared" si="262"/>
        <v>1800</v>
      </c>
      <c r="HT174" s="14" t="str">
        <f t="shared" si="263"/>
        <v>AtkExt</v>
      </c>
      <c r="HU174" s="14">
        <f t="shared" si="264"/>
        <v>243</v>
      </c>
      <c r="HV174" s="14">
        <f t="shared" si="265"/>
        <v>695</v>
      </c>
    </row>
    <row r="175" spans="151:230" ht="16.5" x14ac:dyDescent="0.2">
      <c r="EU175" s="13">
        <v>170</v>
      </c>
      <c r="EV175" s="14">
        <f t="shared" si="236"/>
        <v>1</v>
      </c>
      <c r="EW175" s="14">
        <f t="shared" si="237"/>
        <v>170</v>
      </c>
      <c r="EX175" s="14">
        <f t="shared" si="238"/>
        <v>22</v>
      </c>
      <c r="EY175" s="14">
        <f t="shared" si="213"/>
        <v>20</v>
      </c>
      <c r="EZ175" s="14">
        <f t="shared" si="214"/>
        <v>5</v>
      </c>
      <c r="FA175" s="14">
        <f t="shared" si="215"/>
        <v>90</v>
      </c>
      <c r="FB175" s="14">
        <f t="shared" si="216"/>
        <v>2</v>
      </c>
      <c r="FC175" s="14">
        <f t="shared" si="217"/>
        <v>8</v>
      </c>
      <c r="FD175" s="14">
        <f t="shared" si="218"/>
        <v>8</v>
      </c>
      <c r="FE175" s="14" t="b">
        <f t="shared" si="239"/>
        <v>0</v>
      </c>
      <c r="FF175" s="14">
        <f t="shared" si="219"/>
        <v>2005208</v>
      </c>
      <c r="FG175" s="13" t="str">
        <f t="shared" si="220"/>
        <v>90级-优秀寄灵人の戒指</v>
      </c>
      <c r="FH175" s="14">
        <f t="shared" si="221"/>
        <v>1</v>
      </c>
      <c r="FI175" s="14">
        <f t="shared" si="222"/>
        <v>2</v>
      </c>
      <c r="FJ175" s="14">
        <f t="shared" si="223"/>
        <v>90</v>
      </c>
      <c r="FK175" s="14">
        <v>1</v>
      </c>
      <c r="FL175" s="14">
        <f t="shared" si="224"/>
        <v>5</v>
      </c>
      <c r="FM175" s="14">
        <f t="shared" si="240"/>
        <v>8</v>
      </c>
      <c r="FN175" s="14" t="str">
        <f t="shared" si="225"/>
        <v/>
      </c>
      <c r="FO175" s="14">
        <f t="shared" si="226"/>
        <v>133</v>
      </c>
      <c r="FP175" s="14">
        <f t="shared" si="241"/>
        <v>165</v>
      </c>
      <c r="FQ175" s="14">
        <f t="shared" si="242"/>
        <v>0</v>
      </c>
      <c r="FR175" s="14">
        <f t="shared" si="243"/>
        <v>1680</v>
      </c>
      <c r="FS175" s="14">
        <f t="shared" si="244"/>
        <v>9</v>
      </c>
      <c r="FT175" s="14">
        <f t="shared" si="245"/>
        <v>0</v>
      </c>
      <c r="FU175" s="14">
        <f t="shared" si="246"/>
        <v>88</v>
      </c>
      <c r="FV175" s="14">
        <f t="shared" si="227"/>
        <v>1052</v>
      </c>
      <c r="FW175" s="14">
        <f t="shared" si="228"/>
        <v>0</v>
      </c>
      <c r="FX175" s="14" t="str">
        <f t="shared" si="229"/>
        <v/>
      </c>
      <c r="FY175" s="25" t="str">
        <f t="shared" si="247"/>
        <v>icon_2005108</v>
      </c>
      <c r="GC175" s="14">
        <f t="shared" si="230"/>
        <v>1</v>
      </c>
      <c r="GD175" s="14">
        <f t="shared" si="231"/>
        <v>3</v>
      </c>
      <c r="GE175" s="14">
        <f t="shared" si="248"/>
        <v>133</v>
      </c>
      <c r="GF175" s="14" t="str">
        <f t="shared" si="232"/>
        <v>AtkExt</v>
      </c>
      <c r="GG175" s="14">
        <f t="shared" si="249"/>
        <v>165</v>
      </c>
      <c r="GH175" s="14">
        <f t="shared" si="250"/>
        <v>9</v>
      </c>
      <c r="GI175" s="14" t="str">
        <f t="shared" si="233"/>
        <v>HPExt</v>
      </c>
      <c r="GJ175" s="14">
        <f t="shared" si="251"/>
        <v>1680</v>
      </c>
      <c r="GK175" s="14">
        <f t="shared" si="252"/>
        <v>88</v>
      </c>
      <c r="GL175" s="14">
        <f t="shared" si="234"/>
        <v>20520</v>
      </c>
      <c r="GM175" s="14">
        <f t="shared" si="253"/>
        <v>0</v>
      </c>
      <c r="GN175" s="14" t="str">
        <f t="shared" si="254"/>
        <v/>
      </c>
      <c r="GO175" s="25" t="s">
        <v>1471</v>
      </c>
      <c r="GP175" s="14">
        <f t="shared" si="235"/>
        <v>90</v>
      </c>
      <c r="HK175" s="13">
        <v>170</v>
      </c>
      <c r="HL175" s="14">
        <f t="shared" si="255"/>
        <v>8</v>
      </c>
      <c r="HM175" s="14">
        <f t="shared" si="256"/>
        <v>1</v>
      </c>
      <c r="HN175" s="14">
        <f t="shared" si="257"/>
        <v>8</v>
      </c>
      <c r="HO175" s="14">
        <f t="shared" si="258"/>
        <v>3</v>
      </c>
      <c r="HP175" s="14" t="str">
        <f t="shared" si="259"/>
        <v>120级寄灵人洗练-Q3-2</v>
      </c>
      <c r="HQ175" s="14">
        <f t="shared" si="260"/>
        <v>1083</v>
      </c>
      <c r="HR175" s="14">
        <f t="shared" si="261"/>
        <v>2</v>
      </c>
      <c r="HS175" s="14">
        <f t="shared" si="262"/>
        <v>1800</v>
      </c>
      <c r="HT175" s="14" t="str">
        <f t="shared" si="263"/>
        <v>DefExt</v>
      </c>
      <c r="HU175" s="14">
        <f t="shared" si="264"/>
        <v>84</v>
      </c>
      <c r="HV175" s="14">
        <f t="shared" si="265"/>
        <v>242</v>
      </c>
    </row>
    <row r="176" spans="151:230" ht="16.5" x14ac:dyDescent="0.2">
      <c r="EU176" s="13">
        <v>171</v>
      </c>
      <c r="EV176" s="14">
        <f t="shared" si="236"/>
        <v>1</v>
      </c>
      <c r="EW176" s="14">
        <f t="shared" si="237"/>
        <v>171</v>
      </c>
      <c r="EX176" s="14">
        <f t="shared" si="238"/>
        <v>23</v>
      </c>
      <c r="EY176" s="14">
        <f t="shared" si="213"/>
        <v>30</v>
      </c>
      <c r="EZ176" s="14">
        <f t="shared" si="214"/>
        <v>5</v>
      </c>
      <c r="FA176" s="14">
        <f t="shared" si="215"/>
        <v>90</v>
      </c>
      <c r="FB176" s="14">
        <f t="shared" si="216"/>
        <v>3</v>
      </c>
      <c r="FC176" s="14">
        <f t="shared" si="217"/>
        <v>1</v>
      </c>
      <c r="FD176" s="14">
        <f t="shared" si="218"/>
        <v>1</v>
      </c>
      <c r="FE176" s="14" t="b">
        <f t="shared" si="239"/>
        <v>0</v>
      </c>
      <c r="FF176" s="14">
        <f t="shared" si="219"/>
        <v>2005301</v>
      </c>
      <c r="FG176" s="13" t="str">
        <f t="shared" si="220"/>
        <v>90级-精良寄灵人の灵器</v>
      </c>
      <c r="FH176" s="14">
        <f t="shared" si="221"/>
        <v>1</v>
      </c>
      <c r="FI176" s="14">
        <f t="shared" si="222"/>
        <v>3</v>
      </c>
      <c r="FJ176" s="14">
        <f t="shared" si="223"/>
        <v>90</v>
      </c>
      <c r="FK176" s="14">
        <v>1</v>
      </c>
      <c r="FL176" s="14">
        <f t="shared" si="224"/>
        <v>5</v>
      </c>
      <c r="FM176" s="14">
        <f t="shared" si="240"/>
        <v>1</v>
      </c>
      <c r="FN176" s="14" t="str">
        <f t="shared" si="225"/>
        <v/>
      </c>
      <c r="FO176" s="14">
        <f t="shared" si="226"/>
        <v>160</v>
      </c>
      <c r="FP176" s="14">
        <f t="shared" si="241"/>
        <v>605</v>
      </c>
      <c r="FQ176" s="14">
        <f t="shared" si="242"/>
        <v>0</v>
      </c>
      <c r="FR176" s="14">
        <f t="shared" si="243"/>
        <v>0</v>
      </c>
      <c r="FS176" s="14">
        <f t="shared" si="244"/>
        <v>32</v>
      </c>
      <c r="FT176" s="14">
        <f t="shared" si="245"/>
        <v>0</v>
      </c>
      <c r="FU176" s="14">
        <f t="shared" si="246"/>
        <v>0</v>
      </c>
      <c r="FV176" s="14">
        <f t="shared" si="227"/>
        <v>1053</v>
      </c>
      <c r="FW176" s="14">
        <f t="shared" si="228"/>
        <v>3</v>
      </c>
      <c r="FX176" s="14">
        <f t="shared" si="229"/>
        <v>1053</v>
      </c>
      <c r="FY176" s="25" t="str">
        <f t="shared" si="247"/>
        <v>icon_2005101</v>
      </c>
      <c r="GC176" s="14">
        <f t="shared" si="230"/>
        <v>1</v>
      </c>
      <c r="GD176" s="14">
        <f t="shared" si="231"/>
        <v>0</v>
      </c>
      <c r="GE176" s="14">
        <f t="shared" si="248"/>
        <v>160</v>
      </c>
      <c r="GF176" s="14" t="str">
        <f t="shared" si="232"/>
        <v>AtkExt</v>
      </c>
      <c r="GG176" s="14">
        <f t="shared" si="249"/>
        <v>605</v>
      </c>
      <c r="GH176" s="14">
        <f t="shared" si="250"/>
        <v>32</v>
      </c>
      <c r="GI176" s="14" t="str">
        <f t="shared" si="233"/>
        <v/>
      </c>
      <c r="GJ176" s="14" t="str">
        <f t="shared" si="251"/>
        <v/>
      </c>
      <c r="GK176" s="14" t="str">
        <f t="shared" si="252"/>
        <v/>
      </c>
      <c r="GL176" s="14">
        <f t="shared" si="234"/>
        <v>20530</v>
      </c>
      <c r="GM176" s="14">
        <f t="shared" si="253"/>
        <v>3</v>
      </c>
      <c r="GN176" s="14">
        <f t="shared" si="254"/>
        <v>1053</v>
      </c>
      <c r="GO176" s="25" t="s">
        <v>1471</v>
      </c>
      <c r="GP176" s="14">
        <f t="shared" si="235"/>
        <v>200</v>
      </c>
      <c r="HK176" s="13">
        <v>171</v>
      </c>
      <c r="HL176" s="14">
        <f t="shared" si="255"/>
        <v>8</v>
      </c>
      <c r="HM176" s="14">
        <f t="shared" si="256"/>
        <v>1</v>
      </c>
      <c r="HN176" s="14">
        <f t="shared" si="257"/>
        <v>8</v>
      </c>
      <c r="HO176" s="14">
        <f t="shared" si="258"/>
        <v>3</v>
      </c>
      <c r="HP176" s="14" t="str">
        <f t="shared" si="259"/>
        <v>120级寄灵人洗练-Q3-3</v>
      </c>
      <c r="HQ176" s="14">
        <f t="shared" si="260"/>
        <v>1083</v>
      </c>
      <c r="HR176" s="14">
        <f t="shared" si="261"/>
        <v>3</v>
      </c>
      <c r="HS176" s="14">
        <f t="shared" si="262"/>
        <v>2000</v>
      </c>
      <c r="HT176" s="14" t="str">
        <f t="shared" si="263"/>
        <v>HPExt</v>
      </c>
      <c r="HU176" s="14">
        <f t="shared" si="264"/>
        <v>2262</v>
      </c>
      <c r="HV176" s="14">
        <f t="shared" si="265"/>
        <v>6464</v>
      </c>
    </row>
    <row r="177" spans="151:230" ht="16.5" x14ac:dyDescent="0.2">
      <c r="EU177" s="13">
        <v>172</v>
      </c>
      <c r="EV177" s="14">
        <f t="shared" si="236"/>
        <v>1</v>
      </c>
      <c r="EW177" s="14">
        <f t="shared" si="237"/>
        <v>172</v>
      </c>
      <c r="EX177" s="14">
        <f t="shared" si="238"/>
        <v>23</v>
      </c>
      <c r="EY177" s="14">
        <f t="shared" si="213"/>
        <v>30</v>
      </c>
      <c r="EZ177" s="14">
        <f t="shared" si="214"/>
        <v>5</v>
      </c>
      <c r="FA177" s="14">
        <f t="shared" si="215"/>
        <v>90</v>
      </c>
      <c r="FB177" s="14">
        <f t="shared" si="216"/>
        <v>3</v>
      </c>
      <c r="FC177" s="14">
        <f t="shared" si="217"/>
        <v>2</v>
      </c>
      <c r="FD177" s="14">
        <f t="shared" si="218"/>
        <v>2</v>
      </c>
      <c r="FE177" s="14" t="b">
        <f t="shared" si="239"/>
        <v>0</v>
      </c>
      <c r="FF177" s="14">
        <f t="shared" si="219"/>
        <v>2005302</v>
      </c>
      <c r="FG177" s="13" t="str">
        <f t="shared" si="220"/>
        <v>90级-精良寄灵人の头盔</v>
      </c>
      <c r="FH177" s="14">
        <f t="shared" si="221"/>
        <v>1</v>
      </c>
      <c r="FI177" s="14">
        <f t="shared" si="222"/>
        <v>3</v>
      </c>
      <c r="FJ177" s="14">
        <f t="shared" si="223"/>
        <v>90</v>
      </c>
      <c r="FK177" s="14">
        <v>1</v>
      </c>
      <c r="FL177" s="14">
        <f t="shared" si="224"/>
        <v>5</v>
      </c>
      <c r="FM177" s="14">
        <f t="shared" si="240"/>
        <v>2</v>
      </c>
      <c r="FN177" s="14" t="str">
        <f t="shared" si="225"/>
        <v/>
      </c>
      <c r="FO177" s="14">
        <f t="shared" si="226"/>
        <v>80</v>
      </c>
      <c r="FP177" s="14">
        <f t="shared" si="241"/>
        <v>0</v>
      </c>
      <c r="FQ177" s="14">
        <f t="shared" si="242"/>
        <v>150</v>
      </c>
      <c r="FR177" s="14">
        <f t="shared" si="243"/>
        <v>0</v>
      </c>
      <c r="FS177" s="14">
        <f t="shared" si="244"/>
        <v>0</v>
      </c>
      <c r="FT177" s="14">
        <f t="shared" si="245"/>
        <v>8</v>
      </c>
      <c r="FU177" s="14">
        <f t="shared" si="246"/>
        <v>0</v>
      </c>
      <c r="FV177" s="14">
        <f t="shared" si="227"/>
        <v>1053</v>
      </c>
      <c r="FW177" s="14">
        <f t="shared" si="228"/>
        <v>3</v>
      </c>
      <c r="FX177" s="14">
        <f t="shared" si="229"/>
        <v>1053</v>
      </c>
      <c r="FY177" s="25" t="str">
        <f t="shared" si="247"/>
        <v>icon_2005102</v>
      </c>
      <c r="GC177" s="14">
        <f t="shared" si="230"/>
        <v>2</v>
      </c>
      <c r="GD177" s="14">
        <f t="shared" si="231"/>
        <v>0</v>
      </c>
      <c r="GE177" s="14">
        <f t="shared" si="248"/>
        <v>80</v>
      </c>
      <c r="GF177" s="14" t="str">
        <f t="shared" si="232"/>
        <v>DefExt</v>
      </c>
      <c r="GG177" s="14">
        <f t="shared" si="249"/>
        <v>150</v>
      </c>
      <c r="GH177" s="14">
        <f t="shared" si="250"/>
        <v>8</v>
      </c>
      <c r="GI177" s="14" t="str">
        <f t="shared" si="233"/>
        <v/>
      </c>
      <c r="GJ177" s="14" t="str">
        <f t="shared" si="251"/>
        <v/>
      </c>
      <c r="GK177" s="14" t="str">
        <f t="shared" si="252"/>
        <v/>
      </c>
      <c r="GL177" s="14">
        <f t="shared" si="234"/>
        <v>20530</v>
      </c>
      <c r="GM177" s="14">
        <f t="shared" si="253"/>
        <v>3</v>
      </c>
      <c r="GN177" s="14">
        <f t="shared" si="254"/>
        <v>1053</v>
      </c>
      <c r="GO177" s="25" t="s">
        <v>1471</v>
      </c>
      <c r="GP177" s="14">
        <f t="shared" si="235"/>
        <v>100</v>
      </c>
      <c r="HK177" s="13">
        <v>172</v>
      </c>
      <c r="HL177" s="14">
        <f t="shared" si="255"/>
        <v>8</v>
      </c>
      <c r="HM177" s="14">
        <f t="shared" si="256"/>
        <v>1</v>
      </c>
      <c r="HN177" s="14">
        <f t="shared" si="257"/>
        <v>8</v>
      </c>
      <c r="HO177" s="14">
        <f t="shared" si="258"/>
        <v>3</v>
      </c>
      <c r="HP177" s="14" t="str">
        <f t="shared" si="259"/>
        <v>120级寄灵人洗练-Q3-4</v>
      </c>
      <c r="HQ177" s="14">
        <f t="shared" si="260"/>
        <v>1083</v>
      </c>
      <c r="HR177" s="14">
        <f t="shared" si="261"/>
        <v>4</v>
      </c>
      <c r="HS177" s="14">
        <f t="shared" si="262"/>
        <v>500</v>
      </c>
      <c r="HT177" s="14" t="str">
        <f t="shared" si="263"/>
        <v>AtkRate</v>
      </c>
      <c r="HU177" s="14">
        <f t="shared" si="264"/>
        <v>1.4E-2</v>
      </c>
      <c r="HV177" s="14">
        <f t="shared" si="265"/>
        <v>0.04</v>
      </c>
    </row>
    <row r="178" spans="151:230" ht="16.5" x14ac:dyDescent="0.2">
      <c r="EU178" s="13">
        <v>173</v>
      </c>
      <c r="EV178" s="14">
        <f t="shared" si="236"/>
        <v>1</v>
      </c>
      <c r="EW178" s="14">
        <f t="shared" si="237"/>
        <v>173</v>
      </c>
      <c r="EX178" s="14">
        <f t="shared" si="238"/>
        <v>23</v>
      </c>
      <c r="EY178" s="14">
        <f t="shared" si="213"/>
        <v>30</v>
      </c>
      <c r="EZ178" s="14">
        <f t="shared" si="214"/>
        <v>5</v>
      </c>
      <c r="FA178" s="14">
        <f t="shared" si="215"/>
        <v>90</v>
      </c>
      <c r="FB178" s="14">
        <f t="shared" si="216"/>
        <v>3</v>
      </c>
      <c r="FC178" s="14">
        <f t="shared" si="217"/>
        <v>3</v>
      </c>
      <c r="FD178" s="14">
        <f t="shared" si="218"/>
        <v>3</v>
      </c>
      <c r="FE178" s="14" t="b">
        <f t="shared" si="239"/>
        <v>0</v>
      </c>
      <c r="FF178" s="14">
        <f t="shared" si="219"/>
        <v>2005303</v>
      </c>
      <c r="FG178" s="13" t="str">
        <f t="shared" si="220"/>
        <v>90级-精良寄灵人の铠甲</v>
      </c>
      <c r="FH178" s="14">
        <f t="shared" si="221"/>
        <v>1</v>
      </c>
      <c r="FI178" s="14">
        <f t="shared" si="222"/>
        <v>3</v>
      </c>
      <c r="FJ178" s="14">
        <f t="shared" si="223"/>
        <v>90</v>
      </c>
      <c r="FK178" s="14">
        <v>1</v>
      </c>
      <c r="FL178" s="14">
        <f t="shared" si="224"/>
        <v>5</v>
      </c>
      <c r="FM178" s="14">
        <f t="shared" si="240"/>
        <v>3</v>
      </c>
      <c r="FN178" s="14" t="str">
        <f t="shared" si="225"/>
        <v/>
      </c>
      <c r="FO178" s="14">
        <f t="shared" si="226"/>
        <v>104</v>
      </c>
      <c r="FP178" s="14">
        <f t="shared" si="241"/>
        <v>0</v>
      </c>
      <c r="FQ178" s="14">
        <f t="shared" si="242"/>
        <v>75</v>
      </c>
      <c r="FR178" s="14">
        <f t="shared" si="243"/>
        <v>1225</v>
      </c>
      <c r="FS178" s="14">
        <f t="shared" si="244"/>
        <v>0</v>
      </c>
      <c r="FT178" s="14">
        <f t="shared" si="245"/>
        <v>4</v>
      </c>
      <c r="FU178" s="14">
        <f t="shared" si="246"/>
        <v>64</v>
      </c>
      <c r="FV178" s="14">
        <f t="shared" si="227"/>
        <v>1053</v>
      </c>
      <c r="FW178" s="14">
        <f t="shared" si="228"/>
        <v>3</v>
      </c>
      <c r="FX178" s="14">
        <f t="shared" si="229"/>
        <v>1053</v>
      </c>
      <c r="FY178" s="25" t="str">
        <f t="shared" si="247"/>
        <v>icon_2005103</v>
      </c>
      <c r="GC178" s="14">
        <f t="shared" si="230"/>
        <v>2</v>
      </c>
      <c r="GD178" s="14">
        <f t="shared" si="231"/>
        <v>3</v>
      </c>
      <c r="GE178" s="14">
        <f t="shared" si="248"/>
        <v>104</v>
      </c>
      <c r="GF178" s="14" t="str">
        <f t="shared" si="232"/>
        <v>DefExt</v>
      </c>
      <c r="GG178" s="14">
        <f t="shared" si="249"/>
        <v>75</v>
      </c>
      <c r="GH178" s="14">
        <f t="shared" si="250"/>
        <v>4</v>
      </c>
      <c r="GI178" s="14" t="str">
        <f t="shared" si="233"/>
        <v>HPExt</v>
      </c>
      <c r="GJ178" s="14">
        <f t="shared" si="251"/>
        <v>1225</v>
      </c>
      <c r="GK178" s="14">
        <f t="shared" si="252"/>
        <v>64</v>
      </c>
      <c r="GL178" s="14">
        <f t="shared" si="234"/>
        <v>20530</v>
      </c>
      <c r="GM178" s="14">
        <f t="shared" si="253"/>
        <v>3</v>
      </c>
      <c r="GN178" s="14">
        <f t="shared" si="254"/>
        <v>1053</v>
      </c>
      <c r="GO178" s="25" t="s">
        <v>1471</v>
      </c>
      <c r="GP178" s="14">
        <f t="shared" si="235"/>
        <v>100</v>
      </c>
      <c r="HK178" s="13">
        <v>173</v>
      </c>
      <c r="HL178" s="14">
        <f t="shared" si="255"/>
        <v>8</v>
      </c>
      <c r="HM178" s="14">
        <f t="shared" si="256"/>
        <v>1</v>
      </c>
      <c r="HN178" s="14">
        <f t="shared" si="257"/>
        <v>8</v>
      </c>
      <c r="HO178" s="14">
        <f t="shared" si="258"/>
        <v>3</v>
      </c>
      <c r="HP178" s="14" t="str">
        <f t="shared" si="259"/>
        <v>120级寄灵人洗练-Q3-5</v>
      </c>
      <c r="HQ178" s="14">
        <f t="shared" si="260"/>
        <v>1083</v>
      </c>
      <c r="HR178" s="14">
        <f t="shared" si="261"/>
        <v>5</v>
      </c>
      <c r="HS178" s="14">
        <f t="shared" si="262"/>
        <v>400</v>
      </c>
      <c r="HT178" s="14" t="str">
        <f t="shared" si="263"/>
        <v>DefRate</v>
      </c>
      <c r="HU178" s="14">
        <f t="shared" si="264"/>
        <v>1.4E-2</v>
      </c>
      <c r="HV178" s="14">
        <f t="shared" si="265"/>
        <v>0.04</v>
      </c>
    </row>
    <row r="179" spans="151:230" ht="16.5" x14ac:dyDescent="0.2">
      <c r="EU179" s="13">
        <v>174</v>
      </c>
      <c r="EV179" s="14">
        <f t="shared" si="236"/>
        <v>1</v>
      </c>
      <c r="EW179" s="14">
        <f t="shared" si="237"/>
        <v>174</v>
      </c>
      <c r="EX179" s="14">
        <f t="shared" si="238"/>
        <v>23</v>
      </c>
      <c r="EY179" s="14">
        <f t="shared" si="213"/>
        <v>30</v>
      </c>
      <c r="EZ179" s="14">
        <f t="shared" si="214"/>
        <v>5</v>
      </c>
      <c r="FA179" s="14">
        <f t="shared" si="215"/>
        <v>90</v>
      </c>
      <c r="FB179" s="14">
        <f t="shared" si="216"/>
        <v>3</v>
      </c>
      <c r="FC179" s="14">
        <f t="shared" si="217"/>
        <v>4</v>
      </c>
      <c r="FD179" s="14">
        <f t="shared" si="218"/>
        <v>4</v>
      </c>
      <c r="FE179" s="14" t="b">
        <f t="shared" si="239"/>
        <v>0</v>
      </c>
      <c r="FF179" s="14">
        <f t="shared" si="219"/>
        <v>2005304</v>
      </c>
      <c r="FG179" s="13" t="str">
        <f t="shared" si="220"/>
        <v>90级-精良寄灵人の裤子</v>
      </c>
      <c r="FH179" s="14">
        <f t="shared" si="221"/>
        <v>1</v>
      </c>
      <c r="FI179" s="14">
        <f t="shared" si="222"/>
        <v>3</v>
      </c>
      <c r="FJ179" s="14">
        <f t="shared" si="223"/>
        <v>90</v>
      </c>
      <c r="FK179" s="14">
        <v>1</v>
      </c>
      <c r="FL179" s="14">
        <f t="shared" si="224"/>
        <v>5</v>
      </c>
      <c r="FM179" s="14">
        <f t="shared" si="240"/>
        <v>4</v>
      </c>
      <c r="FN179" s="14" t="str">
        <f t="shared" si="225"/>
        <v/>
      </c>
      <c r="FO179" s="14">
        <f t="shared" si="226"/>
        <v>80</v>
      </c>
      <c r="FP179" s="14">
        <f t="shared" si="241"/>
        <v>0</v>
      </c>
      <c r="FQ179" s="14">
        <f t="shared" si="242"/>
        <v>150</v>
      </c>
      <c r="FR179" s="14">
        <f t="shared" si="243"/>
        <v>0</v>
      </c>
      <c r="FS179" s="14">
        <f t="shared" si="244"/>
        <v>0</v>
      </c>
      <c r="FT179" s="14">
        <f t="shared" si="245"/>
        <v>8</v>
      </c>
      <c r="FU179" s="14">
        <f t="shared" si="246"/>
        <v>0</v>
      </c>
      <c r="FV179" s="14">
        <f t="shared" si="227"/>
        <v>1053</v>
      </c>
      <c r="FW179" s="14">
        <f t="shared" si="228"/>
        <v>3</v>
      </c>
      <c r="FX179" s="14">
        <f t="shared" si="229"/>
        <v>1053</v>
      </c>
      <c r="FY179" s="25" t="str">
        <f t="shared" si="247"/>
        <v>icon_2005104</v>
      </c>
      <c r="GC179" s="14">
        <f t="shared" si="230"/>
        <v>2</v>
      </c>
      <c r="GD179" s="14">
        <f t="shared" si="231"/>
        <v>0</v>
      </c>
      <c r="GE179" s="14">
        <f t="shared" si="248"/>
        <v>80</v>
      </c>
      <c r="GF179" s="14" t="str">
        <f t="shared" si="232"/>
        <v>DefExt</v>
      </c>
      <c r="GG179" s="14">
        <f t="shared" si="249"/>
        <v>150</v>
      </c>
      <c r="GH179" s="14">
        <f t="shared" si="250"/>
        <v>8</v>
      </c>
      <c r="GI179" s="14" t="str">
        <f t="shared" si="233"/>
        <v/>
      </c>
      <c r="GJ179" s="14" t="str">
        <f t="shared" si="251"/>
        <v/>
      </c>
      <c r="GK179" s="14" t="str">
        <f t="shared" si="252"/>
        <v/>
      </c>
      <c r="GL179" s="14">
        <f t="shared" si="234"/>
        <v>20530</v>
      </c>
      <c r="GM179" s="14">
        <f t="shared" si="253"/>
        <v>3</v>
      </c>
      <c r="GN179" s="14">
        <f t="shared" si="254"/>
        <v>1053</v>
      </c>
      <c r="GO179" s="25" t="s">
        <v>1471</v>
      </c>
      <c r="GP179" s="14">
        <f t="shared" si="235"/>
        <v>100</v>
      </c>
      <c r="HK179" s="13">
        <v>174</v>
      </c>
      <c r="HL179" s="14">
        <f t="shared" si="255"/>
        <v>8</v>
      </c>
      <c r="HM179" s="14">
        <f t="shared" si="256"/>
        <v>1</v>
      </c>
      <c r="HN179" s="14">
        <f t="shared" si="257"/>
        <v>8</v>
      </c>
      <c r="HO179" s="14">
        <f t="shared" si="258"/>
        <v>3</v>
      </c>
      <c r="HP179" s="14" t="str">
        <f t="shared" si="259"/>
        <v>120级寄灵人洗练-Q3-6</v>
      </c>
      <c r="HQ179" s="14">
        <f t="shared" si="260"/>
        <v>1083</v>
      </c>
      <c r="HR179" s="14">
        <f t="shared" si="261"/>
        <v>6</v>
      </c>
      <c r="HS179" s="14">
        <f t="shared" si="262"/>
        <v>500</v>
      </c>
      <c r="HT179" s="14" t="str">
        <f t="shared" si="263"/>
        <v>HPRate</v>
      </c>
      <c r="HU179" s="14">
        <f t="shared" si="264"/>
        <v>1.4E-2</v>
      </c>
      <c r="HV179" s="14">
        <f t="shared" si="265"/>
        <v>0.04</v>
      </c>
    </row>
    <row r="180" spans="151:230" ht="16.5" x14ac:dyDescent="0.2">
      <c r="EU180" s="13">
        <v>175</v>
      </c>
      <c r="EV180" s="14">
        <f t="shared" si="236"/>
        <v>1</v>
      </c>
      <c r="EW180" s="14">
        <f t="shared" si="237"/>
        <v>175</v>
      </c>
      <c r="EX180" s="14">
        <f t="shared" si="238"/>
        <v>23</v>
      </c>
      <c r="EY180" s="14">
        <f t="shared" si="213"/>
        <v>30</v>
      </c>
      <c r="EZ180" s="14">
        <f t="shared" si="214"/>
        <v>5</v>
      </c>
      <c r="FA180" s="14">
        <f t="shared" si="215"/>
        <v>90</v>
      </c>
      <c r="FB180" s="14">
        <f t="shared" si="216"/>
        <v>3</v>
      </c>
      <c r="FC180" s="14">
        <f t="shared" si="217"/>
        <v>5</v>
      </c>
      <c r="FD180" s="14">
        <f t="shared" si="218"/>
        <v>5</v>
      </c>
      <c r="FE180" s="14" t="b">
        <f t="shared" si="239"/>
        <v>0</v>
      </c>
      <c r="FF180" s="14">
        <f t="shared" si="219"/>
        <v>2005305</v>
      </c>
      <c r="FG180" s="13" t="str">
        <f t="shared" si="220"/>
        <v>90级-精良寄灵人の鞋子</v>
      </c>
      <c r="FH180" s="14">
        <f t="shared" si="221"/>
        <v>1</v>
      </c>
      <c r="FI180" s="14">
        <f t="shared" si="222"/>
        <v>3</v>
      </c>
      <c r="FJ180" s="14">
        <f t="shared" si="223"/>
        <v>90</v>
      </c>
      <c r="FK180" s="14">
        <v>1</v>
      </c>
      <c r="FL180" s="14">
        <f t="shared" si="224"/>
        <v>5</v>
      </c>
      <c r="FM180" s="14">
        <f t="shared" si="240"/>
        <v>5</v>
      </c>
      <c r="FN180" s="14" t="str">
        <f t="shared" si="225"/>
        <v/>
      </c>
      <c r="FO180" s="14">
        <f t="shared" si="226"/>
        <v>128</v>
      </c>
      <c r="FP180" s="14">
        <f t="shared" si="241"/>
        <v>0</v>
      </c>
      <c r="FQ180" s="14">
        <f t="shared" si="242"/>
        <v>0</v>
      </c>
      <c r="FR180" s="14">
        <f t="shared" si="243"/>
        <v>2445</v>
      </c>
      <c r="FS180" s="14">
        <f t="shared" si="244"/>
        <v>0</v>
      </c>
      <c r="FT180" s="14">
        <f t="shared" si="245"/>
        <v>0</v>
      </c>
      <c r="FU180" s="14">
        <f t="shared" si="246"/>
        <v>128</v>
      </c>
      <c r="FV180" s="14">
        <f t="shared" si="227"/>
        <v>1053</v>
      </c>
      <c r="FW180" s="14">
        <f t="shared" si="228"/>
        <v>3</v>
      </c>
      <c r="FX180" s="14">
        <f t="shared" si="229"/>
        <v>1053</v>
      </c>
      <c r="FY180" s="25" t="str">
        <f t="shared" si="247"/>
        <v>icon_2005105</v>
      </c>
      <c r="GC180" s="14">
        <f t="shared" si="230"/>
        <v>3</v>
      </c>
      <c r="GD180" s="14">
        <f t="shared" si="231"/>
        <v>0</v>
      </c>
      <c r="GE180" s="14">
        <f t="shared" si="248"/>
        <v>128</v>
      </c>
      <c r="GF180" s="14" t="str">
        <f t="shared" si="232"/>
        <v>HPExt</v>
      </c>
      <c r="GG180" s="14">
        <f t="shared" si="249"/>
        <v>2445</v>
      </c>
      <c r="GH180" s="14">
        <f t="shared" si="250"/>
        <v>128</v>
      </c>
      <c r="GI180" s="14" t="str">
        <f t="shared" si="233"/>
        <v/>
      </c>
      <c r="GJ180" s="14" t="str">
        <f t="shared" si="251"/>
        <v/>
      </c>
      <c r="GK180" s="14" t="str">
        <f t="shared" si="252"/>
        <v/>
      </c>
      <c r="GL180" s="14">
        <f t="shared" si="234"/>
        <v>20530</v>
      </c>
      <c r="GM180" s="14">
        <f t="shared" si="253"/>
        <v>3</v>
      </c>
      <c r="GN180" s="14">
        <f t="shared" si="254"/>
        <v>1053</v>
      </c>
      <c r="GO180" s="25" t="s">
        <v>1471</v>
      </c>
      <c r="GP180" s="14">
        <f t="shared" si="235"/>
        <v>100</v>
      </c>
      <c r="HK180" s="13">
        <v>175</v>
      </c>
      <c r="HL180" s="14">
        <f t="shared" si="255"/>
        <v>8</v>
      </c>
      <c r="HM180" s="14">
        <f t="shared" si="256"/>
        <v>1</v>
      </c>
      <c r="HN180" s="14">
        <f t="shared" si="257"/>
        <v>8</v>
      </c>
      <c r="HO180" s="14">
        <f t="shared" si="258"/>
        <v>3</v>
      </c>
      <c r="HP180" s="14" t="str">
        <f t="shared" si="259"/>
        <v>120级寄灵人洗练-Q3-7</v>
      </c>
      <c r="HQ180" s="14">
        <f t="shared" si="260"/>
        <v>1083</v>
      </c>
      <c r="HR180" s="14">
        <f t="shared" si="261"/>
        <v>7</v>
      </c>
      <c r="HS180" s="14">
        <f t="shared" si="262"/>
        <v>500</v>
      </c>
      <c r="HT180" s="14" t="str">
        <f t="shared" si="263"/>
        <v>Crit</v>
      </c>
      <c r="HU180" s="14">
        <f t="shared" si="264"/>
        <v>1.0999999999999999E-2</v>
      </c>
      <c r="HV180" s="14">
        <f t="shared" si="265"/>
        <v>0.03</v>
      </c>
    </row>
    <row r="181" spans="151:230" ht="16.5" x14ac:dyDescent="0.2">
      <c r="EU181" s="13">
        <v>176</v>
      </c>
      <c r="EV181" s="14">
        <f t="shared" si="236"/>
        <v>1</v>
      </c>
      <c r="EW181" s="14">
        <f t="shared" si="237"/>
        <v>176</v>
      </c>
      <c r="EX181" s="14">
        <f t="shared" si="238"/>
        <v>23</v>
      </c>
      <c r="EY181" s="14">
        <f t="shared" si="213"/>
        <v>30</v>
      </c>
      <c r="EZ181" s="14">
        <f t="shared" si="214"/>
        <v>5</v>
      </c>
      <c r="FA181" s="14">
        <f t="shared" si="215"/>
        <v>90</v>
      </c>
      <c r="FB181" s="14">
        <f t="shared" si="216"/>
        <v>3</v>
      </c>
      <c r="FC181" s="14">
        <f t="shared" si="217"/>
        <v>6</v>
      </c>
      <c r="FD181" s="14">
        <f t="shared" si="218"/>
        <v>6</v>
      </c>
      <c r="FE181" s="14" t="b">
        <f t="shared" si="239"/>
        <v>0</v>
      </c>
      <c r="FF181" s="14">
        <f t="shared" si="219"/>
        <v>2005306</v>
      </c>
      <c r="FG181" s="13" t="str">
        <f t="shared" si="220"/>
        <v>90级-精良寄灵人の护手</v>
      </c>
      <c r="FH181" s="14">
        <f t="shared" si="221"/>
        <v>1</v>
      </c>
      <c r="FI181" s="14">
        <f t="shared" si="222"/>
        <v>3</v>
      </c>
      <c r="FJ181" s="14">
        <f t="shared" si="223"/>
        <v>90</v>
      </c>
      <c r="FK181" s="14">
        <v>1</v>
      </c>
      <c r="FL181" s="14">
        <f t="shared" si="224"/>
        <v>5</v>
      </c>
      <c r="FM181" s="14">
        <f t="shared" si="240"/>
        <v>6</v>
      </c>
      <c r="FN181" s="14" t="str">
        <f t="shared" si="225"/>
        <v/>
      </c>
      <c r="FO181" s="14">
        <f t="shared" si="226"/>
        <v>128</v>
      </c>
      <c r="FP181" s="14">
        <f t="shared" si="241"/>
        <v>0</v>
      </c>
      <c r="FQ181" s="14">
        <f t="shared" si="242"/>
        <v>0</v>
      </c>
      <c r="FR181" s="14">
        <f t="shared" si="243"/>
        <v>2445</v>
      </c>
      <c r="FS181" s="14">
        <f t="shared" si="244"/>
        <v>0</v>
      </c>
      <c r="FT181" s="14">
        <f t="shared" si="245"/>
        <v>0</v>
      </c>
      <c r="FU181" s="14">
        <f t="shared" si="246"/>
        <v>128</v>
      </c>
      <c r="FV181" s="14">
        <f t="shared" si="227"/>
        <v>1053</v>
      </c>
      <c r="FW181" s="14">
        <f t="shared" si="228"/>
        <v>3</v>
      </c>
      <c r="FX181" s="14">
        <f t="shared" si="229"/>
        <v>1053</v>
      </c>
      <c r="FY181" s="25" t="str">
        <f t="shared" si="247"/>
        <v>icon_2005106</v>
      </c>
      <c r="GC181" s="14">
        <f t="shared" si="230"/>
        <v>3</v>
      </c>
      <c r="GD181" s="14">
        <f t="shared" si="231"/>
        <v>0</v>
      </c>
      <c r="GE181" s="14">
        <f t="shared" si="248"/>
        <v>128</v>
      </c>
      <c r="GF181" s="14" t="str">
        <f t="shared" si="232"/>
        <v>HPExt</v>
      </c>
      <c r="GG181" s="14">
        <f t="shared" si="249"/>
        <v>2445</v>
      </c>
      <c r="GH181" s="14">
        <f t="shared" si="250"/>
        <v>128</v>
      </c>
      <c r="GI181" s="14" t="str">
        <f t="shared" si="233"/>
        <v/>
      </c>
      <c r="GJ181" s="14" t="str">
        <f t="shared" si="251"/>
        <v/>
      </c>
      <c r="GK181" s="14" t="str">
        <f t="shared" si="252"/>
        <v/>
      </c>
      <c r="GL181" s="14">
        <f t="shared" si="234"/>
        <v>20530</v>
      </c>
      <c r="GM181" s="14">
        <f t="shared" si="253"/>
        <v>3</v>
      </c>
      <c r="GN181" s="14">
        <f t="shared" si="254"/>
        <v>1053</v>
      </c>
      <c r="GO181" s="25" t="s">
        <v>1471</v>
      </c>
      <c r="GP181" s="14">
        <f t="shared" si="235"/>
        <v>100</v>
      </c>
      <c r="HK181" s="13">
        <v>176</v>
      </c>
      <c r="HL181" s="14">
        <f t="shared" si="255"/>
        <v>8</v>
      </c>
      <c r="HM181" s="14">
        <f t="shared" si="256"/>
        <v>1</v>
      </c>
      <c r="HN181" s="14">
        <f t="shared" si="257"/>
        <v>8</v>
      </c>
      <c r="HO181" s="14">
        <f t="shared" si="258"/>
        <v>3</v>
      </c>
      <c r="HP181" s="14" t="str">
        <f t="shared" si="259"/>
        <v>120级寄灵人洗练-Q3-8</v>
      </c>
      <c r="HQ181" s="14">
        <f t="shared" si="260"/>
        <v>1083</v>
      </c>
      <c r="HR181" s="14">
        <f t="shared" si="261"/>
        <v>8</v>
      </c>
      <c r="HS181" s="14">
        <f t="shared" si="262"/>
        <v>500</v>
      </c>
      <c r="HT181" s="14" t="str">
        <f t="shared" si="263"/>
        <v>CritRate</v>
      </c>
      <c r="HU181" s="14">
        <f t="shared" si="264"/>
        <v>2.8000000000000001E-2</v>
      </c>
      <c r="HV181" s="14">
        <f t="shared" si="265"/>
        <v>0.08</v>
      </c>
    </row>
    <row r="182" spans="151:230" ht="16.5" x14ac:dyDescent="0.2">
      <c r="EU182" s="13">
        <v>177</v>
      </c>
      <c r="EV182" s="14">
        <f t="shared" si="236"/>
        <v>1</v>
      </c>
      <c r="EW182" s="14">
        <f t="shared" si="237"/>
        <v>177</v>
      </c>
      <c r="EX182" s="14">
        <f t="shared" si="238"/>
        <v>23</v>
      </c>
      <c r="EY182" s="14">
        <f t="shared" si="213"/>
        <v>30</v>
      </c>
      <c r="EZ182" s="14">
        <f t="shared" si="214"/>
        <v>5</v>
      </c>
      <c r="FA182" s="14">
        <f t="shared" si="215"/>
        <v>90</v>
      </c>
      <c r="FB182" s="14">
        <f t="shared" si="216"/>
        <v>3</v>
      </c>
      <c r="FC182" s="14">
        <f t="shared" si="217"/>
        <v>7</v>
      </c>
      <c r="FD182" s="14">
        <f t="shared" si="218"/>
        <v>7</v>
      </c>
      <c r="FE182" s="14" t="b">
        <f t="shared" si="239"/>
        <v>0</v>
      </c>
      <c r="FF182" s="14">
        <f t="shared" si="219"/>
        <v>2005307</v>
      </c>
      <c r="FG182" s="13" t="str">
        <f t="shared" si="220"/>
        <v>90级-精良寄灵人の项链</v>
      </c>
      <c r="FH182" s="14">
        <f t="shared" si="221"/>
        <v>1</v>
      </c>
      <c r="FI182" s="14">
        <f t="shared" si="222"/>
        <v>3</v>
      </c>
      <c r="FJ182" s="14">
        <f t="shared" si="223"/>
        <v>90</v>
      </c>
      <c r="FK182" s="14">
        <v>1</v>
      </c>
      <c r="FL182" s="14">
        <f t="shared" si="224"/>
        <v>5</v>
      </c>
      <c r="FM182" s="14">
        <f t="shared" si="240"/>
        <v>7</v>
      </c>
      <c r="FN182" s="14" t="str">
        <f t="shared" si="225"/>
        <v/>
      </c>
      <c r="FO182" s="14">
        <f t="shared" si="226"/>
        <v>125</v>
      </c>
      <c r="FP182" s="14">
        <f t="shared" si="241"/>
        <v>200</v>
      </c>
      <c r="FQ182" s="14">
        <f t="shared" si="242"/>
        <v>125</v>
      </c>
      <c r="FR182" s="14">
        <f t="shared" si="243"/>
        <v>0</v>
      </c>
      <c r="FS182" s="14">
        <f t="shared" si="244"/>
        <v>11</v>
      </c>
      <c r="FT182" s="14">
        <f t="shared" si="245"/>
        <v>7</v>
      </c>
      <c r="FU182" s="14">
        <f t="shared" si="246"/>
        <v>0</v>
      </c>
      <c r="FV182" s="14">
        <f t="shared" si="227"/>
        <v>1053</v>
      </c>
      <c r="FW182" s="14">
        <f t="shared" si="228"/>
        <v>3</v>
      </c>
      <c r="FX182" s="14">
        <f t="shared" si="229"/>
        <v>1053</v>
      </c>
      <c r="FY182" s="25" t="str">
        <f t="shared" si="247"/>
        <v>icon_2005107</v>
      </c>
      <c r="GC182" s="14">
        <f t="shared" si="230"/>
        <v>1</v>
      </c>
      <c r="GD182" s="14">
        <f t="shared" si="231"/>
        <v>2</v>
      </c>
      <c r="GE182" s="14">
        <f t="shared" si="248"/>
        <v>125</v>
      </c>
      <c r="GF182" s="14" t="str">
        <f t="shared" si="232"/>
        <v>AtkExt</v>
      </c>
      <c r="GG182" s="14">
        <f t="shared" si="249"/>
        <v>200</v>
      </c>
      <c r="GH182" s="14">
        <f t="shared" si="250"/>
        <v>11</v>
      </c>
      <c r="GI182" s="14" t="str">
        <f t="shared" si="233"/>
        <v>DefExt</v>
      </c>
      <c r="GJ182" s="14">
        <f t="shared" si="251"/>
        <v>125</v>
      </c>
      <c r="GK182" s="14">
        <f t="shared" si="252"/>
        <v>7</v>
      </c>
      <c r="GL182" s="14">
        <f t="shared" si="234"/>
        <v>20530</v>
      </c>
      <c r="GM182" s="14">
        <f t="shared" si="253"/>
        <v>3</v>
      </c>
      <c r="GN182" s="14">
        <f t="shared" si="254"/>
        <v>1053</v>
      </c>
      <c r="GO182" s="25" t="s">
        <v>1471</v>
      </c>
      <c r="GP182" s="14">
        <f t="shared" si="235"/>
        <v>150</v>
      </c>
      <c r="HK182" s="13">
        <v>177</v>
      </c>
      <c r="HL182" s="14">
        <f t="shared" si="255"/>
        <v>8</v>
      </c>
      <c r="HM182" s="14">
        <f t="shared" si="256"/>
        <v>1</v>
      </c>
      <c r="HN182" s="14">
        <f t="shared" si="257"/>
        <v>8</v>
      </c>
      <c r="HO182" s="14">
        <f t="shared" si="258"/>
        <v>3</v>
      </c>
      <c r="HP182" s="14" t="str">
        <f t="shared" si="259"/>
        <v>120级寄灵人洗练-Q3-9</v>
      </c>
      <c r="HQ182" s="14">
        <f t="shared" si="260"/>
        <v>1083</v>
      </c>
      <c r="HR182" s="14">
        <f t="shared" si="261"/>
        <v>9</v>
      </c>
      <c r="HS182" s="14">
        <f t="shared" si="262"/>
        <v>500</v>
      </c>
      <c r="HT182" s="14" t="str">
        <f t="shared" si="263"/>
        <v>DefIgnor</v>
      </c>
      <c r="HU182" s="14">
        <f t="shared" si="264"/>
        <v>1.0999999999999999E-2</v>
      </c>
      <c r="HV182" s="14">
        <f t="shared" si="265"/>
        <v>0.03</v>
      </c>
    </row>
    <row r="183" spans="151:230" ht="16.5" x14ac:dyDescent="0.2">
      <c r="EU183" s="13">
        <v>178</v>
      </c>
      <c r="EV183" s="14">
        <f t="shared" si="236"/>
        <v>1</v>
      </c>
      <c r="EW183" s="14">
        <f t="shared" si="237"/>
        <v>178</v>
      </c>
      <c r="EX183" s="14">
        <f t="shared" si="238"/>
        <v>23</v>
      </c>
      <c r="EY183" s="14">
        <f t="shared" si="213"/>
        <v>30</v>
      </c>
      <c r="EZ183" s="14">
        <f t="shared" si="214"/>
        <v>5</v>
      </c>
      <c r="FA183" s="14">
        <f t="shared" si="215"/>
        <v>90</v>
      </c>
      <c r="FB183" s="14">
        <f t="shared" si="216"/>
        <v>3</v>
      </c>
      <c r="FC183" s="14">
        <f t="shared" si="217"/>
        <v>8</v>
      </c>
      <c r="FD183" s="14">
        <f t="shared" si="218"/>
        <v>8</v>
      </c>
      <c r="FE183" s="14" t="b">
        <f t="shared" si="239"/>
        <v>0</v>
      </c>
      <c r="FF183" s="14">
        <f t="shared" si="219"/>
        <v>2005308</v>
      </c>
      <c r="FG183" s="13" t="str">
        <f t="shared" si="220"/>
        <v>90级-精良寄灵人の戒指</v>
      </c>
      <c r="FH183" s="14">
        <f t="shared" si="221"/>
        <v>1</v>
      </c>
      <c r="FI183" s="14">
        <f t="shared" si="222"/>
        <v>3</v>
      </c>
      <c r="FJ183" s="14">
        <f t="shared" si="223"/>
        <v>90</v>
      </c>
      <c r="FK183" s="14">
        <v>1</v>
      </c>
      <c r="FL183" s="14">
        <f t="shared" si="224"/>
        <v>5</v>
      </c>
      <c r="FM183" s="14">
        <f t="shared" si="240"/>
        <v>8</v>
      </c>
      <c r="FN183" s="14" t="str">
        <f t="shared" si="225"/>
        <v/>
      </c>
      <c r="FO183" s="14">
        <f t="shared" si="226"/>
        <v>162</v>
      </c>
      <c r="FP183" s="14">
        <f t="shared" si="241"/>
        <v>200</v>
      </c>
      <c r="FQ183" s="14">
        <f t="shared" si="242"/>
        <v>0</v>
      </c>
      <c r="FR183" s="14">
        <f t="shared" si="243"/>
        <v>2040</v>
      </c>
      <c r="FS183" s="14">
        <f t="shared" si="244"/>
        <v>11</v>
      </c>
      <c r="FT183" s="14">
        <f t="shared" si="245"/>
        <v>0</v>
      </c>
      <c r="FU183" s="14">
        <f t="shared" si="246"/>
        <v>107</v>
      </c>
      <c r="FV183" s="14">
        <f t="shared" si="227"/>
        <v>1053</v>
      </c>
      <c r="FW183" s="14">
        <f t="shared" si="228"/>
        <v>3</v>
      </c>
      <c r="FX183" s="14">
        <f t="shared" si="229"/>
        <v>1053</v>
      </c>
      <c r="FY183" s="25" t="str">
        <f t="shared" si="247"/>
        <v>icon_2005108</v>
      </c>
      <c r="GC183" s="14">
        <f t="shared" si="230"/>
        <v>1</v>
      </c>
      <c r="GD183" s="14">
        <f t="shared" si="231"/>
        <v>3</v>
      </c>
      <c r="GE183" s="14">
        <f t="shared" si="248"/>
        <v>162</v>
      </c>
      <c r="GF183" s="14" t="str">
        <f t="shared" si="232"/>
        <v>AtkExt</v>
      </c>
      <c r="GG183" s="14">
        <f t="shared" si="249"/>
        <v>200</v>
      </c>
      <c r="GH183" s="14">
        <f t="shared" si="250"/>
        <v>11</v>
      </c>
      <c r="GI183" s="14" t="str">
        <f t="shared" si="233"/>
        <v>HPExt</v>
      </c>
      <c r="GJ183" s="14">
        <f t="shared" si="251"/>
        <v>2040</v>
      </c>
      <c r="GK183" s="14">
        <f t="shared" si="252"/>
        <v>107</v>
      </c>
      <c r="GL183" s="14">
        <f t="shared" si="234"/>
        <v>20530</v>
      </c>
      <c r="GM183" s="14">
        <f t="shared" si="253"/>
        <v>3</v>
      </c>
      <c r="GN183" s="14">
        <f t="shared" si="254"/>
        <v>1053</v>
      </c>
      <c r="GO183" s="25" t="s">
        <v>1471</v>
      </c>
      <c r="GP183" s="14">
        <f t="shared" si="235"/>
        <v>150</v>
      </c>
      <c r="HK183" s="13">
        <v>178</v>
      </c>
      <c r="HL183" s="14">
        <f t="shared" si="255"/>
        <v>8</v>
      </c>
      <c r="HM183" s="14">
        <f t="shared" si="256"/>
        <v>1</v>
      </c>
      <c r="HN183" s="14">
        <f t="shared" si="257"/>
        <v>8</v>
      </c>
      <c r="HO183" s="14">
        <f t="shared" si="258"/>
        <v>3</v>
      </c>
      <c r="HP183" s="14" t="str">
        <f t="shared" si="259"/>
        <v>120级寄灵人洗练-Q3-10</v>
      </c>
      <c r="HQ183" s="14">
        <f t="shared" si="260"/>
        <v>1083</v>
      </c>
      <c r="HR183" s="14">
        <f t="shared" si="261"/>
        <v>10</v>
      </c>
      <c r="HS183" s="14">
        <f t="shared" si="262"/>
        <v>500</v>
      </c>
      <c r="HT183" s="14" t="str">
        <f t="shared" si="263"/>
        <v>Block</v>
      </c>
      <c r="HU183" s="14">
        <f t="shared" si="264"/>
        <v>1.0999999999999999E-2</v>
      </c>
      <c r="HV183" s="14">
        <f t="shared" si="265"/>
        <v>0.03</v>
      </c>
    </row>
    <row r="184" spans="151:230" ht="16.5" x14ac:dyDescent="0.2">
      <c r="EU184" s="13">
        <v>179</v>
      </c>
      <c r="EV184" s="14">
        <f t="shared" si="236"/>
        <v>1</v>
      </c>
      <c r="EW184" s="14">
        <f t="shared" si="237"/>
        <v>179</v>
      </c>
      <c r="EX184" s="14">
        <f t="shared" si="238"/>
        <v>24</v>
      </c>
      <c r="EY184" s="14">
        <f t="shared" si="213"/>
        <v>40</v>
      </c>
      <c r="EZ184" s="14">
        <f t="shared" si="214"/>
        <v>5</v>
      </c>
      <c r="FA184" s="14">
        <f t="shared" si="215"/>
        <v>90</v>
      </c>
      <c r="FB184" s="14">
        <f t="shared" si="216"/>
        <v>4</v>
      </c>
      <c r="FC184" s="14">
        <f t="shared" si="217"/>
        <v>1</v>
      </c>
      <c r="FD184" s="14">
        <f t="shared" si="218"/>
        <v>1</v>
      </c>
      <c r="FE184" s="14" t="b">
        <f t="shared" si="239"/>
        <v>0</v>
      </c>
      <c r="FF184" s="14">
        <f t="shared" si="219"/>
        <v>2005401</v>
      </c>
      <c r="FG184" s="13" t="str">
        <f t="shared" si="220"/>
        <v>90级-史诗寄灵人の灵器</v>
      </c>
      <c r="FH184" s="14">
        <f t="shared" si="221"/>
        <v>1</v>
      </c>
      <c r="FI184" s="14">
        <f t="shared" si="222"/>
        <v>4</v>
      </c>
      <c r="FJ184" s="14">
        <f t="shared" si="223"/>
        <v>90</v>
      </c>
      <c r="FK184" s="14">
        <v>1</v>
      </c>
      <c r="FL184" s="14">
        <f t="shared" si="224"/>
        <v>5</v>
      </c>
      <c r="FM184" s="14">
        <f t="shared" si="240"/>
        <v>1</v>
      </c>
      <c r="FN184" s="14" t="str">
        <f t="shared" si="225"/>
        <v/>
      </c>
      <c r="FO184" s="14">
        <f t="shared" si="226"/>
        <v>185</v>
      </c>
      <c r="FP184" s="14">
        <f t="shared" si="241"/>
        <v>710</v>
      </c>
      <c r="FQ184" s="14">
        <f t="shared" si="242"/>
        <v>0</v>
      </c>
      <c r="FR184" s="14">
        <f t="shared" si="243"/>
        <v>0</v>
      </c>
      <c r="FS184" s="14">
        <f t="shared" si="244"/>
        <v>37</v>
      </c>
      <c r="FT184" s="14">
        <f t="shared" si="245"/>
        <v>0</v>
      </c>
      <c r="FU184" s="14">
        <f t="shared" si="246"/>
        <v>0</v>
      </c>
      <c r="FV184" s="14">
        <f t="shared" si="227"/>
        <v>1054</v>
      </c>
      <c r="FW184" s="14">
        <f t="shared" si="228"/>
        <v>4</v>
      </c>
      <c r="FX184" s="14">
        <f t="shared" si="229"/>
        <v>1054</v>
      </c>
      <c r="FY184" s="25" t="str">
        <f t="shared" si="247"/>
        <v>icon_2005101</v>
      </c>
      <c r="GC184" s="14">
        <f t="shared" si="230"/>
        <v>1</v>
      </c>
      <c r="GD184" s="14">
        <f t="shared" si="231"/>
        <v>0</v>
      </c>
      <c r="GE184" s="14">
        <f t="shared" si="248"/>
        <v>185</v>
      </c>
      <c r="GF184" s="14" t="str">
        <f t="shared" si="232"/>
        <v>AtkExt</v>
      </c>
      <c r="GG184" s="14">
        <f t="shared" si="249"/>
        <v>710</v>
      </c>
      <c r="GH184" s="14">
        <f t="shared" si="250"/>
        <v>37</v>
      </c>
      <c r="GI184" s="14" t="str">
        <f t="shared" si="233"/>
        <v/>
      </c>
      <c r="GJ184" s="14" t="str">
        <f t="shared" si="251"/>
        <v/>
      </c>
      <c r="GK184" s="14" t="str">
        <f t="shared" si="252"/>
        <v/>
      </c>
      <c r="GL184" s="14">
        <f t="shared" si="234"/>
        <v>20540</v>
      </c>
      <c r="GM184" s="14">
        <f t="shared" si="253"/>
        <v>4</v>
      </c>
      <c r="GN184" s="14">
        <f t="shared" si="254"/>
        <v>1054</v>
      </c>
      <c r="GO184" s="25" t="s">
        <v>1471</v>
      </c>
      <c r="GP184" s="14">
        <f t="shared" si="235"/>
        <v>400</v>
      </c>
      <c r="HK184" s="13">
        <v>179</v>
      </c>
      <c r="HL184" s="14">
        <f t="shared" si="255"/>
        <v>8</v>
      </c>
      <c r="HM184" s="14">
        <f t="shared" si="256"/>
        <v>1</v>
      </c>
      <c r="HN184" s="14">
        <f t="shared" si="257"/>
        <v>8</v>
      </c>
      <c r="HO184" s="14">
        <f t="shared" si="258"/>
        <v>3</v>
      </c>
      <c r="HP184" s="14" t="str">
        <f t="shared" si="259"/>
        <v>120级寄灵人洗练-Q3-11</v>
      </c>
      <c r="HQ184" s="14">
        <f t="shared" si="260"/>
        <v>1083</v>
      </c>
      <c r="HR184" s="14">
        <f t="shared" si="261"/>
        <v>11</v>
      </c>
      <c r="HS184" s="14">
        <f t="shared" si="262"/>
        <v>500</v>
      </c>
      <c r="HT184" s="14" t="str">
        <f t="shared" si="263"/>
        <v>EffectHit</v>
      </c>
      <c r="HU184" s="14">
        <f t="shared" si="264"/>
        <v>1.7999999999999999E-2</v>
      </c>
      <c r="HV184" s="14">
        <f t="shared" si="265"/>
        <v>0.05</v>
      </c>
    </row>
    <row r="185" spans="151:230" ht="16.5" x14ac:dyDescent="0.2">
      <c r="EU185" s="13">
        <v>180</v>
      </c>
      <c r="EV185" s="14">
        <f t="shared" si="236"/>
        <v>1</v>
      </c>
      <c r="EW185" s="14">
        <f t="shared" si="237"/>
        <v>180</v>
      </c>
      <c r="EX185" s="14">
        <f t="shared" si="238"/>
        <v>24</v>
      </c>
      <c r="EY185" s="14">
        <f t="shared" si="213"/>
        <v>40</v>
      </c>
      <c r="EZ185" s="14">
        <f t="shared" si="214"/>
        <v>5</v>
      </c>
      <c r="FA185" s="14">
        <f t="shared" si="215"/>
        <v>90</v>
      </c>
      <c r="FB185" s="14">
        <f t="shared" si="216"/>
        <v>4</v>
      </c>
      <c r="FC185" s="14">
        <f t="shared" si="217"/>
        <v>2</v>
      </c>
      <c r="FD185" s="14">
        <f t="shared" si="218"/>
        <v>2</v>
      </c>
      <c r="FE185" s="14" t="b">
        <f t="shared" si="239"/>
        <v>0</v>
      </c>
      <c r="FF185" s="14">
        <f t="shared" si="219"/>
        <v>2005402</v>
      </c>
      <c r="FG185" s="13" t="str">
        <f t="shared" si="220"/>
        <v>90级-史诗寄灵人の头盔</v>
      </c>
      <c r="FH185" s="14">
        <f t="shared" si="221"/>
        <v>1</v>
      </c>
      <c r="FI185" s="14">
        <f t="shared" si="222"/>
        <v>4</v>
      </c>
      <c r="FJ185" s="14">
        <f t="shared" si="223"/>
        <v>90</v>
      </c>
      <c r="FK185" s="14">
        <v>1</v>
      </c>
      <c r="FL185" s="14">
        <f t="shared" si="224"/>
        <v>5</v>
      </c>
      <c r="FM185" s="14">
        <f t="shared" si="240"/>
        <v>2</v>
      </c>
      <c r="FN185" s="14" t="str">
        <f t="shared" si="225"/>
        <v/>
      </c>
      <c r="FO185" s="14">
        <f t="shared" si="226"/>
        <v>90</v>
      </c>
      <c r="FP185" s="14">
        <f t="shared" si="241"/>
        <v>0</v>
      </c>
      <c r="FQ185" s="14">
        <f t="shared" si="242"/>
        <v>180</v>
      </c>
      <c r="FR185" s="14">
        <f t="shared" si="243"/>
        <v>0</v>
      </c>
      <c r="FS185" s="14">
        <f t="shared" si="244"/>
        <v>0</v>
      </c>
      <c r="FT185" s="14">
        <f t="shared" si="245"/>
        <v>9</v>
      </c>
      <c r="FU185" s="14">
        <f t="shared" si="246"/>
        <v>0</v>
      </c>
      <c r="FV185" s="14">
        <f t="shared" si="227"/>
        <v>1054</v>
      </c>
      <c r="FW185" s="14">
        <f t="shared" si="228"/>
        <v>4</v>
      </c>
      <c r="FX185" s="14">
        <f t="shared" si="229"/>
        <v>1054</v>
      </c>
      <c r="FY185" s="25" t="str">
        <f t="shared" si="247"/>
        <v>icon_2005102</v>
      </c>
      <c r="GC185" s="14">
        <f t="shared" si="230"/>
        <v>2</v>
      </c>
      <c r="GD185" s="14">
        <f t="shared" si="231"/>
        <v>0</v>
      </c>
      <c r="GE185" s="14">
        <f t="shared" si="248"/>
        <v>90</v>
      </c>
      <c r="GF185" s="14" t="str">
        <f t="shared" si="232"/>
        <v>DefExt</v>
      </c>
      <c r="GG185" s="14">
        <f t="shared" si="249"/>
        <v>180</v>
      </c>
      <c r="GH185" s="14">
        <f t="shared" si="250"/>
        <v>9</v>
      </c>
      <c r="GI185" s="14" t="str">
        <f t="shared" si="233"/>
        <v/>
      </c>
      <c r="GJ185" s="14" t="str">
        <f t="shared" si="251"/>
        <v/>
      </c>
      <c r="GK185" s="14" t="str">
        <f t="shared" si="252"/>
        <v/>
      </c>
      <c r="GL185" s="14">
        <f t="shared" si="234"/>
        <v>20540</v>
      </c>
      <c r="GM185" s="14">
        <f t="shared" si="253"/>
        <v>4</v>
      </c>
      <c r="GN185" s="14">
        <f t="shared" si="254"/>
        <v>1054</v>
      </c>
      <c r="GO185" s="25" t="s">
        <v>1471</v>
      </c>
      <c r="GP185" s="14">
        <f t="shared" si="235"/>
        <v>200</v>
      </c>
      <c r="HK185" s="13">
        <v>180</v>
      </c>
      <c r="HL185" s="14">
        <f t="shared" si="255"/>
        <v>8</v>
      </c>
      <c r="HM185" s="14">
        <f t="shared" si="256"/>
        <v>1</v>
      </c>
      <c r="HN185" s="14">
        <f t="shared" si="257"/>
        <v>8</v>
      </c>
      <c r="HO185" s="14">
        <f t="shared" si="258"/>
        <v>3</v>
      </c>
      <c r="HP185" s="14" t="str">
        <f t="shared" si="259"/>
        <v>120级寄灵人洗练-Q3-12</v>
      </c>
      <c r="HQ185" s="14">
        <f t="shared" si="260"/>
        <v>1083</v>
      </c>
      <c r="HR185" s="14">
        <f t="shared" si="261"/>
        <v>12</v>
      </c>
      <c r="HS185" s="14">
        <f t="shared" si="262"/>
        <v>500</v>
      </c>
      <c r="HT185" s="14" t="str">
        <f t="shared" si="263"/>
        <v>EffectResist</v>
      </c>
      <c r="HU185" s="14">
        <f t="shared" si="264"/>
        <v>1.7999999999999999E-2</v>
      </c>
      <c r="HV185" s="14">
        <f t="shared" si="265"/>
        <v>0.05</v>
      </c>
    </row>
    <row r="186" spans="151:230" ht="16.5" x14ac:dyDescent="0.2">
      <c r="EU186" s="13">
        <v>181</v>
      </c>
      <c r="EV186" s="14">
        <f t="shared" si="236"/>
        <v>1</v>
      </c>
      <c r="EW186" s="14">
        <f t="shared" si="237"/>
        <v>181</v>
      </c>
      <c r="EX186" s="14">
        <f t="shared" si="238"/>
        <v>24</v>
      </c>
      <c r="EY186" s="14">
        <f t="shared" si="213"/>
        <v>40</v>
      </c>
      <c r="EZ186" s="14">
        <f t="shared" si="214"/>
        <v>5</v>
      </c>
      <c r="FA186" s="14">
        <f t="shared" si="215"/>
        <v>90</v>
      </c>
      <c r="FB186" s="14">
        <f t="shared" si="216"/>
        <v>4</v>
      </c>
      <c r="FC186" s="14">
        <f t="shared" si="217"/>
        <v>3</v>
      </c>
      <c r="FD186" s="14">
        <f t="shared" si="218"/>
        <v>3</v>
      </c>
      <c r="FE186" s="14" t="b">
        <f t="shared" si="239"/>
        <v>0</v>
      </c>
      <c r="FF186" s="14">
        <f t="shared" si="219"/>
        <v>2005403</v>
      </c>
      <c r="FG186" s="13" t="str">
        <f t="shared" si="220"/>
        <v>90级-史诗寄灵人の铠甲</v>
      </c>
      <c r="FH186" s="14">
        <f t="shared" si="221"/>
        <v>1</v>
      </c>
      <c r="FI186" s="14">
        <f t="shared" si="222"/>
        <v>4</v>
      </c>
      <c r="FJ186" s="14">
        <f t="shared" si="223"/>
        <v>90</v>
      </c>
      <c r="FK186" s="14">
        <v>1</v>
      </c>
      <c r="FL186" s="14">
        <f t="shared" si="224"/>
        <v>5</v>
      </c>
      <c r="FM186" s="14">
        <f t="shared" si="240"/>
        <v>3</v>
      </c>
      <c r="FN186" s="14" t="str">
        <f t="shared" si="225"/>
        <v/>
      </c>
      <c r="FO186" s="14">
        <f t="shared" si="226"/>
        <v>125</v>
      </c>
      <c r="FP186" s="14">
        <f t="shared" si="241"/>
        <v>0</v>
      </c>
      <c r="FQ186" s="14">
        <f t="shared" si="242"/>
        <v>90</v>
      </c>
      <c r="FR186" s="14">
        <f t="shared" si="243"/>
        <v>1440</v>
      </c>
      <c r="FS186" s="14">
        <f t="shared" si="244"/>
        <v>0</v>
      </c>
      <c r="FT186" s="14">
        <f t="shared" si="245"/>
        <v>5</v>
      </c>
      <c r="FU186" s="14">
        <f t="shared" si="246"/>
        <v>75</v>
      </c>
      <c r="FV186" s="14">
        <f t="shared" si="227"/>
        <v>1054</v>
      </c>
      <c r="FW186" s="14">
        <f t="shared" si="228"/>
        <v>4</v>
      </c>
      <c r="FX186" s="14">
        <f t="shared" si="229"/>
        <v>1054</v>
      </c>
      <c r="FY186" s="25" t="str">
        <f t="shared" si="247"/>
        <v>icon_2005103</v>
      </c>
      <c r="GC186" s="14">
        <f t="shared" si="230"/>
        <v>2</v>
      </c>
      <c r="GD186" s="14">
        <f t="shared" si="231"/>
        <v>3</v>
      </c>
      <c r="GE186" s="14">
        <f t="shared" si="248"/>
        <v>125</v>
      </c>
      <c r="GF186" s="14" t="str">
        <f t="shared" si="232"/>
        <v>DefExt</v>
      </c>
      <c r="GG186" s="14">
        <f t="shared" si="249"/>
        <v>90</v>
      </c>
      <c r="GH186" s="14">
        <f t="shared" si="250"/>
        <v>5</v>
      </c>
      <c r="GI186" s="14" t="str">
        <f t="shared" si="233"/>
        <v>HPExt</v>
      </c>
      <c r="GJ186" s="14">
        <f t="shared" si="251"/>
        <v>1440</v>
      </c>
      <c r="GK186" s="14">
        <f t="shared" si="252"/>
        <v>75</v>
      </c>
      <c r="GL186" s="14">
        <f t="shared" si="234"/>
        <v>20540</v>
      </c>
      <c r="GM186" s="14">
        <f t="shared" si="253"/>
        <v>4</v>
      </c>
      <c r="GN186" s="14">
        <f t="shared" si="254"/>
        <v>1054</v>
      </c>
      <c r="GO186" s="25" t="s">
        <v>1471</v>
      </c>
      <c r="GP186" s="14">
        <f t="shared" si="235"/>
        <v>200</v>
      </c>
      <c r="HK186" s="13">
        <v>181</v>
      </c>
      <c r="HL186" s="14">
        <f t="shared" si="255"/>
        <v>8</v>
      </c>
      <c r="HM186" s="14">
        <f t="shared" si="256"/>
        <v>1</v>
      </c>
      <c r="HN186" s="14">
        <f t="shared" si="257"/>
        <v>8</v>
      </c>
      <c r="HO186" s="14">
        <f t="shared" si="258"/>
        <v>4</v>
      </c>
      <c r="HP186" s="14" t="str">
        <f t="shared" si="259"/>
        <v>120级寄灵人洗练-Q4-1</v>
      </c>
      <c r="HQ186" s="14">
        <f t="shared" si="260"/>
        <v>1084</v>
      </c>
      <c r="HR186" s="14">
        <f t="shared" si="261"/>
        <v>1</v>
      </c>
      <c r="HS186" s="14">
        <f t="shared" si="262"/>
        <v>1800</v>
      </c>
      <c r="HT186" s="14" t="str">
        <f t="shared" si="263"/>
        <v>AtkExt</v>
      </c>
      <c r="HU186" s="14">
        <f t="shared" si="264"/>
        <v>243</v>
      </c>
      <c r="HV186" s="14">
        <f t="shared" si="265"/>
        <v>695</v>
      </c>
    </row>
    <row r="187" spans="151:230" ht="16.5" x14ac:dyDescent="0.2">
      <c r="EU187" s="13">
        <v>182</v>
      </c>
      <c r="EV187" s="14">
        <f t="shared" si="236"/>
        <v>1</v>
      </c>
      <c r="EW187" s="14">
        <f t="shared" si="237"/>
        <v>182</v>
      </c>
      <c r="EX187" s="14">
        <f t="shared" si="238"/>
        <v>24</v>
      </c>
      <c r="EY187" s="14">
        <f t="shared" si="213"/>
        <v>40</v>
      </c>
      <c r="EZ187" s="14">
        <f t="shared" si="214"/>
        <v>5</v>
      </c>
      <c r="FA187" s="14">
        <f t="shared" si="215"/>
        <v>90</v>
      </c>
      <c r="FB187" s="14">
        <f t="shared" si="216"/>
        <v>4</v>
      </c>
      <c r="FC187" s="14">
        <f t="shared" si="217"/>
        <v>4</v>
      </c>
      <c r="FD187" s="14">
        <f t="shared" si="218"/>
        <v>4</v>
      </c>
      <c r="FE187" s="14" t="b">
        <f t="shared" si="239"/>
        <v>0</v>
      </c>
      <c r="FF187" s="14">
        <f t="shared" si="219"/>
        <v>2005404</v>
      </c>
      <c r="FG187" s="13" t="str">
        <f t="shared" si="220"/>
        <v>90级-史诗寄灵人の裤子</v>
      </c>
      <c r="FH187" s="14">
        <f t="shared" si="221"/>
        <v>1</v>
      </c>
      <c r="FI187" s="14">
        <f t="shared" si="222"/>
        <v>4</v>
      </c>
      <c r="FJ187" s="14">
        <f t="shared" si="223"/>
        <v>90</v>
      </c>
      <c r="FK187" s="14">
        <v>1</v>
      </c>
      <c r="FL187" s="14">
        <f t="shared" si="224"/>
        <v>5</v>
      </c>
      <c r="FM187" s="14">
        <f t="shared" si="240"/>
        <v>4</v>
      </c>
      <c r="FN187" s="14" t="str">
        <f t="shared" si="225"/>
        <v/>
      </c>
      <c r="FO187" s="14">
        <f t="shared" si="226"/>
        <v>90</v>
      </c>
      <c r="FP187" s="14">
        <f t="shared" si="241"/>
        <v>0</v>
      </c>
      <c r="FQ187" s="14">
        <f t="shared" si="242"/>
        <v>180</v>
      </c>
      <c r="FR187" s="14">
        <f t="shared" si="243"/>
        <v>0</v>
      </c>
      <c r="FS187" s="14">
        <f t="shared" si="244"/>
        <v>0</v>
      </c>
      <c r="FT187" s="14">
        <f t="shared" si="245"/>
        <v>9</v>
      </c>
      <c r="FU187" s="14">
        <f t="shared" si="246"/>
        <v>0</v>
      </c>
      <c r="FV187" s="14">
        <f t="shared" si="227"/>
        <v>1054</v>
      </c>
      <c r="FW187" s="14">
        <f t="shared" si="228"/>
        <v>4</v>
      </c>
      <c r="FX187" s="14">
        <f t="shared" si="229"/>
        <v>1054</v>
      </c>
      <c r="FY187" s="25" t="str">
        <f t="shared" si="247"/>
        <v>icon_2005104</v>
      </c>
      <c r="GC187" s="14">
        <f t="shared" si="230"/>
        <v>2</v>
      </c>
      <c r="GD187" s="14">
        <f t="shared" si="231"/>
        <v>0</v>
      </c>
      <c r="GE187" s="14">
        <f t="shared" si="248"/>
        <v>90</v>
      </c>
      <c r="GF187" s="14" t="str">
        <f t="shared" si="232"/>
        <v>DefExt</v>
      </c>
      <c r="GG187" s="14">
        <f t="shared" si="249"/>
        <v>180</v>
      </c>
      <c r="GH187" s="14">
        <f t="shared" si="250"/>
        <v>9</v>
      </c>
      <c r="GI187" s="14" t="str">
        <f t="shared" si="233"/>
        <v/>
      </c>
      <c r="GJ187" s="14" t="str">
        <f t="shared" si="251"/>
        <v/>
      </c>
      <c r="GK187" s="14" t="str">
        <f t="shared" si="252"/>
        <v/>
      </c>
      <c r="GL187" s="14">
        <f t="shared" si="234"/>
        <v>20540</v>
      </c>
      <c r="GM187" s="14">
        <f t="shared" si="253"/>
        <v>4</v>
      </c>
      <c r="GN187" s="14">
        <f t="shared" si="254"/>
        <v>1054</v>
      </c>
      <c r="GO187" s="25" t="s">
        <v>1471</v>
      </c>
      <c r="GP187" s="14">
        <f t="shared" si="235"/>
        <v>200</v>
      </c>
      <c r="HK187" s="13">
        <v>182</v>
      </c>
      <c r="HL187" s="14">
        <f t="shared" si="255"/>
        <v>8</v>
      </c>
      <c r="HM187" s="14">
        <f t="shared" si="256"/>
        <v>1</v>
      </c>
      <c r="HN187" s="14">
        <f t="shared" si="257"/>
        <v>8</v>
      </c>
      <c r="HO187" s="14">
        <f t="shared" si="258"/>
        <v>4</v>
      </c>
      <c r="HP187" s="14" t="str">
        <f t="shared" si="259"/>
        <v>120级寄灵人洗练-Q4-2</v>
      </c>
      <c r="HQ187" s="14">
        <f t="shared" si="260"/>
        <v>1084</v>
      </c>
      <c r="HR187" s="14">
        <f t="shared" si="261"/>
        <v>2</v>
      </c>
      <c r="HS187" s="14">
        <f t="shared" si="262"/>
        <v>1800</v>
      </c>
      <c r="HT187" s="14" t="str">
        <f t="shared" si="263"/>
        <v>DefExt</v>
      </c>
      <c r="HU187" s="14">
        <f t="shared" si="264"/>
        <v>84</v>
      </c>
      <c r="HV187" s="14">
        <f t="shared" si="265"/>
        <v>242</v>
      </c>
    </row>
    <row r="188" spans="151:230" ht="16.5" x14ac:dyDescent="0.2">
      <c r="EU188" s="13">
        <v>183</v>
      </c>
      <c r="EV188" s="14">
        <f t="shared" si="236"/>
        <v>1</v>
      </c>
      <c r="EW188" s="14">
        <f t="shared" si="237"/>
        <v>183</v>
      </c>
      <c r="EX188" s="14">
        <f t="shared" si="238"/>
        <v>24</v>
      </c>
      <c r="EY188" s="14">
        <f t="shared" si="213"/>
        <v>40</v>
      </c>
      <c r="EZ188" s="14">
        <f t="shared" si="214"/>
        <v>5</v>
      </c>
      <c r="FA188" s="14">
        <f t="shared" si="215"/>
        <v>90</v>
      </c>
      <c r="FB188" s="14">
        <f t="shared" si="216"/>
        <v>4</v>
      </c>
      <c r="FC188" s="14">
        <f t="shared" si="217"/>
        <v>5</v>
      </c>
      <c r="FD188" s="14">
        <f t="shared" si="218"/>
        <v>5</v>
      </c>
      <c r="FE188" s="14" t="b">
        <f t="shared" si="239"/>
        <v>0</v>
      </c>
      <c r="FF188" s="14">
        <f t="shared" si="219"/>
        <v>2005405</v>
      </c>
      <c r="FG188" s="13" t="str">
        <f t="shared" si="220"/>
        <v>90级-史诗寄灵人の鞋子</v>
      </c>
      <c r="FH188" s="14">
        <f t="shared" si="221"/>
        <v>1</v>
      </c>
      <c r="FI188" s="14">
        <f t="shared" si="222"/>
        <v>4</v>
      </c>
      <c r="FJ188" s="14">
        <f t="shared" si="223"/>
        <v>90</v>
      </c>
      <c r="FK188" s="14">
        <v>1</v>
      </c>
      <c r="FL188" s="14">
        <f t="shared" si="224"/>
        <v>5</v>
      </c>
      <c r="FM188" s="14">
        <f t="shared" si="240"/>
        <v>5</v>
      </c>
      <c r="FN188" s="14" t="str">
        <f t="shared" si="225"/>
        <v/>
      </c>
      <c r="FO188" s="14">
        <f t="shared" si="226"/>
        <v>151</v>
      </c>
      <c r="FP188" s="14">
        <f t="shared" si="241"/>
        <v>0</v>
      </c>
      <c r="FQ188" s="14">
        <f t="shared" si="242"/>
        <v>0</v>
      </c>
      <c r="FR188" s="14">
        <f t="shared" si="243"/>
        <v>2880</v>
      </c>
      <c r="FS188" s="14">
        <f t="shared" si="244"/>
        <v>0</v>
      </c>
      <c r="FT188" s="14">
        <f t="shared" si="245"/>
        <v>0</v>
      </c>
      <c r="FU188" s="14">
        <f t="shared" si="246"/>
        <v>151</v>
      </c>
      <c r="FV188" s="14">
        <f t="shared" si="227"/>
        <v>1054</v>
      </c>
      <c r="FW188" s="14">
        <f t="shared" si="228"/>
        <v>4</v>
      </c>
      <c r="FX188" s="14">
        <f t="shared" si="229"/>
        <v>1054</v>
      </c>
      <c r="FY188" s="25" t="str">
        <f t="shared" si="247"/>
        <v>icon_2005105</v>
      </c>
      <c r="GC188" s="14">
        <f t="shared" si="230"/>
        <v>3</v>
      </c>
      <c r="GD188" s="14">
        <f t="shared" si="231"/>
        <v>0</v>
      </c>
      <c r="GE188" s="14">
        <f t="shared" si="248"/>
        <v>151</v>
      </c>
      <c r="GF188" s="14" t="str">
        <f t="shared" si="232"/>
        <v>HPExt</v>
      </c>
      <c r="GG188" s="14">
        <f t="shared" si="249"/>
        <v>2880</v>
      </c>
      <c r="GH188" s="14">
        <f t="shared" si="250"/>
        <v>151</v>
      </c>
      <c r="GI188" s="14" t="str">
        <f t="shared" si="233"/>
        <v/>
      </c>
      <c r="GJ188" s="14" t="str">
        <f t="shared" si="251"/>
        <v/>
      </c>
      <c r="GK188" s="14" t="str">
        <f t="shared" si="252"/>
        <v/>
      </c>
      <c r="GL188" s="14">
        <f t="shared" si="234"/>
        <v>20540</v>
      </c>
      <c r="GM188" s="14">
        <f t="shared" si="253"/>
        <v>4</v>
      </c>
      <c r="GN188" s="14">
        <f t="shared" si="254"/>
        <v>1054</v>
      </c>
      <c r="GO188" s="25" t="s">
        <v>1471</v>
      </c>
      <c r="GP188" s="14">
        <f t="shared" si="235"/>
        <v>200</v>
      </c>
      <c r="HK188" s="13">
        <v>183</v>
      </c>
      <c r="HL188" s="14">
        <f t="shared" si="255"/>
        <v>8</v>
      </c>
      <c r="HM188" s="14">
        <f t="shared" si="256"/>
        <v>1</v>
      </c>
      <c r="HN188" s="14">
        <f t="shared" si="257"/>
        <v>8</v>
      </c>
      <c r="HO188" s="14">
        <f t="shared" si="258"/>
        <v>4</v>
      </c>
      <c r="HP188" s="14" t="str">
        <f t="shared" si="259"/>
        <v>120级寄灵人洗练-Q4-3</v>
      </c>
      <c r="HQ188" s="14">
        <f t="shared" si="260"/>
        <v>1084</v>
      </c>
      <c r="HR188" s="14">
        <f t="shared" si="261"/>
        <v>3</v>
      </c>
      <c r="HS188" s="14">
        <f t="shared" si="262"/>
        <v>2000</v>
      </c>
      <c r="HT188" s="14" t="str">
        <f t="shared" si="263"/>
        <v>HPExt</v>
      </c>
      <c r="HU188" s="14">
        <f t="shared" si="264"/>
        <v>2262</v>
      </c>
      <c r="HV188" s="14">
        <f t="shared" si="265"/>
        <v>6464</v>
      </c>
    </row>
    <row r="189" spans="151:230" ht="16.5" x14ac:dyDescent="0.2">
      <c r="EU189" s="13">
        <v>184</v>
      </c>
      <c r="EV189" s="14">
        <f t="shared" si="236"/>
        <v>1</v>
      </c>
      <c r="EW189" s="14">
        <f t="shared" si="237"/>
        <v>184</v>
      </c>
      <c r="EX189" s="14">
        <f t="shared" si="238"/>
        <v>24</v>
      </c>
      <c r="EY189" s="14">
        <f t="shared" si="213"/>
        <v>40</v>
      </c>
      <c r="EZ189" s="14">
        <f t="shared" si="214"/>
        <v>5</v>
      </c>
      <c r="FA189" s="14">
        <f t="shared" si="215"/>
        <v>90</v>
      </c>
      <c r="FB189" s="14">
        <f t="shared" si="216"/>
        <v>4</v>
      </c>
      <c r="FC189" s="14">
        <f t="shared" si="217"/>
        <v>6</v>
      </c>
      <c r="FD189" s="14">
        <f t="shared" si="218"/>
        <v>6</v>
      </c>
      <c r="FE189" s="14" t="b">
        <f t="shared" si="239"/>
        <v>0</v>
      </c>
      <c r="FF189" s="14">
        <f t="shared" si="219"/>
        <v>2005406</v>
      </c>
      <c r="FG189" s="13" t="str">
        <f t="shared" si="220"/>
        <v>90级-史诗寄灵人の护手</v>
      </c>
      <c r="FH189" s="14">
        <f t="shared" si="221"/>
        <v>1</v>
      </c>
      <c r="FI189" s="14">
        <f t="shared" si="222"/>
        <v>4</v>
      </c>
      <c r="FJ189" s="14">
        <f t="shared" si="223"/>
        <v>90</v>
      </c>
      <c r="FK189" s="14">
        <v>1</v>
      </c>
      <c r="FL189" s="14">
        <f t="shared" si="224"/>
        <v>5</v>
      </c>
      <c r="FM189" s="14">
        <f t="shared" si="240"/>
        <v>6</v>
      </c>
      <c r="FN189" s="14" t="str">
        <f t="shared" si="225"/>
        <v/>
      </c>
      <c r="FO189" s="14">
        <f t="shared" si="226"/>
        <v>151</v>
      </c>
      <c r="FP189" s="14">
        <f t="shared" si="241"/>
        <v>0</v>
      </c>
      <c r="FQ189" s="14">
        <f t="shared" si="242"/>
        <v>0</v>
      </c>
      <c r="FR189" s="14">
        <f t="shared" si="243"/>
        <v>2880</v>
      </c>
      <c r="FS189" s="14">
        <f t="shared" si="244"/>
        <v>0</v>
      </c>
      <c r="FT189" s="14">
        <f t="shared" si="245"/>
        <v>0</v>
      </c>
      <c r="FU189" s="14">
        <f t="shared" si="246"/>
        <v>151</v>
      </c>
      <c r="FV189" s="14">
        <f t="shared" si="227"/>
        <v>1054</v>
      </c>
      <c r="FW189" s="14">
        <f t="shared" si="228"/>
        <v>4</v>
      </c>
      <c r="FX189" s="14">
        <f t="shared" si="229"/>
        <v>1054</v>
      </c>
      <c r="FY189" s="25" t="str">
        <f t="shared" si="247"/>
        <v>icon_2005106</v>
      </c>
      <c r="GC189" s="14">
        <f t="shared" si="230"/>
        <v>3</v>
      </c>
      <c r="GD189" s="14">
        <f t="shared" si="231"/>
        <v>0</v>
      </c>
      <c r="GE189" s="14">
        <f t="shared" si="248"/>
        <v>151</v>
      </c>
      <c r="GF189" s="14" t="str">
        <f t="shared" si="232"/>
        <v>HPExt</v>
      </c>
      <c r="GG189" s="14">
        <f t="shared" si="249"/>
        <v>2880</v>
      </c>
      <c r="GH189" s="14">
        <f t="shared" si="250"/>
        <v>151</v>
      </c>
      <c r="GI189" s="14" t="str">
        <f t="shared" si="233"/>
        <v/>
      </c>
      <c r="GJ189" s="14" t="str">
        <f t="shared" si="251"/>
        <v/>
      </c>
      <c r="GK189" s="14" t="str">
        <f t="shared" si="252"/>
        <v/>
      </c>
      <c r="GL189" s="14">
        <f t="shared" si="234"/>
        <v>20540</v>
      </c>
      <c r="GM189" s="14">
        <f t="shared" si="253"/>
        <v>4</v>
      </c>
      <c r="GN189" s="14">
        <f t="shared" si="254"/>
        <v>1054</v>
      </c>
      <c r="GO189" s="25" t="s">
        <v>1471</v>
      </c>
      <c r="GP189" s="14">
        <f t="shared" si="235"/>
        <v>200</v>
      </c>
      <c r="HK189" s="13">
        <v>184</v>
      </c>
      <c r="HL189" s="14">
        <f t="shared" si="255"/>
        <v>8</v>
      </c>
      <c r="HM189" s="14">
        <f t="shared" si="256"/>
        <v>1</v>
      </c>
      <c r="HN189" s="14">
        <f t="shared" si="257"/>
        <v>8</v>
      </c>
      <c r="HO189" s="14">
        <f t="shared" si="258"/>
        <v>4</v>
      </c>
      <c r="HP189" s="14" t="str">
        <f t="shared" si="259"/>
        <v>120级寄灵人洗练-Q4-4</v>
      </c>
      <c r="HQ189" s="14">
        <f t="shared" si="260"/>
        <v>1084</v>
      </c>
      <c r="HR189" s="14">
        <f t="shared" si="261"/>
        <v>4</v>
      </c>
      <c r="HS189" s="14">
        <f t="shared" si="262"/>
        <v>500</v>
      </c>
      <c r="HT189" s="14" t="str">
        <f t="shared" si="263"/>
        <v>AtkRate</v>
      </c>
      <c r="HU189" s="14">
        <f t="shared" si="264"/>
        <v>1.4E-2</v>
      </c>
      <c r="HV189" s="14">
        <f t="shared" si="265"/>
        <v>0.04</v>
      </c>
    </row>
    <row r="190" spans="151:230" ht="16.5" x14ac:dyDescent="0.2">
      <c r="EU190" s="13">
        <v>185</v>
      </c>
      <c r="EV190" s="14">
        <f t="shared" si="236"/>
        <v>1</v>
      </c>
      <c r="EW190" s="14">
        <f t="shared" si="237"/>
        <v>185</v>
      </c>
      <c r="EX190" s="14">
        <f t="shared" si="238"/>
        <v>24</v>
      </c>
      <c r="EY190" s="14">
        <f t="shared" si="213"/>
        <v>40</v>
      </c>
      <c r="EZ190" s="14">
        <f t="shared" si="214"/>
        <v>5</v>
      </c>
      <c r="FA190" s="14">
        <f t="shared" si="215"/>
        <v>90</v>
      </c>
      <c r="FB190" s="14">
        <f t="shared" si="216"/>
        <v>4</v>
      </c>
      <c r="FC190" s="14">
        <f t="shared" si="217"/>
        <v>7</v>
      </c>
      <c r="FD190" s="14">
        <f t="shared" si="218"/>
        <v>7</v>
      </c>
      <c r="FE190" s="14" t="b">
        <f t="shared" si="239"/>
        <v>0</v>
      </c>
      <c r="FF190" s="14">
        <f t="shared" si="219"/>
        <v>2005407</v>
      </c>
      <c r="FG190" s="13" t="str">
        <f t="shared" si="220"/>
        <v>90级-史诗寄灵人の项链</v>
      </c>
      <c r="FH190" s="14">
        <f t="shared" si="221"/>
        <v>1</v>
      </c>
      <c r="FI190" s="14">
        <f t="shared" si="222"/>
        <v>4</v>
      </c>
      <c r="FJ190" s="14">
        <f t="shared" si="223"/>
        <v>90</v>
      </c>
      <c r="FK190" s="14">
        <v>1</v>
      </c>
      <c r="FL190" s="14">
        <f t="shared" si="224"/>
        <v>5</v>
      </c>
      <c r="FM190" s="14">
        <f t="shared" si="240"/>
        <v>7</v>
      </c>
      <c r="FN190" s="14" t="str">
        <f t="shared" si="225"/>
        <v/>
      </c>
      <c r="FO190" s="14">
        <f t="shared" si="226"/>
        <v>140</v>
      </c>
      <c r="FP190" s="14">
        <f t="shared" si="241"/>
        <v>235</v>
      </c>
      <c r="FQ190" s="14">
        <f t="shared" si="242"/>
        <v>150</v>
      </c>
      <c r="FR190" s="14">
        <f t="shared" si="243"/>
        <v>0</v>
      </c>
      <c r="FS190" s="14">
        <f t="shared" si="244"/>
        <v>12</v>
      </c>
      <c r="FT190" s="14">
        <f t="shared" si="245"/>
        <v>8</v>
      </c>
      <c r="FU190" s="14">
        <f t="shared" si="246"/>
        <v>0</v>
      </c>
      <c r="FV190" s="14">
        <f t="shared" si="227"/>
        <v>1054</v>
      </c>
      <c r="FW190" s="14">
        <f t="shared" si="228"/>
        <v>4</v>
      </c>
      <c r="FX190" s="14">
        <f t="shared" si="229"/>
        <v>1054</v>
      </c>
      <c r="FY190" s="25" t="str">
        <f t="shared" si="247"/>
        <v>icon_2005107</v>
      </c>
      <c r="GC190" s="14">
        <f t="shared" si="230"/>
        <v>1</v>
      </c>
      <c r="GD190" s="14">
        <f t="shared" si="231"/>
        <v>2</v>
      </c>
      <c r="GE190" s="14">
        <f t="shared" si="248"/>
        <v>140</v>
      </c>
      <c r="GF190" s="14" t="str">
        <f t="shared" si="232"/>
        <v>AtkExt</v>
      </c>
      <c r="GG190" s="14">
        <f t="shared" si="249"/>
        <v>235</v>
      </c>
      <c r="GH190" s="14">
        <f t="shared" si="250"/>
        <v>12</v>
      </c>
      <c r="GI190" s="14" t="str">
        <f t="shared" si="233"/>
        <v>DefExt</v>
      </c>
      <c r="GJ190" s="14">
        <f t="shared" si="251"/>
        <v>150</v>
      </c>
      <c r="GK190" s="14">
        <f t="shared" si="252"/>
        <v>8</v>
      </c>
      <c r="GL190" s="14">
        <f t="shared" si="234"/>
        <v>20540</v>
      </c>
      <c r="GM190" s="14">
        <f t="shared" si="253"/>
        <v>4</v>
      </c>
      <c r="GN190" s="14">
        <f t="shared" si="254"/>
        <v>1054</v>
      </c>
      <c r="GO190" s="25" t="s">
        <v>1471</v>
      </c>
      <c r="GP190" s="14">
        <f t="shared" si="235"/>
        <v>300</v>
      </c>
      <c r="HK190" s="13">
        <v>185</v>
      </c>
      <c r="HL190" s="14">
        <f t="shared" si="255"/>
        <v>8</v>
      </c>
      <c r="HM190" s="14">
        <f t="shared" si="256"/>
        <v>1</v>
      </c>
      <c r="HN190" s="14">
        <f t="shared" si="257"/>
        <v>8</v>
      </c>
      <c r="HO190" s="14">
        <f t="shared" si="258"/>
        <v>4</v>
      </c>
      <c r="HP190" s="14" t="str">
        <f t="shared" si="259"/>
        <v>120级寄灵人洗练-Q4-5</v>
      </c>
      <c r="HQ190" s="14">
        <f t="shared" si="260"/>
        <v>1084</v>
      </c>
      <c r="HR190" s="14">
        <f t="shared" si="261"/>
        <v>5</v>
      </c>
      <c r="HS190" s="14">
        <f t="shared" si="262"/>
        <v>400</v>
      </c>
      <c r="HT190" s="14" t="str">
        <f t="shared" si="263"/>
        <v>DefRate</v>
      </c>
      <c r="HU190" s="14">
        <f t="shared" si="264"/>
        <v>1.4E-2</v>
      </c>
      <c r="HV190" s="14">
        <f t="shared" si="265"/>
        <v>0.04</v>
      </c>
    </row>
    <row r="191" spans="151:230" ht="16.5" x14ac:dyDescent="0.2">
      <c r="EU191" s="13">
        <v>186</v>
      </c>
      <c r="EV191" s="14">
        <f t="shared" si="236"/>
        <v>1</v>
      </c>
      <c r="EW191" s="14">
        <f t="shared" si="237"/>
        <v>186</v>
      </c>
      <c r="EX191" s="14">
        <f t="shared" si="238"/>
        <v>24</v>
      </c>
      <c r="EY191" s="14">
        <f t="shared" si="213"/>
        <v>40</v>
      </c>
      <c r="EZ191" s="14">
        <f t="shared" si="214"/>
        <v>5</v>
      </c>
      <c r="FA191" s="14">
        <f t="shared" si="215"/>
        <v>90</v>
      </c>
      <c r="FB191" s="14">
        <f t="shared" si="216"/>
        <v>4</v>
      </c>
      <c r="FC191" s="14">
        <f t="shared" si="217"/>
        <v>8</v>
      </c>
      <c r="FD191" s="14">
        <f t="shared" si="218"/>
        <v>8</v>
      </c>
      <c r="FE191" s="14" t="b">
        <f t="shared" si="239"/>
        <v>0</v>
      </c>
      <c r="FF191" s="14">
        <f t="shared" si="219"/>
        <v>2005408</v>
      </c>
      <c r="FG191" s="13" t="str">
        <f t="shared" si="220"/>
        <v>90级-史诗寄灵人の戒指</v>
      </c>
      <c r="FH191" s="14">
        <f t="shared" si="221"/>
        <v>1</v>
      </c>
      <c r="FI191" s="14">
        <f t="shared" si="222"/>
        <v>4</v>
      </c>
      <c r="FJ191" s="14">
        <f t="shared" si="223"/>
        <v>90</v>
      </c>
      <c r="FK191" s="14">
        <v>1</v>
      </c>
      <c r="FL191" s="14">
        <f t="shared" si="224"/>
        <v>5</v>
      </c>
      <c r="FM191" s="14">
        <f t="shared" si="240"/>
        <v>8</v>
      </c>
      <c r="FN191" s="14" t="str">
        <f t="shared" si="225"/>
        <v/>
      </c>
      <c r="FO191" s="14">
        <f t="shared" si="226"/>
        <v>186</v>
      </c>
      <c r="FP191" s="14">
        <f t="shared" si="241"/>
        <v>235</v>
      </c>
      <c r="FQ191" s="14">
        <f t="shared" si="242"/>
        <v>0</v>
      </c>
      <c r="FR191" s="14">
        <f t="shared" si="243"/>
        <v>2400</v>
      </c>
      <c r="FS191" s="14">
        <f t="shared" si="244"/>
        <v>12</v>
      </c>
      <c r="FT191" s="14">
        <f t="shared" si="245"/>
        <v>0</v>
      </c>
      <c r="FU191" s="14">
        <f t="shared" si="246"/>
        <v>126</v>
      </c>
      <c r="FV191" s="14">
        <f t="shared" si="227"/>
        <v>1054</v>
      </c>
      <c r="FW191" s="14">
        <f t="shared" si="228"/>
        <v>4</v>
      </c>
      <c r="FX191" s="14">
        <f t="shared" si="229"/>
        <v>1054</v>
      </c>
      <c r="FY191" s="25" t="str">
        <f t="shared" si="247"/>
        <v>icon_2005108</v>
      </c>
      <c r="GC191" s="14">
        <f t="shared" si="230"/>
        <v>1</v>
      </c>
      <c r="GD191" s="14">
        <f t="shared" si="231"/>
        <v>3</v>
      </c>
      <c r="GE191" s="14">
        <f t="shared" si="248"/>
        <v>186</v>
      </c>
      <c r="GF191" s="14" t="str">
        <f t="shared" si="232"/>
        <v>AtkExt</v>
      </c>
      <c r="GG191" s="14">
        <f t="shared" si="249"/>
        <v>235</v>
      </c>
      <c r="GH191" s="14">
        <f t="shared" si="250"/>
        <v>12</v>
      </c>
      <c r="GI191" s="14" t="str">
        <f t="shared" si="233"/>
        <v>HPExt</v>
      </c>
      <c r="GJ191" s="14">
        <f t="shared" si="251"/>
        <v>2400</v>
      </c>
      <c r="GK191" s="14">
        <f t="shared" si="252"/>
        <v>126</v>
      </c>
      <c r="GL191" s="14">
        <f t="shared" si="234"/>
        <v>20540</v>
      </c>
      <c r="GM191" s="14">
        <f t="shared" si="253"/>
        <v>4</v>
      </c>
      <c r="GN191" s="14">
        <f t="shared" si="254"/>
        <v>1054</v>
      </c>
      <c r="GO191" s="25" t="s">
        <v>1471</v>
      </c>
      <c r="GP191" s="14">
        <f t="shared" si="235"/>
        <v>300</v>
      </c>
      <c r="HK191" s="13">
        <v>186</v>
      </c>
      <c r="HL191" s="14">
        <f t="shared" si="255"/>
        <v>8</v>
      </c>
      <c r="HM191" s="14">
        <f t="shared" si="256"/>
        <v>1</v>
      </c>
      <c r="HN191" s="14">
        <f t="shared" si="257"/>
        <v>8</v>
      </c>
      <c r="HO191" s="14">
        <f t="shared" si="258"/>
        <v>4</v>
      </c>
      <c r="HP191" s="14" t="str">
        <f t="shared" si="259"/>
        <v>120级寄灵人洗练-Q4-6</v>
      </c>
      <c r="HQ191" s="14">
        <f t="shared" si="260"/>
        <v>1084</v>
      </c>
      <c r="HR191" s="14">
        <f t="shared" si="261"/>
        <v>6</v>
      </c>
      <c r="HS191" s="14">
        <f t="shared" si="262"/>
        <v>500</v>
      </c>
      <c r="HT191" s="14" t="str">
        <f t="shared" si="263"/>
        <v>HPRate</v>
      </c>
      <c r="HU191" s="14">
        <f t="shared" si="264"/>
        <v>1.4E-2</v>
      </c>
      <c r="HV191" s="14">
        <f t="shared" si="265"/>
        <v>0.04</v>
      </c>
    </row>
    <row r="192" spans="151:230" ht="16.5" x14ac:dyDescent="0.2">
      <c r="EU192" s="13">
        <v>187</v>
      </c>
      <c r="EV192" s="14">
        <f t="shared" si="236"/>
        <v>1</v>
      </c>
      <c r="EW192" s="14">
        <f t="shared" si="237"/>
        <v>187</v>
      </c>
      <c r="EX192" s="14">
        <f t="shared" si="238"/>
        <v>25</v>
      </c>
      <c r="EY192" s="14">
        <f t="shared" si="213"/>
        <v>42</v>
      </c>
      <c r="EZ192" s="14">
        <f t="shared" si="214"/>
        <v>5</v>
      </c>
      <c r="FA192" s="14">
        <f t="shared" si="215"/>
        <v>90</v>
      </c>
      <c r="FB192" s="14">
        <f t="shared" si="216"/>
        <v>4</v>
      </c>
      <c r="FC192" s="14">
        <f t="shared" si="217"/>
        <v>1</v>
      </c>
      <c r="FD192" s="14">
        <f t="shared" si="218"/>
        <v>1</v>
      </c>
      <c r="FE192" s="14" t="b">
        <f t="shared" si="239"/>
        <v>1</v>
      </c>
      <c r="FF192" s="14">
        <f t="shared" si="219"/>
        <v>2005421</v>
      </c>
      <c r="FG192" s="13" t="str">
        <f t="shared" si="220"/>
        <v>90级-防御套寄灵人の灵器</v>
      </c>
      <c r="FH192" s="14">
        <f t="shared" si="221"/>
        <v>1</v>
      </c>
      <c r="FI192" s="14">
        <f t="shared" si="222"/>
        <v>4</v>
      </c>
      <c r="FJ192" s="14">
        <f t="shared" si="223"/>
        <v>90</v>
      </c>
      <c r="FK192" s="14">
        <v>1</v>
      </c>
      <c r="FL192" s="14">
        <f t="shared" si="224"/>
        <v>5</v>
      </c>
      <c r="FM192" s="14">
        <f t="shared" si="240"/>
        <v>1</v>
      </c>
      <c r="FN192" s="14">
        <f t="shared" si="225"/>
        <v>200542</v>
      </c>
      <c r="FO192" s="14">
        <f t="shared" si="226"/>
        <v>277</v>
      </c>
      <c r="FP192" s="14">
        <f t="shared" si="241"/>
        <v>710</v>
      </c>
      <c r="FQ192" s="14">
        <f t="shared" si="242"/>
        <v>0</v>
      </c>
      <c r="FR192" s="14">
        <f t="shared" si="243"/>
        <v>0</v>
      </c>
      <c r="FS192" s="14">
        <f t="shared" si="244"/>
        <v>37</v>
      </c>
      <c r="FT192" s="14">
        <f t="shared" si="245"/>
        <v>0</v>
      </c>
      <c r="FU192" s="14">
        <f t="shared" si="246"/>
        <v>0</v>
      </c>
      <c r="FV192" s="14">
        <f t="shared" si="227"/>
        <v>1054</v>
      </c>
      <c r="FW192" s="14">
        <f t="shared" si="228"/>
        <v>4</v>
      </c>
      <c r="FX192" s="14">
        <f t="shared" si="229"/>
        <v>1054</v>
      </c>
      <c r="FY192" s="25" t="str">
        <f t="shared" si="247"/>
        <v>icon_2005421</v>
      </c>
      <c r="GC192" s="14">
        <f t="shared" si="230"/>
        <v>1</v>
      </c>
      <c r="GD192" s="14">
        <f t="shared" si="231"/>
        <v>0</v>
      </c>
      <c r="GE192" s="14">
        <f t="shared" si="248"/>
        <v>277</v>
      </c>
      <c r="GF192" s="14" t="str">
        <f t="shared" si="232"/>
        <v>AtkExt</v>
      </c>
      <c r="GG192" s="14">
        <f t="shared" si="249"/>
        <v>710</v>
      </c>
      <c r="GH192" s="14">
        <f t="shared" si="250"/>
        <v>37</v>
      </c>
      <c r="GI192" s="14" t="str">
        <f t="shared" si="233"/>
        <v/>
      </c>
      <c r="GJ192" s="14" t="str">
        <f t="shared" si="251"/>
        <v/>
      </c>
      <c r="GK192" s="14" t="str">
        <f t="shared" si="252"/>
        <v/>
      </c>
      <c r="GL192" s="14">
        <f t="shared" si="234"/>
        <v>20540</v>
      </c>
      <c r="GM192" s="14">
        <f t="shared" si="253"/>
        <v>4</v>
      </c>
      <c r="GN192" s="14">
        <f t="shared" si="254"/>
        <v>1054</v>
      </c>
      <c r="GO192" s="25" t="s">
        <v>1471</v>
      </c>
      <c r="GP192" s="14">
        <f t="shared" si="235"/>
        <v>400</v>
      </c>
      <c r="HK192" s="13">
        <v>187</v>
      </c>
      <c r="HL192" s="14">
        <f t="shared" si="255"/>
        <v>8</v>
      </c>
      <c r="HM192" s="14">
        <f t="shared" si="256"/>
        <v>1</v>
      </c>
      <c r="HN192" s="14">
        <f t="shared" si="257"/>
        <v>8</v>
      </c>
      <c r="HO192" s="14">
        <f t="shared" si="258"/>
        <v>4</v>
      </c>
      <c r="HP192" s="14" t="str">
        <f t="shared" si="259"/>
        <v>120级寄灵人洗练-Q4-7</v>
      </c>
      <c r="HQ192" s="14">
        <f t="shared" si="260"/>
        <v>1084</v>
      </c>
      <c r="HR192" s="14">
        <f t="shared" si="261"/>
        <v>7</v>
      </c>
      <c r="HS192" s="14">
        <f t="shared" si="262"/>
        <v>500</v>
      </c>
      <c r="HT192" s="14" t="str">
        <f t="shared" si="263"/>
        <v>Crit</v>
      </c>
      <c r="HU192" s="14">
        <f t="shared" si="264"/>
        <v>1.0999999999999999E-2</v>
      </c>
      <c r="HV192" s="14">
        <f t="shared" si="265"/>
        <v>0.03</v>
      </c>
    </row>
    <row r="193" spans="151:230" ht="16.5" x14ac:dyDescent="0.2">
      <c r="EU193" s="13">
        <v>188</v>
      </c>
      <c r="EV193" s="14">
        <f t="shared" si="236"/>
        <v>1</v>
      </c>
      <c r="EW193" s="14">
        <f t="shared" si="237"/>
        <v>188</v>
      </c>
      <c r="EX193" s="14">
        <f t="shared" si="238"/>
        <v>25</v>
      </c>
      <c r="EY193" s="14">
        <f t="shared" si="213"/>
        <v>42</v>
      </c>
      <c r="EZ193" s="14">
        <f t="shared" si="214"/>
        <v>5</v>
      </c>
      <c r="FA193" s="14">
        <f t="shared" si="215"/>
        <v>90</v>
      </c>
      <c r="FB193" s="14">
        <f t="shared" si="216"/>
        <v>4</v>
      </c>
      <c r="FC193" s="14">
        <f t="shared" si="217"/>
        <v>2</v>
      </c>
      <c r="FD193" s="14">
        <f t="shared" si="218"/>
        <v>2</v>
      </c>
      <c r="FE193" s="14" t="b">
        <f t="shared" si="239"/>
        <v>1</v>
      </c>
      <c r="FF193" s="14">
        <f t="shared" si="219"/>
        <v>2005422</v>
      </c>
      <c r="FG193" s="13" t="str">
        <f t="shared" si="220"/>
        <v>90级-防御套寄灵人の头盔</v>
      </c>
      <c r="FH193" s="14">
        <f t="shared" si="221"/>
        <v>1</v>
      </c>
      <c r="FI193" s="14">
        <f t="shared" si="222"/>
        <v>4</v>
      </c>
      <c r="FJ193" s="14">
        <f t="shared" si="223"/>
        <v>90</v>
      </c>
      <c r="FK193" s="14">
        <v>1</v>
      </c>
      <c r="FL193" s="14">
        <f t="shared" si="224"/>
        <v>5</v>
      </c>
      <c r="FM193" s="14">
        <f t="shared" si="240"/>
        <v>2</v>
      </c>
      <c r="FN193" s="14">
        <f t="shared" si="225"/>
        <v>200542</v>
      </c>
      <c r="FO193" s="14">
        <f t="shared" si="226"/>
        <v>135</v>
      </c>
      <c r="FP193" s="14">
        <f t="shared" si="241"/>
        <v>0</v>
      </c>
      <c r="FQ193" s="14">
        <f t="shared" si="242"/>
        <v>180</v>
      </c>
      <c r="FR193" s="14">
        <f t="shared" si="243"/>
        <v>0</v>
      </c>
      <c r="FS193" s="14">
        <f t="shared" si="244"/>
        <v>0</v>
      </c>
      <c r="FT193" s="14">
        <f t="shared" si="245"/>
        <v>9</v>
      </c>
      <c r="FU193" s="14">
        <f t="shared" si="246"/>
        <v>0</v>
      </c>
      <c r="FV193" s="14">
        <f t="shared" si="227"/>
        <v>1054</v>
      </c>
      <c r="FW193" s="14">
        <f t="shared" si="228"/>
        <v>4</v>
      </c>
      <c r="FX193" s="14">
        <f t="shared" si="229"/>
        <v>1054</v>
      </c>
      <c r="FY193" s="25" t="str">
        <f t="shared" si="247"/>
        <v>icon_2005422</v>
      </c>
      <c r="GC193" s="14">
        <f t="shared" si="230"/>
        <v>2</v>
      </c>
      <c r="GD193" s="14">
        <f t="shared" si="231"/>
        <v>0</v>
      </c>
      <c r="GE193" s="14">
        <f t="shared" si="248"/>
        <v>135</v>
      </c>
      <c r="GF193" s="14" t="str">
        <f t="shared" si="232"/>
        <v>DefExt</v>
      </c>
      <c r="GG193" s="14">
        <f t="shared" si="249"/>
        <v>180</v>
      </c>
      <c r="GH193" s="14">
        <f t="shared" si="250"/>
        <v>9</v>
      </c>
      <c r="GI193" s="14" t="str">
        <f t="shared" si="233"/>
        <v/>
      </c>
      <c r="GJ193" s="14" t="str">
        <f t="shared" si="251"/>
        <v/>
      </c>
      <c r="GK193" s="14" t="str">
        <f t="shared" si="252"/>
        <v/>
      </c>
      <c r="GL193" s="14">
        <f t="shared" si="234"/>
        <v>20540</v>
      </c>
      <c r="GM193" s="14">
        <f t="shared" si="253"/>
        <v>4</v>
      </c>
      <c r="GN193" s="14">
        <f t="shared" si="254"/>
        <v>1054</v>
      </c>
      <c r="GO193" s="25" t="s">
        <v>1471</v>
      </c>
      <c r="GP193" s="14">
        <f t="shared" si="235"/>
        <v>200</v>
      </c>
      <c r="HK193" s="13">
        <v>188</v>
      </c>
      <c r="HL193" s="14">
        <f t="shared" si="255"/>
        <v>8</v>
      </c>
      <c r="HM193" s="14">
        <f t="shared" si="256"/>
        <v>1</v>
      </c>
      <c r="HN193" s="14">
        <f t="shared" si="257"/>
        <v>8</v>
      </c>
      <c r="HO193" s="14">
        <f t="shared" si="258"/>
        <v>4</v>
      </c>
      <c r="HP193" s="14" t="str">
        <f t="shared" si="259"/>
        <v>120级寄灵人洗练-Q4-8</v>
      </c>
      <c r="HQ193" s="14">
        <f t="shared" si="260"/>
        <v>1084</v>
      </c>
      <c r="HR193" s="14">
        <f t="shared" si="261"/>
        <v>8</v>
      </c>
      <c r="HS193" s="14">
        <f t="shared" si="262"/>
        <v>500</v>
      </c>
      <c r="HT193" s="14" t="str">
        <f t="shared" si="263"/>
        <v>CritRate</v>
      </c>
      <c r="HU193" s="14">
        <f t="shared" si="264"/>
        <v>2.8000000000000001E-2</v>
      </c>
      <c r="HV193" s="14">
        <f t="shared" si="265"/>
        <v>0.08</v>
      </c>
    </row>
    <row r="194" spans="151:230" ht="16.5" x14ac:dyDescent="0.2">
      <c r="EU194" s="13">
        <v>189</v>
      </c>
      <c r="EV194" s="14">
        <f t="shared" si="236"/>
        <v>1</v>
      </c>
      <c r="EW194" s="14">
        <f t="shared" si="237"/>
        <v>189</v>
      </c>
      <c r="EX194" s="14">
        <f t="shared" si="238"/>
        <v>25</v>
      </c>
      <c r="EY194" s="14">
        <f t="shared" si="213"/>
        <v>42</v>
      </c>
      <c r="EZ194" s="14">
        <f t="shared" si="214"/>
        <v>5</v>
      </c>
      <c r="FA194" s="14">
        <f t="shared" si="215"/>
        <v>90</v>
      </c>
      <c r="FB194" s="14">
        <f t="shared" si="216"/>
        <v>4</v>
      </c>
      <c r="FC194" s="14">
        <f t="shared" si="217"/>
        <v>3</v>
      </c>
      <c r="FD194" s="14">
        <f t="shared" si="218"/>
        <v>3</v>
      </c>
      <c r="FE194" s="14" t="b">
        <f t="shared" si="239"/>
        <v>1</v>
      </c>
      <c r="FF194" s="14">
        <f t="shared" si="219"/>
        <v>2005423</v>
      </c>
      <c r="FG194" s="13" t="str">
        <f t="shared" si="220"/>
        <v>90级-防御套寄灵人の铠甲</v>
      </c>
      <c r="FH194" s="14">
        <f t="shared" si="221"/>
        <v>1</v>
      </c>
      <c r="FI194" s="14">
        <f t="shared" si="222"/>
        <v>4</v>
      </c>
      <c r="FJ194" s="14">
        <f t="shared" si="223"/>
        <v>90</v>
      </c>
      <c r="FK194" s="14">
        <v>1</v>
      </c>
      <c r="FL194" s="14">
        <f t="shared" si="224"/>
        <v>5</v>
      </c>
      <c r="FM194" s="14">
        <f t="shared" si="240"/>
        <v>3</v>
      </c>
      <c r="FN194" s="14">
        <f t="shared" si="225"/>
        <v>200542</v>
      </c>
      <c r="FO194" s="14">
        <f t="shared" si="226"/>
        <v>187</v>
      </c>
      <c r="FP194" s="14">
        <f t="shared" si="241"/>
        <v>0</v>
      </c>
      <c r="FQ194" s="14">
        <f t="shared" si="242"/>
        <v>90</v>
      </c>
      <c r="FR194" s="14">
        <f t="shared" si="243"/>
        <v>1440</v>
      </c>
      <c r="FS194" s="14">
        <f t="shared" si="244"/>
        <v>0</v>
      </c>
      <c r="FT194" s="14">
        <f t="shared" si="245"/>
        <v>5</v>
      </c>
      <c r="FU194" s="14">
        <f t="shared" si="246"/>
        <v>75</v>
      </c>
      <c r="FV194" s="14">
        <f t="shared" si="227"/>
        <v>1054</v>
      </c>
      <c r="FW194" s="14">
        <f t="shared" si="228"/>
        <v>4</v>
      </c>
      <c r="FX194" s="14">
        <f t="shared" si="229"/>
        <v>1054</v>
      </c>
      <c r="FY194" s="25" t="str">
        <f t="shared" si="247"/>
        <v>icon_2005423</v>
      </c>
      <c r="GC194" s="14">
        <f t="shared" si="230"/>
        <v>2</v>
      </c>
      <c r="GD194" s="14">
        <f t="shared" si="231"/>
        <v>3</v>
      </c>
      <c r="GE194" s="14">
        <f t="shared" si="248"/>
        <v>187</v>
      </c>
      <c r="GF194" s="14" t="str">
        <f t="shared" si="232"/>
        <v>DefExt</v>
      </c>
      <c r="GG194" s="14">
        <f t="shared" si="249"/>
        <v>90</v>
      </c>
      <c r="GH194" s="14">
        <f t="shared" si="250"/>
        <v>5</v>
      </c>
      <c r="GI194" s="14" t="str">
        <f t="shared" si="233"/>
        <v>HPExt</v>
      </c>
      <c r="GJ194" s="14">
        <f t="shared" si="251"/>
        <v>1440</v>
      </c>
      <c r="GK194" s="14">
        <f t="shared" si="252"/>
        <v>75</v>
      </c>
      <c r="GL194" s="14">
        <f t="shared" si="234"/>
        <v>20540</v>
      </c>
      <c r="GM194" s="14">
        <f t="shared" si="253"/>
        <v>4</v>
      </c>
      <c r="GN194" s="14">
        <f t="shared" si="254"/>
        <v>1054</v>
      </c>
      <c r="GO194" s="25" t="s">
        <v>1471</v>
      </c>
      <c r="GP194" s="14">
        <f t="shared" si="235"/>
        <v>200</v>
      </c>
      <c r="HK194" s="13">
        <v>189</v>
      </c>
      <c r="HL194" s="14">
        <f t="shared" si="255"/>
        <v>8</v>
      </c>
      <c r="HM194" s="14">
        <f t="shared" si="256"/>
        <v>1</v>
      </c>
      <c r="HN194" s="14">
        <f t="shared" si="257"/>
        <v>8</v>
      </c>
      <c r="HO194" s="14">
        <f t="shared" si="258"/>
        <v>4</v>
      </c>
      <c r="HP194" s="14" t="str">
        <f t="shared" si="259"/>
        <v>120级寄灵人洗练-Q4-9</v>
      </c>
      <c r="HQ194" s="14">
        <f t="shared" si="260"/>
        <v>1084</v>
      </c>
      <c r="HR194" s="14">
        <f t="shared" si="261"/>
        <v>9</v>
      </c>
      <c r="HS194" s="14">
        <f t="shared" si="262"/>
        <v>500</v>
      </c>
      <c r="HT194" s="14" t="str">
        <f t="shared" si="263"/>
        <v>DefIgnor</v>
      </c>
      <c r="HU194" s="14">
        <f t="shared" si="264"/>
        <v>1.0999999999999999E-2</v>
      </c>
      <c r="HV194" s="14">
        <f t="shared" si="265"/>
        <v>0.03</v>
      </c>
    </row>
    <row r="195" spans="151:230" ht="16.5" x14ac:dyDescent="0.2">
      <c r="EU195" s="13">
        <v>190</v>
      </c>
      <c r="EV195" s="14">
        <f t="shared" si="236"/>
        <v>1</v>
      </c>
      <c r="EW195" s="14">
        <f t="shared" si="237"/>
        <v>190</v>
      </c>
      <c r="EX195" s="14">
        <f t="shared" si="238"/>
        <v>25</v>
      </c>
      <c r="EY195" s="14">
        <f t="shared" si="213"/>
        <v>42</v>
      </c>
      <c r="EZ195" s="14">
        <f t="shared" si="214"/>
        <v>5</v>
      </c>
      <c r="FA195" s="14">
        <f t="shared" si="215"/>
        <v>90</v>
      </c>
      <c r="FB195" s="14">
        <f t="shared" si="216"/>
        <v>4</v>
      </c>
      <c r="FC195" s="14">
        <f t="shared" si="217"/>
        <v>4</v>
      </c>
      <c r="FD195" s="14">
        <f t="shared" si="218"/>
        <v>4</v>
      </c>
      <c r="FE195" s="14" t="b">
        <f t="shared" si="239"/>
        <v>1</v>
      </c>
      <c r="FF195" s="14">
        <f t="shared" si="219"/>
        <v>2005424</v>
      </c>
      <c r="FG195" s="13" t="str">
        <f t="shared" si="220"/>
        <v>90级-防御套寄灵人の裤子</v>
      </c>
      <c r="FH195" s="14">
        <f t="shared" si="221"/>
        <v>1</v>
      </c>
      <c r="FI195" s="14">
        <f t="shared" si="222"/>
        <v>4</v>
      </c>
      <c r="FJ195" s="14">
        <f t="shared" si="223"/>
        <v>90</v>
      </c>
      <c r="FK195" s="14">
        <v>1</v>
      </c>
      <c r="FL195" s="14">
        <f t="shared" si="224"/>
        <v>5</v>
      </c>
      <c r="FM195" s="14">
        <f t="shared" si="240"/>
        <v>4</v>
      </c>
      <c r="FN195" s="14">
        <f t="shared" si="225"/>
        <v>200542</v>
      </c>
      <c r="FO195" s="14">
        <f t="shared" si="226"/>
        <v>135</v>
      </c>
      <c r="FP195" s="14">
        <f t="shared" si="241"/>
        <v>0</v>
      </c>
      <c r="FQ195" s="14">
        <f t="shared" si="242"/>
        <v>180</v>
      </c>
      <c r="FR195" s="14">
        <f t="shared" si="243"/>
        <v>0</v>
      </c>
      <c r="FS195" s="14">
        <f t="shared" si="244"/>
        <v>0</v>
      </c>
      <c r="FT195" s="14">
        <f t="shared" si="245"/>
        <v>9</v>
      </c>
      <c r="FU195" s="14">
        <f t="shared" si="246"/>
        <v>0</v>
      </c>
      <c r="FV195" s="14">
        <f t="shared" si="227"/>
        <v>1054</v>
      </c>
      <c r="FW195" s="14">
        <f t="shared" si="228"/>
        <v>4</v>
      </c>
      <c r="FX195" s="14">
        <f t="shared" si="229"/>
        <v>1054</v>
      </c>
      <c r="FY195" s="25" t="str">
        <f t="shared" si="247"/>
        <v>icon_2005424</v>
      </c>
      <c r="GC195" s="14">
        <f t="shared" si="230"/>
        <v>2</v>
      </c>
      <c r="GD195" s="14">
        <f t="shared" si="231"/>
        <v>0</v>
      </c>
      <c r="GE195" s="14">
        <f t="shared" si="248"/>
        <v>135</v>
      </c>
      <c r="GF195" s="14" t="str">
        <f t="shared" si="232"/>
        <v>DefExt</v>
      </c>
      <c r="GG195" s="14">
        <f t="shared" si="249"/>
        <v>180</v>
      </c>
      <c r="GH195" s="14">
        <f t="shared" si="250"/>
        <v>9</v>
      </c>
      <c r="GI195" s="14" t="str">
        <f t="shared" si="233"/>
        <v/>
      </c>
      <c r="GJ195" s="14" t="str">
        <f t="shared" si="251"/>
        <v/>
      </c>
      <c r="GK195" s="14" t="str">
        <f t="shared" si="252"/>
        <v/>
      </c>
      <c r="GL195" s="14">
        <f t="shared" si="234"/>
        <v>20540</v>
      </c>
      <c r="GM195" s="14">
        <f t="shared" si="253"/>
        <v>4</v>
      </c>
      <c r="GN195" s="14">
        <f t="shared" si="254"/>
        <v>1054</v>
      </c>
      <c r="GO195" s="25" t="s">
        <v>1471</v>
      </c>
      <c r="GP195" s="14">
        <f t="shared" si="235"/>
        <v>200</v>
      </c>
      <c r="HK195" s="13">
        <v>190</v>
      </c>
      <c r="HL195" s="14">
        <f t="shared" si="255"/>
        <v>8</v>
      </c>
      <c r="HM195" s="14">
        <f t="shared" si="256"/>
        <v>1</v>
      </c>
      <c r="HN195" s="14">
        <f t="shared" si="257"/>
        <v>8</v>
      </c>
      <c r="HO195" s="14">
        <f t="shared" si="258"/>
        <v>4</v>
      </c>
      <c r="HP195" s="14" t="str">
        <f t="shared" si="259"/>
        <v>120级寄灵人洗练-Q4-10</v>
      </c>
      <c r="HQ195" s="14">
        <f t="shared" si="260"/>
        <v>1084</v>
      </c>
      <c r="HR195" s="14">
        <f t="shared" si="261"/>
        <v>10</v>
      </c>
      <c r="HS195" s="14">
        <f t="shared" si="262"/>
        <v>500</v>
      </c>
      <c r="HT195" s="14" t="str">
        <f t="shared" si="263"/>
        <v>Block</v>
      </c>
      <c r="HU195" s="14">
        <f t="shared" si="264"/>
        <v>1.0999999999999999E-2</v>
      </c>
      <c r="HV195" s="14">
        <f t="shared" si="265"/>
        <v>0.03</v>
      </c>
    </row>
    <row r="196" spans="151:230" ht="16.5" x14ac:dyDescent="0.2">
      <c r="EU196" s="13">
        <v>191</v>
      </c>
      <c r="EV196" s="14">
        <f t="shared" si="236"/>
        <v>1</v>
      </c>
      <c r="EW196" s="14">
        <f t="shared" si="237"/>
        <v>191</v>
      </c>
      <c r="EX196" s="14">
        <f t="shared" si="238"/>
        <v>25</v>
      </c>
      <c r="EY196" s="14">
        <f t="shared" si="213"/>
        <v>42</v>
      </c>
      <c r="EZ196" s="14">
        <f t="shared" si="214"/>
        <v>5</v>
      </c>
      <c r="FA196" s="14">
        <f t="shared" si="215"/>
        <v>90</v>
      </c>
      <c r="FB196" s="14">
        <f t="shared" si="216"/>
        <v>4</v>
      </c>
      <c r="FC196" s="14">
        <f t="shared" si="217"/>
        <v>5</v>
      </c>
      <c r="FD196" s="14">
        <f t="shared" si="218"/>
        <v>5</v>
      </c>
      <c r="FE196" s="14" t="b">
        <f t="shared" si="239"/>
        <v>1</v>
      </c>
      <c r="FF196" s="14">
        <f t="shared" si="219"/>
        <v>2005425</v>
      </c>
      <c r="FG196" s="13" t="str">
        <f t="shared" si="220"/>
        <v>90级-防御套寄灵人の鞋子</v>
      </c>
      <c r="FH196" s="14">
        <f t="shared" si="221"/>
        <v>1</v>
      </c>
      <c r="FI196" s="14">
        <f t="shared" si="222"/>
        <v>4</v>
      </c>
      <c r="FJ196" s="14">
        <f t="shared" si="223"/>
        <v>90</v>
      </c>
      <c r="FK196" s="14">
        <v>1</v>
      </c>
      <c r="FL196" s="14">
        <f t="shared" si="224"/>
        <v>5</v>
      </c>
      <c r="FM196" s="14">
        <f t="shared" si="240"/>
        <v>5</v>
      </c>
      <c r="FN196" s="14">
        <f t="shared" si="225"/>
        <v>200542</v>
      </c>
      <c r="FO196" s="14">
        <f t="shared" si="226"/>
        <v>226</v>
      </c>
      <c r="FP196" s="14">
        <f t="shared" si="241"/>
        <v>0</v>
      </c>
      <c r="FQ196" s="14">
        <f t="shared" si="242"/>
        <v>0</v>
      </c>
      <c r="FR196" s="14">
        <f t="shared" si="243"/>
        <v>2880</v>
      </c>
      <c r="FS196" s="14">
        <f t="shared" si="244"/>
        <v>0</v>
      </c>
      <c r="FT196" s="14">
        <f t="shared" si="245"/>
        <v>0</v>
      </c>
      <c r="FU196" s="14">
        <f t="shared" si="246"/>
        <v>151</v>
      </c>
      <c r="FV196" s="14">
        <f t="shared" si="227"/>
        <v>1054</v>
      </c>
      <c r="FW196" s="14">
        <f t="shared" si="228"/>
        <v>4</v>
      </c>
      <c r="FX196" s="14">
        <f t="shared" si="229"/>
        <v>1054</v>
      </c>
      <c r="FY196" s="25" t="str">
        <f t="shared" si="247"/>
        <v>icon_2005425</v>
      </c>
      <c r="GC196" s="14">
        <f t="shared" si="230"/>
        <v>3</v>
      </c>
      <c r="GD196" s="14">
        <f t="shared" si="231"/>
        <v>0</v>
      </c>
      <c r="GE196" s="14">
        <f t="shared" si="248"/>
        <v>226</v>
      </c>
      <c r="GF196" s="14" t="str">
        <f t="shared" si="232"/>
        <v>HPExt</v>
      </c>
      <c r="GG196" s="14">
        <f t="shared" si="249"/>
        <v>2880</v>
      </c>
      <c r="GH196" s="14">
        <f t="shared" si="250"/>
        <v>151</v>
      </c>
      <c r="GI196" s="14" t="str">
        <f t="shared" si="233"/>
        <v/>
      </c>
      <c r="GJ196" s="14" t="str">
        <f t="shared" si="251"/>
        <v/>
      </c>
      <c r="GK196" s="14" t="str">
        <f t="shared" si="252"/>
        <v/>
      </c>
      <c r="GL196" s="14">
        <f t="shared" si="234"/>
        <v>20540</v>
      </c>
      <c r="GM196" s="14">
        <f t="shared" si="253"/>
        <v>4</v>
      </c>
      <c r="GN196" s="14">
        <f t="shared" si="254"/>
        <v>1054</v>
      </c>
      <c r="GO196" s="25" t="s">
        <v>1471</v>
      </c>
      <c r="GP196" s="14">
        <f t="shared" si="235"/>
        <v>200</v>
      </c>
      <c r="HK196" s="13">
        <v>191</v>
      </c>
      <c r="HL196" s="14">
        <f t="shared" si="255"/>
        <v>8</v>
      </c>
      <c r="HM196" s="14">
        <f t="shared" si="256"/>
        <v>1</v>
      </c>
      <c r="HN196" s="14">
        <f t="shared" si="257"/>
        <v>8</v>
      </c>
      <c r="HO196" s="14">
        <f t="shared" si="258"/>
        <v>4</v>
      </c>
      <c r="HP196" s="14" t="str">
        <f t="shared" si="259"/>
        <v>120级寄灵人洗练-Q4-11</v>
      </c>
      <c r="HQ196" s="14">
        <f t="shared" si="260"/>
        <v>1084</v>
      </c>
      <c r="HR196" s="14">
        <f t="shared" si="261"/>
        <v>11</v>
      </c>
      <c r="HS196" s="14">
        <f t="shared" si="262"/>
        <v>500</v>
      </c>
      <c r="HT196" s="14" t="str">
        <f t="shared" si="263"/>
        <v>EffectHit</v>
      </c>
      <c r="HU196" s="14">
        <f t="shared" si="264"/>
        <v>1.7999999999999999E-2</v>
      </c>
      <c r="HV196" s="14">
        <f t="shared" si="265"/>
        <v>0.05</v>
      </c>
    </row>
    <row r="197" spans="151:230" ht="16.5" x14ac:dyDescent="0.2">
      <c r="EU197" s="13">
        <v>192</v>
      </c>
      <c r="EV197" s="14">
        <f t="shared" si="236"/>
        <v>1</v>
      </c>
      <c r="EW197" s="14">
        <f t="shared" si="237"/>
        <v>192</v>
      </c>
      <c r="EX197" s="14">
        <f t="shared" si="238"/>
        <v>25</v>
      </c>
      <c r="EY197" s="14">
        <f t="shared" si="213"/>
        <v>42</v>
      </c>
      <c r="EZ197" s="14">
        <f t="shared" si="214"/>
        <v>5</v>
      </c>
      <c r="FA197" s="14">
        <f t="shared" si="215"/>
        <v>90</v>
      </c>
      <c r="FB197" s="14">
        <f t="shared" si="216"/>
        <v>4</v>
      </c>
      <c r="FC197" s="14">
        <f t="shared" si="217"/>
        <v>6</v>
      </c>
      <c r="FD197" s="14">
        <f t="shared" si="218"/>
        <v>6</v>
      </c>
      <c r="FE197" s="14" t="b">
        <f t="shared" si="239"/>
        <v>1</v>
      </c>
      <c r="FF197" s="14">
        <f t="shared" si="219"/>
        <v>2005426</v>
      </c>
      <c r="FG197" s="13" t="str">
        <f t="shared" si="220"/>
        <v>90级-防御套寄灵人の护手</v>
      </c>
      <c r="FH197" s="14">
        <f t="shared" si="221"/>
        <v>1</v>
      </c>
      <c r="FI197" s="14">
        <f t="shared" si="222"/>
        <v>4</v>
      </c>
      <c r="FJ197" s="14">
        <f t="shared" si="223"/>
        <v>90</v>
      </c>
      <c r="FK197" s="14">
        <v>1</v>
      </c>
      <c r="FL197" s="14">
        <f t="shared" si="224"/>
        <v>5</v>
      </c>
      <c r="FM197" s="14">
        <f t="shared" si="240"/>
        <v>6</v>
      </c>
      <c r="FN197" s="14">
        <f t="shared" si="225"/>
        <v>200542</v>
      </c>
      <c r="FO197" s="14">
        <f t="shared" si="226"/>
        <v>226</v>
      </c>
      <c r="FP197" s="14">
        <f t="shared" si="241"/>
        <v>0</v>
      </c>
      <c r="FQ197" s="14">
        <f t="shared" si="242"/>
        <v>0</v>
      </c>
      <c r="FR197" s="14">
        <f t="shared" si="243"/>
        <v>2880</v>
      </c>
      <c r="FS197" s="14">
        <f t="shared" si="244"/>
        <v>0</v>
      </c>
      <c r="FT197" s="14">
        <f t="shared" si="245"/>
        <v>0</v>
      </c>
      <c r="FU197" s="14">
        <f t="shared" si="246"/>
        <v>151</v>
      </c>
      <c r="FV197" s="14">
        <f t="shared" si="227"/>
        <v>1054</v>
      </c>
      <c r="FW197" s="14">
        <f t="shared" si="228"/>
        <v>4</v>
      </c>
      <c r="FX197" s="14">
        <f t="shared" si="229"/>
        <v>1054</v>
      </c>
      <c r="FY197" s="25" t="str">
        <f t="shared" si="247"/>
        <v>icon_2005426</v>
      </c>
      <c r="GC197" s="14">
        <f t="shared" si="230"/>
        <v>3</v>
      </c>
      <c r="GD197" s="14">
        <f t="shared" si="231"/>
        <v>0</v>
      </c>
      <c r="GE197" s="14">
        <f t="shared" si="248"/>
        <v>226</v>
      </c>
      <c r="GF197" s="14" t="str">
        <f t="shared" si="232"/>
        <v>HPExt</v>
      </c>
      <c r="GG197" s="14">
        <f t="shared" si="249"/>
        <v>2880</v>
      </c>
      <c r="GH197" s="14">
        <f t="shared" si="250"/>
        <v>151</v>
      </c>
      <c r="GI197" s="14" t="str">
        <f t="shared" si="233"/>
        <v/>
      </c>
      <c r="GJ197" s="14" t="str">
        <f t="shared" si="251"/>
        <v/>
      </c>
      <c r="GK197" s="14" t="str">
        <f t="shared" si="252"/>
        <v/>
      </c>
      <c r="GL197" s="14">
        <f t="shared" si="234"/>
        <v>20540</v>
      </c>
      <c r="GM197" s="14">
        <f t="shared" si="253"/>
        <v>4</v>
      </c>
      <c r="GN197" s="14">
        <f t="shared" si="254"/>
        <v>1054</v>
      </c>
      <c r="GO197" s="25" t="s">
        <v>1471</v>
      </c>
      <c r="GP197" s="14">
        <f t="shared" si="235"/>
        <v>200</v>
      </c>
      <c r="HK197" s="13">
        <v>192</v>
      </c>
      <c r="HL197" s="14">
        <f t="shared" si="255"/>
        <v>8</v>
      </c>
      <c r="HM197" s="14">
        <f t="shared" si="256"/>
        <v>1</v>
      </c>
      <c r="HN197" s="14">
        <f t="shared" si="257"/>
        <v>8</v>
      </c>
      <c r="HO197" s="14">
        <f t="shared" si="258"/>
        <v>4</v>
      </c>
      <c r="HP197" s="14" t="str">
        <f t="shared" si="259"/>
        <v>120级寄灵人洗练-Q4-12</v>
      </c>
      <c r="HQ197" s="14">
        <f t="shared" si="260"/>
        <v>1084</v>
      </c>
      <c r="HR197" s="14">
        <f t="shared" si="261"/>
        <v>12</v>
      </c>
      <c r="HS197" s="14">
        <f t="shared" si="262"/>
        <v>500</v>
      </c>
      <c r="HT197" s="14" t="str">
        <f t="shared" si="263"/>
        <v>EffectResist</v>
      </c>
      <c r="HU197" s="14">
        <f t="shared" si="264"/>
        <v>1.7999999999999999E-2</v>
      </c>
      <c r="HV197" s="14">
        <f t="shared" si="265"/>
        <v>0.05</v>
      </c>
    </row>
    <row r="198" spans="151:230" ht="16.5" x14ac:dyDescent="0.2">
      <c r="EU198" s="13">
        <v>193</v>
      </c>
      <c r="EV198" s="14">
        <f t="shared" si="236"/>
        <v>1</v>
      </c>
      <c r="EW198" s="14">
        <f t="shared" si="237"/>
        <v>193</v>
      </c>
      <c r="EX198" s="14">
        <f t="shared" si="238"/>
        <v>26</v>
      </c>
      <c r="EY198" s="14">
        <f t="shared" ref="EY198:EY261" si="266">INDEX($AK$7:$AK$64,EX198)</f>
        <v>43</v>
      </c>
      <c r="EZ198" s="14">
        <f t="shared" ref="EZ198:EZ261" si="267">(EV198-1)*$EX$3+FL198</f>
        <v>5</v>
      </c>
      <c r="FA198" s="14">
        <f t="shared" ref="FA198:FA261" si="268">INDEX(AI$7:AI$64,$EX198)</f>
        <v>90</v>
      </c>
      <c r="FB198" s="14">
        <f t="shared" ref="FB198:FB261" si="269">INDEX(AJ$7:AJ$64,$EX198)</f>
        <v>4</v>
      </c>
      <c r="FC198" s="14">
        <f t="shared" ref="FC198:FC261" si="270">EW198-INDEX($AQ$6:$AQ$64,EX198)</f>
        <v>1</v>
      </c>
      <c r="FD198" s="14">
        <f t="shared" ref="FD198:FD261" si="271">INDEX($AR$7:$AY$64,EX198,EW198-INDEX($AQ$6:$AQ$64,EX198))</f>
        <v>1</v>
      </c>
      <c r="FE198" s="14" t="b">
        <f t="shared" si="239"/>
        <v>1</v>
      </c>
      <c r="FF198" s="14">
        <f t="shared" ref="FF198:FF261" si="272">INDEX($AN$7:$AN$64,EX198)*10+FD198+(EV198-1)*100000+2000000</f>
        <v>2005431</v>
      </c>
      <c r="FG198" s="13" t="str">
        <f t="shared" ref="FG198:FG261" si="273">INDEX($AL$7:$AL$64,EX198)&amp;"-"&amp;INDEX($AM$7:$AM$64,EX198)&amp;INDEX($BC$6:$BC$7,EV198)&amp;INDEX($AR$3:$AY$3,FD198)</f>
        <v>90级-绝世套寄灵人の灵器</v>
      </c>
      <c r="FH198" s="14">
        <f t="shared" ref="FH198:FH261" si="274">EV198</f>
        <v>1</v>
      </c>
      <c r="FI198" s="14">
        <f t="shared" ref="FI198:FI261" si="275">INDEX($AJ$7:$AJ$64,EX198)</f>
        <v>4</v>
      </c>
      <c r="FJ198" s="14">
        <f t="shared" ref="FJ198:FJ261" si="276">INDEX($AI$7:$AI$64,EX198)</f>
        <v>90</v>
      </c>
      <c r="FK198" s="14">
        <v>1</v>
      </c>
      <c r="FL198" s="14">
        <f t="shared" ref="FL198:FL261" si="277">INDEX(AH$7:AH$64,$EX198)</f>
        <v>5</v>
      </c>
      <c r="FM198" s="14">
        <f t="shared" si="240"/>
        <v>1</v>
      </c>
      <c r="FN198" s="14">
        <f t="shared" ref="FN198:FN261" si="278">IF(INDEX($AO$7:$AO$64,EX198)&gt;0,INDEX($AO$7:$AO$64,EX198) + (EV198-1)*10000+200000,"")</f>
        <v>200543</v>
      </c>
      <c r="FO198" s="14">
        <f t="shared" ref="FO198:FO261" si="279">INT(SUMPRODUCT($FS$3:$FU$3,FS198:FU198)*IF(FN198="",1,1.5))</f>
        <v>277</v>
      </c>
      <c r="FP198" s="14">
        <f t="shared" si="241"/>
        <v>710</v>
      </c>
      <c r="FQ198" s="14">
        <f t="shared" si="242"/>
        <v>0</v>
      </c>
      <c r="FR198" s="14">
        <f t="shared" si="243"/>
        <v>0</v>
      </c>
      <c r="FS198" s="14">
        <f t="shared" si="244"/>
        <v>37</v>
      </c>
      <c r="FT198" s="14">
        <f t="shared" si="245"/>
        <v>0</v>
      </c>
      <c r="FU198" s="14">
        <f t="shared" si="246"/>
        <v>0</v>
      </c>
      <c r="FV198" s="14">
        <f t="shared" ref="FV198:FV261" si="280">FL198*10+FB198+EV198*1000</f>
        <v>1054</v>
      </c>
      <c r="FW198" s="14">
        <f t="shared" ref="FW198:FW261" si="281">INDEX($V$17:$Y$27,FL198,FB198)</f>
        <v>4</v>
      </c>
      <c r="FX198" s="14">
        <f t="shared" ref="FX198:FX261" si="282">IF(FB198&gt;2,FL198*10+FB198+EV198*1000,"")</f>
        <v>1054</v>
      </c>
      <c r="FY198" s="25" t="str">
        <f t="shared" si="247"/>
        <v>icon_2005431</v>
      </c>
      <c r="GC198" s="14">
        <f t="shared" ref="GC198:GC261" si="283">INDEX(BL$6:BL$13,$FM198)</f>
        <v>1</v>
      </c>
      <c r="GD198" s="14">
        <f t="shared" ref="GD198:GD261" si="284">INDEX(BM$6:BM$13,$FM198)</f>
        <v>0</v>
      </c>
      <c r="GE198" s="14">
        <f t="shared" si="248"/>
        <v>277</v>
      </c>
      <c r="GF198" s="14" t="str">
        <f t="shared" ref="GF198:GF261" si="285">INDEX($BH$3:$BJ$3,GC198)</f>
        <v>AtkExt</v>
      </c>
      <c r="GG198" s="14">
        <f t="shared" si="249"/>
        <v>710</v>
      </c>
      <c r="GH198" s="14">
        <f t="shared" si="250"/>
        <v>37</v>
      </c>
      <c r="GI198" s="14" t="str">
        <f t="shared" ref="GI198:GI261" si="286">IF(GD198&gt;0,INDEX($BH$3:$BJ$3,GD198),"")</f>
        <v/>
      </c>
      <c r="GJ198" s="14" t="str">
        <f t="shared" si="251"/>
        <v/>
      </c>
      <c r="GK198" s="14" t="str">
        <f t="shared" si="252"/>
        <v/>
      </c>
      <c r="GL198" s="14">
        <f t="shared" ref="GL198:GL261" si="287">20000+FL198*100+FB198*10</f>
        <v>20540</v>
      </c>
      <c r="GM198" s="14">
        <f t="shared" si="253"/>
        <v>4</v>
      </c>
      <c r="GN198" s="14">
        <f t="shared" si="254"/>
        <v>1054</v>
      </c>
      <c r="GO198" s="25" t="s">
        <v>1471</v>
      </c>
      <c r="GP198" s="14">
        <f t="shared" ref="GP198:GP261" si="288">ROUND(INDEX($AA$17:$AD$27,FL198,FB198)*INDEX($BK$6:$BK$13,FM198),0)</f>
        <v>400</v>
      </c>
      <c r="HK198" s="13">
        <v>193</v>
      </c>
      <c r="HL198" s="14">
        <f t="shared" si="255"/>
        <v>9</v>
      </c>
      <c r="HM198" s="14">
        <f t="shared" si="256"/>
        <v>1</v>
      </c>
      <c r="HN198" s="14">
        <f t="shared" si="257"/>
        <v>9</v>
      </c>
      <c r="HO198" s="14">
        <f t="shared" si="258"/>
        <v>3</v>
      </c>
      <c r="HP198" s="14" t="str">
        <f t="shared" si="259"/>
        <v>130级寄灵人洗练-Q3-1</v>
      </c>
      <c r="HQ198" s="14">
        <f t="shared" si="260"/>
        <v>1093</v>
      </c>
      <c r="HR198" s="14">
        <f t="shared" si="261"/>
        <v>1</v>
      </c>
      <c r="HS198" s="14">
        <f t="shared" si="262"/>
        <v>1800</v>
      </c>
      <c r="HT198" s="14" t="str">
        <f t="shared" si="263"/>
        <v>AtkExt</v>
      </c>
      <c r="HU198" s="14">
        <f t="shared" si="264"/>
        <v>318</v>
      </c>
      <c r="HV198" s="14">
        <f t="shared" si="265"/>
        <v>910</v>
      </c>
    </row>
    <row r="199" spans="151:230" ht="16.5" x14ac:dyDescent="0.2">
      <c r="EU199" s="13">
        <v>194</v>
      </c>
      <c r="EV199" s="14">
        <f t="shared" ref="EV199:EV262" si="289">IF(EU199&lt;=$EV$3,1,2)</f>
        <v>1</v>
      </c>
      <c r="EW199" s="14">
        <f t="shared" ref="EW199:EW262" si="290">MOD(EU199-1,$EV$3)+1</f>
        <v>194</v>
      </c>
      <c r="EX199" s="14">
        <f t="shared" ref="EX199:EX262" si="291">MATCH(EW199-1,$AQ$6:$AQ$64,1)</f>
        <v>26</v>
      </c>
      <c r="EY199" s="14">
        <f t="shared" si="266"/>
        <v>43</v>
      </c>
      <c r="EZ199" s="14">
        <f t="shared" si="267"/>
        <v>5</v>
      </c>
      <c r="FA199" s="14">
        <f t="shared" si="268"/>
        <v>90</v>
      </c>
      <c r="FB199" s="14">
        <f t="shared" si="269"/>
        <v>4</v>
      </c>
      <c r="FC199" s="14">
        <f t="shared" si="270"/>
        <v>2</v>
      </c>
      <c r="FD199" s="14">
        <f t="shared" si="271"/>
        <v>2</v>
      </c>
      <c r="FE199" s="14" t="b">
        <f t="shared" ref="FE199:FE262" si="292">IF(FN199="",FALSE,TRUE)</f>
        <v>1</v>
      </c>
      <c r="FF199" s="14">
        <f t="shared" si="272"/>
        <v>2005432</v>
      </c>
      <c r="FG199" s="13" t="str">
        <f t="shared" si="273"/>
        <v>90级-绝世套寄灵人の头盔</v>
      </c>
      <c r="FH199" s="14">
        <f t="shared" si="274"/>
        <v>1</v>
      </c>
      <c r="FI199" s="14">
        <f t="shared" si="275"/>
        <v>4</v>
      </c>
      <c r="FJ199" s="14">
        <f t="shared" si="276"/>
        <v>90</v>
      </c>
      <c r="FK199" s="14">
        <v>1</v>
      </c>
      <c r="FL199" s="14">
        <f t="shared" si="277"/>
        <v>5</v>
      </c>
      <c r="FM199" s="14">
        <f t="shared" ref="FM199:FM262" si="293">FD199</f>
        <v>2</v>
      </c>
      <c r="FN199" s="14">
        <f t="shared" si="278"/>
        <v>200543</v>
      </c>
      <c r="FO199" s="14">
        <f t="shared" si="279"/>
        <v>135</v>
      </c>
      <c r="FP199" s="14">
        <f t="shared" ref="FP199:FP262" si="294">ROUND(INDEX(M$6:M$27,$EZ199)*INDEX(BH$6:BH$13,$FD199)*INDEX($BR$6:$BR$9,FI199)/5,0)*5</f>
        <v>0</v>
      </c>
      <c r="FQ199" s="14">
        <f t="shared" ref="FQ199:FQ262" si="295">ROUND(INDEX(N$6:N$27,$EZ199)*INDEX(BI$6:BI$13,$FD199)*INDEX($BR$6:$BR$9,FI199)/5,0)*5</f>
        <v>180</v>
      </c>
      <c r="FR199" s="14">
        <f t="shared" ref="FR199:FR262" si="296">ROUND(INDEX(O$6:O$27,$EZ199)*INDEX(BJ$6:BJ$13,$FD199)*INDEX($BR$6:$BR$9,FI199)/5,0)*5</f>
        <v>0</v>
      </c>
      <c r="FS199" s="14">
        <f t="shared" ref="FS199:FS262" si="297">ROUND(INDEX(S$6:S$27,$EZ199)*INDEX(BH$6:BH$13,$FD199)*INDEX($BR$6:$BR$9,FI199),0)</f>
        <v>0</v>
      </c>
      <c r="FT199" s="14">
        <f t="shared" ref="FT199:FT262" si="298">ROUND(INDEX(T$6:T$27,$EZ199)*INDEX(BI$6:BI$13,$FD199)*INDEX($BR$6:$BR$9,FI199),0)</f>
        <v>9</v>
      </c>
      <c r="FU199" s="14">
        <f t="shared" ref="FU199:FU262" si="299">ROUND(INDEX(U$6:U$27,$EZ199)*INDEX(BJ$6:BJ$13,$FD199)*INDEX($BR$6:$BR$9,FI199),0)</f>
        <v>0</v>
      </c>
      <c r="FV199" s="14">
        <f t="shared" si="280"/>
        <v>1054</v>
      </c>
      <c r="FW199" s="14">
        <f t="shared" si="281"/>
        <v>4</v>
      </c>
      <c r="FX199" s="14">
        <f t="shared" si="282"/>
        <v>1054</v>
      </c>
      <c r="FY199" s="25" t="str">
        <f t="shared" ref="FY199:FY262" si="300">IF(FE199,"icon_"&amp;FF199,FY$2&amp;INDEX($ES$6:$ES$7,EV199)*100000+FL199*1000+100+FD199)</f>
        <v>icon_2005432</v>
      </c>
      <c r="GC199" s="14">
        <f t="shared" si="283"/>
        <v>2</v>
      </c>
      <c r="GD199" s="14">
        <f t="shared" si="284"/>
        <v>0</v>
      </c>
      <c r="GE199" s="14">
        <f t="shared" ref="GE199:GE262" si="301">FO199</f>
        <v>135</v>
      </c>
      <c r="GF199" s="14" t="str">
        <f t="shared" si="285"/>
        <v>DefExt</v>
      </c>
      <c r="GG199" s="14">
        <f t="shared" ref="GG199:GG262" si="302">INDEX(FP199:FR199,GC199)</f>
        <v>180</v>
      </c>
      <c r="GH199" s="14">
        <f t="shared" ref="GH199:GH262" si="303">INDEX(FS199:FU199,GC199)</f>
        <v>9</v>
      </c>
      <c r="GI199" s="14" t="str">
        <f t="shared" si="286"/>
        <v/>
      </c>
      <c r="GJ199" s="14" t="str">
        <f t="shared" ref="GJ199:GJ262" si="304">IF(GD199&gt;0,INDEX(FP199:FR199,GD199),"")</f>
        <v/>
      </c>
      <c r="GK199" s="14" t="str">
        <f t="shared" ref="GK199:GK262" si="305">IF(GD199&gt;0,INDEX(FS199:FU199,GD199),"")</f>
        <v/>
      </c>
      <c r="GL199" s="14">
        <f t="shared" si="287"/>
        <v>20540</v>
      </c>
      <c r="GM199" s="14">
        <f t="shared" ref="GM199:GM262" si="306">FW199</f>
        <v>4</v>
      </c>
      <c r="GN199" s="14">
        <f t="shared" ref="GN199:GN262" si="307">FX199</f>
        <v>1054</v>
      </c>
      <c r="GO199" s="25" t="s">
        <v>1471</v>
      </c>
      <c r="GP199" s="14">
        <f t="shared" si="288"/>
        <v>200</v>
      </c>
      <c r="HK199" s="13">
        <v>194</v>
      </c>
      <c r="HL199" s="14">
        <f t="shared" ref="HL199:HL262" si="308">INT((HK199-1)/24)+1</f>
        <v>9</v>
      </c>
      <c r="HM199" s="14">
        <f t="shared" ref="HM199:HM262" si="309">IF(HL199&gt;11,2,1)</f>
        <v>1</v>
      </c>
      <c r="HN199" s="14">
        <f t="shared" ref="HN199:HN262" si="310">HL199-(HM199-1)*11</f>
        <v>9</v>
      </c>
      <c r="HO199" s="14">
        <f t="shared" ref="HO199:HO262" si="311">IF(MOD(HK199-1,24)&gt;=12,4,3)</f>
        <v>3</v>
      </c>
      <c r="HP199" s="14" t="str">
        <f t="shared" ref="HP199:HP262" si="312">INDEX($DU$6:$DU$27,HL199)&amp;"洗练-Q"&amp;HO199&amp;"-"&amp;HR199</f>
        <v>130级寄灵人洗练-Q3-2</v>
      </c>
      <c r="HQ199" s="14">
        <f t="shared" ref="HQ199:HQ262" si="313">HM199*1000+HN199*10+HO199</f>
        <v>1093</v>
      </c>
      <c r="HR199" s="14">
        <f t="shared" ref="HR199:HR262" si="314">MOD(HK199-1,12)+1</f>
        <v>2</v>
      </c>
      <c r="HS199" s="14">
        <f t="shared" ref="HS199:HS262" si="315">INDEX($DY$3:$EJ$3,HR199)</f>
        <v>1800</v>
      </c>
      <c r="HT199" s="14" t="str">
        <f t="shared" ref="HT199:HT262" si="316">INDEX($DY$4:$EJ$4,HR199)</f>
        <v>DefExt</v>
      </c>
      <c r="HU199" s="14">
        <f t="shared" ref="HU199:HU262" si="317">IF(HV199&gt;1,INT(HV199*0.35),ROUND(HV199*0.35,3))</f>
        <v>116</v>
      </c>
      <c r="HV199" s="14">
        <f t="shared" ref="HV199:HV262" si="318">INDEX($DY$6:$EJ$27,HL199,HR199)</f>
        <v>332</v>
      </c>
    </row>
    <row r="200" spans="151:230" ht="16.5" x14ac:dyDescent="0.2">
      <c r="EU200" s="13">
        <v>195</v>
      </c>
      <c r="EV200" s="14">
        <f t="shared" si="289"/>
        <v>1</v>
      </c>
      <c r="EW200" s="14">
        <f t="shared" si="290"/>
        <v>195</v>
      </c>
      <c r="EX200" s="14">
        <f t="shared" si="291"/>
        <v>26</v>
      </c>
      <c r="EY200" s="14">
        <f t="shared" si="266"/>
        <v>43</v>
      </c>
      <c r="EZ200" s="14">
        <f t="shared" si="267"/>
        <v>5</v>
      </c>
      <c r="FA200" s="14">
        <f t="shared" si="268"/>
        <v>90</v>
      </c>
      <c r="FB200" s="14">
        <f t="shared" si="269"/>
        <v>4</v>
      </c>
      <c r="FC200" s="14">
        <f t="shared" si="270"/>
        <v>3</v>
      </c>
      <c r="FD200" s="14">
        <f t="shared" si="271"/>
        <v>3</v>
      </c>
      <c r="FE200" s="14" t="b">
        <f t="shared" si="292"/>
        <v>1</v>
      </c>
      <c r="FF200" s="14">
        <f t="shared" si="272"/>
        <v>2005433</v>
      </c>
      <c r="FG200" s="13" t="str">
        <f t="shared" si="273"/>
        <v>90级-绝世套寄灵人の铠甲</v>
      </c>
      <c r="FH200" s="14">
        <f t="shared" si="274"/>
        <v>1</v>
      </c>
      <c r="FI200" s="14">
        <f t="shared" si="275"/>
        <v>4</v>
      </c>
      <c r="FJ200" s="14">
        <f t="shared" si="276"/>
        <v>90</v>
      </c>
      <c r="FK200" s="14">
        <v>1</v>
      </c>
      <c r="FL200" s="14">
        <f t="shared" si="277"/>
        <v>5</v>
      </c>
      <c r="FM200" s="14">
        <f t="shared" si="293"/>
        <v>3</v>
      </c>
      <c r="FN200" s="14">
        <f t="shared" si="278"/>
        <v>200543</v>
      </c>
      <c r="FO200" s="14">
        <f t="shared" si="279"/>
        <v>187</v>
      </c>
      <c r="FP200" s="14">
        <f t="shared" si="294"/>
        <v>0</v>
      </c>
      <c r="FQ200" s="14">
        <f t="shared" si="295"/>
        <v>90</v>
      </c>
      <c r="FR200" s="14">
        <f t="shared" si="296"/>
        <v>1440</v>
      </c>
      <c r="FS200" s="14">
        <f t="shared" si="297"/>
        <v>0</v>
      </c>
      <c r="FT200" s="14">
        <f t="shared" si="298"/>
        <v>5</v>
      </c>
      <c r="FU200" s="14">
        <f t="shared" si="299"/>
        <v>75</v>
      </c>
      <c r="FV200" s="14">
        <f t="shared" si="280"/>
        <v>1054</v>
      </c>
      <c r="FW200" s="14">
        <f t="shared" si="281"/>
        <v>4</v>
      </c>
      <c r="FX200" s="14">
        <f t="shared" si="282"/>
        <v>1054</v>
      </c>
      <c r="FY200" s="25" t="str">
        <f t="shared" si="300"/>
        <v>icon_2005433</v>
      </c>
      <c r="GC200" s="14">
        <f t="shared" si="283"/>
        <v>2</v>
      </c>
      <c r="GD200" s="14">
        <f t="shared" si="284"/>
        <v>3</v>
      </c>
      <c r="GE200" s="14">
        <f t="shared" si="301"/>
        <v>187</v>
      </c>
      <c r="GF200" s="14" t="str">
        <f t="shared" si="285"/>
        <v>DefExt</v>
      </c>
      <c r="GG200" s="14">
        <f t="shared" si="302"/>
        <v>90</v>
      </c>
      <c r="GH200" s="14">
        <f t="shared" si="303"/>
        <v>5</v>
      </c>
      <c r="GI200" s="14" t="str">
        <f t="shared" si="286"/>
        <v>HPExt</v>
      </c>
      <c r="GJ200" s="14">
        <f t="shared" si="304"/>
        <v>1440</v>
      </c>
      <c r="GK200" s="14">
        <f t="shared" si="305"/>
        <v>75</v>
      </c>
      <c r="GL200" s="14">
        <f t="shared" si="287"/>
        <v>20540</v>
      </c>
      <c r="GM200" s="14">
        <f t="shared" si="306"/>
        <v>4</v>
      </c>
      <c r="GN200" s="14">
        <f t="shared" si="307"/>
        <v>1054</v>
      </c>
      <c r="GO200" s="25" t="s">
        <v>1471</v>
      </c>
      <c r="GP200" s="14">
        <f t="shared" si="288"/>
        <v>200</v>
      </c>
      <c r="HK200" s="13">
        <v>195</v>
      </c>
      <c r="HL200" s="14">
        <f t="shared" si="308"/>
        <v>9</v>
      </c>
      <c r="HM200" s="14">
        <f t="shared" si="309"/>
        <v>1</v>
      </c>
      <c r="HN200" s="14">
        <f t="shared" si="310"/>
        <v>9</v>
      </c>
      <c r="HO200" s="14">
        <f t="shared" si="311"/>
        <v>3</v>
      </c>
      <c r="HP200" s="14" t="str">
        <f t="shared" si="312"/>
        <v>130级寄灵人洗练-Q3-3</v>
      </c>
      <c r="HQ200" s="14">
        <f t="shared" si="313"/>
        <v>1093</v>
      </c>
      <c r="HR200" s="14">
        <f t="shared" si="314"/>
        <v>3</v>
      </c>
      <c r="HS200" s="14">
        <f t="shared" si="315"/>
        <v>2000</v>
      </c>
      <c r="HT200" s="14" t="str">
        <f t="shared" si="316"/>
        <v>HPExt</v>
      </c>
      <c r="HU200" s="14">
        <f t="shared" si="317"/>
        <v>2834</v>
      </c>
      <c r="HV200" s="14">
        <f t="shared" si="318"/>
        <v>8099</v>
      </c>
    </row>
    <row r="201" spans="151:230" ht="16.5" x14ac:dyDescent="0.2">
      <c r="EU201" s="13">
        <v>196</v>
      </c>
      <c r="EV201" s="14">
        <f t="shared" si="289"/>
        <v>1</v>
      </c>
      <c r="EW201" s="14">
        <f t="shared" si="290"/>
        <v>196</v>
      </c>
      <c r="EX201" s="14">
        <f t="shared" si="291"/>
        <v>26</v>
      </c>
      <c r="EY201" s="14">
        <f t="shared" si="266"/>
        <v>43</v>
      </c>
      <c r="EZ201" s="14">
        <f t="shared" si="267"/>
        <v>5</v>
      </c>
      <c r="FA201" s="14">
        <f t="shared" si="268"/>
        <v>90</v>
      </c>
      <c r="FB201" s="14">
        <f t="shared" si="269"/>
        <v>4</v>
      </c>
      <c r="FC201" s="14">
        <f t="shared" si="270"/>
        <v>4</v>
      </c>
      <c r="FD201" s="14">
        <f t="shared" si="271"/>
        <v>4</v>
      </c>
      <c r="FE201" s="14" t="b">
        <f t="shared" si="292"/>
        <v>1</v>
      </c>
      <c r="FF201" s="14">
        <f t="shared" si="272"/>
        <v>2005434</v>
      </c>
      <c r="FG201" s="13" t="str">
        <f t="shared" si="273"/>
        <v>90级-绝世套寄灵人の裤子</v>
      </c>
      <c r="FH201" s="14">
        <f t="shared" si="274"/>
        <v>1</v>
      </c>
      <c r="FI201" s="14">
        <f t="shared" si="275"/>
        <v>4</v>
      </c>
      <c r="FJ201" s="14">
        <f t="shared" si="276"/>
        <v>90</v>
      </c>
      <c r="FK201" s="14">
        <v>1</v>
      </c>
      <c r="FL201" s="14">
        <f t="shared" si="277"/>
        <v>5</v>
      </c>
      <c r="FM201" s="14">
        <f t="shared" si="293"/>
        <v>4</v>
      </c>
      <c r="FN201" s="14">
        <f t="shared" si="278"/>
        <v>200543</v>
      </c>
      <c r="FO201" s="14">
        <f t="shared" si="279"/>
        <v>135</v>
      </c>
      <c r="FP201" s="14">
        <f t="shared" si="294"/>
        <v>0</v>
      </c>
      <c r="FQ201" s="14">
        <f t="shared" si="295"/>
        <v>180</v>
      </c>
      <c r="FR201" s="14">
        <f t="shared" si="296"/>
        <v>0</v>
      </c>
      <c r="FS201" s="14">
        <f t="shared" si="297"/>
        <v>0</v>
      </c>
      <c r="FT201" s="14">
        <f t="shared" si="298"/>
        <v>9</v>
      </c>
      <c r="FU201" s="14">
        <f t="shared" si="299"/>
        <v>0</v>
      </c>
      <c r="FV201" s="14">
        <f t="shared" si="280"/>
        <v>1054</v>
      </c>
      <c r="FW201" s="14">
        <f t="shared" si="281"/>
        <v>4</v>
      </c>
      <c r="FX201" s="14">
        <f t="shared" si="282"/>
        <v>1054</v>
      </c>
      <c r="FY201" s="25" t="str">
        <f t="shared" si="300"/>
        <v>icon_2005434</v>
      </c>
      <c r="GC201" s="14">
        <f t="shared" si="283"/>
        <v>2</v>
      </c>
      <c r="GD201" s="14">
        <f t="shared" si="284"/>
        <v>0</v>
      </c>
      <c r="GE201" s="14">
        <f t="shared" si="301"/>
        <v>135</v>
      </c>
      <c r="GF201" s="14" t="str">
        <f t="shared" si="285"/>
        <v>DefExt</v>
      </c>
      <c r="GG201" s="14">
        <f t="shared" si="302"/>
        <v>180</v>
      </c>
      <c r="GH201" s="14">
        <f t="shared" si="303"/>
        <v>9</v>
      </c>
      <c r="GI201" s="14" t="str">
        <f t="shared" si="286"/>
        <v/>
      </c>
      <c r="GJ201" s="14" t="str">
        <f t="shared" si="304"/>
        <v/>
      </c>
      <c r="GK201" s="14" t="str">
        <f t="shared" si="305"/>
        <v/>
      </c>
      <c r="GL201" s="14">
        <f t="shared" si="287"/>
        <v>20540</v>
      </c>
      <c r="GM201" s="14">
        <f t="shared" si="306"/>
        <v>4</v>
      </c>
      <c r="GN201" s="14">
        <f t="shared" si="307"/>
        <v>1054</v>
      </c>
      <c r="GO201" s="25" t="s">
        <v>1471</v>
      </c>
      <c r="GP201" s="14">
        <f t="shared" si="288"/>
        <v>200</v>
      </c>
      <c r="HK201" s="13">
        <v>196</v>
      </c>
      <c r="HL201" s="14">
        <f t="shared" si="308"/>
        <v>9</v>
      </c>
      <c r="HM201" s="14">
        <f t="shared" si="309"/>
        <v>1</v>
      </c>
      <c r="HN201" s="14">
        <f t="shared" si="310"/>
        <v>9</v>
      </c>
      <c r="HO201" s="14">
        <f t="shared" si="311"/>
        <v>3</v>
      </c>
      <c r="HP201" s="14" t="str">
        <f t="shared" si="312"/>
        <v>130级寄灵人洗练-Q3-4</v>
      </c>
      <c r="HQ201" s="14">
        <f t="shared" si="313"/>
        <v>1093</v>
      </c>
      <c r="HR201" s="14">
        <f t="shared" si="314"/>
        <v>4</v>
      </c>
      <c r="HS201" s="14">
        <f t="shared" si="315"/>
        <v>500</v>
      </c>
      <c r="HT201" s="14" t="str">
        <f t="shared" si="316"/>
        <v>AtkRate</v>
      </c>
      <c r="HU201" s="14">
        <f t="shared" si="317"/>
        <v>1.4E-2</v>
      </c>
      <c r="HV201" s="14">
        <f t="shared" si="318"/>
        <v>0.04</v>
      </c>
    </row>
    <row r="202" spans="151:230" ht="16.5" x14ac:dyDescent="0.2">
      <c r="EU202" s="13">
        <v>197</v>
      </c>
      <c r="EV202" s="14">
        <f t="shared" si="289"/>
        <v>1</v>
      </c>
      <c r="EW202" s="14">
        <f t="shared" si="290"/>
        <v>197</v>
      </c>
      <c r="EX202" s="14">
        <f t="shared" si="291"/>
        <v>26</v>
      </c>
      <c r="EY202" s="14">
        <f t="shared" si="266"/>
        <v>43</v>
      </c>
      <c r="EZ202" s="14">
        <f t="shared" si="267"/>
        <v>5</v>
      </c>
      <c r="FA202" s="14">
        <f t="shared" si="268"/>
        <v>90</v>
      </c>
      <c r="FB202" s="14">
        <f t="shared" si="269"/>
        <v>4</v>
      </c>
      <c r="FC202" s="14">
        <f t="shared" si="270"/>
        <v>5</v>
      </c>
      <c r="FD202" s="14">
        <f t="shared" si="271"/>
        <v>6</v>
      </c>
      <c r="FE202" s="14" t="b">
        <f t="shared" si="292"/>
        <v>1</v>
      </c>
      <c r="FF202" s="14">
        <f t="shared" si="272"/>
        <v>2005436</v>
      </c>
      <c r="FG202" s="13" t="str">
        <f t="shared" si="273"/>
        <v>90级-绝世套寄灵人の护手</v>
      </c>
      <c r="FH202" s="14">
        <f t="shared" si="274"/>
        <v>1</v>
      </c>
      <c r="FI202" s="14">
        <f t="shared" si="275"/>
        <v>4</v>
      </c>
      <c r="FJ202" s="14">
        <f t="shared" si="276"/>
        <v>90</v>
      </c>
      <c r="FK202" s="14">
        <v>1</v>
      </c>
      <c r="FL202" s="14">
        <f t="shared" si="277"/>
        <v>5</v>
      </c>
      <c r="FM202" s="14">
        <f t="shared" si="293"/>
        <v>6</v>
      </c>
      <c r="FN202" s="14">
        <f t="shared" si="278"/>
        <v>200543</v>
      </c>
      <c r="FO202" s="14">
        <f t="shared" si="279"/>
        <v>226</v>
      </c>
      <c r="FP202" s="14">
        <f t="shared" si="294"/>
        <v>0</v>
      </c>
      <c r="FQ202" s="14">
        <f t="shared" si="295"/>
        <v>0</v>
      </c>
      <c r="FR202" s="14">
        <f t="shared" si="296"/>
        <v>2880</v>
      </c>
      <c r="FS202" s="14">
        <f t="shared" si="297"/>
        <v>0</v>
      </c>
      <c r="FT202" s="14">
        <f t="shared" si="298"/>
        <v>0</v>
      </c>
      <c r="FU202" s="14">
        <f t="shared" si="299"/>
        <v>151</v>
      </c>
      <c r="FV202" s="14">
        <f t="shared" si="280"/>
        <v>1054</v>
      </c>
      <c r="FW202" s="14">
        <f t="shared" si="281"/>
        <v>4</v>
      </c>
      <c r="FX202" s="14">
        <f t="shared" si="282"/>
        <v>1054</v>
      </c>
      <c r="FY202" s="25" t="str">
        <f t="shared" si="300"/>
        <v>icon_2005436</v>
      </c>
      <c r="GC202" s="14">
        <f t="shared" si="283"/>
        <v>3</v>
      </c>
      <c r="GD202" s="14">
        <f t="shared" si="284"/>
        <v>0</v>
      </c>
      <c r="GE202" s="14">
        <f t="shared" si="301"/>
        <v>226</v>
      </c>
      <c r="GF202" s="14" t="str">
        <f t="shared" si="285"/>
        <v>HPExt</v>
      </c>
      <c r="GG202" s="14">
        <f t="shared" si="302"/>
        <v>2880</v>
      </c>
      <c r="GH202" s="14">
        <f t="shared" si="303"/>
        <v>151</v>
      </c>
      <c r="GI202" s="14" t="str">
        <f t="shared" si="286"/>
        <v/>
      </c>
      <c r="GJ202" s="14" t="str">
        <f t="shared" si="304"/>
        <v/>
      </c>
      <c r="GK202" s="14" t="str">
        <f t="shared" si="305"/>
        <v/>
      </c>
      <c r="GL202" s="14">
        <f t="shared" si="287"/>
        <v>20540</v>
      </c>
      <c r="GM202" s="14">
        <f t="shared" si="306"/>
        <v>4</v>
      </c>
      <c r="GN202" s="14">
        <f t="shared" si="307"/>
        <v>1054</v>
      </c>
      <c r="GO202" s="25" t="s">
        <v>1471</v>
      </c>
      <c r="GP202" s="14">
        <f t="shared" si="288"/>
        <v>200</v>
      </c>
      <c r="HK202" s="13">
        <v>197</v>
      </c>
      <c r="HL202" s="14">
        <f t="shared" si="308"/>
        <v>9</v>
      </c>
      <c r="HM202" s="14">
        <f t="shared" si="309"/>
        <v>1</v>
      </c>
      <c r="HN202" s="14">
        <f t="shared" si="310"/>
        <v>9</v>
      </c>
      <c r="HO202" s="14">
        <f t="shared" si="311"/>
        <v>3</v>
      </c>
      <c r="HP202" s="14" t="str">
        <f t="shared" si="312"/>
        <v>130级寄灵人洗练-Q3-5</v>
      </c>
      <c r="HQ202" s="14">
        <f t="shared" si="313"/>
        <v>1093</v>
      </c>
      <c r="HR202" s="14">
        <f t="shared" si="314"/>
        <v>5</v>
      </c>
      <c r="HS202" s="14">
        <f t="shared" si="315"/>
        <v>400</v>
      </c>
      <c r="HT202" s="14" t="str">
        <f t="shared" si="316"/>
        <v>DefRate</v>
      </c>
      <c r="HU202" s="14">
        <f t="shared" si="317"/>
        <v>1.4E-2</v>
      </c>
      <c r="HV202" s="14">
        <f t="shared" si="318"/>
        <v>0.04</v>
      </c>
    </row>
    <row r="203" spans="151:230" ht="16.5" x14ac:dyDescent="0.2">
      <c r="EU203" s="13">
        <v>198</v>
      </c>
      <c r="EV203" s="14">
        <f t="shared" si="289"/>
        <v>1</v>
      </c>
      <c r="EW203" s="14">
        <f t="shared" si="290"/>
        <v>198</v>
      </c>
      <c r="EX203" s="14">
        <f t="shared" si="291"/>
        <v>27</v>
      </c>
      <c r="EY203" s="14">
        <f t="shared" si="266"/>
        <v>10</v>
      </c>
      <c r="EZ203" s="14">
        <f t="shared" si="267"/>
        <v>6</v>
      </c>
      <c r="FA203" s="14">
        <f t="shared" si="268"/>
        <v>100</v>
      </c>
      <c r="FB203" s="14">
        <f t="shared" si="269"/>
        <v>1</v>
      </c>
      <c r="FC203" s="14">
        <f t="shared" si="270"/>
        <v>1</v>
      </c>
      <c r="FD203" s="14">
        <f t="shared" si="271"/>
        <v>1</v>
      </c>
      <c r="FE203" s="14" t="b">
        <f t="shared" si="292"/>
        <v>0</v>
      </c>
      <c r="FF203" s="14">
        <f t="shared" si="272"/>
        <v>2006101</v>
      </c>
      <c r="FG203" s="13" t="str">
        <f t="shared" si="273"/>
        <v>100级-普通寄灵人の灵器</v>
      </c>
      <c r="FH203" s="14">
        <f t="shared" si="274"/>
        <v>1</v>
      </c>
      <c r="FI203" s="14">
        <f t="shared" si="275"/>
        <v>1</v>
      </c>
      <c r="FJ203" s="14">
        <f t="shared" si="276"/>
        <v>100</v>
      </c>
      <c r="FK203" s="14">
        <v>1</v>
      </c>
      <c r="FL203" s="14">
        <f t="shared" si="277"/>
        <v>6</v>
      </c>
      <c r="FM203" s="14">
        <f t="shared" si="293"/>
        <v>1</v>
      </c>
      <c r="FN203" s="14" t="str">
        <f t="shared" si="278"/>
        <v/>
      </c>
      <c r="FO203" s="14">
        <f t="shared" si="279"/>
        <v>125</v>
      </c>
      <c r="FP203" s="14">
        <f t="shared" si="294"/>
        <v>445</v>
      </c>
      <c r="FQ203" s="14">
        <f t="shared" si="295"/>
        <v>0</v>
      </c>
      <c r="FR203" s="14">
        <f t="shared" si="296"/>
        <v>0</v>
      </c>
      <c r="FS203" s="14">
        <f t="shared" si="297"/>
        <v>25</v>
      </c>
      <c r="FT203" s="14">
        <f t="shared" si="298"/>
        <v>0</v>
      </c>
      <c r="FU203" s="14">
        <f t="shared" si="299"/>
        <v>0</v>
      </c>
      <c r="FV203" s="14">
        <f t="shared" si="280"/>
        <v>1061</v>
      </c>
      <c r="FW203" s="14">
        <f t="shared" si="281"/>
        <v>0</v>
      </c>
      <c r="FX203" s="14" t="str">
        <f t="shared" si="282"/>
        <v/>
      </c>
      <c r="FY203" s="25" t="str">
        <f t="shared" si="300"/>
        <v>icon_2006101</v>
      </c>
      <c r="GC203" s="14">
        <f t="shared" si="283"/>
        <v>1</v>
      </c>
      <c r="GD203" s="14">
        <f t="shared" si="284"/>
        <v>0</v>
      </c>
      <c r="GE203" s="14">
        <f t="shared" si="301"/>
        <v>125</v>
      </c>
      <c r="GF203" s="14" t="str">
        <f t="shared" si="285"/>
        <v>AtkExt</v>
      </c>
      <c r="GG203" s="14">
        <f t="shared" si="302"/>
        <v>445</v>
      </c>
      <c r="GH203" s="14">
        <f t="shared" si="303"/>
        <v>25</v>
      </c>
      <c r="GI203" s="14" t="str">
        <f t="shared" si="286"/>
        <v/>
      </c>
      <c r="GJ203" s="14" t="str">
        <f t="shared" si="304"/>
        <v/>
      </c>
      <c r="GK203" s="14" t="str">
        <f t="shared" si="305"/>
        <v/>
      </c>
      <c r="GL203" s="14">
        <f t="shared" si="287"/>
        <v>20610</v>
      </c>
      <c r="GM203" s="14">
        <f t="shared" si="306"/>
        <v>0</v>
      </c>
      <c r="GN203" s="14" t="str">
        <f t="shared" si="307"/>
        <v/>
      </c>
      <c r="GO203" s="25" t="s">
        <v>1471</v>
      </c>
      <c r="GP203" s="14">
        <f t="shared" si="288"/>
        <v>50</v>
      </c>
      <c r="HK203" s="13">
        <v>198</v>
      </c>
      <c r="HL203" s="14">
        <f t="shared" si="308"/>
        <v>9</v>
      </c>
      <c r="HM203" s="14">
        <f t="shared" si="309"/>
        <v>1</v>
      </c>
      <c r="HN203" s="14">
        <f t="shared" si="310"/>
        <v>9</v>
      </c>
      <c r="HO203" s="14">
        <f t="shared" si="311"/>
        <v>3</v>
      </c>
      <c r="HP203" s="14" t="str">
        <f t="shared" si="312"/>
        <v>130级寄灵人洗练-Q3-6</v>
      </c>
      <c r="HQ203" s="14">
        <f t="shared" si="313"/>
        <v>1093</v>
      </c>
      <c r="HR203" s="14">
        <f t="shared" si="314"/>
        <v>6</v>
      </c>
      <c r="HS203" s="14">
        <f t="shared" si="315"/>
        <v>500</v>
      </c>
      <c r="HT203" s="14" t="str">
        <f t="shared" si="316"/>
        <v>HPRate</v>
      </c>
      <c r="HU203" s="14">
        <f t="shared" si="317"/>
        <v>1.4E-2</v>
      </c>
      <c r="HV203" s="14">
        <f t="shared" si="318"/>
        <v>0.04</v>
      </c>
    </row>
    <row r="204" spans="151:230" ht="16.5" x14ac:dyDescent="0.2">
      <c r="EU204" s="13">
        <v>199</v>
      </c>
      <c r="EV204" s="14">
        <f t="shared" si="289"/>
        <v>1</v>
      </c>
      <c r="EW204" s="14">
        <f t="shared" si="290"/>
        <v>199</v>
      </c>
      <c r="EX204" s="14">
        <f t="shared" si="291"/>
        <v>27</v>
      </c>
      <c r="EY204" s="14">
        <f t="shared" si="266"/>
        <v>10</v>
      </c>
      <c r="EZ204" s="14">
        <f t="shared" si="267"/>
        <v>6</v>
      </c>
      <c r="FA204" s="14">
        <f t="shared" si="268"/>
        <v>100</v>
      </c>
      <c r="FB204" s="14">
        <f t="shared" si="269"/>
        <v>1</v>
      </c>
      <c r="FC204" s="14">
        <f t="shared" si="270"/>
        <v>2</v>
      </c>
      <c r="FD204" s="14">
        <f t="shared" si="271"/>
        <v>2</v>
      </c>
      <c r="FE204" s="14" t="b">
        <f t="shared" si="292"/>
        <v>0</v>
      </c>
      <c r="FF204" s="14">
        <f t="shared" si="272"/>
        <v>2006102</v>
      </c>
      <c r="FG204" s="13" t="str">
        <f t="shared" si="273"/>
        <v>100级-普通寄灵人の头盔</v>
      </c>
      <c r="FH204" s="14">
        <f t="shared" si="274"/>
        <v>1</v>
      </c>
      <c r="FI204" s="14">
        <f t="shared" si="275"/>
        <v>1</v>
      </c>
      <c r="FJ204" s="14">
        <f t="shared" si="276"/>
        <v>100</v>
      </c>
      <c r="FK204" s="14">
        <v>1</v>
      </c>
      <c r="FL204" s="14">
        <f t="shared" si="277"/>
        <v>6</v>
      </c>
      <c r="FM204" s="14">
        <f t="shared" si="293"/>
        <v>2</v>
      </c>
      <c r="FN204" s="14" t="str">
        <f t="shared" si="278"/>
        <v/>
      </c>
      <c r="FO204" s="14">
        <f t="shared" si="279"/>
        <v>60</v>
      </c>
      <c r="FP204" s="14">
        <f t="shared" si="294"/>
        <v>0</v>
      </c>
      <c r="FQ204" s="14">
        <f t="shared" si="295"/>
        <v>115</v>
      </c>
      <c r="FR204" s="14">
        <f t="shared" si="296"/>
        <v>0</v>
      </c>
      <c r="FS204" s="14">
        <f t="shared" si="297"/>
        <v>0</v>
      </c>
      <c r="FT204" s="14">
        <f t="shared" si="298"/>
        <v>6</v>
      </c>
      <c r="FU204" s="14">
        <f t="shared" si="299"/>
        <v>0</v>
      </c>
      <c r="FV204" s="14">
        <f t="shared" si="280"/>
        <v>1061</v>
      </c>
      <c r="FW204" s="14">
        <f t="shared" si="281"/>
        <v>0</v>
      </c>
      <c r="FX204" s="14" t="str">
        <f t="shared" si="282"/>
        <v/>
      </c>
      <c r="FY204" s="25" t="str">
        <f t="shared" si="300"/>
        <v>icon_2006102</v>
      </c>
      <c r="GC204" s="14">
        <f t="shared" si="283"/>
        <v>2</v>
      </c>
      <c r="GD204" s="14">
        <f t="shared" si="284"/>
        <v>0</v>
      </c>
      <c r="GE204" s="14">
        <f t="shared" si="301"/>
        <v>60</v>
      </c>
      <c r="GF204" s="14" t="str">
        <f t="shared" si="285"/>
        <v>DefExt</v>
      </c>
      <c r="GG204" s="14">
        <f t="shared" si="302"/>
        <v>115</v>
      </c>
      <c r="GH204" s="14">
        <f t="shared" si="303"/>
        <v>6</v>
      </c>
      <c r="GI204" s="14" t="str">
        <f t="shared" si="286"/>
        <v/>
      </c>
      <c r="GJ204" s="14" t="str">
        <f t="shared" si="304"/>
        <v/>
      </c>
      <c r="GK204" s="14" t="str">
        <f t="shared" si="305"/>
        <v/>
      </c>
      <c r="GL204" s="14">
        <f t="shared" si="287"/>
        <v>20610</v>
      </c>
      <c r="GM204" s="14">
        <f t="shared" si="306"/>
        <v>0</v>
      </c>
      <c r="GN204" s="14" t="str">
        <f t="shared" si="307"/>
        <v/>
      </c>
      <c r="GO204" s="25" t="s">
        <v>1471</v>
      </c>
      <c r="GP204" s="14">
        <f t="shared" si="288"/>
        <v>25</v>
      </c>
      <c r="HK204" s="13">
        <v>199</v>
      </c>
      <c r="HL204" s="14">
        <f t="shared" si="308"/>
        <v>9</v>
      </c>
      <c r="HM204" s="14">
        <f t="shared" si="309"/>
        <v>1</v>
      </c>
      <c r="HN204" s="14">
        <f t="shared" si="310"/>
        <v>9</v>
      </c>
      <c r="HO204" s="14">
        <f t="shared" si="311"/>
        <v>3</v>
      </c>
      <c r="HP204" s="14" t="str">
        <f t="shared" si="312"/>
        <v>130级寄灵人洗练-Q3-7</v>
      </c>
      <c r="HQ204" s="14">
        <f t="shared" si="313"/>
        <v>1093</v>
      </c>
      <c r="HR204" s="14">
        <f t="shared" si="314"/>
        <v>7</v>
      </c>
      <c r="HS204" s="14">
        <f t="shared" si="315"/>
        <v>500</v>
      </c>
      <c r="HT204" s="14" t="str">
        <f t="shared" si="316"/>
        <v>Crit</v>
      </c>
      <c r="HU204" s="14">
        <f t="shared" si="317"/>
        <v>1.0999999999999999E-2</v>
      </c>
      <c r="HV204" s="14">
        <f t="shared" si="318"/>
        <v>0.03</v>
      </c>
    </row>
    <row r="205" spans="151:230" ht="16.5" x14ac:dyDescent="0.2">
      <c r="EU205" s="13">
        <v>200</v>
      </c>
      <c r="EV205" s="14">
        <f t="shared" si="289"/>
        <v>1</v>
      </c>
      <c r="EW205" s="14">
        <f t="shared" si="290"/>
        <v>200</v>
      </c>
      <c r="EX205" s="14">
        <f t="shared" si="291"/>
        <v>27</v>
      </c>
      <c r="EY205" s="14">
        <f t="shared" si="266"/>
        <v>10</v>
      </c>
      <c r="EZ205" s="14">
        <f t="shared" si="267"/>
        <v>6</v>
      </c>
      <c r="FA205" s="14">
        <f t="shared" si="268"/>
        <v>100</v>
      </c>
      <c r="FB205" s="14">
        <f t="shared" si="269"/>
        <v>1</v>
      </c>
      <c r="FC205" s="14">
        <f t="shared" si="270"/>
        <v>3</v>
      </c>
      <c r="FD205" s="14">
        <f t="shared" si="271"/>
        <v>3</v>
      </c>
      <c r="FE205" s="14" t="b">
        <f t="shared" si="292"/>
        <v>0</v>
      </c>
      <c r="FF205" s="14">
        <f t="shared" si="272"/>
        <v>2006103</v>
      </c>
      <c r="FG205" s="13" t="str">
        <f t="shared" si="273"/>
        <v>100级-普通寄灵人の铠甲</v>
      </c>
      <c r="FH205" s="14">
        <f t="shared" si="274"/>
        <v>1</v>
      </c>
      <c r="FI205" s="14">
        <f t="shared" si="275"/>
        <v>1</v>
      </c>
      <c r="FJ205" s="14">
        <f t="shared" si="276"/>
        <v>100</v>
      </c>
      <c r="FK205" s="14">
        <v>1</v>
      </c>
      <c r="FL205" s="14">
        <f t="shared" si="277"/>
        <v>6</v>
      </c>
      <c r="FM205" s="14">
        <f t="shared" si="293"/>
        <v>3</v>
      </c>
      <c r="FN205" s="14" t="str">
        <f t="shared" si="278"/>
        <v/>
      </c>
      <c r="FO205" s="14">
        <f t="shared" si="279"/>
        <v>84</v>
      </c>
      <c r="FP205" s="14">
        <f t="shared" si="294"/>
        <v>0</v>
      </c>
      <c r="FQ205" s="14">
        <f t="shared" si="295"/>
        <v>55</v>
      </c>
      <c r="FR205" s="14">
        <f t="shared" si="296"/>
        <v>975</v>
      </c>
      <c r="FS205" s="14">
        <f t="shared" si="297"/>
        <v>0</v>
      </c>
      <c r="FT205" s="14">
        <f t="shared" si="298"/>
        <v>3</v>
      </c>
      <c r="FU205" s="14">
        <f t="shared" si="299"/>
        <v>54</v>
      </c>
      <c r="FV205" s="14">
        <f t="shared" si="280"/>
        <v>1061</v>
      </c>
      <c r="FW205" s="14">
        <f t="shared" si="281"/>
        <v>0</v>
      </c>
      <c r="FX205" s="14" t="str">
        <f t="shared" si="282"/>
        <v/>
      </c>
      <c r="FY205" s="25" t="str">
        <f t="shared" si="300"/>
        <v>icon_2006103</v>
      </c>
      <c r="GC205" s="14">
        <f t="shared" si="283"/>
        <v>2</v>
      </c>
      <c r="GD205" s="14">
        <f t="shared" si="284"/>
        <v>3</v>
      </c>
      <c r="GE205" s="14">
        <f t="shared" si="301"/>
        <v>84</v>
      </c>
      <c r="GF205" s="14" t="str">
        <f t="shared" si="285"/>
        <v>DefExt</v>
      </c>
      <c r="GG205" s="14">
        <f t="shared" si="302"/>
        <v>55</v>
      </c>
      <c r="GH205" s="14">
        <f t="shared" si="303"/>
        <v>3</v>
      </c>
      <c r="GI205" s="14" t="str">
        <f t="shared" si="286"/>
        <v>HPExt</v>
      </c>
      <c r="GJ205" s="14">
        <f t="shared" si="304"/>
        <v>975</v>
      </c>
      <c r="GK205" s="14">
        <f t="shared" si="305"/>
        <v>54</v>
      </c>
      <c r="GL205" s="14">
        <f t="shared" si="287"/>
        <v>20610</v>
      </c>
      <c r="GM205" s="14">
        <f t="shared" si="306"/>
        <v>0</v>
      </c>
      <c r="GN205" s="14" t="str">
        <f t="shared" si="307"/>
        <v/>
      </c>
      <c r="GO205" s="25" t="s">
        <v>1471</v>
      </c>
      <c r="GP205" s="14">
        <f t="shared" si="288"/>
        <v>25</v>
      </c>
      <c r="HK205" s="13">
        <v>200</v>
      </c>
      <c r="HL205" s="14">
        <f t="shared" si="308"/>
        <v>9</v>
      </c>
      <c r="HM205" s="14">
        <f t="shared" si="309"/>
        <v>1</v>
      </c>
      <c r="HN205" s="14">
        <f t="shared" si="310"/>
        <v>9</v>
      </c>
      <c r="HO205" s="14">
        <f t="shared" si="311"/>
        <v>3</v>
      </c>
      <c r="HP205" s="14" t="str">
        <f t="shared" si="312"/>
        <v>130级寄灵人洗练-Q3-8</v>
      </c>
      <c r="HQ205" s="14">
        <f t="shared" si="313"/>
        <v>1093</v>
      </c>
      <c r="HR205" s="14">
        <f t="shared" si="314"/>
        <v>8</v>
      </c>
      <c r="HS205" s="14">
        <f t="shared" si="315"/>
        <v>500</v>
      </c>
      <c r="HT205" s="14" t="str">
        <f t="shared" si="316"/>
        <v>CritRate</v>
      </c>
      <c r="HU205" s="14">
        <f t="shared" si="317"/>
        <v>2.8000000000000001E-2</v>
      </c>
      <c r="HV205" s="14">
        <f t="shared" si="318"/>
        <v>0.08</v>
      </c>
    </row>
    <row r="206" spans="151:230" ht="16.5" x14ac:dyDescent="0.2">
      <c r="EU206" s="13">
        <v>201</v>
      </c>
      <c r="EV206" s="14">
        <f t="shared" si="289"/>
        <v>1</v>
      </c>
      <c r="EW206" s="14">
        <f t="shared" si="290"/>
        <v>201</v>
      </c>
      <c r="EX206" s="14">
        <f t="shared" si="291"/>
        <v>27</v>
      </c>
      <c r="EY206" s="14">
        <f t="shared" si="266"/>
        <v>10</v>
      </c>
      <c r="EZ206" s="14">
        <f t="shared" si="267"/>
        <v>6</v>
      </c>
      <c r="FA206" s="14">
        <f t="shared" si="268"/>
        <v>100</v>
      </c>
      <c r="FB206" s="14">
        <f t="shared" si="269"/>
        <v>1</v>
      </c>
      <c r="FC206" s="14">
        <f t="shared" si="270"/>
        <v>4</v>
      </c>
      <c r="FD206" s="14">
        <f t="shared" si="271"/>
        <v>4</v>
      </c>
      <c r="FE206" s="14" t="b">
        <f t="shared" si="292"/>
        <v>0</v>
      </c>
      <c r="FF206" s="14">
        <f t="shared" si="272"/>
        <v>2006104</v>
      </c>
      <c r="FG206" s="13" t="str">
        <f t="shared" si="273"/>
        <v>100级-普通寄灵人の裤子</v>
      </c>
      <c r="FH206" s="14">
        <f t="shared" si="274"/>
        <v>1</v>
      </c>
      <c r="FI206" s="14">
        <f t="shared" si="275"/>
        <v>1</v>
      </c>
      <c r="FJ206" s="14">
        <f t="shared" si="276"/>
        <v>100</v>
      </c>
      <c r="FK206" s="14">
        <v>1</v>
      </c>
      <c r="FL206" s="14">
        <f t="shared" si="277"/>
        <v>6</v>
      </c>
      <c r="FM206" s="14">
        <f t="shared" si="293"/>
        <v>4</v>
      </c>
      <c r="FN206" s="14" t="str">
        <f t="shared" si="278"/>
        <v/>
      </c>
      <c r="FO206" s="14">
        <f t="shared" si="279"/>
        <v>60</v>
      </c>
      <c r="FP206" s="14">
        <f t="shared" si="294"/>
        <v>0</v>
      </c>
      <c r="FQ206" s="14">
        <f t="shared" si="295"/>
        <v>115</v>
      </c>
      <c r="FR206" s="14">
        <f t="shared" si="296"/>
        <v>0</v>
      </c>
      <c r="FS206" s="14">
        <f t="shared" si="297"/>
        <v>0</v>
      </c>
      <c r="FT206" s="14">
        <f t="shared" si="298"/>
        <v>6</v>
      </c>
      <c r="FU206" s="14">
        <f t="shared" si="299"/>
        <v>0</v>
      </c>
      <c r="FV206" s="14">
        <f t="shared" si="280"/>
        <v>1061</v>
      </c>
      <c r="FW206" s="14">
        <f t="shared" si="281"/>
        <v>0</v>
      </c>
      <c r="FX206" s="14" t="str">
        <f t="shared" si="282"/>
        <v/>
      </c>
      <c r="FY206" s="25" t="str">
        <f t="shared" si="300"/>
        <v>icon_2006104</v>
      </c>
      <c r="GC206" s="14">
        <f t="shared" si="283"/>
        <v>2</v>
      </c>
      <c r="GD206" s="14">
        <f t="shared" si="284"/>
        <v>0</v>
      </c>
      <c r="GE206" s="14">
        <f t="shared" si="301"/>
        <v>60</v>
      </c>
      <c r="GF206" s="14" t="str">
        <f t="shared" si="285"/>
        <v>DefExt</v>
      </c>
      <c r="GG206" s="14">
        <f t="shared" si="302"/>
        <v>115</v>
      </c>
      <c r="GH206" s="14">
        <f t="shared" si="303"/>
        <v>6</v>
      </c>
      <c r="GI206" s="14" t="str">
        <f t="shared" si="286"/>
        <v/>
      </c>
      <c r="GJ206" s="14" t="str">
        <f t="shared" si="304"/>
        <v/>
      </c>
      <c r="GK206" s="14" t="str">
        <f t="shared" si="305"/>
        <v/>
      </c>
      <c r="GL206" s="14">
        <f t="shared" si="287"/>
        <v>20610</v>
      </c>
      <c r="GM206" s="14">
        <f t="shared" si="306"/>
        <v>0</v>
      </c>
      <c r="GN206" s="14" t="str">
        <f t="shared" si="307"/>
        <v/>
      </c>
      <c r="GO206" s="25" t="s">
        <v>1471</v>
      </c>
      <c r="GP206" s="14">
        <f t="shared" si="288"/>
        <v>25</v>
      </c>
      <c r="HK206" s="13">
        <v>201</v>
      </c>
      <c r="HL206" s="14">
        <f t="shared" si="308"/>
        <v>9</v>
      </c>
      <c r="HM206" s="14">
        <f t="shared" si="309"/>
        <v>1</v>
      </c>
      <c r="HN206" s="14">
        <f t="shared" si="310"/>
        <v>9</v>
      </c>
      <c r="HO206" s="14">
        <f t="shared" si="311"/>
        <v>3</v>
      </c>
      <c r="HP206" s="14" t="str">
        <f t="shared" si="312"/>
        <v>130级寄灵人洗练-Q3-9</v>
      </c>
      <c r="HQ206" s="14">
        <f t="shared" si="313"/>
        <v>1093</v>
      </c>
      <c r="HR206" s="14">
        <f t="shared" si="314"/>
        <v>9</v>
      </c>
      <c r="HS206" s="14">
        <f t="shared" si="315"/>
        <v>500</v>
      </c>
      <c r="HT206" s="14" t="str">
        <f t="shared" si="316"/>
        <v>DefIgnor</v>
      </c>
      <c r="HU206" s="14">
        <f t="shared" si="317"/>
        <v>1.0999999999999999E-2</v>
      </c>
      <c r="HV206" s="14">
        <f t="shared" si="318"/>
        <v>0.03</v>
      </c>
    </row>
    <row r="207" spans="151:230" ht="16.5" x14ac:dyDescent="0.2">
      <c r="EU207" s="13">
        <v>202</v>
      </c>
      <c r="EV207" s="14">
        <f t="shared" si="289"/>
        <v>1</v>
      </c>
      <c r="EW207" s="14">
        <f t="shared" si="290"/>
        <v>202</v>
      </c>
      <c r="EX207" s="14">
        <f t="shared" si="291"/>
        <v>27</v>
      </c>
      <c r="EY207" s="14">
        <f t="shared" si="266"/>
        <v>10</v>
      </c>
      <c r="EZ207" s="14">
        <f t="shared" si="267"/>
        <v>6</v>
      </c>
      <c r="FA207" s="14">
        <f t="shared" si="268"/>
        <v>100</v>
      </c>
      <c r="FB207" s="14">
        <f t="shared" si="269"/>
        <v>1</v>
      </c>
      <c r="FC207" s="14">
        <f t="shared" si="270"/>
        <v>5</v>
      </c>
      <c r="FD207" s="14">
        <f t="shared" si="271"/>
        <v>5</v>
      </c>
      <c r="FE207" s="14" t="b">
        <f t="shared" si="292"/>
        <v>0</v>
      </c>
      <c r="FF207" s="14">
        <f t="shared" si="272"/>
        <v>2006105</v>
      </c>
      <c r="FG207" s="13" t="str">
        <f t="shared" si="273"/>
        <v>100级-普通寄灵人の鞋子</v>
      </c>
      <c r="FH207" s="14">
        <f t="shared" si="274"/>
        <v>1</v>
      </c>
      <c r="FI207" s="14">
        <f t="shared" si="275"/>
        <v>1</v>
      </c>
      <c r="FJ207" s="14">
        <f t="shared" si="276"/>
        <v>100</v>
      </c>
      <c r="FK207" s="14">
        <v>1</v>
      </c>
      <c r="FL207" s="14">
        <f t="shared" si="277"/>
        <v>6</v>
      </c>
      <c r="FM207" s="14">
        <f t="shared" si="293"/>
        <v>5</v>
      </c>
      <c r="FN207" s="14" t="str">
        <f t="shared" si="278"/>
        <v/>
      </c>
      <c r="FO207" s="14">
        <f t="shared" si="279"/>
        <v>108</v>
      </c>
      <c r="FP207" s="14">
        <f t="shared" si="294"/>
        <v>0</v>
      </c>
      <c r="FQ207" s="14">
        <f t="shared" si="295"/>
        <v>0</v>
      </c>
      <c r="FR207" s="14">
        <f t="shared" si="296"/>
        <v>1950</v>
      </c>
      <c r="FS207" s="14">
        <f t="shared" si="297"/>
        <v>0</v>
      </c>
      <c r="FT207" s="14">
        <f t="shared" si="298"/>
        <v>0</v>
      </c>
      <c r="FU207" s="14">
        <f t="shared" si="299"/>
        <v>108</v>
      </c>
      <c r="FV207" s="14">
        <f t="shared" si="280"/>
        <v>1061</v>
      </c>
      <c r="FW207" s="14">
        <f t="shared" si="281"/>
        <v>0</v>
      </c>
      <c r="FX207" s="14" t="str">
        <f t="shared" si="282"/>
        <v/>
      </c>
      <c r="FY207" s="25" t="str">
        <f t="shared" si="300"/>
        <v>icon_2006105</v>
      </c>
      <c r="GC207" s="14">
        <f t="shared" si="283"/>
        <v>3</v>
      </c>
      <c r="GD207" s="14">
        <f t="shared" si="284"/>
        <v>0</v>
      </c>
      <c r="GE207" s="14">
        <f t="shared" si="301"/>
        <v>108</v>
      </c>
      <c r="GF207" s="14" t="str">
        <f t="shared" si="285"/>
        <v>HPExt</v>
      </c>
      <c r="GG207" s="14">
        <f t="shared" si="302"/>
        <v>1950</v>
      </c>
      <c r="GH207" s="14">
        <f t="shared" si="303"/>
        <v>108</v>
      </c>
      <c r="GI207" s="14" t="str">
        <f t="shared" si="286"/>
        <v/>
      </c>
      <c r="GJ207" s="14" t="str">
        <f t="shared" si="304"/>
        <v/>
      </c>
      <c r="GK207" s="14" t="str">
        <f t="shared" si="305"/>
        <v/>
      </c>
      <c r="GL207" s="14">
        <f t="shared" si="287"/>
        <v>20610</v>
      </c>
      <c r="GM207" s="14">
        <f t="shared" si="306"/>
        <v>0</v>
      </c>
      <c r="GN207" s="14" t="str">
        <f t="shared" si="307"/>
        <v/>
      </c>
      <c r="GO207" s="25" t="s">
        <v>1471</v>
      </c>
      <c r="GP207" s="14">
        <f t="shared" si="288"/>
        <v>25</v>
      </c>
      <c r="HK207" s="13">
        <v>202</v>
      </c>
      <c r="HL207" s="14">
        <f t="shared" si="308"/>
        <v>9</v>
      </c>
      <c r="HM207" s="14">
        <f t="shared" si="309"/>
        <v>1</v>
      </c>
      <c r="HN207" s="14">
        <f t="shared" si="310"/>
        <v>9</v>
      </c>
      <c r="HO207" s="14">
        <f t="shared" si="311"/>
        <v>3</v>
      </c>
      <c r="HP207" s="14" t="str">
        <f t="shared" si="312"/>
        <v>130级寄灵人洗练-Q3-10</v>
      </c>
      <c r="HQ207" s="14">
        <f t="shared" si="313"/>
        <v>1093</v>
      </c>
      <c r="HR207" s="14">
        <f t="shared" si="314"/>
        <v>10</v>
      </c>
      <c r="HS207" s="14">
        <f t="shared" si="315"/>
        <v>500</v>
      </c>
      <c r="HT207" s="14" t="str">
        <f t="shared" si="316"/>
        <v>Block</v>
      </c>
      <c r="HU207" s="14">
        <f t="shared" si="317"/>
        <v>1.0999999999999999E-2</v>
      </c>
      <c r="HV207" s="14">
        <f t="shared" si="318"/>
        <v>0.03</v>
      </c>
    </row>
    <row r="208" spans="151:230" ht="16.5" x14ac:dyDescent="0.2">
      <c r="EU208" s="13">
        <v>203</v>
      </c>
      <c r="EV208" s="14">
        <f t="shared" si="289"/>
        <v>1</v>
      </c>
      <c r="EW208" s="14">
        <f t="shared" si="290"/>
        <v>203</v>
      </c>
      <c r="EX208" s="14">
        <f t="shared" si="291"/>
        <v>27</v>
      </c>
      <c r="EY208" s="14">
        <f t="shared" si="266"/>
        <v>10</v>
      </c>
      <c r="EZ208" s="14">
        <f t="shared" si="267"/>
        <v>6</v>
      </c>
      <c r="FA208" s="14">
        <f t="shared" si="268"/>
        <v>100</v>
      </c>
      <c r="FB208" s="14">
        <f t="shared" si="269"/>
        <v>1</v>
      </c>
      <c r="FC208" s="14">
        <f t="shared" si="270"/>
        <v>6</v>
      </c>
      <c r="FD208" s="14">
        <f t="shared" si="271"/>
        <v>6</v>
      </c>
      <c r="FE208" s="14" t="b">
        <f t="shared" si="292"/>
        <v>0</v>
      </c>
      <c r="FF208" s="14">
        <f t="shared" si="272"/>
        <v>2006106</v>
      </c>
      <c r="FG208" s="13" t="str">
        <f t="shared" si="273"/>
        <v>100级-普通寄灵人の护手</v>
      </c>
      <c r="FH208" s="14">
        <f t="shared" si="274"/>
        <v>1</v>
      </c>
      <c r="FI208" s="14">
        <f t="shared" si="275"/>
        <v>1</v>
      </c>
      <c r="FJ208" s="14">
        <f t="shared" si="276"/>
        <v>100</v>
      </c>
      <c r="FK208" s="14">
        <v>1</v>
      </c>
      <c r="FL208" s="14">
        <f t="shared" si="277"/>
        <v>6</v>
      </c>
      <c r="FM208" s="14">
        <f t="shared" si="293"/>
        <v>6</v>
      </c>
      <c r="FN208" s="14" t="str">
        <f t="shared" si="278"/>
        <v/>
      </c>
      <c r="FO208" s="14">
        <f t="shared" si="279"/>
        <v>108</v>
      </c>
      <c r="FP208" s="14">
        <f t="shared" si="294"/>
        <v>0</v>
      </c>
      <c r="FQ208" s="14">
        <f t="shared" si="295"/>
        <v>0</v>
      </c>
      <c r="FR208" s="14">
        <f t="shared" si="296"/>
        <v>1950</v>
      </c>
      <c r="FS208" s="14">
        <f t="shared" si="297"/>
        <v>0</v>
      </c>
      <c r="FT208" s="14">
        <f t="shared" si="298"/>
        <v>0</v>
      </c>
      <c r="FU208" s="14">
        <f t="shared" si="299"/>
        <v>108</v>
      </c>
      <c r="FV208" s="14">
        <f t="shared" si="280"/>
        <v>1061</v>
      </c>
      <c r="FW208" s="14">
        <f t="shared" si="281"/>
        <v>0</v>
      </c>
      <c r="FX208" s="14" t="str">
        <f t="shared" si="282"/>
        <v/>
      </c>
      <c r="FY208" s="25" t="str">
        <f t="shared" si="300"/>
        <v>icon_2006106</v>
      </c>
      <c r="GC208" s="14">
        <f t="shared" si="283"/>
        <v>3</v>
      </c>
      <c r="GD208" s="14">
        <f t="shared" si="284"/>
        <v>0</v>
      </c>
      <c r="GE208" s="14">
        <f t="shared" si="301"/>
        <v>108</v>
      </c>
      <c r="GF208" s="14" t="str">
        <f t="shared" si="285"/>
        <v>HPExt</v>
      </c>
      <c r="GG208" s="14">
        <f t="shared" si="302"/>
        <v>1950</v>
      </c>
      <c r="GH208" s="14">
        <f t="shared" si="303"/>
        <v>108</v>
      </c>
      <c r="GI208" s="14" t="str">
        <f t="shared" si="286"/>
        <v/>
      </c>
      <c r="GJ208" s="14" t="str">
        <f t="shared" si="304"/>
        <v/>
      </c>
      <c r="GK208" s="14" t="str">
        <f t="shared" si="305"/>
        <v/>
      </c>
      <c r="GL208" s="14">
        <f t="shared" si="287"/>
        <v>20610</v>
      </c>
      <c r="GM208" s="14">
        <f t="shared" si="306"/>
        <v>0</v>
      </c>
      <c r="GN208" s="14" t="str">
        <f t="shared" si="307"/>
        <v/>
      </c>
      <c r="GO208" s="25" t="s">
        <v>1471</v>
      </c>
      <c r="GP208" s="14">
        <f t="shared" si="288"/>
        <v>25</v>
      </c>
      <c r="HK208" s="13">
        <v>203</v>
      </c>
      <c r="HL208" s="14">
        <f t="shared" si="308"/>
        <v>9</v>
      </c>
      <c r="HM208" s="14">
        <f t="shared" si="309"/>
        <v>1</v>
      </c>
      <c r="HN208" s="14">
        <f t="shared" si="310"/>
        <v>9</v>
      </c>
      <c r="HO208" s="14">
        <f t="shared" si="311"/>
        <v>3</v>
      </c>
      <c r="HP208" s="14" t="str">
        <f t="shared" si="312"/>
        <v>130级寄灵人洗练-Q3-11</v>
      </c>
      <c r="HQ208" s="14">
        <f t="shared" si="313"/>
        <v>1093</v>
      </c>
      <c r="HR208" s="14">
        <f t="shared" si="314"/>
        <v>11</v>
      </c>
      <c r="HS208" s="14">
        <f t="shared" si="315"/>
        <v>500</v>
      </c>
      <c r="HT208" s="14" t="str">
        <f t="shared" si="316"/>
        <v>EffectHit</v>
      </c>
      <c r="HU208" s="14">
        <f t="shared" si="317"/>
        <v>1.7999999999999999E-2</v>
      </c>
      <c r="HV208" s="14">
        <f t="shared" si="318"/>
        <v>0.05</v>
      </c>
    </row>
    <row r="209" spans="151:230" ht="16.5" x14ac:dyDescent="0.2">
      <c r="EU209" s="13">
        <v>204</v>
      </c>
      <c r="EV209" s="14">
        <f t="shared" si="289"/>
        <v>1</v>
      </c>
      <c r="EW209" s="14">
        <f t="shared" si="290"/>
        <v>204</v>
      </c>
      <c r="EX209" s="14">
        <f t="shared" si="291"/>
        <v>27</v>
      </c>
      <c r="EY209" s="14">
        <f t="shared" si="266"/>
        <v>10</v>
      </c>
      <c r="EZ209" s="14">
        <f t="shared" si="267"/>
        <v>6</v>
      </c>
      <c r="FA209" s="14">
        <f t="shared" si="268"/>
        <v>100</v>
      </c>
      <c r="FB209" s="14">
        <f t="shared" si="269"/>
        <v>1</v>
      </c>
      <c r="FC209" s="14">
        <f t="shared" si="270"/>
        <v>7</v>
      </c>
      <c r="FD209" s="14">
        <f t="shared" si="271"/>
        <v>7</v>
      </c>
      <c r="FE209" s="14" t="b">
        <f t="shared" si="292"/>
        <v>0</v>
      </c>
      <c r="FF209" s="14">
        <f t="shared" si="272"/>
        <v>2006107</v>
      </c>
      <c r="FG209" s="13" t="str">
        <f t="shared" si="273"/>
        <v>100级-普通寄灵人の项链</v>
      </c>
      <c r="FH209" s="14">
        <f t="shared" si="274"/>
        <v>1</v>
      </c>
      <c r="FI209" s="14">
        <f t="shared" si="275"/>
        <v>1</v>
      </c>
      <c r="FJ209" s="14">
        <f t="shared" si="276"/>
        <v>100</v>
      </c>
      <c r="FK209" s="14">
        <v>1</v>
      </c>
      <c r="FL209" s="14">
        <f t="shared" si="277"/>
        <v>6</v>
      </c>
      <c r="FM209" s="14">
        <f t="shared" si="293"/>
        <v>7</v>
      </c>
      <c r="FN209" s="14" t="str">
        <f t="shared" si="278"/>
        <v/>
      </c>
      <c r="FO209" s="14">
        <f t="shared" si="279"/>
        <v>90</v>
      </c>
      <c r="FP209" s="14">
        <f t="shared" si="294"/>
        <v>150</v>
      </c>
      <c r="FQ209" s="14">
        <f t="shared" si="295"/>
        <v>95</v>
      </c>
      <c r="FR209" s="14">
        <f t="shared" si="296"/>
        <v>0</v>
      </c>
      <c r="FS209" s="14">
        <f t="shared" si="297"/>
        <v>8</v>
      </c>
      <c r="FT209" s="14">
        <f t="shared" si="298"/>
        <v>5</v>
      </c>
      <c r="FU209" s="14">
        <f t="shared" si="299"/>
        <v>0</v>
      </c>
      <c r="FV209" s="14">
        <f t="shared" si="280"/>
        <v>1061</v>
      </c>
      <c r="FW209" s="14">
        <f t="shared" si="281"/>
        <v>0</v>
      </c>
      <c r="FX209" s="14" t="str">
        <f t="shared" si="282"/>
        <v/>
      </c>
      <c r="FY209" s="25" t="str">
        <f t="shared" si="300"/>
        <v>icon_2006107</v>
      </c>
      <c r="GC209" s="14">
        <f t="shared" si="283"/>
        <v>1</v>
      </c>
      <c r="GD209" s="14">
        <f t="shared" si="284"/>
        <v>2</v>
      </c>
      <c r="GE209" s="14">
        <f t="shared" si="301"/>
        <v>90</v>
      </c>
      <c r="GF209" s="14" t="str">
        <f t="shared" si="285"/>
        <v>AtkExt</v>
      </c>
      <c r="GG209" s="14">
        <f t="shared" si="302"/>
        <v>150</v>
      </c>
      <c r="GH209" s="14">
        <f t="shared" si="303"/>
        <v>8</v>
      </c>
      <c r="GI209" s="14" t="str">
        <f t="shared" si="286"/>
        <v>DefExt</v>
      </c>
      <c r="GJ209" s="14">
        <f t="shared" si="304"/>
        <v>95</v>
      </c>
      <c r="GK209" s="14">
        <f t="shared" si="305"/>
        <v>5</v>
      </c>
      <c r="GL209" s="14">
        <f t="shared" si="287"/>
        <v>20610</v>
      </c>
      <c r="GM209" s="14">
        <f t="shared" si="306"/>
        <v>0</v>
      </c>
      <c r="GN209" s="14" t="str">
        <f t="shared" si="307"/>
        <v/>
      </c>
      <c r="GO209" s="25" t="s">
        <v>1471</v>
      </c>
      <c r="GP209" s="14">
        <f t="shared" si="288"/>
        <v>38</v>
      </c>
      <c r="HK209" s="13">
        <v>204</v>
      </c>
      <c r="HL209" s="14">
        <f t="shared" si="308"/>
        <v>9</v>
      </c>
      <c r="HM209" s="14">
        <f t="shared" si="309"/>
        <v>1</v>
      </c>
      <c r="HN209" s="14">
        <f t="shared" si="310"/>
        <v>9</v>
      </c>
      <c r="HO209" s="14">
        <f t="shared" si="311"/>
        <v>3</v>
      </c>
      <c r="HP209" s="14" t="str">
        <f t="shared" si="312"/>
        <v>130级寄灵人洗练-Q3-12</v>
      </c>
      <c r="HQ209" s="14">
        <f t="shared" si="313"/>
        <v>1093</v>
      </c>
      <c r="HR209" s="14">
        <f t="shared" si="314"/>
        <v>12</v>
      </c>
      <c r="HS209" s="14">
        <f t="shared" si="315"/>
        <v>500</v>
      </c>
      <c r="HT209" s="14" t="str">
        <f t="shared" si="316"/>
        <v>EffectResist</v>
      </c>
      <c r="HU209" s="14">
        <f t="shared" si="317"/>
        <v>1.7999999999999999E-2</v>
      </c>
      <c r="HV209" s="14">
        <f t="shared" si="318"/>
        <v>0.05</v>
      </c>
    </row>
    <row r="210" spans="151:230" ht="16.5" x14ac:dyDescent="0.2">
      <c r="EU210" s="13">
        <v>205</v>
      </c>
      <c r="EV210" s="14">
        <f t="shared" si="289"/>
        <v>1</v>
      </c>
      <c r="EW210" s="14">
        <f t="shared" si="290"/>
        <v>205</v>
      </c>
      <c r="EX210" s="14">
        <f t="shared" si="291"/>
        <v>27</v>
      </c>
      <c r="EY210" s="14">
        <f t="shared" si="266"/>
        <v>10</v>
      </c>
      <c r="EZ210" s="14">
        <f t="shared" si="267"/>
        <v>6</v>
      </c>
      <c r="FA210" s="14">
        <f t="shared" si="268"/>
        <v>100</v>
      </c>
      <c r="FB210" s="14">
        <f t="shared" si="269"/>
        <v>1</v>
      </c>
      <c r="FC210" s="14">
        <f t="shared" si="270"/>
        <v>8</v>
      </c>
      <c r="FD210" s="14">
        <f t="shared" si="271"/>
        <v>8</v>
      </c>
      <c r="FE210" s="14" t="b">
        <f t="shared" si="292"/>
        <v>0</v>
      </c>
      <c r="FF210" s="14">
        <f t="shared" si="272"/>
        <v>2006108</v>
      </c>
      <c r="FG210" s="13" t="str">
        <f t="shared" si="273"/>
        <v>100级-普通寄灵人の戒指</v>
      </c>
      <c r="FH210" s="14">
        <f t="shared" si="274"/>
        <v>1</v>
      </c>
      <c r="FI210" s="14">
        <f t="shared" si="275"/>
        <v>1</v>
      </c>
      <c r="FJ210" s="14">
        <f t="shared" si="276"/>
        <v>100</v>
      </c>
      <c r="FK210" s="14">
        <v>1</v>
      </c>
      <c r="FL210" s="14">
        <f t="shared" si="277"/>
        <v>6</v>
      </c>
      <c r="FM210" s="14">
        <f t="shared" si="293"/>
        <v>8</v>
      </c>
      <c r="FN210" s="14" t="str">
        <f t="shared" si="278"/>
        <v/>
      </c>
      <c r="FO210" s="14">
        <f t="shared" si="279"/>
        <v>130</v>
      </c>
      <c r="FP210" s="14">
        <f t="shared" si="294"/>
        <v>150</v>
      </c>
      <c r="FQ210" s="14">
        <f t="shared" si="295"/>
        <v>0</v>
      </c>
      <c r="FR210" s="14">
        <f t="shared" si="296"/>
        <v>1625</v>
      </c>
      <c r="FS210" s="14">
        <f t="shared" si="297"/>
        <v>8</v>
      </c>
      <c r="FT210" s="14">
        <f t="shared" si="298"/>
        <v>0</v>
      </c>
      <c r="FU210" s="14">
        <f t="shared" si="299"/>
        <v>90</v>
      </c>
      <c r="FV210" s="14">
        <f t="shared" si="280"/>
        <v>1061</v>
      </c>
      <c r="FW210" s="14">
        <f t="shared" si="281"/>
        <v>0</v>
      </c>
      <c r="FX210" s="14" t="str">
        <f t="shared" si="282"/>
        <v/>
      </c>
      <c r="FY210" s="25" t="str">
        <f t="shared" si="300"/>
        <v>icon_2006108</v>
      </c>
      <c r="GC210" s="14">
        <f t="shared" si="283"/>
        <v>1</v>
      </c>
      <c r="GD210" s="14">
        <f t="shared" si="284"/>
        <v>3</v>
      </c>
      <c r="GE210" s="14">
        <f t="shared" si="301"/>
        <v>130</v>
      </c>
      <c r="GF210" s="14" t="str">
        <f t="shared" si="285"/>
        <v>AtkExt</v>
      </c>
      <c r="GG210" s="14">
        <f t="shared" si="302"/>
        <v>150</v>
      </c>
      <c r="GH210" s="14">
        <f t="shared" si="303"/>
        <v>8</v>
      </c>
      <c r="GI210" s="14" t="str">
        <f t="shared" si="286"/>
        <v>HPExt</v>
      </c>
      <c r="GJ210" s="14">
        <f t="shared" si="304"/>
        <v>1625</v>
      </c>
      <c r="GK210" s="14">
        <f t="shared" si="305"/>
        <v>90</v>
      </c>
      <c r="GL210" s="14">
        <f t="shared" si="287"/>
        <v>20610</v>
      </c>
      <c r="GM210" s="14">
        <f t="shared" si="306"/>
        <v>0</v>
      </c>
      <c r="GN210" s="14" t="str">
        <f t="shared" si="307"/>
        <v/>
      </c>
      <c r="GO210" s="25" t="s">
        <v>1471</v>
      </c>
      <c r="GP210" s="14">
        <f t="shared" si="288"/>
        <v>38</v>
      </c>
      <c r="HK210" s="13">
        <v>205</v>
      </c>
      <c r="HL210" s="14">
        <f t="shared" si="308"/>
        <v>9</v>
      </c>
      <c r="HM210" s="14">
        <f t="shared" si="309"/>
        <v>1</v>
      </c>
      <c r="HN210" s="14">
        <f t="shared" si="310"/>
        <v>9</v>
      </c>
      <c r="HO210" s="14">
        <f t="shared" si="311"/>
        <v>4</v>
      </c>
      <c r="HP210" s="14" t="str">
        <f t="shared" si="312"/>
        <v>130级寄灵人洗练-Q4-1</v>
      </c>
      <c r="HQ210" s="14">
        <f t="shared" si="313"/>
        <v>1094</v>
      </c>
      <c r="HR210" s="14">
        <f t="shared" si="314"/>
        <v>1</v>
      </c>
      <c r="HS210" s="14">
        <f t="shared" si="315"/>
        <v>1800</v>
      </c>
      <c r="HT210" s="14" t="str">
        <f t="shared" si="316"/>
        <v>AtkExt</v>
      </c>
      <c r="HU210" s="14">
        <f t="shared" si="317"/>
        <v>318</v>
      </c>
      <c r="HV210" s="14">
        <f t="shared" si="318"/>
        <v>910</v>
      </c>
    </row>
    <row r="211" spans="151:230" ht="16.5" x14ac:dyDescent="0.2">
      <c r="EU211" s="13">
        <v>206</v>
      </c>
      <c r="EV211" s="14">
        <f t="shared" si="289"/>
        <v>1</v>
      </c>
      <c r="EW211" s="14">
        <f t="shared" si="290"/>
        <v>206</v>
      </c>
      <c r="EX211" s="14">
        <f t="shared" si="291"/>
        <v>28</v>
      </c>
      <c r="EY211" s="14">
        <f t="shared" si="266"/>
        <v>20</v>
      </c>
      <c r="EZ211" s="14">
        <f t="shared" si="267"/>
        <v>6</v>
      </c>
      <c r="FA211" s="14">
        <f t="shared" si="268"/>
        <v>100</v>
      </c>
      <c r="FB211" s="14">
        <f t="shared" si="269"/>
        <v>2</v>
      </c>
      <c r="FC211" s="14">
        <f t="shared" si="270"/>
        <v>1</v>
      </c>
      <c r="FD211" s="14">
        <f t="shared" si="271"/>
        <v>1</v>
      </c>
      <c r="FE211" s="14" t="b">
        <f t="shared" si="292"/>
        <v>0</v>
      </c>
      <c r="FF211" s="14">
        <f t="shared" si="272"/>
        <v>2006201</v>
      </c>
      <c r="FG211" s="13" t="str">
        <f t="shared" si="273"/>
        <v>100级-优秀寄灵人の灵器</v>
      </c>
      <c r="FH211" s="14">
        <f t="shared" si="274"/>
        <v>1</v>
      </c>
      <c r="FI211" s="14">
        <f t="shared" si="275"/>
        <v>2</v>
      </c>
      <c r="FJ211" s="14">
        <f t="shared" si="276"/>
        <v>100</v>
      </c>
      <c r="FK211" s="14">
        <v>1</v>
      </c>
      <c r="FL211" s="14">
        <f t="shared" si="277"/>
        <v>6</v>
      </c>
      <c r="FM211" s="14">
        <f t="shared" si="293"/>
        <v>1</v>
      </c>
      <c r="FN211" s="14" t="str">
        <f t="shared" si="278"/>
        <v/>
      </c>
      <c r="FO211" s="14">
        <f t="shared" si="279"/>
        <v>175</v>
      </c>
      <c r="FP211" s="14">
        <f t="shared" si="294"/>
        <v>625</v>
      </c>
      <c r="FQ211" s="14">
        <f t="shared" si="295"/>
        <v>0</v>
      </c>
      <c r="FR211" s="14">
        <f t="shared" si="296"/>
        <v>0</v>
      </c>
      <c r="FS211" s="14">
        <f t="shared" si="297"/>
        <v>35</v>
      </c>
      <c r="FT211" s="14">
        <f t="shared" si="298"/>
        <v>0</v>
      </c>
      <c r="FU211" s="14">
        <f t="shared" si="299"/>
        <v>0</v>
      </c>
      <c r="FV211" s="14">
        <f t="shared" si="280"/>
        <v>1062</v>
      </c>
      <c r="FW211" s="14">
        <f t="shared" si="281"/>
        <v>0</v>
      </c>
      <c r="FX211" s="14" t="str">
        <f t="shared" si="282"/>
        <v/>
      </c>
      <c r="FY211" s="25" t="str">
        <f t="shared" si="300"/>
        <v>icon_2006101</v>
      </c>
      <c r="GC211" s="14">
        <f t="shared" si="283"/>
        <v>1</v>
      </c>
      <c r="GD211" s="14">
        <f t="shared" si="284"/>
        <v>0</v>
      </c>
      <c r="GE211" s="14">
        <f t="shared" si="301"/>
        <v>175</v>
      </c>
      <c r="GF211" s="14" t="str">
        <f t="shared" si="285"/>
        <v>AtkExt</v>
      </c>
      <c r="GG211" s="14">
        <f t="shared" si="302"/>
        <v>625</v>
      </c>
      <c r="GH211" s="14">
        <f t="shared" si="303"/>
        <v>35</v>
      </c>
      <c r="GI211" s="14" t="str">
        <f t="shared" si="286"/>
        <v/>
      </c>
      <c r="GJ211" s="14" t="str">
        <f t="shared" si="304"/>
        <v/>
      </c>
      <c r="GK211" s="14" t="str">
        <f t="shared" si="305"/>
        <v/>
      </c>
      <c r="GL211" s="14">
        <f t="shared" si="287"/>
        <v>20620</v>
      </c>
      <c r="GM211" s="14">
        <f t="shared" si="306"/>
        <v>0</v>
      </c>
      <c r="GN211" s="14" t="str">
        <f t="shared" si="307"/>
        <v/>
      </c>
      <c r="GO211" s="25" t="s">
        <v>1471</v>
      </c>
      <c r="GP211" s="14">
        <f t="shared" si="288"/>
        <v>150</v>
      </c>
      <c r="HK211" s="13">
        <v>206</v>
      </c>
      <c r="HL211" s="14">
        <f t="shared" si="308"/>
        <v>9</v>
      </c>
      <c r="HM211" s="14">
        <f t="shared" si="309"/>
        <v>1</v>
      </c>
      <c r="HN211" s="14">
        <f t="shared" si="310"/>
        <v>9</v>
      </c>
      <c r="HO211" s="14">
        <f t="shared" si="311"/>
        <v>4</v>
      </c>
      <c r="HP211" s="14" t="str">
        <f t="shared" si="312"/>
        <v>130级寄灵人洗练-Q4-2</v>
      </c>
      <c r="HQ211" s="14">
        <f t="shared" si="313"/>
        <v>1094</v>
      </c>
      <c r="HR211" s="14">
        <f t="shared" si="314"/>
        <v>2</v>
      </c>
      <c r="HS211" s="14">
        <f t="shared" si="315"/>
        <v>1800</v>
      </c>
      <c r="HT211" s="14" t="str">
        <f t="shared" si="316"/>
        <v>DefExt</v>
      </c>
      <c r="HU211" s="14">
        <f t="shared" si="317"/>
        <v>116</v>
      </c>
      <c r="HV211" s="14">
        <f t="shared" si="318"/>
        <v>332</v>
      </c>
    </row>
    <row r="212" spans="151:230" ht="16.5" x14ac:dyDescent="0.2">
      <c r="EU212" s="13">
        <v>207</v>
      </c>
      <c r="EV212" s="14">
        <f t="shared" si="289"/>
        <v>1</v>
      </c>
      <c r="EW212" s="14">
        <f t="shared" si="290"/>
        <v>207</v>
      </c>
      <c r="EX212" s="14">
        <f t="shared" si="291"/>
        <v>28</v>
      </c>
      <c r="EY212" s="14">
        <f t="shared" si="266"/>
        <v>20</v>
      </c>
      <c r="EZ212" s="14">
        <f t="shared" si="267"/>
        <v>6</v>
      </c>
      <c r="FA212" s="14">
        <f t="shared" si="268"/>
        <v>100</v>
      </c>
      <c r="FB212" s="14">
        <f t="shared" si="269"/>
        <v>2</v>
      </c>
      <c r="FC212" s="14">
        <f t="shared" si="270"/>
        <v>2</v>
      </c>
      <c r="FD212" s="14">
        <f t="shared" si="271"/>
        <v>2</v>
      </c>
      <c r="FE212" s="14" t="b">
        <f t="shared" si="292"/>
        <v>0</v>
      </c>
      <c r="FF212" s="14">
        <f t="shared" si="272"/>
        <v>2006202</v>
      </c>
      <c r="FG212" s="13" t="str">
        <f t="shared" si="273"/>
        <v>100级-优秀寄灵人の头盔</v>
      </c>
      <c r="FH212" s="14">
        <f t="shared" si="274"/>
        <v>1</v>
      </c>
      <c r="FI212" s="14">
        <f t="shared" si="275"/>
        <v>2</v>
      </c>
      <c r="FJ212" s="14">
        <f t="shared" si="276"/>
        <v>100</v>
      </c>
      <c r="FK212" s="14">
        <v>1</v>
      </c>
      <c r="FL212" s="14">
        <f t="shared" si="277"/>
        <v>6</v>
      </c>
      <c r="FM212" s="14">
        <f t="shared" si="293"/>
        <v>2</v>
      </c>
      <c r="FN212" s="14" t="str">
        <f t="shared" si="278"/>
        <v/>
      </c>
      <c r="FO212" s="14">
        <f t="shared" si="279"/>
        <v>90</v>
      </c>
      <c r="FP212" s="14">
        <f t="shared" si="294"/>
        <v>0</v>
      </c>
      <c r="FQ212" s="14">
        <f t="shared" si="295"/>
        <v>160</v>
      </c>
      <c r="FR212" s="14">
        <f t="shared" si="296"/>
        <v>0</v>
      </c>
      <c r="FS212" s="14">
        <f t="shared" si="297"/>
        <v>0</v>
      </c>
      <c r="FT212" s="14">
        <f t="shared" si="298"/>
        <v>9</v>
      </c>
      <c r="FU212" s="14">
        <f t="shared" si="299"/>
        <v>0</v>
      </c>
      <c r="FV212" s="14">
        <f t="shared" si="280"/>
        <v>1062</v>
      </c>
      <c r="FW212" s="14">
        <f t="shared" si="281"/>
        <v>0</v>
      </c>
      <c r="FX212" s="14" t="str">
        <f t="shared" si="282"/>
        <v/>
      </c>
      <c r="FY212" s="25" t="str">
        <f t="shared" si="300"/>
        <v>icon_2006102</v>
      </c>
      <c r="GC212" s="14">
        <f t="shared" si="283"/>
        <v>2</v>
      </c>
      <c r="GD212" s="14">
        <f t="shared" si="284"/>
        <v>0</v>
      </c>
      <c r="GE212" s="14">
        <f t="shared" si="301"/>
        <v>90</v>
      </c>
      <c r="GF212" s="14" t="str">
        <f t="shared" si="285"/>
        <v>DefExt</v>
      </c>
      <c r="GG212" s="14">
        <f t="shared" si="302"/>
        <v>160</v>
      </c>
      <c r="GH212" s="14">
        <f t="shared" si="303"/>
        <v>9</v>
      </c>
      <c r="GI212" s="14" t="str">
        <f t="shared" si="286"/>
        <v/>
      </c>
      <c r="GJ212" s="14" t="str">
        <f t="shared" si="304"/>
        <v/>
      </c>
      <c r="GK212" s="14" t="str">
        <f t="shared" si="305"/>
        <v/>
      </c>
      <c r="GL212" s="14">
        <f t="shared" si="287"/>
        <v>20620</v>
      </c>
      <c r="GM212" s="14">
        <f t="shared" si="306"/>
        <v>0</v>
      </c>
      <c r="GN212" s="14" t="str">
        <f t="shared" si="307"/>
        <v/>
      </c>
      <c r="GO212" s="25" t="s">
        <v>1471</v>
      </c>
      <c r="GP212" s="14">
        <f t="shared" si="288"/>
        <v>75</v>
      </c>
      <c r="HK212" s="13">
        <v>207</v>
      </c>
      <c r="HL212" s="14">
        <f t="shared" si="308"/>
        <v>9</v>
      </c>
      <c r="HM212" s="14">
        <f t="shared" si="309"/>
        <v>1</v>
      </c>
      <c r="HN212" s="14">
        <f t="shared" si="310"/>
        <v>9</v>
      </c>
      <c r="HO212" s="14">
        <f t="shared" si="311"/>
        <v>4</v>
      </c>
      <c r="HP212" s="14" t="str">
        <f t="shared" si="312"/>
        <v>130级寄灵人洗练-Q4-3</v>
      </c>
      <c r="HQ212" s="14">
        <f t="shared" si="313"/>
        <v>1094</v>
      </c>
      <c r="HR212" s="14">
        <f t="shared" si="314"/>
        <v>3</v>
      </c>
      <c r="HS212" s="14">
        <f t="shared" si="315"/>
        <v>2000</v>
      </c>
      <c r="HT212" s="14" t="str">
        <f t="shared" si="316"/>
        <v>HPExt</v>
      </c>
      <c r="HU212" s="14">
        <f t="shared" si="317"/>
        <v>2834</v>
      </c>
      <c r="HV212" s="14">
        <f t="shared" si="318"/>
        <v>8099</v>
      </c>
    </row>
    <row r="213" spans="151:230" ht="16.5" x14ac:dyDescent="0.2">
      <c r="EU213" s="13">
        <v>208</v>
      </c>
      <c r="EV213" s="14">
        <f t="shared" si="289"/>
        <v>1</v>
      </c>
      <c r="EW213" s="14">
        <f t="shared" si="290"/>
        <v>208</v>
      </c>
      <c r="EX213" s="14">
        <f t="shared" si="291"/>
        <v>28</v>
      </c>
      <c r="EY213" s="14">
        <f t="shared" si="266"/>
        <v>20</v>
      </c>
      <c r="EZ213" s="14">
        <f t="shared" si="267"/>
        <v>6</v>
      </c>
      <c r="FA213" s="14">
        <f t="shared" si="268"/>
        <v>100</v>
      </c>
      <c r="FB213" s="14">
        <f t="shared" si="269"/>
        <v>2</v>
      </c>
      <c r="FC213" s="14">
        <f t="shared" si="270"/>
        <v>3</v>
      </c>
      <c r="FD213" s="14">
        <f t="shared" si="271"/>
        <v>3</v>
      </c>
      <c r="FE213" s="14" t="b">
        <f t="shared" si="292"/>
        <v>0</v>
      </c>
      <c r="FF213" s="14">
        <f t="shared" si="272"/>
        <v>2006203</v>
      </c>
      <c r="FG213" s="13" t="str">
        <f t="shared" si="273"/>
        <v>100级-优秀寄灵人の铠甲</v>
      </c>
      <c r="FH213" s="14">
        <f t="shared" si="274"/>
        <v>1</v>
      </c>
      <c r="FI213" s="14">
        <f t="shared" si="275"/>
        <v>2</v>
      </c>
      <c r="FJ213" s="14">
        <f t="shared" si="276"/>
        <v>100</v>
      </c>
      <c r="FK213" s="14">
        <v>1</v>
      </c>
      <c r="FL213" s="14">
        <f t="shared" si="277"/>
        <v>6</v>
      </c>
      <c r="FM213" s="14">
        <f t="shared" si="293"/>
        <v>3</v>
      </c>
      <c r="FN213" s="14" t="str">
        <f t="shared" si="278"/>
        <v/>
      </c>
      <c r="FO213" s="14">
        <f t="shared" si="279"/>
        <v>116</v>
      </c>
      <c r="FP213" s="14">
        <f t="shared" si="294"/>
        <v>0</v>
      </c>
      <c r="FQ213" s="14">
        <f t="shared" si="295"/>
        <v>80</v>
      </c>
      <c r="FR213" s="14">
        <f t="shared" si="296"/>
        <v>1365</v>
      </c>
      <c r="FS213" s="14">
        <f t="shared" si="297"/>
        <v>0</v>
      </c>
      <c r="FT213" s="14">
        <f t="shared" si="298"/>
        <v>4</v>
      </c>
      <c r="FU213" s="14">
        <f t="shared" si="299"/>
        <v>76</v>
      </c>
      <c r="FV213" s="14">
        <f t="shared" si="280"/>
        <v>1062</v>
      </c>
      <c r="FW213" s="14">
        <f t="shared" si="281"/>
        <v>0</v>
      </c>
      <c r="FX213" s="14" t="str">
        <f t="shared" si="282"/>
        <v/>
      </c>
      <c r="FY213" s="25" t="str">
        <f t="shared" si="300"/>
        <v>icon_2006103</v>
      </c>
      <c r="GC213" s="14">
        <f t="shared" si="283"/>
        <v>2</v>
      </c>
      <c r="GD213" s="14">
        <f t="shared" si="284"/>
        <v>3</v>
      </c>
      <c r="GE213" s="14">
        <f t="shared" si="301"/>
        <v>116</v>
      </c>
      <c r="GF213" s="14" t="str">
        <f t="shared" si="285"/>
        <v>DefExt</v>
      </c>
      <c r="GG213" s="14">
        <f t="shared" si="302"/>
        <v>80</v>
      </c>
      <c r="GH213" s="14">
        <f t="shared" si="303"/>
        <v>4</v>
      </c>
      <c r="GI213" s="14" t="str">
        <f t="shared" si="286"/>
        <v>HPExt</v>
      </c>
      <c r="GJ213" s="14">
        <f t="shared" si="304"/>
        <v>1365</v>
      </c>
      <c r="GK213" s="14">
        <f t="shared" si="305"/>
        <v>76</v>
      </c>
      <c r="GL213" s="14">
        <f t="shared" si="287"/>
        <v>20620</v>
      </c>
      <c r="GM213" s="14">
        <f t="shared" si="306"/>
        <v>0</v>
      </c>
      <c r="GN213" s="14" t="str">
        <f t="shared" si="307"/>
        <v/>
      </c>
      <c r="GO213" s="25" t="s">
        <v>1471</v>
      </c>
      <c r="GP213" s="14">
        <f t="shared" si="288"/>
        <v>75</v>
      </c>
      <c r="HK213" s="13">
        <v>208</v>
      </c>
      <c r="HL213" s="14">
        <f t="shared" si="308"/>
        <v>9</v>
      </c>
      <c r="HM213" s="14">
        <f t="shared" si="309"/>
        <v>1</v>
      </c>
      <c r="HN213" s="14">
        <f t="shared" si="310"/>
        <v>9</v>
      </c>
      <c r="HO213" s="14">
        <f t="shared" si="311"/>
        <v>4</v>
      </c>
      <c r="HP213" s="14" t="str">
        <f t="shared" si="312"/>
        <v>130级寄灵人洗练-Q4-4</v>
      </c>
      <c r="HQ213" s="14">
        <f t="shared" si="313"/>
        <v>1094</v>
      </c>
      <c r="HR213" s="14">
        <f t="shared" si="314"/>
        <v>4</v>
      </c>
      <c r="HS213" s="14">
        <f t="shared" si="315"/>
        <v>500</v>
      </c>
      <c r="HT213" s="14" t="str">
        <f t="shared" si="316"/>
        <v>AtkRate</v>
      </c>
      <c r="HU213" s="14">
        <f t="shared" si="317"/>
        <v>1.4E-2</v>
      </c>
      <c r="HV213" s="14">
        <f t="shared" si="318"/>
        <v>0.04</v>
      </c>
    </row>
    <row r="214" spans="151:230" ht="16.5" x14ac:dyDescent="0.2">
      <c r="EU214" s="13">
        <v>209</v>
      </c>
      <c r="EV214" s="14">
        <f t="shared" si="289"/>
        <v>1</v>
      </c>
      <c r="EW214" s="14">
        <f t="shared" si="290"/>
        <v>209</v>
      </c>
      <c r="EX214" s="14">
        <f t="shared" si="291"/>
        <v>28</v>
      </c>
      <c r="EY214" s="14">
        <f t="shared" si="266"/>
        <v>20</v>
      </c>
      <c r="EZ214" s="14">
        <f t="shared" si="267"/>
        <v>6</v>
      </c>
      <c r="FA214" s="14">
        <f t="shared" si="268"/>
        <v>100</v>
      </c>
      <c r="FB214" s="14">
        <f t="shared" si="269"/>
        <v>2</v>
      </c>
      <c r="FC214" s="14">
        <f t="shared" si="270"/>
        <v>4</v>
      </c>
      <c r="FD214" s="14">
        <f t="shared" si="271"/>
        <v>4</v>
      </c>
      <c r="FE214" s="14" t="b">
        <f t="shared" si="292"/>
        <v>0</v>
      </c>
      <c r="FF214" s="14">
        <f t="shared" si="272"/>
        <v>2006204</v>
      </c>
      <c r="FG214" s="13" t="str">
        <f t="shared" si="273"/>
        <v>100级-优秀寄灵人の裤子</v>
      </c>
      <c r="FH214" s="14">
        <f t="shared" si="274"/>
        <v>1</v>
      </c>
      <c r="FI214" s="14">
        <f t="shared" si="275"/>
        <v>2</v>
      </c>
      <c r="FJ214" s="14">
        <f t="shared" si="276"/>
        <v>100</v>
      </c>
      <c r="FK214" s="14">
        <v>1</v>
      </c>
      <c r="FL214" s="14">
        <f t="shared" si="277"/>
        <v>6</v>
      </c>
      <c r="FM214" s="14">
        <f t="shared" si="293"/>
        <v>4</v>
      </c>
      <c r="FN214" s="14" t="str">
        <f t="shared" si="278"/>
        <v/>
      </c>
      <c r="FO214" s="14">
        <f t="shared" si="279"/>
        <v>90</v>
      </c>
      <c r="FP214" s="14">
        <f t="shared" si="294"/>
        <v>0</v>
      </c>
      <c r="FQ214" s="14">
        <f t="shared" si="295"/>
        <v>160</v>
      </c>
      <c r="FR214" s="14">
        <f t="shared" si="296"/>
        <v>0</v>
      </c>
      <c r="FS214" s="14">
        <f t="shared" si="297"/>
        <v>0</v>
      </c>
      <c r="FT214" s="14">
        <f t="shared" si="298"/>
        <v>9</v>
      </c>
      <c r="FU214" s="14">
        <f t="shared" si="299"/>
        <v>0</v>
      </c>
      <c r="FV214" s="14">
        <f t="shared" si="280"/>
        <v>1062</v>
      </c>
      <c r="FW214" s="14">
        <f t="shared" si="281"/>
        <v>0</v>
      </c>
      <c r="FX214" s="14" t="str">
        <f t="shared" si="282"/>
        <v/>
      </c>
      <c r="FY214" s="25" t="str">
        <f t="shared" si="300"/>
        <v>icon_2006104</v>
      </c>
      <c r="GC214" s="14">
        <f t="shared" si="283"/>
        <v>2</v>
      </c>
      <c r="GD214" s="14">
        <f t="shared" si="284"/>
        <v>0</v>
      </c>
      <c r="GE214" s="14">
        <f t="shared" si="301"/>
        <v>90</v>
      </c>
      <c r="GF214" s="14" t="str">
        <f t="shared" si="285"/>
        <v>DefExt</v>
      </c>
      <c r="GG214" s="14">
        <f t="shared" si="302"/>
        <v>160</v>
      </c>
      <c r="GH214" s="14">
        <f t="shared" si="303"/>
        <v>9</v>
      </c>
      <c r="GI214" s="14" t="str">
        <f t="shared" si="286"/>
        <v/>
      </c>
      <c r="GJ214" s="14" t="str">
        <f t="shared" si="304"/>
        <v/>
      </c>
      <c r="GK214" s="14" t="str">
        <f t="shared" si="305"/>
        <v/>
      </c>
      <c r="GL214" s="14">
        <f t="shared" si="287"/>
        <v>20620</v>
      </c>
      <c r="GM214" s="14">
        <f t="shared" si="306"/>
        <v>0</v>
      </c>
      <c r="GN214" s="14" t="str">
        <f t="shared" si="307"/>
        <v/>
      </c>
      <c r="GO214" s="25" t="s">
        <v>1471</v>
      </c>
      <c r="GP214" s="14">
        <f t="shared" si="288"/>
        <v>75</v>
      </c>
      <c r="HK214" s="13">
        <v>209</v>
      </c>
      <c r="HL214" s="14">
        <f t="shared" si="308"/>
        <v>9</v>
      </c>
      <c r="HM214" s="14">
        <f t="shared" si="309"/>
        <v>1</v>
      </c>
      <c r="HN214" s="14">
        <f t="shared" si="310"/>
        <v>9</v>
      </c>
      <c r="HO214" s="14">
        <f t="shared" si="311"/>
        <v>4</v>
      </c>
      <c r="HP214" s="14" t="str">
        <f t="shared" si="312"/>
        <v>130级寄灵人洗练-Q4-5</v>
      </c>
      <c r="HQ214" s="14">
        <f t="shared" si="313"/>
        <v>1094</v>
      </c>
      <c r="HR214" s="14">
        <f t="shared" si="314"/>
        <v>5</v>
      </c>
      <c r="HS214" s="14">
        <f t="shared" si="315"/>
        <v>400</v>
      </c>
      <c r="HT214" s="14" t="str">
        <f t="shared" si="316"/>
        <v>DefRate</v>
      </c>
      <c r="HU214" s="14">
        <f t="shared" si="317"/>
        <v>1.4E-2</v>
      </c>
      <c r="HV214" s="14">
        <f t="shared" si="318"/>
        <v>0.04</v>
      </c>
    </row>
    <row r="215" spans="151:230" ht="16.5" x14ac:dyDescent="0.2">
      <c r="EU215" s="13">
        <v>210</v>
      </c>
      <c r="EV215" s="14">
        <f t="shared" si="289"/>
        <v>1</v>
      </c>
      <c r="EW215" s="14">
        <f t="shared" si="290"/>
        <v>210</v>
      </c>
      <c r="EX215" s="14">
        <f t="shared" si="291"/>
        <v>28</v>
      </c>
      <c r="EY215" s="14">
        <f t="shared" si="266"/>
        <v>20</v>
      </c>
      <c r="EZ215" s="14">
        <f t="shared" si="267"/>
        <v>6</v>
      </c>
      <c r="FA215" s="14">
        <f t="shared" si="268"/>
        <v>100</v>
      </c>
      <c r="FB215" s="14">
        <f t="shared" si="269"/>
        <v>2</v>
      </c>
      <c r="FC215" s="14">
        <f t="shared" si="270"/>
        <v>5</v>
      </c>
      <c r="FD215" s="14">
        <f t="shared" si="271"/>
        <v>5</v>
      </c>
      <c r="FE215" s="14" t="b">
        <f t="shared" si="292"/>
        <v>0</v>
      </c>
      <c r="FF215" s="14">
        <f t="shared" si="272"/>
        <v>2006205</v>
      </c>
      <c r="FG215" s="13" t="str">
        <f t="shared" si="273"/>
        <v>100级-优秀寄灵人の鞋子</v>
      </c>
      <c r="FH215" s="14">
        <f t="shared" si="274"/>
        <v>1</v>
      </c>
      <c r="FI215" s="14">
        <f t="shared" si="275"/>
        <v>2</v>
      </c>
      <c r="FJ215" s="14">
        <f t="shared" si="276"/>
        <v>100</v>
      </c>
      <c r="FK215" s="14">
        <v>1</v>
      </c>
      <c r="FL215" s="14">
        <f t="shared" si="277"/>
        <v>6</v>
      </c>
      <c r="FM215" s="14">
        <f t="shared" si="293"/>
        <v>5</v>
      </c>
      <c r="FN215" s="14" t="str">
        <f t="shared" si="278"/>
        <v/>
      </c>
      <c r="FO215" s="14">
        <f t="shared" si="279"/>
        <v>152</v>
      </c>
      <c r="FP215" s="14">
        <f t="shared" si="294"/>
        <v>0</v>
      </c>
      <c r="FQ215" s="14">
        <f t="shared" si="295"/>
        <v>0</v>
      </c>
      <c r="FR215" s="14">
        <f t="shared" si="296"/>
        <v>2730</v>
      </c>
      <c r="FS215" s="14">
        <f t="shared" si="297"/>
        <v>0</v>
      </c>
      <c r="FT215" s="14">
        <f t="shared" si="298"/>
        <v>0</v>
      </c>
      <c r="FU215" s="14">
        <f t="shared" si="299"/>
        <v>152</v>
      </c>
      <c r="FV215" s="14">
        <f t="shared" si="280"/>
        <v>1062</v>
      </c>
      <c r="FW215" s="14">
        <f t="shared" si="281"/>
        <v>0</v>
      </c>
      <c r="FX215" s="14" t="str">
        <f t="shared" si="282"/>
        <v/>
      </c>
      <c r="FY215" s="25" t="str">
        <f t="shared" si="300"/>
        <v>icon_2006105</v>
      </c>
      <c r="GC215" s="14">
        <f t="shared" si="283"/>
        <v>3</v>
      </c>
      <c r="GD215" s="14">
        <f t="shared" si="284"/>
        <v>0</v>
      </c>
      <c r="GE215" s="14">
        <f t="shared" si="301"/>
        <v>152</v>
      </c>
      <c r="GF215" s="14" t="str">
        <f t="shared" si="285"/>
        <v>HPExt</v>
      </c>
      <c r="GG215" s="14">
        <f t="shared" si="302"/>
        <v>2730</v>
      </c>
      <c r="GH215" s="14">
        <f t="shared" si="303"/>
        <v>152</v>
      </c>
      <c r="GI215" s="14" t="str">
        <f t="shared" si="286"/>
        <v/>
      </c>
      <c r="GJ215" s="14" t="str">
        <f t="shared" si="304"/>
        <v/>
      </c>
      <c r="GK215" s="14" t="str">
        <f t="shared" si="305"/>
        <v/>
      </c>
      <c r="GL215" s="14">
        <f t="shared" si="287"/>
        <v>20620</v>
      </c>
      <c r="GM215" s="14">
        <f t="shared" si="306"/>
        <v>0</v>
      </c>
      <c r="GN215" s="14" t="str">
        <f t="shared" si="307"/>
        <v/>
      </c>
      <c r="GO215" s="25" t="s">
        <v>1471</v>
      </c>
      <c r="GP215" s="14">
        <f t="shared" si="288"/>
        <v>75</v>
      </c>
      <c r="HK215" s="13">
        <v>210</v>
      </c>
      <c r="HL215" s="14">
        <f t="shared" si="308"/>
        <v>9</v>
      </c>
      <c r="HM215" s="14">
        <f t="shared" si="309"/>
        <v>1</v>
      </c>
      <c r="HN215" s="14">
        <f t="shared" si="310"/>
        <v>9</v>
      </c>
      <c r="HO215" s="14">
        <f t="shared" si="311"/>
        <v>4</v>
      </c>
      <c r="HP215" s="14" t="str">
        <f t="shared" si="312"/>
        <v>130级寄灵人洗练-Q4-6</v>
      </c>
      <c r="HQ215" s="14">
        <f t="shared" si="313"/>
        <v>1094</v>
      </c>
      <c r="HR215" s="14">
        <f t="shared" si="314"/>
        <v>6</v>
      </c>
      <c r="HS215" s="14">
        <f t="shared" si="315"/>
        <v>500</v>
      </c>
      <c r="HT215" s="14" t="str">
        <f t="shared" si="316"/>
        <v>HPRate</v>
      </c>
      <c r="HU215" s="14">
        <f t="shared" si="317"/>
        <v>1.4E-2</v>
      </c>
      <c r="HV215" s="14">
        <f t="shared" si="318"/>
        <v>0.04</v>
      </c>
    </row>
    <row r="216" spans="151:230" ht="16.5" x14ac:dyDescent="0.2">
      <c r="EU216" s="13">
        <v>211</v>
      </c>
      <c r="EV216" s="14">
        <f t="shared" si="289"/>
        <v>1</v>
      </c>
      <c r="EW216" s="14">
        <f t="shared" si="290"/>
        <v>211</v>
      </c>
      <c r="EX216" s="14">
        <f t="shared" si="291"/>
        <v>28</v>
      </c>
      <c r="EY216" s="14">
        <f t="shared" si="266"/>
        <v>20</v>
      </c>
      <c r="EZ216" s="14">
        <f t="shared" si="267"/>
        <v>6</v>
      </c>
      <c r="FA216" s="14">
        <f t="shared" si="268"/>
        <v>100</v>
      </c>
      <c r="FB216" s="14">
        <f t="shared" si="269"/>
        <v>2</v>
      </c>
      <c r="FC216" s="14">
        <f t="shared" si="270"/>
        <v>6</v>
      </c>
      <c r="FD216" s="14">
        <f t="shared" si="271"/>
        <v>6</v>
      </c>
      <c r="FE216" s="14" t="b">
        <f t="shared" si="292"/>
        <v>0</v>
      </c>
      <c r="FF216" s="14">
        <f t="shared" si="272"/>
        <v>2006206</v>
      </c>
      <c r="FG216" s="13" t="str">
        <f t="shared" si="273"/>
        <v>100级-优秀寄灵人の护手</v>
      </c>
      <c r="FH216" s="14">
        <f t="shared" si="274"/>
        <v>1</v>
      </c>
      <c r="FI216" s="14">
        <f t="shared" si="275"/>
        <v>2</v>
      </c>
      <c r="FJ216" s="14">
        <f t="shared" si="276"/>
        <v>100</v>
      </c>
      <c r="FK216" s="14">
        <v>1</v>
      </c>
      <c r="FL216" s="14">
        <f t="shared" si="277"/>
        <v>6</v>
      </c>
      <c r="FM216" s="14">
        <f t="shared" si="293"/>
        <v>6</v>
      </c>
      <c r="FN216" s="14" t="str">
        <f t="shared" si="278"/>
        <v/>
      </c>
      <c r="FO216" s="14">
        <f t="shared" si="279"/>
        <v>152</v>
      </c>
      <c r="FP216" s="14">
        <f t="shared" si="294"/>
        <v>0</v>
      </c>
      <c r="FQ216" s="14">
        <f t="shared" si="295"/>
        <v>0</v>
      </c>
      <c r="FR216" s="14">
        <f t="shared" si="296"/>
        <v>2730</v>
      </c>
      <c r="FS216" s="14">
        <f t="shared" si="297"/>
        <v>0</v>
      </c>
      <c r="FT216" s="14">
        <f t="shared" si="298"/>
        <v>0</v>
      </c>
      <c r="FU216" s="14">
        <f t="shared" si="299"/>
        <v>152</v>
      </c>
      <c r="FV216" s="14">
        <f t="shared" si="280"/>
        <v>1062</v>
      </c>
      <c r="FW216" s="14">
        <f t="shared" si="281"/>
        <v>0</v>
      </c>
      <c r="FX216" s="14" t="str">
        <f t="shared" si="282"/>
        <v/>
      </c>
      <c r="FY216" s="25" t="str">
        <f t="shared" si="300"/>
        <v>icon_2006106</v>
      </c>
      <c r="GC216" s="14">
        <f t="shared" si="283"/>
        <v>3</v>
      </c>
      <c r="GD216" s="14">
        <f t="shared" si="284"/>
        <v>0</v>
      </c>
      <c r="GE216" s="14">
        <f t="shared" si="301"/>
        <v>152</v>
      </c>
      <c r="GF216" s="14" t="str">
        <f t="shared" si="285"/>
        <v>HPExt</v>
      </c>
      <c r="GG216" s="14">
        <f t="shared" si="302"/>
        <v>2730</v>
      </c>
      <c r="GH216" s="14">
        <f t="shared" si="303"/>
        <v>152</v>
      </c>
      <c r="GI216" s="14" t="str">
        <f t="shared" si="286"/>
        <v/>
      </c>
      <c r="GJ216" s="14" t="str">
        <f t="shared" si="304"/>
        <v/>
      </c>
      <c r="GK216" s="14" t="str">
        <f t="shared" si="305"/>
        <v/>
      </c>
      <c r="GL216" s="14">
        <f t="shared" si="287"/>
        <v>20620</v>
      </c>
      <c r="GM216" s="14">
        <f t="shared" si="306"/>
        <v>0</v>
      </c>
      <c r="GN216" s="14" t="str">
        <f t="shared" si="307"/>
        <v/>
      </c>
      <c r="GO216" s="25" t="s">
        <v>1471</v>
      </c>
      <c r="GP216" s="14">
        <f t="shared" si="288"/>
        <v>75</v>
      </c>
      <c r="HK216" s="13">
        <v>211</v>
      </c>
      <c r="HL216" s="14">
        <f t="shared" si="308"/>
        <v>9</v>
      </c>
      <c r="HM216" s="14">
        <f t="shared" si="309"/>
        <v>1</v>
      </c>
      <c r="HN216" s="14">
        <f t="shared" si="310"/>
        <v>9</v>
      </c>
      <c r="HO216" s="14">
        <f t="shared" si="311"/>
        <v>4</v>
      </c>
      <c r="HP216" s="14" t="str">
        <f t="shared" si="312"/>
        <v>130级寄灵人洗练-Q4-7</v>
      </c>
      <c r="HQ216" s="14">
        <f t="shared" si="313"/>
        <v>1094</v>
      </c>
      <c r="HR216" s="14">
        <f t="shared" si="314"/>
        <v>7</v>
      </c>
      <c r="HS216" s="14">
        <f t="shared" si="315"/>
        <v>500</v>
      </c>
      <c r="HT216" s="14" t="str">
        <f t="shared" si="316"/>
        <v>Crit</v>
      </c>
      <c r="HU216" s="14">
        <f t="shared" si="317"/>
        <v>1.0999999999999999E-2</v>
      </c>
      <c r="HV216" s="14">
        <f t="shared" si="318"/>
        <v>0.03</v>
      </c>
    </row>
    <row r="217" spans="151:230" ht="16.5" x14ac:dyDescent="0.2">
      <c r="EU217" s="13">
        <v>212</v>
      </c>
      <c r="EV217" s="14">
        <f t="shared" si="289"/>
        <v>1</v>
      </c>
      <c r="EW217" s="14">
        <f t="shared" si="290"/>
        <v>212</v>
      </c>
      <c r="EX217" s="14">
        <f t="shared" si="291"/>
        <v>28</v>
      </c>
      <c r="EY217" s="14">
        <f t="shared" si="266"/>
        <v>20</v>
      </c>
      <c r="EZ217" s="14">
        <f t="shared" si="267"/>
        <v>6</v>
      </c>
      <c r="FA217" s="14">
        <f t="shared" si="268"/>
        <v>100</v>
      </c>
      <c r="FB217" s="14">
        <f t="shared" si="269"/>
        <v>2</v>
      </c>
      <c r="FC217" s="14">
        <f t="shared" si="270"/>
        <v>7</v>
      </c>
      <c r="FD217" s="14">
        <f t="shared" si="271"/>
        <v>7</v>
      </c>
      <c r="FE217" s="14" t="b">
        <f t="shared" si="292"/>
        <v>0</v>
      </c>
      <c r="FF217" s="14">
        <f t="shared" si="272"/>
        <v>2006207</v>
      </c>
      <c r="FG217" s="13" t="str">
        <f t="shared" si="273"/>
        <v>100级-优秀寄灵人の项链</v>
      </c>
      <c r="FH217" s="14">
        <f t="shared" si="274"/>
        <v>1</v>
      </c>
      <c r="FI217" s="14">
        <f t="shared" si="275"/>
        <v>2</v>
      </c>
      <c r="FJ217" s="14">
        <f t="shared" si="276"/>
        <v>100</v>
      </c>
      <c r="FK217" s="14">
        <v>1</v>
      </c>
      <c r="FL217" s="14">
        <f t="shared" si="277"/>
        <v>6</v>
      </c>
      <c r="FM217" s="14">
        <f t="shared" si="293"/>
        <v>7</v>
      </c>
      <c r="FN217" s="14" t="str">
        <f t="shared" si="278"/>
        <v/>
      </c>
      <c r="FO217" s="14">
        <f t="shared" si="279"/>
        <v>130</v>
      </c>
      <c r="FP217" s="14">
        <f t="shared" si="294"/>
        <v>210</v>
      </c>
      <c r="FQ217" s="14">
        <f t="shared" si="295"/>
        <v>130</v>
      </c>
      <c r="FR217" s="14">
        <f t="shared" si="296"/>
        <v>0</v>
      </c>
      <c r="FS217" s="14">
        <f t="shared" si="297"/>
        <v>12</v>
      </c>
      <c r="FT217" s="14">
        <f t="shared" si="298"/>
        <v>7</v>
      </c>
      <c r="FU217" s="14">
        <f t="shared" si="299"/>
        <v>0</v>
      </c>
      <c r="FV217" s="14">
        <f t="shared" si="280"/>
        <v>1062</v>
      </c>
      <c r="FW217" s="14">
        <f t="shared" si="281"/>
        <v>0</v>
      </c>
      <c r="FX217" s="14" t="str">
        <f t="shared" si="282"/>
        <v/>
      </c>
      <c r="FY217" s="25" t="str">
        <f t="shared" si="300"/>
        <v>icon_2006107</v>
      </c>
      <c r="GC217" s="14">
        <f t="shared" si="283"/>
        <v>1</v>
      </c>
      <c r="GD217" s="14">
        <f t="shared" si="284"/>
        <v>2</v>
      </c>
      <c r="GE217" s="14">
        <f t="shared" si="301"/>
        <v>130</v>
      </c>
      <c r="GF217" s="14" t="str">
        <f t="shared" si="285"/>
        <v>AtkExt</v>
      </c>
      <c r="GG217" s="14">
        <f t="shared" si="302"/>
        <v>210</v>
      </c>
      <c r="GH217" s="14">
        <f t="shared" si="303"/>
        <v>12</v>
      </c>
      <c r="GI217" s="14" t="str">
        <f t="shared" si="286"/>
        <v>DefExt</v>
      </c>
      <c r="GJ217" s="14">
        <f t="shared" si="304"/>
        <v>130</v>
      </c>
      <c r="GK217" s="14">
        <f t="shared" si="305"/>
        <v>7</v>
      </c>
      <c r="GL217" s="14">
        <f t="shared" si="287"/>
        <v>20620</v>
      </c>
      <c r="GM217" s="14">
        <f t="shared" si="306"/>
        <v>0</v>
      </c>
      <c r="GN217" s="14" t="str">
        <f t="shared" si="307"/>
        <v/>
      </c>
      <c r="GO217" s="25" t="s">
        <v>1471</v>
      </c>
      <c r="GP217" s="14">
        <f t="shared" si="288"/>
        <v>113</v>
      </c>
      <c r="HK217" s="13">
        <v>212</v>
      </c>
      <c r="HL217" s="14">
        <f t="shared" si="308"/>
        <v>9</v>
      </c>
      <c r="HM217" s="14">
        <f t="shared" si="309"/>
        <v>1</v>
      </c>
      <c r="HN217" s="14">
        <f t="shared" si="310"/>
        <v>9</v>
      </c>
      <c r="HO217" s="14">
        <f t="shared" si="311"/>
        <v>4</v>
      </c>
      <c r="HP217" s="14" t="str">
        <f t="shared" si="312"/>
        <v>130级寄灵人洗练-Q4-8</v>
      </c>
      <c r="HQ217" s="14">
        <f t="shared" si="313"/>
        <v>1094</v>
      </c>
      <c r="HR217" s="14">
        <f t="shared" si="314"/>
        <v>8</v>
      </c>
      <c r="HS217" s="14">
        <f t="shared" si="315"/>
        <v>500</v>
      </c>
      <c r="HT217" s="14" t="str">
        <f t="shared" si="316"/>
        <v>CritRate</v>
      </c>
      <c r="HU217" s="14">
        <f t="shared" si="317"/>
        <v>2.8000000000000001E-2</v>
      </c>
      <c r="HV217" s="14">
        <f t="shared" si="318"/>
        <v>0.08</v>
      </c>
    </row>
    <row r="218" spans="151:230" ht="16.5" x14ac:dyDescent="0.2">
      <c r="EU218" s="13">
        <v>213</v>
      </c>
      <c r="EV218" s="14">
        <f t="shared" si="289"/>
        <v>1</v>
      </c>
      <c r="EW218" s="14">
        <f t="shared" si="290"/>
        <v>213</v>
      </c>
      <c r="EX218" s="14">
        <f t="shared" si="291"/>
        <v>28</v>
      </c>
      <c r="EY218" s="14">
        <f t="shared" si="266"/>
        <v>20</v>
      </c>
      <c r="EZ218" s="14">
        <f t="shared" si="267"/>
        <v>6</v>
      </c>
      <c r="FA218" s="14">
        <f t="shared" si="268"/>
        <v>100</v>
      </c>
      <c r="FB218" s="14">
        <f t="shared" si="269"/>
        <v>2</v>
      </c>
      <c r="FC218" s="14">
        <f t="shared" si="270"/>
        <v>8</v>
      </c>
      <c r="FD218" s="14">
        <f t="shared" si="271"/>
        <v>8</v>
      </c>
      <c r="FE218" s="14" t="b">
        <f t="shared" si="292"/>
        <v>0</v>
      </c>
      <c r="FF218" s="14">
        <f t="shared" si="272"/>
        <v>2006208</v>
      </c>
      <c r="FG218" s="13" t="str">
        <f t="shared" si="273"/>
        <v>100级-优秀寄灵人の戒指</v>
      </c>
      <c r="FH218" s="14">
        <f t="shared" si="274"/>
        <v>1</v>
      </c>
      <c r="FI218" s="14">
        <f t="shared" si="275"/>
        <v>2</v>
      </c>
      <c r="FJ218" s="14">
        <f t="shared" si="276"/>
        <v>100</v>
      </c>
      <c r="FK218" s="14">
        <v>1</v>
      </c>
      <c r="FL218" s="14">
        <f t="shared" si="277"/>
        <v>6</v>
      </c>
      <c r="FM218" s="14">
        <f t="shared" si="293"/>
        <v>8</v>
      </c>
      <c r="FN218" s="14" t="str">
        <f t="shared" si="278"/>
        <v/>
      </c>
      <c r="FO218" s="14">
        <f t="shared" si="279"/>
        <v>186</v>
      </c>
      <c r="FP218" s="14">
        <f t="shared" si="294"/>
        <v>210</v>
      </c>
      <c r="FQ218" s="14">
        <f t="shared" si="295"/>
        <v>0</v>
      </c>
      <c r="FR218" s="14">
        <f t="shared" si="296"/>
        <v>2275</v>
      </c>
      <c r="FS218" s="14">
        <f t="shared" si="297"/>
        <v>12</v>
      </c>
      <c r="FT218" s="14">
        <f t="shared" si="298"/>
        <v>0</v>
      </c>
      <c r="FU218" s="14">
        <f t="shared" si="299"/>
        <v>126</v>
      </c>
      <c r="FV218" s="14">
        <f t="shared" si="280"/>
        <v>1062</v>
      </c>
      <c r="FW218" s="14">
        <f t="shared" si="281"/>
        <v>0</v>
      </c>
      <c r="FX218" s="14" t="str">
        <f t="shared" si="282"/>
        <v/>
      </c>
      <c r="FY218" s="25" t="str">
        <f t="shared" si="300"/>
        <v>icon_2006108</v>
      </c>
      <c r="GC218" s="14">
        <f t="shared" si="283"/>
        <v>1</v>
      </c>
      <c r="GD218" s="14">
        <f t="shared" si="284"/>
        <v>3</v>
      </c>
      <c r="GE218" s="14">
        <f t="shared" si="301"/>
        <v>186</v>
      </c>
      <c r="GF218" s="14" t="str">
        <f t="shared" si="285"/>
        <v>AtkExt</v>
      </c>
      <c r="GG218" s="14">
        <f t="shared" si="302"/>
        <v>210</v>
      </c>
      <c r="GH218" s="14">
        <f t="shared" si="303"/>
        <v>12</v>
      </c>
      <c r="GI218" s="14" t="str">
        <f t="shared" si="286"/>
        <v>HPExt</v>
      </c>
      <c r="GJ218" s="14">
        <f t="shared" si="304"/>
        <v>2275</v>
      </c>
      <c r="GK218" s="14">
        <f t="shared" si="305"/>
        <v>126</v>
      </c>
      <c r="GL218" s="14">
        <f t="shared" si="287"/>
        <v>20620</v>
      </c>
      <c r="GM218" s="14">
        <f t="shared" si="306"/>
        <v>0</v>
      </c>
      <c r="GN218" s="14" t="str">
        <f t="shared" si="307"/>
        <v/>
      </c>
      <c r="GO218" s="25" t="s">
        <v>1471</v>
      </c>
      <c r="GP218" s="14">
        <f t="shared" si="288"/>
        <v>113</v>
      </c>
      <c r="HK218" s="13">
        <v>213</v>
      </c>
      <c r="HL218" s="14">
        <f t="shared" si="308"/>
        <v>9</v>
      </c>
      <c r="HM218" s="14">
        <f t="shared" si="309"/>
        <v>1</v>
      </c>
      <c r="HN218" s="14">
        <f t="shared" si="310"/>
        <v>9</v>
      </c>
      <c r="HO218" s="14">
        <f t="shared" si="311"/>
        <v>4</v>
      </c>
      <c r="HP218" s="14" t="str">
        <f t="shared" si="312"/>
        <v>130级寄灵人洗练-Q4-9</v>
      </c>
      <c r="HQ218" s="14">
        <f t="shared" si="313"/>
        <v>1094</v>
      </c>
      <c r="HR218" s="14">
        <f t="shared" si="314"/>
        <v>9</v>
      </c>
      <c r="HS218" s="14">
        <f t="shared" si="315"/>
        <v>500</v>
      </c>
      <c r="HT218" s="14" t="str">
        <f t="shared" si="316"/>
        <v>DefIgnor</v>
      </c>
      <c r="HU218" s="14">
        <f t="shared" si="317"/>
        <v>1.0999999999999999E-2</v>
      </c>
      <c r="HV218" s="14">
        <f t="shared" si="318"/>
        <v>0.03</v>
      </c>
    </row>
    <row r="219" spans="151:230" ht="16.5" x14ac:dyDescent="0.2">
      <c r="EU219" s="13">
        <v>214</v>
      </c>
      <c r="EV219" s="14">
        <f t="shared" si="289"/>
        <v>1</v>
      </c>
      <c r="EW219" s="14">
        <f t="shared" si="290"/>
        <v>214</v>
      </c>
      <c r="EX219" s="14">
        <f t="shared" si="291"/>
        <v>29</v>
      </c>
      <c r="EY219" s="14">
        <f t="shared" si="266"/>
        <v>30</v>
      </c>
      <c r="EZ219" s="14">
        <f t="shared" si="267"/>
        <v>6</v>
      </c>
      <c r="FA219" s="14">
        <f t="shared" si="268"/>
        <v>100</v>
      </c>
      <c r="FB219" s="14">
        <f t="shared" si="269"/>
        <v>3</v>
      </c>
      <c r="FC219" s="14">
        <f t="shared" si="270"/>
        <v>1</v>
      </c>
      <c r="FD219" s="14">
        <f t="shared" si="271"/>
        <v>1</v>
      </c>
      <c r="FE219" s="14" t="b">
        <f t="shared" si="292"/>
        <v>0</v>
      </c>
      <c r="FF219" s="14">
        <f t="shared" si="272"/>
        <v>2006301</v>
      </c>
      <c r="FG219" s="13" t="str">
        <f t="shared" si="273"/>
        <v>100级-精良寄灵人の灵器</v>
      </c>
      <c r="FH219" s="14">
        <f t="shared" si="274"/>
        <v>1</v>
      </c>
      <c r="FI219" s="14">
        <f t="shared" si="275"/>
        <v>3</v>
      </c>
      <c r="FJ219" s="14">
        <f t="shared" si="276"/>
        <v>100</v>
      </c>
      <c r="FK219" s="14">
        <v>1</v>
      </c>
      <c r="FL219" s="14">
        <f t="shared" si="277"/>
        <v>6</v>
      </c>
      <c r="FM219" s="14">
        <f t="shared" si="293"/>
        <v>1</v>
      </c>
      <c r="FN219" s="14" t="str">
        <f t="shared" si="278"/>
        <v/>
      </c>
      <c r="FO219" s="14">
        <f t="shared" si="279"/>
        <v>210</v>
      </c>
      <c r="FP219" s="14">
        <f t="shared" si="294"/>
        <v>755</v>
      </c>
      <c r="FQ219" s="14">
        <f t="shared" si="295"/>
        <v>0</v>
      </c>
      <c r="FR219" s="14">
        <f t="shared" si="296"/>
        <v>0</v>
      </c>
      <c r="FS219" s="14">
        <f t="shared" si="297"/>
        <v>42</v>
      </c>
      <c r="FT219" s="14">
        <f t="shared" si="298"/>
        <v>0</v>
      </c>
      <c r="FU219" s="14">
        <f t="shared" si="299"/>
        <v>0</v>
      </c>
      <c r="FV219" s="14">
        <f t="shared" si="280"/>
        <v>1063</v>
      </c>
      <c r="FW219" s="14">
        <f t="shared" si="281"/>
        <v>4</v>
      </c>
      <c r="FX219" s="14">
        <f t="shared" si="282"/>
        <v>1063</v>
      </c>
      <c r="FY219" s="25" t="str">
        <f t="shared" si="300"/>
        <v>icon_2006101</v>
      </c>
      <c r="GC219" s="14">
        <f t="shared" si="283"/>
        <v>1</v>
      </c>
      <c r="GD219" s="14">
        <f t="shared" si="284"/>
        <v>0</v>
      </c>
      <c r="GE219" s="14">
        <f t="shared" si="301"/>
        <v>210</v>
      </c>
      <c r="GF219" s="14" t="str">
        <f t="shared" si="285"/>
        <v>AtkExt</v>
      </c>
      <c r="GG219" s="14">
        <f t="shared" si="302"/>
        <v>755</v>
      </c>
      <c r="GH219" s="14">
        <f t="shared" si="303"/>
        <v>42</v>
      </c>
      <c r="GI219" s="14" t="str">
        <f t="shared" si="286"/>
        <v/>
      </c>
      <c r="GJ219" s="14" t="str">
        <f t="shared" si="304"/>
        <v/>
      </c>
      <c r="GK219" s="14" t="str">
        <f t="shared" si="305"/>
        <v/>
      </c>
      <c r="GL219" s="14">
        <f t="shared" si="287"/>
        <v>20630</v>
      </c>
      <c r="GM219" s="14">
        <f t="shared" si="306"/>
        <v>4</v>
      </c>
      <c r="GN219" s="14">
        <f t="shared" si="307"/>
        <v>1063</v>
      </c>
      <c r="GO219" s="25" t="s">
        <v>1471</v>
      </c>
      <c r="GP219" s="14">
        <f t="shared" si="288"/>
        <v>250</v>
      </c>
      <c r="HK219" s="13">
        <v>214</v>
      </c>
      <c r="HL219" s="14">
        <f t="shared" si="308"/>
        <v>9</v>
      </c>
      <c r="HM219" s="14">
        <f t="shared" si="309"/>
        <v>1</v>
      </c>
      <c r="HN219" s="14">
        <f t="shared" si="310"/>
        <v>9</v>
      </c>
      <c r="HO219" s="14">
        <f t="shared" si="311"/>
        <v>4</v>
      </c>
      <c r="HP219" s="14" t="str">
        <f t="shared" si="312"/>
        <v>130级寄灵人洗练-Q4-10</v>
      </c>
      <c r="HQ219" s="14">
        <f t="shared" si="313"/>
        <v>1094</v>
      </c>
      <c r="HR219" s="14">
        <f t="shared" si="314"/>
        <v>10</v>
      </c>
      <c r="HS219" s="14">
        <f t="shared" si="315"/>
        <v>500</v>
      </c>
      <c r="HT219" s="14" t="str">
        <f t="shared" si="316"/>
        <v>Block</v>
      </c>
      <c r="HU219" s="14">
        <f t="shared" si="317"/>
        <v>1.0999999999999999E-2</v>
      </c>
      <c r="HV219" s="14">
        <f t="shared" si="318"/>
        <v>0.03</v>
      </c>
    </row>
    <row r="220" spans="151:230" ht="16.5" x14ac:dyDescent="0.2">
      <c r="EU220" s="13">
        <v>215</v>
      </c>
      <c r="EV220" s="14">
        <f t="shared" si="289"/>
        <v>1</v>
      </c>
      <c r="EW220" s="14">
        <f t="shared" si="290"/>
        <v>215</v>
      </c>
      <c r="EX220" s="14">
        <f t="shared" si="291"/>
        <v>29</v>
      </c>
      <c r="EY220" s="14">
        <f t="shared" si="266"/>
        <v>30</v>
      </c>
      <c r="EZ220" s="14">
        <f t="shared" si="267"/>
        <v>6</v>
      </c>
      <c r="FA220" s="14">
        <f t="shared" si="268"/>
        <v>100</v>
      </c>
      <c r="FB220" s="14">
        <f t="shared" si="269"/>
        <v>3</v>
      </c>
      <c r="FC220" s="14">
        <f t="shared" si="270"/>
        <v>2</v>
      </c>
      <c r="FD220" s="14">
        <f t="shared" si="271"/>
        <v>2</v>
      </c>
      <c r="FE220" s="14" t="b">
        <f t="shared" si="292"/>
        <v>0</v>
      </c>
      <c r="FF220" s="14">
        <f t="shared" si="272"/>
        <v>2006302</v>
      </c>
      <c r="FG220" s="13" t="str">
        <f t="shared" si="273"/>
        <v>100级-精良寄灵人の头盔</v>
      </c>
      <c r="FH220" s="14">
        <f t="shared" si="274"/>
        <v>1</v>
      </c>
      <c r="FI220" s="14">
        <f t="shared" si="275"/>
        <v>3</v>
      </c>
      <c r="FJ220" s="14">
        <f t="shared" si="276"/>
        <v>100</v>
      </c>
      <c r="FK220" s="14">
        <v>1</v>
      </c>
      <c r="FL220" s="14">
        <f t="shared" si="277"/>
        <v>6</v>
      </c>
      <c r="FM220" s="14">
        <f t="shared" si="293"/>
        <v>2</v>
      </c>
      <c r="FN220" s="14" t="str">
        <f t="shared" si="278"/>
        <v/>
      </c>
      <c r="FO220" s="14">
        <f t="shared" si="279"/>
        <v>110</v>
      </c>
      <c r="FP220" s="14">
        <f t="shared" si="294"/>
        <v>0</v>
      </c>
      <c r="FQ220" s="14">
        <f t="shared" si="295"/>
        <v>190</v>
      </c>
      <c r="FR220" s="14">
        <f t="shared" si="296"/>
        <v>0</v>
      </c>
      <c r="FS220" s="14">
        <f t="shared" si="297"/>
        <v>0</v>
      </c>
      <c r="FT220" s="14">
        <f t="shared" si="298"/>
        <v>11</v>
      </c>
      <c r="FU220" s="14">
        <f t="shared" si="299"/>
        <v>0</v>
      </c>
      <c r="FV220" s="14">
        <f t="shared" si="280"/>
        <v>1063</v>
      </c>
      <c r="FW220" s="14">
        <f t="shared" si="281"/>
        <v>4</v>
      </c>
      <c r="FX220" s="14">
        <f t="shared" si="282"/>
        <v>1063</v>
      </c>
      <c r="FY220" s="25" t="str">
        <f t="shared" si="300"/>
        <v>icon_2006102</v>
      </c>
      <c r="GC220" s="14">
        <f t="shared" si="283"/>
        <v>2</v>
      </c>
      <c r="GD220" s="14">
        <f t="shared" si="284"/>
        <v>0</v>
      </c>
      <c r="GE220" s="14">
        <f t="shared" si="301"/>
        <v>110</v>
      </c>
      <c r="GF220" s="14" t="str">
        <f t="shared" si="285"/>
        <v>DefExt</v>
      </c>
      <c r="GG220" s="14">
        <f t="shared" si="302"/>
        <v>190</v>
      </c>
      <c r="GH220" s="14">
        <f t="shared" si="303"/>
        <v>11</v>
      </c>
      <c r="GI220" s="14" t="str">
        <f t="shared" si="286"/>
        <v/>
      </c>
      <c r="GJ220" s="14" t="str">
        <f t="shared" si="304"/>
        <v/>
      </c>
      <c r="GK220" s="14" t="str">
        <f t="shared" si="305"/>
        <v/>
      </c>
      <c r="GL220" s="14">
        <f t="shared" si="287"/>
        <v>20630</v>
      </c>
      <c r="GM220" s="14">
        <f t="shared" si="306"/>
        <v>4</v>
      </c>
      <c r="GN220" s="14">
        <f t="shared" si="307"/>
        <v>1063</v>
      </c>
      <c r="GO220" s="25" t="s">
        <v>1471</v>
      </c>
      <c r="GP220" s="14">
        <f t="shared" si="288"/>
        <v>125</v>
      </c>
      <c r="HK220" s="13">
        <v>215</v>
      </c>
      <c r="HL220" s="14">
        <f t="shared" si="308"/>
        <v>9</v>
      </c>
      <c r="HM220" s="14">
        <f t="shared" si="309"/>
        <v>1</v>
      </c>
      <c r="HN220" s="14">
        <f t="shared" si="310"/>
        <v>9</v>
      </c>
      <c r="HO220" s="14">
        <f t="shared" si="311"/>
        <v>4</v>
      </c>
      <c r="HP220" s="14" t="str">
        <f t="shared" si="312"/>
        <v>130级寄灵人洗练-Q4-11</v>
      </c>
      <c r="HQ220" s="14">
        <f t="shared" si="313"/>
        <v>1094</v>
      </c>
      <c r="HR220" s="14">
        <f t="shared" si="314"/>
        <v>11</v>
      </c>
      <c r="HS220" s="14">
        <f t="shared" si="315"/>
        <v>500</v>
      </c>
      <c r="HT220" s="14" t="str">
        <f t="shared" si="316"/>
        <v>EffectHit</v>
      </c>
      <c r="HU220" s="14">
        <f t="shared" si="317"/>
        <v>1.7999999999999999E-2</v>
      </c>
      <c r="HV220" s="14">
        <f t="shared" si="318"/>
        <v>0.05</v>
      </c>
    </row>
    <row r="221" spans="151:230" ht="16.5" x14ac:dyDescent="0.2">
      <c r="EU221" s="13">
        <v>216</v>
      </c>
      <c r="EV221" s="14">
        <f t="shared" si="289"/>
        <v>1</v>
      </c>
      <c r="EW221" s="14">
        <f t="shared" si="290"/>
        <v>216</v>
      </c>
      <c r="EX221" s="14">
        <f t="shared" si="291"/>
        <v>29</v>
      </c>
      <c r="EY221" s="14">
        <f t="shared" si="266"/>
        <v>30</v>
      </c>
      <c r="EZ221" s="14">
        <f t="shared" si="267"/>
        <v>6</v>
      </c>
      <c r="FA221" s="14">
        <f t="shared" si="268"/>
        <v>100</v>
      </c>
      <c r="FB221" s="14">
        <f t="shared" si="269"/>
        <v>3</v>
      </c>
      <c r="FC221" s="14">
        <f t="shared" si="270"/>
        <v>3</v>
      </c>
      <c r="FD221" s="14">
        <f t="shared" si="271"/>
        <v>3</v>
      </c>
      <c r="FE221" s="14" t="b">
        <f t="shared" si="292"/>
        <v>0</v>
      </c>
      <c r="FF221" s="14">
        <f t="shared" si="272"/>
        <v>2006303</v>
      </c>
      <c r="FG221" s="13" t="str">
        <f t="shared" si="273"/>
        <v>100级-精良寄灵人の铠甲</v>
      </c>
      <c r="FH221" s="14">
        <f t="shared" si="274"/>
        <v>1</v>
      </c>
      <c r="FI221" s="14">
        <f t="shared" si="275"/>
        <v>3</v>
      </c>
      <c r="FJ221" s="14">
        <f t="shared" si="276"/>
        <v>100</v>
      </c>
      <c r="FK221" s="14">
        <v>1</v>
      </c>
      <c r="FL221" s="14">
        <f t="shared" si="277"/>
        <v>6</v>
      </c>
      <c r="FM221" s="14">
        <f t="shared" si="293"/>
        <v>3</v>
      </c>
      <c r="FN221" s="14" t="str">
        <f t="shared" si="278"/>
        <v/>
      </c>
      <c r="FO221" s="14">
        <f t="shared" si="279"/>
        <v>142</v>
      </c>
      <c r="FP221" s="14">
        <f t="shared" si="294"/>
        <v>0</v>
      </c>
      <c r="FQ221" s="14">
        <f t="shared" si="295"/>
        <v>95</v>
      </c>
      <c r="FR221" s="14">
        <f t="shared" si="296"/>
        <v>1660</v>
      </c>
      <c r="FS221" s="14">
        <f t="shared" si="297"/>
        <v>0</v>
      </c>
      <c r="FT221" s="14">
        <f t="shared" si="298"/>
        <v>5</v>
      </c>
      <c r="FU221" s="14">
        <f t="shared" si="299"/>
        <v>92</v>
      </c>
      <c r="FV221" s="14">
        <f t="shared" si="280"/>
        <v>1063</v>
      </c>
      <c r="FW221" s="14">
        <f t="shared" si="281"/>
        <v>4</v>
      </c>
      <c r="FX221" s="14">
        <f t="shared" si="282"/>
        <v>1063</v>
      </c>
      <c r="FY221" s="25" t="str">
        <f t="shared" si="300"/>
        <v>icon_2006103</v>
      </c>
      <c r="GC221" s="14">
        <f t="shared" si="283"/>
        <v>2</v>
      </c>
      <c r="GD221" s="14">
        <f t="shared" si="284"/>
        <v>3</v>
      </c>
      <c r="GE221" s="14">
        <f t="shared" si="301"/>
        <v>142</v>
      </c>
      <c r="GF221" s="14" t="str">
        <f t="shared" si="285"/>
        <v>DefExt</v>
      </c>
      <c r="GG221" s="14">
        <f t="shared" si="302"/>
        <v>95</v>
      </c>
      <c r="GH221" s="14">
        <f t="shared" si="303"/>
        <v>5</v>
      </c>
      <c r="GI221" s="14" t="str">
        <f t="shared" si="286"/>
        <v>HPExt</v>
      </c>
      <c r="GJ221" s="14">
        <f t="shared" si="304"/>
        <v>1660</v>
      </c>
      <c r="GK221" s="14">
        <f t="shared" si="305"/>
        <v>92</v>
      </c>
      <c r="GL221" s="14">
        <f t="shared" si="287"/>
        <v>20630</v>
      </c>
      <c r="GM221" s="14">
        <f t="shared" si="306"/>
        <v>4</v>
      </c>
      <c r="GN221" s="14">
        <f t="shared" si="307"/>
        <v>1063</v>
      </c>
      <c r="GO221" s="25" t="s">
        <v>1471</v>
      </c>
      <c r="GP221" s="14">
        <f t="shared" si="288"/>
        <v>125</v>
      </c>
      <c r="HK221" s="13">
        <v>216</v>
      </c>
      <c r="HL221" s="14">
        <f t="shared" si="308"/>
        <v>9</v>
      </c>
      <c r="HM221" s="14">
        <f t="shared" si="309"/>
        <v>1</v>
      </c>
      <c r="HN221" s="14">
        <f t="shared" si="310"/>
        <v>9</v>
      </c>
      <c r="HO221" s="14">
        <f t="shared" si="311"/>
        <v>4</v>
      </c>
      <c r="HP221" s="14" t="str">
        <f t="shared" si="312"/>
        <v>130级寄灵人洗练-Q4-12</v>
      </c>
      <c r="HQ221" s="14">
        <f t="shared" si="313"/>
        <v>1094</v>
      </c>
      <c r="HR221" s="14">
        <f t="shared" si="314"/>
        <v>12</v>
      </c>
      <c r="HS221" s="14">
        <f t="shared" si="315"/>
        <v>500</v>
      </c>
      <c r="HT221" s="14" t="str">
        <f t="shared" si="316"/>
        <v>EffectResist</v>
      </c>
      <c r="HU221" s="14">
        <f t="shared" si="317"/>
        <v>1.7999999999999999E-2</v>
      </c>
      <c r="HV221" s="14">
        <f t="shared" si="318"/>
        <v>0.05</v>
      </c>
    </row>
    <row r="222" spans="151:230" ht="16.5" x14ac:dyDescent="0.2">
      <c r="EU222" s="13">
        <v>217</v>
      </c>
      <c r="EV222" s="14">
        <f t="shared" si="289"/>
        <v>1</v>
      </c>
      <c r="EW222" s="14">
        <f t="shared" si="290"/>
        <v>217</v>
      </c>
      <c r="EX222" s="14">
        <f t="shared" si="291"/>
        <v>29</v>
      </c>
      <c r="EY222" s="14">
        <f t="shared" si="266"/>
        <v>30</v>
      </c>
      <c r="EZ222" s="14">
        <f t="shared" si="267"/>
        <v>6</v>
      </c>
      <c r="FA222" s="14">
        <f t="shared" si="268"/>
        <v>100</v>
      </c>
      <c r="FB222" s="14">
        <f t="shared" si="269"/>
        <v>3</v>
      </c>
      <c r="FC222" s="14">
        <f t="shared" si="270"/>
        <v>4</v>
      </c>
      <c r="FD222" s="14">
        <f t="shared" si="271"/>
        <v>4</v>
      </c>
      <c r="FE222" s="14" t="b">
        <f t="shared" si="292"/>
        <v>0</v>
      </c>
      <c r="FF222" s="14">
        <f t="shared" si="272"/>
        <v>2006304</v>
      </c>
      <c r="FG222" s="13" t="str">
        <f t="shared" si="273"/>
        <v>100级-精良寄灵人の裤子</v>
      </c>
      <c r="FH222" s="14">
        <f t="shared" si="274"/>
        <v>1</v>
      </c>
      <c r="FI222" s="14">
        <f t="shared" si="275"/>
        <v>3</v>
      </c>
      <c r="FJ222" s="14">
        <f t="shared" si="276"/>
        <v>100</v>
      </c>
      <c r="FK222" s="14">
        <v>1</v>
      </c>
      <c r="FL222" s="14">
        <f t="shared" si="277"/>
        <v>6</v>
      </c>
      <c r="FM222" s="14">
        <f t="shared" si="293"/>
        <v>4</v>
      </c>
      <c r="FN222" s="14" t="str">
        <f t="shared" si="278"/>
        <v/>
      </c>
      <c r="FO222" s="14">
        <f t="shared" si="279"/>
        <v>110</v>
      </c>
      <c r="FP222" s="14">
        <f t="shared" si="294"/>
        <v>0</v>
      </c>
      <c r="FQ222" s="14">
        <f t="shared" si="295"/>
        <v>190</v>
      </c>
      <c r="FR222" s="14">
        <f t="shared" si="296"/>
        <v>0</v>
      </c>
      <c r="FS222" s="14">
        <f t="shared" si="297"/>
        <v>0</v>
      </c>
      <c r="FT222" s="14">
        <f t="shared" si="298"/>
        <v>11</v>
      </c>
      <c r="FU222" s="14">
        <f t="shared" si="299"/>
        <v>0</v>
      </c>
      <c r="FV222" s="14">
        <f t="shared" si="280"/>
        <v>1063</v>
      </c>
      <c r="FW222" s="14">
        <f t="shared" si="281"/>
        <v>4</v>
      </c>
      <c r="FX222" s="14">
        <f t="shared" si="282"/>
        <v>1063</v>
      </c>
      <c r="FY222" s="25" t="str">
        <f t="shared" si="300"/>
        <v>icon_2006104</v>
      </c>
      <c r="GC222" s="14">
        <f t="shared" si="283"/>
        <v>2</v>
      </c>
      <c r="GD222" s="14">
        <f t="shared" si="284"/>
        <v>0</v>
      </c>
      <c r="GE222" s="14">
        <f t="shared" si="301"/>
        <v>110</v>
      </c>
      <c r="GF222" s="14" t="str">
        <f t="shared" si="285"/>
        <v>DefExt</v>
      </c>
      <c r="GG222" s="14">
        <f t="shared" si="302"/>
        <v>190</v>
      </c>
      <c r="GH222" s="14">
        <f t="shared" si="303"/>
        <v>11</v>
      </c>
      <c r="GI222" s="14" t="str">
        <f t="shared" si="286"/>
        <v/>
      </c>
      <c r="GJ222" s="14" t="str">
        <f t="shared" si="304"/>
        <v/>
      </c>
      <c r="GK222" s="14" t="str">
        <f t="shared" si="305"/>
        <v/>
      </c>
      <c r="GL222" s="14">
        <f t="shared" si="287"/>
        <v>20630</v>
      </c>
      <c r="GM222" s="14">
        <f t="shared" si="306"/>
        <v>4</v>
      </c>
      <c r="GN222" s="14">
        <f t="shared" si="307"/>
        <v>1063</v>
      </c>
      <c r="GO222" s="25" t="s">
        <v>1471</v>
      </c>
      <c r="GP222" s="14">
        <f t="shared" si="288"/>
        <v>125</v>
      </c>
      <c r="HK222" s="13">
        <v>217</v>
      </c>
      <c r="HL222" s="14">
        <f t="shared" si="308"/>
        <v>10</v>
      </c>
      <c r="HM222" s="14">
        <f t="shared" si="309"/>
        <v>1</v>
      </c>
      <c r="HN222" s="14">
        <f t="shared" si="310"/>
        <v>10</v>
      </c>
      <c r="HO222" s="14">
        <f t="shared" si="311"/>
        <v>3</v>
      </c>
      <c r="HP222" s="14" t="str">
        <f t="shared" si="312"/>
        <v>140级寄灵人洗练-Q3-1</v>
      </c>
      <c r="HQ222" s="14">
        <f t="shared" si="313"/>
        <v>1103</v>
      </c>
      <c r="HR222" s="14">
        <f t="shared" si="314"/>
        <v>1</v>
      </c>
      <c r="HS222" s="14">
        <f t="shared" si="315"/>
        <v>1800</v>
      </c>
      <c r="HT222" s="14" t="str">
        <f t="shared" si="316"/>
        <v>AtkExt</v>
      </c>
      <c r="HU222" s="14">
        <f t="shared" si="317"/>
        <v>368</v>
      </c>
      <c r="HV222" s="14">
        <f t="shared" si="318"/>
        <v>1054</v>
      </c>
    </row>
    <row r="223" spans="151:230" ht="16.5" x14ac:dyDescent="0.2">
      <c r="EU223" s="13">
        <v>218</v>
      </c>
      <c r="EV223" s="14">
        <f t="shared" si="289"/>
        <v>1</v>
      </c>
      <c r="EW223" s="14">
        <f t="shared" si="290"/>
        <v>218</v>
      </c>
      <c r="EX223" s="14">
        <f t="shared" si="291"/>
        <v>29</v>
      </c>
      <c r="EY223" s="14">
        <f t="shared" si="266"/>
        <v>30</v>
      </c>
      <c r="EZ223" s="14">
        <f t="shared" si="267"/>
        <v>6</v>
      </c>
      <c r="FA223" s="14">
        <f t="shared" si="268"/>
        <v>100</v>
      </c>
      <c r="FB223" s="14">
        <f t="shared" si="269"/>
        <v>3</v>
      </c>
      <c r="FC223" s="14">
        <f t="shared" si="270"/>
        <v>5</v>
      </c>
      <c r="FD223" s="14">
        <f t="shared" si="271"/>
        <v>5</v>
      </c>
      <c r="FE223" s="14" t="b">
        <f t="shared" si="292"/>
        <v>0</v>
      </c>
      <c r="FF223" s="14">
        <f t="shared" si="272"/>
        <v>2006305</v>
      </c>
      <c r="FG223" s="13" t="str">
        <f t="shared" si="273"/>
        <v>100级-精良寄灵人の鞋子</v>
      </c>
      <c r="FH223" s="14">
        <f t="shared" si="274"/>
        <v>1</v>
      </c>
      <c r="FI223" s="14">
        <f t="shared" si="275"/>
        <v>3</v>
      </c>
      <c r="FJ223" s="14">
        <f t="shared" si="276"/>
        <v>100</v>
      </c>
      <c r="FK223" s="14">
        <v>1</v>
      </c>
      <c r="FL223" s="14">
        <f t="shared" si="277"/>
        <v>6</v>
      </c>
      <c r="FM223" s="14">
        <f t="shared" si="293"/>
        <v>5</v>
      </c>
      <c r="FN223" s="14" t="str">
        <f t="shared" si="278"/>
        <v/>
      </c>
      <c r="FO223" s="14">
        <f t="shared" si="279"/>
        <v>184</v>
      </c>
      <c r="FP223" s="14">
        <f t="shared" si="294"/>
        <v>0</v>
      </c>
      <c r="FQ223" s="14">
        <f t="shared" si="295"/>
        <v>0</v>
      </c>
      <c r="FR223" s="14">
        <f t="shared" si="296"/>
        <v>3315</v>
      </c>
      <c r="FS223" s="14">
        <f t="shared" si="297"/>
        <v>0</v>
      </c>
      <c r="FT223" s="14">
        <f t="shared" si="298"/>
        <v>0</v>
      </c>
      <c r="FU223" s="14">
        <f t="shared" si="299"/>
        <v>184</v>
      </c>
      <c r="FV223" s="14">
        <f t="shared" si="280"/>
        <v>1063</v>
      </c>
      <c r="FW223" s="14">
        <f t="shared" si="281"/>
        <v>4</v>
      </c>
      <c r="FX223" s="14">
        <f t="shared" si="282"/>
        <v>1063</v>
      </c>
      <c r="FY223" s="25" t="str">
        <f t="shared" si="300"/>
        <v>icon_2006105</v>
      </c>
      <c r="GC223" s="14">
        <f t="shared" si="283"/>
        <v>3</v>
      </c>
      <c r="GD223" s="14">
        <f t="shared" si="284"/>
        <v>0</v>
      </c>
      <c r="GE223" s="14">
        <f t="shared" si="301"/>
        <v>184</v>
      </c>
      <c r="GF223" s="14" t="str">
        <f t="shared" si="285"/>
        <v>HPExt</v>
      </c>
      <c r="GG223" s="14">
        <f t="shared" si="302"/>
        <v>3315</v>
      </c>
      <c r="GH223" s="14">
        <f t="shared" si="303"/>
        <v>184</v>
      </c>
      <c r="GI223" s="14" t="str">
        <f t="shared" si="286"/>
        <v/>
      </c>
      <c r="GJ223" s="14" t="str">
        <f t="shared" si="304"/>
        <v/>
      </c>
      <c r="GK223" s="14" t="str">
        <f t="shared" si="305"/>
        <v/>
      </c>
      <c r="GL223" s="14">
        <f t="shared" si="287"/>
        <v>20630</v>
      </c>
      <c r="GM223" s="14">
        <f t="shared" si="306"/>
        <v>4</v>
      </c>
      <c r="GN223" s="14">
        <f t="shared" si="307"/>
        <v>1063</v>
      </c>
      <c r="GO223" s="25" t="s">
        <v>1471</v>
      </c>
      <c r="GP223" s="14">
        <f t="shared" si="288"/>
        <v>125</v>
      </c>
      <c r="HK223" s="13">
        <v>218</v>
      </c>
      <c r="HL223" s="14">
        <f t="shared" si="308"/>
        <v>10</v>
      </c>
      <c r="HM223" s="14">
        <f t="shared" si="309"/>
        <v>1</v>
      </c>
      <c r="HN223" s="14">
        <f t="shared" si="310"/>
        <v>10</v>
      </c>
      <c r="HO223" s="14">
        <f t="shared" si="311"/>
        <v>3</v>
      </c>
      <c r="HP223" s="14" t="str">
        <f t="shared" si="312"/>
        <v>140级寄灵人洗练-Q3-2</v>
      </c>
      <c r="HQ223" s="14">
        <f t="shared" si="313"/>
        <v>1103</v>
      </c>
      <c r="HR223" s="14">
        <f t="shared" si="314"/>
        <v>2</v>
      </c>
      <c r="HS223" s="14">
        <f t="shared" si="315"/>
        <v>1800</v>
      </c>
      <c r="HT223" s="14" t="str">
        <f t="shared" si="316"/>
        <v>DefExt</v>
      </c>
      <c r="HU223" s="14">
        <f t="shared" si="317"/>
        <v>134</v>
      </c>
      <c r="HV223" s="14">
        <f t="shared" si="318"/>
        <v>384</v>
      </c>
    </row>
    <row r="224" spans="151:230" ht="16.5" x14ac:dyDescent="0.2">
      <c r="EU224" s="13">
        <v>219</v>
      </c>
      <c r="EV224" s="14">
        <f t="shared" si="289"/>
        <v>1</v>
      </c>
      <c r="EW224" s="14">
        <f t="shared" si="290"/>
        <v>219</v>
      </c>
      <c r="EX224" s="14">
        <f t="shared" si="291"/>
        <v>29</v>
      </c>
      <c r="EY224" s="14">
        <f t="shared" si="266"/>
        <v>30</v>
      </c>
      <c r="EZ224" s="14">
        <f t="shared" si="267"/>
        <v>6</v>
      </c>
      <c r="FA224" s="14">
        <f t="shared" si="268"/>
        <v>100</v>
      </c>
      <c r="FB224" s="14">
        <f t="shared" si="269"/>
        <v>3</v>
      </c>
      <c r="FC224" s="14">
        <f t="shared" si="270"/>
        <v>6</v>
      </c>
      <c r="FD224" s="14">
        <f t="shared" si="271"/>
        <v>6</v>
      </c>
      <c r="FE224" s="14" t="b">
        <f t="shared" si="292"/>
        <v>0</v>
      </c>
      <c r="FF224" s="14">
        <f t="shared" si="272"/>
        <v>2006306</v>
      </c>
      <c r="FG224" s="13" t="str">
        <f t="shared" si="273"/>
        <v>100级-精良寄灵人の护手</v>
      </c>
      <c r="FH224" s="14">
        <f t="shared" si="274"/>
        <v>1</v>
      </c>
      <c r="FI224" s="14">
        <f t="shared" si="275"/>
        <v>3</v>
      </c>
      <c r="FJ224" s="14">
        <f t="shared" si="276"/>
        <v>100</v>
      </c>
      <c r="FK224" s="14">
        <v>1</v>
      </c>
      <c r="FL224" s="14">
        <f t="shared" si="277"/>
        <v>6</v>
      </c>
      <c r="FM224" s="14">
        <f t="shared" si="293"/>
        <v>6</v>
      </c>
      <c r="FN224" s="14" t="str">
        <f t="shared" si="278"/>
        <v/>
      </c>
      <c r="FO224" s="14">
        <f t="shared" si="279"/>
        <v>184</v>
      </c>
      <c r="FP224" s="14">
        <f t="shared" si="294"/>
        <v>0</v>
      </c>
      <c r="FQ224" s="14">
        <f t="shared" si="295"/>
        <v>0</v>
      </c>
      <c r="FR224" s="14">
        <f t="shared" si="296"/>
        <v>3315</v>
      </c>
      <c r="FS224" s="14">
        <f t="shared" si="297"/>
        <v>0</v>
      </c>
      <c r="FT224" s="14">
        <f t="shared" si="298"/>
        <v>0</v>
      </c>
      <c r="FU224" s="14">
        <f t="shared" si="299"/>
        <v>184</v>
      </c>
      <c r="FV224" s="14">
        <f t="shared" si="280"/>
        <v>1063</v>
      </c>
      <c r="FW224" s="14">
        <f t="shared" si="281"/>
        <v>4</v>
      </c>
      <c r="FX224" s="14">
        <f t="shared" si="282"/>
        <v>1063</v>
      </c>
      <c r="FY224" s="25" t="str">
        <f t="shared" si="300"/>
        <v>icon_2006106</v>
      </c>
      <c r="GC224" s="14">
        <f t="shared" si="283"/>
        <v>3</v>
      </c>
      <c r="GD224" s="14">
        <f t="shared" si="284"/>
        <v>0</v>
      </c>
      <c r="GE224" s="14">
        <f t="shared" si="301"/>
        <v>184</v>
      </c>
      <c r="GF224" s="14" t="str">
        <f t="shared" si="285"/>
        <v>HPExt</v>
      </c>
      <c r="GG224" s="14">
        <f t="shared" si="302"/>
        <v>3315</v>
      </c>
      <c r="GH224" s="14">
        <f t="shared" si="303"/>
        <v>184</v>
      </c>
      <c r="GI224" s="14" t="str">
        <f t="shared" si="286"/>
        <v/>
      </c>
      <c r="GJ224" s="14" t="str">
        <f t="shared" si="304"/>
        <v/>
      </c>
      <c r="GK224" s="14" t="str">
        <f t="shared" si="305"/>
        <v/>
      </c>
      <c r="GL224" s="14">
        <f t="shared" si="287"/>
        <v>20630</v>
      </c>
      <c r="GM224" s="14">
        <f t="shared" si="306"/>
        <v>4</v>
      </c>
      <c r="GN224" s="14">
        <f t="shared" si="307"/>
        <v>1063</v>
      </c>
      <c r="GO224" s="25" t="s">
        <v>1471</v>
      </c>
      <c r="GP224" s="14">
        <f t="shared" si="288"/>
        <v>125</v>
      </c>
      <c r="HK224" s="13">
        <v>219</v>
      </c>
      <c r="HL224" s="14">
        <f t="shared" si="308"/>
        <v>10</v>
      </c>
      <c r="HM224" s="14">
        <f t="shared" si="309"/>
        <v>1</v>
      </c>
      <c r="HN224" s="14">
        <f t="shared" si="310"/>
        <v>10</v>
      </c>
      <c r="HO224" s="14">
        <f t="shared" si="311"/>
        <v>3</v>
      </c>
      <c r="HP224" s="14" t="str">
        <f t="shared" si="312"/>
        <v>140级寄灵人洗练-Q3-3</v>
      </c>
      <c r="HQ224" s="14">
        <f t="shared" si="313"/>
        <v>1103</v>
      </c>
      <c r="HR224" s="14">
        <f t="shared" si="314"/>
        <v>3</v>
      </c>
      <c r="HS224" s="14">
        <f t="shared" si="315"/>
        <v>2000</v>
      </c>
      <c r="HT224" s="14" t="str">
        <f t="shared" si="316"/>
        <v>HPExt</v>
      </c>
      <c r="HU224" s="14">
        <f t="shared" si="317"/>
        <v>3514</v>
      </c>
      <c r="HV224" s="14">
        <f t="shared" si="318"/>
        <v>10042</v>
      </c>
    </row>
    <row r="225" spans="151:230" ht="16.5" x14ac:dyDescent="0.2">
      <c r="EU225" s="13">
        <v>220</v>
      </c>
      <c r="EV225" s="14">
        <f t="shared" si="289"/>
        <v>1</v>
      </c>
      <c r="EW225" s="14">
        <f t="shared" si="290"/>
        <v>220</v>
      </c>
      <c r="EX225" s="14">
        <f t="shared" si="291"/>
        <v>29</v>
      </c>
      <c r="EY225" s="14">
        <f t="shared" si="266"/>
        <v>30</v>
      </c>
      <c r="EZ225" s="14">
        <f t="shared" si="267"/>
        <v>6</v>
      </c>
      <c r="FA225" s="14">
        <f t="shared" si="268"/>
        <v>100</v>
      </c>
      <c r="FB225" s="14">
        <f t="shared" si="269"/>
        <v>3</v>
      </c>
      <c r="FC225" s="14">
        <f t="shared" si="270"/>
        <v>7</v>
      </c>
      <c r="FD225" s="14">
        <f t="shared" si="271"/>
        <v>7</v>
      </c>
      <c r="FE225" s="14" t="b">
        <f t="shared" si="292"/>
        <v>0</v>
      </c>
      <c r="FF225" s="14">
        <f t="shared" si="272"/>
        <v>2006307</v>
      </c>
      <c r="FG225" s="13" t="str">
        <f t="shared" si="273"/>
        <v>100级-精良寄灵人の项链</v>
      </c>
      <c r="FH225" s="14">
        <f t="shared" si="274"/>
        <v>1</v>
      </c>
      <c r="FI225" s="14">
        <f t="shared" si="275"/>
        <v>3</v>
      </c>
      <c r="FJ225" s="14">
        <f t="shared" si="276"/>
        <v>100</v>
      </c>
      <c r="FK225" s="14">
        <v>1</v>
      </c>
      <c r="FL225" s="14">
        <f t="shared" si="277"/>
        <v>6</v>
      </c>
      <c r="FM225" s="14">
        <f t="shared" si="293"/>
        <v>7</v>
      </c>
      <c r="FN225" s="14" t="str">
        <f t="shared" si="278"/>
        <v/>
      </c>
      <c r="FO225" s="14">
        <f t="shared" si="279"/>
        <v>160</v>
      </c>
      <c r="FP225" s="14">
        <f t="shared" si="294"/>
        <v>250</v>
      </c>
      <c r="FQ225" s="14">
        <f t="shared" si="295"/>
        <v>160</v>
      </c>
      <c r="FR225" s="14">
        <f t="shared" si="296"/>
        <v>0</v>
      </c>
      <c r="FS225" s="14">
        <f t="shared" si="297"/>
        <v>14</v>
      </c>
      <c r="FT225" s="14">
        <f t="shared" si="298"/>
        <v>9</v>
      </c>
      <c r="FU225" s="14">
        <f t="shared" si="299"/>
        <v>0</v>
      </c>
      <c r="FV225" s="14">
        <f t="shared" si="280"/>
        <v>1063</v>
      </c>
      <c r="FW225" s="14">
        <f t="shared" si="281"/>
        <v>4</v>
      </c>
      <c r="FX225" s="14">
        <f t="shared" si="282"/>
        <v>1063</v>
      </c>
      <c r="FY225" s="25" t="str">
        <f t="shared" si="300"/>
        <v>icon_2006107</v>
      </c>
      <c r="GC225" s="14">
        <f t="shared" si="283"/>
        <v>1</v>
      </c>
      <c r="GD225" s="14">
        <f t="shared" si="284"/>
        <v>2</v>
      </c>
      <c r="GE225" s="14">
        <f t="shared" si="301"/>
        <v>160</v>
      </c>
      <c r="GF225" s="14" t="str">
        <f t="shared" si="285"/>
        <v>AtkExt</v>
      </c>
      <c r="GG225" s="14">
        <f t="shared" si="302"/>
        <v>250</v>
      </c>
      <c r="GH225" s="14">
        <f t="shared" si="303"/>
        <v>14</v>
      </c>
      <c r="GI225" s="14" t="str">
        <f t="shared" si="286"/>
        <v>DefExt</v>
      </c>
      <c r="GJ225" s="14">
        <f t="shared" si="304"/>
        <v>160</v>
      </c>
      <c r="GK225" s="14">
        <f t="shared" si="305"/>
        <v>9</v>
      </c>
      <c r="GL225" s="14">
        <f t="shared" si="287"/>
        <v>20630</v>
      </c>
      <c r="GM225" s="14">
        <f t="shared" si="306"/>
        <v>4</v>
      </c>
      <c r="GN225" s="14">
        <f t="shared" si="307"/>
        <v>1063</v>
      </c>
      <c r="GO225" s="25" t="s">
        <v>1471</v>
      </c>
      <c r="GP225" s="14">
        <f t="shared" si="288"/>
        <v>188</v>
      </c>
      <c r="HK225" s="13">
        <v>220</v>
      </c>
      <c r="HL225" s="14">
        <f t="shared" si="308"/>
        <v>10</v>
      </c>
      <c r="HM225" s="14">
        <f t="shared" si="309"/>
        <v>1</v>
      </c>
      <c r="HN225" s="14">
        <f t="shared" si="310"/>
        <v>10</v>
      </c>
      <c r="HO225" s="14">
        <f t="shared" si="311"/>
        <v>3</v>
      </c>
      <c r="HP225" s="14" t="str">
        <f t="shared" si="312"/>
        <v>140级寄灵人洗练-Q3-4</v>
      </c>
      <c r="HQ225" s="14">
        <f t="shared" si="313"/>
        <v>1103</v>
      </c>
      <c r="HR225" s="14">
        <f t="shared" si="314"/>
        <v>4</v>
      </c>
      <c r="HS225" s="14">
        <f t="shared" si="315"/>
        <v>500</v>
      </c>
      <c r="HT225" s="14" t="str">
        <f t="shared" si="316"/>
        <v>AtkRate</v>
      </c>
      <c r="HU225" s="14">
        <f t="shared" si="317"/>
        <v>1.4E-2</v>
      </c>
      <c r="HV225" s="14">
        <f t="shared" si="318"/>
        <v>0.04</v>
      </c>
    </row>
    <row r="226" spans="151:230" ht="16.5" x14ac:dyDescent="0.2">
      <c r="EU226" s="13">
        <v>221</v>
      </c>
      <c r="EV226" s="14">
        <f t="shared" si="289"/>
        <v>1</v>
      </c>
      <c r="EW226" s="14">
        <f t="shared" si="290"/>
        <v>221</v>
      </c>
      <c r="EX226" s="14">
        <f t="shared" si="291"/>
        <v>29</v>
      </c>
      <c r="EY226" s="14">
        <f t="shared" si="266"/>
        <v>30</v>
      </c>
      <c r="EZ226" s="14">
        <f t="shared" si="267"/>
        <v>6</v>
      </c>
      <c r="FA226" s="14">
        <f t="shared" si="268"/>
        <v>100</v>
      </c>
      <c r="FB226" s="14">
        <f t="shared" si="269"/>
        <v>3</v>
      </c>
      <c r="FC226" s="14">
        <f t="shared" si="270"/>
        <v>8</v>
      </c>
      <c r="FD226" s="14">
        <f t="shared" si="271"/>
        <v>8</v>
      </c>
      <c r="FE226" s="14" t="b">
        <f t="shared" si="292"/>
        <v>0</v>
      </c>
      <c r="FF226" s="14">
        <f t="shared" si="272"/>
        <v>2006308</v>
      </c>
      <c r="FG226" s="13" t="str">
        <f t="shared" si="273"/>
        <v>100级-精良寄灵人の戒指</v>
      </c>
      <c r="FH226" s="14">
        <f t="shared" si="274"/>
        <v>1</v>
      </c>
      <c r="FI226" s="14">
        <f t="shared" si="275"/>
        <v>3</v>
      </c>
      <c r="FJ226" s="14">
        <f t="shared" si="276"/>
        <v>100</v>
      </c>
      <c r="FK226" s="14">
        <v>1</v>
      </c>
      <c r="FL226" s="14">
        <f t="shared" si="277"/>
        <v>6</v>
      </c>
      <c r="FM226" s="14">
        <f t="shared" si="293"/>
        <v>8</v>
      </c>
      <c r="FN226" s="14" t="str">
        <f t="shared" si="278"/>
        <v/>
      </c>
      <c r="FO226" s="14">
        <f t="shared" si="279"/>
        <v>223</v>
      </c>
      <c r="FP226" s="14">
        <f t="shared" si="294"/>
        <v>250</v>
      </c>
      <c r="FQ226" s="14">
        <f t="shared" si="295"/>
        <v>0</v>
      </c>
      <c r="FR226" s="14">
        <f t="shared" si="296"/>
        <v>2765</v>
      </c>
      <c r="FS226" s="14">
        <f t="shared" si="297"/>
        <v>14</v>
      </c>
      <c r="FT226" s="14">
        <f t="shared" si="298"/>
        <v>0</v>
      </c>
      <c r="FU226" s="14">
        <f t="shared" si="299"/>
        <v>153</v>
      </c>
      <c r="FV226" s="14">
        <f t="shared" si="280"/>
        <v>1063</v>
      </c>
      <c r="FW226" s="14">
        <f t="shared" si="281"/>
        <v>4</v>
      </c>
      <c r="FX226" s="14">
        <f t="shared" si="282"/>
        <v>1063</v>
      </c>
      <c r="FY226" s="25" t="str">
        <f t="shared" si="300"/>
        <v>icon_2006108</v>
      </c>
      <c r="GC226" s="14">
        <f t="shared" si="283"/>
        <v>1</v>
      </c>
      <c r="GD226" s="14">
        <f t="shared" si="284"/>
        <v>3</v>
      </c>
      <c r="GE226" s="14">
        <f t="shared" si="301"/>
        <v>223</v>
      </c>
      <c r="GF226" s="14" t="str">
        <f t="shared" si="285"/>
        <v>AtkExt</v>
      </c>
      <c r="GG226" s="14">
        <f t="shared" si="302"/>
        <v>250</v>
      </c>
      <c r="GH226" s="14">
        <f t="shared" si="303"/>
        <v>14</v>
      </c>
      <c r="GI226" s="14" t="str">
        <f t="shared" si="286"/>
        <v>HPExt</v>
      </c>
      <c r="GJ226" s="14">
        <f t="shared" si="304"/>
        <v>2765</v>
      </c>
      <c r="GK226" s="14">
        <f t="shared" si="305"/>
        <v>153</v>
      </c>
      <c r="GL226" s="14">
        <f t="shared" si="287"/>
        <v>20630</v>
      </c>
      <c r="GM226" s="14">
        <f t="shared" si="306"/>
        <v>4</v>
      </c>
      <c r="GN226" s="14">
        <f t="shared" si="307"/>
        <v>1063</v>
      </c>
      <c r="GO226" s="25" t="s">
        <v>1471</v>
      </c>
      <c r="GP226" s="14">
        <f t="shared" si="288"/>
        <v>188</v>
      </c>
      <c r="HK226" s="13">
        <v>221</v>
      </c>
      <c r="HL226" s="14">
        <f t="shared" si="308"/>
        <v>10</v>
      </c>
      <c r="HM226" s="14">
        <f t="shared" si="309"/>
        <v>1</v>
      </c>
      <c r="HN226" s="14">
        <f t="shared" si="310"/>
        <v>10</v>
      </c>
      <c r="HO226" s="14">
        <f t="shared" si="311"/>
        <v>3</v>
      </c>
      <c r="HP226" s="14" t="str">
        <f t="shared" si="312"/>
        <v>140级寄灵人洗练-Q3-5</v>
      </c>
      <c r="HQ226" s="14">
        <f t="shared" si="313"/>
        <v>1103</v>
      </c>
      <c r="HR226" s="14">
        <f t="shared" si="314"/>
        <v>5</v>
      </c>
      <c r="HS226" s="14">
        <f t="shared" si="315"/>
        <v>400</v>
      </c>
      <c r="HT226" s="14" t="str">
        <f t="shared" si="316"/>
        <v>DefRate</v>
      </c>
      <c r="HU226" s="14">
        <f t="shared" si="317"/>
        <v>1.4E-2</v>
      </c>
      <c r="HV226" s="14">
        <f t="shared" si="318"/>
        <v>0.04</v>
      </c>
    </row>
    <row r="227" spans="151:230" ht="16.5" x14ac:dyDescent="0.2">
      <c r="EU227" s="13">
        <v>222</v>
      </c>
      <c r="EV227" s="14">
        <f t="shared" si="289"/>
        <v>1</v>
      </c>
      <c r="EW227" s="14">
        <f t="shared" si="290"/>
        <v>222</v>
      </c>
      <c r="EX227" s="14">
        <f t="shared" si="291"/>
        <v>30</v>
      </c>
      <c r="EY227" s="14">
        <f t="shared" si="266"/>
        <v>40</v>
      </c>
      <c r="EZ227" s="14">
        <f t="shared" si="267"/>
        <v>6</v>
      </c>
      <c r="FA227" s="14">
        <f t="shared" si="268"/>
        <v>100</v>
      </c>
      <c r="FB227" s="14">
        <f t="shared" si="269"/>
        <v>4</v>
      </c>
      <c r="FC227" s="14">
        <f t="shared" si="270"/>
        <v>1</v>
      </c>
      <c r="FD227" s="14">
        <f t="shared" si="271"/>
        <v>1</v>
      </c>
      <c r="FE227" s="14" t="b">
        <f t="shared" si="292"/>
        <v>0</v>
      </c>
      <c r="FF227" s="14">
        <f t="shared" si="272"/>
        <v>2006401</v>
      </c>
      <c r="FG227" s="13" t="str">
        <f t="shared" si="273"/>
        <v>100级-史诗寄灵人の灵器</v>
      </c>
      <c r="FH227" s="14">
        <f t="shared" si="274"/>
        <v>1</v>
      </c>
      <c r="FI227" s="14">
        <f t="shared" si="275"/>
        <v>4</v>
      </c>
      <c r="FJ227" s="14">
        <f t="shared" si="276"/>
        <v>100</v>
      </c>
      <c r="FK227" s="14">
        <v>1</v>
      </c>
      <c r="FL227" s="14">
        <f t="shared" si="277"/>
        <v>6</v>
      </c>
      <c r="FM227" s="14">
        <f t="shared" si="293"/>
        <v>1</v>
      </c>
      <c r="FN227" s="14" t="str">
        <f t="shared" si="278"/>
        <v/>
      </c>
      <c r="FO227" s="14">
        <f t="shared" si="279"/>
        <v>250</v>
      </c>
      <c r="FP227" s="14">
        <f t="shared" si="294"/>
        <v>890</v>
      </c>
      <c r="FQ227" s="14">
        <f t="shared" si="295"/>
        <v>0</v>
      </c>
      <c r="FR227" s="14">
        <f t="shared" si="296"/>
        <v>0</v>
      </c>
      <c r="FS227" s="14">
        <f t="shared" si="297"/>
        <v>50</v>
      </c>
      <c r="FT227" s="14">
        <f t="shared" si="298"/>
        <v>0</v>
      </c>
      <c r="FU227" s="14">
        <f t="shared" si="299"/>
        <v>0</v>
      </c>
      <c r="FV227" s="14">
        <f t="shared" si="280"/>
        <v>1064</v>
      </c>
      <c r="FW227" s="14">
        <f t="shared" si="281"/>
        <v>5</v>
      </c>
      <c r="FX227" s="14">
        <f t="shared" si="282"/>
        <v>1064</v>
      </c>
      <c r="FY227" s="25" t="str">
        <f t="shared" si="300"/>
        <v>icon_2006101</v>
      </c>
      <c r="GC227" s="14">
        <f t="shared" si="283"/>
        <v>1</v>
      </c>
      <c r="GD227" s="14">
        <f t="shared" si="284"/>
        <v>0</v>
      </c>
      <c r="GE227" s="14">
        <f t="shared" si="301"/>
        <v>250</v>
      </c>
      <c r="GF227" s="14" t="str">
        <f t="shared" si="285"/>
        <v>AtkExt</v>
      </c>
      <c r="GG227" s="14">
        <f t="shared" si="302"/>
        <v>890</v>
      </c>
      <c r="GH227" s="14">
        <f t="shared" si="303"/>
        <v>50</v>
      </c>
      <c r="GI227" s="14" t="str">
        <f t="shared" si="286"/>
        <v/>
      </c>
      <c r="GJ227" s="14" t="str">
        <f t="shared" si="304"/>
        <v/>
      </c>
      <c r="GK227" s="14" t="str">
        <f t="shared" si="305"/>
        <v/>
      </c>
      <c r="GL227" s="14">
        <f t="shared" si="287"/>
        <v>20640</v>
      </c>
      <c r="GM227" s="14">
        <f t="shared" si="306"/>
        <v>5</v>
      </c>
      <c r="GN227" s="14">
        <f t="shared" si="307"/>
        <v>1064</v>
      </c>
      <c r="GO227" s="25" t="s">
        <v>1471</v>
      </c>
      <c r="GP227" s="14">
        <f t="shared" si="288"/>
        <v>500</v>
      </c>
      <c r="HK227" s="13">
        <v>222</v>
      </c>
      <c r="HL227" s="14">
        <f t="shared" si="308"/>
        <v>10</v>
      </c>
      <c r="HM227" s="14">
        <f t="shared" si="309"/>
        <v>1</v>
      </c>
      <c r="HN227" s="14">
        <f t="shared" si="310"/>
        <v>10</v>
      </c>
      <c r="HO227" s="14">
        <f t="shared" si="311"/>
        <v>3</v>
      </c>
      <c r="HP227" s="14" t="str">
        <f t="shared" si="312"/>
        <v>140级寄灵人洗练-Q3-6</v>
      </c>
      <c r="HQ227" s="14">
        <f t="shared" si="313"/>
        <v>1103</v>
      </c>
      <c r="HR227" s="14">
        <f t="shared" si="314"/>
        <v>6</v>
      </c>
      <c r="HS227" s="14">
        <f t="shared" si="315"/>
        <v>500</v>
      </c>
      <c r="HT227" s="14" t="str">
        <f t="shared" si="316"/>
        <v>HPRate</v>
      </c>
      <c r="HU227" s="14">
        <f t="shared" si="317"/>
        <v>1.4E-2</v>
      </c>
      <c r="HV227" s="14">
        <f t="shared" si="318"/>
        <v>0.04</v>
      </c>
    </row>
    <row r="228" spans="151:230" ht="16.5" x14ac:dyDescent="0.2">
      <c r="EU228" s="13">
        <v>223</v>
      </c>
      <c r="EV228" s="14">
        <f t="shared" si="289"/>
        <v>1</v>
      </c>
      <c r="EW228" s="14">
        <f t="shared" si="290"/>
        <v>223</v>
      </c>
      <c r="EX228" s="14">
        <f t="shared" si="291"/>
        <v>30</v>
      </c>
      <c r="EY228" s="14">
        <f t="shared" si="266"/>
        <v>40</v>
      </c>
      <c r="EZ228" s="14">
        <f t="shared" si="267"/>
        <v>6</v>
      </c>
      <c r="FA228" s="14">
        <f t="shared" si="268"/>
        <v>100</v>
      </c>
      <c r="FB228" s="14">
        <f t="shared" si="269"/>
        <v>4</v>
      </c>
      <c r="FC228" s="14">
        <f t="shared" si="270"/>
        <v>2</v>
      </c>
      <c r="FD228" s="14">
        <f t="shared" si="271"/>
        <v>2</v>
      </c>
      <c r="FE228" s="14" t="b">
        <f t="shared" si="292"/>
        <v>0</v>
      </c>
      <c r="FF228" s="14">
        <f t="shared" si="272"/>
        <v>2006402</v>
      </c>
      <c r="FG228" s="13" t="str">
        <f t="shared" si="273"/>
        <v>100级-史诗寄灵人の头盔</v>
      </c>
      <c r="FH228" s="14">
        <f t="shared" si="274"/>
        <v>1</v>
      </c>
      <c r="FI228" s="14">
        <f t="shared" si="275"/>
        <v>4</v>
      </c>
      <c r="FJ228" s="14">
        <f t="shared" si="276"/>
        <v>100</v>
      </c>
      <c r="FK228" s="14">
        <v>1</v>
      </c>
      <c r="FL228" s="14">
        <f t="shared" si="277"/>
        <v>6</v>
      </c>
      <c r="FM228" s="14">
        <f t="shared" si="293"/>
        <v>2</v>
      </c>
      <c r="FN228" s="14" t="str">
        <f t="shared" si="278"/>
        <v/>
      </c>
      <c r="FO228" s="14">
        <f t="shared" si="279"/>
        <v>120</v>
      </c>
      <c r="FP228" s="14">
        <f t="shared" si="294"/>
        <v>0</v>
      </c>
      <c r="FQ228" s="14">
        <f t="shared" si="295"/>
        <v>225</v>
      </c>
      <c r="FR228" s="14">
        <f t="shared" si="296"/>
        <v>0</v>
      </c>
      <c r="FS228" s="14">
        <f t="shared" si="297"/>
        <v>0</v>
      </c>
      <c r="FT228" s="14">
        <f t="shared" si="298"/>
        <v>12</v>
      </c>
      <c r="FU228" s="14">
        <f t="shared" si="299"/>
        <v>0</v>
      </c>
      <c r="FV228" s="14">
        <f t="shared" si="280"/>
        <v>1064</v>
      </c>
      <c r="FW228" s="14">
        <f t="shared" si="281"/>
        <v>5</v>
      </c>
      <c r="FX228" s="14">
        <f t="shared" si="282"/>
        <v>1064</v>
      </c>
      <c r="FY228" s="25" t="str">
        <f t="shared" si="300"/>
        <v>icon_2006102</v>
      </c>
      <c r="GC228" s="14">
        <f t="shared" si="283"/>
        <v>2</v>
      </c>
      <c r="GD228" s="14">
        <f t="shared" si="284"/>
        <v>0</v>
      </c>
      <c r="GE228" s="14">
        <f t="shared" si="301"/>
        <v>120</v>
      </c>
      <c r="GF228" s="14" t="str">
        <f t="shared" si="285"/>
        <v>DefExt</v>
      </c>
      <c r="GG228" s="14">
        <f t="shared" si="302"/>
        <v>225</v>
      </c>
      <c r="GH228" s="14">
        <f t="shared" si="303"/>
        <v>12</v>
      </c>
      <c r="GI228" s="14" t="str">
        <f t="shared" si="286"/>
        <v/>
      </c>
      <c r="GJ228" s="14" t="str">
        <f t="shared" si="304"/>
        <v/>
      </c>
      <c r="GK228" s="14" t="str">
        <f t="shared" si="305"/>
        <v/>
      </c>
      <c r="GL228" s="14">
        <f t="shared" si="287"/>
        <v>20640</v>
      </c>
      <c r="GM228" s="14">
        <f t="shared" si="306"/>
        <v>5</v>
      </c>
      <c r="GN228" s="14">
        <f t="shared" si="307"/>
        <v>1064</v>
      </c>
      <c r="GO228" s="25" t="s">
        <v>1471</v>
      </c>
      <c r="GP228" s="14">
        <f t="shared" si="288"/>
        <v>250</v>
      </c>
      <c r="HK228" s="13">
        <v>223</v>
      </c>
      <c r="HL228" s="14">
        <f t="shared" si="308"/>
        <v>10</v>
      </c>
      <c r="HM228" s="14">
        <f t="shared" si="309"/>
        <v>1</v>
      </c>
      <c r="HN228" s="14">
        <f t="shared" si="310"/>
        <v>10</v>
      </c>
      <c r="HO228" s="14">
        <f t="shared" si="311"/>
        <v>3</v>
      </c>
      <c r="HP228" s="14" t="str">
        <f t="shared" si="312"/>
        <v>140级寄灵人洗练-Q3-7</v>
      </c>
      <c r="HQ228" s="14">
        <f t="shared" si="313"/>
        <v>1103</v>
      </c>
      <c r="HR228" s="14">
        <f t="shared" si="314"/>
        <v>7</v>
      </c>
      <c r="HS228" s="14">
        <f t="shared" si="315"/>
        <v>500</v>
      </c>
      <c r="HT228" s="14" t="str">
        <f t="shared" si="316"/>
        <v>Crit</v>
      </c>
      <c r="HU228" s="14">
        <f t="shared" si="317"/>
        <v>1.0999999999999999E-2</v>
      </c>
      <c r="HV228" s="14">
        <f t="shared" si="318"/>
        <v>0.03</v>
      </c>
    </row>
    <row r="229" spans="151:230" ht="16.5" x14ac:dyDescent="0.2">
      <c r="EU229" s="13">
        <v>224</v>
      </c>
      <c r="EV229" s="14">
        <f t="shared" si="289"/>
        <v>1</v>
      </c>
      <c r="EW229" s="14">
        <f t="shared" si="290"/>
        <v>224</v>
      </c>
      <c r="EX229" s="14">
        <f t="shared" si="291"/>
        <v>30</v>
      </c>
      <c r="EY229" s="14">
        <f t="shared" si="266"/>
        <v>40</v>
      </c>
      <c r="EZ229" s="14">
        <f t="shared" si="267"/>
        <v>6</v>
      </c>
      <c r="FA229" s="14">
        <f t="shared" si="268"/>
        <v>100</v>
      </c>
      <c r="FB229" s="14">
        <f t="shared" si="269"/>
        <v>4</v>
      </c>
      <c r="FC229" s="14">
        <f t="shared" si="270"/>
        <v>3</v>
      </c>
      <c r="FD229" s="14">
        <f t="shared" si="271"/>
        <v>3</v>
      </c>
      <c r="FE229" s="14" t="b">
        <f t="shared" si="292"/>
        <v>0</v>
      </c>
      <c r="FF229" s="14">
        <f t="shared" si="272"/>
        <v>2006403</v>
      </c>
      <c r="FG229" s="13" t="str">
        <f t="shared" si="273"/>
        <v>100级-史诗寄灵人の铠甲</v>
      </c>
      <c r="FH229" s="14">
        <f t="shared" si="274"/>
        <v>1</v>
      </c>
      <c r="FI229" s="14">
        <f t="shared" si="275"/>
        <v>4</v>
      </c>
      <c r="FJ229" s="14">
        <f t="shared" si="276"/>
        <v>100</v>
      </c>
      <c r="FK229" s="14">
        <v>1</v>
      </c>
      <c r="FL229" s="14">
        <f t="shared" si="277"/>
        <v>6</v>
      </c>
      <c r="FM229" s="14">
        <f t="shared" si="293"/>
        <v>3</v>
      </c>
      <c r="FN229" s="14" t="str">
        <f t="shared" si="278"/>
        <v/>
      </c>
      <c r="FO229" s="14">
        <f t="shared" si="279"/>
        <v>168</v>
      </c>
      <c r="FP229" s="14">
        <f t="shared" si="294"/>
        <v>0</v>
      </c>
      <c r="FQ229" s="14">
        <f t="shared" si="295"/>
        <v>115</v>
      </c>
      <c r="FR229" s="14">
        <f t="shared" si="296"/>
        <v>1950</v>
      </c>
      <c r="FS229" s="14">
        <f t="shared" si="297"/>
        <v>0</v>
      </c>
      <c r="FT229" s="14">
        <f t="shared" si="298"/>
        <v>6</v>
      </c>
      <c r="FU229" s="14">
        <f t="shared" si="299"/>
        <v>108</v>
      </c>
      <c r="FV229" s="14">
        <f t="shared" si="280"/>
        <v>1064</v>
      </c>
      <c r="FW229" s="14">
        <f t="shared" si="281"/>
        <v>5</v>
      </c>
      <c r="FX229" s="14">
        <f t="shared" si="282"/>
        <v>1064</v>
      </c>
      <c r="FY229" s="25" t="str">
        <f t="shared" si="300"/>
        <v>icon_2006103</v>
      </c>
      <c r="GC229" s="14">
        <f t="shared" si="283"/>
        <v>2</v>
      </c>
      <c r="GD229" s="14">
        <f t="shared" si="284"/>
        <v>3</v>
      </c>
      <c r="GE229" s="14">
        <f t="shared" si="301"/>
        <v>168</v>
      </c>
      <c r="GF229" s="14" t="str">
        <f t="shared" si="285"/>
        <v>DefExt</v>
      </c>
      <c r="GG229" s="14">
        <f t="shared" si="302"/>
        <v>115</v>
      </c>
      <c r="GH229" s="14">
        <f t="shared" si="303"/>
        <v>6</v>
      </c>
      <c r="GI229" s="14" t="str">
        <f t="shared" si="286"/>
        <v>HPExt</v>
      </c>
      <c r="GJ229" s="14">
        <f t="shared" si="304"/>
        <v>1950</v>
      </c>
      <c r="GK229" s="14">
        <f t="shared" si="305"/>
        <v>108</v>
      </c>
      <c r="GL229" s="14">
        <f t="shared" si="287"/>
        <v>20640</v>
      </c>
      <c r="GM229" s="14">
        <f t="shared" si="306"/>
        <v>5</v>
      </c>
      <c r="GN229" s="14">
        <f t="shared" si="307"/>
        <v>1064</v>
      </c>
      <c r="GO229" s="25" t="s">
        <v>1471</v>
      </c>
      <c r="GP229" s="14">
        <f t="shared" si="288"/>
        <v>250</v>
      </c>
      <c r="HK229" s="13">
        <v>224</v>
      </c>
      <c r="HL229" s="14">
        <f t="shared" si="308"/>
        <v>10</v>
      </c>
      <c r="HM229" s="14">
        <f t="shared" si="309"/>
        <v>1</v>
      </c>
      <c r="HN229" s="14">
        <f t="shared" si="310"/>
        <v>10</v>
      </c>
      <c r="HO229" s="14">
        <f t="shared" si="311"/>
        <v>3</v>
      </c>
      <c r="HP229" s="14" t="str">
        <f t="shared" si="312"/>
        <v>140级寄灵人洗练-Q3-8</v>
      </c>
      <c r="HQ229" s="14">
        <f t="shared" si="313"/>
        <v>1103</v>
      </c>
      <c r="HR229" s="14">
        <f t="shared" si="314"/>
        <v>8</v>
      </c>
      <c r="HS229" s="14">
        <f t="shared" si="315"/>
        <v>500</v>
      </c>
      <c r="HT229" s="14" t="str">
        <f t="shared" si="316"/>
        <v>CritRate</v>
      </c>
      <c r="HU229" s="14">
        <f t="shared" si="317"/>
        <v>2.8000000000000001E-2</v>
      </c>
      <c r="HV229" s="14">
        <f t="shared" si="318"/>
        <v>0.08</v>
      </c>
    </row>
    <row r="230" spans="151:230" ht="16.5" x14ac:dyDescent="0.2">
      <c r="EU230" s="13">
        <v>225</v>
      </c>
      <c r="EV230" s="14">
        <f t="shared" si="289"/>
        <v>1</v>
      </c>
      <c r="EW230" s="14">
        <f t="shared" si="290"/>
        <v>225</v>
      </c>
      <c r="EX230" s="14">
        <f t="shared" si="291"/>
        <v>30</v>
      </c>
      <c r="EY230" s="14">
        <f t="shared" si="266"/>
        <v>40</v>
      </c>
      <c r="EZ230" s="14">
        <f t="shared" si="267"/>
        <v>6</v>
      </c>
      <c r="FA230" s="14">
        <f t="shared" si="268"/>
        <v>100</v>
      </c>
      <c r="FB230" s="14">
        <f t="shared" si="269"/>
        <v>4</v>
      </c>
      <c r="FC230" s="14">
        <f t="shared" si="270"/>
        <v>4</v>
      </c>
      <c r="FD230" s="14">
        <f t="shared" si="271"/>
        <v>4</v>
      </c>
      <c r="FE230" s="14" t="b">
        <f t="shared" si="292"/>
        <v>0</v>
      </c>
      <c r="FF230" s="14">
        <f t="shared" si="272"/>
        <v>2006404</v>
      </c>
      <c r="FG230" s="13" t="str">
        <f t="shared" si="273"/>
        <v>100级-史诗寄灵人の裤子</v>
      </c>
      <c r="FH230" s="14">
        <f t="shared" si="274"/>
        <v>1</v>
      </c>
      <c r="FI230" s="14">
        <f t="shared" si="275"/>
        <v>4</v>
      </c>
      <c r="FJ230" s="14">
        <f t="shared" si="276"/>
        <v>100</v>
      </c>
      <c r="FK230" s="14">
        <v>1</v>
      </c>
      <c r="FL230" s="14">
        <f t="shared" si="277"/>
        <v>6</v>
      </c>
      <c r="FM230" s="14">
        <f t="shared" si="293"/>
        <v>4</v>
      </c>
      <c r="FN230" s="14" t="str">
        <f t="shared" si="278"/>
        <v/>
      </c>
      <c r="FO230" s="14">
        <f t="shared" si="279"/>
        <v>120</v>
      </c>
      <c r="FP230" s="14">
        <f t="shared" si="294"/>
        <v>0</v>
      </c>
      <c r="FQ230" s="14">
        <f t="shared" si="295"/>
        <v>225</v>
      </c>
      <c r="FR230" s="14">
        <f t="shared" si="296"/>
        <v>0</v>
      </c>
      <c r="FS230" s="14">
        <f t="shared" si="297"/>
        <v>0</v>
      </c>
      <c r="FT230" s="14">
        <f t="shared" si="298"/>
        <v>12</v>
      </c>
      <c r="FU230" s="14">
        <f t="shared" si="299"/>
        <v>0</v>
      </c>
      <c r="FV230" s="14">
        <f t="shared" si="280"/>
        <v>1064</v>
      </c>
      <c r="FW230" s="14">
        <f t="shared" si="281"/>
        <v>5</v>
      </c>
      <c r="FX230" s="14">
        <f t="shared" si="282"/>
        <v>1064</v>
      </c>
      <c r="FY230" s="25" t="str">
        <f t="shared" si="300"/>
        <v>icon_2006104</v>
      </c>
      <c r="GC230" s="14">
        <f t="shared" si="283"/>
        <v>2</v>
      </c>
      <c r="GD230" s="14">
        <f t="shared" si="284"/>
        <v>0</v>
      </c>
      <c r="GE230" s="14">
        <f t="shared" si="301"/>
        <v>120</v>
      </c>
      <c r="GF230" s="14" t="str">
        <f t="shared" si="285"/>
        <v>DefExt</v>
      </c>
      <c r="GG230" s="14">
        <f t="shared" si="302"/>
        <v>225</v>
      </c>
      <c r="GH230" s="14">
        <f t="shared" si="303"/>
        <v>12</v>
      </c>
      <c r="GI230" s="14" t="str">
        <f t="shared" si="286"/>
        <v/>
      </c>
      <c r="GJ230" s="14" t="str">
        <f t="shared" si="304"/>
        <v/>
      </c>
      <c r="GK230" s="14" t="str">
        <f t="shared" si="305"/>
        <v/>
      </c>
      <c r="GL230" s="14">
        <f t="shared" si="287"/>
        <v>20640</v>
      </c>
      <c r="GM230" s="14">
        <f t="shared" si="306"/>
        <v>5</v>
      </c>
      <c r="GN230" s="14">
        <f t="shared" si="307"/>
        <v>1064</v>
      </c>
      <c r="GO230" s="25" t="s">
        <v>1471</v>
      </c>
      <c r="GP230" s="14">
        <f t="shared" si="288"/>
        <v>250</v>
      </c>
      <c r="HK230" s="13">
        <v>225</v>
      </c>
      <c r="HL230" s="14">
        <f t="shared" si="308"/>
        <v>10</v>
      </c>
      <c r="HM230" s="14">
        <f t="shared" si="309"/>
        <v>1</v>
      </c>
      <c r="HN230" s="14">
        <f t="shared" si="310"/>
        <v>10</v>
      </c>
      <c r="HO230" s="14">
        <f t="shared" si="311"/>
        <v>3</v>
      </c>
      <c r="HP230" s="14" t="str">
        <f t="shared" si="312"/>
        <v>140级寄灵人洗练-Q3-9</v>
      </c>
      <c r="HQ230" s="14">
        <f t="shared" si="313"/>
        <v>1103</v>
      </c>
      <c r="HR230" s="14">
        <f t="shared" si="314"/>
        <v>9</v>
      </c>
      <c r="HS230" s="14">
        <f t="shared" si="315"/>
        <v>500</v>
      </c>
      <c r="HT230" s="14" t="str">
        <f t="shared" si="316"/>
        <v>DefIgnor</v>
      </c>
      <c r="HU230" s="14">
        <f t="shared" si="317"/>
        <v>1.0999999999999999E-2</v>
      </c>
      <c r="HV230" s="14">
        <f t="shared" si="318"/>
        <v>0.03</v>
      </c>
    </row>
    <row r="231" spans="151:230" ht="16.5" x14ac:dyDescent="0.2">
      <c r="EU231" s="13">
        <v>226</v>
      </c>
      <c r="EV231" s="14">
        <f t="shared" si="289"/>
        <v>1</v>
      </c>
      <c r="EW231" s="14">
        <f t="shared" si="290"/>
        <v>226</v>
      </c>
      <c r="EX231" s="14">
        <f t="shared" si="291"/>
        <v>30</v>
      </c>
      <c r="EY231" s="14">
        <f t="shared" si="266"/>
        <v>40</v>
      </c>
      <c r="EZ231" s="14">
        <f t="shared" si="267"/>
        <v>6</v>
      </c>
      <c r="FA231" s="14">
        <f t="shared" si="268"/>
        <v>100</v>
      </c>
      <c r="FB231" s="14">
        <f t="shared" si="269"/>
        <v>4</v>
      </c>
      <c r="FC231" s="14">
        <f t="shared" si="270"/>
        <v>5</v>
      </c>
      <c r="FD231" s="14">
        <f t="shared" si="271"/>
        <v>5</v>
      </c>
      <c r="FE231" s="14" t="b">
        <f t="shared" si="292"/>
        <v>0</v>
      </c>
      <c r="FF231" s="14">
        <f t="shared" si="272"/>
        <v>2006405</v>
      </c>
      <c r="FG231" s="13" t="str">
        <f t="shared" si="273"/>
        <v>100级-史诗寄灵人の鞋子</v>
      </c>
      <c r="FH231" s="14">
        <f t="shared" si="274"/>
        <v>1</v>
      </c>
      <c r="FI231" s="14">
        <f t="shared" si="275"/>
        <v>4</v>
      </c>
      <c r="FJ231" s="14">
        <f t="shared" si="276"/>
        <v>100</v>
      </c>
      <c r="FK231" s="14">
        <v>1</v>
      </c>
      <c r="FL231" s="14">
        <f t="shared" si="277"/>
        <v>6</v>
      </c>
      <c r="FM231" s="14">
        <f t="shared" si="293"/>
        <v>5</v>
      </c>
      <c r="FN231" s="14" t="str">
        <f t="shared" si="278"/>
        <v/>
      </c>
      <c r="FO231" s="14">
        <f t="shared" si="279"/>
        <v>217</v>
      </c>
      <c r="FP231" s="14">
        <f t="shared" si="294"/>
        <v>0</v>
      </c>
      <c r="FQ231" s="14">
        <f t="shared" si="295"/>
        <v>0</v>
      </c>
      <c r="FR231" s="14">
        <f t="shared" si="296"/>
        <v>3900</v>
      </c>
      <c r="FS231" s="14">
        <f t="shared" si="297"/>
        <v>0</v>
      </c>
      <c r="FT231" s="14">
        <f t="shared" si="298"/>
        <v>0</v>
      </c>
      <c r="FU231" s="14">
        <f t="shared" si="299"/>
        <v>217</v>
      </c>
      <c r="FV231" s="14">
        <f t="shared" si="280"/>
        <v>1064</v>
      </c>
      <c r="FW231" s="14">
        <f t="shared" si="281"/>
        <v>5</v>
      </c>
      <c r="FX231" s="14">
        <f t="shared" si="282"/>
        <v>1064</v>
      </c>
      <c r="FY231" s="25" t="str">
        <f t="shared" si="300"/>
        <v>icon_2006105</v>
      </c>
      <c r="GC231" s="14">
        <f t="shared" si="283"/>
        <v>3</v>
      </c>
      <c r="GD231" s="14">
        <f t="shared" si="284"/>
        <v>0</v>
      </c>
      <c r="GE231" s="14">
        <f t="shared" si="301"/>
        <v>217</v>
      </c>
      <c r="GF231" s="14" t="str">
        <f t="shared" si="285"/>
        <v>HPExt</v>
      </c>
      <c r="GG231" s="14">
        <f t="shared" si="302"/>
        <v>3900</v>
      </c>
      <c r="GH231" s="14">
        <f t="shared" si="303"/>
        <v>217</v>
      </c>
      <c r="GI231" s="14" t="str">
        <f t="shared" si="286"/>
        <v/>
      </c>
      <c r="GJ231" s="14" t="str">
        <f t="shared" si="304"/>
        <v/>
      </c>
      <c r="GK231" s="14" t="str">
        <f t="shared" si="305"/>
        <v/>
      </c>
      <c r="GL231" s="14">
        <f t="shared" si="287"/>
        <v>20640</v>
      </c>
      <c r="GM231" s="14">
        <f t="shared" si="306"/>
        <v>5</v>
      </c>
      <c r="GN231" s="14">
        <f t="shared" si="307"/>
        <v>1064</v>
      </c>
      <c r="GO231" s="25" t="s">
        <v>1471</v>
      </c>
      <c r="GP231" s="14">
        <f t="shared" si="288"/>
        <v>250</v>
      </c>
      <c r="HK231" s="13">
        <v>226</v>
      </c>
      <c r="HL231" s="14">
        <f t="shared" si="308"/>
        <v>10</v>
      </c>
      <c r="HM231" s="14">
        <f t="shared" si="309"/>
        <v>1</v>
      </c>
      <c r="HN231" s="14">
        <f t="shared" si="310"/>
        <v>10</v>
      </c>
      <c r="HO231" s="14">
        <f t="shared" si="311"/>
        <v>3</v>
      </c>
      <c r="HP231" s="14" t="str">
        <f t="shared" si="312"/>
        <v>140级寄灵人洗练-Q3-10</v>
      </c>
      <c r="HQ231" s="14">
        <f t="shared" si="313"/>
        <v>1103</v>
      </c>
      <c r="HR231" s="14">
        <f t="shared" si="314"/>
        <v>10</v>
      </c>
      <c r="HS231" s="14">
        <f t="shared" si="315"/>
        <v>500</v>
      </c>
      <c r="HT231" s="14" t="str">
        <f t="shared" si="316"/>
        <v>Block</v>
      </c>
      <c r="HU231" s="14">
        <f t="shared" si="317"/>
        <v>1.0999999999999999E-2</v>
      </c>
      <c r="HV231" s="14">
        <f t="shared" si="318"/>
        <v>0.03</v>
      </c>
    </row>
    <row r="232" spans="151:230" ht="16.5" x14ac:dyDescent="0.2">
      <c r="EU232" s="13">
        <v>227</v>
      </c>
      <c r="EV232" s="14">
        <f t="shared" si="289"/>
        <v>1</v>
      </c>
      <c r="EW232" s="14">
        <f t="shared" si="290"/>
        <v>227</v>
      </c>
      <c r="EX232" s="14">
        <f t="shared" si="291"/>
        <v>30</v>
      </c>
      <c r="EY232" s="14">
        <f t="shared" si="266"/>
        <v>40</v>
      </c>
      <c r="EZ232" s="14">
        <f t="shared" si="267"/>
        <v>6</v>
      </c>
      <c r="FA232" s="14">
        <f t="shared" si="268"/>
        <v>100</v>
      </c>
      <c r="FB232" s="14">
        <f t="shared" si="269"/>
        <v>4</v>
      </c>
      <c r="FC232" s="14">
        <f t="shared" si="270"/>
        <v>6</v>
      </c>
      <c r="FD232" s="14">
        <f t="shared" si="271"/>
        <v>6</v>
      </c>
      <c r="FE232" s="14" t="b">
        <f t="shared" si="292"/>
        <v>0</v>
      </c>
      <c r="FF232" s="14">
        <f t="shared" si="272"/>
        <v>2006406</v>
      </c>
      <c r="FG232" s="13" t="str">
        <f t="shared" si="273"/>
        <v>100级-史诗寄灵人の护手</v>
      </c>
      <c r="FH232" s="14">
        <f t="shared" si="274"/>
        <v>1</v>
      </c>
      <c r="FI232" s="14">
        <f t="shared" si="275"/>
        <v>4</v>
      </c>
      <c r="FJ232" s="14">
        <f t="shared" si="276"/>
        <v>100</v>
      </c>
      <c r="FK232" s="14">
        <v>1</v>
      </c>
      <c r="FL232" s="14">
        <f t="shared" si="277"/>
        <v>6</v>
      </c>
      <c r="FM232" s="14">
        <f t="shared" si="293"/>
        <v>6</v>
      </c>
      <c r="FN232" s="14" t="str">
        <f t="shared" si="278"/>
        <v/>
      </c>
      <c r="FO232" s="14">
        <f t="shared" si="279"/>
        <v>217</v>
      </c>
      <c r="FP232" s="14">
        <f t="shared" si="294"/>
        <v>0</v>
      </c>
      <c r="FQ232" s="14">
        <f t="shared" si="295"/>
        <v>0</v>
      </c>
      <c r="FR232" s="14">
        <f t="shared" si="296"/>
        <v>3900</v>
      </c>
      <c r="FS232" s="14">
        <f t="shared" si="297"/>
        <v>0</v>
      </c>
      <c r="FT232" s="14">
        <f t="shared" si="298"/>
        <v>0</v>
      </c>
      <c r="FU232" s="14">
        <f t="shared" si="299"/>
        <v>217</v>
      </c>
      <c r="FV232" s="14">
        <f t="shared" si="280"/>
        <v>1064</v>
      </c>
      <c r="FW232" s="14">
        <f t="shared" si="281"/>
        <v>5</v>
      </c>
      <c r="FX232" s="14">
        <f t="shared" si="282"/>
        <v>1064</v>
      </c>
      <c r="FY232" s="25" t="str">
        <f t="shared" si="300"/>
        <v>icon_2006106</v>
      </c>
      <c r="GC232" s="14">
        <f t="shared" si="283"/>
        <v>3</v>
      </c>
      <c r="GD232" s="14">
        <f t="shared" si="284"/>
        <v>0</v>
      </c>
      <c r="GE232" s="14">
        <f t="shared" si="301"/>
        <v>217</v>
      </c>
      <c r="GF232" s="14" t="str">
        <f t="shared" si="285"/>
        <v>HPExt</v>
      </c>
      <c r="GG232" s="14">
        <f t="shared" si="302"/>
        <v>3900</v>
      </c>
      <c r="GH232" s="14">
        <f t="shared" si="303"/>
        <v>217</v>
      </c>
      <c r="GI232" s="14" t="str">
        <f t="shared" si="286"/>
        <v/>
      </c>
      <c r="GJ232" s="14" t="str">
        <f t="shared" si="304"/>
        <v/>
      </c>
      <c r="GK232" s="14" t="str">
        <f t="shared" si="305"/>
        <v/>
      </c>
      <c r="GL232" s="14">
        <f t="shared" si="287"/>
        <v>20640</v>
      </c>
      <c r="GM232" s="14">
        <f t="shared" si="306"/>
        <v>5</v>
      </c>
      <c r="GN232" s="14">
        <f t="shared" si="307"/>
        <v>1064</v>
      </c>
      <c r="GO232" s="25" t="s">
        <v>1471</v>
      </c>
      <c r="GP232" s="14">
        <f t="shared" si="288"/>
        <v>250</v>
      </c>
      <c r="HK232" s="13">
        <v>227</v>
      </c>
      <c r="HL232" s="14">
        <f t="shared" si="308"/>
        <v>10</v>
      </c>
      <c r="HM232" s="14">
        <f t="shared" si="309"/>
        <v>1</v>
      </c>
      <c r="HN232" s="14">
        <f t="shared" si="310"/>
        <v>10</v>
      </c>
      <c r="HO232" s="14">
        <f t="shared" si="311"/>
        <v>3</v>
      </c>
      <c r="HP232" s="14" t="str">
        <f t="shared" si="312"/>
        <v>140级寄灵人洗练-Q3-11</v>
      </c>
      <c r="HQ232" s="14">
        <f t="shared" si="313"/>
        <v>1103</v>
      </c>
      <c r="HR232" s="14">
        <f t="shared" si="314"/>
        <v>11</v>
      </c>
      <c r="HS232" s="14">
        <f t="shared" si="315"/>
        <v>500</v>
      </c>
      <c r="HT232" s="14" t="str">
        <f t="shared" si="316"/>
        <v>EffectHit</v>
      </c>
      <c r="HU232" s="14">
        <f t="shared" si="317"/>
        <v>1.7999999999999999E-2</v>
      </c>
      <c r="HV232" s="14">
        <f t="shared" si="318"/>
        <v>0.05</v>
      </c>
    </row>
    <row r="233" spans="151:230" ht="16.5" x14ac:dyDescent="0.2">
      <c r="EU233" s="13">
        <v>228</v>
      </c>
      <c r="EV233" s="14">
        <f t="shared" si="289"/>
        <v>1</v>
      </c>
      <c r="EW233" s="14">
        <f t="shared" si="290"/>
        <v>228</v>
      </c>
      <c r="EX233" s="14">
        <f t="shared" si="291"/>
        <v>30</v>
      </c>
      <c r="EY233" s="14">
        <f t="shared" si="266"/>
        <v>40</v>
      </c>
      <c r="EZ233" s="14">
        <f t="shared" si="267"/>
        <v>6</v>
      </c>
      <c r="FA233" s="14">
        <f t="shared" si="268"/>
        <v>100</v>
      </c>
      <c r="FB233" s="14">
        <f t="shared" si="269"/>
        <v>4</v>
      </c>
      <c r="FC233" s="14">
        <f t="shared" si="270"/>
        <v>7</v>
      </c>
      <c r="FD233" s="14">
        <f t="shared" si="271"/>
        <v>7</v>
      </c>
      <c r="FE233" s="14" t="b">
        <f t="shared" si="292"/>
        <v>0</v>
      </c>
      <c r="FF233" s="14">
        <f t="shared" si="272"/>
        <v>2006407</v>
      </c>
      <c r="FG233" s="13" t="str">
        <f t="shared" si="273"/>
        <v>100级-史诗寄灵人の项链</v>
      </c>
      <c r="FH233" s="14">
        <f t="shared" si="274"/>
        <v>1</v>
      </c>
      <c r="FI233" s="14">
        <f t="shared" si="275"/>
        <v>4</v>
      </c>
      <c r="FJ233" s="14">
        <f t="shared" si="276"/>
        <v>100</v>
      </c>
      <c r="FK233" s="14">
        <v>1</v>
      </c>
      <c r="FL233" s="14">
        <f t="shared" si="277"/>
        <v>6</v>
      </c>
      <c r="FM233" s="14">
        <f t="shared" si="293"/>
        <v>7</v>
      </c>
      <c r="FN233" s="14" t="str">
        <f t="shared" si="278"/>
        <v/>
      </c>
      <c r="FO233" s="14">
        <f t="shared" si="279"/>
        <v>185</v>
      </c>
      <c r="FP233" s="14">
        <f t="shared" si="294"/>
        <v>295</v>
      </c>
      <c r="FQ233" s="14">
        <f t="shared" si="295"/>
        <v>190</v>
      </c>
      <c r="FR233" s="14">
        <f t="shared" si="296"/>
        <v>0</v>
      </c>
      <c r="FS233" s="14">
        <f t="shared" si="297"/>
        <v>17</v>
      </c>
      <c r="FT233" s="14">
        <f t="shared" si="298"/>
        <v>10</v>
      </c>
      <c r="FU233" s="14">
        <f t="shared" si="299"/>
        <v>0</v>
      </c>
      <c r="FV233" s="14">
        <f t="shared" si="280"/>
        <v>1064</v>
      </c>
      <c r="FW233" s="14">
        <f t="shared" si="281"/>
        <v>5</v>
      </c>
      <c r="FX233" s="14">
        <f t="shared" si="282"/>
        <v>1064</v>
      </c>
      <c r="FY233" s="25" t="str">
        <f t="shared" si="300"/>
        <v>icon_2006107</v>
      </c>
      <c r="GC233" s="14">
        <f t="shared" si="283"/>
        <v>1</v>
      </c>
      <c r="GD233" s="14">
        <f t="shared" si="284"/>
        <v>2</v>
      </c>
      <c r="GE233" s="14">
        <f t="shared" si="301"/>
        <v>185</v>
      </c>
      <c r="GF233" s="14" t="str">
        <f t="shared" si="285"/>
        <v>AtkExt</v>
      </c>
      <c r="GG233" s="14">
        <f t="shared" si="302"/>
        <v>295</v>
      </c>
      <c r="GH233" s="14">
        <f t="shared" si="303"/>
        <v>17</v>
      </c>
      <c r="GI233" s="14" t="str">
        <f t="shared" si="286"/>
        <v>DefExt</v>
      </c>
      <c r="GJ233" s="14">
        <f t="shared" si="304"/>
        <v>190</v>
      </c>
      <c r="GK233" s="14">
        <f t="shared" si="305"/>
        <v>10</v>
      </c>
      <c r="GL233" s="14">
        <f t="shared" si="287"/>
        <v>20640</v>
      </c>
      <c r="GM233" s="14">
        <f t="shared" si="306"/>
        <v>5</v>
      </c>
      <c r="GN233" s="14">
        <f t="shared" si="307"/>
        <v>1064</v>
      </c>
      <c r="GO233" s="25" t="s">
        <v>1471</v>
      </c>
      <c r="GP233" s="14">
        <f t="shared" si="288"/>
        <v>375</v>
      </c>
      <c r="HK233" s="13">
        <v>228</v>
      </c>
      <c r="HL233" s="14">
        <f t="shared" si="308"/>
        <v>10</v>
      </c>
      <c r="HM233" s="14">
        <f t="shared" si="309"/>
        <v>1</v>
      </c>
      <c r="HN233" s="14">
        <f t="shared" si="310"/>
        <v>10</v>
      </c>
      <c r="HO233" s="14">
        <f t="shared" si="311"/>
        <v>3</v>
      </c>
      <c r="HP233" s="14" t="str">
        <f t="shared" si="312"/>
        <v>140级寄灵人洗练-Q3-12</v>
      </c>
      <c r="HQ233" s="14">
        <f t="shared" si="313"/>
        <v>1103</v>
      </c>
      <c r="HR233" s="14">
        <f t="shared" si="314"/>
        <v>12</v>
      </c>
      <c r="HS233" s="14">
        <f t="shared" si="315"/>
        <v>500</v>
      </c>
      <c r="HT233" s="14" t="str">
        <f t="shared" si="316"/>
        <v>EffectResist</v>
      </c>
      <c r="HU233" s="14">
        <f t="shared" si="317"/>
        <v>1.7999999999999999E-2</v>
      </c>
      <c r="HV233" s="14">
        <f t="shared" si="318"/>
        <v>0.05</v>
      </c>
    </row>
    <row r="234" spans="151:230" ht="16.5" x14ac:dyDescent="0.2">
      <c r="EU234" s="13">
        <v>229</v>
      </c>
      <c r="EV234" s="14">
        <f t="shared" si="289"/>
        <v>1</v>
      </c>
      <c r="EW234" s="14">
        <f t="shared" si="290"/>
        <v>229</v>
      </c>
      <c r="EX234" s="14">
        <f t="shared" si="291"/>
        <v>30</v>
      </c>
      <c r="EY234" s="14">
        <f t="shared" si="266"/>
        <v>40</v>
      </c>
      <c r="EZ234" s="14">
        <f t="shared" si="267"/>
        <v>6</v>
      </c>
      <c r="FA234" s="14">
        <f t="shared" si="268"/>
        <v>100</v>
      </c>
      <c r="FB234" s="14">
        <f t="shared" si="269"/>
        <v>4</v>
      </c>
      <c r="FC234" s="14">
        <f t="shared" si="270"/>
        <v>8</v>
      </c>
      <c r="FD234" s="14">
        <f t="shared" si="271"/>
        <v>8</v>
      </c>
      <c r="FE234" s="14" t="b">
        <f t="shared" si="292"/>
        <v>0</v>
      </c>
      <c r="FF234" s="14">
        <f t="shared" si="272"/>
        <v>2006408</v>
      </c>
      <c r="FG234" s="13" t="str">
        <f t="shared" si="273"/>
        <v>100级-史诗寄灵人の戒指</v>
      </c>
      <c r="FH234" s="14">
        <f t="shared" si="274"/>
        <v>1</v>
      </c>
      <c r="FI234" s="14">
        <f t="shared" si="275"/>
        <v>4</v>
      </c>
      <c r="FJ234" s="14">
        <f t="shared" si="276"/>
        <v>100</v>
      </c>
      <c r="FK234" s="14">
        <v>1</v>
      </c>
      <c r="FL234" s="14">
        <f t="shared" si="277"/>
        <v>6</v>
      </c>
      <c r="FM234" s="14">
        <f t="shared" si="293"/>
        <v>8</v>
      </c>
      <c r="FN234" s="14" t="str">
        <f t="shared" si="278"/>
        <v/>
      </c>
      <c r="FO234" s="14">
        <f t="shared" si="279"/>
        <v>266</v>
      </c>
      <c r="FP234" s="14">
        <f t="shared" si="294"/>
        <v>295</v>
      </c>
      <c r="FQ234" s="14">
        <f t="shared" si="295"/>
        <v>0</v>
      </c>
      <c r="FR234" s="14">
        <f t="shared" si="296"/>
        <v>3250</v>
      </c>
      <c r="FS234" s="14">
        <f t="shared" si="297"/>
        <v>17</v>
      </c>
      <c r="FT234" s="14">
        <f t="shared" si="298"/>
        <v>0</v>
      </c>
      <c r="FU234" s="14">
        <f t="shared" si="299"/>
        <v>181</v>
      </c>
      <c r="FV234" s="14">
        <f t="shared" si="280"/>
        <v>1064</v>
      </c>
      <c r="FW234" s="14">
        <f t="shared" si="281"/>
        <v>5</v>
      </c>
      <c r="FX234" s="14">
        <f t="shared" si="282"/>
        <v>1064</v>
      </c>
      <c r="FY234" s="25" t="str">
        <f t="shared" si="300"/>
        <v>icon_2006108</v>
      </c>
      <c r="GC234" s="14">
        <f t="shared" si="283"/>
        <v>1</v>
      </c>
      <c r="GD234" s="14">
        <f t="shared" si="284"/>
        <v>3</v>
      </c>
      <c r="GE234" s="14">
        <f t="shared" si="301"/>
        <v>266</v>
      </c>
      <c r="GF234" s="14" t="str">
        <f t="shared" si="285"/>
        <v>AtkExt</v>
      </c>
      <c r="GG234" s="14">
        <f t="shared" si="302"/>
        <v>295</v>
      </c>
      <c r="GH234" s="14">
        <f t="shared" si="303"/>
        <v>17</v>
      </c>
      <c r="GI234" s="14" t="str">
        <f t="shared" si="286"/>
        <v>HPExt</v>
      </c>
      <c r="GJ234" s="14">
        <f t="shared" si="304"/>
        <v>3250</v>
      </c>
      <c r="GK234" s="14">
        <f t="shared" si="305"/>
        <v>181</v>
      </c>
      <c r="GL234" s="14">
        <f t="shared" si="287"/>
        <v>20640</v>
      </c>
      <c r="GM234" s="14">
        <f t="shared" si="306"/>
        <v>5</v>
      </c>
      <c r="GN234" s="14">
        <f t="shared" si="307"/>
        <v>1064</v>
      </c>
      <c r="GO234" s="25" t="s">
        <v>1471</v>
      </c>
      <c r="GP234" s="14">
        <f t="shared" si="288"/>
        <v>375</v>
      </c>
      <c r="HK234" s="13">
        <v>229</v>
      </c>
      <c r="HL234" s="14">
        <f t="shared" si="308"/>
        <v>10</v>
      </c>
      <c r="HM234" s="14">
        <f t="shared" si="309"/>
        <v>1</v>
      </c>
      <c r="HN234" s="14">
        <f t="shared" si="310"/>
        <v>10</v>
      </c>
      <c r="HO234" s="14">
        <f t="shared" si="311"/>
        <v>4</v>
      </c>
      <c r="HP234" s="14" t="str">
        <f t="shared" si="312"/>
        <v>140级寄灵人洗练-Q4-1</v>
      </c>
      <c r="HQ234" s="14">
        <f t="shared" si="313"/>
        <v>1104</v>
      </c>
      <c r="HR234" s="14">
        <f t="shared" si="314"/>
        <v>1</v>
      </c>
      <c r="HS234" s="14">
        <f t="shared" si="315"/>
        <v>1800</v>
      </c>
      <c r="HT234" s="14" t="str">
        <f t="shared" si="316"/>
        <v>AtkExt</v>
      </c>
      <c r="HU234" s="14">
        <f t="shared" si="317"/>
        <v>368</v>
      </c>
      <c r="HV234" s="14">
        <f t="shared" si="318"/>
        <v>1054</v>
      </c>
    </row>
    <row r="235" spans="151:230" ht="16.5" x14ac:dyDescent="0.2">
      <c r="EU235" s="13">
        <v>230</v>
      </c>
      <c r="EV235" s="14">
        <f t="shared" si="289"/>
        <v>1</v>
      </c>
      <c r="EW235" s="14">
        <f t="shared" si="290"/>
        <v>230</v>
      </c>
      <c r="EX235" s="14">
        <f t="shared" si="291"/>
        <v>31</v>
      </c>
      <c r="EY235" s="14">
        <f t="shared" si="266"/>
        <v>41</v>
      </c>
      <c r="EZ235" s="14">
        <f t="shared" si="267"/>
        <v>6</v>
      </c>
      <c r="FA235" s="14">
        <f t="shared" si="268"/>
        <v>100</v>
      </c>
      <c r="FB235" s="14">
        <f t="shared" si="269"/>
        <v>4</v>
      </c>
      <c r="FC235" s="14">
        <f t="shared" si="270"/>
        <v>1</v>
      </c>
      <c r="FD235" s="14">
        <f t="shared" si="271"/>
        <v>1</v>
      </c>
      <c r="FE235" s="14" t="b">
        <f t="shared" si="292"/>
        <v>1</v>
      </c>
      <c r="FF235" s="14">
        <f t="shared" si="272"/>
        <v>2006411</v>
      </c>
      <c r="FG235" s="13" t="str">
        <f t="shared" si="273"/>
        <v>100级-攻击套寄灵人の灵器</v>
      </c>
      <c r="FH235" s="14">
        <f t="shared" si="274"/>
        <v>1</v>
      </c>
      <c r="FI235" s="14">
        <f t="shared" si="275"/>
        <v>4</v>
      </c>
      <c r="FJ235" s="14">
        <f t="shared" si="276"/>
        <v>100</v>
      </c>
      <c r="FK235" s="14">
        <v>1</v>
      </c>
      <c r="FL235" s="14">
        <f t="shared" si="277"/>
        <v>6</v>
      </c>
      <c r="FM235" s="14">
        <f t="shared" si="293"/>
        <v>1</v>
      </c>
      <c r="FN235" s="14">
        <f t="shared" si="278"/>
        <v>200641</v>
      </c>
      <c r="FO235" s="14">
        <f t="shared" si="279"/>
        <v>375</v>
      </c>
      <c r="FP235" s="14">
        <f t="shared" si="294"/>
        <v>890</v>
      </c>
      <c r="FQ235" s="14">
        <f t="shared" si="295"/>
        <v>0</v>
      </c>
      <c r="FR235" s="14">
        <f t="shared" si="296"/>
        <v>0</v>
      </c>
      <c r="FS235" s="14">
        <f t="shared" si="297"/>
        <v>50</v>
      </c>
      <c r="FT235" s="14">
        <f t="shared" si="298"/>
        <v>0</v>
      </c>
      <c r="FU235" s="14">
        <f t="shared" si="299"/>
        <v>0</v>
      </c>
      <c r="FV235" s="14">
        <f t="shared" si="280"/>
        <v>1064</v>
      </c>
      <c r="FW235" s="14">
        <f t="shared" si="281"/>
        <v>5</v>
      </c>
      <c r="FX235" s="14">
        <f t="shared" si="282"/>
        <v>1064</v>
      </c>
      <c r="FY235" s="25" t="str">
        <f t="shared" si="300"/>
        <v>icon_2006411</v>
      </c>
      <c r="GC235" s="14">
        <f t="shared" si="283"/>
        <v>1</v>
      </c>
      <c r="GD235" s="14">
        <f t="shared" si="284"/>
        <v>0</v>
      </c>
      <c r="GE235" s="14">
        <f t="shared" si="301"/>
        <v>375</v>
      </c>
      <c r="GF235" s="14" t="str">
        <f t="shared" si="285"/>
        <v>AtkExt</v>
      </c>
      <c r="GG235" s="14">
        <f t="shared" si="302"/>
        <v>890</v>
      </c>
      <c r="GH235" s="14">
        <f t="shared" si="303"/>
        <v>50</v>
      </c>
      <c r="GI235" s="14" t="str">
        <f t="shared" si="286"/>
        <v/>
      </c>
      <c r="GJ235" s="14" t="str">
        <f t="shared" si="304"/>
        <v/>
      </c>
      <c r="GK235" s="14" t="str">
        <f t="shared" si="305"/>
        <v/>
      </c>
      <c r="GL235" s="14">
        <f t="shared" si="287"/>
        <v>20640</v>
      </c>
      <c r="GM235" s="14">
        <f t="shared" si="306"/>
        <v>5</v>
      </c>
      <c r="GN235" s="14">
        <f t="shared" si="307"/>
        <v>1064</v>
      </c>
      <c r="GO235" s="25" t="s">
        <v>1471</v>
      </c>
      <c r="GP235" s="14">
        <f t="shared" si="288"/>
        <v>500</v>
      </c>
      <c r="HK235" s="13">
        <v>230</v>
      </c>
      <c r="HL235" s="14">
        <f t="shared" si="308"/>
        <v>10</v>
      </c>
      <c r="HM235" s="14">
        <f t="shared" si="309"/>
        <v>1</v>
      </c>
      <c r="HN235" s="14">
        <f t="shared" si="310"/>
        <v>10</v>
      </c>
      <c r="HO235" s="14">
        <f t="shared" si="311"/>
        <v>4</v>
      </c>
      <c r="HP235" s="14" t="str">
        <f t="shared" si="312"/>
        <v>140级寄灵人洗练-Q4-2</v>
      </c>
      <c r="HQ235" s="14">
        <f t="shared" si="313"/>
        <v>1104</v>
      </c>
      <c r="HR235" s="14">
        <f t="shared" si="314"/>
        <v>2</v>
      </c>
      <c r="HS235" s="14">
        <f t="shared" si="315"/>
        <v>1800</v>
      </c>
      <c r="HT235" s="14" t="str">
        <f t="shared" si="316"/>
        <v>DefExt</v>
      </c>
      <c r="HU235" s="14">
        <f t="shared" si="317"/>
        <v>134</v>
      </c>
      <c r="HV235" s="14">
        <f t="shared" si="318"/>
        <v>384</v>
      </c>
    </row>
    <row r="236" spans="151:230" ht="16.5" x14ac:dyDescent="0.2">
      <c r="EU236" s="13">
        <v>231</v>
      </c>
      <c r="EV236" s="14">
        <f t="shared" si="289"/>
        <v>1</v>
      </c>
      <c r="EW236" s="14">
        <f t="shared" si="290"/>
        <v>231</v>
      </c>
      <c r="EX236" s="14">
        <f t="shared" si="291"/>
        <v>31</v>
      </c>
      <c r="EY236" s="14">
        <f t="shared" si="266"/>
        <v>41</v>
      </c>
      <c r="EZ236" s="14">
        <f t="shared" si="267"/>
        <v>6</v>
      </c>
      <c r="FA236" s="14">
        <f t="shared" si="268"/>
        <v>100</v>
      </c>
      <c r="FB236" s="14">
        <f t="shared" si="269"/>
        <v>4</v>
      </c>
      <c r="FC236" s="14">
        <f t="shared" si="270"/>
        <v>2</v>
      </c>
      <c r="FD236" s="14">
        <f t="shared" si="271"/>
        <v>2</v>
      </c>
      <c r="FE236" s="14" t="b">
        <f t="shared" si="292"/>
        <v>1</v>
      </c>
      <c r="FF236" s="14">
        <f t="shared" si="272"/>
        <v>2006412</v>
      </c>
      <c r="FG236" s="13" t="str">
        <f t="shared" si="273"/>
        <v>100级-攻击套寄灵人の头盔</v>
      </c>
      <c r="FH236" s="14">
        <f t="shared" si="274"/>
        <v>1</v>
      </c>
      <c r="FI236" s="14">
        <f t="shared" si="275"/>
        <v>4</v>
      </c>
      <c r="FJ236" s="14">
        <f t="shared" si="276"/>
        <v>100</v>
      </c>
      <c r="FK236" s="14">
        <v>1</v>
      </c>
      <c r="FL236" s="14">
        <f t="shared" si="277"/>
        <v>6</v>
      </c>
      <c r="FM236" s="14">
        <f t="shared" si="293"/>
        <v>2</v>
      </c>
      <c r="FN236" s="14">
        <f t="shared" si="278"/>
        <v>200641</v>
      </c>
      <c r="FO236" s="14">
        <f t="shared" si="279"/>
        <v>180</v>
      </c>
      <c r="FP236" s="14">
        <f t="shared" si="294"/>
        <v>0</v>
      </c>
      <c r="FQ236" s="14">
        <f t="shared" si="295"/>
        <v>225</v>
      </c>
      <c r="FR236" s="14">
        <f t="shared" si="296"/>
        <v>0</v>
      </c>
      <c r="FS236" s="14">
        <f t="shared" si="297"/>
        <v>0</v>
      </c>
      <c r="FT236" s="14">
        <f t="shared" si="298"/>
        <v>12</v>
      </c>
      <c r="FU236" s="14">
        <f t="shared" si="299"/>
        <v>0</v>
      </c>
      <c r="FV236" s="14">
        <f t="shared" si="280"/>
        <v>1064</v>
      </c>
      <c r="FW236" s="14">
        <f t="shared" si="281"/>
        <v>5</v>
      </c>
      <c r="FX236" s="14">
        <f t="shared" si="282"/>
        <v>1064</v>
      </c>
      <c r="FY236" s="25" t="str">
        <f t="shared" si="300"/>
        <v>icon_2006412</v>
      </c>
      <c r="GC236" s="14">
        <f t="shared" si="283"/>
        <v>2</v>
      </c>
      <c r="GD236" s="14">
        <f t="shared" si="284"/>
        <v>0</v>
      </c>
      <c r="GE236" s="14">
        <f t="shared" si="301"/>
        <v>180</v>
      </c>
      <c r="GF236" s="14" t="str">
        <f t="shared" si="285"/>
        <v>DefExt</v>
      </c>
      <c r="GG236" s="14">
        <f t="shared" si="302"/>
        <v>225</v>
      </c>
      <c r="GH236" s="14">
        <f t="shared" si="303"/>
        <v>12</v>
      </c>
      <c r="GI236" s="14" t="str">
        <f t="shared" si="286"/>
        <v/>
      </c>
      <c r="GJ236" s="14" t="str">
        <f t="shared" si="304"/>
        <v/>
      </c>
      <c r="GK236" s="14" t="str">
        <f t="shared" si="305"/>
        <v/>
      </c>
      <c r="GL236" s="14">
        <f t="shared" si="287"/>
        <v>20640</v>
      </c>
      <c r="GM236" s="14">
        <f t="shared" si="306"/>
        <v>5</v>
      </c>
      <c r="GN236" s="14">
        <f t="shared" si="307"/>
        <v>1064</v>
      </c>
      <c r="GO236" s="25" t="s">
        <v>1471</v>
      </c>
      <c r="GP236" s="14">
        <f t="shared" si="288"/>
        <v>250</v>
      </c>
      <c r="HK236" s="13">
        <v>231</v>
      </c>
      <c r="HL236" s="14">
        <f t="shared" si="308"/>
        <v>10</v>
      </c>
      <c r="HM236" s="14">
        <f t="shared" si="309"/>
        <v>1</v>
      </c>
      <c r="HN236" s="14">
        <f t="shared" si="310"/>
        <v>10</v>
      </c>
      <c r="HO236" s="14">
        <f t="shared" si="311"/>
        <v>4</v>
      </c>
      <c r="HP236" s="14" t="str">
        <f t="shared" si="312"/>
        <v>140级寄灵人洗练-Q4-3</v>
      </c>
      <c r="HQ236" s="14">
        <f t="shared" si="313"/>
        <v>1104</v>
      </c>
      <c r="HR236" s="14">
        <f t="shared" si="314"/>
        <v>3</v>
      </c>
      <c r="HS236" s="14">
        <f t="shared" si="315"/>
        <v>2000</v>
      </c>
      <c r="HT236" s="14" t="str">
        <f t="shared" si="316"/>
        <v>HPExt</v>
      </c>
      <c r="HU236" s="14">
        <f t="shared" si="317"/>
        <v>3514</v>
      </c>
      <c r="HV236" s="14">
        <f t="shared" si="318"/>
        <v>10042</v>
      </c>
    </row>
    <row r="237" spans="151:230" ht="16.5" x14ac:dyDescent="0.2">
      <c r="EU237" s="13">
        <v>232</v>
      </c>
      <c r="EV237" s="14">
        <f t="shared" si="289"/>
        <v>1</v>
      </c>
      <c r="EW237" s="14">
        <f t="shared" si="290"/>
        <v>232</v>
      </c>
      <c r="EX237" s="14">
        <f t="shared" si="291"/>
        <v>31</v>
      </c>
      <c r="EY237" s="14">
        <f t="shared" si="266"/>
        <v>41</v>
      </c>
      <c r="EZ237" s="14">
        <f t="shared" si="267"/>
        <v>6</v>
      </c>
      <c r="FA237" s="14">
        <f t="shared" si="268"/>
        <v>100</v>
      </c>
      <c r="FB237" s="14">
        <f t="shared" si="269"/>
        <v>4</v>
      </c>
      <c r="FC237" s="14">
        <f t="shared" si="270"/>
        <v>3</v>
      </c>
      <c r="FD237" s="14">
        <f t="shared" si="271"/>
        <v>3</v>
      </c>
      <c r="FE237" s="14" t="b">
        <f t="shared" si="292"/>
        <v>1</v>
      </c>
      <c r="FF237" s="14">
        <f t="shared" si="272"/>
        <v>2006413</v>
      </c>
      <c r="FG237" s="13" t="str">
        <f t="shared" si="273"/>
        <v>100级-攻击套寄灵人の铠甲</v>
      </c>
      <c r="FH237" s="14">
        <f t="shared" si="274"/>
        <v>1</v>
      </c>
      <c r="FI237" s="14">
        <f t="shared" si="275"/>
        <v>4</v>
      </c>
      <c r="FJ237" s="14">
        <f t="shared" si="276"/>
        <v>100</v>
      </c>
      <c r="FK237" s="14">
        <v>1</v>
      </c>
      <c r="FL237" s="14">
        <f t="shared" si="277"/>
        <v>6</v>
      </c>
      <c r="FM237" s="14">
        <f t="shared" si="293"/>
        <v>3</v>
      </c>
      <c r="FN237" s="14">
        <f t="shared" si="278"/>
        <v>200641</v>
      </c>
      <c r="FO237" s="14">
        <f t="shared" si="279"/>
        <v>252</v>
      </c>
      <c r="FP237" s="14">
        <f t="shared" si="294"/>
        <v>0</v>
      </c>
      <c r="FQ237" s="14">
        <f t="shared" si="295"/>
        <v>115</v>
      </c>
      <c r="FR237" s="14">
        <f t="shared" si="296"/>
        <v>1950</v>
      </c>
      <c r="FS237" s="14">
        <f t="shared" si="297"/>
        <v>0</v>
      </c>
      <c r="FT237" s="14">
        <f t="shared" si="298"/>
        <v>6</v>
      </c>
      <c r="FU237" s="14">
        <f t="shared" si="299"/>
        <v>108</v>
      </c>
      <c r="FV237" s="14">
        <f t="shared" si="280"/>
        <v>1064</v>
      </c>
      <c r="FW237" s="14">
        <f t="shared" si="281"/>
        <v>5</v>
      </c>
      <c r="FX237" s="14">
        <f t="shared" si="282"/>
        <v>1064</v>
      </c>
      <c r="FY237" s="25" t="str">
        <f t="shared" si="300"/>
        <v>icon_2006413</v>
      </c>
      <c r="GC237" s="14">
        <f t="shared" si="283"/>
        <v>2</v>
      </c>
      <c r="GD237" s="14">
        <f t="shared" si="284"/>
        <v>3</v>
      </c>
      <c r="GE237" s="14">
        <f t="shared" si="301"/>
        <v>252</v>
      </c>
      <c r="GF237" s="14" t="str">
        <f t="shared" si="285"/>
        <v>DefExt</v>
      </c>
      <c r="GG237" s="14">
        <f t="shared" si="302"/>
        <v>115</v>
      </c>
      <c r="GH237" s="14">
        <f t="shared" si="303"/>
        <v>6</v>
      </c>
      <c r="GI237" s="14" t="str">
        <f t="shared" si="286"/>
        <v>HPExt</v>
      </c>
      <c r="GJ237" s="14">
        <f t="shared" si="304"/>
        <v>1950</v>
      </c>
      <c r="GK237" s="14">
        <f t="shared" si="305"/>
        <v>108</v>
      </c>
      <c r="GL237" s="14">
        <f t="shared" si="287"/>
        <v>20640</v>
      </c>
      <c r="GM237" s="14">
        <f t="shared" si="306"/>
        <v>5</v>
      </c>
      <c r="GN237" s="14">
        <f t="shared" si="307"/>
        <v>1064</v>
      </c>
      <c r="GO237" s="25" t="s">
        <v>1471</v>
      </c>
      <c r="GP237" s="14">
        <f t="shared" si="288"/>
        <v>250</v>
      </c>
      <c r="HK237" s="13">
        <v>232</v>
      </c>
      <c r="HL237" s="14">
        <f t="shared" si="308"/>
        <v>10</v>
      </c>
      <c r="HM237" s="14">
        <f t="shared" si="309"/>
        <v>1</v>
      </c>
      <c r="HN237" s="14">
        <f t="shared" si="310"/>
        <v>10</v>
      </c>
      <c r="HO237" s="14">
        <f t="shared" si="311"/>
        <v>4</v>
      </c>
      <c r="HP237" s="14" t="str">
        <f t="shared" si="312"/>
        <v>140级寄灵人洗练-Q4-4</v>
      </c>
      <c r="HQ237" s="14">
        <f t="shared" si="313"/>
        <v>1104</v>
      </c>
      <c r="HR237" s="14">
        <f t="shared" si="314"/>
        <v>4</v>
      </c>
      <c r="HS237" s="14">
        <f t="shared" si="315"/>
        <v>500</v>
      </c>
      <c r="HT237" s="14" t="str">
        <f t="shared" si="316"/>
        <v>AtkRate</v>
      </c>
      <c r="HU237" s="14">
        <f t="shared" si="317"/>
        <v>1.4E-2</v>
      </c>
      <c r="HV237" s="14">
        <f t="shared" si="318"/>
        <v>0.04</v>
      </c>
    </row>
    <row r="238" spans="151:230" ht="16.5" x14ac:dyDescent="0.2">
      <c r="EU238" s="13">
        <v>233</v>
      </c>
      <c r="EV238" s="14">
        <f t="shared" si="289"/>
        <v>1</v>
      </c>
      <c r="EW238" s="14">
        <f t="shared" si="290"/>
        <v>233</v>
      </c>
      <c r="EX238" s="14">
        <f t="shared" si="291"/>
        <v>31</v>
      </c>
      <c r="EY238" s="14">
        <f t="shared" si="266"/>
        <v>41</v>
      </c>
      <c r="EZ238" s="14">
        <f t="shared" si="267"/>
        <v>6</v>
      </c>
      <c r="FA238" s="14">
        <f t="shared" si="268"/>
        <v>100</v>
      </c>
      <c r="FB238" s="14">
        <f t="shared" si="269"/>
        <v>4</v>
      </c>
      <c r="FC238" s="14">
        <f t="shared" si="270"/>
        <v>4</v>
      </c>
      <c r="FD238" s="14">
        <f t="shared" si="271"/>
        <v>5</v>
      </c>
      <c r="FE238" s="14" t="b">
        <f t="shared" si="292"/>
        <v>1</v>
      </c>
      <c r="FF238" s="14">
        <f t="shared" si="272"/>
        <v>2006415</v>
      </c>
      <c r="FG238" s="13" t="str">
        <f t="shared" si="273"/>
        <v>100级-攻击套寄灵人の鞋子</v>
      </c>
      <c r="FH238" s="14">
        <f t="shared" si="274"/>
        <v>1</v>
      </c>
      <c r="FI238" s="14">
        <f t="shared" si="275"/>
        <v>4</v>
      </c>
      <c r="FJ238" s="14">
        <f t="shared" si="276"/>
        <v>100</v>
      </c>
      <c r="FK238" s="14">
        <v>1</v>
      </c>
      <c r="FL238" s="14">
        <f t="shared" si="277"/>
        <v>6</v>
      </c>
      <c r="FM238" s="14">
        <f t="shared" si="293"/>
        <v>5</v>
      </c>
      <c r="FN238" s="14">
        <f t="shared" si="278"/>
        <v>200641</v>
      </c>
      <c r="FO238" s="14">
        <f t="shared" si="279"/>
        <v>325</v>
      </c>
      <c r="FP238" s="14">
        <f t="shared" si="294"/>
        <v>0</v>
      </c>
      <c r="FQ238" s="14">
        <f t="shared" si="295"/>
        <v>0</v>
      </c>
      <c r="FR238" s="14">
        <f t="shared" si="296"/>
        <v>3900</v>
      </c>
      <c r="FS238" s="14">
        <f t="shared" si="297"/>
        <v>0</v>
      </c>
      <c r="FT238" s="14">
        <f t="shared" si="298"/>
        <v>0</v>
      </c>
      <c r="FU238" s="14">
        <f t="shared" si="299"/>
        <v>217</v>
      </c>
      <c r="FV238" s="14">
        <f t="shared" si="280"/>
        <v>1064</v>
      </c>
      <c r="FW238" s="14">
        <f t="shared" si="281"/>
        <v>5</v>
      </c>
      <c r="FX238" s="14">
        <f t="shared" si="282"/>
        <v>1064</v>
      </c>
      <c r="FY238" s="25" t="str">
        <f t="shared" si="300"/>
        <v>icon_2006415</v>
      </c>
      <c r="GC238" s="14">
        <f t="shared" si="283"/>
        <v>3</v>
      </c>
      <c r="GD238" s="14">
        <f t="shared" si="284"/>
        <v>0</v>
      </c>
      <c r="GE238" s="14">
        <f t="shared" si="301"/>
        <v>325</v>
      </c>
      <c r="GF238" s="14" t="str">
        <f t="shared" si="285"/>
        <v>HPExt</v>
      </c>
      <c r="GG238" s="14">
        <f t="shared" si="302"/>
        <v>3900</v>
      </c>
      <c r="GH238" s="14">
        <f t="shared" si="303"/>
        <v>217</v>
      </c>
      <c r="GI238" s="14" t="str">
        <f t="shared" si="286"/>
        <v/>
      </c>
      <c r="GJ238" s="14" t="str">
        <f t="shared" si="304"/>
        <v/>
      </c>
      <c r="GK238" s="14" t="str">
        <f t="shared" si="305"/>
        <v/>
      </c>
      <c r="GL238" s="14">
        <f t="shared" si="287"/>
        <v>20640</v>
      </c>
      <c r="GM238" s="14">
        <f t="shared" si="306"/>
        <v>5</v>
      </c>
      <c r="GN238" s="14">
        <f t="shared" si="307"/>
        <v>1064</v>
      </c>
      <c r="GO238" s="25" t="s">
        <v>1471</v>
      </c>
      <c r="GP238" s="14">
        <f t="shared" si="288"/>
        <v>250</v>
      </c>
      <c r="HK238" s="13">
        <v>233</v>
      </c>
      <c r="HL238" s="14">
        <f t="shared" si="308"/>
        <v>10</v>
      </c>
      <c r="HM238" s="14">
        <f t="shared" si="309"/>
        <v>1</v>
      </c>
      <c r="HN238" s="14">
        <f t="shared" si="310"/>
        <v>10</v>
      </c>
      <c r="HO238" s="14">
        <f t="shared" si="311"/>
        <v>4</v>
      </c>
      <c r="HP238" s="14" t="str">
        <f t="shared" si="312"/>
        <v>140级寄灵人洗练-Q4-5</v>
      </c>
      <c r="HQ238" s="14">
        <f t="shared" si="313"/>
        <v>1104</v>
      </c>
      <c r="HR238" s="14">
        <f t="shared" si="314"/>
        <v>5</v>
      </c>
      <c r="HS238" s="14">
        <f t="shared" si="315"/>
        <v>400</v>
      </c>
      <c r="HT238" s="14" t="str">
        <f t="shared" si="316"/>
        <v>DefRate</v>
      </c>
      <c r="HU238" s="14">
        <f t="shared" si="317"/>
        <v>1.4E-2</v>
      </c>
      <c r="HV238" s="14">
        <f t="shared" si="318"/>
        <v>0.04</v>
      </c>
    </row>
    <row r="239" spans="151:230" ht="16.5" x14ac:dyDescent="0.2">
      <c r="EU239" s="13">
        <v>234</v>
      </c>
      <c r="EV239" s="14">
        <f t="shared" si="289"/>
        <v>1</v>
      </c>
      <c r="EW239" s="14">
        <f t="shared" si="290"/>
        <v>234</v>
      </c>
      <c r="EX239" s="14">
        <f t="shared" si="291"/>
        <v>31</v>
      </c>
      <c r="EY239" s="14">
        <f t="shared" si="266"/>
        <v>41</v>
      </c>
      <c r="EZ239" s="14">
        <f t="shared" si="267"/>
        <v>6</v>
      </c>
      <c r="FA239" s="14">
        <f t="shared" si="268"/>
        <v>100</v>
      </c>
      <c r="FB239" s="14">
        <f t="shared" si="269"/>
        <v>4</v>
      </c>
      <c r="FC239" s="14">
        <f t="shared" si="270"/>
        <v>5</v>
      </c>
      <c r="FD239" s="14">
        <f t="shared" si="271"/>
        <v>7</v>
      </c>
      <c r="FE239" s="14" t="b">
        <f t="shared" si="292"/>
        <v>1</v>
      </c>
      <c r="FF239" s="14">
        <f t="shared" si="272"/>
        <v>2006417</v>
      </c>
      <c r="FG239" s="13" t="str">
        <f t="shared" si="273"/>
        <v>100级-攻击套寄灵人の项链</v>
      </c>
      <c r="FH239" s="14">
        <f t="shared" si="274"/>
        <v>1</v>
      </c>
      <c r="FI239" s="14">
        <f t="shared" si="275"/>
        <v>4</v>
      </c>
      <c r="FJ239" s="14">
        <f t="shared" si="276"/>
        <v>100</v>
      </c>
      <c r="FK239" s="14">
        <v>1</v>
      </c>
      <c r="FL239" s="14">
        <f t="shared" si="277"/>
        <v>6</v>
      </c>
      <c r="FM239" s="14">
        <f t="shared" si="293"/>
        <v>7</v>
      </c>
      <c r="FN239" s="14">
        <f t="shared" si="278"/>
        <v>200641</v>
      </c>
      <c r="FO239" s="14">
        <f t="shared" si="279"/>
        <v>277</v>
      </c>
      <c r="FP239" s="14">
        <f t="shared" si="294"/>
        <v>295</v>
      </c>
      <c r="FQ239" s="14">
        <f t="shared" si="295"/>
        <v>190</v>
      </c>
      <c r="FR239" s="14">
        <f t="shared" si="296"/>
        <v>0</v>
      </c>
      <c r="FS239" s="14">
        <f t="shared" si="297"/>
        <v>17</v>
      </c>
      <c r="FT239" s="14">
        <f t="shared" si="298"/>
        <v>10</v>
      </c>
      <c r="FU239" s="14">
        <f t="shared" si="299"/>
        <v>0</v>
      </c>
      <c r="FV239" s="14">
        <f t="shared" si="280"/>
        <v>1064</v>
      </c>
      <c r="FW239" s="14">
        <f t="shared" si="281"/>
        <v>5</v>
      </c>
      <c r="FX239" s="14">
        <f t="shared" si="282"/>
        <v>1064</v>
      </c>
      <c r="FY239" s="25" t="str">
        <f t="shared" si="300"/>
        <v>icon_2006417</v>
      </c>
      <c r="GC239" s="14">
        <f t="shared" si="283"/>
        <v>1</v>
      </c>
      <c r="GD239" s="14">
        <f t="shared" si="284"/>
        <v>2</v>
      </c>
      <c r="GE239" s="14">
        <f t="shared" si="301"/>
        <v>277</v>
      </c>
      <c r="GF239" s="14" t="str">
        <f t="shared" si="285"/>
        <v>AtkExt</v>
      </c>
      <c r="GG239" s="14">
        <f t="shared" si="302"/>
        <v>295</v>
      </c>
      <c r="GH239" s="14">
        <f t="shared" si="303"/>
        <v>17</v>
      </c>
      <c r="GI239" s="14" t="str">
        <f t="shared" si="286"/>
        <v>DefExt</v>
      </c>
      <c r="GJ239" s="14">
        <f t="shared" si="304"/>
        <v>190</v>
      </c>
      <c r="GK239" s="14">
        <f t="shared" si="305"/>
        <v>10</v>
      </c>
      <c r="GL239" s="14">
        <f t="shared" si="287"/>
        <v>20640</v>
      </c>
      <c r="GM239" s="14">
        <f t="shared" si="306"/>
        <v>5</v>
      </c>
      <c r="GN239" s="14">
        <f t="shared" si="307"/>
        <v>1064</v>
      </c>
      <c r="GO239" s="25" t="s">
        <v>1471</v>
      </c>
      <c r="GP239" s="14">
        <f t="shared" si="288"/>
        <v>375</v>
      </c>
      <c r="HK239" s="13">
        <v>234</v>
      </c>
      <c r="HL239" s="14">
        <f t="shared" si="308"/>
        <v>10</v>
      </c>
      <c r="HM239" s="14">
        <f t="shared" si="309"/>
        <v>1</v>
      </c>
      <c r="HN239" s="14">
        <f t="shared" si="310"/>
        <v>10</v>
      </c>
      <c r="HO239" s="14">
        <f t="shared" si="311"/>
        <v>4</v>
      </c>
      <c r="HP239" s="14" t="str">
        <f t="shared" si="312"/>
        <v>140级寄灵人洗练-Q4-6</v>
      </c>
      <c r="HQ239" s="14">
        <f t="shared" si="313"/>
        <v>1104</v>
      </c>
      <c r="HR239" s="14">
        <f t="shared" si="314"/>
        <v>6</v>
      </c>
      <c r="HS239" s="14">
        <f t="shared" si="315"/>
        <v>500</v>
      </c>
      <c r="HT239" s="14" t="str">
        <f t="shared" si="316"/>
        <v>HPRate</v>
      </c>
      <c r="HU239" s="14">
        <f t="shared" si="317"/>
        <v>1.4E-2</v>
      </c>
      <c r="HV239" s="14">
        <f t="shared" si="318"/>
        <v>0.04</v>
      </c>
    </row>
    <row r="240" spans="151:230" ht="16.5" x14ac:dyDescent="0.2">
      <c r="EU240" s="13">
        <v>235</v>
      </c>
      <c r="EV240" s="14">
        <f t="shared" si="289"/>
        <v>1</v>
      </c>
      <c r="EW240" s="14">
        <f t="shared" si="290"/>
        <v>235</v>
      </c>
      <c r="EX240" s="14">
        <f t="shared" si="291"/>
        <v>31</v>
      </c>
      <c r="EY240" s="14">
        <f t="shared" si="266"/>
        <v>41</v>
      </c>
      <c r="EZ240" s="14">
        <f t="shared" si="267"/>
        <v>6</v>
      </c>
      <c r="FA240" s="14">
        <f t="shared" si="268"/>
        <v>100</v>
      </c>
      <c r="FB240" s="14">
        <f t="shared" si="269"/>
        <v>4</v>
      </c>
      <c r="FC240" s="14">
        <f t="shared" si="270"/>
        <v>6</v>
      </c>
      <c r="FD240" s="14">
        <f t="shared" si="271"/>
        <v>8</v>
      </c>
      <c r="FE240" s="14" t="b">
        <f t="shared" si="292"/>
        <v>1</v>
      </c>
      <c r="FF240" s="14">
        <f t="shared" si="272"/>
        <v>2006418</v>
      </c>
      <c r="FG240" s="13" t="str">
        <f t="shared" si="273"/>
        <v>100级-攻击套寄灵人の戒指</v>
      </c>
      <c r="FH240" s="14">
        <f t="shared" si="274"/>
        <v>1</v>
      </c>
      <c r="FI240" s="14">
        <f t="shared" si="275"/>
        <v>4</v>
      </c>
      <c r="FJ240" s="14">
        <f t="shared" si="276"/>
        <v>100</v>
      </c>
      <c r="FK240" s="14">
        <v>1</v>
      </c>
      <c r="FL240" s="14">
        <f t="shared" si="277"/>
        <v>6</v>
      </c>
      <c r="FM240" s="14">
        <f t="shared" si="293"/>
        <v>8</v>
      </c>
      <c r="FN240" s="14">
        <f t="shared" si="278"/>
        <v>200641</v>
      </c>
      <c r="FO240" s="14">
        <f t="shared" si="279"/>
        <v>399</v>
      </c>
      <c r="FP240" s="14">
        <f t="shared" si="294"/>
        <v>295</v>
      </c>
      <c r="FQ240" s="14">
        <f t="shared" si="295"/>
        <v>0</v>
      </c>
      <c r="FR240" s="14">
        <f t="shared" si="296"/>
        <v>3250</v>
      </c>
      <c r="FS240" s="14">
        <f t="shared" si="297"/>
        <v>17</v>
      </c>
      <c r="FT240" s="14">
        <f t="shared" si="298"/>
        <v>0</v>
      </c>
      <c r="FU240" s="14">
        <f t="shared" si="299"/>
        <v>181</v>
      </c>
      <c r="FV240" s="14">
        <f t="shared" si="280"/>
        <v>1064</v>
      </c>
      <c r="FW240" s="14">
        <f t="shared" si="281"/>
        <v>5</v>
      </c>
      <c r="FX240" s="14">
        <f t="shared" si="282"/>
        <v>1064</v>
      </c>
      <c r="FY240" s="25" t="str">
        <f t="shared" si="300"/>
        <v>icon_2006418</v>
      </c>
      <c r="GC240" s="14">
        <f t="shared" si="283"/>
        <v>1</v>
      </c>
      <c r="GD240" s="14">
        <f t="shared" si="284"/>
        <v>3</v>
      </c>
      <c r="GE240" s="14">
        <f t="shared" si="301"/>
        <v>399</v>
      </c>
      <c r="GF240" s="14" t="str">
        <f t="shared" si="285"/>
        <v>AtkExt</v>
      </c>
      <c r="GG240" s="14">
        <f t="shared" si="302"/>
        <v>295</v>
      </c>
      <c r="GH240" s="14">
        <f t="shared" si="303"/>
        <v>17</v>
      </c>
      <c r="GI240" s="14" t="str">
        <f t="shared" si="286"/>
        <v>HPExt</v>
      </c>
      <c r="GJ240" s="14">
        <f t="shared" si="304"/>
        <v>3250</v>
      </c>
      <c r="GK240" s="14">
        <f t="shared" si="305"/>
        <v>181</v>
      </c>
      <c r="GL240" s="14">
        <f t="shared" si="287"/>
        <v>20640</v>
      </c>
      <c r="GM240" s="14">
        <f t="shared" si="306"/>
        <v>5</v>
      </c>
      <c r="GN240" s="14">
        <f t="shared" si="307"/>
        <v>1064</v>
      </c>
      <c r="GO240" s="25" t="s">
        <v>1471</v>
      </c>
      <c r="GP240" s="14">
        <f t="shared" si="288"/>
        <v>375</v>
      </c>
      <c r="HK240" s="13">
        <v>235</v>
      </c>
      <c r="HL240" s="14">
        <f t="shared" si="308"/>
        <v>10</v>
      </c>
      <c r="HM240" s="14">
        <f t="shared" si="309"/>
        <v>1</v>
      </c>
      <c r="HN240" s="14">
        <f t="shared" si="310"/>
        <v>10</v>
      </c>
      <c r="HO240" s="14">
        <f t="shared" si="311"/>
        <v>4</v>
      </c>
      <c r="HP240" s="14" t="str">
        <f t="shared" si="312"/>
        <v>140级寄灵人洗练-Q4-7</v>
      </c>
      <c r="HQ240" s="14">
        <f t="shared" si="313"/>
        <v>1104</v>
      </c>
      <c r="HR240" s="14">
        <f t="shared" si="314"/>
        <v>7</v>
      </c>
      <c r="HS240" s="14">
        <f t="shared" si="315"/>
        <v>500</v>
      </c>
      <c r="HT240" s="14" t="str">
        <f t="shared" si="316"/>
        <v>Crit</v>
      </c>
      <c r="HU240" s="14">
        <f t="shared" si="317"/>
        <v>1.0999999999999999E-2</v>
      </c>
      <c r="HV240" s="14">
        <f t="shared" si="318"/>
        <v>0.03</v>
      </c>
    </row>
    <row r="241" spans="151:230" ht="16.5" x14ac:dyDescent="0.2">
      <c r="EU241" s="13">
        <v>236</v>
      </c>
      <c r="EV241" s="14">
        <f t="shared" si="289"/>
        <v>1</v>
      </c>
      <c r="EW241" s="14">
        <f t="shared" si="290"/>
        <v>236</v>
      </c>
      <c r="EX241" s="14">
        <f t="shared" si="291"/>
        <v>32</v>
      </c>
      <c r="EY241" s="14">
        <f t="shared" si="266"/>
        <v>10</v>
      </c>
      <c r="EZ241" s="14">
        <f t="shared" si="267"/>
        <v>7</v>
      </c>
      <c r="FA241" s="14">
        <f t="shared" si="268"/>
        <v>110</v>
      </c>
      <c r="FB241" s="14">
        <f t="shared" si="269"/>
        <v>1</v>
      </c>
      <c r="FC241" s="14">
        <f t="shared" si="270"/>
        <v>1</v>
      </c>
      <c r="FD241" s="14">
        <f t="shared" si="271"/>
        <v>1</v>
      </c>
      <c r="FE241" s="14" t="b">
        <f t="shared" si="292"/>
        <v>0</v>
      </c>
      <c r="FF241" s="14">
        <f t="shared" si="272"/>
        <v>2007101</v>
      </c>
      <c r="FG241" s="13" t="str">
        <f t="shared" si="273"/>
        <v>110级-普通寄灵人の灵器</v>
      </c>
      <c r="FH241" s="14">
        <f t="shared" si="274"/>
        <v>1</v>
      </c>
      <c r="FI241" s="14">
        <f t="shared" si="275"/>
        <v>1</v>
      </c>
      <c r="FJ241" s="14">
        <f t="shared" si="276"/>
        <v>110</v>
      </c>
      <c r="FK241" s="14">
        <v>1</v>
      </c>
      <c r="FL241" s="14">
        <f t="shared" si="277"/>
        <v>7</v>
      </c>
      <c r="FM241" s="14">
        <f t="shared" si="293"/>
        <v>1</v>
      </c>
      <c r="FN241" s="14" t="str">
        <f t="shared" si="278"/>
        <v/>
      </c>
      <c r="FO241" s="14">
        <f t="shared" si="279"/>
        <v>145</v>
      </c>
      <c r="FP241" s="14">
        <f t="shared" si="294"/>
        <v>555</v>
      </c>
      <c r="FQ241" s="14">
        <f t="shared" si="295"/>
        <v>0</v>
      </c>
      <c r="FR241" s="14">
        <f t="shared" si="296"/>
        <v>0</v>
      </c>
      <c r="FS241" s="14">
        <f t="shared" si="297"/>
        <v>29</v>
      </c>
      <c r="FT241" s="14">
        <f t="shared" si="298"/>
        <v>0</v>
      </c>
      <c r="FU241" s="14">
        <f t="shared" si="299"/>
        <v>0</v>
      </c>
      <c r="FV241" s="14">
        <f t="shared" si="280"/>
        <v>1071</v>
      </c>
      <c r="FW241" s="14">
        <f t="shared" si="281"/>
        <v>0</v>
      </c>
      <c r="FX241" s="14" t="str">
        <f t="shared" si="282"/>
        <v/>
      </c>
      <c r="FY241" s="25" t="str">
        <f t="shared" si="300"/>
        <v>icon_2007101</v>
      </c>
      <c r="GC241" s="14">
        <f t="shared" si="283"/>
        <v>1</v>
      </c>
      <c r="GD241" s="14">
        <f t="shared" si="284"/>
        <v>0</v>
      </c>
      <c r="GE241" s="14">
        <f t="shared" si="301"/>
        <v>145</v>
      </c>
      <c r="GF241" s="14" t="str">
        <f t="shared" si="285"/>
        <v>AtkExt</v>
      </c>
      <c r="GG241" s="14">
        <f t="shared" si="302"/>
        <v>555</v>
      </c>
      <c r="GH241" s="14">
        <f t="shared" si="303"/>
        <v>29</v>
      </c>
      <c r="GI241" s="14" t="str">
        <f t="shared" si="286"/>
        <v/>
      </c>
      <c r="GJ241" s="14" t="str">
        <f t="shared" si="304"/>
        <v/>
      </c>
      <c r="GK241" s="14" t="str">
        <f t="shared" si="305"/>
        <v/>
      </c>
      <c r="GL241" s="14">
        <f t="shared" si="287"/>
        <v>20710</v>
      </c>
      <c r="GM241" s="14">
        <f t="shared" si="306"/>
        <v>0</v>
      </c>
      <c r="GN241" s="14" t="str">
        <f t="shared" si="307"/>
        <v/>
      </c>
      <c r="GO241" s="25" t="s">
        <v>1471</v>
      </c>
      <c r="GP241" s="14">
        <f t="shared" si="288"/>
        <v>60</v>
      </c>
      <c r="HK241" s="13">
        <v>236</v>
      </c>
      <c r="HL241" s="14">
        <f t="shared" si="308"/>
        <v>10</v>
      </c>
      <c r="HM241" s="14">
        <f t="shared" si="309"/>
        <v>1</v>
      </c>
      <c r="HN241" s="14">
        <f t="shared" si="310"/>
        <v>10</v>
      </c>
      <c r="HO241" s="14">
        <f t="shared" si="311"/>
        <v>4</v>
      </c>
      <c r="HP241" s="14" t="str">
        <f t="shared" si="312"/>
        <v>140级寄灵人洗练-Q4-8</v>
      </c>
      <c r="HQ241" s="14">
        <f t="shared" si="313"/>
        <v>1104</v>
      </c>
      <c r="HR241" s="14">
        <f t="shared" si="314"/>
        <v>8</v>
      </c>
      <c r="HS241" s="14">
        <f t="shared" si="315"/>
        <v>500</v>
      </c>
      <c r="HT241" s="14" t="str">
        <f t="shared" si="316"/>
        <v>CritRate</v>
      </c>
      <c r="HU241" s="14">
        <f t="shared" si="317"/>
        <v>2.8000000000000001E-2</v>
      </c>
      <c r="HV241" s="14">
        <f t="shared" si="318"/>
        <v>0.08</v>
      </c>
    </row>
    <row r="242" spans="151:230" ht="16.5" x14ac:dyDescent="0.2">
      <c r="EU242" s="13">
        <v>237</v>
      </c>
      <c r="EV242" s="14">
        <f t="shared" si="289"/>
        <v>1</v>
      </c>
      <c r="EW242" s="14">
        <f t="shared" si="290"/>
        <v>237</v>
      </c>
      <c r="EX242" s="14">
        <f t="shared" si="291"/>
        <v>32</v>
      </c>
      <c r="EY242" s="14">
        <f t="shared" si="266"/>
        <v>10</v>
      </c>
      <c r="EZ242" s="14">
        <f t="shared" si="267"/>
        <v>7</v>
      </c>
      <c r="FA242" s="14">
        <f t="shared" si="268"/>
        <v>110</v>
      </c>
      <c r="FB242" s="14">
        <f t="shared" si="269"/>
        <v>1</v>
      </c>
      <c r="FC242" s="14">
        <f t="shared" si="270"/>
        <v>2</v>
      </c>
      <c r="FD242" s="14">
        <f t="shared" si="271"/>
        <v>2</v>
      </c>
      <c r="FE242" s="14" t="b">
        <f t="shared" si="292"/>
        <v>0</v>
      </c>
      <c r="FF242" s="14">
        <f t="shared" si="272"/>
        <v>2007102</v>
      </c>
      <c r="FG242" s="13" t="str">
        <f t="shared" si="273"/>
        <v>110级-普通寄灵人の头盔</v>
      </c>
      <c r="FH242" s="14">
        <f t="shared" si="274"/>
        <v>1</v>
      </c>
      <c r="FI242" s="14">
        <f t="shared" si="275"/>
        <v>1</v>
      </c>
      <c r="FJ242" s="14">
        <f t="shared" si="276"/>
        <v>110</v>
      </c>
      <c r="FK242" s="14">
        <v>1</v>
      </c>
      <c r="FL242" s="14">
        <f t="shared" si="277"/>
        <v>7</v>
      </c>
      <c r="FM242" s="14">
        <f t="shared" si="293"/>
        <v>2</v>
      </c>
      <c r="FN242" s="14" t="str">
        <f t="shared" si="278"/>
        <v/>
      </c>
      <c r="FO242" s="14">
        <f t="shared" si="279"/>
        <v>70</v>
      </c>
      <c r="FP242" s="14">
        <f t="shared" si="294"/>
        <v>0</v>
      </c>
      <c r="FQ242" s="14">
        <f t="shared" si="295"/>
        <v>140</v>
      </c>
      <c r="FR242" s="14">
        <f t="shared" si="296"/>
        <v>0</v>
      </c>
      <c r="FS242" s="14">
        <f t="shared" si="297"/>
        <v>0</v>
      </c>
      <c r="FT242" s="14">
        <f t="shared" si="298"/>
        <v>7</v>
      </c>
      <c r="FU242" s="14">
        <f t="shared" si="299"/>
        <v>0</v>
      </c>
      <c r="FV242" s="14">
        <f t="shared" si="280"/>
        <v>1071</v>
      </c>
      <c r="FW242" s="14">
        <f t="shared" si="281"/>
        <v>0</v>
      </c>
      <c r="FX242" s="14" t="str">
        <f t="shared" si="282"/>
        <v/>
      </c>
      <c r="FY242" s="25" t="str">
        <f t="shared" si="300"/>
        <v>icon_2007102</v>
      </c>
      <c r="GC242" s="14">
        <f t="shared" si="283"/>
        <v>2</v>
      </c>
      <c r="GD242" s="14">
        <f t="shared" si="284"/>
        <v>0</v>
      </c>
      <c r="GE242" s="14">
        <f t="shared" si="301"/>
        <v>70</v>
      </c>
      <c r="GF242" s="14" t="str">
        <f t="shared" si="285"/>
        <v>DefExt</v>
      </c>
      <c r="GG242" s="14">
        <f t="shared" si="302"/>
        <v>140</v>
      </c>
      <c r="GH242" s="14">
        <f t="shared" si="303"/>
        <v>7</v>
      </c>
      <c r="GI242" s="14" t="str">
        <f t="shared" si="286"/>
        <v/>
      </c>
      <c r="GJ242" s="14" t="str">
        <f t="shared" si="304"/>
        <v/>
      </c>
      <c r="GK242" s="14" t="str">
        <f t="shared" si="305"/>
        <v/>
      </c>
      <c r="GL242" s="14">
        <f t="shared" si="287"/>
        <v>20710</v>
      </c>
      <c r="GM242" s="14">
        <f t="shared" si="306"/>
        <v>0</v>
      </c>
      <c r="GN242" s="14" t="str">
        <f t="shared" si="307"/>
        <v/>
      </c>
      <c r="GO242" s="25" t="s">
        <v>1471</v>
      </c>
      <c r="GP242" s="14">
        <f t="shared" si="288"/>
        <v>30</v>
      </c>
      <c r="HK242" s="13">
        <v>237</v>
      </c>
      <c r="HL242" s="14">
        <f t="shared" si="308"/>
        <v>10</v>
      </c>
      <c r="HM242" s="14">
        <f t="shared" si="309"/>
        <v>1</v>
      </c>
      <c r="HN242" s="14">
        <f t="shared" si="310"/>
        <v>10</v>
      </c>
      <c r="HO242" s="14">
        <f t="shared" si="311"/>
        <v>4</v>
      </c>
      <c r="HP242" s="14" t="str">
        <f t="shared" si="312"/>
        <v>140级寄灵人洗练-Q4-9</v>
      </c>
      <c r="HQ242" s="14">
        <f t="shared" si="313"/>
        <v>1104</v>
      </c>
      <c r="HR242" s="14">
        <f t="shared" si="314"/>
        <v>9</v>
      </c>
      <c r="HS242" s="14">
        <f t="shared" si="315"/>
        <v>500</v>
      </c>
      <c r="HT242" s="14" t="str">
        <f t="shared" si="316"/>
        <v>DefIgnor</v>
      </c>
      <c r="HU242" s="14">
        <f t="shared" si="317"/>
        <v>1.0999999999999999E-2</v>
      </c>
      <c r="HV242" s="14">
        <f t="shared" si="318"/>
        <v>0.03</v>
      </c>
    </row>
    <row r="243" spans="151:230" ht="16.5" x14ac:dyDescent="0.2">
      <c r="EU243" s="13">
        <v>238</v>
      </c>
      <c r="EV243" s="14">
        <f t="shared" si="289"/>
        <v>1</v>
      </c>
      <c r="EW243" s="14">
        <f t="shared" si="290"/>
        <v>238</v>
      </c>
      <c r="EX243" s="14">
        <f t="shared" si="291"/>
        <v>32</v>
      </c>
      <c r="EY243" s="14">
        <f t="shared" si="266"/>
        <v>10</v>
      </c>
      <c r="EZ243" s="14">
        <f t="shared" si="267"/>
        <v>7</v>
      </c>
      <c r="FA243" s="14">
        <f t="shared" si="268"/>
        <v>110</v>
      </c>
      <c r="FB243" s="14">
        <f t="shared" si="269"/>
        <v>1</v>
      </c>
      <c r="FC243" s="14">
        <f t="shared" si="270"/>
        <v>3</v>
      </c>
      <c r="FD243" s="14">
        <f t="shared" si="271"/>
        <v>3</v>
      </c>
      <c r="FE243" s="14" t="b">
        <f t="shared" si="292"/>
        <v>0</v>
      </c>
      <c r="FF243" s="14">
        <f t="shared" si="272"/>
        <v>2007103</v>
      </c>
      <c r="FG243" s="13" t="str">
        <f t="shared" si="273"/>
        <v>110级-普通寄灵人の铠甲</v>
      </c>
      <c r="FH243" s="14">
        <f t="shared" si="274"/>
        <v>1</v>
      </c>
      <c r="FI243" s="14">
        <f t="shared" si="275"/>
        <v>1</v>
      </c>
      <c r="FJ243" s="14">
        <f t="shared" si="276"/>
        <v>110</v>
      </c>
      <c r="FK243" s="14">
        <v>1</v>
      </c>
      <c r="FL243" s="14">
        <f t="shared" si="277"/>
        <v>7</v>
      </c>
      <c r="FM243" s="14">
        <f t="shared" si="293"/>
        <v>3</v>
      </c>
      <c r="FN243" s="14" t="str">
        <f t="shared" si="278"/>
        <v/>
      </c>
      <c r="FO243" s="14">
        <f t="shared" si="279"/>
        <v>104</v>
      </c>
      <c r="FP243" s="14">
        <f t="shared" si="294"/>
        <v>0</v>
      </c>
      <c r="FQ243" s="14">
        <f t="shared" si="295"/>
        <v>70</v>
      </c>
      <c r="FR243" s="14">
        <f t="shared" si="296"/>
        <v>1250</v>
      </c>
      <c r="FS243" s="14">
        <f t="shared" si="297"/>
        <v>0</v>
      </c>
      <c r="FT243" s="14">
        <f t="shared" si="298"/>
        <v>4</v>
      </c>
      <c r="FU243" s="14">
        <f t="shared" si="299"/>
        <v>64</v>
      </c>
      <c r="FV243" s="14">
        <f t="shared" si="280"/>
        <v>1071</v>
      </c>
      <c r="FW243" s="14">
        <f t="shared" si="281"/>
        <v>0</v>
      </c>
      <c r="FX243" s="14" t="str">
        <f t="shared" si="282"/>
        <v/>
      </c>
      <c r="FY243" s="25" t="str">
        <f t="shared" si="300"/>
        <v>icon_2007103</v>
      </c>
      <c r="GC243" s="14">
        <f t="shared" si="283"/>
        <v>2</v>
      </c>
      <c r="GD243" s="14">
        <f t="shared" si="284"/>
        <v>3</v>
      </c>
      <c r="GE243" s="14">
        <f t="shared" si="301"/>
        <v>104</v>
      </c>
      <c r="GF243" s="14" t="str">
        <f t="shared" si="285"/>
        <v>DefExt</v>
      </c>
      <c r="GG243" s="14">
        <f t="shared" si="302"/>
        <v>70</v>
      </c>
      <c r="GH243" s="14">
        <f t="shared" si="303"/>
        <v>4</v>
      </c>
      <c r="GI243" s="14" t="str">
        <f t="shared" si="286"/>
        <v>HPExt</v>
      </c>
      <c r="GJ243" s="14">
        <f t="shared" si="304"/>
        <v>1250</v>
      </c>
      <c r="GK243" s="14">
        <f t="shared" si="305"/>
        <v>64</v>
      </c>
      <c r="GL243" s="14">
        <f t="shared" si="287"/>
        <v>20710</v>
      </c>
      <c r="GM243" s="14">
        <f t="shared" si="306"/>
        <v>0</v>
      </c>
      <c r="GN243" s="14" t="str">
        <f t="shared" si="307"/>
        <v/>
      </c>
      <c r="GO243" s="25" t="s">
        <v>1471</v>
      </c>
      <c r="GP243" s="14">
        <f t="shared" si="288"/>
        <v>30</v>
      </c>
      <c r="HK243" s="13">
        <v>238</v>
      </c>
      <c r="HL243" s="14">
        <f t="shared" si="308"/>
        <v>10</v>
      </c>
      <c r="HM243" s="14">
        <f t="shared" si="309"/>
        <v>1</v>
      </c>
      <c r="HN243" s="14">
        <f t="shared" si="310"/>
        <v>10</v>
      </c>
      <c r="HO243" s="14">
        <f t="shared" si="311"/>
        <v>4</v>
      </c>
      <c r="HP243" s="14" t="str">
        <f t="shared" si="312"/>
        <v>140级寄灵人洗练-Q4-10</v>
      </c>
      <c r="HQ243" s="14">
        <f t="shared" si="313"/>
        <v>1104</v>
      </c>
      <c r="HR243" s="14">
        <f t="shared" si="314"/>
        <v>10</v>
      </c>
      <c r="HS243" s="14">
        <f t="shared" si="315"/>
        <v>500</v>
      </c>
      <c r="HT243" s="14" t="str">
        <f t="shared" si="316"/>
        <v>Block</v>
      </c>
      <c r="HU243" s="14">
        <f t="shared" si="317"/>
        <v>1.0999999999999999E-2</v>
      </c>
      <c r="HV243" s="14">
        <f t="shared" si="318"/>
        <v>0.03</v>
      </c>
    </row>
    <row r="244" spans="151:230" ht="16.5" x14ac:dyDescent="0.2">
      <c r="EU244" s="13">
        <v>239</v>
      </c>
      <c r="EV244" s="14">
        <f t="shared" si="289"/>
        <v>1</v>
      </c>
      <c r="EW244" s="14">
        <f t="shared" si="290"/>
        <v>239</v>
      </c>
      <c r="EX244" s="14">
        <f t="shared" si="291"/>
        <v>32</v>
      </c>
      <c r="EY244" s="14">
        <f t="shared" si="266"/>
        <v>10</v>
      </c>
      <c r="EZ244" s="14">
        <f t="shared" si="267"/>
        <v>7</v>
      </c>
      <c r="FA244" s="14">
        <f t="shared" si="268"/>
        <v>110</v>
      </c>
      <c r="FB244" s="14">
        <f t="shared" si="269"/>
        <v>1</v>
      </c>
      <c r="FC244" s="14">
        <f t="shared" si="270"/>
        <v>4</v>
      </c>
      <c r="FD244" s="14">
        <f t="shared" si="271"/>
        <v>4</v>
      </c>
      <c r="FE244" s="14" t="b">
        <f t="shared" si="292"/>
        <v>0</v>
      </c>
      <c r="FF244" s="14">
        <f t="shared" si="272"/>
        <v>2007104</v>
      </c>
      <c r="FG244" s="13" t="str">
        <f t="shared" si="273"/>
        <v>110级-普通寄灵人の裤子</v>
      </c>
      <c r="FH244" s="14">
        <f t="shared" si="274"/>
        <v>1</v>
      </c>
      <c r="FI244" s="14">
        <f t="shared" si="275"/>
        <v>1</v>
      </c>
      <c r="FJ244" s="14">
        <f t="shared" si="276"/>
        <v>110</v>
      </c>
      <c r="FK244" s="14">
        <v>1</v>
      </c>
      <c r="FL244" s="14">
        <f t="shared" si="277"/>
        <v>7</v>
      </c>
      <c r="FM244" s="14">
        <f t="shared" si="293"/>
        <v>4</v>
      </c>
      <c r="FN244" s="14" t="str">
        <f t="shared" si="278"/>
        <v/>
      </c>
      <c r="FO244" s="14">
        <f t="shared" si="279"/>
        <v>70</v>
      </c>
      <c r="FP244" s="14">
        <f t="shared" si="294"/>
        <v>0</v>
      </c>
      <c r="FQ244" s="14">
        <f t="shared" si="295"/>
        <v>140</v>
      </c>
      <c r="FR244" s="14">
        <f t="shared" si="296"/>
        <v>0</v>
      </c>
      <c r="FS244" s="14">
        <f t="shared" si="297"/>
        <v>0</v>
      </c>
      <c r="FT244" s="14">
        <f t="shared" si="298"/>
        <v>7</v>
      </c>
      <c r="FU244" s="14">
        <f t="shared" si="299"/>
        <v>0</v>
      </c>
      <c r="FV244" s="14">
        <f t="shared" si="280"/>
        <v>1071</v>
      </c>
      <c r="FW244" s="14">
        <f t="shared" si="281"/>
        <v>0</v>
      </c>
      <c r="FX244" s="14" t="str">
        <f t="shared" si="282"/>
        <v/>
      </c>
      <c r="FY244" s="25" t="str">
        <f t="shared" si="300"/>
        <v>icon_2007104</v>
      </c>
      <c r="GC244" s="14">
        <f t="shared" si="283"/>
        <v>2</v>
      </c>
      <c r="GD244" s="14">
        <f t="shared" si="284"/>
        <v>0</v>
      </c>
      <c r="GE244" s="14">
        <f t="shared" si="301"/>
        <v>70</v>
      </c>
      <c r="GF244" s="14" t="str">
        <f t="shared" si="285"/>
        <v>DefExt</v>
      </c>
      <c r="GG244" s="14">
        <f t="shared" si="302"/>
        <v>140</v>
      </c>
      <c r="GH244" s="14">
        <f t="shared" si="303"/>
        <v>7</v>
      </c>
      <c r="GI244" s="14" t="str">
        <f t="shared" si="286"/>
        <v/>
      </c>
      <c r="GJ244" s="14" t="str">
        <f t="shared" si="304"/>
        <v/>
      </c>
      <c r="GK244" s="14" t="str">
        <f t="shared" si="305"/>
        <v/>
      </c>
      <c r="GL244" s="14">
        <f t="shared" si="287"/>
        <v>20710</v>
      </c>
      <c r="GM244" s="14">
        <f t="shared" si="306"/>
        <v>0</v>
      </c>
      <c r="GN244" s="14" t="str">
        <f t="shared" si="307"/>
        <v/>
      </c>
      <c r="GO244" s="25" t="s">
        <v>1471</v>
      </c>
      <c r="GP244" s="14">
        <f t="shared" si="288"/>
        <v>30</v>
      </c>
      <c r="HK244" s="13">
        <v>239</v>
      </c>
      <c r="HL244" s="14">
        <f t="shared" si="308"/>
        <v>10</v>
      </c>
      <c r="HM244" s="14">
        <f t="shared" si="309"/>
        <v>1</v>
      </c>
      <c r="HN244" s="14">
        <f t="shared" si="310"/>
        <v>10</v>
      </c>
      <c r="HO244" s="14">
        <f t="shared" si="311"/>
        <v>4</v>
      </c>
      <c r="HP244" s="14" t="str">
        <f t="shared" si="312"/>
        <v>140级寄灵人洗练-Q4-11</v>
      </c>
      <c r="HQ244" s="14">
        <f t="shared" si="313"/>
        <v>1104</v>
      </c>
      <c r="HR244" s="14">
        <f t="shared" si="314"/>
        <v>11</v>
      </c>
      <c r="HS244" s="14">
        <f t="shared" si="315"/>
        <v>500</v>
      </c>
      <c r="HT244" s="14" t="str">
        <f t="shared" si="316"/>
        <v>EffectHit</v>
      </c>
      <c r="HU244" s="14">
        <f t="shared" si="317"/>
        <v>1.7999999999999999E-2</v>
      </c>
      <c r="HV244" s="14">
        <f t="shared" si="318"/>
        <v>0.05</v>
      </c>
    </row>
    <row r="245" spans="151:230" ht="16.5" x14ac:dyDescent="0.2">
      <c r="EU245" s="13">
        <v>240</v>
      </c>
      <c r="EV245" s="14">
        <f t="shared" si="289"/>
        <v>1</v>
      </c>
      <c r="EW245" s="14">
        <f t="shared" si="290"/>
        <v>240</v>
      </c>
      <c r="EX245" s="14">
        <f t="shared" si="291"/>
        <v>32</v>
      </c>
      <c r="EY245" s="14">
        <f t="shared" si="266"/>
        <v>10</v>
      </c>
      <c r="EZ245" s="14">
        <f t="shared" si="267"/>
        <v>7</v>
      </c>
      <c r="FA245" s="14">
        <f t="shared" si="268"/>
        <v>110</v>
      </c>
      <c r="FB245" s="14">
        <f t="shared" si="269"/>
        <v>1</v>
      </c>
      <c r="FC245" s="14">
        <f t="shared" si="270"/>
        <v>5</v>
      </c>
      <c r="FD245" s="14">
        <f t="shared" si="271"/>
        <v>5</v>
      </c>
      <c r="FE245" s="14" t="b">
        <f t="shared" si="292"/>
        <v>0</v>
      </c>
      <c r="FF245" s="14">
        <f t="shared" si="272"/>
        <v>2007105</v>
      </c>
      <c r="FG245" s="13" t="str">
        <f t="shared" si="273"/>
        <v>110级-普通寄灵人の鞋子</v>
      </c>
      <c r="FH245" s="14">
        <f t="shared" si="274"/>
        <v>1</v>
      </c>
      <c r="FI245" s="14">
        <f t="shared" si="275"/>
        <v>1</v>
      </c>
      <c r="FJ245" s="14">
        <f t="shared" si="276"/>
        <v>110</v>
      </c>
      <c r="FK245" s="14">
        <v>1</v>
      </c>
      <c r="FL245" s="14">
        <f t="shared" si="277"/>
        <v>7</v>
      </c>
      <c r="FM245" s="14">
        <f t="shared" si="293"/>
        <v>5</v>
      </c>
      <c r="FN245" s="14" t="str">
        <f t="shared" si="278"/>
        <v/>
      </c>
      <c r="FO245" s="14">
        <f t="shared" si="279"/>
        <v>129</v>
      </c>
      <c r="FP245" s="14">
        <f t="shared" si="294"/>
        <v>0</v>
      </c>
      <c r="FQ245" s="14">
        <f t="shared" si="295"/>
        <v>0</v>
      </c>
      <c r="FR245" s="14">
        <f t="shared" si="296"/>
        <v>2500</v>
      </c>
      <c r="FS245" s="14">
        <f t="shared" si="297"/>
        <v>0</v>
      </c>
      <c r="FT245" s="14">
        <f t="shared" si="298"/>
        <v>0</v>
      </c>
      <c r="FU245" s="14">
        <f t="shared" si="299"/>
        <v>129</v>
      </c>
      <c r="FV245" s="14">
        <f t="shared" si="280"/>
        <v>1071</v>
      </c>
      <c r="FW245" s="14">
        <f t="shared" si="281"/>
        <v>0</v>
      </c>
      <c r="FX245" s="14" t="str">
        <f t="shared" si="282"/>
        <v/>
      </c>
      <c r="FY245" s="25" t="str">
        <f t="shared" si="300"/>
        <v>icon_2007105</v>
      </c>
      <c r="GC245" s="14">
        <f t="shared" si="283"/>
        <v>3</v>
      </c>
      <c r="GD245" s="14">
        <f t="shared" si="284"/>
        <v>0</v>
      </c>
      <c r="GE245" s="14">
        <f t="shared" si="301"/>
        <v>129</v>
      </c>
      <c r="GF245" s="14" t="str">
        <f t="shared" si="285"/>
        <v>HPExt</v>
      </c>
      <c r="GG245" s="14">
        <f t="shared" si="302"/>
        <v>2500</v>
      </c>
      <c r="GH245" s="14">
        <f t="shared" si="303"/>
        <v>129</v>
      </c>
      <c r="GI245" s="14" t="str">
        <f t="shared" si="286"/>
        <v/>
      </c>
      <c r="GJ245" s="14" t="str">
        <f t="shared" si="304"/>
        <v/>
      </c>
      <c r="GK245" s="14" t="str">
        <f t="shared" si="305"/>
        <v/>
      </c>
      <c r="GL245" s="14">
        <f t="shared" si="287"/>
        <v>20710</v>
      </c>
      <c r="GM245" s="14">
        <f t="shared" si="306"/>
        <v>0</v>
      </c>
      <c r="GN245" s="14" t="str">
        <f t="shared" si="307"/>
        <v/>
      </c>
      <c r="GO245" s="25" t="s">
        <v>1471</v>
      </c>
      <c r="GP245" s="14">
        <f t="shared" si="288"/>
        <v>30</v>
      </c>
      <c r="HK245" s="13">
        <v>240</v>
      </c>
      <c r="HL245" s="14">
        <f t="shared" si="308"/>
        <v>10</v>
      </c>
      <c r="HM245" s="14">
        <f t="shared" si="309"/>
        <v>1</v>
      </c>
      <c r="HN245" s="14">
        <f t="shared" si="310"/>
        <v>10</v>
      </c>
      <c r="HO245" s="14">
        <f t="shared" si="311"/>
        <v>4</v>
      </c>
      <c r="HP245" s="14" t="str">
        <f t="shared" si="312"/>
        <v>140级寄灵人洗练-Q4-12</v>
      </c>
      <c r="HQ245" s="14">
        <f t="shared" si="313"/>
        <v>1104</v>
      </c>
      <c r="HR245" s="14">
        <f t="shared" si="314"/>
        <v>12</v>
      </c>
      <c r="HS245" s="14">
        <f t="shared" si="315"/>
        <v>500</v>
      </c>
      <c r="HT245" s="14" t="str">
        <f t="shared" si="316"/>
        <v>EffectResist</v>
      </c>
      <c r="HU245" s="14">
        <f t="shared" si="317"/>
        <v>1.7999999999999999E-2</v>
      </c>
      <c r="HV245" s="14">
        <f t="shared" si="318"/>
        <v>0.05</v>
      </c>
    </row>
    <row r="246" spans="151:230" ht="16.5" x14ac:dyDescent="0.2">
      <c r="EU246" s="13">
        <v>241</v>
      </c>
      <c r="EV246" s="14">
        <f t="shared" si="289"/>
        <v>1</v>
      </c>
      <c r="EW246" s="14">
        <f t="shared" si="290"/>
        <v>241</v>
      </c>
      <c r="EX246" s="14">
        <f t="shared" si="291"/>
        <v>32</v>
      </c>
      <c r="EY246" s="14">
        <f t="shared" si="266"/>
        <v>10</v>
      </c>
      <c r="EZ246" s="14">
        <f t="shared" si="267"/>
        <v>7</v>
      </c>
      <c r="FA246" s="14">
        <f t="shared" si="268"/>
        <v>110</v>
      </c>
      <c r="FB246" s="14">
        <f t="shared" si="269"/>
        <v>1</v>
      </c>
      <c r="FC246" s="14">
        <f t="shared" si="270"/>
        <v>6</v>
      </c>
      <c r="FD246" s="14">
        <f t="shared" si="271"/>
        <v>6</v>
      </c>
      <c r="FE246" s="14" t="b">
        <f t="shared" si="292"/>
        <v>0</v>
      </c>
      <c r="FF246" s="14">
        <f t="shared" si="272"/>
        <v>2007106</v>
      </c>
      <c r="FG246" s="13" t="str">
        <f t="shared" si="273"/>
        <v>110级-普通寄灵人の护手</v>
      </c>
      <c r="FH246" s="14">
        <f t="shared" si="274"/>
        <v>1</v>
      </c>
      <c r="FI246" s="14">
        <f t="shared" si="275"/>
        <v>1</v>
      </c>
      <c r="FJ246" s="14">
        <f t="shared" si="276"/>
        <v>110</v>
      </c>
      <c r="FK246" s="14">
        <v>1</v>
      </c>
      <c r="FL246" s="14">
        <f t="shared" si="277"/>
        <v>7</v>
      </c>
      <c r="FM246" s="14">
        <f t="shared" si="293"/>
        <v>6</v>
      </c>
      <c r="FN246" s="14" t="str">
        <f t="shared" si="278"/>
        <v/>
      </c>
      <c r="FO246" s="14">
        <f t="shared" si="279"/>
        <v>129</v>
      </c>
      <c r="FP246" s="14">
        <f t="shared" si="294"/>
        <v>0</v>
      </c>
      <c r="FQ246" s="14">
        <f t="shared" si="295"/>
        <v>0</v>
      </c>
      <c r="FR246" s="14">
        <f t="shared" si="296"/>
        <v>2500</v>
      </c>
      <c r="FS246" s="14">
        <f t="shared" si="297"/>
        <v>0</v>
      </c>
      <c r="FT246" s="14">
        <f t="shared" si="298"/>
        <v>0</v>
      </c>
      <c r="FU246" s="14">
        <f t="shared" si="299"/>
        <v>129</v>
      </c>
      <c r="FV246" s="14">
        <f t="shared" si="280"/>
        <v>1071</v>
      </c>
      <c r="FW246" s="14">
        <f t="shared" si="281"/>
        <v>0</v>
      </c>
      <c r="FX246" s="14" t="str">
        <f t="shared" si="282"/>
        <v/>
      </c>
      <c r="FY246" s="25" t="str">
        <f t="shared" si="300"/>
        <v>icon_2007106</v>
      </c>
      <c r="GC246" s="14">
        <f t="shared" si="283"/>
        <v>3</v>
      </c>
      <c r="GD246" s="14">
        <f t="shared" si="284"/>
        <v>0</v>
      </c>
      <c r="GE246" s="14">
        <f t="shared" si="301"/>
        <v>129</v>
      </c>
      <c r="GF246" s="14" t="str">
        <f t="shared" si="285"/>
        <v>HPExt</v>
      </c>
      <c r="GG246" s="14">
        <f t="shared" si="302"/>
        <v>2500</v>
      </c>
      <c r="GH246" s="14">
        <f t="shared" si="303"/>
        <v>129</v>
      </c>
      <c r="GI246" s="14" t="str">
        <f t="shared" si="286"/>
        <v/>
      </c>
      <c r="GJ246" s="14" t="str">
        <f t="shared" si="304"/>
        <v/>
      </c>
      <c r="GK246" s="14" t="str">
        <f t="shared" si="305"/>
        <v/>
      </c>
      <c r="GL246" s="14">
        <f t="shared" si="287"/>
        <v>20710</v>
      </c>
      <c r="GM246" s="14">
        <f t="shared" si="306"/>
        <v>0</v>
      </c>
      <c r="GN246" s="14" t="str">
        <f t="shared" si="307"/>
        <v/>
      </c>
      <c r="GO246" s="25" t="s">
        <v>1471</v>
      </c>
      <c r="GP246" s="14">
        <f t="shared" si="288"/>
        <v>30</v>
      </c>
      <c r="HK246" s="13">
        <v>241</v>
      </c>
      <c r="HL246" s="14">
        <f t="shared" si="308"/>
        <v>11</v>
      </c>
      <c r="HM246" s="14">
        <f t="shared" si="309"/>
        <v>1</v>
      </c>
      <c r="HN246" s="14">
        <f t="shared" si="310"/>
        <v>11</v>
      </c>
      <c r="HO246" s="14">
        <f t="shared" si="311"/>
        <v>3</v>
      </c>
      <c r="HP246" s="14" t="str">
        <f t="shared" si="312"/>
        <v>150级寄灵人洗练-Q3-1</v>
      </c>
      <c r="HQ246" s="14">
        <f t="shared" si="313"/>
        <v>1113</v>
      </c>
      <c r="HR246" s="14">
        <f t="shared" si="314"/>
        <v>1</v>
      </c>
      <c r="HS246" s="14">
        <f t="shared" si="315"/>
        <v>1800</v>
      </c>
      <c r="HT246" s="14" t="str">
        <f t="shared" si="316"/>
        <v>AtkExt</v>
      </c>
      <c r="HU246" s="14">
        <f t="shared" si="317"/>
        <v>462</v>
      </c>
      <c r="HV246" s="14">
        <f t="shared" si="318"/>
        <v>1322</v>
      </c>
    </row>
    <row r="247" spans="151:230" ht="16.5" x14ac:dyDescent="0.2">
      <c r="EU247" s="13">
        <v>242</v>
      </c>
      <c r="EV247" s="14">
        <f t="shared" si="289"/>
        <v>1</v>
      </c>
      <c r="EW247" s="14">
        <f t="shared" si="290"/>
        <v>242</v>
      </c>
      <c r="EX247" s="14">
        <f t="shared" si="291"/>
        <v>32</v>
      </c>
      <c r="EY247" s="14">
        <f t="shared" si="266"/>
        <v>10</v>
      </c>
      <c r="EZ247" s="14">
        <f t="shared" si="267"/>
        <v>7</v>
      </c>
      <c r="FA247" s="14">
        <f t="shared" si="268"/>
        <v>110</v>
      </c>
      <c r="FB247" s="14">
        <f t="shared" si="269"/>
        <v>1</v>
      </c>
      <c r="FC247" s="14">
        <f t="shared" si="270"/>
        <v>7</v>
      </c>
      <c r="FD247" s="14">
        <f t="shared" si="271"/>
        <v>7</v>
      </c>
      <c r="FE247" s="14" t="b">
        <f t="shared" si="292"/>
        <v>0</v>
      </c>
      <c r="FF247" s="14">
        <f t="shared" si="272"/>
        <v>2007107</v>
      </c>
      <c r="FG247" s="13" t="str">
        <f t="shared" si="273"/>
        <v>110级-普通寄灵人の项链</v>
      </c>
      <c r="FH247" s="14">
        <f t="shared" si="274"/>
        <v>1</v>
      </c>
      <c r="FI247" s="14">
        <f t="shared" si="275"/>
        <v>1</v>
      </c>
      <c r="FJ247" s="14">
        <f t="shared" si="276"/>
        <v>110</v>
      </c>
      <c r="FK247" s="14">
        <v>1</v>
      </c>
      <c r="FL247" s="14">
        <f t="shared" si="277"/>
        <v>7</v>
      </c>
      <c r="FM247" s="14">
        <f t="shared" si="293"/>
        <v>7</v>
      </c>
      <c r="FN247" s="14" t="str">
        <f t="shared" si="278"/>
        <v/>
      </c>
      <c r="FO247" s="14">
        <f t="shared" si="279"/>
        <v>110</v>
      </c>
      <c r="FP247" s="14">
        <f t="shared" si="294"/>
        <v>185</v>
      </c>
      <c r="FQ247" s="14">
        <f t="shared" si="295"/>
        <v>115</v>
      </c>
      <c r="FR247" s="14">
        <f t="shared" si="296"/>
        <v>0</v>
      </c>
      <c r="FS247" s="14">
        <f t="shared" si="297"/>
        <v>10</v>
      </c>
      <c r="FT247" s="14">
        <f t="shared" si="298"/>
        <v>6</v>
      </c>
      <c r="FU247" s="14">
        <f t="shared" si="299"/>
        <v>0</v>
      </c>
      <c r="FV247" s="14">
        <f t="shared" si="280"/>
        <v>1071</v>
      </c>
      <c r="FW247" s="14">
        <f t="shared" si="281"/>
        <v>0</v>
      </c>
      <c r="FX247" s="14" t="str">
        <f t="shared" si="282"/>
        <v/>
      </c>
      <c r="FY247" s="25" t="str">
        <f t="shared" si="300"/>
        <v>icon_2007107</v>
      </c>
      <c r="GC247" s="14">
        <f t="shared" si="283"/>
        <v>1</v>
      </c>
      <c r="GD247" s="14">
        <f t="shared" si="284"/>
        <v>2</v>
      </c>
      <c r="GE247" s="14">
        <f t="shared" si="301"/>
        <v>110</v>
      </c>
      <c r="GF247" s="14" t="str">
        <f t="shared" si="285"/>
        <v>AtkExt</v>
      </c>
      <c r="GG247" s="14">
        <f t="shared" si="302"/>
        <v>185</v>
      </c>
      <c r="GH247" s="14">
        <f t="shared" si="303"/>
        <v>10</v>
      </c>
      <c r="GI247" s="14" t="str">
        <f t="shared" si="286"/>
        <v>DefExt</v>
      </c>
      <c r="GJ247" s="14">
        <f t="shared" si="304"/>
        <v>115</v>
      </c>
      <c r="GK247" s="14">
        <f t="shared" si="305"/>
        <v>6</v>
      </c>
      <c r="GL247" s="14">
        <f t="shared" si="287"/>
        <v>20710</v>
      </c>
      <c r="GM247" s="14">
        <f t="shared" si="306"/>
        <v>0</v>
      </c>
      <c r="GN247" s="14" t="str">
        <f t="shared" si="307"/>
        <v/>
      </c>
      <c r="GO247" s="25" t="s">
        <v>1471</v>
      </c>
      <c r="GP247" s="14">
        <f t="shared" si="288"/>
        <v>45</v>
      </c>
      <c r="HK247" s="13">
        <v>242</v>
      </c>
      <c r="HL247" s="14">
        <f t="shared" si="308"/>
        <v>11</v>
      </c>
      <c r="HM247" s="14">
        <f t="shared" si="309"/>
        <v>1</v>
      </c>
      <c r="HN247" s="14">
        <f t="shared" si="310"/>
        <v>11</v>
      </c>
      <c r="HO247" s="14">
        <f t="shared" si="311"/>
        <v>3</v>
      </c>
      <c r="HP247" s="14" t="str">
        <f t="shared" si="312"/>
        <v>150级寄灵人洗练-Q3-2</v>
      </c>
      <c r="HQ247" s="14">
        <f t="shared" si="313"/>
        <v>1113</v>
      </c>
      <c r="HR247" s="14">
        <f t="shared" si="314"/>
        <v>2</v>
      </c>
      <c r="HS247" s="14">
        <f t="shared" si="315"/>
        <v>1800</v>
      </c>
      <c r="HT247" s="14" t="str">
        <f t="shared" si="316"/>
        <v>DefExt</v>
      </c>
      <c r="HU247" s="14">
        <f t="shared" si="317"/>
        <v>170</v>
      </c>
      <c r="HV247" s="14">
        <f t="shared" si="318"/>
        <v>486</v>
      </c>
    </row>
    <row r="248" spans="151:230" ht="16.5" x14ac:dyDescent="0.2">
      <c r="EU248" s="13">
        <v>243</v>
      </c>
      <c r="EV248" s="14">
        <f t="shared" si="289"/>
        <v>1</v>
      </c>
      <c r="EW248" s="14">
        <f t="shared" si="290"/>
        <v>243</v>
      </c>
      <c r="EX248" s="14">
        <f t="shared" si="291"/>
        <v>32</v>
      </c>
      <c r="EY248" s="14">
        <f t="shared" si="266"/>
        <v>10</v>
      </c>
      <c r="EZ248" s="14">
        <f t="shared" si="267"/>
        <v>7</v>
      </c>
      <c r="FA248" s="14">
        <f t="shared" si="268"/>
        <v>110</v>
      </c>
      <c r="FB248" s="14">
        <f t="shared" si="269"/>
        <v>1</v>
      </c>
      <c r="FC248" s="14">
        <f t="shared" si="270"/>
        <v>8</v>
      </c>
      <c r="FD248" s="14">
        <f t="shared" si="271"/>
        <v>8</v>
      </c>
      <c r="FE248" s="14" t="b">
        <f t="shared" si="292"/>
        <v>0</v>
      </c>
      <c r="FF248" s="14">
        <f t="shared" si="272"/>
        <v>2007108</v>
      </c>
      <c r="FG248" s="13" t="str">
        <f t="shared" si="273"/>
        <v>110级-普通寄灵人の戒指</v>
      </c>
      <c r="FH248" s="14">
        <f t="shared" si="274"/>
        <v>1</v>
      </c>
      <c r="FI248" s="14">
        <f t="shared" si="275"/>
        <v>1</v>
      </c>
      <c r="FJ248" s="14">
        <f t="shared" si="276"/>
        <v>110</v>
      </c>
      <c r="FK248" s="14">
        <v>1</v>
      </c>
      <c r="FL248" s="14">
        <f t="shared" si="277"/>
        <v>7</v>
      </c>
      <c r="FM248" s="14">
        <f t="shared" si="293"/>
        <v>8</v>
      </c>
      <c r="FN248" s="14" t="str">
        <f t="shared" si="278"/>
        <v/>
      </c>
      <c r="FO248" s="14">
        <f t="shared" si="279"/>
        <v>157</v>
      </c>
      <c r="FP248" s="14">
        <f t="shared" si="294"/>
        <v>185</v>
      </c>
      <c r="FQ248" s="14">
        <f t="shared" si="295"/>
        <v>0</v>
      </c>
      <c r="FR248" s="14">
        <f t="shared" si="296"/>
        <v>2085</v>
      </c>
      <c r="FS248" s="14">
        <f t="shared" si="297"/>
        <v>10</v>
      </c>
      <c r="FT248" s="14">
        <f t="shared" si="298"/>
        <v>0</v>
      </c>
      <c r="FU248" s="14">
        <f t="shared" si="299"/>
        <v>107</v>
      </c>
      <c r="FV248" s="14">
        <f t="shared" si="280"/>
        <v>1071</v>
      </c>
      <c r="FW248" s="14">
        <f t="shared" si="281"/>
        <v>0</v>
      </c>
      <c r="FX248" s="14" t="str">
        <f t="shared" si="282"/>
        <v/>
      </c>
      <c r="FY248" s="25" t="str">
        <f t="shared" si="300"/>
        <v>icon_2007108</v>
      </c>
      <c r="GC248" s="14">
        <f t="shared" si="283"/>
        <v>1</v>
      </c>
      <c r="GD248" s="14">
        <f t="shared" si="284"/>
        <v>3</v>
      </c>
      <c r="GE248" s="14">
        <f t="shared" si="301"/>
        <v>157</v>
      </c>
      <c r="GF248" s="14" t="str">
        <f t="shared" si="285"/>
        <v>AtkExt</v>
      </c>
      <c r="GG248" s="14">
        <f t="shared" si="302"/>
        <v>185</v>
      </c>
      <c r="GH248" s="14">
        <f t="shared" si="303"/>
        <v>10</v>
      </c>
      <c r="GI248" s="14" t="str">
        <f t="shared" si="286"/>
        <v>HPExt</v>
      </c>
      <c r="GJ248" s="14">
        <f t="shared" si="304"/>
        <v>2085</v>
      </c>
      <c r="GK248" s="14">
        <f t="shared" si="305"/>
        <v>107</v>
      </c>
      <c r="GL248" s="14">
        <f t="shared" si="287"/>
        <v>20710</v>
      </c>
      <c r="GM248" s="14">
        <f t="shared" si="306"/>
        <v>0</v>
      </c>
      <c r="GN248" s="14" t="str">
        <f t="shared" si="307"/>
        <v/>
      </c>
      <c r="GO248" s="25" t="s">
        <v>1471</v>
      </c>
      <c r="GP248" s="14">
        <f t="shared" si="288"/>
        <v>45</v>
      </c>
      <c r="HK248" s="13">
        <v>243</v>
      </c>
      <c r="HL248" s="14">
        <f t="shared" si="308"/>
        <v>11</v>
      </c>
      <c r="HM248" s="14">
        <f t="shared" si="309"/>
        <v>1</v>
      </c>
      <c r="HN248" s="14">
        <f t="shared" si="310"/>
        <v>11</v>
      </c>
      <c r="HO248" s="14">
        <f t="shared" si="311"/>
        <v>3</v>
      </c>
      <c r="HP248" s="14" t="str">
        <f t="shared" si="312"/>
        <v>150级寄灵人洗练-Q3-3</v>
      </c>
      <c r="HQ248" s="14">
        <f t="shared" si="313"/>
        <v>1113</v>
      </c>
      <c r="HR248" s="14">
        <f t="shared" si="314"/>
        <v>3</v>
      </c>
      <c r="HS248" s="14">
        <f t="shared" si="315"/>
        <v>2000</v>
      </c>
      <c r="HT248" s="14" t="str">
        <f t="shared" si="316"/>
        <v>HPExt</v>
      </c>
      <c r="HU248" s="14">
        <f t="shared" si="317"/>
        <v>4455</v>
      </c>
      <c r="HV248" s="14">
        <f t="shared" si="318"/>
        <v>12731</v>
      </c>
    </row>
    <row r="249" spans="151:230" ht="16.5" x14ac:dyDescent="0.2">
      <c r="EU249" s="13">
        <v>244</v>
      </c>
      <c r="EV249" s="14">
        <f t="shared" si="289"/>
        <v>1</v>
      </c>
      <c r="EW249" s="14">
        <f t="shared" si="290"/>
        <v>244</v>
      </c>
      <c r="EX249" s="14">
        <f t="shared" si="291"/>
        <v>33</v>
      </c>
      <c r="EY249" s="14">
        <f t="shared" si="266"/>
        <v>20</v>
      </c>
      <c r="EZ249" s="14">
        <f t="shared" si="267"/>
        <v>7</v>
      </c>
      <c r="FA249" s="14">
        <f t="shared" si="268"/>
        <v>110</v>
      </c>
      <c r="FB249" s="14">
        <f t="shared" si="269"/>
        <v>2</v>
      </c>
      <c r="FC249" s="14">
        <f t="shared" si="270"/>
        <v>1</v>
      </c>
      <c r="FD249" s="14">
        <f t="shared" si="271"/>
        <v>1</v>
      </c>
      <c r="FE249" s="14" t="b">
        <f t="shared" si="292"/>
        <v>0</v>
      </c>
      <c r="FF249" s="14">
        <f t="shared" si="272"/>
        <v>2007201</v>
      </c>
      <c r="FG249" s="13" t="str">
        <f t="shared" si="273"/>
        <v>110级-优秀寄灵人の灵器</v>
      </c>
      <c r="FH249" s="14">
        <f t="shared" si="274"/>
        <v>1</v>
      </c>
      <c r="FI249" s="14">
        <f t="shared" si="275"/>
        <v>2</v>
      </c>
      <c r="FJ249" s="14">
        <f t="shared" si="276"/>
        <v>110</v>
      </c>
      <c r="FK249" s="14">
        <v>1</v>
      </c>
      <c r="FL249" s="14">
        <f t="shared" si="277"/>
        <v>7</v>
      </c>
      <c r="FM249" s="14">
        <f t="shared" si="293"/>
        <v>1</v>
      </c>
      <c r="FN249" s="14" t="str">
        <f t="shared" si="278"/>
        <v/>
      </c>
      <c r="FO249" s="14">
        <f t="shared" si="279"/>
        <v>200</v>
      </c>
      <c r="FP249" s="14">
        <f t="shared" si="294"/>
        <v>780</v>
      </c>
      <c r="FQ249" s="14">
        <f t="shared" si="295"/>
        <v>0</v>
      </c>
      <c r="FR249" s="14">
        <f t="shared" si="296"/>
        <v>0</v>
      </c>
      <c r="FS249" s="14">
        <f t="shared" si="297"/>
        <v>40</v>
      </c>
      <c r="FT249" s="14">
        <f t="shared" si="298"/>
        <v>0</v>
      </c>
      <c r="FU249" s="14">
        <f t="shared" si="299"/>
        <v>0</v>
      </c>
      <c r="FV249" s="14">
        <f t="shared" si="280"/>
        <v>1072</v>
      </c>
      <c r="FW249" s="14">
        <f t="shared" si="281"/>
        <v>0</v>
      </c>
      <c r="FX249" s="14" t="str">
        <f t="shared" si="282"/>
        <v/>
      </c>
      <c r="FY249" s="25" t="str">
        <f t="shared" si="300"/>
        <v>icon_2007101</v>
      </c>
      <c r="GC249" s="14">
        <f t="shared" si="283"/>
        <v>1</v>
      </c>
      <c r="GD249" s="14">
        <f t="shared" si="284"/>
        <v>0</v>
      </c>
      <c r="GE249" s="14">
        <f t="shared" si="301"/>
        <v>200</v>
      </c>
      <c r="GF249" s="14" t="str">
        <f t="shared" si="285"/>
        <v>AtkExt</v>
      </c>
      <c r="GG249" s="14">
        <f t="shared" si="302"/>
        <v>780</v>
      </c>
      <c r="GH249" s="14">
        <f t="shared" si="303"/>
        <v>40</v>
      </c>
      <c r="GI249" s="14" t="str">
        <f t="shared" si="286"/>
        <v/>
      </c>
      <c r="GJ249" s="14" t="str">
        <f t="shared" si="304"/>
        <v/>
      </c>
      <c r="GK249" s="14" t="str">
        <f t="shared" si="305"/>
        <v/>
      </c>
      <c r="GL249" s="14">
        <f t="shared" si="287"/>
        <v>20720</v>
      </c>
      <c r="GM249" s="14">
        <f t="shared" si="306"/>
        <v>0</v>
      </c>
      <c r="GN249" s="14" t="str">
        <f t="shared" si="307"/>
        <v/>
      </c>
      <c r="GO249" s="25" t="s">
        <v>1471</v>
      </c>
      <c r="GP249" s="14">
        <f t="shared" si="288"/>
        <v>180</v>
      </c>
      <c r="HK249" s="13">
        <v>244</v>
      </c>
      <c r="HL249" s="14">
        <f t="shared" si="308"/>
        <v>11</v>
      </c>
      <c r="HM249" s="14">
        <f t="shared" si="309"/>
        <v>1</v>
      </c>
      <c r="HN249" s="14">
        <f t="shared" si="310"/>
        <v>11</v>
      </c>
      <c r="HO249" s="14">
        <f t="shared" si="311"/>
        <v>3</v>
      </c>
      <c r="HP249" s="14" t="str">
        <f t="shared" si="312"/>
        <v>150级寄灵人洗练-Q3-4</v>
      </c>
      <c r="HQ249" s="14">
        <f t="shared" si="313"/>
        <v>1113</v>
      </c>
      <c r="HR249" s="14">
        <f t="shared" si="314"/>
        <v>4</v>
      </c>
      <c r="HS249" s="14">
        <f t="shared" si="315"/>
        <v>500</v>
      </c>
      <c r="HT249" s="14" t="str">
        <f t="shared" si="316"/>
        <v>AtkRate</v>
      </c>
      <c r="HU249" s="14">
        <f t="shared" si="317"/>
        <v>1.4E-2</v>
      </c>
      <c r="HV249" s="14">
        <f t="shared" si="318"/>
        <v>0.04</v>
      </c>
    </row>
    <row r="250" spans="151:230" ht="16.5" x14ac:dyDescent="0.2">
      <c r="EU250" s="13">
        <v>245</v>
      </c>
      <c r="EV250" s="14">
        <f t="shared" si="289"/>
        <v>1</v>
      </c>
      <c r="EW250" s="14">
        <f t="shared" si="290"/>
        <v>245</v>
      </c>
      <c r="EX250" s="14">
        <f t="shared" si="291"/>
        <v>33</v>
      </c>
      <c r="EY250" s="14">
        <f t="shared" si="266"/>
        <v>20</v>
      </c>
      <c r="EZ250" s="14">
        <f t="shared" si="267"/>
        <v>7</v>
      </c>
      <c r="FA250" s="14">
        <f t="shared" si="268"/>
        <v>110</v>
      </c>
      <c r="FB250" s="14">
        <f t="shared" si="269"/>
        <v>2</v>
      </c>
      <c r="FC250" s="14">
        <f t="shared" si="270"/>
        <v>2</v>
      </c>
      <c r="FD250" s="14">
        <f t="shared" si="271"/>
        <v>2</v>
      </c>
      <c r="FE250" s="14" t="b">
        <f t="shared" si="292"/>
        <v>0</v>
      </c>
      <c r="FF250" s="14">
        <f t="shared" si="272"/>
        <v>2007202</v>
      </c>
      <c r="FG250" s="13" t="str">
        <f t="shared" si="273"/>
        <v>110级-优秀寄灵人の头盔</v>
      </c>
      <c r="FH250" s="14">
        <f t="shared" si="274"/>
        <v>1</v>
      </c>
      <c r="FI250" s="14">
        <f t="shared" si="275"/>
        <v>2</v>
      </c>
      <c r="FJ250" s="14">
        <f t="shared" si="276"/>
        <v>110</v>
      </c>
      <c r="FK250" s="14">
        <v>1</v>
      </c>
      <c r="FL250" s="14">
        <f t="shared" si="277"/>
        <v>7</v>
      </c>
      <c r="FM250" s="14">
        <f t="shared" si="293"/>
        <v>2</v>
      </c>
      <c r="FN250" s="14" t="str">
        <f t="shared" si="278"/>
        <v/>
      </c>
      <c r="FO250" s="14">
        <f t="shared" si="279"/>
        <v>100</v>
      </c>
      <c r="FP250" s="14">
        <f t="shared" si="294"/>
        <v>0</v>
      </c>
      <c r="FQ250" s="14">
        <f t="shared" si="295"/>
        <v>195</v>
      </c>
      <c r="FR250" s="14">
        <f t="shared" si="296"/>
        <v>0</v>
      </c>
      <c r="FS250" s="14">
        <f t="shared" si="297"/>
        <v>0</v>
      </c>
      <c r="FT250" s="14">
        <f t="shared" si="298"/>
        <v>10</v>
      </c>
      <c r="FU250" s="14">
        <f t="shared" si="299"/>
        <v>0</v>
      </c>
      <c r="FV250" s="14">
        <f t="shared" si="280"/>
        <v>1072</v>
      </c>
      <c r="FW250" s="14">
        <f t="shared" si="281"/>
        <v>0</v>
      </c>
      <c r="FX250" s="14" t="str">
        <f t="shared" si="282"/>
        <v/>
      </c>
      <c r="FY250" s="25" t="str">
        <f t="shared" si="300"/>
        <v>icon_2007102</v>
      </c>
      <c r="GC250" s="14">
        <f t="shared" si="283"/>
        <v>2</v>
      </c>
      <c r="GD250" s="14">
        <f t="shared" si="284"/>
        <v>0</v>
      </c>
      <c r="GE250" s="14">
        <f t="shared" si="301"/>
        <v>100</v>
      </c>
      <c r="GF250" s="14" t="str">
        <f t="shared" si="285"/>
        <v>DefExt</v>
      </c>
      <c r="GG250" s="14">
        <f t="shared" si="302"/>
        <v>195</v>
      </c>
      <c r="GH250" s="14">
        <f t="shared" si="303"/>
        <v>10</v>
      </c>
      <c r="GI250" s="14" t="str">
        <f t="shared" si="286"/>
        <v/>
      </c>
      <c r="GJ250" s="14" t="str">
        <f t="shared" si="304"/>
        <v/>
      </c>
      <c r="GK250" s="14" t="str">
        <f t="shared" si="305"/>
        <v/>
      </c>
      <c r="GL250" s="14">
        <f t="shared" si="287"/>
        <v>20720</v>
      </c>
      <c r="GM250" s="14">
        <f t="shared" si="306"/>
        <v>0</v>
      </c>
      <c r="GN250" s="14" t="str">
        <f t="shared" si="307"/>
        <v/>
      </c>
      <c r="GO250" s="25" t="s">
        <v>1471</v>
      </c>
      <c r="GP250" s="14">
        <f t="shared" si="288"/>
        <v>90</v>
      </c>
      <c r="HK250" s="13">
        <v>245</v>
      </c>
      <c r="HL250" s="14">
        <f t="shared" si="308"/>
        <v>11</v>
      </c>
      <c r="HM250" s="14">
        <f t="shared" si="309"/>
        <v>1</v>
      </c>
      <c r="HN250" s="14">
        <f t="shared" si="310"/>
        <v>11</v>
      </c>
      <c r="HO250" s="14">
        <f t="shared" si="311"/>
        <v>3</v>
      </c>
      <c r="HP250" s="14" t="str">
        <f t="shared" si="312"/>
        <v>150级寄灵人洗练-Q3-5</v>
      </c>
      <c r="HQ250" s="14">
        <f t="shared" si="313"/>
        <v>1113</v>
      </c>
      <c r="HR250" s="14">
        <f t="shared" si="314"/>
        <v>5</v>
      </c>
      <c r="HS250" s="14">
        <f t="shared" si="315"/>
        <v>400</v>
      </c>
      <c r="HT250" s="14" t="str">
        <f t="shared" si="316"/>
        <v>DefRate</v>
      </c>
      <c r="HU250" s="14">
        <f t="shared" si="317"/>
        <v>1.4E-2</v>
      </c>
      <c r="HV250" s="14">
        <f t="shared" si="318"/>
        <v>0.04</v>
      </c>
    </row>
    <row r="251" spans="151:230" ht="16.5" x14ac:dyDescent="0.2">
      <c r="EU251" s="13">
        <v>246</v>
      </c>
      <c r="EV251" s="14">
        <f t="shared" si="289"/>
        <v>1</v>
      </c>
      <c r="EW251" s="14">
        <f t="shared" si="290"/>
        <v>246</v>
      </c>
      <c r="EX251" s="14">
        <f t="shared" si="291"/>
        <v>33</v>
      </c>
      <c r="EY251" s="14">
        <f t="shared" si="266"/>
        <v>20</v>
      </c>
      <c r="EZ251" s="14">
        <f t="shared" si="267"/>
        <v>7</v>
      </c>
      <c r="FA251" s="14">
        <f t="shared" si="268"/>
        <v>110</v>
      </c>
      <c r="FB251" s="14">
        <f t="shared" si="269"/>
        <v>2</v>
      </c>
      <c r="FC251" s="14">
        <f t="shared" si="270"/>
        <v>3</v>
      </c>
      <c r="FD251" s="14">
        <f t="shared" si="271"/>
        <v>3</v>
      </c>
      <c r="FE251" s="14" t="b">
        <f t="shared" si="292"/>
        <v>0</v>
      </c>
      <c r="FF251" s="14">
        <f t="shared" si="272"/>
        <v>2007203</v>
      </c>
      <c r="FG251" s="13" t="str">
        <f t="shared" si="273"/>
        <v>110级-优秀寄灵人の铠甲</v>
      </c>
      <c r="FH251" s="14">
        <f t="shared" si="274"/>
        <v>1</v>
      </c>
      <c r="FI251" s="14">
        <f t="shared" si="275"/>
        <v>2</v>
      </c>
      <c r="FJ251" s="14">
        <f t="shared" si="276"/>
        <v>110</v>
      </c>
      <c r="FK251" s="14">
        <v>1</v>
      </c>
      <c r="FL251" s="14">
        <f t="shared" si="277"/>
        <v>7</v>
      </c>
      <c r="FM251" s="14">
        <f t="shared" si="293"/>
        <v>3</v>
      </c>
      <c r="FN251" s="14" t="str">
        <f t="shared" si="278"/>
        <v/>
      </c>
      <c r="FO251" s="14">
        <f t="shared" si="279"/>
        <v>140</v>
      </c>
      <c r="FP251" s="14">
        <f t="shared" si="294"/>
        <v>0</v>
      </c>
      <c r="FQ251" s="14">
        <f t="shared" si="295"/>
        <v>100</v>
      </c>
      <c r="FR251" s="14">
        <f t="shared" si="296"/>
        <v>1750</v>
      </c>
      <c r="FS251" s="14">
        <f t="shared" si="297"/>
        <v>0</v>
      </c>
      <c r="FT251" s="14">
        <f t="shared" si="298"/>
        <v>5</v>
      </c>
      <c r="FU251" s="14">
        <f t="shared" si="299"/>
        <v>90</v>
      </c>
      <c r="FV251" s="14">
        <f t="shared" si="280"/>
        <v>1072</v>
      </c>
      <c r="FW251" s="14">
        <f t="shared" si="281"/>
        <v>0</v>
      </c>
      <c r="FX251" s="14" t="str">
        <f t="shared" si="282"/>
        <v/>
      </c>
      <c r="FY251" s="25" t="str">
        <f t="shared" si="300"/>
        <v>icon_2007103</v>
      </c>
      <c r="GC251" s="14">
        <f t="shared" si="283"/>
        <v>2</v>
      </c>
      <c r="GD251" s="14">
        <f t="shared" si="284"/>
        <v>3</v>
      </c>
      <c r="GE251" s="14">
        <f t="shared" si="301"/>
        <v>140</v>
      </c>
      <c r="GF251" s="14" t="str">
        <f t="shared" si="285"/>
        <v>DefExt</v>
      </c>
      <c r="GG251" s="14">
        <f t="shared" si="302"/>
        <v>100</v>
      </c>
      <c r="GH251" s="14">
        <f t="shared" si="303"/>
        <v>5</v>
      </c>
      <c r="GI251" s="14" t="str">
        <f t="shared" si="286"/>
        <v>HPExt</v>
      </c>
      <c r="GJ251" s="14">
        <f t="shared" si="304"/>
        <v>1750</v>
      </c>
      <c r="GK251" s="14">
        <f t="shared" si="305"/>
        <v>90</v>
      </c>
      <c r="GL251" s="14">
        <f t="shared" si="287"/>
        <v>20720</v>
      </c>
      <c r="GM251" s="14">
        <f t="shared" si="306"/>
        <v>0</v>
      </c>
      <c r="GN251" s="14" t="str">
        <f t="shared" si="307"/>
        <v/>
      </c>
      <c r="GO251" s="25" t="s">
        <v>1471</v>
      </c>
      <c r="GP251" s="14">
        <f t="shared" si="288"/>
        <v>90</v>
      </c>
      <c r="HK251" s="13">
        <v>246</v>
      </c>
      <c r="HL251" s="14">
        <f t="shared" si="308"/>
        <v>11</v>
      </c>
      <c r="HM251" s="14">
        <f t="shared" si="309"/>
        <v>1</v>
      </c>
      <c r="HN251" s="14">
        <f t="shared" si="310"/>
        <v>11</v>
      </c>
      <c r="HO251" s="14">
        <f t="shared" si="311"/>
        <v>3</v>
      </c>
      <c r="HP251" s="14" t="str">
        <f t="shared" si="312"/>
        <v>150级寄灵人洗练-Q3-6</v>
      </c>
      <c r="HQ251" s="14">
        <f t="shared" si="313"/>
        <v>1113</v>
      </c>
      <c r="HR251" s="14">
        <f t="shared" si="314"/>
        <v>6</v>
      </c>
      <c r="HS251" s="14">
        <f t="shared" si="315"/>
        <v>500</v>
      </c>
      <c r="HT251" s="14" t="str">
        <f t="shared" si="316"/>
        <v>HPRate</v>
      </c>
      <c r="HU251" s="14">
        <f t="shared" si="317"/>
        <v>1.4E-2</v>
      </c>
      <c r="HV251" s="14">
        <f t="shared" si="318"/>
        <v>0.04</v>
      </c>
    </row>
    <row r="252" spans="151:230" ht="16.5" x14ac:dyDescent="0.2">
      <c r="EU252" s="13">
        <v>247</v>
      </c>
      <c r="EV252" s="14">
        <f t="shared" si="289"/>
        <v>1</v>
      </c>
      <c r="EW252" s="14">
        <f t="shared" si="290"/>
        <v>247</v>
      </c>
      <c r="EX252" s="14">
        <f t="shared" si="291"/>
        <v>33</v>
      </c>
      <c r="EY252" s="14">
        <f t="shared" si="266"/>
        <v>20</v>
      </c>
      <c r="EZ252" s="14">
        <f t="shared" si="267"/>
        <v>7</v>
      </c>
      <c r="FA252" s="14">
        <f t="shared" si="268"/>
        <v>110</v>
      </c>
      <c r="FB252" s="14">
        <f t="shared" si="269"/>
        <v>2</v>
      </c>
      <c r="FC252" s="14">
        <f t="shared" si="270"/>
        <v>4</v>
      </c>
      <c r="FD252" s="14">
        <f t="shared" si="271"/>
        <v>4</v>
      </c>
      <c r="FE252" s="14" t="b">
        <f t="shared" si="292"/>
        <v>0</v>
      </c>
      <c r="FF252" s="14">
        <f t="shared" si="272"/>
        <v>2007204</v>
      </c>
      <c r="FG252" s="13" t="str">
        <f t="shared" si="273"/>
        <v>110级-优秀寄灵人の裤子</v>
      </c>
      <c r="FH252" s="14">
        <f t="shared" si="274"/>
        <v>1</v>
      </c>
      <c r="FI252" s="14">
        <f t="shared" si="275"/>
        <v>2</v>
      </c>
      <c r="FJ252" s="14">
        <f t="shared" si="276"/>
        <v>110</v>
      </c>
      <c r="FK252" s="14">
        <v>1</v>
      </c>
      <c r="FL252" s="14">
        <f t="shared" si="277"/>
        <v>7</v>
      </c>
      <c r="FM252" s="14">
        <f t="shared" si="293"/>
        <v>4</v>
      </c>
      <c r="FN252" s="14" t="str">
        <f t="shared" si="278"/>
        <v/>
      </c>
      <c r="FO252" s="14">
        <f t="shared" si="279"/>
        <v>100</v>
      </c>
      <c r="FP252" s="14">
        <f t="shared" si="294"/>
        <v>0</v>
      </c>
      <c r="FQ252" s="14">
        <f t="shared" si="295"/>
        <v>195</v>
      </c>
      <c r="FR252" s="14">
        <f t="shared" si="296"/>
        <v>0</v>
      </c>
      <c r="FS252" s="14">
        <f t="shared" si="297"/>
        <v>0</v>
      </c>
      <c r="FT252" s="14">
        <f t="shared" si="298"/>
        <v>10</v>
      </c>
      <c r="FU252" s="14">
        <f t="shared" si="299"/>
        <v>0</v>
      </c>
      <c r="FV252" s="14">
        <f t="shared" si="280"/>
        <v>1072</v>
      </c>
      <c r="FW252" s="14">
        <f t="shared" si="281"/>
        <v>0</v>
      </c>
      <c r="FX252" s="14" t="str">
        <f t="shared" si="282"/>
        <v/>
      </c>
      <c r="FY252" s="25" t="str">
        <f t="shared" si="300"/>
        <v>icon_2007104</v>
      </c>
      <c r="GC252" s="14">
        <f t="shared" si="283"/>
        <v>2</v>
      </c>
      <c r="GD252" s="14">
        <f t="shared" si="284"/>
        <v>0</v>
      </c>
      <c r="GE252" s="14">
        <f t="shared" si="301"/>
        <v>100</v>
      </c>
      <c r="GF252" s="14" t="str">
        <f t="shared" si="285"/>
        <v>DefExt</v>
      </c>
      <c r="GG252" s="14">
        <f t="shared" si="302"/>
        <v>195</v>
      </c>
      <c r="GH252" s="14">
        <f t="shared" si="303"/>
        <v>10</v>
      </c>
      <c r="GI252" s="14" t="str">
        <f t="shared" si="286"/>
        <v/>
      </c>
      <c r="GJ252" s="14" t="str">
        <f t="shared" si="304"/>
        <v/>
      </c>
      <c r="GK252" s="14" t="str">
        <f t="shared" si="305"/>
        <v/>
      </c>
      <c r="GL252" s="14">
        <f t="shared" si="287"/>
        <v>20720</v>
      </c>
      <c r="GM252" s="14">
        <f t="shared" si="306"/>
        <v>0</v>
      </c>
      <c r="GN252" s="14" t="str">
        <f t="shared" si="307"/>
        <v/>
      </c>
      <c r="GO252" s="25" t="s">
        <v>1471</v>
      </c>
      <c r="GP252" s="14">
        <f t="shared" si="288"/>
        <v>90</v>
      </c>
      <c r="HK252" s="13">
        <v>247</v>
      </c>
      <c r="HL252" s="14">
        <f t="shared" si="308"/>
        <v>11</v>
      </c>
      <c r="HM252" s="14">
        <f t="shared" si="309"/>
        <v>1</v>
      </c>
      <c r="HN252" s="14">
        <f t="shared" si="310"/>
        <v>11</v>
      </c>
      <c r="HO252" s="14">
        <f t="shared" si="311"/>
        <v>3</v>
      </c>
      <c r="HP252" s="14" t="str">
        <f t="shared" si="312"/>
        <v>150级寄灵人洗练-Q3-7</v>
      </c>
      <c r="HQ252" s="14">
        <f t="shared" si="313"/>
        <v>1113</v>
      </c>
      <c r="HR252" s="14">
        <f t="shared" si="314"/>
        <v>7</v>
      </c>
      <c r="HS252" s="14">
        <f t="shared" si="315"/>
        <v>500</v>
      </c>
      <c r="HT252" s="14" t="str">
        <f t="shared" si="316"/>
        <v>Crit</v>
      </c>
      <c r="HU252" s="14">
        <f t="shared" si="317"/>
        <v>1.0999999999999999E-2</v>
      </c>
      <c r="HV252" s="14">
        <f t="shared" si="318"/>
        <v>0.03</v>
      </c>
    </row>
    <row r="253" spans="151:230" ht="16.5" x14ac:dyDescent="0.2">
      <c r="EU253" s="13">
        <v>248</v>
      </c>
      <c r="EV253" s="14">
        <f t="shared" si="289"/>
        <v>1</v>
      </c>
      <c r="EW253" s="14">
        <f t="shared" si="290"/>
        <v>248</v>
      </c>
      <c r="EX253" s="14">
        <f t="shared" si="291"/>
        <v>33</v>
      </c>
      <c r="EY253" s="14">
        <f t="shared" si="266"/>
        <v>20</v>
      </c>
      <c r="EZ253" s="14">
        <f t="shared" si="267"/>
        <v>7</v>
      </c>
      <c r="FA253" s="14">
        <f t="shared" si="268"/>
        <v>110</v>
      </c>
      <c r="FB253" s="14">
        <f t="shared" si="269"/>
        <v>2</v>
      </c>
      <c r="FC253" s="14">
        <f t="shared" si="270"/>
        <v>5</v>
      </c>
      <c r="FD253" s="14">
        <f t="shared" si="271"/>
        <v>5</v>
      </c>
      <c r="FE253" s="14" t="b">
        <f t="shared" si="292"/>
        <v>0</v>
      </c>
      <c r="FF253" s="14">
        <f t="shared" si="272"/>
        <v>2007205</v>
      </c>
      <c r="FG253" s="13" t="str">
        <f t="shared" si="273"/>
        <v>110级-优秀寄灵人の鞋子</v>
      </c>
      <c r="FH253" s="14">
        <f t="shared" si="274"/>
        <v>1</v>
      </c>
      <c r="FI253" s="14">
        <f t="shared" si="275"/>
        <v>2</v>
      </c>
      <c r="FJ253" s="14">
        <f t="shared" si="276"/>
        <v>110</v>
      </c>
      <c r="FK253" s="14">
        <v>1</v>
      </c>
      <c r="FL253" s="14">
        <f t="shared" si="277"/>
        <v>7</v>
      </c>
      <c r="FM253" s="14">
        <f t="shared" si="293"/>
        <v>5</v>
      </c>
      <c r="FN253" s="14" t="str">
        <f t="shared" si="278"/>
        <v/>
      </c>
      <c r="FO253" s="14">
        <f t="shared" si="279"/>
        <v>180</v>
      </c>
      <c r="FP253" s="14">
        <f t="shared" si="294"/>
        <v>0</v>
      </c>
      <c r="FQ253" s="14">
        <f t="shared" si="295"/>
        <v>0</v>
      </c>
      <c r="FR253" s="14">
        <f t="shared" si="296"/>
        <v>3505</v>
      </c>
      <c r="FS253" s="14">
        <f t="shared" si="297"/>
        <v>0</v>
      </c>
      <c r="FT253" s="14">
        <f t="shared" si="298"/>
        <v>0</v>
      </c>
      <c r="FU253" s="14">
        <f t="shared" si="299"/>
        <v>180</v>
      </c>
      <c r="FV253" s="14">
        <f t="shared" si="280"/>
        <v>1072</v>
      </c>
      <c r="FW253" s="14">
        <f t="shared" si="281"/>
        <v>0</v>
      </c>
      <c r="FX253" s="14" t="str">
        <f t="shared" si="282"/>
        <v/>
      </c>
      <c r="FY253" s="25" t="str">
        <f t="shared" si="300"/>
        <v>icon_2007105</v>
      </c>
      <c r="GC253" s="14">
        <f t="shared" si="283"/>
        <v>3</v>
      </c>
      <c r="GD253" s="14">
        <f t="shared" si="284"/>
        <v>0</v>
      </c>
      <c r="GE253" s="14">
        <f t="shared" si="301"/>
        <v>180</v>
      </c>
      <c r="GF253" s="14" t="str">
        <f t="shared" si="285"/>
        <v>HPExt</v>
      </c>
      <c r="GG253" s="14">
        <f t="shared" si="302"/>
        <v>3505</v>
      </c>
      <c r="GH253" s="14">
        <f t="shared" si="303"/>
        <v>180</v>
      </c>
      <c r="GI253" s="14" t="str">
        <f t="shared" si="286"/>
        <v/>
      </c>
      <c r="GJ253" s="14" t="str">
        <f t="shared" si="304"/>
        <v/>
      </c>
      <c r="GK253" s="14" t="str">
        <f t="shared" si="305"/>
        <v/>
      </c>
      <c r="GL253" s="14">
        <f t="shared" si="287"/>
        <v>20720</v>
      </c>
      <c r="GM253" s="14">
        <f t="shared" si="306"/>
        <v>0</v>
      </c>
      <c r="GN253" s="14" t="str">
        <f t="shared" si="307"/>
        <v/>
      </c>
      <c r="GO253" s="25" t="s">
        <v>1471</v>
      </c>
      <c r="GP253" s="14">
        <f t="shared" si="288"/>
        <v>90</v>
      </c>
      <c r="HK253" s="13">
        <v>248</v>
      </c>
      <c r="HL253" s="14">
        <f t="shared" si="308"/>
        <v>11</v>
      </c>
      <c r="HM253" s="14">
        <f t="shared" si="309"/>
        <v>1</v>
      </c>
      <c r="HN253" s="14">
        <f t="shared" si="310"/>
        <v>11</v>
      </c>
      <c r="HO253" s="14">
        <f t="shared" si="311"/>
        <v>3</v>
      </c>
      <c r="HP253" s="14" t="str">
        <f t="shared" si="312"/>
        <v>150级寄灵人洗练-Q3-8</v>
      </c>
      <c r="HQ253" s="14">
        <f t="shared" si="313"/>
        <v>1113</v>
      </c>
      <c r="HR253" s="14">
        <f t="shared" si="314"/>
        <v>8</v>
      </c>
      <c r="HS253" s="14">
        <f t="shared" si="315"/>
        <v>500</v>
      </c>
      <c r="HT253" s="14" t="str">
        <f t="shared" si="316"/>
        <v>CritRate</v>
      </c>
      <c r="HU253" s="14">
        <f t="shared" si="317"/>
        <v>2.8000000000000001E-2</v>
      </c>
      <c r="HV253" s="14">
        <f t="shared" si="318"/>
        <v>0.08</v>
      </c>
    </row>
    <row r="254" spans="151:230" ht="16.5" x14ac:dyDescent="0.2">
      <c r="EU254" s="13">
        <v>249</v>
      </c>
      <c r="EV254" s="14">
        <f t="shared" si="289"/>
        <v>1</v>
      </c>
      <c r="EW254" s="14">
        <f t="shared" si="290"/>
        <v>249</v>
      </c>
      <c r="EX254" s="14">
        <f t="shared" si="291"/>
        <v>33</v>
      </c>
      <c r="EY254" s="14">
        <f t="shared" si="266"/>
        <v>20</v>
      </c>
      <c r="EZ254" s="14">
        <f t="shared" si="267"/>
        <v>7</v>
      </c>
      <c r="FA254" s="14">
        <f t="shared" si="268"/>
        <v>110</v>
      </c>
      <c r="FB254" s="14">
        <f t="shared" si="269"/>
        <v>2</v>
      </c>
      <c r="FC254" s="14">
        <f t="shared" si="270"/>
        <v>6</v>
      </c>
      <c r="FD254" s="14">
        <f t="shared" si="271"/>
        <v>6</v>
      </c>
      <c r="FE254" s="14" t="b">
        <f t="shared" si="292"/>
        <v>0</v>
      </c>
      <c r="FF254" s="14">
        <f t="shared" si="272"/>
        <v>2007206</v>
      </c>
      <c r="FG254" s="13" t="str">
        <f t="shared" si="273"/>
        <v>110级-优秀寄灵人の护手</v>
      </c>
      <c r="FH254" s="14">
        <f t="shared" si="274"/>
        <v>1</v>
      </c>
      <c r="FI254" s="14">
        <f t="shared" si="275"/>
        <v>2</v>
      </c>
      <c r="FJ254" s="14">
        <f t="shared" si="276"/>
        <v>110</v>
      </c>
      <c r="FK254" s="14">
        <v>1</v>
      </c>
      <c r="FL254" s="14">
        <f t="shared" si="277"/>
        <v>7</v>
      </c>
      <c r="FM254" s="14">
        <f t="shared" si="293"/>
        <v>6</v>
      </c>
      <c r="FN254" s="14" t="str">
        <f t="shared" si="278"/>
        <v/>
      </c>
      <c r="FO254" s="14">
        <f t="shared" si="279"/>
        <v>180</v>
      </c>
      <c r="FP254" s="14">
        <f t="shared" si="294"/>
        <v>0</v>
      </c>
      <c r="FQ254" s="14">
        <f t="shared" si="295"/>
        <v>0</v>
      </c>
      <c r="FR254" s="14">
        <f t="shared" si="296"/>
        <v>3505</v>
      </c>
      <c r="FS254" s="14">
        <f t="shared" si="297"/>
        <v>0</v>
      </c>
      <c r="FT254" s="14">
        <f t="shared" si="298"/>
        <v>0</v>
      </c>
      <c r="FU254" s="14">
        <f t="shared" si="299"/>
        <v>180</v>
      </c>
      <c r="FV254" s="14">
        <f t="shared" si="280"/>
        <v>1072</v>
      </c>
      <c r="FW254" s="14">
        <f t="shared" si="281"/>
        <v>0</v>
      </c>
      <c r="FX254" s="14" t="str">
        <f t="shared" si="282"/>
        <v/>
      </c>
      <c r="FY254" s="25" t="str">
        <f t="shared" si="300"/>
        <v>icon_2007106</v>
      </c>
      <c r="GC254" s="14">
        <f t="shared" si="283"/>
        <v>3</v>
      </c>
      <c r="GD254" s="14">
        <f t="shared" si="284"/>
        <v>0</v>
      </c>
      <c r="GE254" s="14">
        <f t="shared" si="301"/>
        <v>180</v>
      </c>
      <c r="GF254" s="14" t="str">
        <f t="shared" si="285"/>
        <v>HPExt</v>
      </c>
      <c r="GG254" s="14">
        <f t="shared" si="302"/>
        <v>3505</v>
      </c>
      <c r="GH254" s="14">
        <f t="shared" si="303"/>
        <v>180</v>
      </c>
      <c r="GI254" s="14" t="str">
        <f t="shared" si="286"/>
        <v/>
      </c>
      <c r="GJ254" s="14" t="str">
        <f t="shared" si="304"/>
        <v/>
      </c>
      <c r="GK254" s="14" t="str">
        <f t="shared" si="305"/>
        <v/>
      </c>
      <c r="GL254" s="14">
        <f t="shared" si="287"/>
        <v>20720</v>
      </c>
      <c r="GM254" s="14">
        <f t="shared" si="306"/>
        <v>0</v>
      </c>
      <c r="GN254" s="14" t="str">
        <f t="shared" si="307"/>
        <v/>
      </c>
      <c r="GO254" s="25" t="s">
        <v>1471</v>
      </c>
      <c r="GP254" s="14">
        <f t="shared" si="288"/>
        <v>90</v>
      </c>
      <c r="HK254" s="13">
        <v>249</v>
      </c>
      <c r="HL254" s="14">
        <f t="shared" si="308"/>
        <v>11</v>
      </c>
      <c r="HM254" s="14">
        <f t="shared" si="309"/>
        <v>1</v>
      </c>
      <c r="HN254" s="14">
        <f t="shared" si="310"/>
        <v>11</v>
      </c>
      <c r="HO254" s="14">
        <f t="shared" si="311"/>
        <v>3</v>
      </c>
      <c r="HP254" s="14" t="str">
        <f t="shared" si="312"/>
        <v>150级寄灵人洗练-Q3-9</v>
      </c>
      <c r="HQ254" s="14">
        <f t="shared" si="313"/>
        <v>1113</v>
      </c>
      <c r="HR254" s="14">
        <f t="shared" si="314"/>
        <v>9</v>
      </c>
      <c r="HS254" s="14">
        <f t="shared" si="315"/>
        <v>500</v>
      </c>
      <c r="HT254" s="14" t="str">
        <f t="shared" si="316"/>
        <v>DefIgnor</v>
      </c>
      <c r="HU254" s="14">
        <f t="shared" si="317"/>
        <v>1.0999999999999999E-2</v>
      </c>
      <c r="HV254" s="14">
        <f t="shared" si="318"/>
        <v>0.03</v>
      </c>
    </row>
    <row r="255" spans="151:230" ht="16.5" x14ac:dyDescent="0.2">
      <c r="EU255" s="13">
        <v>250</v>
      </c>
      <c r="EV255" s="14">
        <f t="shared" si="289"/>
        <v>1</v>
      </c>
      <c r="EW255" s="14">
        <f t="shared" si="290"/>
        <v>250</v>
      </c>
      <c r="EX255" s="14">
        <f t="shared" si="291"/>
        <v>33</v>
      </c>
      <c r="EY255" s="14">
        <f t="shared" si="266"/>
        <v>20</v>
      </c>
      <c r="EZ255" s="14">
        <f t="shared" si="267"/>
        <v>7</v>
      </c>
      <c r="FA255" s="14">
        <f t="shared" si="268"/>
        <v>110</v>
      </c>
      <c r="FB255" s="14">
        <f t="shared" si="269"/>
        <v>2</v>
      </c>
      <c r="FC255" s="14">
        <f t="shared" si="270"/>
        <v>7</v>
      </c>
      <c r="FD255" s="14">
        <f t="shared" si="271"/>
        <v>7</v>
      </c>
      <c r="FE255" s="14" t="b">
        <f t="shared" si="292"/>
        <v>0</v>
      </c>
      <c r="FF255" s="14">
        <f t="shared" si="272"/>
        <v>2007207</v>
      </c>
      <c r="FG255" s="13" t="str">
        <f t="shared" si="273"/>
        <v>110级-优秀寄灵人の项链</v>
      </c>
      <c r="FH255" s="14">
        <f t="shared" si="274"/>
        <v>1</v>
      </c>
      <c r="FI255" s="14">
        <f t="shared" si="275"/>
        <v>2</v>
      </c>
      <c r="FJ255" s="14">
        <f t="shared" si="276"/>
        <v>110</v>
      </c>
      <c r="FK255" s="14">
        <v>1</v>
      </c>
      <c r="FL255" s="14">
        <f t="shared" si="277"/>
        <v>7</v>
      </c>
      <c r="FM255" s="14">
        <f t="shared" si="293"/>
        <v>7</v>
      </c>
      <c r="FN255" s="14" t="str">
        <f t="shared" si="278"/>
        <v/>
      </c>
      <c r="FO255" s="14">
        <f t="shared" si="279"/>
        <v>145</v>
      </c>
      <c r="FP255" s="14">
        <f t="shared" si="294"/>
        <v>260</v>
      </c>
      <c r="FQ255" s="14">
        <f t="shared" si="295"/>
        <v>165</v>
      </c>
      <c r="FR255" s="14">
        <f t="shared" si="296"/>
        <v>0</v>
      </c>
      <c r="FS255" s="14">
        <f t="shared" si="297"/>
        <v>13</v>
      </c>
      <c r="FT255" s="14">
        <f t="shared" si="298"/>
        <v>8</v>
      </c>
      <c r="FU255" s="14">
        <f t="shared" si="299"/>
        <v>0</v>
      </c>
      <c r="FV255" s="14">
        <f t="shared" si="280"/>
        <v>1072</v>
      </c>
      <c r="FW255" s="14">
        <f t="shared" si="281"/>
        <v>0</v>
      </c>
      <c r="FX255" s="14" t="str">
        <f t="shared" si="282"/>
        <v/>
      </c>
      <c r="FY255" s="25" t="str">
        <f t="shared" si="300"/>
        <v>icon_2007107</v>
      </c>
      <c r="GC255" s="14">
        <f t="shared" si="283"/>
        <v>1</v>
      </c>
      <c r="GD255" s="14">
        <f t="shared" si="284"/>
        <v>2</v>
      </c>
      <c r="GE255" s="14">
        <f t="shared" si="301"/>
        <v>145</v>
      </c>
      <c r="GF255" s="14" t="str">
        <f t="shared" si="285"/>
        <v>AtkExt</v>
      </c>
      <c r="GG255" s="14">
        <f t="shared" si="302"/>
        <v>260</v>
      </c>
      <c r="GH255" s="14">
        <f t="shared" si="303"/>
        <v>13</v>
      </c>
      <c r="GI255" s="14" t="str">
        <f t="shared" si="286"/>
        <v>DefExt</v>
      </c>
      <c r="GJ255" s="14">
        <f t="shared" si="304"/>
        <v>165</v>
      </c>
      <c r="GK255" s="14">
        <f t="shared" si="305"/>
        <v>8</v>
      </c>
      <c r="GL255" s="14">
        <f t="shared" si="287"/>
        <v>20720</v>
      </c>
      <c r="GM255" s="14">
        <f t="shared" si="306"/>
        <v>0</v>
      </c>
      <c r="GN255" s="14" t="str">
        <f t="shared" si="307"/>
        <v/>
      </c>
      <c r="GO255" s="25" t="s">
        <v>1471</v>
      </c>
      <c r="GP255" s="14">
        <f t="shared" si="288"/>
        <v>135</v>
      </c>
      <c r="HK255" s="13">
        <v>250</v>
      </c>
      <c r="HL255" s="14">
        <f t="shared" si="308"/>
        <v>11</v>
      </c>
      <c r="HM255" s="14">
        <f t="shared" si="309"/>
        <v>1</v>
      </c>
      <c r="HN255" s="14">
        <f t="shared" si="310"/>
        <v>11</v>
      </c>
      <c r="HO255" s="14">
        <f t="shared" si="311"/>
        <v>3</v>
      </c>
      <c r="HP255" s="14" t="str">
        <f t="shared" si="312"/>
        <v>150级寄灵人洗练-Q3-10</v>
      </c>
      <c r="HQ255" s="14">
        <f t="shared" si="313"/>
        <v>1113</v>
      </c>
      <c r="HR255" s="14">
        <f t="shared" si="314"/>
        <v>10</v>
      </c>
      <c r="HS255" s="14">
        <f t="shared" si="315"/>
        <v>500</v>
      </c>
      <c r="HT255" s="14" t="str">
        <f t="shared" si="316"/>
        <v>Block</v>
      </c>
      <c r="HU255" s="14">
        <f t="shared" si="317"/>
        <v>1.0999999999999999E-2</v>
      </c>
      <c r="HV255" s="14">
        <f t="shared" si="318"/>
        <v>0.03</v>
      </c>
    </row>
    <row r="256" spans="151:230" ht="16.5" x14ac:dyDescent="0.2">
      <c r="EU256" s="13">
        <v>251</v>
      </c>
      <c r="EV256" s="14">
        <f t="shared" si="289"/>
        <v>1</v>
      </c>
      <c r="EW256" s="14">
        <f t="shared" si="290"/>
        <v>251</v>
      </c>
      <c r="EX256" s="14">
        <f t="shared" si="291"/>
        <v>33</v>
      </c>
      <c r="EY256" s="14">
        <f t="shared" si="266"/>
        <v>20</v>
      </c>
      <c r="EZ256" s="14">
        <f t="shared" si="267"/>
        <v>7</v>
      </c>
      <c r="FA256" s="14">
        <f t="shared" si="268"/>
        <v>110</v>
      </c>
      <c r="FB256" s="14">
        <f t="shared" si="269"/>
        <v>2</v>
      </c>
      <c r="FC256" s="14">
        <f t="shared" si="270"/>
        <v>8</v>
      </c>
      <c r="FD256" s="14">
        <f t="shared" si="271"/>
        <v>8</v>
      </c>
      <c r="FE256" s="14" t="b">
        <f t="shared" si="292"/>
        <v>0</v>
      </c>
      <c r="FF256" s="14">
        <f t="shared" si="272"/>
        <v>2007208</v>
      </c>
      <c r="FG256" s="13" t="str">
        <f t="shared" si="273"/>
        <v>110级-优秀寄灵人の戒指</v>
      </c>
      <c r="FH256" s="14">
        <f t="shared" si="274"/>
        <v>1</v>
      </c>
      <c r="FI256" s="14">
        <f t="shared" si="275"/>
        <v>2</v>
      </c>
      <c r="FJ256" s="14">
        <f t="shared" si="276"/>
        <v>110</v>
      </c>
      <c r="FK256" s="14">
        <v>1</v>
      </c>
      <c r="FL256" s="14">
        <f t="shared" si="277"/>
        <v>7</v>
      </c>
      <c r="FM256" s="14">
        <f t="shared" si="293"/>
        <v>8</v>
      </c>
      <c r="FN256" s="14" t="str">
        <f t="shared" si="278"/>
        <v/>
      </c>
      <c r="FO256" s="14">
        <f t="shared" si="279"/>
        <v>215</v>
      </c>
      <c r="FP256" s="14">
        <f t="shared" si="294"/>
        <v>260</v>
      </c>
      <c r="FQ256" s="14">
        <f t="shared" si="295"/>
        <v>0</v>
      </c>
      <c r="FR256" s="14">
        <f t="shared" si="296"/>
        <v>2920</v>
      </c>
      <c r="FS256" s="14">
        <f t="shared" si="297"/>
        <v>13</v>
      </c>
      <c r="FT256" s="14">
        <f t="shared" si="298"/>
        <v>0</v>
      </c>
      <c r="FU256" s="14">
        <f t="shared" si="299"/>
        <v>150</v>
      </c>
      <c r="FV256" s="14">
        <f t="shared" si="280"/>
        <v>1072</v>
      </c>
      <c r="FW256" s="14">
        <f t="shared" si="281"/>
        <v>0</v>
      </c>
      <c r="FX256" s="14" t="str">
        <f t="shared" si="282"/>
        <v/>
      </c>
      <c r="FY256" s="25" t="str">
        <f t="shared" si="300"/>
        <v>icon_2007108</v>
      </c>
      <c r="GC256" s="14">
        <f t="shared" si="283"/>
        <v>1</v>
      </c>
      <c r="GD256" s="14">
        <f t="shared" si="284"/>
        <v>3</v>
      </c>
      <c r="GE256" s="14">
        <f t="shared" si="301"/>
        <v>215</v>
      </c>
      <c r="GF256" s="14" t="str">
        <f t="shared" si="285"/>
        <v>AtkExt</v>
      </c>
      <c r="GG256" s="14">
        <f t="shared" si="302"/>
        <v>260</v>
      </c>
      <c r="GH256" s="14">
        <f t="shared" si="303"/>
        <v>13</v>
      </c>
      <c r="GI256" s="14" t="str">
        <f t="shared" si="286"/>
        <v>HPExt</v>
      </c>
      <c r="GJ256" s="14">
        <f t="shared" si="304"/>
        <v>2920</v>
      </c>
      <c r="GK256" s="14">
        <f t="shared" si="305"/>
        <v>150</v>
      </c>
      <c r="GL256" s="14">
        <f t="shared" si="287"/>
        <v>20720</v>
      </c>
      <c r="GM256" s="14">
        <f t="shared" si="306"/>
        <v>0</v>
      </c>
      <c r="GN256" s="14" t="str">
        <f t="shared" si="307"/>
        <v/>
      </c>
      <c r="GO256" s="25" t="s">
        <v>1471</v>
      </c>
      <c r="GP256" s="14">
        <f t="shared" si="288"/>
        <v>135</v>
      </c>
      <c r="HK256" s="13">
        <v>251</v>
      </c>
      <c r="HL256" s="14">
        <f t="shared" si="308"/>
        <v>11</v>
      </c>
      <c r="HM256" s="14">
        <f t="shared" si="309"/>
        <v>1</v>
      </c>
      <c r="HN256" s="14">
        <f t="shared" si="310"/>
        <v>11</v>
      </c>
      <c r="HO256" s="14">
        <f t="shared" si="311"/>
        <v>3</v>
      </c>
      <c r="HP256" s="14" t="str">
        <f t="shared" si="312"/>
        <v>150级寄灵人洗练-Q3-11</v>
      </c>
      <c r="HQ256" s="14">
        <f t="shared" si="313"/>
        <v>1113</v>
      </c>
      <c r="HR256" s="14">
        <f t="shared" si="314"/>
        <v>11</v>
      </c>
      <c r="HS256" s="14">
        <f t="shared" si="315"/>
        <v>500</v>
      </c>
      <c r="HT256" s="14" t="str">
        <f t="shared" si="316"/>
        <v>EffectHit</v>
      </c>
      <c r="HU256" s="14">
        <f t="shared" si="317"/>
        <v>1.7999999999999999E-2</v>
      </c>
      <c r="HV256" s="14">
        <f t="shared" si="318"/>
        <v>0.05</v>
      </c>
    </row>
    <row r="257" spans="151:230" ht="16.5" x14ac:dyDescent="0.2">
      <c r="EU257" s="13">
        <v>252</v>
      </c>
      <c r="EV257" s="14">
        <f t="shared" si="289"/>
        <v>1</v>
      </c>
      <c r="EW257" s="14">
        <f t="shared" si="290"/>
        <v>252</v>
      </c>
      <c r="EX257" s="14">
        <f t="shared" si="291"/>
        <v>34</v>
      </c>
      <c r="EY257" s="14">
        <f t="shared" si="266"/>
        <v>30</v>
      </c>
      <c r="EZ257" s="14">
        <f t="shared" si="267"/>
        <v>7</v>
      </c>
      <c r="FA257" s="14">
        <f t="shared" si="268"/>
        <v>110</v>
      </c>
      <c r="FB257" s="14">
        <f t="shared" si="269"/>
        <v>3</v>
      </c>
      <c r="FC257" s="14">
        <f t="shared" si="270"/>
        <v>1</v>
      </c>
      <c r="FD257" s="14">
        <f t="shared" si="271"/>
        <v>1</v>
      </c>
      <c r="FE257" s="14" t="b">
        <f t="shared" si="292"/>
        <v>0</v>
      </c>
      <c r="FF257" s="14">
        <f t="shared" si="272"/>
        <v>2007301</v>
      </c>
      <c r="FG257" s="13" t="str">
        <f t="shared" si="273"/>
        <v>110级-精良寄灵人の灵器</v>
      </c>
      <c r="FH257" s="14">
        <f t="shared" si="274"/>
        <v>1</v>
      </c>
      <c r="FI257" s="14">
        <f t="shared" si="275"/>
        <v>3</v>
      </c>
      <c r="FJ257" s="14">
        <f t="shared" si="276"/>
        <v>110</v>
      </c>
      <c r="FK257" s="14">
        <v>1</v>
      </c>
      <c r="FL257" s="14">
        <f t="shared" si="277"/>
        <v>7</v>
      </c>
      <c r="FM257" s="14">
        <f t="shared" si="293"/>
        <v>1</v>
      </c>
      <c r="FN257" s="14" t="str">
        <f t="shared" si="278"/>
        <v/>
      </c>
      <c r="FO257" s="14">
        <f t="shared" si="279"/>
        <v>245</v>
      </c>
      <c r="FP257" s="14">
        <f t="shared" si="294"/>
        <v>945</v>
      </c>
      <c r="FQ257" s="14">
        <f t="shared" si="295"/>
        <v>0</v>
      </c>
      <c r="FR257" s="14">
        <f t="shared" si="296"/>
        <v>0</v>
      </c>
      <c r="FS257" s="14">
        <f t="shared" si="297"/>
        <v>49</v>
      </c>
      <c r="FT257" s="14">
        <f t="shared" si="298"/>
        <v>0</v>
      </c>
      <c r="FU257" s="14">
        <f t="shared" si="299"/>
        <v>0</v>
      </c>
      <c r="FV257" s="14">
        <f t="shared" si="280"/>
        <v>1073</v>
      </c>
      <c r="FW257" s="14">
        <f t="shared" si="281"/>
        <v>4</v>
      </c>
      <c r="FX257" s="14">
        <f t="shared" si="282"/>
        <v>1073</v>
      </c>
      <c r="FY257" s="25" t="str">
        <f t="shared" si="300"/>
        <v>icon_2007101</v>
      </c>
      <c r="GC257" s="14">
        <f t="shared" si="283"/>
        <v>1</v>
      </c>
      <c r="GD257" s="14">
        <f t="shared" si="284"/>
        <v>0</v>
      </c>
      <c r="GE257" s="14">
        <f t="shared" si="301"/>
        <v>245</v>
      </c>
      <c r="GF257" s="14" t="str">
        <f t="shared" si="285"/>
        <v>AtkExt</v>
      </c>
      <c r="GG257" s="14">
        <f t="shared" si="302"/>
        <v>945</v>
      </c>
      <c r="GH257" s="14">
        <f t="shared" si="303"/>
        <v>49</v>
      </c>
      <c r="GI257" s="14" t="str">
        <f t="shared" si="286"/>
        <v/>
      </c>
      <c r="GJ257" s="14" t="str">
        <f t="shared" si="304"/>
        <v/>
      </c>
      <c r="GK257" s="14" t="str">
        <f t="shared" si="305"/>
        <v/>
      </c>
      <c r="GL257" s="14">
        <f t="shared" si="287"/>
        <v>20730</v>
      </c>
      <c r="GM257" s="14">
        <f t="shared" si="306"/>
        <v>4</v>
      </c>
      <c r="GN257" s="14">
        <f t="shared" si="307"/>
        <v>1073</v>
      </c>
      <c r="GO257" s="25" t="s">
        <v>1471</v>
      </c>
      <c r="GP257" s="14">
        <f t="shared" si="288"/>
        <v>300</v>
      </c>
      <c r="HK257" s="13">
        <v>252</v>
      </c>
      <c r="HL257" s="14">
        <f t="shared" si="308"/>
        <v>11</v>
      </c>
      <c r="HM257" s="14">
        <f t="shared" si="309"/>
        <v>1</v>
      </c>
      <c r="HN257" s="14">
        <f t="shared" si="310"/>
        <v>11</v>
      </c>
      <c r="HO257" s="14">
        <f t="shared" si="311"/>
        <v>3</v>
      </c>
      <c r="HP257" s="14" t="str">
        <f t="shared" si="312"/>
        <v>150级寄灵人洗练-Q3-12</v>
      </c>
      <c r="HQ257" s="14">
        <f t="shared" si="313"/>
        <v>1113</v>
      </c>
      <c r="HR257" s="14">
        <f t="shared" si="314"/>
        <v>12</v>
      </c>
      <c r="HS257" s="14">
        <f t="shared" si="315"/>
        <v>500</v>
      </c>
      <c r="HT257" s="14" t="str">
        <f t="shared" si="316"/>
        <v>EffectResist</v>
      </c>
      <c r="HU257" s="14">
        <f t="shared" si="317"/>
        <v>1.7999999999999999E-2</v>
      </c>
      <c r="HV257" s="14">
        <f t="shared" si="318"/>
        <v>0.05</v>
      </c>
    </row>
    <row r="258" spans="151:230" ht="16.5" x14ac:dyDescent="0.2">
      <c r="EU258" s="13">
        <v>253</v>
      </c>
      <c r="EV258" s="14">
        <f t="shared" si="289"/>
        <v>1</v>
      </c>
      <c r="EW258" s="14">
        <f t="shared" si="290"/>
        <v>253</v>
      </c>
      <c r="EX258" s="14">
        <f t="shared" si="291"/>
        <v>34</v>
      </c>
      <c r="EY258" s="14">
        <f t="shared" si="266"/>
        <v>30</v>
      </c>
      <c r="EZ258" s="14">
        <f t="shared" si="267"/>
        <v>7</v>
      </c>
      <c r="FA258" s="14">
        <f t="shared" si="268"/>
        <v>110</v>
      </c>
      <c r="FB258" s="14">
        <f t="shared" si="269"/>
        <v>3</v>
      </c>
      <c r="FC258" s="14">
        <f t="shared" si="270"/>
        <v>2</v>
      </c>
      <c r="FD258" s="14">
        <f t="shared" si="271"/>
        <v>2</v>
      </c>
      <c r="FE258" s="14" t="b">
        <f t="shared" si="292"/>
        <v>0</v>
      </c>
      <c r="FF258" s="14">
        <f t="shared" si="272"/>
        <v>2007302</v>
      </c>
      <c r="FG258" s="13" t="str">
        <f t="shared" si="273"/>
        <v>110级-精良寄灵人の头盔</v>
      </c>
      <c r="FH258" s="14">
        <f t="shared" si="274"/>
        <v>1</v>
      </c>
      <c r="FI258" s="14">
        <f t="shared" si="275"/>
        <v>3</v>
      </c>
      <c r="FJ258" s="14">
        <f t="shared" si="276"/>
        <v>110</v>
      </c>
      <c r="FK258" s="14">
        <v>1</v>
      </c>
      <c r="FL258" s="14">
        <f t="shared" si="277"/>
        <v>7</v>
      </c>
      <c r="FM258" s="14">
        <f t="shared" si="293"/>
        <v>2</v>
      </c>
      <c r="FN258" s="14" t="str">
        <f t="shared" si="278"/>
        <v/>
      </c>
      <c r="FO258" s="14">
        <f t="shared" si="279"/>
        <v>120</v>
      </c>
      <c r="FP258" s="14">
        <f t="shared" si="294"/>
        <v>0</v>
      </c>
      <c r="FQ258" s="14">
        <f t="shared" si="295"/>
        <v>235</v>
      </c>
      <c r="FR258" s="14">
        <f t="shared" si="296"/>
        <v>0</v>
      </c>
      <c r="FS258" s="14">
        <f t="shared" si="297"/>
        <v>0</v>
      </c>
      <c r="FT258" s="14">
        <f t="shared" si="298"/>
        <v>12</v>
      </c>
      <c r="FU258" s="14">
        <f t="shared" si="299"/>
        <v>0</v>
      </c>
      <c r="FV258" s="14">
        <f t="shared" si="280"/>
        <v>1073</v>
      </c>
      <c r="FW258" s="14">
        <f t="shared" si="281"/>
        <v>4</v>
      </c>
      <c r="FX258" s="14">
        <f t="shared" si="282"/>
        <v>1073</v>
      </c>
      <c r="FY258" s="25" t="str">
        <f t="shared" si="300"/>
        <v>icon_2007102</v>
      </c>
      <c r="GC258" s="14">
        <f t="shared" si="283"/>
        <v>2</v>
      </c>
      <c r="GD258" s="14">
        <f t="shared" si="284"/>
        <v>0</v>
      </c>
      <c r="GE258" s="14">
        <f t="shared" si="301"/>
        <v>120</v>
      </c>
      <c r="GF258" s="14" t="str">
        <f t="shared" si="285"/>
        <v>DefExt</v>
      </c>
      <c r="GG258" s="14">
        <f t="shared" si="302"/>
        <v>235</v>
      </c>
      <c r="GH258" s="14">
        <f t="shared" si="303"/>
        <v>12</v>
      </c>
      <c r="GI258" s="14" t="str">
        <f t="shared" si="286"/>
        <v/>
      </c>
      <c r="GJ258" s="14" t="str">
        <f t="shared" si="304"/>
        <v/>
      </c>
      <c r="GK258" s="14" t="str">
        <f t="shared" si="305"/>
        <v/>
      </c>
      <c r="GL258" s="14">
        <f t="shared" si="287"/>
        <v>20730</v>
      </c>
      <c r="GM258" s="14">
        <f t="shared" si="306"/>
        <v>4</v>
      </c>
      <c r="GN258" s="14">
        <f t="shared" si="307"/>
        <v>1073</v>
      </c>
      <c r="GO258" s="25" t="s">
        <v>1471</v>
      </c>
      <c r="GP258" s="14">
        <f t="shared" si="288"/>
        <v>150</v>
      </c>
      <c r="HK258" s="13">
        <v>253</v>
      </c>
      <c r="HL258" s="14">
        <f t="shared" si="308"/>
        <v>11</v>
      </c>
      <c r="HM258" s="14">
        <f t="shared" si="309"/>
        <v>1</v>
      </c>
      <c r="HN258" s="14">
        <f t="shared" si="310"/>
        <v>11</v>
      </c>
      <c r="HO258" s="14">
        <f t="shared" si="311"/>
        <v>4</v>
      </c>
      <c r="HP258" s="14" t="str">
        <f t="shared" si="312"/>
        <v>150级寄灵人洗练-Q4-1</v>
      </c>
      <c r="HQ258" s="14">
        <f t="shared" si="313"/>
        <v>1114</v>
      </c>
      <c r="HR258" s="14">
        <f t="shared" si="314"/>
        <v>1</v>
      </c>
      <c r="HS258" s="14">
        <f t="shared" si="315"/>
        <v>1800</v>
      </c>
      <c r="HT258" s="14" t="str">
        <f t="shared" si="316"/>
        <v>AtkExt</v>
      </c>
      <c r="HU258" s="14">
        <f t="shared" si="317"/>
        <v>462</v>
      </c>
      <c r="HV258" s="14">
        <f t="shared" si="318"/>
        <v>1322</v>
      </c>
    </row>
    <row r="259" spans="151:230" ht="16.5" x14ac:dyDescent="0.2">
      <c r="EU259" s="13">
        <v>254</v>
      </c>
      <c r="EV259" s="14">
        <f t="shared" si="289"/>
        <v>1</v>
      </c>
      <c r="EW259" s="14">
        <f t="shared" si="290"/>
        <v>254</v>
      </c>
      <c r="EX259" s="14">
        <f t="shared" si="291"/>
        <v>34</v>
      </c>
      <c r="EY259" s="14">
        <f t="shared" si="266"/>
        <v>30</v>
      </c>
      <c r="EZ259" s="14">
        <f t="shared" si="267"/>
        <v>7</v>
      </c>
      <c r="FA259" s="14">
        <f t="shared" si="268"/>
        <v>110</v>
      </c>
      <c r="FB259" s="14">
        <f t="shared" si="269"/>
        <v>3</v>
      </c>
      <c r="FC259" s="14">
        <f t="shared" si="270"/>
        <v>3</v>
      </c>
      <c r="FD259" s="14">
        <f t="shared" si="271"/>
        <v>3</v>
      </c>
      <c r="FE259" s="14" t="b">
        <f t="shared" si="292"/>
        <v>0</v>
      </c>
      <c r="FF259" s="14">
        <f t="shared" si="272"/>
        <v>2007303</v>
      </c>
      <c r="FG259" s="13" t="str">
        <f t="shared" si="273"/>
        <v>110级-精良寄灵人の铠甲</v>
      </c>
      <c r="FH259" s="14">
        <f t="shared" si="274"/>
        <v>1</v>
      </c>
      <c r="FI259" s="14">
        <f t="shared" si="275"/>
        <v>3</v>
      </c>
      <c r="FJ259" s="14">
        <f t="shared" si="276"/>
        <v>110</v>
      </c>
      <c r="FK259" s="14">
        <v>1</v>
      </c>
      <c r="FL259" s="14">
        <f t="shared" si="277"/>
        <v>7</v>
      </c>
      <c r="FM259" s="14">
        <f t="shared" si="293"/>
        <v>3</v>
      </c>
      <c r="FN259" s="14" t="str">
        <f t="shared" si="278"/>
        <v/>
      </c>
      <c r="FO259" s="14">
        <f t="shared" si="279"/>
        <v>170</v>
      </c>
      <c r="FP259" s="14">
        <f t="shared" si="294"/>
        <v>0</v>
      </c>
      <c r="FQ259" s="14">
        <f t="shared" si="295"/>
        <v>120</v>
      </c>
      <c r="FR259" s="14">
        <f t="shared" si="296"/>
        <v>2125</v>
      </c>
      <c r="FS259" s="14">
        <f t="shared" si="297"/>
        <v>0</v>
      </c>
      <c r="FT259" s="14">
        <f t="shared" si="298"/>
        <v>6</v>
      </c>
      <c r="FU259" s="14">
        <f t="shared" si="299"/>
        <v>110</v>
      </c>
      <c r="FV259" s="14">
        <f t="shared" si="280"/>
        <v>1073</v>
      </c>
      <c r="FW259" s="14">
        <f t="shared" si="281"/>
        <v>4</v>
      </c>
      <c r="FX259" s="14">
        <f t="shared" si="282"/>
        <v>1073</v>
      </c>
      <c r="FY259" s="25" t="str">
        <f t="shared" si="300"/>
        <v>icon_2007103</v>
      </c>
      <c r="GC259" s="14">
        <f t="shared" si="283"/>
        <v>2</v>
      </c>
      <c r="GD259" s="14">
        <f t="shared" si="284"/>
        <v>3</v>
      </c>
      <c r="GE259" s="14">
        <f t="shared" si="301"/>
        <v>170</v>
      </c>
      <c r="GF259" s="14" t="str">
        <f t="shared" si="285"/>
        <v>DefExt</v>
      </c>
      <c r="GG259" s="14">
        <f t="shared" si="302"/>
        <v>120</v>
      </c>
      <c r="GH259" s="14">
        <f t="shared" si="303"/>
        <v>6</v>
      </c>
      <c r="GI259" s="14" t="str">
        <f t="shared" si="286"/>
        <v>HPExt</v>
      </c>
      <c r="GJ259" s="14">
        <f t="shared" si="304"/>
        <v>2125</v>
      </c>
      <c r="GK259" s="14">
        <f t="shared" si="305"/>
        <v>110</v>
      </c>
      <c r="GL259" s="14">
        <f t="shared" si="287"/>
        <v>20730</v>
      </c>
      <c r="GM259" s="14">
        <f t="shared" si="306"/>
        <v>4</v>
      </c>
      <c r="GN259" s="14">
        <f t="shared" si="307"/>
        <v>1073</v>
      </c>
      <c r="GO259" s="25" t="s">
        <v>1471</v>
      </c>
      <c r="GP259" s="14">
        <f t="shared" si="288"/>
        <v>150</v>
      </c>
      <c r="HK259" s="13">
        <v>254</v>
      </c>
      <c r="HL259" s="14">
        <f t="shared" si="308"/>
        <v>11</v>
      </c>
      <c r="HM259" s="14">
        <f t="shared" si="309"/>
        <v>1</v>
      </c>
      <c r="HN259" s="14">
        <f t="shared" si="310"/>
        <v>11</v>
      </c>
      <c r="HO259" s="14">
        <f t="shared" si="311"/>
        <v>4</v>
      </c>
      <c r="HP259" s="14" t="str">
        <f t="shared" si="312"/>
        <v>150级寄灵人洗练-Q4-2</v>
      </c>
      <c r="HQ259" s="14">
        <f t="shared" si="313"/>
        <v>1114</v>
      </c>
      <c r="HR259" s="14">
        <f t="shared" si="314"/>
        <v>2</v>
      </c>
      <c r="HS259" s="14">
        <f t="shared" si="315"/>
        <v>1800</v>
      </c>
      <c r="HT259" s="14" t="str">
        <f t="shared" si="316"/>
        <v>DefExt</v>
      </c>
      <c r="HU259" s="14">
        <f t="shared" si="317"/>
        <v>170</v>
      </c>
      <c r="HV259" s="14">
        <f t="shared" si="318"/>
        <v>486</v>
      </c>
    </row>
    <row r="260" spans="151:230" ht="16.5" x14ac:dyDescent="0.2">
      <c r="EU260" s="13">
        <v>255</v>
      </c>
      <c r="EV260" s="14">
        <f t="shared" si="289"/>
        <v>1</v>
      </c>
      <c r="EW260" s="14">
        <f t="shared" si="290"/>
        <v>255</v>
      </c>
      <c r="EX260" s="14">
        <f t="shared" si="291"/>
        <v>34</v>
      </c>
      <c r="EY260" s="14">
        <f t="shared" si="266"/>
        <v>30</v>
      </c>
      <c r="EZ260" s="14">
        <f t="shared" si="267"/>
        <v>7</v>
      </c>
      <c r="FA260" s="14">
        <f t="shared" si="268"/>
        <v>110</v>
      </c>
      <c r="FB260" s="14">
        <f t="shared" si="269"/>
        <v>3</v>
      </c>
      <c r="FC260" s="14">
        <f t="shared" si="270"/>
        <v>4</v>
      </c>
      <c r="FD260" s="14">
        <f t="shared" si="271"/>
        <v>4</v>
      </c>
      <c r="FE260" s="14" t="b">
        <f t="shared" si="292"/>
        <v>0</v>
      </c>
      <c r="FF260" s="14">
        <f t="shared" si="272"/>
        <v>2007304</v>
      </c>
      <c r="FG260" s="13" t="str">
        <f t="shared" si="273"/>
        <v>110级-精良寄灵人の裤子</v>
      </c>
      <c r="FH260" s="14">
        <f t="shared" si="274"/>
        <v>1</v>
      </c>
      <c r="FI260" s="14">
        <f t="shared" si="275"/>
        <v>3</v>
      </c>
      <c r="FJ260" s="14">
        <f t="shared" si="276"/>
        <v>110</v>
      </c>
      <c r="FK260" s="14">
        <v>1</v>
      </c>
      <c r="FL260" s="14">
        <f t="shared" si="277"/>
        <v>7</v>
      </c>
      <c r="FM260" s="14">
        <f t="shared" si="293"/>
        <v>4</v>
      </c>
      <c r="FN260" s="14" t="str">
        <f t="shared" si="278"/>
        <v/>
      </c>
      <c r="FO260" s="14">
        <f t="shared" si="279"/>
        <v>120</v>
      </c>
      <c r="FP260" s="14">
        <f t="shared" si="294"/>
        <v>0</v>
      </c>
      <c r="FQ260" s="14">
        <f t="shared" si="295"/>
        <v>235</v>
      </c>
      <c r="FR260" s="14">
        <f t="shared" si="296"/>
        <v>0</v>
      </c>
      <c r="FS260" s="14">
        <f t="shared" si="297"/>
        <v>0</v>
      </c>
      <c r="FT260" s="14">
        <f t="shared" si="298"/>
        <v>12</v>
      </c>
      <c r="FU260" s="14">
        <f t="shared" si="299"/>
        <v>0</v>
      </c>
      <c r="FV260" s="14">
        <f t="shared" si="280"/>
        <v>1073</v>
      </c>
      <c r="FW260" s="14">
        <f t="shared" si="281"/>
        <v>4</v>
      </c>
      <c r="FX260" s="14">
        <f t="shared" si="282"/>
        <v>1073</v>
      </c>
      <c r="FY260" s="25" t="str">
        <f t="shared" si="300"/>
        <v>icon_2007104</v>
      </c>
      <c r="GC260" s="14">
        <f t="shared" si="283"/>
        <v>2</v>
      </c>
      <c r="GD260" s="14">
        <f t="shared" si="284"/>
        <v>0</v>
      </c>
      <c r="GE260" s="14">
        <f t="shared" si="301"/>
        <v>120</v>
      </c>
      <c r="GF260" s="14" t="str">
        <f t="shared" si="285"/>
        <v>DefExt</v>
      </c>
      <c r="GG260" s="14">
        <f t="shared" si="302"/>
        <v>235</v>
      </c>
      <c r="GH260" s="14">
        <f t="shared" si="303"/>
        <v>12</v>
      </c>
      <c r="GI260" s="14" t="str">
        <f t="shared" si="286"/>
        <v/>
      </c>
      <c r="GJ260" s="14" t="str">
        <f t="shared" si="304"/>
        <v/>
      </c>
      <c r="GK260" s="14" t="str">
        <f t="shared" si="305"/>
        <v/>
      </c>
      <c r="GL260" s="14">
        <f t="shared" si="287"/>
        <v>20730</v>
      </c>
      <c r="GM260" s="14">
        <f t="shared" si="306"/>
        <v>4</v>
      </c>
      <c r="GN260" s="14">
        <f t="shared" si="307"/>
        <v>1073</v>
      </c>
      <c r="GO260" s="25" t="s">
        <v>1471</v>
      </c>
      <c r="GP260" s="14">
        <f t="shared" si="288"/>
        <v>150</v>
      </c>
      <c r="HK260" s="13">
        <v>255</v>
      </c>
      <c r="HL260" s="14">
        <f t="shared" si="308"/>
        <v>11</v>
      </c>
      <c r="HM260" s="14">
        <f t="shared" si="309"/>
        <v>1</v>
      </c>
      <c r="HN260" s="14">
        <f t="shared" si="310"/>
        <v>11</v>
      </c>
      <c r="HO260" s="14">
        <f t="shared" si="311"/>
        <v>4</v>
      </c>
      <c r="HP260" s="14" t="str">
        <f t="shared" si="312"/>
        <v>150级寄灵人洗练-Q4-3</v>
      </c>
      <c r="HQ260" s="14">
        <f t="shared" si="313"/>
        <v>1114</v>
      </c>
      <c r="HR260" s="14">
        <f t="shared" si="314"/>
        <v>3</v>
      </c>
      <c r="HS260" s="14">
        <f t="shared" si="315"/>
        <v>2000</v>
      </c>
      <c r="HT260" s="14" t="str">
        <f t="shared" si="316"/>
        <v>HPExt</v>
      </c>
      <c r="HU260" s="14">
        <f t="shared" si="317"/>
        <v>4455</v>
      </c>
      <c r="HV260" s="14">
        <f t="shared" si="318"/>
        <v>12731</v>
      </c>
    </row>
    <row r="261" spans="151:230" ht="16.5" x14ac:dyDescent="0.2">
      <c r="EU261" s="13">
        <v>256</v>
      </c>
      <c r="EV261" s="14">
        <f t="shared" si="289"/>
        <v>1</v>
      </c>
      <c r="EW261" s="14">
        <f t="shared" si="290"/>
        <v>256</v>
      </c>
      <c r="EX261" s="14">
        <f t="shared" si="291"/>
        <v>34</v>
      </c>
      <c r="EY261" s="14">
        <f t="shared" si="266"/>
        <v>30</v>
      </c>
      <c r="EZ261" s="14">
        <f t="shared" si="267"/>
        <v>7</v>
      </c>
      <c r="FA261" s="14">
        <f t="shared" si="268"/>
        <v>110</v>
      </c>
      <c r="FB261" s="14">
        <f t="shared" si="269"/>
        <v>3</v>
      </c>
      <c r="FC261" s="14">
        <f t="shared" si="270"/>
        <v>5</v>
      </c>
      <c r="FD261" s="14">
        <f t="shared" si="271"/>
        <v>5</v>
      </c>
      <c r="FE261" s="14" t="b">
        <f t="shared" si="292"/>
        <v>0</v>
      </c>
      <c r="FF261" s="14">
        <f t="shared" si="272"/>
        <v>2007305</v>
      </c>
      <c r="FG261" s="13" t="str">
        <f t="shared" si="273"/>
        <v>110级-精良寄灵人の鞋子</v>
      </c>
      <c r="FH261" s="14">
        <f t="shared" si="274"/>
        <v>1</v>
      </c>
      <c r="FI261" s="14">
        <f t="shared" si="275"/>
        <v>3</v>
      </c>
      <c r="FJ261" s="14">
        <f t="shared" si="276"/>
        <v>110</v>
      </c>
      <c r="FK261" s="14">
        <v>1</v>
      </c>
      <c r="FL261" s="14">
        <f t="shared" si="277"/>
        <v>7</v>
      </c>
      <c r="FM261" s="14">
        <f t="shared" si="293"/>
        <v>5</v>
      </c>
      <c r="FN261" s="14" t="str">
        <f t="shared" si="278"/>
        <v/>
      </c>
      <c r="FO261" s="14">
        <f t="shared" si="279"/>
        <v>219</v>
      </c>
      <c r="FP261" s="14">
        <f t="shared" si="294"/>
        <v>0</v>
      </c>
      <c r="FQ261" s="14">
        <f t="shared" si="295"/>
        <v>0</v>
      </c>
      <c r="FR261" s="14">
        <f t="shared" si="296"/>
        <v>4255</v>
      </c>
      <c r="FS261" s="14">
        <f t="shared" si="297"/>
        <v>0</v>
      </c>
      <c r="FT261" s="14">
        <f t="shared" si="298"/>
        <v>0</v>
      </c>
      <c r="FU261" s="14">
        <f t="shared" si="299"/>
        <v>219</v>
      </c>
      <c r="FV261" s="14">
        <f t="shared" si="280"/>
        <v>1073</v>
      </c>
      <c r="FW261" s="14">
        <f t="shared" si="281"/>
        <v>4</v>
      </c>
      <c r="FX261" s="14">
        <f t="shared" si="282"/>
        <v>1073</v>
      </c>
      <c r="FY261" s="25" t="str">
        <f t="shared" si="300"/>
        <v>icon_2007105</v>
      </c>
      <c r="GC261" s="14">
        <f t="shared" si="283"/>
        <v>3</v>
      </c>
      <c r="GD261" s="14">
        <f t="shared" si="284"/>
        <v>0</v>
      </c>
      <c r="GE261" s="14">
        <f t="shared" si="301"/>
        <v>219</v>
      </c>
      <c r="GF261" s="14" t="str">
        <f t="shared" si="285"/>
        <v>HPExt</v>
      </c>
      <c r="GG261" s="14">
        <f t="shared" si="302"/>
        <v>4255</v>
      </c>
      <c r="GH261" s="14">
        <f t="shared" si="303"/>
        <v>219</v>
      </c>
      <c r="GI261" s="14" t="str">
        <f t="shared" si="286"/>
        <v/>
      </c>
      <c r="GJ261" s="14" t="str">
        <f t="shared" si="304"/>
        <v/>
      </c>
      <c r="GK261" s="14" t="str">
        <f t="shared" si="305"/>
        <v/>
      </c>
      <c r="GL261" s="14">
        <f t="shared" si="287"/>
        <v>20730</v>
      </c>
      <c r="GM261" s="14">
        <f t="shared" si="306"/>
        <v>4</v>
      </c>
      <c r="GN261" s="14">
        <f t="shared" si="307"/>
        <v>1073</v>
      </c>
      <c r="GO261" s="25" t="s">
        <v>1471</v>
      </c>
      <c r="GP261" s="14">
        <f t="shared" si="288"/>
        <v>150</v>
      </c>
      <c r="HK261" s="13">
        <v>256</v>
      </c>
      <c r="HL261" s="14">
        <f t="shared" si="308"/>
        <v>11</v>
      </c>
      <c r="HM261" s="14">
        <f t="shared" si="309"/>
        <v>1</v>
      </c>
      <c r="HN261" s="14">
        <f t="shared" si="310"/>
        <v>11</v>
      </c>
      <c r="HO261" s="14">
        <f t="shared" si="311"/>
        <v>4</v>
      </c>
      <c r="HP261" s="14" t="str">
        <f t="shared" si="312"/>
        <v>150级寄灵人洗练-Q4-4</v>
      </c>
      <c r="HQ261" s="14">
        <f t="shared" si="313"/>
        <v>1114</v>
      </c>
      <c r="HR261" s="14">
        <f t="shared" si="314"/>
        <v>4</v>
      </c>
      <c r="HS261" s="14">
        <f t="shared" si="315"/>
        <v>500</v>
      </c>
      <c r="HT261" s="14" t="str">
        <f t="shared" si="316"/>
        <v>AtkRate</v>
      </c>
      <c r="HU261" s="14">
        <f t="shared" si="317"/>
        <v>1.4E-2</v>
      </c>
      <c r="HV261" s="14">
        <f t="shared" si="318"/>
        <v>0.04</v>
      </c>
    </row>
    <row r="262" spans="151:230" ht="16.5" x14ac:dyDescent="0.2">
      <c r="EU262" s="13">
        <v>257</v>
      </c>
      <c r="EV262" s="14">
        <f t="shared" si="289"/>
        <v>1</v>
      </c>
      <c r="EW262" s="14">
        <f t="shared" si="290"/>
        <v>257</v>
      </c>
      <c r="EX262" s="14">
        <f t="shared" si="291"/>
        <v>34</v>
      </c>
      <c r="EY262" s="14">
        <f t="shared" ref="EY262:EY325" si="319">INDEX($AK$7:$AK$64,EX262)</f>
        <v>30</v>
      </c>
      <c r="EZ262" s="14">
        <f t="shared" ref="EZ262:EZ325" si="320">(EV262-1)*$EX$3+FL262</f>
        <v>7</v>
      </c>
      <c r="FA262" s="14">
        <f t="shared" ref="FA262:FA325" si="321">INDEX(AI$7:AI$64,$EX262)</f>
        <v>110</v>
      </c>
      <c r="FB262" s="14">
        <f t="shared" ref="FB262:FB325" si="322">INDEX(AJ$7:AJ$64,$EX262)</f>
        <v>3</v>
      </c>
      <c r="FC262" s="14">
        <f t="shared" ref="FC262:FC325" si="323">EW262-INDEX($AQ$6:$AQ$64,EX262)</f>
        <v>6</v>
      </c>
      <c r="FD262" s="14">
        <f t="shared" ref="FD262:FD325" si="324">INDEX($AR$7:$AY$64,EX262,EW262-INDEX($AQ$6:$AQ$64,EX262))</f>
        <v>6</v>
      </c>
      <c r="FE262" s="14" t="b">
        <f t="shared" si="292"/>
        <v>0</v>
      </c>
      <c r="FF262" s="14">
        <f t="shared" ref="FF262:FF325" si="325">INDEX($AN$7:$AN$64,EX262)*10+FD262+(EV262-1)*100000+2000000</f>
        <v>2007306</v>
      </c>
      <c r="FG262" s="13" t="str">
        <f t="shared" ref="FG262:FG325" si="326">INDEX($AL$7:$AL$64,EX262)&amp;"-"&amp;INDEX($AM$7:$AM$64,EX262)&amp;INDEX($BC$6:$BC$7,EV262)&amp;INDEX($AR$3:$AY$3,FD262)</f>
        <v>110级-精良寄灵人の护手</v>
      </c>
      <c r="FH262" s="14">
        <f t="shared" ref="FH262:FH325" si="327">EV262</f>
        <v>1</v>
      </c>
      <c r="FI262" s="14">
        <f t="shared" ref="FI262:FI325" si="328">INDEX($AJ$7:$AJ$64,EX262)</f>
        <v>3</v>
      </c>
      <c r="FJ262" s="14">
        <f t="shared" ref="FJ262:FJ325" si="329">INDEX($AI$7:$AI$64,EX262)</f>
        <v>110</v>
      </c>
      <c r="FK262" s="14">
        <v>1</v>
      </c>
      <c r="FL262" s="14">
        <f t="shared" ref="FL262:FL325" si="330">INDEX(AH$7:AH$64,$EX262)</f>
        <v>7</v>
      </c>
      <c r="FM262" s="14">
        <f t="shared" si="293"/>
        <v>6</v>
      </c>
      <c r="FN262" s="14" t="str">
        <f t="shared" ref="FN262:FN325" si="331">IF(INDEX($AO$7:$AO$64,EX262)&gt;0,INDEX($AO$7:$AO$64,EX262) + (EV262-1)*10000+200000,"")</f>
        <v/>
      </c>
      <c r="FO262" s="14">
        <f t="shared" ref="FO262:FO325" si="332">INT(SUMPRODUCT($FS$3:$FU$3,FS262:FU262)*IF(FN262="",1,1.5))</f>
        <v>219</v>
      </c>
      <c r="FP262" s="14">
        <f t="shared" si="294"/>
        <v>0</v>
      </c>
      <c r="FQ262" s="14">
        <f t="shared" si="295"/>
        <v>0</v>
      </c>
      <c r="FR262" s="14">
        <f t="shared" si="296"/>
        <v>4255</v>
      </c>
      <c r="FS262" s="14">
        <f t="shared" si="297"/>
        <v>0</v>
      </c>
      <c r="FT262" s="14">
        <f t="shared" si="298"/>
        <v>0</v>
      </c>
      <c r="FU262" s="14">
        <f t="shared" si="299"/>
        <v>219</v>
      </c>
      <c r="FV262" s="14">
        <f t="shared" ref="FV262:FV325" si="333">FL262*10+FB262+EV262*1000</f>
        <v>1073</v>
      </c>
      <c r="FW262" s="14">
        <f t="shared" ref="FW262:FW325" si="334">INDEX($V$17:$Y$27,FL262,FB262)</f>
        <v>4</v>
      </c>
      <c r="FX262" s="14">
        <f t="shared" ref="FX262:FX325" si="335">IF(FB262&gt;2,FL262*10+FB262+EV262*1000,"")</f>
        <v>1073</v>
      </c>
      <c r="FY262" s="25" t="str">
        <f t="shared" si="300"/>
        <v>icon_2007106</v>
      </c>
      <c r="GC262" s="14">
        <f t="shared" ref="GC262:GC325" si="336">INDEX(BL$6:BL$13,$FM262)</f>
        <v>3</v>
      </c>
      <c r="GD262" s="14">
        <f t="shared" ref="GD262:GD325" si="337">INDEX(BM$6:BM$13,$FM262)</f>
        <v>0</v>
      </c>
      <c r="GE262" s="14">
        <f t="shared" si="301"/>
        <v>219</v>
      </c>
      <c r="GF262" s="14" t="str">
        <f t="shared" ref="GF262:GF325" si="338">INDEX($BH$3:$BJ$3,GC262)</f>
        <v>HPExt</v>
      </c>
      <c r="GG262" s="14">
        <f t="shared" si="302"/>
        <v>4255</v>
      </c>
      <c r="GH262" s="14">
        <f t="shared" si="303"/>
        <v>219</v>
      </c>
      <c r="GI262" s="14" t="str">
        <f t="shared" ref="GI262:GI325" si="339">IF(GD262&gt;0,INDEX($BH$3:$BJ$3,GD262),"")</f>
        <v/>
      </c>
      <c r="GJ262" s="14" t="str">
        <f t="shared" si="304"/>
        <v/>
      </c>
      <c r="GK262" s="14" t="str">
        <f t="shared" si="305"/>
        <v/>
      </c>
      <c r="GL262" s="14">
        <f t="shared" ref="GL262:GL325" si="340">20000+FL262*100+FB262*10</f>
        <v>20730</v>
      </c>
      <c r="GM262" s="14">
        <f t="shared" si="306"/>
        <v>4</v>
      </c>
      <c r="GN262" s="14">
        <f t="shared" si="307"/>
        <v>1073</v>
      </c>
      <c r="GO262" s="25" t="s">
        <v>1471</v>
      </c>
      <c r="GP262" s="14">
        <f t="shared" ref="GP262:GP325" si="341">ROUND(INDEX($AA$17:$AD$27,FL262,FB262)*INDEX($BK$6:$BK$13,FM262),0)</f>
        <v>150</v>
      </c>
      <c r="HK262" s="13">
        <v>257</v>
      </c>
      <c r="HL262" s="14">
        <f t="shared" si="308"/>
        <v>11</v>
      </c>
      <c r="HM262" s="14">
        <f t="shared" si="309"/>
        <v>1</v>
      </c>
      <c r="HN262" s="14">
        <f t="shared" si="310"/>
        <v>11</v>
      </c>
      <c r="HO262" s="14">
        <f t="shared" si="311"/>
        <v>4</v>
      </c>
      <c r="HP262" s="14" t="str">
        <f t="shared" si="312"/>
        <v>150级寄灵人洗练-Q4-5</v>
      </c>
      <c r="HQ262" s="14">
        <f t="shared" si="313"/>
        <v>1114</v>
      </c>
      <c r="HR262" s="14">
        <f t="shared" si="314"/>
        <v>5</v>
      </c>
      <c r="HS262" s="14">
        <f t="shared" si="315"/>
        <v>400</v>
      </c>
      <c r="HT262" s="14" t="str">
        <f t="shared" si="316"/>
        <v>DefRate</v>
      </c>
      <c r="HU262" s="14">
        <f t="shared" si="317"/>
        <v>1.4E-2</v>
      </c>
      <c r="HV262" s="14">
        <f t="shared" si="318"/>
        <v>0.04</v>
      </c>
    </row>
    <row r="263" spans="151:230" ht="16.5" x14ac:dyDescent="0.2">
      <c r="EU263" s="13">
        <v>258</v>
      </c>
      <c r="EV263" s="14">
        <f t="shared" ref="EV263:EV326" si="342">IF(EU263&lt;=$EV$3,1,2)</f>
        <v>1</v>
      </c>
      <c r="EW263" s="14">
        <f t="shared" ref="EW263:EW326" si="343">MOD(EU263-1,$EV$3)+1</f>
        <v>258</v>
      </c>
      <c r="EX263" s="14">
        <f t="shared" ref="EX263:EX326" si="344">MATCH(EW263-1,$AQ$6:$AQ$64,1)</f>
        <v>34</v>
      </c>
      <c r="EY263" s="14">
        <f t="shared" si="319"/>
        <v>30</v>
      </c>
      <c r="EZ263" s="14">
        <f t="shared" si="320"/>
        <v>7</v>
      </c>
      <c r="FA263" s="14">
        <f t="shared" si="321"/>
        <v>110</v>
      </c>
      <c r="FB263" s="14">
        <f t="shared" si="322"/>
        <v>3</v>
      </c>
      <c r="FC263" s="14">
        <f t="shared" si="323"/>
        <v>7</v>
      </c>
      <c r="FD263" s="14">
        <f t="shared" si="324"/>
        <v>7</v>
      </c>
      <c r="FE263" s="14" t="b">
        <f t="shared" ref="FE263:FE326" si="345">IF(FN263="",FALSE,TRUE)</f>
        <v>0</v>
      </c>
      <c r="FF263" s="14">
        <f t="shared" si="325"/>
        <v>2007307</v>
      </c>
      <c r="FG263" s="13" t="str">
        <f t="shared" si="326"/>
        <v>110级-精良寄灵人の项链</v>
      </c>
      <c r="FH263" s="14">
        <f t="shared" si="327"/>
        <v>1</v>
      </c>
      <c r="FI263" s="14">
        <f t="shared" si="328"/>
        <v>3</v>
      </c>
      <c r="FJ263" s="14">
        <f t="shared" si="329"/>
        <v>110</v>
      </c>
      <c r="FK263" s="14">
        <v>1</v>
      </c>
      <c r="FL263" s="14">
        <f t="shared" si="330"/>
        <v>7</v>
      </c>
      <c r="FM263" s="14">
        <f t="shared" ref="FM263:FM326" si="346">FD263</f>
        <v>7</v>
      </c>
      <c r="FN263" s="14" t="str">
        <f t="shared" si="331"/>
        <v/>
      </c>
      <c r="FO263" s="14">
        <f t="shared" si="332"/>
        <v>180</v>
      </c>
      <c r="FP263" s="14">
        <f t="shared" ref="FP263:FP326" si="347">ROUND(INDEX(M$6:M$27,$EZ263)*INDEX(BH$6:BH$13,$FD263)*INDEX($BR$6:$BR$9,FI263)/5,0)*5</f>
        <v>315</v>
      </c>
      <c r="FQ263" s="14">
        <f t="shared" ref="FQ263:FQ326" si="348">ROUND(INDEX(N$6:N$27,$EZ263)*INDEX(BI$6:BI$13,$FD263)*INDEX($BR$6:$BR$9,FI263)/5,0)*5</f>
        <v>200</v>
      </c>
      <c r="FR263" s="14">
        <f t="shared" ref="FR263:FR326" si="349">ROUND(INDEX(O$6:O$27,$EZ263)*INDEX(BJ$6:BJ$13,$FD263)*INDEX($BR$6:$BR$9,FI263)/5,0)*5</f>
        <v>0</v>
      </c>
      <c r="FS263" s="14">
        <f t="shared" ref="FS263:FS326" si="350">ROUND(INDEX(S$6:S$27,$EZ263)*INDEX(BH$6:BH$13,$FD263)*INDEX($BR$6:$BR$9,FI263),0)</f>
        <v>16</v>
      </c>
      <c r="FT263" s="14">
        <f t="shared" ref="FT263:FT326" si="351">ROUND(INDEX(T$6:T$27,$EZ263)*INDEX(BI$6:BI$13,$FD263)*INDEX($BR$6:$BR$9,FI263),0)</f>
        <v>10</v>
      </c>
      <c r="FU263" s="14">
        <f t="shared" ref="FU263:FU326" si="352">ROUND(INDEX(U$6:U$27,$EZ263)*INDEX(BJ$6:BJ$13,$FD263)*INDEX($BR$6:$BR$9,FI263),0)</f>
        <v>0</v>
      </c>
      <c r="FV263" s="14">
        <f t="shared" si="333"/>
        <v>1073</v>
      </c>
      <c r="FW263" s="14">
        <f t="shared" si="334"/>
        <v>4</v>
      </c>
      <c r="FX263" s="14">
        <f t="shared" si="335"/>
        <v>1073</v>
      </c>
      <c r="FY263" s="25" t="str">
        <f t="shared" ref="FY263:FY326" si="353">IF(FE263,"icon_"&amp;FF263,FY$2&amp;INDEX($ES$6:$ES$7,EV263)*100000+FL263*1000+100+FD263)</f>
        <v>icon_2007107</v>
      </c>
      <c r="GC263" s="14">
        <f t="shared" si="336"/>
        <v>1</v>
      </c>
      <c r="GD263" s="14">
        <f t="shared" si="337"/>
        <v>2</v>
      </c>
      <c r="GE263" s="14">
        <f t="shared" ref="GE263:GE326" si="354">FO263</f>
        <v>180</v>
      </c>
      <c r="GF263" s="14" t="str">
        <f t="shared" si="338"/>
        <v>AtkExt</v>
      </c>
      <c r="GG263" s="14">
        <f t="shared" ref="GG263:GG326" si="355">INDEX(FP263:FR263,GC263)</f>
        <v>315</v>
      </c>
      <c r="GH263" s="14">
        <f t="shared" ref="GH263:GH326" si="356">INDEX(FS263:FU263,GC263)</f>
        <v>16</v>
      </c>
      <c r="GI263" s="14" t="str">
        <f t="shared" si="339"/>
        <v>DefExt</v>
      </c>
      <c r="GJ263" s="14">
        <f t="shared" ref="GJ263:GJ326" si="357">IF(GD263&gt;0,INDEX(FP263:FR263,GD263),"")</f>
        <v>200</v>
      </c>
      <c r="GK263" s="14">
        <f t="shared" ref="GK263:GK326" si="358">IF(GD263&gt;0,INDEX(FS263:FU263,GD263),"")</f>
        <v>10</v>
      </c>
      <c r="GL263" s="14">
        <f t="shared" si="340"/>
        <v>20730</v>
      </c>
      <c r="GM263" s="14">
        <f t="shared" ref="GM263:GM326" si="359">FW263</f>
        <v>4</v>
      </c>
      <c r="GN263" s="14">
        <f t="shared" ref="GN263:GN326" si="360">FX263</f>
        <v>1073</v>
      </c>
      <c r="GO263" s="25" t="s">
        <v>1471</v>
      </c>
      <c r="GP263" s="14">
        <f t="shared" si="341"/>
        <v>225</v>
      </c>
      <c r="HK263" s="13">
        <v>258</v>
      </c>
      <c r="HL263" s="14">
        <f t="shared" ref="HL263:HL326" si="361">INT((HK263-1)/24)+1</f>
        <v>11</v>
      </c>
      <c r="HM263" s="14">
        <f t="shared" ref="HM263:HM326" si="362">IF(HL263&gt;11,2,1)</f>
        <v>1</v>
      </c>
      <c r="HN263" s="14">
        <f t="shared" ref="HN263:HN326" si="363">HL263-(HM263-1)*11</f>
        <v>11</v>
      </c>
      <c r="HO263" s="14">
        <f t="shared" ref="HO263:HO326" si="364">IF(MOD(HK263-1,24)&gt;=12,4,3)</f>
        <v>4</v>
      </c>
      <c r="HP263" s="14" t="str">
        <f t="shared" ref="HP263:HP326" si="365">INDEX($DU$6:$DU$27,HL263)&amp;"洗练-Q"&amp;HO263&amp;"-"&amp;HR263</f>
        <v>150级寄灵人洗练-Q4-6</v>
      </c>
      <c r="HQ263" s="14">
        <f t="shared" ref="HQ263:HQ326" si="366">HM263*1000+HN263*10+HO263</f>
        <v>1114</v>
      </c>
      <c r="HR263" s="14">
        <f t="shared" ref="HR263:HR326" si="367">MOD(HK263-1,12)+1</f>
        <v>6</v>
      </c>
      <c r="HS263" s="14">
        <f t="shared" ref="HS263:HS326" si="368">INDEX($DY$3:$EJ$3,HR263)</f>
        <v>500</v>
      </c>
      <c r="HT263" s="14" t="str">
        <f t="shared" ref="HT263:HT326" si="369">INDEX($DY$4:$EJ$4,HR263)</f>
        <v>HPRate</v>
      </c>
      <c r="HU263" s="14">
        <f t="shared" ref="HU263:HU326" si="370">IF(HV263&gt;1,INT(HV263*0.35),ROUND(HV263*0.35,3))</f>
        <v>1.4E-2</v>
      </c>
      <c r="HV263" s="14">
        <f t="shared" ref="HV263:HV326" si="371">INDEX($DY$6:$EJ$27,HL263,HR263)</f>
        <v>0.04</v>
      </c>
    </row>
    <row r="264" spans="151:230" ht="16.5" x14ac:dyDescent="0.2">
      <c r="EU264" s="13">
        <v>259</v>
      </c>
      <c r="EV264" s="14">
        <f t="shared" si="342"/>
        <v>1</v>
      </c>
      <c r="EW264" s="14">
        <f t="shared" si="343"/>
        <v>259</v>
      </c>
      <c r="EX264" s="14">
        <f t="shared" si="344"/>
        <v>34</v>
      </c>
      <c r="EY264" s="14">
        <f t="shared" si="319"/>
        <v>30</v>
      </c>
      <c r="EZ264" s="14">
        <f t="shared" si="320"/>
        <v>7</v>
      </c>
      <c r="FA264" s="14">
        <f t="shared" si="321"/>
        <v>110</v>
      </c>
      <c r="FB264" s="14">
        <f t="shared" si="322"/>
        <v>3</v>
      </c>
      <c r="FC264" s="14">
        <f t="shared" si="323"/>
        <v>8</v>
      </c>
      <c r="FD264" s="14">
        <f t="shared" si="324"/>
        <v>8</v>
      </c>
      <c r="FE264" s="14" t="b">
        <f t="shared" si="345"/>
        <v>0</v>
      </c>
      <c r="FF264" s="14">
        <f t="shared" si="325"/>
        <v>2007308</v>
      </c>
      <c r="FG264" s="13" t="str">
        <f t="shared" si="326"/>
        <v>110级-精良寄灵人の戒指</v>
      </c>
      <c r="FH264" s="14">
        <f t="shared" si="327"/>
        <v>1</v>
      </c>
      <c r="FI264" s="14">
        <f t="shared" si="328"/>
        <v>3</v>
      </c>
      <c r="FJ264" s="14">
        <f t="shared" si="329"/>
        <v>110</v>
      </c>
      <c r="FK264" s="14">
        <v>1</v>
      </c>
      <c r="FL264" s="14">
        <f t="shared" si="330"/>
        <v>7</v>
      </c>
      <c r="FM264" s="14">
        <f t="shared" si="346"/>
        <v>8</v>
      </c>
      <c r="FN264" s="14" t="str">
        <f t="shared" si="331"/>
        <v/>
      </c>
      <c r="FO264" s="14">
        <f t="shared" si="332"/>
        <v>263</v>
      </c>
      <c r="FP264" s="14">
        <f t="shared" si="347"/>
        <v>315</v>
      </c>
      <c r="FQ264" s="14">
        <f t="shared" si="348"/>
        <v>0</v>
      </c>
      <c r="FR264" s="14">
        <f t="shared" si="349"/>
        <v>3545</v>
      </c>
      <c r="FS264" s="14">
        <f t="shared" si="350"/>
        <v>16</v>
      </c>
      <c r="FT264" s="14">
        <f t="shared" si="351"/>
        <v>0</v>
      </c>
      <c r="FU264" s="14">
        <f t="shared" si="352"/>
        <v>183</v>
      </c>
      <c r="FV264" s="14">
        <f t="shared" si="333"/>
        <v>1073</v>
      </c>
      <c r="FW264" s="14">
        <f t="shared" si="334"/>
        <v>4</v>
      </c>
      <c r="FX264" s="14">
        <f t="shared" si="335"/>
        <v>1073</v>
      </c>
      <c r="FY264" s="25" t="str">
        <f t="shared" si="353"/>
        <v>icon_2007108</v>
      </c>
      <c r="GC264" s="14">
        <f t="shared" si="336"/>
        <v>1</v>
      </c>
      <c r="GD264" s="14">
        <f t="shared" si="337"/>
        <v>3</v>
      </c>
      <c r="GE264" s="14">
        <f t="shared" si="354"/>
        <v>263</v>
      </c>
      <c r="GF264" s="14" t="str">
        <f t="shared" si="338"/>
        <v>AtkExt</v>
      </c>
      <c r="GG264" s="14">
        <f t="shared" si="355"/>
        <v>315</v>
      </c>
      <c r="GH264" s="14">
        <f t="shared" si="356"/>
        <v>16</v>
      </c>
      <c r="GI264" s="14" t="str">
        <f t="shared" si="339"/>
        <v>HPExt</v>
      </c>
      <c r="GJ264" s="14">
        <f t="shared" si="357"/>
        <v>3545</v>
      </c>
      <c r="GK264" s="14">
        <f t="shared" si="358"/>
        <v>183</v>
      </c>
      <c r="GL264" s="14">
        <f t="shared" si="340"/>
        <v>20730</v>
      </c>
      <c r="GM264" s="14">
        <f t="shared" si="359"/>
        <v>4</v>
      </c>
      <c r="GN264" s="14">
        <f t="shared" si="360"/>
        <v>1073</v>
      </c>
      <c r="GO264" s="25" t="s">
        <v>1471</v>
      </c>
      <c r="GP264" s="14">
        <f t="shared" si="341"/>
        <v>225</v>
      </c>
      <c r="HK264" s="13">
        <v>259</v>
      </c>
      <c r="HL264" s="14">
        <f t="shared" si="361"/>
        <v>11</v>
      </c>
      <c r="HM264" s="14">
        <f t="shared" si="362"/>
        <v>1</v>
      </c>
      <c r="HN264" s="14">
        <f t="shared" si="363"/>
        <v>11</v>
      </c>
      <c r="HO264" s="14">
        <f t="shared" si="364"/>
        <v>4</v>
      </c>
      <c r="HP264" s="14" t="str">
        <f t="shared" si="365"/>
        <v>150级寄灵人洗练-Q4-7</v>
      </c>
      <c r="HQ264" s="14">
        <f t="shared" si="366"/>
        <v>1114</v>
      </c>
      <c r="HR264" s="14">
        <f t="shared" si="367"/>
        <v>7</v>
      </c>
      <c r="HS264" s="14">
        <f t="shared" si="368"/>
        <v>500</v>
      </c>
      <c r="HT264" s="14" t="str">
        <f t="shared" si="369"/>
        <v>Crit</v>
      </c>
      <c r="HU264" s="14">
        <f t="shared" si="370"/>
        <v>1.0999999999999999E-2</v>
      </c>
      <c r="HV264" s="14">
        <f t="shared" si="371"/>
        <v>0.03</v>
      </c>
    </row>
    <row r="265" spans="151:230" ht="16.5" x14ac:dyDescent="0.2">
      <c r="EU265" s="13">
        <v>260</v>
      </c>
      <c r="EV265" s="14">
        <f t="shared" si="342"/>
        <v>1</v>
      </c>
      <c r="EW265" s="14">
        <f t="shared" si="343"/>
        <v>260</v>
      </c>
      <c r="EX265" s="14">
        <f t="shared" si="344"/>
        <v>35</v>
      </c>
      <c r="EY265" s="14">
        <f t="shared" si="319"/>
        <v>40</v>
      </c>
      <c r="EZ265" s="14">
        <f t="shared" si="320"/>
        <v>7</v>
      </c>
      <c r="FA265" s="14">
        <f t="shared" si="321"/>
        <v>110</v>
      </c>
      <c r="FB265" s="14">
        <f t="shared" si="322"/>
        <v>4</v>
      </c>
      <c r="FC265" s="14">
        <f t="shared" si="323"/>
        <v>1</v>
      </c>
      <c r="FD265" s="14">
        <f t="shared" si="324"/>
        <v>1</v>
      </c>
      <c r="FE265" s="14" t="b">
        <f t="shared" si="345"/>
        <v>0</v>
      </c>
      <c r="FF265" s="14">
        <f t="shared" si="325"/>
        <v>2007401</v>
      </c>
      <c r="FG265" s="13" t="str">
        <f t="shared" si="326"/>
        <v>110级-史诗寄灵人の灵器</v>
      </c>
      <c r="FH265" s="14">
        <f t="shared" si="327"/>
        <v>1</v>
      </c>
      <c r="FI265" s="14">
        <f t="shared" si="328"/>
        <v>4</v>
      </c>
      <c r="FJ265" s="14">
        <f t="shared" si="329"/>
        <v>110</v>
      </c>
      <c r="FK265" s="14">
        <v>1</v>
      </c>
      <c r="FL265" s="14">
        <f t="shared" si="330"/>
        <v>7</v>
      </c>
      <c r="FM265" s="14">
        <f t="shared" si="346"/>
        <v>1</v>
      </c>
      <c r="FN265" s="14" t="str">
        <f t="shared" si="331"/>
        <v/>
      </c>
      <c r="FO265" s="14">
        <f t="shared" si="332"/>
        <v>285</v>
      </c>
      <c r="FP265" s="14">
        <f t="shared" si="347"/>
        <v>1115</v>
      </c>
      <c r="FQ265" s="14">
        <f t="shared" si="348"/>
        <v>0</v>
      </c>
      <c r="FR265" s="14">
        <f t="shared" si="349"/>
        <v>0</v>
      </c>
      <c r="FS265" s="14">
        <f t="shared" si="350"/>
        <v>57</v>
      </c>
      <c r="FT265" s="14">
        <f t="shared" si="351"/>
        <v>0</v>
      </c>
      <c r="FU265" s="14">
        <f t="shared" si="352"/>
        <v>0</v>
      </c>
      <c r="FV265" s="14">
        <f t="shared" si="333"/>
        <v>1074</v>
      </c>
      <c r="FW265" s="14">
        <f t="shared" si="334"/>
        <v>5</v>
      </c>
      <c r="FX265" s="14">
        <f t="shared" si="335"/>
        <v>1074</v>
      </c>
      <c r="FY265" s="25" t="str">
        <f t="shared" si="353"/>
        <v>icon_2007101</v>
      </c>
      <c r="GC265" s="14">
        <f t="shared" si="336"/>
        <v>1</v>
      </c>
      <c r="GD265" s="14">
        <f t="shared" si="337"/>
        <v>0</v>
      </c>
      <c r="GE265" s="14">
        <f t="shared" si="354"/>
        <v>285</v>
      </c>
      <c r="GF265" s="14" t="str">
        <f t="shared" si="338"/>
        <v>AtkExt</v>
      </c>
      <c r="GG265" s="14">
        <f t="shared" si="355"/>
        <v>1115</v>
      </c>
      <c r="GH265" s="14">
        <f t="shared" si="356"/>
        <v>57</v>
      </c>
      <c r="GI265" s="14" t="str">
        <f t="shared" si="339"/>
        <v/>
      </c>
      <c r="GJ265" s="14" t="str">
        <f t="shared" si="357"/>
        <v/>
      </c>
      <c r="GK265" s="14" t="str">
        <f t="shared" si="358"/>
        <v/>
      </c>
      <c r="GL265" s="14">
        <f t="shared" si="340"/>
        <v>20740</v>
      </c>
      <c r="GM265" s="14">
        <f t="shared" si="359"/>
        <v>5</v>
      </c>
      <c r="GN265" s="14">
        <f t="shared" si="360"/>
        <v>1074</v>
      </c>
      <c r="GO265" s="25" t="s">
        <v>1471</v>
      </c>
      <c r="GP265" s="14">
        <f t="shared" si="341"/>
        <v>600</v>
      </c>
      <c r="HK265" s="13">
        <v>260</v>
      </c>
      <c r="HL265" s="14">
        <f t="shared" si="361"/>
        <v>11</v>
      </c>
      <c r="HM265" s="14">
        <f t="shared" si="362"/>
        <v>1</v>
      </c>
      <c r="HN265" s="14">
        <f t="shared" si="363"/>
        <v>11</v>
      </c>
      <c r="HO265" s="14">
        <f t="shared" si="364"/>
        <v>4</v>
      </c>
      <c r="HP265" s="14" t="str">
        <f t="shared" si="365"/>
        <v>150级寄灵人洗练-Q4-8</v>
      </c>
      <c r="HQ265" s="14">
        <f t="shared" si="366"/>
        <v>1114</v>
      </c>
      <c r="HR265" s="14">
        <f t="shared" si="367"/>
        <v>8</v>
      </c>
      <c r="HS265" s="14">
        <f t="shared" si="368"/>
        <v>500</v>
      </c>
      <c r="HT265" s="14" t="str">
        <f t="shared" si="369"/>
        <v>CritRate</v>
      </c>
      <c r="HU265" s="14">
        <f t="shared" si="370"/>
        <v>2.8000000000000001E-2</v>
      </c>
      <c r="HV265" s="14">
        <f t="shared" si="371"/>
        <v>0.08</v>
      </c>
    </row>
    <row r="266" spans="151:230" ht="16.5" x14ac:dyDescent="0.2">
      <c r="EU266" s="13">
        <v>261</v>
      </c>
      <c r="EV266" s="14">
        <f t="shared" si="342"/>
        <v>1</v>
      </c>
      <c r="EW266" s="14">
        <f t="shared" si="343"/>
        <v>261</v>
      </c>
      <c r="EX266" s="14">
        <f t="shared" si="344"/>
        <v>35</v>
      </c>
      <c r="EY266" s="14">
        <f t="shared" si="319"/>
        <v>40</v>
      </c>
      <c r="EZ266" s="14">
        <f t="shared" si="320"/>
        <v>7</v>
      </c>
      <c r="FA266" s="14">
        <f t="shared" si="321"/>
        <v>110</v>
      </c>
      <c r="FB266" s="14">
        <f t="shared" si="322"/>
        <v>4</v>
      </c>
      <c r="FC266" s="14">
        <f t="shared" si="323"/>
        <v>2</v>
      </c>
      <c r="FD266" s="14">
        <f t="shared" si="324"/>
        <v>2</v>
      </c>
      <c r="FE266" s="14" t="b">
        <f t="shared" si="345"/>
        <v>0</v>
      </c>
      <c r="FF266" s="14">
        <f t="shared" si="325"/>
        <v>2007402</v>
      </c>
      <c r="FG266" s="13" t="str">
        <f t="shared" si="326"/>
        <v>110级-史诗寄灵人の头盔</v>
      </c>
      <c r="FH266" s="14">
        <f t="shared" si="327"/>
        <v>1</v>
      </c>
      <c r="FI266" s="14">
        <f t="shared" si="328"/>
        <v>4</v>
      </c>
      <c r="FJ266" s="14">
        <f t="shared" si="329"/>
        <v>110</v>
      </c>
      <c r="FK266" s="14">
        <v>1</v>
      </c>
      <c r="FL266" s="14">
        <f t="shared" si="330"/>
        <v>7</v>
      </c>
      <c r="FM266" s="14">
        <f t="shared" si="346"/>
        <v>2</v>
      </c>
      <c r="FN266" s="14" t="str">
        <f t="shared" si="331"/>
        <v/>
      </c>
      <c r="FO266" s="14">
        <f t="shared" si="332"/>
        <v>140</v>
      </c>
      <c r="FP266" s="14">
        <f t="shared" si="347"/>
        <v>0</v>
      </c>
      <c r="FQ266" s="14">
        <f t="shared" si="348"/>
        <v>280</v>
      </c>
      <c r="FR266" s="14">
        <f t="shared" si="349"/>
        <v>0</v>
      </c>
      <c r="FS266" s="14">
        <f t="shared" si="350"/>
        <v>0</v>
      </c>
      <c r="FT266" s="14">
        <f t="shared" si="351"/>
        <v>14</v>
      </c>
      <c r="FU266" s="14">
        <f t="shared" si="352"/>
        <v>0</v>
      </c>
      <c r="FV266" s="14">
        <f t="shared" si="333"/>
        <v>1074</v>
      </c>
      <c r="FW266" s="14">
        <f t="shared" si="334"/>
        <v>5</v>
      </c>
      <c r="FX266" s="14">
        <f t="shared" si="335"/>
        <v>1074</v>
      </c>
      <c r="FY266" s="25" t="str">
        <f t="shared" si="353"/>
        <v>icon_2007102</v>
      </c>
      <c r="GC266" s="14">
        <f t="shared" si="336"/>
        <v>2</v>
      </c>
      <c r="GD266" s="14">
        <f t="shared" si="337"/>
        <v>0</v>
      </c>
      <c r="GE266" s="14">
        <f t="shared" si="354"/>
        <v>140</v>
      </c>
      <c r="GF266" s="14" t="str">
        <f t="shared" si="338"/>
        <v>DefExt</v>
      </c>
      <c r="GG266" s="14">
        <f t="shared" si="355"/>
        <v>280</v>
      </c>
      <c r="GH266" s="14">
        <f t="shared" si="356"/>
        <v>14</v>
      </c>
      <c r="GI266" s="14" t="str">
        <f t="shared" si="339"/>
        <v/>
      </c>
      <c r="GJ266" s="14" t="str">
        <f t="shared" si="357"/>
        <v/>
      </c>
      <c r="GK266" s="14" t="str">
        <f t="shared" si="358"/>
        <v/>
      </c>
      <c r="GL266" s="14">
        <f t="shared" si="340"/>
        <v>20740</v>
      </c>
      <c r="GM266" s="14">
        <f t="shared" si="359"/>
        <v>5</v>
      </c>
      <c r="GN266" s="14">
        <f t="shared" si="360"/>
        <v>1074</v>
      </c>
      <c r="GO266" s="25" t="s">
        <v>1471</v>
      </c>
      <c r="GP266" s="14">
        <f t="shared" si="341"/>
        <v>300</v>
      </c>
      <c r="HK266" s="13">
        <v>261</v>
      </c>
      <c r="HL266" s="14">
        <f t="shared" si="361"/>
        <v>11</v>
      </c>
      <c r="HM266" s="14">
        <f t="shared" si="362"/>
        <v>1</v>
      </c>
      <c r="HN266" s="14">
        <f t="shared" si="363"/>
        <v>11</v>
      </c>
      <c r="HO266" s="14">
        <f t="shared" si="364"/>
        <v>4</v>
      </c>
      <c r="HP266" s="14" t="str">
        <f t="shared" si="365"/>
        <v>150级寄灵人洗练-Q4-9</v>
      </c>
      <c r="HQ266" s="14">
        <f t="shared" si="366"/>
        <v>1114</v>
      </c>
      <c r="HR266" s="14">
        <f t="shared" si="367"/>
        <v>9</v>
      </c>
      <c r="HS266" s="14">
        <f t="shared" si="368"/>
        <v>500</v>
      </c>
      <c r="HT266" s="14" t="str">
        <f t="shared" si="369"/>
        <v>DefIgnor</v>
      </c>
      <c r="HU266" s="14">
        <f t="shared" si="370"/>
        <v>1.0999999999999999E-2</v>
      </c>
      <c r="HV266" s="14">
        <f t="shared" si="371"/>
        <v>0.03</v>
      </c>
    </row>
    <row r="267" spans="151:230" ht="16.5" x14ac:dyDescent="0.2">
      <c r="EU267" s="13">
        <v>262</v>
      </c>
      <c r="EV267" s="14">
        <f t="shared" si="342"/>
        <v>1</v>
      </c>
      <c r="EW267" s="14">
        <f t="shared" si="343"/>
        <v>262</v>
      </c>
      <c r="EX267" s="14">
        <f t="shared" si="344"/>
        <v>35</v>
      </c>
      <c r="EY267" s="14">
        <f t="shared" si="319"/>
        <v>40</v>
      </c>
      <c r="EZ267" s="14">
        <f t="shared" si="320"/>
        <v>7</v>
      </c>
      <c r="FA267" s="14">
        <f t="shared" si="321"/>
        <v>110</v>
      </c>
      <c r="FB267" s="14">
        <f t="shared" si="322"/>
        <v>4</v>
      </c>
      <c r="FC267" s="14">
        <f t="shared" si="323"/>
        <v>3</v>
      </c>
      <c r="FD267" s="14">
        <f t="shared" si="324"/>
        <v>3</v>
      </c>
      <c r="FE267" s="14" t="b">
        <f t="shared" si="345"/>
        <v>0</v>
      </c>
      <c r="FF267" s="14">
        <f t="shared" si="325"/>
        <v>2007403</v>
      </c>
      <c r="FG267" s="13" t="str">
        <f t="shared" si="326"/>
        <v>110级-史诗寄灵人の铠甲</v>
      </c>
      <c r="FH267" s="14">
        <f t="shared" si="327"/>
        <v>1</v>
      </c>
      <c r="FI267" s="14">
        <f t="shared" si="328"/>
        <v>4</v>
      </c>
      <c r="FJ267" s="14">
        <f t="shared" si="329"/>
        <v>110</v>
      </c>
      <c r="FK267" s="14">
        <v>1</v>
      </c>
      <c r="FL267" s="14">
        <f t="shared" si="330"/>
        <v>7</v>
      </c>
      <c r="FM267" s="14">
        <f t="shared" si="346"/>
        <v>3</v>
      </c>
      <c r="FN267" s="14" t="str">
        <f t="shared" si="331"/>
        <v/>
      </c>
      <c r="FO267" s="14">
        <f t="shared" si="332"/>
        <v>199</v>
      </c>
      <c r="FP267" s="14">
        <f t="shared" si="347"/>
        <v>0</v>
      </c>
      <c r="FQ267" s="14">
        <f t="shared" si="348"/>
        <v>140</v>
      </c>
      <c r="FR267" s="14">
        <f t="shared" si="349"/>
        <v>2500</v>
      </c>
      <c r="FS267" s="14">
        <f t="shared" si="350"/>
        <v>0</v>
      </c>
      <c r="FT267" s="14">
        <f t="shared" si="351"/>
        <v>7</v>
      </c>
      <c r="FU267" s="14">
        <f t="shared" si="352"/>
        <v>129</v>
      </c>
      <c r="FV267" s="14">
        <f t="shared" si="333"/>
        <v>1074</v>
      </c>
      <c r="FW267" s="14">
        <f t="shared" si="334"/>
        <v>5</v>
      </c>
      <c r="FX267" s="14">
        <f t="shared" si="335"/>
        <v>1074</v>
      </c>
      <c r="FY267" s="25" t="str">
        <f t="shared" si="353"/>
        <v>icon_2007103</v>
      </c>
      <c r="GC267" s="14">
        <f t="shared" si="336"/>
        <v>2</v>
      </c>
      <c r="GD267" s="14">
        <f t="shared" si="337"/>
        <v>3</v>
      </c>
      <c r="GE267" s="14">
        <f t="shared" si="354"/>
        <v>199</v>
      </c>
      <c r="GF267" s="14" t="str">
        <f t="shared" si="338"/>
        <v>DefExt</v>
      </c>
      <c r="GG267" s="14">
        <f t="shared" si="355"/>
        <v>140</v>
      </c>
      <c r="GH267" s="14">
        <f t="shared" si="356"/>
        <v>7</v>
      </c>
      <c r="GI267" s="14" t="str">
        <f t="shared" si="339"/>
        <v>HPExt</v>
      </c>
      <c r="GJ267" s="14">
        <f t="shared" si="357"/>
        <v>2500</v>
      </c>
      <c r="GK267" s="14">
        <f t="shared" si="358"/>
        <v>129</v>
      </c>
      <c r="GL267" s="14">
        <f t="shared" si="340"/>
        <v>20740</v>
      </c>
      <c r="GM267" s="14">
        <f t="shared" si="359"/>
        <v>5</v>
      </c>
      <c r="GN267" s="14">
        <f t="shared" si="360"/>
        <v>1074</v>
      </c>
      <c r="GO267" s="25" t="s">
        <v>1471</v>
      </c>
      <c r="GP267" s="14">
        <f t="shared" si="341"/>
        <v>300</v>
      </c>
      <c r="HK267" s="13">
        <v>262</v>
      </c>
      <c r="HL267" s="14">
        <f t="shared" si="361"/>
        <v>11</v>
      </c>
      <c r="HM267" s="14">
        <f t="shared" si="362"/>
        <v>1</v>
      </c>
      <c r="HN267" s="14">
        <f t="shared" si="363"/>
        <v>11</v>
      </c>
      <c r="HO267" s="14">
        <f t="shared" si="364"/>
        <v>4</v>
      </c>
      <c r="HP267" s="14" t="str">
        <f t="shared" si="365"/>
        <v>150级寄灵人洗练-Q4-10</v>
      </c>
      <c r="HQ267" s="14">
        <f t="shared" si="366"/>
        <v>1114</v>
      </c>
      <c r="HR267" s="14">
        <f t="shared" si="367"/>
        <v>10</v>
      </c>
      <c r="HS267" s="14">
        <f t="shared" si="368"/>
        <v>500</v>
      </c>
      <c r="HT267" s="14" t="str">
        <f t="shared" si="369"/>
        <v>Block</v>
      </c>
      <c r="HU267" s="14">
        <f t="shared" si="370"/>
        <v>1.0999999999999999E-2</v>
      </c>
      <c r="HV267" s="14">
        <f t="shared" si="371"/>
        <v>0.03</v>
      </c>
    </row>
    <row r="268" spans="151:230" ht="16.5" x14ac:dyDescent="0.2">
      <c r="EU268" s="13">
        <v>263</v>
      </c>
      <c r="EV268" s="14">
        <f t="shared" si="342"/>
        <v>1</v>
      </c>
      <c r="EW268" s="14">
        <f t="shared" si="343"/>
        <v>263</v>
      </c>
      <c r="EX268" s="14">
        <f t="shared" si="344"/>
        <v>35</v>
      </c>
      <c r="EY268" s="14">
        <f t="shared" si="319"/>
        <v>40</v>
      </c>
      <c r="EZ268" s="14">
        <f t="shared" si="320"/>
        <v>7</v>
      </c>
      <c r="FA268" s="14">
        <f t="shared" si="321"/>
        <v>110</v>
      </c>
      <c r="FB268" s="14">
        <f t="shared" si="322"/>
        <v>4</v>
      </c>
      <c r="FC268" s="14">
        <f t="shared" si="323"/>
        <v>4</v>
      </c>
      <c r="FD268" s="14">
        <f t="shared" si="324"/>
        <v>4</v>
      </c>
      <c r="FE268" s="14" t="b">
        <f t="shared" si="345"/>
        <v>0</v>
      </c>
      <c r="FF268" s="14">
        <f t="shared" si="325"/>
        <v>2007404</v>
      </c>
      <c r="FG268" s="13" t="str">
        <f t="shared" si="326"/>
        <v>110级-史诗寄灵人の裤子</v>
      </c>
      <c r="FH268" s="14">
        <f t="shared" si="327"/>
        <v>1</v>
      </c>
      <c r="FI268" s="14">
        <f t="shared" si="328"/>
        <v>4</v>
      </c>
      <c r="FJ268" s="14">
        <f t="shared" si="329"/>
        <v>110</v>
      </c>
      <c r="FK268" s="14">
        <v>1</v>
      </c>
      <c r="FL268" s="14">
        <f t="shared" si="330"/>
        <v>7</v>
      </c>
      <c r="FM268" s="14">
        <f t="shared" si="346"/>
        <v>4</v>
      </c>
      <c r="FN268" s="14" t="str">
        <f t="shared" si="331"/>
        <v/>
      </c>
      <c r="FO268" s="14">
        <f t="shared" si="332"/>
        <v>140</v>
      </c>
      <c r="FP268" s="14">
        <f t="shared" si="347"/>
        <v>0</v>
      </c>
      <c r="FQ268" s="14">
        <f t="shared" si="348"/>
        <v>280</v>
      </c>
      <c r="FR268" s="14">
        <f t="shared" si="349"/>
        <v>0</v>
      </c>
      <c r="FS268" s="14">
        <f t="shared" si="350"/>
        <v>0</v>
      </c>
      <c r="FT268" s="14">
        <f t="shared" si="351"/>
        <v>14</v>
      </c>
      <c r="FU268" s="14">
        <f t="shared" si="352"/>
        <v>0</v>
      </c>
      <c r="FV268" s="14">
        <f t="shared" si="333"/>
        <v>1074</v>
      </c>
      <c r="FW268" s="14">
        <f t="shared" si="334"/>
        <v>5</v>
      </c>
      <c r="FX268" s="14">
        <f t="shared" si="335"/>
        <v>1074</v>
      </c>
      <c r="FY268" s="25" t="str">
        <f t="shared" si="353"/>
        <v>icon_2007104</v>
      </c>
      <c r="GC268" s="14">
        <f t="shared" si="336"/>
        <v>2</v>
      </c>
      <c r="GD268" s="14">
        <f t="shared" si="337"/>
        <v>0</v>
      </c>
      <c r="GE268" s="14">
        <f t="shared" si="354"/>
        <v>140</v>
      </c>
      <c r="GF268" s="14" t="str">
        <f t="shared" si="338"/>
        <v>DefExt</v>
      </c>
      <c r="GG268" s="14">
        <f t="shared" si="355"/>
        <v>280</v>
      </c>
      <c r="GH268" s="14">
        <f t="shared" si="356"/>
        <v>14</v>
      </c>
      <c r="GI268" s="14" t="str">
        <f t="shared" si="339"/>
        <v/>
      </c>
      <c r="GJ268" s="14" t="str">
        <f t="shared" si="357"/>
        <v/>
      </c>
      <c r="GK268" s="14" t="str">
        <f t="shared" si="358"/>
        <v/>
      </c>
      <c r="GL268" s="14">
        <f t="shared" si="340"/>
        <v>20740</v>
      </c>
      <c r="GM268" s="14">
        <f t="shared" si="359"/>
        <v>5</v>
      </c>
      <c r="GN268" s="14">
        <f t="shared" si="360"/>
        <v>1074</v>
      </c>
      <c r="GO268" s="25" t="s">
        <v>1471</v>
      </c>
      <c r="GP268" s="14">
        <f t="shared" si="341"/>
        <v>300</v>
      </c>
      <c r="HK268" s="13">
        <v>263</v>
      </c>
      <c r="HL268" s="14">
        <f t="shared" si="361"/>
        <v>11</v>
      </c>
      <c r="HM268" s="14">
        <f t="shared" si="362"/>
        <v>1</v>
      </c>
      <c r="HN268" s="14">
        <f t="shared" si="363"/>
        <v>11</v>
      </c>
      <c r="HO268" s="14">
        <f t="shared" si="364"/>
        <v>4</v>
      </c>
      <c r="HP268" s="14" t="str">
        <f t="shared" si="365"/>
        <v>150级寄灵人洗练-Q4-11</v>
      </c>
      <c r="HQ268" s="14">
        <f t="shared" si="366"/>
        <v>1114</v>
      </c>
      <c r="HR268" s="14">
        <f t="shared" si="367"/>
        <v>11</v>
      </c>
      <c r="HS268" s="14">
        <f t="shared" si="368"/>
        <v>500</v>
      </c>
      <c r="HT268" s="14" t="str">
        <f t="shared" si="369"/>
        <v>EffectHit</v>
      </c>
      <c r="HU268" s="14">
        <f t="shared" si="370"/>
        <v>1.7999999999999999E-2</v>
      </c>
      <c r="HV268" s="14">
        <f t="shared" si="371"/>
        <v>0.05</v>
      </c>
    </row>
    <row r="269" spans="151:230" ht="16.5" x14ac:dyDescent="0.2">
      <c r="EU269" s="13">
        <v>264</v>
      </c>
      <c r="EV269" s="14">
        <f t="shared" si="342"/>
        <v>1</v>
      </c>
      <c r="EW269" s="14">
        <f t="shared" si="343"/>
        <v>264</v>
      </c>
      <c r="EX269" s="14">
        <f t="shared" si="344"/>
        <v>35</v>
      </c>
      <c r="EY269" s="14">
        <f t="shared" si="319"/>
        <v>40</v>
      </c>
      <c r="EZ269" s="14">
        <f t="shared" si="320"/>
        <v>7</v>
      </c>
      <c r="FA269" s="14">
        <f t="shared" si="321"/>
        <v>110</v>
      </c>
      <c r="FB269" s="14">
        <f t="shared" si="322"/>
        <v>4</v>
      </c>
      <c r="FC269" s="14">
        <f t="shared" si="323"/>
        <v>5</v>
      </c>
      <c r="FD269" s="14">
        <f t="shared" si="324"/>
        <v>5</v>
      </c>
      <c r="FE269" s="14" t="b">
        <f t="shared" si="345"/>
        <v>0</v>
      </c>
      <c r="FF269" s="14">
        <f t="shared" si="325"/>
        <v>2007405</v>
      </c>
      <c r="FG269" s="13" t="str">
        <f t="shared" si="326"/>
        <v>110级-史诗寄灵人の鞋子</v>
      </c>
      <c r="FH269" s="14">
        <f t="shared" si="327"/>
        <v>1</v>
      </c>
      <c r="FI269" s="14">
        <f t="shared" si="328"/>
        <v>4</v>
      </c>
      <c r="FJ269" s="14">
        <f t="shared" si="329"/>
        <v>110</v>
      </c>
      <c r="FK269" s="14">
        <v>1</v>
      </c>
      <c r="FL269" s="14">
        <f t="shared" si="330"/>
        <v>7</v>
      </c>
      <c r="FM269" s="14">
        <f t="shared" si="346"/>
        <v>5</v>
      </c>
      <c r="FN269" s="14" t="str">
        <f t="shared" si="331"/>
        <v/>
      </c>
      <c r="FO269" s="14">
        <f t="shared" si="332"/>
        <v>258</v>
      </c>
      <c r="FP269" s="14">
        <f t="shared" si="347"/>
        <v>0</v>
      </c>
      <c r="FQ269" s="14">
        <f t="shared" si="348"/>
        <v>0</v>
      </c>
      <c r="FR269" s="14">
        <f t="shared" si="349"/>
        <v>5005</v>
      </c>
      <c r="FS269" s="14">
        <f t="shared" si="350"/>
        <v>0</v>
      </c>
      <c r="FT269" s="14">
        <f t="shared" si="351"/>
        <v>0</v>
      </c>
      <c r="FU269" s="14">
        <f t="shared" si="352"/>
        <v>258</v>
      </c>
      <c r="FV269" s="14">
        <f t="shared" si="333"/>
        <v>1074</v>
      </c>
      <c r="FW269" s="14">
        <f t="shared" si="334"/>
        <v>5</v>
      </c>
      <c r="FX269" s="14">
        <f t="shared" si="335"/>
        <v>1074</v>
      </c>
      <c r="FY269" s="25" t="str">
        <f t="shared" si="353"/>
        <v>icon_2007105</v>
      </c>
      <c r="GC269" s="14">
        <f t="shared" si="336"/>
        <v>3</v>
      </c>
      <c r="GD269" s="14">
        <f t="shared" si="337"/>
        <v>0</v>
      </c>
      <c r="GE269" s="14">
        <f t="shared" si="354"/>
        <v>258</v>
      </c>
      <c r="GF269" s="14" t="str">
        <f t="shared" si="338"/>
        <v>HPExt</v>
      </c>
      <c r="GG269" s="14">
        <f t="shared" si="355"/>
        <v>5005</v>
      </c>
      <c r="GH269" s="14">
        <f t="shared" si="356"/>
        <v>258</v>
      </c>
      <c r="GI269" s="14" t="str">
        <f t="shared" si="339"/>
        <v/>
      </c>
      <c r="GJ269" s="14" t="str">
        <f t="shared" si="357"/>
        <v/>
      </c>
      <c r="GK269" s="14" t="str">
        <f t="shared" si="358"/>
        <v/>
      </c>
      <c r="GL269" s="14">
        <f t="shared" si="340"/>
        <v>20740</v>
      </c>
      <c r="GM269" s="14">
        <f t="shared" si="359"/>
        <v>5</v>
      </c>
      <c r="GN269" s="14">
        <f t="shared" si="360"/>
        <v>1074</v>
      </c>
      <c r="GO269" s="25" t="s">
        <v>1471</v>
      </c>
      <c r="GP269" s="14">
        <f t="shared" si="341"/>
        <v>300</v>
      </c>
      <c r="HK269" s="13">
        <v>264</v>
      </c>
      <c r="HL269" s="14">
        <f t="shared" si="361"/>
        <v>11</v>
      </c>
      <c r="HM269" s="14">
        <f t="shared" si="362"/>
        <v>1</v>
      </c>
      <c r="HN269" s="14">
        <f t="shared" si="363"/>
        <v>11</v>
      </c>
      <c r="HO269" s="14">
        <f t="shared" si="364"/>
        <v>4</v>
      </c>
      <c r="HP269" s="14" t="str">
        <f t="shared" si="365"/>
        <v>150级寄灵人洗练-Q4-12</v>
      </c>
      <c r="HQ269" s="14">
        <f t="shared" si="366"/>
        <v>1114</v>
      </c>
      <c r="HR269" s="14">
        <f t="shared" si="367"/>
        <v>12</v>
      </c>
      <c r="HS269" s="14">
        <f t="shared" si="368"/>
        <v>500</v>
      </c>
      <c r="HT269" s="14" t="str">
        <f t="shared" si="369"/>
        <v>EffectResist</v>
      </c>
      <c r="HU269" s="14">
        <f t="shared" si="370"/>
        <v>1.7999999999999999E-2</v>
      </c>
      <c r="HV269" s="14">
        <f t="shared" si="371"/>
        <v>0.05</v>
      </c>
    </row>
    <row r="270" spans="151:230" ht="16.5" x14ac:dyDescent="0.2">
      <c r="EU270" s="13">
        <v>265</v>
      </c>
      <c r="EV270" s="14">
        <f t="shared" si="342"/>
        <v>1</v>
      </c>
      <c r="EW270" s="14">
        <f t="shared" si="343"/>
        <v>265</v>
      </c>
      <c r="EX270" s="14">
        <f t="shared" si="344"/>
        <v>35</v>
      </c>
      <c r="EY270" s="14">
        <f t="shared" si="319"/>
        <v>40</v>
      </c>
      <c r="EZ270" s="14">
        <f t="shared" si="320"/>
        <v>7</v>
      </c>
      <c r="FA270" s="14">
        <f t="shared" si="321"/>
        <v>110</v>
      </c>
      <c r="FB270" s="14">
        <f t="shared" si="322"/>
        <v>4</v>
      </c>
      <c r="FC270" s="14">
        <f t="shared" si="323"/>
        <v>6</v>
      </c>
      <c r="FD270" s="14">
        <f t="shared" si="324"/>
        <v>6</v>
      </c>
      <c r="FE270" s="14" t="b">
        <f t="shared" si="345"/>
        <v>0</v>
      </c>
      <c r="FF270" s="14">
        <f t="shared" si="325"/>
        <v>2007406</v>
      </c>
      <c r="FG270" s="13" t="str">
        <f t="shared" si="326"/>
        <v>110级-史诗寄灵人の护手</v>
      </c>
      <c r="FH270" s="14">
        <f t="shared" si="327"/>
        <v>1</v>
      </c>
      <c r="FI270" s="14">
        <f t="shared" si="328"/>
        <v>4</v>
      </c>
      <c r="FJ270" s="14">
        <f t="shared" si="329"/>
        <v>110</v>
      </c>
      <c r="FK270" s="14">
        <v>1</v>
      </c>
      <c r="FL270" s="14">
        <f t="shared" si="330"/>
        <v>7</v>
      </c>
      <c r="FM270" s="14">
        <f t="shared" si="346"/>
        <v>6</v>
      </c>
      <c r="FN270" s="14" t="str">
        <f t="shared" si="331"/>
        <v/>
      </c>
      <c r="FO270" s="14">
        <f t="shared" si="332"/>
        <v>258</v>
      </c>
      <c r="FP270" s="14">
        <f t="shared" si="347"/>
        <v>0</v>
      </c>
      <c r="FQ270" s="14">
        <f t="shared" si="348"/>
        <v>0</v>
      </c>
      <c r="FR270" s="14">
        <f t="shared" si="349"/>
        <v>5005</v>
      </c>
      <c r="FS270" s="14">
        <f t="shared" si="350"/>
        <v>0</v>
      </c>
      <c r="FT270" s="14">
        <f t="shared" si="351"/>
        <v>0</v>
      </c>
      <c r="FU270" s="14">
        <f t="shared" si="352"/>
        <v>258</v>
      </c>
      <c r="FV270" s="14">
        <f t="shared" si="333"/>
        <v>1074</v>
      </c>
      <c r="FW270" s="14">
        <f t="shared" si="334"/>
        <v>5</v>
      </c>
      <c r="FX270" s="14">
        <f t="shared" si="335"/>
        <v>1074</v>
      </c>
      <c r="FY270" s="25" t="str">
        <f t="shared" si="353"/>
        <v>icon_2007106</v>
      </c>
      <c r="GC270" s="14">
        <f t="shared" si="336"/>
        <v>3</v>
      </c>
      <c r="GD270" s="14">
        <f t="shared" si="337"/>
        <v>0</v>
      </c>
      <c r="GE270" s="14">
        <f t="shared" si="354"/>
        <v>258</v>
      </c>
      <c r="GF270" s="14" t="str">
        <f t="shared" si="338"/>
        <v>HPExt</v>
      </c>
      <c r="GG270" s="14">
        <f t="shared" si="355"/>
        <v>5005</v>
      </c>
      <c r="GH270" s="14">
        <f t="shared" si="356"/>
        <v>258</v>
      </c>
      <c r="GI270" s="14" t="str">
        <f t="shared" si="339"/>
        <v/>
      </c>
      <c r="GJ270" s="14" t="str">
        <f t="shared" si="357"/>
        <v/>
      </c>
      <c r="GK270" s="14" t="str">
        <f t="shared" si="358"/>
        <v/>
      </c>
      <c r="GL270" s="14">
        <f t="shared" si="340"/>
        <v>20740</v>
      </c>
      <c r="GM270" s="14">
        <f t="shared" si="359"/>
        <v>5</v>
      </c>
      <c r="GN270" s="14">
        <f t="shared" si="360"/>
        <v>1074</v>
      </c>
      <c r="GO270" s="25" t="s">
        <v>1471</v>
      </c>
      <c r="GP270" s="14">
        <f t="shared" si="341"/>
        <v>300</v>
      </c>
      <c r="HK270" s="13">
        <v>265</v>
      </c>
      <c r="HL270" s="14">
        <f t="shared" si="361"/>
        <v>12</v>
      </c>
      <c r="HM270" s="14">
        <f t="shared" si="362"/>
        <v>2</v>
      </c>
      <c r="HN270" s="14">
        <f t="shared" si="363"/>
        <v>1</v>
      </c>
      <c r="HO270" s="14">
        <f t="shared" si="364"/>
        <v>3</v>
      </c>
      <c r="HP270" s="14" t="str">
        <f t="shared" si="365"/>
        <v>15级守护灵洗练-Q3-1</v>
      </c>
      <c r="HQ270" s="14">
        <f t="shared" si="366"/>
        <v>2013</v>
      </c>
      <c r="HR270" s="14">
        <f t="shared" si="367"/>
        <v>1</v>
      </c>
      <c r="HS270" s="14">
        <f t="shared" si="368"/>
        <v>1800</v>
      </c>
      <c r="HT270" s="14" t="str">
        <f t="shared" si="369"/>
        <v>AtkExt</v>
      </c>
      <c r="HU270" s="14">
        <f t="shared" si="370"/>
        <v>9</v>
      </c>
      <c r="HV270" s="14">
        <f t="shared" si="371"/>
        <v>26</v>
      </c>
    </row>
    <row r="271" spans="151:230" ht="16.5" x14ac:dyDescent="0.2">
      <c r="EU271" s="13">
        <v>266</v>
      </c>
      <c r="EV271" s="14">
        <f t="shared" si="342"/>
        <v>1</v>
      </c>
      <c r="EW271" s="14">
        <f t="shared" si="343"/>
        <v>266</v>
      </c>
      <c r="EX271" s="14">
        <f t="shared" si="344"/>
        <v>35</v>
      </c>
      <c r="EY271" s="14">
        <f t="shared" si="319"/>
        <v>40</v>
      </c>
      <c r="EZ271" s="14">
        <f t="shared" si="320"/>
        <v>7</v>
      </c>
      <c r="FA271" s="14">
        <f t="shared" si="321"/>
        <v>110</v>
      </c>
      <c r="FB271" s="14">
        <f t="shared" si="322"/>
        <v>4</v>
      </c>
      <c r="FC271" s="14">
        <f t="shared" si="323"/>
        <v>7</v>
      </c>
      <c r="FD271" s="14">
        <f t="shared" si="324"/>
        <v>7</v>
      </c>
      <c r="FE271" s="14" t="b">
        <f t="shared" si="345"/>
        <v>0</v>
      </c>
      <c r="FF271" s="14">
        <f t="shared" si="325"/>
        <v>2007407</v>
      </c>
      <c r="FG271" s="13" t="str">
        <f t="shared" si="326"/>
        <v>110级-史诗寄灵人の项链</v>
      </c>
      <c r="FH271" s="14">
        <f t="shared" si="327"/>
        <v>1</v>
      </c>
      <c r="FI271" s="14">
        <f t="shared" si="328"/>
        <v>4</v>
      </c>
      <c r="FJ271" s="14">
        <f t="shared" si="329"/>
        <v>110</v>
      </c>
      <c r="FK271" s="14">
        <v>1</v>
      </c>
      <c r="FL271" s="14">
        <f t="shared" si="330"/>
        <v>7</v>
      </c>
      <c r="FM271" s="14">
        <f t="shared" si="346"/>
        <v>7</v>
      </c>
      <c r="FN271" s="14" t="str">
        <f t="shared" si="331"/>
        <v/>
      </c>
      <c r="FO271" s="14">
        <f t="shared" si="332"/>
        <v>215</v>
      </c>
      <c r="FP271" s="14">
        <f t="shared" si="347"/>
        <v>370</v>
      </c>
      <c r="FQ271" s="14">
        <f t="shared" si="348"/>
        <v>235</v>
      </c>
      <c r="FR271" s="14">
        <f t="shared" si="349"/>
        <v>0</v>
      </c>
      <c r="FS271" s="14">
        <f t="shared" si="350"/>
        <v>19</v>
      </c>
      <c r="FT271" s="14">
        <f t="shared" si="351"/>
        <v>12</v>
      </c>
      <c r="FU271" s="14">
        <f t="shared" si="352"/>
        <v>0</v>
      </c>
      <c r="FV271" s="14">
        <f t="shared" si="333"/>
        <v>1074</v>
      </c>
      <c r="FW271" s="14">
        <f t="shared" si="334"/>
        <v>5</v>
      </c>
      <c r="FX271" s="14">
        <f t="shared" si="335"/>
        <v>1074</v>
      </c>
      <c r="FY271" s="25" t="str">
        <f t="shared" si="353"/>
        <v>icon_2007107</v>
      </c>
      <c r="GC271" s="14">
        <f t="shared" si="336"/>
        <v>1</v>
      </c>
      <c r="GD271" s="14">
        <f t="shared" si="337"/>
        <v>2</v>
      </c>
      <c r="GE271" s="14">
        <f t="shared" si="354"/>
        <v>215</v>
      </c>
      <c r="GF271" s="14" t="str">
        <f t="shared" si="338"/>
        <v>AtkExt</v>
      </c>
      <c r="GG271" s="14">
        <f t="shared" si="355"/>
        <v>370</v>
      </c>
      <c r="GH271" s="14">
        <f t="shared" si="356"/>
        <v>19</v>
      </c>
      <c r="GI271" s="14" t="str">
        <f t="shared" si="339"/>
        <v>DefExt</v>
      </c>
      <c r="GJ271" s="14">
        <f t="shared" si="357"/>
        <v>235</v>
      </c>
      <c r="GK271" s="14">
        <f t="shared" si="358"/>
        <v>12</v>
      </c>
      <c r="GL271" s="14">
        <f t="shared" si="340"/>
        <v>20740</v>
      </c>
      <c r="GM271" s="14">
        <f t="shared" si="359"/>
        <v>5</v>
      </c>
      <c r="GN271" s="14">
        <f t="shared" si="360"/>
        <v>1074</v>
      </c>
      <c r="GO271" s="25" t="s">
        <v>1471</v>
      </c>
      <c r="GP271" s="14">
        <f t="shared" si="341"/>
        <v>450</v>
      </c>
      <c r="HK271" s="13">
        <v>266</v>
      </c>
      <c r="HL271" s="14">
        <f t="shared" si="361"/>
        <v>12</v>
      </c>
      <c r="HM271" s="14">
        <f t="shared" si="362"/>
        <v>2</v>
      </c>
      <c r="HN271" s="14">
        <f t="shared" si="363"/>
        <v>1</v>
      </c>
      <c r="HO271" s="14">
        <f t="shared" si="364"/>
        <v>3</v>
      </c>
      <c r="HP271" s="14" t="str">
        <f t="shared" si="365"/>
        <v>15级守护灵洗练-Q3-2</v>
      </c>
      <c r="HQ271" s="14">
        <f t="shared" si="366"/>
        <v>2013</v>
      </c>
      <c r="HR271" s="14">
        <f t="shared" si="367"/>
        <v>2</v>
      </c>
      <c r="HS271" s="14">
        <f t="shared" si="368"/>
        <v>1800</v>
      </c>
      <c r="HT271" s="14" t="str">
        <f t="shared" si="369"/>
        <v>DefExt</v>
      </c>
      <c r="HU271" s="14">
        <f t="shared" si="370"/>
        <v>6</v>
      </c>
      <c r="HV271" s="14">
        <f t="shared" si="371"/>
        <v>19</v>
      </c>
    </row>
    <row r="272" spans="151:230" ht="16.5" x14ac:dyDescent="0.2">
      <c r="EU272" s="13">
        <v>267</v>
      </c>
      <c r="EV272" s="14">
        <f t="shared" si="342"/>
        <v>1</v>
      </c>
      <c r="EW272" s="14">
        <f t="shared" si="343"/>
        <v>267</v>
      </c>
      <c r="EX272" s="14">
        <f t="shared" si="344"/>
        <v>35</v>
      </c>
      <c r="EY272" s="14">
        <f t="shared" si="319"/>
        <v>40</v>
      </c>
      <c r="EZ272" s="14">
        <f t="shared" si="320"/>
        <v>7</v>
      </c>
      <c r="FA272" s="14">
        <f t="shared" si="321"/>
        <v>110</v>
      </c>
      <c r="FB272" s="14">
        <f t="shared" si="322"/>
        <v>4</v>
      </c>
      <c r="FC272" s="14">
        <f t="shared" si="323"/>
        <v>8</v>
      </c>
      <c r="FD272" s="14">
        <f t="shared" si="324"/>
        <v>8</v>
      </c>
      <c r="FE272" s="14" t="b">
        <f t="shared" si="345"/>
        <v>0</v>
      </c>
      <c r="FF272" s="14">
        <f t="shared" si="325"/>
        <v>2007408</v>
      </c>
      <c r="FG272" s="13" t="str">
        <f t="shared" si="326"/>
        <v>110级-史诗寄灵人の戒指</v>
      </c>
      <c r="FH272" s="14">
        <f t="shared" si="327"/>
        <v>1</v>
      </c>
      <c r="FI272" s="14">
        <f t="shared" si="328"/>
        <v>4</v>
      </c>
      <c r="FJ272" s="14">
        <f t="shared" si="329"/>
        <v>110</v>
      </c>
      <c r="FK272" s="14">
        <v>1</v>
      </c>
      <c r="FL272" s="14">
        <f t="shared" si="330"/>
        <v>7</v>
      </c>
      <c r="FM272" s="14">
        <f t="shared" si="346"/>
        <v>8</v>
      </c>
      <c r="FN272" s="14" t="str">
        <f t="shared" si="331"/>
        <v/>
      </c>
      <c r="FO272" s="14">
        <f t="shared" si="332"/>
        <v>310</v>
      </c>
      <c r="FP272" s="14">
        <f t="shared" si="347"/>
        <v>370</v>
      </c>
      <c r="FQ272" s="14">
        <f t="shared" si="348"/>
        <v>0</v>
      </c>
      <c r="FR272" s="14">
        <f t="shared" si="349"/>
        <v>4170</v>
      </c>
      <c r="FS272" s="14">
        <f t="shared" si="350"/>
        <v>19</v>
      </c>
      <c r="FT272" s="14">
        <f t="shared" si="351"/>
        <v>0</v>
      </c>
      <c r="FU272" s="14">
        <f t="shared" si="352"/>
        <v>215</v>
      </c>
      <c r="FV272" s="14">
        <f t="shared" si="333"/>
        <v>1074</v>
      </c>
      <c r="FW272" s="14">
        <f t="shared" si="334"/>
        <v>5</v>
      </c>
      <c r="FX272" s="14">
        <f t="shared" si="335"/>
        <v>1074</v>
      </c>
      <c r="FY272" s="25" t="str">
        <f t="shared" si="353"/>
        <v>icon_2007108</v>
      </c>
      <c r="GC272" s="14">
        <f t="shared" si="336"/>
        <v>1</v>
      </c>
      <c r="GD272" s="14">
        <f t="shared" si="337"/>
        <v>3</v>
      </c>
      <c r="GE272" s="14">
        <f t="shared" si="354"/>
        <v>310</v>
      </c>
      <c r="GF272" s="14" t="str">
        <f t="shared" si="338"/>
        <v>AtkExt</v>
      </c>
      <c r="GG272" s="14">
        <f t="shared" si="355"/>
        <v>370</v>
      </c>
      <c r="GH272" s="14">
        <f t="shared" si="356"/>
        <v>19</v>
      </c>
      <c r="GI272" s="14" t="str">
        <f t="shared" si="339"/>
        <v>HPExt</v>
      </c>
      <c r="GJ272" s="14">
        <f t="shared" si="357"/>
        <v>4170</v>
      </c>
      <c r="GK272" s="14">
        <f t="shared" si="358"/>
        <v>215</v>
      </c>
      <c r="GL272" s="14">
        <f t="shared" si="340"/>
        <v>20740</v>
      </c>
      <c r="GM272" s="14">
        <f t="shared" si="359"/>
        <v>5</v>
      </c>
      <c r="GN272" s="14">
        <f t="shared" si="360"/>
        <v>1074</v>
      </c>
      <c r="GO272" s="25" t="s">
        <v>1471</v>
      </c>
      <c r="GP272" s="14">
        <f t="shared" si="341"/>
        <v>450</v>
      </c>
      <c r="HK272" s="13">
        <v>267</v>
      </c>
      <c r="HL272" s="14">
        <f t="shared" si="361"/>
        <v>12</v>
      </c>
      <c r="HM272" s="14">
        <f t="shared" si="362"/>
        <v>2</v>
      </c>
      <c r="HN272" s="14">
        <f t="shared" si="363"/>
        <v>1</v>
      </c>
      <c r="HO272" s="14">
        <f t="shared" si="364"/>
        <v>3</v>
      </c>
      <c r="HP272" s="14" t="str">
        <f t="shared" si="365"/>
        <v>15级守护灵洗练-Q3-3</v>
      </c>
      <c r="HQ272" s="14">
        <f t="shared" si="366"/>
        <v>2013</v>
      </c>
      <c r="HR272" s="14">
        <f t="shared" si="367"/>
        <v>3</v>
      </c>
      <c r="HS272" s="14">
        <f t="shared" si="368"/>
        <v>2000</v>
      </c>
      <c r="HT272" s="14" t="str">
        <f t="shared" si="369"/>
        <v>HPExt</v>
      </c>
      <c r="HU272" s="14">
        <f t="shared" si="370"/>
        <v>23</v>
      </c>
      <c r="HV272" s="14">
        <f t="shared" si="371"/>
        <v>66</v>
      </c>
    </row>
    <row r="273" spans="151:230" ht="16.5" x14ac:dyDescent="0.2">
      <c r="EU273" s="13">
        <v>268</v>
      </c>
      <c r="EV273" s="14">
        <f t="shared" si="342"/>
        <v>1</v>
      </c>
      <c r="EW273" s="14">
        <f t="shared" si="343"/>
        <v>268</v>
      </c>
      <c r="EX273" s="14">
        <f t="shared" si="344"/>
        <v>36</v>
      </c>
      <c r="EY273" s="14">
        <f t="shared" si="319"/>
        <v>42</v>
      </c>
      <c r="EZ273" s="14">
        <f t="shared" si="320"/>
        <v>7</v>
      </c>
      <c r="FA273" s="14">
        <f t="shared" si="321"/>
        <v>110</v>
      </c>
      <c r="FB273" s="14">
        <f t="shared" si="322"/>
        <v>4</v>
      </c>
      <c r="FC273" s="14">
        <f t="shared" si="323"/>
        <v>1</v>
      </c>
      <c r="FD273" s="14">
        <f t="shared" si="324"/>
        <v>1</v>
      </c>
      <c r="FE273" s="14" t="b">
        <f t="shared" si="345"/>
        <v>1</v>
      </c>
      <c r="FF273" s="14">
        <f t="shared" si="325"/>
        <v>2007421</v>
      </c>
      <c r="FG273" s="13" t="str">
        <f t="shared" si="326"/>
        <v>110级-防御套寄灵人の灵器</v>
      </c>
      <c r="FH273" s="14">
        <f t="shared" si="327"/>
        <v>1</v>
      </c>
      <c r="FI273" s="14">
        <f t="shared" si="328"/>
        <v>4</v>
      </c>
      <c r="FJ273" s="14">
        <f t="shared" si="329"/>
        <v>110</v>
      </c>
      <c r="FK273" s="14">
        <v>1</v>
      </c>
      <c r="FL273" s="14">
        <f t="shared" si="330"/>
        <v>7</v>
      </c>
      <c r="FM273" s="14">
        <f t="shared" si="346"/>
        <v>1</v>
      </c>
      <c r="FN273" s="14">
        <f t="shared" si="331"/>
        <v>200742</v>
      </c>
      <c r="FO273" s="14">
        <f t="shared" si="332"/>
        <v>427</v>
      </c>
      <c r="FP273" s="14">
        <f t="shared" si="347"/>
        <v>1115</v>
      </c>
      <c r="FQ273" s="14">
        <f t="shared" si="348"/>
        <v>0</v>
      </c>
      <c r="FR273" s="14">
        <f t="shared" si="349"/>
        <v>0</v>
      </c>
      <c r="FS273" s="14">
        <f t="shared" si="350"/>
        <v>57</v>
      </c>
      <c r="FT273" s="14">
        <f t="shared" si="351"/>
        <v>0</v>
      </c>
      <c r="FU273" s="14">
        <f t="shared" si="352"/>
        <v>0</v>
      </c>
      <c r="FV273" s="14">
        <f t="shared" si="333"/>
        <v>1074</v>
      </c>
      <c r="FW273" s="14">
        <f t="shared" si="334"/>
        <v>5</v>
      </c>
      <c r="FX273" s="14">
        <f t="shared" si="335"/>
        <v>1074</v>
      </c>
      <c r="FY273" s="25" t="str">
        <f t="shared" si="353"/>
        <v>icon_2007421</v>
      </c>
      <c r="GC273" s="14">
        <f t="shared" si="336"/>
        <v>1</v>
      </c>
      <c r="GD273" s="14">
        <f t="shared" si="337"/>
        <v>0</v>
      </c>
      <c r="GE273" s="14">
        <f t="shared" si="354"/>
        <v>427</v>
      </c>
      <c r="GF273" s="14" t="str">
        <f t="shared" si="338"/>
        <v>AtkExt</v>
      </c>
      <c r="GG273" s="14">
        <f t="shared" si="355"/>
        <v>1115</v>
      </c>
      <c r="GH273" s="14">
        <f t="shared" si="356"/>
        <v>57</v>
      </c>
      <c r="GI273" s="14" t="str">
        <f t="shared" si="339"/>
        <v/>
      </c>
      <c r="GJ273" s="14" t="str">
        <f t="shared" si="357"/>
        <v/>
      </c>
      <c r="GK273" s="14" t="str">
        <f t="shared" si="358"/>
        <v/>
      </c>
      <c r="GL273" s="14">
        <f t="shared" si="340"/>
        <v>20740</v>
      </c>
      <c r="GM273" s="14">
        <f t="shared" si="359"/>
        <v>5</v>
      </c>
      <c r="GN273" s="14">
        <f t="shared" si="360"/>
        <v>1074</v>
      </c>
      <c r="GO273" s="25" t="s">
        <v>1471</v>
      </c>
      <c r="GP273" s="14">
        <f t="shared" si="341"/>
        <v>600</v>
      </c>
      <c r="HK273" s="13">
        <v>268</v>
      </c>
      <c r="HL273" s="14">
        <f t="shared" si="361"/>
        <v>12</v>
      </c>
      <c r="HM273" s="14">
        <f t="shared" si="362"/>
        <v>2</v>
      </c>
      <c r="HN273" s="14">
        <f t="shared" si="363"/>
        <v>1</v>
      </c>
      <c r="HO273" s="14">
        <f t="shared" si="364"/>
        <v>3</v>
      </c>
      <c r="HP273" s="14" t="str">
        <f t="shared" si="365"/>
        <v>15级守护灵洗练-Q3-4</v>
      </c>
      <c r="HQ273" s="14">
        <f t="shared" si="366"/>
        <v>2013</v>
      </c>
      <c r="HR273" s="14">
        <f t="shared" si="367"/>
        <v>4</v>
      </c>
      <c r="HS273" s="14">
        <f t="shared" si="368"/>
        <v>500</v>
      </c>
      <c r="HT273" s="14" t="str">
        <f t="shared" si="369"/>
        <v>AtkRate</v>
      </c>
      <c r="HU273" s="14">
        <f t="shared" si="370"/>
        <v>1.4E-2</v>
      </c>
      <c r="HV273" s="14">
        <f t="shared" si="371"/>
        <v>0.04</v>
      </c>
    </row>
    <row r="274" spans="151:230" ht="16.5" x14ac:dyDescent="0.2">
      <c r="EU274" s="13">
        <v>269</v>
      </c>
      <c r="EV274" s="14">
        <f t="shared" si="342"/>
        <v>1</v>
      </c>
      <c r="EW274" s="14">
        <f t="shared" si="343"/>
        <v>269</v>
      </c>
      <c r="EX274" s="14">
        <f t="shared" si="344"/>
        <v>36</v>
      </c>
      <c r="EY274" s="14">
        <f t="shared" si="319"/>
        <v>42</v>
      </c>
      <c r="EZ274" s="14">
        <f t="shared" si="320"/>
        <v>7</v>
      </c>
      <c r="FA274" s="14">
        <f t="shared" si="321"/>
        <v>110</v>
      </c>
      <c r="FB274" s="14">
        <f t="shared" si="322"/>
        <v>4</v>
      </c>
      <c r="FC274" s="14">
        <f t="shared" si="323"/>
        <v>2</v>
      </c>
      <c r="FD274" s="14">
        <f t="shared" si="324"/>
        <v>2</v>
      </c>
      <c r="FE274" s="14" t="b">
        <f t="shared" si="345"/>
        <v>1</v>
      </c>
      <c r="FF274" s="14">
        <f t="shared" si="325"/>
        <v>2007422</v>
      </c>
      <c r="FG274" s="13" t="str">
        <f t="shared" si="326"/>
        <v>110级-防御套寄灵人の头盔</v>
      </c>
      <c r="FH274" s="14">
        <f t="shared" si="327"/>
        <v>1</v>
      </c>
      <c r="FI274" s="14">
        <f t="shared" si="328"/>
        <v>4</v>
      </c>
      <c r="FJ274" s="14">
        <f t="shared" si="329"/>
        <v>110</v>
      </c>
      <c r="FK274" s="14">
        <v>1</v>
      </c>
      <c r="FL274" s="14">
        <f t="shared" si="330"/>
        <v>7</v>
      </c>
      <c r="FM274" s="14">
        <f t="shared" si="346"/>
        <v>2</v>
      </c>
      <c r="FN274" s="14">
        <f t="shared" si="331"/>
        <v>200742</v>
      </c>
      <c r="FO274" s="14">
        <f t="shared" si="332"/>
        <v>210</v>
      </c>
      <c r="FP274" s="14">
        <f t="shared" si="347"/>
        <v>0</v>
      </c>
      <c r="FQ274" s="14">
        <f t="shared" si="348"/>
        <v>280</v>
      </c>
      <c r="FR274" s="14">
        <f t="shared" si="349"/>
        <v>0</v>
      </c>
      <c r="FS274" s="14">
        <f t="shared" si="350"/>
        <v>0</v>
      </c>
      <c r="FT274" s="14">
        <f t="shared" si="351"/>
        <v>14</v>
      </c>
      <c r="FU274" s="14">
        <f t="shared" si="352"/>
        <v>0</v>
      </c>
      <c r="FV274" s="14">
        <f t="shared" si="333"/>
        <v>1074</v>
      </c>
      <c r="FW274" s="14">
        <f t="shared" si="334"/>
        <v>5</v>
      </c>
      <c r="FX274" s="14">
        <f t="shared" si="335"/>
        <v>1074</v>
      </c>
      <c r="FY274" s="25" t="str">
        <f t="shared" si="353"/>
        <v>icon_2007422</v>
      </c>
      <c r="GC274" s="14">
        <f t="shared" si="336"/>
        <v>2</v>
      </c>
      <c r="GD274" s="14">
        <f t="shared" si="337"/>
        <v>0</v>
      </c>
      <c r="GE274" s="14">
        <f t="shared" si="354"/>
        <v>210</v>
      </c>
      <c r="GF274" s="14" t="str">
        <f t="shared" si="338"/>
        <v>DefExt</v>
      </c>
      <c r="GG274" s="14">
        <f t="shared" si="355"/>
        <v>280</v>
      </c>
      <c r="GH274" s="14">
        <f t="shared" si="356"/>
        <v>14</v>
      </c>
      <c r="GI274" s="14" t="str">
        <f t="shared" si="339"/>
        <v/>
      </c>
      <c r="GJ274" s="14" t="str">
        <f t="shared" si="357"/>
        <v/>
      </c>
      <c r="GK274" s="14" t="str">
        <f t="shared" si="358"/>
        <v/>
      </c>
      <c r="GL274" s="14">
        <f t="shared" si="340"/>
        <v>20740</v>
      </c>
      <c r="GM274" s="14">
        <f t="shared" si="359"/>
        <v>5</v>
      </c>
      <c r="GN274" s="14">
        <f t="shared" si="360"/>
        <v>1074</v>
      </c>
      <c r="GO274" s="25" t="s">
        <v>1471</v>
      </c>
      <c r="GP274" s="14">
        <f t="shared" si="341"/>
        <v>300</v>
      </c>
      <c r="HK274" s="13">
        <v>269</v>
      </c>
      <c r="HL274" s="14">
        <f t="shared" si="361"/>
        <v>12</v>
      </c>
      <c r="HM274" s="14">
        <f t="shared" si="362"/>
        <v>2</v>
      </c>
      <c r="HN274" s="14">
        <f t="shared" si="363"/>
        <v>1</v>
      </c>
      <c r="HO274" s="14">
        <f t="shared" si="364"/>
        <v>3</v>
      </c>
      <c r="HP274" s="14" t="str">
        <f t="shared" si="365"/>
        <v>15级守护灵洗练-Q3-5</v>
      </c>
      <c r="HQ274" s="14">
        <f t="shared" si="366"/>
        <v>2013</v>
      </c>
      <c r="HR274" s="14">
        <f t="shared" si="367"/>
        <v>5</v>
      </c>
      <c r="HS274" s="14">
        <f t="shared" si="368"/>
        <v>400</v>
      </c>
      <c r="HT274" s="14" t="str">
        <f t="shared" si="369"/>
        <v>DefRate</v>
      </c>
      <c r="HU274" s="14">
        <f t="shared" si="370"/>
        <v>1.4E-2</v>
      </c>
      <c r="HV274" s="14">
        <f t="shared" si="371"/>
        <v>0.04</v>
      </c>
    </row>
    <row r="275" spans="151:230" ht="16.5" x14ac:dyDescent="0.2">
      <c r="EU275" s="13">
        <v>270</v>
      </c>
      <c r="EV275" s="14">
        <f t="shared" si="342"/>
        <v>1</v>
      </c>
      <c r="EW275" s="14">
        <f t="shared" si="343"/>
        <v>270</v>
      </c>
      <c r="EX275" s="14">
        <f t="shared" si="344"/>
        <v>36</v>
      </c>
      <c r="EY275" s="14">
        <f t="shared" si="319"/>
        <v>42</v>
      </c>
      <c r="EZ275" s="14">
        <f t="shared" si="320"/>
        <v>7</v>
      </c>
      <c r="FA275" s="14">
        <f t="shared" si="321"/>
        <v>110</v>
      </c>
      <c r="FB275" s="14">
        <f t="shared" si="322"/>
        <v>4</v>
      </c>
      <c r="FC275" s="14">
        <f t="shared" si="323"/>
        <v>3</v>
      </c>
      <c r="FD275" s="14">
        <f t="shared" si="324"/>
        <v>3</v>
      </c>
      <c r="FE275" s="14" t="b">
        <f t="shared" si="345"/>
        <v>1</v>
      </c>
      <c r="FF275" s="14">
        <f t="shared" si="325"/>
        <v>2007423</v>
      </c>
      <c r="FG275" s="13" t="str">
        <f t="shared" si="326"/>
        <v>110级-防御套寄灵人の铠甲</v>
      </c>
      <c r="FH275" s="14">
        <f t="shared" si="327"/>
        <v>1</v>
      </c>
      <c r="FI275" s="14">
        <f t="shared" si="328"/>
        <v>4</v>
      </c>
      <c r="FJ275" s="14">
        <f t="shared" si="329"/>
        <v>110</v>
      </c>
      <c r="FK275" s="14">
        <v>1</v>
      </c>
      <c r="FL275" s="14">
        <f t="shared" si="330"/>
        <v>7</v>
      </c>
      <c r="FM275" s="14">
        <f t="shared" si="346"/>
        <v>3</v>
      </c>
      <c r="FN275" s="14">
        <f t="shared" si="331"/>
        <v>200742</v>
      </c>
      <c r="FO275" s="14">
        <f t="shared" si="332"/>
        <v>298</v>
      </c>
      <c r="FP275" s="14">
        <f t="shared" si="347"/>
        <v>0</v>
      </c>
      <c r="FQ275" s="14">
        <f t="shared" si="348"/>
        <v>140</v>
      </c>
      <c r="FR275" s="14">
        <f t="shared" si="349"/>
        <v>2500</v>
      </c>
      <c r="FS275" s="14">
        <f t="shared" si="350"/>
        <v>0</v>
      </c>
      <c r="FT275" s="14">
        <f t="shared" si="351"/>
        <v>7</v>
      </c>
      <c r="FU275" s="14">
        <f t="shared" si="352"/>
        <v>129</v>
      </c>
      <c r="FV275" s="14">
        <f t="shared" si="333"/>
        <v>1074</v>
      </c>
      <c r="FW275" s="14">
        <f t="shared" si="334"/>
        <v>5</v>
      </c>
      <c r="FX275" s="14">
        <f t="shared" si="335"/>
        <v>1074</v>
      </c>
      <c r="FY275" s="25" t="str">
        <f t="shared" si="353"/>
        <v>icon_2007423</v>
      </c>
      <c r="GC275" s="14">
        <f t="shared" si="336"/>
        <v>2</v>
      </c>
      <c r="GD275" s="14">
        <f t="shared" si="337"/>
        <v>3</v>
      </c>
      <c r="GE275" s="14">
        <f t="shared" si="354"/>
        <v>298</v>
      </c>
      <c r="GF275" s="14" t="str">
        <f t="shared" si="338"/>
        <v>DefExt</v>
      </c>
      <c r="GG275" s="14">
        <f t="shared" si="355"/>
        <v>140</v>
      </c>
      <c r="GH275" s="14">
        <f t="shared" si="356"/>
        <v>7</v>
      </c>
      <c r="GI275" s="14" t="str">
        <f t="shared" si="339"/>
        <v>HPExt</v>
      </c>
      <c r="GJ275" s="14">
        <f t="shared" si="357"/>
        <v>2500</v>
      </c>
      <c r="GK275" s="14">
        <f t="shared" si="358"/>
        <v>129</v>
      </c>
      <c r="GL275" s="14">
        <f t="shared" si="340"/>
        <v>20740</v>
      </c>
      <c r="GM275" s="14">
        <f t="shared" si="359"/>
        <v>5</v>
      </c>
      <c r="GN275" s="14">
        <f t="shared" si="360"/>
        <v>1074</v>
      </c>
      <c r="GO275" s="25" t="s">
        <v>1471</v>
      </c>
      <c r="GP275" s="14">
        <f t="shared" si="341"/>
        <v>300</v>
      </c>
      <c r="HK275" s="13">
        <v>270</v>
      </c>
      <c r="HL275" s="14">
        <f t="shared" si="361"/>
        <v>12</v>
      </c>
      <c r="HM275" s="14">
        <f t="shared" si="362"/>
        <v>2</v>
      </c>
      <c r="HN275" s="14">
        <f t="shared" si="363"/>
        <v>1</v>
      </c>
      <c r="HO275" s="14">
        <f t="shared" si="364"/>
        <v>3</v>
      </c>
      <c r="HP275" s="14" t="str">
        <f t="shared" si="365"/>
        <v>15级守护灵洗练-Q3-6</v>
      </c>
      <c r="HQ275" s="14">
        <f t="shared" si="366"/>
        <v>2013</v>
      </c>
      <c r="HR275" s="14">
        <f t="shared" si="367"/>
        <v>6</v>
      </c>
      <c r="HS275" s="14">
        <f t="shared" si="368"/>
        <v>500</v>
      </c>
      <c r="HT275" s="14" t="str">
        <f t="shared" si="369"/>
        <v>HPRate</v>
      </c>
      <c r="HU275" s="14">
        <f t="shared" si="370"/>
        <v>1.4E-2</v>
      </c>
      <c r="HV275" s="14">
        <f t="shared" si="371"/>
        <v>0.04</v>
      </c>
    </row>
    <row r="276" spans="151:230" ht="16.5" x14ac:dyDescent="0.2">
      <c r="EU276" s="13">
        <v>271</v>
      </c>
      <c r="EV276" s="14">
        <f t="shared" si="342"/>
        <v>1</v>
      </c>
      <c r="EW276" s="14">
        <f t="shared" si="343"/>
        <v>271</v>
      </c>
      <c r="EX276" s="14">
        <f t="shared" si="344"/>
        <v>36</v>
      </c>
      <c r="EY276" s="14">
        <f t="shared" si="319"/>
        <v>42</v>
      </c>
      <c r="EZ276" s="14">
        <f t="shared" si="320"/>
        <v>7</v>
      </c>
      <c r="FA276" s="14">
        <f t="shared" si="321"/>
        <v>110</v>
      </c>
      <c r="FB276" s="14">
        <f t="shared" si="322"/>
        <v>4</v>
      </c>
      <c r="FC276" s="14">
        <f t="shared" si="323"/>
        <v>4</v>
      </c>
      <c r="FD276" s="14">
        <f t="shared" si="324"/>
        <v>4</v>
      </c>
      <c r="FE276" s="14" t="b">
        <f t="shared" si="345"/>
        <v>1</v>
      </c>
      <c r="FF276" s="14">
        <f t="shared" si="325"/>
        <v>2007424</v>
      </c>
      <c r="FG276" s="13" t="str">
        <f t="shared" si="326"/>
        <v>110级-防御套寄灵人の裤子</v>
      </c>
      <c r="FH276" s="14">
        <f t="shared" si="327"/>
        <v>1</v>
      </c>
      <c r="FI276" s="14">
        <f t="shared" si="328"/>
        <v>4</v>
      </c>
      <c r="FJ276" s="14">
        <f t="shared" si="329"/>
        <v>110</v>
      </c>
      <c r="FK276" s="14">
        <v>1</v>
      </c>
      <c r="FL276" s="14">
        <f t="shared" si="330"/>
        <v>7</v>
      </c>
      <c r="FM276" s="14">
        <f t="shared" si="346"/>
        <v>4</v>
      </c>
      <c r="FN276" s="14">
        <f t="shared" si="331"/>
        <v>200742</v>
      </c>
      <c r="FO276" s="14">
        <f t="shared" si="332"/>
        <v>210</v>
      </c>
      <c r="FP276" s="14">
        <f t="shared" si="347"/>
        <v>0</v>
      </c>
      <c r="FQ276" s="14">
        <f t="shared" si="348"/>
        <v>280</v>
      </c>
      <c r="FR276" s="14">
        <f t="shared" si="349"/>
        <v>0</v>
      </c>
      <c r="FS276" s="14">
        <f t="shared" si="350"/>
        <v>0</v>
      </c>
      <c r="FT276" s="14">
        <f t="shared" si="351"/>
        <v>14</v>
      </c>
      <c r="FU276" s="14">
        <f t="shared" si="352"/>
        <v>0</v>
      </c>
      <c r="FV276" s="14">
        <f t="shared" si="333"/>
        <v>1074</v>
      </c>
      <c r="FW276" s="14">
        <f t="shared" si="334"/>
        <v>5</v>
      </c>
      <c r="FX276" s="14">
        <f t="shared" si="335"/>
        <v>1074</v>
      </c>
      <c r="FY276" s="25" t="str">
        <f t="shared" si="353"/>
        <v>icon_2007424</v>
      </c>
      <c r="GC276" s="14">
        <f t="shared" si="336"/>
        <v>2</v>
      </c>
      <c r="GD276" s="14">
        <f t="shared" si="337"/>
        <v>0</v>
      </c>
      <c r="GE276" s="14">
        <f t="shared" si="354"/>
        <v>210</v>
      </c>
      <c r="GF276" s="14" t="str">
        <f t="shared" si="338"/>
        <v>DefExt</v>
      </c>
      <c r="GG276" s="14">
        <f t="shared" si="355"/>
        <v>280</v>
      </c>
      <c r="GH276" s="14">
        <f t="shared" si="356"/>
        <v>14</v>
      </c>
      <c r="GI276" s="14" t="str">
        <f t="shared" si="339"/>
        <v/>
      </c>
      <c r="GJ276" s="14" t="str">
        <f t="shared" si="357"/>
        <v/>
      </c>
      <c r="GK276" s="14" t="str">
        <f t="shared" si="358"/>
        <v/>
      </c>
      <c r="GL276" s="14">
        <f t="shared" si="340"/>
        <v>20740</v>
      </c>
      <c r="GM276" s="14">
        <f t="shared" si="359"/>
        <v>5</v>
      </c>
      <c r="GN276" s="14">
        <f t="shared" si="360"/>
        <v>1074</v>
      </c>
      <c r="GO276" s="25" t="s">
        <v>1471</v>
      </c>
      <c r="GP276" s="14">
        <f t="shared" si="341"/>
        <v>300</v>
      </c>
      <c r="HK276" s="13">
        <v>271</v>
      </c>
      <c r="HL276" s="14">
        <f t="shared" si="361"/>
        <v>12</v>
      </c>
      <c r="HM276" s="14">
        <f t="shared" si="362"/>
        <v>2</v>
      </c>
      <c r="HN276" s="14">
        <f t="shared" si="363"/>
        <v>1</v>
      </c>
      <c r="HO276" s="14">
        <f t="shared" si="364"/>
        <v>3</v>
      </c>
      <c r="HP276" s="14" t="str">
        <f t="shared" si="365"/>
        <v>15级守护灵洗练-Q3-7</v>
      </c>
      <c r="HQ276" s="14">
        <f t="shared" si="366"/>
        <v>2013</v>
      </c>
      <c r="HR276" s="14">
        <f t="shared" si="367"/>
        <v>7</v>
      </c>
      <c r="HS276" s="14">
        <f t="shared" si="368"/>
        <v>500</v>
      </c>
      <c r="HT276" s="14" t="str">
        <f t="shared" si="369"/>
        <v>Crit</v>
      </c>
      <c r="HU276" s="14">
        <f t="shared" si="370"/>
        <v>1.0999999999999999E-2</v>
      </c>
      <c r="HV276" s="14">
        <f t="shared" si="371"/>
        <v>0.03</v>
      </c>
    </row>
    <row r="277" spans="151:230" ht="16.5" x14ac:dyDescent="0.2">
      <c r="EU277" s="13">
        <v>272</v>
      </c>
      <c r="EV277" s="14">
        <f t="shared" si="342"/>
        <v>1</v>
      </c>
      <c r="EW277" s="14">
        <f t="shared" si="343"/>
        <v>272</v>
      </c>
      <c r="EX277" s="14">
        <f t="shared" si="344"/>
        <v>36</v>
      </c>
      <c r="EY277" s="14">
        <f t="shared" si="319"/>
        <v>42</v>
      </c>
      <c r="EZ277" s="14">
        <f t="shared" si="320"/>
        <v>7</v>
      </c>
      <c r="FA277" s="14">
        <f t="shared" si="321"/>
        <v>110</v>
      </c>
      <c r="FB277" s="14">
        <f t="shared" si="322"/>
        <v>4</v>
      </c>
      <c r="FC277" s="14">
        <f t="shared" si="323"/>
        <v>5</v>
      </c>
      <c r="FD277" s="14">
        <f t="shared" si="324"/>
        <v>5</v>
      </c>
      <c r="FE277" s="14" t="b">
        <f t="shared" si="345"/>
        <v>1</v>
      </c>
      <c r="FF277" s="14">
        <f t="shared" si="325"/>
        <v>2007425</v>
      </c>
      <c r="FG277" s="13" t="str">
        <f t="shared" si="326"/>
        <v>110级-防御套寄灵人の鞋子</v>
      </c>
      <c r="FH277" s="14">
        <f t="shared" si="327"/>
        <v>1</v>
      </c>
      <c r="FI277" s="14">
        <f t="shared" si="328"/>
        <v>4</v>
      </c>
      <c r="FJ277" s="14">
        <f t="shared" si="329"/>
        <v>110</v>
      </c>
      <c r="FK277" s="14">
        <v>1</v>
      </c>
      <c r="FL277" s="14">
        <f t="shared" si="330"/>
        <v>7</v>
      </c>
      <c r="FM277" s="14">
        <f t="shared" si="346"/>
        <v>5</v>
      </c>
      <c r="FN277" s="14">
        <f t="shared" si="331"/>
        <v>200742</v>
      </c>
      <c r="FO277" s="14">
        <f t="shared" si="332"/>
        <v>387</v>
      </c>
      <c r="FP277" s="14">
        <f t="shared" si="347"/>
        <v>0</v>
      </c>
      <c r="FQ277" s="14">
        <f t="shared" si="348"/>
        <v>0</v>
      </c>
      <c r="FR277" s="14">
        <f t="shared" si="349"/>
        <v>5005</v>
      </c>
      <c r="FS277" s="14">
        <f t="shared" si="350"/>
        <v>0</v>
      </c>
      <c r="FT277" s="14">
        <f t="shared" si="351"/>
        <v>0</v>
      </c>
      <c r="FU277" s="14">
        <f t="shared" si="352"/>
        <v>258</v>
      </c>
      <c r="FV277" s="14">
        <f t="shared" si="333"/>
        <v>1074</v>
      </c>
      <c r="FW277" s="14">
        <f t="shared" si="334"/>
        <v>5</v>
      </c>
      <c r="FX277" s="14">
        <f t="shared" si="335"/>
        <v>1074</v>
      </c>
      <c r="FY277" s="25" t="str">
        <f t="shared" si="353"/>
        <v>icon_2007425</v>
      </c>
      <c r="GC277" s="14">
        <f t="shared" si="336"/>
        <v>3</v>
      </c>
      <c r="GD277" s="14">
        <f t="shared" si="337"/>
        <v>0</v>
      </c>
      <c r="GE277" s="14">
        <f t="shared" si="354"/>
        <v>387</v>
      </c>
      <c r="GF277" s="14" t="str">
        <f t="shared" si="338"/>
        <v>HPExt</v>
      </c>
      <c r="GG277" s="14">
        <f t="shared" si="355"/>
        <v>5005</v>
      </c>
      <c r="GH277" s="14">
        <f t="shared" si="356"/>
        <v>258</v>
      </c>
      <c r="GI277" s="14" t="str">
        <f t="shared" si="339"/>
        <v/>
      </c>
      <c r="GJ277" s="14" t="str">
        <f t="shared" si="357"/>
        <v/>
      </c>
      <c r="GK277" s="14" t="str">
        <f t="shared" si="358"/>
        <v/>
      </c>
      <c r="GL277" s="14">
        <f t="shared" si="340"/>
        <v>20740</v>
      </c>
      <c r="GM277" s="14">
        <f t="shared" si="359"/>
        <v>5</v>
      </c>
      <c r="GN277" s="14">
        <f t="shared" si="360"/>
        <v>1074</v>
      </c>
      <c r="GO277" s="25" t="s">
        <v>1471</v>
      </c>
      <c r="GP277" s="14">
        <f t="shared" si="341"/>
        <v>300</v>
      </c>
      <c r="HK277" s="13">
        <v>272</v>
      </c>
      <c r="HL277" s="14">
        <f t="shared" si="361"/>
        <v>12</v>
      </c>
      <c r="HM277" s="14">
        <f t="shared" si="362"/>
        <v>2</v>
      </c>
      <c r="HN277" s="14">
        <f t="shared" si="363"/>
        <v>1</v>
      </c>
      <c r="HO277" s="14">
        <f t="shared" si="364"/>
        <v>3</v>
      </c>
      <c r="HP277" s="14" t="str">
        <f t="shared" si="365"/>
        <v>15级守护灵洗练-Q3-8</v>
      </c>
      <c r="HQ277" s="14">
        <f t="shared" si="366"/>
        <v>2013</v>
      </c>
      <c r="HR277" s="14">
        <f t="shared" si="367"/>
        <v>8</v>
      </c>
      <c r="HS277" s="14">
        <f t="shared" si="368"/>
        <v>500</v>
      </c>
      <c r="HT277" s="14" t="str">
        <f t="shared" si="369"/>
        <v>CritRate</v>
      </c>
      <c r="HU277" s="14">
        <f t="shared" si="370"/>
        <v>2.8000000000000001E-2</v>
      </c>
      <c r="HV277" s="14">
        <f t="shared" si="371"/>
        <v>0.08</v>
      </c>
    </row>
    <row r="278" spans="151:230" ht="16.5" x14ac:dyDescent="0.2">
      <c r="EU278" s="13">
        <v>273</v>
      </c>
      <c r="EV278" s="14">
        <f t="shared" si="342"/>
        <v>1</v>
      </c>
      <c r="EW278" s="14">
        <f t="shared" si="343"/>
        <v>273</v>
      </c>
      <c r="EX278" s="14">
        <f t="shared" si="344"/>
        <v>36</v>
      </c>
      <c r="EY278" s="14">
        <f t="shared" si="319"/>
        <v>42</v>
      </c>
      <c r="EZ278" s="14">
        <f t="shared" si="320"/>
        <v>7</v>
      </c>
      <c r="FA278" s="14">
        <f t="shared" si="321"/>
        <v>110</v>
      </c>
      <c r="FB278" s="14">
        <f t="shared" si="322"/>
        <v>4</v>
      </c>
      <c r="FC278" s="14">
        <f t="shared" si="323"/>
        <v>6</v>
      </c>
      <c r="FD278" s="14">
        <f t="shared" si="324"/>
        <v>6</v>
      </c>
      <c r="FE278" s="14" t="b">
        <f t="shared" si="345"/>
        <v>1</v>
      </c>
      <c r="FF278" s="14">
        <f t="shared" si="325"/>
        <v>2007426</v>
      </c>
      <c r="FG278" s="13" t="str">
        <f t="shared" si="326"/>
        <v>110级-防御套寄灵人の护手</v>
      </c>
      <c r="FH278" s="14">
        <f t="shared" si="327"/>
        <v>1</v>
      </c>
      <c r="FI278" s="14">
        <f t="shared" si="328"/>
        <v>4</v>
      </c>
      <c r="FJ278" s="14">
        <f t="shared" si="329"/>
        <v>110</v>
      </c>
      <c r="FK278" s="14">
        <v>1</v>
      </c>
      <c r="FL278" s="14">
        <f t="shared" si="330"/>
        <v>7</v>
      </c>
      <c r="FM278" s="14">
        <f t="shared" si="346"/>
        <v>6</v>
      </c>
      <c r="FN278" s="14">
        <f t="shared" si="331"/>
        <v>200742</v>
      </c>
      <c r="FO278" s="14">
        <f t="shared" si="332"/>
        <v>387</v>
      </c>
      <c r="FP278" s="14">
        <f t="shared" si="347"/>
        <v>0</v>
      </c>
      <c r="FQ278" s="14">
        <f t="shared" si="348"/>
        <v>0</v>
      </c>
      <c r="FR278" s="14">
        <f t="shared" si="349"/>
        <v>5005</v>
      </c>
      <c r="FS278" s="14">
        <f t="shared" si="350"/>
        <v>0</v>
      </c>
      <c r="FT278" s="14">
        <f t="shared" si="351"/>
        <v>0</v>
      </c>
      <c r="FU278" s="14">
        <f t="shared" si="352"/>
        <v>258</v>
      </c>
      <c r="FV278" s="14">
        <f t="shared" si="333"/>
        <v>1074</v>
      </c>
      <c r="FW278" s="14">
        <f t="shared" si="334"/>
        <v>5</v>
      </c>
      <c r="FX278" s="14">
        <f t="shared" si="335"/>
        <v>1074</v>
      </c>
      <c r="FY278" s="25" t="str">
        <f t="shared" si="353"/>
        <v>icon_2007426</v>
      </c>
      <c r="GC278" s="14">
        <f t="shared" si="336"/>
        <v>3</v>
      </c>
      <c r="GD278" s="14">
        <f t="shared" si="337"/>
        <v>0</v>
      </c>
      <c r="GE278" s="14">
        <f t="shared" si="354"/>
        <v>387</v>
      </c>
      <c r="GF278" s="14" t="str">
        <f t="shared" si="338"/>
        <v>HPExt</v>
      </c>
      <c r="GG278" s="14">
        <f t="shared" si="355"/>
        <v>5005</v>
      </c>
      <c r="GH278" s="14">
        <f t="shared" si="356"/>
        <v>258</v>
      </c>
      <c r="GI278" s="14" t="str">
        <f t="shared" si="339"/>
        <v/>
      </c>
      <c r="GJ278" s="14" t="str">
        <f t="shared" si="357"/>
        <v/>
      </c>
      <c r="GK278" s="14" t="str">
        <f t="shared" si="358"/>
        <v/>
      </c>
      <c r="GL278" s="14">
        <f t="shared" si="340"/>
        <v>20740</v>
      </c>
      <c r="GM278" s="14">
        <f t="shared" si="359"/>
        <v>5</v>
      </c>
      <c r="GN278" s="14">
        <f t="shared" si="360"/>
        <v>1074</v>
      </c>
      <c r="GO278" s="25" t="s">
        <v>1471</v>
      </c>
      <c r="GP278" s="14">
        <f t="shared" si="341"/>
        <v>300</v>
      </c>
      <c r="HK278" s="13">
        <v>273</v>
      </c>
      <c r="HL278" s="14">
        <f t="shared" si="361"/>
        <v>12</v>
      </c>
      <c r="HM278" s="14">
        <f t="shared" si="362"/>
        <v>2</v>
      </c>
      <c r="HN278" s="14">
        <f t="shared" si="363"/>
        <v>1</v>
      </c>
      <c r="HO278" s="14">
        <f t="shared" si="364"/>
        <v>3</v>
      </c>
      <c r="HP278" s="14" t="str">
        <f t="shared" si="365"/>
        <v>15级守护灵洗练-Q3-9</v>
      </c>
      <c r="HQ278" s="14">
        <f t="shared" si="366"/>
        <v>2013</v>
      </c>
      <c r="HR278" s="14">
        <f t="shared" si="367"/>
        <v>9</v>
      </c>
      <c r="HS278" s="14">
        <f t="shared" si="368"/>
        <v>500</v>
      </c>
      <c r="HT278" s="14" t="str">
        <f t="shared" si="369"/>
        <v>DefIgnor</v>
      </c>
      <c r="HU278" s="14">
        <f t="shared" si="370"/>
        <v>1.0999999999999999E-2</v>
      </c>
      <c r="HV278" s="14">
        <f t="shared" si="371"/>
        <v>0.03</v>
      </c>
    </row>
    <row r="279" spans="151:230" ht="16.5" x14ac:dyDescent="0.2">
      <c r="EU279" s="13">
        <v>274</v>
      </c>
      <c r="EV279" s="14">
        <f t="shared" si="342"/>
        <v>1</v>
      </c>
      <c r="EW279" s="14">
        <f t="shared" si="343"/>
        <v>274</v>
      </c>
      <c r="EX279" s="14">
        <f t="shared" si="344"/>
        <v>37</v>
      </c>
      <c r="EY279" s="14">
        <f t="shared" si="319"/>
        <v>10</v>
      </c>
      <c r="EZ279" s="14">
        <f t="shared" si="320"/>
        <v>8</v>
      </c>
      <c r="FA279" s="14">
        <f t="shared" si="321"/>
        <v>120</v>
      </c>
      <c r="FB279" s="14">
        <f t="shared" si="322"/>
        <v>1</v>
      </c>
      <c r="FC279" s="14">
        <f t="shared" si="323"/>
        <v>1</v>
      </c>
      <c r="FD279" s="14">
        <f t="shared" si="324"/>
        <v>1</v>
      </c>
      <c r="FE279" s="14" t="b">
        <f t="shared" si="345"/>
        <v>0</v>
      </c>
      <c r="FF279" s="14">
        <f t="shared" si="325"/>
        <v>2008101</v>
      </c>
      <c r="FG279" s="13" t="str">
        <f t="shared" si="326"/>
        <v>120级-普通寄灵人の灵器</v>
      </c>
      <c r="FH279" s="14">
        <f t="shared" si="327"/>
        <v>1</v>
      </c>
      <c r="FI279" s="14">
        <f t="shared" si="328"/>
        <v>1</v>
      </c>
      <c r="FJ279" s="14">
        <f t="shared" si="329"/>
        <v>120</v>
      </c>
      <c r="FK279" s="14">
        <v>1</v>
      </c>
      <c r="FL279" s="14">
        <f t="shared" si="330"/>
        <v>8</v>
      </c>
      <c r="FM279" s="14">
        <f t="shared" si="346"/>
        <v>1</v>
      </c>
      <c r="FN279" s="14" t="str">
        <f t="shared" si="331"/>
        <v/>
      </c>
      <c r="FO279" s="14">
        <f t="shared" si="332"/>
        <v>190</v>
      </c>
      <c r="FP279" s="14">
        <f t="shared" si="347"/>
        <v>775</v>
      </c>
      <c r="FQ279" s="14">
        <f t="shared" si="348"/>
        <v>0</v>
      </c>
      <c r="FR279" s="14">
        <f t="shared" si="349"/>
        <v>0</v>
      </c>
      <c r="FS279" s="14">
        <f t="shared" si="350"/>
        <v>38</v>
      </c>
      <c r="FT279" s="14">
        <f t="shared" si="351"/>
        <v>0</v>
      </c>
      <c r="FU279" s="14">
        <f t="shared" si="352"/>
        <v>0</v>
      </c>
      <c r="FV279" s="14">
        <f t="shared" si="333"/>
        <v>1081</v>
      </c>
      <c r="FW279" s="14">
        <f t="shared" si="334"/>
        <v>0</v>
      </c>
      <c r="FX279" s="14" t="str">
        <f t="shared" si="335"/>
        <v/>
      </c>
      <c r="FY279" s="25" t="str">
        <f t="shared" si="353"/>
        <v>icon_2008101</v>
      </c>
      <c r="GC279" s="14">
        <f t="shared" si="336"/>
        <v>1</v>
      </c>
      <c r="GD279" s="14">
        <f t="shared" si="337"/>
        <v>0</v>
      </c>
      <c r="GE279" s="14">
        <f t="shared" si="354"/>
        <v>190</v>
      </c>
      <c r="GF279" s="14" t="str">
        <f t="shared" si="338"/>
        <v>AtkExt</v>
      </c>
      <c r="GG279" s="14">
        <f t="shared" si="355"/>
        <v>775</v>
      </c>
      <c r="GH279" s="14">
        <f t="shared" si="356"/>
        <v>38</v>
      </c>
      <c r="GI279" s="14" t="str">
        <f t="shared" si="339"/>
        <v/>
      </c>
      <c r="GJ279" s="14" t="str">
        <f t="shared" si="357"/>
        <v/>
      </c>
      <c r="GK279" s="14" t="str">
        <f t="shared" si="358"/>
        <v/>
      </c>
      <c r="GL279" s="14">
        <f t="shared" si="340"/>
        <v>20810</v>
      </c>
      <c r="GM279" s="14">
        <f t="shared" si="359"/>
        <v>0</v>
      </c>
      <c r="GN279" s="14" t="str">
        <f t="shared" si="360"/>
        <v/>
      </c>
      <c r="GO279" s="25" t="s">
        <v>1471</v>
      </c>
      <c r="GP279" s="14">
        <f t="shared" si="341"/>
        <v>80</v>
      </c>
      <c r="HK279" s="13">
        <v>274</v>
      </c>
      <c r="HL279" s="14">
        <f t="shared" si="361"/>
        <v>12</v>
      </c>
      <c r="HM279" s="14">
        <f t="shared" si="362"/>
        <v>2</v>
      </c>
      <c r="HN279" s="14">
        <f t="shared" si="363"/>
        <v>1</v>
      </c>
      <c r="HO279" s="14">
        <f t="shared" si="364"/>
        <v>3</v>
      </c>
      <c r="HP279" s="14" t="str">
        <f t="shared" si="365"/>
        <v>15级守护灵洗练-Q3-10</v>
      </c>
      <c r="HQ279" s="14">
        <f t="shared" si="366"/>
        <v>2013</v>
      </c>
      <c r="HR279" s="14">
        <f t="shared" si="367"/>
        <v>10</v>
      </c>
      <c r="HS279" s="14">
        <f t="shared" si="368"/>
        <v>500</v>
      </c>
      <c r="HT279" s="14" t="str">
        <f t="shared" si="369"/>
        <v>Block</v>
      </c>
      <c r="HU279" s="14">
        <f t="shared" si="370"/>
        <v>1.0999999999999999E-2</v>
      </c>
      <c r="HV279" s="14">
        <f t="shared" si="371"/>
        <v>0.03</v>
      </c>
    </row>
    <row r="280" spans="151:230" ht="16.5" x14ac:dyDescent="0.2">
      <c r="EU280" s="13">
        <v>275</v>
      </c>
      <c r="EV280" s="14">
        <f t="shared" si="342"/>
        <v>1</v>
      </c>
      <c r="EW280" s="14">
        <f t="shared" si="343"/>
        <v>275</v>
      </c>
      <c r="EX280" s="14">
        <f t="shared" si="344"/>
        <v>37</v>
      </c>
      <c r="EY280" s="14">
        <f t="shared" si="319"/>
        <v>10</v>
      </c>
      <c r="EZ280" s="14">
        <f t="shared" si="320"/>
        <v>8</v>
      </c>
      <c r="FA280" s="14">
        <f t="shared" si="321"/>
        <v>120</v>
      </c>
      <c r="FB280" s="14">
        <f t="shared" si="322"/>
        <v>1</v>
      </c>
      <c r="FC280" s="14">
        <f t="shared" si="323"/>
        <v>2</v>
      </c>
      <c r="FD280" s="14">
        <f t="shared" si="324"/>
        <v>2</v>
      </c>
      <c r="FE280" s="14" t="b">
        <f t="shared" si="345"/>
        <v>0</v>
      </c>
      <c r="FF280" s="14">
        <f t="shared" si="325"/>
        <v>2008102</v>
      </c>
      <c r="FG280" s="13" t="str">
        <f t="shared" si="326"/>
        <v>120级-普通寄灵人の头盔</v>
      </c>
      <c r="FH280" s="14">
        <f t="shared" si="327"/>
        <v>1</v>
      </c>
      <c r="FI280" s="14">
        <f t="shared" si="328"/>
        <v>1</v>
      </c>
      <c r="FJ280" s="14">
        <f t="shared" si="329"/>
        <v>120</v>
      </c>
      <c r="FK280" s="14">
        <v>1</v>
      </c>
      <c r="FL280" s="14">
        <f t="shared" si="330"/>
        <v>8</v>
      </c>
      <c r="FM280" s="14">
        <f t="shared" si="346"/>
        <v>2</v>
      </c>
      <c r="FN280" s="14" t="str">
        <f t="shared" si="331"/>
        <v/>
      </c>
      <c r="FO280" s="14">
        <f t="shared" si="332"/>
        <v>100</v>
      </c>
      <c r="FP280" s="14">
        <f t="shared" si="347"/>
        <v>0</v>
      </c>
      <c r="FQ280" s="14">
        <f t="shared" si="348"/>
        <v>195</v>
      </c>
      <c r="FR280" s="14">
        <f t="shared" si="349"/>
        <v>0</v>
      </c>
      <c r="FS280" s="14">
        <f t="shared" si="350"/>
        <v>0</v>
      </c>
      <c r="FT280" s="14">
        <f t="shared" si="351"/>
        <v>10</v>
      </c>
      <c r="FU280" s="14">
        <f t="shared" si="352"/>
        <v>0</v>
      </c>
      <c r="FV280" s="14">
        <f t="shared" si="333"/>
        <v>1081</v>
      </c>
      <c r="FW280" s="14">
        <f t="shared" si="334"/>
        <v>0</v>
      </c>
      <c r="FX280" s="14" t="str">
        <f t="shared" si="335"/>
        <v/>
      </c>
      <c r="FY280" s="25" t="str">
        <f t="shared" si="353"/>
        <v>icon_2008102</v>
      </c>
      <c r="GC280" s="14">
        <f t="shared" si="336"/>
        <v>2</v>
      </c>
      <c r="GD280" s="14">
        <f t="shared" si="337"/>
        <v>0</v>
      </c>
      <c r="GE280" s="14">
        <f t="shared" si="354"/>
        <v>100</v>
      </c>
      <c r="GF280" s="14" t="str">
        <f t="shared" si="338"/>
        <v>DefExt</v>
      </c>
      <c r="GG280" s="14">
        <f t="shared" si="355"/>
        <v>195</v>
      </c>
      <c r="GH280" s="14">
        <f t="shared" si="356"/>
        <v>10</v>
      </c>
      <c r="GI280" s="14" t="str">
        <f t="shared" si="339"/>
        <v/>
      </c>
      <c r="GJ280" s="14" t="str">
        <f t="shared" si="357"/>
        <v/>
      </c>
      <c r="GK280" s="14" t="str">
        <f t="shared" si="358"/>
        <v/>
      </c>
      <c r="GL280" s="14">
        <f t="shared" si="340"/>
        <v>20810</v>
      </c>
      <c r="GM280" s="14">
        <f t="shared" si="359"/>
        <v>0</v>
      </c>
      <c r="GN280" s="14" t="str">
        <f t="shared" si="360"/>
        <v/>
      </c>
      <c r="GO280" s="25" t="s">
        <v>1471</v>
      </c>
      <c r="GP280" s="14">
        <f t="shared" si="341"/>
        <v>40</v>
      </c>
      <c r="HK280" s="13">
        <v>275</v>
      </c>
      <c r="HL280" s="14">
        <f t="shared" si="361"/>
        <v>12</v>
      </c>
      <c r="HM280" s="14">
        <f t="shared" si="362"/>
        <v>2</v>
      </c>
      <c r="HN280" s="14">
        <f t="shared" si="363"/>
        <v>1</v>
      </c>
      <c r="HO280" s="14">
        <f t="shared" si="364"/>
        <v>3</v>
      </c>
      <c r="HP280" s="14" t="str">
        <f t="shared" si="365"/>
        <v>15级守护灵洗练-Q3-11</v>
      </c>
      <c r="HQ280" s="14">
        <f t="shared" si="366"/>
        <v>2013</v>
      </c>
      <c r="HR280" s="14">
        <f t="shared" si="367"/>
        <v>11</v>
      </c>
      <c r="HS280" s="14">
        <f t="shared" si="368"/>
        <v>500</v>
      </c>
      <c r="HT280" s="14" t="str">
        <f t="shared" si="369"/>
        <v>EffectHit</v>
      </c>
      <c r="HU280" s="14">
        <f t="shared" si="370"/>
        <v>1.7999999999999999E-2</v>
      </c>
      <c r="HV280" s="14">
        <f t="shared" si="371"/>
        <v>0.05</v>
      </c>
    </row>
    <row r="281" spans="151:230" ht="16.5" x14ac:dyDescent="0.2">
      <c r="EU281" s="13">
        <v>276</v>
      </c>
      <c r="EV281" s="14">
        <f t="shared" si="342"/>
        <v>1</v>
      </c>
      <c r="EW281" s="14">
        <f t="shared" si="343"/>
        <v>276</v>
      </c>
      <c r="EX281" s="14">
        <f t="shared" si="344"/>
        <v>37</v>
      </c>
      <c r="EY281" s="14">
        <f t="shared" si="319"/>
        <v>10</v>
      </c>
      <c r="EZ281" s="14">
        <f t="shared" si="320"/>
        <v>8</v>
      </c>
      <c r="FA281" s="14">
        <f t="shared" si="321"/>
        <v>120</v>
      </c>
      <c r="FB281" s="14">
        <f t="shared" si="322"/>
        <v>1</v>
      </c>
      <c r="FC281" s="14">
        <f t="shared" si="323"/>
        <v>3</v>
      </c>
      <c r="FD281" s="14">
        <f t="shared" si="324"/>
        <v>3</v>
      </c>
      <c r="FE281" s="14" t="b">
        <f t="shared" si="345"/>
        <v>0</v>
      </c>
      <c r="FF281" s="14">
        <f t="shared" si="325"/>
        <v>2008103</v>
      </c>
      <c r="FG281" s="13" t="str">
        <f t="shared" si="326"/>
        <v>120级-普通寄灵人の铠甲</v>
      </c>
      <c r="FH281" s="14">
        <f t="shared" si="327"/>
        <v>1</v>
      </c>
      <c r="FI281" s="14">
        <f t="shared" si="328"/>
        <v>1</v>
      </c>
      <c r="FJ281" s="14">
        <f t="shared" si="329"/>
        <v>120</v>
      </c>
      <c r="FK281" s="14">
        <v>1</v>
      </c>
      <c r="FL281" s="14">
        <f t="shared" si="330"/>
        <v>8</v>
      </c>
      <c r="FM281" s="14">
        <f t="shared" si="346"/>
        <v>3</v>
      </c>
      <c r="FN281" s="14" t="str">
        <f t="shared" si="331"/>
        <v/>
      </c>
      <c r="FO281" s="14">
        <f t="shared" si="332"/>
        <v>139</v>
      </c>
      <c r="FP281" s="14">
        <f t="shared" si="347"/>
        <v>0</v>
      </c>
      <c r="FQ281" s="14">
        <f t="shared" si="348"/>
        <v>95</v>
      </c>
      <c r="FR281" s="14">
        <f t="shared" si="349"/>
        <v>1805</v>
      </c>
      <c r="FS281" s="14">
        <f t="shared" si="350"/>
        <v>0</v>
      </c>
      <c r="FT281" s="14">
        <f t="shared" si="351"/>
        <v>5</v>
      </c>
      <c r="FU281" s="14">
        <f t="shared" si="352"/>
        <v>89</v>
      </c>
      <c r="FV281" s="14">
        <f t="shared" si="333"/>
        <v>1081</v>
      </c>
      <c r="FW281" s="14">
        <f t="shared" si="334"/>
        <v>0</v>
      </c>
      <c r="FX281" s="14" t="str">
        <f t="shared" si="335"/>
        <v/>
      </c>
      <c r="FY281" s="25" t="str">
        <f t="shared" si="353"/>
        <v>icon_2008103</v>
      </c>
      <c r="GC281" s="14">
        <f t="shared" si="336"/>
        <v>2</v>
      </c>
      <c r="GD281" s="14">
        <f t="shared" si="337"/>
        <v>3</v>
      </c>
      <c r="GE281" s="14">
        <f t="shared" si="354"/>
        <v>139</v>
      </c>
      <c r="GF281" s="14" t="str">
        <f t="shared" si="338"/>
        <v>DefExt</v>
      </c>
      <c r="GG281" s="14">
        <f t="shared" si="355"/>
        <v>95</v>
      </c>
      <c r="GH281" s="14">
        <f t="shared" si="356"/>
        <v>5</v>
      </c>
      <c r="GI281" s="14" t="str">
        <f t="shared" si="339"/>
        <v>HPExt</v>
      </c>
      <c r="GJ281" s="14">
        <f t="shared" si="357"/>
        <v>1805</v>
      </c>
      <c r="GK281" s="14">
        <f t="shared" si="358"/>
        <v>89</v>
      </c>
      <c r="GL281" s="14">
        <f t="shared" si="340"/>
        <v>20810</v>
      </c>
      <c r="GM281" s="14">
        <f t="shared" si="359"/>
        <v>0</v>
      </c>
      <c r="GN281" s="14" t="str">
        <f t="shared" si="360"/>
        <v/>
      </c>
      <c r="GO281" s="25" t="s">
        <v>1471</v>
      </c>
      <c r="GP281" s="14">
        <f t="shared" si="341"/>
        <v>40</v>
      </c>
      <c r="HK281" s="13">
        <v>276</v>
      </c>
      <c r="HL281" s="14">
        <f t="shared" si="361"/>
        <v>12</v>
      </c>
      <c r="HM281" s="14">
        <f t="shared" si="362"/>
        <v>2</v>
      </c>
      <c r="HN281" s="14">
        <f t="shared" si="363"/>
        <v>1</v>
      </c>
      <c r="HO281" s="14">
        <f t="shared" si="364"/>
        <v>3</v>
      </c>
      <c r="HP281" s="14" t="str">
        <f t="shared" si="365"/>
        <v>15级守护灵洗练-Q3-12</v>
      </c>
      <c r="HQ281" s="14">
        <f t="shared" si="366"/>
        <v>2013</v>
      </c>
      <c r="HR281" s="14">
        <f t="shared" si="367"/>
        <v>12</v>
      </c>
      <c r="HS281" s="14">
        <f t="shared" si="368"/>
        <v>500</v>
      </c>
      <c r="HT281" s="14" t="str">
        <f t="shared" si="369"/>
        <v>EffectResist</v>
      </c>
      <c r="HU281" s="14">
        <f t="shared" si="370"/>
        <v>1.7999999999999999E-2</v>
      </c>
      <c r="HV281" s="14">
        <f t="shared" si="371"/>
        <v>0.05</v>
      </c>
    </row>
    <row r="282" spans="151:230" ht="16.5" x14ac:dyDescent="0.2">
      <c r="EU282" s="13">
        <v>277</v>
      </c>
      <c r="EV282" s="14">
        <f t="shared" si="342"/>
        <v>1</v>
      </c>
      <c r="EW282" s="14">
        <f t="shared" si="343"/>
        <v>277</v>
      </c>
      <c r="EX282" s="14">
        <f t="shared" si="344"/>
        <v>37</v>
      </c>
      <c r="EY282" s="14">
        <f t="shared" si="319"/>
        <v>10</v>
      </c>
      <c r="EZ282" s="14">
        <f t="shared" si="320"/>
        <v>8</v>
      </c>
      <c r="FA282" s="14">
        <f t="shared" si="321"/>
        <v>120</v>
      </c>
      <c r="FB282" s="14">
        <f t="shared" si="322"/>
        <v>1</v>
      </c>
      <c r="FC282" s="14">
        <f t="shared" si="323"/>
        <v>4</v>
      </c>
      <c r="FD282" s="14">
        <f t="shared" si="324"/>
        <v>4</v>
      </c>
      <c r="FE282" s="14" t="b">
        <f t="shared" si="345"/>
        <v>0</v>
      </c>
      <c r="FF282" s="14">
        <f t="shared" si="325"/>
        <v>2008104</v>
      </c>
      <c r="FG282" s="13" t="str">
        <f t="shared" si="326"/>
        <v>120级-普通寄灵人の裤子</v>
      </c>
      <c r="FH282" s="14">
        <f t="shared" si="327"/>
        <v>1</v>
      </c>
      <c r="FI282" s="14">
        <f t="shared" si="328"/>
        <v>1</v>
      </c>
      <c r="FJ282" s="14">
        <f t="shared" si="329"/>
        <v>120</v>
      </c>
      <c r="FK282" s="14">
        <v>1</v>
      </c>
      <c r="FL282" s="14">
        <f t="shared" si="330"/>
        <v>8</v>
      </c>
      <c r="FM282" s="14">
        <f t="shared" si="346"/>
        <v>4</v>
      </c>
      <c r="FN282" s="14" t="str">
        <f t="shared" si="331"/>
        <v/>
      </c>
      <c r="FO282" s="14">
        <f t="shared" si="332"/>
        <v>100</v>
      </c>
      <c r="FP282" s="14">
        <f t="shared" si="347"/>
        <v>0</v>
      </c>
      <c r="FQ282" s="14">
        <f t="shared" si="348"/>
        <v>195</v>
      </c>
      <c r="FR282" s="14">
        <f t="shared" si="349"/>
        <v>0</v>
      </c>
      <c r="FS282" s="14">
        <f t="shared" si="350"/>
        <v>0</v>
      </c>
      <c r="FT282" s="14">
        <f t="shared" si="351"/>
        <v>10</v>
      </c>
      <c r="FU282" s="14">
        <f t="shared" si="352"/>
        <v>0</v>
      </c>
      <c r="FV282" s="14">
        <f t="shared" si="333"/>
        <v>1081</v>
      </c>
      <c r="FW282" s="14">
        <f t="shared" si="334"/>
        <v>0</v>
      </c>
      <c r="FX282" s="14" t="str">
        <f t="shared" si="335"/>
        <v/>
      </c>
      <c r="FY282" s="25" t="str">
        <f t="shared" si="353"/>
        <v>icon_2008104</v>
      </c>
      <c r="GC282" s="14">
        <f t="shared" si="336"/>
        <v>2</v>
      </c>
      <c r="GD282" s="14">
        <f t="shared" si="337"/>
        <v>0</v>
      </c>
      <c r="GE282" s="14">
        <f t="shared" si="354"/>
        <v>100</v>
      </c>
      <c r="GF282" s="14" t="str">
        <f t="shared" si="338"/>
        <v>DefExt</v>
      </c>
      <c r="GG282" s="14">
        <f t="shared" si="355"/>
        <v>195</v>
      </c>
      <c r="GH282" s="14">
        <f t="shared" si="356"/>
        <v>10</v>
      </c>
      <c r="GI282" s="14" t="str">
        <f t="shared" si="339"/>
        <v/>
      </c>
      <c r="GJ282" s="14" t="str">
        <f t="shared" si="357"/>
        <v/>
      </c>
      <c r="GK282" s="14" t="str">
        <f t="shared" si="358"/>
        <v/>
      </c>
      <c r="GL282" s="14">
        <f t="shared" si="340"/>
        <v>20810</v>
      </c>
      <c r="GM282" s="14">
        <f t="shared" si="359"/>
        <v>0</v>
      </c>
      <c r="GN282" s="14" t="str">
        <f t="shared" si="360"/>
        <v/>
      </c>
      <c r="GO282" s="25" t="s">
        <v>1471</v>
      </c>
      <c r="GP282" s="14">
        <f t="shared" si="341"/>
        <v>40</v>
      </c>
      <c r="HK282" s="13">
        <v>277</v>
      </c>
      <c r="HL282" s="14">
        <f t="shared" si="361"/>
        <v>12</v>
      </c>
      <c r="HM282" s="14">
        <f t="shared" si="362"/>
        <v>2</v>
      </c>
      <c r="HN282" s="14">
        <f t="shared" si="363"/>
        <v>1</v>
      </c>
      <c r="HO282" s="14">
        <f t="shared" si="364"/>
        <v>4</v>
      </c>
      <c r="HP282" s="14" t="str">
        <f t="shared" si="365"/>
        <v>15级守护灵洗练-Q4-1</v>
      </c>
      <c r="HQ282" s="14">
        <f t="shared" si="366"/>
        <v>2014</v>
      </c>
      <c r="HR282" s="14">
        <f t="shared" si="367"/>
        <v>1</v>
      </c>
      <c r="HS282" s="14">
        <f t="shared" si="368"/>
        <v>1800</v>
      </c>
      <c r="HT282" s="14" t="str">
        <f t="shared" si="369"/>
        <v>AtkExt</v>
      </c>
      <c r="HU282" s="14">
        <f t="shared" si="370"/>
        <v>9</v>
      </c>
      <c r="HV282" s="14">
        <f t="shared" si="371"/>
        <v>26</v>
      </c>
    </row>
    <row r="283" spans="151:230" ht="16.5" x14ac:dyDescent="0.2">
      <c r="EU283" s="13">
        <v>278</v>
      </c>
      <c r="EV283" s="14">
        <f t="shared" si="342"/>
        <v>1</v>
      </c>
      <c r="EW283" s="14">
        <f t="shared" si="343"/>
        <v>278</v>
      </c>
      <c r="EX283" s="14">
        <f t="shared" si="344"/>
        <v>37</v>
      </c>
      <c r="EY283" s="14">
        <f t="shared" si="319"/>
        <v>10</v>
      </c>
      <c r="EZ283" s="14">
        <f t="shared" si="320"/>
        <v>8</v>
      </c>
      <c r="FA283" s="14">
        <f t="shared" si="321"/>
        <v>120</v>
      </c>
      <c r="FB283" s="14">
        <f t="shared" si="322"/>
        <v>1</v>
      </c>
      <c r="FC283" s="14">
        <f t="shared" si="323"/>
        <v>5</v>
      </c>
      <c r="FD283" s="14">
        <f t="shared" si="324"/>
        <v>5</v>
      </c>
      <c r="FE283" s="14" t="b">
        <f t="shared" si="345"/>
        <v>0</v>
      </c>
      <c r="FF283" s="14">
        <f t="shared" si="325"/>
        <v>2008105</v>
      </c>
      <c r="FG283" s="13" t="str">
        <f t="shared" si="326"/>
        <v>120级-普通寄灵人の鞋子</v>
      </c>
      <c r="FH283" s="14">
        <f t="shared" si="327"/>
        <v>1</v>
      </c>
      <c r="FI283" s="14">
        <f t="shared" si="328"/>
        <v>1</v>
      </c>
      <c r="FJ283" s="14">
        <f t="shared" si="329"/>
        <v>120</v>
      </c>
      <c r="FK283" s="14">
        <v>1</v>
      </c>
      <c r="FL283" s="14">
        <f t="shared" si="330"/>
        <v>8</v>
      </c>
      <c r="FM283" s="14">
        <f t="shared" si="346"/>
        <v>5</v>
      </c>
      <c r="FN283" s="14" t="str">
        <f t="shared" si="331"/>
        <v/>
      </c>
      <c r="FO283" s="14">
        <f t="shared" si="332"/>
        <v>177</v>
      </c>
      <c r="FP283" s="14">
        <f t="shared" si="347"/>
        <v>0</v>
      </c>
      <c r="FQ283" s="14">
        <f t="shared" si="348"/>
        <v>0</v>
      </c>
      <c r="FR283" s="14">
        <f t="shared" si="349"/>
        <v>3610</v>
      </c>
      <c r="FS283" s="14">
        <f t="shared" si="350"/>
        <v>0</v>
      </c>
      <c r="FT283" s="14">
        <f t="shared" si="351"/>
        <v>0</v>
      </c>
      <c r="FU283" s="14">
        <f t="shared" si="352"/>
        <v>177</v>
      </c>
      <c r="FV283" s="14">
        <f t="shared" si="333"/>
        <v>1081</v>
      </c>
      <c r="FW283" s="14">
        <f t="shared" si="334"/>
        <v>0</v>
      </c>
      <c r="FX283" s="14" t="str">
        <f t="shared" si="335"/>
        <v/>
      </c>
      <c r="FY283" s="25" t="str">
        <f t="shared" si="353"/>
        <v>icon_2008105</v>
      </c>
      <c r="GC283" s="14">
        <f t="shared" si="336"/>
        <v>3</v>
      </c>
      <c r="GD283" s="14">
        <f t="shared" si="337"/>
        <v>0</v>
      </c>
      <c r="GE283" s="14">
        <f t="shared" si="354"/>
        <v>177</v>
      </c>
      <c r="GF283" s="14" t="str">
        <f t="shared" si="338"/>
        <v>HPExt</v>
      </c>
      <c r="GG283" s="14">
        <f t="shared" si="355"/>
        <v>3610</v>
      </c>
      <c r="GH283" s="14">
        <f t="shared" si="356"/>
        <v>177</v>
      </c>
      <c r="GI283" s="14" t="str">
        <f t="shared" si="339"/>
        <v/>
      </c>
      <c r="GJ283" s="14" t="str">
        <f t="shared" si="357"/>
        <v/>
      </c>
      <c r="GK283" s="14" t="str">
        <f t="shared" si="358"/>
        <v/>
      </c>
      <c r="GL283" s="14">
        <f t="shared" si="340"/>
        <v>20810</v>
      </c>
      <c r="GM283" s="14">
        <f t="shared" si="359"/>
        <v>0</v>
      </c>
      <c r="GN283" s="14" t="str">
        <f t="shared" si="360"/>
        <v/>
      </c>
      <c r="GO283" s="25" t="s">
        <v>1471</v>
      </c>
      <c r="GP283" s="14">
        <f t="shared" si="341"/>
        <v>40</v>
      </c>
      <c r="HK283" s="13">
        <v>278</v>
      </c>
      <c r="HL283" s="14">
        <f t="shared" si="361"/>
        <v>12</v>
      </c>
      <c r="HM283" s="14">
        <f t="shared" si="362"/>
        <v>2</v>
      </c>
      <c r="HN283" s="14">
        <f t="shared" si="363"/>
        <v>1</v>
      </c>
      <c r="HO283" s="14">
        <f t="shared" si="364"/>
        <v>4</v>
      </c>
      <c r="HP283" s="14" t="str">
        <f t="shared" si="365"/>
        <v>15级守护灵洗练-Q4-2</v>
      </c>
      <c r="HQ283" s="14">
        <f t="shared" si="366"/>
        <v>2014</v>
      </c>
      <c r="HR283" s="14">
        <f t="shared" si="367"/>
        <v>2</v>
      </c>
      <c r="HS283" s="14">
        <f t="shared" si="368"/>
        <v>1800</v>
      </c>
      <c r="HT283" s="14" t="str">
        <f t="shared" si="369"/>
        <v>DefExt</v>
      </c>
      <c r="HU283" s="14">
        <f t="shared" si="370"/>
        <v>6</v>
      </c>
      <c r="HV283" s="14">
        <f t="shared" si="371"/>
        <v>19</v>
      </c>
    </row>
    <row r="284" spans="151:230" ht="16.5" x14ac:dyDescent="0.2">
      <c r="EU284" s="13">
        <v>279</v>
      </c>
      <c r="EV284" s="14">
        <f t="shared" si="342"/>
        <v>1</v>
      </c>
      <c r="EW284" s="14">
        <f t="shared" si="343"/>
        <v>279</v>
      </c>
      <c r="EX284" s="14">
        <f t="shared" si="344"/>
        <v>37</v>
      </c>
      <c r="EY284" s="14">
        <f t="shared" si="319"/>
        <v>10</v>
      </c>
      <c r="EZ284" s="14">
        <f t="shared" si="320"/>
        <v>8</v>
      </c>
      <c r="FA284" s="14">
        <f t="shared" si="321"/>
        <v>120</v>
      </c>
      <c r="FB284" s="14">
        <f t="shared" si="322"/>
        <v>1</v>
      </c>
      <c r="FC284" s="14">
        <f t="shared" si="323"/>
        <v>6</v>
      </c>
      <c r="FD284" s="14">
        <f t="shared" si="324"/>
        <v>6</v>
      </c>
      <c r="FE284" s="14" t="b">
        <f t="shared" si="345"/>
        <v>0</v>
      </c>
      <c r="FF284" s="14">
        <f t="shared" si="325"/>
        <v>2008106</v>
      </c>
      <c r="FG284" s="13" t="str">
        <f t="shared" si="326"/>
        <v>120级-普通寄灵人の护手</v>
      </c>
      <c r="FH284" s="14">
        <f t="shared" si="327"/>
        <v>1</v>
      </c>
      <c r="FI284" s="14">
        <f t="shared" si="328"/>
        <v>1</v>
      </c>
      <c r="FJ284" s="14">
        <f t="shared" si="329"/>
        <v>120</v>
      </c>
      <c r="FK284" s="14">
        <v>1</v>
      </c>
      <c r="FL284" s="14">
        <f t="shared" si="330"/>
        <v>8</v>
      </c>
      <c r="FM284" s="14">
        <f t="shared" si="346"/>
        <v>6</v>
      </c>
      <c r="FN284" s="14" t="str">
        <f t="shared" si="331"/>
        <v/>
      </c>
      <c r="FO284" s="14">
        <f t="shared" si="332"/>
        <v>177</v>
      </c>
      <c r="FP284" s="14">
        <f t="shared" si="347"/>
        <v>0</v>
      </c>
      <c r="FQ284" s="14">
        <f t="shared" si="348"/>
        <v>0</v>
      </c>
      <c r="FR284" s="14">
        <f t="shared" si="349"/>
        <v>3610</v>
      </c>
      <c r="FS284" s="14">
        <f t="shared" si="350"/>
        <v>0</v>
      </c>
      <c r="FT284" s="14">
        <f t="shared" si="351"/>
        <v>0</v>
      </c>
      <c r="FU284" s="14">
        <f t="shared" si="352"/>
        <v>177</v>
      </c>
      <c r="FV284" s="14">
        <f t="shared" si="333"/>
        <v>1081</v>
      </c>
      <c r="FW284" s="14">
        <f t="shared" si="334"/>
        <v>0</v>
      </c>
      <c r="FX284" s="14" t="str">
        <f t="shared" si="335"/>
        <v/>
      </c>
      <c r="FY284" s="25" t="str">
        <f t="shared" si="353"/>
        <v>icon_2008106</v>
      </c>
      <c r="GC284" s="14">
        <f t="shared" si="336"/>
        <v>3</v>
      </c>
      <c r="GD284" s="14">
        <f t="shared" si="337"/>
        <v>0</v>
      </c>
      <c r="GE284" s="14">
        <f t="shared" si="354"/>
        <v>177</v>
      </c>
      <c r="GF284" s="14" t="str">
        <f t="shared" si="338"/>
        <v>HPExt</v>
      </c>
      <c r="GG284" s="14">
        <f t="shared" si="355"/>
        <v>3610</v>
      </c>
      <c r="GH284" s="14">
        <f t="shared" si="356"/>
        <v>177</v>
      </c>
      <c r="GI284" s="14" t="str">
        <f t="shared" si="339"/>
        <v/>
      </c>
      <c r="GJ284" s="14" t="str">
        <f t="shared" si="357"/>
        <v/>
      </c>
      <c r="GK284" s="14" t="str">
        <f t="shared" si="358"/>
        <v/>
      </c>
      <c r="GL284" s="14">
        <f t="shared" si="340"/>
        <v>20810</v>
      </c>
      <c r="GM284" s="14">
        <f t="shared" si="359"/>
        <v>0</v>
      </c>
      <c r="GN284" s="14" t="str">
        <f t="shared" si="360"/>
        <v/>
      </c>
      <c r="GO284" s="25" t="s">
        <v>1471</v>
      </c>
      <c r="GP284" s="14">
        <f t="shared" si="341"/>
        <v>40</v>
      </c>
      <c r="HK284" s="13">
        <v>279</v>
      </c>
      <c r="HL284" s="14">
        <f t="shared" si="361"/>
        <v>12</v>
      </c>
      <c r="HM284" s="14">
        <f t="shared" si="362"/>
        <v>2</v>
      </c>
      <c r="HN284" s="14">
        <f t="shared" si="363"/>
        <v>1</v>
      </c>
      <c r="HO284" s="14">
        <f t="shared" si="364"/>
        <v>4</v>
      </c>
      <c r="HP284" s="14" t="str">
        <f t="shared" si="365"/>
        <v>15级守护灵洗练-Q4-3</v>
      </c>
      <c r="HQ284" s="14">
        <f t="shared" si="366"/>
        <v>2014</v>
      </c>
      <c r="HR284" s="14">
        <f t="shared" si="367"/>
        <v>3</v>
      </c>
      <c r="HS284" s="14">
        <f t="shared" si="368"/>
        <v>2000</v>
      </c>
      <c r="HT284" s="14" t="str">
        <f t="shared" si="369"/>
        <v>HPExt</v>
      </c>
      <c r="HU284" s="14">
        <f t="shared" si="370"/>
        <v>23</v>
      </c>
      <c r="HV284" s="14">
        <f t="shared" si="371"/>
        <v>66</v>
      </c>
    </row>
    <row r="285" spans="151:230" ht="16.5" x14ac:dyDescent="0.2">
      <c r="EU285" s="13">
        <v>280</v>
      </c>
      <c r="EV285" s="14">
        <f t="shared" si="342"/>
        <v>1</v>
      </c>
      <c r="EW285" s="14">
        <f t="shared" si="343"/>
        <v>280</v>
      </c>
      <c r="EX285" s="14">
        <f t="shared" si="344"/>
        <v>37</v>
      </c>
      <c r="EY285" s="14">
        <f t="shared" si="319"/>
        <v>10</v>
      </c>
      <c r="EZ285" s="14">
        <f t="shared" si="320"/>
        <v>8</v>
      </c>
      <c r="FA285" s="14">
        <f t="shared" si="321"/>
        <v>120</v>
      </c>
      <c r="FB285" s="14">
        <f t="shared" si="322"/>
        <v>1</v>
      </c>
      <c r="FC285" s="14">
        <f t="shared" si="323"/>
        <v>7</v>
      </c>
      <c r="FD285" s="14">
        <f t="shared" si="324"/>
        <v>7</v>
      </c>
      <c r="FE285" s="14" t="b">
        <f t="shared" si="345"/>
        <v>0</v>
      </c>
      <c r="FF285" s="14">
        <f t="shared" si="325"/>
        <v>2008107</v>
      </c>
      <c r="FG285" s="13" t="str">
        <f t="shared" si="326"/>
        <v>120级-普通寄灵人の项链</v>
      </c>
      <c r="FH285" s="14">
        <f t="shared" si="327"/>
        <v>1</v>
      </c>
      <c r="FI285" s="14">
        <f t="shared" si="328"/>
        <v>1</v>
      </c>
      <c r="FJ285" s="14">
        <f t="shared" si="329"/>
        <v>120</v>
      </c>
      <c r="FK285" s="14">
        <v>1</v>
      </c>
      <c r="FL285" s="14">
        <f t="shared" si="330"/>
        <v>8</v>
      </c>
      <c r="FM285" s="14">
        <f t="shared" si="346"/>
        <v>7</v>
      </c>
      <c r="FN285" s="14" t="str">
        <f t="shared" si="331"/>
        <v/>
      </c>
      <c r="FO285" s="14">
        <f t="shared" si="332"/>
        <v>145</v>
      </c>
      <c r="FP285" s="14">
        <f t="shared" si="347"/>
        <v>260</v>
      </c>
      <c r="FQ285" s="14">
        <f t="shared" si="348"/>
        <v>160</v>
      </c>
      <c r="FR285" s="14">
        <f t="shared" si="349"/>
        <v>0</v>
      </c>
      <c r="FS285" s="14">
        <f t="shared" si="350"/>
        <v>13</v>
      </c>
      <c r="FT285" s="14">
        <f t="shared" si="351"/>
        <v>8</v>
      </c>
      <c r="FU285" s="14">
        <f t="shared" si="352"/>
        <v>0</v>
      </c>
      <c r="FV285" s="14">
        <f t="shared" si="333"/>
        <v>1081</v>
      </c>
      <c r="FW285" s="14">
        <f t="shared" si="334"/>
        <v>0</v>
      </c>
      <c r="FX285" s="14" t="str">
        <f t="shared" si="335"/>
        <v/>
      </c>
      <c r="FY285" s="25" t="str">
        <f t="shared" si="353"/>
        <v>icon_2008107</v>
      </c>
      <c r="GC285" s="14">
        <f t="shared" si="336"/>
        <v>1</v>
      </c>
      <c r="GD285" s="14">
        <f t="shared" si="337"/>
        <v>2</v>
      </c>
      <c r="GE285" s="14">
        <f t="shared" si="354"/>
        <v>145</v>
      </c>
      <c r="GF285" s="14" t="str">
        <f t="shared" si="338"/>
        <v>AtkExt</v>
      </c>
      <c r="GG285" s="14">
        <f t="shared" si="355"/>
        <v>260</v>
      </c>
      <c r="GH285" s="14">
        <f t="shared" si="356"/>
        <v>13</v>
      </c>
      <c r="GI285" s="14" t="str">
        <f t="shared" si="339"/>
        <v>DefExt</v>
      </c>
      <c r="GJ285" s="14">
        <f t="shared" si="357"/>
        <v>160</v>
      </c>
      <c r="GK285" s="14">
        <f t="shared" si="358"/>
        <v>8</v>
      </c>
      <c r="GL285" s="14">
        <f t="shared" si="340"/>
        <v>20810</v>
      </c>
      <c r="GM285" s="14">
        <f t="shared" si="359"/>
        <v>0</v>
      </c>
      <c r="GN285" s="14" t="str">
        <f t="shared" si="360"/>
        <v/>
      </c>
      <c r="GO285" s="25" t="s">
        <v>1471</v>
      </c>
      <c r="GP285" s="14">
        <f t="shared" si="341"/>
        <v>60</v>
      </c>
      <c r="HK285" s="13">
        <v>280</v>
      </c>
      <c r="HL285" s="14">
        <f t="shared" si="361"/>
        <v>12</v>
      </c>
      <c r="HM285" s="14">
        <f t="shared" si="362"/>
        <v>2</v>
      </c>
      <c r="HN285" s="14">
        <f t="shared" si="363"/>
        <v>1</v>
      </c>
      <c r="HO285" s="14">
        <f t="shared" si="364"/>
        <v>4</v>
      </c>
      <c r="HP285" s="14" t="str">
        <f t="shared" si="365"/>
        <v>15级守护灵洗练-Q4-4</v>
      </c>
      <c r="HQ285" s="14">
        <f t="shared" si="366"/>
        <v>2014</v>
      </c>
      <c r="HR285" s="14">
        <f t="shared" si="367"/>
        <v>4</v>
      </c>
      <c r="HS285" s="14">
        <f t="shared" si="368"/>
        <v>500</v>
      </c>
      <c r="HT285" s="14" t="str">
        <f t="shared" si="369"/>
        <v>AtkRate</v>
      </c>
      <c r="HU285" s="14">
        <f t="shared" si="370"/>
        <v>1.4E-2</v>
      </c>
      <c r="HV285" s="14">
        <f t="shared" si="371"/>
        <v>0.04</v>
      </c>
    </row>
    <row r="286" spans="151:230" ht="16.5" x14ac:dyDescent="0.2">
      <c r="EU286" s="13">
        <v>281</v>
      </c>
      <c r="EV286" s="14">
        <f t="shared" si="342"/>
        <v>1</v>
      </c>
      <c r="EW286" s="14">
        <f t="shared" si="343"/>
        <v>281</v>
      </c>
      <c r="EX286" s="14">
        <f t="shared" si="344"/>
        <v>37</v>
      </c>
      <c r="EY286" s="14">
        <f t="shared" si="319"/>
        <v>10</v>
      </c>
      <c r="EZ286" s="14">
        <f t="shared" si="320"/>
        <v>8</v>
      </c>
      <c r="FA286" s="14">
        <f t="shared" si="321"/>
        <v>120</v>
      </c>
      <c r="FB286" s="14">
        <f t="shared" si="322"/>
        <v>1</v>
      </c>
      <c r="FC286" s="14">
        <f t="shared" si="323"/>
        <v>8</v>
      </c>
      <c r="FD286" s="14">
        <f t="shared" si="324"/>
        <v>8</v>
      </c>
      <c r="FE286" s="14" t="b">
        <f t="shared" si="345"/>
        <v>0</v>
      </c>
      <c r="FF286" s="14">
        <f t="shared" si="325"/>
        <v>2008108</v>
      </c>
      <c r="FG286" s="13" t="str">
        <f t="shared" si="326"/>
        <v>120级-普通寄灵人の戒指</v>
      </c>
      <c r="FH286" s="14">
        <f t="shared" si="327"/>
        <v>1</v>
      </c>
      <c r="FI286" s="14">
        <f t="shared" si="328"/>
        <v>1</v>
      </c>
      <c r="FJ286" s="14">
        <f t="shared" si="329"/>
        <v>120</v>
      </c>
      <c r="FK286" s="14">
        <v>1</v>
      </c>
      <c r="FL286" s="14">
        <f t="shared" si="330"/>
        <v>8</v>
      </c>
      <c r="FM286" s="14">
        <f t="shared" si="346"/>
        <v>8</v>
      </c>
      <c r="FN286" s="14" t="str">
        <f t="shared" si="331"/>
        <v/>
      </c>
      <c r="FO286" s="14">
        <f t="shared" si="332"/>
        <v>213</v>
      </c>
      <c r="FP286" s="14">
        <f t="shared" si="347"/>
        <v>260</v>
      </c>
      <c r="FQ286" s="14">
        <f t="shared" si="348"/>
        <v>0</v>
      </c>
      <c r="FR286" s="14">
        <f t="shared" si="349"/>
        <v>3005</v>
      </c>
      <c r="FS286" s="14">
        <f t="shared" si="350"/>
        <v>13</v>
      </c>
      <c r="FT286" s="14">
        <f t="shared" si="351"/>
        <v>0</v>
      </c>
      <c r="FU286" s="14">
        <f t="shared" si="352"/>
        <v>148</v>
      </c>
      <c r="FV286" s="14">
        <f t="shared" si="333"/>
        <v>1081</v>
      </c>
      <c r="FW286" s="14">
        <f t="shared" si="334"/>
        <v>0</v>
      </c>
      <c r="FX286" s="14" t="str">
        <f t="shared" si="335"/>
        <v/>
      </c>
      <c r="FY286" s="25" t="str">
        <f t="shared" si="353"/>
        <v>icon_2008108</v>
      </c>
      <c r="GC286" s="14">
        <f t="shared" si="336"/>
        <v>1</v>
      </c>
      <c r="GD286" s="14">
        <f t="shared" si="337"/>
        <v>3</v>
      </c>
      <c r="GE286" s="14">
        <f t="shared" si="354"/>
        <v>213</v>
      </c>
      <c r="GF286" s="14" t="str">
        <f t="shared" si="338"/>
        <v>AtkExt</v>
      </c>
      <c r="GG286" s="14">
        <f t="shared" si="355"/>
        <v>260</v>
      </c>
      <c r="GH286" s="14">
        <f t="shared" si="356"/>
        <v>13</v>
      </c>
      <c r="GI286" s="14" t="str">
        <f t="shared" si="339"/>
        <v>HPExt</v>
      </c>
      <c r="GJ286" s="14">
        <f t="shared" si="357"/>
        <v>3005</v>
      </c>
      <c r="GK286" s="14">
        <f t="shared" si="358"/>
        <v>148</v>
      </c>
      <c r="GL286" s="14">
        <f t="shared" si="340"/>
        <v>20810</v>
      </c>
      <c r="GM286" s="14">
        <f t="shared" si="359"/>
        <v>0</v>
      </c>
      <c r="GN286" s="14" t="str">
        <f t="shared" si="360"/>
        <v/>
      </c>
      <c r="GO286" s="25" t="s">
        <v>1471</v>
      </c>
      <c r="GP286" s="14">
        <f t="shared" si="341"/>
        <v>60</v>
      </c>
      <c r="HK286" s="13">
        <v>281</v>
      </c>
      <c r="HL286" s="14">
        <f t="shared" si="361"/>
        <v>12</v>
      </c>
      <c r="HM286" s="14">
        <f t="shared" si="362"/>
        <v>2</v>
      </c>
      <c r="HN286" s="14">
        <f t="shared" si="363"/>
        <v>1</v>
      </c>
      <c r="HO286" s="14">
        <f t="shared" si="364"/>
        <v>4</v>
      </c>
      <c r="HP286" s="14" t="str">
        <f t="shared" si="365"/>
        <v>15级守护灵洗练-Q4-5</v>
      </c>
      <c r="HQ286" s="14">
        <f t="shared" si="366"/>
        <v>2014</v>
      </c>
      <c r="HR286" s="14">
        <f t="shared" si="367"/>
        <v>5</v>
      </c>
      <c r="HS286" s="14">
        <f t="shared" si="368"/>
        <v>400</v>
      </c>
      <c r="HT286" s="14" t="str">
        <f t="shared" si="369"/>
        <v>DefRate</v>
      </c>
      <c r="HU286" s="14">
        <f t="shared" si="370"/>
        <v>1.4E-2</v>
      </c>
      <c r="HV286" s="14">
        <f t="shared" si="371"/>
        <v>0.04</v>
      </c>
    </row>
    <row r="287" spans="151:230" ht="16.5" x14ac:dyDescent="0.2">
      <c r="EU287" s="13">
        <v>282</v>
      </c>
      <c r="EV287" s="14">
        <f t="shared" si="342"/>
        <v>1</v>
      </c>
      <c r="EW287" s="14">
        <f t="shared" si="343"/>
        <v>282</v>
      </c>
      <c r="EX287" s="14">
        <f t="shared" si="344"/>
        <v>38</v>
      </c>
      <c r="EY287" s="14">
        <f t="shared" si="319"/>
        <v>20</v>
      </c>
      <c r="EZ287" s="14">
        <f t="shared" si="320"/>
        <v>8</v>
      </c>
      <c r="FA287" s="14">
        <f t="shared" si="321"/>
        <v>120</v>
      </c>
      <c r="FB287" s="14">
        <f t="shared" si="322"/>
        <v>2</v>
      </c>
      <c r="FC287" s="14">
        <f t="shared" si="323"/>
        <v>1</v>
      </c>
      <c r="FD287" s="14">
        <f t="shared" si="324"/>
        <v>1</v>
      </c>
      <c r="FE287" s="14" t="b">
        <f t="shared" si="345"/>
        <v>0</v>
      </c>
      <c r="FF287" s="14">
        <f t="shared" si="325"/>
        <v>2008201</v>
      </c>
      <c r="FG287" s="13" t="str">
        <f t="shared" si="326"/>
        <v>120级-优秀寄灵人の灵器</v>
      </c>
      <c r="FH287" s="14">
        <f t="shared" si="327"/>
        <v>1</v>
      </c>
      <c r="FI287" s="14">
        <f t="shared" si="328"/>
        <v>2</v>
      </c>
      <c r="FJ287" s="14">
        <f t="shared" si="329"/>
        <v>120</v>
      </c>
      <c r="FK287" s="14">
        <v>1</v>
      </c>
      <c r="FL287" s="14">
        <f t="shared" si="330"/>
        <v>8</v>
      </c>
      <c r="FM287" s="14">
        <f t="shared" si="346"/>
        <v>1</v>
      </c>
      <c r="FN287" s="14" t="str">
        <f t="shared" si="331"/>
        <v/>
      </c>
      <c r="FO287" s="14">
        <f t="shared" si="332"/>
        <v>265</v>
      </c>
      <c r="FP287" s="14">
        <f t="shared" si="347"/>
        <v>1085</v>
      </c>
      <c r="FQ287" s="14">
        <f t="shared" si="348"/>
        <v>0</v>
      </c>
      <c r="FR287" s="14">
        <f t="shared" si="349"/>
        <v>0</v>
      </c>
      <c r="FS287" s="14">
        <f t="shared" si="350"/>
        <v>53</v>
      </c>
      <c r="FT287" s="14">
        <f t="shared" si="351"/>
        <v>0</v>
      </c>
      <c r="FU287" s="14">
        <f t="shared" si="352"/>
        <v>0</v>
      </c>
      <c r="FV287" s="14">
        <f t="shared" si="333"/>
        <v>1082</v>
      </c>
      <c r="FW287" s="14">
        <f t="shared" si="334"/>
        <v>0</v>
      </c>
      <c r="FX287" s="14" t="str">
        <f t="shared" si="335"/>
        <v/>
      </c>
      <c r="FY287" s="25" t="str">
        <f t="shared" si="353"/>
        <v>icon_2008101</v>
      </c>
      <c r="GC287" s="14">
        <f t="shared" si="336"/>
        <v>1</v>
      </c>
      <c r="GD287" s="14">
        <f t="shared" si="337"/>
        <v>0</v>
      </c>
      <c r="GE287" s="14">
        <f t="shared" si="354"/>
        <v>265</v>
      </c>
      <c r="GF287" s="14" t="str">
        <f t="shared" si="338"/>
        <v>AtkExt</v>
      </c>
      <c r="GG287" s="14">
        <f t="shared" si="355"/>
        <v>1085</v>
      </c>
      <c r="GH287" s="14">
        <f t="shared" si="356"/>
        <v>53</v>
      </c>
      <c r="GI287" s="14" t="str">
        <f t="shared" si="339"/>
        <v/>
      </c>
      <c r="GJ287" s="14" t="str">
        <f t="shared" si="357"/>
        <v/>
      </c>
      <c r="GK287" s="14" t="str">
        <f t="shared" si="358"/>
        <v/>
      </c>
      <c r="GL287" s="14">
        <f t="shared" si="340"/>
        <v>20820</v>
      </c>
      <c r="GM287" s="14">
        <f t="shared" si="359"/>
        <v>0</v>
      </c>
      <c r="GN287" s="14" t="str">
        <f t="shared" si="360"/>
        <v/>
      </c>
      <c r="GO287" s="25" t="s">
        <v>1471</v>
      </c>
      <c r="GP287" s="14">
        <f t="shared" si="341"/>
        <v>240</v>
      </c>
      <c r="HK287" s="13">
        <v>282</v>
      </c>
      <c r="HL287" s="14">
        <f t="shared" si="361"/>
        <v>12</v>
      </c>
      <c r="HM287" s="14">
        <f t="shared" si="362"/>
        <v>2</v>
      </c>
      <c r="HN287" s="14">
        <f t="shared" si="363"/>
        <v>1</v>
      </c>
      <c r="HO287" s="14">
        <f t="shared" si="364"/>
        <v>4</v>
      </c>
      <c r="HP287" s="14" t="str">
        <f t="shared" si="365"/>
        <v>15级守护灵洗练-Q4-6</v>
      </c>
      <c r="HQ287" s="14">
        <f t="shared" si="366"/>
        <v>2014</v>
      </c>
      <c r="HR287" s="14">
        <f t="shared" si="367"/>
        <v>6</v>
      </c>
      <c r="HS287" s="14">
        <f t="shared" si="368"/>
        <v>500</v>
      </c>
      <c r="HT287" s="14" t="str">
        <f t="shared" si="369"/>
        <v>HPRate</v>
      </c>
      <c r="HU287" s="14">
        <f t="shared" si="370"/>
        <v>1.4E-2</v>
      </c>
      <c r="HV287" s="14">
        <f t="shared" si="371"/>
        <v>0.04</v>
      </c>
    </row>
    <row r="288" spans="151:230" ht="16.5" x14ac:dyDescent="0.2">
      <c r="EU288" s="13">
        <v>283</v>
      </c>
      <c r="EV288" s="14">
        <f t="shared" si="342"/>
        <v>1</v>
      </c>
      <c r="EW288" s="14">
        <f t="shared" si="343"/>
        <v>283</v>
      </c>
      <c r="EX288" s="14">
        <f t="shared" si="344"/>
        <v>38</v>
      </c>
      <c r="EY288" s="14">
        <f t="shared" si="319"/>
        <v>20</v>
      </c>
      <c r="EZ288" s="14">
        <f t="shared" si="320"/>
        <v>8</v>
      </c>
      <c r="FA288" s="14">
        <f t="shared" si="321"/>
        <v>120</v>
      </c>
      <c r="FB288" s="14">
        <f t="shared" si="322"/>
        <v>2</v>
      </c>
      <c r="FC288" s="14">
        <f t="shared" si="323"/>
        <v>2</v>
      </c>
      <c r="FD288" s="14">
        <f t="shared" si="324"/>
        <v>2</v>
      </c>
      <c r="FE288" s="14" t="b">
        <f t="shared" si="345"/>
        <v>0</v>
      </c>
      <c r="FF288" s="14">
        <f t="shared" si="325"/>
        <v>2008202</v>
      </c>
      <c r="FG288" s="13" t="str">
        <f t="shared" si="326"/>
        <v>120级-优秀寄灵人の头盔</v>
      </c>
      <c r="FH288" s="14">
        <f t="shared" si="327"/>
        <v>1</v>
      </c>
      <c r="FI288" s="14">
        <f t="shared" si="328"/>
        <v>2</v>
      </c>
      <c r="FJ288" s="14">
        <f t="shared" si="329"/>
        <v>120</v>
      </c>
      <c r="FK288" s="14">
        <v>1</v>
      </c>
      <c r="FL288" s="14">
        <f t="shared" si="330"/>
        <v>8</v>
      </c>
      <c r="FM288" s="14">
        <f t="shared" si="346"/>
        <v>2</v>
      </c>
      <c r="FN288" s="14" t="str">
        <f t="shared" si="331"/>
        <v/>
      </c>
      <c r="FO288" s="14">
        <f t="shared" si="332"/>
        <v>130</v>
      </c>
      <c r="FP288" s="14">
        <f t="shared" si="347"/>
        <v>0</v>
      </c>
      <c r="FQ288" s="14">
        <f t="shared" si="348"/>
        <v>270</v>
      </c>
      <c r="FR288" s="14">
        <f t="shared" si="349"/>
        <v>0</v>
      </c>
      <c r="FS288" s="14">
        <f t="shared" si="350"/>
        <v>0</v>
      </c>
      <c r="FT288" s="14">
        <f t="shared" si="351"/>
        <v>13</v>
      </c>
      <c r="FU288" s="14">
        <f t="shared" si="352"/>
        <v>0</v>
      </c>
      <c r="FV288" s="14">
        <f t="shared" si="333"/>
        <v>1082</v>
      </c>
      <c r="FW288" s="14">
        <f t="shared" si="334"/>
        <v>0</v>
      </c>
      <c r="FX288" s="14" t="str">
        <f t="shared" si="335"/>
        <v/>
      </c>
      <c r="FY288" s="25" t="str">
        <f t="shared" si="353"/>
        <v>icon_2008102</v>
      </c>
      <c r="GC288" s="14">
        <f t="shared" si="336"/>
        <v>2</v>
      </c>
      <c r="GD288" s="14">
        <f t="shared" si="337"/>
        <v>0</v>
      </c>
      <c r="GE288" s="14">
        <f t="shared" si="354"/>
        <v>130</v>
      </c>
      <c r="GF288" s="14" t="str">
        <f t="shared" si="338"/>
        <v>DefExt</v>
      </c>
      <c r="GG288" s="14">
        <f t="shared" si="355"/>
        <v>270</v>
      </c>
      <c r="GH288" s="14">
        <f t="shared" si="356"/>
        <v>13</v>
      </c>
      <c r="GI288" s="14" t="str">
        <f t="shared" si="339"/>
        <v/>
      </c>
      <c r="GJ288" s="14" t="str">
        <f t="shared" si="357"/>
        <v/>
      </c>
      <c r="GK288" s="14" t="str">
        <f t="shared" si="358"/>
        <v/>
      </c>
      <c r="GL288" s="14">
        <f t="shared" si="340"/>
        <v>20820</v>
      </c>
      <c r="GM288" s="14">
        <f t="shared" si="359"/>
        <v>0</v>
      </c>
      <c r="GN288" s="14" t="str">
        <f t="shared" si="360"/>
        <v/>
      </c>
      <c r="GO288" s="25" t="s">
        <v>1471</v>
      </c>
      <c r="GP288" s="14">
        <f t="shared" si="341"/>
        <v>120</v>
      </c>
      <c r="HK288" s="13">
        <v>283</v>
      </c>
      <c r="HL288" s="14">
        <f t="shared" si="361"/>
        <v>12</v>
      </c>
      <c r="HM288" s="14">
        <f t="shared" si="362"/>
        <v>2</v>
      </c>
      <c r="HN288" s="14">
        <f t="shared" si="363"/>
        <v>1</v>
      </c>
      <c r="HO288" s="14">
        <f t="shared" si="364"/>
        <v>4</v>
      </c>
      <c r="HP288" s="14" t="str">
        <f t="shared" si="365"/>
        <v>15级守护灵洗练-Q4-7</v>
      </c>
      <c r="HQ288" s="14">
        <f t="shared" si="366"/>
        <v>2014</v>
      </c>
      <c r="HR288" s="14">
        <f t="shared" si="367"/>
        <v>7</v>
      </c>
      <c r="HS288" s="14">
        <f t="shared" si="368"/>
        <v>500</v>
      </c>
      <c r="HT288" s="14" t="str">
        <f t="shared" si="369"/>
        <v>Crit</v>
      </c>
      <c r="HU288" s="14">
        <f t="shared" si="370"/>
        <v>1.0999999999999999E-2</v>
      </c>
      <c r="HV288" s="14">
        <f t="shared" si="371"/>
        <v>0.03</v>
      </c>
    </row>
    <row r="289" spans="151:230" ht="16.5" x14ac:dyDescent="0.2">
      <c r="EU289" s="13">
        <v>284</v>
      </c>
      <c r="EV289" s="14">
        <f t="shared" si="342"/>
        <v>1</v>
      </c>
      <c r="EW289" s="14">
        <f t="shared" si="343"/>
        <v>284</v>
      </c>
      <c r="EX289" s="14">
        <f t="shared" si="344"/>
        <v>38</v>
      </c>
      <c r="EY289" s="14">
        <f t="shared" si="319"/>
        <v>20</v>
      </c>
      <c r="EZ289" s="14">
        <f t="shared" si="320"/>
        <v>8</v>
      </c>
      <c r="FA289" s="14">
        <f t="shared" si="321"/>
        <v>120</v>
      </c>
      <c r="FB289" s="14">
        <f t="shared" si="322"/>
        <v>2</v>
      </c>
      <c r="FC289" s="14">
        <f t="shared" si="323"/>
        <v>3</v>
      </c>
      <c r="FD289" s="14">
        <f t="shared" si="324"/>
        <v>3</v>
      </c>
      <c r="FE289" s="14" t="b">
        <f t="shared" si="345"/>
        <v>0</v>
      </c>
      <c r="FF289" s="14">
        <f t="shared" si="325"/>
        <v>2008203</v>
      </c>
      <c r="FG289" s="13" t="str">
        <f t="shared" si="326"/>
        <v>120级-优秀寄灵人の铠甲</v>
      </c>
      <c r="FH289" s="14">
        <f t="shared" si="327"/>
        <v>1</v>
      </c>
      <c r="FI289" s="14">
        <f t="shared" si="328"/>
        <v>2</v>
      </c>
      <c r="FJ289" s="14">
        <f t="shared" si="329"/>
        <v>120</v>
      </c>
      <c r="FK289" s="14">
        <v>1</v>
      </c>
      <c r="FL289" s="14">
        <f t="shared" si="330"/>
        <v>8</v>
      </c>
      <c r="FM289" s="14">
        <f t="shared" si="346"/>
        <v>3</v>
      </c>
      <c r="FN289" s="14" t="str">
        <f t="shared" si="331"/>
        <v/>
      </c>
      <c r="FO289" s="14">
        <f t="shared" si="332"/>
        <v>194</v>
      </c>
      <c r="FP289" s="14">
        <f t="shared" si="347"/>
        <v>0</v>
      </c>
      <c r="FQ289" s="14">
        <f t="shared" si="348"/>
        <v>135</v>
      </c>
      <c r="FR289" s="14">
        <f t="shared" si="349"/>
        <v>2525</v>
      </c>
      <c r="FS289" s="14">
        <f t="shared" si="350"/>
        <v>0</v>
      </c>
      <c r="FT289" s="14">
        <f t="shared" si="351"/>
        <v>7</v>
      </c>
      <c r="FU289" s="14">
        <f t="shared" si="352"/>
        <v>124</v>
      </c>
      <c r="FV289" s="14">
        <f t="shared" si="333"/>
        <v>1082</v>
      </c>
      <c r="FW289" s="14">
        <f t="shared" si="334"/>
        <v>0</v>
      </c>
      <c r="FX289" s="14" t="str">
        <f t="shared" si="335"/>
        <v/>
      </c>
      <c r="FY289" s="25" t="str">
        <f t="shared" si="353"/>
        <v>icon_2008103</v>
      </c>
      <c r="GC289" s="14">
        <f t="shared" si="336"/>
        <v>2</v>
      </c>
      <c r="GD289" s="14">
        <f t="shared" si="337"/>
        <v>3</v>
      </c>
      <c r="GE289" s="14">
        <f t="shared" si="354"/>
        <v>194</v>
      </c>
      <c r="GF289" s="14" t="str">
        <f t="shared" si="338"/>
        <v>DefExt</v>
      </c>
      <c r="GG289" s="14">
        <f t="shared" si="355"/>
        <v>135</v>
      </c>
      <c r="GH289" s="14">
        <f t="shared" si="356"/>
        <v>7</v>
      </c>
      <c r="GI289" s="14" t="str">
        <f t="shared" si="339"/>
        <v>HPExt</v>
      </c>
      <c r="GJ289" s="14">
        <f t="shared" si="357"/>
        <v>2525</v>
      </c>
      <c r="GK289" s="14">
        <f t="shared" si="358"/>
        <v>124</v>
      </c>
      <c r="GL289" s="14">
        <f t="shared" si="340"/>
        <v>20820</v>
      </c>
      <c r="GM289" s="14">
        <f t="shared" si="359"/>
        <v>0</v>
      </c>
      <c r="GN289" s="14" t="str">
        <f t="shared" si="360"/>
        <v/>
      </c>
      <c r="GO289" s="25" t="s">
        <v>1471</v>
      </c>
      <c r="GP289" s="14">
        <f t="shared" si="341"/>
        <v>120</v>
      </c>
      <c r="HK289" s="13">
        <v>284</v>
      </c>
      <c r="HL289" s="14">
        <f t="shared" si="361"/>
        <v>12</v>
      </c>
      <c r="HM289" s="14">
        <f t="shared" si="362"/>
        <v>2</v>
      </c>
      <c r="HN289" s="14">
        <f t="shared" si="363"/>
        <v>1</v>
      </c>
      <c r="HO289" s="14">
        <f t="shared" si="364"/>
        <v>4</v>
      </c>
      <c r="HP289" s="14" t="str">
        <f t="shared" si="365"/>
        <v>15级守护灵洗练-Q4-8</v>
      </c>
      <c r="HQ289" s="14">
        <f t="shared" si="366"/>
        <v>2014</v>
      </c>
      <c r="HR289" s="14">
        <f t="shared" si="367"/>
        <v>8</v>
      </c>
      <c r="HS289" s="14">
        <f t="shared" si="368"/>
        <v>500</v>
      </c>
      <c r="HT289" s="14" t="str">
        <f t="shared" si="369"/>
        <v>CritRate</v>
      </c>
      <c r="HU289" s="14">
        <f t="shared" si="370"/>
        <v>2.8000000000000001E-2</v>
      </c>
      <c r="HV289" s="14">
        <f t="shared" si="371"/>
        <v>0.08</v>
      </c>
    </row>
    <row r="290" spans="151:230" ht="16.5" x14ac:dyDescent="0.2">
      <c r="EU290" s="13">
        <v>285</v>
      </c>
      <c r="EV290" s="14">
        <f t="shared" si="342"/>
        <v>1</v>
      </c>
      <c r="EW290" s="14">
        <f t="shared" si="343"/>
        <v>285</v>
      </c>
      <c r="EX290" s="14">
        <f t="shared" si="344"/>
        <v>38</v>
      </c>
      <c r="EY290" s="14">
        <f t="shared" si="319"/>
        <v>20</v>
      </c>
      <c r="EZ290" s="14">
        <f t="shared" si="320"/>
        <v>8</v>
      </c>
      <c r="FA290" s="14">
        <f t="shared" si="321"/>
        <v>120</v>
      </c>
      <c r="FB290" s="14">
        <f t="shared" si="322"/>
        <v>2</v>
      </c>
      <c r="FC290" s="14">
        <f t="shared" si="323"/>
        <v>4</v>
      </c>
      <c r="FD290" s="14">
        <f t="shared" si="324"/>
        <v>4</v>
      </c>
      <c r="FE290" s="14" t="b">
        <f t="shared" si="345"/>
        <v>0</v>
      </c>
      <c r="FF290" s="14">
        <f t="shared" si="325"/>
        <v>2008204</v>
      </c>
      <c r="FG290" s="13" t="str">
        <f t="shared" si="326"/>
        <v>120级-优秀寄灵人の裤子</v>
      </c>
      <c r="FH290" s="14">
        <f t="shared" si="327"/>
        <v>1</v>
      </c>
      <c r="FI290" s="14">
        <f t="shared" si="328"/>
        <v>2</v>
      </c>
      <c r="FJ290" s="14">
        <f t="shared" si="329"/>
        <v>120</v>
      </c>
      <c r="FK290" s="14">
        <v>1</v>
      </c>
      <c r="FL290" s="14">
        <f t="shared" si="330"/>
        <v>8</v>
      </c>
      <c r="FM290" s="14">
        <f t="shared" si="346"/>
        <v>4</v>
      </c>
      <c r="FN290" s="14" t="str">
        <f t="shared" si="331"/>
        <v/>
      </c>
      <c r="FO290" s="14">
        <f t="shared" si="332"/>
        <v>130</v>
      </c>
      <c r="FP290" s="14">
        <f t="shared" si="347"/>
        <v>0</v>
      </c>
      <c r="FQ290" s="14">
        <f t="shared" si="348"/>
        <v>270</v>
      </c>
      <c r="FR290" s="14">
        <f t="shared" si="349"/>
        <v>0</v>
      </c>
      <c r="FS290" s="14">
        <f t="shared" si="350"/>
        <v>0</v>
      </c>
      <c r="FT290" s="14">
        <f t="shared" si="351"/>
        <v>13</v>
      </c>
      <c r="FU290" s="14">
        <f t="shared" si="352"/>
        <v>0</v>
      </c>
      <c r="FV290" s="14">
        <f t="shared" si="333"/>
        <v>1082</v>
      </c>
      <c r="FW290" s="14">
        <f t="shared" si="334"/>
        <v>0</v>
      </c>
      <c r="FX290" s="14" t="str">
        <f t="shared" si="335"/>
        <v/>
      </c>
      <c r="FY290" s="25" t="str">
        <f t="shared" si="353"/>
        <v>icon_2008104</v>
      </c>
      <c r="GC290" s="14">
        <f t="shared" si="336"/>
        <v>2</v>
      </c>
      <c r="GD290" s="14">
        <f t="shared" si="337"/>
        <v>0</v>
      </c>
      <c r="GE290" s="14">
        <f t="shared" si="354"/>
        <v>130</v>
      </c>
      <c r="GF290" s="14" t="str">
        <f t="shared" si="338"/>
        <v>DefExt</v>
      </c>
      <c r="GG290" s="14">
        <f t="shared" si="355"/>
        <v>270</v>
      </c>
      <c r="GH290" s="14">
        <f t="shared" si="356"/>
        <v>13</v>
      </c>
      <c r="GI290" s="14" t="str">
        <f t="shared" si="339"/>
        <v/>
      </c>
      <c r="GJ290" s="14" t="str">
        <f t="shared" si="357"/>
        <v/>
      </c>
      <c r="GK290" s="14" t="str">
        <f t="shared" si="358"/>
        <v/>
      </c>
      <c r="GL290" s="14">
        <f t="shared" si="340"/>
        <v>20820</v>
      </c>
      <c r="GM290" s="14">
        <f t="shared" si="359"/>
        <v>0</v>
      </c>
      <c r="GN290" s="14" t="str">
        <f t="shared" si="360"/>
        <v/>
      </c>
      <c r="GO290" s="25" t="s">
        <v>1471</v>
      </c>
      <c r="GP290" s="14">
        <f t="shared" si="341"/>
        <v>120</v>
      </c>
      <c r="HK290" s="13">
        <v>285</v>
      </c>
      <c r="HL290" s="14">
        <f t="shared" si="361"/>
        <v>12</v>
      </c>
      <c r="HM290" s="14">
        <f t="shared" si="362"/>
        <v>2</v>
      </c>
      <c r="HN290" s="14">
        <f t="shared" si="363"/>
        <v>1</v>
      </c>
      <c r="HO290" s="14">
        <f t="shared" si="364"/>
        <v>4</v>
      </c>
      <c r="HP290" s="14" t="str">
        <f t="shared" si="365"/>
        <v>15级守护灵洗练-Q4-9</v>
      </c>
      <c r="HQ290" s="14">
        <f t="shared" si="366"/>
        <v>2014</v>
      </c>
      <c r="HR290" s="14">
        <f t="shared" si="367"/>
        <v>9</v>
      </c>
      <c r="HS290" s="14">
        <f t="shared" si="368"/>
        <v>500</v>
      </c>
      <c r="HT290" s="14" t="str">
        <f t="shared" si="369"/>
        <v>DefIgnor</v>
      </c>
      <c r="HU290" s="14">
        <f t="shared" si="370"/>
        <v>1.0999999999999999E-2</v>
      </c>
      <c r="HV290" s="14">
        <f t="shared" si="371"/>
        <v>0.03</v>
      </c>
    </row>
    <row r="291" spans="151:230" ht="16.5" x14ac:dyDescent="0.2">
      <c r="EU291" s="13">
        <v>286</v>
      </c>
      <c r="EV291" s="14">
        <f t="shared" si="342"/>
        <v>1</v>
      </c>
      <c r="EW291" s="14">
        <f t="shared" si="343"/>
        <v>286</v>
      </c>
      <c r="EX291" s="14">
        <f t="shared" si="344"/>
        <v>38</v>
      </c>
      <c r="EY291" s="14">
        <f t="shared" si="319"/>
        <v>20</v>
      </c>
      <c r="EZ291" s="14">
        <f t="shared" si="320"/>
        <v>8</v>
      </c>
      <c r="FA291" s="14">
        <f t="shared" si="321"/>
        <v>120</v>
      </c>
      <c r="FB291" s="14">
        <f t="shared" si="322"/>
        <v>2</v>
      </c>
      <c r="FC291" s="14">
        <f t="shared" si="323"/>
        <v>5</v>
      </c>
      <c r="FD291" s="14">
        <f t="shared" si="324"/>
        <v>5</v>
      </c>
      <c r="FE291" s="14" t="b">
        <f t="shared" si="345"/>
        <v>0</v>
      </c>
      <c r="FF291" s="14">
        <f t="shared" si="325"/>
        <v>2008205</v>
      </c>
      <c r="FG291" s="13" t="str">
        <f t="shared" si="326"/>
        <v>120级-优秀寄灵人の鞋子</v>
      </c>
      <c r="FH291" s="14">
        <f t="shared" si="327"/>
        <v>1</v>
      </c>
      <c r="FI291" s="14">
        <f t="shared" si="328"/>
        <v>2</v>
      </c>
      <c r="FJ291" s="14">
        <f t="shared" si="329"/>
        <v>120</v>
      </c>
      <c r="FK291" s="14">
        <v>1</v>
      </c>
      <c r="FL291" s="14">
        <f t="shared" si="330"/>
        <v>8</v>
      </c>
      <c r="FM291" s="14">
        <f t="shared" si="346"/>
        <v>5</v>
      </c>
      <c r="FN291" s="14" t="str">
        <f t="shared" si="331"/>
        <v/>
      </c>
      <c r="FO291" s="14">
        <f t="shared" si="332"/>
        <v>248</v>
      </c>
      <c r="FP291" s="14">
        <f t="shared" si="347"/>
        <v>0</v>
      </c>
      <c r="FQ291" s="14">
        <f t="shared" si="348"/>
        <v>0</v>
      </c>
      <c r="FR291" s="14">
        <f t="shared" si="349"/>
        <v>5050</v>
      </c>
      <c r="FS291" s="14">
        <f t="shared" si="350"/>
        <v>0</v>
      </c>
      <c r="FT291" s="14">
        <f t="shared" si="351"/>
        <v>0</v>
      </c>
      <c r="FU291" s="14">
        <f t="shared" si="352"/>
        <v>248</v>
      </c>
      <c r="FV291" s="14">
        <f t="shared" si="333"/>
        <v>1082</v>
      </c>
      <c r="FW291" s="14">
        <f t="shared" si="334"/>
        <v>0</v>
      </c>
      <c r="FX291" s="14" t="str">
        <f t="shared" si="335"/>
        <v/>
      </c>
      <c r="FY291" s="25" t="str">
        <f t="shared" si="353"/>
        <v>icon_2008105</v>
      </c>
      <c r="GC291" s="14">
        <f t="shared" si="336"/>
        <v>3</v>
      </c>
      <c r="GD291" s="14">
        <f t="shared" si="337"/>
        <v>0</v>
      </c>
      <c r="GE291" s="14">
        <f t="shared" si="354"/>
        <v>248</v>
      </c>
      <c r="GF291" s="14" t="str">
        <f t="shared" si="338"/>
        <v>HPExt</v>
      </c>
      <c r="GG291" s="14">
        <f t="shared" si="355"/>
        <v>5050</v>
      </c>
      <c r="GH291" s="14">
        <f t="shared" si="356"/>
        <v>248</v>
      </c>
      <c r="GI291" s="14" t="str">
        <f t="shared" si="339"/>
        <v/>
      </c>
      <c r="GJ291" s="14" t="str">
        <f t="shared" si="357"/>
        <v/>
      </c>
      <c r="GK291" s="14" t="str">
        <f t="shared" si="358"/>
        <v/>
      </c>
      <c r="GL291" s="14">
        <f t="shared" si="340"/>
        <v>20820</v>
      </c>
      <c r="GM291" s="14">
        <f t="shared" si="359"/>
        <v>0</v>
      </c>
      <c r="GN291" s="14" t="str">
        <f t="shared" si="360"/>
        <v/>
      </c>
      <c r="GO291" s="25" t="s">
        <v>1471</v>
      </c>
      <c r="GP291" s="14">
        <f t="shared" si="341"/>
        <v>120</v>
      </c>
      <c r="HK291" s="13">
        <v>286</v>
      </c>
      <c r="HL291" s="14">
        <f t="shared" si="361"/>
        <v>12</v>
      </c>
      <c r="HM291" s="14">
        <f t="shared" si="362"/>
        <v>2</v>
      </c>
      <c r="HN291" s="14">
        <f t="shared" si="363"/>
        <v>1</v>
      </c>
      <c r="HO291" s="14">
        <f t="shared" si="364"/>
        <v>4</v>
      </c>
      <c r="HP291" s="14" t="str">
        <f t="shared" si="365"/>
        <v>15级守护灵洗练-Q4-10</v>
      </c>
      <c r="HQ291" s="14">
        <f t="shared" si="366"/>
        <v>2014</v>
      </c>
      <c r="HR291" s="14">
        <f t="shared" si="367"/>
        <v>10</v>
      </c>
      <c r="HS291" s="14">
        <f t="shared" si="368"/>
        <v>500</v>
      </c>
      <c r="HT291" s="14" t="str">
        <f t="shared" si="369"/>
        <v>Block</v>
      </c>
      <c r="HU291" s="14">
        <f t="shared" si="370"/>
        <v>1.0999999999999999E-2</v>
      </c>
      <c r="HV291" s="14">
        <f t="shared" si="371"/>
        <v>0.03</v>
      </c>
    </row>
    <row r="292" spans="151:230" ht="16.5" x14ac:dyDescent="0.2">
      <c r="EU292" s="13">
        <v>287</v>
      </c>
      <c r="EV292" s="14">
        <f t="shared" si="342"/>
        <v>1</v>
      </c>
      <c r="EW292" s="14">
        <f t="shared" si="343"/>
        <v>287</v>
      </c>
      <c r="EX292" s="14">
        <f t="shared" si="344"/>
        <v>38</v>
      </c>
      <c r="EY292" s="14">
        <f t="shared" si="319"/>
        <v>20</v>
      </c>
      <c r="EZ292" s="14">
        <f t="shared" si="320"/>
        <v>8</v>
      </c>
      <c r="FA292" s="14">
        <f t="shared" si="321"/>
        <v>120</v>
      </c>
      <c r="FB292" s="14">
        <f t="shared" si="322"/>
        <v>2</v>
      </c>
      <c r="FC292" s="14">
        <f t="shared" si="323"/>
        <v>6</v>
      </c>
      <c r="FD292" s="14">
        <f t="shared" si="324"/>
        <v>6</v>
      </c>
      <c r="FE292" s="14" t="b">
        <f t="shared" si="345"/>
        <v>0</v>
      </c>
      <c r="FF292" s="14">
        <f t="shared" si="325"/>
        <v>2008206</v>
      </c>
      <c r="FG292" s="13" t="str">
        <f t="shared" si="326"/>
        <v>120级-优秀寄灵人の护手</v>
      </c>
      <c r="FH292" s="14">
        <f t="shared" si="327"/>
        <v>1</v>
      </c>
      <c r="FI292" s="14">
        <f t="shared" si="328"/>
        <v>2</v>
      </c>
      <c r="FJ292" s="14">
        <f t="shared" si="329"/>
        <v>120</v>
      </c>
      <c r="FK292" s="14">
        <v>1</v>
      </c>
      <c r="FL292" s="14">
        <f t="shared" si="330"/>
        <v>8</v>
      </c>
      <c r="FM292" s="14">
        <f t="shared" si="346"/>
        <v>6</v>
      </c>
      <c r="FN292" s="14" t="str">
        <f t="shared" si="331"/>
        <v/>
      </c>
      <c r="FO292" s="14">
        <f t="shared" si="332"/>
        <v>248</v>
      </c>
      <c r="FP292" s="14">
        <f t="shared" si="347"/>
        <v>0</v>
      </c>
      <c r="FQ292" s="14">
        <f t="shared" si="348"/>
        <v>0</v>
      </c>
      <c r="FR292" s="14">
        <f t="shared" si="349"/>
        <v>5050</v>
      </c>
      <c r="FS292" s="14">
        <f t="shared" si="350"/>
        <v>0</v>
      </c>
      <c r="FT292" s="14">
        <f t="shared" si="351"/>
        <v>0</v>
      </c>
      <c r="FU292" s="14">
        <f t="shared" si="352"/>
        <v>248</v>
      </c>
      <c r="FV292" s="14">
        <f t="shared" si="333"/>
        <v>1082</v>
      </c>
      <c r="FW292" s="14">
        <f t="shared" si="334"/>
        <v>0</v>
      </c>
      <c r="FX292" s="14" t="str">
        <f t="shared" si="335"/>
        <v/>
      </c>
      <c r="FY292" s="25" t="str">
        <f t="shared" si="353"/>
        <v>icon_2008106</v>
      </c>
      <c r="GC292" s="14">
        <f t="shared" si="336"/>
        <v>3</v>
      </c>
      <c r="GD292" s="14">
        <f t="shared" si="337"/>
        <v>0</v>
      </c>
      <c r="GE292" s="14">
        <f t="shared" si="354"/>
        <v>248</v>
      </c>
      <c r="GF292" s="14" t="str">
        <f t="shared" si="338"/>
        <v>HPExt</v>
      </c>
      <c r="GG292" s="14">
        <f t="shared" si="355"/>
        <v>5050</v>
      </c>
      <c r="GH292" s="14">
        <f t="shared" si="356"/>
        <v>248</v>
      </c>
      <c r="GI292" s="14" t="str">
        <f t="shared" si="339"/>
        <v/>
      </c>
      <c r="GJ292" s="14" t="str">
        <f t="shared" si="357"/>
        <v/>
      </c>
      <c r="GK292" s="14" t="str">
        <f t="shared" si="358"/>
        <v/>
      </c>
      <c r="GL292" s="14">
        <f t="shared" si="340"/>
        <v>20820</v>
      </c>
      <c r="GM292" s="14">
        <f t="shared" si="359"/>
        <v>0</v>
      </c>
      <c r="GN292" s="14" t="str">
        <f t="shared" si="360"/>
        <v/>
      </c>
      <c r="GO292" s="25" t="s">
        <v>1471</v>
      </c>
      <c r="GP292" s="14">
        <f t="shared" si="341"/>
        <v>120</v>
      </c>
      <c r="HK292" s="13">
        <v>287</v>
      </c>
      <c r="HL292" s="14">
        <f t="shared" si="361"/>
        <v>12</v>
      </c>
      <c r="HM292" s="14">
        <f t="shared" si="362"/>
        <v>2</v>
      </c>
      <c r="HN292" s="14">
        <f t="shared" si="363"/>
        <v>1</v>
      </c>
      <c r="HO292" s="14">
        <f t="shared" si="364"/>
        <v>4</v>
      </c>
      <c r="HP292" s="14" t="str">
        <f t="shared" si="365"/>
        <v>15级守护灵洗练-Q4-11</v>
      </c>
      <c r="HQ292" s="14">
        <f t="shared" si="366"/>
        <v>2014</v>
      </c>
      <c r="HR292" s="14">
        <f t="shared" si="367"/>
        <v>11</v>
      </c>
      <c r="HS292" s="14">
        <f t="shared" si="368"/>
        <v>500</v>
      </c>
      <c r="HT292" s="14" t="str">
        <f t="shared" si="369"/>
        <v>EffectHit</v>
      </c>
      <c r="HU292" s="14">
        <f t="shared" si="370"/>
        <v>1.7999999999999999E-2</v>
      </c>
      <c r="HV292" s="14">
        <f t="shared" si="371"/>
        <v>0.05</v>
      </c>
    </row>
    <row r="293" spans="151:230" ht="16.5" x14ac:dyDescent="0.2">
      <c r="EU293" s="13">
        <v>288</v>
      </c>
      <c r="EV293" s="14">
        <f t="shared" si="342"/>
        <v>1</v>
      </c>
      <c r="EW293" s="14">
        <f t="shared" si="343"/>
        <v>288</v>
      </c>
      <c r="EX293" s="14">
        <f t="shared" si="344"/>
        <v>38</v>
      </c>
      <c r="EY293" s="14">
        <f t="shared" si="319"/>
        <v>20</v>
      </c>
      <c r="EZ293" s="14">
        <f t="shared" si="320"/>
        <v>8</v>
      </c>
      <c r="FA293" s="14">
        <f t="shared" si="321"/>
        <v>120</v>
      </c>
      <c r="FB293" s="14">
        <f t="shared" si="322"/>
        <v>2</v>
      </c>
      <c r="FC293" s="14">
        <f t="shared" si="323"/>
        <v>7</v>
      </c>
      <c r="FD293" s="14">
        <f t="shared" si="324"/>
        <v>7</v>
      </c>
      <c r="FE293" s="14" t="b">
        <f t="shared" si="345"/>
        <v>0</v>
      </c>
      <c r="FF293" s="14">
        <f t="shared" si="325"/>
        <v>2008207</v>
      </c>
      <c r="FG293" s="13" t="str">
        <f t="shared" si="326"/>
        <v>120级-优秀寄灵人の项链</v>
      </c>
      <c r="FH293" s="14">
        <f t="shared" si="327"/>
        <v>1</v>
      </c>
      <c r="FI293" s="14">
        <f t="shared" si="328"/>
        <v>2</v>
      </c>
      <c r="FJ293" s="14">
        <f t="shared" si="329"/>
        <v>120</v>
      </c>
      <c r="FK293" s="14">
        <v>1</v>
      </c>
      <c r="FL293" s="14">
        <f t="shared" si="330"/>
        <v>8</v>
      </c>
      <c r="FM293" s="14">
        <f t="shared" si="346"/>
        <v>7</v>
      </c>
      <c r="FN293" s="14" t="str">
        <f t="shared" si="331"/>
        <v/>
      </c>
      <c r="FO293" s="14">
        <f t="shared" si="332"/>
        <v>200</v>
      </c>
      <c r="FP293" s="14">
        <f t="shared" si="347"/>
        <v>360</v>
      </c>
      <c r="FQ293" s="14">
        <f t="shared" si="348"/>
        <v>225</v>
      </c>
      <c r="FR293" s="14">
        <f t="shared" si="349"/>
        <v>0</v>
      </c>
      <c r="FS293" s="14">
        <f t="shared" si="350"/>
        <v>18</v>
      </c>
      <c r="FT293" s="14">
        <f t="shared" si="351"/>
        <v>11</v>
      </c>
      <c r="FU293" s="14">
        <f t="shared" si="352"/>
        <v>0</v>
      </c>
      <c r="FV293" s="14">
        <f t="shared" si="333"/>
        <v>1082</v>
      </c>
      <c r="FW293" s="14">
        <f t="shared" si="334"/>
        <v>0</v>
      </c>
      <c r="FX293" s="14" t="str">
        <f t="shared" si="335"/>
        <v/>
      </c>
      <c r="FY293" s="25" t="str">
        <f t="shared" si="353"/>
        <v>icon_2008107</v>
      </c>
      <c r="GC293" s="14">
        <f t="shared" si="336"/>
        <v>1</v>
      </c>
      <c r="GD293" s="14">
        <f t="shared" si="337"/>
        <v>2</v>
      </c>
      <c r="GE293" s="14">
        <f t="shared" si="354"/>
        <v>200</v>
      </c>
      <c r="GF293" s="14" t="str">
        <f t="shared" si="338"/>
        <v>AtkExt</v>
      </c>
      <c r="GG293" s="14">
        <f t="shared" si="355"/>
        <v>360</v>
      </c>
      <c r="GH293" s="14">
        <f t="shared" si="356"/>
        <v>18</v>
      </c>
      <c r="GI293" s="14" t="str">
        <f t="shared" si="339"/>
        <v>DefExt</v>
      </c>
      <c r="GJ293" s="14">
        <f t="shared" si="357"/>
        <v>225</v>
      </c>
      <c r="GK293" s="14">
        <f t="shared" si="358"/>
        <v>11</v>
      </c>
      <c r="GL293" s="14">
        <f t="shared" si="340"/>
        <v>20820</v>
      </c>
      <c r="GM293" s="14">
        <f t="shared" si="359"/>
        <v>0</v>
      </c>
      <c r="GN293" s="14" t="str">
        <f t="shared" si="360"/>
        <v/>
      </c>
      <c r="GO293" s="25" t="s">
        <v>1471</v>
      </c>
      <c r="GP293" s="14">
        <f t="shared" si="341"/>
        <v>180</v>
      </c>
      <c r="HK293" s="13">
        <v>288</v>
      </c>
      <c r="HL293" s="14">
        <f t="shared" si="361"/>
        <v>12</v>
      </c>
      <c r="HM293" s="14">
        <f t="shared" si="362"/>
        <v>2</v>
      </c>
      <c r="HN293" s="14">
        <f t="shared" si="363"/>
        <v>1</v>
      </c>
      <c r="HO293" s="14">
        <f t="shared" si="364"/>
        <v>4</v>
      </c>
      <c r="HP293" s="14" t="str">
        <f t="shared" si="365"/>
        <v>15级守护灵洗练-Q4-12</v>
      </c>
      <c r="HQ293" s="14">
        <f t="shared" si="366"/>
        <v>2014</v>
      </c>
      <c r="HR293" s="14">
        <f t="shared" si="367"/>
        <v>12</v>
      </c>
      <c r="HS293" s="14">
        <f t="shared" si="368"/>
        <v>500</v>
      </c>
      <c r="HT293" s="14" t="str">
        <f t="shared" si="369"/>
        <v>EffectResist</v>
      </c>
      <c r="HU293" s="14">
        <f t="shared" si="370"/>
        <v>1.7999999999999999E-2</v>
      </c>
      <c r="HV293" s="14">
        <f t="shared" si="371"/>
        <v>0.05</v>
      </c>
    </row>
    <row r="294" spans="151:230" ht="16.5" x14ac:dyDescent="0.2">
      <c r="EU294" s="13">
        <v>289</v>
      </c>
      <c r="EV294" s="14">
        <f t="shared" si="342"/>
        <v>1</v>
      </c>
      <c r="EW294" s="14">
        <f t="shared" si="343"/>
        <v>289</v>
      </c>
      <c r="EX294" s="14">
        <f t="shared" si="344"/>
        <v>38</v>
      </c>
      <c r="EY294" s="14">
        <f t="shared" si="319"/>
        <v>20</v>
      </c>
      <c r="EZ294" s="14">
        <f t="shared" si="320"/>
        <v>8</v>
      </c>
      <c r="FA294" s="14">
        <f t="shared" si="321"/>
        <v>120</v>
      </c>
      <c r="FB294" s="14">
        <f t="shared" si="322"/>
        <v>2</v>
      </c>
      <c r="FC294" s="14">
        <f t="shared" si="323"/>
        <v>8</v>
      </c>
      <c r="FD294" s="14">
        <f t="shared" si="324"/>
        <v>8</v>
      </c>
      <c r="FE294" s="14" t="b">
        <f t="shared" si="345"/>
        <v>0</v>
      </c>
      <c r="FF294" s="14">
        <f t="shared" si="325"/>
        <v>2008208</v>
      </c>
      <c r="FG294" s="13" t="str">
        <f t="shared" si="326"/>
        <v>120级-优秀寄灵人の戒指</v>
      </c>
      <c r="FH294" s="14">
        <f t="shared" si="327"/>
        <v>1</v>
      </c>
      <c r="FI294" s="14">
        <f t="shared" si="328"/>
        <v>2</v>
      </c>
      <c r="FJ294" s="14">
        <f t="shared" si="329"/>
        <v>120</v>
      </c>
      <c r="FK294" s="14">
        <v>1</v>
      </c>
      <c r="FL294" s="14">
        <f t="shared" si="330"/>
        <v>8</v>
      </c>
      <c r="FM294" s="14">
        <f t="shared" si="346"/>
        <v>8</v>
      </c>
      <c r="FN294" s="14" t="str">
        <f t="shared" si="331"/>
        <v/>
      </c>
      <c r="FO294" s="14">
        <f t="shared" si="332"/>
        <v>297</v>
      </c>
      <c r="FP294" s="14">
        <f t="shared" si="347"/>
        <v>360</v>
      </c>
      <c r="FQ294" s="14">
        <f t="shared" si="348"/>
        <v>0</v>
      </c>
      <c r="FR294" s="14">
        <f t="shared" si="349"/>
        <v>4210</v>
      </c>
      <c r="FS294" s="14">
        <f t="shared" si="350"/>
        <v>18</v>
      </c>
      <c r="FT294" s="14">
        <f t="shared" si="351"/>
        <v>0</v>
      </c>
      <c r="FU294" s="14">
        <f t="shared" si="352"/>
        <v>207</v>
      </c>
      <c r="FV294" s="14">
        <f t="shared" si="333"/>
        <v>1082</v>
      </c>
      <c r="FW294" s="14">
        <f t="shared" si="334"/>
        <v>0</v>
      </c>
      <c r="FX294" s="14" t="str">
        <f t="shared" si="335"/>
        <v/>
      </c>
      <c r="FY294" s="25" t="str">
        <f t="shared" si="353"/>
        <v>icon_2008108</v>
      </c>
      <c r="GC294" s="14">
        <f t="shared" si="336"/>
        <v>1</v>
      </c>
      <c r="GD294" s="14">
        <f t="shared" si="337"/>
        <v>3</v>
      </c>
      <c r="GE294" s="14">
        <f t="shared" si="354"/>
        <v>297</v>
      </c>
      <c r="GF294" s="14" t="str">
        <f t="shared" si="338"/>
        <v>AtkExt</v>
      </c>
      <c r="GG294" s="14">
        <f t="shared" si="355"/>
        <v>360</v>
      </c>
      <c r="GH294" s="14">
        <f t="shared" si="356"/>
        <v>18</v>
      </c>
      <c r="GI294" s="14" t="str">
        <f t="shared" si="339"/>
        <v>HPExt</v>
      </c>
      <c r="GJ294" s="14">
        <f t="shared" si="357"/>
        <v>4210</v>
      </c>
      <c r="GK294" s="14">
        <f t="shared" si="358"/>
        <v>207</v>
      </c>
      <c r="GL294" s="14">
        <f t="shared" si="340"/>
        <v>20820</v>
      </c>
      <c r="GM294" s="14">
        <f t="shared" si="359"/>
        <v>0</v>
      </c>
      <c r="GN294" s="14" t="str">
        <f t="shared" si="360"/>
        <v/>
      </c>
      <c r="GO294" s="25" t="s">
        <v>1471</v>
      </c>
      <c r="GP294" s="14">
        <f t="shared" si="341"/>
        <v>180</v>
      </c>
      <c r="HK294" s="13">
        <v>289</v>
      </c>
      <c r="HL294" s="14">
        <f t="shared" si="361"/>
        <v>13</v>
      </c>
      <c r="HM294" s="14">
        <f t="shared" si="362"/>
        <v>2</v>
      </c>
      <c r="HN294" s="14">
        <f t="shared" si="363"/>
        <v>2</v>
      </c>
      <c r="HO294" s="14">
        <f t="shared" si="364"/>
        <v>3</v>
      </c>
      <c r="HP294" s="14" t="str">
        <f t="shared" si="365"/>
        <v>30级守护灵洗练-Q3-1</v>
      </c>
      <c r="HQ294" s="14">
        <f t="shared" si="366"/>
        <v>2023</v>
      </c>
      <c r="HR294" s="14">
        <f t="shared" si="367"/>
        <v>1</v>
      </c>
      <c r="HS294" s="14">
        <f t="shared" si="368"/>
        <v>1800</v>
      </c>
      <c r="HT294" s="14" t="str">
        <f t="shared" si="369"/>
        <v>AtkExt</v>
      </c>
      <c r="HU294" s="14">
        <f t="shared" si="370"/>
        <v>17</v>
      </c>
      <c r="HV294" s="14">
        <f t="shared" si="371"/>
        <v>51</v>
      </c>
    </row>
    <row r="295" spans="151:230" ht="16.5" x14ac:dyDescent="0.2">
      <c r="EU295" s="13">
        <v>290</v>
      </c>
      <c r="EV295" s="14">
        <f t="shared" si="342"/>
        <v>1</v>
      </c>
      <c r="EW295" s="14">
        <f t="shared" si="343"/>
        <v>290</v>
      </c>
      <c r="EX295" s="14">
        <f t="shared" si="344"/>
        <v>39</v>
      </c>
      <c r="EY295" s="14">
        <f t="shared" si="319"/>
        <v>30</v>
      </c>
      <c r="EZ295" s="14">
        <f t="shared" si="320"/>
        <v>8</v>
      </c>
      <c r="FA295" s="14">
        <f t="shared" si="321"/>
        <v>120</v>
      </c>
      <c r="FB295" s="14">
        <f t="shared" si="322"/>
        <v>3</v>
      </c>
      <c r="FC295" s="14">
        <f t="shared" si="323"/>
        <v>1</v>
      </c>
      <c r="FD295" s="14">
        <f t="shared" si="324"/>
        <v>1</v>
      </c>
      <c r="FE295" s="14" t="b">
        <f t="shared" si="345"/>
        <v>0</v>
      </c>
      <c r="FF295" s="14">
        <f t="shared" si="325"/>
        <v>2008301</v>
      </c>
      <c r="FG295" s="13" t="str">
        <f t="shared" si="326"/>
        <v>120级-精良寄灵人の灵器</v>
      </c>
      <c r="FH295" s="14">
        <f t="shared" si="327"/>
        <v>1</v>
      </c>
      <c r="FI295" s="14">
        <f t="shared" si="328"/>
        <v>3</v>
      </c>
      <c r="FJ295" s="14">
        <f t="shared" si="329"/>
        <v>120</v>
      </c>
      <c r="FK295" s="14">
        <v>1</v>
      </c>
      <c r="FL295" s="14">
        <f t="shared" si="330"/>
        <v>8</v>
      </c>
      <c r="FM295" s="14">
        <f t="shared" si="346"/>
        <v>1</v>
      </c>
      <c r="FN295" s="14" t="str">
        <f t="shared" si="331"/>
        <v/>
      </c>
      <c r="FO295" s="14">
        <f t="shared" si="332"/>
        <v>325</v>
      </c>
      <c r="FP295" s="14">
        <f t="shared" si="347"/>
        <v>1315</v>
      </c>
      <c r="FQ295" s="14">
        <f t="shared" si="348"/>
        <v>0</v>
      </c>
      <c r="FR295" s="14">
        <f t="shared" si="349"/>
        <v>0</v>
      </c>
      <c r="FS295" s="14">
        <f t="shared" si="350"/>
        <v>65</v>
      </c>
      <c r="FT295" s="14">
        <f t="shared" si="351"/>
        <v>0</v>
      </c>
      <c r="FU295" s="14">
        <f t="shared" si="352"/>
        <v>0</v>
      </c>
      <c r="FV295" s="14">
        <f t="shared" si="333"/>
        <v>1083</v>
      </c>
      <c r="FW295" s="14">
        <f t="shared" si="334"/>
        <v>4</v>
      </c>
      <c r="FX295" s="14">
        <f t="shared" si="335"/>
        <v>1083</v>
      </c>
      <c r="FY295" s="25" t="str">
        <f t="shared" si="353"/>
        <v>icon_2008101</v>
      </c>
      <c r="GC295" s="14">
        <f t="shared" si="336"/>
        <v>1</v>
      </c>
      <c r="GD295" s="14">
        <f t="shared" si="337"/>
        <v>0</v>
      </c>
      <c r="GE295" s="14">
        <f t="shared" si="354"/>
        <v>325</v>
      </c>
      <c r="GF295" s="14" t="str">
        <f t="shared" si="338"/>
        <v>AtkExt</v>
      </c>
      <c r="GG295" s="14">
        <f t="shared" si="355"/>
        <v>1315</v>
      </c>
      <c r="GH295" s="14">
        <f t="shared" si="356"/>
        <v>65</v>
      </c>
      <c r="GI295" s="14" t="str">
        <f t="shared" si="339"/>
        <v/>
      </c>
      <c r="GJ295" s="14" t="str">
        <f t="shared" si="357"/>
        <v/>
      </c>
      <c r="GK295" s="14" t="str">
        <f t="shared" si="358"/>
        <v/>
      </c>
      <c r="GL295" s="14">
        <f t="shared" si="340"/>
        <v>20830</v>
      </c>
      <c r="GM295" s="14">
        <f t="shared" si="359"/>
        <v>4</v>
      </c>
      <c r="GN295" s="14">
        <f t="shared" si="360"/>
        <v>1083</v>
      </c>
      <c r="GO295" s="25" t="s">
        <v>1471</v>
      </c>
      <c r="GP295" s="14">
        <f t="shared" si="341"/>
        <v>400</v>
      </c>
      <c r="HK295" s="13">
        <v>290</v>
      </c>
      <c r="HL295" s="14">
        <f t="shared" si="361"/>
        <v>13</v>
      </c>
      <c r="HM295" s="14">
        <f t="shared" si="362"/>
        <v>2</v>
      </c>
      <c r="HN295" s="14">
        <f t="shared" si="363"/>
        <v>2</v>
      </c>
      <c r="HO295" s="14">
        <f t="shared" si="364"/>
        <v>3</v>
      </c>
      <c r="HP295" s="14" t="str">
        <f t="shared" si="365"/>
        <v>30级守护灵洗练-Q3-2</v>
      </c>
      <c r="HQ295" s="14">
        <f t="shared" si="366"/>
        <v>2023</v>
      </c>
      <c r="HR295" s="14">
        <f t="shared" si="367"/>
        <v>2</v>
      </c>
      <c r="HS295" s="14">
        <f t="shared" si="368"/>
        <v>1800</v>
      </c>
      <c r="HT295" s="14" t="str">
        <f t="shared" si="369"/>
        <v>DefExt</v>
      </c>
      <c r="HU295" s="14">
        <f t="shared" si="370"/>
        <v>9</v>
      </c>
      <c r="HV295" s="14">
        <f t="shared" si="371"/>
        <v>26</v>
      </c>
    </row>
    <row r="296" spans="151:230" ht="16.5" x14ac:dyDescent="0.2">
      <c r="EU296" s="13">
        <v>291</v>
      </c>
      <c r="EV296" s="14">
        <f t="shared" si="342"/>
        <v>1</v>
      </c>
      <c r="EW296" s="14">
        <f t="shared" si="343"/>
        <v>291</v>
      </c>
      <c r="EX296" s="14">
        <f t="shared" si="344"/>
        <v>39</v>
      </c>
      <c r="EY296" s="14">
        <f t="shared" si="319"/>
        <v>30</v>
      </c>
      <c r="EZ296" s="14">
        <f t="shared" si="320"/>
        <v>8</v>
      </c>
      <c r="FA296" s="14">
        <f t="shared" si="321"/>
        <v>120</v>
      </c>
      <c r="FB296" s="14">
        <f t="shared" si="322"/>
        <v>3</v>
      </c>
      <c r="FC296" s="14">
        <f t="shared" si="323"/>
        <v>2</v>
      </c>
      <c r="FD296" s="14">
        <f t="shared" si="324"/>
        <v>2</v>
      </c>
      <c r="FE296" s="14" t="b">
        <f t="shared" si="345"/>
        <v>0</v>
      </c>
      <c r="FF296" s="14">
        <f t="shared" si="325"/>
        <v>2008302</v>
      </c>
      <c r="FG296" s="13" t="str">
        <f t="shared" si="326"/>
        <v>120级-精良寄灵人の头盔</v>
      </c>
      <c r="FH296" s="14">
        <f t="shared" si="327"/>
        <v>1</v>
      </c>
      <c r="FI296" s="14">
        <f t="shared" si="328"/>
        <v>3</v>
      </c>
      <c r="FJ296" s="14">
        <f t="shared" si="329"/>
        <v>120</v>
      </c>
      <c r="FK296" s="14">
        <v>1</v>
      </c>
      <c r="FL296" s="14">
        <f t="shared" si="330"/>
        <v>8</v>
      </c>
      <c r="FM296" s="14">
        <f t="shared" si="346"/>
        <v>2</v>
      </c>
      <c r="FN296" s="14" t="str">
        <f t="shared" si="331"/>
        <v/>
      </c>
      <c r="FO296" s="14">
        <f t="shared" si="332"/>
        <v>160</v>
      </c>
      <c r="FP296" s="14">
        <f t="shared" si="347"/>
        <v>0</v>
      </c>
      <c r="FQ296" s="14">
        <f t="shared" si="348"/>
        <v>330</v>
      </c>
      <c r="FR296" s="14">
        <f t="shared" si="349"/>
        <v>0</v>
      </c>
      <c r="FS296" s="14">
        <f t="shared" si="350"/>
        <v>0</v>
      </c>
      <c r="FT296" s="14">
        <f t="shared" si="351"/>
        <v>16</v>
      </c>
      <c r="FU296" s="14">
        <f t="shared" si="352"/>
        <v>0</v>
      </c>
      <c r="FV296" s="14">
        <f t="shared" si="333"/>
        <v>1083</v>
      </c>
      <c r="FW296" s="14">
        <f t="shared" si="334"/>
        <v>4</v>
      </c>
      <c r="FX296" s="14">
        <f t="shared" si="335"/>
        <v>1083</v>
      </c>
      <c r="FY296" s="25" t="str">
        <f t="shared" si="353"/>
        <v>icon_2008102</v>
      </c>
      <c r="GC296" s="14">
        <f t="shared" si="336"/>
        <v>2</v>
      </c>
      <c r="GD296" s="14">
        <f t="shared" si="337"/>
        <v>0</v>
      </c>
      <c r="GE296" s="14">
        <f t="shared" si="354"/>
        <v>160</v>
      </c>
      <c r="GF296" s="14" t="str">
        <f t="shared" si="338"/>
        <v>DefExt</v>
      </c>
      <c r="GG296" s="14">
        <f t="shared" si="355"/>
        <v>330</v>
      </c>
      <c r="GH296" s="14">
        <f t="shared" si="356"/>
        <v>16</v>
      </c>
      <c r="GI296" s="14" t="str">
        <f t="shared" si="339"/>
        <v/>
      </c>
      <c r="GJ296" s="14" t="str">
        <f t="shared" si="357"/>
        <v/>
      </c>
      <c r="GK296" s="14" t="str">
        <f t="shared" si="358"/>
        <v/>
      </c>
      <c r="GL296" s="14">
        <f t="shared" si="340"/>
        <v>20830</v>
      </c>
      <c r="GM296" s="14">
        <f t="shared" si="359"/>
        <v>4</v>
      </c>
      <c r="GN296" s="14">
        <f t="shared" si="360"/>
        <v>1083</v>
      </c>
      <c r="GO296" s="25" t="s">
        <v>1471</v>
      </c>
      <c r="GP296" s="14">
        <f t="shared" si="341"/>
        <v>200</v>
      </c>
      <c r="HK296" s="13">
        <v>291</v>
      </c>
      <c r="HL296" s="14">
        <f t="shared" si="361"/>
        <v>13</v>
      </c>
      <c r="HM296" s="14">
        <f t="shared" si="362"/>
        <v>2</v>
      </c>
      <c r="HN296" s="14">
        <f t="shared" si="363"/>
        <v>2</v>
      </c>
      <c r="HO296" s="14">
        <f t="shared" si="364"/>
        <v>3</v>
      </c>
      <c r="HP296" s="14" t="str">
        <f t="shared" si="365"/>
        <v>30级守护灵洗练-Q3-3</v>
      </c>
      <c r="HQ296" s="14">
        <f t="shared" si="366"/>
        <v>2023</v>
      </c>
      <c r="HR296" s="14">
        <f t="shared" si="367"/>
        <v>3</v>
      </c>
      <c r="HS296" s="14">
        <f t="shared" si="368"/>
        <v>2000</v>
      </c>
      <c r="HT296" s="14" t="str">
        <f t="shared" si="369"/>
        <v>HPExt</v>
      </c>
      <c r="HU296" s="14">
        <f t="shared" si="370"/>
        <v>76</v>
      </c>
      <c r="HV296" s="14">
        <f t="shared" si="371"/>
        <v>219</v>
      </c>
    </row>
    <row r="297" spans="151:230" ht="16.5" x14ac:dyDescent="0.2">
      <c r="EU297" s="13">
        <v>292</v>
      </c>
      <c r="EV297" s="14">
        <f t="shared" si="342"/>
        <v>1</v>
      </c>
      <c r="EW297" s="14">
        <f t="shared" si="343"/>
        <v>292</v>
      </c>
      <c r="EX297" s="14">
        <f t="shared" si="344"/>
        <v>39</v>
      </c>
      <c r="EY297" s="14">
        <f t="shared" si="319"/>
        <v>30</v>
      </c>
      <c r="EZ297" s="14">
        <f t="shared" si="320"/>
        <v>8</v>
      </c>
      <c r="FA297" s="14">
        <f t="shared" si="321"/>
        <v>120</v>
      </c>
      <c r="FB297" s="14">
        <f t="shared" si="322"/>
        <v>3</v>
      </c>
      <c r="FC297" s="14">
        <f t="shared" si="323"/>
        <v>3</v>
      </c>
      <c r="FD297" s="14">
        <f t="shared" si="324"/>
        <v>3</v>
      </c>
      <c r="FE297" s="14" t="b">
        <f t="shared" si="345"/>
        <v>0</v>
      </c>
      <c r="FF297" s="14">
        <f t="shared" si="325"/>
        <v>2008303</v>
      </c>
      <c r="FG297" s="13" t="str">
        <f t="shared" si="326"/>
        <v>120级-精良寄灵人の铠甲</v>
      </c>
      <c r="FH297" s="14">
        <f t="shared" si="327"/>
        <v>1</v>
      </c>
      <c r="FI297" s="14">
        <f t="shared" si="328"/>
        <v>3</v>
      </c>
      <c r="FJ297" s="14">
        <f t="shared" si="329"/>
        <v>120</v>
      </c>
      <c r="FK297" s="14">
        <v>1</v>
      </c>
      <c r="FL297" s="14">
        <f t="shared" si="330"/>
        <v>8</v>
      </c>
      <c r="FM297" s="14">
        <f t="shared" si="346"/>
        <v>3</v>
      </c>
      <c r="FN297" s="14" t="str">
        <f t="shared" si="331"/>
        <v/>
      </c>
      <c r="FO297" s="14">
        <f t="shared" si="332"/>
        <v>231</v>
      </c>
      <c r="FP297" s="14">
        <f t="shared" si="347"/>
        <v>0</v>
      </c>
      <c r="FQ297" s="14">
        <f t="shared" si="348"/>
        <v>165</v>
      </c>
      <c r="FR297" s="14">
        <f t="shared" si="349"/>
        <v>3065</v>
      </c>
      <c r="FS297" s="14">
        <f t="shared" si="350"/>
        <v>0</v>
      </c>
      <c r="FT297" s="14">
        <f t="shared" si="351"/>
        <v>8</v>
      </c>
      <c r="FU297" s="14">
        <f t="shared" si="352"/>
        <v>151</v>
      </c>
      <c r="FV297" s="14">
        <f t="shared" si="333"/>
        <v>1083</v>
      </c>
      <c r="FW297" s="14">
        <f t="shared" si="334"/>
        <v>4</v>
      </c>
      <c r="FX297" s="14">
        <f t="shared" si="335"/>
        <v>1083</v>
      </c>
      <c r="FY297" s="25" t="str">
        <f t="shared" si="353"/>
        <v>icon_2008103</v>
      </c>
      <c r="GC297" s="14">
        <f t="shared" si="336"/>
        <v>2</v>
      </c>
      <c r="GD297" s="14">
        <f t="shared" si="337"/>
        <v>3</v>
      </c>
      <c r="GE297" s="14">
        <f t="shared" si="354"/>
        <v>231</v>
      </c>
      <c r="GF297" s="14" t="str">
        <f t="shared" si="338"/>
        <v>DefExt</v>
      </c>
      <c r="GG297" s="14">
        <f t="shared" si="355"/>
        <v>165</v>
      </c>
      <c r="GH297" s="14">
        <f t="shared" si="356"/>
        <v>8</v>
      </c>
      <c r="GI297" s="14" t="str">
        <f t="shared" si="339"/>
        <v>HPExt</v>
      </c>
      <c r="GJ297" s="14">
        <f t="shared" si="357"/>
        <v>3065</v>
      </c>
      <c r="GK297" s="14">
        <f t="shared" si="358"/>
        <v>151</v>
      </c>
      <c r="GL297" s="14">
        <f t="shared" si="340"/>
        <v>20830</v>
      </c>
      <c r="GM297" s="14">
        <f t="shared" si="359"/>
        <v>4</v>
      </c>
      <c r="GN297" s="14">
        <f t="shared" si="360"/>
        <v>1083</v>
      </c>
      <c r="GO297" s="25" t="s">
        <v>1471</v>
      </c>
      <c r="GP297" s="14">
        <f t="shared" si="341"/>
        <v>200</v>
      </c>
      <c r="HK297" s="13">
        <v>292</v>
      </c>
      <c r="HL297" s="14">
        <f t="shared" si="361"/>
        <v>13</v>
      </c>
      <c r="HM297" s="14">
        <f t="shared" si="362"/>
        <v>2</v>
      </c>
      <c r="HN297" s="14">
        <f t="shared" si="363"/>
        <v>2</v>
      </c>
      <c r="HO297" s="14">
        <f t="shared" si="364"/>
        <v>3</v>
      </c>
      <c r="HP297" s="14" t="str">
        <f t="shared" si="365"/>
        <v>30级守护灵洗练-Q3-4</v>
      </c>
      <c r="HQ297" s="14">
        <f t="shared" si="366"/>
        <v>2023</v>
      </c>
      <c r="HR297" s="14">
        <f t="shared" si="367"/>
        <v>4</v>
      </c>
      <c r="HS297" s="14">
        <f t="shared" si="368"/>
        <v>500</v>
      </c>
      <c r="HT297" s="14" t="str">
        <f t="shared" si="369"/>
        <v>AtkRate</v>
      </c>
      <c r="HU297" s="14">
        <f t="shared" si="370"/>
        <v>1.4E-2</v>
      </c>
      <c r="HV297" s="14">
        <f t="shared" si="371"/>
        <v>0.04</v>
      </c>
    </row>
    <row r="298" spans="151:230" ht="16.5" x14ac:dyDescent="0.2">
      <c r="EU298" s="13">
        <v>293</v>
      </c>
      <c r="EV298" s="14">
        <f t="shared" si="342"/>
        <v>1</v>
      </c>
      <c r="EW298" s="14">
        <f t="shared" si="343"/>
        <v>293</v>
      </c>
      <c r="EX298" s="14">
        <f t="shared" si="344"/>
        <v>39</v>
      </c>
      <c r="EY298" s="14">
        <f t="shared" si="319"/>
        <v>30</v>
      </c>
      <c r="EZ298" s="14">
        <f t="shared" si="320"/>
        <v>8</v>
      </c>
      <c r="FA298" s="14">
        <f t="shared" si="321"/>
        <v>120</v>
      </c>
      <c r="FB298" s="14">
        <f t="shared" si="322"/>
        <v>3</v>
      </c>
      <c r="FC298" s="14">
        <f t="shared" si="323"/>
        <v>4</v>
      </c>
      <c r="FD298" s="14">
        <f t="shared" si="324"/>
        <v>4</v>
      </c>
      <c r="FE298" s="14" t="b">
        <f t="shared" si="345"/>
        <v>0</v>
      </c>
      <c r="FF298" s="14">
        <f t="shared" si="325"/>
        <v>2008304</v>
      </c>
      <c r="FG298" s="13" t="str">
        <f t="shared" si="326"/>
        <v>120级-精良寄灵人の裤子</v>
      </c>
      <c r="FH298" s="14">
        <f t="shared" si="327"/>
        <v>1</v>
      </c>
      <c r="FI298" s="14">
        <f t="shared" si="328"/>
        <v>3</v>
      </c>
      <c r="FJ298" s="14">
        <f t="shared" si="329"/>
        <v>120</v>
      </c>
      <c r="FK298" s="14">
        <v>1</v>
      </c>
      <c r="FL298" s="14">
        <f t="shared" si="330"/>
        <v>8</v>
      </c>
      <c r="FM298" s="14">
        <f t="shared" si="346"/>
        <v>4</v>
      </c>
      <c r="FN298" s="14" t="str">
        <f t="shared" si="331"/>
        <v/>
      </c>
      <c r="FO298" s="14">
        <f t="shared" si="332"/>
        <v>160</v>
      </c>
      <c r="FP298" s="14">
        <f t="shared" si="347"/>
        <v>0</v>
      </c>
      <c r="FQ298" s="14">
        <f t="shared" si="348"/>
        <v>330</v>
      </c>
      <c r="FR298" s="14">
        <f t="shared" si="349"/>
        <v>0</v>
      </c>
      <c r="FS298" s="14">
        <f t="shared" si="350"/>
        <v>0</v>
      </c>
      <c r="FT298" s="14">
        <f t="shared" si="351"/>
        <v>16</v>
      </c>
      <c r="FU298" s="14">
        <f t="shared" si="352"/>
        <v>0</v>
      </c>
      <c r="FV298" s="14">
        <f t="shared" si="333"/>
        <v>1083</v>
      </c>
      <c r="FW298" s="14">
        <f t="shared" si="334"/>
        <v>4</v>
      </c>
      <c r="FX298" s="14">
        <f t="shared" si="335"/>
        <v>1083</v>
      </c>
      <c r="FY298" s="25" t="str">
        <f t="shared" si="353"/>
        <v>icon_2008104</v>
      </c>
      <c r="GC298" s="14">
        <f t="shared" si="336"/>
        <v>2</v>
      </c>
      <c r="GD298" s="14">
        <f t="shared" si="337"/>
        <v>0</v>
      </c>
      <c r="GE298" s="14">
        <f t="shared" si="354"/>
        <v>160</v>
      </c>
      <c r="GF298" s="14" t="str">
        <f t="shared" si="338"/>
        <v>DefExt</v>
      </c>
      <c r="GG298" s="14">
        <f t="shared" si="355"/>
        <v>330</v>
      </c>
      <c r="GH298" s="14">
        <f t="shared" si="356"/>
        <v>16</v>
      </c>
      <c r="GI298" s="14" t="str">
        <f t="shared" si="339"/>
        <v/>
      </c>
      <c r="GJ298" s="14" t="str">
        <f t="shared" si="357"/>
        <v/>
      </c>
      <c r="GK298" s="14" t="str">
        <f t="shared" si="358"/>
        <v/>
      </c>
      <c r="GL298" s="14">
        <f t="shared" si="340"/>
        <v>20830</v>
      </c>
      <c r="GM298" s="14">
        <f t="shared" si="359"/>
        <v>4</v>
      </c>
      <c r="GN298" s="14">
        <f t="shared" si="360"/>
        <v>1083</v>
      </c>
      <c r="GO298" s="25" t="s">
        <v>1471</v>
      </c>
      <c r="GP298" s="14">
        <f t="shared" si="341"/>
        <v>200</v>
      </c>
      <c r="HK298" s="13">
        <v>293</v>
      </c>
      <c r="HL298" s="14">
        <f t="shared" si="361"/>
        <v>13</v>
      </c>
      <c r="HM298" s="14">
        <f t="shared" si="362"/>
        <v>2</v>
      </c>
      <c r="HN298" s="14">
        <f t="shared" si="363"/>
        <v>2</v>
      </c>
      <c r="HO298" s="14">
        <f t="shared" si="364"/>
        <v>3</v>
      </c>
      <c r="HP298" s="14" t="str">
        <f t="shared" si="365"/>
        <v>30级守护灵洗练-Q3-5</v>
      </c>
      <c r="HQ298" s="14">
        <f t="shared" si="366"/>
        <v>2023</v>
      </c>
      <c r="HR298" s="14">
        <f t="shared" si="367"/>
        <v>5</v>
      </c>
      <c r="HS298" s="14">
        <f t="shared" si="368"/>
        <v>400</v>
      </c>
      <c r="HT298" s="14" t="str">
        <f t="shared" si="369"/>
        <v>DefRate</v>
      </c>
      <c r="HU298" s="14">
        <f t="shared" si="370"/>
        <v>1.4E-2</v>
      </c>
      <c r="HV298" s="14">
        <f t="shared" si="371"/>
        <v>0.04</v>
      </c>
    </row>
    <row r="299" spans="151:230" ht="16.5" x14ac:dyDescent="0.2">
      <c r="EU299" s="13">
        <v>294</v>
      </c>
      <c r="EV299" s="14">
        <f t="shared" si="342"/>
        <v>1</v>
      </c>
      <c r="EW299" s="14">
        <f t="shared" si="343"/>
        <v>294</v>
      </c>
      <c r="EX299" s="14">
        <f t="shared" si="344"/>
        <v>39</v>
      </c>
      <c r="EY299" s="14">
        <f t="shared" si="319"/>
        <v>30</v>
      </c>
      <c r="EZ299" s="14">
        <f t="shared" si="320"/>
        <v>8</v>
      </c>
      <c r="FA299" s="14">
        <f t="shared" si="321"/>
        <v>120</v>
      </c>
      <c r="FB299" s="14">
        <f t="shared" si="322"/>
        <v>3</v>
      </c>
      <c r="FC299" s="14">
        <f t="shared" si="323"/>
        <v>5</v>
      </c>
      <c r="FD299" s="14">
        <f t="shared" si="324"/>
        <v>5</v>
      </c>
      <c r="FE299" s="14" t="b">
        <f t="shared" si="345"/>
        <v>0</v>
      </c>
      <c r="FF299" s="14">
        <f t="shared" si="325"/>
        <v>2008305</v>
      </c>
      <c r="FG299" s="13" t="str">
        <f t="shared" si="326"/>
        <v>120级-精良寄灵人の鞋子</v>
      </c>
      <c r="FH299" s="14">
        <f t="shared" si="327"/>
        <v>1</v>
      </c>
      <c r="FI299" s="14">
        <f t="shared" si="328"/>
        <v>3</v>
      </c>
      <c r="FJ299" s="14">
        <f t="shared" si="329"/>
        <v>120</v>
      </c>
      <c r="FK299" s="14">
        <v>1</v>
      </c>
      <c r="FL299" s="14">
        <f t="shared" si="330"/>
        <v>8</v>
      </c>
      <c r="FM299" s="14">
        <f t="shared" si="346"/>
        <v>5</v>
      </c>
      <c r="FN299" s="14" t="str">
        <f t="shared" si="331"/>
        <v/>
      </c>
      <c r="FO299" s="14">
        <f t="shared" si="332"/>
        <v>301</v>
      </c>
      <c r="FP299" s="14">
        <f t="shared" si="347"/>
        <v>0</v>
      </c>
      <c r="FQ299" s="14">
        <f t="shared" si="348"/>
        <v>0</v>
      </c>
      <c r="FR299" s="14">
        <f t="shared" si="349"/>
        <v>6135</v>
      </c>
      <c r="FS299" s="14">
        <f t="shared" si="350"/>
        <v>0</v>
      </c>
      <c r="FT299" s="14">
        <f t="shared" si="351"/>
        <v>0</v>
      </c>
      <c r="FU299" s="14">
        <f t="shared" si="352"/>
        <v>301</v>
      </c>
      <c r="FV299" s="14">
        <f t="shared" si="333"/>
        <v>1083</v>
      </c>
      <c r="FW299" s="14">
        <f t="shared" si="334"/>
        <v>4</v>
      </c>
      <c r="FX299" s="14">
        <f t="shared" si="335"/>
        <v>1083</v>
      </c>
      <c r="FY299" s="25" t="str">
        <f t="shared" si="353"/>
        <v>icon_2008105</v>
      </c>
      <c r="GC299" s="14">
        <f t="shared" si="336"/>
        <v>3</v>
      </c>
      <c r="GD299" s="14">
        <f t="shared" si="337"/>
        <v>0</v>
      </c>
      <c r="GE299" s="14">
        <f t="shared" si="354"/>
        <v>301</v>
      </c>
      <c r="GF299" s="14" t="str">
        <f t="shared" si="338"/>
        <v>HPExt</v>
      </c>
      <c r="GG299" s="14">
        <f t="shared" si="355"/>
        <v>6135</v>
      </c>
      <c r="GH299" s="14">
        <f t="shared" si="356"/>
        <v>301</v>
      </c>
      <c r="GI299" s="14" t="str">
        <f t="shared" si="339"/>
        <v/>
      </c>
      <c r="GJ299" s="14" t="str">
        <f t="shared" si="357"/>
        <v/>
      </c>
      <c r="GK299" s="14" t="str">
        <f t="shared" si="358"/>
        <v/>
      </c>
      <c r="GL299" s="14">
        <f t="shared" si="340"/>
        <v>20830</v>
      </c>
      <c r="GM299" s="14">
        <f t="shared" si="359"/>
        <v>4</v>
      </c>
      <c r="GN299" s="14">
        <f t="shared" si="360"/>
        <v>1083</v>
      </c>
      <c r="GO299" s="25" t="s">
        <v>1471</v>
      </c>
      <c r="GP299" s="14">
        <f t="shared" si="341"/>
        <v>200</v>
      </c>
      <c r="HK299" s="13">
        <v>294</v>
      </c>
      <c r="HL299" s="14">
        <f t="shared" si="361"/>
        <v>13</v>
      </c>
      <c r="HM299" s="14">
        <f t="shared" si="362"/>
        <v>2</v>
      </c>
      <c r="HN299" s="14">
        <f t="shared" si="363"/>
        <v>2</v>
      </c>
      <c r="HO299" s="14">
        <f t="shared" si="364"/>
        <v>3</v>
      </c>
      <c r="HP299" s="14" t="str">
        <f t="shared" si="365"/>
        <v>30级守护灵洗练-Q3-6</v>
      </c>
      <c r="HQ299" s="14">
        <f t="shared" si="366"/>
        <v>2023</v>
      </c>
      <c r="HR299" s="14">
        <f t="shared" si="367"/>
        <v>6</v>
      </c>
      <c r="HS299" s="14">
        <f t="shared" si="368"/>
        <v>500</v>
      </c>
      <c r="HT299" s="14" t="str">
        <f t="shared" si="369"/>
        <v>HPRate</v>
      </c>
      <c r="HU299" s="14">
        <f t="shared" si="370"/>
        <v>1.4E-2</v>
      </c>
      <c r="HV299" s="14">
        <f t="shared" si="371"/>
        <v>0.04</v>
      </c>
    </row>
    <row r="300" spans="151:230" ht="16.5" x14ac:dyDescent="0.2">
      <c r="EU300" s="13">
        <v>295</v>
      </c>
      <c r="EV300" s="14">
        <f t="shared" si="342"/>
        <v>1</v>
      </c>
      <c r="EW300" s="14">
        <f t="shared" si="343"/>
        <v>295</v>
      </c>
      <c r="EX300" s="14">
        <f t="shared" si="344"/>
        <v>39</v>
      </c>
      <c r="EY300" s="14">
        <f t="shared" si="319"/>
        <v>30</v>
      </c>
      <c r="EZ300" s="14">
        <f t="shared" si="320"/>
        <v>8</v>
      </c>
      <c r="FA300" s="14">
        <f t="shared" si="321"/>
        <v>120</v>
      </c>
      <c r="FB300" s="14">
        <f t="shared" si="322"/>
        <v>3</v>
      </c>
      <c r="FC300" s="14">
        <f t="shared" si="323"/>
        <v>6</v>
      </c>
      <c r="FD300" s="14">
        <f t="shared" si="324"/>
        <v>6</v>
      </c>
      <c r="FE300" s="14" t="b">
        <f t="shared" si="345"/>
        <v>0</v>
      </c>
      <c r="FF300" s="14">
        <f t="shared" si="325"/>
        <v>2008306</v>
      </c>
      <c r="FG300" s="13" t="str">
        <f t="shared" si="326"/>
        <v>120级-精良寄灵人の护手</v>
      </c>
      <c r="FH300" s="14">
        <f t="shared" si="327"/>
        <v>1</v>
      </c>
      <c r="FI300" s="14">
        <f t="shared" si="328"/>
        <v>3</v>
      </c>
      <c r="FJ300" s="14">
        <f t="shared" si="329"/>
        <v>120</v>
      </c>
      <c r="FK300" s="14">
        <v>1</v>
      </c>
      <c r="FL300" s="14">
        <f t="shared" si="330"/>
        <v>8</v>
      </c>
      <c r="FM300" s="14">
        <f t="shared" si="346"/>
        <v>6</v>
      </c>
      <c r="FN300" s="14" t="str">
        <f t="shared" si="331"/>
        <v/>
      </c>
      <c r="FO300" s="14">
        <f t="shared" si="332"/>
        <v>301</v>
      </c>
      <c r="FP300" s="14">
        <f t="shared" si="347"/>
        <v>0</v>
      </c>
      <c r="FQ300" s="14">
        <f t="shared" si="348"/>
        <v>0</v>
      </c>
      <c r="FR300" s="14">
        <f t="shared" si="349"/>
        <v>6135</v>
      </c>
      <c r="FS300" s="14">
        <f t="shared" si="350"/>
        <v>0</v>
      </c>
      <c r="FT300" s="14">
        <f t="shared" si="351"/>
        <v>0</v>
      </c>
      <c r="FU300" s="14">
        <f t="shared" si="352"/>
        <v>301</v>
      </c>
      <c r="FV300" s="14">
        <f t="shared" si="333"/>
        <v>1083</v>
      </c>
      <c r="FW300" s="14">
        <f t="shared" si="334"/>
        <v>4</v>
      </c>
      <c r="FX300" s="14">
        <f t="shared" si="335"/>
        <v>1083</v>
      </c>
      <c r="FY300" s="25" t="str">
        <f t="shared" si="353"/>
        <v>icon_2008106</v>
      </c>
      <c r="GC300" s="14">
        <f t="shared" si="336"/>
        <v>3</v>
      </c>
      <c r="GD300" s="14">
        <f t="shared" si="337"/>
        <v>0</v>
      </c>
      <c r="GE300" s="14">
        <f t="shared" si="354"/>
        <v>301</v>
      </c>
      <c r="GF300" s="14" t="str">
        <f t="shared" si="338"/>
        <v>HPExt</v>
      </c>
      <c r="GG300" s="14">
        <f t="shared" si="355"/>
        <v>6135</v>
      </c>
      <c r="GH300" s="14">
        <f t="shared" si="356"/>
        <v>301</v>
      </c>
      <c r="GI300" s="14" t="str">
        <f t="shared" si="339"/>
        <v/>
      </c>
      <c r="GJ300" s="14" t="str">
        <f t="shared" si="357"/>
        <v/>
      </c>
      <c r="GK300" s="14" t="str">
        <f t="shared" si="358"/>
        <v/>
      </c>
      <c r="GL300" s="14">
        <f t="shared" si="340"/>
        <v>20830</v>
      </c>
      <c r="GM300" s="14">
        <f t="shared" si="359"/>
        <v>4</v>
      </c>
      <c r="GN300" s="14">
        <f t="shared" si="360"/>
        <v>1083</v>
      </c>
      <c r="GO300" s="25" t="s">
        <v>1471</v>
      </c>
      <c r="GP300" s="14">
        <f t="shared" si="341"/>
        <v>200</v>
      </c>
      <c r="HK300" s="13">
        <v>295</v>
      </c>
      <c r="HL300" s="14">
        <f t="shared" si="361"/>
        <v>13</v>
      </c>
      <c r="HM300" s="14">
        <f t="shared" si="362"/>
        <v>2</v>
      </c>
      <c r="HN300" s="14">
        <f t="shared" si="363"/>
        <v>2</v>
      </c>
      <c r="HO300" s="14">
        <f t="shared" si="364"/>
        <v>3</v>
      </c>
      <c r="HP300" s="14" t="str">
        <f t="shared" si="365"/>
        <v>30级守护灵洗练-Q3-7</v>
      </c>
      <c r="HQ300" s="14">
        <f t="shared" si="366"/>
        <v>2023</v>
      </c>
      <c r="HR300" s="14">
        <f t="shared" si="367"/>
        <v>7</v>
      </c>
      <c r="HS300" s="14">
        <f t="shared" si="368"/>
        <v>500</v>
      </c>
      <c r="HT300" s="14" t="str">
        <f t="shared" si="369"/>
        <v>Crit</v>
      </c>
      <c r="HU300" s="14">
        <f t="shared" si="370"/>
        <v>1.0999999999999999E-2</v>
      </c>
      <c r="HV300" s="14">
        <f t="shared" si="371"/>
        <v>0.03</v>
      </c>
    </row>
    <row r="301" spans="151:230" ht="16.5" x14ac:dyDescent="0.2">
      <c r="EU301" s="13">
        <v>296</v>
      </c>
      <c r="EV301" s="14">
        <f t="shared" si="342"/>
        <v>1</v>
      </c>
      <c r="EW301" s="14">
        <f t="shared" si="343"/>
        <v>296</v>
      </c>
      <c r="EX301" s="14">
        <f t="shared" si="344"/>
        <v>39</v>
      </c>
      <c r="EY301" s="14">
        <f t="shared" si="319"/>
        <v>30</v>
      </c>
      <c r="EZ301" s="14">
        <f t="shared" si="320"/>
        <v>8</v>
      </c>
      <c r="FA301" s="14">
        <f t="shared" si="321"/>
        <v>120</v>
      </c>
      <c r="FB301" s="14">
        <f t="shared" si="322"/>
        <v>3</v>
      </c>
      <c r="FC301" s="14">
        <f t="shared" si="323"/>
        <v>7</v>
      </c>
      <c r="FD301" s="14">
        <f t="shared" si="324"/>
        <v>7</v>
      </c>
      <c r="FE301" s="14" t="b">
        <f t="shared" si="345"/>
        <v>0</v>
      </c>
      <c r="FF301" s="14">
        <f t="shared" si="325"/>
        <v>2008307</v>
      </c>
      <c r="FG301" s="13" t="str">
        <f t="shared" si="326"/>
        <v>120级-精良寄灵人の项链</v>
      </c>
      <c r="FH301" s="14">
        <f t="shared" si="327"/>
        <v>1</v>
      </c>
      <c r="FI301" s="14">
        <f t="shared" si="328"/>
        <v>3</v>
      </c>
      <c r="FJ301" s="14">
        <f t="shared" si="329"/>
        <v>120</v>
      </c>
      <c r="FK301" s="14">
        <v>1</v>
      </c>
      <c r="FL301" s="14">
        <f t="shared" si="330"/>
        <v>8</v>
      </c>
      <c r="FM301" s="14">
        <f t="shared" si="346"/>
        <v>7</v>
      </c>
      <c r="FN301" s="14" t="str">
        <f t="shared" si="331"/>
        <v/>
      </c>
      <c r="FO301" s="14">
        <f t="shared" si="332"/>
        <v>240</v>
      </c>
      <c r="FP301" s="14">
        <f t="shared" si="347"/>
        <v>440</v>
      </c>
      <c r="FQ301" s="14">
        <f t="shared" si="348"/>
        <v>275</v>
      </c>
      <c r="FR301" s="14">
        <f t="shared" si="349"/>
        <v>0</v>
      </c>
      <c r="FS301" s="14">
        <f t="shared" si="350"/>
        <v>22</v>
      </c>
      <c r="FT301" s="14">
        <f t="shared" si="351"/>
        <v>13</v>
      </c>
      <c r="FU301" s="14">
        <f t="shared" si="352"/>
        <v>0</v>
      </c>
      <c r="FV301" s="14">
        <f t="shared" si="333"/>
        <v>1083</v>
      </c>
      <c r="FW301" s="14">
        <f t="shared" si="334"/>
        <v>4</v>
      </c>
      <c r="FX301" s="14">
        <f t="shared" si="335"/>
        <v>1083</v>
      </c>
      <c r="FY301" s="25" t="str">
        <f t="shared" si="353"/>
        <v>icon_2008107</v>
      </c>
      <c r="GC301" s="14">
        <f t="shared" si="336"/>
        <v>1</v>
      </c>
      <c r="GD301" s="14">
        <f t="shared" si="337"/>
        <v>2</v>
      </c>
      <c r="GE301" s="14">
        <f t="shared" si="354"/>
        <v>240</v>
      </c>
      <c r="GF301" s="14" t="str">
        <f t="shared" si="338"/>
        <v>AtkExt</v>
      </c>
      <c r="GG301" s="14">
        <f t="shared" si="355"/>
        <v>440</v>
      </c>
      <c r="GH301" s="14">
        <f t="shared" si="356"/>
        <v>22</v>
      </c>
      <c r="GI301" s="14" t="str">
        <f t="shared" si="339"/>
        <v>DefExt</v>
      </c>
      <c r="GJ301" s="14">
        <f t="shared" si="357"/>
        <v>275</v>
      </c>
      <c r="GK301" s="14">
        <f t="shared" si="358"/>
        <v>13</v>
      </c>
      <c r="GL301" s="14">
        <f t="shared" si="340"/>
        <v>20830</v>
      </c>
      <c r="GM301" s="14">
        <f t="shared" si="359"/>
        <v>4</v>
      </c>
      <c r="GN301" s="14">
        <f t="shared" si="360"/>
        <v>1083</v>
      </c>
      <c r="GO301" s="25" t="s">
        <v>1471</v>
      </c>
      <c r="GP301" s="14">
        <f t="shared" si="341"/>
        <v>300</v>
      </c>
      <c r="HK301" s="13">
        <v>296</v>
      </c>
      <c r="HL301" s="14">
        <f t="shared" si="361"/>
        <v>13</v>
      </c>
      <c r="HM301" s="14">
        <f t="shared" si="362"/>
        <v>2</v>
      </c>
      <c r="HN301" s="14">
        <f t="shared" si="363"/>
        <v>2</v>
      </c>
      <c r="HO301" s="14">
        <f t="shared" si="364"/>
        <v>3</v>
      </c>
      <c r="HP301" s="14" t="str">
        <f t="shared" si="365"/>
        <v>30级守护灵洗练-Q3-8</v>
      </c>
      <c r="HQ301" s="14">
        <f t="shared" si="366"/>
        <v>2023</v>
      </c>
      <c r="HR301" s="14">
        <f t="shared" si="367"/>
        <v>8</v>
      </c>
      <c r="HS301" s="14">
        <f t="shared" si="368"/>
        <v>500</v>
      </c>
      <c r="HT301" s="14" t="str">
        <f t="shared" si="369"/>
        <v>CritRate</v>
      </c>
      <c r="HU301" s="14">
        <f t="shared" si="370"/>
        <v>2.8000000000000001E-2</v>
      </c>
      <c r="HV301" s="14">
        <f t="shared" si="371"/>
        <v>0.08</v>
      </c>
    </row>
    <row r="302" spans="151:230" ht="16.5" x14ac:dyDescent="0.2">
      <c r="EU302" s="13">
        <v>297</v>
      </c>
      <c r="EV302" s="14">
        <f t="shared" si="342"/>
        <v>1</v>
      </c>
      <c r="EW302" s="14">
        <f t="shared" si="343"/>
        <v>297</v>
      </c>
      <c r="EX302" s="14">
        <f t="shared" si="344"/>
        <v>39</v>
      </c>
      <c r="EY302" s="14">
        <f t="shared" si="319"/>
        <v>30</v>
      </c>
      <c r="EZ302" s="14">
        <f t="shared" si="320"/>
        <v>8</v>
      </c>
      <c r="FA302" s="14">
        <f t="shared" si="321"/>
        <v>120</v>
      </c>
      <c r="FB302" s="14">
        <f t="shared" si="322"/>
        <v>3</v>
      </c>
      <c r="FC302" s="14">
        <f t="shared" si="323"/>
        <v>8</v>
      </c>
      <c r="FD302" s="14">
        <f t="shared" si="324"/>
        <v>8</v>
      </c>
      <c r="FE302" s="14" t="b">
        <f t="shared" si="345"/>
        <v>0</v>
      </c>
      <c r="FF302" s="14">
        <f t="shared" si="325"/>
        <v>2008308</v>
      </c>
      <c r="FG302" s="13" t="str">
        <f t="shared" si="326"/>
        <v>120级-精良寄灵人の戒指</v>
      </c>
      <c r="FH302" s="14">
        <f t="shared" si="327"/>
        <v>1</v>
      </c>
      <c r="FI302" s="14">
        <f t="shared" si="328"/>
        <v>3</v>
      </c>
      <c r="FJ302" s="14">
        <f t="shared" si="329"/>
        <v>120</v>
      </c>
      <c r="FK302" s="14">
        <v>1</v>
      </c>
      <c r="FL302" s="14">
        <f t="shared" si="330"/>
        <v>8</v>
      </c>
      <c r="FM302" s="14">
        <f t="shared" si="346"/>
        <v>8</v>
      </c>
      <c r="FN302" s="14" t="str">
        <f t="shared" si="331"/>
        <v/>
      </c>
      <c r="FO302" s="14">
        <f t="shared" si="332"/>
        <v>361</v>
      </c>
      <c r="FP302" s="14">
        <f t="shared" si="347"/>
        <v>440</v>
      </c>
      <c r="FQ302" s="14">
        <f t="shared" si="348"/>
        <v>0</v>
      </c>
      <c r="FR302" s="14">
        <f t="shared" si="349"/>
        <v>5110</v>
      </c>
      <c r="FS302" s="14">
        <f t="shared" si="350"/>
        <v>22</v>
      </c>
      <c r="FT302" s="14">
        <f t="shared" si="351"/>
        <v>0</v>
      </c>
      <c r="FU302" s="14">
        <f t="shared" si="352"/>
        <v>251</v>
      </c>
      <c r="FV302" s="14">
        <f t="shared" si="333"/>
        <v>1083</v>
      </c>
      <c r="FW302" s="14">
        <f t="shared" si="334"/>
        <v>4</v>
      </c>
      <c r="FX302" s="14">
        <f t="shared" si="335"/>
        <v>1083</v>
      </c>
      <c r="FY302" s="25" t="str">
        <f t="shared" si="353"/>
        <v>icon_2008108</v>
      </c>
      <c r="GC302" s="14">
        <f t="shared" si="336"/>
        <v>1</v>
      </c>
      <c r="GD302" s="14">
        <f t="shared" si="337"/>
        <v>3</v>
      </c>
      <c r="GE302" s="14">
        <f t="shared" si="354"/>
        <v>361</v>
      </c>
      <c r="GF302" s="14" t="str">
        <f t="shared" si="338"/>
        <v>AtkExt</v>
      </c>
      <c r="GG302" s="14">
        <f t="shared" si="355"/>
        <v>440</v>
      </c>
      <c r="GH302" s="14">
        <f t="shared" si="356"/>
        <v>22</v>
      </c>
      <c r="GI302" s="14" t="str">
        <f t="shared" si="339"/>
        <v>HPExt</v>
      </c>
      <c r="GJ302" s="14">
        <f t="shared" si="357"/>
        <v>5110</v>
      </c>
      <c r="GK302" s="14">
        <f t="shared" si="358"/>
        <v>251</v>
      </c>
      <c r="GL302" s="14">
        <f t="shared" si="340"/>
        <v>20830</v>
      </c>
      <c r="GM302" s="14">
        <f t="shared" si="359"/>
        <v>4</v>
      </c>
      <c r="GN302" s="14">
        <f t="shared" si="360"/>
        <v>1083</v>
      </c>
      <c r="GO302" s="25" t="s">
        <v>1471</v>
      </c>
      <c r="GP302" s="14">
        <f t="shared" si="341"/>
        <v>300</v>
      </c>
      <c r="HK302" s="13">
        <v>297</v>
      </c>
      <c r="HL302" s="14">
        <f t="shared" si="361"/>
        <v>13</v>
      </c>
      <c r="HM302" s="14">
        <f t="shared" si="362"/>
        <v>2</v>
      </c>
      <c r="HN302" s="14">
        <f t="shared" si="363"/>
        <v>2</v>
      </c>
      <c r="HO302" s="14">
        <f t="shared" si="364"/>
        <v>3</v>
      </c>
      <c r="HP302" s="14" t="str">
        <f t="shared" si="365"/>
        <v>30级守护灵洗练-Q3-9</v>
      </c>
      <c r="HQ302" s="14">
        <f t="shared" si="366"/>
        <v>2023</v>
      </c>
      <c r="HR302" s="14">
        <f t="shared" si="367"/>
        <v>9</v>
      </c>
      <c r="HS302" s="14">
        <f t="shared" si="368"/>
        <v>500</v>
      </c>
      <c r="HT302" s="14" t="str">
        <f t="shared" si="369"/>
        <v>DefIgnor</v>
      </c>
      <c r="HU302" s="14">
        <f t="shared" si="370"/>
        <v>1.0999999999999999E-2</v>
      </c>
      <c r="HV302" s="14">
        <f t="shared" si="371"/>
        <v>0.03</v>
      </c>
    </row>
    <row r="303" spans="151:230" ht="16.5" x14ac:dyDescent="0.2">
      <c r="EU303" s="13">
        <v>298</v>
      </c>
      <c r="EV303" s="14">
        <f t="shared" si="342"/>
        <v>1</v>
      </c>
      <c r="EW303" s="14">
        <f t="shared" si="343"/>
        <v>298</v>
      </c>
      <c r="EX303" s="14">
        <f t="shared" si="344"/>
        <v>40</v>
      </c>
      <c r="EY303" s="14">
        <f t="shared" si="319"/>
        <v>40</v>
      </c>
      <c r="EZ303" s="14">
        <f t="shared" si="320"/>
        <v>8</v>
      </c>
      <c r="FA303" s="14">
        <f t="shared" si="321"/>
        <v>120</v>
      </c>
      <c r="FB303" s="14">
        <f t="shared" si="322"/>
        <v>4</v>
      </c>
      <c r="FC303" s="14">
        <f t="shared" si="323"/>
        <v>1</v>
      </c>
      <c r="FD303" s="14">
        <f t="shared" si="324"/>
        <v>1</v>
      </c>
      <c r="FE303" s="14" t="b">
        <f t="shared" si="345"/>
        <v>0</v>
      </c>
      <c r="FF303" s="14">
        <f t="shared" si="325"/>
        <v>2008401</v>
      </c>
      <c r="FG303" s="13" t="str">
        <f t="shared" si="326"/>
        <v>120级-史诗寄灵人の灵器</v>
      </c>
      <c r="FH303" s="14">
        <f t="shared" si="327"/>
        <v>1</v>
      </c>
      <c r="FI303" s="14">
        <f t="shared" si="328"/>
        <v>4</v>
      </c>
      <c r="FJ303" s="14">
        <f t="shared" si="329"/>
        <v>120</v>
      </c>
      <c r="FK303" s="14">
        <v>1</v>
      </c>
      <c r="FL303" s="14">
        <f t="shared" si="330"/>
        <v>8</v>
      </c>
      <c r="FM303" s="14">
        <f t="shared" si="346"/>
        <v>1</v>
      </c>
      <c r="FN303" s="14" t="str">
        <f t="shared" si="331"/>
        <v/>
      </c>
      <c r="FO303" s="14">
        <f t="shared" si="332"/>
        <v>380</v>
      </c>
      <c r="FP303" s="14">
        <f t="shared" si="347"/>
        <v>1550</v>
      </c>
      <c r="FQ303" s="14">
        <f t="shared" si="348"/>
        <v>0</v>
      </c>
      <c r="FR303" s="14">
        <f t="shared" si="349"/>
        <v>0</v>
      </c>
      <c r="FS303" s="14">
        <f t="shared" si="350"/>
        <v>76</v>
      </c>
      <c r="FT303" s="14">
        <f t="shared" si="351"/>
        <v>0</v>
      </c>
      <c r="FU303" s="14">
        <f t="shared" si="352"/>
        <v>0</v>
      </c>
      <c r="FV303" s="14">
        <f t="shared" si="333"/>
        <v>1084</v>
      </c>
      <c r="FW303" s="14">
        <f t="shared" si="334"/>
        <v>5</v>
      </c>
      <c r="FX303" s="14">
        <f t="shared" si="335"/>
        <v>1084</v>
      </c>
      <c r="FY303" s="25" t="str">
        <f t="shared" si="353"/>
        <v>icon_2008101</v>
      </c>
      <c r="GC303" s="14">
        <f t="shared" si="336"/>
        <v>1</v>
      </c>
      <c r="GD303" s="14">
        <f t="shared" si="337"/>
        <v>0</v>
      </c>
      <c r="GE303" s="14">
        <f t="shared" si="354"/>
        <v>380</v>
      </c>
      <c r="GF303" s="14" t="str">
        <f t="shared" si="338"/>
        <v>AtkExt</v>
      </c>
      <c r="GG303" s="14">
        <f t="shared" si="355"/>
        <v>1550</v>
      </c>
      <c r="GH303" s="14">
        <f t="shared" si="356"/>
        <v>76</v>
      </c>
      <c r="GI303" s="14" t="str">
        <f t="shared" si="339"/>
        <v/>
      </c>
      <c r="GJ303" s="14" t="str">
        <f t="shared" si="357"/>
        <v/>
      </c>
      <c r="GK303" s="14" t="str">
        <f t="shared" si="358"/>
        <v/>
      </c>
      <c r="GL303" s="14">
        <f t="shared" si="340"/>
        <v>20840</v>
      </c>
      <c r="GM303" s="14">
        <f t="shared" si="359"/>
        <v>5</v>
      </c>
      <c r="GN303" s="14">
        <f t="shared" si="360"/>
        <v>1084</v>
      </c>
      <c r="GO303" s="25" t="s">
        <v>1471</v>
      </c>
      <c r="GP303" s="14">
        <f t="shared" si="341"/>
        <v>800</v>
      </c>
      <c r="HK303" s="13">
        <v>298</v>
      </c>
      <c r="HL303" s="14">
        <f t="shared" si="361"/>
        <v>13</v>
      </c>
      <c r="HM303" s="14">
        <f t="shared" si="362"/>
        <v>2</v>
      </c>
      <c r="HN303" s="14">
        <f t="shared" si="363"/>
        <v>2</v>
      </c>
      <c r="HO303" s="14">
        <f t="shared" si="364"/>
        <v>3</v>
      </c>
      <c r="HP303" s="14" t="str">
        <f t="shared" si="365"/>
        <v>30级守护灵洗练-Q3-10</v>
      </c>
      <c r="HQ303" s="14">
        <f t="shared" si="366"/>
        <v>2023</v>
      </c>
      <c r="HR303" s="14">
        <f t="shared" si="367"/>
        <v>10</v>
      </c>
      <c r="HS303" s="14">
        <f t="shared" si="368"/>
        <v>500</v>
      </c>
      <c r="HT303" s="14" t="str">
        <f t="shared" si="369"/>
        <v>Block</v>
      </c>
      <c r="HU303" s="14">
        <f t="shared" si="370"/>
        <v>1.0999999999999999E-2</v>
      </c>
      <c r="HV303" s="14">
        <f t="shared" si="371"/>
        <v>0.03</v>
      </c>
    </row>
    <row r="304" spans="151:230" ht="16.5" x14ac:dyDescent="0.2">
      <c r="EU304" s="13">
        <v>299</v>
      </c>
      <c r="EV304" s="14">
        <f t="shared" si="342"/>
        <v>1</v>
      </c>
      <c r="EW304" s="14">
        <f t="shared" si="343"/>
        <v>299</v>
      </c>
      <c r="EX304" s="14">
        <f t="shared" si="344"/>
        <v>40</v>
      </c>
      <c r="EY304" s="14">
        <f t="shared" si="319"/>
        <v>40</v>
      </c>
      <c r="EZ304" s="14">
        <f t="shared" si="320"/>
        <v>8</v>
      </c>
      <c r="FA304" s="14">
        <f t="shared" si="321"/>
        <v>120</v>
      </c>
      <c r="FB304" s="14">
        <f t="shared" si="322"/>
        <v>4</v>
      </c>
      <c r="FC304" s="14">
        <f t="shared" si="323"/>
        <v>2</v>
      </c>
      <c r="FD304" s="14">
        <f t="shared" si="324"/>
        <v>2</v>
      </c>
      <c r="FE304" s="14" t="b">
        <f t="shared" si="345"/>
        <v>0</v>
      </c>
      <c r="FF304" s="14">
        <f t="shared" si="325"/>
        <v>2008402</v>
      </c>
      <c r="FG304" s="13" t="str">
        <f t="shared" si="326"/>
        <v>120级-史诗寄灵人の头盔</v>
      </c>
      <c r="FH304" s="14">
        <f t="shared" si="327"/>
        <v>1</v>
      </c>
      <c r="FI304" s="14">
        <f t="shared" si="328"/>
        <v>4</v>
      </c>
      <c r="FJ304" s="14">
        <f t="shared" si="329"/>
        <v>120</v>
      </c>
      <c r="FK304" s="14">
        <v>1</v>
      </c>
      <c r="FL304" s="14">
        <f t="shared" si="330"/>
        <v>8</v>
      </c>
      <c r="FM304" s="14">
        <f t="shared" si="346"/>
        <v>2</v>
      </c>
      <c r="FN304" s="14" t="str">
        <f t="shared" si="331"/>
        <v/>
      </c>
      <c r="FO304" s="14">
        <f t="shared" si="332"/>
        <v>190</v>
      </c>
      <c r="FP304" s="14">
        <f t="shared" si="347"/>
        <v>0</v>
      </c>
      <c r="FQ304" s="14">
        <f t="shared" si="348"/>
        <v>390</v>
      </c>
      <c r="FR304" s="14">
        <f t="shared" si="349"/>
        <v>0</v>
      </c>
      <c r="FS304" s="14">
        <f t="shared" si="350"/>
        <v>0</v>
      </c>
      <c r="FT304" s="14">
        <f t="shared" si="351"/>
        <v>19</v>
      </c>
      <c r="FU304" s="14">
        <f t="shared" si="352"/>
        <v>0</v>
      </c>
      <c r="FV304" s="14">
        <f t="shared" si="333"/>
        <v>1084</v>
      </c>
      <c r="FW304" s="14">
        <f t="shared" si="334"/>
        <v>5</v>
      </c>
      <c r="FX304" s="14">
        <f t="shared" si="335"/>
        <v>1084</v>
      </c>
      <c r="FY304" s="25" t="str">
        <f t="shared" si="353"/>
        <v>icon_2008102</v>
      </c>
      <c r="GC304" s="14">
        <f t="shared" si="336"/>
        <v>2</v>
      </c>
      <c r="GD304" s="14">
        <f t="shared" si="337"/>
        <v>0</v>
      </c>
      <c r="GE304" s="14">
        <f t="shared" si="354"/>
        <v>190</v>
      </c>
      <c r="GF304" s="14" t="str">
        <f t="shared" si="338"/>
        <v>DefExt</v>
      </c>
      <c r="GG304" s="14">
        <f t="shared" si="355"/>
        <v>390</v>
      </c>
      <c r="GH304" s="14">
        <f t="shared" si="356"/>
        <v>19</v>
      </c>
      <c r="GI304" s="14" t="str">
        <f t="shared" si="339"/>
        <v/>
      </c>
      <c r="GJ304" s="14" t="str">
        <f t="shared" si="357"/>
        <v/>
      </c>
      <c r="GK304" s="14" t="str">
        <f t="shared" si="358"/>
        <v/>
      </c>
      <c r="GL304" s="14">
        <f t="shared" si="340"/>
        <v>20840</v>
      </c>
      <c r="GM304" s="14">
        <f t="shared" si="359"/>
        <v>5</v>
      </c>
      <c r="GN304" s="14">
        <f t="shared" si="360"/>
        <v>1084</v>
      </c>
      <c r="GO304" s="25" t="s">
        <v>1471</v>
      </c>
      <c r="GP304" s="14">
        <f t="shared" si="341"/>
        <v>400</v>
      </c>
      <c r="HK304" s="13">
        <v>299</v>
      </c>
      <c r="HL304" s="14">
        <f t="shared" si="361"/>
        <v>13</v>
      </c>
      <c r="HM304" s="14">
        <f t="shared" si="362"/>
        <v>2</v>
      </c>
      <c r="HN304" s="14">
        <f t="shared" si="363"/>
        <v>2</v>
      </c>
      <c r="HO304" s="14">
        <f t="shared" si="364"/>
        <v>3</v>
      </c>
      <c r="HP304" s="14" t="str">
        <f t="shared" si="365"/>
        <v>30级守护灵洗练-Q3-11</v>
      </c>
      <c r="HQ304" s="14">
        <f t="shared" si="366"/>
        <v>2023</v>
      </c>
      <c r="HR304" s="14">
        <f t="shared" si="367"/>
        <v>11</v>
      </c>
      <c r="HS304" s="14">
        <f t="shared" si="368"/>
        <v>500</v>
      </c>
      <c r="HT304" s="14" t="str">
        <f t="shared" si="369"/>
        <v>EffectHit</v>
      </c>
      <c r="HU304" s="14">
        <f t="shared" si="370"/>
        <v>1.7999999999999999E-2</v>
      </c>
      <c r="HV304" s="14">
        <f t="shared" si="371"/>
        <v>0.05</v>
      </c>
    </row>
    <row r="305" spans="151:230" ht="16.5" x14ac:dyDescent="0.2">
      <c r="EU305" s="13">
        <v>300</v>
      </c>
      <c r="EV305" s="14">
        <f t="shared" si="342"/>
        <v>1</v>
      </c>
      <c r="EW305" s="14">
        <f t="shared" si="343"/>
        <v>300</v>
      </c>
      <c r="EX305" s="14">
        <f t="shared" si="344"/>
        <v>40</v>
      </c>
      <c r="EY305" s="14">
        <f t="shared" si="319"/>
        <v>40</v>
      </c>
      <c r="EZ305" s="14">
        <f t="shared" si="320"/>
        <v>8</v>
      </c>
      <c r="FA305" s="14">
        <f t="shared" si="321"/>
        <v>120</v>
      </c>
      <c r="FB305" s="14">
        <f t="shared" si="322"/>
        <v>4</v>
      </c>
      <c r="FC305" s="14">
        <f t="shared" si="323"/>
        <v>3</v>
      </c>
      <c r="FD305" s="14">
        <f t="shared" si="324"/>
        <v>3</v>
      </c>
      <c r="FE305" s="14" t="b">
        <f t="shared" si="345"/>
        <v>0</v>
      </c>
      <c r="FF305" s="14">
        <f t="shared" si="325"/>
        <v>2008403</v>
      </c>
      <c r="FG305" s="13" t="str">
        <f t="shared" si="326"/>
        <v>120级-史诗寄灵人の铠甲</v>
      </c>
      <c r="FH305" s="14">
        <f t="shared" si="327"/>
        <v>1</v>
      </c>
      <c r="FI305" s="14">
        <f t="shared" si="328"/>
        <v>4</v>
      </c>
      <c r="FJ305" s="14">
        <f t="shared" si="329"/>
        <v>120</v>
      </c>
      <c r="FK305" s="14">
        <v>1</v>
      </c>
      <c r="FL305" s="14">
        <f t="shared" si="330"/>
        <v>8</v>
      </c>
      <c r="FM305" s="14">
        <f t="shared" si="346"/>
        <v>3</v>
      </c>
      <c r="FN305" s="14" t="str">
        <f t="shared" si="331"/>
        <v/>
      </c>
      <c r="FO305" s="14">
        <f t="shared" si="332"/>
        <v>277</v>
      </c>
      <c r="FP305" s="14">
        <f t="shared" si="347"/>
        <v>0</v>
      </c>
      <c r="FQ305" s="14">
        <f t="shared" si="348"/>
        <v>195</v>
      </c>
      <c r="FR305" s="14">
        <f t="shared" si="349"/>
        <v>3610</v>
      </c>
      <c r="FS305" s="14">
        <f t="shared" si="350"/>
        <v>0</v>
      </c>
      <c r="FT305" s="14">
        <f t="shared" si="351"/>
        <v>10</v>
      </c>
      <c r="FU305" s="14">
        <f t="shared" si="352"/>
        <v>177</v>
      </c>
      <c r="FV305" s="14">
        <f t="shared" si="333"/>
        <v>1084</v>
      </c>
      <c r="FW305" s="14">
        <f t="shared" si="334"/>
        <v>5</v>
      </c>
      <c r="FX305" s="14">
        <f t="shared" si="335"/>
        <v>1084</v>
      </c>
      <c r="FY305" s="25" t="str">
        <f t="shared" si="353"/>
        <v>icon_2008103</v>
      </c>
      <c r="GC305" s="14">
        <f t="shared" si="336"/>
        <v>2</v>
      </c>
      <c r="GD305" s="14">
        <f t="shared" si="337"/>
        <v>3</v>
      </c>
      <c r="GE305" s="14">
        <f t="shared" si="354"/>
        <v>277</v>
      </c>
      <c r="GF305" s="14" t="str">
        <f t="shared" si="338"/>
        <v>DefExt</v>
      </c>
      <c r="GG305" s="14">
        <f t="shared" si="355"/>
        <v>195</v>
      </c>
      <c r="GH305" s="14">
        <f t="shared" si="356"/>
        <v>10</v>
      </c>
      <c r="GI305" s="14" t="str">
        <f t="shared" si="339"/>
        <v>HPExt</v>
      </c>
      <c r="GJ305" s="14">
        <f t="shared" si="357"/>
        <v>3610</v>
      </c>
      <c r="GK305" s="14">
        <f t="shared" si="358"/>
        <v>177</v>
      </c>
      <c r="GL305" s="14">
        <f t="shared" si="340"/>
        <v>20840</v>
      </c>
      <c r="GM305" s="14">
        <f t="shared" si="359"/>
        <v>5</v>
      </c>
      <c r="GN305" s="14">
        <f t="shared" si="360"/>
        <v>1084</v>
      </c>
      <c r="GO305" s="25" t="s">
        <v>1471</v>
      </c>
      <c r="GP305" s="14">
        <f t="shared" si="341"/>
        <v>400</v>
      </c>
      <c r="HK305" s="13">
        <v>300</v>
      </c>
      <c r="HL305" s="14">
        <f t="shared" si="361"/>
        <v>13</v>
      </c>
      <c r="HM305" s="14">
        <f t="shared" si="362"/>
        <v>2</v>
      </c>
      <c r="HN305" s="14">
        <f t="shared" si="363"/>
        <v>2</v>
      </c>
      <c r="HO305" s="14">
        <f t="shared" si="364"/>
        <v>3</v>
      </c>
      <c r="HP305" s="14" t="str">
        <f t="shared" si="365"/>
        <v>30级守护灵洗练-Q3-12</v>
      </c>
      <c r="HQ305" s="14">
        <f t="shared" si="366"/>
        <v>2023</v>
      </c>
      <c r="HR305" s="14">
        <f t="shared" si="367"/>
        <v>12</v>
      </c>
      <c r="HS305" s="14">
        <f t="shared" si="368"/>
        <v>500</v>
      </c>
      <c r="HT305" s="14" t="str">
        <f t="shared" si="369"/>
        <v>EffectResist</v>
      </c>
      <c r="HU305" s="14">
        <f t="shared" si="370"/>
        <v>1.7999999999999999E-2</v>
      </c>
      <c r="HV305" s="14">
        <f t="shared" si="371"/>
        <v>0.05</v>
      </c>
    </row>
    <row r="306" spans="151:230" ht="16.5" x14ac:dyDescent="0.2">
      <c r="EU306" s="13">
        <v>301</v>
      </c>
      <c r="EV306" s="14">
        <f t="shared" si="342"/>
        <v>1</v>
      </c>
      <c r="EW306" s="14">
        <f t="shared" si="343"/>
        <v>301</v>
      </c>
      <c r="EX306" s="14">
        <f t="shared" si="344"/>
        <v>40</v>
      </c>
      <c r="EY306" s="14">
        <f t="shared" si="319"/>
        <v>40</v>
      </c>
      <c r="EZ306" s="14">
        <f t="shared" si="320"/>
        <v>8</v>
      </c>
      <c r="FA306" s="14">
        <f t="shared" si="321"/>
        <v>120</v>
      </c>
      <c r="FB306" s="14">
        <f t="shared" si="322"/>
        <v>4</v>
      </c>
      <c r="FC306" s="14">
        <f t="shared" si="323"/>
        <v>4</v>
      </c>
      <c r="FD306" s="14">
        <f t="shared" si="324"/>
        <v>4</v>
      </c>
      <c r="FE306" s="14" t="b">
        <f t="shared" si="345"/>
        <v>0</v>
      </c>
      <c r="FF306" s="14">
        <f t="shared" si="325"/>
        <v>2008404</v>
      </c>
      <c r="FG306" s="13" t="str">
        <f t="shared" si="326"/>
        <v>120级-史诗寄灵人の裤子</v>
      </c>
      <c r="FH306" s="14">
        <f t="shared" si="327"/>
        <v>1</v>
      </c>
      <c r="FI306" s="14">
        <f t="shared" si="328"/>
        <v>4</v>
      </c>
      <c r="FJ306" s="14">
        <f t="shared" si="329"/>
        <v>120</v>
      </c>
      <c r="FK306" s="14">
        <v>1</v>
      </c>
      <c r="FL306" s="14">
        <f t="shared" si="330"/>
        <v>8</v>
      </c>
      <c r="FM306" s="14">
        <f t="shared" si="346"/>
        <v>4</v>
      </c>
      <c r="FN306" s="14" t="str">
        <f t="shared" si="331"/>
        <v/>
      </c>
      <c r="FO306" s="14">
        <f t="shared" si="332"/>
        <v>190</v>
      </c>
      <c r="FP306" s="14">
        <f t="shared" si="347"/>
        <v>0</v>
      </c>
      <c r="FQ306" s="14">
        <f t="shared" si="348"/>
        <v>390</v>
      </c>
      <c r="FR306" s="14">
        <f t="shared" si="349"/>
        <v>0</v>
      </c>
      <c r="FS306" s="14">
        <f t="shared" si="350"/>
        <v>0</v>
      </c>
      <c r="FT306" s="14">
        <f t="shared" si="351"/>
        <v>19</v>
      </c>
      <c r="FU306" s="14">
        <f t="shared" si="352"/>
        <v>0</v>
      </c>
      <c r="FV306" s="14">
        <f t="shared" si="333"/>
        <v>1084</v>
      </c>
      <c r="FW306" s="14">
        <f t="shared" si="334"/>
        <v>5</v>
      </c>
      <c r="FX306" s="14">
        <f t="shared" si="335"/>
        <v>1084</v>
      </c>
      <c r="FY306" s="25" t="str">
        <f t="shared" si="353"/>
        <v>icon_2008104</v>
      </c>
      <c r="GC306" s="14">
        <f t="shared" si="336"/>
        <v>2</v>
      </c>
      <c r="GD306" s="14">
        <f t="shared" si="337"/>
        <v>0</v>
      </c>
      <c r="GE306" s="14">
        <f t="shared" si="354"/>
        <v>190</v>
      </c>
      <c r="GF306" s="14" t="str">
        <f t="shared" si="338"/>
        <v>DefExt</v>
      </c>
      <c r="GG306" s="14">
        <f t="shared" si="355"/>
        <v>390</v>
      </c>
      <c r="GH306" s="14">
        <f t="shared" si="356"/>
        <v>19</v>
      </c>
      <c r="GI306" s="14" t="str">
        <f t="shared" si="339"/>
        <v/>
      </c>
      <c r="GJ306" s="14" t="str">
        <f t="shared" si="357"/>
        <v/>
      </c>
      <c r="GK306" s="14" t="str">
        <f t="shared" si="358"/>
        <v/>
      </c>
      <c r="GL306" s="14">
        <f t="shared" si="340"/>
        <v>20840</v>
      </c>
      <c r="GM306" s="14">
        <f t="shared" si="359"/>
        <v>5</v>
      </c>
      <c r="GN306" s="14">
        <f t="shared" si="360"/>
        <v>1084</v>
      </c>
      <c r="GO306" s="25" t="s">
        <v>1471</v>
      </c>
      <c r="GP306" s="14">
        <f t="shared" si="341"/>
        <v>400</v>
      </c>
      <c r="HK306" s="13">
        <v>301</v>
      </c>
      <c r="HL306" s="14">
        <f t="shared" si="361"/>
        <v>13</v>
      </c>
      <c r="HM306" s="14">
        <f t="shared" si="362"/>
        <v>2</v>
      </c>
      <c r="HN306" s="14">
        <f t="shared" si="363"/>
        <v>2</v>
      </c>
      <c r="HO306" s="14">
        <f t="shared" si="364"/>
        <v>4</v>
      </c>
      <c r="HP306" s="14" t="str">
        <f t="shared" si="365"/>
        <v>30级守护灵洗练-Q4-1</v>
      </c>
      <c r="HQ306" s="14">
        <f t="shared" si="366"/>
        <v>2024</v>
      </c>
      <c r="HR306" s="14">
        <f t="shared" si="367"/>
        <v>1</v>
      </c>
      <c r="HS306" s="14">
        <f t="shared" si="368"/>
        <v>1800</v>
      </c>
      <c r="HT306" s="14" t="str">
        <f t="shared" si="369"/>
        <v>AtkExt</v>
      </c>
      <c r="HU306" s="14">
        <f t="shared" si="370"/>
        <v>17</v>
      </c>
      <c r="HV306" s="14">
        <f t="shared" si="371"/>
        <v>51</v>
      </c>
    </row>
    <row r="307" spans="151:230" ht="16.5" x14ac:dyDescent="0.2">
      <c r="EU307" s="13">
        <v>302</v>
      </c>
      <c r="EV307" s="14">
        <f t="shared" si="342"/>
        <v>1</v>
      </c>
      <c r="EW307" s="14">
        <f t="shared" si="343"/>
        <v>302</v>
      </c>
      <c r="EX307" s="14">
        <f t="shared" si="344"/>
        <v>40</v>
      </c>
      <c r="EY307" s="14">
        <f t="shared" si="319"/>
        <v>40</v>
      </c>
      <c r="EZ307" s="14">
        <f t="shared" si="320"/>
        <v>8</v>
      </c>
      <c r="FA307" s="14">
        <f t="shared" si="321"/>
        <v>120</v>
      </c>
      <c r="FB307" s="14">
        <f t="shared" si="322"/>
        <v>4</v>
      </c>
      <c r="FC307" s="14">
        <f t="shared" si="323"/>
        <v>5</v>
      </c>
      <c r="FD307" s="14">
        <f t="shared" si="324"/>
        <v>5</v>
      </c>
      <c r="FE307" s="14" t="b">
        <f t="shared" si="345"/>
        <v>0</v>
      </c>
      <c r="FF307" s="14">
        <f t="shared" si="325"/>
        <v>2008405</v>
      </c>
      <c r="FG307" s="13" t="str">
        <f t="shared" si="326"/>
        <v>120级-史诗寄灵人の鞋子</v>
      </c>
      <c r="FH307" s="14">
        <f t="shared" si="327"/>
        <v>1</v>
      </c>
      <c r="FI307" s="14">
        <f t="shared" si="328"/>
        <v>4</v>
      </c>
      <c r="FJ307" s="14">
        <f t="shared" si="329"/>
        <v>120</v>
      </c>
      <c r="FK307" s="14">
        <v>1</v>
      </c>
      <c r="FL307" s="14">
        <f t="shared" si="330"/>
        <v>8</v>
      </c>
      <c r="FM307" s="14">
        <f t="shared" si="346"/>
        <v>5</v>
      </c>
      <c r="FN307" s="14" t="str">
        <f t="shared" si="331"/>
        <v/>
      </c>
      <c r="FO307" s="14">
        <f t="shared" si="332"/>
        <v>355</v>
      </c>
      <c r="FP307" s="14">
        <f t="shared" si="347"/>
        <v>0</v>
      </c>
      <c r="FQ307" s="14">
        <f t="shared" si="348"/>
        <v>0</v>
      </c>
      <c r="FR307" s="14">
        <f t="shared" si="349"/>
        <v>7215</v>
      </c>
      <c r="FS307" s="14">
        <f t="shared" si="350"/>
        <v>0</v>
      </c>
      <c r="FT307" s="14">
        <f t="shared" si="351"/>
        <v>0</v>
      </c>
      <c r="FU307" s="14">
        <f t="shared" si="352"/>
        <v>355</v>
      </c>
      <c r="FV307" s="14">
        <f t="shared" si="333"/>
        <v>1084</v>
      </c>
      <c r="FW307" s="14">
        <f t="shared" si="334"/>
        <v>5</v>
      </c>
      <c r="FX307" s="14">
        <f t="shared" si="335"/>
        <v>1084</v>
      </c>
      <c r="FY307" s="25" t="str">
        <f t="shared" si="353"/>
        <v>icon_2008105</v>
      </c>
      <c r="GC307" s="14">
        <f t="shared" si="336"/>
        <v>3</v>
      </c>
      <c r="GD307" s="14">
        <f t="shared" si="337"/>
        <v>0</v>
      </c>
      <c r="GE307" s="14">
        <f t="shared" si="354"/>
        <v>355</v>
      </c>
      <c r="GF307" s="14" t="str">
        <f t="shared" si="338"/>
        <v>HPExt</v>
      </c>
      <c r="GG307" s="14">
        <f t="shared" si="355"/>
        <v>7215</v>
      </c>
      <c r="GH307" s="14">
        <f t="shared" si="356"/>
        <v>355</v>
      </c>
      <c r="GI307" s="14" t="str">
        <f t="shared" si="339"/>
        <v/>
      </c>
      <c r="GJ307" s="14" t="str">
        <f t="shared" si="357"/>
        <v/>
      </c>
      <c r="GK307" s="14" t="str">
        <f t="shared" si="358"/>
        <v/>
      </c>
      <c r="GL307" s="14">
        <f t="shared" si="340"/>
        <v>20840</v>
      </c>
      <c r="GM307" s="14">
        <f t="shared" si="359"/>
        <v>5</v>
      </c>
      <c r="GN307" s="14">
        <f t="shared" si="360"/>
        <v>1084</v>
      </c>
      <c r="GO307" s="25" t="s">
        <v>1471</v>
      </c>
      <c r="GP307" s="14">
        <f t="shared" si="341"/>
        <v>400</v>
      </c>
      <c r="HK307" s="13">
        <v>302</v>
      </c>
      <c r="HL307" s="14">
        <f t="shared" si="361"/>
        <v>13</v>
      </c>
      <c r="HM307" s="14">
        <f t="shared" si="362"/>
        <v>2</v>
      </c>
      <c r="HN307" s="14">
        <f t="shared" si="363"/>
        <v>2</v>
      </c>
      <c r="HO307" s="14">
        <f t="shared" si="364"/>
        <v>4</v>
      </c>
      <c r="HP307" s="14" t="str">
        <f t="shared" si="365"/>
        <v>30级守护灵洗练-Q4-2</v>
      </c>
      <c r="HQ307" s="14">
        <f t="shared" si="366"/>
        <v>2024</v>
      </c>
      <c r="HR307" s="14">
        <f t="shared" si="367"/>
        <v>2</v>
      </c>
      <c r="HS307" s="14">
        <f t="shared" si="368"/>
        <v>1800</v>
      </c>
      <c r="HT307" s="14" t="str">
        <f t="shared" si="369"/>
        <v>DefExt</v>
      </c>
      <c r="HU307" s="14">
        <f t="shared" si="370"/>
        <v>9</v>
      </c>
      <c r="HV307" s="14">
        <f t="shared" si="371"/>
        <v>26</v>
      </c>
    </row>
    <row r="308" spans="151:230" ht="16.5" x14ac:dyDescent="0.2">
      <c r="EU308" s="13">
        <v>303</v>
      </c>
      <c r="EV308" s="14">
        <f t="shared" si="342"/>
        <v>1</v>
      </c>
      <c r="EW308" s="14">
        <f t="shared" si="343"/>
        <v>303</v>
      </c>
      <c r="EX308" s="14">
        <f t="shared" si="344"/>
        <v>40</v>
      </c>
      <c r="EY308" s="14">
        <f t="shared" si="319"/>
        <v>40</v>
      </c>
      <c r="EZ308" s="14">
        <f t="shared" si="320"/>
        <v>8</v>
      </c>
      <c r="FA308" s="14">
        <f t="shared" si="321"/>
        <v>120</v>
      </c>
      <c r="FB308" s="14">
        <f t="shared" si="322"/>
        <v>4</v>
      </c>
      <c r="FC308" s="14">
        <f t="shared" si="323"/>
        <v>6</v>
      </c>
      <c r="FD308" s="14">
        <f t="shared" si="324"/>
        <v>6</v>
      </c>
      <c r="FE308" s="14" t="b">
        <f t="shared" si="345"/>
        <v>0</v>
      </c>
      <c r="FF308" s="14">
        <f t="shared" si="325"/>
        <v>2008406</v>
      </c>
      <c r="FG308" s="13" t="str">
        <f t="shared" si="326"/>
        <v>120级-史诗寄灵人の护手</v>
      </c>
      <c r="FH308" s="14">
        <f t="shared" si="327"/>
        <v>1</v>
      </c>
      <c r="FI308" s="14">
        <f t="shared" si="328"/>
        <v>4</v>
      </c>
      <c r="FJ308" s="14">
        <f t="shared" si="329"/>
        <v>120</v>
      </c>
      <c r="FK308" s="14">
        <v>1</v>
      </c>
      <c r="FL308" s="14">
        <f t="shared" si="330"/>
        <v>8</v>
      </c>
      <c r="FM308" s="14">
        <f t="shared" si="346"/>
        <v>6</v>
      </c>
      <c r="FN308" s="14" t="str">
        <f t="shared" si="331"/>
        <v/>
      </c>
      <c r="FO308" s="14">
        <f t="shared" si="332"/>
        <v>355</v>
      </c>
      <c r="FP308" s="14">
        <f t="shared" si="347"/>
        <v>0</v>
      </c>
      <c r="FQ308" s="14">
        <f t="shared" si="348"/>
        <v>0</v>
      </c>
      <c r="FR308" s="14">
        <f t="shared" si="349"/>
        <v>7215</v>
      </c>
      <c r="FS308" s="14">
        <f t="shared" si="350"/>
        <v>0</v>
      </c>
      <c r="FT308" s="14">
        <f t="shared" si="351"/>
        <v>0</v>
      </c>
      <c r="FU308" s="14">
        <f t="shared" si="352"/>
        <v>355</v>
      </c>
      <c r="FV308" s="14">
        <f t="shared" si="333"/>
        <v>1084</v>
      </c>
      <c r="FW308" s="14">
        <f t="shared" si="334"/>
        <v>5</v>
      </c>
      <c r="FX308" s="14">
        <f t="shared" si="335"/>
        <v>1084</v>
      </c>
      <c r="FY308" s="25" t="str">
        <f t="shared" si="353"/>
        <v>icon_2008106</v>
      </c>
      <c r="GC308" s="14">
        <f t="shared" si="336"/>
        <v>3</v>
      </c>
      <c r="GD308" s="14">
        <f t="shared" si="337"/>
        <v>0</v>
      </c>
      <c r="GE308" s="14">
        <f t="shared" si="354"/>
        <v>355</v>
      </c>
      <c r="GF308" s="14" t="str">
        <f t="shared" si="338"/>
        <v>HPExt</v>
      </c>
      <c r="GG308" s="14">
        <f t="shared" si="355"/>
        <v>7215</v>
      </c>
      <c r="GH308" s="14">
        <f t="shared" si="356"/>
        <v>355</v>
      </c>
      <c r="GI308" s="14" t="str">
        <f t="shared" si="339"/>
        <v/>
      </c>
      <c r="GJ308" s="14" t="str">
        <f t="shared" si="357"/>
        <v/>
      </c>
      <c r="GK308" s="14" t="str">
        <f t="shared" si="358"/>
        <v/>
      </c>
      <c r="GL308" s="14">
        <f t="shared" si="340"/>
        <v>20840</v>
      </c>
      <c r="GM308" s="14">
        <f t="shared" si="359"/>
        <v>5</v>
      </c>
      <c r="GN308" s="14">
        <f t="shared" si="360"/>
        <v>1084</v>
      </c>
      <c r="GO308" s="25" t="s">
        <v>1471</v>
      </c>
      <c r="GP308" s="14">
        <f t="shared" si="341"/>
        <v>400</v>
      </c>
      <c r="HK308" s="13">
        <v>303</v>
      </c>
      <c r="HL308" s="14">
        <f t="shared" si="361"/>
        <v>13</v>
      </c>
      <c r="HM308" s="14">
        <f t="shared" si="362"/>
        <v>2</v>
      </c>
      <c r="HN308" s="14">
        <f t="shared" si="363"/>
        <v>2</v>
      </c>
      <c r="HO308" s="14">
        <f t="shared" si="364"/>
        <v>4</v>
      </c>
      <c r="HP308" s="14" t="str">
        <f t="shared" si="365"/>
        <v>30级守护灵洗练-Q4-3</v>
      </c>
      <c r="HQ308" s="14">
        <f t="shared" si="366"/>
        <v>2024</v>
      </c>
      <c r="HR308" s="14">
        <f t="shared" si="367"/>
        <v>3</v>
      </c>
      <c r="HS308" s="14">
        <f t="shared" si="368"/>
        <v>2000</v>
      </c>
      <c r="HT308" s="14" t="str">
        <f t="shared" si="369"/>
        <v>HPExt</v>
      </c>
      <c r="HU308" s="14">
        <f t="shared" si="370"/>
        <v>76</v>
      </c>
      <c r="HV308" s="14">
        <f t="shared" si="371"/>
        <v>219</v>
      </c>
    </row>
    <row r="309" spans="151:230" ht="16.5" x14ac:dyDescent="0.2">
      <c r="EU309" s="13">
        <v>304</v>
      </c>
      <c r="EV309" s="14">
        <f t="shared" si="342"/>
        <v>1</v>
      </c>
      <c r="EW309" s="14">
        <f t="shared" si="343"/>
        <v>304</v>
      </c>
      <c r="EX309" s="14">
        <f t="shared" si="344"/>
        <v>40</v>
      </c>
      <c r="EY309" s="14">
        <f t="shared" si="319"/>
        <v>40</v>
      </c>
      <c r="EZ309" s="14">
        <f t="shared" si="320"/>
        <v>8</v>
      </c>
      <c r="FA309" s="14">
        <f t="shared" si="321"/>
        <v>120</v>
      </c>
      <c r="FB309" s="14">
        <f t="shared" si="322"/>
        <v>4</v>
      </c>
      <c r="FC309" s="14">
        <f t="shared" si="323"/>
        <v>7</v>
      </c>
      <c r="FD309" s="14">
        <f t="shared" si="324"/>
        <v>7</v>
      </c>
      <c r="FE309" s="14" t="b">
        <f t="shared" si="345"/>
        <v>0</v>
      </c>
      <c r="FF309" s="14">
        <f t="shared" si="325"/>
        <v>2008407</v>
      </c>
      <c r="FG309" s="13" t="str">
        <f t="shared" si="326"/>
        <v>120级-史诗寄灵人の项链</v>
      </c>
      <c r="FH309" s="14">
        <f t="shared" si="327"/>
        <v>1</v>
      </c>
      <c r="FI309" s="14">
        <f t="shared" si="328"/>
        <v>4</v>
      </c>
      <c r="FJ309" s="14">
        <f t="shared" si="329"/>
        <v>120</v>
      </c>
      <c r="FK309" s="14">
        <v>1</v>
      </c>
      <c r="FL309" s="14">
        <f t="shared" si="330"/>
        <v>8</v>
      </c>
      <c r="FM309" s="14">
        <f t="shared" si="346"/>
        <v>7</v>
      </c>
      <c r="FN309" s="14" t="str">
        <f t="shared" si="331"/>
        <v/>
      </c>
      <c r="FO309" s="14">
        <f t="shared" si="332"/>
        <v>285</v>
      </c>
      <c r="FP309" s="14">
        <f t="shared" si="347"/>
        <v>515</v>
      </c>
      <c r="FQ309" s="14">
        <f t="shared" si="348"/>
        <v>325</v>
      </c>
      <c r="FR309" s="14">
        <f t="shared" si="349"/>
        <v>0</v>
      </c>
      <c r="FS309" s="14">
        <f t="shared" si="350"/>
        <v>25</v>
      </c>
      <c r="FT309" s="14">
        <f t="shared" si="351"/>
        <v>16</v>
      </c>
      <c r="FU309" s="14">
        <f t="shared" si="352"/>
        <v>0</v>
      </c>
      <c r="FV309" s="14">
        <f t="shared" si="333"/>
        <v>1084</v>
      </c>
      <c r="FW309" s="14">
        <f t="shared" si="334"/>
        <v>5</v>
      </c>
      <c r="FX309" s="14">
        <f t="shared" si="335"/>
        <v>1084</v>
      </c>
      <c r="FY309" s="25" t="str">
        <f t="shared" si="353"/>
        <v>icon_2008107</v>
      </c>
      <c r="GC309" s="14">
        <f t="shared" si="336"/>
        <v>1</v>
      </c>
      <c r="GD309" s="14">
        <f t="shared" si="337"/>
        <v>2</v>
      </c>
      <c r="GE309" s="14">
        <f t="shared" si="354"/>
        <v>285</v>
      </c>
      <c r="GF309" s="14" t="str">
        <f t="shared" si="338"/>
        <v>AtkExt</v>
      </c>
      <c r="GG309" s="14">
        <f t="shared" si="355"/>
        <v>515</v>
      </c>
      <c r="GH309" s="14">
        <f t="shared" si="356"/>
        <v>25</v>
      </c>
      <c r="GI309" s="14" t="str">
        <f t="shared" si="339"/>
        <v>DefExt</v>
      </c>
      <c r="GJ309" s="14">
        <f t="shared" si="357"/>
        <v>325</v>
      </c>
      <c r="GK309" s="14">
        <f t="shared" si="358"/>
        <v>16</v>
      </c>
      <c r="GL309" s="14">
        <f t="shared" si="340"/>
        <v>20840</v>
      </c>
      <c r="GM309" s="14">
        <f t="shared" si="359"/>
        <v>5</v>
      </c>
      <c r="GN309" s="14">
        <f t="shared" si="360"/>
        <v>1084</v>
      </c>
      <c r="GO309" s="25" t="s">
        <v>1471</v>
      </c>
      <c r="GP309" s="14">
        <f t="shared" si="341"/>
        <v>600</v>
      </c>
      <c r="HK309" s="13">
        <v>304</v>
      </c>
      <c r="HL309" s="14">
        <f t="shared" si="361"/>
        <v>13</v>
      </c>
      <c r="HM309" s="14">
        <f t="shared" si="362"/>
        <v>2</v>
      </c>
      <c r="HN309" s="14">
        <f t="shared" si="363"/>
        <v>2</v>
      </c>
      <c r="HO309" s="14">
        <f t="shared" si="364"/>
        <v>4</v>
      </c>
      <c r="HP309" s="14" t="str">
        <f t="shared" si="365"/>
        <v>30级守护灵洗练-Q4-4</v>
      </c>
      <c r="HQ309" s="14">
        <f t="shared" si="366"/>
        <v>2024</v>
      </c>
      <c r="HR309" s="14">
        <f t="shared" si="367"/>
        <v>4</v>
      </c>
      <c r="HS309" s="14">
        <f t="shared" si="368"/>
        <v>500</v>
      </c>
      <c r="HT309" s="14" t="str">
        <f t="shared" si="369"/>
        <v>AtkRate</v>
      </c>
      <c r="HU309" s="14">
        <f t="shared" si="370"/>
        <v>1.4E-2</v>
      </c>
      <c r="HV309" s="14">
        <f t="shared" si="371"/>
        <v>0.04</v>
      </c>
    </row>
    <row r="310" spans="151:230" ht="16.5" x14ac:dyDescent="0.2">
      <c r="EU310" s="13">
        <v>305</v>
      </c>
      <c r="EV310" s="14">
        <f t="shared" si="342"/>
        <v>1</v>
      </c>
      <c r="EW310" s="14">
        <f t="shared" si="343"/>
        <v>305</v>
      </c>
      <c r="EX310" s="14">
        <f t="shared" si="344"/>
        <v>40</v>
      </c>
      <c r="EY310" s="14">
        <f t="shared" si="319"/>
        <v>40</v>
      </c>
      <c r="EZ310" s="14">
        <f t="shared" si="320"/>
        <v>8</v>
      </c>
      <c r="FA310" s="14">
        <f t="shared" si="321"/>
        <v>120</v>
      </c>
      <c r="FB310" s="14">
        <f t="shared" si="322"/>
        <v>4</v>
      </c>
      <c r="FC310" s="14">
        <f t="shared" si="323"/>
        <v>8</v>
      </c>
      <c r="FD310" s="14">
        <f t="shared" si="324"/>
        <v>8</v>
      </c>
      <c r="FE310" s="14" t="b">
        <f t="shared" si="345"/>
        <v>0</v>
      </c>
      <c r="FF310" s="14">
        <f t="shared" si="325"/>
        <v>2008408</v>
      </c>
      <c r="FG310" s="13" t="str">
        <f t="shared" si="326"/>
        <v>120级-史诗寄灵人の戒指</v>
      </c>
      <c r="FH310" s="14">
        <f t="shared" si="327"/>
        <v>1</v>
      </c>
      <c r="FI310" s="14">
        <f t="shared" si="328"/>
        <v>4</v>
      </c>
      <c r="FJ310" s="14">
        <f t="shared" si="329"/>
        <v>120</v>
      </c>
      <c r="FK310" s="14">
        <v>1</v>
      </c>
      <c r="FL310" s="14">
        <f t="shared" si="330"/>
        <v>8</v>
      </c>
      <c r="FM310" s="14">
        <f t="shared" si="346"/>
        <v>8</v>
      </c>
      <c r="FN310" s="14" t="str">
        <f t="shared" si="331"/>
        <v/>
      </c>
      <c r="FO310" s="14">
        <f t="shared" si="332"/>
        <v>421</v>
      </c>
      <c r="FP310" s="14">
        <f t="shared" si="347"/>
        <v>515</v>
      </c>
      <c r="FQ310" s="14">
        <f t="shared" si="348"/>
        <v>0</v>
      </c>
      <c r="FR310" s="14">
        <f t="shared" si="349"/>
        <v>6015</v>
      </c>
      <c r="FS310" s="14">
        <f t="shared" si="350"/>
        <v>25</v>
      </c>
      <c r="FT310" s="14">
        <f t="shared" si="351"/>
        <v>0</v>
      </c>
      <c r="FU310" s="14">
        <f t="shared" si="352"/>
        <v>296</v>
      </c>
      <c r="FV310" s="14">
        <f t="shared" si="333"/>
        <v>1084</v>
      </c>
      <c r="FW310" s="14">
        <f t="shared" si="334"/>
        <v>5</v>
      </c>
      <c r="FX310" s="14">
        <f t="shared" si="335"/>
        <v>1084</v>
      </c>
      <c r="FY310" s="25" t="str">
        <f t="shared" si="353"/>
        <v>icon_2008108</v>
      </c>
      <c r="GC310" s="14">
        <f t="shared" si="336"/>
        <v>1</v>
      </c>
      <c r="GD310" s="14">
        <f t="shared" si="337"/>
        <v>3</v>
      </c>
      <c r="GE310" s="14">
        <f t="shared" si="354"/>
        <v>421</v>
      </c>
      <c r="GF310" s="14" t="str">
        <f t="shared" si="338"/>
        <v>AtkExt</v>
      </c>
      <c r="GG310" s="14">
        <f t="shared" si="355"/>
        <v>515</v>
      </c>
      <c r="GH310" s="14">
        <f t="shared" si="356"/>
        <v>25</v>
      </c>
      <c r="GI310" s="14" t="str">
        <f t="shared" si="339"/>
        <v>HPExt</v>
      </c>
      <c r="GJ310" s="14">
        <f t="shared" si="357"/>
        <v>6015</v>
      </c>
      <c r="GK310" s="14">
        <f t="shared" si="358"/>
        <v>296</v>
      </c>
      <c r="GL310" s="14">
        <f t="shared" si="340"/>
        <v>20840</v>
      </c>
      <c r="GM310" s="14">
        <f t="shared" si="359"/>
        <v>5</v>
      </c>
      <c r="GN310" s="14">
        <f t="shared" si="360"/>
        <v>1084</v>
      </c>
      <c r="GO310" s="25" t="s">
        <v>1471</v>
      </c>
      <c r="GP310" s="14">
        <f t="shared" si="341"/>
        <v>600</v>
      </c>
      <c r="HK310" s="13">
        <v>305</v>
      </c>
      <c r="HL310" s="14">
        <f t="shared" si="361"/>
        <v>13</v>
      </c>
      <c r="HM310" s="14">
        <f t="shared" si="362"/>
        <v>2</v>
      </c>
      <c r="HN310" s="14">
        <f t="shared" si="363"/>
        <v>2</v>
      </c>
      <c r="HO310" s="14">
        <f t="shared" si="364"/>
        <v>4</v>
      </c>
      <c r="HP310" s="14" t="str">
        <f t="shared" si="365"/>
        <v>30级守护灵洗练-Q4-5</v>
      </c>
      <c r="HQ310" s="14">
        <f t="shared" si="366"/>
        <v>2024</v>
      </c>
      <c r="HR310" s="14">
        <f t="shared" si="367"/>
        <v>5</v>
      </c>
      <c r="HS310" s="14">
        <f t="shared" si="368"/>
        <v>400</v>
      </c>
      <c r="HT310" s="14" t="str">
        <f t="shared" si="369"/>
        <v>DefRate</v>
      </c>
      <c r="HU310" s="14">
        <f t="shared" si="370"/>
        <v>1.4E-2</v>
      </c>
      <c r="HV310" s="14">
        <f t="shared" si="371"/>
        <v>0.04</v>
      </c>
    </row>
    <row r="311" spans="151:230" ht="16.5" x14ac:dyDescent="0.2">
      <c r="EU311" s="13">
        <v>306</v>
      </c>
      <c r="EV311" s="14">
        <f t="shared" si="342"/>
        <v>1</v>
      </c>
      <c r="EW311" s="14">
        <f t="shared" si="343"/>
        <v>306</v>
      </c>
      <c r="EX311" s="14">
        <f t="shared" si="344"/>
        <v>41</v>
      </c>
      <c r="EY311" s="14">
        <f t="shared" si="319"/>
        <v>41</v>
      </c>
      <c r="EZ311" s="14">
        <f t="shared" si="320"/>
        <v>8</v>
      </c>
      <c r="FA311" s="14">
        <f t="shared" si="321"/>
        <v>120</v>
      </c>
      <c r="FB311" s="14">
        <f t="shared" si="322"/>
        <v>4</v>
      </c>
      <c r="FC311" s="14">
        <f t="shared" si="323"/>
        <v>1</v>
      </c>
      <c r="FD311" s="14">
        <f t="shared" si="324"/>
        <v>1</v>
      </c>
      <c r="FE311" s="14" t="b">
        <f t="shared" si="345"/>
        <v>1</v>
      </c>
      <c r="FF311" s="14">
        <f t="shared" si="325"/>
        <v>2008411</v>
      </c>
      <c r="FG311" s="13" t="str">
        <f t="shared" si="326"/>
        <v>120级-攻击套寄灵人の灵器</v>
      </c>
      <c r="FH311" s="14">
        <f t="shared" si="327"/>
        <v>1</v>
      </c>
      <c r="FI311" s="14">
        <f t="shared" si="328"/>
        <v>4</v>
      </c>
      <c r="FJ311" s="14">
        <f t="shared" si="329"/>
        <v>120</v>
      </c>
      <c r="FK311" s="14">
        <v>1</v>
      </c>
      <c r="FL311" s="14">
        <f t="shared" si="330"/>
        <v>8</v>
      </c>
      <c r="FM311" s="14">
        <f t="shared" si="346"/>
        <v>1</v>
      </c>
      <c r="FN311" s="14">
        <f t="shared" si="331"/>
        <v>200841</v>
      </c>
      <c r="FO311" s="14">
        <f t="shared" si="332"/>
        <v>570</v>
      </c>
      <c r="FP311" s="14">
        <f t="shared" si="347"/>
        <v>1550</v>
      </c>
      <c r="FQ311" s="14">
        <f t="shared" si="348"/>
        <v>0</v>
      </c>
      <c r="FR311" s="14">
        <f t="shared" si="349"/>
        <v>0</v>
      </c>
      <c r="FS311" s="14">
        <f t="shared" si="350"/>
        <v>76</v>
      </c>
      <c r="FT311" s="14">
        <f t="shared" si="351"/>
        <v>0</v>
      </c>
      <c r="FU311" s="14">
        <f t="shared" si="352"/>
        <v>0</v>
      </c>
      <c r="FV311" s="14">
        <f t="shared" si="333"/>
        <v>1084</v>
      </c>
      <c r="FW311" s="14">
        <f t="shared" si="334"/>
        <v>5</v>
      </c>
      <c r="FX311" s="14">
        <f t="shared" si="335"/>
        <v>1084</v>
      </c>
      <c r="FY311" s="25" t="str">
        <f t="shared" si="353"/>
        <v>icon_2008411</v>
      </c>
      <c r="GC311" s="14">
        <f t="shared" si="336"/>
        <v>1</v>
      </c>
      <c r="GD311" s="14">
        <f t="shared" si="337"/>
        <v>0</v>
      </c>
      <c r="GE311" s="14">
        <f t="shared" si="354"/>
        <v>570</v>
      </c>
      <c r="GF311" s="14" t="str">
        <f t="shared" si="338"/>
        <v>AtkExt</v>
      </c>
      <c r="GG311" s="14">
        <f t="shared" si="355"/>
        <v>1550</v>
      </c>
      <c r="GH311" s="14">
        <f t="shared" si="356"/>
        <v>76</v>
      </c>
      <c r="GI311" s="14" t="str">
        <f t="shared" si="339"/>
        <v/>
      </c>
      <c r="GJ311" s="14" t="str">
        <f t="shared" si="357"/>
        <v/>
      </c>
      <c r="GK311" s="14" t="str">
        <f t="shared" si="358"/>
        <v/>
      </c>
      <c r="GL311" s="14">
        <f t="shared" si="340"/>
        <v>20840</v>
      </c>
      <c r="GM311" s="14">
        <f t="shared" si="359"/>
        <v>5</v>
      </c>
      <c r="GN311" s="14">
        <f t="shared" si="360"/>
        <v>1084</v>
      </c>
      <c r="GO311" s="25" t="s">
        <v>1471</v>
      </c>
      <c r="GP311" s="14">
        <f t="shared" si="341"/>
        <v>800</v>
      </c>
      <c r="HK311" s="13">
        <v>306</v>
      </c>
      <c r="HL311" s="14">
        <f t="shared" si="361"/>
        <v>13</v>
      </c>
      <c r="HM311" s="14">
        <f t="shared" si="362"/>
        <v>2</v>
      </c>
      <c r="HN311" s="14">
        <f t="shared" si="363"/>
        <v>2</v>
      </c>
      <c r="HO311" s="14">
        <f t="shared" si="364"/>
        <v>4</v>
      </c>
      <c r="HP311" s="14" t="str">
        <f t="shared" si="365"/>
        <v>30级守护灵洗练-Q4-6</v>
      </c>
      <c r="HQ311" s="14">
        <f t="shared" si="366"/>
        <v>2024</v>
      </c>
      <c r="HR311" s="14">
        <f t="shared" si="367"/>
        <v>6</v>
      </c>
      <c r="HS311" s="14">
        <f t="shared" si="368"/>
        <v>500</v>
      </c>
      <c r="HT311" s="14" t="str">
        <f t="shared" si="369"/>
        <v>HPRate</v>
      </c>
      <c r="HU311" s="14">
        <f t="shared" si="370"/>
        <v>1.4E-2</v>
      </c>
      <c r="HV311" s="14">
        <f t="shared" si="371"/>
        <v>0.04</v>
      </c>
    </row>
    <row r="312" spans="151:230" ht="16.5" x14ac:dyDescent="0.2">
      <c r="EU312" s="13">
        <v>307</v>
      </c>
      <c r="EV312" s="14">
        <f t="shared" si="342"/>
        <v>1</v>
      </c>
      <c r="EW312" s="14">
        <f t="shared" si="343"/>
        <v>307</v>
      </c>
      <c r="EX312" s="14">
        <f t="shared" si="344"/>
        <v>41</v>
      </c>
      <c r="EY312" s="14">
        <f t="shared" si="319"/>
        <v>41</v>
      </c>
      <c r="EZ312" s="14">
        <f t="shared" si="320"/>
        <v>8</v>
      </c>
      <c r="FA312" s="14">
        <f t="shared" si="321"/>
        <v>120</v>
      </c>
      <c r="FB312" s="14">
        <f t="shared" si="322"/>
        <v>4</v>
      </c>
      <c r="FC312" s="14">
        <f t="shared" si="323"/>
        <v>2</v>
      </c>
      <c r="FD312" s="14">
        <f t="shared" si="324"/>
        <v>2</v>
      </c>
      <c r="FE312" s="14" t="b">
        <f t="shared" si="345"/>
        <v>1</v>
      </c>
      <c r="FF312" s="14">
        <f t="shared" si="325"/>
        <v>2008412</v>
      </c>
      <c r="FG312" s="13" t="str">
        <f t="shared" si="326"/>
        <v>120级-攻击套寄灵人の头盔</v>
      </c>
      <c r="FH312" s="14">
        <f t="shared" si="327"/>
        <v>1</v>
      </c>
      <c r="FI312" s="14">
        <f t="shared" si="328"/>
        <v>4</v>
      </c>
      <c r="FJ312" s="14">
        <f t="shared" si="329"/>
        <v>120</v>
      </c>
      <c r="FK312" s="14">
        <v>1</v>
      </c>
      <c r="FL312" s="14">
        <f t="shared" si="330"/>
        <v>8</v>
      </c>
      <c r="FM312" s="14">
        <f t="shared" si="346"/>
        <v>2</v>
      </c>
      <c r="FN312" s="14">
        <f t="shared" si="331"/>
        <v>200841</v>
      </c>
      <c r="FO312" s="14">
        <f t="shared" si="332"/>
        <v>285</v>
      </c>
      <c r="FP312" s="14">
        <f t="shared" si="347"/>
        <v>0</v>
      </c>
      <c r="FQ312" s="14">
        <f t="shared" si="348"/>
        <v>390</v>
      </c>
      <c r="FR312" s="14">
        <f t="shared" si="349"/>
        <v>0</v>
      </c>
      <c r="FS312" s="14">
        <f t="shared" si="350"/>
        <v>0</v>
      </c>
      <c r="FT312" s="14">
        <f t="shared" si="351"/>
        <v>19</v>
      </c>
      <c r="FU312" s="14">
        <f t="shared" si="352"/>
        <v>0</v>
      </c>
      <c r="FV312" s="14">
        <f t="shared" si="333"/>
        <v>1084</v>
      </c>
      <c r="FW312" s="14">
        <f t="shared" si="334"/>
        <v>5</v>
      </c>
      <c r="FX312" s="14">
        <f t="shared" si="335"/>
        <v>1084</v>
      </c>
      <c r="FY312" s="25" t="str">
        <f t="shared" si="353"/>
        <v>icon_2008412</v>
      </c>
      <c r="GC312" s="14">
        <f t="shared" si="336"/>
        <v>2</v>
      </c>
      <c r="GD312" s="14">
        <f t="shared" si="337"/>
        <v>0</v>
      </c>
      <c r="GE312" s="14">
        <f t="shared" si="354"/>
        <v>285</v>
      </c>
      <c r="GF312" s="14" t="str">
        <f t="shared" si="338"/>
        <v>DefExt</v>
      </c>
      <c r="GG312" s="14">
        <f t="shared" si="355"/>
        <v>390</v>
      </c>
      <c r="GH312" s="14">
        <f t="shared" si="356"/>
        <v>19</v>
      </c>
      <c r="GI312" s="14" t="str">
        <f t="shared" si="339"/>
        <v/>
      </c>
      <c r="GJ312" s="14" t="str">
        <f t="shared" si="357"/>
        <v/>
      </c>
      <c r="GK312" s="14" t="str">
        <f t="shared" si="358"/>
        <v/>
      </c>
      <c r="GL312" s="14">
        <f t="shared" si="340"/>
        <v>20840</v>
      </c>
      <c r="GM312" s="14">
        <f t="shared" si="359"/>
        <v>5</v>
      </c>
      <c r="GN312" s="14">
        <f t="shared" si="360"/>
        <v>1084</v>
      </c>
      <c r="GO312" s="25" t="s">
        <v>1471</v>
      </c>
      <c r="GP312" s="14">
        <f t="shared" si="341"/>
        <v>400</v>
      </c>
      <c r="HK312" s="13">
        <v>307</v>
      </c>
      <c r="HL312" s="14">
        <f t="shared" si="361"/>
        <v>13</v>
      </c>
      <c r="HM312" s="14">
        <f t="shared" si="362"/>
        <v>2</v>
      </c>
      <c r="HN312" s="14">
        <f t="shared" si="363"/>
        <v>2</v>
      </c>
      <c r="HO312" s="14">
        <f t="shared" si="364"/>
        <v>4</v>
      </c>
      <c r="HP312" s="14" t="str">
        <f t="shared" si="365"/>
        <v>30级守护灵洗练-Q4-7</v>
      </c>
      <c r="HQ312" s="14">
        <f t="shared" si="366"/>
        <v>2024</v>
      </c>
      <c r="HR312" s="14">
        <f t="shared" si="367"/>
        <v>7</v>
      </c>
      <c r="HS312" s="14">
        <f t="shared" si="368"/>
        <v>500</v>
      </c>
      <c r="HT312" s="14" t="str">
        <f t="shared" si="369"/>
        <v>Crit</v>
      </c>
      <c r="HU312" s="14">
        <f t="shared" si="370"/>
        <v>1.0999999999999999E-2</v>
      </c>
      <c r="HV312" s="14">
        <f t="shared" si="371"/>
        <v>0.03</v>
      </c>
    </row>
    <row r="313" spans="151:230" ht="16.5" x14ac:dyDescent="0.2">
      <c r="EU313" s="13">
        <v>308</v>
      </c>
      <c r="EV313" s="14">
        <f t="shared" si="342"/>
        <v>1</v>
      </c>
      <c r="EW313" s="14">
        <f t="shared" si="343"/>
        <v>308</v>
      </c>
      <c r="EX313" s="14">
        <f t="shared" si="344"/>
        <v>41</v>
      </c>
      <c r="EY313" s="14">
        <f t="shared" si="319"/>
        <v>41</v>
      </c>
      <c r="EZ313" s="14">
        <f t="shared" si="320"/>
        <v>8</v>
      </c>
      <c r="FA313" s="14">
        <f t="shared" si="321"/>
        <v>120</v>
      </c>
      <c r="FB313" s="14">
        <f t="shared" si="322"/>
        <v>4</v>
      </c>
      <c r="FC313" s="14">
        <f t="shared" si="323"/>
        <v>3</v>
      </c>
      <c r="FD313" s="14">
        <f t="shared" si="324"/>
        <v>3</v>
      </c>
      <c r="FE313" s="14" t="b">
        <f t="shared" si="345"/>
        <v>1</v>
      </c>
      <c r="FF313" s="14">
        <f t="shared" si="325"/>
        <v>2008413</v>
      </c>
      <c r="FG313" s="13" t="str">
        <f t="shared" si="326"/>
        <v>120级-攻击套寄灵人の铠甲</v>
      </c>
      <c r="FH313" s="14">
        <f t="shared" si="327"/>
        <v>1</v>
      </c>
      <c r="FI313" s="14">
        <f t="shared" si="328"/>
        <v>4</v>
      </c>
      <c r="FJ313" s="14">
        <f t="shared" si="329"/>
        <v>120</v>
      </c>
      <c r="FK313" s="14">
        <v>1</v>
      </c>
      <c r="FL313" s="14">
        <f t="shared" si="330"/>
        <v>8</v>
      </c>
      <c r="FM313" s="14">
        <f t="shared" si="346"/>
        <v>3</v>
      </c>
      <c r="FN313" s="14">
        <f t="shared" si="331"/>
        <v>200841</v>
      </c>
      <c r="FO313" s="14">
        <f t="shared" si="332"/>
        <v>415</v>
      </c>
      <c r="FP313" s="14">
        <f t="shared" si="347"/>
        <v>0</v>
      </c>
      <c r="FQ313" s="14">
        <f t="shared" si="348"/>
        <v>195</v>
      </c>
      <c r="FR313" s="14">
        <f t="shared" si="349"/>
        <v>3610</v>
      </c>
      <c r="FS313" s="14">
        <f t="shared" si="350"/>
        <v>0</v>
      </c>
      <c r="FT313" s="14">
        <f t="shared" si="351"/>
        <v>10</v>
      </c>
      <c r="FU313" s="14">
        <f t="shared" si="352"/>
        <v>177</v>
      </c>
      <c r="FV313" s="14">
        <f t="shared" si="333"/>
        <v>1084</v>
      </c>
      <c r="FW313" s="14">
        <f t="shared" si="334"/>
        <v>5</v>
      </c>
      <c r="FX313" s="14">
        <f t="shared" si="335"/>
        <v>1084</v>
      </c>
      <c r="FY313" s="25" t="str">
        <f t="shared" si="353"/>
        <v>icon_2008413</v>
      </c>
      <c r="GC313" s="14">
        <f t="shared" si="336"/>
        <v>2</v>
      </c>
      <c r="GD313" s="14">
        <f t="shared" si="337"/>
        <v>3</v>
      </c>
      <c r="GE313" s="14">
        <f t="shared" si="354"/>
        <v>415</v>
      </c>
      <c r="GF313" s="14" t="str">
        <f t="shared" si="338"/>
        <v>DefExt</v>
      </c>
      <c r="GG313" s="14">
        <f t="shared" si="355"/>
        <v>195</v>
      </c>
      <c r="GH313" s="14">
        <f t="shared" si="356"/>
        <v>10</v>
      </c>
      <c r="GI313" s="14" t="str">
        <f t="shared" si="339"/>
        <v>HPExt</v>
      </c>
      <c r="GJ313" s="14">
        <f t="shared" si="357"/>
        <v>3610</v>
      </c>
      <c r="GK313" s="14">
        <f t="shared" si="358"/>
        <v>177</v>
      </c>
      <c r="GL313" s="14">
        <f t="shared" si="340"/>
        <v>20840</v>
      </c>
      <c r="GM313" s="14">
        <f t="shared" si="359"/>
        <v>5</v>
      </c>
      <c r="GN313" s="14">
        <f t="shared" si="360"/>
        <v>1084</v>
      </c>
      <c r="GO313" s="25" t="s">
        <v>1471</v>
      </c>
      <c r="GP313" s="14">
        <f t="shared" si="341"/>
        <v>400</v>
      </c>
      <c r="HK313" s="13">
        <v>308</v>
      </c>
      <c r="HL313" s="14">
        <f t="shared" si="361"/>
        <v>13</v>
      </c>
      <c r="HM313" s="14">
        <f t="shared" si="362"/>
        <v>2</v>
      </c>
      <c r="HN313" s="14">
        <f t="shared" si="363"/>
        <v>2</v>
      </c>
      <c r="HO313" s="14">
        <f t="shared" si="364"/>
        <v>4</v>
      </c>
      <c r="HP313" s="14" t="str">
        <f t="shared" si="365"/>
        <v>30级守护灵洗练-Q4-8</v>
      </c>
      <c r="HQ313" s="14">
        <f t="shared" si="366"/>
        <v>2024</v>
      </c>
      <c r="HR313" s="14">
        <f t="shared" si="367"/>
        <v>8</v>
      </c>
      <c r="HS313" s="14">
        <f t="shared" si="368"/>
        <v>500</v>
      </c>
      <c r="HT313" s="14" t="str">
        <f t="shared" si="369"/>
        <v>CritRate</v>
      </c>
      <c r="HU313" s="14">
        <f t="shared" si="370"/>
        <v>2.8000000000000001E-2</v>
      </c>
      <c r="HV313" s="14">
        <f t="shared" si="371"/>
        <v>0.08</v>
      </c>
    </row>
    <row r="314" spans="151:230" ht="16.5" x14ac:dyDescent="0.2">
      <c r="EU314" s="13">
        <v>309</v>
      </c>
      <c r="EV314" s="14">
        <f t="shared" si="342"/>
        <v>1</v>
      </c>
      <c r="EW314" s="14">
        <f t="shared" si="343"/>
        <v>309</v>
      </c>
      <c r="EX314" s="14">
        <f t="shared" si="344"/>
        <v>41</v>
      </c>
      <c r="EY314" s="14">
        <f t="shared" si="319"/>
        <v>41</v>
      </c>
      <c r="EZ314" s="14">
        <f t="shared" si="320"/>
        <v>8</v>
      </c>
      <c r="FA314" s="14">
        <f t="shared" si="321"/>
        <v>120</v>
      </c>
      <c r="FB314" s="14">
        <f t="shared" si="322"/>
        <v>4</v>
      </c>
      <c r="FC314" s="14">
        <f t="shared" si="323"/>
        <v>4</v>
      </c>
      <c r="FD314" s="14">
        <f t="shared" si="324"/>
        <v>5</v>
      </c>
      <c r="FE314" s="14" t="b">
        <f t="shared" si="345"/>
        <v>1</v>
      </c>
      <c r="FF314" s="14">
        <f t="shared" si="325"/>
        <v>2008415</v>
      </c>
      <c r="FG314" s="13" t="str">
        <f t="shared" si="326"/>
        <v>120级-攻击套寄灵人の鞋子</v>
      </c>
      <c r="FH314" s="14">
        <f t="shared" si="327"/>
        <v>1</v>
      </c>
      <c r="FI314" s="14">
        <f t="shared" si="328"/>
        <v>4</v>
      </c>
      <c r="FJ314" s="14">
        <f t="shared" si="329"/>
        <v>120</v>
      </c>
      <c r="FK314" s="14">
        <v>1</v>
      </c>
      <c r="FL314" s="14">
        <f t="shared" si="330"/>
        <v>8</v>
      </c>
      <c r="FM314" s="14">
        <f t="shared" si="346"/>
        <v>5</v>
      </c>
      <c r="FN314" s="14">
        <f t="shared" si="331"/>
        <v>200841</v>
      </c>
      <c r="FO314" s="14">
        <f t="shared" si="332"/>
        <v>532</v>
      </c>
      <c r="FP314" s="14">
        <f t="shared" si="347"/>
        <v>0</v>
      </c>
      <c r="FQ314" s="14">
        <f t="shared" si="348"/>
        <v>0</v>
      </c>
      <c r="FR314" s="14">
        <f t="shared" si="349"/>
        <v>7215</v>
      </c>
      <c r="FS314" s="14">
        <f t="shared" si="350"/>
        <v>0</v>
      </c>
      <c r="FT314" s="14">
        <f t="shared" si="351"/>
        <v>0</v>
      </c>
      <c r="FU314" s="14">
        <f t="shared" si="352"/>
        <v>355</v>
      </c>
      <c r="FV314" s="14">
        <f t="shared" si="333"/>
        <v>1084</v>
      </c>
      <c r="FW314" s="14">
        <f t="shared" si="334"/>
        <v>5</v>
      </c>
      <c r="FX314" s="14">
        <f t="shared" si="335"/>
        <v>1084</v>
      </c>
      <c r="FY314" s="25" t="str">
        <f t="shared" si="353"/>
        <v>icon_2008415</v>
      </c>
      <c r="GC314" s="14">
        <f t="shared" si="336"/>
        <v>3</v>
      </c>
      <c r="GD314" s="14">
        <f t="shared" si="337"/>
        <v>0</v>
      </c>
      <c r="GE314" s="14">
        <f t="shared" si="354"/>
        <v>532</v>
      </c>
      <c r="GF314" s="14" t="str">
        <f t="shared" si="338"/>
        <v>HPExt</v>
      </c>
      <c r="GG314" s="14">
        <f t="shared" si="355"/>
        <v>7215</v>
      </c>
      <c r="GH314" s="14">
        <f t="shared" si="356"/>
        <v>355</v>
      </c>
      <c r="GI314" s="14" t="str">
        <f t="shared" si="339"/>
        <v/>
      </c>
      <c r="GJ314" s="14" t="str">
        <f t="shared" si="357"/>
        <v/>
      </c>
      <c r="GK314" s="14" t="str">
        <f t="shared" si="358"/>
        <v/>
      </c>
      <c r="GL314" s="14">
        <f t="shared" si="340"/>
        <v>20840</v>
      </c>
      <c r="GM314" s="14">
        <f t="shared" si="359"/>
        <v>5</v>
      </c>
      <c r="GN314" s="14">
        <f t="shared" si="360"/>
        <v>1084</v>
      </c>
      <c r="GO314" s="25" t="s">
        <v>1471</v>
      </c>
      <c r="GP314" s="14">
        <f t="shared" si="341"/>
        <v>400</v>
      </c>
      <c r="HK314" s="13">
        <v>309</v>
      </c>
      <c r="HL314" s="14">
        <f t="shared" si="361"/>
        <v>13</v>
      </c>
      <c r="HM314" s="14">
        <f t="shared" si="362"/>
        <v>2</v>
      </c>
      <c r="HN314" s="14">
        <f t="shared" si="363"/>
        <v>2</v>
      </c>
      <c r="HO314" s="14">
        <f t="shared" si="364"/>
        <v>4</v>
      </c>
      <c r="HP314" s="14" t="str">
        <f t="shared" si="365"/>
        <v>30级守护灵洗练-Q4-9</v>
      </c>
      <c r="HQ314" s="14">
        <f t="shared" si="366"/>
        <v>2024</v>
      </c>
      <c r="HR314" s="14">
        <f t="shared" si="367"/>
        <v>9</v>
      </c>
      <c r="HS314" s="14">
        <f t="shared" si="368"/>
        <v>500</v>
      </c>
      <c r="HT314" s="14" t="str">
        <f t="shared" si="369"/>
        <v>DefIgnor</v>
      </c>
      <c r="HU314" s="14">
        <f t="shared" si="370"/>
        <v>1.0999999999999999E-2</v>
      </c>
      <c r="HV314" s="14">
        <f t="shared" si="371"/>
        <v>0.03</v>
      </c>
    </row>
    <row r="315" spans="151:230" ht="16.5" x14ac:dyDescent="0.2">
      <c r="EU315" s="13">
        <v>310</v>
      </c>
      <c r="EV315" s="14">
        <f t="shared" si="342"/>
        <v>1</v>
      </c>
      <c r="EW315" s="14">
        <f t="shared" si="343"/>
        <v>310</v>
      </c>
      <c r="EX315" s="14">
        <f t="shared" si="344"/>
        <v>41</v>
      </c>
      <c r="EY315" s="14">
        <f t="shared" si="319"/>
        <v>41</v>
      </c>
      <c r="EZ315" s="14">
        <f t="shared" si="320"/>
        <v>8</v>
      </c>
      <c r="FA315" s="14">
        <f t="shared" si="321"/>
        <v>120</v>
      </c>
      <c r="FB315" s="14">
        <f t="shared" si="322"/>
        <v>4</v>
      </c>
      <c r="FC315" s="14">
        <f t="shared" si="323"/>
        <v>5</v>
      </c>
      <c r="FD315" s="14">
        <f t="shared" si="324"/>
        <v>7</v>
      </c>
      <c r="FE315" s="14" t="b">
        <f t="shared" si="345"/>
        <v>1</v>
      </c>
      <c r="FF315" s="14">
        <f t="shared" si="325"/>
        <v>2008417</v>
      </c>
      <c r="FG315" s="13" t="str">
        <f t="shared" si="326"/>
        <v>120级-攻击套寄灵人の项链</v>
      </c>
      <c r="FH315" s="14">
        <f t="shared" si="327"/>
        <v>1</v>
      </c>
      <c r="FI315" s="14">
        <f t="shared" si="328"/>
        <v>4</v>
      </c>
      <c r="FJ315" s="14">
        <f t="shared" si="329"/>
        <v>120</v>
      </c>
      <c r="FK315" s="14">
        <v>1</v>
      </c>
      <c r="FL315" s="14">
        <f t="shared" si="330"/>
        <v>8</v>
      </c>
      <c r="FM315" s="14">
        <f t="shared" si="346"/>
        <v>7</v>
      </c>
      <c r="FN315" s="14">
        <f t="shared" si="331"/>
        <v>200841</v>
      </c>
      <c r="FO315" s="14">
        <f t="shared" si="332"/>
        <v>427</v>
      </c>
      <c r="FP315" s="14">
        <f t="shared" si="347"/>
        <v>515</v>
      </c>
      <c r="FQ315" s="14">
        <f t="shared" si="348"/>
        <v>325</v>
      </c>
      <c r="FR315" s="14">
        <f t="shared" si="349"/>
        <v>0</v>
      </c>
      <c r="FS315" s="14">
        <f t="shared" si="350"/>
        <v>25</v>
      </c>
      <c r="FT315" s="14">
        <f t="shared" si="351"/>
        <v>16</v>
      </c>
      <c r="FU315" s="14">
        <f t="shared" si="352"/>
        <v>0</v>
      </c>
      <c r="FV315" s="14">
        <f t="shared" si="333"/>
        <v>1084</v>
      </c>
      <c r="FW315" s="14">
        <f t="shared" si="334"/>
        <v>5</v>
      </c>
      <c r="FX315" s="14">
        <f t="shared" si="335"/>
        <v>1084</v>
      </c>
      <c r="FY315" s="25" t="str">
        <f t="shared" si="353"/>
        <v>icon_2008417</v>
      </c>
      <c r="GC315" s="14">
        <f t="shared" si="336"/>
        <v>1</v>
      </c>
      <c r="GD315" s="14">
        <f t="shared" si="337"/>
        <v>2</v>
      </c>
      <c r="GE315" s="14">
        <f t="shared" si="354"/>
        <v>427</v>
      </c>
      <c r="GF315" s="14" t="str">
        <f t="shared" si="338"/>
        <v>AtkExt</v>
      </c>
      <c r="GG315" s="14">
        <f t="shared" si="355"/>
        <v>515</v>
      </c>
      <c r="GH315" s="14">
        <f t="shared" si="356"/>
        <v>25</v>
      </c>
      <c r="GI315" s="14" t="str">
        <f t="shared" si="339"/>
        <v>DefExt</v>
      </c>
      <c r="GJ315" s="14">
        <f t="shared" si="357"/>
        <v>325</v>
      </c>
      <c r="GK315" s="14">
        <f t="shared" si="358"/>
        <v>16</v>
      </c>
      <c r="GL315" s="14">
        <f t="shared" si="340"/>
        <v>20840</v>
      </c>
      <c r="GM315" s="14">
        <f t="shared" si="359"/>
        <v>5</v>
      </c>
      <c r="GN315" s="14">
        <f t="shared" si="360"/>
        <v>1084</v>
      </c>
      <c r="GO315" s="25" t="s">
        <v>1471</v>
      </c>
      <c r="GP315" s="14">
        <f t="shared" si="341"/>
        <v>600</v>
      </c>
      <c r="HK315" s="13">
        <v>310</v>
      </c>
      <c r="HL315" s="14">
        <f t="shared" si="361"/>
        <v>13</v>
      </c>
      <c r="HM315" s="14">
        <f t="shared" si="362"/>
        <v>2</v>
      </c>
      <c r="HN315" s="14">
        <f t="shared" si="363"/>
        <v>2</v>
      </c>
      <c r="HO315" s="14">
        <f t="shared" si="364"/>
        <v>4</v>
      </c>
      <c r="HP315" s="14" t="str">
        <f t="shared" si="365"/>
        <v>30级守护灵洗练-Q4-10</v>
      </c>
      <c r="HQ315" s="14">
        <f t="shared" si="366"/>
        <v>2024</v>
      </c>
      <c r="HR315" s="14">
        <f t="shared" si="367"/>
        <v>10</v>
      </c>
      <c r="HS315" s="14">
        <f t="shared" si="368"/>
        <v>500</v>
      </c>
      <c r="HT315" s="14" t="str">
        <f t="shared" si="369"/>
        <v>Block</v>
      </c>
      <c r="HU315" s="14">
        <f t="shared" si="370"/>
        <v>1.0999999999999999E-2</v>
      </c>
      <c r="HV315" s="14">
        <f t="shared" si="371"/>
        <v>0.03</v>
      </c>
    </row>
    <row r="316" spans="151:230" ht="16.5" x14ac:dyDescent="0.2">
      <c r="EU316" s="13">
        <v>311</v>
      </c>
      <c r="EV316" s="14">
        <f t="shared" si="342"/>
        <v>1</v>
      </c>
      <c r="EW316" s="14">
        <f t="shared" si="343"/>
        <v>311</v>
      </c>
      <c r="EX316" s="14">
        <f t="shared" si="344"/>
        <v>41</v>
      </c>
      <c r="EY316" s="14">
        <f t="shared" si="319"/>
        <v>41</v>
      </c>
      <c r="EZ316" s="14">
        <f t="shared" si="320"/>
        <v>8</v>
      </c>
      <c r="FA316" s="14">
        <f t="shared" si="321"/>
        <v>120</v>
      </c>
      <c r="FB316" s="14">
        <f t="shared" si="322"/>
        <v>4</v>
      </c>
      <c r="FC316" s="14">
        <f t="shared" si="323"/>
        <v>6</v>
      </c>
      <c r="FD316" s="14">
        <f t="shared" si="324"/>
        <v>8</v>
      </c>
      <c r="FE316" s="14" t="b">
        <f t="shared" si="345"/>
        <v>1</v>
      </c>
      <c r="FF316" s="14">
        <f t="shared" si="325"/>
        <v>2008418</v>
      </c>
      <c r="FG316" s="13" t="str">
        <f t="shared" si="326"/>
        <v>120级-攻击套寄灵人の戒指</v>
      </c>
      <c r="FH316" s="14">
        <f t="shared" si="327"/>
        <v>1</v>
      </c>
      <c r="FI316" s="14">
        <f t="shared" si="328"/>
        <v>4</v>
      </c>
      <c r="FJ316" s="14">
        <f t="shared" si="329"/>
        <v>120</v>
      </c>
      <c r="FK316" s="14">
        <v>1</v>
      </c>
      <c r="FL316" s="14">
        <f t="shared" si="330"/>
        <v>8</v>
      </c>
      <c r="FM316" s="14">
        <f t="shared" si="346"/>
        <v>8</v>
      </c>
      <c r="FN316" s="14">
        <f t="shared" si="331"/>
        <v>200841</v>
      </c>
      <c r="FO316" s="14">
        <f t="shared" si="332"/>
        <v>631</v>
      </c>
      <c r="FP316" s="14">
        <f t="shared" si="347"/>
        <v>515</v>
      </c>
      <c r="FQ316" s="14">
        <f t="shared" si="348"/>
        <v>0</v>
      </c>
      <c r="FR316" s="14">
        <f t="shared" si="349"/>
        <v>6015</v>
      </c>
      <c r="FS316" s="14">
        <f t="shared" si="350"/>
        <v>25</v>
      </c>
      <c r="FT316" s="14">
        <f t="shared" si="351"/>
        <v>0</v>
      </c>
      <c r="FU316" s="14">
        <f t="shared" si="352"/>
        <v>296</v>
      </c>
      <c r="FV316" s="14">
        <f t="shared" si="333"/>
        <v>1084</v>
      </c>
      <c r="FW316" s="14">
        <f t="shared" si="334"/>
        <v>5</v>
      </c>
      <c r="FX316" s="14">
        <f t="shared" si="335"/>
        <v>1084</v>
      </c>
      <c r="FY316" s="25" t="str">
        <f t="shared" si="353"/>
        <v>icon_2008418</v>
      </c>
      <c r="GC316" s="14">
        <f t="shared" si="336"/>
        <v>1</v>
      </c>
      <c r="GD316" s="14">
        <f t="shared" si="337"/>
        <v>3</v>
      </c>
      <c r="GE316" s="14">
        <f t="shared" si="354"/>
        <v>631</v>
      </c>
      <c r="GF316" s="14" t="str">
        <f t="shared" si="338"/>
        <v>AtkExt</v>
      </c>
      <c r="GG316" s="14">
        <f t="shared" si="355"/>
        <v>515</v>
      </c>
      <c r="GH316" s="14">
        <f t="shared" si="356"/>
        <v>25</v>
      </c>
      <c r="GI316" s="14" t="str">
        <f t="shared" si="339"/>
        <v>HPExt</v>
      </c>
      <c r="GJ316" s="14">
        <f t="shared" si="357"/>
        <v>6015</v>
      </c>
      <c r="GK316" s="14">
        <f t="shared" si="358"/>
        <v>296</v>
      </c>
      <c r="GL316" s="14">
        <f t="shared" si="340"/>
        <v>20840</v>
      </c>
      <c r="GM316" s="14">
        <f t="shared" si="359"/>
        <v>5</v>
      </c>
      <c r="GN316" s="14">
        <f t="shared" si="360"/>
        <v>1084</v>
      </c>
      <c r="GO316" s="25" t="s">
        <v>1471</v>
      </c>
      <c r="GP316" s="14">
        <f t="shared" si="341"/>
        <v>600</v>
      </c>
      <c r="HK316" s="13">
        <v>311</v>
      </c>
      <c r="HL316" s="14">
        <f t="shared" si="361"/>
        <v>13</v>
      </c>
      <c r="HM316" s="14">
        <f t="shared" si="362"/>
        <v>2</v>
      </c>
      <c r="HN316" s="14">
        <f t="shared" si="363"/>
        <v>2</v>
      </c>
      <c r="HO316" s="14">
        <f t="shared" si="364"/>
        <v>4</v>
      </c>
      <c r="HP316" s="14" t="str">
        <f t="shared" si="365"/>
        <v>30级守护灵洗练-Q4-11</v>
      </c>
      <c r="HQ316" s="14">
        <f t="shared" si="366"/>
        <v>2024</v>
      </c>
      <c r="HR316" s="14">
        <f t="shared" si="367"/>
        <v>11</v>
      </c>
      <c r="HS316" s="14">
        <f t="shared" si="368"/>
        <v>500</v>
      </c>
      <c r="HT316" s="14" t="str">
        <f t="shared" si="369"/>
        <v>EffectHit</v>
      </c>
      <c r="HU316" s="14">
        <f t="shared" si="370"/>
        <v>1.7999999999999999E-2</v>
      </c>
      <c r="HV316" s="14">
        <f t="shared" si="371"/>
        <v>0.05</v>
      </c>
    </row>
    <row r="317" spans="151:230" ht="16.5" x14ac:dyDescent="0.2">
      <c r="EU317" s="13">
        <v>312</v>
      </c>
      <c r="EV317" s="14">
        <f t="shared" si="342"/>
        <v>1</v>
      </c>
      <c r="EW317" s="14">
        <f t="shared" si="343"/>
        <v>312</v>
      </c>
      <c r="EX317" s="14">
        <f t="shared" si="344"/>
        <v>42</v>
      </c>
      <c r="EY317" s="14">
        <f t="shared" si="319"/>
        <v>42</v>
      </c>
      <c r="EZ317" s="14">
        <f t="shared" si="320"/>
        <v>8</v>
      </c>
      <c r="FA317" s="14">
        <f t="shared" si="321"/>
        <v>120</v>
      </c>
      <c r="FB317" s="14">
        <f t="shared" si="322"/>
        <v>4</v>
      </c>
      <c r="FC317" s="14">
        <f t="shared" si="323"/>
        <v>1</v>
      </c>
      <c r="FD317" s="14">
        <f t="shared" si="324"/>
        <v>1</v>
      </c>
      <c r="FE317" s="14" t="b">
        <f t="shared" si="345"/>
        <v>1</v>
      </c>
      <c r="FF317" s="14">
        <f t="shared" si="325"/>
        <v>2008421</v>
      </c>
      <c r="FG317" s="13" t="str">
        <f t="shared" si="326"/>
        <v>120级-绝世套寄灵人の灵器</v>
      </c>
      <c r="FH317" s="14">
        <f t="shared" si="327"/>
        <v>1</v>
      </c>
      <c r="FI317" s="14">
        <f t="shared" si="328"/>
        <v>4</v>
      </c>
      <c r="FJ317" s="14">
        <f t="shared" si="329"/>
        <v>120</v>
      </c>
      <c r="FK317" s="14">
        <v>1</v>
      </c>
      <c r="FL317" s="14">
        <f t="shared" si="330"/>
        <v>8</v>
      </c>
      <c r="FM317" s="14">
        <f t="shared" si="346"/>
        <v>1</v>
      </c>
      <c r="FN317" s="14">
        <f t="shared" si="331"/>
        <v>200843</v>
      </c>
      <c r="FO317" s="14">
        <f t="shared" si="332"/>
        <v>570</v>
      </c>
      <c r="FP317" s="14">
        <f t="shared" si="347"/>
        <v>1550</v>
      </c>
      <c r="FQ317" s="14">
        <f t="shared" si="348"/>
        <v>0</v>
      </c>
      <c r="FR317" s="14">
        <f t="shared" si="349"/>
        <v>0</v>
      </c>
      <c r="FS317" s="14">
        <f t="shared" si="350"/>
        <v>76</v>
      </c>
      <c r="FT317" s="14">
        <f t="shared" si="351"/>
        <v>0</v>
      </c>
      <c r="FU317" s="14">
        <f t="shared" si="352"/>
        <v>0</v>
      </c>
      <c r="FV317" s="14">
        <f t="shared" si="333"/>
        <v>1084</v>
      </c>
      <c r="FW317" s="14">
        <f t="shared" si="334"/>
        <v>5</v>
      </c>
      <c r="FX317" s="14">
        <f t="shared" si="335"/>
        <v>1084</v>
      </c>
      <c r="FY317" s="25" t="str">
        <f t="shared" si="353"/>
        <v>icon_2008421</v>
      </c>
      <c r="GC317" s="14">
        <f t="shared" si="336"/>
        <v>1</v>
      </c>
      <c r="GD317" s="14">
        <f t="shared" si="337"/>
        <v>0</v>
      </c>
      <c r="GE317" s="14">
        <f t="shared" si="354"/>
        <v>570</v>
      </c>
      <c r="GF317" s="14" t="str">
        <f t="shared" si="338"/>
        <v>AtkExt</v>
      </c>
      <c r="GG317" s="14">
        <f t="shared" si="355"/>
        <v>1550</v>
      </c>
      <c r="GH317" s="14">
        <f t="shared" si="356"/>
        <v>76</v>
      </c>
      <c r="GI317" s="14" t="str">
        <f t="shared" si="339"/>
        <v/>
      </c>
      <c r="GJ317" s="14" t="str">
        <f t="shared" si="357"/>
        <v/>
      </c>
      <c r="GK317" s="14" t="str">
        <f t="shared" si="358"/>
        <v/>
      </c>
      <c r="GL317" s="14">
        <f t="shared" si="340"/>
        <v>20840</v>
      </c>
      <c r="GM317" s="14">
        <f t="shared" si="359"/>
        <v>5</v>
      </c>
      <c r="GN317" s="14">
        <f t="shared" si="360"/>
        <v>1084</v>
      </c>
      <c r="GO317" s="25" t="s">
        <v>1471</v>
      </c>
      <c r="GP317" s="14">
        <f t="shared" si="341"/>
        <v>800</v>
      </c>
      <c r="HK317" s="13">
        <v>312</v>
      </c>
      <c r="HL317" s="14">
        <f t="shared" si="361"/>
        <v>13</v>
      </c>
      <c r="HM317" s="14">
        <f t="shared" si="362"/>
        <v>2</v>
      </c>
      <c r="HN317" s="14">
        <f t="shared" si="363"/>
        <v>2</v>
      </c>
      <c r="HO317" s="14">
        <f t="shared" si="364"/>
        <v>4</v>
      </c>
      <c r="HP317" s="14" t="str">
        <f t="shared" si="365"/>
        <v>30级守护灵洗练-Q4-12</v>
      </c>
      <c r="HQ317" s="14">
        <f t="shared" si="366"/>
        <v>2024</v>
      </c>
      <c r="HR317" s="14">
        <f t="shared" si="367"/>
        <v>12</v>
      </c>
      <c r="HS317" s="14">
        <f t="shared" si="368"/>
        <v>500</v>
      </c>
      <c r="HT317" s="14" t="str">
        <f t="shared" si="369"/>
        <v>EffectResist</v>
      </c>
      <c r="HU317" s="14">
        <f t="shared" si="370"/>
        <v>1.7999999999999999E-2</v>
      </c>
      <c r="HV317" s="14">
        <f t="shared" si="371"/>
        <v>0.05</v>
      </c>
    </row>
    <row r="318" spans="151:230" ht="16.5" x14ac:dyDescent="0.2">
      <c r="EU318" s="13">
        <v>313</v>
      </c>
      <c r="EV318" s="14">
        <f t="shared" si="342"/>
        <v>1</v>
      </c>
      <c r="EW318" s="14">
        <f t="shared" si="343"/>
        <v>313</v>
      </c>
      <c r="EX318" s="14">
        <f t="shared" si="344"/>
        <v>42</v>
      </c>
      <c r="EY318" s="14">
        <f t="shared" si="319"/>
        <v>42</v>
      </c>
      <c r="EZ318" s="14">
        <f t="shared" si="320"/>
        <v>8</v>
      </c>
      <c r="FA318" s="14">
        <f t="shared" si="321"/>
        <v>120</v>
      </c>
      <c r="FB318" s="14">
        <f t="shared" si="322"/>
        <v>4</v>
      </c>
      <c r="FC318" s="14">
        <f t="shared" si="323"/>
        <v>2</v>
      </c>
      <c r="FD318" s="14">
        <f t="shared" si="324"/>
        <v>2</v>
      </c>
      <c r="FE318" s="14" t="b">
        <f t="shared" si="345"/>
        <v>1</v>
      </c>
      <c r="FF318" s="14">
        <f t="shared" si="325"/>
        <v>2008422</v>
      </c>
      <c r="FG318" s="13" t="str">
        <f t="shared" si="326"/>
        <v>120级-绝世套寄灵人の头盔</v>
      </c>
      <c r="FH318" s="14">
        <f t="shared" si="327"/>
        <v>1</v>
      </c>
      <c r="FI318" s="14">
        <f t="shared" si="328"/>
        <v>4</v>
      </c>
      <c r="FJ318" s="14">
        <f t="shared" si="329"/>
        <v>120</v>
      </c>
      <c r="FK318" s="14">
        <v>1</v>
      </c>
      <c r="FL318" s="14">
        <f t="shared" si="330"/>
        <v>8</v>
      </c>
      <c r="FM318" s="14">
        <f t="shared" si="346"/>
        <v>2</v>
      </c>
      <c r="FN318" s="14">
        <f t="shared" si="331"/>
        <v>200843</v>
      </c>
      <c r="FO318" s="14">
        <f t="shared" si="332"/>
        <v>285</v>
      </c>
      <c r="FP318" s="14">
        <f t="shared" si="347"/>
        <v>0</v>
      </c>
      <c r="FQ318" s="14">
        <f t="shared" si="348"/>
        <v>390</v>
      </c>
      <c r="FR318" s="14">
        <f t="shared" si="349"/>
        <v>0</v>
      </c>
      <c r="FS318" s="14">
        <f t="shared" si="350"/>
        <v>0</v>
      </c>
      <c r="FT318" s="14">
        <f t="shared" si="351"/>
        <v>19</v>
      </c>
      <c r="FU318" s="14">
        <f t="shared" si="352"/>
        <v>0</v>
      </c>
      <c r="FV318" s="14">
        <f t="shared" si="333"/>
        <v>1084</v>
      </c>
      <c r="FW318" s="14">
        <f t="shared" si="334"/>
        <v>5</v>
      </c>
      <c r="FX318" s="14">
        <f t="shared" si="335"/>
        <v>1084</v>
      </c>
      <c r="FY318" s="25" t="str">
        <f t="shared" si="353"/>
        <v>icon_2008422</v>
      </c>
      <c r="GC318" s="14">
        <f t="shared" si="336"/>
        <v>2</v>
      </c>
      <c r="GD318" s="14">
        <f t="shared" si="337"/>
        <v>0</v>
      </c>
      <c r="GE318" s="14">
        <f t="shared" si="354"/>
        <v>285</v>
      </c>
      <c r="GF318" s="14" t="str">
        <f t="shared" si="338"/>
        <v>DefExt</v>
      </c>
      <c r="GG318" s="14">
        <f t="shared" si="355"/>
        <v>390</v>
      </c>
      <c r="GH318" s="14">
        <f t="shared" si="356"/>
        <v>19</v>
      </c>
      <c r="GI318" s="14" t="str">
        <f t="shared" si="339"/>
        <v/>
      </c>
      <c r="GJ318" s="14" t="str">
        <f t="shared" si="357"/>
        <v/>
      </c>
      <c r="GK318" s="14" t="str">
        <f t="shared" si="358"/>
        <v/>
      </c>
      <c r="GL318" s="14">
        <f t="shared" si="340"/>
        <v>20840</v>
      </c>
      <c r="GM318" s="14">
        <f t="shared" si="359"/>
        <v>5</v>
      </c>
      <c r="GN318" s="14">
        <f t="shared" si="360"/>
        <v>1084</v>
      </c>
      <c r="GO318" s="25" t="s">
        <v>1471</v>
      </c>
      <c r="GP318" s="14">
        <f t="shared" si="341"/>
        <v>400</v>
      </c>
      <c r="HK318" s="13">
        <v>313</v>
      </c>
      <c r="HL318" s="14">
        <f t="shared" si="361"/>
        <v>14</v>
      </c>
      <c r="HM318" s="14">
        <f t="shared" si="362"/>
        <v>2</v>
      </c>
      <c r="HN318" s="14">
        <f t="shared" si="363"/>
        <v>3</v>
      </c>
      <c r="HO318" s="14">
        <f t="shared" si="364"/>
        <v>3</v>
      </c>
      <c r="HP318" s="14" t="str">
        <f t="shared" si="365"/>
        <v>50级守护灵洗练-Q3-1</v>
      </c>
      <c r="HQ318" s="14">
        <f t="shared" si="366"/>
        <v>2033</v>
      </c>
      <c r="HR318" s="14">
        <f t="shared" si="367"/>
        <v>1</v>
      </c>
      <c r="HS318" s="14">
        <f t="shared" si="368"/>
        <v>1800</v>
      </c>
      <c r="HT318" s="14" t="str">
        <f t="shared" si="369"/>
        <v>AtkExt</v>
      </c>
      <c r="HU318" s="14">
        <f t="shared" si="370"/>
        <v>27</v>
      </c>
      <c r="HV318" s="14">
        <f t="shared" si="371"/>
        <v>78</v>
      </c>
    </row>
    <row r="319" spans="151:230" ht="16.5" x14ac:dyDescent="0.2">
      <c r="EU319" s="13">
        <v>314</v>
      </c>
      <c r="EV319" s="14">
        <f t="shared" si="342"/>
        <v>1</v>
      </c>
      <c r="EW319" s="14">
        <f t="shared" si="343"/>
        <v>314</v>
      </c>
      <c r="EX319" s="14">
        <f t="shared" si="344"/>
        <v>42</v>
      </c>
      <c r="EY319" s="14">
        <f t="shared" si="319"/>
        <v>42</v>
      </c>
      <c r="EZ319" s="14">
        <f t="shared" si="320"/>
        <v>8</v>
      </c>
      <c r="FA319" s="14">
        <f t="shared" si="321"/>
        <v>120</v>
      </c>
      <c r="FB319" s="14">
        <f t="shared" si="322"/>
        <v>4</v>
      </c>
      <c r="FC319" s="14">
        <f t="shared" si="323"/>
        <v>3</v>
      </c>
      <c r="FD319" s="14">
        <f t="shared" si="324"/>
        <v>3</v>
      </c>
      <c r="FE319" s="14" t="b">
        <f t="shared" si="345"/>
        <v>1</v>
      </c>
      <c r="FF319" s="14">
        <f t="shared" si="325"/>
        <v>2008423</v>
      </c>
      <c r="FG319" s="13" t="str">
        <f t="shared" si="326"/>
        <v>120级-绝世套寄灵人の铠甲</v>
      </c>
      <c r="FH319" s="14">
        <f t="shared" si="327"/>
        <v>1</v>
      </c>
      <c r="FI319" s="14">
        <f t="shared" si="328"/>
        <v>4</v>
      </c>
      <c r="FJ319" s="14">
        <f t="shared" si="329"/>
        <v>120</v>
      </c>
      <c r="FK319" s="14">
        <v>1</v>
      </c>
      <c r="FL319" s="14">
        <f t="shared" si="330"/>
        <v>8</v>
      </c>
      <c r="FM319" s="14">
        <f t="shared" si="346"/>
        <v>3</v>
      </c>
      <c r="FN319" s="14">
        <f t="shared" si="331"/>
        <v>200843</v>
      </c>
      <c r="FO319" s="14">
        <f t="shared" si="332"/>
        <v>415</v>
      </c>
      <c r="FP319" s="14">
        <f t="shared" si="347"/>
        <v>0</v>
      </c>
      <c r="FQ319" s="14">
        <f t="shared" si="348"/>
        <v>195</v>
      </c>
      <c r="FR319" s="14">
        <f t="shared" si="349"/>
        <v>3610</v>
      </c>
      <c r="FS319" s="14">
        <f t="shared" si="350"/>
        <v>0</v>
      </c>
      <c r="FT319" s="14">
        <f t="shared" si="351"/>
        <v>10</v>
      </c>
      <c r="FU319" s="14">
        <f t="shared" si="352"/>
        <v>177</v>
      </c>
      <c r="FV319" s="14">
        <f t="shared" si="333"/>
        <v>1084</v>
      </c>
      <c r="FW319" s="14">
        <f t="shared" si="334"/>
        <v>5</v>
      </c>
      <c r="FX319" s="14">
        <f t="shared" si="335"/>
        <v>1084</v>
      </c>
      <c r="FY319" s="25" t="str">
        <f t="shared" si="353"/>
        <v>icon_2008423</v>
      </c>
      <c r="GC319" s="14">
        <f t="shared" si="336"/>
        <v>2</v>
      </c>
      <c r="GD319" s="14">
        <f t="shared" si="337"/>
        <v>3</v>
      </c>
      <c r="GE319" s="14">
        <f t="shared" si="354"/>
        <v>415</v>
      </c>
      <c r="GF319" s="14" t="str">
        <f t="shared" si="338"/>
        <v>DefExt</v>
      </c>
      <c r="GG319" s="14">
        <f t="shared" si="355"/>
        <v>195</v>
      </c>
      <c r="GH319" s="14">
        <f t="shared" si="356"/>
        <v>10</v>
      </c>
      <c r="GI319" s="14" t="str">
        <f t="shared" si="339"/>
        <v>HPExt</v>
      </c>
      <c r="GJ319" s="14">
        <f t="shared" si="357"/>
        <v>3610</v>
      </c>
      <c r="GK319" s="14">
        <f t="shared" si="358"/>
        <v>177</v>
      </c>
      <c r="GL319" s="14">
        <f t="shared" si="340"/>
        <v>20840</v>
      </c>
      <c r="GM319" s="14">
        <f t="shared" si="359"/>
        <v>5</v>
      </c>
      <c r="GN319" s="14">
        <f t="shared" si="360"/>
        <v>1084</v>
      </c>
      <c r="GO319" s="25" t="s">
        <v>1471</v>
      </c>
      <c r="GP319" s="14">
        <f t="shared" si="341"/>
        <v>400</v>
      </c>
      <c r="HK319" s="13">
        <v>314</v>
      </c>
      <c r="HL319" s="14">
        <f t="shared" si="361"/>
        <v>14</v>
      </c>
      <c r="HM319" s="14">
        <f t="shared" si="362"/>
        <v>2</v>
      </c>
      <c r="HN319" s="14">
        <f t="shared" si="363"/>
        <v>3</v>
      </c>
      <c r="HO319" s="14">
        <f t="shared" si="364"/>
        <v>3</v>
      </c>
      <c r="HP319" s="14" t="str">
        <f t="shared" si="365"/>
        <v>50级守护灵洗练-Q3-2</v>
      </c>
      <c r="HQ319" s="14">
        <f t="shared" si="366"/>
        <v>2033</v>
      </c>
      <c r="HR319" s="14">
        <f t="shared" si="367"/>
        <v>2</v>
      </c>
      <c r="HS319" s="14">
        <f t="shared" si="368"/>
        <v>1800</v>
      </c>
      <c r="HT319" s="14" t="str">
        <f t="shared" si="369"/>
        <v>DefExt</v>
      </c>
      <c r="HU319" s="14">
        <f t="shared" si="370"/>
        <v>14</v>
      </c>
      <c r="HV319" s="14">
        <f t="shared" si="371"/>
        <v>40</v>
      </c>
    </row>
    <row r="320" spans="151:230" ht="16.5" x14ac:dyDescent="0.2">
      <c r="EU320" s="13">
        <v>315</v>
      </c>
      <c r="EV320" s="14">
        <f t="shared" si="342"/>
        <v>1</v>
      </c>
      <c r="EW320" s="14">
        <f t="shared" si="343"/>
        <v>315</v>
      </c>
      <c r="EX320" s="14">
        <f t="shared" si="344"/>
        <v>42</v>
      </c>
      <c r="EY320" s="14">
        <f t="shared" si="319"/>
        <v>42</v>
      </c>
      <c r="EZ320" s="14">
        <f t="shared" si="320"/>
        <v>8</v>
      </c>
      <c r="FA320" s="14">
        <f t="shared" si="321"/>
        <v>120</v>
      </c>
      <c r="FB320" s="14">
        <f t="shared" si="322"/>
        <v>4</v>
      </c>
      <c r="FC320" s="14">
        <f t="shared" si="323"/>
        <v>4</v>
      </c>
      <c r="FD320" s="14">
        <f t="shared" si="324"/>
        <v>7</v>
      </c>
      <c r="FE320" s="14" t="b">
        <f t="shared" si="345"/>
        <v>1</v>
      </c>
      <c r="FF320" s="14">
        <f t="shared" si="325"/>
        <v>2008427</v>
      </c>
      <c r="FG320" s="13" t="str">
        <f t="shared" si="326"/>
        <v>120级-绝世套寄灵人の项链</v>
      </c>
      <c r="FH320" s="14">
        <f t="shared" si="327"/>
        <v>1</v>
      </c>
      <c r="FI320" s="14">
        <f t="shared" si="328"/>
        <v>4</v>
      </c>
      <c r="FJ320" s="14">
        <f t="shared" si="329"/>
        <v>120</v>
      </c>
      <c r="FK320" s="14">
        <v>1</v>
      </c>
      <c r="FL320" s="14">
        <f t="shared" si="330"/>
        <v>8</v>
      </c>
      <c r="FM320" s="14">
        <f t="shared" si="346"/>
        <v>7</v>
      </c>
      <c r="FN320" s="14">
        <f t="shared" si="331"/>
        <v>200843</v>
      </c>
      <c r="FO320" s="14">
        <f t="shared" si="332"/>
        <v>427</v>
      </c>
      <c r="FP320" s="14">
        <f t="shared" si="347"/>
        <v>515</v>
      </c>
      <c r="FQ320" s="14">
        <f t="shared" si="348"/>
        <v>325</v>
      </c>
      <c r="FR320" s="14">
        <f t="shared" si="349"/>
        <v>0</v>
      </c>
      <c r="FS320" s="14">
        <f t="shared" si="350"/>
        <v>25</v>
      </c>
      <c r="FT320" s="14">
        <f t="shared" si="351"/>
        <v>16</v>
      </c>
      <c r="FU320" s="14">
        <f t="shared" si="352"/>
        <v>0</v>
      </c>
      <c r="FV320" s="14">
        <f t="shared" si="333"/>
        <v>1084</v>
      </c>
      <c r="FW320" s="14">
        <f t="shared" si="334"/>
        <v>5</v>
      </c>
      <c r="FX320" s="14">
        <f t="shared" si="335"/>
        <v>1084</v>
      </c>
      <c r="FY320" s="25" t="str">
        <f t="shared" si="353"/>
        <v>icon_2008427</v>
      </c>
      <c r="GC320" s="14">
        <f t="shared" si="336"/>
        <v>1</v>
      </c>
      <c r="GD320" s="14">
        <f t="shared" si="337"/>
        <v>2</v>
      </c>
      <c r="GE320" s="14">
        <f t="shared" si="354"/>
        <v>427</v>
      </c>
      <c r="GF320" s="14" t="str">
        <f t="shared" si="338"/>
        <v>AtkExt</v>
      </c>
      <c r="GG320" s="14">
        <f t="shared" si="355"/>
        <v>515</v>
      </c>
      <c r="GH320" s="14">
        <f t="shared" si="356"/>
        <v>25</v>
      </c>
      <c r="GI320" s="14" t="str">
        <f t="shared" si="339"/>
        <v>DefExt</v>
      </c>
      <c r="GJ320" s="14">
        <f t="shared" si="357"/>
        <v>325</v>
      </c>
      <c r="GK320" s="14">
        <f t="shared" si="358"/>
        <v>16</v>
      </c>
      <c r="GL320" s="14">
        <f t="shared" si="340"/>
        <v>20840</v>
      </c>
      <c r="GM320" s="14">
        <f t="shared" si="359"/>
        <v>5</v>
      </c>
      <c r="GN320" s="14">
        <f t="shared" si="360"/>
        <v>1084</v>
      </c>
      <c r="GO320" s="25" t="s">
        <v>1471</v>
      </c>
      <c r="GP320" s="14">
        <f t="shared" si="341"/>
        <v>600</v>
      </c>
      <c r="HK320" s="13">
        <v>315</v>
      </c>
      <c r="HL320" s="14">
        <f t="shared" si="361"/>
        <v>14</v>
      </c>
      <c r="HM320" s="14">
        <f t="shared" si="362"/>
        <v>2</v>
      </c>
      <c r="HN320" s="14">
        <f t="shared" si="363"/>
        <v>3</v>
      </c>
      <c r="HO320" s="14">
        <f t="shared" si="364"/>
        <v>3</v>
      </c>
      <c r="HP320" s="14" t="str">
        <f t="shared" si="365"/>
        <v>50级守护灵洗练-Q3-3</v>
      </c>
      <c r="HQ320" s="14">
        <f t="shared" si="366"/>
        <v>2033</v>
      </c>
      <c r="HR320" s="14">
        <f t="shared" si="367"/>
        <v>3</v>
      </c>
      <c r="HS320" s="14">
        <f t="shared" si="368"/>
        <v>2000</v>
      </c>
      <c r="HT320" s="14" t="str">
        <f t="shared" si="369"/>
        <v>HPExt</v>
      </c>
      <c r="HU320" s="14">
        <f t="shared" si="370"/>
        <v>190</v>
      </c>
      <c r="HV320" s="14">
        <f t="shared" si="371"/>
        <v>544</v>
      </c>
    </row>
    <row r="321" spans="151:230" ht="16.5" x14ac:dyDescent="0.2">
      <c r="EU321" s="13">
        <v>316</v>
      </c>
      <c r="EV321" s="14">
        <f t="shared" si="342"/>
        <v>1</v>
      </c>
      <c r="EW321" s="14">
        <f t="shared" si="343"/>
        <v>316</v>
      </c>
      <c r="EX321" s="14">
        <f t="shared" si="344"/>
        <v>42</v>
      </c>
      <c r="EY321" s="14">
        <f t="shared" si="319"/>
        <v>42</v>
      </c>
      <c r="EZ321" s="14">
        <f t="shared" si="320"/>
        <v>8</v>
      </c>
      <c r="FA321" s="14">
        <f t="shared" si="321"/>
        <v>120</v>
      </c>
      <c r="FB321" s="14">
        <f t="shared" si="322"/>
        <v>4</v>
      </c>
      <c r="FC321" s="14">
        <f t="shared" si="323"/>
        <v>5</v>
      </c>
      <c r="FD321" s="14">
        <f t="shared" si="324"/>
        <v>8</v>
      </c>
      <c r="FE321" s="14" t="b">
        <f t="shared" si="345"/>
        <v>1</v>
      </c>
      <c r="FF321" s="14">
        <f t="shared" si="325"/>
        <v>2008428</v>
      </c>
      <c r="FG321" s="13" t="str">
        <f t="shared" si="326"/>
        <v>120级-绝世套寄灵人の戒指</v>
      </c>
      <c r="FH321" s="14">
        <f t="shared" si="327"/>
        <v>1</v>
      </c>
      <c r="FI321" s="14">
        <f t="shared" si="328"/>
        <v>4</v>
      </c>
      <c r="FJ321" s="14">
        <f t="shared" si="329"/>
        <v>120</v>
      </c>
      <c r="FK321" s="14">
        <v>1</v>
      </c>
      <c r="FL321" s="14">
        <f t="shared" si="330"/>
        <v>8</v>
      </c>
      <c r="FM321" s="14">
        <f t="shared" si="346"/>
        <v>8</v>
      </c>
      <c r="FN321" s="14">
        <f t="shared" si="331"/>
        <v>200843</v>
      </c>
      <c r="FO321" s="14">
        <f t="shared" si="332"/>
        <v>631</v>
      </c>
      <c r="FP321" s="14">
        <f t="shared" si="347"/>
        <v>515</v>
      </c>
      <c r="FQ321" s="14">
        <f t="shared" si="348"/>
        <v>0</v>
      </c>
      <c r="FR321" s="14">
        <f t="shared" si="349"/>
        <v>6015</v>
      </c>
      <c r="FS321" s="14">
        <f t="shared" si="350"/>
        <v>25</v>
      </c>
      <c r="FT321" s="14">
        <f t="shared" si="351"/>
        <v>0</v>
      </c>
      <c r="FU321" s="14">
        <f t="shared" si="352"/>
        <v>296</v>
      </c>
      <c r="FV321" s="14">
        <f t="shared" si="333"/>
        <v>1084</v>
      </c>
      <c r="FW321" s="14">
        <f t="shared" si="334"/>
        <v>5</v>
      </c>
      <c r="FX321" s="14">
        <f t="shared" si="335"/>
        <v>1084</v>
      </c>
      <c r="FY321" s="25" t="str">
        <f t="shared" si="353"/>
        <v>icon_2008428</v>
      </c>
      <c r="GC321" s="14">
        <f t="shared" si="336"/>
        <v>1</v>
      </c>
      <c r="GD321" s="14">
        <f t="shared" si="337"/>
        <v>3</v>
      </c>
      <c r="GE321" s="14">
        <f t="shared" si="354"/>
        <v>631</v>
      </c>
      <c r="GF321" s="14" t="str">
        <f t="shared" si="338"/>
        <v>AtkExt</v>
      </c>
      <c r="GG321" s="14">
        <f t="shared" si="355"/>
        <v>515</v>
      </c>
      <c r="GH321" s="14">
        <f t="shared" si="356"/>
        <v>25</v>
      </c>
      <c r="GI321" s="14" t="str">
        <f t="shared" si="339"/>
        <v>HPExt</v>
      </c>
      <c r="GJ321" s="14">
        <f t="shared" si="357"/>
        <v>6015</v>
      </c>
      <c r="GK321" s="14">
        <f t="shared" si="358"/>
        <v>296</v>
      </c>
      <c r="GL321" s="14">
        <f t="shared" si="340"/>
        <v>20840</v>
      </c>
      <c r="GM321" s="14">
        <f t="shared" si="359"/>
        <v>5</v>
      </c>
      <c r="GN321" s="14">
        <f t="shared" si="360"/>
        <v>1084</v>
      </c>
      <c r="GO321" s="25" t="s">
        <v>1471</v>
      </c>
      <c r="GP321" s="14">
        <f t="shared" si="341"/>
        <v>600</v>
      </c>
      <c r="HK321" s="13">
        <v>316</v>
      </c>
      <c r="HL321" s="14">
        <f t="shared" si="361"/>
        <v>14</v>
      </c>
      <c r="HM321" s="14">
        <f t="shared" si="362"/>
        <v>2</v>
      </c>
      <c r="HN321" s="14">
        <f t="shared" si="363"/>
        <v>3</v>
      </c>
      <c r="HO321" s="14">
        <f t="shared" si="364"/>
        <v>3</v>
      </c>
      <c r="HP321" s="14" t="str">
        <f t="shared" si="365"/>
        <v>50级守护灵洗练-Q3-4</v>
      </c>
      <c r="HQ321" s="14">
        <f t="shared" si="366"/>
        <v>2033</v>
      </c>
      <c r="HR321" s="14">
        <f t="shared" si="367"/>
        <v>4</v>
      </c>
      <c r="HS321" s="14">
        <f t="shared" si="368"/>
        <v>500</v>
      </c>
      <c r="HT321" s="14" t="str">
        <f t="shared" si="369"/>
        <v>AtkRate</v>
      </c>
      <c r="HU321" s="14">
        <f t="shared" si="370"/>
        <v>1.4E-2</v>
      </c>
      <c r="HV321" s="14">
        <f t="shared" si="371"/>
        <v>0.04</v>
      </c>
    </row>
    <row r="322" spans="151:230" ht="16.5" x14ac:dyDescent="0.2">
      <c r="EU322" s="13">
        <v>317</v>
      </c>
      <c r="EV322" s="14">
        <f t="shared" si="342"/>
        <v>1</v>
      </c>
      <c r="EW322" s="14">
        <f t="shared" si="343"/>
        <v>317</v>
      </c>
      <c r="EX322" s="14">
        <f t="shared" si="344"/>
        <v>43</v>
      </c>
      <c r="EY322" s="14">
        <f t="shared" si="319"/>
        <v>10</v>
      </c>
      <c r="EZ322" s="14">
        <f t="shared" si="320"/>
        <v>9</v>
      </c>
      <c r="FA322" s="14">
        <f t="shared" si="321"/>
        <v>130</v>
      </c>
      <c r="FB322" s="14">
        <f t="shared" si="322"/>
        <v>1</v>
      </c>
      <c r="FC322" s="14">
        <f t="shared" si="323"/>
        <v>1</v>
      </c>
      <c r="FD322" s="14">
        <f t="shared" si="324"/>
        <v>1</v>
      </c>
      <c r="FE322" s="14" t="b">
        <f t="shared" si="345"/>
        <v>0</v>
      </c>
      <c r="FF322" s="14">
        <f t="shared" si="325"/>
        <v>2009101</v>
      </c>
      <c r="FG322" s="13" t="str">
        <f t="shared" si="326"/>
        <v>130级-普通寄灵人の灵器</v>
      </c>
      <c r="FH322" s="14">
        <f t="shared" si="327"/>
        <v>1</v>
      </c>
      <c r="FI322" s="14">
        <f t="shared" si="328"/>
        <v>1</v>
      </c>
      <c r="FJ322" s="14">
        <f t="shared" si="329"/>
        <v>130</v>
      </c>
      <c r="FK322" s="14">
        <v>1</v>
      </c>
      <c r="FL322" s="14">
        <f t="shared" si="330"/>
        <v>9</v>
      </c>
      <c r="FM322" s="14">
        <f t="shared" si="346"/>
        <v>1</v>
      </c>
      <c r="FN322" s="14" t="str">
        <f t="shared" si="331"/>
        <v/>
      </c>
      <c r="FO322" s="14">
        <f t="shared" si="332"/>
        <v>225</v>
      </c>
      <c r="FP322" s="14">
        <f t="shared" si="347"/>
        <v>880</v>
      </c>
      <c r="FQ322" s="14">
        <f t="shared" si="348"/>
        <v>0</v>
      </c>
      <c r="FR322" s="14">
        <f t="shared" si="349"/>
        <v>0</v>
      </c>
      <c r="FS322" s="14">
        <f t="shared" si="350"/>
        <v>45</v>
      </c>
      <c r="FT322" s="14">
        <f t="shared" si="351"/>
        <v>0</v>
      </c>
      <c r="FU322" s="14">
        <f t="shared" si="352"/>
        <v>0</v>
      </c>
      <c r="FV322" s="14">
        <f t="shared" si="333"/>
        <v>1091</v>
      </c>
      <c r="FW322" s="14">
        <f t="shared" si="334"/>
        <v>0</v>
      </c>
      <c r="FX322" s="14" t="str">
        <f t="shared" si="335"/>
        <v/>
      </c>
      <c r="FY322" s="25" t="str">
        <f t="shared" si="353"/>
        <v>icon_2009101</v>
      </c>
      <c r="GC322" s="14">
        <f t="shared" si="336"/>
        <v>1</v>
      </c>
      <c r="GD322" s="14">
        <f t="shared" si="337"/>
        <v>0</v>
      </c>
      <c r="GE322" s="14">
        <f t="shared" si="354"/>
        <v>225</v>
      </c>
      <c r="GF322" s="14" t="str">
        <f t="shared" si="338"/>
        <v>AtkExt</v>
      </c>
      <c r="GG322" s="14">
        <f t="shared" si="355"/>
        <v>880</v>
      </c>
      <c r="GH322" s="14">
        <f t="shared" si="356"/>
        <v>45</v>
      </c>
      <c r="GI322" s="14" t="str">
        <f t="shared" si="339"/>
        <v/>
      </c>
      <c r="GJ322" s="14" t="str">
        <f t="shared" si="357"/>
        <v/>
      </c>
      <c r="GK322" s="14" t="str">
        <f t="shared" si="358"/>
        <v/>
      </c>
      <c r="GL322" s="14">
        <f t="shared" si="340"/>
        <v>20910</v>
      </c>
      <c r="GM322" s="14">
        <f t="shared" si="359"/>
        <v>0</v>
      </c>
      <c r="GN322" s="14" t="str">
        <f t="shared" si="360"/>
        <v/>
      </c>
      <c r="GO322" s="25" t="s">
        <v>1471</v>
      </c>
      <c r="GP322" s="14">
        <f t="shared" si="341"/>
        <v>100</v>
      </c>
      <c r="HK322" s="13">
        <v>317</v>
      </c>
      <c r="HL322" s="14">
        <f t="shared" si="361"/>
        <v>14</v>
      </c>
      <c r="HM322" s="14">
        <f t="shared" si="362"/>
        <v>2</v>
      </c>
      <c r="HN322" s="14">
        <f t="shared" si="363"/>
        <v>3</v>
      </c>
      <c r="HO322" s="14">
        <f t="shared" si="364"/>
        <v>3</v>
      </c>
      <c r="HP322" s="14" t="str">
        <f t="shared" si="365"/>
        <v>50级守护灵洗练-Q3-5</v>
      </c>
      <c r="HQ322" s="14">
        <f t="shared" si="366"/>
        <v>2033</v>
      </c>
      <c r="HR322" s="14">
        <f t="shared" si="367"/>
        <v>5</v>
      </c>
      <c r="HS322" s="14">
        <f t="shared" si="368"/>
        <v>400</v>
      </c>
      <c r="HT322" s="14" t="str">
        <f t="shared" si="369"/>
        <v>DefRate</v>
      </c>
      <c r="HU322" s="14">
        <f t="shared" si="370"/>
        <v>1.4E-2</v>
      </c>
      <c r="HV322" s="14">
        <f t="shared" si="371"/>
        <v>0.04</v>
      </c>
    </row>
    <row r="323" spans="151:230" ht="16.5" x14ac:dyDescent="0.2">
      <c r="EU323" s="13">
        <v>318</v>
      </c>
      <c r="EV323" s="14">
        <f t="shared" si="342"/>
        <v>1</v>
      </c>
      <c r="EW323" s="14">
        <f t="shared" si="343"/>
        <v>318</v>
      </c>
      <c r="EX323" s="14">
        <f t="shared" si="344"/>
        <v>43</v>
      </c>
      <c r="EY323" s="14">
        <f t="shared" si="319"/>
        <v>10</v>
      </c>
      <c r="EZ323" s="14">
        <f t="shared" si="320"/>
        <v>9</v>
      </c>
      <c r="FA323" s="14">
        <f t="shared" si="321"/>
        <v>130</v>
      </c>
      <c r="FB323" s="14">
        <f t="shared" si="322"/>
        <v>1</v>
      </c>
      <c r="FC323" s="14">
        <f t="shared" si="323"/>
        <v>2</v>
      </c>
      <c r="FD323" s="14">
        <f t="shared" si="324"/>
        <v>2</v>
      </c>
      <c r="FE323" s="14" t="b">
        <f t="shared" si="345"/>
        <v>0</v>
      </c>
      <c r="FF323" s="14">
        <f t="shared" si="325"/>
        <v>2009102</v>
      </c>
      <c r="FG323" s="13" t="str">
        <f t="shared" si="326"/>
        <v>130级-普通寄灵人の头盔</v>
      </c>
      <c r="FH323" s="14">
        <f t="shared" si="327"/>
        <v>1</v>
      </c>
      <c r="FI323" s="14">
        <f t="shared" si="328"/>
        <v>1</v>
      </c>
      <c r="FJ323" s="14">
        <f t="shared" si="329"/>
        <v>130</v>
      </c>
      <c r="FK323" s="14">
        <v>1</v>
      </c>
      <c r="FL323" s="14">
        <f t="shared" si="330"/>
        <v>9</v>
      </c>
      <c r="FM323" s="14">
        <f t="shared" si="346"/>
        <v>2</v>
      </c>
      <c r="FN323" s="14" t="str">
        <f t="shared" si="331"/>
        <v/>
      </c>
      <c r="FO323" s="14">
        <f t="shared" si="332"/>
        <v>110</v>
      </c>
      <c r="FP323" s="14">
        <f t="shared" si="347"/>
        <v>0</v>
      </c>
      <c r="FQ323" s="14">
        <f t="shared" si="348"/>
        <v>220</v>
      </c>
      <c r="FR323" s="14">
        <f t="shared" si="349"/>
        <v>0</v>
      </c>
      <c r="FS323" s="14">
        <f t="shared" si="350"/>
        <v>0</v>
      </c>
      <c r="FT323" s="14">
        <f t="shared" si="351"/>
        <v>11</v>
      </c>
      <c r="FU323" s="14">
        <f t="shared" si="352"/>
        <v>0</v>
      </c>
      <c r="FV323" s="14">
        <f t="shared" si="333"/>
        <v>1091</v>
      </c>
      <c r="FW323" s="14">
        <f t="shared" si="334"/>
        <v>0</v>
      </c>
      <c r="FX323" s="14" t="str">
        <f t="shared" si="335"/>
        <v/>
      </c>
      <c r="FY323" s="25" t="str">
        <f t="shared" si="353"/>
        <v>icon_2009102</v>
      </c>
      <c r="GC323" s="14">
        <f t="shared" si="336"/>
        <v>2</v>
      </c>
      <c r="GD323" s="14">
        <f t="shared" si="337"/>
        <v>0</v>
      </c>
      <c r="GE323" s="14">
        <f t="shared" si="354"/>
        <v>110</v>
      </c>
      <c r="GF323" s="14" t="str">
        <f t="shared" si="338"/>
        <v>DefExt</v>
      </c>
      <c r="GG323" s="14">
        <f t="shared" si="355"/>
        <v>220</v>
      </c>
      <c r="GH323" s="14">
        <f t="shared" si="356"/>
        <v>11</v>
      </c>
      <c r="GI323" s="14" t="str">
        <f t="shared" si="339"/>
        <v/>
      </c>
      <c r="GJ323" s="14" t="str">
        <f t="shared" si="357"/>
        <v/>
      </c>
      <c r="GK323" s="14" t="str">
        <f t="shared" si="358"/>
        <v/>
      </c>
      <c r="GL323" s="14">
        <f t="shared" si="340"/>
        <v>20910</v>
      </c>
      <c r="GM323" s="14">
        <f t="shared" si="359"/>
        <v>0</v>
      </c>
      <c r="GN323" s="14" t="str">
        <f t="shared" si="360"/>
        <v/>
      </c>
      <c r="GO323" s="25" t="s">
        <v>1471</v>
      </c>
      <c r="GP323" s="14">
        <f t="shared" si="341"/>
        <v>50</v>
      </c>
      <c r="HK323" s="13">
        <v>318</v>
      </c>
      <c r="HL323" s="14">
        <f t="shared" si="361"/>
        <v>14</v>
      </c>
      <c r="HM323" s="14">
        <f t="shared" si="362"/>
        <v>2</v>
      </c>
      <c r="HN323" s="14">
        <f t="shared" si="363"/>
        <v>3</v>
      </c>
      <c r="HO323" s="14">
        <f t="shared" si="364"/>
        <v>3</v>
      </c>
      <c r="HP323" s="14" t="str">
        <f t="shared" si="365"/>
        <v>50级守护灵洗练-Q3-6</v>
      </c>
      <c r="HQ323" s="14">
        <f t="shared" si="366"/>
        <v>2033</v>
      </c>
      <c r="HR323" s="14">
        <f t="shared" si="367"/>
        <v>6</v>
      </c>
      <c r="HS323" s="14">
        <f t="shared" si="368"/>
        <v>500</v>
      </c>
      <c r="HT323" s="14" t="str">
        <f t="shared" si="369"/>
        <v>HPRate</v>
      </c>
      <c r="HU323" s="14">
        <f t="shared" si="370"/>
        <v>1.4E-2</v>
      </c>
      <c r="HV323" s="14">
        <f t="shared" si="371"/>
        <v>0.04</v>
      </c>
    </row>
    <row r="324" spans="151:230" ht="16.5" x14ac:dyDescent="0.2">
      <c r="EU324" s="13">
        <v>319</v>
      </c>
      <c r="EV324" s="14">
        <f t="shared" si="342"/>
        <v>1</v>
      </c>
      <c r="EW324" s="14">
        <f t="shared" si="343"/>
        <v>319</v>
      </c>
      <c r="EX324" s="14">
        <f t="shared" si="344"/>
        <v>43</v>
      </c>
      <c r="EY324" s="14">
        <f t="shared" si="319"/>
        <v>10</v>
      </c>
      <c r="EZ324" s="14">
        <f t="shared" si="320"/>
        <v>9</v>
      </c>
      <c r="FA324" s="14">
        <f t="shared" si="321"/>
        <v>130</v>
      </c>
      <c r="FB324" s="14">
        <f t="shared" si="322"/>
        <v>1</v>
      </c>
      <c r="FC324" s="14">
        <f t="shared" si="323"/>
        <v>3</v>
      </c>
      <c r="FD324" s="14">
        <f t="shared" si="324"/>
        <v>3</v>
      </c>
      <c r="FE324" s="14" t="b">
        <f t="shared" si="345"/>
        <v>0</v>
      </c>
      <c r="FF324" s="14">
        <f t="shared" si="325"/>
        <v>2009103</v>
      </c>
      <c r="FG324" s="13" t="str">
        <f t="shared" si="326"/>
        <v>130级-普通寄灵人の铠甲</v>
      </c>
      <c r="FH324" s="14">
        <f t="shared" si="327"/>
        <v>1</v>
      </c>
      <c r="FI324" s="14">
        <f t="shared" si="328"/>
        <v>1</v>
      </c>
      <c r="FJ324" s="14">
        <f t="shared" si="329"/>
        <v>130</v>
      </c>
      <c r="FK324" s="14">
        <v>1</v>
      </c>
      <c r="FL324" s="14">
        <f t="shared" si="330"/>
        <v>9</v>
      </c>
      <c r="FM324" s="14">
        <f t="shared" si="346"/>
        <v>3</v>
      </c>
      <c r="FN324" s="14" t="str">
        <f t="shared" si="331"/>
        <v/>
      </c>
      <c r="FO324" s="14">
        <f t="shared" si="332"/>
        <v>165</v>
      </c>
      <c r="FP324" s="14">
        <f t="shared" si="347"/>
        <v>0</v>
      </c>
      <c r="FQ324" s="14">
        <f t="shared" si="348"/>
        <v>110</v>
      </c>
      <c r="FR324" s="14">
        <f t="shared" si="349"/>
        <v>2075</v>
      </c>
      <c r="FS324" s="14">
        <f t="shared" si="350"/>
        <v>0</v>
      </c>
      <c r="FT324" s="14">
        <f t="shared" si="351"/>
        <v>6</v>
      </c>
      <c r="FU324" s="14">
        <f t="shared" si="352"/>
        <v>105</v>
      </c>
      <c r="FV324" s="14">
        <f t="shared" si="333"/>
        <v>1091</v>
      </c>
      <c r="FW324" s="14">
        <f t="shared" si="334"/>
        <v>0</v>
      </c>
      <c r="FX324" s="14" t="str">
        <f t="shared" si="335"/>
        <v/>
      </c>
      <c r="FY324" s="25" t="str">
        <f t="shared" si="353"/>
        <v>icon_2009103</v>
      </c>
      <c r="GC324" s="14">
        <f t="shared" si="336"/>
        <v>2</v>
      </c>
      <c r="GD324" s="14">
        <f t="shared" si="337"/>
        <v>3</v>
      </c>
      <c r="GE324" s="14">
        <f t="shared" si="354"/>
        <v>165</v>
      </c>
      <c r="GF324" s="14" t="str">
        <f t="shared" si="338"/>
        <v>DefExt</v>
      </c>
      <c r="GG324" s="14">
        <f t="shared" si="355"/>
        <v>110</v>
      </c>
      <c r="GH324" s="14">
        <f t="shared" si="356"/>
        <v>6</v>
      </c>
      <c r="GI324" s="14" t="str">
        <f t="shared" si="339"/>
        <v>HPExt</v>
      </c>
      <c r="GJ324" s="14">
        <f t="shared" si="357"/>
        <v>2075</v>
      </c>
      <c r="GK324" s="14">
        <f t="shared" si="358"/>
        <v>105</v>
      </c>
      <c r="GL324" s="14">
        <f t="shared" si="340"/>
        <v>20910</v>
      </c>
      <c r="GM324" s="14">
        <f t="shared" si="359"/>
        <v>0</v>
      </c>
      <c r="GN324" s="14" t="str">
        <f t="shared" si="360"/>
        <v/>
      </c>
      <c r="GO324" s="25" t="s">
        <v>1471</v>
      </c>
      <c r="GP324" s="14">
        <f t="shared" si="341"/>
        <v>50</v>
      </c>
      <c r="HK324" s="13">
        <v>319</v>
      </c>
      <c r="HL324" s="14">
        <f t="shared" si="361"/>
        <v>14</v>
      </c>
      <c r="HM324" s="14">
        <f t="shared" si="362"/>
        <v>2</v>
      </c>
      <c r="HN324" s="14">
        <f t="shared" si="363"/>
        <v>3</v>
      </c>
      <c r="HO324" s="14">
        <f t="shared" si="364"/>
        <v>3</v>
      </c>
      <c r="HP324" s="14" t="str">
        <f t="shared" si="365"/>
        <v>50级守护灵洗练-Q3-7</v>
      </c>
      <c r="HQ324" s="14">
        <f t="shared" si="366"/>
        <v>2033</v>
      </c>
      <c r="HR324" s="14">
        <f t="shared" si="367"/>
        <v>7</v>
      </c>
      <c r="HS324" s="14">
        <f t="shared" si="368"/>
        <v>500</v>
      </c>
      <c r="HT324" s="14" t="str">
        <f t="shared" si="369"/>
        <v>Crit</v>
      </c>
      <c r="HU324" s="14">
        <f t="shared" si="370"/>
        <v>1.0999999999999999E-2</v>
      </c>
      <c r="HV324" s="14">
        <f t="shared" si="371"/>
        <v>0.03</v>
      </c>
    </row>
    <row r="325" spans="151:230" ht="16.5" x14ac:dyDescent="0.2">
      <c r="EU325" s="13">
        <v>320</v>
      </c>
      <c r="EV325" s="14">
        <f t="shared" si="342"/>
        <v>1</v>
      </c>
      <c r="EW325" s="14">
        <f t="shared" si="343"/>
        <v>320</v>
      </c>
      <c r="EX325" s="14">
        <f t="shared" si="344"/>
        <v>43</v>
      </c>
      <c r="EY325" s="14">
        <f t="shared" si="319"/>
        <v>10</v>
      </c>
      <c r="EZ325" s="14">
        <f t="shared" si="320"/>
        <v>9</v>
      </c>
      <c r="FA325" s="14">
        <f t="shared" si="321"/>
        <v>130</v>
      </c>
      <c r="FB325" s="14">
        <f t="shared" si="322"/>
        <v>1</v>
      </c>
      <c r="FC325" s="14">
        <f t="shared" si="323"/>
        <v>4</v>
      </c>
      <c r="FD325" s="14">
        <f t="shared" si="324"/>
        <v>4</v>
      </c>
      <c r="FE325" s="14" t="b">
        <f t="shared" si="345"/>
        <v>0</v>
      </c>
      <c r="FF325" s="14">
        <f t="shared" si="325"/>
        <v>2009104</v>
      </c>
      <c r="FG325" s="13" t="str">
        <f t="shared" si="326"/>
        <v>130级-普通寄灵人の裤子</v>
      </c>
      <c r="FH325" s="14">
        <f t="shared" si="327"/>
        <v>1</v>
      </c>
      <c r="FI325" s="14">
        <f t="shared" si="328"/>
        <v>1</v>
      </c>
      <c r="FJ325" s="14">
        <f t="shared" si="329"/>
        <v>130</v>
      </c>
      <c r="FK325" s="14">
        <v>1</v>
      </c>
      <c r="FL325" s="14">
        <f t="shared" si="330"/>
        <v>9</v>
      </c>
      <c r="FM325" s="14">
        <f t="shared" si="346"/>
        <v>4</v>
      </c>
      <c r="FN325" s="14" t="str">
        <f t="shared" si="331"/>
        <v/>
      </c>
      <c r="FO325" s="14">
        <f t="shared" si="332"/>
        <v>110</v>
      </c>
      <c r="FP325" s="14">
        <f t="shared" si="347"/>
        <v>0</v>
      </c>
      <c r="FQ325" s="14">
        <f t="shared" si="348"/>
        <v>220</v>
      </c>
      <c r="FR325" s="14">
        <f t="shared" si="349"/>
        <v>0</v>
      </c>
      <c r="FS325" s="14">
        <f t="shared" si="350"/>
        <v>0</v>
      </c>
      <c r="FT325" s="14">
        <f t="shared" si="351"/>
        <v>11</v>
      </c>
      <c r="FU325" s="14">
        <f t="shared" si="352"/>
        <v>0</v>
      </c>
      <c r="FV325" s="14">
        <f t="shared" si="333"/>
        <v>1091</v>
      </c>
      <c r="FW325" s="14">
        <f t="shared" si="334"/>
        <v>0</v>
      </c>
      <c r="FX325" s="14" t="str">
        <f t="shared" si="335"/>
        <v/>
      </c>
      <c r="FY325" s="25" t="str">
        <f t="shared" si="353"/>
        <v>icon_2009104</v>
      </c>
      <c r="GC325" s="14">
        <f t="shared" si="336"/>
        <v>2</v>
      </c>
      <c r="GD325" s="14">
        <f t="shared" si="337"/>
        <v>0</v>
      </c>
      <c r="GE325" s="14">
        <f t="shared" si="354"/>
        <v>110</v>
      </c>
      <c r="GF325" s="14" t="str">
        <f t="shared" si="338"/>
        <v>DefExt</v>
      </c>
      <c r="GG325" s="14">
        <f t="shared" si="355"/>
        <v>220</v>
      </c>
      <c r="GH325" s="14">
        <f t="shared" si="356"/>
        <v>11</v>
      </c>
      <c r="GI325" s="14" t="str">
        <f t="shared" si="339"/>
        <v/>
      </c>
      <c r="GJ325" s="14" t="str">
        <f t="shared" si="357"/>
        <v/>
      </c>
      <c r="GK325" s="14" t="str">
        <f t="shared" si="358"/>
        <v/>
      </c>
      <c r="GL325" s="14">
        <f t="shared" si="340"/>
        <v>20910</v>
      </c>
      <c r="GM325" s="14">
        <f t="shared" si="359"/>
        <v>0</v>
      </c>
      <c r="GN325" s="14" t="str">
        <f t="shared" si="360"/>
        <v/>
      </c>
      <c r="GO325" s="25" t="s">
        <v>1471</v>
      </c>
      <c r="GP325" s="14">
        <f t="shared" si="341"/>
        <v>50</v>
      </c>
      <c r="HK325" s="13">
        <v>320</v>
      </c>
      <c r="HL325" s="14">
        <f t="shared" si="361"/>
        <v>14</v>
      </c>
      <c r="HM325" s="14">
        <f t="shared" si="362"/>
        <v>2</v>
      </c>
      <c r="HN325" s="14">
        <f t="shared" si="363"/>
        <v>3</v>
      </c>
      <c r="HO325" s="14">
        <f t="shared" si="364"/>
        <v>3</v>
      </c>
      <c r="HP325" s="14" t="str">
        <f t="shared" si="365"/>
        <v>50级守护灵洗练-Q3-8</v>
      </c>
      <c r="HQ325" s="14">
        <f t="shared" si="366"/>
        <v>2033</v>
      </c>
      <c r="HR325" s="14">
        <f t="shared" si="367"/>
        <v>8</v>
      </c>
      <c r="HS325" s="14">
        <f t="shared" si="368"/>
        <v>500</v>
      </c>
      <c r="HT325" s="14" t="str">
        <f t="shared" si="369"/>
        <v>CritRate</v>
      </c>
      <c r="HU325" s="14">
        <f t="shared" si="370"/>
        <v>2.8000000000000001E-2</v>
      </c>
      <c r="HV325" s="14">
        <f t="shared" si="371"/>
        <v>0.08</v>
      </c>
    </row>
    <row r="326" spans="151:230" ht="16.5" x14ac:dyDescent="0.2">
      <c r="EU326" s="13">
        <v>321</v>
      </c>
      <c r="EV326" s="14">
        <f t="shared" si="342"/>
        <v>1</v>
      </c>
      <c r="EW326" s="14">
        <f t="shared" si="343"/>
        <v>321</v>
      </c>
      <c r="EX326" s="14">
        <f t="shared" si="344"/>
        <v>43</v>
      </c>
      <c r="EY326" s="14">
        <f t="shared" ref="EY326:EY389" si="372">INDEX($AK$7:$AK$64,EX326)</f>
        <v>10</v>
      </c>
      <c r="EZ326" s="14">
        <f t="shared" ref="EZ326:EZ389" si="373">(EV326-1)*$EX$3+FL326</f>
        <v>9</v>
      </c>
      <c r="FA326" s="14">
        <f t="shared" ref="FA326:FA389" si="374">INDEX(AI$7:AI$64,$EX326)</f>
        <v>130</v>
      </c>
      <c r="FB326" s="14">
        <f t="shared" ref="FB326:FB389" si="375">INDEX(AJ$7:AJ$64,$EX326)</f>
        <v>1</v>
      </c>
      <c r="FC326" s="14">
        <f t="shared" ref="FC326:FC389" si="376">EW326-INDEX($AQ$6:$AQ$64,EX326)</f>
        <v>5</v>
      </c>
      <c r="FD326" s="14">
        <f t="shared" ref="FD326:FD389" si="377">INDEX($AR$7:$AY$64,EX326,EW326-INDEX($AQ$6:$AQ$64,EX326))</f>
        <v>5</v>
      </c>
      <c r="FE326" s="14" t="b">
        <f t="shared" si="345"/>
        <v>0</v>
      </c>
      <c r="FF326" s="14">
        <f t="shared" ref="FF326:FF389" si="378">INDEX($AN$7:$AN$64,EX326)*10+FD326+(EV326-1)*100000+2000000</f>
        <v>2009105</v>
      </c>
      <c r="FG326" s="13" t="str">
        <f t="shared" ref="FG326:FG389" si="379">INDEX($AL$7:$AL$64,EX326)&amp;"-"&amp;INDEX($AM$7:$AM$64,EX326)&amp;INDEX($BC$6:$BC$7,EV326)&amp;INDEX($AR$3:$AY$3,FD326)</f>
        <v>130级-普通寄灵人の鞋子</v>
      </c>
      <c r="FH326" s="14">
        <f t="shared" ref="FH326:FH389" si="380">EV326</f>
        <v>1</v>
      </c>
      <c r="FI326" s="14">
        <f t="shared" ref="FI326:FI389" si="381">INDEX($AJ$7:$AJ$64,EX326)</f>
        <v>1</v>
      </c>
      <c r="FJ326" s="14">
        <f t="shared" ref="FJ326:FJ389" si="382">INDEX($AI$7:$AI$64,EX326)</f>
        <v>130</v>
      </c>
      <c r="FK326" s="14">
        <v>1</v>
      </c>
      <c r="FL326" s="14">
        <f t="shared" ref="FL326:FL389" si="383">INDEX(AH$7:AH$64,$EX326)</f>
        <v>9</v>
      </c>
      <c r="FM326" s="14">
        <f t="shared" si="346"/>
        <v>5</v>
      </c>
      <c r="FN326" s="14" t="str">
        <f t="shared" ref="FN326:FN389" si="384">IF(INDEX($AO$7:$AO$64,EX326)&gt;0,INDEX($AO$7:$AO$64,EX326) + (EV326-1)*10000+200000,"")</f>
        <v/>
      </c>
      <c r="FO326" s="14">
        <f t="shared" ref="FO326:FO389" si="385">INT(SUMPRODUCT($FS$3:$FU$3,FS326:FU326)*IF(FN326="",1,1.5))</f>
        <v>210</v>
      </c>
      <c r="FP326" s="14">
        <f t="shared" si="347"/>
        <v>0</v>
      </c>
      <c r="FQ326" s="14">
        <f t="shared" si="348"/>
        <v>0</v>
      </c>
      <c r="FR326" s="14">
        <f t="shared" si="349"/>
        <v>4150</v>
      </c>
      <c r="FS326" s="14">
        <f t="shared" si="350"/>
        <v>0</v>
      </c>
      <c r="FT326" s="14">
        <f t="shared" si="351"/>
        <v>0</v>
      </c>
      <c r="FU326" s="14">
        <f t="shared" si="352"/>
        <v>210</v>
      </c>
      <c r="FV326" s="14">
        <f t="shared" ref="FV326:FV389" si="386">FL326*10+FB326+EV326*1000</f>
        <v>1091</v>
      </c>
      <c r="FW326" s="14">
        <f t="shared" ref="FW326:FW389" si="387">INDEX($V$17:$Y$27,FL326,FB326)</f>
        <v>0</v>
      </c>
      <c r="FX326" s="14" t="str">
        <f t="shared" ref="FX326:FX389" si="388">IF(FB326&gt;2,FL326*10+FB326+EV326*1000,"")</f>
        <v/>
      </c>
      <c r="FY326" s="25" t="str">
        <f t="shared" si="353"/>
        <v>icon_2009105</v>
      </c>
      <c r="GC326" s="14">
        <f t="shared" ref="GC326:GC389" si="389">INDEX(BL$6:BL$13,$FM326)</f>
        <v>3</v>
      </c>
      <c r="GD326" s="14">
        <f t="shared" ref="GD326:GD389" si="390">INDEX(BM$6:BM$13,$FM326)</f>
        <v>0</v>
      </c>
      <c r="GE326" s="14">
        <f t="shared" si="354"/>
        <v>210</v>
      </c>
      <c r="GF326" s="14" t="str">
        <f t="shared" ref="GF326:GF389" si="391">INDEX($BH$3:$BJ$3,GC326)</f>
        <v>HPExt</v>
      </c>
      <c r="GG326" s="14">
        <f t="shared" si="355"/>
        <v>4150</v>
      </c>
      <c r="GH326" s="14">
        <f t="shared" si="356"/>
        <v>210</v>
      </c>
      <c r="GI326" s="14" t="str">
        <f t="shared" ref="GI326:GI389" si="392">IF(GD326&gt;0,INDEX($BH$3:$BJ$3,GD326),"")</f>
        <v/>
      </c>
      <c r="GJ326" s="14" t="str">
        <f t="shared" si="357"/>
        <v/>
      </c>
      <c r="GK326" s="14" t="str">
        <f t="shared" si="358"/>
        <v/>
      </c>
      <c r="GL326" s="14">
        <f t="shared" ref="GL326:GL389" si="393">20000+FL326*100+FB326*10</f>
        <v>20910</v>
      </c>
      <c r="GM326" s="14">
        <f t="shared" si="359"/>
        <v>0</v>
      </c>
      <c r="GN326" s="14" t="str">
        <f t="shared" si="360"/>
        <v/>
      </c>
      <c r="GO326" s="25" t="s">
        <v>1471</v>
      </c>
      <c r="GP326" s="14">
        <f t="shared" ref="GP326:GP389" si="394">ROUND(INDEX($AA$17:$AD$27,FL326,FB326)*INDEX($BK$6:$BK$13,FM326),0)</f>
        <v>50</v>
      </c>
      <c r="HK326" s="13">
        <v>321</v>
      </c>
      <c r="HL326" s="14">
        <f t="shared" si="361"/>
        <v>14</v>
      </c>
      <c r="HM326" s="14">
        <f t="shared" si="362"/>
        <v>2</v>
      </c>
      <c r="HN326" s="14">
        <f t="shared" si="363"/>
        <v>3</v>
      </c>
      <c r="HO326" s="14">
        <f t="shared" si="364"/>
        <v>3</v>
      </c>
      <c r="HP326" s="14" t="str">
        <f t="shared" si="365"/>
        <v>50级守护灵洗练-Q3-9</v>
      </c>
      <c r="HQ326" s="14">
        <f t="shared" si="366"/>
        <v>2033</v>
      </c>
      <c r="HR326" s="14">
        <f t="shared" si="367"/>
        <v>9</v>
      </c>
      <c r="HS326" s="14">
        <f t="shared" si="368"/>
        <v>500</v>
      </c>
      <c r="HT326" s="14" t="str">
        <f t="shared" si="369"/>
        <v>DefIgnor</v>
      </c>
      <c r="HU326" s="14">
        <f t="shared" si="370"/>
        <v>1.0999999999999999E-2</v>
      </c>
      <c r="HV326" s="14">
        <f t="shared" si="371"/>
        <v>0.03</v>
      </c>
    </row>
    <row r="327" spans="151:230" ht="16.5" x14ac:dyDescent="0.2">
      <c r="EU327" s="13">
        <v>322</v>
      </c>
      <c r="EV327" s="14">
        <f t="shared" ref="EV327:EV390" si="395">IF(EU327&lt;=$EV$3,1,2)</f>
        <v>1</v>
      </c>
      <c r="EW327" s="14">
        <f t="shared" ref="EW327:EW390" si="396">MOD(EU327-1,$EV$3)+1</f>
        <v>322</v>
      </c>
      <c r="EX327" s="14">
        <f t="shared" ref="EX327:EX390" si="397">MATCH(EW327-1,$AQ$6:$AQ$64,1)</f>
        <v>43</v>
      </c>
      <c r="EY327" s="14">
        <f t="shared" si="372"/>
        <v>10</v>
      </c>
      <c r="EZ327" s="14">
        <f t="shared" si="373"/>
        <v>9</v>
      </c>
      <c r="FA327" s="14">
        <f t="shared" si="374"/>
        <v>130</v>
      </c>
      <c r="FB327" s="14">
        <f t="shared" si="375"/>
        <v>1</v>
      </c>
      <c r="FC327" s="14">
        <f t="shared" si="376"/>
        <v>6</v>
      </c>
      <c r="FD327" s="14">
        <f t="shared" si="377"/>
        <v>6</v>
      </c>
      <c r="FE327" s="14" t="b">
        <f t="shared" ref="FE327:FE390" si="398">IF(FN327="",FALSE,TRUE)</f>
        <v>0</v>
      </c>
      <c r="FF327" s="14">
        <f t="shared" si="378"/>
        <v>2009106</v>
      </c>
      <c r="FG327" s="13" t="str">
        <f t="shared" si="379"/>
        <v>130级-普通寄灵人の护手</v>
      </c>
      <c r="FH327" s="14">
        <f t="shared" si="380"/>
        <v>1</v>
      </c>
      <c r="FI327" s="14">
        <f t="shared" si="381"/>
        <v>1</v>
      </c>
      <c r="FJ327" s="14">
        <f t="shared" si="382"/>
        <v>130</v>
      </c>
      <c r="FK327" s="14">
        <v>1</v>
      </c>
      <c r="FL327" s="14">
        <f t="shared" si="383"/>
        <v>9</v>
      </c>
      <c r="FM327" s="14">
        <f t="shared" ref="FM327:FM390" si="399">FD327</f>
        <v>6</v>
      </c>
      <c r="FN327" s="14" t="str">
        <f t="shared" si="384"/>
        <v/>
      </c>
      <c r="FO327" s="14">
        <f t="shared" si="385"/>
        <v>210</v>
      </c>
      <c r="FP327" s="14">
        <f t="shared" ref="FP327:FP390" si="400">ROUND(INDEX(M$6:M$27,$EZ327)*INDEX(BH$6:BH$13,$FD327)*INDEX($BR$6:$BR$9,FI327)/5,0)*5</f>
        <v>0</v>
      </c>
      <c r="FQ327" s="14">
        <f t="shared" ref="FQ327:FQ390" si="401">ROUND(INDEX(N$6:N$27,$EZ327)*INDEX(BI$6:BI$13,$FD327)*INDEX($BR$6:$BR$9,FI327)/5,0)*5</f>
        <v>0</v>
      </c>
      <c r="FR327" s="14">
        <f t="shared" ref="FR327:FR390" si="402">ROUND(INDEX(O$6:O$27,$EZ327)*INDEX(BJ$6:BJ$13,$FD327)*INDEX($BR$6:$BR$9,FI327)/5,0)*5</f>
        <v>4150</v>
      </c>
      <c r="FS327" s="14">
        <f t="shared" ref="FS327:FS390" si="403">ROUND(INDEX(S$6:S$27,$EZ327)*INDEX(BH$6:BH$13,$FD327)*INDEX($BR$6:$BR$9,FI327),0)</f>
        <v>0</v>
      </c>
      <c r="FT327" s="14">
        <f t="shared" ref="FT327:FT390" si="404">ROUND(INDEX(T$6:T$27,$EZ327)*INDEX(BI$6:BI$13,$FD327)*INDEX($BR$6:$BR$9,FI327),0)</f>
        <v>0</v>
      </c>
      <c r="FU327" s="14">
        <f t="shared" ref="FU327:FU390" si="405">ROUND(INDEX(U$6:U$27,$EZ327)*INDEX(BJ$6:BJ$13,$FD327)*INDEX($BR$6:$BR$9,FI327),0)</f>
        <v>210</v>
      </c>
      <c r="FV327" s="14">
        <f t="shared" si="386"/>
        <v>1091</v>
      </c>
      <c r="FW327" s="14">
        <f t="shared" si="387"/>
        <v>0</v>
      </c>
      <c r="FX327" s="14" t="str">
        <f t="shared" si="388"/>
        <v/>
      </c>
      <c r="FY327" s="25" t="str">
        <f t="shared" ref="FY327:FY390" si="406">IF(FE327,"icon_"&amp;FF327,FY$2&amp;INDEX($ES$6:$ES$7,EV327)*100000+FL327*1000+100+FD327)</f>
        <v>icon_2009106</v>
      </c>
      <c r="GC327" s="14">
        <f t="shared" si="389"/>
        <v>3</v>
      </c>
      <c r="GD327" s="14">
        <f t="shared" si="390"/>
        <v>0</v>
      </c>
      <c r="GE327" s="14">
        <f t="shared" ref="GE327:GE390" si="407">FO327</f>
        <v>210</v>
      </c>
      <c r="GF327" s="14" t="str">
        <f t="shared" si="391"/>
        <v>HPExt</v>
      </c>
      <c r="GG327" s="14">
        <f t="shared" ref="GG327:GG390" si="408">INDEX(FP327:FR327,GC327)</f>
        <v>4150</v>
      </c>
      <c r="GH327" s="14">
        <f t="shared" ref="GH327:GH390" si="409">INDEX(FS327:FU327,GC327)</f>
        <v>210</v>
      </c>
      <c r="GI327" s="14" t="str">
        <f t="shared" si="392"/>
        <v/>
      </c>
      <c r="GJ327" s="14" t="str">
        <f t="shared" ref="GJ327:GJ390" si="410">IF(GD327&gt;0,INDEX(FP327:FR327,GD327),"")</f>
        <v/>
      </c>
      <c r="GK327" s="14" t="str">
        <f t="shared" ref="GK327:GK390" si="411">IF(GD327&gt;0,INDEX(FS327:FU327,GD327),"")</f>
        <v/>
      </c>
      <c r="GL327" s="14">
        <f t="shared" si="393"/>
        <v>20910</v>
      </c>
      <c r="GM327" s="14">
        <f t="shared" ref="GM327:GM390" si="412">FW327</f>
        <v>0</v>
      </c>
      <c r="GN327" s="14" t="str">
        <f t="shared" ref="GN327:GN390" si="413">FX327</f>
        <v/>
      </c>
      <c r="GO327" s="25" t="s">
        <v>1471</v>
      </c>
      <c r="GP327" s="14">
        <f t="shared" si="394"/>
        <v>50</v>
      </c>
      <c r="HK327" s="13">
        <v>322</v>
      </c>
      <c r="HL327" s="14">
        <f t="shared" ref="HL327:HL390" si="414">INT((HK327-1)/24)+1</f>
        <v>14</v>
      </c>
      <c r="HM327" s="14">
        <f t="shared" ref="HM327:HM390" si="415">IF(HL327&gt;11,2,1)</f>
        <v>2</v>
      </c>
      <c r="HN327" s="14">
        <f t="shared" ref="HN327:HN390" si="416">HL327-(HM327-1)*11</f>
        <v>3</v>
      </c>
      <c r="HO327" s="14">
        <f t="shared" ref="HO327:HO390" si="417">IF(MOD(HK327-1,24)&gt;=12,4,3)</f>
        <v>3</v>
      </c>
      <c r="HP327" s="14" t="str">
        <f t="shared" ref="HP327:HP390" si="418">INDEX($DU$6:$DU$27,HL327)&amp;"洗练-Q"&amp;HO327&amp;"-"&amp;HR327</f>
        <v>50级守护灵洗练-Q3-10</v>
      </c>
      <c r="HQ327" s="14">
        <f t="shared" ref="HQ327:HQ390" si="419">HM327*1000+HN327*10+HO327</f>
        <v>2033</v>
      </c>
      <c r="HR327" s="14">
        <f t="shared" ref="HR327:HR390" si="420">MOD(HK327-1,12)+1</f>
        <v>10</v>
      </c>
      <c r="HS327" s="14">
        <f t="shared" ref="HS327:HS390" si="421">INDEX($DY$3:$EJ$3,HR327)</f>
        <v>500</v>
      </c>
      <c r="HT327" s="14" t="str">
        <f t="shared" ref="HT327:HT390" si="422">INDEX($DY$4:$EJ$4,HR327)</f>
        <v>Block</v>
      </c>
      <c r="HU327" s="14">
        <f t="shared" ref="HU327:HU390" si="423">IF(HV327&gt;1,INT(HV327*0.35),ROUND(HV327*0.35,3))</f>
        <v>1.0999999999999999E-2</v>
      </c>
      <c r="HV327" s="14">
        <f t="shared" ref="HV327:HV390" si="424">INDEX($DY$6:$EJ$27,HL327,HR327)</f>
        <v>0.03</v>
      </c>
    </row>
    <row r="328" spans="151:230" ht="16.5" x14ac:dyDescent="0.2">
      <c r="EU328" s="13">
        <v>323</v>
      </c>
      <c r="EV328" s="14">
        <f t="shared" si="395"/>
        <v>1</v>
      </c>
      <c r="EW328" s="14">
        <f t="shared" si="396"/>
        <v>323</v>
      </c>
      <c r="EX328" s="14">
        <f t="shared" si="397"/>
        <v>43</v>
      </c>
      <c r="EY328" s="14">
        <f t="shared" si="372"/>
        <v>10</v>
      </c>
      <c r="EZ328" s="14">
        <f t="shared" si="373"/>
        <v>9</v>
      </c>
      <c r="FA328" s="14">
        <f t="shared" si="374"/>
        <v>130</v>
      </c>
      <c r="FB328" s="14">
        <f t="shared" si="375"/>
        <v>1</v>
      </c>
      <c r="FC328" s="14">
        <f t="shared" si="376"/>
        <v>7</v>
      </c>
      <c r="FD328" s="14">
        <f t="shared" si="377"/>
        <v>7</v>
      </c>
      <c r="FE328" s="14" t="b">
        <f t="shared" si="398"/>
        <v>0</v>
      </c>
      <c r="FF328" s="14">
        <f t="shared" si="378"/>
        <v>2009107</v>
      </c>
      <c r="FG328" s="13" t="str">
        <f t="shared" si="379"/>
        <v>130级-普通寄灵人の项链</v>
      </c>
      <c r="FH328" s="14">
        <f t="shared" si="380"/>
        <v>1</v>
      </c>
      <c r="FI328" s="14">
        <f t="shared" si="381"/>
        <v>1</v>
      </c>
      <c r="FJ328" s="14">
        <f t="shared" si="382"/>
        <v>130</v>
      </c>
      <c r="FK328" s="14">
        <v>1</v>
      </c>
      <c r="FL328" s="14">
        <f t="shared" si="383"/>
        <v>9</v>
      </c>
      <c r="FM328" s="14">
        <f t="shared" si="399"/>
        <v>7</v>
      </c>
      <c r="FN328" s="14" t="str">
        <f t="shared" si="384"/>
        <v/>
      </c>
      <c r="FO328" s="14">
        <f t="shared" si="385"/>
        <v>165</v>
      </c>
      <c r="FP328" s="14">
        <f t="shared" si="400"/>
        <v>295</v>
      </c>
      <c r="FQ328" s="14">
        <f t="shared" si="401"/>
        <v>185</v>
      </c>
      <c r="FR328" s="14">
        <f t="shared" si="402"/>
        <v>0</v>
      </c>
      <c r="FS328" s="14">
        <f t="shared" si="403"/>
        <v>15</v>
      </c>
      <c r="FT328" s="14">
        <f t="shared" si="404"/>
        <v>9</v>
      </c>
      <c r="FU328" s="14">
        <f t="shared" si="405"/>
        <v>0</v>
      </c>
      <c r="FV328" s="14">
        <f t="shared" si="386"/>
        <v>1091</v>
      </c>
      <c r="FW328" s="14">
        <f t="shared" si="387"/>
        <v>0</v>
      </c>
      <c r="FX328" s="14" t="str">
        <f t="shared" si="388"/>
        <v/>
      </c>
      <c r="FY328" s="25" t="str">
        <f t="shared" si="406"/>
        <v>icon_2009107</v>
      </c>
      <c r="GC328" s="14">
        <f t="shared" si="389"/>
        <v>1</v>
      </c>
      <c r="GD328" s="14">
        <f t="shared" si="390"/>
        <v>2</v>
      </c>
      <c r="GE328" s="14">
        <f t="shared" si="407"/>
        <v>165</v>
      </c>
      <c r="GF328" s="14" t="str">
        <f t="shared" si="391"/>
        <v>AtkExt</v>
      </c>
      <c r="GG328" s="14">
        <f t="shared" si="408"/>
        <v>295</v>
      </c>
      <c r="GH328" s="14">
        <f t="shared" si="409"/>
        <v>15</v>
      </c>
      <c r="GI328" s="14" t="str">
        <f t="shared" si="392"/>
        <v>DefExt</v>
      </c>
      <c r="GJ328" s="14">
        <f t="shared" si="410"/>
        <v>185</v>
      </c>
      <c r="GK328" s="14">
        <f t="shared" si="411"/>
        <v>9</v>
      </c>
      <c r="GL328" s="14">
        <f t="shared" si="393"/>
        <v>20910</v>
      </c>
      <c r="GM328" s="14">
        <f t="shared" si="412"/>
        <v>0</v>
      </c>
      <c r="GN328" s="14" t="str">
        <f t="shared" si="413"/>
        <v/>
      </c>
      <c r="GO328" s="25" t="s">
        <v>1471</v>
      </c>
      <c r="GP328" s="14">
        <f t="shared" si="394"/>
        <v>75</v>
      </c>
      <c r="HK328" s="13">
        <v>323</v>
      </c>
      <c r="HL328" s="14">
        <f t="shared" si="414"/>
        <v>14</v>
      </c>
      <c r="HM328" s="14">
        <f t="shared" si="415"/>
        <v>2</v>
      </c>
      <c r="HN328" s="14">
        <f t="shared" si="416"/>
        <v>3</v>
      </c>
      <c r="HO328" s="14">
        <f t="shared" si="417"/>
        <v>3</v>
      </c>
      <c r="HP328" s="14" t="str">
        <f t="shared" si="418"/>
        <v>50级守护灵洗练-Q3-11</v>
      </c>
      <c r="HQ328" s="14">
        <f t="shared" si="419"/>
        <v>2033</v>
      </c>
      <c r="HR328" s="14">
        <f t="shared" si="420"/>
        <v>11</v>
      </c>
      <c r="HS328" s="14">
        <f t="shared" si="421"/>
        <v>500</v>
      </c>
      <c r="HT328" s="14" t="str">
        <f t="shared" si="422"/>
        <v>EffectHit</v>
      </c>
      <c r="HU328" s="14">
        <f t="shared" si="423"/>
        <v>1.7999999999999999E-2</v>
      </c>
      <c r="HV328" s="14">
        <f t="shared" si="424"/>
        <v>0.05</v>
      </c>
    </row>
    <row r="329" spans="151:230" ht="16.5" x14ac:dyDescent="0.2">
      <c r="EU329" s="13">
        <v>324</v>
      </c>
      <c r="EV329" s="14">
        <f t="shared" si="395"/>
        <v>1</v>
      </c>
      <c r="EW329" s="14">
        <f t="shared" si="396"/>
        <v>324</v>
      </c>
      <c r="EX329" s="14">
        <f t="shared" si="397"/>
        <v>43</v>
      </c>
      <c r="EY329" s="14">
        <f t="shared" si="372"/>
        <v>10</v>
      </c>
      <c r="EZ329" s="14">
        <f t="shared" si="373"/>
        <v>9</v>
      </c>
      <c r="FA329" s="14">
        <f t="shared" si="374"/>
        <v>130</v>
      </c>
      <c r="FB329" s="14">
        <f t="shared" si="375"/>
        <v>1</v>
      </c>
      <c r="FC329" s="14">
        <f t="shared" si="376"/>
        <v>8</v>
      </c>
      <c r="FD329" s="14">
        <f t="shared" si="377"/>
        <v>8</v>
      </c>
      <c r="FE329" s="14" t="b">
        <f t="shared" si="398"/>
        <v>0</v>
      </c>
      <c r="FF329" s="14">
        <f t="shared" si="378"/>
        <v>2009108</v>
      </c>
      <c r="FG329" s="13" t="str">
        <f t="shared" si="379"/>
        <v>130级-普通寄灵人の戒指</v>
      </c>
      <c r="FH329" s="14">
        <f t="shared" si="380"/>
        <v>1</v>
      </c>
      <c r="FI329" s="14">
        <f t="shared" si="381"/>
        <v>1</v>
      </c>
      <c r="FJ329" s="14">
        <f t="shared" si="382"/>
        <v>130</v>
      </c>
      <c r="FK329" s="14">
        <v>1</v>
      </c>
      <c r="FL329" s="14">
        <f t="shared" si="383"/>
        <v>9</v>
      </c>
      <c r="FM329" s="14">
        <f t="shared" si="399"/>
        <v>8</v>
      </c>
      <c r="FN329" s="14" t="str">
        <f t="shared" si="384"/>
        <v/>
      </c>
      <c r="FO329" s="14">
        <f t="shared" si="385"/>
        <v>250</v>
      </c>
      <c r="FP329" s="14">
        <f t="shared" si="400"/>
        <v>295</v>
      </c>
      <c r="FQ329" s="14">
        <f t="shared" si="401"/>
        <v>0</v>
      </c>
      <c r="FR329" s="14">
        <f t="shared" si="402"/>
        <v>3460</v>
      </c>
      <c r="FS329" s="14">
        <f t="shared" si="403"/>
        <v>15</v>
      </c>
      <c r="FT329" s="14">
        <f t="shared" si="404"/>
        <v>0</v>
      </c>
      <c r="FU329" s="14">
        <f t="shared" si="405"/>
        <v>175</v>
      </c>
      <c r="FV329" s="14">
        <f t="shared" si="386"/>
        <v>1091</v>
      </c>
      <c r="FW329" s="14">
        <f t="shared" si="387"/>
        <v>0</v>
      </c>
      <c r="FX329" s="14" t="str">
        <f t="shared" si="388"/>
        <v/>
      </c>
      <c r="FY329" s="25" t="str">
        <f t="shared" si="406"/>
        <v>icon_2009108</v>
      </c>
      <c r="GC329" s="14">
        <f t="shared" si="389"/>
        <v>1</v>
      </c>
      <c r="GD329" s="14">
        <f t="shared" si="390"/>
        <v>3</v>
      </c>
      <c r="GE329" s="14">
        <f t="shared" si="407"/>
        <v>250</v>
      </c>
      <c r="GF329" s="14" t="str">
        <f t="shared" si="391"/>
        <v>AtkExt</v>
      </c>
      <c r="GG329" s="14">
        <f t="shared" si="408"/>
        <v>295</v>
      </c>
      <c r="GH329" s="14">
        <f t="shared" si="409"/>
        <v>15</v>
      </c>
      <c r="GI329" s="14" t="str">
        <f t="shared" si="392"/>
        <v>HPExt</v>
      </c>
      <c r="GJ329" s="14">
        <f t="shared" si="410"/>
        <v>3460</v>
      </c>
      <c r="GK329" s="14">
        <f t="shared" si="411"/>
        <v>175</v>
      </c>
      <c r="GL329" s="14">
        <f t="shared" si="393"/>
        <v>20910</v>
      </c>
      <c r="GM329" s="14">
        <f t="shared" si="412"/>
        <v>0</v>
      </c>
      <c r="GN329" s="14" t="str">
        <f t="shared" si="413"/>
        <v/>
      </c>
      <c r="GO329" s="25" t="s">
        <v>1471</v>
      </c>
      <c r="GP329" s="14">
        <f t="shared" si="394"/>
        <v>75</v>
      </c>
      <c r="HK329" s="13">
        <v>324</v>
      </c>
      <c r="HL329" s="14">
        <f t="shared" si="414"/>
        <v>14</v>
      </c>
      <c r="HM329" s="14">
        <f t="shared" si="415"/>
        <v>2</v>
      </c>
      <c r="HN329" s="14">
        <f t="shared" si="416"/>
        <v>3</v>
      </c>
      <c r="HO329" s="14">
        <f t="shared" si="417"/>
        <v>3</v>
      </c>
      <c r="HP329" s="14" t="str">
        <f t="shared" si="418"/>
        <v>50级守护灵洗练-Q3-12</v>
      </c>
      <c r="HQ329" s="14">
        <f t="shared" si="419"/>
        <v>2033</v>
      </c>
      <c r="HR329" s="14">
        <f t="shared" si="420"/>
        <v>12</v>
      </c>
      <c r="HS329" s="14">
        <f t="shared" si="421"/>
        <v>500</v>
      </c>
      <c r="HT329" s="14" t="str">
        <f t="shared" si="422"/>
        <v>EffectResist</v>
      </c>
      <c r="HU329" s="14">
        <f t="shared" si="423"/>
        <v>1.7999999999999999E-2</v>
      </c>
      <c r="HV329" s="14">
        <f t="shared" si="424"/>
        <v>0.05</v>
      </c>
    </row>
    <row r="330" spans="151:230" ht="16.5" x14ac:dyDescent="0.2">
      <c r="EU330" s="13">
        <v>325</v>
      </c>
      <c r="EV330" s="14">
        <f t="shared" si="395"/>
        <v>1</v>
      </c>
      <c r="EW330" s="14">
        <f t="shared" si="396"/>
        <v>325</v>
      </c>
      <c r="EX330" s="14">
        <f t="shared" si="397"/>
        <v>44</v>
      </c>
      <c r="EY330" s="14">
        <f t="shared" si="372"/>
        <v>20</v>
      </c>
      <c r="EZ330" s="14">
        <f t="shared" si="373"/>
        <v>9</v>
      </c>
      <c r="FA330" s="14">
        <f t="shared" si="374"/>
        <v>130</v>
      </c>
      <c r="FB330" s="14">
        <f t="shared" si="375"/>
        <v>2</v>
      </c>
      <c r="FC330" s="14">
        <f t="shared" si="376"/>
        <v>1</v>
      </c>
      <c r="FD330" s="14">
        <f t="shared" si="377"/>
        <v>1</v>
      </c>
      <c r="FE330" s="14" t="b">
        <f t="shared" si="398"/>
        <v>0</v>
      </c>
      <c r="FF330" s="14">
        <f t="shared" si="378"/>
        <v>2009201</v>
      </c>
      <c r="FG330" s="13" t="str">
        <f t="shared" si="379"/>
        <v>130级-优秀寄灵人の灵器</v>
      </c>
      <c r="FH330" s="14">
        <f t="shared" si="380"/>
        <v>1</v>
      </c>
      <c r="FI330" s="14">
        <f t="shared" si="381"/>
        <v>2</v>
      </c>
      <c r="FJ330" s="14">
        <f t="shared" si="382"/>
        <v>130</v>
      </c>
      <c r="FK330" s="14">
        <v>1</v>
      </c>
      <c r="FL330" s="14">
        <f t="shared" si="383"/>
        <v>9</v>
      </c>
      <c r="FM330" s="14">
        <f t="shared" si="399"/>
        <v>1</v>
      </c>
      <c r="FN330" s="14" t="str">
        <f t="shared" si="384"/>
        <v/>
      </c>
      <c r="FO330" s="14">
        <f t="shared" si="385"/>
        <v>310</v>
      </c>
      <c r="FP330" s="14">
        <f t="shared" si="400"/>
        <v>1230</v>
      </c>
      <c r="FQ330" s="14">
        <f t="shared" si="401"/>
        <v>0</v>
      </c>
      <c r="FR330" s="14">
        <f t="shared" si="402"/>
        <v>0</v>
      </c>
      <c r="FS330" s="14">
        <f t="shared" si="403"/>
        <v>62</v>
      </c>
      <c r="FT330" s="14">
        <f t="shared" si="404"/>
        <v>0</v>
      </c>
      <c r="FU330" s="14">
        <f t="shared" si="405"/>
        <v>0</v>
      </c>
      <c r="FV330" s="14">
        <f t="shared" si="386"/>
        <v>1092</v>
      </c>
      <c r="FW330" s="14">
        <f t="shared" si="387"/>
        <v>0</v>
      </c>
      <c r="FX330" s="14" t="str">
        <f t="shared" si="388"/>
        <v/>
      </c>
      <c r="FY330" s="25" t="str">
        <f t="shared" si="406"/>
        <v>icon_2009101</v>
      </c>
      <c r="GC330" s="14">
        <f t="shared" si="389"/>
        <v>1</v>
      </c>
      <c r="GD330" s="14">
        <f t="shared" si="390"/>
        <v>0</v>
      </c>
      <c r="GE330" s="14">
        <f t="shared" si="407"/>
        <v>310</v>
      </c>
      <c r="GF330" s="14" t="str">
        <f t="shared" si="391"/>
        <v>AtkExt</v>
      </c>
      <c r="GG330" s="14">
        <f t="shared" si="408"/>
        <v>1230</v>
      </c>
      <c r="GH330" s="14">
        <f t="shared" si="409"/>
        <v>62</v>
      </c>
      <c r="GI330" s="14" t="str">
        <f t="shared" si="392"/>
        <v/>
      </c>
      <c r="GJ330" s="14" t="str">
        <f t="shared" si="410"/>
        <v/>
      </c>
      <c r="GK330" s="14" t="str">
        <f t="shared" si="411"/>
        <v/>
      </c>
      <c r="GL330" s="14">
        <f t="shared" si="393"/>
        <v>20920</v>
      </c>
      <c r="GM330" s="14">
        <f t="shared" si="412"/>
        <v>0</v>
      </c>
      <c r="GN330" s="14" t="str">
        <f t="shared" si="413"/>
        <v/>
      </c>
      <c r="GO330" s="25" t="s">
        <v>1471</v>
      </c>
      <c r="GP330" s="14">
        <f t="shared" si="394"/>
        <v>300</v>
      </c>
      <c r="HK330" s="13">
        <v>325</v>
      </c>
      <c r="HL330" s="14">
        <f t="shared" si="414"/>
        <v>14</v>
      </c>
      <c r="HM330" s="14">
        <f t="shared" si="415"/>
        <v>2</v>
      </c>
      <c r="HN330" s="14">
        <f t="shared" si="416"/>
        <v>3</v>
      </c>
      <c r="HO330" s="14">
        <f t="shared" si="417"/>
        <v>4</v>
      </c>
      <c r="HP330" s="14" t="str">
        <f t="shared" si="418"/>
        <v>50级守护灵洗练-Q4-1</v>
      </c>
      <c r="HQ330" s="14">
        <f t="shared" si="419"/>
        <v>2034</v>
      </c>
      <c r="HR330" s="14">
        <f t="shared" si="420"/>
        <v>1</v>
      </c>
      <c r="HS330" s="14">
        <f t="shared" si="421"/>
        <v>1800</v>
      </c>
      <c r="HT330" s="14" t="str">
        <f t="shared" si="422"/>
        <v>AtkExt</v>
      </c>
      <c r="HU330" s="14">
        <f t="shared" si="423"/>
        <v>27</v>
      </c>
      <c r="HV330" s="14">
        <f t="shared" si="424"/>
        <v>78</v>
      </c>
    </row>
    <row r="331" spans="151:230" ht="16.5" x14ac:dyDescent="0.2">
      <c r="EU331" s="13">
        <v>326</v>
      </c>
      <c r="EV331" s="14">
        <f t="shared" si="395"/>
        <v>1</v>
      </c>
      <c r="EW331" s="14">
        <f t="shared" si="396"/>
        <v>326</v>
      </c>
      <c r="EX331" s="14">
        <f t="shared" si="397"/>
        <v>44</v>
      </c>
      <c r="EY331" s="14">
        <f t="shared" si="372"/>
        <v>20</v>
      </c>
      <c r="EZ331" s="14">
        <f t="shared" si="373"/>
        <v>9</v>
      </c>
      <c r="FA331" s="14">
        <f t="shared" si="374"/>
        <v>130</v>
      </c>
      <c r="FB331" s="14">
        <f t="shared" si="375"/>
        <v>2</v>
      </c>
      <c r="FC331" s="14">
        <f t="shared" si="376"/>
        <v>2</v>
      </c>
      <c r="FD331" s="14">
        <f t="shared" si="377"/>
        <v>2</v>
      </c>
      <c r="FE331" s="14" t="b">
        <f t="shared" si="398"/>
        <v>0</v>
      </c>
      <c r="FF331" s="14">
        <f t="shared" si="378"/>
        <v>2009202</v>
      </c>
      <c r="FG331" s="13" t="str">
        <f t="shared" si="379"/>
        <v>130级-优秀寄灵人の头盔</v>
      </c>
      <c r="FH331" s="14">
        <f t="shared" si="380"/>
        <v>1</v>
      </c>
      <c r="FI331" s="14">
        <f t="shared" si="381"/>
        <v>2</v>
      </c>
      <c r="FJ331" s="14">
        <f t="shared" si="382"/>
        <v>130</v>
      </c>
      <c r="FK331" s="14">
        <v>1</v>
      </c>
      <c r="FL331" s="14">
        <f t="shared" si="383"/>
        <v>9</v>
      </c>
      <c r="FM331" s="14">
        <f t="shared" si="399"/>
        <v>2</v>
      </c>
      <c r="FN331" s="14" t="str">
        <f t="shared" si="384"/>
        <v/>
      </c>
      <c r="FO331" s="14">
        <f t="shared" si="385"/>
        <v>160</v>
      </c>
      <c r="FP331" s="14">
        <f t="shared" si="400"/>
        <v>0</v>
      </c>
      <c r="FQ331" s="14">
        <f t="shared" si="401"/>
        <v>310</v>
      </c>
      <c r="FR331" s="14">
        <f t="shared" si="402"/>
        <v>0</v>
      </c>
      <c r="FS331" s="14">
        <f t="shared" si="403"/>
        <v>0</v>
      </c>
      <c r="FT331" s="14">
        <f t="shared" si="404"/>
        <v>16</v>
      </c>
      <c r="FU331" s="14">
        <f t="shared" si="405"/>
        <v>0</v>
      </c>
      <c r="FV331" s="14">
        <f t="shared" si="386"/>
        <v>1092</v>
      </c>
      <c r="FW331" s="14">
        <f t="shared" si="387"/>
        <v>0</v>
      </c>
      <c r="FX331" s="14" t="str">
        <f t="shared" si="388"/>
        <v/>
      </c>
      <c r="FY331" s="25" t="str">
        <f t="shared" si="406"/>
        <v>icon_2009102</v>
      </c>
      <c r="GC331" s="14">
        <f t="shared" si="389"/>
        <v>2</v>
      </c>
      <c r="GD331" s="14">
        <f t="shared" si="390"/>
        <v>0</v>
      </c>
      <c r="GE331" s="14">
        <f t="shared" si="407"/>
        <v>160</v>
      </c>
      <c r="GF331" s="14" t="str">
        <f t="shared" si="391"/>
        <v>DefExt</v>
      </c>
      <c r="GG331" s="14">
        <f t="shared" si="408"/>
        <v>310</v>
      </c>
      <c r="GH331" s="14">
        <f t="shared" si="409"/>
        <v>16</v>
      </c>
      <c r="GI331" s="14" t="str">
        <f t="shared" si="392"/>
        <v/>
      </c>
      <c r="GJ331" s="14" t="str">
        <f t="shared" si="410"/>
        <v/>
      </c>
      <c r="GK331" s="14" t="str">
        <f t="shared" si="411"/>
        <v/>
      </c>
      <c r="GL331" s="14">
        <f t="shared" si="393"/>
        <v>20920</v>
      </c>
      <c r="GM331" s="14">
        <f t="shared" si="412"/>
        <v>0</v>
      </c>
      <c r="GN331" s="14" t="str">
        <f t="shared" si="413"/>
        <v/>
      </c>
      <c r="GO331" s="25" t="s">
        <v>1471</v>
      </c>
      <c r="GP331" s="14">
        <f t="shared" si="394"/>
        <v>150</v>
      </c>
      <c r="HK331" s="13">
        <v>326</v>
      </c>
      <c r="HL331" s="14">
        <f t="shared" si="414"/>
        <v>14</v>
      </c>
      <c r="HM331" s="14">
        <f t="shared" si="415"/>
        <v>2</v>
      </c>
      <c r="HN331" s="14">
        <f t="shared" si="416"/>
        <v>3</v>
      </c>
      <c r="HO331" s="14">
        <f t="shared" si="417"/>
        <v>4</v>
      </c>
      <c r="HP331" s="14" t="str">
        <f t="shared" si="418"/>
        <v>50级守护灵洗练-Q4-2</v>
      </c>
      <c r="HQ331" s="14">
        <f t="shared" si="419"/>
        <v>2034</v>
      </c>
      <c r="HR331" s="14">
        <f t="shared" si="420"/>
        <v>2</v>
      </c>
      <c r="HS331" s="14">
        <f t="shared" si="421"/>
        <v>1800</v>
      </c>
      <c r="HT331" s="14" t="str">
        <f t="shared" si="422"/>
        <v>DefExt</v>
      </c>
      <c r="HU331" s="14">
        <f t="shared" si="423"/>
        <v>14</v>
      </c>
      <c r="HV331" s="14">
        <f t="shared" si="424"/>
        <v>40</v>
      </c>
    </row>
    <row r="332" spans="151:230" ht="16.5" x14ac:dyDescent="0.2">
      <c r="EU332" s="13">
        <v>327</v>
      </c>
      <c r="EV332" s="14">
        <f t="shared" si="395"/>
        <v>1</v>
      </c>
      <c r="EW332" s="14">
        <f t="shared" si="396"/>
        <v>327</v>
      </c>
      <c r="EX332" s="14">
        <f t="shared" si="397"/>
        <v>44</v>
      </c>
      <c r="EY332" s="14">
        <f t="shared" si="372"/>
        <v>20</v>
      </c>
      <c r="EZ332" s="14">
        <f t="shared" si="373"/>
        <v>9</v>
      </c>
      <c r="FA332" s="14">
        <f t="shared" si="374"/>
        <v>130</v>
      </c>
      <c r="FB332" s="14">
        <f t="shared" si="375"/>
        <v>2</v>
      </c>
      <c r="FC332" s="14">
        <f t="shared" si="376"/>
        <v>3</v>
      </c>
      <c r="FD332" s="14">
        <f t="shared" si="377"/>
        <v>3</v>
      </c>
      <c r="FE332" s="14" t="b">
        <f t="shared" si="398"/>
        <v>0</v>
      </c>
      <c r="FF332" s="14">
        <f t="shared" si="378"/>
        <v>2009203</v>
      </c>
      <c r="FG332" s="13" t="str">
        <f t="shared" si="379"/>
        <v>130级-优秀寄灵人の铠甲</v>
      </c>
      <c r="FH332" s="14">
        <f t="shared" si="380"/>
        <v>1</v>
      </c>
      <c r="FI332" s="14">
        <f t="shared" si="381"/>
        <v>2</v>
      </c>
      <c r="FJ332" s="14">
        <f t="shared" si="382"/>
        <v>130</v>
      </c>
      <c r="FK332" s="14">
        <v>1</v>
      </c>
      <c r="FL332" s="14">
        <f t="shared" si="383"/>
        <v>9</v>
      </c>
      <c r="FM332" s="14">
        <f t="shared" si="399"/>
        <v>3</v>
      </c>
      <c r="FN332" s="14" t="str">
        <f t="shared" si="384"/>
        <v/>
      </c>
      <c r="FO332" s="14">
        <f t="shared" si="385"/>
        <v>227</v>
      </c>
      <c r="FP332" s="14">
        <f t="shared" si="400"/>
        <v>0</v>
      </c>
      <c r="FQ332" s="14">
        <f t="shared" si="401"/>
        <v>155</v>
      </c>
      <c r="FR332" s="14">
        <f t="shared" si="402"/>
        <v>2905</v>
      </c>
      <c r="FS332" s="14">
        <f t="shared" si="403"/>
        <v>0</v>
      </c>
      <c r="FT332" s="14">
        <f t="shared" si="404"/>
        <v>8</v>
      </c>
      <c r="FU332" s="14">
        <f t="shared" si="405"/>
        <v>147</v>
      </c>
      <c r="FV332" s="14">
        <f t="shared" si="386"/>
        <v>1092</v>
      </c>
      <c r="FW332" s="14">
        <f t="shared" si="387"/>
        <v>0</v>
      </c>
      <c r="FX332" s="14" t="str">
        <f t="shared" si="388"/>
        <v/>
      </c>
      <c r="FY332" s="25" t="str">
        <f t="shared" si="406"/>
        <v>icon_2009103</v>
      </c>
      <c r="GC332" s="14">
        <f t="shared" si="389"/>
        <v>2</v>
      </c>
      <c r="GD332" s="14">
        <f t="shared" si="390"/>
        <v>3</v>
      </c>
      <c r="GE332" s="14">
        <f t="shared" si="407"/>
        <v>227</v>
      </c>
      <c r="GF332" s="14" t="str">
        <f t="shared" si="391"/>
        <v>DefExt</v>
      </c>
      <c r="GG332" s="14">
        <f t="shared" si="408"/>
        <v>155</v>
      </c>
      <c r="GH332" s="14">
        <f t="shared" si="409"/>
        <v>8</v>
      </c>
      <c r="GI332" s="14" t="str">
        <f t="shared" si="392"/>
        <v>HPExt</v>
      </c>
      <c r="GJ332" s="14">
        <f t="shared" si="410"/>
        <v>2905</v>
      </c>
      <c r="GK332" s="14">
        <f t="shared" si="411"/>
        <v>147</v>
      </c>
      <c r="GL332" s="14">
        <f t="shared" si="393"/>
        <v>20920</v>
      </c>
      <c r="GM332" s="14">
        <f t="shared" si="412"/>
        <v>0</v>
      </c>
      <c r="GN332" s="14" t="str">
        <f t="shared" si="413"/>
        <v/>
      </c>
      <c r="GO332" s="25" t="s">
        <v>1471</v>
      </c>
      <c r="GP332" s="14">
        <f t="shared" si="394"/>
        <v>150</v>
      </c>
      <c r="HK332" s="13">
        <v>327</v>
      </c>
      <c r="HL332" s="14">
        <f t="shared" si="414"/>
        <v>14</v>
      </c>
      <c r="HM332" s="14">
        <f t="shared" si="415"/>
        <v>2</v>
      </c>
      <c r="HN332" s="14">
        <f t="shared" si="416"/>
        <v>3</v>
      </c>
      <c r="HO332" s="14">
        <f t="shared" si="417"/>
        <v>4</v>
      </c>
      <c r="HP332" s="14" t="str">
        <f t="shared" si="418"/>
        <v>50级守护灵洗练-Q4-3</v>
      </c>
      <c r="HQ332" s="14">
        <f t="shared" si="419"/>
        <v>2034</v>
      </c>
      <c r="HR332" s="14">
        <f t="shared" si="420"/>
        <v>3</v>
      </c>
      <c r="HS332" s="14">
        <f t="shared" si="421"/>
        <v>2000</v>
      </c>
      <c r="HT332" s="14" t="str">
        <f t="shared" si="422"/>
        <v>HPExt</v>
      </c>
      <c r="HU332" s="14">
        <f t="shared" si="423"/>
        <v>190</v>
      </c>
      <c r="HV332" s="14">
        <f t="shared" si="424"/>
        <v>544</v>
      </c>
    </row>
    <row r="333" spans="151:230" ht="16.5" x14ac:dyDescent="0.2">
      <c r="EU333" s="13">
        <v>328</v>
      </c>
      <c r="EV333" s="14">
        <f t="shared" si="395"/>
        <v>1</v>
      </c>
      <c r="EW333" s="14">
        <f t="shared" si="396"/>
        <v>328</v>
      </c>
      <c r="EX333" s="14">
        <f t="shared" si="397"/>
        <v>44</v>
      </c>
      <c r="EY333" s="14">
        <f t="shared" si="372"/>
        <v>20</v>
      </c>
      <c r="EZ333" s="14">
        <f t="shared" si="373"/>
        <v>9</v>
      </c>
      <c r="FA333" s="14">
        <f t="shared" si="374"/>
        <v>130</v>
      </c>
      <c r="FB333" s="14">
        <f t="shared" si="375"/>
        <v>2</v>
      </c>
      <c r="FC333" s="14">
        <f t="shared" si="376"/>
        <v>4</v>
      </c>
      <c r="FD333" s="14">
        <f t="shared" si="377"/>
        <v>4</v>
      </c>
      <c r="FE333" s="14" t="b">
        <f t="shared" si="398"/>
        <v>0</v>
      </c>
      <c r="FF333" s="14">
        <f t="shared" si="378"/>
        <v>2009204</v>
      </c>
      <c r="FG333" s="13" t="str">
        <f t="shared" si="379"/>
        <v>130级-优秀寄灵人の裤子</v>
      </c>
      <c r="FH333" s="14">
        <f t="shared" si="380"/>
        <v>1</v>
      </c>
      <c r="FI333" s="14">
        <f t="shared" si="381"/>
        <v>2</v>
      </c>
      <c r="FJ333" s="14">
        <f t="shared" si="382"/>
        <v>130</v>
      </c>
      <c r="FK333" s="14">
        <v>1</v>
      </c>
      <c r="FL333" s="14">
        <f t="shared" si="383"/>
        <v>9</v>
      </c>
      <c r="FM333" s="14">
        <f t="shared" si="399"/>
        <v>4</v>
      </c>
      <c r="FN333" s="14" t="str">
        <f t="shared" si="384"/>
        <v/>
      </c>
      <c r="FO333" s="14">
        <f t="shared" si="385"/>
        <v>160</v>
      </c>
      <c r="FP333" s="14">
        <f t="shared" si="400"/>
        <v>0</v>
      </c>
      <c r="FQ333" s="14">
        <f t="shared" si="401"/>
        <v>310</v>
      </c>
      <c r="FR333" s="14">
        <f t="shared" si="402"/>
        <v>0</v>
      </c>
      <c r="FS333" s="14">
        <f t="shared" si="403"/>
        <v>0</v>
      </c>
      <c r="FT333" s="14">
        <f t="shared" si="404"/>
        <v>16</v>
      </c>
      <c r="FU333" s="14">
        <f t="shared" si="405"/>
        <v>0</v>
      </c>
      <c r="FV333" s="14">
        <f t="shared" si="386"/>
        <v>1092</v>
      </c>
      <c r="FW333" s="14">
        <f t="shared" si="387"/>
        <v>0</v>
      </c>
      <c r="FX333" s="14" t="str">
        <f t="shared" si="388"/>
        <v/>
      </c>
      <c r="FY333" s="25" t="str">
        <f t="shared" si="406"/>
        <v>icon_2009104</v>
      </c>
      <c r="GC333" s="14">
        <f t="shared" si="389"/>
        <v>2</v>
      </c>
      <c r="GD333" s="14">
        <f t="shared" si="390"/>
        <v>0</v>
      </c>
      <c r="GE333" s="14">
        <f t="shared" si="407"/>
        <v>160</v>
      </c>
      <c r="GF333" s="14" t="str">
        <f t="shared" si="391"/>
        <v>DefExt</v>
      </c>
      <c r="GG333" s="14">
        <f t="shared" si="408"/>
        <v>310</v>
      </c>
      <c r="GH333" s="14">
        <f t="shared" si="409"/>
        <v>16</v>
      </c>
      <c r="GI333" s="14" t="str">
        <f t="shared" si="392"/>
        <v/>
      </c>
      <c r="GJ333" s="14" t="str">
        <f t="shared" si="410"/>
        <v/>
      </c>
      <c r="GK333" s="14" t="str">
        <f t="shared" si="411"/>
        <v/>
      </c>
      <c r="GL333" s="14">
        <f t="shared" si="393"/>
        <v>20920</v>
      </c>
      <c r="GM333" s="14">
        <f t="shared" si="412"/>
        <v>0</v>
      </c>
      <c r="GN333" s="14" t="str">
        <f t="shared" si="413"/>
        <v/>
      </c>
      <c r="GO333" s="25" t="s">
        <v>1471</v>
      </c>
      <c r="GP333" s="14">
        <f t="shared" si="394"/>
        <v>150</v>
      </c>
      <c r="HK333" s="13">
        <v>328</v>
      </c>
      <c r="HL333" s="14">
        <f t="shared" si="414"/>
        <v>14</v>
      </c>
      <c r="HM333" s="14">
        <f t="shared" si="415"/>
        <v>2</v>
      </c>
      <c r="HN333" s="14">
        <f t="shared" si="416"/>
        <v>3</v>
      </c>
      <c r="HO333" s="14">
        <f t="shared" si="417"/>
        <v>4</v>
      </c>
      <c r="HP333" s="14" t="str">
        <f t="shared" si="418"/>
        <v>50级守护灵洗练-Q4-4</v>
      </c>
      <c r="HQ333" s="14">
        <f t="shared" si="419"/>
        <v>2034</v>
      </c>
      <c r="HR333" s="14">
        <f t="shared" si="420"/>
        <v>4</v>
      </c>
      <c r="HS333" s="14">
        <f t="shared" si="421"/>
        <v>500</v>
      </c>
      <c r="HT333" s="14" t="str">
        <f t="shared" si="422"/>
        <v>AtkRate</v>
      </c>
      <c r="HU333" s="14">
        <f t="shared" si="423"/>
        <v>1.4E-2</v>
      </c>
      <c r="HV333" s="14">
        <f t="shared" si="424"/>
        <v>0.04</v>
      </c>
    </row>
    <row r="334" spans="151:230" ht="16.5" x14ac:dyDescent="0.2">
      <c r="EU334" s="13">
        <v>329</v>
      </c>
      <c r="EV334" s="14">
        <f t="shared" si="395"/>
        <v>1</v>
      </c>
      <c r="EW334" s="14">
        <f t="shared" si="396"/>
        <v>329</v>
      </c>
      <c r="EX334" s="14">
        <f t="shared" si="397"/>
        <v>44</v>
      </c>
      <c r="EY334" s="14">
        <f t="shared" si="372"/>
        <v>20</v>
      </c>
      <c r="EZ334" s="14">
        <f t="shared" si="373"/>
        <v>9</v>
      </c>
      <c r="FA334" s="14">
        <f t="shared" si="374"/>
        <v>130</v>
      </c>
      <c r="FB334" s="14">
        <f t="shared" si="375"/>
        <v>2</v>
      </c>
      <c r="FC334" s="14">
        <f t="shared" si="376"/>
        <v>5</v>
      </c>
      <c r="FD334" s="14">
        <f t="shared" si="377"/>
        <v>5</v>
      </c>
      <c r="FE334" s="14" t="b">
        <f t="shared" si="398"/>
        <v>0</v>
      </c>
      <c r="FF334" s="14">
        <f t="shared" si="378"/>
        <v>2009205</v>
      </c>
      <c r="FG334" s="13" t="str">
        <f t="shared" si="379"/>
        <v>130级-优秀寄灵人の鞋子</v>
      </c>
      <c r="FH334" s="14">
        <f t="shared" si="380"/>
        <v>1</v>
      </c>
      <c r="FI334" s="14">
        <f t="shared" si="381"/>
        <v>2</v>
      </c>
      <c r="FJ334" s="14">
        <f t="shared" si="382"/>
        <v>130</v>
      </c>
      <c r="FK334" s="14">
        <v>1</v>
      </c>
      <c r="FL334" s="14">
        <f t="shared" si="383"/>
        <v>9</v>
      </c>
      <c r="FM334" s="14">
        <f t="shared" si="399"/>
        <v>5</v>
      </c>
      <c r="FN334" s="14" t="str">
        <f t="shared" si="384"/>
        <v/>
      </c>
      <c r="FO334" s="14">
        <f t="shared" si="385"/>
        <v>295</v>
      </c>
      <c r="FP334" s="14">
        <f t="shared" si="400"/>
        <v>0</v>
      </c>
      <c r="FQ334" s="14">
        <f t="shared" si="401"/>
        <v>0</v>
      </c>
      <c r="FR334" s="14">
        <f t="shared" si="402"/>
        <v>5810</v>
      </c>
      <c r="FS334" s="14">
        <f t="shared" si="403"/>
        <v>0</v>
      </c>
      <c r="FT334" s="14">
        <f t="shared" si="404"/>
        <v>0</v>
      </c>
      <c r="FU334" s="14">
        <f t="shared" si="405"/>
        <v>295</v>
      </c>
      <c r="FV334" s="14">
        <f t="shared" si="386"/>
        <v>1092</v>
      </c>
      <c r="FW334" s="14">
        <f t="shared" si="387"/>
        <v>0</v>
      </c>
      <c r="FX334" s="14" t="str">
        <f t="shared" si="388"/>
        <v/>
      </c>
      <c r="FY334" s="25" t="str">
        <f t="shared" si="406"/>
        <v>icon_2009105</v>
      </c>
      <c r="GC334" s="14">
        <f t="shared" si="389"/>
        <v>3</v>
      </c>
      <c r="GD334" s="14">
        <f t="shared" si="390"/>
        <v>0</v>
      </c>
      <c r="GE334" s="14">
        <f t="shared" si="407"/>
        <v>295</v>
      </c>
      <c r="GF334" s="14" t="str">
        <f t="shared" si="391"/>
        <v>HPExt</v>
      </c>
      <c r="GG334" s="14">
        <f t="shared" si="408"/>
        <v>5810</v>
      </c>
      <c r="GH334" s="14">
        <f t="shared" si="409"/>
        <v>295</v>
      </c>
      <c r="GI334" s="14" t="str">
        <f t="shared" si="392"/>
        <v/>
      </c>
      <c r="GJ334" s="14" t="str">
        <f t="shared" si="410"/>
        <v/>
      </c>
      <c r="GK334" s="14" t="str">
        <f t="shared" si="411"/>
        <v/>
      </c>
      <c r="GL334" s="14">
        <f t="shared" si="393"/>
        <v>20920</v>
      </c>
      <c r="GM334" s="14">
        <f t="shared" si="412"/>
        <v>0</v>
      </c>
      <c r="GN334" s="14" t="str">
        <f t="shared" si="413"/>
        <v/>
      </c>
      <c r="GO334" s="25" t="s">
        <v>1471</v>
      </c>
      <c r="GP334" s="14">
        <f t="shared" si="394"/>
        <v>150</v>
      </c>
      <c r="HK334" s="13">
        <v>329</v>
      </c>
      <c r="HL334" s="14">
        <f t="shared" si="414"/>
        <v>14</v>
      </c>
      <c r="HM334" s="14">
        <f t="shared" si="415"/>
        <v>2</v>
      </c>
      <c r="HN334" s="14">
        <f t="shared" si="416"/>
        <v>3</v>
      </c>
      <c r="HO334" s="14">
        <f t="shared" si="417"/>
        <v>4</v>
      </c>
      <c r="HP334" s="14" t="str">
        <f t="shared" si="418"/>
        <v>50级守护灵洗练-Q4-5</v>
      </c>
      <c r="HQ334" s="14">
        <f t="shared" si="419"/>
        <v>2034</v>
      </c>
      <c r="HR334" s="14">
        <f t="shared" si="420"/>
        <v>5</v>
      </c>
      <c r="HS334" s="14">
        <f t="shared" si="421"/>
        <v>400</v>
      </c>
      <c r="HT334" s="14" t="str">
        <f t="shared" si="422"/>
        <v>DefRate</v>
      </c>
      <c r="HU334" s="14">
        <f t="shared" si="423"/>
        <v>1.4E-2</v>
      </c>
      <c r="HV334" s="14">
        <f t="shared" si="424"/>
        <v>0.04</v>
      </c>
    </row>
    <row r="335" spans="151:230" ht="16.5" x14ac:dyDescent="0.2">
      <c r="EU335" s="13">
        <v>330</v>
      </c>
      <c r="EV335" s="14">
        <f t="shared" si="395"/>
        <v>1</v>
      </c>
      <c r="EW335" s="14">
        <f t="shared" si="396"/>
        <v>330</v>
      </c>
      <c r="EX335" s="14">
        <f t="shared" si="397"/>
        <v>44</v>
      </c>
      <c r="EY335" s="14">
        <f t="shared" si="372"/>
        <v>20</v>
      </c>
      <c r="EZ335" s="14">
        <f t="shared" si="373"/>
        <v>9</v>
      </c>
      <c r="FA335" s="14">
        <f t="shared" si="374"/>
        <v>130</v>
      </c>
      <c r="FB335" s="14">
        <f t="shared" si="375"/>
        <v>2</v>
      </c>
      <c r="FC335" s="14">
        <f t="shared" si="376"/>
        <v>6</v>
      </c>
      <c r="FD335" s="14">
        <f t="shared" si="377"/>
        <v>6</v>
      </c>
      <c r="FE335" s="14" t="b">
        <f t="shared" si="398"/>
        <v>0</v>
      </c>
      <c r="FF335" s="14">
        <f t="shared" si="378"/>
        <v>2009206</v>
      </c>
      <c r="FG335" s="13" t="str">
        <f t="shared" si="379"/>
        <v>130级-优秀寄灵人の护手</v>
      </c>
      <c r="FH335" s="14">
        <f t="shared" si="380"/>
        <v>1</v>
      </c>
      <c r="FI335" s="14">
        <f t="shared" si="381"/>
        <v>2</v>
      </c>
      <c r="FJ335" s="14">
        <f t="shared" si="382"/>
        <v>130</v>
      </c>
      <c r="FK335" s="14">
        <v>1</v>
      </c>
      <c r="FL335" s="14">
        <f t="shared" si="383"/>
        <v>9</v>
      </c>
      <c r="FM335" s="14">
        <f t="shared" si="399"/>
        <v>6</v>
      </c>
      <c r="FN335" s="14" t="str">
        <f t="shared" si="384"/>
        <v/>
      </c>
      <c r="FO335" s="14">
        <f t="shared" si="385"/>
        <v>295</v>
      </c>
      <c r="FP335" s="14">
        <f t="shared" si="400"/>
        <v>0</v>
      </c>
      <c r="FQ335" s="14">
        <f t="shared" si="401"/>
        <v>0</v>
      </c>
      <c r="FR335" s="14">
        <f t="shared" si="402"/>
        <v>5810</v>
      </c>
      <c r="FS335" s="14">
        <f t="shared" si="403"/>
        <v>0</v>
      </c>
      <c r="FT335" s="14">
        <f t="shared" si="404"/>
        <v>0</v>
      </c>
      <c r="FU335" s="14">
        <f t="shared" si="405"/>
        <v>295</v>
      </c>
      <c r="FV335" s="14">
        <f t="shared" si="386"/>
        <v>1092</v>
      </c>
      <c r="FW335" s="14">
        <f t="shared" si="387"/>
        <v>0</v>
      </c>
      <c r="FX335" s="14" t="str">
        <f t="shared" si="388"/>
        <v/>
      </c>
      <c r="FY335" s="25" t="str">
        <f t="shared" si="406"/>
        <v>icon_2009106</v>
      </c>
      <c r="GC335" s="14">
        <f t="shared" si="389"/>
        <v>3</v>
      </c>
      <c r="GD335" s="14">
        <f t="shared" si="390"/>
        <v>0</v>
      </c>
      <c r="GE335" s="14">
        <f t="shared" si="407"/>
        <v>295</v>
      </c>
      <c r="GF335" s="14" t="str">
        <f t="shared" si="391"/>
        <v>HPExt</v>
      </c>
      <c r="GG335" s="14">
        <f t="shared" si="408"/>
        <v>5810</v>
      </c>
      <c r="GH335" s="14">
        <f t="shared" si="409"/>
        <v>295</v>
      </c>
      <c r="GI335" s="14" t="str">
        <f t="shared" si="392"/>
        <v/>
      </c>
      <c r="GJ335" s="14" t="str">
        <f t="shared" si="410"/>
        <v/>
      </c>
      <c r="GK335" s="14" t="str">
        <f t="shared" si="411"/>
        <v/>
      </c>
      <c r="GL335" s="14">
        <f t="shared" si="393"/>
        <v>20920</v>
      </c>
      <c r="GM335" s="14">
        <f t="shared" si="412"/>
        <v>0</v>
      </c>
      <c r="GN335" s="14" t="str">
        <f t="shared" si="413"/>
        <v/>
      </c>
      <c r="GO335" s="25" t="s">
        <v>1471</v>
      </c>
      <c r="GP335" s="14">
        <f t="shared" si="394"/>
        <v>150</v>
      </c>
      <c r="HK335" s="13">
        <v>330</v>
      </c>
      <c r="HL335" s="14">
        <f t="shared" si="414"/>
        <v>14</v>
      </c>
      <c r="HM335" s="14">
        <f t="shared" si="415"/>
        <v>2</v>
      </c>
      <c r="HN335" s="14">
        <f t="shared" si="416"/>
        <v>3</v>
      </c>
      <c r="HO335" s="14">
        <f t="shared" si="417"/>
        <v>4</v>
      </c>
      <c r="HP335" s="14" t="str">
        <f t="shared" si="418"/>
        <v>50级守护灵洗练-Q4-6</v>
      </c>
      <c r="HQ335" s="14">
        <f t="shared" si="419"/>
        <v>2034</v>
      </c>
      <c r="HR335" s="14">
        <f t="shared" si="420"/>
        <v>6</v>
      </c>
      <c r="HS335" s="14">
        <f t="shared" si="421"/>
        <v>500</v>
      </c>
      <c r="HT335" s="14" t="str">
        <f t="shared" si="422"/>
        <v>HPRate</v>
      </c>
      <c r="HU335" s="14">
        <f t="shared" si="423"/>
        <v>1.4E-2</v>
      </c>
      <c r="HV335" s="14">
        <f t="shared" si="424"/>
        <v>0.04</v>
      </c>
    </row>
    <row r="336" spans="151:230" ht="16.5" x14ac:dyDescent="0.2">
      <c r="EU336" s="13">
        <v>331</v>
      </c>
      <c r="EV336" s="14">
        <f t="shared" si="395"/>
        <v>1</v>
      </c>
      <c r="EW336" s="14">
        <f t="shared" si="396"/>
        <v>331</v>
      </c>
      <c r="EX336" s="14">
        <f t="shared" si="397"/>
        <v>44</v>
      </c>
      <c r="EY336" s="14">
        <f t="shared" si="372"/>
        <v>20</v>
      </c>
      <c r="EZ336" s="14">
        <f t="shared" si="373"/>
        <v>9</v>
      </c>
      <c r="FA336" s="14">
        <f t="shared" si="374"/>
        <v>130</v>
      </c>
      <c r="FB336" s="14">
        <f t="shared" si="375"/>
        <v>2</v>
      </c>
      <c r="FC336" s="14">
        <f t="shared" si="376"/>
        <v>7</v>
      </c>
      <c r="FD336" s="14">
        <f t="shared" si="377"/>
        <v>7</v>
      </c>
      <c r="FE336" s="14" t="b">
        <f t="shared" si="398"/>
        <v>0</v>
      </c>
      <c r="FF336" s="14">
        <f t="shared" si="378"/>
        <v>2009207</v>
      </c>
      <c r="FG336" s="13" t="str">
        <f t="shared" si="379"/>
        <v>130级-优秀寄灵人の项链</v>
      </c>
      <c r="FH336" s="14">
        <f t="shared" si="380"/>
        <v>1</v>
      </c>
      <c r="FI336" s="14">
        <f t="shared" si="381"/>
        <v>2</v>
      </c>
      <c r="FJ336" s="14">
        <f t="shared" si="382"/>
        <v>130</v>
      </c>
      <c r="FK336" s="14">
        <v>1</v>
      </c>
      <c r="FL336" s="14">
        <f t="shared" si="383"/>
        <v>9</v>
      </c>
      <c r="FM336" s="14">
        <f t="shared" si="399"/>
        <v>7</v>
      </c>
      <c r="FN336" s="14" t="str">
        <f t="shared" si="384"/>
        <v/>
      </c>
      <c r="FO336" s="14">
        <f t="shared" si="385"/>
        <v>235</v>
      </c>
      <c r="FP336" s="14">
        <f t="shared" si="400"/>
        <v>410</v>
      </c>
      <c r="FQ336" s="14">
        <f t="shared" si="401"/>
        <v>255</v>
      </c>
      <c r="FR336" s="14">
        <f t="shared" si="402"/>
        <v>0</v>
      </c>
      <c r="FS336" s="14">
        <f t="shared" si="403"/>
        <v>21</v>
      </c>
      <c r="FT336" s="14">
        <f t="shared" si="404"/>
        <v>13</v>
      </c>
      <c r="FU336" s="14">
        <f t="shared" si="405"/>
        <v>0</v>
      </c>
      <c r="FV336" s="14">
        <f t="shared" si="386"/>
        <v>1092</v>
      </c>
      <c r="FW336" s="14">
        <f t="shared" si="387"/>
        <v>0</v>
      </c>
      <c r="FX336" s="14" t="str">
        <f t="shared" si="388"/>
        <v/>
      </c>
      <c r="FY336" s="25" t="str">
        <f t="shared" si="406"/>
        <v>icon_2009107</v>
      </c>
      <c r="GC336" s="14">
        <f t="shared" si="389"/>
        <v>1</v>
      </c>
      <c r="GD336" s="14">
        <f t="shared" si="390"/>
        <v>2</v>
      </c>
      <c r="GE336" s="14">
        <f t="shared" si="407"/>
        <v>235</v>
      </c>
      <c r="GF336" s="14" t="str">
        <f t="shared" si="391"/>
        <v>AtkExt</v>
      </c>
      <c r="GG336" s="14">
        <f t="shared" si="408"/>
        <v>410</v>
      </c>
      <c r="GH336" s="14">
        <f t="shared" si="409"/>
        <v>21</v>
      </c>
      <c r="GI336" s="14" t="str">
        <f t="shared" si="392"/>
        <v>DefExt</v>
      </c>
      <c r="GJ336" s="14">
        <f t="shared" si="410"/>
        <v>255</v>
      </c>
      <c r="GK336" s="14">
        <f t="shared" si="411"/>
        <v>13</v>
      </c>
      <c r="GL336" s="14">
        <f t="shared" si="393"/>
        <v>20920</v>
      </c>
      <c r="GM336" s="14">
        <f t="shared" si="412"/>
        <v>0</v>
      </c>
      <c r="GN336" s="14" t="str">
        <f t="shared" si="413"/>
        <v/>
      </c>
      <c r="GO336" s="25" t="s">
        <v>1471</v>
      </c>
      <c r="GP336" s="14">
        <f t="shared" si="394"/>
        <v>225</v>
      </c>
      <c r="HK336" s="13">
        <v>331</v>
      </c>
      <c r="HL336" s="14">
        <f t="shared" si="414"/>
        <v>14</v>
      </c>
      <c r="HM336" s="14">
        <f t="shared" si="415"/>
        <v>2</v>
      </c>
      <c r="HN336" s="14">
        <f t="shared" si="416"/>
        <v>3</v>
      </c>
      <c r="HO336" s="14">
        <f t="shared" si="417"/>
        <v>4</v>
      </c>
      <c r="HP336" s="14" t="str">
        <f t="shared" si="418"/>
        <v>50级守护灵洗练-Q4-7</v>
      </c>
      <c r="HQ336" s="14">
        <f t="shared" si="419"/>
        <v>2034</v>
      </c>
      <c r="HR336" s="14">
        <f t="shared" si="420"/>
        <v>7</v>
      </c>
      <c r="HS336" s="14">
        <f t="shared" si="421"/>
        <v>500</v>
      </c>
      <c r="HT336" s="14" t="str">
        <f t="shared" si="422"/>
        <v>Crit</v>
      </c>
      <c r="HU336" s="14">
        <f t="shared" si="423"/>
        <v>1.0999999999999999E-2</v>
      </c>
      <c r="HV336" s="14">
        <f t="shared" si="424"/>
        <v>0.03</v>
      </c>
    </row>
    <row r="337" spans="151:230" ht="16.5" x14ac:dyDescent="0.2">
      <c r="EU337" s="13">
        <v>332</v>
      </c>
      <c r="EV337" s="14">
        <f t="shared" si="395"/>
        <v>1</v>
      </c>
      <c r="EW337" s="14">
        <f t="shared" si="396"/>
        <v>332</v>
      </c>
      <c r="EX337" s="14">
        <f t="shared" si="397"/>
        <v>44</v>
      </c>
      <c r="EY337" s="14">
        <f t="shared" si="372"/>
        <v>20</v>
      </c>
      <c r="EZ337" s="14">
        <f t="shared" si="373"/>
        <v>9</v>
      </c>
      <c r="FA337" s="14">
        <f t="shared" si="374"/>
        <v>130</v>
      </c>
      <c r="FB337" s="14">
        <f t="shared" si="375"/>
        <v>2</v>
      </c>
      <c r="FC337" s="14">
        <f t="shared" si="376"/>
        <v>8</v>
      </c>
      <c r="FD337" s="14">
        <f t="shared" si="377"/>
        <v>8</v>
      </c>
      <c r="FE337" s="14" t="b">
        <f t="shared" si="398"/>
        <v>0</v>
      </c>
      <c r="FF337" s="14">
        <f t="shared" si="378"/>
        <v>2009208</v>
      </c>
      <c r="FG337" s="13" t="str">
        <f t="shared" si="379"/>
        <v>130级-优秀寄灵人の戒指</v>
      </c>
      <c r="FH337" s="14">
        <f t="shared" si="380"/>
        <v>1</v>
      </c>
      <c r="FI337" s="14">
        <f t="shared" si="381"/>
        <v>2</v>
      </c>
      <c r="FJ337" s="14">
        <f t="shared" si="382"/>
        <v>130</v>
      </c>
      <c r="FK337" s="14">
        <v>1</v>
      </c>
      <c r="FL337" s="14">
        <f t="shared" si="383"/>
        <v>9</v>
      </c>
      <c r="FM337" s="14">
        <f t="shared" si="399"/>
        <v>8</v>
      </c>
      <c r="FN337" s="14" t="str">
        <f t="shared" si="384"/>
        <v/>
      </c>
      <c r="FO337" s="14">
        <f t="shared" si="385"/>
        <v>350</v>
      </c>
      <c r="FP337" s="14">
        <f t="shared" si="400"/>
        <v>410</v>
      </c>
      <c r="FQ337" s="14">
        <f t="shared" si="401"/>
        <v>0</v>
      </c>
      <c r="FR337" s="14">
        <f t="shared" si="402"/>
        <v>4840</v>
      </c>
      <c r="FS337" s="14">
        <f t="shared" si="403"/>
        <v>21</v>
      </c>
      <c r="FT337" s="14">
        <f t="shared" si="404"/>
        <v>0</v>
      </c>
      <c r="FU337" s="14">
        <f t="shared" si="405"/>
        <v>245</v>
      </c>
      <c r="FV337" s="14">
        <f t="shared" si="386"/>
        <v>1092</v>
      </c>
      <c r="FW337" s="14">
        <f t="shared" si="387"/>
        <v>0</v>
      </c>
      <c r="FX337" s="14" t="str">
        <f t="shared" si="388"/>
        <v/>
      </c>
      <c r="FY337" s="25" t="str">
        <f t="shared" si="406"/>
        <v>icon_2009108</v>
      </c>
      <c r="GC337" s="14">
        <f t="shared" si="389"/>
        <v>1</v>
      </c>
      <c r="GD337" s="14">
        <f t="shared" si="390"/>
        <v>3</v>
      </c>
      <c r="GE337" s="14">
        <f t="shared" si="407"/>
        <v>350</v>
      </c>
      <c r="GF337" s="14" t="str">
        <f t="shared" si="391"/>
        <v>AtkExt</v>
      </c>
      <c r="GG337" s="14">
        <f t="shared" si="408"/>
        <v>410</v>
      </c>
      <c r="GH337" s="14">
        <f t="shared" si="409"/>
        <v>21</v>
      </c>
      <c r="GI337" s="14" t="str">
        <f t="shared" si="392"/>
        <v>HPExt</v>
      </c>
      <c r="GJ337" s="14">
        <f t="shared" si="410"/>
        <v>4840</v>
      </c>
      <c r="GK337" s="14">
        <f t="shared" si="411"/>
        <v>245</v>
      </c>
      <c r="GL337" s="14">
        <f t="shared" si="393"/>
        <v>20920</v>
      </c>
      <c r="GM337" s="14">
        <f t="shared" si="412"/>
        <v>0</v>
      </c>
      <c r="GN337" s="14" t="str">
        <f t="shared" si="413"/>
        <v/>
      </c>
      <c r="GO337" s="25" t="s">
        <v>1471</v>
      </c>
      <c r="GP337" s="14">
        <f t="shared" si="394"/>
        <v>225</v>
      </c>
      <c r="HK337" s="13">
        <v>332</v>
      </c>
      <c r="HL337" s="14">
        <f t="shared" si="414"/>
        <v>14</v>
      </c>
      <c r="HM337" s="14">
        <f t="shared" si="415"/>
        <v>2</v>
      </c>
      <c r="HN337" s="14">
        <f t="shared" si="416"/>
        <v>3</v>
      </c>
      <c r="HO337" s="14">
        <f t="shared" si="417"/>
        <v>4</v>
      </c>
      <c r="HP337" s="14" t="str">
        <f t="shared" si="418"/>
        <v>50级守护灵洗练-Q4-8</v>
      </c>
      <c r="HQ337" s="14">
        <f t="shared" si="419"/>
        <v>2034</v>
      </c>
      <c r="HR337" s="14">
        <f t="shared" si="420"/>
        <v>8</v>
      </c>
      <c r="HS337" s="14">
        <f t="shared" si="421"/>
        <v>500</v>
      </c>
      <c r="HT337" s="14" t="str">
        <f t="shared" si="422"/>
        <v>CritRate</v>
      </c>
      <c r="HU337" s="14">
        <f t="shared" si="423"/>
        <v>2.8000000000000001E-2</v>
      </c>
      <c r="HV337" s="14">
        <f t="shared" si="424"/>
        <v>0.08</v>
      </c>
    </row>
    <row r="338" spans="151:230" ht="16.5" x14ac:dyDescent="0.2">
      <c r="EU338" s="13">
        <v>333</v>
      </c>
      <c r="EV338" s="14">
        <f t="shared" si="395"/>
        <v>1</v>
      </c>
      <c r="EW338" s="14">
        <f t="shared" si="396"/>
        <v>333</v>
      </c>
      <c r="EX338" s="14">
        <f t="shared" si="397"/>
        <v>45</v>
      </c>
      <c r="EY338" s="14">
        <f t="shared" si="372"/>
        <v>30</v>
      </c>
      <c r="EZ338" s="14">
        <f t="shared" si="373"/>
        <v>9</v>
      </c>
      <c r="FA338" s="14">
        <f t="shared" si="374"/>
        <v>130</v>
      </c>
      <c r="FB338" s="14">
        <f t="shared" si="375"/>
        <v>3</v>
      </c>
      <c r="FC338" s="14">
        <f t="shared" si="376"/>
        <v>1</v>
      </c>
      <c r="FD338" s="14">
        <f t="shared" si="377"/>
        <v>1</v>
      </c>
      <c r="FE338" s="14" t="b">
        <f t="shared" si="398"/>
        <v>0</v>
      </c>
      <c r="FF338" s="14">
        <f t="shared" si="378"/>
        <v>2009301</v>
      </c>
      <c r="FG338" s="13" t="str">
        <f t="shared" si="379"/>
        <v>130级-精良寄灵人の灵器</v>
      </c>
      <c r="FH338" s="14">
        <f t="shared" si="380"/>
        <v>1</v>
      </c>
      <c r="FI338" s="14">
        <f t="shared" si="381"/>
        <v>3</v>
      </c>
      <c r="FJ338" s="14">
        <f t="shared" si="382"/>
        <v>130</v>
      </c>
      <c r="FK338" s="14">
        <v>1</v>
      </c>
      <c r="FL338" s="14">
        <f t="shared" si="383"/>
        <v>9</v>
      </c>
      <c r="FM338" s="14">
        <f t="shared" si="399"/>
        <v>1</v>
      </c>
      <c r="FN338" s="14" t="str">
        <f t="shared" si="384"/>
        <v/>
      </c>
      <c r="FO338" s="14">
        <f t="shared" si="385"/>
        <v>380</v>
      </c>
      <c r="FP338" s="14">
        <f t="shared" si="400"/>
        <v>1495</v>
      </c>
      <c r="FQ338" s="14">
        <f t="shared" si="401"/>
        <v>0</v>
      </c>
      <c r="FR338" s="14">
        <f t="shared" si="402"/>
        <v>0</v>
      </c>
      <c r="FS338" s="14">
        <f t="shared" si="403"/>
        <v>76</v>
      </c>
      <c r="FT338" s="14">
        <f t="shared" si="404"/>
        <v>0</v>
      </c>
      <c r="FU338" s="14">
        <f t="shared" si="405"/>
        <v>0</v>
      </c>
      <c r="FV338" s="14">
        <f t="shared" si="386"/>
        <v>1093</v>
      </c>
      <c r="FW338" s="14">
        <f t="shared" si="387"/>
        <v>5</v>
      </c>
      <c r="FX338" s="14">
        <f t="shared" si="388"/>
        <v>1093</v>
      </c>
      <c r="FY338" s="25" t="str">
        <f t="shared" si="406"/>
        <v>icon_2009101</v>
      </c>
      <c r="GC338" s="14">
        <f t="shared" si="389"/>
        <v>1</v>
      </c>
      <c r="GD338" s="14">
        <f t="shared" si="390"/>
        <v>0</v>
      </c>
      <c r="GE338" s="14">
        <f t="shared" si="407"/>
        <v>380</v>
      </c>
      <c r="GF338" s="14" t="str">
        <f t="shared" si="391"/>
        <v>AtkExt</v>
      </c>
      <c r="GG338" s="14">
        <f t="shared" si="408"/>
        <v>1495</v>
      </c>
      <c r="GH338" s="14">
        <f t="shared" si="409"/>
        <v>76</v>
      </c>
      <c r="GI338" s="14" t="str">
        <f t="shared" si="392"/>
        <v/>
      </c>
      <c r="GJ338" s="14" t="str">
        <f t="shared" si="410"/>
        <v/>
      </c>
      <c r="GK338" s="14" t="str">
        <f t="shared" si="411"/>
        <v/>
      </c>
      <c r="GL338" s="14">
        <f t="shared" si="393"/>
        <v>20930</v>
      </c>
      <c r="GM338" s="14">
        <f t="shared" si="412"/>
        <v>5</v>
      </c>
      <c r="GN338" s="14">
        <f t="shared" si="413"/>
        <v>1093</v>
      </c>
      <c r="GO338" s="25" t="s">
        <v>1471</v>
      </c>
      <c r="GP338" s="14">
        <f t="shared" si="394"/>
        <v>500</v>
      </c>
      <c r="HK338" s="13">
        <v>333</v>
      </c>
      <c r="HL338" s="14">
        <f t="shared" si="414"/>
        <v>14</v>
      </c>
      <c r="HM338" s="14">
        <f t="shared" si="415"/>
        <v>2</v>
      </c>
      <c r="HN338" s="14">
        <f t="shared" si="416"/>
        <v>3</v>
      </c>
      <c r="HO338" s="14">
        <f t="shared" si="417"/>
        <v>4</v>
      </c>
      <c r="HP338" s="14" t="str">
        <f t="shared" si="418"/>
        <v>50级守护灵洗练-Q4-9</v>
      </c>
      <c r="HQ338" s="14">
        <f t="shared" si="419"/>
        <v>2034</v>
      </c>
      <c r="HR338" s="14">
        <f t="shared" si="420"/>
        <v>9</v>
      </c>
      <c r="HS338" s="14">
        <f t="shared" si="421"/>
        <v>500</v>
      </c>
      <c r="HT338" s="14" t="str">
        <f t="shared" si="422"/>
        <v>DefIgnor</v>
      </c>
      <c r="HU338" s="14">
        <f t="shared" si="423"/>
        <v>1.0999999999999999E-2</v>
      </c>
      <c r="HV338" s="14">
        <f t="shared" si="424"/>
        <v>0.03</v>
      </c>
    </row>
    <row r="339" spans="151:230" ht="16.5" x14ac:dyDescent="0.2">
      <c r="EU339" s="13">
        <v>334</v>
      </c>
      <c r="EV339" s="14">
        <f t="shared" si="395"/>
        <v>1</v>
      </c>
      <c r="EW339" s="14">
        <f t="shared" si="396"/>
        <v>334</v>
      </c>
      <c r="EX339" s="14">
        <f t="shared" si="397"/>
        <v>45</v>
      </c>
      <c r="EY339" s="14">
        <f t="shared" si="372"/>
        <v>30</v>
      </c>
      <c r="EZ339" s="14">
        <f t="shared" si="373"/>
        <v>9</v>
      </c>
      <c r="FA339" s="14">
        <f t="shared" si="374"/>
        <v>130</v>
      </c>
      <c r="FB339" s="14">
        <f t="shared" si="375"/>
        <v>3</v>
      </c>
      <c r="FC339" s="14">
        <f t="shared" si="376"/>
        <v>2</v>
      </c>
      <c r="FD339" s="14">
        <f t="shared" si="377"/>
        <v>2</v>
      </c>
      <c r="FE339" s="14" t="b">
        <f t="shared" si="398"/>
        <v>0</v>
      </c>
      <c r="FF339" s="14">
        <f t="shared" si="378"/>
        <v>2009302</v>
      </c>
      <c r="FG339" s="13" t="str">
        <f t="shared" si="379"/>
        <v>130级-精良寄灵人の头盔</v>
      </c>
      <c r="FH339" s="14">
        <f t="shared" si="380"/>
        <v>1</v>
      </c>
      <c r="FI339" s="14">
        <f t="shared" si="381"/>
        <v>3</v>
      </c>
      <c r="FJ339" s="14">
        <f t="shared" si="382"/>
        <v>130</v>
      </c>
      <c r="FK339" s="14">
        <v>1</v>
      </c>
      <c r="FL339" s="14">
        <f t="shared" si="383"/>
        <v>9</v>
      </c>
      <c r="FM339" s="14">
        <f t="shared" si="399"/>
        <v>2</v>
      </c>
      <c r="FN339" s="14" t="str">
        <f t="shared" si="384"/>
        <v/>
      </c>
      <c r="FO339" s="14">
        <f t="shared" si="385"/>
        <v>190</v>
      </c>
      <c r="FP339" s="14">
        <f t="shared" si="400"/>
        <v>0</v>
      </c>
      <c r="FQ339" s="14">
        <f t="shared" si="401"/>
        <v>375</v>
      </c>
      <c r="FR339" s="14">
        <f t="shared" si="402"/>
        <v>0</v>
      </c>
      <c r="FS339" s="14">
        <f t="shared" si="403"/>
        <v>0</v>
      </c>
      <c r="FT339" s="14">
        <f t="shared" si="404"/>
        <v>19</v>
      </c>
      <c r="FU339" s="14">
        <f t="shared" si="405"/>
        <v>0</v>
      </c>
      <c r="FV339" s="14">
        <f t="shared" si="386"/>
        <v>1093</v>
      </c>
      <c r="FW339" s="14">
        <f t="shared" si="387"/>
        <v>5</v>
      </c>
      <c r="FX339" s="14">
        <f t="shared" si="388"/>
        <v>1093</v>
      </c>
      <c r="FY339" s="25" t="str">
        <f t="shared" si="406"/>
        <v>icon_2009102</v>
      </c>
      <c r="GC339" s="14">
        <f t="shared" si="389"/>
        <v>2</v>
      </c>
      <c r="GD339" s="14">
        <f t="shared" si="390"/>
        <v>0</v>
      </c>
      <c r="GE339" s="14">
        <f t="shared" si="407"/>
        <v>190</v>
      </c>
      <c r="GF339" s="14" t="str">
        <f t="shared" si="391"/>
        <v>DefExt</v>
      </c>
      <c r="GG339" s="14">
        <f t="shared" si="408"/>
        <v>375</v>
      </c>
      <c r="GH339" s="14">
        <f t="shared" si="409"/>
        <v>19</v>
      </c>
      <c r="GI339" s="14" t="str">
        <f t="shared" si="392"/>
        <v/>
      </c>
      <c r="GJ339" s="14" t="str">
        <f t="shared" si="410"/>
        <v/>
      </c>
      <c r="GK339" s="14" t="str">
        <f t="shared" si="411"/>
        <v/>
      </c>
      <c r="GL339" s="14">
        <f t="shared" si="393"/>
        <v>20930</v>
      </c>
      <c r="GM339" s="14">
        <f t="shared" si="412"/>
        <v>5</v>
      </c>
      <c r="GN339" s="14">
        <f t="shared" si="413"/>
        <v>1093</v>
      </c>
      <c r="GO339" s="25" t="s">
        <v>1471</v>
      </c>
      <c r="GP339" s="14">
        <f t="shared" si="394"/>
        <v>250</v>
      </c>
      <c r="HK339" s="13">
        <v>334</v>
      </c>
      <c r="HL339" s="14">
        <f t="shared" si="414"/>
        <v>14</v>
      </c>
      <c r="HM339" s="14">
        <f t="shared" si="415"/>
        <v>2</v>
      </c>
      <c r="HN339" s="14">
        <f t="shared" si="416"/>
        <v>3</v>
      </c>
      <c r="HO339" s="14">
        <f t="shared" si="417"/>
        <v>4</v>
      </c>
      <c r="HP339" s="14" t="str">
        <f t="shared" si="418"/>
        <v>50级守护灵洗练-Q4-10</v>
      </c>
      <c r="HQ339" s="14">
        <f t="shared" si="419"/>
        <v>2034</v>
      </c>
      <c r="HR339" s="14">
        <f t="shared" si="420"/>
        <v>10</v>
      </c>
      <c r="HS339" s="14">
        <f t="shared" si="421"/>
        <v>500</v>
      </c>
      <c r="HT339" s="14" t="str">
        <f t="shared" si="422"/>
        <v>Block</v>
      </c>
      <c r="HU339" s="14">
        <f t="shared" si="423"/>
        <v>1.0999999999999999E-2</v>
      </c>
      <c r="HV339" s="14">
        <f t="shared" si="424"/>
        <v>0.03</v>
      </c>
    </row>
    <row r="340" spans="151:230" ht="16.5" x14ac:dyDescent="0.2">
      <c r="EU340" s="13">
        <v>335</v>
      </c>
      <c r="EV340" s="14">
        <f t="shared" si="395"/>
        <v>1</v>
      </c>
      <c r="EW340" s="14">
        <f t="shared" si="396"/>
        <v>335</v>
      </c>
      <c r="EX340" s="14">
        <f t="shared" si="397"/>
        <v>45</v>
      </c>
      <c r="EY340" s="14">
        <f t="shared" si="372"/>
        <v>30</v>
      </c>
      <c r="EZ340" s="14">
        <f t="shared" si="373"/>
        <v>9</v>
      </c>
      <c r="FA340" s="14">
        <f t="shared" si="374"/>
        <v>130</v>
      </c>
      <c r="FB340" s="14">
        <f t="shared" si="375"/>
        <v>3</v>
      </c>
      <c r="FC340" s="14">
        <f t="shared" si="376"/>
        <v>3</v>
      </c>
      <c r="FD340" s="14">
        <f t="shared" si="377"/>
        <v>3</v>
      </c>
      <c r="FE340" s="14" t="b">
        <f t="shared" si="398"/>
        <v>0</v>
      </c>
      <c r="FF340" s="14">
        <f t="shared" si="378"/>
        <v>2009303</v>
      </c>
      <c r="FG340" s="13" t="str">
        <f t="shared" si="379"/>
        <v>130级-精良寄灵人の铠甲</v>
      </c>
      <c r="FH340" s="14">
        <f t="shared" si="380"/>
        <v>1</v>
      </c>
      <c r="FI340" s="14">
        <f t="shared" si="381"/>
        <v>3</v>
      </c>
      <c r="FJ340" s="14">
        <f t="shared" si="382"/>
        <v>130</v>
      </c>
      <c r="FK340" s="14">
        <v>1</v>
      </c>
      <c r="FL340" s="14">
        <f t="shared" si="383"/>
        <v>9</v>
      </c>
      <c r="FM340" s="14">
        <f t="shared" si="399"/>
        <v>3</v>
      </c>
      <c r="FN340" s="14" t="str">
        <f t="shared" si="384"/>
        <v/>
      </c>
      <c r="FO340" s="14">
        <f t="shared" si="385"/>
        <v>269</v>
      </c>
      <c r="FP340" s="14">
        <f t="shared" si="400"/>
        <v>0</v>
      </c>
      <c r="FQ340" s="14">
        <f t="shared" si="401"/>
        <v>185</v>
      </c>
      <c r="FR340" s="14">
        <f t="shared" si="402"/>
        <v>3525</v>
      </c>
      <c r="FS340" s="14">
        <f t="shared" si="403"/>
        <v>0</v>
      </c>
      <c r="FT340" s="14">
        <f t="shared" si="404"/>
        <v>9</v>
      </c>
      <c r="FU340" s="14">
        <f t="shared" si="405"/>
        <v>179</v>
      </c>
      <c r="FV340" s="14">
        <f t="shared" si="386"/>
        <v>1093</v>
      </c>
      <c r="FW340" s="14">
        <f t="shared" si="387"/>
        <v>5</v>
      </c>
      <c r="FX340" s="14">
        <f t="shared" si="388"/>
        <v>1093</v>
      </c>
      <c r="FY340" s="25" t="str">
        <f t="shared" si="406"/>
        <v>icon_2009103</v>
      </c>
      <c r="GC340" s="14">
        <f t="shared" si="389"/>
        <v>2</v>
      </c>
      <c r="GD340" s="14">
        <f t="shared" si="390"/>
        <v>3</v>
      </c>
      <c r="GE340" s="14">
        <f t="shared" si="407"/>
        <v>269</v>
      </c>
      <c r="GF340" s="14" t="str">
        <f t="shared" si="391"/>
        <v>DefExt</v>
      </c>
      <c r="GG340" s="14">
        <f t="shared" si="408"/>
        <v>185</v>
      </c>
      <c r="GH340" s="14">
        <f t="shared" si="409"/>
        <v>9</v>
      </c>
      <c r="GI340" s="14" t="str">
        <f t="shared" si="392"/>
        <v>HPExt</v>
      </c>
      <c r="GJ340" s="14">
        <f t="shared" si="410"/>
        <v>3525</v>
      </c>
      <c r="GK340" s="14">
        <f t="shared" si="411"/>
        <v>179</v>
      </c>
      <c r="GL340" s="14">
        <f t="shared" si="393"/>
        <v>20930</v>
      </c>
      <c r="GM340" s="14">
        <f t="shared" si="412"/>
        <v>5</v>
      </c>
      <c r="GN340" s="14">
        <f t="shared" si="413"/>
        <v>1093</v>
      </c>
      <c r="GO340" s="25" t="s">
        <v>1471</v>
      </c>
      <c r="GP340" s="14">
        <f t="shared" si="394"/>
        <v>250</v>
      </c>
      <c r="HK340" s="13">
        <v>335</v>
      </c>
      <c r="HL340" s="14">
        <f t="shared" si="414"/>
        <v>14</v>
      </c>
      <c r="HM340" s="14">
        <f t="shared" si="415"/>
        <v>2</v>
      </c>
      <c r="HN340" s="14">
        <f t="shared" si="416"/>
        <v>3</v>
      </c>
      <c r="HO340" s="14">
        <f t="shared" si="417"/>
        <v>4</v>
      </c>
      <c r="HP340" s="14" t="str">
        <f t="shared" si="418"/>
        <v>50级守护灵洗练-Q4-11</v>
      </c>
      <c r="HQ340" s="14">
        <f t="shared" si="419"/>
        <v>2034</v>
      </c>
      <c r="HR340" s="14">
        <f t="shared" si="420"/>
        <v>11</v>
      </c>
      <c r="HS340" s="14">
        <f t="shared" si="421"/>
        <v>500</v>
      </c>
      <c r="HT340" s="14" t="str">
        <f t="shared" si="422"/>
        <v>EffectHit</v>
      </c>
      <c r="HU340" s="14">
        <f t="shared" si="423"/>
        <v>1.7999999999999999E-2</v>
      </c>
      <c r="HV340" s="14">
        <f t="shared" si="424"/>
        <v>0.05</v>
      </c>
    </row>
    <row r="341" spans="151:230" ht="16.5" x14ac:dyDescent="0.2">
      <c r="EU341" s="13">
        <v>336</v>
      </c>
      <c r="EV341" s="14">
        <f t="shared" si="395"/>
        <v>1</v>
      </c>
      <c r="EW341" s="14">
        <f t="shared" si="396"/>
        <v>336</v>
      </c>
      <c r="EX341" s="14">
        <f t="shared" si="397"/>
        <v>45</v>
      </c>
      <c r="EY341" s="14">
        <f t="shared" si="372"/>
        <v>30</v>
      </c>
      <c r="EZ341" s="14">
        <f t="shared" si="373"/>
        <v>9</v>
      </c>
      <c r="FA341" s="14">
        <f t="shared" si="374"/>
        <v>130</v>
      </c>
      <c r="FB341" s="14">
        <f t="shared" si="375"/>
        <v>3</v>
      </c>
      <c r="FC341" s="14">
        <f t="shared" si="376"/>
        <v>4</v>
      </c>
      <c r="FD341" s="14">
        <f t="shared" si="377"/>
        <v>4</v>
      </c>
      <c r="FE341" s="14" t="b">
        <f t="shared" si="398"/>
        <v>0</v>
      </c>
      <c r="FF341" s="14">
        <f t="shared" si="378"/>
        <v>2009304</v>
      </c>
      <c r="FG341" s="13" t="str">
        <f t="shared" si="379"/>
        <v>130级-精良寄灵人の裤子</v>
      </c>
      <c r="FH341" s="14">
        <f t="shared" si="380"/>
        <v>1</v>
      </c>
      <c r="FI341" s="14">
        <f t="shared" si="381"/>
        <v>3</v>
      </c>
      <c r="FJ341" s="14">
        <f t="shared" si="382"/>
        <v>130</v>
      </c>
      <c r="FK341" s="14">
        <v>1</v>
      </c>
      <c r="FL341" s="14">
        <f t="shared" si="383"/>
        <v>9</v>
      </c>
      <c r="FM341" s="14">
        <f t="shared" si="399"/>
        <v>4</v>
      </c>
      <c r="FN341" s="14" t="str">
        <f t="shared" si="384"/>
        <v/>
      </c>
      <c r="FO341" s="14">
        <f t="shared" si="385"/>
        <v>190</v>
      </c>
      <c r="FP341" s="14">
        <f t="shared" si="400"/>
        <v>0</v>
      </c>
      <c r="FQ341" s="14">
        <f t="shared" si="401"/>
        <v>375</v>
      </c>
      <c r="FR341" s="14">
        <f t="shared" si="402"/>
        <v>0</v>
      </c>
      <c r="FS341" s="14">
        <f t="shared" si="403"/>
        <v>0</v>
      </c>
      <c r="FT341" s="14">
        <f t="shared" si="404"/>
        <v>19</v>
      </c>
      <c r="FU341" s="14">
        <f t="shared" si="405"/>
        <v>0</v>
      </c>
      <c r="FV341" s="14">
        <f t="shared" si="386"/>
        <v>1093</v>
      </c>
      <c r="FW341" s="14">
        <f t="shared" si="387"/>
        <v>5</v>
      </c>
      <c r="FX341" s="14">
        <f t="shared" si="388"/>
        <v>1093</v>
      </c>
      <c r="FY341" s="25" t="str">
        <f t="shared" si="406"/>
        <v>icon_2009104</v>
      </c>
      <c r="GC341" s="14">
        <f t="shared" si="389"/>
        <v>2</v>
      </c>
      <c r="GD341" s="14">
        <f t="shared" si="390"/>
        <v>0</v>
      </c>
      <c r="GE341" s="14">
        <f t="shared" si="407"/>
        <v>190</v>
      </c>
      <c r="GF341" s="14" t="str">
        <f t="shared" si="391"/>
        <v>DefExt</v>
      </c>
      <c r="GG341" s="14">
        <f t="shared" si="408"/>
        <v>375</v>
      </c>
      <c r="GH341" s="14">
        <f t="shared" si="409"/>
        <v>19</v>
      </c>
      <c r="GI341" s="14" t="str">
        <f t="shared" si="392"/>
        <v/>
      </c>
      <c r="GJ341" s="14" t="str">
        <f t="shared" si="410"/>
        <v/>
      </c>
      <c r="GK341" s="14" t="str">
        <f t="shared" si="411"/>
        <v/>
      </c>
      <c r="GL341" s="14">
        <f t="shared" si="393"/>
        <v>20930</v>
      </c>
      <c r="GM341" s="14">
        <f t="shared" si="412"/>
        <v>5</v>
      </c>
      <c r="GN341" s="14">
        <f t="shared" si="413"/>
        <v>1093</v>
      </c>
      <c r="GO341" s="25" t="s">
        <v>1471</v>
      </c>
      <c r="GP341" s="14">
        <f t="shared" si="394"/>
        <v>250</v>
      </c>
      <c r="HK341" s="13">
        <v>336</v>
      </c>
      <c r="HL341" s="14">
        <f t="shared" si="414"/>
        <v>14</v>
      </c>
      <c r="HM341" s="14">
        <f t="shared" si="415"/>
        <v>2</v>
      </c>
      <c r="HN341" s="14">
        <f t="shared" si="416"/>
        <v>3</v>
      </c>
      <c r="HO341" s="14">
        <f t="shared" si="417"/>
        <v>4</v>
      </c>
      <c r="HP341" s="14" t="str">
        <f t="shared" si="418"/>
        <v>50级守护灵洗练-Q4-12</v>
      </c>
      <c r="HQ341" s="14">
        <f t="shared" si="419"/>
        <v>2034</v>
      </c>
      <c r="HR341" s="14">
        <f t="shared" si="420"/>
        <v>12</v>
      </c>
      <c r="HS341" s="14">
        <f t="shared" si="421"/>
        <v>500</v>
      </c>
      <c r="HT341" s="14" t="str">
        <f t="shared" si="422"/>
        <v>EffectResist</v>
      </c>
      <c r="HU341" s="14">
        <f t="shared" si="423"/>
        <v>1.7999999999999999E-2</v>
      </c>
      <c r="HV341" s="14">
        <f t="shared" si="424"/>
        <v>0.05</v>
      </c>
    </row>
    <row r="342" spans="151:230" ht="16.5" x14ac:dyDescent="0.2">
      <c r="EU342" s="13">
        <v>337</v>
      </c>
      <c r="EV342" s="14">
        <f t="shared" si="395"/>
        <v>1</v>
      </c>
      <c r="EW342" s="14">
        <f t="shared" si="396"/>
        <v>337</v>
      </c>
      <c r="EX342" s="14">
        <f t="shared" si="397"/>
        <v>45</v>
      </c>
      <c r="EY342" s="14">
        <f t="shared" si="372"/>
        <v>30</v>
      </c>
      <c r="EZ342" s="14">
        <f t="shared" si="373"/>
        <v>9</v>
      </c>
      <c r="FA342" s="14">
        <f t="shared" si="374"/>
        <v>130</v>
      </c>
      <c r="FB342" s="14">
        <f t="shared" si="375"/>
        <v>3</v>
      </c>
      <c r="FC342" s="14">
        <f t="shared" si="376"/>
        <v>5</v>
      </c>
      <c r="FD342" s="14">
        <f t="shared" si="377"/>
        <v>5</v>
      </c>
      <c r="FE342" s="14" t="b">
        <f t="shared" si="398"/>
        <v>0</v>
      </c>
      <c r="FF342" s="14">
        <f t="shared" si="378"/>
        <v>2009305</v>
      </c>
      <c r="FG342" s="13" t="str">
        <f t="shared" si="379"/>
        <v>130级-精良寄灵人の鞋子</v>
      </c>
      <c r="FH342" s="14">
        <f t="shared" si="380"/>
        <v>1</v>
      </c>
      <c r="FI342" s="14">
        <f t="shared" si="381"/>
        <v>3</v>
      </c>
      <c r="FJ342" s="14">
        <f t="shared" si="382"/>
        <v>130</v>
      </c>
      <c r="FK342" s="14">
        <v>1</v>
      </c>
      <c r="FL342" s="14">
        <f t="shared" si="383"/>
        <v>9</v>
      </c>
      <c r="FM342" s="14">
        <f t="shared" si="399"/>
        <v>5</v>
      </c>
      <c r="FN342" s="14" t="str">
        <f t="shared" si="384"/>
        <v/>
      </c>
      <c r="FO342" s="14">
        <f t="shared" si="385"/>
        <v>358</v>
      </c>
      <c r="FP342" s="14">
        <f t="shared" si="400"/>
        <v>0</v>
      </c>
      <c r="FQ342" s="14">
        <f t="shared" si="401"/>
        <v>0</v>
      </c>
      <c r="FR342" s="14">
        <f t="shared" si="402"/>
        <v>7055</v>
      </c>
      <c r="FS342" s="14">
        <f t="shared" si="403"/>
        <v>0</v>
      </c>
      <c r="FT342" s="14">
        <f t="shared" si="404"/>
        <v>0</v>
      </c>
      <c r="FU342" s="14">
        <f t="shared" si="405"/>
        <v>358</v>
      </c>
      <c r="FV342" s="14">
        <f t="shared" si="386"/>
        <v>1093</v>
      </c>
      <c r="FW342" s="14">
        <f t="shared" si="387"/>
        <v>5</v>
      </c>
      <c r="FX342" s="14">
        <f t="shared" si="388"/>
        <v>1093</v>
      </c>
      <c r="FY342" s="25" t="str">
        <f t="shared" si="406"/>
        <v>icon_2009105</v>
      </c>
      <c r="GC342" s="14">
        <f t="shared" si="389"/>
        <v>3</v>
      </c>
      <c r="GD342" s="14">
        <f t="shared" si="390"/>
        <v>0</v>
      </c>
      <c r="GE342" s="14">
        <f t="shared" si="407"/>
        <v>358</v>
      </c>
      <c r="GF342" s="14" t="str">
        <f t="shared" si="391"/>
        <v>HPExt</v>
      </c>
      <c r="GG342" s="14">
        <f t="shared" si="408"/>
        <v>7055</v>
      </c>
      <c r="GH342" s="14">
        <f t="shared" si="409"/>
        <v>358</v>
      </c>
      <c r="GI342" s="14" t="str">
        <f t="shared" si="392"/>
        <v/>
      </c>
      <c r="GJ342" s="14" t="str">
        <f t="shared" si="410"/>
        <v/>
      </c>
      <c r="GK342" s="14" t="str">
        <f t="shared" si="411"/>
        <v/>
      </c>
      <c r="GL342" s="14">
        <f t="shared" si="393"/>
        <v>20930</v>
      </c>
      <c r="GM342" s="14">
        <f t="shared" si="412"/>
        <v>5</v>
      </c>
      <c r="GN342" s="14">
        <f t="shared" si="413"/>
        <v>1093</v>
      </c>
      <c r="GO342" s="25" t="s">
        <v>1471</v>
      </c>
      <c r="GP342" s="14">
        <f t="shared" si="394"/>
        <v>250</v>
      </c>
      <c r="HK342" s="13">
        <v>337</v>
      </c>
      <c r="HL342" s="14">
        <f t="shared" si="414"/>
        <v>15</v>
      </c>
      <c r="HM342" s="14">
        <f t="shared" si="415"/>
        <v>2</v>
      </c>
      <c r="HN342" s="14">
        <f t="shared" si="416"/>
        <v>4</v>
      </c>
      <c r="HO342" s="14">
        <f t="shared" si="417"/>
        <v>3</v>
      </c>
      <c r="HP342" s="14" t="str">
        <f t="shared" si="418"/>
        <v>70级守护灵洗练-Q3-1</v>
      </c>
      <c r="HQ342" s="14">
        <f t="shared" si="419"/>
        <v>2043</v>
      </c>
      <c r="HR342" s="14">
        <f t="shared" si="420"/>
        <v>1</v>
      </c>
      <c r="HS342" s="14">
        <f t="shared" si="421"/>
        <v>1800</v>
      </c>
      <c r="HT342" s="14" t="str">
        <f t="shared" si="422"/>
        <v>AtkExt</v>
      </c>
      <c r="HU342" s="14">
        <f t="shared" si="423"/>
        <v>62</v>
      </c>
      <c r="HV342" s="14">
        <f t="shared" si="424"/>
        <v>179</v>
      </c>
    </row>
    <row r="343" spans="151:230" ht="16.5" x14ac:dyDescent="0.2">
      <c r="EU343" s="13">
        <v>338</v>
      </c>
      <c r="EV343" s="14">
        <f t="shared" si="395"/>
        <v>1</v>
      </c>
      <c r="EW343" s="14">
        <f t="shared" si="396"/>
        <v>338</v>
      </c>
      <c r="EX343" s="14">
        <f t="shared" si="397"/>
        <v>45</v>
      </c>
      <c r="EY343" s="14">
        <f t="shared" si="372"/>
        <v>30</v>
      </c>
      <c r="EZ343" s="14">
        <f t="shared" si="373"/>
        <v>9</v>
      </c>
      <c r="FA343" s="14">
        <f t="shared" si="374"/>
        <v>130</v>
      </c>
      <c r="FB343" s="14">
        <f t="shared" si="375"/>
        <v>3</v>
      </c>
      <c r="FC343" s="14">
        <f t="shared" si="376"/>
        <v>6</v>
      </c>
      <c r="FD343" s="14">
        <f t="shared" si="377"/>
        <v>6</v>
      </c>
      <c r="FE343" s="14" t="b">
        <f t="shared" si="398"/>
        <v>0</v>
      </c>
      <c r="FF343" s="14">
        <f t="shared" si="378"/>
        <v>2009306</v>
      </c>
      <c r="FG343" s="13" t="str">
        <f t="shared" si="379"/>
        <v>130级-精良寄灵人の护手</v>
      </c>
      <c r="FH343" s="14">
        <f t="shared" si="380"/>
        <v>1</v>
      </c>
      <c r="FI343" s="14">
        <f t="shared" si="381"/>
        <v>3</v>
      </c>
      <c r="FJ343" s="14">
        <f t="shared" si="382"/>
        <v>130</v>
      </c>
      <c r="FK343" s="14">
        <v>1</v>
      </c>
      <c r="FL343" s="14">
        <f t="shared" si="383"/>
        <v>9</v>
      </c>
      <c r="FM343" s="14">
        <f t="shared" si="399"/>
        <v>6</v>
      </c>
      <c r="FN343" s="14" t="str">
        <f t="shared" si="384"/>
        <v/>
      </c>
      <c r="FO343" s="14">
        <f t="shared" si="385"/>
        <v>358</v>
      </c>
      <c r="FP343" s="14">
        <f t="shared" si="400"/>
        <v>0</v>
      </c>
      <c r="FQ343" s="14">
        <f t="shared" si="401"/>
        <v>0</v>
      </c>
      <c r="FR343" s="14">
        <f t="shared" si="402"/>
        <v>7055</v>
      </c>
      <c r="FS343" s="14">
        <f t="shared" si="403"/>
        <v>0</v>
      </c>
      <c r="FT343" s="14">
        <f t="shared" si="404"/>
        <v>0</v>
      </c>
      <c r="FU343" s="14">
        <f t="shared" si="405"/>
        <v>358</v>
      </c>
      <c r="FV343" s="14">
        <f t="shared" si="386"/>
        <v>1093</v>
      </c>
      <c r="FW343" s="14">
        <f t="shared" si="387"/>
        <v>5</v>
      </c>
      <c r="FX343" s="14">
        <f t="shared" si="388"/>
        <v>1093</v>
      </c>
      <c r="FY343" s="25" t="str">
        <f t="shared" si="406"/>
        <v>icon_2009106</v>
      </c>
      <c r="GC343" s="14">
        <f t="shared" si="389"/>
        <v>3</v>
      </c>
      <c r="GD343" s="14">
        <f t="shared" si="390"/>
        <v>0</v>
      </c>
      <c r="GE343" s="14">
        <f t="shared" si="407"/>
        <v>358</v>
      </c>
      <c r="GF343" s="14" t="str">
        <f t="shared" si="391"/>
        <v>HPExt</v>
      </c>
      <c r="GG343" s="14">
        <f t="shared" si="408"/>
        <v>7055</v>
      </c>
      <c r="GH343" s="14">
        <f t="shared" si="409"/>
        <v>358</v>
      </c>
      <c r="GI343" s="14" t="str">
        <f t="shared" si="392"/>
        <v/>
      </c>
      <c r="GJ343" s="14" t="str">
        <f t="shared" si="410"/>
        <v/>
      </c>
      <c r="GK343" s="14" t="str">
        <f t="shared" si="411"/>
        <v/>
      </c>
      <c r="GL343" s="14">
        <f t="shared" si="393"/>
        <v>20930</v>
      </c>
      <c r="GM343" s="14">
        <f t="shared" si="412"/>
        <v>5</v>
      </c>
      <c r="GN343" s="14">
        <f t="shared" si="413"/>
        <v>1093</v>
      </c>
      <c r="GO343" s="25" t="s">
        <v>1471</v>
      </c>
      <c r="GP343" s="14">
        <f t="shared" si="394"/>
        <v>250</v>
      </c>
      <c r="HK343" s="13">
        <v>338</v>
      </c>
      <c r="HL343" s="14">
        <f t="shared" si="414"/>
        <v>15</v>
      </c>
      <c r="HM343" s="14">
        <f t="shared" si="415"/>
        <v>2</v>
      </c>
      <c r="HN343" s="14">
        <f t="shared" si="416"/>
        <v>4</v>
      </c>
      <c r="HO343" s="14">
        <f t="shared" si="417"/>
        <v>3</v>
      </c>
      <c r="HP343" s="14" t="str">
        <f t="shared" si="418"/>
        <v>70级守护灵洗练-Q3-2</v>
      </c>
      <c r="HQ343" s="14">
        <f t="shared" si="419"/>
        <v>2043</v>
      </c>
      <c r="HR343" s="14">
        <f t="shared" si="420"/>
        <v>2</v>
      </c>
      <c r="HS343" s="14">
        <f t="shared" si="421"/>
        <v>1800</v>
      </c>
      <c r="HT343" s="14" t="str">
        <f t="shared" si="422"/>
        <v>DefExt</v>
      </c>
      <c r="HU343" s="14">
        <f t="shared" si="423"/>
        <v>26</v>
      </c>
      <c r="HV343" s="14">
        <f t="shared" si="424"/>
        <v>76</v>
      </c>
    </row>
    <row r="344" spans="151:230" ht="16.5" x14ac:dyDescent="0.2">
      <c r="EU344" s="13">
        <v>339</v>
      </c>
      <c r="EV344" s="14">
        <f t="shared" si="395"/>
        <v>1</v>
      </c>
      <c r="EW344" s="14">
        <f t="shared" si="396"/>
        <v>339</v>
      </c>
      <c r="EX344" s="14">
        <f t="shared" si="397"/>
        <v>45</v>
      </c>
      <c r="EY344" s="14">
        <f t="shared" si="372"/>
        <v>30</v>
      </c>
      <c r="EZ344" s="14">
        <f t="shared" si="373"/>
        <v>9</v>
      </c>
      <c r="FA344" s="14">
        <f t="shared" si="374"/>
        <v>130</v>
      </c>
      <c r="FB344" s="14">
        <f t="shared" si="375"/>
        <v>3</v>
      </c>
      <c r="FC344" s="14">
        <f t="shared" si="376"/>
        <v>7</v>
      </c>
      <c r="FD344" s="14">
        <f t="shared" si="377"/>
        <v>7</v>
      </c>
      <c r="FE344" s="14" t="b">
        <f t="shared" si="398"/>
        <v>0</v>
      </c>
      <c r="FF344" s="14">
        <f t="shared" si="378"/>
        <v>2009307</v>
      </c>
      <c r="FG344" s="13" t="str">
        <f t="shared" si="379"/>
        <v>130级-精良寄灵人の项链</v>
      </c>
      <c r="FH344" s="14">
        <f t="shared" si="380"/>
        <v>1</v>
      </c>
      <c r="FI344" s="14">
        <f t="shared" si="381"/>
        <v>3</v>
      </c>
      <c r="FJ344" s="14">
        <f t="shared" si="382"/>
        <v>130</v>
      </c>
      <c r="FK344" s="14">
        <v>1</v>
      </c>
      <c r="FL344" s="14">
        <f t="shared" si="383"/>
        <v>9</v>
      </c>
      <c r="FM344" s="14">
        <f t="shared" si="399"/>
        <v>7</v>
      </c>
      <c r="FN344" s="14" t="str">
        <f t="shared" si="384"/>
        <v/>
      </c>
      <c r="FO344" s="14">
        <f t="shared" si="385"/>
        <v>285</v>
      </c>
      <c r="FP344" s="14">
        <f t="shared" si="400"/>
        <v>500</v>
      </c>
      <c r="FQ344" s="14">
        <f t="shared" si="401"/>
        <v>310</v>
      </c>
      <c r="FR344" s="14">
        <f t="shared" si="402"/>
        <v>0</v>
      </c>
      <c r="FS344" s="14">
        <f t="shared" si="403"/>
        <v>25</v>
      </c>
      <c r="FT344" s="14">
        <f t="shared" si="404"/>
        <v>16</v>
      </c>
      <c r="FU344" s="14">
        <f t="shared" si="405"/>
        <v>0</v>
      </c>
      <c r="FV344" s="14">
        <f t="shared" si="386"/>
        <v>1093</v>
      </c>
      <c r="FW344" s="14">
        <f t="shared" si="387"/>
        <v>5</v>
      </c>
      <c r="FX344" s="14">
        <f t="shared" si="388"/>
        <v>1093</v>
      </c>
      <c r="FY344" s="25" t="str">
        <f t="shared" si="406"/>
        <v>icon_2009107</v>
      </c>
      <c r="GC344" s="14">
        <f t="shared" si="389"/>
        <v>1</v>
      </c>
      <c r="GD344" s="14">
        <f t="shared" si="390"/>
        <v>2</v>
      </c>
      <c r="GE344" s="14">
        <f t="shared" si="407"/>
        <v>285</v>
      </c>
      <c r="GF344" s="14" t="str">
        <f t="shared" si="391"/>
        <v>AtkExt</v>
      </c>
      <c r="GG344" s="14">
        <f t="shared" si="408"/>
        <v>500</v>
      </c>
      <c r="GH344" s="14">
        <f t="shared" si="409"/>
        <v>25</v>
      </c>
      <c r="GI344" s="14" t="str">
        <f t="shared" si="392"/>
        <v>DefExt</v>
      </c>
      <c r="GJ344" s="14">
        <f t="shared" si="410"/>
        <v>310</v>
      </c>
      <c r="GK344" s="14">
        <f t="shared" si="411"/>
        <v>16</v>
      </c>
      <c r="GL344" s="14">
        <f t="shared" si="393"/>
        <v>20930</v>
      </c>
      <c r="GM344" s="14">
        <f t="shared" si="412"/>
        <v>5</v>
      </c>
      <c r="GN344" s="14">
        <f t="shared" si="413"/>
        <v>1093</v>
      </c>
      <c r="GO344" s="25" t="s">
        <v>1471</v>
      </c>
      <c r="GP344" s="14">
        <f t="shared" si="394"/>
        <v>375</v>
      </c>
      <c r="HK344" s="13">
        <v>339</v>
      </c>
      <c r="HL344" s="14">
        <f t="shared" si="414"/>
        <v>15</v>
      </c>
      <c r="HM344" s="14">
        <f t="shared" si="415"/>
        <v>2</v>
      </c>
      <c r="HN344" s="14">
        <f t="shared" si="416"/>
        <v>4</v>
      </c>
      <c r="HO344" s="14">
        <f t="shared" si="417"/>
        <v>3</v>
      </c>
      <c r="HP344" s="14" t="str">
        <f t="shared" si="418"/>
        <v>70级守护灵洗练-Q3-3</v>
      </c>
      <c r="HQ344" s="14">
        <f t="shared" si="419"/>
        <v>2043</v>
      </c>
      <c r="HR344" s="14">
        <f t="shared" si="420"/>
        <v>3</v>
      </c>
      <c r="HS344" s="14">
        <f t="shared" si="421"/>
        <v>2000</v>
      </c>
      <c r="HT344" s="14" t="str">
        <f t="shared" si="422"/>
        <v>HPExt</v>
      </c>
      <c r="HU344" s="14">
        <f t="shared" si="423"/>
        <v>395</v>
      </c>
      <c r="HV344" s="14">
        <f t="shared" si="424"/>
        <v>1129</v>
      </c>
    </row>
    <row r="345" spans="151:230" ht="16.5" x14ac:dyDescent="0.2">
      <c r="EU345" s="13">
        <v>340</v>
      </c>
      <c r="EV345" s="14">
        <f t="shared" si="395"/>
        <v>1</v>
      </c>
      <c r="EW345" s="14">
        <f t="shared" si="396"/>
        <v>340</v>
      </c>
      <c r="EX345" s="14">
        <f t="shared" si="397"/>
        <v>45</v>
      </c>
      <c r="EY345" s="14">
        <f t="shared" si="372"/>
        <v>30</v>
      </c>
      <c r="EZ345" s="14">
        <f t="shared" si="373"/>
        <v>9</v>
      </c>
      <c r="FA345" s="14">
        <f t="shared" si="374"/>
        <v>130</v>
      </c>
      <c r="FB345" s="14">
        <f t="shared" si="375"/>
        <v>3</v>
      </c>
      <c r="FC345" s="14">
        <f t="shared" si="376"/>
        <v>8</v>
      </c>
      <c r="FD345" s="14">
        <f t="shared" si="377"/>
        <v>8</v>
      </c>
      <c r="FE345" s="14" t="b">
        <f t="shared" si="398"/>
        <v>0</v>
      </c>
      <c r="FF345" s="14">
        <f t="shared" si="378"/>
        <v>2009308</v>
      </c>
      <c r="FG345" s="13" t="str">
        <f t="shared" si="379"/>
        <v>130级-精良寄灵人の戒指</v>
      </c>
      <c r="FH345" s="14">
        <f t="shared" si="380"/>
        <v>1</v>
      </c>
      <c r="FI345" s="14">
        <f t="shared" si="381"/>
        <v>3</v>
      </c>
      <c r="FJ345" s="14">
        <f t="shared" si="382"/>
        <v>130</v>
      </c>
      <c r="FK345" s="14">
        <v>1</v>
      </c>
      <c r="FL345" s="14">
        <f t="shared" si="383"/>
        <v>9</v>
      </c>
      <c r="FM345" s="14">
        <f t="shared" si="399"/>
        <v>8</v>
      </c>
      <c r="FN345" s="14" t="str">
        <f t="shared" si="384"/>
        <v/>
      </c>
      <c r="FO345" s="14">
        <f t="shared" si="385"/>
        <v>423</v>
      </c>
      <c r="FP345" s="14">
        <f t="shared" si="400"/>
        <v>500</v>
      </c>
      <c r="FQ345" s="14">
        <f t="shared" si="401"/>
        <v>0</v>
      </c>
      <c r="FR345" s="14">
        <f t="shared" si="402"/>
        <v>5880</v>
      </c>
      <c r="FS345" s="14">
        <f t="shared" si="403"/>
        <v>25</v>
      </c>
      <c r="FT345" s="14">
        <f t="shared" si="404"/>
        <v>0</v>
      </c>
      <c r="FU345" s="14">
        <f t="shared" si="405"/>
        <v>298</v>
      </c>
      <c r="FV345" s="14">
        <f t="shared" si="386"/>
        <v>1093</v>
      </c>
      <c r="FW345" s="14">
        <f t="shared" si="387"/>
        <v>5</v>
      </c>
      <c r="FX345" s="14">
        <f t="shared" si="388"/>
        <v>1093</v>
      </c>
      <c r="FY345" s="25" t="str">
        <f t="shared" si="406"/>
        <v>icon_2009108</v>
      </c>
      <c r="GC345" s="14">
        <f t="shared" si="389"/>
        <v>1</v>
      </c>
      <c r="GD345" s="14">
        <f t="shared" si="390"/>
        <v>3</v>
      </c>
      <c r="GE345" s="14">
        <f t="shared" si="407"/>
        <v>423</v>
      </c>
      <c r="GF345" s="14" t="str">
        <f t="shared" si="391"/>
        <v>AtkExt</v>
      </c>
      <c r="GG345" s="14">
        <f t="shared" si="408"/>
        <v>500</v>
      </c>
      <c r="GH345" s="14">
        <f t="shared" si="409"/>
        <v>25</v>
      </c>
      <c r="GI345" s="14" t="str">
        <f t="shared" si="392"/>
        <v>HPExt</v>
      </c>
      <c r="GJ345" s="14">
        <f t="shared" si="410"/>
        <v>5880</v>
      </c>
      <c r="GK345" s="14">
        <f t="shared" si="411"/>
        <v>298</v>
      </c>
      <c r="GL345" s="14">
        <f t="shared" si="393"/>
        <v>20930</v>
      </c>
      <c r="GM345" s="14">
        <f t="shared" si="412"/>
        <v>5</v>
      </c>
      <c r="GN345" s="14">
        <f t="shared" si="413"/>
        <v>1093</v>
      </c>
      <c r="GO345" s="25" t="s">
        <v>1471</v>
      </c>
      <c r="GP345" s="14">
        <f t="shared" si="394"/>
        <v>375</v>
      </c>
      <c r="HK345" s="13">
        <v>340</v>
      </c>
      <c r="HL345" s="14">
        <f t="shared" si="414"/>
        <v>15</v>
      </c>
      <c r="HM345" s="14">
        <f t="shared" si="415"/>
        <v>2</v>
      </c>
      <c r="HN345" s="14">
        <f t="shared" si="416"/>
        <v>4</v>
      </c>
      <c r="HO345" s="14">
        <f t="shared" si="417"/>
        <v>3</v>
      </c>
      <c r="HP345" s="14" t="str">
        <f t="shared" si="418"/>
        <v>70级守护灵洗练-Q3-4</v>
      </c>
      <c r="HQ345" s="14">
        <f t="shared" si="419"/>
        <v>2043</v>
      </c>
      <c r="HR345" s="14">
        <f t="shared" si="420"/>
        <v>4</v>
      </c>
      <c r="HS345" s="14">
        <f t="shared" si="421"/>
        <v>500</v>
      </c>
      <c r="HT345" s="14" t="str">
        <f t="shared" si="422"/>
        <v>AtkRate</v>
      </c>
      <c r="HU345" s="14">
        <f t="shared" si="423"/>
        <v>1.4E-2</v>
      </c>
      <c r="HV345" s="14">
        <f t="shared" si="424"/>
        <v>0.04</v>
      </c>
    </row>
    <row r="346" spans="151:230" ht="16.5" x14ac:dyDescent="0.2">
      <c r="EU346" s="13">
        <v>341</v>
      </c>
      <c r="EV346" s="14">
        <f t="shared" si="395"/>
        <v>1</v>
      </c>
      <c r="EW346" s="14">
        <f t="shared" si="396"/>
        <v>341</v>
      </c>
      <c r="EX346" s="14">
        <f t="shared" si="397"/>
        <v>46</v>
      </c>
      <c r="EY346" s="14">
        <f t="shared" si="372"/>
        <v>40</v>
      </c>
      <c r="EZ346" s="14">
        <f t="shared" si="373"/>
        <v>9</v>
      </c>
      <c r="FA346" s="14">
        <f t="shared" si="374"/>
        <v>130</v>
      </c>
      <c r="FB346" s="14">
        <f t="shared" si="375"/>
        <v>4</v>
      </c>
      <c r="FC346" s="14">
        <f t="shared" si="376"/>
        <v>1</v>
      </c>
      <c r="FD346" s="14">
        <f t="shared" si="377"/>
        <v>1</v>
      </c>
      <c r="FE346" s="14" t="b">
        <f t="shared" si="398"/>
        <v>0</v>
      </c>
      <c r="FF346" s="14">
        <f t="shared" si="378"/>
        <v>2009401</v>
      </c>
      <c r="FG346" s="13" t="str">
        <f t="shared" si="379"/>
        <v>130级-史诗寄灵人の灵器</v>
      </c>
      <c r="FH346" s="14">
        <f t="shared" si="380"/>
        <v>1</v>
      </c>
      <c r="FI346" s="14">
        <f t="shared" si="381"/>
        <v>4</v>
      </c>
      <c r="FJ346" s="14">
        <f t="shared" si="382"/>
        <v>130</v>
      </c>
      <c r="FK346" s="14">
        <v>1</v>
      </c>
      <c r="FL346" s="14">
        <f t="shared" si="383"/>
        <v>9</v>
      </c>
      <c r="FM346" s="14">
        <f t="shared" si="399"/>
        <v>1</v>
      </c>
      <c r="FN346" s="14" t="str">
        <f t="shared" si="384"/>
        <v/>
      </c>
      <c r="FO346" s="14">
        <f t="shared" si="385"/>
        <v>445</v>
      </c>
      <c r="FP346" s="14">
        <f t="shared" si="400"/>
        <v>1760</v>
      </c>
      <c r="FQ346" s="14">
        <f t="shared" si="401"/>
        <v>0</v>
      </c>
      <c r="FR346" s="14">
        <f t="shared" si="402"/>
        <v>0</v>
      </c>
      <c r="FS346" s="14">
        <f t="shared" si="403"/>
        <v>89</v>
      </c>
      <c r="FT346" s="14">
        <f t="shared" si="404"/>
        <v>0</v>
      </c>
      <c r="FU346" s="14">
        <f t="shared" si="405"/>
        <v>0</v>
      </c>
      <c r="FV346" s="14">
        <f t="shared" si="386"/>
        <v>1094</v>
      </c>
      <c r="FW346" s="14">
        <f t="shared" si="387"/>
        <v>6</v>
      </c>
      <c r="FX346" s="14">
        <f t="shared" si="388"/>
        <v>1094</v>
      </c>
      <c r="FY346" s="25" t="str">
        <f t="shared" si="406"/>
        <v>icon_2009101</v>
      </c>
      <c r="GC346" s="14">
        <f t="shared" si="389"/>
        <v>1</v>
      </c>
      <c r="GD346" s="14">
        <f t="shared" si="390"/>
        <v>0</v>
      </c>
      <c r="GE346" s="14">
        <f t="shared" si="407"/>
        <v>445</v>
      </c>
      <c r="GF346" s="14" t="str">
        <f t="shared" si="391"/>
        <v>AtkExt</v>
      </c>
      <c r="GG346" s="14">
        <f t="shared" si="408"/>
        <v>1760</v>
      </c>
      <c r="GH346" s="14">
        <f t="shared" si="409"/>
        <v>89</v>
      </c>
      <c r="GI346" s="14" t="str">
        <f t="shared" si="392"/>
        <v/>
      </c>
      <c r="GJ346" s="14" t="str">
        <f t="shared" si="410"/>
        <v/>
      </c>
      <c r="GK346" s="14" t="str">
        <f t="shared" si="411"/>
        <v/>
      </c>
      <c r="GL346" s="14">
        <f t="shared" si="393"/>
        <v>20940</v>
      </c>
      <c r="GM346" s="14">
        <f t="shared" si="412"/>
        <v>6</v>
      </c>
      <c r="GN346" s="14">
        <f t="shared" si="413"/>
        <v>1094</v>
      </c>
      <c r="GO346" s="25" t="s">
        <v>1471</v>
      </c>
      <c r="GP346" s="14">
        <f t="shared" si="394"/>
        <v>1000</v>
      </c>
      <c r="HK346" s="13">
        <v>341</v>
      </c>
      <c r="HL346" s="14">
        <f t="shared" si="414"/>
        <v>15</v>
      </c>
      <c r="HM346" s="14">
        <f t="shared" si="415"/>
        <v>2</v>
      </c>
      <c r="HN346" s="14">
        <f t="shared" si="416"/>
        <v>4</v>
      </c>
      <c r="HO346" s="14">
        <f t="shared" si="417"/>
        <v>3</v>
      </c>
      <c r="HP346" s="14" t="str">
        <f t="shared" si="418"/>
        <v>70级守护灵洗练-Q3-5</v>
      </c>
      <c r="HQ346" s="14">
        <f t="shared" si="419"/>
        <v>2043</v>
      </c>
      <c r="HR346" s="14">
        <f t="shared" si="420"/>
        <v>5</v>
      </c>
      <c r="HS346" s="14">
        <f t="shared" si="421"/>
        <v>400</v>
      </c>
      <c r="HT346" s="14" t="str">
        <f t="shared" si="422"/>
        <v>DefRate</v>
      </c>
      <c r="HU346" s="14">
        <f t="shared" si="423"/>
        <v>1.4E-2</v>
      </c>
      <c r="HV346" s="14">
        <f t="shared" si="424"/>
        <v>0.04</v>
      </c>
    </row>
    <row r="347" spans="151:230" ht="16.5" x14ac:dyDescent="0.2">
      <c r="EU347" s="13">
        <v>342</v>
      </c>
      <c r="EV347" s="14">
        <f t="shared" si="395"/>
        <v>1</v>
      </c>
      <c r="EW347" s="14">
        <f t="shared" si="396"/>
        <v>342</v>
      </c>
      <c r="EX347" s="14">
        <f t="shared" si="397"/>
        <v>46</v>
      </c>
      <c r="EY347" s="14">
        <f t="shared" si="372"/>
        <v>40</v>
      </c>
      <c r="EZ347" s="14">
        <f t="shared" si="373"/>
        <v>9</v>
      </c>
      <c r="FA347" s="14">
        <f t="shared" si="374"/>
        <v>130</v>
      </c>
      <c r="FB347" s="14">
        <f t="shared" si="375"/>
        <v>4</v>
      </c>
      <c r="FC347" s="14">
        <f t="shared" si="376"/>
        <v>2</v>
      </c>
      <c r="FD347" s="14">
        <f t="shared" si="377"/>
        <v>2</v>
      </c>
      <c r="FE347" s="14" t="b">
        <f t="shared" si="398"/>
        <v>0</v>
      </c>
      <c r="FF347" s="14">
        <f t="shared" si="378"/>
        <v>2009402</v>
      </c>
      <c r="FG347" s="13" t="str">
        <f t="shared" si="379"/>
        <v>130级-史诗寄灵人の头盔</v>
      </c>
      <c r="FH347" s="14">
        <f t="shared" si="380"/>
        <v>1</v>
      </c>
      <c r="FI347" s="14">
        <f t="shared" si="381"/>
        <v>4</v>
      </c>
      <c r="FJ347" s="14">
        <f t="shared" si="382"/>
        <v>130</v>
      </c>
      <c r="FK347" s="14">
        <v>1</v>
      </c>
      <c r="FL347" s="14">
        <f t="shared" si="383"/>
        <v>9</v>
      </c>
      <c r="FM347" s="14">
        <f t="shared" si="399"/>
        <v>2</v>
      </c>
      <c r="FN347" s="14" t="str">
        <f t="shared" si="384"/>
        <v/>
      </c>
      <c r="FO347" s="14">
        <f t="shared" si="385"/>
        <v>220</v>
      </c>
      <c r="FP347" s="14">
        <f t="shared" si="400"/>
        <v>0</v>
      </c>
      <c r="FQ347" s="14">
        <f t="shared" si="401"/>
        <v>440</v>
      </c>
      <c r="FR347" s="14">
        <f t="shared" si="402"/>
        <v>0</v>
      </c>
      <c r="FS347" s="14">
        <f t="shared" si="403"/>
        <v>0</v>
      </c>
      <c r="FT347" s="14">
        <f t="shared" si="404"/>
        <v>22</v>
      </c>
      <c r="FU347" s="14">
        <f t="shared" si="405"/>
        <v>0</v>
      </c>
      <c r="FV347" s="14">
        <f t="shared" si="386"/>
        <v>1094</v>
      </c>
      <c r="FW347" s="14">
        <f t="shared" si="387"/>
        <v>6</v>
      </c>
      <c r="FX347" s="14">
        <f t="shared" si="388"/>
        <v>1094</v>
      </c>
      <c r="FY347" s="25" t="str">
        <f t="shared" si="406"/>
        <v>icon_2009102</v>
      </c>
      <c r="GC347" s="14">
        <f t="shared" si="389"/>
        <v>2</v>
      </c>
      <c r="GD347" s="14">
        <f t="shared" si="390"/>
        <v>0</v>
      </c>
      <c r="GE347" s="14">
        <f t="shared" si="407"/>
        <v>220</v>
      </c>
      <c r="GF347" s="14" t="str">
        <f t="shared" si="391"/>
        <v>DefExt</v>
      </c>
      <c r="GG347" s="14">
        <f t="shared" si="408"/>
        <v>440</v>
      </c>
      <c r="GH347" s="14">
        <f t="shared" si="409"/>
        <v>22</v>
      </c>
      <c r="GI347" s="14" t="str">
        <f t="shared" si="392"/>
        <v/>
      </c>
      <c r="GJ347" s="14" t="str">
        <f t="shared" si="410"/>
        <v/>
      </c>
      <c r="GK347" s="14" t="str">
        <f t="shared" si="411"/>
        <v/>
      </c>
      <c r="GL347" s="14">
        <f t="shared" si="393"/>
        <v>20940</v>
      </c>
      <c r="GM347" s="14">
        <f t="shared" si="412"/>
        <v>6</v>
      </c>
      <c r="GN347" s="14">
        <f t="shared" si="413"/>
        <v>1094</v>
      </c>
      <c r="GO347" s="25" t="s">
        <v>1471</v>
      </c>
      <c r="GP347" s="14">
        <f t="shared" si="394"/>
        <v>500</v>
      </c>
      <c r="HK347" s="13">
        <v>342</v>
      </c>
      <c r="HL347" s="14">
        <f t="shared" si="414"/>
        <v>15</v>
      </c>
      <c r="HM347" s="14">
        <f t="shared" si="415"/>
        <v>2</v>
      </c>
      <c r="HN347" s="14">
        <f t="shared" si="416"/>
        <v>4</v>
      </c>
      <c r="HO347" s="14">
        <f t="shared" si="417"/>
        <v>3</v>
      </c>
      <c r="HP347" s="14" t="str">
        <f t="shared" si="418"/>
        <v>70级守护灵洗练-Q3-6</v>
      </c>
      <c r="HQ347" s="14">
        <f t="shared" si="419"/>
        <v>2043</v>
      </c>
      <c r="HR347" s="14">
        <f t="shared" si="420"/>
        <v>6</v>
      </c>
      <c r="HS347" s="14">
        <f t="shared" si="421"/>
        <v>500</v>
      </c>
      <c r="HT347" s="14" t="str">
        <f t="shared" si="422"/>
        <v>HPRate</v>
      </c>
      <c r="HU347" s="14">
        <f t="shared" si="423"/>
        <v>1.4E-2</v>
      </c>
      <c r="HV347" s="14">
        <f t="shared" si="424"/>
        <v>0.04</v>
      </c>
    </row>
    <row r="348" spans="151:230" ht="16.5" x14ac:dyDescent="0.2">
      <c r="EU348" s="13">
        <v>343</v>
      </c>
      <c r="EV348" s="14">
        <f t="shared" si="395"/>
        <v>1</v>
      </c>
      <c r="EW348" s="14">
        <f t="shared" si="396"/>
        <v>343</v>
      </c>
      <c r="EX348" s="14">
        <f t="shared" si="397"/>
        <v>46</v>
      </c>
      <c r="EY348" s="14">
        <f t="shared" si="372"/>
        <v>40</v>
      </c>
      <c r="EZ348" s="14">
        <f t="shared" si="373"/>
        <v>9</v>
      </c>
      <c r="FA348" s="14">
        <f t="shared" si="374"/>
        <v>130</v>
      </c>
      <c r="FB348" s="14">
        <f t="shared" si="375"/>
        <v>4</v>
      </c>
      <c r="FC348" s="14">
        <f t="shared" si="376"/>
        <v>3</v>
      </c>
      <c r="FD348" s="14">
        <f t="shared" si="377"/>
        <v>3</v>
      </c>
      <c r="FE348" s="14" t="b">
        <f t="shared" si="398"/>
        <v>0</v>
      </c>
      <c r="FF348" s="14">
        <f t="shared" si="378"/>
        <v>2009403</v>
      </c>
      <c r="FG348" s="13" t="str">
        <f t="shared" si="379"/>
        <v>130级-史诗寄灵人の铠甲</v>
      </c>
      <c r="FH348" s="14">
        <f t="shared" si="380"/>
        <v>1</v>
      </c>
      <c r="FI348" s="14">
        <f t="shared" si="381"/>
        <v>4</v>
      </c>
      <c r="FJ348" s="14">
        <f t="shared" si="382"/>
        <v>130</v>
      </c>
      <c r="FK348" s="14">
        <v>1</v>
      </c>
      <c r="FL348" s="14">
        <f t="shared" si="383"/>
        <v>9</v>
      </c>
      <c r="FM348" s="14">
        <f t="shared" si="399"/>
        <v>3</v>
      </c>
      <c r="FN348" s="14" t="str">
        <f t="shared" si="384"/>
        <v/>
      </c>
      <c r="FO348" s="14">
        <f t="shared" si="385"/>
        <v>320</v>
      </c>
      <c r="FP348" s="14">
        <f t="shared" si="400"/>
        <v>0</v>
      </c>
      <c r="FQ348" s="14">
        <f t="shared" si="401"/>
        <v>220</v>
      </c>
      <c r="FR348" s="14">
        <f t="shared" si="402"/>
        <v>4150</v>
      </c>
      <c r="FS348" s="14">
        <f t="shared" si="403"/>
        <v>0</v>
      </c>
      <c r="FT348" s="14">
        <f t="shared" si="404"/>
        <v>11</v>
      </c>
      <c r="FU348" s="14">
        <f t="shared" si="405"/>
        <v>210</v>
      </c>
      <c r="FV348" s="14">
        <f t="shared" si="386"/>
        <v>1094</v>
      </c>
      <c r="FW348" s="14">
        <f t="shared" si="387"/>
        <v>6</v>
      </c>
      <c r="FX348" s="14">
        <f t="shared" si="388"/>
        <v>1094</v>
      </c>
      <c r="FY348" s="25" t="str">
        <f t="shared" si="406"/>
        <v>icon_2009103</v>
      </c>
      <c r="GC348" s="14">
        <f t="shared" si="389"/>
        <v>2</v>
      </c>
      <c r="GD348" s="14">
        <f t="shared" si="390"/>
        <v>3</v>
      </c>
      <c r="GE348" s="14">
        <f t="shared" si="407"/>
        <v>320</v>
      </c>
      <c r="GF348" s="14" t="str">
        <f t="shared" si="391"/>
        <v>DefExt</v>
      </c>
      <c r="GG348" s="14">
        <f t="shared" si="408"/>
        <v>220</v>
      </c>
      <c r="GH348" s="14">
        <f t="shared" si="409"/>
        <v>11</v>
      </c>
      <c r="GI348" s="14" t="str">
        <f t="shared" si="392"/>
        <v>HPExt</v>
      </c>
      <c r="GJ348" s="14">
        <f t="shared" si="410"/>
        <v>4150</v>
      </c>
      <c r="GK348" s="14">
        <f t="shared" si="411"/>
        <v>210</v>
      </c>
      <c r="GL348" s="14">
        <f t="shared" si="393"/>
        <v>20940</v>
      </c>
      <c r="GM348" s="14">
        <f t="shared" si="412"/>
        <v>6</v>
      </c>
      <c r="GN348" s="14">
        <f t="shared" si="413"/>
        <v>1094</v>
      </c>
      <c r="GO348" s="25" t="s">
        <v>1471</v>
      </c>
      <c r="GP348" s="14">
        <f t="shared" si="394"/>
        <v>500</v>
      </c>
      <c r="HK348" s="13">
        <v>343</v>
      </c>
      <c r="HL348" s="14">
        <f t="shared" si="414"/>
        <v>15</v>
      </c>
      <c r="HM348" s="14">
        <f t="shared" si="415"/>
        <v>2</v>
      </c>
      <c r="HN348" s="14">
        <f t="shared" si="416"/>
        <v>4</v>
      </c>
      <c r="HO348" s="14">
        <f t="shared" si="417"/>
        <v>3</v>
      </c>
      <c r="HP348" s="14" t="str">
        <f t="shared" si="418"/>
        <v>70级守护灵洗练-Q3-7</v>
      </c>
      <c r="HQ348" s="14">
        <f t="shared" si="419"/>
        <v>2043</v>
      </c>
      <c r="HR348" s="14">
        <f t="shared" si="420"/>
        <v>7</v>
      </c>
      <c r="HS348" s="14">
        <f t="shared" si="421"/>
        <v>500</v>
      </c>
      <c r="HT348" s="14" t="str">
        <f t="shared" si="422"/>
        <v>Crit</v>
      </c>
      <c r="HU348" s="14">
        <f t="shared" si="423"/>
        <v>1.0999999999999999E-2</v>
      </c>
      <c r="HV348" s="14">
        <f t="shared" si="424"/>
        <v>0.03</v>
      </c>
    </row>
    <row r="349" spans="151:230" ht="16.5" x14ac:dyDescent="0.2">
      <c r="EU349" s="13">
        <v>344</v>
      </c>
      <c r="EV349" s="14">
        <f t="shared" si="395"/>
        <v>1</v>
      </c>
      <c r="EW349" s="14">
        <f t="shared" si="396"/>
        <v>344</v>
      </c>
      <c r="EX349" s="14">
        <f t="shared" si="397"/>
        <v>46</v>
      </c>
      <c r="EY349" s="14">
        <f t="shared" si="372"/>
        <v>40</v>
      </c>
      <c r="EZ349" s="14">
        <f t="shared" si="373"/>
        <v>9</v>
      </c>
      <c r="FA349" s="14">
        <f t="shared" si="374"/>
        <v>130</v>
      </c>
      <c r="FB349" s="14">
        <f t="shared" si="375"/>
        <v>4</v>
      </c>
      <c r="FC349" s="14">
        <f t="shared" si="376"/>
        <v>4</v>
      </c>
      <c r="FD349" s="14">
        <f t="shared" si="377"/>
        <v>4</v>
      </c>
      <c r="FE349" s="14" t="b">
        <f t="shared" si="398"/>
        <v>0</v>
      </c>
      <c r="FF349" s="14">
        <f t="shared" si="378"/>
        <v>2009404</v>
      </c>
      <c r="FG349" s="13" t="str">
        <f t="shared" si="379"/>
        <v>130级-史诗寄灵人の裤子</v>
      </c>
      <c r="FH349" s="14">
        <f t="shared" si="380"/>
        <v>1</v>
      </c>
      <c r="FI349" s="14">
        <f t="shared" si="381"/>
        <v>4</v>
      </c>
      <c r="FJ349" s="14">
        <f t="shared" si="382"/>
        <v>130</v>
      </c>
      <c r="FK349" s="14">
        <v>1</v>
      </c>
      <c r="FL349" s="14">
        <f t="shared" si="383"/>
        <v>9</v>
      </c>
      <c r="FM349" s="14">
        <f t="shared" si="399"/>
        <v>4</v>
      </c>
      <c r="FN349" s="14" t="str">
        <f t="shared" si="384"/>
        <v/>
      </c>
      <c r="FO349" s="14">
        <f t="shared" si="385"/>
        <v>220</v>
      </c>
      <c r="FP349" s="14">
        <f t="shared" si="400"/>
        <v>0</v>
      </c>
      <c r="FQ349" s="14">
        <f t="shared" si="401"/>
        <v>440</v>
      </c>
      <c r="FR349" s="14">
        <f t="shared" si="402"/>
        <v>0</v>
      </c>
      <c r="FS349" s="14">
        <f t="shared" si="403"/>
        <v>0</v>
      </c>
      <c r="FT349" s="14">
        <f t="shared" si="404"/>
        <v>22</v>
      </c>
      <c r="FU349" s="14">
        <f t="shared" si="405"/>
        <v>0</v>
      </c>
      <c r="FV349" s="14">
        <f t="shared" si="386"/>
        <v>1094</v>
      </c>
      <c r="FW349" s="14">
        <f t="shared" si="387"/>
        <v>6</v>
      </c>
      <c r="FX349" s="14">
        <f t="shared" si="388"/>
        <v>1094</v>
      </c>
      <c r="FY349" s="25" t="str">
        <f t="shared" si="406"/>
        <v>icon_2009104</v>
      </c>
      <c r="GC349" s="14">
        <f t="shared" si="389"/>
        <v>2</v>
      </c>
      <c r="GD349" s="14">
        <f t="shared" si="390"/>
        <v>0</v>
      </c>
      <c r="GE349" s="14">
        <f t="shared" si="407"/>
        <v>220</v>
      </c>
      <c r="GF349" s="14" t="str">
        <f t="shared" si="391"/>
        <v>DefExt</v>
      </c>
      <c r="GG349" s="14">
        <f t="shared" si="408"/>
        <v>440</v>
      </c>
      <c r="GH349" s="14">
        <f t="shared" si="409"/>
        <v>22</v>
      </c>
      <c r="GI349" s="14" t="str">
        <f t="shared" si="392"/>
        <v/>
      </c>
      <c r="GJ349" s="14" t="str">
        <f t="shared" si="410"/>
        <v/>
      </c>
      <c r="GK349" s="14" t="str">
        <f t="shared" si="411"/>
        <v/>
      </c>
      <c r="GL349" s="14">
        <f t="shared" si="393"/>
        <v>20940</v>
      </c>
      <c r="GM349" s="14">
        <f t="shared" si="412"/>
        <v>6</v>
      </c>
      <c r="GN349" s="14">
        <f t="shared" si="413"/>
        <v>1094</v>
      </c>
      <c r="GO349" s="25" t="s">
        <v>1471</v>
      </c>
      <c r="GP349" s="14">
        <f t="shared" si="394"/>
        <v>500</v>
      </c>
      <c r="HK349" s="13">
        <v>344</v>
      </c>
      <c r="HL349" s="14">
        <f t="shared" si="414"/>
        <v>15</v>
      </c>
      <c r="HM349" s="14">
        <f t="shared" si="415"/>
        <v>2</v>
      </c>
      <c r="HN349" s="14">
        <f t="shared" si="416"/>
        <v>4</v>
      </c>
      <c r="HO349" s="14">
        <f t="shared" si="417"/>
        <v>3</v>
      </c>
      <c r="HP349" s="14" t="str">
        <f t="shared" si="418"/>
        <v>70级守护灵洗练-Q3-8</v>
      </c>
      <c r="HQ349" s="14">
        <f t="shared" si="419"/>
        <v>2043</v>
      </c>
      <c r="HR349" s="14">
        <f t="shared" si="420"/>
        <v>8</v>
      </c>
      <c r="HS349" s="14">
        <f t="shared" si="421"/>
        <v>500</v>
      </c>
      <c r="HT349" s="14" t="str">
        <f t="shared" si="422"/>
        <v>CritRate</v>
      </c>
      <c r="HU349" s="14">
        <f t="shared" si="423"/>
        <v>2.8000000000000001E-2</v>
      </c>
      <c r="HV349" s="14">
        <f t="shared" si="424"/>
        <v>0.08</v>
      </c>
    </row>
    <row r="350" spans="151:230" ht="16.5" x14ac:dyDescent="0.2">
      <c r="EU350" s="13">
        <v>345</v>
      </c>
      <c r="EV350" s="14">
        <f t="shared" si="395"/>
        <v>1</v>
      </c>
      <c r="EW350" s="14">
        <f t="shared" si="396"/>
        <v>345</v>
      </c>
      <c r="EX350" s="14">
        <f t="shared" si="397"/>
        <v>46</v>
      </c>
      <c r="EY350" s="14">
        <f t="shared" si="372"/>
        <v>40</v>
      </c>
      <c r="EZ350" s="14">
        <f t="shared" si="373"/>
        <v>9</v>
      </c>
      <c r="FA350" s="14">
        <f t="shared" si="374"/>
        <v>130</v>
      </c>
      <c r="FB350" s="14">
        <f t="shared" si="375"/>
        <v>4</v>
      </c>
      <c r="FC350" s="14">
        <f t="shared" si="376"/>
        <v>5</v>
      </c>
      <c r="FD350" s="14">
        <f t="shared" si="377"/>
        <v>5</v>
      </c>
      <c r="FE350" s="14" t="b">
        <f t="shared" si="398"/>
        <v>0</v>
      </c>
      <c r="FF350" s="14">
        <f t="shared" si="378"/>
        <v>2009405</v>
      </c>
      <c r="FG350" s="13" t="str">
        <f t="shared" si="379"/>
        <v>130级-史诗寄灵人の鞋子</v>
      </c>
      <c r="FH350" s="14">
        <f t="shared" si="380"/>
        <v>1</v>
      </c>
      <c r="FI350" s="14">
        <f t="shared" si="381"/>
        <v>4</v>
      </c>
      <c r="FJ350" s="14">
        <f t="shared" si="382"/>
        <v>130</v>
      </c>
      <c r="FK350" s="14">
        <v>1</v>
      </c>
      <c r="FL350" s="14">
        <f t="shared" si="383"/>
        <v>9</v>
      </c>
      <c r="FM350" s="14">
        <f t="shared" si="399"/>
        <v>5</v>
      </c>
      <c r="FN350" s="14" t="str">
        <f t="shared" si="384"/>
        <v/>
      </c>
      <c r="FO350" s="14">
        <f t="shared" si="385"/>
        <v>421</v>
      </c>
      <c r="FP350" s="14">
        <f t="shared" si="400"/>
        <v>0</v>
      </c>
      <c r="FQ350" s="14">
        <f t="shared" si="401"/>
        <v>0</v>
      </c>
      <c r="FR350" s="14">
        <f t="shared" si="402"/>
        <v>8300</v>
      </c>
      <c r="FS350" s="14">
        <f t="shared" si="403"/>
        <v>0</v>
      </c>
      <c r="FT350" s="14">
        <f t="shared" si="404"/>
        <v>0</v>
      </c>
      <c r="FU350" s="14">
        <f t="shared" si="405"/>
        <v>421</v>
      </c>
      <c r="FV350" s="14">
        <f t="shared" si="386"/>
        <v>1094</v>
      </c>
      <c r="FW350" s="14">
        <f t="shared" si="387"/>
        <v>6</v>
      </c>
      <c r="FX350" s="14">
        <f t="shared" si="388"/>
        <v>1094</v>
      </c>
      <c r="FY350" s="25" t="str">
        <f t="shared" si="406"/>
        <v>icon_2009105</v>
      </c>
      <c r="GC350" s="14">
        <f t="shared" si="389"/>
        <v>3</v>
      </c>
      <c r="GD350" s="14">
        <f t="shared" si="390"/>
        <v>0</v>
      </c>
      <c r="GE350" s="14">
        <f t="shared" si="407"/>
        <v>421</v>
      </c>
      <c r="GF350" s="14" t="str">
        <f t="shared" si="391"/>
        <v>HPExt</v>
      </c>
      <c r="GG350" s="14">
        <f t="shared" si="408"/>
        <v>8300</v>
      </c>
      <c r="GH350" s="14">
        <f t="shared" si="409"/>
        <v>421</v>
      </c>
      <c r="GI350" s="14" t="str">
        <f t="shared" si="392"/>
        <v/>
      </c>
      <c r="GJ350" s="14" t="str">
        <f t="shared" si="410"/>
        <v/>
      </c>
      <c r="GK350" s="14" t="str">
        <f t="shared" si="411"/>
        <v/>
      </c>
      <c r="GL350" s="14">
        <f t="shared" si="393"/>
        <v>20940</v>
      </c>
      <c r="GM350" s="14">
        <f t="shared" si="412"/>
        <v>6</v>
      </c>
      <c r="GN350" s="14">
        <f t="shared" si="413"/>
        <v>1094</v>
      </c>
      <c r="GO350" s="25" t="s">
        <v>1471</v>
      </c>
      <c r="GP350" s="14">
        <f t="shared" si="394"/>
        <v>500</v>
      </c>
      <c r="HK350" s="13">
        <v>345</v>
      </c>
      <c r="HL350" s="14">
        <f t="shared" si="414"/>
        <v>15</v>
      </c>
      <c r="HM350" s="14">
        <f t="shared" si="415"/>
        <v>2</v>
      </c>
      <c r="HN350" s="14">
        <f t="shared" si="416"/>
        <v>4</v>
      </c>
      <c r="HO350" s="14">
        <f t="shared" si="417"/>
        <v>3</v>
      </c>
      <c r="HP350" s="14" t="str">
        <f t="shared" si="418"/>
        <v>70级守护灵洗练-Q3-9</v>
      </c>
      <c r="HQ350" s="14">
        <f t="shared" si="419"/>
        <v>2043</v>
      </c>
      <c r="HR350" s="14">
        <f t="shared" si="420"/>
        <v>9</v>
      </c>
      <c r="HS350" s="14">
        <f t="shared" si="421"/>
        <v>500</v>
      </c>
      <c r="HT350" s="14" t="str">
        <f t="shared" si="422"/>
        <v>DefIgnor</v>
      </c>
      <c r="HU350" s="14">
        <f t="shared" si="423"/>
        <v>1.0999999999999999E-2</v>
      </c>
      <c r="HV350" s="14">
        <f t="shared" si="424"/>
        <v>0.03</v>
      </c>
    </row>
    <row r="351" spans="151:230" ht="16.5" x14ac:dyDescent="0.2">
      <c r="EU351" s="13">
        <v>346</v>
      </c>
      <c r="EV351" s="14">
        <f t="shared" si="395"/>
        <v>1</v>
      </c>
      <c r="EW351" s="14">
        <f t="shared" si="396"/>
        <v>346</v>
      </c>
      <c r="EX351" s="14">
        <f t="shared" si="397"/>
        <v>46</v>
      </c>
      <c r="EY351" s="14">
        <f t="shared" si="372"/>
        <v>40</v>
      </c>
      <c r="EZ351" s="14">
        <f t="shared" si="373"/>
        <v>9</v>
      </c>
      <c r="FA351" s="14">
        <f t="shared" si="374"/>
        <v>130</v>
      </c>
      <c r="FB351" s="14">
        <f t="shared" si="375"/>
        <v>4</v>
      </c>
      <c r="FC351" s="14">
        <f t="shared" si="376"/>
        <v>6</v>
      </c>
      <c r="FD351" s="14">
        <f t="shared" si="377"/>
        <v>6</v>
      </c>
      <c r="FE351" s="14" t="b">
        <f t="shared" si="398"/>
        <v>0</v>
      </c>
      <c r="FF351" s="14">
        <f t="shared" si="378"/>
        <v>2009406</v>
      </c>
      <c r="FG351" s="13" t="str">
        <f t="shared" si="379"/>
        <v>130级-史诗寄灵人の护手</v>
      </c>
      <c r="FH351" s="14">
        <f t="shared" si="380"/>
        <v>1</v>
      </c>
      <c r="FI351" s="14">
        <f t="shared" si="381"/>
        <v>4</v>
      </c>
      <c r="FJ351" s="14">
        <f t="shared" si="382"/>
        <v>130</v>
      </c>
      <c r="FK351" s="14">
        <v>1</v>
      </c>
      <c r="FL351" s="14">
        <f t="shared" si="383"/>
        <v>9</v>
      </c>
      <c r="FM351" s="14">
        <f t="shared" si="399"/>
        <v>6</v>
      </c>
      <c r="FN351" s="14" t="str">
        <f t="shared" si="384"/>
        <v/>
      </c>
      <c r="FO351" s="14">
        <f t="shared" si="385"/>
        <v>421</v>
      </c>
      <c r="FP351" s="14">
        <f t="shared" si="400"/>
        <v>0</v>
      </c>
      <c r="FQ351" s="14">
        <f t="shared" si="401"/>
        <v>0</v>
      </c>
      <c r="FR351" s="14">
        <f t="shared" si="402"/>
        <v>8300</v>
      </c>
      <c r="FS351" s="14">
        <f t="shared" si="403"/>
        <v>0</v>
      </c>
      <c r="FT351" s="14">
        <f t="shared" si="404"/>
        <v>0</v>
      </c>
      <c r="FU351" s="14">
        <f t="shared" si="405"/>
        <v>421</v>
      </c>
      <c r="FV351" s="14">
        <f t="shared" si="386"/>
        <v>1094</v>
      </c>
      <c r="FW351" s="14">
        <f t="shared" si="387"/>
        <v>6</v>
      </c>
      <c r="FX351" s="14">
        <f t="shared" si="388"/>
        <v>1094</v>
      </c>
      <c r="FY351" s="25" t="str">
        <f t="shared" si="406"/>
        <v>icon_2009106</v>
      </c>
      <c r="GC351" s="14">
        <f t="shared" si="389"/>
        <v>3</v>
      </c>
      <c r="GD351" s="14">
        <f t="shared" si="390"/>
        <v>0</v>
      </c>
      <c r="GE351" s="14">
        <f t="shared" si="407"/>
        <v>421</v>
      </c>
      <c r="GF351" s="14" t="str">
        <f t="shared" si="391"/>
        <v>HPExt</v>
      </c>
      <c r="GG351" s="14">
        <f t="shared" si="408"/>
        <v>8300</v>
      </c>
      <c r="GH351" s="14">
        <f t="shared" si="409"/>
        <v>421</v>
      </c>
      <c r="GI351" s="14" t="str">
        <f t="shared" si="392"/>
        <v/>
      </c>
      <c r="GJ351" s="14" t="str">
        <f t="shared" si="410"/>
        <v/>
      </c>
      <c r="GK351" s="14" t="str">
        <f t="shared" si="411"/>
        <v/>
      </c>
      <c r="GL351" s="14">
        <f t="shared" si="393"/>
        <v>20940</v>
      </c>
      <c r="GM351" s="14">
        <f t="shared" si="412"/>
        <v>6</v>
      </c>
      <c r="GN351" s="14">
        <f t="shared" si="413"/>
        <v>1094</v>
      </c>
      <c r="GO351" s="25" t="s">
        <v>1471</v>
      </c>
      <c r="GP351" s="14">
        <f t="shared" si="394"/>
        <v>500</v>
      </c>
      <c r="HK351" s="13">
        <v>346</v>
      </c>
      <c r="HL351" s="14">
        <f t="shared" si="414"/>
        <v>15</v>
      </c>
      <c r="HM351" s="14">
        <f t="shared" si="415"/>
        <v>2</v>
      </c>
      <c r="HN351" s="14">
        <f t="shared" si="416"/>
        <v>4</v>
      </c>
      <c r="HO351" s="14">
        <f t="shared" si="417"/>
        <v>3</v>
      </c>
      <c r="HP351" s="14" t="str">
        <f t="shared" si="418"/>
        <v>70级守护灵洗练-Q3-10</v>
      </c>
      <c r="HQ351" s="14">
        <f t="shared" si="419"/>
        <v>2043</v>
      </c>
      <c r="HR351" s="14">
        <f t="shared" si="420"/>
        <v>10</v>
      </c>
      <c r="HS351" s="14">
        <f t="shared" si="421"/>
        <v>500</v>
      </c>
      <c r="HT351" s="14" t="str">
        <f t="shared" si="422"/>
        <v>Block</v>
      </c>
      <c r="HU351" s="14">
        <f t="shared" si="423"/>
        <v>1.0999999999999999E-2</v>
      </c>
      <c r="HV351" s="14">
        <f t="shared" si="424"/>
        <v>0.03</v>
      </c>
    </row>
    <row r="352" spans="151:230" ht="16.5" x14ac:dyDescent="0.2">
      <c r="EU352" s="13">
        <v>347</v>
      </c>
      <c r="EV352" s="14">
        <f t="shared" si="395"/>
        <v>1</v>
      </c>
      <c r="EW352" s="14">
        <f t="shared" si="396"/>
        <v>347</v>
      </c>
      <c r="EX352" s="14">
        <f t="shared" si="397"/>
        <v>46</v>
      </c>
      <c r="EY352" s="14">
        <f t="shared" si="372"/>
        <v>40</v>
      </c>
      <c r="EZ352" s="14">
        <f t="shared" si="373"/>
        <v>9</v>
      </c>
      <c r="FA352" s="14">
        <f t="shared" si="374"/>
        <v>130</v>
      </c>
      <c r="FB352" s="14">
        <f t="shared" si="375"/>
        <v>4</v>
      </c>
      <c r="FC352" s="14">
        <f t="shared" si="376"/>
        <v>7</v>
      </c>
      <c r="FD352" s="14">
        <f t="shared" si="377"/>
        <v>7</v>
      </c>
      <c r="FE352" s="14" t="b">
        <f t="shared" si="398"/>
        <v>0</v>
      </c>
      <c r="FF352" s="14">
        <f t="shared" si="378"/>
        <v>2009407</v>
      </c>
      <c r="FG352" s="13" t="str">
        <f t="shared" si="379"/>
        <v>130级-史诗寄灵人の项链</v>
      </c>
      <c r="FH352" s="14">
        <f t="shared" si="380"/>
        <v>1</v>
      </c>
      <c r="FI352" s="14">
        <f t="shared" si="381"/>
        <v>4</v>
      </c>
      <c r="FJ352" s="14">
        <f t="shared" si="382"/>
        <v>130</v>
      </c>
      <c r="FK352" s="14">
        <v>1</v>
      </c>
      <c r="FL352" s="14">
        <f t="shared" si="383"/>
        <v>9</v>
      </c>
      <c r="FM352" s="14">
        <f t="shared" si="399"/>
        <v>7</v>
      </c>
      <c r="FN352" s="14" t="str">
        <f t="shared" si="384"/>
        <v/>
      </c>
      <c r="FO352" s="14">
        <f t="shared" si="385"/>
        <v>340</v>
      </c>
      <c r="FP352" s="14">
        <f t="shared" si="400"/>
        <v>585</v>
      </c>
      <c r="FQ352" s="14">
        <f t="shared" si="401"/>
        <v>370</v>
      </c>
      <c r="FR352" s="14">
        <f t="shared" si="402"/>
        <v>0</v>
      </c>
      <c r="FS352" s="14">
        <f t="shared" si="403"/>
        <v>30</v>
      </c>
      <c r="FT352" s="14">
        <f t="shared" si="404"/>
        <v>19</v>
      </c>
      <c r="FU352" s="14">
        <f t="shared" si="405"/>
        <v>0</v>
      </c>
      <c r="FV352" s="14">
        <f t="shared" si="386"/>
        <v>1094</v>
      </c>
      <c r="FW352" s="14">
        <f t="shared" si="387"/>
        <v>6</v>
      </c>
      <c r="FX352" s="14">
        <f t="shared" si="388"/>
        <v>1094</v>
      </c>
      <c r="FY352" s="25" t="str">
        <f t="shared" si="406"/>
        <v>icon_2009107</v>
      </c>
      <c r="GC352" s="14">
        <f t="shared" si="389"/>
        <v>1</v>
      </c>
      <c r="GD352" s="14">
        <f t="shared" si="390"/>
        <v>2</v>
      </c>
      <c r="GE352" s="14">
        <f t="shared" si="407"/>
        <v>340</v>
      </c>
      <c r="GF352" s="14" t="str">
        <f t="shared" si="391"/>
        <v>AtkExt</v>
      </c>
      <c r="GG352" s="14">
        <f t="shared" si="408"/>
        <v>585</v>
      </c>
      <c r="GH352" s="14">
        <f t="shared" si="409"/>
        <v>30</v>
      </c>
      <c r="GI352" s="14" t="str">
        <f t="shared" si="392"/>
        <v>DefExt</v>
      </c>
      <c r="GJ352" s="14">
        <f t="shared" si="410"/>
        <v>370</v>
      </c>
      <c r="GK352" s="14">
        <f t="shared" si="411"/>
        <v>19</v>
      </c>
      <c r="GL352" s="14">
        <f t="shared" si="393"/>
        <v>20940</v>
      </c>
      <c r="GM352" s="14">
        <f t="shared" si="412"/>
        <v>6</v>
      </c>
      <c r="GN352" s="14">
        <f t="shared" si="413"/>
        <v>1094</v>
      </c>
      <c r="GO352" s="25" t="s">
        <v>1471</v>
      </c>
      <c r="GP352" s="14">
        <f t="shared" si="394"/>
        <v>750</v>
      </c>
      <c r="HK352" s="13">
        <v>347</v>
      </c>
      <c r="HL352" s="14">
        <f t="shared" si="414"/>
        <v>15</v>
      </c>
      <c r="HM352" s="14">
        <f t="shared" si="415"/>
        <v>2</v>
      </c>
      <c r="HN352" s="14">
        <f t="shared" si="416"/>
        <v>4</v>
      </c>
      <c r="HO352" s="14">
        <f t="shared" si="417"/>
        <v>3</v>
      </c>
      <c r="HP352" s="14" t="str">
        <f t="shared" si="418"/>
        <v>70级守护灵洗练-Q3-11</v>
      </c>
      <c r="HQ352" s="14">
        <f t="shared" si="419"/>
        <v>2043</v>
      </c>
      <c r="HR352" s="14">
        <f t="shared" si="420"/>
        <v>11</v>
      </c>
      <c r="HS352" s="14">
        <f t="shared" si="421"/>
        <v>500</v>
      </c>
      <c r="HT352" s="14" t="str">
        <f t="shared" si="422"/>
        <v>EffectHit</v>
      </c>
      <c r="HU352" s="14">
        <f t="shared" si="423"/>
        <v>1.7999999999999999E-2</v>
      </c>
      <c r="HV352" s="14">
        <f t="shared" si="424"/>
        <v>0.05</v>
      </c>
    </row>
    <row r="353" spans="151:230" ht="16.5" x14ac:dyDescent="0.2">
      <c r="EU353" s="13">
        <v>348</v>
      </c>
      <c r="EV353" s="14">
        <f t="shared" si="395"/>
        <v>1</v>
      </c>
      <c r="EW353" s="14">
        <f t="shared" si="396"/>
        <v>348</v>
      </c>
      <c r="EX353" s="14">
        <f t="shared" si="397"/>
        <v>46</v>
      </c>
      <c r="EY353" s="14">
        <f t="shared" si="372"/>
        <v>40</v>
      </c>
      <c r="EZ353" s="14">
        <f t="shared" si="373"/>
        <v>9</v>
      </c>
      <c r="FA353" s="14">
        <f t="shared" si="374"/>
        <v>130</v>
      </c>
      <c r="FB353" s="14">
        <f t="shared" si="375"/>
        <v>4</v>
      </c>
      <c r="FC353" s="14">
        <f t="shared" si="376"/>
        <v>8</v>
      </c>
      <c r="FD353" s="14">
        <f t="shared" si="377"/>
        <v>8</v>
      </c>
      <c r="FE353" s="14" t="b">
        <f t="shared" si="398"/>
        <v>0</v>
      </c>
      <c r="FF353" s="14">
        <f t="shared" si="378"/>
        <v>2009408</v>
      </c>
      <c r="FG353" s="13" t="str">
        <f t="shared" si="379"/>
        <v>130级-史诗寄灵人の戒指</v>
      </c>
      <c r="FH353" s="14">
        <f t="shared" si="380"/>
        <v>1</v>
      </c>
      <c r="FI353" s="14">
        <f t="shared" si="381"/>
        <v>4</v>
      </c>
      <c r="FJ353" s="14">
        <f t="shared" si="382"/>
        <v>130</v>
      </c>
      <c r="FK353" s="14">
        <v>1</v>
      </c>
      <c r="FL353" s="14">
        <f t="shared" si="383"/>
        <v>9</v>
      </c>
      <c r="FM353" s="14">
        <f t="shared" si="399"/>
        <v>8</v>
      </c>
      <c r="FN353" s="14" t="str">
        <f t="shared" si="384"/>
        <v/>
      </c>
      <c r="FO353" s="14">
        <f t="shared" si="385"/>
        <v>501</v>
      </c>
      <c r="FP353" s="14">
        <f t="shared" si="400"/>
        <v>585</v>
      </c>
      <c r="FQ353" s="14">
        <f t="shared" si="401"/>
        <v>0</v>
      </c>
      <c r="FR353" s="14">
        <f t="shared" si="402"/>
        <v>6915</v>
      </c>
      <c r="FS353" s="14">
        <f t="shared" si="403"/>
        <v>30</v>
      </c>
      <c r="FT353" s="14">
        <f t="shared" si="404"/>
        <v>0</v>
      </c>
      <c r="FU353" s="14">
        <f t="shared" si="405"/>
        <v>351</v>
      </c>
      <c r="FV353" s="14">
        <f t="shared" si="386"/>
        <v>1094</v>
      </c>
      <c r="FW353" s="14">
        <f t="shared" si="387"/>
        <v>6</v>
      </c>
      <c r="FX353" s="14">
        <f t="shared" si="388"/>
        <v>1094</v>
      </c>
      <c r="FY353" s="25" t="str">
        <f t="shared" si="406"/>
        <v>icon_2009108</v>
      </c>
      <c r="GC353" s="14">
        <f t="shared" si="389"/>
        <v>1</v>
      </c>
      <c r="GD353" s="14">
        <f t="shared" si="390"/>
        <v>3</v>
      </c>
      <c r="GE353" s="14">
        <f t="shared" si="407"/>
        <v>501</v>
      </c>
      <c r="GF353" s="14" t="str">
        <f t="shared" si="391"/>
        <v>AtkExt</v>
      </c>
      <c r="GG353" s="14">
        <f t="shared" si="408"/>
        <v>585</v>
      </c>
      <c r="GH353" s="14">
        <f t="shared" si="409"/>
        <v>30</v>
      </c>
      <c r="GI353" s="14" t="str">
        <f t="shared" si="392"/>
        <v>HPExt</v>
      </c>
      <c r="GJ353" s="14">
        <f t="shared" si="410"/>
        <v>6915</v>
      </c>
      <c r="GK353" s="14">
        <f t="shared" si="411"/>
        <v>351</v>
      </c>
      <c r="GL353" s="14">
        <f t="shared" si="393"/>
        <v>20940</v>
      </c>
      <c r="GM353" s="14">
        <f t="shared" si="412"/>
        <v>6</v>
      </c>
      <c r="GN353" s="14">
        <f t="shared" si="413"/>
        <v>1094</v>
      </c>
      <c r="GO353" s="25" t="s">
        <v>1471</v>
      </c>
      <c r="GP353" s="14">
        <f t="shared" si="394"/>
        <v>750</v>
      </c>
      <c r="HK353" s="13">
        <v>348</v>
      </c>
      <c r="HL353" s="14">
        <f t="shared" si="414"/>
        <v>15</v>
      </c>
      <c r="HM353" s="14">
        <f t="shared" si="415"/>
        <v>2</v>
      </c>
      <c r="HN353" s="14">
        <f t="shared" si="416"/>
        <v>4</v>
      </c>
      <c r="HO353" s="14">
        <f t="shared" si="417"/>
        <v>3</v>
      </c>
      <c r="HP353" s="14" t="str">
        <f t="shared" si="418"/>
        <v>70级守护灵洗练-Q3-12</v>
      </c>
      <c r="HQ353" s="14">
        <f t="shared" si="419"/>
        <v>2043</v>
      </c>
      <c r="HR353" s="14">
        <f t="shared" si="420"/>
        <v>12</v>
      </c>
      <c r="HS353" s="14">
        <f t="shared" si="421"/>
        <v>500</v>
      </c>
      <c r="HT353" s="14" t="str">
        <f t="shared" si="422"/>
        <v>EffectResist</v>
      </c>
      <c r="HU353" s="14">
        <f t="shared" si="423"/>
        <v>1.7999999999999999E-2</v>
      </c>
      <c r="HV353" s="14">
        <f t="shared" si="424"/>
        <v>0.05</v>
      </c>
    </row>
    <row r="354" spans="151:230" ht="16.5" x14ac:dyDescent="0.2">
      <c r="EU354" s="13">
        <v>349</v>
      </c>
      <c r="EV354" s="14">
        <f t="shared" si="395"/>
        <v>1</v>
      </c>
      <c r="EW354" s="14">
        <f t="shared" si="396"/>
        <v>349</v>
      </c>
      <c r="EX354" s="14">
        <f t="shared" si="397"/>
        <v>47</v>
      </c>
      <c r="EY354" s="14">
        <f t="shared" si="372"/>
        <v>42</v>
      </c>
      <c r="EZ354" s="14">
        <f t="shared" si="373"/>
        <v>9</v>
      </c>
      <c r="FA354" s="14">
        <f t="shared" si="374"/>
        <v>130</v>
      </c>
      <c r="FB354" s="14">
        <f t="shared" si="375"/>
        <v>4</v>
      </c>
      <c r="FC354" s="14">
        <f t="shared" si="376"/>
        <v>1</v>
      </c>
      <c r="FD354" s="14">
        <f t="shared" si="377"/>
        <v>1</v>
      </c>
      <c r="FE354" s="14" t="b">
        <f t="shared" si="398"/>
        <v>1</v>
      </c>
      <c r="FF354" s="14">
        <f t="shared" si="378"/>
        <v>2009421</v>
      </c>
      <c r="FG354" s="13" t="str">
        <f t="shared" si="379"/>
        <v>130级-防御套寄灵人の灵器</v>
      </c>
      <c r="FH354" s="14">
        <f t="shared" si="380"/>
        <v>1</v>
      </c>
      <c r="FI354" s="14">
        <f t="shared" si="381"/>
        <v>4</v>
      </c>
      <c r="FJ354" s="14">
        <f t="shared" si="382"/>
        <v>130</v>
      </c>
      <c r="FK354" s="14">
        <v>1</v>
      </c>
      <c r="FL354" s="14">
        <f t="shared" si="383"/>
        <v>9</v>
      </c>
      <c r="FM354" s="14">
        <f t="shared" si="399"/>
        <v>1</v>
      </c>
      <c r="FN354" s="14">
        <f t="shared" si="384"/>
        <v>200942</v>
      </c>
      <c r="FO354" s="14">
        <f t="shared" si="385"/>
        <v>667</v>
      </c>
      <c r="FP354" s="14">
        <f t="shared" si="400"/>
        <v>1760</v>
      </c>
      <c r="FQ354" s="14">
        <f t="shared" si="401"/>
        <v>0</v>
      </c>
      <c r="FR354" s="14">
        <f t="shared" si="402"/>
        <v>0</v>
      </c>
      <c r="FS354" s="14">
        <f t="shared" si="403"/>
        <v>89</v>
      </c>
      <c r="FT354" s="14">
        <f t="shared" si="404"/>
        <v>0</v>
      </c>
      <c r="FU354" s="14">
        <f t="shared" si="405"/>
        <v>0</v>
      </c>
      <c r="FV354" s="14">
        <f t="shared" si="386"/>
        <v>1094</v>
      </c>
      <c r="FW354" s="14">
        <f t="shared" si="387"/>
        <v>6</v>
      </c>
      <c r="FX354" s="14">
        <f t="shared" si="388"/>
        <v>1094</v>
      </c>
      <c r="FY354" s="25" t="str">
        <f t="shared" si="406"/>
        <v>icon_2009421</v>
      </c>
      <c r="GC354" s="14">
        <f t="shared" si="389"/>
        <v>1</v>
      </c>
      <c r="GD354" s="14">
        <f t="shared" si="390"/>
        <v>0</v>
      </c>
      <c r="GE354" s="14">
        <f t="shared" si="407"/>
        <v>667</v>
      </c>
      <c r="GF354" s="14" t="str">
        <f t="shared" si="391"/>
        <v>AtkExt</v>
      </c>
      <c r="GG354" s="14">
        <f t="shared" si="408"/>
        <v>1760</v>
      </c>
      <c r="GH354" s="14">
        <f t="shared" si="409"/>
        <v>89</v>
      </c>
      <c r="GI354" s="14" t="str">
        <f t="shared" si="392"/>
        <v/>
      </c>
      <c r="GJ354" s="14" t="str">
        <f t="shared" si="410"/>
        <v/>
      </c>
      <c r="GK354" s="14" t="str">
        <f t="shared" si="411"/>
        <v/>
      </c>
      <c r="GL354" s="14">
        <f t="shared" si="393"/>
        <v>20940</v>
      </c>
      <c r="GM354" s="14">
        <f t="shared" si="412"/>
        <v>6</v>
      </c>
      <c r="GN354" s="14">
        <f t="shared" si="413"/>
        <v>1094</v>
      </c>
      <c r="GO354" s="25" t="s">
        <v>1471</v>
      </c>
      <c r="GP354" s="14">
        <f t="shared" si="394"/>
        <v>1000</v>
      </c>
      <c r="HK354" s="13">
        <v>349</v>
      </c>
      <c r="HL354" s="14">
        <f t="shared" si="414"/>
        <v>15</v>
      </c>
      <c r="HM354" s="14">
        <f t="shared" si="415"/>
        <v>2</v>
      </c>
      <c r="HN354" s="14">
        <f t="shared" si="416"/>
        <v>4</v>
      </c>
      <c r="HO354" s="14">
        <f t="shared" si="417"/>
        <v>4</v>
      </c>
      <c r="HP354" s="14" t="str">
        <f t="shared" si="418"/>
        <v>70级守护灵洗练-Q4-1</v>
      </c>
      <c r="HQ354" s="14">
        <f t="shared" si="419"/>
        <v>2044</v>
      </c>
      <c r="HR354" s="14">
        <f t="shared" si="420"/>
        <v>1</v>
      </c>
      <c r="HS354" s="14">
        <f t="shared" si="421"/>
        <v>1800</v>
      </c>
      <c r="HT354" s="14" t="str">
        <f t="shared" si="422"/>
        <v>AtkExt</v>
      </c>
      <c r="HU354" s="14">
        <f t="shared" si="423"/>
        <v>62</v>
      </c>
      <c r="HV354" s="14">
        <f t="shared" si="424"/>
        <v>179</v>
      </c>
    </row>
    <row r="355" spans="151:230" ht="16.5" x14ac:dyDescent="0.2">
      <c r="EU355" s="13">
        <v>350</v>
      </c>
      <c r="EV355" s="14">
        <f t="shared" si="395"/>
        <v>1</v>
      </c>
      <c r="EW355" s="14">
        <f t="shared" si="396"/>
        <v>350</v>
      </c>
      <c r="EX355" s="14">
        <f t="shared" si="397"/>
        <v>47</v>
      </c>
      <c r="EY355" s="14">
        <f t="shared" si="372"/>
        <v>42</v>
      </c>
      <c r="EZ355" s="14">
        <f t="shared" si="373"/>
        <v>9</v>
      </c>
      <c r="FA355" s="14">
        <f t="shared" si="374"/>
        <v>130</v>
      </c>
      <c r="FB355" s="14">
        <f t="shared" si="375"/>
        <v>4</v>
      </c>
      <c r="FC355" s="14">
        <f t="shared" si="376"/>
        <v>2</v>
      </c>
      <c r="FD355" s="14">
        <f t="shared" si="377"/>
        <v>2</v>
      </c>
      <c r="FE355" s="14" t="b">
        <f t="shared" si="398"/>
        <v>1</v>
      </c>
      <c r="FF355" s="14">
        <f t="shared" si="378"/>
        <v>2009422</v>
      </c>
      <c r="FG355" s="13" t="str">
        <f t="shared" si="379"/>
        <v>130级-防御套寄灵人の头盔</v>
      </c>
      <c r="FH355" s="14">
        <f t="shared" si="380"/>
        <v>1</v>
      </c>
      <c r="FI355" s="14">
        <f t="shared" si="381"/>
        <v>4</v>
      </c>
      <c r="FJ355" s="14">
        <f t="shared" si="382"/>
        <v>130</v>
      </c>
      <c r="FK355" s="14">
        <v>1</v>
      </c>
      <c r="FL355" s="14">
        <f t="shared" si="383"/>
        <v>9</v>
      </c>
      <c r="FM355" s="14">
        <f t="shared" si="399"/>
        <v>2</v>
      </c>
      <c r="FN355" s="14">
        <f t="shared" si="384"/>
        <v>200942</v>
      </c>
      <c r="FO355" s="14">
        <f t="shared" si="385"/>
        <v>330</v>
      </c>
      <c r="FP355" s="14">
        <f t="shared" si="400"/>
        <v>0</v>
      </c>
      <c r="FQ355" s="14">
        <f t="shared" si="401"/>
        <v>440</v>
      </c>
      <c r="FR355" s="14">
        <f t="shared" si="402"/>
        <v>0</v>
      </c>
      <c r="FS355" s="14">
        <f t="shared" si="403"/>
        <v>0</v>
      </c>
      <c r="FT355" s="14">
        <f t="shared" si="404"/>
        <v>22</v>
      </c>
      <c r="FU355" s="14">
        <f t="shared" si="405"/>
        <v>0</v>
      </c>
      <c r="FV355" s="14">
        <f t="shared" si="386"/>
        <v>1094</v>
      </c>
      <c r="FW355" s="14">
        <f t="shared" si="387"/>
        <v>6</v>
      </c>
      <c r="FX355" s="14">
        <f t="shared" si="388"/>
        <v>1094</v>
      </c>
      <c r="FY355" s="25" t="str">
        <f t="shared" si="406"/>
        <v>icon_2009422</v>
      </c>
      <c r="GC355" s="14">
        <f t="shared" si="389"/>
        <v>2</v>
      </c>
      <c r="GD355" s="14">
        <f t="shared" si="390"/>
        <v>0</v>
      </c>
      <c r="GE355" s="14">
        <f t="shared" si="407"/>
        <v>330</v>
      </c>
      <c r="GF355" s="14" t="str">
        <f t="shared" si="391"/>
        <v>DefExt</v>
      </c>
      <c r="GG355" s="14">
        <f t="shared" si="408"/>
        <v>440</v>
      </c>
      <c r="GH355" s="14">
        <f t="shared" si="409"/>
        <v>22</v>
      </c>
      <c r="GI355" s="14" t="str">
        <f t="shared" si="392"/>
        <v/>
      </c>
      <c r="GJ355" s="14" t="str">
        <f t="shared" si="410"/>
        <v/>
      </c>
      <c r="GK355" s="14" t="str">
        <f t="shared" si="411"/>
        <v/>
      </c>
      <c r="GL355" s="14">
        <f t="shared" si="393"/>
        <v>20940</v>
      </c>
      <c r="GM355" s="14">
        <f t="shared" si="412"/>
        <v>6</v>
      </c>
      <c r="GN355" s="14">
        <f t="shared" si="413"/>
        <v>1094</v>
      </c>
      <c r="GO355" s="25" t="s">
        <v>1471</v>
      </c>
      <c r="GP355" s="14">
        <f t="shared" si="394"/>
        <v>500</v>
      </c>
      <c r="HK355" s="13">
        <v>350</v>
      </c>
      <c r="HL355" s="14">
        <f t="shared" si="414"/>
        <v>15</v>
      </c>
      <c r="HM355" s="14">
        <f t="shared" si="415"/>
        <v>2</v>
      </c>
      <c r="HN355" s="14">
        <f t="shared" si="416"/>
        <v>4</v>
      </c>
      <c r="HO355" s="14">
        <f t="shared" si="417"/>
        <v>4</v>
      </c>
      <c r="HP355" s="14" t="str">
        <f t="shared" si="418"/>
        <v>70级守护灵洗练-Q4-2</v>
      </c>
      <c r="HQ355" s="14">
        <f t="shared" si="419"/>
        <v>2044</v>
      </c>
      <c r="HR355" s="14">
        <f t="shared" si="420"/>
        <v>2</v>
      </c>
      <c r="HS355" s="14">
        <f t="shared" si="421"/>
        <v>1800</v>
      </c>
      <c r="HT355" s="14" t="str">
        <f t="shared" si="422"/>
        <v>DefExt</v>
      </c>
      <c r="HU355" s="14">
        <f t="shared" si="423"/>
        <v>26</v>
      </c>
      <c r="HV355" s="14">
        <f t="shared" si="424"/>
        <v>76</v>
      </c>
    </row>
    <row r="356" spans="151:230" ht="16.5" x14ac:dyDescent="0.2">
      <c r="EU356" s="13">
        <v>351</v>
      </c>
      <c r="EV356" s="14">
        <f t="shared" si="395"/>
        <v>1</v>
      </c>
      <c r="EW356" s="14">
        <f t="shared" si="396"/>
        <v>351</v>
      </c>
      <c r="EX356" s="14">
        <f t="shared" si="397"/>
        <v>47</v>
      </c>
      <c r="EY356" s="14">
        <f t="shared" si="372"/>
        <v>42</v>
      </c>
      <c r="EZ356" s="14">
        <f t="shared" si="373"/>
        <v>9</v>
      </c>
      <c r="FA356" s="14">
        <f t="shared" si="374"/>
        <v>130</v>
      </c>
      <c r="FB356" s="14">
        <f t="shared" si="375"/>
        <v>4</v>
      </c>
      <c r="FC356" s="14">
        <f t="shared" si="376"/>
        <v>3</v>
      </c>
      <c r="FD356" s="14">
        <f t="shared" si="377"/>
        <v>3</v>
      </c>
      <c r="FE356" s="14" t="b">
        <f t="shared" si="398"/>
        <v>1</v>
      </c>
      <c r="FF356" s="14">
        <f t="shared" si="378"/>
        <v>2009423</v>
      </c>
      <c r="FG356" s="13" t="str">
        <f t="shared" si="379"/>
        <v>130级-防御套寄灵人の铠甲</v>
      </c>
      <c r="FH356" s="14">
        <f t="shared" si="380"/>
        <v>1</v>
      </c>
      <c r="FI356" s="14">
        <f t="shared" si="381"/>
        <v>4</v>
      </c>
      <c r="FJ356" s="14">
        <f t="shared" si="382"/>
        <v>130</v>
      </c>
      <c r="FK356" s="14">
        <v>1</v>
      </c>
      <c r="FL356" s="14">
        <f t="shared" si="383"/>
        <v>9</v>
      </c>
      <c r="FM356" s="14">
        <f t="shared" si="399"/>
        <v>3</v>
      </c>
      <c r="FN356" s="14">
        <f t="shared" si="384"/>
        <v>200942</v>
      </c>
      <c r="FO356" s="14">
        <f t="shared" si="385"/>
        <v>480</v>
      </c>
      <c r="FP356" s="14">
        <f t="shared" si="400"/>
        <v>0</v>
      </c>
      <c r="FQ356" s="14">
        <f t="shared" si="401"/>
        <v>220</v>
      </c>
      <c r="FR356" s="14">
        <f t="shared" si="402"/>
        <v>4150</v>
      </c>
      <c r="FS356" s="14">
        <f t="shared" si="403"/>
        <v>0</v>
      </c>
      <c r="FT356" s="14">
        <f t="shared" si="404"/>
        <v>11</v>
      </c>
      <c r="FU356" s="14">
        <f t="shared" si="405"/>
        <v>210</v>
      </c>
      <c r="FV356" s="14">
        <f t="shared" si="386"/>
        <v>1094</v>
      </c>
      <c r="FW356" s="14">
        <f t="shared" si="387"/>
        <v>6</v>
      </c>
      <c r="FX356" s="14">
        <f t="shared" si="388"/>
        <v>1094</v>
      </c>
      <c r="FY356" s="25" t="str">
        <f t="shared" si="406"/>
        <v>icon_2009423</v>
      </c>
      <c r="GC356" s="14">
        <f t="shared" si="389"/>
        <v>2</v>
      </c>
      <c r="GD356" s="14">
        <f t="shared" si="390"/>
        <v>3</v>
      </c>
      <c r="GE356" s="14">
        <f t="shared" si="407"/>
        <v>480</v>
      </c>
      <c r="GF356" s="14" t="str">
        <f t="shared" si="391"/>
        <v>DefExt</v>
      </c>
      <c r="GG356" s="14">
        <f t="shared" si="408"/>
        <v>220</v>
      </c>
      <c r="GH356" s="14">
        <f t="shared" si="409"/>
        <v>11</v>
      </c>
      <c r="GI356" s="14" t="str">
        <f t="shared" si="392"/>
        <v>HPExt</v>
      </c>
      <c r="GJ356" s="14">
        <f t="shared" si="410"/>
        <v>4150</v>
      </c>
      <c r="GK356" s="14">
        <f t="shared" si="411"/>
        <v>210</v>
      </c>
      <c r="GL356" s="14">
        <f t="shared" si="393"/>
        <v>20940</v>
      </c>
      <c r="GM356" s="14">
        <f t="shared" si="412"/>
        <v>6</v>
      </c>
      <c r="GN356" s="14">
        <f t="shared" si="413"/>
        <v>1094</v>
      </c>
      <c r="GO356" s="25" t="s">
        <v>1471</v>
      </c>
      <c r="GP356" s="14">
        <f t="shared" si="394"/>
        <v>500</v>
      </c>
      <c r="HK356" s="13">
        <v>351</v>
      </c>
      <c r="HL356" s="14">
        <f t="shared" si="414"/>
        <v>15</v>
      </c>
      <c r="HM356" s="14">
        <f t="shared" si="415"/>
        <v>2</v>
      </c>
      <c r="HN356" s="14">
        <f t="shared" si="416"/>
        <v>4</v>
      </c>
      <c r="HO356" s="14">
        <f t="shared" si="417"/>
        <v>4</v>
      </c>
      <c r="HP356" s="14" t="str">
        <f t="shared" si="418"/>
        <v>70级守护灵洗练-Q4-3</v>
      </c>
      <c r="HQ356" s="14">
        <f t="shared" si="419"/>
        <v>2044</v>
      </c>
      <c r="HR356" s="14">
        <f t="shared" si="420"/>
        <v>3</v>
      </c>
      <c r="HS356" s="14">
        <f t="shared" si="421"/>
        <v>2000</v>
      </c>
      <c r="HT356" s="14" t="str">
        <f t="shared" si="422"/>
        <v>HPExt</v>
      </c>
      <c r="HU356" s="14">
        <f t="shared" si="423"/>
        <v>395</v>
      </c>
      <c r="HV356" s="14">
        <f t="shared" si="424"/>
        <v>1129</v>
      </c>
    </row>
    <row r="357" spans="151:230" ht="16.5" x14ac:dyDescent="0.2">
      <c r="EU357" s="13">
        <v>352</v>
      </c>
      <c r="EV357" s="14">
        <f t="shared" si="395"/>
        <v>1</v>
      </c>
      <c r="EW357" s="14">
        <f t="shared" si="396"/>
        <v>352</v>
      </c>
      <c r="EX357" s="14">
        <f t="shared" si="397"/>
        <v>47</v>
      </c>
      <c r="EY357" s="14">
        <f t="shared" si="372"/>
        <v>42</v>
      </c>
      <c r="EZ357" s="14">
        <f t="shared" si="373"/>
        <v>9</v>
      </c>
      <c r="FA357" s="14">
        <f t="shared" si="374"/>
        <v>130</v>
      </c>
      <c r="FB357" s="14">
        <f t="shared" si="375"/>
        <v>4</v>
      </c>
      <c r="FC357" s="14">
        <f t="shared" si="376"/>
        <v>4</v>
      </c>
      <c r="FD357" s="14">
        <f t="shared" si="377"/>
        <v>4</v>
      </c>
      <c r="FE357" s="14" t="b">
        <f t="shared" si="398"/>
        <v>1</v>
      </c>
      <c r="FF357" s="14">
        <f t="shared" si="378"/>
        <v>2009424</v>
      </c>
      <c r="FG357" s="13" t="str">
        <f t="shared" si="379"/>
        <v>130级-防御套寄灵人の裤子</v>
      </c>
      <c r="FH357" s="14">
        <f t="shared" si="380"/>
        <v>1</v>
      </c>
      <c r="FI357" s="14">
        <f t="shared" si="381"/>
        <v>4</v>
      </c>
      <c r="FJ357" s="14">
        <f t="shared" si="382"/>
        <v>130</v>
      </c>
      <c r="FK357" s="14">
        <v>1</v>
      </c>
      <c r="FL357" s="14">
        <f t="shared" si="383"/>
        <v>9</v>
      </c>
      <c r="FM357" s="14">
        <f t="shared" si="399"/>
        <v>4</v>
      </c>
      <c r="FN357" s="14">
        <f t="shared" si="384"/>
        <v>200942</v>
      </c>
      <c r="FO357" s="14">
        <f t="shared" si="385"/>
        <v>330</v>
      </c>
      <c r="FP357" s="14">
        <f t="shared" si="400"/>
        <v>0</v>
      </c>
      <c r="FQ357" s="14">
        <f t="shared" si="401"/>
        <v>440</v>
      </c>
      <c r="FR357" s="14">
        <f t="shared" si="402"/>
        <v>0</v>
      </c>
      <c r="FS357" s="14">
        <f t="shared" si="403"/>
        <v>0</v>
      </c>
      <c r="FT357" s="14">
        <f t="shared" si="404"/>
        <v>22</v>
      </c>
      <c r="FU357" s="14">
        <f t="shared" si="405"/>
        <v>0</v>
      </c>
      <c r="FV357" s="14">
        <f t="shared" si="386"/>
        <v>1094</v>
      </c>
      <c r="FW357" s="14">
        <f t="shared" si="387"/>
        <v>6</v>
      </c>
      <c r="FX357" s="14">
        <f t="shared" si="388"/>
        <v>1094</v>
      </c>
      <c r="FY357" s="25" t="str">
        <f t="shared" si="406"/>
        <v>icon_2009424</v>
      </c>
      <c r="GC357" s="14">
        <f t="shared" si="389"/>
        <v>2</v>
      </c>
      <c r="GD357" s="14">
        <f t="shared" si="390"/>
        <v>0</v>
      </c>
      <c r="GE357" s="14">
        <f t="shared" si="407"/>
        <v>330</v>
      </c>
      <c r="GF357" s="14" t="str">
        <f t="shared" si="391"/>
        <v>DefExt</v>
      </c>
      <c r="GG357" s="14">
        <f t="shared" si="408"/>
        <v>440</v>
      </c>
      <c r="GH357" s="14">
        <f t="shared" si="409"/>
        <v>22</v>
      </c>
      <c r="GI357" s="14" t="str">
        <f t="shared" si="392"/>
        <v/>
      </c>
      <c r="GJ357" s="14" t="str">
        <f t="shared" si="410"/>
        <v/>
      </c>
      <c r="GK357" s="14" t="str">
        <f t="shared" si="411"/>
        <v/>
      </c>
      <c r="GL357" s="14">
        <f t="shared" si="393"/>
        <v>20940</v>
      </c>
      <c r="GM357" s="14">
        <f t="shared" si="412"/>
        <v>6</v>
      </c>
      <c r="GN357" s="14">
        <f t="shared" si="413"/>
        <v>1094</v>
      </c>
      <c r="GO357" s="25" t="s">
        <v>1471</v>
      </c>
      <c r="GP357" s="14">
        <f t="shared" si="394"/>
        <v>500</v>
      </c>
      <c r="HK357" s="13">
        <v>352</v>
      </c>
      <c r="HL357" s="14">
        <f t="shared" si="414"/>
        <v>15</v>
      </c>
      <c r="HM357" s="14">
        <f t="shared" si="415"/>
        <v>2</v>
      </c>
      <c r="HN357" s="14">
        <f t="shared" si="416"/>
        <v>4</v>
      </c>
      <c r="HO357" s="14">
        <f t="shared" si="417"/>
        <v>4</v>
      </c>
      <c r="HP357" s="14" t="str">
        <f t="shared" si="418"/>
        <v>70级守护灵洗练-Q4-4</v>
      </c>
      <c r="HQ357" s="14">
        <f t="shared" si="419"/>
        <v>2044</v>
      </c>
      <c r="HR357" s="14">
        <f t="shared" si="420"/>
        <v>4</v>
      </c>
      <c r="HS357" s="14">
        <f t="shared" si="421"/>
        <v>500</v>
      </c>
      <c r="HT357" s="14" t="str">
        <f t="shared" si="422"/>
        <v>AtkRate</v>
      </c>
      <c r="HU357" s="14">
        <f t="shared" si="423"/>
        <v>1.4E-2</v>
      </c>
      <c r="HV357" s="14">
        <f t="shared" si="424"/>
        <v>0.04</v>
      </c>
    </row>
    <row r="358" spans="151:230" ht="16.5" x14ac:dyDescent="0.2">
      <c r="EU358" s="13">
        <v>353</v>
      </c>
      <c r="EV358" s="14">
        <f t="shared" si="395"/>
        <v>1</v>
      </c>
      <c r="EW358" s="14">
        <f t="shared" si="396"/>
        <v>353</v>
      </c>
      <c r="EX358" s="14">
        <f t="shared" si="397"/>
        <v>47</v>
      </c>
      <c r="EY358" s="14">
        <f t="shared" si="372"/>
        <v>42</v>
      </c>
      <c r="EZ358" s="14">
        <f t="shared" si="373"/>
        <v>9</v>
      </c>
      <c r="FA358" s="14">
        <f t="shared" si="374"/>
        <v>130</v>
      </c>
      <c r="FB358" s="14">
        <f t="shared" si="375"/>
        <v>4</v>
      </c>
      <c r="FC358" s="14">
        <f t="shared" si="376"/>
        <v>5</v>
      </c>
      <c r="FD358" s="14">
        <f t="shared" si="377"/>
        <v>5</v>
      </c>
      <c r="FE358" s="14" t="b">
        <f t="shared" si="398"/>
        <v>1</v>
      </c>
      <c r="FF358" s="14">
        <f t="shared" si="378"/>
        <v>2009425</v>
      </c>
      <c r="FG358" s="13" t="str">
        <f t="shared" si="379"/>
        <v>130级-防御套寄灵人の鞋子</v>
      </c>
      <c r="FH358" s="14">
        <f t="shared" si="380"/>
        <v>1</v>
      </c>
      <c r="FI358" s="14">
        <f t="shared" si="381"/>
        <v>4</v>
      </c>
      <c r="FJ358" s="14">
        <f t="shared" si="382"/>
        <v>130</v>
      </c>
      <c r="FK358" s="14">
        <v>1</v>
      </c>
      <c r="FL358" s="14">
        <f t="shared" si="383"/>
        <v>9</v>
      </c>
      <c r="FM358" s="14">
        <f t="shared" si="399"/>
        <v>5</v>
      </c>
      <c r="FN358" s="14">
        <f t="shared" si="384"/>
        <v>200942</v>
      </c>
      <c r="FO358" s="14">
        <f t="shared" si="385"/>
        <v>631</v>
      </c>
      <c r="FP358" s="14">
        <f t="shared" si="400"/>
        <v>0</v>
      </c>
      <c r="FQ358" s="14">
        <f t="shared" si="401"/>
        <v>0</v>
      </c>
      <c r="FR358" s="14">
        <f t="shared" si="402"/>
        <v>8300</v>
      </c>
      <c r="FS358" s="14">
        <f t="shared" si="403"/>
        <v>0</v>
      </c>
      <c r="FT358" s="14">
        <f t="shared" si="404"/>
        <v>0</v>
      </c>
      <c r="FU358" s="14">
        <f t="shared" si="405"/>
        <v>421</v>
      </c>
      <c r="FV358" s="14">
        <f t="shared" si="386"/>
        <v>1094</v>
      </c>
      <c r="FW358" s="14">
        <f t="shared" si="387"/>
        <v>6</v>
      </c>
      <c r="FX358" s="14">
        <f t="shared" si="388"/>
        <v>1094</v>
      </c>
      <c r="FY358" s="25" t="str">
        <f t="shared" si="406"/>
        <v>icon_2009425</v>
      </c>
      <c r="GC358" s="14">
        <f t="shared" si="389"/>
        <v>3</v>
      </c>
      <c r="GD358" s="14">
        <f t="shared" si="390"/>
        <v>0</v>
      </c>
      <c r="GE358" s="14">
        <f t="shared" si="407"/>
        <v>631</v>
      </c>
      <c r="GF358" s="14" t="str">
        <f t="shared" si="391"/>
        <v>HPExt</v>
      </c>
      <c r="GG358" s="14">
        <f t="shared" si="408"/>
        <v>8300</v>
      </c>
      <c r="GH358" s="14">
        <f t="shared" si="409"/>
        <v>421</v>
      </c>
      <c r="GI358" s="14" t="str">
        <f t="shared" si="392"/>
        <v/>
      </c>
      <c r="GJ358" s="14" t="str">
        <f t="shared" si="410"/>
        <v/>
      </c>
      <c r="GK358" s="14" t="str">
        <f t="shared" si="411"/>
        <v/>
      </c>
      <c r="GL358" s="14">
        <f t="shared" si="393"/>
        <v>20940</v>
      </c>
      <c r="GM358" s="14">
        <f t="shared" si="412"/>
        <v>6</v>
      </c>
      <c r="GN358" s="14">
        <f t="shared" si="413"/>
        <v>1094</v>
      </c>
      <c r="GO358" s="25" t="s">
        <v>1471</v>
      </c>
      <c r="GP358" s="14">
        <f t="shared" si="394"/>
        <v>500</v>
      </c>
      <c r="HK358" s="13">
        <v>353</v>
      </c>
      <c r="HL358" s="14">
        <f t="shared" si="414"/>
        <v>15</v>
      </c>
      <c r="HM358" s="14">
        <f t="shared" si="415"/>
        <v>2</v>
      </c>
      <c r="HN358" s="14">
        <f t="shared" si="416"/>
        <v>4</v>
      </c>
      <c r="HO358" s="14">
        <f t="shared" si="417"/>
        <v>4</v>
      </c>
      <c r="HP358" s="14" t="str">
        <f t="shared" si="418"/>
        <v>70级守护灵洗练-Q4-5</v>
      </c>
      <c r="HQ358" s="14">
        <f t="shared" si="419"/>
        <v>2044</v>
      </c>
      <c r="HR358" s="14">
        <f t="shared" si="420"/>
        <v>5</v>
      </c>
      <c r="HS358" s="14">
        <f t="shared" si="421"/>
        <v>400</v>
      </c>
      <c r="HT358" s="14" t="str">
        <f t="shared" si="422"/>
        <v>DefRate</v>
      </c>
      <c r="HU358" s="14">
        <f t="shared" si="423"/>
        <v>1.4E-2</v>
      </c>
      <c r="HV358" s="14">
        <f t="shared" si="424"/>
        <v>0.04</v>
      </c>
    </row>
    <row r="359" spans="151:230" ht="16.5" x14ac:dyDescent="0.2">
      <c r="EU359" s="13">
        <v>354</v>
      </c>
      <c r="EV359" s="14">
        <f t="shared" si="395"/>
        <v>1</v>
      </c>
      <c r="EW359" s="14">
        <f t="shared" si="396"/>
        <v>354</v>
      </c>
      <c r="EX359" s="14">
        <f t="shared" si="397"/>
        <v>47</v>
      </c>
      <c r="EY359" s="14">
        <f t="shared" si="372"/>
        <v>42</v>
      </c>
      <c r="EZ359" s="14">
        <f t="shared" si="373"/>
        <v>9</v>
      </c>
      <c r="FA359" s="14">
        <f t="shared" si="374"/>
        <v>130</v>
      </c>
      <c r="FB359" s="14">
        <f t="shared" si="375"/>
        <v>4</v>
      </c>
      <c r="FC359" s="14">
        <f t="shared" si="376"/>
        <v>6</v>
      </c>
      <c r="FD359" s="14">
        <f t="shared" si="377"/>
        <v>6</v>
      </c>
      <c r="FE359" s="14" t="b">
        <f t="shared" si="398"/>
        <v>1</v>
      </c>
      <c r="FF359" s="14">
        <f t="shared" si="378"/>
        <v>2009426</v>
      </c>
      <c r="FG359" s="13" t="str">
        <f t="shared" si="379"/>
        <v>130级-防御套寄灵人の护手</v>
      </c>
      <c r="FH359" s="14">
        <f t="shared" si="380"/>
        <v>1</v>
      </c>
      <c r="FI359" s="14">
        <f t="shared" si="381"/>
        <v>4</v>
      </c>
      <c r="FJ359" s="14">
        <f t="shared" si="382"/>
        <v>130</v>
      </c>
      <c r="FK359" s="14">
        <v>1</v>
      </c>
      <c r="FL359" s="14">
        <f t="shared" si="383"/>
        <v>9</v>
      </c>
      <c r="FM359" s="14">
        <f t="shared" si="399"/>
        <v>6</v>
      </c>
      <c r="FN359" s="14">
        <f t="shared" si="384"/>
        <v>200942</v>
      </c>
      <c r="FO359" s="14">
        <f t="shared" si="385"/>
        <v>631</v>
      </c>
      <c r="FP359" s="14">
        <f t="shared" si="400"/>
        <v>0</v>
      </c>
      <c r="FQ359" s="14">
        <f t="shared" si="401"/>
        <v>0</v>
      </c>
      <c r="FR359" s="14">
        <f t="shared" si="402"/>
        <v>8300</v>
      </c>
      <c r="FS359" s="14">
        <f t="shared" si="403"/>
        <v>0</v>
      </c>
      <c r="FT359" s="14">
        <f t="shared" si="404"/>
        <v>0</v>
      </c>
      <c r="FU359" s="14">
        <f t="shared" si="405"/>
        <v>421</v>
      </c>
      <c r="FV359" s="14">
        <f t="shared" si="386"/>
        <v>1094</v>
      </c>
      <c r="FW359" s="14">
        <f t="shared" si="387"/>
        <v>6</v>
      </c>
      <c r="FX359" s="14">
        <f t="shared" si="388"/>
        <v>1094</v>
      </c>
      <c r="FY359" s="25" t="str">
        <f t="shared" si="406"/>
        <v>icon_2009426</v>
      </c>
      <c r="GC359" s="14">
        <f t="shared" si="389"/>
        <v>3</v>
      </c>
      <c r="GD359" s="14">
        <f t="shared" si="390"/>
        <v>0</v>
      </c>
      <c r="GE359" s="14">
        <f t="shared" si="407"/>
        <v>631</v>
      </c>
      <c r="GF359" s="14" t="str">
        <f t="shared" si="391"/>
        <v>HPExt</v>
      </c>
      <c r="GG359" s="14">
        <f t="shared" si="408"/>
        <v>8300</v>
      </c>
      <c r="GH359" s="14">
        <f t="shared" si="409"/>
        <v>421</v>
      </c>
      <c r="GI359" s="14" t="str">
        <f t="shared" si="392"/>
        <v/>
      </c>
      <c r="GJ359" s="14" t="str">
        <f t="shared" si="410"/>
        <v/>
      </c>
      <c r="GK359" s="14" t="str">
        <f t="shared" si="411"/>
        <v/>
      </c>
      <c r="GL359" s="14">
        <f t="shared" si="393"/>
        <v>20940</v>
      </c>
      <c r="GM359" s="14">
        <f t="shared" si="412"/>
        <v>6</v>
      </c>
      <c r="GN359" s="14">
        <f t="shared" si="413"/>
        <v>1094</v>
      </c>
      <c r="GO359" s="25" t="s">
        <v>1471</v>
      </c>
      <c r="GP359" s="14">
        <f t="shared" si="394"/>
        <v>500</v>
      </c>
      <c r="HK359" s="13">
        <v>354</v>
      </c>
      <c r="HL359" s="14">
        <f t="shared" si="414"/>
        <v>15</v>
      </c>
      <c r="HM359" s="14">
        <f t="shared" si="415"/>
        <v>2</v>
      </c>
      <c r="HN359" s="14">
        <f t="shared" si="416"/>
        <v>4</v>
      </c>
      <c r="HO359" s="14">
        <f t="shared" si="417"/>
        <v>4</v>
      </c>
      <c r="HP359" s="14" t="str">
        <f t="shared" si="418"/>
        <v>70级守护灵洗练-Q4-6</v>
      </c>
      <c r="HQ359" s="14">
        <f t="shared" si="419"/>
        <v>2044</v>
      </c>
      <c r="HR359" s="14">
        <f t="shared" si="420"/>
        <v>6</v>
      </c>
      <c r="HS359" s="14">
        <f t="shared" si="421"/>
        <v>500</v>
      </c>
      <c r="HT359" s="14" t="str">
        <f t="shared" si="422"/>
        <v>HPRate</v>
      </c>
      <c r="HU359" s="14">
        <f t="shared" si="423"/>
        <v>1.4E-2</v>
      </c>
      <c r="HV359" s="14">
        <f t="shared" si="424"/>
        <v>0.04</v>
      </c>
    </row>
    <row r="360" spans="151:230" ht="16.5" x14ac:dyDescent="0.2">
      <c r="EU360" s="13">
        <v>355</v>
      </c>
      <c r="EV360" s="14">
        <f t="shared" si="395"/>
        <v>1</v>
      </c>
      <c r="EW360" s="14">
        <f t="shared" si="396"/>
        <v>355</v>
      </c>
      <c r="EX360" s="14">
        <f t="shared" si="397"/>
        <v>48</v>
      </c>
      <c r="EY360" s="14">
        <f t="shared" si="372"/>
        <v>10</v>
      </c>
      <c r="EZ360" s="14">
        <f t="shared" si="373"/>
        <v>10</v>
      </c>
      <c r="FA360" s="14">
        <f t="shared" si="374"/>
        <v>140</v>
      </c>
      <c r="FB360" s="14">
        <f t="shared" si="375"/>
        <v>1</v>
      </c>
      <c r="FC360" s="14">
        <f t="shared" si="376"/>
        <v>1</v>
      </c>
      <c r="FD360" s="14">
        <f t="shared" si="377"/>
        <v>1</v>
      </c>
      <c r="FE360" s="14" t="b">
        <f t="shared" si="398"/>
        <v>0</v>
      </c>
      <c r="FF360" s="14">
        <f t="shared" si="378"/>
        <v>2010101</v>
      </c>
      <c r="FG360" s="13" t="str">
        <f t="shared" si="379"/>
        <v>140级-普通寄灵人の灵器</v>
      </c>
      <c r="FH360" s="14">
        <f t="shared" si="380"/>
        <v>1</v>
      </c>
      <c r="FI360" s="14">
        <f t="shared" si="381"/>
        <v>1</v>
      </c>
      <c r="FJ360" s="14">
        <f t="shared" si="382"/>
        <v>140</v>
      </c>
      <c r="FK360" s="14">
        <v>1</v>
      </c>
      <c r="FL360" s="14">
        <f t="shared" si="383"/>
        <v>10</v>
      </c>
      <c r="FM360" s="14">
        <f t="shared" si="399"/>
        <v>1</v>
      </c>
      <c r="FN360" s="14" t="str">
        <f t="shared" si="384"/>
        <v/>
      </c>
      <c r="FO360" s="14">
        <f t="shared" si="385"/>
        <v>260</v>
      </c>
      <c r="FP360" s="14">
        <f t="shared" si="400"/>
        <v>985</v>
      </c>
      <c r="FQ360" s="14">
        <f t="shared" si="401"/>
        <v>0</v>
      </c>
      <c r="FR360" s="14">
        <f t="shared" si="402"/>
        <v>0</v>
      </c>
      <c r="FS360" s="14">
        <f t="shared" si="403"/>
        <v>52</v>
      </c>
      <c r="FT360" s="14">
        <f t="shared" si="404"/>
        <v>0</v>
      </c>
      <c r="FU360" s="14">
        <f t="shared" si="405"/>
        <v>0</v>
      </c>
      <c r="FV360" s="14">
        <f t="shared" si="386"/>
        <v>1101</v>
      </c>
      <c r="FW360" s="14">
        <f t="shared" si="387"/>
        <v>0</v>
      </c>
      <c r="FX360" s="14" t="str">
        <f t="shared" si="388"/>
        <v/>
      </c>
      <c r="FY360" s="25" t="str">
        <f t="shared" si="406"/>
        <v>icon_2010101</v>
      </c>
      <c r="GC360" s="14">
        <f t="shared" si="389"/>
        <v>1</v>
      </c>
      <c r="GD360" s="14">
        <f t="shared" si="390"/>
        <v>0</v>
      </c>
      <c r="GE360" s="14">
        <f t="shared" si="407"/>
        <v>260</v>
      </c>
      <c r="GF360" s="14" t="str">
        <f t="shared" si="391"/>
        <v>AtkExt</v>
      </c>
      <c r="GG360" s="14">
        <f t="shared" si="408"/>
        <v>985</v>
      </c>
      <c r="GH360" s="14">
        <f t="shared" si="409"/>
        <v>52</v>
      </c>
      <c r="GI360" s="14" t="str">
        <f t="shared" si="392"/>
        <v/>
      </c>
      <c r="GJ360" s="14" t="str">
        <f t="shared" si="410"/>
        <v/>
      </c>
      <c r="GK360" s="14" t="str">
        <f t="shared" si="411"/>
        <v/>
      </c>
      <c r="GL360" s="14">
        <f t="shared" si="393"/>
        <v>21010</v>
      </c>
      <c r="GM360" s="14">
        <f t="shared" si="412"/>
        <v>0</v>
      </c>
      <c r="GN360" s="14" t="str">
        <f t="shared" si="413"/>
        <v/>
      </c>
      <c r="GO360" s="25" t="s">
        <v>1471</v>
      </c>
      <c r="GP360" s="14">
        <f t="shared" si="394"/>
        <v>120</v>
      </c>
      <c r="HK360" s="13">
        <v>355</v>
      </c>
      <c r="HL360" s="14">
        <f t="shared" si="414"/>
        <v>15</v>
      </c>
      <c r="HM360" s="14">
        <f t="shared" si="415"/>
        <v>2</v>
      </c>
      <c r="HN360" s="14">
        <f t="shared" si="416"/>
        <v>4</v>
      </c>
      <c r="HO360" s="14">
        <f t="shared" si="417"/>
        <v>4</v>
      </c>
      <c r="HP360" s="14" t="str">
        <f t="shared" si="418"/>
        <v>70级守护灵洗练-Q4-7</v>
      </c>
      <c r="HQ360" s="14">
        <f t="shared" si="419"/>
        <v>2044</v>
      </c>
      <c r="HR360" s="14">
        <f t="shared" si="420"/>
        <v>7</v>
      </c>
      <c r="HS360" s="14">
        <f t="shared" si="421"/>
        <v>500</v>
      </c>
      <c r="HT360" s="14" t="str">
        <f t="shared" si="422"/>
        <v>Crit</v>
      </c>
      <c r="HU360" s="14">
        <f t="shared" si="423"/>
        <v>1.0999999999999999E-2</v>
      </c>
      <c r="HV360" s="14">
        <f t="shared" si="424"/>
        <v>0.03</v>
      </c>
    </row>
    <row r="361" spans="151:230" ht="16.5" x14ac:dyDescent="0.2">
      <c r="EU361" s="13">
        <v>356</v>
      </c>
      <c r="EV361" s="14">
        <f t="shared" si="395"/>
        <v>1</v>
      </c>
      <c r="EW361" s="14">
        <f t="shared" si="396"/>
        <v>356</v>
      </c>
      <c r="EX361" s="14">
        <f t="shared" si="397"/>
        <v>48</v>
      </c>
      <c r="EY361" s="14">
        <f t="shared" si="372"/>
        <v>10</v>
      </c>
      <c r="EZ361" s="14">
        <f t="shared" si="373"/>
        <v>10</v>
      </c>
      <c r="FA361" s="14">
        <f t="shared" si="374"/>
        <v>140</v>
      </c>
      <c r="FB361" s="14">
        <f t="shared" si="375"/>
        <v>1</v>
      </c>
      <c r="FC361" s="14">
        <f t="shared" si="376"/>
        <v>2</v>
      </c>
      <c r="FD361" s="14">
        <f t="shared" si="377"/>
        <v>2</v>
      </c>
      <c r="FE361" s="14" t="b">
        <f t="shared" si="398"/>
        <v>0</v>
      </c>
      <c r="FF361" s="14">
        <f t="shared" si="378"/>
        <v>2010102</v>
      </c>
      <c r="FG361" s="13" t="str">
        <f t="shared" si="379"/>
        <v>140级-普通寄灵人の头盔</v>
      </c>
      <c r="FH361" s="14">
        <f t="shared" si="380"/>
        <v>1</v>
      </c>
      <c r="FI361" s="14">
        <f t="shared" si="381"/>
        <v>1</v>
      </c>
      <c r="FJ361" s="14">
        <f t="shared" si="382"/>
        <v>140</v>
      </c>
      <c r="FK361" s="14">
        <v>1</v>
      </c>
      <c r="FL361" s="14">
        <f t="shared" si="383"/>
        <v>10</v>
      </c>
      <c r="FM361" s="14">
        <f t="shared" si="399"/>
        <v>2</v>
      </c>
      <c r="FN361" s="14" t="str">
        <f t="shared" si="384"/>
        <v/>
      </c>
      <c r="FO361" s="14">
        <f t="shared" si="385"/>
        <v>130</v>
      </c>
      <c r="FP361" s="14">
        <f t="shared" si="400"/>
        <v>0</v>
      </c>
      <c r="FQ361" s="14">
        <f t="shared" si="401"/>
        <v>245</v>
      </c>
      <c r="FR361" s="14">
        <f t="shared" si="402"/>
        <v>0</v>
      </c>
      <c r="FS361" s="14">
        <f t="shared" si="403"/>
        <v>0</v>
      </c>
      <c r="FT361" s="14">
        <f t="shared" si="404"/>
        <v>13</v>
      </c>
      <c r="FU361" s="14">
        <f t="shared" si="405"/>
        <v>0</v>
      </c>
      <c r="FV361" s="14">
        <f t="shared" si="386"/>
        <v>1101</v>
      </c>
      <c r="FW361" s="14">
        <f t="shared" si="387"/>
        <v>0</v>
      </c>
      <c r="FX361" s="14" t="str">
        <f t="shared" si="388"/>
        <v/>
      </c>
      <c r="FY361" s="25" t="str">
        <f t="shared" si="406"/>
        <v>icon_2010102</v>
      </c>
      <c r="GC361" s="14">
        <f t="shared" si="389"/>
        <v>2</v>
      </c>
      <c r="GD361" s="14">
        <f t="shared" si="390"/>
        <v>0</v>
      </c>
      <c r="GE361" s="14">
        <f t="shared" si="407"/>
        <v>130</v>
      </c>
      <c r="GF361" s="14" t="str">
        <f t="shared" si="391"/>
        <v>DefExt</v>
      </c>
      <c r="GG361" s="14">
        <f t="shared" si="408"/>
        <v>245</v>
      </c>
      <c r="GH361" s="14">
        <f t="shared" si="409"/>
        <v>13</v>
      </c>
      <c r="GI361" s="14" t="str">
        <f t="shared" si="392"/>
        <v/>
      </c>
      <c r="GJ361" s="14" t="str">
        <f t="shared" si="410"/>
        <v/>
      </c>
      <c r="GK361" s="14" t="str">
        <f t="shared" si="411"/>
        <v/>
      </c>
      <c r="GL361" s="14">
        <f t="shared" si="393"/>
        <v>21010</v>
      </c>
      <c r="GM361" s="14">
        <f t="shared" si="412"/>
        <v>0</v>
      </c>
      <c r="GN361" s="14" t="str">
        <f t="shared" si="413"/>
        <v/>
      </c>
      <c r="GO361" s="25" t="s">
        <v>1471</v>
      </c>
      <c r="GP361" s="14">
        <f t="shared" si="394"/>
        <v>60</v>
      </c>
      <c r="HK361" s="13">
        <v>356</v>
      </c>
      <c r="HL361" s="14">
        <f t="shared" si="414"/>
        <v>15</v>
      </c>
      <c r="HM361" s="14">
        <f t="shared" si="415"/>
        <v>2</v>
      </c>
      <c r="HN361" s="14">
        <f t="shared" si="416"/>
        <v>4</v>
      </c>
      <c r="HO361" s="14">
        <f t="shared" si="417"/>
        <v>4</v>
      </c>
      <c r="HP361" s="14" t="str">
        <f t="shared" si="418"/>
        <v>70级守护灵洗练-Q4-8</v>
      </c>
      <c r="HQ361" s="14">
        <f t="shared" si="419"/>
        <v>2044</v>
      </c>
      <c r="HR361" s="14">
        <f t="shared" si="420"/>
        <v>8</v>
      </c>
      <c r="HS361" s="14">
        <f t="shared" si="421"/>
        <v>500</v>
      </c>
      <c r="HT361" s="14" t="str">
        <f t="shared" si="422"/>
        <v>CritRate</v>
      </c>
      <c r="HU361" s="14">
        <f t="shared" si="423"/>
        <v>2.8000000000000001E-2</v>
      </c>
      <c r="HV361" s="14">
        <f t="shared" si="424"/>
        <v>0.08</v>
      </c>
    </row>
    <row r="362" spans="151:230" ht="16.5" x14ac:dyDescent="0.2">
      <c r="EU362" s="13">
        <v>357</v>
      </c>
      <c r="EV362" s="14">
        <f t="shared" si="395"/>
        <v>1</v>
      </c>
      <c r="EW362" s="14">
        <f t="shared" si="396"/>
        <v>357</v>
      </c>
      <c r="EX362" s="14">
        <f t="shared" si="397"/>
        <v>48</v>
      </c>
      <c r="EY362" s="14">
        <f t="shared" si="372"/>
        <v>10</v>
      </c>
      <c r="EZ362" s="14">
        <f t="shared" si="373"/>
        <v>10</v>
      </c>
      <c r="FA362" s="14">
        <f t="shared" si="374"/>
        <v>140</v>
      </c>
      <c r="FB362" s="14">
        <f t="shared" si="375"/>
        <v>1</v>
      </c>
      <c r="FC362" s="14">
        <f t="shared" si="376"/>
        <v>3</v>
      </c>
      <c r="FD362" s="14">
        <f t="shared" si="377"/>
        <v>3</v>
      </c>
      <c r="FE362" s="14" t="b">
        <f t="shared" si="398"/>
        <v>0</v>
      </c>
      <c r="FF362" s="14">
        <f t="shared" si="378"/>
        <v>2010103</v>
      </c>
      <c r="FG362" s="13" t="str">
        <f t="shared" si="379"/>
        <v>140级-普通寄灵人の铠甲</v>
      </c>
      <c r="FH362" s="14">
        <f t="shared" si="380"/>
        <v>1</v>
      </c>
      <c r="FI362" s="14">
        <f t="shared" si="381"/>
        <v>1</v>
      </c>
      <c r="FJ362" s="14">
        <f t="shared" si="382"/>
        <v>140</v>
      </c>
      <c r="FK362" s="14">
        <v>1</v>
      </c>
      <c r="FL362" s="14">
        <f t="shared" si="383"/>
        <v>10</v>
      </c>
      <c r="FM362" s="14">
        <f t="shared" si="399"/>
        <v>3</v>
      </c>
      <c r="FN362" s="14" t="str">
        <f t="shared" si="384"/>
        <v/>
      </c>
      <c r="FO362" s="14">
        <f t="shared" si="385"/>
        <v>183</v>
      </c>
      <c r="FP362" s="14">
        <f t="shared" si="400"/>
        <v>0</v>
      </c>
      <c r="FQ362" s="14">
        <f t="shared" si="401"/>
        <v>125</v>
      </c>
      <c r="FR362" s="14">
        <f t="shared" si="402"/>
        <v>2345</v>
      </c>
      <c r="FS362" s="14">
        <f t="shared" si="403"/>
        <v>0</v>
      </c>
      <c r="FT362" s="14">
        <f t="shared" si="404"/>
        <v>6</v>
      </c>
      <c r="FU362" s="14">
        <f t="shared" si="405"/>
        <v>123</v>
      </c>
      <c r="FV362" s="14">
        <f t="shared" si="386"/>
        <v>1101</v>
      </c>
      <c r="FW362" s="14">
        <f t="shared" si="387"/>
        <v>0</v>
      </c>
      <c r="FX362" s="14" t="str">
        <f t="shared" si="388"/>
        <v/>
      </c>
      <c r="FY362" s="25" t="str">
        <f t="shared" si="406"/>
        <v>icon_2010103</v>
      </c>
      <c r="GC362" s="14">
        <f t="shared" si="389"/>
        <v>2</v>
      </c>
      <c r="GD362" s="14">
        <f t="shared" si="390"/>
        <v>3</v>
      </c>
      <c r="GE362" s="14">
        <f t="shared" si="407"/>
        <v>183</v>
      </c>
      <c r="GF362" s="14" t="str">
        <f t="shared" si="391"/>
        <v>DefExt</v>
      </c>
      <c r="GG362" s="14">
        <f t="shared" si="408"/>
        <v>125</v>
      </c>
      <c r="GH362" s="14">
        <f t="shared" si="409"/>
        <v>6</v>
      </c>
      <c r="GI362" s="14" t="str">
        <f t="shared" si="392"/>
        <v>HPExt</v>
      </c>
      <c r="GJ362" s="14">
        <f t="shared" si="410"/>
        <v>2345</v>
      </c>
      <c r="GK362" s="14">
        <f t="shared" si="411"/>
        <v>123</v>
      </c>
      <c r="GL362" s="14">
        <f t="shared" si="393"/>
        <v>21010</v>
      </c>
      <c r="GM362" s="14">
        <f t="shared" si="412"/>
        <v>0</v>
      </c>
      <c r="GN362" s="14" t="str">
        <f t="shared" si="413"/>
        <v/>
      </c>
      <c r="GO362" s="25" t="s">
        <v>1471</v>
      </c>
      <c r="GP362" s="14">
        <f t="shared" si="394"/>
        <v>60</v>
      </c>
      <c r="HK362" s="13">
        <v>357</v>
      </c>
      <c r="HL362" s="14">
        <f t="shared" si="414"/>
        <v>15</v>
      </c>
      <c r="HM362" s="14">
        <f t="shared" si="415"/>
        <v>2</v>
      </c>
      <c r="HN362" s="14">
        <f t="shared" si="416"/>
        <v>4</v>
      </c>
      <c r="HO362" s="14">
        <f t="shared" si="417"/>
        <v>4</v>
      </c>
      <c r="HP362" s="14" t="str">
        <f t="shared" si="418"/>
        <v>70级守护灵洗练-Q4-9</v>
      </c>
      <c r="HQ362" s="14">
        <f t="shared" si="419"/>
        <v>2044</v>
      </c>
      <c r="HR362" s="14">
        <f t="shared" si="420"/>
        <v>9</v>
      </c>
      <c r="HS362" s="14">
        <f t="shared" si="421"/>
        <v>500</v>
      </c>
      <c r="HT362" s="14" t="str">
        <f t="shared" si="422"/>
        <v>DefIgnor</v>
      </c>
      <c r="HU362" s="14">
        <f t="shared" si="423"/>
        <v>1.0999999999999999E-2</v>
      </c>
      <c r="HV362" s="14">
        <f t="shared" si="424"/>
        <v>0.03</v>
      </c>
    </row>
    <row r="363" spans="151:230" ht="16.5" x14ac:dyDescent="0.2">
      <c r="EU363" s="13">
        <v>358</v>
      </c>
      <c r="EV363" s="14">
        <f t="shared" si="395"/>
        <v>1</v>
      </c>
      <c r="EW363" s="14">
        <f t="shared" si="396"/>
        <v>358</v>
      </c>
      <c r="EX363" s="14">
        <f t="shared" si="397"/>
        <v>48</v>
      </c>
      <c r="EY363" s="14">
        <f t="shared" si="372"/>
        <v>10</v>
      </c>
      <c r="EZ363" s="14">
        <f t="shared" si="373"/>
        <v>10</v>
      </c>
      <c r="FA363" s="14">
        <f t="shared" si="374"/>
        <v>140</v>
      </c>
      <c r="FB363" s="14">
        <f t="shared" si="375"/>
        <v>1</v>
      </c>
      <c r="FC363" s="14">
        <f t="shared" si="376"/>
        <v>4</v>
      </c>
      <c r="FD363" s="14">
        <f t="shared" si="377"/>
        <v>4</v>
      </c>
      <c r="FE363" s="14" t="b">
        <f t="shared" si="398"/>
        <v>0</v>
      </c>
      <c r="FF363" s="14">
        <f t="shared" si="378"/>
        <v>2010104</v>
      </c>
      <c r="FG363" s="13" t="str">
        <f t="shared" si="379"/>
        <v>140级-普通寄灵人の裤子</v>
      </c>
      <c r="FH363" s="14">
        <f t="shared" si="380"/>
        <v>1</v>
      </c>
      <c r="FI363" s="14">
        <f t="shared" si="381"/>
        <v>1</v>
      </c>
      <c r="FJ363" s="14">
        <f t="shared" si="382"/>
        <v>140</v>
      </c>
      <c r="FK363" s="14">
        <v>1</v>
      </c>
      <c r="FL363" s="14">
        <f t="shared" si="383"/>
        <v>10</v>
      </c>
      <c r="FM363" s="14">
        <f t="shared" si="399"/>
        <v>4</v>
      </c>
      <c r="FN363" s="14" t="str">
        <f t="shared" si="384"/>
        <v/>
      </c>
      <c r="FO363" s="14">
        <f t="shared" si="385"/>
        <v>130</v>
      </c>
      <c r="FP363" s="14">
        <f t="shared" si="400"/>
        <v>0</v>
      </c>
      <c r="FQ363" s="14">
        <f t="shared" si="401"/>
        <v>245</v>
      </c>
      <c r="FR363" s="14">
        <f t="shared" si="402"/>
        <v>0</v>
      </c>
      <c r="FS363" s="14">
        <f t="shared" si="403"/>
        <v>0</v>
      </c>
      <c r="FT363" s="14">
        <f t="shared" si="404"/>
        <v>13</v>
      </c>
      <c r="FU363" s="14">
        <f t="shared" si="405"/>
        <v>0</v>
      </c>
      <c r="FV363" s="14">
        <f t="shared" si="386"/>
        <v>1101</v>
      </c>
      <c r="FW363" s="14">
        <f t="shared" si="387"/>
        <v>0</v>
      </c>
      <c r="FX363" s="14" t="str">
        <f t="shared" si="388"/>
        <v/>
      </c>
      <c r="FY363" s="25" t="str">
        <f t="shared" si="406"/>
        <v>icon_2010104</v>
      </c>
      <c r="GC363" s="14">
        <f t="shared" si="389"/>
        <v>2</v>
      </c>
      <c r="GD363" s="14">
        <f t="shared" si="390"/>
        <v>0</v>
      </c>
      <c r="GE363" s="14">
        <f t="shared" si="407"/>
        <v>130</v>
      </c>
      <c r="GF363" s="14" t="str">
        <f t="shared" si="391"/>
        <v>DefExt</v>
      </c>
      <c r="GG363" s="14">
        <f t="shared" si="408"/>
        <v>245</v>
      </c>
      <c r="GH363" s="14">
        <f t="shared" si="409"/>
        <v>13</v>
      </c>
      <c r="GI363" s="14" t="str">
        <f t="shared" si="392"/>
        <v/>
      </c>
      <c r="GJ363" s="14" t="str">
        <f t="shared" si="410"/>
        <v/>
      </c>
      <c r="GK363" s="14" t="str">
        <f t="shared" si="411"/>
        <v/>
      </c>
      <c r="GL363" s="14">
        <f t="shared" si="393"/>
        <v>21010</v>
      </c>
      <c r="GM363" s="14">
        <f t="shared" si="412"/>
        <v>0</v>
      </c>
      <c r="GN363" s="14" t="str">
        <f t="shared" si="413"/>
        <v/>
      </c>
      <c r="GO363" s="25" t="s">
        <v>1471</v>
      </c>
      <c r="GP363" s="14">
        <f t="shared" si="394"/>
        <v>60</v>
      </c>
      <c r="HK363" s="13">
        <v>358</v>
      </c>
      <c r="HL363" s="14">
        <f t="shared" si="414"/>
        <v>15</v>
      </c>
      <c r="HM363" s="14">
        <f t="shared" si="415"/>
        <v>2</v>
      </c>
      <c r="HN363" s="14">
        <f t="shared" si="416"/>
        <v>4</v>
      </c>
      <c r="HO363" s="14">
        <f t="shared" si="417"/>
        <v>4</v>
      </c>
      <c r="HP363" s="14" t="str">
        <f t="shared" si="418"/>
        <v>70级守护灵洗练-Q4-10</v>
      </c>
      <c r="HQ363" s="14">
        <f t="shared" si="419"/>
        <v>2044</v>
      </c>
      <c r="HR363" s="14">
        <f t="shared" si="420"/>
        <v>10</v>
      </c>
      <c r="HS363" s="14">
        <f t="shared" si="421"/>
        <v>500</v>
      </c>
      <c r="HT363" s="14" t="str">
        <f t="shared" si="422"/>
        <v>Block</v>
      </c>
      <c r="HU363" s="14">
        <f t="shared" si="423"/>
        <v>1.0999999999999999E-2</v>
      </c>
      <c r="HV363" s="14">
        <f t="shared" si="424"/>
        <v>0.03</v>
      </c>
    </row>
    <row r="364" spans="151:230" ht="16.5" x14ac:dyDescent="0.2">
      <c r="EU364" s="13">
        <v>359</v>
      </c>
      <c r="EV364" s="14">
        <f t="shared" si="395"/>
        <v>1</v>
      </c>
      <c r="EW364" s="14">
        <f t="shared" si="396"/>
        <v>359</v>
      </c>
      <c r="EX364" s="14">
        <f t="shared" si="397"/>
        <v>48</v>
      </c>
      <c r="EY364" s="14">
        <f t="shared" si="372"/>
        <v>10</v>
      </c>
      <c r="EZ364" s="14">
        <f t="shared" si="373"/>
        <v>10</v>
      </c>
      <c r="FA364" s="14">
        <f t="shared" si="374"/>
        <v>140</v>
      </c>
      <c r="FB364" s="14">
        <f t="shared" si="375"/>
        <v>1</v>
      </c>
      <c r="FC364" s="14">
        <f t="shared" si="376"/>
        <v>5</v>
      </c>
      <c r="FD364" s="14">
        <f t="shared" si="377"/>
        <v>5</v>
      </c>
      <c r="FE364" s="14" t="b">
        <f t="shared" si="398"/>
        <v>0</v>
      </c>
      <c r="FF364" s="14">
        <f t="shared" si="378"/>
        <v>2010105</v>
      </c>
      <c r="FG364" s="13" t="str">
        <f t="shared" si="379"/>
        <v>140级-普通寄灵人の鞋子</v>
      </c>
      <c r="FH364" s="14">
        <f t="shared" si="380"/>
        <v>1</v>
      </c>
      <c r="FI364" s="14">
        <f t="shared" si="381"/>
        <v>1</v>
      </c>
      <c r="FJ364" s="14">
        <f t="shared" si="382"/>
        <v>140</v>
      </c>
      <c r="FK364" s="14">
        <v>1</v>
      </c>
      <c r="FL364" s="14">
        <f t="shared" si="383"/>
        <v>10</v>
      </c>
      <c r="FM364" s="14">
        <f t="shared" si="399"/>
        <v>5</v>
      </c>
      <c r="FN364" s="14" t="str">
        <f t="shared" si="384"/>
        <v/>
      </c>
      <c r="FO364" s="14">
        <f t="shared" si="385"/>
        <v>246</v>
      </c>
      <c r="FP364" s="14">
        <f t="shared" si="400"/>
        <v>0</v>
      </c>
      <c r="FQ364" s="14">
        <f t="shared" si="401"/>
        <v>0</v>
      </c>
      <c r="FR364" s="14">
        <f t="shared" si="402"/>
        <v>4695</v>
      </c>
      <c r="FS364" s="14">
        <f t="shared" si="403"/>
        <v>0</v>
      </c>
      <c r="FT364" s="14">
        <f t="shared" si="404"/>
        <v>0</v>
      </c>
      <c r="FU364" s="14">
        <f t="shared" si="405"/>
        <v>246</v>
      </c>
      <c r="FV364" s="14">
        <f t="shared" si="386"/>
        <v>1101</v>
      </c>
      <c r="FW364" s="14">
        <f t="shared" si="387"/>
        <v>0</v>
      </c>
      <c r="FX364" s="14" t="str">
        <f t="shared" si="388"/>
        <v/>
      </c>
      <c r="FY364" s="25" t="str">
        <f t="shared" si="406"/>
        <v>icon_2010105</v>
      </c>
      <c r="GC364" s="14">
        <f t="shared" si="389"/>
        <v>3</v>
      </c>
      <c r="GD364" s="14">
        <f t="shared" si="390"/>
        <v>0</v>
      </c>
      <c r="GE364" s="14">
        <f t="shared" si="407"/>
        <v>246</v>
      </c>
      <c r="GF364" s="14" t="str">
        <f t="shared" si="391"/>
        <v>HPExt</v>
      </c>
      <c r="GG364" s="14">
        <f t="shared" si="408"/>
        <v>4695</v>
      </c>
      <c r="GH364" s="14">
        <f t="shared" si="409"/>
        <v>246</v>
      </c>
      <c r="GI364" s="14" t="str">
        <f t="shared" si="392"/>
        <v/>
      </c>
      <c r="GJ364" s="14" t="str">
        <f t="shared" si="410"/>
        <v/>
      </c>
      <c r="GK364" s="14" t="str">
        <f t="shared" si="411"/>
        <v/>
      </c>
      <c r="GL364" s="14">
        <f t="shared" si="393"/>
        <v>21010</v>
      </c>
      <c r="GM364" s="14">
        <f t="shared" si="412"/>
        <v>0</v>
      </c>
      <c r="GN364" s="14" t="str">
        <f t="shared" si="413"/>
        <v/>
      </c>
      <c r="GO364" s="25" t="s">
        <v>1471</v>
      </c>
      <c r="GP364" s="14">
        <f t="shared" si="394"/>
        <v>60</v>
      </c>
      <c r="HK364" s="13">
        <v>359</v>
      </c>
      <c r="HL364" s="14">
        <f t="shared" si="414"/>
        <v>15</v>
      </c>
      <c r="HM364" s="14">
        <f t="shared" si="415"/>
        <v>2</v>
      </c>
      <c r="HN364" s="14">
        <f t="shared" si="416"/>
        <v>4</v>
      </c>
      <c r="HO364" s="14">
        <f t="shared" si="417"/>
        <v>4</v>
      </c>
      <c r="HP364" s="14" t="str">
        <f t="shared" si="418"/>
        <v>70级守护灵洗练-Q4-11</v>
      </c>
      <c r="HQ364" s="14">
        <f t="shared" si="419"/>
        <v>2044</v>
      </c>
      <c r="HR364" s="14">
        <f t="shared" si="420"/>
        <v>11</v>
      </c>
      <c r="HS364" s="14">
        <f t="shared" si="421"/>
        <v>500</v>
      </c>
      <c r="HT364" s="14" t="str">
        <f t="shared" si="422"/>
        <v>EffectHit</v>
      </c>
      <c r="HU364" s="14">
        <f t="shared" si="423"/>
        <v>1.7999999999999999E-2</v>
      </c>
      <c r="HV364" s="14">
        <f t="shared" si="424"/>
        <v>0.05</v>
      </c>
    </row>
    <row r="365" spans="151:230" ht="16.5" x14ac:dyDescent="0.2">
      <c r="EU365" s="13">
        <v>360</v>
      </c>
      <c r="EV365" s="14">
        <f t="shared" si="395"/>
        <v>1</v>
      </c>
      <c r="EW365" s="14">
        <f t="shared" si="396"/>
        <v>360</v>
      </c>
      <c r="EX365" s="14">
        <f t="shared" si="397"/>
        <v>48</v>
      </c>
      <c r="EY365" s="14">
        <f t="shared" si="372"/>
        <v>10</v>
      </c>
      <c r="EZ365" s="14">
        <f t="shared" si="373"/>
        <v>10</v>
      </c>
      <c r="FA365" s="14">
        <f t="shared" si="374"/>
        <v>140</v>
      </c>
      <c r="FB365" s="14">
        <f t="shared" si="375"/>
        <v>1</v>
      </c>
      <c r="FC365" s="14">
        <f t="shared" si="376"/>
        <v>6</v>
      </c>
      <c r="FD365" s="14">
        <f t="shared" si="377"/>
        <v>6</v>
      </c>
      <c r="FE365" s="14" t="b">
        <f t="shared" si="398"/>
        <v>0</v>
      </c>
      <c r="FF365" s="14">
        <f t="shared" si="378"/>
        <v>2010106</v>
      </c>
      <c r="FG365" s="13" t="str">
        <f t="shared" si="379"/>
        <v>140级-普通寄灵人の护手</v>
      </c>
      <c r="FH365" s="14">
        <f t="shared" si="380"/>
        <v>1</v>
      </c>
      <c r="FI365" s="14">
        <f t="shared" si="381"/>
        <v>1</v>
      </c>
      <c r="FJ365" s="14">
        <f t="shared" si="382"/>
        <v>140</v>
      </c>
      <c r="FK365" s="14">
        <v>1</v>
      </c>
      <c r="FL365" s="14">
        <f t="shared" si="383"/>
        <v>10</v>
      </c>
      <c r="FM365" s="14">
        <f t="shared" si="399"/>
        <v>6</v>
      </c>
      <c r="FN365" s="14" t="str">
        <f t="shared" si="384"/>
        <v/>
      </c>
      <c r="FO365" s="14">
        <f t="shared" si="385"/>
        <v>246</v>
      </c>
      <c r="FP365" s="14">
        <f t="shared" si="400"/>
        <v>0</v>
      </c>
      <c r="FQ365" s="14">
        <f t="shared" si="401"/>
        <v>0</v>
      </c>
      <c r="FR365" s="14">
        <f t="shared" si="402"/>
        <v>4695</v>
      </c>
      <c r="FS365" s="14">
        <f t="shared" si="403"/>
        <v>0</v>
      </c>
      <c r="FT365" s="14">
        <f t="shared" si="404"/>
        <v>0</v>
      </c>
      <c r="FU365" s="14">
        <f t="shared" si="405"/>
        <v>246</v>
      </c>
      <c r="FV365" s="14">
        <f t="shared" si="386"/>
        <v>1101</v>
      </c>
      <c r="FW365" s="14">
        <f t="shared" si="387"/>
        <v>0</v>
      </c>
      <c r="FX365" s="14" t="str">
        <f t="shared" si="388"/>
        <v/>
      </c>
      <c r="FY365" s="25" t="str">
        <f t="shared" si="406"/>
        <v>icon_2010106</v>
      </c>
      <c r="GC365" s="14">
        <f t="shared" si="389"/>
        <v>3</v>
      </c>
      <c r="GD365" s="14">
        <f t="shared" si="390"/>
        <v>0</v>
      </c>
      <c r="GE365" s="14">
        <f t="shared" si="407"/>
        <v>246</v>
      </c>
      <c r="GF365" s="14" t="str">
        <f t="shared" si="391"/>
        <v>HPExt</v>
      </c>
      <c r="GG365" s="14">
        <f t="shared" si="408"/>
        <v>4695</v>
      </c>
      <c r="GH365" s="14">
        <f t="shared" si="409"/>
        <v>246</v>
      </c>
      <c r="GI365" s="14" t="str">
        <f t="shared" si="392"/>
        <v/>
      </c>
      <c r="GJ365" s="14" t="str">
        <f t="shared" si="410"/>
        <v/>
      </c>
      <c r="GK365" s="14" t="str">
        <f t="shared" si="411"/>
        <v/>
      </c>
      <c r="GL365" s="14">
        <f t="shared" si="393"/>
        <v>21010</v>
      </c>
      <c r="GM365" s="14">
        <f t="shared" si="412"/>
        <v>0</v>
      </c>
      <c r="GN365" s="14" t="str">
        <f t="shared" si="413"/>
        <v/>
      </c>
      <c r="GO365" s="25" t="s">
        <v>1471</v>
      </c>
      <c r="GP365" s="14">
        <f t="shared" si="394"/>
        <v>60</v>
      </c>
      <c r="HK365" s="13">
        <v>360</v>
      </c>
      <c r="HL365" s="14">
        <f t="shared" si="414"/>
        <v>15</v>
      </c>
      <c r="HM365" s="14">
        <f t="shared" si="415"/>
        <v>2</v>
      </c>
      <c r="HN365" s="14">
        <f t="shared" si="416"/>
        <v>4</v>
      </c>
      <c r="HO365" s="14">
        <f t="shared" si="417"/>
        <v>4</v>
      </c>
      <c r="HP365" s="14" t="str">
        <f t="shared" si="418"/>
        <v>70级守护灵洗练-Q4-12</v>
      </c>
      <c r="HQ365" s="14">
        <f t="shared" si="419"/>
        <v>2044</v>
      </c>
      <c r="HR365" s="14">
        <f t="shared" si="420"/>
        <v>12</v>
      </c>
      <c r="HS365" s="14">
        <f t="shared" si="421"/>
        <v>500</v>
      </c>
      <c r="HT365" s="14" t="str">
        <f t="shared" si="422"/>
        <v>EffectResist</v>
      </c>
      <c r="HU365" s="14">
        <f t="shared" si="423"/>
        <v>1.7999999999999999E-2</v>
      </c>
      <c r="HV365" s="14">
        <f t="shared" si="424"/>
        <v>0.05</v>
      </c>
    </row>
    <row r="366" spans="151:230" ht="16.5" x14ac:dyDescent="0.2">
      <c r="EU366" s="13">
        <v>361</v>
      </c>
      <c r="EV366" s="14">
        <f t="shared" si="395"/>
        <v>1</v>
      </c>
      <c r="EW366" s="14">
        <f t="shared" si="396"/>
        <v>361</v>
      </c>
      <c r="EX366" s="14">
        <f t="shared" si="397"/>
        <v>48</v>
      </c>
      <c r="EY366" s="14">
        <f t="shared" si="372"/>
        <v>10</v>
      </c>
      <c r="EZ366" s="14">
        <f t="shared" si="373"/>
        <v>10</v>
      </c>
      <c r="FA366" s="14">
        <f t="shared" si="374"/>
        <v>140</v>
      </c>
      <c r="FB366" s="14">
        <f t="shared" si="375"/>
        <v>1</v>
      </c>
      <c r="FC366" s="14">
        <f t="shared" si="376"/>
        <v>7</v>
      </c>
      <c r="FD366" s="14">
        <f t="shared" si="377"/>
        <v>7</v>
      </c>
      <c r="FE366" s="14" t="b">
        <f t="shared" si="398"/>
        <v>0</v>
      </c>
      <c r="FF366" s="14">
        <f t="shared" si="378"/>
        <v>2010107</v>
      </c>
      <c r="FG366" s="13" t="str">
        <f t="shared" si="379"/>
        <v>140级-普通寄灵人の项链</v>
      </c>
      <c r="FH366" s="14">
        <f t="shared" si="380"/>
        <v>1</v>
      </c>
      <c r="FI366" s="14">
        <f t="shared" si="381"/>
        <v>1</v>
      </c>
      <c r="FJ366" s="14">
        <f t="shared" si="382"/>
        <v>140</v>
      </c>
      <c r="FK366" s="14">
        <v>1</v>
      </c>
      <c r="FL366" s="14">
        <f t="shared" si="383"/>
        <v>10</v>
      </c>
      <c r="FM366" s="14">
        <f t="shared" si="399"/>
        <v>7</v>
      </c>
      <c r="FN366" s="14" t="str">
        <f t="shared" si="384"/>
        <v/>
      </c>
      <c r="FO366" s="14">
        <f t="shared" si="385"/>
        <v>195</v>
      </c>
      <c r="FP366" s="14">
        <f t="shared" si="400"/>
        <v>330</v>
      </c>
      <c r="FQ366" s="14">
        <f t="shared" si="401"/>
        <v>205</v>
      </c>
      <c r="FR366" s="14">
        <f t="shared" si="402"/>
        <v>0</v>
      </c>
      <c r="FS366" s="14">
        <f t="shared" si="403"/>
        <v>17</v>
      </c>
      <c r="FT366" s="14">
        <f t="shared" si="404"/>
        <v>11</v>
      </c>
      <c r="FU366" s="14">
        <f t="shared" si="405"/>
        <v>0</v>
      </c>
      <c r="FV366" s="14">
        <f t="shared" si="386"/>
        <v>1101</v>
      </c>
      <c r="FW366" s="14">
        <f t="shared" si="387"/>
        <v>0</v>
      </c>
      <c r="FX366" s="14" t="str">
        <f t="shared" si="388"/>
        <v/>
      </c>
      <c r="FY366" s="25" t="str">
        <f t="shared" si="406"/>
        <v>icon_2010107</v>
      </c>
      <c r="GC366" s="14">
        <f t="shared" si="389"/>
        <v>1</v>
      </c>
      <c r="GD366" s="14">
        <f t="shared" si="390"/>
        <v>2</v>
      </c>
      <c r="GE366" s="14">
        <f t="shared" si="407"/>
        <v>195</v>
      </c>
      <c r="GF366" s="14" t="str">
        <f t="shared" si="391"/>
        <v>AtkExt</v>
      </c>
      <c r="GG366" s="14">
        <f t="shared" si="408"/>
        <v>330</v>
      </c>
      <c r="GH366" s="14">
        <f t="shared" si="409"/>
        <v>17</v>
      </c>
      <c r="GI366" s="14" t="str">
        <f t="shared" si="392"/>
        <v>DefExt</v>
      </c>
      <c r="GJ366" s="14">
        <f t="shared" si="410"/>
        <v>205</v>
      </c>
      <c r="GK366" s="14">
        <f t="shared" si="411"/>
        <v>11</v>
      </c>
      <c r="GL366" s="14">
        <f t="shared" si="393"/>
        <v>21010</v>
      </c>
      <c r="GM366" s="14">
        <f t="shared" si="412"/>
        <v>0</v>
      </c>
      <c r="GN366" s="14" t="str">
        <f t="shared" si="413"/>
        <v/>
      </c>
      <c r="GO366" s="25" t="s">
        <v>1471</v>
      </c>
      <c r="GP366" s="14">
        <f t="shared" si="394"/>
        <v>90</v>
      </c>
      <c r="HK366" s="13">
        <v>361</v>
      </c>
      <c r="HL366" s="14">
        <f t="shared" si="414"/>
        <v>16</v>
      </c>
      <c r="HM366" s="14">
        <f t="shared" si="415"/>
        <v>2</v>
      </c>
      <c r="HN366" s="14">
        <f t="shared" si="416"/>
        <v>5</v>
      </c>
      <c r="HO366" s="14">
        <f t="shared" si="417"/>
        <v>3</v>
      </c>
      <c r="HP366" s="14" t="str">
        <f t="shared" si="418"/>
        <v>90级守护灵洗练-Q3-1</v>
      </c>
      <c r="HQ366" s="14">
        <f t="shared" si="419"/>
        <v>2053</v>
      </c>
      <c r="HR366" s="14">
        <f t="shared" si="420"/>
        <v>1</v>
      </c>
      <c r="HS366" s="14">
        <f t="shared" si="421"/>
        <v>1800</v>
      </c>
      <c r="HT366" s="14" t="str">
        <f t="shared" si="422"/>
        <v>AtkExt</v>
      </c>
      <c r="HU366" s="14">
        <f t="shared" si="423"/>
        <v>82</v>
      </c>
      <c r="HV366" s="14">
        <f t="shared" si="424"/>
        <v>236</v>
      </c>
    </row>
    <row r="367" spans="151:230" ht="16.5" x14ac:dyDescent="0.2">
      <c r="EU367" s="13">
        <v>362</v>
      </c>
      <c r="EV367" s="14">
        <f t="shared" si="395"/>
        <v>1</v>
      </c>
      <c r="EW367" s="14">
        <f t="shared" si="396"/>
        <v>362</v>
      </c>
      <c r="EX367" s="14">
        <f t="shared" si="397"/>
        <v>48</v>
      </c>
      <c r="EY367" s="14">
        <f t="shared" si="372"/>
        <v>10</v>
      </c>
      <c r="EZ367" s="14">
        <f t="shared" si="373"/>
        <v>10</v>
      </c>
      <c r="FA367" s="14">
        <f t="shared" si="374"/>
        <v>140</v>
      </c>
      <c r="FB367" s="14">
        <f t="shared" si="375"/>
        <v>1</v>
      </c>
      <c r="FC367" s="14">
        <f t="shared" si="376"/>
        <v>8</v>
      </c>
      <c r="FD367" s="14">
        <f t="shared" si="377"/>
        <v>8</v>
      </c>
      <c r="FE367" s="14" t="b">
        <f t="shared" si="398"/>
        <v>0</v>
      </c>
      <c r="FF367" s="14">
        <f t="shared" si="378"/>
        <v>2010108</v>
      </c>
      <c r="FG367" s="13" t="str">
        <f t="shared" si="379"/>
        <v>140级-普通寄灵人の戒指</v>
      </c>
      <c r="FH367" s="14">
        <f t="shared" si="380"/>
        <v>1</v>
      </c>
      <c r="FI367" s="14">
        <f t="shared" si="381"/>
        <v>1</v>
      </c>
      <c r="FJ367" s="14">
        <f t="shared" si="382"/>
        <v>140</v>
      </c>
      <c r="FK367" s="14">
        <v>1</v>
      </c>
      <c r="FL367" s="14">
        <f t="shared" si="383"/>
        <v>10</v>
      </c>
      <c r="FM367" s="14">
        <f t="shared" si="399"/>
        <v>8</v>
      </c>
      <c r="FN367" s="14" t="str">
        <f t="shared" si="384"/>
        <v/>
      </c>
      <c r="FO367" s="14">
        <f t="shared" si="385"/>
        <v>290</v>
      </c>
      <c r="FP367" s="14">
        <f t="shared" si="400"/>
        <v>330</v>
      </c>
      <c r="FQ367" s="14">
        <f t="shared" si="401"/>
        <v>0</v>
      </c>
      <c r="FR367" s="14">
        <f t="shared" si="402"/>
        <v>3910</v>
      </c>
      <c r="FS367" s="14">
        <f t="shared" si="403"/>
        <v>17</v>
      </c>
      <c r="FT367" s="14">
        <f t="shared" si="404"/>
        <v>0</v>
      </c>
      <c r="FU367" s="14">
        <f t="shared" si="405"/>
        <v>205</v>
      </c>
      <c r="FV367" s="14">
        <f t="shared" si="386"/>
        <v>1101</v>
      </c>
      <c r="FW367" s="14">
        <f t="shared" si="387"/>
        <v>0</v>
      </c>
      <c r="FX367" s="14" t="str">
        <f t="shared" si="388"/>
        <v/>
      </c>
      <c r="FY367" s="25" t="str">
        <f t="shared" si="406"/>
        <v>icon_2010108</v>
      </c>
      <c r="GC367" s="14">
        <f t="shared" si="389"/>
        <v>1</v>
      </c>
      <c r="GD367" s="14">
        <f t="shared" si="390"/>
        <v>3</v>
      </c>
      <c r="GE367" s="14">
        <f t="shared" si="407"/>
        <v>290</v>
      </c>
      <c r="GF367" s="14" t="str">
        <f t="shared" si="391"/>
        <v>AtkExt</v>
      </c>
      <c r="GG367" s="14">
        <f t="shared" si="408"/>
        <v>330</v>
      </c>
      <c r="GH367" s="14">
        <f t="shared" si="409"/>
        <v>17</v>
      </c>
      <c r="GI367" s="14" t="str">
        <f t="shared" si="392"/>
        <v>HPExt</v>
      </c>
      <c r="GJ367" s="14">
        <f t="shared" si="410"/>
        <v>3910</v>
      </c>
      <c r="GK367" s="14">
        <f t="shared" si="411"/>
        <v>205</v>
      </c>
      <c r="GL367" s="14">
        <f t="shared" si="393"/>
        <v>21010</v>
      </c>
      <c r="GM367" s="14">
        <f t="shared" si="412"/>
        <v>0</v>
      </c>
      <c r="GN367" s="14" t="str">
        <f t="shared" si="413"/>
        <v/>
      </c>
      <c r="GO367" s="25" t="s">
        <v>1471</v>
      </c>
      <c r="GP367" s="14">
        <f t="shared" si="394"/>
        <v>90</v>
      </c>
      <c r="HK367" s="13">
        <v>362</v>
      </c>
      <c r="HL367" s="14">
        <f t="shared" si="414"/>
        <v>16</v>
      </c>
      <c r="HM367" s="14">
        <f t="shared" si="415"/>
        <v>2</v>
      </c>
      <c r="HN367" s="14">
        <f t="shared" si="416"/>
        <v>5</v>
      </c>
      <c r="HO367" s="14">
        <f t="shared" si="417"/>
        <v>3</v>
      </c>
      <c r="HP367" s="14" t="str">
        <f t="shared" si="418"/>
        <v>90级守护灵洗练-Q3-2</v>
      </c>
      <c r="HQ367" s="14">
        <f t="shared" si="419"/>
        <v>2053</v>
      </c>
      <c r="HR367" s="14">
        <f t="shared" si="420"/>
        <v>2</v>
      </c>
      <c r="HS367" s="14">
        <f t="shared" si="421"/>
        <v>1800</v>
      </c>
      <c r="HT367" s="14" t="str">
        <f t="shared" si="422"/>
        <v>DefExt</v>
      </c>
      <c r="HU367" s="14">
        <f t="shared" si="423"/>
        <v>34</v>
      </c>
      <c r="HV367" s="14">
        <f t="shared" si="424"/>
        <v>99</v>
      </c>
    </row>
    <row r="368" spans="151:230" ht="16.5" x14ac:dyDescent="0.2">
      <c r="EU368" s="13">
        <v>363</v>
      </c>
      <c r="EV368" s="14">
        <f t="shared" si="395"/>
        <v>1</v>
      </c>
      <c r="EW368" s="14">
        <f t="shared" si="396"/>
        <v>363</v>
      </c>
      <c r="EX368" s="14">
        <f t="shared" si="397"/>
        <v>49</v>
      </c>
      <c r="EY368" s="14">
        <f t="shared" si="372"/>
        <v>20</v>
      </c>
      <c r="EZ368" s="14">
        <f t="shared" si="373"/>
        <v>10</v>
      </c>
      <c r="FA368" s="14">
        <f t="shared" si="374"/>
        <v>140</v>
      </c>
      <c r="FB368" s="14">
        <f t="shared" si="375"/>
        <v>2</v>
      </c>
      <c r="FC368" s="14">
        <f t="shared" si="376"/>
        <v>1</v>
      </c>
      <c r="FD368" s="14">
        <f t="shared" si="377"/>
        <v>1</v>
      </c>
      <c r="FE368" s="14" t="b">
        <f t="shared" si="398"/>
        <v>0</v>
      </c>
      <c r="FF368" s="14">
        <f t="shared" si="378"/>
        <v>2010201</v>
      </c>
      <c r="FG368" s="13" t="str">
        <f t="shared" si="379"/>
        <v>140级-优秀寄灵人の灵器</v>
      </c>
      <c r="FH368" s="14">
        <f t="shared" si="380"/>
        <v>1</v>
      </c>
      <c r="FI368" s="14">
        <f t="shared" si="381"/>
        <v>2</v>
      </c>
      <c r="FJ368" s="14">
        <f t="shared" si="382"/>
        <v>140</v>
      </c>
      <c r="FK368" s="14">
        <v>1</v>
      </c>
      <c r="FL368" s="14">
        <f t="shared" si="383"/>
        <v>10</v>
      </c>
      <c r="FM368" s="14">
        <f t="shared" si="399"/>
        <v>1</v>
      </c>
      <c r="FN368" s="14" t="str">
        <f t="shared" si="384"/>
        <v/>
      </c>
      <c r="FO368" s="14">
        <f t="shared" si="385"/>
        <v>360</v>
      </c>
      <c r="FP368" s="14">
        <f t="shared" si="400"/>
        <v>1380</v>
      </c>
      <c r="FQ368" s="14">
        <f t="shared" si="401"/>
        <v>0</v>
      </c>
      <c r="FR368" s="14">
        <f t="shared" si="402"/>
        <v>0</v>
      </c>
      <c r="FS368" s="14">
        <f t="shared" si="403"/>
        <v>72</v>
      </c>
      <c r="FT368" s="14">
        <f t="shared" si="404"/>
        <v>0</v>
      </c>
      <c r="FU368" s="14">
        <f t="shared" si="405"/>
        <v>0</v>
      </c>
      <c r="FV368" s="14">
        <f t="shared" si="386"/>
        <v>1102</v>
      </c>
      <c r="FW368" s="14">
        <f t="shared" si="387"/>
        <v>0</v>
      </c>
      <c r="FX368" s="14" t="str">
        <f t="shared" si="388"/>
        <v/>
      </c>
      <c r="FY368" s="25" t="str">
        <f t="shared" si="406"/>
        <v>icon_2010101</v>
      </c>
      <c r="GC368" s="14">
        <f t="shared" si="389"/>
        <v>1</v>
      </c>
      <c r="GD368" s="14">
        <f t="shared" si="390"/>
        <v>0</v>
      </c>
      <c r="GE368" s="14">
        <f t="shared" si="407"/>
        <v>360</v>
      </c>
      <c r="GF368" s="14" t="str">
        <f t="shared" si="391"/>
        <v>AtkExt</v>
      </c>
      <c r="GG368" s="14">
        <f t="shared" si="408"/>
        <v>1380</v>
      </c>
      <c r="GH368" s="14">
        <f t="shared" si="409"/>
        <v>72</v>
      </c>
      <c r="GI368" s="14" t="str">
        <f t="shared" si="392"/>
        <v/>
      </c>
      <c r="GJ368" s="14" t="str">
        <f t="shared" si="410"/>
        <v/>
      </c>
      <c r="GK368" s="14" t="str">
        <f t="shared" si="411"/>
        <v/>
      </c>
      <c r="GL368" s="14">
        <f t="shared" si="393"/>
        <v>21020</v>
      </c>
      <c r="GM368" s="14">
        <f t="shared" si="412"/>
        <v>0</v>
      </c>
      <c r="GN368" s="14" t="str">
        <f t="shared" si="413"/>
        <v/>
      </c>
      <c r="GO368" s="25" t="s">
        <v>1471</v>
      </c>
      <c r="GP368" s="14">
        <f t="shared" si="394"/>
        <v>360</v>
      </c>
      <c r="HK368" s="13">
        <v>363</v>
      </c>
      <c r="HL368" s="14">
        <f t="shared" si="414"/>
        <v>16</v>
      </c>
      <c r="HM368" s="14">
        <f t="shared" si="415"/>
        <v>2</v>
      </c>
      <c r="HN368" s="14">
        <f t="shared" si="416"/>
        <v>5</v>
      </c>
      <c r="HO368" s="14">
        <f t="shared" si="417"/>
        <v>3</v>
      </c>
      <c r="HP368" s="14" t="str">
        <f t="shared" si="418"/>
        <v>90级守护灵洗练-Q3-3</v>
      </c>
      <c r="HQ368" s="14">
        <f t="shared" si="419"/>
        <v>2053</v>
      </c>
      <c r="HR368" s="14">
        <f t="shared" si="420"/>
        <v>3</v>
      </c>
      <c r="HS368" s="14">
        <f t="shared" si="421"/>
        <v>2000</v>
      </c>
      <c r="HT368" s="14" t="str">
        <f t="shared" si="422"/>
        <v>HPExt</v>
      </c>
      <c r="HU368" s="14">
        <f t="shared" si="423"/>
        <v>669</v>
      </c>
      <c r="HV368" s="14">
        <f t="shared" si="424"/>
        <v>1913</v>
      </c>
    </row>
    <row r="369" spans="151:230" ht="16.5" x14ac:dyDescent="0.2">
      <c r="EU369" s="13">
        <v>364</v>
      </c>
      <c r="EV369" s="14">
        <f t="shared" si="395"/>
        <v>1</v>
      </c>
      <c r="EW369" s="14">
        <f t="shared" si="396"/>
        <v>364</v>
      </c>
      <c r="EX369" s="14">
        <f t="shared" si="397"/>
        <v>49</v>
      </c>
      <c r="EY369" s="14">
        <f t="shared" si="372"/>
        <v>20</v>
      </c>
      <c r="EZ369" s="14">
        <f t="shared" si="373"/>
        <v>10</v>
      </c>
      <c r="FA369" s="14">
        <f t="shared" si="374"/>
        <v>140</v>
      </c>
      <c r="FB369" s="14">
        <f t="shared" si="375"/>
        <v>2</v>
      </c>
      <c r="FC369" s="14">
        <f t="shared" si="376"/>
        <v>2</v>
      </c>
      <c r="FD369" s="14">
        <f t="shared" si="377"/>
        <v>2</v>
      </c>
      <c r="FE369" s="14" t="b">
        <f t="shared" si="398"/>
        <v>0</v>
      </c>
      <c r="FF369" s="14">
        <f t="shared" si="378"/>
        <v>2010202</v>
      </c>
      <c r="FG369" s="13" t="str">
        <f t="shared" si="379"/>
        <v>140级-优秀寄灵人の头盔</v>
      </c>
      <c r="FH369" s="14">
        <f t="shared" si="380"/>
        <v>1</v>
      </c>
      <c r="FI369" s="14">
        <f t="shared" si="381"/>
        <v>2</v>
      </c>
      <c r="FJ369" s="14">
        <f t="shared" si="382"/>
        <v>140</v>
      </c>
      <c r="FK369" s="14">
        <v>1</v>
      </c>
      <c r="FL369" s="14">
        <f t="shared" si="383"/>
        <v>10</v>
      </c>
      <c r="FM369" s="14">
        <f t="shared" si="399"/>
        <v>2</v>
      </c>
      <c r="FN369" s="14" t="str">
        <f t="shared" si="384"/>
        <v/>
      </c>
      <c r="FO369" s="14">
        <f t="shared" si="385"/>
        <v>180</v>
      </c>
      <c r="FP369" s="14">
        <f t="shared" si="400"/>
        <v>0</v>
      </c>
      <c r="FQ369" s="14">
        <f t="shared" si="401"/>
        <v>345</v>
      </c>
      <c r="FR369" s="14">
        <f t="shared" si="402"/>
        <v>0</v>
      </c>
      <c r="FS369" s="14">
        <f t="shared" si="403"/>
        <v>0</v>
      </c>
      <c r="FT369" s="14">
        <f t="shared" si="404"/>
        <v>18</v>
      </c>
      <c r="FU369" s="14">
        <f t="shared" si="405"/>
        <v>0</v>
      </c>
      <c r="FV369" s="14">
        <f t="shared" si="386"/>
        <v>1102</v>
      </c>
      <c r="FW369" s="14">
        <f t="shared" si="387"/>
        <v>0</v>
      </c>
      <c r="FX369" s="14" t="str">
        <f t="shared" si="388"/>
        <v/>
      </c>
      <c r="FY369" s="25" t="str">
        <f t="shared" si="406"/>
        <v>icon_2010102</v>
      </c>
      <c r="GC369" s="14">
        <f t="shared" si="389"/>
        <v>2</v>
      </c>
      <c r="GD369" s="14">
        <f t="shared" si="390"/>
        <v>0</v>
      </c>
      <c r="GE369" s="14">
        <f t="shared" si="407"/>
        <v>180</v>
      </c>
      <c r="GF369" s="14" t="str">
        <f t="shared" si="391"/>
        <v>DefExt</v>
      </c>
      <c r="GG369" s="14">
        <f t="shared" si="408"/>
        <v>345</v>
      </c>
      <c r="GH369" s="14">
        <f t="shared" si="409"/>
        <v>18</v>
      </c>
      <c r="GI369" s="14" t="str">
        <f t="shared" si="392"/>
        <v/>
      </c>
      <c r="GJ369" s="14" t="str">
        <f t="shared" si="410"/>
        <v/>
      </c>
      <c r="GK369" s="14" t="str">
        <f t="shared" si="411"/>
        <v/>
      </c>
      <c r="GL369" s="14">
        <f t="shared" si="393"/>
        <v>21020</v>
      </c>
      <c r="GM369" s="14">
        <f t="shared" si="412"/>
        <v>0</v>
      </c>
      <c r="GN369" s="14" t="str">
        <f t="shared" si="413"/>
        <v/>
      </c>
      <c r="GO369" s="25" t="s">
        <v>1471</v>
      </c>
      <c r="GP369" s="14">
        <f t="shared" si="394"/>
        <v>180</v>
      </c>
      <c r="HK369" s="13">
        <v>364</v>
      </c>
      <c r="HL369" s="14">
        <f t="shared" si="414"/>
        <v>16</v>
      </c>
      <c r="HM369" s="14">
        <f t="shared" si="415"/>
        <v>2</v>
      </c>
      <c r="HN369" s="14">
        <f t="shared" si="416"/>
        <v>5</v>
      </c>
      <c r="HO369" s="14">
        <f t="shared" si="417"/>
        <v>3</v>
      </c>
      <c r="HP369" s="14" t="str">
        <f t="shared" si="418"/>
        <v>90级守护灵洗练-Q3-4</v>
      </c>
      <c r="HQ369" s="14">
        <f t="shared" si="419"/>
        <v>2053</v>
      </c>
      <c r="HR369" s="14">
        <f t="shared" si="420"/>
        <v>4</v>
      </c>
      <c r="HS369" s="14">
        <f t="shared" si="421"/>
        <v>500</v>
      </c>
      <c r="HT369" s="14" t="str">
        <f t="shared" si="422"/>
        <v>AtkRate</v>
      </c>
      <c r="HU369" s="14">
        <f t="shared" si="423"/>
        <v>1.4E-2</v>
      </c>
      <c r="HV369" s="14">
        <f t="shared" si="424"/>
        <v>0.04</v>
      </c>
    </row>
    <row r="370" spans="151:230" ht="16.5" x14ac:dyDescent="0.2">
      <c r="EU370" s="13">
        <v>365</v>
      </c>
      <c r="EV370" s="14">
        <f t="shared" si="395"/>
        <v>1</v>
      </c>
      <c r="EW370" s="14">
        <f t="shared" si="396"/>
        <v>365</v>
      </c>
      <c r="EX370" s="14">
        <f t="shared" si="397"/>
        <v>49</v>
      </c>
      <c r="EY370" s="14">
        <f t="shared" si="372"/>
        <v>20</v>
      </c>
      <c r="EZ370" s="14">
        <f t="shared" si="373"/>
        <v>10</v>
      </c>
      <c r="FA370" s="14">
        <f t="shared" si="374"/>
        <v>140</v>
      </c>
      <c r="FB370" s="14">
        <f t="shared" si="375"/>
        <v>2</v>
      </c>
      <c r="FC370" s="14">
        <f t="shared" si="376"/>
        <v>3</v>
      </c>
      <c r="FD370" s="14">
        <f t="shared" si="377"/>
        <v>3</v>
      </c>
      <c r="FE370" s="14" t="b">
        <f t="shared" si="398"/>
        <v>0</v>
      </c>
      <c r="FF370" s="14">
        <f t="shared" si="378"/>
        <v>2010203</v>
      </c>
      <c r="FG370" s="13" t="str">
        <f t="shared" si="379"/>
        <v>140级-优秀寄灵人の铠甲</v>
      </c>
      <c r="FH370" s="14">
        <f t="shared" si="380"/>
        <v>1</v>
      </c>
      <c r="FI370" s="14">
        <f t="shared" si="381"/>
        <v>2</v>
      </c>
      <c r="FJ370" s="14">
        <f t="shared" si="382"/>
        <v>140</v>
      </c>
      <c r="FK370" s="14">
        <v>1</v>
      </c>
      <c r="FL370" s="14">
        <f t="shared" si="383"/>
        <v>10</v>
      </c>
      <c r="FM370" s="14">
        <f t="shared" si="399"/>
        <v>3</v>
      </c>
      <c r="FN370" s="14" t="str">
        <f t="shared" si="384"/>
        <v/>
      </c>
      <c r="FO370" s="14">
        <f t="shared" si="385"/>
        <v>262</v>
      </c>
      <c r="FP370" s="14">
        <f t="shared" si="400"/>
        <v>0</v>
      </c>
      <c r="FQ370" s="14">
        <f t="shared" si="401"/>
        <v>175</v>
      </c>
      <c r="FR370" s="14">
        <f t="shared" si="402"/>
        <v>3285</v>
      </c>
      <c r="FS370" s="14">
        <f t="shared" si="403"/>
        <v>0</v>
      </c>
      <c r="FT370" s="14">
        <f t="shared" si="404"/>
        <v>9</v>
      </c>
      <c r="FU370" s="14">
        <f t="shared" si="405"/>
        <v>172</v>
      </c>
      <c r="FV370" s="14">
        <f t="shared" si="386"/>
        <v>1102</v>
      </c>
      <c r="FW370" s="14">
        <f t="shared" si="387"/>
        <v>0</v>
      </c>
      <c r="FX370" s="14" t="str">
        <f t="shared" si="388"/>
        <v/>
      </c>
      <c r="FY370" s="25" t="str">
        <f t="shared" si="406"/>
        <v>icon_2010103</v>
      </c>
      <c r="GC370" s="14">
        <f t="shared" si="389"/>
        <v>2</v>
      </c>
      <c r="GD370" s="14">
        <f t="shared" si="390"/>
        <v>3</v>
      </c>
      <c r="GE370" s="14">
        <f t="shared" si="407"/>
        <v>262</v>
      </c>
      <c r="GF370" s="14" t="str">
        <f t="shared" si="391"/>
        <v>DefExt</v>
      </c>
      <c r="GG370" s="14">
        <f t="shared" si="408"/>
        <v>175</v>
      </c>
      <c r="GH370" s="14">
        <f t="shared" si="409"/>
        <v>9</v>
      </c>
      <c r="GI370" s="14" t="str">
        <f t="shared" si="392"/>
        <v>HPExt</v>
      </c>
      <c r="GJ370" s="14">
        <f t="shared" si="410"/>
        <v>3285</v>
      </c>
      <c r="GK370" s="14">
        <f t="shared" si="411"/>
        <v>172</v>
      </c>
      <c r="GL370" s="14">
        <f t="shared" si="393"/>
        <v>21020</v>
      </c>
      <c r="GM370" s="14">
        <f t="shared" si="412"/>
        <v>0</v>
      </c>
      <c r="GN370" s="14" t="str">
        <f t="shared" si="413"/>
        <v/>
      </c>
      <c r="GO370" s="25" t="s">
        <v>1471</v>
      </c>
      <c r="GP370" s="14">
        <f t="shared" si="394"/>
        <v>180</v>
      </c>
      <c r="HK370" s="13">
        <v>365</v>
      </c>
      <c r="HL370" s="14">
        <f t="shared" si="414"/>
        <v>16</v>
      </c>
      <c r="HM370" s="14">
        <f t="shared" si="415"/>
        <v>2</v>
      </c>
      <c r="HN370" s="14">
        <f t="shared" si="416"/>
        <v>5</v>
      </c>
      <c r="HO370" s="14">
        <f t="shared" si="417"/>
        <v>3</v>
      </c>
      <c r="HP370" s="14" t="str">
        <f t="shared" si="418"/>
        <v>90级守护灵洗练-Q3-5</v>
      </c>
      <c r="HQ370" s="14">
        <f t="shared" si="419"/>
        <v>2053</v>
      </c>
      <c r="HR370" s="14">
        <f t="shared" si="420"/>
        <v>5</v>
      </c>
      <c r="HS370" s="14">
        <f t="shared" si="421"/>
        <v>400</v>
      </c>
      <c r="HT370" s="14" t="str">
        <f t="shared" si="422"/>
        <v>DefRate</v>
      </c>
      <c r="HU370" s="14">
        <f t="shared" si="423"/>
        <v>1.4E-2</v>
      </c>
      <c r="HV370" s="14">
        <f t="shared" si="424"/>
        <v>0.04</v>
      </c>
    </row>
    <row r="371" spans="151:230" ht="16.5" x14ac:dyDescent="0.2">
      <c r="EU371" s="13">
        <v>366</v>
      </c>
      <c r="EV371" s="14">
        <f t="shared" si="395"/>
        <v>1</v>
      </c>
      <c r="EW371" s="14">
        <f t="shared" si="396"/>
        <v>366</v>
      </c>
      <c r="EX371" s="14">
        <f t="shared" si="397"/>
        <v>49</v>
      </c>
      <c r="EY371" s="14">
        <f t="shared" si="372"/>
        <v>20</v>
      </c>
      <c r="EZ371" s="14">
        <f t="shared" si="373"/>
        <v>10</v>
      </c>
      <c r="FA371" s="14">
        <f t="shared" si="374"/>
        <v>140</v>
      </c>
      <c r="FB371" s="14">
        <f t="shared" si="375"/>
        <v>2</v>
      </c>
      <c r="FC371" s="14">
        <f t="shared" si="376"/>
        <v>4</v>
      </c>
      <c r="FD371" s="14">
        <f t="shared" si="377"/>
        <v>4</v>
      </c>
      <c r="FE371" s="14" t="b">
        <f t="shared" si="398"/>
        <v>0</v>
      </c>
      <c r="FF371" s="14">
        <f t="shared" si="378"/>
        <v>2010204</v>
      </c>
      <c r="FG371" s="13" t="str">
        <f t="shared" si="379"/>
        <v>140级-优秀寄灵人の裤子</v>
      </c>
      <c r="FH371" s="14">
        <f t="shared" si="380"/>
        <v>1</v>
      </c>
      <c r="FI371" s="14">
        <f t="shared" si="381"/>
        <v>2</v>
      </c>
      <c r="FJ371" s="14">
        <f t="shared" si="382"/>
        <v>140</v>
      </c>
      <c r="FK371" s="14">
        <v>1</v>
      </c>
      <c r="FL371" s="14">
        <f t="shared" si="383"/>
        <v>10</v>
      </c>
      <c r="FM371" s="14">
        <f t="shared" si="399"/>
        <v>4</v>
      </c>
      <c r="FN371" s="14" t="str">
        <f t="shared" si="384"/>
        <v/>
      </c>
      <c r="FO371" s="14">
        <f t="shared" si="385"/>
        <v>180</v>
      </c>
      <c r="FP371" s="14">
        <f t="shared" si="400"/>
        <v>0</v>
      </c>
      <c r="FQ371" s="14">
        <f t="shared" si="401"/>
        <v>345</v>
      </c>
      <c r="FR371" s="14">
        <f t="shared" si="402"/>
        <v>0</v>
      </c>
      <c r="FS371" s="14">
        <f t="shared" si="403"/>
        <v>0</v>
      </c>
      <c r="FT371" s="14">
        <f t="shared" si="404"/>
        <v>18</v>
      </c>
      <c r="FU371" s="14">
        <f t="shared" si="405"/>
        <v>0</v>
      </c>
      <c r="FV371" s="14">
        <f t="shared" si="386"/>
        <v>1102</v>
      </c>
      <c r="FW371" s="14">
        <f t="shared" si="387"/>
        <v>0</v>
      </c>
      <c r="FX371" s="14" t="str">
        <f t="shared" si="388"/>
        <v/>
      </c>
      <c r="FY371" s="25" t="str">
        <f t="shared" si="406"/>
        <v>icon_2010104</v>
      </c>
      <c r="GC371" s="14">
        <f t="shared" si="389"/>
        <v>2</v>
      </c>
      <c r="GD371" s="14">
        <f t="shared" si="390"/>
        <v>0</v>
      </c>
      <c r="GE371" s="14">
        <f t="shared" si="407"/>
        <v>180</v>
      </c>
      <c r="GF371" s="14" t="str">
        <f t="shared" si="391"/>
        <v>DefExt</v>
      </c>
      <c r="GG371" s="14">
        <f t="shared" si="408"/>
        <v>345</v>
      </c>
      <c r="GH371" s="14">
        <f t="shared" si="409"/>
        <v>18</v>
      </c>
      <c r="GI371" s="14" t="str">
        <f t="shared" si="392"/>
        <v/>
      </c>
      <c r="GJ371" s="14" t="str">
        <f t="shared" si="410"/>
        <v/>
      </c>
      <c r="GK371" s="14" t="str">
        <f t="shared" si="411"/>
        <v/>
      </c>
      <c r="GL371" s="14">
        <f t="shared" si="393"/>
        <v>21020</v>
      </c>
      <c r="GM371" s="14">
        <f t="shared" si="412"/>
        <v>0</v>
      </c>
      <c r="GN371" s="14" t="str">
        <f t="shared" si="413"/>
        <v/>
      </c>
      <c r="GO371" s="25" t="s">
        <v>1471</v>
      </c>
      <c r="GP371" s="14">
        <f t="shared" si="394"/>
        <v>180</v>
      </c>
      <c r="HK371" s="13">
        <v>366</v>
      </c>
      <c r="HL371" s="14">
        <f t="shared" si="414"/>
        <v>16</v>
      </c>
      <c r="HM371" s="14">
        <f t="shared" si="415"/>
        <v>2</v>
      </c>
      <c r="HN371" s="14">
        <f t="shared" si="416"/>
        <v>5</v>
      </c>
      <c r="HO371" s="14">
        <f t="shared" si="417"/>
        <v>3</v>
      </c>
      <c r="HP371" s="14" t="str">
        <f t="shared" si="418"/>
        <v>90级守护灵洗练-Q3-6</v>
      </c>
      <c r="HQ371" s="14">
        <f t="shared" si="419"/>
        <v>2053</v>
      </c>
      <c r="HR371" s="14">
        <f t="shared" si="420"/>
        <v>6</v>
      </c>
      <c r="HS371" s="14">
        <f t="shared" si="421"/>
        <v>500</v>
      </c>
      <c r="HT371" s="14" t="str">
        <f t="shared" si="422"/>
        <v>HPRate</v>
      </c>
      <c r="HU371" s="14">
        <f t="shared" si="423"/>
        <v>1.4E-2</v>
      </c>
      <c r="HV371" s="14">
        <f t="shared" si="424"/>
        <v>0.04</v>
      </c>
    </row>
    <row r="372" spans="151:230" ht="16.5" x14ac:dyDescent="0.2">
      <c r="EU372" s="13">
        <v>367</v>
      </c>
      <c r="EV372" s="14">
        <f t="shared" si="395"/>
        <v>1</v>
      </c>
      <c r="EW372" s="14">
        <f t="shared" si="396"/>
        <v>367</v>
      </c>
      <c r="EX372" s="14">
        <f t="shared" si="397"/>
        <v>49</v>
      </c>
      <c r="EY372" s="14">
        <f t="shared" si="372"/>
        <v>20</v>
      </c>
      <c r="EZ372" s="14">
        <f t="shared" si="373"/>
        <v>10</v>
      </c>
      <c r="FA372" s="14">
        <f t="shared" si="374"/>
        <v>140</v>
      </c>
      <c r="FB372" s="14">
        <f t="shared" si="375"/>
        <v>2</v>
      </c>
      <c r="FC372" s="14">
        <f t="shared" si="376"/>
        <v>5</v>
      </c>
      <c r="FD372" s="14">
        <f t="shared" si="377"/>
        <v>5</v>
      </c>
      <c r="FE372" s="14" t="b">
        <f t="shared" si="398"/>
        <v>0</v>
      </c>
      <c r="FF372" s="14">
        <f t="shared" si="378"/>
        <v>2010205</v>
      </c>
      <c r="FG372" s="13" t="str">
        <f t="shared" si="379"/>
        <v>140级-优秀寄灵人の鞋子</v>
      </c>
      <c r="FH372" s="14">
        <f t="shared" si="380"/>
        <v>1</v>
      </c>
      <c r="FI372" s="14">
        <f t="shared" si="381"/>
        <v>2</v>
      </c>
      <c r="FJ372" s="14">
        <f t="shared" si="382"/>
        <v>140</v>
      </c>
      <c r="FK372" s="14">
        <v>1</v>
      </c>
      <c r="FL372" s="14">
        <f t="shared" si="383"/>
        <v>10</v>
      </c>
      <c r="FM372" s="14">
        <f t="shared" si="399"/>
        <v>5</v>
      </c>
      <c r="FN372" s="14" t="str">
        <f t="shared" si="384"/>
        <v/>
      </c>
      <c r="FO372" s="14">
        <f t="shared" si="385"/>
        <v>344</v>
      </c>
      <c r="FP372" s="14">
        <f t="shared" si="400"/>
        <v>0</v>
      </c>
      <c r="FQ372" s="14">
        <f t="shared" si="401"/>
        <v>0</v>
      </c>
      <c r="FR372" s="14">
        <f t="shared" si="402"/>
        <v>6570</v>
      </c>
      <c r="FS372" s="14">
        <f t="shared" si="403"/>
        <v>0</v>
      </c>
      <c r="FT372" s="14">
        <f t="shared" si="404"/>
        <v>0</v>
      </c>
      <c r="FU372" s="14">
        <f t="shared" si="405"/>
        <v>344</v>
      </c>
      <c r="FV372" s="14">
        <f t="shared" si="386"/>
        <v>1102</v>
      </c>
      <c r="FW372" s="14">
        <f t="shared" si="387"/>
        <v>0</v>
      </c>
      <c r="FX372" s="14" t="str">
        <f t="shared" si="388"/>
        <v/>
      </c>
      <c r="FY372" s="25" t="str">
        <f t="shared" si="406"/>
        <v>icon_2010105</v>
      </c>
      <c r="GC372" s="14">
        <f t="shared" si="389"/>
        <v>3</v>
      </c>
      <c r="GD372" s="14">
        <f t="shared" si="390"/>
        <v>0</v>
      </c>
      <c r="GE372" s="14">
        <f t="shared" si="407"/>
        <v>344</v>
      </c>
      <c r="GF372" s="14" t="str">
        <f t="shared" si="391"/>
        <v>HPExt</v>
      </c>
      <c r="GG372" s="14">
        <f t="shared" si="408"/>
        <v>6570</v>
      </c>
      <c r="GH372" s="14">
        <f t="shared" si="409"/>
        <v>344</v>
      </c>
      <c r="GI372" s="14" t="str">
        <f t="shared" si="392"/>
        <v/>
      </c>
      <c r="GJ372" s="14" t="str">
        <f t="shared" si="410"/>
        <v/>
      </c>
      <c r="GK372" s="14" t="str">
        <f t="shared" si="411"/>
        <v/>
      </c>
      <c r="GL372" s="14">
        <f t="shared" si="393"/>
        <v>21020</v>
      </c>
      <c r="GM372" s="14">
        <f t="shared" si="412"/>
        <v>0</v>
      </c>
      <c r="GN372" s="14" t="str">
        <f t="shared" si="413"/>
        <v/>
      </c>
      <c r="GO372" s="25" t="s">
        <v>1471</v>
      </c>
      <c r="GP372" s="14">
        <f t="shared" si="394"/>
        <v>180</v>
      </c>
      <c r="HK372" s="13">
        <v>367</v>
      </c>
      <c r="HL372" s="14">
        <f t="shared" si="414"/>
        <v>16</v>
      </c>
      <c r="HM372" s="14">
        <f t="shared" si="415"/>
        <v>2</v>
      </c>
      <c r="HN372" s="14">
        <f t="shared" si="416"/>
        <v>5</v>
      </c>
      <c r="HO372" s="14">
        <f t="shared" si="417"/>
        <v>3</v>
      </c>
      <c r="HP372" s="14" t="str">
        <f t="shared" si="418"/>
        <v>90级守护灵洗练-Q3-7</v>
      </c>
      <c r="HQ372" s="14">
        <f t="shared" si="419"/>
        <v>2053</v>
      </c>
      <c r="HR372" s="14">
        <f t="shared" si="420"/>
        <v>7</v>
      </c>
      <c r="HS372" s="14">
        <f t="shared" si="421"/>
        <v>500</v>
      </c>
      <c r="HT372" s="14" t="str">
        <f t="shared" si="422"/>
        <v>Crit</v>
      </c>
      <c r="HU372" s="14">
        <f t="shared" si="423"/>
        <v>1.0999999999999999E-2</v>
      </c>
      <c r="HV372" s="14">
        <f t="shared" si="424"/>
        <v>0.03</v>
      </c>
    </row>
    <row r="373" spans="151:230" ht="16.5" x14ac:dyDescent="0.2">
      <c r="EU373" s="13">
        <v>368</v>
      </c>
      <c r="EV373" s="14">
        <f t="shared" si="395"/>
        <v>1</v>
      </c>
      <c r="EW373" s="14">
        <f t="shared" si="396"/>
        <v>368</v>
      </c>
      <c r="EX373" s="14">
        <f t="shared" si="397"/>
        <v>49</v>
      </c>
      <c r="EY373" s="14">
        <f t="shared" si="372"/>
        <v>20</v>
      </c>
      <c r="EZ373" s="14">
        <f t="shared" si="373"/>
        <v>10</v>
      </c>
      <c r="FA373" s="14">
        <f t="shared" si="374"/>
        <v>140</v>
      </c>
      <c r="FB373" s="14">
        <f t="shared" si="375"/>
        <v>2</v>
      </c>
      <c r="FC373" s="14">
        <f t="shared" si="376"/>
        <v>6</v>
      </c>
      <c r="FD373" s="14">
        <f t="shared" si="377"/>
        <v>6</v>
      </c>
      <c r="FE373" s="14" t="b">
        <f t="shared" si="398"/>
        <v>0</v>
      </c>
      <c r="FF373" s="14">
        <f t="shared" si="378"/>
        <v>2010206</v>
      </c>
      <c r="FG373" s="13" t="str">
        <f t="shared" si="379"/>
        <v>140级-优秀寄灵人の护手</v>
      </c>
      <c r="FH373" s="14">
        <f t="shared" si="380"/>
        <v>1</v>
      </c>
      <c r="FI373" s="14">
        <f t="shared" si="381"/>
        <v>2</v>
      </c>
      <c r="FJ373" s="14">
        <f t="shared" si="382"/>
        <v>140</v>
      </c>
      <c r="FK373" s="14">
        <v>1</v>
      </c>
      <c r="FL373" s="14">
        <f t="shared" si="383"/>
        <v>10</v>
      </c>
      <c r="FM373" s="14">
        <f t="shared" si="399"/>
        <v>6</v>
      </c>
      <c r="FN373" s="14" t="str">
        <f t="shared" si="384"/>
        <v/>
      </c>
      <c r="FO373" s="14">
        <f t="shared" si="385"/>
        <v>344</v>
      </c>
      <c r="FP373" s="14">
        <f t="shared" si="400"/>
        <v>0</v>
      </c>
      <c r="FQ373" s="14">
        <f t="shared" si="401"/>
        <v>0</v>
      </c>
      <c r="FR373" s="14">
        <f t="shared" si="402"/>
        <v>6570</v>
      </c>
      <c r="FS373" s="14">
        <f t="shared" si="403"/>
        <v>0</v>
      </c>
      <c r="FT373" s="14">
        <f t="shared" si="404"/>
        <v>0</v>
      </c>
      <c r="FU373" s="14">
        <f t="shared" si="405"/>
        <v>344</v>
      </c>
      <c r="FV373" s="14">
        <f t="shared" si="386"/>
        <v>1102</v>
      </c>
      <c r="FW373" s="14">
        <f t="shared" si="387"/>
        <v>0</v>
      </c>
      <c r="FX373" s="14" t="str">
        <f t="shared" si="388"/>
        <v/>
      </c>
      <c r="FY373" s="25" t="str">
        <f t="shared" si="406"/>
        <v>icon_2010106</v>
      </c>
      <c r="GC373" s="14">
        <f t="shared" si="389"/>
        <v>3</v>
      </c>
      <c r="GD373" s="14">
        <f t="shared" si="390"/>
        <v>0</v>
      </c>
      <c r="GE373" s="14">
        <f t="shared" si="407"/>
        <v>344</v>
      </c>
      <c r="GF373" s="14" t="str">
        <f t="shared" si="391"/>
        <v>HPExt</v>
      </c>
      <c r="GG373" s="14">
        <f t="shared" si="408"/>
        <v>6570</v>
      </c>
      <c r="GH373" s="14">
        <f t="shared" si="409"/>
        <v>344</v>
      </c>
      <c r="GI373" s="14" t="str">
        <f t="shared" si="392"/>
        <v/>
      </c>
      <c r="GJ373" s="14" t="str">
        <f t="shared" si="410"/>
        <v/>
      </c>
      <c r="GK373" s="14" t="str">
        <f t="shared" si="411"/>
        <v/>
      </c>
      <c r="GL373" s="14">
        <f t="shared" si="393"/>
        <v>21020</v>
      </c>
      <c r="GM373" s="14">
        <f t="shared" si="412"/>
        <v>0</v>
      </c>
      <c r="GN373" s="14" t="str">
        <f t="shared" si="413"/>
        <v/>
      </c>
      <c r="GO373" s="25" t="s">
        <v>1471</v>
      </c>
      <c r="GP373" s="14">
        <f t="shared" si="394"/>
        <v>180</v>
      </c>
      <c r="HK373" s="13">
        <v>368</v>
      </c>
      <c r="HL373" s="14">
        <f t="shared" si="414"/>
        <v>16</v>
      </c>
      <c r="HM373" s="14">
        <f t="shared" si="415"/>
        <v>2</v>
      </c>
      <c r="HN373" s="14">
        <f t="shared" si="416"/>
        <v>5</v>
      </c>
      <c r="HO373" s="14">
        <f t="shared" si="417"/>
        <v>3</v>
      </c>
      <c r="HP373" s="14" t="str">
        <f t="shared" si="418"/>
        <v>90级守护灵洗练-Q3-8</v>
      </c>
      <c r="HQ373" s="14">
        <f t="shared" si="419"/>
        <v>2053</v>
      </c>
      <c r="HR373" s="14">
        <f t="shared" si="420"/>
        <v>8</v>
      </c>
      <c r="HS373" s="14">
        <f t="shared" si="421"/>
        <v>500</v>
      </c>
      <c r="HT373" s="14" t="str">
        <f t="shared" si="422"/>
        <v>CritRate</v>
      </c>
      <c r="HU373" s="14">
        <f t="shared" si="423"/>
        <v>2.8000000000000001E-2</v>
      </c>
      <c r="HV373" s="14">
        <f t="shared" si="424"/>
        <v>0.08</v>
      </c>
    </row>
    <row r="374" spans="151:230" ht="16.5" x14ac:dyDescent="0.2">
      <c r="EU374" s="13">
        <v>369</v>
      </c>
      <c r="EV374" s="14">
        <f t="shared" si="395"/>
        <v>1</v>
      </c>
      <c r="EW374" s="14">
        <f t="shared" si="396"/>
        <v>369</v>
      </c>
      <c r="EX374" s="14">
        <f t="shared" si="397"/>
        <v>49</v>
      </c>
      <c r="EY374" s="14">
        <f t="shared" si="372"/>
        <v>20</v>
      </c>
      <c r="EZ374" s="14">
        <f t="shared" si="373"/>
        <v>10</v>
      </c>
      <c r="FA374" s="14">
        <f t="shared" si="374"/>
        <v>140</v>
      </c>
      <c r="FB374" s="14">
        <f t="shared" si="375"/>
        <v>2</v>
      </c>
      <c r="FC374" s="14">
        <f t="shared" si="376"/>
        <v>7</v>
      </c>
      <c r="FD374" s="14">
        <f t="shared" si="377"/>
        <v>7</v>
      </c>
      <c r="FE374" s="14" t="b">
        <f t="shared" si="398"/>
        <v>0</v>
      </c>
      <c r="FF374" s="14">
        <f t="shared" si="378"/>
        <v>2010207</v>
      </c>
      <c r="FG374" s="13" t="str">
        <f t="shared" si="379"/>
        <v>140级-优秀寄灵人の项链</v>
      </c>
      <c r="FH374" s="14">
        <f t="shared" si="380"/>
        <v>1</v>
      </c>
      <c r="FI374" s="14">
        <f t="shared" si="381"/>
        <v>2</v>
      </c>
      <c r="FJ374" s="14">
        <f t="shared" si="382"/>
        <v>140</v>
      </c>
      <c r="FK374" s="14">
        <v>1</v>
      </c>
      <c r="FL374" s="14">
        <f t="shared" si="383"/>
        <v>10</v>
      </c>
      <c r="FM374" s="14">
        <f t="shared" si="399"/>
        <v>7</v>
      </c>
      <c r="FN374" s="14" t="str">
        <f t="shared" si="384"/>
        <v/>
      </c>
      <c r="FO374" s="14">
        <f t="shared" si="385"/>
        <v>270</v>
      </c>
      <c r="FP374" s="14">
        <f t="shared" si="400"/>
        <v>460</v>
      </c>
      <c r="FQ374" s="14">
        <f t="shared" si="401"/>
        <v>290</v>
      </c>
      <c r="FR374" s="14">
        <f t="shared" si="402"/>
        <v>0</v>
      </c>
      <c r="FS374" s="14">
        <f t="shared" si="403"/>
        <v>24</v>
      </c>
      <c r="FT374" s="14">
        <f t="shared" si="404"/>
        <v>15</v>
      </c>
      <c r="FU374" s="14">
        <f t="shared" si="405"/>
        <v>0</v>
      </c>
      <c r="FV374" s="14">
        <f t="shared" si="386"/>
        <v>1102</v>
      </c>
      <c r="FW374" s="14">
        <f t="shared" si="387"/>
        <v>0</v>
      </c>
      <c r="FX374" s="14" t="str">
        <f t="shared" si="388"/>
        <v/>
      </c>
      <c r="FY374" s="25" t="str">
        <f t="shared" si="406"/>
        <v>icon_2010107</v>
      </c>
      <c r="GC374" s="14">
        <f t="shared" si="389"/>
        <v>1</v>
      </c>
      <c r="GD374" s="14">
        <f t="shared" si="390"/>
        <v>2</v>
      </c>
      <c r="GE374" s="14">
        <f t="shared" si="407"/>
        <v>270</v>
      </c>
      <c r="GF374" s="14" t="str">
        <f t="shared" si="391"/>
        <v>AtkExt</v>
      </c>
      <c r="GG374" s="14">
        <f t="shared" si="408"/>
        <v>460</v>
      </c>
      <c r="GH374" s="14">
        <f t="shared" si="409"/>
        <v>24</v>
      </c>
      <c r="GI374" s="14" t="str">
        <f t="shared" si="392"/>
        <v>DefExt</v>
      </c>
      <c r="GJ374" s="14">
        <f t="shared" si="410"/>
        <v>290</v>
      </c>
      <c r="GK374" s="14">
        <f t="shared" si="411"/>
        <v>15</v>
      </c>
      <c r="GL374" s="14">
        <f t="shared" si="393"/>
        <v>21020</v>
      </c>
      <c r="GM374" s="14">
        <f t="shared" si="412"/>
        <v>0</v>
      </c>
      <c r="GN374" s="14" t="str">
        <f t="shared" si="413"/>
        <v/>
      </c>
      <c r="GO374" s="25" t="s">
        <v>1471</v>
      </c>
      <c r="GP374" s="14">
        <f t="shared" si="394"/>
        <v>270</v>
      </c>
      <c r="HK374" s="13">
        <v>369</v>
      </c>
      <c r="HL374" s="14">
        <f t="shared" si="414"/>
        <v>16</v>
      </c>
      <c r="HM374" s="14">
        <f t="shared" si="415"/>
        <v>2</v>
      </c>
      <c r="HN374" s="14">
        <f t="shared" si="416"/>
        <v>5</v>
      </c>
      <c r="HO374" s="14">
        <f t="shared" si="417"/>
        <v>3</v>
      </c>
      <c r="HP374" s="14" t="str">
        <f t="shared" si="418"/>
        <v>90级守护灵洗练-Q3-9</v>
      </c>
      <c r="HQ374" s="14">
        <f t="shared" si="419"/>
        <v>2053</v>
      </c>
      <c r="HR374" s="14">
        <f t="shared" si="420"/>
        <v>9</v>
      </c>
      <c r="HS374" s="14">
        <f t="shared" si="421"/>
        <v>500</v>
      </c>
      <c r="HT374" s="14" t="str">
        <f t="shared" si="422"/>
        <v>DefIgnor</v>
      </c>
      <c r="HU374" s="14">
        <f t="shared" si="423"/>
        <v>1.0999999999999999E-2</v>
      </c>
      <c r="HV374" s="14">
        <f t="shared" si="424"/>
        <v>0.03</v>
      </c>
    </row>
    <row r="375" spans="151:230" ht="16.5" x14ac:dyDescent="0.2">
      <c r="EU375" s="13">
        <v>370</v>
      </c>
      <c r="EV375" s="14">
        <f t="shared" si="395"/>
        <v>1</v>
      </c>
      <c r="EW375" s="14">
        <f t="shared" si="396"/>
        <v>370</v>
      </c>
      <c r="EX375" s="14">
        <f t="shared" si="397"/>
        <v>49</v>
      </c>
      <c r="EY375" s="14">
        <f t="shared" si="372"/>
        <v>20</v>
      </c>
      <c r="EZ375" s="14">
        <f t="shared" si="373"/>
        <v>10</v>
      </c>
      <c r="FA375" s="14">
        <f t="shared" si="374"/>
        <v>140</v>
      </c>
      <c r="FB375" s="14">
        <f t="shared" si="375"/>
        <v>2</v>
      </c>
      <c r="FC375" s="14">
        <f t="shared" si="376"/>
        <v>8</v>
      </c>
      <c r="FD375" s="14">
        <f t="shared" si="377"/>
        <v>8</v>
      </c>
      <c r="FE375" s="14" t="b">
        <f t="shared" si="398"/>
        <v>0</v>
      </c>
      <c r="FF375" s="14">
        <f t="shared" si="378"/>
        <v>2010208</v>
      </c>
      <c r="FG375" s="13" t="str">
        <f t="shared" si="379"/>
        <v>140级-优秀寄灵人の戒指</v>
      </c>
      <c r="FH375" s="14">
        <f t="shared" si="380"/>
        <v>1</v>
      </c>
      <c r="FI375" s="14">
        <f t="shared" si="381"/>
        <v>2</v>
      </c>
      <c r="FJ375" s="14">
        <f t="shared" si="382"/>
        <v>140</v>
      </c>
      <c r="FK375" s="14">
        <v>1</v>
      </c>
      <c r="FL375" s="14">
        <f t="shared" si="383"/>
        <v>10</v>
      </c>
      <c r="FM375" s="14">
        <f t="shared" si="399"/>
        <v>8</v>
      </c>
      <c r="FN375" s="14" t="str">
        <f t="shared" si="384"/>
        <v/>
      </c>
      <c r="FO375" s="14">
        <f t="shared" si="385"/>
        <v>407</v>
      </c>
      <c r="FP375" s="14">
        <f t="shared" si="400"/>
        <v>460</v>
      </c>
      <c r="FQ375" s="14">
        <f t="shared" si="401"/>
        <v>0</v>
      </c>
      <c r="FR375" s="14">
        <f t="shared" si="402"/>
        <v>5475</v>
      </c>
      <c r="FS375" s="14">
        <f t="shared" si="403"/>
        <v>24</v>
      </c>
      <c r="FT375" s="14">
        <f t="shared" si="404"/>
        <v>0</v>
      </c>
      <c r="FU375" s="14">
        <f t="shared" si="405"/>
        <v>287</v>
      </c>
      <c r="FV375" s="14">
        <f t="shared" si="386"/>
        <v>1102</v>
      </c>
      <c r="FW375" s="14">
        <f t="shared" si="387"/>
        <v>0</v>
      </c>
      <c r="FX375" s="14" t="str">
        <f t="shared" si="388"/>
        <v/>
      </c>
      <c r="FY375" s="25" t="str">
        <f t="shared" si="406"/>
        <v>icon_2010108</v>
      </c>
      <c r="GC375" s="14">
        <f t="shared" si="389"/>
        <v>1</v>
      </c>
      <c r="GD375" s="14">
        <f t="shared" si="390"/>
        <v>3</v>
      </c>
      <c r="GE375" s="14">
        <f t="shared" si="407"/>
        <v>407</v>
      </c>
      <c r="GF375" s="14" t="str">
        <f t="shared" si="391"/>
        <v>AtkExt</v>
      </c>
      <c r="GG375" s="14">
        <f t="shared" si="408"/>
        <v>460</v>
      </c>
      <c r="GH375" s="14">
        <f t="shared" si="409"/>
        <v>24</v>
      </c>
      <c r="GI375" s="14" t="str">
        <f t="shared" si="392"/>
        <v>HPExt</v>
      </c>
      <c r="GJ375" s="14">
        <f t="shared" si="410"/>
        <v>5475</v>
      </c>
      <c r="GK375" s="14">
        <f t="shared" si="411"/>
        <v>287</v>
      </c>
      <c r="GL375" s="14">
        <f t="shared" si="393"/>
        <v>21020</v>
      </c>
      <c r="GM375" s="14">
        <f t="shared" si="412"/>
        <v>0</v>
      </c>
      <c r="GN375" s="14" t="str">
        <f t="shared" si="413"/>
        <v/>
      </c>
      <c r="GO375" s="25" t="s">
        <v>1471</v>
      </c>
      <c r="GP375" s="14">
        <f t="shared" si="394"/>
        <v>270</v>
      </c>
      <c r="HK375" s="13">
        <v>370</v>
      </c>
      <c r="HL375" s="14">
        <f t="shared" si="414"/>
        <v>16</v>
      </c>
      <c r="HM375" s="14">
        <f t="shared" si="415"/>
        <v>2</v>
      </c>
      <c r="HN375" s="14">
        <f t="shared" si="416"/>
        <v>5</v>
      </c>
      <c r="HO375" s="14">
        <f t="shared" si="417"/>
        <v>3</v>
      </c>
      <c r="HP375" s="14" t="str">
        <f t="shared" si="418"/>
        <v>90级守护灵洗练-Q3-10</v>
      </c>
      <c r="HQ375" s="14">
        <f t="shared" si="419"/>
        <v>2053</v>
      </c>
      <c r="HR375" s="14">
        <f t="shared" si="420"/>
        <v>10</v>
      </c>
      <c r="HS375" s="14">
        <f t="shared" si="421"/>
        <v>500</v>
      </c>
      <c r="HT375" s="14" t="str">
        <f t="shared" si="422"/>
        <v>Block</v>
      </c>
      <c r="HU375" s="14">
        <f t="shared" si="423"/>
        <v>1.0999999999999999E-2</v>
      </c>
      <c r="HV375" s="14">
        <f t="shared" si="424"/>
        <v>0.03</v>
      </c>
    </row>
    <row r="376" spans="151:230" ht="16.5" x14ac:dyDescent="0.2">
      <c r="EU376" s="13">
        <v>371</v>
      </c>
      <c r="EV376" s="14">
        <f t="shared" si="395"/>
        <v>1</v>
      </c>
      <c r="EW376" s="14">
        <f t="shared" si="396"/>
        <v>371</v>
      </c>
      <c r="EX376" s="14">
        <f t="shared" si="397"/>
        <v>50</v>
      </c>
      <c r="EY376" s="14">
        <f t="shared" si="372"/>
        <v>30</v>
      </c>
      <c r="EZ376" s="14">
        <f t="shared" si="373"/>
        <v>10</v>
      </c>
      <c r="FA376" s="14">
        <f t="shared" si="374"/>
        <v>140</v>
      </c>
      <c r="FB376" s="14">
        <f t="shared" si="375"/>
        <v>3</v>
      </c>
      <c r="FC376" s="14">
        <f t="shared" si="376"/>
        <v>1</v>
      </c>
      <c r="FD376" s="14">
        <f t="shared" si="377"/>
        <v>1</v>
      </c>
      <c r="FE376" s="14" t="b">
        <f t="shared" si="398"/>
        <v>0</v>
      </c>
      <c r="FF376" s="14">
        <f t="shared" si="378"/>
        <v>2010301</v>
      </c>
      <c r="FG376" s="13" t="str">
        <f t="shared" si="379"/>
        <v>140级-精良寄灵人の灵器</v>
      </c>
      <c r="FH376" s="14">
        <f t="shared" si="380"/>
        <v>1</v>
      </c>
      <c r="FI376" s="14">
        <f t="shared" si="381"/>
        <v>3</v>
      </c>
      <c r="FJ376" s="14">
        <f t="shared" si="382"/>
        <v>140</v>
      </c>
      <c r="FK376" s="14">
        <v>1</v>
      </c>
      <c r="FL376" s="14">
        <f t="shared" si="383"/>
        <v>10</v>
      </c>
      <c r="FM376" s="14">
        <f t="shared" si="399"/>
        <v>1</v>
      </c>
      <c r="FN376" s="14" t="str">
        <f t="shared" si="384"/>
        <v/>
      </c>
      <c r="FO376" s="14">
        <f t="shared" si="385"/>
        <v>440</v>
      </c>
      <c r="FP376" s="14">
        <f t="shared" si="400"/>
        <v>1675</v>
      </c>
      <c r="FQ376" s="14">
        <f t="shared" si="401"/>
        <v>0</v>
      </c>
      <c r="FR376" s="14">
        <f t="shared" si="402"/>
        <v>0</v>
      </c>
      <c r="FS376" s="14">
        <f t="shared" si="403"/>
        <v>88</v>
      </c>
      <c r="FT376" s="14">
        <f t="shared" si="404"/>
        <v>0</v>
      </c>
      <c r="FU376" s="14">
        <f t="shared" si="405"/>
        <v>0</v>
      </c>
      <c r="FV376" s="14">
        <f t="shared" si="386"/>
        <v>1103</v>
      </c>
      <c r="FW376" s="14">
        <f t="shared" si="387"/>
        <v>5</v>
      </c>
      <c r="FX376" s="14">
        <f t="shared" si="388"/>
        <v>1103</v>
      </c>
      <c r="FY376" s="25" t="str">
        <f t="shared" si="406"/>
        <v>icon_2010101</v>
      </c>
      <c r="GC376" s="14">
        <f t="shared" si="389"/>
        <v>1</v>
      </c>
      <c r="GD376" s="14">
        <f t="shared" si="390"/>
        <v>0</v>
      </c>
      <c r="GE376" s="14">
        <f t="shared" si="407"/>
        <v>440</v>
      </c>
      <c r="GF376" s="14" t="str">
        <f t="shared" si="391"/>
        <v>AtkExt</v>
      </c>
      <c r="GG376" s="14">
        <f t="shared" si="408"/>
        <v>1675</v>
      </c>
      <c r="GH376" s="14">
        <f t="shared" si="409"/>
        <v>88</v>
      </c>
      <c r="GI376" s="14" t="str">
        <f t="shared" si="392"/>
        <v/>
      </c>
      <c r="GJ376" s="14" t="str">
        <f t="shared" si="410"/>
        <v/>
      </c>
      <c r="GK376" s="14" t="str">
        <f t="shared" si="411"/>
        <v/>
      </c>
      <c r="GL376" s="14">
        <f t="shared" si="393"/>
        <v>21030</v>
      </c>
      <c r="GM376" s="14">
        <f t="shared" si="412"/>
        <v>5</v>
      </c>
      <c r="GN376" s="14">
        <f t="shared" si="413"/>
        <v>1103</v>
      </c>
      <c r="GO376" s="25" t="s">
        <v>1471</v>
      </c>
      <c r="GP376" s="14">
        <f t="shared" si="394"/>
        <v>600</v>
      </c>
      <c r="HK376" s="13">
        <v>371</v>
      </c>
      <c r="HL376" s="14">
        <f t="shared" si="414"/>
        <v>16</v>
      </c>
      <c r="HM376" s="14">
        <f t="shared" si="415"/>
        <v>2</v>
      </c>
      <c r="HN376" s="14">
        <f t="shared" si="416"/>
        <v>5</v>
      </c>
      <c r="HO376" s="14">
        <f t="shared" si="417"/>
        <v>3</v>
      </c>
      <c r="HP376" s="14" t="str">
        <f t="shared" si="418"/>
        <v>90级守护灵洗练-Q3-11</v>
      </c>
      <c r="HQ376" s="14">
        <f t="shared" si="419"/>
        <v>2053</v>
      </c>
      <c r="HR376" s="14">
        <f t="shared" si="420"/>
        <v>11</v>
      </c>
      <c r="HS376" s="14">
        <f t="shared" si="421"/>
        <v>500</v>
      </c>
      <c r="HT376" s="14" t="str">
        <f t="shared" si="422"/>
        <v>EffectHit</v>
      </c>
      <c r="HU376" s="14">
        <f t="shared" si="423"/>
        <v>1.7999999999999999E-2</v>
      </c>
      <c r="HV376" s="14">
        <f t="shared" si="424"/>
        <v>0.05</v>
      </c>
    </row>
    <row r="377" spans="151:230" ht="16.5" x14ac:dyDescent="0.2">
      <c r="EU377" s="13">
        <v>372</v>
      </c>
      <c r="EV377" s="14">
        <f t="shared" si="395"/>
        <v>1</v>
      </c>
      <c r="EW377" s="14">
        <f t="shared" si="396"/>
        <v>372</v>
      </c>
      <c r="EX377" s="14">
        <f t="shared" si="397"/>
        <v>50</v>
      </c>
      <c r="EY377" s="14">
        <f t="shared" si="372"/>
        <v>30</v>
      </c>
      <c r="EZ377" s="14">
        <f t="shared" si="373"/>
        <v>10</v>
      </c>
      <c r="FA377" s="14">
        <f t="shared" si="374"/>
        <v>140</v>
      </c>
      <c r="FB377" s="14">
        <f t="shared" si="375"/>
        <v>3</v>
      </c>
      <c r="FC377" s="14">
        <f t="shared" si="376"/>
        <v>2</v>
      </c>
      <c r="FD377" s="14">
        <f t="shared" si="377"/>
        <v>2</v>
      </c>
      <c r="FE377" s="14" t="b">
        <f t="shared" si="398"/>
        <v>0</v>
      </c>
      <c r="FF377" s="14">
        <f t="shared" si="378"/>
        <v>2010302</v>
      </c>
      <c r="FG377" s="13" t="str">
        <f t="shared" si="379"/>
        <v>140级-精良寄灵人の头盔</v>
      </c>
      <c r="FH377" s="14">
        <f t="shared" si="380"/>
        <v>1</v>
      </c>
      <c r="FI377" s="14">
        <f t="shared" si="381"/>
        <v>3</v>
      </c>
      <c r="FJ377" s="14">
        <f t="shared" si="382"/>
        <v>140</v>
      </c>
      <c r="FK377" s="14">
        <v>1</v>
      </c>
      <c r="FL377" s="14">
        <f t="shared" si="383"/>
        <v>10</v>
      </c>
      <c r="FM377" s="14">
        <f t="shared" si="399"/>
        <v>2</v>
      </c>
      <c r="FN377" s="14" t="str">
        <f t="shared" si="384"/>
        <v/>
      </c>
      <c r="FO377" s="14">
        <f t="shared" si="385"/>
        <v>220</v>
      </c>
      <c r="FP377" s="14">
        <f t="shared" si="400"/>
        <v>0</v>
      </c>
      <c r="FQ377" s="14">
        <f t="shared" si="401"/>
        <v>420</v>
      </c>
      <c r="FR377" s="14">
        <f t="shared" si="402"/>
        <v>0</v>
      </c>
      <c r="FS377" s="14">
        <f t="shared" si="403"/>
        <v>0</v>
      </c>
      <c r="FT377" s="14">
        <f t="shared" si="404"/>
        <v>22</v>
      </c>
      <c r="FU377" s="14">
        <f t="shared" si="405"/>
        <v>0</v>
      </c>
      <c r="FV377" s="14">
        <f t="shared" si="386"/>
        <v>1103</v>
      </c>
      <c r="FW377" s="14">
        <f t="shared" si="387"/>
        <v>5</v>
      </c>
      <c r="FX377" s="14">
        <f t="shared" si="388"/>
        <v>1103</v>
      </c>
      <c r="FY377" s="25" t="str">
        <f t="shared" si="406"/>
        <v>icon_2010102</v>
      </c>
      <c r="GC377" s="14">
        <f t="shared" si="389"/>
        <v>2</v>
      </c>
      <c r="GD377" s="14">
        <f t="shared" si="390"/>
        <v>0</v>
      </c>
      <c r="GE377" s="14">
        <f t="shared" si="407"/>
        <v>220</v>
      </c>
      <c r="GF377" s="14" t="str">
        <f t="shared" si="391"/>
        <v>DefExt</v>
      </c>
      <c r="GG377" s="14">
        <f t="shared" si="408"/>
        <v>420</v>
      </c>
      <c r="GH377" s="14">
        <f t="shared" si="409"/>
        <v>22</v>
      </c>
      <c r="GI377" s="14" t="str">
        <f t="shared" si="392"/>
        <v/>
      </c>
      <c r="GJ377" s="14" t="str">
        <f t="shared" si="410"/>
        <v/>
      </c>
      <c r="GK377" s="14" t="str">
        <f t="shared" si="411"/>
        <v/>
      </c>
      <c r="GL377" s="14">
        <f t="shared" si="393"/>
        <v>21030</v>
      </c>
      <c r="GM377" s="14">
        <f t="shared" si="412"/>
        <v>5</v>
      </c>
      <c r="GN377" s="14">
        <f t="shared" si="413"/>
        <v>1103</v>
      </c>
      <c r="GO377" s="25" t="s">
        <v>1471</v>
      </c>
      <c r="GP377" s="14">
        <f t="shared" si="394"/>
        <v>300</v>
      </c>
      <c r="HK377" s="13">
        <v>372</v>
      </c>
      <c r="HL377" s="14">
        <f t="shared" si="414"/>
        <v>16</v>
      </c>
      <c r="HM377" s="14">
        <f t="shared" si="415"/>
        <v>2</v>
      </c>
      <c r="HN377" s="14">
        <f t="shared" si="416"/>
        <v>5</v>
      </c>
      <c r="HO377" s="14">
        <f t="shared" si="417"/>
        <v>3</v>
      </c>
      <c r="HP377" s="14" t="str">
        <f t="shared" si="418"/>
        <v>90级守护灵洗练-Q3-12</v>
      </c>
      <c r="HQ377" s="14">
        <f t="shared" si="419"/>
        <v>2053</v>
      </c>
      <c r="HR377" s="14">
        <f t="shared" si="420"/>
        <v>12</v>
      </c>
      <c r="HS377" s="14">
        <f t="shared" si="421"/>
        <v>500</v>
      </c>
      <c r="HT377" s="14" t="str">
        <f t="shared" si="422"/>
        <v>EffectResist</v>
      </c>
      <c r="HU377" s="14">
        <f t="shared" si="423"/>
        <v>1.7999999999999999E-2</v>
      </c>
      <c r="HV377" s="14">
        <f t="shared" si="424"/>
        <v>0.05</v>
      </c>
    </row>
    <row r="378" spans="151:230" ht="16.5" x14ac:dyDescent="0.2">
      <c r="EU378" s="13">
        <v>373</v>
      </c>
      <c r="EV378" s="14">
        <f t="shared" si="395"/>
        <v>1</v>
      </c>
      <c r="EW378" s="14">
        <f t="shared" si="396"/>
        <v>373</v>
      </c>
      <c r="EX378" s="14">
        <f t="shared" si="397"/>
        <v>50</v>
      </c>
      <c r="EY378" s="14">
        <f t="shared" si="372"/>
        <v>30</v>
      </c>
      <c r="EZ378" s="14">
        <f t="shared" si="373"/>
        <v>10</v>
      </c>
      <c r="FA378" s="14">
        <f t="shared" si="374"/>
        <v>140</v>
      </c>
      <c r="FB378" s="14">
        <f t="shared" si="375"/>
        <v>3</v>
      </c>
      <c r="FC378" s="14">
        <f t="shared" si="376"/>
        <v>3</v>
      </c>
      <c r="FD378" s="14">
        <f t="shared" si="377"/>
        <v>3</v>
      </c>
      <c r="FE378" s="14" t="b">
        <f t="shared" si="398"/>
        <v>0</v>
      </c>
      <c r="FF378" s="14">
        <f t="shared" si="378"/>
        <v>2010303</v>
      </c>
      <c r="FG378" s="13" t="str">
        <f t="shared" si="379"/>
        <v>140级-精良寄灵人の铠甲</v>
      </c>
      <c r="FH378" s="14">
        <f t="shared" si="380"/>
        <v>1</v>
      </c>
      <c r="FI378" s="14">
        <f t="shared" si="381"/>
        <v>3</v>
      </c>
      <c r="FJ378" s="14">
        <f t="shared" si="382"/>
        <v>140</v>
      </c>
      <c r="FK378" s="14">
        <v>1</v>
      </c>
      <c r="FL378" s="14">
        <f t="shared" si="383"/>
        <v>10</v>
      </c>
      <c r="FM378" s="14">
        <f t="shared" si="399"/>
        <v>3</v>
      </c>
      <c r="FN378" s="14" t="str">
        <f t="shared" si="384"/>
        <v/>
      </c>
      <c r="FO378" s="14">
        <f t="shared" si="385"/>
        <v>319</v>
      </c>
      <c r="FP378" s="14">
        <f t="shared" si="400"/>
        <v>0</v>
      </c>
      <c r="FQ378" s="14">
        <f t="shared" si="401"/>
        <v>210</v>
      </c>
      <c r="FR378" s="14">
        <f t="shared" si="402"/>
        <v>3990</v>
      </c>
      <c r="FS378" s="14">
        <f t="shared" si="403"/>
        <v>0</v>
      </c>
      <c r="FT378" s="14">
        <f t="shared" si="404"/>
        <v>11</v>
      </c>
      <c r="FU378" s="14">
        <f t="shared" si="405"/>
        <v>209</v>
      </c>
      <c r="FV378" s="14">
        <f t="shared" si="386"/>
        <v>1103</v>
      </c>
      <c r="FW378" s="14">
        <f t="shared" si="387"/>
        <v>5</v>
      </c>
      <c r="FX378" s="14">
        <f t="shared" si="388"/>
        <v>1103</v>
      </c>
      <c r="FY378" s="25" t="str">
        <f t="shared" si="406"/>
        <v>icon_2010103</v>
      </c>
      <c r="GC378" s="14">
        <f t="shared" si="389"/>
        <v>2</v>
      </c>
      <c r="GD378" s="14">
        <f t="shared" si="390"/>
        <v>3</v>
      </c>
      <c r="GE378" s="14">
        <f t="shared" si="407"/>
        <v>319</v>
      </c>
      <c r="GF378" s="14" t="str">
        <f t="shared" si="391"/>
        <v>DefExt</v>
      </c>
      <c r="GG378" s="14">
        <f t="shared" si="408"/>
        <v>210</v>
      </c>
      <c r="GH378" s="14">
        <f t="shared" si="409"/>
        <v>11</v>
      </c>
      <c r="GI378" s="14" t="str">
        <f t="shared" si="392"/>
        <v>HPExt</v>
      </c>
      <c r="GJ378" s="14">
        <f t="shared" si="410"/>
        <v>3990</v>
      </c>
      <c r="GK378" s="14">
        <f t="shared" si="411"/>
        <v>209</v>
      </c>
      <c r="GL378" s="14">
        <f t="shared" si="393"/>
        <v>21030</v>
      </c>
      <c r="GM378" s="14">
        <f t="shared" si="412"/>
        <v>5</v>
      </c>
      <c r="GN378" s="14">
        <f t="shared" si="413"/>
        <v>1103</v>
      </c>
      <c r="GO378" s="25" t="s">
        <v>1471</v>
      </c>
      <c r="GP378" s="14">
        <f t="shared" si="394"/>
        <v>300</v>
      </c>
      <c r="HK378" s="13">
        <v>373</v>
      </c>
      <c r="HL378" s="14">
        <f t="shared" si="414"/>
        <v>16</v>
      </c>
      <c r="HM378" s="14">
        <f t="shared" si="415"/>
        <v>2</v>
      </c>
      <c r="HN378" s="14">
        <f t="shared" si="416"/>
        <v>5</v>
      </c>
      <c r="HO378" s="14">
        <f t="shared" si="417"/>
        <v>4</v>
      </c>
      <c r="HP378" s="14" t="str">
        <f t="shared" si="418"/>
        <v>90级守护灵洗练-Q4-1</v>
      </c>
      <c r="HQ378" s="14">
        <f t="shared" si="419"/>
        <v>2054</v>
      </c>
      <c r="HR378" s="14">
        <f t="shared" si="420"/>
        <v>1</v>
      </c>
      <c r="HS378" s="14">
        <f t="shared" si="421"/>
        <v>1800</v>
      </c>
      <c r="HT378" s="14" t="str">
        <f t="shared" si="422"/>
        <v>AtkExt</v>
      </c>
      <c r="HU378" s="14">
        <f t="shared" si="423"/>
        <v>82</v>
      </c>
      <c r="HV378" s="14">
        <f t="shared" si="424"/>
        <v>236</v>
      </c>
    </row>
    <row r="379" spans="151:230" ht="16.5" x14ac:dyDescent="0.2">
      <c r="EU379" s="13">
        <v>374</v>
      </c>
      <c r="EV379" s="14">
        <f t="shared" si="395"/>
        <v>1</v>
      </c>
      <c r="EW379" s="14">
        <f t="shared" si="396"/>
        <v>374</v>
      </c>
      <c r="EX379" s="14">
        <f t="shared" si="397"/>
        <v>50</v>
      </c>
      <c r="EY379" s="14">
        <f t="shared" si="372"/>
        <v>30</v>
      </c>
      <c r="EZ379" s="14">
        <f t="shared" si="373"/>
        <v>10</v>
      </c>
      <c r="FA379" s="14">
        <f t="shared" si="374"/>
        <v>140</v>
      </c>
      <c r="FB379" s="14">
        <f t="shared" si="375"/>
        <v>3</v>
      </c>
      <c r="FC379" s="14">
        <f t="shared" si="376"/>
        <v>4</v>
      </c>
      <c r="FD379" s="14">
        <f t="shared" si="377"/>
        <v>4</v>
      </c>
      <c r="FE379" s="14" t="b">
        <f t="shared" si="398"/>
        <v>0</v>
      </c>
      <c r="FF379" s="14">
        <f t="shared" si="378"/>
        <v>2010304</v>
      </c>
      <c r="FG379" s="13" t="str">
        <f t="shared" si="379"/>
        <v>140级-精良寄灵人の裤子</v>
      </c>
      <c r="FH379" s="14">
        <f t="shared" si="380"/>
        <v>1</v>
      </c>
      <c r="FI379" s="14">
        <f t="shared" si="381"/>
        <v>3</v>
      </c>
      <c r="FJ379" s="14">
        <f t="shared" si="382"/>
        <v>140</v>
      </c>
      <c r="FK379" s="14">
        <v>1</v>
      </c>
      <c r="FL379" s="14">
        <f t="shared" si="383"/>
        <v>10</v>
      </c>
      <c r="FM379" s="14">
        <f t="shared" si="399"/>
        <v>4</v>
      </c>
      <c r="FN379" s="14" t="str">
        <f t="shared" si="384"/>
        <v/>
      </c>
      <c r="FO379" s="14">
        <f t="shared" si="385"/>
        <v>220</v>
      </c>
      <c r="FP379" s="14">
        <f t="shared" si="400"/>
        <v>0</v>
      </c>
      <c r="FQ379" s="14">
        <f t="shared" si="401"/>
        <v>420</v>
      </c>
      <c r="FR379" s="14">
        <f t="shared" si="402"/>
        <v>0</v>
      </c>
      <c r="FS379" s="14">
        <f t="shared" si="403"/>
        <v>0</v>
      </c>
      <c r="FT379" s="14">
        <f t="shared" si="404"/>
        <v>22</v>
      </c>
      <c r="FU379" s="14">
        <f t="shared" si="405"/>
        <v>0</v>
      </c>
      <c r="FV379" s="14">
        <f t="shared" si="386"/>
        <v>1103</v>
      </c>
      <c r="FW379" s="14">
        <f t="shared" si="387"/>
        <v>5</v>
      </c>
      <c r="FX379" s="14">
        <f t="shared" si="388"/>
        <v>1103</v>
      </c>
      <c r="FY379" s="25" t="str">
        <f t="shared" si="406"/>
        <v>icon_2010104</v>
      </c>
      <c r="GC379" s="14">
        <f t="shared" si="389"/>
        <v>2</v>
      </c>
      <c r="GD379" s="14">
        <f t="shared" si="390"/>
        <v>0</v>
      </c>
      <c r="GE379" s="14">
        <f t="shared" si="407"/>
        <v>220</v>
      </c>
      <c r="GF379" s="14" t="str">
        <f t="shared" si="391"/>
        <v>DefExt</v>
      </c>
      <c r="GG379" s="14">
        <f t="shared" si="408"/>
        <v>420</v>
      </c>
      <c r="GH379" s="14">
        <f t="shared" si="409"/>
        <v>22</v>
      </c>
      <c r="GI379" s="14" t="str">
        <f t="shared" si="392"/>
        <v/>
      </c>
      <c r="GJ379" s="14" t="str">
        <f t="shared" si="410"/>
        <v/>
      </c>
      <c r="GK379" s="14" t="str">
        <f t="shared" si="411"/>
        <v/>
      </c>
      <c r="GL379" s="14">
        <f t="shared" si="393"/>
        <v>21030</v>
      </c>
      <c r="GM379" s="14">
        <f t="shared" si="412"/>
        <v>5</v>
      </c>
      <c r="GN379" s="14">
        <f t="shared" si="413"/>
        <v>1103</v>
      </c>
      <c r="GO379" s="25" t="s">
        <v>1471</v>
      </c>
      <c r="GP379" s="14">
        <f t="shared" si="394"/>
        <v>300</v>
      </c>
      <c r="HK379" s="13">
        <v>374</v>
      </c>
      <c r="HL379" s="14">
        <f t="shared" si="414"/>
        <v>16</v>
      </c>
      <c r="HM379" s="14">
        <f t="shared" si="415"/>
        <v>2</v>
      </c>
      <c r="HN379" s="14">
        <f t="shared" si="416"/>
        <v>5</v>
      </c>
      <c r="HO379" s="14">
        <f t="shared" si="417"/>
        <v>4</v>
      </c>
      <c r="HP379" s="14" t="str">
        <f t="shared" si="418"/>
        <v>90级守护灵洗练-Q4-2</v>
      </c>
      <c r="HQ379" s="14">
        <f t="shared" si="419"/>
        <v>2054</v>
      </c>
      <c r="HR379" s="14">
        <f t="shared" si="420"/>
        <v>2</v>
      </c>
      <c r="HS379" s="14">
        <f t="shared" si="421"/>
        <v>1800</v>
      </c>
      <c r="HT379" s="14" t="str">
        <f t="shared" si="422"/>
        <v>DefExt</v>
      </c>
      <c r="HU379" s="14">
        <f t="shared" si="423"/>
        <v>34</v>
      </c>
      <c r="HV379" s="14">
        <f t="shared" si="424"/>
        <v>99</v>
      </c>
    </row>
    <row r="380" spans="151:230" ht="16.5" x14ac:dyDescent="0.2">
      <c r="EU380" s="13">
        <v>375</v>
      </c>
      <c r="EV380" s="14">
        <f t="shared" si="395"/>
        <v>1</v>
      </c>
      <c r="EW380" s="14">
        <f t="shared" si="396"/>
        <v>375</v>
      </c>
      <c r="EX380" s="14">
        <f t="shared" si="397"/>
        <v>50</v>
      </c>
      <c r="EY380" s="14">
        <f t="shared" si="372"/>
        <v>30</v>
      </c>
      <c r="EZ380" s="14">
        <f t="shared" si="373"/>
        <v>10</v>
      </c>
      <c r="FA380" s="14">
        <f t="shared" si="374"/>
        <v>140</v>
      </c>
      <c r="FB380" s="14">
        <f t="shared" si="375"/>
        <v>3</v>
      </c>
      <c r="FC380" s="14">
        <f t="shared" si="376"/>
        <v>5</v>
      </c>
      <c r="FD380" s="14">
        <f t="shared" si="377"/>
        <v>5</v>
      </c>
      <c r="FE380" s="14" t="b">
        <f t="shared" si="398"/>
        <v>0</v>
      </c>
      <c r="FF380" s="14">
        <f t="shared" si="378"/>
        <v>2010305</v>
      </c>
      <c r="FG380" s="13" t="str">
        <f t="shared" si="379"/>
        <v>140级-精良寄灵人の鞋子</v>
      </c>
      <c r="FH380" s="14">
        <f t="shared" si="380"/>
        <v>1</v>
      </c>
      <c r="FI380" s="14">
        <f t="shared" si="381"/>
        <v>3</v>
      </c>
      <c r="FJ380" s="14">
        <f t="shared" si="382"/>
        <v>140</v>
      </c>
      <c r="FK380" s="14">
        <v>1</v>
      </c>
      <c r="FL380" s="14">
        <f t="shared" si="383"/>
        <v>10</v>
      </c>
      <c r="FM380" s="14">
        <f t="shared" si="399"/>
        <v>5</v>
      </c>
      <c r="FN380" s="14" t="str">
        <f t="shared" si="384"/>
        <v/>
      </c>
      <c r="FO380" s="14">
        <f t="shared" si="385"/>
        <v>418</v>
      </c>
      <c r="FP380" s="14">
        <f t="shared" si="400"/>
        <v>0</v>
      </c>
      <c r="FQ380" s="14">
        <f t="shared" si="401"/>
        <v>0</v>
      </c>
      <c r="FR380" s="14">
        <f t="shared" si="402"/>
        <v>7980</v>
      </c>
      <c r="FS380" s="14">
        <f t="shared" si="403"/>
        <v>0</v>
      </c>
      <c r="FT380" s="14">
        <f t="shared" si="404"/>
        <v>0</v>
      </c>
      <c r="FU380" s="14">
        <f t="shared" si="405"/>
        <v>418</v>
      </c>
      <c r="FV380" s="14">
        <f t="shared" si="386"/>
        <v>1103</v>
      </c>
      <c r="FW380" s="14">
        <f t="shared" si="387"/>
        <v>5</v>
      </c>
      <c r="FX380" s="14">
        <f t="shared" si="388"/>
        <v>1103</v>
      </c>
      <c r="FY380" s="25" t="str">
        <f t="shared" si="406"/>
        <v>icon_2010105</v>
      </c>
      <c r="GC380" s="14">
        <f t="shared" si="389"/>
        <v>3</v>
      </c>
      <c r="GD380" s="14">
        <f t="shared" si="390"/>
        <v>0</v>
      </c>
      <c r="GE380" s="14">
        <f t="shared" si="407"/>
        <v>418</v>
      </c>
      <c r="GF380" s="14" t="str">
        <f t="shared" si="391"/>
        <v>HPExt</v>
      </c>
      <c r="GG380" s="14">
        <f t="shared" si="408"/>
        <v>7980</v>
      </c>
      <c r="GH380" s="14">
        <f t="shared" si="409"/>
        <v>418</v>
      </c>
      <c r="GI380" s="14" t="str">
        <f t="shared" si="392"/>
        <v/>
      </c>
      <c r="GJ380" s="14" t="str">
        <f t="shared" si="410"/>
        <v/>
      </c>
      <c r="GK380" s="14" t="str">
        <f t="shared" si="411"/>
        <v/>
      </c>
      <c r="GL380" s="14">
        <f t="shared" si="393"/>
        <v>21030</v>
      </c>
      <c r="GM380" s="14">
        <f t="shared" si="412"/>
        <v>5</v>
      </c>
      <c r="GN380" s="14">
        <f t="shared" si="413"/>
        <v>1103</v>
      </c>
      <c r="GO380" s="25" t="s">
        <v>1471</v>
      </c>
      <c r="GP380" s="14">
        <f t="shared" si="394"/>
        <v>300</v>
      </c>
      <c r="HK380" s="13">
        <v>375</v>
      </c>
      <c r="HL380" s="14">
        <f t="shared" si="414"/>
        <v>16</v>
      </c>
      <c r="HM380" s="14">
        <f t="shared" si="415"/>
        <v>2</v>
      </c>
      <c r="HN380" s="14">
        <f t="shared" si="416"/>
        <v>5</v>
      </c>
      <c r="HO380" s="14">
        <f t="shared" si="417"/>
        <v>4</v>
      </c>
      <c r="HP380" s="14" t="str">
        <f t="shared" si="418"/>
        <v>90级守护灵洗练-Q4-3</v>
      </c>
      <c r="HQ380" s="14">
        <f t="shared" si="419"/>
        <v>2054</v>
      </c>
      <c r="HR380" s="14">
        <f t="shared" si="420"/>
        <v>3</v>
      </c>
      <c r="HS380" s="14">
        <f t="shared" si="421"/>
        <v>2000</v>
      </c>
      <c r="HT380" s="14" t="str">
        <f t="shared" si="422"/>
        <v>HPExt</v>
      </c>
      <c r="HU380" s="14">
        <f t="shared" si="423"/>
        <v>669</v>
      </c>
      <c r="HV380" s="14">
        <f t="shared" si="424"/>
        <v>1913</v>
      </c>
    </row>
    <row r="381" spans="151:230" ht="16.5" x14ac:dyDescent="0.2">
      <c r="EU381" s="13">
        <v>376</v>
      </c>
      <c r="EV381" s="14">
        <f t="shared" si="395"/>
        <v>1</v>
      </c>
      <c r="EW381" s="14">
        <f t="shared" si="396"/>
        <v>376</v>
      </c>
      <c r="EX381" s="14">
        <f t="shared" si="397"/>
        <v>50</v>
      </c>
      <c r="EY381" s="14">
        <f t="shared" si="372"/>
        <v>30</v>
      </c>
      <c r="EZ381" s="14">
        <f t="shared" si="373"/>
        <v>10</v>
      </c>
      <c r="FA381" s="14">
        <f t="shared" si="374"/>
        <v>140</v>
      </c>
      <c r="FB381" s="14">
        <f t="shared" si="375"/>
        <v>3</v>
      </c>
      <c r="FC381" s="14">
        <f t="shared" si="376"/>
        <v>6</v>
      </c>
      <c r="FD381" s="14">
        <f t="shared" si="377"/>
        <v>6</v>
      </c>
      <c r="FE381" s="14" t="b">
        <f t="shared" si="398"/>
        <v>0</v>
      </c>
      <c r="FF381" s="14">
        <f t="shared" si="378"/>
        <v>2010306</v>
      </c>
      <c r="FG381" s="13" t="str">
        <f t="shared" si="379"/>
        <v>140级-精良寄灵人の护手</v>
      </c>
      <c r="FH381" s="14">
        <f t="shared" si="380"/>
        <v>1</v>
      </c>
      <c r="FI381" s="14">
        <f t="shared" si="381"/>
        <v>3</v>
      </c>
      <c r="FJ381" s="14">
        <f t="shared" si="382"/>
        <v>140</v>
      </c>
      <c r="FK381" s="14">
        <v>1</v>
      </c>
      <c r="FL381" s="14">
        <f t="shared" si="383"/>
        <v>10</v>
      </c>
      <c r="FM381" s="14">
        <f t="shared" si="399"/>
        <v>6</v>
      </c>
      <c r="FN381" s="14" t="str">
        <f t="shared" si="384"/>
        <v/>
      </c>
      <c r="FO381" s="14">
        <f t="shared" si="385"/>
        <v>418</v>
      </c>
      <c r="FP381" s="14">
        <f t="shared" si="400"/>
        <v>0</v>
      </c>
      <c r="FQ381" s="14">
        <f t="shared" si="401"/>
        <v>0</v>
      </c>
      <c r="FR381" s="14">
        <f t="shared" si="402"/>
        <v>7980</v>
      </c>
      <c r="FS381" s="14">
        <f t="shared" si="403"/>
        <v>0</v>
      </c>
      <c r="FT381" s="14">
        <f t="shared" si="404"/>
        <v>0</v>
      </c>
      <c r="FU381" s="14">
        <f t="shared" si="405"/>
        <v>418</v>
      </c>
      <c r="FV381" s="14">
        <f t="shared" si="386"/>
        <v>1103</v>
      </c>
      <c r="FW381" s="14">
        <f t="shared" si="387"/>
        <v>5</v>
      </c>
      <c r="FX381" s="14">
        <f t="shared" si="388"/>
        <v>1103</v>
      </c>
      <c r="FY381" s="25" t="str">
        <f t="shared" si="406"/>
        <v>icon_2010106</v>
      </c>
      <c r="GC381" s="14">
        <f t="shared" si="389"/>
        <v>3</v>
      </c>
      <c r="GD381" s="14">
        <f t="shared" si="390"/>
        <v>0</v>
      </c>
      <c r="GE381" s="14">
        <f t="shared" si="407"/>
        <v>418</v>
      </c>
      <c r="GF381" s="14" t="str">
        <f t="shared" si="391"/>
        <v>HPExt</v>
      </c>
      <c r="GG381" s="14">
        <f t="shared" si="408"/>
        <v>7980</v>
      </c>
      <c r="GH381" s="14">
        <f t="shared" si="409"/>
        <v>418</v>
      </c>
      <c r="GI381" s="14" t="str">
        <f t="shared" si="392"/>
        <v/>
      </c>
      <c r="GJ381" s="14" t="str">
        <f t="shared" si="410"/>
        <v/>
      </c>
      <c r="GK381" s="14" t="str">
        <f t="shared" si="411"/>
        <v/>
      </c>
      <c r="GL381" s="14">
        <f t="shared" si="393"/>
        <v>21030</v>
      </c>
      <c r="GM381" s="14">
        <f t="shared" si="412"/>
        <v>5</v>
      </c>
      <c r="GN381" s="14">
        <f t="shared" si="413"/>
        <v>1103</v>
      </c>
      <c r="GO381" s="25" t="s">
        <v>1471</v>
      </c>
      <c r="GP381" s="14">
        <f t="shared" si="394"/>
        <v>300</v>
      </c>
      <c r="HK381" s="13">
        <v>376</v>
      </c>
      <c r="HL381" s="14">
        <f t="shared" si="414"/>
        <v>16</v>
      </c>
      <c r="HM381" s="14">
        <f t="shared" si="415"/>
        <v>2</v>
      </c>
      <c r="HN381" s="14">
        <f t="shared" si="416"/>
        <v>5</v>
      </c>
      <c r="HO381" s="14">
        <f t="shared" si="417"/>
        <v>4</v>
      </c>
      <c r="HP381" s="14" t="str">
        <f t="shared" si="418"/>
        <v>90级守护灵洗练-Q4-4</v>
      </c>
      <c r="HQ381" s="14">
        <f t="shared" si="419"/>
        <v>2054</v>
      </c>
      <c r="HR381" s="14">
        <f t="shared" si="420"/>
        <v>4</v>
      </c>
      <c r="HS381" s="14">
        <f t="shared" si="421"/>
        <v>500</v>
      </c>
      <c r="HT381" s="14" t="str">
        <f t="shared" si="422"/>
        <v>AtkRate</v>
      </c>
      <c r="HU381" s="14">
        <f t="shared" si="423"/>
        <v>1.4E-2</v>
      </c>
      <c r="HV381" s="14">
        <f t="shared" si="424"/>
        <v>0.04</v>
      </c>
    </row>
    <row r="382" spans="151:230" ht="16.5" x14ac:dyDescent="0.2">
      <c r="EU382" s="13">
        <v>377</v>
      </c>
      <c r="EV382" s="14">
        <f t="shared" si="395"/>
        <v>1</v>
      </c>
      <c r="EW382" s="14">
        <f t="shared" si="396"/>
        <v>377</v>
      </c>
      <c r="EX382" s="14">
        <f t="shared" si="397"/>
        <v>50</v>
      </c>
      <c r="EY382" s="14">
        <f t="shared" si="372"/>
        <v>30</v>
      </c>
      <c r="EZ382" s="14">
        <f t="shared" si="373"/>
        <v>10</v>
      </c>
      <c r="FA382" s="14">
        <f t="shared" si="374"/>
        <v>140</v>
      </c>
      <c r="FB382" s="14">
        <f t="shared" si="375"/>
        <v>3</v>
      </c>
      <c r="FC382" s="14">
        <f t="shared" si="376"/>
        <v>7</v>
      </c>
      <c r="FD382" s="14">
        <f t="shared" si="377"/>
        <v>7</v>
      </c>
      <c r="FE382" s="14" t="b">
        <f t="shared" si="398"/>
        <v>0</v>
      </c>
      <c r="FF382" s="14">
        <f t="shared" si="378"/>
        <v>2010307</v>
      </c>
      <c r="FG382" s="13" t="str">
        <f t="shared" si="379"/>
        <v>140级-精良寄灵人の项链</v>
      </c>
      <c r="FH382" s="14">
        <f t="shared" si="380"/>
        <v>1</v>
      </c>
      <c r="FI382" s="14">
        <f t="shared" si="381"/>
        <v>3</v>
      </c>
      <c r="FJ382" s="14">
        <f t="shared" si="382"/>
        <v>140</v>
      </c>
      <c r="FK382" s="14">
        <v>1</v>
      </c>
      <c r="FL382" s="14">
        <f t="shared" si="383"/>
        <v>10</v>
      </c>
      <c r="FM382" s="14">
        <f t="shared" si="399"/>
        <v>7</v>
      </c>
      <c r="FN382" s="14" t="str">
        <f t="shared" si="384"/>
        <v/>
      </c>
      <c r="FO382" s="14">
        <f t="shared" si="385"/>
        <v>325</v>
      </c>
      <c r="FP382" s="14">
        <f t="shared" si="400"/>
        <v>560</v>
      </c>
      <c r="FQ382" s="14">
        <f t="shared" si="401"/>
        <v>350</v>
      </c>
      <c r="FR382" s="14">
        <f t="shared" si="402"/>
        <v>0</v>
      </c>
      <c r="FS382" s="14">
        <f t="shared" si="403"/>
        <v>29</v>
      </c>
      <c r="FT382" s="14">
        <f t="shared" si="404"/>
        <v>18</v>
      </c>
      <c r="FU382" s="14">
        <f t="shared" si="405"/>
        <v>0</v>
      </c>
      <c r="FV382" s="14">
        <f t="shared" si="386"/>
        <v>1103</v>
      </c>
      <c r="FW382" s="14">
        <f t="shared" si="387"/>
        <v>5</v>
      </c>
      <c r="FX382" s="14">
        <f t="shared" si="388"/>
        <v>1103</v>
      </c>
      <c r="FY382" s="25" t="str">
        <f t="shared" si="406"/>
        <v>icon_2010107</v>
      </c>
      <c r="GC382" s="14">
        <f t="shared" si="389"/>
        <v>1</v>
      </c>
      <c r="GD382" s="14">
        <f t="shared" si="390"/>
        <v>2</v>
      </c>
      <c r="GE382" s="14">
        <f t="shared" si="407"/>
        <v>325</v>
      </c>
      <c r="GF382" s="14" t="str">
        <f t="shared" si="391"/>
        <v>AtkExt</v>
      </c>
      <c r="GG382" s="14">
        <f t="shared" si="408"/>
        <v>560</v>
      </c>
      <c r="GH382" s="14">
        <f t="shared" si="409"/>
        <v>29</v>
      </c>
      <c r="GI382" s="14" t="str">
        <f t="shared" si="392"/>
        <v>DefExt</v>
      </c>
      <c r="GJ382" s="14">
        <f t="shared" si="410"/>
        <v>350</v>
      </c>
      <c r="GK382" s="14">
        <f t="shared" si="411"/>
        <v>18</v>
      </c>
      <c r="GL382" s="14">
        <f t="shared" si="393"/>
        <v>21030</v>
      </c>
      <c r="GM382" s="14">
        <f t="shared" si="412"/>
        <v>5</v>
      </c>
      <c r="GN382" s="14">
        <f t="shared" si="413"/>
        <v>1103</v>
      </c>
      <c r="GO382" s="25" t="s">
        <v>1471</v>
      </c>
      <c r="GP382" s="14">
        <f t="shared" si="394"/>
        <v>450</v>
      </c>
      <c r="HK382" s="13">
        <v>377</v>
      </c>
      <c r="HL382" s="14">
        <f t="shared" si="414"/>
        <v>16</v>
      </c>
      <c r="HM382" s="14">
        <f t="shared" si="415"/>
        <v>2</v>
      </c>
      <c r="HN382" s="14">
        <f t="shared" si="416"/>
        <v>5</v>
      </c>
      <c r="HO382" s="14">
        <f t="shared" si="417"/>
        <v>4</v>
      </c>
      <c r="HP382" s="14" t="str">
        <f t="shared" si="418"/>
        <v>90级守护灵洗练-Q4-5</v>
      </c>
      <c r="HQ382" s="14">
        <f t="shared" si="419"/>
        <v>2054</v>
      </c>
      <c r="HR382" s="14">
        <f t="shared" si="420"/>
        <v>5</v>
      </c>
      <c r="HS382" s="14">
        <f t="shared" si="421"/>
        <v>400</v>
      </c>
      <c r="HT382" s="14" t="str">
        <f t="shared" si="422"/>
        <v>DefRate</v>
      </c>
      <c r="HU382" s="14">
        <f t="shared" si="423"/>
        <v>1.4E-2</v>
      </c>
      <c r="HV382" s="14">
        <f t="shared" si="424"/>
        <v>0.04</v>
      </c>
    </row>
    <row r="383" spans="151:230" ht="16.5" x14ac:dyDescent="0.2">
      <c r="EU383" s="13">
        <v>378</v>
      </c>
      <c r="EV383" s="14">
        <f t="shared" si="395"/>
        <v>1</v>
      </c>
      <c r="EW383" s="14">
        <f t="shared" si="396"/>
        <v>378</v>
      </c>
      <c r="EX383" s="14">
        <f t="shared" si="397"/>
        <v>50</v>
      </c>
      <c r="EY383" s="14">
        <f t="shared" si="372"/>
        <v>30</v>
      </c>
      <c r="EZ383" s="14">
        <f t="shared" si="373"/>
        <v>10</v>
      </c>
      <c r="FA383" s="14">
        <f t="shared" si="374"/>
        <v>140</v>
      </c>
      <c r="FB383" s="14">
        <f t="shared" si="375"/>
        <v>3</v>
      </c>
      <c r="FC383" s="14">
        <f t="shared" si="376"/>
        <v>8</v>
      </c>
      <c r="FD383" s="14">
        <f t="shared" si="377"/>
        <v>8</v>
      </c>
      <c r="FE383" s="14" t="b">
        <f t="shared" si="398"/>
        <v>0</v>
      </c>
      <c r="FF383" s="14">
        <f t="shared" si="378"/>
        <v>2010308</v>
      </c>
      <c r="FG383" s="13" t="str">
        <f t="shared" si="379"/>
        <v>140级-精良寄灵人の戒指</v>
      </c>
      <c r="FH383" s="14">
        <f t="shared" si="380"/>
        <v>1</v>
      </c>
      <c r="FI383" s="14">
        <f t="shared" si="381"/>
        <v>3</v>
      </c>
      <c r="FJ383" s="14">
        <f t="shared" si="382"/>
        <v>140</v>
      </c>
      <c r="FK383" s="14">
        <v>1</v>
      </c>
      <c r="FL383" s="14">
        <f t="shared" si="383"/>
        <v>10</v>
      </c>
      <c r="FM383" s="14">
        <f t="shared" si="399"/>
        <v>8</v>
      </c>
      <c r="FN383" s="14" t="str">
        <f t="shared" si="384"/>
        <v/>
      </c>
      <c r="FO383" s="14">
        <f t="shared" si="385"/>
        <v>493</v>
      </c>
      <c r="FP383" s="14">
        <f t="shared" si="400"/>
        <v>560</v>
      </c>
      <c r="FQ383" s="14">
        <f t="shared" si="401"/>
        <v>0</v>
      </c>
      <c r="FR383" s="14">
        <f t="shared" si="402"/>
        <v>6650</v>
      </c>
      <c r="FS383" s="14">
        <f t="shared" si="403"/>
        <v>29</v>
      </c>
      <c r="FT383" s="14">
        <f t="shared" si="404"/>
        <v>0</v>
      </c>
      <c r="FU383" s="14">
        <f t="shared" si="405"/>
        <v>348</v>
      </c>
      <c r="FV383" s="14">
        <f t="shared" si="386"/>
        <v>1103</v>
      </c>
      <c r="FW383" s="14">
        <f t="shared" si="387"/>
        <v>5</v>
      </c>
      <c r="FX383" s="14">
        <f t="shared" si="388"/>
        <v>1103</v>
      </c>
      <c r="FY383" s="25" t="str">
        <f t="shared" si="406"/>
        <v>icon_2010108</v>
      </c>
      <c r="GC383" s="14">
        <f t="shared" si="389"/>
        <v>1</v>
      </c>
      <c r="GD383" s="14">
        <f t="shared" si="390"/>
        <v>3</v>
      </c>
      <c r="GE383" s="14">
        <f t="shared" si="407"/>
        <v>493</v>
      </c>
      <c r="GF383" s="14" t="str">
        <f t="shared" si="391"/>
        <v>AtkExt</v>
      </c>
      <c r="GG383" s="14">
        <f t="shared" si="408"/>
        <v>560</v>
      </c>
      <c r="GH383" s="14">
        <f t="shared" si="409"/>
        <v>29</v>
      </c>
      <c r="GI383" s="14" t="str">
        <f t="shared" si="392"/>
        <v>HPExt</v>
      </c>
      <c r="GJ383" s="14">
        <f t="shared" si="410"/>
        <v>6650</v>
      </c>
      <c r="GK383" s="14">
        <f t="shared" si="411"/>
        <v>348</v>
      </c>
      <c r="GL383" s="14">
        <f t="shared" si="393"/>
        <v>21030</v>
      </c>
      <c r="GM383" s="14">
        <f t="shared" si="412"/>
        <v>5</v>
      </c>
      <c r="GN383" s="14">
        <f t="shared" si="413"/>
        <v>1103</v>
      </c>
      <c r="GO383" s="25" t="s">
        <v>1471</v>
      </c>
      <c r="GP383" s="14">
        <f t="shared" si="394"/>
        <v>450</v>
      </c>
      <c r="HK383" s="13">
        <v>378</v>
      </c>
      <c r="HL383" s="14">
        <f t="shared" si="414"/>
        <v>16</v>
      </c>
      <c r="HM383" s="14">
        <f t="shared" si="415"/>
        <v>2</v>
      </c>
      <c r="HN383" s="14">
        <f t="shared" si="416"/>
        <v>5</v>
      </c>
      <c r="HO383" s="14">
        <f t="shared" si="417"/>
        <v>4</v>
      </c>
      <c r="HP383" s="14" t="str">
        <f t="shared" si="418"/>
        <v>90级守护灵洗练-Q4-6</v>
      </c>
      <c r="HQ383" s="14">
        <f t="shared" si="419"/>
        <v>2054</v>
      </c>
      <c r="HR383" s="14">
        <f t="shared" si="420"/>
        <v>6</v>
      </c>
      <c r="HS383" s="14">
        <f t="shared" si="421"/>
        <v>500</v>
      </c>
      <c r="HT383" s="14" t="str">
        <f t="shared" si="422"/>
        <v>HPRate</v>
      </c>
      <c r="HU383" s="14">
        <f t="shared" si="423"/>
        <v>1.4E-2</v>
      </c>
      <c r="HV383" s="14">
        <f t="shared" si="424"/>
        <v>0.04</v>
      </c>
    </row>
    <row r="384" spans="151:230" ht="16.5" x14ac:dyDescent="0.2">
      <c r="EU384" s="13">
        <v>379</v>
      </c>
      <c r="EV384" s="14">
        <f t="shared" si="395"/>
        <v>1</v>
      </c>
      <c r="EW384" s="14">
        <f t="shared" si="396"/>
        <v>379</v>
      </c>
      <c r="EX384" s="14">
        <f t="shared" si="397"/>
        <v>51</v>
      </c>
      <c r="EY384" s="14">
        <f t="shared" si="372"/>
        <v>40</v>
      </c>
      <c r="EZ384" s="14">
        <f t="shared" si="373"/>
        <v>10</v>
      </c>
      <c r="FA384" s="14">
        <f t="shared" si="374"/>
        <v>140</v>
      </c>
      <c r="FB384" s="14">
        <f t="shared" si="375"/>
        <v>4</v>
      </c>
      <c r="FC384" s="14">
        <f t="shared" si="376"/>
        <v>1</v>
      </c>
      <c r="FD384" s="14">
        <f t="shared" si="377"/>
        <v>1</v>
      </c>
      <c r="FE384" s="14" t="b">
        <f t="shared" si="398"/>
        <v>0</v>
      </c>
      <c r="FF384" s="14">
        <f t="shared" si="378"/>
        <v>2010401</v>
      </c>
      <c r="FG384" s="13" t="str">
        <f t="shared" si="379"/>
        <v>140级-史诗寄灵人の灵器</v>
      </c>
      <c r="FH384" s="14">
        <f t="shared" si="380"/>
        <v>1</v>
      </c>
      <c r="FI384" s="14">
        <f t="shared" si="381"/>
        <v>4</v>
      </c>
      <c r="FJ384" s="14">
        <f t="shared" si="382"/>
        <v>140</v>
      </c>
      <c r="FK384" s="14">
        <v>1</v>
      </c>
      <c r="FL384" s="14">
        <f t="shared" si="383"/>
        <v>10</v>
      </c>
      <c r="FM384" s="14">
        <f t="shared" si="399"/>
        <v>1</v>
      </c>
      <c r="FN384" s="14" t="str">
        <f t="shared" si="384"/>
        <v/>
      </c>
      <c r="FO384" s="14">
        <f t="shared" si="385"/>
        <v>515</v>
      </c>
      <c r="FP384" s="14">
        <f t="shared" si="400"/>
        <v>1970</v>
      </c>
      <c r="FQ384" s="14">
        <f t="shared" si="401"/>
        <v>0</v>
      </c>
      <c r="FR384" s="14">
        <f t="shared" si="402"/>
        <v>0</v>
      </c>
      <c r="FS384" s="14">
        <f t="shared" si="403"/>
        <v>103</v>
      </c>
      <c r="FT384" s="14">
        <f t="shared" si="404"/>
        <v>0</v>
      </c>
      <c r="FU384" s="14">
        <f t="shared" si="405"/>
        <v>0</v>
      </c>
      <c r="FV384" s="14">
        <f t="shared" si="386"/>
        <v>1104</v>
      </c>
      <c r="FW384" s="14">
        <f t="shared" si="387"/>
        <v>6</v>
      </c>
      <c r="FX384" s="14">
        <f t="shared" si="388"/>
        <v>1104</v>
      </c>
      <c r="FY384" s="25" t="str">
        <f t="shared" si="406"/>
        <v>icon_2010101</v>
      </c>
      <c r="GC384" s="14">
        <f t="shared" si="389"/>
        <v>1</v>
      </c>
      <c r="GD384" s="14">
        <f t="shared" si="390"/>
        <v>0</v>
      </c>
      <c r="GE384" s="14">
        <f t="shared" si="407"/>
        <v>515</v>
      </c>
      <c r="GF384" s="14" t="str">
        <f t="shared" si="391"/>
        <v>AtkExt</v>
      </c>
      <c r="GG384" s="14">
        <f t="shared" si="408"/>
        <v>1970</v>
      </c>
      <c r="GH384" s="14">
        <f t="shared" si="409"/>
        <v>103</v>
      </c>
      <c r="GI384" s="14" t="str">
        <f t="shared" si="392"/>
        <v/>
      </c>
      <c r="GJ384" s="14" t="str">
        <f t="shared" si="410"/>
        <v/>
      </c>
      <c r="GK384" s="14" t="str">
        <f t="shared" si="411"/>
        <v/>
      </c>
      <c r="GL384" s="14">
        <f t="shared" si="393"/>
        <v>21040</v>
      </c>
      <c r="GM384" s="14">
        <f t="shared" si="412"/>
        <v>6</v>
      </c>
      <c r="GN384" s="14">
        <f t="shared" si="413"/>
        <v>1104</v>
      </c>
      <c r="GO384" s="25" t="s">
        <v>1471</v>
      </c>
      <c r="GP384" s="14">
        <f t="shared" si="394"/>
        <v>1200</v>
      </c>
      <c r="HK384" s="13">
        <v>379</v>
      </c>
      <c r="HL384" s="14">
        <f t="shared" si="414"/>
        <v>16</v>
      </c>
      <c r="HM384" s="14">
        <f t="shared" si="415"/>
        <v>2</v>
      </c>
      <c r="HN384" s="14">
        <f t="shared" si="416"/>
        <v>5</v>
      </c>
      <c r="HO384" s="14">
        <f t="shared" si="417"/>
        <v>4</v>
      </c>
      <c r="HP384" s="14" t="str">
        <f t="shared" si="418"/>
        <v>90级守护灵洗练-Q4-7</v>
      </c>
      <c r="HQ384" s="14">
        <f t="shared" si="419"/>
        <v>2054</v>
      </c>
      <c r="HR384" s="14">
        <f t="shared" si="420"/>
        <v>7</v>
      </c>
      <c r="HS384" s="14">
        <f t="shared" si="421"/>
        <v>500</v>
      </c>
      <c r="HT384" s="14" t="str">
        <f t="shared" si="422"/>
        <v>Crit</v>
      </c>
      <c r="HU384" s="14">
        <f t="shared" si="423"/>
        <v>1.0999999999999999E-2</v>
      </c>
      <c r="HV384" s="14">
        <f t="shared" si="424"/>
        <v>0.03</v>
      </c>
    </row>
    <row r="385" spans="151:230" ht="16.5" x14ac:dyDescent="0.2">
      <c r="EU385" s="13">
        <v>380</v>
      </c>
      <c r="EV385" s="14">
        <f t="shared" si="395"/>
        <v>1</v>
      </c>
      <c r="EW385" s="14">
        <f t="shared" si="396"/>
        <v>380</v>
      </c>
      <c r="EX385" s="14">
        <f t="shared" si="397"/>
        <v>51</v>
      </c>
      <c r="EY385" s="14">
        <f t="shared" si="372"/>
        <v>40</v>
      </c>
      <c r="EZ385" s="14">
        <f t="shared" si="373"/>
        <v>10</v>
      </c>
      <c r="FA385" s="14">
        <f t="shared" si="374"/>
        <v>140</v>
      </c>
      <c r="FB385" s="14">
        <f t="shared" si="375"/>
        <v>4</v>
      </c>
      <c r="FC385" s="14">
        <f t="shared" si="376"/>
        <v>2</v>
      </c>
      <c r="FD385" s="14">
        <f t="shared" si="377"/>
        <v>2</v>
      </c>
      <c r="FE385" s="14" t="b">
        <f t="shared" si="398"/>
        <v>0</v>
      </c>
      <c r="FF385" s="14">
        <f t="shared" si="378"/>
        <v>2010402</v>
      </c>
      <c r="FG385" s="13" t="str">
        <f t="shared" si="379"/>
        <v>140级-史诗寄灵人の头盔</v>
      </c>
      <c r="FH385" s="14">
        <f t="shared" si="380"/>
        <v>1</v>
      </c>
      <c r="FI385" s="14">
        <f t="shared" si="381"/>
        <v>4</v>
      </c>
      <c r="FJ385" s="14">
        <f t="shared" si="382"/>
        <v>140</v>
      </c>
      <c r="FK385" s="14">
        <v>1</v>
      </c>
      <c r="FL385" s="14">
        <f t="shared" si="383"/>
        <v>10</v>
      </c>
      <c r="FM385" s="14">
        <f t="shared" si="399"/>
        <v>2</v>
      </c>
      <c r="FN385" s="14" t="str">
        <f t="shared" si="384"/>
        <v/>
      </c>
      <c r="FO385" s="14">
        <f t="shared" si="385"/>
        <v>260</v>
      </c>
      <c r="FP385" s="14">
        <f t="shared" si="400"/>
        <v>0</v>
      </c>
      <c r="FQ385" s="14">
        <f t="shared" si="401"/>
        <v>495</v>
      </c>
      <c r="FR385" s="14">
        <f t="shared" si="402"/>
        <v>0</v>
      </c>
      <c r="FS385" s="14">
        <f t="shared" si="403"/>
        <v>0</v>
      </c>
      <c r="FT385" s="14">
        <f t="shared" si="404"/>
        <v>26</v>
      </c>
      <c r="FU385" s="14">
        <f t="shared" si="405"/>
        <v>0</v>
      </c>
      <c r="FV385" s="14">
        <f t="shared" si="386"/>
        <v>1104</v>
      </c>
      <c r="FW385" s="14">
        <f t="shared" si="387"/>
        <v>6</v>
      </c>
      <c r="FX385" s="14">
        <f t="shared" si="388"/>
        <v>1104</v>
      </c>
      <c r="FY385" s="25" t="str">
        <f t="shared" si="406"/>
        <v>icon_2010102</v>
      </c>
      <c r="GC385" s="14">
        <f t="shared" si="389"/>
        <v>2</v>
      </c>
      <c r="GD385" s="14">
        <f t="shared" si="390"/>
        <v>0</v>
      </c>
      <c r="GE385" s="14">
        <f t="shared" si="407"/>
        <v>260</v>
      </c>
      <c r="GF385" s="14" t="str">
        <f t="shared" si="391"/>
        <v>DefExt</v>
      </c>
      <c r="GG385" s="14">
        <f t="shared" si="408"/>
        <v>495</v>
      </c>
      <c r="GH385" s="14">
        <f t="shared" si="409"/>
        <v>26</v>
      </c>
      <c r="GI385" s="14" t="str">
        <f t="shared" si="392"/>
        <v/>
      </c>
      <c r="GJ385" s="14" t="str">
        <f t="shared" si="410"/>
        <v/>
      </c>
      <c r="GK385" s="14" t="str">
        <f t="shared" si="411"/>
        <v/>
      </c>
      <c r="GL385" s="14">
        <f t="shared" si="393"/>
        <v>21040</v>
      </c>
      <c r="GM385" s="14">
        <f t="shared" si="412"/>
        <v>6</v>
      </c>
      <c r="GN385" s="14">
        <f t="shared" si="413"/>
        <v>1104</v>
      </c>
      <c r="GO385" s="25" t="s">
        <v>1471</v>
      </c>
      <c r="GP385" s="14">
        <f t="shared" si="394"/>
        <v>600</v>
      </c>
      <c r="HK385" s="13">
        <v>380</v>
      </c>
      <c r="HL385" s="14">
        <f t="shared" si="414"/>
        <v>16</v>
      </c>
      <c r="HM385" s="14">
        <f t="shared" si="415"/>
        <v>2</v>
      </c>
      <c r="HN385" s="14">
        <f t="shared" si="416"/>
        <v>5</v>
      </c>
      <c r="HO385" s="14">
        <f t="shared" si="417"/>
        <v>4</v>
      </c>
      <c r="HP385" s="14" t="str">
        <f t="shared" si="418"/>
        <v>90级守护灵洗练-Q4-8</v>
      </c>
      <c r="HQ385" s="14">
        <f t="shared" si="419"/>
        <v>2054</v>
      </c>
      <c r="HR385" s="14">
        <f t="shared" si="420"/>
        <v>8</v>
      </c>
      <c r="HS385" s="14">
        <f t="shared" si="421"/>
        <v>500</v>
      </c>
      <c r="HT385" s="14" t="str">
        <f t="shared" si="422"/>
        <v>CritRate</v>
      </c>
      <c r="HU385" s="14">
        <f t="shared" si="423"/>
        <v>2.8000000000000001E-2</v>
      </c>
      <c r="HV385" s="14">
        <f t="shared" si="424"/>
        <v>0.08</v>
      </c>
    </row>
    <row r="386" spans="151:230" ht="16.5" x14ac:dyDescent="0.2">
      <c r="EU386" s="13">
        <v>381</v>
      </c>
      <c r="EV386" s="14">
        <f t="shared" si="395"/>
        <v>1</v>
      </c>
      <c r="EW386" s="14">
        <f t="shared" si="396"/>
        <v>381</v>
      </c>
      <c r="EX386" s="14">
        <f t="shared" si="397"/>
        <v>51</v>
      </c>
      <c r="EY386" s="14">
        <f t="shared" si="372"/>
        <v>40</v>
      </c>
      <c r="EZ386" s="14">
        <f t="shared" si="373"/>
        <v>10</v>
      </c>
      <c r="FA386" s="14">
        <f t="shared" si="374"/>
        <v>140</v>
      </c>
      <c r="FB386" s="14">
        <f t="shared" si="375"/>
        <v>4</v>
      </c>
      <c r="FC386" s="14">
        <f t="shared" si="376"/>
        <v>3</v>
      </c>
      <c r="FD386" s="14">
        <f t="shared" si="377"/>
        <v>3</v>
      </c>
      <c r="FE386" s="14" t="b">
        <f t="shared" si="398"/>
        <v>0</v>
      </c>
      <c r="FF386" s="14">
        <f t="shared" si="378"/>
        <v>2010403</v>
      </c>
      <c r="FG386" s="13" t="str">
        <f t="shared" si="379"/>
        <v>140级-史诗寄灵人の铠甲</v>
      </c>
      <c r="FH386" s="14">
        <f t="shared" si="380"/>
        <v>1</v>
      </c>
      <c r="FI386" s="14">
        <f t="shared" si="381"/>
        <v>4</v>
      </c>
      <c r="FJ386" s="14">
        <f t="shared" si="382"/>
        <v>140</v>
      </c>
      <c r="FK386" s="14">
        <v>1</v>
      </c>
      <c r="FL386" s="14">
        <f t="shared" si="383"/>
        <v>10</v>
      </c>
      <c r="FM386" s="14">
        <f t="shared" si="399"/>
        <v>3</v>
      </c>
      <c r="FN386" s="14" t="str">
        <f t="shared" si="384"/>
        <v/>
      </c>
      <c r="FO386" s="14">
        <f t="shared" si="385"/>
        <v>376</v>
      </c>
      <c r="FP386" s="14">
        <f t="shared" si="400"/>
        <v>0</v>
      </c>
      <c r="FQ386" s="14">
        <f t="shared" si="401"/>
        <v>245</v>
      </c>
      <c r="FR386" s="14">
        <f t="shared" si="402"/>
        <v>4695</v>
      </c>
      <c r="FS386" s="14">
        <f t="shared" si="403"/>
        <v>0</v>
      </c>
      <c r="FT386" s="14">
        <f t="shared" si="404"/>
        <v>13</v>
      </c>
      <c r="FU386" s="14">
        <f t="shared" si="405"/>
        <v>246</v>
      </c>
      <c r="FV386" s="14">
        <f t="shared" si="386"/>
        <v>1104</v>
      </c>
      <c r="FW386" s="14">
        <f t="shared" si="387"/>
        <v>6</v>
      </c>
      <c r="FX386" s="14">
        <f t="shared" si="388"/>
        <v>1104</v>
      </c>
      <c r="FY386" s="25" t="str">
        <f t="shared" si="406"/>
        <v>icon_2010103</v>
      </c>
      <c r="GC386" s="14">
        <f t="shared" si="389"/>
        <v>2</v>
      </c>
      <c r="GD386" s="14">
        <f t="shared" si="390"/>
        <v>3</v>
      </c>
      <c r="GE386" s="14">
        <f t="shared" si="407"/>
        <v>376</v>
      </c>
      <c r="GF386" s="14" t="str">
        <f t="shared" si="391"/>
        <v>DefExt</v>
      </c>
      <c r="GG386" s="14">
        <f t="shared" si="408"/>
        <v>245</v>
      </c>
      <c r="GH386" s="14">
        <f t="shared" si="409"/>
        <v>13</v>
      </c>
      <c r="GI386" s="14" t="str">
        <f t="shared" si="392"/>
        <v>HPExt</v>
      </c>
      <c r="GJ386" s="14">
        <f t="shared" si="410"/>
        <v>4695</v>
      </c>
      <c r="GK386" s="14">
        <f t="shared" si="411"/>
        <v>246</v>
      </c>
      <c r="GL386" s="14">
        <f t="shared" si="393"/>
        <v>21040</v>
      </c>
      <c r="GM386" s="14">
        <f t="shared" si="412"/>
        <v>6</v>
      </c>
      <c r="GN386" s="14">
        <f t="shared" si="413"/>
        <v>1104</v>
      </c>
      <c r="GO386" s="25" t="s">
        <v>1471</v>
      </c>
      <c r="GP386" s="14">
        <f t="shared" si="394"/>
        <v>600</v>
      </c>
      <c r="HK386" s="13">
        <v>381</v>
      </c>
      <c r="HL386" s="14">
        <f t="shared" si="414"/>
        <v>16</v>
      </c>
      <c r="HM386" s="14">
        <f t="shared" si="415"/>
        <v>2</v>
      </c>
      <c r="HN386" s="14">
        <f t="shared" si="416"/>
        <v>5</v>
      </c>
      <c r="HO386" s="14">
        <f t="shared" si="417"/>
        <v>4</v>
      </c>
      <c r="HP386" s="14" t="str">
        <f t="shared" si="418"/>
        <v>90级守护灵洗练-Q4-9</v>
      </c>
      <c r="HQ386" s="14">
        <f t="shared" si="419"/>
        <v>2054</v>
      </c>
      <c r="HR386" s="14">
        <f t="shared" si="420"/>
        <v>9</v>
      </c>
      <c r="HS386" s="14">
        <f t="shared" si="421"/>
        <v>500</v>
      </c>
      <c r="HT386" s="14" t="str">
        <f t="shared" si="422"/>
        <v>DefIgnor</v>
      </c>
      <c r="HU386" s="14">
        <f t="shared" si="423"/>
        <v>1.0999999999999999E-2</v>
      </c>
      <c r="HV386" s="14">
        <f t="shared" si="424"/>
        <v>0.03</v>
      </c>
    </row>
    <row r="387" spans="151:230" ht="16.5" x14ac:dyDescent="0.2">
      <c r="EU387" s="13">
        <v>382</v>
      </c>
      <c r="EV387" s="14">
        <f t="shared" si="395"/>
        <v>1</v>
      </c>
      <c r="EW387" s="14">
        <f t="shared" si="396"/>
        <v>382</v>
      </c>
      <c r="EX387" s="14">
        <f t="shared" si="397"/>
        <v>51</v>
      </c>
      <c r="EY387" s="14">
        <f t="shared" si="372"/>
        <v>40</v>
      </c>
      <c r="EZ387" s="14">
        <f t="shared" si="373"/>
        <v>10</v>
      </c>
      <c r="FA387" s="14">
        <f t="shared" si="374"/>
        <v>140</v>
      </c>
      <c r="FB387" s="14">
        <f t="shared" si="375"/>
        <v>4</v>
      </c>
      <c r="FC387" s="14">
        <f t="shared" si="376"/>
        <v>4</v>
      </c>
      <c r="FD387" s="14">
        <f t="shared" si="377"/>
        <v>4</v>
      </c>
      <c r="FE387" s="14" t="b">
        <f t="shared" si="398"/>
        <v>0</v>
      </c>
      <c r="FF387" s="14">
        <f t="shared" si="378"/>
        <v>2010404</v>
      </c>
      <c r="FG387" s="13" t="str">
        <f t="shared" si="379"/>
        <v>140级-史诗寄灵人の裤子</v>
      </c>
      <c r="FH387" s="14">
        <f t="shared" si="380"/>
        <v>1</v>
      </c>
      <c r="FI387" s="14">
        <f t="shared" si="381"/>
        <v>4</v>
      </c>
      <c r="FJ387" s="14">
        <f t="shared" si="382"/>
        <v>140</v>
      </c>
      <c r="FK387" s="14">
        <v>1</v>
      </c>
      <c r="FL387" s="14">
        <f t="shared" si="383"/>
        <v>10</v>
      </c>
      <c r="FM387" s="14">
        <f t="shared" si="399"/>
        <v>4</v>
      </c>
      <c r="FN387" s="14" t="str">
        <f t="shared" si="384"/>
        <v/>
      </c>
      <c r="FO387" s="14">
        <f t="shared" si="385"/>
        <v>260</v>
      </c>
      <c r="FP387" s="14">
        <f t="shared" si="400"/>
        <v>0</v>
      </c>
      <c r="FQ387" s="14">
        <f t="shared" si="401"/>
        <v>495</v>
      </c>
      <c r="FR387" s="14">
        <f t="shared" si="402"/>
        <v>0</v>
      </c>
      <c r="FS387" s="14">
        <f t="shared" si="403"/>
        <v>0</v>
      </c>
      <c r="FT387" s="14">
        <f t="shared" si="404"/>
        <v>26</v>
      </c>
      <c r="FU387" s="14">
        <f t="shared" si="405"/>
        <v>0</v>
      </c>
      <c r="FV387" s="14">
        <f t="shared" si="386"/>
        <v>1104</v>
      </c>
      <c r="FW387" s="14">
        <f t="shared" si="387"/>
        <v>6</v>
      </c>
      <c r="FX387" s="14">
        <f t="shared" si="388"/>
        <v>1104</v>
      </c>
      <c r="FY387" s="25" t="str">
        <f t="shared" si="406"/>
        <v>icon_2010104</v>
      </c>
      <c r="GC387" s="14">
        <f t="shared" si="389"/>
        <v>2</v>
      </c>
      <c r="GD387" s="14">
        <f t="shared" si="390"/>
        <v>0</v>
      </c>
      <c r="GE387" s="14">
        <f t="shared" si="407"/>
        <v>260</v>
      </c>
      <c r="GF387" s="14" t="str">
        <f t="shared" si="391"/>
        <v>DefExt</v>
      </c>
      <c r="GG387" s="14">
        <f t="shared" si="408"/>
        <v>495</v>
      </c>
      <c r="GH387" s="14">
        <f t="shared" si="409"/>
        <v>26</v>
      </c>
      <c r="GI387" s="14" t="str">
        <f t="shared" si="392"/>
        <v/>
      </c>
      <c r="GJ387" s="14" t="str">
        <f t="shared" si="410"/>
        <v/>
      </c>
      <c r="GK387" s="14" t="str">
        <f t="shared" si="411"/>
        <v/>
      </c>
      <c r="GL387" s="14">
        <f t="shared" si="393"/>
        <v>21040</v>
      </c>
      <c r="GM387" s="14">
        <f t="shared" si="412"/>
        <v>6</v>
      </c>
      <c r="GN387" s="14">
        <f t="shared" si="413"/>
        <v>1104</v>
      </c>
      <c r="GO387" s="25" t="s">
        <v>1471</v>
      </c>
      <c r="GP387" s="14">
        <f t="shared" si="394"/>
        <v>600</v>
      </c>
      <c r="HK387" s="13">
        <v>382</v>
      </c>
      <c r="HL387" s="14">
        <f t="shared" si="414"/>
        <v>16</v>
      </c>
      <c r="HM387" s="14">
        <f t="shared" si="415"/>
        <v>2</v>
      </c>
      <c r="HN387" s="14">
        <f t="shared" si="416"/>
        <v>5</v>
      </c>
      <c r="HO387" s="14">
        <f t="shared" si="417"/>
        <v>4</v>
      </c>
      <c r="HP387" s="14" t="str">
        <f t="shared" si="418"/>
        <v>90级守护灵洗练-Q4-10</v>
      </c>
      <c r="HQ387" s="14">
        <f t="shared" si="419"/>
        <v>2054</v>
      </c>
      <c r="HR387" s="14">
        <f t="shared" si="420"/>
        <v>10</v>
      </c>
      <c r="HS387" s="14">
        <f t="shared" si="421"/>
        <v>500</v>
      </c>
      <c r="HT387" s="14" t="str">
        <f t="shared" si="422"/>
        <v>Block</v>
      </c>
      <c r="HU387" s="14">
        <f t="shared" si="423"/>
        <v>1.0999999999999999E-2</v>
      </c>
      <c r="HV387" s="14">
        <f t="shared" si="424"/>
        <v>0.03</v>
      </c>
    </row>
    <row r="388" spans="151:230" ht="16.5" x14ac:dyDescent="0.2">
      <c r="EU388" s="13">
        <v>383</v>
      </c>
      <c r="EV388" s="14">
        <f t="shared" si="395"/>
        <v>1</v>
      </c>
      <c r="EW388" s="14">
        <f t="shared" si="396"/>
        <v>383</v>
      </c>
      <c r="EX388" s="14">
        <f t="shared" si="397"/>
        <v>51</v>
      </c>
      <c r="EY388" s="14">
        <f t="shared" si="372"/>
        <v>40</v>
      </c>
      <c r="EZ388" s="14">
        <f t="shared" si="373"/>
        <v>10</v>
      </c>
      <c r="FA388" s="14">
        <f t="shared" si="374"/>
        <v>140</v>
      </c>
      <c r="FB388" s="14">
        <f t="shared" si="375"/>
        <v>4</v>
      </c>
      <c r="FC388" s="14">
        <f t="shared" si="376"/>
        <v>5</v>
      </c>
      <c r="FD388" s="14">
        <f t="shared" si="377"/>
        <v>5</v>
      </c>
      <c r="FE388" s="14" t="b">
        <f t="shared" si="398"/>
        <v>0</v>
      </c>
      <c r="FF388" s="14">
        <f t="shared" si="378"/>
        <v>2010405</v>
      </c>
      <c r="FG388" s="13" t="str">
        <f t="shared" si="379"/>
        <v>140级-史诗寄灵人の鞋子</v>
      </c>
      <c r="FH388" s="14">
        <f t="shared" si="380"/>
        <v>1</v>
      </c>
      <c r="FI388" s="14">
        <f t="shared" si="381"/>
        <v>4</v>
      </c>
      <c r="FJ388" s="14">
        <f t="shared" si="382"/>
        <v>140</v>
      </c>
      <c r="FK388" s="14">
        <v>1</v>
      </c>
      <c r="FL388" s="14">
        <f t="shared" si="383"/>
        <v>10</v>
      </c>
      <c r="FM388" s="14">
        <f t="shared" si="399"/>
        <v>5</v>
      </c>
      <c r="FN388" s="14" t="str">
        <f t="shared" si="384"/>
        <v/>
      </c>
      <c r="FO388" s="14">
        <f t="shared" si="385"/>
        <v>492</v>
      </c>
      <c r="FP388" s="14">
        <f t="shared" si="400"/>
        <v>0</v>
      </c>
      <c r="FQ388" s="14">
        <f t="shared" si="401"/>
        <v>0</v>
      </c>
      <c r="FR388" s="14">
        <f t="shared" si="402"/>
        <v>9390</v>
      </c>
      <c r="FS388" s="14">
        <f t="shared" si="403"/>
        <v>0</v>
      </c>
      <c r="FT388" s="14">
        <f t="shared" si="404"/>
        <v>0</v>
      </c>
      <c r="FU388" s="14">
        <f t="shared" si="405"/>
        <v>492</v>
      </c>
      <c r="FV388" s="14">
        <f t="shared" si="386"/>
        <v>1104</v>
      </c>
      <c r="FW388" s="14">
        <f t="shared" si="387"/>
        <v>6</v>
      </c>
      <c r="FX388" s="14">
        <f t="shared" si="388"/>
        <v>1104</v>
      </c>
      <c r="FY388" s="25" t="str">
        <f t="shared" si="406"/>
        <v>icon_2010105</v>
      </c>
      <c r="GC388" s="14">
        <f t="shared" si="389"/>
        <v>3</v>
      </c>
      <c r="GD388" s="14">
        <f t="shared" si="390"/>
        <v>0</v>
      </c>
      <c r="GE388" s="14">
        <f t="shared" si="407"/>
        <v>492</v>
      </c>
      <c r="GF388" s="14" t="str">
        <f t="shared" si="391"/>
        <v>HPExt</v>
      </c>
      <c r="GG388" s="14">
        <f t="shared" si="408"/>
        <v>9390</v>
      </c>
      <c r="GH388" s="14">
        <f t="shared" si="409"/>
        <v>492</v>
      </c>
      <c r="GI388" s="14" t="str">
        <f t="shared" si="392"/>
        <v/>
      </c>
      <c r="GJ388" s="14" t="str">
        <f t="shared" si="410"/>
        <v/>
      </c>
      <c r="GK388" s="14" t="str">
        <f t="shared" si="411"/>
        <v/>
      </c>
      <c r="GL388" s="14">
        <f t="shared" si="393"/>
        <v>21040</v>
      </c>
      <c r="GM388" s="14">
        <f t="shared" si="412"/>
        <v>6</v>
      </c>
      <c r="GN388" s="14">
        <f t="shared" si="413"/>
        <v>1104</v>
      </c>
      <c r="GO388" s="25" t="s">
        <v>1471</v>
      </c>
      <c r="GP388" s="14">
        <f t="shared" si="394"/>
        <v>600</v>
      </c>
      <c r="HK388" s="13">
        <v>383</v>
      </c>
      <c r="HL388" s="14">
        <f t="shared" si="414"/>
        <v>16</v>
      </c>
      <c r="HM388" s="14">
        <f t="shared" si="415"/>
        <v>2</v>
      </c>
      <c r="HN388" s="14">
        <f t="shared" si="416"/>
        <v>5</v>
      </c>
      <c r="HO388" s="14">
        <f t="shared" si="417"/>
        <v>4</v>
      </c>
      <c r="HP388" s="14" t="str">
        <f t="shared" si="418"/>
        <v>90级守护灵洗练-Q4-11</v>
      </c>
      <c r="HQ388" s="14">
        <f t="shared" si="419"/>
        <v>2054</v>
      </c>
      <c r="HR388" s="14">
        <f t="shared" si="420"/>
        <v>11</v>
      </c>
      <c r="HS388" s="14">
        <f t="shared" si="421"/>
        <v>500</v>
      </c>
      <c r="HT388" s="14" t="str">
        <f t="shared" si="422"/>
        <v>EffectHit</v>
      </c>
      <c r="HU388" s="14">
        <f t="shared" si="423"/>
        <v>1.7999999999999999E-2</v>
      </c>
      <c r="HV388" s="14">
        <f t="shared" si="424"/>
        <v>0.05</v>
      </c>
    </row>
    <row r="389" spans="151:230" ht="16.5" x14ac:dyDescent="0.2">
      <c r="EU389" s="13">
        <v>384</v>
      </c>
      <c r="EV389" s="14">
        <f t="shared" si="395"/>
        <v>1</v>
      </c>
      <c r="EW389" s="14">
        <f t="shared" si="396"/>
        <v>384</v>
      </c>
      <c r="EX389" s="14">
        <f t="shared" si="397"/>
        <v>51</v>
      </c>
      <c r="EY389" s="14">
        <f t="shared" si="372"/>
        <v>40</v>
      </c>
      <c r="EZ389" s="14">
        <f t="shared" si="373"/>
        <v>10</v>
      </c>
      <c r="FA389" s="14">
        <f t="shared" si="374"/>
        <v>140</v>
      </c>
      <c r="FB389" s="14">
        <f t="shared" si="375"/>
        <v>4</v>
      </c>
      <c r="FC389" s="14">
        <f t="shared" si="376"/>
        <v>6</v>
      </c>
      <c r="FD389" s="14">
        <f t="shared" si="377"/>
        <v>6</v>
      </c>
      <c r="FE389" s="14" t="b">
        <f t="shared" si="398"/>
        <v>0</v>
      </c>
      <c r="FF389" s="14">
        <f t="shared" si="378"/>
        <v>2010406</v>
      </c>
      <c r="FG389" s="13" t="str">
        <f t="shared" si="379"/>
        <v>140级-史诗寄灵人の护手</v>
      </c>
      <c r="FH389" s="14">
        <f t="shared" si="380"/>
        <v>1</v>
      </c>
      <c r="FI389" s="14">
        <f t="shared" si="381"/>
        <v>4</v>
      </c>
      <c r="FJ389" s="14">
        <f t="shared" si="382"/>
        <v>140</v>
      </c>
      <c r="FK389" s="14">
        <v>1</v>
      </c>
      <c r="FL389" s="14">
        <f t="shared" si="383"/>
        <v>10</v>
      </c>
      <c r="FM389" s="14">
        <f t="shared" si="399"/>
        <v>6</v>
      </c>
      <c r="FN389" s="14" t="str">
        <f t="shared" si="384"/>
        <v/>
      </c>
      <c r="FO389" s="14">
        <f t="shared" si="385"/>
        <v>492</v>
      </c>
      <c r="FP389" s="14">
        <f t="shared" si="400"/>
        <v>0</v>
      </c>
      <c r="FQ389" s="14">
        <f t="shared" si="401"/>
        <v>0</v>
      </c>
      <c r="FR389" s="14">
        <f t="shared" si="402"/>
        <v>9390</v>
      </c>
      <c r="FS389" s="14">
        <f t="shared" si="403"/>
        <v>0</v>
      </c>
      <c r="FT389" s="14">
        <f t="shared" si="404"/>
        <v>0</v>
      </c>
      <c r="FU389" s="14">
        <f t="shared" si="405"/>
        <v>492</v>
      </c>
      <c r="FV389" s="14">
        <f t="shared" si="386"/>
        <v>1104</v>
      </c>
      <c r="FW389" s="14">
        <f t="shared" si="387"/>
        <v>6</v>
      </c>
      <c r="FX389" s="14">
        <f t="shared" si="388"/>
        <v>1104</v>
      </c>
      <c r="FY389" s="25" t="str">
        <f t="shared" si="406"/>
        <v>icon_2010106</v>
      </c>
      <c r="GC389" s="14">
        <f t="shared" si="389"/>
        <v>3</v>
      </c>
      <c r="GD389" s="14">
        <f t="shared" si="390"/>
        <v>0</v>
      </c>
      <c r="GE389" s="14">
        <f t="shared" si="407"/>
        <v>492</v>
      </c>
      <c r="GF389" s="14" t="str">
        <f t="shared" si="391"/>
        <v>HPExt</v>
      </c>
      <c r="GG389" s="14">
        <f t="shared" si="408"/>
        <v>9390</v>
      </c>
      <c r="GH389" s="14">
        <f t="shared" si="409"/>
        <v>492</v>
      </c>
      <c r="GI389" s="14" t="str">
        <f t="shared" si="392"/>
        <v/>
      </c>
      <c r="GJ389" s="14" t="str">
        <f t="shared" si="410"/>
        <v/>
      </c>
      <c r="GK389" s="14" t="str">
        <f t="shared" si="411"/>
        <v/>
      </c>
      <c r="GL389" s="14">
        <f t="shared" si="393"/>
        <v>21040</v>
      </c>
      <c r="GM389" s="14">
        <f t="shared" si="412"/>
        <v>6</v>
      </c>
      <c r="GN389" s="14">
        <f t="shared" si="413"/>
        <v>1104</v>
      </c>
      <c r="GO389" s="25" t="s">
        <v>1471</v>
      </c>
      <c r="GP389" s="14">
        <f t="shared" si="394"/>
        <v>600</v>
      </c>
      <c r="HK389" s="13">
        <v>384</v>
      </c>
      <c r="HL389" s="14">
        <f t="shared" si="414"/>
        <v>16</v>
      </c>
      <c r="HM389" s="14">
        <f t="shared" si="415"/>
        <v>2</v>
      </c>
      <c r="HN389" s="14">
        <f t="shared" si="416"/>
        <v>5</v>
      </c>
      <c r="HO389" s="14">
        <f t="shared" si="417"/>
        <v>4</v>
      </c>
      <c r="HP389" s="14" t="str">
        <f t="shared" si="418"/>
        <v>90级守护灵洗练-Q4-12</v>
      </c>
      <c r="HQ389" s="14">
        <f t="shared" si="419"/>
        <v>2054</v>
      </c>
      <c r="HR389" s="14">
        <f t="shared" si="420"/>
        <v>12</v>
      </c>
      <c r="HS389" s="14">
        <f t="shared" si="421"/>
        <v>500</v>
      </c>
      <c r="HT389" s="14" t="str">
        <f t="shared" si="422"/>
        <v>EffectResist</v>
      </c>
      <c r="HU389" s="14">
        <f t="shared" si="423"/>
        <v>1.7999999999999999E-2</v>
      </c>
      <c r="HV389" s="14">
        <f t="shared" si="424"/>
        <v>0.05</v>
      </c>
    </row>
    <row r="390" spans="151:230" ht="16.5" x14ac:dyDescent="0.2">
      <c r="EU390" s="13">
        <v>385</v>
      </c>
      <c r="EV390" s="14">
        <f t="shared" si="395"/>
        <v>1</v>
      </c>
      <c r="EW390" s="14">
        <f t="shared" si="396"/>
        <v>385</v>
      </c>
      <c r="EX390" s="14">
        <f t="shared" si="397"/>
        <v>51</v>
      </c>
      <c r="EY390" s="14">
        <f t="shared" ref="EY390:EY440" si="425">INDEX($AK$7:$AK$64,EX390)</f>
        <v>40</v>
      </c>
      <c r="EZ390" s="14">
        <f t="shared" ref="EZ390:EZ453" si="426">(EV390-1)*$EX$3+FL390</f>
        <v>10</v>
      </c>
      <c r="FA390" s="14">
        <f t="shared" ref="FA390:FA453" si="427">INDEX(AI$7:AI$64,$EX390)</f>
        <v>140</v>
      </c>
      <c r="FB390" s="14">
        <f t="shared" ref="FB390:FB453" si="428">INDEX(AJ$7:AJ$64,$EX390)</f>
        <v>4</v>
      </c>
      <c r="FC390" s="14">
        <f t="shared" ref="FC390:FC453" si="429">EW390-INDEX($AQ$6:$AQ$64,EX390)</f>
        <v>7</v>
      </c>
      <c r="FD390" s="14">
        <f t="shared" ref="FD390:FD453" si="430">INDEX($AR$7:$AY$64,EX390,EW390-INDEX($AQ$6:$AQ$64,EX390))</f>
        <v>7</v>
      </c>
      <c r="FE390" s="14" t="b">
        <f t="shared" si="398"/>
        <v>0</v>
      </c>
      <c r="FF390" s="14">
        <f t="shared" ref="FF390:FF453" si="431">INDEX($AN$7:$AN$64,EX390)*10+FD390+(EV390-1)*100000+2000000</f>
        <v>2010407</v>
      </c>
      <c r="FG390" s="13" t="str">
        <f t="shared" ref="FG390:FG453" si="432">INDEX($AL$7:$AL$64,EX390)&amp;"-"&amp;INDEX($AM$7:$AM$64,EX390)&amp;INDEX($BC$6:$BC$7,EV390)&amp;INDEX($AR$3:$AY$3,FD390)</f>
        <v>140级-史诗寄灵人の项链</v>
      </c>
      <c r="FH390" s="14">
        <f t="shared" ref="FH390:FH453" si="433">EV390</f>
        <v>1</v>
      </c>
      <c r="FI390" s="14">
        <f t="shared" ref="FI390:FI453" si="434">INDEX($AJ$7:$AJ$64,EX390)</f>
        <v>4</v>
      </c>
      <c r="FJ390" s="14">
        <f t="shared" ref="FJ390:FJ453" si="435">INDEX($AI$7:$AI$64,EX390)</f>
        <v>140</v>
      </c>
      <c r="FK390" s="14">
        <v>1</v>
      </c>
      <c r="FL390" s="14">
        <f t="shared" ref="FL390:FL453" si="436">INDEX(AH$7:AH$64,$EX390)</f>
        <v>10</v>
      </c>
      <c r="FM390" s="14">
        <f t="shared" si="399"/>
        <v>7</v>
      </c>
      <c r="FN390" s="14" t="str">
        <f t="shared" ref="FN390:FN453" si="437">IF(INDEX($AO$7:$AO$64,EX390)&gt;0,INDEX($AO$7:$AO$64,EX390) + (EV390-1)*10000+200000,"")</f>
        <v/>
      </c>
      <c r="FO390" s="14">
        <f t="shared" ref="FO390:FO440" si="438">INT(SUMPRODUCT($FS$3:$FU$3,FS390:FU390)*IF(FN390="",1,1.5))</f>
        <v>390</v>
      </c>
      <c r="FP390" s="14">
        <f t="shared" si="400"/>
        <v>655</v>
      </c>
      <c r="FQ390" s="14">
        <f t="shared" si="401"/>
        <v>410</v>
      </c>
      <c r="FR390" s="14">
        <f t="shared" si="402"/>
        <v>0</v>
      </c>
      <c r="FS390" s="14">
        <f t="shared" si="403"/>
        <v>34</v>
      </c>
      <c r="FT390" s="14">
        <f t="shared" si="404"/>
        <v>22</v>
      </c>
      <c r="FU390" s="14">
        <f t="shared" si="405"/>
        <v>0</v>
      </c>
      <c r="FV390" s="14">
        <f t="shared" ref="FV390:FV453" si="439">FL390*10+FB390+EV390*1000</f>
        <v>1104</v>
      </c>
      <c r="FW390" s="14">
        <f t="shared" ref="FW390:FW453" si="440">INDEX($V$17:$Y$27,FL390,FB390)</f>
        <v>6</v>
      </c>
      <c r="FX390" s="14">
        <f t="shared" ref="FX390:FX453" si="441">IF(FB390&gt;2,FL390*10+FB390+EV390*1000,"")</f>
        <v>1104</v>
      </c>
      <c r="FY390" s="25" t="str">
        <f t="shared" si="406"/>
        <v>icon_2010107</v>
      </c>
      <c r="GC390" s="14">
        <f t="shared" ref="GC390:GC453" si="442">INDEX(BL$6:BL$13,$FM390)</f>
        <v>1</v>
      </c>
      <c r="GD390" s="14">
        <f t="shared" ref="GD390:GD453" si="443">INDEX(BM$6:BM$13,$FM390)</f>
        <v>2</v>
      </c>
      <c r="GE390" s="14">
        <f t="shared" si="407"/>
        <v>390</v>
      </c>
      <c r="GF390" s="14" t="str">
        <f t="shared" ref="GF390:GF440" si="444">INDEX($BH$3:$BJ$3,GC390)</f>
        <v>AtkExt</v>
      </c>
      <c r="GG390" s="14">
        <f t="shared" si="408"/>
        <v>655</v>
      </c>
      <c r="GH390" s="14">
        <f t="shared" si="409"/>
        <v>34</v>
      </c>
      <c r="GI390" s="14" t="str">
        <f t="shared" ref="GI390:GI440" si="445">IF(GD390&gt;0,INDEX($BH$3:$BJ$3,GD390),"")</f>
        <v>DefExt</v>
      </c>
      <c r="GJ390" s="14">
        <f t="shared" si="410"/>
        <v>410</v>
      </c>
      <c r="GK390" s="14">
        <f t="shared" si="411"/>
        <v>22</v>
      </c>
      <c r="GL390" s="14">
        <f t="shared" ref="GL390:GL453" si="446">20000+FL390*100+FB390*10</f>
        <v>21040</v>
      </c>
      <c r="GM390" s="14">
        <f t="shared" si="412"/>
        <v>6</v>
      </c>
      <c r="GN390" s="14">
        <f t="shared" si="413"/>
        <v>1104</v>
      </c>
      <c r="GO390" s="25" t="s">
        <v>1471</v>
      </c>
      <c r="GP390" s="14">
        <f t="shared" ref="GP390:GP453" si="447">ROUND(INDEX($AA$17:$AD$27,FL390,FB390)*INDEX($BK$6:$BK$13,FM390),0)</f>
        <v>900</v>
      </c>
      <c r="HK390" s="13">
        <v>385</v>
      </c>
      <c r="HL390" s="14">
        <f t="shared" si="414"/>
        <v>17</v>
      </c>
      <c r="HM390" s="14">
        <f t="shared" si="415"/>
        <v>2</v>
      </c>
      <c r="HN390" s="14">
        <f t="shared" si="416"/>
        <v>6</v>
      </c>
      <c r="HO390" s="14">
        <f t="shared" si="417"/>
        <v>3</v>
      </c>
      <c r="HP390" s="14" t="str">
        <f t="shared" si="418"/>
        <v>100级守护灵洗练-Q3-1</v>
      </c>
      <c r="HQ390" s="14">
        <f t="shared" si="419"/>
        <v>2063</v>
      </c>
      <c r="HR390" s="14">
        <f t="shared" si="420"/>
        <v>1</v>
      </c>
      <c r="HS390" s="14">
        <f t="shared" si="421"/>
        <v>1800</v>
      </c>
      <c r="HT390" s="14" t="str">
        <f t="shared" si="422"/>
        <v>AtkExt</v>
      </c>
      <c r="HU390" s="14">
        <f t="shared" si="423"/>
        <v>157</v>
      </c>
      <c r="HV390" s="14">
        <f t="shared" si="424"/>
        <v>451</v>
      </c>
    </row>
    <row r="391" spans="151:230" ht="16.5" x14ac:dyDescent="0.2">
      <c r="EU391" s="13">
        <v>386</v>
      </c>
      <c r="EV391" s="14">
        <f t="shared" ref="EV391:EV454" si="448">IF(EU391&lt;=$EV$3,1,2)</f>
        <v>1</v>
      </c>
      <c r="EW391" s="14">
        <f t="shared" ref="EW391:EW440" si="449">MOD(EU391-1,$EV$3)+1</f>
        <v>386</v>
      </c>
      <c r="EX391" s="14">
        <f t="shared" ref="EX391:EX454" si="450">MATCH(EW391-1,$AQ$6:$AQ$64,1)</f>
        <v>51</v>
      </c>
      <c r="EY391" s="14">
        <f t="shared" si="425"/>
        <v>40</v>
      </c>
      <c r="EZ391" s="14">
        <f t="shared" si="426"/>
        <v>10</v>
      </c>
      <c r="FA391" s="14">
        <f t="shared" si="427"/>
        <v>140</v>
      </c>
      <c r="FB391" s="14">
        <f t="shared" si="428"/>
        <v>4</v>
      </c>
      <c r="FC391" s="14">
        <f t="shared" si="429"/>
        <v>8</v>
      </c>
      <c r="FD391" s="14">
        <f t="shared" si="430"/>
        <v>8</v>
      </c>
      <c r="FE391" s="14" t="b">
        <f t="shared" ref="FE391:FE454" si="451">IF(FN391="",FALSE,TRUE)</f>
        <v>0</v>
      </c>
      <c r="FF391" s="14">
        <f t="shared" si="431"/>
        <v>2010408</v>
      </c>
      <c r="FG391" s="13" t="str">
        <f t="shared" si="432"/>
        <v>140级-史诗寄灵人の戒指</v>
      </c>
      <c r="FH391" s="14">
        <f t="shared" si="433"/>
        <v>1</v>
      </c>
      <c r="FI391" s="14">
        <f t="shared" si="434"/>
        <v>4</v>
      </c>
      <c r="FJ391" s="14">
        <f t="shared" si="435"/>
        <v>140</v>
      </c>
      <c r="FK391" s="14">
        <v>1</v>
      </c>
      <c r="FL391" s="14">
        <f t="shared" si="436"/>
        <v>10</v>
      </c>
      <c r="FM391" s="14">
        <f t="shared" ref="FM391:FM440" si="452">FD391</f>
        <v>8</v>
      </c>
      <c r="FN391" s="14" t="str">
        <f t="shared" si="437"/>
        <v/>
      </c>
      <c r="FO391" s="14">
        <f t="shared" si="438"/>
        <v>580</v>
      </c>
      <c r="FP391" s="14">
        <f t="shared" ref="FP391:FP454" si="453">ROUND(INDEX(M$6:M$27,$EZ391)*INDEX(BH$6:BH$13,$FD391)*INDEX($BR$6:$BR$9,FI391)/5,0)*5</f>
        <v>655</v>
      </c>
      <c r="FQ391" s="14">
        <f t="shared" ref="FQ391:FQ454" si="454">ROUND(INDEX(N$6:N$27,$EZ391)*INDEX(BI$6:BI$13,$FD391)*INDEX($BR$6:$BR$9,FI391)/5,0)*5</f>
        <v>0</v>
      </c>
      <c r="FR391" s="14">
        <f t="shared" ref="FR391:FR454" si="455">ROUND(INDEX(O$6:O$27,$EZ391)*INDEX(BJ$6:BJ$13,$FD391)*INDEX($BR$6:$BR$9,FI391)/5,0)*5</f>
        <v>7825</v>
      </c>
      <c r="FS391" s="14">
        <f t="shared" ref="FS391:FS454" si="456">ROUND(INDEX(S$6:S$27,$EZ391)*INDEX(BH$6:BH$13,$FD391)*INDEX($BR$6:$BR$9,FI391),0)</f>
        <v>34</v>
      </c>
      <c r="FT391" s="14">
        <f t="shared" ref="FT391:FT454" si="457">ROUND(INDEX(T$6:T$27,$EZ391)*INDEX(BI$6:BI$13,$FD391)*INDEX($BR$6:$BR$9,FI391),0)</f>
        <v>0</v>
      </c>
      <c r="FU391" s="14">
        <f t="shared" ref="FU391:FU454" si="458">ROUND(INDEX(U$6:U$27,$EZ391)*INDEX(BJ$6:BJ$13,$FD391)*INDEX($BR$6:$BR$9,FI391),0)</f>
        <v>410</v>
      </c>
      <c r="FV391" s="14">
        <f t="shared" si="439"/>
        <v>1104</v>
      </c>
      <c r="FW391" s="14">
        <f t="shared" si="440"/>
        <v>6</v>
      </c>
      <c r="FX391" s="14">
        <f t="shared" si="441"/>
        <v>1104</v>
      </c>
      <c r="FY391" s="25" t="str">
        <f t="shared" ref="FY391:FY454" si="459">IF(FE391,"icon_"&amp;FF391,FY$2&amp;INDEX($ES$6:$ES$7,EV391)*100000+FL391*1000+100+FD391)</f>
        <v>icon_2010108</v>
      </c>
      <c r="GC391" s="14">
        <f t="shared" si="442"/>
        <v>1</v>
      </c>
      <c r="GD391" s="14">
        <f t="shared" si="443"/>
        <v>3</v>
      </c>
      <c r="GE391" s="14">
        <f t="shared" ref="GE391:GE440" si="460">FO391</f>
        <v>580</v>
      </c>
      <c r="GF391" s="14" t="str">
        <f t="shared" si="444"/>
        <v>AtkExt</v>
      </c>
      <c r="GG391" s="14">
        <f t="shared" ref="GG391:GG440" si="461">INDEX(FP391:FR391,GC391)</f>
        <v>655</v>
      </c>
      <c r="GH391" s="14">
        <f t="shared" ref="GH391:GH440" si="462">INDEX(FS391:FU391,GC391)</f>
        <v>34</v>
      </c>
      <c r="GI391" s="14" t="str">
        <f t="shared" si="445"/>
        <v>HPExt</v>
      </c>
      <c r="GJ391" s="14">
        <f t="shared" ref="GJ391:GJ440" si="463">IF(GD391&gt;0,INDEX(FP391:FR391,GD391),"")</f>
        <v>7825</v>
      </c>
      <c r="GK391" s="14">
        <f t="shared" ref="GK391:GK440" si="464">IF(GD391&gt;0,INDEX(FS391:FU391,GD391),"")</f>
        <v>410</v>
      </c>
      <c r="GL391" s="14">
        <f t="shared" si="446"/>
        <v>21040</v>
      </c>
      <c r="GM391" s="14">
        <f t="shared" ref="GM391:GM440" si="465">FW391</f>
        <v>6</v>
      </c>
      <c r="GN391" s="14">
        <f t="shared" ref="GN391:GN440" si="466">FX391</f>
        <v>1104</v>
      </c>
      <c r="GO391" s="25" t="s">
        <v>1471</v>
      </c>
      <c r="GP391" s="14">
        <f t="shared" si="447"/>
        <v>900</v>
      </c>
      <c r="HK391" s="13">
        <v>386</v>
      </c>
      <c r="HL391" s="14">
        <f t="shared" ref="HL391:HL454" si="467">INT((HK391-1)/24)+1</f>
        <v>17</v>
      </c>
      <c r="HM391" s="14">
        <f t="shared" ref="HM391:HM454" si="468">IF(HL391&gt;11,2,1)</f>
        <v>2</v>
      </c>
      <c r="HN391" s="14">
        <f t="shared" ref="HN391:HN454" si="469">HL391-(HM391-1)*11</f>
        <v>6</v>
      </c>
      <c r="HO391" s="14">
        <f t="shared" ref="HO391:HO454" si="470">IF(MOD(HK391-1,24)&gt;=12,4,3)</f>
        <v>3</v>
      </c>
      <c r="HP391" s="14" t="str">
        <f t="shared" ref="HP391:HP454" si="471">INDEX($DU$6:$DU$27,HL391)&amp;"洗练-Q"&amp;HO391&amp;"-"&amp;HR391</f>
        <v>100级守护灵洗练-Q3-2</v>
      </c>
      <c r="HQ391" s="14">
        <f t="shared" ref="HQ391:HQ454" si="472">HM391*1000+HN391*10+HO391</f>
        <v>2063</v>
      </c>
      <c r="HR391" s="14">
        <f t="shared" ref="HR391:HR454" si="473">MOD(HK391-1,12)+1</f>
        <v>2</v>
      </c>
      <c r="HS391" s="14">
        <f t="shared" ref="HS391:HS454" si="474">INDEX($DY$3:$EJ$3,HR391)</f>
        <v>1800</v>
      </c>
      <c r="HT391" s="14" t="str">
        <f t="shared" ref="HT391:HT454" si="475">INDEX($DY$4:$EJ$4,HR391)</f>
        <v>DefExt</v>
      </c>
      <c r="HU391" s="14">
        <f t="shared" ref="HU391:HU454" si="476">IF(HV391&gt;1,INT(HV391*0.35),ROUND(HV391*0.35,3))</f>
        <v>55</v>
      </c>
      <c r="HV391" s="14">
        <f t="shared" ref="HV391:HV454" si="477">INDEX($DY$6:$EJ$27,HL391,HR391)</f>
        <v>158</v>
      </c>
    </row>
    <row r="392" spans="151:230" ht="16.5" x14ac:dyDescent="0.2">
      <c r="EU392" s="13">
        <v>387</v>
      </c>
      <c r="EV392" s="14">
        <f t="shared" si="448"/>
        <v>1</v>
      </c>
      <c r="EW392" s="14">
        <f t="shared" si="449"/>
        <v>387</v>
      </c>
      <c r="EX392" s="14">
        <f t="shared" si="450"/>
        <v>52</v>
      </c>
      <c r="EY392" s="14">
        <f t="shared" si="425"/>
        <v>41</v>
      </c>
      <c r="EZ392" s="14">
        <f t="shared" si="426"/>
        <v>10</v>
      </c>
      <c r="FA392" s="14">
        <f t="shared" si="427"/>
        <v>140</v>
      </c>
      <c r="FB392" s="14">
        <f t="shared" si="428"/>
        <v>4</v>
      </c>
      <c r="FC392" s="14">
        <f t="shared" si="429"/>
        <v>1</v>
      </c>
      <c r="FD392" s="14">
        <f t="shared" si="430"/>
        <v>1</v>
      </c>
      <c r="FE392" s="14" t="b">
        <f t="shared" si="451"/>
        <v>1</v>
      </c>
      <c r="FF392" s="14">
        <f t="shared" si="431"/>
        <v>2010411</v>
      </c>
      <c r="FG392" s="13" t="str">
        <f t="shared" si="432"/>
        <v>140级-攻击套寄灵人の灵器</v>
      </c>
      <c r="FH392" s="14">
        <f t="shared" si="433"/>
        <v>1</v>
      </c>
      <c r="FI392" s="14">
        <f t="shared" si="434"/>
        <v>4</v>
      </c>
      <c r="FJ392" s="14">
        <f t="shared" si="435"/>
        <v>140</v>
      </c>
      <c r="FK392" s="14">
        <v>1</v>
      </c>
      <c r="FL392" s="14">
        <f t="shared" si="436"/>
        <v>10</v>
      </c>
      <c r="FM392" s="14">
        <f t="shared" si="452"/>
        <v>1</v>
      </c>
      <c r="FN392" s="14">
        <f t="shared" si="437"/>
        <v>201041</v>
      </c>
      <c r="FO392" s="14">
        <f t="shared" si="438"/>
        <v>772</v>
      </c>
      <c r="FP392" s="14">
        <f t="shared" si="453"/>
        <v>1970</v>
      </c>
      <c r="FQ392" s="14">
        <f t="shared" si="454"/>
        <v>0</v>
      </c>
      <c r="FR392" s="14">
        <f t="shared" si="455"/>
        <v>0</v>
      </c>
      <c r="FS392" s="14">
        <f t="shared" si="456"/>
        <v>103</v>
      </c>
      <c r="FT392" s="14">
        <f t="shared" si="457"/>
        <v>0</v>
      </c>
      <c r="FU392" s="14">
        <f t="shared" si="458"/>
        <v>0</v>
      </c>
      <c r="FV392" s="14">
        <f t="shared" si="439"/>
        <v>1104</v>
      </c>
      <c r="FW392" s="14">
        <f t="shared" si="440"/>
        <v>6</v>
      </c>
      <c r="FX392" s="14">
        <f t="shared" si="441"/>
        <v>1104</v>
      </c>
      <c r="FY392" s="25" t="str">
        <f t="shared" si="459"/>
        <v>icon_2010411</v>
      </c>
      <c r="GC392" s="14">
        <f t="shared" si="442"/>
        <v>1</v>
      </c>
      <c r="GD392" s="14">
        <f t="shared" si="443"/>
        <v>0</v>
      </c>
      <c r="GE392" s="14">
        <f t="shared" si="460"/>
        <v>772</v>
      </c>
      <c r="GF392" s="14" t="str">
        <f t="shared" si="444"/>
        <v>AtkExt</v>
      </c>
      <c r="GG392" s="14">
        <f t="shared" si="461"/>
        <v>1970</v>
      </c>
      <c r="GH392" s="14">
        <f t="shared" si="462"/>
        <v>103</v>
      </c>
      <c r="GI392" s="14" t="str">
        <f t="shared" si="445"/>
        <v/>
      </c>
      <c r="GJ392" s="14" t="str">
        <f t="shared" si="463"/>
        <v/>
      </c>
      <c r="GK392" s="14" t="str">
        <f t="shared" si="464"/>
        <v/>
      </c>
      <c r="GL392" s="14">
        <f t="shared" si="446"/>
        <v>21040</v>
      </c>
      <c r="GM392" s="14">
        <f t="shared" si="465"/>
        <v>6</v>
      </c>
      <c r="GN392" s="14">
        <f t="shared" si="466"/>
        <v>1104</v>
      </c>
      <c r="GO392" s="25" t="s">
        <v>1471</v>
      </c>
      <c r="GP392" s="14">
        <f t="shared" si="447"/>
        <v>1200</v>
      </c>
      <c r="HK392" s="13">
        <v>387</v>
      </c>
      <c r="HL392" s="14">
        <f t="shared" si="467"/>
        <v>17</v>
      </c>
      <c r="HM392" s="14">
        <f t="shared" si="468"/>
        <v>2</v>
      </c>
      <c r="HN392" s="14">
        <f t="shared" si="469"/>
        <v>6</v>
      </c>
      <c r="HO392" s="14">
        <f t="shared" si="470"/>
        <v>3</v>
      </c>
      <c r="HP392" s="14" t="str">
        <f t="shared" si="471"/>
        <v>100级守护灵洗练-Q3-3</v>
      </c>
      <c r="HQ392" s="14">
        <f t="shared" si="472"/>
        <v>2063</v>
      </c>
      <c r="HR392" s="14">
        <f t="shared" si="473"/>
        <v>3</v>
      </c>
      <c r="HS392" s="14">
        <f t="shared" si="474"/>
        <v>2000</v>
      </c>
      <c r="HT392" s="14" t="str">
        <f t="shared" si="475"/>
        <v>HPExt</v>
      </c>
      <c r="HU392" s="14">
        <f t="shared" si="476"/>
        <v>1127</v>
      </c>
      <c r="HV392" s="14">
        <f t="shared" si="477"/>
        <v>3222</v>
      </c>
    </row>
    <row r="393" spans="151:230" ht="16.5" x14ac:dyDescent="0.2">
      <c r="EU393" s="13">
        <v>388</v>
      </c>
      <c r="EV393" s="14">
        <f t="shared" si="448"/>
        <v>1</v>
      </c>
      <c r="EW393" s="14">
        <f t="shared" si="449"/>
        <v>388</v>
      </c>
      <c r="EX393" s="14">
        <f t="shared" si="450"/>
        <v>52</v>
      </c>
      <c r="EY393" s="14">
        <f t="shared" si="425"/>
        <v>41</v>
      </c>
      <c r="EZ393" s="14">
        <f t="shared" si="426"/>
        <v>10</v>
      </c>
      <c r="FA393" s="14">
        <f t="shared" si="427"/>
        <v>140</v>
      </c>
      <c r="FB393" s="14">
        <f t="shared" si="428"/>
        <v>4</v>
      </c>
      <c r="FC393" s="14">
        <f t="shared" si="429"/>
        <v>2</v>
      </c>
      <c r="FD393" s="14">
        <f t="shared" si="430"/>
        <v>2</v>
      </c>
      <c r="FE393" s="14" t="b">
        <f t="shared" si="451"/>
        <v>1</v>
      </c>
      <c r="FF393" s="14">
        <f t="shared" si="431"/>
        <v>2010412</v>
      </c>
      <c r="FG393" s="13" t="str">
        <f t="shared" si="432"/>
        <v>140级-攻击套寄灵人の头盔</v>
      </c>
      <c r="FH393" s="14">
        <f t="shared" si="433"/>
        <v>1</v>
      </c>
      <c r="FI393" s="14">
        <f t="shared" si="434"/>
        <v>4</v>
      </c>
      <c r="FJ393" s="14">
        <f t="shared" si="435"/>
        <v>140</v>
      </c>
      <c r="FK393" s="14">
        <v>1</v>
      </c>
      <c r="FL393" s="14">
        <f t="shared" si="436"/>
        <v>10</v>
      </c>
      <c r="FM393" s="14">
        <f t="shared" si="452"/>
        <v>2</v>
      </c>
      <c r="FN393" s="14">
        <f t="shared" si="437"/>
        <v>201041</v>
      </c>
      <c r="FO393" s="14">
        <f t="shared" si="438"/>
        <v>390</v>
      </c>
      <c r="FP393" s="14">
        <f t="shared" si="453"/>
        <v>0</v>
      </c>
      <c r="FQ393" s="14">
        <f t="shared" si="454"/>
        <v>495</v>
      </c>
      <c r="FR393" s="14">
        <f t="shared" si="455"/>
        <v>0</v>
      </c>
      <c r="FS393" s="14">
        <f t="shared" si="456"/>
        <v>0</v>
      </c>
      <c r="FT393" s="14">
        <f t="shared" si="457"/>
        <v>26</v>
      </c>
      <c r="FU393" s="14">
        <f t="shared" si="458"/>
        <v>0</v>
      </c>
      <c r="FV393" s="14">
        <f t="shared" si="439"/>
        <v>1104</v>
      </c>
      <c r="FW393" s="14">
        <f t="shared" si="440"/>
        <v>6</v>
      </c>
      <c r="FX393" s="14">
        <f t="shared" si="441"/>
        <v>1104</v>
      </c>
      <c r="FY393" s="25" t="str">
        <f t="shared" si="459"/>
        <v>icon_2010412</v>
      </c>
      <c r="GC393" s="14">
        <f t="shared" si="442"/>
        <v>2</v>
      </c>
      <c r="GD393" s="14">
        <f t="shared" si="443"/>
        <v>0</v>
      </c>
      <c r="GE393" s="14">
        <f t="shared" si="460"/>
        <v>390</v>
      </c>
      <c r="GF393" s="14" t="str">
        <f t="shared" si="444"/>
        <v>DefExt</v>
      </c>
      <c r="GG393" s="14">
        <f t="shared" si="461"/>
        <v>495</v>
      </c>
      <c r="GH393" s="14">
        <f t="shared" si="462"/>
        <v>26</v>
      </c>
      <c r="GI393" s="14" t="str">
        <f t="shared" si="445"/>
        <v/>
      </c>
      <c r="GJ393" s="14" t="str">
        <f t="shared" si="463"/>
        <v/>
      </c>
      <c r="GK393" s="14" t="str">
        <f t="shared" si="464"/>
        <v/>
      </c>
      <c r="GL393" s="14">
        <f t="shared" si="446"/>
        <v>21040</v>
      </c>
      <c r="GM393" s="14">
        <f t="shared" si="465"/>
        <v>6</v>
      </c>
      <c r="GN393" s="14">
        <f t="shared" si="466"/>
        <v>1104</v>
      </c>
      <c r="GO393" s="25" t="s">
        <v>1471</v>
      </c>
      <c r="GP393" s="14">
        <f t="shared" si="447"/>
        <v>600</v>
      </c>
      <c r="HK393" s="13">
        <v>388</v>
      </c>
      <c r="HL393" s="14">
        <f t="shared" si="467"/>
        <v>17</v>
      </c>
      <c r="HM393" s="14">
        <f t="shared" si="468"/>
        <v>2</v>
      </c>
      <c r="HN393" s="14">
        <f t="shared" si="469"/>
        <v>6</v>
      </c>
      <c r="HO393" s="14">
        <f t="shared" si="470"/>
        <v>3</v>
      </c>
      <c r="HP393" s="14" t="str">
        <f t="shared" si="471"/>
        <v>100级守护灵洗练-Q3-4</v>
      </c>
      <c r="HQ393" s="14">
        <f t="shared" si="472"/>
        <v>2063</v>
      </c>
      <c r="HR393" s="14">
        <f t="shared" si="473"/>
        <v>4</v>
      </c>
      <c r="HS393" s="14">
        <f t="shared" si="474"/>
        <v>500</v>
      </c>
      <c r="HT393" s="14" t="str">
        <f t="shared" si="475"/>
        <v>AtkRate</v>
      </c>
      <c r="HU393" s="14">
        <f t="shared" si="476"/>
        <v>1.4E-2</v>
      </c>
      <c r="HV393" s="14">
        <f t="shared" si="477"/>
        <v>0.04</v>
      </c>
    </row>
    <row r="394" spans="151:230" ht="16.5" x14ac:dyDescent="0.2">
      <c r="EU394" s="13">
        <v>389</v>
      </c>
      <c r="EV394" s="14">
        <f t="shared" si="448"/>
        <v>1</v>
      </c>
      <c r="EW394" s="14">
        <f t="shared" si="449"/>
        <v>389</v>
      </c>
      <c r="EX394" s="14">
        <f t="shared" si="450"/>
        <v>52</v>
      </c>
      <c r="EY394" s="14">
        <f t="shared" si="425"/>
        <v>41</v>
      </c>
      <c r="EZ394" s="14">
        <f t="shared" si="426"/>
        <v>10</v>
      </c>
      <c r="FA394" s="14">
        <f t="shared" si="427"/>
        <v>140</v>
      </c>
      <c r="FB394" s="14">
        <f t="shared" si="428"/>
        <v>4</v>
      </c>
      <c r="FC394" s="14">
        <f t="shared" si="429"/>
        <v>3</v>
      </c>
      <c r="FD394" s="14">
        <f t="shared" si="430"/>
        <v>3</v>
      </c>
      <c r="FE394" s="14" t="b">
        <f t="shared" si="451"/>
        <v>1</v>
      </c>
      <c r="FF394" s="14">
        <f t="shared" si="431"/>
        <v>2010413</v>
      </c>
      <c r="FG394" s="13" t="str">
        <f t="shared" si="432"/>
        <v>140级-攻击套寄灵人の铠甲</v>
      </c>
      <c r="FH394" s="14">
        <f t="shared" si="433"/>
        <v>1</v>
      </c>
      <c r="FI394" s="14">
        <f t="shared" si="434"/>
        <v>4</v>
      </c>
      <c r="FJ394" s="14">
        <f t="shared" si="435"/>
        <v>140</v>
      </c>
      <c r="FK394" s="14">
        <v>1</v>
      </c>
      <c r="FL394" s="14">
        <f t="shared" si="436"/>
        <v>10</v>
      </c>
      <c r="FM394" s="14">
        <f t="shared" si="452"/>
        <v>3</v>
      </c>
      <c r="FN394" s="14">
        <f t="shared" si="437"/>
        <v>201041</v>
      </c>
      <c r="FO394" s="14">
        <f t="shared" si="438"/>
        <v>564</v>
      </c>
      <c r="FP394" s="14">
        <f t="shared" si="453"/>
        <v>0</v>
      </c>
      <c r="FQ394" s="14">
        <f t="shared" si="454"/>
        <v>245</v>
      </c>
      <c r="FR394" s="14">
        <f t="shared" si="455"/>
        <v>4695</v>
      </c>
      <c r="FS394" s="14">
        <f t="shared" si="456"/>
        <v>0</v>
      </c>
      <c r="FT394" s="14">
        <f t="shared" si="457"/>
        <v>13</v>
      </c>
      <c r="FU394" s="14">
        <f t="shared" si="458"/>
        <v>246</v>
      </c>
      <c r="FV394" s="14">
        <f t="shared" si="439"/>
        <v>1104</v>
      </c>
      <c r="FW394" s="14">
        <f t="shared" si="440"/>
        <v>6</v>
      </c>
      <c r="FX394" s="14">
        <f t="shared" si="441"/>
        <v>1104</v>
      </c>
      <c r="FY394" s="25" t="str">
        <f t="shared" si="459"/>
        <v>icon_2010413</v>
      </c>
      <c r="GC394" s="14">
        <f t="shared" si="442"/>
        <v>2</v>
      </c>
      <c r="GD394" s="14">
        <f t="shared" si="443"/>
        <v>3</v>
      </c>
      <c r="GE394" s="14">
        <f t="shared" si="460"/>
        <v>564</v>
      </c>
      <c r="GF394" s="14" t="str">
        <f t="shared" si="444"/>
        <v>DefExt</v>
      </c>
      <c r="GG394" s="14">
        <f t="shared" si="461"/>
        <v>245</v>
      </c>
      <c r="GH394" s="14">
        <f t="shared" si="462"/>
        <v>13</v>
      </c>
      <c r="GI394" s="14" t="str">
        <f t="shared" si="445"/>
        <v>HPExt</v>
      </c>
      <c r="GJ394" s="14">
        <f t="shared" si="463"/>
        <v>4695</v>
      </c>
      <c r="GK394" s="14">
        <f t="shared" si="464"/>
        <v>246</v>
      </c>
      <c r="GL394" s="14">
        <f t="shared" si="446"/>
        <v>21040</v>
      </c>
      <c r="GM394" s="14">
        <f t="shared" si="465"/>
        <v>6</v>
      </c>
      <c r="GN394" s="14">
        <f t="shared" si="466"/>
        <v>1104</v>
      </c>
      <c r="GO394" s="25" t="s">
        <v>1471</v>
      </c>
      <c r="GP394" s="14">
        <f t="shared" si="447"/>
        <v>600</v>
      </c>
      <c r="HK394" s="13">
        <v>389</v>
      </c>
      <c r="HL394" s="14">
        <f t="shared" si="467"/>
        <v>17</v>
      </c>
      <c r="HM394" s="14">
        <f t="shared" si="468"/>
        <v>2</v>
      </c>
      <c r="HN394" s="14">
        <f t="shared" si="469"/>
        <v>6</v>
      </c>
      <c r="HO394" s="14">
        <f t="shared" si="470"/>
        <v>3</v>
      </c>
      <c r="HP394" s="14" t="str">
        <f t="shared" si="471"/>
        <v>100级守护灵洗练-Q3-5</v>
      </c>
      <c r="HQ394" s="14">
        <f t="shared" si="472"/>
        <v>2063</v>
      </c>
      <c r="HR394" s="14">
        <f t="shared" si="473"/>
        <v>5</v>
      </c>
      <c r="HS394" s="14">
        <f t="shared" si="474"/>
        <v>400</v>
      </c>
      <c r="HT394" s="14" t="str">
        <f t="shared" si="475"/>
        <v>DefRate</v>
      </c>
      <c r="HU394" s="14">
        <f t="shared" si="476"/>
        <v>1.4E-2</v>
      </c>
      <c r="HV394" s="14">
        <f t="shared" si="477"/>
        <v>0.04</v>
      </c>
    </row>
    <row r="395" spans="151:230" ht="16.5" x14ac:dyDescent="0.2">
      <c r="EU395" s="13">
        <v>390</v>
      </c>
      <c r="EV395" s="14">
        <f t="shared" si="448"/>
        <v>1</v>
      </c>
      <c r="EW395" s="14">
        <f t="shared" si="449"/>
        <v>390</v>
      </c>
      <c r="EX395" s="14">
        <f t="shared" si="450"/>
        <v>52</v>
      </c>
      <c r="EY395" s="14">
        <f t="shared" si="425"/>
        <v>41</v>
      </c>
      <c r="EZ395" s="14">
        <f t="shared" si="426"/>
        <v>10</v>
      </c>
      <c r="FA395" s="14">
        <f t="shared" si="427"/>
        <v>140</v>
      </c>
      <c r="FB395" s="14">
        <f t="shared" si="428"/>
        <v>4</v>
      </c>
      <c r="FC395" s="14">
        <f t="shared" si="429"/>
        <v>4</v>
      </c>
      <c r="FD395" s="14">
        <f t="shared" si="430"/>
        <v>5</v>
      </c>
      <c r="FE395" s="14" t="b">
        <f t="shared" si="451"/>
        <v>1</v>
      </c>
      <c r="FF395" s="14">
        <f t="shared" si="431"/>
        <v>2010415</v>
      </c>
      <c r="FG395" s="13" t="str">
        <f t="shared" si="432"/>
        <v>140级-攻击套寄灵人の鞋子</v>
      </c>
      <c r="FH395" s="14">
        <f t="shared" si="433"/>
        <v>1</v>
      </c>
      <c r="FI395" s="14">
        <f t="shared" si="434"/>
        <v>4</v>
      </c>
      <c r="FJ395" s="14">
        <f t="shared" si="435"/>
        <v>140</v>
      </c>
      <c r="FK395" s="14">
        <v>1</v>
      </c>
      <c r="FL395" s="14">
        <f t="shared" si="436"/>
        <v>10</v>
      </c>
      <c r="FM395" s="14">
        <f t="shared" si="452"/>
        <v>5</v>
      </c>
      <c r="FN395" s="14">
        <f t="shared" si="437"/>
        <v>201041</v>
      </c>
      <c r="FO395" s="14">
        <f t="shared" si="438"/>
        <v>738</v>
      </c>
      <c r="FP395" s="14">
        <f t="shared" si="453"/>
        <v>0</v>
      </c>
      <c r="FQ395" s="14">
        <f t="shared" si="454"/>
        <v>0</v>
      </c>
      <c r="FR395" s="14">
        <f t="shared" si="455"/>
        <v>9390</v>
      </c>
      <c r="FS395" s="14">
        <f t="shared" si="456"/>
        <v>0</v>
      </c>
      <c r="FT395" s="14">
        <f t="shared" si="457"/>
        <v>0</v>
      </c>
      <c r="FU395" s="14">
        <f t="shared" si="458"/>
        <v>492</v>
      </c>
      <c r="FV395" s="14">
        <f t="shared" si="439"/>
        <v>1104</v>
      </c>
      <c r="FW395" s="14">
        <f t="shared" si="440"/>
        <v>6</v>
      </c>
      <c r="FX395" s="14">
        <f t="shared" si="441"/>
        <v>1104</v>
      </c>
      <c r="FY395" s="25" t="str">
        <f t="shared" si="459"/>
        <v>icon_2010415</v>
      </c>
      <c r="GC395" s="14">
        <f t="shared" si="442"/>
        <v>3</v>
      </c>
      <c r="GD395" s="14">
        <f t="shared" si="443"/>
        <v>0</v>
      </c>
      <c r="GE395" s="14">
        <f t="shared" si="460"/>
        <v>738</v>
      </c>
      <c r="GF395" s="14" t="str">
        <f t="shared" si="444"/>
        <v>HPExt</v>
      </c>
      <c r="GG395" s="14">
        <f t="shared" si="461"/>
        <v>9390</v>
      </c>
      <c r="GH395" s="14">
        <f t="shared" si="462"/>
        <v>492</v>
      </c>
      <c r="GI395" s="14" t="str">
        <f t="shared" si="445"/>
        <v/>
      </c>
      <c r="GJ395" s="14" t="str">
        <f t="shared" si="463"/>
        <v/>
      </c>
      <c r="GK395" s="14" t="str">
        <f t="shared" si="464"/>
        <v/>
      </c>
      <c r="GL395" s="14">
        <f t="shared" si="446"/>
        <v>21040</v>
      </c>
      <c r="GM395" s="14">
        <f t="shared" si="465"/>
        <v>6</v>
      </c>
      <c r="GN395" s="14">
        <f t="shared" si="466"/>
        <v>1104</v>
      </c>
      <c r="GO395" s="25" t="s">
        <v>1471</v>
      </c>
      <c r="GP395" s="14">
        <f t="shared" si="447"/>
        <v>600</v>
      </c>
      <c r="HK395" s="13">
        <v>390</v>
      </c>
      <c r="HL395" s="14">
        <f t="shared" si="467"/>
        <v>17</v>
      </c>
      <c r="HM395" s="14">
        <f t="shared" si="468"/>
        <v>2</v>
      </c>
      <c r="HN395" s="14">
        <f t="shared" si="469"/>
        <v>6</v>
      </c>
      <c r="HO395" s="14">
        <f t="shared" si="470"/>
        <v>3</v>
      </c>
      <c r="HP395" s="14" t="str">
        <f t="shared" si="471"/>
        <v>100级守护灵洗练-Q3-6</v>
      </c>
      <c r="HQ395" s="14">
        <f t="shared" si="472"/>
        <v>2063</v>
      </c>
      <c r="HR395" s="14">
        <f t="shared" si="473"/>
        <v>6</v>
      </c>
      <c r="HS395" s="14">
        <f t="shared" si="474"/>
        <v>500</v>
      </c>
      <c r="HT395" s="14" t="str">
        <f t="shared" si="475"/>
        <v>HPRate</v>
      </c>
      <c r="HU395" s="14">
        <f t="shared" si="476"/>
        <v>1.4E-2</v>
      </c>
      <c r="HV395" s="14">
        <f t="shared" si="477"/>
        <v>0.04</v>
      </c>
    </row>
    <row r="396" spans="151:230" ht="16.5" x14ac:dyDescent="0.2">
      <c r="EU396" s="13">
        <v>391</v>
      </c>
      <c r="EV396" s="14">
        <f t="shared" si="448"/>
        <v>1</v>
      </c>
      <c r="EW396" s="14">
        <f t="shared" si="449"/>
        <v>391</v>
      </c>
      <c r="EX396" s="14">
        <f t="shared" si="450"/>
        <v>52</v>
      </c>
      <c r="EY396" s="14">
        <f t="shared" si="425"/>
        <v>41</v>
      </c>
      <c r="EZ396" s="14">
        <f t="shared" si="426"/>
        <v>10</v>
      </c>
      <c r="FA396" s="14">
        <f t="shared" si="427"/>
        <v>140</v>
      </c>
      <c r="FB396" s="14">
        <f t="shared" si="428"/>
        <v>4</v>
      </c>
      <c r="FC396" s="14">
        <f t="shared" si="429"/>
        <v>5</v>
      </c>
      <c r="FD396" s="14">
        <f t="shared" si="430"/>
        <v>7</v>
      </c>
      <c r="FE396" s="14" t="b">
        <f t="shared" si="451"/>
        <v>1</v>
      </c>
      <c r="FF396" s="14">
        <f t="shared" si="431"/>
        <v>2010417</v>
      </c>
      <c r="FG396" s="13" t="str">
        <f t="shared" si="432"/>
        <v>140级-攻击套寄灵人の项链</v>
      </c>
      <c r="FH396" s="14">
        <f t="shared" si="433"/>
        <v>1</v>
      </c>
      <c r="FI396" s="14">
        <f t="shared" si="434"/>
        <v>4</v>
      </c>
      <c r="FJ396" s="14">
        <f t="shared" si="435"/>
        <v>140</v>
      </c>
      <c r="FK396" s="14">
        <v>1</v>
      </c>
      <c r="FL396" s="14">
        <f t="shared" si="436"/>
        <v>10</v>
      </c>
      <c r="FM396" s="14">
        <f t="shared" si="452"/>
        <v>7</v>
      </c>
      <c r="FN396" s="14">
        <f t="shared" si="437"/>
        <v>201041</v>
      </c>
      <c r="FO396" s="14">
        <f t="shared" si="438"/>
        <v>585</v>
      </c>
      <c r="FP396" s="14">
        <f t="shared" si="453"/>
        <v>655</v>
      </c>
      <c r="FQ396" s="14">
        <f t="shared" si="454"/>
        <v>410</v>
      </c>
      <c r="FR396" s="14">
        <f t="shared" si="455"/>
        <v>0</v>
      </c>
      <c r="FS396" s="14">
        <f t="shared" si="456"/>
        <v>34</v>
      </c>
      <c r="FT396" s="14">
        <f t="shared" si="457"/>
        <v>22</v>
      </c>
      <c r="FU396" s="14">
        <f t="shared" si="458"/>
        <v>0</v>
      </c>
      <c r="FV396" s="14">
        <f t="shared" si="439"/>
        <v>1104</v>
      </c>
      <c r="FW396" s="14">
        <f t="shared" si="440"/>
        <v>6</v>
      </c>
      <c r="FX396" s="14">
        <f t="shared" si="441"/>
        <v>1104</v>
      </c>
      <c r="FY396" s="25" t="str">
        <f t="shared" si="459"/>
        <v>icon_2010417</v>
      </c>
      <c r="GC396" s="14">
        <f t="shared" si="442"/>
        <v>1</v>
      </c>
      <c r="GD396" s="14">
        <f t="shared" si="443"/>
        <v>2</v>
      </c>
      <c r="GE396" s="14">
        <f t="shared" si="460"/>
        <v>585</v>
      </c>
      <c r="GF396" s="14" t="str">
        <f t="shared" si="444"/>
        <v>AtkExt</v>
      </c>
      <c r="GG396" s="14">
        <f t="shared" si="461"/>
        <v>655</v>
      </c>
      <c r="GH396" s="14">
        <f t="shared" si="462"/>
        <v>34</v>
      </c>
      <c r="GI396" s="14" t="str">
        <f t="shared" si="445"/>
        <v>DefExt</v>
      </c>
      <c r="GJ396" s="14">
        <f t="shared" si="463"/>
        <v>410</v>
      </c>
      <c r="GK396" s="14">
        <f t="shared" si="464"/>
        <v>22</v>
      </c>
      <c r="GL396" s="14">
        <f t="shared" si="446"/>
        <v>21040</v>
      </c>
      <c r="GM396" s="14">
        <f t="shared" si="465"/>
        <v>6</v>
      </c>
      <c r="GN396" s="14">
        <f t="shared" si="466"/>
        <v>1104</v>
      </c>
      <c r="GO396" s="25" t="s">
        <v>1471</v>
      </c>
      <c r="GP396" s="14">
        <f t="shared" si="447"/>
        <v>900</v>
      </c>
      <c r="HK396" s="13">
        <v>391</v>
      </c>
      <c r="HL396" s="14">
        <f t="shared" si="467"/>
        <v>17</v>
      </c>
      <c r="HM396" s="14">
        <f t="shared" si="468"/>
        <v>2</v>
      </c>
      <c r="HN396" s="14">
        <f t="shared" si="469"/>
        <v>6</v>
      </c>
      <c r="HO396" s="14">
        <f t="shared" si="470"/>
        <v>3</v>
      </c>
      <c r="HP396" s="14" t="str">
        <f t="shared" si="471"/>
        <v>100级守护灵洗练-Q3-7</v>
      </c>
      <c r="HQ396" s="14">
        <f t="shared" si="472"/>
        <v>2063</v>
      </c>
      <c r="HR396" s="14">
        <f t="shared" si="473"/>
        <v>7</v>
      </c>
      <c r="HS396" s="14">
        <f t="shared" si="474"/>
        <v>500</v>
      </c>
      <c r="HT396" s="14" t="str">
        <f t="shared" si="475"/>
        <v>Crit</v>
      </c>
      <c r="HU396" s="14">
        <f t="shared" si="476"/>
        <v>1.0999999999999999E-2</v>
      </c>
      <c r="HV396" s="14">
        <f t="shared" si="477"/>
        <v>0.03</v>
      </c>
    </row>
    <row r="397" spans="151:230" ht="16.5" x14ac:dyDescent="0.2">
      <c r="EU397" s="13">
        <v>392</v>
      </c>
      <c r="EV397" s="14">
        <f t="shared" si="448"/>
        <v>1</v>
      </c>
      <c r="EW397" s="14">
        <f t="shared" si="449"/>
        <v>392</v>
      </c>
      <c r="EX397" s="14">
        <f t="shared" si="450"/>
        <v>52</v>
      </c>
      <c r="EY397" s="14">
        <f t="shared" si="425"/>
        <v>41</v>
      </c>
      <c r="EZ397" s="14">
        <f t="shared" si="426"/>
        <v>10</v>
      </c>
      <c r="FA397" s="14">
        <f t="shared" si="427"/>
        <v>140</v>
      </c>
      <c r="FB397" s="14">
        <f t="shared" si="428"/>
        <v>4</v>
      </c>
      <c r="FC397" s="14">
        <f t="shared" si="429"/>
        <v>6</v>
      </c>
      <c r="FD397" s="14">
        <f t="shared" si="430"/>
        <v>8</v>
      </c>
      <c r="FE397" s="14" t="b">
        <f t="shared" si="451"/>
        <v>1</v>
      </c>
      <c r="FF397" s="14">
        <f t="shared" si="431"/>
        <v>2010418</v>
      </c>
      <c r="FG397" s="13" t="str">
        <f t="shared" si="432"/>
        <v>140级-攻击套寄灵人の戒指</v>
      </c>
      <c r="FH397" s="14">
        <f t="shared" si="433"/>
        <v>1</v>
      </c>
      <c r="FI397" s="14">
        <f t="shared" si="434"/>
        <v>4</v>
      </c>
      <c r="FJ397" s="14">
        <f t="shared" si="435"/>
        <v>140</v>
      </c>
      <c r="FK397" s="14">
        <v>1</v>
      </c>
      <c r="FL397" s="14">
        <f t="shared" si="436"/>
        <v>10</v>
      </c>
      <c r="FM397" s="14">
        <f t="shared" si="452"/>
        <v>8</v>
      </c>
      <c r="FN397" s="14">
        <f t="shared" si="437"/>
        <v>201041</v>
      </c>
      <c r="FO397" s="14">
        <f t="shared" si="438"/>
        <v>870</v>
      </c>
      <c r="FP397" s="14">
        <f t="shared" si="453"/>
        <v>655</v>
      </c>
      <c r="FQ397" s="14">
        <f t="shared" si="454"/>
        <v>0</v>
      </c>
      <c r="FR397" s="14">
        <f t="shared" si="455"/>
        <v>7825</v>
      </c>
      <c r="FS397" s="14">
        <f t="shared" si="456"/>
        <v>34</v>
      </c>
      <c r="FT397" s="14">
        <f t="shared" si="457"/>
        <v>0</v>
      </c>
      <c r="FU397" s="14">
        <f t="shared" si="458"/>
        <v>410</v>
      </c>
      <c r="FV397" s="14">
        <f t="shared" si="439"/>
        <v>1104</v>
      </c>
      <c r="FW397" s="14">
        <f t="shared" si="440"/>
        <v>6</v>
      </c>
      <c r="FX397" s="14">
        <f t="shared" si="441"/>
        <v>1104</v>
      </c>
      <c r="FY397" s="25" t="str">
        <f t="shared" si="459"/>
        <v>icon_2010418</v>
      </c>
      <c r="GC397" s="14">
        <f t="shared" si="442"/>
        <v>1</v>
      </c>
      <c r="GD397" s="14">
        <f t="shared" si="443"/>
        <v>3</v>
      </c>
      <c r="GE397" s="14">
        <f t="shared" si="460"/>
        <v>870</v>
      </c>
      <c r="GF397" s="14" t="str">
        <f t="shared" si="444"/>
        <v>AtkExt</v>
      </c>
      <c r="GG397" s="14">
        <f t="shared" si="461"/>
        <v>655</v>
      </c>
      <c r="GH397" s="14">
        <f t="shared" si="462"/>
        <v>34</v>
      </c>
      <c r="GI397" s="14" t="str">
        <f t="shared" si="445"/>
        <v>HPExt</v>
      </c>
      <c r="GJ397" s="14">
        <f t="shared" si="463"/>
        <v>7825</v>
      </c>
      <c r="GK397" s="14">
        <f t="shared" si="464"/>
        <v>410</v>
      </c>
      <c r="GL397" s="14">
        <f t="shared" si="446"/>
        <v>21040</v>
      </c>
      <c r="GM397" s="14">
        <f t="shared" si="465"/>
        <v>6</v>
      </c>
      <c r="GN397" s="14">
        <f t="shared" si="466"/>
        <v>1104</v>
      </c>
      <c r="GO397" s="25" t="s">
        <v>1471</v>
      </c>
      <c r="GP397" s="14">
        <f t="shared" si="447"/>
        <v>900</v>
      </c>
      <c r="HK397" s="13">
        <v>392</v>
      </c>
      <c r="HL397" s="14">
        <f t="shared" si="467"/>
        <v>17</v>
      </c>
      <c r="HM397" s="14">
        <f t="shared" si="468"/>
        <v>2</v>
      </c>
      <c r="HN397" s="14">
        <f t="shared" si="469"/>
        <v>6</v>
      </c>
      <c r="HO397" s="14">
        <f t="shared" si="470"/>
        <v>3</v>
      </c>
      <c r="HP397" s="14" t="str">
        <f t="shared" si="471"/>
        <v>100级守护灵洗练-Q3-8</v>
      </c>
      <c r="HQ397" s="14">
        <f t="shared" si="472"/>
        <v>2063</v>
      </c>
      <c r="HR397" s="14">
        <f t="shared" si="473"/>
        <v>8</v>
      </c>
      <c r="HS397" s="14">
        <f t="shared" si="474"/>
        <v>500</v>
      </c>
      <c r="HT397" s="14" t="str">
        <f t="shared" si="475"/>
        <v>CritRate</v>
      </c>
      <c r="HU397" s="14">
        <f t="shared" si="476"/>
        <v>2.8000000000000001E-2</v>
      </c>
      <c r="HV397" s="14">
        <f t="shared" si="477"/>
        <v>0.08</v>
      </c>
    </row>
    <row r="398" spans="151:230" ht="16.5" x14ac:dyDescent="0.2">
      <c r="EU398" s="13">
        <v>393</v>
      </c>
      <c r="EV398" s="14">
        <f t="shared" si="448"/>
        <v>1</v>
      </c>
      <c r="EW398" s="14">
        <f t="shared" si="449"/>
        <v>393</v>
      </c>
      <c r="EX398" s="14">
        <f t="shared" si="450"/>
        <v>53</v>
      </c>
      <c r="EY398" s="14">
        <f t="shared" si="425"/>
        <v>10</v>
      </c>
      <c r="EZ398" s="14">
        <f t="shared" si="426"/>
        <v>11</v>
      </c>
      <c r="FA398" s="14">
        <f t="shared" si="427"/>
        <v>150</v>
      </c>
      <c r="FB398" s="14">
        <f t="shared" si="428"/>
        <v>1</v>
      </c>
      <c r="FC398" s="14">
        <f t="shared" si="429"/>
        <v>1</v>
      </c>
      <c r="FD398" s="14">
        <f t="shared" si="430"/>
        <v>1</v>
      </c>
      <c r="FE398" s="14" t="b">
        <f t="shared" si="451"/>
        <v>0</v>
      </c>
      <c r="FF398" s="14">
        <f t="shared" si="431"/>
        <v>2011101</v>
      </c>
      <c r="FG398" s="13" t="str">
        <f t="shared" si="432"/>
        <v>150级-普通寄灵人の灵器</v>
      </c>
      <c r="FH398" s="14">
        <f t="shared" si="433"/>
        <v>1</v>
      </c>
      <c r="FI398" s="14">
        <f t="shared" si="434"/>
        <v>1</v>
      </c>
      <c r="FJ398" s="14">
        <f t="shared" si="435"/>
        <v>150</v>
      </c>
      <c r="FK398" s="14">
        <v>1</v>
      </c>
      <c r="FL398" s="14">
        <f t="shared" si="436"/>
        <v>11</v>
      </c>
      <c r="FM398" s="14">
        <f t="shared" si="452"/>
        <v>1</v>
      </c>
      <c r="FN398" s="14" t="str">
        <f t="shared" si="437"/>
        <v/>
      </c>
      <c r="FO398" s="14">
        <f t="shared" si="438"/>
        <v>300</v>
      </c>
      <c r="FP398" s="14">
        <f t="shared" si="453"/>
        <v>1010</v>
      </c>
      <c r="FQ398" s="14">
        <f t="shared" si="454"/>
        <v>0</v>
      </c>
      <c r="FR398" s="14">
        <f t="shared" si="455"/>
        <v>0</v>
      </c>
      <c r="FS398" s="14">
        <f t="shared" si="456"/>
        <v>60</v>
      </c>
      <c r="FT398" s="14">
        <f t="shared" si="457"/>
        <v>0</v>
      </c>
      <c r="FU398" s="14">
        <f t="shared" si="458"/>
        <v>0</v>
      </c>
      <c r="FV398" s="14">
        <f t="shared" si="439"/>
        <v>1111</v>
      </c>
      <c r="FW398" s="14">
        <f t="shared" si="440"/>
        <v>0</v>
      </c>
      <c r="FX398" s="14" t="str">
        <f t="shared" si="441"/>
        <v/>
      </c>
      <c r="FY398" s="25" t="str">
        <f t="shared" si="459"/>
        <v>icon_2011101</v>
      </c>
      <c r="GC398" s="14">
        <f t="shared" si="442"/>
        <v>1</v>
      </c>
      <c r="GD398" s="14">
        <f t="shared" si="443"/>
        <v>0</v>
      </c>
      <c r="GE398" s="14">
        <f t="shared" si="460"/>
        <v>300</v>
      </c>
      <c r="GF398" s="14" t="str">
        <f t="shared" si="444"/>
        <v>AtkExt</v>
      </c>
      <c r="GG398" s="14">
        <f t="shared" si="461"/>
        <v>1010</v>
      </c>
      <c r="GH398" s="14">
        <f t="shared" si="462"/>
        <v>60</v>
      </c>
      <c r="GI398" s="14" t="str">
        <f t="shared" si="445"/>
        <v/>
      </c>
      <c r="GJ398" s="14" t="str">
        <f t="shared" si="463"/>
        <v/>
      </c>
      <c r="GK398" s="14" t="str">
        <f t="shared" si="464"/>
        <v/>
      </c>
      <c r="GL398" s="14">
        <f t="shared" si="446"/>
        <v>21110</v>
      </c>
      <c r="GM398" s="14">
        <f t="shared" si="465"/>
        <v>0</v>
      </c>
      <c r="GN398" s="14" t="str">
        <f t="shared" si="466"/>
        <v/>
      </c>
      <c r="GO398" s="25" t="s">
        <v>1471</v>
      </c>
      <c r="GP398" s="14">
        <f t="shared" si="447"/>
        <v>160</v>
      </c>
      <c r="HK398" s="13">
        <v>393</v>
      </c>
      <c r="HL398" s="14">
        <f t="shared" si="467"/>
        <v>17</v>
      </c>
      <c r="HM398" s="14">
        <f t="shared" si="468"/>
        <v>2</v>
      </c>
      <c r="HN398" s="14">
        <f t="shared" si="469"/>
        <v>6</v>
      </c>
      <c r="HO398" s="14">
        <f t="shared" si="470"/>
        <v>3</v>
      </c>
      <c r="HP398" s="14" t="str">
        <f t="shared" si="471"/>
        <v>100级守护灵洗练-Q3-9</v>
      </c>
      <c r="HQ398" s="14">
        <f t="shared" si="472"/>
        <v>2063</v>
      </c>
      <c r="HR398" s="14">
        <f t="shared" si="473"/>
        <v>9</v>
      </c>
      <c r="HS398" s="14">
        <f t="shared" si="474"/>
        <v>500</v>
      </c>
      <c r="HT398" s="14" t="str">
        <f t="shared" si="475"/>
        <v>DefIgnor</v>
      </c>
      <c r="HU398" s="14">
        <f t="shared" si="476"/>
        <v>1.0999999999999999E-2</v>
      </c>
      <c r="HV398" s="14">
        <f t="shared" si="477"/>
        <v>0.03</v>
      </c>
    </row>
    <row r="399" spans="151:230" ht="16.5" x14ac:dyDescent="0.2">
      <c r="EU399" s="13">
        <v>394</v>
      </c>
      <c r="EV399" s="14">
        <f t="shared" si="448"/>
        <v>1</v>
      </c>
      <c r="EW399" s="14">
        <f t="shared" si="449"/>
        <v>394</v>
      </c>
      <c r="EX399" s="14">
        <f t="shared" si="450"/>
        <v>53</v>
      </c>
      <c r="EY399" s="14">
        <f t="shared" si="425"/>
        <v>10</v>
      </c>
      <c r="EZ399" s="14">
        <f t="shared" si="426"/>
        <v>11</v>
      </c>
      <c r="FA399" s="14">
        <f t="shared" si="427"/>
        <v>150</v>
      </c>
      <c r="FB399" s="14">
        <f t="shared" si="428"/>
        <v>1</v>
      </c>
      <c r="FC399" s="14">
        <f t="shared" si="429"/>
        <v>2</v>
      </c>
      <c r="FD399" s="14">
        <f t="shared" si="430"/>
        <v>2</v>
      </c>
      <c r="FE399" s="14" t="b">
        <f t="shared" si="451"/>
        <v>0</v>
      </c>
      <c r="FF399" s="14">
        <f t="shared" si="431"/>
        <v>2011102</v>
      </c>
      <c r="FG399" s="13" t="str">
        <f t="shared" si="432"/>
        <v>150级-普通寄灵人の头盔</v>
      </c>
      <c r="FH399" s="14">
        <f t="shared" si="433"/>
        <v>1</v>
      </c>
      <c r="FI399" s="14">
        <f t="shared" si="434"/>
        <v>1</v>
      </c>
      <c r="FJ399" s="14">
        <f t="shared" si="435"/>
        <v>150</v>
      </c>
      <c r="FK399" s="14">
        <v>1</v>
      </c>
      <c r="FL399" s="14">
        <f t="shared" si="436"/>
        <v>11</v>
      </c>
      <c r="FM399" s="14">
        <f t="shared" si="452"/>
        <v>2</v>
      </c>
      <c r="FN399" s="14" t="str">
        <f t="shared" si="437"/>
        <v/>
      </c>
      <c r="FO399" s="14">
        <f t="shared" si="438"/>
        <v>150</v>
      </c>
      <c r="FP399" s="14">
        <f t="shared" si="453"/>
        <v>0</v>
      </c>
      <c r="FQ399" s="14">
        <f t="shared" si="454"/>
        <v>255</v>
      </c>
      <c r="FR399" s="14">
        <f t="shared" si="455"/>
        <v>0</v>
      </c>
      <c r="FS399" s="14">
        <f t="shared" si="456"/>
        <v>0</v>
      </c>
      <c r="FT399" s="14">
        <f t="shared" si="457"/>
        <v>15</v>
      </c>
      <c r="FU399" s="14">
        <f t="shared" si="458"/>
        <v>0</v>
      </c>
      <c r="FV399" s="14">
        <f t="shared" si="439"/>
        <v>1111</v>
      </c>
      <c r="FW399" s="14">
        <f t="shared" si="440"/>
        <v>0</v>
      </c>
      <c r="FX399" s="14" t="str">
        <f t="shared" si="441"/>
        <v/>
      </c>
      <c r="FY399" s="25" t="str">
        <f t="shared" si="459"/>
        <v>icon_2011102</v>
      </c>
      <c r="GC399" s="14">
        <f t="shared" si="442"/>
        <v>2</v>
      </c>
      <c r="GD399" s="14">
        <f t="shared" si="443"/>
        <v>0</v>
      </c>
      <c r="GE399" s="14">
        <f t="shared" si="460"/>
        <v>150</v>
      </c>
      <c r="GF399" s="14" t="str">
        <f t="shared" si="444"/>
        <v>DefExt</v>
      </c>
      <c r="GG399" s="14">
        <f t="shared" si="461"/>
        <v>255</v>
      </c>
      <c r="GH399" s="14">
        <f t="shared" si="462"/>
        <v>15</v>
      </c>
      <c r="GI399" s="14" t="str">
        <f t="shared" si="445"/>
        <v/>
      </c>
      <c r="GJ399" s="14" t="str">
        <f t="shared" si="463"/>
        <v/>
      </c>
      <c r="GK399" s="14" t="str">
        <f t="shared" si="464"/>
        <v/>
      </c>
      <c r="GL399" s="14">
        <f t="shared" si="446"/>
        <v>21110</v>
      </c>
      <c r="GM399" s="14">
        <f t="shared" si="465"/>
        <v>0</v>
      </c>
      <c r="GN399" s="14" t="str">
        <f t="shared" si="466"/>
        <v/>
      </c>
      <c r="GO399" s="25" t="s">
        <v>1471</v>
      </c>
      <c r="GP399" s="14">
        <f t="shared" si="447"/>
        <v>80</v>
      </c>
      <c r="HK399" s="13">
        <v>394</v>
      </c>
      <c r="HL399" s="14">
        <f t="shared" si="467"/>
        <v>17</v>
      </c>
      <c r="HM399" s="14">
        <f t="shared" si="468"/>
        <v>2</v>
      </c>
      <c r="HN399" s="14">
        <f t="shared" si="469"/>
        <v>6</v>
      </c>
      <c r="HO399" s="14">
        <f t="shared" si="470"/>
        <v>3</v>
      </c>
      <c r="HP399" s="14" t="str">
        <f t="shared" si="471"/>
        <v>100级守护灵洗练-Q3-10</v>
      </c>
      <c r="HQ399" s="14">
        <f t="shared" si="472"/>
        <v>2063</v>
      </c>
      <c r="HR399" s="14">
        <f t="shared" si="473"/>
        <v>10</v>
      </c>
      <c r="HS399" s="14">
        <f t="shared" si="474"/>
        <v>500</v>
      </c>
      <c r="HT399" s="14" t="str">
        <f t="shared" si="475"/>
        <v>Block</v>
      </c>
      <c r="HU399" s="14">
        <f t="shared" si="476"/>
        <v>1.0999999999999999E-2</v>
      </c>
      <c r="HV399" s="14">
        <f t="shared" si="477"/>
        <v>0.03</v>
      </c>
    </row>
    <row r="400" spans="151:230" ht="16.5" x14ac:dyDescent="0.2">
      <c r="EU400" s="13">
        <v>395</v>
      </c>
      <c r="EV400" s="14">
        <f t="shared" si="448"/>
        <v>1</v>
      </c>
      <c r="EW400" s="14">
        <f t="shared" si="449"/>
        <v>395</v>
      </c>
      <c r="EX400" s="14">
        <f t="shared" si="450"/>
        <v>53</v>
      </c>
      <c r="EY400" s="14">
        <f t="shared" si="425"/>
        <v>10</v>
      </c>
      <c r="EZ400" s="14">
        <f t="shared" si="426"/>
        <v>11</v>
      </c>
      <c r="FA400" s="14">
        <f t="shared" si="427"/>
        <v>150</v>
      </c>
      <c r="FB400" s="14">
        <f t="shared" si="428"/>
        <v>1</v>
      </c>
      <c r="FC400" s="14">
        <f t="shared" si="429"/>
        <v>3</v>
      </c>
      <c r="FD400" s="14">
        <f t="shared" si="430"/>
        <v>3</v>
      </c>
      <c r="FE400" s="14" t="b">
        <f t="shared" si="451"/>
        <v>0</v>
      </c>
      <c r="FF400" s="14">
        <f t="shared" si="431"/>
        <v>2011103</v>
      </c>
      <c r="FG400" s="13" t="str">
        <f t="shared" si="432"/>
        <v>150级-普通寄灵人の铠甲</v>
      </c>
      <c r="FH400" s="14">
        <f t="shared" si="433"/>
        <v>1</v>
      </c>
      <c r="FI400" s="14">
        <f t="shared" si="434"/>
        <v>1</v>
      </c>
      <c r="FJ400" s="14">
        <f t="shared" si="435"/>
        <v>150</v>
      </c>
      <c r="FK400" s="14">
        <v>1</v>
      </c>
      <c r="FL400" s="14">
        <f t="shared" si="436"/>
        <v>11</v>
      </c>
      <c r="FM400" s="14">
        <f t="shared" si="452"/>
        <v>3</v>
      </c>
      <c r="FN400" s="14" t="str">
        <f t="shared" si="437"/>
        <v/>
      </c>
      <c r="FO400" s="14">
        <f t="shared" si="438"/>
        <v>226</v>
      </c>
      <c r="FP400" s="14">
        <f t="shared" si="453"/>
        <v>0</v>
      </c>
      <c r="FQ400" s="14">
        <f t="shared" si="454"/>
        <v>125</v>
      </c>
      <c r="FR400" s="14">
        <f t="shared" si="455"/>
        <v>2425</v>
      </c>
      <c r="FS400" s="14">
        <f t="shared" si="456"/>
        <v>0</v>
      </c>
      <c r="FT400" s="14">
        <f t="shared" si="457"/>
        <v>8</v>
      </c>
      <c r="FU400" s="14">
        <f t="shared" si="458"/>
        <v>146</v>
      </c>
      <c r="FV400" s="14">
        <f t="shared" si="439"/>
        <v>1111</v>
      </c>
      <c r="FW400" s="14">
        <f t="shared" si="440"/>
        <v>0</v>
      </c>
      <c r="FX400" s="14" t="str">
        <f t="shared" si="441"/>
        <v/>
      </c>
      <c r="FY400" s="25" t="str">
        <f t="shared" si="459"/>
        <v>icon_2011103</v>
      </c>
      <c r="GC400" s="14">
        <f t="shared" si="442"/>
        <v>2</v>
      </c>
      <c r="GD400" s="14">
        <f t="shared" si="443"/>
        <v>3</v>
      </c>
      <c r="GE400" s="14">
        <f t="shared" si="460"/>
        <v>226</v>
      </c>
      <c r="GF400" s="14" t="str">
        <f t="shared" si="444"/>
        <v>DefExt</v>
      </c>
      <c r="GG400" s="14">
        <f t="shared" si="461"/>
        <v>125</v>
      </c>
      <c r="GH400" s="14">
        <f t="shared" si="462"/>
        <v>8</v>
      </c>
      <c r="GI400" s="14" t="str">
        <f t="shared" si="445"/>
        <v>HPExt</v>
      </c>
      <c r="GJ400" s="14">
        <f t="shared" si="463"/>
        <v>2425</v>
      </c>
      <c r="GK400" s="14">
        <f t="shared" si="464"/>
        <v>146</v>
      </c>
      <c r="GL400" s="14">
        <f t="shared" si="446"/>
        <v>21110</v>
      </c>
      <c r="GM400" s="14">
        <f t="shared" si="465"/>
        <v>0</v>
      </c>
      <c r="GN400" s="14" t="str">
        <f t="shared" si="466"/>
        <v/>
      </c>
      <c r="GO400" s="25" t="s">
        <v>1471</v>
      </c>
      <c r="GP400" s="14">
        <f t="shared" si="447"/>
        <v>80</v>
      </c>
      <c r="HK400" s="13">
        <v>395</v>
      </c>
      <c r="HL400" s="14">
        <f t="shared" si="467"/>
        <v>17</v>
      </c>
      <c r="HM400" s="14">
        <f t="shared" si="468"/>
        <v>2</v>
      </c>
      <c r="HN400" s="14">
        <f t="shared" si="469"/>
        <v>6</v>
      </c>
      <c r="HO400" s="14">
        <f t="shared" si="470"/>
        <v>3</v>
      </c>
      <c r="HP400" s="14" t="str">
        <f t="shared" si="471"/>
        <v>100级守护灵洗练-Q3-11</v>
      </c>
      <c r="HQ400" s="14">
        <f t="shared" si="472"/>
        <v>2063</v>
      </c>
      <c r="HR400" s="14">
        <f t="shared" si="473"/>
        <v>11</v>
      </c>
      <c r="HS400" s="14">
        <f t="shared" si="474"/>
        <v>500</v>
      </c>
      <c r="HT400" s="14" t="str">
        <f t="shared" si="475"/>
        <v>EffectHit</v>
      </c>
      <c r="HU400" s="14">
        <f t="shared" si="476"/>
        <v>1.7999999999999999E-2</v>
      </c>
      <c r="HV400" s="14">
        <f t="shared" si="477"/>
        <v>0.05</v>
      </c>
    </row>
    <row r="401" spans="151:230" ht="16.5" x14ac:dyDescent="0.2">
      <c r="EU401" s="13">
        <v>396</v>
      </c>
      <c r="EV401" s="14">
        <f t="shared" si="448"/>
        <v>1</v>
      </c>
      <c r="EW401" s="14">
        <f t="shared" si="449"/>
        <v>396</v>
      </c>
      <c r="EX401" s="14">
        <f t="shared" si="450"/>
        <v>53</v>
      </c>
      <c r="EY401" s="14">
        <f t="shared" si="425"/>
        <v>10</v>
      </c>
      <c r="EZ401" s="14">
        <f t="shared" si="426"/>
        <v>11</v>
      </c>
      <c r="FA401" s="14">
        <f t="shared" si="427"/>
        <v>150</v>
      </c>
      <c r="FB401" s="14">
        <f t="shared" si="428"/>
        <v>1</v>
      </c>
      <c r="FC401" s="14">
        <f t="shared" si="429"/>
        <v>4</v>
      </c>
      <c r="FD401" s="14">
        <f t="shared" si="430"/>
        <v>4</v>
      </c>
      <c r="FE401" s="14" t="b">
        <f t="shared" si="451"/>
        <v>0</v>
      </c>
      <c r="FF401" s="14">
        <f t="shared" si="431"/>
        <v>2011104</v>
      </c>
      <c r="FG401" s="13" t="str">
        <f t="shared" si="432"/>
        <v>150级-普通寄灵人の裤子</v>
      </c>
      <c r="FH401" s="14">
        <f t="shared" si="433"/>
        <v>1</v>
      </c>
      <c r="FI401" s="14">
        <f t="shared" si="434"/>
        <v>1</v>
      </c>
      <c r="FJ401" s="14">
        <f t="shared" si="435"/>
        <v>150</v>
      </c>
      <c r="FK401" s="14">
        <v>1</v>
      </c>
      <c r="FL401" s="14">
        <f t="shared" si="436"/>
        <v>11</v>
      </c>
      <c r="FM401" s="14">
        <f t="shared" si="452"/>
        <v>4</v>
      </c>
      <c r="FN401" s="14" t="str">
        <f t="shared" si="437"/>
        <v/>
      </c>
      <c r="FO401" s="14">
        <f t="shared" si="438"/>
        <v>150</v>
      </c>
      <c r="FP401" s="14">
        <f t="shared" si="453"/>
        <v>0</v>
      </c>
      <c r="FQ401" s="14">
        <f t="shared" si="454"/>
        <v>255</v>
      </c>
      <c r="FR401" s="14">
        <f t="shared" si="455"/>
        <v>0</v>
      </c>
      <c r="FS401" s="14">
        <f t="shared" si="456"/>
        <v>0</v>
      </c>
      <c r="FT401" s="14">
        <f t="shared" si="457"/>
        <v>15</v>
      </c>
      <c r="FU401" s="14">
        <f t="shared" si="458"/>
        <v>0</v>
      </c>
      <c r="FV401" s="14">
        <f t="shared" si="439"/>
        <v>1111</v>
      </c>
      <c r="FW401" s="14">
        <f t="shared" si="440"/>
        <v>0</v>
      </c>
      <c r="FX401" s="14" t="str">
        <f t="shared" si="441"/>
        <v/>
      </c>
      <c r="FY401" s="25" t="str">
        <f t="shared" si="459"/>
        <v>icon_2011104</v>
      </c>
      <c r="GC401" s="14">
        <f t="shared" si="442"/>
        <v>2</v>
      </c>
      <c r="GD401" s="14">
        <f t="shared" si="443"/>
        <v>0</v>
      </c>
      <c r="GE401" s="14">
        <f t="shared" si="460"/>
        <v>150</v>
      </c>
      <c r="GF401" s="14" t="str">
        <f t="shared" si="444"/>
        <v>DefExt</v>
      </c>
      <c r="GG401" s="14">
        <f t="shared" si="461"/>
        <v>255</v>
      </c>
      <c r="GH401" s="14">
        <f t="shared" si="462"/>
        <v>15</v>
      </c>
      <c r="GI401" s="14" t="str">
        <f t="shared" si="445"/>
        <v/>
      </c>
      <c r="GJ401" s="14" t="str">
        <f t="shared" si="463"/>
        <v/>
      </c>
      <c r="GK401" s="14" t="str">
        <f t="shared" si="464"/>
        <v/>
      </c>
      <c r="GL401" s="14">
        <f t="shared" si="446"/>
        <v>21110</v>
      </c>
      <c r="GM401" s="14">
        <f t="shared" si="465"/>
        <v>0</v>
      </c>
      <c r="GN401" s="14" t="str">
        <f t="shared" si="466"/>
        <v/>
      </c>
      <c r="GO401" s="25" t="s">
        <v>1471</v>
      </c>
      <c r="GP401" s="14">
        <f t="shared" si="447"/>
        <v>80</v>
      </c>
      <c r="HK401" s="13">
        <v>396</v>
      </c>
      <c r="HL401" s="14">
        <f t="shared" si="467"/>
        <v>17</v>
      </c>
      <c r="HM401" s="14">
        <f t="shared" si="468"/>
        <v>2</v>
      </c>
      <c r="HN401" s="14">
        <f t="shared" si="469"/>
        <v>6</v>
      </c>
      <c r="HO401" s="14">
        <f t="shared" si="470"/>
        <v>3</v>
      </c>
      <c r="HP401" s="14" t="str">
        <f t="shared" si="471"/>
        <v>100级守护灵洗练-Q3-12</v>
      </c>
      <c r="HQ401" s="14">
        <f t="shared" si="472"/>
        <v>2063</v>
      </c>
      <c r="HR401" s="14">
        <f t="shared" si="473"/>
        <v>12</v>
      </c>
      <c r="HS401" s="14">
        <f t="shared" si="474"/>
        <v>500</v>
      </c>
      <c r="HT401" s="14" t="str">
        <f t="shared" si="475"/>
        <v>EffectResist</v>
      </c>
      <c r="HU401" s="14">
        <f t="shared" si="476"/>
        <v>1.7999999999999999E-2</v>
      </c>
      <c r="HV401" s="14">
        <f t="shared" si="477"/>
        <v>0.05</v>
      </c>
    </row>
    <row r="402" spans="151:230" ht="16.5" x14ac:dyDescent="0.2">
      <c r="EU402" s="13">
        <v>397</v>
      </c>
      <c r="EV402" s="14">
        <f t="shared" si="448"/>
        <v>1</v>
      </c>
      <c r="EW402" s="14">
        <f t="shared" si="449"/>
        <v>397</v>
      </c>
      <c r="EX402" s="14">
        <f t="shared" si="450"/>
        <v>53</v>
      </c>
      <c r="EY402" s="14">
        <f t="shared" si="425"/>
        <v>10</v>
      </c>
      <c r="EZ402" s="14">
        <f t="shared" si="426"/>
        <v>11</v>
      </c>
      <c r="FA402" s="14">
        <f t="shared" si="427"/>
        <v>150</v>
      </c>
      <c r="FB402" s="14">
        <f t="shared" si="428"/>
        <v>1</v>
      </c>
      <c r="FC402" s="14">
        <f t="shared" si="429"/>
        <v>5</v>
      </c>
      <c r="FD402" s="14">
        <f t="shared" si="430"/>
        <v>5</v>
      </c>
      <c r="FE402" s="14" t="b">
        <f t="shared" si="451"/>
        <v>0</v>
      </c>
      <c r="FF402" s="14">
        <f t="shared" si="431"/>
        <v>2011105</v>
      </c>
      <c r="FG402" s="13" t="str">
        <f t="shared" si="432"/>
        <v>150级-普通寄灵人の鞋子</v>
      </c>
      <c r="FH402" s="14">
        <f t="shared" si="433"/>
        <v>1</v>
      </c>
      <c r="FI402" s="14">
        <f t="shared" si="434"/>
        <v>1</v>
      </c>
      <c r="FJ402" s="14">
        <f t="shared" si="435"/>
        <v>150</v>
      </c>
      <c r="FK402" s="14">
        <v>1</v>
      </c>
      <c r="FL402" s="14">
        <f t="shared" si="436"/>
        <v>11</v>
      </c>
      <c r="FM402" s="14">
        <f t="shared" si="452"/>
        <v>5</v>
      </c>
      <c r="FN402" s="14" t="str">
        <f t="shared" si="437"/>
        <v/>
      </c>
      <c r="FO402" s="14">
        <f t="shared" si="438"/>
        <v>291</v>
      </c>
      <c r="FP402" s="14">
        <f t="shared" si="453"/>
        <v>0</v>
      </c>
      <c r="FQ402" s="14">
        <f t="shared" si="454"/>
        <v>0</v>
      </c>
      <c r="FR402" s="14">
        <f t="shared" si="455"/>
        <v>4850</v>
      </c>
      <c r="FS402" s="14">
        <f t="shared" si="456"/>
        <v>0</v>
      </c>
      <c r="FT402" s="14">
        <f t="shared" si="457"/>
        <v>0</v>
      </c>
      <c r="FU402" s="14">
        <f t="shared" si="458"/>
        <v>291</v>
      </c>
      <c r="FV402" s="14">
        <f t="shared" si="439"/>
        <v>1111</v>
      </c>
      <c r="FW402" s="14">
        <f t="shared" si="440"/>
        <v>0</v>
      </c>
      <c r="FX402" s="14" t="str">
        <f t="shared" si="441"/>
        <v/>
      </c>
      <c r="FY402" s="25" t="str">
        <f t="shared" si="459"/>
        <v>icon_2011105</v>
      </c>
      <c r="GC402" s="14">
        <f t="shared" si="442"/>
        <v>3</v>
      </c>
      <c r="GD402" s="14">
        <f t="shared" si="443"/>
        <v>0</v>
      </c>
      <c r="GE402" s="14">
        <f t="shared" si="460"/>
        <v>291</v>
      </c>
      <c r="GF402" s="14" t="str">
        <f t="shared" si="444"/>
        <v>HPExt</v>
      </c>
      <c r="GG402" s="14">
        <f t="shared" si="461"/>
        <v>4850</v>
      </c>
      <c r="GH402" s="14">
        <f t="shared" si="462"/>
        <v>291</v>
      </c>
      <c r="GI402" s="14" t="str">
        <f t="shared" si="445"/>
        <v/>
      </c>
      <c r="GJ402" s="14" t="str">
        <f t="shared" si="463"/>
        <v/>
      </c>
      <c r="GK402" s="14" t="str">
        <f t="shared" si="464"/>
        <v/>
      </c>
      <c r="GL402" s="14">
        <f t="shared" si="446"/>
        <v>21110</v>
      </c>
      <c r="GM402" s="14">
        <f t="shared" si="465"/>
        <v>0</v>
      </c>
      <c r="GN402" s="14" t="str">
        <f t="shared" si="466"/>
        <v/>
      </c>
      <c r="GO402" s="25" t="s">
        <v>1471</v>
      </c>
      <c r="GP402" s="14">
        <f t="shared" si="447"/>
        <v>80</v>
      </c>
      <c r="HK402" s="13">
        <v>397</v>
      </c>
      <c r="HL402" s="14">
        <f t="shared" si="467"/>
        <v>17</v>
      </c>
      <c r="HM402" s="14">
        <f t="shared" si="468"/>
        <v>2</v>
      </c>
      <c r="HN402" s="14">
        <f t="shared" si="469"/>
        <v>6</v>
      </c>
      <c r="HO402" s="14">
        <f t="shared" si="470"/>
        <v>4</v>
      </c>
      <c r="HP402" s="14" t="str">
        <f t="shared" si="471"/>
        <v>100级守护灵洗练-Q4-1</v>
      </c>
      <c r="HQ402" s="14">
        <f t="shared" si="472"/>
        <v>2064</v>
      </c>
      <c r="HR402" s="14">
        <f t="shared" si="473"/>
        <v>1</v>
      </c>
      <c r="HS402" s="14">
        <f t="shared" si="474"/>
        <v>1800</v>
      </c>
      <c r="HT402" s="14" t="str">
        <f t="shared" si="475"/>
        <v>AtkExt</v>
      </c>
      <c r="HU402" s="14">
        <f t="shared" si="476"/>
        <v>157</v>
      </c>
      <c r="HV402" s="14">
        <f t="shared" si="477"/>
        <v>451</v>
      </c>
    </row>
    <row r="403" spans="151:230" ht="16.5" x14ac:dyDescent="0.2">
      <c r="EU403" s="13">
        <v>398</v>
      </c>
      <c r="EV403" s="14">
        <f t="shared" si="448"/>
        <v>1</v>
      </c>
      <c r="EW403" s="14">
        <f t="shared" si="449"/>
        <v>398</v>
      </c>
      <c r="EX403" s="14">
        <f t="shared" si="450"/>
        <v>53</v>
      </c>
      <c r="EY403" s="14">
        <f t="shared" si="425"/>
        <v>10</v>
      </c>
      <c r="EZ403" s="14">
        <f t="shared" si="426"/>
        <v>11</v>
      </c>
      <c r="FA403" s="14">
        <f t="shared" si="427"/>
        <v>150</v>
      </c>
      <c r="FB403" s="14">
        <f t="shared" si="428"/>
        <v>1</v>
      </c>
      <c r="FC403" s="14">
        <f t="shared" si="429"/>
        <v>6</v>
      </c>
      <c r="FD403" s="14">
        <f t="shared" si="430"/>
        <v>6</v>
      </c>
      <c r="FE403" s="14" t="b">
        <f t="shared" si="451"/>
        <v>0</v>
      </c>
      <c r="FF403" s="14">
        <f t="shared" si="431"/>
        <v>2011106</v>
      </c>
      <c r="FG403" s="13" t="str">
        <f t="shared" si="432"/>
        <v>150级-普通寄灵人の护手</v>
      </c>
      <c r="FH403" s="14">
        <f t="shared" si="433"/>
        <v>1</v>
      </c>
      <c r="FI403" s="14">
        <f t="shared" si="434"/>
        <v>1</v>
      </c>
      <c r="FJ403" s="14">
        <f t="shared" si="435"/>
        <v>150</v>
      </c>
      <c r="FK403" s="14">
        <v>1</v>
      </c>
      <c r="FL403" s="14">
        <f t="shared" si="436"/>
        <v>11</v>
      </c>
      <c r="FM403" s="14">
        <f t="shared" si="452"/>
        <v>6</v>
      </c>
      <c r="FN403" s="14" t="str">
        <f t="shared" si="437"/>
        <v/>
      </c>
      <c r="FO403" s="14">
        <f t="shared" si="438"/>
        <v>291</v>
      </c>
      <c r="FP403" s="14">
        <f t="shared" si="453"/>
        <v>0</v>
      </c>
      <c r="FQ403" s="14">
        <f t="shared" si="454"/>
        <v>0</v>
      </c>
      <c r="FR403" s="14">
        <f t="shared" si="455"/>
        <v>4850</v>
      </c>
      <c r="FS403" s="14">
        <f t="shared" si="456"/>
        <v>0</v>
      </c>
      <c r="FT403" s="14">
        <f t="shared" si="457"/>
        <v>0</v>
      </c>
      <c r="FU403" s="14">
        <f t="shared" si="458"/>
        <v>291</v>
      </c>
      <c r="FV403" s="14">
        <f t="shared" si="439"/>
        <v>1111</v>
      </c>
      <c r="FW403" s="14">
        <f t="shared" si="440"/>
        <v>0</v>
      </c>
      <c r="FX403" s="14" t="str">
        <f t="shared" si="441"/>
        <v/>
      </c>
      <c r="FY403" s="25" t="str">
        <f t="shared" si="459"/>
        <v>icon_2011106</v>
      </c>
      <c r="GC403" s="14">
        <f t="shared" si="442"/>
        <v>3</v>
      </c>
      <c r="GD403" s="14">
        <f t="shared" si="443"/>
        <v>0</v>
      </c>
      <c r="GE403" s="14">
        <f t="shared" si="460"/>
        <v>291</v>
      </c>
      <c r="GF403" s="14" t="str">
        <f t="shared" si="444"/>
        <v>HPExt</v>
      </c>
      <c r="GG403" s="14">
        <f t="shared" si="461"/>
        <v>4850</v>
      </c>
      <c r="GH403" s="14">
        <f t="shared" si="462"/>
        <v>291</v>
      </c>
      <c r="GI403" s="14" t="str">
        <f t="shared" si="445"/>
        <v/>
      </c>
      <c r="GJ403" s="14" t="str">
        <f t="shared" si="463"/>
        <v/>
      </c>
      <c r="GK403" s="14" t="str">
        <f t="shared" si="464"/>
        <v/>
      </c>
      <c r="GL403" s="14">
        <f t="shared" si="446"/>
        <v>21110</v>
      </c>
      <c r="GM403" s="14">
        <f t="shared" si="465"/>
        <v>0</v>
      </c>
      <c r="GN403" s="14" t="str">
        <f t="shared" si="466"/>
        <v/>
      </c>
      <c r="GO403" s="25" t="s">
        <v>1471</v>
      </c>
      <c r="GP403" s="14">
        <f t="shared" si="447"/>
        <v>80</v>
      </c>
      <c r="HK403" s="13">
        <v>398</v>
      </c>
      <c r="HL403" s="14">
        <f t="shared" si="467"/>
        <v>17</v>
      </c>
      <c r="HM403" s="14">
        <f t="shared" si="468"/>
        <v>2</v>
      </c>
      <c r="HN403" s="14">
        <f t="shared" si="469"/>
        <v>6</v>
      </c>
      <c r="HO403" s="14">
        <f t="shared" si="470"/>
        <v>4</v>
      </c>
      <c r="HP403" s="14" t="str">
        <f t="shared" si="471"/>
        <v>100级守护灵洗练-Q4-2</v>
      </c>
      <c r="HQ403" s="14">
        <f t="shared" si="472"/>
        <v>2064</v>
      </c>
      <c r="HR403" s="14">
        <f t="shared" si="473"/>
        <v>2</v>
      </c>
      <c r="HS403" s="14">
        <f t="shared" si="474"/>
        <v>1800</v>
      </c>
      <c r="HT403" s="14" t="str">
        <f t="shared" si="475"/>
        <v>DefExt</v>
      </c>
      <c r="HU403" s="14">
        <f t="shared" si="476"/>
        <v>55</v>
      </c>
      <c r="HV403" s="14">
        <f t="shared" si="477"/>
        <v>158</v>
      </c>
    </row>
    <row r="404" spans="151:230" ht="16.5" x14ac:dyDescent="0.2">
      <c r="EU404" s="13">
        <v>399</v>
      </c>
      <c r="EV404" s="14">
        <f t="shared" si="448"/>
        <v>1</v>
      </c>
      <c r="EW404" s="14">
        <f t="shared" si="449"/>
        <v>399</v>
      </c>
      <c r="EX404" s="14">
        <f t="shared" si="450"/>
        <v>53</v>
      </c>
      <c r="EY404" s="14">
        <f t="shared" si="425"/>
        <v>10</v>
      </c>
      <c r="EZ404" s="14">
        <f t="shared" si="426"/>
        <v>11</v>
      </c>
      <c r="FA404" s="14">
        <f t="shared" si="427"/>
        <v>150</v>
      </c>
      <c r="FB404" s="14">
        <f t="shared" si="428"/>
        <v>1</v>
      </c>
      <c r="FC404" s="14">
        <f t="shared" si="429"/>
        <v>7</v>
      </c>
      <c r="FD404" s="14">
        <f t="shared" si="430"/>
        <v>7</v>
      </c>
      <c r="FE404" s="14" t="b">
        <f t="shared" si="451"/>
        <v>0</v>
      </c>
      <c r="FF404" s="14">
        <f t="shared" si="431"/>
        <v>2011107</v>
      </c>
      <c r="FG404" s="13" t="str">
        <f t="shared" si="432"/>
        <v>150级-普通寄灵人の项链</v>
      </c>
      <c r="FH404" s="14">
        <f t="shared" si="433"/>
        <v>1</v>
      </c>
      <c r="FI404" s="14">
        <f t="shared" si="434"/>
        <v>1</v>
      </c>
      <c r="FJ404" s="14">
        <f t="shared" si="435"/>
        <v>150</v>
      </c>
      <c r="FK404" s="14">
        <v>1</v>
      </c>
      <c r="FL404" s="14">
        <f t="shared" si="436"/>
        <v>11</v>
      </c>
      <c r="FM404" s="14">
        <f t="shared" si="452"/>
        <v>7</v>
      </c>
      <c r="FN404" s="14" t="str">
        <f t="shared" si="437"/>
        <v/>
      </c>
      <c r="FO404" s="14">
        <f t="shared" si="438"/>
        <v>230</v>
      </c>
      <c r="FP404" s="14">
        <f t="shared" si="453"/>
        <v>335</v>
      </c>
      <c r="FQ404" s="14">
        <f t="shared" si="454"/>
        <v>210</v>
      </c>
      <c r="FR404" s="14">
        <f t="shared" si="455"/>
        <v>0</v>
      </c>
      <c r="FS404" s="14">
        <f t="shared" si="456"/>
        <v>20</v>
      </c>
      <c r="FT404" s="14">
        <f t="shared" si="457"/>
        <v>13</v>
      </c>
      <c r="FU404" s="14">
        <f t="shared" si="458"/>
        <v>0</v>
      </c>
      <c r="FV404" s="14">
        <f t="shared" si="439"/>
        <v>1111</v>
      </c>
      <c r="FW404" s="14">
        <f t="shared" si="440"/>
        <v>0</v>
      </c>
      <c r="FX404" s="14" t="str">
        <f t="shared" si="441"/>
        <v/>
      </c>
      <c r="FY404" s="25" t="str">
        <f t="shared" si="459"/>
        <v>icon_2011107</v>
      </c>
      <c r="GC404" s="14">
        <f t="shared" si="442"/>
        <v>1</v>
      </c>
      <c r="GD404" s="14">
        <f t="shared" si="443"/>
        <v>2</v>
      </c>
      <c r="GE404" s="14">
        <f t="shared" si="460"/>
        <v>230</v>
      </c>
      <c r="GF404" s="14" t="str">
        <f t="shared" si="444"/>
        <v>AtkExt</v>
      </c>
      <c r="GG404" s="14">
        <f t="shared" si="461"/>
        <v>335</v>
      </c>
      <c r="GH404" s="14">
        <f t="shared" si="462"/>
        <v>20</v>
      </c>
      <c r="GI404" s="14" t="str">
        <f t="shared" si="445"/>
        <v>DefExt</v>
      </c>
      <c r="GJ404" s="14">
        <f t="shared" si="463"/>
        <v>210</v>
      </c>
      <c r="GK404" s="14">
        <f t="shared" si="464"/>
        <v>13</v>
      </c>
      <c r="GL404" s="14">
        <f t="shared" si="446"/>
        <v>21110</v>
      </c>
      <c r="GM404" s="14">
        <f t="shared" si="465"/>
        <v>0</v>
      </c>
      <c r="GN404" s="14" t="str">
        <f t="shared" si="466"/>
        <v/>
      </c>
      <c r="GO404" s="25" t="s">
        <v>1471</v>
      </c>
      <c r="GP404" s="14">
        <f t="shared" si="447"/>
        <v>120</v>
      </c>
      <c r="HK404" s="13">
        <v>399</v>
      </c>
      <c r="HL404" s="14">
        <f t="shared" si="467"/>
        <v>17</v>
      </c>
      <c r="HM404" s="14">
        <f t="shared" si="468"/>
        <v>2</v>
      </c>
      <c r="HN404" s="14">
        <f t="shared" si="469"/>
        <v>6</v>
      </c>
      <c r="HO404" s="14">
        <f t="shared" si="470"/>
        <v>4</v>
      </c>
      <c r="HP404" s="14" t="str">
        <f t="shared" si="471"/>
        <v>100级守护灵洗练-Q4-3</v>
      </c>
      <c r="HQ404" s="14">
        <f t="shared" si="472"/>
        <v>2064</v>
      </c>
      <c r="HR404" s="14">
        <f t="shared" si="473"/>
        <v>3</v>
      </c>
      <c r="HS404" s="14">
        <f t="shared" si="474"/>
        <v>2000</v>
      </c>
      <c r="HT404" s="14" t="str">
        <f t="shared" si="475"/>
        <v>HPExt</v>
      </c>
      <c r="HU404" s="14">
        <f t="shared" si="476"/>
        <v>1127</v>
      </c>
      <c r="HV404" s="14">
        <f t="shared" si="477"/>
        <v>3222</v>
      </c>
    </row>
    <row r="405" spans="151:230" ht="16.5" x14ac:dyDescent="0.2">
      <c r="EU405" s="13">
        <v>400</v>
      </c>
      <c r="EV405" s="14">
        <f t="shared" si="448"/>
        <v>1</v>
      </c>
      <c r="EW405" s="14">
        <f t="shared" si="449"/>
        <v>400</v>
      </c>
      <c r="EX405" s="14">
        <f t="shared" si="450"/>
        <v>53</v>
      </c>
      <c r="EY405" s="14">
        <f t="shared" si="425"/>
        <v>10</v>
      </c>
      <c r="EZ405" s="14">
        <f t="shared" si="426"/>
        <v>11</v>
      </c>
      <c r="FA405" s="14">
        <f t="shared" si="427"/>
        <v>150</v>
      </c>
      <c r="FB405" s="14">
        <f t="shared" si="428"/>
        <v>1</v>
      </c>
      <c r="FC405" s="14">
        <f t="shared" si="429"/>
        <v>8</v>
      </c>
      <c r="FD405" s="14">
        <f t="shared" si="430"/>
        <v>8</v>
      </c>
      <c r="FE405" s="14" t="b">
        <f t="shared" si="451"/>
        <v>0</v>
      </c>
      <c r="FF405" s="14">
        <f t="shared" si="431"/>
        <v>2011108</v>
      </c>
      <c r="FG405" s="13" t="str">
        <f t="shared" si="432"/>
        <v>150级-普通寄灵人の戒指</v>
      </c>
      <c r="FH405" s="14">
        <f t="shared" si="433"/>
        <v>1</v>
      </c>
      <c r="FI405" s="14">
        <f t="shared" si="434"/>
        <v>1</v>
      </c>
      <c r="FJ405" s="14">
        <f t="shared" si="435"/>
        <v>150</v>
      </c>
      <c r="FK405" s="14">
        <v>1</v>
      </c>
      <c r="FL405" s="14">
        <f t="shared" si="436"/>
        <v>11</v>
      </c>
      <c r="FM405" s="14">
        <f t="shared" si="452"/>
        <v>8</v>
      </c>
      <c r="FN405" s="14" t="str">
        <f t="shared" si="437"/>
        <v/>
      </c>
      <c r="FO405" s="14">
        <f t="shared" si="438"/>
        <v>343</v>
      </c>
      <c r="FP405" s="14">
        <f t="shared" si="453"/>
        <v>335</v>
      </c>
      <c r="FQ405" s="14">
        <f t="shared" si="454"/>
        <v>0</v>
      </c>
      <c r="FR405" s="14">
        <f t="shared" si="455"/>
        <v>4040</v>
      </c>
      <c r="FS405" s="14">
        <f t="shared" si="456"/>
        <v>20</v>
      </c>
      <c r="FT405" s="14">
        <f t="shared" si="457"/>
        <v>0</v>
      </c>
      <c r="FU405" s="14">
        <f t="shared" si="458"/>
        <v>243</v>
      </c>
      <c r="FV405" s="14">
        <f t="shared" si="439"/>
        <v>1111</v>
      </c>
      <c r="FW405" s="14">
        <f t="shared" si="440"/>
        <v>0</v>
      </c>
      <c r="FX405" s="14" t="str">
        <f t="shared" si="441"/>
        <v/>
      </c>
      <c r="FY405" s="25" t="str">
        <f t="shared" si="459"/>
        <v>icon_2011108</v>
      </c>
      <c r="GC405" s="14">
        <f t="shared" si="442"/>
        <v>1</v>
      </c>
      <c r="GD405" s="14">
        <f t="shared" si="443"/>
        <v>3</v>
      </c>
      <c r="GE405" s="14">
        <f t="shared" si="460"/>
        <v>343</v>
      </c>
      <c r="GF405" s="14" t="str">
        <f t="shared" si="444"/>
        <v>AtkExt</v>
      </c>
      <c r="GG405" s="14">
        <f t="shared" si="461"/>
        <v>335</v>
      </c>
      <c r="GH405" s="14">
        <f t="shared" si="462"/>
        <v>20</v>
      </c>
      <c r="GI405" s="14" t="str">
        <f t="shared" si="445"/>
        <v>HPExt</v>
      </c>
      <c r="GJ405" s="14">
        <f t="shared" si="463"/>
        <v>4040</v>
      </c>
      <c r="GK405" s="14">
        <f t="shared" si="464"/>
        <v>243</v>
      </c>
      <c r="GL405" s="14">
        <f t="shared" si="446"/>
        <v>21110</v>
      </c>
      <c r="GM405" s="14">
        <f t="shared" si="465"/>
        <v>0</v>
      </c>
      <c r="GN405" s="14" t="str">
        <f t="shared" si="466"/>
        <v/>
      </c>
      <c r="GO405" s="25" t="s">
        <v>1471</v>
      </c>
      <c r="GP405" s="14">
        <f t="shared" si="447"/>
        <v>120</v>
      </c>
      <c r="HK405" s="13">
        <v>400</v>
      </c>
      <c r="HL405" s="14">
        <f t="shared" si="467"/>
        <v>17</v>
      </c>
      <c r="HM405" s="14">
        <f t="shared" si="468"/>
        <v>2</v>
      </c>
      <c r="HN405" s="14">
        <f t="shared" si="469"/>
        <v>6</v>
      </c>
      <c r="HO405" s="14">
        <f t="shared" si="470"/>
        <v>4</v>
      </c>
      <c r="HP405" s="14" t="str">
        <f t="shared" si="471"/>
        <v>100级守护灵洗练-Q4-4</v>
      </c>
      <c r="HQ405" s="14">
        <f t="shared" si="472"/>
        <v>2064</v>
      </c>
      <c r="HR405" s="14">
        <f t="shared" si="473"/>
        <v>4</v>
      </c>
      <c r="HS405" s="14">
        <f t="shared" si="474"/>
        <v>500</v>
      </c>
      <c r="HT405" s="14" t="str">
        <f t="shared" si="475"/>
        <v>AtkRate</v>
      </c>
      <c r="HU405" s="14">
        <f t="shared" si="476"/>
        <v>1.4E-2</v>
      </c>
      <c r="HV405" s="14">
        <f t="shared" si="477"/>
        <v>0.04</v>
      </c>
    </row>
    <row r="406" spans="151:230" ht="16.5" x14ac:dyDescent="0.2">
      <c r="EU406" s="13">
        <v>401</v>
      </c>
      <c r="EV406" s="14">
        <f t="shared" si="448"/>
        <v>1</v>
      </c>
      <c r="EW406" s="14">
        <f t="shared" si="449"/>
        <v>401</v>
      </c>
      <c r="EX406" s="14">
        <f t="shared" si="450"/>
        <v>54</v>
      </c>
      <c r="EY406" s="14">
        <f t="shared" si="425"/>
        <v>20</v>
      </c>
      <c r="EZ406" s="14">
        <f t="shared" si="426"/>
        <v>11</v>
      </c>
      <c r="FA406" s="14">
        <f t="shared" si="427"/>
        <v>150</v>
      </c>
      <c r="FB406" s="14">
        <f t="shared" si="428"/>
        <v>2</v>
      </c>
      <c r="FC406" s="14">
        <f t="shared" si="429"/>
        <v>1</v>
      </c>
      <c r="FD406" s="14">
        <f t="shared" si="430"/>
        <v>1</v>
      </c>
      <c r="FE406" s="14" t="b">
        <f t="shared" si="451"/>
        <v>0</v>
      </c>
      <c r="FF406" s="14">
        <f t="shared" si="431"/>
        <v>2011201</v>
      </c>
      <c r="FG406" s="13" t="str">
        <f t="shared" si="432"/>
        <v>150级-优秀寄灵人の灵器</v>
      </c>
      <c r="FH406" s="14">
        <f t="shared" si="433"/>
        <v>1</v>
      </c>
      <c r="FI406" s="14">
        <f t="shared" si="434"/>
        <v>2</v>
      </c>
      <c r="FJ406" s="14">
        <f t="shared" si="435"/>
        <v>150</v>
      </c>
      <c r="FK406" s="14">
        <v>1</v>
      </c>
      <c r="FL406" s="14">
        <f t="shared" si="436"/>
        <v>11</v>
      </c>
      <c r="FM406" s="14">
        <f t="shared" si="452"/>
        <v>1</v>
      </c>
      <c r="FN406" s="14" t="str">
        <f t="shared" si="437"/>
        <v/>
      </c>
      <c r="FO406" s="14">
        <f t="shared" si="438"/>
        <v>425</v>
      </c>
      <c r="FP406" s="14">
        <f t="shared" si="453"/>
        <v>1410</v>
      </c>
      <c r="FQ406" s="14">
        <f t="shared" si="454"/>
        <v>0</v>
      </c>
      <c r="FR406" s="14">
        <f t="shared" si="455"/>
        <v>0</v>
      </c>
      <c r="FS406" s="14">
        <f t="shared" si="456"/>
        <v>85</v>
      </c>
      <c r="FT406" s="14">
        <f t="shared" si="457"/>
        <v>0</v>
      </c>
      <c r="FU406" s="14">
        <f t="shared" si="458"/>
        <v>0</v>
      </c>
      <c r="FV406" s="14">
        <f t="shared" si="439"/>
        <v>1112</v>
      </c>
      <c r="FW406" s="14">
        <f t="shared" si="440"/>
        <v>0</v>
      </c>
      <c r="FX406" s="14" t="str">
        <f t="shared" si="441"/>
        <v/>
      </c>
      <c r="FY406" s="25" t="str">
        <f t="shared" si="459"/>
        <v>icon_2011101</v>
      </c>
      <c r="GC406" s="14">
        <f t="shared" si="442"/>
        <v>1</v>
      </c>
      <c r="GD406" s="14">
        <f t="shared" si="443"/>
        <v>0</v>
      </c>
      <c r="GE406" s="14">
        <f t="shared" si="460"/>
        <v>425</v>
      </c>
      <c r="GF406" s="14" t="str">
        <f t="shared" si="444"/>
        <v>AtkExt</v>
      </c>
      <c r="GG406" s="14">
        <f t="shared" si="461"/>
        <v>1410</v>
      </c>
      <c r="GH406" s="14">
        <f t="shared" si="462"/>
        <v>85</v>
      </c>
      <c r="GI406" s="14" t="str">
        <f t="shared" si="445"/>
        <v/>
      </c>
      <c r="GJ406" s="14" t="str">
        <f t="shared" si="463"/>
        <v/>
      </c>
      <c r="GK406" s="14" t="str">
        <f t="shared" si="464"/>
        <v/>
      </c>
      <c r="GL406" s="14">
        <f t="shared" si="446"/>
        <v>21120</v>
      </c>
      <c r="GM406" s="14">
        <f t="shared" si="465"/>
        <v>0</v>
      </c>
      <c r="GN406" s="14" t="str">
        <f t="shared" si="466"/>
        <v/>
      </c>
      <c r="GO406" s="25" t="s">
        <v>1471</v>
      </c>
      <c r="GP406" s="14">
        <f t="shared" si="447"/>
        <v>480</v>
      </c>
      <c r="HK406" s="13">
        <v>401</v>
      </c>
      <c r="HL406" s="14">
        <f t="shared" si="467"/>
        <v>17</v>
      </c>
      <c r="HM406" s="14">
        <f t="shared" si="468"/>
        <v>2</v>
      </c>
      <c r="HN406" s="14">
        <f t="shared" si="469"/>
        <v>6</v>
      </c>
      <c r="HO406" s="14">
        <f t="shared" si="470"/>
        <v>4</v>
      </c>
      <c r="HP406" s="14" t="str">
        <f t="shared" si="471"/>
        <v>100级守护灵洗练-Q4-5</v>
      </c>
      <c r="HQ406" s="14">
        <f t="shared" si="472"/>
        <v>2064</v>
      </c>
      <c r="HR406" s="14">
        <f t="shared" si="473"/>
        <v>5</v>
      </c>
      <c r="HS406" s="14">
        <f t="shared" si="474"/>
        <v>400</v>
      </c>
      <c r="HT406" s="14" t="str">
        <f t="shared" si="475"/>
        <v>DefRate</v>
      </c>
      <c r="HU406" s="14">
        <f t="shared" si="476"/>
        <v>1.4E-2</v>
      </c>
      <c r="HV406" s="14">
        <f t="shared" si="477"/>
        <v>0.04</v>
      </c>
    </row>
    <row r="407" spans="151:230" ht="16.5" x14ac:dyDescent="0.2">
      <c r="EU407" s="13">
        <v>402</v>
      </c>
      <c r="EV407" s="14">
        <f t="shared" si="448"/>
        <v>1</v>
      </c>
      <c r="EW407" s="14">
        <f t="shared" si="449"/>
        <v>402</v>
      </c>
      <c r="EX407" s="14">
        <f t="shared" si="450"/>
        <v>54</v>
      </c>
      <c r="EY407" s="14">
        <f t="shared" si="425"/>
        <v>20</v>
      </c>
      <c r="EZ407" s="14">
        <f t="shared" si="426"/>
        <v>11</v>
      </c>
      <c r="FA407" s="14">
        <f t="shared" si="427"/>
        <v>150</v>
      </c>
      <c r="FB407" s="14">
        <f t="shared" si="428"/>
        <v>2</v>
      </c>
      <c r="FC407" s="14">
        <f t="shared" si="429"/>
        <v>2</v>
      </c>
      <c r="FD407" s="14">
        <f t="shared" si="430"/>
        <v>2</v>
      </c>
      <c r="FE407" s="14" t="b">
        <f t="shared" si="451"/>
        <v>0</v>
      </c>
      <c r="FF407" s="14">
        <f t="shared" si="431"/>
        <v>2011202</v>
      </c>
      <c r="FG407" s="13" t="str">
        <f t="shared" si="432"/>
        <v>150级-优秀寄灵人の头盔</v>
      </c>
      <c r="FH407" s="14">
        <f t="shared" si="433"/>
        <v>1</v>
      </c>
      <c r="FI407" s="14">
        <f t="shared" si="434"/>
        <v>2</v>
      </c>
      <c r="FJ407" s="14">
        <f t="shared" si="435"/>
        <v>150</v>
      </c>
      <c r="FK407" s="14">
        <v>1</v>
      </c>
      <c r="FL407" s="14">
        <f t="shared" si="436"/>
        <v>11</v>
      </c>
      <c r="FM407" s="14">
        <f t="shared" si="452"/>
        <v>2</v>
      </c>
      <c r="FN407" s="14" t="str">
        <f t="shared" si="437"/>
        <v/>
      </c>
      <c r="FO407" s="14">
        <f t="shared" si="438"/>
        <v>210</v>
      </c>
      <c r="FP407" s="14">
        <f t="shared" si="453"/>
        <v>0</v>
      </c>
      <c r="FQ407" s="14">
        <f t="shared" si="454"/>
        <v>355</v>
      </c>
      <c r="FR407" s="14">
        <f t="shared" si="455"/>
        <v>0</v>
      </c>
      <c r="FS407" s="14">
        <f t="shared" si="456"/>
        <v>0</v>
      </c>
      <c r="FT407" s="14">
        <f t="shared" si="457"/>
        <v>21</v>
      </c>
      <c r="FU407" s="14">
        <f t="shared" si="458"/>
        <v>0</v>
      </c>
      <c r="FV407" s="14">
        <f t="shared" si="439"/>
        <v>1112</v>
      </c>
      <c r="FW407" s="14">
        <f t="shared" si="440"/>
        <v>0</v>
      </c>
      <c r="FX407" s="14" t="str">
        <f t="shared" si="441"/>
        <v/>
      </c>
      <c r="FY407" s="25" t="str">
        <f t="shared" si="459"/>
        <v>icon_2011102</v>
      </c>
      <c r="GC407" s="14">
        <f t="shared" si="442"/>
        <v>2</v>
      </c>
      <c r="GD407" s="14">
        <f t="shared" si="443"/>
        <v>0</v>
      </c>
      <c r="GE407" s="14">
        <f t="shared" si="460"/>
        <v>210</v>
      </c>
      <c r="GF407" s="14" t="str">
        <f t="shared" si="444"/>
        <v>DefExt</v>
      </c>
      <c r="GG407" s="14">
        <f t="shared" si="461"/>
        <v>355</v>
      </c>
      <c r="GH407" s="14">
        <f t="shared" si="462"/>
        <v>21</v>
      </c>
      <c r="GI407" s="14" t="str">
        <f t="shared" si="445"/>
        <v/>
      </c>
      <c r="GJ407" s="14" t="str">
        <f t="shared" si="463"/>
        <v/>
      </c>
      <c r="GK407" s="14" t="str">
        <f t="shared" si="464"/>
        <v/>
      </c>
      <c r="GL407" s="14">
        <f t="shared" si="446"/>
        <v>21120</v>
      </c>
      <c r="GM407" s="14">
        <f t="shared" si="465"/>
        <v>0</v>
      </c>
      <c r="GN407" s="14" t="str">
        <f t="shared" si="466"/>
        <v/>
      </c>
      <c r="GO407" s="25" t="s">
        <v>1471</v>
      </c>
      <c r="GP407" s="14">
        <f t="shared" si="447"/>
        <v>240</v>
      </c>
      <c r="HK407" s="13">
        <v>402</v>
      </c>
      <c r="HL407" s="14">
        <f t="shared" si="467"/>
        <v>17</v>
      </c>
      <c r="HM407" s="14">
        <f t="shared" si="468"/>
        <v>2</v>
      </c>
      <c r="HN407" s="14">
        <f t="shared" si="469"/>
        <v>6</v>
      </c>
      <c r="HO407" s="14">
        <f t="shared" si="470"/>
        <v>4</v>
      </c>
      <c r="HP407" s="14" t="str">
        <f t="shared" si="471"/>
        <v>100级守护灵洗练-Q4-6</v>
      </c>
      <c r="HQ407" s="14">
        <f t="shared" si="472"/>
        <v>2064</v>
      </c>
      <c r="HR407" s="14">
        <f t="shared" si="473"/>
        <v>6</v>
      </c>
      <c r="HS407" s="14">
        <f t="shared" si="474"/>
        <v>500</v>
      </c>
      <c r="HT407" s="14" t="str">
        <f t="shared" si="475"/>
        <v>HPRate</v>
      </c>
      <c r="HU407" s="14">
        <f t="shared" si="476"/>
        <v>1.4E-2</v>
      </c>
      <c r="HV407" s="14">
        <f t="shared" si="477"/>
        <v>0.04</v>
      </c>
    </row>
    <row r="408" spans="151:230" ht="16.5" x14ac:dyDescent="0.2">
      <c r="EU408" s="13">
        <v>403</v>
      </c>
      <c r="EV408" s="14">
        <f t="shared" si="448"/>
        <v>1</v>
      </c>
      <c r="EW408" s="14">
        <f t="shared" si="449"/>
        <v>403</v>
      </c>
      <c r="EX408" s="14">
        <f t="shared" si="450"/>
        <v>54</v>
      </c>
      <c r="EY408" s="14">
        <f t="shared" si="425"/>
        <v>20</v>
      </c>
      <c r="EZ408" s="14">
        <f t="shared" si="426"/>
        <v>11</v>
      </c>
      <c r="FA408" s="14">
        <f t="shared" si="427"/>
        <v>150</v>
      </c>
      <c r="FB408" s="14">
        <f t="shared" si="428"/>
        <v>2</v>
      </c>
      <c r="FC408" s="14">
        <f t="shared" si="429"/>
        <v>3</v>
      </c>
      <c r="FD408" s="14">
        <f t="shared" si="430"/>
        <v>3</v>
      </c>
      <c r="FE408" s="14" t="b">
        <f t="shared" si="451"/>
        <v>0</v>
      </c>
      <c r="FF408" s="14">
        <f t="shared" si="431"/>
        <v>2011203</v>
      </c>
      <c r="FG408" s="13" t="str">
        <f t="shared" si="432"/>
        <v>150级-优秀寄灵人の铠甲</v>
      </c>
      <c r="FH408" s="14">
        <f t="shared" si="433"/>
        <v>1</v>
      </c>
      <c r="FI408" s="14">
        <f t="shared" si="434"/>
        <v>2</v>
      </c>
      <c r="FJ408" s="14">
        <f t="shared" si="435"/>
        <v>150</v>
      </c>
      <c r="FK408" s="14">
        <v>1</v>
      </c>
      <c r="FL408" s="14">
        <f t="shared" si="436"/>
        <v>11</v>
      </c>
      <c r="FM408" s="14">
        <f t="shared" si="452"/>
        <v>3</v>
      </c>
      <c r="FN408" s="14" t="str">
        <f t="shared" si="437"/>
        <v/>
      </c>
      <c r="FO408" s="14">
        <f t="shared" si="438"/>
        <v>314</v>
      </c>
      <c r="FP408" s="14">
        <f t="shared" si="453"/>
        <v>0</v>
      </c>
      <c r="FQ408" s="14">
        <f t="shared" si="454"/>
        <v>175</v>
      </c>
      <c r="FR408" s="14">
        <f t="shared" si="455"/>
        <v>3395</v>
      </c>
      <c r="FS408" s="14">
        <f t="shared" si="456"/>
        <v>0</v>
      </c>
      <c r="FT408" s="14">
        <f t="shared" si="457"/>
        <v>11</v>
      </c>
      <c r="FU408" s="14">
        <f t="shared" si="458"/>
        <v>204</v>
      </c>
      <c r="FV408" s="14">
        <f t="shared" si="439"/>
        <v>1112</v>
      </c>
      <c r="FW408" s="14">
        <f t="shared" si="440"/>
        <v>0</v>
      </c>
      <c r="FX408" s="14" t="str">
        <f t="shared" si="441"/>
        <v/>
      </c>
      <c r="FY408" s="25" t="str">
        <f t="shared" si="459"/>
        <v>icon_2011103</v>
      </c>
      <c r="GC408" s="14">
        <f t="shared" si="442"/>
        <v>2</v>
      </c>
      <c r="GD408" s="14">
        <f t="shared" si="443"/>
        <v>3</v>
      </c>
      <c r="GE408" s="14">
        <f t="shared" si="460"/>
        <v>314</v>
      </c>
      <c r="GF408" s="14" t="str">
        <f t="shared" si="444"/>
        <v>DefExt</v>
      </c>
      <c r="GG408" s="14">
        <f t="shared" si="461"/>
        <v>175</v>
      </c>
      <c r="GH408" s="14">
        <f t="shared" si="462"/>
        <v>11</v>
      </c>
      <c r="GI408" s="14" t="str">
        <f t="shared" si="445"/>
        <v>HPExt</v>
      </c>
      <c r="GJ408" s="14">
        <f t="shared" si="463"/>
        <v>3395</v>
      </c>
      <c r="GK408" s="14">
        <f t="shared" si="464"/>
        <v>204</v>
      </c>
      <c r="GL408" s="14">
        <f t="shared" si="446"/>
        <v>21120</v>
      </c>
      <c r="GM408" s="14">
        <f t="shared" si="465"/>
        <v>0</v>
      </c>
      <c r="GN408" s="14" t="str">
        <f t="shared" si="466"/>
        <v/>
      </c>
      <c r="GO408" s="25" t="s">
        <v>1471</v>
      </c>
      <c r="GP408" s="14">
        <f t="shared" si="447"/>
        <v>240</v>
      </c>
      <c r="HK408" s="13">
        <v>403</v>
      </c>
      <c r="HL408" s="14">
        <f t="shared" si="467"/>
        <v>17</v>
      </c>
      <c r="HM408" s="14">
        <f t="shared" si="468"/>
        <v>2</v>
      </c>
      <c r="HN408" s="14">
        <f t="shared" si="469"/>
        <v>6</v>
      </c>
      <c r="HO408" s="14">
        <f t="shared" si="470"/>
        <v>4</v>
      </c>
      <c r="HP408" s="14" t="str">
        <f t="shared" si="471"/>
        <v>100级守护灵洗练-Q4-7</v>
      </c>
      <c r="HQ408" s="14">
        <f t="shared" si="472"/>
        <v>2064</v>
      </c>
      <c r="HR408" s="14">
        <f t="shared" si="473"/>
        <v>7</v>
      </c>
      <c r="HS408" s="14">
        <f t="shared" si="474"/>
        <v>500</v>
      </c>
      <c r="HT408" s="14" t="str">
        <f t="shared" si="475"/>
        <v>Crit</v>
      </c>
      <c r="HU408" s="14">
        <f t="shared" si="476"/>
        <v>1.0999999999999999E-2</v>
      </c>
      <c r="HV408" s="14">
        <f t="shared" si="477"/>
        <v>0.03</v>
      </c>
    </row>
    <row r="409" spans="151:230" ht="16.5" x14ac:dyDescent="0.2">
      <c r="EU409" s="13">
        <v>404</v>
      </c>
      <c r="EV409" s="14">
        <f t="shared" si="448"/>
        <v>1</v>
      </c>
      <c r="EW409" s="14">
        <f t="shared" si="449"/>
        <v>404</v>
      </c>
      <c r="EX409" s="14">
        <f t="shared" si="450"/>
        <v>54</v>
      </c>
      <c r="EY409" s="14">
        <f t="shared" si="425"/>
        <v>20</v>
      </c>
      <c r="EZ409" s="14">
        <f t="shared" si="426"/>
        <v>11</v>
      </c>
      <c r="FA409" s="14">
        <f t="shared" si="427"/>
        <v>150</v>
      </c>
      <c r="FB409" s="14">
        <f t="shared" si="428"/>
        <v>2</v>
      </c>
      <c r="FC409" s="14">
        <f t="shared" si="429"/>
        <v>4</v>
      </c>
      <c r="FD409" s="14">
        <f t="shared" si="430"/>
        <v>4</v>
      </c>
      <c r="FE409" s="14" t="b">
        <f t="shared" si="451"/>
        <v>0</v>
      </c>
      <c r="FF409" s="14">
        <f t="shared" si="431"/>
        <v>2011204</v>
      </c>
      <c r="FG409" s="13" t="str">
        <f t="shared" si="432"/>
        <v>150级-优秀寄灵人の裤子</v>
      </c>
      <c r="FH409" s="14">
        <f t="shared" si="433"/>
        <v>1</v>
      </c>
      <c r="FI409" s="14">
        <f t="shared" si="434"/>
        <v>2</v>
      </c>
      <c r="FJ409" s="14">
        <f t="shared" si="435"/>
        <v>150</v>
      </c>
      <c r="FK409" s="14">
        <v>1</v>
      </c>
      <c r="FL409" s="14">
        <f t="shared" si="436"/>
        <v>11</v>
      </c>
      <c r="FM409" s="14">
        <f t="shared" si="452"/>
        <v>4</v>
      </c>
      <c r="FN409" s="14" t="str">
        <f t="shared" si="437"/>
        <v/>
      </c>
      <c r="FO409" s="14">
        <f t="shared" si="438"/>
        <v>210</v>
      </c>
      <c r="FP409" s="14">
        <f t="shared" si="453"/>
        <v>0</v>
      </c>
      <c r="FQ409" s="14">
        <f t="shared" si="454"/>
        <v>355</v>
      </c>
      <c r="FR409" s="14">
        <f t="shared" si="455"/>
        <v>0</v>
      </c>
      <c r="FS409" s="14">
        <f t="shared" si="456"/>
        <v>0</v>
      </c>
      <c r="FT409" s="14">
        <f t="shared" si="457"/>
        <v>21</v>
      </c>
      <c r="FU409" s="14">
        <f t="shared" si="458"/>
        <v>0</v>
      </c>
      <c r="FV409" s="14">
        <f t="shared" si="439"/>
        <v>1112</v>
      </c>
      <c r="FW409" s="14">
        <f t="shared" si="440"/>
        <v>0</v>
      </c>
      <c r="FX409" s="14" t="str">
        <f t="shared" si="441"/>
        <v/>
      </c>
      <c r="FY409" s="25" t="str">
        <f t="shared" si="459"/>
        <v>icon_2011104</v>
      </c>
      <c r="GC409" s="14">
        <f t="shared" si="442"/>
        <v>2</v>
      </c>
      <c r="GD409" s="14">
        <f t="shared" si="443"/>
        <v>0</v>
      </c>
      <c r="GE409" s="14">
        <f t="shared" si="460"/>
        <v>210</v>
      </c>
      <c r="GF409" s="14" t="str">
        <f t="shared" si="444"/>
        <v>DefExt</v>
      </c>
      <c r="GG409" s="14">
        <f t="shared" si="461"/>
        <v>355</v>
      </c>
      <c r="GH409" s="14">
        <f t="shared" si="462"/>
        <v>21</v>
      </c>
      <c r="GI409" s="14" t="str">
        <f t="shared" si="445"/>
        <v/>
      </c>
      <c r="GJ409" s="14" t="str">
        <f t="shared" si="463"/>
        <v/>
      </c>
      <c r="GK409" s="14" t="str">
        <f t="shared" si="464"/>
        <v/>
      </c>
      <c r="GL409" s="14">
        <f t="shared" si="446"/>
        <v>21120</v>
      </c>
      <c r="GM409" s="14">
        <f t="shared" si="465"/>
        <v>0</v>
      </c>
      <c r="GN409" s="14" t="str">
        <f t="shared" si="466"/>
        <v/>
      </c>
      <c r="GO409" s="25" t="s">
        <v>1471</v>
      </c>
      <c r="GP409" s="14">
        <f t="shared" si="447"/>
        <v>240</v>
      </c>
      <c r="HK409" s="13">
        <v>404</v>
      </c>
      <c r="HL409" s="14">
        <f t="shared" si="467"/>
        <v>17</v>
      </c>
      <c r="HM409" s="14">
        <f t="shared" si="468"/>
        <v>2</v>
      </c>
      <c r="HN409" s="14">
        <f t="shared" si="469"/>
        <v>6</v>
      </c>
      <c r="HO409" s="14">
        <f t="shared" si="470"/>
        <v>4</v>
      </c>
      <c r="HP409" s="14" t="str">
        <f t="shared" si="471"/>
        <v>100级守护灵洗练-Q4-8</v>
      </c>
      <c r="HQ409" s="14">
        <f t="shared" si="472"/>
        <v>2064</v>
      </c>
      <c r="HR409" s="14">
        <f t="shared" si="473"/>
        <v>8</v>
      </c>
      <c r="HS409" s="14">
        <f t="shared" si="474"/>
        <v>500</v>
      </c>
      <c r="HT409" s="14" t="str">
        <f t="shared" si="475"/>
        <v>CritRate</v>
      </c>
      <c r="HU409" s="14">
        <f t="shared" si="476"/>
        <v>2.8000000000000001E-2</v>
      </c>
      <c r="HV409" s="14">
        <f t="shared" si="477"/>
        <v>0.08</v>
      </c>
    </row>
    <row r="410" spans="151:230" ht="16.5" x14ac:dyDescent="0.2">
      <c r="EU410" s="13">
        <v>405</v>
      </c>
      <c r="EV410" s="14">
        <f t="shared" si="448"/>
        <v>1</v>
      </c>
      <c r="EW410" s="14">
        <f t="shared" si="449"/>
        <v>405</v>
      </c>
      <c r="EX410" s="14">
        <f t="shared" si="450"/>
        <v>54</v>
      </c>
      <c r="EY410" s="14">
        <f t="shared" si="425"/>
        <v>20</v>
      </c>
      <c r="EZ410" s="14">
        <f t="shared" si="426"/>
        <v>11</v>
      </c>
      <c r="FA410" s="14">
        <f t="shared" si="427"/>
        <v>150</v>
      </c>
      <c r="FB410" s="14">
        <f t="shared" si="428"/>
        <v>2</v>
      </c>
      <c r="FC410" s="14">
        <f t="shared" si="429"/>
        <v>5</v>
      </c>
      <c r="FD410" s="14">
        <f t="shared" si="430"/>
        <v>5</v>
      </c>
      <c r="FE410" s="14" t="b">
        <f t="shared" si="451"/>
        <v>0</v>
      </c>
      <c r="FF410" s="14">
        <f t="shared" si="431"/>
        <v>2011205</v>
      </c>
      <c r="FG410" s="13" t="str">
        <f t="shared" si="432"/>
        <v>150级-优秀寄灵人の鞋子</v>
      </c>
      <c r="FH410" s="14">
        <f t="shared" si="433"/>
        <v>1</v>
      </c>
      <c r="FI410" s="14">
        <f t="shared" si="434"/>
        <v>2</v>
      </c>
      <c r="FJ410" s="14">
        <f t="shared" si="435"/>
        <v>150</v>
      </c>
      <c r="FK410" s="14">
        <v>1</v>
      </c>
      <c r="FL410" s="14">
        <f t="shared" si="436"/>
        <v>11</v>
      </c>
      <c r="FM410" s="14">
        <f t="shared" si="452"/>
        <v>5</v>
      </c>
      <c r="FN410" s="14" t="str">
        <f t="shared" si="437"/>
        <v/>
      </c>
      <c r="FO410" s="14">
        <f t="shared" si="438"/>
        <v>407</v>
      </c>
      <c r="FP410" s="14">
        <f t="shared" si="453"/>
        <v>0</v>
      </c>
      <c r="FQ410" s="14">
        <f t="shared" si="454"/>
        <v>0</v>
      </c>
      <c r="FR410" s="14">
        <f t="shared" si="455"/>
        <v>6790</v>
      </c>
      <c r="FS410" s="14">
        <f t="shared" si="456"/>
        <v>0</v>
      </c>
      <c r="FT410" s="14">
        <f t="shared" si="457"/>
        <v>0</v>
      </c>
      <c r="FU410" s="14">
        <f t="shared" si="458"/>
        <v>407</v>
      </c>
      <c r="FV410" s="14">
        <f t="shared" si="439"/>
        <v>1112</v>
      </c>
      <c r="FW410" s="14">
        <f t="shared" si="440"/>
        <v>0</v>
      </c>
      <c r="FX410" s="14" t="str">
        <f t="shared" si="441"/>
        <v/>
      </c>
      <c r="FY410" s="25" t="str">
        <f t="shared" si="459"/>
        <v>icon_2011105</v>
      </c>
      <c r="GC410" s="14">
        <f t="shared" si="442"/>
        <v>3</v>
      </c>
      <c r="GD410" s="14">
        <f t="shared" si="443"/>
        <v>0</v>
      </c>
      <c r="GE410" s="14">
        <f t="shared" si="460"/>
        <v>407</v>
      </c>
      <c r="GF410" s="14" t="str">
        <f t="shared" si="444"/>
        <v>HPExt</v>
      </c>
      <c r="GG410" s="14">
        <f t="shared" si="461"/>
        <v>6790</v>
      </c>
      <c r="GH410" s="14">
        <f t="shared" si="462"/>
        <v>407</v>
      </c>
      <c r="GI410" s="14" t="str">
        <f t="shared" si="445"/>
        <v/>
      </c>
      <c r="GJ410" s="14" t="str">
        <f t="shared" si="463"/>
        <v/>
      </c>
      <c r="GK410" s="14" t="str">
        <f t="shared" si="464"/>
        <v/>
      </c>
      <c r="GL410" s="14">
        <f t="shared" si="446"/>
        <v>21120</v>
      </c>
      <c r="GM410" s="14">
        <f t="shared" si="465"/>
        <v>0</v>
      </c>
      <c r="GN410" s="14" t="str">
        <f t="shared" si="466"/>
        <v/>
      </c>
      <c r="GO410" s="25" t="s">
        <v>1471</v>
      </c>
      <c r="GP410" s="14">
        <f t="shared" si="447"/>
        <v>240</v>
      </c>
      <c r="HK410" s="13">
        <v>405</v>
      </c>
      <c r="HL410" s="14">
        <f t="shared" si="467"/>
        <v>17</v>
      </c>
      <c r="HM410" s="14">
        <f t="shared" si="468"/>
        <v>2</v>
      </c>
      <c r="HN410" s="14">
        <f t="shared" si="469"/>
        <v>6</v>
      </c>
      <c r="HO410" s="14">
        <f t="shared" si="470"/>
        <v>4</v>
      </c>
      <c r="HP410" s="14" t="str">
        <f t="shared" si="471"/>
        <v>100级守护灵洗练-Q4-9</v>
      </c>
      <c r="HQ410" s="14">
        <f t="shared" si="472"/>
        <v>2064</v>
      </c>
      <c r="HR410" s="14">
        <f t="shared" si="473"/>
        <v>9</v>
      </c>
      <c r="HS410" s="14">
        <f t="shared" si="474"/>
        <v>500</v>
      </c>
      <c r="HT410" s="14" t="str">
        <f t="shared" si="475"/>
        <v>DefIgnor</v>
      </c>
      <c r="HU410" s="14">
        <f t="shared" si="476"/>
        <v>1.0999999999999999E-2</v>
      </c>
      <c r="HV410" s="14">
        <f t="shared" si="477"/>
        <v>0.03</v>
      </c>
    </row>
    <row r="411" spans="151:230" ht="16.5" x14ac:dyDescent="0.2">
      <c r="EU411" s="13">
        <v>406</v>
      </c>
      <c r="EV411" s="14">
        <f t="shared" si="448"/>
        <v>1</v>
      </c>
      <c r="EW411" s="14">
        <f t="shared" si="449"/>
        <v>406</v>
      </c>
      <c r="EX411" s="14">
        <f t="shared" si="450"/>
        <v>54</v>
      </c>
      <c r="EY411" s="14">
        <f t="shared" si="425"/>
        <v>20</v>
      </c>
      <c r="EZ411" s="14">
        <f t="shared" si="426"/>
        <v>11</v>
      </c>
      <c r="FA411" s="14">
        <f t="shared" si="427"/>
        <v>150</v>
      </c>
      <c r="FB411" s="14">
        <f t="shared" si="428"/>
        <v>2</v>
      </c>
      <c r="FC411" s="14">
        <f t="shared" si="429"/>
        <v>6</v>
      </c>
      <c r="FD411" s="14">
        <f t="shared" si="430"/>
        <v>6</v>
      </c>
      <c r="FE411" s="14" t="b">
        <f t="shared" si="451"/>
        <v>0</v>
      </c>
      <c r="FF411" s="14">
        <f t="shared" si="431"/>
        <v>2011206</v>
      </c>
      <c r="FG411" s="13" t="str">
        <f t="shared" si="432"/>
        <v>150级-优秀寄灵人の护手</v>
      </c>
      <c r="FH411" s="14">
        <f t="shared" si="433"/>
        <v>1</v>
      </c>
      <c r="FI411" s="14">
        <f t="shared" si="434"/>
        <v>2</v>
      </c>
      <c r="FJ411" s="14">
        <f t="shared" si="435"/>
        <v>150</v>
      </c>
      <c r="FK411" s="14">
        <v>1</v>
      </c>
      <c r="FL411" s="14">
        <f t="shared" si="436"/>
        <v>11</v>
      </c>
      <c r="FM411" s="14">
        <f t="shared" si="452"/>
        <v>6</v>
      </c>
      <c r="FN411" s="14" t="str">
        <f t="shared" si="437"/>
        <v/>
      </c>
      <c r="FO411" s="14">
        <f t="shared" si="438"/>
        <v>407</v>
      </c>
      <c r="FP411" s="14">
        <f t="shared" si="453"/>
        <v>0</v>
      </c>
      <c r="FQ411" s="14">
        <f t="shared" si="454"/>
        <v>0</v>
      </c>
      <c r="FR411" s="14">
        <f t="shared" si="455"/>
        <v>6790</v>
      </c>
      <c r="FS411" s="14">
        <f t="shared" si="456"/>
        <v>0</v>
      </c>
      <c r="FT411" s="14">
        <f t="shared" si="457"/>
        <v>0</v>
      </c>
      <c r="FU411" s="14">
        <f t="shared" si="458"/>
        <v>407</v>
      </c>
      <c r="FV411" s="14">
        <f t="shared" si="439"/>
        <v>1112</v>
      </c>
      <c r="FW411" s="14">
        <f t="shared" si="440"/>
        <v>0</v>
      </c>
      <c r="FX411" s="14" t="str">
        <f t="shared" si="441"/>
        <v/>
      </c>
      <c r="FY411" s="25" t="str">
        <f t="shared" si="459"/>
        <v>icon_2011106</v>
      </c>
      <c r="GC411" s="14">
        <f t="shared" si="442"/>
        <v>3</v>
      </c>
      <c r="GD411" s="14">
        <f t="shared" si="443"/>
        <v>0</v>
      </c>
      <c r="GE411" s="14">
        <f t="shared" si="460"/>
        <v>407</v>
      </c>
      <c r="GF411" s="14" t="str">
        <f t="shared" si="444"/>
        <v>HPExt</v>
      </c>
      <c r="GG411" s="14">
        <f t="shared" si="461"/>
        <v>6790</v>
      </c>
      <c r="GH411" s="14">
        <f t="shared" si="462"/>
        <v>407</v>
      </c>
      <c r="GI411" s="14" t="str">
        <f t="shared" si="445"/>
        <v/>
      </c>
      <c r="GJ411" s="14" t="str">
        <f t="shared" si="463"/>
        <v/>
      </c>
      <c r="GK411" s="14" t="str">
        <f t="shared" si="464"/>
        <v/>
      </c>
      <c r="GL411" s="14">
        <f t="shared" si="446"/>
        <v>21120</v>
      </c>
      <c r="GM411" s="14">
        <f t="shared" si="465"/>
        <v>0</v>
      </c>
      <c r="GN411" s="14" t="str">
        <f t="shared" si="466"/>
        <v/>
      </c>
      <c r="GO411" s="25" t="s">
        <v>1471</v>
      </c>
      <c r="GP411" s="14">
        <f t="shared" si="447"/>
        <v>240</v>
      </c>
      <c r="HK411" s="13">
        <v>406</v>
      </c>
      <c r="HL411" s="14">
        <f t="shared" si="467"/>
        <v>17</v>
      </c>
      <c r="HM411" s="14">
        <f t="shared" si="468"/>
        <v>2</v>
      </c>
      <c r="HN411" s="14">
        <f t="shared" si="469"/>
        <v>6</v>
      </c>
      <c r="HO411" s="14">
        <f t="shared" si="470"/>
        <v>4</v>
      </c>
      <c r="HP411" s="14" t="str">
        <f t="shared" si="471"/>
        <v>100级守护灵洗练-Q4-10</v>
      </c>
      <c r="HQ411" s="14">
        <f t="shared" si="472"/>
        <v>2064</v>
      </c>
      <c r="HR411" s="14">
        <f t="shared" si="473"/>
        <v>10</v>
      </c>
      <c r="HS411" s="14">
        <f t="shared" si="474"/>
        <v>500</v>
      </c>
      <c r="HT411" s="14" t="str">
        <f t="shared" si="475"/>
        <v>Block</v>
      </c>
      <c r="HU411" s="14">
        <f t="shared" si="476"/>
        <v>1.0999999999999999E-2</v>
      </c>
      <c r="HV411" s="14">
        <f t="shared" si="477"/>
        <v>0.03</v>
      </c>
    </row>
    <row r="412" spans="151:230" ht="16.5" x14ac:dyDescent="0.2">
      <c r="EU412" s="13">
        <v>407</v>
      </c>
      <c r="EV412" s="14">
        <f t="shared" si="448"/>
        <v>1</v>
      </c>
      <c r="EW412" s="14">
        <f t="shared" si="449"/>
        <v>407</v>
      </c>
      <c r="EX412" s="14">
        <f t="shared" si="450"/>
        <v>54</v>
      </c>
      <c r="EY412" s="14">
        <f t="shared" si="425"/>
        <v>20</v>
      </c>
      <c r="EZ412" s="14">
        <f t="shared" si="426"/>
        <v>11</v>
      </c>
      <c r="FA412" s="14">
        <f t="shared" si="427"/>
        <v>150</v>
      </c>
      <c r="FB412" s="14">
        <f t="shared" si="428"/>
        <v>2</v>
      </c>
      <c r="FC412" s="14">
        <f t="shared" si="429"/>
        <v>7</v>
      </c>
      <c r="FD412" s="14">
        <f t="shared" si="430"/>
        <v>7</v>
      </c>
      <c r="FE412" s="14" t="b">
        <f t="shared" si="451"/>
        <v>0</v>
      </c>
      <c r="FF412" s="14">
        <f t="shared" si="431"/>
        <v>2011207</v>
      </c>
      <c r="FG412" s="13" t="str">
        <f t="shared" si="432"/>
        <v>150级-优秀寄灵人の项链</v>
      </c>
      <c r="FH412" s="14">
        <f t="shared" si="433"/>
        <v>1</v>
      </c>
      <c r="FI412" s="14">
        <f t="shared" si="434"/>
        <v>2</v>
      </c>
      <c r="FJ412" s="14">
        <f t="shared" si="435"/>
        <v>150</v>
      </c>
      <c r="FK412" s="14">
        <v>1</v>
      </c>
      <c r="FL412" s="14">
        <f t="shared" si="436"/>
        <v>11</v>
      </c>
      <c r="FM412" s="14">
        <f t="shared" si="452"/>
        <v>7</v>
      </c>
      <c r="FN412" s="14" t="str">
        <f t="shared" si="437"/>
        <v/>
      </c>
      <c r="FO412" s="14">
        <f t="shared" si="438"/>
        <v>320</v>
      </c>
      <c r="FP412" s="14">
        <f t="shared" si="453"/>
        <v>470</v>
      </c>
      <c r="FQ412" s="14">
        <f t="shared" si="454"/>
        <v>295</v>
      </c>
      <c r="FR412" s="14">
        <f t="shared" si="455"/>
        <v>0</v>
      </c>
      <c r="FS412" s="14">
        <f t="shared" si="456"/>
        <v>28</v>
      </c>
      <c r="FT412" s="14">
        <f t="shared" si="457"/>
        <v>18</v>
      </c>
      <c r="FU412" s="14">
        <f t="shared" si="458"/>
        <v>0</v>
      </c>
      <c r="FV412" s="14">
        <f t="shared" si="439"/>
        <v>1112</v>
      </c>
      <c r="FW412" s="14">
        <f t="shared" si="440"/>
        <v>0</v>
      </c>
      <c r="FX412" s="14" t="str">
        <f t="shared" si="441"/>
        <v/>
      </c>
      <c r="FY412" s="25" t="str">
        <f t="shared" si="459"/>
        <v>icon_2011107</v>
      </c>
      <c r="GC412" s="14">
        <f t="shared" si="442"/>
        <v>1</v>
      </c>
      <c r="GD412" s="14">
        <f t="shared" si="443"/>
        <v>2</v>
      </c>
      <c r="GE412" s="14">
        <f t="shared" si="460"/>
        <v>320</v>
      </c>
      <c r="GF412" s="14" t="str">
        <f t="shared" si="444"/>
        <v>AtkExt</v>
      </c>
      <c r="GG412" s="14">
        <f t="shared" si="461"/>
        <v>470</v>
      </c>
      <c r="GH412" s="14">
        <f t="shared" si="462"/>
        <v>28</v>
      </c>
      <c r="GI412" s="14" t="str">
        <f t="shared" si="445"/>
        <v>DefExt</v>
      </c>
      <c r="GJ412" s="14">
        <f t="shared" si="463"/>
        <v>295</v>
      </c>
      <c r="GK412" s="14">
        <f t="shared" si="464"/>
        <v>18</v>
      </c>
      <c r="GL412" s="14">
        <f t="shared" si="446"/>
        <v>21120</v>
      </c>
      <c r="GM412" s="14">
        <f t="shared" si="465"/>
        <v>0</v>
      </c>
      <c r="GN412" s="14" t="str">
        <f t="shared" si="466"/>
        <v/>
      </c>
      <c r="GO412" s="25" t="s">
        <v>1471</v>
      </c>
      <c r="GP412" s="14">
        <f t="shared" si="447"/>
        <v>360</v>
      </c>
      <c r="HK412" s="13">
        <v>407</v>
      </c>
      <c r="HL412" s="14">
        <f t="shared" si="467"/>
        <v>17</v>
      </c>
      <c r="HM412" s="14">
        <f t="shared" si="468"/>
        <v>2</v>
      </c>
      <c r="HN412" s="14">
        <f t="shared" si="469"/>
        <v>6</v>
      </c>
      <c r="HO412" s="14">
        <f t="shared" si="470"/>
        <v>4</v>
      </c>
      <c r="HP412" s="14" t="str">
        <f t="shared" si="471"/>
        <v>100级守护灵洗练-Q4-11</v>
      </c>
      <c r="HQ412" s="14">
        <f t="shared" si="472"/>
        <v>2064</v>
      </c>
      <c r="HR412" s="14">
        <f t="shared" si="473"/>
        <v>11</v>
      </c>
      <c r="HS412" s="14">
        <f t="shared" si="474"/>
        <v>500</v>
      </c>
      <c r="HT412" s="14" t="str">
        <f t="shared" si="475"/>
        <v>EffectHit</v>
      </c>
      <c r="HU412" s="14">
        <f t="shared" si="476"/>
        <v>1.7999999999999999E-2</v>
      </c>
      <c r="HV412" s="14">
        <f t="shared" si="477"/>
        <v>0.05</v>
      </c>
    </row>
    <row r="413" spans="151:230" ht="16.5" x14ac:dyDescent="0.2">
      <c r="EU413" s="13">
        <v>408</v>
      </c>
      <c r="EV413" s="14">
        <f t="shared" si="448"/>
        <v>1</v>
      </c>
      <c r="EW413" s="14">
        <f t="shared" si="449"/>
        <v>408</v>
      </c>
      <c r="EX413" s="14">
        <f t="shared" si="450"/>
        <v>54</v>
      </c>
      <c r="EY413" s="14">
        <f t="shared" si="425"/>
        <v>20</v>
      </c>
      <c r="EZ413" s="14">
        <f t="shared" si="426"/>
        <v>11</v>
      </c>
      <c r="FA413" s="14">
        <f t="shared" si="427"/>
        <v>150</v>
      </c>
      <c r="FB413" s="14">
        <f t="shared" si="428"/>
        <v>2</v>
      </c>
      <c r="FC413" s="14">
        <f t="shared" si="429"/>
        <v>8</v>
      </c>
      <c r="FD413" s="14">
        <f t="shared" si="430"/>
        <v>8</v>
      </c>
      <c r="FE413" s="14" t="b">
        <f t="shared" si="451"/>
        <v>0</v>
      </c>
      <c r="FF413" s="14">
        <f t="shared" si="431"/>
        <v>2011208</v>
      </c>
      <c r="FG413" s="13" t="str">
        <f t="shared" si="432"/>
        <v>150级-优秀寄灵人の戒指</v>
      </c>
      <c r="FH413" s="14">
        <f t="shared" si="433"/>
        <v>1</v>
      </c>
      <c r="FI413" s="14">
        <f t="shared" si="434"/>
        <v>2</v>
      </c>
      <c r="FJ413" s="14">
        <f t="shared" si="435"/>
        <v>150</v>
      </c>
      <c r="FK413" s="14">
        <v>1</v>
      </c>
      <c r="FL413" s="14">
        <f t="shared" si="436"/>
        <v>11</v>
      </c>
      <c r="FM413" s="14">
        <f t="shared" si="452"/>
        <v>8</v>
      </c>
      <c r="FN413" s="14" t="str">
        <f t="shared" si="437"/>
        <v/>
      </c>
      <c r="FO413" s="14">
        <f t="shared" si="438"/>
        <v>480</v>
      </c>
      <c r="FP413" s="14">
        <f t="shared" si="453"/>
        <v>470</v>
      </c>
      <c r="FQ413" s="14">
        <f t="shared" si="454"/>
        <v>0</v>
      </c>
      <c r="FR413" s="14">
        <f t="shared" si="455"/>
        <v>5660</v>
      </c>
      <c r="FS413" s="14">
        <f t="shared" si="456"/>
        <v>28</v>
      </c>
      <c r="FT413" s="14">
        <f t="shared" si="457"/>
        <v>0</v>
      </c>
      <c r="FU413" s="14">
        <f t="shared" si="458"/>
        <v>340</v>
      </c>
      <c r="FV413" s="14">
        <f t="shared" si="439"/>
        <v>1112</v>
      </c>
      <c r="FW413" s="14">
        <f t="shared" si="440"/>
        <v>0</v>
      </c>
      <c r="FX413" s="14" t="str">
        <f t="shared" si="441"/>
        <v/>
      </c>
      <c r="FY413" s="25" t="str">
        <f t="shared" si="459"/>
        <v>icon_2011108</v>
      </c>
      <c r="GC413" s="14">
        <f t="shared" si="442"/>
        <v>1</v>
      </c>
      <c r="GD413" s="14">
        <f t="shared" si="443"/>
        <v>3</v>
      </c>
      <c r="GE413" s="14">
        <f t="shared" si="460"/>
        <v>480</v>
      </c>
      <c r="GF413" s="14" t="str">
        <f t="shared" si="444"/>
        <v>AtkExt</v>
      </c>
      <c r="GG413" s="14">
        <f t="shared" si="461"/>
        <v>470</v>
      </c>
      <c r="GH413" s="14">
        <f t="shared" si="462"/>
        <v>28</v>
      </c>
      <c r="GI413" s="14" t="str">
        <f t="shared" si="445"/>
        <v>HPExt</v>
      </c>
      <c r="GJ413" s="14">
        <f t="shared" si="463"/>
        <v>5660</v>
      </c>
      <c r="GK413" s="14">
        <f t="shared" si="464"/>
        <v>340</v>
      </c>
      <c r="GL413" s="14">
        <f t="shared" si="446"/>
        <v>21120</v>
      </c>
      <c r="GM413" s="14">
        <f t="shared" si="465"/>
        <v>0</v>
      </c>
      <c r="GN413" s="14" t="str">
        <f t="shared" si="466"/>
        <v/>
      </c>
      <c r="GO413" s="25" t="s">
        <v>1471</v>
      </c>
      <c r="GP413" s="14">
        <f t="shared" si="447"/>
        <v>360</v>
      </c>
      <c r="HK413" s="13">
        <v>408</v>
      </c>
      <c r="HL413" s="14">
        <f t="shared" si="467"/>
        <v>17</v>
      </c>
      <c r="HM413" s="14">
        <f t="shared" si="468"/>
        <v>2</v>
      </c>
      <c r="HN413" s="14">
        <f t="shared" si="469"/>
        <v>6</v>
      </c>
      <c r="HO413" s="14">
        <f t="shared" si="470"/>
        <v>4</v>
      </c>
      <c r="HP413" s="14" t="str">
        <f t="shared" si="471"/>
        <v>100级守护灵洗练-Q4-12</v>
      </c>
      <c r="HQ413" s="14">
        <f t="shared" si="472"/>
        <v>2064</v>
      </c>
      <c r="HR413" s="14">
        <f t="shared" si="473"/>
        <v>12</v>
      </c>
      <c r="HS413" s="14">
        <f t="shared" si="474"/>
        <v>500</v>
      </c>
      <c r="HT413" s="14" t="str">
        <f t="shared" si="475"/>
        <v>EffectResist</v>
      </c>
      <c r="HU413" s="14">
        <f t="shared" si="476"/>
        <v>1.7999999999999999E-2</v>
      </c>
      <c r="HV413" s="14">
        <f t="shared" si="477"/>
        <v>0.05</v>
      </c>
    </row>
    <row r="414" spans="151:230" ht="16.5" x14ac:dyDescent="0.2">
      <c r="EU414" s="13">
        <v>409</v>
      </c>
      <c r="EV414" s="14">
        <f t="shared" si="448"/>
        <v>1</v>
      </c>
      <c r="EW414" s="14">
        <f t="shared" si="449"/>
        <v>409</v>
      </c>
      <c r="EX414" s="14">
        <f t="shared" si="450"/>
        <v>55</v>
      </c>
      <c r="EY414" s="14">
        <f t="shared" si="425"/>
        <v>30</v>
      </c>
      <c r="EZ414" s="14">
        <f t="shared" si="426"/>
        <v>11</v>
      </c>
      <c r="FA414" s="14">
        <f t="shared" si="427"/>
        <v>150</v>
      </c>
      <c r="FB414" s="14">
        <f t="shared" si="428"/>
        <v>3</v>
      </c>
      <c r="FC414" s="14">
        <f t="shared" si="429"/>
        <v>1</v>
      </c>
      <c r="FD414" s="14">
        <f t="shared" si="430"/>
        <v>1</v>
      </c>
      <c r="FE414" s="14" t="b">
        <f t="shared" si="451"/>
        <v>0</v>
      </c>
      <c r="FF414" s="14">
        <f t="shared" si="431"/>
        <v>2011301</v>
      </c>
      <c r="FG414" s="13" t="str">
        <f t="shared" si="432"/>
        <v>150级-精良寄灵人の灵器</v>
      </c>
      <c r="FH414" s="14">
        <f t="shared" si="433"/>
        <v>1</v>
      </c>
      <c r="FI414" s="14">
        <f t="shared" si="434"/>
        <v>3</v>
      </c>
      <c r="FJ414" s="14">
        <f t="shared" si="435"/>
        <v>150</v>
      </c>
      <c r="FK414" s="14">
        <v>1</v>
      </c>
      <c r="FL414" s="14">
        <f t="shared" si="436"/>
        <v>11</v>
      </c>
      <c r="FM414" s="14">
        <f t="shared" si="452"/>
        <v>1</v>
      </c>
      <c r="FN414" s="14" t="str">
        <f t="shared" si="437"/>
        <v/>
      </c>
      <c r="FO414" s="14">
        <f t="shared" si="438"/>
        <v>515</v>
      </c>
      <c r="FP414" s="14">
        <f t="shared" si="453"/>
        <v>1715</v>
      </c>
      <c r="FQ414" s="14">
        <f t="shared" si="454"/>
        <v>0</v>
      </c>
      <c r="FR414" s="14">
        <f t="shared" si="455"/>
        <v>0</v>
      </c>
      <c r="FS414" s="14">
        <f t="shared" si="456"/>
        <v>103</v>
      </c>
      <c r="FT414" s="14">
        <f t="shared" si="457"/>
        <v>0</v>
      </c>
      <c r="FU414" s="14">
        <f t="shared" si="458"/>
        <v>0</v>
      </c>
      <c r="FV414" s="14">
        <f t="shared" si="439"/>
        <v>1113</v>
      </c>
      <c r="FW414" s="14">
        <f t="shared" si="440"/>
        <v>6</v>
      </c>
      <c r="FX414" s="14">
        <f t="shared" si="441"/>
        <v>1113</v>
      </c>
      <c r="FY414" s="25" t="str">
        <f t="shared" si="459"/>
        <v>icon_2011101</v>
      </c>
      <c r="GC414" s="14">
        <f t="shared" si="442"/>
        <v>1</v>
      </c>
      <c r="GD414" s="14">
        <f t="shared" si="443"/>
        <v>0</v>
      </c>
      <c r="GE414" s="14">
        <f t="shared" si="460"/>
        <v>515</v>
      </c>
      <c r="GF414" s="14" t="str">
        <f t="shared" si="444"/>
        <v>AtkExt</v>
      </c>
      <c r="GG414" s="14">
        <f t="shared" si="461"/>
        <v>1715</v>
      </c>
      <c r="GH414" s="14">
        <f t="shared" si="462"/>
        <v>103</v>
      </c>
      <c r="GI414" s="14" t="str">
        <f t="shared" si="445"/>
        <v/>
      </c>
      <c r="GJ414" s="14" t="str">
        <f t="shared" si="463"/>
        <v/>
      </c>
      <c r="GK414" s="14" t="str">
        <f t="shared" si="464"/>
        <v/>
      </c>
      <c r="GL414" s="14">
        <f t="shared" si="446"/>
        <v>21130</v>
      </c>
      <c r="GM414" s="14">
        <f t="shared" si="465"/>
        <v>6</v>
      </c>
      <c r="GN414" s="14">
        <f t="shared" si="466"/>
        <v>1113</v>
      </c>
      <c r="GO414" s="25" t="s">
        <v>1471</v>
      </c>
      <c r="GP414" s="14">
        <f t="shared" si="447"/>
        <v>800</v>
      </c>
      <c r="HK414" s="13">
        <v>409</v>
      </c>
      <c r="HL414" s="14">
        <f t="shared" si="467"/>
        <v>18</v>
      </c>
      <c r="HM414" s="14">
        <f t="shared" si="468"/>
        <v>2</v>
      </c>
      <c r="HN414" s="14">
        <f t="shared" si="469"/>
        <v>7</v>
      </c>
      <c r="HO414" s="14">
        <f t="shared" si="470"/>
        <v>3</v>
      </c>
      <c r="HP414" s="14" t="str">
        <f t="shared" si="471"/>
        <v>110级守护灵洗练-Q3-1</v>
      </c>
      <c r="HQ414" s="14">
        <f t="shared" si="472"/>
        <v>2073</v>
      </c>
      <c r="HR414" s="14">
        <f t="shared" si="473"/>
        <v>1</v>
      </c>
      <c r="HS414" s="14">
        <f t="shared" si="474"/>
        <v>1800</v>
      </c>
      <c r="HT414" s="14" t="str">
        <f t="shared" si="475"/>
        <v>AtkExt</v>
      </c>
      <c r="HU414" s="14">
        <f t="shared" si="476"/>
        <v>182</v>
      </c>
      <c r="HV414" s="14">
        <f t="shared" si="477"/>
        <v>522</v>
      </c>
    </row>
    <row r="415" spans="151:230" ht="16.5" x14ac:dyDescent="0.2">
      <c r="EU415" s="13">
        <v>410</v>
      </c>
      <c r="EV415" s="14">
        <f t="shared" si="448"/>
        <v>1</v>
      </c>
      <c r="EW415" s="14">
        <f t="shared" si="449"/>
        <v>410</v>
      </c>
      <c r="EX415" s="14">
        <f t="shared" si="450"/>
        <v>55</v>
      </c>
      <c r="EY415" s="14">
        <f t="shared" si="425"/>
        <v>30</v>
      </c>
      <c r="EZ415" s="14">
        <f t="shared" si="426"/>
        <v>11</v>
      </c>
      <c r="FA415" s="14">
        <f t="shared" si="427"/>
        <v>150</v>
      </c>
      <c r="FB415" s="14">
        <f t="shared" si="428"/>
        <v>3</v>
      </c>
      <c r="FC415" s="14">
        <f t="shared" si="429"/>
        <v>2</v>
      </c>
      <c r="FD415" s="14">
        <f t="shared" si="430"/>
        <v>2</v>
      </c>
      <c r="FE415" s="14" t="b">
        <f t="shared" si="451"/>
        <v>0</v>
      </c>
      <c r="FF415" s="14">
        <f t="shared" si="431"/>
        <v>2011302</v>
      </c>
      <c r="FG415" s="13" t="str">
        <f t="shared" si="432"/>
        <v>150级-精良寄灵人の头盔</v>
      </c>
      <c r="FH415" s="14">
        <f t="shared" si="433"/>
        <v>1</v>
      </c>
      <c r="FI415" s="14">
        <f t="shared" si="434"/>
        <v>3</v>
      </c>
      <c r="FJ415" s="14">
        <f t="shared" si="435"/>
        <v>150</v>
      </c>
      <c r="FK415" s="14">
        <v>1</v>
      </c>
      <c r="FL415" s="14">
        <f t="shared" si="436"/>
        <v>11</v>
      </c>
      <c r="FM415" s="14">
        <f t="shared" si="452"/>
        <v>2</v>
      </c>
      <c r="FN415" s="14" t="str">
        <f t="shared" si="437"/>
        <v/>
      </c>
      <c r="FO415" s="14">
        <f t="shared" si="438"/>
        <v>260</v>
      </c>
      <c r="FP415" s="14">
        <f t="shared" si="453"/>
        <v>0</v>
      </c>
      <c r="FQ415" s="14">
        <f t="shared" si="454"/>
        <v>430</v>
      </c>
      <c r="FR415" s="14">
        <f t="shared" si="455"/>
        <v>0</v>
      </c>
      <c r="FS415" s="14">
        <f t="shared" si="456"/>
        <v>0</v>
      </c>
      <c r="FT415" s="14">
        <f t="shared" si="457"/>
        <v>26</v>
      </c>
      <c r="FU415" s="14">
        <f t="shared" si="458"/>
        <v>0</v>
      </c>
      <c r="FV415" s="14">
        <f t="shared" si="439"/>
        <v>1113</v>
      </c>
      <c r="FW415" s="14">
        <f t="shared" si="440"/>
        <v>6</v>
      </c>
      <c r="FX415" s="14">
        <f t="shared" si="441"/>
        <v>1113</v>
      </c>
      <c r="FY415" s="25" t="str">
        <f t="shared" si="459"/>
        <v>icon_2011102</v>
      </c>
      <c r="GC415" s="14">
        <f t="shared" si="442"/>
        <v>2</v>
      </c>
      <c r="GD415" s="14">
        <f t="shared" si="443"/>
        <v>0</v>
      </c>
      <c r="GE415" s="14">
        <f t="shared" si="460"/>
        <v>260</v>
      </c>
      <c r="GF415" s="14" t="str">
        <f t="shared" si="444"/>
        <v>DefExt</v>
      </c>
      <c r="GG415" s="14">
        <f t="shared" si="461"/>
        <v>430</v>
      </c>
      <c r="GH415" s="14">
        <f t="shared" si="462"/>
        <v>26</v>
      </c>
      <c r="GI415" s="14" t="str">
        <f t="shared" si="445"/>
        <v/>
      </c>
      <c r="GJ415" s="14" t="str">
        <f t="shared" si="463"/>
        <v/>
      </c>
      <c r="GK415" s="14" t="str">
        <f t="shared" si="464"/>
        <v/>
      </c>
      <c r="GL415" s="14">
        <f t="shared" si="446"/>
        <v>21130</v>
      </c>
      <c r="GM415" s="14">
        <f t="shared" si="465"/>
        <v>6</v>
      </c>
      <c r="GN415" s="14">
        <f t="shared" si="466"/>
        <v>1113</v>
      </c>
      <c r="GO415" s="25" t="s">
        <v>1471</v>
      </c>
      <c r="GP415" s="14">
        <f t="shared" si="447"/>
        <v>400</v>
      </c>
      <c r="HK415" s="13">
        <v>410</v>
      </c>
      <c r="HL415" s="14">
        <f t="shared" si="467"/>
        <v>18</v>
      </c>
      <c r="HM415" s="14">
        <f t="shared" si="468"/>
        <v>2</v>
      </c>
      <c r="HN415" s="14">
        <f t="shared" si="469"/>
        <v>7</v>
      </c>
      <c r="HO415" s="14">
        <f t="shared" si="470"/>
        <v>3</v>
      </c>
      <c r="HP415" s="14" t="str">
        <f t="shared" si="471"/>
        <v>110级守护灵洗练-Q3-2</v>
      </c>
      <c r="HQ415" s="14">
        <f t="shared" si="472"/>
        <v>2073</v>
      </c>
      <c r="HR415" s="14">
        <f t="shared" si="473"/>
        <v>2</v>
      </c>
      <c r="HS415" s="14">
        <f t="shared" si="474"/>
        <v>1800</v>
      </c>
      <c r="HT415" s="14" t="str">
        <f t="shared" si="475"/>
        <v>DefExt</v>
      </c>
      <c r="HU415" s="14">
        <f t="shared" si="476"/>
        <v>64</v>
      </c>
      <c r="HV415" s="14">
        <f t="shared" si="477"/>
        <v>183</v>
      </c>
    </row>
    <row r="416" spans="151:230" ht="16.5" x14ac:dyDescent="0.2">
      <c r="EU416" s="13">
        <v>411</v>
      </c>
      <c r="EV416" s="14">
        <f t="shared" si="448"/>
        <v>1</v>
      </c>
      <c r="EW416" s="14">
        <f t="shared" si="449"/>
        <v>411</v>
      </c>
      <c r="EX416" s="14">
        <f t="shared" si="450"/>
        <v>55</v>
      </c>
      <c r="EY416" s="14">
        <f t="shared" si="425"/>
        <v>30</v>
      </c>
      <c r="EZ416" s="14">
        <f t="shared" si="426"/>
        <v>11</v>
      </c>
      <c r="FA416" s="14">
        <f t="shared" si="427"/>
        <v>150</v>
      </c>
      <c r="FB416" s="14">
        <f t="shared" si="428"/>
        <v>3</v>
      </c>
      <c r="FC416" s="14">
        <f t="shared" si="429"/>
        <v>3</v>
      </c>
      <c r="FD416" s="14">
        <f t="shared" si="430"/>
        <v>3</v>
      </c>
      <c r="FE416" s="14" t="b">
        <f t="shared" si="451"/>
        <v>0</v>
      </c>
      <c r="FF416" s="14">
        <f t="shared" si="431"/>
        <v>2011303</v>
      </c>
      <c r="FG416" s="13" t="str">
        <f t="shared" si="432"/>
        <v>150级-精良寄灵人の铠甲</v>
      </c>
      <c r="FH416" s="14">
        <f t="shared" si="433"/>
        <v>1</v>
      </c>
      <c r="FI416" s="14">
        <f t="shared" si="434"/>
        <v>3</v>
      </c>
      <c r="FJ416" s="14">
        <f t="shared" si="435"/>
        <v>150</v>
      </c>
      <c r="FK416" s="14">
        <v>1</v>
      </c>
      <c r="FL416" s="14">
        <f t="shared" si="436"/>
        <v>11</v>
      </c>
      <c r="FM416" s="14">
        <f t="shared" si="452"/>
        <v>3</v>
      </c>
      <c r="FN416" s="14" t="str">
        <f t="shared" si="437"/>
        <v/>
      </c>
      <c r="FO416" s="14">
        <f t="shared" si="438"/>
        <v>377</v>
      </c>
      <c r="FP416" s="14">
        <f t="shared" si="453"/>
        <v>0</v>
      </c>
      <c r="FQ416" s="14">
        <f t="shared" si="454"/>
        <v>215</v>
      </c>
      <c r="FR416" s="14">
        <f t="shared" si="455"/>
        <v>4120</v>
      </c>
      <c r="FS416" s="14">
        <f t="shared" si="456"/>
        <v>0</v>
      </c>
      <c r="FT416" s="14">
        <f t="shared" si="457"/>
        <v>13</v>
      </c>
      <c r="FU416" s="14">
        <f t="shared" si="458"/>
        <v>247</v>
      </c>
      <c r="FV416" s="14">
        <f t="shared" si="439"/>
        <v>1113</v>
      </c>
      <c r="FW416" s="14">
        <f t="shared" si="440"/>
        <v>6</v>
      </c>
      <c r="FX416" s="14">
        <f t="shared" si="441"/>
        <v>1113</v>
      </c>
      <c r="FY416" s="25" t="str">
        <f t="shared" si="459"/>
        <v>icon_2011103</v>
      </c>
      <c r="GC416" s="14">
        <f t="shared" si="442"/>
        <v>2</v>
      </c>
      <c r="GD416" s="14">
        <f t="shared" si="443"/>
        <v>3</v>
      </c>
      <c r="GE416" s="14">
        <f t="shared" si="460"/>
        <v>377</v>
      </c>
      <c r="GF416" s="14" t="str">
        <f t="shared" si="444"/>
        <v>DefExt</v>
      </c>
      <c r="GG416" s="14">
        <f t="shared" si="461"/>
        <v>215</v>
      </c>
      <c r="GH416" s="14">
        <f t="shared" si="462"/>
        <v>13</v>
      </c>
      <c r="GI416" s="14" t="str">
        <f t="shared" si="445"/>
        <v>HPExt</v>
      </c>
      <c r="GJ416" s="14">
        <f t="shared" si="463"/>
        <v>4120</v>
      </c>
      <c r="GK416" s="14">
        <f t="shared" si="464"/>
        <v>247</v>
      </c>
      <c r="GL416" s="14">
        <f t="shared" si="446"/>
        <v>21130</v>
      </c>
      <c r="GM416" s="14">
        <f t="shared" si="465"/>
        <v>6</v>
      </c>
      <c r="GN416" s="14">
        <f t="shared" si="466"/>
        <v>1113</v>
      </c>
      <c r="GO416" s="25" t="s">
        <v>1471</v>
      </c>
      <c r="GP416" s="14">
        <f t="shared" si="447"/>
        <v>400</v>
      </c>
      <c r="HK416" s="13">
        <v>411</v>
      </c>
      <c r="HL416" s="14">
        <f t="shared" si="467"/>
        <v>18</v>
      </c>
      <c r="HM416" s="14">
        <f t="shared" si="468"/>
        <v>2</v>
      </c>
      <c r="HN416" s="14">
        <f t="shared" si="469"/>
        <v>7</v>
      </c>
      <c r="HO416" s="14">
        <f t="shared" si="470"/>
        <v>3</v>
      </c>
      <c r="HP416" s="14" t="str">
        <f t="shared" si="471"/>
        <v>110级守护灵洗练-Q3-3</v>
      </c>
      <c r="HQ416" s="14">
        <f t="shared" si="472"/>
        <v>2073</v>
      </c>
      <c r="HR416" s="14">
        <f t="shared" si="473"/>
        <v>3</v>
      </c>
      <c r="HS416" s="14">
        <f t="shared" si="474"/>
        <v>2000</v>
      </c>
      <c r="HT416" s="14" t="str">
        <f t="shared" si="475"/>
        <v>HPExt</v>
      </c>
      <c r="HU416" s="14">
        <f t="shared" si="476"/>
        <v>1447</v>
      </c>
      <c r="HV416" s="14">
        <f t="shared" si="477"/>
        <v>4136</v>
      </c>
    </row>
    <row r="417" spans="151:230" ht="16.5" x14ac:dyDescent="0.2">
      <c r="EU417" s="13">
        <v>412</v>
      </c>
      <c r="EV417" s="14">
        <f t="shared" si="448"/>
        <v>1</v>
      </c>
      <c r="EW417" s="14">
        <f t="shared" si="449"/>
        <v>412</v>
      </c>
      <c r="EX417" s="14">
        <f t="shared" si="450"/>
        <v>55</v>
      </c>
      <c r="EY417" s="14">
        <f t="shared" si="425"/>
        <v>30</v>
      </c>
      <c r="EZ417" s="14">
        <f t="shared" si="426"/>
        <v>11</v>
      </c>
      <c r="FA417" s="14">
        <f t="shared" si="427"/>
        <v>150</v>
      </c>
      <c r="FB417" s="14">
        <f t="shared" si="428"/>
        <v>3</v>
      </c>
      <c r="FC417" s="14">
        <f t="shared" si="429"/>
        <v>4</v>
      </c>
      <c r="FD417" s="14">
        <f t="shared" si="430"/>
        <v>4</v>
      </c>
      <c r="FE417" s="14" t="b">
        <f t="shared" si="451"/>
        <v>0</v>
      </c>
      <c r="FF417" s="14">
        <f t="shared" si="431"/>
        <v>2011304</v>
      </c>
      <c r="FG417" s="13" t="str">
        <f t="shared" si="432"/>
        <v>150级-精良寄灵人の裤子</v>
      </c>
      <c r="FH417" s="14">
        <f t="shared" si="433"/>
        <v>1</v>
      </c>
      <c r="FI417" s="14">
        <f t="shared" si="434"/>
        <v>3</v>
      </c>
      <c r="FJ417" s="14">
        <f t="shared" si="435"/>
        <v>150</v>
      </c>
      <c r="FK417" s="14">
        <v>1</v>
      </c>
      <c r="FL417" s="14">
        <f t="shared" si="436"/>
        <v>11</v>
      </c>
      <c r="FM417" s="14">
        <f t="shared" si="452"/>
        <v>4</v>
      </c>
      <c r="FN417" s="14" t="str">
        <f t="shared" si="437"/>
        <v/>
      </c>
      <c r="FO417" s="14">
        <f t="shared" si="438"/>
        <v>260</v>
      </c>
      <c r="FP417" s="14">
        <f t="shared" si="453"/>
        <v>0</v>
      </c>
      <c r="FQ417" s="14">
        <f t="shared" si="454"/>
        <v>430</v>
      </c>
      <c r="FR417" s="14">
        <f t="shared" si="455"/>
        <v>0</v>
      </c>
      <c r="FS417" s="14">
        <f t="shared" si="456"/>
        <v>0</v>
      </c>
      <c r="FT417" s="14">
        <f t="shared" si="457"/>
        <v>26</v>
      </c>
      <c r="FU417" s="14">
        <f t="shared" si="458"/>
        <v>0</v>
      </c>
      <c r="FV417" s="14">
        <f t="shared" si="439"/>
        <v>1113</v>
      </c>
      <c r="FW417" s="14">
        <f t="shared" si="440"/>
        <v>6</v>
      </c>
      <c r="FX417" s="14">
        <f t="shared" si="441"/>
        <v>1113</v>
      </c>
      <c r="FY417" s="25" t="str">
        <f t="shared" si="459"/>
        <v>icon_2011104</v>
      </c>
      <c r="GC417" s="14">
        <f t="shared" si="442"/>
        <v>2</v>
      </c>
      <c r="GD417" s="14">
        <f t="shared" si="443"/>
        <v>0</v>
      </c>
      <c r="GE417" s="14">
        <f t="shared" si="460"/>
        <v>260</v>
      </c>
      <c r="GF417" s="14" t="str">
        <f t="shared" si="444"/>
        <v>DefExt</v>
      </c>
      <c r="GG417" s="14">
        <f t="shared" si="461"/>
        <v>430</v>
      </c>
      <c r="GH417" s="14">
        <f t="shared" si="462"/>
        <v>26</v>
      </c>
      <c r="GI417" s="14" t="str">
        <f t="shared" si="445"/>
        <v/>
      </c>
      <c r="GJ417" s="14" t="str">
        <f t="shared" si="463"/>
        <v/>
      </c>
      <c r="GK417" s="14" t="str">
        <f t="shared" si="464"/>
        <v/>
      </c>
      <c r="GL417" s="14">
        <f t="shared" si="446"/>
        <v>21130</v>
      </c>
      <c r="GM417" s="14">
        <f t="shared" si="465"/>
        <v>6</v>
      </c>
      <c r="GN417" s="14">
        <f t="shared" si="466"/>
        <v>1113</v>
      </c>
      <c r="GO417" s="25" t="s">
        <v>1471</v>
      </c>
      <c r="GP417" s="14">
        <f t="shared" si="447"/>
        <v>400</v>
      </c>
      <c r="HK417" s="13">
        <v>412</v>
      </c>
      <c r="HL417" s="14">
        <f t="shared" si="467"/>
        <v>18</v>
      </c>
      <c r="HM417" s="14">
        <f t="shared" si="468"/>
        <v>2</v>
      </c>
      <c r="HN417" s="14">
        <f t="shared" si="469"/>
        <v>7</v>
      </c>
      <c r="HO417" s="14">
        <f t="shared" si="470"/>
        <v>3</v>
      </c>
      <c r="HP417" s="14" t="str">
        <f t="shared" si="471"/>
        <v>110级守护灵洗练-Q3-4</v>
      </c>
      <c r="HQ417" s="14">
        <f t="shared" si="472"/>
        <v>2073</v>
      </c>
      <c r="HR417" s="14">
        <f t="shared" si="473"/>
        <v>4</v>
      </c>
      <c r="HS417" s="14">
        <f t="shared" si="474"/>
        <v>500</v>
      </c>
      <c r="HT417" s="14" t="str">
        <f t="shared" si="475"/>
        <v>AtkRate</v>
      </c>
      <c r="HU417" s="14">
        <f t="shared" si="476"/>
        <v>1.4E-2</v>
      </c>
      <c r="HV417" s="14">
        <f t="shared" si="477"/>
        <v>0.04</v>
      </c>
    </row>
    <row r="418" spans="151:230" ht="16.5" x14ac:dyDescent="0.2">
      <c r="EU418" s="13">
        <v>413</v>
      </c>
      <c r="EV418" s="14">
        <f t="shared" si="448"/>
        <v>1</v>
      </c>
      <c r="EW418" s="14">
        <f t="shared" si="449"/>
        <v>413</v>
      </c>
      <c r="EX418" s="14">
        <f t="shared" si="450"/>
        <v>55</v>
      </c>
      <c r="EY418" s="14">
        <f t="shared" si="425"/>
        <v>30</v>
      </c>
      <c r="EZ418" s="14">
        <f t="shared" si="426"/>
        <v>11</v>
      </c>
      <c r="FA418" s="14">
        <f t="shared" si="427"/>
        <v>150</v>
      </c>
      <c r="FB418" s="14">
        <f t="shared" si="428"/>
        <v>3</v>
      </c>
      <c r="FC418" s="14">
        <f t="shared" si="429"/>
        <v>5</v>
      </c>
      <c r="FD418" s="14">
        <f t="shared" si="430"/>
        <v>5</v>
      </c>
      <c r="FE418" s="14" t="b">
        <f t="shared" si="451"/>
        <v>0</v>
      </c>
      <c r="FF418" s="14">
        <f t="shared" si="431"/>
        <v>2011305</v>
      </c>
      <c r="FG418" s="13" t="str">
        <f t="shared" si="432"/>
        <v>150级-精良寄灵人の鞋子</v>
      </c>
      <c r="FH418" s="14">
        <f t="shared" si="433"/>
        <v>1</v>
      </c>
      <c r="FI418" s="14">
        <f t="shared" si="434"/>
        <v>3</v>
      </c>
      <c r="FJ418" s="14">
        <f t="shared" si="435"/>
        <v>150</v>
      </c>
      <c r="FK418" s="14">
        <v>1</v>
      </c>
      <c r="FL418" s="14">
        <f t="shared" si="436"/>
        <v>11</v>
      </c>
      <c r="FM418" s="14">
        <f t="shared" si="452"/>
        <v>5</v>
      </c>
      <c r="FN418" s="14" t="str">
        <f t="shared" si="437"/>
        <v/>
      </c>
      <c r="FO418" s="14">
        <f t="shared" si="438"/>
        <v>495</v>
      </c>
      <c r="FP418" s="14">
        <f t="shared" si="453"/>
        <v>0</v>
      </c>
      <c r="FQ418" s="14">
        <f t="shared" si="454"/>
        <v>0</v>
      </c>
      <c r="FR418" s="14">
        <f t="shared" si="455"/>
        <v>8245</v>
      </c>
      <c r="FS418" s="14">
        <f t="shared" si="456"/>
        <v>0</v>
      </c>
      <c r="FT418" s="14">
        <f t="shared" si="457"/>
        <v>0</v>
      </c>
      <c r="FU418" s="14">
        <f t="shared" si="458"/>
        <v>495</v>
      </c>
      <c r="FV418" s="14">
        <f t="shared" si="439"/>
        <v>1113</v>
      </c>
      <c r="FW418" s="14">
        <f t="shared" si="440"/>
        <v>6</v>
      </c>
      <c r="FX418" s="14">
        <f t="shared" si="441"/>
        <v>1113</v>
      </c>
      <c r="FY418" s="25" t="str">
        <f t="shared" si="459"/>
        <v>icon_2011105</v>
      </c>
      <c r="GC418" s="14">
        <f t="shared" si="442"/>
        <v>3</v>
      </c>
      <c r="GD418" s="14">
        <f t="shared" si="443"/>
        <v>0</v>
      </c>
      <c r="GE418" s="14">
        <f t="shared" si="460"/>
        <v>495</v>
      </c>
      <c r="GF418" s="14" t="str">
        <f t="shared" si="444"/>
        <v>HPExt</v>
      </c>
      <c r="GG418" s="14">
        <f t="shared" si="461"/>
        <v>8245</v>
      </c>
      <c r="GH418" s="14">
        <f t="shared" si="462"/>
        <v>495</v>
      </c>
      <c r="GI418" s="14" t="str">
        <f t="shared" si="445"/>
        <v/>
      </c>
      <c r="GJ418" s="14" t="str">
        <f t="shared" si="463"/>
        <v/>
      </c>
      <c r="GK418" s="14" t="str">
        <f t="shared" si="464"/>
        <v/>
      </c>
      <c r="GL418" s="14">
        <f t="shared" si="446"/>
        <v>21130</v>
      </c>
      <c r="GM418" s="14">
        <f t="shared" si="465"/>
        <v>6</v>
      </c>
      <c r="GN418" s="14">
        <f t="shared" si="466"/>
        <v>1113</v>
      </c>
      <c r="GO418" s="25" t="s">
        <v>1471</v>
      </c>
      <c r="GP418" s="14">
        <f t="shared" si="447"/>
        <v>400</v>
      </c>
      <c r="HK418" s="13">
        <v>413</v>
      </c>
      <c r="HL418" s="14">
        <f t="shared" si="467"/>
        <v>18</v>
      </c>
      <c r="HM418" s="14">
        <f t="shared" si="468"/>
        <v>2</v>
      </c>
      <c r="HN418" s="14">
        <f t="shared" si="469"/>
        <v>7</v>
      </c>
      <c r="HO418" s="14">
        <f t="shared" si="470"/>
        <v>3</v>
      </c>
      <c r="HP418" s="14" t="str">
        <f t="shared" si="471"/>
        <v>110级守护灵洗练-Q3-5</v>
      </c>
      <c r="HQ418" s="14">
        <f t="shared" si="472"/>
        <v>2073</v>
      </c>
      <c r="HR418" s="14">
        <f t="shared" si="473"/>
        <v>5</v>
      </c>
      <c r="HS418" s="14">
        <f t="shared" si="474"/>
        <v>400</v>
      </c>
      <c r="HT418" s="14" t="str">
        <f t="shared" si="475"/>
        <v>DefRate</v>
      </c>
      <c r="HU418" s="14">
        <f t="shared" si="476"/>
        <v>1.4E-2</v>
      </c>
      <c r="HV418" s="14">
        <f t="shared" si="477"/>
        <v>0.04</v>
      </c>
    </row>
    <row r="419" spans="151:230" ht="16.5" x14ac:dyDescent="0.2">
      <c r="EU419" s="13">
        <v>414</v>
      </c>
      <c r="EV419" s="14">
        <f t="shared" si="448"/>
        <v>1</v>
      </c>
      <c r="EW419" s="14">
        <f t="shared" si="449"/>
        <v>414</v>
      </c>
      <c r="EX419" s="14">
        <f t="shared" si="450"/>
        <v>55</v>
      </c>
      <c r="EY419" s="14">
        <f t="shared" si="425"/>
        <v>30</v>
      </c>
      <c r="EZ419" s="14">
        <f t="shared" si="426"/>
        <v>11</v>
      </c>
      <c r="FA419" s="14">
        <f t="shared" si="427"/>
        <v>150</v>
      </c>
      <c r="FB419" s="14">
        <f t="shared" si="428"/>
        <v>3</v>
      </c>
      <c r="FC419" s="14">
        <f t="shared" si="429"/>
        <v>6</v>
      </c>
      <c r="FD419" s="14">
        <f t="shared" si="430"/>
        <v>6</v>
      </c>
      <c r="FE419" s="14" t="b">
        <f t="shared" si="451"/>
        <v>0</v>
      </c>
      <c r="FF419" s="14">
        <f t="shared" si="431"/>
        <v>2011306</v>
      </c>
      <c r="FG419" s="13" t="str">
        <f t="shared" si="432"/>
        <v>150级-精良寄灵人の护手</v>
      </c>
      <c r="FH419" s="14">
        <f t="shared" si="433"/>
        <v>1</v>
      </c>
      <c r="FI419" s="14">
        <f t="shared" si="434"/>
        <v>3</v>
      </c>
      <c r="FJ419" s="14">
        <f t="shared" si="435"/>
        <v>150</v>
      </c>
      <c r="FK419" s="14">
        <v>1</v>
      </c>
      <c r="FL419" s="14">
        <f t="shared" si="436"/>
        <v>11</v>
      </c>
      <c r="FM419" s="14">
        <f t="shared" si="452"/>
        <v>6</v>
      </c>
      <c r="FN419" s="14" t="str">
        <f t="shared" si="437"/>
        <v/>
      </c>
      <c r="FO419" s="14">
        <f t="shared" si="438"/>
        <v>495</v>
      </c>
      <c r="FP419" s="14">
        <f t="shared" si="453"/>
        <v>0</v>
      </c>
      <c r="FQ419" s="14">
        <f t="shared" si="454"/>
        <v>0</v>
      </c>
      <c r="FR419" s="14">
        <f t="shared" si="455"/>
        <v>8245</v>
      </c>
      <c r="FS419" s="14">
        <f t="shared" si="456"/>
        <v>0</v>
      </c>
      <c r="FT419" s="14">
        <f t="shared" si="457"/>
        <v>0</v>
      </c>
      <c r="FU419" s="14">
        <f t="shared" si="458"/>
        <v>495</v>
      </c>
      <c r="FV419" s="14">
        <f t="shared" si="439"/>
        <v>1113</v>
      </c>
      <c r="FW419" s="14">
        <f t="shared" si="440"/>
        <v>6</v>
      </c>
      <c r="FX419" s="14">
        <f t="shared" si="441"/>
        <v>1113</v>
      </c>
      <c r="FY419" s="25" t="str">
        <f t="shared" si="459"/>
        <v>icon_2011106</v>
      </c>
      <c r="GC419" s="14">
        <f t="shared" si="442"/>
        <v>3</v>
      </c>
      <c r="GD419" s="14">
        <f t="shared" si="443"/>
        <v>0</v>
      </c>
      <c r="GE419" s="14">
        <f t="shared" si="460"/>
        <v>495</v>
      </c>
      <c r="GF419" s="14" t="str">
        <f t="shared" si="444"/>
        <v>HPExt</v>
      </c>
      <c r="GG419" s="14">
        <f t="shared" si="461"/>
        <v>8245</v>
      </c>
      <c r="GH419" s="14">
        <f t="shared" si="462"/>
        <v>495</v>
      </c>
      <c r="GI419" s="14" t="str">
        <f t="shared" si="445"/>
        <v/>
      </c>
      <c r="GJ419" s="14" t="str">
        <f t="shared" si="463"/>
        <v/>
      </c>
      <c r="GK419" s="14" t="str">
        <f t="shared" si="464"/>
        <v/>
      </c>
      <c r="GL419" s="14">
        <f t="shared" si="446"/>
        <v>21130</v>
      </c>
      <c r="GM419" s="14">
        <f t="shared" si="465"/>
        <v>6</v>
      </c>
      <c r="GN419" s="14">
        <f t="shared" si="466"/>
        <v>1113</v>
      </c>
      <c r="GO419" s="25" t="s">
        <v>1471</v>
      </c>
      <c r="GP419" s="14">
        <f t="shared" si="447"/>
        <v>400</v>
      </c>
      <c r="HK419" s="13">
        <v>414</v>
      </c>
      <c r="HL419" s="14">
        <f t="shared" si="467"/>
        <v>18</v>
      </c>
      <c r="HM419" s="14">
        <f t="shared" si="468"/>
        <v>2</v>
      </c>
      <c r="HN419" s="14">
        <f t="shared" si="469"/>
        <v>7</v>
      </c>
      <c r="HO419" s="14">
        <f t="shared" si="470"/>
        <v>3</v>
      </c>
      <c r="HP419" s="14" t="str">
        <f t="shared" si="471"/>
        <v>110级守护灵洗练-Q3-6</v>
      </c>
      <c r="HQ419" s="14">
        <f t="shared" si="472"/>
        <v>2073</v>
      </c>
      <c r="HR419" s="14">
        <f t="shared" si="473"/>
        <v>6</v>
      </c>
      <c r="HS419" s="14">
        <f t="shared" si="474"/>
        <v>500</v>
      </c>
      <c r="HT419" s="14" t="str">
        <f t="shared" si="475"/>
        <v>HPRate</v>
      </c>
      <c r="HU419" s="14">
        <f t="shared" si="476"/>
        <v>1.4E-2</v>
      </c>
      <c r="HV419" s="14">
        <f t="shared" si="477"/>
        <v>0.04</v>
      </c>
    </row>
    <row r="420" spans="151:230" ht="16.5" x14ac:dyDescent="0.2">
      <c r="EU420" s="13">
        <v>415</v>
      </c>
      <c r="EV420" s="14">
        <f t="shared" si="448"/>
        <v>1</v>
      </c>
      <c r="EW420" s="14">
        <f t="shared" si="449"/>
        <v>415</v>
      </c>
      <c r="EX420" s="14">
        <f t="shared" si="450"/>
        <v>55</v>
      </c>
      <c r="EY420" s="14">
        <f t="shared" si="425"/>
        <v>30</v>
      </c>
      <c r="EZ420" s="14">
        <f t="shared" si="426"/>
        <v>11</v>
      </c>
      <c r="FA420" s="14">
        <f t="shared" si="427"/>
        <v>150</v>
      </c>
      <c r="FB420" s="14">
        <f t="shared" si="428"/>
        <v>3</v>
      </c>
      <c r="FC420" s="14">
        <f t="shared" si="429"/>
        <v>7</v>
      </c>
      <c r="FD420" s="14">
        <f t="shared" si="430"/>
        <v>7</v>
      </c>
      <c r="FE420" s="14" t="b">
        <f t="shared" si="451"/>
        <v>0</v>
      </c>
      <c r="FF420" s="14">
        <f t="shared" si="431"/>
        <v>2011307</v>
      </c>
      <c r="FG420" s="13" t="str">
        <f t="shared" si="432"/>
        <v>150级-精良寄灵人の项链</v>
      </c>
      <c r="FH420" s="14">
        <f t="shared" si="433"/>
        <v>1</v>
      </c>
      <c r="FI420" s="14">
        <f t="shared" si="434"/>
        <v>3</v>
      </c>
      <c r="FJ420" s="14">
        <f t="shared" si="435"/>
        <v>150</v>
      </c>
      <c r="FK420" s="14">
        <v>1</v>
      </c>
      <c r="FL420" s="14">
        <f t="shared" si="436"/>
        <v>11</v>
      </c>
      <c r="FM420" s="14">
        <f t="shared" si="452"/>
        <v>7</v>
      </c>
      <c r="FN420" s="14" t="str">
        <f t="shared" si="437"/>
        <v/>
      </c>
      <c r="FO420" s="14">
        <f t="shared" si="438"/>
        <v>380</v>
      </c>
      <c r="FP420" s="14">
        <f t="shared" si="453"/>
        <v>570</v>
      </c>
      <c r="FQ420" s="14">
        <f t="shared" si="454"/>
        <v>360</v>
      </c>
      <c r="FR420" s="14">
        <f t="shared" si="455"/>
        <v>0</v>
      </c>
      <c r="FS420" s="14">
        <f t="shared" si="456"/>
        <v>34</v>
      </c>
      <c r="FT420" s="14">
        <f t="shared" si="457"/>
        <v>21</v>
      </c>
      <c r="FU420" s="14">
        <f t="shared" si="458"/>
        <v>0</v>
      </c>
      <c r="FV420" s="14">
        <f t="shared" si="439"/>
        <v>1113</v>
      </c>
      <c r="FW420" s="14">
        <f t="shared" si="440"/>
        <v>6</v>
      </c>
      <c r="FX420" s="14">
        <f t="shared" si="441"/>
        <v>1113</v>
      </c>
      <c r="FY420" s="25" t="str">
        <f t="shared" si="459"/>
        <v>icon_2011107</v>
      </c>
      <c r="GC420" s="14">
        <f t="shared" si="442"/>
        <v>1</v>
      </c>
      <c r="GD420" s="14">
        <f t="shared" si="443"/>
        <v>2</v>
      </c>
      <c r="GE420" s="14">
        <f t="shared" si="460"/>
        <v>380</v>
      </c>
      <c r="GF420" s="14" t="str">
        <f t="shared" si="444"/>
        <v>AtkExt</v>
      </c>
      <c r="GG420" s="14">
        <f t="shared" si="461"/>
        <v>570</v>
      </c>
      <c r="GH420" s="14">
        <f t="shared" si="462"/>
        <v>34</v>
      </c>
      <c r="GI420" s="14" t="str">
        <f t="shared" si="445"/>
        <v>DefExt</v>
      </c>
      <c r="GJ420" s="14">
        <f t="shared" si="463"/>
        <v>360</v>
      </c>
      <c r="GK420" s="14">
        <f t="shared" si="464"/>
        <v>21</v>
      </c>
      <c r="GL420" s="14">
        <f t="shared" si="446"/>
        <v>21130</v>
      </c>
      <c r="GM420" s="14">
        <f t="shared" si="465"/>
        <v>6</v>
      </c>
      <c r="GN420" s="14">
        <f t="shared" si="466"/>
        <v>1113</v>
      </c>
      <c r="GO420" s="25" t="s">
        <v>1471</v>
      </c>
      <c r="GP420" s="14">
        <f t="shared" si="447"/>
        <v>600</v>
      </c>
      <c r="HK420" s="13">
        <v>415</v>
      </c>
      <c r="HL420" s="14">
        <f t="shared" si="467"/>
        <v>18</v>
      </c>
      <c r="HM420" s="14">
        <f t="shared" si="468"/>
        <v>2</v>
      </c>
      <c r="HN420" s="14">
        <f t="shared" si="469"/>
        <v>7</v>
      </c>
      <c r="HO420" s="14">
        <f t="shared" si="470"/>
        <v>3</v>
      </c>
      <c r="HP420" s="14" t="str">
        <f t="shared" si="471"/>
        <v>110级守护灵洗练-Q3-7</v>
      </c>
      <c r="HQ420" s="14">
        <f t="shared" si="472"/>
        <v>2073</v>
      </c>
      <c r="HR420" s="14">
        <f t="shared" si="473"/>
        <v>7</v>
      </c>
      <c r="HS420" s="14">
        <f t="shared" si="474"/>
        <v>500</v>
      </c>
      <c r="HT420" s="14" t="str">
        <f t="shared" si="475"/>
        <v>Crit</v>
      </c>
      <c r="HU420" s="14">
        <f t="shared" si="476"/>
        <v>1.0999999999999999E-2</v>
      </c>
      <c r="HV420" s="14">
        <f t="shared" si="477"/>
        <v>0.03</v>
      </c>
    </row>
    <row r="421" spans="151:230" ht="16.5" x14ac:dyDescent="0.2">
      <c r="EU421" s="13">
        <v>416</v>
      </c>
      <c r="EV421" s="14">
        <f t="shared" si="448"/>
        <v>1</v>
      </c>
      <c r="EW421" s="14">
        <f t="shared" si="449"/>
        <v>416</v>
      </c>
      <c r="EX421" s="14">
        <f t="shared" si="450"/>
        <v>55</v>
      </c>
      <c r="EY421" s="14">
        <f t="shared" si="425"/>
        <v>30</v>
      </c>
      <c r="EZ421" s="14">
        <f t="shared" si="426"/>
        <v>11</v>
      </c>
      <c r="FA421" s="14">
        <f t="shared" si="427"/>
        <v>150</v>
      </c>
      <c r="FB421" s="14">
        <f t="shared" si="428"/>
        <v>3</v>
      </c>
      <c r="FC421" s="14">
        <f t="shared" si="429"/>
        <v>8</v>
      </c>
      <c r="FD421" s="14">
        <f t="shared" si="430"/>
        <v>8</v>
      </c>
      <c r="FE421" s="14" t="b">
        <f t="shared" si="451"/>
        <v>0</v>
      </c>
      <c r="FF421" s="14">
        <f t="shared" si="431"/>
        <v>2011308</v>
      </c>
      <c r="FG421" s="13" t="str">
        <f t="shared" si="432"/>
        <v>150级-精良寄灵人の戒指</v>
      </c>
      <c r="FH421" s="14">
        <f t="shared" si="433"/>
        <v>1</v>
      </c>
      <c r="FI421" s="14">
        <f t="shared" si="434"/>
        <v>3</v>
      </c>
      <c r="FJ421" s="14">
        <f t="shared" si="435"/>
        <v>150</v>
      </c>
      <c r="FK421" s="14">
        <v>1</v>
      </c>
      <c r="FL421" s="14">
        <f t="shared" si="436"/>
        <v>11</v>
      </c>
      <c r="FM421" s="14">
        <f t="shared" si="452"/>
        <v>8</v>
      </c>
      <c r="FN421" s="14" t="str">
        <f t="shared" si="437"/>
        <v/>
      </c>
      <c r="FO421" s="14">
        <f t="shared" si="438"/>
        <v>582</v>
      </c>
      <c r="FP421" s="14">
        <f t="shared" si="453"/>
        <v>570</v>
      </c>
      <c r="FQ421" s="14">
        <f t="shared" si="454"/>
        <v>0</v>
      </c>
      <c r="FR421" s="14">
        <f t="shared" si="455"/>
        <v>6870</v>
      </c>
      <c r="FS421" s="14">
        <f t="shared" si="456"/>
        <v>34</v>
      </c>
      <c r="FT421" s="14">
        <f t="shared" si="457"/>
        <v>0</v>
      </c>
      <c r="FU421" s="14">
        <f t="shared" si="458"/>
        <v>412</v>
      </c>
      <c r="FV421" s="14">
        <f t="shared" si="439"/>
        <v>1113</v>
      </c>
      <c r="FW421" s="14">
        <f t="shared" si="440"/>
        <v>6</v>
      </c>
      <c r="FX421" s="14">
        <f t="shared" si="441"/>
        <v>1113</v>
      </c>
      <c r="FY421" s="25" t="str">
        <f t="shared" si="459"/>
        <v>icon_2011108</v>
      </c>
      <c r="GC421" s="14">
        <f t="shared" si="442"/>
        <v>1</v>
      </c>
      <c r="GD421" s="14">
        <f t="shared" si="443"/>
        <v>3</v>
      </c>
      <c r="GE421" s="14">
        <f t="shared" si="460"/>
        <v>582</v>
      </c>
      <c r="GF421" s="14" t="str">
        <f t="shared" si="444"/>
        <v>AtkExt</v>
      </c>
      <c r="GG421" s="14">
        <f t="shared" si="461"/>
        <v>570</v>
      </c>
      <c r="GH421" s="14">
        <f t="shared" si="462"/>
        <v>34</v>
      </c>
      <c r="GI421" s="14" t="str">
        <f t="shared" si="445"/>
        <v>HPExt</v>
      </c>
      <c r="GJ421" s="14">
        <f t="shared" si="463"/>
        <v>6870</v>
      </c>
      <c r="GK421" s="14">
        <f t="shared" si="464"/>
        <v>412</v>
      </c>
      <c r="GL421" s="14">
        <f t="shared" si="446"/>
        <v>21130</v>
      </c>
      <c r="GM421" s="14">
        <f t="shared" si="465"/>
        <v>6</v>
      </c>
      <c r="GN421" s="14">
        <f t="shared" si="466"/>
        <v>1113</v>
      </c>
      <c r="GO421" s="25" t="s">
        <v>1471</v>
      </c>
      <c r="GP421" s="14">
        <f t="shared" si="447"/>
        <v>600</v>
      </c>
      <c r="HK421" s="13">
        <v>416</v>
      </c>
      <c r="HL421" s="14">
        <f t="shared" si="467"/>
        <v>18</v>
      </c>
      <c r="HM421" s="14">
        <f t="shared" si="468"/>
        <v>2</v>
      </c>
      <c r="HN421" s="14">
        <f t="shared" si="469"/>
        <v>7</v>
      </c>
      <c r="HO421" s="14">
        <f t="shared" si="470"/>
        <v>3</v>
      </c>
      <c r="HP421" s="14" t="str">
        <f t="shared" si="471"/>
        <v>110级守护灵洗练-Q3-8</v>
      </c>
      <c r="HQ421" s="14">
        <f t="shared" si="472"/>
        <v>2073</v>
      </c>
      <c r="HR421" s="14">
        <f t="shared" si="473"/>
        <v>8</v>
      </c>
      <c r="HS421" s="14">
        <f t="shared" si="474"/>
        <v>500</v>
      </c>
      <c r="HT421" s="14" t="str">
        <f t="shared" si="475"/>
        <v>CritRate</v>
      </c>
      <c r="HU421" s="14">
        <f t="shared" si="476"/>
        <v>2.8000000000000001E-2</v>
      </c>
      <c r="HV421" s="14">
        <f t="shared" si="477"/>
        <v>0.08</v>
      </c>
    </row>
    <row r="422" spans="151:230" ht="16.5" x14ac:dyDescent="0.2">
      <c r="EU422" s="13">
        <v>417</v>
      </c>
      <c r="EV422" s="14">
        <f t="shared" si="448"/>
        <v>1</v>
      </c>
      <c r="EW422" s="14">
        <f t="shared" si="449"/>
        <v>417</v>
      </c>
      <c r="EX422" s="14">
        <f t="shared" si="450"/>
        <v>56</v>
      </c>
      <c r="EY422" s="14">
        <f t="shared" si="425"/>
        <v>40</v>
      </c>
      <c r="EZ422" s="14">
        <f t="shared" si="426"/>
        <v>11</v>
      </c>
      <c r="FA422" s="14">
        <f t="shared" si="427"/>
        <v>150</v>
      </c>
      <c r="FB422" s="14">
        <f t="shared" si="428"/>
        <v>4</v>
      </c>
      <c r="FC422" s="14">
        <f t="shared" si="429"/>
        <v>1</v>
      </c>
      <c r="FD422" s="14">
        <f t="shared" si="430"/>
        <v>1</v>
      </c>
      <c r="FE422" s="14" t="b">
        <f t="shared" si="451"/>
        <v>0</v>
      </c>
      <c r="FF422" s="14">
        <f t="shared" si="431"/>
        <v>2011401</v>
      </c>
      <c r="FG422" s="13" t="str">
        <f t="shared" si="432"/>
        <v>150级-史诗寄灵人の灵器</v>
      </c>
      <c r="FH422" s="14">
        <f t="shared" si="433"/>
        <v>1</v>
      </c>
      <c r="FI422" s="14">
        <f t="shared" si="434"/>
        <v>4</v>
      </c>
      <c r="FJ422" s="14">
        <f t="shared" si="435"/>
        <v>150</v>
      </c>
      <c r="FK422" s="14">
        <v>1</v>
      </c>
      <c r="FL422" s="14">
        <f t="shared" si="436"/>
        <v>11</v>
      </c>
      <c r="FM422" s="14">
        <f t="shared" si="452"/>
        <v>1</v>
      </c>
      <c r="FN422" s="14" t="str">
        <f t="shared" si="437"/>
        <v/>
      </c>
      <c r="FO422" s="14">
        <f t="shared" si="438"/>
        <v>605</v>
      </c>
      <c r="FP422" s="14">
        <f t="shared" si="453"/>
        <v>2015</v>
      </c>
      <c r="FQ422" s="14">
        <f t="shared" si="454"/>
        <v>0</v>
      </c>
      <c r="FR422" s="14">
        <f t="shared" si="455"/>
        <v>0</v>
      </c>
      <c r="FS422" s="14">
        <f t="shared" si="456"/>
        <v>121</v>
      </c>
      <c r="FT422" s="14">
        <f t="shared" si="457"/>
        <v>0</v>
      </c>
      <c r="FU422" s="14">
        <f t="shared" si="458"/>
        <v>0</v>
      </c>
      <c r="FV422" s="14">
        <f t="shared" si="439"/>
        <v>1114</v>
      </c>
      <c r="FW422" s="14">
        <f t="shared" si="440"/>
        <v>7</v>
      </c>
      <c r="FX422" s="14">
        <f t="shared" si="441"/>
        <v>1114</v>
      </c>
      <c r="FY422" s="25" t="str">
        <f t="shared" si="459"/>
        <v>icon_2011101</v>
      </c>
      <c r="GC422" s="14">
        <f t="shared" si="442"/>
        <v>1</v>
      </c>
      <c r="GD422" s="14">
        <f t="shared" si="443"/>
        <v>0</v>
      </c>
      <c r="GE422" s="14">
        <f t="shared" si="460"/>
        <v>605</v>
      </c>
      <c r="GF422" s="14" t="str">
        <f t="shared" si="444"/>
        <v>AtkExt</v>
      </c>
      <c r="GG422" s="14">
        <f t="shared" si="461"/>
        <v>2015</v>
      </c>
      <c r="GH422" s="14">
        <f t="shared" si="462"/>
        <v>121</v>
      </c>
      <c r="GI422" s="14" t="str">
        <f t="shared" si="445"/>
        <v/>
      </c>
      <c r="GJ422" s="14" t="str">
        <f t="shared" si="463"/>
        <v/>
      </c>
      <c r="GK422" s="14" t="str">
        <f t="shared" si="464"/>
        <v/>
      </c>
      <c r="GL422" s="14">
        <f t="shared" si="446"/>
        <v>21140</v>
      </c>
      <c r="GM422" s="14">
        <f t="shared" si="465"/>
        <v>7</v>
      </c>
      <c r="GN422" s="14">
        <f t="shared" si="466"/>
        <v>1114</v>
      </c>
      <c r="GO422" s="25" t="s">
        <v>1471</v>
      </c>
      <c r="GP422" s="14">
        <f t="shared" si="447"/>
        <v>1600</v>
      </c>
      <c r="HK422" s="13">
        <v>417</v>
      </c>
      <c r="HL422" s="14">
        <f t="shared" si="467"/>
        <v>18</v>
      </c>
      <c r="HM422" s="14">
        <f t="shared" si="468"/>
        <v>2</v>
      </c>
      <c r="HN422" s="14">
        <f t="shared" si="469"/>
        <v>7</v>
      </c>
      <c r="HO422" s="14">
        <f t="shared" si="470"/>
        <v>3</v>
      </c>
      <c r="HP422" s="14" t="str">
        <f t="shared" si="471"/>
        <v>110级守护灵洗练-Q3-9</v>
      </c>
      <c r="HQ422" s="14">
        <f t="shared" si="472"/>
        <v>2073</v>
      </c>
      <c r="HR422" s="14">
        <f t="shared" si="473"/>
        <v>9</v>
      </c>
      <c r="HS422" s="14">
        <f t="shared" si="474"/>
        <v>500</v>
      </c>
      <c r="HT422" s="14" t="str">
        <f t="shared" si="475"/>
        <v>DefIgnor</v>
      </c>
      <c r="HU422" s="14">
        <f t="shared" si="476"/>
        <v>1.0999999999999999E-2</v>
      </c>
      <c r="HV422" s="14">
        <f t="shared" si="477"/>
        <v>0.03</v>
      </c>
    </row>
    <row r="423" spans="151:230" ht="16.5" x14ac:dyDescent="0.2">
      <c r="EU423" s="13">
        <v>418</v>
      </c>
      <c r="EV423" s="14">
        <f t="shared" si="448"/>
        <v>1</v>
      </c>
      <c r="EW423" s="14">
        <f t="shared" si="449"/>
        <v>418</v>
      </c>
      <c r="EX423" s="14">
        <f t="shared" si="450"/>
        <v>56</v>
      </c>
      <c r="EY423" s="14">
        <f t="shared" si="425"/>
        <v>40</v>
      </c>
      <c r="EZ423" s="14">
        <f t="shared" si="426"/>
        <v>11</v>
      </c>
      <c r="FA423" s="14">
        <f t="shared" si="427"/>
        <v>150</v>
      </c>
      <c r="FB423" s="14">
        <f t="shared" si="428"/>
        <v>4</v>
      </c>
      <c r="FC423" s="14">
        <f t="shared" si="429"/>
        <v>2</v>
      </c>
      <c r="FD423" s="14">
        <f t="shared" si="430"/>
        <v>2</v>
      </c>
      <c r="FE423" s="14" t="b">
        <f t="shared" si="451"/>
        <v>0</v>
      </c>
      <c r="FF423" s="14">
        <f t="shared" si="431"/>
        <v>2011402</v>
      </c>
      <c r="FG423" s="13" t="str">
        <f t="shared" si="432"/>
        <v>150级-史诗寄灵人の头盔</v>
      </c>
      <c r="FH423" s="14">
        <f t="shared" si="433"/>
        <v>1</v>
      </c>
      <c r="FI423" s="14">
        <f t="shared" si="434"/>
        <v>4</v>
      </c>
      <c r="FJ423" s="14">
        <f t="shared" si="435"/>
        <v>150</v>
      </c>
      <c r="FK423" s="14">
        <v>1</v>
      </c>
      <c r="FL423" s="14">
        <f t="shared" si="436"/>
        <v>11</v>
      </c>
      <c r="FM423" s="14">
        <f t="shared" si="452"/>
        <v>2</v>
      </c>
      <c r="FN423" s="14" t="str">
        <f t="shared" si="437"/>
        <v/>
      </c>
      <c r="FO423" s="14">
        <f t="shared" si="438"/>
        <v>300</v>
      </c>
      <c r="FP423" s="14">
        <f t="shared" si="453"/>
        <v>0</v>
      </c>
      <c r="FQ423" s="14">
        <f t="shared" si="454"/>
        <v>505</v>
      </c>
      <c r="FR423" s="14">
        <f t="shared" si="455"/>
        <v>0</v>
      </c>
      <c r="FS423" s="14">
        <f t="shared" si="456"/>
        <v>0</v>
      </c>
      <c r="FT423" s="14">
        <f t="shared" si="457"/>
        <v>30</v>
      </c>
      <c r="FU423" s="14">
        <f t="shared" si="458"/>
        <v>0</v>
      </c>
      <c r="FV423" s="14">
        <f t="shared" si="439"/>
        <v>1114</v>
      </c>
      <c r="FW423" s="14">
        <f t="shared" si="440"/>
        <v>7</v>
      </c>
      <c r="FX423" s="14">
        <f t="shared" si="441"/>
        <v>1114</v>
      </c>
      <c r="FY423" s="25" t="str">
        <f t="shared" si="459"/>
        <v>icon_2011102</v>
      </c>
      <c r="GC423" s="14">
        <f t="shared" si="442"/>
        <v>2</v>
      </c>
      <c r="GD423" s="14">
        <f t="shared" si="443"/>
        <v>0</v>
      </c>
      <c r="GE423" s="14">
        <f t="shared" si="460"/>
        <v>300</v>
      </c>
      <c r="GF423" s="14" t="str">
        <f t="shared" si="444"/>
        <v>DefExt</v>
      </c>
      <c r="GG423" s="14">
        <f t="shared" si="461"/>
        <v>505</v>
      </c>
      <c r="GH423" s="14">
        <f t="shared" si="462"/>
        <v>30</v>
      </c>
      <c r="GI423" s="14" t="str">
        <f t="shared" si="445"/>
        <v/>
      </c>
      <c r="GJ423" s="14" t="str">
        <f t="shared" si="463"/>
        <v/>
      </c>
      <c r="GK423" s="14" t="str">
        <f t="shared" si="464"/>
        <v/>
      </c>
      <c r="GL423" s="14">
        <f t="shared" si="446"/>
        <v>21140</v>
      </c>
      <c r="GM423" s="14">
        <f t="shared" si="465"/>
        <v>7</v>
      </c>
      <c r="GN423" s="14">
        <f t="shared" si="466"/>
        <v>1114</v>
      </c>
      <c r="GO423" s="25" t="s">
        <v>1471</v>
      </c>
      <c r="GP423" s="14">
        <f t="shared" si="447"/>
        <v>800</v>
      </c>
      <c r="HK423" s="13">
        <v>418</v>
      </c>
      <c r="HL423" s="14">
        <f t="shared" si="467"/>
        <v>18</v>
      </c>
      <c r="HM423" s="14">
        <f t="shared" si="468"/>
        <v>2</v>
      </c>
      <c r="HN423" s="14">
        <f t="shared" si="469"/>
        <v>7</v>
      </c>
      <c r="HO423" s="14">
        <f t="shared" si="470"/>
        <v>3</v>
      </c>
      <c r="HP423" s="14" t="str">
        <f t="shared" si="471"/>
        <v>110级守护灵洗练-Q3-10</v>
      </c>
      <c r="HQ423" s="14">
        <f t="shared" si="472"/>
        <v>2073</v>
      </c>
      <c r="HR423" s="14">
        <f t="shared" si="473"/>
        <v>10</v>
      </c>
      <c r="HS423" s="14">
        <f t="shared" si="474"/>
        <v>500</v>
      </c>
      <c r="HT423" s="14" t="str">
        <f t="shared" si="475"/>
        <v>Block</v>
      </c>
      <c r="HU423" s="14">
        <f t="shared" si="476"/>
        <v>1.0999999999999999E-2</v>
      </c>
      <c r="HV423" s="14">
        <f t="shared" si="477"/>
        <v>0.03</v>
      </c>
    </row>
    <row r="424" spans="151:230" ht="16.5" x14ac:dyDescent="0.2">
      <c r="EU424" s="13">
        <v>419</v>
      </c>
      <c r="EV424" s="14">
        <f t="shared" si="448"/>
        <v>1</v>
      </c>
      <c r="EW424" s="14">
        <f t="shared" si="449"/>
        <v>419</v>
      </c>
      <c r="EX424" s="14">
        <f t="shared" si="450"/>
        <v>56</v>
      </c>
      <c r="EY424" s="14">
        <f t="shared" si="425"/>
        <v>40</v>
      </c>
      <c r="EZ424" s="14">
        <f t="shared" si="426"/>
        <v>11</v>
      </c>
      <c r="FA424" s="14">
        <f t="shared" si="427"/>
        <v>150</v>
      </c>
      <c r="FB424" s="14">
        <f t="shared" si="428"/>
        <v>4</v>
      </c>
      <c r="FC424" s="14">
        <f t="shared" si="429"/>
        <v>3</v>
      </c>
      <c r="FD424" s="14">
        <f t="shared" si="430"/>
        <v>3</v>
      </c>
      <c r="FE424" s="14" t="b">
        <f t="shared" si="451"/>
        <v>0</v>
      </c>
      <c r="FF424" s="14">
        <f t="shared" si="431"/>
        <v>2011403</v>
      </c>
      <c r="FG424" s="13" t="str">
        <f t="shared" si="432"/>
        <v>150级-史诗寄灵人の铠甲</v>
      </c>
      <c r="FH424" s="14">
        <f t="shared" si="433"/>
        <v>1</v>
      </c>
      <c r="FI424" s="14">
        <f t="shared" si="434"/>
        <v>4</v>
      </c>
      <c r="FJ424" s="14">
        <f t="shared" si="435"/>
        <v>150</v>
      </c>
      <c r="FK424" s="14">
        <v>1</v>
      </c>
      <c r="FL424" s="14">
        <f t="shared" si="436"/>
        <v>11</v>
      </c>
      <c r="FM424" s="14">
        <f t="shared" si="452"/>
        <v>3</v>
      </c>
      <c r="FN424" s="14" t="str">
        <f t="shared" si="437"/>
        <v/>
      </c>
      <c r="FO424" s="14">
        <f t="shared" si="438"/>
        <v>441</v>
      </c>
      <c r="FP424" s="14">
        <f t="shared" si="453"/>
        <v>0</v>
      </c>
      <c r="FQ424" s="14">
        <f t="shared" si="454"/>
        <v>255</v>
      </c>
      <c r="FR424" s="14">
        <f t="shared" si="455"/>
        <v>4850</v>
      </c>
      <c r="FS424" s="14">
        <f t="shared" si="456"/>
        <v>0</v>
      </c>
      <c r="FT424" s="14">
        <f t="shared" si="457"/>
        <v>15</v>
      </c>
      <c r="FU424" s="14">
        <f t="shared" si="458"/>
        <v>291</v>
      </c>
      <c r="FV424" s="14">
        <f t="shared" si="439"/>
        <v>1114</v>
      </c>
      <c r="FW424" s="14">
        <f t="shared" si="440"/>
        <v>7</v>
      </c>
      <c r="FX424" s="14">
        <f t="shared" si="441"/>
        <v>1114</v>
      </c>
      <c r="FY424" s="25" t="str">
        <f t="shared" si="459"/>
        <v>icon_2011103</v>
      </c>
      <c r="GC424" s="14">
        <f t="shared" si="442"/>
        <v>2</v>
      </c>
      <c r="GD424" s="14">
        <f t="shared" si="443"/>
        <v>3</v>
      </c>
      <c r="GE424" s="14">
        <f t="shared" si="460"/>
        <v>441</v>
      </c>
      <c r="GF424" s="14" t="str">
        <f t="shared" si="444"/>
        <v>DefExt</v>
      </c>
      <c r="GG424" s="14">
        <f t="shared" si="461"/>
        <v>255</v>
      </c>
      <c r="GH424" s="14">
        <f t="shared" si="462"/>
        <v>15</v>
      </c>
      <c r="GI424" s="14" t="str">
        <f t="shared" si="445"/>
        <v>HPExt</v>
      </c>
      <c r="GJ424" s="14">
        <f t="shared" si="463"/>
        <v>4850</v>
      </c>
      <c r="GK424" s="14">
        <f t="shared" si="464"/>
        <v>291</v>
      </c>
      <c r="GL424" s="14">
        <f t="shared" si="446"/>
        <v>21140</v>
      </c>
      <c r="GM424" s="14">
        <f t="shared" si="465"/>
        <v>7</v>
      </c>
      <c r="GN424" s="14">
        <f t="shared" si="466"/>
        <v>1114</v>
      </c>
      <c r="GO424" s="25" t="s">
        <v>1471</v>
      </c>
      <c r="GP424" s="14">
        <f t="shared" si="447"/>
        <v>800</v>
      </c>
      <c r="HK424" s="13">
        <v>419</v>
      </c>
      <c r="HL424" s="14">
        <f t="shared" si="467"/>
        <v>18</v>
      </c>
      <c r="HM424" s="14">
        <f t="shared" si="468"/>
        <v>2</v>
      </c>
      <c r="HN424" s="14">
        <f t="shared" si="469"/>
        <v>7</v>
      </c>
      <c r="HO424" s="14">
        <f t="shared" si="470"/>
        <v>3</v>
      </c>
      <c r="HP424" s="14" t="str">
        <f t="shared" si="471"/>
        <v>110级守护灵洗练-Q3-11</v>
      </c>
      <c r="HQ424" s="14">
        <f t="shared" si="472"/>
        <v>2073</v>
      </c>
      <c r="HR424" s="14">
        <f t="shared" si="473"/>
        <v>11</v>
      </c>
      <c r="HS424" s="14">
        <f t="shared" si="474"/>
        <v>500</v>
      </c>
      <c r="HT424" s="14" t="str">
        <f t="shared" si="475"/>
        <v>EffectHit</v>
      </c>
      <c r="HU424" s="14">
        <f t="shared" si="476"/>
        <v>1.7999999999999999E-2</v>
      </c>
      <c r="HV424" s="14">
        <f t="shared" si="477"/>
        <v>0.05</v>
      </c>
    </row>
    <row r="425" spans="151:230" ht="16.5" x14ac:dyDescent="0.2">
      <c r="EU425" s="13">
        <v>420</v>
      </c>
      <c r="EV425" s="14">
        <f t="shared" si="448"/>
        <v>1</v>
      </c>
      <c r="EW425" s="14">
        <f t="shared" si="449"/>
        <v>420</v>
      </c>
      <c r="EX425" s="14">
        <f t="shared" si="450"/>
        <v>56</v>
      </c>
      <c r="EY425" s="14">
        <f t="shared" si="425"/>
        <v>40</v>
      </c>
      <c r="EZ425" s="14">
        <f t="shared" si="426"/>
        <v>11</v>
      </c>
      <c r="FA425" s="14">
        <f t="shared" si="427"/>
        <v>150</v>
      </c>
      <c r="FB425" s="14">
        <f t="shared" si="428"/>
        <v>4</v>
      </c>
      <c r="FC425" s="14">
        <f t="shared" si="429"/>
        <v>4</v>
      </c>
      <c r="FD425" s="14">
        <f t="shared" si="430"/>
        <v>4</v>
      </c>
      <c r="FE425" s="14" t="b">
        <f t="shared" si="451"/>
        <v>0</v>
      </c>
      <c r="FF425" s="14">
        <f t="shared" si="431"/>
        <v>2011404</v>
      </c>
      <c r="FG425" s="13" t="str">
        <f t="shared" si="432"/>
        <v>150级-史诗寄灵人の裤子</v>
      </c>
      <c r="FH425" s="14">
        <f t="shared" si="433"/>
        <v>1</v>
      </c>
      <c r="FI425" s="14">
        <f t="shared" si="434"/>
        <v>4</v>
      </c>
      <c r="FJ425" s="14">
        <f t="shared" si="435"/>
        <v>150</v>
      </c>
      <c r="FK425" s="14">
        <v>1</v>
      </c>
      <c r="FL425" s="14">
        <f t="shared" si="436"/>
        <v>11</v>
      </c>
      <c r="FM425" s="14">
        <f t="shared" si="452"/>
        <v>4</v>
      </c>
      <c r="FN425" s="14" t="str">
        <f t="shared" si="437"/>
        <v/>
      </c>
      <c r="FO425" s="14">
        <f t="shared" si="438"/>
        <v>300</v>
      </c>
      <c r="FP425" s="14">
        <f t="shared" si="453"/>
        <v>0</v>
      </c>
      <c r="FQ425" s="14">
        <f t="shared" si="454"/>
        <v>505</v>
      </c>
      <c r="FR425" s="14">
        <f t="shared" si="455"/>
        <v>0</v>
      </c>
      <c r="FS425" s="14">
        <f t="shared" si="456"/>
        <v>0</v>
      </c>
      <c r="FT425" s="14">
        <f t="shared" si="457"/>
        <v>30</v>
      </c>
      <c r="FU425" s="14">
        <f t="shared" si="458"/>
        <v>0</v>
      </c>
      <c r="FV425" s="14">
        <f t="shared" si="439"/>
        <v>1114</v>
      </c>
      <c r="FW425" s="14">
        <f t="shared" si="440"/>
        <v>7</v>
      </c>
      <c r="FX425" s="14">
        <f t="shared" si="441"/>
        <v>1114</v>
      </c>
      <c r="FY425" s="25" t="str">
        <f t="shared" si="459"/>
        <v>icon_2011104</v>
      </c>
      <c r="GC425" s="14">
        <f t="shared" si="442"/>
        <v>2</v>
      </c>
      <c r="GD425" s="14">
        <f t="shared" si="443"/>
        <v>0</v>
      </c>
      <c r="GE425" s="14">
        <f t="shared" si="460"/>
        <v>300</v>
      </c>
      <c r="GF425" s="14" t="str">
        <f t="shared" si="444"/>
        <v>DefExt</v>
      </c>
      <c r="GG425" s="14">
        <f t="shared" si="461"/>
        <v>505</v>
      </c>
      <c r="GH425" s="14">
        <f t="shared" si="462"/>
        <v>30</v>
      </c>
      <c r="GI425" s="14" t="str">
        <f t="shared" si="445"/>
        <v/>
      </c>
      <c r="GJ425" s="14" t="str">
        <f t="shared" si="463"/>
        <v/>
      </c>
      <c r="GK425" s="14" t="str">
        <f t="shared" si="464"/>
        <v/>
      </c>
      <c r="GL425" s="14">
        <f t="shared" si="446"/>
        <v>21140</v>
      </c>
      <c r="GM425" s="14">
        <f t="shared" si="465"/>
        <v>7</v>
      </c>
      <c r="GN425" s="14">
        <f t="shared" si="466"/>
        <v>1114</v>
      </c>
      <c r="GO425" s="25" t="s">
        <v>1471</v>
      </c>
      <c r="GP425" s="14">
        <f t="shared" si="447"/>
        <v>800</v>
      </c>
      <c r="HK425" s="13">
        <v>420</v>
      </c>
      <c r="HL425" s="14">
        <f t="shared" si="467"/>
        <v>18</v>
      </c>
      <c r="HM425" s="14">
        <f t="shared" si="468"/>
        <v>2</v>
      </c>
      <c r="HN425" s="14">
        <f t="shared" si="469"/>
        <v>7</v>
      </c>
      <c r="HO425" s="14">
        <f t="shared" si="470"/>
        <v>3</v>
      </c>
      <c r="HP425" s="14" t="str">
        <f t="shared" si="471"/>
        <v>110级守护灵洗练-Q3-12</v>
      </c>
      <c r="HQ425" s="14">
        <f t="shared" si="472"/>
        <v>2073</v>
      </c>
      <c r="HR425" s="14">
        <f t="shared" si="473"/>
        <v>12</v>
      </c>
      <c r="HS425" s="14">
        <f t="shared" si="474"/>
        <v>500</v>
      </c>
      <c r="HT425" s="14" t="str">
        <f t="shared" si="475"/>
        <v>EffectResist</v>
      </c>
      <c r="HU425" s="14">
        <f t="shared" si="476"/>
        <v>1.7999999999999999E-2</v>
      </c>
      <c r="HV425" s="14">
        <f t="shared" si="477"/>
        <v>0.05</v>
      </c>
    </row>
    <row r="426" spans="151:230" ht="16.5" x14ac:dyDescent="0.2">
      <c r="EU426" s="13">
        <v>421</v>
      </c>
      <c r="EV426" s="14">
        <f t="shared" si="448"/>
        <v>1</v>
      </c>
      <c r="EW426" s="14">
        <f t="shared" si="449"/>
        <v>421</v>
      </c>
      <c r="EX426" s="14">
        <f t="shared" si="450"/>
        <v>56</v>
      </c>
      <c r="EY426" s="14">
        <f t="shared" si="425"/>
        <v>40</v>
      </c>
      <c r="EZ426" s="14">
        <f t="shared" si="426"/>
        <v>11</v>
      </c>
      <c r="FA426" s="14">
        <f t="shared" si="427"/>
        <v>150</v>
      </c>
      <c r="FB426" s="14">
        <f t="shared" si="428"/>
        <v>4</v>
      </c>
      <c r="FC426" s="14">
        <f t="shared" si="429"/>
        <v>5</v>
      </c>
      <c r="FD426" s="14">
        <f t="shared" si="430"/>
        <v>5</v>
      </c>
      <c r="FE426" s="14" t="b">
        <f t="shared" si="451"/>
        <v>0</v>
      </c>
      <c r="FF426" s="14">
        <f t="shared" si="431"/>
        <v>2011405</v>
      </c>
      <c r="FG426" s="13" t="str">
        <f t="shared" si="432"/>
        <v>150级-史诗寄灵人の鞋子</v>
      </c>
      <c r="FH426" s="14">
        <f t="shared" si="433"/>
        <v>1</v>
      </c>
      <c r="FI426" s="14">
        <f t="shared" si="434"/>
        <v>4</v>
      </c>
      <c r="FJ426" s="14">
        <f t="shared" si="435"/>
        <v>150</v>
      </c>
      <c r="FK426" s="14">
        <v>1</v>
      </c>
      <c r="FL426" s="14">
        <f t="shared" si="436"/>
        <v>11</v>
      </c>
      <c r="FM426" s="14">
        <f t="shared" si="452"/>
        <v>5</v>
      </c>
      <c r="FN426" s="14" t="str">
        <f t="shared" si="437"/>
        <v/>
      </c>
      <c r="FO426" s="14">
        <f t="shared" si="438"/>
        <v>582</v>
      </c>
      <c r="FP426" s="14">
        <f t="shared" si="453"/>
        <v>0</v>
      </c>
      <c r="FQ426" s="14">
        <f t="shared" si="454"/>
        <v>0</v>
      </c>
      <c r="FR426" s="14">
        <f t="shared" si="455"/>
        <v>9700</v>
      </c>
      <c r="FS426" s="14">
        <f t="shared" si="456"/>
        <v>0</v>
      </c>
      <c r="FT426" s="14">
        <f t="shared" si="457"/>
        <v>0</v>
      </c>
      <c r="FU426" s="14">
        <f t="shared" si="458"/>
        <v>582</v>
      </c>
      <c r="FV426" s="14">
        <f t="shared" si="439"/>
        <v>1114</v>
      </c>
      <c r="FW426" s="14">
        <f t="shared" si="440"/>
        <v>7</v>
      </c>
      <c r="FX426" s="14">
        <f t="shared" si="441"/>
        <v>1114</v>
      </c>
      <c r="FY426" s="25" t="str">
        <f t="shared" si="459"/>
        <v>icon_2011105</v>
      </c>
      <c r="GC426" s="14">
        <f t="shared" si="442"/>
        <v>3</v>
      </c>
      <c r="GD426" s="14">
        <f t="shared" si="443"/>
        <v>0</v>
      </c>
      <c r="GE426" s="14">
        <f t="shared" si="460"/>
        <v>582</v>
      </c>
      <c r="GF426" s="14" t="str">
        <f t="shared" si="444"/>
        <v>HPExt</v>
      </c>
      <c r="GG426" s="14">
        <f t="shared" si="461"/>
        <v>9700</v>
      </c>
      <c r="GH426" s="14">
        <f t="shared" si="462"/>
        <v>582</v>
      </c>
      <c r="GI426" s="14" t="str">
        <f t="shared" si="445"/>
        <v/>
      </c>
      <c r="GJ426" s="14" t="str">
        <f t="shared" si="463"/>
        <v/>
      </c>
      <c r="GK426" s="14" t="str">
        <f t="shared" si="464"/>
        <v/>
      </c>
      <c r="GL426" s="14">
        <f t="shared" si="446"/>
        <v>21140</v>
      </c>
      <c r="GM426" s="14">
        <f t="shared" si="465"/>
        <v>7</v>
      </c>
      <c r="GN426" s="14">
        <f t="shared" si="466"/>
        <v>1114</v>
      </c>
      <c r="GO426" s="25" t="s">
        <v>1471</v>
      </c>
      <c r="GP426" s="14">
        <f t="shared" si="447"/>
        <v>800</v>
      </c>
      <c r="HK426" s="13">
        <v>421</v>
      </c>
      <c r="HL426" s="14">
        <f t="shared" si="467"/>
        <v>18</v>
      </c>
      <c r="HM426" s="14">
        <f t="shared" si="468"/>
        <v>2</v>
      </c>
      <c r="HN426" s="14">
        <f t="shared" si="469"/>
        <v>7</v>
      </c>
      <c r="HO426" s="14">
        <f t="shared" si="470"/>
        <v>4</v>
      </c>
      <c r="HP426" s="14" t="str">
        <f t="shared" si="471"/>
        <v>110级守护灵洗练-Q4-1</v>
      </c>
      <c r="HQ426" s="14">
        <f t="shared" si="472"/>
        <v>2074</v>
      </c>
      <c r="HR426" s="14">
        <f t="shared" si="473"/>
        <v>1</v>
      </c>
      <c r="HS426" s="14">
        <f t="shared" si="474"/>
        <v>1800</v>
      </c>
      <c r="HT426" s="14" t="str">
        <f t="shared" si="475"/>
        <v>AtkExt</v>
      </c>
      <c r="HU426" s="14">
        <f t="shared" si="476"/>
        <v>182</v>
      </c>
      <c r="HV426" s="14">
        <f t="shared" si="477"/>
        <v>522</v>
      </c>
    </row>
    <row r="427" spans="151:230" ht="16.5" x14ac:dyDescent="0.2">
      <c r="EU427" s="13">
        <v>422</v>
      </c>
      <c r="EV427" s="14">
        <f t="shared" si="448"/>
        <v>1</v>
      </c>
      <c r="EW427" s="14">
        <f t="shared" si="449"/>
        <v>422</v>
      </c>
      <c r="EX427" s="14">
        <f t="shared" si="450"/>
        <v>56</v>
      </c>
      <c r="EY427" s="14">
        <f t="shared" si="425"/>
        <v>40</v>
      </c>
      <c r="EZ427" s="14">
        <f t="shared" si="426"/>
        <v>11</v>
      </c>
      <c r="FA427" s="14">
        <f t="shared" si="427"/>
        <v>150</v>
      </c>
      <c r="FB427" s="14">
        <f t="shared" si="428"/>
        <v>4</v>
      </c>
      <c r="FC427" s="14">
        <f t="shared" si="429"/>
        <v>6</v>
      </c>
      <c r="FD427" s="14">
        <f t="shared" si="430"/>
        <v>6</v>
      </c>
      <c r="FE427" s="14" t="b">
        <f t="shared" si="451"/>
        <v>0</v>
      </c>
      <c r="FF427" s="14">
        <f t="shared" si="431"/>
        <v>2011406</v>
      </c>
      <c r="FG427" s="13" t="str">
        <f t="shared" si="432"/>
        <v>150级-史诗寄灵人の护手</v>
      </c>
      <c r="FH427" s="14">
        <f t="shared" si="433"/>
        <v>1</v>
      </c>
      <c r="FI427" s="14">
        <f t="shared" si="434"/>
        <v>4</v>
      </c>
      <c r="FJ427" s="14">
        <f t="shared" si="435"/>
        <v>150</v>
      </c>
      <c r="FK427" s="14">
        <v>1</v>
      </c>
      <c r="FL427" s="14">
        <f t="shared" si="436"/>
        <v>11</v>
      </c>
      <c r="FM427" s="14">
        <f t="shared" si="452"/>
        <v>6</v>
      </c>
      <c r="FN427" s="14" t="str">
        <f t="shared" si="437"/>
        <v/>
      </c>
      <c r="FO427" s="14">
        <f t="shared" si="438"/>
        <v>582</v>
      </c>
      <c r="FP427" s="14">
        <f t="shared" si="453"/>
        <v>0</v>
      </c>
      <c r="FQ427" s="14">
        <f t="shared" si="454"/>
        <v>0</v>
      </c>
      <c r="FR427" s="14">
        <f t="shared" si="455"/>
        <v>9700</v>
      </c>
      <c r="FS427" s="14">
        <f t="shared" si="456"/>
        <v>0</v>
      </c>
      <c r="FT427" s="14">
        <f t="shared" si="457"/>
        <v>0</v>
      </c>
      <c r="FU427" s="14">
        <f t="shared" si="458"/>
        <v>582</v>
      </c>
      <c r="FV427" s="14">
        <f t="shared" si="439"/>
        <v>1114</v>
      </c>
      <c r="FW427" s="14">
        <f t="shared" si="440"/>
        <v>7</v>
      </c>
      <c r="FX427" s="14">
        <f t="shared" si="441"/>
        <v>1114</v>
      </c>
      <c r="FY427" s="25" t="str">
        <f t="shared" si="459"/>
        <v>icon_2011106</v>
      </c>
      <c r="GC427" s="14">
        <f t="shared" si="442"/>
        <v>3</v>
      </c>
      <c r="GD427" s="14">
        <f t="shared" si="443"/>
        <v>0</v>
      </c>
      <c r="GE427" s="14">
        <f t="shared" si="460"/>
        <v>582</v>
      </c>
      <c r="GF427" s="14" t="str">
        <f t="shared" si="444"/>
        <v>HPExt</v>
      </c>
      <c r="GG427" s="14">
        <f t="shared" si="461"/>
        <v>9700</v>
      </c>
      <c r="GH427" s="14">
        <f t="shared" si="462"/>
        <v>582</v>
      </c>
      <c r="GI427" s="14" t="str">
        <f t="shared" si="445"/>
        <v/>
      </c>
      <c r="GJ427" s="14" t="str">
        <f t="shared" si="463"/>
        <v/>
      </c>
      <c r="GK427" s="14" t="str">
        <f t="shared" si="464"/>
        <v/>
      </c>
      <c r="GL427" s="14">
        <f t="shared" si="446"/>
        <v>21140</v>
      </c>
      <c r="GM427" s="14">
        <f t="shared" si="465"/>
        <v>7</v>
      </c>
      <c r="GN427" s="14">
        <f t="shared" si="466"/>
        <v>1114</v>
      </c>
      <c r="GO427" s="25" t="s">
        <v>1471</v>
      </c>
      <c r="GP427" s="14">
        <f t="shared" si="447"/>
        <v>800</v>
      </c>
      <c r="HK427" s="13">
        <v>422</v>
      </c>
      <c r="HL427" s="14">
        <f t="shared" si="467"/>
        <v>18</v>
      </c>
      <c r="HM427" s="14">
        <f t="shared" si="468"/>
        <v>2</v>
      </c>
      <c r="HN427" s="14">
        <f t="shared" si="469"/>
        <v>7</v>
      </c>
      <c r="HO427" s="14">
        <f t="shared" si="470"/>
        <v>4</v>
      </c>
      <c r="HP427" s="14" t="str">
        <f t="shared" si="471"/>
        <v>110级守护灵洗练-Q4-2</v>
      </c>
      <c r="HQ427" s="14">
        <f t="shared" si="472"/>
        <v>2074</v>
      </c>
      <c r="HR427" s="14">
        <f t="shared" si="473"/>
        <v>2</v>
      </c>
      <c r="HS427" s="14">
        <f t="shared" si="474"/>
        <v>1800</v>
      </c>
      <c r="HT427" s="14" t="str">
        <f t="shared" si="475"/>
        <v>DefExt</v>
      </c>
      <c r="HU427" s="14">
        <f t="shared" si="476"/>
        <v>64</v>
      </c>
      <c r="HV427" s="14">
        <f t="shared" si="477"/>
        <v>183</v>
      </c>
    </row>
    <row r="428" spans="151:230" ht="16.5" x14ac:dyDescent="0.2">
      <c r="EU428" s="13">
        <v>423</v>
      </c>
      <c r="EV428" s="14">
        <f t="shared" si="448"/>
        <v>1</v>
      </c>
      <c r="EW428" s="14">
        <f t="shared" si="449"/>
        <v>423</v>
      </c>
      <c r="EX428" s="14">
        <f t="shared" si="450"/>
        <v>56</v>
      </c>
      <c r="EY428" s="14">
        <f t="shared" si="425"/>
        <v>40</v>
      </c>
      <c r="EZ428" s="14">
        <f t="shared" si="426"/>
        <v>11</v>
      </c>
      <c r="FA428" s="14">
        <f t="shared" si="427"/>
        <v>150</v>
      </c>
      <c r="FB428" s="14">
        <f t="shared" si="428"/>
        <v>4</v>
      </c>
      <c r="FC428" s="14">
        <f t="shared" si="429"/>
        <v>7</v>
      </c>
      <c r="FD428" s="14">
        <f t="shared" si="430"/>
        <v>7</v>
      </c>
      <c r="FE428" s="14" t="b">
        <f t="shared" si="451"/>
        <v>0</v>
      </c>
      <c r="FF428" s="14">
        <f t="shared" si="431"/>
        <v>2011407</v>
      </c>
      <c r="FG428" s="13" t="str">
        <f t="shared" si="432"/>
        <v>150级-史诗寄灵人の项链</v>
      </c>
      <c r="FH428" s="14">
        <f t="shared" si="433"/>
        <v>1</v>
      </c>
      <c r="FI428" s="14">
        <f t="shared" si="434"/>
        <v>4</v>
      </c>
      <c r="FJ428" s="14">
        <f t="shared" si="435"/>
        <v>150</v>
      </c>
      <c r="FK428" s="14">
        <v>1</v>
      </c>
      <c r="FL428" s="14">
        <f t="shared" si="436"/>
        <v>11</v>
      </c>
      <c r="FM428" s="14">
        <f t="shared" si="452"/>
        <v>7</v>
      </c>
      <c r="FN428" s="14" t="str">
        <f t="shared" si="437"/>
        <v/>
      </c>
      <c r="FO428" s="14">
        <f t="shared" si="438"/>
        <v>450</v>
      </c>
      <c r="FP428" s="14">
        <f t="shared" si="453"/>
        <v>670</v>
      </c>
      <c r="FQ428" s="14">
        <f t="shared" si="454"/>
        <v>420</v>
      </c>
      <c r="FR428" s="14">
        <f t="shared" si="455"/>
        <v>0</v>
      </c>
      <c r="FS428" s="14">
        <f t="shared" si="456"/>
        <v>40</v>
      </c>
      <c r="FT428" s="14">
        <f t="shared" si="457"/>
        <v>25</v>
      </c>
      <c r="FU428" s="14">
        <f t="shared" si="458"/>
        <v>0</v>
      </c>
      <c r="FV428" s="14">
        <f t="shared" si="439"/>
        <v>1114</v>
      </c>
      <c r="FW428" s="14">
        <f t="shared" si="440"/>
        <v>7</v>
      </c>
      <c r="FX428" s="14">
        <f t="shared" si="441"/>
        <v>1114</v>
      </c>
      <c r="FY428" s="25" t="str">
        <f t="shared" si="459"/>
        <v>icon_2011107</v>
      </c>
      <c r="GC428" s="14">
        <f t="shared" si="442"/>
        <v>1</v>
      </c>
      <c r="GD428" s="14">
        <f t="shared" si="443"/>
        <v>2</v>
      </c>
      <c r="GE428" s="14">
        <f t="shared" si="460"/>
        <v>450</v>
      </c>
      <c r="GF428" s="14" t="str">
        <f t="shared" si="444"/>
        <v>AtkExt</v>
      </c>
      <c r="GG428" s="14">
        <f t="shared" si="461"/>
        <v>670</v>
      </c>
      <c r="GH428" s="14">
        <f t="shared" si="462"/>
        <v>40</v>
      </c>
      <c r="GI428" s="14" t="str">
        <f t="shared" si="445"/>
        <v>DefExt</v>
      </c>
      <c r="GJ428" s="14">
        <f t="shared" si="463"/>
        <v>420</v>
      </c>
      <c r="GK428" s="14">
        <f t="shared" si="464"/>
        <v>25</v>
      </c>
      <c r="GL428" s="14">
        <f t="shared" si="446"/>
        <v>21140</v>
      </c>
      <c r="GM428" s="14">
        <f t="shared" si="465"/>
        <v>7</v>
      </c>
      <c r="GN428" s="14">
        <f t="shared" si="466"/>
        <v>1114</v>
      </c>
      <c r="GO428" s="25" t="s">
        <v>1471</v>
      </c>
      <c r="GP428" s="14">
        <f t="shared" si="447"/>
        <v>1200</v>
      </c>
      <c r="HK428" s="13">
        <v>423</v>
      </c>
      <c r="HL428" s="14">
        <f t="shared" si="467"/>
        <v>18</v>
      </c>
      <c r="HM428" s="14">
        <f t="shared" si="468"/>
        <v>2</v>
      </c>
      <c r="HN428" s="14">
        <f t="shared" si="469"/>
        <v>7</v>
      </c>
      <c r="HO428" s="14">
        <f t="shared" si="470"/>
        <v>4</v>
      </c>
      <c r="HP428" s="14" t="str">
        <f t="shared" si="471"/>
        <v>110级守护灵洗练-Q4-3</v>
      </c>
      <c r="HQ428" s="14">
        <f t="shared" si="472"/>
        <v>2074</v>
      </c>
      <c r="HR428" s="14">
        <f t="shared" si="473"/>
        <v>3</v>
      </c>
      <c r="HS428" s="14">
        <f t="shared" si="474"/>
        <v>2000</v>
      </c>
      <c r="HT428" s="14" t="str">
        <f t="shared" si="475"/>
        <v>HPExt</v>
      </c>
      <c r="HU428" s="14">
        <f t="shared" si="476"/>
        <v>1447</v>
      </c>
      <c r="HV428" s="14">
        <f t="shared" si="477"/>
        <v>4136</v>
      </c>
    </row>
    <row r="429" spans="151:230" ht="16.5" x14ac:dyDescent="0.2">
      <c r="EU429" s="13">
        <v>424</v>
      </c>
      <c r="EV429" s="14">
        <f t="shared" si="448"/>
        <v>1</v>
      </c>
      <c r="EW429" s="14">
        <f t="shared" si="449"/>
        <v>424</v>
      </c>
      <c r="EX429" s="14">
        <f t="shared" si="450"/>
        <v>56</v>
      </c>
      <c r="EY429" s="14">
        <f t="shared" si="425"/>
        <v>40</v>
      </c>
      <c r="EZ429" s="14">
        <f t="shared" si="426"/>
        <v>11</v>
      </c>
      <c r="FA429" s="14">
        <f t="shared" si="427"/>
        <v>150</v>
      </c>
      <c r="FB429" s="14">
        <f t="shared" si="428"/>
        <v>4</v>
      </c>
      <c r="FC429" s="14">
        <f t="shared" si="429"/>
        <v>8</v>
      </c>
      <c r="FD429" s="14">
        <f t="shared" si="430"/>
        <v>8</v>
      </c>
      <c r="FE429" s="14" t="b">
        <f t="shared" si="451"/>
        <v>0</v>
      </c>
      <c r="FF429" s="14">
        <f t="shared" si="431"/>
        <v>2011408</v>
      </c>
      <c r="FG429" s="13" t="str">
        <f t="shared" si="432"/>
        <v>150级-史诗寄灵人の戒指</v>
      </c>
      <c r="FH429" s="14">
        <f t="shared" si="433"/>
        <v>1</v>
      </c>
      <c r="FI429" s="14">
        <f t="shared" si="434"/>
        <v>4</v>
      </c>
      <c r="FJ429" s="14">
        <f t="shared" si="435"/>
        <v>150</v>
      </c>
      <c r="FK429" s="14">
        <v>1</v>
      </c>
      <c r="FL429" s="14">
        <f t="shared" si="436"/>
        <v>11</v>
      </c>
      <c r="FM429" s="14">
        <f t="shared" si="452"/>
        <v>8</v>
      </c>
      <c r="FN429" s="14" t="str">
        <f t="shared" si="437"/>
        <v/>
      </c>
      <c r="FO429" s="14">
        <f t="shared" si="438"/>
        <v>685</v>
      </c>
      <c r="FP429" s="14">
        <f t="shared" si="453"/>
        <v>670</v>
      </c>
      <c r="FQ429" s="14">
        <f t="shared" si="454"/>
        <v>0</v>
      </c>
      <c r="FR429" s="14">
        <f t="shared" si="455"/>
        <v>8085</v>
      </c>
      <c r="FS429" s="14">
        <f t="shared" si="456"/>
        <v>40</v>
      </c>
      <c r="FT429" s="14">
        <f t="shared" si="457"/>
        <v>0</v>
      </c>
      <c r="FU429" s="14">
        <f t="shared" si="458"/>
        <v>485</v>
      </c>
      <c r="FV429" s="14">
        <f t="shared" si="439"/>
        <v>1114</v>
      </c>
      <c r="FW429" s="14">
        <f t="shared" si="440"/>
        <v>7</v>
      </c>
      <c r="FX429" s="14">
        <f t="shared" si="441"/>
        <v>1114</v>
      </c>
      <c r="FY429" s="25" t="str">
        <f t="shared" si="459"/>
        <v>icon_2011108</v>
      </c>
      <c r="GC429" s="14">
        <f t="shared" si="442"/>
        <v>1</v>
      </c>
      <c r="GD429" s="14">
        <f t="shared" si="443"/>
        <v>3</v>
      </c>
      <c r="GE429" s="14">
        <f t="shared" si="460"/>
        <v>685</v>
      </c>
      <c r="GF429" s="14" t="str">
        <f t="shared" si="444"/>
        <v>AtkExt</v>
      </c>
      <c r="GG429" s="14">
        <f t="shared" si="461"/>
        <v>670</v>
      </c>
      <c r="GH429" s="14">
        <f t="shared" si="462"/>
        <v>40</v>
      </c>
      <c r="GI429" s="14" t="str">
        <f t="shared" si="445"/>
        <v>HPExt</v>
      </c>
      <c r="GJ429" s="14">
        <f t="shared" si="463"/>
        <v>8085</v>
      </c>
      <c r="GK429" s="14">
        <f t="shared" si="464"/>
        <v>485</v>
      </c>
      <c r="GL429" s="14">
        <f t="shared" si="446"/>
        <v>21140</v>
      </c>
      <c r="GM429" s="14">
        <f t="shared" si="465"/>
        <v>7</v>
      </c>
      <c r="GN429" s="14">
        <f t="shared" si="466"/>
        <v>1114</v>
      </c>
      <c r="GO429" s="25" t="s">
        <v>1471</v>
      </c>
      <c r="GP429" s="14">
        <f t="shared" si="447"/>
        <v>1200</v>
      </c>
      <c r="HK429" s="13">
        <v>424</v>
      </c>
      <c r="HL429" s="14">
        <f t="shared" si="467"/>
        <v>18</v>
      </c>
      <c r="HM429" s="14">
        <f t="shared" si="468"/>
        <v>2</v>
      </c>
      <c r="HN429" s="14">
        <f t="shared" si="469"/>
        <v>7</v>
      </c>
      <c r="HO429" s="14">
        <f t="shared" si="470"/>
        <v>4</v>
      </c>
      <c r="HP429" s="14" t="str">
        <f t="shared" si="471"/>
        <v>110级守护灵洗练-Q4-4</v>
      </c>
      <c r="HQ429" s="14">
        <f t="shared" si="472"/>
        <v>2074</v>
      </c>
      <c r="HR429" s="14">
        <f t="shared" si="473"/>
        <v>4</v>
      </c>
      <c r="HS429" s="14">
        <f t="shared" si="474"/>
        <v>500</v>
      </c>
      <c r="HT429" s="14" t="str">
        <f t="shared" si="475"/>
        <v>AtkRate</v>
      </c>
      <c r="HU429" s="14">
        <f t="shared" si="476"/>
        <v>1.4E-2</v>
      </c>
      <c r="HV429" s="14">
        <f t="shared" si="477"/>
        <v>0.04</v>
      </c>
    </row>
    <row r="430" spans="151:230" ht="16.5" x14ac:dyDescent="0.2">
      <c r="EU430" s="13">
        <v>425</v>
      </c>
      <c r="EV430" s="14">
        <f t="shared" si="448"/>
        <v>1</v>
      </c>
      <c r="EW430" s="14">
        <f t="shared" si="449"/>
        <v>425</v>
      </c>
      <c r="EX430" s="14">
        <f t="shared" si="450"/>
        <v>57</v>
      </c>
      <c r="EY430" s="14">
        <f t="shared" si="425"/>
        <v>42</v>
      </c>
      <c r="EZ430" s="14">
        <f t="shared" si="426"/>
        <v>11</v>
      </c>
      <c r="FA430" s="14">
        <f t="shared" si="427"/>
        <v>150</v>
      </c>
      <c r="FB430" s="14">
        <f t="shared" si="428"/>
        <v>4</v>
      </c>
      <c r="FC430" s="14">
        <f t="shared" si="429"/>
        <v>1</v>
      </c>
      <c r="FD430" s="14">
        <f t="shared" si="430"/>
        <v>1</v>
      </c>
      <c r="FE430" s="14" t="b">
        <f t="shared" si="451"/>
        <v>1</v>
      </c>
      <c r="FF430" s="14">
        <f t="shared" si="431"/>
        <v>2011421</v>
      </c>
      <c r="FG430" s="13" t="str">
        <f t="shared" si="432"/>
        <v>150级-防御套寄灵人の灵器</v>
      </c>
      <c r="FH430" s="14">
        <f t="shared" si="433"/>
        <v>1</v>
      </c>
      <c r="FI430" s="14">
        <f t="shared" si="434"/>
        <v>4</v>
      </c>
      <c r="FJ430" s="14">
        <f t="shared" si="435"/>
        <v>150</v>
      </c>
      <c r="FK430" s="14">
        <v>1</v>
      </c>
      <c r="FL430" s="14">
        <f t="shared" si="436"/>
        <v>11</v>
      </c>
      <c r="FM430" s="14">
        <f t="shared" si="452"/>
        <v>1</v>
      </c>
      <c r="FN430" s="14">
        <f t="shared" si="437"/>
        <v>201142</v>
      </c>
      <c r="FO430" s="14">
        <f t="shared" si="438"/>
        <v>907</v>
      </c>
      <c r="FP430" s="14">
        <f t="shared" si="453"/>
        <v>2015</v>
      </c>
      <c r="FQ430" s="14">
        <f t="shared" si="454"/>
        <v>0</v>
      </c>
      <c r="FR430" s="14">
        <f t="shared" si="455"/>
        <v>0</v>
      </c>
      <c r="FS430" s="14">
        <f t="shared" si="456"/>
        <v>121</v>
      </c>
      <c r="FT430" s="14">
        <f t="shared" si="457"/>
        <v>0</v>
      </c>
      <c r="FU430" s="14">
        <f t="shared" si="458"/>
        <v>0</v>
      </c>
      <c r="FV430" s="14">
        <f t="shared" si="439"/>
        <v>1114</v>
      </c>
      <c r="FW430" s="14">
        <f t="shared" si="440"/>
        <v>7</v>
      </c>
      <c r="FX430" s="14">
        <f t="shared" si="441"/>
        <v>1114</v>
      </c>
      <c r="FY430" s="25" t="str">
        <f t="shared" si="459"/>
        <v>icon_2011421</v>
      </c>
      <c r="GC430" s="14">
        <f t="shared" si="442"/>
        <v>1</v>
      </c>
      <c r="GD430" s="14">
        <f t="shared" si="443"/>
        <v>0</v>
      </c>
      <c r="GE430" s="14">
        <f t="shared" si="460"/>
        <v>907</v>
      </c>
      <c r="GF430" s="14" t="str">
        <f t="shared" si="444"/>
        <v>AtkExt</v>
      </c>
      <c r="GG430" s="14">
        <f t="shared" si="461"/>
        <v>2015</v>
      </c>
      <c r="GH430" s="14">
        <f t="shared" si="462"/>
        <v>121</v>
      </c>
      <c r="GI430" s="14" t="str">
        <f t="shared" si="445"/>
        <v/>
      </c>
      <c r="GJ430" s="14" t="str">
        <f t="shared" si="463"/>
        <v/>
      </c>
      <c r="GK430" s="14" t="str">
        <f t="shared" si="464"/>
        <v/>
      </c>
      <c r="GL430" s="14">
        <f t="shared" si="446"/>
        <v>21140</v>
      </c>
      <c r="GM430" s="14">
        <f t="shared" si="465"/>
        <v>7</v>
      </c>
      <c r="GN430" s="14">
        <f t="shared" si="466"/>
        <v>1114</v>
      </c>
      <c r="GO430" s="25" t="s">
        <v>1471</v>
      </c>
      <c r="GP430" s="14">
        <f t="shared" si="447"/>
        <v>1600</v>
      </c>
      <c r="HK430" s="13">
        <v>425</v>
      </c>
      <c r="HL430" s="14">
        <f t="shared" si="467"/>
        <v>18</v>
      </c>
      <c r="HM430" s="14">
        <f t="shared" si="468"/>
        <v>2</v>
      </c>
      <c r="HN430" s="14">
        <f t="shared" si="469"/>
        <v>7</v>
      </c>
      <c r="HO430" s="14">
        <f t="shared" si="470"/>
        <v>4</v>
      </c>
      <c r="HP430" s="14" t="str">
        <f t="shared" si="471"/>
        <v>110级守护灵洗练-Q4-5</v>
      </c>
      <c r="HQ430" s="14">
        <f t="shared" si="472"/>
        <v>2074</v>
      </c>
      <c r="HR430" s="14">
        <f t="shared" si="473"/>
        <v>5</v>
      </c>
      <c r="HS430" s="14">
        <f t="shared" si="474"/>
        <v>400</v>
      </c>
      <c r="HT430" s="14" t="str">
        <f t="shared" si="475"/>
        <v>DefRate</v>
      </c>
      <c r="HU430" s="14">
        <f t="shared" si="476"/>
        <v>1.4E-2</v>
      </c>
      <c r="HV430" s="14">
        <f t="shared" si="477"/>
        <v>0.04</v>
      </c>
    </row>
    <row r="431" spans="151:230" ht="16.5" x14ac:dyDescent="0.2">
      <c r="EU431" s="13">
        <v>426</v>
      </c>
      <c r="EV431" s="14">
        <f t="shared" si="448"/>
        <v>1</v>
      </c>
      <c r="EW431" s="14">
        <f t="shared" si="449"/>
        <v>426</v>
      </c>
      <c r="EX431" s="14">
        <f t="shared" si="450"/>
        <v>57</v>
      </c>
      <c r="EY431" s="14">
        <f t="shared" si="425"/>
        <v>42</v>
      </c>
      <c r="EZ431" s="14">
        <f t="shared" si="426"/>
        <v>11</v>
      </c>
      <c r="FA431" s="14">
        <f t="shared" si="427"/>
        <v>150</v>
      </c>
      <c r="FB431" s="14">
        <f t="shared" si="428"/>
        <v>4</v>
      </c>
      <c r="FC431" s="14">
        <f t="shared" si="429"/>
        <v>2</v>
      </c>
      <c r="FD431" s="14">
        <f t="shared" si="430"/>
        <v>2</v>
      </c>
      <c r="FE431" s="14" t="b">
        <f t="shared" si="451"/>
        <v>1</v>
      </c>
      <c r="FF431" s="14">
        <f t="shared" si="431"/>
        <v>2011422</v>
      </c>
      <c r="FG431" s="13" t="str">
        <f t="shared" si="432"/>
        <v>150级-防御套寄灵人の头盔</v>
      </c>
      <c r="FH431" s="14">
        <f t="shared" si="433"/>
        <v>1</v>
      </c>
      <c r="FI431" s="14">
        <f t="shared" si="434"/>
        <v>4</v>
      </c>
      <c r="FJ431" s="14">
        <f t="shared" si="435"/>
        <v>150</v>
      </c>
      <c r="FK431" s="14">
        <v>1</v>
      </c>
      <c r="FL431" s="14">
        <f t="shared" si="436"/>
        <v>11</v>
      </c>
      <c r="FM431" s="14">
        <f t="shared" si="452"/>
        <v>2</v>
      </c>
      <c r="FN431" s="14">
        <f t="shared" si="437"/>
        <v>201142</v>
      </c>
      <c r="FO431" s="14">
        <f t="shared" si="438"/>
        <v>450</v>
      </c>
      <c r="FP431" s="14">
        <f t="shared" si="453"/>
        <v>0</v>
      </c>
      <c r="FQ431" s="14">
        <f t="shared" si="454"/>
        <v>505</v>
      </c>
      <c r="FR431" s="14">
        <f t="shared" si="455"/>
        <v>0</v>
      </c>
      <c r="FS431" s="14">
        <f t="shared" si="456"/>
        <v>0</v>
      </c>
      <c r="FT431" s="14">
        <f t="shared" si="457"/>
        <v>30</v>
      </c>
      <c r="FU431" s="14">
        <f t="shared" si="458"/>
        <v>0</v>
      </c>
      <c r="FV431" s="14">
        <f t="shared" si="439"/>
        <v>1114</v>
      </c>
      <c r="FW431" s="14">
        <f t="shared" si="440"/>
        <v>7</v>
      </c>
      <c r="FX431" s="14">
        <f t="shared" si="441"/>
        <v>1114</v>
      </c>
      <c r="FY431" s="25" t="str">
        <f t="shared" si="459"/>
        <v>icon_2011422</v>
      </c>
      <c r="GC431" s="14">
        <f t="shared" si="442"/>
        <v>2</v>
      </c>
      <c r="GD431" s="14">
        <f t="shared" si="443"/>
        <v>0</v>
      </c>
      <c r="GE431" s="14">
        <f t="shared" si="460"/>
        <v>450</v>
      </c>
      <c r="GF431" s="14" t="str">
        <f t="shared" si="444"/>
        <v>DefExt</v>
      </c>
      <c r="GG431" s="14">
        <f t="shared" si="461"/>
        <v>505</v>
      </c>
      <c r="GH431" s="14">
        <f t="shared" si="462"/>
        <v>30</v>
      </c>
      <c r="GI431" s="14" t="str">
        <f t="shared" si="445"/>
        <v/>
      </c>
      <c r="GJ431" s="14" t="str">
        <f t="shared" si="463"/>
        <v/>
      </c>
      <c r="GK431" s="14" t="str">
        <f t="shared" si="464"/>
        <v/>
      </c>
      <c r="GL431" s="14">
        <f t="shared" si="446"/>
        <v>21140</v>
      </c>
      <c r="GM431" s="14">
        <f t="shared" si="465"/>
        <v>7</v>
      </c>
      <c r="GN431" s="14">
        <f t="shared" si="466"/>
        <v>1114</v>
      </c>
      <c r="GO431" s="25" t="s">
        <v>1471</v>
      </c>
      <c r="GP431" s="14">
        <f t="shared" si="447"/>
        <v>800</v>
      </c>
      <c r="HK431" s="13">
        <v>426</v>
      </c>
      <c r="HL431" s="14">
        <f t="shared" si="467"/>
        <v>18</v>
      </c>
      <c r="HM431" s="14">
        <f t="shared" si="468"/>
        <v>2</v>
      </c>
      <c r="HN431" s="14">
        <f t="shared" si="469"/>
        <v>7</v>
      </c>
      <c r="HO431" s="14">
        <f t="shared" si="470"/>
        <v>4</v>
      </c>
      <c r="HP431" s="14" t="str">
        <f t="shared" si="471"/>
        <v>110级守护灵洗练-Q4-6</v>
      </c>
      <c r="HQ431" s="14">
        <f t="shared" si="472"/>
        <v>2074</v>
      </c>
      <c r="HR431" s="14">
        <f t="shared" si="473"/>
        <v>6</v>
      </c>
      <c r="HS431" s="14">
        <f t="shared" si="474"/>
        <v>500</v>
      </c>
      <c r="HT431" s="14" t="str">
        <f t="shared" si="475"/>
        <v>HPRate</v>
      </c>
      <c r="HU431" s="14">
        <f t="shared" si="476"/>
        <v>1.4E-2</v>
      </c>
      <c r="HV431" s="14">
        <f t="shared" si="477"/>
        <v>0.04</v>
      </c>
    </row>
    <row r="432" spans="151:230" ht="16.5" x14ac:dyDescent="0.2">
      <c r="EU432" s="13">
        <v>427</v>
      </c>
      <c r="EV432" s="14">
        <f t="shared" si="448"/>
        <v>1</v>
      </c>
      <c r="EW432" s="14">
        <f t="shared" si="449"/>
        <v>427</v>
      </c>
      <c r="EX432" s="14">
        <f t="shared" si="450"/>
        <v>57</v>
      </c>
      <c r="EY432" s="14">
        <f t="shared" si="425"/>
        <v>42</v>
      </c>
      <c r="EZ432" s="14">
        <f t="shared" si="426"/>
        <v>11</v>
      </c>
      <c r="FA432" s="14">
        <f t="shared" si="427"/>
        <v>150</v>
      </c>
      <c r="FB432" s="14">
        <f t="shared" si="428"/>
        <v>4</v>
      </c>
      <c r="FC432" s="14">
        <f t="shared" si="429"/>
        <v>3</v>
      </c>
      <c r="FD432" s="14">
        <f t="shared" si="430"/>
        <v>3</v>
      </c>
      <c r="FE432" s="14" t="b">
        <f t="shared" si="451"/>
        <v>1</v>
      </c>
      <c r="FF432" s="14">
        <f t="shared" si="431"/>
        <v>2011423</v>
      </c>
      <c r="FG432" s="13" t="str">
        <f t="shared" si="432"/>
        <v>150级-防御套寄灵人の铠甲</v>
      </c>
      <c r="FH432" s="14">
        <f t="shared" si="433"/>
        <v>1</v>
      </c>
      <c r="FI432" s="14">
        <f t="shared" si="434"/>
        <v>4</v>
      </c>
      <c r="FJ432" s="14">
        <f t="shared" si="435"/>
        <v>150</v>
      </c>
      <c r="FK432" s="14">
        <v>1</v>
      </c>
      <c r="FL432" s="14">
        <f t="shared" si="436"/>
        <v>11</v>
      </c>
      <c r="FM432" s="14">
        <f t="shared" si="452"/>
        <v>3</v>
      </c>
      <c r="FN432" s="14">
        <f t="shared" si="437"/>
        <v>201142</v>
      </c>
      <c r="FO432" s="14">
        <f t="shared" si="438"/>
        <v>661</v>
      </c>
      <c r="FP432" s="14">
        <f t="shared" si="453"/>
        <v>0</v>
      </c>
      <c r="FQ432" s="14">
        <f t="shared" si="454"/>
        <v>255</v>
      </c>
      <c r="FR432" s="14">
        <f t="shared" si="455"/>
        <v>4850</v>
      </c>
      <c r="FS432" s="14">
        <f t="shared" si="456"/>
        <v>0</v>
      </c>
      <c r="FT432" s="14">
        <f t="shared" si="457"/>
        <v>15</v>
      </c>
      <c r="FU432" s="14">
        <f t="shared" si="458"/>
        <v>291</v>
      </c>
      <c r="FV432" s="14">
        <f t="shared" si="439"/>
        <v>1114</v>
      </c>
      <c r="FW432" s="14">
        <f t="shared" si="440"/>
        <v>7</v>
      </c>
      <c r="FX432" s="14">
        <f t="shared" si="441"/>
        <v>1114</v>
      </c>
      <c r="FY432" s="25" t="str">
        <f t="shared" si="459"/>
        <v>icon_2011423</v>
      </c>
      <c r="GC432" s="14">
        <f t="shared" si="442"/>
        <v>2</v>
      </c>
      <c r="GD432" s="14">
        <f t="shared" si="443"/>
        <v>3</v>
      </c>
      <c r="GE432" s="14">
        <f t="shared" si="460"/>
        <v>661</v>
      </c>
      <c r="GF432" s="14" t="str">
        <f t="shared" si="444"/>
        <v>DefExt</v>
      </c>
      <c r="GG432" s="14">
        <f t="shared" si="461"/>
        <v>255</v>
      </c>
      <c r="GH432" s="14">
        <f t="shared" si="462"/>
        <v>15</v>
      </c>
      <c r="GI432" s="14" t="str">
        <f t="shared" si="445"/>
        <v>HPExt</v>
      </c>
      <c r="GJ432" s="14">
        <f t="shared" si="463"/>
        <v>4850</v>
      </c>
      <c r="GK432" s="14">
        <f t="shared" si="464"/>
        <v>291</v>
      </c>
      <c r="GL432" s="14">
        <f t="shared" si="446"/>
        <v>21140</v>
      </c>
      <c r="GM432" s="14">
        <f t="shared" si="465"/>
        <v>7</v>
      </c>
      <c r="GN432" s="14">
        <f t="shared" si="466"/>
        <v>1114</v>
      </c>
      <c r="GO432" s="25" t="s">
        <v>1471</v>
      </c>
      <c r="GP432" s="14">
        <f t="shared" si="447"/>
        <v>800</v>
      </c>
      <c r="HK432" s="13">
        <v>427</v>
      </c>
      <c r="HL432" s="14">
        <f t="shared" si="467"/>
        <v>18</v>
      </c>
      <c r="HM432" s="14">
        <f t="shared" si="468"/>
        <v>2</v>
      </c>
      <c r="HN432" s="14">
        <f t="shared" si="469"/>
        <v>7</v>
      </c>
      <c r="HO432" s="14">
        <f t="shared" si="470"/>
        <v>4</v>
      </c>
      <c r="HP432" s="14" t="str">
        <f t="shared" si="471"/>
        <v>110级守护灵洗练-Q4-7</v>
      </c>
      <c r="HQ432" s="14">
        <f t="shared" si="472"/>
        <v>2074</v>
      </c>
      <c r="HR432" s="14">
        <f t="shared" si="473"/>
        <v>7</v>
      </c>
      <c r="HS432" s="14">
        <f t="shared" si="474"/>
        <v>500</v>
      </c>
      <c r="HT432" s="14" t="str">
        <f t="shared" si="475"/>
        <v>Crit</v>
      </c>
      <c r="HU432" s="14">
        <f t="shared" si="476"/>
        <v>1.0999999999999999E-2</v>
      </c>
      <c r="HV432" s="14">
        <f t="shared" si="477"/>
        <v>0.03</v>
      </c>
    </row>
    <row r="433" spans="151:230" ht="16.5" x14ac:dyDescent="0.2">
      <c r="EU433" s="13">
        <v>428</v>
      </c>
      <c r="EV433" s="14">
        <f t="shared" si="448"/>
        <v>1</v>
      </c>
      <c r="EW433" s="14">
        <f t="shared" si="449"/>
        <v>428</v>
      </c>
      <c r="EX433" s="14">
        <f t="shared" si="450"/>
        <v>57</v>
      </c>
      <c r="EY433" s="14">
        <f t="shared" si="425"/>
        <v>42</v>
      </c>
      <c r="EZ433" s="14">
        <f t="shared" si="426"/>
        <v>11</v>
      </c>
      <c r="FA433" s="14">
        <f t="shared" si="427"/>
        <v>150</v>
      </c>
      <c r="FB433" s="14">
        <f t="shared" si="428"/>
        <v>4</v>
      </c>
      <c r="FC433" s="14">
        <f t="shared" si="429"/>
        <v>4</v>
      </c>
      <c r="FD433" s="14">
        <f t="shared" si="430"/>
        <v>4</v>
      </c>
      <c r="FE433" s="14" t="b">
        <f t="shared" si="451"/>
        <v>1</v>
      </c>
      <c r="FF433" s="14">
        <f t="shared" si="431"/>
        <v>2011424</v>
      </c>
      <c r="FG433" s="13" t="str">
        <f t="shared" si="432"/>
        <v>150级-防御套寄灵人の裤子</v>
      </c>
      <c r="FH433" s="14">
        <f t="shared" si="433"/>
        <v>1</v>
      </c>
      <c r="FI433" s="14">
        <f t="shared" si="434"/>
        <v>4</v>
      </c>
      <c r="FJ433" s="14">
        <f t="shared" si="435"/>
        <v>150</v>
      </c>
      <c r="FK433" s="14">
        <v>1</v>
      </c>
      <c r="FL433" s="14">
        <f t="shared" si="436"/>
        <v>11</v>
      </c>
      <c r="FM433" s="14">
        <f t="shared" si="452"/>
        <v>4</v>
      </c>
      <c r="FN433" s="14">
        <f t="shared" si="437"/>
        <v>201142</v>
      </c>
      <c r="FO433" s="14">
        <f t="shared" si="438"/>
        <v>450</v>
      </c>
      <c r="FP433" s="14">
        <f t="shared" si="453"/>
        <v>0</v>
      </c>
      <c r="FQ433" s="14">
        <f t="shared" si="454"/>
        <v>505</v>
      </c>
      <c r="FR433" s="14">
        <f t="shared" si="455"/>
        <v>0</v>
      </c>
      <c r="FS433" s="14">
        <f t="shared" si="456"/>
        <v>0</v>
      </c>
      <c r="FT433" s="14">
        <f t="shared" si="457"/>
        <v>30</v>
      </c>
      <c r="FU433" s="14">
        <f t="shared" si="458"/>
        <v>0</v>
      </c>
      <c r="FV433" s="14">
        <f t="shared" si="439"/>
        <v>1114</v>
      </c>
      <c r="FW433" s="14">
        <f t="shared" si="440"/>
        <v>7</v>
      </c>
      <c r="FX433" s="14">
        <f t="shared" si="441"/>
        <v>1114</v>
      </c>
      <c r="FY433" s="25" t="str">
        <f t="shared" si="459"/>
        <v>icon_2011424</v>
      </c>
      <c r="GC433" s="14">
        <f t="shared" si="442"/>
        <v>2</v>
      </c>
      <c r="GD433" s="14">
        <f t="shared" si="443"/>
        <v>0</v>
      </c>
      <c r="GE433" s="14">
        <f t="shared" si="460"/>
        <v>450</v>
      </c>
      <c r="GF433" s="14" t="str">
        <f t="shared" si="444"/>
        <v>DefExt</v>
      </c>
      <c r="GG433" s="14">
        <f t="shared" si="461"/>
        <v>505</v>
      </c>
      <c r="GH433" s="14">
        <f t="shared" si="462"/>
        <v>30</v>
      </c>
      <c r="GI433" s="14" t="str">
        <f t="shared" si="445"/>
        <v/>
      </c>
      <c r="GJ433" s="14" t="str">
        <f t="shared" si="463"/>
        <v/>
      </c>
      <c r="GK433" s="14" t="str">
        <f t="shared" si="464"/>
        <v/>
      </c>
      <c r="GL433" s="14">
        <f t="shared" si="446"/>
        <v>21140</v>
      </c>
      <c r="GM433" s="14">
        <f t="shared" si="465"/>
        <v>7</v>
      </c>
      <c r="GN433" s="14">
        <f t="shared" si="466"/>
        <v>1114</v>
      </c>
      <c r="GO433" s="25" t="s">
        <v>1471</v>
      </c>
      <c r="GP433" s="14">
        <f t="shared" si="447"/>
        <v>800</v>
      </c>
      <c r="HK433" s="13">
        <v>428</v>
      </c>
      <c r="HL433" s="14">
        <f t="shared" si="467"/>
        <v>18</v>
      </c>
      <c r="HM433" s="14">
        <f t="shared" si="468"/>
        <v>2</v>
      </c>
      <c r="HN433" s="14">
        <f t="shared" si="469"/>
        <v>7</v>
      </c>
      <c r="HO433" s="14">
        <f t="shared" si="470"/>
        <v>4</v>
      </c>
      <c r="HP433" s="14" t="str">
        <f t="shared" si="471"/>
        <v>110级守护灵洗练-Q4-8</v>
      </c>
      <c r="HQ433" s="14">
        <f t="shared" si="472"/>
        <v>2074</v>
      </c>
      <c r="HR433" s="14">
        <f t="shared" si="473"/>
        <v>8</v>
      </c>
      <c r="HS433" s="14">
        <f t="shared" si="474"/>
        <v>500</v>
      </c>
      <c r="HT433" s="14" t="str">
        <f t="shared" si="475"/>
        <v>CritRate</v>
      </c>
      <c r="HU433" s="14">
        <f t="shared" si="476"/>
        <v>2.8000000000000001E-2</v>
      </c>
      <c r="HV433" s="14">
        <f t="shared" si="477"/>
        <v>0.08</v>
      </c>
    </row>
    <row r="434" spans="151:230" ht="16.5" x14ac:dyDescent="0.2">
      <c r="EU434" s="13">
        <v>429</v>
      </c>
      <c r="EV434" s="14">
        <f t="shared" si="448"/>
        <v>1</v>
      </c>
      <c r="EW434" s="14">
        <f t="shared" si="449"/>
        <v>429</v>
      </c>
      <c r="EX434" s="14">
        <f t="shared" si="450"/>
        <v>57</v>
      </c>
      <c r="EY434" s="14">
        <f t="shared" si="425"/>
        <v>42</v>
      </c>
      <c r="EZ434" s="14">
        <f t="shared" si="426"/>
        <v>11</v>
      </c>
      <c r="FA434" s="14">
        <f t="shared" si="427"/>
        <v>150</v>
      </c>
      <c r="FB434" s="14">
        <f t="shared" si="428"/>
        <v>4</v>
      </c>
      <c r="FC434" s="14">
        <f t="shared" si="429"/>
        <v>5</v>
      </c>
      <c r="FD434" s="14">
        <f t="shared" si="430"/>
        <v>5</v>
      </c>
      <c r="FE434" s="14" t="b">
        <f t="shared" si="451"/>
        <v>1</v>
      </c>
      <c r="FF434" s="14">
        <f t="shared" si="431"/>
        <v>2011425</v>
      </c>
      <c r="FG434" s="13" t="str">
        <f t="shared" si="432"/>
        <v>150级-防御套寄灵人の鞋子</v>
      </c>
      <c r="FH434" s="14">
        <f t="shared" si="433"/>
        <v>1</v>
      </c>
      <c r="FI434" s="14">
        <f t="shared" si="434"/>
        <v>4</v>
      </c>
      <c r="FJ434" s="14">
        <f t="shared" si="435"/>
        <v>150</v>
      </c>
      <c r="FK434" s="14">
        <v>1</v>
      </c>
      <c r="FL434" s="14">
        <f t="shared" si="436"/>
        <v>11</v>
      </c>
      <c r="FM434" s="14">
        <f t="shared" si="452"/>
        <v>5</v>
      </c>
      <c r="FN434" s="14">
        <f t="shared" si="437"/>
        <v>201142</v>
      </c>
      <c r="FO434" s="14">
        <f t="shared" si="438"/>
        <v>873</v>
      </c>
      <c r="FP434" s="14">
        <f t="shared" si="453"/>
        <v>0</v>
      </c>
      <c r="FQ434" s="14">
        <f t="shared" si="454"/>
        <v>0</v>
      </c>
      <c r="FR434" s="14">
        <f t="shared" si="455"/>
        <v>9700</v>
      </c>
      <c r="FS434" s="14">
        <f t="shared" si="456"/>
        <v>0</v>
      </c>
      <c r="FT434" s="14">
        <f t="shared" si="457"/>
        <v>0</v>
      </c>
      <c r="FU434" s="14">
        <f t="shared" si="458"/>
        <v>582</v>
      </c>
      <c r="FV434" s="14">
        <f t="shared" si="439"/>
        <v>1114</v>
      </c>
      <c r="FW434" s="14">
        <f t="shared" si="440"/>
        <v>7</v>
      </c>
      <c r="FX434" s="14">
        <f t="shared" si="441"/>
        <v>1114</v>
      </c>
      <c r="FY434" s="25" t="str">
        <f t="shared" si="459"/>
        <v>icon_2011425</v>
      </c>
      <c r="GC434" s="14">
        <f t="shared" si="442"/>
        <v>3</v>
      </c>
      <c r="GD434" s="14">
        <f t="shared" si="443"/>
        <v>0</v>
      </c>
      <c r="GE434" s="14">
        <f t="shared" si="460"/>
        <v>873</v>
      </c>
      <c r="GF434" s="14" t="str">
        <f t="shared" si="444"/>
        <v>HPExt</v>
      </c>
      <c r="GG434" s="14">
        <f t="shared" si="461"/>
        <v>9700</v>
      </c>
      <c r="GH434" s="14">
        <f t="shared" si="462"/>
        <v>582</v>
      </c>
      <c r="GI434" s="14" t="str">
        <f t="shared" si="445"/>
        <v/>
      </c>
      <c r="GJ434" s="14" t="str">
        <f t="shared" si="463"/>
        <v/>
      </c>
      <c r="GK434" s="14" t="str">
        <f t="shared" si="464"/>
        <v/>
      </c>
      <c r="GL434" s="14">
        <f t="shared" si="446"/>
        <v>21140</v>
      </c>
      <c r="GM434" s="14">
        <f t="shared" si="465"/>
        <v>7</v>
      </c>
      <c r="GN434" s="14">
        <f t="shared" si="466"/>
        <v>1114</v>
      </c>
      <c r="GO434" s="25" t="s">
        <v>1471</v>
      </c>
      <c r="GP434" s="14">
        <f t="shared" si="447"/>
        <v>800</v>
      </c>
      <c r="HK434" s="13">
        <v>429</v>
      </c>
      <c r="HL434" s="14">
        <f t="shared" si="467"/>
        <v>18</v>
      </c>
      <c r="HM434" s="14">
        <f t="shared" si="468"/>
        <v>2</v>
      </c>
      <c r="HN434" s="14">
        <f t="shared" si="469"/>
        <v>7</v>
      </c>
      <c r="HO434" s="14">
        <f t="shared" si="470"/>
        <v>4</v>
      </c>
      <c r="HP434" s="14" t="str">
        <f t="shared" si="471"/>
        <v>110级守护灵洗练-Q4-9</v>
      </c>
      <c r="HQ434" s="14">
        <f t="shared" si="472"/>
        <v>2074</v>
      </c>
      <c r="HR434" s="14">
        <f t="shared" si="473"/>
        <v>9</v>
      </c>
      <c r="HS434" s="14">
        <f t="shared" si="474"/>
        <v>500</v>
      </c>
      <c r="HT434" s="14" t="str">
        <f t="shared" si="475"/>
        <v>DefIgnor</v>
      </c>
      <c r="HU434" s="14">
        <f t="shared" si="476"/>
        <v>1.0999999999999999E-2</v>
      </c>
      <c r="HV434" s="14">
        <f t="shared" si="477"/>
        <v>0.03</v>
      </c>
    </row>
    <row r="435" spans="151:230" ht="16.5" x14ac:dyDescent="0.2">
      <c r="EU435" s="13">
        <v>430</v>
      </c>
      <c r="EV435" s="14">
        <f t="shared" si="448"/>
        <v>1</v>
      </c>
      <c r="EW435" s="14">
        <f t="shared" si="449"/>
        <v>430</v>
      </c>
      <c r="EX435" s="14">
        <f t="shared" si="450"/>
        <v>57</v>
      </c>
      <c r="EY435" s="14">
        <f t="shared" si="425"/>
        <v>42</v>
      </c>
      <c r="EZ435" s="14">
        <f t="shared" si="426"/>
        <v>11</v>
      </c>
      <c r="FA435" s="14">
        <f t="shared" si="427"/>
        <v>150</v>
      </c>
      <c r="FB435" s="14">
        <f t="shared" si="428"/>
        <v>4</v>
      </c>
      <c r="FC435" s="14">
        <f t="shared" si="429"/>
        <v>6</v>
      </c>
      <c r="FD435" s="14">
        <f t="shared" si="430"/>
        <v>6</v>
      </c>
      <c r="FE435" s="14" t="b">
        <f t="shared" si="451"/>
        <v>1</v>
      </c>
      <c r="FF435" s="14">
        <f t="shared" si="431"/>
        <v>2011426</v>
      </c>
      <c r="FG435" s="13" t="str">
        <f t="shared" si="432"/>
        <v>150级-防御套寄灵人の护手</v>
      </c>
      <c r="FH435" s="14">
        <f t="shared" si="433"/>
        <v>1</v>
      </c>
      <c r="FI435" s="14">
        <f t="shared" si="434"/>
        <v>4</v>
      </c>
      <c r="FJ435" s="14">
        <f t="shared" si="435"/>
        <v>150</v>
      </c>
      <c r="FK435" s="14">
        <v>1</v>
      </c>
      <c r="FL435" s="14">
        <f t="shared" si="436"/>
        <v>11</v>
      </c>
      <c r="FM435" s="14">
        <f t="shared" si="452"/>
        <v>6</v>
      </c>
      <c r="FN435" s="14">
        <f t="shared" si="437"/>
        <v>201142</v>
      </c>
      <c r="FO435" s="14">
        <f t="shared" si="438"/>
        <v>873</v>
      </c>
      <c r="FP435" s="14">
        <f t="shared" si="453"/>
        <v>0</v>
      </c>
      <c r="FQ435" s="14">
        <f t="shared" si="454"/>
        <v>0</v>
      </c>
      <c r="FR435" s="14">
        <f t="shared" si="455"/>
        <v>9700</v>
      </c>
      <c r="FS435" s="14">
        <f t="shared" si="456"/>
        <v>0</v>
      </c>
      <c r="FT435" s="14">
        <f t="shared" si="457"/>
        <v>0</v>
      </c>
      <c r="FU435" s="14">
        <f t="shared" si="458"/>
        <v>582</v>
      </c>
      <c r="FV435" s="14">
        <f t="shared" si="439"/>
        <v>1114</v>
      </c>
      <c r="FW435" s="14">
        <f t="shared" si="440"/>
        <v>7</v>
      </c>
      <c r="FX435" s="14">
        <f t="shared" si="441"/>
        <v>1114</v>
      </c>
      <c r="FY435" s="25" t="str">
        <f t="shared" si="459"/>
        <v>icon_2011426</v>
      </c>
      <c r="GC435" s="14">
        <f t="shared" si="442"/>
        <v>3</v>
      </c>
      <c r="GD435" s="14">
        <f t="shared" si="443"/>
        <v>0</v>
      </c>
      <c r="GE435" s="14">
        <f t="shared" si="460"/>
        <v>873</v>
      </c>
      <c r="GF435" s="14" t="str">
        <f t="shared" si="444"/>
        <v>HPExt</v>
      </c>
      <c r="GG435" s="14">
        <f t="shared" si="461"/>
        <v>9700</v>
      </c>
      <c r="GH435" s="14">
        <f t="shared" si="462"/>
        <v>582</v>
      </c>
      <c r="GI435" s="14" t="str">
        <f t="shared" si="445"/>
        <v/>
      </c>
      <c r="GJ435" s="14" t="str">
        <f t="shared" si="463"/>
        <v/>
      </c>
      <c r="GK435" s="14" t="str">
        <f t="shared" si="464"/>
        <v/>
      </c>
      <c r="GL435" s="14">
        <f t="shared" si="446"/>
        <v>21140</v>
      </c>
      <c r="GM435" s="14">
        <f t="shared" si="465"/>
        <v>7</v>
      </c>
      <c r="GN435" s="14">
        <f t="shared" si="466"/>
        <v>1114</v>
      </c>
      <c r="GO435" s="25" t="s">
        <v>1471</v>
      </c>
      <c r="GP435" s="14">
        <f t="shared" si="447"/>
        <v>800</v>
      </c>
      <c r="HK435" s="13">
        <v>430</v>
      </c>
      <c r="HL435" s="14">
        <f t="shared" si="467"/>
        <v>18</v>
      </c>
      <c r="HM435" s="14">
        <f t="shared" si="468"/>
        <v>2</v>
      </c>
      <c r="HN435" s="14">
        <f t="shared" si="469"/>
        <v>7</v>
      </c>
      <c r="HO435" s="14">
        <f t="shared" si="470"/>
        <v>4</v>
      </c>
      <c r="HP435" s="14" t="str">
        <f t="shared" si="471"/>
        <v>110级守护灵洗练-Q4-10</v>
      </c>
      <c r="HQ435" s="14">
        <f t="shared" si="472"/>
        <v>2074</v>
      </c>
      <c r="HR435" s="14">
        <f t="shared" si="473"/>
        <v>10</v>
      </c>
      <c r="HS435" s="14">
        <f t="shared" si="474"/>
        <v>500</v>
      </c>
      <c r="HT435" s="14" t="str">
        <f t="shared" si="475"/>
        <v>Block</v>
      </c>
      <c r="HU435" s="14">
        <f t="shared" si="476"/>
        <v>1.0999999999999999E-2</v>
      </c>
      <c r="HV435" s="14">
        <f t="shared" si="477"/>
        <v>0.03</v>
      </c>
    </row>
    <row r="436" spans="151:230" ht="16.5" x14ac:dyDescent="0.2">
      <c r="EU436" s="13">
        <v>431</v>
      </c>
      <c r="EV436" s="14">
        <f t="shared" si="448"/>
        <v>1</v>
      </c>
      <c r="EW436" s="14">
        <f t="shared" si="449"/>
        <v>431</v>
      </c>
      <c r="EX436" s="14">
        <f t="shared" si="450"/>
        <v>58</v>
      </c>
      <c r="EY436" s="14">
        <f t="shared" si="425"/>
        <v>43</v>
      </c>
      <c r="EZ436" s="14">
        <f t="shared" si="426"/>
        <v>11</v>
      </c>
      <c r="FA436" s="14">
        <f t="shared" si="427"/>
        <v>150</v>
      </c>
      <c r="FB436" s="14">
        <f t="shared" si="428"/>
        <v>4</v>
      </c>
      <c r="FC436" s="14">
        <f t="shared" si="429"/>
        <v>1</v>
      </c>
      <c r="FD436" s="14">
        <f t="shared" si="430"/>
        <v>1</v>
      </c>
      <c r="FE436" s="14" t="b">
        <f t="shared" si="451"/>
        <v>1</v>
      </c>
      <c r="FF436" s="14">
        <f t="shared" si="431"/>
        <v>2011431</v>
      </c>
      <c r="FG436" s="13" t="str">
        <f t="shared" si="432"/>
        <v>150级-绝世寄灵人の灵器</v>
      </c>
      <c r="FH436" s="14">
        <f t="shared" si="433"/>
        <v>1</v>
      </c>
      <c r="FI436" s="14">
        <f t="shared" si="434"/>
        <v>4</v>
      </c>
      <c r="FJ436" s="14">
        <f t="shared" si="435"/>
        <v>150</v>
      </c>
      <c r="FK436" s="14">
        <v>1</v>
      </c>
      <c r="FL436" s="14">
        <f t="shared" si="436"/>
        <v>11</v>
      </c>
      <c r="FM436" s="14">
        <f t="shared" si="452"/>
        <v>1</v>
      </c>
      <c r="FN436" s="14">
        <f t="shared" si="437"/>
        <v>201143</v>
      </c>
      <c r="FO436" s="14">
        <f t="shared" si="438"/>
        <v>907</v>
      </c>
      <c r="FP436" s="14">
        <f t="shared" si="453"/>
        <v>2015</v>
      </c>
      <c r="FQ436" s="14">
        <f t="shared" si="454"/>
        <v>0</v>
      </c>
      <c r="FR436" s="14">
        <f t="shared" si="455"/>
        <v>0</v>
      </c>
      <c r="FS436" s="14">
        <f t="shared" si="456"/>
        <v>121</v>
      </c>
      <c r="FT436" s="14">
        <f t="shared" si="457"/>
        <v>0</v>
      </c>
      <c r="FU436" s="14">
        <f t="shared" si="458"/>
        <v>0</v>
      </c>
      <c r="FV436" s="14">
        <f t="shared" si="439"/>
        <v>1114</v>
      </c>
      <c r="FW436" s="14">
        <f t="shared" si="440"/>
        <v>7</v>
      </c>
      <c r="FX436" s="14">
        <f t="shared" si="441"/>
        <v>1114</v>
      </c>
      <c r="FY436" s="25" t="str">
        <f t="shared" si="459"/>
        <v>icon_2011431</v>
      </c>
      <c r="FZ436" s="30" t="s">
        <v>1438</v>
      </c>
      <c r="GC436" s="14">
        <f t="shared" si="442"/>
        <v>1</v>
      </c>
      <c r="GD436" s="14">
        <f t="shared" si="443"/>
        <v>0</v>
      </c>
      <c r="GE436" s="14">
        <f t="shared" si="460"/>
        <v>907</v>
      </c>
      <c r="GF436" s="14" t="str">
        <f t="shared" si="444"/>
        <v>AtkExt</v>
      </c>
      <c r="GG436" s="14">
        <f t="shared" si="461"/>
        <v>2015</v>
      </c>
      <c r="GH436" s="14">
        <f t="shared" si="462"/>
        <v>121</v>
      </c>
      <c r="GI436" s="14" t="str">
        <f t="shared" si="445"/>
        <v/>
      </c>
      <c r="GJ436" s="14" t="str">
        <f t="shared" si="463"/>
        <v/>
      </c>
      <c r="GK436" s="14" t="str">
        <f t="shared" si="464"/>
        <v/>
      </c>
      <c r="GL436" s="14">
        <f t="shared" si="446"/>
        <v>21140</v>
      </c>
      <c r="GM436" s="14">
        <f t="shared" si="465"/>
        <v>7</v>
      </c>
      <c r="GN436" s="14">
        <f t="shared" si="466"/>
        <v>1114</v>
      </c>
      <c r="GO436" s="25" t="s">
        <v>1471</v>
      </c>
      <c r="GP436" s="14">
        <f t="shared" si="447"/>
        <v>1600</v>
      </c>
      <c r="HK436" s="13">
        <v>431</v>
      </c>
      <c r="HL436" s="14">
        <f t="shared" si="467"/>
        <v>18</v>
      </c>
      <c r="HM436" s="14">
        <f t="shared" si="468"/>
        <v>2</v>
      </c>
      <c r="HN436" s="14">
        <f t="shared" si="469"/>
        <v>7</v>
      </c>
      <c r="HO436" s="14">
        <f t="shared" si="470"/>
        <v>4</v>
      </c>
      <c r="HP436" s="14" t="str">
        <f t="shared" si="471"/>
        <v>110级守护灵洗练-Q4-11</v>
      </c>
      <c r="HQ436" s="14">
        <f t="shared" si="472"/>
        <v>2074</v>
      </c>
      <c r="HR436" s="14">
        <f t="shared" si="473"/>
        <v>11</v>
      </c>
      <c r="HS436" s="14">
        <f t="shared" si="474"/>
        <v>500</v>
      </c>
      <c r="HT436" s="14" t="str">
        <f t="shared" si="475"/>
        <v>EffectHit</v>
      </c>
      <c r="HU436" s="14">
        <f t="shared" si="476"/>
        <v>1.7999999999999999E-2</v>
      </c>
      <c r="HV436" s="14">
        <f t="shared" si="477"/>
        <v>0.05</v>
      </c>
    </row>
    <row r="437" spans="151:230" ht="16.5" x14ac:dyDescent="0.2">
      <c r="EU437" s="13">
        <v>432</v>
      </c>
      <c r="EV437" s="14">
        <f t="shared" si="448"/>
        <v>1</v>
      </c>
      <c r="EW437" s="14">
        <f t="shared" si="449"/>
        <v>432</v>
      </c>
      <c r="EX437" s="14">
        <f t="shared" si="450"/>
        <v>58</v>
      </c>
      <c r="EY437" s="14">
        <f t="shared" si="425"/>
        <v>43</v>
      </c>
      <c r="EZ437" s="14">
        <f t="shared" si="426"/>
        <v>11</v>
      </c>
      <c r="FA437" s="14">
        <f t="shared" si="427"/>
        <v>150</v>
      </c>
      <c r="FB437" s="14">
        <f t="shared" si="428"/>
        <v>4</v>
      </c>
      <c r="FC437" s="14">
        <f t="shared" si="429"/>
        <v>2</v>
      </c>
      <c r="FD437" s="14">
        <f t="shared" si="430"/>
        <v>2</v>
      </c>
      <c r="FE437" s="14" t="b">
        <f t="shared" si="451"/>
        <v>1</v>
      </c>
      <c r="FF437" s="14">
        <f t="shared" si="431"/>
        <v>2011432</v>
      </c>
      <c r="FG437" s="13" t="str">
        <f t="shared" si="432"/>
        <v>150级-绝世寄灵人の头盔</v>
      </c>
      <c r="FH437" s="14">
        <f t="shared" si="433"/>
        <v>1</v>
      </c>
      <c r="FI437" s="14">
        <f t="shared" si="434"/>
        <v>4</v>
      </c>
      <c r="FJ437" s="14">
        <f t="shared" si="435"/>
        <v>150</v>
      </c>
      <c r="FK437" s="14">
        <v>1</v>
      </c>
      <c r="FL437" s="14">
        <f t="shared" si="436"/>
        <v>11</v>
      </c>
      <c r="FM437" s="14">
        <f t="shared" si="452"/>
        <v>2</v>
      </c>
      <c r="FN437" s="14">
        <f t="shared" si="437"/>
        <v>201143</v>
      </c>
      <c r="FO437" s="14">
        <f t="shared" si="438"/>
        <v>450</v>
      </c>
      <c r="FP437" s="14">
        <f t="shared" si="453"/>
        <v>0</v>
      </c>
      <c r="FQ437" s="14">
        <f t="shared" si="454"/>
        <v>505</v>
      </c>
      <c r="FR437" s="14">
        <f t="shared" si="455"/>
        <v>0</v>
      </c>
      <c r="FS437" s="14">
        <f t="shared" si="456"/>
        <v>0</v>
      </c>
      <c r="FT437" s="14">
        <f t="shared" si="457"/>
        <v>30</v>
      </c>
      <c r="FU437" s="14">
        <f t="shared" si="458"/>
        <v>0</v>
      </c>
      <c r="FV437" s="14">
        <f t="shared" si="439"/>
        <v>1114</v>
      </c>
      <c r="FW437" s="14">
        <f t="shared" si="440"/>
        <v>7</v>
      </c>
      <c r="FX437" s="14">
        <f t="shared" si="441"/>
        <v>1114</v>
      </c>
      <c r="FY437" s="25" t="str">
        <f t="shared" si="459"/>
        <v>icon_2011432</v>
      </c>
      <c r="FZ437" s="30" t="s">
        <v>1439</v>
      </c>
      <c r="GC437" s="14">
        <f t="shared" si="442"/>
        <v>2</v>
      </c>
      <c r="GD437" s="14">
        <f t="shared" si="443"/>
        <v>0</v>
      </c>
      <c r="GE437" s="14">
        <f t="shared" si="460"/>
        <v>450</v>
      </c>
      <c r="GF437" s="14" t="str">
        <f t="shared" si="444"/>
        <v>DefExt</v>
      </c>
      <c r="GG437" s="14">
        <f t="shared" si="461"/>
        <v>505</v>
      </c>
      <c r="GH437" s="14">
        <f t="shared" si="462"/>
        <v>30</v>
      </c>
      <c r="GI437" s="14" t="str">
        <f t="shared" si="445"/>
        <v/>
      </c>
      <c r="GJ437" s="14" t="str">
        <f t="shared" si="463"/>
        <v/>
      </c>
      <c r="GK437" s="14" t="str">
        <f t="shared" si="464"/>
        <v/>
      </c>
      <c r="GL437" s="14">
        <f t="shared" si="446"/>
        <v>21140</v>
      </c>
      <c r="GM437" s="14">
        <f t="shared" si="465"/>
        <v>7</v>
      </c>
      <c r="GN437" s="14">
        <f t="shared" si="466"/>
        <v>1114</v>
      </c>
      <c r="GO437" s="25" t="s">
        <v>1471</v>
      </c>
      <c r="GP437" s="14">
        <f t="shared" si="447"/>
        <v>800</v>
      </c>
      <c r="HK437" s="13">
        <v>432</v>
      </c>
      <c r="HL437" s="14">
        <f t="shared" si="467"/>
        <v>18</v>
      </c>
      <c r="HM437" s="14">
        <f t="shared" si="468"/>
        <v>2</v>
      </c>
      <c r="HN437" s="14">
        <f t="shared" si="469"/>
        <v>7</v>
      </c>
      <c r="HO437" s="14">
        <f t="shared" si="470"/>
        <v>4</v>
      </c>
      <c r="HP437" s="14" t="str">
        <f t="shared" si="471"/>
        <v>110级守护灵洗练-Q4-12</v>
      </c>
      <c r="HQ437" s="14">
        <f t="shared" si="472"/>
        <v>2074</v>
      </c>
      <c r="HR437" s="14">
        <f t="shared" si="473"/>
        <v>12</v>
      </c>
      <c r="HS437" s="14">
        <f t="shared" si="474"/>
        <v>500</v>
      </c>
      <c r="HT437" s="14" t="str">
        <f t="shared" si="475"/>
        <v>EffectResist</v>
      </c>
      <c r="HU437" s="14">
        <f t="shared" si="476"/>
        <v>1.7999999999999999E-2</v>
      </c>
      <c r="HV437" s="14">
        <f t="shared" si="477"/>
        <v>0.05</v>
      </c>
    </row>
    <row r="438" spans="151:230" ht="16.5" x14ac:dyDescent="0.2">
      <c r="EU438" s="13">
        <v>433</v>
      </c>
      <c r="EV438" s="14">
        <f t="shared" si="448"/>
        <v>1</v>
      </c>
      <c r="EW438" s="14">
        <f t="shared" si="449"/>
        <v>433</v>
      </c>
      <c r="EX438" s="14">
        <f t="shared" si="450"/>
        <v>58</v>
      </c>
      <c r="EY438" s="14">
        <f t="shared" si="425"/>
        <v>43</v>
      </c>
      <c r="EZ438" s="14">
        <f t="shared" si="426"/>
        <v>11</v>
      </c>
      <c r="FA438" s="14">
        <f t="shared" si="427"/>
        <v>150</v>
      </c>
      <c r="FB438" s="14">
        <f t="shared" si="428"/>
        <v>4</v>
      </c>
      <c r="FC438" s="14">
        <f t="shared" si="429"/>
        <v>3</v>
      </c>
      <c r="FD438" s="14">
        <f t="shared" si="430"/>
        <v>3</v>
      </c>
      <c r="FE438" s="14" t="b">
        <f t="shared" si="451"/>
        <v>1</v>
      </c>
      <c r="FF438" s="14">
        <f t="shared" si="431"/>
        <v>2011433</v>
      </c>
      <c r="FG438" s="13" t="str">
        <f t="shared" si="432"/>
        <v>150级-绝世寄灵人の铠甲</v>
      </c>
      <c r="FH438" s="14">
        <f t="shared" si="433"/>
        <v>1</v>
      </c>
      <c r="FI438" s="14">
        <f t="shared" si="434"/>
        <v>4</v>
      </c>
      <c r="FJ438" s="14">
        <f t="shared" si="435"/>
        <v>150</v>
      </c>
      <c r="FK438" s="14">
        <v>1</v>
      </c>
      <c r="FL438" s="14">
        <f t="shared" si="436"/>
        <v>11</v>
      </c>
      <c r="FM438" s="14">
        <f t="shared" si="452"/>
        <v>3</v>
      </c>
      <c r="FN438" s="14">
        <f t="shared" si="437"/>
        <v>201143</v>
      </c>
      <c r="FO438" s="14">
        <f t="shared" si="438"/>
        <v>661</v>
      </c>
      <c r="FP438" s="14">
        <f t="shared" si="453"/>
        <v>0</v>
      </c>
      <c r="FQ438" s="14">
        <f t="shared" si="454"/>
        <v>255</v>
      </c>
      <c r="FR438" s="14">
        <f t="shared" si="455"/>
        <v>4850</v>
      </c>
      <c r="FS438" s="14">
        <f t="shared" si="456"/>
        <v>0</v>
      </c>
      <c r="FT438" s="14">
        <f t="shared" si="457"/>
        <v>15</v>
      </c>
      <c r="FU438" s="14">
        <f t="shared" si="458"/>
        <v>291</v>
      </c>
      <c r="FV438" s="14">
        <f t="shared" si="439"/>
        <v>1114</v>
      </c>
      <c r="FW438" s="14">
        <f t="shared" si="440"/>
        <v>7</v>
      </c>
      <c r="FX438" s="14">
        <f t="shared" si="441"/>
        <v>1114</v>
      </c>
      <c r="FY438" s="25" t="str">
        <f t="shared" si="459"/>
        <v>icon_2011433</v>
      </c>
      <c r="FZ438" s="30" t="s">
        <v>1440</v>
      </c>
      <c r="GC438" s="14">
        <f t="shared" si="442"/>
        <v>2</v>
      </c>
      <c r="GD438" s="14">
        <f t="shared" si="443"/>
        <v>3</v>
      </c>
      <c r="GE438" s="14">
        <f t="shared" si="460"/>
        <v>661</v>
      </c>
      <c r="GF438" s="14" t="str">
        <f t="shared" si="444"/>
        <v>DefExt</v>
      </c>
      <c r="GG438" s="14">
        <f t="shared" si="461"/>
        <v>255</v>
      </c>
      <c r="GH438" s="14">
        <f t="shared" si="462"/>
        <v>15</v>
      </c>
      <c r="GI438" s="14" t="str">
        <f t="shared" si="445"/>
        <v>HPExt</v>
      </c>
      <c r="GJ438" s="14">
        <f t="shared" si="463"/>
        <v>4850</v>
      </c>
      <c r="GK438" s="14">
        <f t="shared" si="464"/>
        <v>291</v>
      </c>
      <c r="GL438" s="14">
        <f t="shared" si="446"/>
        <v>21140</v>
      </c>
      <c r="GM438" s="14">
        <f t="shared" si="465"/>
        <v>7</v>
      </c>
      <c r="GN438" s="14">
        <f t="shared" si="466"/>
        <v>1114</v>
      </c>
      <c r="GO438" s="25" t="s">
        <v>1471</v>
      </c>
      <c r="GP438" s="14">
        <f t="shared" si="447"/>
        <v>800</v>
      </c>
      <c r="HK438" s="13">
        <v>433</v>
      </c>
      <c r="HL438" s="14">
        <f t="shared" si="467"/>
        <v>19</v>
      </c>
      <c r="HM438" s="14">
        <f t="shared" si="468"/>
        <v>2</v>
      </c>
      <c r="HN438" s="14">
        <f t="shared" si="469"/>
        <v>8</v>
      </c>
      <c r="HO438" s="14">
        <f t="shared" si="470"/>
        <v>3</v>
      </c>
      <c r="HP438" s="14" t="str">
        <f t="shared" si="471"/>
        <v>120级守护灵洗练-Q3-1</v>
      </c>
      <c r="HQ438" s="14">
        <f t="shared" si="472"/>
        <v>2083</v>
      </c>
      <c r="HR438" s="14">
        <f t="shared" si="473"/>
        <v>1</v>
      </c>
      <c r="HS438" s="14">
        <f t="shared" si="474"/>
        <v>1800</v>
      </c>
      <c r="HT438" s="14" t="str">
        <f t="shared" si="475"/>
        <v>AtkExt</v>
      </c>
      <c r="HU438" s="14">
        <f t="shared" si="476"/>
        <v>243</v>
      </c>
      <c r="HV438" s="14">
        <f t="shared" si="477"/>
        <v>695</v>
      </c>
    </row>
    <row r="439" spans="151:230" ht="16.5" x14ac:dyDescent="0.2">
      <c r="EU439" s="13">
        <v>434</v>
      </c>
      <c r="EV439" s="14">
        <f t="shared" si="448"/>
        <v>1</v>
      </c>
      <c r="EW439" s="14">
        <f t="shared" si="449"/>
        <v>434</v>
      </c>
      <c r="EX439" s="14">
        <f t="shared" si="450"/>
        <v>58</v>
      </c>
      <c r="EY439" s="14">
        <f t="shared" si="425"/>
        <v>43</v>
      </c>
      <c r="EZ439" s="14">
        <f t="shared" si="426"/>
        <v>11</v>
      </c>
      <c r="FA439" s="14">
        <f t="shared" si="427"/>
        <v>150</v>
      </c>
      <c r="FB439" s="14">
        <f t="shared" si="428"/>
        <v>4</v>
      </c>
      <c r="FC439" s="14">
        <f t="shared" si="429"/>
        <v>4</v>
      </c>
      <c r="FD439" s="14">
        <f t="shared" si="430"/>
        <v>4</v>
      </c>
      <c r="FE439" s="14" t="b">
        <f t="shared" si="451"/>
        <v>1</v>
      </c>
      <c r="FF439" s="14">
        <f t="shared" si="431"/>
        <v>2011434</v>
      </c>
      <c r="FG439" s="13" t="str">
        <f t="shared" si="432"/>
        <v>150级-绝世寄灵人の裤子</v>
      </c>
      <c r="FH439" s="14">
        <f t="shared" si="433"/>
        <v>1</v>
      </c>
      <c r="FI439" s="14">
        <f t="shared" si="434"/>
        <v>4</v>
      </c>
      <c r="FJ439" s="14">
        <f t="shared" si="435"/>
        <v>150</v>
      </c>
      <c r="FK439" s="14">
        <v>1</v>
      </c>
      <c r="FL439" s="14">
        <f t="shared" si="436"/>
        <v>11</v>
      </c>
      <c r="FM439" s="14">
        <f t="shared" si="452"/>
        <v>4</v>
      </c>
      <c r="FN439" s="14">
        <f t="shared" si="437"/>
        <v>201143</v>
      </c>
      <c r="FO439" s="14">
        <f t="shared" si="438"/>
        <v>450</v>
      </c>
      <c r="FP439" s="14">
        <f t="shared" si="453"/>
        <v>0</v>
      </c>
      <c r="FQ439" s="14">
        <f t="shared" si="454"/>
        <v>505</v>
      </c>
      <c r="FR439" s="14">
        <f t="shared" si="455"/>
        <v>0</v>
      </c>
      <c r="FS439" s="14">
        <f t="shared" si="456"/>
        <v>0</v>
      </c>
      <c r="FT439" s="14">
        <f t="shared" si="457"/>
        <v>30</v>
      </c>
      <c r="FU439" s="14">
        <f t="shared" si="458"/>
        <v>0</v>
      </c>
      <c r="FV439" s="14">
        <f t="shared" si="439"/>
        <v>1114</v>
      </c>
      <c r="FW439" s="14">
        <f t="shared" si="440"/>
        <v>7</v>
      </c>
      <c r="FX439" s="14">
        <f t="shared" si="441"/>
        <v>1114</v>
      </c>
      <c r="FY439" s="25" t="str">
        <f t="shared" si="459"/>
        <v>icon_2011434</v>
      </c>
      <c r="FZ439" s="30" t="s">
        <v>1441</v>
      </c>
      <c r="GC439" s="14">
        <f t="shared" si="442"/>
        <v>2</v>
      </c>
      <c r="GD439" s="14">
        <f t="shared" si="443"/>
        <v>0</v>
      </c>
      <c r="GE439" s="14">
        <f t="shared" si="460"/>
        <v>450</v>
      </c>
      <c r="GF439" s="14" t="str">
        <f t="shared" si="444"/>
        <v>DefExt</v>
      </c>
      <c r="GG439" s="14">
        <f t="shared" si="461"/>
        <v>505</v>
      </c>
      <c r="GH439" s="14">
        <f t="shared" si="462"/>
        <v>30</v>
      </c>
      <c r="GI439" s="14" t="str">
        <f t="shared" si="445"/>
        <v/>
      </c>
      <c r="GJ439" s="14" t="str">
        <f t="shared" si="463"/>
        <v/>
      </c>
      <c r="GK439" s="14" t="str">
        <f t="shared" si="464"/>
        <v/>
      </c>
      <c r="GL439" s="14">
        <f t="shared" si="446"/>
        <v>21140</v>
      </c>
      <c r="GM439" s="14">
        <f t="shared" si="465"/>
        <v>7</v>
      </c>
      <c r="GN439" s="14">
        <f t="shared" si="466"/>
        <v>1114</v>
      </c>
      <c r="GO439" s="25" t="s">
        <v>1471</v>
      </c>
      <c r="GP439" s="14">
        <f t="shared" si="447"/>
        <v>800</v>
      </c>
      <c r="HK439" s="13">
        <v>434</v>
      </c>
      <c r="HL439" s="14">
        <f t="shared" si="467"/>
        <v>19</v>
      </c>
      <c r="HM439" s="14">
        <f t="shared" si="468"/>
        <v>2</v>
      </c>
      <c r="HN439" s="14">
        <f t="shared" si="469"/>
        <v>8</v>
      </c>
      <c r="HO439" s="14">
        <f t="shared" si="470"/>
        <v>3</v>
      </c>
      <c r="HP439" s="14" t="str">
        <f t="shared" si="471"/>
        <v>120级守护灵洗练-Q3-2</v>
      </c>
      <c r="HQ439" s="14">
        <f t="shared" si="472"/>
        <v>2083</v>
      </c>
      <c r="HR439" s="14">
        <f t="shared" si="473"/>
        <v>2</v>
      </c>
      <c r="HS439" s="14">
        <f t="shared" si="474"/>
        <v>1800</v>
      </c>
      <c r="HT439" s="14" t="str">
        <f t="shared" si="475"/>
        <v>DefExt</v>
      </c>
      <c r="HU439" s="14">
        <f t="shared" si="476"/>
        <v>84</v>
      </c>
      <c r="HV439" s="14">
        <f t="shared" si="477"/>
        <v>242</v>
      </c>
    </row>
    <row r="440" spans="151:230" ht="16.5" x14ac:dyDescent="0.2">
      <c r="EU440" s="13">
        <v>435</v>
      </c>
      <c r="EV440" s="14">
        <f t="shared" si="448"/>
        <v>1</v>
      </c>
      <c r="EW440" s="14">
        <f t="shared" si="449"/>
        <v>435</v>
      </c>
      <c r="EX440" s="14">
        <f t="shared" si="450"/>
        <v>58</v>
      </c>
      <c r="EY440" s="14">
        <f t="shared" si="425"/>
        <v>43</v>
      </c>
      <c r="EZ440" s="14">
        <f t="shared" si="426"/>
        <v>11</v>
      </c>
      <c r="FA440" s="14">
        <f t="shared" si="427"/>
        <v>150</v>
      </c>
      <c r="FB440" s="14">
        <f t="shared" si="428"/>
        <v>4</v>
      </c>
      <c r="FC440" s="14">
        <f t="shared" si="429"/>
        <v>5</v>
      </c>
      <c r="FD440" s="14">
        <f t="shared" si="430"/>
        <v>6</v>
      </c>
      <c r="FE440" s="14" t="b">
        <f t="shared" si="451"/>
        <v>1</v>
      </c>
      <c r="FF440" s="14">
        <f t="shared" si="431"/>
        <v>2011436</v>
      </c>
      <c r="FG440" s="13" t="str">
        <f t="shared" si="432"/>
        <v>150级-绝世寄灵人の护手</v>
      </c>
      <c r="FH440" s="14">
        <f t="shared" si="433"/>
        <v>1</v>
      </c>
      <c r="FI440" s="14">
        <f t="shared" si="434"/>
        <v>4</v>
      </c>
      <c r="FJ440" s="14">
        <f t="shared" si="435"/>
        <v>150</v>
      </c>
      <c r="FK440" s="14">
        <v>1</v>
      </c>
      <c r="FL440" s="14">
        <f t="shared" si="436"/>
        <v>11</v>
      </c>
      <c r="FM440" s="14">
        <f t="shared" si="452"/>
        <v>6</v>
      </c>
      <c r="FN440" s="14">
        <f t="shared" si="437"/>
        <v>201143</v>
      </c>
      <c r="FO440" s="14">
        <f t="shared" si="438"/>
        <v>873</v>
      </c>
      <c r="FP440" s="14">
        <f t="shared" si="453"/>
        <v>0</v>
      </c>
      <c r="FQ440" s="14">
        <f t="shared" si="454"/>
        <v>0</v>
      </c>
      <c r="FR440" s="14">
        <f t="shared" si="455"/>
        <v>9700</v>
      </c>
      <c r="FS440" s="14">
        <f t="shared" si="456"/>
        <v>0</v>
      </c>
      <c r="FT440" s="14">
        <f t="shared" si="457"/>
        <v>0</v>
      </c>
      <c r="FU440" s="14">
        <f t="shared" si="458"/>
        <v>582</v>
      </c>
      <c r="FV440" s="14">
        <f t="shared" si="439"/>
        <v>1114</v>
      </c>
      <c r="FW440" s="14">
        <f t="shared" si="440"/>
        <v>7</v>
      </c>
      <c r="FX440" s="14">
        <f t="shared" si="441"/>
        <v>1114</v>
      </c>
      <c r="FY440" s="25" t="str">
        <f t="shared" si="459"/>
        <v>icon_2011436</v>
      </c>
      <c r="FZ440" s="30" t="s">
        <v>1442</v>
      </c>
      <c r="GC440" s="14">
        <f t="shared" si="442"/>
        <v>3</v>
      </c>
      <c r="GD440" s="14">
        <f t="shared" si="443"/>
        <v>0</v>
      </c>
      <c r="GE440" s="14">
        <f t="shared" si="460"/>
        <v>873</v>
      </c>
      <c r="GF440" s="14" t="str">
        <f t="shared" si="444"/>
        <v>HPExt</v>
      </c>
      <c r="GG440" s="14">
        <f t="shared" si="461"/>
        <v>9700</v>
      </c>
      <c r="GH440" s="14">
        <f t="shared" si="462"/>
        <v>582</v>
      </c>
      <c r="GI440" s="14" t="str">
        <f t="shared" si="445"/>
        <v/>
      </c>
      <c r="GJ440" s="14" t="str">
        <f t="shared" si="463"/>
        <v/>
      </c>
      <c r="GK440" s="14" t="str">
        <f t="shared" si="464"/>
        <v/>
      </c>
      <c r="GL440" s="14">
        <f t="shared" si="446"/>
        <v>21140</v>
      </c>
      <c r="GM440" s="14">
        <f t="shared" si="465"/>
        <v>7</v>
      </c>
      <c r="GN440" s="14">
        <f t="shared" si="466"/>
        <v>1114</v>
      </c>
      <c r="GO440" s="25" t="s">
        <v>1471</v>
      </c>
      <c r="GP440" s="14">
        <f t="shared" si="447"/>
        <v>800</v>
      </c>
      <c r="HK440" s="13">
        <v>435</v>
      </c>
      <c r="HL440" s="14">
        <f t="shared" si="467"/>
        <v>19</v>
      </c>
      <c r="HM440" s="14">
        <f t="shared" si="468"/>
        <v>2</v>
      </c>
      <c r="HN440" s="14">
        <f t="shared" si="469"/>
        <v>8</v>
      </c>
      <c r="HO440" s="14">
        <f t="shared" si="470"/>
        <v>3</v>
      </c>
      <c r="HP440" s="14" t="str">
        <f t="shared" si="471"/>
        <v>120级守护灵洗练-Q3-3</v>
      </c>
      <c r="HQ440" s="14">
        <f t="shared" si="472"/>
        <v>2083</v>
      </c>
      <c r="HR440" s="14">
        <f t="shared" si="473"/>
        <v>3</v>
      </c>
      <c r="HS440" s="14">
        <f t="shared" si="474"/>
        <v>2000</v>
      </c>
      <c r="HT440" s="14" t="str">
        <f t="shared" si="475"/>
        <v>HPExt</v>
      </c>
      <c r="HU440" s="14">
        <f t="shared" si="476"/>
        <v>2262</v>
      </c>
      <c r="HV440" s="14">
        <f t="shared" si="477"/>
        <v>6464</v>
      </c>
    </row>
    <row r="441" spans="151:230" ht="16.5" x14ac:dyDescent="0.2">
      <c r="EU441" s="13">
        <v>436</v>
      </c>
      <c r="EV441" s="14">
        <f t="shared" si="448"/>
        <v>2</v>
      </c>
      <c r="EW441" s="14">
        <f t="shared" ref="EW441:EW504" si="478">MOD(EU441-1,$EV$3)+1</f>
        <v>1</v>
      </c>
      <c r="EX441" s="14">
        <f t="shared" si="450"/>
        <v>1</v>
      </c>
      <c r="EY441" s="14">
        <f t="shared" ref="EY441:EY504" si="479">INDEX($AK$7:$AK$64,EX441)</f>
        <v>10</v>
      </c>
      <c r="EZ441" s="14">
        <f t="shared" si="426"/>
        <v>12</v>
      </c>
      <c r="FA441" s="14">
        <f t="shared" si="427"/>
        <v>15</v>
      </c>
      <c r="FB441" s="14">
        <f t="shared" si="428"/>
        <v>1</v>
      </c>
      <c r="FC441" s="14">
        <f t="shared" si="429"/>
        <v>1</v>
      </c>
      <c r="FD441" s="14">
        <f t="shared" si="430"/>
        <v>1</v>
      </c>
      <c r="FE441" s="14" t="b">
        <f t="shared" si="451"/>
        <v>0</v>
      </c>
      <c r="FF441" s="14">
        <f t="shared" si="431"/>
        <v>2101101</v>
      </c>
      <c r="FG441" s="13" t="str">
        <f t="shared" si="432"/>
        <v>15级-普通守护灵の灵器</v>
      </c>
      <c r="FH441" s="14">
        <f t="shared" si="433"/>
        <v>2</v>
      </c>
      <c r="FI441" s="14">
        <f t="shared" si="434"/>
        <v>1</v>
      </c>
      <c r="FJ441" s="14">
        <f t="shared" si="435"/>
        <v>15</v>
      </c>
      <c r="FK441" s="14">
        <v>2</v>
      </c>
      <c r="FL441" s="14">
        <f t="shared" si="436"/>
        <v>1</v>
      </c>
      <c r="FM441" s="14">
        <f t="shared" ref="FM441:FM504" si="480">FD441</f>
        <v>1</v>
      </c>
      <c r="FN441" s="14" t="str">
        <f t="shared" si="437"/>
        <v/>
      </c>
      <c r="FO441" s="14">
        <f t="shared" ref="FO441:FO504" si="481">INT(SUMPRODUCT($FS$3:$FU$3,FS441:FU441)*IF(FN441="",1,1.5))</f>
        <v>25</v>
      </c>
      <c r="FP441" s="14">
        <f t="shared" si="453"/>
        <v>30</v>
      </c>
      <c r="FQ441" s="14">
        <f t="shared" si="454"/>
        <v>0</v>
      </c>
      <c r="FR441" s="14">
        <f t="shared" si="455"/>
        <v>0</v>
      </c>
      <c r="FS441" s="14">
        <f t="shared" si="456"/>
        <v>5</v>
      </c>
      <c r="FT441" s="14">
        <f t="shared" si="457"/>
        <v>0</v>
      </c>
      <c r="FU441" s="14">
        <f t="shared" si="458"/>
        <v>0</v>
      </c>
      <c r="FV441" s="14">
        <f t="shared" si="439"/>
        <v>2011</v>
      </c>
      <c r="FW441" s="14">
        <f t="shared" si="440"/>
        <v>0</v>
      </c>
      <c r="FX441" s="14" t="str">
        <f t="shared" si="441"/>
        <v/>
      </c>
      <c r="FY441" s="25" t="str">
        <f t="shared" si="459"/>
        <v>icon_2101101</v>
      </c>
      <c r="GC441" s="14">
        <f t="shared" si="442"/>
        <v>1</v>
      </c>
      <c r="GD441" s="14">
        <f t="shared" si="443"/>
        <v>0</v>
      </c>
      <c r="GE441" s="14">
        <f t="shared" ref="GE441:GE504" si="482">FO441</f>
        <v>25</v>
      </c>
      <c r="GF441" s="14" t="str">
        <f t="shared" ref="GF441:GF504" si="483">INDEX($BH$3:$BJ$3,GC441)</f>
        <v>AtkExt</v>
      </c>
      <c r="GG441" s="14">
        <f t="shared" ref="GG441:GG504" si="484">INDEX(FP441:FR441,GC441)</f>
        <v>30</v>
      </c>
      <c r="GH441" s="14">
        <f t="shared" ref="GH441:GH504" si="485">INDEX(FS441:FU441,GC441)</f>
        <v>5</v>
      </c>
      <c r="GI441" s="14" t="str">
        <f t="shared" ref="GI441:GI504" si="486">IF(GD441&gt;0,INDEX($BH$3:$BJ$3,GD441),"")</f>
        <v/>
      </c>
      <c r="GJ441" s="14" t="str">
        <f t="shared" ref="GJ441:GJ504" si="487">IF(GD441&gt;0,INDEX(FP441:FR441,GD441),"")</f>
        <v/>
      </c>
      <c r="GK441" s="14" t="str">
        <f t="shared" ref="GK441:GK504" si="488">IF(GD441&gt;0,INDEX(FS441:FU441,GD441),"")</f>
        <v/>
      </c>
      <c r="GL441" s="14">
        <f t="shared" si="446"/>
        <v>20110</v>
      </c>
      <c r="GM441" s="14">
        <f t="shared" ref="GM441:GM504" si="489">FW441</f>
        <v>0</v>
      </c>
      <c r="GN441" s="14" t="str">
        <f t="shared" ref="GN441:GN504" si="490">FX441</f>
        <v/>
      </c>
      <c r="GO441" s="25" t="s">
        <v>1471</v>
      </c>
      <c r="GP441" s="14">
        <f t="shared" si="447"/>
        <v>10</v>
      </c>
      <c r="GQ441" s="30"/>
      <c r="HK441" s="13">
        <v>436</v>
      </c>
      <c r="HL441" s="14">
        <f t="shared" si="467"/>
        <v>19</v>
      </c>
      <c r="HM441" s="14">
        <f t="shared" si="468"/>
        <v>2</v>
      </c>
      <c r="HN441" s="14">
        <f t="shared" si="469"/>
        <v>8</v>
      </c>
      <c r="HO441" s="14">
        <f t="shared" si="470"/>
        <v>3</v>
      </c>
      <c r="HP441" s="14" t="str">
        <f t="shared" si="471"/>
        <v>120级守护灵洗练-Q3-4</v>
      </c>
      <c r="HQ441" s="14">
        <f t="shared" si="472"/>
        <v>2083</v>
      </c>
      <c r="HR441" s="14">
        <f t="shared" si="473"/>
        <v>4</v>
      </c>
      <c r="HS441" s="14">
        <f t="shared" si="474"/>
        <v>500</v>
      </c>
      <c r="HT441" s="14" t="str">
        <f t="shared" si="475"/>
        <v>AtkRate</v>
      </c>
      <c r="HU441" s="14">
        <f t="shared" si="476"/>
        <v>1.4E-2</v>
      </c>
      <c r="HV441" s="14">
        <f t="shared" si="477"/>
        <v>0.04</v>
      </c>
    </row>
    <row r="442" spans="151:230" ht="16.5" x14ac:dyDescent="0.2">
      <c r="EU442" s="13">
        <v>437</v>
      </c>
      <c r="EV442" s="14">
        <f t="shared" si="448"/>
        <v>2</v>
      </c>
      <c r="EW442" s="14">
        <f t="shared" si="478"/>
        <v>2</v>
      </c>
      <c r="EX442" s="14">
        <f t="shared" si="450"/>
        <v>1</v>
      </c>
      <c r="EY442" s="14">
        <f t="shared" si="479"/>
        <v>10</v>
      </c>
      <c r="EZ442" s="14">
        <f t="shared" si="426"/>
        <v>12</v>
      </c>
      <c r="FA442" s="14">
        <f t="shared" si="427"/>
        <v>15</v>
      </c>
      <c r="FB442" s="14">
        <f t="shared" si="428"/>
        <v>1</v>
      </c>
      <c r="FC442" s="14">
        <f t="shared" si="429"/>
        <v>2</v>
      </c>
      <c r="FD442" s="14">
        <f t="shared" si="430"/>
        <v>2</v>
      </c>
      <c r="FE442" s="14" t="b">
        <f t="shared" si="451"/>
        <v>0</v>
      </c>
      <c r="FF442" s="14">
        <f t="shared" si="431"/>
        <v>2101102</v>
      </c>
      <c r="FG442" s="13" t="str">
        <f t="shared" si="432"/>
        <v>15级-普通守护灵の头盔</v>
      </c>
      <c r="FH442" s="14">
        <f t="shared" si="433"/>
        <v>2</v>
      </c>
      <c r="FI442" s="14">
        <f t="shared" si="434"/>
        <v>1</v>
      </c>
      <c r="FJ442" s="14">
        <f t="shared" si="435"/>
        <v>15</v>
      </c>
      <c r="FK442" s="14">
        <v>3</v>
      </c>
      <c r="FL442" s="14">
        <f t="shared" si="436"/>
        <v>1</v>
      </c>
      <c r="FM442" s="14">
        <f t="shared" si="480"/>
        <v>2</v>
      </c>
      <c r="FN442" s="14" t="str">
        <f t="shared" si="437"/>
        <v/>
      </c>
      <c r="FO442" s="14">
        <f t="shared" si="481"/>
        <v>10</v>
      </c>
      <c r="FP442" s="14">
        <f t="shared" si="453"/>
        <v>0</v>
      </c>
      <c r="FQ442" s="14">
        <f t="shared" si="454"/>
        <v>10</v>
      </c>
      <c r="FR442" s="14">
        <f t="shared" si="455"/>
        <v>0</v>
      </c>
      <c r="FS442" s="14">
        <f t="shared" si="456"/>
        <v>0</v>
      </c>
      <c r="FT442" s="14">
        <f t="shared" si="457"/>
        <v>1</v>
      </c>
      <c r="FU442" s="14">
        <f t="shared" si="458"/>
        <v>0</v>
      </c>
      <c r="FV442" s="14">
        <f t="shared" si="439"/>
        <v>2011</v>
      </c>
      <c r="FW442" s="14">
        <f t="shared" si="440"/>
        <v>0</v>
      </c>
      <c r="FX442" s="14" t="str">
        <f t="shared" si="441"/>
        <v/>
      </c>
      <c r="FY442" s="25" t="str">
        <f t="shared" si="459"/>
        <v>icon_2101102</v>
      </c>
      <c r="GC442" s="14">
        <f t="shared" si="442"/>
        <v>2</v>
      </c>
      <c r="GD442" s="14">
        <f t="shared" si="443"/>
        <v>0</v>
      </c>
      <c r="GE442" s="14">
        <f t="shared" si="482"/>
        <v>10</v>
      </c>
      <c r="GF442" s="14" t="str">
        <f t="shared" si="483"/>
        <v>DefExt</v>
      </c>
      <c r="GG442" s="14">
        <f t="shared" si="484"/>
        <v>10</v>
      </c>
      <c r="GH442" s="14">
        <f t="shared" si="485"/>
        <v>1</v>
      </c>
      <c r="GI442" s="14" t="str">
        <f t="shared" si="486"/>
        <v/>
      </c>
      <c r="GJ442" s="14" t="str">
        <f t="shared" si="487"/>
        <v/>
      </c>
      <c r="GK442" s="14" t="str">
        <f t="shared" si="488"/>
        <v/>
      </c>
      <c r="GL442" s="14">
        <f t="shared" si="446"/>
        <v>20110</v>
      </c>
      <c r="GM442" s="14">
        <f t="shared" si="489"/>
        <v>0</v>
      </c>
      <c r="GN442" s="14" t="str">
        <f t="shared" si="490"/>
        <v/>
      </c>
      <c r="GO442" s="25" t="s">
        <v>1471</v>
      </c>
      <c r="GP442" s="14">
        <f t="shared" si="447"/>
        <v>5</v>
      </c>
      <c r="GQ442" s="30"/>
      <c r="HK442" s="13">
        <v>437</v>
      </c>
      <c r="HL442" s="14">
        <f t="shared" si="467"/>
        <v>19</v>
      </c>
      <c r="HM442" s="14">
        <f t="shared" si="468"/>
        <v>2</v>
      </c>
      <c r="HN442" s="14">
        <f t="shared" si="469"/>
        <v>8</v>
      </c>
      <c r="HO442" s="14">
        <f t="shared" si="470"/>
        <v>3</v>
      </c>
      <c r="HP442" s="14" t="str">
        <f t="shared" si="471"/>
        <v>120级守护灵洗练-Q3-5</v>
      </c>
      <c r="HQ442" s="14">
        <f t="shared" si="472"/>
        <v>2083</v>
      </c>
      <c r="HR442" s="14">
        <f t="shared" si="473"/>
        <v>5</v>
      </c>
      <c r="HS442" s="14">
        <f t="shared" si="474"/>
        <v>400</v>
      </c>
      <c r="HT442" s="14" t="str">
        <f t="shared" si="475"/>
        <v>DefRate</v>
      </c>
      <c r="HU442" s="14">
        <f t="shared" si="476"/>
        <v>1.4E-2</v>
      </c>
      <c r="HV442" s="14">
        <f t="shared" si="477"/>
        <v>0.04</v>
      </c>
    </row>
    <row r="443" spans="151:230" ht="16.5" x14ac:dyDescent="0.2">
      <c r="EU443" s="13">
        <v>438</v>
      </c>
      <c r="EV443" s="14">
        <f t="shared" si="448"/>
        <v>2</v>
      </c>
      <c r="EW443" s="14">
        <f t="shared" si="478"/>
        <v>3</v>
      </c>
      <c r="EX443" s="14">
        <f t="shared" si="450"/>
        <v>1</v>
      </c>
      <c r="EY443" s="14">
        <f t="shared" si="479"/>
        <v>10</v>
      </c>
      <c r="EZ443" s="14">
        <f t="shared" si="426"/>
        <v>12</v>
      </c>
      <c r="FA443" s="14">
        <f t="shared" si="427"/>
        <v>15</v>
      </c>
      <c r="FB443" s="14">
        <f t="shared" si="428"/>
        <v>1</v>
      </c>
      <c r="FC443" s="14">
        <f t="shared" si="429"/>
        <v>3</v>
      </c>
      <c r="FD443" s="14">
        <f t="shared" si="430"/>
        <v>3</v>
      </c>
      <c r="FE443" s="14" t="b">
        <f t="shared" si="451"/>
        <v>0</v>
      </c>
      <c r="FF443" s="14">
        <f t="shared" si="431"/>
        <v>2101103</v>
      </c>
      <c r="FG443" s="13" t="str">
        <f t="shared" si="432"/>
        <v>15级-普通守护灵の铠甲</v>
      </c>
      <c r="FH443" s="14">
        <f t="shared" si="433"/>
        <v>2</v>
      </c>
      <c r="FI443" s="14">
        <f t="shared" si="434"/>
        <v>1</v>
      </c>
      <c r="FJ443" s="14">
        <f t="shared" si="435"/>
        <v>15</v>
      </c>
      <c r="FK443" s="14">
        <v>4</v>
      </c>
      <c r="FL443" s="14">
        <f t="shared" si="436"/>
        <v>1</v>
      </c>
      <c r="FM443" s="14">
        <f t="shared" si="480"/>
        <v>3</v>
      </c>
      <c r="FN443" s="14" t="str">
        <f t="shared" si="437"/>
        <v/>
      </c>
      <c r="FO443" s="14">
        <f t="shared" si="481"/>
        <v>18</v>
      </c>
      <c r="FP443" s="14">
        <f t="shared" si="453"/>
        <v>0</v>
      </c>
      <c r="FQ443" s="14">
        <f t="shared" si="454"/>
        <v>5</v>
      </c>
      <c r="FR443" s="14">
        <f t="shared" si="455"/>
        <v>50</v>
      </c>
      <c r="FS443" s="14">
        <f t="shared" si="456"/>
        <v>0</v>
      </c>
      <c r="FT443" s="14">
        <f t="shared" si="457"/>
        <v>1</v>
      </c>
      <c r="FU443" s="14">
        <f t="shared" si="458"/>
        <v>8</v>
      </c>
      <c r="FV443" s="14">
        <f t="shared" si="439"/>
        <v>2011</v>
      </c>
      <c r="FW443" s="14">
        <f t="shared" si="440"/>
        <v>0</v>
      </c>
      <c r="FX443" s="14" t="str">
        <f t="shared" si="441"/>
        <v/>
      </c>
      <c r="FY443" s="25" t="str">
        <f t="shared" si="459"/>
        <v>icon_2101103</v>
      </c>
      <c r="GC443" s="14">
        <f t="shared" si="442"/>
        <v>2</v>
      </c>
      <c r="GD443" s="14">
        <f t="shared" si="443"/>
        <v>3</v>
      </c>
      <c r="GE443" s="14">
        <f t="shared" si="482"/>
        <v>18</v>
      </c>
      <c r="GF443" s="14" t="str">
        <f t="shared" si="483"/>
        <v>DefExt</v>
      </c>
      <c r="GG443" s="14">
        <f t="shared" si="484"/>
        <v>5</v>
      </c>
      <c r="GH443" s="14">
        <f t="shared" si="485"/>
        <v>1</v>
      </c>
      <c r="GI443" s="14" t="str">
        <f t="shared" si="486"/>
        <v>HPExt</v>
      </c>
      <c r="GJ443" s="14">
        <f t="shared" si="487"/>
        <v>50</v>
      </c>
      <c r="GK443" s="14">
        <f t="shared" si="488"/>
        <v>8</v>
      </c>
      <c r="GL443" s="14">
        <f t="shared" si="446"/>
        <v>20110</v>
      </c>
      <c r="GM443" s="14">
        <f t="shared" si="489"/>
        <v>0</v>
      </c>
      <c r="GN443" s="14" t="str">
        <f t="shared" si="490"/>
        <v/>
      </c>
      <c r="GO443" s="25" t="s">
        <v>1471</v>
      </c>
      <c r="GP443" s="14">
        <f t="shared" si="447"/>
        <v>5</v>
      </c>
      <c r="GQ443" s="30"/>
      <c r="HK443" s="13">
        <v>438</v>
      </c>
      <c r="HL443" s="14">
        <f t="shared" si="467"/>
        <v>19</v>
      </c>
      <c r="HM443" s="14">
        <f t="shared" si="468"/>
        <v>2</v>
      </c>
      <c r="HN443" s="14">
        <f t="shared" si="469"/>
        <v>8</v>
      </c>
      <c r="HO443" s="14">
        <f t="shared" si="470"/>
        <v>3</v>
      </c>
      <c r="HP443" s="14" t="str">
        <f t="shared" si="471"/>
        <v>120级守护灵洗练-Q3-6</v>
      </c>
      <c r="HQ443" s="14">
        <f t="shared" si="472"/>
        <v>2083</v>
      </c>
      <c r="HR443" s="14">
        <f t="shared" si="473"/>
        <v>6</v>
      </c>
      <c r="HS443" s="14">
        <f t="shared" si="474"/>
        <v>500</v>
      </c>
      <c r="HT443" s="14" t="str">
        <f t="shared" si="475"/>
        <v>HPRate</v>
      </c>
      <c r="HU443" s="14">
        <f t="shared" si="476"/>
        <v>1.4E-2</v>
      </c>
      <c r="HV443" s="14">
        <f t="shared" si="477"/>
        <v>0.04</v>
      </c>
    </row>
    <row r="444" spans="151:230" ht="16.5" x14ac:dyDescent="0.2">
      <c r="EU444" s="13">
        <v>439</v>
      </c>
      <c r="EV444" s="14">
        <f t="shared" si="448"/>
        <v>2</v>
      </c>
      <c r="EW444" s="14">
        <f t="shared" si="478"/>
        <v>4</v>
      </c>
      <c r="EX444" s="14">
        <f t="shared" si="450"/>
        <v>1</v>
      </c>
      <c r="EY444" s="14">
        <f t="shared" si="479"/>
        <v>10</v>
      </c>
      <c r="EZ444" s="14">
        <f t="shared" si="426"/>
        <v>12</v>
      </c>
      <c r="FA444" s="14">
        <f t="shared" si="427"/>
        <v>15</v>
      </c>
      <c r="FB444" s="14">
        <f t="shared" si="428"/>
        <v>1</v>
      </c>
      <c r="FC444" s="14">
        <f t="shared" si="429"/>
        <v>4</v>
      </c>
      <c r="FD444" s="14">
        <f t="shared" si="430"/>
        <v>4</v>
      </c>
      <c r="FE444" s="14" t="b">
        <f t="shared" si="451"/>
        <v>0</v>
      </c>
      <c r="FF444" s="14">
        <f t="shared" si="431"/>
        <v>2101104</v>
      </c>
      <c r="FG444" s="13" t="str">
        <f t="shared" si="432"/>
        <v>15级-普通守护灵の裤子</v>
      </c>
      <c r="FH444" s="14">
        <f t="shared" si="433"/>
        <v>2</v>
      </c>
      <c r="FI444" s="14">
        <f t="shared" si="434"/>
        <v>1</v>
      </c>
      <c r="FJ444" s="14">
        <f t="shared" si="435"/>
        <v>15</v>
      </c>
      <c r="FK444" s="14">
        <v>5</v>
      </c>
      <c r="FL444" s="14">
        <f t="shared" si="436"/>
        <v>1</v>
      </c>
      <c r="FM444" s="14">
        <f t="shared" si="480"/>
        <v>4</v>
      </c>
      <c r="FN444" s="14" t="str">
        <f t="shared" si="437"/>
        <v/>
      </c>
      <c r="FO444" s="14">
        <f t="shared" si="481"/>
        <v>10</v>
      </c>
      <c r="FP444" s="14">
        <f t="shared" si="453"/>
        <v>0</v>
      </c>
      <c r="FQ444" s="14">
        <f t="shared" si="454"/>
        <v>10</v>
      </c>
      <c r="FR444" s="14">
        <f t="shared" si="455"/>
        <v>0</v>
      </c>
      <c r="FS444" s="14">
        <f t="shared" si="456"/>
        <v>0</v>
      </c>
      <c r="FT444" s="14">
        <f t="shared" si="457"/>
        <v>1</v>
      </c>
      <c r="FU444" s="14">
        <f t="shared" si="458"/>
        <v>0</v>
      </c>
      <c r="FV444" s="14">
        <f t="shared" si="439"/>
        <v>2011</v>
      </c>
      <c r="FW444" s="14">
        <f t="shared" si="440"/>
        <v>0</v>
      </c>
      <c r="FX444" s="14" t="str">
        <f t="shared" si="441"/>
        <v/>
      </c>
      <c r="FY444" s="25" t="str">
        <f t="shared" si="459"/>
        <v>icon_2101104</v>
      </c>
      <c r="GC444" s="14">
        <f t="shared" si="442"/>
        <v>2</v>
      </c>
      <c r="GD444" s="14">
        <f t="shared" si="443"/>
        <v>0</v>
      </c>
      <c r="GE444" s="14">
        <f t="shared" si="482"/>
        <v>10</v>
      </c>
      <c r="GF444" s="14" t="str">
        <f t="shared" si="483"/>
        <v>DefExt</v>
      </c>
      <c r="GG444" s="14">
        <f t="shared" si="484"/>
        <v>10</v>
      </c>
      <c r="GH444" s="14">
        <f t="shared" si="485"/>
        <v>1</v>
      </c>
      <c r="GI444" s="14" t="str">
        <f t="shared" si="486"/>
        <v/>
      </c>
      <c r="GJ444" s="14" t="str">
        <f t="shared" si="487"/>
        <v/>
      </c>
      <c r="GK444" s="14" t="str">
        <f t="shared" si="488"/>
        <v/>
      </c>
      <c r="GL444" s="14">
        <f t="shared" si="446"/>
        <v>20110</v>
      </c>
      <c r="GM444" s="14">
        <f t="shared" si="489"/>
        <v>0</v>
      </c>
      <c r="GN444" s="14" t="str">
        <f t="shared" si="490"/>
        <v/>
      </c>
      <c r="GO444" s="25" t="s">
        <v>1471</v>
      </c>
      <c r="GP444" s="14">
        <f t="shared" si="447"/>
        <v>5</v>
      </c>
      <c r="GQ444" s="30"/>
      <c r="HK444" s="13">
        <v>439</v>
      </c>
      <c r="HL444" s="14">
        <f t="shared" si="467"/>
        <v>19</v>
      </c>
      <c r="HM444" s="14">
        <f t="shared" si="468"/>
        <v>2</v>
      </c>
      <c r="HN444" s="14">
        <f t="shared" si="469"/>
        <v>8</v>
      </c>
      <c r="HO444" s="14">
        <f t="shared" si="470"/>
        <v>3</v>
      </c>
      <c r="HP444" s="14" t="str">
        <f t="shared" si="471"/>
        <v>120级守护灵洗练-Q3-7</v>
      </c>
      <c r="HQ444" s="14">
        <f t="shared" si="472"/>
        <v>2083</v>
      </c>
      <c r="HR444" s="14">
        <f t="shared" si="473"/>
        <v>7</v>
      </c>
      <c r="HS444" s="14">
        <f t="shared" si="474"/>
        <v>500</v>
      </c>
      <c r="HT444" s="14" t="str">
        <f t="shared" si="475"/>
        <v>Crit</v>
      </c>
      <c r="HU444" s="14">
        <f t="shared" si="476"/>
        <v>1.0999999999999999E-2</v>
      </c>
      <c r="HV444" s="14">
        <f t="shared" si="477"/>
        <v>0.03</v>
      </c>
    </row>
    <row r="445" spans="151:230" ht="16.5" x14ac:dyDescent="0.2">
      <c r="EU445" s="13">
        <v>440</v>
      </c>
      <c r="EV445" s="14">
        <f t="shared" si="448"/>
        <v>2</v>
      </c>
      <c r="EW445" s="14">
        <f t="shared" si="478"/>
        <v>5</v>
      </c>
      <c r="EX445" s="14">
        <f t="shared" si="450"/>
        <v>1</v>
      </c>
      <c r="EY445" s="14">
        <f t="shared" si="479"/>
        <v>10</v>
      </c>
      <c r="EZ445" s="14">
        <f t="shared" si="426"/>
        <v>12</v>
      </c>
      <c r="FA445" s="14">
        <f t="shared" si="427"/>
        <v>15</v>
      </c>
      <c r="FB445" s="14">
        <f t="shared" si="428"/>
        <v>1</v>
      </c>
      <c r="FC445" s="14">
        <f t="shared" si="429"/>
        <v>5</v>
      </c>
      <c r="FD445" s="14">
        <f t="shared" si="430"/>
        <v>5</v>
      </c>
      <c r="FE445" s="14" t="b">
        <f t="shared" si="451"/>
        <v>0</v>
      </c>
      <c r="FF445" s="14">
        <f t="shared" si="431"/>
        <v>2101105</v>
      </c>
      <c r="FG445" s="13" t="str">
        <f t="shared" si="432"/>
        <v>15级-普通守护灵の鞋子</v>
      </c>
      <c r="FH445" s="14">
        <f t="shared" si="433"/>
        <v>2</v>
      </c>
      <c r="FI445" s="14">
        <f t="shared" si="434"/>
        <v>1</v>
      </c>
      <c r="FJ445" s="14">
        <f t="shared" si="435"/>
        <v>15</v>
      </c>
      <c r="FK445" s="14">
        <v>6</v>
      </c>
      <c r="FL445" s="14">
        <f t="shared" si="436"/>
        <v>1</v>
      </c>
      <c r="FM445" s="14">
        <f t="shared" si="480"/>
        <v>5</v>
      </c>
      <c r="FN445" s="14" t="str">
        <f t="shared" si="437"/>
        <v/>
      </c>
      <c r="FO445" s="14">
        <f t="shared" si="481"/>
        <v>15</v>
      </c>
      <c r="FP445" s="14">
        <f t="shared" si="453"/>
        <v>0</v>
      </c>
      <c r="FQ445" s="14">
        <f t="shared" si="454"/>
        <v>0</v>
      </c>
      <c r="FR445" s="14">
        <f t="shared" si="455"/>
        <v>95</v>
      </c>
      <c r="FS445" s="14">
        <f t="shared" si="456"/>
        <v>0</v>
      </c>
      <c r="FT445" s="14">
        <f t="shared" si="457"/>
        <v>0</v>
      </c>
      <c r="FU445" s="14">
        <f t="shared" si="458"/>
        <v>15</v>
      </c>
      <c r="FV445" s="14">
        <f t="shared" si="439"/>
        <v>2011</v>
      </c>
      <c r="FW445" s="14">
        <f t="shared" si="440"/>
        <v>0</v>
      </c>
      <c r="FX445" s="14" t="str">
        <f t="shared" si="441"/>
        <v/>
      </c>
      <c r="FY445" s="25" t="str">
        <f t="shared" si="459"/>
        <v>icon_2101105</v>
      </c>
      <c r="GC445" s="14">
        <f t="shared" si="442"/>
        <v>3</v>
      </c>
      <c r="GD445" s="14">
        <f t="shared" si="443"/>
        <v>0</v>
      </c>
      <c r="GE445" s="14">
        <f t="shared" si="482"/>
        <v>15</v>
      </c>
      <c r="GF445" s="14" t="str">
        <f t="shared" si="483"/>
        <v>HPExt</v>
      </c>
      <c r="GG445" s="14">
        <f t="shared" si="484"/>
        <v>95</v>
      </c>
      <c r="GH445" s="14">
        <f t="shared" si="485"/>
        <v>15</v>
      </c>
      <c r="GI445" s="14" t="str">
        <f t="shared" si="486"/>
        <v/>
      </c>
      <c r="GJ445" s="14" t="str">
        <f t="shared" si="487"/>
        <v/>
      </c>
      <c r="GK445" s="14" t="str">
        <f t="shared" si="488"/>
        <v/>
      </c>
      <c r="GL445" s="14">
        <f t="shared" si="446"/>
        <v>20110</v>
      </c>
      <c r="GM445" s="14">
        <f t="shared" si="489"/>
        <v>0</v>
      </c>
      <c r="GN445" s="14" t="str">
        <f t="shared" si="490"/>
        <v/>
      </c>
      <c r="GO445" s="25" t="s">
        <v>1471</v>
      </c>
      <c r="GP445" s="14">
        <f t="shared" si="447"/>
        <v>5</v>
      </c>
      <c r="GQ445" s="30"/>
      <c r="HK445" s="13">
        <v>440</v>
      </c>
      <c r="HL445" s="14">
        <f t="shared" si="467"/>
        <v>19</v>
      </c>
      <c r="HM445" s="14">
        <f t="shared" si="468"/>
        <v>2</v>
      </c>
      <c r="HN445" s="14">
        <f t="shared" si="469"/>
        <v>8</v>
      </c>
      <c r="HO445" s="14">
        <f t="shared" si="470"/>
        <v>3</v>
      </c>
      <c r="HP445" s="14" t="str">
        <f t="shared" si="471"/>
        <v>120级守护灵洗练-Q3-8</v>
      </c>
      <c r="HQ445" s="14">
        <f t="shared" si="472"/>
        <v>2083</v>
      </c>
      <c r="HR445" s="14">
        <f t="shared" si="473"/>
        <v>8</v>
      </c>
      <c r="HS445" s="14">
        <f t="shared" si="474"/>
        <v>500</v>
      </c>
      <c r="HT445" s="14" t="str">
        <f t="shared" si="475"/>
        <v>CritRate</v>
      </c>
      <c r="HU445" s="14">
        <f t="shared" si="476"/>
        <v>2.8000000000000001E-2</v>
      </c>
      <c r="HV445" s="14">
        <f t="shared" si="477"/>
        <v>0.08</v>
      </c>
    </row>
    <row r="446" spans="151:230" ht="16.5" x14ac:dyDescent="0.2">
      <c r="EU446" s="13">
        <v>441</v>
      </c>
      <c r="EV446" s="14">
        <f t="shared" si="448"/>
        <v>2</v>
      </c>
      <c r="EW446" s="14">
        <f t="shared" si="478"/>
        <v>6</v>
      </c>
      <c r="EX446" s="14">
        <f t="shared" si="450"/>
        <v>1</v>
      </c>
      <c r="EY446" s="14">
        <f t="shared" si="479"/>
        <v>10</v>
      </c>
      <c r="EZ446" s="14">
        <f t="shared" si="426"/>
        <v>12</v>
      </c>
      <c r="FA446" s="14">
        <f t="shared" si="427"/>
        <v>15</v>
      </c>
      <c r="FB446" s="14">
        <f t="shared" si="428"/>
        <v>1</v>
      </c>
      <c r="FC446" s="14">
        <f t="shared" si="429"/>
        <v>6</v>
      </c>
      <c r="FD446" s="14">
        <f t="shared" si="430"/>
        <v>6</v>
      </c>
      <c r="FE446" s="14" t="b">
        <f t="shared" si="451"/>
        <v>0</v>
      </c>
      <c r="FF446" s="14">
        <f t="shared" si="431"/>
        <v>2101106</v>
      </c>
      <c r="FG446" s="13" t="str">
        <f t="shared" si="432"/>
        <v>15级-普通守护灵の护手</v>
      </c>
      <c r="FH446" s="14">
        <f t="shared" si="433"/>
        <v>2</v>
      </c>
      <c r="FI446" s="14">
        <f t="shared" si="434"/>
        <v>1</v>
      </c>
      <c r="FJ446" s="14">
        <f t="shared" si="435"/>
        <v>15</v>
      </c>
      <c r="FK446" s="14">
        <v>7</v>
      </c>
      <c r="FL446" s="14">
        <f t="shared" si="436"/>
        <v>1</v>
      </c>
      <c r="FM446" s="14">
        <f t="shared" si="480"/>
        <v>6</v>
      </c>
      <c r="FN446" s="14" t="str">
        <f t="shared" si="437"/>
        <v/>
      </c>
      <c r="FO446" s="14">
        <f t="shared" si="481"/>
        <v>15</v>
      </c>
      <c r="FP446" s="14">
        <f t="shared" si="453"/>
        <v>0</v>
      </c>
      <c r="FQ446" s="14">
        <f t="shared" si="454"/>
        <v>0</v>
      </c>
      <c r="FR446" s="14">
        <f t="shared" si="455"/>
        <v>95</v>
      </c>
      <c r="FS446" s="14">
        <f t="shared" si="456"/>
        <v>0</v>
      </c>
      <c r="FT446" s="14">
        <f t="shared" si="457"/>
        <v>0</v>
      </c>
      <c r="FU446" s="14">
        <f t="shared" si="458"/>
        <v>15</v>
      </c>
      <c r="FV446" s="14">
        <f t="shared" si="439"/>
        <v>2011</v>
      </c>
      <c r="FW446" s="14">
        <f t="shared" si="440"/>
        <v>0</v>
      </c>
      <c r="FX446" s="14" t="str">
        <f t="shared" si="441"/>
        <v/>
      </c>
      <c r="FY446" s="25" t="str">
        <f t="shared" si="459"/>
        <v>icon_2101106</v>
      </c>
      <c r="GC446" s="14">
        <f t="shared" si="442"/>
        <v>3</v>
      </c>
      <c r="GD446" s="14">
        <f t="shared" si="443"/>
        <v>0</v>
      </c>
      <c r="GE446" s="14">
        <f t="shared" si="482"/>
        <v>15</v>
      </c>
      <c r="GF446" s="14" t="str">
        <f t="shared" si="483"/>
        <v>HPExt</v>
      </c>
      <c r="GG446" s="14">
        <f t="shared" si="484"/>
        <v>95</v>
      </c>
      <c r="GH446" s="14">
        <f t="shared" si="485"/>
        <v>15</v>
      </c>
      <c r="GI446" s="14" t="str">
        <f t="shared" si="486"/>
        <v/>
      </c>
      <c r="GJ446" s="14" t="str">
        <f t="shared" si="487"/>
        <v/>
      </c>
      <c r="GK446" s="14" t="str">
        <f t="shared" si="488"/>
        <v/>
      </c>
      <c r="GL446" s="14">
        <f t="shared" si="446"/>
        <v>20110</v>
      </c>
      <c r="GM446" s="14">
        <f t="shared" si="489"/>
        <v>0</v>
      </c>
      <c r="GN446" s="14" t="str">
        <f t="shared" si="490"/>
        <v/>
      </c>
      <c r="GO446" s="25" t="s">
        <v>1471</v>
      </c>
      <c r="GP446" s="14">
        <f t="shared" si="447"/>
        <v>5</v>
      </c>
      <c r="GQ446" s="30"/>
      <c r="HK446" s="13">
        <v>441</v>
      </c>
      <c r="HL446" s="14">
        <f t="shared" si="467"/>
        <v>19</v>
      </c>
      <c r="HM446" s="14">
        <f t="shared" si="468"/>
        <v>2</v>
      </c>
      <c r="HN446" s="14">
        <f t="shared" si="469"/>
        <v>8</v>
      </c>
      <c r="HO446" s="14">
        <f t="shared" si="470"/>
        <v>3</v>
      </c>
      <c r="HP446" s="14" t="str">
        <f t="shared" si="471"/>
        <v>120级守护灵洗练-Q3-9</v>
      </c>
      <c r="HQ446" s="14">
        <f t="shared" si="472"/>
        <v>2083</v>
      </c>
      <c r="HR446" s="14">
        <f t="shared" si="473"/>
        <v>9</v>
      </c>
      <c r="HS446" s="14">
        <f t="shared" si="474"/>
        <v>500</v>
      </c>
      <c r="HT446" s="14" t="str">
        <f t="shared" si="475"/>
        <v>DefIgnor</v>
      </c>
      <c r="HU446" s="14">
        <f t="shared" si="476"/>
        <v>1.0999999999999999E-2</v>
      </c>
      <c r="HV446" s="14">
        <f t="shared" si="477"/>
        <v>0.03</v>
      </c>
    </row>
    <row r="447" spans="151:230" ht="16.5" x14ac:dyDescent="0.2">
      <c r="EU447" s="13">
        <v>442</v>
      </c>
      <c r="EV447" s="14">
        <f t="shared" si="448"/>
        <v>2</v>
      </c>
      <c r="EW447" s="14">
        <f t="shared" si="478"/>
        <v>7</v>
      </c>
      <c r="EX447" s="14">
        <f t="shared" si="450"/>
        <v>1</v>
      </c>
      <c r="EY447" s="14">
        <f t="shared" si="479"/>
        <v>10</v>
      </c>
      <c r="EZ447" s="14">
        <f t="shared" si="426"/>
        <v>12</v>
      </c>
      <c r="FA447" s="14">
        <f t="shared" si="427"/>
        <v>15</v>
      </c>
      <c r="FB447" s="14">
        <f t="shared" si="428"/>
        <v>1</v>
      </c>
      <c r="FC447" s="14">
        <f t="shared" si="429"/>
        <v>7</v>
      </c>
      <c r="FD447" s="14">
        <f t="shared" si="430"/>
        <v>7</v>
      </c>
      <c r="FE447" s="14" t="b">
        <f t="shared" si="451"/>
        <v>0</v>
      </c>
      <c r="FF447" s="14">
        <f t="shared" si="431"/>
        <v>2101107</v>
      </c>
      <c r="FG447" s="13" t="str">
        <f t="shared" si="432"/>
        <v>15级-普通守护灵の项链</v>
      </c>
      <c r="FH447" s="14">
        <f t="shared" si="433"/>
        <v>2</v>
      </c>
      <c r="FI447" s="14">
        <f t="shared" si="434"/>
        <v>1</v>
      </c>
      <c r="FJ447" s="14">
        <f t="shared" si="435"/>
        <v>15</v>
      </c>
      <c r="FK447" s="14">
        <v>8</v>
      </c>
      <c r="FL447" s="14">
        <f t="shared" si="436"/>
        <v>1</v>
      </c>
      <c r="FM447" s="14">
        <f t="shared" si="480"/>
        <v>7</v>
      </c>
      <c r="FN447" s="14" t="str">
        <f t="shared" si="437"/>
        <v/>
      </c>
      <c r="FO447" s="14">
        <f t="shared" si="481"/>
        <v>20</v>
      </c>
      <c r="FP447" s="14">
        <f t="shared" si="453"/>
        <v>10</v>
      </c>
      <c r="FQ447" s="14">
        <f t="shared" si="454"/>
        <v>5</v>
      </c>
      <c r="FR447" s="14">
        <f t="shared" si="455"/>
        <v>0</v>
      </c>
      <c r="FS447" s="14">
        <f t="shared" si="456"/>
        <v>2</v>
      </c>
      <c r="FT447" s="14">
        <f t="shared" si="457"/>
        <v>1</v>
      </c>
      <c r="FU447" s="14">
        <f t="shared" si="458"/>
        <v>0</v>
      </c>
      <c r="FV447" s="14">
        <f t="shared" si="439"/>
        <v>2011</v>
      </c>
      <c r="FW447" s="14">
        <f t="shared" si="440"/>
        <v>0</v>
      </c>
      <c r="FX447" s="14" t="str">
        <f t="shared" si="441"/>
        <v/>
      </c>
      <c r="FY447" s="25" t="str">
        <f t="shared" si="459"/>
        <v>icon_2101107</v>
      </c>
      <c r="GC447" s="14">
        <f t="shared" si="442"/>
        <v>1</v>
      </c>
      <c r="GD447" s="14">
        <f t="shared" si="443"/>
        <v>2</v>
      </c>
      <c r="GE447" s="14">
        <f t="shared" si="482"/>
        <v>20</v>
      </c>
      <c r="GF447" s="14" t="str">
        <f t="shared" si="483"/>
        <v>AtkExt</v>
      </c>
      <c r="GG447" s="14">
        <f t="shared" si="484"/>
        <v>10</v>
      </c>
      <c r="GH447" s="14">
        <f t="shared" si="485"/>
        <v>2</v>
      </c>
      <c r="GI447" s="14" t="str">
        <f t="shared" si="486"/>
        <v>DefExt</v>
      </c>
      <c r="GJ447" s="14">
        <f t="shared" si="487"/>
        <v>5</v>
      </c>
      <c r="GK447" s="14">
        <f t="shared" si="488"/>
        <v>1</v>
      </c>
      <c r="GL447" s="14">
        <f t="shared" si="446"/>
        <v>20110</v>
      </c>
      <c r="GM447" s="14">
        <f t="shared" si="489"/>
        <v>0</v>
      </c>
      <c r="GN447" s="14" t="str">
        <f t="shared" si="490"/>
        <v/>
      </c>
      <c r="GO447" s="25" t="s">
        <v>1471</v>
      </c>
      <c r="GP447" s="14">
        <f t="shared" si="447"/>
        <v>8</v>
      </c>
      <c r="GQ447" s="30"/>
      <c r="HK447" s="13">
        <v>442</v>
      </c>
      <c r="HL447" s="14">
        <f t="shared" si="467"/>
        <v>19</v>
      </c>
      <c r="HM447" s="14">
        <f t="shared" si="468"/>
        <v>2</v>
      </c>
      <c r="HN447" s="14">
        <f t="shared" si="469"/>
        <v>8</v>
      </c>
      <c r="HO447" s="14">
        <f t="shared" si="470"/>
        <v>3</v>
      </c>
      <c r="HP447" s="14" t="str">
        <f t="shared" si="471"/>
        <v>120级守护灵洗练-Q3-10</v>
      </c>
      <c r="HQ447" s="14">
        <f t="shared" si="472"/>
        <v>2083</v>
      </c>
      <c r="HR447" s="14">
        <f t="shared" si="473"/>
        <v>10</v>
      </c>
      <c r="HS447" s="14">
        <f t="shared" si="474"/>
        <v>500</v>
      </c>
      <c r="HT447" s="14" t="str">
        <f t="shared" si="475"/>
        <v>Block</v>
      </c>
      <c r="HU447" s="14">
        <f t="shared" si="476"/>
        <v>1.0999999999999999E-2</v>
      </c>
      <c r="HV447" s="14">
        <f t="shared" si="477"/>
        <v>0.03</v>
      </c>
    </row>
    <row r="448" spans="151:230" ht="16.5" x14ac:dyDescent="0.2">
      <c r="EU448" s="13">
        <v>443</v>
      </c>
      <c r="EV448" s="14">
        <f t="shared" si="448"/>
        <v>2</v>
      </c>
      <c r="EW448" s="14">
        <f t="shared" si="478"/>
        <v>8</v>
      </c>
      <c r="EX448" s="14">
        <f t="shared" si="450"/>
        <v>1</v>
      </c>
      <c r="EY448" s="14">
        <f t="shared" si="479"/>
        <v>10</v>
      </c>
      <c r="EZ448" s="14">
        <f t="shared" si="426"/>
        <v>12</v>
      </c>
      <c r="FA448" s="14">
        <f t="shared" si="427"/>
        <v>15</v>
      </c>
      <c r="FB448" s="14">
        <f t="shared" si="428"/>
        <v>1</v>
      </c>
      <c r="FC448" s="14">
        <f t="shared" si="429"/>
        <v>8</v>
      </c>
      <c r="FD448" s="14">
        <f t="shared" si="430"/>
        <v>8</v>
      </c>
      <c r="FE448" s="14" t="b">
        <f t="shared" si="451"/>
        <v>0</v>
      </c>
      <c r="FF448" s="14">
        <f t="shared" si="431"/>
        <v>2101108</v>
      </c>
      <c r="FG448" s="13" t="str">
        <f t="shared" si="432"/>
        <v>15级-普通守护灵の戒指</v>
      </c>
      <c r="FH448" s="14">
        <f t="shared" si="433"/>
        <v>2</v>
      </c>
      <c r="FI448" s="14">
        <f t="shared" si="434"/>
        <v>1</v>
      </c>
      <c r="FJ448" s="14">
        <f t="shared" si="435"/>
        <v>15</v>
      </c>
      <c r="FK448" s="14">
        <v>9</v>
      </c>
      <c r="FL448" s="14">
        <f t="shared" si="436"/>
        <v>1</v>
      </c>
      <c r="FM448" s="14">
        <f t="shared" si="480"/>
        <v>8</v>
      </c>
      <c r="FN448" s="14" t="str">
        <f t="shared" si="437"/>
        <v/>
      </c>
      <c r="FO448" s="14">
        <f t="shared" si="481"/>
        <v>23</v>
      </c>
      <c r="FP448" s="14">
        <f t="shared" si="453"/>
        <v>10</v>
      </c>
      <c r="FQ448" s="14">
        <f t="shared" si="454"/>
        <v>0</v>
      </c>
      <c r="FR448" s="14">
        <f t="shared" si="455"/>
        <v>80</v>
      </c>
      <c r="FS448" s="14">
        <f t="shared" si="456"/>
        <v>2</v>
      </c>
      <c r="FT448" s="14">
        <f t="shared" si="457"/>
        <v>0</v>
      </c>
      <c r="FU448" s="14">
        <f t="shared" si="458"/>
        <v>13</v>
      </c>
      <c r="FV448" s="14">
        <f t="shared" si="439"/>
        <v>2011</v>
      </c>
      <c r="FW448" s="14">
        <f t="shared" si="440"/>
        <v>0</v>
      </c>
      <c r="FX448" s="14" t="str">
        <f t="shared" si="441"/>
        <v/>
      </c>
      <c r="FY448" s="25" t="str">
        <f t="shared" si="459"/>
        <v>icon_2101108</v>
      </c>
      <c r="GC448" s="14">
        <f t="shared" si="442"/>
        <v>1</v>
      </c>
      <c r="GD448" s="14">
        <f t="shared" si="443"/>
        <v>3</v>
      </c>
      <c r="GE448" s="14">
        <f t="shared" si="482"/>
        <v>23</v>
      </c>
      <c r="GF448" s="14" t="str">
        <f t="shared" si="483"/>
        <v>AtkExt</v>
      </c>
      <c r="GG448" s="14">
        <f t="shared" si="484"/>
        <v>10</v>
      </c>
      <c r="GH448" s="14">
        <f t="shared" si="485"/>
        <v>2</v>
      </c>
      <c r="GI448" s="14" t="str">
        <f t="shared" si="486"/>
        <v>HPExt</v>
      </c>
      <c r="GJ448" s="14">
        <f t="shared" si="487"/>
        <v>80</v>
      </c>
      <c r="GK448" s="14">
        <f t="shared" si="488"/>
        <v>13</v>
      </c>
      <c r="GL448" s="14">
        <f t="shared" si="446"/>
        <v>20110</v>
      </c>
      <c r="GM448" s="14">
        <f t="shared" si="489"/>
        <v>0</v>
      </c>
      <c r="GN448" s="14" t="str">
        <f t="shared" si="490"/>
        <v/>
      </c>
      <c r="GO448" s="25" t="s">
        <v>1471</v>
      </c>
      <c r="GP448" s="14">
        <f t="shared" si="447"/>
        <v>8</v>
      </c>
      <c r="GQ448" s="30"/>
      <c r="HK448" s="13">
        <v>443</v>
      </c>
      <c r="HL448" s="14">
        <f t="shared" si="467"/>
        <v>19</v>
      </c>
      <c r="HM448" s="14">
        <f t="shared" si="468"/>
        <v>2</v>
      </c>
      <c r="HN448" s="14">
        <f t="shared" si="469"/>
        <v>8</v>
      </c>
      <c r="HO448" s="14">
        <f t="shared" si="470"/>
        <v>3</v>
      </c>
      <c r="HP448" s="14" t="str">
        <f t="shared" si="471"/>
        <v>120级守护灵洗练-Q3-11</v>
      </c>
      <c r="HQ448" s="14">
        <f t="shared" si="472"/>
        <v>2083</v>
      </c>
      <c r="HR448" s="14">
        <f t="shared" si="473"/>
        <v>11</v>
      </c>
      <c r="HS448" s="14">
        <f t="shared" si="474"/>
        <v>500</v>
      </c>
      <c r="HT448" s="14" t="str">
        <f t="shared" si="475"/>
        <v>EffectHit</v>
      </c>
      <c r="HU448" s="14">
        <f t="shared" si="476"/>
        <v>1.7999999999999999E-2</v>
      </c>
      <c r="HV448" s="14">
        <f t="shared" si="477"/>
        <v>0.05</v>
      </c>
    </row>
    <row r="449" spans="151:230" ht="16.5" x14ac:dyDescent="0.2">
      <c r="EU449" s="13">
        <v>444</v>
      </c>
      <c r="EV449" s="14">
        <f t="shared" si="448"/>
        <v>2</v>
      </c>
      <c r="EW449" s="14">
        <f t="shared" si="478"/>
        <v>9</v>
      </c>
      <c r="EX449" s="14">
        <f t="shared" si="450"/>
        <v>2</v>
      </c>
      <c r="EY449" s="14">
        <f t="shared" si="479"/>
        <v>20</v>
      </c>
      <c r="EZ449" s="14">
        <f t="shared" si="426"/>
        <v>12</v>
      </c>
      <c r="FA449" s="14">
        <f t="shared" si="427"/>
        <v>15</v>
      </c>
      <c r="FB449" s="14">
        <f t="shared" si="428"/>
        <v>2</v>
      </c>
      <c r="FC449" s="14">
        <f t="shared" si="429"/>
        <v>1</v>
      </c>
      <c r="FD449" s="14">
        <f t="shared" si="430"/>
        <v>1</v>
      </c>
      <c r="FE449" s="14" t="b">
        <f t="shared" si="451"/>
        <v>0</v>
      </c>
      <c r="FF449" s="14">
        <f t="shared" si="431"/>
        <v>2101201</v>
      </c>
      <c r="FG449" s="13" t="str">
        <f t="shared" si="432"/>
        <v>15级-优秀守护灵の灵器</v>
      </c>
      <c r="FH449" s="14">
        <f t="shared" si="433"/>
        <v>2</v>
      </c>
      <c r="FI449" s="14">
        <f t="shared" si="434"/>
        <v>2</v>
      </c>
      <c r="FJ449" s="14">
        <f t="shared" si="435"/>
        <v>15</v>
      </c>
      <c r="FK449" s="14">
        <v>10</v>
      </c>
      <c r="FL449" s="14">
        <f t="shared" si="436"/>
        <v>1</v>
      </c>
      <c r="FM449" s="14">
        <f t="shared" si="480"/>
        <v>1</v>
      </c>
      <c r="FN449" s="14" t="str">
        <f t="shared" si="437"/>
        <v/>
      </c>
      <c r="FO449" s="14">
        <f t="shared" si="481"/>
        <v>35</v>
      </c>
      <c r="FP449" s="14">
        <f t="shared" si="453"/>
        <v>45</v>
      </c>
      <c r="FQ449" s="14">
        <f t="shared" si="454"/>
        <v>0</v>
      </c>
      <c r="FR449" s="14">
        <f t="shared" si="455"/>
        <v>0</v>
      </c>
      <c r="FS449" s="14">
        <f t="shared" si="456"/>
        <v>7</v>
      </c>
      <c r="FT449" s="14">
        <f t="shared" si="457"/>
        <v>0</v>
      </c>
      <c r="FU449" s="14">
        <f t="shared" si="458"/>
        <v>0</v>
      </c>
      <c r="FV449" s="14">
        <f t="shared" si="439"/>
        <v>2012</v>
      </c>
      <c r="FW449" s="14">
        <f t="shared" si="440"/>
        <v>0</v>
      </c>
      <c r="FX449" s="14" t="str">
        <f t="shared" si="441"/>
        <v/>
      </c>
      <c r="FY449" s="25" t="str">
        <f t="shared" si="459"/>
        <v>icon_2101101</v>
      </c>
      <c r="GC449" s="14">
        <f t="shared" si="442"/>
        <v>1</v>
      </c>
      <c r="GD449" s="14">
        <f t="shared" si="443"/>
        <v>0</v>
      </c>
      <c r="GE449" s="14">
        <f t="shared" si="482"/>
        <v>35</v>
      </c>
      <c r="GF449" s="14" t="str">
        <f t="shared" si="483"/>
        <v>AtkExt</v>
      </c>
      <c r="GG449" s="14">
        <f t="shared" si="484"/>
        <v>45</v>
      </c>
      <c r="GH449" s="14">
        <f t="shared" si="485"/>
        <v>7</v>
      </c>
      <c r="GI449" s="14" t="str">
        <f t="shared" si="486"/>
        <v/>
      </c>
      <c r="GJ449" s="14" t="str">
        <f t="shared" si="487"/>
        <v/>
      </c>
      <c r="GK449" s="14" t="str">
        <f t="shared" si="488"/>
        <v/>
      </c>
      <c r="GL449" s="14">
        <f t="shared" si="446"/>
        <v>20120</v>
      </c>
      <c r="GM449" s="14">
        <f t="shared" si="489"/>
        <v>0</v>
      </c>
      <c r="GN449" s="14" t="str">
        <f t="shared" si="490"/>
        <v/>
      </c>
      <c r="GO449" s="25" t="s">
        <v>1471</v>
      </c>
      <c r="GP449" s="14">
        <f t="shared" si="447"/>
        <v>30</v>
      </c>
      <c r="GQ449" s="30"/>
      <c r="HK449" s="13">
        <v>444</v>
      </c>
      <c r="HL449" s="14">
        <f t="shared" si="467"/>
        <v>19</v>
      </c>
      <c r="HM449" s="14">
        <f t="shared" si="468"/>
        <v>2</v>
      </c>
      <c r="HN449" s="14">
        <f t="shared" si="469"/>
        <v>8</v>
      </c>
      <c r="HO449" s="14">
        <f t="shared" si="470"/>
        <v>3</v>
      </c>
      <c r="HP449" s="14" t="str">
        <f t="shared" si="471"/>
        <v>120级守护灵洗练-Q3-12</v>
      </c>
      <c r="HQ449" s="14">
        <f t="shared" si="472"/>
        <v>2083</v>
      </c>
      <c r="HR449" s="14">
        <f t="shared" si="473"/>
        <v>12</v>
      </c>
      <c r="HS449" s="14">
        <f t="shared" si="474"/>
        <v>500</v>
      </c>
      <c r="HT449" s="14" t="str">
        <f t="shared" si="475"/>
        <v>EffectResist</v>
      </c>
      <c r="HU449" s="14">
        <f t="shared" si="476"/>
        <v>1.7999999999999999E-2</v>
      </c>
      <c r="HV449" s="14">
        <f t="shared" si="477"/>
        <v>0.05</v>
      </c>
    </row>
    <row r="450" spans="151:230" ht="16.5" x14ac:dyDescent="0.2">
      <c r="EU450" s="13">
        <v>445</v>
      </c>
      <c r="EV450" s="14">
        <f t="shared" si="448"/>
        <v>2</v>
      </c>
      <c r="EW450" s="14">
        <f t="shared" si="478"/>
        <v>10</v>
      </c>
      <c r="EX450" s="14">
        <f t="shared" si="450"/>
        <v>2</v>
      </c>
      <c r="EY450" s="14">
        <f t="shared" si="479"/>
        <v>20</v>
      </c>
      <c r="EZ450" s="14">
        <f t="shared" si="426"/>
        <v>12</v>
      </c>
      <c r="FA450" s="14">
        <f t="shared" si="427"/>
        <v>15</v>
      </c>
      <c r="FB450" s="14">
        <f t="shared" si="428"/>
        <v>2</v>
      </c>
      <c r="FC450" s="14">
        <f t="shared" si="429"/>
        <v>2</v>
      </c>
      <c r="FD450" s="14">
        <f t="shared" si="430"/>
        <v>2</v>
      </c>
      <c r="FE450" s="14" t="b">
        <f t="shared" si="451"/>
        <v>0</v>
      </c>
      <c r="FF450" s="14">
        <f t="shared" si="431"/>
        <v>2101202</v>
      </c>
      <c r="FG450" s="13" t="str">
        <f t="shared" si="432"/>
        <v>15级-优秀守护灵の头盔</v>
      </c>
      <c r="FH450" s="14">
        <f t="shared" si="433"/>
        <v>2</v>
      </c>
      <c r="FI450" s="14">
        <f t="shared" si="434"/>
        <v>2</v>
      </c>
      <c r="FJ450" s="14">
        <f t="shared" si="435"/>
        <v>15</v>
      </c>
      <c r="FK450" s="14">
        <v>11</v>
      </c>
      <c r="FL450" s="14">
        <f t="shared" si="436"/>
        <v>1</v>
      </c>
      <c r="FM450" s="14">
        <f t="shared" si="480"/>
        <v>2</v>
      </c>
      <c r="FN450" s="14" t="str">
        <f t="shared" si="437"/>
        <v/>
      </c>
      <c r="FO450" s="14">
        <f t="shared" si="481"/>
        <v>20</v>
      </c>
      <c r="FP450" s="14">
        <f t="shared" si="453"/>
        <v>0</v>
      </c>
      <c r="FQ450" s="14">
        <f t="shared" si="454"/>
        <v>10</v>
      </c>
      <c r="FR450" s="14">
        <f t="shared" si="455"/>
        <v>0</v>
      </c>
      <c r="FS450" s="14">
        <f t="shared" si="456"/>
        <v>0</v>
      </c>
      <c r="FT450" s="14">
        <f t="shared" si="457"/>
        <v>2</v>
      </c>
      <c r="FU450" s="14">
        <f t="shared" si="458"/>
        <v>0</v>
      </c>
      <c r="FV450" s="14">
        <f t="shared" si="439"/>
        <v>2012</v>
      </c>
      <c r="FW450" s="14">
        <f t="shared" si="440"/>
        <v>0</v>
      </c>
      <c r="FX450" s="14" t="str">
        <f t="shared" si="441"/>
        <v/>
      </c>
      <c r="FY450" s="25" t="str">
        <f t="shared" si="459"/>
        <v>icon_2101102</v>
      </c>
      <c r="GC450" s="14">
        <f t="shared" si="442"/>
        <v>2</v>
      </c>
      <c r="GD450" s="14">
        <f t="shared" si="443"/>
        <v>0</v>
      </c>
      <c r="GE450" s="14">
        <f t="shared" si="482"/>
        <v>20</v>
      </c>
      <c r="GF450" s="14" t="str">
        <f t="shared" si="483"/>
        <v>DefExt</v>
      </c>
      <c r="GG450" s="14">
        <f t="shared" si="484"/>
        <v>10</v>
      </c>
      <c r="GH450" s="14">
        <f t="shared" si="485"/>
        <v>2</v>
      </c>
      <c r="GI450" s="14" t="str">
        <f t="shared" si="486"/>
        <v/>
      </c>
      <c r="GJ450" s="14" t="str">
        <f t="shared" si="487"/>
        <v/>
      </c>
      <c r="GK450" s="14" t="str">
        <f t="shared" si="488"/>
        <v/>
      </c>
      <c r="GL450" s="14">
        <f t="shared" si="446"/>
        <v>20120</v>
      </c>
      <c r="GM450" s="14">
        <f t="shared" si="489"/>
        <v>0</v>
      </c>
      <c r="GN450" s="14" t="str">
        <f t="shared" si="490"/>
        <v/>
      </c>
      <c r="GO450" s="25" t="s">
        <v>1471</v>
      </c>
      <c r="GP450" s="14">
        <f t="shared" si="447"/>
        <v>15</v>
      </c>
      <c r="GQ450" s="30"/>
      <c r="HK450" s="13">
        <v>445</v>
      </c>
      <c r="HL450" s="14">
        <f t="shared" si="467"/>
        <v>19</v>
      </c>
      <c r="HM450" s="14">
        <f t="shared" si="468"/>
        <v>2</v>
      </c>
      <c r="HN450" s="14">
        <f t="shared" si="469"/>
        <v>8</v>
      </c>
      <c r="HO450" s="14">
        <f t="shared" si="470"/>
        <v>4</v>
      </c>
      <c r="HP450" s="14" t="str">
        <f t="shared" si="471"/>
        <v>120级守护灵洗练-Q4-1</v>
      </c>
      <c r="HQ450" s="14">
        <f t="shared" si="472"/>
        <v>2084</v>
      </c>
      <c r="HR450" s="14">
        <f t="shared" si="473"/>
        <v>1</v>
      </c>
      <c r="HS450" s="14">
        <f t="shared" si="474"/>
        <v>1800</v>
      </c>
      <c r="HT450" s="14" t="str">
        <f t="shared" si="475"/>
        <v>AtkExt</v>
      </c>
      <c r="HU450" s="14">
        <f t="shared" si="476"/>
        <v>243</v>
      </c>
      <c r="HV450" s="14">
        <f t="shared" si="477"/>
        <v>695</v>
      </c>
    </row>
    <row r="451" spans="151:230" ht="16.5" x14ac:dyDescent="0.2">
      <c r="EU451" s="13">
        <v>446</v>
      </c>
      <c r="EV451" s="14">
        <f t="shared" si="448"/>
        <v>2</v>
      </c>
      <c r="EW451" s="14">
        <f t="shared" si="478"/>
        <v>11</v>
      </c>
      <c r="EX451" s="14">
        <f t="shared" si="450"/>
        <v>2</v>
      </c>
      <c r="EY451" s="14">
        <f t="shared" si="479"/>
        <v>20</v>
      </c>
      <c r="EZ451" s="14">
        <f t="shared" si="426"/>
        <v>12</v>
      </c>
      <c r="FA451" s="14">
        <f t="shared" si="427"/>
        <v>15</v>
      </c>
      <c r="FB451" s="14">
        <f t="shared" si="428"/>
        <v>2</v>
      </c>
      <c r="FC451" s="14">
        <f t="shared" si="429"/>
        <v>3</v>
      </c>
      <c r="FD451" s="14">
        <f t="shared" si="430"/>
        <v>3</v>
      </c>
      <c r="FE451" s="14" t="b">
        <f t="shared" si="451"/>
        <v>0</v>
      </c>
      <c r="FF451" s="14">
        <f t="shared" si="431"/>
        <v>2101203</v>
      </c>
      <c r="FG451" s="13" t="str">
        <f t="shared" si="432"/>
        <v>15级-优秀守护灵の铠甲</v>
      </c>
      <c r="FH451" s="14">
        <f t="shared" si="433"/>
        <v>2</v>
      </c>
      <c r="FI451" s="14">
        <f t="shared" si="434"/>
        <v>2</v>
      </c>
      <c r="FJ451" s="14">
        <f t="shared" si="435"/>
        <v>15</v>
      </c>
      <c r="FK451" s="14">
        <v>12</v>
      </c>
      <c r="FL451" s="14">
        <f t="shared" si="436"/>
        <v>1</v>
      </c>
      <c r="FM451" s="14">
        <f t="shared" si="480"/>
        <v>3</v>
      </c>
      <c r="FN451" s="14" t="str">
        <f t="shared" si="437"/>
        <v/>
      </c>
      <c r="FO451" s="14">
        <f t="shared" si="481"/>
        <v>21</v>
      </c>
      <c r="FP451" s="14">
        <f t="shared" si="453"/>
        <v>0</v>
      </c>
      <c r="FQ451" s="14">
        <f t="shared" si="454"/>
        <v>5</v>
      </c>
      <c r="FR451" s="14">
        <f t="shared" si="455"/>
        <v>70</v>
      </c>
      <c r="FS451" s="14">
        <f t="shared" si="456"/>
        <v>0</v>
      </c>
      <c r="FT451" s="14">
        <f t="shared" si="457"/>
        <v>1</v>
      </c>
      <c r="FU451" s="14">
        <f t="shared" si="458"/>
        <v>11</v>
      </c>
      <c r="FV451" s="14">
        <f t="shared" si="439"/>
        <v>2012</v>
      </c>
      <c r="FW451" s="14">
        <f t="shared" si="440"/>
        <v>0</v>
      </c>
      <c r="FX451" s="14" t="str">
        <f t="shared" si="441"/>
        <v/>
      </c>
      <c r="FY451" s="25" t="str">
        <f t="shared" si="459"/>
        <v>icon_2101103</v>
      </c>
      <c r="GC451" s="14">
        <f t="shared" si="442"/>
        <v>2</v>
      </c>
      <c r="GD451" s="14">
        <f t="shared" si="443"/>
        <v>3</v>
      </c>
      <c r="GE451" s="14">
        <f t="shared" si="482"/>
        <v>21</v>
      </c>
      <c r="GF451" s="14" t="str">
        <f t="shared" si="483"/>
        <v>DefExt</v>
      </c>
      <c r="GG451" s="14">
        <f t="shared" si="484"/>
        <v>5</v>
      </c>
      <c r="GH451" s="14">
        <f t="shared" si="485"/>
        <v>1</v>
      </c>
      <c r="GI451" s="14" t="str">
        <f t="shared" si="486"/>
        <v>HPExt</v>
      </c>
      <c r="GJ451" s="14">
        <f t="shared" si="487"/>
        <v>70</v>
      </c>
      <c r="GK451" s="14">
        <f t="shared" si="488"/>
        <v>11</v>
      </c>
      <c r="GL451" s="14">
        <f t="shared" si="446"/>
        <v>20120</v>
      </c>
      <c r="GM451" s="14">
        <f t="shared" si="489"/>
        <v>0</v>
      </c>
      <c r="GN451" s="14" t="str">
        <f t="shared" si="490"/>
        <v/>
      </c>
      <c r="GO451" s="25" t="s">
        <v>1471</v>
      </c>
      <c r="GP451" s="14">
        <f t="shared" si="447"/>
        <v>15</v>
      </c>
      <c r="GQ451" s="30"/>
      <c r="HK451" s="13">
        <v>446</v>
      </c>
      <c r="HL451" s="14">
        <f t="shared" si="467"/>
        <v>19</v>
      </c>
      <c r="HM451" s="14">
        <f t="shared" si="468"/>
        <v>2</v>
      </c>
      <c r="HN451" s="14">
        <f t="shared" si="469"/>
        <v>8</v>
      </c>
      <c r="HO451" s="14">
        <f t="shared" si="470"/>
        <v>4</v>
      </c>
      <c r="HP451" s="14" t="str">
        <f t="shared" si="471"/>
        <v>120级守护灵洗练-Q4-2</v>
      </c>
      <c r="HQ451" s="14">
        <f t="shared" si="472"/>
        <v>2084</v>
      </c>
      <c r="HR451" s="14">
        <f t="shared" si="473"/>
        <v>2</v>
      </c>
      <c r="HS451" s="14">
        <f t="shared" si="474"/>
        <v>1800</v>
      </c>
      <c r="HT451" s="14" t="str">
        <f t="shared" si="475"/>
        <v>DefExt</v>
      </c>
      <c r="HU451" s="14">
        <f t="shared" si="476"/>
        <v>84</v>
      </c>
      <c r="HV451" s="14">
        <f t="shared" si="477"/>
        <v>242</v>
      </c>
    </row>
    <row r="452" spans="151:230" ht="16.5" x14ac:dyDescent="0.2">
      <c r="EU452" s="13">
        <v>447</v>
      </c>
      <c r="EV452" s="14">
        <f t="shared" si="448"/>
        <v>2</v>
      </c>
      <c r="EW452" s="14">
        <f t="shared" si="478"/>
        <v>12</v>
      </c>
      <c r="EX452" s="14">
        <f t="shared" si="450"/>
        <v>2</v>
      </c>
      <c r="EY452" s="14">
        <f t="shared" si="479"/>
        <v>20</v>
      </c>
      <c r="EZ452" s="14">
        <f t="shared" si="426"/>
        <v>12</v>
      </c>
      <c r="FA452" s="14">
        <f t="shared" si="427"/>
        <v>15</v>
      </c>
      <c r="FB452" s="14">
        <f t="shared" si="428"/>
        <v>2</v>
      </c>
      <c r="FC452" s="14">
        <f t="shared" si="429"/>
        <v>4</v>
      </c>
      <c r="FD452" s="14">
        <f t="shared" si="430"/>
        <v>4</v>
      </c>
      <c r="FE452" s="14" t="b">
        <f t="shared" si="451"/>
        <v>0</v>
      </c>
      <c r="FF452" s="14">
        <f t="shared" si="431"/>
        <v>2101204</v>
      </c>
      <c r="FG452" s="13" t="str">
        <f t="shared" si="432"/>
        <v>15级-优秀守护灵の裤子</v>
      </c>
      <c r="FH452" s="14">
        <f t="shared" si="433"/>
        <v>2</v>
      </c>
      <c r="FI452" s="14">
        <f t="shared" si="434"/>
        <v>2</v>
      </c>
      <c r="FJ452" s="14">
        <f t="shared" si="435"/>
        <v>15</v>
      </c>
      <c r="FK452" s="14">
        <v>13</v>
      </c>
      <c r="FL452" s="14">
        <f t="shared" si="436"/>
        <v>1</v>
      </c>
      <c r="FM452" s="14">
        <f t="shared" si="480"/>
        <v>4</v>
      </c>
      <c r="FN452" s="14" t="str">
        <f t="shared" si="437"/>
        <v/>
      </c>
      <c r="FO452" s="14">
        <f t="shared" si="481"/>
        <v>20</v>
      </c>
      <c r="FP452" s="14">
        <f t="shared" si="453"/>
        <v>0</v>
      </c>
      <c r="FQ452" s="14">
        <f t="shared" si="454"/>
        <v>10</v>
      </c>
      <c r="FR452" s="14">
        <f t="shared" si="455"/>
        <v>0</v>
      </c>
      <c r="FS452" s="14">
        <f t="shared" si="456"/>
        <v>0</v>
      </c>
      <c r="FT452" s="14">
        <f t="shared" si="457"/>
        <v>2</v>
      </c>
      <c r="FU452" s="14">
        <f t="shared" si="458"/>
        <v>0</v>
      </c>
      <c r="FV452" s="14">
        <f t="shared" si="439"/>
        <v>2012</v>
      </c>
      <c r="FW452" s="14">
        <f t="shared" si="440"/>
        <v>0</v>
      </c>
      <c r="FX452" s="14" t="str">
        <f t="shared" si="441"/>
        <v/>
      </c>
      <c r="FY452" s="25" t="str">
        <f t="shared" si="459"/>
        <v>icon_2101104</v>
      </c>
      <c r="GC452" s="14">
        <f t="shared" si="442"/>
        <v>2</v>
      </c>
      <c r="GD452" s="14">
        <f t="shared" si="443"/>
        <v>0</v>
      </c>
      <c r="GE452" s="14">
        <f t="shared" si="482"/>
        <v>20</v>
      </c>
      <c r="GF452" s="14" t="str">
        <f t="shared" si="483"/>
        <v>DefExt</v>
      </c>
      <c r="GG452" s="14">
        <f t="shared" si="484"/>
        <v>10</v>
      </c>
      <c r="GH452" s="14">
        <f t="shared" si="485"/>
        <v>2</v>
      </c>
      <c r="GI452" s="14" t="str">
        <f t="shared" si="486"/>
        <v/>
      </c>
      <c r="GJ452" s="14" t="str">
        <f t="shared" si="487"/>
        <v/>
      </c>
      <c r="GK452" s="14" t="str">
        <f t="shared" si="488"/>
        <v/>
      </c>
      <c r="GL452" s="14">
        <f t="shared" si="446"/>
        <v>20120</v>
      </c>
      <c r="GM452" s="14">
        <f t="shared" si="489"/>
        <v>0</v>
      </c>
      <c r="GN452" s="14" t="str">
        <f t="shared" si="490"/>
        <v/>
      </c>
      <c r="GO452" s="25" t="s">
        <v>1471</v>
      </c>
      <c r="GP452" s="14">
        <f t="shared" si="447"/>
        <v>15</v>
      </c>
      <c r="GQ452" s="30"/>
      <c r="HK452" s="13">
        <v>447</v>
      </c>
      <c r="HL452" s="14">
        <f t="shared" si="467"/>
        <v>19</v>
      </c>
      <c r="HM452" s="14">
        <f t="shared" si="468"/>
        <v>2</v>
      </c>
      <c r="HN452" s="14">
        <f t="shared" si="469"/>
        <v>8</v>
      </c>
      <c r="HO452" s="14">
        <f t="shared" si="470"/>
        <v>4</v>
      </c>
      <c r="HP452" s="14" t="str">
        <f t="shared" si="471"/>
        <v>120级守护灵洗练-Q4-3</v>
      </c>
      <c r="HQ452" s="14">
        <f t="shared" si="472"/>
        <v>2084</v>
      </c>
      <c r="HR452" s="14">
        <f t="shared" si="473"/>
        <v>3</v>
      </c>
      <c r="HS452" s="14">
        <f t="shared" si="474"/>
        <v>2000</v>
      </c>
      <c r="HT452" s="14" t="str">
        <f t="shared" si="475"/>
        <v>HPExt</v>
      </c>
      <c r="HU452" s="14">
        <f t="shared" si="476"/>
        <v>2262</v>
      </c>
      <c r="HV452" s="14">
        <f t="shared" si="477"/>
        <v>6464</v>
      </c>
    </row>
    <row r="453" spans="151:230" ht="16.5" x14ac:dyDescent="0.2">
      <c r="EU453" s="13">
        <v>448</v>
      </c>
      <c r="EV453" s="14">
        <f t="shared" si="448"/>
        <v>2</v>
      </c>
      <c r="EW453" s="14">
        <f t="shared" si="478"/>
        <v>13</v>
      </c>
      <c r="EX453" s="14">
        <f t="shared" si="450"/>
        <v>2</v>
      </c>
      <c r="EY453" s="14">
        <f t="shared" si="479"/>
        <v>20</v>
      </c>
      <c r="EZ453" s="14">
        <f t="shared" si="426"/>
        <v>12</v>
      </c>
      <c r="FA453" s="14">
        <f t="shared" si="427"/>
        <v>15</v>
      </c>
      <c r="FB453" s="14">
        <f t="shared" si="428"/>
        <v>2</v>
      </c>
      <c r="FC453" s="14">
        <f t="shared" si="429"/>
        <v>5</v>
      </c>
      <c r="FD453" s="14">
        <f t="shared" si="430"/>
        <v>5</v>
      </c>
      <c r="FE453" s="14" t="b">
        <f t="shared" si="451"/>
        <v>0</v>
      </c>
      <c r="FF453" s="14">
        <f t="shared" si="431"/>
        <v>2101205</v>
      </c>
      <c r="FG453" s="13" t="str">
        <f t="shared" si="432"/>
        <v>15级-优秀守护灵の鞋子</v>
      </c>
      <c r="FH453" s="14">
        <f t="shared" si="433"/>
        <v>2</v>
      </c>
      <c r="FI453" s="14">
        <f t="shared" si="434"/>
        <v>2</v>
      </c>
      <c r="FJ453" s="14">
        <f t="shared" si="435"/>
        <v>15</v>
      </c>
      <c r="FK453" s="14">
        <v>14</v>
      </c>
      <c r="FL453" s="14">
        <f t="shared" si="436"/>
        <v>1</v>
      </c>
      <c r="FM453" s="14">
        <f t="shared" si="480"/>
        <v>5</v>
      </c>
      <c r="FN453" s="14" t="str">
        <f t="shared" si="437"/>
        <v/>
      </c>
      <c r="FO453" s="14">
        <f t="shared" si="481"/>
        <v>21</v>
      </c>
      <c r="FP453" s="14">
        <f t="shared" si="453"/>
        <v>0</v>
      </c>
      <c r="FQ453" s="14">
        <f t="shared" si="454"/>
        <v>0</v>
      </c>
      <c r="FR453" s="14">
        <f t="shared" si="455"/>
        <v>135</v>
      </c>
      <c r="FS453" s="14">
        <f t="shared" si="456"/>
        <v>0</v>
      </c>
      <c r="FT453" s="14">
        <f t="shared" si="457"/>
        <v>0</v>
      </c>
      <c r="FU453" s="14">
        <f t="shared" si="458"/>
        <v>21</v>
      </c>
      <c r="FV453" s="14">
        <f t="shared" si="439"/>
        <v>2012</v>
      </c>
      <c r="FW453" s="14">
        <f t="shared" si="440"/>
        <v>0</v>
      </c>
      <c r="FX453" s="14" t="str">
        <f t="shared" si="441"/>
        <v/>
      </c>
      <c r="FY453" s="25" t="str">
        <f t="shared" si="459"/>
        <v>icon_2101105</v>
      </c>
      <c r="GC453" s="14">
        <f t="shared" si="442"/>
        <v>3</v>
      </c>
      <c r="GD453" s="14">
        <f t="shared" si="443"/>
        <v>0</v>
      </c>
      <c r="GE453" s="14">
        <f t="shared" si="482"/>
        <v>21</v>
      </c>
      <c r="GF453" s="14" t="str">
        <f t="shared" si="483"/>
        <v>HPExt</v>
      </c>
      <c r="GG453" s="14">
        <f t="shared" si="484"/>
        <v>135</v>
      </c>
      <c r="GH453" s="14">
        <f t="shared" si="485"/>
        <v>21</v>
      </c>
      <c r="GI453" s="14" t="str">
        <f t="shared" si="486"/>
        <v/>
      </c>
      <c r="GJ453" s="14" t="str">
        <f t="shared" si="487"/>
        <v/>
      </c>
      <c r="GK453" s="14" t="str">
        <f t="shared" si="488"/>
        <v/>
      </c>
      <c r="GL453" s="14">
        <f t="shared" si="446"/>
        <v>20120</v>
      </c>
      <c r="GM453" s="14">
        <f t="shared" si="489"/>
        <v>0</v>
      </c>
      <c r="GN453" s="14" t="str">
        <f t="shared" si="490"/>
        <v/>
      </c>
      <c r="GO453" s="25" t="s">
        <v>1471</v>
      </c>
      <c r="GP453" s="14">
        <f t="shared" si="447"/>
        <v>15</v>
      </c>
      <c r="GQ453" s="30"/>
      <c r="HK453" s="13">
        <v>448</v>
      </c>
      <c r="HL453" s="14">
        <f t="shared" si="467"/>
        <v>19</v>
      </c>
      <c r="HM453" s="14">
        <f t="shared" si="468"/>
        <v>2</v>
      </c>
      <c r="HN453" s="14">
        <f t="shared" si="469"/>
        <v>8</v>
      </c>
      <c r="HO453" s="14">
        <f t="shared" si="470"/>
        <v>4</v>
      </c>
      <c r="HP453" s="14" t="str">
        <f t="shared" si="471"/>
        <v>120级守护灵洗练-Q4-4</v>
      </c>
      <c r="HQ453" s="14">
        <f t="shared" si="472"/>
        <v>2084</v>
      </c>
      <c r="HR453" s="14">
        <f t="shared" si="473"/>
        <v>4</v>
      </c>
      <c r="HS453" s="14">
        <f t="shared" si="474"/>
        <v>500</v>
      </c>
      <c r="HT453" s="14" t="str">
        <f t="shared" si="475"/>
        <v>AtkRate</v>
      </c>
      <c r="HU453" s="14">
        <f t="shared" si="476"/>
        <v>1.4E-2</v>
      </c>
      <c r="HV453" s="14">
        <f t="shared" si="477"/>
        <v>0.04</v>
      </c>
    </row>
    <row r="454" spans="151:230" ht="16.5" x14ac:dyDescent="0.2">
      <c r="EU454" s="13">
        <v>449</v>
      </c>
      <c r="EV454" s="14">
        <f t="shared" si="448"/>
        <v>2</v>
      </c>
      <c r="EW454" s="14">
        <f t="shared" si="478"/>
        <v>14</v>
      </c>
      <c r="EX454" s="14">
        <f t="shared" si="450"/>
        <v>2</v>
      </c>
      <c r="EY454" s="14">
        <f t="shared" si="479"/>
        <v>20</v>
      </c>
      <c r="EZ454" s="14">
        <f t="shared" ref="EZ454:EZ517" si="491">(EV454-1)*$EX$3+FL454</f>
        <v>12</v>
      </c>
      <c r="FA454" s="14">
        <f t="shared" ref="FA454:FA517" si="492">INDEX(AI$7:AI$64,$EX454)</f>
        <v>15</v>
      </c>
      <c r="FB454" s="14">
        <f t="shared" ref="FB454:FB517" si="493">INDEX(AJ$7:AJ$64,$EX454)</f>
        <v>2</v>
      </c>
      <c r="FC454" s="14">
        <f t="shared" ref="FC454:FC517" si="494">EW454-INDEX($AQ$6:$AQ$64,EX454)</f>
        <v>6</v>
      </c>
      <c r="FD454" s="14">
        <f t="shared" ref="FD454:FD517" si="495">INDEX($AR$7:$AY$64,EX454,EW454-INDEX($AQ$6:$AQ$64,EX454))</f>
        <v>6</v>
      </c>
      <c r="FE454" s="14" t="b">
        <f t="shared" si="451"/>
        <v>0</v>
      </c>
      <c r="FF454" s="14">
        <f t="shared" ref="FF454:FF517" si="496">INDEX($AN$7:$AN$64,EX454)*10+FD454+(EV454-1)*100000+2000000</f>
        <v>2101206</v>
      </c>
      <c r="FG454" s="13" t="str">
        <f t="shared" ref="FG454:FG517" si="497">INDEX($AL$7:$AL$64,EX454)&amp;"-"&amp;INDEX($AM$7:$AM$64,EX454)&amp;INDEX($BC$6:$BC$7,EV454)&amp;INDEX($AR$3:$AY$3,FD454)</f>
        <v>15级-优秀守护灵の护手</v>
      </c>
      <c r="FH454" s="14">
        <f t="shared" ref="FH454:FH517" si="498">EV454</f>
        <v>2</v>
      </c>
      <c r="FI454" s="14">
        <f t="shared" ref="FI454:FI517" si="499">INDEX($AJ$7:$AJ$64,EX454)</f>
        <v>2</v>
      </c>
      <c r="FJ454" s="14">
        <f t="shared" ref="FJ454:FJ517" si="500">INDEX($AI$7:$AI$64,EX454)</f>
        <v>15</v>
      </c>
      <c r="FK454" s="14">
        <v>15</v>
      </c>
      <c r="FL454" s="14">
        <f t="shared" ref="FL454:FL517" si="501">INDEX(AH$7:AH$64,$EX454)</f>
        <v>1</v>
      </c>
      <c r="FM454" s="14">
        <f t="shared" si="480"/>
        <v>6</v>
      </c>
      <c r="FN454" s="14" t="str">
        <f t="shared" ref="FN454:FN517" si="502">IF(INDEX($AO$7:$AO$64,EX454)&gt;0,INDEX($AO$7:$AO$64,EX454) + (EV454-1)*10000+200000,"")</f>
        <v/>
      </c>
      <c r="FO454" s="14">
        <f t="shared" si="481"/>
        <v>21</v>
      </c>
      <c r="FP454" s="14">
        <f t="shared" si="453"/>
        <v>0</v>
      </c>
      <c r="FQ454" s="14">
        <f t="shared" si="454"/>
        <v>0</v>
      </c>
      <c r="FR454" s="14">
        <f t="shared" si="455"/>
        <v>135</v>
      </c>
      <c r="FS454" s="14">
        <f t="shared" si="456"/>
        <v>0</v>
      </c>
      <c r="FT454" s="14">
        <f t="shared" si="457"/>
        <v>0</v>
      </c>
      <c r="FU454" s="14">
        <f t="shared" si="458"/>
        <v>21</v>
      </c>
      <c r="FV454" s="14">
        <f t="shared" ref="FV454:FV517" si="503">FL454*10+FB454+EV454*1000</f>
        <v>2012</v>
      </c>
      <c r="FW454" s="14">
        <f t="shared" ref="FW454:FW517" si="504">INDEX($V$17:$Y$27,FL454,FB454)</f>
        <v>0</v>
      </c>
      <c r="FX454" s="14" t="str">
        <f t="shared" ref="FX454:FX517" si="505">IF(FB454&gt;2,FL454*10+FB454+EV454*1000,"")</f>
        <v/>
      </c>
      <c r="FY454" s="25" t="str">
        <f t="shared" si="459"/>
        <v>icon_2101106</v>
      </c>
      <c r="GC454" s="14">
        <f t="shared" ref="GC454:GC517" si="506">INDEX(BL$6:BL$13,$FM454)</f>
        <v>3</v>
      </c>
      <c r="GD454" s="14">
        <f t="shared" ref="GD454:GD517" si="507">INDEX(BM$6:BM$13,$FM454)</f>
        <v>0</v>
      </c>
      <c r="GE454" s="14">
        <f t="shared" si="482"/>
        <v>21</v>
      </c>
      <c r="GF454" s="14" t="str">
        <f t="shared" si="483"/>
        <v>HPExt</v>
      </c>
      <c r="GG454" s="14">
        <f t="shared" si="484"/>
        <v>135</v>
      </c>
      <c r="GH454" s="14">
        <f t="shared" si="485"/>
        <v>21</v>
      </c>
      <c r="GI454" s="14" t="str">
        <f t="shared" si="486"/>
        <v/>
      </c>
      <c r="GJ454" s="14" t="str">
        <f t="shared" si="487"/>
        <v/>
      </c>
      <c r="GK454" s="14" t="str">
        <f t="shared" si="488"/>
        <v/>
      </c>
      <c r="GL454" s="14">
        <f t="shared" ref="GL454:GL517" si="508">20000+FL454*100+FB454*10</f>
        <v>20120</v>
      </c>
      <c r="GM454" s="14">
        <f t="shared" si="489"/>
        <v>0</v>
      </c>
      <c r="GN454" s="14" t="str">
        <f t="shared" si="490"/>
        <v/>
      </c>
      <c r="GO454" s="25" t="s">
        <v>1471</v>
      </c>
      <c r="GP454" s="14">
        <f t="shared" ref="GP454:GP517" si="509">ROUND(INDEX($AA$17:$AD$27,FL454,FB454)*INDEX($BK$6:$BK$13,FM454),0)</f>
        <v>15</v>
      </c>
      <c r="GQ454" s="30"/>
      <c r="HK454" s="13">
        <v>449</v>
      </c>
      <c r="HL454" s="14">
        <f t="shared" si="467"/>
        <v>19</v>
      </c>
      <c r="HM454" s="14">
        <f t="shared" si="468"/>
        <v>2</v>
      </c>
      <c r="HN454" s="14">
        <f t="shared" si="469"/>
        <v>8</v>
      </c>
      <c r="HO454" s="14">
        <f t="shared" si="470"/>
        <v>4</v>
      </c>
      <c r="HP454" s="14" t="str">
        <f t="shared" si="471"/>
        <v>120级守护灵洗练-Q4-5</v>
      </c>
      <c r="HQ454" s="14">
        <f t="shared" si="472"/>
        <v>2084</v>
      </c>
      <c r="HR454" s="14">
        <f t="shared" si="473"/>
        <v>5</v>
      </c>
      <c r="HS454" s="14">
        <f t="shared" si="474"/>
        <v>400</v>
      </c>
      <c r="HT454" s="14" t="str">
        <f t="shared" si="475"/>
        <v>DefRate</v>
      </c>
      <c r="HU454" s="14">
        <f t="shared" si="476"/>
        <v>1.4E-2</v>
      </c>
      <c r="HV454" s="14">
        <f t="shared" si="477"/>
        <v>0.04</v>
      </c>
    </row>
    <row r="455" spans="151:230" ht="16.5" x14ac:dyDescent="0.2">
      <c r="EU455" s="13">
        <v>450</v>
      </c>
      <c r="EV455" s="14">
        <f t="shared" ref="EV455:EV518" si="510">IF(EU455&lt;=$EV$3,1,2)</f>
        <v>2</v>
      </c>
      <c r="EW455" s="14">
        <f t="shared" si="478"/>
        <v>15</v>
      </c>
      <c r="EX455" s="14">
        <f t="shared" ref="EX455:EX518" si="511">MATCH(EW455-1,$AQ$6:$AQ$64,1)</f>
        <v>2</v>
      </c>
      <c r="EY455" s="14">
        <f t="shared" si="479"/>
        <v>20</v>
      </c>
      <c r="EZ455" s="14">
        <f t="shared" si="491"/>
        <v>12</v>
      </c>
      <c r="FA455" s="14">
        <f t="shared" si="492"/>
        <v>15</v>
      </c>
      <c r="FB455" s="14">
        <f t="shared" si="493"/>
        <v>2</v>
      </c>
      <c r="FC455" s="14">
        <f t="shared" si="494"/>
        <v>7</v>
      </c>
      <c r="FD455" s="14">
        <f t="shared" si="495"/>
        <v>7</v>
      </c>
      <c r="FE455" s="14" t="b">
        <f t="shared" ref="FE455:FE518" si="512">IF(FN455="",FALSE,TRUE)</f>
        <v>0</v>
      </c>
      <c r="FF455" s="14">
        <f t="shared" si="496"/>
        <v>2101207</v>
      </c>
      <c r="FG455" s="13" t="str">
        <f t="shared" si="497"/>
        <v>15级-优秀守护灵の项链</v>
      </c>
      <c r="FH455" s="14">
        <f t="shared" si="498"/>
        <v>2</v>
      </c>
      <c r="FI455" s="14">
        <f t="shared" si="499"/>
        <v>2</v>
      </c>
      <c r="FJ455" s="14">
        <f t="shared" si="500"/>
        <v>15</v>
      </c>
      <c r="FK455" s="14">
        <v>16</v>
      </c>
      <c r="FL455" s="14">
        <f t="shared" si="501"/>
        <v>1</v>
      </c>
      <c r="FM455" s="14">
        <f t="shared" si="480"/>
        <v>7</v>
      </c>
      <c r="FN455" s="14" t="str">
        <f t="shared" si="502"/>
        <v/>
      </c>
      <c r="FO455" s="14">
        <f t="shared" si="481"/>
        <v>20</v>
      </c>
      <c r="FP455" s="14">
        <f t="shared" ref="FP455:FP518" si="513">ROUND(INDEX(M$6:M$27,$EZ455)*INDEX(BH$6:BH$13,$FD455)*INDEX($BR$6:$BR$9,FI455)/5,0)*5</f>
        <v>15</v>
      </c>
      <c r="FQ455" s="14">
        <f t="shared" ref="FQ455:FQ518" si="514">ROUND(INDEX(N$6:N$27,$EZ455)*INDEX(BI$6:BI$13,$FD455)*INDEX($BR$6:$BR$9,FI455)/5,0)*5</f>
        <v>10</v>
      </c>
      <c r="FR455" s="14">
        <f t="shared" ref="FR455:FR518" si="515">ROUND(INDEX(O$6:O$27,$EZ455)*INDEX(BJ$6:BJ$13,$FD455)*INDEX($BR$6:$BR$9,FI455)/5,0)*5</f>
        <v>0</v>
      </c>
      <c r="FS455" s="14">
        <f t="shared" ref="FS455:FS518" si="516">ROUND(INDEX(S$6:S$27,$EZ455)*INDEX(BH$6:BH$13,$FD455)*INDEX($BR$6:$BR$9,FI455),0)</f>
        <v>2</v>
      </c>
      <c r="FT455" s="14">
        <f t="shared" ref="FT455:FT518" si="517">ROUND(INDEX(T$6:T$27,$EZ455)*INDEX(BI$6:BI$13,$FD455)*INDEX($BR$6:$BR$9,FI455),0)</f>
        <v>1</v>
      </c>
      <c r="FU455" s="14">
        <f t="shared" ref="FU455:FU518" si="518">ROUND(INDEX(U$6:U$27,$EZ455)*INDEX(BJ$6:BJ$13,$FD455)*INDEX($BR$6:$BR$9,FI455),0)</f>
        <v>0</v>
      </c>
      <c r="FV455" s="14">
        <f t="shared" si="503"/>
        <v>2012</v>
      </c>
      <c r="FW455" s="14">
        <f t="shared" si="504"/>
        <v>0</v>
      </c>
      <c r="FX455" s="14" t="str">
        <f t="shared" si="505"/>
        <v/>
      </c>
      <c r="FY455" s="25" t="str">
        <f t="shared" ref="FY455:FY518" si="519">IF(FE455,"icon_"&amp;FF455,FY$2&amp;INDEX($ES$6:$ES$7,EV455)*100000+FL455*1000+100+FD455)</f>
        <v>icon_2101107</v>
      </c>
      <c r="GC455" s="14">
        <f t="shared" si="506"/>
        <v>1</v>
      </c>
      <c r="GD455" s="14">
        <f t="shared" si="507"/>
        <v>2</v>
      </c>
      <c r="GE455" s="14">
        <f t="shared" si="482"/>
        <v>20</v>
      </c>
      <c r="GF455" s="14" t="str">
        <f t="shared" si="483"/>
        <v>AtkExt</v>
      </c>
      <c r="GG455" s="14">
        <f t="shared" si="484"/>
        <v>15</v>
      </c>
      <c r="GH455" s="14">
        <f t="shared" si="485"/>
        <v>2</v>
      </c>
      <c r="GI455" s="14" t="str">
        <f t="shared" si="486"/>
        <v>DefExt</v>
      </c>
      <c r="GJ455" s="14">
        <f t="shared" si="487"/>
        <v>10</v>
      </c>
      <c r="GK455" s="14">
        <f t="shared" si="488"/>
        <v>1</v>
      </c>
      <c r="GL455" s="14">
        <f t="shared" si="508"/>
        <v>20120</v>
      </c>
      <c r="GM455" s="14">
        <f t="shared" si="489"/>
        <v>0</v>
      </c>
      <c r="GN455" s="14" t="str">
        <f t="shared" si="490"/>
        <v/>
      </c>
      <c r="GO455" s="25" t="s">
        <v>1471</v>
      </c>
      <c r="GP455" s="14">
        <f t="shared" si="509"/>
        <v>23</v>
      </c>
      <c r="GQ455" s="30"/>
      <c r="HK455" s="13">
        <v>450</v>
      </c>
      <c r="HL455" s="14">
        <f t="shared" ref="HL455:HL518" si="520">INT((HK455-1)/24)+1</f>
        <v>19</v>
      </c>
      <c r="HM455" s="14">
        <f t="shared" ref="HM455:HM518" si="521">IF(HL455&gt;11,2,1)</f>
        <v>2</v>
      </c>
      <c r="HN455" s="14">
        <f t="shared" ref="HN455:HN518" si="522">HL455-(HM455-1)*11</f>
        <v>8</v>
      </c>
      <c r="HO455" s="14">
        <f t="shared" ref="HO455:HO518" si="523">IF(MOD(HK455-1,24)&gt;=12,4,3)</f>
        <v>4</v>
      </c>
      <c r="HP455" s="14" t="str">
        <f t="shared" ref="HP455:HP518" si="524">INDEX($DU$6:$DU$27,HL455)&amp;"洗练-Q"&amp;HO455&amp;"-"&amp;HR455</f>
        <v>120级守护灵洗练-Q4-6</v>
      </c>
      <c r="HQ455" s="14">
        <f t="shared" ref="HQ455:HQ518" si="525">HM455*1000+HN455*10+HO455</f>
        <v>2084</v>
      </c>
      <c r="HR455" s="14">
        <f t="shared" ref="HR455:HR518" si="526">MOD(HK455-1,12)+1</f>
        <v>6</v>
      </c>
      <c r="HS455" s="14">
        <f t="shared" ref="HS455:HS518" si="527">INDEX($DY$3:$EJ$3,HR455)</f>
        <v>500</v>
      </c>
      <c r="HT455" s="14" t="str">
        <f t="shared" ref="HT455:HT518" si="528">INDEX($DY$4:$EJ$4,HR455)</f>
        <v>HPRate</v>
      </c>
      <c r="HU455" s="14">
        <f t="shared" ref="HU455:HU518" si="529">IF(HV455&gt;1,INT(HV455*0.35),ROUND(HV455*0.35,3))</f>
        <v>1.4E-2</v>
      </c>
      <c r="HV455" s="14">
        <f t="shared" ref="HV455:HV518" si="530">INDEX($DY$6:$EJ$27,HL455,HR455)</f>
        <v>0.04</v>
      </c>
    </row>
    <row r="456" spans="151:230" ht="16.5" x14ac:dyDescent="0.2">
      <c r="EU456" s="13">
        <v>451</v>
      </c>
      <c r="EV456" s="14">
        <f t="shared" si="510"/>
        <v>2</v>
      </c>
      <c r="EW456" s="14">
        <f t="shared" si="478"/>
        <v>16</v>
      </c>
      <c r="EX456" s="14">
        <f t="shared" si="511"/>
        <v>2</v>
      </c>
      <c r="EY456" s="14">
        <f t="shared" si="479"/>
        <v>20</v>
      </c>
      <c r="EZ456" s="14">
        <f t="shared" si="491"/>
        <v>12</v>
      </c>
      <c r="FA456" s="14">
        <f t="shared" si="492"/>
        <v>15</v>
      </c>
      <c r="FB456" s="14">
        <f t="shared" si="493"/>
        <v>2</v>
      </c>
      <c r="FC456" s="14">
        <f t="shared" si="494"/>
        <v>8</v>
      </c>
      <c r="FD456" s="14">
        <f t="shared" si="495"/>
        <v>8</v>
      </c>
      <c r="FE456" s="14" t="b">
        <f t="shared" si="512"/>
        <v>0</v>
      </c>
      <c r="FF456" s="14">
        <f t="shared" si="496"/>
        <v>2101208</v>
      </c>
      <c r="FG456" s="13" t="str">
        <f t="shared" si="497"/>
        <v>15级-优秀守护灵の戒指</v>
      </c>
      <c r="FH456" s="14">
        <f t="shared" si="498"/>
        <v>2</v>
      </c>
      <c r="FI456" s="14">
        <f t="shared" si="499"/>
        <v>2</v>
      </c>
      <c r="FJ456" s="14">
        <f t="shared" si="500"/>
        <v>15</v>
      </c>
      <c r="FK456" s="14">
        <v>17</v>
      </c>
      <c r="FL456" s="14">
        <f t="shared" si="501"/>
        <v>1</v>
      </c>
      <c r="FM456" s="14">
        <f t="shared" si="480"/>
        <v>8</v>
      </c>
      <c r="FN456" s="14" t="str">
        <f t="shared" si="502"/>
        <v/>
      </c>
      <c r="FO456" s="14">
        <f t="shared" si="481"/>
        <v>28</v>
      </c>
      <c r="FP456" s="14">
        <f t="shared" si="513"/>
        <v>15</v>
      </c>
      <c r="FQ456" s="14">
        <f t="shared" si="514"/>
        <v>0</v>
      </c>
      <c r="FR456" s="14">
        <f t="shared" si="515"/>
        <v>115</v>
      </c>
      <c r="FS456" s="14">
        <f t="shared" si="516"/>
        <v>2</v>
      </c>
      <c r="FT456" s="14">
        <f t="shared" si="517"/>
        <v>0</v>
      </c>
      <c r="FU456" s="14">
        <f t="shared" si="518"/>
        <v>18</v>
      </c>
      <c r="FV456" s="14">
        <f t="shared" si="503"/>
        <v>2012</v>
      </c>
      <c r="FW456" s="14">
        <f t="shared" si="504"/>
        <v>0</v>
      </c>
      <c r="FX456" s="14" t="str">
        <f t="shared" si="505"/>
        <v/>
      </c>
      <c r="FY456" s="25" t="str">
        <f t="shared" si="519"/>
        <v>icon_2101108</v>
      </c>
      <c r="GC456" s="14">
        <f t="shared" si="506"/>
        <v>1</v>
      </c>
      <c r="GD456" s="14">
        <f t="shared" si="507"/>
        <v>3</v>
      </c>
      <c r="GE456" s="14">
        <f t="shared" si="482"/>
        <v>28</v>
      </c>
      <c r="GF456" s="14" t="str">
        <f t="shared" si="483"/>
        <v>AtkExt</v>
      </c>
      <c r="GG456" s="14">
        <f t="shared" si="484"/>
        <v>15</v>
      </c>
      <c r="GH456" s="14">
        <f t="shared" si="485"/>
        <v>2</v>
      </c>
      <c r="GI456" s="14" t="str">
        <f t="shared" si="486"/>
        <v>HPExt</v>
      </c>
      <c r="GJ456" s="14">
        <f t="shared" si="487"/>
        <v>115</v>
      </c>
      <c r="GK456" s="14">
        <f t="shared" si="488"/>
        <v>18</v>
      </c>
      <c r="GL456" s="14">
        <f t="shared" si="508"/>
        <v>20120</v>
      </c>
      <c r="GM456" s="14">
        <f t="shared" si="489"/>
        <v>0</v>
      </c>
      <c r="GN456" s="14" t="str">
        <f t="shared" si="490"/>
        <v/>
      </c>
      <c r="GO456" s="25" t="s">
        <v>1471</v>
      </c>
      <c r="GP456" s="14">
        <f t="shared" si="509"/>
        <v>23</v>
      </c>
      <c r="GQ456" s="30"/>
      <c r="HK456" s="13">
        <v>451</v>
      </c>
      <c r="HL456" s="14">
        <f t="shared" si="520"/>
        <v>19</v>
      </c>
      <c r="HM456" s="14">
        <f t="shared" si="521"/>
        <v>2</v>
      </c>
      <c r="HN456" s="14">
        <f t="shared" si="522"/>
        <v>8</v>
      </c>
      <c r="HO456" s="14">
        <f t="shared" si="523"/>
        <v>4</v>
      </c>
      <c r="HP456" s="14" t="str">
        <f t="shared" si="524"/>
        <v>120级守护灵洗练-Q4-7</v>
      </c>
      <c r="HQ456" s="14">
        <f t="shared" si="525"/>
        <v>2084</v>
      </c>
      <c r="HR456" s="14">
        <f t="shared" si="526"/>
        <v>7</v>
      </c>
      <c r="HS456" s="14">
        <f t="shared" si="527"/>
        <v>500</v>
      </c>
      <c r="HT456" s="14" t="str">
        <f t="shared" si="528"/>
        <v>Crit</v>
      </c>
      <c r="HU456" s="14">
        <f t="shared" si="529"/>
        <v>1.0999999999999999E-2</v>
      </c>
      <c r="HV456" s="14">
        <f t="shared" si="530"/>
        <v>0.03</v>
      </c>
    </row>
    <row r="457" spans="151:230" ht="16.5" x14ac:dyDescent="0.2">
      <c r="EU457" s="13">
        <v>452</v>
      </c>
      <c r="EV457" s="14">
        <f t="shared" si="510"/>
        <v>2</v>
      </c>
      <c r="EW457" s="14">
        <f t="shared" si="478"/>
        <v>17</v>
      </c>
      <c r="EX457" s="14">
        <f t="shared" si="511"/>
        <v>3</v>
      </c>
      <c r="EY457" s="14">
        <f t="shared" si="479"/>
        <v>30</v>
      </c>
      <c r="EZ457" s="14">
        <f t="shared" si="491"/>
        <v>12</v>
      </c>
      <c r="FA457" s="14">
        <f t="shared" si="492"/>
        <v>15</v>
      </c>
      <c r="FB457" s="14">
        <f t="shared" si="493"/>
        <v>3</v>
      </c>
      <c r="FC457" s="14">
        <f t="shared" si="494"/>
        <v>1</v>
      </c>
      <c r="FD457" s="14">
        <f t="shared" si="495"/>
        <v>1</v>
      </c>
      <c r="FE457" s="14" t="b">
        <f t="shared" si="512"/>
        <v>0</v>
      </c>
      <c r="FF457" s="14">
        <f t="shared" si="496"/>
        <v>2101301</v>
      </c>
      <c r="FG457" s="13" t="str">
        <f t="shared" si="497"/>
        <v>15级-精良守护灵の灵器</v>
      </c>
      <c r="FH457" s="14">
        <f t="shared" si="498"/>
        <v>2</v>
      </c>
      <c r="FI457" s="14">
        <f t="shared" si="499"/>
        <v>3</v>
      </c>
      <c r="FJ457" s="14">
        <f t="shared" si="500"/>
        <v>15</v>
      </c>
      <c r="FK457" s="14">
        <v>18</v>
      </c>
      <c r="FL457" s="14">
        <f t="shared" si="501"/>
        <v>1</v>
      </c>
      <c r="FM457" s="14">
        <f t="shared" si="480"/>
        <v>1</v>
      </c>
      <c r="FN457" s="14" t="str">
        <f t="shared" si="502"/>
        <v/>
      </c>
      <c r="FO457" s="14">
        <f t="shared" si="481"/>
        <v>45</v>
      </c>
      <c r="FP457" s="14">
        <f t="shared" si="513"/>
        <v>55</v>
      </c>
      <c r="FQ457" s="14">
        <f t="shared" si="514"/>
        <v>0</v>
      </c>
      <c r="FR457" s="14">
        <f t="shared" si="515"/>
        <v>0</v>
      </c>
      <c r="FS457" s="14">
        <f t="shared" si="516"/>
        <v>9</v>
      </c>
      <c r="FT457" s="14">
        <f t="shared" si="517"/>
        <v>0</v>
      </c>
      <c r="FU457" s="14">
        <f t="shared" si="518"/>
        <v>0</v>
      </c>
      <c r="FV457" s="14">
        <f t="shared" si="503"/>
        <v>2013</v>
      </c>
      <c r="FW457" s="14">
        <f t="shared" si="504"/>
        <v>2</v>
      </c>
      <c r="FX457" s="14">
        <f t="shared" si="505"/>
        <v>2013</v>
      </c>
      <c r="FY457" s="25" t="str">
        <f t="shared" si="519"/>
        <v>icon_2101101</v>
      </c>
      <c r="GC457" s="14">
        <f t="shared" si="506"/>
        <v>1</v>
      </c>
      <c r="GD457" s="14">
        <f t="shared" si="507"/>
        <v>0</v>
      </c>
      <c r="GE457" s="14">
        <f t="shared" si="482"/>
        <v>45</v>
      </c>
      <c r="GF457" s="14" t="str">
        <f t="shared" si="483"/>
        <v>AtkExt</v>
      </c>
      <c r="GG457" s="14">
        <f t="shared" si="484"/>
        <v>55</v>
      </c>
      <c r="GH457" s="14">
        <f t="shared" si="485"/>
        <v>9</v>
      </c>
      <c r="GI457" s="14" t="str">
        <f t="shared" si="486"/>
        <v/>
      </c>
      <c r="GJ457" s="14" t="str">
        <f t="shared" si="487"/>
        <v/>
      </c>
      <c r="GK457" s="14" t="str">
        <f t="shared" si="488"/>
        <v/>
      </c>
      <c r="GL457" s="14">
        <f t="shared" si="508"/>
        <v>20130</v>
      </c>
      <c r="GM457" s="14">
        <f t="shared" si="489"/>
        <v>2</v>
      </c>
      <c r="GN457" s="14">
        <f t="shared" si="490"/>
        <v>2013</v>
      </c>
      <c r="GO457" s="25" t="s">
        <v>1471</v>
      </c>
      <c r="GP457" s="14">
        <f t="shared" si="509"/>
        <v>50</v>
      </c>
      <c r="GQ457" s="30"/>
      <c r="HK457" s="13">
        <v>452</v>
      </c>
      <c r="HL457" s="14">
        <f t="shared" si="520"/>
        <v>19</v>
      </c>
      <c r="HM457" s="14">
        <f t="shared" si="521"/>
        <v>2</v>
      </c>
      <c r="HN457" s="14">
        <f t="shared" si="522"/>
        <v>8</v>
      </c>
      <c r="HO457" s="14">
        <f t="shared" si="523"/>
        <v>4</v>
      </c>
      <c r="HP457" s="14" t="str">
        <f t="shared" si="524"/>
        <v>120级守护灵洗练-Q4-8</v>
      </c>
      <c r="HQ457" s="14">
        <f t="shared" si="525"/>
        <v>2084</v>
      </c>
      <c r="HR457" s="14">
        <f t="shared" si="526"/>
        <v>8</v>
      </c>
      <c r="HS457" s="14">
        <f t="shared" si="527"/>
        <v>500</v>
      </c>
      <c r="HT457" s="14" t="str">
        <f t="shared" si="528"/>
        <v>CritRate</v>
      </c>
      <c r="HU457" s="14">
        <f t="shared" si="529"/>
        <v>2.8000000000000001E-2</v>
      </c>
      <c r="HV457" s="14">
        <f t="shared" si="530"/>
        <v>0.08</v>
      </c>
    </row>
    <row r="458" spans="151:230" ht="16.5" x14ac:dyDescent="0.2">
      <c r="EU458" s="13">
        <v>453</v>
      </c>
      <c r="EV458" s="14">
        <f t="shared" si="510"/>
        <v>2</v>
      </c>
      <c r="EW458" s="14">
        <f t="shared" si="478"/>
        <v>18</v>
      </c>
      <c r="EX458" s="14">
        <f t="shared" si="511"/>
        <v>3</v>
      </c>
      <c r="EY458" s="14">
        <f t="shared" si="479"/>
        <v>30</v>
      </c>
      <c r="EZ458" s="14">
        <f t="shared" si="491"/>
        <v>12</v>
      </c>
      <c r="FA458" s="14">
        <f t="shared" si="492"/>
        <v>15</v>
      </c>
      <c r="FB458" s="14">
        <f t="shared" si="493"/>
        <v>3</v>
      </c>
      <c r="FC458" s="14">
        <f t="shared" si="494"/>
        <v>2</v>
      </c>
      <c r="FD458" s="14">
        <f t="shared" si="495"/>
        <v>2</v>
      </c>
      <c r="FE458" s="14" t="b">
        <f t="shared" si="512"/>
        <v>0</v>
      </c>
      <c r="FF458" s="14">
        <f t="shared" si="496"/>
        <v>2101302</v>
      </c>
      <c r="FG458" s="13" t="str">
        <f t="shared" si="497"/>
        <v>15级-精良守护灵の头盔</v>
      </c>
      <c r="FH458" s="14">
        <f t="shared" si="498"/>
        <v>2</v>
      </c>
      <c r="FI458" s="14">
        <f t="shared" si="499"/>
        <v>3</v>
      </c>
      <c r="FJ458" s="14">
        <f t="shared" si="500"/>
        <v>15</v>
      </c>
      <c r="FK458" s="14">
        <v>19</v>
      </c>
      <c r="FL458" s="14">
        <f t="shared" si="501"/>
        <v>1</v>
      </c>
      <c r="FM458" s="14">
        <f t="shared" si="480"/>
        <v>2</v>
      </c>
      <c r="FN458" s="14" t="str">
        <f t="shared" si="502"/>
        <v/>
      </c>
      <c r="FO458" s="14">
        <f t="shared" si="481"/>
        <v>20</v>
      </c>
      <c r="FP458" s="14">
        <f t="shared" si="513"/>
        <v>0</v>
      </c>
      <c r="FQ458" s="14">
        <f t="shared" si="514"/>
        <v>15</v>
      </c>
      <c r="FR458" s="14">
        <f t="shared" si="515"/>
        <v>0</v>
      </c>
      <c r="FS458" s="14">
        <f t="shared" si="516"/>
        <v>0</v>
      </c>
      <c r="FT458" s="14">
        <f t="shared" si="517"/>
        <v>2</v>
      </c>
      <c r="FU458" s="14">
        <f t="shared" si="518"/>
        <v>0</v>
      </c>
      <c r="FV458" s="14">
        <f t="shared" si="503"/>
        <v>2013</v>
      </c>
      <c r="FW458" s="14">
        <f t="shared" si="504"/>
        <v>2</v>
      </c>
      <c r="FX458" s="14">
        <f t="shared" si="505"/>
        <v>2013</v>
      </c>
      <c r="FY458" s="25" t="str">
        <f t="shared" si="519"/>
        <v>icon_2101102</v>
      </c>
      <c r="GC458" s="14">
        <f t="shared" si="506"/>
        <v>2</v>
      </c>
      <c r="GD458" s="14">
        <f t="shared" si="507"/>
        <v>0</v>
      </c>
      <c r="GE458" s="14">
        <f t="shared" si="482"/>
        <v>20</v>
      </c>
      <c r="GF458" s="14" t="str">
        <f t="shared" si="483"/>
        <v>DefExt</v>
      </c>
      <c r="GG458" s="14">
        <f t="shared" si="484"/>
        <v>15</v>
      </c>
      <c r="GH458" s="14">
        <f t="shared" si="485"/>
        <v>2</v>
      </c>
      <c r="GI458" s="14" t="str">
        <f t="shared" si="486"/>
        <v/>
      </c>
      <c r="GJ458" s="14" t="str">
        <f t="shared" si="487"/>
        <v/>
      </c>
      <c r="GK458" s="14" t="str">
        <f t="shared" si="488"/>
        <v/>
      </c>
      <c r="GL458" s="14">
        <f t="shared" si="508"/>
        <v>20130</v>
      </c>
      <c r="GM458" s="14">
        <f t="shared" si="489"/>
        <v>2</v>
      </c>
      <c r="GN458" s="14">
        <f t="shared" si="490"/>
        <v>2013</v>
      </c>
      <c r="GO458" s="25" t="s">
        <v>1471</v>
      </c>
      <c r="GP458" s="14">
        <f t="shared" si="509"/>
        <v>25</v>
      </c>
      <c r="GQ458" s="30"/>
      <c r="HK458" s="13">
        <v>453</v>
      </c>
      <c r="HL458" s="14">
        <f t="shared" si="520"/>
        <v>19</v>
      </c>
      <c r="HM458" s="14">
        <f t="shared" si="521"/>
        <v>2</v>
      </c>
      <c r="HN458" s="14">
        <f t="shared" si="522"/>
        <v>8</v>
      </c>
      <c r="HO458" s="14">
        <f t="shared" si="523"/>
        <v>4</v>
      </c>
      <c r="HP458" s="14" t="str">
        <f t="shared" si="524"/>
        <v>120级守护灵洗练-Q4-9</v>
      </c>
      <c r="HQ458" s="14">
        <f t="shared" si="525"/>
        <v>2084</v>
      </c>
      <c r="HR458" s="14">
        <f t="shared" si="526"/>
        <v>9</v>
      </c>
      <c r="HS458" s="14">
        <f t="shared" si="527"/>
        <v>500</v>
      </c>
      <c r="HT458" s="14" t="str">
        <f t="shared" si="528"/>
        <v>DefIgnor</v>
      </c>
      <c r="HU458" s="14">
        <f t="shared" si="529"/>
        <v>1.0999999999999999E-2</v>
      </c>
      <c r="HV458" s="14">
        <f t="shared" si="530"/>
        <v>0.03</v>
      </c>
    </row>
    <row r="459" spans="151:230" ht="16.5" x14ac:dyDescent="0.2">
      <c r="EU459" s="13">
        <v>454</v>
      </c>
      <c r="EV459" s="14">
        <f t="shared" si="510"/>
        <v>2</v>
      </c>
      <c r="EW459" s="14">
        <f t="shared" si="478"/>
        <v>19</v>
      </c>
      <c r="EX459" s="14">
        <f t="shared" si="511"/>
        <v>3</v>
      </c>
      <c r="EY459" s="14">
        <f t="shared" si="479"/>
        <v>30</v>
      </c>
      <c r="EZ459" s="14">
        <f t="shared" si="491"/>
        <v>12</v>
      </c>
      <c r="FA459" s="14">
        <f t="shared" si="492"/>
        <v>15</v>
      </c>
      <c r="FB459" s="14">
        <f t="shared" si="493"/>
        <v>3</v>
      </c>
      <c r="FC459" s="14">
        <f t="shared" si="494"/>
        <v>3</v>
      </c>
      <c r="FD459" s="14">
        <f t="shared" si="495"/>
        <v>3</v>
      </c>
      <c r="FE459" s="14" t="b">
        <f t="shared" si="512"/>
        <v>0</v>
      </c>
      <c r="FF459" s="14">
        <f t="shared" si="496"/>
        <v>2101303</v>
      </c>
      <c r="FG459" s="13" t="str">
        <f t="shared" si="497"/>
        <v>15级-精良守护灵の铠甲</v>
      </c>
      <c r="FH459" s="14">
        <f t="shared" si="498"/>
        <v>2</v>
      </c>
      <c r="FI459" s="14">
        <f t="shared" si="499"/>
        <v>3</v>
      </c>
      <c r="FJ459" s="14">
        <f t="shared" si="500"/>
        <v>15</v>
      </c>
      <c r="FK459" s="14">
        <v>20</v>
      </c>
      <c r="FL459" s="14">
        <f t="shared" si="501"/>
        <v>1</v>
      </c>
      <c r="FM459" s="14">
        <f t="shared" si="480"/>
        <v>3</v>
      </c>
      <c r="FN459" s="14" t="str">
        <f t="shared" si="502"/>
        <v/>
      </c>
      <c r="FO459" s="14">
        <f t="shared" si="481"/>
        <v>23</v>
      </c>
      <c r="FP459" s="14">
        <f t="shared" si="513"/>
        <v>0</v>
      </c>
      <c r="FQ459" s="14">
        <f t="shared" si="514"/>
        <v>5</v>
      </c>
      <c r="FR459" s="14">
        <f t="shared" si="515"/>
        <v>80</v>
      </c>
      <c r="FS459" s="14">
        <f t="shared" si="516"/>
        <v>0</v>
      </c>
      <c r="FT459" s="14">
        <f t="shared" si="517"/>
        <v>1</v>
      </c>
      <c r="FU459" s="14">
        <f t="shared" si="518"/>
        <v>13</v>
      </c>
      <c r="FV459" s="14">
        <f t="shared" si="503"/>
        <v>2013</v>
      </c>
      <c r="FW459" s="14">
        <f t="shared" si="504"/>
        <v>2</v>
      </c>
      <c r="FX459" s="14">
        <f t="shared" si="505"/>
        <v>2013</v>
      </c>
      <c r="FY459" s="25" t="str">
        <f t="shared" si="519"/>
        <v>icon_2101103</v>
      </c>
      <c r="GC459" s="14">
        <f t="shared" si="506"/>
        <v>2</v>
      </c>
      <c r="GD459" s="14">
        <f t="shared" si="507"/>
        <v>3</v>
      </c>
      <c r="GE459" s="14">
        <f t="shared" si="482"/>
        <v>23</v>
      </c>
      <c r="GF459" s="14" t="str">
        <f t="shared" si="483"/>
        <v>DefExt</v>
      </c>
      <c r="GG459" s="14">
        <f t="shared" si="484"/>
        <v>5</v>
      </c>
      <c r="GH459" s="14">
        <f t="shared" si="485"/>
        <v>1</v>
      </c>
      <c r="GI459" s="14" t="str">
        <f t="shared" si="486"/>
        <v>HPExt</v>
      </c>
      <c r="GJ459" s="14">
        <f t="shared" si="487"/>
        <v>80</v>
      </c>
      <c r="GK459" s="14">
        <f t="shared" si="488"/>
        <v>13</v>
      </c>
      <c r="GL459" s="14">
        <f t="shared" si="508"/>
        <v>20130</v>
      </c>
      <c r="GM459" s="14">
        <f t="shared" si="489"/>
        <v>2</v>
      </c>
      <c r="GN459" s="14">
        <f t="shared" si="490"/>
        <v>2013</v>
      </c>
      <c r="GO459" s="25" t="s">
        <v>1471</v>
      </c>
      <c r="GP459" s="14">
        <f t="shared" si="509"/>
        <v>25</v>
      </c>
      <c r="GQ459" s="30"/>
      <c r="HK459" s="13">
        <v>454</v>
      </c>
      <c r="HL459" s="14">
        <f t="shared" si="520"/>
        <v>19</v>
      </c>
      <c r="HM459" s="14">
        <f t="shared" si="521"/>
        <v>2</v>
      </c>
      <c r="HN459" s="14">
        <f t="shared" si="522"/>
        <v>8</v>
      </c>
      <c r="HO459" s="14">
        <f t="shared" si="523"/>
        <v>4</v>
      </c>
      <c r="HP459" s="14" t="str">
        <f t="shared" si="524"/>
        <v>120级守护灵洗练-Q4-10</v>
      </c>
      <c r="HQ459" s="14">
        <f t="shared" si="525"/>
        <v>2084</v>
      </c>
      <c r="HR459" s="14">
        <f t="shared" si="526"/>
        <v>10</v>
      </c>
      <c r="HS459" s="14">
        <f t="shared" si="527"/>
        <v>500</v>
      </c>
      <c r="HT459" s="14" t="str">
        <f t="shared" si="528"/>
        <v>Block</v>
      </c>
      <c r="HU459" s="14">
        <f t="shared" si="529"/>
        <v>1.0999999999999999E-2</v>
      </c>
      <c r="HV459" s="14">
        <f t="shared" si="530"/>
        <v>0.03</v>
      </c>
    </row>
    <row r="460" spans="151:230" ht="16.5" x14ac:dyDescent="0.2">
      <c r="EU460" s="13">
        <v>455</v>
      </c>
      <c r="EV460" s="14">
        <f t="shared" si="510"/>
        <v>2</v>
      </c>
      <c r="EW460" s="14">
        <f t="shared" si="478"/>
        <v>20</v>
      </c>
      <c r="EX460" s="14">
        <f t="shared" si="511"/>
        <v>3</v>
      </c>
      <c r="EY460" s="14">
        <f t="shared" si="479"/>
        <v>30</v>
      </c>
      <c r="EZ460" s="14">
        <f t="shared" si="491"/>
        <v>12</v>
      </c>
      <c r="FA460" s="14">
        <f t="shared" si="492"/>
        <v>15</v>
      </c>
      <c r="FB460" s="14">
        <f t="shared" si="493"/>
        <v>3</v>
      </c>
      <c r="FC460" s="14">
        <f t="shared" si="494"/>
        <v>4</v>
      </c>
      <c r="FD460" s="14">
        <f t="shared" si="495"/>
        <v>4</v>
      </c>
      <c r="FE460" s="14" t="b">
        <f t="shared" si="512"/>
        <v>0</v>
      </c>
      <c r="FF460" s="14">
        <f t="shared" si="496"/>
        <v>2101304</v>
      </c>
      <c r="FG460" s="13" t="str">
        <f t="shared" si="497"/>
        <v>15级-精良守护灵の裤子</v>
      </c>
      <c r="FH460" s="14">
        <f t="shared" si="498"/>
        <v>2</v>
      </c>
      <c r="FI460" s="14">
        <f t="shared" si="499"/>
        <v>3</v>
      </c>
      <c r="FJ460" s="14">
        <f t="shared" si="500"/>
        <v>15</v>
      </c>
      <c r="FK460" s="14">
        <v>21</v>
      </c>
      <c r="FL460" s="14">
        <f t="shared" si="501"/>
        <v>1</v>
      </c>
      <c r="FM460" s="14">
        <f t="shared" si="480"/>
        <v>4</v>
      </c>
      <c r="FN460" s="14" t="str">
        <f t="shared" si="502"/>
        <v/>
      </c>
      <c r="FO460" s="14">
        <f t="shared" si="481"/>
        <v>20</v>
      </c>
      <c r="FP460" s="14">
        <f t="shared" si="513"/>
        <v>0</v>
      </c>
      <c r="FQ460" s="14">
        <f t="shared" si="514"/>
        <v>15</v>
      </c>
      <c r="FR460" s="14">
        <f t="shared" si="515"/>
        <v>0</v>
      </c>
      <c r="FS460" s="14">
        <f t="shared" si="516"/>
        <v>0</v>
      </c>
      <c r="FT460" s="14">
        <f t="shared" si="517"/>
        <v>2</v>
      </c>
      <c r="FU460" s="14">
        <f t="shared" si="518"/>
        <v>0</v>
      </c>
      <c r="FV460" s="14">
        <f t="shared" si="503"/>
        <v>2013</v>
      </c>
      <c r="FW460" s="14">
        <f t="shared" si="504"/>
        <v>2</v>
      </c>
      <c r="FX460" s="14">
        <f t="shared" si="505"/>
        <v>2013</v>
      </c>
      <c r="FY460" s="25" t="str">
        <f t="shared" si="519"/>
        <v>icon_2101104</v>
      </c>
      <c r="GC460" s="14">
        <f t="shared" si="506"/>
        <v>2</v>
      </c>
      <c r="GD460" s="14">
        <f t="shared" si="507"/>
        <v>0</v>
      </c>
      <c r="GE460" s="14">
        <f t="shared" si="482"/>
        <v>20</v>
      </c>
      <c r="GF460" s="14" t="str">
        <f t="shared" si="483"/>
        <v>DefExt</v>
      </c>
      <c r="GG460" s="14">
        <f t="shared" si="484"/>
        <v>15</v>
      </c>
      <c r="GH460" s="14">
        <f t="shared" si="485"/>
        <v>2</v>
      </c>
      <c r="GI460" s="14" t="str">
        <f t="shared" si="486"/>
        <v/>
      </c>
      <c r="GJ460" s="14" t="str">
        <f t="shared" si="487"/>
        <v/>
      </c>
      <c r="GK460" s="14" t="str">
        <f t="shared" si="488"/>
        <v/>
      </c>
      <c r="GL460" s="14">
        <f t="shared" si="508"/>
        <v>20130</v>
      </c>
      <c r="GM460" s="14">
        <f t="shared" si="489"/>
        <v>2</v>
      </c>
      <c r="GN460" s="14">
        <f t="shared" si="490"/>
        <v>2013</v>
      </c>
      <c r="GO460" s="25" t="s">
        <v>1471</v>
      </c>
      <c r="GP460" s="14">
        <f t="shared" si="509"/>
        <v>25</v>
      </c>
      <c r="GQ460" s="30"/>
      <c r="HK460" s="13">
        <v>455</v>
      </c>
      <c r="HL460" s="14">
        <f t="shared" si="520"/>
        <v>19</v>
      </c>
      <c r="HM460" s="14">
        <f t="shared" si="521"/>
        <v>2</v>
      </c>
      <c r="HN460" s="14">
        <f t="shared" si="522"/>
        <v>8</v>
      </c>
      <c r="HO460" s="14">
        <f t="shared" si="523"/>
        <v>4</v>
      </c>
      <c r="HP460" s="14" t="str">
        <f t="shared" si="524"/>
        <v>120级守护灵洗练-Q4-11</v>
      </c>
      <c r="HQ460" s="14">
        <f t="shared" si="525"/>
        <v>2084</v>
      </c>
      <c r="HR460" s="14">
        <f t="shared" si="526"/>
        <v>11</v>
      </c>
      <c r="HS460" s="14">
        <f t="shared" si="527"/>
        <v>500</v>
      </c>
      <c r="HT460" s="14" t="str">
        <f t="shared" si="528"/>
        <v>EffectHit</v>
      </c>
      <c r="HU460" s="14">
        <f t="shared" si="529"/>
        <v>1.7999999999999999E-2</v>
      </c>
      <c r="HV460" s="14">
        <f t="shared" si="530"/>
        <v>0.05</v>
      </c>
    </row>
    <row r="461" spans="151:230" ht="16.5" x14ac:dyDescent="0.2">
      <c r="EU461" s="13">
        <v>456</v>
      </c>
      <c r="EV461" s="14">
        <f t="shared" si="510"/>
        <v>2</v>
      </c>
      <c r="EW461" s="14">
        <f t="shared" si="478"/>
        <v>21</v>
      </c>
      <c r="EX461" s="14">
        <f t="shared" si="511"/>
        <v>3</v>
      </c>
      <c r="EY461" s="14">
        <f t="shared" si="479"/>
        <v>30</v>
      </c>
      <c r="EZ461" s="14">
        <f t="shared" si="491"/>
        <v>12</v>
      </c>
      <c r="FA461" s="14">
        <f t="shared" si="492"/>
        <v>15</v>
      </c>
      <c r="FB461" s="14">
        <f t="shared" si="493"/>
        <v>3</v>
      </c>
      <c r="FC461" s="14">
        <f t="shared" si="494"/>
        <v>5</v>
      </c>
      <c r="FD461" s="14">
        <f t="shared" si="495"/>
        <v>5</v>
      </c>
      <c r="FE461" s="14" t="b">
        <f t="shared" si="512"/>
        <v>0</v>
      </c>
      <c r="FF461" s="14">
        <f t="shared" si="496"/>
        <v>2101305</v>
      </c>
      <c r="FG461" s="13" t="str">
        <f t="shared" si="497"/>
        <v>15级-精良守护灵の鞋子</v>
      </c>
      <c r="FH461" s="14">
        <f t="shared" si="498"/>
        <v>2</v>
      </c>
      <c r="FI461" s="14">
        <f t="shared" si="499"/>
        <v>3</v>
      </c>
      <c r="FJ461" s="14">
        <f t="shared" si="500"/>
        <v>15</v>
      </c>
      <c r="FK461" s="14">
        <v>22</v>
      </c>
      <c r="FL461" s="14">
        <f t="shared" si="501"/>
        <v>1</v>
      </c>
      <c r="FM461" s="14">
        <f t="shared" si="480"/>
        <v>5</v>
      </c>
      <c r="FN461" s="14" t="str">
        <f t="shared" si="502"/>
        <v/>
      </c>
      <c r="FO461" s="14">
        <f t="shared" si="481"/>
        <v>26</v>
      </c>
      <c r="FP461" s="14">
        <f t="shared" si="513"/>
        <v>0</v>
      </c>
      <c r="FQ461" s="14">
        <f t="shared" si="514"/>
        <v>0</v>
      </c>
      <c r="FR461" s="14">
        <f t="shared" si="515"/>
        <v>165</v>
      </c>
      <c r="FS461" s="14">
        <f t="shared" si="516"/>
        <v>0</v>
      </c>
      <c r="FT461" s="14">
        <f t="shared" si="517"/>
        <v>0</v>
      </c>
      <c r="FU461" s="14">
        <f t="shared" si="518"/>
        <v>26</v>
      </c>
      <c r="FV461" s="14">
        <f t="shared" si="503"/>
        <v>2013</v>
      </c>
      <c r="FW461" s="14">
        <f t="shared" si="504"/>
        <v>2</v>
      </c>
      <c r="FX461" s="14">
        <f t="shared" si="505"/>
        <v>2013</v>
      </c>
      <c r="FY461" s="25" t="str">
        <f t="shared" si="519"/>
        <v>icon_2101105</v>
      </c>
      <c r="GC461" s="14">
        <f t="shared" si="506"/>
        <v>3</v>
      </c>
      <c r="GD461" s="14">
        <f t="shared" si="507"/>
        <v>0</v>
      </c>
      <c r="GE461" s="14">
        <f t="shared" si="482"/>
        <v>26</v>
      </c>
      <c r="GF461" s="14" t="str">
        <f t="shared" si="483"/>
        <v>HPExt</v>
      </c>
      <c r="GG461" s="14">
        <f t="shared" si="484"/>
        <v>165</v>
      </c>
      <c r="GH461" s="14">
        <f t="shared" si="485"/>
        <v>26</v>
      </c>
      <c r="GI461" s="14" t="str">
        <f t="shared" si="486"/>
        <v/>
      </c>
      <c r="GJ461" s="14" t="str">
        <f t="shared" si="487"/>
        <v/>
      </c>
      <c r="GK461" s="14" t="str">
        <f t="shared" si="488"/>
        <v/>
      </c>
      <c r="GL461" s="14">
        <f t="shared" si="508"/>
        <v>20130</v>
      </c>
      <c r="GM461" s="14">
        <f t="shared" si="489"/>
        <v>2</v>
      </c>
      <c r="GN461" s="14">
        <f t="shared" si="490"/>
        <v>2013</v>
      </c>
      <c r="GO461" s="25" t="s">
        <v>1471</v>
      </c>
      <c r="GP461" s="14">
        <f t="shared" si="509"/>
        <v>25</v>
      </c>
      <c r="GQ461" s="30"/>
      <c r="HK461" s="13">
        <v>456</v>
      </c>
      <c r="HL461" s="14">
        <f t="shared" si="520"/>
        <v>19</v>
      </c>
      <c r="HM461" s="14">
        <f t="shared" si="521"/>
        <v>2</v>
      </c>
      <c r="HN461" s="14">
        <f t="shared" si="522"/>
        <v>8</v>
      </c>
      <c r="HO461" s="14">
        <f t="shared" si="523"/>
        <v>4</v>
      </c>
      <c r="HP461" s="14" t="str">
        <f t="shared" si="524"/>
        <v>120级守护灵洗练-Q4-12</v>
      </c>
      <c r="HQ461" s="14">
        <f t="shared" si="525"/>
        <v>2084</v>
      </c>
      <c r="HR461" s="14">
        <f t="shared" si="526"/>
        <v>12</v>
      </c>
      <c r="HS461" s="14">
        <f t="shared" si="527"/>
        <v>500</v>
      </c>
      <c r="HT461" s="14" t="str">
        <f t="shared" si="528"/>
        <v>EffectResist</v>
      </c>
      <c r="HU461" s="14">
        <f t="shared" si="529"/>
        <v>1.7999999999999999E-2</v>
      </c>
      <c r="HV461" s="14">
        <f t="shared" si="530"/>
        <v>0.05</v>
      </c>
    </row>
    <row r="462" spans="151:230" ht="16.5" x14ac:dyDescent="0.2">
      <c r="EU462" s="13">
        <v>457</v>
      </c>
      <c r="EV462" s="14">
        <f t="shared" si="510"/>
        <v>2</v>
      </c>
      <c r="EW462" s="14">
        <f t="shared" si="478"/>
        <v>22</v>
      </c>
      <c r="EX462" s="14">
        <f t="shared" si="511"/>
        <v>3</v>
      </c>
      <c r="EY462" s="14">
        <f t="shared" si="479"/>
        <v>30</v>
      </c>
      <c r="EZ462" s="14">
        <f t="shared" si="491"/>
        <v>12</v>
      </c>
      <c r="FA462" s="14">
        <f t="shared" si="492"/>
        <v>15</v>
      </c>
      <c r="FB462" s="14">
        <f t="shared" si="493"/>
        <v>3</v>
      </c>
      <c r="FC462" s="14">
        <f t="shared" si="494"/>
        <v>6</v>
      </c>
      <c r="FD462" s="14">
        <f t="shared" si="495"/>
        <v>6</v>
      </c>
      <c r="FE462" s="14" t="b">
        <f t="shared" si="512"/>
        <v>0</v>
      </c>
      <c r="FF462" s="14">
        <f t="shared" si="496"/>
        <v>2101306</v>
      </c>
      <c r="FG462" s="13" t="str">
        <f t="shared" si="497"/>
        <v>15级-精良守护灵の护手</v>
      </c>
      <c r="FH462" s="14">
        <f t="shared" si="498"/>
        <v>2</v>
      </c>
      <c r="FI462" s="14">
        <f t="shared" si="499"/>
        <v>3</v>
      </c>
      <c r="FJ462" s="14">
        <f t="shared" si="500"/>
        <v>15</v>
      </c>
      <c r="FK462" s="14">
        <v>23</v>
      </c>
      <c r="FL462" s="14">
        <f t="shared" si="501"/>
        <v>1</v>
      </c>
      <c r="FM462" s="14">
        <f t="shared" si="480"/>
        <v>6</v>
      </c>
      <c r="FN462" s="14" t="str">
        <f t="shared" si="502"/>
        <v/>
      </c>
      <c r="FO462" s="14">
        <f t="shared" si="481"/>
        <v>26</v>
      </c>
      <c r="FP462" s="14">
        <f t="shared" si="513"/>
        <v>0</v>
      </c>
      <c r="FQ462" s="14">
        <f t="shared" si="514"/>
        <v>0</v>
      </c>
      <c r="FR462" s="14">
        <f t="shared" si="515"/>
        <v>165</v>
      </c>
      <c r="FS462" s="14">
        <f t="shared" si="516"/>
        <v>0</v>
      </c>
      <c r="FT462" s="14">
        <f t="shared" si="517"/>
        <v>0</v>
      </c>
      <c r="FU462" s="14">
        <f t="shared" si="518"/>
        <v>26</v>
      </c>
      <c r="FV462" s="14">
        <f t="shared" si="503"/>
        <v>2013</v>
      </c>
      <c r="FW462" s="14">
        <f t="shared" si="504"/>
        <v>2</v>
      </c>
      <c r="FX462" s="14">
        <f t="shared" si="505"/>
        <v>2013</v>
      </c>
      <c r="FY462" s="25" t="str">
        <f t="shared" si="519"/>
        <v>icon_2101106</v>
      </c>
      <c r="GC462" s="14">
        <f t="shared" si="506"/>
        <v>3</v>
      </c>
      <c r="GD462" s="14">
        <f t="shared" si="507"/>
        <v>0</v>
      </c>
      <c r="GE462" s="14">
        <f t="shared" si="482"/>
        <v>26</v>
      </c>
      <c r="GF462" s="14" t="str">
        <f t="shared" si="483"/>
        <v>HPExt</v>
      </c>
      <c r="GG462" s="14">
        <f t="shared" si="484"/>
        <v>165</v>
      </c>
      <c r="GH462" s="14">
        <f t="shared" si="485"/>
        <v>26</v>
      </c>
      <c r="GI462" s="14" t="str">
        <f t="shared" si="486"/>
        <v/>
      </c>
      <c r="GJ462" s="14" t="str">
        <f t="shared" si="487"/>
        <v/>
      </c>
      <c r="GK462" s="14" t="str">
        <f t="shared" si="488"/>
        <v/>
      </c>
      <c r="GL462" s="14">
        <f t="shared" si="508"/>
        <v>20130</v>
      </c>
      <c r="GM462" s="14">
        <f t="shared" si="489"/>
        <v>2</v>
      </c>
      <c r="GN462" s="14">
        <f t="shared" si="490"/>
        <v>2013</v>
      </c>
      <c r="GO462" s="25" t="s">
        <v>1471</v>
      </c>
      <c r="GP462" s="14">
        <f t="shared" si="509"/>
        <v>25</v>
      </c>
      <c r="GQ462" s="30"/>
      <c r="HK462" s="13">
        <v>457</v>
      </c>
      <c r="HL462" s="14">
        <f t="shared" si="520"/>
        <v>20</v>
      </c>
      <c r="HM462" s="14">
        <f t="shared" si="521"/>
        <v>2</v>
      </c>
      <c r="HN462" s="14">
        <f t="shared" si="522"/>
        <v>9</v>
      </c>
      <c r="HO462" s="14">
        <f t="shared" si="523"/>
        <v>3</v>
      </c>
      <c r="HP462" s="14" t="str">
        <f t="shared" si="524"/>
        <v>130级守护灵洗练-Q3-1</v>
      </c>
      <c r="HQ462" s="14">
        <f t="shared" si="525"/>
        <v>2093</v>
      </c>
      <c r="HR462" s="14">
        <f t="shared" si="526"/>
        <v>1</v>
      </c>
      <c r="HS462" s="14">
        <f t="shared" si="527"/>
        <v>1800</v>
      </c>
      <c r="HT462" s="14" t="str">
        <f t="shared" si="528"/>
        <v>AtkExt</v>
      </c>
      <c r="HU462" s="14">
        <f t="shared" si="529"/>
        <v>318</v>
      </c>
      <c r="HV462" s="14">
        <f t="shared" si="530"/>
        <v>910</v>
      </c>
    </row>
    <row r="463" spans="151:230" ht="16.5" x14ac:dyDescent="0.2">
      <c r="EU463" s="13">
        <v>458</v>
      </c>
      <c r="EV463" s="14">
        <f t="shared" si="510"/>
        <v>2</v>
      </c>
      <c r="EW463" s="14">
        <f t="shared" si="478"/>
        <v>23</v>
      </c>
      <c r="EX463" s="14">
        <f t="shared" si="511"/>
        <v>3</v>
      </c>
      <c r="EY463" s="14">
        <f t="shared" si="479"/>
        <v>30</v>
      </c>
      <c r="EZ463" s="14">
        <f t="shared" si="491"/>
        <v>12</v>
      </c>
      <c r="FA463" s="14">
        <f t="shared" si="492"/>
        <v>15</v>
      </c>
      <c r="FB463" s="14">
        <f t="shared" si="493"/>
        <v>3</v>
      </c>
      <c r="FC463" s="14">
        <f t="shared" si="494"/>
        <v>7</v>
      </c>
      <c r="FD463" s="14">
        <f t="shared" si="495"/>
        <v>7</v>
      </c>
      <c r="FE463" s="14" t="b">
        <f t="shared" si="512"/>
        <v>0</v>
      </c>
      <c r="FF463" s="14">
        <f t="shared" si="496"/>
        <v>2101307</v>
      </c>
      <c r="FG463" s="13" t="str">
        <f t="shared" si="497"/>
        <v>15级-精良守护灵の项链</v>
      </c>
      <c r="FH463" s="14">
        <f t="shared" si="498"/>
        <v>2</v>
      </c>
      <c r="FI463" s="14">
        <f t="shared" si="499"/>
        <v>3</v>
      </c>
      <c r="FJ463" s="14">
        <f t="shared" si="500"/>
        <v>15</v>
      </c>
      <c r="FK463" s="14">
        <v>24</v>
      </c>
      <c r="FL463" s="14">
        <f t="shared" si="501"/>
        <v>1</v>
      </c>
      <c r="FM463" s="14">
        <f t="shared" si="480"/>
        <v>7</v>
      </c>
      <c r="FN463" s="14" t="str">
        <f t="shared" si="502"/>
        <v/>
      </c>
      <c r="FO463" s="14">
        <f t="shared" si="481"/>
        <v>35</v>
      </c>
      <c r="FP463" s="14">
        <f t="shared" si="513"/>
        <v>20</v>
      </c>
      <c r="FQ463" s="14">
        <f t="shared" si="514"/>
        <v>10</v>
      </c>
      <c r="FR463" s="14">
        <f t="shared" si="515"/>
        <v>0</v>
      </c>
      <c r="FS463" s="14">
        <f t="shared" si="516"/>
        <v>3</v>
      </c>
      <c r="FT463" s="14">
        <f t="shared" si="517"/>
        <v>2</v>
      </c>
      <c r="FU463" s="14">
        <f t="shared" si="518"/>
        <v>0</v>
      </c>
      <c r="FV463" s="14">
        <f t="shared" si="503"/>
        <v>2013</v>
      </c>
      <c r="FW463" s="14">
        <f t="shared" si="504"/>
        <v>2</v>
      </c>
      <c r="FX463" s="14">
        <f t="shared" si="505"/>
        <v>2013</v>
      </c>
      <c r="FY463" s="25" t="str">
        <f t="shared" si="519"/>
        <v>icon_2101107</v>
      </c>
      <c r="GC463" s="14">
        <f t="shared" si="506"/>
        <v>1</v>
      </c>
      <c r="GD463" s="14">
        <f t="shared" si="507"/>
        <v>2</v>
      </c>
      <c r="GE463" s="14">
        <f t="shared" si="482"/>
        <v>35</v>
      </c>
      <c r="GF463" s="14" t="str">
        <f t="shared" si="483"/>
        <v>AtkExt</v>
      </c>
      <c r="GG463" s="14">
        <f t="shared" si="484"/>
        <v>20</v>
      </c>
      <c r="GH463" s="14">
        <f t="shared" si="485"/>
        <v>3</v>
      </c>
      <c r="GI463" s="14" t="str">
        <f t="shared" si="486"/>
        <v>DefExt</v>
      </c>
      <c r="GJ463" s="14">
        <f t="shared" si="487"/>
        <v>10</v>
      </c>
      <c r="GK463" s="14">
        <f t="shared" si="488"/>
        <v>2</v>
      </c>
      <c r="GL463" s="14">
        <f t="shared" si="508"/>
        <v>20130</v>
      </c>
      <c r="GM463" s="14">
        <f t="shared" si="489"/>
        <v>2</v>
      </c>
      <c r="GN463" s="14">
        <f t="shared" si="490"/>
        <v>2013</v>
      </c>
      <c r="GO463" s="25" t="s">
        <v>1471</v>
      </c>
      <c r="GP463" s="14">
        <f t="shared" si="509"/>
        <v>38</v>
      </c>
      <c r="GQ463" s="30"/>
      <c r="HK463" s="13">
        <v>458</v>
      </c>
      <c r="HL463" s="14">
        <f t="shared" si="520"/>
        <v>20</v>
      </c>
      <c r="HM463" s="14">
        <f t="shared" si="521"/>
        <v>2</v>
      </c>
      <c r="HN463" s="14">
        <f t="shared" si="522"/>
        <v>9</v>
      </c>
      <c r="HO463" s="14">
        <f t="shared" si="523"/>
        <v>3</v>
      </c>
      <c r="HP463" s="14" t="str">
        <f t="shared" si="524"/>
        <v>130级守护灵洗练-Q3-2</v>
      </c>
      <c r="HQ463" s="14">
        <f t="shared" si="525"/>
        <v>2093</v>
      </c>
      <c r="HR463" s="14">
        <f t="shared" si="526"/>
        <v>2</v>
      </c>
      <c r="HS463" s="14">
        <f t="shared" si="527"/>
        <v>1800</v>
      </c>
      <c r="HT463" s="14" t="str">
        <f t="shared" si="528"/>
        <v>DefExt</v>
      </c>
      <c r="HU463" s="14">
        <f t="shared" si="529"/>
        <v>116</v>
      </c>
      <c r="HV463" s="14">
        <f t="shared" si="530"/>
        <v>332</v>
      </c>
    </row>
    <row r="464" spans="151:230" ht="16.5" x14ac:dyDescent="0.2">
      <c r="EU464" s="13">
        <v>459</v>
      </c>
      <c r="EV464" s="14">
        <f t="shared" si="510"/>
        <v>2</v>
      </c>
      <c r="EW464" s="14">
        <f t="shared" si="478"/>
        <v>24</v>
      </c>
      <c r="EX464" s="14">
        <f t="shared" si="511"/>
        <v>3</v>
      </c>
      <c r="EY464" s="14">
        <f t="shared" si="479"/>
        <v>30</v>
      </c>
      <c r="EZ464" s="14">
        <f t="shared" si="491"/>
        <v>12</v>
      </c>
      <c r="FA464" s="14">
        <f t="shared" si="492"/>
        <v>15</v>
      </c>
      <c r="FB464" s="14">
        <f t="shared" si="493"/>
        <v>3</v>
      </c>
      <c r="FC464" s="14">
        <f t="shared" si="494"/>
        <v>8</v>
      </c>
      <c r="FD464" s="14">
        <f t="shared" si="495"/>
        <v>8</v>
      </c>
      <c r="FE464" s="14" t="b">
        <f t="shared" si="512"/>
        <v>0</v>
      </c>
      <c r="FF464" s="14">
        <f t="shared" si="496"/>
        <v>2101308</v>
      </c>
      <c r="FG464" s="13" t="str">
        <f t="shared" si="497"/>
        <v>15级-精良守护灵の戒指</v>
      </c>
      <c r="FH464" s="14">
        <f t="shared" si="498"/>
        <v>2</v>
      </c>
      <c r="FI464" s="14">
        <f t="shared" si="499"/>
        <v>3</v>
      </c>
      <c r="FJ464" s="14">
        <f t="shared" si="500"/>
        <v>15</v>
      </c>
      <c r="FK464" s="14">
        <v>25</v>
      </c>
      <c r="FL464" s="14">
        <f t="shared" si="501"/>
        <v>1</v>
      </c>
      <c r="FM464" s="14">
        <f t="shared" si="480"/>
        <v>8</v>
      </c>
      <c r="FN464" s="14" t="str">
        <f t="shared" si="502"/>
        <v/>
      </c>
      <c r="FO464" s="14">
        <f t="shared" si="481"/>
        <v>36</v>
      </c>
      <c r="FP464" s="14">
        <f t="shared" si="513"/>
        <v>20</v>
      </c>
      <c r="FQ464" s="14">
        <f t="shared" si="514"/>
        <v>0</v>
      </c>
      <c r="FR464" s="14">
        <f t="shared" si="515"/>
        <v>135</v>
      </c>
      <c r="FS464" s="14">
        <f t="shared" si="516"/>
        <v>3</v>
      </c>
      <c r="FT464" s="14">
        <f t="shared" si="517"/>
        <v>0</v>
      </c>
      <c r="FU464" s="14">
        <f t="shared" si="518"/>
        <v>21</v>
      </c>
      <c r="FV464" s="14">
        <f t="shared" si="503"/>
        <v>2013</v>
      </c>
      <c r="FW464" s="14">
        <f t="shared" si="504"/>
        <v>2</v>
      </c>
      <c r="FX464" s="14">
        <f t="shared" si="505"/>
        <v>2013</v>
      </c>
      <c r="FY464" s="25" t="str">
        <f t="shared" si="519"/>
        <v>icon_2101108</v>
      </c>
      <c r="GC464" s="14">
        <f t="shared" si="506"/>
        <v>1</v>
      </c>
      <c r="GD464" s="14">
        <f t="shared" si="507"/>
        <v>3</v>
      </c>
      <c r="GE464" s="14">
        <f t="shared" si="482"/>
        <v>36</v>
      </c>
      <c r="GF464" s="14" t="str">
        <f t="shared" si="483"/>
        <v>AtkExt</v>
      </c>
      <c r="GG464" s="14">
        <f t="shared" si="484"/>
        <v>20</v>
      </c>
      <c r="GH464" s="14">
        <f t="shared" si="485"/>
        <v>3</v>
      </c>
      <c r="GI464" s="14" t="str">
        <f t="shared" si="486"/>
        <v>HPExt</v>
      </c>
      <c r="GJ464" s="14">
        <f t="shared" si="487"/>
        <v>135</v>
      </c>
      <c r="GK464" s="14">
        <f t="shared" si="488"/>
        <v>21</v>
      </c>
      <c r="GL464" s="14">
        <f t="shared" si="508"/>
        <v>20130</v>
      </c>
      <c r="GM464" s="14">
        <f t="shared" si="489"/>
        <v>2</v>
      </c>
      <c r="GN464" s="14">
        <f t="shared" si="490"/>
        <v>2013</v>
      </c>
      <c r="GO464" s="25" t="s">
        <v>1471</v>
      </c>
      <c r="GP464" s="14">
        <f t="shared" si="509"/>
        <v>38</v>
      </c>
      <c r="GQ464" s="30"/>
      <c r="HK464" s="13">
        <v>459</v>
      </c>
      <c r="HL464" s="14">
        <f t="shared" si="520"/>
        <v>20</v>
      </c>
      <c r="HM464" s="14">
        <f t="shared" si="521"/>
        <v>2</v>
      </c>
      <c r="HN464" s="14">
        <f t="shared" si="522"/>
        <v>9</v>
      </c>
      <c r="HO464" s="14">
        <f t="shared" si="523"/>
        <v>3</v>
      </c>
      <c r="HP464" s="14" t="str">
        <f t="shared" si="524"/>
        <v>130级守护灵洗练-Q3-3</v>
      </c>
      <c r="HQ464" s="14">
        <f t="shared" si="525"/>
        <v>2093</v>
      </c>
      <c r="HR464" s="14">
        <f t="shared" si="526"/>
        <v>3</v>
      </c>
      <c r="HS464" s="14">
        <f t="shared" si="527"/>
        <v>2000</v>
      </c>
      <c r="HT464" s="14" t="str">
        <f t="shared" si="528"/>
        <v>HPExt</v>
      </c>
      <c r="HU464" s="14">
        <f t="shared" si="529"/>
        <v>2834</v>
      </c>
      <c r="HV464" s="14">
        <f t="shared" si="530"/>
        <v>8099</v>
      </c>
    </row>
    <row r="465" spans="151:230" ht="16.5" x14ac:dyDescent="0.2">
      <c r="EU465" s="13">
        <v>460</v>
      </c>
      <c r="EV465" s="14">
        <f t="shared" si="510"/>
        <v>2</v>
      </c>
      <c r="EW465" s="14">
        <f t="shared" si="478"/>
        <v>25</v>
      </c>
      <c r="EX465" s="14">
        <f t="shared" si="511"/>
        <v>4</v>
      </c>
      <c r="EY465" s="14">
        <f t="shared" si="479"/>
        <v>40</v>
      </c>
      <c r="EZ465" s="14">
        <f t="shared" si="491"/>
        <v>12</v>
      </c>
      <c r="FA465" s="14">
        <f t="shared" si="492"/>
        <v>15</v>
      </c>
      <c r="FB465" s="14">
        <f t="shared" si="493"/>
        <v>4</v>
      </c>
      <c r="FC465" s="14">
        <f t="shared" si="494"/>
        <v>1</v>
      </c>
      <c r="FD465" s="14">
        <f t="shared" si="495"/>
        <v>1</v>
      </c>
      <c r="FE465" s="14" t="b">
        <f t="shared" si="512"/>
        <v>0</v>
      </c>
      <c r="FF465" s="14">
        <f t="shared" si="496"/>
        <v>2101401</v>
      </c>
      <c r="FG465" s="13" t="str">
        <f t="shared" si="497"/>
        <v>15级-史诗守护灵の灵器</v>
      </c>
      <c r="FH465" s="14">
        <f t="shared" si="498"/>
        <v>2</v>
      </c>
      <c r="FI465" s="14">
        <f t="shared" si="499"/>
        <v>4</v>
      </c>
      <c r="FJ465" s="14">
        <f t="shared" si="500"/>
        <v>15</v>
      </c>
      <c r="FK465" s="14">
        <v>26</v>
      </c>
      <c r="FL465" s="14">
        <f t="shared" si="501"/>
        <v>1</v>
      </c>
      <c r="FM465" s="14">
        <f t="shared" si="480"/>
        <v>1</v>
      </c>
      <c r="FN465" s="14" t="str">
        <f t="shared" si="502"/>
        <v/>
      </c>
      <c r="FO465" s="14">
        <f t="shared" si="481"/>
        <v>50</v>
      </c>
      <c r="FP465" s="14">
        <f t="shared" si="513"/>
        <v>65</v>
      </c>
      <c r="FQ465" s="14">
        <f t="shared" si="514"/>
        <v>0</v>
      </c>
      <c r="FR465" s="14">
        <f t="shared" si="515"/>
        <v>0</v>
      </c>
      <c r="FS465" s="14">
        <f t="shared" si="516"/>
        <v>10</v>
      </c>
      <c r="FT465" s="14">
        <f t="shared" si="517"/>
        <v>0</v>
      </c>
      <c r="FU465" s="14">
        <f t="shared" si="518"/>
        <v>0</v>
      </c>
      <c r="FV465" s="14">
        <f t="shared" si="503"/>
        <v>2014</v>
      </c>
      <c r="FW465" s="14">
        <f t="shared" si="504"/>
        <v>3</v>
      </c>
      <c r="FX465" s="14">
        <f t="shared" si="505"/>
        <v>2014</v>
      </c>
      <c r="FY465" s="25" t="str">
        <f t="shared" si="519"/>
        <v>icon_2101101</v>
      </c>
      <c r="GC465" s="14">
        <f t="shared" si="506"/>
        <v>1</v>
      </c>
      <c r="GD465" s="14">
        <f t="shared" si="507"/>
        <v>0</v>
      </c>
      <c r="GE465" s="14">
        <f t="shared" si="482"/>
        <v>50</v>
      </c>
      <c r="GF465" s="14" t="str">
        <f t="shared" si="483"/>
        <v>AtkExt</v>
      </c>
      <c r="GG465" s="14">
        <f t="shared" si="484"/>
        <v>65</v>
      </c>
      <c r="GH465" s="14">
        <f t="shared" si="485"/>
        <v>10</v>
      </c>
      <c r="GI465" s="14" t="str">
        <f t="shared" si="486"/>
        <v/>
      </c>
      <c r="GJ465" s="14" t="str">
        <f t="shared" si="487"/>
        <v/>
      </c>
      <c r="GK465" s="14" t="str">
        <f t="shared" si="488"/>
        <v/>
      </c>
      <c r="GL465" s="14">
        <f t="shared" si="508"/>
        <v>20140</v>
      </c>
      <c r="GM465" s="14">
        <f t="shared" si="489"/>
        <v>3</v>
      </c>
      <c r="GN465" s="14">
        <f t="shared" si="490"/>
        <v>2014</v>
      </c>
      <c r="GO465" s="25" t="s">
        <v>1471</v>
      </c>
      <c r="GP465" s="14">
        <f t="shared" si="509"/>
        <v>100</v>
      </c>
      <c r="GQ465" s="30"/>
      <c r="HK465" s="13">
        <v>460</v>
      </c>
      <c r="HL465" s="14">
        <f t="shared" si="520"/>
        <v>20</v>
      </c>
      <c r="HM465" s="14">
        <f t="shared" si="521"/>
        <v>2</v>
      </c>
      <c r="HN465" s="14">
        <f t="shared" si="522"/>
        <v>9</v>
      </c>
      <c r="HO465" s="14">
        <f t="shared" si="523"/>
        <v>3</v>
      </c>
      <c r="HP465" s="14" t="str">
        <f t="shared" si="524"/>
        <v>130级守护灵洗练-Q3-4</v>
      </c>
      <c r="HQ465" s="14">
        <f t="shared" si="525"/>
        <v>2093</v>
      </c>
      <c r="HR465" s="14">
        <f t="shared" si="526"/>
        <v>4</v>
      </c>
      <c r="HS465" s="14">
        <f t="shared" si="527"/>
        <v>500</v>
      </c>
      <c r="HT465" s="14" t="str">
        <f t="shared" si="528"/>
        <v>AtkRate</v>
      </c>
      <c r="HU465" s="14">
        <f t="shared" si="529"/>
        <v>1.4E-2</v>
      </c>
      <c r="HV465" s="14">
        <f t="shared" si="530"/>
        <v>0.04</v>
      </c>
    </row>
    <row r="466" spans="151:230" ht="16.5" x14ac:dyDescent="0.2">
      <c r="EU466" s="13">
        <v>461</v>
      </c>
      <c r="EV466" s="14">
        <f t="shared" si="510"/>
        <v>2</v>
      </c>
      <c r="EW466" s="14">
        <f t="shared" si="478"/>
        <v>26</v>
      </c>
      <c r="EX466" s="14">
        <f t="shared" si="511"/>
        <v>4</v>
      </c>
      <c r="EY466" s="14">
        <f t="shared" si="479"/>
        <v>40</v>
      </c>
      <c r="EZ466" s="14">
        <f t="shared" si="491"/>
        <v>12</v>
      </c>
      <c r="FA466" s="14">
        <f t="shared" si="492"/>
        <v>15</v>
      </c>
      <c r="FB466" s="14">
        <f t="shared" si="493"/>
        <v>4</v>
      </c>
      <c r="FC466" s="14">
        <f t="shared" si="494"/>
        <v>2</v>
      </c>
      <c r="FD466" s="14">
        <f t="shared" si="495"/>
        <v>2</v>
      </c>
      <c r="FE466" s="14" t="b">
        <f t="shared" si="512"/>
        <v>0</v>
      </c>
      <c r="FF466" s="14">
        <f t="shared" si="496"/>
        <v>2101402</v>
      </c>
      <c r="FG466" s="13" t="str">
        <f t="shared" si="497"/>
        <v>15级-史诗守护灵の头盔</v>
      </c>
      <c r="FH466" s="14">
        <f t="shared" si="498"/>
        <v>2</v>
      </c>
      <c r="FI466" s="14">
        <f t="shared" si="499"/>
        <v>4</v>
      </c>
      <c r="FJ466" s="14">
        <f t="shared" si="500"/>
        <v>15</v>
      </c>
      <c r="FK466" s="14">
        <v>27</v>
      </c>
      <c r="FL466" s="14">
        <f t="shared" si="501"/>
        <v>1</v>
      </c>
      <c r="FM466" s="14">
        <f t="shared" si="480"/>
        <v>2</v>
      </c>
      <c r="FN466" s="14" t="str">
        <f t="shared" si="502"/>
        <v/>
      </c>
      <c r="FO466" s="14">
        <f t="shared" si="481"/>
        <v>30</v>
      </c>
      <c r="FP466" s="14">
        <f t="shared" si="513"/>
        <v>0</v>
      </c>
      <c r="FQ466" s="14">
        <f t="shared" si="514"/>
        <v>15</v>
      </c>
      <c r="FR466" s="14">
        <f t="shared" si="515"/>
        <v>0</v>
      </c>
      <c r="FS466" s="14">
        <f t="shared" si="516"/>
        <v>0</v>
      </c>
      <c r="FT466" s="14">
        <f t="shared" si="517"/>
        <v>3</v>
      </c>
      <c r="FU466" s="14">
        <f t="shared" si="518"/>
        <v>0</v>
      </c>
      <c r="FV466" s="14">
        <f t="shared" si="503"/>
        <v>2014</v>
      </c>
      <c r="FW466" s="14">
        <f t="shared" si="504"/>
        <v>3</v>
      </c>
      <c r="FX466" s="14">
        <f t="shared" si="505"/>
        <v>2014</v>
      </c>
      <c r="FY466" s="25" t="str">
        <f t="shared" si="519"/>
        <v>icon_2101102</v>
      </c>
      <c r="GC466" s="14">
        <f t="shared" si="506"/>
        <v>2</v>
      </c>
      <c r="GD466" s="14">
        <f t="shared" si="507"/>
        <v>0</v>
      </c>
      <c r="GE466" s="14">
        <f t="shared" si="482"/>
        <v>30</v>
      </c>
      <c r="GF466" s="14" t="str">
        <f t="shared" si="483"/>
        <v>DefExt</v>
      </c>
      <c r="GG466" s="14">
        <f t="shared" si="484"/>
        <v>15</v>
      </c>
      <c r="GH466" s="14">
        <f t="shared" si="485"/>
        <v>3</v>
      </c>
      <c r="GI466" s="14" t="str">
        <f t="shared" si="486"/>
        <v/>
      </c>
      <c r="GJ466" s="14" t="str">
        <f t="shared" si="487"/>
        <v/>
      </c>
      <c r="GK466" s="14" t="str">
        <f t="shared" si="488"/>
        <v/>
      </c>
      <c r="GL466" s="14">
        <f t="shared" si="508"/>
        <v>20140</v>
      </c>
      <c r="GM466" s="14">
        <f t="shared" si="489"/>
        <v>3</v>
      </c>
      <c r="GN466" s="14">
        <f t="shared" si="490"/>
        <v>2014</v>
      </c>
      <c r="GO466" s="25" t="s">
        <v>1471</v>
      </c>
      <c r="GP466" s="14">
        <f t="shared" si="509"/>
        <v>50</v>
      </c>
      <c r="GQ466" s="30"/>
      <c r="HK466" s="13">
        <v>461</v>
      </c>
      <c r="HL466" s="14">
        <f t="shared" si="520"/>
        <v>20</v>
      </c>
      <c r="HM466" s="14">
        <f t="shared" si="521"/>
        <v>2</v>
      </c>
      <c r="HN466" s="14">
        <f t="shared" si="522"/>
        <v>9</v>
      </c>
      <c r="HO466" s="14">
        <f t="shared" si="523"/>
        <v>3</v>
      </c>
      <c r="HP466" s="14" t="str">
        <f t="shared" si="524"/>
        <v>130级守护灵洗练-Q3-5</v>
      </c>
      <c r="HQ466" s="14">
        <f t="shared" si="525"/>
        <v>2093</v>
      </c>
      <c r="HR466" s="14">
        <f t="shared" si="526"/>
        <v>5</v>
      </c>
      <c r="HS466" s="14">
        <f t="shared" si="527"/>
        <v>400</v>
      </c>
      <c r="HT466" s="14" t="str">
        <f t="shared" si="528"/>
        <v>DefRate</v>
      </c>
      <c r="HU466" s="14">
        <f t="shared" si="529"/>
        <v>1.4E-2</v>
      </c>
      <c r="HV466" s="14">
        <f t="shared" si="530"/>
        <v>0.04</v>
      </c>
    </row>
    <row r="467" spans="151:230" ht="16.5" x14ac:dyDescent="0.2">
      <c r="EU467" s="13">
        <v>462</v>
      </c>
      <c r="EV467" s="14">
        <f t="shared" si="510"/>
        <v>2</v>
      </c>
      <c r="EW467" s="14">
        <f t="shared" si="478"/>
        <v>27</v>
      </c>
      <c r="EX467" s="14">
        <f t="shared" si="511"/>
        <v>4</v>
      </c>
      <c r="EY467" s="14">
        <f t="shared" si="479"/>
        <v>40</v>
      </c>
      <c r="EZ467" s="14">
        <f t="shared" si="491"/>
        <v>12</v>
      </c>
      <c r="FA467" s="14">
        <f t="shared" si="492"/>
        <v>15</v>
      </c>
      <c r="FB467" s="14">
        <f t="shared" si="493"/>
        <v>4</v>
      </c>
      <c r="FC467" s="14">
        <f t="shared" si="494"/>
        <v>3</v>
      </c>
      <c r="FD467" s="14">
        <f t="shared" si="495"/>
        <v>3</v>
      </c>
      <c r="FE467" s="14" t="b">
        <f t="shared" si="512"/>
        <v>0</v>
      </c>
      <c r="FF467" s="14">
        <f t="shared" si="496"/>
        <v>2101403</v>
      </c>
      <c r="FG467" s="13" t="str">
        <f t="shared" si="497"/>
        <v>15级-史诗守护灵の铠甲</v>
      </c>
      <c r="FH467" s="14">
        <f t="shared" si="498"/>
        <v>2</v>
      </c>
      <c r="FI467" s="14">
        <f t="shared" si="499"/>
        <v>4</v>
      </c>
      <c r="FJ467" s="14">
        <f t="shared" si="500"/>
        <v>15</v>
      </c>
      <c r="FK467" s="14">
        <v>28</v>
      </c>
      <c r="FL467" s="14">
        <f t="shared" si="501"/>
        <v>1</v>
      </c>
      <c r="FM467" s="14">
        <f t="shared" si="480"/>
        <v>3</v>
      </c>
      <c r="FN467" s="14" t="str">
        <f t="shared" si="502"/>
        <v/>
      </c>
      <c r="FO467" s="14">
        <f t="shared" si="481"/>
        <v>25</v>
      </c>
      <c r="FP467" s="14">
        <f t="shared" si="513"/>
        <v>0</v>
      </c>
      <c r="FQ467" s="14">
        <f t="shared" si="514"/>
        <v>10</v>
      </c>
      <c r="FR467" s="14">
        <f t="shared" si="515"/>
        <v>95</v>
      </c>
      <c r="FS467" s="14">
        <f t="shared" si="516"/>
        <v>0</v>
      </c>
      <c r="FT467" s="14">
        <f t="shared" si="517"/>
        <v>1</v>
      </c>
      <c r="FU467" s="14">
        <f t="shared" si="518"/>
        <v>15</v>
      </c>
      <c r="FV467" s="14">
        <f t="shared" si="503"/>
        <v>2014</v>
      </c>
      <c r="FW467" s="14">
        <f t="shared" si="504"/>
        <v>3</v>
      </c>
      <c r="FX467" s="14">
        <f t="shared" si="505"/>
        <v>2014</v>
      </c>
      <c r="FY467" s="25" t="str">
        <f t="shared" si="519"/>
        <v>icon_2101103</v>
      </c>
      <c r="GC467" s="14">
        <f t="shared" si="506"/>
        <v>2</v>
      </c>
      <c r="GD467" s="14">
        <f t="shared" si="507"/>
        <v>3</v>
      </c>
      <c r="GE467" s="14">
        <f t="shared" si="482"/>
        <v>25</v>
      </c>
      <c r="GF467" s="14" t="str">
        <f t="shared" si="483"/>
        <v>DefExt</v>
      </c>
      <c r="GG467" s="14">
        <f t="shared" si="484"/>
        <v>10</v>
      </c>
      <c r="GH467" s="14">
        <f t="shared" si="485"/>
        <v>1</v>
      </c>
      <c r="GI467" s="14" t="str">
        <f t="shared" si="486"/>
        <v>HPExt</v>
      </c>
      <c r="GJ467" s="14">
        <f t="shared" si="487"/>
        <v>95</v>
      </c>
      <c r="GK467" s="14">
        <f t="shared" si="488"/>
        <v>15</v>
      </c>
      <c r="GL467" s="14">
        <f t="shared" si="508"/>
        <v>20140</v>
      </c>
      <c r="GM467" s="14">
        <f t="shared" si="489"/>
        <v>3</v>
      </c>
      <c r="GN467" s="14">
        <f t="shared" si="490"/>
        <v>2014</v>
      </c>
      <c r="GO467" s="25" t="s">
        <v>1471</v>
      </c>
      <c r="GP467" s="14">
        <f t="shared" si="509"/>
        <v>50</v>
      </c>
      <c r="GQ467" s="30"/>
      <c r="HK467" s="13">
        <v>462</v>
      </c>
      <c r="HL467" s="14">
        <f t="shared" si="520"/>
        <v>20</v>
      </c>
      <c r="HM467" s="14">
        <f t="shared" si="521"/>
        <v>2</v>
      </c>
      <c r="HN467" s="14">
        <f t="shared" si="522"/>
        <v>9</v>
      </c>
      <c r="HO467" s="14">
        <f t="shared" si="523"/>
        <v>3</v>
      </c>
      <c r="HP467" s="14" t="str">
        <f t="shared" si="524"/>
        <v>130级守护灵洗练-Q3-6</v>
      </c>
      <c r="HQ467" s="14">
        <f t="shared" si="525"/>
        <v>2093</v>
      </c>
      <c r="HR467" s="14">
        <f t="shared" si="526"/>
        <v>6</v>
      </c>
      <c r="HS467" s="14">
        <f t="shared" si="527"/>
        <v>500</v>
      </c>
      <c r="HT467" s="14" t="str">
        <f t="shared" si="528"/>
        <v>HPRate</v>
      </c>
      <c r="HU467" s="14">
        <f t="shared" si="529"/>
        <v>1.4E-2</v>
      </c>
      <c r="HV467" s="14">
        <f t="shared" si="530"/>
        <v>0.04</v>
      </c>
    </row>
    <row r="468" spans="151:230" ht="16.5" x14ac:dyDescent="0.2">
      <c r="EU468" s="13">
        <v>463</v>
      </c>
      <c r="EV468" s="14">
        <f t="shared" si="510"/>
        <v>2</v>
      </c>
      <c r="EW468" s="14">
        <f t="shared" si="478"/>
        <v>28</v>
      </c>
      <c r="EX468" s="14">
        <f t="shared" si="511"/>
        <v>4</v>
      </c>
      <c r="EY468" s="14">
        <f t="shared" si="479"/>
        <v>40</v>
      </c>
      <c r="EZ468" s="14">
        <f t="shared" si="491"/>
        <v>12</v>
      </c>
      <c r="FA468" s="14">
        <f t="shared" si="492"/>
        <v>15</v>
      </c>
      <c r="FB468" s="14">
        <f t="shared" si="493"/>
        <v>4</v>
      </c>
      <c r="FC468" s="14">
        <f t="shared" si="494"/>
        <v>4</v>
      </c>
      <c r="FD468" s="14">
        <f t="shared" si="495"/>
        <v>4</v>
      </c>
      <c r="FE468" s="14" t="b">
        <f t="shared" si="512"/>
        <v>0</v>
      </c>
      <c r="FF468" s="14">
        <f t="shared" si="496"/>
        <v>2101404</v>
      </c>
      <c r="FG468" s="13" t="str">
        <f t="shared" si="497"/>
        <v>15级-史诗守护灵の裤子</v>
      </c>
      <c r="FH468" s="14">
        <f t="shared" si="498"/>
        <v>2</v>
      </c>
      <c r="FI468" s="14">
        <f t="shared" si="499"/>
        <v>4</v>
      </c>
      <c r="FJ468" s="14">
        <f t="shared" si="500"/>
        <v>15</v>
      </c>
      <c r="FK468" s="14">
        <v>29</v>
      </c>
      <c r="FL468" s="14">
        <f t="shared" si="501"/>
        <v>1</v>
      </c>
      <c r="FM468" s="14">
        <f t="shared" si="480"/>
        <v>4</v>
      </c>
      <c r="FN468" s="14" t="str">
        <f t="shared" si="502"/>
        <v/>
      </c>
      <c r="FO468" s="14">
        <f t="shared" si="481"/>
        <v>30</v>
      </c>
      <c r="FP468" s="14">
        <f t="shared" si="513"/>
        <v>0</v>
      </c>
      <c r="FQ468" s="14">
        <f t="shared" si="514"/>
        <v>15</v>
      </c>
      <c r="FR468" s="14">
        <f t="shared" si="515"/>
        <v>0</v>
      </c>
      <c r="FS468" s="14">
        <f t="shared" si="516"/>
        <v>0</v>
      </c>
      <c r="FT468" s="14">
        <f t="shared" si="517"/>
        <v>3</v>
      </c>
      <c r="FU468" s="14">
        <f t="shared" si="518"/>
        <v>0</v>
      </c>
      <c r="FV468" s="14">
        <f t="shared" si="503"/>
        <v>2014</v>
      </c>
      <c r="FW468" s="14">
        <f t="shared" si="504"/>
        <v>3</v>
      </c>
      <c r="FX468" s="14">
        <f t="shared" si="505"/>
        <v>2014</v>
      </c>
      <c r="FY468" s="25" t="str">
        <f t="shared" si="519"/>
        <v>icon_2101104</v>
      </c>
      <c r="GC468" s="14">
        <f t="shared" si="506"/>
        <v>2</v>
      </c>
      <c r="GD468" s="14">
        <f t="shared" si="507"/>
        <v>0</v>
      </c>
      <c r="GE468" s="14">
        <f t="shared" si="482"/>
        <v>30</v>
      </c>
      <c r="GF468" s="14" t="str">
        <f t="shared" si="483"/>
        <v>DefExt</v>
      </c>
      <c r="GG468" s="14">
        <f t="shared" si="484"/>
        <v>15</v>
      </c>
      <c r="GH468" s="14">
        <f t="shared" si="485"/>
        <v>3</v>
      </c>
      <c r="GI468" s="14" t="str">
        <f t="shared" si="486"/>
        <v/>
      </c>
      <c r="GJ468" s="14" t="str">
        <f t="shared" si="487"/>
        <v/>
      </c>
      <c r="GK468" s="14" t="str">
        <f t="shared" si="488"/>
        <v/>
      </c>
      <c r="GL468" s="14">
        <f t="shared" si="508"/>
        <v>20140</v>
      </c>
      <c r="GM468" s="14">
        <f t="shared" si="489"/>
        <v>3</v>
      </c>
      <c r="GN468" s="14">
        <f t="shared" si="490"/>
        <v>2014</v>
      </c>
      <c r="GO468" s="25" t="s">
        <v>1471</v>
      </c>
      <c r="GP468" s="14">
        <f t="shared" si="509"/>
        <v>50</v>
      </c>
      <c r="GQ468" s="30"/>
      <c r="HK468" s="13">
        <v>463</v>
      </c>
      <c r="HL468" s="14">
        <f t="shared" si="520"/>
        <v>20</v>
      </c>
      <c r="HM468" s="14">
        <f t="shared" si="521"/>
        <v>2</v>
      </c>
      <c r="HN468" s="14">
        <f t="shared" si="522"/>
        <v>9</v>
      </c>
      <c r="HO468" s="14">
        <f t="shared" si="523"/>
        <v>3</v>
      </c>
      <c r="HP468" s="14" t="str">
        <f t="shared" si="524"/>
        <v>130级守护灵洗练-Q3-7</v>
      </c>
      <c r="HQ468" s="14">
        <f t="shared" si="525"/>
        <v>2093</v>
      </c>
      <c r="HR468" s="14">
        <f t="shared" si="526"/>
        <v>7</v>
      </c>
      <c r="HS468" s="14">
        <f t="shared" si="527"/>
        <v>500</v>
      </c>
      <c r="HT468" s="14" t="str">
        <f t="shared" si="528"/>
        <v>Crit</v>
      </c>
      <c r="HU468" s="14">
        <f t="shared" si="529"/>
        <v>1.0999999999999999E-2</v>
      </c>
      <c r="HV468" s="14">
        <f t="shared" si="530"/>
        <v>0.03</v>
      </c>
    </row>
    <row r="469" spans="151:230" ht="16.5" x14ac:dyDescent="0.2">
      <c r="EU469" s="13">
        <v>464</v>
      </c>
      <c r="EV469" s="14">
        <f t="shared" si="510"/>
        <v>2</v>
      </c>
      <c r="EW469" s="14">
        <f t="shared" si="478"/>
        <v>29</v>
      </c>
      <c r="EX469" s="14">
        <f t="shared" si="511"/>
        <v>4</v>
      </c>
      <c r="EY469" s="14">
        <f t="shared" si="479"/>
        <v>40</v>
      </c>
      <c r="EZ469" s="14">
        <f t="shared" si="491"/>
        <v>12</v>
      </c>
      <c r="FA469" s="14">
        <f t="shared" si="492"/>
        <v>15</v>
      </c>
      <c r="FB469" s="14">
        <f t="shared" si="493"/>
        <v>4</v>
      </c>
      <c r="FC469" s="14">
        <f t="shared" si="494"/>
        <v>5</v>
      </c>
      <c r="FD469" s="14">
        <f t="shared" si="495"/>
        <v>5</v>
      </c>
      <c r="FE469" s="14" t="b">
        <f t="shared" si="512"/>
        <v>0</v>
      </c>
      <c r="FF469" s="14">
        <f t="shared" si="496"/>
        <v>2101405</v>
      </c>
      <c r="FG469" s="13" t="str">
        <f t="shared" si="497"/>
        <v>15级-史诗守护灵の鞋子</v>
      </c>
      <c r="FH469" s="14">
        <f t="shared" si="498"/>
        <v>2</v>
      </c>
      <c r="FI469" s="14">
        <f t="shared" si="499"/>
        <v>4</v>
      </c>
      <c r="FJ469" s="14">
        <f t="shared" si="500"/>
        <v>15</v>
      </c>
      <c r="FK469" s="14">
        <v>30</v>
      </c>
      <c r="FL469" s="14">
        <f t="shared" si="501"/>
        <v>1</v>
      </c>
      <c r="FM469" s="14">
        <f t="shared" si="480"/>
        <v>5</v>
      </c>
      <c r="FN469" s="14" t="str">
        <f t="shared" si="502"/>
        <v/>
      </c>
      <c r="FO469" s="14">
        <f t="shared" si="481"/>
        <v>30</v>
      </c>
      <c r="FP469" s="14">
        <f t="shared" si="513"/>
        <v>0</v>
      </c>
      <c r="FQ469" s="14">
        <f t="shared" si="514"/>
        <v>0</v>
      </c>
      <c r="FR469" s="14">
        <f t="shared" si="515"/>
        <v>195</v>
      </c>
      <c r="FS469" s="14">
        <f t="shared" si="516"/>
        <v>0</v>
      </c>
      <c r="FT469" s="14">
        <f t="shared" si="517"/>
        <v>0</v>
      </c>
      <c r="FU469" s="14">
        <f t="shared" si="518"/>
        <v>30</v>
      </c>
      <c r="FV469" s="14">
        <f t="shared" si="503"/>
        <v>2014</v>
      </c>
      <c r="FW469" s="14">
        <f t="shared" si="504"/>
        <v>3</v>
      </c>
      <c r="FX469" s="14">
        <f t="shared" si="505"/>
        <v>2014</v>
      </c>
      <c r="FY469" s="25" t="str">
        <f t="shared" si="519"/>
        <v>icon_2101105</v>
      </c>
      <c r="GC469" s="14">
        <f t="shared" si="506"/>
        <v>3</v>
      </c>
      <c r="GD469" s="14">
        <f t="shared" si="507"/>
        <v>0</v>
      </c>
      <c r="GE469" s="14">
        <f t="shared" si="482"/>
        <v>30</v>
      </c>
      <c r="GF469" s="14" t="str">
        <f t="shared" si="483"/>
        <v>HPExt</v>
      </c>
      <c r="GG469" s="14">
        <f t="shared" si="484"/>
        <v>195</v>
      </c>
      <c r="GH469" s="14">
        <f t="shared" si="485"/>
        <v>30</v>
      </c>
      <c r="GI469" s="14" t="str">
        <f t="shared" si="486"/>
        <v/>
      </c>
      <c r="GJ469" s="14" t="str">
        <f t="shared" si="487"/>
        <v/>
      </c>
      <c r="GK469" s="14" t="str">
        <f t="shared" si="488"/>
        <v/>
      </c>
      <c r="GL469" s="14">
        <f t="shared" si="508"/>
        <v>20140</v>
      </c>
      <c r="GM469" s="14">
        <f t="shared" si="489"/>
        <v>3</v>
      </c>
      <c r="GN469" s="14">
        <f t="shared" si="490"/>
        <v>2014</v>
      </c>
      <c r="GO469" s="25" t="s">
        <v>1471</v>
      </c>
      <c r="GP469" s="14">
        <f t="shared" si="509"/>
        <v>50</v>
      </c>
      <c r="GQ469" s="30"/>
      <c r="HK469" s="13">
        <v>464</v>
      </c>
      <c r="HL469" s="14">
        <f t="shared" si="520"/>
        <v>20</v>
      </c>
      <c r="HM469" s="14">
        <f t="shared" si="521"/>
        <v>2</v>
      </c>
      <c r="HN469" s="14">
        <f t="shared" si="522"/>
        <v>9</v>
      </c>
      <c r="HO469" s="14">
        <f t="shared" si="523"/>
        <v>3</v>
      </c>
      <c r="HP469" s="14" t="str">
        <f t="shared" si="524"/>
        <v>130级守护灵洗练-Q3-8</v>
      </c>
      <c r="HQ469" s="14">
        <f t="shared" si="525"/>
        <v>2093</v>
      </c>
      <c r="HR469" s="14">
        <f t="shared" si="526"/>
        <v>8</v>
      </c>
      <c r="HS469" s="14">
        <f t="shared" si="527"/>
        <v>500</v>
      </c>
      <c r="HT469" s="14" t="str">
        <f t="shared" si="528"/>
        <v>CritRate</v>
      </c>
      <c r="HU469" s="14">
        <f t="shared" si="529"/>
        <v>2.8000000000000001E-2</v>
      </c>
      <c r="HV469" s="14">
        <f t="shared" si="530"/>
        <v>0.08</v>
      </c>
    </row>
    <row r="470" spans="151:230" ht="16.5" x14ac:dyDescent="0.2">
      <c r="EU470" s="13">
        <v>465</v>
      </c>
      <c r="EV470" s="14">
        <f t="shared" si="510"/>
        <v>2</v>
      </c>
      <c r="EW470" s="14">
        <f t="shared" si="478"/>
        <v>30</v>
      </c>
      <c r="EX470" s="14">
        <f t="shared" si="511"/>
        <v>4</v>
      </c>
      <c r="EY470" s="14">
        <f t="shared" si="479"/>
        <v>40</v>
      </c>
      <c r="EZ470" s="14">
        <f t="shared" si="491"/>
        <v>12</v>
      </c>
      <c r="FA470" s="14">
        <f t="shared" si="492"/>
        <v>15</v>
      </c>
      <c r="FB470" s="14">
        <f t="shared" si="493"/>
        <v>4</v>
      </c>
      <c r="FC470" s="14">
        <f t="shared" si="494"/>
        <v>6</v>
      </c>
      <c r="FD470" s="14">
        <f t="shared" si="495"/>
        <v>6</v>
      </c>
      <c r="FE470" s="14" t="b">
        <f t="shared" si="512"/>
        <v>0</v>
      </c>
      <c r="FF470" s="14">
        <f t="shared" si="496"/>
        <v>2101406</v>
      </c>
      <c r="FG470" s="13" t="str">
        <f t="shared" si="497"/>
        <v>15级-史诗守护灵の护手</v>
      </c>
      <c r="FH470" s="14">
        <f t="shared" si="498"/>
        <v>2</v>
      </c>
      <c r="FI470" s="14">
        <f t="shared" si="499"/>
        <v>4</v>
      </c>
      <c r="FJ470" s="14">
        <f t="shared" si="500"/>
        <v>15</v>
      </c>
      <c r="FK470" s="14">
        <v>31</v>
      </c>
      <c r="FL470" s="14">
        <f t="shared" si="501"/>
        <v>1</v>
      </c>
      <c r="FM470" s="14">
        <f t="shared" si="480"/>
        <v>6</v>
      </c>
      <c r="FN470" s="14" t="str">
        <f t="shared" si="502"/>
        <v/>
      </c>
      <c r="FO470" s="14">
        <f t="shared" si="481"/>
        <v>30</v>
      </c>
      <c r="FP470" s="14">
        <f t="shared" si="513"/>
        <v>0</v>
      </c>
      <c r="FQ470" s="14">
        <f t="shared" si="514"/>
        <v>0</v>
      </c>
      <c r="FR470" s="14">
        <f t="shared" si="515"/>
        <v>195</v>
      </c>
      <c r="FS470" s="14">
        <f t="shared" si="516"/>
        <v>0</v>
      </c>
      <c r="FT470" s="14">
        <f t="shared" si="517"/>
        <v>0</v>
      </c>
      <c r="FU470" s="14">
        <f t="shared" si="518"/>
        <v>30</v>
      </c>
      <c r="FV470" s="14">
        <f t="shared" si="503"/>
        <v>2014</v>
      </c>
      <c r="FW470" s="14">
        <f t="shared" si="504"/>
        <v>3</v>
      </c>
      <c r="FX470" s="14">
        <f t="shared" si="505"/>
        <v>2014</v>
      </c>
      <c r="FY470" s="25" t="str">
        <f t="shared" si="519"/>
        <v>icon_2101106</v>
      </c>
      <c r="GC470" s="14">
        <f t="shared" si="506"/>
        <v>3</v>
      </c>
      <c r="GD470" s="14">
        <f t="shared" si="507"/>
        <v>0</v>
      </c>
      <c r="GE470" s="14">
        <f t="shared" si="482"/>
        <v>30</v>
      </c>
      <c r="GF470" s="14" t="str">
        <f t="shared" si="483"/>
        <v>HPExt</v>
      </c>
      <c r="GG470" s="14">
        <f t="shared" si="484"/>
        <v>195</v>
      </c>
      <c r="GH470" s="14">
        <f t="shared" si="485"/>
        <v>30</v>
      </c>
      <c r="GI470" s="14" t="str">
        <f t="shared" si="486"/>
        <v/>
      </c>
      <c r="GJ470" s="14" t="str">
        <f t="shared" si="487"/>
        <v/>
      </c>
      <c r="GK470" s="14" t="str">
        <f t="shared" si="488"/>
        <v/>
      </c>
      <c r="GL470" s="14">
        <f t="shared" si="508"/>
        <v>20140</v>
      </c>
      <c r="GM470" s="14">
        <f t="shared" si="489"/>
        <v>3</v>
      </c>
      <c r="GN470" s="14">
        <f t="shared" si="490"/>
        <v>2014</v>
      </c>
      <c r="GO470" s="25" t="s">
        <v>1471</v>
      </c>
      <c r="GP470" s="14">
        <f t="shared" si="509"/>
        <v>50</v>
      </c>
      <c r="GQ470" s="30"/>
      <c r="HK470" s="13">
        <v>465</v>
      </c>
      <c r="HL470" s="14">
        <f t="shared" si="520"/>
        <v>20</v>
      </c>
      <c r="HM470" s="14">
        <f t="shared" si="521"/>
        <v>2</v>
      </c>
      <c r="HN470" s="14">
        <f t="shared" si="522"/>
        <v>9</v>
      </c>
      <c r="HO470" s="14">
        <f t="shared" si="523"/>
        <v>3</v>
      </c>
      <c r="HP470" s="14" t="str">
        <f t="shared" si="524"/>
        <v>130级守护灵洗练-Q3-9</v>
      </c>
      <c r="HQ470" s="14">
        <f t="shared" si="525"/>
        <v>2093</v>
      </c>
      <c r="HR470" s="14">
        <f t="shared" si="526"/>
        <v>9</v>
      </c>
      <c r="HS470" s="14">
        <f t="shared" si="527"/>
        <v>500</v>
      </c>
      <c r="HT470" s="14" t="str">
        <f t="shared" si="528"/>
        <v>DefIgnor</v>
      </c>
      <c r="HU470" s="14">
        <f t="shared" si="529"/>
        <v>1.0999999999999999E-2</v>
      </c>
      <c r="HV470" s="14">
        <f t="shared" si="530"/>
        <v>0.03</v>
      </c>
    </row>
    <row r="471" spans="151:230" ht="16.5" x14ac:dyDescent="0.2">
      <c r="EU471" s="13">
        <v>466</v>
      </c>
      <c r="EV471" s="14">
        <f t="shared" si="510"/>
        <v>2</v>
      </c>
      <c r="EW471" s="14">
        <f t="shared" si="478"/>
        <v>31</v>
      </c>
      <c r="EX471" s="14">
        <f t="shared" si="511"/>
        <v>4</v>
      </c>
      <c r="EY471" s="14">
        <f t="shared" si="479"/>
        <v>40</v>
      </c>
      <c r="EZ471" s="14">
        <f t="shared" si="491"/>
        <v>12</v>
      </c>
      <c r="FA471" s="14">
        <f t="shared" si="492"/>
        <v>15</v>
      </c>
      <c r="FB471" s="14">
        <f t="shared" si="493"/>
        <v>4</v>
      </c>
      <c r="FC471" s="14">
        <f t="shared" si="494"/>
        <v>7</v>
      </c>
      <c r="FD471" s="14">
        <f t="shared" si="495"/>
        <v>7</v>
      </c>
      <c r="FE471" s="14" t="b">
        <f t="shared" si="512"/>
        <v>0</v>
      </c>
      <c r="FF471" s="14">
        <f t="shared" si="496"/>
        <v>2101407</v>
      </c>
      <c r="FG471" s="13" t="str">
        <f t="shared" si="497"/>
        <v>15级-史诗守护灵の项链</v>
      </c>
      <c r="FH471" s="14">
        <f t="shared" si="498"/>
        <v>2</v>
      </c>
      <c r="FI471" s="14">
        <f t="shared" si="499"/>
        <v>4</v>
      </c>
      <c r="FJ471" s="14">
        <f t="shared" si="500"/>
        <v>15</v>
      </c>
      <c r="FK471" s="14">
        <v>32</v>
      </c>
      <c r="FL471" s="14">
        <f t="shared" si="501"/>
        <v>1</v>
      </c>
      <c r="FM471" s="14">
        <f t="shared" si="480"/>
        <v>7</v>
      </c>
      <c r="FN471" s="14" t="str">
        <f t="shared" si="502"/>
        <v/>
      </c>
      <c r="FO471" s="14">
        <f t="shared" si="481"/>
        <v>35</v>
      </c>
      <c r="FP471" s="14">
        <f t="shared" si="513"/>
        <v>20</v>
      </c>
      <c r="FQ471" s="14">
        <f t="shared" si="514"/>
        <v>15</v>
      </c>
      <c r="FR471" s="14">
        <f t="shared" si="515"/>
        <v>0</v>
      </c>
      <c r="FS471" s="14">
        <f t="shared" si="516"/>
        <v>3</v>
      </c>
      <c r="FT471" s="14">
        <f t="shared" si="517"/>
        <v>2</v>
      </c>
      <c r="FU471" s="14">
        <f t="shared" si="518"/>
        <v>0</v>
      </c>
      <c r="FV471" s="14">
        <f t="shared" si="503"/>
        <v>2014</v>
      </c>
      <c r="FW471" s="14">
        <f t="shared" si="504"/>
        <v>3</v>
      </c>
      <c r="FX471" s="14">
        <f t="shared" si="505"/>
        <v>2014</v>
      </c>
      <c r="FY471" s="25" t="str">
        <f t="shared" si="519"/>
        <v>icon_2101107</v>
      </c>
      <c r="GC471" s="14">
        <f t="shared" si="506"/>
        <v>1</v>
      </c>
      <c r="GD471" s="14">
        <f t="shared" si="507"/>
        <v>2</v>
      </c>
      <c r="GE471" s="14">
        <f t="shared" si="482"/>
        <v>35</v>
      </c>
      <c r="GF471" s="14" t="str">
        <f t="shared" si="483"/>
        <v>AtkExt</v>
      </c>
      <c r="GG471" s="14">
        <f t="shared" si="484"/>
        <v>20</v>
      </c>
      <c r="GH471" s="14">
        <f t="shared" si="485"/>
        <v>3</v>
      </c>
      <c r="GI471" s="14" t="str">
        <f t="shared" si="486"/>
        <v>DefExt</v>
      </c>
      <c r="GJ471" s="14">
        <f t="shared" si="487"/>
        <v>15</v>
      </c>
      <c r="GK471" s="14">
        <f t="shared" si="488"/>
        <v>2</v>
      </c>
      <c r="GL471" s="14">
        <f t="shared" si="508"/>
        <v>20140</v>
      </c>
      <c r="GM471" s="14">
        <f t="shared" si="489"/>
        <v>3</v>
      </c>
      <c r="GN471" s="14">
        <f t="shared" si="490"/>
        <v>2014</v>
      </c>
      <c r="GO471" s="25" t="s">
        <v>1471</v>
      </c>
      <c r="GP471" s="14">
        <f t="shared" si="509"/>
        <v>75</v>
      </c>
      <c r="GQ471" s="30"/>
      <c r="HK471" s="13">
        <v>466</v>
      </c>
      <c r="HL471" s="14">
        <f t="shared" si="520"/>
        <v>20</v>
      </c>
      <c r="HM471" s="14">
        <f t="shared" si="521"/>
        <v>2</v>
      </c>
      <c r="HN471" s="14">
        <f t="shared" si="522"/>
        <v>9</v>
      </c>
      <c r="HO471" s="14">
        <f t="shared" si="523"/>
        <v>3</v>
      </c>
      <c r="HP471" s="14" t="str">
        <f t="shared" si="524"/>
        <v>130级守护灵洗练-Q3-10</v>
      </c>
      <c r="HQ471" s="14">
        <f t="shared" si="525"/>
        <v>2093</v>
      </c>
      <c r="HR471" s="14">
        <f t="shared" si="526"/>
        <v>10</v>
      </c>
      <c r="HS471" s="14">
        <f t="shared" si="527"/>
        <v>500</v>
      </c>
      <c r="HT471" s="14" t="str">
        <f t="shared" si="528"/>
        <v>Block</v>
      </c>
      <c r="HU471" s="14">
        <f t="shared" si="529"/>
        <v>1.0999999999999999E-2</v>
      </c>
      <c r="HV471" s="14">
        <f t="shared" si="530"/>
        <v>0.03</v>
      </c>
    </row>
    <row r="472" spans="151:230" ht="16.5" x14ac:dyDescent="0.2">
      <c r="EU472" s="13">
        <v>467</v>
      </c>
      <c r="EV472" s="14">
        <f t="shared" si="510"/>
        <v>2</v>
      </c>
      <c r="EW472" s="14">
        <f t="shared" si="478"/>
        <v>32</v>
      </c>
      <c r="EX472" s="14">
        <f t="shared" si="511"/>
        <v>4</v>
      </c>
      <c r="EY472" s="14">
        <f t="shared" si="479"/>
        <v>40</v>
      </c>
      <c r="EZ472" s="14">
        <f t="shared" si="491"/>
        <v>12</v>
      </c>
      <c r="FA472" s="14">
        <f t="shared" si="492"/>
        <v>15</v>
      </c>
      <c r="FB472" s="14">
        <f t="shared" si="493"/>
        <v>4</v>
      </c>
      <c r="FC472" s="14">
        <f t="shared" si="494"/>
        <v>8</v>
      </c>
      <c r="FD472" s="14">
        <f t="shared" si="495"/>
        <v>8</v>
      </c>
      <c r="FE472" s="14" t="b">
        <f t="shared" si="512"/>
        <v>0</v>
      </c>
      <c r="FF472" s="14">
        <f t="shared" si="496"/>
        <v>2101408</v>
      </c>
      <c r="FG472" s="13" t="str">
        <f t="shared" si="497"/>
        <v>15级-史诗守护灵の戒指</v>
      </c>
      <c r="FH472" s="14">
        <f t="shared" si="498"/>
        <v>2</v>
      </c>
      <c r="FI472" s="14">
        <f t="shared" si="499"/>
        <v>4</v>
      </c>
      <c r="FJ472" s="14">
        <f t="shared" si="500"/>
        <v>15</v>
      </c>
      <c r="FK472" s="14">
        <v>33</v>
      </c>
      <c r="FL472" s="14">
        <f t="shared" si="501"/>
        <v>1</v>
      </c>
      <c r="FM472" s="14">
        <f t="shared" si="480"/>
        <v>8</v>
      </c>
      <c r="FN472" s="14" t="str">
        <f t="shared" si="502"/>
        <v/>
      </c>
      <c r="FO472" s="14">
        <f t="shared" si="481"/>
        <v>40</v>
      </c>
      <c r="FP472" s="14">
        <f t="shared" si="513"/>
        <v>20</v>
      </c>
      <c r="FQ472" s="14">
        <f t="shared" si="514"/>
        <v>0</v>
      </c>
      <c r="FR472" s="14">
        <f t="shared" si="515"/>
        <v>160</v>
      </c>
      <c r="FS472" s="14">
        <f t="shared" si="516"/>
        <v>3</v>
      </c>
      <c r="FT472" s="14">
        <f t="shared" si="517"/>
        <v>0</v>
      </c>
      <c r="FU472" s="14">
        <f t="shared" si="518"/>
        <v>25</v>
      </c>
      <c r="FV472" s="14">
        <f t="shared" si="503"/>
        <v>2014</v>
      </c>
      <c r="FW472" s="14">
        <f t="shared" si="504"/>
        <v>3</v>
      </c>
      <c r="FX472" s="14">
        <f t="shared" si="505"/>
        <v>2014</v>
      </c>
      <c r="FY472" s="25" t="str">
        <f t="shared" si="519"/>
        <v>icon_2101108</v>
      </c>
      <c r="GC472" s="14">
        <f t="shared" si="506"/>
        <v>1</v>
      </c>
      <c r="GD472" s="14">
        <f t="shared" si="507"/>
        <v>3</v>
      </c>
      <c r="GE472" s="14">
        <f t="shared" si="482"/>
        <v>40</v>
      </c>
      <c r="GF472" s="14" t="str">
        <f t="shared" si="483"/>
        <v>AtkExt</v>
      </c>
      <c r="GG472" s="14">
        <f t="shared" si="484"/>
        <v>20</v>
      </c>
      <c r="GH472" s="14">
        <f t="shared" si="485"/>
        <v>3</v>
      </c>
      <c r="GI472" s="14" t="str">
        <f t="shared" si="486"/>
        <v>HPExt</v>
      </c>
      <c r="GJ472" s="14">
        <f t="shared" si="487"/>
        <v>160</v>
      </c>
      <c r="GK472" s="14">
        <f t="shared" si="488"/>
        <v>25</v>
      </c>
      <c r="GL472" s="14">
        <f t="shared" si="508"/>
        <v>20140</v>
      </c>
      <c r="GM472" s="14">
        <f t="shared" si="489"/>
        <v>3</v>
      </c>
      <c r="GN472" s="14">
        <f t="shared" si="490"/>
        <v>2014</v>
      </c>
      <c r="GO472" s="25" t="s">
        <v>1471</v>
      </c>
      <c r="GP472" s="14">
        <f t="shared" si="509"/>
        <v>75</v>
      </c>
      <c r="GQ472" s="30"/>
      <c r="HK472" s="13">
        <v>467</v>
      </c>
      <c r="HL472" s="14">
        <f t="shared" si="520"/>
        <v>20</v>
      </c>
      <c r="HM472" s="14">
        <f t="shared" si="521"/>
        <v>2</v>
      </c>
      <c r="HN472" s="14">
        <f t="shared" si="522"/>
        <v>9</v>
      </c>
      <c r="HO472" s="14">
        <f t="shared" si="523"/>
        <v>3</v>
      </c>
      <c r="HP472" s="14" t="str">
        <f t="shared" si="524"/>
        <v>130级守护灵洗练-Q3-11</v>
      </c>
      <c r="HQ472" s="14">
        <f t="shared" si="525"/>
        <v>2093</v>
      </c>
      <c r="HR472" s="14">
        <f t="shared" si="526"/>
        <v>11</v>
      </c>
      <c r="HS472" s="14">
        <f t="shared" si="527"/>
        <v>500</v>
      </c>
      <c r="HT472" s="14" t="str">
        <f t="shared" si="528"/>
        <v>EffectHit</v>
      </c>
      <c r="HU472" s="14">
        <f t="shared" si="529"/>
        <v>1.7999999999999999E-2</v>
      </c>
      <c r="HV472" s="14">
        <f t="shared" si="530"/>
        <v>0.05</v>
      </c>
    </row>
    <row r="473" spans="151:230" ht="16.5" x14ac:dyDescent="0.2">
      <c r="EU473" s="13">
        <v>468</v>
      </c>
      <c r="EV473" s="14">
        <f t="shared" si="510"/>
        <v>2</v>
      </c>
      <c r="EW473" s="14">
        <f t="shared" si="478"/>
        <v>33</v>
      </c>
      <c r="EX473" s="14">
        <f t="shared" si="511"/>
        <v>5</v>
      </c>
      <c r="EY473" s="14">
        <f t="shared" si="479"/>
        <v>43</v>
      </c>
      <c r="EZ473" s="14">
        <f t="shared" si="491"/>
        <v>12</v>
      </c>
      <c r="FA473" s="14">
        <f t="shared" si="492"/>
        <v>15</v>
      </c>
      <c r="FB473" s="14">
        <f t="shared" si="493"/>
        <v>4</v>
      </c>
      <c r="FC473" s="14">
        <f t="shared" si="494"/>
        <v>1</v>
      </c>
      <c r="FD473" s="14">
        <f t="shared" si="495"/>
        <v>1</v>
      </c>
      <c r="FE473" s="14" t="b">
        <f t="shared" si="512"/>
        <v>1</v>
      </c>
      <c r="FF473" s="14">
        <f t="shared" si="496"/>
        <v>2101431</v>
      </c>
      <c r="FG473" s="13" t="str">
        <f t="shared" si="497"/>
        <v>15级-新手套守护灵の灵器</v>
      </c>
      <c r="FH473" s="14">
        <f t="shared" si="498"/>
        <v>2</v>
      </c>
      <c r="FI473" s="14">
        <f t="shared" si="499"/>
        <v>4</v>
      </c>
      <c r="FJ473" s="14">
        <f t="shared" si="500"/>
        <v>15</v>
      </c>
      <c r="FK473" s="14">
        <v>34</v>
      </c>
      <c r="FL473" s="14">
        <f t="shared" si="501"/>
        <v>1</v>
      </c>
      <c r="FM473" s="14">
        <f t="shared" si="480"/>
        <v>1</v>
      </c>
      <c r="FN473" s="14">
        <f t="shared" si="502"/>
        <v>210143</v>
      </c>
      <c r="FO473" s="14">
        <f t="shared" si="481"/>
        <v>75</v>
      </c>
      <c r="FP473" s="14">
        <f t="shared" si="513"/>
        <v>65</v>
      </c>
      <c r="FQ473" s="14">
        <f t="shared" si="514"/>
        <v>0</v>
      </c>
      <c r="FR473" s="14">
        <f t="shared" si="515"/>
        <v>0</v>
      </c>
      <c r="FS473" s="14">
        <f t="shared" si="516"/>
        <v>10</v>
      </c>
      <c r="FT473" s="14">
        <f t="shared" si="517"/>
        <v>0</v>
      </c>
      <c r="FU473" s="14">
        <f t="shared" si="518"/>
        <v>0</v>
      </c>
      <c r="FV473" s="14">
        <f t="shared" si="503"/>
        <v>2014</v>
      </c>
      <c r="FW473" s="14">
        <f t="shared" si="504"/>
        <v>3</v>
      </c>
      <c r="FX473" s="14">
        <f t="shared" si="505"/>
        <v>2014</v>
      </c>
      <c r="FY473" s="25" t="str">
        <f t="shared" si="519"/>
        <v>icon_2101431</v>
      </c>
      <c r="GC473" s="14">
        <f t="shared" si="506"/>
        <v>1</v>
      </c>
      <c r="GD473" s="14">
        <f t="shared" si="507"/>
        <v>0</v>
      </c>
      <c r="GE473" s="14">
        <f t="shared" si="482"/>
        <v>75</v>
      </c>
      <c r="GF473" s="14" t="str">
        <f t="shared" si="483"/>
        <v>AtkExt</v>
      </c>
      <c r="GG473" s="14">
        <f t="shared" si="484"/>
        <v>65</v>
      </c>
      <c r="GH473" s="14">
        <f t="shared" si="485"/>
        <v>10</v>
      </c>
      <c r="GI473" s="14" t="str">
        <f t="shared" si="486"/>
        <v/>
      </c>
      <c r="GJ473" s="14" t="str">
        <f t="shared" si="487"/>
        <v/>
      </c>
      <c r="GK473" s="14" t="str">
        <f t="shared" si="488"/>
        <v/>
      </c>
      <c r="GL473" s="14">
        <f t="shared" si="508"/>
        <v>20140</v>
      </c>
      <c r="GM473" s="14">
        <f t="shared" si="489"/>
        <v>3</v>
      </c>
      <c r="GN473" s="14">
        <f t="shared" si="490"/>
        <v>2014</v>
      </c>
      <c r="GO473" s="25" t="s">
        <v>1471</v>
      </c>
      <c r="GP473" s="14">
        <f t="shared" si="509"/>
        <v>100</v>
      </c>
      <c r="GQ473" s="30"/>
      <c r="HK473" s="13">
        <v>468</v>
      </c>
      <c r="HL473" s="14">
        <f t="shared" si="520"/>
        <v>20</v>
      </c>
      <c r="HM473" s="14">
        <f t="shared" si="521"/>
        <v>2</v>
      </c>
      <c r="HN473" s="14">
        <f t="shared" si="522"/>
        <v>9</v>
      </c>
      <c r="HO473" s="14">
        <f t="shared" si="523"/>
        <v>3</v>
      </c>
      <c r="HP473" s="14" t="str">
        <f t="shared" si="524"/>
        <v>130级守护灵洗练-Q3-12</v>
      </c>
      <c r="HQ473" s="14">
        <f t="shared" si="525"/>
        <v>2093</v>
      </c>
      <c r="HR473" s="14">
        <f t="shared" si="526"/>
        <v>12</v>
      </c>
      <c r="HS473" s="14">
        <f t="shared" si="527"/>
        <v>500</v>
      </c>
      <c r="HT473" s="14" t="str">
        <f t="shared" si="528"/>
        <v>EffectResist</v>
      </c>
      <c r="HU473" s="14">
        <f t="shared" si="529"/>
        <v>1.7999999999999999E-2</v>
      </c>
      <c r="HV473" s="14">
        <f t="shared" si="530"/>
        <v>0.05</v>
      </c>
    </row>
    <row r="474" spans="151:230" ht="16.5" x14ac:dyDescent="0.2">
      <c r="EU474" s="13">
        <v>469</v>
      </c>
      <c r="EV474" s="14">
        <f t="shared" si="510"/>
        <v>2</v>
      </c>
      <c r="EW474" s="14">
        <f t="shared" si="478"/>
        <v>34</v>
      </c>
      <c r="EX474" s="14">
        <f t="shared" si="511"/>
        <v>5</v>
      </c>
      <c r="EY474" s="14">
        <f t="shared" si="479"/>
        <v>43</v>
      </c>
      <c r="EZ474" s="14">
        <f t="shared" si="491"/>
        <v>12</v>
      </c>
      <c r="FA474" s="14">
        <f t="shared" si="492"/>
        <v>15</v>
      </c>
      <c r="FB474" s="14">
        <f t="shared" si="493"/>
        <v>4</v>
      </c>
      <c r="FC474" s="14">
        <f t="shared" si="494"/>
        <v>2</v>
      </c>
      <c r="FD474" s="14">
        <f t="shared" si="495"/>
        <v>2</v>
      </c>
      <c r="FE474" s="14" t="b">
        <f t="shared" si="512"/>
        <v>1</v>
      </c>
      <c r="FF474" s="14">
        <f t="shared" si="496"/>
        <v>2101432</v>
      </c>
      <c r="FG474" s="13" t="str">
        <f t="shared" si="497"/>
        <v>15级-新手套守护灵の头盔</v>
      </c>
      <c r="FH474" s="14">
        <f t="shared" si="498"/>
        <v>2</v>
      </c>
      <c r="FI474" s="14">
        <f t="shared" si="499"/>
        <v>4</v>
      </c>
      <c r="FJ474" s="14">
        <f t="shared" si="500"/>
        <v>15</v>
      </c>
      <c r="FK474" s="14">
        <v>35</v>
      </c>
      <c r="FL474" s="14">
        <f t="shared" si="501"/>
        <v>1</v>
      </c>
      <c r="FM474" s="14">
        <f t="shared" si="480"/>
        <v>2</v>
      </c>
      <c r="FN474" s="14">
        <f t="shared" si="502"/>
        <v>210143</v>
      </c>
      <c r="FO474" s="14">
        <f t="shared" si="481"/>
        <v>45</v>
      </c>
      <c r="FP474" s="14">
        <f t="shared" si="513"/>
        <v>0</v>
      </c>
      <c r="FQ474" s="14">
        <f t="shared" si="514"/>
        <v>15</v>
      </c>
      <c r="FR474" s="14">
        <f t="shared" si="515"/>
        <v>0</v>
      </c>
      <c r="FS474" s="14">
        <f t="shared" si="516"/>
        <v>0</v>
      </c>
      <c r="FT474" s="14">
        <f t="shared" si="517"/>
        <v>3</v>
      </c>
      <c r="FU474" s="14">
        <f t="shared" si="518"/>
        <v>0</v>
      </c>
      <c r="FV474" s="14">
        <f t="shared" si="503"/>
        <v>2014</v>
      </c>
      <c r="FW474" s="14">
        <f t="shared" si="504"/>
        <v>3</v>
      </c>
      <c r="FX474" s="14">
        <f t="shared" si="505"/>
        <v>2014</v>
      </c>
      <c r="FY474" s="25" t="str">
        <f t="shared" si="519"/>
        <v>icon_2101432</v>
      </c>
      <c r="GC474" s="14">
        <f t="shared" si="506"/>
        <v>2</v>
      </c>
      <c r="GD474" s="14">
        <f t="shared" si="507"/>
        <v>0</v>
      </c>
      <c r="GE474" s="14">
        <f t="shared" si="482"/>
        <v>45</v>
      </c>
      <c r="GF474" s="14" t="str">
        <f t="shared" si="483"/>
        <v>DefExt</v>
      </c>
      <c r="GG474" s="14">
        <f t="shared" si="484"/>
        <v>15</v>
      </c>
      <c r="GH474" s="14">
        <f t="shared" si="485"/>
        <v>3</v>
      </c>
      <c r="GI474" s="14" t="str">
        <f t="shared" si="486"/>
        <v/>
      </c>
      <c r="GJ474" s="14" t="str">
        <f t="shared" si="487"/>
        <v/>
      </c>
      <c r="GK474" s="14" t="str">
        <f t="shared" si="488"/>
        <v/>
      </c>
      <c r="GL474" s="14">
        <f t="shared" si="508"/>
        <v>20140</v>
      </c>
      <c r="GM474" s="14">
        <f t="shared" si="489"/>
        <v>3</v>
      </c>
      <c r="GN474" s="14">
        <f t="shared" si="490"/>
        <v>2014</v>
      </c>
      <c r="GO474" s="25" t="s">
        <v>1471</v>
      </c>
      <c r="GP474" s="14">
        <f t="shared" si="509"/>
        <v>50</v>
      </c>
      <c r="GQ474" s="30"/>
      <c r="HK474" s="13">
        <v>469</v>
      </c>
      <c r="HL474" s="14">
        <f t="shared" si="520"/>
        <v>20</v>
      </c>
      <c r="HM474" s="14">
        <f t="shared" si="521"/>
        <v>2</v>
      </c>
      <c r="HN474" s="14">
        <f t="shared" si="522"/>
        <v>9</v>
      </c>
      <c r="HO474" s="14">
        <f t="shared" si="523"/>
        <v>4</v>
      </c>
      <c r="HP474" s="14" t="str">
        <f t="shared" si="524"/>
        <v>130级守护灵洗练-Q4-1</v>
      </c>
      <c r="HQ474" s="14">
        <f t="shared" si="525"/>
        <v>2094</v>
      </c>
      <c r="HR474" s="14">
        <f t="shared" si="526"/>
        <v>1</v>
      </c>
      <c r="HS474" s="14">
        <f t="shared" si="527"/>
        <v>1800</v>
      </c>
      <c r="HT474" s="14" t="str">
        <f t="shared" si="528"/>
        <v>AtkExt</v>
      </c>
      <c r="HU474" s="14">
        <f t="shared" si="529"/>
        <v>318</v>
      </c>
      <c r="HV474" s="14">
        <f t="shared" si="530"/>
        <v>910</v>
      </c>
    </row>
    <row r="475" spans="151:230" ht="16.5" x14ac:dyDescent="0.2">
      <c r="EU475" s="13">
        <v>470</v>
      </c>
      <c r="EV475" s="14">
        <f t="shared" si="510"/>
        <v>2</v>
      </c>
      <c r="EW475" s="14">
        <f t="shared" si="478"/>
        <v>35</v>
      </c>
      <c r="EX475" s="14">
        <f t="shared" si="511"/>
        <v>5</v>
      </c>
      <c r="EY475" s="14">
        <f t="shared" si="479"/>
        <v>43</v>
      </c>
      <c r="EZ475" s="14">
        <f t="shared" si="491"/>
        <v>12</v>
      </c>
      <c r="FA475" s="14">
        <f t="shared" si="492"/>
        <v>15</v>
      </c>
      <c r="FB475" s="14">
        <f t="shared" si="493"/>
        <v>4</v>
      </c>
      <c r="FC475" s="14">
        <f t="shared" si="494"/>
        <v>3</v>
      </c>
      <c r="FD475" s="14">
        <f t="shared" si="495"/>
        <v>3</v>
      </c>
      <c r="FE475" s="14" t="b">
        <f t="shared" si="512"/>
        <v>1</v>
      </c>
      <c r="FF475" s="14">
        <f t="shared" si="496"/>
        <v>2101433</v>
      </c>
      <c r="FG475" s="13" t="str">
        <f t="shared" si="497"/>
        <v>15级-新手套守护灵の铠甲</v>
      </c>
      <c r="FH475" s="14">
        <f t="shared" si="498"/>
        <v>2</v>
      </c>
      <c r="FI475" s="14">
        <f t="shared" si="499"/>
        <v>4</v>
      </c>
      <c r="FJ475" s="14">
        <f t="shared" si="500"/>
        <v>15</v>
      </c>
      <c r="FK475" s="14">
        <v>36</v>
      </c>
      <c r="FL475" s="14">
        <f t="shared" si="501"/>
        <v>1</v>
      </c>
      <c r="FM475" s="14">
        <f t="shared" si="480"/>
        <v>3</v>
      </c>
      <c r="FN475" s="14">
        <f t="shared" si="502"/>
        <v>210143</v>
      </c>
      <c r="FO475" s="14">
        <f t="shared" si="481"/>
        <v>37</v>
      </c>
      <c r="FP475" s="14">
        <f t="shared" si="513"/>
        <v>0</v>
      </c>
      <c r="FQ475" s="14">
        <f t="shared" si="514"/>
        <v>10</v>
      </c>
      <c r="FR475" s="14">
        <f t="shared" si="515"/>
        <v>95</v>
      </c>
      <c r="FS475" s="14">
        <f t="shared" si="516"/>
        <v>0</v>
      </c>
      <c r="FT475" s="14">
        <f t="shared" si="517"/>
        <v>1</v>
      </c>
      <c r="FU475" s="14">
        <f t="shared" si="518"/>
        <v>15</v>
      </c>
      <c r="FV475" s="14">
        <f t="shared" si="503"/>
        <v>2014</v>
      </c>
      <c r="FW475" s="14">
        <f t="shared" si="504"/>
        <v>3</v>
      </c>
      <c r="FX475" s="14">
        <f t="shared" si="505"/>
        <v>2014</v>
      </c>
      <c r="FY475" s="25" t="str">
        <f t="shared" si="519"/>
        <v>icon_2101433</v>
      </c>
      <c r="GC475" s="14">
        <f t="shared" si="506"/>
        <v>2</v>
      </c>
      <c r="GD475" s="14">
        <f t="shared" si="507"/>
        <v>3</v>
      </c>
      <c r="GE475" s="14">
        <f t="shared" si="482"/>
        <v>37</v>
      </c>
      <c r="GF475" s="14" t="str">
        <f t="shared" si="483"/>
        <v>DefExt</v>
      </c>
      <c r="GG475" s="14">
        <f t="shared" si="484"/>
        <v>10</v>
      </c>
      <c r="GH475" s="14">
        <f t="shared" si="485"/>
        <v>1</v>
      </c>
      <c r="GI475" s="14" t="str">
        <f t="shared" si="486"/>
        <v>HPExt</v>
      </c>
      <c r="GJ475" s="14">
        <f t="shared" si="487"/>
        <v>95</v>
      </c>
      <c r="GK475" s="14">
        <f t="shared" si="488"/>
        <v>15</v>
      </c>
      <c r="GL475" s="14">
        <f t="shared" si="508"/>
        <v>20140</v>
      </c>
      <c r="GM475" s="14">
        <f t="shared" si="489"/>
        <v>3</v>
      </c>
      <c r="GN475" s="14">
        <f t="shared" si="490"/>
        <v>2014</v>
      </c>
      <c r="GO475" s="25" t="s">
        <v>1471</v>
      </c>
      <c r="GP475" s="14">
        <f t="shared" si="509"/>
        <v>50</v>
      </c>
      <c r="GQ475" s="30"/>
      <c r="HK475" s="13">
        <v>470</v>
      </c>
      <c r="HL475" s="14">
        <f t="shared" si="520"/>
        <v>20</v>
      </c>
      <c r="HM475" s="14">
        <f t="shared" si="521"/>
        <v>2</v>
      </c>
      <c r="HN475" s="14">
        <f t="shared" si="522"/>
        <v>9</v>
      </c>
      <c r="HO475" s="14">
        <f t="shared" si="523"/>
        <v>4</v>
      </c>
      <c r="HP475" s="14" t="str">
        <f t="shared" si="524"/>
        <v>130级守护灵洗练-Q4-2</v>
      </c>
      <c r="HQ475" s="14">
        <f t="shared" si="525"/>
        <v>2094</v>
      </c>
      <c r="HR475" s="14">
        <f t="shared" si="526"/>
        <v>2</v>
      </c>
      <c r="HS475" s="14">
        <f t="shared" si="527"/>
        <v>1800</v>
      </c>
      <c r="HT475" s="14" t="str">
        <f t="shared" si="528"/>
        <v>DefExt</v>
      </c>
      <c r="HU475" s="14">
        <f t="shared" si="529"/>
        <v>116</v>
      </c>
      <c r="HV475" s="14">
        <f t="shared" si="530"/>
        <v>332</v>
      </c>
    </row>
    <row r="476" spans="151:230" ht="16.5" x14ac:dyDescent="0.2">
      <c r="EU476" s="13">
        <v>471</v>
      </c>
      <c r="EV476" s="14">
        <f t="shared" si="510"/>
        <v>2</v>
      </c>
      <c r="EW476" s="14">
        <f t="shared" si="478"/>
        <v>36</v>
      </c>
      <c r="EX476" s="14">
        <f t="shared" si="511"/>
        <v>5</v>
      </c>
      <c r="EY476" s="14">
        <f t="shared" si="479"/>
        <v>43</v>
      </c>
      <c r="EZ476" s="14">
        <f t="shared" si="491"/>
        <v>12</v>
      </c>
      <c r="FA476" s="14">
        <f t="shared" si="492"/>
        <v>15</v>
      </c>
      <c r="FB476" s="14">
        <f t="shared" si="493"/>
        <v>4</v>
      </c>
      <c r="FC476" s="14">
        <f t="shared" si="494"/>
        <v>4</v>
      </c>
      <c r="FD476" s="14">
        <f t="shared" si="495"/>
        <v>4</v>
      </c>
      <c r="FE476" s="14" t="b">
        <f t="shared" si="512"/>
        <v>1</v>
      </c>
      <c r="FF476" s="14">
        <f t="shared" si="496"/>
        <v>2101434</v>
      </c>
      <c r="FG476" s="13" t="str">
        <f t="shared" si="497"/>
        <v>15级-新手套守护灵の裤子</v>
      </c>
      <c r="FH476" s="14">
        <f t="shared" si="498"/>
        <v>2</v>
      </c>
      <c r="FI476" s="14">
        <f t="shared" si="499"/>
        <v>4</v>
      </c>
      <c r="FJ476" s="14">
        <f t="shared" si="500"/>
        <v>15</v>
      </c>
      <c r="FK476" s="14">
        <v>37</v>
      </c>
      <c r="FL476" s="14">
        <f t="shared" si="501"/>
        <v>1</v>
      </c>
      <c r="FM476" s="14">
        <f t="shared" si="480"/>
        <v>4</v>
      </c>
      <c r="FN476" s="14">
        <f t="shared" si="502"/>
        <v>210143</v>
      </c>
      <c r="FO476" s="14">
        <f t="shared" si="481"/>
        <v>45</v>
      </c>
      <c r="FP476" s="14">
        <f t="shared" si="513"/>
        <v>0</v>
      </c>
      <c r="FQ476" s="14">
        <f t="shared" si="514"/>
        <v>15</v>
      </c>
      <c r="FR476" s="14">
        <f t="shared" si="515"/>
        <v>0</v>
      </c>
      <c r="FS476" s="14">
        <f t="shared" si="516"/>
        <v>0</v>
      </c>
      <c r="FT476" s="14">
        <f t="shared" si="517"/>
        <v>3</v>
      </c>
      <c r="FU476" s="14">
        <f t="shared" si="518"/>
        <v>0</v>
      </c>
      <c r="FV476" s="14">
        <f t="shared" si="503"/>
        <v>2014</v>
      </c>
      <c r="FW476" s="14">
        <f t="shared" si="504"/>
        <v>3</v>
      </c>
      <c r="FX476" s="14">
        <f t="shared" si="505"/>
        <v>2014</v>
      </c>
      <c r="FY476" s="25" t="str">
        <f t="shared" si="519"/>
        <v>icon_2101434</v>
      </c>
      <c r="GC476" s="14">
        <f t="shared" si="506"/>
        <v>2</v>
      </c>
      <c r="GD476" s="14">
        <f t="shared" si="507"/>
        <v>0</v>
      </c>
      <c r="GE476" s="14">
        <f t="shared" si="482"/>
        <v>45</v>
      </c>
      <c r="GF476" s="14" t="str">
        <f t="shared" si="483"/>
        <v>DefExt</v>
      </c>
      <c r="GG476" s="14">
        <f t="shared" si="484"/>
        <v>15</v>
      </c>
      <c r="GH476" s="14">
        <f t="shared" si="485"/>
        <v>3</v>
      </c>
      <c r="GI476" s="14" t="str">
        <f t="shared" si="486"/>
        <v/>
      </c>
      <c r="GJ476" s="14" t="str">
        <f t="shared" si="487"/>
        <v/>
      </c>
      <c r="GK476" s="14" t="str">
        <f t="shared" si="488"/>
        <v/>
      </c>
      <c r="GL476" s="14">
        <f t="shared" si="508"/>
        <v>20140</v>
      </c>
      <c r="GM476" s="14">
        <f t="shared" si="489"/>
        <v>3</v>
      </c>
      <c r="GN476" s="14">
        <f t="shared" si="490"/>
        <v>2014</v>
      </c>
      <c r="GO476" s="25" t="s">
        <v>1471</v>
      </c>
      <c r="GP476" s="14">
        <f t="shared" si="509"/>
        <v>50</v>
      </c>
      <c r="GQ476" s="30"/>
      <c r="HK476" s="13">
        <v>471</v>
      </c>
      <c r="HL476" s="14">
        <f t="shared" si="520"/>
        <v>20</v>
      </c>
      <c r="HM476" s="14">
        <f t="shared" si="521"/>
        <v>2</v>
      </c>
      <c r="HN476" s="14">
        <f t="shared" si="522"/>
        <v>9</v>
      </c>
      <c r="HO476" s="14">
        <f t="shared" si="523"/>
        <v>4</v>
      </c>
      <c r="HP476" s="14" t="str">
        <f t="shared" si="524"/>
        <v>130级守护灵洗练-Q4-3</v>
      </c>
      <c r="HQ476" s="14">
        <f t="shared" si="525"/>
        <v>2094</v>
      </c>
      <c r="HR476" s="14">
        <f t="shared" si="526"/>
        <v>3</v>
      </c>
      <c r="HS476" s="14">
        <f t="shared" si="527"/>
        <v>2000</v>
      </c>
      <c r="HT476" s="14" t="str">
        <f t="shared" si="528"/>
        <v>HPExt</v>
      </c>
      <c r="HU476" s="14">
        <f t="shared" si="529"/>
        <v>2834</v>
      </c>
      <c r="HV476" s="14">
        <f t="shared" si="530"/>
        <v>8099</v>
      </c>
    </row>
    <row r="477" spans="151:230" ht="16.5" x14ac:dyDescent="0.2">
      <c r="EU477" s="13">
        <v>472</v>
      </c>
      <c r="EV477" s="14">
        <f t="shared" si="510"/>
        <v>2</v>
      </c>
      <c r="EW477" s="14">
        <f t="shared" si="478"/>
        <v>37</v>
      </c>
      <c r="EX477" s="14">
        <f t="shared" si="511"/>
        <v>5</v>
      </c>
      <c r="EY477" s="14">
        <f t="shared" si="479"/>
        <v>43</v>
      </c>
      <c r="EZ477" s="14">
        <f t="shared" si="491"/>
        <v>12</v>
      </c>
      <c r="FA477" s="14">
        <f t="shared" si="492"/>
        <v>15</v>
      </c>
      <c r="FB477" s="14">
        <f t="shared" si="493"/>
        <v>4</v>
      </c>
      <c r="FC477" s="14">
        <f t="shared" si="494"/>
        <v>5</v>
      </c>
      <c r="FD477" s="14">
        <f t="shared" si="495"/>
        <v>5</v>
      </c>
      <c r="FE477" s="14" t="b">
        <f t="shared" si="512"/>
        <v>1</v>
      </c>
      <c r="FF477" s="14">
        <f t="shared" si="496"/>
        <v>2101435</v>
      </c>
      <c r="FG477" s="13" t="str">
        <f t="shared" si="497"/>
        <v>15级-新手套守护灵の鞋子</v>
      </c>
      <c r="FH477" s="14">
        <f t="shared" si="498"/>
        <v>2</v>
      </c>
      <c r="FI477" s="14">
        <f t="shared" si="499"/>
        <v>4</v>
      </c>
      <c r="FJ477" s="14">
        <f t="shared" si="500"/>
        <v>15</v>
      </c>
      <c r="FK477" s="14">
        <v>38</v>
      </c>
      <c r="FL477" s="14">
        <f t="shared" si="501"/>
        <v>1</v>
      </c>
      <c r="FM477" s="14">
        <f t="shared" si="480"/>
        <v>5</v>
      </c>
      <c r="FN477" s="14">
        <f t="shared" si="502"/>
        <v>210143</v>
      </c>
      <c r="FO477" s="14">
        <f t="shared" si="481"/>
        <v>45</v>
      </c>
      <c r="FP477" s="14">
        <f t="shared" si="513"/>
        <v>0</v>
      </c>
      <c r="FQ477" s="14">
        <f t="shared" si="514"/>
        <v>0</v>
      </c>
      <c r="FR477" s="14">
        <f t="shared" si="515"/>
        <v>195</v>
      </c>
      <c r="FS477" s="14">
        <f t="shared" si="516"/>
        <v>0</v>
      </c>
      <c r="FT477" s="14">
        <f t="shared" si="517"/>
        <v>0</v>
      </c>
      <c r="FU477" s="14">
        <f t="shared" si="518"/>
        <v>30</v>
      </c>
      <c r="FV477" s="14">
        <f t="shared" si="503"/>
        <v>2014</v>
      </c>
      <c r="FW477" s="14">
        <f t="shared" si="504"/>
        <v>3</v>
      </c>
      <c r="FX477" s="14">
        <f t="shared" si="505"/>
        <v>2014</v>
      </c>
      <c r="FY477" s="25" t="str">
        <f t="shared" si="519"/>
        <v>icon_2101435</v>
      </c>
      <c r="GC477" s="14">
        <f t="shared" si="506"/>
        <v>3</v>
      </c>
      <c r="GD477" s="14">
        <f t="shared" si="507"/>
        <v>0</v>
      </c>
      <c r="GE477" s="14">
        <f t="shared" si="482"/>
        <v>45</v>
      </c>
      <c r="GF477" s="14" t="str">
        <f t="shared" si="483"/>
        <v>HPExt</v>
      </c>
      <c r="GG477" s="14">
        <f t="shared" si="484"/>
        <v>195</v>
      </c>
      <c r="GH477" s="14">
        <f t="shared" si="485"/>
        <v>30</v>
      </c>
      <c r="GI477" s="14" t="str">
        <f t="shared" si="486"/>
        <v/>
      </c>
      <c r="GJ477" s="14" t="str">
        <f t="shared" si="487"/>
        <v/>
      </c>
      <c r="GK477" s="14" t="str">
        <f t="shared" si="488"/>
        <v/>
      </c>
      <c r="GL477" s="14">
        <f t="shared" si="508"/>
        <v>20140</v>
      </c>
      <c r="GM477" s="14">
        <f t="shared" si="489"/>
        <v>3</v>
      </c>
      <c r="GN477" s="14">
        <f t="shared" si="490"/>
        <v>2014</v>
      </c>
      <c r="GO477" s="25" t="s">
        <v>1471</v>
      </c>
      <c r="GP477" s="14">
        <f t="shared" si="509"/>
        <v>50</v>
      </c>
      <c r="GQ477" s="30"/>
      <c r="HK477" s="13">
        <v>472</v>
      </c>
      <c r="HL477" s="14">
        <f t="shared" si="520"/>
        <v>20</v>
      </c>
      <c r="HM477" s="14">
        <f t="shared" si="521"/>
        <v>2</v>
      </c>
      <c r="HN477" s="14">
        <f t="shared" si="522"/>
        <v>9</v>
      </c>
      <c r="HO477" s="14">
        <f t="shared" si="523"/>
        <v>4</v>
      </c>
      <c r="HP477" s="14" t="str">
        <f t="shared" si="524"/>
        <v>130级守护灵洗练-Q4-4</v>
      </c>
      <c r="HQ477" s="14">
        <f t="shared" si="525"/>
        <v>2094</v>
      </c>
      <c r="HR477" s="14">
        <f t="shared" si="526"/>
        <v>4</v>
      </c>
      <c r="HS477" s="14">
        <f t="shared" si="527"/>
        <v>500</v>
      </c>
      <c r="HT477" s="14" t="str">
        <f t="shared" si="528"/>
        <v>AtkRate</v>
      </c>
      <c r="HU477" s="14">
        <f t="shared" si="529"/>
        <v>1.4E-2</v>
      </c>
      <c r="HV477" s="14">
        <f t="shared" si="530"/>
        <v>0.04</v>
      </c>
    </row>
    <row r="478" spans="151:230" ht="16.5" x14ac:dyDescent="0.2">
      <c r="EU478" s="13">
        <v>473</v>
      </c>
      <c r="EV478" s="14">
        <f t="shared" si="510"/>
        <v>2</v>
      </c>
      <c r="EW478" s="14">
        <f t="shared" si="478"/>
        <v>38</v>
      </c>
      <c r="EX478" s="14">
        <f t="shared" si="511"/>
        <v>5</v>
      </c>
      <c r="EY478" s="14">
        <f t="shared" si="479"/>
        <v>43</v>
      </c>
      <c r="EZ478" s="14">
        <f t="shared" si="491"/>
        <v>12</v>
      </c>
      <c r="FA478" s="14">
        <f t="shared" si="492"/>
        <v>15</v>
      </c>
      <c r="FB478" s="14">
        <f t="shared" si="493"/>
        <v>4</v>
      </c>
      <c r="FC478" s="14">
        <f t="shared" si="494"/>
        <v>6</v>
      </c>
      <c r="FD478" s="14">
        <f t="shared" si="495"/>
        <v>6</v>
      </c>
      <c r="FE478" s="14" t="b">
        <f t="shared" si="512"/>
        <v>1</v>
      </c>
      <c r="FF478" s="14">
        <f t="shared" si="496"/>
        <v>2101436</v>
      </c>
      <c r="FG478" s="13" t="str">
        <f t="shared" si="497"/>
        <v>15级-新手套守护灵の护手</v>
      </c>
      <c r="FH478" s="14">
        <f t="shared" si="498"/>
        <v>2</v>
      </c>
      <c r="FI478" s="14">
        <f t="shared" si="499"/>
        <v>4</v>
      </c>
      <c r="FJ478" s="14">
        <f t="shared" si="500"/>
        <v>15</v>
      </c>
      <c r="FK478" s="14">
        <v>39</v>
      </c>
      <c r="FL478" s="14">
        <f t="shared" si="501"/>
        <v>1</v>
      </c>
      <c r="FM478" s="14">
        <f t="shared" si="480"/>
        <v>6</v>
      </c>
      <c r="FN478" s="14">
        <f t="shared" si="502"/>
        <v>210143</v>
      </c>
      <c r="FO478" s="14">
        <f t="shared" si="481"/>
        <v>45</v>
      </c>
      <c r="FP478" s="14">
        <f t="shared" si="513"/>
        <v>0</v>
      </c>
      <c r="FQ478" s="14">
        <f t="shared" si="514"/>
        <v>0</v>
      </c>
      <c r="FR478" s="14">
        <f t="shared" si="515"/>
        <v>195</v>
      </c>
      <c r="FS478" s="14">
        <f t="shared" si="516"/>
        <v>0</v>
      </c>
      <c r="FT478" s="14">
        <f t="shared" si="517"/>
        <v>0</v>
      </c>
      <c r="FU478" s="14">
        <f t="shared" si="518"/>
        <v>30</v>
      </c>
      <c r="FV478" s="14">
        <f t="shared" si="503"/>
        <v>2014</v>
      </c>
      <c r="FW478" s="14">
        <f t="shared" si="504"/>
        <v>3</v>
      </c>
      <c r="FX478" s="14">
        <f t="shared" si="505"/>
        <v>2014</v>
      </c>
      <c r="FY478" s="25" t="str">
        <f t="shared" si="519"/>
        <v>icon_2101436</v>
      </c>
      <c r="GC478" s="14">
        <f t="shared" si="506"/>
        <v>3</v>
      </c>
      <c r="GD478" s="14">
        <f t="shared" si="507"/>
        <v>0</v>
      </c>
      <c r="GE478" s="14">
        <f t="shared" si="482"/>
        <v>45</v>
      </c>
      <c r="GF478" s="14" t="str">
        <f t="shared" si="483"/>
        <v>HPExt</v>
      </c>
      <c r="GG478" s="14">
        <f t="shared" si="484"/>
        <v>195</v>
      </c>
      <c r="GH478" s="14">
        <f t="shared" si="485"/>
        <v>30</v>
      </c>
      <c r="GI478" s="14" t="str">
        <f t="shared" si="486"/>
        <v/>
      </c>
      <c r="GJ478" s="14" t="str">
        <f t="shared" si="487"/>
        <v/>
      </c>
      <c r="GK478" s="14" t="str">
        <f t="shared" si="488"/>
        <v/>
      </c>
      <c r="GL478" s="14">
        <f t="shared" si="508"/>
        <v>20140</v>
      </c>
      <c r="GM478" s="14">
        <f t="shared" si="489"/>
        <v>3</v>
      </c>
      <c r="GN478" s="14">
        <f t="shared" si="490"/>
        <v>2014</v>
      </c>
      <c r="GO478" s="25" t="s">
        <v>1471</v>
      </c>
      <c r="GP478" s="14">
        <f t="shared" si="509"/>
        <v>50</v>
      </c>
      <c r="GQ478" s="30"/>
      <c r="HK478" s="13">
        <v>473</v>
      </c>
      <c r="HL478" s="14">
        <f t="shared" si="520"/>
        <v>20</v>
      </c>
      <c r="HM478" s="14">
        <f t="shared" si="521"/>
        <v>2</v>
      </c>
      <c r="HN478" s="14">
        <f t="shared" si="522"/>
        <v>9</v>
      </c>
      <c r="HO478" s="14">
        <f t="shared" si="523"/>
        <v>4</v>
      </c>
      <c r="HP478" s="14" t="str">
        <f t="shared" si="524"/>
        <v>130级守护灵洗练-Q4-5</v>
      </c>
      <c r="HQ478" s="14">
        <f t="shared" si="525"/>
        <v>2094</v>
      </c>
      <c r="HR478" s="14">
        <f t="shared" si="526"/>
        <v>5</v>
      </c>
      <c r="HS478" s="14">
        <f t="shared" si="527"/>
        <v>400</v>
      </c>
      <c r="HT478" s="14" t="str">
        <f t="shared" si="528"/>
        <v>DefRate</v>
      </c>
      <c r="HU478" s="14">
        <f t="shared" si="529"/>
        <v>1.4E-2</v>
      </c>
      <c r="HV478" s="14">
        <f t="shared" si="530"/>
        <v>0.04</v>
      </c>
    </row>
    <row r="479" spans="151:230" ht="16.5" x14ac:dyDescent="0.2">
      <c r="EU479" s="13">
        <v>474</v>
      </c>
      <c r="EV479" s="14">
        <f t="shared" si="510"/>
        <v>2</v>
      </c>
      <c r="EW479" s="14">
        <f t="shared" si="478"/>
        <v>39</v>
      </c>
      <c r="EX479" s="14">
        <f t="shared" si="511"/>
        <v>5</v>
      </c>
      <c r="EY479" s="14">
        <f t="shared" si="479"/>
        <v>43</v>
      </c>
      <c r="EZ479" s="14">
        <f t="shared" si="491"/>
        <v>12</v>
      </c>
      <c r="FA479" s="14">
        <f t="shared" si="492"/>
        <v>15</v>
      </c>
      <c r="FB479" s="14">
        <f t="shared" si="493"/>
        <v>4</v>
      </c>
      <c r="FC479" s="14">
        <f t="shared" si="494"/>
        <v>7</v>
      </c>
      <c r="FD479" s="14">
        <f t="shared" si="495"/>
        <v>7</v>
      </c>
      <c r="FE479" s="14" t="b">
        <f t="shared" si="512"/>
        <v>1</v>
      </c>
      <c r="FF479" s="14">
        <f t="shared" si="496"/>
        <v>2101437</v>
      </c>
      <c r="FG479" s="13" t="str">
        <f t="shared" si="497"/>
        <v>15级-新手套守护灵の项链</v>
      </c>
      <c r="FH479" s="14">
        <f t="shared" si="498"/>
        <v>2</v>
      </c>
      <c r="FI479" s="14">
        <f t="shared" si="499"/>
        <v>4</v>
      </c>
      <c r="FJ479" s="14">
        <f t="shared" si="500"/>
        <v>15</v>
      </c>
      <c r="FK479" s="14">
        <v>40</v>
      </c>
      <c r="FL479" s="14">
        <f t="shared" si="501"/>
        <v>1</v>
      </c>
      <c r="FM479" s="14">
        <f t="shared" si="480"/>
        <v>7</v>
      </c>
      <c r="FN479" s="14">
        <f t="shared" si="502"/>
        <v>210143</v>
      </c>
      <c r="FO479" s="14">
        <f t="shared" si="481"/>
        <v>52</v>
      </c>
      <c r="FP479" s="14">
        <f t="shared" si="513"/>
        <v>20</v>
      </c>
      <c r="FQ479" s="14">
        <f t="shared" si="514"/>
        <v>15</v>
      </c>
      <c r="FR479" s="14">
        <f t="shared" si="515"/>
        <v>0</v>
      </c>
      <c r="FS479" s="14">
        <f t="shared" si="516"/>
        <v>3</v>
      </c>
      <c r="FT479" s="14">
        <f t="shared" si="517"/>
        <v>2</v>
      </c>
      <c r="FU479" s="14">
        <f t="shared" si="518"/>
        <v>0</v>
      </c>
      <c r="FV479" s="14">
        <f t="shared" si="503"/>
        <v>2014</v>
      </c>
      <c r="FW479" s="14">
        <f t="shared" si="504"/>
        <v>3</v>
      </c>
      <c r="FX479" s="14">
        <f t="shared" si="505"/>
        <v>2014</v>
      </c>
      <c r="FY479" s="25" t="str">
        <f t="shared" si="519"/>
        <v>icon_2101437</v>
      </c>
      <c r="GC479" s="14">
        <f t="shared" si="506"/>
        <v>1</v>
      </c>
      <c r="GD479" s="14">
        <f t="shared" si="507"/>
        <v>2</v>
      </c>
      <c r="GE479" s="14">
        <f t="shared" si="482"/>
        <v>52</v>
      </c>
      <c r="GF479" s="14" t="str">
        <f t="shared" si="483"/>
        <v>AtkExt</v>
      </c>
      <c r="GG479" s="14">
        <f t="shared" si="484"/>
        <v>20</v>
      </c>
      <c r="GH479" s="14">
        <f t="shared" si="485"/>
        <v>3</v>
      </c>
      <c r="GI479" s="14" t="str">
        <f t="shared" si="486"/>
        <v>DefExt</v>
      </c>
      <c r="GJ479" s="14">
        <f t="shared" si="487"/>
        <v>15</v>
      </c>
      <c r="GK479" s="14">
        <f t="shared" si="488"/>
        <v>2</v>
      </c>
      <c r="GL479" s="14">
        <f t="shared" si="508"/>
        <v>20140</v>
      </c>
      <c r="GM479" s="14">
        <f t="shared" si="489"/>
        <v>3</v>
      </c>
      <c r="GN479" s="14">
        <f t="shared" si="490"/>
        <v>2014</v>
      </c>
      <c r="GO479" s="25" t="s">
        <v>1471</v>
      </c>
      <c r="GP479" s="14">
        <f t="shared" si="509"/>
        <v>75</v>
      </c>
      <c r="GQ479" s="30"/>
      <c r="HK479" s="13">
        <v>474</v>
      </c>
      <c r="HL479" s="14">
        <f t="shared" si="520"/>
        <v>20</v>
      </c>
      <c r="HM479" s="14">
        <f t="shared" si="521"/>
        <v>2</v>
      </c>
      <c r="HN479" s="14">
        <f t="shared" si="522"/>
        <v>9</v>
      </c>
      <c r="HO479" s="14">
        <f t="shared" si="523"/>
        <v>4</v>
      </c>
      <c r="HP479" s="14" t="str">
        <f t="shared" si="524"/>
        <v>130级守护灵洗练-Q4-6</v>
      </c>
      <c r="HQ479" s="14">
        <f t="shared" si="525"/>
        <v>2094</v>
      </c>
      <c r="HR479" s="14">
        <f t="shared" si="526"/>
        <v>6</v>
      </c>
      <c r="HS479" s="14">
        <f t="shared" si="527"/>
        <v>500</v>
      </c>
      <c r="HT479" s="14" t="str">
        <f t="shared" si="528"/>
        <v>HPRate</v>
      </c>
      <c r="HU479" s="14">
        <f t="shared" si="529"/>
        <v>1.4E-2</v>
      </c>
      <c r="HV479" s="14">
        <f t="shared" si="530"/>
        <v>0.04</v>
      </c>
    </row>
    <row r="480" spans="151:230" ht="16.5" x14ac:dyDescent="0.2">
      <c r="EU480" s="13">
        <v>475</v>
      </c>
      <c r="EV480" s="14">
        <f t="shared" si="510"/>
        <v>2</v>
      </c>
      <c r="EW480" s="14">
        <f t="shared" si="478"/>
        <v>40</v>
      </c>
      <c r="EX480" s="14">
        <f t="shared" si="511"/>
        <v>5</v>
      </c>
      <c r="EY480" s="14">
        <f t="shared" si="479"/>
        <v>43</v>
      </c>
      <c r="EZ480" s="14">
        <f t="shared" si="491"/>
        <v>12</v>
      </c>
      <c r="FA480" s="14">
        <f t="shared" si="492"/>
        <v>15</v>
      </c>
      <c r="FB480" s="14">
        <f t="shared" si="493"/>
        <v>4</v>
      </c>
      <c r="FC480" s="14">
        <f t="shared" si="494"/>
        <v>8</v>
      </c>
      <c r="FD480" s="14">
        <f t="shared" si="495"/>
        <v>8</v>
      </c>
      <c r="FE480" s="14" t="b">
        <f t="shared" si="512"/>
        <v>1</v>
      </c>
      <c r="FF480" s="14">
        <f t="shared" si="496"/>
        <v>2101438</v>
      </c>
      <c r="FG480" s="13" t="str">
        <f t="shared" si="497"/>
        <v>15级-新手套守护灵の戒指</v>
      </c>
      <c r="FH480" s="14">
        <f t="shared" si="498"/>
        <v>2</v>
      </c>
      <c r="FI480" s="14">
        <f t="shared" si="499"/>
        <v>4</v>
      </c>
      <c r="FJ480" s="14">
        <f t="shared" si="500"/>
        <v>15</v>
      </c>
      <c r="FK480" s="14">
        <v>41</v>
      </c>
      <c r="FL480" s="14">
        <f t="shared" si="501"/>
        <v>1</v>
      </c>
      <c r="FM480" s="14">
        <f t="shared" si="480"/>
        <v>8</v>
      </c>
      <c r="FN480" s="14">
        <f t="shared" si="502"/>
        <v>210143</v>
      </c>
      <c r="FO480" s="14">
        <f t="shared" si="481"/>
        <v>60</v>
      </c>
      <c r="FP480" s="14">
        <f t="shared" si="513"/>
        <v>20</v>
      </c>
      <c r="FQ480" s="14">
        <f t="shared" si="514"/>
        <v>0</v>
      </c>
      <c r="FR480" s="14">
        <f t="shared" si="515"/>
        <v>160</v>
      </c>
      <c r="FS480" s="14">
        <f t="shared" si="516"/>
        <v>3</v>
      </c>
      <c r="FT480" s="14">
        <f t="shared" si="517"/>
        <v>0</v>
      </c>
      <c r="FU480" s="14">
        <f t="shared" si="518"/>
        <v>25</v>
      </c>
      <c r="FV480" s="14">
        <f t="shared" si="503"/>
        <v>2014</v>
      </c>
      <c r="FW480" s="14">
        <f t="shared" si="504"/>
        <v>3</v>
      </c>
      <c r="FX480" s="14">
        <f t="shared" si="505"/>
        <v>2014</v>
      </c>
      <c r="FY480" s="25" t="str">
        <f t="shared" si="519"/>
        <v>icon_2101438</v>
      </c>
      <c r="GC480" s="14">
        <f t="shared" si="506"/>
        <v>1</v>
      </c>
      <c r="GD480" s="14">
        <f t="shared" si="507"/>
        <v>3</v>
      </c>
      <c r="GE480" s="14">
        <f t="shared" si="482"/>
        <v>60</v>
      </c>
      <c r="GF480" s="14" t="str">
        <f t="shared" si="483"/>
        <v>AtkExt</v>
      </c>
      <c r="GG480" s="14">
        <f t="shared" si="484"/>
        <v>20</v>
      </c>
      <c r="GH480" s="14">
        <f t="shared" si="485"/>
        <v>3</v>
      </c>
      <c r="GI480" s="14" t="str">
        <f t="shared" si="486"/>
        <v>HPExt</v>
      </c>
      <c r="GJ480" s="14">
        <f t="shared" si="487"/>
        <v>160</v>
      </c>
      <c r="GK480" s="14">
        <f t="shared" si="488"/>
        <v>25</v>
      </c>
      <c r="GL480" s="14">
        <f t="shared" si="508"/>
        <v>20140</v>
      </c>
      <c r="GM480" s="14">
        <f t="shared" si="489"/>
        <v>3</v>
      </c>
      <c r="GN480" s="14">
        <f t="shared" si="490"/>
        <v>2014</v>
      </c>
      <c r="GO480" s="25" t="s">
        <v>1471</v>
      </c>
      <c r="GP480" s="14">
        <f t="shared" si="509"/>
        <v>75</v>
      </c>
      <c r="GQ480" s="30"/>
      <c r="HK480" s="13">
        <v>475</v>
      </c>
      <c r="HL480" s="14">
        <f t="shared" si="520"/>
        <v>20</v>
      </c>
      <c r="HM480" s="14">
        <f t="shared" si="521"/>
        <v>2</v>
      </c>
      <c r="HN480" s="14">
        <f t="shared" si="522"/>
        <v>9</v>
      </c>
      <c r="HO480" s="14">
        <f t="shared" si="523"/>
        <v>4</v>
      </c>
      <c r="HP480" s="14" t="str">
        <f t="shared" si="524"/>
        <v>130级守护灵洗练-Q4-7</v>
      </c>
      <c r="HQ480" s="14">
        <f t="shared" si="525"/>
        <v>2094</v>
      </c>
      <c r="HR480" s="14">
        <f t="shared" si="526"/>
        <v>7</v>
      </c>
      <c r="HS480" s="14">
        <f t="shared" si="527"/>
        <v>500</v>
      </c>
      <c r="HT480" s="14" t="str">
        <f t="shared" si="528"/>
        <v>Crit</v>
      </c>
      <c r="HU480" s="14">
        <f t="shared" si="529"/>
        <v>1.0999999999999999E-2</v>
      </c>
      <c r="HV480" s="14">
        <f t="shared" si="530"/>
        <v>0.03</v>
      </c>
    </row>
    <row r="481" spans="151:230" ht="16.5" x14ac:dyDescent="0.2">
      <c r="EU481" s="13">
        <v>476</v>
      </c>
      <c r="EV481" s="14">
        <f t="shared" si="510"/>
        <v>2</v>
      </c>
      <c r="EW481" s="14">
        <f t="shared" si="478"/>
        <v>41</v>
      </c>
      <c r="EX481" s="14">
        <f t="shared" si="511"/>
        <v>6</v>
      </c>
      <c r="EY481" s="14">
        <f t="shared" si="479"/>
        <v>10</v>
      </c>
      <c r="EZ481" s="14">
        <f t="shared" si="491"/>
        <v>13</v>
      </c>
      <c r="FA481" s="14">
        <f t="shared" si="492"/>
        <v>30</v>
      </c>
      <c r="FB481" s="14">
        <f t="shared" si="493"/>
        <v>1</v>
      </c>
      <c r="FC481" s="14">
        <f t="shared" si="494"/>
        <v>1</v>
      </c>
      <c r="FD481" s="14">
        <f t="shared" si="495"/>
        <v>1</v>
      </c>
      <c r="FE481" s="14" t="b">
        <f t="shared" si="512"/>
        <v>0</v>
      </c>
      <c r="FF481" s="14">
        <f t="shared" si="496"/>
        <v>2102101</v>
      </c>
      <c r="FG481" s="13" t="str">
        <f t="shared" si="497"/>
        <v>30级-普通守护灵の灵器</v>
      </c>
      <c r="FH481" s="14">
        <f t="shared" si="498"/>
        <v>2</v>
      </c>
      <c r="FI481" s="14">
        <f t="shared" si="499"/>
        <v>1</v>
      </c>
      <c r="FJ481" s="14">
        <f t="shared" si="500"/>
        <v>30</v>
      </c>
      <c r="FK481" s="14">
        <v>42</v>
      </c>
      <c r="FL481" s="14">
        <f t="shared" si="501"/>
        <v>2</v>
      </c>
      <c r="FM481" s="14">
        <f t="shared" si="480"/>
        <v>1</v>
      </c>
      <c r="FN481" s="14" t="str">
        <f t="shared" si="502"/>
        <v/>
      </c>
      <c r="FO481" s="14">
        <f t="shared" si="481"/>
        <v>35</v>
      </c>
      <c r="FP481" s="14">
        <f t="shared" si="513"/>
        <v>80</v>
      </c>
      <c r="FQ481" s="14">
        <f t="shared" si="514"/>
        <v>0</v>
      </c>
      <c r="FR481" s="14">
        <f t="shared" si="515"/>
        <v>0</v>
      </c>
      <c r="FS481" s="14">
        <f t="shared" si="516"/>
        <v>7</v>
      </c>
      <c r="FT481" s="14">
        <f t="shared" si="517"/>
        <v>0</v>
      </c>
      <c r="FU481" s="14">
        <f t="shared" si="518"/>
        <v>0</v>
      </c>
      <c r="FV481" s="14">
        <f t="shared" si="503"/>
        <v>2021</v>
      </c>
      <c r="FW481" s="14">
        <f t="shared" si="504"/>
        <v>0</v>
      </c>
      <c r="FX481" s="14" t="str">
        <f t="shared" si="505"/>
        <v/>
      </c>
      <c r="FY481" s="25" t="str">
        <f t="shared" si="519"/>
        <v>icon_2102101</v>
      </c>
      <c r="GC481" s="14">
        <f t="shared" si="506"/>
        <v>1</v>
      </c>
      <c r="GD481" s="14">
        <f t="shared" si="507"/>
        <v>0</v>
      </c>
      <c r="GE481" s="14">
        <f t="shared" si="482"/>
        <v>35</v>
      </c>
      <c r="GF481" s="14" t="str">
        <f t="shared" si="483"/>
        <v>AtkExt</v>
      </c>
      <c r="GG481" s="14">
        <f t="shared" si="484"/>
        <v>80</v>
      </c>
      <c r="GH481" s="14">
        <f t="shared" si="485"/>
        <v>7</v>
      </c>
      <c r="GI481" s="14" t="str">
        <f t="shared" si="486"/>
        <v/>
      </c>
      <c r="GJ481" s="14" t="str">
        <f t="shared" si="487"/>
        <v/>
      </c>
      <c r="GK481" s="14" t="str">
        <f t="shared" si="488"/>
        <v/>
      </c>
      <c r="GL481" s="14">
        <f t="shared" si="508"/>
        <v>20210</v>
      </c>
      <c r="GM481" s="14">
        <f t="shared" si="489"/>
        <v>0</v>
      </c>
      <c r="GN481" s="14" t="str">
        <f t="shared" si="490"/>
        <v/>
      </c>
      <c r="GO481" s="25" t="s">
        <v>1471</v>
      </c>
      <c r="GP481" s="14">
        <f t="shared" si="509"/>
        <v>16</v>
      </c>
      <c r="GQ481" s="30"/>
      <c r="HK481" s="13">
        <v>476</v>
      </c>
      <c r="HL481" s="14">
        <f t="shared" si="520"/>
        <v>20</v>
      </c>
      <c r="HM481" s="14">
        <f t="shared" si="521"/>
        <v>2</v>
      </c>
      <c r="HN481" s="14">
        <f t="shared" si="522"/>
        <v>9</v>
      </c>
      <c r="HO481" s="14">
        <f t="shared" si="523"/>
        <v>4</v>
      </c>
      <c r="HP481" s="14" t="str">
        <f t="shared" si="524"/>
        <v>130级守护灵洗练-Q4-8</v>
      </c>
      <c r="HQ481" s="14">
        <f t="shared" si="525"/>
        <v>2094</v>
      </c>
      <c r="HR481" s="14">
        <f t="shared" si="526"/>
        <v>8</v>
      </c>
      <c r="HS481" s="14">
        <f t="shared" si="527"/>
        <v>500</v>
      </c>
      <c r="HT481" s="14" t="str">
        <f t="shared" si="528"/>
        <v>CritRate</v>
      </c>
      <c r="HU481" s="14">
        <f t="shared" si="529"/>
        <v>2.8000000000000001E-2</v>
      </c>
      <c r="HV481" s="14">
        <f t="shared" si="530"/>
        <v>0.08</v>
      </c>
    </row>
    <row r="482" spans="151:230" ht="16.5" x14ac:dyDescent="0.2">
      <c r="EU482" s="13">
        <v>477</v>
      </c>
      <c r="EV482" s="14">
        <f t="shared" si="510"/>
        <v>2</v>
      </c>
      <c r="EW482" s="14">
        <f t="shared" si="478"/>
        <v>42</v>
      </c>
      <c r="EX482" s="14">
        <f t="shared" si="511"/>
        <v>6</v>
      </c>
      <c r="EY482" s="14">
        <f t="shared" si="479"/>
        <v>10</v>
      </c>
      <c r="EZ482" s="14">
        <f t="shared" si="491"/>
        <v>13</v>
      </c>
      <c r="FA482" s="14">
        <f t="shared" si="492"/>
        <v>30</v>
      </c>
      <c r="FB482" s="14">
        <f t="shared" si="493"/>
        <v>1</v>
      </c>
      <c r="FC482" s="14">
        <f t="shared" si="494"/>
        <v>2</v>
      </c>
      <c r="FD482" s="14">
        <f t="shared" si="495"/>
        <v>2</v>
      </c>
      <c r="FE482" s="14" t="b">
        <f t="shared" si="512"/>
        <v>0</v>
      </c>
      <c r="FF482" s="14">
        <f t="shared" si="496"/>
        <v>2102102</v>
      </c>
      <c r="FG482" s="13" t="str">
        <f t="shared" si="497"/>
        <v>30级-普通守护灵の头盔</v>
      </c>
      <c r="FH482" s="14">
        <f t="shared" si="498"/>
        <v>2</v>
      </c>
      <c r="FI482" s="14">
        <f t="shared" si="499"/>
        <v>1</v>
      </c>
      <c r="FJ482" s="14">
        <f t="shared" si="500"/>
        <v>30</v>
      </c>
      <c r="FK482" s="14">
        <v>43</v>
      </c>
      <c r="FL482" s="14">
        <f t="shared" si="501"/>
        <v>2</v>
      </c>
      <c r="FM482" s="14">
        <f t="shared" si="480"/>
        <v>2</v>
      </c>
      <c r="FN482" s="14" t="str">
        <f t="shared" si="502"/>
        <v/>
      </c>
      <c r="FO482" s="14">
        <f t="shared" si="481"/>
        <v>20</v>
      </c>
      <c r="FP482" s="14">
        <f t="shared" si="513"/>
        <v>0</v>
      </c>
      <c r="FQ482" s="14">
        <f t="shared" si="514"/>
        <v>20</v>
      </c>
      <c r="FR482" s="14">
        <f t="shared" si="515"/>
        <v>0</v>
      </c>
      <c r="FS482" s="14">
        <f t="shared" si="516"/>
        <v>0</v>
      </c>
      <c r="FT482" s="14">
        <f t="shared" si="517"/>
        <v>2</v>
      </c>
      <c r="FU482" s="14">
        <f t="shared" si="518"/>
        <v>0</v>
      </c>
      <c r="FV482" s="14">
        <f t="shared" si="503"/>
        <v>2021</v>
      </c>
      <c r="FW482" s="14">
        <f t="shared" si="504"/>
        <v>0</v>
      </c>
      <c r="FX482" s="14" t="str">
        <f t="shared" si="505"/>
        <v/>
      </c>
      <c r="FY482" s="25" t="str">
        <f t="shared" si="519"/>
        <v>icon_2102102</v>
      </c>
      <c r="GC482" s="14">
        <f t="shared" si="506"/>
        <v>2</v>
      </c>
      <c r="GD482" s="14">
        <f t="shared" si="507"/>
        <v>0</v>
      </c>
      <c r="GE482" s="14">
        <f t="shared" si="482"/>
        <v>20</v>
      </c>
      <c r="GF482" s="14" t="str">
        <f t="shared" si="483"/>
        <v>DefExt</v>
      </c>
      <c r="GG482" s="14">
        <f t="shared" si="484"/>
        <v>20</v>
      </c>
      <c r="GH482" s="14">
        <f t="shared" si="485"/>
        <v>2</v>
      </c>
      <c r="GI482" s="14" t="str">
        <f t="shared" si="486"/>
        <v/>
      </c>
      <c r="GJ482" s="14" t="str">
        <f t="shared" si="487"/>
        <v/>
      </c>
      <c r="GK482" s="14" t="str">
        <f t="shared" si="488"/>
        <v/>
      </c>
      <c r="GL482" s="14">
        <f t="shared" si="508"/>
        <v>20210</v>
      </c>
      <c r="GM482" s="14">
        <f t="shared" si="489"/>
        <v>0</v>
      </c>
      <c r="GN482" s="14" t="str">
        <f t="shared" si="490"/>
        <v/>
      </c>
      <c r="GO482" s="25" t="s">
        <v>1471</v>
      </c>
      <c r="GP482" s="14">
        <f t="shared" si="509"/>
        <v>8</v>
      </c>
      <c r="GQ482" s="30"/>
      <c r="HK482" s="13">
        <v>477</v>
      </c>
      <c r="HL482" s="14">
        <f t="shared" si="520"/>
        <v>20</v>
      </c>
      <c r="HM482" s="14">
        <f t="shared" si="521"/>
        <v>2</v>
      </c>
      <c r="HN482" s="14">
        <f t="shared" si="522"/>
        <v>9</v>
      </c>
      <c r="HO482" s="14">
        <f t="shared" si="523"/>
        <v>4</v>
      </c>
      <c r="HP482" s="14" t="str">
        <f t="shared" si="524"/>
        <v>130级守护灵洗练-Q4-9</v>
      </c>
      <c r="HQ482" s="14">
        <f t="shared" si="525"/>
        <v>2094</v>
      </c>
      <c r="HR482" s="14">
        <f t="shared" si="526"/>
        <v>9</v>
      </c>
      <c r="HS482" s="14">
        <f t="shared" si="527"/>
        <v>500</v>
      </c>
      <c r="HT482" s="14" t="str">
        <f t="shared" si="528"/>
        <v>DefIgnor</v>
      </c>
      <c r="HU482" s="14">
        <f t="shared" si="529"/>
        <v>1.0999999999999999E-2</v>
      </c>
      <c r="HV482" s="14">
        <f t="shared" si="530"/>
        <v>0.03</v>
      </c>
    </row>
    <row r="483" spans="151:230" ht="16.5" x14ac:dyDescent="0.2">
      <c r="EU483" s="13">
        <v>478</v>
      </c>
      <c r="EV483" s="14">
        <f t="shared" si="510"/>
        <v>2</v>
      </c>
      <c r="EW483" s="14">
        <f t="shared" si="478"/>
        <v>43</v>
      </c>
      <c r="EX483" s="14">
        <f t="shared" si="511"/>
        <v>6</v>
      </c>
      <c r="EY483" s="14">
        <f t="shared" si="479"/>
        <v>10</v>
      </c>
      <c r="EZ483" s="14">
        <f t="shared" si="491"/>
        <v>13</v>
      </c>
      <c r="FA483" s="14">
        <f t="shared" si="492"/>
        <v>30</v>
      </c>
      <c r="FB483" s="14">
        <f t="shared" si="493"/>
        <v>1</v>
      </c>
      <c r="FC483" s="14">
        <f t="shared" si="494"/>
        <v>3</v>
      </c>
      <c r="FD483" s="14">
        <f t="shared" si="495"/>
        <v>3</v>
      </c>
      <c r="FE483" s="14" t="b">
        <f t="shared" si="512"/>
        <v>0</v>
      </c>
      <c r="FF483" s="14">
        <f t="shared" si="496"/>
        <v>2102103</v>
      </c>
      <c r="FG483" s="13" t="str">
        <f t="shared" si="497"/>
        <v>30级-普通守护灵の铠甲</v>
      </c>
      <c r="FH483" s="14">
        <f t="shared" si="498"/>
        <v>2</v>
      </c>
      <c r="FI483" s="14">
        <f t="shared" si="499"/>
        <v>1</v>
      </c>
      <c r="FJ483" s="14">
        <f t="shared" si="500"/>
        <v>30</v>
      </c>
      <c r="FK483" s="14">
        <v>44</v>
      </c>
      <c r="FL483" s="14">
        <f t="shared" si="501"/>
        <v>2</v>
      </c>
      <c r="FM483" s="14">
        <f t="shared" si="480"/>
        <v>3</v>
      </c>
      <c r="FN483" s="14" t="str">
        <f t="shared" si="502"/>
        <v/>
      </c>
      <c r="FO483" s="14">
        <f t="shared" si="481"/>
        <v>21</v>
      </c>
      <c r="FP483" s="14">
        <f t="shared" si="513"/>
        <v>0</v>
      </c>
      <c r="FQ483" s="14">
        <f t="shared" si="514"/>
        <v>10</v>
      </c>
      <c r="FR483" s="14">
        <f t="shared" si="515"/>
        <v>125</v>
      </c>
      <c r="FS483" s="14">
        <f t="shared" si="516"/>
        <v>0</v>
      </c>
      <c r="FT483" s="14">
        <f t="shared" si="517"/>
        <v>1</v>
      </c>
      <c r="FU483" s="14">
        <f t="shared" si="518"/>
        <v>11</v>
      </c>
      <c r="FV483" s="14">
        <f t="shared" si="503"/>
        <v>2021</v>
      </c>
      <c r="FW483" s="14">
        <f t="shared" si="504"/>
        <v>0</v>
      </c>
      <c r="FX483" s="14" t="str">
        <f t="shared" si="505"/>
        <v/>
      </c>
      <c r="FY483" s="25" t="str">
        <f t="shared" si="519"/>
        <v>icon_2102103</v>
      </c>
      <c r="GC483" s="14">
        <f t="shared" si="506"/>
        <v>2</v>
      </c>
      <c r="GD483" s="14">
        <f t="shared" si="507"/>
        <v>3</v>
      </c>
      <c r="GE483" s="14">
        <f t="shared" si="482"/>
        <v>21</v>
      </c>
      <c r="GF483" s="14" t="str">
        <f t="shared" si="483"/>
        <v>DefExt</v>
      </c>
      <c r="GG483" s="14">
        <f t="shared" si="484"/>
        <v>10</v>
      </c>
      <c r="GH483" s="14">
        <f t="shared" si="485"/>
        <v>1</v>
      </c>
      <c r="GI483" s="14" t="str">
        <f t="shared" si="486"/>
        <v>HPExt</v>
      </c>
      <c r="GJ483" s="14">
        <f t="shared" si="487"/>
        <v>125</v>
      </c>
      <c r="GK483" s="14">
        <f t="shared" si="488"/>
        <v>11</v>
      </c>
      <c r="GL483" s="14">
        <f t="shared" si="508"/>
        <v>20210</v>
      </c>
      <c r="GM483" s="14">
        <f t="shared" si="489"/>
        <v>0</v>
      </c>
      <c r="GN483" s="14" t="str">
        <f t="shared" si="490"/>
        <v/>
      </c>
      <c r="GO483" s="25" t="s">
        <v>1471</v>
      </c>
      <c r="GP483" s="14">
        <f t="shared" si="509"/>
        <v>8</v>
      </c>
      <c r="GQ483" s="30"/>
      <c r="HK483" s="13">
        <v>478</v>
      </c>
      <c r="HL483" s="14">
        <f t="shared" si="520"/>
        <v>20</v>
      </c>
      <c r="HM483" s="14">
        <f t="shared" si="521"/>
        <v>2</v>
      </c>
      <c r="HN483" s="14">
        <f t="shared" si="522"/>
        <v>9</v>
      </c>
      <c r="HO483" s="14">
        <f t="shared" si="523"/>
        <v>4</v>
      </c>
      <c r="HP483" s="14" t="str">
        <f t="shared" si="524"/>
        <v>130级守护灵洗练-Q4-10</v>
      </c>
      <c r="HQ483" s="14">
        <f t="shared" si="525"/>
        <v>2094</v>
      </c>
      <c r="HR483" s="14">
        <f t="shared" si="526"/>
        <v>10</v>
      </c>
      <c r="HS483" s="14">
        <f t="shared" si="527"/>
        <v>500</v>
      </c>
      <c r="HT483" s="14" t="str">
        <f t="shared" si="528"/>
        <v>Block</v>
      </c>
      <c r="HU483" s="14">
        <f t="shared" si="529"/>
        <v>1.0999999999999999E-2</v>
      </c>
      <c r="HV483" s="14">
        <f t="shared" si="530"/>
        <v>0.03</v>
      </c>
    </row>
    <row r="484" spans="151:230" ht="16.5" x14ac:dyDescent="0.2">
      <c r="EU484" s="13">
        <v>479</v>
      </c>
      <c r="EV484" s="14">
        <f t="shared" si="510"/>
        <v>2</v>
      </c>
      <c r="EW484" s="14">
        <f t="shared" si="478"/>
        <v>44</v>
      </c>
      <c r="EX484" s="14">
        <f t="shared" si="511"/>
        <v>6</v>
      </c>
      <c r="EY484" s="14">
        <f t="shared" si="479"/>
        <v>10</v>
      </c>
      <c r="EZ484" s="14">
        <f t="shared" si="491"/>
        <v>13</v>
      </c>
      <c r="FA484" s="14">
        <f t="shared" si="492"/>
        <v>30</v>
      </c>
      <c r="FB484" s="14">
        <f t="shared" si="493"/>
        <v>1</v>
      </c>
      <c r="FC484" s="14">
        <f t="shared" si="494"/>
        <v>4</v>
      </c>
      <c r="FD484" s="14">
        <f t="shared" si="495"/>
        <v>4</v>
      </c>
      <c r="FE484" s="14" t="b">
        <f t="shared" si="512"/>
        <v>0</v>
      </c>
      <c r="FF484" s="14">
        <f t="shared" si="496"/>
        <v>2102104</v>
      </c>
      <c r="FG484" s="13" t="str">
        <f t="shared" si="497"/>
        <v>30级-普通守护灵の裤子</v>
      </c>
      <c r="FH484" s="14">
        <f t="shared" si="498"/>
        <v>2</v>
      </c>
      <c r="FI484" s="14">
        <f t="shared" si="499"/>
        <v>1</v>
      </c>
      <c r="FJ484" s="14">
        <f t="shared" si="500"/>
        <v>30</v>
      </c>
      <c r="FK484" s="14">
        <v>45</v>
      </c>
      <c r="FL484" s="14">
        <f t="shared" si="501"/>
        <v>2</v>
      </c>
      <c r="FM484" s="14">
        <f t="shared" si="480"/>
        <v>4</v>
      </c>
      <c r="FN484" s="14" t="str">
        <f t="shared" si="502"/>
        <v/>
      </c>
      <c r="FO484" s="14">
        <f t="shared" si="481"/>
        <v>20</v>
      </c>
      <c r="FP484" s="14">
        <f t="shared" si="513"/>
        <v>0</v>
      </c>
      <c r="FQ484" s="14">
        <f t="shared" si="514"/>
        <v>20</v>
      </c>
      <c r="FR484" s="14">
        <f t="shared" si="515"/>
        <v>0</v>
      </c>
      <c r="FS484" s="14">
        <f t="shared" si="516"/>
        <v>0</v>
      </c>
      <c r="FT484" s="14">
        <f t="shared" si="517"/>
        <v>2</v>
      </c>
      <c r="FU484" s="14">
        <f t="shared" si="518"/>
        <v>0</v>
      </c>
      <c r="FV484" s="14">
        <f t="shared" si="503"/>
        <v>2021</v>
      </c>
      <c r="FW484" s="14">
        <f t="shared" si="504"/>
        <v>0</v>
      </c>
      <c r="FX484" s="14" t="str">
        <f t="shared" si="505"/>
        <v/>
      </c>
      <c r="FY484" s="25" t="str">
        <f t="shared" si="519"/>
        <v>icon_2102104</v>
      </c>
      <c r="GC484" s="14">
        <f t="shared" si="506"/>
        <v>2</v>
      </c>
      <c r="GD484" s="14">
        <f t="shared" si="507"/>
        <v>0</v>
      </c>
      <c r="GE484" s="14">
        <f t="shared" si="482"/>
        <v>20</v>
      </c>
      <c r="GF484" s="14" t="str">
        <f t="shared" si="483"/>
        <v>DefExt</v>
      </c>
      <c r="GG484" s="14">
        <f t="shared" si="484"/>
        <v>20</v>
      </c>
      <c r="GH484" s="14">
        <f t="shared" si="485"/>
        <v>2</v>
      </c>
      <c r="GI484" s="14" t="str">
        <f t="shared" si="486"/>
        <v/>
      </c>
      <c r="GJ484" s="14" t="str">
        <f t="shared" si="487"/>
        <v/>
      </c>
      <c r="GK484" s="14" t="str">
        <f t="shared" si="488"/>
        <v/>
      </c>
      <c r="GL484" s="14">
        <f t="shared" si="508"/>
        <v>20210</v>
      </c>
      <c r="GM484" s="14">
        <f t="shared" si="489"/>
        <v>0</v>
      </c>
      <c r="GN484" s="14" t="str">
        <f t="shared" si="490"/>
        <v/>
      </c>
      <c r="GO484" s="25" t="s">
        <v>1471</v>
      </c>
      <c r="GP484" s="14">
        <f t="shared" si="509"/>
        <v>8</v>
      </c>
      <c r="GQ484" s="30"/>
      <c r="HK484" s="13">
        <v>479</v>
      </c>
      <c r="HL484" s="14">
        <f t="shared" si="520"/>
        <v>20</v>
      </c>
      <c r="HM484" s="14">
        <f t="shared" si="521"/>
        <v>2</v>
      </c>
      <c r="HN484" s="14">
        <f t="shared" si="522"/>
        <v>9</v>
      </c>
      <c r="HO484" s="14">
        <f t="shared" si="523"/>
        <v>4</v>
      </c>
      <c r="HP484" s="14" t="str">
        <f t="shared" si="524"/>
        <v>130级守护灵洗练-Q4-11</v>
      </c>
      <c r="HQ484" s="14">
        <f t="shared" si="525"/>
        <v>2094</v>
      </c>
      <c r="HR484" s="14">
        <f t="shared" si="526"/>
        <v>11</v>
      </c>
      <c r="HS484" s="14">
        <f t="shared" si="527"/>
        <v>500</v>
      </c>
      <c r="HT484" s="14" t="str">
        <f t="shared" si="528"/>
        <v>EffectHit</v>
      </c>
      <c r="HU484" s="14">
        <f t="shared" si="529"/>
        <v>1.7999999999999999E-2</v>
      </c>
      <c r="HV484" s="14">
        <f t="shared" si="530"/>
        <v>0.05</v>
      </c>
    </row>
    <row r="485" spans="151:230" ht="16.5" x14ac:dyDescent="0.2">
      <c r="EU485" s="13">
        <v>480</v>
      </c>
      <c r="EV485" s="14">
        <f t="shared" si="510"/>
        <v>2</v>
      </c>
      <c r="EW485" s="14">
        <f t="shared" si="478"/>
        <v>45</v>
      </c>
      <c r="EX485" s="14">
        <f t="shared" si="511"/>
        <v>6</v>
      </c>
      <c r="EY485" s="14">
        <f t="shared" si="479"/>
        <v>10</v>
      </c>
      <c r="EZ485" s="14">
        <f t="shared" si="491"/>
        <v>13</v>
      </c>
      <c r="FA485" s="14">
        <f t="shared" si="492"/>
        <v>30</v>
      </c>
      <c r="FB485" s="14">
        <f t="shared" si="493"/>
        <v>1</v>
      </c>
      <c r="FC485" s="14">
        <f t="shared" si="494"/>
        <v>5</v>
      </c>
      <c r="FD485" s="14">
        <f t="shared" si="495"/>
        <v>5</v>
      </c>
      <c r="FE485" s="14" t="b">
        <f t="shared" si="512"/>
        <v>0</v>
      </c>
      <c r="FF485" s="14">
        <f t="shared" si="496"/>
        <v>2102105</v>
      </c>
      <c r="FG485" s="13" t="str">
        <f t="shared" si="497"/>
        <v>30级-普通守护灵の鞋子</v>
      </c>
      <c r="FH485" s="14">
        <f t="shared" si="498"/>
        <v>2</v>
      </c>
      <c r="FI485" s="14">
        <f t="shared" si="499"/>
        <v>1</v>
      </c>
      <c r="FJ485" s="14">
        <f t="shared" si="500"/>
        <v>30</v>
      </c>
      <c r="FK485" s="14">
        <v>46</v>
      </c>
      <c r="FL485" s="14">
        <f t="shared" si="501"/>
        <v>2</v>
      </c>
      <c r="FM485" s="14">
        <f t="shared" si="480"/>
        <v>5</v>
      </c>
      <c r="FN485" s="14" t="str">
        <f t="shared" si="502"/>
        <v/>
      </c>
      <c r="FO485" s="14">
        <f t="shared" si="481"/>
        <v>21</v>
      </c>
      <c r="FP485" s="14">
        <f t="shared" si="513"/>
        <v>0</v>
      </c>
      <c r="FQ485" s="14">
        <f t="shared" si="514"/>
        <v>0</v>
      </c>
      <c r="FR485" s="14">
        <f t="shared" si="515"/>
        <v>250</v>
      </c>
      <c r="FS485" s="14">
        <f t="shared" si="516"/>
        <v>0</v>
      </c>
      <c r="FT485" s="14">
        <f t="shared" si="517"/>
        <v>0</v>
      </c>
      <c r="FU485" s="14">
        <f t="shared" si="518"/>
        <v>21</v>
      </c>
      <c r="FV485" s="14">
        <f t="shared" si="503"/>
        <v>2021</v>
      </c>
      <c r="FW485" s="14">
        <f t="shared" si="504"/>
        <v>0</v>
      </c>
      <c r="FX485" s="14" t="str">
        <f t="shared" si="505"/>
        <v/>
      </c>
      <c r="FY485" s="25" t="str">
        <f t="shared" si="519"/>
        <v>icon_2102105</v>
      </c>
      <c r="GC485" s="14">
        <f t="shared" si="506"/>
        <v>3</v>
      </c>
      <c r="GD485" s="14">
        <f t="shared" si="507"/>
        <v>0</v>
      </c>
      <c r="GE485" s="14">
        <f t="shared" si="482"/>
        <v>21</v>
      </c>
      <c r="GF485" s="14" t="str">
        <f t="shared" si="483"/>
        <v>HPExt</v>
      </c>
      <c r="GG485" s="14">
        <f t="shared" si="484"/>
        <v>250</v>
      </c>
      <c r="GH485" s="14">
        <f t="shared" si="485"/>
        <v>21</v>
      </c>
      <c r="GI485" s="14" t="str">
        <f t="shared" si="486"/>
        <v/>
      </c>
      <c r="GJ485" s="14" t="str">
        <f t="shared" si="487"/>
        <v/>
      </c>
      <c r="GK485" s="14" t="str">
        <f t="shared" si="488"/>
        <v/>
      </c>
      <c r="GL485" s="14">
        <f t="shared" si="508"/>
        <v>20210</v>
      </c>
      <c r="GM485" s="14">
        <f t="shared" si="489"/>
        <v>0</v>
      </c>
      <c r="GN485" s="14" t="str">
        <f t="shared" si="490"/>
        <v/>
      </c>
      <c r="GO485" s="25" t="s">
        <v>1471</v>
      </c>
      <c r="GP485" s="14">
        <f t="shared" si="509"/>
        <v>8</v>
      </c>
      <c r="GQ485" s="30"/>
      <c r="HK485" s="13">
        <v>480</v>
      </c>
      <c r="HL485" s="14">
        <f t="shared" si="520"/>
        <v>20</v>
      </c>
      <c r="HM485" s="14">
        <f t="shared" si="521"/>
        <v>2</v>
      </c>
      <c r="HN485" s="14">
        <f t="shared" si="522"/>
        <v>9</v>
      </c>
      <c r="HO485" s="14">
        <f t="shared" si="523"/>
        <v>4</v>
      </c>
      <c r="HP485" s="14" t="str">
        <f t="shared" si="524"/>
        <v>130级守护灵洗练-Q4-12</v>
      </c>
      <c r="HQ485" s="14">
        <f t="shared" si="525"/>
        <v>2094</v>
      </c>
      <c r="HR485" s="14">
        <f t="shared" si="526"/>
        <v>12</v>
      </c>
      <c r="HS485" s="14">
        <f t="shared" si="527"/>
        <v>500</v>
      </c>
      <c r="HT485" s="14" t="str">
        <f t="shared" si="528"/>
        <v>EffectResist</v>
      </c>
      <c r="HU485" s="14">
        <f t="shared" si="529"/>
        <v>1.7999999999999999E-2</v>
      </c>
      <c r="HV485" s="14">
        <f t="shared" si="530"/>
        <v>0.05</v>
      </c>
    </row>
    <row r="486" spans="151:230" ht="16.5" x14ac:dyDescent="0.2">
      <c r="EU486" s="13">
        <v>481</v>
      </c>
      <c r="EV486" s="14">
        <f t="shared" si="510"/>
        <v>2</v>
      </c>
      <c r="EW486" s="14">
        <f t="shared" si="478"/>
        <v>46</v>
      </c>
      <c r="EX486" s="14">
        <f t="shared" si="511"/>
        <v>6</v>
      </c>
      <c r="EY486" s="14">
        <f t="shared" si="479"/>
        <v>10</v>
      </c>
      <c r="EZ486" s="14">
        <f t="shared" si="491"/>
        <v>13</v>
      </c>
      <c r="FA486" s="14">
        <f t="shared" si="492"/>
        <v>30</v>
      </c>
      <c r="FB486" s="14">
        <f t="shared" si="493"/>
        <v>1</v>
      </c>
      <c r="FC486" s="14">
        <f t="shared" si="494"/>
        <v>6</v>
      </c>
      <c r="FD486" s="14">
        <f t="shared" si="495"/>
        <v>6</v>
      </c>
      <c r="FE486" s="14" t="b">
        <f t="shared" si="512"/>
        <v>0</v>
      </c>
      <c r="FF486" s="14">
        <f t="shared" si="496"/>
        <v>2102106</v>
      </c>
      <c r="FG486" s="13" t="str">
        <f t="shared" si="497"/>
        <v>30级-普通守护灵の护手</v>
      </c>
      <c r="FH486" s="14">
        <f t="shared" si="498"/>
        <v>2</v>
      </c>
      <c r="FI486" s="14">
        <f t="shared" si="499"/>
        <v>1</v>
      </c>
      <c r="FJ486" s="14">
        <f t="shared" si="500"/>
        <v>30</v>
      </c>
      <c r="FK486" s="14">
        <v>47</v>
      </c>
      <c r="FL486" s="14">
        <f t="shared" si="501"/>
        <v>2</v>
      </c>
      <c r="FM486" s="14">
        <f t="shared" si="480"/>
        <v>6</v>
      </c>
      <c r="FN486" s="14" t="str">
        <f t="shared" si="502"/>
        <v/>
      </c>
      <c r="FO486" s="14">
        <f t="shared" si="481"/>
        <v>21</v>
      </c>
      <c r="FP486" s="14">
        <f t="shared" si="513"/>
        <v>0</v>
      </c>
      <c r="FQ486" s="14">
        <f t="shared" si="514"/>
        <v>0</v>
      </c>
      <c r="FR486" s="14">
        <f t="shared" si="515"/>
        <v>250</v>
      </c>
      <c r="FS486" s="14">
        <f t="shared" si="516"/>
        <v>0</v>
      </c>
      <c r="FT486" s="14">
        <f t="shared" si="517"/>
        <v>0</v>
      </c>
      <c r="FU486" s="14">
        <f t="shared" si="518"/>
        <v>21</v>
      </c>
      <c r="FV486" s="14">
        <f t="shared" si="503"/>
        <v>2021</v>
      </c>
      <c r="FW486" s="14">
        <f t="shared" si="504"/>
        <v>0</v>
      </c>
      <c r="FX486" s="14" t="str">
        <f t="shared" si="505"/>
        <v/>
      </c>
      <c r="FY486" s="25" t="str">
        <f t="shared" si="519"/>
        <v>icon_2102106</v>
      </c>
      <c r="GC486" s="14">
        <f t="shared" si="506"/>
        <v>3</v>
      </c>
      <c r="GD486" s="14">
        <f t="shared" si="507"/>
        <v>0</v>
      </c>
      <c r="GE486" s="14">
        <f t="shared" si="482"/>
        <v>21</v>
      </c>
      <c r="GF486" s="14" t="str">
        <f t="shared" si="483"/>
        <v>HPExt</v>
      </c>
      <c r="GG486" s="14">
        <f t="shared" si="484"/>
        <v>250</v>
      </c>
      <c r="GH486" s="14">
        <f t="shared" si="485"/>
        <v>21</v>
      </c>
      <c r="GI486" s="14" t="str">
        <f t="shared" si="486"/>
        <v/>
      </c>
      <c r="GJ486" s="14" t="str">
        <f t="shared" si="487"/>
        <v/>
      </c>
      <c r="GK486" s="14" t="str">
        <f t="shared" si="488"/>
        <v/>
      </c>
      <c r="GL486" s="14">
        <f t="shared" si="508"/>
        <v>20210</v>
      </c>
      <c r="GM486" s="14">
        <f t="shared" si="489"/>
        <v>0</v>
      </c>
      <c r="GN486" s="14" t="str">
        <f t="shared" si="490"/>
        <v/>
      </c>
      <c r="GO486" s="25" t="s">
        <v>1471</v>
      </c>
      <c r="GP486" s="14">
        <f t="shared" si="509"/>
        <v>8</v>
      </c>
      <c r="GQ486" s="30"/>
      <c r="HK486" s="13">
        <v>481</v>
      </c>
      <c r="HL486" s="14">
        <f t="shared" si="520"/>
        <v>21</v>
      </c>
      <c r="HM486" s="14">
        <f t="shared" si="521"/>
        <v>2</v>
      </c>
      <c r="HN486" s="14">
        <f t="shared" si="522"/>
        <v>10</v>
      </c>
      <c r="HO486" s="14">
        <f t="shared" si="523"/>
        <v>3</v>
      </c>
      <c r="HP486" s="14" t="str">
        <f t="shared" si="524"/>
        <v>140级守护灵洗练-Q3-1</v>
      </c>
      <c r="HQ486" s="14">
        <f t="shared" si="525"/>
        <v>2103</v>
      </c>
      <c r="HR486" s="14">
        <f t="shared" si="526"/>
        <v>1</v>
      </c>
      <c r="HS486" s="14">
        <f t="shared" si="527"/>
        <v>1800</v>
      </c>
      <c r="HT486" s="14" t="str">
        <f t="shared" si="528"/>
        <v>AtkExt</v>
      </c>
      <c r="HU486" s="14">
        <f t="shared" si="529"/>
        <v>368</v>
      </c>
      <c r="HV486" s="14">
        <f t="shared" si="530"/>
        <v>1054</v>
      </c>
    </row>
    <row r="487" spans="151:230" ht="16.5" x14ac:dyDescent="0.2">
      <c r="EU487" s="13">
        <v>482</v>
      </c>
      <c r="EV487" s="14">
        <f t="shared" si="510"/>
        <v>2</v>
      </c>
      <c r="EW487" s="14">
        <f t="shared" si="478"/>
        <v>47</v>
      </c>
      <c r="EX487" s="14">
        <f t="shared" si="511"/>
        <v>6</v>
      </c>
      <c r="EY487" s="14">
        <f t="shared" si="479"/>
        <v>10</v>
      </c>
      <c r="EZ487" s="14">
        <f t="shared" si="491"/>
        <v>13</v>
      </c>
      <c r="FA487" s="14">
        <f t="shared" si="492"/>
        <v>30</v>
      </c>
      <c r="FB487" s="14">
        <f t="shared" si="493"/>
        <v>1</v>
      </c>
      <c r="FC487" s="14">
        <f t="shared" si="494"/>
        <v>7</v>
      </c>
      <c r="FD487" s="14">
        <f t="shared" si="495"/>
        <v>7</v>
      </c>
      <c r="FE487" s="14" t="b">
        <f t="shared" si="512"/>
        <v>0</v>
      </c>
      <c r="FF487" s="14">
        <f t="shared" si="496"/>
        <v>2102107</v>
      </c>
      <c r="FG487" s="13" t="str">
        <f t="shared" si="497"/>
        <v>30级-普通守护灵の项链</v>
      </c>
      <c r="FH487" s="14">
        <f t="shared" si="498"/>
        <v>2</v>
      </c>
      <c r="FI487" s="14">
        <f t="shared" si="499"/>
        <v>1</v>
      </c>
      <c r="FJ487" s="14">
        <f t="shared" si="500"/>
        <v>30</v>
      </c>
      <c r="FK487" s="14">
        <v>48</v>
      </c>
      <c r="FL487" s="14">
        <f t="shared" si="501"/>
        <v>2</v>
      </c>
      <c r="FM487" s="14">
        <f t="shared" si="480"/>
        <v>7</v>
      </c>
      <c r="FN487" s="14" t="str">
        <f t="shared" si="502"/>
        <v/>
      </c>
      <c r="FO487" s="14">
        <f t="shared" si="481"/>
        <v>20</v>
      </c>
      <c r="FP487" s="14">
        <f t="shared" si="513"/>
        <v>25</v>
      </c>
      <c r="FQ487" s="14">
        <f t="shared" si="514"/>
        <v>15</v>
      </c>
      <c r="FR487" s="14">
        <f t="shared" si="515"/>
        <v>0</v>
      </c>
      <c r="FS487" s="14">
        <f t="shared" si="516"/>
        <v>2</v>
      </c>
      <c r="FT487" s="14">
        <f t="shared" si="517"/>
        <v>1</v>
      </c>
      <c r="FU487" s="14">
        <f t="shared" si="518"/>
        <v>0</v>
      </c>
      <c r="FV487" s="14">
        <f t="shared" si="503"/>
        <v>2021</v>
      </c>
      <c r="FW487" s="14">
        <f t="shared" si="504"/>
        <v>0</v>
      </c>
      <c r="FX487" s="14" t="str">
        <f t="shared" si="505"/>
        <v/>
      </c>
      <c r="FY487" s="25" t="str">
        <f t="shared" si="519"/>
        <v>icon_2102107</v>
      </c>
      <c r="GC487" s="14">
        <f t="shared" si="506"/>
        <v>1</v>
      </c>
      <c r="GD487" s="14">
        <f t="shared" si="507"/>
        <v>2</v>
      </c>
      <c r="GE487" s="14">
        <f t="shared" si="482"/>
        <v>20</v>
      </c>
      <c r="GF487" s="14" t="str">
        <f t="shared" si="483"/>
        <v>AtkExt</v>
      </c>
      <c r="GG487" s="14">
        <f t="shared" si="484"/>
        <v>25</v>
      </c>
      <c r="GH487" s="14">
        <f t="shared" si="485"/>
        <v>2</v>
      </c>
      <c r="GI487" s="14" t="str">
        <f t="shared" si="486"/>
        <v>DefExt</v>
      </c>
      <c r="GJ487" s="14">
        <f t="shared" si="487"/>
        <v>15</v>
      </c>
      <c r="GK487" s="14">
        <f t="shared" si="488"/>
        <v>1</v>
      </c>
      <c r="GL487" s="14">
        <f t="shared" si="508"/>
        <v>20210</v>
      </c>
      <c r="GM487" s="14">
        <f t="shared" si="489"/>
        <v>0</v>
      </c>
      <c r="GN487" s="14" t="str">
        <f t="shared" si="490"/>
        <v/>
      </c>
      <c r="GO487" s="25" t="s">
        <v>1471</v>
      </c>
      <c r="GP487" s="14">
        <f t="shared" si="509"/>
        <v>12</v>
      </c>
      <c r="GQ487" s="30"/>
      <c r="HK487" s="13">
        <v>482</v>
      </c>
      <c r="HL487" s="14">
        <f t="shared" si="520"/>
        <v>21</v>
      </c>
      <c r="HM487" s="14">
        <f t="shared" si="521"/>
        <v>2</v>
      </c>
      <c r="HN487" s="14">
        <f t="shared" si="522"/>
        <v>10</v>
      </c>
      <c r="HO487" s="14">
        <f t="shared" si="523"/>
        <v>3</v>
      </c>
      <c r="HP487" s="14" t="str">
        <f t="shared" si="524"/>
        <v>140级守护灵洗练-Q3-2</v>
      </c>
      <c r="HQ487" s="14">
        <f t="shared" si="525"/>
        <v>2103</v>
      </c>
      <c r="HR487" s="14">
        <f t="shared" si="526"/>
        <v>2</v>
      </c>
      <c r="HS487" s="14">
        <f t="shared" si="527"/>
        <v>1800</v>
      </c>
      <c r="HT487" s="14" t="str">
        <f t="shared" si="528"/>
        <v>DefExt</v>
      </c>
      <c r="HU487" s="14">
        <f t="shared" si="529"/>
        <v>134</v>
      </c>
      <c r="HV487" s="14">
        <f t="shared" si="530"/>
        <v>384</v>
      </c>
    </row>
    <row r="488" spans="151:230" ht="16.5" x14ac:dyDescent="0.2">
      <c r="EU488" s="13">
        <v>483</v>
      </c>
      <c r="EV488" s="14">
        <f t="shared" si="510"/>
        <v>2</v>
      </c>
      <c r="EW488" s="14">
        <f t="shared" si="478"/>
        <v>48</v>
      </c>
      <c r="EX488" s="14">
        <f t="shared" si="511"/>
        <v>6</v>
      </c>
      <c r="EY488" s="14">
        <f t="shared" si="479"/>
        <v>10</v>
      </c>
      <c r="EZ488" s="14">
        <f t="shared" si="491"/>
        <v>13</v>
      </c>
      <c r="FA488" s="14">
        <f t="shared" si="492"/>
        <v>30</v>
      </c>
      <c r="FB488" s="14">
        <f t="shared" si="493"/>
        <v>1</v>
      </c>
      <c r="FC488" s="14">
        <f t="shared" si="494"/>
        <v>8</v>
      </c>
      <c r="FD488" s="14">
        <f t="shared" si="495"/>
        <v>8</v>
      </c>
      <c r="FE488" s="14" t="b">
        <f t="shared" si="512"/>
        <v>0</v>
      </c>
      <c r="FF488" s="14">
        <f t="shared" si="496"/>
        <v>2102108</v>
      </c>
      <c r="FG488" s="13" t="str">
        <f t="shared" si="497"/>
        <v>30级-普通守护灵の戒指</v>
      </c>
      <c r="FH488" s="14">
        <f t="shared" si="498"/>
        <v>2</v>
      </c>
      <c r="FI488" s="14">
        <f t="shared" si="499"/>
        <v>1</v>
      </c>
      <c r="FJ488" s="14">
        <f t="shared" si="500"/>
        <v>30</v>
      </c>
      <c r="FK488" s="14">
        <v>49</v>
      </c>
      <c r="FL488" s="14">
        <f t="shared" si="501"/>
        <v>2</v>
      </c>
      <c r="FM488" s="14">
        <f t="shared" si="480"/>
        <v>8</v>
      </c>
      <c r="FN488" s="14" t="str">
        <f t="shared" si="502"/>
        <v/>
      </c>
      <c r="FO488" s="14">
        <f t="shared" si="481"/>
        <v>28</v>
      </c>
      <c r="FP488" s="14">
        <f t="shared" si="513"/>
        <v>25</v>
      </c>
      <c r="FQ488" s="14">
        <f t="shared" si="514"/>
        <v>0</v>
      </c>
      <c r="FR488" s="14">
        <f t="shared" si="515"/>
        <v>210</v>
      </c>
      <c r="FS488" s="14">
        <f t="shared" si="516"/>
        <v>2</v>
      </c>
      <c r="FT488" s="14">
        <f t="shared" si="517"/>
        <v>0</v>
      </c>
      <c r="FU488" s="14">
        <f t="shared" si="518"/>
        <v>18</v>
      </c>
      <c r="FV488" s="14">
        <f t="shared" si="503"/>
        <v>2021</v>
      </c>
      <c r="FW488" s="14">
        <f t="shared" si="504"/>
        <v>0</v>
      </c>
      <c r="FX488" s="14" t="str">
        <f t="shared" si="505"/>
        <v/>
      </c>
      <c r="FY488" s="25" t="str">
        <f t="shared" si="519"/>
        <v>icon_2102108</v>
      </c>
      <c r="GC488" s="14">
        <f t="shared" si="506"/>
        <v>1</v>
      </c>
      <c r="GD488" s="14">
        <f t="shared" si="507"/>
        <v>3</v>
      </c>
      <c r="GE488" s="14">
        <f t="shared" si="482"/>
        <v>28</v>
      </c>
      <c r="GF488" s="14" t="str">
        <f t="shared" si="483"/>
        <v>AtkExt</v>
      </c>
      <c r="GG488" s="14">
        <f t="shared" si="484"/>
        <v>25</v>
      </c>
      <c r="GH488" s="14">
        <f t="shared" si="485"/>
        <v>2</v>
      </c>
      <c r="GI488" s="14" t="str">
        <f t="shared" si="486"/>
        <v>HPExt</v>
      </c>
      <c r="GJ488" s="14">
        <f t="shared" si="487"/>
        <v>210</v>
      </c>
      <c r="GK488" s="14">
        <f t="shared" si="488"/>
        <v>18</v>
      </c>
      <c r="GL488" s="14">
        <f t="shared" si="508"/>
        <v>20210</v>
      </c>
      <c r="GM488" s="14">
        <f t="shared" si="489"/>
        <v>0</v>
      </c>
      <c r="GN488" s="14" t="str">
        <f t="shared" si="490"/>
        <v/>
      </c>
      <c r="GO488" s="25" t="s">
        <v>1471</v>
      </c>
      <c r="GP488" s="14">
        <f t="shared" si="509"/>
        <v>12</v>
      </c>
      <c r="GQ488" s="30"/>
      <c r="HK488" s="13">
        <v>483</v>
      </c>
      <c r="HL488" s="14">
        <f t="shared" si="520"/>
        <v>21</v>
      </c>
      <c r="HM488" s="14">
        <f t="shared" si="521"/>
        <v>2</v>
      </c>
      <c r="HN488" s="14">
        <f t="shared" si="522"/>
        <v>10</v>
      </c>
      <c r="HO488" s="14">
        <f t="shared" si="523"/>
        <v>3</v>
      </c>
      <c r="HP488" s="14" t="str">
        <f t="shared" si="524"/>
        <v>140级守护灵洗练-Q3-3</v>
      </c>
      <c r="HQ488" s="14">
        <f t="shared" si="525"/>
        <v>2103</v>
      </c>
      <c r="HR488" s="14">
        <f t="shared" si="526"/>
        <v>3</v>
      </c>
      <c r="HS488" s="14">
        <f t="shared" si="527"/>
        <v>2000</v>
      </c>
      <c r="HT488" s="14" t="str">
        <f t="shared" si="528"/>
        <v>HPExt</v>
      </c>
      <c r="HU488" s="14">
        <f t="shared" si="529"/>
        <v>3514</v>
      </c>
      <c r="HV488" s="14">
        <f t="shared" si="530"/>
        <v>10042</v>
      </c>
    </row>
    <row r="489" spans="151:230" ht="16.5" x14ac:dyDescent="0.2">
      <c r="EU489" s="13">
        <v>484</v>
      </c>
      <c r="EV489" s="14">
        <f t="shared" si="510"/>
        <v>2</v>
      </c>
      <c r="EW489" s="14">
        <f t="shared" si="478"/>
        <v>49</v>
      </c>
      <c r="EX489" s="14">
        <f t="shared" si="511"/>
        <v>7</v>
      </c>
      <c r="EY489" s="14">
        <f t="shared" si="479"/>
        <v>20</v>
      </c>
      <c r="EZ489" s="14">
        <f t="shared" si="491"/>
        <v>13</v>
      </c>
      <c r="FA489" s="14">
        <f t="shared" si="492"/>
        <v>30</v>
      </c>
      <c r="FB489" s="14">
        <f t="shared" si="493"/>
        <v>2</v>
      </c>
      <c r="FC489" s="14">
        <f t="shared" si="494"/>
        <v>1</v>
      </c>
      <c r="FD489" s="14">
        <f t="shared" si="495"/>
        <v>1</v>
      </c>
      <c r="FE489" s="14" t="b">
        <f t="shared" si="512"/>
        <v>0</v>
      </c>
      <c r="FF489" s="14">
        <f t="shared" si="496"/>
        <v>2102201</v>
      </c>
      <c r="FG489" s="13" t="str">
        <f t="shared" si="497"/>
        <v>30级-优秀守护灵の灵器</v>
      </c>
      <c r="FH489" s="14">
        <f t="shared" si="498"/>
        <v>2</v>
      </c>
      <c r="FI489" s="14">
        <f t="shared" si="499"/>
        <v>2</v>
      </c>
      <c r="FJ489" s="14">
        <f t="shared" si="500"/>
        <v>30</v>
      </c>
      <c r="FK489" s="14">
        <v>50</v>
      </c>
      <c r="FL489" s="14">
        <f t="shared" si="501"/>
        <v>2</v>
      </c>
      <c r="FM489" s="14">
        <f t="shared" si="480"/>
        <v>1</v>
      </c>
      <c r="FN489" s="14" t="str">
        <f t="shared" si="502"/>
        <v/>
      </c>
      <c r="FO489" s="14">
        <f t="shared" si="481"/>
        <v>45</v>
      </c>
      <c r="FP489" s="14">
        <f t="shared" si="513"/>
        <v>110</v>
      </c>
      <c r="FQ489" s="14">
        <f t="shared" si="514"/>
        <v>0</v>
      </c>
      <c r="FR489" s="14">
        <f t="shared" si="515"/>
        <v>0</v>
      </c>
      <c r="FS489" s="14">
        <f t="shared" si="516"/>
        <v>9</v>
      </c>
      <c r="FT489" s="14">
        <f t="shared" si="517"/>
        <v>0</v>
      </c>
      <c r="FU489" s="14">
        <f t="shared" si="518"/>
        <v>0</v>
      </c>
      <c r="FV489" s="14">
        <f t="shared" si="503"/>
        <v>2022</v>
      </c>
      <c r="FW489" s="14">
        <f t="shared" si="504"/>
        <v>0</v>
      </c>
      <c r="FX489" s="14" t="str">
        <f t="shared" si="505"/>
        <v/>
      </c>
      <c r="FY489" s="25" t="str">
        <f t="shared" si="519"/>
        <v>icon_2102101</v>
      </c>
      <c r="GC489" s="14">
        <f t="shared" si="506"/>
        <v>1</v>
      </c>
      <c r="GD489" s="14">
        <f t="shared" si="507"/>
        <v>0</v>
      </c>
      <c r="GE489" s="14">
        <f t="shared" si="482"/>
        <v>45</v>
      </c>
      <c r="GF489" s="14" t="str">
        <f t="shared" si="483"/>
        <v>AtkExt</v>
      </c>
      <c r="GG489" s="14">
        <f t="shared" si="484"/>
        <v>110</v>
      </c>
      <c r="GH489" s="14">
        <f t="shared" si="485"/>
        <v>9</v>
      </c>
      <c r="GI489" s="14" t="str">
        <f t="shared" si="486"/>
        <v/>
      </c>
      <c r="GJ489" s="14" t="str">
        <f t="shared" si="487"/>
        <v/>
      </c>
      <c r="GK489" s="14" t="str">
        <f t="shared" si="488"/>
        <v/>
      </c>
      <c r="GL489" s="14">
        <f t="shared" si="508"/>
        <v>20220</v>
      </c>
      <c r="GM489" s="14">
        <f t="shared" si="489"/>
        <v>0</v>
      </c>
      <c r="GN489" s="14" t="str">
        <f t="shared" si="490"/>
        <v/>
      </c>
      <c r="GO489" s="25" t="s">
        <v>1471</v>
      </c>
      <c r="GP489" s="14">
        <f t="shared" si="509"/>
        <v>48</v>
      </c>
      <c r="GQ489" s="30"/>
      <c r="HK489" s="13">
        <v>484</v>
      </c>
      <c r="HL489" s="14">
        <f t="shared" si="520"/>
        <v>21</v>
      </c>
      <c r="HM489" s="14">
        <f t="shared" si="521"/>
        <v>2</v>
      </c>
      <c r="HN489" s="14">
        <f t="shared" si="522"/>
        <v>10</v>
      </c>
      <c r="HO489" s="14">
        <f t="shared" si="523"/>
        <v>3</v>
      </c>
      <c r="HP489" s="14" t="str">
        <f t="shared" si="524"/>
        <v>140级守护灵洗练-Q3-4</v>
      </c>
      <c r="HQ489" s="14">
        <f t="shared" si="525"/>
        <v>2103</v>
      </c>
      <c r="HR489" s="14">
        <f t="shared" si="526"/>
        <v>4</v>
      </c>
      <c r="HS489" s="14">
        <f t="shared" si="527"/>
        <v>500</v>
      </c>
      <c r="HT489" s="14" t="str">
        <f t="shared" si="528"/>
        <v>AtkRate</v>
      </c>
      <c r="HU489" s="14">
        <f t="shared" si="529"/>
        <v>1.4E-2</v>
      </c>
      <c r="HV489" s="14">
        <f t="shared" si="530"/>
        <v>0.04</v>
      </c>
    </row>
    <row r="490" spans="151:230" ht="16.5" x14ac:dyDescent="0.2">
      <c r="EU490" s="13">
        <v>485</v>
      </c>
      <c r="EV490" s="14">
        <f t="shared" si="510"/>
        <v>2</v>
      </c>
      <c r="EW490" s="14">
        <f t="shared" si="478"/>
        <v>50</v>
      </c>
      <c r="EX490" s="14">
        <f t="shared" si="511"/>
        <v>7</v>
      </c>
      <c r="EY490" s="14">
        <f t="shared" si="479"/>
        <v>20</v>
      </c>
      <c r="EZ490" s="14">
        <f t="shared" si="491"/>
        <v>13</v>
      </c>
      <c r="FA490" s="14">
        <f t="shared" si="492"/>
        <v>30</v>
      </c>
      <c r="FB490" s="14">
        <f t="shared" si="493"/>
        <v>2</v>
      </c>
      <c r="FC490" s="14">
        <f t="shared" si="494"/>
        <v>2</v>
      </c>
      <c r="FD490" s="14">
        <f t="shared" si="495"/>
        <v>2</v>
      </c>
      <c r="FE490" s="14" t="b">
        <f t="shared" si="512"/>
        <v>0</v>
      </c>
      <c r="FF490" s="14">
        <f t="shared" si="496"/>
        <v>2102202</v>
      </c>
      <c r="FG490" s="13" t="str">
        <f t="shared" si="497"/>
        <v>30级-优秀守护灵の头盔</v>
      </c>
      <c r="FH490" s="14">
        <f t="shared" si="498"/>
        <v>2</v>
      </c>
      <c r="FI490" s="14">
        <f t="shared" si="499"/>
        <v>2</v>
      </c>
      <c r="FJ490" s="14">
        <f t="shared" si="500"/>
        <v>30</v>
      </c>
      <c r="FK490" s="14">
        <v>51</v>
      </c>
      <c r="FL490" s="14">
        <f t="shared" si="501"/>
        <v>2</v>
      </c>
      <c r="FM490" s="14">
        <f t="shared" si="480"/>
        <v>2</v>
      </c>
      <c r="FN490" s="14" t="str">
        <f t="shared" si="502"/>
        <v/>
      </c>
      <c r="FO490" s="14">
        <f t="shared" si="481"/>
        <v>20</v>
      </c>
      <c r="FP490" s="14">
        <f t="shared" si="513"/>
        <v>0</v>
      </c>
      <c r="FQ490" s="14">
        <f t="shared" si="514"/>
        <v>30</v>
      </c>
      <c r="FR490" s="14">
        <f t="shared" si="515"/>
        <v>0</v>
      </c>
      <c r="FS490" s="14">
        <f t="shared" si="516"/>
        <v>0</v>
      </c>
      <c r="FT490" s="14">
        <f t="shared" si="517"/>
        <v>2</v>
      </c>
      <c r="FU490" s="14">
        <f t="shared" si="518"/>
        <v>0</v>
      </c>
      <c r="FV490" s="14">
        <f t="shared" si="503"/>
        <v>2022</v>
      </c>
      <c r="FW490" s="14">
        <f t="shared" si="504"/>
        <v>0</v>
      </c>
      <c r="FX490" s="14" t="str">
        <f t="shared" si="505"/>
        <v/>
      </c>
      <c r="FY490" s="25" t="str">
        <f t="shared" si="519"/>
        <v>icon_2102102</v>
      </c>
      <c r="GC490" s="14">
        <f t="shared" si="506"/>
        <v>2</v>
      </c>
      <c r="GD490" s="14">
        <f t="shared" si="507"/>
        <v>0</v>
      </c>
      <c r="GE490" s="14">
        <f t="shared" si="482"/>
        <v>20</v>
      </c>
      <c r="GF490" s="14" t="str">
        <f t="shared" si="483"/>
        <v>DefExt</v>
      </c>
      <c r="GG490" s="14">
        <f t="shared" si="484"/>
        <v>30</v>
      </c>
      <c r="GH490" s="14">
        <f t="shared" si="485"/>
        <v>2</v>
      </c>
      <c r="GI490" s="14" t="str">
        <f t="shared" si="486"/>
        <v/>
      </c>
      <c r="GJ490" s="14" t="str">
        <f t="shared" si="487"/>
        <v/>
      </c>
      <c r="GK490" s="14" t="str">
        <f t="shared" si="488"/>
        <v/>
      </c>
      <c r="GL490" s="14">
        <f t="shared" si="508"/>
        <v>20220</v>
      </c>
      <c r="GM490" s="14">
        <f t="shared" si="489"/>
        <v>0</v>
      </c>
      <c r="GN490" s="14" t="str">
        <f t="shared" si="490"/>
        <v/>
      </c>
      <c r="GO490" s="25" t="s">
        <v>1471</v>
      </c>
      <c r="GP490" s="14">
        <f t="shared" si="509"/>
        <v>24</v>
      </c>
      <c r="GQ490" s="30"/>
      <c r="HK490" s="13">
        <v>485</v>
      </c>
      <c r="HL490" s="14">
        <f t="shared" si="520"/>
        <v>21</v>
      </c>
      <c r="HM490" s="14">
        <f t="shared" si="521"/>
        <v>2</v>
      </c>
      <c r="HN490" s="14">
        <f t="shared" si="522"/>
        <v>10</v>
      </c>
      <c r="HO490" s="14">
        <f t="shared" si="523"/>
        <v>3</v>
      </c>
      <c r="HP490" s="14" t="str">
        <f t="shared" si="524"/>
        <v>140级守护灵洗练-Q3-5</v>
      </c>
      <c r="HQ490" s="14">
        <f t="shared" si="525"/>
        <v>2103</v>
      </c>
      <c r="HR490" s="14">
        <f t="shared" si="526"/>
        <v>5</v>
      </c>
      <c r="HS490" s="14">
        <f t="shared" si="527"/>
        <v>400</v>
      </c>
      <c r="HT490" s="14" t="str">
        <f t="shared" si="528"/>
        <v>DefRate</v>
      </c>
      <c r="HU490" s="14">
        <f t="shared" si="529"/>
        <v>1.4E-2</v>
      </c>
      <c r="HV490" s="14">
        <f t="shared" si="530"/>
        <v>0.04</v>
      </c>
    </row>
    <row r="491" spans="151:230" ht="16.5" x14ac:dyDescent="0.2">
      <c r="EU491" s="13">
        <v>486</v>
      </c>
      <c r="EV491" s="14">
        <f t="shared" si="510"/>
        <v>2</v>
      </c>
      <c r="EW491" s="14">
        <f t="shared" si="478"/>
        <v>51</v>
      </c>
      <c r="EX491" s="14">
        <f t="shared" si="511"/>
        <v>7</v>
      </c>
      <c r="EY491" s="14">
        <f t="shared" si="479"/>
        <v>20</v>
      </c>
      <c r="EZ491" s="14">
        <f t="shared" si="491"/>
        <v>13</v>
      </c>
      <c r="FA491" s="14">
        <f t="shared" si="492"/>
        <v>30</v>
      </c>
      <c r="FB491" s="14">
        <f t="shared" si="493"/>
        <v>2</v>
      </c>
      <c r="FC491" s="14">
        <f t="shared" si="494"/>
        <v>3</v>
      </c>
      <c r="FD491" s="14">
        <f t="shared" si="495"/>
        <v>3</v>
      </c>
      <c r="FE491" s="14" t="b">
        <f t="shared" si="512"/>
        <v>0</v>
      </c>
      <c r="FF491" s="14">
        <f t="shared" si="496"/>
        <v>2102203</v>
      </c>
      <c r="FG491" s="13" t="str">
        <f t="shared" si="497"/>
        <v>30级-优秀守护灵の铠甲</v>
      </c>
      <c r="FH491" s="14">
        <f t="shared" si="498"/>
        <v>2</v>
      </c>
      <c r="FI491" s="14">
        <f t="shared" si="499"/>
        <v>2</v>
      </c>
      <c r="FJ491" s="14">
        <f t="shared" si="500"/>
        <v>30</v>
      </c>
      <c r="FK491" s="14">
        <v>52</v>
      </c>
      <c r="FL491" s="14">
        <f t="shared" si="501"/>
        <v>2</v>
      </c>
      <c r="FM491" s="14">
        <f t="shared" si="480"/>
        <v>3</v>
      </c>
      <c r="FN491" s="14" t="str">
        <f t="shared" si="502"/>
        <v/>
      </c>
      <c r="FO491" s="14">
        <f t="shared" si="481"/>
        <v>25</v>
      </c>
      <c r="FP491" s="14">
        <f t="shared" si="513"/>
        <v>0</v>
      </c>
      <c r="FQ491" s="14">
        <f t="shared" si="514"/>
        <v>15</v>
      </c>
      <c r="FR491" s="14">
        <f t="shared" si="515"/>
        <v>175</v>
      </c>
      <c r="FS491" s="14">
        <f t="shared" si="516"/>
        <v>0</v>
      </c>
      <c r="FT491" s="14">
        <f t="shared" si="517"/>
        <v>1</v>
      </c>
      <c r="FU491" s="14">
        <f t="shared" si="518"/>
        <v>15</v>
      </c>
      <c r="FV491" s="14">
        <f t="shared" si="503"/>
        <v>2022</v>
      </c>
      <c r="FW491" s="14">
        <f t="shared" si="504"/>
        <v>0</v>
      </c>
      <c r="FX491" s="14" t="str">
        <f t="shared" si="505"/>
        <v/>
      </c>
      <c r="FY491" s="25" t="str">
        <f t="shared" si="519"/>
        <v>icon_2102103</v>
      </c>
      <c r="GC491" s="14">
        <f t="shared" si="506"/>
        <v>2</v>
      </c>
      <c r="GD491" s="14">
        <f t="shared" si="507"/>
        <v>3</v>
      </c>
      <c r="GE491" s="14">
        <f t="shared" si="482"/>
        <v>25</v>
      </c>
      <c r="GF491" s="14" t="str">
        <f t="shared" si="483"/>
        <v>DefExt</v>
      </c>
      <c r="GG491" s="14">
        <f t="shared" si="484"/>
        <v>15</v>
      </c>
      <c r="GH491" s="14">
        <f t="shared" si="485"/>
        <v>1</v>
      </c>
      <c r="GI491" s="14" t="str">
        <f t="shared" si="486"/>
        <v>HPExt</v>
      </c>
      <c r="GJ491" s="14">
        <f t="shared" si="487"/>
        <v>175</v>
      </c>
      <c r="GK491" s="14">
        <f t="shared" si="488"/>
        <v>15</v>
      </c>
      <c r="GL491" s="14">
        <f t="shared" si="508"/>
        <v>20220</v>
      </c>
      <c r="GM491" s="14">
        <f t="shared" si="489"/>
        <v>0</v>
      </c>
      <c r="GN491" s="14" t="str">
        <f t="shared" si="490"/>
        <v/>
      </c>
      <c r="GO491" s="25" t="s">
        <v>1471</v>
      </c>
      <c r="GP491" s="14">
        <f t="shared" si="509"/>
        <v>24</v>
      </c>
      <c r="GQ491" s="30"/>
      <c r="HK491" s="13">
        <v>486</v>
      </c>
      <c r="HL491" s="14">
        <f t="shared" si="520"/>
        <v>21</v>
      </c>
      <c r="HM491" s="14">
        <f t="shared" si="521"/>
        <v>2</v>
      </c>
      <c r="HN491" s="14">
        <f t="shared" si="522"/>
        <v>10</v>
      </c>
      <c r="HO491" s="14">
        <f t="shared" si="523"/>
        <v>3</v>
      </c>
      <c r="HP491" s="14" t="str">
        <f t="shared" si="524"/>
        <v>140级守护灵洗练-Q3-6</v>
      </c>
      <c r="HQ491" s="14">
        <f t="shared" si="525"/>
        <v>2103</v>
      </c>
      <c r="HR491" s="14">
        <f t="shared" si="526"/>
        <v>6</v>
      </c>
      <c r="HS491" s="14">
        <f t="shared" si="527"/>
        <v>500</v>
      </c>
      <c r="HT491" s="14" t="str">
        <f t="shared" si="528"/>
        <v>HPRate</v>
      </c>
      <c r="HU491" s="14">
        <f t="shared" si="529"/>
        <v>1.4E-2</v>
      </c>
      <c r="HV491" s="14">
        <f t="shared" si="530"/>
        <v>0.04</v>
      </c>
    </row>
    <row r="492" spans="151:230" ht="16.5" x14ac:dyDescent="0.2">
      <c r="EU492" s="13">
        <v>487</v>
      </c>
      <c r="EV492" s="14">
        <f t="shared" si="510"/>
        <v>2</v>
      </c>
      <c r="EW492" s="14">
        <f t="shared" si="478"/>
        <v>52</v>
      </c>
      <c r="EX492" s="14">
        <f t="shared" si="511"/>
        <v>7</v>
      </c>
      <c r="EY492" s="14">
        <f t="shared" si="479"/>
        <v>20</v>
      </c>
      <c r="EZ492" s="14">
        <f t="shared" si="491"/>
        <v>13</v>
      </c>
      <c r="FA492" s="14">
        <f t="shared" si="492"/>
        <v>30</v>
      </c>
      <c r="FB492" s="14">
        <f t="shared" si="493"/>
        <v>2</v>
      </c>
      <c r="FC492" s="14">
        <f t="shared" si="494"/>
        <v>4</v>
      </c>
      <c r="FD492" s="14">
        <f t="shared" si="495"/>
        <v>4</v>
      </c>
      <c r="FE492" s="14" t="b">
        <f t="shared" si="512"/>
        <v>0</v>
      </c>
      <c r="FF492" s="14">
        <f t="shared" si="496"/>
        <v>2102204</v>
      </c>
      <c r="FG492" s="13" t="str">
        <f t="shared" si="497"/>
        <v>30级-优秀守护灵の裤子</v>
      </c>
      <c r="FH492" s="14">
        <f t="shared" si="498"/>
        <v>2</v>
      </c>
      <c r="FI492" s="14">
        <f t="shared" si="499"/>
        <v>2</v>
      </c>
      <c r="FJ492" s="14">
        <f t="shared" si="500"/>
        <v>30</v>
      </c>
      <c r="FK492" s="14">
        <v>53</v>
      </c>
      <c r="FL492" s="14">
        <f t="shared" si="501"/>
        <v>2</v>
      </c>
      <c r="FM492" s="14">
        <f t="shared" si="480"/>
        <v>4</v>
      </c>
      <c r="FN492" s="14" t="str">
        <f t="shared" si="502"/>
        <v/>
      </c>
      <c r="FO492" s="14">
        <f t="shared" si="481"/>
        <v>20</v>
      </c>
      <c r="FP492" s="14">
        <f t="shared" si="513"/>
        <v>0</v>
      </c>
      <c r="FQ492" s="14">
        <f t="shared" si="514"/>
        <v>30</v>
      </c>
      <c r="FR492" s="14">
        <f t="shared" si="515"/>
        <v>0</v>
      </c>
      <c r="FS492" s="14">
        <f t="shared" si="516"/>
        <v>0</v>
      </c>
      <c r="FT492" s="14">
        <f t="shared" si="517"/>
        <v>2</v>
      </c>
      <c r="FU492" s="14">
        <f t="shared" si="518"/>
        <v>0</v>
      </c>
      <c r="FV492" s="14">
        <f t="shared" si="503"/>
        <v>2022</v>
      </c>
      <c r="FW492" s="14">
        <f t="shared" si="504"/>
        <v>0</v>
      </c>
      <c r="FX492" s="14" t="str">
        <f t="shared" si="505"/>
        <v/>
      </c>
      <c r="FY492" s="25" t="str">
        <f t="shared" si="519"/>
        <v>icon_2102104</v>
      </c>
      <c r="GC492" s="14">
        <f t="shared" si="506"/>
        <v>2</v>
      </c>
      <c r="GD492" s="14">
        <f t="shared" si="507"/>
        <v>0</v>
      </c>
      <c r="GE492" s="14">
        <f t="shared" si="482"/>
        <v>20</v>
      </c>
      <c r="GF492" s="14" t="str">
        <f t="shared" si="483"/>
        <v>DefExt</v>
      </c>
      <c r="GG492" s="14">
        <f t="shared" si="484"/>
        <v>30</v>
      </c>
      <c r="GH492" s="14">
        <f t="shared" si="485"/>
        <v>2</v>
      </c>
      <c r="GI492" s="14" t="str">
        <f t="shared" si="486"/>
        <v/>
      </c>
      <c r="GJ492" s="14" t="str">
        <f t="shared" si="487"/>
        <v/>
      </c>
      <c r="GK492" s="14" t="str">
        <f t="shared" si="488"/>
        <v/>
      </c>
      <c r="GL492" s="14">
        <f t="shared" si="508"/>
        <v>20220</v>
      </c>
      <c r="GM492" s="14">
        <f t="shared" si="489"/>
        <v>0</v>
      </c>
      <c r="GN492" s="14" t="str">
        <f t="shared" si="490"/>
        <v/>
      </c>
      <c r="GO492" s="25" t="s">
        <v>1471</v>
      </c>
      <c r="GP492" s="14">
        <f t="shared" si="509"/>
        <v>24</v>
      </c>
      <c r="GQ492" s="30"/>
      <c r="HK492" s="13">
        <v>487</v>
      </c>
      <c r="HL492" s="14">
        <f t="shared" si="520"/>
        <v>21</v>
      </c>
      <c r="HM492" s="14">
        <f t="shared" si="521"/>
        <v>2</v>
      </c>
      <c r="HN492" s="14">
        <f t="shared" si="522"/>
        <v>10</v>
      </c>
      <c r="HO492" s="14">
        <f t="shared" si="523"/>
        <v>3</v>
      </c>
      <c r="HP492" s="14" t="str">
        <f t="shared" si="524"/>
        <v>140级守护灵洗练-Q3-7</v>
      </c>
      <c r="HQ492" s="14">
        <f t="shared" si="525"/>
        <v>2103</v>
      </c>
      <c r="HR492" s="14">
        <f t="shared" si="526"/>
        <v>7</v>
      </c>
      <c r="HS492" s="14">
        <f t="shared" si="527"/>
        <v>500</v>
      </c>
      <c r="HT492" s="14" t="str">
        <f t="shared" si="528"/>
        <v>Crit</v>
      </c>
      <c r="HU492" s="14">
        <f t="shared" si="529"/>
        <v>1.0999999999999999E-2</v>
      </c>
      <c r="HV492" s="14">
        <f t="shared" si="530"/>
        <v>0.03</v>
      </c>
    </row>
    <row r="493" spans="151:230" ht="16.5" x14ac:dyDescent="0.2">
      <c r="EU493" s="13">
        <v>488</v>
      </c>
      <c r="EV493" s="14">
        <f t="shared" si="510"/>
        <v>2</v>
      </c>
      <c r="EW493" s="14">
        <f t="shared" si="478"/>
        <v>53</v>
      </c>
      <c r="EX493" s="14">
        <f t="shared" si="511"/>
        <v>7</v>
      </c>
      <c r="EY493" s="14">
        <f t="shared" si="479"/>
        <v>20</v>
      </c>
      <c r="EZ493" s="14">
        <f t="shared" si="491"/>
        <v>13</v>
      </c>
      <c r="FA493" s="14">
        <f t="shared" si="492"/>
        <v>30</v>
      </c>
      <c r="FB493" s="14">
        <f t="shared" si="493"/>
        <v>2</v>
      </c>
      <c r="FC493" s="14">
        <f t="shared" si="494"/>
        <v>5</v>
      </c>
      <c r="FD493" s="14">
        <f t="shared" si="495"/>
        <v>5</v>
      </c>
      <c r="FE493" s="14" t="b">
        <f t="shared" si="512"/>
        <v>0</v>
      </c>
      <c r="FF493" s="14">
        <f t="shared" si="496"/>
        <v>2102205</v>
      </c>
      <c r="FG493" s="13" t="str">
        <f t="shared" si="497"/>
        <v>30级-优秀守护灵の鞋子</v>
      </c>
      <c r="FH493" s="14">
        <f t="shared" si="498"/>
        <v>2</v>
      </c>
      <c r="FI493" s="14">
        <f t="shared" si="499"/>
        <v>2</v>
      </c>
      <c r="FJ493" s="14">
        <f t="shared" si="500"/>
        <v>30</v>
      </c>
      <c r="FK493" s="14">
        <v>54</v>
      </c>
      <c r="FL493" s="14">
        <f t="shared" si="501"/>
        <v>2</v>
      </c>
      <c r="FM493" s="14">
        <f t="shared" si="480"/>
        <v>5</v>
      </c>
      <c r="FN493" s="14" t="str">
        <f t="shared" si="502"/>
        <v/>
      </c>
      <c r="FO493" s="14">
        <f t="shared" si="481"/>
        <v>30</v>
      </c>
      <c r="FP493" s="14">
        <f t="shared" si="513"/>
        <v>0</v>
      </c>
      <c r="FQ493" s="14">
        <f t="shared" si="514"/>
        <v>0</v>
      </c>
      <c r="FR493" s="14">
        <f t="shared" si="515"/>
        <v>350</v>
      </c>
      <c r="FS493" s="14">
        <f t="shared" si="516"/>
        <v>0</v>
      </c>
      <c r="FT493" s="14">
        <f t="shared" si="517"/>
        <v>0</v>
      </c>
      <c r="FU493" s="14">
        <f t="shared" si="518"/>
        <v>30</v>
      </c>
      <c r="FV493" s="14">
        <f t="shared" si="503"/>
        <v>2022</v>
      </c>
      <c r="FW493" s="14">
        <f t="shared" si="504"/>
        <v>0</v>
      </c>
      <c r="FX493" s="14" t="str">
        <f t="shared" si="505"/>
        <v/>
      </c>
      <c r="FY493" s="25" t="str">
        <f t="shared" si="519"/>
        <v>icon_2102105</v>
      </c>
      <c r="GC493" s="14">
        <f t="shared" si="506"/>
        <v>3</v>
      </c>
      <c r="GD493" s="14">
        <f t="shared" si="507"/>
        <v>0</v>
      </c>
      <c r="GE493" s="14">
        <f t="shared" si="482"/>
        <v>30</v>
      </c>
      <c r="GF493" s="14" t="str">
        <f t="shared" si="483"/>
        <v>HPExt</v>
      </c>
      <c r="GG493" s="14">
        <f t="shared" si="484"/>
        <v>350</v>
      </c>
      <c r="GH493" s="14">
        <f t="shared" si="485"/>
        <v>30</v>
      </c>
      <c r="GI493" s="14" t="str">
        <f t="shared" si="486"/>
        <v/>
      </c>
      <c r="GJ493" s="14" t="str">
        <f t="shared" si="487"/>
        <v/>
      </c>
      <c r="GK493" s="14" t="str">
        <f t="shared" si="488"/>
        <v/>
      </c>
      <c r="GL493" s="14">
        <f t="shared" si="508"/>
        <v>20220</v>
      </c>
      <c r="GM493" s="14">
        <f t="shared" si="489"/>
        <v>0</v>
      </c>
      <c r="GN493" s="14" t="str">
        <f t="shared" si="490"/>
        <v/>
      </c>
      <c r="GO493" s="25" t="s">
        <v>1471</v>
      </c>
      <c r="GP493" s="14">
        <f t="shared" si="509"/>
        <v>24</v>
      </c>
      <c r="GQ493" s="30"/>
      <c r="HK493" s="13">
        <v>488</v>
      </c>
      <c r="HL493" s="14">
        <f t="shared" si="520"/>
        <v>21</v>
      </c>
      <c r="HM493" s="14">
        <f t="shared" si="521"/>
        <v>2</v>
      </c>
      <c r="HN493" s="14">
        <f t="shared" si="522"/>
        <v>10</v>
      </c>
      <c r="HO493" s="14">
        <f t="shared" si="523"/>
        <v>3</v>
      </c>
      <c r="HP493" s="14" t="str">
        <f t="shared" si="524"/>
        <v>140级守护灵洗练-Q3-8</v>
      </c>
      <c r="HQ493" s="14">
        <f t="shared" si="525"/>
        <v>2103</v>
      </c>
      <c r="HR493" s="14">
        <f t="shared" si="526"/>
        <v>8</v>
      </c>
      <c r="HS493" s="14">
        <f t="shared" si="527"/>
        <v>500</v>
      </c>
      <c r="HT493" s="14" t="str">
        <f t="shared" si="528"/>
        <v>CritRate</v>
      </c>
      <c r="HU493" s="14">
        <f t="shared" si="529"/>
        <v>2.8000000000000001E-2</v>
      </c>
      <c r="HV493" s="14">
        <f t="shared" si="530"/>
        <v>0.08</v>
      </c>
    </row>
    <row r="494" spans="151:230" ht="16.5" x14ac:dyDescent="0.2">
      <c r="EU494" s="13">
        <v>489</v>
      </c>
      <c r="EV494" s="14">
        <f t="shared" si="510"/>
        <v>2</v>
      </c>
      <c r="EW494" s="14">
        <f t="shared" si="478"/>
        <v>54</v>
      </c>
      <c r="EX494" s="14">
        <f t="shared" si="511"/>
        <v>7</v>
      </c>
      <c r="EY494" s="14">
        <f t="shared" si="479"/>
        <v>20</v>
      </c>
      <c r="EZ494" s="14">
        <f t="shared" si="491"/>
        <v>13</v>
      </c>
      <c r="FA494" s="14">
        <f t="shared" si="492"/>
        <v>30</v>
      </c>
      <c r="FB494" s="14">
        <f t="shared" si="493"/>
        <v>2</v>
      </c>
      <c r="FC494" s="14">
        <f t="shared" si="494"/>
        <v>6</v>
      </c>
      <c r="FD494" s="14">
        <f t="shared" si="495"/>
        <v>6</v>
      </c>
      <c r="FE494" s="14" t="b">
        <f t="shared" si="512"/>
        <v>0</v>
      </c>
      <c r="FF494" s="14">
        <f t="shared" si="496"/>
        <v>2102206</v>
      </c>
      <c r="FG494" s="13" t="str">
        <f t="shared" si="497"/>
        <v>30级-优秀守护灵の护手</v>
      </c>
      <c r="FH494" s="14">
        <f t="shared" si="498"/>
        <v>2</v>
      </c>
      <c r="FI494" s="14">
        <f t="shared" si="499"/>
        <v>2</v>
      </c>
      <c r="FJ494" s="14">
        <f t="shared" si="500"/>
        <v>30</v>
      </c>
      <c r="FK494" s="14">
        <v>55</v>
      </c>
      <c r="FL494" s="14">
        <f t="shared" si="501"/>
        <v>2</v>
      </c>
      <c r="FM494" s="14">
        <f t="shared" si="480"/>
        <v>6</v>
      </c>
      <c r="FN494" s="14" t="str">
        <f t="shared" si="502"/>
        <v/>
      </c>
      <c r="FO494" s="14">
        <f t="shared" si="481"/>
        <v>30</v>
      </c>
      <c r="FP494" s="14">
        <f t="shared" si="513"/>
        <v>0</v>
      </c>
      <c r="FQ494" s="14">
        <f t="shared" si="514"/>
        <v>0</v>
      </c>
      <c r="FR494" s="14">
        <f t="shared" si="515"/>
        <v>350</v>
      </c>
      <c r="FS494" s="14">
        <f t="shared" si="516"/>
        <v>0</v>
      </c>
      <c r="FT494" s="14">
        <f t="shared" si="517"/>
        <v>0</v>
      </c>
      <c r="FU494" s="14">
        <f t="shared" si="518"/>
        <v>30</v>
      </c>
      <c r="FV494" s="14">
        <f t="shared" si="503"/>
        <v>2022</v>
      </c>
      <c r="FW494" s="14">
        <f t="shared" si="504"/>
        <v>0</v>
      </c>
      <c r="FX494" s="14" t="str">
        <f t="shared" si="505"/>
        <v/>
      </c>
      <c r="FY494" s="25" t="str">
        <f t="shared" si="519"/>
        <v>icon_2102106</v>
      </c>
      <c r="GC494" s="14">
        <f t="shared" si="506"/>
        <v>3</v>
      </c>
      <c r="GD494" s="14">
        <f t="shared" si="507"/>
        <v>0</v>
      </c>
      <c r="GE494" s="14">
        <f t="shared" si="482"/>
        <v>30</v>
      </c>
      <c r="GF494" s="14" t="str">
        <f t="shared" si="483"/>
        <v>HPExt</v>
      </c>
      <c r="GG494" s="14">
        <f t="shared" si="484"/>
        <v>350</v>
      </c>
      <c r="GH494" s="14">
        <f t="shared" si="485"/>
        <v>30</v>
      </c>
      <c r="GI494" s="14" t="str">
        <f t="shared" si="486"/>
        <v/>
      </c>
      <c r="GJ494" s="14" t="str">
        <f t="shared" si="487"/>
        <v/>
      </c>
      <c r="GK494" s="14" t="str">
        <f t="shared" si="488"/>
        <v/>
      </c>
      <c r="GL494" s="14">
        <f t="shared" si="508"/>
        <v>20220</v>
      </c>
      <c r="GM494" s="14">
        <f t="shared" si="489"/>
        <v>0</v>
      </c>
      <c r="GN494" s="14" t="str">
        <f t="shared" si="490"/>
        <v/>
      </c>
      <c r="GO494" s="25" t="s">
        <v>1471</v>
      </c>
      <c r="GP494" s="14">
        <f t="shared" si="509"/>
        <v>24</v>
      </c>
      <c r="GQ494" s="30"/>
      <c r="HK494" s="13">
        <v>489</v>
      </c>
      <c r="HL494" s="14">
        <f t="shared" si="520"/>
        <v>21</v>
      </c>
      <c r="HM494" s="14">
        <f t="shared" si="521"/>
        <v>2</v>
      </c>
      <c r="HN494" s="14">
        <f t="shared" si="522"/>
        <v>10</v>
      </c>
      <c r="HO494" s="14">
        <f t="shared" si="523"/>
        <v>3</v>
      </c>
      <c r="HP494" s="14" t="str">
        <f t="shared" si="524"/>
        <v>140级守护灵洗练-Q3-9</v>
      </c>
      <c r="HQ494" s="14">
        <f t="shared" si="525"/>
        <v>2103</v>
      </c>
      <c r="HR494" s="14">
        <f t="shared" si="526"/>
        <v>9</v>
      </c>
      <c r="HS494" s="14">
        <f t="shared" si="527"/>
        <v>500</v>
      </c>
      <c r="HT494" s="14" t="str">
        <f t="shared" si="528"/>
        <v>DefIgnor</v>
      </c>
      <c r="HU494" s="14">
        <f t="shared" si="529"/>
        <v>1.0999999999999999E-2</v>
      </c>
      <c r="HV494" s="14">
        <f t="shared" si="530"/>
        <v>0.03</v>
      </c>
    </row>
    <row r="495" spans="151:230" ht="16.5" x14ac:dyDescent="0.2">
      <c r="EU495" s="13">
        <v>490</v>
      </c>
      <c r="EV495" s="14">
        <f t="shared" si="510"/>
        <v>2</v>
      </c>
      <c r="EW495" s="14">
        <f t="shared" si="478"/>
        <v>55</v>
      </c>
      <c r="EX495" s="14">
        <f t="shared" si="511"/>
        <v>7</v>
      </c>
      <c r="EY495" s="14">
        <f t="shared" si="479"/>
        <v>20</v>
      </c>
      <c r="EZ495" s="14">
        <f t="shared" si="491"/>
        <v>13</v>
      </c>
      <c r="FA495" s="14">
        <f t="shared" si="492"/>
        <v>30</v>
      </c>
      <c r="FB495" s="14">
        <f t="shared" si="493"/>
        <v>2</v>
      </c>
      <c r="FC495" s="14">
        <f t="shared" si="494"/>
        <v>7</v>
      </c>
      <c r="FD495" s="14">
        <f t="shared" si="495"/>
        <v>7</v>
      </c>
      <c r="FE495" s="14" t="b">
        <f t="shared" si="512"/>
        <v>0</v>
      </c>
      <c r="FF495" s="14">
        <f t="shared" si="496"/>
        <v>2102207</v>
      </c>
      <c r="FG495" s="13" t="str">
        <f t="shared" si="497"/>
        <v>30级-优秀守护灵の项链</v>
      </c>
      <c r="FH495" s="14">
        <f t="shared" si="498"/>
        <v>2</v>
      </c>
      <c r="FI495" s="14">
        <f t="shared" si="499"/>
        <v>2</v>
      </c>
      <c r="FJ495" s="14">
        <f t="shared" si="500"/>
        <v>30</v>
      </c>
      <c r="FK495" s="14">
        <v>56</v>
      </c>
      <c r="FL495" s="14">
        <f t="shared" si="501"/>
        <v>2</v>
      </c>
      <c r="FM495" s="14">
        <f t="shared" si="480"/>
        <v>7</v>
      </c>
      <c r="FN495" s="14" t="str">
        <f t="shared" si="502"/>
        <v/>
      </c>
      <c r="FO495" s="14">
        <f t="shared" si="481"/>
        <v>35</v>
      </c>
      <c r="FP495" s="14">
        <f t="shared" si="513"/>
        <v>35</v>
      </c>
      <c r="FQ495" s="14">
        <f t="shared" si="514"/>
        <v>25</v>
      </c>
      <c r="FR495" s="14">
        <f t="shared" si="515"/>
        <v>0</v>
      </c>
      <c r="FS495" s="14">
        <f t="shared" si="516"/>
        <v>3</v>
      </c>
      <c r="FT495" s="14">
        <f t="shared" si="517"/>
        <v>2</v>
      </c>
      <c r="FU495" s="14">
        <f t="shared" si="518"/>
        <v>0</v>
      </c>
      <c r="FV495" s="14">
        <f t="shared" si="503"/>
        <v>2022</v>
      </c>
      <c r="FW495" s="14">
        <f t="shared" si="504"/>
        <v>0</v>
      </c>
      <c r="FX495" s="14" t="str">
        <f t="shared" si="505"/>
        <v/>
      </c>
      <c r="FY495" s="25" t="str">
        <f t="shared" si="519"/>
        <v>icon_2102107</v>
      </c>
      <c r="GC495" s="14">
        <f t="shared" si="506"/>
        <v>1</v>
      </c>
      <c r="GD495" s="14">
        <f t="shared" si="507"/>
        <v>2</v>
      </c>
      <c r="GE495" s="14">
        <f t="shared" si="482"/>
        <v>35</v>
      </c>
      <c r="GF495" s="14" t="str">
        <f t="shared" si="483"/>
        <v>AtkExt</v>
      </c>
      <c r="GG495" s="14">
        <f t="shared" si="484"/>
        <v>35</v>
      </c>
      <c r="GH495" s="14">
        <f t="shared" si="485"/>
        <v>3</v>
      </c>
      <c r="GI495" s="14" t="str">
        <f t="shared" si="486"/>
        <v>DefExt</v>
      </c>
      <c r="GJ495" s="14">
        <f t="shared" si="487"/>
        <v>25</v>
      </c>
      <c r="GK495" s="14">
        <f t="shared" si="488"/>
        <v>2</v>
      </c>
      <c r="GL495" s="14">
        <f t="shared" si="508"/>
        <v>20220</v>
      </c>
      <c r="GM495" s="14">
        <f t="shared" si="489"/>
        <v>0</v>
      </c>
      <c r="GN495" s="14" t="str">
        <f t="shared" si="490"/>
        <v/>
      </c>
      <c r="GO495" s="25" t="s">
        <v>1471</v>
      </c>
      <c r="GP495" s="14">
        <f t="shared" si="509"/>
        <v>36</v>
      </c>
      <c r="GQ495" s="30"/>
      <c r="HK495" s="13">
        <v>490</v>
      </c>
      <c r="HL495" s="14">
        <f t="shared" si="520"/>
        <v>21</v>
      </c>
      <c r="HM495" s="14">
        <f t="shared" si="521"/>
        <v>2</v>
      </c>
      <c r="HN495" s="14">
        <f t="shared" si="522"/>
        <v>10</v>
      </c>
      <c r="HO495" s="14">
        <f t="shared" si="523"/>
        <v>3</v>
      </c>
      <c r="HP495" s="14" t="str">
        <f t="shared" si="524"/>
        <v>140级守护灵洗练-Q3-10</v>
      </c>
      <c r="HQ495" s="14">
        <f t="shared" si="525"/>
        <v>2103</v>
      </c>
      <c r="HR495" s="14">
        <f t="shared" si="526"/>
        <v>10</v>
      </c>
      <c r="HS495" s="14">
        <f t="shared" si="527"/>
        <v>500</v>
      </c>
      <c r="HT495" s="14" t="str">
        <f t="shared" si="528"/>
        <v>Block</v>
      </c>
      <c r="HU495" s="14">
        <f t="shared" si="529"/>
        <v>1.0999999999999999E-2</v>
      </c>
      <c r="HV495" s="14">
        <f t="shared" si="530"/>
        <v>0.03</v>
      </c>
    </row>
    <row r="496" spans="151:230" ht="16.5" x14ac:dyDescent="0.2">
      <c r="EU496" s="13">
        <v>491</v>
      </c>
      <c r="EV496" s="14">
        <f t="shared" si="510"/>
        <v>2</v>
      </c>
      <c r="EW496" s="14">
        <f t="shared" si="478"/>
        <v>56</v>
      </c>
      <c r="EX496" s="14">
        <f t="shared" si="511"/>
        <v>7</v>
      </c>
      <c r="EY496" s="14">
        <f t="shared" si="479"/>
        <v>20</v>
      </c>
      <c r="EZ496" s="14">
        <f t="shared" si="491"/>
        <v>13</v>
      </c>
      <c r="FA496" s="14">
        <f t="shared" si="492"/>
        <v>30</v>
      </c>
      <c r="FB496" s="14">
        <f t="shared" si="493"/>
        <v>2</v>
      </c>
      <c r="FC496" s="14">
        <f t="shared" si="494"/>
        <v>8</v>
      </c>
      <c r="FD496" s="14">
        <f t="shared" si="495"/>
        <v>8</v>
      </c>
      <c r="FE496" s="14" t="b">
        <f t="shared" si="512"/>
        <v>0</v>
      </c>
      <c r="FF496" s="14">
        <f t="shared" si="496"/>
        <v>2102208</v>
      </c>
      <c r="FG496" s="13" t="str">
        <f t="shared" si="497"/>
        <v>30级-优秀守护灵の戒指</v>
      </c>
      <c r="FH496" s="14">
        <f t="shared" si="498"/>
        <v>2</v>
      </c>
      <c r="FI496" s="14">
        <f t="shared" si="499"/>
        <v>2</v>
      </c>
      <c r="FJ496" s="14">
        <f t="shared" si="500"/>
        <v>30</v>
      </c>
      <c r="FK496" s="14">
        <v>57</v>
      </c>
      <c r="FL496" s="14">
        <f t="shared" si="501"/>
        <v>2</v>
      </c>
      <c r="FM496" s="14">
        <f t="shared" si="480"/>
        <v>8</v>
      </c>
      <c r="FN496" s="14" t="str">
        <f t="shared" si="502"/>
        <v/>
      </c>
      <c r="FO496" s="14">
        <f t="shared" si="481"/>
        <v>40</v>
      </c>
      <c r="FP496" s="14">
        <f t="shared" si="513"/>
        <v>35</v>
      </c>
      <c r="FQ496" s="14">
        <f t="shared" si="514"/>
        <v>0</v>
      </c>
      <c r="FR496" s="14">
        <f t="shared" si="515"/>
        <v>290</v>
      </c>
      <c r="FS496" s="14">
        <f t="shared" si="516"/>
        <v>3</v>
      </c>
      <c r="FT496" s="14">
        <f t="shared" si="517"/>
        <v>0</v>
      </c>
      <c r="FU496" s="14">
        <f t="shared" si="518"/>
        <v>25</v>
      </c>
      <c r="FV496" s="14">
        <f t="shared" si="503"/>
        <v>2022</v>
      </c>
      <c r="FW496" s="14">
        <f t="shared" si="504"/>
        <v>0</v>
      </c>
      <c r="FX496" s="14" t="str">
        <f t="shared" si="505"/>
        <v/>
      </c>
      <c r="FY496" s="25" t="str">
        <f t="shared" si="519"/>
        <v>icon_2102108</v>
      </c>
      <c r="GC496" s="14">
        <f t="shared" si="506"/>
        <v>1</v>
      </c>
      <c r="GD496" s="14">
        <f t="shared" si="507"/>
        <v>3</v>
      </c>
      <c r="GE496" s="14">
        <f t="shared" si="482"/>
        <v>40</v>
      </c>
      <c r="GF496" s="14" t="str">
        <f t="shared" si="483"/>
        <v>AtkExt</v>
      </c>
      <c r="GG496" s="14">
        <f t="shared" si="484"/>
        <v>35</v>
      </c>
      <c r="GH496" s="14">
        <f t="shared" si="485"/>
        <v>3</v>
      </c>
      <c r="GI496" s="14" t="str">
        <f t="shared" si="486"/>
        <v>HPExt</v>
      </c>
      <c r="GJ496" s="14">
        <f t="shared" si="487"/>
        <v>290</v>
      </c>
      <c r="GK496" s="14">
        <f t="shared" si="488"/>
        <v>25</v>
      </c>
      <c r="GL496" s="14">
        <f t="shared" si="508"/>
        <v>20220</v>
      </c>
      <c r="GM496" s="14">
        <f t="shared" si="489"/>
        <v>0</v>
      </c>
      <c r="GN496" s="14" t="str">
        <f t="shared" si="490"/>
        <v/>
      </c>
      <c r="GO496" s="25" t="s">
        <v>1471</v>
      </c>
      <c r="GP496" s="14">
        <f t="shared" si="509"/>
        <v>36</v>
      </c>
      <c r="GQ496" s="30"/>
      <c r="HK496" s="13">
        <v>491</v>
      </c>
      <c r="HL496" s="14">
        <f t="shared" si="520"/>
        <v>21</v>
      </c>
      <c r="HM496" s="14">
        <f t="shared" si="521"/>
        <v>2</v>
      </c>
      <c r="HN496" s="14">
        <f t="shared" si="522"/>
        <v>10</v>
      </c>
      <c r="HO496" s="14">
        <f t="shared" si="523"/>
        <v>3</v>
      </c>
      <c r="HP496" s="14" t="str">
        <f t="shared" si="524"/>
        <v>140级守护灵洗练-Q3-11</v>
      </c>
      <c r="HQ496" s="14">
        <f t="shared" si="525"/>
        <v>2103</v>
      </c>
      <c r="HR496" s="14">
        <f t="shared" si="526"/>
        <v>11</v>
      </c>
      <c r="HS496" s="14">
        <f t="shared" si="527"/>
        <v>500</v>
      </c>
      <c r="HT496" s="14" t="str">
        <f t="shared" si="528"/>
        <v>EffectHit</v>
      </c>
      <c r="HU496" s="14">
        <f t="shared" si="529"/>
        <v>1.7999999999999999E-2</v>
      </c>
      <c r="HV496" s="14">
        <f t="shared" si="530"/>
        <v>0.05</v>
      </c>
    </row>
    <row r="497" spans="151:230" ht="16.5" x14ac:dyDescent="0.2">
      <c r="EU497" s="13">
        <v>492</v>
      </c>
      <c r="EV497" s="14">
        <f t="shared" si="510"/>
        <v>2</v>
      </c>
      <c r="EW497" s="14">
        <f t="shared" si="478"/>
        <v>57</v>
      </c>
      <c r="EX497" s="14">
        <f t="shared" si="511"/>
        <v>8</v>
      </c>
      <c r="EY497" s="14">
        <f t="shared" si="479"/>
        <v>30</v>
      </c>
      <c r="EZ497" s="14">
        <f t="shared" si="491"/>
        <v>13</v>
      </c>
      <c r="FA497" s="14">
        <f t="shared" si="492"/>
        <v>30</v>
      </c>
      <c r="FB497" s="14">
        <f t="shared" si="493"/>
        <v>3</v>
      </c>
      <c r="FC497" s="14">
        <f t="shared" si="494"/>
        <v>1</v>
      </c>
      <c r="FD497" s="14">
        <f t="shared" si="495"/>
        <v>1</v>
      </c>
      <c r="FE497" s="14" t="b">
        <f t="shared" si="512"/>
        <v>0</v>
      </c>
      <c r="FF497" s="14">
        <f t="shared" si="496"/>
        <v>2102301</v>
      </c>
      <c r="FG497" s="13" t="str">
        <f t="shared" si="497"/>
        <v>30级-精良守护灵の灵器</v>
      </c>
      <c r="FH497" s="14">
        <f t="shared" si="498"/>
        <v>2</v>
      </c>
      <c r="FI497" s="14">
        <f t="shared" si="499"/>
        <v>3</v>
      </c>
      <c r="FJ497" s="14">
        <f t="shared" si="500"/>
        <v>30</v>
      </c>
      <c r="FK497" s="14">
        <v>58</v>
      </c>
      <c r="FL497" s="14">
        <f t="shared" si="501"/>
        <v>2</v>
      </c>
      <c r="FM497" s="14">
        <f t="shared" si="480"/>
        <v>1</v>
      </c>
      <c r="FN497" s="14" t="str">
        <f t="shared" si="502"/>
        <v/>
      </c>
      <c r="FO497" s="14">
        <f t="shared" si="481"/>
        <v>55</v>
      </c>
      <c r="FP497" s="14">
        <f t="shared" si="513"/>
        <v>135</v>
      </c>
      <c r="FQ497" s="14">
        <f t="shared" si="514"/>
        <v>0</v>
      </c>
      <c r="FR497" s="14">
        <f t="shared" si="515"/>
        <v>0</v>
      </c>
      <c r="FS497" s="14">
        <f t="shared" si="516"/>
        <v>11</v>
      </c>
      <c r="FT497" s="14">
        <f t="shared" si="517"/>
        <v>0</v>
      </c>
      <c r="FU497" s="14">
        <f t="shared" si="518"/>
        <v>0</v>
      </c>
      <c r="FV497" s="14">
        <f t="shared" si="503"/>
        <v>2023</v>
      </c>
      <c r="FW497" s="14">
        <f t="shared" si="504"/>
        <v>2</v>
      </c>
      <c r="FX497" s="14">
        <f t="shared" si="505"/>
        <v>2023</v>
      </c>
      <c r="FY497" s="25" t="str">
        <f t="shared" si="519"/>
        <v>icon_2102101</v>
      </c>
      <c r="GC497" s="14">
        <f t="shared" si="506"/>
        <v>1</v>
      </c>
      <c r="GD497" s="14">
        <f t="shared" si="507"/>
        <v>0</v>
      </c>
      <c r="GE497" s="14">
        <f t="shared" si="482"/>
        <v>55</v>
      </c>
      <c r="GF497" s="14" t="str">
        <f t="shared" si="483"/>
        <v>AtkExt</v>
      </c>
      <c r="GG497" s="14">
        <f t="shared" si="484"/>
        <v>135</v>
      </c>
      <c r="GH497" s="14">
        <f t="shared" si="485"/>
        <v>11</v>
      </c>
      <c r="GI497" s="14" t="str">
        <f t="shared" si="486"/>
        <v/>
      </c>
      <c r="GJ497" s="14" t="str">
        <f t="shared" si="487"/>
        <v/>
      </c>
      <c r="GK497" s="14" t="str">
        <f t="shared" si="488"/>
        <v/>
      </c>
      <c r="GL497" s="14">
        <f t="shared" si="508"/>
        <v>20230</v>
      </c>
      <c r="GM497" s="14">
        <f t="shared" si="489"/>
        <v>2</v>
      </c>
      <c r="GN497" s="14">
        <f t="shared" si="490"/>
        <v>2023</v>
      </c>
      <c r="GO497" s="25" t="s">
        <v>1471</v>
      </c>
      <c r="GP497" s="14">
        <f t="shared" si="509"/>
        <v>80</v>
      </c>
      <c r="GQ497" s="30"/>
      <c r="HK497" s="13">
        <v>492</v>
      </c>
      <c r="HL497" s="14">
        <f t="shared" si="520"/>
        <v>21</v>
      </c>
      <c r="HM497" s="14">
        <f t="shared" si="521"/>
        <v>2</v>
      </c>
      <c r="HN497" s="14">
        <f t="shared" si="522"/>
        <v>10</v>
      </c>
      <c r="HO497" s="14">
        <f t="shared" si="523"/>
        <v>3</v>
      </c>
      <c r="HP497" s="14" t="str">
        <f t="shared" si="524"/>
        <v>140级守护灵洗练-Q3-12</v>
      </c>
      <c r="HQ497" s="14">
        <f t="shared" si="525"/>
        <v>2103</v>
      </c>
      <c r="HR497" s="14">
        <f t="shared" si="526"/>
        <v>12</v>
      </c>
      <c r="HS497" s="14">
        <f t="shared" si="527"/>
        <v>500</v>
      </c>
      <c r="HT497" s="14" t="str">
        <f t="shared" si="528"/>
        <v>EffectResist</v>
      </c>
      <c r="HU497" s="14">
        <f t="shared" si="529"/>
        <v>1.7999999999999999E-2</v>
      </c>
      <c r="HV497" s="14">
        <f t="shared" si="530"/>
        <v>0.05</v>
      </c>
    </row>
    <row r="498" spans="151:230" ht="16.5" x14ac:dyDescent="0.2">
      <c r="EU498" s="13">
        <v>493</v>
      </c>
      <c r="EV498" s="14">
        <f t="shared" si="510"/>
        <v>2</v>
      </c>
      <c r="EW498" s="14">
        <f t="shared" si="478"/>
        <v>58</v>
      </c>
      <c r="EX498" s="14">
        <f t="shared" si="511"/>
        <v>8</v>
      </c>
      <c r="EY498" s="14">
        <f t="shared" si="479"/>
        <v>30</v>
      </c>
      <c r="EZ498" s="14">
        <f t="shared" si="491"/>
        <v>13</v>
      </c>
      <c r="FA498" s="14">
        <f t="shared" si="492"/>
        <v>30</v>
      </c>
      <c r="FB498" s="14">
        <f t="shared" si="493"/>
        <v>3</v>
      </c>
      <c r="FC498" s="14">
        <f t="shared" si="494"/>
        <v>2</v>
      </c>
      <c r="FD498" s="14">
        <f t="shared" si="495"/>
        <v>2</v>
      </c>
      <c r="FE498" s="14" t="b">
        <f t="shared" si="512"/>
        <v>0</v>
      </c>
      <c r="FF498" s="14">
        <f t="shared" si="496"/>
        <v>2102302</v>
      </c>
      <c r="FG498" s="13" t="str">
        <f t="shared" si="497"/>
        <v>30级-精良守护灵の头盔</v>
      </c>
      <c r="FH498" s="14">
        <f t="shared" si="498"/>
        <v>2</v>
      </c>
      <c r="FI498" s="14">
        <f t="shared" si="499"/>
        <v>3</v>
      </c>
      <c r="FJ498" s="14">
        <f t="shared" si="500"/>
        <v>30</v>
      </c>
      <c r="FK498" s="14">
        <v>59</v>
      </c>
      <c r="FL498" s="14">
        <f t="shared" si="501"/>
        <v>2</v>
      </c>
      <c r="FM498" s="14">
        <f t="shared" si="480"/>
        <v>2</v>
      </c>
      <c r="FN498" s="14" t="str">
        <f t="shared" si="502"/>
        <v/>
      </c>
      <c r="FO498" s="14">
        <f t="shared" si="481"/>
        <v>30</v>
      </c>
      <c r="FP498" s="14">
        <f t="shared" si="513"/>
        <v>0</v>
      </c>
      <c r="FQ498" s="14">
        <f t="shared" si="514"/>
        <v>35</v>
      </c>
      <c r="FR498" s="14">
        <f t="shared" si="515"/>
        <v>0</v>
      </c>
      <c r="FS498" s="14">
        <f t="shared" si="516"/>
        <v>0</v>
      </c>
      <c r="FT498" s="14">
        <f t="shared" si="517"/>
        <v>3</v>
      </c>
      <c r="FU498" s="14">
        <f t="shared" si="518"/>
        <v>0</v>
      </c>
      <c r="FV498" s="14">
        <f t="shared" si="503"/>
        <v>2023</v>
      </c>
      <c r="FW498" s="14">
        <f t="shared" si="504"/>
        <v>2</v>
      </c>
      <c r="FX498" s="14">
        <f t="shared" si="505"/>
        <v>2023</v>
      </c>
      <c r="FY498" s="25" t="str">
        <f t="shared" si="519"/>
        <v>icon_2102102</v>
      </c>
      <c r="GC498" s="14">
        <f t="shared" si="506"/>
        <v>2</v>
      </c>
      <c r="GD498" s="14">
        <f t="shared" si="507"/>
        <v>0</v>
      </c>
      <c r="GE498" s="14">
        <f t="shared" si="482"/>
        <v>30</v>
      </c>
      <c r="GF498" s="14" t="str">
        <f t="shared" si="483"/>
        <v>DefExt</v>
      </c>
      <c r="GG498" s="14">
        <f t="shared" si="484"/>
        <v>35</v>
      </c>
      <c r="GH498" s="14">
        <f t="shared" si="485"/>
        <v>3</v>
      </c>
      <c r="GI498" s="14" t="str">
        <f t="shared" si="486"/>
        <v/>
      </c>
      <c r="GJ498" s="14" t="str">
        <f t="shared" si="487"/>
        <v/>
      </c>
      <c r="GK498" s="14" t="str">
        <f t="shared" si="488"/>
        <v/>
      </c>
      <c r="GL498" s="14">
        <f t="shared" si="508"/>
        <v>20230</v>
      </c>
      <c r="GM498" s="14">
        <f t="shared" si="489"/>
        <v>2</v>
      </c>
      <c r="GN498" s="14">
        <f t="shared" si="490"/>
        <v>2023</v>
      </c>
      <c r="GO498" s="25" t="s">
        <v>1471</v>
      </c>
      <c r="GP498" s="14">
        <f t="shared" si="509"/>
        <v>40</v>
      </c>
      <c r="GQ498" s="30"/>
      <c r="HK498" s="13">
        <v>493</v>
      </c>
      <c r="HL498" s="14">
        <f t="shared" si="520"/>
        <v>21</v>
      </c>
      <c r="HM498" s="14">
        <f t="shared" si="521"/>
        <v>2</v>
      </c>
      <c r="HN498" s="14">
        <f t="shared" si="522"/>
        <v>10</v>
      </c>
      <c r="HO498" s="14">
        <f t="shared" si="523"/>
        <v>4</v>
      </c>
      <c r="HP498" s="14" t="str">
        <f t="shared" si="524"/>
        <v>140级守护灵洗练-Q4-1</v>
      </c>
      <c r="HQ498" s="14">
        <f t="shared" si="525"/>
        <v>2104</v>
      </c>
      <c r="HR498" s="14">
        <f t="shared" si="526"/>
        <v>1</v>
      </c>
      <c r="HS498" s="14">
        <f t="shared" si="527"/>
        <v>1800</v>
      </c>
      <c r="HT498" s="14" t="str">
        <f t="shared" si="528"/>
        <v>AtkExt</v>
      </c>
      <c r="HU498" s="14">
        <f t="shared" si="529"/>
        <v>368</v>
      </c>
      <c r="HV498" s="14">
        <f t="shared" si="530"/>
        <v>1054</v>
      </c>
    </row>
    <row r="499" spans="151:230" ht="16.5" x14ac:dyDescent="0.2">
      <c r="EU499" s="13">
        <v>494</v>
      </c>
      <c r="EV499" s="14">
        <f t="shared" si="510"/>
        <v>2</v>
      </c>
      <c r="EW499" s="14">
        <f t="shared" si="478"/>
        <v>59</v>
      </c>
      <c r="EX499" s="14">
        <f t="shared" si="511"/>
        <v>8</v>
      </c>
      <c r="EY499" s="14">
        <f t="shared" si="479"/>
        <v>30</v>
      </c>
      <c r="EZ499" s="14">
        <f t="shared" si="491"/>
        <v>13</v>
      </c>
      <c r="FA499" s="14">
        <f t="shared" si="492"/>
        <v>30</v>
      </c>
      <c r="FB499" s="14">
        <f t="shared" si="493"/>
        <v>3</v>
      </c>
      <c r="FC499" s="14">
        <f t="shared" si="494"/>
        <v>3</v>
      </c>
      <c r="FD499" s="14">
        <f t="shared" si="495"/>
        <v>3</v>
      </c>
      <c r="FE499" s="14" t="b">
        <f t="shared" si="512"/>
        <v>0</v>
      </c>
      <c r="FF499" s="14">
        <f t="shared" si="496"/>
        <v>2102303</v>
      </c>
      <c r="FG499" s="13" t="str">
        <f t="shared" si="497"/>
        <v>30级-精良守护灵の铠甲</v>
      </c>
      <c r="FH499" s="14">
        <f t="shared" si="498"/>
        <v>2</v>
      </c>
      <c r="FI499" s="14">
        <f t="shared" si="499"/>
        <v>3</v>
      </c>
      <c r="FJ499" s="14">
        <f t="shared" si="500"/>
        <v>30</v>
      </c>
      <c r="FK499" s="14">
        <v>60</v>
      </c>
      <c r="FL499" s="14">
        <f t="shared" si="501"/>
        <v>2</v>
      </c>
      <c r="FM499" s="14">
        <f t="shared" si="480"/>
        <v>3</v>
      </c>
      <c r="FN499" s="14" t="str">
        <f t="shared" si="502"/>
        <v/>
      </c>
      <c r="FO499" s="14">
        <f t="shared" si="481"/>
        <v>28</v>
      </c>
      <c r="FP499" s="14">
        <f t="shared" si="513"/>
        <v>0</v>
      </c>
      <c r="FQ499" s="14">
        <f t="shared" si="514"/>
        <v>15</v>
      </c>
      <c r="FR499" s="14">
        <f t="shared" si="515"/>
        <v>215</v>
      </c>
      <c r="FS499" s="14">
        <f t="shared" si="516"/>
        <v>0</v>
      </c>
      <c r="FT499" s="14">
        <f t="shared" si="517"/>
        <v>1</v>
      </c>
      <c r="FU499" s="14">
        <f t="shared" si="518"/>
        <v>18</v>
      </c>
      <c r="FV499" s="14">
        <f t="shared" si="503"/>
        <v>2023</v>
      </c>
      <c r="FW499" s="14">
        <f t="shared" si="504"/>
        <v>2</v>
      </c>
      <c r="FX499" s="14">
        <f t="shared" si="505"/>
        <v>2023</v>
      </c>
      <c r="FY499" s="25" t="str">
        <f t="shared" si="519"/>
        <v>icon_2102103</v>
      </c>
      <c r="GC499" s="14">
        <f t="shared" si="506"/>
        <v>2</v>
      </c>
      <c r="GD499" s="14">
        <f t="shared" si="507"/>
        <v>3</v>
      </c>
      <c r="GE499" s="14">
        <f t="shared" si="482"/>
        <v>28</v>
      </c>
      <c r="GF499" s="14" t="str">
        <f t="shared" si="483"/>
        <v>DefExt</v>
      </c>
      <c r="GG499" s="14">
        <f t="shared" si="484"/>
        <v>15</v>
      </c>
      <c r="GH499" s="14">
        <f t="shared" si="485"/>
        <v>1</v>
      </c>
      <c r="GI499" s="14" t="str">
        <f t="shared" si="486"/>
        <v>HPExt</v>
      </c>
      <c r="GJ499" s="14">
        <f t="shared" si="487"/>
        <v>215</v>
      </c>
      <c r="GK499" s="14">
        <f t="shared" si="488"/>
        <v>18</v>
      </c>
      <c r="GL499" s="14">
        <f t="shared" si="508"/>
        <v>20230</v>
      </c>
      <c r="GM499" s="14">
        <f t="shared" si="489"/>
        <v>2</v>
      </c>
      <c r="GN499" s="14">
        <f t="shared" si="490"/>
        <v>2023</v>
      </c>
      <c r="GO499" s="25" t="s">
        <v>1471</v>
      </c>
      <c r="GP499" s="14">
        <f t="shared" si="509"/>
        <v>40</v>
      </c>
      <c r="GQ499" s="30"/>
      <c r="HK499" s="13">
        <v>494</v>
      </c>
      <c r="HL499" s="14">
        <f t="shared" si="520"/>
        <v>21</v>
      </c>
      <c r="HM499" s="14">
        <f t="shared" si="521"/>
        <v>2</v>
      </c>
      <c r="HN499" s="14">
        <f t="shared" si="522"/>
        <v>10</v>
      </c>
      <c r="HO499" s="14">
        <f t="shared" si="523"/>
        <v>4</v>
      </c>
      <c r="HP499" s="14" t="str">
        <f t="shared" si="524"/>
        <v>140级守护灵洗练-Q4-2</v>
      </c>
      <c r="HQ499" s="14">
        <f t="shared" si="525"/>
        <v>2104</v>
      </c>
      <c r="HR499" s="14">
        <f t="shared" si="526"/>
        <v>2</v>
      </c>
      <c r="HS499" s="14">
        <f t="shared" si="527"/>
        <v>1800</v>
      </c>
      <c r="HT499" s="14" t="str">
        <f t="shared" si="528"/>
        <v>DefExt</v>
      </c>
      <c r="HU499" s="14">
        <f t="shared" si="529"/>
        <v>134</v>
      </c>
      <c r="HV499" s="14">
        <f t="shared" si="530"/>
        <v>384</v>
      </c>
    </row>
    <row r="500" spans="151:230" ht="16.5" x14ac:dyDescent="0.2">
      <c r="EU500" s="13">
        <v>495</v>
      </c>
      <c r="EV500" s="14">
        <f t="shared" si="510"/>
        <v>2</v>
      </c>
      <c r="EW500" s="14">
        <f t="shared" si="478"/>
        <v>60</v>
      </c>
      <c r="EX500" s="14">
        <f t="shared" si="511"/>
        <v>8</v>
      </c>
      <c r="EY500" s="14">
        <f t="shared" si="479"/>
        <v>30</v>
      </c>
      <c r="EZ500" s="14">
        <f t="shared" si="491"/>
        <v>13</v>
      </c>
      <c r="FA500" s="14">
        <f t="shared" si="492"/>
        <v>30</v>
      </c>
      <c r="FB500" s="14">
        <f t="shared" si="493"/>
        <v>3</v>
      </c>
      <c r="FC500" s="14">
        <f t="shared" si="494"/>
        <v>4</v>
      </c>
      <c r="FD500" s="14">
        <f t="shared" si="495"/>
        <v>4</v>
      </c>
      <c r="FE500" s="14" t="b">
        <f t="shared" si="512"/>
        <v>0</v>
      </c>
      <c r="FF500" s="14">
        <f t="shared" si="496"/>
        <v>2102304</v>
      </c>
      <c r="FG500" s="13" t="str">
        <f t="shared" si="497"/>
        <v>30级-精良守护灵の裤子</v>
      </c>
      <c r="FH500" s="14">
        <f t="shared" si="498"/>
        <v>2</v>
      </c>
      <c r="FI500" s="14">
        <f t="shared" si="499"/>
        <v>3</v>
      </c>
      <c r="FJ500" s="14">
        <f t="shared" si="500"/>
        <v>30</v>
      </c>
      <c r="FK500" s="14">
        <v>61</v>
      </c>
      <c r="FL500" s="14">
        <f t="shared" si="501"/>
        <v>2</v>
      </c>
      <c r="FM500" s="14">
        <f t="shared" si="480"/>
        <v>4</v>
      </c>
      <c r="FN500" s="14" t="str">
        <f t="shared" si="502"/>
        <v/>
      </c>
      <c r="FO500" s="14">
        <f t="shared" si="481"/>
        <v>30</v>
      </c>
      <c r="FP500" s="14">
        <f t="shared" si="513"/>
        <v>0</v>
      </c>
      <c r="FQ500" s="14">
        <f t="shared" si="514"/>
        <v>35</v>
      </c>
      <c r="FR500" s="14">
        <f t="shared" si="515"/>
        <v>0</v>
      </c>
      <c r="FS500" s="14">
        <f t="shared" si="516"/>
        <v>0</v>
      </c>
      <c r="FT500" s="14">
        <f t="shared" si="517"/>
        <v>3</v>
      </c>
      <c r="FU500" s="14">
        <f t="shared" si="518"/>
        <v>0</v>
      </c>
      <c r="FV500" s="14">
        <f t="shared" si="503"/>
        <v>2023</v>
      </c>
      <c r="FW500" s="14">
        <f t="shared" si="504"/>
        <v>2</v>
      </c>
      <c r="FX500" s="14">
        <f t="shared" si="505"/>
        <v>2023</v>
      </c>
      <c r="FY500" s="25" t="str">
        <f t="shared" si="519"/>
        <v>icon_2102104</v>
      </c>
      <c r="GC500" s="14">
        <f t="shared" si="506"/>
        <v>2</v>
      </c>
      <c r="GD500" s="14">
        <f t="shared" si="507"/>
        <v>0</v>
      </c>
      <c r="GE500" s="14">
        <f t="shared" si="482"/>
        <v>30</v>
      </c>
      <c r="GF500" s="14" t="str">
        <f t="shared" si="483"/>
        <v>DefExt</v>
      </c>
      <c r="GG500" s="14">
        <f t="shared" si="484"/>
        <v>35</v>
      </c>
      <c r="GH500" s="14">
        <f t="shared" si="485"/>
        <v>3</v>
      </c>
      <c r="GI500" s="14" t="str">
        <f t="shared" si="486"/>
        <v/>
      </c>
      <c r="GJ500" s="14" t="str">
        <f t="shared" si="487"/>
        <v/>
      </c>
      <c r="GK500" s="14" t="str">
        <f t="shared" si="488"/>
        <v/>
      </c>
      <c r="GL500" s="14">
        <f t="shared" si="508"/>
        <v>20230</v>
      </c>
      <c r="GM500" s="14">
        <f t="shared" si="489"/>
        <v>2</v>
      </c>
      <c r="GN500" s="14">
        <f t="shared" si="490"/>
        <v>2023</v>
      </c>
      <c r="GO500" s="25" t="s">
        <v>1471</v>
      </c>
      <c r="GP500" s="14">
        <f t="shared" si="509"/>
        <v>40</v>
      </c>
      <c r="GQ500" s="30"/>
      <c r="HK500" s="13">
        <v>495</v>
      </c>
      <c r="HL500" s="14">
        <f t="shared" si="520"/>
        <v>21</v>
      </c>
      <c r="HM500" s="14">
        <f t="shared" si="521"/>
        <v>2</v>
      </c>
      <c r="HN500" s="14">
        <f t="shared" si="522"/>
        <v>10</v>
      </c>
      <c r="HO500" s="14">
        <f t="shared" si="523"/>
        <v>4</v>
      </c>
      <c r="HP500" s="14" t="str">
        <f t="shared" si="524"/>
        <v>140级守护灵洗练-Q4-3</v>
      </c>
      <c r="HQ500" s="14">
        <f t="shared" si="525"/>
        <v>2104</v>
      </c>
      <c r="HR500" s="14">
        <f t="shared" si="526"/>
        <v>3</v>
      </c>
      <c r="HS500" s="14">
        <f t="shared" si="527"/>
        <v>2000</v>
      </c>
      <c r="HT500" s="14" t="str">
        <f t="shared" si="528"/>
        <v>HPExt</v>
      </c>
      <c r="HU500" s="14">
        <f t="shared" si="529"/>
        <v>3514</v>
      </c>
      <c r="HV500" s="14">
        <f t="shared" si="530"/>
        <v>10042</v>
      </c>
    </row>
    <row r="501" spans="151:230" ht="16.5" x14ac:dyDescent="0.2">
      <c r="EU501" s="13">
        <v>496</v>
      </c>
      <c r="EV501" s="14">
        <f t="shared" si="510"/>
        <v>2</v>
      </c>
      <c r="EW501" s="14">
        <f t="shared" si="478"/>
        <v>61</v>
      </c>
      <c r="EX501" s="14">
        <f t="shared" si="511"/>
        <v>8</v>
      </c>
      <c r="EY501" s="14">
        <f t="shared" si="479"/>
        <v>30</v>
      </c>
      <c r="EZ501" s="14">
        <f t="shared" si="491"/>
        <v>13</v>
      </c>
      <c r="FA501" s="14">
        <f t="shared" si="492"/>
        <v>30</v>
      </c>
      <c r="FB501" s="14">
        <f t="shared" si="493"/>
        <v>3</v>
      </c>
      <c r="FC501" s="14">
        <f t="shared" si="494"/>
        <v>5</v>
      </c>
      <c r="FD501" s="14">
        <f t="shared" si="495"/>
        <v>5</v>
      </c>
      <c r="FE501" s="14" t="b">
        <f t="shared" si="512"/>
        <v>0</v>
      </c>
      <c r="FF501" s="14">
        <f t="shared" si="496"/>
        <v>2102305</v>
      </c>
      <c r="FG501" s="13" t="str">
        <f t="shared" si="497"/>
        <v>30级-精良守护灵の鞋子</v>
      </c>
      <c r="FH501" s="14">
        <f t="shared" si="498"/>
        <v>2</v>
      </c>
      <c r="FI501" s="14">
        <f t="shared" si="499"/>
        <v>3</v>
      </c>
      <c r="FJ501" s="14">
        <f t="shared" si="500"/>
        <v>30</v>
      </c>
      <c r="FK501" s="14">
        <v>62</v>
      </c>
      <c r="FL501" s="14">
        <f t="shared" si="501"/>
        <v>2</v>
      </c>
      <c r="FM501" s="14">
        <f t="shared" si="480"/>
        <v>5</v>
      </c>
      <c r="FN501" s="14" t="str">
        <f t="shared" si="502"/>
        <v/>
      </c>
      <c r="FO501" s="14">
        <f t="shared" si="481"/>
        <v>36</v>
      </c>
      <c r="FP501" s="14">
        <f t="shared" si="513"/>
        <v>0</v>
      </c>
      <c r="FQ501" s="14">
        <f t="shared" si="514"/>
        <v>0</v>
      </c>
      <c r="FR501" s="14">
        <f t="shared" si="515"/>
        <v>425</v>
      </c>
      <c r="FS501" s="14">
        <f t="shared" si="516"/>
        <v>0</v>
      </c>
      <c r="FT501" s="14">
        <f t="shared" si="517"/>
        <v>0</v>
      </c>
      <c r="FU501" s="14">
        <f t="shared" si="518"/>
        <v>36</v>
      </c>
      <c r="FV501" s="14">
        <f t="shared" si="503"/>
        <v>2023</v>
      </c>
      <c r="FW501" s="14">
        <f t="shared" si="504"/>
        <v>2</v>
      </c>
      <c r="FX501" s="14">
        <f t="shared" si="505"/>
        <v>2023</v>
      </c>
      <c r="FY501" s="25" t="str">
        <f t="shared" si="519"/>
        <v>icon_2102105</v>
      </c>
      <c r="GC501" s="14">
        <f t="shared" si="506"/>
        <v>3</v>
      </c>
      <c r="GD501" s="14">
        <f t="shared" si="507"/>
        <v>0</v>
      </c>
      <c r="GE501" s="14">
        <f t="shared" si="482"/>
        <v>36</v>
      </c>
      <c r="GF501" s="14" t="str">
        <f t="shared" si="483"/>
        <v>HPExt</v>
      </c>
      <c r="GG501" s="14">
        <f t="shared" si="484"/>
        <v>425</v>
      </c>
      <c r="GH501" s="14">
        <f t="shared" si="485"/>
        <v>36</v>
      </c>
      <c r="GI501" s="14" t="str">
        <f t="shared" si="486"/>
        <v/>
      </c>
      <c r="GJ501" s="14" t="str">
        <f t="shared" si="487"/>
        <v/>
      </c>
      <c r="GK501" s="14" t="str">
        <f t="shared" si="488"/>
        <v/>
      </c>
      <c r="GL501" s="14">
        <f t="shared" si="508"/>
        <v>20230</v>
      </c>
      <c r="GM501" s="14">
        <f t="shared" si="489"/>
        <v>2</v>
      </c>
      <c r="GN501" s="14">
        <f t="shared" si="490"/>
        <v>2023</v>
      </c>
      <c r="GO501" s="25" t="s">
        <v>1471</v>
      </c>
      <c r="GP501" s="14">
        <f t="shared" si="509"/>
        <v>40</v>
      </c>
      <c r="GQ501" s="30"/>
      <c r="HK501" s="13">
        <v>496</v>
      </c>
      <c r="HL501" s="14">
        <f t="shared" si="520"/>
        <v>21</v>
      </c>
      <c r="HM501" s="14">
        <f t="shared" si="521"/>
        <v>2</v>
      </c>
      <c r="HN501" s="14">
        <f t="shared" si="522"/>
        <v>10</v>
      </c>
      <c r="HO501" s="14">
        <f t="shared" si="523"/>
        <v>4</v>
      </c>
      <c r="HP501" s="14" t="str">
        <f t="shared" si="524"/>
        <v>140级守护灵洗练-Q4-4</v>
      </c>
      <c r="HQ501" s="14">
        <f t="shared" si="525"/>
        <v>2104</v>
      </c>
      <c r="HR501" s="14">
        <f t="shared" si="526"/>
        <v>4</v>
      </c>
      <c r="HS501" s="14">
        <f t="shared" si="527"/>
        <v>500</v>
      </c>
      <c r="HT501" s="14" t="str">
        <f t="shared" si="528"/>
        <v>AtkRate</v>
      </c>
      <c r="HU501" s="14">
        <f t="shared" si="529"/>
        <v>1.4E-2</v>
      </c>
      <c r="HV501" s="14">
        <f t="shared" si="530"/>
        <v>0.04</v>
      </c>
    </row>
    <row r="502" spans="151:230" ht="16.5" x14ac:dyDescent="0.2">
      <c r="EU502" s="13">
        <v>497</v>
      </c>
      <c r="EV502" s="14">
        <f t="shared" si="510"/>
        <v>2</v>
      </c>
      <c r="EW502" s="14">
        <f t="shared" si="478"/>
        <v>62</v>
      </c>
      <c r="EX502" s="14">
        <f t="shared" si="511"/>
        <v>8</v>
      </c>
      <c r="EY502" s="14">
        <f t="shared" si="479"/>
        <v>30</v>
      </c>
      <c r="EZ502" s="14">
        <f t="shared" si="491"/>
        <v>13</v>
      </c>
      <c r="FA502" s="14">
        <f t="shared" si="492"/>
        <v>30</v>
      </c>
      <c r="FB502" s="14">
        <f t="shared" si="493"/>
        <v>3</v>
      </c>
      <c r="FC502" s="14">
        <f t="shared" si="494"/>
        <v>6</v>
      </c>
      <c r="FD502" s="14">
        <f t="shared" si="495"/>
        <v>6</v>
      </c>
      <c r="FE502" s="14" t="b">
        <f t="shared" si="512"/>
        <v>0</v>
      </c>
      <c r="FF502" s="14">
        <f t="shared" si="496"/>
        <v>2102306</v>
      </c>
      <c r="FG502" s="13" t="str">
        <f t="shared" si="497"/>
        <v>30级-精良守护灵の护手</v>
      </c>
      <c r="FH502" s="14">
        <f t="shared" si="498"/>
        <v>2</v>
      </c>
      <c r="FI502" s="14">
        <f t="shared" si="499"/>
        <v>3</v>
      </c>
      <c r="FJ502" s="14">
        <f t="shared" si="500"/>
        <v>30</v>
      </c>
      <c r="FK502" s="14">
        <v>63</v>
      </c>
      <c r="FL502" s="14">
        <f t="shared" si="501"/>
        <v>2</v>
      </c>
      <c r="FM502" s="14">
        <f t="shared" si="480"/>
        <v>6</v>
      </c>
      <c r="FN502" s="14" t="str">
        <f t="shared" si="502"/>
        <v/>
      </c>
      <c r="FO502" s="14">
        <f t="shared" si="481"/>
        <v>36</v>
      </c>
      <c r="FP502" s="14">
        <f t="shared" si="513"/>
        <v>0</v>
      </c>
      <c r="FQ502" s="14">
        <f t="shared" si="514"/>
        <v>0</v>
      </c>
      <c r="FR502" s="14">
        <f t="shared" si="515"/>
        <v>425</v>
      </c>
      <c r="FS502" s="14">
        <f t="shared" si="516"/>
        <v>0</v>
      </c>
      <c r="FT502" s="14">
        <f t="shared" si="517"/>
        <v>0</v>
      </c>
      <c r="FU502" s="14">
        <f t="shared" si="518"/>
        <v>36</v>
      </c>
      <c r="FV502" s="14">
        <f t="shared" si="503"/>
        <v>2023</v>
      </c>
      <c r="FW502" s="14">
        <f t="shared" si="504"/>
        <v>2</v>
      </c>
      <c r="FX502" s="14">
        <f t="shared" si="505"/>
        <v>2023</v>
      </c>
      <c r="FY502" s="25" t="str">
        <f t="shared" si="519"/>
        <v>icon_2102106</v>
      </c>
      <c r="GC502" s="14">
        <f t="shared" si="506"/>
        <v>3</v>
      </c>
      <c r="GD502" s="14">
        <f t="shared" si="507"/>
        <v>0</v>
      </c>
      <c r="GE502" s="14">
        <f t="shared" si="482"/>
        <v>36</v>
      </c>
      <c r="GF502" s="14" t="str">
        <f t="shared" si="483"/>
        <v>HPExt</v>
      </c>
      <c r="GG502" s="14">
        <f t="shared" si="484"/>
        <v>425</v>
      </c>
      <c r="GH502" s="14">
        <f t="shared" si="485"/>
        <v>36</v>
      </c>
      <c r="GI502" s="14" t="str">
        <f t="shared" si="486"/>
        <v/>
      </c>
      <c r="GJ502" s="14" t="str">
        <f t="shared" si="487"/>
        <v/>
      </c>
      <c r="GK502" s="14" t="str">
        <f t="shared" si="488"/>
        <v/>
      </c>
      <c r="GL502" s="14">
        <f t="shared" si="508"/>
        <v>20230</v>
      </c>
      <c r="GM502" s="14">
        <f t="shared" si="489"/>
        <v>2</v>
      </c>
      <c r="GN502" s="14">
        <f t="shared" si="490"/>
        <v>2023</v>
      </c>
      <c r="GO502" s="25" t="s">
        <v>1471</v>
      </c>
      <c r="GP502" s="14">
        <f t="shared" si="509"/>
        <v>40</v>
      </c>
      <c r="GQ502" s="30"/>
      <c r="HK502" s="13">
        <v>497</v>
      </c>
      <c r="HL502" s="14">
        <f t="shared" si="520"/>
        <v>21</v>
      </c>
      <c r="HM502" s="14">
        <f t="shared" si="521"/>
        <v>2</v>
      </c>
      <c r="HN502" s="14">
        <f t="shared" si="522"/>
        <v>10</v>
      </c>
      <c r="HO502" s="14">
        <f t="shared" si="523"/>
        <v>4</v>
      </c>
      <c r="HP502" s="14" t="str">
        <f t="shared" si="524"/>
        <v>140级守护灵洗练-Q4-5</v>
      </c>
      <c r="HQ502" s="14">
        <f t="shared" si="525"/>
        <v>2104</v>
      </c>
      <c r="HR502" s="14">
        <f t="shared" si="526"/>
        <v>5</v>
      </c>
      <c r="HS502" s="14">
        <f t="shared" si="527"/>
        <v>400</v>
      </c>
      <c r="HT502" s="14" t="str">
        <f t="shared" si="528"/>
        <v>DefRate</v>
      </c>
      <c r="HU502" s="14">
        <f t="shared" si="529"/>
        <v>1.4E-2</v>
      </c>
      <c r="HV502" s="14">
        <f t="shared" si="530"/>
        <v>0.04</v>
      </c>
    </row>
    <row r="503" spans="151:230" ht="16.5" x14ac:dyDescent="0.2">
      <c r="EU503" s="13">
        <v>498</v>
      </c>
      <c r="EV503" s="14">
        <f t="shared" si="510"/>
        <v>2</v>
      </c>
      <c r="EW503" s="14">
        <f t="shared" si="478"/>
        <v>63</v>
      </c>
      <c r="EX503" s="14">
        <f t="shared" si="511"/>
        <v>8</v>
      </c>
      <c r="EY503" s="14">
        <f t="shared" si="479"/>
        <v>30</v>
      </c>
      <c r="EZ503" s="14">
        <f t="shared" si="491"/>
        <v>13</v>
      </c>
      <c r="FA503" s="14">
        <f t="shared" si="492"/>
        <v>30</v>
      </c>
      <c r="FB503" s="14">
        <f t="shared" si="493"/>
        <v>3</v>
      </c>
      <c r="FC503" s="14">
        <f t="shared" si="494"/>
        <v>7</v>
      </c>
      <c r="FD503" s="14">
        <f t="shared" si="495"/>
        <v>7</v>
      </c>
      <c r="FE503" s="14" t="b">
        <f t="shared" si="512"/>
        <v>0</v>
      </c>
      <c r="FF503" s="14">
        <f t="shared" si="496"/>
        <v>2102307</v>
      </c>
      <c r="FG503" s="13" t="str">
        <f t="shared" si="497"/>
        <v>30级-精良守护灵の项链</v>
      </c>
      <c r="FH503" s="14">
        <f t="shared" si="498"/>
        <v>2</v>
      </c>
      <c r="FI503" s="14">
        <f t="shared" si="499"/>
        <v>3</v>
      </c>
      <c r="FJ503" s="14">
        <f t="shared" si="500"/>
        <v>30</v>
      </c>
      <c r="FK503" s="14">
        <v>64</v>
      </c>
      <c r="FL503" s="14">
        <f t="shared" si="501"/>
        <v>2</v>
      </c>
      <c r="FM503" s="14">
        <f t="shared" si="480"/>
        <v>7</v>
      </c>
      <c r="FN503" s="14" t="str">
        <f t="shared" si="502"/>
        <v/>
      </c>
      <c r="FO503" s="14">
        <f t="shared" si="481"/>
        <v>40</v>
      </c>
      <c r="FP503" s="14">
        <f t="shared" si="513"/>
        <v>45</v>
      </c>
      <c r="FQ503" s="14">
        <f t="shared" si="514"/>
        <v>30</v>
      </c>
      <c r="FR503" s="14">
        <f t="shared" si="515"/>
        <v>0</v>
      </c>
      <c r="FS503" s="14">
        <f t="shared" si="516"/>
        <v>4</v>
      </c>
      <c r="FT503" s="14">
        <f t="shared" si="517"/>
        <v>2</v>
      </c>
      <c r="FU503" s="14">
        <f t="shared" si="518"/>
        <v>0</v>
      </c>
      <c r="FV503" s="14">
        <f t="shared" si="503"/>
        <v>2023</v>
      </c>
      <c r="FW503" s="14">
        <f t="shared" si="504"/>
        <v>2</v>
      </c>
      <c r="FX503" s="14">
        <f t="shared" si="505"/>
        <v>2023</v>
      </c>
      <c r="FY503" s="25" t="str">
        <f t="shared" si="519"/>
        <v>icon_2102107</v>
      </c>
      <c r="GC503" s="14">
        <f t="shared" si="506"/>
        <v>1</v>
      </c>
      <c r="GD503" s="14">
        <f t="shared" si="507"/>
        <v>2</v>
      </c>
      <c r="GE503" s="14">
        <f t="shared" si="482"/>
        <v>40</v>
      </c>
      <c r="GF503" s="14" t="str">
        <f t="shared" si="483"/>
        <v>AtkExt</v>
      </c>
      <c r="GG503" s="14">
        <f t="shared" si="484"/>
        <v>45</v>
      </c>
      <c r="GH503" s="14">
        <f t="shared" si="485"/>
        <v>4</v>
      </c>
      <c r="GI503" s="14" t="str">
        <f t="shared" si="486"/>
        <v>DefExt</v>
      </c>
      <c r="GJ503" s="14">
        <f t="shared" si="487"/>
        <v>30</v>
      </c>
      <c r="GK503" s="14">
        <f t="shared" si="488"/>
        <v>2</v>
      </c>
      <c r="GL503" s="14">
        <f t="shared" si="508"/>
        <v>20230</v>
      </c>
      <c r="GM503" s="14">
        <f t="shared" si="489"/>
        <v>2</v>
      </c>
      <c r="GN503" s="14">
        <f t="shared" si="490"/>
        <v>2023</v>
      </c>
      <c r="GO503" s="25" t="s">
        <v>1471</v>
      </c>
      <c r="GP503" s="14">
        <f t="shared" si="509"/>
        <v>60</v>
      </c>
      <c r="GQ503" s="30"/>
      <c r="HK503" s="13">
        <v>498</v>
      </c>
      <c r="HL503" s="14">
        <f t="shared" si="520"/>
        <v>21</v>
      </c>
      <c r="HM503" s="14">
        <f t="shared" si="521"/>
        <v>2</v>
      </c>
      <c r="HN503" s="14">
        <f t="shared" si="522"/>
        <v>10</v>
      </c>
      <c r="HO503" s="14">
        <f t="shared" si="523"/>
        <v>4</v>
      </c>
      <c r="HP503" s="14" t="str">
        <f t="shared" si="524"/>
        <v>140级守护灵洗练-Q4-6</v>
      </c>
      <c r="HQ503" s="14">
        <f t="shared" si="525"/>
        <v>2104</v>
      </c>
      <c r="HR503" s="14">
        <f t="shared" si="526"/>
        <v>6</v>
      </c>
      <c r="HS503" s="14">
        <f t="shared" si="527"/>
        <v>500</v>
      </c>
      <c r="HT503" s="14" t="str">
        <f t="shared" si="528"/>
        <v>HPRate</v>
      </c>
      <c r="HU503" s="14">
        <f t="shared" si="529"/>
        <v>1.4E-2</v>
      </c>
      <c r="HV503" s="14">
        <f t="shared" si="530"/>
        <v>0.04</v>
      </c>
    </row>
    <row r="504" spans="151:230" ht="16.5" x14ac:dyDescent="0.2">
      <c r="EU504" s="13">
        <v>499</v>
      </c>
      <c r="EV504" s="14">
        <f t="shared" si="510"/>
        <v>2</v>
      </c>
      <c r="EW504" s="14">
        <f t="shared" si="478"/>
        <v>64</v>
      </c>
      <c r="EX504" s="14">
        <f t="shared" si="511"/>
        <v>8</v>
      </c>
      <c r="EY504" s="14">
        <f t="shared" si="479"/>
        <v>30</v>
      </c>
      <c r="EZ504" s="14">
        <f t="shared" si="491"/>
        <v>13</v>
      </c>
      <c r="FA504" s="14">
        <f t="shared" si="492"/>
        <v>30</v>
      </c>
      <c r="FB504" s="14">
        <f t="shared" si="493"/>
        <v>3</v>
      </c>
      <c r="FC504" s="14">
        <f t="shared" si="494"/>
        <v>8</v>
      </c>
      <c r="FD504" s="14">
        <f t="shared" si="495"/>
        <v>8</v>
      </c>
      <c r="FE504" s="14" t="b">
        <f t="shared" si="512"/>
        <v>0</v>
      </c>
      <c r="FF504" s="14">
        <f t="shared" si="496"/>
        <v>2102308</v>
      </c>
      <c r="FG504" s="13" t="str">
        <f t="shared" si="497"/>
        <v>30级-精良守护灵の戒指</v>
      </c>
      <c r="FH504" s="14">
        <f t="shared" si="498"/>
        <v>2</v>
      </c>
      <c r="FI504" s="14">
        <f t="shared" si="499"/>
        <v>3</v>
      </c>
      <c r="FJ504" s="14">
        <f t="shared" si="500"/>
        <v>30</v>
      </c>
      <c r="FK504" s="14">
        <v>65</v>
      </c>
      <c r="FL504" s="14">
        <f t="shared" si="501"/>
        <v>2</v>
      </c>
      <c r="FM504" s="14">
        <f t="shared" si="480"/>
        <v>8</v>
      </c>
      <c r="FN504" s="14" t="str">
        <f t="shared" si="502"/>
        <v/>
      </c>
      <c r="FO504" s="14">
        <f t="shared" si="481"/>
        <v>50</v>
      </c>
      <c r="FP504" s="14">
        <f t="shared" si="513"/>
        <v>45</v>
      </c>
      <c r="FQ504" s="14">
        <f t="shared" si="514"/>
        <v>0</v>
      </c>
      <c r="FR504" s="14">
        <f t="shared" si="515"/>
        <v>355</v>
      </c>
      <c r="FS504" s="14">
        <f t="shared" si="516"/>
        <v>4</v>
      </c>
      <c r="FT504" s="14">
        <f t="shared" si="517"/>
        <v>0</v>
      </c>
      <c r="FU504" s="14">
        <f t="shared" si="518"/>
        <v>30</v>
      </c>
      <c r="FV504" s="14">
        <f t="shared" si="503"/>
        <v>2023</v>
      </c>
      <c r="FW504" s="14">
        <f t="shared" si="504"/>
        <v>2</v>
      </c>
      <c r="FX504" s="14">
        <f t="shared" si="505"/>
        <v>2023</v>
      </c>
      <c r="FY504" s="25" t="str">
        <f t="shared" si="519"/>
        <v>icon_2102108</v>
      </c>
      <c r="GC504" s="14">
        <f t="shared" si="506"/>
        <v>1</v>
      </c>
      <c r="GD504" s="14">
        <f t="shared" si="507"/>
        <v>3</v>
      </c>
      <c r="GE504" s="14">
        <f t="shared" si="482"/>
        <v>50</v>
      </c>
      <c r="GF504" s="14" t="str">
        <f t="shared" si="483"/>
        <v>AtkExt</v>
      </c>
      <c r="GG504" s="14">
        <f t="shared" si="484"/>
        <v>45</v>
      </c>
      <c r="GH504" s="14">
        <f t="shared" si="485"/>
        <v>4</v>
      </c>
      <c r="GI504" s="14" t="str">
        <f t="shared" si="486"/>
        <v>HPExt</v>
      </c>
      <c r="GJ504" s="14">
        <f t="shared" si="487"/>
        <v>355</v>
      </c>
      <c r="GK504" s="14">
        <f t="shared" si="488"/>
        <v>30</v>
      </c>
      <c r="GL504" s="14">
        <f t="shared" si="508"/>
        <v>20230</v>
      </c>
      <c r="GM504" s="14">
        <f t="shared" si="489"/>
        <v>2</v>
      </c>
      <c r="GN504" s="14">
        <f t="shared" si="490"/>
        <v>2023</v>
      </c>
      <c r="GO504" s="25" t="s">
        <v>1471</v>
      </c>
      <c r="GP504" s="14">
        <f t="shared" si="509"/>
        <v>60</v>
      </c>
      <c r="GQ504" s="30"/>
      <c r="HK504" s="13">
        <v>499</v>
      </c>
      <c r="HL504" s="14">
        <f t="shared" si="520"/>
        <v>21</v>
      </c>
      <c r="HM504" s="14">
        <f t="shared" si="521"/>
        <v>2</v>
      </c>
      <c r="HN504" s="14">
        <f t="shared" si="522"/>
        <v>10</v>
      </c>
      <c r="HO504" s="14">
        <f t="shared" si="523"/>
        <v>4</v>
      </c>
      <c r="HP504" s="14" t="str">
        <f t="shared" si="524"/>
        <v>140级守护灵洗练-Q4-7</v>
      </c>
      <c r="HQ504" s="14">
        <f t="shared" si="525"/>
        <v>2104</v>
      </c>
      <c r="HR504" s="14">
        <f t="shared" si="526"/>
        <v>7</v>
      </c>
      <c r="HS504" s="14">
        <f t="shared" si="527"/>
        <v>500</v>
      </c>
      <c r="HT504" s="14" t="str">
        <f t="shared" si="528"/>
        <v>Crit</v>
      </c>
      <c r="HU504" s="14">
        <f t="shared" si="529"/>
        <v>1.0999999999999999E-2</v>
      </c>
      <c r="HV504" s="14">
        <f t="shared" si="530"/>
        <v>0.03</v>
      </c>
    </row>
    <row r="505" spans="151:230" ht="16.5" x14ac:dyDescent="0.2">
      <c r="EU505" s="13">
        <v>500</v>
      </c>
      <c r="EV505" s="14">
        <f t="shared" si="510"/>
        <v>2</v>
      </c>
      <c r="EW505" s="14">
        <f t="shared" ref="EW505:EW568" si="531">MOD(EU505-1,$EV$3)+1</f>
        <v>65</v>
      </c>
      <c r="EX505" s="14">
        <f t="shared" si="511"/>
        <v>9</v>
      </c>
      <c r="EY505" s="14">
        <f t="shared" ref="EY505:EY568" si="532">INDEX($AK$7:$AK$64,EX505)</f>
        <v>40</v>
      </c>
      <c r="EZ505" s="14">
        <f t="shared" si="491"/>
        <v>13</v>
      </c>
      <c r="FA505" s="14">
        <f t="shared" si="492"/>
        <v>30</v>
      </c>
      <c r="FB505" s="14">
        <f t="shared" si="493"/>
        <v>4</v>
      </c>
      <c r="FC505" s="14">
        <f t="shared" si="494"/>
        <v>1</v>
      </c>
      <c r="FD505" s="14">
        <f t="shared" si="495"/>
        <v>1</v>
      </c>
      <c r="FE505" s="14" t="b">
        <f t="shared" si="512"/>
        <v>0</v>
      </c>
      <c r="FF505" s="14">
        <f t="shared" si="496"/>
        <v>2102401</v>
      </c>
      <c r="FG505" s="13" t="str">
        <f t="shared" si="497"/>
        <v>30级-史诗守护灵の灵器</v>
      </c>
      <c r="FH505" s="14">
        <f t="shared" si="498"/>
        <v>2</v>
      </c>
      <c r="FI505" s="14">
        <f t="shared" si="499"/>
        <v>4</v>
      </c>
      <c r="FJ505" s="14">
        <f t="shared" si="500"/>
        <v>30</v>
      </c>
      <c r="FK505" s="14">
        <v>66</v>
      </c>
      <c r="FL505" s="14">
        <f t="shared" si="501"/>
        <v>2</v>
      </c>
      <c r="FM505" s="14">
        <f t="shared" ref="FM505:FM568" si="533">FD505</f>
        <v>1</v>
      </c>
      <c r="FN505" s="14" t="str">
        <f t="shared" si="502"/>
        <v/>
      </c>
      <c r="FO505" s="14">
        <f t="shared" ref="FO505:FO568" si="534">INT(SUMPRODUCT($FS$3:$FU$3,FS505:FU505)*IF(FN505="",1,1.5))</f>
        <v>70</v>
      </c>
      <c r="FP505" s="14">
        <f t="shared" si="513"/>
        <v>155</v>
      </c>
      <c r="FQ505" s="14">
        <f t="shared" si="514"/>
        <v>0</v>
      </c>
      <c r="FR505" s="14">
        <f t="shared" si="515"/>
        <v>0</v>
      </c>
      <c r="FS505" s="14">
        <f t="shared" si="516"/>
        <v>14</v>
      </c>
      <c r="FT505" s="14">
        <f t="shared" si="517"/>
        <v>0</v>
      </c>
      <c r="FU505" s="14">
        <f t="shared" si="518"/>
        <v>0</v>
      </c>
      <c r="FV505" s="14">
        <f t="shared" si="503"/>
        <v>2024</v>
      </c>
      <c r="FW505" s="14">
        <f t="shared" si="504"/>
        <v>3</v>
      </c>
      <c r="FX505" s="14">
        <f t="shared" si="505"/>
        <v>2024</v>
      </c>
      <c r="FY505" s="25" t="str">
        <f t="shared" si="519"/>
        <v>icon_2102101</v>
      </c>
      <c r="GC505" s="14">
        <f t="shared" si="506"/>
        <v>1</v>
      </c>
      <c r="GD505" s="14">
        <f t="shared" si="507"/>
        <v>0</v>
      </c>
      <c r="GE505" s="14">
        <f t="shared" ref="GE505:GE568" si="535">FO505</f>
        <v>70</v>
      </c>
      <c r="GF505" s="14" t="str">
        <f t="shared" ref="GF505:GF568" si="536">INDEX($BH$3:$BJ$3,GC505)</f>
        <v>AtkExt</v>
      </c>
      <c r="GG505" s="14">
        <f t="shared" ref="GG505:GG568" si="537">INDEX(FP505:FR505,GC505)</f>
        <v>155</v>
      </c>
      <c r="GH505" s="14">
        <f t="shared" ref="GH505:GH568" si="538">INDEX(FS505:FU505,GC505)</f>
        <v>14</v>
      </c>
      <c r="GI505" s="14" t="str">
        <f t="shared" ref="GI505:GI568" si="539">IF(GD505&gt;0,INDEX($BH$3:$BJ$3,GD505),"")</f>
        <v/>
      </c>
      <c r="GJ505" s="14" t="str">
        <f t="shared" ref="GJ505:GJ568" si="540">IF(GD505&gt;0,INDEX(FP505:FR505,GD505),"")</f>
        <v/>
      </c>
      <c r="GK505" s="14" t="str">
        <f t="shared" ref="GK505:GK568" si="541">IF(GD505&gt;0,INDEX(FS505:FU505,GD505),"")</f>
        <v/>
      </c>
      <c r="GL505" s="14">
        <f t="shared" si="508"/>
        <v>20240</v>
      </c>
      <c r="GM505" s="14">
        <f t="shared" ref="GM505:GM568" si="542">FW505</f>
        <v>3</v>
      </c>
      <c r="GN505" s="14">
        <f t="shared" ref="GN505:GN568" si="543">FX505</f>
        <v>2024</v>
      </c>
      <c r="GO505" s="25" t="s">
        <v>1471</v>
      </c>
      <c r="GP505" s="14">
        <f t="shared" si="509"/>
        <v>160</v>
      </c>
      <c r="GQ505" s="30"/>
      <c r="HK505" s="13">
        <v>500</v>
      </c>
      <c r="HL505" s="14">
        <f t="shared" si="520"/>
        <v>21</v>
      </c>
      <c r="HM505" s="14">
        <f t="shared" si="521"/>
        <v>2</v>
      </c>
      <c r="HN505" s="14">
        <f t="shared" si="522"/>
        <v>10</v>
      </c>
      <c r="HO505" s="14">
        <f t="shared" si="523"/>
        <v>4</v>
      </c>
      <c r="HP505" s="14" t="str">
        <f t="shared" si="524"/>
        <v>140级守护灵洗练-Q4-8</v>
      </c>
      <c r="HQ505" s="14">
        <f t="shared" si="525"/>
        <v>2104</v>
      </c>
      <c r="HR505" s="14">
        <f t="shared" si="526"/>
        <v>8</v>
      </c>
      <c r="HS505" s="14">
        <f t="shared" si="527"/>
        <v>500</v>
      </c>
      <c r="HT505" s="14" t="str">
        <f t="shared" si="528"/>
        <v>CritRate</v>
      </c>
      <c r="HU505" s="14">
        <f t="shared" si="529"/>
        <v>2.8000000000000001E-2</v>
      </c>
      <c r="HV505" s="14">
        <f t="shared" si="530"/>
        <v>0.08</v>
      </c>
    </row>
    <row r="506" spans="151:230" ht="16.5" x14ac:dyDescent="0.2">
      <c r="EU506" s="13">
        <v>501</v>
      </c>
      <c r="EV506" s="14">
        <f t="shared" si="510"/>
        <v>2</v>
      </c>
      <c r="EW506" s="14">
        <f t="shared" si="531"/>
        <v>66</v>
      </c>
      <c r="EX506" s="14">
        <f t="shared" si="511"/>
        <v>9</v>
      </c>
      <c r="EY506" s="14">
        <f t="shared" si="532"/>
        <v>40</v>
      </c>
      <c r="EZ506" s="14">
        <f t="shared" si="491"/>
        <v>13</v>
      </c>
      <c r="FA506" s="14">
        <f t="shared" si="492"/>
        <v>30</v>
      </c>
      <c r="FB506" s="14">
        <f t="shared" si="493"/>
        <v>4</v>
      </c>
      <c r="FC506" s="14">
        <f t="shared" si="494"/>
        <v>2</v>
      </c>
      <c r="FD506" s="14">
        <f t="shared" si="495"/>
        <v>2</v>
      </c>
      <c r="FE506" s="14" t="b">
        <f t="shared" si="512"/>
        <v>0</v>
      </c>
      <c r="FF506" s="14">
        <f t="shared" si="496"/>
        <v>2102402</v>
      </c>
      <c r="FG506" s="13" t="str">
        <f t="shared" si="497"/>
        <v>30级-史诗守护灵の头盔</v>
      </c>
      <c r="FH506" s="14">
        <f t="shared" si="498"/>
        <v>2</v>
      </c>
      <c r="FI506" s="14">
        <f t="shared" si="499"/>
        <v>4</v>
      </c>
      <c r="FJ506" s="14">
        <f t="shared" si="500"/>
        <v>30</v>
      </c>
      <c r="FK506" s="14">
        <v>67</v>
      </c>
      <c r="FL506" s="14">
        <f t="shared" si="501"/>
        <v>2</v>
      </c>
      <c r="FM506" s="14">
        <f t="shared" si="533"/>
        <v>2</v>
      </c>
      <c r="FN506" s="14" t="str">
        <f t="shared" si="502"/>
        <v/>
      </c>
      <c r="FO506" s="14">
        <f t="shared" si="534"/>
        <v>30</v>
      </c>
      <c r="FP506" s="14">
        <f t="shared" si="513"/>
        <v>0</v>
      </c>
      <c r="FQ506" s="14">
        <f t="shared" si="514"/>
        <v>40</v>
      </c>
      <c r="FR506" s="14">
        <f t="shared" si="515"/>
        <v>0</v>
      </c>
      <c r="FS506" s="14">
        <f t="shared" si="516"/>
        <v>0</v>
      </c>
      <c r="FT506" s="14">
        <f t="shared" si="517"/>
        <v>3</v>
      </c>
      <c r="FU506" s="14">
        <f t="shared" si="518"/>
        <v>0</v>
      </c>
      <c r="FV506" s="14">
        <f t="shared" si="503"/>
        <v>2024</v>
      </c>
      <c r="FW506" s="14">
        <f t="shared" si="504"/>
        <v>3</v>
      </c>
      <c r="FX506" s="14">
        <f t="shared" si="505"/>
        <v>2024</v>
      </c>
      <c r="FY506" s="25" t="str">
        <f t="shared" si="519"/>
        <v>icon_2102102</v>
      </c>
      <c r="GC506" s="14">
        <f t="shared" si="506"/>
        <v>2</v>
      </c>
      <c r="GD506" s="14">
        <f t="shared" si="507"/>
        <v>0</v>
      </c>
      <c r="GE506" s="14">
        <f t="shared" si="535"/>
        <v>30</v>
      </c>
      <c r="GF506" s="14" t="str">
        <f t="shared" si="536"/>
        <v>DefExt</v>
      </c>
      <c r="GG506" s="14">
        <f t="shared" si="537"/>
        <v>40</v>
      </c>
      <c r="GH506" s="14">
        <f t="shared" si="538"/>
        <v>3</v>
      </c>
      <c r="GI506" s="14" t="str">
        <f t="shared" si="539"/>
        <v/>
      </c>
      <c r="GJ506" s="14" t="str">
        <f t="shared" si="540"/>
        <v/>
      </c>
      <c r="GK506" s="14" t="str">
        <f t="shared" si="541"/>
        <v/>
      </c>
      <c r="GL506" s="14">
        <f t="shared" si="508"/>
        <v>20240</v>
      </c>
      <c r="GM506" s="14">
        <f t="shared" si="542"/>
        <v>3</v>
      </c>
      <c r="GN506" s="14">
        <f t="shared" si="543"/>
        <v>2024</v>
      </c>
      <c r="GO506" s="25" t="s">
        <v>1471</v>
      </c>
      <c r="GP506" s="14">
        <f t="shared" si="509"/>
        <v>80</v>
      </c>
      <c r="GQ506" s="30"/>
      <c r="HK506" s="13">
        <v>501</v>
      </c>
      <c r="HL506" s="14">
        <f t="shared" si="520"/>
        <v>21</v>
      </c>
      <c r="HM506" s="14">
        <f t="shared" si="521"/>
        <v>2</v>
      </c>
      <c r="HN506" s="14">
        <f t="shared" si="522"/>
        <v>10</v>
      </c>
      <c r="HO506" s="14">
        <f t="shared" si="523"/>
        <v>4</v>
      </c>
      <c r="HP506" s="14" t="str">
        <f t="shared" si="524"/>
        <v>140级守护灵洗练-Q4-9</v>
      </c>
      <c r="HQ506" s="14">
        <f t="shared" si="525"/>
        <v>2104</v>
      </c>
      <c r="HR506" s="14">
        <f t="shared" si="526"/>
        <v>9</v>
      </c>
      <c r="HS506" s="14">
        <f t="shared" si="527"/>
        <v>500</v>
      </c>
      <c r="HT506" s="14" t="str">
        <f t="shared" si="528"/>
        <v>DefIgnor</v>
      </c>
      <c r="HU506" s="14">
        <f t="shared" si="529"/>
        <v>1.0999999999999999E-2</v>
      </c>
      <c r="HV506" s="14">
        <f t="shared" si="530"/>
        <v>0.03</v>
      </c>
    </row>
    <row r="507" spans="151:230" ht="16.5" x14ac:dyDescent="0.2">
      <c r="EU507" s="13">
        <v>502</v>
      </c>
      <c r="EV507" s="14">
        <f t="shared" si="510"/>
        <v>2</v>
      </c>
      <c r="EW507" s="14">
        <f t="shared" si="531"/>
        <v>67</v>
      </c>
      <c r="EX507" s="14">
        <f t="shared" si="511"/>
        <v>9</v>
      </c>
      <c r="EY507" s="14">
        <f t="shared" si="532"/>
        <v>40</v>
      </c>
      <c r="EZ507" s="14">
        <f t="shared" si="491"/>
        <v>13</v>
      </c>
      <c r="FA507" s="14">
        <f t="shared" si="492"/>
        <v>30</v>
      </c>
      <c r="FB507" s="14">
        <f t="shared" si="493"/>
        <v>4</v>
      </c>
      <c r="FC507" s="14">
        <f t="shared" si="494"/>
        <v>3</v>
      </c>
      <c r="FD507" s="14">
        <f t="shared" si="495"/>
        <v>3</v>
      </c>
      <c r="FE507" s="14" t="b">
        <f t="shared" si="512"/>
        <v>0</v>
      </c>
      <c r="FF507" s="14">
        <f t="shared" si="496"/>
        <v>2102403</v>
      </c>
      <c r="FG507" s="13" t="str">
        <f t="shared" si="497"/>
        <v>30级-史诗守护灵の铠甲</v>
      </c>
      <c r="FH507" s="14">
        <f t="shared" si="498"/>
        <v>2</v>
      </c>
      <c r="FI507" s="14">
        <f t="shared" si="499"/>
        <v>4</v>
      </c>
      <c r="FJ507" s="14">
        <f t="shared" si="500"/>
        <v>30</v>
      </c>
      <c r="FK507" s="14">
        <v>68</v>
      </c>
      <c r="FL507" s="14">
        <f t="shared" si="501"/>
        <v>2</v>
      </c>
      <c r="FM507" s="14">
        <f t="shared" si="533"/>
        <v>3</v>
      </c>
      <c r="FN507" s="14" t="str">
        <f t="shared" si="502"/>
        <v/>
      </c>
      <c r="FO507" s="14">
        <f t="shared" si="534"/>
        <v>41</v>
      </c>
      <c r="FP507" s="14">
        <f t="shared" si="513"/>
        <v>0</v>
      </c>
      <c r="FQ507" s="14">
        <f t="shared" si="514"/>
        <v>20</v>
      </c>
      <c r="FR507" s="14">
        <f t="shared" si="515"/>
        <v>250</v>
      </c>
      <c r="FS507" s="14">
        <f t="shared" si="516"/>
        <v>0</v>
      </c>
      <c r="FT507" s="14">
        <f t="shared" si="517"/>
        <v>2</v>
      </c>
      <c r="FU507" s="14">
        <f t="shared" si="518"/>
        <v>21</v>
      </c>
      <c r="FV507" s="14">
        <f t="shared" si="503"/>
        <v>2024</v>
      </c>
      <c r="FW507" s="14">
        <f t="shared" si="504"/>
        <v>3</v>
      </c>
      <c r="FX507" s="14">
        <f t="shared" si="505"/>
        <v>2024</v>
      </c>
      <c r="FY507" s="25" t="str">
        <f t="shared" si="519"/>
        <v>icon_2102103</v>
      </c>
      <c r="GC507" s="14">
        <f t="shared" si="506"/>
        <v>2</v>
      </c>
      <c r="GD507" s="14">
        <f t="shared" si="507"/>
        <v>3</v>
      </c>
      <c r="GE507" s="14">
        <f t="shared" si="535"/>
        <v>41</v>
      </c>
      <c r="GF507" s="14" t="str">
        <f t="shared" si="536"/>
        <v>DefExt</v>
      </c>
      <c r="GG507" s="14">
        <f t="shared" si="537"/>
        <v>20</v>
      </c>
      <c r="GH507" s="14">
        <f t="shared" si="538"/>
        <v>2</v>
      </c>
      <c r="GI507" s="14" t="str">
        <f t="shared" si="539"/>
        <v>HPExt</v>
      </c>
      <c r="GJ507" s="14">
        <f t="shared" si="540"/>
        <v>250</v>
      </c>
      <c r="GK507" s="14">
        <f t="shared" si="541"/>
        <v>21</v>
      </c>
      <c r="GL507" s="14">
        <f t="shared" si="508"/>
        <v>20240</v>
      </c>
      <c r="GM507" s="14">
        <f t="shared" si="542"/>
        <v>3</v>
      </c>
      <c r="GN507" s="14">
        <f t="shared" si="543"/>
        <v>2024</v>
      </c>
      <c r="GO507" s="25" t="s">
        <v>1471</v>
      </c>
      <c r="GP507" s="14">
        <f t="shared" si="509"/>
        <v>80</v>
      </c>
      <c r="GQ507" s="30"/>
      <c r="HK507" s="13">
        <v>502</v>
      </c>
      <c r="HL507" s="14">
        <f t="shared" si="520"/>
        <v>21</v>
      </c>
      <c r="HM507" s="14">
        <f t="shared" si="521"/>
        <v>2</v>
      </c>
      <c r="HN507" s="14">
        <f t="shared" si="522"/>
        <v>10</v>
      </c>
      <c r="HO507" s="14">
        <f t="shared" si="523"/>
        <v>4</v>
      </c>
      <c r="HP507" s="14" t="str">
        <f t="shared" si="524"/>
        <v>140级守护灵洗练-Q4-10</v>
      </c>
      <c r="HQ507" s="14">
        <f t="shared" si="525"/>
        <v>2104</v>
      </c>
      <c r="HR507" s="14">
        <f t="shared" si="526"/>
        <v>10</v>
      </c>
      <c r="HS507" s="14">
        <f t="shared" si="527"/>
        <v>500</v>
      </c>
      <c r="HT507" s="14" t="str">
        <f t="shared" si="528"/>
        <v>Block</v>
      </c>
      <c r="HU507" s="14">
        <f t="shared" si="529"/>
        <v>1.0999999999999999E-2</v>
      </c>
      <c r="HV507" s="14">
        <f t="shared" si="530"/>
        <v>0.03</v>
      </c>
    </row>
    <row r="508" spans="151:230" ht="16.5" x14ac:dyDescent="0.2">
      <c r="EU508" s="13">
        <v>503</v>
      </c>
      <c r="EV508" s="14">
        <f t="shared" si="510"/>
        <v>2</v>
      </c>
      <c r="EW508" s="14">
        <f t="shared" si="531"/>
        <v>68</v>
      </c>
      <c r="EX508" s="14">
        <f t="shared" si="511"/>
        <v>9</v>
      </c>
      <c r="EY508" s="14">
        <f t="shared" si="532"/>
        <v>40</v>
      </c>
      <c r="EZ508" s="14">
        <f t="shared" si="491"/>
        <v>13</v>
      </c>
      <c r="FA508" s="14">
        <f t="shared" si="492"/>
        <v>30</v>
      </c>
      <c r="FB508" s="14">
        <f t="shared" si="493"/>
        <v>4</v>
      </c>
      <c r="FC508" s="14">
        <f t="shared" si="494"/>
        <v>4</v>
      </c>
      <c r="FD508" s="14">
        <f t="shared" si="495"/>
        <v>4</v>
      </c>
      <c r="FE508" s="14" t="b">
        <f t="shared" si="512"/>
        <v>0</v>
      </c>
      <c r="FF508" s="14">
        <f t="shared" si="496"/>
        <v>2102404</v>
      </c>
      <c r="FG508" s="13" t="str">
        <f t="shared" si="497"/>
        <v>30级-史诗守护灵の裤子</v>
      </c>
      <c r="FH508" s="14">
        <f t="shared" si="498"/>
        <v>2</v>
      </c>
      <c r="FI508" s="14">
        <f t="shared" si="499"/>
        <v>4</v>
      </c>
      <c r="FJ508" s="14">
        <f t="shared" si="500"/>
        <v>30</v>
      </c>
      <c r="FK508" s="14">
        <v>69</v>
      </c>
      <c r="FL508" s="14">
        <f t="shared" si="501"/>
        <v>2</v>
      </c>
      <c r="FM508" s="14">
        <f t="shared" si="533"/>
        <v>4</v>
      </c>
      <c r="FN508" s="14" t="str">
        <f t="shared" si="502"/>
        <v/>
      </c>
      <c r="FO508" s="14">
        <f t="shared" si="534"/>
        <v>30</v>
      </c>
      <c r="FP508" s="14">
        <f t="shared" si="513"/>
        <v>0</v>
      </c>
      <c r="FQ508" s="14">
        <f t="shared" si="514"/>
        <v>40</v>
      </c>
      <c r="FR508" s="14">
        <f t="shared" si="515"/>
        <v>0</v>
      </c>
      <c r="FS508" s="14">
        <f t="shared" si="516"/>
        <v>0</v>
      </c>
      <c r="FT508" s="14">
        <f t="shared" si="517"/>
        <v>3</v>
      </c>
      <c r="FU508" s="14">
        <f t="shared" si="518"/>
        <v>0</v>
      </c>
      <c r="FV508" s="14">
        <f t="shared" si="503"/>
        <v>2024</v>
      </c>
      <c r="FW508" s="14">
        <f t="shared" si="504"/>
        <v>3</v>
      </c>
      <c r="FX508" s="14">
        <f t="shared" si="505"/>
        <v>2024</v>
      </c>
      <c r="FY508" s="25" t="str">
        <f t="shared" si="519"/>
        <v>icon_2102104</v>
      </c>
      <c r="GC508" s="14">
        <f t="shared" si="506"/>
        <v>2</v>
      </c>
      <c r="GD508" s="14">
        <f t="shared" si="507"/>
        <v>0</v>
      </c>
      <c r="GE508" s="14">
        <f t="shared" si="535"/>
        <v>30</v>
      </c>
      <c r="GF508" s="14" t="str">
        <f t="shared" si="536"/>
        <v>DefExt</v>
      </c>
      <c r="GG508" s="14">
        <f t="shared" si="537"/>
        <v>40</v>
      </c>
      <c r="GH508" s="14">
        <f t="shared" si="538"/>
        <v>3</v>
      </c>
      <c r="GI508" s="14" t="str">
        <f t="shared" si="539"/>
        <v/>
      </c>
      <c r="GJ508" s="14" t="str">
        <f t="shared" si="540"/>
        <v/>
      </c>
      <c r="GK508" s="14" t="str">
        <f t="shared" si="541"/>
        <v/>
      </c>
      <c r="GL508" s="14">
        <f t="shared" si="508"/>
        <v>20240</v>
      </c>
      <c r="GM508" s="14">
        <f t="shared" si="542"/>
        <v>3</v>
      </c>
      <c r="GN508" s="14">
        <f t="shared" si="543"/>
        <v>2024</v>
      </c>
      <c r="GO508" s="25" t="s">
        <v>1471</v>
      </c>
      <c r="GP508" s="14">
        <f t="shared" si="509"/>
        <v>80</v>
      </c>
      <c r="GQ508" s="30"/>
      <c r="HK508" s="13">
        <v>503</v>
      </c>
      <c r="HL508" s="14">
        <f t="shared" si="520"/>
        <v>21</v>
      </c>
      <c r="HM508" s="14">
        <f t="shared" si="521"/>
        <v>2</v>
      </c>
      <c r="HN508" s="14">
        <f t="shared" si="522"/>
        <v>10</v>
      </c>
      <c r="HO508" s="14">
        <f t="shared" si="523"/>
        <v>4</v>
      </c>
      <c r="HP508" s="14" t="str">
        <f t="shared" si="524"/>
        <v>140级守护灵洗练-Q4-11</v>
      </c>
      <c r="HQ508" s="14">
        <f t="shared" si="525"/>
        <v>2104</v>
      </c>
      <c r="HR508" s="14">
        <f t="shared" si="526"/>
        <v>11</v>
      </c>
      <c r="HS508" s="14">
        <f t="shared" si="527"/>
        <v>500</v>
      </c>
      <c r="HT508" s="14" t="str">
        <f t="shared" si="528"/>
        <v>EffectHit</v>
      </c>
      <c r="HU508" s="14">
        <f t="shared" si="529"/>
        <v>1.7999999999999999E-2</v>
      </c>
      <c r="HV508" s="14">
        <f t="shared" si="530"/>
        <v>0.05</v>
      </c>
    </row>
    <row r="509" spans="151:230" ht="16.5" x14ac:dyDescent="0.2">
      <c r="EU509" s="13">
        <v>504</v>
      </c>
      <c r="EV509" s="14">
        <f t="shared" si="510"/>
        <v>2</v>
      </c>
      <c r="EW509" s="14">
        <f t="shared" si="531"/>
        <v>69</v>
      </c>
      <c r="EX509" s="14">
        <f t="shared" si="511"/>
        <v>9</v>
      </c>
      <c r="EY509" s="14">
        <f t="shared" si="532"/>
        <v>40</v>
      </c>
      <c r="EZ509" s="14">
        <f t="shared" si="491"/>
        <v>13</v>
      </c>
      <c r="FA509" s="14">
        <f t="shared" si="492"/>
        <v>30</v>
      </c>
      <c r="FB509" s="14">
        <f t="shared" si="493"/>
        <v>4</v>
      </c>
      <c r="FC509" s="14">
        <f t="shared" si="494"/>
        <v>5</v>
      </c>
      <c r="FD509" s="14">
        <f t="shared" si="495"/>
        <v>5</v>
      </c>
      <c r="FE509" s="14" t="b">
        <f t="shared" si="512"/>
        <v>0</v>
      </c>
      <c r="FF509" s="14">
        <f t="shared" si="496"/>
        <v>2102405</v>
      </c>
      <c r="FG509" s="13" t="str">
        <f t="shared" si="497"/>
        <v>30级-史诗守护灵の鞋子</v>
      </c>
      <c r="FH509" s="14">
        <f t="shared" si="498"/>
        <v>2</v>
      </c>
      <c r="FI509" s="14">
        <f t="shared" si="499"/>
        <v>4</v>
      </c>
      <c r="FJ509" s="14">
        <f t="shared" si="500"/>
        <v>30</v>
      </c>
      <c r="FK509" s="14">
        <v>70</v>
      </c>
      <c r="FL509" s="14">
        <f t="shared" si="501"/>
        <v>2</v>
      </c>
      <c r="FM509" s="14">
        <f t="shared" si="533"/>
        <v>5</v>
      </c>
      <c r="FN509" s="14" t="str">
        <f t="shared" si="502"/>
        <v/>
      </c>
      <c r="FO509" s="14">
        <f t="shared" si="534"/>
        <v>43</v>
      </c>
      <c r="FP509" s="14">
        <f t="shared" si="513"/>
        <v>0</v>
      </c>
      <c r="FQ509" s="14">
        <f t="shared" si="514"/>
        <v>0</v>
      </c>
      <c r="FR509" s="14">
        <f t="shared" si="515"/>
        <v>500</v>
      </c>
      <c r="FS509" s="14">
        <f t="shared" si="516"/>
        <v>0</v>
      </c>
      <c r="FT509" s="14">
        <f t="shared" si="517"/>
        <v>0</v>
      </c>
      <c r="FU509" s="14">
        <f t="shared" si="518"/>
        <v>43</v>
      </c>
      <c r="FV509" s="14">
        <f t="shared" si="503"/>
        <v>2024</v>
      </c>
      <c r="FW509" s="14">
        <f t="shared" si="504"/>
        <v>3</v>
      </c>
      <c r="FX509" s="14">
        <f t="shared" si="505"/>
        <v>2024</v>
      </c>
      <c r="FY509" s="25" t="str">
        <f t="shared" si="519"/>
        <v>icon_2102105</v>
      </c>
      <c r="GC509" s="14">
        <f t="shared" si="506"/>
        <v>3</v>
      </c>
      <c r="GD509" s="14">
        <f t="shared" si="507"/>
        <v>0</v>
      </c>
      <c r="GE509" s="14">
        <f t="shared" si="535"/>
        <v>43</v>
      </c>
      <c r="GF509" s="14" t="str">
        <f t="shared" si="536"/>
        <v>HPExt</v>
      </c>
      <c r="GG509" s="14">
        <f t="shared" si="537"/>
        <v>500</v>
      </c>
      <c r="GH509" s="14">
        <f t="shared" si="538"/>
        <v>43</v>
      </c>
      <c r="GI509" s="14" t="str">
        <f t="shared" si="539"/>
        <v/>
      </c>
      <c r="GJ509" s="14" t="str">
        <f t="shared" si="540"/>
        <v/>
      </c>
      <c r="GK509" s="14" t="str">
        <f t="shared" si="541"/>
        <v/>
      </c>
      <c r="GL509" s="14">
        <f t="shared" si="508"/>
        <v>20240</v>
      </c>
      <c r="GM509" s="14">
        <f t="shared" si="542"/>
        <v>3</v>
      </c>
      <c r="GN509" s="14">
        <f t="shared" si="543"/>
        <v>2024</v>
      </c>
      <c r="GO509" s="25" t="s">
        <v>1471</v>
      </c>
      <c r="GP509" s="14">
        <f t="shared" si="509"/>
        <v>80</v>
      </c>
      <c r="GQ509" s="30"/>
      <c r="HK509" s="13">
        <v>504</v>
      </c>
      <c r="HL509" s="14">
        <f t="shared" si="520"/>
        <v>21</v>
      </c>
      <c r="HM509" s="14">
        <f t="shared" si="521"/>
        <v>2</v>
      </c>
      <c r="HN509" s="14">
        <f t="shared" si="522"/>
        <v>10</v>
      </c>
      <c r="HO509" s="14">
        <f t="shared" si="523"/>
        <v>4</v>
      </c>
      <c r="HP509" s="14" t="str">
        <f t="shared" si="524"/>
        <v>140级守护灵洗练-Q4-12</v>
      </c>
      <c r="HQ509" s="14">
        <f t="shared" si="525"/>
        <v>2104</v>
      </c>
      <c r="HR509" s="14">
        <f t="shared" si="526"/>
        <v>12</v>
      </c>
      <c r="HS509" s="14">
        <f t="shared" si="527"/>
        <v>500</v>
      </c>
      <c r="HT509" s="14" t="str">
        <f t="shared" si="528"/>
        <v>EffectResist</v>
      </c>
      <c r="HU509" s="14">
        <f t="shared" si="529"/>
        <v>1.7999999999999999E-2</v>
      </c>
      <c r="HV509" s="14">
        <f t="shared" si="530"/>
        <v>0.05</v>
      </c>
    </row>
    <row r="510" spans="151:230" ht="16.5" x14ac:dyDescent="0.2">
      <c r="EU510" s="13">
        <v>505</v>
      </c>
      <c r="EV510" s="14">
        <f t="shared" si="510"/>
        <v>2</v>
      </c>
      <c r="EW510" s="14">
        <f t="shared" si="531"/>
        <v>70</v>
      </c>
      <c r="EX510" s="14">
        <f t="shared" si="511"/>
        <v>9</v>
      </c>
      <c r="EY510" s="14">
        <f t="shared" si="532"/>
        <v>40</v>
      </c>
      <c r="EZ510" s="14">
        <f t="shared" si="491"/>
        <v>13</v>
      </c>
      <c r="FA510" s="14">
        <f t="shared" si="492"/>
        <v>30</v>
      </c>
      <c r="FB510" s="14">
        <f t="shared" si="493"/>
        <v>4</v>
      </c>
      <c r="FC510" s="14">
        <f t="shared" si="494"/>
        <v>6</v>
      </c>
      <c r="FD510" s="14">
        <f t="shared" si="495"/>
        <v>6</v>
      </c>
      <c r="FE510" s="14" t="b">
        <f t="shared" si="512"/>
        <v>0</v>
      </c>
      <c r="FF510" s="14">
        <f t="shared" si="496"/>
        <v>2102406</v>
      </c>
      <c r="FG510" s="13" t="str">
        <f t="shared" si="497"/>
        <v>30级-史诗守护灵の护手</v>
      </c>
      <c r="FH510" s="14">
        <f t="shared" si="498"/>
        <v>2</v>
      </c>
      <c r="FI510" s="14">
        <f t="shared" si="499"/>
        <v>4</v>
      </c>
      <c r="FJ510" s="14">
        <f t="shared" si="500"/>
        <v>30</v>
      </c>
      <c r="FK510" s="14">
        <v>71</v>
      </c>
      <c r="FL510" s="14">
        <f t="shared" si="501"/>
        <v>2</v>
      </c>
      <c r="FM510" s="14">
        <f t="shared" si="533"/>
        <v>6</v>
      </c>
      <c r="FN510" s="14" t="str">
        <f t="shared" si="502"/>
        <v/>
      </c>
      <c r="FO510" s="14">
        <f t="shared" si="534"/>
        <v>43</v>
      </c>
      <c r="FP510" s="14">
        <f t="shared" si="513"/>
        <v>0</v>
      </c>
      <c r="FQ510" s="14">
        <f t="shared" si="514"/>
        <v>0</v>
      </c>
      <c r="FR510" s="14">
        <f t="shared" si="515"/>
        <v>500</v>
      </c>
      <c r="FS510" s="14">
        <f t="shared" si="516"/>
        <v>0</v>
      </c>
      <c r="FT510" s="14">
        <f t="shared" si="517"/>
        <v>0</v>
      </c>
      <c r="FU510" s="14">
        <f t="shared" si="518"/>
        <v>43</v>
      </c>
      <c r="FV510" s="14">
        <f t="shared" si="503"/>
        <v>2024</v>
      </c>
      <c r="FW510" s="14">
        <f t="shared" si="504"/>
        <v>3</v>
      </c>
      <c r="FX510" s="14">
        <f t="shared" si="505"/>
        <v>2024</v>
      </c>
      <c r="FY510" s="25" t="str">
        <f t="shared" si="519"/>
        <v>icon_2102106</v>
      </c>
      <c r="GC510" s="14">
        <f t="shared" si="506"/>
        <v>3</v>
      </c>
      <c r="GD510" s="14">
        <f t="shared" si="507"/>
        <v>0</v>
      </c>
      <c r="GE510" s="14">
        <f t="shared" si="535"/>
        <v>43</v>
      </c>
      <c r="GF510" s="14" t="str">
        <f t="shared" si="536"/>
        <v>HPExt</v>
      </c>
      <c r="GG510" s="14">
        <f t="shared" si="537"/>
        <v>500</v>
      </c>
      <c r="GH510" s="14">
        <f t="shared" si="538"/>
        <v>43</v>
      </c>
      <c r="GI510" s="14" t="str">
        <f t="shared" si="539"/>
        <v/>
      </c>
      <c r="GJ510" s="14" t="str">
        <f t="shared" si="540"/>
        <v/>
      </c>
      <c r="GK510" s="14" t="str">
        <f t="shared" si="541"/>
        <v/>
      </c>
      <c r="GL510" s="14">
        <f t="shared" si="508"/>
        <v>20240</v>
      </c>
      <c r="GM510" s="14">
        <f t="shared" si="542"/>
        <v>3</v>
      </c>
      <c r="GN510" s="14">
        <f t="shared" si="543"/>
        <v>2024</v>
      </c>
      <c r="GO510" s="25" t="s">
        <v>1471</v>
      </c>
      <c r="GP510" s="14">
        <f t="shared" si="509"/>
        <v>80</v>
      </c>
      <c r="GQ510" s="30"/>
      <c r="HK510" s="13">
        <v>505</v>
      </c>
      <c r="HL510" s="14">
        <f t="shared" si="520"/>
        <v>22</v>
      </c>
      <c r="HM510" s="14">
        <f t="shared" si="521"/>
        <v>2</v>
      </c>
      <c r="HN510" s="14">
        <f t="shared" si="522"/>
        <v>11</v>
      </c>
      <c r="HO510" s="14">
        <f t="shared" si="523"/>
        <v>3</v>
      </c>
      <c r="HP510" s="14" t="str">
        <f t="shared" si="524"/>
        <v>150级守护灵洗练-Q3-1</v>
      </c>
      <c r="HQ510" s="14">
        <f t="shared" si="525"/>
        <v>2113</v>
      </c>
      <c r="HR510" s="14">
        <f t="shared" si="526"/>
        <v>1</v>
      </c>
      <c r="HS510" s="14">
        <f t="shared" si="527"/>
        <v>1800</v>
      </c>
      <c r="HT510" s="14" t="str">
        <f t="shared" si="528"/>
        <v>AtkExt</v>
      </c>
      <c r="HU510" s="14">
        <f t="shared" si="529"/>
        <v>462</v>
      </c>
      <c r="HV510" s="14">
        <f t="shared" si="530"/>
        <v>1322</v>
      </c>
    </row>
    <row r="511" spans="151:230" ht="16.5" x14ac:dyDescent="0.2">
      <c r="EU511" s="13">
        <v>506</v>
      </c>
      <c r="EV511" s="14">
        <f t="shared" si="510"/>
        <v>2</v>
      </c>
      <c r="EW511" s="14">
        <f t="shared" si="531"/>
        <v>71</v>
      </c>
      <c r="EX511" s="14">
        <f t="shared" si="511"/>
        <v>9</v>
      </c>
      <c r="EY511" s="14">
        <f t="shared" si="532"/>
        <v>40</v>
      </c>
      <c r="EZ511" s="14">
        <f t="shared" si="491"/>
        <v>13</v>
      </c>
      <c r="FA511" s="14">
        <f t="shared" si="492"/>
        <v>30</v>
      </c>
      <c r="FB511" s="14">
        <f t="shared" si="493"/>
        <v>4</v>
      </c>
      <c r="FC511" s="14">
        <f t="shared" si="494"/>
        <v>7</v>
      </c>
      <c r="FD511" s="14">
        <f t="shared" si="495"/>
        <v>7</v>
      </c>
      <c r="FE511" s="14" t="b">
        <f t="shared" si="512"/>
        <v>0</v>
      </c>
      <c r="FF511" s="14">
        <f t="shared" si="496"/>
        <v>2102407</v>
      </c>
      <c r="FG511" s="13" t="str">
        <f t="shared" si="497"/>
        <v>30级-史诗守护灵の项链</v>
      </c>
      <c r="FH511" s="14">
        <f t="shared" si="498"/>
        <v>2</v>
      </c>
      <c r="FI511" s="14">
        <f t="shared" si="499"/>
        <v>4</v>
      </c>
      <c r="FJ511" s="14">
        <f t="shared" si="500"/>
        <v>30</v>
      </c>
      <c r="FK511" s="14">
        <v>72</v>
      </c>
      <c r="FL511" s="14">
        <f t="shared" si="501"/>
        <v>2</v>
      </c>
      <c r="FM511" s="14">
        <f t="shared" si="533"/>
        <v>7</v>
      </c>
      <c r="FN511" s="14" t="str">
        <f t="shared" si="502"/>
        <v/>
      </c>
      <c r="FO511" s="14">
        <f t="shared" si="534"/>
        <v>55</v>
      </c>
      <c r="FP511" s="14">
        <f t="shared" si="513"/>
        <v>50</v>
      </c>
      <c r="FQ511" s="14">
        <f t="shared" si="514"/>
        <v>35</v>
      </c>
      <c r="FR511" s="14">
        <f t="shared" si="515"/>
        <v>0</v>
      </c>
      <c r="FS511" s="14">
        <f t="shared" si="516"/>
        <v>5</v>
      </c>
      <c r="FT511" s="14">
        <f t="shared" si="517"/>
        <v>3</v>
      </c>
      <c r="FU511" s="14">
        <f t="shared" si="518"/>
        <v>0</v>
      </c>
      <c r="FV511" s="14">
        <f t="shared" si="503"/>
        <v>2024</v>
      </c>
      <c r="FW511" s="14">
        <f t="shared" si="504"/>
        <v>3</v>
      </c>
      <c r="FX511" s="14">
        <f t="shared" si="505"/>
        <v>2024</v>
      </c>
      <c r="FY511" s="25" t="str">
        <f t="shared" si="519"/>
        <v>icon_2102107</v>
      </c>
      <c r="GC511" s="14">
        <f t="shared" si="506"/>
        <v>1</v>
      </c>
      <c r="GD511" s="14">
        <f t="shared" si="507"/>
        <v>2</v>
      </c>
      <c r="GE511" s="14">
        <f t="shared" si="535"/>
        <v>55</v>
      </c>
      <c r="GF511" s="14" t="str">
        <f t="shared" si="536"/>
        <v>AtkExt</v>
      </c>
      <c r="GG511" s="14">
        <f t="shared" si="537"/>
        <v>50</v>
      </c>
      <c r="GH511" s="14">
        <f t="shared" si="538"/>
        <v>5</v>
      </c>
      <c r="GI511" s="14" t="str">
        <f t="shared" si="539"/>
        <v>DefExt</v>
      </c>
      <c r="GJ511" s="14">
        <f t="shared" si="540"/>
        <v>35</v>
      </c>
      <c r="GK511" s="14">
        <f t="shared" si="541"/>
        <v>3</v>
      </c>
      <c r="GL511" s="14">
        <f t="shared" si="508"/>
        <v>20240</v>
      </c>
      <c r="GM511" s="14">
        <f t="shared" si="542"/>
        <v>3</v>
      </c>
      <c r="GN511" s="14">
        <f t="shared" si="543"/>
        <v>2024</v>
      </c>
      <c r="GO511" s="25" t="s">
        <v>1471</v>
      </c>
      <c r="GP511" s="14">
        <f t="shared" si="509"/>
        <v>120</v>
      </c>
      <c r="GQ511" s="30"/>
      <c r="HK511" s="13">
        <v>506</v>
      </c>
      <c r="HL511" s="14">
        <f t="shared" si="520"/>
        <v>22</v>
      </c>
      <c r="HM511" s="14">
        <f t="shared" si="521"/>
        <v>2</v>
      </c>
      <c r="HN511" s="14">
        <f t="shared" si="522"/>
        <v>11</v>
      </c>
      <c r="HO511" s="14">
        <f t="shared" si="523"/>
        <v>3</v>
      </c>
      <c r="HP511" s="14" t="str">
        <f t="shared" si="524"/>
        <v>150级守护灵洗练-Q3-2</v>
      </c>
      <c r="HQ511" s="14">
        <f t="shared" si="525"/>
        <v>2113</v>
      </c>
      <c r="HR511" s="14">
        <f t="shared" si="526"/>
        <v>2</v>
      </c>
      <c r="HS511" s="14">
        <f t="shared" si="527"/>
        <v>1800</v>
      </c>
      <c r="HT511" s="14" t="str">
        <f t="shared" si="528"/>
        <v>DefExt</v>
      </c>
      <c r="HU511" s="14">
        <f t="shared" si="529"/>
        <v>170</v>
      </c>
      <c r="HV511" s="14">
        <f t="shared" si="530"/>
        <v>486</v>
      </c>
    </row>
    <row r="512" spans="151:230" ht="16.5" x14ac:dyDescent="0.2">
      <c r="EU512" s="13">
        <v>507</v>
      </c>
      <c r="EV512" s="14">
        <f t="shared" si="510"/>
        <v>2</v>
      </c>
      <c r="EW512" s="14">
        <f t="shared" si="531"/>
        <v>72</v>
      </c>
      <c r="EX512" s="14">
        <f t="shared" si="511"/>
        <v>9</v>
      </c>
      <c r="EY512" s="14">
        <f t="shared" si="532"/>
        <v>40</v>
      </c>
      <c r="EZ512" s="14">
        <f t="shared" si="491"/>
        <v>13</v>
      </c>
      <c r="FA512" s="14">
        <f t="shared" si="492"/>
        <v>30</v>
      </c>
      <c r="FB512" s="14">
        <f t="shared" si="493"/>
        <v>4</v>
      </c>
      <c r="FC512" s="14">
        <f t="shared" si="494"/>
        <v>8</v>
      </c>
      <c r="FD512" s="14">
        <f t="shared" si="495"/>
        <v>8</v>
      </c>
      <c r="FE512" s="14" t="b">
        <f t="shared" si="512"/>
        <v>0</v>
      </c>
      <c r="FF512" s="14">
        <f t="shared" si="496"/>
        <v>2102408</v>
      </c>
      <c r="FG512" s="13" t="str">
        <f t="shared" si="497"/>
        <v>30级-史诗守护灵の戒指</v>
      </c>
      <c r="FH512" s="14">
        <f t="shared" si="498"/>
        <v>2</v>
      </c>
      <c r="FI512" s="14">
        <f t="shared" si="499"/>
        <v>4</v>
      </c>
      <c r="FJ512" s="14">
        <f t="shared" si="500"/>
        <v>30</v>
      </c>
      <c r="FK512" s="14">
        <v>73</v>
      </c>
      <c r="FL512" s="14">
        <f t="shared" si="501"/>
        <v>2</v>
      </c>
      <c r="FM512" s="14">
        <f t="shared" si="533"/>
        <v>8</v>
      </c>
      <c r="FN512" s="14" t="str">
        <f t="shared" si="502"/>
        <v/>
      </c>
      <c r="FO512" s="14">
        <f t="shared" si="534"/>
        <v>61</v>
      </c>
      <c r="FP512" s="14">
        <f t="shared" si="513"/>
        <v>50</v>
      </c>
      <c r="FQ512" s="14">
        <f t="shared" si="514"/>
        <v>0</v>
      </c>
      <c r="FR512" s="14">
        <f t="shared" si="515"/>
        <v>420</v>
      </c>
      <c r="FS512" s="14">
        <f t="shared" si="516"/>
        <v>5</v>
      </c>
      <c r="FT512" s="14">
        <f t="shared" si="517"/>
        <v>0</v>
      </c>
      <c r="FU512" s="14">
        <f t="shared" si="518"/>
        <v>36</v>
      </c>
      <c r="FV512" s="14">
        <f t="shared" si="503"/>
        <v>2024</v>
      </c>
      <c r="FW512" s="14">
        <f t="shared" si="504"/>
        <v>3</v>
      </c>
      <c r="FX512" s="14">
        <f t="shared" si="505"/>
        <v>2024</v>
      </c>
      <c r="FY512" s="25" t="str">
        <f t="shared" si="519"/>
        <v>icon_2102108</v>
      </c>
      <c r="GC512" s="14">
        <f t="shared" si="506"/>
        <v>1</v>
      </c>
      <c r="GD512" s="14">
        <f t="shared" si="507"/>
        <v>3</v>
      </c>
      <c r="GE512" s="14">
        <f t="shared" si="535"/>
        <v>61</v>
      </c>
      <c r="GF512" s="14" t="str">
        <f t="shared" si="536"/>
        <v>AtkExt</v>
      </c>
      <c r="GG512" s="14">
        <f t="shared" si="537"/>
        <v>50</v>
      </c>
      <c r="GH512" s="14">
        <f t="shared" si="538"/>
        <v>5</v>
      </c>
      <c r="GI512" s="14" t="str">
        <f t="shared" si="539"/>
        <v>HPExt</v>
      </c>
      <c r="GJ512" s="14">
        <f t="shared" si="540"/>
        <v>420</v>
      </c>
      <c r="GK512" s="14">
        <f t="shared" si="541"/>
        <v>36</v>
      </c>
      <c r="GL512" s="14">
        <f t="shared" si="508"/>
        <v>20240</v>
      </c>
      <c r="GM512" s="14">
        <f t="shared" si="542"/>
        <v>3</v>
      </c>
      <c r="GN512" s="14">
        <f t="shared" si="543"/>
        <v>2024</v>
      </c>
      <c r="GO512" s="25" t="s">
        <v>1471</v>
      </c>
      <c r="GP512" s="14">
        <f t="shared" si="509"/>
        <v>120</v>
      </c>
      <c r="GQ512" s="30"/>
      <c r="HK512" s="13">
        <v>507</v>
      </c>
      <c r="HL512" s="14">
        <f t="shared" si="520"/>
        <v>22</v>
      </c>
      <c r="HM512" s="14">
        <f t="shared" si="521"/>
        <v>2</v>
      </c>
      <c r="HN512" s="14">
        <f t="shared" si="522"/>
        <v>11</v>
      </c>
      <c r="HO512" s="14">
        <f t="shared" si="523"/>
        <v>3</v>
      </c>
      <c r="HP512" s="14" t="str">
        <f t="shared" si="524"/>
        <v>150级守护灵洗练-Q3-3</v>
      </c>
      <c r="HQ512" s="14">
        <f t="shared" si="525"/>
        <v>2113</v>
      </c>
      <c r="HR512" s="14">
        <f t="shared" si="526"/>
        <v>3</v>
      </c>
      <c r="HS512" s="14">
        <f t="shared" si="527"/>
        <v>2000</v>
      </c>
      <c r="HT512" s="14" t="str">
        <f t="shared" si="528"/>
        <v>HPExt</v>
      </c>
      <c r="HU512" s="14" t="e">
        <f t="shared" si="529"/>
        <v>#VALUE!</v>
      </c>
      <c r="HV512" s="14" t="e">
        <f t="shared" si="530"/>
        <v>#VALUE!</v>
      </c>
    </row>
    <row r="513" spans="151:230" ht="16.5" x14ac:dyDescent="0.2">
      <c r="EU513" s="13">
        <v>508</v>
      </c>
      <c r="EV513" s="14">
        <f t="shared" si="510"/>
        <v>2</v>
      </c>
      <c r="EW513" s="14">
        <f t="shared" si="531"/>
        <v>73</v>
      </c>
      <c r="EX513" s="14">
        <f t="shared" si="511"/>
        <v>10</v>
      </c>
      <c r="EY513" s="14">
        <f t="shared" si="532"/>
        <v>41</v>
      </c>
      <c r="EZ513" s="14">
        <f t="shared" si="491"/>
        <v>13</v>
      </c>
      <c r="FA513" s="14">
        <f t="shared" si="492"/>
        <v>30</v>
      </c>
      <c r="FB513" s="14">
        <f t="shared" si="493"/>
        <v>4</v>
      </c>
      <c r="FC513" s="14">
        <f t="shared" si="494"/>
        <v>1</v>
      </c>
      <c r="FD513" s="14">
        <f t="shared" si="495"/>
        <v>1</v>
      </c>
      <c r="FE513" s="14" t="b">
        <f t="shared" si="512"/>
        <v>1</v>
      </c>
      <c r="FF513" s="14">
        <f t="shared" si="496"/>
        <v>2102411</v>
      </c>
      <c r="FG513" s="13" t="str">
        <f t="shared" si="497"/>
        <v>30级-攻击套守护灵の灵器</v>
      </c>
      <c r="FH513" s="14">
        <f t="shared" si="498"/>
        <v>2</v>
      </c>
      <c r="FI513" s="14">
        <f t="shared" si="499"/>
        <v>4</v>
      </c>
      <c r="FJ513" s="14">
        <f t="shared" si="500"/>
        <v>30</v>
      </c>
      <c r="FK513" s="14">
        <v>74</v>
      </c>
      <c r="FL513" s="14">
        <f t="shared" si="501"/>
        <v>2</v>
      </c>
      <c r="FM513" s="14">
        <f t="shared" si="533"/>
        <v>1</v>
      </c>
      <c r="FN513" s="14">
        <f t="shared" si="502"/>
        <v>210241</v>
      </c>
      <c r="FO513" s="14">
        <f t="shared" si="534"/>
        <v>105</v>
      </c>
      <c r="FP513" s="14">
        <f t="shared" si="513"/>
        <v>155</v>
      </c>
      <c r="FQ513" s="14">
        <f t="shared" si="514"/>
        <v>0</v>
      </c>
      <c r="FR513" s="14">
        <f t="shared" si="515"/>
        <v>0</v>
      </c>
      <c r="FS513" s="14">
        <f t="shared" si="516"/>
        <v>14</v>
      </c>
      <c r="FT513" s="14">
        <f t="shared" si="517"/>
        <v>0</v>
      </c>
      <c r="FU513" s="14">
        <f t="shared" si="518"/>
        <v>0</v>
      </c>
      <c r="FV513" s="14">
        <f t="shared" si="503"/>
        <v>2024</v>
      </c>
      <c r="FW513" s="14">
        <f t="shared" si="504"/>
        <v>3</v>
      </c>
      <c r="FX513" s="14">
        <f t="shared" si="505"/>
        <v>2024</v>
      </c>
      <c r="FY513" s="25" t="str">
        <f t="shared" si="519"/>
        <v>icon_2102411</v>
      </c>
      <c r="GC513" s="14">
        <f t="shared" si="506"/>
        <v>1</v>
      </c>
      <c r="GD513" s="14">
        <f t="shared" si="507"/>
        <v>0</v>
      </c>
      <c r="GE513" s="14">
        <f t="shared" si="535"/>
        <v>105</v>
      </c>
      <c r="GF513" s="14" t="str">
        <f t="shared" si="536"/>
        <v>AtkExt</v>
      </c>
      <c r="GG513" s="14">
        <f t="shared" si="537"/>
        <v>155</v>
      </c>
      <c r="GH513" s="14">
        <f t="shared" si="538"/>
        <v>14</v>
      </c>
      <c r="GI513" s="14" t="str">
        <f t="shared" si="539"/>
        <v/>
      </c>
      <c r="GJ513" s="14" t="str">
        <f t="shared" si="540"/>
        <v/>
      </c>
      <c r="GK513" s="14" t="str">
        <f t="shared" si="541"/>
        <v/>
      </c>
      <c r="GL513" s="14">
        <f t="shared" si="508"/>
        <v>20240</v>
      </c>
      <c r="GM513" s="14">
        <f t="shared" si="542"/>
        <v>3</v>
      </c>
      <c r="GN513" s="14">
        <f t="shared" si="543"/>
        <v>2024</v>
      </c>
      <c r="GO513" s="25" t="s">
        <v>1471</v>
      </c>
      <c r="GP513" s="14">
        <f t="shared" si="509"/>
        <v>160</v>
      </c>
      <c r="GQ513" s="30"/>
      <c r="HK513" s="13">
        <v>508</v>
      </c>
      <c r="HL513" s="14">
        <f t="shared" si="520"/>
        <v>22</v>
      </c>
      <c r="HM513" s="14">
        <f t="shared" si="521"/>
        <v>2</v>
      </c>
      <c r="HN513" s="14">
        <f t="shared" si="522"/>
        <v>11</v>
      </c>
      <c r="HO513" s="14">
        <f t="shared" si="523"/>
        <v>3</v>
      </c>
      <c r="HP513" s="14" t="str">
        <f t="shared" si="524"/>
        <v>150级守护灵洗练-Q3-4</v>
      </c>
      <c r="HQ513" s="14">
        <f t="shared" si="525"/>
        <v>2113</v>
      </c>
      <c r="HR513" s="14">
        <f t="shared" si="526"/>
        <v>4</v>
      </c>
      <c r="HS513" s="14">
        <f t="shared" si="527"/>
        <v>500</v>
      </c>
      <c r="HT513" s="14" t="str">
        <f t="shared" si="528"/>
        <v>AtkRate</v>
      </c>
      <c r="HU513" s="14">
        <f t="shared" si="529"/>
        <v>1.4E-2</v>
      </c>
      <c r="HV513" s="14">
        <f t="shared" si="530"/>
        <v>0.04</v>
      </c>
    </row>
    <row r="514" spans="151:230" ht="16.5" x14ac:dyDescent="0.2">
      <c r="EU514" s="13">
        <v>509</v>
      </c>
      <c r="EV514" s="14">
        <f t="shared" si="510"/>
        <v>2</v>
      </c>
      <c r="EW514" s="14">
        <f t="shared" si="531"/>
        <v>74</v>
      </c>
      <c r="EX514" s="14">
        <f t="shared" si="511"/>
        <v>10</v>
      </c>
      <c r="EY514" s="14">
        <f t="shared" si="532"/>
        <v>41</v>
      </c>
      <c r="EZ514" s="14">
        <f t="shared" si="491"/>
        <v>13</v>
      </c>
      <c r="FA514" s="14">
        <f t="shared" si="492"/>
        <v>30</v>
      </c>
      <c r="FB514" s="14">
        <f t="shared" si="493"/>
        <v>4</v>
      </c>
      <c r="FC514" s="14">
        <f t="shared" si="494"/>
        <v>2</v>
      </c>
      <c r="FD514" s="14">
        <f t="shared" si="495"/>
        <v>2</v>
      </c>
      <c r="FE514" s="14" t="b">
        <f t="shared" si="512"/>
        <v>1</v>
      </c>
      <c r="FF514" s="14">
        <f t="shared" si="496"/>
        <v>2102412</v>
      </c>
      <c r="FG514" s="13" t="str">
        <f t="shared" si="497"/>
        <v>30级-攻击套守护灵の头盔</v>
      </c>
      <c r="FH514" s="14">
        <f t="shared" si="498"/>
        <v>2</v>
      </c>
      <c r="FI514" s="14">
        <f t="shared" si="499"/>
        <v>4</v>
      </c>
      <c r="FJ514" s="14">
        <f t="shared" si="500"/>
        <v>30</v>
      </c>
      <c r="FK514" s="14">
        <v>75</v>
      </c>
      <c r="FL514" s="14">
        <f t="shared" si="501"/>
        <v>2</v>
      </c>
      <c r="FM514" s="14">
        <f t="shared" si="533"/>
        <v>2</v>
      </c>
      <c r="FN514" s="14">
        <f t="shared" si="502"/>
        <v>210241</v>
      </c>
      <c r="FO514" s="14">
        <f t="shared" si="534"/>
        <v>45</v>
      </c>
      <c r="FP514" s="14">
        <f t="shared" si="513"/>
        <v>0</v>
      </c>
      <c r="FQ514" s="14">
        <f t="shared" si="514"/>
        <v>40</v>
      </c>
      <c r="FR514" s="14">
        <f t="shared" si="515"/>
        <v>0</v>
      </c>
      <c r="FS514" s="14">
        <f t="shared" si="516"/>
        <v>0</v>
      </c>
      <c r="FT514" s="14">
        <f t="shared" si="517"/>
        <v>3</v>
      </c>
      <c r="FU514" s="14">
        <f t="shared" si="518"/>
        <v>0</v>
      </c>
      <c r="FV514" s="14">
        <f t="shared" si="503"/>
        <v>2024</v>
      </c>
      <c r="FW514" s="14">
        <f t="shared" si="504"/>
        <v>3</v>
      </c>
      <c r="FX514" s="14">
        <f t="shared" si="505"/>
        <v>2024</v>
      </c>
      <c r="FY514" s="25" t="str">
        <f t="shared" si="519"/>
        <v>icon_2102412</v>
      </c>
      <c r="GC514" s="14">
        <f t="shared" si="506"/>
        <v>2</v>
      </c>
      <c r="GD514" s="14">
        <f t="shared" si="507"/>
        <v>0</v>
      </c>
      <c r="GE514" s="14">
        <f t="shared" si="535"/>
        <v>45</v>
      </c>
      <c r="GF514" s="14" t="str">
        <f t="shared" si="536"/>
        <v>DefExt</v>
      </c>
      <c r="GG514" s="14">
        <f t="shared" si="537"/>
        <v>40</v>
      </c>
      <c r="GH514" s="14">
        <f t="shared" si="538"/>
        <v>3</v>
      </c>
      <c r="GI514" s="14" t="str">
        <f t="shared" si="539"/>
        <v/>
      </c>
      <c r="GJ514" s="14" t="str">
        <f t="shared" si="540"/>
        <v/>
      </c>
      <c r="GK514" s="14" t="str">
        <f t="shared" si="541"/>
        <v/>
      </c>
      <c r="GL514" s="14">
        <f t="shared" si="508"/>
        <v>20240</v>
      </c>
      <c r="GM514" s="14">
        <f t="shared" si="542"/>
        <v>3</v>
      </c>
      <c r="GN514" s="14">
        <f t="shared" si="543"/>
        <v>2024</v>
      </c>
      <c r="GO514" s="25" t="s">
        <v>1471</v>
      </c>
      <c r="GP514" s="14">
        <f t="shared" si="509"/>
        <v>80</v>
      </c>
      <c r="GQ514" s="30"/>
      <c r="HK514" s="13">
        <v>509</v>
      </c>
      <c r="HL514" s="14">
        <f t="shared" si="520"/>
        <v>22</v>
      </c>
      <c r="HM514" s="14">
        <f t="shared" si="521"/>
        <v>2</v>
      </c>
      <c r="HN514" s="14">
        <f t="shared" si="522"/>
        <v>11</v>
      </c>
      <c r="HO514" s="14">
        <f t="shared" si="523"/>
        <v>3</v>
      </c>
      <c r="HP514" s="14" t="str">
        <f t="shared" si="524"/>
        <v>150级守护灵洗练-Q3-5</v>
      </c>
      <c r="HQ514" s="14">
        <f t="shared" si="525"/>
        <v>2113</v>
      </c>
      <c r="HR514" s="14">
        <f t="shared" si="526"/>
        <v>5</v>
      </c>
      <c r="HS514" s="14">
        <f t="shared" si="527"/>
        <v>400</v>
      </c>
      <c r="HT514" s="14" t="str">
        <f t="shared" si="528"/>
        <v>DefRate</v>
      </c>
      <c r="HU514" s="14">
        <f t="shared" si="529"/>
        <v>1.4E-2</v>
      </c>
      <c r="HV514" s="14">
        <f t="shared" si="530"/>
        <v>0.04</v>
      </c>
    </row>
    <row r="515" spans="151:230" ht="16.5" x14ac:dyDescent="0.2">
      <c r="EU515" s="13">
        <v>510</v>
      </c>
      <c r="EV515" s="14">
        <f t="shared" si="510"/>
        <v>2</v>
      </c>
      <c r="EW515" s="14">
        <f t="shared" si="531"/>
        <v>75</v>
      </c>
      <c r="EX515" s="14">
        <f t="shared" si="511"/>
        <v>10</v>
      </c>
      <c r="EY515" s="14">
        <f t="shared" si="532"/>
        <v>41</v>
      </c>
      <c r="EZ515" s="14">
        <f t="shared" si="491"/>
        <v>13</v>
      </c>
      <c r="FA515" s="14">
        <f t="shared" si="492"/>
        <v>30</v>
      </c>
      <c r="FB515" s="14">
        <f t="shared" si="493"/>
        <v>4</v>
      </c>
      <c r="FC515" s="14">
        <f t="shared" si="494"/>
        <v>3</v>
      </c>
      <c r="FD515" s="14">
        <f t="shared" si="495"/>
        <v>3</v>
      </c>
      <c r="FE515" s="14" t="b">
        <f t="shared" si="512"/>
        <v>1</v>
      </c>
      <c r="FF515" s="14">
        <f t="shared" si="496"/>
        <v>2102413</v>
      </c>
      <c r="FG515" s="13" t="str">
        <f t="shared" si="497"/>
        <v>30级-攻击套守护灵の铠甲</v>
      </c>
      <c r="FH515" s="14">
        <f t="shared" si="498"/>
        <v>2</v>
      </c>
      <c r="FI515" s="14">
        <f t="shared" si="499"/>
        <v>4</v>
      </c>
      <c r="FJ515" s="14">
        <f t="shared" si="500"/>
        <v>30</v>
      </c>
      <c r="FK515" s="14">
        <v>76</v>
      </c>
      <c r="FL515" s="14">
        <f t="shared" si="501"/>
        <v>2</v>
      </c>
      <c r="FM515" s="14">
        <f t="shared" si="533"/>
        <v>3</v>
      </c>
      <c r="FN515" s="14">
        <f t="shared" si="502"/>
        <v>210241</v>
      </c>
      <c r="FO515" s="14">
        <f t="shared" si="534"/>
        <v>61</v>
      </c>
      <c r="FP515" s="14">
        <f t="shared" si="513"/>
        <v>0</v>
      </c>
      <c r="FQ515" s="14">
        <f t="shared" si="514"/>
        <v>20</v>
      </c>
      <c r="FR515" s="14">
        <f t="shared" si="515"/>
        <v>250</v>
      </c>
      <c r="FS515" s="14">
        <f t="shared" si="516"/>
        <v>0</v>
      </c>
      <c r="FT515" s="14">
        <f t="shared" si="517"/>
        <v>2</v>
      </c>
      <c r="FU515" s="14">
        <f t="shared" si="518"/>
        <v>21</v>
      </c>
      <c r="FV515" s="14">
        <f t="shared" si="503"/>
        <v>2024</v>
      </c>
      <c r="FW515" s="14">
        <f t="shared" si="504"/>
        <v>3</v>
      </c>
      <c r="FX515" s="14">
        <f t="shared" si="505"/>
        <v>2024</v>
      </c>
      <c r="FY515" s="25" t="str">
        <f t="shared" si="519"/>
        <v>icon_2102413</v>
      </c>
      <c r="GC515" s="14">
        <f t="shared" si="506"/>
        <v>2</v>
      </c>
      <c r="GD515" s="14">
        <f t="shared" si="507"/>
        <v>3</v>
      </c>
      <c r="GE515" s="14">
        <f t="shared" si="535"/>
        <v>61</v>
      </c>
      <c r="GF515" s="14" t="str">
        <f t="shared" si="536"/>
        <v>DefExt</v>
      </c>
      <c r="GG515" s="14">
        <f t="shared" si="537"/>
        <v>20</v>
      </c>
      <c r="GH515" s="14">
        <f t="shared" si="538"/>
        <v>2</v>
      </c>
      <c r="GI515" s="14" t="str">
        <f t="shared" si="539"/>
        <v>HPExt</v>
      </c>
      <c r="GJ515" s="14">
        <f t="shared" si="540"/>
        <v>250</v>
      </c>
      <c r="GK515" s="14">
        <f t="shared" si="541"/>
        <v>21</v>
      </c>
      <c r="GL515" s="14">
        <f t="shared" si="508"/>
        <v>20240</v>
      </c>
      <c r="GM515" s="14">
        <f t="shared" si="542"/>
        <v>3</v>
      </c>
      <c r="GN515" s="14">
        <f t="shared" si="543"/>
        <v>2024</v>
      </c>
      <c r="GO515" s="25" t="s">
        <v>1471</v>
      </c>
      <c r="GP515" s="14">
        <f t="shared" si="509"/>
        <v>80</v>
      </c>
      <c r="GQ515" s="30"/>
      <c r="HK515" s="13">
        <v>510</v>
      </c>
      <c r="HL515" s="14">
        <f t="shared" si="520"/>
        <v>22</v>
      </c>
      <c r="HM515" s="14">
        <f t="shared" si="521"/>
        <v>2</v>
      </c>
      <c r="HN515" s="14">
        <f t="shared" si="522"/>
        <v>11</v>
      </c>
      <c r="HO515" s="14">
        <f t="shared" si="523"/>
        <v>3</v>
      </c>
      <c r="HP515" s="14" t="str">
        <f t="shared" si="524"/>
        <v>150级守护灵洗练-Q3-6</v>
      </c>
      <c r="HQ515" s="14">
        <f t="shared" si="525"/>
        <v>2113</v>
      </c>
      <c r="HR515" s="14">
        <f t="shared" si="526"/>
        <v>6</v>
      </c>
      <c r="HS515" s="14">
        <f t="shared" si="527"/>
        <v>500</v>
      </c>
      <c r="HT515" s="14" t="str">
        <f t="shared" si="528"/>
        <v>HPRate</v>
      </c>
      <c r="HU515" s="14">
        <f t="shared" si="529"/>
        <v>1.4E-2</v>
      </c>
      <c r="HV515" s="14">
        <f t="shared" si="530"/>
        <v>0.04</v>
      </c>
    </row>
    <row r="516" spans="151:230" ht="16.5" x14ac:dyDescent="0.2">
      <c r="EU516" s="13">
        <v>511</v>
      </c>
      <c r="EV516" s="14">
        <f t="shared" si="510"/>
        <v>2</v>
      </c>
      <c r="EW516" s="14">
        <f t="shared" si="531"/>
        <v>76</v>
      </c>
      <c r="EX516" s="14">
        <f t="shared" si="511"/>
        <v>10</v>
      </c>
      <c r="EY516" s="14">
        <f t="shared" si="532"/>
        <v>41</v>
      </c>
      <c r="EZ516" s="14">
        <f t="shared" si="491"/>
        <v>13</v>
      </c>
      <c r="FA516" s="14">
        <f t="shared" si="492"/>
        <v>30</v>
      </c>
      <c r="FB516" s="14">
        <f t="shared" si="493"/>
        <v>4</v>
      </c>
      <c r="FC516" s="14">
        <f t="shared" si="494"/>
        <v>4</v>
      </c>
      <c r="FD516" s="14">
        <f t="shared" si="495"/>
        <v>5</v>
      </c>
      <c r="FE516" s="14" t="b">
        <f t="shared" si="512"/>
        <v>1</v>
      </c>
      <c r="FF516" s="14">
        <f t="shared" si="496"/>
        <v>2102415</v>
      </c>
      <c r="FG516" s="13" t="str">
        <f t="shared" si="497"/>
        <v>30级-攻击套守护灵の鞋子</v>
      </c>
      <c r="FH516" s="14">
        <f t="shared" si="498"/>
        <v>2</v>
      </c>
      <c r="FI516" s="14">
        <f t="shared" si="499"/>
        <v>4</v>
      </c>
      <c r="FJ516" s="14">
        <f t="shared" si="500"/>
        <v>30</v>
      </c>
      <c r="FK516" s="14">
        <v>77</v>
      </c>
      <c r="FL516" s="14">
        <f t="shared" si="501"/>
        <v>2</v>
      </c>
      <c r="FM516" s="14">
        <f t="shared" si="533"/>
        <v>5</v>
      </c>
      <c r="FN516" s="14">
        <f t="shared" si="502"/>
        <v>210241</v>
      </c>
      <c r="FO516" s="14">
        <f t="shared" si="534"/>
        <v>64</v>
      </c>
      <c r="FP516" s="14">
        <f t="shared" si="513"/>
        <v>0</v>
      </c>
      <c r="FQ516" s="14">
        <f t="shared" si="514"/>
        <v>0</v>
      </c>
      <c r="FR516" s="14">
        <f t="shared" si="515"/>
        <v>500</v>
      </c>
      <c r="FS516" s="14">
        <f t="shared" si="516"/>
        <v>0</v>
      </c>
      <c r="FT516" s="14">
        <f t="shared" si="517"/>
        <v>0</v>
      </c>
      <c r="FU516" s="14">
        <f t="shared" si="518"/>
        <v>43</v>
      </c>
      <c r="FV516" s="14">
        <f t="shared" si="503"/>
        <v>2024</v>
      </c>
      <c r="FW516" s="14">
        <f t="shared" si="504"/>
        <v>3</v>
      </c>
      <c r="FX516" s="14">
        <f t="shared" si="505"/>
        <v>2024</v>
      </c>
      <c r="FY516" s="25" t="str">
        <f t="shared" si="519"/>
        <v>icon_2102415</v>
      </c>
      <c r="GC516" s="14">
        <f t="shared" si="506"/>
        <v>3</v>
      </c>
      <c r="GD516" s="14">
        <f t="shared" si="507"/>
        <v>0</v>
      </c>
      <c r="GE516" s="14">
        <f t="shared" si="535"/>
        <v>64</v>
      </c>
      <c r="GF516" s="14" t="str">
        <f t="shared" si="536"/>
        <v>HPExt</v>
      </c>
      <c r="GG516" s="14">
        <f t="shared" si="537"/>
        <v>500</v>
      </c>
      <c r="GH516" s="14">
        <f t="shared" si="538"/>
        <v>43</v>
      </c>
      <c r="GI516" s="14" t="str">
        <f t="shared" si="539"/>
        <v/>
      </c>
      <c r="GJ516" s="14" t="str">
        <f t="shared" si="540"/>
        <v/>
      </c>
      <c r="GK516" s="14" t="str">
        <f t="shared" si="541"/>
        <v/>
      </c>
      <c r="GL516" s="14">
        <f t="shared" si="508"/>
        <v>20240</v>
      </c>
      <c r="GM516" s="14">
        <f t="shared" si="542"/>
        <v>3</v>
      </c>
      <c r="GN516" s="14">
        <f t="shared" si="543"/>
        <v>2024</v>
      </c>
      <c r="GO516" s="25" t="s">
        <v>1471</v>
      </c>
      <c r="GP516" s="14">
        <f t="shared" si="509"/>
        <v>80</v>
      </c>
      <c r="GQ516" s="30"/>
      <c r="HK516" s="13">
        <v>511</v>
      </c>
      <c r="HL516" s="14">
        <f t="shared" si="520"/>
        <v>22</v>
      </c>
      <c r="HM516" s="14">
        <f t="shared" si="521"/>
        <v>2</v>
      </c>
      <c r="HN516" s="14">
        <f t="shared" si="522"/>
        <v>11</v>
      </c>
      <c r="HO516" s="14">
        <f t="shared" si="523"/>
        <v>3</v>
      </c>
      <c r="HP516" s="14" t="str">
        <f t="shared" si="524"/>
        <v>150级守护灵洗练-Q3-7</v>
      </c>
      <c r="HQ516" s="14">
        <f t="shared" si="525"/>
        <v>2113</v>
      </c>
      <c r="HR516" s="14">
        <f t="shared" si="526"/>
        <v>7</v>
      </c>
      <c r="HS516" s="14">
        <f t="shared" si="527"/>
        <v>500</v>
      </c>
      <c r="HT516" s="14" t="str">
        <f t="shared" si="528"/>
        <v>Crit</v>
      </c>
      <c r="HU516" s="14">
        <f t="shared" si="529"/>
        <v>1.0999999999999999E-2</v>
      </c>
      <c r="HV516" s="14">
        <f t="shared" si="530"/>
        <v>0.03</v>
      </c>
    </row>
    <row r="517" spans="151:230" ht="16.5" x14ac:dyDescent="0.2">
      <c r="EU517" s="13">
        <v>512</v>
      </c>
      <c r="EV517" s="14">
        <f t="shared" si="510"/>
        <v>2</v>
      </c>
      <c r="EW517" s="14">
        <f t="shared" si="531"/>
        <v>77</v>
      </c>
      <c r="EX517" s="14">
        <f t="shared" si="511"/>
        <v>10</v>
      </c>
      <c r="EY517" s="14">
        <f t="shared" si="532"/>
        <v>41</v>
      </c>
      <c r="EZ517" s="14">
        <f t="shared" si="491"/>
        <v>13</v>
      </c>
      <c r="FA517" s="14">
        <f t="shared" si="492"/>
        <v>30</v>
      </c>
      <c r="FB517" s="14">
        <f t="shared" si="493"/>
        <v>4</v>
      </c>
      <c r="FC517" s="14">
        <f t="shared" si="494"/>
        <v>5</v>
      </c>
      <c r="FD517" s="14">
        <f t="shared" si="495"/>
        <v>7</v>
      </c>
      <c r="FE517" s="14" t="b">
        <f t="shared" si="512"/>
        <v>1</v>
      </c>
      <c r="FF517" s="14">
        <f t="shared" si="496"/>
        <v>2102417</v>
      </c>
      <c r="FG517" s="13" t="str">
        <f t="shared" si="497"/>
        <v>30级-攻击套守护灵の项链</v>
      </c>
      <c r="FH517" s="14">
        <f t="shared" si="498"/>
        <v>2</v>
      </c>
      <c r="FI517" s="14">
        <f t="shared" si="499"/>
        <v>4</v>
      </c>
      <c r="FJ517" s="14">
        <f t="shared" si="500"/>
        <v>30</v>
      </c>
      <c r="FK517" s="14">
        <v>78</v>
      </c>
      <c r="FL517" s="14">
        <f t="shared" si="501"/>
        <v>2</v>
      </c>
      <c r="FM517" s="14">
        <f t="shared" si="533"/>
        <v>7</v>
      </c>
      <c r="FN517" s="14">
        <f t="shared" si="502"/>
        <v>210241</v>
      </c>
      <c r="FO517" s="14">
        <f t="shared" si="534"/>
        <v>82</v>
      </c>
      <c r="FP517" s="14">
        <f t="shared" si="513"/>
        <v>50</v>
      </c>
      <c r="FQ517" s="14">
        <f t="shared" si="514"/>
        <v>35</v>
      </c>
      <c r="FR517" s="14">
        <f t="shared" si="515"/>
        <v>0</v>
      </c>
      <c r="FS517" s="14">
        <f t="shared" si="516"/>
        <v>5</v>
      </c>
      <c r="FT517" s="14">
        <f t="shared" si="517"/>
        <v>3</v>
      </c>
      <c r="FU517" s="14">
        <f t="shared" si="518"/>
        <v>0</v>
      </c>
      <c r="FV517" s="14">
        <f t="shared" si="503"/>
        <v>2024</v>
      </c>
      <c r="FW517" s="14">
        <f t="shared" si="504"/>
        <v>3</v>
      </c>
      <c r="FX517" s="14">
        <f t="shared" si="505"/>
        <v>2024</v>
      </c>
      <c r="FY517" s="25" t="str">
        <f t="shared" si="519"/>
        <v>icon_2102417</v>
      </c>
      <c r="GC517" s="14">
        <f t="shared" si="506"/>
        <v>1</v>
      </c>
      <c r="GD517" s="14">
        <f t="shared" si="507"/>
        <v>2</v>
      </c>
      <c r="GE517" s="14">
        <f t="shared" si="535"/>
        <v>82</v>
      </c>
      <c r="GF517" s="14" t="str">
        <f t="shared" si="536"/>
        <v>AtkExt</v>
      </c>
      <c r="GG517" s="14">
        <f t="shared" si="537"/>
        <v>50</v>
      </c>
      <c r="GH517" s="14">
        <f t="shared" si="538"/>
        <v>5</v>
      </c>
      <c r="GI517" s="14" t="str">
        <f t="shared" si="539"/>
        <v>DefExt</v>
      </c>
      <c r="GJ517" s="14">
        <f t="shared" si="540"/>
        <v>35</v>
      </c>
      <c r="GK517" s="14">
        <f t="shared" si="541"/>
        <v>3</v>
      </c>
      <c r="GL517" s="14">
        <f t="shared" si="508"/>
        <v>20240</v>
      </c>
      <c r="GM517" s="14">
        <f t="shared" si="542"/>
        <v>3</v>
      </c>
      <c r="GN517" s="14">
        <f t="shared" si="543"/>
        <v>2024</v>
      </c>
      <c r="GO517" s="25" t="s">
        <v>1471</v>
      </c>
      <c r="GP517" s="14">
        <f t="shared" si="509"/>
        <v>120</v>
      </c>
      <c r="GQ517" s="30"/>
      <c r="HK517" s="13">
        <v>512</v>
      </c>
      <c r="HL517" s="14">
        <f t="shared" si="520"/>
        <v>22</v>
      </c>
      <c r="HM517" s="14">
        <f t="shared" si="521"/>
        <v>2</v>
      </c>
      <c r="HN517" s="14">
        <f t="shared" si="522"/>
        <v>11</v>
      </c>
      <c r="HO517" s="14">
        <f t="shared" si="523"/>
        <v>3</v>
      </c>
      <c r="HP517" s="14" t="str">
        <f t="shared" si="524"/>
        <v>150级守护灵洗练-Q3-8</v>
      </c>
      <c r="HQ517" s="14">
        <f t="shared" si="525"/>
        <v>2113</v>
      </c>
      <c r="HR517" s="14">
        <f t="shared" si="526"/>
        <v>8</v>
      </c>
      <c r="HS517" s="14">
        <f t="shared" si="527"/>
        <v>500</v>
      </c>
      <c r="HT517" s="14" t="str">
        <f t="shared" si="528"/>
        <v>CritRate</v>
      </c>
      <c r="HU517" s="14">
        <f t="shared" si="529"/>
        <v>2.8000000000000001E-2</v>
      </c>
      <c r="HV517" s="14">
        <f t="shared" si="530"/>
        <v>0.08</v>
      </c>
    </row>
    <row r="518" spans="151:230" ht="16.5" x14ac:dyDescent="0.2">
      <c r="EU518" s="13">
        <v>513</v>
      </c>
      <c r="EV518" s="14">
        <f t="shared" si="510"/>
        <v>2</v>
      </c>
      <c r="EW518" s="14">
        <f t="shared" si="531"/>
        <v>78</v>
      </c>
      <c r="EX518" s="14">
        <f t="shared" si="511"/>
        <v>10</v>
      </c>
      <c r="EY518" s="14">
        <f t="shared" si="532"/>
        <v>41</v>
      </c>
      <c r="EZ518" s="14">
        <f t="shared" ref="EZ518:EZ581" si="544">(EV518-1)*$EX$3+FL518</f>
        <v>13</v>
      </c>
      <c r="FA518" s="14">
        <f t="shared" ref="FA518:FA581" si="545">INDEX(AI$7:AI$64,$EX518)</f>
        <v>30</v>
      </c>
      <c r="FB518" s="14">
        <f t="shared" ref="FB518:FB581" si="546">INDEX(AJ$7:AJ$64,$EX518)</f>
        <v>4</v>
      </c>
      <c r="FC518" s="14">
        <f t="shared" ref="FC518:FC581" si="547">EW518-INDEX($AQ$6:$AQ$64,EX518)</f>
        <v>6</v>
      </c>
      <c r="FD518" s="14">
        <f t="shared" ref="FD518:FD581" si="548">INDEX($AR$7:$AY$64,EX518,EW518-INDEX($AQ$6:$AQ$64,EX518))</f>
        <v>8</v>
      </c>
      <c r="FE518" s="14" t="b">
        <f t="shared" si="512"/>
        <v>1</v>
      </c>
      <c r="FF518" s="14">
        <f t="shared" ref="FF518:FF581" si="549">INDEX($AN$7:$AN$64,EX518)*10+FD518+(EV518-1)*100000+2000000</f>
        <v>2102418</v>
      </c>
      <c r="FG518" s="13" t="str">
        <f t="shared" ref="FG518:FG581" si="550">INDEX($AL$7:$AL$64,EX518)&amp;"-"&amp;INDEX($AM$7:$AM$64,EX518)&amp;INDEX($BC$6:$BC$7,EV518)&amp;INDEX($AR$3:$AY$3,FD518)</f>
        <v>30级-攻击套守护灵の戒指</v>
      </c>
      <c r="FH518" s="14">
        <f t="shared" ref="FH518:FH581" si="551">EV518</f>
        <v>2</v>
      </c>
      <c r="FI518" s="14">
        <f t="shared" ref="FI518:FI581" si="552">INDEX($AJ$7:$AJ$64,EX518)</f>
        <v>4</v>
      </c>
      <c r="FJ518" s="14">
        <f t="shared" ref="FJ518:FJ581" si="553">INDEX($AI$7:$AI$64,EX518)</f>
        <v>30</v>
      </c>
      <c r="FK518" s="14">
        <v>79</v>
      </c>
      <c r="FL518" s="14">
        <f t="shared" ref="FL518:FL581" si="554">INDEX(AH$7:AH$64,$EX518)</f>
        <v>2</v>
      </c>
      <c r="FM518" s="14">
        <f t="shared" si="533"/>
        <v>8</v>
      </c>
      <c r="FN518" s="14">
        <f t="shared" ref="FN518:FN581" si="555">IF(INDEX($AO$7:$AO$64,EX518)&gt;0,INDEX($AO$7:$AO$64,EX518) + (EV518-1)*10000+200000,"")</f>
        <v>210241</v>
      </c>
      <c r="FO518" s="14">
        <f t="shared" si="534"/>
        <v>91</v>
      </c>
      <c r="FP518" s="14">
        <f t="shared" si="513"/>
        <v>50</v>
      </c>
      <c r="FQ518" s="14">
        <f t="shared" si="514"/>
        <v>0</v>
      </c>
      <c r="FR518" s="14">
        <f t="shared" si="515"/>
        <v>420</v>
      </c>
      <c r="FS518" s="14">
        <f t="shared" si="516"/>
        <v>5</v>
      </c>
      <c r="FT518" s="14">
        <f t="shared" si="517"/>
        <v>0</v>
      </c>
      <c r="FU518" s="14">
        <f t="shared" si="518"/>
        <v>36</v>
      </c>
      <c r="FV518" s="14">
        <f t="shared" ref="FV518:FV581" si="556">FL518*10+FB518+EV518*1000</f>
        <v>2024</v>
      </c>
      <c r="FW518" s="14">
        <f t="shared" ref="FW518:FW581" si="557">INDEX($V$17:$Y$27,FL518,FB518)</f>
        <v>3</v>
      </c>
      <c r="FX518" s="14">
        <f t="shared" ref="FX518:FX581" si="558">IF(FB518&gt;2,FL518*10+FB518+EV518*1000,"")</f>
        <v>2024</v>
      </c>
      <c r="FY518" s="25" t="str">
        <f t="shared" si="519"/>
        <v>icon_2102418</v>
      </c>
      <c r="GC518" s="14">
        <f t="shared" ref="GC518:GC581" si="559">INDEX(BL$6:BL$13,$FM518)</f>
        <v>1</v>
      </c>
      <c r="GD518" s="14">
        <f t="shared" ref="GD518:GD581" si="560">INDEX(BM$6:BM$13,$FM518)</f>
        <v>3</v>
      </c>
      <c r="GE518" s="14">
        <f t="shared" si="535"/>
        <v>91</v>
      </c>
      <c r="GF518" s="14" t="str">
        <f t="shared" si="536"/>
        <v>AtkExt</v>
      </c>
      <c r="GG518" s="14">
        <f t="shared" si="537"/>
        <v>50</v>
      </c>
      <c r="GH518" s="14">
        <f t="shared" si="538"/>
        <v>5</v>
      </c>
      <c r="GI518" s="14" t="str">
        <f t="shared" si="539"/>
        <v>HPExt</v>
      </c>
      <c r="GJ518" s="14">
        <f t="shared" si="540"/>
        <v>420</v>
      </c>
      <c r="GK518" s="14">
        <f t="shared" si="541"/>
        <v>36</v>
      </c>
      <c r="GL518" s="14">
        <f t="shared" ref="GL518:GL581" si="561">20000+FL518*100+FB518*10</f>
        <v>20240</v>
      </c>
      <c r="GM518" s="14">
        <f t="shared" si="542"/>
        <v>3</v>
      </c>
      <c r="GN518" s="14">
        <f t="shared" si="543"/>
        <v>2024</v>
      </c>
      <c r="GO518" s="25" t="s">
        <v>1471</v>
      </c>
      <c r="GP518" s="14">
        <f t="shared" ref="GP518:GP581" si="562">ROUND(INDEX($AA$17:$AD$27,FL518,FB518)*INDEX($BK$6:$BK$13,FM518),0)</f>
        <v>120</v>
      </c>
      <c r="GQ518" s="30"/>
      <c r="HK518" s="13">
        <v>513</v>
      </c>
      <c r="HL518" s="14">
        <f t="shared" si="520"/>
        <v>22</v>
      </c>
      <c r="HM518" s="14">
        <f t="shared" si="521"/>
        <v>2</v>
      </c>
      <c r="HN518" s="14">
        <f t="shared" si="522"/>
        <v>11</v>
      </c>
      <c r="HO518" s="14">
        <f t="shared" si="523"/>
        <v>3</v>
      </c>
      <c r="HP518" s="14" t="str">
        <f t="shared" si="524"/>
        <v>150级守护灵洗练-Q3-9</v>
      </c>
      <c r="HQ518" s="14">
        <f t="shared" si="525"/>
        <v>2113</v>
      </c>
      <c r="HR518" s="14">
        <f t="shared" si="526"/>
        <v>9</v>
      </c>
      <c r="HS518" s="14">
        <f t="shared" si="527"/>
        <v>500</v>
      </c>
      <c r="HT518" s="14" t="str">
        <f t="shared" si="528"/>
        <v>DefIgnor</v>
      </c>
      <c r="HU518" s="14">
        <f t="shared" si="529"/>
        <v>1.0999999999999999E-2</v>
      </c>
      <c r="HV518" s="14">
        <f t="shared" si="530"/>
        <v>0.03</v>
      </c>
    </row>
    <row r="519" spans="151:230" ht="16.5" x14ac:dyDescent="0.2">
      <c r="EU519" s="13">
        <v>514</v>
      </c>
      <c r="EV519" s="14">
        <f t="shared" ref="EV519:EV582" si="563">IF(EU519&lt;=$EV$3,1,2)</f>
        <v>2</v>
      </c>
      <c r="EW519" s="14">
        <f t="shared" si="531"/>
        <v>79</v>
      </c>
      <c r="EX519" s="14">
        <f t="shared" ref="EX519:EX582" si="564">MATCH(EW519-1,$AQ$6:$AQ$64,1)</f>
        <v>11</v>
      </c>
      <c r="EY519" s="14">
        <f t="shared" si="532"/>
        <v>10</v>
      </c>
      <c r="EZ519" s="14">
        <f t="shared" si="544"/>
        <v>14</v>
      </c>
      <c r="FA519" s="14">
        <f t="shared" si="545"/>
        <v>50</v>
      </c>
      <c r="FB519" s="14">
        <f t="shared" si="546"/>
        <v>1</v>
      </c>
      <c r="FC519" s="14">
        <f t="shared" si="547"/>
        <v>1</v>
      </c>
      <c r="FD519" s="14">
        <f t="shared" si="548"/>
        <v>1</v>
      </c>
      <c r="FE519" s="14" t="b">
        <f t="shared" ref="FE519:FE582" si="565">IF(FN519="",FALSE,TRUE)</f>
        <v>0</v>
      </c>
      <c r="FF519" s="14">
        <f t="shared" si="549"/>
        <v>2103101</v>
      </c>
      <c r="FG519" s="13" t="str">
        <f t="shared" si="550"/>
        <v>50级-普通守护灵の灵器</v>
      </c>
      <c r="FH519" s="14">
        <f t="shared" si="551"/>
        <v>2</v>
      </c>
      <c r="FI519" s="14">
        <f t="shared" si="552"/>
        <v>1</v>
      </c>
      <c r="FJ519" s="14">
        <f t="shared" si="553"/>
        <v>50</v>
      </c>
      <c r="FK519" s="14">
        <v>80</v>
      </c>
      <c r="FL519" s="14">
        <f t="shared" si="554"/>
        <v>3</v>
      </c>
      <c r="FM519" s="14">
        <f t="shared" si="533"/>
        <v>1</v>
      </c>
      <c r="FN519" s="14" t="str">
        <f t="shared" si="555"/>
        <v/>
      </c>
      <c r="FO519" s="14">
        <f t="shared" si="534"/>
        <v>50</v>
      </c>
      <c r="FP519" s="14">
        <f t="shared" ref="FP519:FP582" si="566">ROUND(INDEX(M$6:M$27,$EZ519)*INDEX(BH$6:BH$13,$FD519)*INDEX($BR$6:$BR$9,FI519)/5,0)*5</f>
        <v>135</v>
      </c>
      <c r="FQ519" s="14">
        <f t="shared" ref="FQ519:FQ582" si="567">ROUND(INDEX(N$6:N$27,$EZ519)*INDEX(BI$6:BI$13,$FD519)*INDEX($BR$6:$BR$9,FI519)/5,0)*5</f>
        <v>0</v>
      </c>
      <c r="FR519" s="14">
        <f t="shared" ref="FR519:FR582" si="568">ROUND(INDEX(O$6:O$27,$EZ519)*INDEX(BJ$6:BJ$13,$FD519)*INDEX($BR$6:$BR$9,FI519)/5,0)*5</f>
        <v>0</v>
      </c>
      <c r="FS519" s="14">
        <f t="shared" ref="FS519:FS582" si="569">ROUND(INDEX(S$6:S$27,$EZ519)*INDEX(BH$6:BH$13,$FD519)*INDEX($BR$6:$BR$9,FI519),0)</f>
        <v>10</v>
      </c>
      <c r="FT519" s="14">
        <f t="shared" ref="FT519:FT582" si="570">ROUND(INDEX(T$6:T$27,$EZ519)*INDEX(BI$6:BI$13,$FD519)*INDEX($BR$6:$BR$9,FI519),0)</f>
        <v>0</v>
      </c>
      <c r="FU519" s="14">
        <f t="shared" ref="FU519:FU582" si="571">ROUND(INDEX(U$6:U$27,$EZ519)*INDEX(BJ$6:BJ$13,$FD519)*INDEX($BR$6:$BR$9,FI519),0)</f>
        <v>0</v>
      </c>
      <c r="FV519" s="14">
        <f t="shared" si="556"/>
        <v>2031</v>
      </c>
      <c r="FW519" s="14">
        <f t="shared" si="557"/>
        <v>0</v>
      </c>
      <c r="FX519" s="14" t="str">
        <f t="shared" si="558"/>
        <v/>
      </c>
      <c r="FY519" s="25" t="str">
        <f t="shared" ref="FY519:FY582" si="572">IF(FE519,"icon_"&amp;FF519,FY$2&amp;INDEX($ES$6:$ES$7,EV519)*100000+FL519*1000+100+FD519)</f>
        <v>icon_2103101</v>
      </c>
      <c r="GC519" s="14">
        <f t="shared" si="559"/>
        <v>1</v>
      </c>
      <c r="GD519" s="14">
        <f t="shared" si="560"/>
        <v>0</v>
      </c>
      <c r="GE519" s="14">
        <f t="shared" si="535"/>
        <v>50</v>
      </c>
      <c r="GF519" s="14" t="str">
        <f t="shared" si="536"/>
        <v>AtkExt</v>
      </c>
      <c r="GG519" s="14">
        <f t="shared" si="537"/>
        <v>135</v>
      </c>
      <c r="GH519" s="14">
        <f t="shared" si="538"/>
        <v>10</v>
      </c>
      <c r="GI519" s="14" t="str">
        <f t="shared" si="539"/>
        <v/>
      </c>
      <c r="GJ519" s="14" t="str">
        <f t="shared" si="540"/>
        <v/>
      </c>
      <c r="GK519" s="14" t="str">
        <f t="shared" si="541"/>
        <v/>
      </c>
      <c r="GL519" s="14">
        <f t="shared" si="561"/>
        <v>20310</v>
      </c>
      <c r="GM519" s="14">
        <f t="shared" si="542"/>
        <v>0</v>
      </c>
      <c r="GN519" s="14" t="str">
        <f t="shared" si="543"/>
        <v/>
      </c>
      <c r="GO519" s="25" t="s">
        <v>1471</v>
      </c>
      <c r="GP519" s="14">
        <f t="shared" si="562"/>
        <v>20</v>
      </c>
      <c r="GQ519" s="30"/>
      <c r="HK519" s="13">
        <v>514</v>
      </c>
      <c r="HL519" s="14">
        <f t="shared" ref="HL519:HL533" si="573">INT((HK519-1)/24)+1</f>
        <v>22</v>
      </c>
      <c r="HM519" s="14">
        <f t="shared" ref="HM519:HM533" si="574">IF(HL519&gt;11,2,1)</f>
        <v>2</v>
      </c>
      <c r="HN519" s="14">
        <f t="shared" ref="HN519:HN533" si="575">HL519-(HM519-1)*11</f>
        <v>11</v>
      </c>
      <c r="HO519" s="14">
        <f t="shared" ref="HO519:HO533" si="576">IF(MOD(HK519-1,24)&gt;=12,4,3)</f>
        <v>3</v>
      </c>
      <c r="HP519" s="14" t="str">
        <f t="shared" ref="HP519:HP533" si="577">INDEX($DU$6:$DU$27,HL519)&amp;"洗练-Q"&amp;HO519&amp;"-"&amp;HR519</f>
        <v>150级守护灵洗练-Q3-10</v>
      </c>
      <c r="HQ519" s="14">
        <f t="shared" ref="HQ519:HQ533" si="578">HM519*1000+HN519*10+HO519</f>
        <v>2113</v>
      </c>
      <c r="HR519" s="14">
        <f t="shared" ref="HR519:HR533" si="579">MOD(HK519-1,12)+1</f>
        <v>10</v>
      </c>
      <c r="HS519" s="14">
        <f t="shared" ref="HS519:HS533" si="580">INDEX($DY$3:$EJ$3,HR519)</f>
        <v>500</v>
      </c>
      <c r="HT519" s="14" t="str">
        <f t="shared" ref="HT519:HT533" si="581">INDEX($DY$4:$EJ$4,HR519)</f>
        <v>Block</v>
      </c>
      <c r="HU519" s="14">
        <f t="shared" ref="HU519:HU533" si="582">IF(HV519&gt;1,INT(HV519*0.35),ROUND(HV519*0.35,3))</f>
        <v>1.0999999999999999E-2</v>
      </c>
      <c r="HV519" s="14">
        <f t="shared" ref="HV519:HV533" si="583">INDEX($DY$6:$EJ$27,HL519,HR519)</f>
        <v>0.03</v>
      </c>
    </row>
    <row r="520" spans="151:230" ht="16.5" x14ac:dyDescent="0.2">
      <c r="EU520" s="13">
        <v>515</v>
      </c>
      <c r="EV520" s="14">
        <f t="shared" si="563"/>
        <v>2</v>
      </c>
      <c r="EW520" s="14">
        <f t="shared" si="531"/>
        <v>80</v>
      </c>
      <c r="EX520" s="14">
        <f t="shared" si="564"/>
        <v>11</v>
      </c>
      <c r="EY520" s="14">
        <f t="shared" si="532"/>
        <v>10</v>
      </c>
      <c r="EZ520" s="14">
        <f t="shared" si="544"/>
        <v>14</v>
      </c>
      <c r="FA520" s="14">
        <f t="shared" si="545"/>
        <v>50</v>
      </c>
      <c r="FB520" s="14">
        <f t="shared" si="546"/>
        <v>1</v>
      </c>
      <c r="FC520" s="14">
        <f t="shared" si="547"/>
        <v>2</v>
      </c>
      <c r="FD520" s="14">
        <f t="shared" si="548"/>
        <v>2</v>
      </c>
      <c r="FE520" s="14" t="b">
        <f t="shared" si="565"/>
        <v>0</v>
      </c>
      <c r="FF520" s="14">
        <f t="shared" si="549"/>
        <v>2103102</v>
      </c>
      <c r="FG520" s="13" t="str">
        <f t="shared" si="550"/>
        <v>50级-普通守护灵の头盔</v>
      </c>
      <c r="FH520" s="14">
        <f t="shared" si="551"/>
        <v>2</v>
      </c>
      <c r="FI520" s="14">
        <f t="shared" si="552"/>
        <v>1</v>
      </c>
      <c r="FJ520" s="14">
        <f t="shared" si="553"/>
        <v>50</v>
      </c>
      <c r="FK520" s="14">
        <v>81</v>
      </c>
      <c r="FL520" s="14">
        <f t="shared" si="554"/>
        <v>3</v>
      </c>
      <c r="FM520" s="14">
        <f t="shared" si="533"/>
        <v>2</v>
      </c>
      <c r="FN520" s="14" t="str">
        <f t="shared" si="555"/>
        <v/>
      </c>
      <c r="FO520" s="14">
        <f t="shared" si="534"/>
        <v>30</v>
      </c>
      <c r="FP520" s="14">
        <f t="shared" si="566"/>
        <v>0</v>
      </c>
      <c r="FQ520" s="14">
        <f t="shared" si="567"/>
        <v>35</v>
      </c>
      <c r="FR520" s="14">
        <f t="shared" si="568"/>
        <v>0</v>
      </c>
      <c r="FS520" s="14">
        <f t="shared" si="569"/>
        <v>0</v>
      </c>
      <c r="FT520" s="14">
        <f t="shared" si="570"/>
        <v>3</v>
      </c>
      <c r="FU520" s="14">
        <f t="shared" si="571"/>
        <v>0</v>
      </c>
      <c r="FV520" s="14">
        <f t="shared" si="556"/>
        <v>2031</v>
      </c>
      <c r="FW520" s="14">
        <f t="shared" si="557"/>
        <v>0</v>
      </c>
      <c r="FX520" s="14" t="str">
        <f t="shared" si="558"/>
        <v/>
      </c>
      <c r="FY520" s="25" t="str">
        <f t="shared" si="572"/>
        <v>icon_2103102</v>
      </c>
      <c r="GC520" s="14">
        <f t="shared" si="559"/>
        <v>2</v>
      </c>
      <c r="GD520" s="14">
        <f t="shared" si="560"/>
        <v>0</v>
      </c>
      <c r="GE520" s="14">
        <f t="shared" si="535"/>
        <v>30</v>
      </c>
      <c r="GF520" s="14" t="str">
        <f t="shared" si="536"/>
        <v>DefExt</v>
      </c>
      <c r="GG520" s="14">
        <f t="shared" si="537"/>
        <v>35</v>
      </c>
      <c r="GH520" s="14">
        <f t="shared" si="538"/>
        <v>3</v>
      </c>
      <c r="GI520" s="14" t="str">
        <f t="shared" si="539"/>
        <v/>
      </c>
      <c r="GJ520" s="14" t="str">
        <f t="shared" si="540"/>
        <v/>
      </c>
      <c r="GK520" s="14" t="str">
        <f t="shared" si="541"/>
        <v/>
      </c>
      <c r="GL520" s="14">
        <f t="shared" si="561"/>
        <v>20310</v>
      </c>
      <c r="GM520" s="14">
        <f t="shared" si="542"/>
        <v>0</v>
      </c>
      <c r="GN520" s="14" t="str">
        <f t="shared" si="543"/>
        <v/>
      </c>
      <c r="GO520" s="25" t="s">
        <v>1471</v>
      </c>
      <c r="GP520" s="14">
        <f t="shared" si="562"/>
        <v>10</v>
      </c>
      <c r="GQ520" s="30"/>
      <c r="HK520" s="13">
        <v>515</v>
      </c>
      <c r="HL520" s="14">
        <f t="shared" si="573"/>
        <v>22</v>
      </c>
      <c r="HM520" s="14">
        <f t="shared" si="574"/>
        <v>2</v>
      </c>
      <c r="HN520" s="14">
        <f t="shared" si="575"/>
        <v>11</v>
      </c>
      <c r="HO520" s="14">
        <f t="shared" si="576"/>
        <v>3</v>
      </c>
      <c r="HP520" s="14" t="str">
        <f t="shared" si="577"/>
        <v>150级守护灵洗练-Q3-11</v>
      </c>
      <c r="HQ520" s="14">
        <f t="shared" si="578"/>
        <v>2113</v>
      </c>
      <c r="HR520" s="14">
        <f t="shared" si="579"/>
        <v>11</v>
      </c>
      <c r="HS520" s="14">
        <f t="shared" si="580"/>
        <v>500</v>
      </c>
      <c r="HT520" s="14" t="str">
        <f t="shared" si="581"/>
        <v>EffectHit</v>
      </c>
      <c r="HU520" s="14">
        <f t="shared" si="582"/>
        <v>1.7999999999999999E-2</v>
      </c>
      <c r="HV520" s="14">
        <f t="shared" si="583"/>
        <v>0.05</v>
      </c>
    </row>
    <row r="521" spans="151:230" ht="16.5" x14ac:dyDescent="0.2">
      <c r="EU521" s="13">
        <v>516</v>
      </c>
      <c r="EV521" s="14">
        <f t="shared" si="563"/>
        <v>2</v>
      </c>
      <c r="EW521" s="14">
        <f t="shared" si="531"/>
        <v>81</v>
      </c>
      <c r="EX521" s="14">
        <f t="shared" si="564"/>
        <v>11</v>
      </c>
      <c r="EY521" s="14">
        <f t="shared" si="532"/>
        <v>10</v>
      </c>
      <c r="EZ521" s="14">
        <f t="shared" si="544"/>
        <v>14</v>
      </c>
      <c r="FA521" s="14">
        <f t="shared" si="545"/>
        <v>50</v>
      </c>
      <c r="FB521" s="14">
        <f t="shared" si="546"/>
        <v>1</v>
      </c>
      <c r="FC521" s="14">
        <f t="shared" si="547"/>
        <v>3</v>
      </c>
      <c r="FD521" s="14">
        <f t="shared" si="548"/>
        <v>3</v>
      </c>
      <c r="FE521" s="14" t="b">
        <f t="shared" si="565"/>
        <v>0</v>
      </c>
      <c r="FF521" s="14">
        <f t="shared" si="549"/>
        <v>2103103</v>
      </c>
      <c r="FG521" s="13" t="str">
        <f t="shared" si="550"/>
        <v>50级-普通守护灵の铠甲</v>
      </c>
      <c r="FH521" s="14">
        <f t="shared" si="551"/>
        <v>2</v>
      </c>
      <c r="FI521" s="14">
        <f t="shared" si="552"/>
        <v>1</v>
      </c>
      <c r="FJ521" s="14">
        <f t="shared" si="553"/>
        <v>50</v>
      </c>
      <c r="FK521" s="14">
        <v>82</v>
      </c>
      <c r="FL521" s="14">
        <f t="shared" si="554"/>
        <v>3</v>
      </c>
      <c r="FM521" s="14">
        <f t="shared" si="533"/>
        <v>3</v>
      </c>
      <c r="FN521" s="14" t="str">
        <f t="shared" si="555"/>
        <v/>
      </c>
      <c r="FO521" s="14">
        <f t="shared" si="534"/>
        <v>28</v>
      </c>
      <c r="FP521" s="14">
        <f t="shared" si="566"/>
        <v>0</v>
      </c>
      <c r="FQ521" s="14">
        <f t="shared" si="567"/>
        <v>15</v>
      </c>
      <c r="FR521" s="14">
        <f t="shared" si="568"/>
        <v>235</v>
      </c>
      <c r="FS521" s="14">
        <f t="shared" si="569"/>
        <v>0</v>
      </c>
      <c r="FT521" s="14">
        <f t="shared" si="570"/>
        <v>1</v>
      </c>
      <c r="FU521" s="14">
        <f t="shared" si="571"/>
        <v>18</v>
      </c>
      <c r="FV521" s="14">
        <f t="shared" si="556"/>
        <v>2031</v>
      </c>
      <c r="FW521" s="14">
        <f t="shared" si="557"/>
        <v>0</v>
      </c>
      <c r="FX521" s="14" t="str">
        <f t="shared" si="558"/>
        <v/>
      </c>
      <c r="FY521" s="25" t="str">
        <f t="shared" si="572"/>
        <v>icon_2103103</v>
      </c>
      <c r="GC521" s="14">
        <f t="shared" si="559"/>
        <v>2</v>
      </c>
      <c r="GD521" s="14">
        <f t="shared" si="560"/>
        <v>3</v>
      </c>
      <c r="GE521" s="14">
        <f t="shared" si="535"/>
        <v>28</v>
      </c>
      <c r="GF521" s="14" t="str">
        <f t="shared" si="536"/>
        <v>DefExt</v>
      </c>
      <c r="GG521" s="14">
        <f t="shared" si="537"/>
        <v>15</v>
      </c>
      <c r="GH521" s="14">
        <f t="shared" si="538"/>
        <v>1</v>
      </c>
      <c r="GI521" s="14" t="str">
        <f t="shared" si="539"/>
        <v>HPExt</v>
      </c>
      <c r="GJ521" s="14">
        <f t="shared" si="540"/>
        <v>235</v>
      </c>
      <c r="GK521" s="14">
        <f t="shared" si="541"/>
        <v>18</v>
      </c>
      <c r="GL521" s="14">
        <f t="shared" si="561"/>
        <v>20310</v>
      </c>
      <c r="GM521" s="14">
        <f t="shared" si="542"/>
        <v>0</v>
      </c>
      <c r="GN521" s="14" t="str">
        <f t="shared" si="543"/>
        <v/>
      </c>
      <c r="GO521" s="25" t="s">
        <v>1471</v>
      </c>
      <c r="GP521" s="14">
        <f t="shared" si="562"/>
        <v>10</v>
      </c>
      <c r="GQ521" s="30"/>
      <c r="HK521" s="13">
        <v>516</v>
      </c>
      <c r="HL521" s="14">
        <f t="shared" si="573"/>
        <v>22</v>
      </c>
      <c r="HM521" s="14">
        <f t="shared" si="574"/>
        <v>2</v>
      </c>
      <c r="HN521" s="14">
        <f t="shared" si="575"/>
        <v>11</v>
      </c>
      <c r="HO521" s="14">
        <f t="shared" si="576"/>
        <v>3</v>
      </c>
      <c r="HP521" s="14" t="str">
        <f t="shared" si="577"/>
        <v>150级守护灵洗练-Q3-12</v>
      </c>
      <c r="HQ521" s="14">
        <f t="shared" si="578"/>
        <v>2113</v>
      </c>
      <c r="HR521" s="14">
        <f t="shared" si="579"/>
        <v>12</v>
      </c>
      <c r="HS521" s="14">
        <f t="shared" si="580"/>
        <v>500</v>
      </c>
      <c r="HT521" s="14" t="str">
        <f t="shared" si="581"/>
        <v>EffectResist</v>
      </c>
      <c r="HU521" s="14">
        <f t="shared" si="582"/>
        <v>1.7999999999999999E-2</v>
      </c>
      <c r="HV521" s="14">
        <f t="shared" si="583"/>
        <v>0.05</v>
      </c>
    </row>
    <row r="522" spans="151:230" ht="16.5" x14ac:dyDescent="0.2">
      <c r="EU522" s="13">
        <v>517</v>
      </c>
      <c r="EV522" s="14">
        <f t="shared" si="563"/>
        <v>2</v>
      </c>
      <c r="EW522" s="14">
        <f t="shared" si="531"/>
        <v>82</v>
      </c>
      <c r="EX522" s="14">
        <f t="shared" si="564"/>
        <v>11</v>
      </c>
      <c r="EY522" s="14">
        <f t="shared" si="532"/>
        <v>10</v>
      </c>
      <c r="EZ522" s="14">
        <f t="shared" si="544"/>
        <v>14</v>
      </c>
      <c r="FA522" s="14">
        <f t="shared" si="545"/>
        <v>50</v>
      </c>
      <c r="FB522" s="14">
        <f t="shared" si="546"/>
        <v>1</v>
      </c>
      <c r="FC522" s="14">
        <f t="shared" si="547"/>
        <v>4</v>
      </c>
      <c r="FD522" s="14">
        <f t="shared" si="548"/>
        <v>4</v>
      </c>
      <c r="FE522" s="14" t="b">
        <f t="shared" si="565"/>
        <v>0</v>
      </c>
      <c r="FF522" s="14">
        <f t="shared" si="549"/>
        <v>2103104</v>
      </c>
      <c r="FG522" s="13" t="str">
        <f t="shared" si="550"/>
        <v>50级-普通守护灵の裤子</v>
      </c>
      <c r="FH522" s="14">
        <f t="shared" si="551"/>
        <v>2</v>
      </c>
      <c r="FI522" s="14">
        <f t="shared" si="552"/>
        <v>1</v>
      </c>
      <c r="FJ522" s="14">
        <f t="shared" si="553"/>
        <v>50</v>
      </c>
      <c r="FK522" s="14">
        <v>83</v>
      </c>
      <c r="FL522" s="14">
        <f t="shared" si="554"/>
        <v>3</v>
      </c>
      <c r="FM522" s="14">
        <f t="shared" si="533"/>
        <v>4</v>
      </c>
      <c r="FN522" s="14" t="str">
        <f t="shared" si="555"/>
        <v/>
      </c>
      <c r="FO522" s="14">
        <f t="shared" si="534"/>
        <v>30</v>
      </c>
      <c r="FP522" s="14">
        <f t="shared" si="566"/>
        <v>0</v>
      </c>
      <c r="FQ522" s="14">
        <f t="shared" si="567"/>
        <v>35</v>
      </c>
      <c r="FR522" s="14">
        <f t="shared" si="568"/>
        <v>0</v>
      </c>
      <c r="FS522" s="14">
        <f t="shared" si="569"/>
        <v>0</v>
      </c>
      <c r="FT522" s="14">
        <f t="shared" si="570"/>
        <v>3</v>
      </c>
      <c r="FU522" s="14">
        <f t="shared" si="571"/>
        <v>0</v>
      </c>
      <c r="FV522" s="14">
        <f t="shared" si="556"/>
        <v>2031</v>
      </c>
      <c r="FW522" s="14">
        <f t="shared" si="557"/>
        <v>0</v>
      </c>
      <c r="FX522" s="14" t="str">
        <f t="shared" si="558"/>
        <v/>
      </c>
      <c r="FY522" s="25" t="str">
        <f t="shared" si="572"/>
        <v>icon_2103104</v>
      </c>
      <c r="GC522" s="14">
        <f t="shared" si="559"/>
        <v>2</v>
      </c>
      <c r="GD522" s="14">
        <f t="shared" si="560"/>
        <v>0</v>
      </c>
      <c r="GE522" s="14">
        <f t="shared" si="535"/>
        <v>30</v>
      </c>
      <c r="GF522" s="14" t="str">
        <f t="shared" si="536"/>
        <v>DefExt</v>
      </c>
      <c r="GG522" s="14">
        <f t="shared" si="537"/>
        <v>35</v>
      </c>
      <c r="GH522" s="14">
        <f t="shared" si="538"/>
        <v>3</v>
      </c>
      <c r="GI522" s="14" t="str">
        <f t="shared" si="539"/>
        <v/>
      </c>
      <c r="GJ522" s="14" t="str">
        <f t="shared" si="540"/>
        <v/>
      </c>
      <c r="GK522" s="14" t="str">
        <f t="shared" si="541"/>
        <v/>
      </c>
      <c r="GL522" s="14">
        <f t="shared" si="561"/>
        <v>20310</v>
      </c>
      <c r="GM522" s="14">
        <f t="shared" si="542"/>
        <v>0</v>
      </c>
      <c r="GN522" s="14" t="str">
        <f t="shared" si="543"/>
        <v/>
      </c>
      <c r="GO522" s="25" t="s">
        <v>1471</v>
      </c>
      <c r="GP522" s="14">
        <f t="shared" si="562"/>
        <v>10</v>
      </c>
      <c r="GQ522" s="30"/>
      <c r="HK522" s="13">
        <v>517</v>
      </c>
      <c r="HL522" s="14">
        <f t="shared" si="573"/>
        <v>22</v>
      </c>
      <c r="HM522" s="14">
        <f t="shared" si="574"/>
        <v>2</v>
      </c>
      <c r="HN522" s="14">
        <f t="shared" si="575"/>
        <v>11</v>
      </c>
      <c r="HO522" s="14">
        <f t="shared" si="576"/>
        <v>4</v>
      </c>
      <c r="HP522" s="14" t="str">
        <f t="shared" si="577"/>
        <v>150级守护灵洗练-Q4-1</v>
      </c>
      <c r="HQ522" s="14">
        <f t="shared" si="578"/>
        <v>2114</v>
      </c>
      <c r="HR522" s="14">
        <f t="shared" si="579"/>
        <v>1</v>
      </c>
      <c r="HS522" s="14">
        <f t="shared" si="580"/>
        <v>1800</v>
      </c>
      <c r="HT522" s="14" t="str">
        <f t="shared" si="581"/>
        <v>AtkExt</v>
      </c>
      <c r="HU522" s="14">
        <f t="shared" si="582"/>
        <v>462</v>
      </c>
      <c r="HV522" s="14">
        <f t="shared" si="583"/>
        <v>1322</v>
      </c>
    </row>
    <row r="523" spans="151:230" ht="16.5" x14ac:dyDescent="0.2">
      <c r="EU523" s="13">
        <v>518</v>
      </c>
      <c r="EV523" s="14">
        <f t="shared" si="563"/>
        <v>2</v>
      </c>
      <c r="EW523" s="14">
        <f t="shared" si="531"/>
        <v>83</v>
      </c>
      <c r="EX523" s="14">
        <f t="shared" si="564"/>
        <v>11</v>
      </c>
      <c r="EY523" s="14">
        <f t="shared" si="532"/>
        <v>10</v>
      </c>
      <c r="EZ523" s="14">
        <f t="shared" si="544"/>
        <v>14</v>
      </c>
      <c r="FA523" s="14">
        <f t="shared" si="545"/>
        <v>50</v>
      </c>
      <c r="FB523" s="14">
        <f t="shared" si="546"/>
        <v>1</v>
      </c>
      <c r="FC523" s="14">
        <f t="shared" si="547"/>
        <v>5</v>
      </c>
      <c r="FD523" s="14">
        <f t="shared" si="548"/>
        <v>5</v>
      </c>
      <c r="FE523" s="14" t="b">
        <f t="shared" si="565"/>
        <v>0</v>
      </c>
      <c r="FF523" s="14">
        <f t="shared" si="549"/>
        <v>2103105</v>
      </c>
      <c r="FG523" s="13" t="str">
        <f t="shared" si="550"/>
        <v>50级-普通守护灵の鞋子</v>
      </c>
      <c r="FH523" s="14">
        <f t="shared" si="551"/>
        <v>2</v>
      </c>
      <c r="FI523" s="14">
        <f t="shared" si="552"/>
        <v>1</v>
      </c>
      <c r="FJ523" s="14">
        <f t="shared" si="553"/>
        <v>50</v>
      </c>
      <c r="FK523" s="14">
        <v>84</v>
      </c>
      <c r="FL523" s="14">
        <f t="shared" si="554"/>
        <v>3</v>
      </c>
      <c r="FM523" s="14">
        <f t="shared" si="533"/>
        <v>5</v>
      </c>
      <c r="FN523" s="14" t="str">
        <f t="shared" si="555"/>
        <v/>
      </c>
      <c r="FO523" s="14">
        <f t="shared" si="534"/>
        <v>36</v>
      </c>
      <c r="FP523" s="14">
        <f t="shared" si="566"/>
        <v>0</v>
      </c>
      <c r="FQ523" s="14">
        <f t="shared" si="567"/>
        <v>0</v>
      </c>
      <c r="FR523" s="14">
        <f t="shared" si="568"/>
        <v>465</v>
      </c>
      <c r="FS523" s="14">
        <f t="shared" si="569"/>
        <v>0</v>
      </c>
      <c r="FT523" s="14">
        <f t="shared" si="570"/>
        <v>0</v>
      </c>
      <c r="FU523" s="14">
        <f t="shared" si="571"/>
        <v>36</v>
      </c>
      <c r="FV523" s="14">
        <f t="shared" si="556"/>
        <v>2031</v>
      </c>
      <c r="FW523" s="14">
        <f t="shared" si="557"/>
        <v>0</v>
      </c>
      <c r="FX523" s="14" t="str">
        <f t="shared" si="558"/>
        <v/>
      </c>
      <c r="FY523" s="25" t="str">
        <f t="shared" si="572"/>
        <v>icon_2103105</v>
      </c>
      <c r="GC523" s="14">
        <f t="shared" si="559"/>
        <v>3</v>
      </c>
      <c r="GD523" s="14">
        <f t="shared" si="560"/>
        <v>0</v>
      </c>
      <c r="GE523" s="14">
        <f t="shared" si="535"/>
        <v>36</v>
      </c>
      <c r="GF523" s="14" t="str">
        <f t="shared" si="536"/>
        <v>HPExt</v>
      </c>
      <c r="GG523" s="14">
        <f t="shared" si="537"/>
        <v>465</v>
      </c>
      <c r="GH523" s="14">
        <f t="shared" si="538"/>
        <v>36</v>
      </c>
      <c r="GI523" s="14" t="str">
        <f t="shared" si="539"/>
        <v/>
      </c>
      <c r="GJ523" s="14" t="str">
        <f t="shared" si="540"/>
        <v/>
      </c>
      <c r="GK523" s="14" t="str">
        <f t="shared" si="541"/>
        <v/>
      </c>
      <c r="GL523" s="14">
        <f t="shared" si="561"/>
        <v>20310</v>
      </c>
      <c r="GM523" s="14">
        <f t="shared" si="542"/>
        <v>0</v>
      </c>
      <c r="GN523" s="14" t="str">
        <f t="shared" si="543"/>
        <v/>
      </c>
      <c r="GO523" s="25" t="s">
        <v>1471</v>
      </c>
      <c r="GP523" s="14">
        <f t="shared" si="562"/>
        <v>10</v>
      </c>
      <c r="GQ523" s="30"/>
      <c r="HK523" s="13">
        <v>518</v>
      </c>
      <c r="HL523" s="14">
        <f t="shared" si="573"/>
        <v>22</v>
      </c>
      <c r="HM523" s="14">
        <f t="shared" si="574"/>
        <v>2</v>
      </c>
      <c r="HN523" s="14">
        <f t="shared" si="575"/>
        <v>11</v>
      </c>
      <c r="HO523" s="14">
        <f t="shared" si="576"/>
        <v>4</v>
      </c>
      <c r="HP523" s="14" t="str">
        <f t="shared" si="577"/>
        <v>150级守护灵洗练-Q4-2</v>
      </c>
      <c r="HQ523" s="14">
        <f t="shared" si="578"/>
        <v>2114</v>
      </c>
      <c r="HR523" s="14">
        <f t="shared" si="579"/>
        <v>2</v>
      </c>
      <c r="HS523" s="14">
        <f t="shared" si="580"/>
        <v>1800</v>
      </c>
      <c r="HT523" s="14" t="str">
        <f t="shared" si="581"/>
        <v>DefExt</v>
      </c>
      <c r="HU523" s="14">
        <f t="shared" si="582"/>
        <v>170</v>
      </c>
      <c r="HV523" s="14">
        <f t="shared" si="583"/>
        <v>486</v>
      </c>
    </row>
    <row r="524" spans="151:230" ht="16.5" x14ac:dyDescent="0.2">
      <c r="EU524" s="13">
        <v>519</v>
      </c>
      <c r="EV524" s="14">
        <f t="shared" si="563"/>
        <v>2</v>
      </c>
      <c r="EW524" s="14">
        <f t="shared" si="531"/>
        <v>84</v>
      </c>
      <c r="EX524" s="14">
        <f t="shared" si="564"/>
        <v>11</v>
      </c>
      <c r="EY524" s="14">
        <f t="shared" si="532"/>
        <v>10</v>
      </c>
      <c r="EZ524" s="14">
        <f t="shared" si="544"/>
        <v>14</v>
      </c>
      <c r="FA524" s="14">
        <f t="shared" si="545"/>
        <v>50</v>
      </c>
      <c r="FB524" s="14">
        <f t="shared" si="546"/>
        <v>1</v>
      </c>
      <c r="FC524" s="14">
        <f t="shared" si="547"/>
        <v>6</v>
      </c>
      <c r="FD524" s="14">
        <f t="shared" si="548"/>
        <v>6</v>
      </c>
      <c r="FE524" s="14" t="b">
        <f t="shared" si="565"/>
        <v>0</v>
      </c>
      <c r="FF524" s="14">
        <f t="shared" si="549"/>
        <v>2103106</v>
      </c>
      <c r="FG524" s="13" t="str">
        <f t="shared" si="550"/>
        <v>50级-普通守护灵の护手</v>
      </c>
      <c r="FH524" s="14">
        <f t="shared" si="551"/>
        <v>2</v>
      </c>
      <c r="FI524" s="14">
        <f t="shared" si="552"/>
        <v>1</v>
      </c>
      <c r="FJ524" s="14">
        <f t="shared" si="553"/>
        <v>50</v>
      </c>
      <c r="FK524" s="14">
        <v>85</v>
      </c>
      <c r="FL524" s="14">
        <f t="shared" si="554"/>
        <v>3</v>
      </c>
      <c r="FM524" s="14">
        <f t="shared" si="533"/>
        <v>6</v>
      </c>
      <c r="FN524" s="14" t="str">
        <f t="shared" si="555"/>
        <v/>
      </c>
      <c r="FO524" s="14">
        <f t="shared" si="534"/>
        <v>36</v>
      </c>
      <c r="FP524" s="14">
        <f t="shared" si="566"/>
        <v>0</v>
      </c>
      <c r="FQ524" s="14">
        <f t="shared" si="567"/>
        <v>0</v>
      </c>
      <c r="FR524" s="14">
        <f t="shared" si="568"/>
        <v>465</v>
      </c>
      <c r="FS524" s="14">
        <f t="shared" si="569"/>
        <v>0</v>
      </c>
      <c r="FT524" s="14">
        <f t="shared" si="570"/>
        <v>0</v>
      </c>
      <c r="FU524" s="14">
        <f t="shared" si="571"/>
        <v>36</v>
      </c>
      <c r="FV524" s="14">
        <f t="shared" si="556"/>
        <v>2031</v>
      </c>
      <c r="FW524" s="14">
        <f t="shared" si="557"/>
        <v>0</v>
      </c>
      <c r="FX524" s="14" t="str">
        <f t="shared" si="558"/>
        <v/>
      </c>
      <c r="FY524" s="25" t="str">
        <f t="shared" si="572"/>
        <v>icon_2103106</v>
      </c>
      <c r="GC524" s="14">
        <f t="shared" si="559"/>
        <v>3</v>
      </c>
      <c r="GD524" s="14">
        <f t="shared" si="560"/>
        <v>0</v>
      </c>
      <c r="GE524" s="14">
        <f t="shared" si="535"/>
        <v>36</v>
      </c>
      <c r="GF524" s="14" t="str">
        <f t="shared" si="536"/>
        <v>HPExt</v>
      </c>
      <c r="GG524" s="14">
        <f t="shared" si="537"/>
        <v>465</v>
      </c>
      <c r="GH524" s="14">
        <f t="shared" si="538"/>
        <v>36</v>
      </c>
      <c r="GI524" s="14" t="str">
        <f t="shared" si="539"/>
        <v/>
      </c>
      <c r="GJ524" s="14" t="str">
        <f t="shared" si="540"/>
        <v/>
      </c>
      <c r="GK524" s="14" t="str">
        <f t="shared" si="541"/>
        <v/>
      </c>
      <c r="GL524" s="14">
        <f t="shared" si="561"/>
        <v>20310</v>
      </c>
      <c r="GM524" s="14">
        <f t="shared" si="542"/>
        <v>0</v>
      </c>
      <c r="GN524" s="14" t="str">
        <f t="shared" si="543"/>
        <v/>
      </c>
      <c r="GO524" s="25" t="s">
        <v>1471</v>
      </c>
      <c r="GP524" s="14">
        <f t="shared" si="562"/>
        <v>10</v>
      </c>
      <c r="GQ524" s="30"/>
      <c r="HK524" s="13">
        <v>519</v>
      </c>
      <c r="HL524" s="14">
        <f t="shared" si="573"/>
        <v>22</v>
      </c>
      <c r="HM524" s="14">
        <f t="shared" si="574"/>
        <v>2</v>
      </c>
      <c r="HN524" s="14">
        <f t="shared" si="575"/>
        <v>11</v>
      </c>
      <c r="HO524" s="14">
        <f t="shared" si="576"/>
        <v>4</v>
      </c>
      <c r="HP524" s="14" t="str">
        <f t="shared" si="577"/>
        <v>150级守护灵洗练-Q4-3</v>
      </c>
      <c r="HQ524" s="14">
        <f t="shared" si="578"/>
        <v>2114</v>
      </c>
      <c r="HR524" s="14">
        <f t="shared" si="579"/>
        <v>3</v>
      </c>
      <c r="HS524" s="14">
        <f t="shared" si="580"/>
        <v>2000</v>
      </c>
      <c r="HT524" s="14" t="str">
        <f t="shared" si="581"/>
        <v>HPExt</v>
      </c>
      <c r="HU524" s="14" t="e">
        <f t="shared" si="582"/>
        <v>#VALUE!</v>
      </c>
      <c r="HV524" s="14" t="e">
        <f t="shared" si="583"/>
        <v>#VALUE!</v>
      </c>
    </row>
    <row r="525" spans="151:230" ht="16.5" x14ac:dyDescent="0.2">
      <c r="EU525" s="13">
        <v>520</v>
      </c>
      <c r="EV525" s="14">
        <f t="shared" si="563"/>
        <v>2</v>
      </c>
      <c r="EW525" s="14">
        <f t="shared" si="531"/>
        <v>85</v>
      </c>
      <c r="EX525" s="14">
        <f t="shared" si="564"/>
        <v>11</v>
      </c>
      <c r="EY525" s="14">
        <f t="shared" si="532"/>
        <v>10</v>
      </c>
      <c r="EZ525" s="14">
        <f t="shared" si="544"/>
        <v>14</v>
      </c>
      <c r="FA525" s="14">
        <f t="shared" si="545"/>
        <v>50</v>
      </c>
      <c r="FB525" s="14">
        <f t="shared" si="546"/>
        <v>1</v>
      </c>
      <c r="FC525" s="14">
        <f t="shared" si="547"/>
        <v>7</v>
      </c>
      <c r="FD525" s="14">
        <f t="shared" si="548"/>
        <v>7</v>
      </c>
      <c r="FE525" s="14" t="b">
        <f t="shared" si="565"/>
        <v>0</v>
      </c>
      <c r="FF525" s="14">
        <f t="shared" si="549"/>
        <v>2103107</v>
      </c>
      <c r="FG525" s="13" t="str">
        <f t="shared" si="550"/>
        <v>50级-普通守护灵の项链</v>
      </c>
      <c r="FH525" s="14">
        <f t="shared" si="551"/>
        <v>2</v>
      </c>
      <c r="FI525" s="14">
        <f t="shared" si="552"/>
        <v>1</v>
      </c>
      <c r="FJ525" s="14">
        <f t="shared" si="553"/>
        <v>50</v>
      </c>
      <c r="FK525" s="14">
        <v>86</v>
      </c>
      <c r="FL525" s="14">
        <f t="shared" si="554"/>
        <v>3</v>
      </c>
      <c r="FM525" s="14">
        <f t="shared" si="533"/>
        <v>7</v>
      </c>
      <c r="FN525" s="14" t="str">
        <f t="shared" si="555"/>
        <v/>
      </c>
      <c r="FO525" s="14">
        <f t="shared" si="534"/>
        <v>35</v>
      </c>
      <c r="FP525" s="14">
        <f t="shared" si="566"/>
        <v>45</v>
      </c>
      <c r="FQ525" s="14">
        <f t="shared" si="567"/>
        <v>30</v>
      </c>
      <c r="FR525" s="14">
        <f t="shared" si="568"/>
        <v>0</v>
      </c>
      <c r="FS525" s="14">
        <f t="shared" si="569"/>
        <v>3</v>
      </c>
      <c r="FT525" s="14">
        <f t="shared" si="570"/>
        <v>2</v>
      </c>
      <c r="FU525" s="14">
        <f t="shared" si="571"/>
        <v>0</v>
      </c>
      <c r="FV525" s="14">
        <f t="shared" si="556"/>
        <v>2031</v>
      </c>
      <c r="FW525" s="14">
        <f t="shared" si="557"/>
        <v>0</v>
      </c>
      <c r="FX525" s="14" t="str">
        <f t="shared" si="558"/>
        <v/>
      </c>
      <c r="FY525" s="25" t="str">
        <f t="shared" si="572"/>
        <v>icon_2103107</v>
      </c>
      <c r="GC525" s="14">
        <f t="shared" si="559"/>
        <v>1</v>
      </c>
      <c r="GD525" s="14">
        <f t="shared" si="560"/>
        <v>2</v>
      </c>
      <c r="GE525" s="14">
        <f t="shared" si="535"/>
        <v>35</v>
      </c>
      <c r="GF525" s="14" t="str">
        <f t="shared" si="536"/>
        <v>AtkExt</v>
      </c>
      <c r="GG525" s="14">
        <f t="shared" si="537"/>
        <v>45</v>
      </c>
      <c r="GH525" s="14">
        <f t="shared" si="538"/>
        <v>3</v>
      </c>
      <c r="GI525" s="14" t="str">
        <f t="shared" si="539"/>
        <v>DefExt</v>
      </c>
      <c r="GJ525" s="14">
        <f t="shared" si="540"/>
        <v>30</v>
      </c>
      <c r="GK525" s="14">
        <f t="shared" si="541"/>
        <v>2</v>
      </c>
      <c r="GL525" s="14">
        <f t="shared" si="561"/>
        <v>20310</v>
      </c>
      <c r="GM525" s="14">
        <f t="shared" si="542"/>
        <v>0</v>
      </c>
      <c r="GN525" s="14" t="str">
        <f t="shared" si="543"/>
        <v/>
      </c>
      <c r="GO525" s="25" t="s">
        <v>1471</v>
      </c>
      <c r="GP525" s="14">
        <f t="shared" si="562"/>
        <v>15</v>
      </c>
      <c r="GQ525" s="30"/>
      <c r="HK525" s="13">
        <v>520</v>
      </c>
      <c r="HL525" s="14">
        <f t="shared" si="573"/>
        <v>22</v>
      </c>
      <c r="HM525" s="14">
        <f t="shared" si="574"/>
        <v>2</v>
      </c>
      <c r="HN525" s="14">
        <f t="shared" si="575"/>
        <v>11</v>
      </c>
      <c r="HO525" s="14">
        <f t="shared" si="576"/>
        <v>4</v>
      </c>
      <c r="HP525" s="14" t="str">
        <f t="shared" si="577"/>
        <v>150级守护灵洗练-Q4-4</v>
      </c>
      <c r="HQ525" s="14">
        <f t="shared" si="578"/>
        <v>2114</v>
      </c>
      <c r="HR525" s="14">
        <f t="shared" si="579"/>
        <v>4</v>
      </c>
      <c r="HS525" s="14">
        <f t="shared" si="580"/>
        <v>500</v>
      </c>
      <c r="HT525" s="14" t="str">
        <f t="shared" si="581"/>
        <v>AtkRate</v>
      </c>
      <c r="HU525" s="14">
        <f t="shared" si="582"/>
        <v>1.4E-2</v>
      </c>
      <c r="HV525" s="14">
        <f t="shared" si="583"/>
        <v>0.04</v>
      </c>
    </row>
    <row r="526" spans="151:230" ht="16.5" x14ac:dyDescent="0.2">
      <c r="EU526" s="13">
        <v>521</v>
      </c>
      <c r="EV526" s="14">
        <f t="shared" si="563"/>
        <v>2</v>
      </c>
      <c r="EW526" s="14">
        <f t="shared" si="531"/>
        <v>86</v>
      </c>
      <c r="EX526" s="14">
        <f t="shared" si="564"/>
        <v>11</v>
      </c>
      <c r="EY526" s="14">
        <f t="shared" si="532"/>
        <v>10</v>
      </c>
      <c r="EZ526" s="14">
        <f t="shared" si="544"/>
        <v>14</v>
      </c>
      <c r="FA526" s="14">
        <f t="shared" si="545"/>
        <v>50</v>
      </c>
      <c r="FB526" s="14">
        <f t="shared" si="546"/>
        <v>1</v>
      </c>
      <c r="FC526" s="14">
        <f t="shared" si="547"/>
        <v>8</v>
      </c>
      <c r="FD526" s="14">
        <f t="shared" si="548"/>
        <v>8</v>
      </c>
      <c r="FE526" s="14" t="b">
        <f t="shared" si="565"/>
        <v>0</v>
      </c>
      <c r="FF526" s="14">
        <f t="shared" si="549"/>
        <v>2103108</v>
      </c>
      <c r="FG526" s="13" t="str">
        <f t="shared" si="550"/>
        <v>50级-普通守护灵の戒指</v>
      </c>
      <c r="FH526" s="14">
        <f t="shared" si="551"/>
        <v>2</v>
      </c>
      <c r="FI526" s="14">
        <f t="shared" si="552"/>
        <v>1</v>
      </c>
      <c r="FJ526" s="14">
        <f t="shared" si="553"/>
        <v>50</v>
      </c>
      <c r="FK526" s="14">
        <v>87</v>
      </c>
      <c r="FL526" s="14">
        <f t="shared" si="554"/>
        <v>3</v>
      </c>
      <c r="FM526" s="14">
        <f t="shared" si="533"/>
        <v>8</v>
      </c>
      <c r="FN526" s="14" t="str">
        <f t="shared" si="555"/>
        <v/>
      </c>
      <c r="FO526" s="14">
        <f t="shared" si="534"/>
        <v>45</v>
      </c>
      <c r="FP526" s="14">
        <f t="shared" si="566"/>
        <v>45</v>
      </c>
      <c r="FQ526" s="14">
        <f t="shared" si="567"/>
        <v>0</v>
      </c>
      <c r="FR526" s="14">
        <f t="shared" si="568"/>
        <v>390</v>
      </c>
      <c r="FS526" s="14">
        <f t="shared" si="569"/>
        <v>3</v>
      </c>
      <c r="FT526" s="14">
        <f t="shared" si="570"/>
        <v>0</v>
      </c>
      <c r="FU526" s="14">
        <f t="shared" si="571"/>
        <v>30</v>
      </c>
      <c r="FV526" s="14">
        <f t="shared" si="556"/>
        <v>2031</v>
      </c>
      <c r="FW526" s="14">
        <f t="shared" si="557"/>
        <v>0</v>
      </c>
      <c r="FX526" s="14" t="str">
        <f t="shared" si="558"/>
        <v/>
      </c>
      <c r="FY526" s="25" t="str">
        <f t="shared" si="572"/>
        <v>icon_2103108</v>
      </c>
      <c r="GC526" s="14">
        <f t="shared" si="559"/>
        <v>1</v>
      </c>
      <c r="GD526" s="14">
        <f t="shared" si="560"/>
        <v>3</v>
      </c>
      <c r="GE526" s="14">
        <f t="shared" si="535"/>
        <v>45</v>
      </c>
      <c r="GF526" s="14" t="str">
        <f t="shared" si="536"/>
        <v>AtkExt</v>
      </c>
      <c r="GG526" s="14">
        <f t="shared" si="537"/>
        <v>45</v>
      </c>
      <c r="GH526" s="14">
        <f t="shared" si="538"/>
        <v>3</v>
      </c>
      <c r="GI526" s="14" t="str">
        <f t="shared" si="539"/>
        <v>HPExt</v>
      </c>
      <c r="GJ526" s="14">
        <f t="shared" si="540"/>
        <v>390</v>
      </c>
      <c r="GK526" s="14">
        <f t="shared" si="541"/>
        <v>30</v>
      </c>
      <c r="GL526" s="14">
        <f t="shared" si="561"/>
        <v>20310</v>
      </c>
      <c r="GM526" s="14">
        <f t="shared" si="542"/>
        <v>0</v>
      </c>
      <c r="GN526" s="14" t="str">
        <f t="shared" si="543"/>
        <v/>
      </c>
      <c r="GO526" s="25" t="s">
        <v>1471</v>
      </c>
      <c r="GP526" s="14">
        <f t="shared" si="562"/>
        <v>15</v>
      </c>
      <c r="GQ526" s="30"/>
      <c r="HK526" s="13">
        <v>521</v>
      </c>
      <c r="HL526" s="14">
        <f t="shared" si="573"/>
        <v>22</v>
      </c>
      <c r="HM526" s="14">
        <f t="shared" si="574"/>
        <v>2</v>
      </c>
      <c r="HN526" s="14">
        <f t="shared" si="575"/>
        <v>11</v>
      </c>
      <c r="HO526" s="14">
        <f t="shared" si="576"/>
        <v>4</v>
      </c>
      <c r="HP526" s="14" t="str">
        <f t="shared" si="577"/>
        <v>150级守护灵洗练-Q4-5</v>
      </c>
      <c r="HQ526" s="14">
        <f t="shared" si="578"/>
        <v>2114</v>
      </c>
      <c r="HR526" s="14">
        <f t="shared" si="579"/>
        <v>5</v>
      </c>
      <c r="HS526" s="14">
        <f t="shared" si="580"/>
        <v>400</v>
      </c>
      <c r="HT526" s="14" t="str">
        <f t="shared" si="581"/>
        <v>DefRate</v>
      </c>
      <c r="HU526" s="14">
        <f t="shared" si="582"/>
        <v>1.4E-2</v>
      </c>
      <c r="HV526" s="14">
        <f t="shared" si="583"/>
        <v>0.04</v>
      </c>
    </row>
    <row r="527" spans="151:230" ht="16.5" x14ac:dyDescent="0.2">
      <c r="EU527" s="13">
        <v>522</v>
      </c>
      <c r="EV527" s="14">
        <f t="shared" si="563"/>
        <v>2</v>
      </c>
      <c r="EW527" s="14">
        <f t="shared" si="531"/>
        <v>87</v>
      </c>
      <c r="EX527" s="14">
        <f t="shared" si="564"/>
        <v>12</v>
      </c>
      <c r="EY527" s="14">
        <f t="shared" si="532"/>
        <v>20</v>
      </c>
      <c r="EZ527" s="14">
        <f t="shared" si="544"/>
        <v>14</v>
      </c>
      <c r="FA527" s="14">
        <f t="shared" si="545"/>
        <v>50</v>
      </c>
      <c r="FB527" s="14">
        <f t="shared" si="546"/>
        <v>2</v>
      </c>
      <c r="FC527" s="14">
        <f t="shared" si="547"/>
        <v>1</v>
      </c>
      <c r="FD527" s="14">
        <f t="shared" si="548"/>
        <v>1</v>
      </c>
      <c r="FE527" s="14" t="b">
        <f t="shared" si="565"/>
        <v>0</v>
      </c>
      <c r="FF527" s="14">
        <f t="shared" si="549"/>
        <v>2103201</v>
      </c>
      <c r="FG527" s="13" t="str">
        <f t="shared" si="550"/>
        <v>50级-优秀守护灵の灵器</v>
      </c>
      <c r="FH527" s="14">
        <f t="shared" si="551"/>
        <v>2</v>
      </c>
      <c r="FI527" s="14">
        <f t="shared" si="552"/>
        <v>2</v>
      </c>
      <c r="FJ527" s="14">
        <f t="shared" si="553"/>
        <v>50</v>
      </c>
      <c r="FK527" s="14">
        <v>88</v>
      </c>
      <c r="FL527" s="14">
        <f t="shared" si="554"/>
        <v>3</v>
      </c>
      <c r="FM527" s="14">
        <f t="shared" si="533"/>
        <v>1</v>
      </c>
      <c r="FN527" s="14" t="str">
        <f t="shared" si="555"/>
        <v/>
      </c>
      <c r="FO527" s="14">
        <f t="shared" si="534"/>
        <v>70</v>
      </c>
      <c r="FP527" s="14">
        <f t="shared" si="566"/>
        <v>190</v>
      </c>
      <c r="FQ527" s="14">
        <f t="shared" si="567"/>
        <v>0</v>
      </c>
      <c r="FR527" s="14">
        <f t="shared" si="568"/>
        <v>0</v>
      </c>
      <c r="FS527" s="14">
        <f t="shared" si="569"/>
        <v>14</v>
      </c>
      <c r="FT527" s="14">
        <f t="shared" si="570"/>
        <v>0</v>
      </c>
      <c r="FU527" s="14">
        <f t="shared" si="571"/>
        <v>0</v>
      </c>
      <c r="FV527" s="14">
        <f t="shared" si="556"/>
        <v>2032</v>
      </c>
      <c r="FW527" s="14">
        <f t="shared" si="557"/>
        <v>0</v>
      </c>
      <c r="FX527" s="14" t="str">
        <f t="shared" si="558"/>
        <v/>
      </c>
      <c r="FY527" s="25" t="str">
        <f t="shared" si="572"/>
        <v>icon_2103101</v>
      </c>
      <c r="GC527" s="14">
        <f t="shared" si="559"/>
        <v>1</v>
      </c>
      <c r="GD527" s="14">
        <f t="shared" si="560"/>
        <v>0</v>
      </c>
      <c r="GE527" s="14">
        <f t="shared" si="535"/>
        <v>70</v>
      </c>
      <c r="GF527" s="14" t="str">
        <f t="shared" si="536"/>
        <v>AtkExt</v>
      </c>
      <c r="GG527" s="14">
        <f t="shared" si="537"/>
        <v>190</v>
      </c>
      <c r="GH527" s="14">
        <f t="shared" si="538"/>
        <v>14</v>
      </c>
      <c r="GI527" s="14" t="str">
        <f t="shared" si="539"/>
        <v/>
      </c>
      <c r="GJ527" s="14" t="str">
        <f t="shared" si="540"/>
        <v/>
      </c>
      <c r="GK527" s="14" t="str">
        <f t="shared" si="541"/>
        <v/>
      </c>
      <c r="GL527" s="14">
        <f t="shared" si="561"/>
        <v>20320</v>
      </c>
      <c r="GM527" s="14">
        <f t="shared" si="542"/>
        <v>0</v>
      </c>
      <c r="GN527" s="14" t="str">
        <f t="shared" si="543"/>
        <v/>
      </c>
      <c r="GO527" s="25" t="s">
        <v>1471</v>
      </c>
      <c r="GP527" s="14">
        <f t="shared" si="562"/>
        <v>60</v>
      </c>
      <c r="GQ527" s="30"/>
      <c r="HK527" s="13">
        <v>522</v>
      </c>
      <c r="HL527" s="14">
        <f t="shared" si="573"/>
        <v>22</v>
      </c>
      <c r="HM527" s="14">
        <f t="shared" si="574"/>
        <v>2</v>
      </c>
      <c r="HN527" s="14">
        <f t="shared" si="575"/>
        <v>11</v>
      </c>
      <c r="HO527" s="14">
        <f t="shared" si="576"/>
        <v>4</v>
      </c>
      <c r="HP527" s="14" t="str">
        <f t="shared" si="577"/>
        <v>150级守护灵洗练-Q4-6</v>
      </c>
      <c r="HQ527" s="14">
        <f t="shared" si="578"/>
        <v>2114</v>
      </c>
      <c r="HR527" s="14">
        <f t="shared" si="579"/>
        <v>6</v>
      </c>
      <c r="HS527" s="14">
        <f t="shared" si="580"/>
        <v>500</v>
      </c>
      <c r="HT527" s="14" t="str">
        <f t="shared" si="581"/>
        <v>HPRate</v>
      </c>
      <c r="HU527" s="14">
        <f t="shared" si="582"/>
        <v>1.4E-2</v>
      </c>
      <c r="HV527" s="14">
        <f t="shared" si="583"/>
        <v>0.04</v>
      </c>
    </row>
    <row r="528" spans="151:230" ht="16.5" x14ac:dyDescent="0.2">
      <c r="EU528" s="13">
        <v>523</v>
      </c>
      <c r="EV528" s="14">
        <f t="shared" si="563"/>
        <v>2</v>
      </c>
      <c r="EW528" s="14">
        <f t="shared" si="531"/>
        <v>88</v>
      </c>
      <c r="EX528" s="14">
        <f t="shared" si="564"/>
        <v>12</v>
      </c>
      <c r="EY528" s="14">
        <f t="shared" si="532"/>
        <v>20</v>
      </c>
      <c r="EZ528" s="14">
        <f t="shared" si="544"/>
        <v>14</v>
      </c>
      <c r="FA528" s="14">
        <f t="shared" si="545"/>
        <v>50</v>
      </c>
      <c r="FB528" s="14">
        <f t="shared" si="546"/>
        <v>2</v>
      </c>
      <c r="FC528" s="14">
        <f t="shared" si="547"/>
        <v>2</v>
      </c>
      <c r="FD528" s="14">
        <f t="shared" si="548"/>
        <v>2</v>
      </c>
      <c r="FE528" s="14" t="b">
        <f t="shared" si="565"/>
        <v>0</v>
      </c>
      <c r="FF528" s="14">
        <f t="shared" si="549"/>
        <v>2103202</v>
      </c>
      <c r="FG528" s="13" t="str">
        <f t="shared" si="550"/>
        <v>50级-优秀守护灵の头盔</v>
      </c>
      <c r="FH528" s="14">
        <f t="shared" si="551"/>
        <v>2</v>
      </c>
      <c r="FI528" s="14">
        <f t="shared" si="552"/>
        <v>2</v>
      </c>
      <c r="FJ528" s="14">
        <f t="shared" si="553"/>
        <v>50</v>
      </c>
      <c r="FK528" s="14">
        <v>89</v>
      </c>
      <c r="FL528" s="14">
        <f t="shared" si="554"/>
        <v>3</v>
      </c>
      <c r="FM528" s="14">
        <f t="shared" si="533"/>
        <v>2</v>
      </c>
      <c r="FN528" s="14" t="str">
        <f t="shared" si="555"/>
        <v/>
      </c>
      <c r="FO528" s="14">
        <f t="shared" si="534"/>
        <v>40</v>
      </c>
      <c r="FP528" s="14">
        <f t="shared" si="566"/>
        <v>0</v>
      </c>
      <c r="FQ528" s="14">
        <f t="shared" si="567"/>
        <v>50</v>
      </c>
      <c r="FR528" s="14">
        <f t="shared" si="568"/>
        <v>0</v>
      </c>
      <c r="FS528" s="14">
        <f t="shared" si="569"/>
        <v>0</v>
      </c>
      <c r="FT528" s="14">
        <f t="shared" si="570"/>
        <v>4</v>
      </c>
      <c r="FU528" s="14">
        <f t="shared" si="571"/>
        <v>0</v>
      </c>
      <c r="FV528" s="14">
        <f t="shared" si="556"/>
        <v>2032</v>
      </c>
      <c r="FW528" s="14">
        <f t="shared" si="557"/>
        <v>0</v>
      </c>
      <c r="FX528" s="14" t="str">
        <f t="shared" si="558"/>
        <v/>
      </c>
      <c r="FY528" s="25" t="str">
        <f t="shared" si="572"/>
        <v>icon_2103102</v>
      </c>
      <c r="GC528" s="14">
        <f t="shared" si="559"/>
        <v>2</v>
      </c>
      <c r="GD528" s="14">
        <f t="shared" si="560"/>
        <v>0</v>
      </c>
      <c r="GE528" s="14">
        <f t="shared" si="535"/>
        <v>40</v>
      </c>
      <c r="GF528" s="14" t="str">
        <f t="shared" si="536"/>
        <v>DefExt</v>
      </c>
      <c r="GG528" s="14">
        <f t="shared" si="537"/>
        <v>50</v>
      </c>
      <c r="GH528" s="14">
        <f t="shared" si="538"/>
        <v>4</v>
      </c>
      <c r="GI528" s="14" t="str">
        <f t="shared" si="539"/>
        <v/>
      </c>
      <c r="GJ528" s="14" t="str">
        <f t="shared" si="540"/>
        <v/>
      </c>
      <c r="GK528" s="14" t="str">
        <f t="shared" si="541"/>
        <v/>
      </c>
      <c r="GL528" s="14">
        <f t="shared" si="561"/>
        <v>20320</v>
      </c>
      <c r="GM528" s="14">
        <f t="shared" si="542"/>
        <v>0</v>
      </c>
      <c r="GN528" s="14" t="str">
        <f t="shared" si="543"/>
        <v/>
      </c>
      <c r="GO528" s="25" t="s">
        <v>1471</v>
      </c>
      <c r="GP528" s="14">
        <f t="shared" si="562"/>
        <v>30</v>
      </c>
      <c r="GQ528" s="30"/>
      <c r="HK528" s="13">
        <v>523</v>
      </c>
      <c r="HL528" s="14">
        <f t="shared" si="573"/>
        <v>22</v>
      </c>
      <c r="HM528" s="14">
        <f t="shared" si="574"/>
        <v>2</v>
      </c>
      <c r="HN528" s="14">
        <f t="shared" si="575"/>
        <v>11</v>
      </c>
      <c r="HO528" s="14">
        <f t="shared" si="576"/>
        <v>4</v>
      </c>
      <c r="HP528" s="14" t="str">
        <f t="shared" si="577"/>
        <v>150级守护灵洗练-Q4-7</v>
      </c>
      <c r="HQ528" s="14">
        <f t="shared" si="578"/>
        <v>2114</v>
      </c>
      <c r="HR528" s="14">
        <f t="shared" si="579"/>
        <v>7</v>
      </c>
      <c r="HS528" s="14">
        <f t="shared" si="580"/>
        <v>500</v>
      </c>
      <c r="HT528" s="14" t="str">
        <f t="shared" si="581"/>
        <v>Crit</v>
      </c>
      <c r="HU528" s="14">
        <f t="shared" si="582"/>
        <v>1.0999999999999999E-2</v>
      </c>
      <c r="HV528" s="14">
        <f t="shared" si="583"/>
        <v>0.03</v>
      </c>
    </row>
    <row r="529" spans="151:230" ht="16.5" x14ac:dyDescent="0.2">
      <c r="EU529" s="13">
        <v>524</v>
      </c>
      <c r="EV529" s="14">
        <f t="shared" si="563"/>
        <v>2</v>
      </c>
      <c r="EW529" s="14">
        <f t="shared" si="531"/>
        <v>89</v>
      </c>
      <c r="EX529" s="14">
        <f t="shared" si="564"/>
        <v>12</v>
      </c>
      <c r="EY529" s="14">
        <f t="shared" si="532"/>
        <v>20</v>
      </c>
      <c r="EZ529" s="14">
        <f t="shared" si="544"/>
        <v>14</v>
      </c>
      <c r="FA529" s="14">
        <f t="shared" si="545"/>
        <v>50</v>
      </c>
      <c r="FB529" s="14">
        <f t="shared" si="546"/>
        <v>2</v>
      </c>
      <c r="FC529" s="14">
        <f t="shared" si="547"/>
        <v>3</v>
      </c>
      <c r="FD529" s="14">
        <f t="shared" si="548"/>
        <v>3</v>
      </c>
      <c r="FE529" s="14" t="b">
        <f t="shared" si="565"/>
        <v>0</v>
      </c>
      <c r="FF529" s="14">
        <f t="shared" si="549"/>
        <v>2103203</v>
      </c>
      <c r="FG529" s="13" t="str">
        <f t="shared" si="550"/>
        <v>50级-优秀守护灵の铠甲</v>
      </c>
      <c r="FH529" s="14">
        <f t="shared" si="551"/>
        <v>2</v>
      </c>
      <c r="FI529" s="14">
        <f t="shared" si="552"/>
        <v>2</v>
      </c>
      <c r="FJ529" s="14">
        <f t="shared" si="553"/>
        <v>50</v>
      </c>
      <c r="FK529" s="14">
        <v>90</v>
      </c>
      <c r="FL529" s="14">
        <f t="shared" si="554"/>
        <v>3</v>
      </c>
      <c r="FM529" s="14">
        <f t="shared" si="533"/>
        <v>3</v>
      </c>
      <c r="FN529" s="14" t="str">
        <f t="shared" si="555"/>
        <v/>
      </c>
      <c r="FO529" s="14">
        <f t="shared" si="534"/>
        <v>45</v>
      </c>
      <c r="FP529" s="14">
        <f t="shared" si="566"/>
        <v>0</v>
      </c>
      <c r="FQ529" s="14">
        <f t="shared" si="567"/>
        <v>25</v>
      </c>
      <c r="FR529" s="14">
        <f t="shared" si="568"/>
        <v>325</v>
      </c>
      <c r="FS529" s="14">
        <f t="shared" si="569"/>
        <v>0</v>
      </c>
      <c r="FT529" s="14">
        <f t="shared" si="570"/>
        <v>2</v>
      </c>
      <c r="FU529" s="14">
        <f t="shared" si="571"/>
        <v>25</v>
      </c>
      <c r="FV529" s="14">
        <f t="shared" si="556"/>
        <v>2032</v>
      </c>
      <c r="FW529" s="14">
        <f t="shared" si="557"/>
        <v>0</v>
      </c>
      <c r="FX529" s="14" t="str">
        <f t="shared" si="558"/>
        <v/>
      </c>
      <c r="FY529" s="25" t="str">
        <f t="shared" si="572"/>
        <v>icon_2103103</v>
      </c>
      <c r="GC529" s="14">
        <f t="shared" si="559"/>
        <v>2</v>
      </c>
      <c r="GD529" s="14">
        <f t="shared" si="560"/>
        <v>3</v>
      </c>
      <c r="GE529" s="14">
        <f t="shared" si="535"/>
        <v>45</v>
      </c>
      <c r="GF529" s="14" t="str">
        <f t="shared" si="536"/>
        <v>DefExt</v>
      </c>
      <c r="GG529" s="14">
        <f t="shared" si="537"/>
        <v>25</v>
      </c>
      <c r="GH529" s="14">
        <f t="shared" si="538"/>
        <v>2</v>
      </c>
      <c r="GI529" s="14" t="str">
        <f t="shared" si="539"/>
        <v>HPExt</v>
      </c>
      <c r="GJ529" s="14">
        <f t="shared" si="540"/>
        <v>325</v>
      </c>
      <c r="GK529" s="14">
        <f t="shared" si="541"/>
        <v>25</v>
      </c>
      <c r="GL529" s="14">
        <f t="shared" si="561"/>
        <v>20320</v>
      </c>
      <c r="GM529" s="14">
        <f t="shared" si="542"/>
        <v>0</v>
      </c>
      <c r="GN529" s="14" t="str">
        <f t="shared" si="543"/>
        <v/>
      </c>
      <c r="GO529" s="25" t="s">
        <v>1471</v>
      </c>
      <c r="GP529" s="14">
        <f t="shared" si="562"/>
        <v>30</v>
      </c>
      <c r="GQ529" s="30"/>
      <c r="HK529" s="13">
        <v>524</v>
      </c>
      <c r="HL529" s="14">
        <f t="shared" si="573"/>
        <v>22</v>
      </c>
      <c r="HM529" s="14">
        <f t="shared" si="574"/>
        <v>2</v>
      </c>
      <c r="HN529" s="14">
        <f t="shared" si="575"/>
        <v>11</v>
      </c>
      <c r="HO529" s="14">
        <f t="shared" si="576"/>
        <v>4</v>
      </c>
      <c r="HP529" s="14" t="str">
        <f t="shared" si="577"/>
        <v>150级守护灵洗练-Q4-8</v>
      </c>
      <c r="HQ529" s="14">
        <f t="shared" si="578"/>
        <v>2114</v>
      </c>
      <c r="HR529" s="14">
        <f t="shared" si="579"/>
        <v>8</v>
      </c>
      <c r="HS529" s="14">
        <f t="shared" si="580"/>
        <v>500</v>
      </c>
      <c r="HT529" s="14" t="str">
        <f t="shared" si="581"/>
        <v>CritRate</v>
      </c>
      <c r="HU529" s="14">
        <f t="shared" si="582"/>
        <v>2.8000000000000001E-2</v>
      </c>
      <c r="HV529" s="14">
        <f t="shared" si="583"/>
        <v>0.08</v>
      </c>
    </row>
    <row r="530" spans="151:230" ht="16.5" x14ac:dyDescent="0.2">
      <c r="EU530" s="13">
        <v>525</v>
      </c>
      <c r="EV530" s="14">
        <f t="shared" si="563"/>
        <v>2</v>
      </c>
      <c r="EW530" s="14">
        <f t="shared" si="531"/>
        <v>90</v>
      </c>
      <c r="EX530" s="14">
        <f t="shared" si="564"/>
        <v>12</v>
      </c>
      <c r="EY530" s="14">
        <f t="shared" si="532"/>
        <v>20</v>
      </c>
      <c r="EZ530" s="14">
        <f t="shared" si="544"/>
        <v>14</v>
      </c>
      <c r="FA530" s="14">
        <f t="shared" si="545"/>
        <v>50</v>
      </c>
      <c r="FB530" s="14">
        <f t="shared" si="546"/>
        <v>2</v>
      </c>
      <c r="FC530" s="14">
        <f t="shared" si="547"/>
        <v>4</v>
      </c>
      <c r="FD530" s="14">
        <f t="shared" si="548"/>
        <v>4</v>
      </c>
      <c r="FE530" s="14" t="b">
        <f t="shared" si="565"/>
        <v>0</v>
      </c>
      <c r="FF530" s="14">
        <f t="shared" si="549"/>
        <v>2103204</v>
      </c>
      <c r="FG530" s="13" t="str">
        <f t="shared" si="550"/>
        <v>50级-优秀守护灵の裤子</v>
      </c>
      <c r="FH530" s="14">
        <f t="shared" si="551"/>
        <v>2</v>
      </c>
      <c r="FI530" s="14">
        <f t="shared" si="552"/>
        <v>2</v>
      </c>
      <c r="FJ530" s="14">
        <f t="shared" si="553"/>
        <v>50</v>
      </c>
      <c r="FK530" s="14">
        <v>91</v>
      </c>
      <c r="FL530" s="14">
        <f t="shared" si="554"/>
        <v>3</v>
      </c>
      <c r="FM530" s="14">
        <f t="shared" si="533"/>
        <v>4</v>
      </c>
      <c r="FN530" s="14" t="str">
        <f t="shared" si="555"/>
        <v/>
      </c>
      <c r="FO530" s="14">
        <f t="shared" si="534"/>
        <v>40</v>
      </c>
      <c r="FP530" s="14">
        <f t="shared" si="566"/>
        <v>0</v>
      </c>
      <c r="FQ530" s="14">
        <f t="shared" si="567"/>
        <v>50</v>
      </c>
      <c r="FR530" s="14">
        <f t="shared" si="568"/>
        <v>0</v>
      </c>
      <c r="FS530" s="14">
        <f t="shared" si="569"/>
        <v>0</v>
      </c>
      <c r="FT530" s="14">
        <f t="shared" si="570"/>
        <v>4</v>
      </c>
      <c r="FU530" s="14">
        <f t="shared" si="571"/>
        <v>0</v>
      </c>
      <c r="FV530" s="14">
        <f t="shared" si="556"/>
        <v>2032</v>
      </c>
      <c r="FW530" s="14">
        <f t="shared" si="557"/>
        <v>0</v>
      </c>
      <c r="FX530" s="14" t="str">
        <f t="shared" si="558"/>
        <v/>
      </c>
      <c r="FY530" s="25" t="str">
        <f t="shared" si="572"/>
        <v>icon_2103104</v>
      </c>
      <c r="GC530" s="14">
        <f t="shared" si="559"/>
        <v>2</v>
      </c>
      <c r="GD530" s="14">
        <f t="shared" si="560"/>
        <v>0</v>
      </c>
      <c r="GE530" s="14">
        <f t="shared" si="535"/>
        <v>40</v>
      </c>
      <c r="GF530" s="14" t="str">
        <f t="shared" si="536"/>
        <v>DefExt</v>
      </c>
      <c r="GG530" s="14">
        <f t="shared" si="537"/>
        <v>50</v>
      </c>
      <c r="GH530" s="14">
        <f t="shared" si="538"/>
        <v>4</v>
      </c>
      <c r="GI530" s="14" t="str">
        <f t="shared" si="539"/>
        <v/>
      </c>
      <c r="GJ530" s="14" t="str">
        <f t="shared" si="540"/>
        <v/>
      </c>
      <c r="GK530" s="14" t="str">
        <f t="shared" si="541"/>
        <v/>
      </c>
      <c r="GL530" s="14">
        <f t="shared" si="561"/>
        <v>20320</v>
      </c>
      <c r="GM530" s="14">
        <f t="shared" si="542"/>
        <v>0</v>
      </c>
      <c r="GN530" s="14" t="str">
        <f t="shared" si="543"/>
        <v/>
      </c>
      <c r="GO530" s="25" t="s">
        <v>1471</v>
      </c>
      <c r="GP530" s="14">
        <f t="shared" si="562"/>
        <v>30</v>
      </c>
      <c r="GQ530" s="30"/>
      <c r="HK530" s="13">
        <v>525</v>
      </c>
      <c r="HL530" s="14">
        <f t="shared" si="573"/>
        <v>22</v>
      </c>
      <c r="HM530" s="14">
        <f t="shared" si="574"/>
        <v>2</v>
      </c>
      <c r="HN530" s="14">
        <f t="shared" si="575"/>
        <v>11</v>
      </c>
      <c r="HO530" s="14">
        <f t="shared" si="576"/>
        <v>4</v>
      </c>
      <c r="HP530" s="14" t="str">
        <f t="shared" si="577"/>
        <v>150级守护灵洗练-Q4-9</v>
      </c>
      <c r="HQ530" s="14">
        <f t="shared" si="578"/>
        <v>2114</v>
      </c>
      <c r="HR530" s="14">
        <f t="shared" si="579"/>
        <v>9</v>
      </c>
      <c r="HS530" s="14">
        <f t="shared" si="580"/>
        <v>500</v>
      </c>
      <c r="HT530" s="14" t="str">
        <f t="shared" si="581"/>
        <v>DefIgnor</v>
      </c>
      <c r="HU530" s="14">
        <f t="shared" si="582"/>
        <v>1.0999999999999999E-2</v>
      </c>
      <c r="HV530" s="14">
        <f t="shared" si="583"/>
        <v>0.03</v>
      </c>
    </row>
    <row r="531" spans="151:230" ht="16.5" x14ac:dyDescent="0.2">
      <c r="EU531" s="13">
        <v>526</v>
      </c>
      <c r="EV531" s="14">
        <f t="shared" si="563"/>
        <v>2</v>
      </c>
      <c r="EW531" s="14">
        <f t="shared" si="531"/>
        <v>91</v>
      </c>
      <c r="EX531" s="14">
        <f t="shared" si="564"/>
        <v>12</v>
      </c>
      <c r="EY531" s="14">
        <f t="shared" si="532"/>
        <v>20</v>
      </c>
      <c r="EZ531" s="14">
        <f t="shared" si="544"/>
        <v>14</v>
      </c>
      <c r="FA531" s="14">
        <f t="shared" si="545"/>
        <v>50</v>
      </c>
      <c r="FB531" s="14">
        <f t="shared" si="546"/>
        <v>2</v>
      </c>
      <c r="FC531" s="14">
        <f t="shared" si="547"/>
        <v>5</v>
      </c>
      <c r="FD531" s="14">
        <f t="shared" si="548"/>
        <v>5</v>
      </c>
      <c r="FE531" s="14" t="b">
        <f t="shared" si="565"/>
        <v>0</v>
      </c>
      <c r="FF531" s="14">
        <f t="shared" si="549"/>
        <v>2103205</v>
      </c>
      <c r="FG531" s="13" t="str">
        <f t="shared" si="550"/>
        <v>50级-优秀守护灵の鞋子</v>
      </c>
      <c r="FH531" s="14">
        <f t="shared" si="551"/>
        <v>2</v>
      </c>
      <c r="FI531" s="14">
        <f t="shared" si="552"/>
        <v>2</v>
      </c>
      <c r="FJ531" s="14">
        <f t="shared" si="553"/>
        <v>50</v>
      </c>
      <c r="FK531" s="14">
        <v>92</v>
      </c>
      <c r="FL531" s="14">
        <f t="shared" si="554"/>
        <v>3</v>
      </c>
      <c r="FM531" s="14">
        <f t="shared" si="533"/>
        <v>5</v>
      </c>
      <c r="FN531" s="14" t="str">
        <f t="shared" si="555"/>
        <v/>
      </c>
      <c r="FO531" s="14">
        <f t="shared" si="534"/>
        <v>50</v>
      </c>
      <c r="FP531" s="14">
        <f t="shared" si="566"/>
        <v>0</v>
      </c>
      <c r="FQ531" s="14">
        <f t="shared" si="567"/>
        <v>0</v>
      </c>
      <c r="FR531" s="14">
        <f t="shared" si="568"/>
        <v>650</v>
      </c>
      <c r="FS531" s="14">
        <f t="shared" si="569"/>
        <v>0</v>
      </c>
      <c r="FT531" s="14">
        <f t="shared" si="570"/>
        <v>0</v>
      </c>
      <c r="FU531" s="14">
        <f t="shared" si="571"/>
        <v>50</v>
      </c>
      <c r="FV531" s="14">
        <f t="shared" si="556"/>
        <v>2032</v>
      </c>
      <c r="FW531" s="14">
        <f t="shared" si="557"/>
        <v>0</v>
      </c>
      <c r="FX531" s="14" t="str">
        <f t="shared" si="558"/>
        <v/>
      </c>
      <c r="FY531" s="25" t="str">
        <f t="shared" si="572"/>
        <v>icon_2103105</v>
      </c>
      <c r="GC531" s="14">
        <f t="shared" si="559"/>
        <v>3</v>
      </c>
      <c r="GD531" s="14">
        <f t="shared" si="560"/>
        <v>0</v>
      </c>
      <c r="GE531" s="14">
        <f t="shared" si="535"/>
        <v>50</v>
      </c>
      <c r="GF531" s="14" t="str">
        <f t="shared" si="536"/>
        <v>HPExt</v>
      </c>
      <c r="GG531" s="14">
        <f t="shared" si="537"/>
        <v>650</v>
      </c>
      <c r="GH531" s="14">
        <f t="shared" si="538"/>
        <v>50</v>
      </c>
      <c r="GI531" s="14" t="str">
        <f t="shared" si="539"/>
        <v/>
      </c>
      <c r="GJ531" s="14" t="str">
        <f t="shared" si="540"/>
        <v/>
      </c>
      <c r="GK531" s="14" t="str">
        <f t="shared" si="541"/>
        <v/>
      </c>
      <c r="GL531" s="14">
        <f t="shared" si="561"/>
        <v>20320</v>
      </c>
      <c r="GM531" s="14">
        <f t="shared" si="542"/>
        <v>0</v>
      </c>
      <c r="GN531" s="14" t="str">
        <f t="shared" si="543"/>
        <v/>
      </c>
      <c r="GO531" s="25" t="s">
        <v>1471</v>
      </c>
      <c r="GP531" s="14">
        <f t="shared" si="562"/>
        <v>30</v>
      </c>
      <c r="GQ531" s="30"/>
      <c r="HK531" s="13">
        <v>526</v>
      </c>
      <c r="HL531" s="14">
        <f t="shared" si="573"/>
        <v>22</v>
      </c>
      <c r="HM531" s="14">
        <f t="shared" si="574"/>
        <v>2</v>
      </c>
      <c r="HN531" s="14">
        <f t="shared" si="575"/>
        <v>11</v>
      </c>
      <c r="HO531" s="14">
        <f t="shared" si="576"/>
        <v>4</v>
      </c>
      <c r="HP531" s="14" t="str">
        <f t="shared" si="577"/>
        <v>150级守护灵洗练-Q4-10</v>
      </c>
      <c r="HQ531" s="14">
        <f t="shared" si="578"/>
        <v>2114</v>
      </c>
      <c r="HR531" s="14">
        <f t="shared" si="579"/>
        <v>10</v>
      </c>
      <c r="HS531" s="14">
        <f t="shared" si="580"/>
        <v>500</v>
      </c>
      <c r="HT531" s="14" t="str">
        <f t="shared" si="581"/>
        <v>Block</v>
      </c>
      <c r="HU531" s="14">
        <f t="shared" si="582"/>
        <v>1.0999999999999999E-2</v>
      </c>
      <c r="HV531" s="14">
        <f t="shared" si="583"/>
        <v>0.03</v>
      </c>
    </row>
    <row r="532" spans="151:230" ht="16.5" x14ac:dyDescent="0.2">
      <c r="EU532" s="13">
        <v>527</v>
      </c>
      <c r="EV532" s="14">
        <f t="shared" si="563"/>
        <v>2</v>
      </c>
      <c r="EW532" s="14">
        <f t="shared" si="531"/>
        <v>92</v>
      </c>
      <c r="EX532" s="14">
        <f t="shared" si="564"/>
        <v>12</v>
      </c>
      <c r="EY532" s="14">
        <f t="shared" si="532"/>
        <v>20</v>
      </c>
      <c r="EZ532" s="14">
        <f t="shared" si="544"/>
        <v>14</v>
      </c>
      <c r="FA532" s="14">
        <f t="shared" si="545"/>
        <v>50</v>
      </c>
      <c r="FB532" s="14">
        <f t="shared" si="546"/>
        <v>2</v>
      </c>
      <c r="FC532" s="14">
        <f t="shared" si="547"/>
        <v>6</v>
      </c>
      <c r="FD532" s="14">
        <f t="shared" si="548"/>
        <v>6</v>
      </c>
      <c r="FE532" s="14" t="b">
        <f t="shared" si="565"/>
        <v>0</v>
      </c>
      <c r="FF532" s="14">
        <f t="shared" si="549"/>
        <v>2103206</v>
      </c>
      <c r="FG532" s="13" t="str">
        <f t="shared" si="550"/>
        <v>50级-优秀守护灵の护手</v>
      </c>
      <c r="FH532" s="14">
        <f t="shared" si="551"/>
        <v>2</v>
      </c>
      <c r="FI532" s="14">
        <f t="shared" si="552"/>
        <v>2</v>
      </c>
      <c r="FJ532" s="14">
        <f t="shared" si="553"/>
        <v>50</v>
      </c>
      <c r="FK532" s="14">
        <v>93</v>
      </c>
      <c r="FL532" s="14">
        <f t="shared" si="554"/>
        <v>3</v>
      </c>
      <c r="FM532" s="14">
        <f t="shared" si="533"/>
        <v>6</v>
      </c>
      <c r="FN532" s="14" t="str">
        <f t="shared" si="555"/>
        <v/>
      </c>
      <c r="FO532" s="14">
        <f t="shared" si="534"/>
        <v>50</v>
      </c>
      <c r="FP532" s="14">
        <f t="shared" si="566"/>
        <v>0</v>
      </c>
      <c r="FQ532" s="14">
        <f t="shared" si="567"/>
        <v>0</v>
      </c>
      <c r="FR532" s="14">
        <f t="shared" si="568"/>
        <v>650</v>
      </c>
      <c r="FS532" s="14">
        <f t="shared" si="569"/>
        <v>0</v>
      </c>
      <c r="FT532" s="14">
        <f t="shared" si="570"/>
        <v>0</v>
      </c>
      <c r="FU532" s="14">
        <f t="shared" si="571"/>
        <v>50</v>
      </c>
      <c r="FV532" s="14">
        <f t="shared" si="556"/>
        <v>2032</v>
      </c>
      <c r="FW532" s="14">
        <f t="shared" si="557"/>
        <v>0</v>
      </c>
      <c r="FX532" s="14" t="str">
        <f t="shared" si="558"/>
        <v/>
      </c>
      <c r="FY532" s="25" t="str">
        <f t="shared" si="572"/>
        <v>icon_2103106</v>
      </c>
      <c r="GC532" s="14">
        <f t="shared" si="559"/>
        <v>3</v>
      </c>
      <c r="GD532" s="14">
        <f t="shared" si="560"/>
        <v>0</v>
      </c>
      <c r="GE532" s="14">
        <f t="shared" si="535"/>
        <v>50</v>
      </c>
      <c r="GF532" s="14" t="str">
        <f t="shared" si="536"/>
        <v>HPExt</v>
      </c>
      <c r="GG532" s="14">
        <f t="shared" si="537"/>
        <v>650</v>
      </c>
      <c r="GH532" s="14">
        <f t="shared" si="538"/>
        <v>50</v>
      </c>
      <c r="GI532" s="14" t="str">
        <f t="shared" si="539"/>
        <v/>
      </c>
      <c r="GJ532" s="14" t="str">
        <f t="shared" si="540"/>
        <v/>
      </c>
      <c r="GK532" s="14" t="str">
        <f t="shared" si="541"/>
        <v/>
      </c>
      <c r="GL532" s="14">
        <f t="shared" si="561"/>
        <v>20320</v>
      </c>
      <c r="GM532" s="14">
        <f t="shared" si="542"/>
        <v>0</v>
      </c>
      <c r="GN532" s="14" t="str">
        <f t="shared" si="543"/>
        <v/>
      </c>
      <c r="GO532" s="25" t="s">
        <v>1471</v>
      </c>
      <c r="GP532" s="14">
        <f t="shared" si="562"/>
        <v>30</v>
      </c>
      <c r="GQ532" s="30"/>
      <c r="HK532" s="13">
        <v>527</v>
      </c>
      <c r="HL532" s="14">
        <f t="shared" si="573"/>
        <v>22</v>
      </c>
      <c r="HM532" s="14">
        <f t="shared" si="574"/>
        <v>2</v>
      </c>
      <c r="HN532" s="14">
        <f t="shared" si="575"/>
        <v>11</v>
      </c>
      <c r="HO532" s="14">
        <f t="shared" si="576"/>
        <v>4</v>
      </c>
      <c r="HP532" s="14" t="str">
        <f t="shared" si="577"/>
        <v>150级守护灵洗练-Q4-11</v>
      </c>
      <c r="HQ532" s="14">
        <f t="shared" si="578"/>
        <v>2114</v>
      </c>
      <c r="HR532" s="14">
        <f t="shared" si="579"/>
        <v>11</v>
      </c>
      <c r="HS532" s="14">
        <f t="shared" si="580"/>
        <v>500</v>
      </c>
      <c r="HT532" s="14" t="str">
        <f t="shared" si="581"/>
        <v>EffectHit</v>
      </c>
      <c r="HU532" s="14">
        <f t="shared" si="582"/>
        <v>1.7999999999999999E-2</v>
      </c>
      <c r="HV532" s="14">
        <f t="shared" si="583"/>
        <v>0.05</v>
      </c>
    </row>
    <row r="533" spans="151:230" ht="16.5" x14ac:dyDescent="0.2">
      <c r="EU533" s="13">
        <v>528</v>
      </c>
      <c r="EV533" s="14">
        <f t="shared" si="563"/>
        <v>2</v>
      </c>
      <c r="EW533" s="14">
        <f t="shared" si="531"/>
        <v>93</v>
      </c>
      <c r="EX533" s="14">
        <f t="shared" si="564"/>
        <v>12</v>
      </c>
      <c r="EY533" s="14">
        <f t="shared" si="532"/>
        <v>20</v>
      </c>
      <c r="EZ533" s="14">
        <f t="shared" si="544"/>
        <v>14</v>
      </c>
      <c r="FA533" s="14">
        <f t="shared" si="545"/>
        <v>50</v>
      </c>
      <c r="FB533" s="14">
        <f t="shared" si="546"/>
        <v>2</v>
      </c>
      <c r="FC533" s="14">
        <f t="shared" si="547"/>
        <v>7</v>
      </c>
      <c r="FD533" s="14">
        <f t="shared" si="548"/>
        <v>7</v>
      </c>
      <c r="FE533" s="14" t="b">
        <f t="shared" si="565"/>
        <v>0</v>
      </c>
      <c r="FF533" s="14">
        <f t="shared" si="549"/>
        <v>2103207</v>
      </c>
      <c r="FG533" s="13" t="str">
        <f t="shared" si="550"/>
        <v>50级-优秀守护灵の项链</v>
      </c>
      <c r="FH533" s="14">
        <f t="shared" si="551"/>
        <v>2</v>
      </c>
      <c r="FI533" s="14">
        <f t="shared" si="552"/>
        <v>2</v>
      </c>
      <c r="FJ533" s="14">
        <f t="shared" si="553"/>
        <v>50</v>
      </c>
      <c r="FK533" s="14">
        <v>94</v>
      </c>
      <c r="FL533" s="14">
        <f t="shared" si="554"/>
        <v>3</v>
      </c>
      <c r="FM533" s="14">
        <f t="shared" si="533"/>
        <v>7</v>
      </c>
      <c r="FN533" s="14" t="str">
        <f t="shared" si="555"/>
        <v/>
      </c>
      <c r="FO533" s="14">
        <f t="shared" si="534"/>
        <v>55</v>
      </c>
      <c r="FP533" s="14">
        <f t="shared" si="566"/>
        <v>65</v>
      </c>
      <c r="FQ533" s="14">
        <f t="shared" si="567"/>
        <v>40</v>
      </c>
      <c r="FR533" s="14">
        <f t="shared" si="568"/>
        <v>0</v>
      </c>
      <c r="FS533" s="14">
        <f t="shared" si="569"/>
        <v>5</v>
      </c>
      <c r="FT533" s="14">
        <f t="shared" si="570"/>
        <v>3</v>
      </c>
      <c r="FU533" s="14">
        <f t="shared" si="571"/>
        <v>0</v>
      </c>
      <c r="FV533" s="14">
        <f t="shared" si="556"/>
        <v>2032</v>
      </c>
      <c r="FW533" s="14">
        <f t="shared" si="557"/>
        <v>0</v>
      </c>
      <c r="FX533" s="14" t="str">
        <f t="shared" si="558"/>
        <v/>
      </c>
      <c r="FY533" s="25" t="str">
        <f t="shared" si="572"/>
        <v>icon_2103107</v>
      </c>
      <c r="GC533" s="14">
        <f t="shared" si="559"/>
        <v>1</v>
      </c>
      <c r="GD533" s="14">
        <f t="shared" si="560"/>
        <v>2</v>
      </c>
      <c r="GE533" s="14">
        <f t="shared" si="535"/>
        <v>55</v>
      </c>
      <c r="GF533" s="14" t="str">
        <f t="shared" si="536"/>
        <v>AtkExt</v>
      </c>
      <c r="GG533" s="14">
        <f t="shared" si="537"/>
        <v>65</v>
      </c>
      <c r="GH533" s="14">
        <f t="shared" si="538"/>
        <v>5</v>
      </c>
      <c r="GI533" s="14" t="str">
        <f t="shared" si="539"/>
        <v>DefExt</v>
      </c>
      <c r="GJ533" s="14">
        <f t="shared" si="540"/>
        <v>40</v>
      </c>
      <c r="GK533" s="14">
        <f t="shared" si="541"/>
        <v>3</v>
      </c>
      <c r="GL533" s="14">
        <f t="shared" si="561"/>
        <v>20320</v>
      </c>
      <c r="GM533" s="14">
        <f t="shared" si="542"/>
        <v>0</v>
      </c>
      <c r="GN533" s="14" t="str">
        <f t="shared" si="543"/>
        <v/>
      </c>
      <c r="GO533" s="25" t="s">
        <v>1471</v>
      </c>
      <c r="GP533" s="14">
        <f t="shared" si="562"/>
        <v>45</v>
      </c>
      <c r="GQ533" s="30"/>
      <c r="HK533" s="13">
        <v>528</v>
      </c>
      <c r="HL533" s="14">
        <f t="shared" si="573"/>
        <v>22</v>
      </c>
      <c r="HM533" s="14">
        <f t="shared" si="574"/>
        <v>2</v>
      </c>
      <c r="HN533" s="14">
        <f t="shared" si="575"/>
        <v>11</v>
      </c>
      <c r="HO533" s="14">
        <f t="shared" si="576"/>
        <v>4</v>
      </c>
      <c r="HP533" s="14" t="str">
        <f t="shared" si="577"/>
        <v>150级守护灵洗练-Q4-12</v>
      </c>
      <c r="HQ533" s="14">
        <f t="shared" si="578"/>
        <v>2114</v>
      </c>
      <c r="HR533" s="14">
        <f t="shared" si="579"/>
        <v>12</v>
      </c>
      <c r="HS533" s="14">
        <f t="shared" si="580"/>
        <v>500</v>
      </c>
      <c r="HT533" s="14" t="str">
        <f t="shared" si="581"/>
        <v>EffectResist</v>
      </c>
      <c r="HU533" s="14">
        <f t="shared" si="582"/>
        <v>1.7999999999999999E-2</v>
      </c>
      <c r="HV533" s="14">
        <f t="shared" si="583"/>
        <v>0.05</v>
      </c>
    </row>
    <row r="534" spans="151:230" ht="16.5" x14ac:dyDescent="0.2">
      <c r="EU534" s="13">
        <v>529</v>
      </c>
      <c r="EV534" s="14">
        <f t="shared" si="563"/>
        <v>2</v>
      </c>
      <c r="EW534" s="14">
        <f t="shared" si="531"/>
        <v>94</v>
      </c>
      <c r="EX534" s="14">
        <f t="shared" si="564"/>
        <v>12</v>
      </c>
      <c r="EY534" s="14">
        <f t="shared" si="532"/>
        <v>20</v>
      </c>
      <c r="EZ534" s="14">
        <f t="shared" si="544"/>
        <v>14</v>
      </c>
      <c r="FA534" s="14">
        <f t="shared" si="545"/>
        <v>50</v>
      </c>
      <c r="FB534" s="14">
        <f t="shared" si="546"/>
        <v>2</v>
      </c>
      <c r="FC534" s="14">
        <f t="shared" si="547"/>
        <v>8</v>
      </c>
      <c r="FD534" s="14">
        <f t="shared" si="548"/>
        <v>8</v>
      </c>
      <c r="FE534" s="14" t="b">
        <f t="shared" si="565"/>
        <v>0</v>
      </c>
      <c r="FF534" s="14">
        <f t="shared" si="549"/>
        <v>2103208</v>
      </c>
      <c r="FG534" s="13" t="str">
        <f t="shared" si="550"/>
        <v>50级-优秀守护灵の戒指</v>
      </c>
      <c r="FH534" s="14">
        <f t="shared" si="551"/>
        <v>2</v>
      </c>
      <c r="FI534" s="14">
        <f t="shared" si="552"/>
        <v>2</v>
      </c>
      <c r="FJ534" s="14">
        <f t="shared" si="553"/>
        <v>50</v>
      </c>
      <c r="FK534" s="14">
        <v>95</v>
      </c>
      <c r="FL534" s="14">
        <f t="shared" si="554"/>
        <v>3</v>
      </c>
      <c r="FM534" s="14">
        <f t="shared" si="533"/>
        <v>8</v>
      </c>
      <c r="FN534" s="14" t="str">
        <f t="shared" si="555"/>
        <v/>
      </c>
      <c r="FO534" s="14">
        <f t="shared" si="534"/>
        <v>67</v>
      </c>
      <c r="FP534" s="14">
        <f t="shared" si="566"/>
        <v>65</v>
      </c>
      <c r="FQ534" s="14">
        <f t="shared" si="567"/>
        <v>0</v>
      </c>
      <c r="FR534" s="14">
        <f t="shared" si="568"/>
        <v>545</v>
      </c>
      <c r="FS534" s="14">
        <f t="shared" si="569"/>
        <v>5</v>
      </c>
      <c r="FT534" s="14">
        <f t="shared" si="570"/>
        <v>0</v>
      </c>
      <c r="FU534" s="14">
        <f t="shared" si="571"/>
        <v>42</v>
      </c>
      <c r="FV534" s="14">
        <f t="shared" si="556"/>
        <v>2032</v>
      </c>
      <c r="FW534" s="14">
        <f t="shared" si="557"/>
        <v>0</v>
      </c>
      <c r="FX534" s="14" t="str">
        <f t="shared" si="558"/>
        <v/>
      </c>
      <c r="FY534" s="25" t="str">
        <f t="shared" si="572"/>
        <v>icon_2103108</v>
      </c>
      <c r="GC534" s="14">
        <f t="shared" si="559"/>
        <v>1</v>
      </c>
      <c r="GD534" s="14">
        <f t="shared" si="560"/>
        <v>3</v>
      </c>
      <c r="GE534" s="14">
        <f t="shared" si="535"/>
        <v>67</v>
      </c>
      <c r="GF534" s="14" t="str">
        <f t="shared" si="536"/>
        <v>AtkExt</v>
      </c>
      <c r="GG534" s="14">
        <f t="shared" si="537"/>
        <v>65</v>
      </c>
      <c r="GH534" s="14">
        <f t="shared" si="538"/>
        <v>5</v>
      </c>
      <c r="GI534" s="14" t="str">
        <f t="shared" si="539"/>
        <v>HPExt</v>
      </c>
      <c r="GJ534" s="14">
        <f t="shared" si="540"/>
        <v>545</v>
      </c>
      <c r="GK534" s="14">
        <f t="shared" si="541"/>
        <v>42</v>
      </c>
      <c r="GL534" s="14">
        <f t="shared" si="561"/>
        <v>20320</v>
      </c>
      <c r="GM534" s="14">
        <f t="shared" si="542"/>
        <v>0</v>
      </c>
      <c r="GN534" s="14" t="str">
        <f t="shared" si="543"/>
        <v/>
      </c>
      <c r="GO534" s="25" t="s">
        <v>1471</v>
      </c>
      <c r="GP534" s="14">
        <f t="shared" si="562"/>
        <v>45</v>
      </c>
      <c r="GQ534" s="30"/>
    </row>
    <row r="535" spans="151:230" ht="16.5" x14ac:dyDescent="0.2">
      <c r="EU535" s="13">
        <v>530</v>
      </c>
      <c r="EV535" s="14">
        <f t="shared" si="563"/>
        <v>2</v>
      </c>
      <c r="EW535" s="14">
        <f t="shared" si="531"/>
        <v>95</v>
      </c>
      <c r="EX535" s="14">
        <f t="shared" si="564"/>
        <v>13</v>
      </c>
      <c r="EY535" s="14">
        <f t="shared" si="532"/>
        <v>30</v>
      </c>
      <c r="EZ535" s="14">
        <f t="shared" si="544"/>
        <v>14</v>
      </c>
      <c r="FA535" s="14">
        <f t="shared" si="545"/>
        <v>50</v>
      </c>
      <c r="FB535" s="14">
        <f t="shared" si="546"/>
        <v>3</v>
      </c>
      <c r="FC535" s="14">
        <f t="shared" si="547"/>
        <v>1</v>
      </c>
      <c r="FD535" s="14">
        <f t="shared" si="548"/>
        <v>1</v>
      </c>
      <c r="FE535" s="14" t="b">
        <f t="shared" si="565"/>
        <v>0</v>
      </c>
      <c r="FF535" s="14">
        <f t="shared" si="549"/>
        <v>2103301</v>
      </c>
      <c r="FG535" s="13" t="str">
        <f t="shared" si="550"/>
        <v>50级-精良守护灵の灵器</v>
      </c>
      <c r="FH535" s="14">
        <f t="shared" si="551"/>
        <v>2</v>
      </c>
      <c r="FI535" s="14">
        <f t="shared" si="552"/>
        <v>3</v>
      </c>
      <c r="FJ535" s="14">
        <f t="shared" si="553"/>
        <v>50</v>
      </c>
      <c r="FK535" s="14">
        <v>96</v>
      </c>
      <c r="FL535" s="14">
        <f t="shared" si="554"/>
        <v>3</v>
      </c>
      <c r="FM535" s="14">
        <f t="shared" si="533"/>
        <v>1</v>
      </c>
      <c r="FN535" s="14" t="str">
        <f t="shared" si="555"/>
        <v/>
      </c>
      <c r="FO535" s="14">
        <f t="shared" si="534"/>
        <v>90</v>
      </c>
      <c r="FP535" s="14">
        <f t="shared" si="566"/>
        <v>230</v>
      </c>
      <c r="FQ535" s="14">
        <f t="shared" si="567"/>
        <v>0</v>
      </c>
      <c r="FR535" s="14">
        <f t="shared" si="568"/>
        <v>0</v>
      </c>
      <c r="FS535" s="14">
        <f t="shared" si="569"/>
        <v>18</v>
      </c>
      <c r="FT535" s="14">
        <f t="shared" si="570"/>
        <v>0</v>
      </c>
      <c r="FU535" s="14">
        <f t="shared" si="571"/>
        <v>0</v>
      </c>
      <c r="FV535" s="14">
        <f t="shared" si="556"/>
        <v>2033</v>
      </c>
      <c r="FW535" s="14">
        <f t="shared" si="557"/>
        <v>2</v>
      </c>
      <c r="FX535" s="14">
        <f t="shared" si="558"/>
        <v>2033</v>
      </c>
      <c r="FY535" s="25" t="str">
        <f t="shared" si="572"/>
        <v>icon_2103101</v>
      </c>
      <c r="GC535" s="14">
        <f t="shared" si="559"/>
        <v>1</v>
      </c>
      <c r="GD535" s="14">
        <f t="shared" si="560"/>
        <v>0</v>
      </c>
      <c r="GE535" s="14">
        <f t="shared" si="535"/>
        <v>90</v>
      </c>
      <c r="GF535" s="14" t="str">
        <f t="shared" si="536"/>
        <v>AtkExt</v>
      </c>
      <c r="GG535" s="14">
        <f t="shared" si="537"/>
        <v>230</v>
      </c>
      <c r="GH535" s="14">
        <f t="shared" si="538"/>
        <v>18</v>
      </c>
      <c r="GI535" s="14" t="str">
        <f t="shared" si="539"/>
        <v/>
      </c>
      <c r="GJ535" s="14" t="str">
        <f t="shared" si="540"/>
        <v/>
      </c>
      <c r="GK535" s="14" t="str">
        <f t="shared" si="541"/>
        <v/>
      </c>
      <c r="GL535" s="14">
        <f t="shared" si="561"/>
        <v>20330</v>
      </c>
      <c r="GM535" s="14">
        <f t="shared" si="542"/>
        <v>2</v>
      </c>
      <c r="GN535" s="14">
        <f t="shared" si="543"/>
        <v>2033</v>
      </c>
      <c r="GO535" s="25" t="s">
        <v>1471</v>
      </c>
      <c r="GP535" s="14">
        <f t="shared" si="562"/>
        <v>100</v>
      </c>
      <c r="GQ535" s="30"/>
    </row>
    <row r="536" spans="151:230" ht="16.5" x14ac:dyDescent="0.2">
      <c r="EU536" s="13">
        <v>531</v>
      </c>
      <c r="EV536" s="14">
        <f t="shared" si="563"/>
        <v>2</v>
      </c>
      <c r="EW536" s="14">
        <f t="shared" si="531"/>
        <v>96</v>
      </c>
      <c r="EX536" s="14">
        <f t="shared" si="564"/>
        <v>13</v>
      </c>
      <c r="EY536" s="14">
        <f t="shared" si="532"/>
        <v>30</v>
      </c>
      <c r="EZ536" s="14">
        <f t="shared" si="544"/>
        <v>14</v>
      </c>
      <c r="FA536" s="14">
        <f t="shared" si="545"/>
        <v>50</v>
      </c>
      <c r="FB536" s="14">
        <f t="shared" si="546"/>
        <v>3</v>
      </c>
      <c r="FC536" s="14">
        <f t="shared" si="547"/>
        <v>2</v>
      </c>
      <c r="FD536" s="14">
        <f t="shared" si="548"/>
        <v>2</v>
      </c>
      <c r="FE536" s="14" t="b">
        <f t="shared" si="565"/>
        <v>0</v>
      </c>
      <c r="FF536" s="14">
        <f t="shared" si="549"/>
        <v>2103302</v>
      </c>
      <c r="FG536" s="13" t="str">
        <f t="shared" si="550"/>
        <v>50级-精良守护灵の头盔</v>
      </c>
      <c r="FH536" s="14">
        <f t="shared" si="551"/>
        <v>2</v>
      </c>
      <c r="FI536" s="14">
        <f t="shared" si="552"/>
        <v>3</v>
      </c>
      <c r="FJ536" s="14">
        <f t="shared" si="553"/>
        <v>50</v>
      </c>
      <c r="FK536" s="14">
        <v>97</v>
      </c>
      <c r="FL536" s="14">
        <f t="shared" si="554"/>
        <v>3</v>
      </c>
      <c r="FM536" s="14">
        <f t="shared" si="533"/>
        <v>2</v>
      </c>
      <c r="FN536" s="14" t="str">
        <f t="shared" si="555"/>
        <v/>
      </c>
      <c r="FO536" s="14">
        <f t="shared" si="534"/>
        <v>40</v>
      </c>
      <c r="FP536" s="14">
        <f t="shared" si="566"/>
        <v>0</v>
      </c>
      <c r="FQ536" s="14">
        <f t="shared" si="567"/>
        <v>60</v>
      </c>
      <c r="FR536" s="14">
        <f t="shared" si="568"/>
        <v>0</v>
      </c>
      <c r="FS536" s="14">
        <f t="shared" si="569"/>
        <v>0</v>
      </c>
      <c r="FT536" s="14">
        <f t="shared" si="570"/>
        <v>4</v>
      </c>
      <c r="FU536" s="14">
        <f t="shared" si="571"/>
        <v>0</v>
      </c>
      <c r="FV536" s="14">
        <f t="shared" si="556"/>
        <v>2033</v>
      </c>
      <c r="FW536" s="14">
        <f t="shared" si="557"/>
        <v>2</v>
      </c>
      <c r="FX536" s="14">
        <f t="shared" si="558"/>
        <v>2033</v>
      </c>
      <c r="FY536" s="25" t="str">
        <f t="shared" si="572"/>
        <v>icon_2103102</v>
      </c>
      <c r="GC536" s="14">
        <f t="shared" si="559"/>
        <v>2</v>
      </c>
      <c r="GD536" s="14">
        <f t="shared" si="560"/>
        <v>0</v>
      </c>
      <c r="GE536" s="14">
        <f t="shared" si="535"/>
        <v>40</v>
      </c>
      <c r="GF536" s="14" t="str">
        <f t="shared" si="536"/>
        <v>DefExt</v>
      </c>
      <c r="GG536" s="14">
        <f t="shared" si="537"/>
        <v>60</v>
      </c>
      <c r="GH536" s="14">
        <f t="shared" si="538"/>
        <v>4</v>
      </c>
      <c r="GI536" s="14" t="str">
        <f t="shared" si="539"/>
        <v/>
      </c>
      <c r="GJ536" s="14" t="str">
        <f t="shared" si="540"/>
        <v/>
      </c>
      <c r="GK536" s="14" t="str">
        <f t="shared" si="541"/>
        <v/>
      </c>
      <c r="GL536" s="14">
        <f t="shared" si="561"/>
        <v>20330</v>
      </c>
      <c r="GM536" s="14">
        <f t="shared" si="542"/>
        <v>2</v>
      </c>
      <c r="GN536" s="14">
        <f t="shared" si="543"/>
        <v>2033</v>
      </c>
      <c r="GO536" s="25" t="s">
        <v>1471</v>
      </c>
      <c r="GP536" s="14">
        <f t="shared" si="562"/>
        <v>50</v>
      </c>
      <c r="GQ536" s="30"/>
    </row>
    <row r="537" spans="151:230" ht="16.5" x14ac:dyDescent="0.2">
      <c r="EU537" s="13">
        <v>532</v>
      </c>
      <c r="EV537" s="14">
        <f t="shared" si="563"/>
        <v>2</v>
      </c>
      <c r="EW537" s="14">
        <f t="shared" si="531"/>
        <v>97</v>
      </c>
      <c r="EX537" s="14">
        <f t="shared" si="564"/>
        <v>13</v>
      </c>
      <c r="EY537" s="14">
        <f t="shared" si="532"/>
        <v>30</v>
      </c>
      <c r="EZ537" s="14">
        <f t="shared" si="544"/>
        <v>14</v>
      </c>
      <c r="FA537" s="14">
        <f t="shared" si="545"/>
        <v>50</v>
      </c>
      <c r="FB537" s="14">
        <f t="shared" si="546"/>
        <v>3</v>
      </c>
      <c r="FC537" s="14">
        <f t="shared" si="547"/>
        <v>3</v>
      </c>
      <c r="FD537" s="14">
        <f t="shared" si="548"/>
        <v>3</v>
      </c>
      <c r="FE537" s="14" t="b">
        <f t="shared" si="565"/>
        <v>0</v>
      </c>
      <c r="FF537" s="14">
        <f t="shared" si="549"/>
        <v>2103303</v>
      </c>
      <c r="FG537" s="13" t="str">
        <f t="shared" si="550"/>
        <v>50级-精良守护灵の铠甲</v>
      </c>
      <c r="FH537" s="14">
        <f t="shared" si="551"/>
        <v>2</v>
      </c>
      <c r="FI537" s="14">
        <f t="shared" si="552"/>
        <v>3</v>
      </c>
      <c r="FJ537" s="14">
        <f t="shared" si="553"/>
        <v>50</v>
      </c>
      <c r="FK537" s="14">
        <v>98</v>
      </c>
      <c r="FL537" s="14">
        <f t="shared" si="554"/>
        <v>3</v>
      </c>
      <c r="FM537" s="14">
        <f t="shared" si="533"/>
        <v>3</v>
      </c>
      <c r="FN537" s="14" t="str">
        <f t="shared" si="555"/>
        <v/>
      </c>
      <c r="FO537" s="14">
        <f t="shared" si="534"/>
        <v>50</v>
      </c>
      <c r="FP537" s="14">
        <f t="shared" si="566"/>
        <v>0</v>
      </c>
      <c r="FQ537" s="14">
        <f t="shared" si="567"/>
        <v>30</v>
      </c>
      <c r="FR537" s="14">
        <f t="shared" si="568"/>
        <v>395</v>
      </c>
      <c r="FS537" s="14">
        <f t="shared" si="569"/>
        <v>0</v>
      </c>
      <c r="FT537" s="14">
        <f t="shared" si="570"/>
        <v>2</v>
      </c>
      <c r="FU537" s="14">
        <f t="shared" si="571"/>
        <v>30</v>
      </c>
      <c r="FV537" s="14">
        <f t="shared" si="556"/>
        <v>2033</v>
      </c>
      <c r="FW537" s="14">
        <f t="shared" si="557"/>
        <v>2</v>
      </c>
      <c r="FX537" s="14">
        <f t="shared" si="558"/>
        <v>2033</v>
      </c>
      <c r="FY537" s="25" t="str">
        <f t="shared" si="572"/>
        <v>icon_2103103</v>
      </c>
      <c r="GC537" s="14">
        <f t="shared" si="559"/>
        <v>2</v>
      </c>
      <c r="GD537" s="14">
        <f t="shared" si="560"/>
        <v>3</v>
      </c>
      <c r="GE537" s="14">
        <f t="shared" si="535"/>
        <v>50</v>
      </c>
      <c r="GF537" s="14" t="str">
        <f t="shared" si="536"/>
        <v>DefExt</v>
      </c>
      <c r="GG537" s="14">
        <f t="shared" si="537"/>
        <v>30</v>
      </c>
      <c r="GH537" s="14">
        <f t="shared" si="538"/>
        <v>2</v>
      </c>
      <c r="GI537" s="14" t="str">
        <f t="shared" si="539"/>
        <v>HPExt</v>
      </c>
      <c r="GJ537" s="14">
        <f t="shared" si="540"/>
        <v>395</v>
      </c>
      <c r="GK537" s="14">
        <f t="shared" si="541"/>
        <v>30</v>
      </c>
      <c r="GL537" s="14">
        <f t="shared" si="561"/>
        <v>20330</v>
      </c>
      <c r="GM537" s="14">
        <f t="shared" si="542"/>
        <v>2</v>
      </c>
      <c r="GN537" s="14">
        <f t="shared" si="543"/>
        <v>2033</v>
      </c>
      <c r="GO537" s="25" t="s">
        <v>1471</v>
      </c>
      <c r="GP537" s="14">
        <f t="shared" si="562"/>
        <v>50</v>
      </c>
      <c r="GQ537" s="30"/>
    </row>
    <row r="538" spans="151:230" ht="16.5" x14ac:dyDescent="0.2">
      <c r="EU538" s="13">
        <v>533</v>
      </c>
      <c r="EV538" s="14">
        <f t="shared" si="563"/>
        <v>2</v>
      </c>
      <c r="EW538" s="14">
        <f t="shared" si="531"/>
        <v>98</v>
      </c>
      <c r="EX538" s="14">
        <f t="shared" si="564"/>
        <v>13</v>
      </c>
      <c r="EY538" s="14">
        <f t="shared" si="532"/>
        <v>30</v>
      </c>
      <c r="EZ538" s="14">
        <f t="shared" si="544"/>
        <v>14</v>
      </c>
      <c r="FA538" s="14">
        <f t="shared" si="545"/>
        <v>50</v>
      </c>
      <c r="FB538" s="14">
        <f t="shared" si="546"/>
        <v>3</v>
      </c>
      <c r="FC538" s="14">
        <f t="shared" si="547"/>
        <v>4</v>
      </c>
      <c r="FD538" s="14">
        <f t="shared" si="548"/>
        <v>4</v>
      </c>
      <c r="FE538" s="14" t="b">
        <f t="shared" si="565"/>
        <v>0</v>
      </c>
      <c r="FF538" s="14">
        <f t="shared" si="549"/>
        <v>2103304</v>
      </c>
      <c r="FG538" s="13" t="str">
        <f t="shared" si="550"/>
        <v>50级-精良守护灵の裤子</v>
      </c>
      <c r="FH538" s="14">
        <f t="shared" si="551"/>
        <v>2</v>
      </c>
      <c r="FI538" s="14">
        <f t="shared" si="552"/>
        <v>3</v>
      </c>
      <c r="FJ538" s="14">
        <f t="shared" si="553"/>
        <v>50</v>
      </c>
      <c r="FK538" s="14">
        <v>99</v>
      </c>
      <c r="FL538" s="14">
        <f t="shared" si="554"/>
        <v>3</v>
      </c>
      <c r="FM538" s="14">
        <f t="shared" si="533"/>
        <v>4</v>
      </c>
      <c r="FN538" s="14" t="str">
        <f t="shared" si="555"/>
        <v/>
      </c>
      <c r="FO538" s="14">
        <f t="shared" si="534"/>
        <v>40</v>
      </c>
      <c r="FP538" s="14">
        <f t="shared" si="566"/>
        <v>0</v>
      </c>
      <c r="FQ538" s="14">
        <f t="shared" si="567"/>
        <v>60</v>
      </c>
      <c r="FR538" s="14">
        <f t="shared" si="568"/>
        <v>0</v>
      </c>
      <c r="FS538" s="14">
        <f t="shared" si="569"/>
        <v>0</v>
      </c>
      <c r="FT538" s="14">
        <f t="shared" si="570"/>
        <v>4</v>
      </c>
      <c r="FU538" s="14">
        <f t="shared" si="571"/>
        <v>0</v>
      </c>
      <c r="FV538" s="14">
        <f t="shared" si="556"/>
        <v>2033</v>
      </c>
      <c r="FW538" s="14">
        <f t="shared" si="557"/>
        <v>2</v>
      </c>
      <c r="FX538" s="14">
        <f t="shared" si="558"/>
        <v>2033</v>
      </c>
      <c r="FY538" s="25" t="str">
        <f t="shared" si="572"/>
        <v>icon_2103104</v>
      </c>
      <c r="GC538" s="14">
        <f t="shared" si="559"/>
        <v>2</v>
      </c>
      <c r="GD538" s="14">
        <f t="shared" si="560"/>
        <v>0</v>
      </c>
      <c r="GE538" s="14">
        <f t="shared" si="535"/>
        <v>40</v>
      </c>
      <c r="GF538" s="14" t="str">
        <f t="shared" si="536"/>
        <v>DefExt</v>
      </c>
      <c r="GG538" s="14">
        <f t="shared" si="537"/>
        <v>60</v>
      </c>
      <c r="GH538" s="14">
        <f t="shared" si="538"/>
        <v>4</v>
      </c>
      <c r="GI538" s="14" t="str">
        <f t="shared" si="539"/>
        <v/>
      </c>
      <c r="GJ538" s="14" t="str">
        <f t="shared" si="540"/>
        <v/>
      </c>
      <c r="GK538" s="14" t="str">
        <f t="shared" si="541"/>
        <v/>
      </c>
      <c r="GL538" s="14">
        <f t="shared" si="561"/>
        <v>20330</v>
      </c>
      <c r="GM538" s="14">
        <f t="shared" si="542"/>
        <v>2</v>
      </c>
      <c r="GN538" s="14">
        <f t="shared" si="543"/>
        <v>2033</v>
      </c>
      <c r="GO538" s="25" t="s">
        <v>1471</v>
      </c>
      <c r="GP538" s="14">
        <f t="shared" si="562"/>
        <v>50</v>
      </c>
      <c r="GQ538" s="30"/>
    </row>
    <row r="539" spans="151:230" ht="16.5" x14ac:dyDescent="0.2">
      <c r="EU539" s="13">
        <v>534</v>
      </c>
      <c r="EV539" s="14">
        <f t="shared" si="563"/>
        <v>2</v>
      </c>
      <c r="EW539" s="14">
        <f t="shared" si="531"/>
        <v>99</v>
      </c>
      <c r="EX539" s="14">
        <f t="shared" si="564"/>
        <v>13</v>
      </c>
      <c r="EY539" s="14">
        <f t="shared" si="532"/>
        <v>30</v>
      </c>
      <c r="EZ539" s="14">
        <f t="shared" si="544"/>
        <v>14</v>
      </c>
      <c r="FA539" s="14">
        <f t="shared" si="545"/>
        <v>50</v>
      </c>
      <c r="FB539" s="14">
        <f t="shared" si="546"/>
        <v>3</v>
      </c>
      <c r="FC539" s="14">
        <f t="shared" si="547"/>
        <v>5</v>
      </c>
      <c r="FD539" s="14">
        <f t="shared" si="548"/>
        <v>5</v>
      </c>
      <c r="FE539" s="14" t="b">
        <f t="shared" si="565"/>
        <v>0</v>
      </c>
      <c r="FF539" s="14">
        <f t="shared" si="549"/>
        <v>2103305</v>
      </c>
      <c r="FG539" s="13" t="str">
        <f t="shared" si="550"/>
        <v>50级-精良守护灵の鞋子</v>
      </c>
      <c r="FH539" s="14">
        <f t="shared" si="551"/>
        <v>2</v>
      </c>
      <c r="FI539" s="14">
        <f t="shared" si="552"/>
        <v>3</v>
      </c>
      <c r="FJ539" s="14">
        <f t="shared" si="553"/>
        <v>50</v>
      </c>
      <c r="FK539" s="14">
        <v>100</v>
      </c>
      <c r="FL539" s="14">
        <f t="shared" si="554"/>
        <v>3</v>
      </c>
      <c r="FM539" s="14">
        <f t="shared" si="533"/>
        <v>5</v>
      </c>
      <c r="FN539" s="14" t="str">
        <f t="shared" si="555"/>
        <v/>
      </c>
      <c r="FO539" s="14">
        <f t="shared" si="534"/>
        <v>61</v>
      </c>
      <c r="FP539" s="14">
        <f t="shared" si="566"/>
        <v>0</v>
      </c>
      <c r="FQ539" s="14">
        <f t="shared" si="567"/>
        <v>0</v>
      </c>
      <c r="FR539" s="14">
        <f t="shared" si="568"/>
        <v>790</v>
      </c>
      <c r="FS539" s="14">
        <f t="shared" si="569"/>
        <v>0</v>
      </c>
      <c r="FT539" s="14">
        <f t="shared" si="570"/>
        <v>0</v>
      </c>
      <c r="FU539" s="14">
        <f t="shared" si="571"/>
        <v>61</v>
      </c>
      <c r="FV539" s="14">
        <f t="shared" si="556"/>
        <v>2033</v>
      </c>
      <c r="FW539" s="14">
        <f t="shared" si="557"/>
        <v>2</v>
      </c>
      <c r="FX539" s="14">
        <f t="shared" si="558"/>
        <v>2033</v>
      </c>
      <c r="FY539" s="25" t="str">
        <f t="shared" si="572"/>
        <v>icon_2103105</v>
      </c>
      <c r="GC539" s="14">
        <f t="shared" si="559"/>
        <v>3</v>
      </c>
      <c r="GD539" s="14">
        <f t="shared" si="560"/>
        <v>0</v>
      </c>
      <c r="GE539" s="14">
        <f t="shared" si="535"/>
        <v>61</v>
      </c>
      <c r="GF539" s="14" t="str">
        <f t="shared" si="536"/>
        <v>HPExt</v>
      </c>
      <c r="GG539" s="14">
        <f t="shared" si="537"/>
        <v>790</v>
      </c>
      <c r="GH539" s="14">
        <f t="shared" si="538"/>
        <v>61</v>
      </c>
      <c r="GI539" s="14" t="str">
        <f t="shared" si="539"/>
        <v/>
      </c>
      <c r="GJ539" s="14" t="str">
        <f t="shared" si="540"/>
        <v/>
      </c>
      <c r="GK539" s="14" t="str">
        <f t="shared" si="541"/>
        <v/>
      </c>
      <c r="GL539" s="14">
        <f t="shared" si="561"/>
        <v>20330</v>
      </c>
      <c r="GM539" s="14">
        <f t="shared" si="542"/>
        <v>2</v>
      </c>
      <c r="GN539" s="14">
        <f t="shared" si="543"/>
        <v>2033</v>
      </c>
      <c r="GO539" s="25" t="s">
        <v>1471</v>
      </c>
      <c r="GP539" s="14">
        <f t="shared" si="562"/>
        <v>50</v>
      </c>
      <c r="GQ539" s="30"/>
    </row>
    <row r="540" spans="151:230" ht="16.5" x14ac:dyDescent="0.2">
      <c r="EU540" s="13">
        <v>535</v>
      </c>
      <c r="EV540" s="14">
        <f t="shared" si="563"/>
        <v>2</v>
      </c>
      <c r="EW540" s="14">
        <f t="shared" si="531"/>
        <v>100</v>
      </c>
      <c r="EX540" s="14">
        <f t="shared" si="564"/>
        <v>13</v>
      </c>
      <c r="EY540" s="14">
        <f t="shared" si="532"/>
        <v>30</v>
      </c>
      <c r="EZ540" s="14">
        <f t="shared" si="544"/>
        <v>14</v>
      </c>
      <c r="FA540" s="14">
        <f t="shared" si="545"/>
        <v>50</v>
      </c>
      <c r="FB540" s="14">
        <f t="shared" si="546"/>
        <v>3</v>
      </c>
      <c r="FC540" s="14">
        <f t="shared" si="547"/>
        <v>6</v>
      </c>
      <c r="FD540" s="14">
        <f t="shared" si="548"/>
        <v>6</v>
      </c>
      <c r="FE540" s="14" t="b">
        <f t="shared" si="565"/>
        <v>0</v>
      </c>
      <c r="FF540" s="14">
        <f t="shared" si="549"/>
        <v>2103306</v>
      </c>
      <c r="FG540" s="13" t="str">
        <f t="shared" si="550"/>
        <v>50级-精良守护灵の护手</v>
      </c>
      <c r="FH540" s="14">
        <f t="shared" si="551"/>
        <v>2</v>
      </c>
      <c r="FI540" s="14">
        <f t="shared" si="552"/>
        <v>3</v>
      </c>
      <c r="FJ540" s="14">
        <f t="shared" si="553"/>
        <v>50</v>
      </c>
      <c r="FK540" s="14">
        <v>101</v>
      </c>
      <c r="FL540" s="14">
        <f t="shared" si="554"/>
        <v>3</v>
      </c>
      <c r="FM540" s="14">
        <f t="shared" si="533"/>
        <v>6</v>
      </c>
      <c r="FN540" s="14" t="str">
        <f t="shared" si="555"/>
        <v/>
      </c>
      <c r="FO540" s="14">
        <f t="shared" si="534"/>
        <v>61</v>
      </c>
      <c r="FP540" s="14">
        <f t="shared" si="566"/>
        <v>0</v>
      </c>
      <c r="FQ540" s="14">
        <f t="shared" si="567"/>
        <v>0</v>
      </c>
      <c r="FR540" s="14">
        <f t="shared" si="568"/>
        <v>790</v>
      </c>
      <c r="FS540" s="14">
        <f t="shared" si="569"/>
        <v>0</v>
      </c>
      <c r="FT540" s="14">
        <f t="shared" si="570"/>
        <v>0</v>
      </c>
      <c r="FU540" s="14">
        <f t="shared" si="571"/>
        <v>61</v>
      </c>
      <c r="FV540" s="14">
        <f t="shared" si="556"/>
        <v>2033</v>
      </c>
      <c r="FW540" s="14">
        <f t="shared" si="557"/>
        <v>2</v>
      </c>
      <c r="FX540" s="14">
        <f t="shared" si="558"/>
        <v>2033</v>
      </c>
      <c r="FY540" s="25" t="str">
        <f t="shared" si="572"/>
        <v>icon_2103106</v>
      </c>
      <c r="GC540" s="14">
        <f t="shared" si="559"/>
        <v>3</v>
      </c>
      <c r="GD540" s="14">
        <f t="shared" si="560"/>
        <v>0</v>
      </c>
      <c r="GE540" s="14">
        <f t="shared" si="535"/>
        <v>61</v>
      </c>
      <c r="GF540" s="14" t="str">
        <f t="shared" si="536"/>
        <v>HPExt</v>
      </c>
      <c r="GG540" s="14">
        <f t="shared" si="537"/>
        <v>790</v>
      </c>
      <c r="GH540" s="14">
        <f t="shared" si="538"/>
        <v>61</v>
      </c>
      <c r="GI540" s="14" t="str">
        <f t="shared" si="539"/>
        <v/>
      </c>
      <c r="GJ540" s="14" t="str">
        <f t="shared" si="540"/>
        <v/>
      </c>
      <c r="GK540" s="14" t="str">
        <f t="shared" si="541"/>
        <v/>
      </c>
      <c r="GL540" s="14">
        <f t="shared" si="561"/>
        <v>20330</v>
      </c>
      <c r="GM540" s="14">
        <f t="shared" si="542"/>
        <v>2</v>
      </c>
      <c r="GN540" s="14">
        <f t="shared" si="543"/>
        <v>2033</v>
      </c>
      <c r="GO540" s="25" t="s">
        <v>1471</v>
      </c>
      <c r="GP540" s="14">
        <f t="shared" si="562"/>
        <v>50</v>
      </c>
      <c r="GQ540" s="30"/>
    </row>
    <row r="541" spans="151:230" ht="16.5" x14ac:dyDescent="0.2">
      <c r="EU541" s="13">
        <v>536</v>
      </c>
      <c r="EV541" s="14">
        <f t="shared" si="563"/>
        <v>2</v>
      </c>
      <c r="EW541" s="14">
        <f t="shared" si="531"/>
        <v>101</v>
      </c>
      <c r="EX541" s="14">
        <f t="shared" si="564"/>
        <v>13</v>
      </c>
      <c r="EY541" s="14">
        <f t="shared" si="532"/>
        <v>30</v>
      </c>
      <c r="EZ541" s="14">
        <f t="shared" si="544"/>
        <v>14</v>
      </c>
      <c r="FA541" s="14">
        <f t="shared" si="545"/>
        <v>50</v>
      </c>
      <c r="FB541" s="14">
        <f t="shared" si="546"/>
        <v>3</v>
      </c>
      <c r="FC541" s="14">
        <f t="shared" si="547"/>
        <v>7</v>
      </c>
      <c r="FD541" s="14">
        <f t="shared" si="548"/>
        <v>7</v>
      </c>
      <c r="FE541" s="14" t="b">
        <f t="shared" si="565"/>
        <v>0</v>
      </c>
      <c r="FF541" s="14">
        <f t="shared" si="549"/>
        <v>2103307</v>
      </c>
      <c r="FG541" s="13" t="str">
        <f t="shared" si="550"/>
        <v>50级-精良守护灵の项链</v>
      </c>
      <c r="FH541" s="14">
        <f t="shared" si="551"/>
        <v>2</v>
      </c>
      <c r="FI541" s="14">
        <f t="shared" si="552"/>
        <v>3</v>
      </c>
      <c r="FJ541" s="14">
        <f t="shared" si="553"/>
        <v>50</v>
      </c>
      <c r="FK541" s="14">
        <v>102</v>
      </c>
      <c r="FL541" s="14">
        <f t="shared" si="554"/>
        <v>3</v>
      </c>
      <c r="FM541" s="14">
        <f t="shared" si="533"/>
        <v>7</v>
      </c>
      <c r="FN541" s="14" t="str">
        <f t="shared" si="555"/>
        <v/>
      </c>
      <c r="FO541" s="14">
        <f t="shared" si="534"/>
        <v>70</v>
      </c>
      <c r="FP541" s="14">
        <f t="shared" si="566"/>
        <v>75</v>
      </c>
      <c r="FQ541" s="14">
        <f t="shared" si="567"/>
        <v>50</v>
      </c>
      <c r="FR541" s="14">
        <f t="shared" si="568"/>
        <v>0</v>
      </c>
      <c r="FS541" s="14">
        <f t="shared" si="569"/>
        <v>6</v>
      </c>
      <c r="FT541" s="14">
        <f t="shared" si="570"/>
        <v>4</v>
      </c>
      <c r="FU541" s="14">
        <f t="shared" si="571"/>
        <v>0</v>
      </c>
      <c r="FV541" s="14">
        <f t="shared" si="556"/>
        <v>2033</v>
      </c>
      <c r="FW541" s="14">
        <f t="shared" si="557"/>
        <v>2</v>
      </c>
      <c r="FX541" s="14">
        <f t="shared" si="558"/>
        <v>2033</v>
      </c>
      <c r="FY541" s="25" t="str">
        <f t="shared" si="572"/>
        <v>icon_2103107</v>
      </c>
      <c r="GC541" s="14">
        <f t="shared" si="559"/>
        <v>1</v>
      </c>
      <c r="GD541" s="14">
        <f t="shared" si="560"/>
        <v>2</v>
      </c>
      <c r="GE541" s="14">
        <f t="shared" si="535"/>
        <v>70</v>
      </c>
      <c r="GF541" s="14" t="str">
        <f t="shared" si="536"/>
        <v>AtkExt</v>
      </c>
      <c r="GG541" s="14">
        <f t="shared" si="537"/>
        <v>75</v>
      </c>
      <c r="GH541" s="14">
        <f t="shared" si="538"/>
        <v>6</v>
      </c>
      <c r="GI541" s="14" t="str">
        <f t="shared" si="539"/>
        <v>DefExt</v>
      </c>
      <c r="GJ541" s="14">
        <f t="shared" si="540"/>
        <v>50</v>
      </c>
      <c r="GK541" s="14">
        <f t="shared" si="541"/>
        <v>4</v>
      </c>
      <c r="GL541" s="14">
        <f t="shared" si="561"/>
        <v>20330</v>
      </c>
      <c r="GM541" s="14">
        <f t="shared" si="542"/>
        <v>2</v>
      </c>
      <c r="GN541" s="14">
        <f t="shared" si="543"/>
        <v>2033</v>
      </c>
      <c r="GO541" s="25" t="s">
        <v>1471</v>
      </c>
      <c r="GP541" s="14">
        <f t="shared" si="562"/>
        <v>75</v>
      </c>
      <c r="GQ541" s="30"/>
    </row>
    <row r="542" spans="151:230" ht="16.5" x14ac:dyDescent="0.2">
      <c r="EU542" s="13">
        <v>537</v>
      </c>
      <c r="EV542" s="14">
        <f t="shared" si="563"/>
        <v>2</v>
      </c>
      <c r="EW542" s="14">
        <f t="shared" si="531"/>
        <v>102</v>
      </c>
      <c r="EX542" s="14">
        <f t="shared" si="564"/>
        <v>13</v>
      </c>
      <c r="EY542" s="14">
        <f t="shared" si="532"/>
        <v>30</v>
      </c>
      <c r="EZ542" s="14">
        <f t="shared" si="544"/>
        <v>14</v>
      </c>
      <c r="FA542" s="14">
        <f t="shared" si="545"/>
        <v>50</v>
      </c>
      <c r="FB542" s="14">
        <f t="shared" si="546"/>
        <v>3</v>
      </c>
      <c r="FC542" s="14">
        <f t="shared" si="547"/>
        <v>8</v>
      </c>
      <c r="FD542" s="14">
        <f t="shared" si="548"/>
        <v>8</v>
      </c>
      <c r="FE542" s="14" t="b">
        <f t="shared" si="565"/>
        <v>0</v>
      </c>
      <c r="FF542" s="14">
        <f t="shared" si="549"/>
        <v>2103308</v>
      </c>
      <c r="FG542" s="13" t="str">
        <f t="shared" si="550"/>
        <v>50级-精良守护灵の戒指</v>
      </c>
      <c r="FH542" s="14">
        <f t="shared" si="551"/>
        <v>2</v>
      </c>
      <c r="FI542" s="14">
        <f t="shared" si="552"/>
        <v>3</v>
      </c>
      <c r="FJ542" s="14">
        <f t="shared" si="553"/>
        <v>50</v>
      </c>
      <c r="FK542" s="14">
        <v>103</v>
      </c>
      <c r="FL542" s="14">
        <f t="shared" si="554"/>
        <v>3</v>
      </c>
      <c r="FM542" s="14">
        <f t="shared" si="533"/>
        <v>8</v>
      </c>
      <c r="FN542" s="14" t="str">
        <f t="shared" si="555"/>
        <v/>
      </c>
      <c r="FO542" s="14">
        <f t="shared" si="534"/>
        <v>81</v>
      </c>
      <c r="FP542" s="14">
        <f t="shared" si="566"/>
        <v>75</v>
      </c>
      <c r="FQ542" s="14">
        <f t="shared" si="567"/>
        <v>0</v>
      </c>
      <c r="FR542" s="14">
        <f t="shared" si="568"/>
        <v>660</v>
      </c>
      <c r="FS542" s="14">
        <f t="shared" si="569"/>
        <v>6</v>
      </c>
      <c r="FT542" s="14">
        <f t="shared" si="570"/>
        <v>0</v>
      </c>
      <c r="FU542" s="14">
        <f t="shared" si="571"/>
        <v>51</v>
      </c>
      <c r="FV542" s="14">
        <f t="shared" si="556"/>
        <v>2033</v>
      </c>
      <c r="FW542" s="14">
        <f t="shared" si="557"/>
        <v>2</v>
      </c>
      <c r="FX542" s="14">
        <f t="shared" si="558"/>
        <v>2033</v>
      </c>
      <c r="FY542" s="25" t="str">
        <f t="shared" si="572"/>
        <v>icon_2103108</v>
      </c>
      <c r="GC542" s="14">
        <f t="shared" si="559"/>
        <v>1</v>
      </c>
      <c r="GD542" s="14">
        <f t="shared" si="560"/>
        <v>3</v>
      </c>
      <c r="GE542" s="14">
        <f t="shared" si="535"/>
        <v>81</v>
      </c>
      <c r="GF542" s="14" t="str">
        <f t="shared" si="536"/>
        <v>AtkExt</v>
      </c>
      <c r="GG542" s="14">
        <f t="shared" si="537"/>
        <v>75</v>
      </c>
      <c r="GH542" s="14">
        <f t="shared" si="538"/>
        <v>6</v>
      </c>
      <c r="GI542" s="14" t="str">
        <f t="shared" si="539"/>
        <v>HPExt</v>
      </c>
      <c r="GJ542" s="14">
        <f t="shared" si="540"/>
        <v>660</v>
      </c>
      <c r="GK542" s="14">
        <f t="shared" si="541"/>
        <v>51</v>
      </c>
      <c r="GL542" s="14">
        <f t="shared" si="561"/>
        <v>20330</v>
      </c>
      <c r="GM542" s="14">
        <f t="shared" si="542"/>
        <v>2</v>
      </c>
      <c r="GN542" s="14">
        <f t="shared" si="543"/>
        <v>2033</v>
      </c>
      <c r="GO542" s="25" t="s">
        <v>1471</v>
      </c>
      <c r="GP542" s="14">
        <f t="shared" si="562"/>
        <v>75</v>
      </c>
      <c r="GQ542" s="30"/>
    </row>
    <row r="543" spans="151:230" ht="16.5" x14ac:dyDescent="0.2">
      <c r="EU543" s="13">
        <v>538</v>
      </c>
      <c r="EV543" s="14">
        <f t="shared" si="563"/>
        <v>2</v>
      </c>
      <c r="EW543" s="14">
        <f t="shared" si="531"/>
        <v>103</v>
      </c>
      <c r="EX543" s="14">
        <f t="shared" si="564"/>
        <v>14</v>
      </c>
      <c r="EY543" s="14">
        <f t="shared" si="532"/>
        <v>40</v>
      </c>
      <c r="EZ543" s="14">
        <f t="shared" si="544"/>
        <v>14</v>
      </c>
      <c r="FA543" s="14">
        <f t="shared" si="545"/>
        <v>50</v>
      </c>
      <c r="FB543" s="14">
        <f t="shared" si="546"/>
        <v>4</v>
      </c>
      <c r="FC543" s="14">
        <f t="shared" si="547"/>
        <v>1</v>
      </c>
      <c r="FD543" s="14">
        <f t="shared" si="548"/>
        <v>1</v>
      </c>
      <c r="FE543" s="14" t="b">
        <f t="shared" si="565"/>
        <v>0</v>
      </c>
      <c r="FF543" s="14">
        <f t="shared" si="549"/>
        <v>2103401</v>
      </c>
      <c r="FG543" s="13" t="str">
        <f t="shared" si="550"/>
        <v>50级-史诗守护灵の灵器</v>
      </c>
      <c r="FH543" s="14">
        <f t="shared" si="551"/>
        <v>2</v>
      </c>
      <c r="FI543" s="14">
        <f t="shared" si="552"/>
        <v>4</v>
      </c>
      <c r="FJ543" s="14">
        <f t="shared" si="553"/>
        <v>50</v>
      </c>
      <c r="FK543" s="14">
        <v>104</v>
      </c>
      <c r="FL543" s="14">
        <f t="shared" si="554"/>
        <v>3</v>
      </c>
      <c r="FM543" s="14">
        <f t="shared" si="533"/>
        <v>1</v>
      </c>
      <c r="FN543" s="14" t="str">
        <f t="shared" si="555"/>
        <v/>
      </c>
      <c r="FO543" s="14">
        <f t="shared" si="534"/>
        <v>105</v>
      </c>
      <c r="FP543" s="14">
        <f t="shared" si="566"/>
        <v>270</v>
      </c>
      <c r="FQ543" s="14">
        <f t="shared" si="567"/>
        <v>0</v>
      </c>
      <c r="FR543" s="14">
        <f t="shared" si="568"/>
        <v>0</v>
      </c>
      <c r="FS543" s="14">
        <f t="shared" si="569"/>
        <v>21</v>
      </c>
      <c r="FT543" s="14">
        <f t="shared" si="570"/>
        <v>0</v>
      </c>
      <c r="FU543" s="14">
        <f t="shared" si="571"/>
        <v>0</v>
      </c>
      <c r="FV543" s="14">
        <f t="shared" si="556"/>
        <v>2034</v>
      </c>
      <c r="FW543" s="14">
        <f t="shared" si="557"/>
        <v>3</v>
      </c>
      <c r="FX543" s="14">
        <f t="shared" si="558"/>
        <v>2034</v>
      </c>
      <c r="FY543" s="25" t="str">
        <f t="shared" si="572"/>
        <v>icon_2103101</v>
      </c>
      <c r="GC543" s="14">
        <f t="shared" si="559"/>
        <v>1</v>
      </c>
      <c r="GD543" s="14">
        <f t="shared" si="560"/>
        <v>0</v>
      </c>
      <c r="GE543" s="14">
        <f t="shared" si="535"/>
        <v>105</v>
      </c>
      <c r="GF543" s="14" t="str">
        <f t="shared" si="536"/>
        <v>AtkExt</v>
      </c>
      <c r="GG543" s="14">
        <f t="shared" si="537"/>
        <v>270</v>
      </c>
      <c r="GH543" s="14">
        <f t="shared" si="538"/>
        <v>21</v>
      </c>
      <c r="GI543" s="14" t="str">
        <f t="shared" si="539"/>
        <v/>
      </c>
      <c r="GJ543" s="14" t="str">
        <f t="shared" si="540"/>
        <v/>
      </c>
      <c r="GK543" s="14" t="str">
        <f t="shared" si="541"/>
        <v/>
      </c>
      <c r="GL543" s="14">
        <f t="shared" si="561"/>
        <v>20340</v>
      </c>
      <c r="GM543" s="14">
        <f t="shared" si="542"/>
        <v>3</v>
      </c>
      <c r="GN543" s="14">
        <f t="shared" si="543"/>
        <v>2034</v>
      </c>
      <c r="GO543" s="25" t="s">
        <v>1471</v>
      </c>
      <c r="GP543" s="14">
        <f t="shared" si="562"/>
        <v>200</v>
      </c>
      <c r="GQ543" s="30"/>
    </row>
    <row r="544" spans="151:230" ht="16.5" x14ac:dyDescent="0.2">
      <c r="EU544" s="13">
        <v>539</v>
      </c>
      <c r="EV544" s="14">
        <f t="shared" si="563"/>
        <v>2</v>
      </c>
      <c r="EW544" s="14">
        <f t="shared" si="531"/>
        <v>104</v>
      </c>
      <c r="EX544" s="14">
        <f t="shared" si="564"/>
        <v>14</v>
      </c>
      <c r="EY544" s="14">
        <f t="shared" si="532"/>
        <v>40</v>
      </c>
      <c r="EZ544" s="14">
        <f t="shared" si="544"/>
        <v>14</v>
      </c>
      <c r="FA544" s="14">
        <f t="shared" si="545"/>
        <v>50</v>
      </c>
      <c r="FB544" s="14">
        <f t="shared" si="546"/>
        <v>4</v>
      </c>
      <c r="FC544" s="14">
        <f t="shared" si="547"/>
        <v>2</v>
      </c>
      <c r="FD544" s="14">
        <f t="shared" si="548"/>
        <v>2</v>
      </c>
      <c r="FE544" s="14" t="b">
        <f t="shared" si="565"/>
        <v>0</v>
      </c>
      <c r="FF544" s="14">
        <f t="shared" si="549"/>
        <v>2103402</v>
      </c>
      <c r="FG544" s="13" t="str">
        <f t="shared" si="550"/>
        <v>50级-史诗守护灵の头盔</v>
      </c>
      <c r="FH544" s="14">
        <f t="shared" si="551"/>
        <v>2</v>
      </c>
      <c r="FI544" s="14">
        <f t="shared" si="552"/>
        <v>4</v>
      </c>
      <c r="FJ544" s="14">
        <f t="shared" si="553"/>
        <v>50</v>
      </c>
      <c r="FK544" s="14">
        <v>105</v>
      </c>
      <c r="FL544" s="14">
        <f t="shared" si="554"/>
        <v>3</v>
      </c>
      <c r="FM544" s="14">
        <f t="shared" si="533"/>
        <v>2</v>
      </c>
      <c r="FN544" s="14" t="str">
        <f t="shared" si="555"/>
        <v/>
      </c>
      <c r="FO544" s="14">
        <f t="shared" si="534"/>
        <v>50</v>
      </c>
      <c r="FP544" s="14">
        <f t="shared" si="566"/>
        <v>0</v>
      </c>
      <c r="FQ544" s="14">
        <f t="shared" si="567"/>
        <v>70</v>
      </c>
      <c r="FR544" s="14">
        <f t="shared" si="568"/>
        <v>0</v>
      </c>
      <c r="FS544" s="14">
        <f t="shared" si="569"/>
        <v>0</v>
      </c>
      <c r="FT544" s="14">
        <f t="shared" si="570"/>
        <v>5</v>
      </c>
      <c r="FU544" s="14">
        <f t="shared" si="571"/>
        <v>0</v>
      </c>
      <c r="FV544" s="14">
        <f t="shared" si="556"/>
        <v>2034</v>
      </c>
      <c r="FW544" s="14">
        <f t="shared" si="557"/>
        <v>3</v>
      </c>
      <c r="FX544" s="14">
        <f t="shared" si="558"/>
        <v>2034</v>
      </c>
      <c r="FY544" s="25" t="str">
        <f t="shared" si="572"/>
        <v>icon_2103102</v>
      </c>
      <c r="GC544" s="14">
        <f t="shared" si="559"/>
        <v>2</v>
      </c>
      <c r="GD544" s="14">
        <f t="shared" si="560"/>
        <v>0</v>
      </c>
      <c r="GE544" s="14">
        <f t="shared" si="535"/>
        <v>50</v>
      </c>
      <c r="GF544" s="14" t="str">
        <f t="shared" si="536"/>
        <v>DefExt</v>
      </c>
      <c r="GG544" s="14">
        <f t="shared" si="537"/>
        <v>70</v>
      </c>
      <c r="GH544" s="14">
        <f t="shared" si="538"/>
        <v>5</v>
      </c>
      <c r="GI544" s="14" t="str">
        <f t="shared" si="539"/>
        <v/>
      </c>
      <c r="GJ544" s="14" t="str">
        <f t="shared" si="540"/>
        <v/>
      </c>
      <c r="GK544" s="14" t="str">
        <f t="shared" si="541"/>
        <v/>
      </c>
      <c r="GL544" s="14">
        <f t="shared" si="561"/>
        <v>20340</v>
      </c>
      <c r="GM544" s="14">
        <f t="shared" si="542"/>
        <v>3</v>
      </c>
      <c r="GN544" s="14">
        <f t="shared" si="543"/>
        <v>2034</v>
      </c>
      <c r="GO544" s="25" t="s">
        <v>1471</v>
      </c>
      <c r="GP544" s="14">
        <f t="shared" si="562"/>
        <v>100</v>
      </c>
      <c r="GQ544" s="30"/>
    </row>
    <row r="545" spans="148:199" ht="16.5" x14ac:dyDescent="0.2">
      <c r="EU545" s="13">
        <v>540</v>
      </c>
      <c r="EV545" s="14">
        <f t="shared" si="563"/>
        <v>2</v>
      </c>
      <c r="EW545" s="14">
        <f t="shared" si="531"/>
        <v>105</v>
      </c>
      <c r="EX545" s="14">
        <f t="shared" si="564"/>
        <v>14</v>
      </c>
      <c r="EY545" s="14">
        <f t="shared" si="532"/>
        <v>40</v>
      </c>
      <c r="EZ545" s="14">
        <f t="shared" si="544"/>
        <v>14</v>
      </c>
      <c r="FA545" s="14">
        <f t="shared" si="545"/>
        <v>50</v>
      </c>
      <c r="FB545" s="14">
        <f t="shared" si="546"/>
        <v>4</v>
      </c>
      <c r="FC545" s="14">
        <f t="shared" si="547"/>
        <v>3</v>
      </c>
      <c r="FD545" s="14">
        <f t="shared" si="548"/>
        <v>3</v>
      </c>
      <c r="FE545" s="14" t="b">
        <f t="shared" si="565"/>
        <v>0</v>
      </c>
      <c r="FF545" s="14">
        <f t="shared" si="549"/>
        <v>2103403</v>
      </c>
      <c r="FG545" s="13" t="str">
        <f t="shared" si="550"/>
        <v>50级-史诗守护灵の铠甲</v>
      </c>
      <c r="FH545" s="14">
        <f t="shared" si="551"/>
        <v>2</v>
      </c>
      <c r="FI545" s="14">
        <f t="shared" si="552"/>
        <v>4</v>
      </c>
      <c r="FJ545" s="14">
        <f t="shared" si="553"/>
        <v>50</v>
      </c>
      <c r="FK545" s="14">
        <v>106</v>
      </c>
      <c r="FL545" s="14">
        <f t="shared" si="554"/>
        <v>3</v>
      </c>
      <c r="FM545" s="14">
        <f t="shared" si="533"/>
        <v>3</v>
      </c>
      <c r="FN545" s="14" t="str">
        <f t="shared" si="555"/>
        <v/>
      </c>
      <c r="FO545" s="14">
        <f t="shared" si="534"/>
        <v>66</v>
      </c>
      <c r="FP545" s="14">
        <f t="shared" si="566"/>
        <v>0</v>
      </c>
      <c r="FQ545" s="14">
        <f t="shared" si="567"/>
        <v>35</v>
      </c>
      <c r="FR545" s="14">
        <f t="shared" si="568"/>
        <v>465</v>
      </c>
      <c r="FS545" s="14">
        <f t="shared" si="569"/>
        <v>0</v>
      </c>
      <c r="FT545" s="14">
        <f t="shared" si="570"/>
        <v>3</v>
      </c>
      <c r="FU545" s="14">
        <f t="shared" si="571"/>
        <v>36</v>
      </c>
      <c r="FV545" s="14">
        <f t="shared" si="556"/>
        <v>2034</v>
      </c>
      <c r="FW545" s="14">
        <f t="shared" si="557"/>
        <v>3</v>
      </c>
      <c r="FX545" s="14">
        <f t="shared" si="558"/>
        <v>2034</v>
      </c>
      <c r="FY545" s="25" t="str">
        <f t="shared" si="572"/>
        <v>icon_2103103</v>
      </c>
      <c r="GC545" s="14">
        <f t="shared" si="559"/>
        <v>2</v>
      </c>
      <c r="GD545" s="14">
        <f t="shared" si="560"/>
        <v>3</v>
      </c>
      <c r="GE545" s="14">
        <f t="shared" si="535"/>
        <v>66</v>
      </c>
      <c r="GF545" s="14" t="str">
        <f t="shared" si="536"/>
        <v>DefExt</v>
      </c>
      <c r="GG545" s="14">
        <f t="shared" si="537"/>
        <v>35</v>
      </c>
      <c r="GH545" s="14">
        <f t="shared" si="538"/>
        <v>3</v>
      </c>
      <c r="GI545" s="14" t="str">
        <f t="shared" si="539"/>
        <v>HPExt</v>
      </c>
      <c r="GJ545" s="14">
        <f t="shared" si="540"/>
        <v>465</v>
      </c>
      <c r="GK545" s="14">
        <f t="shared" si="541"/>
        <v>36</v>
      </c>
      <c r="GL545" s="14">
        <f t="shared" si="561"/>
        <v>20340</v>
      </c>
      <c r="GM545" s="14">
        <f t="shared" si="542"/>
        <v>3</v>
      </c>
      <c r="GN545" s="14">
        <f t="shared" si="543"/>
        <v>2034</v>
      </c>
      <c r="GO545" s="25" t="s">
        <v>1471</v>
      </c>
      <c r="GP545" s="14">
        <f t="shared" si="562"/>
        <v>100</v>
      </c>
      <c r="GQ545" s="30"/>
    </row>
    <row r="546" spans="148:199" ht="16.5" x14ac:dyDescent="0.2">
      <c r="EU546" s="13">
        <v>541</v>
      </c>
      <c r="EV546" s="14">
        <f t="shared" si="563"/>
        <v>2</v>
      </c>
      <c r="EW546" s="14">
        <f t="shared" si="531"/>
        <v>106</v>
      </c>
      <c r="EX546" s="14">
        <f t="shared" si="564"/>
        <v>14</v>
      </c>
      <c r="EY546" s="14">
        <f t="shared" si="532"/>
        <v>40</v>
      </c>
      <c r="EZ546" s="14">
        <f t="shared" si="544"/>
        <v>14</v>
      </c>
      <c r="FA546" s="14">
        <f t="shared" si="545"/>
        <v>50</v>
      </c>
      <c r="FB546" s="14">
        <f t="shared" si="546"/>
        <v>4</v>
      </c>
      <c r="FC546" s="14">
        <f t="shared" si="547"/>
        <v>4</v>
      </c>
      <c r="FD546" s="14">
        <f t="shared" si="548"/>
        <v>4</v>
      </c>
      <c r="FE546" s="14" t="b">
        <f t="shared" si="565"/>
        <v>0</v>
      </c>
      <c r="FF546" s="14">
        <f t="shared" si="549"/>
        <v>2103404</v>
      </c>
      <c r="FG546" s="13" t="str">
        <f t="shared" si="550"/>
        <v>50级-史诗守护灵の裤子</v>
      </c>
      <c r="FH546" s="14">
        <f t="shared" si="551"/>
        <v>2</v>
      </c>
      <c r="FI546" s="14">
        <f t="shared" si="552"/>
        <v>4</v>
      </c>
      <c r="FJ546" s="14">
        <f t="shared" si="553"/>
        <v>50</v>
      </c>
      <c r="FK546" s="14">
        <v>107</v>
      </c>
      <c r="FL546" s="14">
        <f t="shared" si="554"/>
        <v>3</v>
      </c>
      <c r="FM546" s="14">
        <f t="shared" si="533"/>
        <v>4</v>
      </c>
      <c r="FN546" s="14" t="str">
        <f t="shared" si="555"/>
        <v/>
      </c>
      <c r="FO546" s="14">
        <f t="shared" si="534"/>
        <v>50</v>
      </c>
      <c r="FP546" s="14">
        <f t="shared" si="566"/>
        <v>0</v>
      </c>
      <c r="FQ546" s="14">
        <f t="shared" si="567"/>
        <v>70</v>
      </c>
      <c r="FR546" s="14">
        <f t="shared" si="568"/>
        <v>0</v>
      </c>
      <c r="FS546" s="14">
        <f t="shared" si="569"/>
        <v>0</v>
      </c>
      <c r="FT546" s="14">
        <f t="shared" si="570"/>
        <v>5</v>
      </c>
      <c r="FU546" s="14">
        <f t="shared" si="571"/>
        <v>0</v>
      </c>
      <c r="FV546" s="14">
        <f t="shared" si="556"/>
        <v>2034</v>
      </c>
      <c r="FW546" s="14">
        <f t="shared" si="557"/>
        <v>3</v>
      </c>
      <c r="FX546" s="14">
        <f t="shared" si="558"/>
        <v>2034</v>
      </c>
      <c r="FY546" s="25" t="str">
        <f t="shared" si="572"/>
        <v>icon_2103104</v>
      </c>
      <c r="GC546" s="14">
        <f t="shared" si="559"/>
        <v>2</v>
      </c>
      <c r="GD546" s="14">
        <f t="shared" si="560"/>
        <v>0</v>
      </c>
      <c r="GE546" s="14">
        <f t="shared" si="535"/>
        <v>50</v>
      </c>
      <c r="GF546" s="14" t="str">
        <f t="shared" si="536"/>
        <v>DefExt</v>
      </c>
      <c r="GG546" s="14">
        <f t="shared" si="537"/>
        <v>70</v>
      </c>
      <c r="GH546" s="14">
        <f t="shared" si="538"/>
        <v>5</v>
      </c>
      <c r="GI546" s="14" t="str">
        <f t="shared" si="539"/>
        <v/>
      </c>
      <c r="GJ546" s="14" t="str">
        <f t="shared" si="540"/>
        <v/>
      </c>
      <c r="GK546" s="14" t="str">
        <f t="shared" si="541"/>
        <v/>
      </c>
      <c r="GL546" s="14">
        <f t="shared" si="561"/>
        <v>20340</v>
      </c>
      <c r="GM546" s="14">
        <f t="shared" si="542"/>
        <v>3</v>
      </c>
      <c r="GN546" s="14">
        <f t="shared" si="543"/>
        <v>2034</v>
      </c>
      <c r="GO546" s="25" t="s">
        <v>1471</v>
      </c>
      <c r="GP546" s="14">
        <f t="shared" si="562"/>
        <v>100</v>
      </c>
      <c r="GQ546" s="30"/>
    </row>
    <row r="547" spans="148:199" ht="16.5" x14ac:dyDescent="0.2">
      <c r="EU547" s="13">
        <v>542</v>
      </c>
      <c r="EV547" s="14">
        <f t="shared" si="563"/>
        <v>2</v>
      </c>
      <c r="EW547" s="14">
        <f t="shared" si="531"/>
        <v>107</v>
      </c>
      <c r="EX547" s="14">
        <f t="shared" si="564"/>
        <v>14</v>
      </c>
      <c r="EY547" s="14">
        <f t="shared" si="532"/>
        <v>40</v>
      </c>
      <c r="EZ547" s="14">
        <f t="shared" si="544"/>
        <v>14</v>
      </c>
      <c r="FA547" s="14">
        <f t="shared" si="545"/>
        <v>50</v>
      </c>
      <c r="FB547" s="14">
        <f t="shared" si="546"/>
        <v>4</v>
      </c>
      <c r="FC547" s="14">
        <f t="shared" si="547"/>
        <v>5</v>
      </c>
      <c r="FD547" s="14">
        <f t="shared" si="548"/>
        <v>5</v>
      </c>
      <c r="FE547" s="14" t="b">
        <f t="shared" si="565"/>
        <v>0</v>
      </c>
      <c r="FF547" s="14">
        <f t="shared" si="549"/>
        <v>2103405</v>
      </c>
      <c r="FG547" s="13" t="str">
        <f t="shared" si="550"/>
        <v>50级-史诗守护灵の鞋子</v>
      </c>
      <c r="FH547" s="14">
        <f t="shared" si="551"/>
        <v>2</v>
      </c>
      <c r="FI547" s="14">
        <f t="shared" si="552"/>
        <v>4</v>
      </c>
      <c r="FJ547" s="14">
        <f t="shared" si="553"/>
        <v>50</v>
      </c>
      <c r="FK547" s="14">
        <v>108</v>
      </c>
      <c r="FL547" s="14">
        <f t="shared" si="554"/>
        <v>3</v>
      </c>
      <c r="FM547" s="14">
        <f t="shared" si="533"/>
        <v>5</v>
      </c>
      <c r="FN547" s="14" t="str">
        <f t="shared" si="555"/>
        <v/>
      </c>
      <c r="FO547" s="14">
        <f t="shared" si="534"/>
        <v>72</v>
      </c>
      <c r="FP547" s="14">
        <f t="shared" si="566"/>
        <v>0</v>
      </c>
      <c r="FQ547" s="14">
        <f t="shared" si="567"/>
        <v>0</v>
      </c>
      <c r="FR547" s="14">
        <f t="shared" si="568"/>
        <v>930</v>
      </c>
      <c r="FS547" s="14">
        <f t="shared" si="569"/>
        <v>0</v>
      </c>
      <c r="FT547" s="14">
        <f t="shared" si="570"/>
        <v>0</v>
      </c>
      <c r="FU547" s="14">
        <f t="shared" si="571"/>
        <v>72</v>
      </c>
      <c r="FV547" s="14">
        <f t="shared" si="556"/>
        <v>2034</v>
      </c>
      <c r="FW547" s="14">
        <f t="shared" si="557"/>
        <v>3</v>
      </c>
      <c r="FX547" s="14">
        <f t="shared" si="558"/>
        <v>2034</v>
      </c>
      <c r="FY547" s="25" t="str">
        <f t="shared" si="572"/>
        <v>icon_2103105</v>
      </c>
      <c r="GC547" s="14">
        <f t="shared" si="559"/>
        <v>3</v>
      </c>
      <c r="GD547" s="14">
        <f t="shared" si="560"/>
        <v>0</v>
      </c>
      <c r="GE547" s="14">
        <f t="shared" si="535"/>
        <v>72</v>
      </c>
      <c r="GF547" s="14" t="str">
        <f t="shared" si="536"/>
        <v>HPExt</v>
      </c>
      <c r="GG547" s="14">
        <f t="shared" si="537"/>
        <v>930</v>
      </c>
      <c r="GH547" s="14">
        <f t="shared" si="538"/>
        <v>72</v>
      </c>
      <c r="GI547" s="14" t="str">
        <f t="shared" si="539"/>
        <v/>
      </c>
      <c r="GJ547" s="14" t="str">
        <f t="shared" si="540"/>
        <v/>
      </c>
      <c r="GK547" s="14" t="str">
        <f t="shared" si="541"/>
        <v/>
      </c>
      <c r="GL547" s="14">
        <f t="shared" si="561"/>
        <v>20340</v>
      </c>
      <c r="GM547" s="14">
        <f t="shared" si="542"/>
        <v>3</v>
      </c>
      <c r="GN547" s="14">
        <f t="shared" si="543"/>
        <v>2034</v>
      </c>
      <c r="GO547" s="25" t="s">
        <v>1471</v>
      </c>
      <c r="GP547" s="14">
        <f t="shared" si="562"/>
        <v>100</v>
      </c>
      <c r="GQ547" s="30"/>
    </row>
    <row r="548" spans="148:199" ht="16.5" x14ac:dyDescent="0.2">
      <c r="EU548" s="13">
        <v>543</v>
      </c>
      <c r="EV548" s="14">
        <f t="shared" si="563"/>
        <v>2</v>
      </c>
      <c r="EW548" s="14">
        <f t="shared" si="531"/>
        <v>108</v>
      </c>
      <c r="EX548" s="14">
        <f t="shared" si="564"/>
        <v>14</v>
      </c>
      <c r="EY548" s="14">
        <f t="shared" si="532"/>
        <v>40</v>
      </c>
      <c r="EZ548" s="14">
        <f t="shared" si="544"/>
        <v>14</v>
      </c>
      <c r="FA548" s="14">
        <f t="shared" si="545"/>
        <v>50</v>
      </c>
      <c r="FB548" s="14">
        <f t="shared" si="546"/>
        <v>4</v>
      </c>
      <c r="FC548" s="14">
        <f t="shared" si="547"/>
        <v>6</v>
      </c>
      <c r="FD548" s="14">
        <f t="shared" si="548"/>
        <v>6</v>
      </c>
      <c r="FE548" s="14" t="b">
        <f t="shared" si="565"/>
        <v>0</v>
      </c>
      <c r="FF548" s="14">
        <f t="shared" si="549"/>
        <v>2103406</v>
      </c>
      <c r="FG548" s="13" t="str">
        <f t="shared" si="550"/>
        <v>50级-史诗守护灵の护手</v>
      </c>
      <c r="FH548" s="14">
        <f t="shared" si="551"/>
        <v>2</v>
      </c>
      <c r="FI548" s="14">
        <f t="shared" si="552"/>
        <v>4</v>
      </c>
      <c r="FJ548" s="14">
        <f t="shared" si="553"/>
        <v>50</v>
      </c>
      <c r="FK548" s="14">
        <v>109</v>
      </c>
      <c r="FL548" s="14">
        <f t="shared" si="554"/>
        <v>3</v>
      </c>
      <c r="FM548" s="14">
        <f t="shared" si="533"/>
        <v>6</v>
      </c>
      <c r="FN548" s="14" t="str">
        <f t="shared" si="555"/>
        <v/>
      </c>
      <c r="FO548" s="14">
        <f t="shared" si="534"/>
        <v>72</v>
      </c>
      <c r="FP548" s="14">
        <f t="shared" si="566"/>
        <v>0</v>
      </c>
      <c r="FQ548" s="14">
        <f t="shared" si="567"/>
        <v>0</v>
      </c>
      <c r="FR548" s="14">
        <f t="shared" si="568"/>
        <v>930</v>
      </c>
      <c r="FS548" s="14">
        <f t="shared" si="569"/>
        <v>0</v>
      </c>
      <c r="FT548" s="14">
        <f t="shared" si="570"/>
        <v>0</v>
      </c>
      <c r="FU548" s="14">
        <f t="shared" si="571"/>
        <v>72</v>
      </c>
      <c r="FV548" s="14">
        <f t="shared" si="556"/>
        <v>2034</v>
      </c>
      <c r="FW548" s="14">
        <f t="shared" si="557"/>
        <v>3</v>
      </c>
      <c r="FX548" s="14">
        <f t="shared" si="558"/>
        <v>2034</v>
      </c>
      <c r="FY548" s="25" t="str">
        <f t="shared" si="572"/>
        <v>icon_2103106</v>
      </c>
      <c r="GC548" s="14">
        <f t="shared" si="559"/>
        <v>3</v>
      </c>
      <c r="GD548" s="14">
        <f t="shared" si="560"/>
        <v>0</v>
      </c>
      <c r="GE548" s="14">
        <f t="shared" si="535"/>
        <v>72</v>
      </c>
      <c r="GF548" s="14" t="str">
        <f t="shared" si="536"/>
        <v>HPExt</v>
      </c>
      <c r="GG548" s="14">
        <f t="shared" si="537"/>
        <v>930</v>
      </c>
      <c r="GH548" s="14">
        <f t="shared" si="538"/>
        <v>72</v>
      </c>
      <c r="GI548" s="14" t="str">
        <f t="shared" si="539"/>
        <v/>
      </c>
      <c r="GJ548" s="14" t="str">
        <f t="shared" si="540"/>
        <v/>
      </c>
      <c r="GK548" s="14" t="str">
        <f t="shared" si="541"/>
        <v/>
      </c>
      <c r="GL548" s="14">
        <f t="shared" si="561"/>
        <v>20340</v>
      </c>
      <c r="GM548" s="14">
        <f t="shared" si="542"/>
        <v>3</v>
      </c>
      <c r="GN548" s="14">
        <f t="shared" si="543"/>
        <v>2034</v>
      </c>
      <c r="GO548" s="25" t="s">
        <v>1471</v>
      </c>
      <c r="GP548" s="14">
        <f t="shared" si="562"/>
        <v>100</v>
      </c>
    </row>
    <row r="549" spans="148:199" ht="16.5" x14ac:dyDescent="0.2">
      <c r="ER549" s="30"/>
      <c r="EU549" s="13">
        <v>544</v>
      </c>
      <c r="EV549" s="14">
        <f t="shared" si="563"/>
        <v>2</v>
      </c>
      <c r="EW549" s="14">
        <f t="shared" si="531"/>
        <v>109</v>
      </c>
      <c r="EX549" s="14">
        <f t="shared" si="564"/>
        <v>14</v>
      </c>
      <c r="EY549" s="14">
        <f t="shared" si="532"/>
        <v>40</v>
      </c>
      <c r="EZ549" s="14">
        <f t="shared" si="544"/>
        <v>14</v>
      </c>
      <c r="FA549" s="14">
        <f t="shared" si="545"/>
        <v>50</v>
      </c>
      <c r="FB549" s="14">
        <f t="shared" si="546"/>
        <v>4</v>
      </c>
      <c r="FC549" s="14">
        <f t="shared" si="547"/>
        <v>7</v>
      </c>
      <c r="FD549" s="14">
        <f t="shared" si="548"/>
        <v>7</v>
      </c>
      <c r="FE549" s="14" t="b">
        <f t="shared" si="565"/>
        <v>0</v>
      </c>
      <c r="FF549" s="14">
        <f t="shared" si="549"/>
        <v>2103407</v>
      </c>
      <c r="FG549" s="13" t="str">
        <f t="shared" si="550"/>
        <v>50级-史诗守护灵の项链</v>
      </c>
      <c r="FH549" s="14">
        <f t="shared" si="551"/>
        <v>2</v>
      </c>
      <c r="FI549" s="14">
        <f t="shared" si="552"/>
        <v>4</v>
      </c>
      <c r="FJ549" s="14">
        <f t="shared" si="553"/>
        <v>50</v>
      </c>
      <c r="FK549" s="14">
        <v>110</v>
      </c>
      <c r="FL549" s="14">
        <f t="shared" si="554"/>
        <v>3</v>
      </c>
      <c r="FM549" s="14">
        <f t="shared" si="533"/>
        <v>7</v>
      </c>
      <c r="FN549" s="14" t="str">
        <f t="shared" si="555"/>
        <v/>
      </c>
      <c r="FO549" s="14">
        <f t="shared" si="534"/>
        <v>75</v>
      </c>
      <c r="FP549" s="14">
        <f t="shared" si="566"/>
        <v>90</v>
      </c>
      <c r="FQ549" s="14">
        <f t="shared" si="567"/>
        <v>60</v>
      </c>
      <c r="FR549" s="14">
        <f t="shared" si="568"/>
        <v>0</v>
      </c>
      <c r="FS549" s="14">
        <f t="shared" si="569"/>
        <v>7</v>
      </c>
      <c r="FT549" s="14">
        <f t="shared" si="570"/>
        <v>4</v>
      </c>
      <c r="FU549" s="14">
        <f t="shared" si="571"/>
        <v>0</v>
      </c>
      <c r="FV549" s="14">
        <f t="shared" si="556"/>
        <v>2034</v>
      </c>
      <c r="FW549" s="14">
        <f t="shared" si="557"/>
        <v>3</v>
      </c>
      <c r="FX549" s="14">
        <f t="shared" si="558"/>
        <v>2034</v>
      </c>
      <c r="FY549" s="25" t="str">
        <f t="shared" si="572"/>
        <v>icon_2103107</v>
      </c>
      <c r="GC549" s="14">
        <f t="shared" si="559"/>
        <v>1</v>
      </c>
      <c r="GD549" s="14">
        <f t="shared" si="560"/>
        <v>2</v>
      </c>
      <c r="GE549" s="14">
        <f t="shared" si="535"/>
        <v>75</v>
      </c>
      <c r="GF549" s="14" t="str">
        <f t="shared" si="536"/>
        <v>AtkExt</v>
      </c>
      <c r="GG549" s="14">
        <f t="shared" si="537"/>
        <v>90</v>
      </c>
      <c r="GH549" s="14">
        <f t="shared" si="538"/>
        <v>7</v>
      </c>
      <c r="GI549" s="14" t="str">
        <f t="shared" si="539"/>
        <v>DefExt</v>
      </c>
      <c r="GJ549" s="14">
        <f t="shared" si="540"/>
        <v>60</v>
      </c>
      <c r="GK549" s="14">
        <f t="shared" si="541"/>
        <v>4</v>
      </c>
      <c r="GL549" s="14">
        <f t="shared" si="561"/>
        <v>20340</v>
      </c>
      <c r="GM549" s="14">
        <f t="shared" si="542"/>
        <v>3</v>
      </c>
      <c r="GN549" s="14">
        <f t="shared" si="543"/>
        <v>2034</v>
      </c>
      <c r="GO549" s="25" t="s">
        <v>1471</v>
      </c>
      <c r="GP549" s="14">
        <f t="shared" si="562"/>
        <v>150</v>
      </c>
    </row>
    <row r="550" spans="148:199" ht="16.5" x14ac:dyDescent="0.2">
      <c r="ER550" s="30"/>
      <c r="EU550" s="13">
        <v>545</v>
      </c>
      <c r="EV550" s="14">
        <f t="shared" si="563"/>
        <v>2</v>
      </c>
      <c r="EW550" s="14">
        <f t="shared" si="531"/>
        <v>110</v>
      </c>
      <c r="EX550" s="14">
        <f t="shared" si="564"/>
        <v>14</v>
      </c>
      <c r="EY550" s="14">
        <f t="shared" si="532"/>
        <v>40</v>
      </c>
      <c r="EZ550" s="14">
        <f t="shared" si="544"/>
        <v>14</v>
      </c>
      <c r="FA550" s="14">
        <f t="shared" si="545"/>
        <v>50</v>
      </c>
      <c r="FB550" s="14">
        <f t="shared" si="546"/>
        <v>4</v>
      </c>
      <c r="FC550" s="14">
        <f t="shared" si="547"/>
        <v>8</v>
      </c>
      <c r="FD550" s="14">
        <f t="shared" si="548"/>
        <v>8</v>
      </c>
      <c r="FE550" s="14" t="b">
        <f t="shared" si="565"/>
        <v>0</v>
      </c>
      <c r="FF550" s="14">
        <f t="shared" si="549"/>
        <v>2103408</v>
      </c>
      <c r="FG550" s="13" t="str">
        <f t="shared" si="550"/>
        <v>50级-史诗守护灵の戒指</v>
      </c>
      <c r="FH550" s="14">
        <f t="shared" si="551"/>
        <v>2</v>
      </c>
      <c r="FI550" s="14">
        <f t="shared" si="552"/>
        <v>4</v>
      </c>
      <c r="FJ550" s="14">
        <f t="shared" si="553"/>
        <v>50</v>
      </c>
      <c r="FK550" s="14">
        <v>111</v>
      </c>
      <c r="FL550" s="14">
        <f t="shared" si="554"/>
        <v>3</v>
      </c>
      <c r="FM550" s="14">
        <f t="shared" si="533"/>
        <v>8</v>
      </c>
      <c r="FN550" s="14" t="str">
        <f t="shared" si="555"/>
        <v/>
      </c>
      <c r="FO550" s="14">
        <f t="shared" si="534"/>
        <v>95</v>
      </c>
      <c r="FP550" s="14">
        <f t="shared" si="566"/>
        <v>90</v>
      </c>
      <c r="FQ550" s="14">
        <f t="shared" si="567"/>
        <v>0</v>
      </c>
      <c r="FR550" s="14">
        <f t="shared" si="568"/>
        <v>775</v>
      </c>
      <c r="FS550" s="14">
        <f t="shared" si="569"/>
        <v>7</v>
      </c>
      <c r="FT550" s="14">
        <f t="shared" si="570"/>
        <v>0</v>
      </c>
      <c r="FU550" s="14">
        <f t="shared" si="571"/>
        <v>60</v>
      </c>
      <c r="FV550" s="14">
        <f t="shared" si="556"/>
        <v>2034</v>
      </c>
      <c r="FW550" s="14">
        <f t="shared" si="557"/>
        <v>3</v>
      </c>
      <c r="FX550" s="14">
        <f t="shared" si="558"/>
        <v>2034</v>
      </c>
      <c r="FY550" s="25" t="str">
        <f t="shared" si="572"/>
        <v>icon_2103108</v>
      </c>
      <c r="GC550" s="14">
        <f t="shared" si="559"/>
        <v>1</v>
      </c>
      <c r="GD550" s="14">
        <f t="shared" si="560"/>
        <v>3</v>
      </c>
      <c r="GE550" s="14">
        <f t="shared" si="535"/>
        <v>95</v>
      </c>
      <c r="GF550" s="14" t="str">
        <f t="shared" si="536"/>
        <v>AtkExt</v>
      </c>
      <c r="GG550" s="14">
        <f t="shared" si="537"/>
        <v>90</v>
      </c>
      <c r="GH550" s="14">
        <f t="shared" si="538"/>
        <v>7</v>
      </c>
      <c r="GI550" s="14" t="str">
        <f t="shared" si="539"/>
        <v>HPExt</v>
      </c>
      <c r="GJ550" s="14">
        <f t="shared" si="540"/>
        <v>775</v>
      </c>
      <c r="GK550" s="14">
        <f t="shared" si="541"/>
        <v>60</v>
      </c>
      <c r="GL550" s="14">
        <f t="shared" si="561"/>
        <v>20340</v>
      </c>
      <c r="GM550" s="14">
        <f t="shared" si="542"/>
        <v>3</v>
      </c>
      <c r="GN550" s="14">
        <f t="shared" si="543"/>
        <v>2034</v>
      </c>
      <c r="GO550" s="25" t="s">
        <v>1471</v>
      </c>
      <c r="GP550" s="14">
        <f t="shared" si="562"/>
        <v>150</v>
      </c>
    </row>
    <row r="551" spans="148:199" ht="16.5" x14ac:dyDescent="0.2">
      <c r="ER551" s="30"/>
      <c r="EU551" s="13">
        <v>546</v>
      </c>
      <c r="EV551" s="14">
        <f t="shared" si="563"/>
        <v>2</v>
      </c>
      <c r="EW551" s="14">
        <f t="shared" si="531"/>
        <v>111</v>
      </c>
      <c r="EX551" s="14">
        <f t="shared" si="564"/>
        <v>15</v>
      </c>
      <c r="EY551" s="14">
        <f t="shared" si="532"/>
        <v>42</v>
      </c>
      <c r="EZ551" s="14">
        <f t="shared" si="544"/>
        <v>14</v>
      </c>
      <c r="FA551" s="14">
        <f t="shared" si="545"/>
        <v>50</v>
      </c>
      <c r="FB551" s="14">
        <f t="shared" si="546"/>
        <v>4</v>
      </c>
      <c r="FC551" s="14">
        <f t="shared" si="547"/>
        <v>1</v>
      </c>
      <c r="FD551" s="14">
        <f t="shared" si="548"/>
        <v>1</v>
      </c>
      <c r="FE551" s="14" t="b">
        <f t="shared" si="565"/>
        <v>1</v>
      </c>
      <c r="FF551" s="14">
        <f t="shared" si="549"/>
        <v>2103421</v>
      </c>
      <c r="FG551" s="13" t="str">
        <f t="shared" si="550"/>
        <v>50级-防御套守护灵の灵器</v>
      </c>
      <c r="FH551" s="14">
        <f t="shared" si="551"/>
        <v>2</v>
      </c>
      <c r="FI551" s="14">
        <f t="shared" si="552"/>
        <v>4</v>
      </c>
      <c r="FJ551" s="14">
        <f t="shared" si="553"/>
        <v>50</v>
      </c>
      <c r="FK551" s="14">
        <v>112</v>
      </c>
      <c r="FL551" s="14">
        <f t="shared" si="554"/>
        <v>3</v>
      </c>
      <c r="FM551" s="14">
        <f t="shared" si="533"/>
        <v>1</v>
      </c>
      <c r="FN551" s="14">
        <f t="shared" si="555"/>
        <v>210342</v>
      </c>
      <c r="FO551" s="14">
        <f t="shared" si="534"/>
        <v>157</v>
      </c>
      <c r="FP551" s="14">
        <f t="shared" si="566"/>
        <v>270</v>
      </c>
      <c r="FQ551" s="14">
        <f t="shared" si="567"/>
        <v>0</v>
      </c>
      <c r="FR551" s="14">
        <f t="shared" si="568"/>
        <v>0</v>
      </c>
      <c r="FS551" s="14">
        <f t="shared" si="569"/>
        <v>21</v>
      </c>
      <c r="FT551" s="14">
        <f t="shared" si="570"/>
        <v>0</v>
      </c>
      <c r="FU551" s="14">
        <f t="shared" si="571"/>
        <v>0</v>
      </c>
      <c r="FV551" s="14">
        <f t="shared" si="556"/>
        <v>2034</v>
      </c>
      <c r="FW551" s="14">
        <f t="shared" si="557"/>
        <v>3</v>
      </c>
      <c r="FX551" s="14">
        <f t="shared" si="558"/>
        <v>2034</v>
      </c>
      <c r="FY551" s="25" t="str">
        <f t="shared" si="572"/>
        <v>icon_2103421</v>
      </c>
      <c r="GC551" s="14">
        <f t="shared" si="559"/>
        <v>1</v>
      </c>
      <c r="GD551" s="14">
        <f t="shared" si="560"/>
        <v>0</v>
      </c>
      <c r="GE551" s="14">
        <f t="shared" si="535"/>
        <v>157</v>
      </c>
      <c r="GF551" s="14" t="str">
        <f t="shared" si="536"/>
        <v>AtkExt</v>
      </c>
      <c r="GG551" s="14">
        <f t="shared" si="537"/>
        <v>270</v>
      </c>
      <c r="GH551" s="14">
        <f t="shared" si="538"/>
        <v>21</v>
      </c>
      <c r="GI551" s="14" t="str">
        <f t="shared" si="539"/>
        <v/>
      </c>
      <c r="GJ551" s="14" t="str">
        <f t="shared" si="540"/>
        <v/>
      </c>
      <c r="GK551" s="14" t="str">
        <f t="shared" si="541"/>
        <v/>
      </c>
      <c r="GL551" s="14">
        <f t="shared" si="561"/>
        <v>20340</v>
      </c>
      <c r="GM551" s="14">
        <f t="shared" si="542"/>
        <v>3</v>
      </c>
      <c r="GN551" s="14">
        <f t="shared" si="543"/>
        <v>2034</v>
      </c>
      <c r="GO551" s="25" t="s">
        <v>1471</v>
      </c>
      <c r="GP551" s="14">
        <f t="shared" si="562"/>
        <v>200</v>
      </c>
    </row>
    <row r="552" spans="148:199" ht="16.5" x14ac:dyDescent="0.2">
      <c r="ER552" s="30"/>
      <c r="EU552" s="13">
        <v>547</v>
      </c>
      <c r="EV552" s="14">
        <f t="shared" si="563"/>
        <v>2</v>
      </c>
      <c r="EW552" s="14">
        <f t="shared" si="531"/>
        <v>112</v>
      </c>
      <c r="EX552" s="14">
        <f t="shared" si="564"/>
        <v>15</v>
      </c>
      <c r="EY552" s="14">
        <f t="shared" si="532"/>
        <v>42</v>
      </c>
      <c r="EZ552" s="14">
        <f t="shared" si="544"/>
        <v>14</v>
      </c>
      <c r="FA552" s="14">
        <f t="shared" si="545"/>
        <v>50</v>
      </c>
      <c r="FB552" s="14">
        <f t="shared" si="546"/>
        <v>4</v>
      </c>
      <c r="FC552" s="14">
        <f t="shared" si="547"/>
        <v>2</v>
      </c>
      <c r="FD552" s="14">
        <f t="shared" si="548"/>
        <v>2</v>
      </c>
      <c r="FE552" s="14" t="b">
        <f t="shared" si="565"/>
        <v>1</v>
      </c>
      <c r="FF552" s="14">
        <f t="shared" si="549"/>
        <v>2103422</v>
      </c>
      <c r="FG552" s="13" t="str">
        <f t="shared" si="550"/>
        <v>50级-防御套守护灵の头盔</v>
      </c>
      <c r="FH552" s="14">
        <f t="shared" si="551"/>
        <v>2</v>
      </c>
      <c r="FI552" s="14">
        <f t="shared" si="552"/>
        <v>4</v>
      </c>
      <c r="FJ552" s="14">
        <f t="shared" si="553"/>
        <v>50</v>
      </c>
      <c r="FK552" s="14">
        <v>113</v>
      </c>
      <c r="FL552" s="14">
        <f t="shared" si="554"/>
        <v>3</v>
      </c>
      <c r="FM552" s="14">
        <f t="shared" si="533"/>
        <v>2</v>
      </c>
      <c r="FN552" s="14">
        <f t="shared" si="555"/>
        <v>210342</v>
      </c>
      <c r="FO552" s="14">
        <f t="shared" si="534"/>
        <v>75</v>
      </c>
      <c r="FP552" s="14">
        <f t="shared" si="566"/>
        <v>0</v>
      </c>
      <c r="FQ552" s="14">
        <f t="shared" si="567"/>
        <v>70</v>
      </c>
      <c r="FR552" s="14">
        <f t="shared" si="568"/>
        <v>0</v>
      </c>
      <c r="FS552" s="14">
        <f t="shared" si="569"/>
        <v>0</v>
      </c>
      <c r="FT552" s="14">
        <f t="shared" si="570"/>
        <v>5</v>
      </c>
      <c r="FU552" s="14">
        <f t="shared" si="571"/>
        <v>0</v>
      </c>
      <c r="FV552" s="14">
        <f t="shared" si="556"/>
        <v>2034</v>
      </c>
      <c r="FW552" s="14">
        <f t="shared" si="557"/>
        <v>3</v>
      </c>
      <c r="FX552" s="14">
        <f t="shared" si="558"/>
        <v>2034</v>
      </c>
      <c r="FY552" s="25" t="str">
        <f t="shared" si="572"/>
        <v>icon_2103422</v>
      </c>
      <c r="GC552" s="14">
        <f t="shared" si="559"/>
        <v>2</v>
      </c>
      <c r="GD552" s="14">
        <f t="shared" si="560"/>
        <v>0</v>
      </c>
      <c r="GE552" s="14">
        <f t="shared" si="535"/>
        <v>75</v>
      </c>
      <c r="GF552" s="14" t="str">
        <f t="shared" si="536"/>
        <v>DefExt</v>
      </c>
      <c r="GG552" s="14">
        <f t="shared" si="537"/>
        <v>70</v>
      </c>
      <c r="GH552" s="14">
        <f t="shared" si="538"/>
        <v>5</v>
      </c>
      <c r="GI552" s="14" t="str">
        <f t="shared" si="539"/>
        <v/>
      </c>
      <c r="GJ552" s="14" t="str">
        <f t="shared" si="540"/>
        <v/>
      </c>
      <c r="GK552" s="14" t="str">
        <f t="shared" si="541"/>
        <v/>
      </c>
      <c r="GL552" s="14">
        <f t="shared" si="561"/>
        <v>20340</v>
      </c>
      <c r="GM552" s="14">
        <f t="shared" si="542"/>
        <v>3</v>
      </c>
      <c r="GN552" s="14">
        <f t="shared" si="543"/>
        <v>2034</v>
      </c>
      <c r="GO552" s="25" t="s">
        <v>1471</v>
      </c>
      <c r="GP552" s="14">
        <f t="shared" si="562"/>
        <v>100</v>
      </c>
    </row>
    <row r="553" spans="148:199" ht="16.5" x14ac:dyDescent="0.2">
      <c r="ER553" s="30"/>
      <c r="EU553" s="13">
        <v>548</v>
      </c>
      <c r="EV553" s="14">
        <f t="shared" si="563"/>
        <v>2</v>
      </c>
      <c r="EW553" s="14">
        <f t="shared" si="531"/>
        <v>113</v>
      </c>
      <c r="EX553" s="14">
        <f t="shared" si="564"/>
        <v>15</v>
      </c>
      <c r="EY553" s="14">
        <f t="shared" si="532"/>
        <v>42</v>
      </c>
      <c r="EZ553" s="14">
        <f t="shared" si="544"/>
        <v>14</v>
      </c>
      <c r="FA553" s="14">
        <f t="shared" si="545"/>
        <v>50</v>
      </c>
      <c r="FB553" s="14">
        <f t="shared" si="546"/>
        <v>4</v>
      </c>
      <c r="FC553" s="14">
        <f t="shared" si="547"/>
        <v>3</v>
      </c>
      <c r="FD553" s="14">
        <f t="shared" si="548"/>
        <v>3</v>
      </c>
      <c r="FE553" s="14" t="b">
        <f t="shared" si="565"/>
        <v>1</v>
      </c>
      <c r="FF553" s="14">
        <f t="shared" si="549"/>
        <v>2103423</v>
      </c>
      <c r="FG553" s="13" t="str">
        <f t="shared" si="550"/>
        <v>50级-防御套守护灵の铠甲</v>
      </c>
      <c r="FH553" s="14">
        <f t="shared" si="551"/>
        <v>2</v>
      </c>
      <c r="FI553" s="14">
        <f t="shared" si="552"/>
        <v>4</v>
      </c>
      <c r="FJ553" s="14">
        <f t="shared" si="553"/>
        <v>50</v>
      </c>
      <c r="FK553" s="14">
        <v>114</v>
      </c>
      <c r="FL553" s="14">
        <f t="shared" si="554"/>
        <v>3</v>
      </c>
      <c r="FM553" s="14">
        <f t="shared" si="533"/>
        <v>3</v>
      </c>
      <c r="FN553" s="14">
        <f t="shared" si="555"/>
        <v>210342</v>
      </c>
      <c r="FO553" s="14">
        <f t="shared" si="534"/>
        <v>99</v>
      </c>
      <c r="FP553" s="14">
        <f t="shared" si="566"/>
        <v>0</v>
      </c>
      <c r="FQ553" s="14">
        <f t="shared" si="567"/>
        <v>35</v>
      </c>
      <c r="FR553" s="14">
        <f t="shared" si="568"/>
        <v>465</v>
      </c>
      <c r="FS553" s="14">
        <f t="shared" si="569"/>
        <v>0</v>
      </c>
      <c r="FT553" s="14">
        <f t="shared" si="570"/>
        <v>3</v>
      </c>
      <c r="FU553" s="14">
        <f t="shared" si="571"/>
        <v>36</v>
      </c>
      <c r="FV553" s="14">
        <f t="shared" si="556"/>
        <v>2034</v>
      </c>
      <c r="FW553" s="14">
        <f t="shared" si="557"/>
        <v>3</v>
      </c>
      <c r="FX553" s="14">
        <f t="shared" si="558"/>
        <v>2034</v>
      </c>
      <c r="FY553" s="25" t="str">
        <f t="shared" si="572"/>
        <v>icon_2103423</v>
      </c>
      <c r="GC553" s="14">
        <f t="shared" si="559"/>
        <v>2</v>
      </c>
      <c r="GD553" s="14">
        <f t="shared" si="560"/>
        <v>3</v>
      </c>
      <c r="GE553" s="14">
        <f t="shared" si="535"/>
        <v>99</v>
      </c>
      <c r="GF553" s="14" t="str">
        <f t="shared" si="536"/>
        <v>DefExt</v>
      </c>
      <c r="GG553" s="14">
        <f t="shared" si="537"/>
        <v>35</v>
      </c>
      <c r="GH553" s="14">
        <f t="shared" si="538"/>
        <v>3</v>
      </c>
      <c r="GI553" s="14" t="str">
        <f t="shared" si="539"/>
        <v>HPExt</v>
      </c>
      <c r="GJ553" s="14">
        <f t="shared" si="540"/>
        <v>465</v>
      </c>
      <c r="GK553" s="14">
        <f t="shared" si="541"/>
        <v>36</v>
      </c>
      <c r="GL553" s="14">
        <f t="shared" si="561"/>
        <v>20340</v>
      </c>
      <c r="GM553" s="14">
        <f t="shared" si="542"/>
        <v>3</v>
      </c>
      <c r="GN553" s="14">
        <f t="shared" si="543"/>
        <v>2034</v>
      </c>
      <c r="GO553" s="25" t="s">
        <v>1471</v>
      </c>
      <c r="GP553" s="14">
        <f t="shared" si="562"/>
        <v>100</v>
      </c>
    </row>
    <row r="554" spans="148:199" ht="16.5" x14ac:dyDescent="0.2">
      <c r="ER554" s="30"/>
      <c r="EU554" s="13">
        <v>549</v>
      </c>
      <c r="EV554" s="14">
        <f t="shared" si="563"/>
        <v>2</v>
      </c>
      <c r="EW554" s="14">
        <f t="shared" si="531"/>
        <v>114</v>
      </c>
      <c r="EX554" s="14">
        <f t="shared" si="564"/>
        <v>15</v>
      </c>
      <c r="EY554" s="14">
        <f t="shared" si="532"/>
        <v>42</v>
      </c>
      <c r="EZ554" s="14">
        <f t="shared" si="544"/>
        <v>14</v>
      </c>
      <c r="FA554" s="14">
        <f t="shared" si="545"/>
        <v>50</v>
      </c>
      <c r="FB554" s="14">
        <f t="shared" si="546"/>
        <v>4</v>
      </c>
      <c r="FC554" s="14">
        <f t="shared" si="547"/>
        <v>4</v>
      </c>
      <c r="FD554" s="14">
        <f t="shared" si="548"/>
        <v>4</v>
      </c>
      <c r="FE554" s="14" t="b">
        <f t="shared" si="565"/>
        <v>1</v>
      </c>
      <c r="FF554" s="14">
        <f t="shared" si="549"/>
        <v>2103424</v>
      </c>
      <c r="FG554" s="13" t="str">
        <f t="shared" si="550"/>
        <v>50级-防御套守护灵の裤子</v>
      </c>
      <c r="FH554" s="14">
        <f t="shared" si="551"/>
        <v>2</v>
      </c>
      <c r="FI554" s="14">
        <f t="shared" si="552"/>
        <v>4</v>
      </c>
      <c r="FJ554" s="14">
        <f t="shared" si="553"/>
        <v>50</v>
      </c>
      <c r="FK554" s="14">
        <v>115</v>
      </c>
      <c r="FL554" s="14">
        <f t="shared" si="554"/>
        <v>3</v>
      </c>
      <c r="FM554" s="14">
        <f t="shared" si="533"/>
        <v>4</v>
      </c>
      <c r="FN554" s="14">
        <f t="shared" si="555"/>
        <v>210342</v>
      </c>
      <c r="FO554" s="14">
        <f t="shared" si="534"/>
        <v>75</v>
      </c>
      <c r="FP554" s="14">
        <f t="shared" si="566"/>
        <v>0</v>
      </c>
      <c r="FQ554" s="14">
        <f t="shared" si="567"/>
        <v>70</v>
      </c>
      <c r="FR554" s="14">
        <f t="shared" si="568"/>
        <v>0</v>
      </c>
      <c r="FS554" s="14">
        <f t="shared" si="569"/>
        <v>0</v>
      </c>
      <c r="FT554" s="14">
        <f t="shared" si="570"/>
        <v>5</v>
      </c>
      <c r="FU554" s="14">
        <f t="shared" si="571"/>
        <v>0</v>
      </c>
      <c r="FV554" s="14">
        <f t="shared" si="556"/>
        <v>2034</v>
      </c>
      <c r="FW554" s="14">
        <f t="shared" si="557"/>
        <v>3</v>
      </c>
      <c r="FX554" s="14">
        <f t="shared" si="558"/>
        <v>2034</v>
      </c>
      <c r="FY554" s="25" t="str">
        <f t="shared" si="572"/>
        <v>icon_2103424</v>
      </c>
      <c r="GC554" s="14">
        <f t="shared" si="559"/>
        <v>2</v>
      </c>
      <c r="GD554" s="14">
        <f t="shared" si="560"/>
        <v>0</v>
      </c>
      <c r="GE554" s="14">
        <f t="shared" si="535"/>
        <v>75</v>
      </c>
      <c r="GF554" s="14" t="str">
        <f t="shared" si="536"/>
        <v>DefExt</v>
      </c>
      <c r="GG554" s="14">
        <f t="shared" si="537"/>
        <v>70</v>
      </c>
      <c r="GH554" s="14">
        <f t="shared" si="538"/>
        <v>5</v>
      </c>
      <c r="GI554" s="14" t="str">
        <f t="shared" si="539"/>
        <v/>
      </c>
      <c r="GJ554" s="14" t="str">
        <f t="shared" si="540"/>
        <v/>
      </c>
      <c r="GK554" s="14" t="str">
        <f t="shared" si="541"/>
        <v/>
      </c>
      <c r="GL554" s="14">
        <f t="shared" si="561"/>
        <v>20340</v>
      </c>
      <c r="GM554" s="14">
        <f t="shared" si="542"/>
        <v>3</v>
      </c>
      <c r="GN554" s="14">
        <f t="shared" si="543"/>
        <v>2034</v>
      </c>
      <c r="GO554" s="25" t="s">
        <v>1471</v>
      </c>
      <c r="GP554" s="14">
        <f t="shared" si="562"/>
        <v>100</v>
      </c>
    </row>
    <row r="555" spans="148:199" ht="16.5" x14ac:dyDescent="0.2">
      <c r="ER555" s="30"/>
      <c r="EU555" s="13">
        <v>550</v>
      </c>
      <c r="EV555" s="14">
        <f t="shared" si="563"/>
        <v>2</v>
      </c>
      <c r="EW555" s="14">
        <f t="shared" si="531"/>
        <v>115</v>
      </c>
      <c r="EX555" s="14">
        <f t="shared" si="564"/>
        <v>15</v>
      </c>
      <c r="EY555" s="14">
        <f t="shared" si="532"/>
        <v>42</v>
      </c>
      <c r="EZ555" s="14">
        <f t="shared" si="544"/>
        <v>14</v>
      </c>
      <c r="FA555" s="14">
        <f t="shared" si="545"/>
        <v>50</v>
      </c>
      <c r="FB555" s="14">
        <f t="shared" si="546"/>
        <v>4</v>
      </c>
      <c r="FC555" s="14">
        <f t="shared" si="547"/>
        <v>5</v>
      </c>
      <c r="FD555" s="14">
        <f t="shared" si="548"/>
        <v>5</v>
      </c>
      <c r="FE555" s="14" t="b">
        <f t="shared" si="565"/>
        <v>1</v>
      </c>
      <c r="FF555" s="14">
        <f t="shared" si="549"/>
        <v>2103425</v>
      </c>
      <c r="FG555" s="13" t="str">
        <f t="shared" si="550"/>
        <v>50级-防御套守护灵の鞋子</v>
      </c>
      <c r="FH555" s="14">
        <f t="shared" si="551"/>
        <v>2</v>
      </c>
      <c r="FI555" s="14">
        <f t="shared" si="552"/>
        <v>4</v>
      </c>
      <c r="FJ555" s="14">
        <f t="shared" si="553"/>
        <v>50</v>
      </c>
      <c r="FK555" s="14">
        <v>116</v>
      </c>
      <c r="FL555" s="14">
        <f t="shared" si="554"/>
        <v>3</v>
      </c>
      <c r="FM555" s="14">
        <f t="shared" si="533"/>
        <v>5</v>
      </c>
      <c r="FN555" s="14">
        <f t="shared" si="555"/>
        <v>210342</v>
      </c>
      <c r="FO555" s="14">
        <f t="shared" si="534"/>
        <v>108</v>
      </c>
      <c r="FP555" s="14">
        <f t="shared" si="566"/>
        <v>0</v>
      </c>
      <c r="FQ555" s="14">
        <f t="shared" si="567"/>
        <v>0</v>
      </c>
      <c r="FR555" s="14">
        <f t="shared" si="568"/>
        <v>930</v>
      </c>
      <c r="FS555" s="14">
        <f t="shared" si="569"/>
        <v>0</v>
      </c>
      <c r="FT555" s="14">
        <f t="shared" si="570"/>
        <v>0</v>
      </c>
      <c r="FU555" s="14">
        <f t="shared" si="571"/>
        <v>72</v>
      </c>
      <c r="FV555" s="14">
        <f t="shared" si="556"/>
        <v>2034</v>
      </c>
      <c r="FW555" s="14">
        <f t="shared" si="557"/>
        <v>3</v>
      </c>
      <c r="FX555" s="14">
        <f t="shared" si="558"/>
        <v>2034</v>
      </c>
      <c r="FY555" s="25" t="str">
        <f t="shared" si="572"/>
        <v>icon_2103425</v>
      </c>
      <c r="GC555" s="14">
        <f t="shared" si="559"/>
        <v>3</v>
      </c>
      <c r="GD555" s="14">
        <f t="shared" si="560"/>
        <v>0</v>
      </c>
      <c r="GE555" s="14">
        <f t="shared" si="535"/>
        <v>108</v>
      </c>
      <c r="GF555" s="14" t="str">
        <f t="shared" si="536"/>
        <v>HPExt</v>
      </c>
      <c r="GG555" s="14">
        <f t="shared" si="537"/>
        <v>930</v>
      </c>
      <c r="GH555" s="14">
        <f t="shared" si="538"/>
        <v>72</v>
      </c>
      <c r="GI555" s="14" t="str">
        <f t="shared" si="539"/>
        <v/>
      </c>
      <c r="GJ555" s="14" t="str">
        <f t="shared" si="540"/>
        <v/>
      </c>
      <c r="GK555" s="14" t="str">
        <f t="shared" si="541"/>
        <v/>
      </c>
      <c r="GL555" s="14">
        <f t="shared" si="561"/>
        <v>20340</v>
      </c>
      <c r="GM555" s="14">
        <f t="shared" si="542"/>
        <v>3</v>
      </c>
      <c r="GN555" s="14">
        <f t="shared" si="543"/>
        <v>2034</v>
      </c>
      <c r="GO555" s="25" t="s">
        <v>1471</v>
      </c>
      <c r="GP555" s="14">
        <f t="shared" si="562"/>
        <v>100</v>
      </c>
    </row>
    <row r="556" spans="148:199" ht="16.5" x14ac:dyDescent="0.2">
      <c r="ER556" s="30"/>
      <c r="EU556" s="13">
        <v>551</v>
      </c>
      <c r="EV556" s="14">
        <f t="shared" si="563"/>
        <v>2</v>
      </c>
      <c r="EW556" s="14">
        <f t="shared" si="531"/>
        <v>116</v>
      </c>
      <c r="EX556" s="14">
        <f t="shared" si="564"/>
        <v>15</v>
      </c>
      <c r="EY556" s="14">
        <f t="shared" si="532"/>
        <v>42</v>
      </c>
      <c r="EZ556" s="14">
        <f t="shared" si="544"/>
        <v>14</v>
      </c>
      <c r="FA556" s="14">
        <f t="shared" si="545"/>
        <v>50</v>
      </c>
      <c r="FB556" s="14">
        <f t="shared" si="546"/>
        <v>4</v>
      </c>
      <c r="FC556" s="14">
        <f t="shared" si="547"/>
        <v>6</v>
      </c>
      <c r="FD556" s="14">
        <f t="shared" si="548"/>
        <v>6</v>
      </c>
      <c r="FE556" s="14" t="b">
        <f t="shared" si="565"/>
        <v>1</v>
      </c>
      <c r="FF556" s="14">
        <f t="shared" si="549"/>
        <v>2103426</v>
      </c>
      <c r="FG556" s="13" t="str">
        <f t="shared" si="550"/>
        <v>50级-防御套守护灵の护手</v>
      </c>
      <c r="FH556" s="14">
        <f t="shared" si="551"/>
        <v>2</v>
      </c>
      <c r="FI556" s="14">
        <f t="shared" si="552"/>
        <v>4</v>
      </c>
      <c r="FJ556" s="14">
        <f t="shared" si="553"/>
        <v>50</v>
      </c>
      <c r="FK556" s="14">
        <v>117</v>
      </c>
      <c r="FL556" s="14">
        <f t="shared" si="554"/>
        <v>3</v>
      </c>
      <c r="FM556" s="14">
        <f t="shared" si="533"/>
        <v>6</v>
      </c>
      <c r="FN556" s="14">
        <f t="shared" si="555"/>
        <v>210342</v>
      </c>
      <c r="FO556" s="14">
        <f t="shared" si="534"/>
        <v>108</v>
      </c>
      <c r="FP556" s="14">
        <f t="shared" si="566"/>
        <v>0</v>
      </c>
      <c r="FQ556" s="14">
        <f t="shared" si="567"/>
        <v>0</v>
      </c>
      <c r="FR556" s="14">
        <f t="shared" si="568"/>
        <v>930</v>
      </c>
      <c r="FS556" s="14">
        <f t="shared" si="569"/>
        <v>0</v>
      </c>
      <c r="FT556" s="14">
        <f t="shared" si="570"/>
        <v>0</v>
      </c>
      <c r="FU556" s="14">
        <f t="shared" si="571"/>
        <v>72</v>
      </c>
      <c r="FV556" s="14">
        <f t="shared" si="556"/>
        <v>2034</v>
      </c>
      <c r="FW556" s="14">
        <f t="shared" si="557"/>
        <v>3</v>
      </c>
      <c r="FX556" s="14">
        <f t="shared" si="558"/>
        <v>2034</v>
      </c>
      <c r="FY556" s="25" t="str">
        <f t="shared" si="572"/>
        <v>icon_2103426</v>
      </c>
      <c r="GC556" s="14">
        <f t="shared" si="559"/>
        <v>3</v>
      </c>
      <c r="GD556" s="14">
        <f t="shared" si="560"/>
        <v>0</v>
      </c>
      <c r="GE556" s="14">
        <f t="shared" si="535"/>
        <v>108</v>
      </c>
      <c r="GF556" s="14" t="str">
        <f t="shared" si="536"/>
        <v>HPExt</v>
      </c>
      <c r="GG556" s="14">
        <f t="shared" si="537"/>
        <v>930</v>
      </c>
      <c r="GH556" s="14">
        <f t="shared" si="538"/>
        <v>72</v>
      </c>
      <c r="GI556" s="14" t="str">
        <f t="shared" si="539"/>
        <v/>
      </c>
      <c r="GJ556" s="14" t="str">
        <f t="shared" si="540"/>
        <v/>
      </c>
      <c r="GK556" s="14" t="str">
        <f t="shared" si="541"/>
        <v/>
      </c>
      <c r="GL556" s="14">
        <f t="shared" si="561"/>
        <v>20340</v>
      </c>
      <c r="GM556" s="14">
        <f t="shared" si="542"/>
        <v>3</v>
      </c>
      <c r="GN556" s="14">
        <f t="shared" si="543"/>
        <v>2034</v>
      </c>
      <c r="GO556" s="25" t="s">
        <v>1471</v>
      </c>
      <c r="GP556" s="14">
        <f t="shared" si="562"/>
        <v>100</v>
      </c>
    </row>
    <row r="557" spans="148:199" ht="16.5" x14ac:dyDescent="0.2">
      <c r="ER557" s="30"/>
      <c r="EU557" s="13">
        <v>552</v>
      </c>
      <c r="EV557" s="14">
        <f t="shared" si="563"/>
        <v>2</v>
      </c>
      <c r="EW557" s="14">
        <f t="shared" si="531"/>
        <v>117</v>
      </c>
      <c r="EX557" s="14">
        <f t="shared" si="564"/>
        <v>16</v>
      </c>
      <c r="EY557" s="14">
        <f t="shared" si="532"/>
        <v>10</v>
      </c>
      <c r="EZ557" s="14">
        <f t="shared" si="544"/>
        <v>15</v>
      </c>
      <c r="FA557" s="14">
        <f t="shared" si="545"/>
        <v>70</v>
      </c>
      <c r="FB557" s="14">
        <f t="shared" si="546"/>
        <v>1</v>
      </c>
      <c r="FC557" s="14">
        <f t="shared" si="547"/>
        <v>1</v>
      </c>
      <c r="FD557" s="14">
        <f t="shared" si="548"/>
        <v>1</v>
      </c>
      <c r="FE557" s="14" t="b">
        <f t="shared" si="565"/>
        <v>0</v>
      </c>
      <c r="FF557" s="14">
        <f t="shared" si="549"/>
        <v>2104101</v>
      </c>
      <c r="FG557" s="13" t="str">
        <f t="shared" si="550"/>
        <v>70级-普通守护灵の灵器</v>
      </c>
      <c r="FH557" s="14">
        <f t="shared" si="551"/>
        <v>2</v>
      </c>
      <c r="FI557" s="14">
        <f t="shared" si="552"/>
        <v>1</v>
      </c>
      <c r="FJ557" s="14">
        <f t="shared" si="553"/>
        <v>70</v>
      </c>
      <c r="FK557" s="14">
        <v>118</v>
      </c>
      <c r="FL557" s="14">
        <f t="shared" si="554"/>
        <v>4</v>
      </c>
      <c r="FM557" s="14">
        <f t="shared" si="533"/>
        <v>1</v>
      </c>
      <c r="FN557" s="14" t="str">
        <f t="shared" si="555"/>
        <v/>
      </c>
      <c r="FO557" s="14">
        <f t="shared" si="534"/>
        <v>70</v>
      </c>
      <c r="FP557" s="14">
        <f t="shared" si="566"/>
        <v>255</v>
      </c>
      <c r="FQ557" s="14">
        <f t="shared" si="567"/>
        <v>0</v>
      </c>
      <c r="FR557" s="14">
        <f t="shared" si="568"/>
        <v>0</v>
      </c>
      <c r="FS557" s="14">
        <f t="shared" si="569"/>
        <v>14</v>
      </c>
      <c r="FT557" s="14">
        <f t="shared" si="570"/>
        <v>0</v>
      </c>
      <c r="FU557" s="14">
        <f t="shared" si="571"/>
        <v>0</v>
      </c>
      <c r="FV557" s="14">
        <f t="shared" si="556"/>
        <v>2041</v>
      </c>
      <c r="FW557" s="14">
        <f t="shared" si="557"/>
        <v>0</v>
      </c>
      <c r="FX557" s="14" t="str">
        <f t="shared" si="558"/>
        <v/>
      </c>
      <c r="FY557" s="25" t="str">
        <f t="shared" si="572"/>
        <v>icon_2104101</v>
      </c>
      <c r="GC557" s="14">
        <f t="shared" si="559"/>
        <v>1</v>
      </c>
      <c r="GD557" s="14">
        <f t="shared" si="560"/>
        <v>0</v>
      </c>
      <c r="GE557" s="14">
        <f t="shared" si="535"/>
        <v>70</v>
      </c>
      <c r="GF557" s="14" t="str">
        <f t="shared" si="536"/>
        <v>AtkExt</v>
      </c>
      <c r="GG557" s="14">
        <f t="shared" si="537"/>
        <v>255</v>
      </c>
      <c r="GH557" s="14">
        <f t="shared" si="538"/>
        <v>14</v>
      </c>
      <c r="GI557" s="14" t="str">
        <f t="shared" si="539"/>
        <v/>
      </c>
      <c r="GJ557" s="14" t="str">
        <f t="shared" si="540"/>
        <v/>
      </c>
      <c r="GK557" s="14" t="str">
        <f t="shared" si="541"/>
        <v/>
      </c>
      <c r="GL557" s="14">
        <f t="shared" si="561"/>
        <v>20410</v>
      </c>
      <c r="GM557" s="14">
        <f t="shared" si="542"/>
        <v>0</v>
      </c>
      <c r="GN557" s="14" t="str">
        <f t="shared" si="543"/>
        <v/>
      </c>
      <c r="GO557" s="25" t="s">
        <v>1471</v>
      </c>
      <c r="GP557" s="14">
        <f t="shared" si="562"/>
        <v>30</v>
      </c>
    </row>
    <row r="558" spans="148:199" ht="16.5" x14ac:dyDescent="0.2">
      <c r="ER558" s="30"/>
      <c r="EU558" s="13">
        <v>553</v>
      </c>
      <c r="EV558" s="14">
        <f t="shared" si="563"/>
        <v>2</v>
      </c>
      <c r="EW558" s="14">
        <f t="shared" si="531"/>
        <v>118</v>
      </c>
      <c r="EX558" s="14">
        <f t="shared" si="564"/>
        <v>16</v>
      </c>
      <c r="EY558" s="14">
        <f t="shared" si="532"/>
        <v>10</v>
      </c>
      <c r="EZ558" s="14">
        <f t="shared" si="544"/>
        <v>15</v>
      </c>
      <c r="FA558" s="14">
        <f t="shared" si="545"/>
        <v>70</v>
      </c>
      <c r="FB558" s="14">
        <f t="shared" si="546"/>
        <v>1</v>
      </c>
      <c r="FC558" s="14">
        <f t="shared" si="547"/>
        <v>2</v>
      </c>
      <c r="FD558" s="14">
        <f t="shared" si="548"/>
        <v>2</v>
      </c>
      <c r="FE558" s="14" t="b">
        <f t="shared" si="565"/>
        <v>0</v>
      </c>
      <c r="FF558" s="14">
        <f t="shared" si="549"/>
        <v>2104102</v>
      </c>
      <c r="FG558" s="13" t="str">
        <f t="shared" si="550"/>
        <v>70级-普通守护灵の头盔</v>
      </c>
      <c r="FH558" s="14">
        <f t="shared" si="551"/>
        <v>2</v>
      </c>
      <c r="FI558" s="14">
        <f t="shared" si="552"/>
        <v>1</v>
      </c>
      <c r="FJ558" s="14">
        <f t="shared" si="553"/>
        <v>70</v>
      </c>
      <c r="FK558" s="14">
        <v>119</v>
      </c>
      <c r="FL558" s="14">
        <f t="shared" si="554"/>
        <v>4</v>
      </c>
      <c r="FM558" s="14">
        <f t="shared" si="533"/>
        <v>2</v>
      </c>
      <c r="FN558" s="14" t="str">
        <f t="shared" si="555"/>
        <v/>
      </c>
      <c r="FO558" s="14">
        <f t="shared" si="534"/>
        <v>40</v>
      </c>
      <c r="FP558" s="14">
        <f t="shared" si="566"/>
        <v>0</v>
      </c>
      <c r="FQ558" s="14">
        <f t="shared" si="567"/>
        <v>65</v>
      </c>
      <c r="FR558" s="14">
        <f t="shared" si="568"/>
        <v>0</v>
      </c>
      <c r="FS558" s="14">
        <f t="shared" si="569"/>
        <v>0</v>
      </c>
      <c r="FT558" s="14">
        <f t="shared" si="570"/>
        <v>4</v>
      </c>
      <c r="FU558" s="14">
        <f t="shared" si="571"/>
        <v>0</v>
      </c>
      <c r="FV558" s="14">
        <f t="shared" si="556"/>
        <v>2041</v>
      </c>
      <c r="FW558" s="14">
        <f t="shared" si="557"/>
        <v>0</v>
      </c>
      <c r="FX558" s="14" t="str">
        <f t="shared" si="558"/>
        <v/>
      </c>
      <c r="FY558" s="25" t="str">
        <f t="shared" si="572"/>
        <v>icon_2104102</v>
      </c>
      <c r="GC558" s="14">
        <f t="shared" si="559"/>
        <v>2</v>
      </c>
      <c r="GD558" s="14">
        <f t="shared" si="560"/>
        <v>0</v>
      </c>
      <c r="GE558" s="14">
        <f t="shared" si="535"/>
        <v>40</v>
      </c>
      <c r="GF558" s="14" t="str">
        <f t="shared" si="536"/>
        <v>DefExt</v>
      </c>
      <c r="GG558" s="14">
        <f t="shared" si="537"/>
        <v>65</v>
      </c>
      <c r="GH558" s="14">
        <f t="shared" si="538"/>
        <v>4</v>
      </c>
      <c r="GI558" s="14" t="str">
        <f t="shared" si="539"/>
        <v/>
      </c>
      <c r="GJ558" s="14" t="str">
        <f t="shared" si="540"/>
        <v/>
      </c>
      <c r="GK558" s="14" t="str">
        <f t="shared" si="541"/>
        <v/>
      </c>
      <c r="GL558" s="14">
        <f t="shared" si="561"/>
        <v>20410</v>
      </c>
      <c r="GM558" s="14">
        <f t="shared" si="542"/>
        <v>0</v>
      </c>
      <c r="GN558" s="14" t="str">
        <f t="shared" si="543"/>
        <v/>
      </c>
      <c r="GO558" s="25" t="s">
        <v>1471</v>
      </c>
      <c r="GP558" s="14">
        <f t="shared" si="562"/>
        <v>15</v>
      </c>
    </row>
    <row r="559" spans="148:199" ht="16.5" x14ac:dyDescent="0.2">
      <c r="ER559" s="30"/>
      <c r="EU559" s="13">
        <v>554</v>
      </c>
      <c r="EV559" s="14">
        <f t="shared" si="563"/>
        <v>2</v>
      </c>
      <c r="EW559" s="14">
        <f t="shared" si="531"/>
        <v>119</v>
      </c>
      <c r="EX559" s="14">
        <f t="shared" si="564"/>
        <v>16</v>
      </c>
      <c r="EY559" s="14">
        <f t="shared" si="532"/>
        <v>10</v>
      </c>
      <c r="EZ559" s="14">
        <f t="shared" si="544"/>
        <v>15</v>
      </c>
      <c r="FA559" s="14">
        <f t="shared" si="545"/>
        <v>70</v>
      </c>
      <c r="FB559" s="14">
        <f t="shared" si="546"/>
        <v>1</v>
      </c>
      <c r="FC559" s="14">
        <f t="shared" si="547"/>
        <v>3</v>
      </c>
      <c r="FD559" s="14">
        <f t="shared" si="548"/>
        <v>3</v>
      </c>
      <c r="FE559" s="14" t="b">
        <f t="shared" si="565"/>
        <v>0</v>
      </c>
      <c r="FF559" s="14">
        <f t="shared" si="549"/>
        <v>2104103</v>
      </c>
      <c r="FG559" s="13" t="str">
        <f t="shared" si="550"/>
        <v>70级-普通守护灵の铠甲</v>
      </c>
      <c r="FH559" s="14">
        <f t="shared" si="551"/>
        <v>2</v>
      </c>
      <c r="FI559" s="14">
        <f t="shared" si="552"/>
        <v>1</v>
      </c>
      <c r="FJ559" s="14">
        <f t="shared" si="553"/>
        <v>70</v>
      </c>
      <c r="FK559" s="14">
        <v>120</v>
      </c>
      <c r="FL559" s="14">
        <f t="shared" si="554"/>
        <v>4</v>
      </c>
      <c r="FM559" s="14">
        <f t="shared" si="533"/>
        <v>3</v>
      </c>
      <c r="FN559" s="14" t="str">
        <f t="shared" si="555"/>
        <v/>
      </c>
      <c r="FO559" s="14">
        <f t="shared" si="534"/>
        <v>47</v>
      </c>
      <c r="FP559" s="14">
        <f t="shared" si="566"/>
        <v>0</v>
      </c>
      <c r="FQ559" s="14">
        <f t="shared" si="567"/>
        <v>30</v>
      </c>
      <c r="FR559" s="14">
        <f t="shared" si="568"/>
        <v>485</v>
      </c>
      <c r="FS559" s="14">
        <f t="shared" si="569"/>
        <v>0</v>
      </c>
      <c r="FT559" s="14">
        <f t="shared" si="570"/>
        <v>2</v>
      </c>
      <c r="FU559" s="14">
        <f t="shared" si="571"/>
        <v>27</v>
      </c>
      <c r="FV559" s="14">
        <f t="shared" si="556"/>
        <v>2041</v>
      </c>
      <c r="FW559" s="14">
        <f t="shared" si="557"/>
        <v>0</v>
      </c>
      <c r="FX559" s="14" t="str">
        <f t="shared" si="558"/>
        <v/>
      </c>
      <c r="FY559" s="25" t="str">
        <f t="shared" si="572"/>
        <v>icon_2104103</v>
      </c>
      <c r="GC559" s="14">
        <f t="shared" si="559"/>
        <v>2</v>
      </c>
      <c r="GD559" s="14">
        <f t="shared" si="560"/>
        <v>3</v>
      </c>
      <c r="GE559" s="14">
        <f t="shared" si="535"/>
        <v>47</v>
      </c>
      <c r="GF559" s="14" t="str">
        <f t="shared" si="536"/>
        <v>DefExt</v>
      </c>
      <c r="GG559" s="14">
        <f t="shared" si="537"/>
        <v>30</v>
      </c>
      <c r="GH559" s="14">
        <f t="shared" si="538"/>
        <v>2</v>
      </c>
      <c r="GI559" s="14" t="str">
        <f t="shared" si="539"/>
        <v>HPExt</v>
      </c>
      <c r="GJ559" s="14">
        <f t="shared" si="540"/>
        <v>485</v>
      </c>
      <c r="GK559" s="14">
        <f t="shared" si="541"/>
        <v>27</v>
      </c>
      <c r="GL559" s="14">
        <f t="shared" si="561"/>
        <v>20410</v>
      </c>
      <c r="GM559" s="14">
        <f t="shared" si="542"/>
        <v>0</v>
      </c>
      <c r="GN559" s="14" t="str">
        <f t="shared" si="543"/>
        <v/>
      </c>
      <c r="GO559" s="25" t="s">
        <v>1471</v>
      </c>
      <c r="GP559" s="14">
        <f t="shared" si="562"/>
        <v>15</v>
      </c>
    </row>
    <row r="560" spans="148:199" ht="16.5" x14ac:dyDescent="0.2">
      <c r="ER560" s="30"/>
      <c r="EU560" s="13">
        <v>555</v>
      </c>
      <c r="EV560" s="14">
        <f t="shared" si="563"/>
        <v>2</v>
      </c>
      <c r="EW560" s="14">
        <f t="shared" si="531"/>
        <v>120</v>
      </c>
      <c r="EX560" s="14">
        <f t="shared" si="564"/>
        <v>16</v>
      </c>
      <c r="EY560" s="14">
        <f t="shared" si="532"/>
        <v>10</v>
      </c>
      <c r="EZ560" s="14">
        <f t="shared" si="544"/>
        <v>15</v>
      </c>
      <c r="FA560" s="14">
        <f t="shared" si="545"/>
        <v>70</v>
      </c>
      <c r="FB560" s="14">
        <f t="shared" si="546"/>
        <v>1</v>
      </c>
      <c r="FC560" s="14">
        <f t="shared" si="547"/>
        <v>4</v>
      </c>
      <c r="FD560" s="14">
        <f t="shared" si="548"/>
        <v>4</v>
      </c>
      <c r="FE560" s="14" t="b">
        <f t="shared" si="565"/>
        <v>0</v>
      </c>
      <c r="FF560" s="14">
        <f t="shared" si="549"/>
        <v>2104104</v>
      </c>
      <c r="FG560" s="13" t="str">
        <f t="shared" si="550"/>
        <v>70级-普通守护灵の裤子</v>
      </c>
      <c r="FH560" s="14">
        <f t="shared" si="551"/>
        <v>2</v>
      </c>
      <c r="FI560" s="14">
        <f t="shared" si="552"/>
        <v>1</v>
      </c>
      <c r="FJ560" s="14">
        <f t="shared" si="553"/>
        <v>70</v>
      </c>
      <c r="FK560" s="14">
        <v>121</v>
      </c>
      <c r="FL560" s="14">
        <f t="shared" si="554"/>
        <v>4</v>
      </c>
      <c r="FM560" s="14">
        <f t="shared" si="533"/>
        <v>4</v>
      </c>
      <c r="FN560" s="14" t="str">
        <f t="shared" si="555"/>
        <v/>
      </c>
      <c r="FO560" s="14">
        <f t="shared" si="534"/>
        <v>40</v>
      </c>
      <c r="FP560" s="14">
        <f t="shared" si="566"/>
        <v>0</v>
      </c>
      <c r="FQ560" s="14">
        <f t="shared" si="567"/>
        <v>65</v>
      </c>
      <c r="FR560" s="14">
        <f t="shared" si="568"/>
        <v>0</v>
      </c>
      <c r="FS560" s="14">
        <f t="shared" si="569"/>
        <v>0</v>
      </c>
      <c r="FT560" s="14">
        <f t="shared" si="570"/>
        <v>4</v>
      </c>
      <c r="FU560" s="14">
        <f t="shared" si="571"/>
        <v>0</v>
      </c>
      <c r="FV560" s="14">
        <f t="shared" si="556"/>
        <v>2041</v>
      </c>
      <c r="FW560" s="14">
        <f t="shared" si="557"/>
        <v>0</v>
      </c>
      <c r="FX560" s="14" t="str">
        <f t="shared" si="558"/>
        <v/>
      </c>
      <c r="FY560" s="25" t="str">
        <f t="shared" si="572"/>
        <v>icon_2104104</v>
      </c>
      <c r="GC560" s="14">
        <f t="shared" si="559"/>
        <v>2</v>
      </c>
      <c r="GD560" s="14">
        <f t="shared" si="560"/>
        <v>0</v>
      </c>
      <c r="GE560" s="14">
        <f t="shared" si="535"/>
        <v>40</v>
      </c>
      <c r="GF560" s="14" t="str">
        <f t="shared" si="536"/>
        <v>DefExt</v>
      </c>
      <c r="GG560" s="14">
        <f t="shared" si="537"/>
        <v>65</v>
      </c>
      <c r="GH560" s="14">
        <f t="shared" si="538"/>
        <v>4</v>
      </c>
      <c r="GI560" s="14" t="str">
        <f t="shared" si="539"/>
        <v/>
      </c>
      <c r="GJ560" s="14" t="str">
        <f t="shared" si="540"/>
        <v/>
      </c>
      <c r="GK560" s="14" t="str">
        <f t="shared" si="541"/>
        <v/>
      </c>
      <c r="GL560" s="14">
        <f t="shared" si="561"/>
        <v>20410</v>
      </c>
      <c r="GM560" s="14">
        <f t="shared" si="542"/>
        <v>0</v>
      </c>
      <c r="GN560" s="14" t="str">
        <f t="shared" si="543"/>
        <v/>
      </c>
      <c r="GO560" s="25" t="s">
        <v>1471</v>
      </c>
      <c r="GP560" s="14">
        <f t="shared" si="562"/>
        <v>15</v>
      </c>
    </row>
    <row r="561" spans="148:198" ht="16.5" x14ac:dyDescent="0.2">
      <c r="ER561" s="30"/>
      <c r="EU561" s="13">
        <v>556</v>
      </c>
      <c r="EV561" s="14">
        <f t="shared" si="563"/>
        <v>2</v>
      </c>
      <c r="EW561" s="14">
        <f t="shared" si="531"/>
        <v>121</v>
      </c>
      <c r="EX561" s="14">
        <f t="shared" si="564"/>
        <v>16</v>
      </c>
      <c r="EY561" s="14">
        <f t="shared" si="532"/>
        <v>10</v>
      </c>
      <c r="EZ561" s="14">
        <f t="shared" si="544"/>
        <v>15</v>
      </c>
      <c r="FA561" s="14">
        <f t="shared" si="545"/>
        <v>70</v>
      </c>
      <c r="FB561" s="14">
        <f t="shared" si="546"/>
        <v>1</v>
      </c>
      <c r="FC561" s="14">
        <f t="shared" si="547"/>
        <v>5</v>
      </c>
      <c r="FD561" s="14">
        <f t="shared" si="548"/>
        <v>5</v>
      </c>
      <c r="FE561" s="14" t="b">
        <f t="shared" si="565"/>
        <v>0</v>
      </c>
      <c r="FF561" s="14">
        <f t="shared" si="549"/>
        <v>2104105</v>
      </c>
      <c r="FG561" s="13" t="str">
        <f t="shared" si="550"/>
        <v>70级-普通守护灵の鞋子</v>
      </c>
      <c r="FH561" s="14">
        <f t="shared" si="551"/>
        <v>2</v>
      </c>
      <c r="FI561" s="14">
        <f t="shared" si="552"/>
        <v>1</v>
      </c>
      <c r="FJ561" s="14">
        <f t="shared" si="553"/>
        <v>70</v>
      </c>
      <c r="FK561" s="14">
        <v>122</v>
      </c>
      <c r="FL561" s="14">
        <f t="shared" si="554"/>
        <v>4</v>
      </c>
      <c r="FM561" s="14">
        <f t="shared" si="533"/>
        <v>5</v>
      </c>
      <c r="FN561" s="14" t="str">
        <f t="shared" si="555"/>
        <v/>
      </c>
      <c r="FO561" s="14">
        <f t="shared" si="534"/>
        <v>54</v>
      </c>
      <c r="FP561" s="14">
        <f t="shared" si="566"/>
        <v>0</v>
      </c>
      <c r="FQ561" s="14">
        <f t="shared" si="567"/>
        <v>0</v>
      </c>
      <c r="FR561" s="14">
        <f t="shared" si="568"/>
        <v>970</v>
      </c>
      <c r="FS561" s="14">
        <f t="shared" si="569"/>
        <v>0</v>
      </c>
      <c r="FT561" s="14">
        <f t="shared" si="570"/>
        <v>0</v>
      </c>
      <c r="FU561" s="14">
        <f t="shared" si="571"/>
        <v>54</v>
      </c>
      <c r="FV561" s="14">
        <f t="shared" si="556"/>
        <v>2041</v>
      </c>
      <c r="FW561" s="14">
        <f t="shared" si="557"/>
        <v>0</v>
      </c>
      <c r="FX561" s="14" t="str">
        <f t="shared" si="558"/>
        <v/>
      </c>
      <c r="FY561" s="25" t="str">
        <f t="shared" si="572"/>
        <v>icon_2104105</v>
      </c>
      <c r="GC561" s="14">
        <f t="shared" si="559"/>
        <v>3</v>
      </c>
      <c r="GD561" s="14">
        <f t="shared" si="560"/>
        <v>0</v>
      </c>
      <c r="GE561" s="14">
        <f t="shared" si="535"/>
        <v>54</v>
      </c>
      <c r="GF561" s="14" t="str">
        <f t="shared" si="536"/>
        <v>HPExt</v>
      </c>
      <c r="GG561" s="14">
        <f t="shared" si="537"/>
        <v>970</v>
      </c>
      <c r="GH561" s="14">
        <f t="shared" si="538"/>
        <v>54</v>
      </c>
      <c r="GI561" s="14" t="str">
        <f t="shared" si="539"/>
        <v/>
      </c>
      <c r="GJ561" s="14" t="str">
        <f t="shared" si="540"/>
        <v/>
      </c>
      <c r="GK561" s="14" t="str">
        <f t="shared" si="541"/>
        <v/>
      </c>
      <c r="GL561" s="14">
        <f t="shared" si="561"/>
        <v>20410</v>
      </c>
      <c r="GM561" s="14">
        <f t="shared" si="542"/>
        <v>0</v>
      </c>
      <c r="GN561" s="14" t="str">
        <f t="shared" si="543"/>
        <v/>
      </c>
      <c r="GO561" s="25" t="s">
        <v>1471</v>
      </c>
      <c r="GP561" s="14">
        <f t="shared" si="562"/>
        <v>15</v>
      </c>
    </row>
    <row r="562" spans="148:198" ht="16.5" x14ac:dyDescent="0.2">
      <c r="ER562" s="30"/>
      <c r="EU562" s="13">
        <v>557</v>
      </c>
      <c r="EV562" s="14">
        <f t="shared" si="563"/>
        <v>2</v>
      </c>
      <c r="EW562" s="14">
        <f t="shared" si="531"/>
        <v>122</v>
      </c>
      <c r="EX562" s="14">
        <f t="shared" si="564"/>
        <v>16</v>
      </c>
      <c r="EY562" s="14">
        <f t="shared" si="532"/>
        <v>10</v>
      </c>
      <c r="EZ562" s="14">
        <f t="shared" si="544"/>
        <v>15</v>
      </c>
      <c r="FA562" s="14">
        <f t="shared" si="545"/>
        <v>70</v>
      </c>
      <c r="FB562" s="14">
        <f t="shared" si="546"/>
        <v>1</v>
      </c>
      <c r="FC562" s="14">
        <f t="shared" si="547"/>
        <v>6</v>
      </c>
      <c r="FD562" s="14">
        <f t="shared" si="548"/>
        <v>6</v>
      </c>
      <c r="FE562" s="14" t="b">
        <f t="shared" si="565"/>
        <v>0</v>
      </c>
      <c r="FF562" s="14">
        <f t="shared" si="549"/>
        <v>2104106</v>
      </c>
      <c r="FG562" s="13" t="str">
        <f t="shared" si="550"/>
        <v>70级-普通守护灵の护手</v>
      </c>
      <c r="FH562" s="14">
        <f t="shared" si="551"/>
        <v>2</v>
      </c>
      <c r="FI562" s="14">
        <f t="shared" si="552"/>
        <v>1</v>
      </c>
      <c r="FJ562" s="14">
        <f t="shared" si="553"/>
        <v>70</v>
      </c>
      <c r="FK562" s="14">
        <v>123</v>
      </c>
      <c r="FL562" s="14">
        <f t="shared" si="554"/>
        <v>4</v>
      </c>
      <c r="FM562" s="14">
        <f t="shared" si="533"/>
        <v>6</v>
      </c>
      <c r="FN562" s="14" t="str">
        <f t="shared" si="555"/>
        <v/>
      </c>
      <c r="FO562" s="14">
        <f t="shared" si="534"/>
        <v>54</v>
      </c>
      <c r="FP562" s="14">
        <f t="shared" si="566"/>
        <v>0</v>
      </c>
      <c r="FQ562" s="14">
        <f t="shared" si="567"/>
        <v>0</v>
      </c>
      <c r="FR562" s="14">
        <f t="shared" si="568"/>
        <v>970</v>
      </c>
      <c r="FS562" s="14">
        <f t="shared" si="569"/>
        <v>0</v>
      </c>
      <c r="FT562" s="14">
        <f t="shared" si="570"/>
        <v>0</v>
      </c>
      <c r="FU562" s="14">
        <f t="shared" si="571"/>
        <v>54</v>
      </c>
      <c r="FV562" s="14">
        <f t="shared" si="556"/>
        <v>2041</v>
      </c>
      <c r="FW562" s="14">
        <f t="shared" si="557"/>
        <v>0</v>
      </c>
      <c r="FX562" s="14" t="str">
        <f t="shared" si="558"/>
        <v/>
      </c>
      <c r="FY562" s="25" t="str">
        <f t="shared" si="572"/>
        <v>icon_2104106</v>
      </c>
      <c r="GC562" s="14">
        <f t="shared" si="559"/>
        <v>3</v>
      </c>
      <c r="GD562" s="14">
        <f t="shared" si="560"/>
        <v>0</v>
      </c>
      <c r="GE562" s="14">
        <f t="shared" si="535"/>
        <v>54</v>
      </c>
      <c r="GF562" s="14" t="str">
        <f t="shared" si="536"/>
        <v>HPExt</v>
      </c>
      <c r="GG562" s="14">
        <f t="shared" si="537"/>
        <v>970</v>
      </c>
      <c r="GH562" s="14">
        <f t="shared" si="538"/>
        <v>54</v>
      </c>
      <c r="GI562" s="14" t="str">
        <f t="shared" si="539"/>
        <v/>
      </c>
      <c r="GJ562" s="14" t="str">
        <f t="shared" si="540"/>
        <v/>
      </c>
      <c r="GK562" s="14" t="str">
        <f t="shared" si="541"/>
        <v/>
      </c>
      <c r="GL562" s="14">
        <f t="shared" si="561"/>
        <v>20410</v>
      </c>
      <c r="GM562" s="14">
        <f t="shared" si="542"/>
        <v>0</v>
      </c>
      <c r="GN562" s="14" t="str">
        <f t="shared" si="543"/>
        <v/>
      </c>
      <c r="GO562" s="25" t="s">
        <v>1471</v>
      </c>
      <c r="GP562" s="14">
        <f t="shared" si="562"/>
        <v>15</v>
      </c>
    </row>
    <row r="563" spans="148:198" ht="16.5" x14ac:dyDescent="0.2">
      <c r="ER563" s="30"/>
      <c r="EU563" s="13">
        <v>558</v>
      </c>
      <c r="EV563" s="14">
        <f t="shared" si="563"/>
        <v>2</v>
      </c>
      <c r="EW563" s="14">
        <f t="shared" si="531"/>
        <v>123</v>
      </c>
      <c r="EX563" s="14">
        <f t="shared" si="564"/>
        <v>16</v>
      </c>
      <c r="EY563" s="14">
        <f t="shared" si="532"/>
        <v>10</v>
      </c>
      <c r="EZ563" s="14">
        <f t="shared" si="544"/>
        <v>15</v>
      </c>
      <c r="FA563" s="14">
        <f t="shared" si="545"/>
        <v>70</v>
      </c>
      <c r="FB563" s="14">
        <f t="shared" si="546"/>
        <v>1</v>
      </c>
      <c r="FC563" s="14">
        <f t="shared" si="547"/>
        <v>7</v>
      </c>
      <c r="FD563" s="14">
        <f t="shared" si="548"/>
        <v>7</v>
      </c>
      <c r="FE563" s="14" t="b">
        <f t="shared" si="565"/>
        <v>0</v>
      </c>
      <c r="FF563" s="14">
        <f t="shared" si="549"/>
        <v>2104107</v>
      </c>
      <c r="FG563" s="13" t="str">
        <f t="shared" si="550"/>
        <v>70级-普通守护灵の项链</v>
      </c>
      <c r="FH563" s="14">
        <f t="shared" si="551"/>
        <v>2</v>
      </c>
      <c r="FI563" s="14">
        <f t="shared" si="552"/>
        <v>1</v>
      </c>
      <c r="FJ563" s="14">
        <f t="shared" si="553"/>
        <v>70</v>
      </c>
      <c r="FK563" s="14">
        <v>124</v>
      </c>
      <c r="FL563" s="14">
        <f t="shared" si="554"/>
        <v>4</v>
      </c>
      <c r="FM563" s="14">
        <f t="shared" si="533"/>
        <v>7</v>
      </c>
      <c r="FN563" s="14" t="str">
        <f t="shared" si="555"/>
        <v/>
      </c>
      <c r="FO563" s="14">
        <f t="shared" si="534"/>
        <v>55</v>
      </c>
      <c r="FP563" s="14">
        <f t="shared" si="566"/>
        <v>85</v>
      </c>
      <c r="FQ563" s="14">
        <f t="shared" si="567"/>
        <v>55</v>
      </c>
      <c r="FR563" s="14">
        <f t="shared" si="568"/>
        <v>0</v>
      </c>
      <c r="FS563" s="14">
        <f t="shared" si="569"/>
        <v>5</v>
      </c>
      <c r="FT563" s="14">
        <f t="shared" si="570"/>
        <v>3</v>
      </c>
      <c r="FU563" s="14">
        <f t="shared" si="571"/>
        <v>0</v>
      </c>
      <c r="FV563" s="14">
        <f t="shared" si="556"/>
        <v>2041</v>
      </c>
      <c r="FW563" s="14">
        <f t="shared" si="557"/>
        <v>0</v>
      </c>
      <c r="FX563" s="14" t="str">
        <f t="shared" si="558"/>
        <v/>
      </c>
      <c r="FY563" s="25" t="str">
        <f t="shared" si="572"/>
        <v>icon_2104107</v>
      </c>
      <c r="GC563" s="14">
        <f t="shared" si="559"/>
        <v>1</v>
      </c>
      <c r="GD563" s="14">
        <f t="shared" si="560"/>
        <v>2</v>
      </c>
      <c r="GE563" s="14">
        <f t="shared" si="535"/>
        <v>55</v>
      </c>
      <c r="GF563" s="14" t="str">
        <f t="shared" si="536"/>
        <v>AtkExt</v>
      </c>
      <c r="GG563" s="14">
        <f t="shared" si="537"/>
        <v>85</v>
      </c>
      <c r="GH563" s="14">
        <f t="shared" si="538"/>
        <v>5</v>
      </c>
      <c r="GI563" s="14" t="str">
        <f t="shared" si="539"/>
        <v>DefExt</v>
      </c>
      <c r="GJ563" s="14">
        <f t="shared" si="540"/>
        <v>55</v>
      </c>
      <c r="GK563" s="14">
        <f t="shared" si="541"/>
        <v>3</v>
      </c>
      <c r="GL563" s="14">
        <f t="shared" si="561"/>
        <v>20410</v>
      </c>
      <c r="GM563" s="14">
        <f t="shared" si="542"/>
        <v>0</v>
      </c>
      <c r="GN563" s="14" t="str">
        <f t="shared" si="543"/>
        <v/>
      </c>
      <c r="GO563" s="25" t="s">
        <v>1471</v>
      </c>
      <c r="GP563" s="14">
        <f t="shared" si="562"/>
        <v>23</v>
      </c>
    </row>
    <row r="564" spans="148:198" ht="16.5" x14ac:dyDescent="0.2">
      <c r="ER564" s="30"/>
      <c r="EU564" s="13">
        <v>559</v>
      </c>
      <c r="EV564" s="14">
        <f t="shared" si="563"/>
        <v>2</v>
      </c>
      <c r="EW564" s="14">
        <f t="shared" si="531"/>
        <v>124</v>
      </c>
      <c r="EX564" s="14">
        <f t="shared" si="564"/>
        <v>16</v>
      </c>
      <c r="EY564" s="14">
        <f t="shared" si="532"/>
        <v>10</v>
      </c>
      <c r="EZ564" s="14">
        <f t="shared" si="544"/>
        <v>15</v>
      </c>
      <c r="FA564" s="14">
        <f t="shared" si="545"/>
        <v>70</v>
      </c>
      <c r="FB564" s="14">
        <f t="shared" si="546"/>
        <v>1</v>
      </c>
      <c r="FC564" s="14">
        <f t="shared" si="547"/>
        <v>8</v>
      </c>
      <c r="FD564" s="14">
        <f t="shared" si="548"/>
        <v>8</v>
      </c>
      <c r="FE564" s="14" t="b">
        <f t="shared" si="565"/>
        <v>0</v>
      </c>
      <c r="FF564" s="14">
        <f t="shared" si="549"/>
        <v>2104108</v>
      </c>
      <c r="FG564" s="13" t="str">
        <f t="shared" si="550"/>
        <v>70级-普通守护灵の戒指</v>
      </c>
      <c r="FH564" s="14">
        <f t="shared" si="551"/>
        <v>2</v>
      </c>
      <c r="FI564" s="14">
        <f t="shared" si="552"/>
        <v>1</v>
      </c>
      <c r="FJ564" s="14">
        <f t="shared" si="553"/>
        <v>70</v>
      </c>
      <c r="FK564" s="14">
        <v>125</v>
      </c>
      <c r="FL564" s="14">
        <f t="shared" si="554"/>
        <v>4</v>
      </c>
      <c r="FM564" s="14">
        <f t="shared" si="533"/>
        <v>8</v>
      </c>
      <c r="FN564" s="14" t="str">
        <f t="shared" si="555"/>
        <v/>
      </c>
      <c r="FO564" s="14">
        <f t="shared" si="534"/>
        <v>70</v>
      </c>
      <c r="FP564" s="14">
        <f t="shared" si="566"/>
        <v>85</v>
      </c>
      <c r="FQ564" s="14">
        <f t="shared" si="567"/>
        <v>0</v>
      </c>
      <c r="FR564" s="14">
        <f t="shared" si="568"/>
        <v>810</v>
      </c>
      <c r="FS564" s="14">
        <f t="shared" si="569"/>
        <v>5</v>
      </c>
      <c r="FT564" s="14">
        <f t="shared" si="570"/>
        <v>0</v>
      </c>
      <c r="FU564" s="14">
        <f t="shared" si="571"/>
        <v>45</v>
      </c>
      <c r="FV564" s="14">
        <f t="shared" si="556"/>
        <v>2041</v>
      </c>
      <c r="FW564" s="14">
        <f t="shared" si="557"/>
        <v>0</v>
      </c>
      <c r="FX564" s="14" t="str">
        <f t="shared" si="558"/>
        <v/>
      </c>
      <c r="FY564" s="25" t="str">
        <f t="shared" si="572"/>
        <v>icon_2104108</v>
      </c>
      <c r="GC564" s="14">
        <f t="shared" si="559"/>
        <v>1</v>
      </c>
      <c r="GD564" s="14">
        <f t="shared" si="560"/>
        <v>3</v>
      </c>
      <c r="GE564" s="14">
        <f t="shared" si="535"/>
        <v>70</v>
      </c>
      <c r="GF564" s="14" t="str">
        <f t="shared" si="536"/>
        <v>AtkExt</v>
      </c>
      <c r="GG564" s="14">
        <f t="shared" si="537"/>
        <v>85</v>
      </c>
      <c r="GH564" s="14">
        <f t="shared" si="538"/>
        <v>5</v>
      </c>
      <c r="GI564" s="14" t="str">
        <f t="shared" si="539"/>
        <v>HPExt</v>
      </c>
      <c r="GJ564" s="14">
        <f t="shared" si="540"/>
        <v>810</v>
      </c>
      <c r="GK564" s="14">
        <f t="shared" si="541"/>
        <v>45</v>
      </c>
      <c r="GL564" s="14">
        <f t="shared" si="561"/>
        <v>20410</v>
      </c>
      <c r="GM564" s="14">
        <f t="shared" si="542"/>
        <v>0</v>
      </c>
      <c r="GN564" s="14" t="str">
        <f t="shared" si="543"/>
        <v/>
      </c>
      <c r="GO564" s="25" t="s">
        <v>1471</v>
      </c>
      <c r="GP564" s="14">
        <f t="shared" si="562"/>
        <v>23</v>
      </c>
    </row>
    <row r="565" spans="148:198" ht="16.5" x14ac:dyDescent="0.2">
      <c r="ER565" s="30"/>
      <c r="EU565" s="13">
        <v>560</v>
      </c>
      <c r="EV565" s="14">
        <f t="shared" si="563"/>
        <v>2</v>
      </c>
      <c r="EW565" s="14">
        <f t="shared" si="531"/>
        <v>125</v>
      </c>
      <c r="EX565" s="14">
        <f t="shared" si="564"/>
        <v>17</v>
      </c>
      <c r="EY565" s="14">
        <f t="shared" si="532"/>
        <v>20</v>
      </c>
      <c r="EZ565" s="14">
        <f t="shared" si="544"/>
        <v>15</v>
      </c>
      <c r="FA565" s="14">
        <f t="shared" si="545"/>
        <v>70</v>
      </c>
      <c r="FB565" s="14">
        <f t="shared" si="546"/>
        <v>2</v>
      </c>
      <c r="FC565" s="14">
        <f t="shared" si="547"/>
        <v>1</v>
      </c>
      <c r="FD565" s="14">
        <f t="shared" si="548"/>
        <v>1</v>
      </c>
      <c r="FE565" s="14" t="b">
        <f t="shared" si="565"/>
        <v>0</v>
      </c>
      <c r="FF565" s="14">
        <f t="shared" si="549"/>
        <v>2104201</v>
      </c>
      <c r="FG565" s="13" t="str">
        <f t="shared" si="550"/>
        <v>70级-优秀守护灵の灵器</v>
      </c>
      <c r="FH565" s="14">
        <f t="shared" si="551"/>
        <v>2</v>
      </c>
      <c r="FI565" s="14">
        <f t="shared" si="552"/>
        <v>2</v>
      </c>
      <c r="FJ565" s="14">
        <f t="shared" si="553"/>
        <v>70</v>
      </c>
      <c r="FK565" s="14">
        <v>126</v>
      </c>
      <c r="FL565" s="14">
        <f t="shared" si="554"/>
        <v>4</v>
      </c>
      <c r="FM565" s="14">
        <f t="shared" si="533"/>
        <v>1</v>
      </c>
      <c r="FN565" s="14" t="str">
        <f t="shared" si="555"/>
        <v/>
      </c>
      <c r="FO565" s="14">
        <f t="shared" si="534"/>
        <v>100</v>
      </c>
      <c r="FP565" s="14">
        <f t="shared" si="566"/>
        <v>355</v>
      </c>
      <c r="FQ565" s="14">
        <f t="shared" si="567"/>
        <v>0</v>
      </c>
      <c r="FR565" s="14">
        <f t="shared" si="568"/>
        <v>0</v>
      </c>
      <c r="FS565" s="14">
        <f t="shared" si="569"/>
        <v>20</v>
      </c>
      <c r="FT565" s="14">
        <f t="shared" si="570"/>
        <v>0</v>
      </c>
      <c r="FU565" s="14">
        <f t="shared" si="571"/>
        <v>0</v>
      </c>
      <c r="FV565" s="14">
        <f t="shared" si="556"/>
        <v>2042</v>
      </c>
      <c r="FW565" s="14">
        <f t="shared" si="557"/>
        <v>0</v>
      </c>
      <c r="FX565" s="14" t="str">
        <f t="shared" si="558"/>
        <v/>
      </c>
      <c r="FY565" s="25" t="str">
        <f t="shared" si="572"/>
        <v>icon_2104101</v>
      </c>
      <c r="GC565" s="14">
        <f t="shared" si="559"/>
        <v>1</v>
      </c>
      <c r="GD565" s="14">
        <f t="shared" si="560"/>
        <v>0</v>
      </c>
      <c r="GE565" s="14">
        <f t="shared" si="535"/>
        <v>100</v>
      </c>
      <c r="GF565" s="14" t="str">
        <f t="shared" si="536"/>
        <v>AtkExt</v>
      </c>
      <c r="GG565" s="14">
        <f t="shared" si="537"/>
        <v>355</v>
      </c>
      <c r="GH565" s="14">
        <f t="shared" si="538"/>
        <v>20</v>
      </c>
      <c r="GI565" s="14" t="str">
        <f t="shared" si="539"/>
        <v/>
      </c>
      <c r="GJ565" s="14" t="str">
        <f t="shared" si="540"/>
        <v/>
      </c>
      <c r="GK565" s="14" t="str">
        <f t="shared" si="541"/>
        <v/>
      </c>
      <c r="GL565" s="14">
        <f t="shared" si="561"/>
        <v>20420</v>
      </c>
      <c r="GM565" s="14">
        <f t="shared" si="542"/>
        <v>0</v>
      </c>
      <c r="GN565" s="14" t="str">
        <f t="shared" si="543"/>
        <v/>
      </c>
      <c r="GO565" s="25" t="s">
        <v>1471</v>
      </c>
      <c r="GP565" s="14">
        <f t="shared" si="562"/>
        <v>90</v>
      </c>
    </row>
    <row r="566" spans="148:198" ht="16.5" x14ac:dyDescent="0.2">
      <c r="ER566" s="30"/>
      <c r="EU566" s="13">
        <v>561</v>
      </c>
      <c r="EV566" s="14">
        <f t="shared" si="563"/>
        <v>2</v>
      </c>
      <c r="EW566" s="14">
        <f t="shared" si="531"/>
        <v>126</v>
      </c>
      <c r="EX566" s="14">
        <f t="shared" si="564"/>
        <v>17</v>
      </c>
      <c r="EY566" s="14">
        <f t="shared" si="532"/>
        <v>20</v>
      </c>
      <c r="EZ566" s="14">
        <f t="shared" si="544"/>
        <v>15</v>
      </c>
      <c r="FA566" s="14">
        <f t="shared" si="545"/>
        <v>70</v>
      </c>
      <c r="FB566" s="14">
        <f t="shared" si="546"/>
        <v>2</v>
      </c>
      <c r="FC566" s="14">
        <f t="shared" si="547"/>
        <v>2</v>
      </c>
      <c r="FD566" s="14">
        <f t="shared" si="548"/>
        <v>2</v>
      </c>
      <c r="FE566" s="14" t="b">
        <f t="shared" si="565"/>
        <v>0</v>
      </c>
      <c r="FF566" s="14">
        <f t="shared" si="549"/>
        <v>2104202</v>
      </c>
      <c r="FG566" s="13" t="str">
        <f t="shared" si="550"/>
        <v>70级-优秀守护灵の头盔</v>
      </c>
      <c r="FH566" s="14">
        <f t="shared" si="551"/>
        <v>2</v>
      </c>
      <c r="FI566" s="14">
        <f t="shared" si="552"/>
        <v>2</v>
      </c>
      <c r="FJ566" s="14">
        <f t="shared" si="553"/>
        <v>70</v>
      </c>
      <c r="FK566" s="14">
        <v>127</v>
      </c>
      <c r="FL566" s="14">
        <f t="shared" si="554"/>
        <v>4</v>
      </c>
      <c r="FM566" s="14">
        <f t="shared" si="533"/>
        <v>2</v>
      </c>
      <c r="FN566" s="14" t="str">
        <f t="shared" si="555"/>
        <v/>
      </c>
      <c r="FO566" s="14">
        <f t="shared" si="534"/>
        <v>50</v>
      </c>
      <c r="FP566" s="14">
        <f t="shared" si="566"/>
        <v>0</v>
      </c>
      <c r="FQ566" s="14">
        <f t="shared" si="567"/>
        <v>90</v>
      </c>
      <c r="FR566" s="14">
        <f t="shared" si="568"/>
        <v>0</v>
      </c>
      <c r="FS566" s="14">
        <f t="shared" si="569"/>
        <v>0</v>
      </c>
      <c r="FT566" s="14">
        <f t="shared" si="570"/>
        <v>5</v>
      </c>
      <c r="FU566" s="14">
        <f t="shared" si="571"/>
        <v>0</v>
      </c>
      <c r="FV566" s="14">
        <f t="shared" si="556"/>
        <v>2042</v>
      </c>
      <c r="FW566" s="14">
        <f t="shared" si="557"/>
        <v>0</v>
      </c>
      <c r="FX566" s="14" t="str">
        <f t="shared" si="558"/>
        <v/>
      </c>
      <c r="FY566" s="25" t="str">
        <f t="shared" si="572"/>
        <v>icon_2104102</v>
      </c>
      <c r="GC566" s="14">
        <f t="shared" si="559"/>
        <v>2</v>
      </c>
      <c r="GD566" s="14">
        <f t="shared" si="560"/>
        <v>0</v>
      </c>
      <c r="GE566" s="14">
        <f t="shared" si="535"/>
        <v>50</v>
      </c>
      <c r="GF566" s="14" t="str">
        <f t="shared" si="536"/>
        <v>DefExt</v>
      </c>
      <c r="GG566" s="14">
        <f t="shared" si="537"/>
        <v>90</v>
      </c>
      <c r="GH566" s="14">
        <f t="shared" si="538"/>
        <v>5</v>
      </c>
      <c r="GI566" s="14" t="str">
        <f t="shared" si="539"/>
        <v/>
      </c>
      <c r="GJ566" s="14" t="str">
        <f t="shared" si="540"/>
        <v/>
      </c>
      <c r="GK566" s="14" t="str">
        <f t="shared" si="541"/>
        <v/>
      </c>
      <c r="GL566" s="14">
        <f t="shared" si="561"/>
        <v>20420</v>
      </c>
      <c r="GM566" s="14">
        <f t="shared" si="542"/>
        <v>0</v>
      </c>
      <c r="GN566" s="14" t="str">
        <f t="shared" si="543"/>
        <v/>
      </c>
      <c r="GO566" s="25" t="s">
        <v>1471</v>
      </c>
      <c r="GP566" s="14">
        <f t="shared" si="562"/>
        <v>45</v>
      </c>
    </row>
    <row r="567" spans="148:198" ht="16.5" x14ac:dyDescent="0.2">
      <c r="ER567" s="30"/>
      <c r="EU567" s="13">
        <v>562</v>
      </c>
      <c r="EV567" s="14">
        <f t="shared" si="563"/>
        <v>2</v>
      </c>
      <c r="EW567" s="14">
        <f t="shared" si="531"/>
        <v>127</v>
      </c>
      <c r="EX567" s="14">
        <f t="shared" si="564"/>
        <v>17</v>
      </c>
      <c r="EY567" s="14">
        <f t="shared" si="532"/>
        <v>20</v>
      </c>
      <c r="EZ567" s="14">
        <f t="shared" si="544"/>
        <v>15</v>
      </c>
      <c r="FA567" s="14">
        <f t="shared" si="545"/>
        <v>70</v>
      </c>
      <c r="FB567" s="14">
        <f t="shared" si="546"/>
        <v>2</v>
      </c>
      <c r="FC567" s="14">
        <f t="shared" si="547"/>
        <v>3</v>
      </c>
      <c r="FD567" s="14">
        <f t="shared" si="548"/>
        <v>3</v>
      </c>
      <c r="FE567" s="14" t="b">
        <f t="shared" si="565"/>
        <v>0</v>
      </c>
      <c r="FF567" s="14">
        <f t="shared" si="549"/>
        <v>2104203</v>
      </c>
      <c r="FG567" s="13" t="str">
        <f t="shared" si="550"/>
        <v>70级-优秀守护灵の铠甲</v>
      </c>
      <c r="FH567" s="14">
        <f t="shared" si="551"/>
        <v>2</v>
      </c>
      <c r="FI567" s="14">
        <f t="shared" si="552"/>
        <v>2</v>
      </c>
      <c r="FJ567" s="14">
        <f t="shared" si="553"/>
        <v>70</v>
      </c>
      <c r="FK567" s="14">
        <v>128</v>
      </c>
      <c r="FL567" s="14">
        <f t="shared" si="554"/>
        <v>4</v>
      </c>
      <c r="FM567" s="14">
        <f t="shared" si="533"/>
        <v>3</v>
      </c>
      <c r="FN567" s="14" t="str">
        <f t="shared" si="555"/>
        <v/>
      </c>
      <c r="FO567" s="14">
        <f t="shared" si="534"/>
        <v>68</v>
      </c>
      <c r="FP567" s="14">
        <f t="shared" si="566"/>
        <v>0</v>
      </c>
      <c r="FQ567" s="14">
        <f t="shared" si="567"/>
        <v>45</v>
      </c>
      <c r="FR567" s="14">
        <f t="shared" si="568"/>
        <v>680</v>
      </c>
      <c r="FS567" s="14">
        <f t="shared" si="569"/>
        <v>0</v>
      </c>
      <c r="FT567" s="14">
        <f t="shared" si="570"/>
        <v>3</v>
      </c>
      <c r="FU567" s="14">
        <f t="shared" si="571"/>
        <v>38</v>
      </c>
      <c r="FV567" s="14">
        <f t="shared" si="556"/>
        <v>2042</v>
      </c>
      <c r="FW567" s="14">
        <f t="shared" si="557"/>
        <v>0</v>
      </c>
      <c r="FX567" s="14" t="str">
        <f t="shared" si="558"/>
        <v/>
      </c>
      <c r="FY567" s="25" t="str">
        <f t="shared" si="572"/>
        <v>icon_2104103</v>
      </c>
      <c r="GC567" s="14">
        <f t="shared" si="559"/>
        <v>2</v>
      </c>
      <c r="GD567" s="14">
        <f t="shared" si="560"/>
        <v>3</v>
      </c>
      <c r="GE567" s="14">
        <f t="shared" si="535"/>
        <v>68</v>
      </c>
      <c r="GF567" s="14" t="str">
        <f t="shared" si="536"/>
        <v>DefExt</v>
      </c>
      <c r="GG567" s="14">
        <f t="shared" si="537"/>
        <v>45</v>
      </c>
      <c r="GH567" s="14">
        <f t="shared" si="538"/>
        <v>3</v>
      </c>
      <c r="GI567" s="14" t="str">
        <f t="shared" si="539"/>
        <v>HPExt</v>
      </c>
      <c r="GJ567" s="14">
        <f t="shared" si="540"/>
        <v>680</v>
      </c>
      <c r="GK567" s="14">
        <f t="shared" si="541"/>
        <v>38</v>
      </c>
      <c r="GL567" s="14">
        <f t="shared" si="561"/>
        <v>20420</v>
      </c>
      <c r="GM567" s="14">
        <f t="shared" si="542"/>
        <v>0</v>
      </c>
      <c r="GN567" s="14" t="str">
        <f t="shared" si="543"/>
        <v/>
      </c>
      <c r="GO567" s="25" t="s">
        <v>1471</v>
      </c>
      <c r="GP567" s="14">
        <f t="shared" si="562"/>
        <v>45</v>
      </c>
    </row>
    <row r="568" spans="148:198" ht="16.5" x14ac:dyDescent="0.2">
      <c r="EU568" s="13">
        <v>563</v>
      </c>
      <c r="EV568" s="14">
        <f t="shared" si="563"/>
        <v>2</v>
      </c>
      <c r="EW568" s="14">
        <f t="shared" si="531"/>
        <v>128</v>
      </c>
      <c r="EX568" s="14">
        <f t="shared" si="564"/>
        <v>17</v>
      </c>
      <c r="EY568" s="14">
        <f t="shared" si="532"/>
        <v>20</v>
      </c>
      <c r="EZ568" s="14">
        <f t="shared" si="544"/>
        <v>15</v>
      </c>
      <c r="FA568" s="14">
        <f t="shared" si="545"/>
        <v>70</v>
      </c>
      <c r="FB568" s="14">
        <f t="shared" si="546"/>
        <v>2</v>
      </c>
      <c r="FC568" s="14">
        <f t="shared" si="547"/>
        <v>4</v>
      </c>
      <c r="FD568" s="14">
        <f t="shared" si="548"/>
        <v>4</v>
      </c>
      <c r="FE568" s="14" t="b">
        <f t="shared" si="565"/>
        <v>0</v>
      </c>
      <c r="FF568" s="14">
        <f t="shared" si="549"/>
        <v>2104204</v>
      </c>
      <c r="FG568" s="13" t="str">
        <f t="shared" si="550"/>
        <v>70级-优秀守护灵の裤子</v>
      </c>
      <c r="FH568" s="14">
        <f t="shared" si="551"/>
        <v>2</v>
      </c>
      <c r="FI568" s="14">
        <f t="shared" si="552"/>
        <v>2</v>
      </c>
      <c r="FJ568" s="14">
        <f t="shared" si="553"/>
        <v>70</v>
      </c>
      <c r="FK568" s="14">
        <v>129</v>
      </c>
      <c r="FL568" s="14">
        <f t="shared" si="554"/>
        <v>4</v>
      </c>
      <c r="FM568" s="14">
        <f t="shared" si="533"/>
        <v>4</v>
      </c>
      <c r="FN568" s="14" t="str">
        <f t="shared" si="555"/>
        <v/>
      </c>
      <c r="FO568" s="14">
        <f t="shared" si="534"/>
        <v>50</v>
      </c>
      <c r="FP568" s="14">
        <f t="shared" si="566"/>
        <v>0</v>
      </c>
      <c r="FQ568" s="14">
        <f t="shared" si="567"/>
        <v>90</v>
      </c>
      <c r="FR568" s="14">
        <f t="shared" si="568"/>
        <v>0</v>
      </c>
      <c r="FS568" s="14">
        <f t="shared" si="569"/>
        <v>0</v>
      </c>
      <c r="FT568" s="14">
        <f t="shared" si="570"/>
        <v>5</v>
      </c>
      <c r="FU568" s="14">
        <f t="shared" si="571"/>
        <v>0</v>
      </c>
      <c r="FV568" s="14">
        <f t="shared" si="556"/>
        <v>2042</v>
      </c>
      <c r="FW568" s="14">
        <f t="shared" si="557"/>
        <v>0</v>
      </c>
      <c r="FX568" s="14" t="str">
        <f t="shared" si="558"/>
        <v/>
      </c>
      <c r="FY568" s="25" t="str">
        <f t="shared" si="572"/>
        <v>icon_2104104</v>
      </c>
      <c r="GC568" s="14">
        <f t="shared" si="559"/>
        <v>2</v>
      </c>
      <c r="GD568" s="14">
        <f t="shared" si="560"/>
        <v>0</v>
      </c>
      <c r="GE568" s="14">
        <f t="shared" si="535"/>
        <v>50</v>
      </c>
      <c r="GF568" s="14" t="str">
        <f t="shared" si="536"/>
        <v>DefExt</v>
      </c>
      <c r="GG568" s="14">
        <f t="shared" si="537"/>
        <v>90</v>
      </c>
      <c r="GH568" s="14">
        <f t="shared" si="538"/>
        <v>5</v>
      </c>
      <c r="GI568" s="14" t="str">
        <f t="shared" si="539"/>
        <v/>
      </c>
      <c r="GJ568" s="14" t="str">
        <f t="shared" si="540"/>
        <v/>
      </c>
      <c r="GK568" s="14" t="str">
        <f t="shared" si="541"/>
        <v/>
      </c>
      <c r="GL568" s="14">
        <f t="shared" si="561"/>
        <v>20420</v>
      </c>
      <c r="GM568" s="14">
        <f t="shared" si="542"/>
        <v>0</v>
      </c>
      <c r="GN568" s="14" t="str">
        <f t="shared" si="543"/>
        <v/>
      </c>
      <c r="GO568" s="25" t="s">
        <v>1471</v>
      </c>
      <c r="GP568" s="14">
        <f t="shared" si="562"/>
        <v>45</v>
      </c>
    </row>
    <row r="569" spans="148:198" ht="16.5" x14ac:dyDescent="0.2">
      <c r="EU569" s="13">
        <v>564</v>
      </c>
      <c r="EV569" s="14">
        <f t="shared" si="563"/>
        <v>2</v>
      </c>
      <c r="EW569" s="14">
        <f t="shared" ref="EW569:EW632" si="584">MOD(EU569-1,$EV$3)+1</f>
        <v>129</v>
      </c>
      <c r="EX569" s="14">
        <f t="shared" si="564"/>
        <v>17</v>
      </c>
      <c r="EY569" s="14">
        <f t="shared" ref="EY569:EY632" si="585">INDEX($AK$7:$AK$64,EX569)</f>
        <v>20</v>
      </c>
      <c r="EZ569" s="14">
        <f t="shared" si="544"/>
        <v>15</v>
      </c>
      <c r="FA569" s="14">
        <f t="shared" si="545"/>
        <v>70</v>
      </c>
      <c r="FB569" s="14">
        <f t="shared" si="546"/>
        <v>2</v>
      </c>
      <c r="FC569" s="14">
        <f t="shared" si="547"/>
        <v>5</v>
      </c>
      <c r="FD569" s="14">
        <f t="shared" si="548"/>
        <v>5</v>
      </c>
      <c r="FE569" s="14" t="b">
        <f t="shared" si="565"/>
        <v>0</v>
      </c>
      <c r="FF569" s="14">
        <f t="shared" si="549"/>
        <v>2104205</v>
      </c>
      <c r="FG569" s="13" t="str">
        <f t="shared" si="550"/>
        <v>70级-优秀守护灵の鞋子</v>
      </c>
      <c r="FH569" s="14">
        <f t="shared" si="551"/>
        <v>2</v>
      </c>
      <c r="FI569" s="14">
        <f t="shared" si="552"/>
        <v>2</v>
      </c>
      <c r="FJ569" s="14">
        <f t="shared" si="553"/>
        <v>70</v>
      </c>
      <c r="FK569" s="14">
        <v>130</v>
      </c>
      <c r="FL569" s="14">
        <f t="shared" si="554"/>
        <v>4</v>
      </c>
      <c r="FM569" s="14">
        <f t="shared" ref="FM569:FM632" si="586">FD569</f>
        <v>5</v>
      </c>
      <c r="FN569" s="14" t="str">
        <f t="shared" si="555"/>
        <v/>
      </c>
      <c r="FO569" s="14">
        <f t="shared" ref="FO569:FO632" si="587">INT(SUMPRODUCT($FS$3:$FU$3,FS569:FU569)*IF(FN569="",1,1.5))</f>
        <v>75</v>
      </c>
      <c r="FP569" s="14">
        <f t="shared" si="566"/>
        <v>0</v>
      </c>
      <c r="FQ569" s="14">
        <f t="shared" si="567"/>
        <v>0</v>
      </c>
      <c r="FR569" s="14">
        <f t="shared" si="568"/>
        <v>1355</v>
      </c>
      <c r="FS569" s="14">
        <f t="shared" si="569"/>
        <v>0</v>
      </c>
      <c r="FT569" s="14">
        <f t="shared" si="570"/>
        <v>0</v>
      </c>
      <c r="FU569" s="14">
        <f t="shared" si="571"/>
        <v>75</v>
      </c>
      <c r="FV569" s="14">
        <f t="shared" si="556"/>
        <v>2042</v>
      </c>
      <c r="FW569" s="14">
        <f t="shared" si="557"/>
        <v>0</v>
      </c>
      <c r="FX569" s="14" t="str">
        <f t="shared" si="558"/>
        <v/>
      </c>
      <c r="FY569" s="25" t="str">
        <f t="shared" si="572"/>
        <v>icon_2104105</v>
      </c>
      <c r="GC569" s="14">
        <f t="shared" si="559"/>
        <v>3</v>
      </c>
      <c r="GD569" s="14">
        <f t="shared" si="560"/>
        <v>0</v>
      </c>
      <c r="GE569" s="14">
        <f t="shared" ref="GE569:GE632" si="588">FO569</f>
        <v>75</v>
      </c>
      <c r="GF569" s="14" t="str">
        <f t="shared" ref="GF569:GF632" si="589">INDEX($BH$3:$BJ$3,GC569)</f>
        <v>HPExt</v>
      </c>
      <c r="GG569" s="14">
        <f t="shared" ref="GG569:GG632" si="590">INDEX(FP569:FR569,GC569)</f>
        <v>1355</v>
      </c>
      <c r="GH569" s="14">
        <f t="shared" ref="GH569:GH632" si="591">INDEX(FS569:FU569,GC569)</f>
        <v>75</v>
      </c>
      <c r="GI569" s="14" t="str">
        <f t="shared" ref="GI569:GI632" si="592">IF(GD569&gt;0,INDEX($BH$3:$BJ$3,GD569),"")</f>
        <v/>
      </c>
      <c r="GJ569" s="14" t="str">
        <f t="shared" ref="GJ569:GJ632" si="593">IF(GD569&gt;0,INDEX(FP569:FR569,GD569),"")</f>
        <v/>
      </c>
      <c r="GK569" s="14" t="str">
        <f t="shared" ref="GK569:GK632" si="594">IF(GD569&gt;0,INDEX(FS569:FU569,GD569),"")</f>
        <v/>
      </c>
      <c r="GL569" s="14">
        <f t="shared" si="561"/>
        <v>20420</v>
      </c>
      <c r="GM569" s="14">
        <f t="shared" ref="GM569:GM632" si="595">FW569</f>
        <v>0</v>
      </c>
      <c r="GN569" s="14" t="str">
        <f t="shared" ref="GN569:GN632" si="596">FX569</f>
        <v/>
      </c>
      <c r="GO569" s="25" t="s">
        <v>1471</v>
      </c>
      <c r="GP569" s="14">
        <f t="shared" si="562"/>
        <v>45</v>
      </c>
    </row>
    <row r="570" spans="148:198" ht="16.5" x14ac:dyDescent="0.2">
      <c r="EU570" s="13">
        <v>565</v>
      </c>
      <c r="EV570" s="14">
        <f t="shared" si="563"/>
        <v>2</v>
      </c>
      <c r="EW570" s="14">
        <f t="shared" si="584"/>
        <v>130</v>
      </c>
      <c r="EX570" s="14">
        <f t="shared" si="564"/>
        <v>17</v>
      </c>
      <c r="EY570" s="14">
        <f t="shared" si="585"/>
        <v>20</v>
      </c>
      <c r="EZ570" s="14">
        <f t="shared" si="544"/>
        <v>15</v>
      </c>
      <c r="FA570" s="14">
        <f t="shared" si="545"/>
        <v>70</v>
      </c>
      <c r="FB570" s="14">
        <f t="shared" si="546"/>
        <v>2</v>
      </c>
      <c r="FC570" s="14">
        <f t="shared" si="547"/>
        <v>6</v>
      </c>
      <c r="FD570" s="14">
        <f t="shared" si="548"/>
        <v>6</v>
      </c>
      <c r="FE570" s="14" t="b">
        <f t="shared" si="565"/>
        <v>0</v>
      </c>
      <c r="FF570" s="14">
        <f t="shared" si="549"/>
        <v>2104206</v>
      </c>
      <c r="FG570" s="13" t="str">
        <f t="shared" si="550"/>
        <v>70级-优秀守护灵の护手</v>
      </c>
      <c r="FH570" s="14">
        <f t="shared" si="551"/>
        <v>2</v>
      </c>
      <c r="FI570" s="14">
        <f t="shared" si="552"/>
        <v>2</v>
      </c>
      <c r="FJ570" s="14">
        <f t="shared" si="553"/>
        <v>70</v>
      </c>
      <c r="FK570" s="14">
        <v>131</v>
      </c>
      <c r="FL570" s="14">
        <f t="shared" si="554"/>
        <v>4</v>
      </c>
      <c r="FM570" s="14">
        <f t="shared" si="586"/>
        <v>6</v>
      </c>
      <c r="FN570" s="14" t="str">
        <f t="shared" si="555"/>
        <v/>
      </c>
      <c r="FO570" s="14">
        <f t="shared" si="587"/>
        <v>75</v>
      </c>
      <c r="FP570" s="14">
        <f t="shared" si="566"/>
        <v>0</v>
      </c>
      <c r="FQ570" s="14">
        <f t="shared" si="567"/>
        <v>0</v>
      </c>
      <c r="FR570" s="14">
        <f t="shared" si="568"/>
        <v>1355</v>
      </c>
      <c r="FS570" s="14">
        <f t="shared" si="569"/>
        <v>0</v>
      </c>
      <c r="FT570" s="14">
        <f t="shared" si="570"/>
        <v>0</v>
      </c>
      <c r="FU570" s="14">
        <f t="shared" si="571"/>
        <v>75</v>
      </c>
      <c r="FV570" s="14">
        <f t="shared" si="556"/>
        <v>2042</v>
      </c>
      <c r="FW570" s="14">
        <f t="shared" si="557"/>
        <v>0</v>
      </c>
      <c r="FX570" s="14" t="str">
        <f t="shared" si="558"/>
        <v/>
      </c>
      <c r="FY570" s="25" t="str">
        <f t="shared" si="572"/>
        <v>icon_2104106</v>
      </c>
      <c r="GC570" s="14">
        <f t="shared" si="559"/>
        <v>3</v>
      </c>
      <c r="GD570" s="14">
        <f t="shared" si="560"/>
        <v>0</v>
      </c>
      <c r="GE570" s="14">
        <f t="shared" si="588"/>
        <v>75</v>
      </c>
      <c r="GF570" s="14" t="str">
        <f t="shared" si="589"/>
        <v>HPExt</v>
      </c>
      <c r="GG570" s="14">
        <f t="shared" si="590"/>
        <v>1355</v>
      </c>
      <c r="GH570" s="14">
        <f t="shared" si="591"/>
        <v>75</v>
      </c>
      <c r="GI570" s="14" t="str">
        <f t="shared" si="592"/>
        <v/>
      </c>
      <c r="GJ570" s="14" t="str">
        <f t="shared" si="593"/>
        <v/>
      </c>
      <c r="GK570" s="14" t="str">
        <f t="shared" si="594"/>
        <v/>
      </c>
      <c r="GL570" s="14">
        <f t="shared" si="561"/>
        <v>20420</v>
      </c>
      <c r="GM570" s="14">
        <f t="shared" si="595"/>
        <v>0</v>
      </c>
      <c r="GN570" s="14" t="str">
        <f t="shared" si="596"/>
        <v/>
      </c>
      <c r="GO570" s="25" t="s">
        <v>1471</v>
      </c>
      <c r="GP570" s="14">
        <f t="shared" si="562"/>
        <v>45</v>
      </c>
    </row>
    <row r="571" spans="148:198" ht="16.5" x14ac:dyDescent="0.2">
      <c r="EU571" s="13">
        <v>566</v>
      </c>
      <c r="EV571" s="14">
        <f t="shared" si="563"/>
        <v>2</v>
      </c>
      <c r="EW571" s="14">
        <f t="shared" si="584"/>
        <v>131</v>
      </c>
      <c r="EX571" s="14">
        <f t="shared" si="564"/>
        <v>17</v>
      </c>
      <c r="EY571" s="14">
        <f t="shared" si="585"/>
        <v>20</v>
      </c>
      <c r="EZ571" s="14">
        <f t="shared" si="544"/>
        <v>15</v>
      </c>
      <c r="FA571" s="14">
        <f t="shared" si="545"/>
        <v>70</v>
      </c>
      <c r="FB571" s="14">
        <f t="shared" si="546"/>
        <v>2</v>
      </c>
      <c r="FC571" s="14">
        <f t="shared" si="547"/>
        <v>7</v>
      </c>
      <c r="FD571" s="14">
        <f t="shared" si="548"/>
        <v>7</v>
      </c>
      <c r="FE571" s="14" t="b">
        <f t="shared" si="565"/>
        <v>0</v>
      </c>
      <c r="FF571" s="14">
        <f t="shared" si="549"/>
        <v>2104207</v>
      </c>
      <c r="FG571" s="13" t="str">
        <f t="shared" si="550"/>
        <v>70级-优秀守护灵の项链</v>
      </c>
      <c r="FH571" s="14">
        <f t="shared" si="551"/>
        <v>2</v>
      </c>
      <c r="FI571" s="14">
        <f t="shared" si="552"/>
        <v>2</v>
      </c>
      <c r="FJ571" s="14">
        <f t="shared" si="553"/>
        <v>70</v>
      </c>
      <c r="FK571" s="14">
        <v>132</v>
      </c>
      <c r="FL571" s="14">
        <f t="shared" si="554"/>
        <v>4</v>
      </c>
      <c r="FM571" s="14">
        <f t="shared" si="586"/>
        <v>7</v>
      </c>
      <c r="FN571" s="14" t="str">
        <f t="shared" si="555"/>
        <v/>
      </c>
      <c r="FO571" s="14">
        <f t="shared" si="587"/>
        <v>75</v>
      </c>
      <c r="FP571" s="14">
        <f t="shared" si="566"/>
        <v>120</v>
      </c>
      <c r="FQ571" s="14">
        <f t="shared" si="567"/>
        <v>75</v>
      </c>
      <c r="FR571" s="14">
        <f t="shared" si="568"/>
        <v>0</v>
      </c>
      <c r="FS571" s="14">
        <f t="shared" si="569"/>
        <v>7</v>
      </c>
      <c r="FT571" s="14">
        <f t="shared" si="570"/>
        <v>4</v>
      </c>
      <c r="FU571" s="14">
        <f t="shared" si="571"/>
        <v>0</v>
      </c>
      <c r="FV571" s="14">
        <f t="shared" si="556"/>
        <v>2042</v>
      </c>
      <c r="FW571" s="14">
        <f t="shared" si="557"/>
        <v>0</v>
      </c>
      <c r="FX571" s="14" t="str">
        <f t="shared" si="558"/>
        <v/>
      </c>
      <c r="FY571" s="25" t="str">
        <f t="shared" si="572"/>
        <v>icon_2104107</v>
      </c>
      <c r="GC571" s="14">
        <f t="shared" si="559"/>
        <v>1</v>
      </c>
      <c r="GD571" s="14">
        <f t="shared" si="560"/>
        <v>2</v>
      </c>
      <c r="GE571" s="14">
        <f t="shared" si="588"/>
        <v>75</v>
      </c>
      <c r="GF571" s="14" t="str">
        <f t="shared" si="589"/>
        <v>AtkExt</v>
      </c>
      <c r="GG571" s="14">
        <f t="shared" si="590"/>
        <v>120</v>
      </c>
      <c r="GH571" s="14">
        <f t="shared" si="591"/>
        <v>7</v>
      </c>
      <c r="GI571" s="14" t="str">
        <f t="shared" si="592"/>
        <v>DefExt</v>
      </c>
      <c r="GJ571" s="14">
        <f t="shared" si="593"/>
        <v>75</v>
      </c>
      <c r="GK571" s="14">
        <f t="shared" si="594"/>
        <v>4</v>
      </c>
      <c r="GL571" s="14">
        <f t="shared" si="561"/>
        <v>20420</v>
      </c>
      <c r="GM571" s="14">
        <f t="shared" si="595"/>
        <v>0</v>
      </c>
      <c r="GN571" s="14" t="str">
        <f t="shared" si="596"/>
        <v/>
      </c>
      <c r="GO571" s="25" t="s">
        <v>1471</v>
      </c>
      <c r="GP571" s="14">
        <f t="shared" si="562"/>
        <v>68</v>
      </c>
    </row>
    <row r="572" spans="148:198" ht="16.5" x14ac:dyDescent="0.2">
      <c r="EU572" s="13">
        <v>567</v>
      </c>
      <c r="EV572" s="14">
        <f t="shared" si="563"/>
        <v>2</v>
      </c>
      <c r="EW572" s="14">
        <f t="shared" si="584"/>
        <v>132</v>
      </c>
      <c r="EX572" s="14">
        <f t="shared" si="564"/>
        <v>17</v>
      </c>
      <c r="EY572" s="14">
        <f t="shared" si="585"/>
        <v>20</v>
      </c>
      <c r="EZ572" s="14">
        <f t="shared" si="544"/>
        <v>15</v>
      </c>
      <c r="FA572" s="14">
        <f t="shared" si="545"/>
        <v>70</v>
      </c>
      <c r="FB572" s="14">
        <f t="shared" si="546"/>
        <v>2</v>
      </c>
      <c r="FC572" s="14">
        <f t="shared" si="547"/>
        <v>8</v>
      </c>
      <c r="FD572" s="14">
        <f t="shared" si="548"/>
        <v>8</v>
      </c>
      <c r="FE572" s="14" t="b">
        <f t="shared" si="565"/>
        <v>0</v>
      </c>
      <c r="FF572" s="14">
        <f t="shared" si="549"/>
        <v>2104208</v>
      </c>
      <c r="FG572" s="13" t="str">
        <f t="shared" si="550"/>
        <v>70级-优秀守护灵の戒指</v>
      </c>
      <c r="FH572" s="14">
        <f t="shared" si="551"/>
        <v>2</v>
      </c>
      <c r="FI572" s="14">
        <f t="shared" si="552"/>
        <v>2</v>
      </c>
      <c r="FJ572" s="14">
        <f t="shared" si="553"/>
        <v>70</v>
      </c>
      <c r="FK572" s="14">
        <v>133</v>
      </c>
      <c r="FL572" s="14">
        <f t="shared" si="554"/>
        <v>4</v>
      </c>
      <c r="FM572" s="14">
        <f t="shared" si="586"/>
        <v>8</v>
      </c>
      <c r="FN572" s="14" t="str">
        <f t="shared" si="555"/>
        <v/>
      </c>
      <c r="FO572" s="14">
        <f t="shared" si="587"/>
        <v>98</v>
      </c>
      <c r="FP572" s="14">
        <f t="shared" si="566"/>
        <v>120</v>
      </c>
      <c r="FQ572" s="14">
        <f t="shared" si="567"/>
        <v>0</v>
      </c>
      <c r="FR572" s="14">
        <f t="shared" si="568"/>
        <v>1130</v>
      </c>
      <c r="FS572" s="14">
        <f t="shared" si="569"/>
        <v>7</v>
      </c>
      <c r="FT572" s="14">
        <f t="shared" si="570"/>
        <v>0</v>
      </c>
      <c r="FU572" s="14">
        <f t="shared" si="571"/>
        <v>63</v>
      </c>
      <c r="FV572" s="14">
        <f t="shared" si="556"/>
        <v>2042</v>
      </c>
      <c r="FW572" s="14">
        <f t="shared" si="557"/>
        <v>0</v>
      </c>
      <c r="FX572" s="14" t="str">
        <f t="shared" si="558"/>
        <v/>
      </c>
      <c r="FY572" s="25" t="str">
        <f t="shared" si="572"/>
        <v>icon_2104108</v>
      </c>
      <c r="GC572" s="14">
        <f t="shared" si="559"/>
        <v>1</v>
      </c>
      <c r="GD572" s="14">
        <f t="shared" si="560"/>
        <v>3</v>
      </c>
      <c r="GE572" s="14">
        <f t="shared" si="588"/>
        <v>98</v>
      </c>
      <c r="GF572" s="14" t="str">
        <f t="shared" si="589"/>
        <v>AtkExt</v>
      </c>
      <c r="GG572" s="14">
        <f t="shared" si="590"/>
        <v>120</v>
      </c>
      <c r="GH572" s="14">
        <f t="shared" si="591"/>
        <v>7</v>
      </c>
      <c r="GI572" s="14" t="str">
        <f t="shared" si="592"/>
        <v>HPExt</v>
      </c>
      <c r="GJ572" s="14">
        <f t="shared" si="593"/>
        <v>1130</v>
      </c>
      <c r="GK572" s="14">
        <f t="shared" si="594"/>
        <v>63</v>
      </c>
      <c r="GL572" s="14">
        <f t="shared" si="561"/>
        <v>20420</v>
      </c>
      <c r="GM572" s="14">
        <f t="shared" si="595"/>
        <v>0</v>
      </c>
      <c r="GN572" s="14" t="str">
        <f t="shared" si="596"/>
        <v/>
      </c>
      <c r="GO572" s="25" t="s">
        <v>1471</v>
      </c>
      <c r="GP572" s="14">
        <f t="shared" si="562"/>
        <v>68</v>
      </c>
    </row>
    <row r="573" spans="148:198" ht="16.5" x14ac:dyDescent="0.2">
      <c r="EU573" s="13">
        <v>568</v>
      </c>
      <c r="EV573" s="14">
        <f t="shared" si="563"/>
        <v>2</v>
      </c>
      <c r="EW573" s="14">
        <f t="shared" si="584"/>
        <v>133</v>
      </c>
      <c r="EX573" s="14">
        <f t="shared" si="564"/>
        <v>18</v>
      </c>
      <c r="EY573" s="14">
        <f t="shared" si="585"/>
        <v>30</v>
      </c>
      <c r="EZ573" s="14">
        <f t="shared" si="544"/>
        <v>15</v>
      </c>
      <c r="FA573" s="14">
        <f t="shared" si="545"/>
        <v>70</v>
      </c>
      <c r="FB573" s="14">
        <f t="shared" si="546"/>
        <v>3</v>
      </c>
      <c r="FC573" s="14">
        <f t="shared" si="547"/>
        <v>1</v>
      </c>
      <c r="FD573" s="14">
        <f t="shared" si="548"/>
        <v>1</v>
      </c>
      <c r="FE573" s="14" t="b">
        <f t="shared" si="565"/>
        <v>0</v>
      </c>
      <c r="FF573" s="14">
        <f t="shared" si="549"/>
        <v>2104301</v>
      </c>
      <c r="FG573" s="13" t="str">
        <f t="shared" si="550"/>
        <v>70级-精良守护灵の灵器</v>
      </c>
      <c r="FH573" s="14">
        <f t="shared" si="551"/>
        <v>2</v>
      </c>
      <c r="FI573" s="14">
        <f t="shared" si="552"/>
        <v>3</v>
      </c>
      <c r="FJ573" s="14">
        <f t="shared" si="553"/>
        <v>70</v>
      </c>
      <c r="FK573" s="14">
        <v>134</v>
      </c>
      <c r="FL573" s="14">
        <f t="shared" si="554"/>
        <v>4</v>
      </c>
      <c r="FM573" s="14">
        <f t="shared" si="586"/>
        <v>1</v>
      </c>
      <c r="FN573" s="14" t="str">
        <f t="shared" si="555"/>
        <v/>
      </c>
      <c r="FO573" s="14">
        <f t="shared" si="587"/>
        <v>120</v>
      </c>
      <c r="FP573" s="14">
        <f t="shared" si="566"/>
        <v>435</v>
      </c>
      <c r="FQ573" s="14">
        <f t="shared" si="567"/>
        <v>0</v>
      </c>
      <c r="FR573" s="14">
        <f t="shared" si="568"/>
        <v>0</v>
      </c>
      <c r="FS573" s="14">
        <f t="shared" si="569"/>
        <v>24</v>
      </c>
      <c r="FT573" s="14">
        <f t="shared" si="570"/>
        <v>0</v>
      </c>
      <c r="FU573" s="14">
        <f t="shared" si="571"/>
        <v>0</v>
      </c>
      <c r="FV573" s="14">
        <f t="shared" si="556"/>
        <v>2043</v>
      </c>
      <c r="FW573" s="14">
        <f t="shared" si="557"/>
        <v>3</v>
      </c>
      <c r="FX573" s="14">
        <f t="shared" si="558"/>
        <v>2043</v>
      </c>
      <c r="FY573" s="25" t="str">
        <f t="shared" si="572"/>
        <v>icon_2104101</v>
      </c>
      <c r="GC573" s="14">
        <f t="shared" si="559"/>
        <v>1</v>
      </c>
      <c r="GD573" s="14">
        <f t="shared" si="560"/>
        <v>0</v>
      </c>
      <c r="GE573" s="14">
        <f t="shared" si="588"/>
        <v>120</v>
      </c>
      <c r="GF573" s="14" t="str">
        <f t="shared" si="589"/>
        <v>AtkExt</v>
      </c>
      <c r="GG573" s="14">
        <f t="shared" si="590"/>
        <v>435</v>
      </c>
      <c r="GH573" s="14">
        <f t="shared" si="591"/>
        <v>24</v>
      </c>
      <c r="GI573" s="14" t="str">
        <f t="shared" si="592"/>
        <v/>
      </c>
      <c r="GJ573" s="14" t="str">
        <f t="shared" si="593"/>
        <v/>
      </c>
      <c r="GK573" s="14" t="str">
        <f t="shared" si="594"/>
        <v/>
      </c>
      <c r="GL573" s="14">
        <f t="shared" si="561"/>
        <v>20430</v>
      </c>
      <c r="GM573" s="14">
        <f t="shared" si="595"/>
        <v>3</v>
      </c>
      <c r="GN573" s="14">
        <f t="shared" si="596"/>
        <v>2043</v>
      </c>
      <c r="GO573" s="25" t="s">
        <v>1471</v>
      </c>
      <c r="GP573" s="14">
        <f t="shared" si="562"/>
        <v>150</v>
      </c>
    </row>
    <row r="574" spans="148:198" ht="16.5" x14ac:dyDescent="0.2">
      <c r="EU574" s="13">
        <v>569</v>
      </c>
      <c r="EV574" s="14">
        <f t="shared" si="563"/>
        <v>2</v>
      </c>
      <c r="EW574" s="14">
        <f t="shared" si="584"/>
        <v>134</v>
      </c>
      <c r="EX574" s="14">
        <f t="shared" si="564"/>
        <v>18</v>
      </c>
      <c r="EY574" s="14">
        <f t="shared" si="585"/>
        <v>30</v>
      </c>
      <c r="EZ574" s="14">
        <f t="shared" si="544"/>
        <v>15</v>
      </c>
      <c r="FA574" s="14">
        <f t="shared" si="545"/>
        <v>70</v>
      </c>
      <c r="FB574" s="14">
        <f t="shared" si="546"/>
        <v>3</v>
      </c>
      <c r="FC574" s="14">
        <f t="shared" si="547"/>
        <v>2</v>
      </c>
      <c r="FD574" s="14">
        <f t="shared" si="548"/>
        <v>2</v>
      </c>
      <c r="FE574" s="14" t="b">
        <f t="shared" si="565"/>
        <v>0</v>
      </c>
      <c r="FF574" s="14">
        <f t="shared" si="549"/>
        <v>2104302</v>
      </c>
      <c r="FG574" s="13" t="str">
        <f t="shared" si="550"/>
        <v>70级-精良守护灵の头盔</v>
      </c>
      <c r="FH574" s="14">
        <f t="shared" si="551"/>
        <v>2</v>
      </c>
      <c r="FI574" s="14">
        <f t="shared" si="552"/>
        <v>3</v>
      </c>
      <c r="FJ574" s="14">
        <f t="shared" si="553"/>
        <v>70</v>
      </c>
      <c r="FK574" s="14">
        <v>135</v>
      </c>
      <c r="FL574" s="14">
        <f t="shared" si="554"/>
        <v>4</v>
      </c>
      <c r="FM574" s="14">
        <f t="shared" si="586"/>
        <v>2</v>
      </c>
      <c r="FN574" s="14" t="str">
        <f t="shared" si="555"/>
        <v/>
      </c>
      <c r="FO574" s="14">
        <f t="shared" si="587"/>
        <v>60</v>
      </c>
      <c r="FP574" s="14">
        <f t="shared" si="566"/>
        <v>0</v>
      </c>
      <c r="FQ574" s="14">
        <f t="shared" si="567"/>
        <v>110</v>
      </c>
      <c r="FR574" s="14">
        <f t="shared" si="568"/>
        <v>0</v>
      </c>
      <c r="FS574" s="14">
        <f t="shared" si="569"/>
        <v>0</v>
      </c>
      <c r="FT574" s="14">
        <f t="shared" si="570"/>
        <v>6</v>
      </c>
      <c r="FU574" s="14">
        <f t="shared" si="571"/>
        <v>0</v>
      </c>
      <c r="FV574" s="14">
        <f t="shared" si="556"/>
        <v>2043</v>
      </c>
      <c r="FW574" s="14">
        <f t="shared" si="557"/>
        <v>3</v>
      </c>
      <c r="FX574" s="14">
        <f t="shared" si="558"/>
        <v>2043</v>
      </c>
      <c r="FY574" s="25" t="str">
        <f t="shared" si="572"/>
        <v>icon_2104102</v>
      </c>
      <c r="GC574" s="14">
        <f t="shared" si="559"/>
        <v>2</v>
      </c>
      <c r="GD574" s="14">
        <f t="shared" si="560"/>
        <v>0</v>
      </c>
      <c r="GE574" s="14">
        <f t="shared" si="588"/>
        <v>60</v>
      </c>
      <c r="GF574" s="14" t="str">
        <f t="shared" si="589"/>
        <v>DefExt</v>
      </c>
      <c r="GG574" s="14">
        <f t="shared" si="590"/>
        <v>110</v>
      </c>
      <c r="GH574" s="14">
        <f t="shared" si="591"/>
        <v>6</v>
      </c>
      <c r="GI574" s="14" t="str">
        <f t="shared" si="592"/>
        <v/>
      </c>
      <c r="GJ574" s="14" t="str">
        <f t="shared" si="593"/>
        <v/>
      </c>
      <c r="GK574" s="14" t="str">
        <f t="shared" si="594"/>
        <v/>
      </c>
      <c r="GL574" s="14">
        <f t="shared" si="561"/>
        <v>20430</v>
      </c>
      <c r="GM574" s="14">
        <f t="shared" si="595"/>
        <v>3</v>
      </c>
      <c r="GN574" s="14">
        <f t="shared" si="596"/>
        <v>2043</v>
      </c>
      <c r="GO574" s="25" t="s">
        <v>1471</v>
      </c>
      <c r="GP574" s="14">
        <f t="shared" si="562"/>
        <v>75</v>
      </c>
    </row>
    <row r="575" spans="148:198" ht="16.5" x14ac:dyDescent="0.2">
      <c r="EU575" s="13">
        <v>570</v>
      </c>
      <c r="EV575" s="14">
        <f t="shared" si="563"/>
        <v>2</v>
      </c>
      <c r="EW575" s="14">
        <f t="shared" si="584"/>
        <v>135</v>
      </c>
      <c r="EX575" s="14">
        <f t="shared" si="564"/>
        <v>18</v>
      </c>
      <c r="EY575" s="14">
        <f t="shared" si="585"/>
        <v>30</v>
      </c>
      <c r="EZ575" s="14">
        <f t="shared" si="544"/>
        <v>15</v>
      </c>
      <c r="FA575" s="14">
        <f t="shared" si="545"/>
        <v>70</v>
      </c>
      <c r="FB575" s="14">
        <f t="shared" si="546"/>
        <v>3</v>
      </c>
      <c r="FC575" s="14">
        <f t="shared" si="547"/>
        <v>3</v>
      </c>
      <c r="FD575" s="14">
        <f t="shared" si="548"/>
        <v>3</v>
      </c>
      <c r="FE575" s="14" t="b">
        <f t="shared" si="565"/>
        <v>0</v>
      </c>
      <c r="FF575" s="14">
        <f t="shared" si="549"/>
        <v>2104303</v>
      </c>
      <c r="FG575" s="13" t="str">
        <f t="shared" si="550"/>
        <v>70级-精良守护灵の铠甲</v>
      </c>
      <c r="FH575" s="14">
        <f t="shared" si="551"/>
        <v>2</v>
      </c>
      <c r="FI575" s="14">
        <f t="shared" si="552"/>
        <v>3</v>
      </c>
      <c r="FJ575" s="14">
        <f t="shared" si="553"/>
        <v>70</v>
      </c>
      <c r="FK575" s="14">
        <v>136</v>
      </c>
      <c r="FL575" s="14">
        <f t="shared" si="554"/>
        <v>4</v>
      </c>
      <c r="FM575" s="14">
        <f t="shared" si="586"/>
        <v>3</v>
      </c>
      <c r="FN575" s="14" t="str">
        <f t="shared" si="555"/>
        <v/>
      </c>
      <c r="FO575" s="14">
        <f t="shared" si="587"/>
        <v>76</v>
      </c>
      <c r="FP575" s="14">
        <f t="shared" si="566"/>
        <v>0</v>
      </c>
      <c r="FQ575" s="14">
        <f t="shared" si="567"/>
        <v>55</v>
      </c>
      <c r="FR575" s="14">
        <f t="shared" si="568"/>
        <v>825</v>
      </c>
      <c r="FS575" s="14">
        <f t="shared" si="569"/>
        <v>0</v>
      </c>
      <c r="FT575" s="14">
        <f t="shared" si="570"/>
        <v>3</v>
      </c>
      <c r="FU575" s="14">
        <f t="shared" si="571"/>
        <v>46</v>
      </c>
      <c r="FV575" s="14">
        <f t="shared" si="556"/>
        <v>2043</v>
      </c>
      <c r="FW575" s="14">
        <f t="shared" si="557"/>
        <v>3</v>
      </c>
      <c r="FX575" s="14">
        <f t="shared" si="558"/>
        <v>2043</v>
      </c>
      <c r="FY575" s="25" t="str">
        <f t="shared" si="572"/>
        <v>icon_2104103</v>
      </c>
      <c r="GC575" s="14">
        <f t="shared" si="559"/>
        <v>2</v>
      </c>
      <c r="GD575" s="14">
        <f t="shared" si="560"/>
        <v>3</v>
      </c>
      <c r="GE575" s="14">
        <f t="shared" si="588"/>
        <v>76</v>
      </c>
      <c r="GF575" s="14" t="str">
        <f t="shared" si="589"/>
        <v>DefExt</v>
      </c>
      <c r="GG575" s="14">
        <f t="shared" si="590"/>
        <v>55</v>
      </c>
      <c r="GH575" s="14">
        <f t="shared" si="591"/>
        <v>3</v>
      </c>
      <c r="GI575" s="14" t="str">
        <f t="shared" si="592"/>
        <v>HPExt</v>
      </c>
      <c r="GJ575" s="14">
        <f t="shared" si="593"/>
        <v>825</v>
      </c>
      <c r="GK575" s="14">
        <f t="shared" si="594"/>
        <v>46</v>
      </c>
      <c r="GL575" s="14">
        <f t="shared" si="561"/>
        <v>20430</v>
      </c>
      <c r="GM575" s="14">
        <f t="shared" si="595"/>
        <v>3</v>
      </c>
      <c r="GN575" s="14">
        <f t="shared" si="596"/>
        <v>2043</v>
      </c>
      <c r="GO575" s="25" t="s">
        <v>1471</v>
      </c>
      <c r="GP575" s="14">
        <f t="shared" si="562"/>
        <v>75</v>
      </c>
    </row>
    <row r="576" spans="148:198" ht="16.5" x14ac:dyDescent="0.2">
      <c r="EU576" s="13">
        <v>571</v>
      </c>
      <c r="EV576" s="14">
        <f t="shared" si="563"/>
        <v>2</v>
      </c>
      <c r="EW576" s="14">
        <f t="shared" si="584"/>
        <v>136</v>
      </c>
      <c r="EX576" s="14">
        <f t="shared" si="564"/>
        <v>18</v>
      </c>
      <c r="EY576" s="14">
        <f t="shared" si="585"/>
        <v>30</v>
      </c>
      <c r="EZ576" s="14">
        <f t="shared" si="544"/>
        <v>15</v>
      </c>
      <c r="FA576" s="14">
        <f t="shared" si="545"/>
        <v>70</v>
      </c>
      <c r="FB576" s="14">
        <f t="shared" si="546"/>
        <v>3</v>
      </c>
      <c r="FC576" s="14">
        <f t="shared" si="547"/>
        <v>4</v>
      </c>
      <c r="FD576" s="14">
        <f t="shared" si="548"/>
        <v>4</v>
      </c>
      <c r="FE576" s="14" t="b">
        <f t="shared" si="565"/>
        <v>0</v>
      </c>
      <c r="FF576" s="14">
        <f t="shared" si="549"/>
        <v>2104304</v>
      </c>
      <c r="FG576" s="13" t="str">
        <f t="shared" si="550"/>
        <v>70级-精良守护灵の裤子</v>
      </c>
      <c r="FH576" s="14">
        <f t="shared" si="551"/>
        <v>2</v>
      </c>
      <c r="FI576" s="14">
        <f t="shared" si="552"/>
        <v>3</v>
      </c>
      <c r="FJ576" s="14">
        <f t="shared" si="553"/>
        <v>70</v>
      </c>
      <c r="FK576" s="14">
        <v>137</v>
      </c>
      <c r="FL576" s="14">
        <f t="shared" si="554"/>
        <v>4</v>
      </c>
      <c r="FM576" s="14">
        <f t="shared" si="586"/>
        <v>4</v>
      </c>
      <c r="FN576" s="14" t="str">
        <f t="shared" si="555"/>
        <v/>
      </c>
      <c r="FO576" s="14">
        <f t="shared" si="587"/>
        <v>60</v>
      </c>
      <c r="FP576" s="14">
        <f t="shared" si="566"/>
        <v>0</v>
      </c>
      <c r="FQ576" s="14">
        <f t="shared" si="567"/>
        <v>110</v>
      </c>
      <c r="FR576" s="14">
        <f t="shared" si="568"/>
        <v>0</v>
      </c>
      <c r="FS576" s="14">
        <f t="shared" si="569"/>
        <v>0</v>
      </c>
      <c r="FT576" s="14">
        <f t="shared" si="570"/>
        <v>6</v>
      </c>
      <c r="FU576" s="14">
        <f t="shared" si="571"/>
        <v>0</v>
      </c>
      <c r="FV576" s="14">
        <f t="shared" si="556"/>
        <v>2043</v>
      </c>
      <c r="FW576" s="14">
        <f t="shared" si="557"/>
        <v>3</v>
      </c>
      <c r="FX576" s="14">
        <f t="shared" si="558"/>
        <v>2043</v>
      </c>
      <c r="FY576" s="25" t="str">
        <f t="shared" si="572"/>
        <v>icon_2104104</v>
      </c>
      <c r="GC576" s="14">
        <f t="shared" si="559"/>
        <v>2</v>
      </c>
      <c r="GD576" s="14">
        <f t="shared" si="560"/>
        <v>0</v>
      </c>
      <c r="GE576" s="14">
        <f t="shared" si="588"/>
        <v>60</v>
      </c>
      <c r="GF576" s="14" t="str">
        <f t="shared" si="589"/>
        <v>DefExt</v>
      </c>
      <c r="GG576" s="14">
        <f t="shared" si="590"/>
        <v>110</v>
      </c>
      <c r="GH576" s="14">
        <f t="shared" si="591"/>
        <v>6</v>
      </c>
      <c r="GI576" s="14" t="str">
        <f t="shared" si="592"/>
        <v/>
      </c>
      <c r="GJ576" s="14" t="str">
        <f t="shared" si="593"/>
        <v/>
      </c>
      <c r="GK576" s="14" t="str">
        <f t="shared" si="594"/>
        <v/>
      </c>
      <c r="GL576" s="14">
        <f t="shared" si="561"/>
        <v>20430</v>
      </c>
      <c r="GM576" s="14">
        <f t="shared" si="595"/>
        <v>3</v>
      </c>
      <c r="GN576" s="14">
        <f t="shared" si="596"/>
        <v>2043</v>
      </c>
      <c r="GO576" s="25" t="s">
        <v>1471</v>
      </c>
      <c r="GP576" s="14">
        <f t="shared" si="562"/>
        <v>75</v>
      </c>
    </row>
    <row r="577" spans="151:198" ht="16.5" x14ac:dyDescent="0.2">
      <c r="EU577" s="13">
        <v>572</v>
      </c>
      <c r="EV577" s="14">
        <f t="shared" si="563"/>
        <v>2</v>
      </c>
      <c r="EW577" s="14">
        <f t="shared" si="584"/>
        <v>137</v>
      </c>
      <c r="EX577" s="14">
        <f t="shared" si="564"/>
        <v>18</v>
      </c>
      <c r="EY577" s="14">
        <f t="shared" si="585"/>
        <v>30</v>
      </c>
      <c r="EZ577" s="14">
        <f t="shared" si="544"/>
        <v>15</v>
      </c>
      <c r="FA577" s="14">
        <f t="shared" si="545"/>
        <v>70</v>
      </c>
      <c r="FB577" s="14">
        <f t="shared" si="546"/>
        <v>3</v>
      </c>
      <c r="FC577" s="14">
        <f t="shared" si="547"/>
        <v>5</v>
      </c>
      <c r="FD577" s="14">
        <f t="shared" si="548"/>
        <v>5</v>
      </c>
      <c r="FE577" s="14" t="b">
        <f t="shared" si="565"/>
        <v>0</v>
      </c>
      <c r="FF577" s="14">
        <f t="shared" si="549"/>
        <v>2104305</v>
      </c>
      <c r="FG577" s="13" t="str">
        <f t="shared" si="550"/>
        <v>70级-精良守护灵の鞋子</v>
      </c>
      <c r="FH577" s="14">
        <f t="shared" si="551"/>
        <v>2</v>
      </c>
      <c r="FI577" s="14">
        <f t="shared" si="552"/>
        <v>3</v>
      </c>
      <c r="FJ577" s="14">
        <f t="shared" si="553"/>
        <v>70</v>
      </c>
      <c r="FK577" s="14">
        <v>138</v>
      </c>
      <c r="FL577" s="14">
        <f t="shared" si="554"/>
        <v>4</v>
      </c>
      <c r="FM577" s="14">
        <f t="shared" si="586"/>
        <v>5</v>
      </c>
      <c r="FN577" s="14" t="str">
        <f t="shared" si="555"/>
        <v/>
      </c>
      <c r="FO577" s="14">
        <f t="shared" si="587"/>
        <v>91</v>
      </c>
      <c r="FP577" s="14">
        <f t="shared" si="566"/>
        <v>0</v>
      </c>
      <c r="FQ577" s="14">
        <f t="shared" si="567"/>
        <v>0</v>
      </c>
      <c r="FR577" s="14">
        <f t="shared" si="568"/>
        <v>1645</v>
      </c>
      <c r="FS577" s="14">
        <f t="shared" si="569"/>
        <v>0</v>
      </c>
      <c r="FT577" s="14">
        <f t="shared" si="570"/>
        <v>0</v>
      </c>
      <c r="FU577" s="14">
        <f t="shared" si="571"/>
        <v>91</v>
      </c>
      <c r="FV577" s="14">
        <f t="shared" si="556"/>
        <v>2043</v>
      </c>
      <c r="FW577" s="14">
        <f t="shared" si="557"/>
        <v>3</v>
      </c>
      <c r="FX577" s="14">
        <f t="shared" si="558"/>
        <v>2043</v>
      </c>
      <c r="FY577" s="25" t="str">
        <f t="shared" si="572"/>
        <v>icon_2104105</v>
      </c>
      <c r="GC577" s="14">
        <f t="shared" si="559"/>
        <v>3</v>
      </c>
      <c r="GD577" s="14">
        <f t="shared" si="560"/>
        <v>0</v>
      </c>
      <c r="GE577" s="14">
        <f t="shared" si="588"/>
        <v>91</v>
      </c>
      <c r="GF577" s="14" t="str">
        <f t="shared" si="589"/>
        <v>HPExt</v>
      </c>
      <c r="GG577" s="14">
        <f t="shared" si="590"/>
        <v>1645</v>
      </c>
      <c r="GH577" s="14">
        <f t="shared" si="591"/>
        <v>91</v>
      </c>
      <c r="GI577" s="14" t="str">
        <f t="shared" si="592"/>
        <v/>
      </c>
      <c r="GJ577" s="14" t="str">
        <f t="shared" si="593"/>
        <v/>
      </c>
      <c r="GK577" s="14" t="str">
        <f t="shared" si="594"/>
        <v/>
      </c>
      <c r="GL577" s="14">
        <f t="shared" si="561"/>
        <v>20430</v>
      </c>
      <c r="GM577" s="14">
        <f t="shared" si="595"/>
        <v>3</v>
      </c>
      <c r="GN577" s="14">
        <f t="shared" si="596"/>
        <v>2043</v>
      </c>
      <c r="GO577" s="25" t="s">
        <v>1471</v>
      </c>
      <c r="GP577" s="14">
        <f t="shared" si="562"/>
        <v>75</v>
      </c>
    </row>
    <row r="578" spans="151:198" ht="16.5" x14ac:dyDescent="0.2">
      <c r="EU578" s="13">
        <v>573</v>
      </c>
      <c r="EV578" s="14">
        <f t="shared" si="563"/>
        <v>2</v>
      </c>
      <c r="EW578" s="14">
        <f t="shared" si="584"/>
        <v>138</v>
      </c>
      <c r="EX578" s="14">
        <f t="shared" si="564"/>
        <v>18</v>
      </c>
      <c r="EY578" s="14">
        <f t="shared" si="585"/>
        <v>30</v>
      </c>
      <c r="EZ578" s="14">
        <f t="shared" si="544"/>
        <v>15</v>
      </c>
      <c r="FA578" s="14">
        <f t="shared" si="545"/>
        <v>70</v>
      </c>
      <c r="FB578" s="14">
        <f t="shared" si="546"/>
        <v>3</v>
      </c>
      <c r="FC578" s="14">
        <f t="shared" si="547"/>
        <v>6</v>
      </c>
      <c r="FD578" s="14">
        <f t="shared" si="548"/>
        <v>6</v>
      </c>
      <c r="FE578" s="14" t="b">
        <f t="shared" si="565"/>
        <v>0</v>
      </c>
      <c r="FF578" s="14">
        <f t="shared" si="549"/>
        <v>2104306</v>
      </c>
      <c r="FG578" s="13" t="str">
        <f t="shared" si="550"/>
        <v>70级-精良守护灵の护手</v>
      </c>
      <c r="FH578" s="14">
        <f t="shared" si="551"/>
        <v>2</v>
      </c>
      <c r="FI578" s="14">
        <f t="shared" si="552"/>
        <v>3</v>
      </c>
      <c r="FJ578" s="14">
        <f t="shared" si="553"/>
        <v>70</v>
      </c>
      <c r="FK578" s="14">
        <v>139</v>
      </c>
      <c r="FL578" s="14">
        <f t="shared" si="554"/>
        <v>4</v>
      </c>
      <c r="FM578" s="14">
        <f t="shared" si="586"/>
        <v>6</v>
      </c>
      <c r="FN578" s="14" t="str">
        <f t="shared" si="555"/>
        <v/>
      </c>
      <c r="FO578" s="14">
        <f t="shared" si="587"/>
        <v>91</v>
      </c>
      <c r="FP578" s="14">
        <f t="shared" si="566"/>
        <v>0</v>
      </c>
      <c r="FQ578" s="14">
        <f t="shared" si="567"/>
        <v>0</v>
      </c>
      <c r="FR578" s="14">
        <f t="shared" si="568"/>
        <v>1645</v>
      </c>
      <c r="FS578" s="14">
        <f t="shared" si="569"/>
        <v>0</v>
      </c>
      <c r="FT578" s="14">
        <f t="shared" si="570"/>
        <v>0</v>
      </c>
      <c r="FU578" s="14">
        <f t="shared" si="571"/>
        <v>91</v>
      </c>
      <c r="FV578" s="14">
        <f t="shared" si="556"/>
        <v>2043</v>
      </c>
      <c r="FW578" s="14">
        <f t="shared" si="557"/>
        <v>3</v>
      </c>
      <c r="FX578" s="14">
        <f t="shared" si="558"/>
        <v>2043</v>
      </c>
      <c r="FY578" s="25" t="str">
        <f t="shared" si="572"/>
        <v>icon_2104106</v>
      </c>
      <c r="GC578" s="14">
        <f t="shared" si="559"/>
        <v>3</v>
      </c>
      <c r="GD578" s="14">
        <f t="shared" si="560"/>
        <v>0</v>
      </c>
      <c r="GE578" s="14">
        <f t="shared" si="588"/>
        <v>91</v>
      </c>
      <c r="GF578" s="14" t="str">
        <f t="shared" si="589"/>
        <v>HPExt</v>
      </c>
      <c r="GG578" s="14">
        <f t="shared" si="590"/>
        <v>1645</v>
      </c>
      <c r="GH578" s="14">
        <f t="shared" si="591"/>
        <v>91</v>
      </c>
      <c r="GI578" s="14" t="str">
        <f t="shared" si="592"/>
        <v/>
      </c>
      <c r="GJ578" s="14" t="str">
        <f t="shared" si="593"/>
        <v/>
      </c>
      <c r="GK578" s="14" t="str">
        <f t="shared" si="594"/>
        <v/>
      </c>
      <c r="GL578" s="14">
        <f t="shared" si="561"/>
        <v>20430</v>
      </c>
      <c r="GM578" s="14">
        <f t="shared" si="595"/>
        <v>3</v>
      </c>
      <c r="GN578" s="14">
        <f t="shared" si="596"/>
        <v>2043</v>
      </c>
      <c r="GO578" s="25" t="s">
        <v>1471</v>
      </c>
      <c r="GP578" s="14">
        <f t="shared" si="562"/>
        <v>75</v>
      </c>
    </row>
    <row r="579" spans="151:198" ht="16.5" x14ac:dyDescent="0.2">
      <c r="EU579" s="13">
        <v>574</v>
      </c>
      <c r="EV579" s="14">
        <f t="shared" si="563"/>
        <v>2</v>
      </c>
      <c r="EW579" s="14">
        <f t="shared" si="584"/>
        <v>139</v>
      </c>
      <c r="EX579" s="14">
        <f t="shared" si="564"/>
        <v>18</v>
      </c>
      <c r="EY579" s="14">
        <f t="shared" si="585"/>
        <v>30</v>
      </c>
      <c r="EZ579" s="14">
        <f t="shared" si="544"/>
        <v>15</v>
      </c>
      <c r="FA579" s="14">
        <f t="shared" si="545"/>
        <v>70</v>
      </c>
      <c r="FB579" s="14">
        <f t="shared" si="546"/>
        <v>3</v>
      </c>
      <c r="FC579" s="14">
        <f t="shared" si="547"/>
        <v>7</v>
      </c>
      <c r="FD579" s="14">
        <f t="shared" si="548"/>
        <v>7</v>
      </c>
      <c r="FE579" s="14" t="b">
        <f t="shared" si="565"/>
        <v>0</v>
      </c>
      <c r="FF579" s="14">
        <f t="shared" si="549"/>
        <v>2104307</v>
      </c>
      <c r="FG579" s="13" t="str">
        <f t="shared" si="550"/>
        <v>70级-精良守护灵の项链</v>
      </c>
      <c r="FH579" s="14">
        <f t="shared" si="551"/>
        <v>2</v>
      </c>
      <c r="FI579" s="14">
        <f t="shared" si="552"/>
        <v>3</v>
      </c>
      <c r="FJ579" s="14">
        <f t="shared" si="553"/>
        <v>70</v>
      </c>
      <c r="FK579" s="14">
        <v>140</v>
      </c>
      <c r="FL579" s="14">
        <f t="shared" si="554"/>
        <v>4</v>
      </c>
      <c r="FM579" s="14">
        <f t="shared" si="586"/>
        <v>7</v>
      </c>
      <c r="FN579" s="14" t="str">
        <f t="shared" si="555"/>
        <v/>
      </c>
      <c r="FO579" s="14">
        <f t="shared" si="587"/>
        <v>90</v>
      </c>
      <c r="FP579" s="14">
        <f t="shared" si="566"/>
        <v>145</v>
      </c>
      <c r="FQ579" s="14">
        <f t="shared" si="567"/>
        <v>90</v>
      </c>
      <c r="FR579" s="14">
        <f t="shared" si="568"/>
        <v>0</v>
      </c>
      <c r="FS579" s="14">
        <f t="shared" si="569"/>
        <v>8</v>
      </c>
      <c r="FT579" s="14">
        <f t="shared" si="570"/>
        <v>5</v>
      </c>
      <c r="FU579" s="14">
        <f t="shared" si="571"/>
        <v>0</v>
      </c>
      <c r="FV579" s="14">
        <f t="shared" si="556"/>
        <v>2043</v>
      </c>
      <c r="FW579" s="14">
        <f t="shared" si="557"/>
        <v>3</v>
      </c>
      <c r="FX579" s="14">
        <f t="shared" si="558"/>
        <v>2043</v>
      </c>
      <c r="FY579" s="25" t="str">
        <f t="shared" si="572"/>
        <v>icon_2104107</v>
      </c>
      <c r="GC579" s="14">
        <f t="shared" si="559"/>
        <v>1</v>
      </c>
      <c r="GD579" s="14">
        <f t="shared" si="560"/>
        <v>2</v>
      </c>
      <c r="GE579" s="14">
        <f t="shared" si="588"/>
        <v>90</v>
      </c>
      <c r="GF579" s="14" t="str">
        <f t="shared" si="589"/>
        <v>AtkExt</v>
      </c>
      <c r="GG579" s="14">
        <f t="shared" si="590"/>
        <v>145</v>
      </c>
      <c r="GH579" s="14">
        <f t="shared" si="591"/>
        <v>8</v>
      </c>
      <c r="GI579" s="14" t="str">
        <f t="shared" si="592"/>
        <v>DefExt</v>
      </c>
      <c r="GJ579" s="14">
        <f t="shared" si="593"/>
        <v>90</v>
      </c>
      <c r="GK579" s="14">
        <f t="shared" si="594"/>
        <v>5</v>
      </c>
      <c r="GL579" s="14">
        <f t="shared" si="561"/>
        <v>20430</v>
      </c>
      <c r="GM579" s="14">
        <f t="shared" si="595"/>
        <v>3</v>
      </c>
      <c r="GN579" s="14">
        <f t="shared" si="596"/>
        <v>2043</v>
      </c>
      <c r="GO579" s="25" t="s">
        <v>1471</v>
      </c>
      <c r="GP579" s="14">
        <f t="shared" si="562"/>
        <v>113</v>
      </c>
    </row>
    <row r="580" spans="151:198" ht="16.5" x14ac:dyDescent="0.2">
      <c r="EU580" s="13">
        <v>575</v>
      </c>
      <c r="EV580" s="14">
        <f t="shared" si="563"/>
        <v>2</v>
      </c>
      <c r="EW580" s="14">
        <f t="shared" si="584"/>
        <v>140</v>
      </c>
      <c r="EX580" s="14">
        <f t="shared" si="564"/>
        <v>18</v>
      </c>
      <c r="EY580" s="14">
        <f t="shared" si="585"/>
        <v>30</v>
      </c>
      <c r="EZ580" s="14">
        <f t="shared" si="544"/>
        <v>15</v>
      </c>
      <c r="FA580" s="14">
        <f t="shared" si="545"/>
        <v>70</v>
      </c>
      <c r="FB580" s="14">
        <f t="shared" si="546"/>
        <v>3</v>
      </c>
      <c r="FC580" s="14">
        <f t="shared" si="547"/>
        <v>8</v>
      </c>
      <c r="FD580" s="14">
        <f t="shared" si="548"/>
        <v>8</v>
      </c>
      <c r="FE580" s="14" t="b">
        <f t="shared" si="565"/>
        <v>0</v>
      </c>
      <c r="FF580" s="14">
        <f t="shared" si="549"/>
        <v>2104308</v>
      </c>
      <c r="FG580" s="13" t="str">
        <f t="shared" si="550"/>
        <v>70级-精良守护灵の戒指</v>
      </c>
      <c r="FH580" s="14">
        <f t="shared" si="551"/>
        <v>2</v>
      </c>
      <c r="FI580" s="14">
        <f t="shared" si="552"/>
        <v>3</v>
      </c>
      <c r="FJ580" s="14">
        <f t="shared" si="553"/>
        <v>70</v>
      </c>
      <c r="FK580" s="14">
        <v>141</v>
      </c>
      <c r="FL580" s="14">
        <f t="shared" si="554"/>
        <v>4</v>
      </c>
      <c r="FM580" s="14">
        <f t="shared" si="586"/>
        <v>8</v>
      </c>
      <c r="FN580" s="14" t="str">
        <f t="shared" si="555"/>
        <v/>
      </c>
      <c r="FO580" s="14">
        <f t="shared" si="587"/>
        <v>116</v>
      </c>
      <c r="FP580" s="14">
        <f t="shared" si="566"/>
        <v>145</v>
      </c>
      <c r="FQ580" s="14">
        <f t="shared" si="567"/>
        <v>0</v>
      </c>
      <c r="FR580" s="14">
        <f t="shared" si="568"/>
        <v>1375</v>
      </c>
      <c r="FS580" s="14">
        <f t="shared" si="569"/>
        <v>8</v>
      </c>
      <c r="FT580" s="14">
        <f t="shared" si="570"/>
        <v>0</v>
      </c>
      <c r="FU580" s="14">
        <f t="shared" si="571"/>
        <v>76</v>
      </c>
      <c r="FV580" s="14">
        <f t="shared" si="556"/>
        <v>2043</v>
      </c>
      <c r="FW580" s="14">
        <f t="shared" si="557"/>
        <v>3</v>
      </c>
      <c r="FX580" s="14">
        <f t="shared" si="558"/>
        <v>2043</v>
      </c>
      <c r="FY580" s="25" t="str">
        <f t="shared" si="572"/>
        <v>icon_2104108</v>
      </c>
      <c r="GC580" s="14">
        <f t="shared" si="559"/>
        <v>1</v>
      </c>
      <c r="GD580" s="14">
        <f t="shared" si="560"/>
        <v>3</v>
      </c>
      <c r="GE580" s="14">
        <f t="shared" si="588"/>
        <v>116</v>
      </c>
      <c r="GF580" s="14" t="str">
        <f t="shared" si="589"/>
        <v>AtkExt</v>
      </c>
      <c r="GG580" s="14">
        <f t="shared" si="590"/>
        <v>145</v>
      </c>
      <c r="GH580" s="14">
        <f t="shared" si="591"/>
        <v>8</v>
      </c>
      <c r="GI580" s="14" t="str">
        <f t="shared" si="592"/>
        <v>HPExt</v>
      </c>
      <c r="GJ580" s="14">
        <f t="shared" si="593"/>
        <v>1375</v>
      </c>
      <c r="GK580" s="14">
        <f t="shared" si="594"/>
        <v>76</v>
      </c>
      <c r="GL580" s="14">
        <f t="shared" si="561"/>
        <v>20430</v>
      </c>
      <c r="GM580" s="14">
        <f t="shared" si="595"/>
        <v>3</v>
      </c>
      <c r="GN580" s="14">
        <f t="shared" si="596"/>
        <v>2043</v>
      </c>
      <c r="GO580" s="25" t="s">
        <v>1471</v>
      </c>
      <c r="GP580" s="14">
        <f t="shared" si="562"/>
        <v>113</v>
      </c>
    </row>
    <row r="581" spans="151:198" ht="16.5" x14ac:dyDescent="0.2">
      <c r="EU581" s="13">
        <v>576</v>
      </c>
      <c r="EV581" s="14">
        <f t="shared" si="563"/>
        <v>2</v>
      </c>
      <c r="EW581" s="14">
        <f t="shared" si="584"/>
        <v>141</v>
      </c>
      <c r="EX581" s="14">
        <f t="shared" si="564"/>
        <v>19</v>
      </c>
      <c r="EY581" s="14">
        <f t="shared" si="585"/>
        <v>40</v>
      </c>
      <c r="EZ581" s="14">
        <f t="shared" si="544"/>
        <v>15</v>
      </c>
      <c r="FA581" s="14">
        <f t="shared" si="545"/>
        <v>70</v>
      </c>
      <c r="FB581" s="14">
        <f t="shared" si="546"/>
        <v>4</v>
      </c>
      <c r="FC581" s="14">
        <f t="shared" si="547"/>
        <v>1</v>
      </c>
      <c r="FD581" s="14">
        <f t="shared" si="548"/>
        <v>1</v>
      </c>
      <c r="FE581" s="14" t="b">
        <f t="shared" si="565"/>
        <v>0</v>
      </c>
      <c r="FF581" s="14">
        <f t="shared" si="549"/>
        <v>2104401</v>
      </c>
      <c r="FG581" s="13" t="str">
        <f t="shared" si="550"/>
        <v>70级-史诗守护灵の灵器</v>
      </c>
      <c r="FH581" s="14">
        <f t="shared" si="551"/>
        <v>2</v>
      </c>
      <c r="FI581" s="14">
        <f t="shared" si="552"/>
        <v>4</v>
      </c>
      <c r="FJ581" s="14">
        <f t="shared" si="553"/>
        <v>70</v>
      </c>
      <c r="FK581" s="14">
        <v>142</v>
      </c>
      <c r="FL581" s="14">
        <f t="shared" si="554"/>
        <v>4</v>
      </c>
      <c r="FM581" s="14">
        <f t="shared" si="586"/>
        <v>1</v>
      </c>
      <c r="FN581" s="14" t="str">
        <f t="shared" si="555"/>
        <v/>
      </c>
      <c r="FO581" s="14">
        <f t="shared" si="587"/>
        <v>140</v>
      </c>
      <c r="FP581" s="14">
        <f t="shared" si="566"/>
        <v>510</v>
      </c>
      <c r="FQ581" s="14">
        <f t="shared" si="567"/>
        <v>0</v>
      </c>
      <c r="FR581" s="14">
        <f t="shared" si="568"/>
        <v>0</v>
      </c>
      <c r="FS581" s="14">
        <f t="shared" si="569"/>
        <v>28</v>
      </c>
      <c r="FT581" s="14">
        <f t="shared" si="570"/>
        <v>0</v>
      </c>
      <c r="FU581" s="14">
        <f t="shared" si="571"/>
        <v>0</v>
      </c>
      <c r="FV581" s="14">
        <f t="shared" si="556"/>
        <v>2044</v>
      </c>
      <c r="FW581" s="14">
        <f t="shared" si="557"/>
        <v>4</v>
      </c>
      <c r="FX581" s="14">
        <f t="shared" si="558"/>
        <v>2044</v>
      </c>
      <c r="FY581" s="25" t="str">
        <f t="shared" si="572"/>
        <v>icon_2104101</v>
      </c>
      <c r="GC581" s="14">
        <f t="shared" si="559"/>
        <v>1</v>
      </c>
      <c r="GD581" s="14">
        <f t="shared" si="560"/>
        <v>0</v>
      </c>
      <c r="GE581" s="14">
        <f t="shared" si="588"/>
        <v>140</v>
      </c>
      <c r="GF581" s="14" t="str">
        <f t="shared" si="589"/>
        <v>AtkExt</v>
      </c>
      <c r="GG581" s="14">
        <f t="shared" si="590"/>
        <v>510</v>
      </c>
      <c r="GH581" s="14">
        <f t="shared" si="591"/>
        <v>28</v>
      </c>
      <c r="GI581" s="14" t="str">
        <f t="shared" si="592"/>
        <v/>
      </c>
      <c r="GJ581" s="14" t="str">
        <f t="shared" si="593"/>
        <v/>
      </c>
      <c r="GK581" s="14" t="str">
        <f t="shared" si="594"/>
        <v/>
      </c>
      <c r="GL581" s="14">
        <f t="shared" si="561"/>
        <v>20440</v>
      </c>
      <c r="GM581" s="14">
        <f t="shared" si="595"/>
        <v>4</v>
      </c>
      <c r="GN581" s="14">
        <f t="shared" si="596"/>
        <v>2044</v>
      </c>
      <c r="GO581" s="25" t="s">
        <v>1471</v>
      </c>
      <c r="GP581" s="14">
        <f t="shared" si="562"/>
        <v>300</v>
      </c>
    </row>
    <row r="582" spans="151:198" ht="16.5" x14ac:dyDescent="0.2">
      <c r="EU582" s="13">
        <v>577</v>
      </c>
      <c r="EV582" s="14">
        <f t="shared" si="563"/>
        <v>2</v>
      </c>
      <c r="EW582" s="14">
        <f t="shared" si="584"/>
        <v>142</v>
      </c>
      <c r="EX582" s="14">
        <f t="shared" si="564"/>
        <v>19</v>
      </c>
      <c r="EY582" s="14">
        <f t="shared" si="585"/>
        <v>40</v>
      </c>
      <c r="EZ582" s="14">
        <f t="shared" ref="EZ582:EZ645" si="597">(EV582-1)*$EX$3+FL582</f>
        <v>15</v>
      </c>
      <c r="FA582" s="14">
        <f t="shared" ref="FA582:FA645" si="598">INDEX(AI$7:AI$64,$EX582)</f>
        <v>70</v>
      </c>
      <c r="FB582" s="14">
        <f t="shared" ref="FB582:FB645" si="599">INDEX(AJ$7:AJ$64,$EX582)</f>
        <v>4</v>
      </c>
      <c r="FC582" s="14">
        <f t="shared" ref="FC582:FC645" si="600">EW582-INDEX($AQ$6:$AQ$64,EX582)</f>
        <v>2</v>
      </c>
      <c r="FD582" s="14">
        <f t="shared" ref="FD582:FD645" si="601">INDEX($AR$7:$AY$64,EX582,EW582-INDEX($AQ$6:$AQ$64,EX582))</f>
        <v>2</v>
      </c>
      <c r="FE582" s="14" t="b">
        <f t="shared" si="565"/>
        <v>0</v>
      </c>
      <c r="FF582" s="14">
        <f t="shared" ref="FF582:FF645" si="602">INDEX($AN$7:$AN$64,EX582)*10+FD582+(EV582-1)*100000+2000000</f>
        <v>2104402</v>
      </c>
      <c r="FG582" s="13" t="str">
        <f t="shared" ref="FG582:FG645" si="603">INDEX($AL$7:$AL$64,EX582)&amp;"-"&amp;INDEX($AM$7:$AM$64,EX582)&amp;INDEX($BC$6:$BC$7,EV582)&amp;INDEX($AR$3:$AY$3,FD582)</f>
        <v>70级-史诗守护灵の头盔</v>
      </c>
      <c r="FH582" s="14">
        <f t="shared" ref="FH582:FH645" si="604">EV582</f>
        <v>2</v>
      </c>
      <c r="FI582" s="14">
        <f t="shared" ref="FI582:FI645" si="605">INDEX($AJ$7:$AJ$64,EX582)</f>
        <v>4</v>
      </c>
      <c r="FJ582" s="14">
        <f t="shared" ref="FJ582:FJ645" si="606">INDEX($AI$7:$AI$64,EX582)</f>
        <v>70</v>
      </c>
      <c r="FK582" s="14">
        <v>143</v>
      </c>
      <c r="FL582" s="14">
        <f t="shared" ref="FL582:FL645" si="607">INDEX(AH$7:AH$64,$EX582)</f>
        <v>4</v>
      </c>
      <c r="FM582" s="14">
        <f t="shared" si="586"/>
        <v>2</v>
      </c>
      <c r="FN582" s="14" t="str">
        <f t="shared" ref="FN582:FN645" si="608">IF(INDEX($AO$7:$AO$64,EX582)&gt;0,INDEX($AO$7:$AO$64,EX582) + (EV582-1)*10000+200000,"")</f>
        <v/>
      </c>
      <c r="FO582" s="14">
        <f t="shared" si="587"/>
        <v>70</v>
      </c>
      <c r="FP582" s="14">
        <f t="shared" si="566"/>
        <v>0</v>
      </c>
      <c r="FQ582" s="14">
        <f t="shared" si="567"/>
        <v>130</v>
      </c>
      <c r="FR582" s="14">
        <f t="shared" si="568"/>
        <v>0</v>
      </c>
      <c r="FS582" s="14">
        <f t="shared" si="569"/>
        <v>0</v>
      </c>
      <c r="FT582" s="14">
        <f t="shared" si="570"/>
        <v>7</v>
      </c>
      <c r="FU582" s="14">
        <f t="shared" si="571"/>
        <v>0</v>
      </c>
      <c r="FV582" s="14">
        <f t="shared" ref="FV582:FV645" si="609">FL582*10+FB582+EV582*1000</f>
        <v>2044</v>
      </c>
      <c r="FW582" s="14">
        <f t="shared" ref="FW582:FW645" si="610">INDEX($V$17:$Y$27,FL582,FB582)</f>
        <v>4</v>
      </c>
      <c r="FX582" s="14">
        <f t="shared" ref="FX582:FX645" si="611">IF(FB582&gt;2,FL582*10+FB582+EV582*1000,"")</f>
        <v>2044</v>
      </c>
      <c r="FY582" s="25" t="str">
        <f t="shared" si="572"/>
        <v>icon_2104102</v>
      </c>
      <c r="GC582" s="14">
        <f t="shared" ref="GC582:GC645" si="612">INDEX(BL$6:BL$13,$FM582)</f>
        <v>2</v>
      </c>
      <c r="GD582" s="14">
        <f t="shared" ref="GD582:GD645" si="613">INDEX(BM$6:BM$13,$FM582)</f>
        <v>0</v>
      </c>
      <c r="GE582" s="14">
        <f t="shared" si="588"/>
        <v>70</v>
      </c>
      <c r="GF582" s="14" t="str">
        <f t="shared" si="589"/>
        <v>DefExt</v>
      </c>
      <c r="GG582" s="14">
        <f t="shared" si="590"/>
        <v>130</v>
      </c>
      <c r="GH582" s="14">
        <f t="shared" si="591"/>
        <v>7</v>
      </c>
      <c r="GI582" s="14" t="str">
        <f t="shared" si="592"/>
        <v/>
      </c>
      <c r="GJ582" s="14" t="str">
        <f t="shared" si="593"/>
        <v/>
      </c>
      <c r="GK582" s="14" t="str">
        <f t="shared" si="594"/>
        <v/>
      </c>
      <c r="GL582" s="14">
        <f t="shared" ref="GL582:GL645" si="614">20000+FL582*100+FB582*10</f>
        <v>20440</v>
      </c>
      <c r="GM582" s="14">
        <f t="shared" si="595"/>
        <v>4</v>
      </c>
      <c r="GN582" s="14">
        <f t="shared" si="596"/>
        <v>2044</v>
      </c>
      <c r="GO582" s="25" t="s">
        <v>1471</v>
      </c>
      <c r="GP582" s="14">
        <f t="shared" ref="GP582:GP645" si="615">ROUND(INDEX($AA$17:$AD$27,FL582,FB582)*INDEX($BK$6:$BK$13,FM582),0)</f>
        <v>150</v>
      </c>
    </row>
    <row r="583" spans="151:198" ht="16.5" x14ac:dyDescent="0.2">
      <c r="EU583" s="13">
        <v>578</v>
      </c>
      <c r="EV583" s="14">
        <f t="shared" ref="EV583:EV646" si="616">IF(EU583&lt;=$EV$3,1,2)</f>
        <v>2</v>
      </c>
      <c r="EW583" s="14">
        <f t="shared" si="584"/>
        <v>143</v>
      </c>
      <c r="EX583" s="14">
        <f t="shared" ref="EX583:EX646" si="617">MATCH(EW583-1,$AQ$6:$AQ$64,1)</f>
        <v>19</v>
      </c>
      <c r="EY583" s="14">
        <f t="shared" si="585"/>
        <v>40</v>
      </c>
      <c r="EZ583" s="14">
        <f t="shared" si="597"/>
        <v>15</v>
      </c>
      <c r="FA583" s="14">
        <f t="shared" si="598"/>
        <v>70</v>
      </c>
      <c r="FB583" s="14">
        <f t="shared" si="599"/>
        <v>4</v>
      </c>
      <c r="FC583" s="14">
        <f t="shared" si="600"/>
        <v>3</v>
      </c>
      <c r="FD583" s="14">
        <f t="shared" si="601"/>
        <v>3</v>
      </c>
      <c r="FE583" s="14" t="b">
        <f t="shared" ref="FE583:FE646" si="618">IF(FN583="",FALSE,TRUE)</f>
        <v>0</v>
      </c>
      <c r="FF583" s="14">
        <f t="shared" si="602"/>
        <v>2104403</v>
      </c>
      <c r="FG583" s="13" t="str">
        <f t="shared" si="603"/>
        <v>70级-史诗守护灵の铠甲</v>
      </c>
      <c r="FH583" s="14">
        <f t="shared" si="604"/>
        <v>2</v>
      </c>
      <c r="FI583" s="14">
        <f t="shared" si="605"/>
        <v>4</v>
      </c>
      <c r="FJ583" s="14">
        <f t="shared" si="606"/>
        <v>70</v>
      </c>
      <c r="FK583" s="14">
        <v>144</v>
      </c>
      <c r="FL583" s="14">
        <f t="shared" si="607"/>
        <v>4</v>
      </c>
      <c r="FM583" s="14">
        <f t="shared" si="586"/>
        <v>3</v>
      </c>
      <c r="FN583" s="14" t="str">
        <f t="shared" si="608"/>
        <v/>
      </c>
      <c r="FO583" s="14">
        <f t="shared" si="587"/>
        <v>94</v>
      </c>
      <c r="FP583" s="14">
        <f t="shared" ref="FP583:FP646" si="619">ROUND(INDEX(M$6:M$27,$EZ583)*INDEX(BH$6:BH$13,$FD583)*INDEX($BR$6:$BR$9,FI583)/5,0)*5</f>
        <v>0</v>
      </c>
      <c r="FQ583" s="14">
        <f t="shared" ref="FQ583:FQ646" si="620">ROUND(INDEX(N$6:N$27,$EZ583)*INDEX(BI$6:BI$13,$FD583)*INDEX($BR$6:$BR$9,FI583)/5,0)*5</f>
        <v>65</v>
      </c>
      <c r="FR583" s="14">
        <f t="shared" ref="FR583:FR646" si="621">ROUND(INDEX(O$6:O$27,$EZ583)*INDEX(BJ$6:BJ$13,$FD583)*INDEX($BR$6:$BR$9,FI583)/5,0)*5</f>
        <v>970</v>
      </c>
      <c r="FS583" s="14">
        <f t="shared" ref="FS583:FS646" si="622">ROUND(INDEX(S$6:S$27,$EZ583)*INDEX(BH$6:BH$13,$FD583)*INDEX($BR$6:$BR$9,FI583),0)</f>
        <v>0</v>
      </c>
      <c r="FT583" s="14">
        <f t="shared" ref="FT583:FT646" si="623">ROUND(INDEX(T$6:T$27,$EZ583)*INDEX(BI$6:BI$13,$FD583)*INDEX($BR$6:$BR$9,FI583),0)</f>
        <v>4</v>
      </c>
      <c r="FU583" s="14">
        <f t="shared" ref="FU583:FU646" si="624">ROUND(INDEX(U$6:U$27,$EZ583)*INDEX(BJ$6:BJ$13,$FD583)*INDEX($BR$6:$BR$9,FI583),0)</f>
        <v>54</v>
      </c>
      <c r="FV583" s="14">
        <f t="shared" si="609"/>
        <v>2044</v>
      </c>
      <c r="FW583" s="14">
        <f t="shared" si="610"/>
        <v>4</v>
      </c>
      <c r="FX583" s="14">
        <f t="shared" si="611"/>
        <v>2044</v>
      </c>
      <c r="FY583" s="25" t="str">
        <f t="shared" ref="FY583:FY646" si="625">IF(FE583,"icon_"&amp;FF583,FY$2&amp;INDEX($ES$6:$ES$7,EV583)*100000+FL583*1000+100+FD583)</f>
        <v>icon_2104103</v>
      </c>
      <c r="GC583" s="14">
        <f t="shared" si="612"/>
        <v>2</v>
      </c>
      <c r="GD583" s="14">
        <f t="shared" si="613"/>
        <v>3</v>
      </c>
      <c r="GE583" s="14">
        <f t="shared" si="588"/>
        <v>94</v>
      </c>
      <c r="GF583" s="14" t="str">
        <f t="shared" si="589"/>
        <v>DefExt</v>
      </c>
      <c r="GG583" s="14">
        <f t="shared" si="590"/>
        <v>65</v>
      </c>
      <c r="GH583" s="14">
        <f t="shared" si="591"/>
        <v>4</v>
      </c>
      <c r="GI583" s="14" t="str">
        <f t="shared" si="592"/>
        <v>HPExt</v>
      </c>
      <c r="GJ583" s="14">
        <f t="shared" si="593"/>
        <v>970</v>
      </c>
      <c r="GK583" s="14">
        <f t="shared" si="594"/>
        <v>54</v>
      </c>
      <c r="GL583" s="14">
        <f t="shared" si="614"/>
        <v>20440</v>
      </c>
      <c r="GM583" s="14">
        <f t="shared" si="595"/>
        <v>4</v>
      </c>
      <c r="GN583" s="14">
        <f t="shared" si="596"/>
        <v>2044</v>
      </c>
      <c r="GO583" s="25" t="s">
        <v>1471</v>
      </c>
      <c r="GP583" s="14">
        <f t="shared" si="615"/>
        <v>150</v>
      </c>
    </row>
    <row r="584" spans="151:198" ht="16.5" x14ac:dyDescent="0.2">
      <c r="EU584" s="13">
        <v>579</v>
      </c>
      <c r="EV584" s="14">
        <f t="shared" si="616"/>
        <v>2</v>
      </c>
      <c r="EW584" s="14">
        <f t="shared" si="584"/>
        <v>144</v>
      </c>
      <c r="EX584" s="14">
        <f t="shared" si="617"/>
        <v>19</v>
      </c>
      <c r="EY584" s="14">
        <f t="shared" si="585"/>
        <v>40</v>
      </c>
      <c r="EZ584" s="14">
        <f t="shared" si="597"/>
        <v>15</v>
      </c>
      <c r="FA584" s="14">
        <f t="shared" si="598"/>
        <v>70</v>
      </c>
      <c r="FB584" s="14">
        <f t="shared" si="599"/>
        <v>4</v>
      </c>
      <c r="FC584" s="14">
        <f t="shared" si="600"/>
        <v>4</v>
      </c>
      <c r="FD584" s="14">
        <f t="shared" si="601"/>
        <v>4</v>
      </c>
      <c r="FE584" s="14" t="b">
        <f t="shared" si="618"/>
        <v>0</v>
      </c>
      <c r="FF584" s="14">
        <f t="shared" si="602"/>
        <v>2104404</v>
      </c>
      <c r="FG584" s="13" t="str">
        <f t="shared" si="603"/>
        <v>70级-史诗守护灵の裤子</v>
      </c>
      <c r="FH584" s="14">
        <f t="shared" si="604"/>
        <v>2</v>
      </c>
      <c r="FI584" s="14">
        <f t="shared" si="605"/>
        <v>4</v>
      </c>
      <c r="FJ584" s="14">
        <f t="shared" si="606"/>
        <v>70</v>
      </c>
      <c r="FK584" s="14">
        <v>145</v>
      </c>
      <c r="FL584" s="14">
        <f t="shared" si="607"/>
        <v>4</v>
      </c>
      <c r="FM584" s="14">
        <f t="shared" si="586"/>
        <v>4</v>
      </c>
      <c r="FN584" s="14" t="str">
        <f t="shared" si="608"/>
        <v/>
      </c>
      <c r="FO584" s="14">
        <f t="shared" si="587"/>
        <v>70</v>
      </c>
      <c r="FP584" s="14">
        <f t="shared" si="619"/>
        <v>0</v>
      </c>
      <c r="FQ584" s="14">
        <f t="shared" si="620"/>
        <v>130</v>
      </c>
      <c r="FR584" s="14">
        <f t="shared" si="621"/>
        <v>0</v>
      </c>
      <c r="FS584" s="14">
        <f t="shared" si="622"/>
        <v>0</v>
      </c>
      <c r="FT584" s="14">
        <f t="shared" si="623"/>
        <v>7</v>
      </c>
      <c r="FU584" s="14">
        <f t="shared" si="624"/>
        <v>0</v>
      </c>
      <c r="FV584" s="14">
        <f t="shared" si="609"/>
        <v>2044</v>
      </c>
      <c r="FW584" s="14">
        <f t="shared" si="610"/>
        <v>4</v>
      </c>
      <c r="FX584" s="14">
        <f t="shared" si="611"/>
        <v>2044</v>
      </c>
      <c r="FY584" s="25" t="str">
        <f t="shared" si="625"/>
        <v>icon_2104104</v>
      </c>
      <c r="GC584" s="14">
        <f t="shared" si="612"/>
        <v>2</v>
      </c>
      <c r="GD584" s="14">
        <f t="shared" si="613"/>
        <v>0</v>
      </c>
      <c r="GE584" s="14">
        <f t="shared" si="588"/>
        <v>70</v>
      </c>
      <c r="GF584" s="14" t="str">
        <f t="shared" si="589"/>
        <v>DefExt</v>
      </c>
      <c r="GG584" s="14">
        <f t="shared" si="590"/>
        <v>130</v>
      </c>
      <c r="GH584" s="14">
        <f t="shared" si="591"/>
        <v>7</v>
      </c>
      <c r="GI584" s="14" t="str">
        <f t="shared" si="592"/>
        <v/>
      </c>
      <c r="GJ584" s="14" t="str">
        <f t="shared" si="593"/>
        <v/>
      </c>
      <c r="GK584" s="14" t="str">
        <f t="shared" si="594"/>
        <v/>
      </c>
      <c r="GL584" s="14">
        <f t="shared" si="614"/>
        <v>20440</v>
      </c>
      <c r="GM584" s="14">
        <f t="shared" si="595"/>
        <v>4</v>
      </c>
      <c r="GN584" s="14">
        <f t="shared" si="596"/>
        <v>2044</v>
      </c>
      <c r="GO584" s="25" t="s">
        <v>1471</v>
      </c>
      <c r="GP584" s="14">
        <f t="shared" si="615"/>
        <v>150</v>
      </c>
    </row>
    <row r="585" spans="151:198" ht="16.5" x14ac:dyDescent="0.2">
      <c r="EU585" s="13">
        <v>580</v>
      </c>
      <c r="EV585" s="14">
        <f t="shared" si="616"/>
        <v>2</v>
      </c>
      <c r="EW585" s="14">
        <f t="shared" si="584"/>
        <v>145</v>
      </c>
      <c r="EX585" s="14">
        <f t="shared" si="617"/>
        <v>19</v>
      </c>
      <c r="EY585" s="14">
        <f t="shared" si="585"/>
        <v>40</v>
      </c>
      <c r="EZ585" s="14">
        <f t="shared" si="597"/>
        <v>15</v>
      </c>
      <c r="FA585" s="14">
        <f t="shared" si="598"/>
        <v>70</v>
      </c>
      <c r="FB585" s="14">
        <f t="shared" si="599"/>
        <v>4</v>
      </c>
      <c r="FC585" s="14">
        <f t="shared" si="600"/>
        <v>5</v>
      </c>
      <c r="FD585" s="14">
        <f t="shared" si="601"/>
        <v>5</v>
      </c>
      <c r="FE585" s="14" t="b">
        <f t="shared" si="618"/>
        <v>0</v>
      </c>
      <c r="FF585" s="14">
        <f t="shared" si="602"/>
        <v>2104405</v>
      </c>
      <c r="FG585" s="13" t="str">
        <f t="shared" si="603"/>
        <v>70级-史诗守护灵の鞋子</v>
      </c>
      <c r="FH585" s="14">
        <f t="shared" si="604"/>
        <v>2</v>
      </c>
      <c r="FI585" s="14">
        <f t="shared" si="605"/>
        <v>4</v>
      </c>
      <c r="FJ585" s="14">
        <f t="shared" si="606"/>
        <v>70</v>
      </c>
      <c r="FK585" s="14">
        <v>146</v>
      </c>
      <c r="FL585" s="14">
        <f t="shared" si="607"/>
        <v>4</v>
      </c>
      <c r="FM585" s="14">
        <f t="shared" si="586"/>
        <v>5</v>
      </c>
      <c r="FN585" s="14" t="str">
        <f t="shared" si="608"/>
        <v/>
      </c>
      <c r="FO585" s="14">
        <f t="shared" si="587"/>
        <v>108</v>
      </c>
      <c r="FP585" s="14">
        <f t="shared" si="619"/>
        <v>0</v>
      </c>
      <c r="FQ585" s="14">
        <f t="shared" si="620"/>
        <v>0</v>
      </c>
      <c r="FR585" s="14">
        <f t="shared" si="621"/>
        <v>1940</v>
      </c>
      <c r="FS585" s="14">
        <f t="shared" si="622"/>
        <v>0</v>
      </c>
      <c r="FT585" s="14">
        <f t="shared" si="623"/>
        <v>0</v>
      </c>
      <c r="FU585" s="14">
        <f t="shared" si="624"/>
        <v>108</v>
      </c>
      <c r="FV585" s="14">
        <f t="shared" si="609"/>
        <v>2044</v>
      </c>
      <c r="FW585" s="14">
        <f t="shared" si="610"/>
        <v>4</v>
      </c>
      <c r="FX585" s="14">
        <f t="shared" si="611"/>
        <v>2044</v>
      </c>
      <c r="FY585" s="25" t="str">
        <f t="shared" si="625"/>
        <v>icon_2104105</v>
      </c>
      <c r="GC585" s="14">
        <f t="shared" si="612"/>
        <v>3</v>
      </c>
      <c r="GD585" s="14">
        <f t="shared" si="613"/>
        <v>0</v>
      </c>
      <c r="GE585" s="14">
        <f t="shared" si="588"/>
        <v>108</v>
      </c>
      <c r="GF585" s="14" t="str">
        <f t="shared" si="589"/>
        <v>HPExt</v>
      </c>
      <c r="GG585" s="14">
        <f t="shared" si="590"/>
        <v>1940</v>
      </c>
      <c r="GH585" s="14">
        <f t="shared" si="591"/>
        <v>108</v>
      </c>
      <c r="GI585" s="14" t="str">
        <f t="shared" si="592"/>
        <v/>
      </c>
      <c r="GJ585" s="14" t="str">
        <f t="shared" si="593"/>
        <v/>
      </c>
      <c r="GK585" s="14" t="str">
        <f t="shared" si="594"/>
        <v/>
      </c>
      <c r="GL585" s="14">
        <f t="shared" si="614"/>
        <v>20440</v>
      </c>
      <c r="GM585" s="14">
        <f t="shared" si="595"/>
        <v>4</v>
      </c>
      <c r="GN585" s="14">
        <f t="shared" si="596"/>
        <v>2044</v>
      </c>
      <c r="GO585" s="25" t="s">
        <v>1471</v>
      </c>
      <c r="GP585" s="14">
        <f t="shared" si="615"/>
        <v>150</v>
      </c>
    </row>
    <row r="586" spans="151:198" ht="16.5" x14ac:dyDescent="0.2">
      <c r="EU586" s="13">
        <v>581</v>
      </c>
      <c r="EV586" s="14">
        <f t="shared" si="616"/>
        <v>2</v>
      </c>
      <c r="EW586" s="14">
        <f t="shared" si="584"/>
        <v>146</v>
      </c>
      <c r="EX586" s="14">
        <f t="shared" si="617"/>
        <v>19</v>
      </c>
      <c r="EY586" s="14">
        <f t="shared" si="585"/>
        <v>40</v>
      </c>
      <c r="EZ586" s="14">
        <f t="shared" si="597"/>
        <v>15</v>
      </c>
      <c r="FA586" s="14">
        <f t="shared" si="598"/>
        <v>70</v>
      </c>
      <c r="FB586" s="14">
        <f t="shared" si="599"/>
        <v>4</v>
      </c>
      <c r="FC586" s="14">
        <f t="shared" si="600"/>
        <v>6</v>
      </c>
      <c r="FD586" s="14">
        <f t="shared" si="601"/>
        <v>6</v>
      </c>
      <c r="FE586" s="14" t="b">
        <f t="shared" si="618"/>
        <v>0</v>
      </c>
      <c r="FF586" s="14">
        <f t="shared" si="602"/>
        <v>2104406</v>
      </c>
      <c r="FG586" s="13" t="str">
        <f t="shared" si="603"/>
        <v>70级-史诗守护灵の护手</v>
      </c>
      <c r="FH586" s="14">
        <f t="shared" si="604"/>
        <v>2</v>
      </c>
      <c r="FI586" s="14">
        <f t="shared" si="605"/>
        <v>4</v>
      </c>
      <c r="FJ586" s="14">
        <f t="shared" si="606"/>
        <v>70</v>
      </c>
      <c r="FK586" s="14">
        <v>147</v>
      </c>
      <c r="FL586" s="14">
        <f t="shared" si="607"/>
        <v>4</v>
      </c>
      <c r="FM586" s="14">
        <f t="shared" si="586"/>
        <v>6</v>
      </c>
      <c r="FN586" s="14" t="str">
        <f t="shared" si="608"/>
        <v/>
      </c>
      <c r="FO586" s="14">
        <f t="shared" si="587"/>
        <v>108</v>
      </c>
      <c r="FP586" s="14">
        <f t="shared" si="619"/>
        <v>0</v>
      </c>
      <c r="FQ586" s="14">
        <f t="shared" si="620"/>
        <v>0</v>
      </c>
      <c r="FR586" s="14">
        <f t="shared" si="621"/>
        <v>1940</v>
      </c>
      <c r="FS586" s="14">
        <f t="shared" si="622"/>
        <v>0</v>
      </c>
      <c r="FT586" s="14">
        <f t="shared" si="623"/>
        <v>0</v>
      </c>
      <c r="FU586" s="14">
        <f t="shared" si="624"/>
        <v>108</v>
      </c>
      <c r="FV586" s="14">
        <f t="shared" si="609"/>
        <v>2044</v>
      </c>
      <c r="FW586" s="14">
        <f t="shared" si="610"/>
        <v>4</v>
      </c>
      <c r="FX586" s="14">
        <f t="shared" si="611"/>
        <v>2044</v>
      </c>
      <c r="FY586" s="25" t="str">
        <f t="shared" si="625"/>
        <v>icon_2104106</v>
      </c>
      <c r="GC586" s="14">
        <f t="shared" si="612"/>
        <v>3</v>
      </c>
      <c r="GD586" s="14">
        <f t="shared" si="613"/>
        <v>0</v>
      </c>
      <c r="GE586" s="14">
        <f t="shared" si="588"/>
        <v>108</v>
      </c>
      <c r="GF586" s="14" t="str">
        <f t="shared" si="589"/>
        <v>HPExt</v>
      </c>
      <c r="GG586" s="14">
        <f t="shared" si="590"/>
        <v>1940</v>
      </c>
      <c r="GH586" s="14">
        <f t="shared" si="591"/>
        <v>108</v>
      </c>
      <c r="GI586" s="14" t="str">
        <f t="shared" si="592"/>
        <v/>
      </c>
      <c r="GJ586" s="14" t="str">
        <f t="shared" si="593"/>
        <v/>
      </c>
      <c r="GK586" s="14" t="str">
        <f t="shared" si="594"/>
        <v/>
      </c>
      <c r="GL586" s="14">
        <f t="shared" si="614"/>
        <v>20440</v>
      </c>
      <c r="GM586" s="14">
        <f t="shared" si="595"/>
        <v>4</v>
      </c>
      <c r="GN586" s="14">
        <f t="shared" si="596"/>
        <v>2044</v>
      </c>
      <c r="GO586" s="25" t="s">
        <v>1471</v>
      </c>
      <c r="GP586" s="14">
        <f t="shared" si="615"/>
        <v>150</v>
      </c>
    </row>
    <row r="587" spans="151:198" ht="16.5" x14ac:dyDescent="0.2">
      <c r="EU587" s="13">
        <v>582</v>
      </c>
      <c r="EV587" s="14">
        <f t="shared" si="616"/>
        <v>2</v>
      </c>
      <c r="EW587" s="14">
        <f t="shared" si="584"/>
        <v>147</v>
      </c>
      <c r="EX587" s="14">
        <f t="shared" si="617"/>
        <v>19</v>
      </c>
      <c r="EY587" s="14">
        <f t="shared" si="585"/>
        <v>40</v>
      </c>
      <c r="EZ587" s="14">
        <f t="shared" si="597"/>
        <v>15</v>
      </c>
      <c r="FA587" s="14">
        <f t="shared" si="598"/>
        <v>70</v>
      </c>
      <c r="FB587" s="14">
        <f t="shared" si="599"/>
        <v>4</v>
      </c>
      <c r="FC587" s="14">
        <f t="shared" si="600"/>
        <v>7</v>
      </c>
      <c r="FD587" s="14">
        <f t="shared" si="601"/>
        <v>7</v>
      </c>
      <c r="FE587" s="14" t="b">
        <f t="shared" si="618"/>
        <v>0</v>
      </c>
      <c r="FF587" s="14">
        <f t="shared" si="602"/>
        <v>2104407</v>
      </c>
      <c r="FG587" s="13" t="str">
        <f t="shared" si="603"/>
        <v>70级-史诗守护灵の项链</v>
      </c>
      <c r="FH587" s="14">
        <f t="shared" si="604"/>
        <v>2</v>
      </c>
      <c r="FI587" s="14">
        <f t="shared" si="605"/>
        <v>4</v>
      </c>
      <c r="FJ587" s="14">
        <f t="shared" si="606"/>
        <v>70</v>
      </c>
      <c r="FK587" s="14">
        <v>148</v>
      </c>
      <c r="FL587" s="14">
        <f t="shared" si="607"/>
        <v>4</v>
      </c>
      <c r="FM587" s="14">
        <f t="shared" si="586"/>
        <v>7</v>
      </c>
      <c r="FN587" s="14" t="str">
        <f t="shared" si="608"/>
        <v/>
      </c>
      <c r="FO587" s="14">
        <f t="shared" si="587"/>
        <v>105</v>
      </c>
      <c r="FP587" s="14">
        <f t="shared" si="619"/>
        <v>170</v>
      </c>
      <c r="FQ587" s="14">
        <f t="shared" si="620"/>
        <v>110</v>
      </c>
      <c r="FR587" s="14">
        <f t="shared" si="621"/>
        <v>0</v>
      </c>
      <c r="FS587" s="14">
        <f t="shared" si="622"/>
        <v>9</v>
      </c>
      <c r="FT587" s="14">
        <f t="shared" si="623"/>
        <v>6</v>
      </c>
      <c r="FU587" s="14">
        <f t="shared" si="624"/>
        <v>0</v>
      </c>
      <c r="FV587" s="14">
        <f t="shared" si="609"/>
        <v>2044</v>
      </c>
      <c r="FW587" s="14">
        <f t="shared" si="610"/>
        <v>4</v>
      </c>
      <c r="FX587" s="14">
        <f t="shared" si="611"/>
        <v>2044</v>
      </c>
      <c r="FY587" s="25" t="str">
        <f t="shared" si="625"/>
        <v>icon_2104107</v>
      </c>
      <c r="GC587" s="14">
        <f t="shared" si="612"/>
        <v>1</v>
      </c>
      <c r="GD587" s="14">
        <f t="shared" si="613"/>
        <v>2</v>
      </c>
      <c r="GE587" s="14">
        <f t="shared" si="588"/>
        <v>105</v>
      </c>
      <c r="GF587" s="14" t="str">
        <f t="shared" si="589"/>
        <v>AtkExt</v>
      </c>
      <c r="GG587" s="14">
        <f t="shared" si="590"/>
        <v>170</v>
      </c>
      <c r="GH587" s="14">
        <f t="shared" si="591"/>
        <v>9</v>
      </c>
      <c r="GI587" s="14" t="str">
        <f t="shared" si="592"/>
        <v>DefExt</v>
      </c>
      <c r="GJ587" s="14">
        <f t="shared" si="593"/>
        <v>110</v>
      </c>
      <c r="GK587" s="14">
        <f t="shared" si="594"/>
        <v>6</v>
      </c>
      <c r="GL587" s="14">
        <f t="shared" si="614"/>
        <v>20440</v>
      </c>
      <c r="GM587" s="14">
        <f t="shared" si="595"/>
        <v>4</v>
      </c>
      <c r="GN587" s="14">
        <f t="shared" si="596"/>
        <v>2044</v>
      </c>
      <c r="GO587" s="25" t="s">
        <v>1471</v>
      </c>
      <c r="GP587" s="14">
        <f t="shared" si="615"/>
        <v>225</v>
      </c>
    </row>
    <row r="588" spans="151:198" ht="16.5" x14ac:dyDescent="0.2">
      <c r="EU588" s="13">
        <v>583</v>
      </c>
      <c r="EV588" s="14">
        <f t="shared" si="616"/>
        <v>2</v>
      </c>
      <c r="EW588" s="14">
        <f t="shared" si="584"/>
        <v>148</v>
      </c>
      <c r="EX588" s="14">
        <f t="shared" si="617"/>
        <v>19</v>
      </c>
      <c r="EY588" s="14">
        <f t="shared" si="585"/>
        <v>40</v>
      </c>
      <c r="EZ588" s="14">
        <f t="shared" si="597"/>
        <v>15</v>
      </c>
      <c r="FA588" s="14">
        <f t="shared" si="598"/>
        <v>70</v>
      </c>
      <c r="FB588" s="14">
        <f t="shared" si="599"/>
        <v>4</v>
      </c>
      <c r="FC588" s="14">
        <f t="shared" si="600"/>
        <v>8</v>
      </c>
      <c r="FD588" s="14">
        <f t="shared" si="601"/>
        <v>8</v>
      </c>
      <c r="FE588" s="14" t="b">
        <f t="shared" si="618"/>
        <v>0</v>
      </c>
      <c r="FF588" s="14">
        <f t="shared" si="602"/>
        <v>2104408</v>
      </c>
      <c r="FG588" s="13" t="str">
        <f t="shared" si="603"/>
        <v>70级-史诗守护灵の戒指</v>
      </c>
      <c r="FH588" s="14">
        <f t="shared" si="604"/>
        <v>2</v>
      </c>
      <c r="FI588" s="14">
        <f t="shared" si="605"/>
        <v>4</v>
      </c>
      <c r="FJ588" s="14">
        <f t="shared" si="606"/>
        <v>70</v>
      </c>
      <c r="FK588" s="14">
        <v>149</v>
      </c>
      <c r="FL588" s="14">
        <f t="shared" si="607"/>
        <v>4</v>
      </c>
      <c r="FM588" s="14">
        <f t="shared" si="586"/>
        <v>8</v>
      </c>
      <c r="FN588" s="14" t="str">
        <f t="shared" si="608"/>
        <v/>
      </c>
      <c r="FO588" s="14">
        <f t="shared" si="587"/>
        <v>135</v>
      </c>
      <c r="FP588" s="14">
        <f t="shared" si="619"/>
        <v>170</v>
      </c>
      <c r="FQ588" s="14">
        <f t="shared" si="620"/>
        <v>0</v>
      </c>
      <c r="FR588" s="14">
        <f t="shared" si="621"/>
        <v>1615</v>
      </c>
      <c r="FS588" s="14">
        <f t="shared" si="622"/>
        <v>9</v>
      </c>
      <c r="FT588" s="14">
        <f t="shared" si="623"/>
        <v>0</v>
      </c>
      <c r="FU588" s="14">
        <f t="shared" si="624"/>
        <v>90</v>
      </c>
      <c r="FV588" s="14">
        <f t="shared" si="609"/>
        <v>2044</v>
      </c>
      <c r="FW588" s="14">
        <f t="shared" si="610"/>
        <v>4</v>
      </c>
      <c r="FX588" s="14">
        <f t="shared" si="611"/>
        <v>2044</v>
      </c>
      <c r="FY588" s="25" t="str">
        <f t="shared" si="625"/>
        <v>icon_2104108</v>
      </c>
      <c r="GC588" s="14">
        <f t="shared" si="612"/>
        <v>1</v>
      </c>
      <c r="GD588" s="14">
        <f t="shared" si="613"/>
        <v>3</v>
      </c>
      <c r="GE588" s="14">
        <f t="shared" si="588"/>
        <v>135</v>
      </c>
      <c r="GF588" s="14" t="str">
        <f t="shared" si="589"/>
        <v>AtkExt</v>
      </c>
      <c r="GG588" s="14">
        <f t="shared" si="590"/>
        <v>170</v>
      </c>
      <c r="GH588" s="14">
        <f t="shared" si="591"/>
        <v>9</v>
      </c>
      <c r="GI588" s="14" t="str">
        <f t="shared" si="592"/>
        <v>HPExt</v>
      </c>
      <c r="GJ588" s="14">
        <f t="shared" si="593"/>
        <v>1615</v>
      </c>
      <c r="GK588" s="14">
        <f t="shared" si="594"/>
        <v>90</v>
      </c>
      <c r="GL588" s="14">
        <f t="shared" si="614"/>
        <v>20440</v>
      </c>
      <c r="GM588" s="14">
        <f t="shared" si="595"/>
        <v>4</v>
      </c>
      <c r="GN588" s="14">
        <f t="shared" si="596"/>
        <v>2044</v>
      </c>
      <c r="GO588" s="25" t="s">
        <v>1471</v>
      </c>
      <c r="GP588" s="14">
        <f t="shared" si="615"/>
        <v>225</v>
      </c>
    </row>
    <row r="589" spans="151:198" ht="16.5" x14ac:dyDescent="0.2">
      <c r="EU589" s="13">
        <v>584</v>
      </c>
      <c r="EV589" s="14">
        <f t="shared" si="616"/>
        <v>2</v>
      </c>
      <c r="EW589" s="14">
        <f t="shared" si="584"/>
        <v>149</v>
      </c>
      <c r="EX589" s="14">
        <f t="shared" si="617"/>
        <v>20</v>
      </c>
      <c r="EY589" s="14">
        <f t="shared" si="585"/>
        <v>42</v>
      </c>
      <c r="EZ589" s="14">
        <f t="shared" si="597"/>
        <v>15</v>
      </c>
      <c r="FA589" s="14">
        <f t="shared" si="598"/>
        <v>70</v>
      </c>
      <c r="FB589" s="14">
        <f t="shared" si="599"/>
        <v>4</v>
      </c>
      <c r="FC589" s="14">
        <f t="shared" si="600"/>
        <v>1</v>
      </c>
      <c r="FD589" s="14">
        <f t="shared" si="601"/>
        <v>1</v>
      </c>
      <c r="FE589" s="14" t="b">
        <f t="shared" si="618"/>
        <v>1</v>
      </c>
      <c r="FF589" s="14">
        <f t="shared" si="602"/>
        <v>2104421</v>
      </c>
      <c r="FG589" s="13" t="str">
        <f t="shared" si="603"/>
        <v>70级-攻击套守护灵の灵器</v>
      </c>
      <c r="FH589" s="14">
        <f t="shared" si="604"/>
        <v>2</v>
      </c>
      <c r="FI589" s="14">
        <f t="shared" si="605"/>
        <v>4</v>
      </c>
      <c r="FJ589" s="14">
        <f t="shared" si="606"/>
        <v>70</v>
      </c>
      <c r="FK589" s="14">
        <v>150</v>
      </c>
      <c r="FL589" s="14">
        <f t="shared" si="607"/>
        <v>4</v>
      </c>
      <c r="FM589" s="14">
        <f t="shared" si="586"/>
        <v>1</v>
      </c>
      <c r="FN589" s="14">
        <f t="shared" si="608"/>
        <v>210441</v>
      </c>
      <c r="FO589" s="14">
        <f t="shared" si="587"/>
        <v>210</v>
      </c>
      <c r="FP589" s="14">
        <f t="shared" si="619"/>
        <v>510</v>
      </c>
      <c r="FQ589" s="14">
        <f t="shared" si="620"/>
        <v>0</v>
      </c>
      <c r="FR589" s="14">
        <f t="shared" si="621"/>
        <v>0</v>
      </c>
      <c r="FS589" s="14">
        <f t="shared" si="622"/>
        <v>28</v>
      </c>
      <c r="FT589" s="14">
        <f t="shared" si="623"/>
        <v>0</v>
      </c>
      <c r="FU589" s="14">
        <f t="shared" si="624"/>
        <v>0</v>
      </c>
      <c r="FV589" s="14">
        <f t="shared" si="609"/>
        <v>2044</v>
      </c>
      <c r="FW589" s="14">
        <f t="shared" si="610"/>
        <v>4</v>
      </c>
      <c r="FX589" s="14">
        <f t="shared" si="611"/>
        <v>2044</v>
      </c>
      <c r="FY589" s="25" t="str">
        <f t="shared" si="625"/>
        <v>icon_2104421</v>
      </c>
      <c r="GC589" s="14">
        <f t="shared" si="612"/>
        <v>1</v>
      </c>
      <c r="GD589" s="14">
        <f t="shared" si="613"/>
        <v>0</v>
      </c>
      <c r="GE589" s="14">
        <f t="shared" si="588"/>
        <v>210</v>
      </c>
      <c r="GF589" s="14" t="str">
        <f t="shared" si="589"/>
        <v>AtkExt</v>
      </c>
      <c r="GG589" s="14">
        <f t="shared" si="590"/>
        <v>510</v>
      </c>
      <c r="GH589" s="14">
        <f t="shared" si="591"/>
        <v>28</v>
      </c>
      <c r="GI589" s="14" t="str">
        <f t="shared" si="592"/>
        <v/>
      </c>
      <c r="GJ589" s="14" t="str">
        <f t="shared" si="593"/>
        <v/>
      </c>
      <c r="GK589" s="14" t="str">
        <f t="shared" si="594"/>
        <v/>
      </c>
      <c r="GL589" s="14">
        <f t="shared" si="614"/>
        <v>20440</v>
      </c>
      <c r="GM589" s="14">
        <f t="shared" si="595"/>
        <v>4</v>
      </c>
      <c r="GN589" s="14">
        <f t="shared" si="596"/>
        <v>2044</v>
      </c>
      <c r="GO589" s="25" t="s">
        <v>1471</v>
      </c>
      <c r="GP589" s="14">
        <f t="shared" si="615"/>
        <v>300</v>
      </c>
    </row>
    <row r="590" spans="151:198" ht="16.5" x14ac:dyDescent="0.2">
      <c r="EU590" s="13">
        <v>585</v>
      </c>
      <c r="EV590" s="14">
        <f t="shared" si="616"/>
        <v>2</v>
      </c>
      <c r="EW590" s="14">
        <f t="shared" si="584"/>
        <v>150</v>
      </c>
      <c r="EX590" s="14">
        <f t="shared" si="617"/>
        <v>20</v>
      </c>
      <c r="EY590" s="14">
        <f t="shared" si="585"/>
        <v>42</v>
      </c>
      <c r="EZ590" s="14">
        <f t="shared" si="597"/>
        <v>15</v>
      </c>
      <c r="FA590" s="14">
        <f t="shared" si="598"/>
        <v>70</v>
      </c>
      <c r="FB590" s="14">
        <f t="shared" si="599"/>
        <v>4</v>
      </c>
      <c r="FC590" s="14">
        <f t="shared" si="600"/>
        <v>2</v>
      </c>
      <c r="FD590" s="14">
        <f t="shared" si="601"/>
        <v>2</v>
      </c>
      <c r="FE590" s="14" t="b">
        <f t="shared" si="618"/>
        <v>1</v>
      </c>
      <c r="FF590" s="14">
        <f t="shared" si="602"/>
        <v>2104422</v>
      </c>
      <c r="FG590" s="13" t="str">
        <f t="shared" si="603"/>
        <v>70级-攻击套守护灵の头盔</v>
      </c>
      <c r="FH590" s="14">
        <f t="shared" si="604"/>
        <v>2</v>
      </c>
      <c r="FI590" s="14">
        <f t="shared" si="605"/>
        <v>4</v>
      </c>
      <c r="FJ590" s="14">
        <f t="shared" si="606"/>
        <v>70</v>
      </c>
      <c r="FK590" s="14">
        <v>151</v>
      </c>
      <c r="FL590" s="14">
        <f t="shared" si="607"/>
        <v>4</v>
      </c>
      <c r="FM590" s="14">
        <f t="shared" si="586"/>
        <v>2</v>
      </c>
      <c r="FN590" s="14">
        <f t="shared" si="608"/>
        <v>210441</v>
      </c>
      <c r="FO590" s="14">
        <f t="shared" si="587"/>
        <v>105</v>
      </c>
      <c r="FP590" s="14">
        <f t="shared" si="619"/>
        <v>0</v>
      </c>
      <c r="FQ590" s="14">
        <f t="shared" si="620"/>
        <v>130</v>
      </c>
      <c r="FR590" s="14">
        <f t="shared" si="621"/>
        <v>0</v>
      </c>
      <c r="FS590" s="14">
        <f t="shared" si="622"/>
        <v>0</v>
      </c>
      <c r="FT590" s="14">
        <f t="shared" si="623"/>
        <v>7</v>
      </c>
      <c r="FU590" s="14">
        <f t="shared" si="624"/>
        <v>0</v>
      </c>
      <c r="FV590" s="14">
        <f t="shared" si="609"/>
        <v>2044</v>
      </c>
      <c r="FW590" s="14">
        <f t="shared" si="610"/>
        <v>4</v>
      </c>
      <c r="FX590" s="14">
        <f t="shared" si="611"/>
        <v>2044</v>
      </c>
      <c r="FY590" s="25" t="str">
        <f t="shared" si="625"/>
        <v>icon_2104422</v>
      </c>
      <c r="GC590" s="14">
        <f t="shared" si="612"/>
        <v>2</v>
      </c>
      <c r="GD590" s="14">
        <f t="shared" si="613"/>
        <v>0</v>
      </c>
      <c r="GE590" s="14">
        <f t="shared" si="588"/>
        <v>105</v>
      </c>
      <c r="GF590" s="14" t="str">
        <f t="shared" si="589"/>
        <v>DefExt</v>
      </c>
      <c r="GG590" s="14">
        <f t="shared" si="590"/>
        <v>130</v>
      </c>
      <c r="GH590" s="14">
        <f t="shared" si="591"/>
        <v>7</v>
      </c>
      <c r="GI590" s="14" t="str">
        <f t="shared" si="592"/>
        <v/>
      </c>
      <c r="GJ590" s="14" t="str">
        <f t="shared" si="593"/>
        <v/>
      </c>
      <c r="GK590" s="14" t="str">
        <f t="shared" si="594"/>
        <v/>
      </c>
      <c r="GL590" s="14">
        <f t="shared" si="614"/>
        <v>20440</v>
      </c>
      <c r="GM590" s="14">
        <f t="shared" si="595"/>
        <v>4</v>
      </c>
      <c r="GN590" s="14">
        <f t="shared" si="596"/>
        <v>2044</v>
      </c>
      <c r="GO590" s="25" t="s">
        <v>1471</v>
      </c>
      <c r="GP590" s="14">
        <f t="shared" si="615"/>
        <v>150</v>
      </c>
    </row>
    <row r="591" spans="151:198" ht="16.5" x14ac:dyDescent="0.2">
      <c r="EU591" s="13">
        <v>586</v>
      </c>
      <c r="EV591" s="14">
        <f t="shared" si="616"/>
        <v>2</v>
      </c>
      <c r="EW591" s="14">
        <f t="shared" si="584"/>
        <v>151</v>
      </c>
      <c r="EX591" s="14">
        <f t="shared" si="617"/>
        <v>20</v>
      </c>
      <c r="EY591" s="14">
        <f t="shared" si="585"/>
        <v>42</v>
      </c>
      <c r="EZ591" s="14">
        <f t="shared" si="597"/>
        <v>15</v>
      </c>
      <c r="FA591" s="14">
        <f t="shared" si="598"/>
        <v>70</v>
      </c>
      <c r="FB591" s="14">
        <f t="shared" si="599"/>
        <v>4</v>
      </c>
      <c r="FC591" s="14">
        <f t="shared" si="600"/>
        <v>3</v>
      </c>
      <c r="FD591" s="14">
        <f t="shared" si="601"/>
        <v>3</v>
      </c>
      <c r="FE591" s="14" t="b">
        <f t="shared" si="618"/>
        <v>1</v>
      </c>
      <c r="FF591" s="14">
        <f t="shared" si="602"/>
        <v>2104423</v>
      </c>
      <c r="FG591" s="13" t="str">
        <f t="shared" si="603"/>
        <v>70级-攻击套守护灵の铠甲</v>
      </c>
      <c r="FH591" s="14">
        <f t="shared" si="604"/>
        <v>2</v>
      </c>
      <c r="FI591" s="14">
        <f t="shared" si="605"/>
        <v>4</v>
      </c>
      <c r="FJ591" s="14">
        <f t="shared" si="606"/>
        <v>70</v>
      </c>
      <c r="FK591" s="14">
        <v>152</v>
      </c>
      <c r="FL591" s="14">
        <f t="shared" si="607"/>
        <v>4</v>
      </c>
      <c r="FM591" s="14">
        <f t="shared" si="586"/>
        <v>3</v>
      </c>
      <c r="FN591" s="14">
        <f t="shared" si="608"/>
        <v>210441</v>
      </c>
      <c r="FO591" s="14">
        <f t="shared" si="587"/>
        <v>141</v>
      </c>
      <c r="FP591" s="14">
        <f t="shared" si="619"/>
        <v>0</v>
      </c>
      <c r="FQ591" s="14">
        <f t="shared" si="620"/>
        <v>65</v>
      </c>
      <c r="FR591" s="14">
        <f t="shared" si="621"/>
        <v>970</v>
      </c>
      <c r="FS591" s="14">
        <f t="shared" si="622"/>
        <v>0</v>
      </c>
      <c r="FT591" s="14">
        <f t="shared" si="623"/>
        <v>4</v>
      </c>
      <c r="FU591" s="14">
        <f t="shared" si="624"/>
        <v>54</v>
      </c>
      <c r="FV591" s="14">
        <f t="shared" si="609"/>
        <v>2044</v>
      </c>
      <c r="FW591" s="14">
        <f t="shared" si="610"/>
        <v>4</v>
      </c>
      <c r="FX591" s="14">
        <f t="shared" si="611"/>
        <v>2044</v>
      </c>
      <c r="FY591" s="25" t="str">
        <f t="shared" si="625"/>
        <v>icon_2104423</v>
      </c>
      <c r="GC591" s="14">
        <f t="shared" si="612"/>
        <v>2</v>
      </c>
      <c r="GD591" s="14">
        <f t="shared" si="613"/>
        <v>3</v>
      </c>
      <c r="GE591" s="14">
        <f t="shared" si="588"/>
        <v>141</v>
      </c>
      <c r="GF591" s="14" t="str">
        <f t="shared" si="589"/>
        <v>DefExt</v>
      </c>
      <c r="GG591" s="14">
        <f t="shared" si="590"/>
        <v>65</v>
      </c>
      <c r="GH591" s="14">
        <f t="shared" si="591"/>
        <v>4</v>
      </c>
      <c r="GI591" s="14" t="str">
        <f t="shared" si="592"/>
        <v>HPExt</v>
      </c>
      <c r="GJ591" s="14">
        <f t="shared" si="593"/>
        <v>970</v>
      </c>
      <c r="GK591" s="14">
        <f t="shared" si="594"/>
        <v>54</v>
      </c>
      <c r="GL591" s="14">
        <f t="shared" si="614"/>
        <v>20440</v>
      </c>
      <c r="GM591" s="14">
        <f t="shared" si="595"/>
        <v>4</v>
      </c>
      <c r="GN591" s="14">
        <f t="shared" si="596"/>
        <v>2044</v>
      </c>
      <c r="GO591" s="25" t="s">
        <v>1471</v>
      </c>
      <c r="GP591" s="14">
        <f t="shared" si="615"/>
        <v>150</v>
      </c>
    </row>
    <row r="592" spans="151:198" ht="16.5" x14ac:dyDescent="0.2">
      <c r="EU592" s="13">
        <v>587</v>
      </c>
      <c r="EV592" s="14">
        <f t="shared" si="616"/>
        <v>2</v>
      </c>
      <c r="EW592" s="14">
        <f t="shared" si="584"/>
        <v>152</v>
      </c>
      <c r="EX592" s="14">
        <f t="shared" si="617"/>
        <v>20</v>
      </c>
      <c r="EY592" s="14">
        <f t="shared" si="585"/>
        <v>42</v>
      </c>
      <c r="EZ592" s="14">
        <f t="shared" si="597"/>
        <v>15</v>
      </c>
      <c r="FA592" s="14">
        <f t="shared" si="598"/>
        <v>70</v>
      </c>
      <c r="FB592" s="14">
        <f t="shared" si="599"/>
        <v>4</v>
      </c>
      <c r="FC592" s="14">
        <f t="shared" si="600"/>
        <v>4</v>
      </c>
      <c r="FD592" s="14">
        <f t="shared" si="601"/>
        <v>5</v>
      </c>
      <c r="FE592" s="14" t="b">
        <f t="shared" si="618"/>
        <v>1</v>
      </c>
      <c r="FF592" s="14">
        <f t="shared" si="602"/>
        <v>2104425</v>
      </c>
      <c r="FG592" s="13" t="str">
        <f t="shared" si="603"/>
        <v>70级-攻击套守护灵の鞋子</v>
      </c>
      <c r="FH592" s="14">
        <f t="shared" si="604"/>
        <v>2</v>
      </c>
      <c r="FI592" s="14">
        <f t="shared" si="605"/>
        <v>4</v>
      </c>
      <c r="FJ592" s="14">
        <f t="shared" si="606"/>
        <v>70</v>
      </c>
      <c r="FK592" s="14">
        <v>153</v>
      </c>
      <c r="FL592" s="14">
        <f t="shared" si="607"/>
        <v>4</v>
      </c>
      <c r="FM592" s="14">
        <f t="shared" si="586"/>
        <v>5</v>
      </c>
      <c r="FN592" s="14">
        <f t="shared" si="608"/>
        <v>210441</v>
      </c>
      <c r="FO592" s="14">
        <f t="shared" si="587"/>
        <v>162</v>
      </c>
      <c r="FP592" s="14">
        <f t="shared" si="619"/>
        <v>0</v>
      </c>
      <c r="FQ592" s="14">
        <f t="shared" si="620"/>
        <v>0</v>
      </c>
      <c r="FR592" s="14">
        <f t="shared" si="621"/>
        <v>1940</v>
      </c>
      <c r="FS592" s="14">
        <f t="shared" si="622"/>
        <v>0</v>
      </c>
      <c r="FT592" s="14">
        <f t="shared" si="623"/>
        <v>0</v>
      </c>
      <c r="FU592" s="14">
        <f t="shared" si="624"/>
        <v>108</v>
      </c>
      <c r="FV592" s="14">
        <f t="shared" si="609"/>
        <v>2044</v>
      </c>
      <c r="FW592" s="14">
        <f t="shared" si="610"/>
        <v>4</v>
      </c>
      <c r="FX592" s="14">
        <f t="shared" si="611"/>
        <v>2044</v>
      </c>
      <c r="FY592" s="25" t="str">
        <f t="shared" si="625"/>
        <v>icon_2104425</v>
      </c>
      <c r="GC592" s="14">
        <f t="shared" si="612"/>
        <v>3</v>
      </c>
      <c r="GD592" s="14">
        <f t="shared" si="613"/>
        <v>0</v>
      </c>
      <c r="GE592" s="14">
        <f t="shared" si="588"/>
        <v>162</v>
      </c>
      <c r="GF592" s="14" t="str">
        <f t="shared" si="589"/>
        <v>HPExt</v>
      </c>
      <c r="GG592" s="14">
        <f t="shared" si="590"/>
        <v>1940</v>
      </c>
      <c r="GH592" s="14">
        <f t="shared" si="591"/>
        <v>108</v>
      </c>
      <c r="GI592" s="14" t="str">
        <f t="shared" si="592"/>
        <v/>
      </c>
      <c r="GJ592" s="14" t="str">
        <f t="shared" si="593"/>
        <v/>
      </c>
      <c r="GK592" s="14" t="str">
        <f t="shared" si="594"/>
        <v/>
      </c>
      <c r="GL592" s="14">
        <f t="shared" si="614"/>
        <v>20440</v>
      </c>
      <c r="GM592" s="14">
        <f t="shared" si="595"/>
        <v>4</v>
      </c>
      <c r="GN592" s="14">
        <f t="shared" si="596"/>
        <v>2044</v>
      </c>
      <c r="GO592" s="25" t="s">
        <v>1471</v>
      </c>
      <c r="GP592" s="14">
        <f t="shared" si="615"/>
        <v>150</v>
      </c>
    </row>
    <row r="593" spans="151:198" ht="16.5" x14ac:dyDescent="0.2">
      <c r="EU593" s="13">
        <v>588</v>
      </c>
      <c r="EV593" s="14">
        <f t="shared" si="616"/>
        <v>2</v>
      </c>
      <c r="EW593" s="14">
        <f t="shared" si="584"/>
        <v>153</v>
      </c>
      <c r="EX593" s="14">
        <f t="shared" si="617"/>
        <v>20</v>
      </c>
      <c r="EY593" s="14">
        <f t="shared" si="585"/>
        <v>42</v>
      </c>
      <c r="EZ593" s="14">
        <f t="shared" si="597"/>
        <v>15</v>
      </c>
      <c r="FA593" s="14">
        <f t="shared" si="598"/>
        <v>70</v>
      </c>
      <c r="FB593" s="14">
        <f t="shared" si="599"/>
        <v>4</v>
      </c>
      <c r="FC593" s="14">
        <f t="shared" si="600"/>
        <v>5</v>
      </c>
      <c r="FD593" s="14">
        <f t="shared" si="601"/>
        <v>7</v>
      </c>
      <c r="FE593" s="14" t="b">
        <f t="shared" si="618"/>
        <v>1</v>
      </c>
      <c r="FF593" s="14">
        <f t="shared" si="602"/>
        <v>2104427</v>
      </c>
      <c r="FG593" s="13" t="str">
        <f t="shared" si="603"/>
        <v>70级-攻击套守护灵の项链</v>
      </c>
      <c r="FH593" s="14">
        <f t="shared" si="604"/>
        <v>2</v>
      </c>
      <c r="FI593" s="14">
        <f t="shared" si="605"/>
        <v>4</v>
      </c>
      <c r="FJ593" s="14">
        <f t="shared" si="606"/>
        <v>70</v>
      </c>
      <c r="FK593" s="14">
        <v>154</v>
      </c>
      <c r="FL593" s="14">
        <f t="shared" si="607"/>
        <v>4</v>
      </c>
      <c r="FM593" s="14">
        <f t="shared" si="586"/>
        <v>7</v>
      </c>
      <c r="FN593" s="14">
        <f t="shared" si="608"/>
        <v>210441</v>
      </c>
      <c r="FO593" s="14">
        <f t="shared" si="587"/>
        <v>157</v>
      </c>
      <c r="FP593" s="14">
        <f t="shared" si="619"/>
        <v>170</v>
      </c>
      <c r="FQ593" s="14">
        <f t="shared" si="620"/>
        <v>110</v>
      </c>
      <c r="FR593" s="14">
        <f t="shared" si="621"/>
        <v>0</v>
      </c>
      <c r="FS593" s="14">
        <f t="shared" si="622"/>
        <v>9</v>
      </c>
      <c r="FT593" s="14">
        <f t="shared" si="623"/>
        <v>6</v>
      </c>
      <c r="FU593" s="14">
        <f t="shared" si="624"/>
        <v>0</v>
      </c>
      <c r="FV593" s="14">
        <f t="shared" si="609"/>
        <v>2044</v>
      </c>
      <c r="FW593" s="14">
        <f t="shared" si="610"/>
        <v>4</v>
      </c>
      <c r="FX593" s="14">
        <f t="shared" si="611"/>
        <v>2044</v>
      </c>
      <c r="FY593" s="25" t="str">
        <f t="shared" si="625"/>
        <v>icon_2104427</v>
      </c>
      <c r="GC593" s="14">
        <f t="shared" si="612"/>
        <v>1</v>
      </c>
      <c r="GD593" s="14">
        <f t="shared" si="613"/>
        <v>2</v>
      </c>
      <c r="GE593" s="14">
        <f t="shared" si="588"/>
        <v>157</v>
      </c>
      <c r="GF593" s="14" t="str">
        <f t="shared" si="589"/>
        <v>AtkExt</v>
      </c>
      <c r="GG593" s="14">
        <f t="shared" si="590"/>
        <v>170</v>
      </c>
      <c r="GH593" s="14">
        <f t="shared" si="591"/>
        <v>9</v>
      </c>
      <c r="GI593" s="14" t="str">
        <f t="shared" si="592"/>
        <v>DefExt</v>
      </c>
      <c r="GJ593" s="14">
        <f t="shared" si="593"/>
        <v>110</v>
      </c>
      <c r="GK593" s="14">
        <f t="shared" si="594"/>
        <v>6</v>
      </c>
      <c r="GL593" s="14">
        <f t="shared" si="614"/>
        <v>20440</v>
      </c>
      <c r="GM593" s="14">
        <f t="shared" si="595"/>
        <v>4</v>
      </c>
      <c r="GN593" s="14">
        <f t="shared" si="596"/>
        <v>2044</v>
      </c>
      <c r="GO593" s="25" t="s">
        <v>1471</v>
      </c>
      <c r="GP593" s="14">
        <f t="shared" si="615"/>
        <v>225</v>
      </c>
    </row>
    <row r="594" spans="151:198" ht="16.5" x14ac:dyDescent="0.2">
      <c r="EU594" s="13">
        <v>589</v>
      </c>
      <c r="EV594" s="14">
        <f t="shared" si="616"/>
        <v>2</v>
      </c>
      <c r="EW594" s="14">
        <f t="shared" si="584"/>
        <v>154</v>
      </c>
      <c r="EX594" s="14">
        <f t="shared" si="617"/>
        <v>20</v>
      </c>
      <c r="EY594" s="14">
        <f t="shared" si="585"/>
        <v>42</v>
      </c>
      <c r="EZ594" s="14">
        <f t="shared" si="597"/>
        <v>15</v>
      </c>
      <c r="FA594" s="14">
        <f t="shared" si="598"/>
        <v>70</v>
      </c>
      <c r="FB594" s="14">
        <f t="shared" si="599"/>
        <v>4</v>
      </c>
      <c r="FC594" s="14">
        <f t="shared" si="600"/>
        <v>6</v>
      </c>
      <c r="FD594" s="14">
        <f t="shared" si="601"/>
        <v>8</v>
      </c>
      <c r="FE594" s="14" t="b">
        <f t="shared" si="618"/>
        <v>1</v>
      </c>
      <c r="FF594" s="14">
        <f t="shared" si="602"/>
        <v>2104428</v>
      </c>
      <c r="FG594" s="13" t="str">
        <f t="shared" si="603"/>
        <v>70级-攻击套守护灵の戒指</v>
      </c>
      <c r="FH594" s="14">
        <f t="shared" si="604"/>
        <v>2</v>
      </c>
      <c r="FI594" s="14">
        <f t="shared" si="605"/>
        <v>4</v>
      </c>
      <c r="FJ594" s="14">
        <f t="shared" si="606"/>
        <v>70</v>
      </c>
      <c r="FK594" s="14">
        <v>155</v>
      </c>
      <c r="FL594" s="14">
        <f t="shared" si="607"/>
        <v>4</v>
      </c>
      <c r="FM594" s="14">
        <f t="shared" si="586"/>
        <v>8</v>
      </c>
      <c r="FN594" s="14">
        <f t="shared" si="608"/>
        <v>210441</v>
      </c>
      <c r="FO594" s="14">
        <f t="shared" si="587"/>
        <v>202</v>
      </c>
      <c r="FP594" s="14">
        <f t="shared" si="619"/>
        <v>170</v>
      </c>
      <c r="FQ594" s="14">
        <f t="shared" si="620"/>
        <v>0</v>
      </c>
      <c r="FR594" s="14">
        <f t="shared" si="621"/>
        <v>1615</v>
      </c>
      <c r="FS594" s="14">
        <f t="shared" si="622"/>
        <v>9</v>
      </c>
      <c r="FT594" s="14">
        <f t="shared" si="623"/>
        <v>0</v>
      </c>
      <c r="FU594" s="14">
        <f t="shared" si="624"/>
        <v>90</v>
      </c>
      <c r="FV594" s="14">
        <f t="shared" si="609"/>
        <v>2044</v>
      </c>
      <c r="FW594" s="14">
        <f t="shared" si="610"/>
        <v>4</v>
      </c>
      <c r="FX594" s="14">
        <f t="shared" si="611"/>
        <v>2044</v>
      </c>
      <c r="FY594" s="25" t="str">
        <f t="shared" si="625"/>
        <v>icon_2104428</v>
      </c>
      <c r="GC594" s="14">
        <f t="shared" si="612"/>
        <v>1</v>
      </c>
      <c r="GD594" s="14">
        <f t="shared" si="613"/>
        <v>3</v>
      </c>
      <c r="GE594" s="14">
        <f t="shared" si="588"/>
        <v>202</v>
      </c>
      <c r="GF594" s="14" t="str">
        <f t="shared" si="589"/>
        <v>AtkExt</v>
      </c>
      <c r="GG594" s="14">
        <f t="shared" si="590"/>
        <v>170</v>
      </c>
      <c r="GH594" s="14">
        <f t="shared" si="591"/>
        <v>9</v>
      </c>
      <c r="GI594" s="14" t="str">
        <f t="shared" si="592"/>
        <v>HPExt</v>
      </c>
      <c r="GJ594" s="14">
        <f t="shared" si="593"/>
        <v>1615</v>
      </c>
      <c r="GK594" s="14">
        <f t="shared" si="594"/>
        <v>90</v>
      </c>
      <c r="GL594" s="14">
        <f t="shared" si="614"/>
        <v>20440</v>
      </c>
      <c r="GM594" s="14">
        <f t="shared" si="595"/>
        <v>4</v>
      </c>
      <c r="GN594" s="14">
        <f t="shared" si="596"/>
        <v>2044</v>
      </c>
      <c r="GO594" s="25" t="s">
        <v>1471</v>
      </c>
      <c r="GP594" s="14">
        <f t="shared" si="615"/>
        <v>225</v>
      </c>
    </row>
    <row r="595" spans="151:198" ht="16.5" x14ac:dyDescent="0.2">
      <c r="EU595" s="13">
        <v>590</v>
      </c>
      <c r="EV595" s="14">
        <f t="shared" si="616"/>
        <v>2</v>
      </c>
      <c r="EW595" s="14">
        <f t="shared" si="584"/>
        <v>155</v>
      </c>
      <c r="EX595" s="14">
        <f t="shared" si="617"/>
        <v>21</v>
      </c>
      <c r="EY595" s="14">
        <f t="shared" si="585"/>
        <v>10</v>
      </c>
      <c r="EZ595" s="14">
        <f t="shared" si="597"/>
        <v>16</v>
      </c>
      <c r="FA595" s="14">
        <f t="shared" si="598"/>
        <v>90</v>
      </c>
      <c r="FB595" s="14">
        <f t="shared" si="599"/>
        <v>1</v>
      </c>
      <c r="FC595" s="14">
        <f t="shared" si="600"/>
        <v>1</v>
      </c>
      <c r="FD595" s="14">
        <f t="shared" si="601"/>
        <v>1</v>
      </c>
      <c r="FE595" s="14" t="b">
        <f t="shared" si="618"/>
        <v>0</v>
      </c>
      <c r="FF595" s="14">
        <f t="shared" si="602"/>
        <v>2105101</v>
      </c>
      <c r="FG595" s="13" t="str">
        <f t="shared" si="603"/>
        <v>90级-普通守护灵の灵器</v>
      </c>
      <c r="FH595" s="14">
        <f t="shared" si="604"/>
        <v>2</v>
      </c>
      <c r="FI595" s="14">
        <f t="shared" si="605"/>
        <v>1</v>
      </c>
      <c r="FJ595" s="14">
        <f t="shared" si="606"/>
        <v>90</v>
      </c>
      <c r="FK595" s="14">
        <v>156</v>
      </c>
      <c r="FL595" s="14">
        <f t="shared" si="607"/>
        <v>5</v>
      </c>
      <c r="FM595" s="14">
        <f t="shared" si="586"/>
        <v>1</v>
      </c>
      <c r="FN595" s="14" t="str">
        <f t="shared" si="608"/>
        <v/>
      </c>
      <c r="FO595" s="14">
        <f t="shared" si="587"/>
        <v>95</v>
      </c>
      <c r="FP595" s="14">
        <f t="shared" si="619"/>
        <v>355</v>
      </c>
      <c r="FQ595" s="14">
        <f t="shared" si="620"/>
        <v>0</v>
      </c>
      <c r="FR595" s="14">
        <f t="shared" si="621"/>
        <v>0</v>
      </c>
      <c r="FS595" s="14">
        <f t="shared" si="622"/>
        <v>19</v>
      </c>
      <c r="FT595" s="14">
        <f t="shared" si="623"/>
        <v>0</v>
      </c>
      <c r="FU595" s="14">
        <f t="shared" si="624"/>
        <v>0</v>
      </c>
      <c r="FV595" s="14">
        <f t="shared" si="609"/>
        <v>2051</v>
      </c>
      <c r="FW595" s="14">
        <f t="shared" si="610"/>
        <v>0</v>
      </c>
      <c r="FX595" s="14" t="str">
        <f t="shared" si="611"/>
        <v/>
      </c>
      <c r="FY595" s="25" t="str">
        <f t="shared" si="625"/>
        <v>icon_2105101</v>
      </c>
      <c r="GC595" s="14">
        <f t="shared" si="612"/>
        <v>1</v>
      </c>
      <c r="GD595" s="14">
        <f t="shared" si="613"/>
        <v>0</v>
      </c>
      <c r="GE595" s="14">
        <f t="shared" si="588"/>
        <v>95</v>
      </c>
      <c r="GF595" s="14" t="str">
        <f t="shared" si="589"/>
        <v>AtkExt</v>
      </c>
      <c r="GG595" s="14">
        <f t="shared" si="590"/>
        <v>355</v>
      </c>
      <c r="GH595" s="14">
        <f t="shared" si="591"/>
        <v>19</v>
      </c>
      <c r="GI595" s="14" t="str">
        <f t="shared" si="592"/>
        <v/>
      </c>
      <c r="GJ595" s="14" t="str">
        <f t="shared" si="593"/>
        <v/>
      </c>
      <c r="GK595" s="14" t="str">
        <f t="shared" si="594"/>
        <v/>
      </c>
      <c r="GL595" s="14">
        <f t="shared" si="614"/>
        <v>20510</v>
      </c>
      <c r="GM595" s="14">
        <f t="shared" si="595"/>
        <v>0</v>
      </c>
      <c r="GN595" s="14" t="str">
        <f t="shared" si="596"/>
        <v/>
      </c>
      <c r="GO595" s="25" t="s">
        <v>1471</v>
      </c>
      <c r="GP595" s="14">
        <f t="shared" si="615"/>
        <v>40</v>
      </c>
    </row>
    <row r="596" spans="151:198" ht="16.5" x14ac:dyDescent="0.2">
      <c r="EU596" s="13">
        <v>591</v>
      </c>
      <c r="EV596" s="14">
        <f t="shared" si="616"/>
        <v>2</v>
      </c>
      <c r="EW596" s="14">
        <f t="shared" si="584"/>
        <v>156</v>
      </c>
      <c r="EX596" s="14">
        <f t="shared" si="617"/>
        <v>21</v>
      </c>
      <c r="EY596" s="14">
        <f t="shared" si="585"/>
        <v>10</v>
      </c>
      <c r="EZ596" s="14">
        <f t="shared" si="597"/>
        <v>16</v>
      </c>
      <c r="FA596" s="14">
        <f t="shared" si="598"/>
        <v>90</v>
      </c>
      <c r="FB596" s="14">
        <f t="shared" si="599"/>
        <v>1</v>
      </c>
      <c r="FC596" s="14">
        <f t="shared" si="600"/>
        <v>2</v>
      </c>
      <c r="FD596" s="14">
        <f t="shared" si="601"/>
        <v>2</v>
      </c>
      <c r="FE596" s="14" t="b">
        <f t="shared" si="618"/>
        <v>0</v>
      </c>
      <c r="FF596" s="14">
        <f t="shared" si="602"/>
        <v>2105102</v>
      </c>
      <c r="FG596" s="13" t="str">
        <f t="shared" si="603"/>
        <v>90级-普通守护灵の头盔</v>
      </c>
      <c r="FH596" s="14">
        <f t="shared" si="604"/>
        <v>2</v>
      </c>
      <c r="FI596" s="14">
        <f t="shared" si="605"/>
        <v>1</v>
      </c>
      <c r="FJ596" s="14">
        <f t="shared" si="606"/>
        <v>90</v>
      </c>
      <c r="FK596" s="14">
        <v>157</v>
      </c>
      <c r="FL596" s="14">
        <f t="shared" si="607"/>
        <v>5</v>
      </c>
      <c r="FM596" s="14">
        <f t="shared" si="586"/>
        <v>2</v>
      </c>
      <c r="FN596" s="14" t="str">
        <f t="shared" si="608"/>
        <v/>
      </c>
      <c r="FO596" s="14">
        <f t="shared" si="587"/>
        <v>50</v>
      </c>
      <c r="FP596" s="14">
        <f t="shared" si="619"/>
        <v>0</v>
      </c>
      <c r="FQ596" s="14">
        <f t="shared" si="620"/>
        <v>90</v>
      </c>
      <c r="FR596" s="14">
        <f t="shared" si="621"/>
        <v>0</v>
      </c>
      <c r="FS596" s="14">
        <f t="shared" si="622"/>
        <v>0</v>
      </c>
      <c r="FT596" s="14">
        <f t="shared" si="623"/>
        <v>5</v>
      </c>
      <c r="FU596" s="14">
        <f t="shared" si="624"/>
        <v>0</v>
      </c>
      <c r="FV596" s="14">
        <f t="shared" si="609"/>
        <v>2051</v>
      </c>
      <c r="FW596" s="14">
        <f t="shared" si="610"/>
        <v>0</v>
      </c>
      <c r="FX596" s="14" t="str">
        <f t="shared" si="611"/>
        <v/>
      </c>
      <c r="FY596" s="25" t="str">
        <f t="shared" si="625"/>
        <v>icon_2105102</v>
      </c>
      <c r="GC596" s="14">
        <f t="shared" si="612"/>
        <v>2</v>
      </c>
      <c r="GD596" s="14">
        <f t="shared" si="613"/>
        <v>0</v>
      </c>
      <c r="GE596" s="14">
        <f t="shared" si="588"/>
        <v>50</v>
      </c>
      <c r="GF596" s="14" t="str">
        <f t="shared" si="589"/>
        <v>DefExt</v>
      </c>
      <c r="GG596" s="14">
        <f t="shared" si="590"/>
        <v>90</v>
      </c>
      <c r="GH596" s="14">
        <f t="shared" si="591"/>
        <v>5</v>
      </c>
      <c r="GI596" s="14" t="str">
        <f t="shared" si="592"/>
        <v/>
      </c>
      <c r="GJ596" s="14" t="str">
        <f t="shared" si="593"/>
        <v/>
      </c>
      <c r="GK596" s="14" t="str">
        <f t="shared" si="594"/>
        <v/>
      </c>
      <c r="GL596" s="14">
        <f t="shared" si="614"/>
        <v>20510</v>
      </c>
      <c r="GM596" s="14">
        <f t="shared" si="595"/>
        <v>0</v>
      </c>
      <c r="GN596" s="14" t="str">
        <f t="shared" si="596"/>
        <v/>
      </c>
      <c r="GO596" s="25" t="s">
        <v>1471</v>
      </c>
      <c r="GP596" s="14">
        <f t="shared" si="615"/>
        <v>20</v>
      </c>
    </row>
    <row r="597" spans="151:198" ht="16.5" x14ac:dyDescent="0.2">
      <c r="EU597" s="13">
        <v>592</v>
      </c>
      <c r="EV597" s="14">
        <f t="shared" si="616"/>
        <v>2</v>
      </c>
      <c r="EW597" s="14">
        <f t="shared" si="584"/>
        <v>157</v>
      </c>
      <c r="EX597" s="14">
        <f t="shared" si="617"/>
        <v>21</v>
      </c>
      <c r="EY597" s="14">
        <f t="shared" si="585"/>
        <v>10</v>
      </c>
      <c r="EZ597" s="14">
        <f t="shared" si="597"/>
        <v>16</v>
      </c>
      <c r="FA597" s="14">
        <f t="shared" si="598"/>
        <v>90</v>
      </c>
      <c r="FB597" s="14">
        <f t="shared" si="599"/>
        <v>1</v>
      </c>
      <c r="FC597" s="14">
        <f t="shared" si="600"/>
        <v>3</v>
      </c>
      <c r="FD597" s="14">
        <f t="shared" si="601"/>
        <v>3</v>
      </c>
      <c r="FE597" s="14" t="b">
        <f t="shared" si="618"/>
        <v>0</v>
      </c>
      <c r="FF597" s="14">
        <f t="shared" si="602"/>
        <v>2105103</v>
      </c>
      <c r="FG597" s="13" t="str">
        <f t="shared" si="603"/>
        <v>90级-普通守护灵の铠甲</v>
      </c>
      <c r="FH597" s="14">
        <f t="shared" si="604"/>
        <v>2</v>
      </c>
      <c r="FI597" s="14">
        <f t="shared" si="605"/>
        <v>1</v>
      </c>
      <c r="FJ597" s="14">
        <f t="shared" si="606"/>
        <v>90</v>
      </c>
      <c r="FK597" s="14">
        <v>158</v>
      </c>
      <c r="FL597" s="14">
        <f t="shared" si="607"/>
        <v>5</v>
      </c>
      <c r="FM597" s="14">
        <f t="shared" si="586"/>
        <v>3</v>
      </c>
      <c r="FN597" s="14" t="str">
        <f t="shared" si="608"/>
        <v/>
      </c>
      <c r="FO597" s="14">
        <f t="shared" si="587"/>
        <v>58</v>
      </c>
      <c r="FP597" s="14">
        <f t="shared" si="619"/>
        <v>0</v>
      </c>
      <c r="FQ597" s="14">
        <f t="shared" si="620"/>
        <v>45</v>
      </c>
      <c r="FR597" s="14">
        <f t="shared" si="621"/>
        <v>720</v>
      </c>
      <c r="FS597" s="14">
        <f t="shared" si="622"/>
        <v>0</v>
      </c>
      <c r="FT597" s="14">
        <f t="shared" si="623"/>
        <v>2</v>
      </c>
      <c r="FU597" s="14">
        <f t="shared" si="624"/>
        <v>38</v>
      </c>
      <c r="FV597" s="14">
        <f t="shared" si="609"/>
        <v>2051</v>
      </c>
      <c r="FW597" s="14">
        <f t="shared" si="610"/>
        <v>0</v>
      </c>
      <c r="FX597" s="14" t="str">
        <f t="shared" si="611"/>
        <v/>
      </c>
      <c r="FY597" s="25" t="str">
        <f t="shared" si="625"/>
        <v>icon_2105103</v>
      </c>
      <c r="GC597" s="14">
        <f t="shared" si="612"/>
        <v>2</v>
      </c>
      <c r="GD597" s="14">
        <f t="shared" si="613"/>
        <v>3</v>
      </c>
      <c r="GE597" s="14">
        <f t="shared" si="588"/>
        <v>58</v>
      </c>
      <c r="GF597" s="14" t="str">
        <f t="shared" si="589"/>
        <v>DefExt</v>
      </c>
      <c r="GG597" s="14">
        <f t="shared" si="590"/>
        <v>45</v>
      </c>
      <c r="GH597" s="14">
        <f t="shared" si="591"/>
        <v>2</v>
      </c>
      <c r="GI597" s="14" t="str">
        <f t="shared" si="592"/>
        <v>HPExt</v>
      </c>
      <c r="GJ597" s="14">
        <f t="shared" si="593"/>
        <v>720</v>
      </c>
      <c r="GK597" s="14">
        <f t="shared" si="594"/>
        <v>38</v>
      </c>
      <c r="GL597" s="14">
        <f t="shared" si="614"/>
        <v>20510</v>
      </c>
      <c r="GM597" s="14">
        <f t="shared" si="595"/>
        <v>0</v>
      </c>
      <c r="GN597" s="14" t="str">
        <f t="shared" si="596"/>
        <v/>
      </c>
      <c r="GO597" s="25" t="s">
        <v>1471</v>
      </c>
      <c r="GP597" s="14">
        <f t="shared" si="615"/>
        <v>20</v>
      </c>
    </row>
    <row r="598" spans="151:198" ht="16.5" x14ac:dyDescent="0.2">
      <c r="EU598" s="13">
        <v>593</v>
      </c>
      <c r="EV598" s="14">
        <f t="shared" si="616"/>
        <v>2</v>
      </c>
      <c r="EW598" s="14">
        <f t="shared" si="584"/>
        <v>158</v>
      </c>
      <c r="EX598" s="14">
        <f t="shared" si="617"/>
        <v>21</v>
      </c>
      <c r="EY598" s="14">
        <f t="shared" si="585"/>
        <v>10</v>
      </c>
      <c r="EZ598" s="14">
        <f t="shared" si="597"/>
        <v>16</v>
      </c>
      <c r="FA598" s="14">
        <f t="shared" si="598"/>
        <v>90</v>
      </c>
      <c r="FB598" s="14">
        <f t="shared" si="599"/>
        <v>1</v>
      </c>
      <c r="FC598" s="14">
        <f t="shared" si="600"/>
        <v>4</v>
      </c>
      <c r="FD598" s="14">
        <f t="shared" si="601"/>
        <v>4</v>
      </c>
      <c r="FE598" s="14" t="b">
        <f t="shared" si="618"/>
        <v>0</v>
      </c>
      <c r="FF598" s="14">
        <f t="shared" si="602"/>
        <v>2105104</v>
      </c>
      <c r="FG598" s="13" t="str">
        <f t="shared" si="603"/>
        <v>90级-普通守护灵の裤子</v>
      </c>
      <c r="FH598" s="14">
        <f t="shared" si="604"/>
        <v>2</v>
      </c>
      <c r="FI598" s="14">
        <f t="shared" si="605"/>
        <v>1</v>
      </c>
      <c r="FJ598" s="14">
        <f t="shared" si="606"/>
        <v>90</v>
      </c>
      <c r="FK598" s="14">
        <v>159</v>
      </c>
      <c r="FL598" s="14">
        <f t="shared" si="607"/>
        <v>5</v>
      </c>
      <c r="FM598" s="14">
        <f t="shared" si="586"/>
        <v>4</v>
      </c>
      <c r="FN598" s="14" t="str">
        <f t="shared" si="608"/>
        <v/>
      </c>
      <c r="FO598" s="14">
        <f t="shared" si="587"/>
        <v>50</v>
      </c>
      <c r="FP598" s="14">
        <f t="shared" si="619"/>
        <v>0</v>
      </c>
      <c r="FQ598" s="14">
        <f t="shared" si="620"/>
        <v>90</v>
      </c>
      <c r="FR598" s="14">
        <f t="shared" si="621"/>
        <v>0</v>
      </c>
      <c r="FS598" s="14">
        <f t="shared" si="622"/>
        <v>0</v>
      </c>
      <c r="FT598" s="14">
        <f t="shared" si="623"/>
        <v>5</v>
      </c>
      <c r="FU598" s="14">
        <f t="shared" si="624"/>
        <v>0</v>
      </c>
      <c r="FV598" s="14">
        <f t="shared" si="609"/>
        <v>2051</v>
      </c>
      <c r="FW598" s="14">
        <f t="shared" si="610"/>
        <v>0</v>
      </c>
      <c r="FX598" s="14" t="str">
        <f t="shared" si="611"/>
        <v/>
      </c>
      <c r="FY598" s="25" t="str">
        <f t="shared" si="625"/>
        <v>icon_2105104</v>
      </c>
      <c r="GC598" s="14">
        <f t="shared" si="612"/>
        <v>2</v>
      </c>
      <c r="GD598" s="14">
        <f t="shared" si="613"/>
        <v>0</v>
      </c>
      <c r="GE598" s="14">
        <f t="shared" si="588"/>
        <v>50</v>
      </c>
      <c r="GF598" s="14" t="str">
        <f t="shared" si="589"/>
        <v>DefExt</v>
      </c>
      <c r="GG598" s="14">
        <f t="shared" si="590"/>
        <v>90</v>
      </c>
      <c r="GH598" s="14">
        <f t="shared" si="591"/>
        <v>5</v>
      </c>
      <c r="GI598" s="14" t="str">
        <f t="shared" si="592"/>
        <v/>
      </c>
      <c r="GJ598" s="14" t="str">
        <f t="shared" si="593"/>
        <v/>
      </c>
      <c r="GK598" s="14" t="str">
        <f t="shared" si="594"/>
        <v/>
      </c>
      <c r="GL598" s="14">
        <f t="shared" si="614"/>
        <v>20510</v>
      </c>
      <c r="GM598" s="14">
        <f t="shared" si="595"/>
        <v>0</v>
      </c>
      <c r="GN598" s="14" t="str">
        <f t="shared" si="596"/>
        <v/>
      </c>
      <c r="GO598" s="25" t="s">
        <v>1471</v>
      </c>
      <c r="GP598" s="14">
        <f t="shared" si="615"/>
        <v>20</v>
      </c>
    </row>
    <row r="599" spans="151:198" ht="16.5" x14ac:dyDescent="0.2">
      <c r="EU599" s="13">
        <v>594</v>
      </c>
      <c r="EV599" s="14">
        <f t="shared" si="616"/>
        <v>2</v>
      </c>
      <c r="EW599" s="14">
        <f t="shared" si="584"/>
        <v>159</v>
      </c>
      <c r="EX599" s="14">
        <f t="shared" si="617"/>
        <v>21</v>
      </c>
      <c r="EY599" s="14">
        <f t="shared" si="585"/>
        <v>10</v>
      </c>
      <c r="EZ599" s="14">
        <f t="shared" si="597"/>
        <v>16</v>
      </c>
      <c r="FA599" s="14">
        <f t="shared" si="598"/>
        <v>90</v>
      </c>
      <c r="FB599" s="14">
        <f t="shared" si="599"/>
        <v>1</v>
      </c>
      <c r="FC599" s="14">
        <f t="shared" si="600"/>
        <v>5</v>
      </c>
      <c r="FD599" s="14">
        <f t="shared" si="601"/>
        <v>5</v>
      </c>
      <c r="FE599" s="14" t="b">
        <f t="shared" si="618"/>
        <v>0</v>
      </c>
      <c r="FF599" s="14">
        <f t="shared" si="602"/>
        <v>2105105</v>
      </c>
      <c r="FG599" s="13" t="str">
        <f t="shared" si="603"/>
        <v>90级-普通守护灵の鞋子</v>
      </c>
      <c r="FH599" s="14">
        <f t="shared" si="604"/>
        <v>2</v>
      </c>
      <c r="FI599" s="14">
        <f t="shared" si="605"/>
        <v>1</v>
      </c>
      <c r="FJ599" s="14">
        <f t="shared" si="606"/>
        <v>90</v>
      </c>
      <c r="FK599" s="14">
        <v>160</v>
      </c>
      <c r="FL599" s="14">
        <f t="shared" si="607"/>
        <v>5</v>
      </c>
      <c r="FM599" s="14">
        <f t="shared" si="586"/>
        <v>5</v>
      </c>
      <c r="FN599" s="14" t="str">
        <f t="shared" si="608"/>
        <v/>
      </c>
      <c r="FO599" s="14">
        <f t="shared" si="587"/>
        <v>75</v>
      </c>
      <c r="FP599" s="14">
        <f t="shared" si="619"/>
        <v>0</v>
      </c>
      <c r="FQ599" s="14">
        <f t="shared" si="620"/>
        <v>0</v>
      </c>
      <c r="FR599" s="14">
        <f t="shared" si="621"/>
        <v>1440</v>
      </c>
      <c r="FS599" s="14">
        <f t="shared" si="622"/>
        <v>0</v>
      </c>
      <c r="FT599" s="14">
        <f t="shared" si="623"/>
        <v>0</v>
      </c>
      <c r="FU599" s="14">
        <f t="shared" si="624"/>
        <v>75</v>
      </c>
      <c r="FV599" s="14">
        <f t="shared" si="609"/>
        <v>2051</v>
      </c>
      <c r="FW599" s="14">
        <f t="shared" si="610"/>
        <v>0</v>
      </c>
      <c r="FX599" s="14" t="str">
        <f t="shared" si="611"/>
        <v/>
      </c>
      <c r="FY599" s="25" t="str">
        <f t="shared" si="625"/>
        <v>icon_2105105</v>
      </c>
      <c r="GC599" s="14">
        <f t="shared" si="612"/>
        <v>3</v>
      </c>
      <c r="GD599" s="14">
        <f t="shared" si="613"/>
        <v>0</v>
      </c>
      <c r="GE599" s="14">
        <f t="shared" si="588"/>
        <v>75</v>
      </c>
      <c r="GF599" s="14" t="str">
        <f t="shared" si="589"/>
        <v>HPExt</v>
      </c>
      <c r="GG599" s="14">
        <f t="shared" si="590"/>
        <v>1440</v>
      </c>
      <c r="GH599" s="14">
        <f t="shared" si="591"/>
        <v>75</v>
      </c>
      <c r="GI599" s="14" t="str">
        <f t="shared" si="592"/>
        <v/>
      </c>
      <c r="GJ599" s="14" t="str">
        <f t="shared" si="593"/>
        <v/>
      </c>
      <c r="GK599" s="14" t="str">
        <f t="shared" si="594"/>
        <v/>
      </c>
      <c r="GL599" s="14">
        <f t="shared" si="614"/>
        <v>20510</v>
      </c>
      <c r="GM599" s="14">
        <f t="shared" si="595"/>
        <v>0</v>
      </c>
      <c r="GN599" s="14" t="str">
        <f t="shared" si="596"/>
        <v/>
      </c>
      <c r="GO599" s="25" t="s">
        <v>1471</v>
      </c>
      <c r="GP599" s="14">
        <f t="shared" si="615"/>
        <v>20</v>
      </c>
    </row>
    <row r="600" spans="151:198" ht="16.5" x14ac:dyDescent="0.2">
      <c r="EU600" s="13">
        <v>595</v>
      </c>
      <c r="EV600" s="14">
        <f t="shared" si="616"/>
        <v>2</v>
      </c>
      <c r="EW600" s="14">
        <f t="shared" si="584"/>
        <v>160</v>
      </c>
      <c r="EX600" s="14">
        <f t="shared" si="617"/>
        <v>21</v>
      </c>
      <c r="EY600" s="14">
        <f t="shared" si="585"/>
        <v>10</v>
      </c>
      <c r="EZ600" s="14">
        <f t="shared" si="597"/>
        <v>16</v>
      </c>
      <c r="FA600" s="14">
        <f t="shared" si="598"/>
        <v>90</v>
      </c>
      <c r="FB600" s="14">
        <f t="shared" si="599"/>
        <v>1</v>
      </c>
      <c r="FC600" s="14">
        <f t="shared" si="600"/>
        <v>6</v>
      </c>
      <c r="FD600" s="14">
        <f t="shared" si="601"/>
        <v>6</v>
      </c>
      <c r="FE600" s="14" t="b">
        <f t="shared" si="618"/>
        <v>0</v>
      </c>
      <c r="FF600" s="14">
        <f t="shared" si="602"/>
        <v>2105106</v>
      </c>
      <c r="FG600" s="13" t="str">
        <f t="shared" si="603"/>
        <v>90级-普通守护灵の护手</v>
      </c>
      <c r="FH600" s="14">
        <f t="shared" si="604"/>
        <v>2</v>
      </c>
      <c r="FI600" s="14">
        <f t="shared" si="605"/>
        <v>1</v>
      </c>
      <c r="FJ600" s="14">
        <f t="shared" si="606"/>
        <v>90</v>
      </c>
      <c r="FK600" s="14">
        <v>161</v>
      </c>
      <c r="FL600" s="14">
        <f t="shared" si="607"/>
        <v>5</v>
      </c>
      <c r="FM600" s="14">
        <f t="shared" si="586"/>
        <v>6</v>
      </c>
      <c r="FN600" s="14" t="str">
        <f t="shared" si="608"/>
        <v/>
      </c>
      <c r="FO600" s="14">
        <f t="shared" si="587"/>
        <v>75</v>
      </c>
      <c r="FP600" s="14">
        <f t="shared" si="619"/>
        <v>0</v>
      </c>
      <c r="FQ600" s="14">
        <f t="shared" si="620"/>
        <v>0</v>
      </c>
      <c r="FR600" s="14">
        <f t="shared" si="621"/>
        <v>1440</v>
      </c>
      <c r="FS600" s="14">
        <f t="shared" si="622"/>
        <v>0</v>
      </c>
      <c r="FT600" s="14">
        <f t="shared" si="623"/>
        <v>0</v>
      </c>
      <c r="FU600" s="14">
        <f t="shared" si="624"/>
        <v>75</v>
      </c>
      <c r="FV600" s="14">
        <f t="shared" si="609"/>
        <v>2051</v>
      </c>
      <c r="FW600" s="14">
        <f t="shared" si="610"/>
        <v>0</v>
      </c>
      <c r="FX600" s="14" t="str">
        <f t="shared" si="611"/>
        <v/>
      </c>
      <c r="FY600" s="25" t="str">
        <f t="shared" si="625"/>
        <v>icon_2105106</v>
      </c>
      <c r="GC600" s="14">
        <f t="shared" si="612"/>
        <v>3</v>
      </c>
      <c r="GD600" s="14">
        <f t="shared" si="613"/>
        <v>0</v>
      </c>
      <c r="GE600" s="14">
        <f t="shared" si="588"/>
        <v>75</v>
      </c>
      <c r="GF600" s="14" t="str">
        <f t="shared" si="589"/>
        <v>HPExt</v>
      </c>
      <c r="GG600" s="14">
        <f t="shared" si="590"/>
        <v>1440</v>
      </c>
      <c r="GH600" s="14">
        <f t="shared" si="591"/>
        <v>75</v>
      </c>
      <c r="GI600" s="14" t="str">
        <f t="shared" si="592"/>
        <v/>
      </c>
      <c r="GJ600" s="14" t="str">
        <f t="shared" si="593"/>
        <v/>
      </c>
      <c r="GK600" s="14" t="str">
        <f t="shared" si="594"/>
        <v/>
      </c>
      <c r="GL600" s="14">
        <f t="shared" si="614"/>
        <v>20510</v>
      </c>
      <c r="GM600" s="14">
        <f t="shared" si="595"/>
        <v>0</v>
      </c>
      <c r="GN600" s="14" t="str">
        <f t="shared" si="596"/>
        <v/>
      </c>
      <c r="GO600" s="25" t="s">
        <v>1471</v>
      </c>
      <c r="GP600" s="14">
        <f t="shared" si="615"/>
        <v>20</v>
      </c>
    </row>
    <row r="601" spans="151:198" ht="16.5" x14ac:dyDescent="0.2">
      <c r="EU601" s="13">
        <v>596</v>
      </c>
      <c r="EV601" s="14">
        <f t="shared" si="616"/>
        <v>2</v>
      </c>
      <c r="EW601" s="14">
        <f t="shared" si="584"/>
        <v>161</v>
      </c>
      <c r="EX601" s="14">
        <f t="shared" si="617"/>
        <v>21</v>
      </c>
      <c r="EY601" s="14">
        <f t="shared" si="585"/>
        <v>10</v>
      </c>
      <c r="EZ601" s="14">
        <f t="shared" si="597"/>
        <v>16</v>
      </c>
      <c r="FA601" s="14">
        <f t="shared" si="598"/>
        <v>90</v>
      </c>
      <c r="FB601" s="14">
        <f t="shared" si="599"/>
        <v>1</v>
      </c>
      <c r="FC601" s="14">
        <f t="shared" si="600"/>
        <v>7</v>
      </c>
      <c r="FD601" s="14">
        <f t="shared" si="601"/>
        <v>7</v>
      </c>
      <c r="FE601" s="14" t="b">
        <f t="shared" si="618"/>
        <v>0</v>
      </c>
      <c r="FF601" s="14">
        <f t="shared" si="602"/>
        <v>2105107</v>
      </c>
      <c r="FG601" s="13" t="str">
        <f t="shared" si="603"/>
        <v>90级-普通守护灵の项链</v>
      </c>
      <c r="FH601" s="14">
        <f t="shared" si="604"/>
        <v>2</v>
      </c>
      <c r="FI601" s="14">
        <f t="shared" si="605"/>
        <v>1</v>
      </c>
      <c r="FJ601" s="14">
        <f t="shared" si="606"/>
        <v>90</v>
      </c>
      <c r="FK601" s="14">
        <v>162</v>
      </c>
      <c r="FL601" s="14">
        <f t="shared" si="607"/>
        <v>5</v>
      </c>
      <c r="FM601" s="14">
        <f t="shared" si="586"/>
        <v>7</v>
      </c>
      <c r="FN601" s="14" t="str">
        <f t="shared" si="608"/>
        <v/>
      </c>
      <c r="FO601" s="14">
        <f t="shared" si="587"/>
        <v>70</v>
      </c>
      <c r="FP601" s="14">
        <f t="shared" si="619"/>
        <v>120</v>
      </c>
      <c r="FQ601" s="14">
        <f t="shared" si="620"/>
        <v>75</v>
      </c>
      <c r="FR601" s="14">
        <f t="shared" si="621"/>
        <v>0</v>
      </c>
      <c r="FS601" s="14">
        <f t="shared" si="622"/>
        <v>6</v>
      </c>
      <c r="FT601" s="14">
        <f t="shared" si="623"/>
        <v>4</v>
      </c>
      <c r="FU601" s="14">
        <f t="shared" si="624"/>
        <v>0</v>
      </c>
      <c r="FV601" s="14">
        <f t="shared" si="609"/>
        <v>2051</v>
      </c>
      <c r="FW601" s="14">
        <f t="shared" si="610"/>
        <v>0</v>
      </c>
      <c r="FX601" s="14" t="str">
        <f t="shared" si="611"/>
        <v/>
      </c>
      <c r="FY601" s="25" t="str">
        <f t="shared" si="625"/>
        <v>icon_2105107</v>
      </c>
      <c r="GC601" s="14">
        <f t="shared" si="612"/>
        <v>1</v>
      </c>
      <c r="GD601" s="14">
        <f t="shared" si="613"/>
        <v>2</v>
      </c>
      <c r="GE601" s="14">
        <f t="shared" si="588"/>
        <v>70</v>
      </c>
      <c r="GF601" s="14" t="str">
        <f t="shared" si="589"/>
        <v>AtkExt</v>
      </c>
      <c r="GG601" s="14">
        <f t="shared" si="590"/>
        <v>120</v>
      </c>
      <c r="GH601" s="14">
        <f t="shared" si="591"/>
        <v>6</v>
      </c>
      <c r="GI601" s="14" t="str">
        <f t="shared" si="592"/>
        <v>DefExt</v>
      </c>
      <c r="GJ601" s="14">
        <f t="shared" si="593"/>
        <v>75</v>
      </c>
      <c r="GK601" s="14">
        <f t="shared" si="594"/>
        <v>4</v>
      </c>
      <c r="GL601" s="14">
        <f t="shared" si="614"/>
        <v>20510</v>
      </c>
      <c r="GM601" s="14">
        <f t="shared" si="595"/>
        <v>0</v>
      </c>
      <c r="GN601" s="14" t="str">
        <f t="shared" si="596"/>
        <v/>
      </c>
      <c r="GO601" s="25" t="s">
        <v>1471</v>
      </c>
      <c r="GP601" s="14">
        <f t="shared" si="615"/>
        <v>30</v>
      </c>
    </row>
    <row r="602" spans="151:198" ht="16.5" x14ac:dyDescent="0.2">
      <c r="EU602" s="13">
        <v>597</v>
      </c>
      <c r="EV602" s="14">
        <f t="shared" si="616"/>
        <v>2</v>
      </c>
      <c r="EW602" s="14">
        <f t="shared" si="584"/>
        <v>162</v>
      </c>
      <c r="EX602" s="14">
        <f t="shared" si="617"/>
        <v>21</v>
      </c>
      <c r="EY602" s="14">
        <f t="shared" si="585"/>
        <v>10</v>
      </c>
      <c r="EZ602" s="14">
        <f t="shared" si="597"/>
        <v>16</v>
      </c>
      <c r="FA602" s="14">
        <f t="shared" si="598"/>
        <v>90</v>
      </c>
      <c r="FB602" s="14">
        <f t="shared" si="599"/>
        <v>1</v>
      </c>
      <c r="FC602" s="14">
        <f t="shared" si="600"/>
        <v>8</v>
      </c>
      <c r="FD602" s="14">
        <f t="shared" si="601"/>
        <v>8</v>
      </c>
      <c r="FE602" s="14" t="b">
        <f t="shared" si="618"/>
        <v>0</v>
      </c>
      <c r="FF602" s="14">
        <f t="shared" si="602"/>
        <v>2105108</v>
      </c>
      <c r="FG602" s="13" t="str">
        <f t="shared" si="603"/>
        <v>90级-普通守护灵の戒指</v>
      </c>
      <c r="FH602" s="14">
        <f t="shared" si="604"/>
        <v>2</v>
      </c>
      <c r="FI602" s="14">
        <f t="shared" si="605"/>
        <v>1</v>
      </c>
      <c r="FJ602" s="14">
        <f t="shared" si="606"/>
        <v>90</v>
      </c>
      <c r="FK602" s="14">
        <v>163</v>
      </c>
      <c r="FL602" s="14">
        <f t="shared" si="607"/>
        <v>5</v>
      </c>
      <c r="FM602" s="14">
        <f t="shared" si="586"/>
        <v>8</v>
      </c>
      <c r="FN602" s="14" t="str">
        <f t="shared" si="608"/>
        <v/>
      </c>
      <c r="FO602" s="14">
        <f t="shared" si="587"/>
        <v>93</v>
      </c>
      <c r="FP602" s="14">
        <f t="shared" si="619"/>
        <v>120</v>
      </c>
      <c r="FQ602" s="14">
        <f t="shared" si="620"/>
        <v>0</v>
      </c>
      <c r="FR602" s="14">
        <f t="shared" si="621"/>
        <v>1200</v>
      </c>
      <c r="FS602" s="14">
        <f t="shared" si="622"/>
        <v>6</v>
      </c>
      <c r="FT602" s="14">
        <f t="shared" si="623"/>
        <v>0</v>
      </c>
      <c r="FU602" s="14">
        <f t="shared" si="624"/>
        <v>63</v>
      </c>
      <c r="FV602" s="14">
        <f t="shared" si="609"/>
        <v>2051</v>
      </c>
      <c r="FW602" s="14">
        <f t="shared" si="610"/>
        <v>0</v>
      </c>
      <c r="FX602" s="14" t="str">
        <f t="shared" si="611"/>
        <v/>
      </c>
      <c r="FY602" s="25" t="str">
        <f t="shared" si="625"/>
        <v>icon_2105108</v>
      </c>
      <c r="GC602" s="14">
        <f t="shared" si="612"/>
        <v>1</v>
      </c>
      <c r="GD602" s="14">
        <f t="shared" si="613"/>
        <v>3</v>
      </c>
      <c r="GE602" s="14">
        <f t="shared" si="588"/>
        <v>93</v>
      </c>
      <c r="GF602" s="14" t="str">
        <f t="shared" si="589"/>
        <v>AtkExt</v>
      </c>
      <c r="GG602" s="14">
        <f t="shared" si="590"/>
        <v>120</v>
      </c>
      <c r="GH602" s="14">
        <f t="shared" si="591"/>
        <v>6</v>
      </c>
      <c r="GI602" s="14" t="str">
        <f t="shared" si="592"/>
        <v>HPExt</v>
      </c>
      <c r="GJ602" s="14">
        <f t="shared" si="593"/>
        <v>1200</v>
      </c>
      <c r="GK602" s="14">
        <f t="shared" si="594"/>
        <v>63</v>
      </c>
      <c r="GL602" s="14">
        <f t="shared" si="614"/>
        <v>20510</v>
      </c>
      <c r="GM602" s="14">
        <f t="shared" si="595"/>
        <v>0</v>
      </c>
      <c r="GN602" s="14" t="str">
        <f t="shared" si="596"/>
        <v/>
      </c>
      <c r="GO602" s="25" t="s">
        <v>1471</v>
      </c>
      <c r="GP602" s="14">
        <f t="shared" si="615"/>
        <v>30</v>
      </c>
    </row>
    <row r="603" spans="151:198" ht="16.5" x14ac:dyDescent="0.2">
      <c r="EU603" s="13">
        <v>598</v>
      </c>
      <c r="EV603" s="14">
        <f t="shared" si="616"/>
        <v>2</v>
      </c>
      <c r="EW603" s="14">
        <f t="shared" si="584"/>
        <v>163</v>
      </c>
      <c r="EX603" s="14">
        <f t="shared" si="617"/>
        <v>22</v>
      </c>
      <c r="EY603" s="14">
        <f t="shared" si="585"/>
        <v>20</v>
      </c>
      <c r="EZ603" s="14">
        <f t="shared" si="597"/>
        <v>16</v>
      </c>
      <c r="FA603" s="14">
        <f t="shared" si="598"/>
        <v>90</v>
      </c>
      <c r="FB603" s="14">
        <f t="shared" si="599"/>
        <v>2</v>
      </c>
      <c r="FC603" s="14">
        <f t="shared" si="600"/>
        <v>1</v>
      </c>
      <c r="FD603" s="14">
        <f t="shared" si="601"/>
        <v>1</v>
      </c>
      <c r="FE603" s="14" t="b">
        <f t="shared" si="618"/>
        <v>0</v>
      </c>
      <c r="FF603" s="14">
        <f t="shared" si="602"/>
        <v>2105201</v>
      </c>
      <c r="FG603" s="13" t="str">
        <f t="shared" si="603"/>
        <v>90级-优秀守护灵の灵器</v>
      </c>
      <c r="FH603" s="14">
        <f t="shared" si="604"/>
        <v>2</v>
      </c>
      <c r="FI603" s="14">
        <f t="shared" si="605"/>
        <v>2</v>
      </c>
      <c r="FJ603" s="14">
        <f t="shared" si="606"/>
        <v>90</v>
      </c>
      <c r="FK603" s="14">
        <v>164</v>
      </c>
      <c r="FL603" s="14">
        <f t="shared" si="607"/>
        <v>5</v>
      </c>
      <c r="FM603" s="14">
        <f t="shared" si="586"/>
        <v>1</v>
      </c>
      <c r="FN603" s="14" t="str">
        <f t="shared" si="608"/>
        <v/>
      </c>
      <c r="FO603" s="14">
        <f t="shared" si="587"/>
        <v>130</v>
      </c>
      <c r="FP603" s="14">
        <f t="shared" si="619"/>
        <v>500</v>
      </c>
      <c r="FQ603" s="14">
        <f t="shared" si="620"/>
        <v>0</v>
      </c>
      <c r="FR603" s="14">
        <f t="shared" si="621"/>
        <v>0</v>
      </c>
      <c r="FS603" s="14">
        <f t="shared" si="622"/>
        <v>26</v>
      </c>
      <c r="FT603" s="14">
        <f t="shared" si="623"/>
        <v>0</v>
      </c>
      <c r="FU603" s="14">
        <f t="shared" si="624"/>
        <v>0</v>
      </c>
      <c r="FV603" s="14">
        <f t="shared" si="609"/>
        <v>2052</v>
      </c>
      <c r="FW603" s="14">
        <f t="shared" si="610"/>
        <v>0</v>
      </c>
      <c r="FX603" s="14" t="str">
        <f t="shared" si="611"/>
        <v/>
      </c>
      <c r="FY603" s="25" t="str">
        <f t="shared" si="625"/>
        <v>icon_2105101</v>
      </c>
      <c r="GC603" s="14">
        <f t="shared" si="612"/>
        <v>1</v>
      </c>
      <c r="GD603" s="14">
        <f t="shared" si="613"/>
        <v>0</v>
      </c>
      <c r="GE603" s="14">
        <f t="shared" si="588"/>
        <v>130</v>
      </c>
      <c r="GF603" s="14" t="str">
        <f t="shared" si="589"/>
        <v>AtkExt</v>
      </c>
      <c r="GG603" s="14">
        <f t="shared" si="590"/>
        <v>500</v>
      </c>
      <c r="GH603" s="14">
        <f t="shared" si="591"/>
        <v>26</v>
      </c>
      <c r="GI603" s="14" t="str">
        <f t="shared" si="592"/>
        <v/>
      </c>
      <c r="GJ603" s="14" t="str">
        <f t="shared" si="593"/>
        <v/>
      </c>
      <c r="GK603" s="14" t="str">
        <f t="shared" si="594"/>
        <v/>
      </c>
      <c r="GL603" s="14">
        <f t="shared" si="614"/>
        <v>20520</v>
      </c>
      <c r="GM603" s="14">
        <f t="shared" si="595"/>
        <v>0</v>
      </c>
      <c r="GN603" s="14" t="str">
        <f t="shared" si="596"/>
        <v/>
      </c>
      <c r="GO603" s="25" t="s">
        <v>1471</v>
      </c>
      <c r="GP603" s="14">
        <f t="shared" si="615"/>
        <v>120</v>
      </c>
    </row>
    <row r="604" spans="151:198" ht="16.5" x14ac:dyDescent="0.2">
      <c r="EU604" s="13">
        <v>599</v>
      </c>
      <c r="EV604" s="14">
        <f t="shared" si="616"/>
        <v>2</v>
      </c>
      <c r="EW604" s="14">
        <f t="shared" si="584"/>
        <v>164</v>
      </c>
      <c r="EX604" s="14">
        <f t="shared" si="617"/>
        <v>22</v>
      </c>
      <c r="EY604" s="14">
        <f t="shared" si="585"/>
        <v>20</v>
      </c>
      <c r="EZ604" s="14">
        <f t="shared" si="597"/>
        <v>16</v>
      </c>
      <c r="FA604" s="14">
        <f t="shared" si="598"/>
        <v>90</v>
      </c>
      <c r="FB604" s="14">
        <f t="shared" si="599"/>
        <v>2</v>
      </c>
      <c r="FC604" s="14">
        <f t="shared" si="600"/>
        <v>2</v>
      </c>
      <c r="FD604" s="14">
        <f t="shared" si="601"/>
        <v>2</v>
      </c>
      <c r="FE604" s="14" t="b">
        <f t="shared" si="618"/>
        <v>0</v>
      </c>
      <c r="FF604" s="14">
        <f t="shared" si="602"/>
        <v>2105202</v>
      </c>
      <c r="FG604" s="13" t="str">
        <f t="shared" si="603"/>
        <v>90级-优秀守护灵の头盔</v>
      </c>
      <c r="FH604" s="14">
        <f t="shared" si="604"/>
        <v>2</v>
      </c>
      <c r="FI604" s="14">
        <f t="shared" si="605"/>
        <v>2</v>
      </c>
      <c r="FJ604" s="14">
        <f t="shared" si="606"/>
        <v>90</v>
      </c>
      <c r="FK604" s="14">
        <v>165</v>
      </c>
      <c r="FL604" s="14">
        <f t="shared" si="607"/>
        <v>5</v>
      </c>
      <c r="FM604" s="14">
        <f t="shared" si="586"/>
        <v>2</v>
      </c>
      <c r="FN604" s="14" t="str">
        <f t="shared" si="608"/>
        <v/>
      </c>
      <c r="FO604" s="14">
        <f t="shared" si="587"/>
        <v>70</v>
      </c>
      <c r="FP604" s="14">
        <f t="shared" si="619"/>
        <v>0</v>
      </c>
      <c r="FQ604" s="14">
        <f t="shared" si="620"/>
        <v>125</v>
      </c>
      <c r="FR604" s="14">
        <f t="shared" si="621"/>
        <v>0</v>
      </c>
      <c r="FS604" s="14">
        <f t="shared" si="622"/>
        <v>0</v>
      </c>
      <c r="FT604" s="14">
        <f t="shared" si="623"/>
        <v>7</v>
      </c>
      <c r="FU604" s="14">
        <f t="shared" si="624"/>
        <v>0</v>
      </c>
      <c r="FV604" s="14">
        <f t="shared" si="609"/>
        <v>2052</v>
      </c>
      <c r="FW604" s="14">
        <f t="shared" si="610"/>
        <v>0</v>
      </c>
      <c r="FX604" s="14" t="str">
        <f t="shared" si="611"/>
        <v/>
      </c>
      <c r="FY604" s="25" t="str">
        <f t="shared" si="625"/>
        <v>icon_2105102</v>
      </c>
      <c r="GC604" s="14">
        <f t="shared" si="612"/>
        <v>2</v>
      </c>
      <c r="GD604" s="14">
        <f t="shared" si="613"/>
        <v>0</v>
      </c>
      <c r="GE604" s="14">
        <f t="shared" si="588"/>
        <v>70</v>
      </c>
      <c r="GF604" s="14" t="str">
        <f t="shared" si="589"/>
        <v>DefExt</v>
      </c>
      <c r="GG604" s="14">
        <f t="shared" si="590"/>
        <v>125</v>
      </c>
      <c r="GH604" s="14">
        <f t="shared" si="591"/>
        <v>7</v>
      </c>
      <c r="GI604" s="14" t="str">
        <f t="shared" si="592"/>
        <v/>
      </c>
      <c r="GJ604" s="14" t="str">
        <f t="shared" si="593"/>
        <v/>
      </c>
      <c r="GK604" s="14" t="str">
        <f t="shared" si="594"/>
        <v/>
      </c>
      <c r="GL604" s="14">
        <f t="shared" si="614"/>
        <v>20520</v>
      </c>
      <c r="GM604" s="14">
        <f t="shared" si="595"/>
        <v>0</v>
      </c>
      <c r="GN604" s="14" t="str">
        <f t="shared" si="596"/>
        <v/>
      </c>
      <c r="GO604" s="25" t="s">
        <v>1471</v>
      </c>
      <c r="GP604" s="14">
        <f t="shared" si="615"/>
        <v>60</v>
      </c>
    </row>
    <row r="605" spans="151:198" ht="16.5" x14ac:dyDescent="0.2">
      <c r="EU605" s="13">
        <v>600</v>
      </c>
      <c r="EV605" s="14">
        <f t="shared" si="616"/>
        <v>2</v>
      </c>
      <c r="EW605" s="14">
        <f t="shared" si="584"/>
        <v>165</v>
      </c>
      <c r="EX605" s="14">
        <f t="shared" si="617"/>
        <v>22</v>
      </c>
      <c r="EY605" s="14">
        <f t="shared" si="585"/>
        <v>20</v>
      </c>
      <c r="EZ605" s="14">
        <f t="shared" si="597"/>
        <v>16</v>
      </c>
      <c r="FA605" s="14">
        <f t="shared" si="598"/>
        <v>90</v>
      </c>
      <c r="FB605" s="14">
        <f t="shared" si="599"/>
        <v>2</v>
      </c>
      <c r="FC605" s="14">
        <f t="shared" si="600"/>
        <v>3</v>
      </c>
      <c r="FD605" s="14">
        <f t="shared" si="601"/>
        <v>3</v>
      </c>
      <c r="FE605" s="14" t="b">
        <f t="shared" si="618"/>
        <v>0</v>
      </c>
      <c r="FF605" s="14">
        <f t="shared" si="602"/>
        <v>2105203</v>
      </c>
      <c r="FG605" s="13" t="str">
        <f t="shared" si="603"/>
        <v>90级-优秀守护灵の铠甲</v>
      </c>
      <c r="FH605" s="14">
        <f t="shared" si="604"/>
        <v>2</v>
      </c>
      <c r="FI605" s="14">
        <f t="shared" si="605"/>
        <v>2</v>
      </c>
      <c r="FJ605" s="14">
        <f t="shared" si="606"/>
        <v>90</v>
      </c>
      <c r="FK605" s="14">
        <v>166</v>
      </c>
      <c r="FL605" s="14">
        <f t="shared" si="607"/>
        <v>5</v>
      </c>
      <c r="FM605" s="14">
        <f t="shared" si="586"/>
        <v>3</v>
      </c>
      <c r="FN605" s="14" t="str">
        <f t="shared" si="608"/>
        <v/>
      </c>
      <c r="FO605" s="14">
        <f t="shared" si="587"/>
        <v>83</v>
      </c>
      <c r="FP605" s="14">
        <f t="shared" si="619"/>
        <v>0</v>
      </c>
      <c r="FQ605" s="14">
        <f t="shared" si="620"/>
        <v>60</v>
      </c>
      <c r="FR605" s="14">
        <f t="shared" si="621"/>
        <v>1005</v>
      </c>
      <c r="FS605" s="14">
        <f t="shared" si="622"/>
        <v>0</v>
      </c>
      <c r="FT605" s="14">
        <f t="shared" si="623"/>
        <v>3</v>
      </c>
      <c r="FU605" s="14">
        <f t="shared" si="624"/>
        <v>53</v>
      </c>
      <c r="FV605" s="14">
        <f t="shared" si="609"/>
        <v>2052</v>
      </c>
      <c r="FW605" s="14">
        <f t="shared" si="610"/>
        <v>0</v>
      </c>
      <c r="FX605" s="14" t="str">
        <f t="shared" si="611"/>
        <v/>
      </c>
      <c r="FY605" s="25" t="str">
        <f t="shared" si="625"/>
        <v>icon_2105103</v>
      </c>
      <c r="GC605" s="14">
        <f t="shared" si="612"/>
        <v>2</v>
      </c>
      <c r="GD605" s="14">
        <f t="shared" si="613"/>
        <v>3</v>
      </c>
      <c r="GE605" s="14">
        <f t="shared" si="588"/>
        <v>83</v>
      </c>
      <c r="GF605" s="14" t="str">
        <f t="shared" si="589"/>
        <v>DefExt</v>
      </c>
      <c r="GG605" s="14">
        <f t="shared" si="590"/>
        <v>60</v>
      </c>
      <c r="GH605" s="14">
        <f t="shared" si="591"/>
        <v>3</v>
      </c>
      <c r="GI605" s="14" t="str">
        <f t="shared" si="592"/>
        <v>HPExt</v>
      </c>
      <c r="GJ605" s="14">
        <f t="shared" si="593"/>
        <v>1005</v>
      </c>
      <c r="GK605" s="14">
        <f t="shared" si="594"/>
        <v>53</v>
      </c>
      <c r="GL605" s="14">
        <f t="shared" si="614"/>
        <v>20520</v>
      </c>
      <c r="GM605" s="14">
        <f t="shared" si="595"/>
        <v>0</v>
      </c>
      <c r="GN605" s="14" t="str">
        <f t="shared" si="596"/>
        <v/>
      </c>
      <c r="GO605" s="25" t="s">
        <v>1471</v>
      </c>
      <c r="GP605" s="14">
        <f t="shared" si="615"/>
        <v>60</v>
      </c>
    </row>
    <row r="606" spans="151:198" ht="16.5" x14ac:dyDescent="0.2">
      <c r="EU606" s="13">
        <v>601</v>
      </c>
      <c r="EV606" s="14">
        <f t="shared" si="616"/>
        <v>2</v>
      </c>
      <c r="EW606" s="14">
        <f t="shared" si="584"/>
        <v>166</v>
      </c>
      <c r="EX606" s="14">
        <f t="shared" si="617"/>
        <v>22</v>
      </c>
      <c r="EY606" s="14">
        <f t="shared" si="585"/>
        <v>20</v>
      </c>
      <c r="EZ606" s="14">
        <f t="shared" si="597"/>
        <v>16</v>
      </c>
      <c r="FA606" s="14">
        <f t="shared" si="598"/>
        <v>90</v>
      </c>
      <c r="FB606" s="14">
        <f t="shared" si="599"/>
        <v>2</v>
      </c>
      <c r="FC606" s="14">
        <f t="shared" si="600"/>
        <v>4</v>
      </c>
      <c r="FD606" s="14">
        <f t="shared" si="601"/>
        <v>4</v>
      </c>
      <c r="FE606" s="14" t="b">
        <f t="shared" si="618"/>
        <v>0</v>
      </c>
      <c r="FF606" s="14">
        <f t="shared" si="602"/>
        <v>2105204</v>
      </c>
      <c r="FG606" s="13" t="str">
        <f t="shared" si="603"/>
        <v>90级-优秀守护灵の裤子</v>
      </c>
      <c r="FH606" s="14">
        <f t="shared" si="604"/>
        <v>2</v>
      </c>
      <c r="FI606" s="14">
        <f t="shared" si="605"/>
        <v>2</v>
      </c>
      <c r="FJ606" s="14">
        <f t="shared" si="606"/>
        <v>90</v>
      </c>
      <c r="FK606" s="14">
        <v>167</v>
      </c>
      <c r="FL606" s="14">
        <f t="shared" si="607"/>
        <v>5</v>
      </c>
      <c r="FM606" s="14">
        <f t="shared" si="586"/>
        <v>4</v>
      </c>
      <c r="FN606" s="14" t="str">
        <f t="shared" si="608"/>
        <v/>
      </c>
      <c r="FO606" s="14">
        <f t="shared" si="587"/>
        <v>70</v>
      </c>
      <c r="FP606" s="14">
        <f t="shared" si="619"/>
        <v>0</v>
      </c>
      <c r="FQ606" s="14">
        <f t="shared" si="620"/>
        <v>125</v>
      </c>
      <c r="FR606" s="14">
        <f t="shared" si="621"/>
        <v>0</v>
      </c>
      <c r="FS606" s="14">
        <f t="shared" si="622"/>
        <v>0</v>
      </c>
      <c r="FT606" s="14">
        <f t="shared" si="623"/>
        <v>7</v>
      </c>
      <c r="FU606" s="14">
        <f t="shared" si="624"/>
        <v>0</v>
      </c>
      <c r="FV606" s="14">
        <f t="shared" si="609"/>
        <v>2052</v>
      </c>
      <c r="FW606" s="14">
        <f t="shared" si="610"/>
        <v>0</v>
      </c>
      <c r="FX606" s="14" t="str">
        <f t="shared" si="611"/>
        <v/>
      </c>
      <c r="FY606" s="25" t="str">
        <f t="shared" si="625"/>
        <v>icon_2105104</v>
      </c>
      <c r="GC606" s="14">
        <f t="shared" si="612"/>
        <v>2</v>
      </c>
      <c r="GD606" s="14">
        <f t="shared" si="613"/>
        <v>0</v>
      </c>
      <c r="GE606" s="14">
        <f t="shared" si="588"/>
        <v>70</v>
      </c>
      <c r="GF606" s="14" t="str">
        <f t="shared" si="589"/>
        <v>DefExt</v>
      </c>
      <c r="GG606" s="14">
        <f t="shared" si="590"/>
        <v>125</v>
      </c>
      <c r="GH606" s="14">
        <f t="shared" si="591"/>
        <v>7</v>
      </c>
      <c r="GI606" s="14" t="str">
        <f t="shared" si="592"/>
        <v/>
      </c>
      <c r="GJ606" s="14" t="str">
        <f t="shared" si="593"/>
        <v/>
      </c>
      <c r="GK606" s="14" t="str">
        <f t="shared" si="594"/>
        <v/>
      </c>
      <c r="GL606" s="14">
        <f t="shared" si="614"/>
        <v>20520</v>
      </c>
      <c r="GM606" s="14">
        <f t="shared" si="595"/>
        <v>0</v>
      </c>
      <c r="GN606" s="14" t="str">
        <f t="shared" si="596"/>
        <v/>
      </c>
      <c r="GO606" s="25" t="s">
        <v>1471</v>
      </c>
      <c r="GP606" s="14">
        <f t="shared" si="615"/>
        <v>60</v>
      </c>
    </row>
    <row r="607" spans="151:198" ht="16.5" x14ac:dyDescent="0.2">
      <c r="EU607" s="13">
        <v>602</v>
      </c>
      <c r="EV607" s="14">
        <f t="shared" si="616"/>
        <v>2</v>
      </c>
      <c r="EW607" s="14">
        <f t="shared" si="584"/>
        <v>167</v>
      </c>
      <c r="EX607" s="14">
        <f t="shared" si="617"/>
        <v>22</v>
      </c>
      <c r="EY607" s="14">
        <f t="shared" si="585"/>
        <v>20</v>
      </c>
      <c r="EZ607" s="14">
        <f t="shared" si="597"/>
        <v>16</v>
      </c>
      <c r="FA607" s="14">
        <f t="shared" si="598"/>
        <v>90</v>
      </c>
      <c r="FB607" s="14">
        <f t="shared" si="599"/>
        <v>2</v>
      </c>
      <c r="FC607" s="14">
        <f t="shared" si="600"/>
        <v>5</v>
      </c>
      <c r="FD607" s="14">
        <f t="shared" si="601"/>
        <v>5</v>
      </c>
      <c r="FE607" s="14" t="b">
        <f t="shared" si="618"/>
        <v>0</v>
      </c>
      <c r="FF607" s="14">
        <f t="shared" si="602"/>
        <v>2105205</v>
      </c>
      <c r="FG607" s="13" t="str">
        <f t="shared" si="603"/>
        <v>90级-优秀守护灵の鞋子</v>
      </c>
      <c r="FH607" s="14">
        <f t="shared" si="604"/>
        <v>2</v>
      </c>
      <c r="FI607" s="14">
        <f t="shared" si="605"/>
        <v>2</v>
      </c>
      <c r="FJ607" s="14">
        <f t="shared" si="606"/>
        <v>90</v>
      </c>
      <c r="FK607" s="14">
        <v>168</v>
      </c>
      <c r="FL607" s="14">
        <f t="shared" si="607"/>
        <v>5</v>
      </c>
      <c r="FM607" s="14">
        <f t="shared" si="586"/>
        <v>5</v>
      </c>
      <c r="FN607" s="14" t="str">
        <f t="shared" si="608"/>
        <v/>
      </c>
      <c r="FO607" s="14">
        <f t="shared" si="587"/>
        <v>106</v>
      </c>
      <c r="FP607" s="14">
        <f t="shared" si="619"/>
        <v>0</v>
      </c>
      <c r="FQ607" s="14">
        <f t="shared" si="620"/>
        <v>0</v>
      </c>
      <c r="FR607" s="14">
        <f t="shared" si="621"/>
        <v>2015</v>
      </c>
      <c r="FS607" s="14">
        <f t="shared" si="622"/>
        <v>0</v>
      </c>
      <c r="FT607" s="14">
        <f t="shared" si="623"/>
        <v>0</v>
      </c>
      <c r="FU607" s="14">
        <f t="shared" si="624"/>
        <v>106</v>
      </c>
      <c r="FV607" s="14">
        <f t="shared" si="609"/>
        <v>2052</v>
      </c>
      <c r="FW607" s="14">
        <f t="shared" si="610"/>
        <v>0</v>
      </c>
      <c r="FX607" s="14" t="str">
        <f t="shared" si="611"/>
        <v/>
      </c>
      <c r="FY607" s="25" t="str">
        <f t="shared" si="625"/>
        <v>icon_2105105</v>
      </c>
      <c r="GC607" s="14">
        <f t="shared" si="612"/>
        <v>3</v>
      </c>
      <c r="GD607" s="14">
        <f t="shared" si="613"/>
        <v>0</v>
      </c>
      <c r="GE607" s="14">
        <f t="shared" si="588"/>
        <v>106</v>
      </c>
      <c r="GF607" s="14" t="str">
        <f t="shared" si="589"/>
        <v>HPExt</v>
      </c>
      <c r="GG607" s="14">
        <f t="shared" si="590"/>
        <v>2015</v>
      </c>
      <c r="GH607" s="14">
        <f t="shared" si="591"/>
        <v>106</v>
      </c>
      <c r="GI607" s="14" t="str">
        <f t="shared" si="592"/>
        <v/>
      </c>
      <c r="GJ607" s="14" t="str">
        <f t="shared" si="593"/>
        <v/>
      </c>
      <c r="GK607" s="14" t="str">
        <f t="shared" si="594"/>
        <v/>
      </c>
      <c r="GL607" s="14">
        <f t="shared" si="614"/>
        <v>20520</v>
      </c>
      <c r="GM607" s="14">
        <f t="shared" si="595"/>
        <v>0</v>
      </c>
      <c r="GN607" s="14" t="str">
        <f t="shared" si="596"/>
        <v/>
      </c>
      <c r="GO607" s="25" t="s">
        <v>1471</v>
      </c>
      <c r="GP607" s="14">
        <f t="shared" si="615"/>
        <v>60</v>
      </c>
    </row>
    <row r="608" spans="151:198" ht="16.5" x14ac:dyDescent="0.2">
      <c r="EU608" s="13">
        <v>603</v>
      </c>
      <c r="EV608" s="14">
        <f t="shared" si="616"/>
        <v>2</v>
      </c>
      <c r="EW608" s="14">
        <f t="shared" si="584"/>
        <v>168</v>
      </c>
      <c r="EX608" s="14">
        <f t="shared" si="617"/>
        <v>22</v>
      </c>
      <c r="EY608" s="14">
        <f t="shared" si="585"/>
        <v>20</v>
      </c>
      <c r="EZ608" s="14">
        <f t="shared" si="597"/>
        <v>16</v>
      </c>
      <c r="FA608" s="14">
        <f t="shared" si="598"/>
        <v>90</v>
      </c>
      <c r="FB608" s="14">
        <f t="shared" si="599"/>
        <v>2</v>
      </c>
      <c r="FC608" s="14">
        <f t="shared" si="600"/>
        <v>6</v>
      </c>
      <c r="FD608" s="14">
        <f t="shared" si="601"/>
        <v>6</v>
      </c>
      <c r="FE608" s="14" t="b">
        <f t="shared" si="618"/>
        <v>0</v>
      </c>
      <c r="FF608" s="14">
        <f t="shared" si="602"/>
        <v>2105206</v>
      </c>
      <c r="FG608" s="13" t="str">
        <f t="shared" si="603"/>
        <v>90级-优秀守护灵の护手</v>
      </c>
      <c r="FH608" s="14">
        <f t="shared" si="604"/>
        <v>2</v>
      </c>
      <c r="FI608" s="14">
        <f t="shared" si="605"/>
        <v>2</v>
      </c>
      <c r="FJ608" s="14">
        <f t="shared" si="606"/>
        <v>90</v>
      </c>
      <c r="FK608" s="14">
        <v>169</v>
      </c>
      <c r="FL608" s="14">
        <f t="shared" si="607"/>
        <v>5</v>
      </c>
      <c r="FM608" s="14">
        <f t="shared" si="586"/>
        <v>6</v>
      </c>
      <c r="FN608" s="14" t="str">
        <f t="shared" si="608"/>
        <v/>
      </c>
      <c r="FO608" s="14">
        <f t="shared" si="587"/>
        <v>106</v>
      </c>
      <c r="FP608" s="14">
        <f t="shared" si="619"/>
        <v>0</v>
      </c>
      <c r="FQ608" s="14">
        <f t="shared" si="620"/>
        <v>0</v>
      </c>
      <c r="FR608" s="14">
        <f t="shared" si="621"/>
        <v>2015</v>
      </c>
      <c r="FS608" s="14">
        <f t="shared" si="622"/>
        <v>0</v>
      </c>
      <c r="FT608" s="14">
        <f t="shared" si="623"/>
        <v>0</v>
      </c>
      <c r="FU608" s="14">
        <f t="shared" si="624"/>
        <v>106</v>
      </c>
      <c r="FV608" s="14">
        <f t="shared" si="609"/>
        <v>2052</v>
      </c>
      <c r="FW608" s="14">
        <f t="shared" si="610"/>
        <v>0</v>
      </c>
      <c r="FX608" s="14" t="str">
        <f t="shared" si="611"/>
        <v/>
      </c>
      <c r="FY608" s="25" t="str">
        <f t="shared" si="625"/>
        <v>icon_2105106</v>
      </c>
      <c r="GC608" s="14">
        <f t="shared" si="612"/>
        <v>3</v>
      </c>
      <c r="GD608" s="14">
        <f t="shared" si="613"/>
        <v>0</v>
      </c>
      <c r="GE608" s="14">
        <f t="shared" si="588"/>
        <v>106</v>
      </c>
      <c r="GF608" s="14" t="str">
        <f t="shared" si="589"/>
        <v>HPExt</v>
      </c>
      <c r="GG608" s="14">
        <f t="shared" si="590"/>
        <v>2015</v>
      </c>
      <c r="GH608" s="14">
        <f t="shared" si="591"/>
        <v>106</v>
      </c>
      <c r="GI608" s="14" t="str">
        <f t="shared" si="592"/>
        <v/>
      </c>
      <c r="GJ608" s="14" t="str">
        <f t="shared" si="593"/>
        <v/>
      </c>
      <c r="GK608" s="14" t="str">
        <f t="shared" si="594"/>
        <v/>
      </c>
      <c r="GL608" s="14">
        <f t="shared" si="614"/>
        <v>20520</v>
      </c>
      <c r="GM608" s="14">
        <f t="shared" si="595"/>
        <v>0</v>
      </c>
      <c r="GN608" s="14" t="str">
        <f t="shared" si="596"/>
        <v/>
      </c>
      <c r="GO608" s="25" t="s">
        <v>1471</v>
      </c>
      <c r="GP608" s="14">
        <f t="shared" si="615"/>
        <v>60</v>
      </c>
    </row>
    <row r="609" spans="151:198" ht="16.5" x14ac:dyDescent="0.2">
      <c r="EU609" s="13">
        <v>604</v>
      </c>
      <c r="EV609" s="14">
        <f t="shared" si="616"/>
        <v>2</v>
      </c>
      <c r="EW609" s="14">
        <f t="shared" si="584"/>
        <v>169</v>
      </c>
      <c r="EX609" s="14">
        <f t="shared" si="617"/>
        <v>22</v>
      </c>
      <c r="EY609" s="14">
        <f t="shared" si="585"/>
        <v>20</v>
      </c>
      <c r="EZ609" s="14">
        <f t="shared" si="597"/>
        <v>16</v>
      </c>
      <c r="FA609" s="14">
        <f t="shared" si="598"/>
        <v>90</v>
      </c>
      <c r="FB609" s="14">
        <f t="shared" si="599"/>
        <v>2</v>
      </c>
      <c r="FC609" s="14">
        <f t="shared" si="600"/>
        <v>7</v>
      </c>
      <c r="FD609" s="14">
        <f t="shared" si="601"/>
        <v>7</v>
      </c>
      <c r="FE609" s="14" t="b">
        <f t="shared" si="618"/>
        <v>0</v>
      </c>
      <c r="FF609" s="14">
        <f t="shared" si="602"/>
        <v>2105207</v>
      </c>
      <c r="FG609" s="13" t="str">
        <f t="shared" si="603"/>
        <v>90级-优秀守护灵の项链</v>
      </c>
      <c r="FH609" s="14">
        <f t="shared" si="604"/>
        <v>2</v>
      </c>
      <c r="FI609" s="14">
        <f t="shared" si="605"/>
        <v>2</v>
      </c>
      <c r="FJ609" s="14">
        <f t="shared" si="606"/>
        <v>90</v>
      </c>
      <c r="FK609" s="14">
        <v>170</v>
      </c>
      <c r="FL609" s="14">
        <f t="shared" si="607"/>
        <v>5</v>
      </c>
      <c r="FM609" s="14">
        <f t="shared" si="586"/>
        <v>7</v>
      </c>
      <c r="FN609" s="14" t="str">
        <f t="shared" si="608"/>
        <v/>
      </c>
      <c r="FO609" s="14">
        <f t="shared" si="587"/>
        <v>105</v>
      </c>
      <c r="FP609" s="14">
        <f t="shared" si="619"/>
        <v>165</v>
      </c>
      <c r="FQ609" s="14">
        <f t="shared" si="620"/>
        <v>105</v>
      </c>
      <c r="FR609" s="14">
        <f t="shared" si="621"/>
        <v>0</v>
      </c>
      <c r="FS609" s="14">
        <f t="shared" si="622"/>
        <v>9</v>
      </c>
      <c r="FT609" s="14">
        <f t="shared" si="623"/>
        <v>6</v>
      </c>
      <c r="FU609" s="14">
        <f t="shared" si="624"/>
        <v>0</v>
      </c>
      <c r="FV609" s="14">
        <f t="shared" si="609"/>
        <v>2052</v>
      </c>
      <c r="FW609" s="14">
        <f t="shared" si="610"/>
        <v>0</v>
      </c>
      <c r="FX609" s="14" t="str">
        <f t="shared" si="611"/>
        <v/>
      </c>
      <c r="FY609" s="25" t="str">
        <f t="shared" si="625"/>
        <v>icon_2105107</v>
      </c>
      <c r="GC609" s="14">
        <f t="shared" si="612"/>
        <v>1</v>
      </c>
      <c r="GD609" s="14">
        <f t="shared" si="613"/>
        <v>2</v>
      </c>
      <c r="GE609" s="14">
        <f t="shared" si="588"/>
        <v>105</v>
      </c>
      <c r="GF609" s="14" t="str">
        <f t="shared" si="589"/>
        <v>AtkExt</v>
      </c>
      <c r="GG609" s="14">
        <f t="shared" si="590"/>
        <v>165</v>
      </c>
      <c r="GH609" s="14">
        <f t="shared" si="591"/>
        <v>9</v>
      </c>
      <c r="GI609" s="14" t="str">
        <f t="shared" si="592"/>
        <v>DefExt</v>
      </c>
      <c r="GJ609" s="14">
        <f t="shared" si="593"/>
        <v>105</v>
      </c>
      <c r="GK609" s="14">
        <f t="shared" si="594"/>
        <v>6</v>
      </c>
      <c r="GL609" s="14">
        <f t="shared" si="614"/>
        <v>20520</v>
      </c>
      <c r="GM609" s="14">
        <f t="shared" si="595"/>
        <v>0</v>
      </c>
      <c r="GN609" s="14" t="str">
        <f t="shared" si="596"/>
        <v/>
      </c>
      <c r="GO609" s="25" t="s">
        <v>1471</v>
      </c>
      <c r="GP609" s="14">
        <f t="shared" si="615"/>
        <v>90</v>
      </c>
    </row>
    <row r="610" spans="151:198" ht="16.5" x14ac:dyDescent="0.2">
      <c r="EU610" s="13">
        <v>605</v>
      </c>
      <c r="EV610" s="14">
        <f t="shared" si="616"/>
        <v>2</v>
      </c>
      <c r="EW610" s="14">
        <f t="shared" si="584"/>
        <v>170</v>
      </c>
      <c r="EX610" s="14">
        <f t="shared" si="617"/>
        <v>22</v>
      </c>
      <c r="EY610" s="14">
        <f t="shared" si="585"/>
        <v>20</v>
      </c>
      <c r="EZ610" s="14">
        <f t="shared" si="597"/>
        <v>16</v>
      </c>
      <c r="FA610" s="14">
        <f t="shared" si="598"/>
        <v>90</v>
      </c>
      <c r="FB610" s="14">
        <f t="shared" si="599"/>
        <v>2</v>
      </c>
      <c r="FC610" s="14">
        <f t="shared" si="600"/>
        <v>8</v>
      </c>
      <c r="FD610" s="14">
        <f t="shared" si="601"/>
        <v>8</v>
      </c>
      <c r="FE610" s="14" t="b">
        <f t="shared" si="618"/>
        <v>0</v>
      </c>
      <c r="FF610" s="14">
        <f t="shared" si="602"/>
        <v>2105208</v>
      </c>
      <c r="FG610" s="13" t="str">
        <f t="shared" si="603"/>
        <v>90级-优秀守护灵の戒指</v>
      </c>
      <c r="FH610" s="14">
        <f t="shared" si="604"/>
        <v>2</v>
      </c>
      <c r="FI610" s="14">
        <f t="shared" si="605"/>
        <v>2</v>
      </c>
      <c r="FJ610" s="14">
        <f t="shared" si="606"/>
        <v>90</v>
      </c>
      <c r="FK610" s="14">
        <v>171</v>
      </c>
      <c r="FL610" s="14">
        <f t="shared" si="607"/>
        <v>5</v>
      </c>
      <c r="FM610" s="14">
        <f t="shared" si="586"/>
        <v>8</v>
      </c>
      <c r="FN610" s="14" t="str">
        <f t="shared" si="608"/>
        <v/>
      </c>
      <c r="FO610" s="14">
        <f t="shared" si="587"/>
        <v>133</v>
      </c>
      <c r="FP610" s="14">
        <f t="shared" si="619"/>
        <v>165</v>
      </c>
      <c r="FQ610" s="14">
        <f t="shared" si="620"/>
        <v>0</v>
      </c>
      <c r="FR610" s="14">
        <f t="shared" si="621"/>
        <v>1680</v>
      </c>
      <c r="FS610" s="14">
        <f t="shared" si="622"/>
        <v>9</v>
      </c>
      <c r="FT610" s="14">
        <f t="shared" si="623"/>
        <v>0</v>
      </c>
      <c r="FU610" s="14">
        <f t="shared" si="624"/>
        <v>88</v>
      </c>
      <c r="FV610" s="14">
        <f t="shared" si="609"/>
        <v>2052</v>
      </c>
      <c r="FW610" s="14">
        <f t="shared" si="610"/>
        <v>0</v>
      </c>
      <c r="FX610" s="14" t="str">
        <f t="shared" si="611"/>
        <v/>
      </c>
      <c r="FY610" s="25" t="str">
        <f t="shared" si="625"/>
        <v>icon_2105108</v>
      </c>
      <c r="GC610" s="14">
        <f t="shared" si="612"/>
        <v>1</v>
      </c>
      <c r="GD610" s="14">
        <f t="shared" si="613"/>
        <v>3</v>
      </c>
      <c r="GE610" s="14">
        <f t="shared" si="588"/>
        <v>133</v>
      </c>
      <c r="GF610" s="14" t="str">
        <f t="shared" si="589"/>
        <v>AtkExt</v>
      </c>
      <c r="GG610" s="14">
        <f t="shared" si="590"/>
        <v>165</v>
      </c>
      <c r="GH610" s="14">
        <f t="shared" si="591"/>
        <v>9</v>
      </c>
      <c r="GI610" s="14" t="str">
        <f t="shared" si="592"/>
        <v>HPExt</v>
      </c>
      <c r="GJ610" s="14">
        <f t="shared" si="593"/>
        <v>1680</v>
      </c>
      <c r="GK610" s="14">
        <f t="shared" si="594"/>
        <v>88</v>
      </c>
      <c r="GL610" s="14">
        <f t="shared" si="614"/>
        <v>20520</v>
      </c>
      <c r="GM610" s="14">
        <f t="shared" si="595"/>
        <v>0</v>
      </c>
      <c r="GN610" s="14" t="str">
        <f t="shared" si="596"/>
        <v/>
      </c>
      <c r="GO610" s="25" t="s">
        <v>1471</v>
      </c>
      <c r="GP610" s="14">
        <f t="shared" si="615"/>
        <v>90</v>
      </c>
    </row>
    <row r="611" spans="151:198" ht="16.5" x14ac:dyDescent="0.2">
      <c r="EU611" s="13">
        <v>606</v>
      </c>
      <c r="EV611" s="14">
        <f t="shared" si="616"/>
        <v>2</v>
      </c>
      <c r="EW611" s="14">
        <f t="shared" si="584"/>
        <v>171</v>
      </c>
      <c r="EX611" s="14">
        <f t="shared" si="617"/>
        <v>23</v>
      </c>
      <c r="EY611" s="14">
        <f t="shared" si="585"/>
        <v>30</v>
      </c>
      <c r="EZ611" s="14">
        <f t="shared" si="597"/>
        <v>16</v>
      </c>
      <c r="FA611" s="14">
        <f t="shared" si="598"/>
        <v>90</v>
      </c>
      <c r="FB611" s="14">
        <f t="shared" si="599"/>
        <v>3</v>
      </c>
      <c r="FC611" s="14">
        <f t="shared" si="600"/>
        <v>1</v>
      </c>
      <c r="FD611" s="14">
        <f t="shared" si="601"/>
        <v>1</v>
      </c>
      <c r="FE611" s="14" t="b">
        <f t="shared" si="618"/>
        <v>0</v>
      </c>
      <c r="FF611" s="14">
        <f t="shared" si="602"/>
        <v>2105301</v>
      </c>
      <c r="FG611" s="13" t="str">
        <f t="shared" si="603"/>
        <v>90级-精良守护灵の灵器</v>
      </c>
      <c r="FH611" s="14">
        <f t="shared" si="604"/>
        <v>2</v>
      </c>
      <c r="FI611" s="14">
        <f t="shared" si="605"/>
        <v>3</v>
      </c>
      <c r="FJ611" s="14">
        <f t="shared" si="606"/>
        <v>90</v>
      </c>
      <c r="FK611" s="14">
        <v>172</v>
      </c>
      <c r="FL611" s="14">
        <f t="shared" si="607"/>
        <v>5</v>
      </c>
      <c r="FM611" s="14">
        <f t="shared" si="586"/>
        <v>1</v>
      </c>
      <c r="FN611" s="14" t="str">
        <f t="shared" si="608"/>
        <v/>
      </c>
      <c r="FO611" s="14">
        <f t="shared" si="587"/>
        <v>160</v>
      </c>
      <c r="FP611" s="14">
        <f t="shared" si="619"/>
        <v>605</v>
      </c>
      <c r="FQ611" s="14">
        <f t="shared" si="620"/>
        <v>0</v>
      </c>
      <c r="FR611" s="14">
        <f t="shared" si="621"/>
        <v>0</v>
      </c>
      <c r="FS611" s="14">
        <f t="shared" si="622"/>
        <v>32</v>
      </c>
      <c r="FT611" s="14">
        <f t="shared" si="623"/>
        <v>0</v>
      </c>
      <c r="FU611" s="14">
        <f t="shared" si="624"/>
        <v>0</v>
      </c>
      <c r="FV611" s="14">
        <f t="shared" si="609"/>
        <v>2053</v>
      </c>
      <c r="FW611" s="14">
        <f t="shared" si="610"/>
        <v>3</v>
      </c>
      <c r="FX611" s="14">
        <f t="shared" si="611"/>
        <v>2053</v>
      </c>
      <c r="FY611" s="25" t="str">
        <f t="shared" si="625"/>
        <v>icon_2105101</v>
      </c>
      <c r="GC611" s="14">
        <f t="shared" si="612"/>
        <v>1</v>
      </c>
      <c r="GD611" s="14">
        <f t="shared" si="613"/>
        <v>0</v>
      </c>
      <c r="GE611" s="14">
        <f t="shared" si="588"/>
        <v>160</v>
      </c>
      <c r="GF611" s="14" t="str">
        <f t="shared" si="589"/>
        <v>AtkExt</v>
      </c>
      <c r="GG611" s="14">
        <f t="shared" si="590"/>
        <v>605</v>
      </c>
      <c r="GH611" s="14">
        <f t="shared" si="591"/>
        <v>32</v>
      </c>
      <c r="GI611" s="14" t="str">
        <f t="shared" si="592"/>
        <v/>
      </c>
      <c r="GJ611" s="14" t="str">
        <f t="shared" si="593"/>
        <v/>
      </c>
      <c r="GK611" s="14" t="str">
        <f t="shared" si="594"/>
        <v/>
      </c>
      <c r="GL611" s="14">
        <f t="shared" si="614"/>
        <v>20530</v>
      </c>
      <c r="GM611" s="14">
        <f t="shared" si="595"/>
        <v>3</v>
      </c>
      <c r="GN611" s="14">
        <f t="shared" si="596"/>
        <v>2053</v>
      </c>
      <c r="GO611" s="25" t="s">
        <v>1471</v>
      </c>
      <c r="GP611" s="14">
        <f t="shared" si="615"/>
        <v>200</v>
      </c>
    </row>
    <row r="612" spans="151:198" ht="16.5" x14ac:dyDescent="0.2">
      <c r="EU612" s="13">
        <v>607</v>
      </c>
      <c r="EV612" s="14">
        <f t="shared" si="616"/>
        <v>2</v>
      </c>
      <c r="EW612" s="14">
        <f t="shared" si="584"/>
        <v>172</v>
      </c>
      <c r="EX612" s="14">
        <f t="shared" si="617"/>
        <v>23</v>
      </c>
      <c r="EY612" s="14">
        <f t="shared" si="585"/>
        <v>30</v>
      </c>
      <c r="EZ612" s="14">
        <f t="shared" si="597"/>
        <v>16</v>
      </c>
      <c r="FA612" s="14">
        <f t="shared" si="598"/>
        <v>90</v>
      </c>
      <c r="FB612" s="14">
        <f t="shared" si="599"/>
        <v>3</v>
      </c>
      <c r="FC612" s="14">
        <f t="shared" si="600"/>
        <v>2</v>
      </c>
      <c r="FD612" s="14">
        <f t="shared" si="601"/>
        <v>2</v>
      </c>
      <c r="FE612" s="14" t="b">
        <f t="shared" si="618"/>
        <v>0</v>
      </c>
      <c r="FF612" s="14">
        <f t="shared" si="602"/>
        <v>2105302</v>
      </c>
      <c r="FG612" s="13" t="str">
        <f t="shared" si="603"/>
        <v>90级-精良守护灵の头盔</v>
      </c>
      <c r="FH612" s="14">
        <f t="shared" si="604"/>
        <v>2</v>
      </c>
      <c r="FI612" s="14">
        <f t="shared" si="605"/>
        <v>3</v>
      </c>
      <c r="FJ612" s="14">
        <f t="shared" si="606"/>
        <v>90</v>
      </c>
      <c r="FK612" s="14">
        <v>173</v>
      </c>
      <c r="FL612" s="14">
        <f t="shared" si="607"/>
        <v>5</v>
      </c>
      <c r="FM612" s="14">
        <f t="shared" si="586"/>
        <v>2</v>
      </c>
      <c r="FN612" s="14" t="str">
        <f t="shared" si="608"/>
        <v/>
      </c>
      <c r="FO612" s="14">
        <f t="shared" si="587"/>
        <v>80</v>
      </c>
      <c r="FP612" s="14">
        <f t="shared" si="619"/>
        <v>0</v>
      </c>
      <c r="FQ612" s="14">
        <f t="shared" si="620"/>
        <v>150</v>
      </c>
      <c r="FR612" s="14">
        <f t="shared" si="621"/>
        <v>0</v>
      </c>
      <c r="FS612" s="14">
        <f t="shared" si="622"/>
        <v>0</v>
      </c>
      <c r="FT612" s="14">
        <f t="shared" si="623"/>
        <v>8</v>
      </c>
      <c r="FU612" s="14">
        <f t="shared" si="624"/>
        <v>0</v>
      </c>
      <c r="FV612" s="14">
        <f t="shared" si="609"/>
        <v>2053</v>
      </c>
      <c r="FW612" s="14">
        <f t="shared" si="610"/>
        <v>3</v>
      </c>
      <c r="FX612" s="14">
        <f t="shared" si="611"/>
        <v>2053</v>
      </c>
      <c r="FY612" s="25" t="str">
        <f t="shared" si="625"/>
        <v>icon_2105102</v>
      </c>
      <c r="GC612" s="14">
        <f t="shared" si="612"/>
        <v>2</v>
      </c>
      <c r="GD612" s="14">
        <f t="shared" si="613"/>
        <v>0</v>
      </c>
      <c r="GE612" s="14">
        <f t="shared" si="588"/>
        <v>80</v>
      </c>
      <c r="GF612" s="14" t="str">
        <f t="shared" si="589"/>
        <v>DefExt</v>
      </c>
      <c r="GG612" s="14">
        <f t="shared" si="590"/>
        <v>150</v>
      </c>
      <c r="GH612" s="14">
        <f t="shared" si="591"/>
        <v>8</v>
      </c>
      <c r="GI612" s="14" t="str">
        <f t="shared" si="592"/>
        <v/>
      </c>
      <c r="GJ612" s="14" t="str">
        <f t="shared" si="593"/>
        <v/>
      </c>
      <c r="GK612" s="14" t="str">
        <f t="shared" si="594"/>
        <v/>
      </c>
      <c r="GL612" s="14">
        <f t="shared" si="614"/>
        <v>20530</v>
      </c>
      <c r="GM612" s="14">
        <f t="shared" si="595"/>
        <v>3</v>
      </c>
      <c r="GN612" s="14">
        <f t="shared" si="596"/>
        <v>2053</v>
      </c>
      <c r="GO612" s="25" t="s">
        <v>1471</v>
      </c>
      <c r="GP612" s="14">
        <f t="shared" si="615"/>
        <v>100</v>
      </c>
    </row>
    <row r="613" spans="151:198" ht="16.5" x14ac:dyDescent="0.2">
      <c r="EU613" s="13">
        <v>608</v>
      </c>
      <c r="EV613" s="14">
        <f t="shared" si="616"/>
        <v>2</v>
      </c>
      <c r="EW613" s="14">
        <f t="shared" si="584"/>
        <v>173</v>
      </c>
      <c r="EX613" s="14">
        <f t="shared" si="617"/>
        <v>23</v>
      </c>
      <c r="EY613" s="14">
        <f t="shared" si="585"/>
        <v>30</v>
      </c>
      <c r="EZ613" s="14">
        <f t="shared" si="597"/>
        <v>16</v>
      </c>
      <c r="FA613" s="14">
        <f t="shared" si="598"/>
        <v>90</v>
      </c>
      <c r="FB613" s="14">
        <f t="shared" si="599"/>
        <v>3</v>
      </c>
      <c r="FC613" s="14">
        <f t="shared" si="600"/>
        <v>3</v>
      </c>
      <c r="FD613" s="14">
        <f t="shared" si="601"/>
        <v>3</v>
      </c>
      <c r="FE613" s="14" t="b">
        <f t="shared" si="618"/>
        <v>0</v>
      </c>
      <c r="FF613" s="14">
        <f t="shared" si="602"/>
        <v>2105303</v>
      </c>
      <c r="FG613" s="13" t="str">
        <f t="shared" si="603"/>
        <v>90级-精良守护灵の铠甲</v>
      </c>
      <c r="FH613" s="14">
        <f t="shared" si="604"/>
        <v>2</v>
      </c>
      <c r="FI613" s="14">
        <f t="shared" si="605"/>
        <v>3</v>
      </c>
      <c r="FJ613" s="14">
        <f t="shared" si="606"/>
        <v>90</v>
      </c>
      <c r="FK613" s="14">
        <v>174</v>
      </c>
      <c r="FL613" s="14">
        <f t="shared" si="607"/>
        <v>5</v>
      </c>
      <c r="FM613" s="14">
        <f t="shared" si="586"/>
        <v>3</v>
      </c>
      <c r="FN613" s="14" t="str">
        <f t="shared" si="608"/>
        <v/>
      </c>
      <c r="FO613" s="14">
        <f t="shared" si="587"/>
        <v>104</v>
      </c>
      <c r="FP613" s="14">
        <f t="shared" si="619"/>
        <v>0</v>
      </c>
      <c r="FQ613" s="14">
        <f t="shared" si="620"/>
        <v>75</v>
      </c>
      <c r="FR613" s="14">
        <f t="shared" si="621"/>
        <v>1225</v>
      </c>
      <c r="FS613" s="14">
        <f t="shared" si="622"/>
        <v>0</v>
      </c>
      <c r="FT613" s="14">
        <f t="shared" si="623"/>
        <v>4</v>
      </c>
      <c r="FU613" s="14">
        <f t="shared" si="624"/>
        <v>64</v>
      </c>
      <c r="FV613" s="14">
        <f t="shared" si="609"/>
        <v>2053</v>
      </c>
      <c r="FW613" s="14">
        <f t="shared" si="610"/>
        <v>3</v>
      </c>
      <c r="FX613" s="14">
        <f t="shared" si="611"/>
        <v>2053</v>
      </c>
      <c r="FY613" s="25" t="str">
        <f t="shared" si="625"/>
        <v>icon_2105103</v>
      </c>
      <c r="GC613" s="14">
        <f t="shared" si="612"/>
        <v>2</v>
      </c>
      <c r="GD613" s="14">
        <f t="shared" si="613"/>
        <v>3</v>
      </c>
      <c r="GE613" s="14">
        <f t="shared" si="588"/>
        <v>104</v>
      </c>
      <c r="GF613" s="14" t="str">
        <f t="shared" si="589"/>
        <v>DefExt</v>
      </c>
      <c r="GG613" s="14">
        <f t="shared" si="590"/>
        <v>75</v>
      </c>
      <c r="GH613" s="14">
        <f t="shared" si="591"/>
        <v>4</v>
      </c>
      <c r="GI613" s="14" t="str">
        <f t="shared" si="592"/>
        <v>HPExt</v>
      </c>
      <c r="GJ613" s="14">
        <f t="shared" si="593"/>
        <v>1225</v>
      </c>
      <c r="GK613" s="14">
        <f t="shared" si="594"/>
        <v>64</v>
      </c>
      <c r="GL613" s="14">
        <f t="shared" si="614"/>
        <v>20530</v>
      </c>
      <c r="GM613" s="14">
        <f t="shared" si="595"/>
        <v>3</v>
      </c>
      <c r="GN613" s="14">
        <f t="shared" si="596"/>
        <v>2053</v>
      </c>
      <c r="GO613" s="25" t="s">
        <v>1471</v>
      </c>
      <c r="GP613" s="14">
        <f t="shared" si="615"/>
        <v>100</v>
      </c>
    </row>
    <row r="614" spans="151:198" ht="16.5" x14ac:dyDescent="0.2">
      <c r="EU614" s="13">
        <v>609</v>
      </c>
      <c r="EV614" s="14">
        <f t="shared" si="616"/>
        <v>2</v>
      </c>
      <c r="EW614" s="14">
        <f t="shared" si="584"/>
        <v>174</v>
      </c>
      <c r="EX614" s="14">
        <f t="shared" si="617"/>
        <v>23</v>
      </c>
      <c r="EY614" s="14">
        <f t="shared" si="585"/>
        <v>30</v>
      </c>
      <c r="EZ614" s="14">
        <f t="shared" si="597"/>
        <v>16</v>
      </c>
      <c r="FA614" s="14">
        <f t="shared" si="598"/>
        <v>90</v>
      </c>
      <c r="FB614" s="14">
        <f t="shared" si="599"/>
        <v>3</v>
      </c>
      <c r="FC614" s="14">
        <f t="shared" si="600"/>
        <v>4</v>
      </c>
      <c r="FD614" s="14">
        <f t="shared" si="601"/>
        <v>4</v>
      </c>
      <c r="FE614" s="14" t="b">
        <f t="shared" si="618"/>
        <v>0</v>
      </c>
      <c r="FF614" s="14">
        <f t="shared" si="602"/>
        <v>2105304</v>
      </c>
      <c r="FG614" s="13" t="str">
        <f t="shared" si="603"/>
        <v>90级-精良守护灵の裤子</v>
      </c>
      <c r="FH614" s="14">
        <f t="shared" si="604"/>
        <v>2</v>
      </c>
      <c r="FI614" s="14">
        <f t="shared" si="605"/>
        <v>3</v>
      </c>
      <c r="FJ614" s="14">
        <f t="shared" si="606"/>
        <v>90</v>
      </c>
      <c r="FK614" s="14">
        <v>175</v>
      </c>
      <c r="FL614" s="14">
        <f t="shared" si="607"/>
        <v>5</v>
      </c>
      <c r="FM614" s="14">
        <f t="shared" si="586"/>
        <v>4</v>
      </c>
      <c r="FN614" s="14" t="str">
        <f t="shared" si="608"/>
        <v/>
      </c>
      <c r="FO614" s="14">
        <f t="shared" si="587"/>
        <v>80</v>
      </c>
      <c r="FP614" s="14">
        <f t="shared" si="619"/>
        <v>0</v>
      </c>
      <c r="FQ614" s="14">
        <f t="shared" si="620"/>
        <v>150</v>
      </c>
      <c r="FR614" s="14">
        <f t="shared" si="621"/>
        <v>0</v>
      </c>
      <c r="FS614" s="14">
        <f t="shared" si="622"/>
        <v>0</v>
      </c>
      <c r="FT614" s="14">
        <f t="shared" si="623"/>
        <v>8</v>
      </c>
      <c r="FU614" s="14">
        <f t="shared" si="624"/>
        <v>0</v>
      </c>
      <c r="FV614" s="14">
        <f t="shared" si="609"/>
        <v>2053</v>
      </c>
      <c r="FW614" s="14">
        <f t="shared" si="610"/>
        <v>3</v>
      </c>
      <c r="FX614" s="14">
        <f t="shared" si="611"/>
        <v>2053</v>
      </c>
      <c r="FY614" s="25" t="str">
        <f t="shared" si="625"/>
        <v>icon_2105104</v>
      </c>
      <c r="GC614" s="14">
        <f t="shared" si="612"/>
        <v>2</v>
      </c>
      <c r="GD614" s="14">
        <f t="shared" si="613"/>
        <v>0</v>
      </c>
      <c r="GE614" s="14">
        <f t="shared" si="588"/>
        <v>80</v>
      </c>
      <c r="GF614" s="14" t="str">
        <f t="shared" si="589"/>
        <v>DefExt</v>
      </c>
      <c r="GG614" s="14">
        <f t="shared" si="590"/>
        <v>150</v>
      </c>
      <c r="GH614" s="14">
        <f t="shared" si="591"/>
        <v>8</v>
      </c>
      <c r="GI614" s="14" t="str">
        <f t="shared" si="592"/>
        <v/>
      </c>
      <c r="GJ614" s="14" t="str">
        <f t="shared" si="593"/>
        <v/>
      </c>
      <c r="GK614" s="14" t="str">
        <f t="shared" si="594"/>
        <v/>
      </c>
      <c r="GL614" s="14">
        <f t="shared" si="614"/>
        <v>20530</v>
      </c>
      <c r="GM614" s="14">
        <f t="shared" si="595"/>
        <v>3</v>
      </c>
      <c r="GN614" s="14">
        <f t="shared" si="596"/>
        <v>2053</v>
      </c>
      <c r="GO614" s="25" t="s">
        <v>1471</v>
      </c>
      <c r="GP614" s="14">
        <f t="shared" si="615"/>
        <v>100</v>
      </c>
    </row>
    <row r="615" spans="151:198" ht="16.5" x14ac:dyDescent="0.2">
      <c r="EU615" s="13">
        <v>610</v>
      </c>
      <c r="EV615" s="14">
        <f t="shared" si="616"/>
        <v>2</v>
      </c>
      <c r="EW615" s="14">
        <f t="shared" si="584"/>
        <v>175</v>
      </c>
      <c r="EX615" s="14">
        <f t="shared" si="617"/>
        <v>23</v>
      </c>
      <c r="EY615" s="14">
        <f t="shared" si="585"/>
        <v>30</v>
      </c>
      <c r="EZ615" s="14">
        <f t="shared" si="597"/>
        <v>16</v>
      </c>
      <c r="FA615" s="14">
        <f t="shared" si="598"/>
        <v>90</v>
      </c>
      <c r="FB615" s="14">
        <f t="shared" si="599"/>
        <v>3</v>
      </c>
      <c r="FC615" s="14">
        <f t="shared" si="600"/>
        <v>5</v>
      </c>
      <c r="FD615" s="14">
        <f t="shared" si="601"/>
        <v>5</v>
      </c>
      <c r="FE615" s="14" t="b">
        <f t="shared" si="618"/>
        <v>0</v>
      </c>
      <c r="FF615" s="14">
        <f t="shared" si="602"/>
        <v>2105305</v>
      </c>
      <c r="FG615" s="13" t="str">
        <f t="shared" si="603"/>
        <v>90级-精良守护灵の鞋子</v>
      </c>
      <c r="FH615" s="14">
        <f t="shared" si="604"/>
        <v>2</v>
      </c>
      <c r="FI615" s="14">
        <f t="shared" si="605"/>
        <v>3</v>
      </c>
      <c r="FJ615" s="14">
        <f t="shared" si="606"/>
        <v>90</v>
      </c>
      <c r="FK615" s="14">
        <v>176</v>
      </c>
      <c r="FL615" s="14">
        <f t="shared" si="607"/>
        <v>5</v>
      </c>
      <c r="FM615" s="14">
        <f t="shared" si="586"/>
        <v>5</v>
      </c>
      <c r="FN615" s="14" t="str">
        <f t="shared" si="608"/>
        <v/>
      </c>
      <c r="FO615" s="14">
        <f t="shared" si="587"/>
        <v>128</v>
      </c>
      <c r="FP615" s="14">
        <f t="shared" si="619"/>
        <v>0</v>
      </c>
      <c r="FQ615" s="14">
        <f t="shared" si="620"/>
        <v>0</v>
      </c>
      <c r="FR615" s="14">
        <f t="shared" si="621"/>
        <v>2445</v>
      </c>
      <c r="FS615" s="14">
        <f t="shared" si="622"/>
        <v>0</v>
      </c>
      <c r="FT615" s="14">
        <f t="shared" si="623"/>
        <v>0</v>
      </c>
      <c r="FU615" s="14">
        <f t="shared" si="624"/>
        <v>128</v>
      </c>
      <c r="FV615" s="14">
        <f t="shared" si="609"/>
        <v>2053</v>
      </c>
      <c r="FW615" s="14">
        <f t="shared" si="610"/>
        <v>3</v>
      </c>
      <c r="FX615" s="14">
        <f t="shared" si="611"/>
        <v>2053</v>
      </c>
      <c r="FY615" s="25" t="str">
        <f t="shared" si="625"/>
        <v>icon_2105105</v>
      </c>
      <c r="GC615" s="14">
        <f t="shared" si="612"/>
        <v>3</v>
      </c>
      <c r="GD615" s="14">
        <f t="shared" si="613"/>
        <v>0</v>
      </c>
      <c r="GE615" s="14">
        <f t="shared" si="588"/>
        <v>128</v>
      </c>
      <c r="GF615" s="14" t="str">
        <f t="shared" si="589"/>
        <v>HPExt</v>
      </c>
      <c r="GG615" s="14">
        <f t="shared" si="590"/>
        <v>2445</v>
      </c>
      <c r="GH615" s="14">
        <f t="shared" si="591"/>
        <v>128</v>
      </c>
      <c r="GI615" s="14" t="str">
        <f t="shared" si="592"/>
        <v/>
      </c>
      <c r="GJ615" s="14" t="str">
        <f t="shared" si="593"/>
        <v/>
      </c>
      <c r="GK615" s="14" t="str">
        <f t="shared" si="594"/>
        <v/>
      </c>
      <c r="GL615" s="14">
        <f t="shared" si="614"/>
        <v>20530</v>
      </c>
      <c r="GM615" s="14">
        <f t="shared" si="595"/>
        <v>3</v>
      </c>
      <c r="GN615" s="14">
        <f t="shared" si="596"/>
        <v>2053</v>
      </c>
      <c r="GO615" s="25" t="s">
        <v>1471</v>
      </c>
      <c r="GP615" s="14">
        <f t="shared" si="615"/>
        <v>100</v>
      </c>
    </row>
    <row r="616" spans="151:198" ht="16.5" x14ac:dyDescent="0.2">
      <c r="EU616" s="13">
        <v>611</v>
      </c>
      <c r="EV616" s="14">
        <f t="shared" si="616"/>
        <v>2</v>
      </c>
      <c r="EW616" s="14">
        <f t="shared" si="584"/>
        <v>176</v>
      </c>
      <c r="EX616" s="14">
        <f t="shared" si="617"/>
        <v>23</v>
      </c>
      <c r="EY616" s="14">
        <f t="shared" si="585"/>
        <v>30</v>
      </c>
      <c r="EZ616" s="14">
        <f t="shared" si="597"/>
        <v>16</v>
      </c>
      <c r="FA616" s="14">
        <f t="shared" si="598"/>
        <v>90</v>
      </c>
      <c r="FB616" s="14">
        <f t="shared" si="599"/>
        <v>3</v>
      </c>
      <c r="FC616" s="14">
        <f t="shared" si="600"/>
        <v>6</v>
      </c>
      <c r="FD616" s="14">
        <f t="shared" si="601"/>
        <v>6</v>
      </c>
      <c r="FE616" s="14" t="b">
        <f t="shared" si="618"/>
        <v>0</v>
      </c>
      <c r="FF616" s="14">
        <f t="shared" si="602"/>
        <v>2105306</v>
      </c>
      <c r="FG616" s="13" t="str">
        <f t="shared" si="603"/>
        <v>90级-精良守护灵の护手</v>
      </c>
      <c r="FH616" s="14">
        <f t="shared" si="604"/>
        <v>2</v>
      </c>
      <c r="FI616" s="14">
        <f t="shared" si="605"/>
        <v>3</v>
      </c>
      <c r="FJ616" s="14">
        <f t="shared" si="606"/>
        <v>90</v>
      </c>
      <c r="FK616" s="14">
        <v>177</v>
      </c>
      <c r="FL616" s="14">
        <f t="shared" si="607"/>
        <v>5</v>
      </c>
      <c r="FM616" s="14">
        <f t="shared" si="586"/>
        <v>6</v>
      </c>
      <c r="FN616" s="14" t="str">
        <f t="shared" si="608"/>
        <v/>
      </c>
      <c r="FO616" s="14">
        <f t="shared" si="587"/>
        <v>128</v>
      </c>
      <c r="FP616" s="14">
        <f t="shared" si="619"/>
        <v>0</v>
      </c>
      <c r="FQ616" s="14">
        <f t="shared" si="620"/>
        <v>0</v>
      </c>
      <c r="FR616" s="14">
        <f t="shared" si="621"/>
        <v>2445</v>
      </c>
      <c r="FS616" s="14">
        <f t="shared" si="622"/>
        <v>0</v>
      </c>
      <c r="FT616" s="14">
        <f t="shared" si="623"/>
        <v>0</v>
      </c>
      <c r="FU616" s="14">
        <f t="shared" si="624"/>
        <v>128</v>
      </c>
      <c r="FV616" s="14">
        <f t="shared" si="609"/>
        <v>2053</v>
      </c>
      <c r="FW616" s="14">
        <f t="shared" si="610"/>
        <v>3</v>
      </c>
      <c r="FX616" s="14">
        <f t="shared" si="611"/>
        <v>2053</v>
      </c>
      <c r="FY616" s="25" t="str">
        <f t="shared" si="625"/>
        <v>icon_2105106</v>
      </c>
      <c r="GC616" s="14">
        <f t="shared" si="612"/>
        <v>3</v>
      </c>
      <c r="GD616" s="14">
        <f t="shared" si="613"/>
        <v>0</v>
      </c>
      <c r="GE616" s="14">
        <f t="shared" si="588"/>
        <v>128</v>
      </c>
      <c r="GF616" s="14" t="str">
        <f t="shared" si="589"/>
        <v>HPExt</v>
      </c>
      <c r="GG616" s="14">
        <f t="shared" si="590"/>
        <v>2445</v>
      </c>
      <c r="GH616" s="14">
        <f t="shared" si="591"/>
        <v>128</v>
      </c>
      <c r="GI616" s="14" t="str">
        <f t="shared" si="592"/>
        <v/>
      </c>
      <c r="GJ616" s="14" t="str">
        <f t="shared" si="593"/>
        <v/>
      </c>
      <c r="GK616" s="14" t="str">
        <f t="shared" si="594"/>
        <v/>
      </c>
      <c r="GL616" s="14">
        <f t="shared" si="614"/>
        <v>20530</v>
      </c>
      <c r="GM616" s="14">
        <f t="shared" si="595"/>
        <v>3</v>
      </c>
      <c r="GN616" s="14">
        <f t="shared" si="596"/>
        <v>2053</v>
      </c>
      <c r="GO616" s="25" t="s">
        <v>1471</v>
      </c>
      <c r="GP616" s="14">
        <f t="shared" si="615"/>
        <v>100</v>
      </c>
    </row>
    <row r="617" spans="151:198" ht="16.5" x14ac:dyDescent="0.2">
      <c r="EU617" s="13">
        <v>612</v>
      </c>
      <c r="EV617" s="14">
        <f t="shared" si="616"/>
        <v>2</v>
      </c>
      <c r="EW617" s="14">
        <f t="shared" si="584"/>
        <v>177</v>
      </c>
      <c r="EX617" s="14">
        <f t="shared" si="617"/>
        <v>23</v>
      </c>
      <c r="EY617" s="14">
        <f t="shared" si="585"/>
        <v>30</v>
      </c>
      <c r="EZ617" s="14">
        <f t="shared" si="597"/>
        <v>16</v>
      </c>
      <c r="FA617" s="14">
        <f t="shared" si="598"/>
        <v>90</v>
      </c>
      <c r="FB617" s="14">
        <f t="shared" si="599"/>
        <v>3</v>
      </c>
      <c r="FC617" s="14">
        <f t="shared" si="600"/>
        <v>7</v>
      </c>
      <c r="FD617" s="14">
        <f t="shared" si="601"/>
        <v>7</v>
      </c>
      <c r="FE617" s="14" t="b">
        <f t="shared" si="618"/>
        <v>0</v>
      </c>
      <c r="FF617" s="14">
        <f t="shared" si="602"/>
        <v>2105307</v>
      </c>
      <c r="FG617" s="13" t="str">
        <f t="shared" si="603"/>
        <v>90级-精良守护灵の项链</v>
      </c>
      <c r="FH617" s="14">
        <f t="shared" si="604"/>
        <v>2</v>
      </c>
      <c r="FI617" s="14">
        <f t="shared" si="605"/>
        <v>3</v>
      </c>
      <c r="FJ617" s="14">
        <f t="shared" si="606"/>
        <v>90</v>
      </c>
      <c r="FK617" s="14">
        <v>178</v>
      </c>
      <c r="FL617" s="14">
        <f t="shared" si="607"/>
        <v>5</v>
      </c>
      <c r="FM617" s="14">
        <f t="shared" si="586"/>
        <v>7</v>
      </c>
      <c r="FN617" s="14" t="str">
        <f t="shared" si="608"/>
        <v/>
      </c>
      <c r="FO617" s="14">
        <f t="shared" si="587"/>
        <v>125</v>
      </c>
      <c r="FP617" s="14">
        <f t="shared" si="619"/>
        <v>200</v>
      </c>
      <c r="FQ617" s="14">
        <f t="shared" si="620"/>
        <v>125</v>
      </c>
      <c r="FR617" s="14">
        <f t="shared" si="621"/>
        <v>0</v>
      </c>
      <c r="FS617" s="14">
        <f t="shared" si="622"/>
        <v>11</v>
      </c>
      <c r="FT617" s="14">
        <f t="shared" si="623"/>
        <v>7</v>
      </c>
      <c r="FU617" s="14">
        <f t="shared" si="624"/>
        <v>0</v>
      </c>
      <c r="FV617" s="14">
        <f t="shared" si="609"/>
        <v>2053</v>
      </c>
      <c r="FW617" s="14">
        <f t="shared" si="610"/>
        <v>3</v>
      </c>
      <c r="FX617" s="14">
        <f t="shared" si="611"/>
        <v>2053</v>
      </c>
      <c r="FY617" s="25" t="str">
        <f t="shared" si="625"/>
        <v>icon_2105107</v>
      </c>
      <c r="GC617" s="14">
        <f t="shared" si="612"/>
        <v>1</v>
      </c>
      <c r="GD617" s="14">
        <f t="shared" si="613"/>
        <v>2</v>
      </c>
      <c r="GE617" s="14">
        <f t="shared" si="588"/>
        <v>125</v>
      </c>
      <c r="GF617" s="14" t="str">
        <f t="shared" si="589"/>
        <v>AtkExt</v>
      </c>
      <c r="GG617" s="14">
        <f t="shared" si="590"/>
        <v>200</v>
      </c>
      <c r="GH617" s="14">
        <f t="shared" si="591"/>
        <v>11</v>
      </c>
      <c r="GI617" s="14" t="str">
        <f t="shared" si="592"/>
        <v>DefExt</v>
      </c>
      <c r="GJ617" s="14">
        <f t="shared" si="593"/>
        <v>125</v>
      </c>
      <c r="GK617" s="14">
        <f t="shared" si="594"/>
        <v>7</v>
      </c>
      <c r="GL617" s="14">
        <f t="shared" si="614"/>
        <v>20530</v>
      </c>
      <c r="GM617" s="14">
        <f t="shared" si="595"/>
        <v>3</v>
      </c>
      <c r="GN617" s="14">
        <f t="shared" si="596"/>
        <v>2053</v>
      </c>
      <c r="GO617" s="25" t="s">
        <v>1471</v>
      </c>
      <c r="GP617" s="14">
        <f t="shared" si="615"/>
        <v>150</v>
      </c>
    </row>
    <row r="618" spans="151:198" ht="16.5" x14ac:dyDescent="0.2">
      <c r="EU618" s="13">
        <v>613</v>
      </c>
      <c r="EV618" s="14">
        <f t="shared" si="616"/>
        <v>2</v>
      </c>
      <c r="EW618" s="14">
        <f t="shared" si="584"/>
        <v>178</v>
      </c>
      <c r="EX618" s="14">
        <f t="shared" si="617"/>
        <v>23</v>
      </c>
      <c r="EY618" s="14">
        <f t="shared" si="585"/>
        <v>30</v>
      </c>
      <c r="EZ618" s="14">
        <f t="shared" si="597"/>
        <v>16</v>
      </c>
      <c r="FA618" s="14">
        <f t="shared" si="598"/>
        <v>90</v>
      </c>
      <c r="FB618" s="14">
        <f t="shared" si="599"/>
        <v>3</v>
      </c>
      <c r="FC618" s="14">
        <f t="shared" si="600"/>
        <v>8</v>
      </c>
      <c r="FD618" s="14">
        <f t="shared" si="601"/>
        <v>8</v>
      </c>
      <c r="FE618" s="14" t="b">
        <f t="shared" si="618"/>
        <v>0</v>
      </c>
      <c r="FF618" s="14">
        <f t="shared" si="602"/>
        <v>2105308</v>
      </c>
      <c r="FG618" s="13" t="str">
        <f t="shared" si="603"/>
        <v>90级-精良守护灵の戒指</v>
      </c>
      <c r="FH618" s="14">
        <f t="shared" si="604"/>
        <v>2</v>
      </c>
      <c r="FI618" s="14">
        <f t="shared" si="605"/>
        <v>3</v>
      </c>
      <c r="FJ618" s="14">
        <f t="shared" si="606"/>
        <v>90</v>
      </c>
      <c r="FK618" s="14">
        <v>179</v>
      </c>
      <c r="FL618" s="14">
        <f t="shared" si="607"/>
        <v>5</v>
      </c>
      <c r="FM618" s="14">
        <f t="shared" si="586"/>
        <v>8</v>
      </c>
      <c r="FN618" s="14" t="str">
        <f t="shared" si="608"/>
        <v/>
      </c>
      <c r="FO618" s="14">
        <f t="shared" si="587"/>
        <v>162</v>
      </c>
      <c r="FP618" s="14">
        <f t="shared" si="619"/>
        <v>200</v>
      </c>
      <c r="FQ618" s="14">
        <f t="shared" si="620"/>
        <v>0</v>
      </c>
      <c r="FR618" s="14">
        <f t="shared" si="621"/>
        <v>2040</v>
      </c>
      <c r="FS618" s="14">
        <f t="shared" si="622"/>
        <v>11</v>
      </c>
      <c r="FT618" s="14">
        <f t="shared" si="623"/>
        <v>0</v>
      </c>
      <c r="FU618" s="14">
        <f t="shared" si="624"/>
        <v>107</v>
      </c>
      <c r="FV618" s="14">
        <f t="shared" si="609"/>
        <v>2053</v>
      </c>
      <c r="FW618" s="14">
        <f t="shared" si="610"/>
        <v>3</v>
      </c>
      <c r="FX618" s="14">
        <f t="shared" si="611"/>
        <v>2053</v>
      </c>
      <c r="FY618" s="25" t="str">
        <f t="shared" si="625"/>
        <v>icon_2105108</v>
      </c>
      <c r="GC618" s="14">
        <f t="shared" si="612"/>
        <v>1</v>
      </c>
      <c r="GD618" s="14">
        <f t="shared" si="613"/>
        <v>3</v>
      </c>
      <c r="GE618" s="14">
        <f t="shared" si="588"/>
        <v>162</v>
      </c>
      <c r="GF618" s="14" t="str">
        <f t="shared" si="589"/>
        <v>AtkExt</v>
      </c>
      <c r="GG618" s="14">
        <f t="shared" si="590"/>
        <v>200</v>
      </c>
      <c r="GH618" s="14">
        <f t="shared" si="591"/>
        <v>11</v>
      </c>
      <c r="GI618" s="14" t="str">
        <f t="shared" si="592"/>
        <v>HPExt</v>
      </c>
      <c r="GJ618" s="14">
        <f t="shared" si="593"/>
        <v>2040</v>
      </c>
      <c r="GK618" s="14">
        <f t="shared" si="594"/>
        <v>107</v>
      </c>
      <c r="GL618" s="14">
        <f t="shared" si="614"/>
        <v>20530</v>
      </c>
      <c r="GM618" s="14">
        <f t="shared" si="595"/>
        <v>3</v>
      </c>
      <c r="GN618" s="14">
        <f t="shared" si="596"/>
        <v>2053</v>
      </c>
      <c r="GO618" s="25" t="s">
        <v>1471</v>
      </c>
      <c r="GP618" s="14">
        <f t="shared" si="615"/>
        <v>150</v>
      </c>
    </row>
    <row r="619" spans="151:198" ht="16.5" x14ac:dyDescent="0.2">
      <c r="EU619" s="13">
        <v>614</v>
      </c>
      <c r="EV619" s="14">
        <f t="shared" si="616"/>
        <v>2</v>
      </c>
      <c r="EW619" s="14">
        <f t="shared" si="584"/>
        <v>179</v>
      </c>
      <c r="EX619" s="14">
        <f t="shared" si="617"/>
        <v>24</v>
      </c>
      <c r="EY619" s="14">
        <f t="shared" si="585"/>
        <v>40</v>
      </c>
      <c r="EZ619" s="14">
        <f t="shared" si="597"/>
        <v>16</v>
      </c>
      <c r="FA619" s="14">
        <f t="shared" si="598"/>
        <v>90</v>
      </c>
      <c r="FB619" s="14">
        <f t="shared" si="599"/>
        <v>4</v>
      </c>
      <c r="FC619" s="14">
        <f t="shared" si="600"/>
        <v>1</v>
      </c>
      <c r="FD619" s="14">
        <f t="shared" si="601"/>
        <v>1</v>
      </c>
      <c r="FE619" s="14" t="b">
        <f t="shared" si="618"/>
        <v>0</v>
      </c>
      <c r="FF619" s="14">
        <f t="shared" si="602"/>
        <v>2105401</v>
      </c>
      <c r="FG619" s="13" t="str">
        <f t="shared" si="603"/>
        <v>90级-史诗守护灵の灵器</v>
      </c>
      <c r="FH619" s="14">
        <f t="shared" si="604"/>
        <v>2</v>
      </c>
      <c r="FI619" s="14">
        <f t="shared" si="605"/>
        <v>4</v>
      </c>
      <c r="FJ619" s="14">
        <f t="shared" si="606"/>
        <v>90</v>
      </c>
      <c r="FK619" s="14">
        <v>180</v>
      </c>
      <c r="FL619" s="14">
        <f t="shared" si="607"/>
        <v>5</v>
      </c>
      <c r="FM619" s="14">
        <f t="shared" si="586"/>
        <v>1</v>
      </c>
      <c r="FN619" s="14" t="str">
        <f t="shared" si="608"/>
        <v/>
      </c>
      <c r="FO619" s="14">
        <f t="shared" si="587"/>
        <v>185</v>
      </c>
      <c r="FP619" s="14">
        <f t="shared" si="619"/>
        <v>710</v>
      </c>
      <c r="FQ619" s="14">
        <f t="shared" si="620"/>
        <v>0</v>
      </c>
      <c r="FR619" s="14">
        <f t="shared" si="621"/>
        <v>0</v>
      </c>
      <c r="FS619" s="14">
        <f t="shared" si="622"/>
        <v>37</v>
      </c>
      <c r="FT619" s="14">
        <f t="shared" si="623"/>
        <v>0</v>
      </c>
      <c r="FU619" s="14">
        <f t="shared" si="624"/>
        <v>0</v>
      </c>
      <c r="FV619" s="14">
        <f t="shared" si="609"/>
        <v>2054</v>
      </c>
      <c r="FW619" s="14">
        <f t="shared" si="610"/>
        <v>4</v>
      </c>
      <c r="FX619" s="14">
        <f t="shared" si="611"/>
        <v>2054</v>
      </c>
      <c r="FY619" s="25" t="str">
        <f t="shared" si="625"/>
        <v>icon_2105101</v>
      </c>
      <c r="GC619" s="14">
        <f t="shared" si="612"/>
        <v>1</v>
      </c>
      <c r="GD619" s="14">
        <f t="shared" si="613"/>
        <v>0</v>
      </c>
      <c r="GE619" s="14">
        <f t="shared" si="588"/>
        <v>185</v>
      </c>
      <c r="GF619" s="14" t="str">
        <f t="shared" si="589"/>
        <v>AtkExt</v>
      </c>
      <c r="GG619" s="14">
        <f t="shared" si="590"/>
        <v>710</v>
      </c>
      <c r="GH619" s="14">
        <f t="shared" si="591"/>
        <v>37</v>
      </c>
      <c r="GI619" s="14" t="str">
        <f t="shared" si="592"/>
        <v/>
      </c>
      <c r="GJ619" s="14" t="str">
        <f t="shared" si="593"/>
        <v/>
      </c>
      <c r="GK619" s="14" t="str">
        <f t="shared" si="594"/>
        <v/>
      </c>
      <c r="GL619" s="14">
        <f t="shared" si="614"/>
        <v>20540</v>
      </c>
      <c r="GM619" s="14">
        <f t="shared" si="595"/>
        <v>4</v>
      </c>
      <c r="GN619" s="14">
        <f t="shared" si="596"/>
        <v>2054</v>
      </c>
      <c r="GO619" s="25" t="s">
        <v>1471</v>
      </c>
      <c r="GP619" s="14">
        <f t="shared" si="615"/>
        <v>400</v>
      </c>
    </row>
    <row r="620" spans="151:198" ht="16.5" x14ac:dyDescent="0.2">
      <c r="EU620" s="13">
        <v>615</v>
      </c>
      <c r="EV620" s="14">
        <f t="shared" si="616"/>
        <v>2</v>
      </c>
      <c r="EW620" s="14">
        <f t="shared" si="584"/>
        <v>180</v>
      </c>
      <c r="EX620" s="14">
        <f t="shared" si="617"/>
        <v>24</v>
      </c>
      <c r="EY620" s="14">
        <f t="shared" si="585"/>
        <v>40</v>
      </c>
      <c r="EZ620" s="14">
        <f t="shared" si="597"/>
        <v>16</v>
      </c>
      <c r="FA620" s="14">
        <f t="shared" si="598"/>
        <v>90</v>
      </c>
      <c r="FB620" s="14">
        <f t="shared" si="599"/>
        <v>4</v>
      </c>
      <c r="FC620" s="14">
        <f t="shared" si="600"/>
        <v>2</v>
      </c>
      <c r="FD620" s="14">
        <f t="shared" si="601"/>
        <v>2</v>
      </c>
      <c r="FE620" s="14" t="b">
        <f t="shared" si="618"/>
        <v>0</v>
      </c>
      <c r="FF620" s="14">
        <f t="shared" si="602"/>
        <v>2105402</v>
      </c>
      <c r="FG620" s="13" t="str">
        <f t="shared" si="603"/>
        <v>90级-史诗守护灵の头盔</v>
      </c>
      <c r="FH620" s="14">
        <f t="shared" si="604"/>
        <v>2</v>
      </c>
      <c r="FI620" s="14">
        <f t="shared" si="605"/>
        <v>4</v>
      </c>
      <c r="FJ620" s="14">
        <f t="shared" si="606"/>
        <v>90</v>
      </c>
      <c r="FK620" s="14">
        <v>181</v>
      </c>
      <c r="FL620" s="14">
        <f t="shared" si="607"/>
        <v>5</v>
      </c>
      <c r="FM620" s="14">
        <f t="shared" si="586"/>
        <v>2</v>
      </c>
      <c r="FN620" s="14" t="str">
        <f t="shared" si="608"/>
        <v/>
      </c>
      <c r="FO620" s="14">
        <f t="shared" si="587"/>
        <v>90</v>
      </c>
      <c r="FP620" s="14">
        <f t="shared" si="619"/>
        <v>0</v>
      </c>
      <c r="FQ620" s="14">
        <f t="shared" si="620"/>
        <v>180</v>
      </c>
      <c r="FR620" s="14">
        <f t="shared" si="621"/>
        <v>0</v>
      </c>
      <c r="FS620" s="14">
        <f t="shared" si="622"/>
        <v>0</v>
      </c>
      <c r="FT620" s="14">
        <f t="shared" si="623"/>
        <v>9</v>
      </c>
      <c r="FU620" s="14">
        <f t="shared" si="624"/>
        <v>0</v>
      </c>
      <c r="FV620" s="14">
        <f t="shared" si="609"/>
        <v>2054</v>
      </c>
      <c r="FW620" s="14">
        <f t="shared" si="610"/>
        <v>4</v>
      </c>
      <c r="FX620" s="14">
        <f t="shared" si="611"/>
        <v>2054</v>
      </c>
      <c r="FY620" s="25" t="str">
        <f t="shared" si="625"/>
        <v>icon_2105102</v>
      </c>
      <c r="GC620" s="14">
        <f t="shared" si="612"/>
        <v>2</v>
      </c>
      <c r="GD620" s="14">
        <f t="shared" si="613"/>
        <v>0</v>
      </c>
      <c r="GE620" s="14">
        <f t="shared" si="588"/>
        <v>90</v>
      </c>
      <c r="GF620" s="14" t="str">
        <f t="shared" si="589"/>
        <v>DefExt</v>
      </c>
      <c r="GG620" s="14">
        <f t="shared" si="590"/>
        <v>180</v>
      </c>
      <c r="GH620" s="14">
        <f t="shared" si="591"/>
        <v>9</v>
      </c>
      <c r="GI620" s="14" t="str">
        <f t="shared" si="592"/>
        <v/>
      </c>
      <c r="GJ620" s="14" t="str">
        <f t="shared" si="593"/>
        <v/>
      </c>
      <c r="GK620" s="14" t="str">
        <f t="shared" si="594"/>
        <v/>
      </c>
      <c r="GL620" s="14">
        <f t="shared" si="614"/>
        <v>20540</v>
      </c>
      <c r="GM620" s="14">
        <f t="shared" si="595"/>
        <v>4</v>
      </c>
      <c r="GN620" s="14">
        <f t="shared" si="596"/>
        <v>2054</v>
      </c>
      <c r="GO620" s="25" t="s">
        <v>1471</v>
      </c>
      <c r="GP620" s="14">
        <f t="shared" si="615"/>
        <v>200</v>
      </c>
    </row>
    <row r="621" spans="151:198" ht="16.5" x14ac:dyDescent="0.2">
      <c r="EU621" s="13">
        <v>616</v>
      </c>
      <c r="EV621" s="14">
        <f t="shared" si="616"/>
        <v>2</v>
      </c>
      <c r="EW621" s="14">
        <f t="shared" si="584"/>
        <v>181</v>
      </c>
      <c r="EX621" s="14">
        <f t="shared" si="617"/>
        <v>24</v>
      </c>
      <c r="EY621" s="14">
        <f t="shared" si="585"/>
        <v>40</v>
      </c>
      <c r="EZ621" s="14">
        <f t="shared" si="597"/>
        <v>16</v>
      </c>
      <c r="FA621" s="14">
        <f t="shared" si="598"/>
        <v>90</v>
      </c>
      <c r="FB621" s="14">
        <f t="shared" si="599"/>
        <v>4</v>
      </c>
      <c r="FC621" s="14">
        <f t="shared" si="600"/>
        <v>3</v>
      </c>
      <c r="FD621" s="14">
        <f t="shared" si="601"/>
        <v>3</v>
      </c>
      <c r="FE621" s="14" t="b">
        <f t="shared" si="618"/>
        <v>0</v>
      </c>
      <c r="FF621" s="14">
        <f t="shared" si="602"/>
        <v>2105403</v>
      </c>
      <c r="FG621" s="13" t="str">
        <f t="shared" si="603"/>
        <v>90级-史诗守护灵の铠甲</v>
      </c>
      <c r="FH621" s="14">
        <f t="shared" si="604"/>
        <v>2</v>
      </c>
      <c r="FI621" s="14">
        <f t="shared" si="605"/>
        <v>4</v>
      </c>
      <c r="FJ621" s="14">
        <f t="shared" si="606"/>
        <v>90</v>
      </c>
      <c r="FK621" s="14">
        <v>182</v>
      </c>
      <c r="FL621" s="14">
        <f t="shared" si="607"/>
        <v>5</v>
      </c>
      <c r="FM621" s="14">
        <f t="shared" si="586"/>
        <v>3</v>
      </c>
      <c r="FN621" s="14" t="str">
        <f t="shared" si="608"/>
        <v/>
      </c>
      <c r="FO621" s="14">
        <f t="shared" si="587"/>
        <v>125</v>
      </c>
      <c r="FP621" s="14">
        <f t="shared" si="619"/>
        <v>0</v>
      </c>
      <c r="FQ621" s="14">
        <f t="shared" si="620"/>
        <v>90</v>
      </c>
      <c r="FR621" s="14">
        <f t="shared" si="621"/>
        <v>1440</v>
      </c>
      <c r="FS621" s="14">
        <f t="shared" si="622"/>
        <v>0</v>
      </c>
      <c r="FT621" s="14">
        <f t="shared" si="623"/>
        <v>5</v>
      </c>
      <c r="FU621" s="14">
        <f t="shared" si="624"/>
        <v>75</v>
      </c>
      <c r="FV621" s="14">
        <f t="shared" si="609"/>
        <v>2054</v>
      </c>
      <c r="FW621" s="14">
        <f t="shared" si="610"/>
        <v>4</v>
      </c>
      <c r="FX621" s="14">
        <f t="shared" si="611"/>
        <v>2054</v>
      </c>
      <c r="FY621" s="25" t="str">
        <f t="shared" si="625"/>
        <v>icon_2105103</v>
      </c>
      <c r="GC621" s="14">
        <f t="shared" si="612"/>
        <v>2</v>
      </c>
      <c r="GD621" s="14">
        <f t="shared" si="613"/>
        <v>3</v>
      </c>
      <c r="GE621" s="14">
        <f t="shared" si="588"/>
        <v>125</v>
      </c>
      <c r="GF621" s="14" t="str">
        <f t="shared" si="589"/>
        <v>DefExt</v>
      </c>
      <c r="GG621" s="14">
        <f t="shared" si="590"/>
        <v>90</v>
      </c>
      <c r="GH621" s="14">
        <f t="shared" si="591"/>
        <v>5</v>
      </c>
      <c r="GI621" s="14" t="str">
        <f t="shared" si="592"/>
        <v>HPExt</v>
      </c>
      <c r="GJ621" s="14">
        <f t="shared" si="593"/>
        <v>1440</v>
      </c>
      <c r="GK621" s="14">
        <f t="shared" si="594"/>
        <v>75</v>
      </c>
      <c r="GL621" s="14">
        <f t="shared" si="614"/>
        <v>20540</v>
      </c>
      <c r="GM621" s="14">
        <f t="shared" si="595"/>
        <v>4</v>
      </c>
      <c r="GN621" s="14">
        <f t="shared" si="596"/>
        <v>2054</v>
      </c>
      <c r="GO621" s="25" t="s">
        <v>1471</v>
      </c>
      <c r="GP621" s="14">
        <f t="shared" si="615"/>
        <v>200</v>
      </c>
    </row>
    <row r="622" spans="151:198" ht="16.5" x14ac:dyDescent="0.2">
      <c r="EU622" s="13">
        <v>617</v>
      </c>
      <c r="EV622" s="14">
        <f t="shared" si="616"/>
        <v>2</v>
      </c>
      <c r="EW622" s="14">
        <f t="shared" si="584"/>
        <v>182</v>
      </c>
      <c r="EX622" s="14">
        <f t="shared" si="617"/>
        <v>24</v>
      </c>
      <c r="EY622" s="14">
        <f t="shared" si="585"/>
        <v>40</v>
      </c>
      <c r="EZ622" s="14">
        <f t="shared" si="597"/>
        <v>16</v>
      </c>
      <c r="FA622" s="14">
        <f t="shared" si="598"/>
        <v>90</v>
      </c>
      <c r="FB622" s="14">
        <f t="shared" si="599"/>
        <v>4</v>
      </c>
      <c r="FC622" s="14">
        <f t="shared" si="600"/>
        <v>4</v>
      </c>
      <c r="FD622" s="14">
        <f t="shared" si="601"/>
        <v>4</v>
      </c>
      <c r="FE622" s="14" t="b">
        <f t="shared" si="618"/>
        <v>0</v>
      </c>
      <c r="FF622" s="14">
        <f t="shared" si="602"/>
        <v>2105404</v>
      </c>
      <c r="FG622" s="13" t="str">
        <f t="shared" si="603"/>
        <v>90级-史诗守护灵の裤子</v>
      </c>
      <c r="FH622" s="14">
        <f t="shared" si="604"/>
        <v>2</v>
      </c>
      <c r="FI622" s="14">
        <f t="shared" si="605"/>
        <v>4</v>
      </c>
      <c r="FJ622" s="14">
        <f t="shared" si="606"/>
        <v>90</v>
      </c>
      <c r="FK622" s="14">
        <v>183</v>
      </c>
      <c r="FL622" s="14">
        <f t="shared" si="607"/>
        <v>5</v>
      </c>
      <c r="FM622" s="14">
        <f t="shared" si="586"/>
        <v>4</v>
      </c>
      <c r="FN622" s="14" t="str">
        <f t="shared" si="608"/>
        <v/>
      </c>
      <c r="FO622" s="14">
        <f t="shared" si="587"/>
        <v>90</v>
      </c>
      <c r="FP622" s="14">
        <f t="shared" si="619"/>
        <v>0</v>
      </c>
      <c r="FQ622" s="14">
        <f t="shared" si="620"/>
        <v>180</v>
      </c>
      <c r="FR622" s="14">
        <f t="shared" si="621"/>
        <v>0</v>
      </c>
      <c r="FS622" s="14">
        <f t="shared" si="622"/>
        <v>0</v>
      </c>
      <c r="FT622" s="14">
        <f t="shared" si="623"/>
        <v>9</v>
      </c>
      <c r="FU622" s="14">
        <f t="shared" si="624"/>
        <v>0</v>
      </c>
      <c r="FV622" s="14">
        <f t="shared" si="609"/>
        <v>2054</v>
      </c>
      <c r="FW622" s="14">
        <f t="shared" si="610"/>
        <v>4</v>
      </c>
      <c r="FX622" s="14">
        <f t="shared" si="611"/>
        <v>2054</v>
      </c>
      <c r="FY622" s="25" t="str">
        <f t="shared" si="625"/>
        <v>icon_2105104</v>
      </c>
      <c r="GC622" s="14">
        <f t="shared" si="612"/>
        <v>2</v>
      </c>
      <c r="GD622" s="14">
        <f t="shared" si="613"/>
        <v>0</v>
      </c>
      <c r="GE622" s="14">
        <f t="shared" si="588"/>
        <v>90</v>
      </c>
      <c r="GF622" s="14" t="str">
        <f t="shared" si="589"/>
        <v>DefExt</v>
      </c>
      <c r="GG622" s="14">
        <f t="shared" si="590"/>
        <v>180</v>
      </c>
      <c r="GH622" s="14">
        <f t="shared" si="591"/>
        <v>9</v>
      </c>
      <c r="GI622" s="14" t="str">
        <f t="shared" si="592"/>
        <v/>
      </c>
      <c r="GJ622" s="14" t="str">
        <f t="shared" si="593"/>
        <v/>
      </c>
      <c r="GK622" s="14" t="str">
        <f t="shared" si="594"/>
        <v/>
      </c>
      <c r="GL622" s="14">
        <f t="shared" si="614"/>
        <v>20540</v>
      </c>
      <c r="GM622" s="14">
        <f t="shared" si="595"/>
        <v>4</v>
      </c>
      <c r="GN622" s="14">
        <f t="shared" si="596"/>
        <v>2054</v>
      </c>
      <c r="GO622" s="25" t="s">
        <v>1471</v>
      </c>
      <c r="GP622" s="14">
        <f t="shared" si="615"/>
        <v>200</v>
      </c>
    </row>
    <row r="623" spans="151:198" ht="16.5" x14ac:dyDescent="0.2">
      <c r="EU623" s="13">
        <v>618</v>
      </c>
      <c r="EV623" s="14">
        <f t="shared" si="616"/>
        <v>2</v>
      </c>
      <c r="EW623" s="14">
        <f t="shared" si="584"/>
        <v>183</v>
      </c>
      <c r="EX623" s="14">
        <f t="shared" si="617"/>
        <v>24</v>
      </c>
      <c r="EY623" s="14">
        <f t="shared" si="585"/>
        <v>40</v>
      </c>
      <c r="EZ623" s="14">
        <f t="shared" si="597"/>
        <v>16</v>
      </c>
      <c r="FA623" s="14">
        <f t="shared" si="598"/>
        <v>90</v>
      </c>
      <c r="FB623" s="14">
        <f t="shared" si="599"/>
        <v>4</v>
      </c>
      <c r="FC623" s="14">
        <f t="shared" si="600"/>
        <v>5</v>
      </c>
      <c r="FD623" s="14">
        <f t="shared" si="601"/>
        <v>5</v>
      </c>
      <c r="FE623" s="14" t="b">
        <f t="shared" si="618"/>
        <v>0</v>
      </c>
      <c r="FF623" s="14">
        <f t="shared" si="602"/>
        <v>2105405</v>
      </c>
      <c r="FG623" s="13" t="str">
        <f t="shared" si="603"/>
        <v>90级-史诗守护灵の鞋子</v>
      </c>
      <c r="FH623" s="14">
        <f t="shared" si="604"/>
        <v>2</v>
      </c>
      <c r="FI623" s="14">
        <f t="shared" si="605"/>
        <v>4</v>
      </c>
      <c r="FJ623" s="14">
        <f t="shared" si="606"/>
        <v>90</v>
      </c>
      <c r="FK623" s="14">
        <v>184</v>
      </c>
      <c r="FL623" s="14">
        <f t="shared" si="607"/>
        <v>5</v>
      </c>
      <c r="FM623" s="14">
        <f t="shared" si="586"/>
        <v>5</v>
      </c>
      <c r="FN623" s="14" t="str">
        <f t="shared" si="608"/>
        <v/>
      </c>
      <c r="FO623" s="14">
        <f t="shared" si="587"/>
        <v>151</v>
      </c>
      <c r="FP623" s="14">
        <f t="shared" si="619"/>
        <v>0</v>
      </c>
      <c r="FQ623" s="14">
        <f t="shared" si="620"/>
        <v>0</v>
      </c>
      <c r="FR623" s="14">
        <f t="shared" si="621"/>
        <v>2880</v>
      </c>
      <c r="FS623" s="14">
        <f t="shared" si="622"/>
        <v>0</v>
      </c>
      <c r="FT623" s="14">
        <f t="shared" si="623"/>
        <v>0</v>
      </c>
      <c r="FU623" s="14">
        <f t="shared" si="624"/>
        <v>151</v>
      </c>
      <c r="FV623" s="14">
        <f t="shared" si="609"/>
        <v>2054</v>
      </c>
      <c r="FW623" s="14">
        <f t="shared" si="610"/>
        <v>4</v>
      </c>
      <c r="FX623" s="14">
        <f t="shared" si="611"/>
        <v>2054</v>
      </c>
      <c r="FY623" s="25" t="str">
        <f t="shared" si="625"/>
        <v>icon_2105105</v>
      </c>
      <c r="GC623" s="14">
        <f t="shared" si="612"/>
        <v>3</v>
      </c>
      <c r="GD623" s="14">
        <f t="shared" si="613"/>
        <v>0</v>
      </c>
      <c r="GE623" s="14">
        <f t="shared" si="588"/>
        <v>151</v>
      </c>
      <c r="GF623" s="14" t="str">
        <f t="shared" si="589"/>
        <v>HPExt</v>
      </c>
      <c r="GG623" s="14">
        <f t="shared" si="590"/>
        <v>2880</v>
      </c>
      <c r="GH623" s="14">
        <f t="shared" si="591"/>
        <v>151</v>
      </c>
      <c r="GI623" s="14" t="str">
        <f t="shared" si="592"/>
        <v/>
      </c>
      <c r="GJ623" s="14" t="str">
        <f t="shared" si="593"/>
        <v/>
      </c>
      <c r="GK623" s="14" t="str">
        <f t="shared" si="594"/>
        <v/>
      </c>
      <c r="GL623" s="14">
        <f t="shared" si="614"/>
        <v>20540</v>
      </c>
      <c r="GM623" s="14">
        <f t="shared" si="595"/>
        <v>4</v>
      </c>
      <c r="GN623" s="14">
        <f t="shared" si="596"/>
        <v>2054</v>
      </c>
      <c r="GO623" s="25" t="s">
        <v>1471</v>
      </c>
      <c r="GP623" s="14">
        <f t="shared" si="615"/>
        <v>200</v>
      </c>
    </row>
    <row r="624" spans="151:198" ht="16.5" x14ac:dyDescent="0.2">
      <c r="EU624" s="13">
        <v>619</v>
      </c>
      <c r="EV624" s="14">
        <f t="shared" si="616"/>
        <v>2</v>
      </c>
      <c r="EW624" s="14">
        <f t="shared" si="584"/>
        <v>184</v>
      </c>
      <c r="EX624" s="14">
        <f t="shared" si="617"/>
        <v>24</v>
      </c>
      <c r="EY624" s="14">
        <f t="shared" si="585"/>
        <v>40</v>
      </c>
      <c r="EZ624" s="14">
        <f t="shared" si="597"/>
        <v>16</v>
      </c>
      <c r="FA624" s="14">
        <f t="shared" si="598"/>
        <v>90</v>
      </c>
      <c r="FB624" s="14">
        <f t="shared" si="599"/>
        <v>4</v>
      </c>
      <c r="FC624" s="14">
        <f t="shared" si="600"/>
        <v>6</v>
      </c>
      <c r="FD624" s="14">
        <f t="shared" si="601"/>
        <v>6</v>
      </c>
      <c r="FE624" s="14" t="b">
        <f t="shared" si="618"/>
        <v>0</v>
      </c>
      <c r="FF624" s="14">
        <f t="shared" si="602"/>
        <v>2105406</v>
      </c>
      <c r="FG624" s="13" t="str">
        <f t="shared" si="603"/>
        <v>90级-史诗守护灵の护手</v>
      </c>
      <c r="FH624" s="14">
        <f t="shared" si="604"/>
        <v>2</v>
      </c>
      <c r="FI624" s="14">
        <f t="shared" si="605"/>
        <v>4</v>
      </c>
      <c r="FJ624" s="14">
        <f t="shared" si="606"/>
        <v>90</v>
      </c>
      <c r="FK624" s="14">
        <v>185</v>
      </c>
      <c r="FL624" s="14">
        <f t="shared" si="607"/>
        <v>5</v>
      </c>
      <c r="FM624" s="14">
        <f t="shared" si="586"/>
        <v>6</v>
      </c>
      <c r="FN624" s="14" t="str">
        <f t="shared" si="608"/>
        <v/>
      </c>
      <c r="FO624" s="14">
        <f t="shared" si="587"/>
        <v>151</v>
      </c>
      <c r="FP624" s="14">
        <f t="shared" si="619"/>
        <v>0</v>
      </c>
      <c r="FQ624" s="14">
        <f t="shared" si="620"/>
        <v>0</v>
      </c>
      <c r="FR624" s="14">
        <f t="shared" si="621"/>
        <v>2880</v>
      </c>
      <c r="FS624" s="14">
        <f t="shared" si="622"/>
        <v>0</v>
      </c>
      <c r="FT624" s="14">
        <f t="shared" si="623"/>
        <v>0</v>
      </c>
      <c r="FU624" s="14">
        <f t="shared" si="624"/>
        <v>151</v>
      </c>
      <c r="FV624" s="14">
        <f t="shared" si="609"/>
        <v>2054</v>
      </c>
      <c r="FW624" s="14">
        <f t="shared" si="610"/>
        <v>4</v>
      </c>
      <c r="FX624" s="14">
        <f t="shared" si="611"/>
        <v>2054</v>
      </c>
      <c r="FY624" s="25" t="str">
        <f t="shared" si="625"/>
        <v>icon_2105106</v>
      </c>
      <c r="GC624" s="14">
        <f t="shared" si="612"/>
        <v>3</v>
      </c>
      <c r="GD624" s="14">
        <f t="shared" si="613"/>
        <v>0</v>
      </c>
      <c r="GE624" s="14">
        <f t="shared" si="588"/>
        <v>151</v>
      </c>
      <c r="GF624" s="14" t="str">
        <f t="shared" si="589"/>
        <v>HPExt</v>
      </c>
      <c r="GG624" s="14">
        <f t="shared" si="590"/>
        <v>2880</v>
      </c>
      <c r="GH624" s="14">
        <f t="shared" si="591"/>
        <v>151</v>
      </c>
      <c r="GI624" s="14" t="str">
        <f t="shared" si="592"/>
        <v/>
      </c>
      <c r="GJ624" s="14" t="str">
        <f t="shared" si="593"/>
        <v/>
      </c>
      <c r="GK624" s="14" t="str">
        <f t="shared" si="594"/>
        <v/>
      </c>
      <c r="GL624" s="14">
        <f t="shared" si="614"/>
        <v>20540</v>
      </c>
      <c r="GM624" s="14">
        <f t="shared" si="595"/>
        <v>4</v>
      </c>
      <c r="GN624" s="14">
        <f t="shared" si="596"/>
        <v>2054</v>
      </c>
      <c r="GO624" s="25" t="s">
        <v>1471</v>
      </c>
      <c r="GP624" s="14">
        <f t="shared" si="615"/>
        <v>200</v>
      </c>
    </row>
    <row r="625" spans="151:198" ht="16.5" x14ac:dyDescent="0.2">
      <c r="EU625" s="13">
        <v>620</v>
      </c>
      <c r="EV625" s="14">
        <f t="shared" si="616"/>
        <v>2</v>
      </c>
      <c r="EW625" s="14">
        <f t="shared" si="584"/>
        <v>185</v>
      </c>
      <c r="EX625" s="14">
        <f t="shared" si="617"/>
        <v>24</v>
      </c>
      <c r="EY625" s="14">
        <f t="shared" si="585"/>
        <v>40</v>
      </c>
      <c r="EZ625" s="14">
        <f t="shared" si="597"/>
        <v>16</v>
      </c>
      <c r="FA625" s="14">
        <f t="shared" si="598"/>
        <v>90</v>
      </c>
      <c r="FB625" s="14">
        <f t="shared" si="599"/>
        <v>4</v>
      </c>
      <c r="FC625" s="14">
        <f t="shared" si="600"/>
        <v>7</v>
      </c>
      <c r="FD625" s="14">
        <f t="shared" si="601"/>
        <v>7</v>
      </c>
      <c r="FE625" s="14" t="b">
        <f t="shared" si="618"/>
        <v>0</v>
      </c>
      <c r="FF625" s="14">
        <f t="shared" si="602"/>
        <v>2105407</v>
      </c>
      <c r="FG625" s="13" t="str">
        <f t="shared" si="603"/>
        <v>90级-史诗守护灵の项链</v>
      </c>
      <c r="FH625" s="14">
        <f t="shared" si="604"/>
        <v>2</v>
      </c>
      <c r="FI625" s="14">
        <f t="shared" si="605"/>
        <v>4</v>
      </c>
      <c r="FJ625" s="14">
        <f t="shared" si="606"/>
        <v>90</v>
      </c>
      <c r="FK625" s="14">
        <v>186</v>
      </c>
      <c r="FL625" s="14">
        <f t="shared" si="607"/>
        <v>5</v>
      </c>
      <c r="FM625" s="14">
        <f t="shared" si="586"/>
        <v>7</v>
      </c>
      <c r="FN625" s="14" t="str">
        <f t="shared" si="608"/>
        <v/>
      </c>
      <c r="FO625" s="14">
        <f t="shared" si="587"/>
        <v>140</v>
      </c>
      <c r="FP625" s="14">
        <f t="shared" si="619"/>
        <v>235</v>
      </c>
      <c r="FQ625" s="14">
        <f t="shared" si="620"/>
        <v>150</v>
      </c>
      <c r="FR625" s="14">
        <f t="shared" si="621"/>
        <v>0</v>
      </c>
      <c r="FS625" s="14">
        <f t="shared" si="622"/>
        <v>12</v>
      </c>
      <c r="FT625" s="14">
        <f t="shared" si="623"/>
        <v>8</v>
      </c>
      <c r="FU625" s="14">
        <f t="shared" si="624"/>
        <v>0</v>
      </c>
      <c r="FV625" s="14">
        <f t="shared" si="609"/>
        <v>2054</v>
      </c>
      <c r="FW625" s="14">
        <f t="shared" si="610"/>
        <v>4</v>
      </c>
      <c r="FX625" s="14">
        <f t="shared" si="611"/>
        <v>2054</v>
      </c>
      <c r="FY625" s="25" t="str">
        <f t="shared" si="625"/>
        <v>icon_2105107</v>
      </c>
      <c r="GC625" s="14">
        <f t="shared" si="612"/>
        <v>1</v>
      </c>
      <c r="GD625" s="14">
        <f t="shared" si="613"/>
        <v>2</v>
      </c>
      <c r="GE625" s="14">
        <f t="shared" si="588"/>
        <v>140</v>
      </c>
      <c r="GF625" s="14" t="str">
        <f t="shared" si="589"/>
        <v>AtkExt</v>
      </c>
      <c r="GG625" s="14">
        <f t="shared" si="590"/>
        <v>235</v>
      </c>
      <c r="GH625" s="14">
        <f t="shared" si="591"/>
        <v>12</v>
      </c>
      <c r="GI625" s="14" t="str">
        <f t="shared" si="592"/>
        <v>DefExt</v>
      </c>
      <c r="GJ625" s="14">
        <f t="shared" si="593"/>
        <v>150</v>
      </c>
      <c r="GK625" s="14">
        <f t="shared" si="594"/>
        <v>8</v>
      </c>
      <c r="GL625" s="14">
        <f t="shared" si="614"/>
        <v>20540</v>
      </c>
      <c r="GM625" s="14">
        <f t="shared" si="595"/>
        <v>4</v>
      </c>
      <c r="GN625" s="14">
        <f t="shared" si="596"/>
        <v>2054</v>
      </c>
      <c r="GO625" s="25" t="s">
        <v>1471</v>
      </c>
      <c r="GP625" s="14">
        <f t="shared" si="615"/>
        <v>300</v>
      </c>
    </row>
    <row r="626" spans="151:198" ht="16.5" x14ac:dyDescent="0.2">
      <c r="EU626" s="13">
        <v>621</v>
      </c>
      <c r="EV626" s="14">
        <f t="shared" si="616"/>
        <v>2</v>
      </c>
      <c r="EW626" s="14">
        <f t="shared" si="584"/>
        <v>186</v>
      </c>
      <c r="EX626" s="14">
        <f t="shared" si="617"/>
        <v>24</v>
      </c>
      <c r="EY626" s="14">
        <f t="shared" si="585"/>
        <v>40</v>
      </c>
      <c r="EZ626" s="14">
        <f t="shared" si="597"/>
        <v>16</v>
      </c>
      <c r="FA626" s="14">
        <f t="shared" si="598"/>
        <v>90</v>
      </c>
      <c r="FB626" s="14">
        <f t="shared" si="599"/>
        <v>4</v>
      </c>
      <c r="FC626" s="14">
        <f t="shared" si="600"/>
        <v>8</v>
      </c>
      <c r="FD626" s="14">
        <f t="shared" si="601"/>
        <v>8</v>
      </c>
      <c r="FE626" s="14" t="b">
        <f t="shared" si="618"/>
        <v>0</v>
      </c>
      <c r="FF626" s="14">
        <f t="shared" si="602"/>
        <v>2105408</v>
      </c>
      <c r="FG626" s="13" t="str">
        <f t="shared" si="603"/>
        <v>90级-史诗守护灵の戒指</v>
      </c>
      <c r="FH626" s="14">
        <f t="shared" si="604"/>
        <v>2</v>
      </c>
      <c r="FI626" s="14">
        <f t="shared" si="605"/>
        <v>4</v>
      </c>
      <c r="FJ626" s="14">
        <f t="shared" si="606"/>
        <v>90</v>
      </c>
      <c r="FK626" s="14">
        <v>187</v>
      </c>
      <c r="FL626" s="14">
        <f t="shared" si="607"/>
        <v>5</v>
      </c>
      <c r="FM626" s="14">
        <f t="shared" si="586"/>
        <v>8</v>
      </c>
      <c r="FN626" s="14" t="str">
        <f t="shared" si="608"/>
        <v/>
      </c>
      <c r="FO626" s="14">
        <f t="shared" si="587"/>
        <v>186</v>
      </c>
      <c r="FP626" s="14">
        <f t="shared" si="619"/>
        <v>235</v>
      </c>
      <c r="FQ626" s="14">
        <f t="shared" si="620"/>
        <v>0</v>
      </c>
      <c r="FR626" s="14">
        <f t="shared" si="621"/>
        <v>2400</v>
      </c>
      <c r="FS626" s="14">
        <f t="shared" si="622"/>
        <v>12</v>
      </c>
      <c r="FT626" s="14">
        <f t="shared" si="623"/>
        <v>0</v>
      </c>
      <c r="FU626" s="14">
        <f t="shared" si="624"/>
        <v>126</v>
      </c>
      <c r="FV626" s="14">
        <f t="shared" si="609"/>
        <v>2054</v>
      </c>
      <c r="FW626" s="14">
        <f t="shared" si="610"/>
        <v>4</v>
      </c>
      <c r="FX626" s="14">
        <f t="shared" si="611"/>
        <v>2054</v>
      </c>
      <c r="FY626" s="25" t="str">
        <f t="shared" si="625"/>
        <v>icon_2105108</v>
      </c>
      <c r="GC626" s="14">
        <f t="shared" si="612"/>
        <v>1</v>
      </c>
      <c r="GD626" s="14">
        <f t="shared" si="613"/>
        <v>3</v>
      </c>
      <c r="GE626" s="14">
        <f t="shared" si="588"/>
        <v>186</v>
      </c>
      <c r="GF626" s="14" t="str">
        <f t="shared" si="589"/>
        <v>AtkExt</v>
      </c>
      <c r="GG626" s="14">
        <f t="shared" si="590"/>
        <v>235</v>
      </c>
      <c r="GH626" s="14">
        <f t="shared" si="591"/>
        <v>12</v>
      </c>
      <c r="GI626" s="14" t="str">
        <f t="shared" si="592"/>
        <v>HPExt</v>
      </c>
      <c r="GJ626" s="14">
        <f t="shared" si="593"/>
        <v>2400</v>
      </c>
      <c r="GK626" s="14">
        <f t="shared" si="594"/>
        <v>126</v>
      </c>
      <c r="GL626" s="14">
        <f t="shared" si="614"/>
        <v>20540</v>
      </c>
      <c r="GM626" s="14">
        <f t="shared" si="595"/>
        <v>4</v>
      </c>
      <c r="GN626" s="14">
        <f t="shared" si="596"/>
        <v>2054</v>
      </c>
      <c r="GO626" s="25" t="s">
        <v>1471</v>
      </c>
      <c r="GP626" s="14">
        <f t="shared" si="615"/>
        <v>300</v>
      </c>
    </row>
    <row r="627" spans="151:198" ht="16.5" x14ac:dyDescent="0.2">
      <c r="EU627" s="13">
        <v>622</v>
      </c>
      <c r="EV627" s="14">
        <f t="shared" si="616"/>
        <v>2</v>
      </c>
      <c r="EW627" s="14">
        <f t="shared" si="584"/>
        <v>187</v>
      </c>
      <c r="EX627" s="14">
        <f t="shared" si="617"/>
        <v>25</v>
      </c>
      <c r="EY627" s="14">
        <f t="shared" si="585"/>
        <v>42</v>
      </c>
      <c r="EZ627" s="14">
        <f t="shared" si="597"/>
        <v>16</v>
      </c>
      <c r="FA627" s="14">
        <f t="shared" si="598"/>
        <v>90</v>
      </c>
      <c r="FB627" s="14">
        <f t="shared" si="599"/>
        <v>4</v>
      </c>
      <c r="FC627" s="14">
        <f t="shared" si="600"/>
        <v>1</v>
      </c>
      <c r="FD627" s="14">
        <f t="shared" si="601"/>
        <v>1</v>
      </c>
      <c r="FE627" s="14" t="b">
        <f t="shared" si="618"/>
        <v>1</v>
      </c>
      <c r="FF627" s="14">
        <f t="shared" si="602"/>
        <v>2105421</v>
      </c>
      <c r="FG627" s="13" t="str">
        <f t="shared" si="603"/>
        <v>90级-防御套守护灵の灵器</v>
      </c>
      <c r="FH627" s="14">
        <f t="shared" si="604"/>
        <v>2</v>
      </c>
      <c r="FI627" s="14">
        <f t="shared" si="605"/>
        <v>4</v>
      </c>
      <c r="FJ627" s="14">
        <f t="shared" si="606"/>
        <v>90</v>
      </c>
      <c r="FK627" s="14">
        <v>188</v>
      </c>
      <c r="FL627" s="14">
        <f t="shared" si="607"/>
        <v>5</v>
      </c>
      <c r="FM627" s="14">
        <f t="shared" si="586"/>
        <v>1</v>
      </c>
      <c r="FN627" s="14">
        <f t="shared" si="608"/>
        <v>210542</v>
      </c>
      <c r="FO627" s="14">
        <f t="shared" si="587"/>
        <v>277</v>
      </c>
      <c r="FP627" s="14">
        <f t="shared" si="619"/>
        <v>710</v>
      </c>
      <c r="FQ627" s="14">
        <f t="shared" si="620"/>
        <v>0</v>
      </c>
      <c r="FR627" s="14">
        <f t="shared" si="621"/>
        <v>0</v>
      </c>
      <c r="FS627" s="14">
        <f t="shared" si="622"/>
        <v>37</v>
      </c>
      <c r="FT627" s="14">
        <f t="shared" si="623"/>
        <v>0</v>
      </c>
      <c r="FU627" s="14">
        <f t="shared" si="624"/>
        <v>0</v>
      </c>
      <c r="FV627" s="14">
        <f t="shared" si="609"/>
        <v>2054</v>
      </c>
      <c r="FW627" s="14">
        <f t="shared" si="610"/>
        <v>4</v>
      </c>
      <c r="FX627" s="14">
        <f t="shared" si="611"/>
        <v>2054</v>
      </c>
      <c r="FY627" s="25" t="str">
        <f t="shared" si="625"/>
        <v>icon_2105421</v>
      </c>
      <c r="GC627" s="14">
        <f t="shared" si="612"/>
        <v>1</v>
      </c>
      <c r="GD627" s="14">
        <f t="shared" si="613"/>
        <v>0</v>
      </c>
      <c r="GE627" s="14">
        <f t="shared" si="588"/>
        <v>277</v>
      </c>
      <c r="GF627" s="14" t="str">
        <f t="shared" si="589"/>
        <v>AtkExt</v>
      </c>
      <c r="GG627" s="14">
        <f t="shared" si="590"/>
        <v>710</v>
      </c>
      <c r="GH627" s="14">
        <f t="shared" si="591"/>
        <v>37</v>
      </c>
      <c r="GI627" s="14" t="str">
        <f t="shared" si="592"/>
        <v/>
      </c>
      <c r="GJ627" s="14" t="str">
        <f t="shared" si="593"/>
        <v/>
      </c>
      <c r="GK627" s="14" t="str">
        <f t="shared" si="594"/>
        <v/>
      </c>
      <c r="GL627" s="14">
        <f t="shared" si="614"/>
        <v>20540</v>
      </c>
      <c r="GM627" s="14">
        <f t="shared" si="595"/>
        <v>4</v>
      </c>
      <c r="GN627" s="14">
        <f t="shared" si="596"/>
        <v>2054</v>
      </c>
      <c r="GO627" s="25" t="s">
        <v>1471</v>
      </c>
      <c r="GP627" s="14">
        <f t="shared" si="615"/>
        <v>400</v>
      </c>
    </row>
    <row r="628" spans="151:198" ht="16.5" x14ac:dyDescent="0.2">
      <c r="EU628" s="13">
        <v>623</v>
      </c>
      <c r="EV628" s="14">
        <f t="shared" si="616"/>
        <v>2</v>
      </c>
      <c r="EW628" s="14">
        <f t="shared" si="584"/>
        <v>188</v>
      </c>
      <c r="EX628" s="14">
        <f t="shared" si="617"/>
        <v>25</v>
      </c>
      <c r="EY628" s="14">
        <f t="shared" si="585"/>
        <v>42</v>
      </c>
      <c r="EZ628" s="14">
        <f t="shared" si="597"/>
        <v>16</v>
      </c>
      <c r="FA628" s="14">
        <f t="shared" si="598"/>
        <v>90</v>
      </c>
      <c r="FB628" s="14">
        <f t="shared" si="599"/>
        <v>4</v>
      </c>
      <c r="FC628" s="14">
        <f t="shared" si="600"/>
        <v>2</v>
      </c>
      <c r="FD628" s="14">
        <f t="shared" si="601"/>
        <v>2</v>
      </c>
      <c r="FE628" s="14" t="b">
        <f t="shared" si="618"/>
        <v>1</v>
      </c>
      <c r="FF628" s="14">
        <f t="shared" si="602"/>
        <v>2105422</v>
      </c>
      <c r="FG628" s="13" t="str">
        <f t="shared" si="603"/>
        <v>90级-防御套守护灵の头盔</v>
      </c>
      <c r="FH628" s="14">
        <f t="shared" si="604"/>
        <v>2</v>
      </c>
      <c r="FI628" s="14">
        <f t="shared" si="605"/>
        <v>4</v>
      </c>
      <c r="FJ628" s="14">
        <f t="shared" si="606"/>
        <v>90</v>
      </c>
      <c r="FK628" s="14">
        <v>189</v>
      </c>
      <c r="FL628" s="14">
        <f t="shared" si="607"/>
        <v>5</v>
      </c>
      <c r="FM628" s="14">
        <f t="shared" si="586"/>
        <v>2</v>
      </c>
      <c r="FN628" s="14">
        <f t="shared" si="608"/>
        <v>210542</v>
      </c>
      <c r="FO628" s="14">
        <f t="shared" si="587"/>
        <v>135</v>
      </c>
      <c r="FP628" s="14">
        <f t="shared" si="619"/>
        <v>0</v>
      </c>
      <c r="FQ628" s="14">
        <f t="shared" si="620"/>
        <v>180</v>
      </c>
      <c r="FR628" s="14">
        <f t="shared" si="621"/>
        <v>0</v>
      </c>
      <c r="FS628" s="14">
        <f t="shared" si="622"/>
        <v>0</v>
      </c>
      <c r="FT628" s="14">
        <f t="shared" si="623"/>
        <v>9</v>
      </c>
      <c r="FU628" s="14">
        <f t="shared" si="624"/>
        <v>0</v>
      </c>
      <c r="FV628" s="14">
        <f t="shared" si="609"/>
        <v>2054</v>
      </c>
      <c r="FW628" s="14">
        <f t="shared" si="610"/>
        <v>4</v>
      </c>
      <c r="FX628" s="14">
        <f t="shared" si="611"/>
        <v>2054</v>
      </c>
      <c r="FY628" s="25" t="str">
        <f t="shared" si="625"/>
        <v>icon_2105422</v>
      </c>
      <c r="GC628" s="14">
        <f t="shared" si="612"/>
        <v>2</v>
      </c>
      <c r="GD628" s="14">
        <f t="shared" si="613"/>
        <v>0</v>
      </c>
      <c r="GE628" s="14">
        <f t="shared" si="588"/>
        <v>135</v>
      </c>
      <c r="GF628" s="14" t="str">
        <f t="shared" si="589"/>
        <v>DefExt</v>
      </c>
      <c r="GG628" s="14">
        <f t="shared" si="590"/>
        <v>180</v>
      </c>
      <c r="GH628" s="14">
        <f t="shared" si="591"/>
        <v>9</v>
      </c>
      <c r="GI628" s="14" t="str">
        <f t="shared" si="592"/>
        <v/>
      </c>
      <c r="GJ628" s="14" t="str">
        <f t="shared" si="593"/>
        <v/>
      </c>
      <c r="GK628" s="14" t="str">
        <f t="shared" si="594"/>
        <v/>
      </c>
      <c r="GL628" s="14">
        <f t="shared" si="614"/>
        <v>20540</v>
      </c>
      <c r="GM628" s="14">
        <f t="shared" si="595"/>
        <v>4</v>
      </c>
      <c r="GN628" s="14">
        <f t="shared" si="596"/>
        <v>2054</v>
      </c>
      <c r="GO628" s="25" t="s">
        <v>1471</v>
      </c>
      <c r="GP628" s="14">
        <f t="shared" si="615"/>
        <v>200</v>
      </c>
    </row>
    <row r="629" spans="151:198" ht="16.5" x14ac:dyDescent="0.2">
      <c r="EU629" s="13">
        <v>624</v>
      </c>
      <c r="EV629" s="14">
        <f t="shared" si="616"/>
        <v>2</v>
      </c>
      <c r="EW629" s="14">
        <f t="shared" si="584"/>
        <v>189</v>
      </c>
      <c r="EX629" s="14">
        <f t="shared" si="617"/>
        <v>25</v>
      </c>
      <c r="EY629" s="14">
        <f t="shared" si="585"/>
        <v>42</v>
      </c>
      <c r="EZ629" s="14">
        <f t="shared" si="597"/>
        <v>16</v>
      </c>
      <c r="FA629" s="14">
        <f t="shared" si="598"/>
        <v>90</v>
      </c>
      <c r="FB629" s="14">
        <f t="shared" si="599"/>
        <v>4</v>
      </c>
      <c r="FC629" s="14">
        <f t="shared" si="600"/>
        <v>3</v>
      </c>
      <c r="FD629" s="14">
        <f t="shared" si="601"/>
        <v>3</v>
      </c>
      <c r="FE629" s="14" t="b">
        <f t="shared" si="618"/>
        <v>1</v>
      </c>
      <c r="FF629" s="14">
        <f t="shared" si="602"/>
        <v>2105423</v>
      </c>
      <c r="FG629" s="13" t="str">
        <f t="shared" si="603"/>
        <v>90级-防御套守护灵の铠甲</v>
      </c>
      <c r="FH629" s="14">
        <f t="shared" si="604"/>
        <v>2</v>
      </c>
      <c r="FI629" s="14">
        <f t="shared" si="605"/>
        <v>4</v>
      </c>
      <c r="FJ629" s="14">
        <f t="shared" si="606"/>
        <v>90</v>
      </c>
      <c r="FK629" s="14">
        <v>190</v>
      </c>
      <c r="FL629" s="14">
        <f t="shared" si="607"/>
        <v>5</v>
      </c>
      <c r="FM629" s="14">
        <f t="shared" si="586"/>
        <v>3</v>
      </c>
      <c r="FN629" s="14">
        <f t="shared" si="608"/>
        <v>210542</v>
      </c>
      <c r="FO629" s="14">
        <f t="shared" si="587"/>
        <v>187</v>
      </c>
      <c r="FP629" s="14">
        <f t="shared" si="619"/>
        <v>0</v>
      </c>
      <c r="FQ629" s="14">
        <f t="shared" si="620"/>
        <v>90</v>
      </c>
      <c r="FR629" s="14">
        <f t="shared" si="621"/>
        <v>1440</v>
      </c>
      <c r="FS629" s="14">
        <f t="shared" si="622"/>
        <v>0</v>
      </c>
      <c r="FT629" s="14">
        <f t="shared" si="623"/>
        <v>5</v>
      </c>
      <c r="FU629" s="14">
        <f t="shared" si="624"/>
        <v>75</v>
      </c>
      <c r="FV629" s="14">
        <f t="shared" si="609"/>
        <v>2054</v>
      </c>
      <c r="FW629" s="14">
        <f t="shared" si="610"/>
        <v>4</v>
      </c>
      <c r="FX629" s="14">
        <f t="shared" si="611"/>
        <v>2054</v>
      </c>
      <c r="FY629" s="25" t="str">
        <f t="shared" si="625"/>
        <v>icon_2105423</v>
      </c>
      <c r="GC629" s="14">
        <f t="shared" si="612"/>
        <v>2</v>
      </c>
      <c r="GD629" s="14">
        <f t="shared" si="613"/>
        <v>3</v>
      </c>
      <c r="GE629" s="14">
        <f t="shared" si="588"/>
        <v>187</v>
      </c>
      <c r="GF629" s="14" t="str">
        <f t="shared" si="589"/>
        <v>DefExt</v>
      </c>
      <c r="GG629" s="14">
        <f t="shared" si="590"/>
        <v>90</v>
      </c>
      <c r="GH629" s="14">
        <f t="shared" si="591"/>
        <v>5</v>
      </c>
      <c r="GI629" s="14" t="str">
        <f t="shared" si="592"/>
        <v>HPExt</v>
      </c>
      <c r="GJ629" s="14">
        <f t="shared" si="593"/>
        <v>1440</v>
      </c>
      <c r="GK629" s="14">
        <f t="shared" si="594"/>
        <v>75</v>
      </c>
      <c r="GL629" s="14">
        <f t="shared" si="614"/>
        <v>20540</v>
      </c>
      <c r="GM629" s="14">
        <f t="shared" si="595"/>
        <v>4</v>
      </c>
      <c r="GN629" s="14">
        <f t="shared" si="596"/>
        <v>2054</v>
      </c>
      <c r="GO629" s="25" t="s">
        <v>1471</v>
      </c>
      <c r="GP629" s="14">
        <f t="shared" si="615"/>
        <v>200</v>
      </c>
    </row>
    <row r="630" spans="151:198" ht="16.5" x14ac:dyDescent="0.2">
      <c r="EU630" s="13">
        <v>625</v>
      </c>
      <c r="EV630" s="14">
        <f t="shared" si="616"/>
        <v>2</v>
      </c>
      <c r="EW630" s="14">
        <f t="shared" si="584"/>
        <v>190</v>
      </c>
      <c r="EX630" s="14">
        <f t="shared" si="617"/>
        <v>25</v>
      </c>
      <c r="EY630" s="14">
        <f t="shared" si="585"/>
        <v>42</v>
      </c>
      <c r="EZ630" s="14">
        <f t="shared" si="597"/>
        <v>16</v>
      </c>
      <c r="FA630" s="14">
        <f t="shared" si="598"/>
        <v>90</v>
      </c>
      <c r="FB630" s="14">
        <f t="shared" si="599"/>
        <v>4</v>
      </c>
      <c r="FC630" s="14">
        <f t="shared" si="600"/>
        <v>4</v>
      </c>
      <c r="FD630" s="14">
        <f t="shared" si="601"/>
        <v>4</v>
      </c>
      <c r="FE630" s="14" t="b">
        <f t="shared" si="618"/>
        <v>1</v>
      </c>
      <c r="FF630" s="14">
        <f t="shared" si="602"/>
        <v>2105424</v>
      </c>
      <c r="FG630" s="13" t="str">
        <f t="shared" si="603"/>
        <v>90级-防御套守护灵の裤子</v>
      </c>
      <c r="FH630" s="14">
        <f t="shared" si="604"/>
        <v>2</v>
      </c>
      <c r="FI630" s="14">
        <f t="shared" si="605"/>
        <v>4</v>
      </c>
      <c r="FJ630" s="14">
        <f t="shared" si="606"/>
        <v>90</v>
      </c>
      <c r="FK630" s="14">
        <v>191</v>
      </c>
      <c r="FL630" s="14">
        <f t="shared" si="607"/>
        <v>5</v>
      </c>
      <c r="FM630" s="14">
        <f t="shared" si="586"/>
        <v>4</v>
      </c>
      <c r="FN630" s="14">
        <f t="shared" si="608"/>
        <v>210542</v>
      </c>
      <c r="FO630" s="14">
        <f t="shared" si="587"/>
        <v>135</v>
      </c>
      <c r="FP630" s="14">
        <f t="shared" si="619"/>
        <v>0</v>
      </c>
      <c r="FQ630" s="14">
        <f t="shared" si="620"/>
        <v>180</v>
      </c>
      <c r="FR630" s="14">
        <f t="shared" si="621"/>
        <v>0</v>
      </c>
      <c r="FS630" s="14">
        <f t="shared" si="622"/>
        <v>0</v>
      </c>
      <c r="FT630" s="14">
        <f t="shared" si="623"/>
        <v>9</v>
      </c>
      <c r="FU630" s="14">
        <f t="shared" si="624"/>
        <v>0</v>
      </c>
      <c r="FV630" s="14">
        <f t="shared" si="609"/>
        <v>2054</v>
      </c>
      <c r="FW630" s="14">
        <f t="shared" si="610"/>
        <v>4</v>
      </c>
      <c r="FX630" s="14">
        <f t="shared" si="611"/>
        <v>2054</v>
      </c>
      <c r="FY630" s="25" t="str">
        <f t="shared" si="625"/>
        <v>icon_2105424</v>
      </c>
      <c r="GC630" s="14">
        <f t="shared" si="612"/>
        <v>2</v>
      </c>
      <c r="GD630" s="14">
        <f t="shared" si="613"/>
        <v>0</v>
      </c>
      <c r="GE630" s="14">
        <f t="shared" si="588"/>
        <v>135</v>
      </c>
      <c r="GF630" s="14" t="str">
        <f t="shared" si="589"/>
        <v>DefExt</v>
      </c>
      <c r="GG630" s="14">
        <f t="shared" si="590"/>
        <v>180</v>
      </c>
      <c r="GH630" s="14">
        <f t="shared" si="591"/>
        <v>9</v>
      </c>
      <c r="GI630" s="14" t="str">
        <f t="shared" si="592"/>
        <v/>
      </c>
      <c r="GJ630" s="14" t="str">
        <f t="shared" si="593"/>
        <v/>
      </c>
      <c r="GK630" s="14" t="str">
        <f t="shared" si="594"/>
        <v/>
      </c>
      <c r="GL630" s="14">
        <f t="shared" si="614"/>
        <v>20540</v>
      </c>
      <c r="GM630" s="14">
        <f t="shared" si="595"/>
        <v>4</v>
      </c>
      <c r="GN630" s="14">
        <f t="shared" si="596"/>
        <v>2054</v>
      </c>
      <c r="GO630" s="25" t="s">
        <v>1471</v>
      </c>
      <c r="GP630" s="14">
        <f t="shared" si="615"/>
        <v>200</v>
      </c>
    </row>
    <row r="631" spans="151:198" ht="16.5" x14ac:dyDescent="0.2">
      <c r="EU631" s="13">
        <v>626</v>
      </c>
      <c r="EV631" s="14">
        <f t="shared" si="616"/>
        <v>2</v>
      </c>
      <c r="EW631" s="14">
        <f t="shared" si="584"/>
        <v>191</v>
      </c>
      <c r="EX631" s="14">
        <f t="shared" si="617"/>
        <v>25</v>
      </c>
      <c r="EY631" s="14">
        <f t="shared" si="585"/>
        <v>42</v>
      </c>
      <c r="EZ631" s="14">
        <f t="shared" si="597"/>
        <v>16</v>
      </c>
      <c r="FA631" s="14">
        <f t="shared" si="598"/>
        <v>90</v>
      </c>
      <c r="FB631" s="14">
        <f t="shared" si="599"/>
        <v>4</v>
      </c>
      <c r="FC631" s="14">
        <f t="shared" si="600"/>
        <v>5</v>
      </c>
      <c r="FD631" s="14">
        <f t="shared" si="601"/>
        <v>5</v>
      </c>
      <c r="FE631" s="14" t="b">
        <f t="shared" si="618"/>
        <v>1</v>
      </c>
      <c r="FF631" s="14">
        <f t="shared" si="602"/>
        <v>2105425</v>
      </c>
      <c r="FG631" s="13" t="str">
        <f t="shared" si="603"/>
        <v>90级-防御套守护灵の鞋子</v>
      </c>
      <c r="FH631" s="14">
        <f t="shared" si="604"/>
        <v>2</v>
      </c>
      <c r="FI631" s="14">
        <f t="shared" si="605"/>
        <v>4</v>
      </c>
      <c r="FJ631" s="14">
        <f t="shared" si="606"/>
        <v>90</v>
      </c>
      <c r="FK631" s="14">
        <v>192</v>
      </c>
      <c r="FL631" s="14">
        <f t="shared" si="607"/>
        <v>5</v>
      </c>
      <c r="FM631" s="14">
        <f t="shared" si="586"/>
        <v>5</v>
      </c>
      <c r="FN631" s="14">
        <f t="shared" si="608"/>
        <v>210542</v>
      </c>
      <c r="FO631" s="14">
        <f t="shared" si="587"/>
        <v>226</v>
      </c>
      <c r="FP631" s="14">
        <f t="shared" si="619"/>
        <v>0</v>
      </c>
      <c r="FQ631" s="14">
        <f t="shared" si="620"/>
        <v>0</v>
      </c>
      <c r="FR631" s="14">
        <f t="shared" si="621"/>
        <v>2880</v>
      </c>
      <c r="FS631" s="14">
        <f t="shared" si="622"/>
        <v>0</v>
      </c>
      <c r="FT631" s="14">
        <f t="shared" si="623"/>
        <v>0</v>
      </c>
      <c r="FU631" s="14">
        <f t="shared" si="624"/>
        <v>151</v>
      </c>
      <c r="FV631" s="14">
        <f t="shared" si="609"/>
        <v>2054</v>
      </c>
      <c r="FW631" s="14">
        <f t="shared" si="610"/>
        <v>4</v>
      </c>
      <c r="FX631" s="14">
        <f t="shared" si="611"/>
        <v>2054</v>
      </c>
      <c r="FY631" s="25" t="str">
        <f t="shared" si="625"/>
        <v>icon_2105425</v>
      </c>
      <c r="GC631" s="14">
        <f t="shared" si="612"/>
        <v>3</v>
      </c>
      <c r="GD631" s="14">
        <f t="shared" si="613"/>
        <v>0</v>
      </c>
      <c r="GE631" s="14">
        <f t="shared" si="588"/>
        <v>226</v>
      </c>
      <c r="GF631" s="14" t="str">
        <f t="shared" si="589"/>
        <v>HPExt</v>
      </c>
      <c r="GG631" s="14">
        <f t="shared" si="590"/>
        <v>2880</v>
      </c>
      <c r="GH631" s="14">
        <f t="shared" si="591"/>
        <v>151</v>
      </c>
      <c r="GI631" s="14" t="str">
        <f t="shared" si="592"/>
        <v/>
      </c>
      <c r="GJ631" s="14" t="str">
        <f t="shared" si="593"/>
        <v/>
      </c>
      <c r="GK631" s="14" t="str">
        <f t="shared" si="594"/>
        <v/>
      </c>
      <c r="GL631" s="14">
        <f t="shared" si="614"/>
        <v>20540</v>
      </c>
      <c r="GM631" s="14">
        <f t="shared" si="595"/>
        <v>4</v>
      </c>
      <c r="GN631" s="14">
        <f t="shared" si="596"/>
        <v>2054</v>
      </c>
      <c r="GO631" s="25" t="s">
        <v>1471</v>
      </c>
      <c r="GP631" s="14">
        <f t="shared" si="615"/>
        <v>200</v>
      </c>
    </row>
    <row r="632" spans="151:198" ht="16.5" x14ac:dyDescent="0.2">
      <c r="EU632" s="13">
        <v>627</v>
      </c>
      <c r="EV632" s="14">
        <f t="shared" si="616"/>
        <v>2</v>
      </c>
      <c r="EW632" s="14">
        <f t="shared" si="584"/>
        <v>192</v>
      </c>
      <c r="EX632" s="14">
        <f t="shared" si="617"/>
        <v>25</v>
      </c>
      <c r="EY632" s="14">
        <f t="shared" si="585"/>
        <v>42</v>
      </c>
      <c r="EZ632" s="14">
        <f t="shared" si="597"/>
        <v>16</v>
      </c>
      <c r="FA632" s="14">
        <f t="shared" si="598"/>
        <v>90</v>
      </c>
      <c r="FB632" s="14">
        <f t="shared" si="599"/>
        <v>4</v>
      </c>
      <c r="FC632" s="14">
        <f t="shared" si="600"/>
        <v>6</v>
      </c>
      <c r="FD632" s="14">
        <f t="shared" si="601"/>
        <v>6</v>
      </c>
      <c r="FE632" s="14" t="b">
        <f t="shared" si="618"/>
        <v>1</v>
      </c>
      <c r="FF632" s="14">
        <f t="shared" si="602"/>
        <v>2105426</v>
      </c>
      <c r="FG632" s="13" t="str">
        <f t="shared" si="603"/>
        <v>90级-防御套守护灵の护手</v>
      </c>
      <c r="FH632" s="14">
        <f t="shared" si="604"/>
        <v>2</v>
      </c>
      <c r="FI632" s="14">
        <f t="shared" si="605"/>
        <v>4</v>
      </c>
      <c r="FJ632" s="14">
        <f t="shared" si="606"/>
        <v>90</v>
      </c>
      <c r="FK632" s="14">
        <v>193</v>
      </c>
      <c r="FL632" s="14">
        <f t="shared" si="607"/>
        <v>5</v>
      </c>
      <c r="FM632" s="14">
        <f t="shared" si="586"/>
        <v>6</v>
      </c>
      <c r="FN632" s="14">
        <f t="shared" si="608"/>
        <v>210542</v>
      </c>
      <c r="FO632" s="14">
        <f t="shared" si="587"/>
        <v>226</v>
      </c>
      <c r="FP632" s="14">
        <f t="shared" si="619"/>
        <v>0</v>
      </c>
      <c r="FQ632" s="14">
        <f t="shared" si="620"/>
        <v>0</v>
      </c>
      <c r="FR632" s="14">
        <f t="shared" si="621"/>
        <v>2880</v>
      </c>
      <c r="FS632" s="14">
        <f t="shared" si="622"/>
        <v>0</v>
      </c>
      <c r="FT632" s="14">
        <f t="shared" si="623"/>
        <v>0</v>
      </c>
      <c r="FU632" s="14">
        <f t="shared" si="624"/>
        <v>151</v>
      </c>
      <c r="FV632" s="14">
        <f t="shared" si="609"/>
        <v>2054</v>
      </c>
      <c r="FW632" s="14">
        <f t="shared" si="610"/>
        <v>4</v>
      </c>
      <c r="FX632" s="14">
        <f t="shared" si="611"/>
        <v>2054</v>
      </c>
      <c r="FY632" s="25" t="str">
        <f t="shared" si="625"/>
        <v>icon_2105426</v>
      </c>
      <c r="GC632" s="14">
        <f t="shared" si="612"/>
        <v>3</v>
      </c>
      <c r="GD632" s="14">
        <f t="shared" si="613"/>
        <v>0</v>
      </c>
      <c r="GE632" s="14">
        <f t="shared" si="588"/>
        <v>226</v>
      </c>
      <c r="GF632" s="14" t="str">
        <f t="shared" si="589"/>
        <v>HPExt</v>
      </c>
      <c r="GG632" s="14">
        <f t="shared" si="590"/>
        <v>2880</v>
      </c>
      <c r="GH632" s="14">
        <f t="shared" si="591"/>
        <v>151</v>
      </c>
      <c r="GI632" s="14" t="str">
        <f t="shared" si="592"/>
        <v/>
      </c>
      <c r="GJ632" s="14" t="str">
        <f t="shared" si="593"/>
        <v/>
      </c>
      <c r="GK632" s="14" t="str">
        <f t="shared" si="594"/>
        <v/>
      </c>
      <c r="GL632" s="14">
        <f t="shared" si="614"/>
        <v>20540</v>
      </c>
      <c r="GM632" s="14">
        <f t="shared" si="595"/>
        <v>4</v>
      </c>
      <c r="GN632" s="14">
        <f t="shared" si="596"/>
        <v>2054</v>
      </c>
      <c r="GO632" s="25" t="s">
        <v>1471</v>
      </c>
      <c r="GP632" s="14">
        <f t="shared" si="615"/>
        <v>200</v>
      </c>
    </row>
    <row r="633" spans="151:198" ht="16.5" x14ac:dyDescent="0.2">
      <c r="EU633" s="13">
        <v>628</v>
      </c>
      <c r="EV633" s="14">
        <f t="shared" si="616"/>
        <v>2</v>
      </c>
      <c r="EW633" s="14">
        <f t="shared" ref="EW633:EW696" si="626">MOD(EU633-1,$EV$3)+1</f>
        <v>193</v>
      </c>
      <c r="EX633" s="14">
        <f t="shared" si="617"/>
        <v>26</v>
      </c>
      <c r="EY633" s="14">
        <f t="shared" ref="EY633:EY696" si="627">INDEX($AK$7:$AK$64,EX633)</f>
        <v>43</v>
      </c>
      <c r="EZ633" s="14">
        <f t="shared" si="597"/>
        <v>16</v>
      </c>
      <c r="FA633" s="14">
        <f t="shared" si="598"/>
        <v>90</v>
      </c>
      <c r="FB633" s="14">
        <f t="shared" si="599"/>
        <v>4</v>
      </c>
      <c r="FC633" s="14">
        <f t="shared" si="600"/>
        <v>1</v>
      </c>
      <c r="FD633" s="14">
        <f t="shared" si="601"/>
        <v>1</v>
      </c>
      <c r="FE633" s="14" t="b">
        <f t="shared" si="618"/>
        <v>1</v>
      </c>
      <c r="FF633" s="14">
        <f t="shared" si="602"/>
        <v>2105431</v>
      </c>
      <c r="FG633" s="13" t="str">
        <f t="shared" si="603"/>
        <v>90级-绝世套守护灵の灵器</v>
      </c>
      <c r="FH633" s="14">
        <f t="shared" si="604"/>
        <v>2</v>
      </c>
      <c r="FI633" s="14">
        <f t="shared" si="605"/>
        <v>4</v>
      </c>
      <c r="FJ633" s="14">
        <f t="shared" si="606"/>
        <v>90</v>
      </c>
      <c r="FK633" s="14">
        <v>194</v>
      </c>
      <c r="FL633" s="14">
        <f t="shared" si="607"/>
        <v>5</v>
      </c>
      <c r="FM633" s="14">
        <f t="shared" ref="FM633:FM696" si="628">FD633</f>
        <v>1</v>
      </c>
      <c r="FN633" s="14">
        <f t="shared" si="608"/>
        <v>210543</v>
      </c>
      <c r="FO633" s="14">
        <f t="shared" ref="FO633:FO696" si="629">INT(SUMPRODUCT($FS$3:$FU$3,FS633:FU633)*IF(FN633="",1,1.5))</f>
        <v>277</v>
      </c>
      <c r="FP633" s="14">
        <f t="shared" si="619"/>
        <v>710</v>
      </c>
      <c r="FQ633" s="14">
        <f t="shared" si="620"/>
        <v>0</v>
      </c>
      <c r="FR633" s="14">
        <f t="shared" si="621"/>
        <v>0</v>
      </c>
      <c r="FS633" s="14">
        <f t="shared" si="622"/>
        <v>37</v>
      </c>
      <c r="FT633" s="14">
        <f t="shared" si="623"/>
        <v>0</v>
      </c>
      <c r="FU633" s="14">
        <f t="shared" si="624"/>
        <v>0</v>
      </c>
      <c r="FV633" s="14">
        <f t="shared" si="609"/>
        <v>2054</v>
      </c>
      <c r="FW633" s="14">
        <f t="shared" si="610"/>
        <v>4</v>
      </c>
      <c r="FX633" s="14">
        <f t="shared" si="611"/>
        <v>2054</v>
      </c>
      <c r="FY633" s="25" t="str">
        <f t="shared" si="625"/>
        <v>icon_2105431</v>
      </c>
      <c r="GC633" s="14">
        <f t="shared" si="612"/>
        <v>1</v>
      </c>
      <c r="GD633" s="14">
        <f t="shared" si="613"/>
        <v>0</v>
      </c>
      <c r="GE633" s="14">
        <f t="shared" ref="GE633:GE696" si="630">FO633</f>
        <v>277</v>
      </c>
      <c r="GF633" s="14" t="str">
        <f t="shared" ref="GF633:GF696" si="631">INDEX($BH$3:$BJ$3,GC633)</f>
        <v>AtkExt</v>
      </c>
      <c r="GG633" s="14">
        <f t="shared" ref="GG633:GG696" si="632">INDEX(FP633:FR633,GC633)</f>
        <v>710</v>
      </c>
      <c r="GH633" s="14">
        <f t="shared" ref="GH633:GH696" si="633">INDEX(FS633:FU633,GC633)</f>
        <v>37</v>
      </c>
      <c r="GI633" s="14" t="str">
        <f t="shared" ref="GI633:GI696" si="634">IF(GD633&gt;0,INDEX($BH$3:$BJ$3,GD633),"")</f>
        <v/>
      </c>
      <c r="GJ633" s="14" t="str">
        <f t="shared" ref="GJ633:GJ696" si="635">IF(GD633&gt;0,INDEX(FP633:FR633,GD633),"")</f>
        <v/>
      </c>
      <c r="GK633" s="14" t="str">
        <f t="shared" ref="GK633:GK696" si="636">IF(GD633&gt;0,INDEX(FS633:FU633,GD633),"")</f>
        <v/>
      </c>
      <c r="GL633" s="14">
        <f t="shared" si="614"/>
        <v>20540</v>
      </c>
      <c r="GM633" s="14">
        <f t="shared" ref="GM633:GM696" si="637">FW633</f>
        <v>4</v>
      </c>
      <c r="GN633" s="14">
        <f t="shared" ref="GN633:GN696" si="638">FX633</f>
        <v>2054</v>
      </c>
      <c r="GO633" s="25" t="s">
        <v>1471</v>
      </c>
      <c r="GP633" s="14">
        <f t="shared" si="615"/>
        <v>400</v>
      </c>
    </row>
    <row r="634" spans="151:198" ht="16.5" x14ac:dyDescent="0.2">
      <c r="EU634" s="13">
        <v>629</v>
      </c>
      <c r="EV634" s="14">
        <f t="shared" si="616"/>
        <v>2</v>
      </c>
      <c r="EW634" s="14">
        <f t="shared" si="626"/>
        <v>194</v>
      </c>
      <c r="EX634" s="14">
        <f t="shared" si="617"/>
        <v>26</v>
      </c>
      <c r="EY634" s="14">
        <f t="shared" si="627"/>
        <v>43</v>
      </c>
      <c r="EZ634" s="14">
        <f t="shared" si="597"/>
        <v>16</v>
      </c>
      <c r="FA634" s="14">
        <f t="shared" si="598"/>
        <v>90</v>
      </c>
      <c r="FB634" s="14">
        <f t="shared" si="599"/>
        <v>4</v>
      </c>
      <c r="FC634" s="14">
        <f t="shared" si="600"/>
        <v>2</v>
      </c>
      <c r="FD634" s="14">
        <f t="shared" si="601"/>
        <v>2</v>
      </c>
      <c r="FE634" s="14" t="b">
        <f t="shared" si="618"/>
        <v>1</v>
      </c>
      <c r="FF634" s="14">
        <f t="shared" si="602"/>
        <v>2105432</v>
      </c>
      <c r="FG634" s="13" t="str">
        <f t="shared" si="603"/>
        <v>90级-绝世套守护灵の头盔</v>
      </c>
      <c r="FH634" s="14">
        <f t="shared" si="604"/>
        <v>2</v>
      </c>
      <c r="FI634" s="14">
        <f t="shared" si="605"/>
        <v>4</v>
      </c>
      <c r="FJ634" s="14">
        <f t="shared" si="606"/>
        <v>90</v>
      </c>
      <c r="FK634" s="14">
        <v>195</v>
      </c>
      <c r="FL634" s="14">
        <f t="shared" si="607"/>
        <v>5</v>
      </c>
      <c r="FM634" s="14">
        <f t="shared" si="628"/>
        <v>2</v>
      </c>
      <c r="FN634" s="14">
        <f t="shared" si="608"/>
        <v>210543</v>
      </c>
      <c r="FO634" s="14">
        <f t="shared" si="629"/>
        <v>135</v>
      </c>
      <c r="FP634" s="14">
        <f t="shared" si="619"/>
        <v>0</v>
      </c>
      <c r="FQ634" s="14">
        <f t="shared" si="620"/>
        <v>180</v>
      </c>
      <c r="FR634" s="14">
        <f t="shared" si="621"/>
        <v>0</v>
      </c>
      <c r="FS634" s="14">
        <f t="shared" si="622"/>
        <v>0</v>
      </c>
      <c r="FT634" s="14">
        <f t="shared" si="623"/>
        <v>9</v>
      </c>
      <c r="FU634" s="14">
        <f t="shared" si="624"/>
        <v>0</v>
      </c>
      <c r="FV634" s="14">
        <f t="shared" si="609"/>
        <v>2054</v>
      </c>
      <c r="FW634" s="14">
        <f t="shared" si="610"/>
        <v>4</v>
      </c>
      <c r="FX634" s="14">
        <f t="shared" si="611"/>
        <v>2054</v>
      </c>
      <c r="FY634" s="25" t="str">
        <f t="shared" si="625"/>
        <v>icon_2105432</v>
      </c>
      <c r="GC634" s="14">
        <f t="shared" si="612"/>
        <v>2</v>
      </c>
      <c r="GD634" s="14">
        <f t="shared" si="613"/>
        <v>0</v>
      </c>
      <c r="GE634" s="14">
        <f t="shared" si="630"/>
        <v>135</v>
      </c>
      <c r="GF634" s="14" t="str">
        <f t="shared" si="631"/>
        <v>DefExt</v>
      </c>
      <c r="GG634" s="14">
        <f t="shared" si="632"/>
        <v>180</v>
      </c>
      <c r="GH634" s="14">
        <f t="shared" si="633"/>
        <v>9</v>
      </c>
      <c r="GI634" s="14" t="str">
        <f t="shared" si="634"/>
        <v/>
      </c>
      <c r="GJ634" s="14" t="str">
        <f t="shared" si="635"/>
        <v/>
      </c>
      <c r="GK634" s="14" t="str">
        <f t="shared" si="636"/>
        <v/>
      </c>
      <c r="GL634" s="14">
        <f t="shared" si="614"/>
        <v>20540</v>
      </c>
      <c r="GM634" s="14">
        <f t="shared" si="637"/>
        <v>4</v>
      </c>
      <c r="GN634" s="14">
        <f t="shared" si="638"/>
        <v>2054</v>
      </c>
      <c r="GO634" s="25" t="s">
        <v>1471</v>
      </c>
      <c r="GP634" s="14">
        <f t="shared" si="615"/>
        <v>200</v>
      </c>
    </row>
    <row r="635" spans="151:198" ht="16.5" x14ac:dyDescent="0.2">
      <c r="EU635" s="13">
        <v>630</v>
      </c>
      <c r="EV635" s="14">
        <f t="shared" si="616"/>
        <v>2</v>
      </c>
      <c r="EW635" s="14">
        <f t="shared" si="626"/>
        <v>195</v>
      </c>
      <c r="EX635" s="14">
        <f t="shared" si="617"/>
        <v>26</v>
      </c>
      <c r="EY635" s="14">
        <f t="shared" si="627"/>
        <v>43</v>
      </c>
      <c r="EZ635" s="14">
        <f t="shared" si="597"/>
        <v>16</v>
      </c>
      <c r="FA635" s="14">
        <f t="shared" si="598"/>
        <v>90</v>
      </c>
      <c r="FB635" s="14">
        <f t="shared" si="599"/>
        <v>4</v>
      </c>
      <c r="FC635" s="14">
        <f t="shared" si="600"/>
        <v>3</v>
      </c>
      <c r="FD635" s="14">
        <f t="shared" si="601"/>
        <v>3</v>
      </c>
      <c r="FE635" s="14" t="b">
        <f t="shared" si="618"/>
        <v>1</v>
      </c>
      <c r="FF635" s="14">
        <f t="shared" si="602"/>
        <v>2105433</v>
      </c>
      <c r="FG635" s="13" t="str">
        <f t="shared" si="603"/>
        <v>90级-绝世套守护灵の铠甲</v>
      </c>
      <c r="FH635" s="14">
        <f t="shared" si="604"/>
        <v>2</v>
      </c>
      <c r="FI635" s="14">
        <f t="shared" si="605"/>
        <v>4</v>
      </c>
      <c r="FJ635" s="14">
        <f t="shared" si="606"/>
        <v>90</v>
      </c>
      <c r="FK635" s="14">
        <v>196</v>
      </c>
      <c r="FL635" s="14">
        <f t="shared" si="607"/>
        <v>5</v>
      </c>
      <c r="FM635" s="14">
        <f t="shared" si="628"/>
        <v>3</v>
      </c>
      <c r="FN635" s="14">
        <f t="shared" si="608"/>
        <v>210543</v>
      </c>
      <c r="FO635" s="14">
        <f t="shared" si="629"/>
        <v>187</v>
      </c>
      <c r="FP635" s="14">
        <f t="shared" si="619"/>
        <v>0</v>
      </c>
      <c r="FQ635" s="14">
        <f t="shared" si="620"/>
        <v>90</v>
      </c>
      <c r="FR635" s="14">
        <f t="shared" si="621"/>
        <v>1440</v>
      </c>
      <c r="FS635" s="14">
        <f t="shared" si="622"/>
        <v>0</v>
      </c>
      <c r="FT635" s="14">
        <f t="shared" si="623"/>
        <v>5</v>
      </c>
      <c r="FU635" s="14">
        <f t="shared" si="624"/>
        <v>75</v>
      </c>
      <c r="FV635" s="14">
        <f t="shared" si="609"/>
        <v>2054</v>
      </c>
      <c r="FW635" s="14">
        <f t="shared" si="610"/>
        <v>4</v>
      </c>
      <c r="FX635" s="14">
        <f t="shared" si="611"/>
        <v>2054</v>
      </c>
      <c r="FY635" s="25" t="str">
        <f t="shared" si="625"/>
        <v>icon_2105433</v>
      </c>
      <c r="GC635" s="14">
        <f t="shared" si="612"/>
        <v>2</v>
      </c>
      <c r="GD635" s="14">
        <f t="shared" si="613"/>
        <v>3</v>
      </c>
      <c r="GE635" s="14">
        <f t="shared" si="630"/>
        <v>187</v>
      </c>
      <c r="GF635" s="14" t="str">
        <f t="shared" si="631"/>
        <v>DefExt</v>
      </c>
      <c r="GG635" s="14">
        <f t="shared" si="632"/>
        <v>90</v>
      </c>
      <c r="GH635" s="14">
        <f t="shared" si="633"/>
        <v>5</v>
      </c>
      <c r="GI635" s="14" t="str">
        <f t="shared" si="634"/>
        <v>HPExt</v>
      </c>
      <c r="GJ635" s="14">
        <f t="shared" si="635"/>
        <v>1440</v>
      </c>
      <c r="GK635" s="14">
        <f t="shared" si="636"/>
        <v>75</v>
      </c>
      <c r="GL635" s="14">
        <f t="shared" si="614"/>
        <v>20540</v>
      </c>
      <c r="GM635" s="14">
        <f t="shared" si="637"/>
        <v>4</v>
      </c>
      <c r="GN635" s="14">
        <f t="shared" si="638"/>
        <v>2054</v>
      </c>
      <c r="GO635" s="25" t="s">
        <v>1471</v>
      </c>
      <c r="GP635" s="14">
        <f t="shared" si="615"/>
        <v>200</v>
      </c>
    </row>
    <row r="636" spans="151:198" ht="16.5" x14ac:dyDescent="0.2">
      <c r="EU636" s="13">
        <v>631</v>
      </c>
      <c r="EV636" s="14">
        <f t="shared" si="616"/>
        <v>2</v>
      </c>
      <c r="EW636" s="14">
        <f t="shared" si="626"/>
        <v>196</v>
      </c>
      <c r="EX636" s="14">
        <f t="shared" si="617"/>
        <v>26</v>
      </c>
      <c r="EY636" s="14">
        <f t="shared" si="627"/>
        <v>43</v>
      </c>
      <c r="EZ636" s="14">
        <f t="shared" si="597"/>
        <v>16</v>
      </c>
      <c r="FA636" s="14">
        <f t="shared" si="598"/>
        <v>90</v>
      </c>
      <c r="FB636" s="14">
        <f t="shared" si="599"/>
        <v>4</v>
      </c>
      <c r="FC636" s="14">
        <f t="shared" si="600"/>
        <v>4</v>
      </c>
      <c r="FD636" s="14">
        <f t="shared" si="601"/>
        <v>4</v>
      </c>
      <c r="FE636" s="14" t="b">
        <f t="shared" si="618"/>
        <v>1</v>
      </c>
      <c r="FF636" s="14">
        <f t="shared" si="602"/>
        <v>2105434</v>
      </c>
      <c r="FG636" s="13" t="str">
        <f t="shared" si="603"/>
        <v>90级-绝世套守护灵の裤子</v>
      </c>
      <c r="FH636" s="14">
        <f t="shared" si="604"/>
        <v>2</v>
      </c>
      <c r="FI636" s="14">
        <f t="shared" si="605"/>
        <v>4</v>
      </c>
      <c r="FJ636" s="14">
        <f t="shared" si="606"/>
        <v>90</v>
      </c>
      <c r="FK636" s="14">
        <v>197</v>
      </c>
      <c r="FL636" s="14">
        <f t="shared" si="607"/>
        <v>5</v>
      </c>
      <c r="FM636" s="14">
        <f t="shared" si="628"/>
        <v>4</v>
      </c>
      <c r="FN636" s="14">
        <f t="shared" si="608"/>
        <v>210543</v>
      </c>
      <c r="FO636" s="14">
        <f t="shared" si="629"/>
        <v>135</v>
      </c>
      <c r="FP636" s="14">
        <f t="shared" si="619"/>
        <v>0</v>
      </c>
      <c r="FQ636" s="14">
        <f t="shared" si="620"/>
        <v>180</v>
      </c>
      <c r="FR636" s="14">
        <f t="shared" si="621"/>
        <v>0</v>
      </c>
      <c r="FS636" s="14">
        <f t="shared" si="622"/>
        <v>0</v>
      </c>
      <c r="FT636" s="14">
        <f t="shared" si="623"/>
        <v>9</v>
      </c>
      <c r="FU636" s="14">
        <f t="shared" si="624"/>
        <v>0</v>
      </c>
      <c r="FV636" s="14">
        <f t="shared" si="609"/>
        <v>2054</v>
      </c>
      <c r="FW636" s="14">
        <f t="shared" si="610"/>
        <v>4</v>
      </c>
      <c r="FX636" s="14">
        <f t="shared" si="611"/>
        <v>2054</v>
      </c>
      <c r="FY636" s="25" t="str">
        <f t="shared" si="625"/>
        <v>icon_2105434</v>
      </c>
      <c r="GC636" s="14">
        <f t="shared" si="612"/>
        <v>2</v>
      </c>
      <c r="GD636" s="14">
        <f t="shared" si="613"/>
        <v>0</v>
      </c>
      <c r="GE636" s="14">
        <f t="shared" si="630"/>
        <v>135</v>
      </c>
      <c r="GF636" s="14" t="str">
        <f t="shared" si="631"/>
        <v>DefExt</v>
      </c>
      <c r="GG636" s="14">
        <f t="shared" si="632"/>
        <v>180</v>
      </c>
      <c r="GH636" s="14">
        <f t="shared" si="633"/>
        <v>9</v>
      </c>
      <c r="GI636" s="14" t="str">
        <f t="shared" si="634"/>
        <v/>
      </c>
      <c r="GJ636" s="14" t="str">
        <f t="shared" si="635"/>
        <v/>
      </c>
      <c r="GK636" s="14" t="str">
        <f t="shared" si="636"/>
        <v/>
      </c>
      <c r="GL636" s="14">
        <f t="shared" si="614"/>
        <v>20540</v>
      </c>
      <c r="GM636" s="14">
        <f t="shared" si="637"/>
        <v>4</v>
      </c>
      <c r="GN636" s="14">
        <f t="shared" si="638"/>
        <v>2054</v>
      </c>
      <c r="GO636" s="25" t="s">
        <v>1471</v>
      </c>
      <c r="GP636" s="14">
        <f t="shared" si="615"/>
        <v>200</v>
      </c>
    </row>
    <row r="637" spans="151:198" ht="16.5" x14ac:dyDescent="0.2">
      <c r="EU637" s="13">
        <v>632</v>
      </c>
      <c r="EV637" s="14">
        <f t="shared" si="616"/>
        <v>2</v>
      </c>
      <c r="EW637" s="14">
        <f t="shared" si="626"/>
        <v>197</v>
      </c>
      <c r="EX637" s="14">
        <f t="shared" si="617"/>
        <v>26</v>
      </c>
      <c r="EY637" s="14">
        <f t="shared" si="627"/>
        <v>43</v>
      </c>
      <c r="EZ637" s="14">
        <f t="shared" si="597"/>
        <v>16</v>
      </c>
      <c r="FA637" s="14">
        <f t="shared" si="598"/>
        <v>90</v>
      </c>
      <c r="FB637" s="14">
        <f t="shared" si="599"/>
        <v>4</v>
      </c>
      <c r="FC637" s="14">
        <f t="shared" si="600"/>
        <v>5</v>
      </c>
      <c r="FD637" s="14">
        <f t="shared" si="601"/>
        <v>6</v>
      </c>
      <c r="FE637" s="14" t="b">
        <f t="shared" si="618"/>
        <v>1</v>
      </c>
      <c r="FF637" s="14">
        <f t="shared" si="602"/>
        <v>2105436</v>
      </c>
      <c r="FG637" s="13" t="str">
        <f t="shared" si="603"/>
        <v>90级-绝世套守护灵の护手</v>
      </c>
      <c r="FH637" s="14">
        <f t="shared" si="604"/>
        <v>2</v>
      </c>
      <c r="FI637" s="14">
        <f t="shared" si="605"/>
        <v>4</v>
      </c>
      <c r="FJ637" s="14">
        <f t="shared" si="606"/>
        <v>90</v>
      </c>
      <c r="FK637" s="14">
        <v>198</v>
      </c>
      <c r="FL637" s="14">
        <f t="shared" si="607"/>
        <v>5</v>
      </c>
      <c r="FM637" s="14">
        <f t="shared" si="628"/>
        <v>6</v>
      </c>
      <c r="FN637" s="14">
        <f t="shared" si="608"/>
        <v>210543</v>
      </c>
      <c r="FO637" s="14">
        <f t="shared" si="629"/>
        <v>226</v>
      </c>
      <c r="FP637" s="14">
        <f t="shared" si="619"/>
        <v>0</v>
      </c>
      <c r="FQ637" s="14">
        <f t="shared" si="620"/>
        <v>0</v>
      </c>
      <c r="FR637" s="14">
        <f t="shared" si="621"/>
        <v>2880</v>
      </c>
      <c r="FS637" s="14">
        <f t="shared" si="622"/>
        <v>0</v>
      </c>
      <c r="FT637" s="14">
        <f t="shared" si="623"/>
        <v>0</v>
      </c>
      <c r="FU637" s="14">
        <f t="shared" si="624"/>
        <v>151</v>
      </c>
      <c r="FV637" s="14">
        <f t="shared" si="609"/>
        <v>2054</v>
      </c>
      <c r="FW637" s="14">
        <f t="shared" si="610"/>
        <v>4</v>
      </c>
      <c r="FX637" s="14">
        <f t="shared" si="611"/>
        <v>2054</v>
      </c>
      <c r="FY637" s="25" t="str">
        <f t="shared" si="625"/>
        <v>icon_2105436</v>
      </c>
      <c r="GC637" s="14">
        <f t="shared" si="612"/>
        <v>3</v>
      </c>
      <c r="GD637" s="14">
        <f t="shared" si="613"/>
        <v>0</v>
      </c>
      <c r="GE637" s="14">
        <f t="shared" si="630"/>
        <v>226</v>
      </c>
      <c r="GF637" s="14" t="str">
        <f t="shared" si="631"/>
        <v>HPExt</v>
      </c>
      <c r="GG637" s="14">
        <f t="shared" si="632"/>
        <v>2880</v>
      </c>
      <c r="GH637" s="14">
        <f t="shared" si="633"/>
        <v>151</v>
      </c>
      <c r="GI637" s="14" t="str">
        <f t="shared" si="634"/>
        <v/>
      </c>
      <c r="GJ637" s="14" t="str">
        <f t="shared" si="635"/>
        <v/>
      </c>
      <c r="GK637" s="14" t="str">
        <f t="shared" si="636"/>
        <v/>
      </c>
      <c r="GL637" s="14">
        <f t="shared" si="614"/>
        <v>20540</v>
      </c>
      <c r="GM637" s="14">
        <f t="shared" si="637"/>
        <v>4</v>
      </c>
      <c r="GN637" s="14">
        <f t="shared" si="638"/>
        <v>2054</v>
      </c>
      <c r="GO637" s="25" t="s">
        <v>1471</v>
      </c>
      <c r="GP637" s="14">
        <f t="shared" si="615"/>
        <v>200</v>
      </c>
    </row>
    <row r="638" spans="151:198" ht="16.5" x14ac:dyDescent="0.2">
      <c r="EU638" s="13">
        <v>633</v>
      </c>
      <c r="EV638" s="14">
        <f t="shared" si="616"/>
        <v>2</v>
      </c>
      <c r="EW638" s="14">
        <f t="shared" si="626"/>
        <v>198</v>
      </c>
      <c r="EX638" s="14">
        <f t="shared" si="617"/>
        <v>27</v>
      </c>
      <c r="EY638" s="14">
        <f t="shared" si="627"/>
        <v>10</v>
      </c>
      <c r="EZ638" s="14">
        <f t="shared" si="597"/>
        <v>17</v>
      </c>
      <c r="FA638" s="14">
        <f t="shared" si="598"/>
        <v>100</v>
      </c>
      <c r="FB638" s="14">
        <f t="shared" si="599"/>
        <v>1</v>
      </c>
      <c r="FC638" s="14">
        <f t="shared" si="600"/>
        <v>1</v>
      </c>
      <c r="FD638" s="14">
        <f t="shared" si="601"/>
        <v>1</v>
      </c>
      <c r="FE638" s="14" t="b">
        <f t="shared" si="618"/>
        <v>0</v>
      </c>
      <c r="FF638" s="14">
        <f t="shared" si="602"/>
        <v>2106101</v>
      </c>
      <c r="FG638" s="13" t="str">
        <f t="shared" si="603"/>
        <v>100级-普通守护灵の灵器</v>
      </c>
      <c r="FH638" s="14">
        <f t="shared" si="604"/>
        <v>2</v>
      </c>
      <c r="FI638" s="14">
        <f t="shared" si="605"/>
        <v>1</v>
      </c>
      <c r="FJ638" s="14">
        <f t="shared" si="606"/>
        <v>100</v>
      </c>
      <c r="FK638" s="14">
        <v>199</v>
      </c>
      <c r="FL638" s="14">
        <f t="shared" si="607"/>
        <v>6</v>
      </c>
      <c r="FM638" s="14">
        <f t="shared" si="628"/>
        <v>1</v>
      </c>
      <c r="FN638" s="14" t="str">
        <f t="shared" si="608"/>
        <v/>
      </c>
      <c r="FO638" s="14">
        <f t="shared" si="629"/>
        <v>125</v>
      </c>
      <c r="FP638" s="14">
        <f t="shared" si="619"/>
        <v>445</v>
      </c>
      <c r="FQ638" s="14">
        <f t="shared" si="620"/>
        <v>0</v>
      </c>
      <c r="FR638" s="14">
        <f t="shared" si="621"/>
        <v>0</v>
      </c>
      <c r="FS638" s="14">
        <f t="shared" si="622"/>
        <v>25</v>
      </c>
      <c r="FT638" s="14">
        <f t="shared" si="623"/>
        <v>0</v>
      </c>
      <c r="FU638" s="14">
        <f t="shared" si="624"/>
        <v>0</v>
      </c>
      <c r="FV638" s="14">
        <f t="shared" si="609"/>
        <v>2061</v>
      </c>
      <c r="FW638" s="14">
        <f t="shared" si="610"/>
        <v>0</v>
      </c>
      <c r="FX638" s="14" t="str">
        <f t="shared" si="611"/>
        <v/>
      </c>
      <c r="FY638" s="25" t="str">
        <f t="shared" si="625"/>
        <v>icon_2106101</v>
      </c>
      <c r="GC638" s="14">
        <f t="shared" si="612"/>
        <v>1</v>
      </c>
      <c r="GD638" s="14">
        <f t="shared" si="613"/>
        <v>0</v>
      </c>
      <c r="GE638" s="14">
        <f t="shared" si="630"/>
        <v>125</v>
      </c>
      <c r="GF638" s="14" t="str">
        <f t="shared" si="631"/>
        <v>AtkExt</v>
      </c>
      <c r="GG638" s="14">
        <f t="shared" si="632"/>
        <v>445</v>
      </c>
      <c r="GH638" s="14">
        <f t="shared" si="633"/>
        <v>25</v>
      </c>
      <c r="GI638" s="14" t="str">
        <f t="shared" si="634"/>
        <v/>
      </c>
      <c r="GJ638" s="14" t="str">
        <f t="shared" si="635"/>
        <v/>
      </c>
      <c r="GK638" s="14" t="str">
        <f t="shared" si="636"/>
        <v/>
      </c>
      <c r="GL638" s="14">
        <f t="shared" si="614"/>
        <v>20610</v>
      </c>
      <c r="GM638" s="14">
        <f t="shared" si="637"/>
        <v>0</v>
      </c>
      <c r="GN638" s="14" t="str">
        <f t="shared" si="638"/>
        <v/>
      </c>
      <c r="GO638" s="25" t="s">
        <v>1471</v>
      </c>
      <c r="GP638" s="14">
        <f t="shared" si="615"/>
        <v>50</v>
      </c>
    </row>
    <row r="639" spans="151:198" ht="16.5" x14ac:dyDescent="0.2">
      <c r="EU639" s="13">
        <v>634</v>
      </c>
      <c r="EV639" s="14">
        <f t="shared" si="616"/>
        <v>2</v>
      </c>
      <c r="EW639" s="14">
        <f t="shared" si="626"/>
        <v>199</v>
      </c>
      <c r="EX639" s="14">
        <f t="shared" si="617"/>
        <v>27</v>
      </c>
      <c r="EY639" s="14">
        <f t="shared" si="627"/>
        <v>10</v>
      </c>
      <c r="EZ639" s="14">
        <f t="shared" si="597"/>
        <v>17</v>
      </c>
      <c r="FA639" s="14">
        <f t="shared" si="598"/>
        <v>100</v>
      </c>
      <c r="FB639" s="14">
        <f t="shared" si="599"/>
        <v>1</v>
      </c>
      <c r="FC639" s="14">
        <f t="shared" si="600"/>
        <v>2</v>
      </c>
      <c r="FD639" s="14">
        <f t="shared" si="601"/>
        <v>2</v>
      </c>
      <c r="FE639" s="14" t="b">
        <f t="shared" si="618"/>
        <v>0</v>
      </c>
      <c r="FF639" s="14">
        <f t="shared" si="602"/>
        <v>2106102</v>
      </c>
      <c r="FG639" s="13" t="str">
        <f t="shared" si="603"/>
        <v>100级-普通守护灵の头盔</v>
      </c>
      <c r="FH639" s="14">
        <f t="shared" si="604"/>
        <v>2</v>
      </c>
      <c r="FI639" s="14">
        <f t="shared" si="605"/>
        <v>1</v>
      </c>
      <c r="FJ639" s="14">
        <f t="shared" si="606"/>
        <v>100</v>
      </c>
      <c r="FK639" s="14">
        <v>200</v>
      </c>
      <c r="FL639" s="14">
        <f t="shared" si="607"/>
        <v>6</v>
      </c>
      <c r="FM639" s="14">
        <f t="shared" si="628"/>
        <v>2</v>
      </c>
      <c r="FN639" s="14" t="str">
        <f t="shared" si="608"/>
        <v/>
      </c>
      <c r="FO639" s="14">
        <f t="shared" si="629"/>
        <v>60</v>
      </c>
      <c r="FP639" s="14">
        <f t="shared" si="619"/>
        <v>0</v>
      </c>
      <c r="FQ639" s="14">
        <f t="shared" si="620"/>
        <v>115</v>
      </c>
      <c r="FR639" s="14">
        <f t="shared" si="621"/>
        <v>0</v>
      </c>
      <c r="FS639" s="14">
        <f t="shared" si="622"/>
        <v>0</v>
      </c>
      <c r="FT639" s="14">
        <f t="shared" si="623"/>
        <v>6</v>
      </c>
      <c r="FU639" s="14">
        <f t="shared" si="624"/>
        <v>0</v>
      </c>
      <c r="FV639" s="14">
        <f t="shared" si="609"/>
        <v>2061</v>
      </c>
      <c r="FW639" s="14">
        <f t="shared" si="610"/>
        <v>0</v>
      </c>
      <c r="FX639" s="14" t="str">
        <f t="shared" si="611"/>
        <v/>
      </c>
      <c r="FY639" s="25" t="str">
        <f t="shared" si="625"/>
        <v>icon_2106102</v>
      </c>
      <c r="GC639" s="14">
        <f t="shared" si="612"/>
        <v>2</v>
      </c>
      <c r="GD639" s="14">
        <f t="shared" si="613"/>
        <v>0</v>
      </c>
      <c r="GE639" s="14">
        <f t="shared" si="630"/>
        <v>60</v>
      </c>
      <c r="GF639" s="14" t="str">
        <f t="shared" si="631"/>
        <v>DefExt</v>
      </c>
      <c r="GG639" s="14">
        <f t="shared" si="632"/>
        <v>115</v>
      </c>
      <c r="GH639" s="14">
        <f t="shared" si="633"/>
        <v>6</v>
      </c>
      <c r="GI639" s="14" t="str">
        <f t="shared" si="634"/>
        <v/>
      </c>
      <c r="GJ639" s="14" t="str">
        <f t="shared" si="635"/>
        <v/>
      </c>
      <c r="GK639" s="14" t="str">
        <f t="shared" si="636"/>
        <v/>
      </c>
      <c r="GL639" s="14">
        <f t="shared" si="614"/>
        <v>20610</v>
      </c>
      <c r="GM639" s="14">
        <f t="shared" si="637"/>
        <v>0</v>
      </c>
      <c r="GN639" s="14" t="str">
        <f t="shared" si="638"/>
        <v/>
      </c>
      <c r="GO639" s="25" t="s">
        <v>1471</v>
      </c>
      <c r="GP639" s="14">
        <f t="shared" si="615"/>
        <v>25</v>
      </c>
    </row>
    <row r="640" spans="151:198" ht="16.5" x14ac:dyDescent="0.2">
      <c r="EU640" s="13">
        <v>635</v>
      </c>
      <c r="EV640" s="14">
        <f t="shared" si="616"/>
        <v>2</v>
      </c>
      <c r="EW640" s="14">
        <f t="shared" si="626"/>
        <v>200</v>
      </c>
      <c r="EX640" s="14">
        <f t="shared" si="617"/>
        <v>27</v>
      </c>
      <c r="EY640" s="14">
        <f t="shared" si="627"/>
        <v>10</v>
      </c>
      <c r="EZ640" s="14">
        <f t="shared" si="597"/>
        <v>17</v>
      </c>
      <c r="FA640" s="14">
        <f t="shared" si="598"/>
        <v>100</v>
      </c>
      <c r="FB640" s="14">
        <f t="shared" si="599"/>
        <v>1</v>
      </c>
      <c r="FC640" s="14">
        <f t="shared" si="600"/>
        <v>3</v>
      </c>
      <c r="FD640" s="14">
        <f t="shared" si="601"/>
        <v>3</v>
      </c>
      <c r="FE640" s="14" t="b">
        <f t="shared" si="618"/>
        <v>0</v>
      </c>
      <c r="FF640" s="14">
        <f t="shared" si="602"/>
        <v>2106103</v>
      </c>
      <c r="FG640" s="13" t="str">
        <f t="shared" si="603"/>
        <v>100级-普通守护灵の铠甲</v>
      </c>
      <c r="FH640" s="14">
        <f t="shared" si="604"/>
        <v>2</v>
      </c>
      <c r="FI640" s="14">
        <f t="shared" si="605"/>
        <v>1</v>
      </c>
      <c r="FJ640" s="14">
        <f t="shared" si="606"/>
        <v>100</v>
      </c>
      <c r="FK640" s="14">
        <v>201</v>
      </c>
      <c r="FL640" s="14">
        <f t="shared" si="607"/>
        <v>6</v>
      </c>
      <c r="FM640" s="14">
        <f t="shared" si="628"/>
        <v>3</v>
      </c>
      <c r="FN640" s="14" t="str">
        <f t="shared" si="608"/>
        <v/>
      </c>
      <c r="FO640" s="14">
        <f t="shared" si="629"/>
        <v>84</v>
      </c>
      <c r="FP640" s="14">
        <f t="shared" si="619"/>
        <v>0</v>
      </c>
      <c r="FQ640" s="14">
        <f t="shared" si="620"/>
        <v>55</v>
      </c>
      <c r="FR640" s="14">
        <f t="shared" si="621"/>
        <v>975</v>
      </c>
      <c r="FS640" s="14">
        <f t="shared" si="622"/>
        <v>0</v>
      </c>
      <c r="FT640" s="14">
        <f t="shared" si="623"/>
        <v>3</v>
      </c>
      <c r="FU640" s="14">
        <f t="shared" si="624"/>
        <v>54</v>
      </c>
      <c r="FV640" s="14">
        <f t="shared" si="609"/>
        <v>2061</v>
      </c>
      <c r="FW640" s="14">
        <f t="shared" si="610"/>
        <v>0</v>
      </c>
      <c r="FX640" s="14" t="str">
        <f t="shared" si="611"/>
        <v/>
      </c>
      <c r="FY640" s="25" t="str">
        <f t="shared" si="625"/>
        <v>icon_2106103</v>
      </c>
      <c r="GC640" s="14">
        <f t="shared" si="612"/>
        <v>2</v>
      </c>
      <c r="GD640" s="14">
        <f t="shared" si="613"/>
        <v>3</v>
      </c>
      <c r="GE640" s="14">
        <f t="shared" si="630"/>
        <v>84</v>
      </c>
      <c r="GF640" s="14" t="str">
        <f t="shared" si="631"/>
        <v>DefExt</v>
      </c>
      <c r="GG640" s="14">
        <f t="shared" si="632"/>
        <v>55</v>
      </c>
      <c r="GH640" s="14">
        <f t="shared" si="633"/>
        <v>3</v>
      </c>
      <c r="GI640" s="14" t="str">
        <f t="shared" si="634"/>
        <v>HPExt</v>
      </c>
      <c r="GJ640" s="14">
        <f t="shared" si="635"/>
        <v>975</v>
      </c>
      <c r="GK640" s="14">
        <f t="shared" si="636"/>
        <v>54</v>
      </c>
      <c r="GL640" s="14">
        <f t="shared" si="614"/>
        <v>20610</v>
      </c>
      <c r="GM640" s="14">
        <f t="shared" si="637"/>
        <v>0</v>
      </c>
      <c r="GN640" s="14" t="str">
        <f t="shared" si="638"/>
        <v/>
      </c>
      <c r="GO640" s="25" t="s">
        <v>1471</v>
      </c>
      <c r="GP640" s="14">
        <f t="shared" si="615"/>
        <v>25</v>
      </c>
    </row>
    <row r="641" spans="151:198" ht="16.5" x14ac:dyDescent="0.2">
      <c r="EU641" s="13">
        <v>636</v>
      </c>
      <c r="EV641" s="14">
        <f t="shared" si="616"/>
        <v>2</v>
      </c>
      <c r="EW641" s="14">
        <f t="shared" si="626"/>
        <v>201</v>
      </c>
      <c r="EX641" s="14">
        <f t="shared" si="617"/>
        <v>27</v>
      </c>
      <c r="EY641" s="14">
        <f t="shared" si="627"/>
        <v>10</v>
      </c>
      <c r="EZ641" s="14">
        <f t="shared" si="597"/>
        <v>17</v>
      </c>
      <c r="FA641" s="14">
        <f t="shared" si="598"/>
        <v>100</v>
      </c>
      <c r="FB641" s="14">
        <f t="shared" si="599"/>
        <v>1</v>
      </c>
      <c r="FC641" s="14">
        <f t="shared" si="600"/>
        <v>4</v>
      </c>
      <c r="FD641" s="14">
        <f t="shared" si="601"/>
        <v>4</v>
      </c>
      <c r="FE641" s="14" t="b">
        <f t="shared" si="618"/>
        <v>0</v>
      </c>
      <c r="FF641" s="14">
        <f t="shared" si="602"/>
        <v>2106104</v>
      </c>
      <c r="FG641" s="13" t="str">
        <f t="shared" si="603"/>
        <v>100级-普通守护灵の裤子</v>
      </c>
      <c r="FH641" s="14">
        <f t="shared" si="604"/>
        <v>2</v>
      </c>
      <c r="FI641" s="14">
        <f t="shared" si="605"/>
        <v>1</v>
      </c>
      <c r="FJ641" s="14">
        <f t="shared" si="606"/>
        <v>100</v>
      </c>
      <c r="FK641" s="14">
        <v>202</v>
      </c>
      <c r="FL641" s="14">
        <f t="shared" si="607"/>
        <v>6</v>
      </c>
      <c r="FM641" s="14">
        <f t="shared" si="628"/>
        <v>4</v>
      </c>
      <c r="FN641" s="14" t="str">
        <f t="shared" si="608"/>
        <v/>
      </c>
      <c r="FO641" s="14">
        <f t="shared" si="629"/>
        <v>60</v>
      </c>
      <c r="FP641" s="14">
        <f t="shared" si="619"/>
        <v>0</v>
      </c>
      <c r="FQ641" s="14">
        <f t="shared" si="620"/>
        <v>115</v>
      </c>
      <c r="FR641" s="14">
        <f t="shared" si="621"/>
        <v>0</v>
      </c>
      <c r="FS641" s="14">
        <f t="shared" si="622"/>
        <v>0</v>
      </c>
      <c r="FT641" s="14">
        <f t="shared" si="623"/>
        <v>6</v>
      </c>
      <c r="FU641" s="14">
        <f t="shared" si="624"/>
        <v>0</v>
      </c>
      <c r="FV641" s="14">
        <f t="shared" si="609"/>
        <v>2061</v>
      </c>
      <c r="FW641" s="14">
        <f t="shared" si="610"/>
        <v>0</v>
      </c>
      <c r="FX641" s="14" t="str">
        <f t="shared" si="611"/>
        <v/>
      </c>
      <c r="FY641" s="25" t="str">
        <f t="shared" si="625"/>
        <v>icon_2106104</v>
      </c>
      <c r="GC641" s="14">
        <f t="shared" si="612"/>
        <v>2</v>
      </c>
      <c r="GD641" s="14">
        <f t="shared" si="613"/>
        <v>0</v>
      </c>
      <c r="GE641" s="14">
        <f t="shared" si="630"/>
        <v>60</v>
      </c>
      <c r="GF641" s="14" t="str">
        <f t="shared" si="631"/>
        <v>DefExt</v>
      </c>
      <c r="GG641" s="14">
        <f t="shared" si="632"/>
        <v>115</v>
      </c>
      <c r="GH641" s="14">
        <f t="shared" si="633"/>
        <v>6</v>
      </c>
      <c r="GI641" s="14" t="str">
        <f t="shared" si="634"/>
        <v/>
      </c>
      <c r="GJ641" s="14" t="str">
        <f t="shared" si="635"/>
        <v/>
      </c>
      <c r="GK641" s="14" t="str">
        <f t="shared" si="636"/>
        <v/>
      </c>
      <c r="GL641" s="14">
        <f t="shared" si="614"/>
        <v>20610</v>
      </c>
      <c r="GM641" s="14">
        <f t="shared" si="637"/>
        <v>0</v>
      </c>
      <c r="GN641" s="14" t="str">
        <f t="shared" si="638"/>
        <v/>
      </c>
      <c r="GO641" s="25" t="s">
        <v>1471</v>
      </c>
      <c r="GP641" s="14">
        <f t="shared" si="615"/>
        <v>25</v>
      </c>
    </row>
    <row r="642" spans="151:198" ht="16.5" x14ac:dyDescent="0.2">
      <c r="EU642" s="13">
        <v>637</v>
      </c>
      <c r="EV642" s="14">
        <f t="shared" si="616"/>
        <v>2</v>
      </c>
      <c r="EW642" s="14">
        <f t="shared" si="626"/>
        <v>202</v>
      </c>
      <c r="EX642" s="14">
        <f t="shared" si="617"/>
        <v>27</v>
      </c>
      <c r="EY642" s="14">
        <f t="shared" si="627"/>
        <v>10</v>
      </c>
      <c r="EZ642" s="14">
        <f t="shared" si="597"/>
        <v>17</v>
      </c>
      <c r="FA642" s="14">
        <f t="shared" si="598"/>
        <v>100</v>
      </c>
      <c r="FB642" s="14">
        <f t="shared" si="599"/>
        <v>1</v>
      </c>
      <c r="FC642" s="14">
        <f t="shared" si="600"/>
        <v>5</v>
      </c>
      <c r="FD642" s="14">
        <f t="shared" si="601"/>
        <v>5</v>
      </c>
      <c r="FE642" s="14" t="b">
        <f t="shared" si="618"/>
        <v>0</v>
      </c>
      <c r="FF642" s="14">
        <f t="shared" si="602"/>
        <v>2106105</v>
      </c>
      <c r="FG642" s="13" t="str">
        <f t="shared" si="603"/>
        <v>100级-普通守护灵の鞋子</v>
      </c>
      <c r="FH642" s="14">
        <f t="shared" si="604"/>
        <v>2</v>
      </c>
      <c r="FI642" s="14">
        <f t="shared" si="605"/>
        <v>1</v>
      </c>
      <c r="FJ642" s="14">
        <f t="shared" si="606"/>
        <v>100</v>
      </c>
      <c r="FK642" s="14">
        <v>203</v>
      </c>
      <c r="FL642" s="14">
        <f t="shared" si="607"/>
        <v>6</v>
      </c>
      <c r="FM642" s="14">
        <f t="shared" si="628"/>
        <v>5</v>
      </c>
      <c r="FN642" s="14" t="str">
        <f t="shared" si="608"/>
        <v/>
      </c>
      <c r="FO642" s="14">
        <f t="shared" si="629"/>
        <v>108</v>
      </c>
      <c r="FP642" s="14">
        <f t="shared" si="619"/>
        <v>0</v>
      </c>
      <c r="FQ642" s="14">
        <f t="shared" si="620"/>
        <v>0</v>
      </c>
      <c r="FR642" s="14">
        <f t="shared" si="621"/>
        <v>1950</v>
      </c>
      <c r="FS642" s="14">
        <f t="shared" si="622"/>
        <v>0</v>
      </c>
      <c r="FT642" s="14">
        <f t="shared" si="623"/>
        <v>0</v>
      </c>
      <c r="FU642" s="14">
        <f t="shared" si="624"/>
        <v>108</v>
      </c>
      <c r="FV642" s="14">
        <f t="shared" si="609"/>
        <v>2061</v>
      </c>
      <c r="FW642" s="14">
        <f t="shared" si="610"/>
        <v>0</v>
      </c>
      <c r="FX642" s="14" t="str">
        <f t="shared" si="611"/>
        <v/>
      </c>
      <c r="FY642" s="25" t="str">
        <f t="shared" si="625"/>
        <v>icon_2106105</v>
      </c>
      <c r="GC642" s="14">
        <f t="shared" si="612"/>
        <v>3</v>
      </c>
      <c r="GD642" s="14">
        <f t="shared" si="613"/>
        <v>0</v>
      </c>
      <c r="GE642" s="14">
        <f t="shared" si="630"/>
        <v>108</v>
      </c>
      <c r="GF642" s="14" t="str">
        <f t="shared" si="631"/>
        <v>HPExt</v>
      </c>
      <c r="GG642" s="14">
        <f t="shared" si="632"/>
        <v>1950</v>
      </c>
      <c r="GH642" s="14">
        <f t="shared" si="633"/>
        <v>108</v>
      </c>
      <c r="GI642" s="14" t="str">
        <f t="shared" si="634"/>
        <v/>
      </c>
      <c r="GJ642" s="14" t="str">
        <f t="shared" si="635"/>
        <v/>
      </c>
      <c r="GK642" s="14" t="str">
        <f t="shared" si="636"/>
        <v/>
      </c>
      <c r="GL642" s="14">
        <f t="shared" si="614"/>
        <v>20610</v>
      </c>
      <c r="GM642" s="14">
        <f t="shared" si="637"/>
        <v>0</v>
      </c>
      <c r="GN642" s="14" t="str">
        <f t="shared" si="638"/>
        <v/>
      </c>
      <c r="GO642" s="25" t="s">
        <v>1471</v>
      </c>
      <c r="GP642" s="14">
        <f t="shared" si="615"/>
        <v>25</v>
      </c>
    </row>
    <row r="643" spans="151:198" ht="16.5" x14ac:dyDescent="0.2">
      <c r="EU643" s="13">
        <v>638</v>
      </c>
      <c r="EV643" s="14">
        <f t="shared" si="616"/>
        <v>2</v>
      </c>
      <c r="EW643" s="14">
        <f t="shared" si="626"/>
        <v>203</v>
      </c>
      <c r="EX643" s="14">
        <f t="shared" si="617"/>
        <v>27</v>
      </c>
      <c r="EY643" s="14">
        <f t="shared" si="627"/>
        <v>10</v>
      </c>
      <c r="EZ643" s="14">
        <f t="shared" si="597"/>
        <v>17</v>
      </c>
      <c r="FA643" s="14">
        <f t="shared" si="598"/>
        <v>100</v>
      </c>
      <c r="FB643" s="14">
        <f t="shared" si="599"/>
        <v>1</v>
      </c>
      <c r="FC643" s="14">
        <f t="shared" si="600"/>
        <v>6</v>
      </c>
      <c r="FD643" s="14">
        <f t="shared" si="601"/>
        <v>6</v>
      </c>
      <c r="FE643" s="14" t="b">
        <f t="shared" si="618"/>
        <v>0</v>
      </c>
      <c r="FF643" s="14">
        <f t="shared" si="602"/>
        <v>2106106</v>
      </c>
      <c r="FG643" s="13" t="str">
        <f t="shared" si="603"/>
        <v>100级-普通守护灵の护手</v>
      </c>
      <c r="FH643" s="14">
        <f t="shared" si="604"/>
        <v>2</v>
      </c>
      <c r="FI643" s="14">
        <f t="shared" si="605"/>
        <v>1</v>
      </c>
      <c r="FJ643" s="14">
        <f t="shared" si="606"/>
        <v>100</v>
      </c>
      <c r="FK643" s="14">
        <v>204</v>
      </c>
      <c r="FL643" s="14">
        <f t="shared" si="607"/>
        <v>6</v>
      </c>
      <c r="FM643" s="14">
        <f t="shared" si="628"/>
        <v>6</v>
      </c>
      <c r="FN643" s="14" t="str">
        <f t="shared" si="608"/>
        <v/>
      </c>
      <c r="FO643" s="14">
        <f t="shared" si="629"/>
        <v>108</v>
      </c>
      <c r="FP643" s="14">
        <f t="shared" si="619"/>
        <v>0</v>
      </c>
      <c r="FQ643" s="14">
        <f t="shared" si="620"/>
        <v>0</v>
      </c>
      <c r="FR643" s="14">
        <f t="shared" si="621"/>
        <v>1950</v>
      </c>
      <c r="FS643" s="14">
        <f t="shared" si="622"/>
        <v>0</v>
      </c>
      <c r="FT643" s="14">
        <f t="shared" si="623"/>
        <v>0</v>
      </c>
      <c r="FU643" s="14">
        <f t="shared" si="624"/>
        <v>108</v>
      </c>
      <c r="FV643" s="14">
        <f t="shared" si="609"/>
        <v>2061</v>
      </c>
      <c r="FW643" s="14">
        <f t="shared" si="610"/>
        <v>0</v>
      </c>
      <c r="FX643" s="14" t="str">
        <f t="shared" si="611"/>
        <v/>
      </c>
      <c r="FY643" s="25" t="str">
        <f t="shared" si="625"/>
        <v>icon_2106106</v>
      </c>
      <c r="GC643" s="14">
        <f t="shared" si="612"/>
        <v>3</v>
      </c>
      <c r="GD643" s="14">
        <f t="shared" si="613"/>
        <v>0</v>
      </c>
      <c r="GE643" s="14">
        <f t="shared" si="630"/>
        <v>108</v>
      </c>
      <c r="GF643" s="14" t="str">
        <f t="shared" si="631"/>
        <v>HPExt</v>
      </c>
      <c r="GG643" s="14">
        <f t="shared" si="632"/>
        <v>1950</v>
      </c>
      <c r="GH643" s="14">
        <f t="shared" si="633"/>
        <v>108</v>
      </c>
      <c r="GI643" s="14" t="str">
        <f t="shared" si="634"/>
        <v/>
      </c>
      <c r="GJ643" s="14" t="str">
        <f t="shared" si="635"/>
        <v/>
      </c>
      <c r="GK643" s="14" t="str">
        <f t="shared" si="636"/>
        <v/>
      </c>
      <c r="GL643" s="14">
        <f t="shared" si="614"/>
        <v>20610</v>
      </c>
      <c r="GM643" s="14">
        <f t="shared" si="637"/>
        <v>0</v>
      </c>
      <c r="GN643" s="14" t="str">
        <f t="shared" si="638"/>
        <v/>
      </c>
      <c r="GO643" s="25" t="s">
        <v>1471</v>
      </c>
      <c r="GP643" s="14">
        <f t="shared" si="615"/>
        <v>25</v>
      </c>
    </row>
    <row r="644" spans="151:198" ht="16.5" x14ac:dyDescent="0.2">
      <c r="EU644" s="13">
        <v>639</v>
      </c>
      <c r="EV644" s="14">
        <f t="shared" si="616"/>
        <v>2</v>
      </c>
      <c r="EW644" s="14">
        <f t="shared" si="626"/>
        <v>204</v>
      </c>
      <c r="EX644" s="14">
        <f t="shared" si="617"/>
        <v>27</v>
      </c>
      <c r="EY644" s="14">
        <f t="shared" si="627"/>
        <v>10</v>
      </c>
      <c r="EZ644" s="14">
        <f t="shared" si="597"/>
        <v>17</v>
      </c>
      <c r="FA644" s="14">
        <f t="shared" si="598"/>
        <v>100</v>
      </c>
      <c r="FB644" s="14">
        <f t="shared" si="599"/>
        <v>1</v>
      </c>
      <c r="FC644" s="14">
        <f t="shared" si="600"/>
        <v>7</v>
      </c>
      <c r="FD644" s="14">
        <f t="shared" si="601"/>
        <v>7</v>
      </c>
      <c r="FE644" s="14" t="b">
        <f t="shared" si="618"/>
        <v>0</v>
      </c>
      <c r="FF644" s="14">
        <f t="shared" si="602"/>
        <v>2106107</v>
      </c>
      <c r="FG644" s="13" t="str">
        <f t="shared" si="603"/>
        <v>100级-普通守护灵の项链</v>
      </c>
      <c r="FH644" s="14">
        <f t="shared" si="604"/>
        <v>2</v>
      </c>
      <c r="FI644" s="14">
        <f t="shared" si="605"/>
        <v>1</v>
      </c>
      <c r="FJ644" s="14">
        <f t="shared" si="606"/>
        <v>100</v>
      </c>
      <c r="FK644" s="14">
        <v>205</v>
      </c>
      <c r="FL644" s="14">
        <f t="shared" si="607"/>
        <v>6</v>
      </c>
      <c r="FM644" s="14">
        <f t="shared" si="628"/>
        <v>7</v>
      </c>
      <c r="FN644" s="14" t="str">
        <f t="shared" si="608"/>
        <v/>
      </c>
      <c r="FO644" s="14">
        <f t="shared" si="629"/>
        <v>90</v>
      </c>
      <c r="FP644" s="14">
        <f t="shared" si="619"/>
        <v>150</v>
      </c>
      <c r="FQ644" s="14">
        <f t="shared" si="620"/>
        <v>95</v>
      </c>
      <c r="FR644" s="14">
        <f t="shared" si="621"/>
        <v>0</v>
      </c>
      <c r="FS644" s="14">
        <f t="shared" si="622"/>
        <v>8</v>
      </c>
      <c r="FT644" s="14">
        <f t="shared" si="623"/>
        <v>5</v>
      </c>
      <c r="FU644" s="14">
        <f t="shared" si="624"/>
        <v>0</v>
      </c>
      <c r="FV644" s="14">
        <f t="shared" si="609"/>
        <v>2061</v>
      </c>
      <c r="FW644" s="14">
        <f t="shared" si="610"/>
        <v>0</v>
      </c>
      <c r="FX644" s="14" t="str">
        <f t="shared" si="611"/>
        <v/>
      </c>
      <c r="FY644" s="25" t="str">
        <f t="shared" si="625"/>
        <v>icon_2106107</v>
      </c>
      <c r="GC644" s="14">
        <f t="shared" si="612"/>
        <v>1</v>
      </c>
      <c r="GD644" s="14">
        <f t="shared" si="613"/>
        <v>2</v>
      </c>
      <c r="GE644" s="14">
        <f t="shared" si="630"/>
        <v>90</v>
      </c>
      <c r="GF644" s="14" t="str">
        <f t="shared" si="631"/>
        <v>AtkExt</v>
      </c>
      <c r="GG644" s="14">
        <f t="shared" si="632"/>
        <v>150</v>
      </c>
      <c r="GH644" s="14">
        <f t="shared" si="633"/>
        <v>8</v>
      </c>
      <c r="GI644" s="14" t="str">
        <f t="shared" si="634"/>
        <v>DefExt</v>
      </c>
      <c r="GJ644" s="14">
        <f t="shared" si="635"/>
        <v>95</v>
      </c>
      <c r="GK644" s="14">
        <f t="shared" si="636"/>
        <v>5</v>
      </c>
      <c r="GL644" s="14">
        <f t="shared" si="614"/>
        <v>20610</v>
      </c>
      <c r="GM644" s="14">
        <f t="shared" si="637"/>
        <v>0</v>
      </c>
      <c r="GN644" s="14" t="str">
        <f t="shared" si="638"/>
        <v/>
      </c>
      <c r="GO644" s="25" t="s">
        <v>1471</v>
      </c>
      <c r="GP644" s="14">
        <f t="shared" si="615"/>
        <v>38</v>
      </c>
    </row>
    <row r="645" spans="151:198" ht="16.5" x14ac:dyDescent="0.2">
      <c r="EU645" s="13">
        <v>640</v>
      </c>
      <c r="EV645" s="14">
        <f t="shared" si="616"/>
        <v>2</v>
      </c>
      <c r="EW645" s="14">
        <f t="shared" si="626"/>
        <v>205</v>
      </c>
      <c r="EX645" s="14">
        <f t="shared" si="617"/>
        <v>27</v>
      </c>
      <c r="EY645" s="14">
        <f t="shared" si="627"/>
        <v>10</v>
      </c>
      <c r="EZ645" s="14">
        <f t="shared" si="597"/>
        <v>17</v>
      </c>
      <c r="FA645" s="14">
        <f t="shared" si="598"/>
        <v>100</v>
      </c>
      <c r="FB645" s="14">
        <f t="shared" si="599"/>
        <v>1</v>
      </c>
      <c r="FC645" s="14">
        <f t="shared" si="600"/>
        <v>8</v>
      </c>
      <c r="FD645" s="14">
        <f t="shared" si="601"/>
        <v>8</v>
      </c>
      <c r="FE645" s="14" t="b">
        <f t="shared" si="618"/>
        <v>0</v>
      </c>
      <c r="FF645" s="14">
        <f t="shared" si="602"/>
        <v>2106108</v>
      </c>
      <c r="FG645" s="13" t="str">
        <f t="shared" si="603"/>
        <v>100级-普通守护灵の戒指</v>
      </c>
      <c r="FH645" s="14">
        <f t="shared" si="604"/>
        <v>2</v>
      </c>
      <c r="FI645" s="14">
        <f t="shared" si="605"/>
        <v>1</v>
      </c>
      <c r="FJ645" s="14">
        <f t="shared" si="606"/>
        <v>100</v>
      </c>
      <c r="FK645" s="14">
        <v>206</v>
      </c>
      <c r="FL645" s="14">
        <f t="shared" si="607"/>
        <v>6</v>
      </c>
      <c r="FM645" s="14">
        <f t="shared" si="628"/>
        <v>8</v>
      </c>
      <c r="FN645" s="14" t="str">
        <f t="shared" si="608"/>
        <v/>
      </c>
      <c r="FO645" s="14">
        <f t="shared" si="629"/>
        <v>130</v>
      </c>
      <c r="FP645" s="14">
        <f t="shared" si="619"/>
        <v>150</v>
      </c>
      <c r="FQ645" s="14">
        <f t="shared" si="620"/>
        <v>0</v>
      </c>
      <c r="FR645" s="14">
        <f t="shared" si="621"/>
        <v>1625</v>
      </c>
      <c r="FS645" s="14">
        <f t="shared" si="622"/>
        <v>8</v>
      </c>
      <c r="FT645" s="14">
        <f t="shared" si="623"/>
        <v>0</v>
      </c>
      <c r="FU645" s="14">
        <f t="shared" si="624"/>
        <v>90</v>
      </c>
      <c r="FV645" s="14">
        <f t="shared" si="609"/>
        <v>2061</v>
      </c>
      <c r="FW645" s="14">
        <f t="shared" si="610"/>
        <v>0</v>
      </c>
      <c r="FX645" s="14" t="str">
        <f t="shared" si="611"/>
        <v/>
      </c>
      <c r="FY645" s="25" t="str">
        <f t="shared" si="625"/>
        <v>icon_2106108</v>
      </c>
      <c r="GC645" s="14">
        <f t="shared" si="612"/>
        <v>1</v>
      </c>
      <c r="GD645" s="14">
        <f t="shared" si="613"/>
        <v>3</v>
      </c>
      <c r="GE645" s="14">
        <f t="shared" si="630"/>
        <v>130</v>
      </c>
      <c r="GF645" s="14" t="str">
        <f t="shared" si="631"/>
        <v>AtkExt</v>
      </c>
      <c r="GG645" s="14">
        <f t="shared" si="632"/>
        <v>150</v>
      </c>
      <c r="GH645" s="14">
        <f t="shared" si="633"/>
        <v>8</v>
      </c>
      <c r="GI645" s="14" t="str">
        <f t="shared" si="634"/>
        <v>HPExt</v>
      </c>
      <c r="GJ645" s="14">
        <f t="shared" si="635"/>
        <v>1625</v>
      </c>
      <c r="GK645" s="14">
        <f t="shared" si="636"/>
        <v>90</v>
      </c>
      <c r="GL645" s="14">
        <f t="shared" si="614"/>
        <v>20610</v>
      </c>
      <c r="GM645" s="14">
        <f t="shared" si="637"/>
        <v>0</v>
      </c>
      <c r="GN645" s="14" t="str">
        <f t="shared" si="638"/>
        <v/>
      </c>
      <c r="GO645" s="25" t="s">
        <v>1471</v>
      </c>
      <c r="GP645" s="14">
        <f t="shared" si="615"/>
        <v>38</v>
      </c>
    </row>
    <row r="646" spans="151:198" ht="16.5" x14ac:dyDescent="0.2">
      <c r="EU646" s="13">
        <v>641</v>
      </c>
      <c r="EV646" s="14">
        <f t="shared" si="616"/>
        <v>2</v>
      </c>
      <c r="EW646" s="14">
        <f t="shared" si="626"/>
        <v>206</v>
      </c>
      <c r="EX646" s="14">
        <f t="shared" si="617"/>
        <v>28</v>
      </c>
      <c r="EY646" s="14">
        <f t="shared" si="627"/>
        <v>20</v>
      </c>
      <c r="EZ646" s="14">
        <f t="shared" ref="EZ646:EZ709" si="639">(EV646-1)*$EX$3+FL646</f>
        <v>17</v>
      </c>
      <c r="FA646" s="14">
        <f t="shared" ref="FA646:FA709" si="640">INDEX(AI$7:AI$64,$EX646)</f>
        <v>100</v>
      </c>
      <c r="FB646" s="14">
        <f t="shared" ref="FB646:FB709" si="641">INDEX(AJ$7:AJ$64,$EX646)</f>
        <v>2</v>
      </c>
      <c r="FC646" s="14">
        <f t="shared" ref="FC646:FC709" si="642">EW646-INDEX($AQ$6:$AQ$64,EX646)</f>
        <v>1</v>
      </c>
      <c r="FD646" s="14">
        <f t="shared" ref="FD646:FD709" si="643">INDEX($AR$7:$AY$64,EX646,EW646-INDEX($AQ$6:$AQ$64,EX646))</f>
        <v>1</v>
      </c>
      <c r="FE646" s="14" t="b">
        <f t="shared" si="618"/>
        <v>0</v>
      </c>
      <c r="FF646" s="14">
        <f t="shared" ref="FF646:FF709" si="644">INDEX($AN$7:$AN$64,EX646)*10+FD646+(EV646-1)*100000+2000000</f>
        <v>2106201</v>
      </c>
      <c r="FG646" s="13" t="str">
        <f t="shared" ref="FG646:FG709" si="645">INDEX($AL$7:$AL$64,EX646)&amp;"-"&amp;INDEX($AM$7:$AM$64,EX646)&amp;INDEX($BC$6:$BC$7,EV646)&amp;INDEX($AR$3:$AY$3,FD646)</f>
        <v>100级-优秀守护灵の灵器</v>
      </c>
      <c r="FH646" s="14">
        <f t="shared" ref="FH646:FH709" si="646">EV646</f>
        <v>2</v>
      </c>
      <c r="FI646" s="14">
        <f t="shared" ref="FI646:FI709" si="647">INDEX($AJ$7:$AJ$64,EX646)</f>
        <v>2</v>
      </c>
      <c r="FJ646" s="14">
        <f t="shared" ref="FJ646:FJ709" si="648">INDEX($AI$7:$AI$64,EX646)</f>
        <v>100</v>
      </c>
      <c r="FK646" s="14">
        <v>207</v>
      </c>
      <c r="FL646" s="14">
        <f t="shared" ref="FL646:FL709" si="649">INDEX(AH$7:AH$64,$EX646)</f>
        <v>6</v>
      </c>
      <c r="FM646" s="14">
        <f t="shared" si="628"/>
        <v>1</v>
      </c>
      <c r="FN646" s="14" t="str">
        <f t="shared" ref="FN646:FN709" si="650">IF(INDEX($AO$7:$AO$64,EX646)&gt;0,INDEX($AO$7:$AO$64,EX646) + (EV646-1)*10000+200000,"")</f>
        <v/>
      </c>
      <c r="FO646" s="14">
        <f t="shared" si="629"/>
        <v>175</v>
      </c>
      <c r="FP646" s="14">
        <f t="shared" si="619"/>
        <v>625</v>
      </c>
      <c r="FQ646" s="14">
        <f t="shared" si="620"/>
        <v>0</v>
      </c>
      <c r="FR646" s="14">
        <f t="shared" si="621"/>
        <v>0</v>
      </c>
      <c r="FS646" s="14">
        <f t="shared" si="622"/>
        <v>35</v>
      </c>
      <c r="FT646" s="14">
        <f t="shared" si="623"/>
        <v>0</v>
      </c>
      <c r="FU646" s="14">
        <f t="shared" si="624"/>
        <v>0</v>
      </c>
      <c r="FV646" s="14">
        <f t="shared" ref="FV646:FV709" si="651">FL646*10+FB646+EV646*1000</f>
        <v>2062</v>
      </c>
      <c r="FW646" s="14">
        <f t="shared" ref="FW646:FW709" si="652">INDEX($V$17:$Y$27,FL646,FB646)</f>
        <v>0</v>
      </c>
      <c r="FX646" s="14" t="str">
        <f t="shared" ref="FX646:FX709" si="653">IF(FB646&gt;2,FL646*10+FB646+EV646*1000,"")</f>
        <v/>
      </c>
      <c r="FY646" s="25" t="str">
        <f t="shared" si="625"/>
        <v>icon_2106101</v>
      </c>
      <c r="GC646" s="14">
        <f t="shared" ref="GC646:GC709" si="654">INDEX(BL$6:BL$13,$FM646)</f>
        <v>1</v>
      </c>
      <c r="GD646" s="14">
        <f t="shared" ref="GD646:GD709" si="655">INDEX(BM$6:BM$13,$FM646)</f>
        <v>0</v>
      </c>
      <c r="GE646" s="14">
        <f t="shared" si="630"/>
        <v>175</v>
      </c>
      <c r="GF646" s="14" t="str">
        <f t="shared" si="631"/>
        <v>AtkExt</v>
      </c>
      <c r="GG646" s="14">
        <f t="shared" si="632"/>
        <v>625</v>
      </c>
      <c r="GH646" s="14">
        <f t="shared" si="633"/>
        <v>35</v>
      </c>
      <c r="GI646" s="14" t="str">
        <f t="shared" si="634"/>
        <v/>
      </c>
      <c r="GJ646" s="14" t="str">
        <f t="shared" si="635"/>
        <v/>
      </c>
      <c r="GK646" s="14" t="str">
        <f t="shared" si="636"/>
        <v/>
      </c>
      <c r="GL646" s="14">
        <f t="shared" ref="GL646:GL709" si="656">20000+FL646*100+FB646*10</f>
        <v>20620</v>
      </c>
      <c r="GM646" s="14">
        <f t="shared" si="637"/>
        <v>0</v>
      </c>
      <c r="GN646" s="14" t="str">
        <f t="shared" si="638"/>
        <v/>
      </c>
      <c r="GO646" s="25" t="s">
        <v>1471</v>
      </c>
      <c r="GP646" s="14">
        <f t="shared" ref="GP646:GP709" si="657">ROUND(INDEX($AA$17:$AD$27,FL646,FB646)*INDEX($BK$6:$BK$13,FM646),0)</f>
        <v>150</v>
      </c>
    </row>
    <row r="647" spans="151:198" ht="16.5" x14ac:dyDescent="0.2">
      <c r="EU647" s="13">
        <v>642</v>
      </c>
      <c r="EV647" s="14">
        <f t="shared" ref="EV647:EV710" si="658">IF(EU647&lt;=$EV$3,1,2)</f>
        <v>2</v>
      </c>
      <c r="EW647" s="14">
        <f t="shared" si="626"/>
        <v>207</v>
      </c>
      <c r="EX647" s="14">
        <f t="shared" ref="EX647:EX710" si="659">MATCH(EW647-1,$AQ$6:$AQ$64,1)</f>
        <v>28</v>
      </c>
      <c r="EY647" s="14">
        <f t="shared" si="627"/>
        <v>20</v>
      </c>
      <c r="EZ647" s="14">
        <f t="shared" si="639"/>
        <v>17</v>
      </c>
      <c r="FA647" s="14">
        <f t="shared" si="640"/>
        <v>100</v>
      </c>
      <c r="FB647" s="14">
        <f t="shared" si="641"/>
        <v>2</v>
      </c>
      <c r="FC647" s="14">
        <f t="shared" si="642"/>
        <v>2</v>
      </c>
      <c r="FD647" s="14">
        <f t="shared" si="643"/>
        <v>2</v>
      </c>
      <c r="FE647" s="14" t="b">
        <f t="shared" ref="FE647:FE710" si="660">IF(FN647="",FALSE,TRUE)</f>
        <v>0</v>
      </c>
      <c r="FF647" s="14">
        <f t="shared" si="644"/>
        <v>2106202</v>
      </c>
      <c r="FG647" s="13" t="str">
        <f t="shared" si="645"/>
        <v>100级-优秀守护灵の头盔</v>
      </c>
      <c r="FH647" s="14">
        <f t="shared" si="646"/>
        <v>2</v>
      </c>
      <c r="FI647" s="14">
        <f t="shared" si="647"/>
        <v>2</v>
      </c>
      <c r="FJ647" s="14">
        <f t="shared" si="648"/>
        <v>100</v>
      </c>
      <c r="FK647" s="14">
        <v>208</v>
      </c>
      <c r="FL647" s="14">
        <f t="shared" si="649"/>
        <v>6</v>
      </c>
      <c r="FM647" s="14">
        <f t="shared" si="628"/>
        <v>2</v>
      </c>
      <c r="FN647" s="14" t="str">
        <f t="shared" si="650"/>
        <v/>
      </c>
      <c r="FO647" s="14">
        <f t="shared" si="629"/>
        <v>90</v>
      </c>
      <c r="FP647" s="14">
        <f t="shared" ref="FP647:FP710" si="661">ROUND(INDEX(M$6:M$27,$EZ647)*INDEX(BH$6:BH$13,$FD647)*INDEX($BR$6:$BR$9,FI647)/5,0)*5</f>
        <v>0</v>
      </c>
      <c r="FQ647" s="14">
        <f t="shared" ref="FQ647:FQ710" si="662">ROUND(INDEX(N$6:N$27,$EZ647)*INDEX(BI$6:BI$13,$FD647)*INDEX($BR$6:$BR$9,FI647)/5,0)*5</f>
        <v>160</v>
      </c>
      <c r="FR647" s="14">
        <f t="shared" ref="FR647:FR710" si="663">ROUND(INDEX(O$6:O$27,$EZ647)*INDEX(BJ$6:BJ$13,$FD647)*INDEX($BR$6:$BR$9,FI647)/5,0)*5</f>
        <v>0</v>
      </c>
      <c r="FS647" s="14">
        <f t="shared" ref="FS647:FS710" si="664">ROUND(INDEX(S$6:S$27,$EZ647)*INDEX(BH$6:BH$13,$FD647)*INDEX($BR$6:$BR$9,FI647),0)</f>
        <v>0</v>
      </c>
      <c r="FT647" s="14">
        <f t="shared" ref="FT647:FT710" si="665">ROUND(INDEX(T$6:T$27,$EZ647)*INDEX(BI$6:BI$13,$FD647)*INDEX($BR$6:$BR$9,FI647),0)</f>
        <v>9</v>
      </c>
      <c r="FU647" s="14">
        <f t="shared" ref="FU647:FU710" si="666">ROUND(INDEX(U$6:U$27,$EZ647)*INDEX(BJ$6:BJ$13,$FD647)*INDEX($BR$6:$BR$9,FI647),0)</f>
        <v>0</v>
      </c>
      <c r="FV647" s="14">
        <f t="shared" si="651"/>
        <v>2062</v>
      </c>
      <c r="FW647" s="14">
        <f t="shared" si="652"/>
        <v>0</v>
      </c>
      <c r="FX647" s="14" t="str">
        <f t="shared" si="653"/>
        <v/>
      </c>
      <c r="FY647" s="25" t="str">
        <f t="shared" ref="FY647:FY710" si="667">IF(FE647,"icon_"&amp;FF647,FY$2&amp;INDEX($ES$6:$ES$7,EV647)*100000+FL647*1000+100+FD647)</f>
        <v>icon_2106102</v>
      </c>
      <c r="GC647" s="14">
        <f t="shared" si="654"/>
        <v>2</v>
      </c>
      <c r="GD647" s="14">
        <f t="shared" si="655"/>
        <v>0</v>
      </c>
      <c r="GE647" s="14">
        <f t="shared" si="630"/>
        <v>90</v>
      </c>
      <c r="GF647" s="14" t="str">
        <f t="shared" si="631"/>
        <v>DefExt</v>
      </c>
      <c r="GG647" s="14">
        <f t="shared" si="632"/>
        <v>160</v>
      </c>
      <c r="GH647" s="14">
        <f t="shared" si="633"/>
        <v>9</v>
      </c>
      <c r="GI647" s="14" t="str">
        <f t="shared" si="634"/>
        <v/>
      </c>
      <c r="GJ647" s="14" t="str">
        <f t="shared" si="635"/>
        <v/>
      </c>
      <c r="GK647" s="14" t="str">
        <f t="shared" si="636"/>
        <v/>
      </c>
      <c r="GL647" s="14">
        <f t="shared" si="656"/>
        <v>20620</v>
      </c>
      <c r="GM647" s="14">
        <f t="shared" si="637"/>
        <v>0</v>
      </c>
      <c r="GN647" s="14" t="str">
        <f t="shared" si="638"/>
        <v/>
      </c>
      <c r="GO647" s="25" t="s">
        <v>1471</v>
      </c>
      <c r="GP647" s="14">
        <f t="shared" si="657"/>
        <v>75</v>
      </c>
    </row>
    <row r="648" spans="151:198" ht="16.5" x14ac:dyDescent="0.2">
      <c r="EU648" s="13">
        <v>643</v>
      </c>
      <c r="EV648" s="14">
        <f t="shared" si="658"/>
        <v>2</v>
      </c>
      <c r="EW648" s="14">
        <f t="shared" si="626"/>
        <v>208</v>
      </c>
      <c r="EX648" s="14">
        <f t="shared" si="659"/>
        <v>28</v>
      </c>
      <c r="EY648" s="14">
        <f t="shared" si="627"/>
        <v>20</v>
      </c>
      <c r="EZ648" s="14">
        <f t="shared" si="639"/>
        <v>17</v>
      </c>
      <c r="FA648" s="14">
        <f t="shared" si="640"/>
        <v>100</v>
      </c>
      <c r="FB648" s="14">
        <f t="shared" si="641"/>
        <v>2</v>
      </c>
      <c r="FC648" s="14">
        <f t="shared" si="642"/>
        <v>3</v>
      </c>
      <c r="FD648" s="14">
        <f t="shared" si="643"/>
        <v>3</v>
      </c>
      <c r="FE648" s="14" t="b">
        <f t="shared" si="660"/>
        <v>0</v>
      </c>
      <c r="FF648" s="14">
        <f t="shared" si="644"/>
        <v>2106203</v>
      </c>
      <c r="FG648" s="13" t="str">
        <f t="shared" si="645"/>
        <v>100级-优秀守护灵の铠甲</v>
      </c>
      <c r="FH648" s="14">
        <f t="shared" si="646"/>
        <v>2</v>
      </c>
      <c r="FI648" s="14">
        <f t="shared" si="647"/>
        <v>2</v>
      </c>
      <c r="FJ648" s="14">
        <f t="shared" si="648"/>
        <v>100</v>
      </c>
      <c r="FK648" s="14">
        <v>209</v>
      </c>
      <c r="FL648" s="14">
        <f t="shared" si="649"/>
        <v>6</v>
      </c>
      <c r="FM648" s="14">
        <f t="shared" si="628"/>
        <v>3</v>
      </c>
      <c r="FN648" s="14" t="str">
        <f t="shared" si="650"/>
        <v/>
      </c>
      <c r="FO648" s="14">
        <f t="shared" si="629"/>
        <v>116</v>
      </c>
      <c r="FP648" s="14">
        <f t="shared" si="661"/>
        <v>0</v>
      </c>
      <c r="FQ648" s="14">
        <f t="shared" si="662"/>
        <v>80</v>
      </c>
      <c r="FR648" s="14">
        <f t="shared" si="663"/>
        <v>1365</v>
      </c>
      <c r="FS648" s="14">
        <f t="shared" si="664"/>
        <v>0</v>
      </c>
      <c r="FT648" s="14">
        <f t="shared" si="665"/>
        <v>4</v>
      </c>
      <c r="FU648" s="14">
        <f t="shared" si="666"/>
        <v>76</v>
      </c>
      <c r="FV648" s="14">
        <f t="shared" si="651"/>
        <v>2062</v>
      </c>
      <c r="FW648" s="14">
        <f t="shared" si="652"/>
        <v>0</v>
      </c>
      <c r="FX648" s="14" t="str">
        <f t="shared" si="653"/>
        <v/>
      </c>
      <c r="FY648" s="25" t="str">
        <f t="shared" si="667"/>
        <v>icon_2106103</v>
      </c>
      <c r="GC648" s="14">
        <f t="shared" si="654"/>
        <v>2</v>
      </c>
      <c r="GD648" s="14">
        <f t="shared" si="655"/>
        <v>3</v>
      </c>
      <c r="GE648" s="14">
        <f t="shared" si="630"/>
        <v>116</v>
      </c>
      <c r="GF648" s="14" t="str">
        <f t="shared" si="631"/>
        <v>DefExt</v>
      </c>
      <c r="GG648" s="14">
        <f t="shared" si="632"/>
        <v>80</v>
      </c>
      <c r="GH648" s="14">
        <f t="shared" si="633"/>
        <v>4</v>
      </c>
      <c r="GI648" s="14" t="str">
        <f t="shared" si="634"/>
        <v>HPExt</v>
      </c>
      <c r="GJ648" s="14">
        <f t="shared" si="635"/>
        <v>1365</v>
      </c>
      <c r="GK648" s="14">
        <f t="shared" si="636"/>
        <v>76</v>
      </c>
      <c r="GL648" s="14">
        <f t="shared" si="656"/>
        <v>20620</v>
      </c>
      <c r="GM648" s="14">
        <f t="shared" si="637"/>
        <v>0</v>
      </c>
      <c r="GN648" s="14" t="str">
        <f t="shared" si="638"/>
        <v/>
      </c>
      <c r="GO648" s="25" t="s">
        <v>1471</v>
      </c>
      <c r="GP648" s="14">
        <f t="shared" si="657"/>
        <v>75</v>
      </c>
    </row>
    <row r="649" spans="151:198" ht="16.5" x14ac:dyDescent="0.2">
      <c r="EU649" s="13">
        <v>644</v>
      </c>
      <c r="EV649" s="14">
        <f t="shared" si="658"/>
        <v>2</v>
      </c>
      <c r="EW649" s="14">
        <f t="shared" si="626"/>
        <v>209</v>
      </c>
      <c r="EX649" s="14">
        <f t="shared" si="659"/>
        <v>28</v>
      </c>
      <c r="EY649" s="14">
        <f t="shared" si="627"/>
        <v>20</v>
      </c>
      <c r="EZ649" s="14">
        <f t="shared" si="639"/>
        <v>17</v>
      </c>
      <c r="FA649" s="14">
        <f t="shared" si="640"/>
        <v>100</v>
      </c>
      <c r="FB649" s="14">
        <f t="shared" si="641"/>
        <v>2</v>
      </c>
      <c r="FC649" s="14">
        <f t="shared" si="642"/>
        <v>4</v>
      </c>
      <c r="FD649" s="14">
        <f t="shared" si="643"/>
        <v>4</v>
      </c>
      <c r="FE649" s="14" t="b">
        <f t="shared" si="660"/>
        <v>0</v>
      </c>
      <c r="FF649" s="14">
        <f t="shared" si="644"/>
        <v>2106204</v>
      </c>
      <c r="FG649" s="13" t="str">
        <f t="shared" si="645"/>
        <v>100级-优秀守护灵の裤子</v>
      </c>
      <c r="FH649" s="14">
        <f t="shared" si="646"/>
        <v>2</v>
      </c>
      <c r="FI649" s="14">
        <f t="shared" si="647"/>
        <v>2</v>
      </c>
      <c r="FJ649" s="14">
        <f t="shared" si="648"/>
        <v>100</v>
      </c>
      <c r="FK649" s="14">
        <v>210</v>
      </c>
      <c r="FL649" s="14">
        <f t="shared" si="649"/>
        <v>6</v>
      </c>
      <c r="FM649" s="14">
        <f t="shared" si="628"/>
        <v>4</v>
      </c>
      <c r="FN649" s="14" t="str">
        <f t="shared" si="650"/>
        <v/>
      </c>
      <c r="FO649" s="14">
        <f t="shared" si="629"/>
        <v>90</v>
      </c>
      <c r="FP649" s="14">
        <f t="shared" si="661"/>
        <v>0</v>
      </c>
      <c r="FQ649" s="14">
        <f t="shared" si="662"/>
        <v>160</v>
      </c>
      <c r="FR649" s="14">
        <f t="shared" si="663"/>
        <v>0</v>
      </c>
      <c r="FS649" s="14">
        <f t="shared" si="664"/>
        <v>0</v>
      </c>
      <c r="FT649" s="14">
        <f t="shared" si="665"/>
        <v>9</v>
      </c>
      <c r="FU649" s="14">
        <f t="shared" si="666"/>
        <v>0</v>
      </c>
      <c r="FV649" s="14">
        <f t="shared" si="651"/>
        <v>2062</v>
      </c>
      <c r="FW649" s="14">
        <f t="shared" si="652"/>
        <v>0</v>
      </c>
      <c r="FX649" s="14" t="str">
        <f t="shared" si="653"/>
        <v/>
      </c>
      <c r="FY649" s="25" t="str">
        <f t="shared" si="667"/>
        <v>icon_2106104</v>
      </c>
      <c r="GC649" s="14">
        <f t="shared" si="654"/>
        <v>2</v>
      </c>
      <c r="GD649" s="14">
        <f t="shared" si="655"/>
        <v>0</v>
      </c>
      <c r="GE649" s="14">
        <f t="shared" si="630"/>
        <v>90</v>
      </c>
      <c r="GF649" s="14" t="str">
        <f t="shared" si="631"/>
        <v>DefExt</v>
      </c>
      <c r="GG649" s="14">
        <f t="shared" si="632"/>
        <v>160</v>
      </c>
      <c r="GH649" s="14">
        <f t="shared" si="633"/>
        <v>9</v>
      </c>
      <c r="GI649" s="14" t="str">
        <f t="shared" si="634"/>
        <v/>
      </c>
      <c r="GJ649" s="14" t="str">
        <f t="shared" si="635"/>
        <v/>
      </c>
      <c r="GK649" s="14" t="str">
        <f t="shared" si="636"/>
        <v/>
      </c>
      <c r="GL649" s="14">
        <f t="shared" si="656"/>
        <v>20620</v>
      </c>
      <c r="GM649" s="14">
        <f t="shared" si="637"/>
        <v>0</v>
      </c>
      <c r="GN649" s="14" t="str">
        <f t="shared" si="638"/>
        <v/>
      </c>
      <c r="GO649" s="25" t="s">
        <v>1471</v>
      </c>
      <c r="GP649" s="14">
        <f t="shared" si="657"/>
        <v>75</v>
      </c>
    </row>
    <row r="650" spans="151:198" ht="16.5" x14ac:dyDescent="0.2">
      <c r="EU650" s="13">
        <v>645</v>
      </c>
      <c r="EV650" s="14">
        <f t="shared" si="658"/>
        <v>2</v>
      </c>
      <c r="EW650" s="14">
        <f t="shared" si="626"/>
        <v>210</v>
      </c>
      <c r="EX650" s="14">
        <f t="shared" si="659"/>
        <v>28</v>
      </c>
      <c r="EY650" s="14">
        <f t="shared" si="627"/>
        <v>20</v>
      </c>
      <c r="EZ650" s="14">
        <f t="shared" si="639"/>
        <v>17</v>
      </c>
      <c r="FA650" s="14">
        <f t="shared" si="640"/>
        <v>100</v>
      </c>
      <c r="FB650" s="14">
        <f t="shared" si="641"/>
        <v>2</v>
      </c>
      <c r="FC650" s="14">
        <f t="shared" si="642"/>
        <v>5</v>
      </c>
      <c r="FD650" s="14">
        <f t="shared" si="643"/>
        <v>5</v>
      </c>
      <c r="FE650" s="14" t="b">
        <f t="shared" si="660"/>
        <v>0</v>
      </c>
      <c r="FF650" s="14">
        <f t="shared" si="644"/>
        <v>2106205</v>
      </c>
      <c r="FG650" s="13" t="str">
        <f t="shared" si="645"/>
        <v>100级-优秀守护灵の鞋子</v>
      </c>
      <c r="FH650" s="14">
        <f t="shared" si="646"/>
        <v>2</v>
      </c>
      <c r="FI650" s="14">
        <f t="shared" si="647"/>
        <v>2</v>
      </c>
      <c r="FJ650" s="14">
        <f t="shared" si="648"/>
        <v>100</v>
      </c>
      <c r="FK650" s="14">
        <v>211</v>
      </c>
      <c r="FL650" s="14">
        <f t="shared" si="649"/>
        <v>6</v>
      </c>
      <c r="FM650" s="14">
        <f t="shared" si="628"/>
        <v>5</v>
      </c>
      <c r="FN650" s="14" t="str">
        <f t="shared" si="650"/>
        <v/>
      </c>
      <c r="FO650" s="14">
        <f t="shared" si="629"/>
        <v>152</v>
      </c>
      <c r="FP650" s="14">
        <f t="shared" si="661"/>
        <v>0</v>
      </c>
      <c r="FQ650" s="14">
        <f t="shared" si="662"/>
        <v>0</v>
      </c>
      <c r="FR650" s="14">
        <f t="shared" si="663"/>
        <v>2730</v>
      </c>
      <c r="FS650" s="14">
        <f t="shared" si="664"/>
        <v>0</v>
      </c>
      <c r="FT650" s="14">
        <f t="shared" si="665"/>
        <v>0</v>
      </c>
      <c r="FU650" s="14">
        <f t="shared" si="666"/>
        <v>152</v>
      </c>
      <c r="FV650" s="14">
        <f t="shared" si="651"/>
        <v>2062</v>
      </c>
      <c r="FW650" s="14">
        <f t="shared" si="652"/>
        <v>0</v>
      </c>
      <c r="FX650" s="14" t="str">
        <f t="shared" si="653"/>
        <v/>
      </c>
      <c r="FY650" s="25" t="str">
        <f t="shared" si="667"/>
        <v>icon_2106105</v>
      </c>
      <c r="GC650" s="14">
        <f t="shared" si="654"/>
        <v>3</v>
      </c>
      <c r="GD650" s="14">
        <f t="shared" si="655"/>
        <v>0</v>
      </c>
      <c r="GE650" s="14">
        <f t="shared" si="630"/>
        <v>152</v>
      </c>
      <c r="GF650" s="14" t="str">
        <f t="shared" si="631"/>
        <v>HPExt</v>
      </c>
      <c r="GG650" s="14">
        <f t="shared" si="632"/>
        <v>2730</v>
      </c>
      <c r="GH650" s="14">
        <f t="shared" si="633"/>
        <v>152</v>
      </c>
      <c r="GI650" s="14" t="str">
        <f t="shared" si="634"/>
        <v/>
      </c>
      <c r="GJ650" s="14" t="str">
        <f t="shared" si="635"/>
        <v/>
      </c>
      <c r="GK650" s="14" t="str">
        <f t="shared" si="636"/>
        <v/>
      </c>
      <c r="GL650" s="14">
        <f t="shared" si="656"/>
        <v>20620</v>
      </c>
      <c r="GM650" s="14">
        <f t="shared" si="637"/>
        <v>0</v>
      </c>
      <c r="GN650" s="14" t="str">
        <f t="shared" si="638"/>
        <v/>
      </c>
      <c r="GO650" s="25" t="s">
        <v>1471</v>
      </c>
      <c r="GP650" s="14">
        <f t="shared" si="657"/>
        <v>75</v>
      </c>
    </row>
    <row r="651" spans="151:198" ht="16.5" x14ac:dyDescent="0.2">
      <c r="EU651" s="13">
        <v>646</v>
      </c>
      <c r="EV651" s="14">
        <f t="shared" si="658"/>
        <v>2</v>
      </c>
      <c r="EW651" s="14">
        <f t="shared" si="626"/>
        <v>211</v>
      </c>
      <c r="EX651" s="14">
        <f t="shared" si="659"/>
        <v>28</v>
      </c>
      <c r="EY651" s="14">
        <f t="shared" si="627"/>
        <v>20</v>
      </c>
      <c r="EZ651" s="14">
        <f t="shared" si="639"/>
        <v>17</v>
      </c>
      <c r="FA651" s="14">
        <f t="shared" si="640"/>
        <v>100</v>
      </c>
      <c r="FB651" s="14">
        <f t="shared" si="641"/>
        <v>2</v>
      </c>
      <c r="FC651" s="14">
        <f t="shared" si="642"/>
        <v>6</v>
      </c>
      <c r="FD651" s="14">
        <f t="shared" si="643"/>
        <v>6</v>
      </c>
      <c r="FE651" s="14" t="b">
        <f t="shared" si="660"/>
        <v>0</v>
      </c>
      <c r="FF651" s="14">
        <f t="shared" si="644"/>
        <v>2106206</v>
      </c>
      <c r="FG651" s="13" t="str">
        <f t="shared" si="645"/>
        <v>100级-优秀守护灵の护手</v>
      </c>
      <c r="FH651" s="14">
        <f t="shared" si="646"/>
        <v>2</v>
      </c>
      <c r="FI651" s="14">
        <f t="shared" si="647"/>
        <v>2</v>
      </c>
      <c r="FJ651" s="14">
        <f t="shared" si="648"/>
        <v>100</v>
      </c>
      <c r="FK651" s="14">
        <v>212</v>
      </c>
      <c r="FL651" s="14">
        <f t="shared" si="649"/>
        <v>6</v>
      </c>
      <c r="FM651" s="14">
        <f t="shared" si="628"/>
        <v>6</v>
      </c>
      <c r="FN651" s="14" t="str">
        <f t="shared" si="650"/>
        <v/>
      </c>
      <c r="FO651" s="14">
        <f t="shared" si="629"/>
        <v>152</v>
      </c>
      <c r="FP651" s="14">
        <f t="shared" si="661"/>
        <v>0</v>
      </c>
      <c r="FQ651" s="14">
        <f t="shared" si="662"/>
        <v>0</v>
      </c>
      <c r="FR651" s="14">
        <f t="shared" si="663"/>
        <v>2730</v>
      </c>
      <c r="FS651" s="14">
        <f t="shared" si="664"/>
        <v>0</v>
      </c>
      <c r="FT651" s="14">
        <f t="shared" si="665"/>
        <v>0</v>
      </c>
      <c r="FU651" s="14">
        <f t="shared" si="666"/>
        <v>152</v>
      </c>
      <c r="FV651" s="14">
        <f t="shared" si="651"/>
        <v>2062</v>
      </c>
      <c r="FW651" s="14">
        <f t="shared" si="652"/>
        <v>0</v>
      </c>
      <c r="FX651" s="14" t="str">
        <f t="shared" si="653"/>
        <v/>
      </c>
      <c r="FY651" s="25" t="str">
        <f t="shared" si="667"/>
        <v>icon_2106106</v>
      </c>
      <c r="GC651" s="14">
        <f t="shared" si="654"/>
        <v>3</v>
      </c>
      <c r="GD651" s="14">
        <f t="shared" si="655"/>
        <v>0</v>
      </c>
      <c r="GE651" s="14">
        <f t="shared" si="630"/>
        <v>152</v>
      </c>
      <c r="GF651" s="14" t="str">
        <f t="shared" si="631"/>
        <v>HPExt</v>
      </c>
      <c r="GG651" s="14">
        <f t="shared" si="632"/>
        <v>2730</v>
      </c>
      <c r="GH651" s="14">
        <f t="shared" si="633"/>
        <v>152</v>
      </c>
      <c r="GI651" s="14" t="str">
        <f t="shared" si="634"/>
        <v/>
      </c>
      <c r="GJ651" s="14" t="str">
        <f t="shared" si="635"/>
        <v/>
      </c>
      <c r="GK651" s="14" t="str">
        <f t="shared" si="636"/>
        <v/>
      </c>
      <c r="GL651" s="14">
        <f t="shared" si="656"/>
        <v>20620</v>
      </c>
      <c r="GM651" s="14">
        <f t="shared" si="637"/>
        <v>0</v>
      </c>
      <c r="GN651" s="14" t="str">
        <f t="shared" si="638"/>
        <v/>
      </c>
      <c r="GO651" s="25" t="s">
        <v>1471</v>
      </c>
      <c r="GP651" s="14">
        <f t="shared" si="657"/>
        <v>75</v>
      </c>
    </row>
    <row r="652" spans="151:198" ht="16.5" x14ac:dyDescent="0.2">
      <c r="EU652" s="13">
        <v>647</v>
      </c>
      <c r="EV652" s="14">
        <f t="shared" si="658"/>
        <v>2</v>
      </c>
      <c r="EW652" s="14">
        <f t="shared" si="626"/>
        <v>212</v>
      </c>
      <c r="EX652" s="14">
        <f t="shared" si="659"/>
        <v>28</v>
      </c>
      <c r="EY652" s="14">
        <f t="shared" si="627"/>
        <v>20</v>
      </c>
      <c r="EZ652" s="14">
        <f t="shared" si="639"/>
        <v>17</v>
      </c>
      <c r="FA652" s="14">
        <f t="shared" si="640"/>
        <v>100</v>
      </c>
      <c r="FB652" s="14">
        <f t="shared" si="641"/>
        <v>2</v>
      </c>
      <c r="FC652" s="14">
        <f t="shared" si="642"/>
        <v>7</v>
      </c>
      <c r="FD652" s="14">
        <f t="shared" si="643"/>
        <v>7</v>
      </c>
      <c r="FE652" s="14" t="b">
        <f t="shared" si="660"/>
        <v>0</v>
      </c>
      <c r="FF652" s="14">
        <f t="shared" si="644"/>
        <v>2106207</v>
      </c>
      <c r="FG652" s="13" t="str">
        <f t="shared" si="645"/>
        <v>100级-优秀守护灵の项链</v>
      </c>
      <c r="FH652" s="14">
        <f t="shared" si="646"/>
        <v>2</v>
      </c>
      <c r="FI652" s="14">
        <f t="shared" si="647"/>
        <v>2</v>
      </c>
      <c r="FJ652" s="14">
        <f t="shared" si="648"/>
        <v>100</v>
      </c>
      <c r="FK652" s="14">
        <v>213</v>
      </c>
      <c r="FL652" s="14">
        <f t="shared" si="649"/>
        <v>6</v>
      </c>
      <c r="FM652" s="14">
        <f t="shared" si="628"/>
        <v>7</v>
      </c>
      <c r="FN652" s="14" t="str">
        <f t="shared" si="650"/>
        <v/>
      </c>
      <c r="FO652" s="14">
        <f t="shared" si="629"/>
        <v>130</v>
      </c>
      <c r="FP652" s="14">
        <f t="shared" si="661"/>
        <v>210</v>
      </c>
      <c r="FQ652" s="14">
        <f t="shared" si="662"/>
        <v>130</v>
      </c>
      <c r="FR652" s="14">
        <f t="shared" si="663"/>
        <v>0</v>
      </c>
      <c r="FS652" s="14">
        <f t="shared" si="664"/>
        <v>12</v>
      </c>
      <c r="FT652" s="14">
        <f t="shared" si="665"/>
        <v>7</v>
      </c>
      <c r="FU652" s="14">
        <f t="shared" si="666"/>
        <v>0</v>
      </c>
      <c r="FV652" s="14">
        <f t="shared" si="651"/>
        <v>2062</v>
      </c>
      <c r="FW652" s="14">
        <f t="shared" si="652"/>
        <v>0</v>
      </c>
      <c r="FX652" s="14" t="str">
        <f t="shared" si="653"/>
        <v/>
      </c>
      <c r="FY652" s="25" t="str">
        <f t="shared" si="667"/>
        <v>icon_2106107</v>
      </c>
      <c r="GC652" s="14">
        <f t="shared" si="654"/>
        <v>1</v>
      </c>
      <c r="GD652" s="14">
        <f t="shared" si="655"/>
        <v>2</v>
      </c>
      <c r="GE652" s="14">
        <f t="shared" si="630"/>
        <v>130</v>
      </c>
      <c r="GF652" s="14" t="str">
        <f t="shared" si="631"/>
        <v>AtkExt</v>
      </c>
      <c r="GG652" s="14">
        <f t="shared" si="632"/>
        <v>210</v>
      </c>
      <c r="GH652" s="14">
        <f t="shared" si="633"/>
        <v>12</v>
      </c>
      <c r="GI652" s="14" t="str">
        <f t="shared" si="634"/>
        <v>DefExt</v>
      </c>
      <c r="GJ652" s="14">
        <f t="shared" si="635"/>
        <v>130</v>
      </c>
      <c r="GK652" s="14">
        <f t="shared" si="636"/>
        <v>7</v>
      </c>
      <c r="GL652" s="14">
        <f t="shared" si="656"/>
        <v>20620</v>
      </c>
      <c r="GM652" s="14">
        <f t="shared" si="637"/>
        <v>0</v>
      </c>
      <c r="GN652" s="14" t="str">
        <f t="shared" si="638"/>
        <v/>
      </c>
      <c r="GO652" s="25" t="s">
        <v>1471</v>
      </c>
      <c r="GP652" s="14">
        <f t="shared" si="657"/>
        <v>113</v>
      </c>
    </row>
    <row r="653" spans="151:198" ht="16.5" x14ac:dyDescent="0.2">
      <c r="EU653" s="13">
        <v>648</v>
      </c>
      <c r="EV653" s="14">
        <f t="shared" si="658"/>
        <v>2</v>
      </c>
      <c r="EW653" s="14">
        <f t="shared" si="626"/>
        <v>213</v>
      </c>
      <c r="EX653" s="14">
        <f t="shared" si="659"/>
        <v>28</v>
      </c>
      <c r="EY653" s="14">
        <f t="shared" si="627"/>
        <v>20</v>
      </c>
      <c r="EZ653" s="14">
        <f t="shared" si="639"/>
        <v>17</v>
      </c>
      <c r="FA653" s="14">
        <f t="shared" si="640"/>
        <v>100</v>
      </c>
      <c r="FB653" s="14">
        <f t="shared" si="641"/>
        <v>2</v>
      </c>
      <c r="FC653" s="14">
        <f t="shared" si="642"/>
        <v>8</v>
      </c>
      <c r="FD653" s="14">
        <f t="shared" si="643"/>
        <v>8</v>
      </c>
      <c r="FE653" s="14" t="b">
        <f t="shared" si="660"/>
        <v>0</v>
      </c>
      <c r="FF653" s="14">
        <f t="shared" si="644"/>
        <v>2106208</v>
      </c>
      <c r="FG653" s="13" t="str">
        <f t="shared" si="645"/>
        <v>100级-优秀守护灵の戒指</v>
      </c>
      <c r="FH653" s="14">
        <f t="shared" si="646"/>
        <v>2</v>
      </c>
      <c r="FI653" s="14">
        <f t="shared" si="647"/>
        <v>2</v>
      </c>
      <c r="FJ653" s="14">
        <f t="shared" si="648"/>
        <v>100</v>
      </c>
      <c r="FK653" s="14">
        <v>214</v>
      </c>
      <c r="FL653" s="14">
        <f t="shared" si="649"/>
        <v>6</v>
      </c>
      <c r="FM653" s="14">
        <f t="shared" si="628"/>
        <v>8</v>
      </c>
      <c r="FN653" s="14" t="str">
        <f t="shared" si="650"/>
        <v/>
      </c>
      <c r="FO653" s="14">
        <f t="shared" si="629"/>
        <v>186</v>
      </c>
      <c r="FP653" s="14">
        <f t="shared" si="661"/>
        <v>210</v>
      </c>
      <c r="FQ653" s="14">
        <f t="shared" si="662"/>
        <v>0</v>
      </c>
      <c r="FR653" s="14">
        <f t="shared" si="663"/>
        <v>2275</v>
      </c>
      <c r="FS653" s="14">
        <f t="shared" si="664"/>
        <v>12</v>
      </c>
      <c r="FT653" s="14">
        <f t="shared" si="665"/>
        <v>0</v>
      </c>
      <c r="FU653" s="14">
        <f t="shared" si="666"/>
        <v>126</v>
      </c>
      <c r="FV653" s="14">
        <f t="shared" si="651"/>
        <v>2062</v>
      </c>
      <c r="FW653" s="14">
        <f t="shared" si="652"/>
        <v>0</v>
      </c>
      <c r="FX653" s="14" t="str">
        <f t="shared" si="653"/>
        <v/>
      </c>
      <c r="FY653" s="25" t="str">
        <f t="shared" si="667"/>
        <v>icon_2106108</v>
      </c>
      <c r="GC653" s="14">
        <f t="shared" si="654"/>
        <v>1</v>
      </c>
      <c r="GD653" s="14">
        <f t="shared" si="655"/>
        <v>3</v>
      </c>
      <c r="GE653" s="14">
        <f t="shared" si="630"/>
        <v>186</v>
      </c>
      <c r="GF653" s="14" t="str">
        <f t="shared" si="631"/>
        <v>AtkExt</v>
      </c>
      <c r="GG653" s="14">
        <f t="shared" si="632"/>
        <v>210</v>
      </c>
      <c r="GH653" s="14">
        <f t="shared" si="633"/>
        <v>12</v>
      </c>
      <c r="GI653" s="14" t="str">
        <f t="shared" si="634"/>
        <v>HPExt</v>
      </c>
      <c r="GJ653" s="14">
        <f t="shared" si="635"/>
        <v>2275</v>
      </c>
      <c r="GK653" s="14">
        <f t="shared" si="636"/>
        <v>126</v>
      </c>
      <c r="GL653" s="14">
        <f t="shared" si="656"/>
        <v>20620</v>
      </c>
      <c r="GM653" s="14">
        <f t="shared" si="637"/>
        <v>0</v>
      </c>
      <c r="GN653" s="14" t="str">
        <f t="shared" si="638"/>
        <v/>
      </c>
      <c r="GO653" s="25" t="s">
        <v>1471</v>
      </c>
      <c r="GP653" s="14">
        <f t="shared" si="657"/>
        <v>113</v>
      </c>
    </row>
    <row r="654" spans="151:198" ht="16.5" x14ac:dyDescent="0.2">
      <c r="EU654" s="13">
        <v>649</v>
      </c>
      <c r="EV654" s="14">
        <f t="shared" si="658"/>
        <v>2</v>
      </c>
      <c r="EW654" s="14">
        <f t="shared" si="626"/>
        <v>214</v>
      </c>
      <c r="EX654" s="14">
        <f t="shared" si="659"/>
        <v>29</v>
      </c>
      <c r="EY654" s="14">
        <f t="shared" si="627"/>
        <v>30</v>
      </c>
      <c r="EZ654" s="14">
        <f t="shared" si="639"/>
        <v>17</v>
      </c>
      <c r="FA654" s="14">
        <f t="shared" si="640"/>
        <v>100</v>
      </c>
      <c r="FB654" s="14">
        <f t="shared" si="641"/>
        <v>3</v>
      </c>
      <c r="FC654" s="14">
        <f t="shared" si="642"/>
        <v>1</v>
      </c>
      <c r="FD654" s="14">
        <f t="shared" si="643"/>
        <v>1</v>
      </c>
      <c r="FE654" s="14" t="b">
        <f t="shared" si="660"/>
        <v>0</v>
      </c>
      <c r="FF654" s="14">
        <f t="shared" si="644"/>
        <v>2106301</v>
      </c>
      <c r="FG654" s="13" t="str">
        <f t="shared" si="645"/>
        <v>100级-精良守护灵の灵器</v>
      </c>
      <c r="FH654" s="14">
        <f t="shared" si="646"/>
        <v>2</v>
      </c>
      <c r="FI654" s="14">
        <f t="shared" si="647"/>
        <v>3</v>
      </c>
      <c r="FJ654" s="14">
        <f t="shared" si="648"/>
        <v>100</v>
      </c>
      <c r="FK654" s="14">
        <v>215</v>
      </c>
      <c r="FL654" s="14">
        <f t="shared" si="649"/>
        <v>6</v>
      </c>
      <c r="FM654" s="14">
        <f t="shared" si="628"/>
        <v>1</v>
      </c>
      <c r="FN654" s="14" t="str">
        <f t="shared" si="650"/>
        <v/>
      </c>
      <c r="FO654" s="14">
        <f t="shared" si="629"/>
        <v>210</v>
      </c>
      <c r="FP654" s="14">
        <f t="shared" si="661"/>
        <v>755</v>
      </c>
      <c r="FQ654" s="14">
        <f t="shared" si="662"/>
        <v>0</v>
      </c>
      <c r="FR654" s="14">
        <f t="shared" si="663"/>
        <v>0</v>
      </c>
      <c r="FS654" s="14">
        <f t="shared" si="664"/>
        <v>42</v>
      </c>
      <c r="FT654" s="14">
        <f t="shared" si="665"/>
        <v>0</v>
      </c>
      <c r="FU654" s="14">
        <f t="shared" si="666"/>
        <v>0</v>
      </c>
      <c r="FV654" s="14">
        <f t="shared" si="651"/>
        <v>2063</v>
      </c>
      <c r="FW654" s="14">
        <f t="shared" si="652"/>
        <v>4</v>
      </c>
      <c r="FX654" s="14">
        <f t="shared" si="653"/>
        <v>2063</v>
      </c>
      <c r="FY654" s="25" t="str">
        <f t="shared" si="667"/>
        <v>icon_2106101</v>
      </c>
      <c r="GC654" s="14">
        <f t="shared" si="654"/>
        <v>1</v>
      </c>
      <c r="GD654" s="14">
        <f t="shared" si="655"/>
        <v>0</v>
      </c>
      <c r="GE654" s="14">
        <f t="shared" si="630"/>
        <v>210</v>
      </c>
      <c r="GF654" s="14" t="str">
        <f t="shared" si="631"/>
        <v>AtkExt</v>
      </c>
      <c r="GG654" s="14">
        <f t="shared" si="632"/>
        <v>755</v>
      </c>
      <c r="GH654" s="14">
        <f t="shared" si="633"/>
        <v>42</v>
      </c>
      <c r="GI654" s="14" t="str">
        <f t="shared" si="634"/>
        <v/>
      </c>
      <c r="GJ654" s="14" t="str">
        <f t="shared" si="635"/>
        <v/>
      </c>
      <c r="GK654" s="14" t="str">
        <f t="shared" si="636"/>
        <v/>
      </c>
      <c r="GL654" s="14">
        <f t="shared" si="656"/>
        <v>20630</v>
      </c>
      <c r="GM654" s="14">
        <f t="shared" si="637"/>
        <v>4</v>
      </c>
      <c r="GN654" s="14">
        <f t="shared" si="638"/>
        <v>2063</v>
      </c>
      <c r="GO654" s="25" t="s">
        <v>1471</v>
      </c>
      <c r="GP654" s="14">
        <f t="shared" si="657"/>
        <v>250</v>
      </c>
    </row>
    <row r="655" spans="151:198" ht="16.5" x14ac:dyDescent="0.2">
      <c r="EU655" s="13">
        <v>650</v>
      </c>
      <c r="EV655" s="14">
        <f t="shared" si="658"/>
        <v>2</v>
      </c>
      <c r="EW655" s="14">
        <f t="shared" si="626"/>
        <v>215</v>
      </c>
      <c r="EX655" s="14">
        <f t="shared" si="659"/>
        <v>29</v>
      </c>
      <c r="EY655" s="14">
        <f t="shared" si="627"/>
        <v>30</v>
      </c>
      <c r="EZ655" s="14">
        <f t="shared" si="639"/>
        <v>17</v>
      </c>
      <c r="FA655" s="14">
        <f t="shared" si="640"/>
        <v>100</v>
      </c>
      <c r="FB655" s="14">
        <f t="shared" si="641"/>
        <v>3</v>
      </c>
      <c r="FC655" s="14">
        <f t="shared" si="642"/>
        <v>2</v>
      </c>
      <c r="FD655" s="14">
        <f t="shared" si="643"/>
        <v>2</v>
      </c>
      <c r="FE655" s="14" t="b">
        <f t="shared" si="660"/>
        <v>0</v>
      </c>
      <c r="FF655" s="14">
        <f t="shared" si="644"/>
        <v>2106302</v>
      </c>
      <c r="FG655" s="13" t="str">
        <f t="shared" si="645"/>
        <v>100级-精良守护灵の头盔</v>
      </c>
      <c r="FH655" s="14">
        <f t="shared" si="646"/>
        <v>2</v>
      </c>
      <c r="FI655" s="14">
        <f t="shared" si="647"/>
        <v>3</v>
      </c>
      <c r="FJ655" s="14">
        <f t="shared" si="648"/>
        <v>100</v>
      </c>
      <c r="FK655" s="14">
        <v>216</v>
      </c>
      <c r="FL655" s="14">
        <f t="shared" si="649"/>
        <v>6</v>
      </c>
      <c r="FM655" s="14">
        <f t="shared" si="628"/>
        <v>2</v>
      </c>
      <c r="FN655" s="14" t="str">
        <f t="shared" si="650"/>
        <v/>
      </c>
      <c r="FO655" s="14">
        <f t="shared" si="629"/>
        <v>110</v>
      </c>
      <c r="FP655" s="14">
        <f t="shared" si="661"/>
        <v>0</v>
      </c>
      <c r="FQ655" s="14">
        <f t="shared" si="662"/>
        <v>190</v>
      </c>
      <c r="FR655" s="14">
        <f t="shared" si="663"/>
        <v>0</v>
      </c>
      <c r="FS655" s="14">
        <f t="shared" si="664"/>
        <v>0</v>
      </c>
      <c r="FT655" s="14">
        <f t="shared" si="665"/>
        <v>11</v>
      </c>
      <c r="FU655" s="14">
        <f t="shared" si="666"/>
        <v>0</v>
      </c>
      <c r="FV655" s="14">
        <f t="shared" si="651"/>
        <v>2063</v>
      </c>
      <c r="FW655" s="14">
        <f t="shared" si="652"/>
        <v>4</v>
      </c>
      <c r="FX655" s="14">
        <f t="shared" si="653"/>
        <v>2063</v>
      </c>
      <c r="FY655" s="25" t="str">
        <f t="shared" si="667"/>
        <v>icon_2106102</v>
      </c>
      <c r="GC655" s="14">
        <f t="shared" si="654"/>
        <v>2</v>
      </c>
      <c r="GD655" s="14">
        <f t="shared" si="655"/>
        <v>0</v>
      </c>
      <c r="GE655" s="14">
        <f t="shared" si="630"/>
        <v>110</v>
      </c>
      <c r="GF655" s="14" t="str">
        <f t="shared" si="631"/>
        <v>DefExt</v>
      </c>
      <c r="GG655" s="14">
        <f t="shared" si="632"/>
        <v>190</v>
      </c>
      <c r="GH655" s="14">
        <f t="shared" si="633"/>
        <v>11</v>
      </c>
      <c r="GI655" s="14" t="str">
        <f t="shared" si="634"/>
        <v/>
      </c>
      <c r="GJ655" s="14" t="str">
        <f t="shared" si="635"/>
        <v/>
      </c>
      <c r="GK655" s="14" t="str">
        <f t="shared" si="636"/>
        <v/>
      </c>
      <c r="GL655" s="14">
        <f t="shared" si="656"/>
        <v>20630</v>
      </c>
      <c r="GM655" s="14">
        <f t="shared" si="637"/>
        <v>4</v>
      </c>
      <c r="GN655" s="14">
        <f t="shared" si="638"/>
        <v>2063</v>
      </c>
      <c r="GO655" s="25" t="s">
        <v>1471</v>
      </c>
      <c r="GP655" s="14">
        <f t="shared" si="657"/>
        <v>125</v>
      </c>
    </row>
    <row r="656" spans="151:198" ht="16.5" x14ac:dyDescent="0.2">
      <c r="EU656" s="13">
        <v>651</v>
      </c>
      <c r="EV656" s="14">
        <f t="shared" si="658"/>
        <v>2</v>
      </c>
      <c r="EW656" s="14">
        <f t="shared" si="626"/>
        <v>216</v>
      </c>
      <c r="EX656" s="14">
        <f t="shared" si="659"/>
        <v>29</v>
      </c>
      <c r="EY656" s="14">
        <f t="shared" si="627"/>
        <v>30</v>
      </c>
      <c r="EZ656" s="14">
        <f t="shared" si="639"/>
        <v>17</v>
      </c>
      <c r="FA656" s="14">
        <f t="shared" si="640"/>
        <v>100</v>
      </c>
      <c r="FB656" s="14">
        <f t="shared" si="641"/>
        <v>3</v>
      </c>
      <c r="FC656" s="14">
        <f t="shared" si="642"/>
        <v>3</v>
      </c>
      <c r="FD656" s="14">
        <f t="shared" si="643"/>
        <v>3</v>
      </c>
      <c r="FE656" s="14" t="b">
        <f t="shared" si="660"/>
        <v>0</v>
      </c>
      <c r="FF656" s="14">
        <f t="shared" si="644"/>
        <v>2106303</v>
      </c>
      <c r="FG656" s="13" t="str">
        <f t="shared" si="645"/>
        <v>100级-精良守护灵の铠甲</v>
      </c>
      <c r="FH656" s="14">
        <f t="shared" si="646"/>
        <v>2</v>
      </c>
      <c r="FI656" s="14">
        <f t="shared" si="647"/>
        <v>3</v>
      </c>
      <c r="FJ656" s="14">
        <f t="shared" si="648"/>
        <v>100</v>
      </c>
      <c r="FK656" s="14">
        <v>217</v>
      </c>
      <c r="FL656" s="14">
        <f t="shared" si="649"/>
        <v>6</v>
      </c>
      <c r="FM656" s="14">
        <f t="shared" si="628"/>
        <v>3</v>
      </c>
      <c r="FN656" s="14" t="str">
        <f t="shared" si="650"/>
        <v/>
      </c>
      <c r="FO656" s="14">
        <f t="shared" si="629"/>
        <v>142</v>
      </c>
      <c r="FP656" s="14">
        <f t="shared" si="661"/>
        <v>0</v>
      </c>
      <c r="FQ656" s="14">
        <f t="shared" si="662"/>
        <v>95</v>
      </c>
      <c r="FR656" s="14">
        <f t="shared" si="663"/>
        <v>1660</v>
      </c>
      <c r="FS656" s="14">
        <f t="shared" si="664"/>
        <v>0</v>
      </c>
      <c r="FT656" s="14">
        <f t="shared" si="665"/>
        <v>5</v>
      </c>
      <c r="FU656" s="14">
        <f t="shared" si="666"/>
        <v>92</v>
      </c>
      <c r="FV656" s="14">
        <f t="shared" si="651"/>
        <v>2063</v>
      </c>
      <c r="FW656" s="14">
        <f t="shared" si="652"/>
        <v>4</v>
      </c>
      <c r="FX656" s="14">
        <f t="shared" si="653"/>
        <v>2063</v>
      </c>
      <c r="FY656" s="25" t="str">
        <f t="shared" si="667"/>
        <v>icon_2106103</v>
      </c>
      <c r="GC656" s="14">
        <f t="shared" si="654"/>
        <v>2</v>
      </c>
      <c r="GD656" s="14">
        <f t="shared" si="655"/>
        <v>3</v>
      </c>
      <c r="GE656" s="14">
        <f t="shared" si="630"/>
        <v>142</v>
      </c>
      <c r="GF656" s="14" t="str">
        <f t="shared" si="631"/>
        <v>DefExt</v>
      </c>
      <c r="GG656" s="14">
        <f t="shared" si="632"/>
        <v>95</v>
      </c>
      <c r="GH656" s="14">
        <f t="shared" si="633"/>
        <v>5</v>
      </c>
      <c r="GI656" s="14" t="str">
        <f t="shared" si="634"/>
        <v>HPExt</v>
      </c>
      <c r="GJ656" s="14">
        <f t="shared" si="635"/>
        <v>1660</v>
      </c>
      <c r="GK656" s="14">
        <f t="shared" si="636"/>
        <v>92</v>
      </c>
      <c r="GL656" s="14">
        <f t="shared" si="656"/>
        <v>20630</v>
      </c>
      <c r="GM656" s="14">
        <f t="shared" si="637"/>
        <v>4</v>
      </c>
      <c r="GN656" s="14">
        <f t="shared" si="638"/>
        <v>2063</v>
      </c>
      <c r="GO656" s="25" t="s">
        <v>1471</v>
      </c>
      <c r="GP656" s="14">
        <f t="shared" si="657"/>
        <v>125</v>
      </c>
    </row>
    <row r="657" spans="151:198" ht="16.5" x14ac:dyDescent="0.2">
      <c r="EU657" s="13">
        <v>652</v>
      </c>
      <c r="EV657" s="14">
        <f t="shared" si="658"/>
        <v>2</v>
      </c>
      <c r="EW657" s="14">
        <f t="shared" si="626"/>
        <v>217</v>
      </c>
      <c r="EX657" s="14">
        <f t="shared" si="659"/>
        <v>29</v>
      </c>
      <c r="EY657" s="14">
        <f t="shared" si="627"/>
        <v>30</v>
      </c>
      <c r="EZ657" s="14">
        <f t="shared" si="639"/>
        <v>17</v>
      </c>
      <c r="FA657" s="14">
        <f t="shared" si="640"/>
        <v>100</v>
      </c>
      <c r="FB657" s="14">
        <f t="shared" si="641"/>
        <v>3</v>
      </c>
      <c r="FC657" s="14">
        <f t="shared" si="642"/>
        <v>4</v>
      </c>
      <c r="FD657" s="14">
        <f t="shared" si="643"/>
        <v>4</v>
      </c>
      <c r="FE657" s="14" t="b">
        <f t="shared" si="660"/>
        <v>0</v>
      </c>
      <c r="FF657" s="14">
        <f t="shared" si="644"/>
        <v>2106304</v>
      </c>
      <c r="FG657" s="13" t="str">
        <f t="shared" si="645"/>
        <v>100级-精良守护灵の裤子</v>
      </c>
      <c r="FH657" s="14">
        <f t="shared" si="646"/>
        <v>2</v>
      </c>
      <c r="FI657" s="14">
        <f t="shared" si="647"/>
        <v>3</v>
      </c>
      <c r="FJ657" s="14">
        <f t="shared" si="648"/>
        <v>100</v>
      </c>
      <c r="FK657" s="14">
        <v>218</v>
      </c>
      <c r="FL657" s="14">
        <f t="shared" si="649"/>
        <v>6</v>
      </c>
      <c r="FM657" s="14">
        <f t="shared" si="628"/>
        <v>4</v>
      </c>
      <c r="FN657" s="14" t="str">
        <f t="shared" si="650"/>
        <v/>
      </c>
      <c r="FO657" s="14">
        <f t="shared" si="629"/>
        <v>110</v>
      </c>
      <c r="FP657" s="14">
        <f t="shared" si="661"/>
        <v>0</v>
      </c>
      <c r="FQ657" s="14">
        <f t="shared" si="662"/>
        <v>190</v>
      </c>
      <c r="FR657" s="14">
        <f t="shared" si="663"/>
        <v>0</v>
      </c>
      <c r="FS657" s="14">
        <f t="shared" si="664"/>
        <v>0</v>
      </c>
      <c r="FT657" s="14">
        <f t="shared" si="665"/>
        <v>11</v>
      </c>
      <c r="FU657" s="14">
        <f t="shared" si="666"/>
        <v>0</v>
      </c>
      <c r="FV657" s="14">
        <f t="shared" si="651"/>
        <v>2063</v>
      </c>
      <c r="FW657" s="14">
        <f t="shared" si="652"/>
        <v>4</v>
      </c>
      <c r="FX657" s="14">
        <f t="shared" si="653"/>
        <v>2063</v>
      </c>
      <c r="FY657" s="25" t="str">
        <f t="shared" si="667"/>
        <v>icon_2106104</v>
      </c>
      <c r="GC657" s="14">
        <f t="shared" si="654"/>
        <v>2</v>
      </c>
      <c r="GD657" s="14">
        <f t="shared" si="655"/>
        <v>0</v>
      </c>
      <c r="GE657" s="14">
        <f t="shared" si="630"/>
        <v>110</v>
      </c>
      <c r="GF657" s="14" t="str">
        <f t="shared" si="631"/>
        <v>DefExt</v>
      </c>
      <c r="GG657" s="14">
        <f t="shared" si="632"/>
        <v>190</v>
      </c>
      <c r="GH657" s="14">
        <f t="shared" si="633"/>
        <v>11</v>
      </c>
      <c r="GI657" s="14" t="str">
        <f t="shared" si="634"/>
        <v/>
      </c>
      <c r="GJ657" s="14" t="str">
        <f t="shared" si="635"/>
        <v/>
      </c>
      <c r="GK657" s="14" t="str">
        <f t="shared" si="636"/>
        <v/>
      </c>
      <c r="GL657" s="14">
        <f t="shared" si="656"/>
        <v>20630</v>
      </c>
      <c r="GM657" s="14">
        <f t="shared" si="637"/>
        <v>4</v>
      </c>
      <c r="GN657" s="14">
        <f t="shared" si="638"/>
        <v>2063</v>
      </c>
      <c r="GO657" s="25" t="s">
        <v>1471</v>
      </c>
      <c r="GP657" s="14">
        <f t="shared" si="657"/>
        <v>125</v>
      </c>
    </row>
    <row r="658" spans="151:198" ht="16.5" x14ac:dyDescent="0.2">
      <c r="EU658" s="13">
        <v>653</v>
      </c>
      <c r="EV658" s="14">
        <f t="shared" si="658"/>
        <v>2</v>
      </c>
      <c r="EW658" s="14">
        <f t="shared" si="626"/>
        <v>218</v>
      </c>
      <c r="EX658" s="14">
        <f t="shared" si="659"/>
        <v>29</v>
      </c>
      <c r="EY658" s="14">
        <f t="shared" si="627"/>
        <v>30</v>
      </c>
      <c r="EZ658" s="14">
        <f t="shared" si="639"/>
        <v>17</v>
      </c>
      <c r="FA658" s="14">
        <f t="shared" si="640"/>
        <v>100</v>
      </c>
      <c r="FB658" s="14">
        <f t="shared" si="641"/>
        <v>3</v>
      </c>
      <c r="FC658" s="14">
        <f t="shared" si="642"/>
        <v>5</v>
      </c>
      <c r="FD658" s="14">
        <f t="shared" si="643"/>
        <v>5</v>
      </c>
      <c r="FE658" s="14" t="b">
        <f t="shared" si="660"/>
        <v>0</v>
      </c>
      <c r="FF658" s="14">
        <f t="shared" si="644"/>
        <v>2106305</v>
      </c>
      <c r="FG658" s="13" t="str">
        <f t="shared" si="645"/>
        <v>100级-精良守护灵の鞋子</v>
      </c>
      <c r="FH658" s="14">
        <f t="shared" si="646"/>
        <v>2</v>
      </c>
      <c r="FI658" s="14">
        <f t="shared" si="647"/>
        <v>3</v>
      </c>
      <c r="FJ658" s="14">
        <f t="shared" si="648"/>
        <v>100</v>
      </c>
      <c r="FK658" s="14">
        <v>219</v>
      </c>
      <c r="FL658" s="14">
        <f t="shared" si="649"/>
        <v>6</v>
      </c>
      <c r="FM658" s="14">
        <f t="shared" si="628"/>
        <v>5</v>
      </c>
      <c r="FN658" s="14" t="str">
        <f t="shared" si="650"/>
        <v/>
      </c>
      <c r="FO658" s="14">
        <f t="shared" si="629"/>
        <v>184</v>
      </c>
      <c r="FP658" s="14">
        <f t="shared" si="661"/>
        <v>0</v>
      </c>
      <c r="FQ658" s="14">
        <f t="shared" si="662"/>
        <v>0</v>
      </c>
      <c r="FR658" s="14">
        <f t="shared" si="663"/>
        <v>3315</v>
      </c>
      <c r="FS658" s="14">
        <f t="shared" si="664"/>
        <v>0</v>
      </c>
      <c r="FT658" s="14">
        <f t="shared" si="665"/>
        <v>0</v>
      </c>
      <c r="FU658" s="14">
        <f t="shared" si="666"/>
        <v>184</v>
      </c>
      <c r="FV658" s="14">
        <f t="shared" si="651"/>
        <v>2063</v>
      </c>
      <c r="FW658" s="14">
        <f t="shared" si="652"/>
        <v>4</v>
      </c>
      <c r="FX658" s="14">
        <f t="shared" si="653"/>
        <v>2063</v>
      </c>
      <c r="FY658" s="25" t="str">
        <f t="shared" si="667"/>
        <v>icon_2106105</v>
      </c>
      <c r="GC658" s="14">
        <f t="shared" si="654"/>
        <v>3</v>
      </c>
      <c r="GD658" s="14">
        <f t="shared" si="655"/>
        <v>0</v>
      </c>
      <c r="GE658" s="14">
        <f t="shared" si="630"/>
        <v>184</v>
      </c>
      <c r="GF658" s="14" t="str">
        <f t="shared" si="631"/>
        <v>HPExt</v>
      </c>
      <c r="GG658" s="14">
        <f t="shared" si="632"/>
        <v>3315</v>
      </c>
      <c r="GH658" s="14">
        <f t="shared" si="633"/>
        <v>184</v>
      </c>
      <c r="GI658" s="14" t="str">
        <f t="shared" si="634"/>
        <v/>
      </c>
      <c r="GJ658" s="14" t="str">
        <f t="shared" si="635"/>
        <v/>
      </c>
      <c r="GK658" s="14" t="str">
        <f t="shared" si="636"/>
        <v/>
      </c>
      <c r="GL658" s="14">
        <f t="shared" si="656"/>
        <v>20630</v>
      </c>
      <c r="GM658" s="14">
        <f t="shared" si="637"/>
        <v>4</v>
      </c>
      <c r="GN658" s="14">
        <f t="shared" si="638"/>
        <v>2063</v>
      </c>
      <c r="GO658" s="25" t="s">
        <v>1471</v>
      </c>
      <c r="GP658" s="14">
        <f t="shared" si="657"/>
        <v>125</v>
      </c>
    </row>
    <row r="659" spans="151:198" ht="16.5" x14ac:dyDescent="0.2">
      <c r="EU659" s="13">
        <v>654</v>
      </c>
      <c r="EV659" s="14">
        <f t="shared" si="658"/>
        <v>2</v>
      </c>
      <c r="EW659" s="14">
        <f t="shared" si="626"/>
        <v>219</v>
      </c>
      <c r="EX659" s="14">
        <f t="shared" si="659"/>
        <v>29</v>
      </c>
      <c r="EY659" s="14">
        <f t="shared" si="627"/>
        <v>30</v>
      </c>
      <c r="EZ659" s="14">
        <f t="shared" si="639"/>
        <v>17</v>
      </c>
      <c r="FA659" s="14">
        <f t="shared" si="640"/>
        <v>100</v>
      </c>
      <c r="FB659" s="14">
        <f t="shared" si="641"/>
        <v>3</v>
      </c>
      <c r="FC659" s="14">
        <f t="shared" si="642"/>
        <v>6</v>
      </c>
      <c r="FD659" s="14">
        <f t="shared" si="643"/>
        <v>6</v>
      </c>
      <c r="FE659" s="14" t="b">
        <f t="shared" si="660"/>
        <v>0</v>
      </c>
      <c r="FF659" s="14">
        <f t="shared" si="644"/>
        <v>2106306</v>
      </c>
      <c r="FG659" s="13" t="str">
        <f t="shared" si="645"/>
        <v>100级-精良守护灵の护手</v>
      </c>
      <c r="FH659" s="14">
        <f t="shared" si="646"/>
        <v>2</v>
      </c>
      <c r="FI659" s="14">
        <f t="shared" si="647"/>
        <v>3</v>
      </c>
      <c r="FJ659" s="14">
        <f t="shared" si="648"/>
        <v>100</v>
      </c>
      <c r="FK659" s="14">
        <v>220</v>
      </c>
      <c r="FL659" s="14">
        <f t="shared" si="649"/>
        <v>6</v>
      </c>
      <c r="FM659" s="14">
        <f t="shared" si="628"/>
        <v>6</v>
      </c>
      <c r="FN659" s="14" t="str">
        <f t="shared" si="650"/>
        <v/>
      </c>
      <c r="FO659" s="14">
        <f t="shared" si="629"/>
        <v>184</v>
      </c>
      <c r="FP659" s="14">
        <f t="shared" si="661"/>
        <v>0</v>
      </c>
      <c r="FQ659" s="14">
        <f t="shared" si="662"/>
        <v>0</v>
      </c>
      <c r="FR659" s="14">
        <f t="shared" si="663"/>
        <v>3315</v>
      </c>
      <c r="FS659" s="14">
        <f t="shared" si="664"/>
        <v>0</v>
      </c>
      <c r="FT659" s="14">
        <f t="shared" si="665"/>
        <v>0</v>
      </c>
      <c r="FU659" s="14">
        <f t="shared" si="666"/>
        <v>184</v>
      </c>
      <c r="FV659" s="14">
        <f t="shared" si="651"/>
        <v>2063</v>
      </c>
      <c r="FW659" s="14">
        <f t="shared" si="652"/>
        <v>4</v>
      </c>
      <c r="FX659" s="14">
        <f t="shared" si="653"/>
        <v>2063</v>
      </c>
      <c r="FY659" s="25" t="str">
        <f t="shared" si="667"/>
        <v>icon_2106106</v>
      </c>
      <c r="GC659" s="14">
        <f t="shared" si="654"/>
        <v>3</v>
      </c>
      <c r="GD659" s="14">
        <f t="shared" si="655"/>
        <v>0</v>
      </c>
      <c r="GE659" s="14">
        <f t="shared" si="630"/>
        <v>184</v>
      </c>
      <c r="GF659" s="14" t="str">
        <f t="shared" si="631"/>
        <v>HPExt</v>
      </c>
      <c r="GG659" s="14">
        <f t="shared" si="632"/>
        <v>3315</v>
      </c>
      <c r="GH659" s="14">
        <f t="shared" si="633"/>
        <v>184</v>
      </c>
      <c r="GI659" s="14" t="str">
        <f t="shared" si="634"/>
        <v/>
      </c>
      <c r="GJ659" s="14" t="str">
        <f t="shared" si="635"/>
        <v/>
      </c>
      <c r="GK659" s="14" t="str">
        <f t="shared" si="636"/>
        <v/>
      </c>
      <c r="GL659" s="14">
        <f t="shared" si="656"/>
        <v>20630</v>
      </c>
      <c r="GM659" s="14">
        <f t="shared" si="637"/>
        <v>4</v>
      </c>
      <c r="GN659" s="14">
        <f t="shared" si="638"/>
        <v>2063</v>
      </c>
      <c r="GO659" s="25" t="s">
        <v>1471</v>
      </c>
      <c r="GP659" s="14">
        <f t="shared" si="657"/>
        <v>125</v>
      </c>
    </row>
    <row r="660" spans="151:198" ht="16.5" x14ac:dyDescent="0.2">
      <c r="EU660" s="13">
        <v>655</v>
      </c>
      <c r="EV660" s="14">
        <f t="shared" si="658"/>
        <v>2</v>
      </c>
      <c r="EW660" s="14">
        <f t="shared" si="626"/>
        <v>220</v>
      </c>
      <c r="EX660" s="14">
        <f t="shared" si="659"/>
        <v>29</v>
      </c>
      <c r="EY660" s="14">
        <f t="shared" si="627"/>
        <v>30</v>
      </c>
      <c r="EZ660" s="14">
        <f t="shared" si="639"/>
        <v>17</v>
      </c>
      <c r="FA660" s="14">
        <f t="shared" si="640"/>
        <v>100</v>
      </c>
      <c r="FB660" s="14">
        <f t="shared" si="641"/>
        <v>3</v>
      </c>
      <c r="FC660" s="14">
        <f t="shared" si="642"/>
        <v>7</v>
      </c>
      <c r="FD660" s="14">
        <f t="shared" si="643"/>
        <v>7</v>
      </c>
      <c r="FE660" s="14" t="b">
        <f t="shared" si="660"/>
        <v>0</v>
      </c>
      <c r="FF660" s="14">
        <f t="shared" si="644"/>
        <v>2106307</v>
      </c>
      <c r="FG660" s="13" t="str">
        <f t="shared" si="645"/>
        <v>100级-精良守护灵の项链</v>
      </c>
      <c r="FH660" s="14">
        <f t="shared" si="646"/>
        <v>2</v>
      </c>
      <c r="FI660" s="14">
        <f t="shared" si="647"/>
        <v>3</v>
      </c>
      <c r="FJ660" s="14">
        <f t="shared" si="648"/>
        <v>100</v>
      </c>
      <c r="FK660" s="14">
        <v>221</v>
      </c>
      <c r="FL660" s="14">
        <f t="shared" si="649"/>
        <v>6</v>
      </c>
      <c r="FM660" s="14">
        <f t="shared" si="628"/>
        <v>7</v>
      </c>
      <c r="FN660" s="14" t="str">
        <f t="shared" si="650"/>
        <v/>
      </c>
      <c r="FO660" s="14">
        <f t="shared" si="629"/>
        <v>160</v>
      </c>
      <c r="FP660" s="14">
        <f t="shared" si="661"/>
        <v>250</v>
      </c>
      <c r="FQ660" s="14">
        <f t="shared" si="662"/>
        <v>160</v>
      </c>
      <c r="FR660" s="14">
        <f t="shared" si="663"/>
        <v>0</v>
      </c>
      <c r="FS660" s="14">
        <f t="shared" si="664"/>
        <v>14</v>
      </c>
      <c r="FT660" s="14">
        <f t="shared" si="665"/>
        <v>9</v>
      </c>
      <c r="FU660" s="14">
        <f t="shared" si="666"/>
        <v>0</v>
      </c>
      <c r="FV660" s="14">
        <f t="shared" si="651"/>
        <v>2063</v>
      </c>
      <c r="FW660" s="14">
        <f t="shared" si="652"/>
        <v>4</v>
      </c>
      <c r="FX660" s="14">
        <f t="shared" si="653"/>
        <v>2063</v>
      </c>
      <c r="FY660" s="25" t="str">
        <f t="shared" si="667"/>
        <v>icon_2106107</v>
      </c>
      <c r="GC660" s="14">
        <f t="shared" si="654"/>
        <v>1</v>
      </c>
      <c r="GD660" s="14">
        <f t="shared" si="655"/>
        <v>2</v>
      </c>
      <c r="GE660" s="14">
        <f t="shared" si="630"/>
        <v>160</v>
      </c>
      <c r="GF660" s="14" t="str">
        <f t="shared" si="631"/>
        <v>AtkExt</v>
      </c>
      <c r="GG660" s="14">
        <f t="shared" si="632"/>
        <v>250</v>
      </c>
      <c r="GH660" s="14">
        <f t="shared" si="633"/>
        <v>14</v>
      </c>
      <c r="GI660" s="14" t="str">
        <f t="shared" si="634"/>
        <v>DefExt</v>
      </c>
      <c r="GJ660" s="14">
        <f t="shared" si="635"/>
        <v>160</v>
      </c>
      <c r="GK660" s="14">
        <f t="shared" si="636"/>
        <v>9</v>
      </c>
      <c r="GL660" s="14">
        <f t="shared" si="656"/>
        <v>20630</v>
      </c>
      <c r="GM660" s="14">
        <f t="shared" si="637"/>
        <v>4</v>
      </c>
      <c r="GN660" s="14">
        <f t="shared" si="638"/>
        <v>2063</v>
      </c>
      <c r="GO660" s="25" t="s">
        <v>1471</v>
      </c>
      <c r="GP660" s="14">
        <f t="shared" si="657"/>
        <v>188</v>
      </c>
    </row>
    <row r="661" spans="151:198" ht="16.5" x14ac:dyDescent="0.2">
      <c r="EU661" s="13">
        <v>656</v>
      </c>
      <c r="EV661" s="14">
        <f t="shared" si="658"/>
        <v>2</v>
      </c>
      <c r="EW661" s="14">
        <f t="shared" si="626"/>
        <v>221</v>
      </c>
      <c r="EX661" s="14">
        <f t="shared" si="659"/>
        <v>29</v>
      </c>
      <c r="EY661" s="14">
        <f t="shared" si="627"/>
        <v>30</v>
      </c>
      <c r="EZ661" s="14">
        <f t="shared" si="639"/>
        <v>17</v>
      </c>
      <c r="FA661" s="14">
        <f t="shared" si="640"/>
        <v>100</v>
      </c>
      <c r="FB661" s="14">
        <f t="shared" si="641"/>
        <v>3</v>
      </c>
      <c r="FC661" s="14">
        <f t="shared" si="642"/>
        <v>8</v>
      </c>
      <c r="FD661" s="14">
        <f t="shared" si="643"/>
        <v>8</v>
      </c>
      <c r="FE661" s="14" t="b">
        <f t="shared" si="660"/>
        <v>0</v>
      </c>
      <c r="FF661" s="14">
        <f t="shared" si="644"/>
        <v>2106308</v>
      </c>
      <c r="FG661" s="13" t="str">
        <f t="shared" si="645"/>
        <v>100级-精良守护灵の戒指</v>
      </c>
      <c r="FH661" s="14">
        <f t="shared" si="646"/>
        <v>2</v>
      </c>
      <c r="FI661" s="14">
        <f t="shared" si="647"/>
        <v>3</v>
      </c>
      <c r="FJ661" s="14">
        <f t="shared" si="648"/>
        <v>100</v>
      </c>
      <c r="FK661" s="14">
        <v>222</v>
      </c>
      <c r="FL661" s="14">
        <f t="shared" si="649"/>
        <v>6</v>
      </c>
      <c r="FM661" s="14">
        <f t="shared" si="628"/>
        <v>8</v>
      </c>
      <c r="FN661" s="14" t="str">
        <f t="shared" si="650"/>
        <v/>
      </c>
      <c r="FO661" s="14">
        <f t="shared" si="629"/>
        <v>223</v>
      </c>
      <c r="FP661" s="14">
        <f t="shared" si="661"/>
        <v>250</v>
      </c>
      <c r="FQ661" s="14">
        <f t="shared" si="662"/>
        <v>0</v>
      </c>
      <c r="FR661" s="14">
        <f t="shared" si="663"/>
        <v>2765</v>
      </c>
      <c r="FS661" s="14">
        <f t="shared" si="664"/>
        <v>14</v>
      </c>
      <c r="FT661" s="14">
        <f t="shared" si="665"/>
        <v>0</v>
      </c>
      <c r="FU661" s="14">
        <f t="shared" si="666"/>
        <v>153</v>
      </c>
      <c r="FV661" s="14">
        <f t="shared" si="651"/>
        <v>2063</v>
      </c>
      <c r="FW661" s="14">
        <f t="shared" si="652"/>
        <v>4</v>
      </c>
      <c r="FX661" s="14">
        <f t="shared" si="653"/>
        <v>2063</v>
      </c>
      <c r="FY661" s="25" t="str">
        <f t="shared" si="667"/>
        <v>icon_2106108</v>
      </c>
      <c r="GC661" s="14">
        <f t="shared" si="654"/>
        <v>1</v>
      </c>
      <c r="GD661" s="14">
        <f t="shared" si="655"/>
        <v>3</v>
      </c>
      <c r="GE661" s="14">
        <f t="shared" si="630"/>
        <v>223</v>
      </c>
      <c r="GF661" s="14" t="str">
        <f t="shared" si="631"/>
        <v>AtkExt</v>
      </c>
      <c r="GG661" s="14">
        <f t="shared" si="632"/>
        <v>250</v>
      </c>
      <c r="GH661" s="14">
        <f t="shared" si="633"/>
        <v>14</v>
      </c>
      <c r="GI661" s="14" t="str">
        <f t="shared" si="634"/>
        <v>HPExt</v>
      </c>
      <c r="GJ661" s="14">
        <f t="shared" si="635"/>
        <v>2765</v>
      </c>
      <c r="GK661" s="14">
        <f t="shared" si="636"/>
        <v>153</v>
      </c>
      <c r="GL661" s="14">
        <f t="shared" si="656"/>
        <v>20630</v>
      </c>
      <c r="GM661" s="14">
        <f t="shared" si="637"/>
        <v>4</v>
      </c>
      <c r="GN661" s="14">
        <f t="shared" si="638"/>
        <v>2063</v>
      </c>
      <c r="GO661" s="25" t="s">
        <v>1471</v>
      </c>
      <c r="GP661" s="14">
        <f t="shared" si="657"/>
        <v>188</v>
      </c>
    </row>
    <row r="662" spans="151:198" ht="16.5" x14ac:dyDescent="0.2">
      <c r="EU662" s="13">
        <v>657</v>
      </c>
      <c r="EV662" s="14">
        <f t="shared" si="658"/>
        <v>2</v>
      </c>
      <c r="EW662" s="14">
        <f t="shared" si="626"/>
        <v>222</v>
      </c>
      <c r="EX662" s="14">
        <f t="shared" si="659"/>
        <v>30</v>
      </c>
      <c r="EY662" s="14">
        <f t="shared" si="627"/>
        <v>40</v>
      </c>
      <c r="EZ662" s="14">
        <f t="shared" si="639"/>
        <v>17</v>
      </c>
      <c r="FA662" s="14">
        <f t="shared" si="640"/>
        <v>100</v>
      </c>
      <c r="FB662" s="14">
        <f t="shared" si="641"/>
        <v>4</v>
      </c>
      <c r="FC662" s="14">
        <f t="shared" si="642"/>
        <v>1</v>
      </c>
      <c r="FD662" s="14">
        <f t="shared" si="643"/>
        <v>1</v>
      </c>
      <c r="FE662" s="14" t="b">
        <f t="shared" si="660"/>
        <v>0</v>
      </c>
      <c r="FF662" s="14">
        <f t="shared" si="644"/>
        <v>2106401</v>
      </c>
      <c r="FG662" s="13" t="str">
        <f t="shared" si="645"/>
        <v>100级-史诗守护灵の灵器</v>
      </c>
      <c r="FH662" s="14">
        <f t="shared" si="646"/>
        <v>2</v>
      </c>
      <c r="FI662" s="14">
        <f t="shared" si="647"/>
        <v>4</v>
      </c>
      <c r="FJ662" s="14">
        <f t="shared" si="648"/>
        <v>100</v>
      </c>
      <c r="FK662" s="14">
        <v>223</v>
      </c>
      <c r="FL662" s="14">
        <f t="shared" si="649"/>
        <v>6</v>
      </c>
      <c r="FM662" s="14">
        <f t="shared" si="628"/>
        <v>1</v>
      </c>
      <c r="FN662" s="14" t="str">
        <f t="shared" si="650"/>
        <v/>
      </c>
      <c r="FO662" s="14">
        <f t="shared" si="629"/>
        <v>250</v>
      </c>
      <c r="FP662" s="14">
        <f t="shared" si="661"/>
        <v>890</v>
      </c>
      <c r="FQ662" s="14">
        <f t="shared" si="662"/>
        <v>0</v>
      </c>
      <c r="FR662" s="14">
        <f t="shared" si="663"/>
        <v>0</v>
      </c>
      <c r="FS662" s="14">
        <f t="shared" si="664"/>
        <v>50</v>
      </c>
      <c r="FT662" s="14">
        <f t="shared" si="665"/>
        <v>0</v>
      </c>
      <c r="FU662" s="14">
        <f t="shared" si="666"/>
        <v>0</v>
      </c>
      <c r="FV662" s="14">
        <f t="shared" si="651"/>
        <v>2064</v>
      </c>
      <c r="FW662" s="14">
        <f t="shared" si="652"/>
        <v>5</v>
      </c>
      <c r="FX662" s="14">
        <f t="shared" si="653"/>
        <v>2064</v>
      </c>
      <c r="FY662" s="25" t="str">
        <f t="shared" si="667"/>
        <v>icon_2106101</v>
      </c>
      <c r="GC662" s="14">
        <f t="shared" si="654"/>
        <v>1</v>
      </c>
      <c r="GD662" s="14">
        <f t="shared" si="655"/>
        <v>0</v>
      </c>
      <c r="GE662" s="14">
        <f t="shared" si="630"/>
        <v>250</v>
      </c>
      <c r="GF662" s="14" t="str">
        <f t="shared" si="631"/>
        <v>AtkExt</v>
      </c>
      <c r="GG662" s="14">
        <f t="shared" si="632"/>
        <v>890</v>
      </c>
      <c r="GH662" s="14">
        <f t="shared" si="633"/>
        <v>50</v>
      </c>
      <c r="GI662" s="14" t="str">
        <f t="shared" si="634"/>
        <v/>
      </c>
      <c r="GJ662" s="14" t="str">
        <f t="shared" si="635"/>
        <v/>
      </c>
      <c r="GK662" s="14" t="str">
        <f t="shared" si="636"/>
        <v/>
      </c>
      <c r="GL662" s="14">
        <f t="shared" si="656"/>
        <v>20640</v>
      </c>
      <c r="GM662" s="14">
        <f t="shared" si="637"/>
        <v>5</v>
      </c>
      <c r="GN662" s="14">
        <f t="shared" si="638"/>
        <v>2064</v>
      </c>
      <c r="GO662" s="25" t="s">
        <v>1471</v>
      </c>
      <c r="GP662" s="14">
        <f t="shared" si="657"/>
        <v>500</v>
      </c>
    </row>
    <row r="663" spans="151:198" ht="16.5" x14ac:dyDescent="0.2">
      <c r="EU663" s="13">
        <v>658</v>
      </c>
      <c r="EV663" s="14">
        <f t="shared" si="658"/>
        <v>2</v>
      </c>
      <c r="EW663" s="14">
        <f t="shared" si="626"/>
        <v>223</v>
      </c>
      <c r="EX663" s="14">
        <f t="shared" si="659"/>
        <v>30</v>
      </c>
      <c r="EY663" s="14">
        <f t="shared" si="627"/>
        <v>40</v>
      </c>
      <c r="EZ663" s="14">
        <f t="shared" si="639"/>
        <v>17</v>
      </c>
      <c r="FA663" s="14">
        <f t="shared" si="640"/>
        <v>100</v>
      </c>
      <c r="FB663" s="14">
        <f t="shared" si="641"/>
        <v>4</v>
      </c>
      <c r="FC663" s="14">
        <f t="shared" si="642"/>
        <v>2</v>
      </c>
      <c r="FD663" s="14">
        <f t="shared" si="643"/>
        <v>2</v>
      </c>
      <c r="FE663" s="14" t="b">
        <f t="shared" si="660"/>
        <v>0</v>
      </c>
      <c r="FF663" s="14">
        <f t="shared" si="644"/>
        <v>2106402</v>
      </c>
      <c r="FG663" s="13" t="str">
        <f t="shared" si="645"/>
        <v>100级-史诗守护灵の头盔</v>
      </c>
      <c r="FH663" s="14">
        <f t="shared" si="646"/>
        <v>2</v>
      </c>
      <c r="FI663" s="14">
        <f t="shared" si="647"/>
        <v>4</v>
      </c>
      <c r="FJ663" s="14">
        <f t="shared" si="648"/>
        <v>100</v>
      </c>
      <c r="FK663" s="14">
        <v>224</v>
      </c>
      <c r="FL663" s="14">
        <f t="shared" si="649"/>
        <v>6</v>
      </c>
      <c r="FM663" s="14">
        <f t="shared" si="628"/>
        <v>2</v>
      </c>
      <c r="FN663" s="14" t="str">
        <f t="shared" si="650"/>
        <v/>
      </c>
      <c r="FO663" s="14">
        <f t="shared" si="629"/>
        <v>120</v>
      </c>
      <c r="FP663" s="14">
        <f t="shared" si="661"/>
        <v>0</v>
      </c>
      <c r="FQ663" s="14">
        <f t="shared" si="662"/>
        <v>225</v>
      </c>
      <c r="FR663" s="14">
        <f t="shared" si="663"/>
        <v>0</v>
      </c>
      <c r="FS663" s="14">
        <f t="shared" si="664"/>
        <v>0</v>
      </c>
      <c r="FT663" s="14">
        <f t="shared" si="665"/>
        <v>12</v>
      </c>
      <c r="FU663" s="14">
        <f t="shared" si="666"/>
        <v>0</v>
      </c>
      <c r="FV663" s="14">
        <f t="shared" si="651"/>
        <v>2064</v>
      </c>
      <c r="FW663" s="14">
        <f t="shared" si="652"/>
        <v>5</v>
      </c>
      <c r="FX663" s="14">
        <f t="shared" si="653"/>
        <v>2064</v>
      </c>
      <c r="FY663" s="25" t="str">
        <f t="shared" si="667"/>
        <v>icon_2106102</v>
      </c>
      <c r="GC663" s="14">
        <f t="shared" si="654"/>
        <v>2</v>
      </c>
      <c r="GD663" s="14">
        <f t="shared" si="655"/>
        <v>0</v>
      </c>
      <c r="GE663" s="14">
        <f t="shared" si="630"/>
        <v>120</v>
      </c>
      <c r="GF663" s="14" t="str">
        <f t="shared" si="631"/>
        <v>DefExt</v>
      </c>
      <c r="GG663" s="14">
        <f t="shared" si="632"/>
        <v>225</v>
      </c>
      <c r="GH663" s="14">
        <f t="shared" si="633"/>
        <v>12</v>
      </c>
      <c r="GI663" s="14" t="str">
        <f t="shared" si="634"/>
        <v/>
      </c>
      <c r="GJ663" s="14" t="str">
        <f t="shared" si="635"/>
        <v/>
      </c>
      <c r="GK663" s="14" t="str">
        <f t="shared" si="636"/>
        <v/>
      </c>
      <c r="GL663" s="14">
        <f t="shared" si="656"/>
        <v>20640</v>
      </c>
      <c r="GM663" s="14">
        <f t="shared" si="637"/>
        <v>5</v>
      </c>
      <c r="GN663" s="14">
        <f t="shared" si="638"/>
        <v>2064</v>
      </c>
      <c r="GO663" s="25" t="s">
        <v>1471</v>
      </c>
      <c r="GP663" s="14">
        <f t="shared" si="657"/>
        <v>250</v>
      </c>
    </row>
    <row r="664" spans="151:198" ht="16.5" x14ac:dyDescent="0.2">
      <c r="EU664" s="13">
        <v>659</v>
      </c>
      <c r="EV664" s="14">
        <f t="shared" si="658"/>
        <v>2</v>
      </c>
      <c r="EW664" s="14">
        <f t="shared" si="626"/>
        <v>224</v>
      </c>
      <c r="EX664" s="14">
        <f t="shared" si="659"/>
        <v>30</v>
      </c>
      <c r="EY664" s="14">
        <f t="shared" si="627"/>
        <v>40</v>
      </c>
      <c r="EZ664" s="14">
        <f t="shared" si="639"/>
        <v>17</v>
      </c>
      <c r="FA664" s="14">
        <f t="shared" si="640"/>
        <v>100</v>
      </c>
      <c r="FB664" s="14">
        <f t="shared" si="641"/>
        <v>4</v>
      </c>
      <c r="FC664" s="14">
        <f t="shared" si="642"/>
        <v>3</v>
      </c>
      <c r="FD664" s="14">
        <f t="shared" si="643"/>
        <v>3</v>
      </c>
      <c r="FE664" s="14" t="b">
        <f t="shared" si="660"/>
        <v>0</v>
      </c>
      <c r="FF664" s="14">
        <f t="shared" si="644"/>
        <v>2106403</v>
      </c>
      <c r="FG664" s="13" t="str">
        <f t="shared" si="645"/>
        <v>100级-史诗守护灵の铠甲</v>
      </c>
      <c r="FH664" s="14">
        <f t="shared" si="646"/>
        <v>2</v>
      </c>
      <c r="FI664" s="14">
        <f t="shared" si="647"/>
        <v>4</v>
      </c>
      <c r="FJ664" s="14">
        <f t="shared" si="648"/>
        <v>100</v>
      </c>
      <c r="FK664" s="14">
        <v>225</v>
      </c>
      <c r="FL664" s="14">
        <f t="shared" si="649"/>
        <v>6</v>
      </c>
      <c r="FM664" s="14">
        <f t="shared" si="628"/>
        <v>3</v>
      </c>
      <c r="FN664" s="14" t="str">
        <f t="shared" si="650"/>
        <v/>
      </c>
      <c r="FO664" s="14">
        <f t="shared" si="629"/>
        <v>168</v>
      </c>
      <c r="FP664" s="14">
        <f t="shared" si="661"/>
        <v>0</v>
      </c>
      <c r="FQ664" s="14">
        <f t="shared" si="662"/>
        <v>115</v>
      </c>
      <c r="FR664" s="14">
        <f t="shared" si="663"/>
        <v>1950</v>
      </c>
      <c r="FS664" s="14">
        <f t="shared" si="664"/>
        <v>0</v>
      </c>
      <c r="FT664" s="14">
        <f t="shared" si="665"/>
        <v>6</v>
      </c>
      <c r="FU664" s="14">
        <f t="shared" si="666"/>
        <v>108</v>
      </c>
      <c r="FV664" s="14">
        <f t="shared" si="651"/>
        <v>2064</v>
      </c>
      <c r="FW664" s="14">
        <f t="shared" si="652"/>
        <v>5</v>
      </c>
      <c r="FX664" s="14">
        <f t="shared" si="653"/>
        <v>2064</v>
      </c>
      <c r="FY664" s="25" t="str">
        <f t="shared" si="667"/>
        <v>icon_2106103</v>
      </c>
      <c r="GC664" s="14">
        <f t="shared" si="654"/>
        <v>2</v>
      </c>
      <c r="GD664" s="14">
        <f t="shared" si="655"/>
        <v>3</v>
      </c>
      <c r="GE664" s="14">
        <f t="shared" si="630"/>
        <v>168</v>
      </c>
      <c r="GF664" s="14" t="str">
        <f t="shared" si="631"/>
        <v>DefExt</v>
      </c>
      <c r="GG664" s="14">
        <f t="shared" si="632"/>
        <v>115</v>
      </c>
      <c r="GH664" s="14">
        <f t="shared" si="633"/>
        <v>6</v>
      </c>
      <c r="GI664" s="14" t="str">
        <f t="shared" si="634"/>
        <v>HPExt</v>
      </c>
      <c r="GJ664" s="14">
        <f t="shared" si="635"/>
        <v>1950</v>
      </c>
      <c r="GK664" s="14">
        <f t="shared" si="636"/>
        <v>108</v>
      </c>
      <c r="GL664" s="14">
        <f t="shared" si="656"/>
        <v>20640</v>
      </c>
      <c r="GM664" s="14">
        <f t="shared" si="637"/>
        <v>5</v>
      </c>
      <c r="GN664" s="14">
        <f t="shared" si="638"/>
        <v>2064</v>
      </c>
      <c r="GO664" s="25" t="s">
        <v>1471</v>
      </c>
      <c r="GP664" s="14">
        <f t="shared" si="657"/>
        <v>250</v>
      </c>
    </row>
    <row r="665" spans="151:198" ht="16.5" x14ac:dyDescent="0.2">
      <c r="EU665" s="13">
        <v>660</v>
      </c>
      <c r="EV665" s="14">
        <f t="shared" si="658"/>
        <v>2</v>
      </c>
      <c r="EW665" s="14">
        <f t="shared" si="626"/>
        <v>225</v>
      </c>
      <c r="EX665" s="14">
        <f t="shared" si="659"/>
        <v>30</v>
      </c>
      <c r="EY665" s="14">
        <f t="shared" si="627"/>
        <v>40</v>
      </c>
      <c r="EZ665" s="14">
        <f t="shared" si="639"/>
        <v>17</v>
      </c>
      <c r="FA665" s="14">
        <f t="shared" si="640"/>
        <v>100</v>
      </c>
      <c r="FB665" s="14">
        <f t="shared" si="641"/>
        <v>4</v>
      </c>
      <c r="FC665" s="14">
        <f t="shared" si="642"/>
        <v>4</v>
      </c>
      <c r="FD665" s="14">
        <f t="shared" si="643"/>
        <v>4</v>
      </c>
      <c r="FE665" s="14" t="b">
        <f t="shared" si="660"/>
        <v>0</v>
      </c>
      <c r="FF665" s="14">
        <f t="shared" si="644"/>
        <v>2106404</v>
      </c>
      <c r="FG665" s="13" t="str">
        <f t="shared" si="645"/>
        <v>100级-史诗守护灵の裤子</v>
      </c>
      <c r="FH665" s="14">
        <f t="shared" si="646"/>
        <v>2</v>
      </c>
      <c r="FI665" s="14">
        <f t="shared" si="647"/>
        <v>4</v>
      </c>
      <c r="FJ665" s="14">
        <f t="shared" si="648"/>
        <v>100</v>
      </c>
      <c r="FK665" s="14">
        <v>226</v>
      </c>
      <c r="FL665" s="14">
        <f t="shared" si="649"/>
        <v>6</v>
      </c>
      <c r="FM665" s="14">
        <f t="shared" si="628"/>
        <v>4</v>
      </c>
      <c r="FN665" s="14" t="str">
        <f t="shared" si="650"/>
        <v/>
      </c>
      <c r="FO665" s="14">
        <f t="shared" si="629"/>
        <v>120</v>
      </c>
      <c r="FP665" s="14">
        <f t="shared" si="661"/>
        <v>0</v>
      </c>
      <c r="FQ665" s="14">
        <f t="shared" si="662"/>
        <v>225</v>
      </c>
      <c r="FR665" s="14">
        <f t="shared" si="663"/>
        <v>0</v>
      </c>
      <c r="FS665" s="14">
        <f t="shared" si="664"/>
        <v>0</v>
      </c>
      <c r="FT665" s="14">
        <f t="shared" si="665"/>
        <v>12</v>
      </c>
      <c r="FU665" s="14">
        <f t="shared" si="666"/>
        <v>0</v>
      </c>
      <c r="FV665" s="14">
        <f t="shared" si="651"/>
        <v>2064</v>
      </c>
      <c r="FW665" s="14">
        <f t="shared" si="652"/>
        <v>5</v>
      </c>
      <c r="FX665" s="14">
        <f t="shared" si="653"/>
        <v>2064</v>
      </c>
      <c r="FY665" s="25" t="str">
        <f t="shared" si="667"/>
        <v>icon_2106104</v>
      </c>
      <c r="GC665" s="14">
        <f t="shared" si="654"/>
        <v>2</v>
      </c>
      <c r="GD665" s="14">
        <f t="shared" si="655"/>
        <v>0</v>
      </c>
      <c r="GE665" s="14">
        <f t="shared" si="630"/>
        <v>120</v>
      </c>
      <c r="GF665" s="14" t="str">
        <f t="shared" si="631"/>
        <v>DefExt</v>
      </c>
      <c r="GG665" s="14">
        <f t="shared" si="632"/>
        <v>225</v>
      </c>
      <c r="GH665" s="14">
        <f t="shared" si="633"/>
        <v>12</v>
      </c>
      <c r="GI665" s="14" t="str">
        <f t="shared" si="634"/>
        <v/>
      </c>
      <c r="GJ665" s="14" t="str">
        <f t="shared" si="635"/>
        <v/>
      </c>
      <c r="GK665" s="14" t="str">
        <f t="shared" si="636"/>
        <v/>
      </c>
      <c r="GL665" s="14">
        <f t="shared" si="656"/>
        <v>20640</v>
      </c>
      <c r="GM665" s="14">
        <f t="shared" si="637"/>
        <v>5</v>
      </c>
      <c r="GN665" s="14">
        <f t="shared" si="638"/>
        <v>2064</v>
      </c>
      <c r="GO665" s="25" t="s">
        <v>1471</v>
      </c>
      <c r="GP665" s="14">
        <f t="shared" si="657"/>
        <v>250</v>
      </c>
    </row>
    <row r="666" spans="151:198" ht="16.5" x14ac:dyDescent="0.2">
      <c r="EU666" s="13">
        <v>661</v>
      </c>
      <c r="EV666" s="14">
        <f t="shared" si="658"/>
        <v>2</v>
      </c>
      <c r="EW666" s="14">
        <f t="shared" si="626"/>
        <v>226</v>
      </c>
      <c r="EX666" s="14">
        <f t="shared" si="659"/>
        <v>30</v>
      </c>
      <c r="EY666" s="14">
        <f t="shared" si="627"/>
        <v>40</v>
      </c>
      <c r="EZ666" s="14">
        <f t="shared" si="639"/>
        <v>17</v>
      </c>
      <c r="FA666" s="14">
        <f t="shared" si="640"/>
        <v>100</v>
      </c>
      <c r="FB666" s="14">
        <f t="shared" si="641"/>
        <v>4</v>
      </c>
      <c r="FC666" s="14">
        <f t="shared" si="642"/>
        <v>5</v>
      </c>
      <c r="FD666" s="14">
        <f t="shared" si="643"/>
        <v>5</v>
      </c>
      <c r="FE666" s="14" t="b">
        <f t="shared" si="660"/>
        <v>0</v>
      </c>
      <c r="FF666" s="14">
        <f t="shared" si="644"/>
        <v>2106405</v>
      </c>
      <c r="FG666" s="13" t="str">
        <f t="shared" si="645"/>
        <v>100级-史诗守护灵の鞋子</v>
      </c>
      <c r="FH666" s="14">
        <f t="shared" si="646"/>
        <v>2</v>
      </c>
      <c r="FI666" s="14">
        <f t="shared" si="647"/>
        <v>4</v>
      </c>
      <c r="FJ666" s="14">
        <f t="shared" si="648"/>
        <v>100</v>
      </c>
      <c r="FK666" s="14">
        <v>227</v>
      </c>
      <c r="FL666" s="14">
        <f t="shared" si="649"/>
        <v>6</v>
      </c>
      <c r="FM666" s="14">
        <f t="shared" si="628"/>
        <v>5</v>
      </c>
      <c r="FN666" s="14" t="str">
        <f t="shared" si="650"/>
        <v/>
      </c>
      <c r="FO666" s="14">
        <f t="shared" si="629"/>
        <v>217</v>
      </c>
      <c r="FP666" s="14">
        <f t="shared" si="661"/>
        <v>0</v>
      </c>
      <c r="FQ666" s="14">
        <f t="shared" si="662"/>
        <v>0</v>
      </c>
      <c r="FR666" s="14">
        <f t="shared" si="663"/>
        <v>3900</v>
      </c>
      <c r="FS666" s="14">
        <f t="shared" si="664"/>
        <v>0</v>
      </c>
      <c r="FT666" s="14">
        <f t="shared" si="665"/>
        <v>0</v>
      </c>
      <c r="FU666" s="14">
        <f t="shared" si="666"/>
        <v>217</v>
      </c>
      <c r="FV666" s="14">
        <f t="shared" si="651"/>
        <v>2064</v>
      </c>
      <c r="FW666" s="14">
        <f t="shared" si="652"/>
        <v>5</v>
      </c>
      <c r="FX666" s="14">
        <f t="shared" si="653"/>
        <v>2064</v>
      </c>
      <c r="FY666" s="25" t="str">
        <f t="shared" si="667"/>
        <v>icon_2106105</v>
      </c>
      <c r="GC666" s="14">
        <f t="shared" si="654"/>
        <v>3</v>
      </c>
      <c r="GD666" s="14">
        <f t="shared" si="655"/>
        <v>0</v>
      </c>
      <c r="GE666" s="14">
        <f t="shared" si="630"/>
        <v>217</v>
      </c>
      <c r="GF666" s="14" t="str">
        <f t="shared" si="631"/>
        <v>HPExt</v>
      </c>
      <c r="GG666" s="14">
        <f t="shared" si="632"/>
        <v>3900</v>
      </c>
      <c r="GH666" s="14">
        <f t="shared" si="633"/>
        <v>217</v>
      </c>
      <c r="GI666" s="14" t="str">
        <f t="shared" si="634"/>
        <v/>
      </c>
      <c r="GJ666" s="14" t="str">
        <f t="shared" si="635"/>
        <v/>
      </c>
      <c r="GK666" s="14" t="str">
        <f t="shared" si="636"/>
        <v/>
      </c>
      <c r="GL666" s="14">
        <f t="shared" si="656"/>
        <v>20640</v>
      </c>
      <c r="GM666" s="14">
        <f t="shared" si="637"/>
        <v>5</v>
      </c>
      <c r="GN666" s="14">
        <f t="shared" si="638"/>
        <v>2064</v>
      </c>
      <c r="GO666" s="25" t="s">
        <v>1471</v>
      </c>
      <c r="GP666" s="14">
        <f t="shared" si="657"/>
        <v>250</v>
      </c>
    </row>
    <row r="667" spans="151:198" ht="16.5" x14ac:dyDescent="0.2">
      <c r="EU667" s="13">
        <v>662</v>
      </c>
      <c r="EV667" s="14">
        <f t="shared" si="658"/>
        <v>2</v>
      </c>
      <c r="EW667" s="14">
        <f t="shared" si="626"/>
        <v>227</v>
      </c>
      <c r="EX667" s="14">
        <f t="shared" si="659"/>
        <v>30</v>
      </c>
      <c r="EY667" s="14">
        <f t="shared" si="627"/>
        <v>40</v>
      </c>
      <c r="EZ667" s="14">
        <f t="shared" si="639"/>
        <v>17</v>
      </c>
      <c r="FA667" s="14">
        <f t="shared" si="640"/>
        <v>100</v>
      </c>
      <c r="FB667" s="14">
        <f t="shared" si="641"/>
        <v>4</v>
      </c>
      <c r="FC667" s="14">
        <f t="shared" si="642"/>
        <v>6</v>
      </c>
      <c r="FD667" s="14">
        <f t="shared" si="643"/>
        <v>6</v>
      </c>
      <c r="FE667" s="14" t="b">
        <f t="shared" si="660"/>
        <v>0</v>
      </c>
      <c r="FF667" s="14">
        <f t="shared" si="644"/>
        <v>2106406</v>
      </c>
      <c r="FG667" s="13" t="str">
        <f t="shared" si="645"/>
        <v>100级-史诗守护灵の护手</v>
      </c>
      <c r="FH667" s="14">
        <f t="shared" si="646"/>
        <v>2</v>
      </c>
      <c r="FI667" s="14">
        <f t="shared" si="647"/>
        <v>4</v>
      </c>
      <c r="FJ667" s="14">
        <f t="shared" si="648"/>
        <v>100</v>
      </c>
      <c r="FK667" s="14">
        <v>228</v>
      </c>
      <c r="FL667" s="14">
        <f t="shared" si="649"/>
        <v>6</v>
      </c>
      <c r="FM667" s="14">
        <f t="shared" si="628"/>
        <v>6</v>
      </c>
      <c r="FN667" s="14" t="str">
        <f t="shared" si="650"/>
        <v/>
      </c>
      <c r="FO667" s="14">
        <f t="shared" si="629"/>
        <v>217</v>
      </c>
      <c r="FP667" s="14">
        <f t="shared" si="661"/>
        <v>0</v>
      </c>
      <c r="FQ667" s="14">
        <f t="shared" si="662"/>
        <v>0</v>
      </c>
      <c r="FR667" s="14">
        <f t="shared" si="663"/>
        <v>3900</v>
      </c>
      <c r="FS667" s="14">
        <f t="shared" si="664"/>
        <v>0</v>
      </c>
      <c r="FT667" s="14">
        <f t="shared" si="665"/>
        <v>0</v>
      </c>
      <c r="FU667" s="14">
        <f t="shared" si="666"/>
        <v>217</v>
      </c>
      <c r="FV667" s="14">
        <f t="shared" si="651"/>
        <v>2064</v>
      </c>
      <c r="FW667" s="14">
        <f t="shared" si="652"/>
        <v>5</v>
      </c>
      <c r="FX667" s="14">
        <f t="shared" si="653"/>
        <v>2064</v>
      </c>
      <c r="FY667" s="25" t="str">
        <f t="shared" si="667"/>
        <v>icon_2106106</v>
      </c>
      <c r="GC667" s="14">
        <f t="shared" si="654"/>
        <v>3</v>
      </c>
      <c r="GD667" s="14">
        <f t="shared" si="655"/>
        <v>0</v>
      </c>
      <c r="GE667" s="14">
        <f t="shared" si="630"/>
        <v>217</v>
      </c>
      <c r="GF667" s="14" t="str">
        <f t="shared" si="631"/>
        <v>HPExt</v>
      </c>
      <c r="GG667" s="14">
        <f t="shared" si="632"/>
        <v>3900</v>
      </c>
      <c r="GH667" s="14">
        <f t="shared" si="633"/>
        <v>217</v>
      </c>
      <c r="GI667" s="14" t="str">
        <f t="shared" si="634"/>
        <v/>
      </c>
      <c r="GJ667" s="14" t="str">
        <f t="shared" si="635"/>
        <v/>
      </c>
      <c r="GK667" s="14" t="str">
        <f t="shared" si="636"/>
        <v/>
      </c>
      <c r="GL667" s="14">
        <f t="shared" si="656"/>
        <v>20640</v>
      </c>
      <c r="GM667" s="14">
        <f t="shared" si="637"/>
        <v>5</v>
      </c>
      <c r="GN667" s="14">
        <f t="shared" si="638"/>
        <v>2064</v>
      </c>
      <c r="GO667" s="25" t="s">
        <v>1471</v>
      </c>
      <c r="GP667" s="14">
        <f t="shared" si="657"/>
        <v>250</v>
      </c>
    </row>
    <row r="668" spans="151:198" ht="16.5" x14ac:dyDescent="0.2">
      <c r="EU668" s="13">
        <v>663</v>
      </c>
      <c r="EV668" s="14">
        <f t="shared" si="658"/>
        <v>2</v>
      </c>
      <c r="EW668" s="14">
        <f t="shared" si="626"/>
        <v>228</v>
      </c>
      <c r="EX668" s="14">
        <f t="shared" si="659"/>
        <v>30</v>
      </c>
      <c r="EY668" s="14">
        <f t="shared" si="627"/>
        <v>40</v>
      </c>
      <c r="EZ668" s="14">
        <f t="shared" si="639"/>
        <v>17</v>
      </c>
      <c r="FA668" s="14">
        <f t="shared" si="640"/>
        <v>100</v>
      </c>
      <c r="FB668" s="14">
        <f t="shared" si="641"/>
        <v>4</v>
      </c>
      <c r="FC668" s="14">
        <f t="shared" si="642"/>
        <v>7</v>
      </c>
      <c r="FD668" s="14">
        <f t="shared" si="643"/>
        <v>7</v>
      </c>
      <c r="FE668" s="14" t="b">
        <f t="shared" si="660"/>
        <v>0</v>
      </c>
      <c r="FF668" s="14">
        <f t="shared" si="644"/>
        <v>2106407</v>
      </c>
      <c r="FG668" s="13" t="str">
        <f t="shared" si="645"/>
        <v>100级-史诗守护灵の项链</v>
      </c>
      <c r="FH668" s="14">
        <f t="shared" si="646"/>
        <v>2</v>
      </c>
      <c r="FI668" s="14">
        <f t="shared" si="647"/>
        <v>4</v>
      </c>
      <c r="FJ668" s="14">
        <f t="shared" si="648"/>
        <v>100</v>
      </c>
      <c r="FK668" s="14">
        <v>229</v>
      </c>
      <c r="FL668" s="14">
        <f t="shared" si="649"/>
        <v>6</v>
      </c>
      <c r="FM668" s="14">
        <f t="shared" si="628"/>
        <v>7</v>
      </c>
      <c r="FN668" s="14" t="str">
        <f t="shared" si="650"/>
        <v/>
      </c>
      <c r="FO668" s="14">
        <f t="shared" si="629"/>
        <v>185</v>
      </c>
      <c r="FP668" s="14">
        <f t="shared" si="661"/>
        <v>295</v>
      </c>
      <c r="FQ668" s="14">
        <f t="shared" si="662"/>
        <v>190</v>
      </c>
      <c r="FR668" s="14">
        <f t="shared" si="663"/>
        <v>0</v>
      </c>
      <c r="FS668" s="14">
        <f t="shared" si="664"/>
        <v>17</v>
      </c>
      <c r="FT668" s="14">
        <f t="shared" si="665"/>
        <v>10</v>
      </c>
      <c r="FU668" s="14">
        <f t="shared" si="666"/>
        <v>0</v>
      </c>
      <c r="FV668" s="14">
        <f t="shared" si="651"/>
        <v>2064</v>
      </c>
      <c r="FW668" s="14">
        <f t="shared" si="652"/>
        <v>5</v>
      </c>
      <c r="FX668" s="14">
        <f t="shared" si="653"/>
        <v>2064</v>
      </c>
      <c r="FY668" s="25" t="str">
        <f t="shared" si="667"/>
        <v>icon_2106107</v>
      </c>
      <c r="GC668" s="14">
        <f t="shared" si="654"/>
        <v>1</v>
      </c>
      <c r="GD668" s="14">
        <f t="shared" si="655"/>
        <v>2</v>
      </c>
      <c r="GE668" s="14">
        <f t="shared" si="630"/>
        <v>185</v>
      </c>
      <c r="GF668" s="14" t="str">
        <f t="shared" si="631"/>
        <v>AtkExt</v>
      </c>
      <c r="GG668" s="14">
        <f t="shared" si="632"/>
        <v>295</v>
      </c>
      <c r="GH668" s="14">
        <f t="shared" si="633"/>
        <v>17</v>
      </c>
      <c r="GI668" s="14" t="str">
        <f t="shared" si="634"/>
        <v>DefExt</v>
      </c>
      <c r="GJ668" s="14">
        <f t="shared" si="635"/>
        <v>190</v>
      </c>
      <c r="GK668" s="14">
        <f t="shared" si="636"/>
        <v>10</v>
      </c>
      <c r="GL668" s="14">
        <f t="shared" si="656"/>
        <v>20640</v>
      </c>
      <c r="GM668" s="14">
        <f t="shared" si="637"/>
        <v>5</v>
      </c>
      <c r="GN668" s="14">
        <f t="shared" si="638"/>
        <v>2064</v>
      </c>
      <c r="GO668" s="25" t="s">
        <v>1471</v>
      </c>
      <c r="GP668" s="14">
        <f t="shared" si="657"/>
        <v>375</v>
      </c>
    </row>
    <row r="669" spans="151:198" ht="16.5" x14ac:dyDescent="0.2">
      <c r="EU669" s="13">
        <v>664</v>
      </c>
      <c r="EV669" s="14">
        <f t="shared" si="658"/>
        <v>2</v>
      </c>
      <c r="EW669" s="14">
        <f t="shared" si="626"/>
        <v>229</v>
      </c>
      <c r="EX669" s="14">
        <f t="shared" si="659"/>
        <v>30</v>
      </c>
      <c r="EY669" s="14">
        <f t="shared" si="627"/>
        <v>40</v>
      </c>
      <c r="EZ669" s="14">
        <f t="shared" si="639"/>
        <v>17</v>
      </c>
      <c r="FA669" s="14">
        <f t="shared" si="640"/>
        <v>100</v>
      </c>
      <c r="FB669" s="14">
        <f t="shared" si="641"/>
        <v>4</v>
      </c>
      <c r="FC669" s="14">
        <f t="shared" si="642"/>
        <v>8</v>
      </c>
      <c r="FD669" s="14">
        <f t="shared" si="643"/>
        <v>8</v>
      </c>
      <c r="FE669" s="14" t="b">
        <f t="shared" si="660"/>
        <v>0</v>
      </c>
      <c r="FF669" s="14">
        <f t="shared" si="644"/>
        <v>2106408</v>
      </c>
      <c r="FG669" s="13" t="str">
        <f t="shared" si="645"/>
        <v>100级-史诗守护灵の戒指</v>
      </c>
      <c r="FH669" s="14">
        <f t="shared" si="646"/>
        <v>2</v>
      </c>
      <c r="FI669" s="14">
        <f t="shared" si="647"/>
        <v>4</v>
      </c>
      <c r="FJ669" s="14">
        <f t="shared" si="648"/>
        <v>100</v>
      </c>
      <c r="FK669" s="14">
        <v>230</v>
      </c>
      <c r="FL669" s="14">
        <f t="shared" si="649"/>
        <v>6</v>
      </c>
      <c r="FM669" s="14">
        <f t="shared" si="628"/>
        <v>8</v>
      </c>
      <c r="FN669" s="14" t="str">
        <f t="shared" si="650"/>
        <v/>
      </c>
      <c r="FO669" s="14">
        <f t="shared" si="629"/>
        <v>266</v>
      </c>
      <c r="FP669" s="14">
        <f t="shared" si="661"/>
        <v>295</v>
      </c>
      <c r="FQ669" s="14">
        <f t="shared" si="662"/>
        <v>0</v>
      </c>
      <c r="FR669" s="14">
        <f t="shared" si="663"/>
        <v>3250</v>
      </c>
      <c r="FS669" s="14">
        <f t="shared" si="664"/>
        <v>17</v>
      </c>
      <c r="FT669" s="14">
        <f t="shared" si="665"/>
        <v>0</v>
      </c>
      <c r="FU669" s="14">
        <f t="shared" si="666"/>
        <v>181</v>
      </c>
      <c r="FV669" s="14">
        <f t="shared" si="651"/>
        <v>2064</v>
      </c>
      <c r="FW669" s="14">
        <f t="shared" si="652"/>
        <v>5</v>
      </c>
      <c r="FX669" s="14">
        <f t="shared" si="653"/>
        <v>2064</v>
      </c>
      <c r="FY669" s="25" t="str">
        <f t="shared" si="667"/>
        <v>icon_2106108</v>
      </c>
      <c r="GC669" s="14">
        <f t="shared" si="654"/>
        <v>1</v>
      </c>
      <c r="GD669" s="14">
        <f t="shared" si="655"/>
        <v>3</v>
      </c>
      <c r="GE669" s="14">
        <f t="shared" si="630"/>
        <v>266</v>
      </c>
      <c r="GF669" s="14" t="str">
        <f t="shared" si="631"/>
        <v>AtkExt</v>
      </c>
      <c r="GG669" s="14">
        <f t="shared" si="632"/>
        <v>295</v>
      </c>
      <c r="GH669" s="14">
        <f t="shared" si="633"/>
        <v>17</v>
      </c>
      <c r="GI669" s="14" t="str">
        <f t="shared" si="634"/>
        <v>HPExt</v>
      </c>
      <c r="GJ669" s="14">
        <f t="shared" si="635"/>
        <v>3250</v>
      </c>
      <c r="GK669" s="14">
        <f t="shared" si="636"/>
        <v>181</v>
      </c>
      <c r="GL669" s="14">
        <f t="shared" si="656"/>
        <v>20640</v>
      </c>
      <c r="GM669" s="14">
        <f t="shared" si="637"/>
        <v>5</v>
      </c>
      <c r="GN669" s="14">
        <f t="shared" si="638"/>
        <v>2064</v>
      </c>
      <c r="GO669" s="25" t="s">
        <v>1471</v>
      </c>
      <c r="GP669" s="14">
        <f t="shared" si="657"/>
        <v>375</v>
      </c>
    </row>
    <row r="670" spans="151:198" ht="16.5" x14ac:dyDescent="0.2">
      <c r="EU670" s="13">
        <v>665</v>
      </c>
      <c r="EV670" s="14">
        <f t="shared" si="658"/>
        <v>2</v>
      </c>
      <c r="EW670" s="14">
        <f t="shared" si="626"/>
        <v>230</v>
      </c>
      <c r="EX670" s="14">
        <f t="shared" si="659"/>
        <v>31</v>
      </c>
      <c r="EY670" s="14">
        <f t="shared" si="627"/>
        <v>41</v>
      </c>
      <c r="EZ670" s="14">
        <f t="shared" si="639"/>
        <v>17</v>
      </c>
      <c r="FA670" s="14">
        <f t="shared" si="640"/>
        <v>100</v>
      </c>
      <c r="FB670" s="14">
        <f t="shared" si="641"/>
        <v>4</v>
      </c>
      <c r="FC670" s="14">
        <f t="shared" si="642"/>
        <v>1</v>
      </c>
      <c r="FD670" s="14">
        <f t="shared" si="643"/>
        <v>1</v>
      </c>
      <c r="FE670" s="14" t="b">
        <f t="shared" si="660"/>
        <v>1</v>
      </c>
      <c r="FF670" s="14">
        <f t="shared" si="644"/>
        <v>2106411</v>
      </c>
      <c r="FG670" s="13" t="str">
        <f t="shared" si="645"/>
        <v>100级-攻击套守护灵の灵器</v>
      </c>
      <c r="FH670" s="14">
        <f t="shared" si="646"/>
        <v>2</v>
      </c>
      <c r="FI670" s="14">
        <f t="shared" si="647"/>
        <v>4</v>
      </c>
      <c r="FJ670" s="14">
        <f t="shared" si="648"/>
        <v>100</v>
      </c>
      <c r="FK670" s="14">
        <v>231</v>
      </c>
      <c r="FL670" s="14">
        <f t="shared" si="649"/>
        <v>6</v>
      </c>
      <c r="FM670" s="14">
        <f t="shared" si="628"/>
        <v>1</v>
      </c>
      <c r="FN670" s="14">
        <f t="shared" si="650"/>
        <v>210641</v>
      </c>
      <c r="FO670" s="14">
        <f t="shared" si="629"/>
        <v>375</v>
      </c>
      <c r="FP670" s="14">
        <f t="shared" si="661"/>
        <v>890</v>
      </c>
      <c r="FQ670" s="14">
        <f t="shared" si="662"/>
        <v>0</v>
      </c>
      <c r="FR670" s="14">
        <f t="shared" si="663"/>
        <v>0</v>
      </c>
      <c r="FS670" s="14">
        <f t="shared" si="664"/>
        <v>50</v>
      </c>
      <c r="FT670" s="14">
        <f t="shared" si="665"/>
        <v>0</v>
      </c>
      <c r="FU670" s="14">
        <f t="shared" si="666"/>
        <v>0</v>
      </c>
      <c r="FV670" s="14">
        <f t="shared" si="651"/>
        <v>2064</v>
      </c>
      <c r="FW670" s="14">
        <f t="shared" si="652"/>
        <v>5</v>
      </c>
      <c r="FX670" s="14">
        <f t="shared" si="653"/>
        <v>2064</v>
      </c>
      <c r="FY670" s="25" t="str">
        <f t="shared" si="667"/>
        <v>icon_2106411</v>
      </c>
      <c r="GC670" s="14">
        <f t="shared" si="654"/>
        <v>1</v>
      </c>
      <c r="GD670" s="14">
        <f t="shared" si="655"/>
        <v>0</v>
      </c>
      <c r="GE670" s="14">
        <f t="shared" si="630"/>
        <v>375</v>
      </c>
      <c r="GF670" s="14" t="str">
        <f t="shared" si="631"/>
        <v>AtkExt</v>
      </c>
      <c r="GG670" s="14">
        <f t="shared" si="632"/>
        <v>890</v>
      </c>
      <c r="GH670" s="14">
        <f t="shared" si="633"/>
        <v>50</v>
      </c>
      <c r="GI670" s="14" t="str">
        <f t="shared" si="634"/>
        <v/>
      </c>
      <c r="GJ670" s="14" t="str">
        <f t="shared" si="635"/>
        <v/>
      </c>
      <c r="GK670" s="14" t="str">
        <f t="shared" si="636"/>
        <v/>
      </c>
      <c r="GL670" s="14">
        <f t="shared" si="656"/>
        <v>20640</v>
      </c>
      <c r="GM670" s="14">
        <f t="shared" si="637"/>
        <v>5</v>
      </c>
      <c r="GN670" s="14">
        <f t="shared" si="638"/>
        <v>2064</v>
      </c>
      <c r="GO670" s="25" t="s">
        <v>1471</v>
      </c>
      <c r="GP670" s="14">
        <f t="shared" si="657"/>
        <v>500</v>
      </c>
    </row>
    <row r="671" spans="151:198" ht="16.5" x14ac:dyDescent="0.2">
      <c r="EU671" s="13">
        <v>666</v>
      </c>
      <c r="EV671" s="14">
        <f t="shared" si="658"/>
        <v>2</v>
      </c>
      <c r="EW671" s="14">
        <f t="shared" si="626"/>
        <v>231</v>
      </c>
      <c r="EX671" s="14">
        <f t="shared" si="659"/>
        <v>31</v>
      </c>
      <c r="EY671" s="14">
        <f t="shared" si="627"/>
        <v>41</v>
      </c>
      <c r="EZ671" s="14">
        <f t="shared" si="639"/>
        <v>17</v>
      </c>
      <c r="FA671" s="14">
        <f t="shared" si="640"/>
        <v>100</v>
      </c>
      <c r="FB671" s="14">
        <f t="shared" si="641"/>
        <v>4</v>
      </c>
      <c r="FC671" s="14">
        <f t="shared" si="642"/>
        <v>2</v>
      </c>
      <c r="FD671" s="14">
        <f t="shared" si="643"/>
        <v>2</v>
      </c>
      <c r="FE671" s="14" t="b">
        <f t="shared" si="660"/>
        <v>1</v>
      </c>
      <c r="FF671" s="14">
        <f t="shared" si="644"/>
        <v>2106412</v>
      </c>
      <c r="FG671" s="13" t="str">
        <f t="shared" si="645"/>
        <v>100级-攻击套守护灵の头盔</v>
      </c>
      <c r="FH671" s="14">
        <f t="shared" si="646"/>
        <v>2</v>
      </c>
      <c r="FI671" s="14">
        <f t="shared" si="647"/>
        <v>4</v>
      </c>
      <c r="FJ671" s="14">
        <f t="shared" si="648"/>
        <v>100</v>
      </c>
      <c r="FK671" s="14">
        <v>232</v>
      </c>
      <c r="FL671" s="14">
        <f t="shared" si="649"/>
        <v>6</v>
      </c>
      <c r="FM671" s="14">
        <f t="shared" si="628"/>
        <v>2</v>
      </c>
      <c r="FN671" s="14">
        <f t="shared" si="650"/>
        <v>210641</v>
      </c>
      <c r="FO671" s="14">
        <f t="shared" si="629"/>
        <v>180</v>
      </c>
      <c r="FP671" s="14">
        <f t="shared" si="661"/>
        <v>0</v>
      </c>
      <c r="FQ671" s="14">
        <f t="shared" si="662"/>
        <v>225</v>
      </c>
      <c r="FR671" s="14">
        <f t="shared" si="663"/>
        <v>0</v>
      </c>
      <c r="FS671" s="14">
        <f t="shared" si="664"/>
        <v>0</v>
      </c>
      <c r="FT671" s="14">
        <f t="shared" si="665"/>
        <v>12</v>
      </c>
      <c r="FU671" s="14">
        <f t="shared" si="666"/>
        <v>0</v>
      </c>
      <c r="FV671" s="14">
        <f t="shared" si="651"/>
        <v>2064</v>
      </c>
      <c r="FW671" s="14">
        <f t="shared" si="652"/>
        <v>5</v>
      </c>
      <c r="FX671" s="14">
        <f t="shared" si="653"/>
        <v>2064</v>
      </c>
      <c r="FY671" s="25" t="str">
        <f t="shared" si="667"/>
        <v>icon_2106412</v>
      </c>
      <c r="GC671" s="14">
        <f t="shared" si="654"/>
        <v>2</v>
      </c>
      <c r="GD671" s="14">
        <f t="shared" si="655"/>
        <v>0</v>
      </c>
      <c r="GE671" s="14">
        <f t="shared" si="630"/>
        <v>180</v>
      </c>
      <c r="GF671" s="14" t="str">
        <f t="shared" si="631"/>
        <v>DefExt</v>
      </c>
      <c r="GG671" s="14">
        <f t="shared" si="632"/>
        <v>225</v>
      </c>
      <c r="GH671" s="14">
        <f t="shared" si="633"/>
        <v>12</v>
      </c>
      <c r="GI671" s="14" t="str">
        <f t="shared" si="634"/>
        <v/>
      </c>
      <c r="GJ671" s="14" t="str">
        <f t="shared" si="635"/>
        <v/>
      </c>
      <c r="GK671" s="14" t="str">
        <f t="shared" si="636"/>
        <v/>
      </c>
      <c r="GL671" s="14">
        <f t="shared" si="656"/>
        <v>20640</v>
      </c>
      <c r="GM671" s="14">
        <f t="shared" si="637"/>
        <v>5</v>
      </c>
      <c r="GN671" s="14">
        <f t="shared" si="638"/>
        <v>2064</v>
      </c>
      <c r="GO671" s="25" t="s">
        <v>1471</v>
      </c>
      <c r="GP671" s="14">
        <f t="shared" si="657"/>
        <v>250</v>
      </c>
    </row>
    <row r="672" spans="151:198" ht="16.5" x14ac:dyDescent="0.2">
      <c r="EU672" s="13">
        <v>667</v>
      </c>
      <c r="EV672" s="14">
        <f t="shared" si="658"/>
        <v>2</v>
      </c>
      <c r="EW672" s="14">
        <f t="shared" si="626"/>
        <v>232</v>
      </c>
      <c r="EX672" s="14">
        <f t="shared" si="659"/>
        <v>31</v>
      </c>
      <c r="EY672" s="14">
        <f t="shared" si="627"/>
        <v>41</v>
      </c>
      <c r="EZ672" s="14">
        <f t="shared" si="639"/>
        <v>17</v>
      </c>
      <c r="FA672" s="14">
        <f t="shared" si="640"/>
        <v>100</v>
      </c>
      <c r="FB672" s="14">
        <f t="shared" si="641"/>
        <v>4</v>
      </c>
      <c r="FC672" s="14">
        <f t="shared" si="642"/>
        <v>3</v>
      </c>
      <c r="FD672" s="14">
        <f t="shared" si="643"/>
        <v>3</v>
      </c>
      <c r="FE672" s="14" t="b">
        <f t="shared" si="660"/>
        <v>1</v>
      </c>
      <c r="FF672" s="14">
        <f t="shared" si="644"/>
        <v>2106413</v>
      </c>
      <c r="FG672" s="13" t="str">
        <f t="shared" si="645"/>
        <v>100级-攻击套守护灵の铠甲</v>
      </c>
      <c r="FH672" s="14">
        <f t="shared" si="646"/>
        <v>2</v>
      </c>
      <c r="FI672" s="14">
        <f t="shared" si="647"/>
        <v>4</v>
      </c>
      <c r="FJ672" s="14">
        <f t="shared" si="648"/>
        <v>100</v>
      </c>
      <c r="FK672" s="14">
        <v>233</v>
      </c>
      <c r="FL672" s="14">
        <f t="shared" si="649"/>
        <v>6</v>
      </c>
      <c r="FM672" s="14">
        <f t="shared" si="628"/>
        <v>3</v>
      </c>
      <c r="FN672" s="14">
        <f t="shared" si="650"/>
        <v>210641</v>
      </c>
      <c r="FO672" s="14">
        <f t="shared" si="629"/>
        <v>252</v>
      </c>
      <c r="FP672" s="14">
        <f t="shared" si="661"/>
        <v>0</v>
      </c>
      <c r="FQ672" s="14">
        <f t="shared" si="662"/>
        <v>115</v>
      </c>
      <c r="FR672" s="14">
        <f t="shared" si="663"/>
        <v>1950</v>
      </c>
      <c r="FS672" s="14">
        <f t="shared" si="664"/>
        <v>0</v>
      </c>
      <c r="FT672" s="14">
        <f t="shared" si="665"/>
        <v>6</v>
      </c>
      <c r="FU672" s="14">
        <f t="shared" si="666"/>
        <v>108</v>
      </c>
      <c r="FV672" s="14">
        <f t="shared" si="651"/>
        <v>2064</v>
      </c>
      <c r="FW672" s="14">
        <f t="shared" si="652"/>
        <v>5</v>
      </c>
      <c r="FX672" s="14">
        <f t="shared" si="653"/>
        <v>2064</v>
      </c>
      <c r="FY672" s="25" t="str">
        <f t="shared" si="667"/>
        <v>icon_2106413</v>
      </c>
      <c r="GC672" s="14">
        <f t="shared" si="654"/>
        <v>2</v>
      </c>
      <c r="GD672" s="14">
        <f t="shared" si="655"/>
        <v>3</v>
      </c>
      <c r="GE672" s="14">
        <f t="shared" si="630"/>
        <v>252</v>
      </c>
      <c r="GF672" s="14" t="str">
        <f t="shared" si="631"/>
        <v>DefExt</v>
      </c>
      <c r="GG672" s="14">
        <f t="shared" si="632"/>
        <v>115</v>
      </c>
      <c r="GH672" s="14">
        <f t="shared" si="633"/>
        <v>6</v>
      </c>
      <c r="GI672" s="14" t="str">
        <f t="shared" si="634"/>
        <v>HPExt</v>
      </c>
      <c r="GJ672" s="14">
        <f t="shared" si="635"/>
        <v>1950</v>
      </c>
      <c r="GK672" s="14">
        <f t="shared" si="636"/>
        <v>108</v>
      </c>
      <c r="GL672" s="14">
        <f t="shared" si="656"/>
        <v>20640</v>
      </c>
      <c r="GM672" s="14">
        <f t="shared" si="637"/>
        <v>5</v>
      </c>
      <c r="GN672" s="14">
        <f t="shared" si="638"/>
        <v>2064</v>
      </c>
      <c r="GO672" s="25" t="s">
        <v>1471</v>
      </c>
      <c r="GP672" s="14">
        <f t="shared" si="657"/>
        <v>250</v>
      </c>
    </row>
    <row r="673" spans="151:198" ht="16.5" x14ac:dyDescent="0.2">
      <c r="EU673" s="13">
        <v>668</v>
      </c>
      <c r="EV673" s="14">
        <f t="shared" si="658"/>
        <v>2</v>
      </c>
      <c r="EW673" s="14">
        <f t="shared" si="626"/>
        <v>233</v>
      </c>
      <c r="EX673" s="14">
        <f t="shared" si="659"/>
        <v>31</v>
      </c>
      <c r="EY673" s="14">
        <f t="shared" si="627"/>
        <v>41</v>
      </c>
      <c r="EZ673" s="14">
        <f t="shared" si="639"/>
        <v>17</v>
      </c>
      <c r="FA673" s="14">
        <f t="shared" si="640"/>
        <v>100</v>
      </c>
      <c r="FB673" s="14">
        <f t="shared" si="641"/>
        <v>4</v>
      </c>
      <c r="FC673" s="14">
        <f t="shared" si="642"/>
        <v>4</v>
      </c>
      <c r="FD673" s="14">
        <f t="shared" si="643"/>
        <v>5</v>
      </c>
      <c r="FE673" s="14" t="b">
        <f t="shared" si="660"/>
        <v>1</v>
      </c>
      <c r="FF673" s="14">
        <f t="shared" si="644"/>
        <v>2106415</v>
      </c>
      <c r="FG673" s="13" t="str">
        <f t="shared" si="645"/>
        <v>100级-攻击套守护灵の鞋子</v>
      </c>
      <c r="FH673" s="14">
        <f t="shared" si="646"/>
        <v>2</v>
      </c>
      <c r="FI673" s="14">
        <f t="shared" si="647"/>
        <v>4</v>
      </c>
      <c r="FJ673" s="14">
        <f t="shared" si="648"/>
        <v>100</v>
      </c>
      <c r="FK673" s="14">
        <v>234</v>
      </c>
      <c r="FL673" s="14">
        <f t="shared" si="649"/>
        <v>6</v>
      </c>
      <c r="FM673" s="14">
        <f t="shared" si="628"/>
        <v>5</v>
      </c>
      <c r="FN673" s="14">
        <f t="shared" si="650"/>
        <v>210641</v>
      </c>
      <c r="FO673" s="14">
        <f t="shared" si="629"/>
        <v>325</v>
      </c>
      <c r="FP673" s="14">
        <f t="shared" si="661"/>
        <v>0</v>
      </c>
      <c r="FQ673" s="14">
        <f t="shared" si="662"/>
        <v>0</v>
      </c>
      <c r="FR673" s="14">
        <f t="shared" si="663"/>
        <v>3900</v>
      </c>
      <c r="FS673" s="14">
        <f t="shared" si="664"/>
        <v>0</v>
      </c>
      <c r="FT673" s="14">
        <f t="shared" si="665"/>
        <v>0</v>
      </c>
      <c r="FU673" s="14">
        <f t="shared" si="666"/>
        <v>217</v>
      </c>
      <c r="FV673" s="14">
        <f t="shared" si="651"/>
        <v>2064</v>
      </c>
      <c r="FW673" s="14">
        <f t="shared" si="652"/>
        <v>5</v>
      </c>
      <c r="FX673" s="14">
        <f t="shared" si="653"/>
        <v>2064</v>
      </c>
      <c r="FY673" s="25" t="str">
        <f t="shared" si="667"/>
        <v>icon_2106415</v>
      </c>
      <c r="GC673" s="14">
        <f t="shared" si="654"/>
        <v>3</v>
      </c>
      <c r="GD673" s="14">
        <f t="shared" si="655"/>
        <v>0</v>
      </c>
      <c r="GE673" s="14">
        <f t="shared" si="630"/>
        <v>325</v>
      </c>
      <c r="GF673" s="14" t="str">
        <f t="shared" si="631"/>
        <v>HPExt</v>
      </c>
      <c r="GG673" s="14">
        <f t="shared" si="632"/>
        <v>3900</v>
      </c>
      <c r="GH673" s="14">
        <f t="shared" si="633"/>
        <v>217</v>
      </c>
      <c r="GI673" s="14" t="str">
        <f t="shared" si="634"/>
        <v/>
      </c>
      <c r="GJ673" s="14" t="str">
        <f t="shared" si="635"/>
        <v/>
      </c>
      <c r="GK673" s="14" t="str">
        <f t="shared" si="636"/>
        <v/>
      </c>
      <c r="GL673" s="14">
        <f t="shared" si="656"/>
        <v>20640</v>
      </c>
      <c r="GM673" s="14">
        <f t="shared" si="637"/>
        <v>5</v>
      </c>
      <c r="GN673" s="14">
        <f t="shared" si="638"/>
        <v>2064</v>
      </c>
      <c r="GO673" s="25" t="s">
        <v>1471</v>
      </c>
      <c r="GP673" s="14">
        <f t="shared" si="657"/>
        <v>250</v>
      </c>
    </row>
    <row r="674" spans="151:198" ht="16.5" x14ac:dyDescent="0.2">
      <c r="EU674" s="13">
        <v>669</v>
      </c>
      <c r="EV674" s="14">
        <f t="shared" si="658"/>
        <v>2</v>
      </c>
      <c r="EW674" s="14">
        <f t="shared" si="626"/>
        <v>234</v>
      </c>
      <c r="EX674" s="14">
        <f t="shared" si="659"/>
        <v>31</v>
      </c>
      <c r="EY674" s="14">
        <f t="shared" si="627"/>
        <v>41</v>
      </c>
      <c r="EZ674" s="14">
        <f t="shared" si="639"/>
        <v>17</v>
      </c>
      <c r="FA674" s="14">
        <f t="shared" si="640"/>
        <v>100</v>
      </c>
      <c r="FB674" s="14">
        <f t="shared" si="641"/>
        <v>4</v>
      </c>
      <c r="FC674" s="14">
        <f t="shared" si="642"/>
        <v>5</v>
      </c>
      <c r="FD674" s="14">
        <f t="shared" si="643"/>
        <v>7</v>
      </c>
      <c r="FE674" s="14" t="b">
        <f t="shared" si="660"/>
        <v>1</v>
      </c>
      <c r="FF674" s="14">
        <f t="shared" si="644"/>
        <v>2106417</v>
      </c>
      <c r="FG674" s="13" t="str">
        <f t="shared" si="645"/>
        <v>100级-攻击套守护灵の项链</v>
      </c>
      <c r="FH674" s="14">
        <f t="shared" si="646"/>
        <v>2</v>
      </c>
      <c r="FI674" s="14">
        <f t="shared" si="647"/>
        <v>4</v>
      </c>
      <c r="FJ674" s="14">
        <f t="shared" si="648"/>
        <v>100</v>
      </c>
      <c r="FK674" s="14">
        <v>235</v>
      </c>
      <c r="FL674" s="14">
        <f t="shared" si="649"/>
        <v>6</v>
      </c>
      <c r="FM674" s="14">
        <f t="shared" si="628"/>
        <v>7</v>
      </c>
      <c r="FN674" s="14">
        <f t="shared" si="650"/>
        <v>210641</v>
      </c>
      <c r="FO674" s="14">
        <f t="shared" si="629"/>
        <v>277</v>
      </c>
      <c r="FP674" s="14">
        <f t="shared" si="661"/>
        <v>295</v>
      </c>
      <c r="FQ674" s="14">
        <f t="shared" si="662"/>
        <v>190</v>
      </c>
      <c r="FR674" s="14">
        <f t="shared" si="663"/>
        <v>0</v>
      </c>
      <c r="FS674" s="14">
        <f t="shared" si="664"/>
        <v>17</v>
      </c>
      <c r="FT674" s="14">
        <f t="shared" si="665"/>
        <v>10</v>
      </c>
      <c r="FU674" s="14">
        <f t="shared" si="666"/>
        <v>0</v>
      </c>
      <c r="FV674" s="14">
        <f t="shared" si="651"/>
        <v>2064</v>
      </c>
      <c r="FW674" s="14">
        <f t="shared" si="652"/>
        <v>5</v>
      </c>
      <c r="FX674" s="14">
        <f t="shared" si="653"/>
        <v>2064</v>
      </c>
      <c r="FY674" s="25" t="str">
        <f t="shared" si="667"/>
        <v>icon_2106417</v>
      </c>
      <c r="GC674" s="14">
        <f t="shared" si="654"/>
        <v>1</v>
      </c>
      <c r="GD674" s="14">
        <f t="shared" si="655"/>
        <v>2</v>
      </c>
      <c r="GE674" s="14">
        <f t="shared" si="630"/>
        <v>277</v>
      </c>
      <c r="GF674" s="14" t="str">
        <f t="shared" si="631"/>
        <v>AtkExt</v>
      </c>
      <c r="GG674" s="14">
        <f t="shared" si="632"/>
        <v>295</v>
      </c>
      <c r="GH674" s="14">
        <f t="shared" si="633"/>
        <v>17</v>
      </c>
      <c r="GI674" s="14" t="str">
        <f t="shared" si="634"/>
        <v>DefExt</v>
      </c>
      <c r="GJ674" s="14">
        <f t="shared" si="635"/>
        <v>190</v>
      </c>
      <c r="GK674" s="14">
        <f t="shared" si="636"/>
        <v>10</v>
      </c>
      <c r="GL674" s="14">
        <f t="shared" si="656"/>
        <v>20640</v>
      </c>
      <c r="GM674" s="14">
        <f t="shared" si="637"/>
        <v>5</v>
      </c>
      <c r="GN674" s="14">
        <f t="shared" si="638"/>
        <v>2064</v>
      </c>
      <c r="GO674" s="25" t="s">
        <v>1471</v>
      </c>
      <c r="GP674" s="14">
        <f t="shared" si="657"/>
        <v>375</v>
      </c>
    </row>
    <row r="675" spans="151:198" ht="16.5" x14ac:dyDescent="0.2">
      <c r="EU675" s="13">
        <v>670</v>
      </c>
      <c r="EV675" s="14">
        <f t="shared" si="658"/>
        <v>2</v>
      </c>
      <c r="EW675" s="14">
        <f t="shared" si="626"/>
        <v>235</v>
      </c>
      <c r="EX675" s="14">
        <f t="shared" si="659"/>
        <v>31</v>
      </c>
      <c r="EY675" s="14">
        <f t="shared" si="627"/>
        <v>41</v>
      </c>
      <c r="EZ675" s="14">
        <f t="shared" si="639"/>
        <v>17</v>
      </c>
      <c r="FA675" s="14">
        <f t="shared" si="640"/>
        <v>100</v>
      </c>
      <c r="FB675" s="14">
        <f t="shared" si="641"/>
        <v>4</v>
      </c>
      <c r="FC675" s="14">
        <f t="shared" si="642"/>
        <v>6</v>
      </c>
      <c r="FD675" s="14">
        <f t="shared" si="643"/>
        <v>8</v>
      </c>
      <c r="FE675" s="14" t="b">
        <f t="shared" si="660"/>
        <v>1</v>
      </c>
      <c r="FF675" s="14">
        <f t="shared" si="644"/>
        <v>2106418</v>
      </c>
      <c r="FG675" s="13" t="str">
        <f t="shared" si="645"/>
        <v>100级-攻击套守护灵の戒指</v>
      </c>
      <c r="FH675" s="14">
        <f t="shared" si="646"/>
        <v>2</v>
      </c>
      <c r="FI675" s="14">
        <f t="shared" si="647"/>
        <v>4</v>
      </c>
      <c r="FJ675" s="14">
        <f t="shared" si="648"/>
        <v>100</v>
      </c>
      <c r="FK675" s="14">
        <v>236</v>
      </c>
      <c r="FL675" s="14">
        <f t="shared" si="649"/>
        <v>6</v>
      </c>
      <c r="FM675" s="14">
        <f t="shared" si="628"/>
        <v>8</v>
      </c>
      <c r="FN675" s="14">
        <f t="shared" si="650"/>
        <v>210641</v>
      </c>
      <c r="FO675" s="14">
        <f t="shared" si="629"/>
        <v>399</v>
      </c>
      <c r="FP675" s="14">
        <f t="shared" si="661"/>
        <v>295</v>
      </c>
      <c r="FQ675" s="14">
        <f t="shared" si="662"/>
        <v>0</v>
      </c>
      <c r="FR675" s="14">
        <f t="shared" si="663"/>
        <v>3250</v>
      </c>
      <c r="FS675" s="14">
        <f t="shared" si="664"/>
        <v>17</v>
      </c>
      <c r="FT675" s="14">
        <f t="shared" si="665"/>
        <v>0</v>
      </c>
      <c r="FU675" s="14">
        <f t="shared" si="666"/>
        <v>181</v>
      </c>
      <c r="FV675" s="14">
        <f t="shared" si="651"/>
        <v>2064</v>
      </c>
      <c r="FW675" s="14">
        <f t="shared" si="652"/>
        <v>5</v>
      </c>
      <c r="FX675" s="14">
        <f t="shared" si="653"/>
        <v>2064</v>
      </c>
      <c r="FY675" s="25" t="str">
        <f t="shared" si="667"/>
        <v>icon_2106418</v>
      </c>
      <c r="GC675" s="14">
        <f t="shared" si="654"/>
        <v>1</v>
      </c>
      <c r="GD675" s="14">
        <f t="shared" si="655"/>
        <v>3</v>
      </c>
      <c r="GE675" s="14">
        <f t="shared" si="630"/>
        <v>399</v>
      </c>
      <c r="GF675" s="14" t="str">
        <f t="shared" si="631"/>
        <v>AtkExt</v>
      </c>
      <c r="GG675" s="14">
        <f t="shared" si="632"/>
        <v>295</v>
      </c>
      <c r="GH675" s="14">
        <f t="shared" si="633"/>
        <v>17</v>
      </c>
      <c r="GI675" s="14" t="str">
        <f t="shared" si="634"/>
        <v>HPExt</v>
      </c>
      <c r="GJ675" s="14">
        <f t="shared" si="635"/>
        <v>3250</v>
      </c>
      <c r="GK675" s="14">
        <f t="shared" si="636"/>
        <v>181</v>
      </c>
      <c r="GL675" s="14">
        <f t="shared" si="656"/>
        <v>20640</v>
      </c>
      <c r="GM675" s="14">
        <f t="shared" si="637"/>
        <v>5</v>
      </c>
      <c r="GN675" s="14">
        <f t="shared" si="638"/>
        <v>2064</v>
      </c>
      <c r="GO675" s="25" t="s">
        <v>1471</v>
      </c>
      <c r="GP675" s="14">
        <f t="shared" si="657"/>
        <v>375</v>
      </c>
    </row>
    <row r="676" spans="151:198" ht="16.5" x14ac:dyDescent="0.2">
      <c r="EU676" s="13">
        <v>671</v>
      </c>
      <c r="EV676" s="14">
        <f t="shared" si="658"/>
        <v>2</v>
      </c>
      <c r="EW676" s="14">
        <f t="shared" si="626"/>
        <v>236</v>
      </c>
      <c r="EX676" s="14">
        <f t="shared" si="659"/>
        <v>32</v>
      </c>
      <c r="EY676" s="14">
        <f t="shared" si="627"/>
        <v>10</v>
      </c>
      <c r="EZ676" s="14">
        <f t="shared" si="639"/>
        <v>18</v>
      </c>
      <c r="FA676" s="14">
        <f t="shared" si="640"/>
        <v>110</v>
      </c>
      <c r="FB676" s="14">
        <f t="shared" si="641"/>
        <v>1</v>
      </c>
      <c r="FC676" s="14">
        <f t="shared" si="642"/>
        <v>1</v>
      </c>
      <c r="FD676" s="14">
        <f t="shared" si="643"/>
        <v>1</v>
      </c>
      <c r="FE676" s="14" t="b">
        <f t="shared" si="660"/>
        <v>0</v>
      </c>
      <c r="FF676" s="14">
        <f t="shared" si="644"/>
        <v>2107101</v>
      </c>
      <c r="FG676" s="13" t="str">
        <f t="shared" si="645"/>
        <v>110级-普通守护灵の灵器</v>
      </c>
      <c r="FH676" s="14">
        <f t="shared" si="646"/>
        <v>2</v>
      </c>
      <c r="FI676" s="14">
        <f t="shared" si="647"/>
        <v>1</v>
      </c>
      <c r="FJ676" s="14">
        <f t="shared" si="648"/>
        <v>110</v>
      </c>
      <c r="FK676" s="14">
        <v>237</v>
      </c>
      <c r="FL676" s="14">
        <f t="shared" si="649"/>
        <v>7</v>
      </c>
      <c r="FM676" s="14">
        <f t="shared" si="628"/>
        <v>1</v>
      </c>
      <c r="FN676" s="14" t="str">
        <f t="shared" si="650"/>
        <v/>
      </c>
      <c r="FO676" s="14">
        <f t="shared" si="629"/>
        <v>145</v>
      </c>
      <c r="FP676" s="14">
        <f t="shared" si="661"/>
        <v>555</v>
      </c>
      <c r="FQ676" s="14">
        <f t="shared" si="662"/>
        <v>0</v>
      </c>
      <c r="FR676" s="14">
        <f t="shared" si="663"/>
        <v>0</v>
      </c>
      <c r="FS676" s="14">
        <f t="shared" si="664"/>
        <v>29</v>
      </c>
      <c r="FT676" s="14">
        <f t="shared" si="665"/>
        <v>0</v>
      </c>
      <c r="FU676" s="14">
        <f t="shared" si="666"/>
        <v>0</v>
      </c>
      <c r="FV676" s="14">
        <f t="shared" si="651"/>
        <v>2071</v>
      </c>
      <c r="FW676" s="14">
        <f t="shared" si="652"/>
        <v>0</v>
      </c>
      <c r="FX676" s="14" t="str">
        <f t="shared" si="653"/>
        <v/>
      </c>
      <c r="FY676" s="25" t="str">
        <f t="shared" si="667"/>
        <v>icon_2107101</v>
      </c>
      <c r="GC676" s="14">
        <f t="shared" si="654"/>
        <v>1</v>
      </c>
      <c r="GD676" s="14">
        <f t="shared" si="655"/>
        <v>0</v>
      </c>
      <c r="GE676" s="14">
        <f t="shared" si="630"/>
        <v>145</v>
      </c>
      <c r="GF676" s="14" t="str">
        <f t="shared" si="631"/>
        <v>AtkExt</v>
      </c>
      <c r="GG676" s="14">
        <f t="shared" si="632"/>
        <v>555</v>
      </c>
      <c r="GH676" s="14">
        <f t="shared" si="633"/>
        <v>29</v>
      </c>
      <c r="GI676" s="14" t="str">
        <f t="shared" si="634"/>
        <v/>
      </c>
      <c r="GJ676" s="14" t="str">
        <f t="shared" si="635"/>
        <v/>
      </c>
      <c r="GK676" s="14" t="str">
        <f t="shared" si="636"/>
        <v/>
      </c>
      <c r="GL676" s="14">
        <f t="shared" si="656"/>
        <v>20710</v>
      </c>
      <c r="GM676" s="14">
        <f t="shared" si="637"/>
        <v>0</v>
      </c>
      <c r="GN676" s="14" t="str">
        <f t="shared" si="638"/>
        <v/>
      </c>
      <c r="GO676" s="25" t="s">
        <v>1471</v>
      </c>
      <c r="GP676" s="14">
        <f t="shared" si="657"/>
        <v>60</v>
      </c>
    </row>
    <row r="677" spans="151:198" ht="16.5" x14ac:dyDescent="0.2">
      <c r="EU677" s="13">
        <v>672</v>
      </c>
      <c r="EV677" s="14">
        <f t="shared" si="658"/>
        <v>2</v>
      </c>
      <c r="EW677" s="14">
        <f t="shared" si="626"/>
        <v>237</v>
      </c>
      <c r="EX677" s="14">
        <f t="shared" si="659"/>
        <v>32</v>
      </c>
      <c r="EY677" s="14">
        <f t="shared" si="627"/>
        <v>10</v>
      </c>
      <c r="EZ677" s="14">
        <f t="shared" si="639"/>
        <v>18</v>
      </c>
      <c r="FA677" s="14">
        <f t="shared" si="640"/>
        <v>110</v>
      </c>
      <c r="FB677" s="14">
        <f t="shared" si="641"/>
        <v>1</v>
      </c>
      <c r="FC677" s="14">
        <f t="shared" si="642"/>
        <v>2</v>
      </c>
      <c r="FD677" s="14">
        <f t="shared" si="643"/>
        <v>2</v>
      </c>
      <c r="FE677" s="14" t="b">
        <f t="shared" si="660"/>
        <v>0</v>
      </c>
      <c r="FF677" s="14">
        <f t="shared" si="644"/>
        <v>2107102</v>
      </c>
      <c r="FG677" s="13" t="str">
        <f t="shared" si="645"/>
        <v>110级-普通守护灵の头盔</v>
      </c>
      <c r="FH677" s="14">
        <f t="shared" si="646"/>
        <v>2</v>
      </c>
      <c r="FI677" s="14">
        <f t="shared" si="647"/>
        <v>1</v>
      </c>
      <c r="FJ677" s="14">
        <f t="shared" si="648"/>
        <v>110</v>
      </c>
      <c r="FK677" s="14">
        <v>238</v>
      </c>
      <c r="FL677" s="14">
        <f t="shared" si="649"/>
        <v>7</v>
      </c>
      <c r="FM677" s="14">
        <f t="shared" si="628"/>
        <v>2</v>
      </c>
      <c r="FN677" s="14" t="str">
        <f t="shared" si="650"/>
        <v/>
      </c>
      <c r="FO677" s="14">
        <f t="shared" si="629"/>
        <v>70</v>
      </c>
      <c r="FP677" s="14">
        <f t="shared" si="661"/>
        <v>0</v>
      </c>
      <c r="FQ677" s="14">
        <f t="shared" si="662"/>
        <v>140</v>
      </c>
      <c r="FR677" s="14">
        <f t="shared" si="663"/>
        <v>0</v>
      </c>
      <c r="FS677" s="14">
        <f t="shared" si="664"/>
        <v>0</v>
      </c>
      <c r="FT677" s="14">
        <f t="shared" si="665"/>
        <v>7</v>
      </c>
      <c r="FU677" s="14">
        <f t="shared" si="666"/>
        <v>0</v>
      </c>
      <c r="FV677" s="14">
        <f t="shared" si="651"/>
        <v>2071</v>
      </c>
      <c r="FW677" s="14">
        <f t="shared" si="652"/>
        <v>0</v>
      </c>
      <c r="FX677" s="14" t="str">
        <f t="shared" si="653"/>
        <v/>
      </c>
      <c r="FY677" s="25" t="str">
        <f t="shared" si="667"/>
        <v>icon_2107102</v>
      </c>
      <c r="GC677" s="14">
        <f t="shared" si="654"/>
        <v>2</v>
      </c>
      <c r="GD677" s="14">
        <f t="shared" si="655"/>
        <v>0</v>
      </c>
      <c r="GE677" s="14">
        <f t="shared" si="630"/>
        <v>70</v>
      </c>
      <c r="GF677" s="14" t="str">
        <f t="shared" si="631"/>
        <v>DefExt</v>
      </c>
      <c r="GG677" s="14">
        <f t="shared" si="632"/>
        <v>140</v>
      </c>
      <c r="GH677" s="14">
        <f t="shared" si="633"/>
        <v>7</v>
      </c>
      <c r="GI677" s="14" t="str">
        <f t="shared" si="634"/>
        <v/>
      </c>
      <c r="GJ677" s="14" t="str">
        <f t="shared" si="635"/>
        <v/>
      </c>
      <c r="GK677" s="14" t="str">
        <f t="shared" si="636"/>
        <v/>
      </c>
      <c r="GL677" s="14">
        <f t="shared" si="656"/>
        <v>20710</v>
      </c>
      <c r="GM677" s="14">
        <f t="shared" si="637"/>
        <v>0</v>
      </c>
      <c r="GN677" s="14" t="str">
        <f t="shared" si="638"/>
        <v/>
      </c>
      <c r="GO677" s="25" t="s">
        <v>1471</v>
      </c>
      <c r="GP677" s="14">
        <f t="shared" si="657"/>
        <v>30</v>
      </c>
    </row>
    <row r="678" spans="151:198" ht="16.5" x14ac:dyDescent="0.2">
      <c r="EU678" s="13">
        <v>673</v>
      </c>
      <c r="EV678" s="14">
        <f t="shared" si="658"/>
        <v>2</v>
      </c>
      <c r="EW678" s="14">
        <f t="shared" si="626"/>
        <v>238</v>
      </c>
      <c r="EX678" s="14">
        <f t="shared" si="659"/>
        <v>32</v>
      </c>
      <c r="EY678" s="14">
        <f t="shared" si="627"/>
        <v>10</v>
      </c>
      <c r="EZ678" s="14">
        <f t="shared" si="639"/>
        <v>18</v>
      </c>
      <c r="FA678" s="14">
        <f t="shared" si="640"/>
        <v>110</v>
      </c>
      <c r="FB678" s="14">
        <f t="shared" si="641"/>
        <v>1</v>
      </c>
      <c r="FC678" s="14">
        <f t="shared" si="642"/>
        <v>3</v>
      </c>
      <c r="FD678" s="14">
        <f t="shared" si="643"/>
        <v>3</v>
      </c>
      <c r="FE678" s="14" t="b">
        <f t="shared" si="660"/>
        <v>0</v>
      </c>
      <c r="FF678" s="14">
        <f t="shared" si="644"/>
        <v>2107103</v>
      </c>
      <c r="FG678" s="13" t="str">
        <f t="shared" si="645"/>
        <v>110级-普通守护灵の铠甲</v>
      </c>
      <c r="FH678" s="14">
        <f t="shared" si="646"/>
        <v>2</v>
      </c>
      <c r="FI678" s="14">
        <f t="shared" si="647"/>
        <v>1</v>
      </c>
      <c r="FJ678" s="14">
        <f t="shared" si="648"/>
        <v>110</v>
      </c>
      <c r="FK678" s="14">
        <v>239</v>
      </c>
      <c r="FL678" s="14">
        <f t="shared" si="649"/>
        <v>7</v>
      </c>
      <c r="FM678" s="14">
        <f t="shared" si="628"/>
        <v>3</v>
      </c>
      <c r="FN678" s="14" t="str">
        <f t="shared" si="650"/>
        <v/>
      </c>
      <c r="FO678" s="14">
        <f t="shared" si="629"/>
        <v>104</v>
      </c>
      <c r="FP678" s="14">
        <f t="shared" si="661"/>
        <v>0</v>
      </c>
      <c r="FQ678" s="14">
        <f t="shared" si="662"/>
        <v>70</v>
      </c>
      <c r="FR678" s="14">
        <f t="shared" si="663"/>
        <v>1250</v>
      </c>
      <c r="FS678" s="14">
        <f t="shared" si="664"/>
        <v>0</v>
      </c>
      <c r="FT678" s="14">
        <f t="shared" si="665"/>
        <v>4</v>
      </c>
      <c r="FU678" s="14">
        <f t="shared" si="666"/>
        <v>64</v>
      </c>
      <c r="FV678" s="14">
        <f t="shared" si="651"/>
        <v>2071</v>
      </c>
      <c r="FW678" s="14">
        <f t="shared" si="652"/>
        <v>0</v>
      </c>
      <c r="FX678" s="14" t="str">
        <f t="shared" si="653"/>
        <v/>
      </c>
      <c r="FY678" s="25" t="str">
        <f t="shared" si="667"/>
        <v>icon_2107103</v>
      </c>
      <c r="GC678" s="14">
        <f t="shared" si="654"/>
        <v>2</v>
      </c>
      <c r="GD678" s="14">
        <f t="shared" si="655"/>
        <v>3</v>
      </c>
      <c r="GE678" s="14">
        <f t="shared" si="630"/>
        <v>104</v>
      </c>
      <c r="GF678" s="14" t="str">
        <f t="shared" si="631"/>
        <v>DefExt</v>
      </c>
      <c r="GG678" s="14">
        <f t="shared" si="632"/>
        <v>70</v>
      </c>
      <c r="GH678" s="14">
        <f t="shared" si="633"/>
        <v>4</v>
      </c>
      <c r="GI678" s="14" t="str">
        <f t="shared" si="634"/>
        <v>HPExt</v>
      </c>
      <c r="GJ678" s="14">
        <f t="shared" si="635"/>
        <v>1250</v>
      </c>
      <c r="GK678" s="14">
        <f t="shared" si="636"/>
        <v>64</v>
      </c>
      <c r="GL678" s="14">
        <f t="shared" si="656"/>
        <v>20710</v>
      </c>
      <c r="GM678" s="14">
        <f t="shared" si="637"/>
        <v>0</v>
      </c>
      <c r="GN678" s="14" t="str">
        <f t="shared" si="638"/>
        <v/>
      </c>
      <c r="GO678" s="25" t="s">
        <v>1471</v>
      </c>
      <c r="GP678" s="14">
        <f t="shared" si="657"/>
        <v>30</v>
      </c>
    </row>
    <row r="679" spans="151:198" ht="16.5" x14ac:dyDescent="0.2">
      <c r="EU679" s="13">
        <v>674</v>
      </c>
      <c r="EV679" s="14">
        <f t="shared" si="658"/>
        <v>2</v>
      </c>
      <c r="EW679" s="14">
        <f t="shared" si="626"/>
        <v>239</v>
      </c>
      <c r="EX679" s="14">
        <f t="shared" si="659"/>
        <v>32</v>
      </c>
      <c r="EY679" s="14">
        <f t="shared" si="627"/>
        <v>10</v>
      </c>
      <c r="EZ679" s="14">
        <f t="shared" si="639"/>
        <v>18</v>
      </c>
      <c r="FA679" s="14">
        <f t="shared" si="640"/>
        <v>110</v>
      </c>
      <c r="FB679" s="14">
        <f t="shared" si="641"/>
        <v>1</v>
      </c>
      <c r="FC679" s="14">
        <f t="shared" si="642"/>
        <v>4</v>
      </c>
      <c r="FD679" s="14">
        <f t="shared" si="643"/>
        <v>4</v>
      </c>
      <c r="FE679" s="14" t="b">
        <f t="shared" si="660"/>
        <v>0</v>
      </c>
      <c r="FF679" s="14">
        <f t="shared" si="644"/>
        <v>2107104</v>
      </c>
      <c r="FG679" s="13" t="str">
        <f t="shared" si="645"/>
        <v>110级-普通守护灵の裤子</v>
      </c>
      <c r="FH679" s="14">
        <f t="shared" si="646"/>
        <v>2</v>
      </c>
      <c r="FI679" s="14">
        <f t="shared" si="647"/>
        <v>1</v>
      </c>
      <c r="FJ679" s="14">
        <f t="shared" si="648"/>
        <v>110</v>
      </c>
      <c r="FK679" s="14">
        <v>240</v>
      </c>
      <c r="FL679" s="14">
        <f t="shared" si="649"/>
        <v>7</v>
      </c>
      <c r="FM679" s="14">
        <f t="shared" si="628"/>
        <v>4</v>
      </c>
      <c r="FN679" s="14" t="str">
        <f t="shared" si="650"/>
        <v/>
      </c>
      <c r="FO679" s="14">
        <f t="shared" si="629"/>
        <v>70</v>
      </c>
      <c r="FP679" s="14">
        <f t="shared" si="661"/>
        <v>0</v>
      </c>
      <c r="FQ679" s="14">
        <f t="shared" si="662"/>
        <v>140</v>
      </c>
      <c r="FR679" s="14">
        <f t="shared" si="663"/>
        <v>0</v>
      </c>
      <c r="FS679" s="14">
        <f t="shared" si="664"/>
        <v>0</v>
      </c>
      <c r="FT679" s="14">
        <f t="shared" si="665"/>
        <v>7</v>
      </c>
      <c r="FU679" s="14">
        <f t="shared" si="666"/>
        <v>0</v>
      </c>
      <c r="FV679" s="14">
        <f t="shared" si="651"/>
        <v>2071</v>
      </c>
      <c r="FW679" s="14">
        <f t="shared" si="652"/>
        <v>0</v>
      </c>
      <c r="FX679" s="14" t="str">
        <f t="shared" si="653"/>
        <v/>
      </c>
      <c r="FY679" s="25" t="str">
        <f t="shared" si="667"/>
        <v>icon_2107104</v>
      </c>
      <c r="GC679" s="14">
        <f t="shared" si="654"/>
        <v>2</v>
      </c>
      <c r="GD679" s="14">
        <f t="shared" si="655"/>
        <v>0</v>
      </c>
      <c r="GE679" s="14">
        <f t="shared" si="630"/>
        <v>70</v>
      </c>
      <c r="GF679" s="14" t="str">
        <f t="shared" si="631"/>
        <v>DefExt</v>
      </c>
      <c r="GG679" s="14">
        <f t="shared" si="632"/>
        <v>140</v>
      </c>
      <c r="GH679" s="14">
        <f t="shared" si="633"/>
        <v>7</v>
      </c>
      <c r="GI679" s="14" t="str">
        <f t="shared" si="634"/>
        <v/>
      </c>
      <c r="GJ679" s="14" t="str">
        <f t="shared" si="635"/>
        <v/>
      </c>
      <c r="GK679" s="14" t="str">
        <f t="shared" si="636"/>
        <v/>
      </c>
      <c r="GL679" s="14">
        <f t="shared" si="656"/>
        <v>20710</v>
      </c>
      <c r="GM679" s="14">
        <f t="shared" si="637"/>
        <v>0</v>
      </c>
      <c r="GN679" s="14" t="str">
        <f t="shared" si="638"/>
        <v/>
      </c>
      <c r="GO679" s="25" t="s">
        <v>1471</v>
      </c>
      <c r="GP679" s="14">
        <f t="shared" si="657"/>
        <v>30</v>
      </c>
    </row>
    <row r="680" spans="151:198" ht="16.5" x14ac:dyDescent="0.2">
      <c r="EU680" s="13">
        <v>675</v>
      </c>
      <c r="EV680" s="14">
        <f t="shared" si="658"/>
        <v>2</v>
      </c>
      <c r="EW680" s="14">
        <f t="shared" si="626"/>
        <v>240</v>
      </c>
      <c r="EX680" s="14">
        <f t="shared" si="659"/>
        <v>32</v>
      </c>
      <c r="EY680" s="14">
        <f t="shared" si="627"/>
        <v>10</v>
      </c>
      <c r="EZ680" s="14">
        <f t="shared" si="639"/>
        <v>18</v>
      </c>
      <c r="FA680" s="14">
        <f t="shared" si="640"/>
        <v>110</v>
      </c>
      <c r="FB680" s="14">
        <f t="shared" si="641"/>
        <v>1</v>
      </c>
      <c r="FC680" s="14">
        <f t="shared" si="642"/>
        <v>5</v>
      </c>
      <c r="FD680" s="14">
        <f t="shared" si="643"/>
        <v>5</v>
      </c>
      <c r="FE680" s="14" t="b">
        <f t="shared" si="660"/>
        <v>0</v>
      </c>
      <c r="FF680" s="14">
        <f t="shared" si="644"/>
        <v>2107105</v>
      </c>
      <c r="FG680" s="13" t="str">
        <f t="shared" si="645"/>
        <v>110级-普通守护灵の鞋子</v>
      </c>
      <c r="FH680" s="14">
        <f t="shared" si="646"/>
        <v>2</v>
      </c>
      <c r="FI680" s="14">
        <f t="shared" si="647"/>
        <v>1</v>
      </c>
      <c r="FJ680" s="14">
        <f t="shared" si="648"/>
        <v>110</v>
      </c>
      <c r="FK680" s="14">
        <v>241</v>
      </c>
      <c r="FL680" s="14">
        <f t="shared" si="649"/>
        <v>7</v>
      </c>
      <c r="FM680" s="14">
        <f t="shared" si="628"/>
        <v>5</v>
      </c>
      <c r="FN680" s="14" t="str">
        <f t="shared" si="650"/>
        <v/>
      </c>
      <c r="FO680" s="14">
        <f t="shared" si="629"/>
        <v>129</v>
      </c>
      <c r="FP680" s="14">
        <f t="shared" si="661"/>
        <v>0</v>
      </c>
      <c r="FQ680" s="14">
        <f t="shared" si="662"/>
        <v>0</v>
      </c>
      <c r="FR680" s="14">
        <f t="shared" si="663"/>
        <v>2500</v>
      </c>
      <c r="FS680" s="14">
        <f t="shared" si="664"/>
        <v>0</v>
      </c>
      <c r="FT680" s="14">
        <f t="shared" si="665"/>
        <v>0</v>
      </c>
      <c r="FU680" s="14">
        <f t="shared" si="666"/>
        <v>129</v>
      </c>
      <c r="FV680" s="14">
        <f t="shared" si="651"/>
        <v>2071</v>
      </c>
      <c r="FW680" s="14">
        <f t="shared" si="652"/>
        <v>0</v>
      </c>
      <c r="FX680" s="14" t="str">
        <f t="shared" si="653"/>
        <v/>
      </c>
      <c r="FY680" s="25" t="str">
        <f t="shared" si="667"/>
        <v>icon_2107105</v>
      </c>
      <c r="GC680" s="14">
        <f t="shared" si="654"/>
        <v>3</v>
      </c>
      <c r="GD680" s="14">
        <f t="shared" si="655"/>
        <v>0</v>
      </c>
      <c r="GE680" s="14">
        <f t="shared" si="630"/>
        <v>129</v>
      </c>
      <c r="GF680" s="14" t="str">
        <f t="shared" si="631"/>
        <v>HPExt</v>
      </c>
      <c r="GG680" s="14">
        <f t="shared" si="632"/>
        <v>2500</v>
      </c>
      <c r="GH680" s="14">
        <f t="shared" si="633"/>
        <v>129</v>
      </c>
      <c r="GI680" s="14" t="str">
        <f t="shared" si="634"/>
        <v/>
      </c>
      <c r="GJ680" s="14" t="str">
        <f t="shared" si="635"/>
        <v/>
      </c>
      <c r="GK680" s="14" t="str">
        <f t="shared" si="636"/>
        <v/>
      </c>
      <c r="GL680" s="14">
        <f t="shared" si="656"/>
        <v>20710</v>
      </c>
      <c r="GM680" s="14">
        <f t="shared" si="637"/>
        <v>0</v>
      </c>
      <c r="GN680" s="14" t="str">
        <f t="shared" si="638"/>
        <v/>
      </c>
      <c r="GO680" s="25" t="s">
        <v>1471</v>
      </c>
      <c r="GP680" s="14">
        <f t="shared" si="657"/>
        <v>30</v>
      </c>
    </row>
    <row r="681" spans="151:198" ht="16.5" x14ac:dyDescent="0.2">
      <c r="EU681" s="13">
        <v>676</v>
      </c>
      <c r="EV681" s="14">
        <f t="shared" si="658"/>
        <v>2</v>
      </c>
      <c r="EW681" s="14">
        <f t="shared" si="626"/>
        <v>241</v>
      </c>
      <c r="EX681" s="14">
        <f t="shared" si="659"/>
        <v>32</v>
      </c>
      <c r="EY681" s="14">
        <f t="shared" si="627"/>
        <v>10</v>
      </c>
      <c r="EZ681" s="14">
        <f t="shared" si="639"/>
        <v>18</v>
      </c>
      <c r="FA681" s="14">
        <f t="shared" si="640"/>
        <v>110</v>
      </c>
      <c r="FB681" s="14">
        <f t="shared" si="641"/>
        <v>1</v>
      </c>
      <c r="FC681" s="14">
        <f t="shared" si="642"/>
        <v>6</v>
      </c>
      <c r="FD681" s="14">
        <f t="shared" si="643"/>
        <v>6</v>
      </c>
      <c r="FE681" s="14" t="b">
        <f t="shared" si="660"/>
        <v>0</v>
      </c>
      <c r="FF681" s="14">
        <f t="shared" si="644"/>
        <v>2107106</v>
      </c>
      <c r="FG681" s="13" t="str">
        <f t="shared" si="645"/>
        <v>110级-普通守护灵の护手</v>
      </c>
      <c r="FH681" s="14">
        <f t="shared" si="646"/>
        <v>2</v>
      </c>
      <c r="FI681" s="14">
        <f t="shared" si="647"/>
        <v>1</v>
      </c>
      <c r="FJ681" s="14">
        <f t="shared" si="648"/>
        <v>110</v>
      </c>
      <c r="FK681" s="14">
        <v>242</v>
      </c>
      <c r="FL681" s="14">
        <f t="shared" si="649"/>
        <v>7</v>
      </c>
      <c r="FM681" s="14">
        <f t="shared" si="628"/>
        <v>6</v>
      </c>
      <c r="FN681" s="14" t="str">
        <f t="shared" si="650"/>
        <v/>
      </c>
      <c r="FO681" s="14">
        <f t="shared" si="629"/>
        <v>129</v>
      </c>
      <c r="FP681" s="14">
        <f t="shared" si="661"/>
        <v>0</v>
      </c>
      <c r="FQ681" s="14">
        <f t="shared" si="662"/>
        <v>0</v>
      </c>
      <c r="FR681" s="14">
        <f t="shared" si="663"/>
        <v>2500</v>
      </c>
      <c r="FS681" s="14">
        <f t="shared" si="664"/>
        <v>0</v>
      </c>
      <c r="FT681" s="14">
        <f t="shared" si="665"/>
        <v>0</v>
      </c>
      <c r="FU681" s="14">
        <f t="shared" si="666"/>
        <v>129</v>
      </c>
      <c r="FV681" s="14">
        <f t="shared" si="651"/>
        <v>2071</v>
      </c>
      <c r="FW681" s="14">
        <f t="shared" si="652"/>
        <v>0</v>
      </c>
      <c r="FX681" s="14" t="str">
        <f t="shared" si="653"/>
        <v/>
      </c>
      <c r="FY681" s="25" t="str">
        <f t="shared" si="667"/>
        <v>icon_2107106</v>
      </c>
      <c r="GC681" s="14">
        <f t="shared" si="654"/>
        <v>3</v>
      </c>
      <c r="GD681" s="14">
        <f t="shared" si="655"/>
        <v>0</v>
      </c>
      <c r="GE681" s="14">
        <f t="shared" si="630"/>
        <v>129</v>
      </c>
      <c r="GF681" s="14" t="str">
        <f t="shared" si="631"/>
        <v>HPExt</v>
      </c>
      <c r="GG681" s="14">
        <f t="shared" si="632"/>
        <v>2500</v>
      </c>
      <c r="GH681" s="14">
        <f t="shared" si="633"/>
        <v>129</v>
      </c>
      <c r="GI681" s="14" t="str">
        <f t="shared" si="634"/>
        <v/>
      </c>
      <c r="GJ681" s="14" t="str">
        <f t="shared" si="635"/>
        <v/>
      </c>
      <c r="GK681" s="14" t="str">
        <f t="shared" si="636"/>
        <v/>
      </c>
      <c r="GL681" s="14">
        <f t="shared" si="656"/>
        <v>20710</v>
      </c>
      <c r="GM681" s="14">
        <f t="shared" si="637"/>
        <v>0</v>
      </c>
      <c r="GN681" s="14" t="str">
        <f t="shared" si="638"/>
        <v/>
      </c>
      <c r="GO681" s="25" t="s">
        <v>1471</v>
      </c>
      <c r="GP681" s="14">
        <f t="shared" si="657"/>
        <v>30</v>
      </c>
    </row>
    <row r="682" spans="151:198" ht="16.5" x14ac:dyDescent="0.2">
      <c r="EU682" s="13">
        <v>677</v>
      </c>
      <c r="EV682" s="14">
        <f t="shared" si="658"/>
        <v>2</v>
      </c>
      <c r="EW682" s="14">
        <f t="shared" si="626"/>
        <v>242</v>
      </c>
      <c r="EX682" s="14">
        <f t="shared" si="659"/>
        <v>32</v>
      </c>
      <c r="EY682" s="14">
        <f t="shared" si="627"/>
        <v>10</v>
      </c>
      <c r="EZ682" s="14">
        <f t="shared" si="639"/>
        <v>18</v>
      </c>
      <c r="FA682" s="14">
        <f t="shared" si="640"/>
        <v>110</v>
      </c>
      <c r="FB682" s="14">
        <f t="shared" si="641"/>
        <v>1</v>
      </c>
      <c r="FC682" s="14">
        <f t="shared" si="642"/>
        <v>7</v>
      </c>
      <c r="FD682" s="14">
        <f t="shared" si="643"/>
        <v>7</v>
      </c>
      <c r="FE682" s="14" t="b">
        <f t="shared" si="660"/>
        <v>0</v>
      </c>
      <c r="FF682" s="14">
        <f t="shared" si="644"/>
        <v>2107107</v>
      </c>
      <c r="FG682" s="13" t="str">
        <f t="shared" si="645"/>
        <v>110级-普通守护灵の项链</v>
      </c>
      <c r="FH682" s="14">
        <f t="shared" si="646"/>
        <v>2</v>
      </c>
      <c r="FI682" s="14">
        <f t="shared" si="647"/>
        <v>1</v>
      </c>
      <c r="FJ682" s="14">
        <f t="shared" si="648"/>
        <v>110</v>
      </c>
      <c r="FK682" s="14">
        <v>243</v>
      </c>
      <c r="FL682" s="14">
        <f t="shared" si="649"/>
        <v>7</v>
      </c>
      <c r="FM682" s="14">
        <f t="shared" si="628"/>
        <v>7</v>
      </c>
      <c r="FN682" s="14" t="str">
        <f t="shared" si="650"/>
        <v/>
      </c>
      <c r="FO682" s="14">
        <f t="shared" si="629"/>
        <v>110</v>
      </c>
      <c r="FP682" s="14">
        <f t="shared" si="661"/>
        <v>185</v>
      </c>
      <c r="FQ682" s="14">
        <f t="shared" si="662"/>
        <v>115</v>
      </c>
      <c r="FR682" s="14">
        <f t="shared" si="663"/>
        <v>0</v>
      </c>
      <c r="FS682" s="14">
        <f t="shared" si="664"/>
        <v>10</v>
      </c>
      <c r="FT682" s="14">
        <f t="shared" si="665"/>
        <v>6</v>
      </c>
      <c r="FU682" s="14">
        <f t="shared" si="666"/>
        <v>0</v>
      </c>
      <c r="FV682" s="14">
        <f t="shared" si="651"/>
        <v>2071</v>
      </c>
      <c r="FW682" s="14">
        <f t="shared" si="652"/>
        <v>0</v>
      </c>
      <c r="FX682" s="14" t="str">
        <f t="shared" si="653"/>
        <v/>
      </c>
      <c r="FY682" s="25" t="str">
        <f t="shared" si="667"/>
        <v>icon_2107107</v>
      </c>
      <c r="GC682" s="14">
        <f t="shared" si="654"/>
        <v>1</v>
      </c>
      <c r="GD682" s="14">
        <f t="shared" si="655"/>
        <v>2</v>
      </c>
      <c r="GE682" s="14">
        <f t="shared" si="630"/>
        <v>110</v>
      </c>
      <c r="GF682" s="14" t="str">
        <f t="shared" si="631"/>
        <v>AtkExt</v>
      </c>
      <c r="GG682" s="14">
        <f t="shared" si="632"/>
        <v>185</v>
      </c>
      <c r="GH682" s="14">
        <f t="shared" si="633"/>
        <v>10</v>
      </c>
      <c r="GI682" s="14" t="str">
        <f t="shared" si="634"/>
        <v>DefExt</v>
      </c>
      <c r="GJ682" s="14">
        <f t="shared" si="635"/>
        <v>115</v>
      </c>
      <c r="GK682" s="14">
        <f t="shared" si="636"/>
        <v>6</v>
      </c>
      <c r="GL682" s="14">
        <f t="shared" si="656"/>
        <v>20710</v>
      </c>
      <c r="GM682" s="14">
        <f t="shared" si="637"/>
        <v>0</v>
      </c>
      <c r="GN682" s="14" t="str">
        <f t="shared" si="638"/>
        <v/>
      </c>
      <c r="GO682" s="25" t="s">
        <v>1471</v>
      </c>
      <c r="GP682" s="14">
        <f t="shared" si="657"/>
        <v>45</v>
      </c>
    </row>
    <row r="683" spans="151:198" ht="16.5" x14ac:dyDescent="0.2">
      <c r="EU683" s="13">
        <v>678</v>
      </c>
      <c r="EV683" s="14">
        <f t="shared" si="658"/>
        <v>2</v>
      </c>
      <c r="EW683" s="14">
        <f t="shared" si="626"/>
        <v>243</v>
      </c>
      <c r="EX683" s="14">
        <f t="shared" si="659"/>
        <v>32</v>
      </c>
      <c r="EY683" s="14">
        <f t="shared" si="627"/>
        <v>10</v>
      </c>
      <c r="EZ683" s="14">
        <f t="shared" si="639"/>
        <v>18</v>
      </c>
      <c r="FA683" s="14">
        <f t="shared" si="640"/>
        <v>110</v>
      </c>
      <c r="FB683" s="14">
        <f t="shared" si="641"/>
        <v>1</v>
      </c>
      <c r="FC683" s="14">
        <f t="shared" si="642"/>
        <v>8</v>
      </c>
      <c r="FD683" s="14">
        <f t="shared" si="643"/>
        <v>8</v>
      </c>
      <c r="FE683" s="14" t="b">
        <f t="shared" si="660"/>
        <v>0</v>
      </c>
      <c r="FF683" s="14">
        <f t="shared" si="644"/>
        <v>2107108</v>
      </c>
      <c r="FG683" s="13" t="str">
        <f t="shared" si="645"/>
        <v>110级-普通守护灵の戒指</v>
      </c>
      <c r="FH683" s="14">
        <f t="shared" si="646"/>
        <v>2</v>
      </c>
      <c r="FI683" s="14">
        <f t="shared" si="647"/>
        <v>1</v>
      </c>
      <c r="FJ683" s="14">
        <f t="shared" si="648"/>
        <v>110</v>
      </c>
      <c r="FK683" s="14">
        <v>244</v>
      </c>
      <c r="FL683" s="14">
        <f t="shared" si="649"/>
        <v>7</v>
      </c>
      <c r="FM683" s="14">
        <f t="shared" si="628"/>
        <v>8</v>
      </c>
      <c r="FN683" s="14" t="str">
        <f t="shared" si="650"/>
        <v/>
      </c>
      <c r="FO683" s="14">
        <f t="shared" si="629"/>
        <v>157</v>
      </c>
      <c r="FP683" s="14">
        <f t="shared" si="661"/>
        <v>185</v>
      </c>
      <c r="FQ683" s="14">
        <f t="shared" si="662"/>
        <v>0</v>
      </c>
      <c r="FR683" s="14">
        <f t="shared" si="663"/>
        <v>2085</v>
      </c>
      <c r="FS683" s="14">
        <f t="shared" si="664"/>
        <v>10</v>
      </c>
      <c r="FT683" s="14">
        <f t="shared" si="665"/>
        <v>0</v>
      </c>
      <c r="FU683" s="14">
        <f t="shared" si="666"/>
        <v>107</v>
      </c>
      <c r="FV683" s="14">
        <f t="shared" si="651"/>
        <v>2071</v>
      </c>
      <c r="FW683" s="14">
        <f t="shared" si="652"/>
        <v>0</v>
      </c>
      <c r="FX683" s="14" t="str">
        <f t="shared" si="653"/>
        <v/>
      </c>
      <c r="FY683" s="25" t="str">
        <f t="shared" si="667"/>
        <v>icon_2107108</v>
      </c>
      <c r="GC683" s="14">
        <f t="shared" si="654"/>
        <v>1</v>
      </c>
      <c r="GD683" s="14">
        <f t="shared" si="655"/>
        <v>3</v>
      </c>
      <c r="GE683" s="14">
        <f t="shared" si="630"/>
        <v>157</v>
      </c>
      <c r="GF683" s="14" t="str">
        <f t="shared" si="631"/>
        <v>AtkExt</v>
      </c>
      <c r="GG683" s="14">
        <f t="shared" si="632"/>
        <v>185</v>
      </c>
      <c r="GH683" s="14">
        <f t="shared" si="633"/>
        <v>10</v>
      </c>
      <c r="GI683" s="14" t="str">
        <f t="shared" si="634"/>
        <v>HPExt</v>
      </c>
      <c r="GJ683" s="14">
        <f t="shared" si="635"/>
        <v>2085</v>
      </c>
      <c r="GK683" s="14">
        <f t="shared" si="636"/>
        <v>107</v>
      </c>
      <c r="GL683" s="14">
        <f t="shared" si="656"/>
        <v>20710</v>
      </c>
      <c r="GM683" s="14">
        <f t="shared" si="637"/>
        <v>0</v>
      </c>
      <c r="GN683" s="14" t="str">
        <f t="shared" si="638"/>
        <v/>
      </c>
      <c r="GO683" s="25" t="s">
        <v>1471</v>
      </c>
      <c r="GP683" s="14">
        <f t="shared" si="657"/>
        <v>45</v>
      </c>
    </row>
    <row r="684" spans="151:198" ht="16.5" x14ac:dyDescent="0.2">
      <c r="EU684" s="13">
        <v>679</v>
      </c>
      <c r="EV684" s="14">
        <f t="shared" si="658"/>
        <v>2</v>
      </c>
      <c r="EW684" s="14">
        <f t="shared" si="626"/>
        <v>244</v>
      </c>
      <c r="EX684" s="14">
        <f t="shared" si="659"/>
        <v>33</v>
      </c>
      <c r="EY684" s="14">
        <f t="shared" si="627"/>
        <v>20</v>
      </c>
      <c r="EZ684" s="14">
        <f t="shared" si="639"/>
        <v>18</v>
      </c>
      <c r="FA684" s="14">
        <f t="shared" si="640"/>
        <v>110</v>
      </c>
      <c r="FB684" s="14">
        <f t="shared" si="641"/>
        <v>2</v>
      </c>
      <c r="FC684" s="14">
        <f t="shared" si="642"/>
        <v>1</v>
      </c>
      <c r="FD684" s="14">
        <f t="shared" si="643"/>
        <v>1</v>
      </c>
      <c r="FE684" s="14" t="b">
        <f t="shared" si="660"/>
        <v>0</v>
      </c>
      <c r="FF684" s="14">
        <f t="shared" si="644"/>
        <v>2107201</v>
      </c>
      <c r="FG684" s="13" t="str">
        <f t="shared" si="645"/>
        <v>110级-优秀守护灵の灵器</v>
      </c>
      <c r="FH684" s="14">
        <f t="shared" si="646"/>
        <v>2</v>
      </c>
      <c r="FI684" s="14">
        <f t="shared" si="647"/>
        <v>2</v>
      </c>
      <c r="FJ684" s="14">
        <f t="shared" si="648"/>
        <v>110</v>
      </c>
      <c r="FK684" s="14">
        <v>245</v>
      </c>
      <c r="FL684" s="14">
        <f t="shared" si="649"/>
        <v>7</v>
      </c>
      <c r="FM684" s="14">
        <f t="shared" si="628"/>
        <v>1</v>
      </c>
      <c r="FN684" s="14" t="str">
        <f t="shared" si="650"/>
        <v/>
      </c>
      <c r="FO684" s="14">
        <f t="shared" si="629"/>
        <v>200</v>
      </c>
      <c r="FP684" s="14">
        <f t="shared" si="661"/>
        <v>780</v>
      </c>
      <c r="FQ684" s="14">
        <f t="shared" si="662"/>
        <v>0</v>
      </c>
      <c r="FR684" s="14">
        <f t="shared" si="663"/>
        <v>0</v>
      </c>
      <c r="FS684" s="14">
        <f t="shared" si="664"/>
        <v>40</v>
      </c>
      <c r="FT684" s="14">
        <f t="shared" si="665"/>
        <v>0</v>
      </c>
      <c r="FU684" s="14">
        <f t="shared" si="666"/>
        <v>0</v>
      </c>
      <c r="FV684" s="14">
        <f t="shared" si="651"/>
        <v>2072</v>
      </c>
      <c r="FW684" s="14">
        <f t="shared" si="652"/>
        <v>0</v>
      </c>
      <c r="FX684" s="14" t="str">
        <f t="shared" si="653"/>
        <v/>
      </c>
      <c r="FY684" s="25" t="str">
        <f t="shared" si="667"/>
        <v>icon_2107101</v>
      </c>
      <c r="GC684" s="14">
        <f t="shared" si="654"/>
        <v>1</v>
      </c>
      <c r="GD684" s="14">
        <f t="shared" si="655"/>
        <v>0</v>
      </c>
      <c r="GE684" s="14">
        <f t="shared" si="630"/>
        <v>200</v>
      </c>
      <c r="GF684" s="14" t="str">
        <f t="shared" si="631"/>
        <v>AtkExt</v>
      </c>
      <c r="GG684" s="14">
        <f t="shared" si="632"/>
        <v>780</v>
      </c>
      <c r="GH684" s="14">
        <f t="shared" si="633"/>
        <v>40</v>
      </c>
      <c r="GI684" s="14" t="str">
        <f t="shared" si="634"/>
        <v/>
      </c>
      <c r="GJ684" s="14" t="str">
        <f t="shared" si="635"/>
        <v/>
      </c>
      <c r="GK684" s="14" t="str">
        <f t="shared" si="636"/>
        <v/>
      </c>
      <c r="GL684" s="14">
        <f t="shared" si="656"/>
        <v>20720</v>
      </c>
      <c r="GM684" s="14">
        <f t="shared" si="637"/>
        <v>0</v>
      </c>
      <c r="GN684" s="14" t="str">
        <f t="shared" si="638"/>
        <v/>
      </c>
      <c r="GO684" s="25" t="s">
        <v>1471</v>
      </c>
      <c r="GP684" s="14">
        <f t="shared" si="657"/>
        <v>180</v>
      </c>
    </row>
    <row r="685" spans="151:198" ht="16.5" x14ac:dyDescent="0.2">
      <c r="EU685" s="13">
        <v>680</v>
      </c>
      <c r="EV685" s="14">
        <f t="shared" si="658"/>
        <v>2</v>
      </c>
      <c r="EW685" s="14">
        <f t="shared" si="626"/>
        <v>245</v>
      </c>
      <c r="EX685" s="14">
        <f t="shared" si="659"/>
        <v>33</v>
      </c>
      <c r="EY685" s="14">
        <f t="shared" si="627"/>
        <v>20</v>
      </c>
      <c r="EZ685" s="14">
        <f t="shared" si="639"/>
        <v>18</v>
      </c>
      <c r="FA685" s="14">
        <f t="shared" si="640"/>
        <v>110</v>
      </c>
      <c r="FB685" s="14">
        <f t="shared" si="641"/>
        <v>2</v>
      </c>
      <c r="FC685" s="14">
        <f t="shared" si="642"/>
        <v>2</v>
      </c>
      <c r="FD685" s="14">
        <f t="shared" si="643"/>
        <v>2</v>
      </c>
      <c r="FE685" s="14" t="b">
        <f t="shared" si="660"/>
        <v>0</v>
      </c>
      <c r="FF685" s="14">
        <f t="shared" si="644"/>
        <v>2107202</v>
      </c>
      <c r="FG685" s="13" t="str">
        <f t="shared" si="645"/>
        <v>110级-优秀守护灵の头盔</v>
      </c>
      <c r="FH685" s="14">
        <f t="shared" si="646"/>
        <v>2</v>
      </c>
      <c r="FI685" s="14">
        <f t="shared" si="647"/>
        <v>2</v>
      </c>
      <c r="FJ685" s="14">
        <f t="shared" si="648"/>
        <v>110</v>
      </c>
      <c r="FK685" s="14">
        <v>246</v>
      </c>
      <c r="FL685" s="14">
        <f t="shared" si="649"/>
        <v>7</v>
      </c>
      <c r="FM685" s="14">
        <f t="shared" si="628"/>
        <v>2</v>
      </c>
      <c r="FN685" s="14" t="str">
        <f t="shared" si="650"/>
        <v/>
      </c>
      <c r="FO685" s="14">
        <f t="shared" si="629"/>
        <v>100</v>
      </c>
      <c r="FP685" s="14">
        <f t="shared" si="661"/>
        <v>0</v>
      </c>
      <c r="FQ685" s="14">
        <f t="shared" si="662"/>
        <v>195</v>
      </c>
      <c r="FR685" s="14">
        <f t="shared" si="663"/>
        <v>0</v>
      </c>
      <c r="FS685" s="14">
        <f t="shared" si="664"/>
        <v>0</v>
      </c>
      <c r="FT685" s="14">
        <f t="shared" si="665"/>
        <v>10</v>
      </c>
      <c r="FU685" s="14">
        <f t="shared" si="666"/>
        <v>0</v>
      </c>
      <c r="FV685" s="14">
        <f t="shared" si="651"/>
        <v>2072</v>
      </c>
      <c r="FW685" s="14">
        <f t="shared" si="652"/>
        <v>0</v>
      </c>
      <c r="FX685" s="14" t="str">
        <f t="shared" si="653"/>
        <v/>
      </c>
      <c r="FY685" s="25" t="str">
        <f t="shared" si="667"/>
        <v>icon_2107102</v>
      </c>
      <c r="GC685" s="14">
        <f t="shared" si="654"/>
        <v>2</v>
      </c>
      <c r="GD685" s="14">
        <f t="shared" si="655"/>
        <v>0</v>
      </c>
      <c r="GE685" s="14">
        <f t="shared" si="630"/>
        <v>100</v>
      </c>
      <c r="GF685" s="14" t="str">
        <f t="shared" si="631"/>
        <v>DefExt</v>
      </c>
      <c r="GG685" s="14">
        <f t="shared" si="632"/>
        <v>195</v>
      </c>
      <c r="GH685" s="14">
        <f t="shared" si="633"/>
        <v>10</v>
      </c>
      <c r="GI685" s="14" t="str">
        <f t="shared" si="634"/>
        <v/>
      </c>
      <c r="GJ685" s="14" t="str">
        <f t="shared" si="635"/>
        <v/>
      </c>
      <c r="GK685" s="14" t="str">
        <f t="shared" si="636"/>
        <v/>
      </c>
      <c r="GL685" s="14">
        <f t="shared" si="656"/>
        <v>20720</v>
      </c>
      <c r="GM685" s="14">
        <f t="shared" si="637"/>
        <v>0</v>
      </c>
      <c r="GN685" s="14" t="str">
        <f t="shared" si="638"/>
        <v/>
      </c>
      <c r="GO685" s="25" t="s">
        <v>1471</v>
      </c>
      <c r="GP685" s="14">
        <f t="shared" si="657"/>
        <v>90</v>
      </c>
    </row>
    <row r="686" spans="151:198" ht="16.5" x14ac:dyDescent="0.2">
      <c r="EU686" s="13">
        <v>681</v>
      </c>
      <c r="EV686" s="14">
        <f t="shared" si="658"/>
        <v>2</v>
      </c>
      <c r="EW686" s="14">
        <f t="shared" si="626"/>
        <v>246</v>
      </c>
      <c r="EX686" s="14">
        <f t="shared" si="659"/>
        <v>33</v>
      </c>
      <c r="EY686" s="14">
        <f t="shared" si="627"/>
        <v>20</v>
      </c>
      <c r="EZ686" s="14">
        <f t="shared" si="639"/>
        <v>18</v>
      </c>
      <c r="FA686" s="14">
        <f t="shared" si="640"/>
        <v>110</v>
      </c>
      <c r="FB686" s="14">
        <f t="shared" si="641"/>
        <v>2</v>
      </c>
      <c r="FC686" s="14">
        <f t="shared" si="642"/>
        <v>3</v>
      </c>
      <c r="FD686" s="14">
        <f t="shared" si="643"/>
        <v>3</v>
      </c>
      <c r="FE686" s="14" t="b">
        <f t="shared" si="660"/>
        <v>0</v>
      </c>
      <c r="FF686" s="14">
        <f t="shared" si="644"/>
        <v>2107203</v>
      </c>
      <c r="FG686" s="13" t="str">
        <f t="shared" si="645"/>
        <v>110级-优秀守护灵の铠甲</v>
      </c>
      <c r="FH686" s="14">
        <f t="shared" si="646"/>
        <v>2</v>
      </c>
      <c r="FI686" s="14">
        <f t="shared" si="647"/>
        <v>2</v>
      </c>
      <c r="FJ686" s="14">
        <f t="shared" si="648"/>
        <v>110</v>
      </c>
      <c r="FK686" s="14">
        <v>247</v>
      </c>
      <c r="FL686" s="14">
        <f t="shared" si="649"/>
        <v>7</v>
      </c>
      <c r="FM686" s="14">
        <f t="shared" si="628"/>
        <v>3</v>
      </c>
      <c r="FN686" s="14" t="str">
        <f t="shared" si="650"/>
        <v/>
      </c>
      <c r="FO686" s="14">
        <f t="shared" si="629"/>
        <v>140</v>
      </c>
      <c r="FP686" s="14">
        <f t="shared" si="661"/>
        <v>0</v>
      </c>
      <c r="FQ686" s="14">
        <f t="shared" si="662"/>
        <v>100</v>
      </c>
      <c r="FR686" s="14">
        <f t="shared" si="663"/>
        <v>1750</v>
      </c>
      <c r="FS686" s="14">
        <f t="shared" si="664"/>
        <v>0</v>
      </c>
      <c r="FT686" s="14">
        <f t="shared" si="665"/>
        <v>5</v>
      </c>
      <c r="FU686" s="14">
        <f t="shared" si="666"/>
        <v>90</v>
      </c>
      <c r="FV686" s="14">
        <f t="shared" si="651"/>
        <v>2072</v>
      </c>
      <c r="FW686" s="14">
        <f t="shared" si="652"/>
        <v>0</v>
      </c>
      <c r="FX686" s="14" t="str">
        <f t="shared" si="653"/>
        <v/>
      </c>
      <c r="FY686" s="25" t="str">
        <f t="shared" si="667"/>
        <v>icon_2107103</v>
      </c>
      <c r="GC686" s="14">
        <f t="shared" si="654"/>
        <v>2</v>
      </c>
      <c r="GD686" s="14">
        <f t="shared" si="655"/>
        <v>3</v>
      </c>
      <c r="GE686" s="14">
        <f t="shared" si="630"/>
        <v>140</v>
      </c>
      <c r="GF686" s="14" t="str">
        <f t="shared" si="631"/>
        <v>DefExt</v>
      </c>
      <c r="GG686" s="14">
        <f t="shared" si="632"/>
        <v>100</v>
      </c>
      <c r="GH686" s="14">
        <f t="shared" si="633"/>
        <v>5</v>
      </c>
      <c r="GI686" s="14" t="str">
        <f t="shared" si="634"/>
        <v>HPExt</v>
      </c>
      <c r="GJ686" s="14">
        <f t="shared" si="635"/>
        <v>1750</v>
      </c>
      <c r="GK686" s="14">
        <f t="shared" si="636"/>
        <v>90</v>
      </c>
      <c r="GL686" s="14">
        <f t="shared" si="656"/>
        <v>20720</v>
      </c>
      <c r="GM686" s="14">
        <f t="shared" si="637"/>
        <v>0</v>
      </c>
      <c r="GN686" s="14" t="str">
        <f t="shared" si="638"/>
        <v/>
      </c>
      <c r="GO686" s="25" t="s">
        <v>1471</v>
      </c>
      <c r="GP686" s="14">
        <f t="shared" si="657"/>
        <v>90</v>
      </c>
    </row>
    <row r="687" spans="151:198" ht="16.5" x14ac:dyDescent="0.2">
      <c r="EU687" s="13">
        <v>682</v>
      </c>
      <c r="EV687" s="14">
        <f t="shared" si="658"/>
        <v>2</v>
      </c>
      <c r="EW687" s="14">
        <f t="shared" si="626"/>
        <v>247</v>
      </c>
      <c r="EX687" s="14">
        <f t="shared" si="659"/>
        <v>33</v>
      </c>
      <c r="EY687" s="14">
        <f t="shared" si="627"/>
        <v>20</v>
      </c>
      <c r="EZ687" s="14">
        <f t="shared" si="639"/>
        <v>18</v>
      </c>
      <c r="FA687" s="14">
        <f t="shared" si="640"/>
        <v>110</v>
      </c>
      <c r="FB687" s="14">
        <f t="shared" si="641"/>
        <v>2</v>
      </c>
      <c r="FC687" s="14">
        <f t="shared" si="642"/>
        <v>4</v>
      </c>
      <c r="FD687" s="14">
        <f t="shared" si="643"/>
        <v>4</v>
      </c>
      <c r="FE687" s="14" t="b">
        <f t="shared" si="660"/>
        <v>0</v>
      </c>
      <c r="FF687" s="14">
        <f t="shared" si="644"/>
        <v>2107204</v>
      </c>
      <c r="FG687" s="13" t="str">
        <f t="shared" si="645"/>
        <v>110级-优秀守护灵の裤子</v>
      </c>
      <c r="FH687" s="14">
        <f t="shared" si="646"/>
        <v>2</v>
      </c>
      <c r="FI687" s="14">
        <f t="shared" si="647"/>
        <v>2</v>
      </c>
      <c r="FJ687" s="14">
        <f t="shared" si="648"/>
        <v>110</v>
      </c>
      <c r="FK687" s="14">
        <v>248</v>
      </c>
      <c r="FL687" s="14">
        <f t="shared" si="649"/>
        <v>7</v>
      </c>
      <c r="FM687" s="14">
        <f t="shared" si="628"/>
        <v>4</v>
      </c>
      <c r="FN687" s="14" t="str">
        <f t="shared" si="650"/>
        <v/>
      </c>
      <c r="FO687" s="14">
        <f t="shared" si="629"/>
        <v>100</v>
      </c>
      <c r="FP687" s="14">
        <f t="shared" si="661"/>
        <v>0</v>
      </c>
      <c r="FQ687" s="14">
        <f t="shared" si="662"/>
        <v>195</v>
      </c>
      <c r="FR687" s="14">
        <f t="shared" si="663"/>
        <v>0</v>
      </c>
      <c r="FS687" s="14">
        <f t="shared" si="664"/>
        <v>0</v>
      </c>
      <c r="FT687" s="14">
        <f t="shared" si="665"/>
        <v>10</v>
      </c>
      <c r="FU687" s="14">
        <f t="shared" si="666"/>
        <v>0</v>
      </c>
      <c r="FV687" s="14">
        <f t="shared" si="651"/>
        <v>2072</v>
      </c>
      <c r="FW687" s="14">
        <f t="shared" si="652"/>
        <v>0</v>
      </c>
      <c r="FX687" s="14" t="str">
        <f t="shared" si="653"/>
        <v/>
      </c>
      <c r="FY687" s="25" t="str">
        <f t="shared" si="667"/>
        <v>icon_2107104</v>
      </c>
      <c r="GC687" s="14">
        <f t="shared" si="654"/>
        <v>2</v>
      </c>
      <c r="GD687" s="14">
        <f t="shared" si="655"/>
        <v>0</v>
      </c>
      <c r="GE687" s="14">
        <f t="shared" si="630"/>
        <v>100</v>
      </c>
      <c r="GF687" s="14" t="str">
        <f t="shared" si="631"/>
        <v>DefExt</v>
      </c>
      <c r="GG687" s="14">
        <f t="shared" si="632"/>
        <v>195</v>
      </c>
      <c r="GH687" s="14">
        <f t="shared" si="633"/>
        <v>10</v>
      </c>
      <c r="GI687" s="14" t="str">
        <f t="shared" si="634"/>
        <v/>
      </c>
      <c r="GJ687" s="14" t="str">
        <f t="shared" si="635"/>
        <v/>
      </c>
      <c r="GK687" s="14" t="str">
        <f t="shared" si="636"/>
        <v/>
      </c>
      <c r="GL687" s="14">
        <f t="shared" si="656"/>
        <v>20720</v>
      </c>
      <c r="GM687" s="14">
        <f t="shared" si="637"/>
        <v>0</v>
      </c>
      <c r="GN687" s="14" t="str">
        <f t="shared" si="638"/>
        <v/>
      </c>
      <c r="GO687" s="25" t="s">
        <v>1471</v>
      </c>
      <c r="GP687" s="14">
        <f t="shared" si="657"/>
        <v>90</v>
      </c>
    </row>
    <row r="688" spans="151:198" ht="16.5" x14ac:dyDescent="0.2">
      <c r="EU688" s="13">
        <v>683</v>
      </c>
      <c r="EV688" s="14">
        <f t="shared" si="658"/>
        <v>2</v>
      </c>
      <c r="EW688" s="14">
        <f t="shared" si="626"/>
        <v>248</v>
      </c>
      <c r="EX688" s="14">
        <f t="shared" si="659"/>
        <v>33</v>
      </c>
      <c r="EY688" s="14">
        <f t="shared" si="627"/>
        <v>20</v>
      </c>
      <c r="EZ688" s="14">
        <f t="shared" si="639"/>
        <v>18</v>
      </c>
      <c r="FA688" s="14">
        <f t="shared" si="640"/>
        <v>110</v>
      </c>
      <c r="FB688" s="14">
        <f t="shared" si="641"/>
        <v>2</v>
      </c>
      <c r="FC688" s="14">
        <f t="shared" si="642"/>
        <v>5</v>
      </c>
      <c r="FD688" s="14">
        <f t="shared" si="643"/>
        <v>5</v>
      </c>
      <c r="FE688" s="14" t="b">
        <f t="shared" si="660"/>
        <v>0</v>
      </c>
      <c r="FF688" s="14">
        <f t="shared" si="644"/>
        <v>2107205</v>
      </c>
      <c r="FG688" s="13" t="str">
        <f t="shared" si="645"/>
        <v>110级-优秀守护灵の鞋子</v>
      </c>
      <c r="FH688" s="14">
        <f t="shared" si="646"/>
        <v>2</v>
      </c>
      <c r="FI688" s="14">
        <f t="shared" si="647"/>
        <v>2</v>
      </c>
      <c r="FJ688" s="14">
        <f t="shared" si="648"/>
        <v>110</v>
      </c>
      <c r="FK688" s="14">
        <v>249</v>
      </c>
      <c r="FL688" s="14">
        <f t="shared" si="649"/>
        <v>7</v>
      </c>
      <c r="FM688" s="14">
        <f t="shared" si="628"/>
        <v>5</v>
      </c>
      <c r="FN688" s="14" t="str">
        <f t="shared" si="650"/>
        <v/>
      </c>
      <c r="FO688" s="14">
        <f t="shared" si="629"/>
        <v>180</v>
      </c>
      <c r="FP688" s="14">
        <f t="shared" si="661"/>
        <v>0</v>
      </c>
      <c r="FQ688" s="14">
        <f t="shared" si="662"/>
        <v>0</v>
      </c>
      <c r="FR688" s="14">
        <f t="shared" si="663"/>
        <v>3505</v>
      </c>
      <c r="FS688" s="14">
        <f t="shared" si="664"/>
        <v>0</v>
      </c>
      <c r="FT688" s="14">
        <f t="shared" si="665"/>
        <v>0</v>
      </c>
      <c r="FU688" s="14">
        <f t="shared" si="666"/>
        <v>180</v>
      </c>
      <c r="FV688" s="14">
        <f t="shared" si="651"/>
        <v>2072</v>
      </c>
      <c r="FW688" s="14">
        <f t="shared" si="652"/>
        <v>0</v>
      </c>
      <c r="FX688" s="14" t="str">
        <f t="shared" si="653"/>
        <v/>
      </c>
      <c r="FY688" s="25" t="str">
        <f t="shared" si="667"/>
        <v>icon_2107105</v>
      </c>
      <c r="GC688" s="14">
        <f t="shared" si="654"/>
        <v>3</v>
      </c>
      <c r="GD688" s="14">
        <f t="shared" si="655"/>
        <v>0</v>
      </c>
      <c r="GE688" s="14">
        <f t="shared" si="630"/>
        <v>180</v>
      </c>
      <c r="GF688" s="14" t="str">
        <f t="shared" si="631"/>
        <v>HPExt</v>
      </c>
      <c r="GG688" s="14">
        <f t="shared" si="632"/>
        <v>3505</v>
      </c>
      <c r="GH688" s="14">
        <f t="shared" si="633"/>
        <v>180</v>
      </c>
      <c r="GI688" s="14" t="str">
        <f t="shared" si="634"/>
        <v/>
      </c>
      <c r="GJ688" s="14" t="str">
        <f t="shared" si="635"/>
        <v/>
      </c>
      <c r="GK688" s="14" t="str">
        <f t="shared" si="636"/>
        <v/>
      </c>
      <c r="GL688" s="14">
        <f t="shared" si="656"/>
        <v>20720</v>
      </c>
      <c r="GM688" s="14">
        <f t="shared" si="637"/>
        <v>0</v>
      </c>
      <c r="GN688" s="14" t="str">
        <f t="shared" si="638"/>
        <v/>
      </c>
      <c r="GO688" s="25" t="s">
        <v>1471</v>
      </c>
      <c r="GP688" s="14">
        <f t="shared" si="657"/>
        <v>90</v>
      </c>
    </row>
    <row r="689" spans="151:198" ht="16.5" x14ac:dyDescent="0.2">
      <c r="EU689" s="13">
        <v>684</v>
      </c>
      <c r="EV689" s="14">
        <f t="shared" si="658"/>
        <v>2</v>
      </c>
      <c r="EW689" s="14">
        <f t="shared" si="626"/>
        <v>249</v>
      </c>
      <c r="EX689" s="14">
        <f t="shared" si="659"/>
        <v>33</v>
      </c>
      <c r="EY689" s="14">
        <f t="shared" si="627"/>
        <v>20</v>
      </c>
      <c r="EZ689" s="14">
        <f t="shared" si="639"/>
        <v>18</v>
      </c>
      <c r="FA689" s="14">
        <f t="shared" si="640"/>
        <v>110</v>
      </c>
      <c r="FB689" s="14">
        <f t="shared" si="641"/>
        <v>2</v>
      </c>
      <c r="FC689" s="14">
        <f t="shared" si="642"/>
        <v>6</v>
      </c>
      <c r="FD689" s="14">
        <f t="shared" si="643"/>
        <v>6</v>
      </c>
      <c r="FE689" s="14" t="b">
        <f t="shared" si="660"/>
        <v>0</v>
      </c>
      <c r="FF689" s="14">
        <f t="shared" si="644"/>
        <v>2107206</v>
      </c>
      <c r="FG689" s="13" t="str">
        <f t="shared" si="645"/>
        <v>110级-优秀守护灵の护手</v>
      </c>
      <c r="FH689" s="14">
        <f t="shared" si="646"/>
        <v>2</v>
      </c>
      <c r="FI689" s="14">
        <f t="shared" si="647"/>
        <v>2</v>
      </c>
      <c r="FJ689" s="14">
        <f t="shared" si="648"/>
        <v>110</v>
      </c>
      <c r="FK689" s="14">
        <v>250</v>
      </c>
      <c r="FL689" s="14">
        <f t="shared" si="649"/>
        <v>7</v>
      </c>
      <c r="FM689" s="14">
        <f t="shared" si="628"/>
        <v>6</v>
      </c>
      <c r="FN689" s="14" t="str">
        <f t="shared" si="650"/>
        <v/>
      </c>
      <c r="FO689" s="14">
        <f t="shared" si="629"/>
        <v>180</v>
      </c>
      <c r="FP689" s="14">
        <f t="shared" si="661"/>
        <v>0</v>
      </c>
      <c r="FQ689" s="14">
        <f t="shared" si="662"/>
        <v>0</v>
      </c>
      <c r="FR689" s="14">
        <f t="shared" si="663"/>
        <v>3505</v>
      </c>
      <c r="FS689" s="14">
        <f t="shared" si="664"/>
        <v>0</v>
      </c>
      <c r="FT689" s="14">
        <f t="shared" si="665"/>
        <v>0</v>
      </c>
      <c r="FU689" s="14">
        <f t="shared" si="666"/>
        <v>180</v>
      </c>
      <c r="FV689" s="14">
        <f t="shared" si="651"/>
        <v>2072</v>
      </c>
      <c r="FW689" s="14">
        <f t="shared" si="652"/>
        <v>0</v>
      </c>
      <c r="FX689" s="14" t="str">
        <f t="shared" si="653"/>
        <v/>
      </c>
      <c r="FY689" s="25" t="str">
        <f t="shared" si="667"/>
        <v>icon_2107106</v>
      </c>
      <c r="GC689" s="14">
        <f t="shared" si="654"/>
        <v>3</v>
      </c>
      <c r="GD689" s="14">
        <f t="shared" si="655"/>
        <v>0</v>
      </c>
      <c r="GE689" s="14">
        <f t="shared" si="630"/>
        <v>180</v>
      </c>
      <c r="GF689" s="14" t="str">
        <f t="shared" si="631"/>
        <v>HPExt</v>
      </c>
      <c r="GG689" s="14">
        <f t="shared" si="632"/>
        <v>3505</v>
      </c>
      <c r="GH689" s="14">
        <f t="shared" si="633"/>
        <v>180</v>
      </c>
      <c r="GI689" s="14" t="str">
        <f t="shared" si="634"/>
        <v/>
      </c>
      <c r="GJ689" s="14" t="str">
        <f t="shared" si="635"/>
        <v/>
      </c>
      <c r="GK689" s="14" t="str">
        <f t="shared" si="636"/>
        <v/>
      </c>
      <c r="GL689" s="14">
        <f t="shared" si="656"/>
        <v>20720</v>
      </c>
      <c r="GM689" s="14">
        <f t="shared" si="637"/>
        <v>0</v>
      </c>
      <c r="GN689" s="14" t="str">
        <f t="shared" si="638"/>
        <v/>
      </c>
      <c r="GO689" s="25" t="s">
        <v>1471</v>
      </c>
      <c r="GP689" s="14">
        <f t="shared" si="657"/>
        <v>90</v>
      </c>
    </row>
    <row r="690" spans="151:198" ht="16.5" x14ac:dyDescent="0.2">
      <c r="EU690" s="13">
        <v>685</v>
      </c>
      <c r="EV690" s="14">
        <f t="shared" si="658"/>
        <v>2</v>
      </c>
      <c r="EW690" s="14">
        <f t="shared" si="626"/>
        <v>250</v>
      </c>
      <c r="EX690" s="14">
        <f t="shared" si="659"/>
        <v>33</v>
      </c>
      <c r="EY690" s="14">
        <f t="shared" si="627"/>
        <v>20</v>
      </c>
      <c r="EZ690" s="14">
        <f t="shared" si="639"/>
        <v>18</v>
      </c>
      <c r="FA690" s="14">
        <f t="shared" si="640"/>
        <v>110</v>
      </c>
      <c r="FB690" s="14">
        <f t="shared" si="641"/>
        <v>2</v>
      </c>
      <c r="FC690" s="14">
        <f t="shared" si="642"/>
        <v>7</v>
      </c>
      <c r="FD690" s="14">
        <f t="shared" si="643"/>
        <v>7</v>
      </c>
      <c r="FE690" s="14" t="b">
        <f t="shared" si="660"/>
        <v>0</v>
      </c>
      <c r="FF690" s="14">
        <f t="shared" si="644"/>
        <v>2107207</v>
      </c>
      <c r="FG690" s="13" t="str">
        <f t="shared" si="645"/>
        <v>110级-优秀守护灵の项链</v>
      </c>
      <c r="FH690" s="14">
        <f t="shared" si="646"/>
        <v>2</v>
      </c>
      <c r="FI690" s="14">
        <f t="shared" si="647"/>
        <v>2</v>
      </c>
      <c r="FJ690" s="14">
        <f t="shared" si="648"/>
        <v>110</v>
      </c>
      <c r="FK690" s="14">
        <v>251</v>
      </c>
      <c r="FL690" s="14">
        <f t="shared" si="649"/>
        <v>7</v>
      </c>
      <c r="FM690" s="14">
        <f t="shared" si="628"/>
        <v>7</v>
      </c>
      <c r="FN690" s="14" t="str">
        <f t="shared" si="650"/>
        <v/>
      </c>
      <c r="FO690" s="14">
        <f t="shared" si="629"/>
        <v>145</v>
      </c>
      <c r="FP690" s="14">
        <f t="shared" si="661"/>
        <v>260</v>
      </c>
      <c r="FQ690" s="14">
        <f t="shared" si="662"/>
        <v>165</v>
      </c>
      <c r="FR690" s="14">
        <f t="shared" si="663"/>
        <v>0</v>
      </c>
      <c r="FS690" s="14">
        <f t="shared" si="664"/>
        <v>13</v>
      </c>
      <c r="FT690" s="14">
        <f t="shared" si="665"/>
        <v>8</v>
      </c>
      <c r="FU690" s="14">
        <f t="shared" si="666"/>
        <v>0</v>
      </c>
      <c r="FV690" s="14">
        <f t="shared" si="651"/>
        <v>2072</v>
      </c>
      <c r="FW690" s="14">
        <f t="shared" si="652"/>
        <v>0</v>
      </c>
      <c r="FX690" s="14" t="str">
        <f t="shared" si="653"/>
        <v/>
      </c>
      <c r="FY690" s="25" t="str">
        <f t="shared" si="667"/>
        <v>icon_2107107</v>
      </c>
      <c r="GC690" s="14">
        <f t="shared" si="654"/>
        <v>1</v>
      </c>
      <c r="GD690" s="14">
        <f t="shared" si="655"/>
        <v>2</v>
      </c>
      <c r="GE690" s="14">
        <f t="shared" si="630"/>
        <v>145</v>
      </c>
      <c r="GF690" s="14" t="str">
        <f t="shared" si="631"/>
        <v>AtkExt</v>
      </c>
      <c r="GG690" s="14">
        <f t="shared" si="632"/>
        <v>260</v>
      </c>
      <c r="GH690" s="14">
        <f t="shared" si="633"/>
        <v>13</v>
      </c>
      <c r="GI690" s="14" t="str">
        <f t="shared" si="634"/>
        <v>DefExt</v>
      </c>
      <c r="GJ690" s="14">
        <f t="shared" si="635"/>
        <v>165</v>
      </c>
      <c r="GK690" s="14">
        <f t="shared" si="636"/>
        <v>8</v>
      </c>
      <c r="GL690" s="14">
        <f t="shared" si="656"/>
        <v>20720</v>
      </c>
      <c r="GM690" s="14">
        <f t="shared" si="637"/>
        <v>0</v>
      </c>
      <c r="GN690" s="14" t="str">
        <f t="shared" si="638"/>
        <v/>
      </c>
      <c r="GO690" s="25" t="s">
        <v>1471</v>
      </c>
      <c r="GP690" s="14">
        <f t="shared" si="657"/>
        <v>135</v>
      </c>
    </row>
    <row r="691" spans="151:198" ht="16.5" x14ac:dyDescent="0.2">
      <c r="EU691" s="13">
        <v>686</v>
      </c>
      <c r="EV691" s="14">
        <f t="shared" si="658"/>
        <v>2</v>
      </c>
      <c r="EW691" s="14">
        <f t="shared" si="626"/>
        <v>251</v>
      </c>
      <c r="EX691" s="14">
        <f t="shared" si="659"/>
        <v>33</v>
      </c>
      <c r="EY691" s="14">
        <f t="shared" si="627"/>
        <v>20</v>
      </c>
      <c r="EZ691" s="14">
        <f t="shared" si="639"/>
        <v>18</v>
      </c>
      <c r="FA691" s="14">
        <f t="shared" si="640"/>
        <v>110</v>
      </c>
      <c r="FB691" s="14">
        <f t="shared" si="641"/>
        <v>2</v>
      </c>
      <c r="FC691" s="14">
        <f t="shared" si="642"/>
        <v>8</v>
      </c>
      <c r="FD691" s="14">
        <f t="shared" si="643"/>
        <v>8</v>
      </c>
      <c r="FE691" s="14" t="b">
        <f t="shared" si="660"/>
        <v>0</v>
      </c>
      <c r="FF691" s="14">
        <f t="shared" si="644"/>
        <v>2107208</v>
      </c>
      <c r="FG691" s="13" t="str">
        <f t="shared" si="645"/>
        <v>110级-优秀守护灵の戒指</v>
      </c>
      <c r="FH691" s="14">
        <f t="shared" si="646"/>
        <v>2</v>
      </c>
      <c r="FI691" s="14">
        <f t="shared" si="647"/>
        <v>2</v>
      </c>
      <c r="FJ691" s="14">
        <f t="shared" si="648"/>
        <v>110</v>
      </c>
      <c r="FK691" s="14">
        <v>252</v>
      </c>
      <c r="FL691" s="14">
        <f t="shared" si="649"/>
        <v>7</v>
      </c>
      <c r="FM691" s="14">
        <f t="shared" si="628"/>
        <v>8</v>
      </c>
      <c r="FN691" s="14" t="str">
        <f t="shared" si="650"/>
        <v/>
      </c>
      <c r="FO691" s="14">
        <f t="shared" si="629"/>
        <v>215</v>
      </c>
      <c r="FP691" s="14">
        <f t="shared" si="661"/>
        <v>260</v>
      </c>
      <c r="FQ691" s="14">
        <f t="shared" si="662"/>
        <v>0</v>
      </c>
      <c r="FR691" s="14">
        <f t="shared" si="663"/>
        <v>2920</v>
      </c>
      <c r="FS691" s="14">
        <f t="shared" si="664"/>
        <v>13</v>
      </c>
      <c r="FT691" s="14">
        <f t="shared" si="665"/>
        <v>0</v>
      </c>
      <c r="FU691" s="14">
        <f t="shared" si="666"/>
        <v>150</v>
      </c>
      <c r="FV691" s="14">
        <f t="shared" si="651"/>
        <v>2072</v>
      </c>
      <c r="FW691" s="14">
        <f t="shared" si="652"/>
        <v>0</v>
      </c>
      <c r="FX691" s="14" t="str">
        <f t="shared" si="653"/>
        <v/>
      </c>
      <c r="FY691" s="25" t="str">
        <f t="shared" si="667"/>
        <v>icon_2107108</v>
      </c>
      <c r="GC691" s="14">
        <f t="shared" si="654"/>
        <v>1</v>
      </c>
      <c r="GD691" s="14">
        <f t="shared" si="655"/>
        <v>3</v>
      </c>
      <c r="GE691" s="14">
        <f t="shared" si="630"/>
        <v>215</v>
      </c>
      <c r="GF691" s="14" t="str">
        <f t="shared" si="631"/>
        <v>AtkExt</v>
      </c>
      <c r="GG691" s="14">
        <f t="shared" si="632"/>
        <v>260</v>
      </c>
      <c r="GH691" s="14">
        <f t="shared" si="633"/>
        <v>13</v>
      </c>
      <c r="GI691" s="14" t="str">
        <f t="shared" si="634"/>
        <v>HPExt</v>
      </c>
      <c r="GJ691" s="14">
        <f t="shared" si="635"/>
        <v>2920</v>
      </c>
      <c r="GK691" s="14">
        <f t="shared" si="636"/>
        <v>150</v>
      </c>
      <c r="GL691" s="14">
        <f t="shared" si="656"/>
        <v>20720</v>
      </c>
      <c r="GM691" s="14">
        <f t="shared" si="637"/>
        <v>0</v>
      </c>
      <c r="GN691" s="14" t="str">
        <f t="shared" si="638"/>
        <v/>
      </c>
      <c r="GO691" s="25" t="s">
        <v>1471</v>
      </c>
      <c r="GP691" s="14">
        <f t="shared" si="657"/>
        <v>135</v>
      </c>
    </row>
    <row r="692" spans="151:198" ht="16.5" x14ac:dyDescent="0.2">
      <c r="EU692" s="13">
        <v>687</v>
      </c>
      <c r="EV692" s="14">
        <f t="shared" si="658"/>
        <v>2</v>
      </c>
      <c r="EW692" s="14">
        <f t="shared" si="626"/>
        <v>252</v>
      </c>
      <c r="EX692" s="14">
        <f t="shared" si="659"/>
        <v>34</v>
      </c>
      <c r="EY692" s="14">
        <f t="shared" si="627"/>
        <v>30</v>
      </c>
      <c r="EZ692" s="14">
        <f t="shared" si="639"/>
        <v>18</v>
      </c>
      <c r="FA692" s="14">
        <f t="shared" si="640"/>
        <v>110</v>
      </c>
      <c r="FB692" s="14">
        <f t="shared" si="641"/>
        <v>3</v>
      </c>
      <c r="FC692" s="14">
        <f t="shared" si="642"/>
        <v>1</v>
      </c>
      <c r="FD692" s="14">
        <f t="shared" si="643"/>
        <v>1</v>
      </c>
      <c r="FE692" s="14" t="b">
        <f t="shared" si="660"/>
        <v>0</v>
      </c>
      <c r="FF692" s="14">
        <f t="shared" si="644"/>
        <v>2107301</v>
      </c>
      <c r="FG692" s="13" t="str">
        <f t="shared" si="645"/>
        <v>110级-精良守护灵の灵器</v>
      </c>
      <c r="FH692" s="14">
        <f t="shared" si="646"/>
        <v>2</v>
      </c>
      <c r="FI692" s="14">
        <f t="shared" si="647"/>
        <v>3</v>
      </c>
      <c r="FJ692" s="14">
        <f t="shared" si="648"/>
        <v>110</v>
      </c>
      <c r="FK692" s="14">
        <v>253</v>
      </c>
      <c r="FL692" s="14">
        <f t="shared" si="649"/>
        <v>7</v>
      </c>
      <c r="FM692" s="14">
        <f t="shared" si="628"/>
        <v>1</v>
      </c>
      <c r="FN692" s="14" t="str">
        <f t="shared" si="650"/>
        <v/>
      </c>
      <c r="FO692" s="14">
        <f t="shared" si="629"/>
        <v>245</v>
      </c>
      <c r="FP692" s="14">
        <f t="shared" si="661"/>
        <v>945</v>
      </c>
      <c r="FQ692" s="14">
        <f t="shared" si="662"/>
        <v>0</v>
      </c>
      <c r="FR692" s="14">
        <f t="shared" si="663"/>
        <v>0</v>
      </c>
      <c r="FS692" s="14">
        <f t="shared" si="664"/>
        <v>49</v>
      </c>
      <c r="FT692" s="14">
        <f t="shared" si="665"/>
        <v>0</v>
      </c>
      <c r="FU692" s="14">
        <f t="shared" si="666"/>
        <v>0</v>
      </c>
      <c r="FV692" s="14">
        <f t="shared" si="651"/>
        <v>2073</v>
      </c>
      <c r="FW692" s="14">
        <f t="shared" si="652"/>
        <v>4</v>
      </c>
      <c r="FX692" s="14">
        <f t="shared" si="653"/>
        <v>2073</v>
      </c>
      <c r="FY692" s="25" t="str">
        <f t="shared" si="667"/>
        <v>icon_2107101</v>
      </c>
      <c r="GC692" s="14">
        <f t="shared" si="654"/>
        <v>1</v>
      </c>
      <c r="GD692" s="14">
        <f t="shared" si="655"/>
        <v>0</v>
      </c>
      <c r="GE692" s="14">
        <f t="shared" si="630"/>
        <v>245</v>
      </c>
      <c r="GF692" s="14" t="str">
        <f t="shared" si="631"/>
        <v>AtkExt</v>
      </c>
      <c r="GG692" s="14">
        <f t="shared" si="632"/>
        <v>945</v>
      </c>
      <c r="GH692" s="14">
        <f t="shared" si="633"/>
        <v>49</v>
      </c>
      <c r="GI692" s="14" t="str">
        <f t="shared" si="634"/>
        <v/>
      </c>
      <c r="GJ692" s="14" t="str">
        <f t="shared" si="635"/>
        <v/>
      </c>
      <c r="GK692" s="14" t="str">
        <f t="shared" si="636"/>
        <v/>
      </c>
      <c r="GL692" s="14">
        <f t="shared" si="656"/>
        <v>20730</v>
      </c>
      <c r="GM692" s="14">
        <f t="shared" si="637"/>
        <v>4</v>
      </c>
      <c r="GN692" s="14">
        <f t="shared" si="638"/>
        <v>2073</v>
      </c>
      <c r="GO692" s="25" t="s">
        <v>1471</v>
      </c>
      <c r="GP692" s="14">
        <f t="shared" si="657"/>
        <v>300</v>
      </c>
    </row>
    <row r="693" spans="151:198" ht="16.5" x14ac:dyDescent="0.2">
      <c r="EU693" s="13">
        <v>688</v>
      </c>
      <c r="EV693" s="14">
        <f t="shared" si="658"/>
        <v>2</v>
      </c>
      <c r="EW693" s="14">
        <f t="shared" si="626"/>
        <v>253</v>
      </c>
      <c r="EX693" s="14">
        <f t="shared" si="659"/>
        <v>34</v>
      </c>
      <c r="EY693" s="14">
        <f t="shared" si="627"/>
        <v>30</v>
      </c>
      <c r="EZ693" s="14">
        <f t="shared" si="639"/>
        <v>18</v>
      </c>
      <c r="FA693" s="14">
        <f t="shared" si="640"/>
        <v>110</v>
      </c>
      <c r="FB693" s="14">
        <f t="shared" si="641"/>
        <v>3</v>
      </c>
      <c r="FC693" s="14">
        <f t="shared" si="642"/>
        <v>2</v>
      </c>
      <c r="FD693" s="14">
        <f t="shared" si="643"/>
        <v>2</v>
      </c>
      <c r="FE693" s="14" t="b">
        <f t="shared" si="660"/>
        <v>0</v>
      </c>
      <c r="FF693" s="14">
        <f t="shared" si="644"/>
        <v>2107302</v>
      </c>
      <c r="FG693" s="13" t="str">
        <f t="shared" si="645"/>
        <v>110级-精良守护灵の头盔</v>
      </c>
      <c r="FH693" s="14">
        <f t="shared" si="646"/>
        <v>2</v>
      </c>
      <c r="FI693" s="14">
        <f t="shared" si="647"/>
        <v>3</v>
      </c>
      <c r="FJ693" s="14">
        <f t="shared" si="648"/>
        <v>110</v>
      </c>
      <c r="FK693" s="14">
        <v>254</v>
      </c>
      <c r="FL693" s="14">
        <f t="shared" si="649"/>
        <v>7</v>
      </c>
      <c r="FM693" s="14">
        <f t="shared" si="628"/>
        <v>2</v>
      </c>
      <c r="FN693" s="14" t="str">
        <f t="shared" si="650"/>
        <v/>
      </c>
      <c r="FO693" s="14">
        <f t="shared" si="629"/>
        <v>120</v>
      </c>
      <c r="FP693" s="14">
        <f t="shared" si="661"/>
        <v>0</v>
      </c>
      <c r="FQ693" s="14">
        <f t="shared" si="662"/>
        <v>235</v>
      </c>
      <c r="FR693" s="14">
        <f t="shared" si="663"/>
        <v>0</v>
      </c>
      <c r="FS693" s="14">
        <f t="shared" si="664"/>
        <v>0</v>
      </c>
      <c r="FT693" s="14">
        <f t="shared" si="665"/>
        <v>12</v>
      </c>
      <c r="FU693" s="14">
        <f t="shared" si="666"/>
        <v>0</v>
      </c>
      <c r="FV693" s="14">
        <f t="shared" si="651"/>
        <v>2073</v>
      </c>
      <c r="FW693" s="14">
        <f t="shared" si="652"/>
        <v>4</v>
      </c>
      <c r="FX693" s="14">
        <f t="shared" si="653"/>
        <v>2073</v>
      </c>
      <c r="FY693" s="25" t="str">
        <f t="shared" si="667"/>
        <v>icon_2107102</v>
      </c>
      <c r="GC693" s="14">
        <f t="shared" si="654"/>
        <v>2</v>
      </c>
      <c r="GD693" s="14">
        <f t="shared" si="655"/>
        <v>0</v>
      </c>
      <c r="GE693" s="14">
        <f t="shared" si="630"/>
        <v>120</v>
      </c>
      <c r="GF693" s="14" t="str">
        <f t="shared" si="631"/>
        <v>DefExt</v>
      </c>
      <c r="GG693" s="14">
        <f t="shared" si="632"/>
        <v>235</v>
      </c>
      <c r="GH693" s="14">
        <f t="shared" si="633"/>
        <v>12</v>
      </c>
      <c r="GI693" s="14" t="str">
        <f t="shared" si="634"/>
        <v/>
      </c>
      <c r="GJ693" s="14" t="str">
        <f t="shared" si="635"/>
        <v/>
      </c>
      <c r="GK693" s="14" t="str">
        <f t="shared" si="636"/>
        <v/>
      </c>
      <c r="GL693" s="14">
        <f t="shared" si="656"/>
        <v>20730</v>
      </c>
      <c r="GM693" s="14">
        <f t="shared" si="637"/>
        <v>4</v>
      </c>
      <c r="GN693" s="14">
        <f t="shared" si="638"/>
        <v>2073</v>
      </c>
      <c r="GO693" s="25" t="s">
        <v>1471</v>
      </c>
      <c r="GP693" s="14">
        <f t="shared" si="657"/>
        <v>150</v>
      </c>
    </row>
    <row r="694" spans="151:198" ht="16.5" x14ac:dyDescent="0.2">
      <c r="EU694" s="13">
        <v>689</v>
      </c>
      <c r="EV694" s="14">
        <f t="shared" si="658"/>
        <v>2</v>
      </c>
      <c r="EW694" s="14">
        <f t="shared" si="626"/>
        <v>254</v>
      </c>
      <c r="EX694" s="14">
        <f t="shared" si="659"/>
        <v>34</v>
      </c>
      <c r="EY694" s="14">
        <f t="shared" si="627"/>
        <v>30</v>
      </c>
      <c r="EZ694" s="14">
        <f t="shared" si="639"/>
        <v>18</v>
      </c>
      <c r="FA694" s="14">
        <f t="shared" si="640"/>
        <v>110</v>
      </c>
      <c r="FB694" s="14">
        <f t="shared" si="641"/>
        <v>3</v>
      </c>
      <c r="FC694" s="14">
        <f t="shared" si="642"/>
        <v>3</v>
      </c>
      <c r="FD694" s="14">
        <f t="shared" si="643"/>
        <v>3</v>
      </c>
      <c r="FE694" s="14" t="b">
        <f t="shared" si="660"/>
        <v>0</v>
      </c>
      <c r="FF694" s="14">
        <f t="shared" si="644"/>
        <v>2107303</v>
      </c>
      <c r="FG694" s="13" t="str">
        <f t="shared" si="645"/>
        <v>110级-精良守护灵の铠甲</v>
      </c>
      <c r="FH694" s="14">
        <f t="shared" si="646"/>
        <v>2</v>
      </c>
      <c r="FI694" s="14">
        <f t="shared" si="647"/>
        <v>3</v>
      </c>
      <c r="FJ694" s="14">
        <f t="shared" si="648"/>
        <v>110</v>
      </c>
      <c r="FK694" s="14">
        <v>255</v>
      </c>
      <c r="FL694" s="14">
        <f t="shared" si="649"/>
        <v>7</v>
      </c>
      <c r="FM694" s="14">
        <f t="shared" si="628"/>
        <v>3</v>
      </c>
      <c r="FN694" s="14" t="str">
        <f t="shared" si="650"/>
        <v/>
      </c>
      <c r="FO694" s="14">
        <f t="shared" si="629"/>
        <v>170</v>
      </c>
      <c r="FP694" s="14">
        <f t="shared" si="661"/>
        <v>0</v>
      </c>
      <c r="FQ694" s="14">
        <f t="shared" si="662"/>
        <v>120</v>
      </c>
      <c r="FR694" s="14">
        <f t="shared" si="663"/>
        <v>2125</v>
      </c>
      <c r="FS694" s="14">
        <f t="shared" si="664"/>
        <v>0</v>
      </c>
      <c r="FT694" s="14">
        <f t="shared" si="665"/>
        <v>6</v>
      </c>
      <c r="FU694" s="14">
        <f t="shared" si="666"/>
        <v>110</v>
      </c>
      <c r="FV694" s="14">
        <f t="shared" si="651"/>
        <v>2073</v>
      </c>
      <c r="FW694" s="14">
        <f t="shared" si="652"/>
        <v>4</v>
      </c>
      <c r="FX694" s="14">
        <f t="shared" si="653"/>
        <v>2073</v>
      </c>
      <c r="FY694" s="25" t="str">
        <f t="shared" si="667"/>
        <v>icon_2107103</v>
      </c>
      <c r="GC694" s="14">
        <f t="shared" si="654"/>
        <v>2</v>
      </c>
      <c r="GD694" s="14">
        <f t="shared" si="655"/>
        <v>3</v>
      </c>
      <c r="GE694" s="14">
        <f t="shared" si="630"/>
        <v>170</v>
      </c>
      <c r="GF694" s="14" t="str">
        <f t="shared" si="631"/>
        <v>DefExt</v>
      </c>
      <c r="GG694" s="14">
        <f t="shared" si="632"/>
        <v>120</v>
      </c>
      <c r="GH694" s="14">
        <f t="shared" si="633"/>
        <v>6</v>
      </c>
      <c r="GI694" s="14" t="str">
        <f t="shared" si="634"/>
        <v>HPExt</v>
      </c>
      <c r="GJ694" s="14">
        <f t="shared" si="635"/>
        <v>2125</v>
      </c>
      <c r="GK694" s="14">
        <f t="shared" si="636"/>
        <v>110</v>
      </c>
      <c r="GL694" s="14">
        <f t="shared" si="656"/>
        <v>20730</v>
      </c>
      <c r="GM694" s="14">
        <f t="shared" si="637"/>
        <v>4</v>
      </c>
      <c r="GN694" s="14">
        <f t="shared" si="638"/>
        <v>2073</v>
      </c>
      <c r="GO694" s="25" t="s">
        <v>1471</v>
      </c>
      <c r="GP694" s="14">
        <f t="shared" si="657"/>
        <v>150</v>
      </c>
    </row>
    <row r="695" spans="151:198" ht="16.5" x14ac:dyDescent="0.2">
      <c r="EU695" s="13">
        <v>690</v>
      </c>
      <c r="EV695" s="14">
        <f t="shared" si="658"/>
        <v>2</v>
      </c>
      <c r="EW695" s="14">
        <f t="shared" si="626"/>
        <v>255</v>
      </c>
      <c r="EX695" s="14">
        <f t="shared" si="659"/>
        <v>34</v>
      </c>
      <c r="EY695" s="14">
        <f t="shared" si="627"/>
        <v>30</v>
      </c>
      <c r="EZ695" s="14">
        <f t="shared" si="639"/>
        <v>18</v>
      </c>
      <c r="FA695" s="14">
        <f t="shared" si="640"/>
        <v>110</v>
      </c>
      <c r="FB695" s="14">
        <f t="shared" si="641"/>
        <v>3</v>
      </c>
      <c r="FC695" s="14">
        <f t="shared" si="642"/>
        <v>4</v>
      </c>
      <c r="FD695" s="14">
        <f t="shared" si="643"/>
        <v>4</v>
      </c>
      <c r="FE695" s="14" t="b">
        <f t="shared" si="660"/>
        <v>0</v>
      </c>
      <c r="FF695" s="14">
        <f t="shared" si="644"/>
        <v>2107304</v>
      </c>
      <c r="FG695" s="13" t="str">
        <f t="shared" si="645"/>
        <v>110级-精良守护灵の裤子</v>
      </c>
      <c r="FH695" s="14">
        <f t="shared" si="646"/>
        <v>2</v>
      </c>
      <c r="FI695" s="14">
        <f t="shared" si="647"/>
        <v>3</v>
      </c>
      <c r="FJ695" s="14">
        <f t="shared" si="648"/>
        <v>110</v>
      </c>
      <c r="FK695" s="14">
        <v>256</v>
      </c>
      <c r="FL695" s="14">
        <f t="shared" si="649"/>
        <v>7</v>
      </c>
      <c r="FM695" s="14">
        <f t="shared" si="628"/>
        <v>4</v>
      </c>
      <c r="FN695" s="14" t="str">
        <f t="shared" si="650"/>
        <v/>
      </c>
      <c r="FO695" s="14">
        <f t="shared" si="629"/>
        <v>120</v>
      </c>
      <c r="FP695" s="14">
        <f t="shared" si="661"/>
        <v>0</v>
      </c>
      <c r="FQ695" s="14">
        <f t="shared" si="662"/>
        <v>235</v>
      </c>
      <c r="FR695" s="14">
        <f t="shared" si="663"/>
        <v>0</v>
      </c>
      <c r="FS695" s="14">
        <f t="shared" si="664"/>
        <v>0</v>
      </c>
      <c r="FT695" s="14">
        <f t="shared" si="665"/>
        <v>12</v>
      </c>
      <c r="FU695" s="14">
        <f t="shared" si="666"/>
        <v>0</v>
      </c>
      <c r="FV695" s="14">
        <f t="shared" si="651"/>
        <v>2073</v>
      </c>
      <c r="FW695" s="14">
        <f t="shared" si="652"/>
        <v>4</v>
      </c>
      <c r="FX695" s="14">
        <f t="shared" si="653"/>
        <v>2073</v>
      </c>
      <c r="FY695" s="25" t="str">
        <f t="shared" si="667"/>
        <v>icon_2107104</v>
      </c>
      <c r="GC695" s="14">
        <f t="shared" si="654"/>
        <v>2</v>
      </c>
      <c r="GD695" s="14">
        <f t="shared" si="655"/>
        <v>0</v>
      </c>
      <c r="GE695" s="14">
        <f t="shared" si="630"/>
        <v>120</v>
      </c>
      <c r="GF695" s="14" t="str">
        <f t="shared" si="631"/>
        <v>DefExt</v>
      </c>
      <c r="GG695" s="14">
        <f t="shared" si="632"/>
        <v>235</v>
      </c>
      <c r="GH695" s="14">
        <f t="shared" si="633"/>
        <v>12</v>
      </c>
      <c r="GI695" s="14" t="str">
        <f t="shared" si="634"/>
        <v/>
      </c>
      <c r="GJ695" s="14" t="str">
        <f t="shared" si="635"/>
        <v/>
      </c>
      <c r="GK695" s="14" t="str">
        <f t="shared" si="636"/>
        <v/>
      </c>
      <c r="GL695" s="14">
        <f t="shared" si="656"/>
        <v>20730</v>
      </c>
      <c r="GM695" s="14">
        <f t="shared" si="637"/>
        <v>4</v>
      </c>
      <c r="GN695" s="14">
        <f t="shared" si="638"/>
        <v>2073</v>
      </c>
      <c r="GO695" s="25" t="s">
        <v>1471</v>
      </c>
      <c r="GP695" s="14">
        <f t="shared" si="657"/>
        <v>150</v>
      </c>
    </row>
    <row r="696" spans="151:198" ht="16.5" x14ac:dyDescent="0.2">
      <c r="EU696" s="13">
        <v>691</v>
      </c>
      <c r="EV696" s="14">
        <f t="shared" si="658"/>
        <v>2</v>
      </c>
      <c r="EW696" s="14">
        <f t="shared" si="626"/>
        <v>256</v>
      </c>
      <c r="EX696" s="14">
        <f t="shared" si="659"/>
        <v>34</v>
      </c>
      <c r="EY696" s="14">
        <f t="shared" si="627"/>
        <v>30</v>
      </c>
      <c r="EZ696" s="14">
        <f t="shared" si="639"/>
        <v>18</v>
      </c>
      <c r="FA696" s="14">
        <f t="shared" si="640"/>
        <v>110</v>
      </c>
      <c r="FB696" s="14">
        <f t="shared" si="641"/>
        <v>3</v>
      </c>
      <c r="FC696" s="14">
        <f t="shared" si="642"/>
        <v>5</v>
      </c>
      <c r="FD696" s="14">
        <f t="shared" si="643"/>
        <v>5</v>
      </c>
      <c r="FE696" s="14" t="b">
        <f t="shared" si="660"/>
        <v>0</v>
      </c>
      <c r="FF696" s="14">
        <f t="shared" si="644"/>
        <v>2107305</v>
      </c>
      <c r="FG696" s="13" t="str">
        <f t="shared" si="645"/>
        <v>110级-精良守护灵の鞋子</v>
      </c>
      <c r="FH696" s="14">
        <f t="shared" si="646"/>
        <v>2</v>
      </c>
      <c r="FI696" s="14">
        <f t="shared" si="647"/>
        <v>3</v>
      </c>
      <c r="FJ696" s="14">
        <f t="shared" si="648"/>
        <v>110</v>
      </c>
      <c r="FK696" s="14">
        <v>257</v>
      </c>
      <c r="FL696" s="14">
        <f t="shared" si="649"/>
        <v>7</v>
      </c>
      <c r="FM696" s="14">
        <f t="shared" si="628"/>
        <v>5</v>
      </c>
      <c r="FN696" s="14" t="str">
        <f t="shared" si="650"/>
        <v/>
      </c>
      <c r="FO696" s="14">
        <f t="shared" si="629"/>
        <v>219</v>
      </c>
      <c r="FP696" s="14">
        <f t="shared" si="661"/>
        <v>0</v>
      </c>
      <c r="FQ696" s="14">
        <f t="shared" si="662"/>
        <v>0</v>
      </c>
      <c r="FR696" s="14">
        <f t="shared" si="663"/>
        <v>4255</v>
      </c>
      <c r="FS696" s="14">
        <f t="shared" si="664"/>
        <v>0</v>
      </c>
      <c r="FT696" s="14">
        <f t="shared" si="665"/>
        <v>0</v>
      </c>
      <c r="FU696" s="14">
        <f t="shared" si="666"/>
        <v>219</v>
      </c>
      <c r="FV696" s="14">
        <f t="shared" si="651"/>
        <v>2073</v>
      </c>
      <c r="FW696" s="14">
        <f t="shared" si="652"/>
        <v>4</v>
      </c>
      <c r="FX696" s="14">
        <f t="shared" si="653"/>
        <v>2073</v>
      </c>
      <c r="FY696" s="25" t="str">
        <f t="shared" si="667"/>
        <v>icon_2107105</v>
      </c>
      <c r="GC696" s="14">
        <f t="shared" si="654"/>
        <v>3</v>
      </c>
      <c r="GD696" s="14">
        <f t="shared" si="655"/>
        <v>0</v>
      </c>
      <c r="GE696" s="14">
        <f t="shared" si="630"/>
        <v>219</v>
      </c>
      <c r="GF696" s="14" t="str">
        <f t="shared" si="631"/>
        <v>HPExt</v>
      </c>
      <c r="GG696" s="14">
        <f t="shared" si="632"/>
        <v>4255</v>
      </c>
      <c r="GH696" s="14">
        <f t="shared" si="633"/>
        <v>219</v>
      </c>
      <c r="GI696" s="14" t="str">
        <f t="shared" si="634"/>
        <v/>
      </c>
      <c r="GJ696" s="14" t="str">
        <f t="shared" si="635"/>
        <v/>
      </c>
      <c r="GK696" s="14" t="str">
        <f t="shared" si="636"/>
        <v/>
      </c>
      <c r="GL696" s="14">
        <f t="shared" si="656"/>
        <v>20730</v>
      </c>
      <c r="GM696" s="14">
        <f t="shared" si="637"/>
        <v>4</v>
      </c>
      <c r="GN696" s="14">
        <f t="shared" si="638"/>
        <v>2073</v>
      </c>
      <c r="GO696" s="25" t="s">
        <v>1471</v>
      </c>
      <c r="GP696" s="14">
        <f t="shared" si="657"/>
        <v>150</v>
      </c>
    </row>
    <row r="697" spans="151:198" ht="16.5" x14ac:dyDescent="0.2">
      <c r="EU697" s="13">
        <v>692</v>
      </c>
      <c r="EV697" s="14">
        <f t="shared" si="658"/>
        <v>2</v>
      </c>
      <c r="EW697" s="14">
        <f t="shared" ref="EW697:EW760" si="668">MOD(EU697-1,$EV$3)+1</f>
        <v>257</v>
      </c>
      <c r="EX697" s="14">
        <f t="shared" si="659"/>
        <v>34</v>
      </c>
      <c r="EY697" s="14">
        <f t="shared" ref="EY697:EY760" si="669">INDEX($AK$7:$AK$64,EX697)</f>
        <v>30</v>
      </c>
      <c r="EZ697" s="14">
        <f t="shared" si="639"/>
        <v>18</v>
      </c>
      <c r="FA697" s="14">
        <f t="shared" si="640"/>
        <v>110</v>
      </c>
      <c r="FB697" s="14">
        <f t="shared" si="641"/>
        <v>3</v>
      </c>
      <c r="FC697" s="14">
        <f t="shared" si="642"/>
        <v>6</v>
      </c>
      <c r="FD697" s="14">
        <f t="shared" si="643"/>
        <v>6</v>
      </c>
      <c r="FE697" s="14" t="b">
        <f t="shared" si="660"/>
        <v>0</v>
      </c>
      <c r="FF697" s="14">
        <f t="shared" si="644"/>
        <v>2107306</v>
      </c>
      <c r="FG697" s="13" t="str">
        <f t="shared" si="645"/>
        <v>110级-精良守护灵の护手</v>
      </c>
      <c r="FH697" s="14">
        <f t="shared" si="646"/>
        <v>2</v>
      </c>
      <c r="FI697" s="14">
        <f t="shared" si="647"/>
        <v>3</v>
      </c>
      <c r="FJ697" s="14">
        <f t="shared" si="648"/>
        <v>110</v>
      </c>
      <c r="FK697" s="14">
        <v>258</v>
      </c>
      <c r="FL697" s="14">
        <f t="shared" si="649"/>
        <v>7</v>
      </c>
      <c r="FM697" s="14">
        <f t="shared" ref="FM697:FM760" si="670">FD697</f>
        <v>6</v>
      </c>
      <c r="FN697" s="14" t="str">
        <f t="shared" si="650"/>
        <v/>
      </c>
      <c r="FO697" s="14">
        <f t="shared" ref="FO697:FO760" si="671">INT(SUMPRODUCT($FS$3:$FU$3,FS697:FU697)*IF(FN697="",1,1.5))</f>
        <v>219</v>
      </c>
      <c r="FP697" s="14">
        <f t="shared" si="661"/>
        <v>0</v>
      </c>
      <c r="FQ697" s="14">
        <f t="shared" si="662"/>
        <v>0</v>
      </c>
      <c r="FR697" s="14">
        <f t="shared" si="663"/>
        <v>4255</v>
      </c>
      <c r="FS697" s="14">
        <f t="shared" si="664"/>
        <v>0</v>
      </c>
      <c r="FT697" s="14">
        <f t="shared" si="665"/>
        <v>0</v>
      </c>
      <c r="FU697" s="14">
        <f t="shared" si="666"/>
        <v>219</v>
      </c>
      <c r="FV697" s="14">
        <f t="shared" si="651"/>
        <v>2073</v>
      </c>
      <c r="FW697" s="14">
        <f t="shared" si="652"/>
        <v>4</v>
      </c>
      <c r="FX697" s="14">
        <f t="shared" si="653"/>
        <v>2073</v>
      </c>
      <c r="FY697" s="25" t="str">
        <f t="shared" si="667"/>
        <v>icon_2107106</v>
      </c>
      <c r="GC697" s="14">
        <f t="shared" si="654"/>
        <v>3</v>
      </c>
      <c r="GD697" s="14">
        <f t="shared" si="655"/>
        <v>0</v>
      </c>
      <c r="GE697" s="14">
        <f t="shared" ref="GE697:GE760" si="672">FO697</f>
        <v>219</v>
      </c>
      <c r="GF697" s="14" t="str">
        <f t="shared" ref="GF697:GF760" si="673">INDEX($BH$3:$BJ$3,GC697)</f>
        <v>HPExt</v>
      </c>
      <c r="GG697" s="14">
        <f t="shared" ref="GG697:GG760" si="674">INDEX(FP697:FR697,GC697)</f>
        <v>4255</v>
      </c>
      <c r="GH697" s="14">
        <f t="shared" ref="GH697:GH760" si="675">INDEX(FS697:FU697,GC697)</f>
        <v>219</v>
      </c>
      <c r="GI697" s="14" t="str">
        <f t="shared" ref="GI697:GI760" si="676">IF(GD697&gt;0,INDEX($BH$3:$BJ$3,GD697),"")</f>
        <v/>
      </c>
      <c r="GJ697" s="14" t="str">
        <f t="shared" ref="GJ697:GJ760" si="677">IF(GD697&gt;0,INDEX(FP697:FR697,GD697),"")</f>
        <v/>
      </c>
      <c r="GK697" s="14" t="str">
        <f t="shared" ref="GK697:GK760" si="678">IF(GD697&gt;0,INDEX(FS697:FU697,GD697),"")</f>
        <v/>
      </c>
      <c r="GL697" s="14">
        <f t="shared" si="656"/>
        <v>20730</v>
      </c>
      <c r="GM697" s="14">
        <f t="shared" ref="GM697:GM760" si="679">FW697</f>
        <v>4</v>
      </c>
      <c r="GN697" s="14">
        <f t="shared" ref="GN697:GN760" si="680">FX697</f>
        <v>2073</v>
      </c>
      <c r="GO697" s="25" t="s">
        <v>1471</v>
      </c>
      <c r="GP697" s="14">
        <f t="shared" si="657"/>
        <v>150</v>
      </c>
    </row>
    <row r="698" spans="151:198" ht="16.5" x14ac:dyDescent="0.2">
      <c r="EU698" s="13">
        <v>693</v>
      </c>
      <c r="EV698" s="14">
        <f t="shared" si="658"/>
        <v>2</v>
      </c>
      <c r="EW698" s="14">
        <f t="shared" si="668"/>
        <v>258</v>
      </c>
      <c r="EX698" s="14">
        <f t="shared" si="659"/>
        <v>34</v>
      </c>
      <c r="EY698" s="14">
        <f t="shared" si="669"/>
        <v>30</v>
      </c>
      <c r="EZ698" s="14">
        <f t="shared" si="639"/>
        <v>18</v>
      </c>
      <c r="FA698" s="14">
        <f t="shared" si="640"/>
        <v>110</v>
      </c>
      <c r="FB698" s="14">
        <f t="shared" si="641"/>
        <v>3</v>
      </c>
      <c r="FC698" s="14">
        <f t="shared" si="642"/>
        <v>7</v>
      </c>
      <c r="FD698" s="14">
        <f t="shared" si="643"/>
        <v>7</v>
      </c>
      <c r="FE698" s="14" t="b">
        <f t="shared" si="660"/>
        <v>0</v>
      </c>
      <c r="FF698" s="14">
        <f t="shared" si="644"/>
        <v>2107307</v>
      </c>
      <c r="FG698" s="13" t="str">
        <f t="shared" si="645"/>
        <v>110级-精良守护灵の项链</v>
      </c>
      <c r="FH698" s="14">
        <f t="shared" si="646"/>
        <v>2</v>
      </c>
      <c r="FI698" s="14">
        <f t="shared" si="647"/>
        <v>3</v>
      </c>
      <c r="FJ698" s="14">
        <f t="shared" si="648"/>
        <v>110</v>
      </c>
      <c r="FK698" s="14">
        <v>259</v>
      </c>
      <c r="FL698" s="14">
        <f t="shared" si="649"/>
        <v>7</v>
      </c>
      <c r="FM698" s="14">
        <f t="shared" si="670"/>
        <v>7</v>
      </c>
      <c r="FN698" s="14" t="str">
        <f t="shared" si="650"/>
        <v/>
      </c>
      <c r="FO698" s="14">
        <f t="shared" si="671"/>
        <v>180</v>
      </c>
      <c r="FP698" s="14">
        <f t="shared" si="661"/>
        <v>315</v>
      </c>
      <c r="FQ698" s="14">
        <f t="shared" si="662"/>
        <v>200</v>
      </c>
      <c r="FR698" s="14">
        <f t="shared" si="663"/>
        <v>0</v>
      </c>
      <c r="FS698" s="14">
        <f t="shared" si="664"/>
        <v>16</v>
      </c>
      <c r="FT698" s="14">
        <f t="shared" si="665"/>
        <v>10</v>
      </c>
      <c r="FU698" s="14">
        <f t="shared" si="666"/>
        <v>0</v>
      </c>
      <c r="FV698" s="14">
        <f t="shared" si="651"/>
        <v>2073</v>
      </c>
      <c r="FW698" s="14">
        <f t="shared" si="652"/>
        <v>4</v>
      </c>
      <c r="FX698" s="14">
        <f t="shared" si="653"/>
        <v>2073</v>
      </c>
      <c r="FY698" s="25" t="str">
        <f t="shared" si="667"/>
        <v>icon_2107107</v>
      </c>
      <c r="GC698" s="14">
        <f t="shared" si="654"/>
        <v>1</v>
      </c>
      <c r="GD698" s="14">
        <f t="shared" si="655"/>
        <v>2</v>
      </c>
      <c r="GE698" s="14">
        <f t="shared" si="672"/>
        <v>180</v>
      </c>
      <c r="GF698" s="14" t="str">
        <f t="shared" si="673"/>
        <v>AtkExt</v>
      </c>
      <c r="GG698" s="14">
        <f t="shared" si="674"/>
        <v>315</v>
      </c>
      <c r="GH698" s="14">
        <f t="shared" si="675"/>
        <v>16</v>
      </c>
      <c r="GI698" s="14" t="str">
        <f t="shared" si="676"/>
        <v>DefExt</v>
      </c>
      <c r="GJ698" s="14">
        <f t="shared" si="677"/>
        <v>200</v>
      </c>
      <c r="GK698" s="14">
        <f t="shared" si="678"/>
        <v>10</v>
      </c>
      <c r="GL698" s="14">
        <f t="shared" si="656"/>
        <v>20730</v>
      </c>
      <c r="GM698" s="14">
        <f t="shared" si="679"/>
        <v>4</v>
      </c>
      <c r="GN698" s="14">
        <f t="shared" si="680"/>
        <v>2073</v>
      </c>
      <c r="GO698" s="25" t="s">
        <v>1471</v>
      </c>
      <c r="GP698" s="14">
        <f t="shared" si="657"/>
        <v>225</v>
      </c>
    </row>
    <row r="699" spans="151:198" ht="16.5" x14ac:dyDescent="0.2">
      <c r="EU699" s="13">
        <v>694</v>
      </c>
      <c r="EV699" s="14">
        <f t="shared" si="658"/>
        <v>2</v>
      </c>
      <c r="EW699" s="14">
        <f t="shared" si="668"/>
        <v>259</v>
      </c>
      <c r="EX699" s="14">
        <f t="shared" si="659"/>
        <v>34</v>
      </c>
      <c r="EY699" s="14">
        <f t="shared" si="669"/>
        <v>30</v>
      </c>
      <c r="EZ699" s="14">
        <f t="shared" si="639"/>
        <v>18</v>
      </c>
      <c r="FA699" s="14">
        <f t="shared" si="640"/>
        <v>110</v>
      </c>
      <c r="FB699" s="14">
        <f t="shared" si="641"/>
        <v>3</v>
      </c>
      <c r="FC699" s="14">
        <f t="shared" si="642"/>
        <v>8</v>
      </c>
      <c r="FD699" s="14">
        <f t="shared" si="643"/>
        <v>8</v>
      </c>
      <c r="FE699" s="14" t="b">
        <f t="shared" si="660"/>
        <v>0</v>
      </c>
      <c r="FF699" s="14">
        <f t="shared" si="644"/>
        <v>2107308</v>
      </c>
      <c r="FG699" s="13" t="str">
        <f t="shared" si="645"/>
        <v>110级-精良守护灵の戒指</v>
      </c>
      <c r="FH699" s="14">
        <f t="shared" si="646"/>
        <v>2</v>
      </c>
      <c r="FI699" s="14">
        <f t="shared" si="647"/>
        <v>3</v>
      </c>
      <c r="FJ699" s="14">
        <f t="shared" si="648"/>
        <v>110</v>
      </c>
      <c r="FK699" s="14">
        <v>260</v>
      </c>
      <c r="FL699" s="14">
        <f t="shared" si="649"/>
        <v>7</v>
      </c>
      <c r="FM699" s="14">
        <f t="shared" si="670"/>
        <v>8</v>
      </c>
      <c r="FN699" s="14" t="str">
        <f t="shared" si="650"/>
        <v/>
      </c>
      <c r="FO699" s="14">
        <f t="shared" si="671"/>
        <v>263</v>
      </c>
      <c r="FP699" s="14">
        <f t="shared" si="661"/>
        <v>315</v>
      </c>
      <c r="FQ699" s="14">
        <f t="shared" si="662"/>
        <v>0</v>
      </c>
      <c r="FR699" s="14">
        <f t="shared" si="663"/>
        <v>3545</v>
      </c>
      <c r="FS699" s="14">
        <f t="shared" si="664"/>
        <v>16</v>
      </c>
      <c r="FT699" s="14">
        <f t="shared" si="665"/>
        <v>0</v>
      </c>
      <c r="FU699" s="14">
        <f t="shared" si="666"/>
        <v>183</v>
      </c>
      <c r="FV699" s="14">
        <f t="shared" si="651"/>
        <v>2073</v>
      </c>
      <c r="FW699" s="14">
        <f t="shared" si="652"/>
        <v>4</v>
      </c>
      <c r="FX699" s="14">
        <f t="shared" si="653"/>
        <v>2073</v>
      </c>
      <c r="FY699" s="25" t="str">
        <f t="shared" si="667"/>
        <v>icon_2107108</v>
      </c>
      <c r="GC699" s="14">
        <f t="shared" si="654"/>
        <v>1</v>
      </c>
      <c r="GD699" s="14">
        <f t="shared" si="655"/>
        <v>3</v>
      </c>
      <c r="GE699" s="14">
        <f t="shared" si="672"/>
        <v>263</v>
      </c>
      <c r="GF699" s="14" t="str">
        <f t="shared" si="673"/>
        <v>AtkExt</v>
      </c>
      <c r="GG699" s="14">
        <f t="shared" si="674"/>
        <v>315</v>
      </c>
      <c r="GH699" s="14">
        <f t="shared" si="675"/>
        <v>16</v>
      </c>
      <c r="GI699" s="14" t="str">
        <f t="shared" si="676"/>
        <v>HPExt</v>
      </c>
      <c r="GJ699" s="14">
        <f t="shared" si="677"/>
        <v>3545</v>
      </c>
      <c r="GK699" s="14">
        <f t="shared" si="678"/>
        <v>183</v>
      </c>
      <c r="GL699" s="14">
        <f t="shared" si="656"/>
        <v>20730</v>
      </c>
      <c r="GM699" s="14">
        <f t="shared" si="679"/>
        <v>4</v>
      </c>
      <c r="GN699" s="14">
        <f t="shared" si="680"/>
        <v>2073</v>
      </c>
      <c r="GO699" s="25" t="s">
        <v>1471</v>
      </c>
      <c r="GP699" s="14">
        <f t="shared" si="657"/>
        <v>225</v>
      </c>
    </row>
    <row r="700" spans="151:198" ht="16.5" x14ac:dyDescent="0.2">
      <c r="EU700" s="13">
        <v>695</v>
      </c>
      <c r="EV700" s="14">
        <f t="shared" si="658"/>
        <v>2</v>
      </c>
      <c r="EW700" s="14">
        <f t="shared" si="668"/>
        <v>260</v>
      </c>
      <c r="EX700" s="14">
        <f t="shared" si="659"/>
        <v>35</v>
      </c>
      <c r="EY700" s="14">
        <f t="shared" si="669"/>
        <v>40</v>
      </c>
      <c r="EZ700" s="14">
        <f t="shared" si="639"/>
        <v>18</v>
      </c>
      <c r="FA700" s="14">
        <f t="shared" si="640"/>
        <v>110</v>
      </c>
      <c r="FB700" s="14">
        <f t="shared" si="641"/>
        <v>4</v>
      </c>
      <c r="FC700" s="14">
        <f t="shared" si="642"/>
        <v>1</v>
      </c>
      <c r="FD700" s="14">
        <f t="shared" si="643"/>
        <v>1</v>
      </c>
      <c r="FE700" s="14" t="b">
        <f t="shared" si="660"/>
        <v>0</v>
      </c>
      <c r="FF700" s="14">
        <f t="shared" si="644"/>
        <v>2107401</v>
      </c>
      <c r="FG700" s="13" t="str">
        <f t="shared" si="645"/>
        <v>110级-史诗守护灵の灵器</v>
      </c>
      <c r="FH700" s="14">
        <f t="shared" si="646"/>
        <v>2</v>
      </c>
      <c r="FI700" s="14">
        <f t="shared" si="647"/>
        <v>4</v>
      </c>
      <c r="FJ700" s="14">
        <f t="shared" si="648"/>
        <v>110</v>
      </c>
      <c r="FK700" s="14">
        <v>261</v>
      </c>
      <c r="FL700" s="14">
        <f t="shared" si="649"/>
        <v>7</v>
      </c>
      <c r="FM700" s="14">
        <f t="shared" si="670"/>
        <v>1</v>
      </c>
      <c r="FN700" s="14" t="str">
        <f t="shared" si="650"/>
        <v/>
      </c>
      <c r="FO700" s="14">
        <f t="shared" si="671"/>
        <v>285</v>
      </c>
      <c r="FP700" s="14">
        <f t="shared" si="661"/>
        <v>1115</v>
      </c>
      <c r="FQ700" s="14">
        <f t="shared" si="662"/>
        <v>0</v>
      </c>
      <c r="FR700" s="14">
        <f t="shared" si="663"/>
        <v>0</v>
      </c>
      <c r="FS700" s="14">
        <f t="shared" si="664"/>
        <v>57</v>
      </c>
      <c r="FT700" s="14">
        <f t="shared" si="665"/>
        <v>0</v>
      </c>
      <c r="FU700" s="14">
        <f t="shared" si="666"/>
        <v>0</v>
      </c>
      <c r="FV700" s="14">
        <f t="shared" si="651"/>
        <v>2074</v>
      </c>
      <c r="FW700" s="14">
        <f t="shared" si="652"/>
        <v>5</v>
      </c>
      <c r="FX700" s="14">
        <f t="shared" si="653"/>
        <v>2074</v>
      </c>
      <c r="FY700" s="25" t="str">
        <f t="shared" si="667"/>
        <v>icon_2107101</v>
      </c>
      <c r="GC700" s="14">
        <f t="shared" si="654"/>
        <v>1</v>
      </c>
      <c r="GD700" s="14">
        <f t="shared" si="655"/>
        <v>0</v>
      </c>
      <c r="GE700" s="14">
        <f t="shared" si="672"/>
        <v>285</v>
      </c>
      <c r="GF700" s="14" t="str">
        <f t="shared" si="673"/>
        <v>AtkExt</v>
      </c>
      <c r="GG700" s="14">
        <f t="shared" si="674"/>
        <v>1115</v>
      </c>
      <c r="GH700" s="14">
        <f t="shared" si="675"/>
        <v>57</v>
      </c>
      <c r="GI700" s="14" t="str">
        <f t="shared" si="676"/>
        <v/>
      </c>
      <c r="GJ700" s="14" t="str">
        <f t="shared" si="677"/>
        <v/>
      </c>
      <c r="GK700" s="14" t="str">
        <f t="shared" si="678"/>
        <v/>
      </c>
      <c r="GL700" s="14">
        <f t="shared" si="656"/>
        <v>20740</v>
      </c>
      <c r="GM700" s="14">
        <f t="shared" si="679"/>
        <v>5</v>
      </c>
      <c r="GN700" s="14">
        <f t="shared" si="680"/>
        <v>2074</v>
      </c>
      <c r="GO700" s="25" t="s">
        <v>1471</v>
      </c>
      <c r="GP700" s="14">
        <f t="shared" si="657"/>
        <v>600</v>
      </c>
    </row>
    <row r="701" spans="151:198" ht="16.5" x14ac:dyDescent="0.2">
      <c r="EU701" s="13">
        <v>696</v>
      </c>
      <c r="EV701" s="14">
        <f t="shared" si="658"/>
        <v>2</v>
      </c>
      <c r="EW701" s="14">
        <f t="shared" si="668"/>
        <v>261</v>
      </c>
      <c r="EX701" s="14">
        <f t="shared" si="659"/>
        <v>35</v>
      </c>
      <c r="EY701" s="14">
        <f t="shared" si="669"/>
        <v>40</v>
      </c>
      <c r="EZ701" s="14">
        <f t="shared" si="639"/>
        <v>18</v>
      </c>
      <c r="FA701" s="14">
        <f t="shared" si="640"/>
        <v>110</v>
      </c>
      <c r="FB701" s="14">
        <f t="shared" si="641"/>
        <v>4</v>
      </c>
      <c r="FC701" s="14">
        <f t="shared" si="642"/>
        <v>2</v>
      </c>
      <c r="FD701" s="14">
        <f t="shared" si="643"/>
        <v>2</v>
      </c>
      <c r="FE701" s="14" t="b">
        <f t="shared" si="660"/>
        <v>0</v>
      </c>
      <c r="FF701" s="14">
        <f t="shared" si="644"/>
        <v>2107402</v>
      </c>
      <c r="FG701" s="13" t="str">
        <f t="shared" si="645"/>
        <v>110级-史诗守护灵の头盔</v>
      </c>
      <c r="FH701" s="14">
        <f t="shared" si="646"/>
        <v>2</v>
      </c>
      <c r="FI701" s="14">
        <f t="shared" si="647"/>
        <v>4</v>
      </c>
      <c r="FJ701" s="14">
        <f t="shared" si="648"/>
        <v>110</v>
      </c>
      <c r="FK701" s="14">
        <v>262</v>
      </c>
      <c r="FL701" s="14">
        <f t="shared" si="649"/>
        <v>7</v>
      </c>
      <c r="FM701" s="14">
        <f t="shared" si="670"/>
        <v>2</v>
      </c>
      <c r="FN701" s="14" t="str">
        <f t="shared" si="650"/>
        <v/>
      </c>
      <c r="FO701" s="14">
        <f t="shared" si="671"/>
        <v>140</v>
      </c>
      <c r="FP701" s="14">
        <f t="shared" si="661"/>
        <v>0</v>
      </c>
      <c r="FQ701" s="14">
        <f t="shared" si="662"/>
        <v>280</v>
      </c>
      <c r="FR701" s="14">
        <f t="shared" si="663"/>
        <v>0</v>
      </c>
      <c r="FS701" s="14">
        <f t="shared" si="664"/>
        <v>0</v>
      </c>
      <c r="FT701" s="14">
        <f t="shared" si="665"/>
        <v>14</v>
      </c>
      <c r="FU701" s="14">
        <f t="shared" si="666"/>
        <v>0</v>
      </c>
      <c r="FV701" s="14">
        <f t="shared" si="651"/>
        <v>2074</v>
      </c>
      <c r="FW701" s="14">
        <f t="shared" si="652"/>
        <v>5</v>
      </c>
      <c r="FX701" s="14">
        <f t="shared" si="653"/>
        <v>2074</v>
      </c>
      <c r="FY701" s="25" t="str">
        <f t="shared" si="667"/>
        <v>icon_2107102</v>
      </c>
      <c r="GC701" s="14">
        <f t="shared" si="654"/>
        <v>2</v>
      </c>
      <c r="GD701" s="14">
        <f t="shared" si="655"/>
        <v>0</v>
      </c>
      <c r="GE701" s="14">
        <f t="shared" si="672"/>
        <v>140</v>
      </c>
      <c r="GF701" s="14" t="str">
        <f t="shared" si="673"/>
        <v>DefExt</v>
      </c>
      <c r="GG701" s="14">
        <f t="shared" si="674"/>
        <v>280</v>
      </c>
      <c r="GH701" s="14">
        <f t="shared" si="675"/>
        <v>14</v>
      </c>
      <c r="GI701" s="14" t="str">
        <f t="shared" si="676"/>
        <v/>
      </c>
      <c r="GJ701" s="14" t="str">
        <f t="shared" si="677"/>
        <v/>
      </c>
      <c r="GK701" s="14" t="str">
        <f t="shared" si="678"/>
        <v/>
      </c>
      <c r="GL701" s="14">
        <f t="shared" si="656"/>
        <v>20740</v>
      </c>
      <c r="GM701" s="14">
        <f t="shared" si="679"/>
        <v>5</v>
      </c>
      <c r="GN701" s="14">
        <f t="shared" si="680"/>
        <v>2074</v>
      </c>
      <c r="GO701" s="25" t="s">
        <v>1471</v>
      </c>
      <c r="GP701" s="14">
        <f t="shared" si="657"/>
        <v>300</v>
      </c>
    </row>
    <row r="702" spans="151:198" ht="16.5" x14ac:dyDescent="0.2">
      <c r="EU702" s="13">
        <v>697</v>
      </c>
      <c r="EV702" s="14">
        <f t="shared" si="658"/>
        <v>2</v>
      </c>
      <c r="EW702" s="14">
        <f t="shared" si="668"/>
        <v>262</v>
      </c>
      <c r="EX702" s="14">
        <f t="shared" si="659"/>
        <v>35</v>
      </c>
      <c r="EY702" s="14">
        <f t="shared" si="669"/>
        <v>40</v>
      </c>
      <c r="EZ702" s="14">
        <f t="shared" si="639"/>
        <v>18</v>
      </c>
      <c r="FA702" s="14">
        <f t="shared" si="640"/>
        <v>110</v>
      </c>
      <c r="FB702" s="14">
        <f t="shared" si="641"/>
        <v>4</v>
      </c>
      <c r="FC702" s="14">
        <f t="shared" si="642"/>
        <v>3</v>
      </c>
      <c r="FD702" s="14">
        <f t="shared" si="643"/>
        <v>3</v>
      </c>
      <c r="FE702" s="14" t="b">
        <f t="shared" si="660"/>
        <v>0</v>
      </c>
      <c r="FF702" s="14">
        <f t="shared" si="644"/>
        <v>2107403</v>
      </c>
      <c r="FG702" s="13" t="str">
        <f t="shared" si="645"/>
        <v>110级-史诗守护灵の铠甲</v>
      </c>
      <c r="FH702" s="14">
        <f t="shared" si="646"/>
        <v>2</v>
      </c>
      <c r="FI702" s="14">
        <f t="shared" si="647"/>
        <v>4</v>
      </c>
      <c r="FJ702" s="14">
        <f t="shared" si="648"/>
        <v>110</v>
      </c>
      <c r="FK702" s="14">
        <v>263</v>
      </c>
      <c r="FL702" s="14">
        <f t="shared" si="649"/>
        <v>7</v>
      </c>
      <c r="FM702" s="14">
        <f t="shared" si="670"/>
        <v>3</v>
      </c>
      <c r="FN702" s="14" t="str">
        <f t="shared" si="650"/>
        <v/>
      </c>
      <c r="FO702" s="14">
        <f t="shared" si="671"/>
        <v>199</v>
      </c>
      <c r="FP702" s="14">
        <f t="shared" si="661"/>
        <v>0</v>
      </c>
      <c r="FQ702" s="14">
        <f t="shared" si="662"/>
        <v>140</v>
      </c>
      <c r="FR702" s="14">
        <f t="shared" si="663"/>
        <v>2500</v>
      </c>
      <c r="FS702" s="14">
        <f t="shared" si="664"/>
        <v>0</v>
      </c>
      <c r="FT702" s="14">
        <f t="shared" si="665"/>
        <v>7</v>
      </c>
      <c r="FU702" s="14">
        <f t="shared" si="666"/>
        <v>129</v>
      </c>
      <c r="FV702" s="14">
        <f t="shared" si="651"/>
        <v>2074</v>
      </c>
      <c r="FW702" s="14">
        <f t="shared" si="652"/>
        <v>5</v>
      </c>
      <c r="FX702" s="14">
        <f t="shared" si="653"/>
        <v>2074</v>
      </c>
      <c r="FY702" s="25" t="str">
        <f t="shared" si="667"/>
        <v>icon_2107103</v>
      </c>
      <c r="GC702" s="14">
        <f t="shared" si="654"/>
        <v>2</v>
      </c>
      <c r="GD702" s="14">
        <f t="shared" si="655"/>
        <v>3</v>
      </c>
      <c r="GE702" s="14">
        <f t="shared" si="672"/>
        <v>199</v>
      </c>
      <c r="GF702" s="14" t="str">
        <f t="shared" si="673"/>
        <v>DefExt</v>
      </c>
      <c r="GG702" s="14">
        <f t="shared" si="674"/>
        <v>140</v>
      </c>
      <c r="GH702" s="14">
        <f t="shared" si="675"/>
        <v>7</v>
      </c>
      <c r="GI702" s="14" t="str">
        <f t="shared" si="676"/>
        <v>HPExt</v>
      </c>
      <c r="GJ702" s="14">
        <f t="shared" si="677"/>
        <v>2500</v>
      </c>
      <c r="GK702" s="14">
        <f t="shared" si="678"/>
        <v>129</v>
      </c>
      <c r="GL702" s="14">
        <f t="shared" si="656"/>
        <v>20740</v>
      </c>
      <c r="GM702" s="14">
        <f t="shared" si="679"/>
        <v>5</v>
      </c>
      <c r="GN702" s="14">
        <f t="shared" si="680"/>
        <v>2074</v>
      </c>
      <c r="GO702" s="25" t="s">
        <v>1471</v>
      </c>
      <c r="GP702" s="14">
        <f t="shared" si="657"/>
        <v>300</v>
      </c>
    </row>
    <row r="703" spans="151:198" ht="16.5" x14ac:dyDescent="0.2">
      <c r="EU703" s="13">
        <v>698</v>
      </c>
      <c r="EV703" s="14">
        <f t="shared" si="658"/>
        <v>2</v>
      </c>
      <c r="EW703" s="14">
        <f t="shared" si="668"/>
        <v>263</v>
      </c>
      <c r="EX703" s="14">
        <f t="shared" si="659"/>
        <v>35</v>
      </c>
      <c r="EY703" s="14">
        <f t="shared" si="669"/>
        <v>40</v>
      </c>
      <c r="EZ703" s="14">
        <f t="shared" si="639"/>
        <v>18</v>
      </c>
      <c r="FA703" s="14">
        <f t="shared" si="640"/>
        <v>110</v>
      </c>
      <c r="FB703" s="14">
        <f t="shared" si="641"/>
        <v>4</v>
      </c>
      <c r="FC703" s="14">
        <f t="shared" si="642"/>
        <v>4</v>
      </c>
      <c r="FD703" s="14">
        <f t="shared" si="643"/>
        <v>4</v>
      </c>
      <c r="FE703" s="14" t="b">
        <f t="shared" si="660"/>
        <v>0</v>
      </c>
      <c r="FF703" s="14">
        <f t="shared" si="644"/>
        <v>2107404</v>
      </c>
      <c r="FG703" s="13" t="str">
        <f t="shared" si="645"/>
        <v>110级-史诗守护灵の裤子</v>
      </c>
      <c r="FH703" s="14">
        <f t="shared" si="646"/>
        <v>2</v>
      </c>
      <c r="FI703" s="14">
        <f t="shared" si="647"/>
        <v>4</v>
      </c>
      <c r="FJ703" s="14">
        <f t="shared" si="648"/>
        <v>110</v>
      </c>
      <c r="FK703" s="14">
        <v>264</v>
      </c>
      <c r="FL703" s="14">
        <f t="shared" si="649"/>
        <v>7</v>
      </c>
      <c r="FM703" s="14">
        <f t="shared" si="670"/>
        <v>4</v>
      </c>
      <c r="FN703" s="14" t="str">
        <f t="shared" si="650"/>
        <v/>
      </c>
      <c r="FO703" s="14">
        <f t="shared" si="671"/>
        <v>140</v>
      </c>
      <c r="FP703" s="14">
        <f t="shared" si="661"/>
        <v>0</v>
      </c>
      <c r="FQ703" s="14">
        <f t="shared" si="662"/>
        <v>280</v>
      </c>
      <c r="FR703" s="14">
        <f t="shared" si="663"/>
        <v>0</v>
      </c>
      <c r="FS703" s="14">
        <f t="shared" si="664"/>
        <v>0</v>
      </c>
      <c r="FT703" s="14">
        <f t="shared" si="665"/>
        <v>14</v>
      </c>
      <c r="FU703" s="14">
        <f t="shared" si="666"/>
        <v>0</v>
      </c>
      <c r="FV703" s="14">
        <f t="shared" si="651"/>
        <v>2074</v>
      </c>
      <c r="FW703" s="14">
        <f t="shared" si="652"/>
        <v>5</v>
      </c>
      <c r="FX703" s="14">
        <f t="shared" si="653"/>
        <v>2074</v>
      </c>
      <c r="FY703" s="25" t="str">
        <f t="shared" si="667"/>
        <v>icon_2107104</v>
      </c>
      <c r="GC703" s="14">
        <f t="shared" si="654"/>
        <v>2</v>
      </c>
      <c r="GD703" s="14">
        <f t="shared" si="655"/>
        <v>0</v>
      </c>
      <c r="GE703" s="14">
        <f t="shared" si="672"/>
        <v>140</v>
      </c>
      <c r="GF703" s="14" t="str">
        <f t="shared" si="673"/>
        <v>DefExt</v>
      </c>
      <c r="GG703" s="14">
        <f t="shared" si="674"/>
        <v>280</v>
      </c>
      <c r="GH703" s="14">
        <f t="shared" si="675"/>
        <v>14</v>
      </c>
      <c r="GI703" s="14" t="str">
        <f t="shared" si="676"/>
        <v/>
      </c>
      <c r="GJ703" s="14" t="str">
        <f t="shared" si="677"/>
        <v/>
      </c>
      <c r="GK703" s="14" t="str">
        <f t="shared" si="678"/>
        <v/>
      </c>
      <c r="GL703" s="14">
        <f t="shared" si="656"/>
        <v>20740</v>
      </c>
      <c r="GM703" s="14">
        <f t="shared" si="679"/>
        <v>5</v>
      </c>
      <c r="GN703" s="14">
        <f t="shared" si="680"/>
        <v>2074</v>
      </c>
      <c r="GO703" s="25" t="s">
        <v>1471</v>
      </c>
      <c r="GP703" s="14">
        <f t="shared" si="657"/>
        <v>300</v>
      </c>
    </row>
    <row r="704" spans="151:198" ht="16.5" x14ac:dyDescent="0.2">
      <c r="EU704" s="13">
        <v>699</v>
      </c>
      <c r="EV704" s="14">
        <f t="shared" si="658"/>
        <v>2</v>
      </c>
      <c r="EW704" s="14">
        <f t="shared" si="668"/>
        <v>264</v>
      </c>
      <c r="EX704" s="14">
        <f t="shared" si="659"/>
        <v>35</v>
      </c>
      <c r="EY704" s="14">
        <f t="shared" si="669"/>
        <v>40</v>
      </c>
      <c r="EZ704" s="14">
        <f t="shared" si="639"/>
        <v>18</v>
      </c>
      <c r="FA704" s="14">
        <f t="shared" si="640"/>
        <v>110</v>
      </c>
      <c r="FB704" s="14">
        <f t="shared" si="641"/>
        <v>4</v>
      </c>
      <c r="FC704" s="14">
        <f t="shared" si="642"/>
        <v>5</v>
      </c>
      <c r="FD704" s="14">
        <f t="shared" si="643"/>
        <v>5</v>
      </c>
      <c r="FE704" s="14" t="b">
        <f t="shared" si="660"/>
        <v>0</v>
      </c>
      <c r="FF704" s="14">
        <f t="shared" si="644"/>
        <v>2107405</v>
      </c>
      <c r="FG704" s="13" t="str">
        <f t="shared" si="645"/>
        <v>110级-史诗守护灵の鞋子</v>
      </c>
      <c r="FH704" s="14">
        <f t="shared" si="646"/>
        <v>2</v>
      </c>
      <c r="FI704" s="14">
        <f t="shared" si="647"/>
        <v>4</v>
      </c>
      <c r="FJ704" s="14">
        <f t="shared" si="648"/>
        <v>110</v>
      </c>
      <c r="FK704" s="14">
        <v>265</v>
      </c>
      <c r="FL704" s="14">
        <f t="shared" si="649"/>
        <v>7</v>
      </c>
      <c r="FM704" s="14">
        <f t="shared" si="670"/>
        <v>5</v>
      </c>
      <c r="FN704" s="14" t="str">
        <f t="shared" si="650"/>
        <v/>
      </c>
      <c r="FO704" s="14">
        <f t="shared" si="671"/>
        <v>258</v>
      </c>
      <c r="FP704" s="14">
        <f t="shared" si="661"/>
        <v>0</v>
      </c>
      <c r="FQ704" s="14">
        <f t="shared" si="662"/>
        <v>0</v>
      </c>
      <c r="FR704" s="14">
        <f t="shared" si="663"/>
        <v>5005</v>
      </c>
      <c r="FS704" s="14">
        <f t="shared" si="664"/>
        <v>0</v>
      </c>
      <c r="FT704" s="14">
        <f t="shared" si="665"/>
        <v>0</v>
      </c>
      <c r="FU704" s="14">
        <f t="shared" si="666"/>
        <v>258</v>
      </c>
      <c r="FV704" s="14">
        <f t="shared" si="651"/>
        <v>2074</v>
      </c>
      <c r="FW704" s="14">
        <f t="shared" si="652"/>
        <v>5</v>
      </c>
      <c r="FX704" s="14">
        <f t="shared" si="653"/>
        <v>2074</v>
      </c>
      <c r="FY704" s="25" t="str">
        <f t="shared" si="667"/>
        <v>icon_2107105</v>
      </c>
      <c r="GC704" s="14">
        <f t="shared" si="654"/>
        <v>3</v>
      </c>
      <c r="GD704" s="14">
        <f t="shared" si="655"/>
        <v>0</v>
      </c>
      <c r="GE704" s="14">
        <f t="shared" si="672"/>
        <v>258</v>
      </c>
      <c r="GF704" s="14" t="str">
        <f t="shared" si="673"/>
        <v>HPExt</v>
      </c>
      <c r="GG704" s="14">
        <f t="shared" si="674"/>
        <v>5005</v>
      </c>
      <c r="GH704" s="14">
        <f t="shared" si="675"/>
        <v>258</v>
      </c>
      <c r="GI704" s="14" t="str">
        <f t="shared" si="676"/>
        <v/>
      </c>
      <c r="GJ704" s="14" t="str">
        <f t="shared" si="677"/>
        <v/>
      </c>
      <c r="GK704" s="14" t="str">
        <f t="shared" si="678"/>
        <v/>
      </c>
      <c r="GL704" s="14">
        <f t="shared" si="656"/>
        <v>20740</v>
      </c>
      <c r="GM704" s="14">
        <f t="shared" si="679"/>
        <v>5</v>
      </c>
      <c r="GN704" s="14">
        <f t="shared" si="680"/>
        <v>2074</v>
      </c>
      <c r="GO704" s="25" t="s">
        <v>1471</v>
      </c>
      <c r="GP704" s="14">
        <f t="shared" si="657"/>
        <v>300</v>
      </c>
    </row>
    <row r="705" spans="151:198" ht="16.5" x14ac:dyDescent="0.2">
      <c r="EU705" s="13">
        <v>700</v>
      </c>
      <c r="EV705" s="14">
        <f t="shared" si="658"/>
        <v>2</v>
      </c>
      <c r="EW705" s="14">
        <f t="shared" si="668"/>
        <v>265</v>
      </c>
      <c r="EX705" s="14">
        <f t="shared" si="659"/>
        <v>35</v>
      </c>
      <c r="EY705" s="14">
        <f t="shared" si="669"/>
        <v>40</v>
      </c>
      <c r="EZ705" s="14">
        <f t="shared" si="639"/>
        <v>18</v>
      </c>
      <c r="FA705" s="14">
        <f t="shared" si="640"/>
        <v>110</v>
      </c>
      <c r="FB705" s="14">
        <f t="shared" si="641"/>
        <v>4</v>
      </c>
      <c r="FC705" s="14">
        <f t="shared" si="642"/>
        <v>6</v>
      </c>
      <c r="FD705" s="14">
        <f t="shared" si="643"/>
        <v>6</v>
      </c>
      <c r="FE705" s="14" t="b">
        <f t="shared" si="660"/>
        <v>0</v>
      </c>
      <c r="FF705" s="14">
        <f t="shared" si="644"/>
        <v>2107406</v>
      </c>
      <c r="FG705" s="13" t="str">
        <f t="shared" si="645"/>
        <v>110级-史诗守护灵の护手</v>
      </c>
      <c r="FH705" s="14">
        <f t="shared" si="646"/>
        <v>2</v>
      </c>
      <c r="FI705" s="14">
        <f t="shared" si="647"/>
        <v>4</v>
      </c>
      <c r="FJ705" s="14">
        <f t="shared" si="648"/>
        <v>110</v>
      </c>
      <c r="FK705" s="14">
        <v>266</v>
      </c>
      <c r="FL705" s="14">
        <f t="shared" si="649"/>
        <v>7</v>
      </c>
      <c r="FM705" s="14">
        <f t="shared" si="670"/>
        <v>6</v>
      </c>
      <c r="FN705" s="14" t="str">
        <f t="shared" si="650"/>
        <v/>
      </c>
      <c r="FO705" s="14">
        <f t="shared" si="671"/>
        <v>258</v>
      </c>
      <c r="FP705" s="14">
        <f t="shared" si="661"/>
        <v>0</v>
      </c>
      <c r="FQ705" s="14">
        <f t="shared" si="662"/>
        <v>0</v>
      </c>
      <c r="FR705" s="14">
        <f t="shared" si="663"/>
        <v>5005</v>
      </c>
      <c r="FS705" s="14">
        <f t="shared" si="664"/>
        <v>0</v>
      </c>
      <c r="FT705" s="14">
        <f t="shared" si="665"/>
        <v>0</v>
      </c>
      <c r="FU705" s="14">
        <f t="shared" si="666"/>
        <v>258</v>
      </c>
      <c r="FV705" s="14">
        <f t="shared" si="651"/>
        <v>2074</v>
      </c>
      <c r="FW705" s="14">
        <f t="shared" si="652"/>
        <v>5</v>
      </c>
      <c r="FX705" s="14">
        <f t="shared" si="653"/>
        <v>2074</v>
      </c>
      <c r="FY705" s="25" t="str">
        <f t="shared" si="667"/>
        <v>icon_2107106</v>
      </c>
      <c r="GC705" s="14">
        <f t="shared" si="654"/>
        <v>3</v>
      </c>
      <c r="GD705" s="14">
        <f t="shared" si="655"/>
        <v>0</v>
      </c>
      <c r="GE705" s="14">
        <f t="shared" si="672"/>
        <v>258</v>
      </c>
      <c r="GF705" s="14" t="str">
        <f t="shared" si="673"/>
        <v>HPExt</v>
      </c>
      <c r="GG705" s="14">
        <f t="shared" si="674"/>
        <v>5005</v>
      </c>
      <c r="GH705" s="14">
        <f t="shared" si="675"/>
        <v>258</v>
      </c>
      <c r="GI705" s="14" t="str">
        <f t="shared" si="676"/>
        <v/>
      </c>
      <c r="GJ705" s="14" t="str">
        <f t="shared" si="677"/>
        <v/>
      </c>
      <c r="GK705" s="14" t="str">
        <f t="shared" si="678"/>
        <v/>
      </c>
      <c r="GL705" s="14">
        <f t="shared" si="656"/>
        <v>20740</v>
      </c>
      <c r="GM705" s="14">
        <f t="shared" si="679"/>
        <v>5</v>
      </c>
      <c r="GN705" s="14">
        <f t="shared" si="680"/>
        <v>2074</v>
      </c>
      <c r="GO705" s="25" t="s">
        <v>1471</v>
      </c>
      <c r="GP705" s="14">
        <f t="shared" si="657"/>
        <v>300</v>
      </c>
    </row>
    <row r="706" spans="151:198" ht="16.5" x14ac:dyDescent="0.2">
      <c r="EU706" s="13">
        <v>701</v>
      </c>
      <c r="EV706" s="14">
        <f t="shared" si="658"/>
        <v>2</v>
      </c>
      <c r="EW706" s="14">
        <f t="shared" si="668"/>
        <v>266</v>
      </c>
      <c r="EX706" s="14">
        <f t="shared" si="659"/>
        <v>35</v>
      </c>
      <c r="EY706" s="14">
        <f t="shared" si="669"/>
        <v>40</v>
      </c>
      <c r="EZ706" s="14">
        <f t="shared" si="639"/>
        <v>18</v>
      </c>
      <c r="FA706" s="14">
        <f t="shared" si="640"/>
        <v>110</v>
      </c>
      <c r="FB706" s="14">
        <f t="shared" si="641"/>
        <v>4</v>
      </c>
      <c r="FC706" s="14">
        <f t="shared" si="642"/>
        <v>7</v>
      </c>
      <c r="FD706" s="14">
        <f t="shared" si="643"/>
        <v>7</v>
      </c>
      <c r="FE706" s="14" t="b">
        <f t="shared" si="660"/>
        <v>0</v>
      </c>
      <c r="FF706" s="14">
        <f t="shared" si="644"/>
        <v>2107407</v>
      </c>
      <c r="FG706" s="13" t="str">
        <f t="shared" si="645"/>
        <v>110级-史诗守护灵の项链</v>
      </c>
      <c r="FH706" s="14">
        <f t="shared" si="646"/>
        <v>2</v>
      </c>
      <c r="FI706" s="14">
        <f t="shared" si="647"/>
        <v>4</v>
      </c>
      <c r="FJ706" s="14">
        <f t="shared" si="648"/>
        <v>110</v>
      </c>
      <c r="FK706" s="14">
        <v>267</v>
      </c>
      <c r="FL706" s="14">
        <f t="shared" si="649"/>
        <v>7</v>
      </c>
      <c r="FM706" s="14">
        <f t="shared" si="670"/>
        <v>7</v>
      </c>
      <c r="FN706" s="14" t="str">
        <f t="shared" si="650"/>
        <v/>
      </c>
      <c r="FO706" s="14">
        <f t="shared" si="671"/>
        <v>215</v>
      </c>
      <c r="FP706" s="14">
        <f t="shared" si="661"/>
        <v>370</v>
      </c>
      <c r="FQ706" s="14">
        <f t="shared" si="662"/>
        <v>235</v>
      </c>
      <c r="FR706" s="14">
        <f t="shared" si="663"/>
        <v>0</v>
      </c>
      <c r="FS706" s="14">
        <f t="shared" si="664"/>
        <v>19</v>
      </c>
      <c r="FT706" s="14">
        <f t="shared" si="665"/>
        <v>12</v>
      </c>
      <c r="FU706" s="14">
        <f t="shared" si="666"/>
        <v>0</v>
      </c>
      <c r="FV706" s="14">
        <f t="shared" si="651"/>
        <v>2074</v>
      </c>
      <c r="FW706" s="14">
        <f t="shared" si="652"/>
        <v>5</v>
      </c>
      <c r="FX706" s="14">
        <f t="shared" si="653"/>
        <v>2074</v>
      </c>
      <c r="FY706" s="25" t="str">
        <f t="shared" si="667"/>
        <v>icon_2107107</v>
      </c>
      <c r="GC706" s="14">
        <f t="shared" si="654"/>
        <v>1</v>
      </c>
      <c r="GD706" s="14">
        <f t="shared" si="655"/>
        <v>2</v>
      </c>
      <c r="GE706" s="14">
        <f t="shared" si="672"/>
        <v>215</v>
      </c>
      <c r="GF706" s="14" t="str">
        <f t="shared" si="673"/>
        <v>AtkExt</v>
      </c>
      <c r="GG706" s="14">
        <f t="shared" si="674"/>
        <v>370</v>
      </c>
      <c r="GH706" s="14">
        <f t="shared" si="675"/>
        <v>19</v>
      </c>
      <c r="GI706" s="14" t="str">
        <f t="shared" si="676"/>
        <v>DefExt</v>
      </c>
      <c r="GJ706" s="14">
        <f t="shared" si="677"/>
        <v>235</v>
      </c>
      <c r="GK706" s="14">
        <f t="shared" si="678"/>
        <v>12</v>
      </c>
      <c r="GL706" s="14">
        <f t="shared" si="656"/>
        <v>20740</v>
      </c>
      <c r="GM706" s="14">
        <f t="shared" si="679"/>
        <v>5</v>
      </c>
      <c r="GN706" s="14">
        <f t="shared" si="680"/>
        <v>2074</v>
      </c>
      <c r="GO706" s="25" t="s">
        <v>1471</v>
      </c>
      <c r="GP706" s="14">
        <f t="shared" si="657"/>
        <v>450</v>
      </c>
    </row>
    <row r="707" spans="151:198" ht="16.5" x14ac:dyDescent="0.2">
      <c r="EU707" s="13">
        <v>702</v>
      </c>
      <c r="EV707" s="14">
        <f t="shared" si="658"/>
        <v>2</v>
      </c>
      <c r="EW707" s="14">
        <f t="shared" si="668"/>
        <v>267</v>
      </c>
      <c r="EX707" s="14">
        <f t="shared" si="659"/>
        <v>35</v>
      </c>
      <c r="EY707" s="14">
        <f t="shared" si="669"/>
        <v>40</v>
      </c>
      <c r="EZ707" s="14">
        <f t="shared" si="639"/>
        <v>18</v>
      </c>
      <c r="FA707" s="14">
        <f t="shared" si="640"/>
        <v>110</v>
      </c>
      <c r="FB707" s="14">
        <f t="shared" si="641"/>
        <v>4</v>
      </c>
      <c r="FC707" s="14">
        <f t="shared" si="642"/>
        <v>8</v>
      </c>
      <c r="FD707" s="14">
        <f t="shared" si="643"/>
        <v>8</v>
      </c>
      <c r="FE707" s="14" t="b">
        <f t="shared" si="660"/>
        <v>0</v>
      </c>
      <c r="FF707" s="14">
        <f t="shared" si="644"/>
        <v>2107408</v>
      </c>
      <c r="FG707" s="13" t="str">
        <f t="shared" si="645"/>
        <v>110级-史诗守护灵の戒指</v>
      </c>
      <c r="FH707" s="14">
        <f t="shared" si="646"/>
        <v>2</v>
      </c>
      <c r="FI707" s="14">
        <f t="shared" si="647"/>
        <v>4</v>
      </c>
      <c r="FJ707" s="14">
        <f t="shared" si="648"/>
        <v>110</v>
      </c>
      <c r="FK707" s="14">
        <v>268</v>
      </c>
      <c r="FL707" s="14">
        <f t="shared" si="649"/>
        <v>7</v>
      </c>
      <c r="FM707" s="14">
        <f t="shared" si="670"/>
        <v>8</v>
      </c>
      <c r="FN707" s="14" t="str">
        <f t="shared" si="650"/>
        <v/>
      </c>
      <c r="FO707" s="14">
        <f t="shared" si="671"/>
        <v>310</v>
      </c>
      <c r="FP707" s="14">
        <f t="shared" si="661"/>
        <v>370</v>
      </c>
      <c r="FQ707" s="14">
        <f t="shared" si="662"/>
        <v>0</v>
      </c>
      <c r="FR707" s="14">
        <f t="shared" si="663"/>
        <v>4170</v>
      </c>
      <c r="FS707" s="14">
        <f t="shared" si="664"/>
        <v>19</v>
      </c>
      <c r="FT707" s="14">
        <f t="shared" si="665"/>
        <v>0</v>
      </c>
      <c r="FU707" s="14">
        <f t="shared" si="666"/>
        <v>215</v>
      </c>
      <c r="FV707" s="14">
        <f t="shared" si="651"/>
        <v>2074</v>
      </c>
      <c r="FW707" s="14">
        <f t="shared" si="652"/>
        <v>5</v>
      </c>
      <c r="FX707" s="14">
        <f t="shared" si="653"/>
        <v>2074</v>
      </c>
      <c r="FY707" s="25" t="str">
        <f t="shared" si="667"/>
        <v>icon_2107108</v>
      </c>
      <c r="GC707" s="14">
        <f t="shared" si="654"/>
        <v>1</v>
      </c>
      <c r="GD707" s="14">
        <f t="shared" si="655"/>
        <v>3</v>
      </c>
      <c r="GE707" s="14">
        <f t="shared" si="672"/>
        <v>310</v>
      </c>
      <c r="GF707" s="14" t="str">
        <f t="shared" si="673"/>
        <v>AtkExt</v>
      </c>
      <c r="GG707" s="14">
        <f t="shared" si="674"/>
        <v>370</v>
      </c>
      <c r="GH707" s="14">
        <f t="shared" si="675"/>
        <v>19</v>
      </c>
      <c r="GI707" s="14" t="str">
        <f t="shared" si="676"/>
        <v>HPExt</v>
      </c>
      <c r="GJ707" s="14">
        <f t="shared" si="677"/>
        <v>4170</v>
      </c>
      <c r="GK707" s="14">
        <f t="shared" si="678"/>
        <v>215</v>
      </c>
      <c r="GL707" s="14">
        <f t="shared" si="656"/>
        <v>20740</v>
      </c>
      <c r="GM707" s="14">
        <f t="shared" si="679"/>
        <v>5</v>
      </c>
      <c r="GN707" s="14">
        <f t="shared" si="680"/>
        <v>2074</v>
      </c>
      <c r="GO707" s="25" t="s">
        <v>1471</v>
      </c>
      <c r="GP707" s="14">
        <f t="shared" si="657"/>
        <v>450</v>
      </c>
    </row>
    <row r="708" spans="151:198" ht="16.5" x14ac:dyDescent="0.2">
      <c r="EU708" s="13">
        <v>703</v>
      </c>
      <c r="EV708" s="14">
        <f t="shared" si="658"/>
        <v>2</v>
      </c>
      <c r="EW708" s="14">
        <f t="shared" si="668"/>
        <v>268</v>
      </c>
      <c r="EX708" s="14">
        <f t="shared" si="659"/>
        <v>36</v>
      </c>
      <c r="EY708" s="14">
        <f t="shared" si="669"/>
        <v>42</v>
      </c>
      <c r="EZ708" s="14">
        <f t="shared" si="639"/>
        <v>18</v>
      </c>
      <c r="FA708" s="14">
        <f t="shared" si="640"/>
        <v>110</v>
      </c>
      <c r="FB708" s="14">
        <f t="shared" si="641"/>
        <v>4</v>
      </c>
      <c r="FC708" s="14">
        <f t="shared" si="642"/>
        <v>1</v>
      </c>
      <c r="FD708" s="14">
        <f t="shared" si="643"/>
        <v>1</v>
      </c>
      <c r="FE708" s="14" t="b">
        <f t="shared" si="660"/>
        <v>1</v>
      </c>
      <c r="FF708" s="14">
        <f t="shared" si="644"/>
        <v>2107421</v>
      </c>
      <c r="FG708" s="13" t="str">
        <f t="shared" si="645"/>
        <v>110级-防御套守护灵の灵器</v>
      </c>
      <c r="FH708" s="14">
        <f t="shared" si="646"/>
        <v>2</v>
      </c>
      <c r="FI708" s="14">
        <f t="shared" si="647"/>
        <v>4</v>
      </c>
      <c r="FJ708" s="14">
        <f t="shared" si="648"/>
        <v>110</v>
      </c>
      <c r="FK708" s="14">
        <v>269</v>
      </c>
      <c r="FL708" s="14">
        <f t="shared" si="649"/>
        <v>7</v>
      </c>
      <c r="FM708" s="14">
        <f t="shared" si="670"/>
        <v>1</v>
      </c>
      <c r="FN708" s="14">
        <f t="shared" si="650"/>
        <v>210742</v>
      </c>
      <c r="FO708" s="14">
        <f t="shared" si="671"/>
        <v>427</v>
      </c>
      <c r="FP708" s="14">
        <f t="shared" si="661"/>
        <v>1115</v>
      </c>
      <c r="FQ708" s="14">
        <f t="shared" si="662"/>
        <v>0</v>
      </c>
      <c r="FR708" s="14">
        <f t="shared" si="663"/>
        <v>0</v>
      </c>
      <c r="FS708" s="14">
        <f t="shared" si="664"/>
        <v>57</v>
      </c>
      <c r="FT708" s="14">
        <f t="shared" si="665"/>
        <v>0</v>
      </c>
      <c r="FU708" s="14">
        <f t="shared" si="666"/>
        <v>0</v>
      </c>
      <c r="FV708" s="14">
        <f t="shared" si="651"/>
        <v>2074</v>
      </c>
      <c r="FW708" s="14">
        <f t="shared" si="652"/>
        <v>5</v>
      </c>
      <c r="FX708" s="14">
        <f t="shared" si="653"/>
        <v>2074</v>
      </c>
      <c r="FY708" s="25" t="str">
        <f t="shared" si="667"/>
        <v>icon_2107421</v>
      </c>
      <c r="GC708" s="14">
        <f t="shared" si="654"/>
        <v>1</v>
      </c>
      <c r="GD708" s="14">
        <f t="shared" si="655"/>
        <v>0</v>
      </c>
      <c r="GE708" s="14">
        <f t="shared" si="672"/>
        <v>427</v>
      </c>
      <c r="GF708" s="14" t="str">
        <f t="shared" si="673"/>
        <v>AtkExt</v>
      </c>
      <c r="GG708" s="14">
        <f t="shared" si="674"/>
        <v>1115</v>
      </c>
      <c r="GH708" s="14">
        <f t="shared" si="675"/>
        <v>57</v>
      </c>
      <c r="GI708" s="14" t="str">
        <f t="shared" si="676"/>
        <v/>
      </c>
      <c r="GJ708" s="14" t="str">
        <f t="shared" si="677"/>
        <v/>
      </c>
      <c r="GK708" s="14" t="str">
        <f t="shared" si="678"/>
        <v/>
      </c>
      <c r="GL708" s="14">
        <f t="shared" si="656"/>
        <v>20740</v>
      </c>
      <c r="GM708" s="14">
        <f t="shared" si="679"/>
        <v>5</v>
      </c>
      <c r="GN708" s="14">
        <f t="shared" si="680"/>
        <v>2074</v>
      </c>
      <c r="GO708" s="25" t="s">
        <v>1471</v>
      </c>
      <c r="GP708" s="14">
        <f t="shared" si="657"/>
        <v>600</v>
      </c>
    </row>
    <row r="709" spans="151:198" ht="16.5" x14ac:dyDescent="0.2">
      <c r="EU709" s="13">
        <v>704</v>
      </c>
      <c r="EV709" s="14">
        <f t="shared" si="658"/>
        <v>2</v>
      </c>
      <c r="EW709" s="14">
        <f t="shared" si="668"/>
        <v>269</v>
      </c>
      <c r="EX709" s="14">
        <f t="shared" si="659"/>
        <v>36</v>
      </c>
      <c r="EY709" s="14">
        <f t="shared" si="669"/>
        <v>42</v>
      </c>
      <c r="EZ709" s="14">
        <f t="shared" si="639"/>
        <v>18</v>
      </c>
      <c r="FA709" s="14">
        <f t="shared" si="640"/>
        <v>110</v>
      </c>
      <c r="FB709" s="14">
        <f t="shared" si="641"/>
        <v>4</v>
      </c>
      <c r="FC709" s="14">
        <f t="shared" si="642"/>
        <v>2</v>
      </c>
      <c r="FD709" s="14">
        <f t="shared" si="643"/>
        <v>2</v>
      </c>
      <c r="FE709" s="14" t="b">
        <f t="shared" si="660"/>
        <v>1</v>
      </c>
      <c r="FF709" s="14">
        <f t="shared" si="644"/>
        <v>2107422</v>
      </c>
      <c r="FG709" s="13" t="str">
        <f t="shared" si="645"/>
        <v>110级-防御套守护灵の头盔</v>
      </c>
      <c r="FH709" s="14">
        <f t="shared" si="646"/>
        <v>2</v>
      </c>
      <c r="FI709" s="14">
        <f t="shared" si="647"/>
        <v>4</v>
      </c>
      <c r="FJ709" s="14">
        <f t="shared" si="648"/>
        <v>110</v>
      </c>
      <c r="FK709" s="14">
        <v>270</v>
      </c>
      <c r="FL709" s="14">
        <f t="shared" si="649"/>
        <v>7</v>
      </c>
      <c r="FM709" s="14">
        <f t="shared" si="670"/>
        <v>2</v>
      </c>
      <c r="FN709" s="14">
        <f t="shared" si="650"/>
        <v>210742</v>
      </c>
      <c r="FO709" s="14">
        <f t="shared" si="671"/>
        <v>210</v>
      </c>
      <c r="FP709" s="14">
        <f t="shared" si="661"/>
        <v>0</v>
      </c>
      <c r="FQ709" s="14">
        <f t="shared" si="662"/>
        <v>280</v>
      </c>
      <c r="FR709" s="14">
        <f t="shared" si="663"/>
        <v>0</v>
      </c>
      <c r="FS709" s="14">
        <f t="shared" si="664"/>
        <v>0</v>
      </c>
      <c r="FT709" s="14">
        <f t="shared" si="665"/>
        <v>14</v>
      </c>
      <c r="FU709" s="14">
        <f t="shared" si="666"/>
        <v>0</v>
      </c>
      <c r="FV709" s="14">
        <f t="shared" si="651"/>
        <v>2074</v>
      </c>
      <c r="FW709" s="14">
        <f t="shared" si="652"/>
        <v>5</v>
      </c>
      <c r="FX709" s="14">
        <f t="shared" si="653"/>
        <v>2074</v>
      </c>
      <c r="FY709" s="25" t="str">
        <f t="shared" si="667"/>
        <v>icon_2107422</v>
      </c>
      <c r="GC709" s="14">
        <f t="shared" si="654"/>
        <v>2</v>
      </c>
      <c r="GD709" s="14">
        <f t="shared" si="655"/>
        <v>0</v>
      </c>
      <c r="GE709" s="14">
        <f t="shared" si="672"/>
        <v>210</v>
      </c>
      <c r="GF709" s="14" t="str">
        <f t="shared" si="673"/>
        <v>DefExt</v>
      </c>
      <c r="GG709" s="14">
        <f t="shared" si="674"/>
        <v>280</v>
      </c>
      <c r="GH709" s="14">
        <f t="shared" si="675"/>
        <v>14</v>
      </c>
      <c r="GI709" s="14" t="str">
        <f t="shared" si="676"/>
        <v/>
      </c>
      <c r="GJ709" s="14" t="str">
        <f t="shared" si="677"/>
        <v/>
      </c>
      <c r="GK709" s="14" t="str">
        <f t="shared" si="678"/>
        <v/>
      </c>
      <c r="GL709" s="14">
        <f t="shared" si="656"/>
        <v>20740</v>
      </c>
      <c r="GM709" s="14">
        <f t="shared" si="679"/>
        <v>5</v>
      </c>
      <c r="GN709" s="14">
        <f t="shared" si="680"/>
        <v>2074</v>
      </c>
      <c r="GO709" s="25" t="s">
        <v>1471</v>
      </c>
      <c r="GP709" s="14">
        <f t="shared" si="657"/>
        <v>300</v>
      </c>
    </row>
    <row r="710" spans="151:198" ht="16.5" x14ac:dyDescent="0.2">
      <c r="EU710" s="13">
        <v>705</v>
      </c>
      <c r="EV710" s="14">
        <f t="shared" si="658"/>
        <v>2</v>
      </c>
      <c r="EW710" s="14">
        <f t="shared" si="668"/>
        <v>270</v>
      </c>
      <c r="EX710" s="14">
        <f t="shared" si="659"/>
        <v>36</v>
      </c>
      <c r="EY710" s="14">
        <f t="shared" si="669"/>
        <v>42</v>
      </c>
      <c r="EZ710" s="14">
        <f t="shared" ref="EZ710:EZ773" si="681">(EV710-1)*$EX$3+FL710</f>
        <v>18</v>
      </c>
      <c r="FA710" s="14">
        <f t="shared" ref="FA710:FA773" si="682">INDEX(AI$7:AI$64,$EX710)</f>
        <v>110</v>
      </c>
      <c r="FB710" s="14">
        <f t="shared" ref="FB710:FB773" si="683">INDEX(AJ$7:AJ$64,$EX710)</f>
        <v>4</v>
      </c>
      <c r="FC710" s="14">
        <f t="shared" ref="FC710:FC773" si="684">EW710-INDEX($AQ$6:$AQ$64,EX710)</f>
        <v>3</v>
      </c>
      <c r="FD710" s="14">
        <f t="shared" ref="FD710:FD773" si="685">INDEX($AR$7:$AY$64,EX710,EW710-INDEX($AQ$6:$AQ$64,EX710))</f>
        <v>3</v>
      </c>
      <c r="FE710" s="14" t="b">
        <f t="shared" si="660"/>
        <v>1</v>
      </c>
      <c r="FF710" s="14">
        <f t="shared" ref="FF710:FF773" si="686">INDEX($AN$7:$AN$64,EX710)*10+FD710+(EV710-1)*100000+2000000</f>
        <v>2107423</v>
      </c>
      <c r="FG710" s="13" t="str">
        <f t="shared" ref="FG710:FG773" si="687">INDEX($AL$7:$AL$64,EX710)&amp;"-"&amp;INDEX($AM$7:$AM$64,EX710)&amp;INDEX($BC$6:$BC$7,EV710)&amp;INDEX($AR$3:$AY$3,FD710)</f>
        <v>110级-防御套守护灵の铠甲</v>
      </c>
      <c r="FH710" s="14">
        <f t="shared" ref="FH710:FH773" si="688">EV710</f>
        <v>2</v>
      </c>
      <c r="FI710" s="14">
        <f t="shared" ref="FI710:FI773" si="689">INDEX($AJ$7:$AJ$64,EX710)</f>
        <v>4</v>
      </c>
      <c r="FJ710" s="14">
        <f t="shared" ref="FJ710:FJ773" si="690">INDEX($AI$7:$AI$64,EX710)</f>
        <v>110</v>
      </c>
      <c r="FK710" s="14">
        <v>271</v>
      </c>
      <c r="FL710" s="14">
        <f t="shared" ref="FL710:FL773" si="691">INDEX(AH$7:AH$64,$EX710)</f>
        <v>7</v>
      </c>
      <c r="FM710" s="14">
        <f t="shared" si="670"/>
        <v>3</v>
      </c>
      <c r="FN710" s="14">
        <f t="shared" ref="FN710:FN773" si="692">IF(INDEX($AO$7:$AO$64,EX710)&gt;0,INDEX($AO$7:$AO$64,EX710) + (EV710-1)*10000+200000,"")</f>
        <v>210742</v>
      </c>
      <c r="FO710" s="14">
        <f t="shared" si="671"/>
        <v>298</v>
      </c>
      <c r="FP710" s="14">
        <f t="shared" si="661"/>
        <v>0</v>
      </c>
      <c r="FQ710" s="14">
        <f t="shared" si="662"/>
        <v>140</v>
      </c>
      <c r="FR710" s="14">
        <f t="shared" si="663"/>
        <v>2500</v>
      </c>
      <c r="FS710" s="14">
        <f t="shared" si="664"/>
        <v>0</v>
      </c>
      <c r="FT710" s="14">
        <f t="shared" si="665"/>
        <v>7</v>
      </c>
      <c r="FU710" s="14">
        <f t="shared" si="666"/>
        <v>129</v>
      </c>
      <c r="FV710" s="14">
        <f t="shared" ref="FV710:FV773" si="693">FL710*10+FB710+EV710*1000</f>
        <v>2074</v>
      </c>
      <c r="FW710" s="14">
        <f t="shared" ref="FW710:FW773" si="694">INDEX($V$17:$Y$27,FL710,FB710)</f>
        <v>5</v>
      </c>
      <c r="FX710" s="14">
        <f t="shared" ref="FX710:FX773" si="695">IF(FB710&gt;2,FL710*10+FB710+EV710*1000,"")</f>
        <v>2074</v>
      </c>
      <c r="FY710" s="25" t="str">
        <f t="shared" si="667"/>
        <v>icon_2107423</v>
      </c>
      <c r="GC710" s="14">
        <f t="shared" ref="GC710:GC773" si="696">INDEX(BL$6:BL$13,$FM710)</f>
        <v>2</v>
      </c>
      <c r="GD710" s="14">
        <f t="shared" ref="GD710:GD773" si="697">INDEX(BM$6:BM$13,$FM710)</f>
        <v>3</v>
      </c>
      <c r="GE710" s="14">
        <f t="shared" si="672"/>
        <v>298</v>
      </c>
      <c r="GF710" s="14" t="str">
        <f t="shared" si="673"/>
        <v>DefExt</v>
      </c>
      <c r="GG710" s="14">
        <f t="shared" si="674"/>
        <v>140</v>
      </c>
      <c r="GH710" s="14">
        <f t="shared" si="675"/>
        <v>7</v>
      </c>
      <c r="GI710" s="14" t="str">
        <f t="shared" si="676"/>
        <v>HPExt</v>
      </c>
      <c r="GJ710" s="14">
        <f t="shared" si="677"/>
        <v>2500</v>
      </c>
      <c r="GK710" s="14">
        <f t="shared" si="678"/>
        <v>129</v>
      </c>
      <c r="GL710" s="14">
        <f t="shared" ref="GL710:GL773" si="698">20000+FL710*100+FB710*10</f>
        <v>20740</v>
      </c>
      <c r="GM710" s="14">
        <f t="shared" si="679"/>
        <v>5</v>
      </c>
      <c r="GN710" s="14">
        <f t="shared" si="680"/>
        <v>2074</v>
      </c>
      <c r="GO710" s="25" t="s">
        <v>1471</v>
      </c>
      <c r="GP710" s="14">
        <f t="shared" ref="GP710:GP773" si="699">ROUND(INDEX($AA$17:$AD$27,FL710,FB710)*INDEX($BK$6:$BK$13,FM710),0)</f>
        <v>300</v>
      </c>
    </row>
    <row r="711" spans="151:198" ht="16.5" x14ac:dyDescent="0.2">
      <c r="EU711" s="13">
        <v>706</v>
      </c>
      <c r="EV711" s="14">
        <f t="shared" ref="EV711:EV774" si="700">IF(EU711&lt;=$EV$3,1,2)</f>
        <v>2</v>
      </c>
      <c r="EW711" s="14">
        <f t="shared" si="668"/>
        <v>271</v>
      </c>
      <c r="EX711" s="14">
        <f t="shared" ref="EX711:EX774" si="701">MATCH(EW711-1,$AQ$6:$AQ$64,1)</f>
        <v>36</v>
      </c>
      <c r="EY711" s="14">
        <f t="shared" si="669"/>
        <v>42</v>
      </c>
      <c r="EZ711" s="14">
        <f t="shared" si="681"/>
        <v>18</v>
      </c>
      <c r="FA711" s="14">
        <f t="shared" si="682"/>
        <v>110</v>
      </c>
      <c r="FB711" s="14">
        <f t="shared" si="683"/>
        <v>4</v>
      </c>
      <c r="FC711" s="14">
        <f t="shared" si="684"/>
        <v>4</v>
      </c>
      <c r="FD711" s="14">
        <f t="shared" si="685"/>
        <v>4</v>
      </c>
      <c r="FE711" s="14" t="b">
        <f t="shared" ref="FE711:FE774" si="702">IF(FN711="",FALSE,TRUE)</f>
        <v>1</v>
      </c>
      <c r="FF711" s="14">
        <f t="shared" si="686"/>
        <v>2107424</v>
      </c>
      <c r="FG711" s="13" t="str">
        <f t="shared" si="687"/>
        <v>110级-防御套守护灵の裤子</v>
      </c>
      <c r="FH711" s="14">
        <f t="shared" si="688"/>
        <v>2</v>
      </c>
      <c r="FI711" s="14">
        <f t="shared" si="689"/>
        <v>4</v>
      </c>
      <c r="FJ711" s="14">
        <f t="shared" si="690"/>
        <v>110</v>
      </c>
      <c r="FK711" s="14">
        <v>272</v>
      </c>
      <c r="FL711" s="14">
        <f t="shared" si="691"/>
        <v>7</v>
      </c>
      <c r="FM711" s="14">
        <f t="shared" si="670"/>
        <v>4</v>
      </c>
      <c r="FN711" s="14">
        <f t="shared" si="692"/>
        <v>210742</v>
      </c>
      <c r="FO711" s="14">
        <f t="shared" si="671"/>
        <v>210</v>
      </c>
      <c r="FP711" s="14">
        <f t="shared" ref="FP711:FP774" si="703">ROUND(INDEX(M$6:M$27,$EZ711)*INDEX(BH$6:BH$13,$FD711)*INDEX($BR$6:$BR$9,FI711)/5,0)*5</f>
        <v>0</v>
      </c>
      <c r="FQ711" s="14">
        <f t="shared" ref="FQ711:FQ774" si="704">ROUND(INDEX(N$6:N$27,$EZ711)*INDEX(BI$6:BI$13,$FD711)*INDEX($BR$6:$BR$9,FI711)/5,0)*5</f>
        <v>280</v>
      </c>
      <c r="FR711" s="14">
        <f t="shared" ref="FR711:FR774" si="705">ROUND(INDEX(O$6:O$27,$EZ711)*INDEX(BJ$6:BJ$13,$FD711)*INDEX($BR$6:$BR$9,FI711)/5,0)*5</f>
        <v>0</v>
      </c>
      <c r="FS711" s="14">
        <f t="shared" ref="FS711:FS774" si="706">ROUND(INDEX(S$6:S$27,$EZ711)*INDEX(BH$6:BH$13,$FD711)*INDEX($BR$6:$BR$9,FI711),0)</f>
        <v>0</v>
      </c>
      <c r="FT711" s="14">
        <f t="shared" ref="FT711:FT774" si="707">ROUND(INDEX(T$6:T$27,$EZ711)*INDEX(BI$6:BI$13,$FD711)*INDEX($BR$6:$BR$9,FI711),0)</f>
        <v>14</v>
      </c>
      <c r="FU711" s="14">
        <f t="shared" ref="FU711:FU774" si="708">ROUND(INDEX(U$6:U$27,$EZ711)*INDEX(BJ$6:BJ$13,$FD711)*INDEX($BR$6:$BR$9,FI711),0)</f>
        <v>0</v>
      </c>
      <c r="FV711" s="14">
        <f t="shared" si="693"/>
        <v>2074</v>
      </c>
      <c r="FW711" s="14">
        <f t="shared" si="694"/>
        <v>5</v>
      </c>
      <c r="FX711" s="14">
        <f t="shared" si="695"/>
        <v>2074</v>
      </c>
      <c r="FY711" s="25" t="str">
        <f t="shared" ref="FY711:FY774" si="709">IF(FE711,"icon_"&amp;FF711,FY$2&amp;INDEX($ES$6:$ES$7,EV711)*100000+FL711*1000+100+FD711)</f>
        <v>icon_2107424</v>
      </c>
      <c r="GC711" s="14">
        <f t="shared" si="696"/>
        <v>2</v>
      </c>
      <c r="GD711" s="14">
        <f t="shared" si="697"/>
        <v>0</v>
      </c>
      <c r="GE711" s="14">
        <f t="shared" si="672"/>
        <v>210</v>
      </c>
      <c r="GF711" s="14" t="str">
        <f t="shared" si="673"/>
        <v>DefExt</v>
      </c>
      <c r="GG711" s="14">
        <f t="shared" si="674"/>
        <v>280</v>
      </c>
      <c r="GH711" s="14">
        <f t="shared" si="675"/>
        <v>14</v>
      </c>
      <c r="GI711" s="14" t="str">
        <f t="shared" si="676"/>
        <v/>
      </c>
      <c r="GJ711" s="14" t="str">
        <f t="shared" si="677"/>
        <v/>
      </c>
      <c r="GK711" s="14" t="str">
        <f t="shared" si="678"/>
        <v/>
      </c>
      <c r="GL711" s="14">
        <f t="shared" si="698"/>
        <v>20740</v>
      </c>
      <c r="GM711" s="14">
        <f t="shared" si="679"/>
        <v>5</v>
      </c>
      <c r="GN711" s="14">
        <f t="shared" si="680"/>
        <v>2074</v>
      </c>
      <c r="GO711" s="25" t="s">
        <v>1471</v>
      </c>
      <c r="GP711" s="14">
        <f t="shared" si="699"/>
        <v>300</v>
      </c>
    </row>
    <row r="712" spans="151:198" ht="16.5" x14ac:dyDescent="0.2">
      <c r="EU712" s="13">
        <v>707</v>
      </c>
      <c r="EV712" s="14">
        <f t="shared" si="700"/>
        <v>2</v>
      </c>
      <c r="EW712" s="14">
        <f t="shared" si="668"/>
        <v>272</v>
      </c>
      <c r="EX712" s="14">
        <f t="shared" si="701"/>
        <v>36</v>
      </c>
      <c r="EY712" s="14">
        <f t="shared" si="669"/>
        <v>42</v>
      </c>
      <c r="EZ712" s="14">
        <f t="shared" si="681"/>
        <v>18</v>
      </c>
      <c r="FA712" s="14">
        <f t="shared" si="682"/>
        <v>110</v>
      </c>
      <c r="FB712" s="14">
        <f t="shared" si="683"/>
        <v>4</v>
      </c>
      <c r="FC712" s="14">
        <f t="shared" si="684"/>
        <v>5</v>
      </c>
      <c r="FD712" s="14">
        <f t="shared" si="685"/>
        <v>5</v>
      </c>
      <c r="FE712" s="14" t="b">
        <f t="shared" si="702"/>
        <v>1</v>
      </c>
      <c r="FF712" s="14">
        <f t="shared" si="686"/>
        <v>2107425</v>
      </c>
      <c r="FG712" s="13" t="str">
        <f t="shared" si="687"/>
        <v>110级-防御套守护灵の鞋子</v>
      </c>
      <c r="FH712" s="14">
        <f t="shared" si="688"/>
        <v>2</v>
      </c>
      <c r="FI712" s="14">
        <f t="shared" si="689"/>
        <v>4</v>
      </c>
      <c r="FJ712" s="14">
        <f t="shared" si="690"/>
        <v>110</v>
      </c>
      <c r="FK712" s="14">
        <v>273</v>
      </c>
      <c r="FL712" s="14">
        <f t="shared" si="691"/>
        <v>7</v>
      </c>
      <c r="FM712" s="14">
        <f t="shared" si="670"/>
        <v>5</v>
      </c>
      <c r="FN712" s="14">
        <f t="shared" si="692"/>
        <v>210742</v>
      </c>
      <c r="FO712" s="14">
        <f t="shared" si="671"/>
        <v>387</v>
      </c>
      <c r="FP712" s="14">
        <f t="shared" si="703"/>
        <v>0</v>
      </c>
      <c r="FQ712" s="14">
        <f t="shared" si="704"/>
        <v>0</v>
      </c>
      <c r="FR712" s="14">
        <f t="shared" si="705"/>
        <v>5005</v>
      </c>
      <c r="FS712" s="14">
        <f t="shared" si="706"/>
        <v>0</v>
      </c>
      <c r="FT712" s="14">
        <f t="shared" si="707"/>
        <v>0</v>
      </c>
      <c r="FU712" s="14">
        <f t="shared" si="708"/>
        <v>258</v>
      </c>
      <c r="FV712" s="14">
        <f t="shared" si="693"/>
        <v>2074</v>
      </c>
      <c r="FW712" s="14">
        <f t="shared" si="694"/>
        <v>5</v>
      </c>
      <c r="FX712" s="14">
        <f t="shared" si="695"/>
        <v>2074</v>
      </c>
      <c r="FY712" s="25" t="str">
        <f t="shared" si="709"/>
        <v>icon_2107425</v>
      </c>
      <c r="GC712" s="14">
        <f t="shared" si="696"/>
        <v>3</v>
      </c>
      <c r="GD712" s="14">
        <f t="shared" si="697"/>
        <v>0</v>
      </c>
      <c r="GE712" s="14">
        <f t="shared" si="672"/>
        <v>387</v>
      </c>
      <c r="GF712" s="14" t="str">
        <f t="shared" si="673"/>
        <v>HPExt</v>
      </c>
      <c r="GG712" s="14">
        <f t="shared" si="674"/>
        <v>5005</v>
      </c>
      <c r="GH712" s="14">
        <f t="shared" si="675"/>
        <v>258</v>
      </c>
      <c r="GI712" s="14" t="str">
        <f t="shared" si="676"/>
        <v/>
      </c>
      <c r="GJ712" s="14" t="str">
        <f t="shared" si="677"/>
        <v/>
      </c>
      <c r="GK712" s="14" t="str">
        <f t="shared" si="678"/>
        <v/>
      </c>
      <c r="GL712" s="14">
        <f t="shared" si="698"/>
        <v>20740</v>
      </c>
      <c r="GM712" s="14">
        <f t="shared" si="679"/>
        <v>5</v>
      </c>
      <c r="GN712" s="14">
        <f t="shared" si="680"/>
        <v>2074</v>
      </c>
      <c r="GO712" s="25" t="s">
        <v>1471</v>
      </c>
      <c r="GP712" s="14">
        <f t="shared" si="699"/>
        <v>300</v>
      </c>
    </row>
    <row r="713" spans="151:198" ht="16.5" x14ac:dyDescent="0.2">
      <c r="EU713" s="13">
        <v>708</v>
      </c>
      <c r="EV713" s="14">
        <f t="shared" si="700"/>
        <v>2</v>
      </c>
      <c r="EW713" s="14">
        <f t="shared" si="668"/>
        <v>273</v>
      </c>
      <c r="EX713" s="14">
        <f t="shared" si="701"/>
        <v>36</v>
      </c>
      <c r="EY713" s="14">
        <f t="shared" si="669"/>
        <v>42</v>
      </c>
      <c r="EZ713" s="14">
        <f t="shared" si="681"/>
        <v>18</v>
      </c>
      <c r="FA713" s="14">
        <f t="shared" si="682"/>
        <v>110</v>
      </c>
      <c r="FB713" s="14">
        <f t="shared" si="683"/>
        <v>4</v>
      </c>
      <c r="FC713" s="14">
        <f t="shared" si="684"/>
        <v>6</v>
      </c>
      <c r="FD713" s="14">
        <f t="shared" si="685"/>
        <v>6</v>
      </c>
      <c r="FE713" s="14" t="b">
        <f t="shared" si="702"/>
        <v>1</v>
      </c>
      <c r="FF713" s="14">
        <f t="shared" si="686"/>
        <v>2107426</v>
      </c>
      <c r="FG713" s="13" t="str">
        <f t="shared" si="687"/>
        <v>110级-防御套守护灵の护手</v>
      </c>
      <c r="FH713" s="14">
        <f t="shared" si="688"/>
        <v>2</v>
      </c>
      <c r="FI713" s="14">
        <f t="shared" si="689"/>
        <v>4</v>
      </c>
      <c r="FJ713" s="14">
        <f t="shared" si="690"/>
        <v>110</v>
      </c>
      <c r="FK713" s="14">
        <v>274</v>
      </c>
      <c r="FL713" s="14">
        <f t="shared" si="691"/>
        <v>7</v>
      </c>
      <c r="FM713" s="14">
        <f t="shared" si="670"/>
        <v>6</v>
      </c>
      <c r="FN713" s="14">
        <f t="shared" si="692"/>
        <v>210742</v>
      </c>
      <c r="FO713" s="14">
        <f t="shared" si="671"/>
        <v>387</v>
      </c>
      <c r="FP713" s="14">
        <f t="shared" si="703"/>
        <v>0</v>
      </c>
      <c r="FQ713" s="14">
        <f t="shared" si="704"/>
        <v>0</v>
      </c>
      <c r="FR713" s="14">
        <f t="shared" si="705"/>
        <v>5005</v>
      </c>
      <c r="FS713" s="14">
        <f t="shared" si="706"/>
        <v>0</v>
      </c>
      <c r="FT713" s="14">
        <f t="shared" si="707"/>
        <v>0</v>
      </c>
      <c r="FU713" s="14">
        <f t="shared" si="708"/>
        <v>258</v>
      </c>
      <c r="FV713" s="14">
        <f t="shared" si="693"/>
        <v>2074</v>
      </c>
      <c r="FW713" s="14">
        <f t="shared" si="694"/>
        <v>5</v>
      </c>
      <c r="FX713" s="14">
        <f t="shared" si="695"/>
        <v>2074</v>
      </c>
      <c r="FY713" s="25" t="str">
        <f t="shared" si="709"/>
        <v>icon_2107426</v>
      </c>
      <c r="GC713" s="14">
        <f t="shared" si="696"/>
        <v>3</v>
      </c>
      <c r="GD713" s="14">
        <f t="shared" si="697"/>
        <v>0</v>
      </c>
      <c r="GE713" s="14">
        <f t="shared" si="672"/>
        <v>387</v>
      </c>
      <c r="GF713" s="14" t="str">
        <f t="shared" si="673"/>
        <v>HPExt</v>
      </c>
      <c r="GG713" s="14">
        <f t="shared" si="674"/>
        <v>5005</v>
      </c>
      <c r="GH713" s="14">
        <f t="shared" si="675"/>
        <v>258</v>
      </c>
      <c r="GI713" s="14" t="str">
        <f t="shared" si="676"/>
        <v/>
      </c>
      <c r="GJ713" s="14" t="str">
        <f t="shared" si="677"/>
        <v/>
      </c>
      <c r="GK713" s="14" t="str">
        <f t="shared" si="678"/>
        <v/>
      </c>
      <c r="GL713" s="14">
        <f t="shared" si="698"/>
        <v>20740</v>
      </c>
      <c r="GM713" s="14">
        <f t="shared" si="679"/>
        <v>5</v>
      </c>
      <c r="GN713" s="14">
        <f t="shared" si="680"/>
        <v>2074</v>
      </c>
      <c r="GO713" s="25" t="s">
        <v>1471</v>
      </c>
      <c r="GP713" s="14">
        <f t="shared" si="699"/>
        <v>300</v>
      </c>
    </row>
    <row r="714" spans="151:198" ht="16.5" x14ac:dyDescent="0.2">
      <c r="EU714" s="13">
        <v>709</v>
      </c>
      <c r="EV714" s="14">
        <f t="shared" si="700"/>
        <v>2</v>
      </c>
      <c r="EW714" s="14">
        <f t="shared" si="668"/>
        <v>274</v>
      </c>
      <c r="EX714" s="14">
        <f t="shared" si="701"/>
        <v>37</v>
      </c>
      <c r="EY714" s="14">
        <f t="shared" si="669"/>
        <v>10</v>
      </c>
      <c r="EZ714" s="14">
        <f t="shared" si="681"/>
        <v>19</v>
      </c>
      <c r="FA714" s="14">
        <f t="shared" si="682"/>
        <v>120</v>
      </c>
      <c r="FB714" s="14">
        <f t="shared" si="683"/>
        <v>1</v>
      </c>
      <c r="FC714" s="14">
        <f t="shared" si="684"/>
        <v>1</v>
      </c>
      <c r="FD714" s="14">
        <f t="shared" si="685"/>
        <v>1</v>
      </c>
      <c r="FE714" s="14" t="b">
        <f t="shared" si="702"/>
        <v>0</v>
      </c>
      <c r="FF714" s="14">
        <f t="shared" si="686"/>
        <v>2108101</v>
      </c>
      <c r="FG714" s="13" t="str">
        <f t="shared" si="687"/>
        <v>120级-普通守护灵の灵器</v>
      </c>
      <c r="FH714" s="14">
        <f t="shared" si="688"/>
        <v>2</v>
      </c>
      <c r="FI714" s="14">
        <f t="shared" si="689"/>
        <v>1</v>
      </c>
      <c r="FJ714" s="14">
        <f t="shared" si="690"/>
        <v>120</v>
      </c>
      <c r="FK714" s="14">
        <v>275</v>
      </c>
      <c r="FL714" s="14">
        <f t="shared" si="691"/>
        <v>8</v>
      </c>
      <c r="FM714" s="14">
        <f t="shared" si="670"/>
        <v>1</v>
      </c>
      <c r="FN714" s="14" t="str">
        <f t="shared" si="692"/>
        <v/>
      </c>
      <c r="FO714" s="14">
        <f t="shared" si="671"/>
        <v>190</v>
      </c>
      <c r="FP714" s="14">
        <f t="shared" si="703"/>
        <v>775</v>
      </c>
      <c r="FQ714" s="14">
        <f t="shared" si="704"/>
        <v>0</v>
      </c>
      <c r="FR714" s="14">
        <f t="shared" si="705"/>
        <v>0</v>
      </c>
      <c r="FS714" s="14">
        <f t="shared" si="706"/>
        <v>38</v>
      </c>
      <c r="FT714" s="14">
        <f t="shared" si="707"/>
        <v>0</v>
      </c>
      <c r="FU714" s="14">
        <f t="shared" si="708"/>
        <v>0</v>
      </c>
      <c r="FV714" s="14">
        <f t="shared" si="693"/>
        <v>2081</v>
      </c>
      <c r="FW714" s="14">
        <f t="shared" si="694"/>
        <v>0</v>
      </c>
      <c r="FX714" s="14" t="str">
        <f t="shared" si="695"/>
        <v/>
      </c>
      <c r="FY714" s="25" t="str">
        <f t="shared" si="709"/>
        <v>icon_2108101</v>
      </c>
      <c r="GC714" s="14">
        <f t="shared" si="696"/>
        <v>1</v>
      </c>
      <c r="GD714" s="14">
        <f t="shared" si="697"/>
        <v>0</v>
      </c>
      <c r="GE714" s="14">
        <f t="shared" si="672"/>
        <v>190</v>
      </c>
      <c r="GF714" s="14" t="str">
        <f t="shared" si="673"/>
        <v>AtkExt</v>
      </c>
      <c r="GG714" s="14">
        <f t="shared" si="674"/>
        <v>775</v>
      </c>
      <c r="GH714" s="14">
        <f t="shared" si="675"/>
        <v>38</v>
      </c>
      <c r="GI714" s="14" t="str">
        <f t="shared" si="676"/>
        <v/>
      </c>
      <c r="GJ714" s="14" t="str">
        <f t="shared" si="677"/>
        <v/>
      </c>
      <c r="GK714" s="14" t="str">
        <f t="shared" si="678"/>
        <v/>
      </c>
      <c r="GL714" s="14">
        <f t="shared" si="698"/>
        <v>20810</v>
      </c>
      <c r="GM714" s="14">
        <f t="shared" si="679"/>
        <v>0</v>
      </c>
      <c r="GN714" s="14" t="str">
        <f t="shared" si="680"/>
        <v/>
      </c>
      <c r="GO714" s="25" t="s">
        <v>1471</v>
      </c>
      <c r="GP714" s="14">
        <f t="shared" si="699"/>
        <v>80</v>
      </c>
    </row>
    <row r="715" spans="151:198" ht="16.5" x14ac:dyDescent="0.2">
      <c r="EU715" s="13">
        <v>710</v>
      </c>
      <c r="EV715" s="14">
        <f t="shared" si="700"/>
        <v>2</v>
      </c>
      <c r="EW715" s="14">
        <f t="shared" si="668"/>
        <v>275</v>
      </c>
      <c r="EX715" s="14">
        <f t="shared" si="701"/>
        <v>37</v>
      </c>
      <c r="EY715" s="14">
        <f t="shared" si="669"/>
        <v>10</v>
      </c>
      <c r="EZ715" s="14">
        <f t="shared" si="681"/>
        <v>19</v>
      </c>
      <c r="FA715" s="14">
        <f t="shared" si="682"/>
        <v>120</v>
      </c>
      <c r="FB715" s="14">
        <f t="shared" si="683"/>
        <v>1</v>
      </c>
      <c r="FC715" s="14">
        <f t="shared" si="684"/>
        <v>2</v>
      </c>
      <c r="FD715" s="14">
        <f t="shared" si="685"/>
        <v>2</v>
      </c>
      <c r="FE715" s="14" t="b">
        <f t="shared" si="702"/>
        <v>0</v>
      </c>
      <c r="FF715" s="14">
        <f t="shared" si="686"/>
        <v>2108102</v>
      </c>
      <c r="FG715" s="13" t="str">
        <f t="shared" si="687"/>
        <v>120级-普通守护灵の头盔</v>
      </c>
      <c r="FH715" s="14">
        <f t="shared" si="688"/>
        <v>2</v>
      </c>
      <c r="FI715" s="14">
        <f t="shared" si="689"/>
        <v>1</v>
      </c>
      <c r="FJ715" s="14">
        <f t="shared" si="690"/>
        <v>120</v>
      </c>
      <c r="FK715" s="14">
        <v>276</v>
      </c>
      <c r="FL715" s="14">
        <f t="shared" si="691"/>
        <v>8</v>
      </c>
      <c r="FM715" s="14">
        <f t="shared" si="670"/>
        <v>2</v>
      </c>
      <c r="FN715" s="14" t="str">
        <f t="shared" si="692"/>
        <v/>
      </c>
      <c r="FO715" s="14">
        <f t="shared" si="671"/>
        <v>100</v>
      </c>
      <c r="FP715" s="14">
        <f t="shared" si="703"/>
        <v>0</v>
      </c>
      <c r="FQ715" s="14">
        <f t="shared" si="704"/>
        <v>195</v>
      </c>
      <c r="FR715" s="14">
        <f t="shared" si="705"/>
        <v>0</v>
      </c>
      <c r="FS715" s="14">
        <f t="shared" si="706"/>
        <v>0</v>
      </c>
      <c r="FT715" s="14">
        <f t="shared" si="707"/>
        <v>10</v>
      </c>
      <c r="FU715" s="14">
        <f t="shared" si="708"/>
        <v>0</v>
      </c>
      <c r="FV715" s="14">
        <f t="shared" si="693"/>
        <v>2081</v>
      </c>
      <c r="FW715" s="14">
        <f t="shared" si="694"/>
        <v>0</v>
      </c>
      <c r="FX715" s="14" t="str">
        <f t="shared" si="695"/>
        <v/>
      </c>
      <c r="FY715" s="25" t="str">
        <f t="shared" si="709"/>
        <v>icon_2108102</v>
      </c>
      <c r="GC715" s="14">
        <f t="shared" si="696"/>
        <v>2</v>
      </c>
      <c r="GD715" s="14">
        <f t="shared" si="697"/>
        <v>0</v>
      </c>
      <c r="GE715" s="14">
        <f t="shared" si="672"/>
        <v>100</v>
      </c>
      <c r="GF715" s="14" t="str">
        <f t="shared" si="673"/>
        <v>DefExt</v>
      </c>
      <c r="GG715" s="14">
        <f t="shared" si="674"/>
        <v>195</v>
      </c>
      <c r="GH715" s="14">
        <f t="shared" si="675"/>
        <v>10</v>
      </c>
      <c r="GI715" s="14" t="str">
        <f t="shared" si="676"/>
        <v/>
      </c>
      <c r="GJ715" s="14" t="str">
        <f t="shared" si="677"/>
        <v/>
      </c>
      <c r="GK715" s="14" t="str">
        <f t="shared" si="678"/>
        <v/>
      </c>
      <c r="GL715" s="14">
        <f t="shared" si="698"/>
        <v>20810</v>
      </c>
      <c r="GM715" s="14">
        <f t="shared" si="679"/>
        <v>0</v>
      </c>
      <c r="GN715" s="14" t="str">
        <f t="shared" si="680"/>
        <v/>
      </c>
      <c r="GO715" s="25" t="s">
        <v>1471</v>
      </c>
      <c r="GP715" s="14">
        <f t="shared" si="699"/>
        <v>40</v>
      </c>
    </row>
    <row r="716" spans="151:198" ht="16.5" x14ac:dyDescent="0.2">
      <c r="EU716" s="13">
        <v>711</v>
      </c>
      <c r="EV716" s="14">
        <f t="shared" si="700"/>
        <v>2</v>
      </c>
      <c r="EW716" s="14">
        <f t="shared" si="668"/>
        <v>276</v>
      </c>
      <c r="EX716" s="14">
        <f t="shared" si="701"/>
        <v>37</v>
      </c>
      <c r="EY716" s="14">
        <f t="shared" si="669"/>
        <v>10</v>
      </c>
      <c r="EZ716" s="14">
        <f t="shared" si="681"/>
        <v>19</v>
      </c>
      <c r="FA716" s="14">
        <f t="shared" si="682"/>
        <v>120</v>
      </c>
      <c r="FB716" s="14">
        <f t="shared" si="683"/>
        <v>1</v>
      </c>
      <c r="FC716" s="14">
        <f t="shared" si="684"/>
        <v>3</v>
      </c>
      <c r="FD716" s="14">
        <f t="shared" si="685"/>
        <v>3</v>
      </c>
      <c r="FE716" s="14" t="b">
        <f t="shared" si="702"/>
        <v>0</v>
      </c>
      <c r="FF716" s="14">
        <f t="shared" si="686"/>
        <v>2108103</v>
      </c>
      <c r="FG716" s="13" t="str">
        <f t="shared" si="687"/>
        <v>120级-普通守护灵の铠甲</v>
      </c>
      <c r="FH716" s="14">
        <f t="shared" si="688"/>
        <v>2</v>
      </c>
      <c r="FI716" s="14">
        <f t="shared" si="689"/>
        <v>1</v>
      </c>
      <c r="FJ716" s="14">
        <f t="shared" si="690"/>
        <v>120</v>
      </c>
      <c r="FK716" s="14">
        <v>277</v>
      </c>
      <c r="FL716" s="14">
        <f t="shared" si="691"/>
        <v>8</v>
      </c>
      <c r="FM716" s="14">
        <f t="shared" si="670"/>
        <v>3</v>
      </c>
      <c r="FN716" s="14" t="str">
        <f t="shared" si="692"/>
        <v/>
      </c>
      <c r="FO716" s="14">
        <f t="shared" si="671"/>
        <v>139</v>
      </c>
      <c r="FP716" s="14">
        <f t="shared" si="703"/>
        <v>0</v>
      </c>
      <c r="FQ716" s="14">
        <f t="shared" si="704"/>
        <v>95</v>
      </c>
      <c r="FR716" s="14">
        <f t="shared" si="705"/>
        <v>1805</v>
      </c>
      <c r="FS716" s="14">
        <f t="shared" si="706"/>
        <v>0</v>
      </c>
      <c r="FT716" s="14">
        <f t="shared" si="707"/>
        <v>5</v>
      </c>
      <c r="FU716" s="14">
        <f t="shared" si="708"/>
        <v>89</v>
      </c>
      <c r="FV716" s="14">
        <f t="shared" si="693"/>
        <v>2081</v>
      </c>
      <c r="FW716" s="14">
        <f t="shared" si="694"/>
        <v>0</v>
      </c>
      <c r="FX716" s="14" t="str">
        <f t="shared" si="695"/>
        <v/>
      </c>
      <c r="FY716" s="25" t="str">
        <f t="shared" si="709"/>
        <v>icon_2108103</v>
      </c>
      <c r="GC716" s="14">
        <f t="shared" si="696"/>
        <v>2</v>
      </c>
      <c r="GD716" s="14">
        <f t="shared" si="697"/>
        <v>3</v>
      </c>
      <c r="GE716" s="14">
        <f t="shared" si="672"/>
        <v>139</v>
      </c>
      <c r="GF716" s="14" t="str">
        <f t="shared" si="673"/>
        <v>DefExt</v>
      </c>
      <c r="GG716" s="14">
        <f t="shared" si="674"/>
        <v>95</v>
      </c>
      <c r="GH716" s="14">
        <f t="shared" si="675"/>
        <v>5</v>
      </c>
      <c r="GI716" s="14" t="str">
        <f t="shared" si="676"/>
        <v>HPExt</v>
      </c>
      <c r="GJ716" s="14">
        <f t="shared" si="677"/>
        <v>1805</v>
      </c>
      <c r="GK716" s="14">
        <f t="shared" si="678"/>
        <v>89</v>
      </c>
      <c r="GL716" s="14">
        <f t="shared" si="698"/>
        <v>20810</v>
      </c>
      <c r="GM716" s="14">
        <f t="shared" si="679"/>
        <v>0</v>
      </c>
      <c r="GN716" s="14" t="str">
        <f t="shared" si="680"/>
        <v/>
      </c>
      <c r="GO716" s="25" t="s">
        <v>1471</v>
      </c>
      <c r="GP716" s="14">
        <f t="shared" si="699"/>
        <v>40</v>
      </c>
    </row>
    <row r="717" spans="151:198" ht="16.5" x14ac:dyDescent="0.2">
      <c r="EU717" s="13">
        <v>712</v>
      </c>
      <c r="EV717" s="14">
        <f t="shared" si="700"/>
        <v>2</v>
      </c>
      <c r="EW717" s="14">
        <f t="shared" si="668"/>
        <v>277</v>
      </c>
      <c r="EX717" s="14">
        <f t="shared" si="701"/>
        <v>37</v>
      </c>
      <c r="EY717" s="14">
        <f t="shared" si="669"/>
        <v>10</v>
      </c>
      <c r="EZ717" s="14">
        <f t="shared" si="681"/>
        <v>19</v>
      </c>
      <c r="FA717" s="14">
        <f t="shared" si="682"/>
        <v>120</v>
      </c>
      <c r="FB717" s="14">
        <f t="shared" si="683"/>
        <v>1</v>
      </c>
      <c r="FC717" s="14">
        <f t="shared" si="684"/>
        <v>4</v>
      </c>
      <c r="FD717" s="14">
        <f t="shared" si="685"/>
        <v>4</v>
      </c>
      <c r="FE717" s="14" t="b">
        <f t="shared" si="702"/>
        <v>0</v>
      </c>
      <c r="FF717" s="14">
        <f t="shared" si="686"/>
        <v>2108104</v>
      </c>
      <c r="FG717" s="13" t="str">
        <f t="shared" si="687"/>
        <v>120级-普通守护灵の裤子</v>
      </c>
      <c r="FH717" s="14">
        <f t="shared" si="688"/>
        <v>2</v>
      </c>
      <c r="FI717" s="14">
        <f t="shared" si="689"/>
        <v>1</v>
      </c>
      <c r="FJ717" s="14">
        <f t="shared" si="690"/>
        <v>120</v>
      </c>
      <c r="FK717" s="14">
        <v>278</v>
      </c>
      <c r="FL717" s="14">
        <f t="shared" si="691"/>
        <v>8</v>
      </c>
      <c r="FM717" s="14">
        <f t="shared" si="670"/>
        <v>4</v>
      </c>
      <c r="FN717" s="14" t="str">
        <f t="shared" si="692"/>
        <v/>
      </c>
      <c r="FO717" s="14">
        <f t="shared" si="671"/>
        <v>100</v>
      </c>
      <c r="FP717" s="14">
        <f t="shared" si="703"/>
        <v>0</v>
      </c>
      <c r="FQ717" s="14">
        <f t="shared" si="704"/>
        <v>195</v>
      </c>
      <c r="FR717" s="14">
        <f t="shared" si="705"/>
        <v>0</v>
      </c>
      <c r="FS717" s="14">
        <f t="shared" si="706"/>
        <v>0</v>
      </c>
      <c r="FT717" s="14">
        <f t="shared" si="707"/>
        <v>10</v>
      </c>
      <c r="FU717" s="14">
        <f t="shared" si="708"/>
        <v>0</v>
      </c>
      <c r="FV717" s="14">
        <f t="shared" si="693"/>
        <v>2081</v>
      </c>
      <c r="FW717" s="14">
        <f t="shared" si="694"/>
        <v>0</v>
      </c>
      <c r="FX717" s="14" t="str">
        <f t="shared" si="695"/>
        <v/>
      </c>
      <c r="FY717" s="25" t="str">
        <f t="shared" si="709"/>
        <v>icon_2108104</v>
      </c>
      <c r="GC717" s="14">
        <f t="shared" si="696"/>
        <v>2</v>
      </c>
      <c r="GD717" s="14">
        <f t="shared" si="697"/>
        <v>0</v>
      </c>
      <c r="GE717" s="14">
        <f t="shared" si="672"/>
        <v>100</v>
      </c>
      <c r="GF717" s="14" t="str">
        <f t="shared" si="673"/>
        <v>DefExt</v>
      </c>
      <c r="GG717" s="14">
        <f t="shared" si="674"/>
        <v>195</v>
      </c>
      <c r="GH717" s="14">
        <f t="shared" si="675"/>
        <v>10</v>
      </c>
      <c r="GI717" s="14" t="str">
        <f t="shared" si="676"/>
        <v/>
      </c>
      <c r="GJ717" s="14" t="str">
        <f t="shared" si="677"/>
        <v/>
      </c>
      <c r="GK717" s="14" t="str">
        <f t="shared" si="678"/>
        <v/>
      </c>
      <c r="GL717" s="14">
        <f t="shared" si="698"/>
        <v>20810</v>
      </c>
      <c r="GM717" s="14">
        <f t="shared" si="679"/>
        <v>0</v>
      </c>
      <c r="GN717" s="14" t="str">
        <f t="shared" si="680"/>
        <v/>
      </c>
      <c r="GO717" s="25" t="s">
        <v>1471</v>
      </c>
      <c r="GP717" s="14">
        <f t="shared" si="699"/>
        <v>40</v>
      </c>
    </row>
    <row r="718" spans="151:198" ht="16.5" x14ac:dyDescent="0.2">
      <c r="EU718" s="13">
        <v>713</v>
      </c>
      <c r="EV718" s="14">
        <f t="shared" si="700"/>
        <v>2</v>
      </c>
      <c r="EW718" s="14">
        <f t="shared" si="668"/>
        <v>278</v>
      </c>
      <c r="EX718" s="14">
        <f t="shared" si="701"/>
        <v>37</v>
      </c>
      <c r="EY718" s="14">
        <f t="shared" si="669"/>
        <v>10</v>
      </c>
      <c r="EZ718" s="14">
        <f t="shared" si="681"/>
        <v>19</v>
      </c>
      <c r="FA718" s="14">
        <f t="shared" si="682"/>
        <v>120</v>
      </c>
      <c r="FB718" s="14">
        <f t="shared" si="683"/>
        <v>1</v>
      </c>
      <c r="FC718" s="14">
        <f t="shared" si="684"/>
        <v>5</v>
      </c>
      <c r="FD718" s="14">
        <f t="shared" si="685"/>
        <v>5</v>
      </c>
      <c r="FE718" s="14" t="b">
        <f t="shared" si="702"/>
        <v>0</v>
      </c>
      <c r="FF718" s="14">
        <f t="shared" si="686"/>
        <v>2108105</v>
      </c>
      <c r="FG718" s="13" t="str">
        <f t="shared" si="687"/>
        <v>120级-普通守护灵の鞋子</v>
      </c>
      <c r="FH718" s="14">
        <f t="shared" si="688"/>
        <v>2</v>
      </c>
      <c r="FI718" s="14">
        <f t="shared" si="689"/>
        <v>1</v>
      </c>
      <c r="FJ718" s="14">
        <f t="shared" si="690"/>
        <v>120</v>
      </c>
      <c r="FK718" s="14">
        <v>279</v>
      </c>
      <c r="FL718" s="14">
        <f t="shared" si="691"/>
        <v>8</v>
      </c>
      <c r="FM718" s="14">
        <f t="shared" si="670"/>
        <v>5</v>
      </c>
      <c r="FN718" s="14" t="str">
        <f t="shared" si="692"/>
        <v/>
      </c>
      <c r="FO718" s="14">
        <f t="shared" si="671"/>
        <v>177</v>
      </c>
      <c r="FP718" s="14">
        <f t="shared" si="703"/>
        <v>0</v>
      </c>
      <c r="FQ718" s="14">
        <f t="shared" si="704"/>
        <v>0</v>
      </c>
      <c r="FR718" s="14">
        <f t="shared" si="705"/>
        <v>3610</v>
      </c>
      <c r="FS718" s="14">
        <f t="shared" si="706"/>
        <v>0</v>
      </c>
      <c r="FT718" s="14">
        <f t="shared" si="707"/>
        <v>0</v>
      </c>
      <c r="FU718" s="14">
        <f t="shared" si="708"/>
        <v>177</v>
      </c>
      <c r="FV718" s="14">
        <f t="shared" si="693"/>
        <v>2081</v>
      </c>
      <c r="FW718" s="14">
        <f t="shared" si="694"/>
        <v>0</v>
      </c>
      <c r="FX718" s="14" t="str">
        <f t="shared" si="695"/>
        <v/>
      </c>
      <c r="FY718" s="25" t="str">
        <f t="shared" si="709"/>
        <v>icon_2108105</v>
      </c>
      <c r="GC718" s="14">
        <f t="shared" si="696"/>
        <v>3</v>
      </c>
      <c r="GD718" s="14">
        <f t="shared" si="697"/>
        <v>0</v>
      </c>
      <c r="GE718" s="14">
        <f t="shared" si="672"/>
        <v>177</v>
      </c>
      <c r="GF718" s="14" t="str">
        <f t="shared" si="673"/>
        <v>HPExt</v>
      </c>
      <c r="GG718" s="14">
        <f t="shared" si="674"/>
        <v>3610</v>
      </c>
      <c r="GH718" s="14">
        <f t="shared" si="675"/>
        <v>177</v>
      </c>
      <c r="GI718" s="14" t="str">
        <f t="shared" si="676"/>
        <v/>
      </c>
      <c r="GJ718" s="14" t="str">
        <f t="shared" si="677"/>
        <v/>
      </c>
      <c r="GK718" s="14" t="str">
        <f t="shared" si="678"/>
        <v/>
      </c>
      <c r="GL718" s="14">
        <f t="shared" si="698"/>
        <v>20810</v>
      </c>
      <c r="GM718" s="14">
        <f t="shared" si="679"/>
        <v>0</v>
      </c>
      <c r="GN718" s="14" t="str">
        <f t="shared" si="680"/>
        <v/>
      </c>
      <c r="GO718" s="25" t="s">
        <v>1471</v>
      </c>
      <c r="GP718" s="14">
        <f t="shared" si="699"/>
        <v>40</v>
      </c>
    </row>
    <row r="719" spans="151:198" ht="16.5" x14ac:dyDescent="0.2">
      <c r="EU719" s="13">
        <v>714</v>
      </c>
      <c r="EV719" s="14">
        <f t="shared" si="700"/>
        <v>2</v>
      </c>
      <c r="EW719" s="14">
        <f t="shared" si="668"/>
        <v>279</v>
      </c>
      <c r="EX719" s="14">
        <f t="shared" si="701"/>
        <v>37</v>
      </c>
      <c r="EY719" s="14">
        <f t="shared" si="669"/>
        <v>10</v>
      </c>
      <c r="EZ719" s="14">
        <f t="shared" si="681"/>
        <v>19</v>
      </c>
      <c r="FA719" s="14">
        <f t="shared" si="682"/>
        <v>120</v>
      </c>
      <c r="FB719" s="14">
        <f t="shared" si="683"/>
        <v>1</v>
      </c>
      <c r="FC719" s="14">
        <f t="shared" si="684"/>
        <v>6</v>
      </c>
      <c r="FD719" s="14">
        <f t="shared" si="685"/>
        <v>6</v>
      </c>
      <c r="FE719" s="14" t="b">
        <f t="shared" si="702"/>
        <v>0</v>
      </c>
      <c r="FF719" s="14">
        <f t="shared" si="686"/>
        <v>2108106</v>
      </c>
      <c r="FG719" s="13" t="str">
        <f t="shared" si="687"/>
        <v>120级-普通守护灵の护手</v>
      </c>
      <c r="FH719" s="14">
        <f t="shared" si="688"/>
        <v>2</v>
      </c>
      <c r="FI719" s="14">
        <f t="shared" si="689"/>
        <v>1</v>
      </c>
      <c r="FJ719" s="14">
        <f t="shared" si="690"/>
        <v>120</v>
      </c>
      <c r="FK719" s="14">
        <v>280</v>
      </c>
      <c r="FL719" s="14">
        <f t="shared" si="691"/>
        <v>8</v>
      </c>
      <c r="FM719" s="14">
        <f t="shared" si="670"/>
        <v>6</v>
      </c>
      <c r="FN719" s="14" t="str">
        <f t="shared" si="692"/>
        <v/>
      </c>
      <c r="FO719" s="14">
        <f t="shared" si="671"/>
        <v>177</v>
      </c>
      <c r="FP719" s="14">
        <f t="shared" si="703"/>
        <v>0</v>
      </c>
      <c r="FQ719" s="14">
        <f t="shared" si="704"/>
        <v>0</v>
      </c>
      <c r="FR719" s="14">
        <f t="shared" si="705"/>
        <v>3610</v>
      </c>
      <c r="FS719" s="14">
        <f t="shared" si="706"/>
        <v>0</v>
      </c>
      <c r="FT719" s="14">
        <f t="shared" si="707"/>
        <v>0</v>
      </c>
      <c r="FU719" s="14">
        <f t="shared" si="708"/>
        <v>177</v>
      </c>
      <c r="FV719" s="14">
        <f t="shared" si="693"/>
        <v>2081</v>
      </c>
      <c r="FW719" s="14">
        <f t="shared" si="694"/>
        <v>0</v>
      </c>
      <c r="FX719" s="14" t="str">
        <f t="shared" si="695"/>
        <v/>
      </c>
      <c r="FY719" s="25" t="str">
        <f t="shared" si="709"/>
        <v>icon_2108106</v>
      </c>
      <c r="GC719" s="14">
        <f t="shared" si="696"/>
        <v>3</v>
      </c>
      <c r="GD719" s="14">
        <f t="shared" si="697"/>
        <v>0</v>
      </c>
      <c r="GE719" s="14">
        <f t="shared" si="672"/>
        <v>177</v>
      </c>
      <c r="GF719" s="14" t="str">
        <f t="shared" si="673"/>
        <v>HPExt</v>
      </c>
      <c r="GG719" s="14">
        <f t="shared" si="674"/>
        <v>3610</v>
      </c>
      <c r="GH719" s="14">
        <f t="shared" si="675"/>
        <v>177</v>
      </c>
      <c r="GI719" s="14" t="str">
        <f t="shared" si="676"/>
        <v/>
      </c>
      <c r="GJ719" s="14" t="str">
        <f t="shared" si="677"/>
        <v/>
      </c>
      <c r="GK719" s="14" t="str">
        <f t="shared" si="678"/>
        <v/>
      </c>
      <c r="GL719" s="14">
        <f t="shared" si="698"/>
        <v>20810</v>
      </c>
      <c r="GM719" s="14">
        <f t="shared" si="679"/>
        <v>0</v>
      </c>
      <c r="GN719" s="14" t="str">
        <f t="shared" si="680"/>
        <v/>
      </c>
      <c r="GO719" s="25" t="s">
        <v>1471</v>
      </c>
      <c r="GP719" s="14">
        <f t="shared" si="699"/>
        <v>40</v>
      </c>
    </row>
    <row r="720" spans="151:198" ht="16.5" x14ac:dyDescent="0.2">
      <c r="EU720" s="13">
        <v>715</v>
      </c>
      <c r="EV720" s="14">
        <f t="shared" si="700"/>
        <v>2</v>
      </c>
      <c r="EW720" s="14">
        <f t="shared" si="668"/>
        <v>280</v>
      </c>
      <c r="EX720" s="14">
        <f t="shared" si="701"/>
        <v>37</v>
      </c>
      <c r="EY720" s="14">
        <f t="shared" si="669"/>
        <v>10</v>
      </c>
      <c r="EZ720" s="14">
        <f t="shared" si="681"/>
        <v>19</v>
      </c>
      <c r="FA720" s="14">
        <f t="shared" si="682"/>
        <v>120</v>
      </c>
      <c r="FB720" s="14">
        <f t="shared" si="683"/>
        <v>1</v>
      </c>
      <c r="FC720" s="14">
        <f t="shared" si="684"/>
        <v>7</v>
      </c>
      <c r="FD720" s="14">
        <f t="shared" si="685"/>
        <v>7</v>
      </c>
      <c r="FE720" s="14" t="b">
        <f t="shared" si="702"/>
        <v>0</v>
      </c>
      <c r="FF720" s="14">
        <f t="shared" si="686"/>
        <v>2108107</v>
      </c>
      <c r="FG720" s="13" t="str">
        <f t="shared" si="687"/>
        <v>120级-普通守护灵の项链</v>
      </c>
      <c r="FH720" s="14">
        <f t="shared" si="688"/>
        <v>2</v>
      </c>
      <c r="FI720" s="14">
        <f t="shared" si="689"/>
        <v>1</v>
      </c>
      <c r="FJ720" s="14">
        <f t="shared" si="690"/>
        <v>120</v>
      </c>
      <c r="FK720" s="14">
        <v>281</v>
      </c>
      <c r="FL720" s="14">
        <f t="shared" si="691"/>
        <v>8</v>
      </c>
      <c r="FM720" s="14">
        <f t="shared" si="670"/>
        <v>7</v>
      </c>
      <c r="FN720" s="14" t="str">
        <f t="shared" si="692"/>
        <v/>
      </c>
      <c r="FO720" s="14">
        <f t="shared" si="671"/>
        <v>145</v>
      </c>
      <c r="FP720" s="14">
        <f t="shared" si="703"/>
        <v>260</v>
      </c>
      <c r="FQ720" s="14">
        <f t="shared" si="704"/>
        <v>160</v>
      </c>
      <c r="FR720" s="14">
        <f t="shared" si="705"/>
        <v>0</v>
      </c>
      <c r="FS720" s="14">
        <f t="shared" si="706"/>
        <v>13</v>
      </c>
      <c r="FT720" s="14">
        <f t="shared" si="707"/>
        <v>8</v>
      </c>
      <c r="FU720" s="14">
        <f t="shared" si="708"/>
        <v>0</v>
      </c>
      <c r="FV720" s="14">
        <f t="shared" si="693"/>
        <v>2081</v>
      </c>
      <c r="FW720" s="14">
        <f t="shared" si="694"/>
        <v>0</v>
      </c>
      <c r="FX720" s="14" t="str">
        <f t="shared" si="695"/>
        <v/>
      </c>
      <c r="FY720" s="25" t="str">
        <f t="shared" si="709"/>
        <v>icon_2108107</v>
      </c>
      <c r="GC720" s="14">
        <f t="shared" si="696"/>
        <v>1</v>
      </c>
      <c r="GD720" s="14">
        <f t="shared" si="697"/>
        <v>2</v>
      </c>
      <c r="GE720" s="14">
        <f t="shared" si="672"/>
        <v>145</v>
      </c>
      <c r="GF720" s="14" t="str">
        <f t="shared" si="673"/>
        <v>AtkExt</v>
      </c>
      <c r="GG720" s="14">
        <f t="shared" si="674"/>
        <v>260</v>
      </c>
      <c r="GH720" s="14">
        <f t="shared" si="675"/>
        <v>13</v>
      </c>
      <c r="GI720" s="14" t="str">
        <f t="shared" si="676"/>
        <v>DefExt</v>
      </c>
      <c r="GJ720" s="14">
        <f t="shared" si="677"/>
        <v>160</v>
      </c>
      <c r="GK720" s="14">
        <f t="shared" si="678"/>
        <v>8</v>
      </c>
      <c r="GL720" s="14">
        <f t="shared" si="698"/>
        <v>20810</v>
      </c>
      <c r="GM720" s="14">
        <f t="shared" si="679"/>
        <v>0</v>
      </c>
      <c r="GN720" s="14" t="str">
        <f t="shared" si="680"/>
        <v/>
      </c>
      <c r="GO720" s="25" t="s">
        <v>1471</v>
      </c>
      <c r="GP720" s="14">
        <f t="shared" si="699"/>
        <v>60</v>
      </c>
    </row>
    <row r="721" spans="151:198" ht="16.5" x14ac:dyDescent="0.2">
      <c r="EU721" s="13">
        <v>716</v>
      </c>
      <c r="EV721" s="14">
        <f t="shared" si="700"/>
        <v>2</v>
      </c>
      <c r="EW721" s="14">
        <f t="shared" si="668"/>
        <v>281</v>
      </c>
      <c r="EX721" s="14">
        <f t="shared" si="701"/>
        <v>37</v>
      </c>
      <c r="EY721" s="14">
        <f t="shared" si="669"/>
        <v>10</v>
      </c>
      <c r="EZ721" s="14">
        <f t="shared" si="681"/>
        <v>19</v>
      </c>
      <c r="FA721" s="14">
        <f t="shared" si="682"/>
        <v>120</v>
      </c>
      <c r="FB721" s="14">
        <f t="shared" si="683"/>
        <v>1</v>
      </c>
      <c r="FC721" s="14">
        <f t="shared" si="684"/>
        <v>8</v>
      </c>
      <c r="FD721" s="14">
        <f t="shared" si="685"/>
        <v>8</v>
      </c>
      <c r="FE721" s="14" t="b">
        <f t="shared" si="702"/>
        <v>0</v>
      </c>
      <c r="FF721" s="14">
        <f t="shared" si="686"/>
        <v>2108108</v>
      </c>
      <c r="FG721" s="13" t="str">
        <f t="shared" si="687"/>
        <v>120级-普通守护灵の戒指</v>
      </c>
      <c r="FH721" s="14">
        <f t="shared" si="688"/>
        <v>2</v>
      </c>
      <c r="FI721" s="14">
        <f t="shared" si="689"/>
        <v>1</v>
      </c>
      <c r="FJ721" s="14">
        <f t="shared" si="690"/>
        <v>120</v>
      </c>
      <c r="FK721" s="14">
        <v>282</v>
      </c>
      <c r="FL721" s="14">
        <f t="shared" si="691"/>
        <v>8</v>
      </c>
      <c r="FM721" s="14">
        <f t="shared" si="670"/>
        <v>8</v>
      </c>
      <c r="FN721" s="14" t="str">
        <f t="shared" si="692"/>
        <v/>
      </c>
      <c r="FO721" s="14">
        <f t="shared" si="671"/>
        <v>213</v>
      </c>
      <c r="FP721" s="14">
        <f t="shared" si="703"/>
        <v>260</v>
      </c>
      <c r="FQ721" s="14">
        <f t="shared" si="704"/>
        <v>0</v>
      </c>
      <c r="FR721" s="14">
        <f t="shared" si="705"/>
        <v>3005</v>
      </c>
      <c r="FS721" s="14">
        <f t="shared" si="706"/>
        <v>13</v>
      </c>
      <c r="FT721" s="14">
        <f t="shared" si="707"/>
        <v>0</v>
      </c>
      <c r="FU721" s="14">
        <f t="shared" si="708"/>
        <v>148</v>
      </c>
      <c r="FV721" s="14">
        <f t="shared" si="693"/>
        <v>2081</v>
      </c>
      <c r="FW721" s="14">
        <f t="shared" si="694"/>
        <v>0</v>
      </c>
      <c r="FX721" s="14" t="str">
        <f t="shared" si="695"/>
        <v/>
      </c>
      <c r="FY721" s="25" t="str">
        <f t="shared" si="709"/>
        <v>icon_2108108</v>
      </c>
      <c r="GC721" s="14">
        <f t="shared" si="696"/>
        <v>1</v>
      </c>
      <c r="GD721" s="14">
        <f t="shared" si="697"/>
        <v>3</v>
      </c>
      <c r="GE721" s="14">
        <f t="shared" si="672"/>
        <v>213</v>
      </c>
      <c r="GF721" s="14" t="str">
        <f t="shared" si="673"/>
        <v>AtkExt</v>
      </c>
      <c r="GG721" s="14">
        <f t="shared" si="674"/>
        <v>260</v>
      </c>
      <c r="GH721" s="14">
        <f t="shared" si="675"/>
        <v>13</v>
      </c>
      <c r="GI721" s="14" t="str">
        <f t="shared" si="676"/>
        <v>HPExt</v>
      </c>
      <c r="GJ721" s="14">
        <f t="shared" si="677"/>
        <v>3005</v>
      </c>
      <c r="GK721" s="14">
        <f t="shared" si="678"/>
        <v>148</v>
      </c>
      <c r="GL721" s="14">
        <f t="shared" si="698"/>
        <v>20810</v>
      </c>
      <c r="GM721" s="14">
        <f t="shared" si="679"/>
        <v>0</v>
      </c>
      <c r="GN721" s="14" t="str">
        <f t="shared" si="680"/>
        <v/>
      </c>
      <c r="GO721" s="25" t="s">
        <v>1471</v>
      </c>
      <c r="GP721" s="14">
        <f t="shared" si="699"/>
        <v>60</v>
      </c>
    </row>
    <row r="722" spans="151:198" ht="16.5" x14ac:dyDescent="0.2">
      <c r="EU722" s="13">
        <v>717</v>
      </c>
      <c r="EV722" s="14">
        <f t="shared" si="700"/>
        <v>2</v>
      </c>
      <c r="EW722" s="14">
        <f t="shared" si="668"/>
        <v>282</v>
      </c>
      <c r="EX722" s="14">
        <f t="shared" si="701"/>
        <v>38</v>
      </c>
      <c r="EY722" s="14">
        <f t="shared" si="669"/>
        <v>20</v>
      </c>
      <c r="EZ722" s="14">
        <f t="shared" si="681"/>
        <v>19</v>
      </c>
      <c r="FA722" s="14">
        <f t="shared" si="682"/>
        <v>120</v>
      </c>
      <c r="FB722" s="14">
        <f t="shared" si="683"/>
        <v>2</v>
      </c>
      <c r="FC722" s="14">
        <f t="shared" si="684"/>
        <v>1</v>
      </c>
      <c r="FD722" s="14">
        <f t="shared" si="685"/>
        <v>1</v>
      </c>
      <c r="FE722" s="14" t="b">
        <f t="shared" si="702"/>
        <v>0</v>
      </c>
      <c r="FF722" s="14">
        <f t="shared" si="686"/>
        <v>2108201</v>
      </c>
      <c r="FG722" s="13" t="str">
        <f t="shared" si="687"/>
        <v>120级-优秀守护灵の灵器</v>
      </c>
      <c r="FH722" s="14">
        <f t="shared" si="688"/>
        <v>2</v>
      </c>
      <c r="FI722" s="14">
        <f t="shared" si="689"/>
        <v>2</v>
      </c>
      <c r="FJ722" s="14">
        <f t="shared" si="690"/>
        <v>120</v>
      </c>
      <c r="FK722" s="14">
        <v>283</v>
      </c>
      <c r="FL722" s="14">
        <f t="shared" si="691"/>
        <v>8</v>
      </c>
      <c r="FM722" s="14">
        <f t="shared" si="670"/>
        <v>1</v>
      </c>
      <c r="FN722" s="14" t="str">
        <f t="shared" si="692"/>
        <v/>
      </c>
      <c r="FO722" s="14">
        <f t="shared" si="671"/>
        <v>265</v>
      </c>
      <c r="FP722" s="14">
        <f t="shared" si="703"/>
        <v>1085</v>
      </c>
      <c r="FQ722" s="14">
        <f t="shared" si="704"/>
        <v>0</v>
      </c>
      <c r="FR722" s="14">
        <f t="shared" si="705"/>
        <v>0</v>
      </c>
      <c r="FS722" s="14">
        <f t="shared" si="706"/>
        <v>53</v>
      </c>
      <c r="FT722" s="14">
        <f t="shared" si="707"/>
        <v>0</v>
      </c>
      <c r="FU722" s="14">
        <f t="shared" si="708"/>
        <v>0</v>
      </c>
      <c r="FV722" s="14">
        <f t="shared" si="693"/>
        <v>2082</v>
      </c>
      <c r="FW722" s="14">
        <f t="shared" si="694"/>
        <v>0</v>
      </c>
      <c r="FX722" s="14" t="str">
        <f t="shared" si="695"/>
        <v/>
      </c>
      <c r="FY722" s="25" t="str">
        <f t="shared" si="709"/>
        <v>icon_2108101</v>
      </c>
      <c r="GC722" s="14">
        <f t="shared" si="696"/>
        <v>1</v>
      </c>
      <c r="GD722" s="14">
        <f t="shared" si="697"/>
        <v>0</v>
      </c>
      <c r="GE722" s="14">
        <f t="shared" si="672"/>
        <v>265</v>
      </c>
      <c r="GF722" s="14" t="str">
        <f t="shared" si="673"/>
        <v>AtkExt</v>
      </c>
      <c r="GG722" s="14">
        <f t="shared" si="674"/>
        <v>1085</v>
      </c>
      <c r="GH722" s="14">
        <f t="shared" si="675"/>
        <v>53</v>
      </c>
      <c r="GI722" s="14" t="str">
        <f t="shared" si="676"/>
        <v/>
      </c>
      <c r="GJ722" s="14" t="str">
        <f t="shared" si="677"/>
        <v/>
      </c>
      <c r="GK722" s="14" t="str">
        <f t="shared" si="678"/>
        <v/>
      </c>
      <c r="GL722" s="14">
        <f t="shared" si="698"/>
        <v>20820</v>
      </c>
      <c r="GM722" s="14">
        <f t="shared" si="679"/>
        <v>0</v>
      </c>
      <c r="GN722" s="14" t="str">
        <f t="shared" si="680"/>
        <v/>
      </c>
      <c r="GO722" s="25" t="s">
        <v>1471</v>
      </c>
      <c r="GP722" s="14">
        <f t="shared" si="699"/>
        <v>240</v>
      </c>
    </row>
    <row r="723" spans="151:198" ht="16.5" x14ac:dyDescent="0.2">
      <c r="EU723" s="13">
        <v>718</v>
      </c>
      <c r="EV723" s="14">
        <f t="shared" si="700"/>
        <v>2</v>
      </c>
      <c r="EW723" s="14">
        <f t="shared" si="668"/>
        <v>283</v>
      </c>
      <c r="EX723" s="14">
        <f t="shared" si="701"/>
        <v>38</v>
      </c>
      <c r="EY723" s="14">
        <f t="shared" si="669"/>
        <v>20</v>
      </c>
      <c r="EZ723" s="14">
        <f t="shared" si="681"/>
        <v>19</v>
      </c>
      <c r="FA723" s="14">
        <f t="shared" si="682"/>
        <v>120</v>
      </c>
      <c r="FB723" s="14">
        <f t="shared" si="683"/>
        <v>2</v>
      </c>
      <c r="FC723" s="14">
        <f t="shared" si="684"/>
        <v>2</v>
      </c>
      <c r="FD723" s="14">
        <f t="shared" si="685"/>
        <v>2</v>
      </c>
      <c r="FE723" s="14" t="b">
        <f t="shared" si="702"/>
        <v>0</v>
      </c>
      <c r="FF723" s="14">
        <f t="shared" si="686"/>
        <v>2108202</v>
      </c>
      <c r="FG723" s="13" t="str">
        <f t="shared" si="687"/>
        <v>120级-优秀守护灵の头盔</v>
      </c>
      <c r="FH723" s="14">
        <f t="shared" si="688"/>
        <v>2</v>
      </c>
      <c r="FI723" s="14">
        <f t="shared" si="689"/>
        <v>2</v>
      </c>
      <c r="FJ723" s="14">
        <f t="shared" si="690"/>
        <v>120</v>
      </c>
      <c r="FK723" s="14">
        <v>284</v>
      </c>
      <c r="FL723" s="14">
        <f t="shared" si="691"/>
        <v>8</v>
      </c>
      <c r="FM723" s="14">
        <f t="shared" si="670"/>
        <v>2</v>
      </c>
      <c r="FN723" s="14" t="str">
        <f t="shared" si="692"/>
        <v/>
      </c>
      <c r="FO723" s="14">
        <f t="shared" si="671"/>
        <v>130</v>
      </c>
      <c r="FP723" s="14">
        <f t="shared" si="703"/>
        <v>0</v>
      </c>
      <c r="FQ723" s="14">
        <f t="shared" si="704"/>
        <v>270</v>
      </c>
      <c r="FR723" s="14">
        <f t="shared" si="705"/>
        <v>0</v>
      </c>
      <c r="FS723" s="14">
        <f t="shared" si="706"/>
        <v>0</v>
      </c>
      <c r="FT723" s="14">
        <f t="shared" si="707"/>
        <v>13</v>
      </c>
      <c r="FU723" s="14">
        <f t="shared" si="708"/>
        <v>0</v>
      </c>
      <c r="FV723" s="14">
        <f t="shared" si="693"/>
        <v>2082</v>
      </c>
      <c r="FW723" s="14">
        <f t="shared" si="694"/>
        <v>0</v>
      </c>
      <c r="FX723" s="14" t="str">
        <f t="shared" si="695"/>
        <v/>
      </c>
      <c r="FY723" s="25" t="str">
        <f t="shared" si="709"/>
        <v>icon_2108102</v>
      </c>
      <c r="GC723" s="14">
        <f t="shared" si="696"/>
        <v>2</v>
      </c>
      <c r="GD723" s="14">
        <f t="shared" si="697"/>
        <v>0</v>
      </c>
      <c r="GE723" s="14">
        <f t="shared" si="672"/>
        <v>130</v>
      </c>
      <c r="GF723" s="14" t="str">
        <f t="shared" si="673"/>
        <v>DefExt</v>
      </c>
      <c r="GG723" s="14">
        <f t="shared" si="674"/>
        <v>270</v>
      </c>
      <c r="GH723" s="14">
        <f t="shared" si="675"/>
        <v>13</v>
      </c>
      <c r="GI723" s="14" t="str">
        <f t="shared" si="676"/>
        <v/>
      </c>
      <c r="GJ723" s="14" t="str">
        <f t="shared" si="677"/>
        <v/>
      </c>
      <c r="GK723" s="14" t="str">
        <f t="shared" si="678"/>
        <v/>
      </c>
      <c r="GL723" s="14">
        <f t="shared" si="698"/>
        <v>20820</v>
      </c>
      <c r="GM723" s="14">
        <f t="shared" si="679"/>
        <v>0</v>
      </c>
      <c r="GN723" s="14" t="str">
        <f t="shared" si="680"/>
        <v/>
      </c>
      <c r="GO723" s="25" t="s">
        <v>1471</v>
      </c>
      <c r="GP723" s="14">
        <f t="shared" si="699"/>
        <v>120</v>
      </c>
    </row>
    <row r="724" spans="151:198" ht="16.5" x14ac:dyDescent="0.2">
      <c r="EU724" s="13">
        <v>719</v>
      </c>
      <c r="EV724" s="14">
        <f t="shared" si="700"/>
        <v>2</v>
      </c>
      <c r="EW724" s="14">
        <f t="shared" si="668"/>
        <v>284</v>
      </c>
      <c r="EX724" s="14">
        <f t="shared" si="701"/>
        <v>38</v>
      </c>
      <c r="EY724" s="14">
        <f t="shared" si="669"/>
        <v>20</v>
      </c>
      <c r="EZ724" s="14">
        <f t="shared" si="681"/>
        <v>19</v>
      </c>
      <c r="FA724" s="14">
        <f t="shared" si="682"/>
        <v>120</v>
      </c>
      <c r="FB724" s="14">
        <f t="shared" si="683"/>
        <v>2</v>
      </c>
      <c r="FC724" s="14">
        <f t="shared" si="684"/>
        <v>3</v>
      </c>
      <c r="FD724" s="14">
        <f t="shared" si="685"/>
        <v>3</v>
      </c>
      <c r="FE724" s="14" t="b">
        <f t="shared" si="702"/>
        <v>0</v>
      </c>
      <c r="FF724" s="14">
        <f t="shared" si="686"/>
        <v>2108203</v>
      </c>
      <c r="FG724" s="13" t="str">
        <f t="shared" si="687"/>
        <v>120级-优秀守护灵の铠甲</v>
      </c>
      <c r="FH724" s="14">
        <f t="shared" si="688"/>
        <v>2</v>
      </c>
      <c r="FI724" s="14">
        <f t="shared" si="689"/>
        <v>2</v>
      </c>
      <c r="FJ724" s="14">
        <f t="shared" si="690"/>
        <v>120</v>
      </c>
      <c r="FK724" s="14">
        <v>285</v>
      </c>
      <c r="FL724" s="14">
        <f t="shared" si="691"/>
        <v>8</v>
      </c>
      <c r="FM724" s="14">
        <f t="shared" si="670"/>
        <v>3</v>
      </c>
      <c r="FN724" s="14" t="str">
        <f t="shared" si="692"/>
        <v/>
      </c>
      <c r="FO724" s="14">
        <f t="shared" si="671"/>
        <v>194</v>
      </c>
      <c r="FP724" s="14">
        <f t="shared" si="703"/>
        <v>0</v>
      </c>
      <c r="FQ724" s="14">
        <f t="shared" si="704"/>
        <v>135</v>
      </c>
      <c r="FR724" s="14">
        <f t="shared" si="705"/>
        <v>2525</v>
      </c>
      <c r="FS724" s="14">
        <f t="shared" si="706"/>
        <v>0</v>
      </c>
      <c r="FT724" s="14">
        <f t="shared" si="707"/>
        <v>7</v>
      </c>
      <c r="FU724" s="14">
        <f t="shared" si="708"/>
        <v>124</v>
      </c>
      <c r="FV724" s="14">
        <f t="shared" si="693"/>
        <v>2082</v>
      </c>
      <c r="FW724" s="14">
        <f t="shared" si="694"/>
        <v>0</v>
      </c>
      <c r="FX724" s="14" t="str">
        <f t="shared" si="695"/>
        <v/>
      </c>
      <c r="FY724" s="25" t="str">
        <f t="shared" si="709"/>
        <v>icon_2108103</v>
      </c>
      <c r="GC724" s="14">
        <f t="shared" si="696"/>
        <v>2</v>
      </c>
      <c r="GD724" s="14">
        <f t="shared" si="697"/>
        <v>3</v>
      </c>
      <c r="GE724" s="14">
        <f t="shared" si="672"/>
        <v>194</v>
      </c>
      <c r="GF724" s="14" t="str">
        <f t="shared" si="673"/>
        <v>DefExt</v>
      </c>
      <c r="GG724" s="14">
        <f t="shared" si="674"/>
        <v>135</v>
      </c>
      <c r="GH724" s="14">
        <f t="shared" si="675"/>
        <v>7</v>
      </c>
      <c r="GI724" s="14" t="str">
        <f t="shared" si="676"/>
        <v>HPExt</v>
      </c>
      <c r="GJ724" s="14">
        <f t="shared" si="677"/>
        <v>2525</v>
      </c>
      <c r="GK724" s="14">
        <f t="shared" si="678"/>
        <v>124</v>
      </c>
      <c r="GL724" s="14">
        <f t="shared" si="698"/>
        <v>20820</v>
      </c>
      <c r="GM724" s="14">
        <f t="shared" si="679"/>
        <v>0</v>
      </c>
      <c r="GN724" s="14" t="str">
        <f t="shared" si="680"/>
        <v/>
      </c>
      <c r="GO724" s="25" t="s">
        <v>1471</v>
      </c>
      <c r="GP724" s="14">
        <f t="shared" si="699"/>
        <v>120</v>
      </c>
    </row>
    <row r="725" spans="151:198" ht="16.5" x14ac:dyDescent="0.2">
      <c r="EU725" s="13">
        <v>720</v>
      </c>
      <c r="EV725" s="14">
        <f t="shared" si="700"/>
        <v>2</v>
      </c>
      <c r="EW725" s="14">
        <f t="shared" si="668"/>
        <v>285</v>
      </c>
      <c r="EX725" s="14">
        <f t="shared" si="701"/>
        <v>38</v>
      </c>
      <c r="EY725" s="14">
        <f t="shared" si="669"/>
        <v>20</v>
      </c>
      <c r="EZ725" s="14">
        <f t="shared" si="681"/>
        <v>19</v>
      </c>
      <c r="FA725" s="14">
        <f t="shared" si="682"/>
        <v>120</v>
      </c>
      <c r="FB725" s="14">
        <f t="shared" si="683"/>
        <v>2</v>
      </c>
      <c r="FC725" s="14">
        <f t="shared" si="684"/>
        <v>4</v>
      </c>
      <c r="FD725" s="14">
        <f t="shared" si="685"/>
        <v>4</v>
      </c>
      <c r="FE725" s="14" t="b">
        <f t="shared" si="702"/>
        <v>0</v>
      </c>
      <c r="FF725" s="14">
        <f t="shared" si="686"/>
        <v>2108204</v>
      </c>
      <c r="FG725" s="13" t="str">
        <f t="shared" si="687"/>
        <v>120级-优秀守护灵の裤子</v>
      </c>
      <c r="FH725" s="14">
        <f t="shared" si="688"/>
        <v>2</v>
      </c>
      <c r="FI725" s="14">
        <f t="shared" si="689"/>
        <v>2</v>
      </c>
      <c r="FJ725" s="14">
        <f t="shared" si="690"/>
        <v>120</v>
      </c>
      <c r="FK725" s="14">
        <v>286</v>
      </c>
      <c r="FL725" s="14">
        <f t="shared" si="691"/>
        <v>8</v>
      </c>
      <c r="FM725" s="14">
        <f t="shared" si="670"/>
        <v>4</v>
      </c>
      <c r="FN725" s="14" t="str">
        <f t="shared" si="692"/>
        <v/>
      </c>
      <c r="FO725" s="14">
        <f t="shared" si="671"/>
        <v>130</v>
      </c>
      <c r="FP725" s="14">
        <f t="shared" si="703"/>
        <v>0</v>
      </c>
      <c r="FQ725" s="14">
        <f t="shared" si="704"/>
        <v>270</v>
      </c>
      <c r="FR725" s="14">
        <f t="shared" si="705"/>
        <v>0</v>
      </c>
      <c r="FS725" s="14">
        <f t="shared" si="706"/>
        <v>0</v>
      </c>
      <c r="FT725" s="14">
        <f t="shared" si="707"/>
        <v>13</v>
      </c>
      <c r="FU725" s="14">
        <f t="shared" si="708"/>
        <v>0</v>
      </c>
      <c r="FV725" s="14">
        <f t="shared" si="693"/>
        <v>2082</v>
      </c>
      <c r="FW725" s="14">
        <f t="shared" si="694"/>
        <v>0</v>
      </c>
      <c r="FX725" s="14" t="str">
        <f t="shared" si="695"/>
        <v/>
      </c>
      <c r="FY725" s="25" t="str">
        <f t="shared" si="709"/>
        <v>icon_2108104</v>
      </c>
      <c r="GC725" s="14">
        <f t="shared" si="696"/>
        <v>2</v>
      </c>
      <c r="GD725" s="14">
        <f t="shared" si="697"/>
        <v>0</v>
      </c>
      <c r="GE725" s="14">
        <f t="shared" si="672"/>
        <v>130</v>
      </c>
      <c r="GF725" s="14" t="str">
        <f t="shared" si="673"/>
        <v>DefExt</v>
      </c>
      <c r="GG725" s="14">
        <f t="shared" si="674"/>
        <v>270</v>
      </c>
      <c r="GH725" s="14">
        <f t="shared" si="675"/>
        <v>13</v>
      </c>
      <c r="GI725" s="14" t="str">
        <f t="shared" si="676"/>
        <v/>
      </c>
      <c r="GJ725" s="14" t="str">
        <f t="shared" si="677"/>
        <v/>
      </c>
      <c r="GK725" s="14" t="str">
        <f t="shared" si="678"/>
        <v/>
      </c>
      <c r="GL725" s="14">
        <f t="shared" si="698"/>
        <v>20820</v>
      </c>
      <c r="GM725" s="14">
        <f t="shared" si="679"/>
        <v>0</v>
      </c>
      <c r="GN725" s="14" t="str">
        <f t="shared" si="680"/>
        <v/>
      </c>
      <c r="GO725" s="25" t="s">
        <v>1471</v>
      </c>
      <c r="GP725" s="14">
        <f t="shared" si="699"/>
        <v>120</v>
      </c>
    </row>
    <row r="726" spans="151:198" ht="16.5" x14ac:dyDescent="0.2">
      <c r="EU726" s="13">
        <v>721</v>
      </c>
      <c r="EV726" s="14">
        <f t="shared" si="700"/>
        <v>2</v>
      </c>
      <c r="EW726" s="14">
        <f t="shared" si="668"/>
        <v>286</v>
      </c>
      <c r="EX726" s="14">
        <f t="shared" si="701"/>
        <v>38</v>
      </c>
      <c r="EY726" s="14">
        <f t="shared" si="669"/>
        <v>20</v>
      </c>
      <c r="EZ726" s="14">
        <f t="shared" si="681"/>
        <v>19</v>
      </c>
      <c r="FA726" s="14">
        <f t="shared" si="682"/>
        <v>120</v>
      </c>
      <c r="FB726" s="14">
        <f t="shared" si="683"/>
        <v>2</v>
      </c>
      <c r="FC726" s="14">
        <f t="shared" si="684"/>
        <v>5</v>
      </c>
      <c r="FD726" s="14">
        <f t="shared" si="685"/>
        <v>5</v>
      </c>
      <c r="FE726" s="14" t="b">
        <f t="shared" si="702"/>
        <v>0</v>
      </c>
      <c r="FF726" s="14">
        <f t="shared" si="686"/>
        <v>2108205</v>
      </c>
      <c r="FG726" s="13" t="str">
        <f t="shared" si="687"/>
        <v>120级-优秀守护灵の鞋子</v>
      </c>
      <c r="FH726" s="14">
        <f t="shared" si="688"/>
        <v>2</v>
      </c>
      <c r="FI726" s="14">
        <f t="shared" si="689"/>
        <v>2</v>
      </c>
      <c r="FJ726" s="14">
        <f t="shared" si="690"/>
        <v>120</v>
      </c>
      <c r="FK726" s="14">
        <v>287</v>
      </c>
      <c r="FL726" s="14">
        <f t="shared" si="691"/>
        <v>8</v>
      </c>
      <c r="FM726" s="14">
        <f t="shared" si="670"/>
        <v>5</v>
      </c>
      <c r="FN726" s="14" t="str">
        <f t="shared" si="692"/>
        <v/>
      </c>
      <c r="FO726" s="14">
        <f t="shared" si="671"/>
        <v>248</v>
      </c>
      <c r="FP726" s="14">
        <f t="shared" si="703"/>
        <v>0</v>
      </c>
      <c r="FQ726" s="14">
        <f t="shared" si="704"/>
        <v>0</v>
      </c>
      <c r="FR726" s="14">
        <f t="shared" si="705"/>
        <v>5050</v>
      </c>
      <c r="FS726" s="14">
        <f t="shared" si="706"/>
        <v>0</v>
      </c>
      <c r="FT726" s="14">
        <f t="shared" si="707"/>
        <v>0</v>
      </c>
      <c r="FU726" s="14">
        <f t="shared" si="708"/>
        <v>248</v>
      </c>
      <c r="FV726" s="14">
        <f t="shared" si="693"/>
        <v>2082</v>
      </c>
      <c r="FW726" s="14">
        <f t="shared" si="694"/>
        <v>0</v>
      </c>
      <c r="FX726" s="14" t="str">
        <f t="shared" si="695"/>
        <v/>
      </c>
      <c r="FY726" s="25" t="str">
        <f t="shared" si="709"/>
        <v>icon_2108105</v>
      </c>
      <c r="GC726" s="14">
        <f t="shared" si="696"/>
        <v>3</v>
      </c>
      <c r="GD726" s="14">
        <f t="shared" si="697"/>
        <v>0</v>
      </c>
      <c r="GE726" s="14">
        <f t="shared" si="672"/>
        <v>248</v>
      </c>
      <c r="GF726" s="14" t="str">
        <f t="shared" si="673"/>
        <v>HPExt</v>
      </c>
      <c r="GG726" s="14">
        <f t="shared" si="674"/>
        <v>5050</v>
      </c>
      <c r="GH726" s="14">
        <f t="shared" si="675"/>
        <v>248</v>
      </c>
      <c r="GI726" s="14" t="str">
        <f t="shared" si="676"/>
        <v/>
      </c>
      <c r="GJ726" s="14" t="str">
        <f t="shared" si="677"/>
        <v/>
      </c>
      <c r="GK726" s="14" t="str">
        <f t="shared" si="678"/>
        <v/>
      </c>
      <c r="GL726" s="14">
        <f t="shared" si="698"/>
        <v>20820</v>
      </c>
      <c r="GM726" s="14">
        <f t="shared" si="679"/>
        <v>0</v>
      </c>
      <c r="GN726" s="14" t="str">
        <f t="shared" si="680"/>
        <v/>
      </c>
      <c r="GO726" s="25" t="s">
        <v>1471</v>
      </c>
      <c r="GP726" s="14">
        <f t="shared" si="699"/>
        <v>120</v>
      </c>
    </row>
    <row r="727" spans="151:198" ht="16.5" x14ac:dyDescent="0.2">
      <c r="EU727" s="13">
        <v>722</v>
      </c>
      <c r="EV727" s="14">
        <f t="shared" si="700"/>
        <v>2</v>
      </c>
      <c r="EW727" s="14">
        <f t="shared" si="668"/>
        <v>287</v>
      </c>
      <c r="EX727" s="14">
        <f t="shared" si="701"/>
        <v>38</v>
      </c>
      <c r="EY727" s="14">
        <f t="shared" si="669"/>
        <v>20</v>
      </c>
      <c r="EZ727" s="14">
        <f t="shared" si="681"/>
        <v>19</v>
      </c>
      <c r="FA727" s="14">
        <f t="shared" si="682"/>
        <v>120</v>
      </c>
      <c r="FB727" s="14">
        <f t="shared" si="683"/>
        <v>2</v>
      </c>
      <c r="FC727" s="14">
        <f t="shared" si="684"/>
        <v>6</v>
      </c>
      <c r="FD727" s="14">
        <f t="shared" si="685"/>
        <v>6</v>
      </c>
      <c r="FE727" s="14" t="b">
        <f t="shared" si="702"/>
        <v>0</v>
      </c>
      <c r="FF727" s="14">
        <f t="shared" si="686"/>
        <v>2108206</v>
      </c>
      <c r="FG727" s="13" t="str">
        <f t="shared" si="687"/>
        <v>120级-优秀守护灵の护手</v>
      </c>
      <c r="FH727" s="14">
        <f t="shared" si="688"/>
        <v>2</v>
      </c>
      <c r="FI727" s="14">
        <f t="shared" si="689"/>
        <v>2</v>
      </c>
      <c r="FJ727" s="14">
        <f t="shared" si="690"/>
        <v>120</v>
      </c>
      <c r="FK727" s="14">
        <v>288</v>
      </c>
      <c r="FL727" s="14">
        <f t="shared" si="691"/>
        <v>8</v>
      </c>
      <c r="FM727" s="14">
        <f t="shared" si="670"/>
        <v>6</v>
      </c>
      <c r="FN727" s="14" t="str">
        <f t="shared" si="692"/>
        <v/>
      </c>
      <c r="FO727" s="14">
        <f t="shared" si="671"/>
        <v>248</v>
      </c>
      <c r="FP727" s="14">
        <f t="shared" si="703"/>
        <v>0</v>
      </c>
      <c r="FQ727" s="14">
        <f t="shared" si="704"/>
        <v>0</v>
      </c>
      <c r="FR727" s="14">
        <f t="shared" si="705"/>
        <v>5050</v>
      </c>
      <c r="FS727" s="14">
        <f t="shared" si="706"/>
        <v>0</v>
      </c>
      <c r="FT727" s="14">
        <f t="shared" si="707"/>
        <v>0</v>
      </c>
      <c r="FU727" s="14">
        <f t="shared" si="708"/>
        <v>248</v>
      </c>
      <c r="FV727" s="14">
        <f t="shared" si="693"/>
        <v>2082</v>
      </c>
      <c r="FW727" s="14">
        <f t="shared" si="694"/>
        <v>0</v>
      </c>
      <c r="FX727" s="14" t="str">
        <f t="shared" si="695"/>
        <v/>
      </c>
      <c r="FY727" s="25" t="str">
        <f t="shared" si="709"/>
        <v>icon_2108106</v>
      </c>
      <c r="GC727" s="14">
        <f t="shared" si="696"/>
        <v>3</v>
      </c>
      <c r="GD727" s="14">
        <f t="shared" si="697"/>
        <v>0</v>
      </c>
      <c r="GE727" s="14">
        <f t="shared" si="672"/>
        <v>248</v>
      </c>
      <c r="GF727" s="14" t="str">
        <f t="shared" si="673"/>
        <v>HPExt</v>
      </c>
      <c r="GG727" s="14">
        <f t="shared" si="674"/>
        <v>5050</v>
      </c>
      <c r="GH727" s="14">
        <f t="shared" si="675"/>
        <v>248</v>
      </c>
      <c r="GI727" s="14" t="str">
        <f t="shared" si="676"/>
        <v/>
      </c>
      <c r="GJ727" s="14" t="str">
        <f t="shared" si="677"/>
        <v/>
      </c>
      <c r="GK727" s="14" t="str">
        <f t="shared" si="678"/>
        <v/>
      </c>
      <c r="GL727" s="14">
        <f t="shared" si="698"/>
        <v>20820</v>
      </c>
      <c r="GM727" s="14">
        <f t="shared" si="679"/>
        <v>0</v>
      </c>
      <c r="GN727" s="14" t="str">
        <f t="shared" si="680"/>
        <v/>
      </c>
      <c r="GO727" s="25" t="s">
        <v>1471</v>
      </c>
      <c r="GP727" s="14">
        <f t="shared" si="699"/>
        <v>120</v>
      </c>
    </row>
    <row r="728" spans="151:198" ht="16.5" x14ac:dyDescent="0.2">
      <c r="EU728" s="13">
        <v>723</v>
      </c>
      <c r="EV728" s="14">
        <f t="shared" si="700"/>
        <v>2</v>
      </c>
      <c r="EW728" s="14">
        <f t="shared" si="668"/>
        <v>288</v>
      </c>
      <c r="EX728" s="14">
        <f t="shared" si="701"/>
        <v>38</v>
      </c>
      <c r="EY728" s="14">
        <f t="shared" si="669"/>
        <v>20</v>
      </c>
      <c r="EZ728" s="14">
        <f t="shared" si="681"/>
        <v>19</v>
      </c>
      <c r="FA728" s="14">
        <f t="shared" si="682"/>
        <v>120</v>
      </c>
      <c r="FB728" s="14">
        <f t="shared" si="683"/>
        <v>2</v>
      </c>
      <c r="FC728" s="14">
        <f t="shared" si="684"/>
        <v>7</v>
      </c>
      <c r="FD728" s="14">
        <f t="shared" si="685"/>
        <v>7</v>
      </c>
      <c r="FE728" s="14" t="b">
        <f t="shared" si="702"/>
        <v>0</v>
      </c>
      <c r="FF728" s="14">
        <f t="shared" si="686"/>
        <v>2108207</v>
      </c>
      <c r="FG728" s="13" t="str">
        <f t="shared" si="687"/>
        <v>120级-优秀守护灵の项链</v>
      </c>
      <c r="FH728" s="14">
        <f t="shared" si="688"/>
        <v>2</v>
      </c>
      <c r="FI728" s="14">
        <f t="shared" si="689"/>
        <v>2</v>
      </c>
      <c r="FJ728" s="14">
        <f t="shared" si="690"/>
        <v>120</v>
      </c>
      <c r="FK728" s="14">
        <v>289</v>
      </c>
      <c r="FL728" s="14">
        <f t="shared" si="691"/>
        <v>8</v>
      </c>
      <c r="FM728" s="14">
        <f t="shared" si="670"/>
        <v>7</v>
      </c>
      <c r="FN728" s="14" t="str">
        <f t="shared" si="692"/>
        <v/>
      </c>
      <c r="FO728" s="14">
        <f t="shared" si="671"/>
        <v>200</v>
      </c>
      <c r="FP728" s="14">
        <f t="shared" si="703"/>
        <v>360</v>
      </c>
      <c r="FQ728" s="14">
        <f t="shared" si="704"/>
        <v>225</v>
      </c>
      <c r="FR728" s="14">
        <f t="shared" si="705"/>
        <v>0</v>
      </c>
      <c r="FS728" s="14">
        <f t="shared" si="706"/>
        <v>18</v>
      </c>
      <c r="FT728" s="14">
        <f t="shared" si="707"/>
        <v>11</v>
      </c>
      <c r="FU728" s="14">
        <f t="shared" si="708"/>
        <v>0</v>
      </c>
      <c r="FV728" s="14">
        <f t="shared" si="693"/>
        <v>2082</v>
      </c>
      <c r="FW728" s="14">
        <f t="shared" si="694"/>
        <v>0</v>
      </c>
      <c r="FX728" s="14" t="str">
        <f t="shared" si="695"/>
        <v/>
      </c>
      <c r="FY728" s="25" t="str">
        <f t="shared" si="709"/>
        <v>icon_2108107</v>
      </c>
      <c r="GC728" s="14">
        <f t="shared" si="696"/>
        <v>1</v>
      </c>
      <c r="GD728" s="14">
        <f t="shared" si="697"/>
        <v>2</v>
      </c>
      <c r="GE728" s="14">
        <f t="shared" si="672"/>
        <v>200</v>
      </c>
      <c r="GF728" s="14" t="str">
        <f t="shared" si="673"/>
        <v>AtkExt</v>
      </c>
      <c r="GG728" s="14">
        <f t="shared" si="674"/>
        <v>360</v>
      </c>
      <c r="GH728" s="14">
        <f t="shared" si="675"/>
        <v>18</v>
      </c>
      <c r="GI728" s="14" t="str">
        <f t="shared" si="676"/>
        <v>DefExt</v>
      </c>
      <c r="GJ728" s="14">
        <f t="shared" si="677"/>
        <v>225</v>
      </c>
      <c r="GK728" s="14">
        <f t="shared" si="678"/>
        <v>11</v>
      </c>
      <c r="GL728" s="14">
        <f t="shared" si="698"/>
        <v>20820</v>
      </c>
      <c r="GM728" s="14">
        <f t="shared" si="679"/>
        <v>0</v>
      </c>
      <c r="GN728" s="14" t="str">
        <f t="shared" si="680"/>
        <v/>
      </c>
      <c r="GO728" s="25" t="s">
        <v>1471</v>
      </c>
      <c r="GP728" s="14">
        <f t="shared" si="699"/>
        <v>180</v>
      </c>
    </row>
    <row r="729" spans="151:198" ht="16.5" x14ac:dyDescent="0.2">
      <c r="EU729" s="13">
        <v>724</v>
      </c>
      <c r="EV729" s="14">
        <f t="shared" si="700"/>
        <v>2</v>
      </c>
      <c r="EW729" s="14">
        <f t="shared" si="668"/>
        <v>289</v>
      </c>
      <c r="EX729" s="14">
        <f t="shared" si="701"/>
        <v>38</v>
      </c>
      <c r="EY729" s="14">
        <f t="shared" si="669"/>
        <v>20</v>
      </c>
      <c r="EZ729" s="14">
        <f t="shared" si="681"/>
        <v>19</v>
      </c>
      <c r="FA729" s="14">
        <f t="shared" si="682"/>
        <v>120</v>
      </c>
      <c r="FB729" s="14">
        <f t="shared" si="683"/>
        <v>2</v>
      </c>
      <c r="FC729" s="14">
        <f t="shared" si="684"/>
        <v>8</v>
      </c>
      <c r="FD729" s="14">
        <f t="shared" si="685"/>
        <v>8</v>
      </c>
      <c r="FE729" s="14" t="b">
        <f t="shared" si="702"/>
        <v>0</v>
      </c>
      <c r="FF729" s="14">
        <f t="shared" si="686"/>
        <v>2108208</v>
      </c>
      <c r="FG729" s="13" t="str">
        <f t="shared" si="687"/>
        <v>120级-优秀守护灵の戒指</v>
      </c>
      <c r="FH729" s="14">
        <f t="shared" si="688"/>
        <v>2</v>
      </c>
      <c r="FI729" s="14">
        <f t="shared" si="689"/>
        <v>2</v>
      </c>
      <c r="FJ729" s="14">
        <f t="shared" si="690"/>
        <v>120</v>
      </c>
      <c r="FK729" s="14">
        <v>290</v>
      </c>
      <c r="FL729" s="14">
        <f t="shared" si="691"/>
        <v>8</v>
      </c>
      <c r="FM729" s="14">
        <f t="shared" si="670"/>
        <v>8</v>
      </c>
      <c r="FN729" s="14" t="str">
        <f t="shared" si="692"/>
        <v/>
      </c>
      <c r="FO729" s="14">
        <f t="shared" si="671"/>
        <v>297</v>
      </c>
      <c r="FP729" s="14">
        <f t="shared" si="703"/>
        <v>360</v>
      </c>
      <c r="FQ729" s="14">
        <f t="shared" si="704"/>
        <v>0</v>
      </c>
      <c r="FR729" s="14">
        <f t="shared" si="705"/>
        <v>4210</v>
      </c>
      <c r="FS729" s="14">
        <f t="shared" si="706"/>
        <v>18</v>
      </c>
      <c r="FT729" s="14">
        <f t="shared" si="707"/>
        <v>0</v>
      </c>
      <c r="FU729" s="14">
        <f t="shared" si="708"/>
        <v>207</v>
      </c>
      <c r="FV729" s="14">
        <f t="shared" si="693"/>
        <v>2082</v>
      </c>
      <c r="FW729" s="14">
        <f t="shared" si="694"/>
        <v>0</v>
      </c>
      <c r="FX729" s="14" t="str">
        <f t="shared" si="695"/>
        <v/>
      </c>
      <c r="FY729" s="25" t="str">
        <f t="shared" si="709"/>
        <v>icon_2108108</v>
      </c>
      <c r="GC729" s="14">
        <f t="shared" si="696"/>
        <v>1</v>
      </c>
      <c r="GD729" s="14">
        <f t="shared" si="697"/>
        <v>3</v>
      </c>
      <c r="GE729" s="14">
        <f t="shared" si="672"/>
        <v>297</v>
      </c>
      <c r="GF729" s="14" t="str">
        <f t="shared" si="673"/>
        <v>AtkExt</v>
      </c>
      <c r="GG729" s="14">
        <f t="shared" si="674"/>
        <v>360</v>
      </c>
      <c r="GH729" s="14">
        <f t="shared" si="675"/>
        <v>18</v>
      </c>
      <c r="GI729" s="14" t="str">
        <f t="shared" si="676"/>
        <v>HPExt</v>
      </c>
      <c r="GJ729" s="14">
        <f t="shared" si="677"/>
        <v>4210</v>
      </c>
      <c r="GK729" s="14">
        <f t="shared" si="678"/>
        <v>207</v>
      </c>
      <c r="GL729" s="14">
        <f t="shared" si="698"/>
        <v>20820</v>
      </c>
      <c r="GM729" s="14">
        <f t="shared" si="679"/>
        <v>0</v>
      </c>
      <c r="GN729" s="14" t="str">
        <f t="shared" si="680"/>
        <v/>
      </c>
      <c r="GO729" s="25" t="s">
        <v>1471</v>
      </c>
      <c r="GP729" s="14">
        <f t="shared" si="699"/>
        <v>180</v>
      </c>
    </row>
    <row r="730" spans="151:198" ht="16.5" x14ac:dyDescent="0.2">
      <c r="EU730" s="13">
        <v>725</v>
      </c>
      <c r="EV730" s="14">
        <f t="shared" si="700"/>
        <v>2</v>
      </c>
      <c r="EW730" s="14">
        <f t="shared" si="668"/>
        <v>290</v>
      </c>
      <c r="EX730" s="14">
        <f t="shared" si="701"/>
        <v>39</v>
      </c>
      <c r="EY730" s="14">
        <f t="shared" si="669"/>
        <v>30</v>
      </c>
      <c r="EZ730" s="14">
        <f t="shared" si="681"/>
        <v>19</v>
      </c>
      <c r="FA730" s="14">
        <f t="shared" si="682"/>
        <v>120</v>
      </c>
      <c r="FB730" s="14">
        <f t="shared" si="683"/>
        <v>3</v>
      </c>
      <c r="FC730" s="14">
        <f t="shared" si="684"/>
        <v>1</v>
      </c>
      <c r="FD730" s="14">
        <f t="shared" si="685"/>
        <v>1</v>
      </c>
      <c r="FE730" s="14" t="b">
        <f t="shared" si="702"/>
        <v>0</v>
      </c>
      <c r="FF730" s="14">
        <f t="shared" si="686"/>
        <v>2108301</v>
      </c>
      <c r="FG730" s="13" t="str">
        <f t="shared" si="687"/>
        <v>120级-精良守护灵の灵器</v>
      </c>
      <c r="FH730" s="14">
        <f t="shared" si="688"/>
        <v>2</v>
      </c>
      <c r="FI730" s="14">
        <f t="shared" si="689"/>
        <v>3</v>
      </c>
      <c r="FJ730" s="14">
        <f t="shared" si="690"/>
        <v>120</v>
      </c>
      <c r="FK730" s="14">
        <v>291</v>
      </c>
      <c r="FL730" s="14">
        <f t="shared" si="691"/>
        <v>8</v>
      </c>
      <c r="FM730" s="14">
        <f t="shared" si="670"/>
        <v>1</v>
      </c>
      <c r="FN730" s="14" t="str">
        <f t="shared" si="692"/>
        <v/>
      </c>
      <c r="FO730" s="14">
        <f t="shared" si="671"/>
        <v>325</v>
      </c>
      <c r="FP730" s="14">
        <f t="shared" si="703"/>
        <v>1315</v>
      </c>
      <c r="FQ730" s="14">
        <f t="shared" si="704"/>
        <v>0</v>
      </c>
      <c r="FR730" s="14">
        <f t="shared" si="705"/>
        <v>0</v>
      </c>
      <c r="FS730" s="14">
        <f t="shared" si="706"/>
        <v>65</v>
      </c>
      <c r="FT730" s="14">
        <f t="shared" si="707"/>
        <v>0</v>
      </c>
      <c r="FU730" s="14">
        <f t="shared" si="708"/>
        <v>0</v>
      </c>
      <c r="FV730" s="14">
        <f t="shared" si="693"/>
        <v>2083</v>
      </c>
      <c r="FW730" s="14">
        <f t="shared" si="694"/>
        <v>4</v>
      </c>
      <c r="FX730" s="14">
        <f t="shared" si="695"/>
        <v>2083</v>
      </c>
      <c r="FY730" s="25" t="str">
        <f t="shared" si="709"/>
        <v>icon_2108101</v>
      </c>
      <c r="GC730" s="14">
        <f t="shared" si="696"/>
        <v>1</v>
      </c>
      <c r="GD730" s="14">
        <f t="shared" si="697"/>
        <v>0</v>
      </c>
      <c r="GE730" s="14">
        <f t="shared" si="672"/>
        <v>325</v>
      </c>
      <c r="GF730" s="14" t="str">
        <f t="shared" si="673"/>
        <v>AtkExt</v>
      </c>
      <c r="GG730" s="14">
        <f t="shared" si="674"/>
        <v>1315</v>
      </c>
      <c r="GH730" s="14">
        <f t="shared" si="675"/>
        <v>65</v>
      </c>
      <c r="GI730" s="14" t="str">
        <f t="shared" si="676"/>
        <v/>
      </c>
      <c r="GJ730" s="14" t="str">
        <f t="shared" si="677"/>
        <v/>
      </c>
      <c r="GK730" s="14" t="str">
        <f t="shared" si="678"/>
        <v/>
      </c>
      <c r="GL730" s="14">
        <f t="shared" si="698"/>
        <v>20830</v>
      </c>
      <c r="GM730" s="14">
        <f t="shared" si="679"/>
        <v>4</v>
      </c>
      <c r="GN730" s="14">
        <f t="shared" si="680"/>
        <v>2083</v>
      </c>
      <c r="GO730" s="25" t="s">
        <v>1471</v>
      </c>
      <c r="GP730" s="14">
        <f t="shared" si="699"/>
        <v>400</v>
      </c>
    </row>
    <row r="731" spans="151:198" ht="16.5" x14ac:dyDescent="0.2">
      <c r="EU731" s="13">
        <v>726</v>
      </c>
      <c r="EV731" s="14">
        <f t="shared" si="700"/>
        <v>2</v>
      </c>
      <c r="EW731" s="14">
        <f t="shared" si="668"/>
        <v>291</v>
      </c>
      <c r="EX731" s="14">
        <f t="shared" si="701"/>
        <v>39</v>
      </c>
      <c r="EY731" s="14">
        <f t="shared" si="669"/>
        <v>30</v>
      </c>
      <c r="EZ731" s="14">
        <f t="shared" si="681"/>
        <v>19</v>
      </c>
      <c r="FA731" s="14">
        <f t="shared" si="682"/>
        <v>120</v>
      </c>
      <c r="FB731" s="14">
        <f t="shared" si="683"/>
        <v>3</v>
      </c>
      <c r="FC731" s="14">
        <f t="shared" si="684"/>
        <v>2</v>
      </c>
      <c r="FD731" s="14">
        <f t="shared" si="685"/>
        <v>2</v>
      </c>
      <c r="FE731" s="14" t="b">
        <f t="shared" si="702"/>
        <v>0</v>
      </c>
      <c r="FF731" s="14">
        <f t="shared" si="686"/>
        <v>2108302</v>
      </c>
      <c r="FG731" s="13" t="str">
        <f t="shared" si="687"/>
        <v>120级-精良守护灵の头盔</v>
      </c>
      <c r="FH731" s="14">
        <f t="shared" si="688"/>
        <v>2</v>
      </c>
      <c r="FI731" s="14">
        <f t="shared" si="689"/>
        <v>3</v>
      </c>
      <c r="FJ731" s="14">
        <f t="shared" si="690"/>
        <v>120</v>
      </c>
      <c r="FK731" s="14">
        <v>292</v>
      </c>
      <c r="FL731" s="14">
        <f t="shared" si="691"/>
        <v>8</v>
      </c>
      <c r="FM731" s="14">
        <f t="shared" si="670"/>
        <v>2</v>
      </c>
      <c r="FN731" s="14" t="str">
        <f t="shared" si="692"/>
        <v/>
      </c>
      <c r="FO731" s="14">
        <f t="shared" si="671"/>
        <v>160</v>
      </c>
      <c r="FP731" s="14">
        <f t="shared" si="703"/>
        <v>0</v>
      </c>
      <c r="FQ731" s="14">
        <f t="shared" si="704"/>
        <v>330</v>
      </c>
      <c r="FR731" s="14">
        <f t="shared" si="705"/>
        <v>0</v>
      </c>
      <c r="FS731" s="14">
        <f t="shared" si="706"/>
        <v>0</v>
      </c>
      <c r="FT731" s="14">
        <f t="shared" si="707"/>
        <v>16</v>
      </c>
      <c r="FU731" s="14">
        <f t="shared" si="708"/>
        <v>0</v>
      </c>
      <c r="FV731" s="14">
        <f t="shared" si="693"/>
        <v>2083</v>
      </c>
      <c r="FW731" s="14">
        <f t="shared" si="694"/>
        <v>4</v>
      </c>
      <c r="FX731" s="14">
        <f t="shared" si="695"/>
        <v>2083</v>
      </c>
      <c r="FY731" s="25" t="str">
        <f t="shared" si="709"/>
        <v>icon_2108102</v>
      </c>
      <c r="GC731" s="14">
        <f t="shared" si="696"/>
        <v>2</v>
      </c>
      <c r="GD731" s="14">
        <f t="shared" si="697"/>
        <v>0</v>
      </c>
      <c r="GE731" s="14">
        <f t="shared" si="672"/>
        <v>160</v>
      </c>
      <c r="GF731" s="14" t="str">
        <f t="shared" si="673"/>
        <v>DefExt</v>
      </c>
      <c r="GG731" s="14">
        <f t="shared" si="674"/>
        <v>330</v>
      </c>
      <c r="GH731" s="14">
        <f t="shared" si="675"/>
        <v>16</v>
      </c>
      <c r="GI731" s="14" t="str">
        <f t="shared" si="676"/>
        <v/>
      </c>
      <c r="GJ731" s="14" t="str">
        <f t="shared" si="677"/>
        <v/>
      </c>
      <c r="GK731" s="14" t="str">
        <f t="shared" si="678"/>
        <v/>
      </c>
      <c r="GL731" s="14">
        <f t="shared" si="698"/>
        <v>20830</v>
      </c>
      <c r="GM731" s="14">
        <f t="shared" si="679"/>
        <v>4</v>
      </c>
      <c r="GN731" s="14">
        <f t="shared" si="680"/>
        <v>2083</v>
      </c>
      <c r="GO731" s="25" t="s">
        <v>1471</v>
      </c>
      <c r="GP731" s="14">
        <f t="shared" si="699"/>
        <v>200</v>
      </c>
    </row>
    <row r="732" spans="151:198" ht="16.5" x14ac:dyDescent="0.2">
      <c r="EU732" s="13">
        <v>727</v>
      </c>
      <c r="EV732" s="14">
        <f t="shared" si="700"/>
        <v>2</v>
      </c>
      <c r="EW732" s="14">
        <f t="shared" si="668"/>
        <v>292</v>
      </c>
      <c r="EX732" s="14">
        <f t="shared" si="701"/>
        <v>39</v>
      </c>
      <c r="EY732" s="14">
        <f t="shared" si="669"/>
        <v>30</v>
      </c>
      <c r="EZ732" s="14">
        <f t="shared" si="681"/>
        <v>19</v>
      </c>
      <c r="FA732" s="14">
        <f t="shared" si="682"/>
        <v>120</v>
      </c>
      <c r="FB732" s="14">
        <f t="shared" si="683"/>
        <v>3</v>
      </c>
      <c r="FC732" s="14">
        <f t="shared" si="684"/>
        <v>3</v>
      </c>
      <c r="FD732" s="14">
        <f t="shared" si="685"/>
        <v>3</v>
      </c>
      <c r="FE732" s="14" t="b">
        <f t="shared" si="702"/>
        <v>0</v>
      </c>
      <c r="FF732" s="14">
        <f t="shared" si="686"/>
        <v>2108303</v>
      </c>
      <c r="FG732" s="13" t="str">
        <f t="shared" si="687"/>
        <v>120级-精良守护灵の铠甲</v>
      </c>
      <c r="FH732" s="14">
        <f t="shared" si="688"/>
        <v>2</v>
      </c>
      <c r="FI732" s="14">
        <f t="shared" si="689"/>
        <v>3</v>
      </c>
      <c r="FJ732" s="14">
        <f t="shared" si="690"/>
        <v>120</v>
      </c>
      <c r="FK732" s="14">
        <v>293</v>
      </c>
      <c r="FL732" s="14">
        <f t="shared" si="691"/>
        <v>8</v>
      </c>
      <c r="FM732" s="14">
        <f t="shared" si="670"/>
        <v>3</v>
      </c>
      <c r="FN732" s="14" t="str">
        <f t="shared" si="692"/>
        <v/>
      </c>
      <c r="FO732" s="14">
        <f t="shared" si="671"/>
        <v>231</v>
      </c>
      <c r="FP732" s="14">
        <f t="shared" si="703"/>
        <v>0</v>
      </c>
      <c r="FQ732" s="14">
        <f t="shared" si="704"/>
        <v>165</v>
      </c>
      <c r="FR732" s="14">
        <f t="shared" si="705"/>
        <v>3065</v>
      </c>
      <c r="FS732" s="14">
        <f t="shared" si="706"/>
        <v>0</v>
      </c>
      <c r="FT732" s="14">
        <f t="shared" si="707"/>
        <v>8</v>
      </c>
      <c r="FU732" s="14">
        <f t="shared" si="708"/>
        <v>151</v>
      </c>
      <c r="FV732" s="14">
        <f t="shared" si="693"/>
        <v>2083</v>
      </c>
      <c r="FW732" s="14">
        <f t="shared" si="694"/>
        <v>4</v>
      </c>
      <c r="FX732" s="14">
        <f t="shared" si="695"/>
        <v>2083</v>
      </c>
      <c r="FY732" s="25" t="str">
        <f t="shared" si="709"/>
        <v>icon_2108103</v>
      </c>
      <c r="GC732" s="14">
        <f t="shared" si="696"/>
        <v>2</v>
      </c>
      <c r="GD732" s="14">
        <f t="shared" si="697"/>
        <v>3</v>
      </c>
      <c r="GE732" s="14">
        <f t="shared" si="672"/>
        <v>231</v>
      </c>
      <c r="GF732" s="14" t="str">
        <f t="shared" si="673"/>
        <v>DefExt</v>
      </c>
      <c r="GG732" s="14">
        <f t="shared" si="674"/>
        <v>165</v>
      </c>
      <c r="GH732" s="14">
        <f t="shared" si="675"/>
        <v>8</v>
      </c>
      <c r="GI732" s="14" t="str">
        <f t="shared" si="676"/>
        <v>HPExt</v>
      </c>
      <c r="GJ732" s="14">
        <f t="shared" si="677"/>
        <v>3065</v>
      </c>
      <c r="GK732" s="14">
        <f t="shared" si="678"/>
        <v>151</v>
      </c>
      <c r="GL732" s="14">
        <f t="shared" si="698"/>
        <v>20830</v>
      </c>
      <c r="GM732" s="14">
        <f t="shared" si="679"/>
        <v>4</v>
      </c>
      <c r="GN732" s="14">
        <f t="shared" si="680"/>
        <v>2083</v>
      </c>
      <c r="GO732" s="25" t="s">
        <v>1471</v>
      </c>
      <c r="GP732" s="14">
        <f t="shared" si="699"/>
        <v>200</v>
      </c>
    </row>
    <row r="733" spans="151:198" ht="16.5" x14ac:dyDescent="0.2">
      <c r="EU733" s="13">
        <v>728</v>
      </c>
      <c r="EV733" s="14">
        <f t="shared" si="700"/>
        <v>2</v>
      </c>
      <c r="EW733" s="14">
        <f t="shared" si="668"/>
        <v>293</v>
      </c>
      <c r="EX733" s="14">
        <f t="shared" si="701"/>
        <v>39</v>
      </c>
      <c r="EY733" s="14">
        <f t="shared" si="669"/>
        <v>30</v>
      </c>
      <c r="EZ733" s="14">
        <f t="shared" si="681"/>
        <v>19</v>
      </c>
      <c r="FA733" s="14">
        <f t="shared" si="682"/>
        <v>120</v>
      </c>
      <c r="FB733" s="14">
        <f t="shared" si="683"/>
        <v>3</v>
      </c>
      <c r="FC733" s="14">
        <f t="shared" si="684"/>
        <v>4</v>
      </c>
      <c r="FD733" s="14">
        <f t="shared" si="685"/>
        <v>4</v>
      </c>
      <c r="FE733" s="14" t="b">
        <f t="shared" si="702"/>
        <v>0</v>
      </c>
      <c r="FF733" s="14">
        <f t="shared" si="686"/>
        <v>2108304</v>
      </c>
      <c r="FG733" s="13" t="str">
        <f t="shared" si="687"/>
        <v>120级-精良守护灵の裤子</v>
      </c>
      <c r="FH733" s="14">
        <f t="shared" si="688"/>
        <v>2</v>
      </c>
      <c r="FI733" s="14">
        <f t="shared" si="689"/>
        <v>3</v>
      </c>
      <c r="FJ733" s="14">
        <f t="shared" si="690"/>
        <v>120</v>
      </c>
      <c r="FK733" s="14">
        <v>294</v>
      </c>
      <c r="FL733" s="14">
        <f t="shared" si="691"/>
        <v>8</v>
      </c>
      <c r="FM733" s="14">
        <f t="shared" si="670"/>
        <v>4</v>
      </c>
      <c r="FN733" s="14" t="str">
        <f t="shared" si="692"/>
        <v/>
      </c>
      <c r="FO733" s="14">
        <f t="shared" si="671"/>
        <v>160</v>
      </c>
      <c r="FP733" s="14">
        <f t="shared" si="703"/>
        <v>0</v>
      </c>
      <c r="FQ733" s="14">
        <f t="shared" si="704"/>
        <v>330</v>
      </c>
      <c r="FR733" s="14">
        <f t="shared" si="705"/>
        <v>0</v>
      </c>
      <c r="FS733" s="14">
        <f t="shared" si="706"/>
        <v>0</v>
      </c>
      <c r="FT733" s="14">
        <f t="shared" si="707"/>
        <v>16</v>
      </c>
      <c r="FU733" s="14">
        <f t="shared" si="708"/>
        <v>0</v>
      </c>
      <c r="FV733" s="14">
        <f t="shared" si="693"/>
        <v>2083</v>
      </c>
      <c r="FW733" s="14">
        <f t="shared" si="694"/>
        <v>4</v>
      </c>
      <c r="FX733" s="14">
        <f t="shared" si="695"/>
        <v>2083</v>
      </c>
      <c r="FY733" s="25" t="str">
        <f t="shared" si="709"/>
        <v>icon_2108104</v>
      </c>
      <c r="GC733" s="14">
        <f t="shared" si="696"/>
        <v>2</v>
      </c>
      <c r="GD733" s="14">
        <f t="shared" si="697"/>
        <v>0</v>
      </c>
      <c r="GE733" s="14">
        <f t="shared" si="672"/>
        <v>160</v>
      </c>
      <c r="GF733" s="14" t="str">
        <f t="shared" si="673"/>
        <v>DefExt</v>
      </c>
      <c r="GG733" s="14">
        <f t="shared" si="674"/>
        <v>330</v>
      </c>
      <c r="GH733" s="14">
        <f t="shared" si="675"/>
        <v>16</v>
      </c>
      <c r="GI733" s="14" t="str">
        <f t="shared" si="676"/>
        <v/>
      </c>
      <c r="GJ733" s="14" t="str">
        <f t="shared" si="677"/>
        <v/>
      </c>
      <c r="GK733" s="14" t="str">
        <f t="shared" si="678"/>
        <v/>
      </c>
      <c r="GL733" s="14">
        <f t="shared" si="698"/>
        <v>20830</v>
      </c>
      <c r="GM733" s="14">
        <f t="shared" si="679"/>
        <v>4</v>
      </c>
      <c r="GN733" s="14">
        <f t="shared" si="680"/>
        <v>2083</v>
      </c>
      <c r="GO733" s="25" t="s">
        <v>1471</v>
      </c>
      <c r="GP733" s="14">
        <f t="shared" si="699"/>
        <v>200</v>
      </c>
    </row>
    <row r="734" spans="151:198" ht="16.5" x14ac:dyDescent="0.2">
      <c r="EU734" s="13">
        <v>729</v>
      </c>
      <c r="EV734" s="14">
        <f t="shared" si="700"/>
        <v>2</v>
      </c>
      <c r="EW734" s="14">
        <f t="shared" si="668"/>
        <v>294</v>
      </c>
      <c r="EX734" s="14">
        <f t="shared" si="701"/>
        <v>39</v>
      </c>
      <c r="EY734" s="14">
        <f t="shared" si="669"/>
        <v>30</v>
      </c>
      <c r="EZ734" s="14">
        <f t="shared" si="681"/>
        <v>19</v>
      </c>
      <c r="FA734" s="14">
        <f t="shared" si="682"/>
        <v>120</v>
      </c>
      <c r="FB734" s="14">
        <f t="shared" si="683"/>
        <v>3</v>
      </c>
      <c r="FC734" s="14">
        <f t="shared" si="684"/>
        <v>5</v>
      </c>
      <c r="FD734" s="14">
        <f t="shared" si="685"/>
        <v>5</v>
      </c>
      <c r="FE734" s="14" t="b">
        <f t="shared" si="702"/>
        <v>0</v>
      </c>
      <c r="FF734" s="14">
        <f t="shared" si="686"/>
        <v>2108305</v>
      </c>
      <c r="FG734" s="13" t="str">
        <f t="shared" si="687"/>
        <v>120级-精良守护灵の鞋子</v>
      </c>
      <c r="FH734" s="14">
        <f t="shared" si="688"/>
        <v>2</v>
      </c>
      <c r="FI734" s="14">
        <f t="shared" si="689"/>
        <v>3</v>
      </c>
      <c r="FJ734" s="14">
        <f t="shared" si="690"/>
        <v>120</v>
      </c>
      <c r="FK734" s="14">
        <v>295</v>
      </c>
      <c r="FL734" s="14">
        <f t="shared" si="691"/>
        <v>8</v>
      </c>
      <c r="FM734" s="14">
        <f t="shared" si="670"/>
        <v>5</v>
      </c>
      <c r="FN734" s="14" t="str">
        <f t="shared" si="692"/>
        <v/>
      </c>
      <c r="FO734" s="14">
        <f t="shared" si="671"/>
        <v>301</v>
      </c>
      <c r="FP734" s="14">
        <f t="shared" si="703"/>
        <v>0</v>
      </c>
      <c r="FQ734" s="14">
        <f t="shared" si="704"/>
        <v>0</v>
      </c>
      <c r="FR734" s="14">
        <f t="shared" si="705"/>
        <v>6135</v>
      </c>
      <c r="FS734" s="14">
        <f t="shared" si="706"/>
        <v>0</v>
      </c>
      <c r="FT734" s="14">
        <f t="shared" si="707"/>
        <v>0</v>
      </c>
      <c r="FU734" s="14">
        <f t="shared" si="708"/>
        <v>301</v>
      </c>
      <c r="FV734" s="14">
        <f t="shared" si="693"/>
        <v>2083</v>
      </c>
      <c r="FW734" s="14">
        <f t="shared" si="694"/>
        <v>4</v>
      </c>
      <c r="FX734" s="14">
        <f t="shared" si="695"/>
        <v>2083</v>
      </c>
      <c r="FY734" s="25" t="str">
        <f t="shared" si="709"/>
        <v>icon_2108105</v>
      </c>
      <c r="GC734" s="14">
        <f t="shared" si="696"/>
        <v>3</v>
      </c>
      <c r="GD734" s="14">
        <f t="shared" si="697"/>
        <v>0</v>
      </c>
      <c r="GE734" s="14">
        <f t="shared" si="672"/>
        <v>301</v>
      </c>
      <c r="GF734" s="14" t="str">
        <f t="shared" si="673"/>
        <v>HPExt</v>
      </c>
      <c r="GG734" s="14">
        <f t="shared" si="674"/>
        <v>6135</v>
      </c>
      <c r="GH734" s="14">
        <f t="shared" si="675"/>
        <v>301</v>
      </c>
      <c r="GI734" s="14" t="str">
        <f t="shared" si="676"/>
        <v/>
      </c>
      <c r="GJ734" s="14" t="str">
        <f t="shared" si="677"/>
        <v/>
      </c>
      <c r="GK734" s="14" t="str">
        <f t="shared" si="678"/>
        <v/>
      </c>
      <c r="GL734" s="14">
        <f t="shared" si="698"/>
        <v>20830</v>
      </c>
      <c r="GM734" s="14">
        <f t="shared" si="679"/>
        <v>4</v>
      </c>
      <c r="GN734" s="14">
        <f t="shared" si="680"/>
        <v>2083</v>
      </c>
      <c r="GO734" s="25" t="s">
        <v>1471</v>
      </c>
      <c r="GP734" s="14">
        <f t="shared" si="699"/>
        <v>200</v>
      </c>
    </row>
    <row r="735" spans="151:198" ht="16.5" x14ac:dyDescent="0.2">
      <c r="EU735" s="13">
        <v>730</v>
      </c>
      <c r="EV735" s="14">
        <f t="shared" si="700"/>
        <v>2</v>
      </c>
      <c r="EW735" s="14">
        <f t="shared" si="668"/>
        <v>295</v>
      </c>
      <c r="EX735" s="14">
        <f t="shared" si="701"/>
        <v>39</v>
      </c>
      <c r="EY735" s="14">
        <f t="shared" si="669"/>
        <v>30</v>
      </c>
      <c r="EZ735" s="14">
        <f t="shared" si="681"/>
        <v>19</v>
      </c>
      <c r="FA735" s="14">
        <f t="shared" si="682"/>
        <v>120</v>
      </c>
      <c r="FB735" s="14">
        <f t="shared" si="683"/>
        <v>3</v>
      </c>
      <c r="FC735" s="14">
        <f t="shared" si="684"/>
        <v>6</v>
      </c>
      <c r="FD735" s="14">
        <f t="shared" si="685"/>
        <v>6</v>
      </c>
      <c r="FE735" s="14" t="b">
        <f t="shared" si="702"/>
        <v>0</v>
      </c>
      <c r="FF735" s="14">
        <f t="shared" si="686"/>
        <v>2108306</v>
      </c>
      <c r="FG735" s="13" t="str">
        <f t="shared" si="687"/>
        <v>120级-精良守护灵の护手</v>
      </c>
      <c r="FH735" s="14">
        <f t="shared" si="688"/>
        <v>2</v>
      </c>
      <c r="FI735" s="14">
        <f t="shared" si="689"/>
        <v>3</v>
      </c>
      <c r="FJ735" s="14">
        <f t="shared" si="690"/>
        <v>120</v>
      </c>
      <c r="FK735" s="14">
        <v>296</v>
      </c>
      <c r="FL735" s="14">
        <f t="shared" si="691"/>
        <v>8</v>
      </c>
      <c r="FM735" s="14">
        <f t="shared" si="670"/>
        <v>6</v>
      </c>
      <c r="FN735" s="14" t="str">
        <f t="shared" si="692"/>
        <v/>
      </c>
      <c r="FO735" s="14">
        <f t="shared" si="671"/>
        <v>301</v>
      </c>
      <c r="FP735" s="14">
        <f t="shared" si="703"/>
        <v>0</v>
      </c>
      <c r="FQ735" s="14">
        <f t="shared" si="704"/>
        <v>0</v>
      </c>
      <c r="FR735" s="14">
        <f t="shared" si="705"/>
        <v>6135</v>
      </c>
      <c r="FS735" s="14">
        <f t="shared" si="706"/>
        <v>0</v>
      </c>
      <c r="FT735" s="14">
        <f t="shared" si="707"/>
        <v>0</v>
      </c>
      <c r="FU735" s="14">
        <f t="shared" si="708"/>
        <v>301</v>
      </c>
      <c r="FV735" s="14">
        <f t="shared" si="693"/>
        <v>2083</v>
      </c>
      <c r="FW735" s="14">
        <f t="shared" si="694"/>
        <v>4</v>
      </c>
      <c r="FX735" s="14">
        <f t="shared" si="695"/>
        <v>2083</v>
      </c>
      <c r="FY735" s="25" t="str">
        <f t="shared" si="709"/>
        <v>icon_2108106</v>
      </c>
      <c r="GC735" s="14">
        <f t="shared" si="696"/>
        <v>3</v>
      </c>
      <c r="GD735" s="14">
        <f t="shared" si="697"/>
        <v>0</v>
      </c>
      <c r="GE735" s="14">
        <f t="shared" si="672"/>
        <v>301</v>
      </c>
      <c r="GF735" s="14" t="str">
        <f t="shared" si="673"/>
        <v>HPExt</v>
      </c>
      <c r="GG735" s="14">
        <f t="shared" si="674"/>
        <v>6135</v>
      </c>
      <c r="GH735" s="14">
        <f t="shared" si="675"/>
        <v>301</v>
      </c>
      <c r="GI735" s="14" t="str">
        <f t="shared" si="676"/>
        <v/>
      </c>
      <c r="GJ735" s="14" t="str">
        <f t="shared" si="677"/>
        <v/>
      </c>
      <c r="GK735" s="14" t="str">
        <f t="shared" si="678"/>
        <v/>
      </c>
      <c r="GL735" s="14">
        <f t="shared" si="698"/>
        <v>20830</v>
      </c>
      <c r="GM735" s="14">
        <f t="shared" si="679"/>
        <v>4</v>
      </c>
      <c r="GN735" s="14">
        <f t="shared" si="680"/>
        <v>2083</v>
      </c>
      <c r="GO735" s="25" t="s">
        <v>1471</v>
      </c>
      <c r="GP735" s="14">
        <f t="shared" si="699"/>
        <v>200</v>
      </c>
    </row>
    <row r="736" spans="151:198" ht="16.5" x14ac:dyDescent="0.2">
      <c r="EU736" s="13">
        <v>731</v>
      </c>
      <c r="EV736" s="14">
        <f t="shared" si="700"/>
        <v>2</v>
      </c>
      <c r="EW736" s="14">
        <f t="shared" si="668"/>
        <v>296</v>
      </c>
      <c r="EX736" s="14">
        <f t="shared" si="701"/>
        <v>39</v>
      </c>
      <c r="EY736" s="14">
        <f t="shared" si="669"/>
        <v>30</v>
      </c>
      <c r="EZ736" s="14">
        <f t="shared" si="681"/>
        <v>19</v>
      </c>
      <c r="FA736" s="14">
        <f t="shared" si="682"/>
        <v>120</v>
      </c>
      <c r="FB736" s="14">
        <f t="shared" si="683"/>
        <v>3</v>
      </c>
      <c r="FC736" s="14">
        <f t="shared" si="684"/>
        <v>7</v>
      </c>
      <c r="FD736" s="14">
        <f t="shared" si="685"/>
        <v>7</v>
      </c>
      <c r="FE736" s="14" t="b">
        <f t="shared" si="702"/>
        <v>0</v>
      </c>
      <c r="FF736" s="14">
        <f t="shared" si="686"/>
        <v>2108307</v>
      </c>
      <c r="FG736" s="13" t="str">
        <f t="shared" si="687"/>
        <v>120级-精良守护灵の项链</v>
      </c>
      <c r="FH736" s="14">
        <f t="shared" si="688"/>
        <v>2</v>
      </c>
      <c r="FI736" s="14">
        <f t="shared" si="689"/>
        <v>3</v>
      </c>
      <c r="FJ736" s="14">
        <f t="shared" si="690"/>
        <v>120</v>
      </c>
      <c r="FK736" s="14">
        <v>297</v>
      </c>
      <c r="FL736" s="14">
        <f t="shared" si="691"/>
        <v>8</v>
      </c>
      <c r="FM736" s="14">
        <f t="shared" si="670"/>
        <v>7</v>
      </c>
      <c r="FN736" s="14" t="str">
        <f t="shared" si="692"/>
        <v/>
      </c>
      <c r="FO736" s="14">
        <f t="shared" si="671"/>
        <v>240</v>
      </c>
      <c r="FP736" s="14">
        <f t="shared" si="703"/>
        <v>440</v>
      </c>
      <c r="FQ736" s="14">
        <f t="shared" si="704"/>
        <v>275</v>
      </c>
      <c r="FR736" s="14">
        <f t="shared" si="705"/>
        <v>0</v>
      </c>
      <c r="FS736" s="14">
        <f t="shared" si="706"/>
        <v>22</v>
      </c>
      <c r="FT736" s="14">
        <f t="shared" si="707"/>
        <v>13</v>
      </c>
      <c r="FU736" s="14">
        <f t="shared" si="708"/>
        <v>0</v>
      </c>
      <c r="FV736" s="14">
        <f t="shared" si="693"/>
        <v>2083</v>
      </c>
      <c r="FW736" s="14">
        <f t="shared" si="694"/>
        <v>4</v>
      </c>
      <c r="FX736" s="14">
        <f t="shared" si="695"/>
        <v>2083</v>
      </c>
      <c r="FY736" s="25" t="str">
        <f t="shared" si="709"/>
        <v>icon_2108107</v>
      </c>
      <c r="GC736" s="14">
        <f t="shared" si="696"/>
        <v>1</v>
      </c>
      <c r="GD736" s="14">
        <f t="shared" si="697"/>
        <v>2</v>
      </c>
      <c r="GE736" s="14">
        <f t="shared" si="672"/>
        <v>240</v>
      </c>
      <c r="GF736" s="14" t="str">
        <f t="shared" si="673"/>
        <v>AtkExt</v>
      </c>
      <c r="GG736" s="14">
        <f t="shared" si="674"/>
        <v>440</v>
      </c>
      <c r="GH736" s="14">
        <f t="shared" si="675"/>
        <v>22</v>
      </c>
      <c r="GI736" s="14" t="str">
        <f t="shared" si="676"/>
        <v>DefExt</v>
      </c>
      <c r="GJ736" s="14">
        <f t="shared" si="677"/>
        <v>275</v>
      </c>
      <c r="GK736" s="14">
        <f t="shared" si="678"/>
        <v>13</v>
      </c>
      <c r="GL736" s="14">
        <f t="shared" si="698"/>
        <v>20830</v>
      </c>
      <c r="GM736" s="14">
        <f t="shared" si="679"/>
        <v>4</v>
      </c>
      <c r="GN736" s="14">
        <f t="shared" si="680"/>
        <v>2083</v>
      </c>
      <c r="GO736" s="25" t="s">
        <v>1471</v>
      </c>
      <c r="GP736" s="14">
        <f t="shared" si="699"/>
        <v>300</v>
      </c>
    </row>
    <row r="737" spans="151:198" ht="16.5" x14ac:dyDescent="0.2">
      <c r="EU737" s="13">
        <v>732</v>
      </c>
      <c r="EV737" s="14">
        <f t="shared" si="700"/>
        <v>2</v>
      </c>
      <c r="EW737" s="14">
        <f t="shared" si="668"/>
        <v>297</v>
      </c>
      <c r="EX737" s="14">
        <f t="shared" si="701"/>
        <v>39</v>
      </c>
      <c r="EY737" s="14">
        <f t="shared" si="669"/>
        <v>30</v>
      </c>
      <c r="EZ737" s="14">
        <f t="shared" si="681"/>
        <v>19</v>
      </c>
      <c r="FA737" s="14">
        <f t="shared" si="682"/>
        <v>120</v>
      </c>
      <c r="FB737" s="14">
        <f t="shared" si="683"/>
        <v>3</v>
      </c>
      <c r="FC737" s="14">
        <f t="shared" si="684"/>
        <v>8</v>
      </c>
      <c r="FD737" s="14">
        <f t="shared" si="685"/>
        <v>8</v>
      </c>
      <c r="FE737" s="14" t="b">
        <f t="shared" si="702"/>
        <v>0</v>
      </c>
      <c r="FF737" s="14">
        <f t="shared" si="686"/>
        <v>2108308</v>
      </c>
      <c r="FG737" s="13" t="str">
        <f t="shared" si="687"/>
        <v>120级-精良守护灵の戒指</v>
      </c>
      <c r="FH737" s="14">
        <f t="shared" si="688"/>
        <v>2</v>
      </c>
      <c r="FI737" s="14">
        <f t="shared" si="689"/>
        <v>3</v>
      </c>
      <c r="FJ737" s="14">
        <f t="shared" si="690"/>
        <v>120</v>
      </c>
      <c r="FK737" s="14">
        <v>298</v>
      </c>
      <c r="FL737" s="14">
        <f t="shared" si="691"/>
        <v>8</v>
      </c>
      <c r="FM737" s="14">
        <f t="shared" si="670"/>
        <v>8</v>
      </c>
      <c r="FN737" s="14" t="str">
        <f t="shared" si="692"/>
        <v/>
      </c>
      <c r="FO737" s="14">
        <f t="shared" si="671"/>
        <v>361</v>
      </c>
      <c r="FP737" s="14">
        <f t="shared" si="703"/>
        <v>440</v>
      </c>
      <c r="FQ737" s="14">
        <f t="shared" si="704"/>
        <v>0</v>
      </c>
      <c r="FR737" s="14">
        <f t="shared" si="705"/>
        <v>5110</v>
      </c>
      <c r="FS737" s="14">
        <f t="shared" si="706"/>
        <v>22</v>
      </c>
      <c r="FT737" s="14">
        <f t="shared" si="707"/>
        <v>0</v>
      </c>
      <c r="FU737" s="14">
        <f t="shared" si="708"/>
        <v>251</v>
      </c>
      <c r="FV737" s="14">
        <f t="shared" si="693"/>
        <v>2083</v>
      </c>
      <c r="FW737" s="14">
        <f t="shared" si="694"/>
        <v>4</v>
      </c>
      <c r="FX737" s="14">
        <f t="shared" si="695"/>
        <v>2083</v>
      </c>
      <c r="FY737" s="25" t="str">
        <f t="shared" si="709"/>
        <v>icon_2108108</v>
      </c>
      <c r="GC737" s="14">
        <f t="shared" si="696"/>
        <v>1</v>
      </c>
      <c r="GD737" s="14">
        <f t="shared" si="697"/>
        <v>3</v>
      </c>
      <c r="GE737" s="14">
        <f t="shared" si="672"/>
        <v>361</v>
      </c>
      <c r="GF737" s="14" t="str">
        <f t="shared" si="673"/>
        <v>AtkExt</v>
      </c>
      <c r="GG737" s="14">
        <f t="shared" si="674"/>
        <v>440</v>
      </c>
      <c r="GH737" s="14">
        <f t="shared" si="675"/>
        <v>22</v>
      </c>
      <c r="GI737" s="14" t="str">
        <f t="shared" si="676"/>
        <v>HPExt</v>
      </c>
      <c r="GJ737" s="14">
        <f t="shared" si="677"/>
        <v>5110</v>
      </c>
      <c r="GK737" s="14">
        <f t="shared" si="678"/>
        <v>251</v>
      </c>
      <c r="GL737" s="14">
        <f t="shared" si="698"/>
        <v>20830</v>
      </c>
      <c r="GM737" s="14">
        <f t="shared" si="679"/>
        <v>4</v>
      </c>
      <c r="GN737" s="14">
        <f t="shared" si="680"/>
        <v>2083</v>
      </c>
      <c r="GO737" s="25" t="s">
        <v>1471</v>
      </c>
      <c r="GP737" s="14">
        <f t="shared" si="699"/>
        <v>300</v>
      </c>
    </row>
    <row r="738" spans="151:198" ht="16.5" x14ac:dyDescent="0.2">
      <c r="EU738" s="13">
        <v>733</v>
      </c>
      <c r="EV738" s="14">
        <f t="shared" si="700"/>
        <v>2</v>
      </c>
      <c r="EW738" s="14">
        <f t="shared" si="668"/>
        <v>298</v>
      </c>
      <c r="EX738" s="14">
        <f t="shared" si="701"/>
        <v>40</v>
      </c>
      <c r="EY738" s="14">
        <f t="shared" si="669"/>
        <v>40</v>
      </c>
      <c r="EZ738" s="14">
        <f t="shared" si="681"/>
        <v>19</v>
      </c>
      <c r="FA738" s="14">
        <f t="shared" si="682"/>
        <v>120</v>
      </c>
      <c r="FB738" s="14">
        <f t="shared" si="683"/>
        <v>4</v>
      </c>
      <c r="FC738" s="14">
        <f t="shared" si="684"/>
        <v>1</v>
      </c>
      <c r="FD738" s="14">
        <f t="shared" si="685"/>
        <v>1</v>
      </c>
      <c r="FE738" s="14" t="b">
        <f t="shared" si="702"/>
        <v>0</v>
      </c>
      <c r="FF738" s="14">
        <f t="shared" si="686"/>
        <v>2108401</v>
      </c>
      <c r="FG738" s="13" t="str">
        <f t="shared" si="687"/>
        <v>120级-史诗守护灵の灵器</v>
      </c>
      <c r="FH738" s="14">
        <f t="shared" si="688"/>
        <v>2</v>
      </c>
      <c r="FI738" s="14">
        <f t="shared" si="689"/>
        <v>4</v>
      </c>
      <c r="FJ738" s="14">
        <f t="shared" si="690"/>
        <v>120</v>
      </c>
      <c r="FK738" s="14">
        <v>299</v>
      </c>
      <c r="FL738" s="14">
        <f t="shared" si="691"/>
        <v>8</v>
      </c>
      <c r="FM738" s="14">
        <f t="shared" si="670"/>
        <v>1</v>
      </c>
      <c r="FN738" s="14" t="str">
        <f t="shared" si="692"/>
        <v/>
      </c>
      <c r="FO738" s="14">
        <f t="shared" si="671"/>
        <v>380</v>
      </c>
      <c r="FP738" s="14">
        <f t="shared" si="703"/>
        <v>1550</v>
      </c>
      <c r="FQ738" s="14">
        <f t="shared" si="704"/>
        <v>0</v>
      </c>
      <c r="FR738" s="14">
        <f t="shared" si="705"/>
        <v>0</v>
      </c>
      <c r="FS738" s="14">
        <f t="shared" si="706"/>
        <v>76</v>
      </c>
      <c r="FT738" s="14">
        <f t="shared" si="707"/>
        <v>0</v>
      </c>
      <c r="FU738" s="14">
        <f t="shared" si="708"/>
        <v>0</v>
      </c>
      <c r="FV738" s="14">
        <f t="shared" si="693"/>
        <v>2084</v>
      </c>
      <c r="FW738" s="14">
        <f t="shared" si="694"/>
        <v>5</v>
      </c>
      <c r="FX738" s="14">
        <f t="shared" si="695"/>
        <v>2084</v>
      </c>
      <c r="FY738" s="25" t="str">
        <f t="shared" si="709"/>
        <v>icon_2108101</v>
      </c>
      <c r="GC738" s="14">
        <f t="shared" si="696"/>
        <v>1</v>
      </c>
      <c r="GD738" s="14">
        <f t="shared" si="697"/>
        <v>0</v>
      </c>
      <c r="GE738" s="14">
        <f t="shared" si="672"/>
        <v>380</v>
      </c>
      <c r="GF738" s="14" t="str">
        <f t="shared" si="673"/>
        <v>AtkExt</v>
      </c>
      <c r="GG738" s="14">
        <f t="shared" si="674"/>
        <v>1550</v>
      </c>
      <c r="GH738" s="14">
        <f t="shared" si="675"/>
        <v>76</v>
      </c>
      <c r="GI738" s="14" t="str">
        <f t="shared" si="676"/>
        <v/>
      </c>
      <c r="GJ738" s="14" t="str">
        <f t="shared" si="677"/>
        <v/>
      </c>
      <c r="GK738" s="14" t="str">
        <f t="shared" si="678"/>
        <v/>
      </c>
      <c r="GL738" s="14">
        <f t="shared" si="698"/>
        <v>20840</v>
      </c>
      <c r="GM738" s="14">
        <f t="shared" si="679"/>
        <v>5</v>
      </c>
      <c r="GN738" s="14">
        <f t="shared" si="680"/>
        <v>2084</v>
      </c>
      <c r="GO738" s="25" t="s">
        <v>1471</v>
      </c>
      <c r="GP738" s="14">
        <f t="shared" si="699"/>
        <v>800</v>
      </c>
    </row>
    <row r="739" spans="151:198" ht="16.5" x14ac:dyDescent="0.2">
      <c r="EU739" s="13">
        <v>734</v>
      </c>
      <c r="EV739" s="14">
        <f t="shared" si="700"/>
        <v>2</v>
      </c>
      <c r="EW739" s="14">
        <f t="shared" si="668"/>
        <v>299</v>
      </c>
      <c r="EX739" s="14">
        <f t="shared" si="701"/>
        <v>40</v>
      </c>
      <c r="EY739" s="14">
        <f t="shared" si="669"/>
        <v>40</v>
      </c>
      <c r="EZ739" s="14">
        <f t="shared" si="681"/>
        <v>19</v>
      </c>
      <c r="FA739" s="14">
        <f t="shared" si="682"/>
        <v>120</v>
      </c>
      <c r="FB739" s="14">
        <f t="shared" si="683"/>
        <v>4</v>
      </c>
      <c r="FC739" s="14">
        <f t="shared" si="684"/>
        <v>2</v>
      </c>
      <c r="FD739" s="14">
        <f t="shared" si="685"/>
        <v>2</v>
      </c>
      <c r="FE739" s="14" t="b">
        <f t="shared" si="702"/>
        <v>0</v>
      </c>
      <c r="FF739" s="14">
        <f t="shared" si="686"/>
        <v>2108402</v>
      </c>
      <c r="FG739" s="13" t="str">
        <f t="shared" si="687"/>
        <v>120级-史诗守护灵の头盔</v>
      </c>
      <c r="FH739" s="14">
        <f t="shared" si="688"/>
        <v>2</v>
      </c>
      <c r="FI739" s="14">
        <f t="shared" si="689"/>
        <v>4</v>
      </c>
      <c r="FJ739" s="14">
        <f t="shared" si="690"/>
        <v>120</v>
      </c>
      <c r="FK739" s="14">
        <v>300</v>
      </c>
      <c r="FL739" s="14">
        <f t="shared" si="691"/>
        <v>8</v>
      </c>
      <c r="FM739" s="14">
        <f t="shared" si="670"/>
        <v>2</v>
      </c>
      <c r="FN739" s="14" t="str">
        <f t="shared" si="692"/>
        <v/>
      </c>
      <c r="FO739" s="14">
        <f t="shared" si="671"/>
        <v>190</v>
      </c>
      <c r="FP739" s="14">
        <f t="shared" si="703"/>
        <v>0</v>
      </c>
      <c r="FQ739" s="14">
        <f t="shared" si="704"/>
        <v>390</v>
      </c>
      <c r="FR739" s="14">
        <f t="shared" si="705"/>
        <v>0</v>
      </c>
      <c r="FS739" s="14">
        <f t="shared" si="706"/>
        <v>0</v>
      </c>
      <c r="FT739" s="14">
        <f t="shared" si="707"/>
        <v>19</v>
      </c>
      <c r="FU739" s="14">
        <f t="shared" si="708"/>
        <v>0</v>
      </c>
      <c r="FV739" s="14">
        <f t="shared" si="693"/>
        <v>2084</v>
      </c>
      <c r="FW739" s="14">
        <f t="shared" si="694"/>
        <v>5</v>
      </c>
      <c r="FX739" s="14">
        <f t="shared" si="695"/>
        <v>2084</v>
      </c>
      <c r="FY739" s="25" t="str">
        <f t="shared" si="709"/>
        <v>icon_2108102</v>
      </c>
      <c r="GC739" s="14">
        <f t="shared" si="696"/>
        <v>2</v>
      </c>
      <c r="GD739" s="14">
        <f t="shared" si="697"/>
        <v>0</v>
      </c>
      <c r="GE739" s="14">
        <f t="shared" si="672"/>
        <v>190</v>
      </c>
      <c r="GF739" s="14" t="str">
        <f t="shared" si="673"/>
        <v>DefExt</v>
      </c>
      <c r="GG739" s="14">
        <f t="shared" si="674"/>
        <v>390</v>
      </c>
      <c r="GH739" s="14">
        <f t="shared" si="675"/>
        <v>19</v>
      </c>
      <c r="GI739" s="14" t="str">
        <f t="shared" si="676"/>
        <v/>
      </c>
      <c r="GJ739" s="14" t="str">
        <f t="shared" si="677"/>
        <v/>
      </c>
      <c r="GK739" s="14" t="str">
        <f t="shared" si="678"/>
        <v/>
      </c>
      <c r="GL739" s="14">
        <f t="shared" si="698"/>
        <v>20840</v>
      </c>
      <c r="GM739" s="14">
        <f t="shared" si="679"/>
        <v>5</v>
      </c>
      <c r="GN739" s="14">
        <f t="shared" si="680"/>
        <v>2084</v>
      </c>
      <c r="GO739" s="25" t="s">
        <v>1471</v>
      </c>
      <c r="GP739" s="14">
        <f t="shared" si="699"/>
        <v>400</v>
      </c>
    </row>
    <row r="740" spans="151:198" ht="16.5" x14ac:dyDescent="0.2">
      <c r="EU740" s="13">
        <v>735</v>
      </c>
      <c r="EV740" s="14">
        <f t="shared" si="700"/>
        <v>2</v>
      </c>
      <c r="EW740" s="14">
        <f t="shared" si="668"/>
        <v>300</v>
      </c>
      <c r="EX740" s="14">
        <f t="shared" si="701"/>
        <v>40</v>
      </c>
      <c r="EY740" s="14">
        <f t="shared" si="669"/>
        <v>40</v>
      </c>
      <c r="EZ740" s="14">
        <f t="shared" si="681"/>
        <v>19</v>
      </c>
      <c r="FA740" s="14">
        <f t="shared" si="682"/>
        <v>120</v>
      </c>
      <c r="FB740" s="14">
        <f t="shared" si="683"/>
        <v>4</v>
      </c>
      <c r="FC740" s="14">
        <f t="shared" si="684"/>
        <v>3</v>
      </c>
      <c r="FD740" s="14">
        <f t="shared" si="685"/>
        <v>3</v>
      </c>
      <c r="FE740" s="14" t="b">
        <f t="shared" si="702"/>
        <v>0</v>
      </c>
      <c r="FF740" s="14">
        <f t="shared" si="686"/>
        <v>2108403</v>
      </c>
      <c r="FG740" s="13" t="str">
        <f t="shared" si="687"/>
        <v>120级-史诗守护灵の铠甲</v>
      </c>
      <c r="FH740" s="14">
        <f t="shared" si="688"/>
        <v>2</v>
      </c>
      <c r="FI740" s="14">
        <f t="shared" si="689"/>
        <v>4</v>
      </c>
      <c r="FJ740" s="14">
        <f t="shared" si="690"/>
        <v>120</v>
      </c>
      <c r="FK740" s="14">
        <v>301</v>
      </c>
      <c r="FL740" s="14">
        <f t="shared" si="691"/>
        <v>8</v>
      </c>
      <c r="FM740" s="14">
        <f t="shared" si="670"/>
        <v>3</v>
      </c>
      <c r="FN740" s="14" t="str">
        <f t="shared" si="692"/>
        <v/>
      </c>
      <c r="FO740" s="14">
        <f t="shared" si="671"/>
        <v>277</v>
      </c>
      <c r="FP740" s="14">
        <f t="shared" si="703"/>
        <v>0</v>
      </c>
      <c r="FQ740" s="14">
        <f t="shared" si="704"/>
        <v>195</v>
      </c>
      <c r="FR740" s="14">
        <f t="shared" si="705"/>
        <v>3610</v>
      </c>
      <c r="FS740" s="14">
        <f t="shared" si="706"/>
        <v>0</v>
      </c>
      <c r="FT740" s="14">
        <f t="shared" si="707"/>
        <v>10</v>
      </c>
      <c r="FU740" s="14">
        <f t="shared" si="708"/>
        <v>177</v>
      </c>
      <c r="FV740" s="14">
        <f t="shared" si="693"/>
        <v>2084</v>
      </c>
      <c r="FW740" s="14">
        <f t="shared" si="694"/>
        <v>5</v>
      </c>
      <c r="FX740" s="14">
        <f t="shared" si="695"/>
        <v>2084</v>
      </c>
      <c r="FY740" s="25" t="str">
        <f t="shared" si="709"/>
        <v>icon_2108103</v>
      </c>
      <c r="GC740" s="14">
        <f t="shared" si="696"/>
        <v>2</v>
      </c>
      <c r="GD740" s="14">
        <f t="shared" si="697"/>
        <v>3</v>
      </c>
      <c r="GE740" s="14">
        <f t="shared" si="672"/>
        <v>277</v>
      </c>
      <c r="GF740" s="14" t="str">
        <f t="shared" si="673"/>
        <v>DefExt</v>
      </c>
      <c r="GG740" s="14">
        <f t="shared" si="674"/>
        <v>195</v>
      </c>
      <c r="GH740" s="14">
        <f t="shared" si="675"/>
        <v>10</v>
      </c>
      <c r="GI740" s="14" t="str">
        <f t="shared" si="676"/>
        <v>HPExt</v>
      </c>
      <c r="GJ740" s="14">
        <f t="shared" si="677"/>
        <v>3610</v>
      </c>
      <c r="GK740" s="14">
        <f t="shared" si="678"/>
        <v>177</v>
      </c>
      <c r="GL740" s="14">
        <f t="shared" si="698"/>
        <v>20840</v>
      </c>
      <c r="GM740" s="14">
        <f t="shared" si="679"/>
        <v>5</v>
      </c>
      <c r="GN740" s="14">
        <f t="shared" si="680"/>
        <v>2084</v>
      </c>
      <c r="GO740" s="25" t="s">
        <v>1471</v>
      </c>
      <c r="GP740" s="14">
        <f t="shared" si="699"/>
        <v>400</v>
      </c>
    </row>
    <row r="741" spans="151:198" ht="16.5" x14ac:dyDescent="0.2">
      <c r="EU741" s="13">
        <v>736</v>
      </c>
      <c r="EV741" s="14">
        <f t="shared" si="700"/>
        <v>2</v>
      </c>
      <c r="EW741" s="14">
        <f t="shared" si="668"/>
        <v>301</v>
      </c>
      <c r="EX741" s="14">
        <f t="shared" si="701"/>
        <v>40</v>
      </c>
      <c r="EY741" s="14">
        <f t="shared" si="669"/>
        <v>40</v>
      </c>
      <c r="EZ741" s="14">
        <f t="shared" si="681"/>
        <v>19</v>
      </c>
      <c r="FA741" s="14">
        <f t="shared" si="682"/>
        <v>120</v>
      </c>
      <c r="FB741" s="14">
        <f t="shared" si="683"/>
        <v>4</v>
      </c>
      <c r="FC741" s="14">
        <f t="shared" si="684"/>
        <v>4</v>
      </c>
      <c r="FD741" s="14">
        <f t="shared" si="685"/>
        <v>4</v>
      </c>
      <c r="FE741" s="14" t="b">
        <f t="shared" si="702"/>
        <v>0</v>
      </c>
      <c r="FF741" s="14">
        <f t="shared" si="686"/>
        <v>2108404</v>
      </c>
      <c r="FG741" s="13" t="str">
        <f t="shared" si="687"/>
        <v>120级-史诗守护灵の裤子</v>
      </c>
      <c r="FH741" s="14">
        <f t="shared" si="688"/>
        <v>2</v>
      </c>
      <c r="FI741" s="14">
        <f t="shared" si="689"/>
        <v>4</v>
      </c>
      <c r="FJ741" s="14">
        <f t="shared" si="690"/>
        <v>120</v>
      </c>
      <c r="FK741" s="14">
        <v>302</v>
      </c>
      <c r="FL741" s="14">
        <f t="shared" si="691"/>
        <v>8</v>
      </c>
      <c r="FM741" s="14">
        <f t="shared" si="670"/>
        <v>4</v>
      </c>
      <c r="FN741" s="14" t="str">
        <f t="shared" si="692"/>
        <v/>
      </c>
      <c r="FO741" s="14">
        <f t="shared" si="671"/>
        <v>190</v>
      </c>
      <c r="FP741" s="14">
        <f t="shared" si="703"/>
        <v>0</v>
      </c>
      <c r="FQ741" s="14">
        <f t="shared" si="704"/>
        <v>390</v>
      </c>
      <c r="FR741" s="14">
        <f t="shared" si="705"/>
        <v>0</v>
      </c>
      <c r="FS741" s="14">
        <f t="shared" si="706"/>
        <v>0</v>
      </c>
      <c r="FT741" s="14">
        <f t="shared" si="707"/>
        <v>19</v>
      </c>
      <c r="FU741" s="14">
        <f t="shared" si="708"/>
        <v>0</v>
      </c>
      <c r="FV741" s="14">
        <f t="shared" si="693"/>
        <v>2084</v>
      </c>
      <c r="FW741" s="14">
        <f t="shared" si="694"/>
        <v>5</v>
      </c>
      <c r="FX741" s="14">
        <f t="shared" si="695"/>
        <v>2084</v>
      </c>
      <c r="FY741" s="25" t="str">
        <f t="shared" si="709"/>
        <v>icon_2108104</v>
      </c>
      <c r="GC741" s="14">
        <f t="shared" si="696"/>
        <v>2</v>
      </c>
      <c r="GD741" s="14">
        <f t="shared" si="697"/>
        <v>0</v>
      </c>
      <c r="GE741" s="14">
        <f t="shared" si="672"/>
        <v>190</v>
      </c>
      <c r="GF741" s="14" t="str">
        <f t="shared" si="673"/>
        <v>DefExt</v>
      </c>
      <c r="GG741" s="14">
        <f t="shared" si="674"/>
        <v>390</v>
      </c>
      <c r="GH741" s="14">
        <f t="shared" si="675"/>
        <v>19</v>
      </c>
      <c r="GI741" s="14" t="str">
        <f t="shared" si="676"/>
        <v/>
      </c>
      <c r="GJ741" s="14" t="str">
        <f t="shared" si="677"/>
        <v/>
      </c>
      <c r="GK741" s="14" t="str">
        <f t="shared" si="678"/>
        <v/>
      </c>
      <c r="GL741" s="14">
        <f t="shared" si="698"/>
        <v>20840</v>
      </c>
      <c r="GM741" s="14">
        <f t="shared" si="679"/>
        <v>5</v>
      </c>
      <c r="GN741" s="14">
        <f t="shared" si="680"/>
        <v>2084</v>
      </c>
      <c r="GO741" s="25" t="s">
        <v>1471</v>
      </c>
      <c r="GP741" s="14">
        <f t="shared" si="699"/>
        <v>400</v>
      </c>
    </row>
    <row r="742" spans="151:198" ht="16.5" x14ac:dyDescent="0.2">
      <c r="EU742" s="13">
        <v>737</v>
      </c>
      <c r="EV742" s="14">
        <f t="shared" si="700"/>
        <v>2</v>
      </c>
      <c r="EW742" s="14">
        <f t="shared" si="668"/>
        <v>302</v>
      </c>
      <c r="EX742" s="14">
        <f t="shared" si="701"/>
        <v>40</v>
      </c>
      <c r="EY742" s="14">
        <f t="shared" si="669"/>
        <v>40</v>
      </c>
      <c r="EZ742" s="14">
        <f t="shared" si="681"/>
        <v>19</v>
      </c>
      <c r="FA742" s="14">
        <f t="shared" si="682"/>
        <v>120</v>
      </c>
      <c r="FB742" s="14">
        <f t="shared" si="683"/>
        <v>4</v>
      </c>
      <c r="FC742" s="14">
        <f t="shared" si="684"/>
        <v>5</v>
      </c>
      <c r="FD742" s="14">
        <f t="shared" si="685"/>
        <v>5</v>
      </c>
      <c r="FE742" s="14" t="b">
        <f t="shared" si="702"/>
        <v>0</v>
      </c>
      <c r="FF742" s="14">
        <f t="shared" si="686"/>
        <v>2108405</v>
      </c>
      <c r="FG742" s="13" t="str">
        <f t="shared" si="687"/>
        <v>120级-史诗守护灵の鞋子</v>
      </c>
      <c r="FH742" s="14">
        <f t="shared" si="688"/>
        <v>2</v>
      </c>
      <c r="FI742" s="14">
        <f t="shared" si="689"/>
        <v>4</v>
      </c>
      <c r="FJ742" s="14">
        <f t="shared" si="690"/>
        <v>120</v>
      </c>
      <c r="FK742" s="14">
        <v>303</v>
      </c>
      <c r="FL742" s="14">
        <f t="shared" si="691"/>
        <v>8</v>
      </c>
      <c r="FM742" s="14">
        <f t="shared" si="670"/>
        <v>5</v>
      </c>
      <c r="FN742" s="14" t="str">
        <f t="shared" si="692"/>
        <v/>
      </c>
      <c r="FO742" s="14">
        <f t="shared" si="671"/>
        <v>355</v>
      </c>
      <c r="FP742" s="14">
        <f t="shared" si="703"/>
        <v>0</v>
      </c>
      <c r="FQ742" s="14">
        <f t="shared" si="704"/>
        <v>0</v>
      </c>
      <c r="FR742" s="14">
        <f t="shared" si="705"/>
        <v>7215</v>
      </c>
      <c r="FS742" s="14">
        <f t="shared" si="706"/>
        <v>0</v>
      </c>
      <c r="FT742" s="14">
        <f t="shared" si="707"/>
        <v>0</v>
      </c>
      <c r="FU742" s="14">
        <f t="shared" si="708"/>
        <v>355</v>
      </c>
      <c r="FV742" s="14">
        <f t="shared" si="693"/>
        <v>2084</v>
      </c>
      <c r="FW742" s="14">
        <f t="shared" si="694"/>
        <v>5</v>
      </c>
      <c r="FX742" s="14">
        <f t="shared" si="695"/>
        <v>2084</v>
      </c>
      <c r="FY742" s="25" t="str">
        <f t="shared" si="709"/>
        <v>icon_2108105</v>
      </c>
      <c r="GC742" s="14">
        <f t="shared" si="696"/>
        <v>3</v>
      </c>
      <c r="GD742" s="14">
        <f t="shared" si="697"/>
        <v>0</v>
      </c>
      <c r="GE742" s="14">
        <f t="shared" si="672"/>
        <v>355</v>
      </c>
      <c r="GF742" s="14" t="str">
        <f t="shared" si="673"/>
        <v>HPExt</v>
      </c>
      <c r="GG742" s="14">
        <f t="shared" si="674"/>
        <v>7215</v>
      </c>
      <c r="GH742" s="14">
        <f t="shared" si="675"/>
        <v>355</v>
      </c>
      <c r="GI742" s="14" t="str">
        <f t="shared" si="676"/>
        <v/>
      </c>
      <c r="GJ742" s="14" t="str">
        <f t="shared" si="677"/>
        <v/>
      </c>
      <c r="GK742" s="14" t="str">
        <f t="shared" si="678"/>
        <v/>
      </c>
      <c r="GL742" s="14">
        <f t="shared" si="698"/>
        <v>20840</v>
      </c>
      <c r="GM742" s="14">
        <f t="shared" si="679"/>
        <v>5</v>
      </c>
      <c r="GN742" s="14">
        <f t="shared" si="680"/>
        <v>2084</v>
      </c>
      <c r="GO742" s="25" t="s">
        <v>1471</v>
      </c>
      <c r="GP742" s="14">
        <f t="shared" si="699"/>
        <v>400</v>
      </c>
    </row>
    <row r="743" spans="151:198" ht="16.5" x14ac:dyDescent="0.2">
      <c r="EU743" s="13">
        <v>738</v>
      </c>
      <c r="EV743" s="14">
        <f t="shared" si="700"/>
        <v>2</v>
      </c>
      <c r="EW743" s="14">
        <f t="shared" si="668"/>
        <v>303</v>
      </c>
      <c r="EX743" s="14">
        <f t="shared" si="701"/>
        <v>40</v>
      </c>
      <c r="EY743" s="14">
        <f t="shared" si="669"/>
        <v>40</v>
      </c>
      <c r="EZ743" s="14">
        <f t="shared" si="681"/>
        <v>19</v>
      </c>
      <c r="FA743" s="14">
        <f t="shared" si="682"/>
        <v>120</v>
      </c>
      <c r="FB743" s="14">
        <f t="shared" si="683"/>
        <v>4</v>
      </c>
      <c r="FC743" s="14">
        <f t="shared" si="684"/>
        <v>6</v>
      </c>
      <c r="FD743" s="14">
        <f t="shared" si="685"/>
        <v>6</v>
      </c>
      <c r="FE743" s="14" t="b">
        <f t="shared" si="702"/>
        <v>0</v>
      </c>
      <c r="FF743" s="14">
        <f t="shared" si="686"/>
        <v>2108406</v>
      </c>
      <c r="FG743" s="13" t="str">
        <f t="shared" si="687"/>
        <v>120级-史诗守护灵の护手</v>
      </c>
      <c r="FH743" s="14">
        <f t="shared" si="688"/>
        <v>2</v>
      </c>
      <c r="FI743" s="14">
        <f t="shared" si="689"/>
        <v>4</v>
      </c>
      <c r="FJ743" s="14">
        <f t="shared" si="690"/>
        <v>120</v>
      </c>
      <c r="FK743" s="14">
        <v>304</v>
      </c>
      <c r="FL743" s="14">
        <f t="shared" si="691"/>
        <v>8</v>
      </c>
      <c r="FM743" s="14">
        <f t="shared" si="670"/>
        <v>6</v>
      </c>
      <c r="FN743" s="14" t="str">
        <f t="shared" si="692"/>
        <v/>
      </c>
      <c r="FO743" s="14">
        <f t="shared" si="671"/>
        <v>355</v>
      </c>
      <c r="FP743" s="14">
        <f t="shared" si="703"/>
        <v>0</v>
      </c>
      <c r="FQ743" s="14">
        <f t="shared" si="704"/>
        <v>0</v>
      </c>
      <c r="FR743" s="14">
        <f t="shared" si="705"/>
        <v>7215</v>
      </c>
      <c r="FS743" s="14">
        <f t="shared" si="706"/>
        <v>0</v>
      </c>
      <c r="FT743" s="14">
        <f t="shared" si="707"/>
        <v>0</v>
      </c>
      <c r="FU743" s="14">
        <f t="shared" si="708"/>
        <v>355</v>
      </c>
      <c r="FV743" s="14">
        <f t="shared" si="693"/>
        <v>2084</v>
      </c>
      <c r="FW743" s="14">
        <f t="shared" si="694"/>
        <v>5</v>
      </c>
      <c r="FX743" s="14">
        <f t="shared" si="695"/>
        <v>2084</v>
      </c>
      <c r="FY743" s="25" t="str">
        <f t="shared" si="709"/>
        <v>icon_2108106</v>
      </c>
      <c r="GC743" s="14">
        <f t="shared" si="696"/>
        <v>3</v>
      </c>
      <c r="GD743" s="14">
        <f t="shared" si="697"/>
        <v>0</v>
      </c>
      <c r="GE743" s="14">
        <f t="shared" si="672"/>
        <v>355</v>
      </c>
      <c r="GF743" s="14" t="str">
        <f t="shared" si="673"/>
        <v>HPExt</v>
      </c>
      <c r="GG743" s="14">
        <f t="shared" si="674"/>
        <v>7215</v>
      </c>
      <c r="GH743" s="14">
        <f t="shared" si="675"/>
        <v>355</v>
      </c>
      <c r="GI743" s="14" t="str">
        <f t="shared" si="676"/>
        <v/>
      </c>
      <c r="GJ743" s="14" t="str">
        <f t="shared" si="677"/>
        <v/>
      </c>
      <c r="GK743" s="14" t="str">
        <f t="shared" si="678"/>
        <v/>
      </c>
      <c r="GL743" s="14">
        <f t="shared" si="698"/>
        <v>20840</v>
      </c>
      <c r="GM743" s="14">
        <f t="shared" si="679"/>
        <v>5</v>
      </c>
      <c r="GN743" s="14">
        <f t="shared" si="680"/>
        <v>2084</v>
      </c>
      <c r="GO743" s="25" t="s">
        <v>1471</v>
      </c>
      <c r="GP743" s="14">
        <f t="shared" si="699"/>
        <v>400</v>
      </c>
    </row>
    <row r="744" spans="151:198" ht="16.5" x14ac:dyDescent="0.2">
      <c r="EU744" s="13">
        <v>739</v>
      </c>
      <c r="EV744" s="14">
        <f t="shared" si="700"/>
        <v>2</v>
      </c>
      <c r="EW744" s="14">
        <f t="shared" si="668"/>
        <v>304</v>
      </c>
      <c r="EX744" s="14">
        <f t="shared" si="701"/>
        <v>40</v>
      </c>
      <c r="EY744" s="14">
        <f t="shared" si="669"/>
        <v>40</v>
      </c>
      <c r="EZ744" s="14">
        <f t="shared" si="681"/>
        <v>19</v>
      </c>
      <c r="FA744" s="14">
        <f t="shared" si="682"/>
        <v>120</v>
      </c>
      <c r="FB744" s="14">
        <f t="shared" si="683"/>
        <v>4</v>
      </c>
      <c r="FC744" s="14">
        <f t="shared" si="684"/>
        <v>7</v>
      </c>
      <c r="FD744" s="14">
        <f t="shared" si="685"/>
        <v>7</v>
      </c>
      <c r="FE744" s="14" t="b">
        <f t="shared" si="702"/>
        <v>0</v>
      </c>
      <c r="FF744" s="14">
        <f t="shared" si="686"/>
        <v>2108407</v>
      </c>
      <c r="FG744" s="13" t="str">
        <f t="shared" si="687"/>
        <v>120级-史诗守护灵の项链</v>
      </c>
      <c r="FH744" s="14">
        <f t="shared" si="688"/>
        <v>2</v>
      </c>
      <c r="FI744" s="14">
        <f t="shared" si="689"/>
        <v>4</v>
      </c>
      <c r="FJ744" s="14">
        <f t="shared" si="690"/>
        <v>120</v>
      </c>
      <c r="FK744" s="14">
        <v>305</v>
      </c>
      <c r="FL744" s="14">
        <f t="shared" si="691"/>
        <v>8</v>
      </c>
      <c r="FM744" s="14">
        <f t="shared" si="670"/>
        <v>7</v>
      </c>
      <c r="FN744" s="14" t="str">
        <f t="shared" si="692"/>
        <v/>
      </c>
      <c r="FO744" s="14">
        <f t="shared" si="671"/>
        <v>285</v>
      </c>
      <c r="FP744" s="14">
        <f t="shared" si="703"/>
        <v>515</v>
      </c>
      <c r="FQ744" s="14">
        <f t="shared" si="704"/>
        <v>325</v>
      </c>
      <c r="FR744" s="14">
        <f t="shared" si="705"/>
        <v>0</v>
      </c>
      <c r="FS744" s="14">
        <f t="shared" si="706"/>
        <v>25</v>
      </c>
      <c r="FT744" s="14">
        <f t="shared" si="707"/>
        <v>16</v>
      </c>
      <c r="FU744" s="14">
        <f t="shared" si="708"/>
        <v>0</v>
      </c>
      <c r="FV744" s="14">
        <f t="shared" si="693"/>
        <v>2084</v>
      </c>
      <c r="FW744" s="14">
        <f t="shared" si="694"/>
        <v>5</v>
      </c>
      <c r="FX744" s="14">
        <f t="shared" si="695"/>
        <v>2084</v>
      </c>
      <c r="FY744" s="25" t="str">
        <f t="shared" si="709"/>
        <v>icon_2108107</v>
      </c>
      <c r="GC744" s="14">
        <f t="shared" si="696"/>
        <v>1</v>
      </c>
      <c r="GD744" s="14">
        <f t="shared" si="697"/>
        <v>2</v>
      </c>
      <c r="GE744" s="14">
        <f t="shared" si="672"/>
        <v>285</v>
      </c>
      <c r="GF744" s="14" t="str">
        <f t="shared" si="673"/>
        <v>AtkExt</v>
      </c>
      <c r="GG744" s="14">
        <f t="shared" si="674"/>
        <v>515</v>
      </c>
      <c r="GH744" s="14">
        <f t="shared" si="675"/>
        <v>25</v>
      </c>
      <c r="GI744" s="14" t="str">
        <f t="shared" si="676"/>
        <v>DefExt</v>
      </c>
      <c r="GJ744" s="14">
        <f t="shared" si="677"/>
        <v>325</v>
      </c>
      <c r="GK744" s="14">
        <f t="shared" si="678"/>
        <v>16</v>
      </c>
      <c r="GL744" s="14">
        <f t="shared" si="698"/>
        <v>20840</v>
      </c>
      <c r="GM744" s="14">
        <f t="shared" si="679"/>
        <v>5</v>
      </c>
      <c r="GN744" s="14">
        <f t="shared" si="680"/>
        <v>2084</v>
      </c>
      <c r="GO744" s="25" t="s">
        <v>1471</v>
      </c>
      <c r="GP744" s="14">
        <f t="shared" si="699"/>
        <v>600</v>
      </c>
    </row>
    <row r="745" spans="151:198" ht="16.5" x14ac:dyDescent="0.2">
      <c r="EU745" s="13">
        <v>740</v>
      </c>
      <c r="EV745" s="14">
        <f t="shared" si="700"/>
        <v>2</v>
      </c>
      <c r="EW745" s="14">
        <f t="shared" si="668"/>
        <v>305</v>
      </c>
      <c r="EX745" s="14">
        <f t="shared" si="701"/>
        <v>40</v>
      </c>
      <c r="EY745" s="14">
        <f t="shared" si="669"/>
        <v>40</v>
      </c>
      <c r="EZ745" s="14">
        <f t="shared" si="681"/>
        <v>19</v>
      </c>
      <c r="FA745" s="14">
        <f t="shared" si="682"/>
        <v>120</v>
      </c>
      <c r="FB745" s="14">
        <f t="shared" si="683"/>
        <v>4</v>
      </c>
      <c r="FC745" s="14">
        <f t="shared" si="684"/>
        <v>8</v>
      </c>
      <c r="FD745" s="14">
        <f t="shared" si="685"/>
        <v>8</v>
      </c>
      <c r="FE745" s="14" t="b">
        <f t="shared" si="702"/>
        <v>0</v>
      </c>
      <c r="FF745" s="14">
        <f t="shared" si="686"/>
        <v>2108408</v>
      </c>
      <c r="FG745" s="13" t="str">
        <f t="shared" si="687"/>
        <v>120级-史诗守护灵の戒指</v>
      </c>
      <c r="FH745" s="14">
        <f t="shared" si="688"/>
        <v>2</v>
      </c>
      <c r="FI745" s="14">
        <f t="shared" si="689"/>
        <v>4</v>
      </c>
      <c r="FJ745" s="14">
        <f t="shared" si="690"/>
        <v>120</v>
      </c>
      <c r="FK745" s="14">
        <v>306</v>
      </c>
      <c r="FL745" s="14">
        <f t="shared" si="691"/>
        <v>8</v>
      </c>
      <c r="FM745" s="14">
        <f t="shared" si="670"/>
        <v>8</v>
      </c>
      <c r="FN745" s="14" t="str">
        <f t="shared" si="692"/>
        <v/>
      </c>
      <c r="FO745" s="14">
        <f t="shared" si="671"/>
        <v>421</v>
      </c>
      <c r="FP745" s="14">
        <f t="shared" si="703"/>
        <v>515</v>
      </c>
      <c r="FQ745" s="14">
        <f t="shared" si="704"/>
        <v>0</v>
      </c>
      <c r="FR745" s="14">
        <f t="shared" si="705"/>
        <v>6015</v>
      </c>
      <c r="FS745" s="14">
        <f t="shared" si="706"/>
        <v>25</v>
      </c>
      <c r="FT745" s="14">
        <f t="shared" si="707"/>
        <v>0</v>
      </c>
      <c r="FU745" s="14">
        <f t="shared" si="708"/>
        <v>296</v>
      </c>
      <c r="FV745" s="14">
        <f t="shared" si="693"/>
        <v>2084</v>
      </c>
      <c r="FW745" s="14">
        <f t="shared" si="694"/>
        <v>5</v>
      </c>
      <c r="FX745" s="14">
        <f t="shared" si="695"/>
        <v>2084</v>
      </c>
      <c r="FY745" s="25" t="str">
        <f t="shared" si="709"/>
        <v>icon_2108108</v>
      </c>
      <c r="GC745" s="14">
        <f t="shared" si="696"/>
        <v>1</v>
      </c>
      <c r="GD745" s="14">
        <f t="shared" si="697"/>
        <v>3</v>
      </c>
      <c r="GE745" s="14">
        <f t="shared" si="672"/>
        <v>421</v>
      </c>
      <c r="GF745" s="14" t="str">
        <f t="shared" si="673"/>
        <v>AtkExt</v>
      </c>
      <c r="GG745" s="14">
        <f t="shared" si="674"/>
        <v>515</v>
      </c>
      <c r="GH745" s="14">
        <f t="shared" si="675"/>
        <v>25</v>
      </c>
      <c r="GI745" s="14" t="str">
        <f t="shared" si="676"/>
        <v>HPExt</v>
      </c>
      <c r="GJ745" s="14">
        <f t="shared" si="677"/>
        <v>6015</v>
      </c>
      <c r="GK745" s="14">
        <f t="shared" si="678"/>
        <v>296</v>
      </c>
      <c r="GL745" s="14">
        <f t="shared" si="698"/>
        <v>20840</v>
      </c>
      <c r="GM745" s="14">
        <f t="shared" si="679"/>
        <v>5</v>
      </c>
      <c r="GN745" s="14">
        <f t="shared" si="680"/>
        <v>2084</v>
      </c>
      <c r="GO745" s="25" t="s">
        <v>1471</v>
      </c>
      <c r="GP745" s="14">
        <f t="shared" si="699"/>
        <v>600</v>
      </c>
    </row>
    <row r="746" spans="151:198" ht="16.5" x14ac:dyDescent="0.2">
      <c r="EU746" s="13">
        <v>741</v>
      </c>
      <c r="EV746" s="14">
        <f t="shared" si="700"/>
        <v>2</v>
      </c>
      <c r="EW746" s="14">
        <f t="shared" si="668"/>
        <v>306</v>
      </c>
      <c r="EX746" s="14">
        <f t="shared" si="701"/>
        <v>41</v>
      </c>
      <c r="EY746" s="14">
        <f t="shared" si="669"/>
        <v>41</v>
      </c>
      <c r="EZ746" s="14">
        <f t="shared" si="681"/>
        <v>19</v>
      </c>
      <c r="FA746" s="14">
        <f t="shared" si="682"/>
        <v>120</v>
      </c>
      <c r="FB746" s="14">
        <f t="shared" si="683"/>
        <v>4</v>
      </c>
      <c r="FC746" s="14">
        <f t="shared" si="684"/>
        <v>1</v>
      </c>
      <c r="FD746" s="14">
        <f t="shared" si="685"/>
        <v>1</v>
      </c>
      <c r="FE746" s="14" t="b">
        <f t="shared" si="702"/>
        <v>1</v>
      </c>
      <c r="FF746" s="14">
        <f t="shared" si="686"/>
        <v>2108411</v>
      </c>
      <c r="FG746" s="13" t="str">
        <f t="shared" si="687"/>
        <v>120级-攻击套守护灵の灵器</v>
      </c>
      <c r="FH746" s="14">
        <f t="shared" si="688"/>
        <v>2</v>
      </c>
      <c r="FI746" s="14">
        <f t="shared" si="689"/>
        <v>4</v>
      </c>
      <c r="FJ746" s="14">
        <f t="shared" si="690"/>
        <v>120</v>
      </c>
      <c r="FK746" s="14">
        <v>307</v>
      </c>
      <c r="FL746" s="14">
        <f t="shared" si="691"/>
        <v>8</v>
      </c>
      <c r="FM746" s="14">
        <f t="shared" si="670"/>
        <v>1</v>
      </c>
      <c r="FN746" s="14">
        <f t="shared" si="692"/>
        <v>210841</v>
      </c>
      <c r="FO746" s="14">
        <f t="shared" si="671"/>
        <v>570</v>
      </c>
      <c r="FP746" s="14">
        <f t="shared" si="703"/>
        <v>1550</v>
      </c>
      <c r="FQ746" s="14">
        <f t="shared" si="704"/>
        <v>0</v>
      </c>
      <c r="FR746" s="14">
        <f t="shared" si="705"/>
        <v>0</v>
      </c>
      <c r="FS746" s="14">
        <f t="shared" si="706"/>
        <v>76</v>
      </c>
      <c r="FT746" s="14">
        <f t="shared" si="707"/>
        <v>0</v>
      </c>
      <c r="FU746" s="14">
        <f t="shared" si="708"/>
        <v>0</v>
      </c>
      <c r="FV746" s="14">
        <f t="shared" si="693"/>
        <v>2084</v>
      </c>
      <c r="FW746" s="14">
        <f t="shared" si="694"/>
        <v>5</v>
      </c>
      <c r="FX746" s="14">
        <f t="shared" si="695"/>
        <v>2084</v>
      </c>
      <c r="FY746" s="25" t="str">
        <f t="shared" si="709"/>
        <v>icon_2108411</v>
      </c>
      <c r="GC746" s="14">
        <f t="shared" si="696"/>
        <v>1</v>
      </c>
      <c r="GD746" s="14">
        <f t="shared" si="697"/>
        <v>0</v>
      </c>
      <c r="GE746" s="14">
        <f t="shared" si="672"/>
        <v>570</v>
      </c>
      <c r="GF746" s="14" t="str">
        <f t="shared" si="673"/>
        <v>AtkExt</v>
      </c>
      <c r="GG746" s="14">
        <f t="shared" si="674"/>
        <v>1550</v>
      </c>
      <c r="GH746" s="14">
        <f t="shared" si="675"/>
        <v>76</v>
      </c>
      <c r="GI746" s="14" t="str">
        <f t="shared" si="676"/>
        <v/>
      </c>
      <c r="GJ746" s="14" t="str">
        <f t="shared" si="677"/>
        <v/>
      </c>
      <c r="GK746" s="14" t="str">
        <f t="shared" si="678"/>
        <v/>
      </c>
      <c r="GL746" s="14">
        <f t="shared" si="698"/>
        <v>20840</v>
      </c>
      <c r="GM746" s="14">
        <f t="shared" si="679"/>
        <v>5</v>
      </c>
      <c r="GN746" s="14">
        <f t="shared" si="680"/>
        <v>2084</v>
      </c>
      <c r="GO746" s="25" t="s">
        <v>1471</v>
      </c>
      <c r="GP746" s="14">
        <f t="shared" si="699"/>
        <v>800</v>
      </c>
    </row>
    <row r="747" spans="151:198" ht="16.5" x14ac:dyDescent="0.2">
      <c r="EU747" s="13">
        <v>742</v>
      </c>
      <c r="EV747" s="14">
        <f t="shared" si="700"/>
        <v>2</v>
      </c>
      <c r="EW747" s="14">
        <f t="shared" si="668"/>
        <v>307</v>
      </c>
      <c r="EX747" s="14">
        <f t="shared" si="701"/>
        <v>41</v>
      </c>
      <c r="EY747" s="14">
        <f t="shared" si="669"/>
        <v>41</v>
      </c>
      <c r="EZ747" s="14">
        <f t="shared" si="681"/>
        <v>19</v>
      </c>
      <c r="FA747" s="14">
        <f t="shared" si="682"/>
        <v>120</v>
      </c>
      <c r="FB747" s="14">
        <f t="shared" si="683"/>
        <v>4</v>
      </c>
      <c r="FC747" s="14">
        <f t="shared" si="684"/>
        <v>2</v>
      </c>
      <c r="FD747" s="14">
        <f t="shared" si="685"/>
        <v>2</v>
      </c>
      <c r="FE747" s="14" t="b">
        <f t="shared" si="702"/>
        <v>1</v>
      </c>
      <c r="FF747" s="14">
        <f t="shared" si="686"/>
        <v>2108412</v>
      </c>
      <c r="FG747" s="13" t="str">
        <f t="shared" si="687"/>
        <v>120级-攻击套守护灵の头盔</v>
      </c>
      <c r="FH747" s="14">
        <f t="shared" si="688"/>
        <v>2</v>
      </c>
      <c r="FI747" s="14">
        <f t="shared" si="689"/>
        <v>4</v>
      </c>
      <c r="FJ747" s="14">
        <f t="shared" si="690"/>
        <v>120</v>
      </c>
      <c r="FK747" s="14">
        <v>308</v>
      </c>
      <c r="FL747" s="14">
        <f t="shared" si="691"/>
        <v>8</v>
      </c>
      <c r="FM747" s="14">
        <f t="shared" si="670"/>
        <v>2</v>
      </c>
      <c r="FN747" s="14">
        <f t="shared" si="692"/>
        <v>210841</v>
      </c>
      <c r="FO747" s="14">
        <f t="shared" si="671"/>
        <v>285</v>
      </c>
      <c r="FP747" s="14">
        <f t="shared" si="703"/>
        <v>0</v>
      </c>
      <c r="FQ747" s="14">
        <f t="shared" si="704"/>
        <v>390</v>
      </c>
      <c r="FR747" s="14">
        <f t="shared" si="705"/>
        <v>0</v>
      </c>
      <c r="FS747" s="14">
        <f t="shared" si="706"/>
        <v>0</v>
      </c>
      <c r="FT747" s="14">
        <f t="shared" si="707"/>
        <v>19</v>
      </c>
      <c r="FU747" s="14">
        <f t="shared" si="708"/>
        <v>0</v>
      </c>
      <c r="FV747" s="14">
        <f t="shared" si="693"/>
        <v>2084</v>
      </c>
      <c r="FW747" s="14">
        <f t="shared" si="694"/>
        <v>5</v>
      </c>
      <c r="FX747" s="14">
        <f t="shared" si="695"/>
        <v>2084</v>
      </c>
      <c r="FY747" s="25" t="str">
        <f t="shared" si="709"/>
        <v>icon_2108412</v>
      </c>
      <c r="GC747" s="14">
        <f t="shared" si="696"/>
        <v>2</v>
      </c>
      <c r="GD747" s="14">
        <f t="shared" si="697"/>
        <v>0</v>
      </c>
      <c r="GE747" s="14">
        <f t="shared" si="672"/>
        <v>285</v>
      </c>
      <c r="GF747" s="14" t="str">
        <f t="shared" si="673"/>
        <v>DefExt</v>
      </c>
      <c r="GG747" s="14">
        <f t="shared" si="674"/>
        <v>390</v>
      </c>
      <c r="GH747" s="14">
        <f t="shared" si="675"/>
        <v>19</v>
      </c>
      <c r="GI747" s="14" t="str">
        <f t="shared" si="676"/>
        <v/>
      </c>
      <c r="GJ747" s="14" t="str">
        <f t="shared" si="677"/>
        <v/>
      </c>
      <c r="GK747" s="14" t="str">
        <f t="shared" si="678"/>
        <v/>
      </c>
      <c r="GL747" s="14">
        <f t="shared" si="698"/>
        <v>20840</v>
      </c>
      <c r="GM747" s="14">
        <f t="shared" si="679"/>
        <v>5</v>
      </c>
      <c r="GN747" s="14">
        <f t="shared" si="680"/>
        <v>2084</v>
      </c>
      <c r="GO747" s="25" t="s">
        <v>1471</v>
      </c>
      <c r="GP747" s="14">
        <f t="shared" si="699"/>
        <v>400</v>
      </c>
    </row>
    <row r="748" spans="151:198" ht="16.5" x14ac:dyDescent="0.2">
      <c r="EU748" s="13">
        <v>743</v>
      </c>
      <c r="EV748" s="14">
        <f t="shared" si="700"/>
        <v>2</v>
      </c>
      <c r="EW748" s="14">
        <f t="shared" si="668"/>
        <v>308</v>
      </c>
      <c r="EX748" s="14">
        <f t="shared" si="701"/>
        <v>41</v>
      </c>
      <c r="EY748" s="14">
        <f t="shared" si="669"/>
        <v>41</v>
      </c>
      <c r="EZ748" s="14">
        <f t="shared" si="681"/>
        <v>19</v>
      </c>
      <c r="FA748" s="14">
        <f t="shared" si="682"/>
        <v>120</v>
      </c>
      <c r="FB748" s="14">
        <f t="shared" si="683"/>
        <v>4</v>
      </c>
      <c r="FC748" s="14">
        <f t="shared" si="684"/>
        <v>3</v>
      </c>
      <c r="FD748" s="14">
        <f t="shared" si="685"/>
        <v>3</v>
      </c>
      <c r="FE748" s="14" t="b">
        <f t="shared" si="702"/>
        <v>1</v>
      </c>
      <c r="FF748" s="14">
        <f t="shared" si="686"/>
        <v>2108413</v>
      </c>
      <c r="FG748" s="13" t="str">
        <f t="shared" si="687"/>
        <v>120级-攻击套守护灵の铠甲</v>
      </c>
      <c r="FH748" s="14">
        <f t="shared" si="688"/>
        <v>2</v>
      </c>
      <c r="FI748" s="14">
        <f t="shared" si="689"/>
        <v>4</v>
      </c>
      <c r="FJ748" s="14">
        <f t="shared" si="690"/>
        <v>120</v>
      </c>
      <c r="FK748" s="14">
        <v>309</v>
      </c>
      <c r="FL748" s="14">
        <f t="shared" si="691"/>
        <v>8</v>
      </c>
      <c r="FM748" s="14">
        <f t="shared" si="670"/>
        <v>3</v>
      </c>
      <c r="FN748" s="14">
        <f t="shared" si="692"/>
        <v>210841</v>
      </c>
      <c r="FO748" s="14">
        <f t="shared" si="671"/>
        <v>415</v>
      </c>
      <c r="FP748" s="14">
        <f t="shared" si="703"/>
        <v>0</v>
      </c>
      <c r="FQ748" s="14">
        <f t="shared" si="704"/>
        <v>195</v>
      </c>
      <c r="FR748" s="14">
        <f t="shared" si="705"/>
        <v>3610</v>
      </c>
      <c r="FS748" s="14">
        <f t="shared" si="706"/>
        <v>0</v>
      </c>
      <c r="FT748" s="14">
        <f t="shared" si="707"/>
        <v>10</v>
      </c>
      <c r="FU748" s="14">
        <f t="shared" si="708"/>
        <v>177</v>
      </c>
      <c r="FV748" s="14">
        <f t="shared" si="693"/>
        <v>2084</v>
      </c>
      <c r="FW748" s="14">
        <f t="shared" si="694"/>
        <v>5</v>
      </c>
      <c r="FX748" s="14">
        <f t="shared" si="695"/>
        <v>2084</v>
      </c>
      <c r="FY748" s="25" t="str">
        <f t="shared" si="709"/>
        <v>icon_2108413</v>
      </c>
      <c r="GC748" s="14">
        <f t="shared" si="696"/>
        <v>2</v>
      </c>
      <c r="GD748" s="14">
        <f t="shared" si="697"/>
        <v>3</v>
      </c>
      <c r="GE748" s="14">
        <f t="shared" si="672"/>
        <v>415</v>
      </c>
      <c r="GF748" s="14" t="str">
        <f t="shared" si="673"/>
        <v>DefExt</v>
      </c>
      <c r="GG748" s="14">
        <f t="shared" si="674"/>
        <v>195</v>
      </c>
      <c r="GH748" s="14">
        <f t="shared" si="675"/>
        <v>10</v>
      </c>
      <c r="GI748" s="14" t="str">
        <f t="shared" si="676"/>
        <v>HPExt</v>
      </c>
      <c r="GJ748" s="14">
        <f t="shared" si="677"/>
        <v>3610</v>
      </c>
      <c r="GK748" s="14">
        <f t="shared" si="678"/>
        <v>177</v>
      </c>
      <c r="GL748" s="14">
        <f t="shared" si="698"/>
        <v>20840</v>
      </c>
      <c r="GM748" s="14">
        <f t="shared" si="679"/>
        <v>5</v>
      </c>
      <c r="GN748" s="14">
        <f t="shared" si="680"/>
        <v>2084</v>
      </c>
      <c r="GO748" s="25" t="s">
        <v>1471</v>
      </c>
      <c r="GP748" s="14">
        <f t="shared" si="699"/>
        <v>400</v>
      </c>
    </row>
    <row r="749" spans="151:198" ht="16.5" x14ac:dyDescent="0.2">
      <c r="EU749" s="13">
        <v>744</v>
      </c>
      <c r="EV749" s="14">
        <f t="shared" si="700"/>
        <v>2</v>
      </c>
      <c r="EW749" s="14">
        <f t="shared" si="668"/>
        <v>309</v>
      </c>
      <c r="EX749" s="14">
        <f t="shared" si="701"/>
        <v>41</v>
      </c>
      <c r="EY749" s="14">
        <f t="shared" si="669"/>
        <v>41</v>
      </c>
      <c r="EZ749" s="14">
        <f t="shared" si="681"/>
        <v>19</v>
      </c>
      <c r="FA749" s="14">
        <f t="shared" si="682"/>
        <v>120</v>
      </c>
      <c r="FB749" s="14">
        <f t="shared" si="683"/>
        <v>4</v>
      </c>
      <c r="FC749" s="14">
        <f t="shared" si="684"/>
        <v>4</v>
      </c>
      <c r="FD749" s="14">
        <f t="shared" si="685"/>
        <v>5</v>
      </c>
      <c r="FE749" s="14" t="b">
        <f t="shared" si="702"/>
        <v>1</v>
      </c>
      <c r="FF749" s="14">
        <f t="shared" si="686"/>
        <v>2108415</v>
      </c>
      <c r="FG749" s="13" t="str">
        <f t="shared" si="687"/>
        <v>120级-攻击套守护灵の鞋子</v>
      </c>
      <c r="FH749" s="14">
        <f t="shared" si="688"/>
        <v>2</v>
      </c>
      <c r="FI749" s="14">
        <f t="shared" si="689"/>
        <v>4</v>
      </c>
      <c r="FJ749" s="14">
        <f t="shared" si="690"/>
        <v>120</v>
      </c>
      <c r="FK749" s="14">
        <v>310</v>
      </c>
      <c r="FL749" s="14">
        <f t="shared" si="691"/>
        <v>8</v>
      </c>
      <c r="FM749" s="14">
        <f t="shared" si="670"/>
        <v>5</v>
      </c>
      <c r="FN749" s="14">
        <f t="shared" si="692"/>
        <v>210841</v>
      </c>
      <c r="FO749" s="14">
        <f t="shared" si="671"/>
        <v>532</v>
      </c>
      <c r="FP749" s="14">
        <f t="shared" si="703"/>
        <v>0</v>
      </c>
      <c r="FQ749" s="14">
        <f t="shared" si="704"/>
        <v>0</v>
      </c>
      <c r="FR749" s="14">
        <f t="shared" si="705"/>
        <v>7215</v>
      </c>
      <c r="FS749" s="14">
        <f t="shared" si="706"/>
        <v>0</v>
      </c>
      <c r="FT749" s="14">
        <f t="shared" si="707"/>
        <v>0</v>
      </c>
      <c r="FU749" s="14">
        <f t="shared" si="708"/>
        <v>355</v>
      </c>
      <c r="FV749" s="14">
        <f t="shared" si="693"/>
        <v>2084</v>
      </c>
      <c r="FW749" s="14">
        <f t="shared" si="694"/>
        <v>5</v>
      </c>
      <c r="FX749" s="14">
        <f t="shared" si="695"/>
        <v>2084</v>
      </c>
      <c r="FY749" s="25" t="str">
        <f t="shared" si="709"/>
        <v>icon_2108415</v>
      </c>
      <c r="GC749" s="14">
        <f t="shared" si="696"/>
        <v>3</v>
      </c>
      <c r="GD749" s="14">
        <f t="shared" si="697"/>
        <v>0</v>
      </c>
      <c r="GE749" s="14">
        <f t="shared" si="672"/>
        <v>532</v>
      </c>
      <c r="GF749" s="14" t="str">
        <f t="shared" si="673"/>
        <v>HPExt</v>
      </c>
      <c r="GG749" s="14">
        <f t="shared" si="674"/>
        <v>7215</v>
      </c>
      <c r="GH749" s="14">
        <f t="shared" si="675"/>
        <v>355</v>
      </c>
      <c r="GI749" s="14" t="str">
        <f t="shared" si="676"/>
        <v/>
      </c>
      <c r="GJ749" s="14" t="str">
        <f t="shared" si="677"/>
        <v/>
      </c>
      <c r="GK749" s="14" t="str">
        <f t="shared" si="678"/>
        <v/>
      </c>
      <c r="GL749" s="14">
        <f t="shared" si="698"/>
        <v>20840</v>
      </c>
      <c r="GM749" s="14">
        <f t="shared" si="679"/>
        <v>5</v>
      </c>
      <c r="GN749" s="14">
        <f t="shared" si="680"/>
        <v>2084</v>
      </c>
      <c r="GO749" s="25" t="s">
        <v>1471</v>
      </c>
      <c r="GP749" s="14">
        <f t="shared" si="699"/>
        <v>400</v>
      </c>
    </row>
    <row r="750" spans="151:198" ht="16.5" x14ac:dyDescent="0.2">
      <c r="EU750" s="13">
        <v>745</v>
      </c>
      <c r="EV750" s="14">
        <f t="shared" si="700"/>
        <v>2</v>
      </c>
      <c r="EW750" s="14">
        <f t="shared" si="668"/>
        <v>310</v>
      </c>
      <c r="EX750" s="14">
        <f t="shared" si="701"/>
        <v>41</v>
      </c>
      <c r="EY750" s="14">
        <f t="shared" si="669"/>
        <v>41</v>
      </c>
      <c r="EZ750" s="14">
        <f t="shared" si="681"/>
        <v>19</v>
      </c>
      <c r="FA750" s="14">
        <f t="shared" si="682"/>
        <v>120</v>
      </c>
      <c r="FB750" s="14">
        <f t="shared" si="683"/>
        <v>4</v>
      </c>
      <c r="FC750" s="14">
        <f t="shared" si="684"/>
        <v>5</v>
      </c>
      <c r="FD750" s="14">
        <f t="shared" si="685"/>
        <v>7</v>
      </c>
      <c r="FE750" s="14" t="b">
        <f t="shared" si="702"/>
        <v>1</v>
      </c>
      <c r="FF750" s="14">
        <f t="shared" si="686"/>
        <v>2108417</v>
      </c>
      <c r="FG750" s="13" t="str">
        <f t="shared" si="687"/>
        <v>120级-攻击套守护灵の项链</v>
      </c>
      <c r="FH750" s="14">
        <f t="shared" si="688"/>
        <v>2</v>
      </c>
      <c r="FI750" s="14">
        <f t="shared" si="689"/>
        <v>4</v>
      </c>
      <c r="FJ750" s="14">
        <f t="shared" si="690"/>
        <v>120</v>
      </c>
      <c r="FK750" s="14">
        <v>311</v>
      </c>
      <c r="FL750" s="14">
        <f t="shared" si="691"/>
        <v>8</v>
      </c>
      <c r="FM750" s="14">
        <f t="shared" si="670"/>
        <v>7</v>
      </c>
      <c r="FN750" s="14">
        <f t="shared" si="692"/>
        <v>210841</v>
      </c>
      <c r="FO750" s="14">
        <f t="shared" si="671"/>
        <v>427</v>
      </c>
      <c r="FP750" s="14">
        <f t="shared" si="703"/>
        <v>515</v>
      </c>
      <c r="FQ750" s="14">
        <f t="shared" si="704"/>
        <v>325</v>
      </c>
      <c r="FR750" s="14">
        <f t="shared" si="705"/>
        <v>0</v>
      </c>
      <c r="FS750" s="14">
        <f t="shared" si="706"/>
        <v>25</v>
      </c>
      <c r="FT750" s="14">
        <f t="shared" si="707"/>
        <v>16</v>
      </c>
      <c r="FU750" s="14">
        <f t="shared" si="708"/>
        <v>0</v>
      </c>
      <c r="FV750" s="14">
        <f t="shared" si="693"/>
        <v>2084</v>
      </c>
      <c r="FW750" s="14">
        <f t="shared" si="694"/>
        <v>5</v>
      </c>
      <c r="FX750" s="14">
        <f t="shared" si="695"/>
        <v>2084</v>
      </c>
      <c r="FY750" s="25" t="str">
        <f t="shared" si="709"/>
        <v>icon_2108417</v>
      </c>
      <c r="GC750" s="14">
        <f t="shared" si="696"/>
        <v>1</v>
      </c>
      <c r="GD750" s="14">
        <f t="shared" si="697"/>
        <v>2</v>
      </c>
      <c r="GE750" s="14">
        <f t="shared" si="672"/>
        <v>427</v>
      </c>
      <c r="GF750" s="14" t="str">
        <f t="shared" si="673"/>
        <v>AtkExt</v>
      </c>
      <c r="GG750" s="14">
        <f t="shared" si="674"/>
        <v>515</v>
      </c>
      <c r="GH750" s="14">
        <f t="shared" si="675"/>
        <v>25</v>
      </c>
      <c r="GI750" s="14" t="str">
        <f t="shared" si="676"/>
        <v>DefExt</v>
      </c>
      <c r="GJ750" s="14">
        <f t="shared" si="677"/>
        <v>325</v>
      </c>
      <c r="GK750" s="14">
        <f t="shared" si="678"/>
        <v>16</v>
      </c>
      <c r="GL750" s="14">
        <f t="shared" si="698"/>
        <v>20840</v>
      </c>
      <c r="GM750" s="14">
        <f t="shared" si="679"/>
        <v>5</v>
      </c>
      <c r="GN750" s="14">
        <f t="shared" si="680"/>
        <v>2084</v>
      </c>
      <c r="GO750" s="25" t="s">
        <v>1471</v>
      </c>
      <c r="GP750" s="14">
        <f t="shared" si="699"/>
        <v>600</v>
      </c>
    </row>
    <row r="751" spans="151:198" ht="16.5" x14ac:dyDescent="0.2">
      <c r="EU751" s="13">
        <v>746</v>
      </c>
      <c r="EV751" s="14">
        <f t="shared" si="700"/>
        <v>2</v>
      </c>
      <c r="EW751" s="14">
        <f t="shared" si="668"/>
        <v>311</v>
      </c>
      <c r="EX751" s="14">
        <f t="shared" si="701"/>
        <v>41</v>
      </c>
      <c r="EY751" s="14">
        <f t="shared" si="669"/>
        <v>41</v>
      </c>
      <c r="EZ751" s="14">
        <f t="shared" si="681"/>
        <v>19</v>
      </c>
      <c r="FA751" s="14">
        <f t="shared" si="682"/>
        <v>120</v>
      </c>
      <c r="FB751" s="14">
        <f t="shared" si="683"/>
        <v>4</v>
      </c>
      <c r="FC751" s="14">
        <f t="shared" si="684"/>
        <v>6</v>
      </c>
      <c r="FD751" s="14">
        <f t="shared" si="685"/>
        <v>8</v>
      </c>
      <c r="FE751" s="14" t="b">
        <f t="shared" si="702"/>
        <v>1</v>
      </c>
      <c r="FF751" s="14">
        <f t="shared" si="686"/>
        <v>2108418</v>
      </c>
      <c r="FG751" s="13" t="str">
        <f t="shared" si="687"/>
        <v>120级-攻击套守护灵の戒指</v>
      </c>
      <c r="FH751" s="14">
        <f t="shared" si="688"/>
        <v>2</v>
      </c>
      <c r="FI751" s="14">
        <f t="shared" si="689"/>
        <v>4</v>
      </c>
      <c r="FJ751" s="14">
        <f t="shared" si="690"/>
        <v>120</v>
      </c>
      <c r="FK751" s="14">
        <v>312</v>
      </c>
      <c r="FL751" s="14">
        <f t="shared" si="691"/>
        <v>8</v>
      </c>
      <c r="FM751" s="14">
        <f t="shared" si="670"/>
        <v>8</v>
      </c>
      <c r="FN751" s="14">
        <f t="shared" si="692"/>
        <v>210841</v>
      </c>
      <c r="FO751" s="14">
        <f t="shared" si="671"/>
        <v>631</v>
      </c>
      <c r="FP751" s="14">
        <f t="shared" si="703"/>
        <v>515</v>
      </c>
      <c r="FQ751" s="14">
        <f t="shared" si="704"/>
        <v>0</v>
      </c>
      <c r="FR751" s="14">
        <f t="shared" si="705"/>
        <v>6015</v>
      </c>
      <c r="FS751" s="14">
        <f t="shared" si="706"/>
        <v>25</v>
      </c>
      <c r="FT751" s="14">
        <f t="shared" si="707"/>
        <v>0</v>
      </c>
      <c r="FU751" s="14">
        <f t="shared" si="708"/>
        <v>296</v>
      </c>
      <c r="FV751" s="14">
        <f t="shared" si="693"/>
        <v>2084</v>
      </c>
      <c r="FW751" s="14">
        <f t="shared" si="694"/>
        <v>5</v>
      </c>
      <c r="FX751" s="14">
        <f t="shared" si="695"/>
        <v>2084</v>
      </c>
      <c r="FY751" s="25" t="str">
        <f t="shared" si="709"/>
        <v>icon_2108418</v>
      </c>
      <c r="GC751" s="14">
        <f t="shared" si="696"/>
        <v>1</v>
      </c>
      <c r="GD751" s="14">
        <f t="shared" si="697"/>
        <v>3</v>
      </c>
      <c r="GE751" s="14">
        <f t="shared" si="672"/>
        <v>631</v>
      </c>
      <c r="GF751" s="14" t="str">
        <f t="shared" si="673"/>
        <v>AtkExt</v>
      </c>
      <c r="GG751" s="14">
        <f t="shared" si="674"/>
        <v>515</v>
      </c>
      <c r="GH751" s="14">
        <f t="shared" si="675"/>
        <v>25</v>
      </c>
      <c r="GI751" s="14" t="str">
        <f t="shared" si="676"/>
        <v>HPExt</v>
      </c>
      <c r="GJ751" s="14">
        <f t="shared" si="677"/>
        <v>6015</v>
      </c>
      <c r="GK751" s="14">
        <f t="shared" si="678"/>
        <v>296</v>
      </c>
      <c r="GL751" s="14">
        <f t="shared" si="698"/>
        <v>20840</v>
      </c>
      <c r="GM751" s="14">
        <f t="shared" si="679"/>
        <v>5</v>
      </c>
      <c r="GN751" s="14">
        <f t="shared" si="680"/>
        <v>2084</v>
      </c>
      <c r="GO751" s="25" t="s">
        <v>1471</v>
      </c>
      <c r="GP751" s="14">
        <f t="shared" si="699"/>
        <v>600</v>
      </c>
    </row>
    <row r="752" spans="151:198" ht="16.5" x14ac:dyDescent="0.2">
      <c r="EU752" s="13">
        <v>747</v>
      </c>
      <c r="EV752" s="14">
        <f t="shared" si="700"/>
        <v>2</v>
      </c>
      <c r="EW752" s="14">
        <f t="shared" si="668"/>
        <v>312</v>
      </c>
      <c r="EX752" s="14">
        <f t="shared" si="701"/>
        <v>42</v>
      </c>
      <c r="EY752" s="14">
        <f t="shared" si="669"/>
        <v>42</v>
      </c>
      <c r="EZ752" s="14">
        <f t="shared" si="681"/>
        <v>19</v>
      </c>
      <c r="FA752" s="14">
        <f t="shared" si="682"/>
        <v>120</v>
      </c>
      <c r="FB752" s="14">
        <f t="shared" si="683"/>
        <v>4</v>
      </c>
      <c r="FC752" s="14">
        <f t="shared" si="684"/>
        <v>1</v>
      </c>
      <c r="FD752" s="14">
        <f t="shared" si="685"/>
        <v>1</v>
      </c>
      <c r="FE752" s="14" t="b">
        <f t="shared" si="702"/>
        <v>1</v>
      </c>
      <c r="FF752" s="14">
        <f t="shared" si="686"/>
        <v>2108421</v>
      </c>
      <c r="FG752" s="13" t="str">
        <f t="shared" si="687"/>
        <v>120级-绝世套守护灵の灵器</v>
      </c>
      <c r="FH752" s="14">
        <f t="shared" si="688"/>
        <v>2</v>
      </c>
      <c r="FI752" s="14">
        <f t="shared" si="689"/>
        <v>4</v>
      </c>
      <c r="FJ752" s="14">
        <f t="shared" si="690"/>
        <v>120</v>
      </c>
      <c r="FK752" s="14">
        <v>313</v>
      </c>
      <c r="FL752" s="14">
        <f t="shared" si="691"/>
        <v>8</v>
      </c>
      <c r="FM752" s="14">
        <f t="shared" si="670"/>
        <v>1</v>
      </c>
      <c r="FN752" s="14">
        <f t="shared" si="692"/>
        <v>210843</v>
      </c>
      <c r="FO752" s="14">
        <f t="shared" si="671"/>
        <v>570</v>
      </c>
      <c r="FP752" s="14">
        <f t="shared" si="703"/>
        <v>1550</v>
      </c>
      <c r="FQ752" s="14">
        <f t="shared" si="704"/>
        <v>0</v>
      </c>
      <c r="FR752" s="14">
        <f t="shared" si="705"/>
        <v>0</v>
      </c>
      <c r="FS752" s="14">
        <f t="shared" si="706"/>
        <v>76</v>
      </c>
      <c r="FT752" s="14">
        <f t="shared" si="707"/>
        <v>0</v>
      </c>
      <c r="FU752" s="14">
        <f t="shared" si="708"/>
        <v>0</v>
      </c>
      <c r="FV752" s="14">
        <f t="shared" si="693"/>
        <v>2084</v>
      </c>
      <c r="FW752" s="14">
        <f t="shared" si="694"/>
        <v>5</v>
      </c>
      <c r="FX752" s="14">
        <f t="shared" si="695"/>
        <v>2084</v>
      </c>
      <c r="FY752" s="25" t="str">
        <f t="shared" si="709"/>
        <v>icon_2108421</v>
      </c>
      <c r="GC752" s="14">
        <f t="shared" si="696"/>
        <v>1</v>
      </c>
      <c r="GD752" s="14">
        <f t="shared" si="697"/>
        <v>0</v>
      </c>
      <c r="GE752" s="14">
        <f t="shared" si="672"/>
        <v>570</v>
      </c>
      <c r="GF752" s="14" t="str">
        <f t="shared" si="673"/>
        <v>AtkExt</v>
      </c>
      <c r="GG752" s="14">
        <f t="shared" si="674"/>
        <v>1550</v>
      </c>
      <c r="GH752" s="14">
        <f t="shared" si="675"/>
        <v>76</v>
      </c>
      <c r="GI752" s="14" t="str">
        <f t="shared" si="676"/>
        <v/>
      </c>
      <c r="GJ752" s="14" t="str">
        <f t="shared" si="677"/>
        <v/>
      </c>
      <c r="GK752" s="14" t="str">
        <f t="shared" si="678"/>
        <v/>
      </c>
      <c r="GL752" s="14">
        <f t="shared" si="698"/>
        <v>20840</v>
      </c>
      <c r="GM752" s="14">
        <f t="shared" si="679"/>
        <v>5</v>
      </c>
      <c r="GN752" s="14">
        <f t="shared" si="680"/>
        <v>2084</v>
      </c>
      <c r="GO752" s="25" t="s">
        <v>1471</v>
      </c>
      <c r="GP752" s="14">
        <f t="shared" si="699"/>
        <v>800</v>
      </c>
    </row>
    <row r="753" spans="151:198" ht="16.5" x14ac:dyDescent="0.2">
      <c r="EU753" s="13">
        <v>748</v>
      </c>
      <c r="EV753" s="14">
        <f t="shared" si="700"/>
        <v>2</v>
      </c>
      <c r="EW753" s="14">
        <f t="shared" si="668"/>
        <v>313</v>
      </c>
      <c r="EX753" s="14">
        <f t="shared" si="701"/>
        <v>42</v>
      </c>
      <c r="EY753" s="14">
        <f t="shared" si="669"/>
        <v>42</v>
      </c>
      <c r="EZ753" s="14">
        <f t="shared" si="681"/>
        <v>19</v>
      </c>
      <c r="FA753" s="14">
        <f t="shared" si="682"/>
        <v>120</v>
      </c>
      <c r="FB753" s="14">
        <f t="shared" si="683"/>
        <v>4</v>
      </c>
      <c r="FC753" s="14">
        <f t="shared" si="684"/>
        <v>2</v>
      </c>
      <c r="FD753" s="14">
        <f t="shared" si="685"/>
        <v>2</v>
      </c>
      <c r="FE753" s="14" t="b">
        <f t="shared" si="702"/>
        <v>1</v>
      </c>
      <c r="FF753" s="14">
        <f t="shared" si="686"/>
        <v>2108422</v>
      </c>
      <c r="FG753" s="13" t="str">
        <f t="shared" si="687"/>
        <v>120级-绝世套守护灵の头盔</v>
      </c>
      <c r="FH753" s="14">
        <f t="shared" si="688"/>
        <v>2</v>
      </c>
      <c r="FI753" s="14">
        <f t="shared" si="689"/>
        <v>4</v>
      </c>
      <c r="FJ753" s="14">
        <f t="shared" si="690"/>
        <v>120</v>
      </c>
      <c r="FK753" s="14">
        <v>314</v>
      </c>
      <c r="FL753" s="14">
        <f t="shared" si="691"/>
        <v>8</v>
      </c>
      <c r="FM753" s="14">
        <f t="shared" si="670"/>
        <v>2</v>
      </c>
      <c r="FN753" s="14">
        <f t="shared" si="692"/>
        <v>210843</v>
      </c>
      <c r="FO753" s="14">
        <f t="shared" si="671"/>
        <v>285</v>
      </c>
      <c r="FP753" s="14">
        <f t="shared" si="703"/>
        <v>0</v>
      </c>
      <c r="FQ753" s="14">
        <f t="shared" si="704"/>
        <v>390</v>
      </c>
      <c r="FR753" s="14">
        <f t="shared" si="705"/>
        <v>0</v>
      </c>
      <c r="FS753" s="14">
        <f t="shared" si="706"/>
        <v>0</v>
      </c>
      <c r="FT753" s="14">
        <f t="shared" si="707"/>
        <v>19</v>
      </c>
      <c r="FU753" s="14">
        <f t="shared" si="708"/>
        <v>0</v>
      </c>
      <c r="FV753" s="14">
        <f t="shared" si="693"/>
        <v>2084</v>
      </c>
      <c r="FW753" s="14">
        <f t="shared" si="694"/>
        <v>5</v>
      </c>
      <c r="FX753" s="14">
        <f t="shared" si="695"/>
        <v>2084</v>
      </c>
      <c r="FY753" s="25" t="str">
        <f t="shared" si="709"/>
        <v>icon_2108422</v>
      </c>
      <c r="GC753" s="14">
        <f t="shared" si="696"/>
        <v>2</v>
      </c>
      <c r="GD753" s="14">
        <f t="shared" si="697"/>
        <v>0</v>
      </c>
      <c r="GE753" s="14">
        <f t="shared" si="672"/>
        <v>285</v>
      </c>
      <c r="GF753" s="14" t="str">
        <f t="shared" si="673"/>
        <v>DefExt</v>
      </c>
      <c r="GG753" s="14">
        <f t="shared" si="674"/>
        <v>390</v>
      </c>
      <c r="GH753" s="14">
        <f t="shared" si="675"/>
        <v>19</v>
      </c>
      <c r="GI753" s="14" t="str">
        <f t="shared" si="676"/>
        <v/>
      </c>
      <c r="GJ753" s="14" t="str">
        <f t="shared" si="677"/>
        <v/>
      </c>
      <c r="GK753" s="14" t="str">
        <f t="shared" si="678"/>
        <v/>
      </c>
      <c r="GL753" s="14">
        <f t="shared" si="698"/>
        <v>20840</v>
      </c>
      <c r="GM753" s="14">
        <f t="shared" si="679"/>
        <v>5</v>
      </c>
      <c r="GN753" s="14">
        <f t="shared" si="680"/>
        <v>2084</v>
      </c>
      <c r="GO753" s="25" t="s">
        <v>1471</v>
      </c>
      <c r="GP753" s="14">
        <f t="shared" si="699"/>
        <v>400</v>
      </c>
    </row>
    <row r="754" spans="151:198" ht="16.5" x14ac:dyDescent="0.2">
      <c r="EU754" s="13">
        <v>749</v>
      </c>
      <c r="EV754" s="14">
        <f t="shared" si="700"/>
        <v>2</v>
      </c>
      <c r="EW754" s="14">
        <f t="shared" si="668"/>
        <v>314</v>
      </c>
      <c r="EX754" s="14">
        <f t="shared" si="701"/>
        <v>42</v>
      </c>
      <c r="EY754" s="14">
        <f t="shared" si="669"/>
        <v>42</v>
      </c>
      <c r="EZ754" s="14">
        <f t="shared" si="681"/>
        <v>19</v>
      </c>
      <c r="FA754" s="14">
        <f t="shared" si="682"/>
        <v>120</v>
      </c>
      <c r="FB754" s="14">
        <f t="shared" si="683"/>
        <v>4</v>
      </c>
      <c r="FC754" s="14">
        <f t="shared" si="684"/>
        <v>3</v>
      </c>
      <c r="FD754" s="14">
        <f t="shared" si="685"/>
        <v>3</v>
      </c>
      <c r="FE754" s="14" t="b">
        <f t="shared" si="702"/>
        <v>1</v>
      </c>
      <c r="FF754" s="14">
        <f t="shared" si="686"/>
        <v>2108423</v>
      </c>
      <c r="FG754" s="13" t="str">
        <f t="shared" si="687"/>
        <v>120级-绝世套守护灵の铠甲</v>
      </c>
      <c r="FH754" s="14">
        <f t="shared" si="688"/>
        <v>2</v>
      </c>
      <c r="FI754" s="14">
        <f t="shared" si="689"/>
        <v>4</v>
      </c>
      <c r="FJ754" s="14">
        <f t="shared" si="690"/>
        <v>120</v>
      </c>
      <c r="FK754" s="14">
        <v>315</v>
      </c>
      <c r="FL754" s="14">
        <f t="shared" si="691"/>
        <v>8</v>
      </c>
      <c r="FM754" s="14">
        <f t="shared" si="670"/>
        <v>3</v>
      </c>
      <c r="FN754" s="14">
        <f t="shared" si="692"/>
        <v>210843</v>
      </c>
      <c r="FO754" s="14">
        <f t="shared" si="671"/>
        <v>415</v>
      </c>
      <c r="FP754" s="14">
        <f t="shared" si="703"/>
        <v>0</v>
      </c>
      <c r="FQ754" s="14">
        <f t="shared" si="704"/>
        <v>195</v>
      </c>
      <c r="FR754" s="14">
        <f t="shared" si="705"/>
        <v>3610</v>
      </c>
      <c r="FS754" s="14">
        <f t="shared" si="706"/>
        <v>0</v>
      </c>
      <c r="FT754" s="14">
        <f t="shared" si="707"/>
        <v>10</v>
      </c>
      <c r="FU754" s="14">
        <f t="shared" si="708"/>
        <v>177</v>
      </c>
      <c r="FV754" s="14">
        <f t="shared" si="693"/>
        <v>2084</v>
      </c>
      <c r="FW754" s="14">
        <f t="shared" si="694"/>
        <v>5</v>
      </c>
      <c r="FX754" s="14">
        <f t="shared" si="695"/>
        <v>2084</v>
      </c>
      <c r="FY754" s="25" t="str">
        <f t="shared" si="709"/>
        <v>icon_2108423</v>
      </c>
      <c r="GC754" s="14">
        <f t="shared" si="696"/>
        <v>2</v>
      </c>
      <c r="GD754" s="14">
        <f t="shared" si="697"/>
        <v>3</v>
      </c>
      <c r="GE754" s="14">
        <f t="shared" si="672"/>
        <v>415</v>
      </c>
      <c r="GF754" s="14" t="str">
        <f t="shared" si="673"/>
        <v>DefExt</v>
      </c>
      <c r="GG754" s="14">
        <f t="shared" si="674"/>
        <v>195</v>
      </c>
      <c r="GH754" s="14">
        <f t="shared" si="675"/>
        <v>10</v>
      </c>
      <c r="GI754" s="14" t="str">
        <f t="shared" si="676"/>
        <v>HPExt</v>
      </c>
      <c r="GJ754" s="14">
        <f t="shared" si="677"/>
        <v>3610</v>
      </c>
      <c r="GK754" s="14">
        <f t="shared" si="678"/>
        <v>177</v>
      </c>
      <c r="GL754" s="14">
        <f t="shared" si="698"/>
        <v>20840</v>
      </c>
      <c r="GM754" s="14">
        <f t="shared" si="679"/>
        <v>5</v>
      </c>
      <c r="GN754" s="14">
        <f t="shared" si="680"/>
        <v>2084</v>
      </c>
      <c r="GO754" s="25" t="s">
        <v>1471</v>
      </c>
      <c r="GP754" s="14">
        <f t="shared" si="699"/>
        <v>400</v>
      </c>
    </row>
    <row r="755" spans="151:198" ht="16.5" x14ac:dyDescent="0.2">
      <c r="EU755" s="13">
        <v>750</v>
      </c>
      <c r="EV755" s="14">
        <f t="shared" si="700"/>
        <v>2</v>
      </c>
      <c r="EW755" s="14">
        <f t="shared" si="668"/>
        <v>315</v>
      </c>
      <c r="EX755" s="14">
        <f t="shared" si="701"/>
        <v>42</v>
      </c>
      <c r="EY755" s="14">
        <f t="shared" si="669"/>
        <v>42</v>
      </c>
      <c r="EZ755" s="14">
        <f t="shared" si="681"/>
        <v>19</v>
      </c>
      <c r="FA755" s="14">
        <f t="shared" si="682"/>
        <v>120</v>
      </c>
      <c r="FB755" s="14">
        <f t="shared" si="683"/>
        <v>4</v>
      </c>
      <c r="FC755" s="14">
        <f t="shared" si="684"/>
        <v>4</v>
      </c>
      <c r="FD755" s="14">
        <f t="shared" si="685"/>
        <v>7</v>
      </c>
      <c r="FE755" s="14" t="b">
        <f t="shared" si="702"/>
        <v>1</v>
      </c>
      <c r="FF755" s="14">
        <f t="shared" si="686"/>
        <v>2108427</v>
      </c>
      <c r="FG755" s="13" t="str">
        <f t="shared" si="687"/>
        <v>120级-绝世套守护灵の项链</v>
      </c>
      <c r="FH755" s="14">
        <f t="shared" si="688"/>
        <v>2</v>
      </c>
      <c r="FI755" s="14">
        <f t="shared" si="689"/>
        <v>4</v>
      </c>
      <c r="FJ755" s="14">
        <f t="shared" si="690"/>
        <v>120</v>
      </c>
      <c r="FK755" s="14">
        <v>316</v>
      </c>
      <c r="FL755" s="14">
        <f t="shared" si="691"/>
        <v>8</v>
      </c>
      <c r="FM755" s="14">
        <f t="shared" si="670"/>
        <v>7</v>
      </c>
      <c r="FN755" s="14">
        <f t="shared" si="692"/>
        <v>210843</v>
      </c>
      <c r="FO755" s="14">
        <f t="shared" si="671"/>
        <v>427</v>
      </c>
      <c r="FP755" s="14">
        <f t="shared" si="703"/>
        <v>515</v>
      </c>
      <c r="FQ755" s="14">
        <f t="shared" si="704"/>
        <v>325</v>
      </c>
      <c r="FR755" s="14">
        <f t="shared" si="705"/>
        <v>0</v>
      </c>
      <c r="FS755" s="14">
        <f t="shared" si="706"/>
        <v>25</v>
      </c>
      <c r="FT755" s="14">
        <f t="shared" si="707"/>
        <v>16</v>
      </c>
      <c r="FU755" s="14">
        <f t="shared" si="708"/>
        <v>0</v>
      </c>
      <c r="FV755" s="14">
        <f t="shared" si="693"/>
        <v>2084</v>
      </c>
      <c r="FW755" s="14">
        <f t="shared" si="694"/>
        <v>5</v>
      </c>
      <c r="FX755" s="14">
        <f t="shared" si="695"/>
        <v>2084</v>
      </c>
      <c r="FY755" s="25" t="str">
        <f t="shared" si="709"/>
        <v>icon_2108427</v>
      </c>
      <c r="GC755" s="14">
        <f t="shared" si="696"/>
        <v>1</v>
      </c>
      <c r="GD755" s="14">
        <f t="shared" si="697"/>
        <v>2</v>
      </c>
      <c r="GE755" s="14">
        <f t="shared" si="672"/>
        <v>427</v>
      </c>
      <c r="GF755" s="14" t="str">
        <f t="shared" si="673"/>
        <v>AtkExt</v>
      </c>
      <c r="GG755" s="14">
        <f t="shared" si="674"/>
        <v>515</v>
      </c>
      <c r="GH755" s="14">
        <f t="shared" si="675"/>
        <v>25</v>
      </c>
      <c r="GI755" s="14" t="str">
        <f t="shared" si="676"/>
        <v>DefExt</v>
      </c>
      <c r="GJ755" s="14">
        <f t="shared" si="677"/>
        <v>325</v>
      </c>
      <c r="GK755" s="14">
        <f t="shared" si="678"/>
        <v>16</v>
      </c>
      <c r="GL755" s="14">
        <f t="shared" si="698"/>
        <v>20840</v>
      </c>
      <c r="GM755" s="14">
        <f t="shared" si="679"/>
        <v>5</v>
      </c>
      <c r="GN755" s="14">
        <f t="shared" si="680"/>
        <v>2084</v>
      </c>
      <c r="GO755" s="25" t="s">
        <v>1471</v>
      </c>
      <c r="GP755" s="14">
        <f t="shared" si="699"/>
        <v>600</v>
      </c>
    </row>
    <row r="756" spans="151:198" ht="16.5" x14ac:dyDescent="0.2">
      <c r="EU756" s="13">
        <v>751</v>
      </c>
      <c r="EV756" s="14">
        <f t="shared" si="700"/>
        <v>2</v>
      </c>
      <c r="EW756" s="14">
        <f t="shared" si="668"/>
        <v>316</v>
      </c>
      <c r="EX756" s="14">
        <f t="shared" si="701"/>
        <v>42</v>
      </c>
      <c r="EY756" s="14">
        <f t="shared" si="669"/>
        <v>42</v>
      </c>
      <c r="EZ756" s="14">
        <f t="shared" si="681"/>
        <v>19</v>
      </c>
      <c r="FA756" s="14">
        <f t="shared" si="682"/>
        <v>120</v>
      </c>
      <c r="FB756" s="14">
        <f t="shared" si="683"/>
        <v>4</v>
      </c>
      <c r="FC756" s="14">
        <f t="shared" si="684"/>
        <v>5</v>
      </c>
      <c r="FD756" s="14">
        <f t="shared" si="685"/>
        <v>8</v>
      </c>
      <c r="FE756" s="14" t="b">
        <f t="shared" si="702"/>
        <v>1</v>
      </c>
      <c r="FF756" s="14">
        <f t="shared" si="686"/>
        <v>2108428</v>
      </c>
      <c r="FG756" s="13" t="str">
        <f t="shared" si="687"/>
        <v>120级-绝世套守护灵の戒指</v>
      </c>
      <c r="FH756" s="14">
        <f t="shared" si="688"/>
        <v>2</v>
      </c>
      <c r="FI756" s="14">
        <f t="shared" si="689"/>
        <v>4</v>
      </c>
      <c r="FJ756" s="14">
        <f t="shared" si="690"/>
        <v>120</v>
      </c>
      <c r="FK756" s="14">
        <v>317</v>
      </c>
      <c r="FL756" s="14">
        <f t="shared" si="691"/>
        <v>8</v>
      </c>
      <c r="FM756" s="14">
        <f t="shared" si="670"/>
        <v>8</v>
      </c>
      <c r="FN756" s="14">
        <f t="shared" si="692"/>
        <v>210843</v>
      </c>
      <c r="FO756" s="14">
        <f t="shared" si="671"/>
        <v>631</v>
      </c>
      <c r="FP756" s="14">
        <f t="shared" si="703"/>
        <v>515</v>
      </c>
      <c r="FQ756" s="14">
        <f t="shared" si="704"/>
        <v>0</v>
      </c>
      <c r="FR756" s="14">
        <f t="shared" si="705"/>
        <v>6015</v>
      </c>
      <c r="FS756" s="14">
        <f t="shared" si="706"/>
        <v>25</v>
      </c>
      <c r="FT756" s="14">
        <f t="shared" si="707"/>
        <v>0</v>
      </c>
      <c r="FU756" s="14">
        <f t="shared" si="708"/>
        <v>296</v>
      </c>
      <c r="FV756" s="14">
        <f t="shared" si="693"/>
        <v>2084</v>
      </c>
      <c r="FW756" s="14">
        <f t="shared" si="694"/>
        <v>5</v>
      </c>
      <c r="FX756" s="14">
        <f t="shared" si="695"/>
        <v>2084</v>
      </c>
      <c r="FY756" s="25" t="str">
        <f t="shared" si="709"/>
        <v>icon_2108428</v>
      </c>
      <c r="GC756" s="14">
        <f t="shared" si="696"/>
        <v>1</v>
      </c>
      <c r="GD756" s="14">
        <f t="shared" si="697"/>
        <v>3</v>
      </c>
      <c r="GE756" s="14">
        <f t="shared" si="672"/>
        <v>631</v>
      </c>
      <c r="GF756" s="14" t="str">
        <f t="shared" si="673"/>
        <v>AtkExt</v>
      </c>
      <c r="GG756" s="14">
        <f t="shared" si="674"/>
        <v>515</v>
      </c>
      <c r="GH756" s="14">
        <f t="shared" si="675"/>
        <v>25</v>
      </c>
      <c r="GI756" s="14" t="str">
        <f t="shared" si="676"/>
        <v>HPExt</v>
      </c>
      <c r="GJ756" s="14">
        <f t="shared" si="677"/>
        <v>6015</v>
      </c>
      <c r="GK756" s="14">
        <f t="shared" si="678"/>
        <v>296</v>
      </c>
      <c r="GL756" s="14">
        <f t="shared" si="698"/>
        <v>20840</v>
      </c>
      <c r="GM756" s="14">
        <f t="shared" si="679"/>
        <v>5</v>
      </c>
      <c r="GN756" s="14">
        <f t="shared" si="680"/>
        <v>2084</v>
      </c>
      <c r="GO756" s="25" t="s">
        <v>1471</v>
      </c>
      <c r="GP756" s="14">
        <f t="shared" si="699"/>
        <v>600</v>
      </c>
    </row>
    <row r="757" spans="151:198" ht="16.5" x14ac:dyDescent="0.2">
      <c r="EU757" s="13">
        <v>752</v>
      </c>
      <c r="EV757" s="14">
        <f t="shared" si="700"/>
        <v>2</v>
      </c>
      <c r="EW757" s="14">
        <f t="shared" si="668"/>
        <v>317</v>
      </c>
      <c r="EX757" s="14">
        <f t="shared" si="701"/>
        <v>43</v>
      </c>
      <c r="EY757" s="14">
        <f t="shared" si="669"/>
        <v>10</v>
      </c>
      <c r="EZ757" s="14">
        <f t="shared" si="681"/>
        <v>20</v>
      </c>
      <c r="FA757" s="14">
        <f t="shared" si="682"/>
        <v>130</v>
      </c>
      <c r="FB757" s="14">
        <f t="shared" si="683"/>
        <v>1</v>
      </c>
      <c r="FC757" s="14">
        <f t="shared" si="684"/>
        <v>1</v>
      </c>
      <c r="FD757" s="14">
        <f t="shared" si="685"/>
        <v>1</v>
      </c>
      <c r="FE757" s="14" t="b">
        <f t="shared" si="702"/>
        <v>0</v>
      </c>
      <c r="FF757" s="14">
        <f t="shared" si="686"/>
        <v>2109101</v>
      </c>
      <c r="FG757" s="13" t="str">
        <f t="shared" si="687"/>
        <v>130级-普通守护灵の灵器</v>
      </c>
      <c r="FH757" s="14">
        <f t="shared" si="688"/>
        <v>2</v>
      </c>
      <c r="FI757" s="14">
        <f t="shared" si="689"/>
        <v>1</v>
      </c>
      <c r="FJ757" s="14">
        <f t="shared" si="690"/>
        <v>130</v>
      </c>
      <c r="FK757" s="14">
        <v>318</v>
      </c>
      <c r="FL757" s="14">
        <f t="shared" si="691"/>
        <v>9</v>
      </c>
      <c r="FM757" s="14">
        <f t="shared" si="670"/>
        <v>1</v>
      </c>
      <c r="FN757" s="14" t="str">
        <f t="shared" si="692"/>
        <v/>
      </c>
      <c r="FO757" s="14">
        <f t="shared" si="671"/>
        <v>225</v>
      </c>
      <c r="FP757" s="14">
        <f t="shared" si="703"/>
        <v>880</v>
      </c>
      <c r="FQ757" s="14">
        <f t="shared" si="704"/>
        <v>0</v>
      </c>
      <c r="FR757" s="14">
        <f t="shared" si="705"/>
        <v>0</v>
      </c>
      <c r="FS757" s="14">
        <f t="shared" si="706"/>
        <v>45</v>
      </c>
      <c r="FT757" s="14">
        <f t="shared" si="707"/>
        <v>0</v>
      </c>
      <c r="FU757" s="14">
        <f t="shared" si="708"/>
        <v>0</v>
      </c>
      <c r="FV757" s="14">
        <f t="shared" si="693"/>
        <v>2091</v>
      </c>
      <c r="FW757" s="14">
        <f t="shared" si="694"/>
        <v>0</v>
      </c>
      <c r="FX757" s="14" t="str">
        <f t="shared" si="695"/>
        <v/>
      </c>
      <c r="FY757" s="25" t="str">
        <f t="shared" si="709"/>
        <v>icon_2109101</v>
      </c>
      <c r="GC757" s="14">
        <f t="shared" si="696"/>
        <v>1</v>
      </c>
      <c r="GD757" s="14">
        <f t="shared" si="697"/>
        <v>0</v>
      </c>
      <c r="GE757" s="14">
        <f t="shared" si="672"/>
        <v>225</v>
      </c>
      <c r="GF757" s="14" t="str">
        <f t="shared" si="673"/>
        <v>AtkExt</v>
      </c>
      <c r="GG757" s="14">
        <f t="shared" si="674"/>
        <v>880</v>
      </c>
      <c r="GH757" s="14">
        <f t="shared" si="675"/>
        <v>45</v>
      </c>
      <c r="GI757" s="14" t="str">
        <f t="shared" si="676"/>
        <v/>
      </c>
      <c r="GJ757" s="14" t="str">
        <f t="shared" si="677"/>
        <v/>
      </c>
      <c r="GK757" s="14" t="str">
        <f t="shared" si="678"/>
        <v/>
      </c>
      <c r="GL757" s="14">
        <f t="shared" si="698"/>
        <v>20910</v>
      </c>
      <c r="GM757" s="14">
        <f t="shared" si="679"/>
        <v>0</v>
      </c>
      <c r="GN757" s="14" t="str">
        <f t="shared" si="680"/>
        <v/>
      </c>
      <c r="GO757" s="25" t="s">
        <v>1471</v>
      </c>
      <c r="GP757" s="14">
        <f t="shared" si="699"/>
        <v>100</v>
      </c>
    </row>
    <row r="758" spans="151:198" ht="16.5" x14ac:dyDescent="0.2">
      <c r="EU758" s="13">
        <v>753</v>
      </c>
      <c r="EV758" s="14">
        <f t="shared" si="700"/>
        <v>2</v>
      </c>
      <c r="EW758" s="14">
        <f t="shared" si="668"/>
        <v>318</v>
      </c>
      <c r="EX758" s="14">
        <f t="shared" si="701"/>
        <v>43</v>
      </c>
      <c r="EY758" s="14">
        <f t="shared" si="669"/>
        <v>10</v>
      </c>
      <c r="EZ758" s="14">
        <f t="shared" si="681"/>
        <v>20</v>
      </c>
      <c r="FA758" s="14">
        <f t="shared" si="682"/>
        <v>130</v>
      </c>
      <c r="FB758" s="14">
        <f t="shared" si="683"/>
        <v>1</v>
      </c>
      <c r="FC758" s="14">
        <f t="shared" si="684"/>
        <v>2</v>
      </c>
      <c r="FD758" s="14">
        <f t="shared" si="685"/>
        <v>2</v>
      </c>
      <c r="FE758" s="14" t="b">
        <f t="shared" si="702"/>
        <v>0</v>
      </c>
      <c r="FF758" s="14">
        <f t="shared" si="686"/>
        <v>2109102</v>
      </c>
      <c r="FG758" s="13" t="str">
        <f t="shared" si="687"/>
        <v>130级-普通守护灵の头盔</v>
      </c>
      <c r="FH758" s="14">
        <f t="shared" si="688"/>
        <v>2</v>
      </c>
      <c r="FI758" s="14">
        <f t="shared" si="689"/>
        <v>1</v>
      </c>
      <c r="FJ758" s="14">
        <f t="shared" si="690"/>
        <v>130</v>
      </c>
      <c r="FK758" s="14">
        <v>319</v>
      </c>
      <c r="FL758" s="14">
        <f t="shared" si="691"/>
        <v>9</v>
      </c>
      <c r="FM758" s="14">
        <f t="shared" si="670"/>
        <v>2</v>
      </c>
      <c r="FN758" s="14" t="str">
        <f t="shared" si="692"/>
        <v/>
      </c>
      <c r="FO758" s="14">
        <f t="shared" si="671"/>
        <v>110</v>
      </c>
      <c r="FP758" s="14">
        <f t="shared" si="703"/>
        <v>0</v>
      </c>
      <c r="FQ758" s="14">
        <f t="shared" si="704"/>
        <v>220</v>
      </c>
      <c r="FR758" s="14">
        <f t="shared" si="705"/>
        <v>0</v>
      </c>
      <c r="FS758" s="14">
        <f t="shared" si="706"/>
        <v>0</v>
      </c>
      <c r="FT758" s="14">
        <f t="shared" si="707"/>
        <v>11</v>
      </c>
      <c r="FU758" s="14">
        <f t="shared" si="708"/>
        <v>0</v>
      </c>
      <c r="FV758" s="14">
        <f t="shared" si="693"/>
        <v>2091</v>
      </c>
      <c r="FW758" s="14">
        <f t="shared" si="694"/>
        <v>0</v>
      </c>
      <c r="FX758" s="14" t="str">
        <f t="shared" si="695"/>
        <v/>
      </c>
      <c r="FY758" s="25" t="str">
        <f t="shared" si="709"/>
        <v>icon_2109102</v>
      </c>
      <c r="GC758" s="14">
        <f t="shared" si="696"/>
        <v>2</v>
      </c>
      <c r="GD758" s="14">
        <f t="shared" si="697"/>
        <v>0</v>
      </c>
      <c r="GE758" s="14">
        <f t="shared" si="672"/>
        <v>110</v>
      </c>
      <c r="GF758" s="14" t="str">
        <f t="shared" si="673"/>
        <v>DefExt</v>
      </c>
      <c r="GG758" s="14">
        <f t="shared" si="674"/>
        <v>220</v>
      </c>
      <c r="GH758" s="14">
        <f t="shared" si="675"/>
        <v>11</v>
      </c>
      <c r="GI758" s="14" t="str">
        <f t="shared" si="676"/>
        <v/>
      </c>
      <c r="GJ758" s="14" t="str">
        <f t="shared" si="677"/>
        <v/>
      </c>
      <c r="GK758" s="14" t="str">
        <f t="shared" si="678"/>
        <v/>
      </c>
      <c r="GL758" s="14">
        <f t="shared" si="698"/>
        <v>20910</v>
      </c>
      <c r="GM758" s="14">
        <f t="shared" si="679"/>
        <v>0</v>
      </c>
      <c r="GN758" s="14" t="str">
        <f t="shared" si="680"/>
        <v/>
      </c>
      <c r="GO758" s="25" t="s">
        <v>1471</v>
      </c>
      <c r="GP758" s="14">
        <f t="shared" si="699"/>
        <v>50</v>
      </c>
    </row>
    <row r="759" spans="151:198" ht="16.5" x14ac:dyDescent="0.2">
      <c r="EU759" s="13">
        <v>754</v>
      </c>
      <c r="EV759" s="14">
        <f t="shared" si="700"/>
        <v>2</v>
      </c>
      <c r="EW759" s="14">
        <f t="shared" si="668"/>
        <v>319</v>
      </c>
      <c r="EX759" s="14">
        <f t="shared" si="701"/>
        <v>43</v>
      </c>
      <c r="EY759" s="14">
        <f t="shared" si="669"/>
        <v>10</v>
      </c>
      <c r="EZ759" s="14">
        <f t="shared" si="681"/>
        <v>20</v>
      </c>
      <c r="FA759" s="14">
        <f t="shared" si="682"/>
        <v>130</v>
      </c>
      <c r="FB759" s="14">
        <f t="shared" si="683"/>
        <v>1</v>
      </c>
      <c r="FC759" s="14">
        <f t="shared" si="684"/>
        <v>3</v>
      </c>
      <c r="FD759" s="14">
        <f t="shared" si="685"/>
        <v>3</v>
      </c>
      <c r="FE759" s="14" t="b">
        <f t="shared" si="702"/>
        <v>0</v>
      </c>
      <c r="FF759" s="14">
        <f t="shared" si="686"/>
        <v>2109103</v>
      </c>
      <c r="FG759" s="13" t="str">
        <f t="shared" si="687"/>
        <v>130级-普通守护灵の铠甲</v>
      </c>
      <c r="FH759" s="14">
        <f t="shared" si="688"/>
        <v>2</v>
      </c>
      <c r="FI759" s="14">
        <f t="shared" si="689"/>
        <v>1</v>
      </c>
      <c r="FJ759" s="14">
        <f t="shared" si="690"/>
        <v>130</v>
      </c>
      <c r="FK759" s="14">
        <v>320</v>
      </c>
      <c r="FL759" s="14">
        <f t="shared" si="691"/>
        <v>9</v>
      </c>
      <c r="FM759" s="14">
        <f t="shared" si="670"/>
        <v>3</v>
      </c>
      <c r="FN759" s="14" t="str">
        <f t="shared" si="692"/>
        <v/>
      </c>
      <c r="FO759" s="14">
        <f t="shared" si="671"/>
        <v>165</v>
      </c>
      <c r="FP759" s="14">
        <f t="shared" si="703"/>
        <v>0</v>
      </c>
      <c r="FQ759" s="14">
        <f t="shared" si="704"/>
        <v>110</v>
      </c>
      <c r="FR759" s="14">
        <f t="shared" si="705"/>
        <v>2075</v>
      </c>
      <c r="FS759" s="14">
        <f t="shared" si="706"/>
        <v>0</v>
      </c>
      <c r="FT759" s="14">
        <f t="shared" si="707"/>
        <v>6</v>
      </c>
      <c r="FU759" s="14">
        <f t="shared" si="708"/>
        <v>105</v>
      </c>
      <c r="FV759" s="14">
        <f t="shared" si="693"/>
        <v>2091</v>
      </c>
      <c r="FW759" s="14">
        <f t="shared" si="694"/>
        <v>0</v>
      </c>
      <c r="FX759" s="14" t="str">
        <f t="shared" si="695"/>
        <v/>
      </c>
      <c r="FY759" s="25" t="str">
        <f t="shared" si="709"/>
        <v>icon_2109103</v>
      </c>
      <c r="GC759" s="14">
        <f t="shared" si="696"/>
        <v>2</v>
      </c>
      <c r="GD759" s="14">
        <f t="shared" si="697"/>
        <v>3</v>
      </c>
      <c r="GE759" s="14">
        <f t="shared" si="672"/>
        <v>165</v>
      </c>
      <c r="GF759" s="14" t="str">
        <f t="shared" si="673"/>
        <v>DefExt</v>
      </c>
      <c r="GG759" s="14">
        <f t="shared" si="674"/>
        <v>110</v>
      </c>
      <c r="GH759" s="14">
        <f t="shared" si="675"/>
        <v>6</v>
      </c>
      <c r="GI759" s="14" t="str">
        <f t="shared" si="676"/>
        <v>HPExt</v>
      </c>
      <c r="GJ759" s="14">
        <f t="shared" si="677"/>
        <v>2075</v>
      </c>
      <c r="GK759" s="14">
        <f t="shared" si="678"/>
        <v>105</v>
      </c>
      <c r="GL759" s="14">
        <f t="shared" si="698"/>
        <v>20910</v>
      </c>
      <c r="GM759" s="14">
        <f t="shared" si="679"/>
        <v>0</v>
      </c>
      <c r="GN759" s="14" t="str">
        <f t="shared" si="680"/>
        <v/>
      </c>
      <c r="GO759" s="25" t="s">
        <v>1471</v>
      </c>
      <c r="GP759" s="14">
        <f t="shared" si="699"/>
        <v>50</v>
      </c>
    </row>
    <row r="760" spans="151:198" ht="16.5" x14ac:dyDescent="0.2">
      <c r="EU760" s="13">
        <v>755</v>
      </c>
      <c r="EV760" s="14">
        <f t="shared" si="700"/>
        <v>2</v>
      </c>
      <c r="EW760" s="14">
        <f t="shared" si="668"/>
        <v>320</v>
      </c>
      <c r="EX760" s="14">
        <f t="shared" si="701"/>
        <v>43</v>
      </c>
      <c r="EY760" s="14">
        <f t="shared" si="669"/>
        <v>10</v>
      </c>
      <c r="EZ760" s="14">
        <f t="shared" si="681"/>
        <v>20</v>
      </c>
      <c r="FA760" s="14">
        <f t="shared" si="682"/>
        <v>130</v>
      </c>
      <c r="FB760" s="14">
        <f t="shared" si="683"/>
        <v>1</v>
      </c>
      <c r="FC760" s="14">
        <f t="shared" si="684"/>
        <v>4</v>
      </c>
      <c r="FD760" s="14">
        <f t="shared" si="685"/>
        <v>4</v>
      </c>
      <c r="FE760" s="14" t="b">
        <f t="shared" si="702"/>
        <v>0</v>
      </c>
      <c r="FF760" s="14">
        <f t="shared" si="686"/>
        <v>2109104</v>
      </c>
      <c r="FG760" s="13" t="str">
        <f t="shared" si="687"/>
        <v>130级-普通守护灵の裤子</v>
      </c>
      <c r="FH760" s="14">
        <f t="shared" si="688"/>
        <v>2</v>
      </c>
      <c r="FI760" s="14">
        <f t="shared" si="689"/>
        <v>1</v>
      </c>
      <c r="FJ760" s="14">
        <f t="shared" si="690"/>
        <v>130</v>
      </c>
      <c r="FK760" s="14">
        <v>321</v>
      </c>
      <c r="FL760" s="14">
        <f t="shared" si="691"/>
        <v>9</v>
      </c>
      <c r="FM760" s="14">
        <f t="shared" si="670"/>
        <v>4</v>
      </c>
      <c r="FN760" s="14" t="str">
        <f t="shared" si="692"/>
        <v/>
      </c>
      <c r="FO760" s="14">
        <f t="shared" si="671"/>
        <v>110</v>
      </c>
      <c r="FP760" s="14">
        <f t="shared" si="703"/>
        <v>0</v>
      </c>
      <c r="FQ760" s="14">
        <f t="shared" si="704"/>
        <v>220</v>
      </c>
      <c r="FR760" s="14">
        <f t="shared" si="705"/>
        <v>0</v>
      </c>
      <c r="FS760" s="14">
        <f t="shared" si="706"/>
        <v>0</v>
      </c>
      <c r="FT760" s="14">
        <f t="shared" si="707"/>
        <v>11</v>
      </c>
      <c r="FU760" s="14">
        <f t="shared" si="708"/>
        <v>0</v>
      </c>
      <c r="FV760" s="14">
        <f t="shared" si="693"/>
        <v>2091</v>
      </c>
      <c r="FW760" s="14">
        <f t="shared" si="694"/>
        <v>0</v>
      </c>
      <c r="FX760" s="14" t="str">
        <f t="shared" si="695"/>
        <v/>
      </c>
      <c r="FY760" s="25" t="str">
        <f t="shared" si="709"/>
        <v>icon_2109104</v>
      </c>
      <c r="GC760" s="14">
        <f t="shared" si="696"/>
        <v>2</v>
      </c>
      <c r="GD760" s="14">
        <f t="shared" si="697"/>
        <v>0</v>
      </c>
      <c r="GE760" s="14">
        <f t="shared" si="672"/>
        <v>110</v>
      </c>
      <c r="GF760" s="14" t="str">
        <f t="shared" si="673"/>
        <v>DefExt</v>
      </c>
      <c r="GG760" s="14">
        <f t="shared" si="674"/>
        <v>220</v>
      </c>
      <c r="GH760" s="14">
        <f t="shared" si="675"/>
        <v>11</v>
      </c>
      <c r="GI760" s="14" t="str">
        <f t="shared" si="676"/>
        <v/>
      </c>
      <c r="GJ760" s="14" t="str">
        <f t="shared" si="677"/>
        <v/>
      </c>
      <c r="GK760" s="14" t="str">
        <f t="shared" si="678"/>
        <v/>
      </c>
      <c r="GL760" s="14">
        <f t="shared" si="698"/>
        <v>20910</v>
      </c>
      <c r="GM760" s="14">
        <f t="shared" si="679"/>
        <v>0</v>
      </c>
      <c r="GN760" s="14" t="str">
        <f t="shared" si="680"/>
        <v/>
      </c>
      <c r="GO760" s="25" t="s">
        <v>1471</v>
      </c>
      <c r="GP760" s="14">
        <f t="shared" si="699"/>
        <v>50</v>
      </c>
    </row>
    <row r="761" spans="151:198" ht="16.5" x14ac:dyDescent="0.2">
      <c r="EU761" s="13">
        <v>756</v>
      </c>
      <c r="EV761" s="14">
        <f t="shared" si="700"/>
        <v>2</v>
      </c>
      <c r="EW761" s="14">
        <f t="shared" ref="EW761:EW824" si="710">MOD(EU761-1,$EV$3)+1</f>
        <v>321</v>
      </c>
      <c r="EX761" s="14">
        <f t="shared" si="701"/>
        <v>43</v>
      </c>
      <c r="EY761" s="14">
        <f t="shared" ref="EY761:EY824" si="711">INDEX($AK$7:$AK$64,EX761)</f>
        <v>10</v>
      </c>
      <c r="EZ761" s="14">
        <f t="shared" si="681"/>
        <v>20</v>
      </c>
      <c r="FA761" s="14">
        <f t="shared" si="682"/>
        <v>130</v>
      </c>
      <c r="FB761" s="14">
        <f t="shared" si="683"/>
        <v>1</v>
      </c>
      <c r="FC761" s="14">
        <f t="shared" si="684"/>
        <v>5</v>
      </c>
      <c r="FD761" s="14">
        <f t="shared" si="685"/>
        <v>5</v>
      </c>
      <c r="FE761" s="14" t="b">
        <f t="shared" si="702"/>
        <v>0</v>
      </c>
      <c r="FF761" s="14">
        <f t="shared" si="686"/>
        <v>2109105</v>
      </c>
      <c r="FG761" s="13" t="str">
        <f t="shared" si="687"/>
        <v>130级-普通守护灵の鞋子</v>
      </c>
      <c r="FH761" s="14">
        <f t="shared" si="688"/>
        <v>2</v>
      </c>
      <c r="FI761" s="14">
        <f t="shared" si="689"/>
        <v>1</v>
      </c>
      <c r="FJ761" s="14">
        <f t="shared" si="690"/>
        <v>130</v>
      </c>
      <c r="FK761" s="14">
        <v>322</v>
      </c>
      <c r="FL761" s="14">
        <f t="shared" si="691"/>
        <v>9</v>
      </c>
      <c r="FM761" s="14">
        <f t="shared" ref="FM761:FM824" si="712">FD761</f>
        <v>5</v>
      </c>
      <c r="FN761" s="14" t="str">
        <f t="shared" si="692"/>
        <v/>
      </c>
      <c r="FO761" s="14">
        <f t="shared" ref="FO761:FO824" si="713">INT(SUMPRODUCT($FS$3:$FU$3,FS761:FU761)*IF(FN761="",1,1.5))</f>
        <v>210</v>
      </c>
      <c r="FP761" s="14">
        <f t="shared" si="703"/>
        <v>0</v>
      </c>
      <c r="FQ761" s="14">
        <f t="shared" si="704"/>
        <v>0</v>
      </c>
      <c r="FR761" s="14">
        <f t="shared" si="705"/>
        <v>4150</v>
      </c>
      <c r="FS761" s="14">
        <f t="shared" si="706"/>
        <v>0</v>
      </c>
      <c r="FT761" s="14">
        <f t="shared" si="707"/>
        <v>0</v>
      </c>
      <c r="FU761" s="14">
        <f t="shared" si="708"/>
        <v>210</v>
      </c>
      <c r="FV761" s="14">
        <f t="shared" si="693"/>
        <v>2091</v>
      </c>
      <c r="FW761" s="14">
        <f t="shared" si="694"/>
        <v>0</v>
      </c>
      <c r="FX761" s="14" t="str">
        <f t="shared" si="695"/>
        <v/>
      </c>
      <c r="FY761" s="25" t="str">
        <f t="shared" si="709"/>
        <v>icon_2109105</v>
      </c>
      <c r="GC761" s="14">
        <f t="shared" si="696"/>
        <v>3</v>
      </c>
      <c r="GD761" s="14">
        <f t="shared" si="697"/>
        <v>0</v>
      </c>
      <c r="GE761" s="14">
        <f t="shared" ref="GE761:GE824" si="714">FO761</f>
        <v>210</v>
      </c>
      <c r="GF761" s="14" t="str">
        <f t="shared" ref="GF761:GF824" si="715">INDEX($BH$3:$BJ$3,GC761)</f>
        <v>HPExt</v>
      </c>
      <c r="GG761" s="14">
        <f t="shared" ref="GG761:GG824" si="716">INDEX(FP761:FR761,GC761)</f>
        <v>4150</v>
      </c>
      <c r="GH761" s="14">
        <f t="shared" ref="GH761:GH824" si="717">INDEX(FS761:FU761,GC761)</f>
        <v>210</v>
      </c>
      <c r="GI761" s="14" t="str">
        <f t="shared" ref="GI761:GI824" si="718">IF(GD761&gt;0,INDEX($BH$3:$BJ$3,GD761),"")</f>
        <v/>
      </c>
      <c r="GJ761" s="14" t="str">
        <f t="shared" ref="GJ761:GJ824" si="719">IF(GD761&gt;0,INDEX(FP761:FR761,GD761),"")</f>
        <v/>
      </c>
      <c r="GK761" s="14" t="str">
        <f t="shared" ref="GK761:GK824" si="720">IF(GD761&gt;0,INDEX(FS761:FU761,GD761),"")</f>
        <v/>
      </c>
      <c r="GL761" s="14">
        <f t="shared" si="698"/>
        <v>20910</v>
      </c>
      <c r="GM761" s="14">
        <f t="shared" ref="GM761:GM824" si="721">FW761</f>
        <v>0</v>
      </c>
      <c r="GN761" s="14" t="str">
        <f t="shared" ref="GN761:GN824" si="722">FX761</f>
        <v/>
      </c>
      <c r="GO761" s="25" t="s">
        <v>1471</v>
      </c>
      <c r="GP761" s="14">
        <f t="shared" si="699"/>
        <v>50</v>
      </c>
    </row>
    <row r="762" spans="151:198" ht="16.5" x14ac:dyDescent="0.2">
      <c r="EU762" s="13">
        <v>757</v>
      </c>
      <c r="EV762" s="14">
        <f t="shared" si="700"/>
        <v>2</v>
      </c>
      <c r="EW762" s="14">
        <f t="shared" si="710"/>
        <v>322</v>
      </c>
      <c r="EX762" s="14">
        <f t="shared" si="701"/>
        <v>43</v>
      </c>
      <c r="EY762" s="14">
        <f t="shared" si="711"/>
        <v>10</v>
      </c>
      <c r="EZ762" s="14">
        <f t="shared" si="681"/>
        <v>20</v>
      </c>
      <c r="FA762" s="14">
        <f t="shared" si="682"/>
        <v>130</v>
      </c>
      <c r="FB762" s="14">
        <f t="shared" si="683"/>
        <v>1</v>
      </c>
      <c r="FC762" s="14">
        <f t="shared" si="684"/>
        <v>6</v>
      </c>
      <c r="FD762" s="14">
        <f t="shared" si="685"/>
        <v>6</v>
      </c>
      <c r="FE762" s="14" t="b">
        <f t="shared" si="702"/>
        <v>0</v>
      </c>
      <c r="FF762" s="14">
        <f t="shared" si="686"/>
        <v>2109106</v>
      </c>
      <c r="FG762" s="13" t="str">
        <f t="shared" si="687"/>
        <v>130级-普通守护灵の护手</v>
      </c>
      <c r="FH762" s="14">
        <f t="shared" si="688"/>
        <v>2</v>
      </c>
      <c r="FI762" s="14">
        <f t="shared" si="689"/>
        <v>1</v>
      </c>
      <c r="FJ762" s="14">
        <f t="shared" si="690"/>
        <v>130</v>
      </c>
      <c r="FK762" s="14">
        <v>323</v>
      </c>
      <c r="FL762" s="14">
        <f t="shared" si="691"/>
        <v>9</v>
      </c>
      <c r="FM762" s="14">
        <f t="shared" si="712"/>
        <v>6</v>
      </c>
      <c r="FN762" s="14" t="str">
        <f t="shared" si="692"/>
        <v/>
      </c>
      <c r="FO762" s="14">
        <f t="shared" si="713"/>
        <v>210</v>
      </c>
      <c r="FP762" s="14">
        <f t="shared" si="703"/>
        <v>0</v>
      </c>
      <c r="FQ762" s="14">
        <f t="shared" si="704"/>
        <v>0</v>
      </c>
      <c r="FR762" s="14">
        <f t="shared" si="705"/>
        <v>4150</v>
      </c>
      <c r="FS762" s="14">
        <f t="shared" si="706"/>
        <v>0</v>
      </c>
      <c r="FT762" s="14">
        <f t="shared" si="707"/>
        <v>0</v>
      </c>
      <c r="FU762" s="14">
        <f t="shared" si="708"/>
        <v>210</v>
      </c>
      <c r="FV762" s="14">
        <f t="shared" si="693"/>
        <v>2091</v>
      </c>
      <c r="FW762" s="14">
        <f t="shared" si="694"/>
        <v>0</v>
      </c>
      <c r="FX762" s="14" t="str">
        <f t="shared" si="695"/>
        <v/>
      </c>
      <c r="FY762" s="25" t="str">
        <f t="shared" si="709"/>
        <v>icon_2109106</v>
      </c>
      <c r="GC762" s="14">
        <f t="shared" si="696"/>
        <v>3</v>
      </c>
      <c r="GD762" s="14">
        <f t="shared" si="697"/>
        <v>0</v>
      </c>
      <c r="GE762" s="14">
        <f t="shared" si="714"/>
        <v>210</v>
      </c>
      <c r="GF762" s="14" t="str">
        <f t="shared" si="715"/>
        <v>HPExt</v>
      </c>
      <c r="GG762" s="14">
        <f t="shared" si="716"/>
        <v>4150</v>
      </c>
      <c r="GH762" s="14">
        <f t="shared" si="717"/>
        <v>210</v>
      </c>
      <c r="GI762" s="14" t="str">
        <f t="shared" si="718"/>
        <v/>
      </c>
      <c r="GJ762" s="14" t="str">
        <f t="shared" si="719"/>
        <v/>
      </c>
      <c r="GK762" s="14" t="str">
        <f t="shared" si="720"/>
        <v/>
      </c>
      <c r="GL762" s="14">
        <f t="shared" si="698"/>
        <v>20910</v>
      </c>
      <c r="GM762" s="14">
        <f t="shared" si="721"/>
        <v>0</v>
      </c>
      <c r="GN762" s="14" t="str">
        <f t="shared" si="722"/>
        <v/>
      </c>
      <c r="GO762" s="25" t="s">
        <v>1471</v>
      </c>
      <c r="GP762" s="14">
        <f t="shared" si="699"/>
        <v>50</v>
      </c>
    </row>
    <row r="763" spans="151:198" ht="16.5" x14ac:dyDescent="0.2">
      <c r="EU763" s="13">
        <v>758</v>
      </c>
      <c r="EV763" s="14">
        <f t="shared" si="700"/>
        <v>2</v>
      </c>
      <c r="EW763" s="14">
        <f t="shared" si="710"/>
        <v>323</v>
      </c>
      <c r="EX763" s="14">
        <f t="shared" si="701"/>
        <v>43</v>
      </c>
      <c r="EY763" s="14">
        <f t="shared" si="711"/>
        <v>10</v>
      </c>
      <c r="EZ763" s="14">
        <f t="shared" si="681"/>
        <v>20</v>
      </c>
      <c r="FA763" s="14">
        <f t="shared" si="682"/>
        <v>130</v>
      </c>
      <c r="FB763" s="14">
        <f t="shared" si="683"/>
        <v>1</v>
      </c>
      <c r="FC763" s="14">
        <f t="shared" si="684"/>
        <v>7</v>
      </c>
      <c r="FD763" s="14">
        <f t="shared" si="685"/>
        <v>7</v>
      </c>
      <c r="FE763" s="14" t="b">
        <f t="shared" si="702"/>
        <v>0</v>
      </c>
      <c r="FF763" s="14">
        <f t="shared" si="686"/>
        <v>2109107</v>
      </c>
      <c r="FG763" s="13" t="str">
        <f t="shared" si="687"/>
        <v>130级-普通守护灵の项链</v>
      </c>
      <c r="FH763" s="14">
        <f t="shared" si="688"/>
        <v>2</v>
      </c>
      <c r="FI763" s="14">
        <f t="shared" si="689"/>
        <v>1</v>
      </c>
      <c r="FJ763" s="14">
        <f t="shared" si="690"/>
        <v>130</v>
      </c>
      <c r="FK763" s="14">
        <v>324</v>
      </c>
      <c r="FL763" s="14">
        <f t="shared" si="691"/>
        <v>9</v>
      </c>
      <c r="FM763" s="14">
        <f t="shared" si="712"/>
        <v>7</v>
      </c>
      <c r="FN763" s="14" t="str">
        <f t="shared" si="692"/>
        <v/>
      </c>
      <c r="FO763" s="14">
        <f t="shared" si="713"/>
        <v>165</v>
      </c>
      <c r="FP763" s="14">
        <f t="shared" si="703"/>
        <v>295</v>
      </c>
      <c r="FQ763" s="14">
        <f t="shared" si="704"/>
        <v>185</v>
      </c>
      <c r="FR763" s="14">
        <f t="shared" si="705"/>
        <v>0</v>
      </c>
      <c r="FS763" s="14">
        <f t="shared" si="706"/>
        <v>15</v>
      </c>
      <c r="FT763" s="14">
        <f t="shared" si="707"/>
        <v>9</v>
      </c>
      <c r="FU763" s="14">
        <f t="shared" si="708"/>
        <v>0</v>
      </c>
      <c r="FV763" s="14">
        <f t="shared" si="693"/>
        <v>2091</v>
      </c>
      <c r="FW763" s="14">
        <f t="shared" si="694"/>
        <v>0</v>
      </c>
      <c r="FX763" s="14" t="str">
        <f t="shared" si="695"/>
        <v/>
      </c>
      <c r="FY763" s="25" t="str">
        <f t="shared" si="709"/>
        <v>icon_2109107</v>
      </c>
      <c r="GC763" s="14">
        <f t="shared" si="696"/>
        <v>1</v>
      </c>
      <c r="GD763" s="14">
        <f t="shared" si="697"/>
        <v>2</v>
      </c>
      <c r="GE763" s="14">
        <f t="shared" si="714"/>
        <v>165</v>
      </c>
      <c r="GF763" s="14" t="str">
        <f t="shared" si="715"/>
        <v>AtkExt</v>
      </c>
      <c r="GG763" s="14">
        <f t="shared" si="716"/>
        <v>295</v>
      </c>
      <c r="GH763" s="14">
        <f t="shared" si="717"/>
        <v>15</v>
      </c>
      <c r="GI763" s="14" t="str">
        <f t="shared" si="718"/>
        <v>DefExt</v>
      </c>
      <c r="GJ763" s="14">
        <f t="shared" si="719"/>
        <v>185</v>
      </c>
      <c r="GK763" s="14">
        <f t="shared" si="720"/>
        <v>9</v>
      </c>
      <c r="GL763" s="14">
        <f t="shared" si="698"/>
        <v>20910</v>
      </c>
      <c r="GM763" s="14">
        <f t="shared" si="721"/>
        <v>0</v>
      </c>
      <c r="GN763" s="14" t="str">
        <f t="shared" si="722"/>
        <v/>
      </c>
      <c r="GO763" s="25" t="s">
        <v>1471</v>
      </c>
      <c r="GP763" s="14">
        <f t="shared" si="699"/>
        <v>75</v>
      </c>
    </row>
    <row r="764" spans="151:198" ht="16.5" x14ac:dyDescent="0.2">
      <c r="EU764" s="13">
        <v>759</v>
      </c>
      <c r="EV764" s="14">
        <f t="shared" si="700"/>
        <v>2</v>
      </c>
      <c r="EW764" s="14">
        <f t="shared" si="710"/>
        <v>324</v>
      </c>
      <c r="EX764" s="14">
        <f t="shared" si="701"/>
        <v>43</v>
      </c>
      <c r="EY764" s="14">
        <f t="shared" si="711"/>
        <v>10</v>
      </c>
      <c r="EZ764" s="14">
        <f t="shared" si="681"/>
        <v>20</v>
      </c>
      <c r="FA764" s="14">
        <f t="shared" si="682"/>
        <v>130</v>
      </c>
      <c r="FB764" s="14">
        <f t="shared" si="683"/>
        <v>1</v>
      </c>
      <c r="FC764" s="14">
        <f t="shared" si="684"/>
        <v>8</v>
      </c>
      <c r="FD764" s="14">
        <f t="shared" si="685"/>
        <v>8</v>
      </c>
      <c r="FE764" s="14" t="b">
        <f t="shared" si="702"/>
        <v>0</v>
      </c>
      <c r="FF764" s="14">
        <f t="shared" si="686"/>
        <v>2109108</v>
      </c>
      <c r="FG764" s="13" t="str">
        <f t="shared" si="687"/>
        <v>130级-普通守护灵の戒指</v>
      </c>
      <c r="FH764" s="14">
        <f t="shared" si="688"/>
        <v>2</v>
      </c>
      <c r="FI764" s="14">
        <f t="shared" si="689"/>
        <v>1</v>
      </c>
      <c r="FJ764" s="14">
        <f t="shared" si="690"/>
        <v>130</v>
      </c>
      <c r="FK764" s="14">
        <v>325</v>
      </c>
      <c r="FL764" s="14">
        <f t="shared" si="691"/>
        <v>9</v>
      </c>
      <c r="FM764" s="14">
        <f t="shared" si="712"/>
        <v>8</v>
      </c>
      <c r="FN764" s="14" t="str">
        <f t="shared" si="692"/>
        <v/>
      </c>
      <c r="FO764" s="14">
        <f t="shared" si="713"/>
        <v>250</v>
      </c>
      <c r="FP764" s="14">
        <f t="shared" si="703"/>
        <v>295</v>
      </c>
      <c r="FQ764" s="14">
        <f t="shared" si="704"/>
        <v>0</v>
      </c>
      <c r="FR764" s="14">
        <f t="shared" si="705"/>
        <v>3460</v>
      </c>
      <c r="FS764" s="14">
        <f t="shared" si="706"/>
        <v>15</v>
      </c>
      <c r="FT764" s="14">
        <f t="shared" si="707"/>
        <v>0</v>
      </c>
      <c r="FU764" s="14">
        <f t="shared" si="708"/>
        <v>175</v>
      </c>
      <c r="FV764" s="14">
        <f t="shared" si="693"/>
        <v>2091</v>
      </c>
      <c r="FW764" s="14">
        <f t="shared" si="694"/>
        <v>0</v>
      </c>
      <c r="FX764" s="14" t="str">
        <f t="shared" si="695"/>
        <v/>
      </c>
      <c r="FY764" s="25" t="str">
        <f t="shared" si="709"/>
        <v>icon_2109108</v>
      </c>
      <c r="GC764" s="14">
        <f t="shared" si="696"/>
        <v>1</v>
      </c>
      <c r="GD764" s="14">
        <f t="shared" si="697"/>
        <v>3</v>
      </c>
      <c r="GE764" s="14">
        <f t="shared" si="714"/>
        <v>250</v>
      </c>
      <c r="GF764" s="14" t="str">
        <f t="shared" si="715"/>
        <v>AtkExt</v>
      </c>
      <c r="GG764" s="14">
        <f t="shared" si="716"/>
        <v>295</v>
      </c>
      <c r="GH764" s="14">
        <f t="shared" si="717"/>
        <v>15</v>
      </c>
      <c r="GI764" s="14" t="str">
        <f t="shared" si="718"/>
        <v>HPExt</v>
      </c>
      <c r="GJ764" s="14">
        <f t="shared" si="719"/>
        <v>3460</v>
      </c>
      <c r="GK764" s="14">
        <f t="shared" si="720"/>
        <v>175</v>
      </c>
      <c r="GL764" s="14">
        <f t="shared" si="698"/>
        <v>20910</v>
      </c>
      <c r="GM764" s="14">
        <f t="shared" si="721"/>
        <v>0</v>
      </c>
      <c r="GN764" s="14" t="str">
        <f t="shared" si="722"/>
        <v/>
      </c>
      <c r="GO764" s="25" t="s">
        <v>1471</v>
      </c>
      <c r="GP764" s="14">
        <f t="shared" si="699"/>
        <v>75</v>
      </c>
    </row>
    <row r="765" spans="151:198" ht="16.5" x14ac:dyDescent="0.2">
      <c r="EU765" s="13">
        <v>760</v>
      </c>
      <c r="EV765" s="14">
        <f t="shared" si="700"/>
        <v>2</v>
      </c>
      <c r="EW765" s="14">
        <f t="shared" si="710"/>
        <v>325</v>
      </c>
      <c r="EX765" s="14">
        <f t="shared" si="701"/>
        <v>44</v>
      </c>
      <c r="EY765" s="14">
        <f t="shared" si="711"/>
        <v>20</v>
      </c>
      <c r="EZ765" s="14">
        <f t="shared" si="681"/>
        <v>20</v>
      </c>
      <c r="FA765" s="14">
        <f t="shared" si="682"/>
        <v>130</v>
      </c>
      <c r="FB765" s="14">
        <f t="shared" si="683"/>
        <v>2</v>
      </c>
      <c r="FC765" s="14">
        <f t="shared" si="684"/>
        <v>1</v>
      </c>
      <c r="FD765" s="14">
        <f t="shared" si="685"/>
        <v>1</v>
      </c>
      <c r="FE765" s="14" t="b">
        <f t="shared" si="702"/>
        <v>0</v>
      </c>
      <c r="FF765" s="14">
        <f t="shared" si="686"/>
        <v>2109201</v>
      </c>
      <c r="FG765" s="13" t="str">
        <f t="shared" si="687"/>
        <v>130级-优秀守护灵の灵器</v>
      </c>
      <c r="FH765" s="14">
        <f t="shared" si="688"/>
        <v>2</v>
      </c>
      <c r="FI765" s="14">
        <f t="shared" si="689"/>
        <v>2</v>
      </c>
      <c r="FJ765" s="14">
        <f t="shared" si="690"/>
        <v>130</v>
      </c>
      <c r="FK765" s="14">
        <v>326</v>
      </c>
      <c r="FL765" s="14">
        <f t="shared" si="691"/>
        <v>9</v>
      </c>
      <c r="FM765" s="14">
        <f t="shared" si="712"/>
        <v>1</v>
      </c>
      <c r="FN765" s="14" t="str">
        <f t="shared" si="692"/>
        <v/>
      </c>
      <c r="FO765" s="14">
        <f t="shared" si="713"/>
        <v>310</v>
      </c>
      <c r="FP765" s="14">
        <f t="shared" si="703"/>
        <v>1230</v>
      </c>
      <c r="FQ765" s="14">
        <f t="shared" si="704"/>
        <v>0</v>
      </c>
      <c r="FR765" s="14">
        <f t="shared" si="705"/>
        <v>0</v>
      </c>
      <c r="FS765" s="14">
        <f t="shared" si="706"/>
        <v>62</v>
      </c>
      <c r="FT765" s="14">
        <f t="shared" si="707"/>
        <v>0</v>
      </c>
      <c r="FU765" s="14">
        <f t="shared" si="708"/>
        <v>0</v>
      </c>
      <c r="FV765" s="14">
        <f t="shared" si="693"/>
        <v>2092</v>
      </c>
      <c r="FW765" s="14">
        <f t="shared" si="694"/>
        <v>0</v>
      </c>
      <c r="FX765" s="14" t="str">
        <f t="shared" si="695"/>
        <v/>
      </c>
      <c r="FY765" s="25" t="str">
        <f t="shared" si="709"/>
        <v>icon_2109101</v>
      </c>
      <c r="GC765" s="14">
        <f t="shared" si="696"/>
        <v>1</v>
      </c>
      <c r="GD765" s="14">
        <f t="shared" si="697"/>
        <v>0</v>
      </c>
      <c r="GE765" s="14">
        <f t="shared" si="714"/>
        <v>310</v>
      </c>
      <c r="GF765" s="14" t="str">
        <f t="shared" si="715"/>
        <v>AtkExt</v>
      </c>
      <c r="GG765" s="14">
        <f t="shared" si="716"/>
        <v>1230</v>
      </c>
      <c r="GH765" s="14">
        <f t="shared" si="717"/>
        <v>62</v>
      </c>
      <c r="GI765" s="14" t="str">
        <f t="shared" si="718"/>
        <v/>
      </c>
      <c r="GJ765" s="14" t="str">
        <f t="shared" si="719"/>
        <v/>
      </c>
      <c r="GK765" s="14" t="str">
        <f t="shared" si="720"/>
        <v/>
      </c>
      <c r="GL765" s="14">
        <f t="shared" si="698"/>
        <v>20920</v>
      </c>
      <c r="GM765" s="14">
        <f t="shared" si="721"/>
        <v>0</v>
      </c>
      <c r="GN765" s="14" t="str">
        <f t="shared" si="722"/>
        <v/>
      </c>
      <c r="GO765" s="25" t="s">
        <v>1471</v>
      </c>
      <c r="GP765" s="14">
        <f t="shared" si="699"/>
        <v>300</v>
      </c>
    </row>
    <row r="766" spans="151:198" ht="16.5" x14ac:dyDescent="0.2">
      <c r="EU766" s="13">
        <v>761</v>
      </c>
      <c r="EV766" s="14">
        <f t="shared" si="700"/>
        <v>2</v>
      </c>
      <c r="EW766" s="14">
        <f t="shared" si="710"/>
        <v>326</v>
      </c>
      <c r="EX766" s="14">
        <f t="shared" si="701"/>
        <v>44</v>
      </c>
      <c r="EY766" s="14">
        <f t="shared" si="711"/>
        <v>20</v>
      </c>
      <c r="EZ766" s="14">
        <f t="shared" si="681"/>
        <v>20</v>
      </c>
      <c r="FA766" s="14">
        <f t="shared" si="682"/>
        <v>130</v>
      </c>
      <c r="FB766" s="14">
        <f t="shared" si="683"/>
        <v>2</v>
      </c>
      <c r="FC766" s="14">
        <f t="shared" si="684"/>
        <v>2</v>
      </c>
      <c r="FD766" s="14">
        <f t="shared" si="685"/>
        <v>2</v>
      </c>
      <c r="FE766" s="14" t="b">
        <f t="shared" si="702"/>
        <v>0</v>
      </c>
      <c r="FF766" s="14">
        <f t="shared" si="686"/>
        <v>2109202</v>
      </c>
      <c r="FG766" s="13" t="str">
        <f t="shared" si="687"/>
        <v>130级-优秀守护灵の头盔</v>
      </c>
      <c r="FH766" s="14">
        <f t="shared" si="688"/>
        <v>2</v>
      </c>
      <c r="FI766" s="14">
        <f t="shared" si="689"/>
        <v>2</v>
      </c>
      <c r="FJ766" s="14">
        <f t="shared" si="690"/>
        <v>130</v>
      </c>
      <c r="FK766" s="14">
        <v>327</v>
      </c>
      <c r="FL766" s="14">
        <f t="shared" si="691"/>
        <v>9</v>
      </c>
      <c r="FM766" s="14">
        <f t="shared" si="712"/>
        <v>2</v>
      </c>
      <c r="FN766" s="14" t="str">
        <f t="shared" si="692"/>
        <v/>
      </c>
      <c r="FO766" s="14">
        <f t="shared" si="713"/>
        <v>160</v>
      </c>
      <c r="FP766" s="14">
        <f t="shared" si="703"/>
        <v>0</v>
      </c>
      <c r="FQ766" s="14">
        <f t="shared" si="704"/>
        <v>310</v>
      </c>
      <c r="FR766" s="14">
        <f t="shared" si="705"/>
        <v>0</v>
      </c>
      <c r="FS766" s="14">
        <f t="shared" si="706"/>
        <v>0</v>
      </c>
      <c r="FT766" s="14">
        <f t="shared" si="707"/>
        <v>16</v>
      </c>
      <c r="FU766" s="14">
        <f t="shared" si="708"/>
        <v>0</v>
      </c>
      <c r="FV766" s="14">
        <f t="shared" si="693"/>
        <v>2092</v>
      </c>
      <c r="FW766" s="14">
        <f t="shared" si="694"/>
        <v>0</v>
      </c>
      <c r="FX766" s="14" t="str">
        <f t="shared" si="695"/>
        <v/>
      </c>
      <c r="FY766" s="25" t="str">
        <f t="shared" si="709"/>
        <v>icon_2109102</v>
      </c>
      <c r="GC766" s="14">
        <f t="shared" si="696"/>
        <v>2</v>
      </c>
      <c r="GD766" s="14">
        <f t="shared" si="697"/>
        <v>0</v>
      </c>
      <c r="GE766" s="14">
        <f t="shared" si="714"/>
        <v>160</v>
      </c>
      <c r="GF766" s="14" t="str">
        <f t="shared" si="715"/>
        <v>DefExt</v>
      </c>
      <c r="GG766" s="14">
        <f t="shared" si="716"/>
        <v>310</v>
      </c>
      <c r="GH766" s="14">
        <f t="shared" si="717"/>
        <v>16</v>
      </c>
      <c r="GI766" s="14" t="str">
        <f t="shared" si="718"/>
        <v/>
      </c>
      <c r="GJ766" s="14" t="str">
        <f t="shared" si="719"/>
        <v/>
      </c>
      <c r="GK766" s="14" t="str">
        <f t="shared" si="720"/>
        <v/>
      </c>
      <c r="GL766" s="14">
        <f t="shared" si="698"/>
        <v>20920</v>
      </c>
      <c r="GM766" s="14">
        <f t="shared" si="721"/>
        <v>0</v>
      </c>
      <c r="GN766" s="14" t="str">
        <f t="shared" si="722"/>
        <v/>
      </c>
      <c r="GO766" s="25" t="s">
        <v>1471</v>
      </c>
      <c r="GP766" s="14">
        <f t="shared" si="699"/>
        <v>150</v>
      </c>
    </row>
    <row r="767" spans="151:198" ht="16.5" x14ac:dyDescent="0.2">
      <c r="EU767" s="13">
        <v>762</v>
      </c>
      <c r="EV767" s="14">
        <f t="shared" si="700"/>
        <v>2</v>
      </c>
      <c r="EW767" s="14">
        <f t="shared" si="710"/>
        <v>327</v>
      </c>
      <c r="EX767" s="14">
        <f t="shared" si="701"/>
        <v>44</v>
      </c>
      <c r="EY767" s="14">
        <f t="shared" si="711"/>
        <v>20</v>
      </c>
      <c r="EZ767" s="14">
        <f t="shared" si="681"/>
        <v>20</v>
      </c>
      <c r="FA767" s="14">
        <f t="shared" si="682"/>
        <v>130</v>
      </c>
      <c r="FB767" s="14">
        <f t="shared" si="683"/>
        <v>2</v>
      </c>
      <c r="FC767" s="14">
        <f t="shared" si="684"/>
        <v>3</v>
      </c>
      <c r="FD767" s="14">
        <f t="shared" si="685"/>
        <v>3</v>
      </c>
      <c r="FE767" s="14" t="b">
        <f t="shared" si="702"/>
        <v>0</v>
      </c>
      <c r="FF767" s="14">
        <f t="shared" si="686"/>
        <v>2109203</v>
      </c>
      <c r="FG767" s="13" t="str">
        <f t="shared" si="687"/>
        <v>130级-优秀守护灵の铠甲</v>
      </c>
      <c r="FH767" s="14">
        <f t="shared" si="688"/>
        <v>2</v>
      </c>
      <c r="FI767" s="14">
        <f t="shared" si="689"/>
        <v>2</v>
      </c>
      <c r="FJ767" s="14">
        <f t="shared" si="690"/>
        <v>130</v>
      </c>
      <c r="FK767" s="14">
        <v>328</v>
      </c>
      <c r="FL767" s="14">
        <f t="shared" si="691"/>
        <v>9</v>
      </c>
      <c r="FM767" s="14">
        <f t="shared" si="712"/>
        <v>3</v>
      </c>
      <c r="FN767" s="14" t="str">
        <f t="shared" si="692"/>
        <v/>
      </c>
      <c r="FO767" s="14">
        <f t="shared" si="713"/>
        <v>227</v>
      </c>
      <c r="FP767" s="14">
        <f t="shared" si="703"/>
        <v>0</v>
      </c>
      <c r="FQ767" s="14">
        <f t="shared" si="704"/>
        <v>155</v>
      </c>
      <c r="FR767" s="14">
        <f t="shared" si="705"/>
        <v>2905</v>
      </c>
      <c r="FS767" s="14">
        <f t="shared" si="706"/>
        <v>0</v>
      </c>
      <c r="FT767" s="14">
        <f t="shared" si="707"/>
        <v>8</v>
      </c>
      <c r="FU767" s="14">
        <f t="shared" si="708"/>
        <v>147</v>
      </c>
      <c r="FV767" s="14">
        <f t="shared" si="693"/>
        <v>2092</v>
      </c>
      <c r="FW767" s="14">
        <f t="shared" si="694"/>
        <v>0</v>
      </c>
      <c r="FX767" s="14" t="str">
        <f t="shared" si="695"/>
        <v/>
      </c>
      <c r="FY767" s="25" t="str">
        <f t="shared" si="709"/>
        <v>icon_2109103</v>
      </c>
      <c r="GC767" s="14">
        <f t="shared" si="696"/>
        <v>2</v>
      </c>
      <c r="GD767" s="14">
        <f t="shared" si="697"/>
        <v>3</v>
      </c>
      <c r="GE767" s="14">
        <f t="shared" si="714"/>
        <v>227</v>
      </c>
      <c r="GF767" s="14" t="str">
        <f t="shared" si="715"/>
        <v>DefExt</v>
      </c>
      <c r="GG767" s="14">
        <f t="shared" si="716"/>
        <v>155</v>
      </c>
      <c r="GH767" s="14">
        <f t="shared" si="717"/>
        <v>8</v>
      </c>
      <c r="GI767" s="14" t="str">
        <f t="shared" si="718"/>
        <v>HPExt</v>
      </c>
      <c r="GJ767" s="14">
        <f t="shared" si="719"/>
        <v>2905</v>
      </c>
      <c r="GK767" s="14">
        <f t="shared" si="720"/>
        <v>147</v>
      </c>
      <c r="GL767" s="14">
        <f t="shared" si="698"/>
        <v>20920</v>
      </c>
      <c r="GM767" s="14">
        <f t="shared" si="721"/>
        <v>0</v>
      </c>
      <c r="GN767" s="14" t="str">
        <f t="shared" si="722"/>
        <v/>
      </c>
      <c r="GO767" s="25" t="s">
        <v>1471</v>
      </c>
      <c r="GP767" s="14">
        <f t="shared" si="699"/>
        <v>150</v>
      </c>
    </row>
    <row r="768" spans="151:198" ht="16.5" x14ac:dyDescent="0.2">
      <c r="EU768" s="13">
        <v>763</v>
      </c>
      <c r="EV768" s="14">
        <f t="shared" si="700"/>
        <v>2</v>
      </c>
      <c r="EW768" s="14">
        <f t="shared" si="710"/>
        <v>328</v>
      </c>
      <c r="EX768" s="14">
        <f t="shared" si="701"/>
        <v>44</v>
      </c>
      <c r="EY768" s="14">
        <f t="shared" si="711"/>
        <v>20</v>
      </c>
      <c r="EZ768" s="14">
        <f t="shared" si="681"/>
        <v>20</v>
      </c>
      <c r="FA768" s="14">
        <f t="shared" si="682"/>
        <v>130</v>
      </c>
      <c r="FB768" s="14">
        <f t="shared" si="683"/>
        <v>2</v>
      </c>
      <c r="FC768" s="14">
        <f t="shared" si="684"/>
        <v>4</v>
      </c>
      <c r="FD768" s="14">
        <f t="shared" si="685"/>
        <v>4</v>
      </c>
      <c r="FE768" s="14" t="b">
        <f t="shared" si="702"/>
        <v>0</v>
      </c>
      <c r="FF768" s="14">
        <f t="shared" si="686"/>
        <v>2109204</v>
      </c>
      <c r="FG768" s="13" t="str">
        <f t="shared" si="687"/>
        <v>130级-优秀守护灵の裤子</v>
      </c>
      <c r="FH768" s="14">
        <f t="shared" si="688"/>
        <v>2</v>
      </c>
      <c r="FI768" s="14">
        <f t="shared" si="689"/>
        <v>2</v>
      </c>
      <c r="FJ768" s="14">
        <f t="shared" si="690"/>
        <v>130</v>
      </c>
      <c r="FK768" s="14">
        <v>329</v>
      </c>
      <c r="FL768" s="14">
        <f t="shared" si="691"/>
        <v>9</v>
      </c>
      <c r="FM768" s="14">
        <f t="shared" si="712"/>
        <v>4</v>
      </c>
      <c r="FN768" s="14" t="str">
        <f t="shared" si="692"/>
        <v/>
      </c>
      <c r="FO768" s="14">
        <f t="shared" si="713"/>
        <v>160</v>
      </c>
      <c r="FP768" s="14">
        <f t="shared" si="703"/>
        <v>0</v>
      </c>
      <c r="FQ768" s="14">
        <f t="shared" si="704"/>
        <v>310</v>
      </c>
      <c r="FR768" s="14">
        <f t="shared" si="705"/>
        <v>0</v>
      </c>
      <c r="FS768" s="14">
        <f t="shared" si="706"/>
        <v>0</v>
      </c>
      <c r="FT768" s="14">
        <f t="shared" si="707"/>
        <v>16</v>
      </c>
      <c r="FU768" s="14">
        <f t="shared" si="708"/>
        <v>0</v>
      </c>
      <c r="FV768" s="14">
        <f t="shared" si="693"/>
        <v>2092</v>
      </c>
      <c r="FW768" s="14">
        <f t="shared" si="694"/>
        <v>0</v>
      </c>
      <c r="FX768" s="14" t="str">
        <f t="shared" si="695"/>
        <v/>
      </c>
      <c r="FY768" s="25" t="str">
        <f t="shared" si="709"/>
        <v>icon_2109104</v>
      </c>
      <c r="GC768" s="14">
        <f t="shared" si="696"/>
        <v>2</v>
      </c>
      <c r="GD768" s="14">
        <f t="shared" si="697"/>
        <v>0</v>
      </c>
      <c r="GE768" s="14">
        <f t="shared" si="714"/>
        <v>160</v>
      </c>
      <c r="GF768" s="14" t="str">
        <f t="shared" si="715"/>
        <v>DefExt</v>
      </c>
      <c r="GG768" s="14">
        <f t="shared" si="716"/>
        <v>310</v>
      </c>
      <c r="GH768" s="14">
        <f t="shared" si="717"/>
        <v>16</v>
      </c>
      <c r="GI768" s="14" t="str">
        <f t="shared" si="718"/>
        <v/>
      </c>
      <c r="GJ768" s="14" t="str">
        <f t="shared" si="719"/>
        <v/>
      </c>
      <c r="GK768" s="14" t="str">
        <f t="shared" si="720"/>
        <v/>
      </c>
      <c r="GL768" s="14">
        <f t="shared" si="698"/>
        <v>20920</v>
      </c>
      <c r="GM768" s="14">
        <f t="shared" si="721"/>
        <v>0</v>
      </c>
      <c r="GN768" s="14" t="str">
        <f t="shared" si="722"/>
        <v/>
      </c>
      <c r="GO768" s="25" t="s">
        <v>1471</v>
      </c>
      <c r="GP768" s="14">
        <f t="shared" si="699"/>
        <v>150</v>
      </c>
    </row>
    <row r="769" spans="151:198" ht="16.5" x14ac:dyDescent="0.2">
      <c r="EU769" s="13">
        <v>764</v>
      </c>
      <c r="EV769" s="14">
        <f t="shared" si="700"/>
        <v>2</v>
      </c>
      <c r="EW769" s="14">
        <f t="shared" si="710"/>
        <v>329</v>
      </c>
      <c r="EX769" s="14">
        <f t="shared" si="701"/>
        <v>44</v>
      </c>
      <c r="EY769" s="14">
        <f t="shared" si="711"/>
        <v>20</v>
      </c>
      <c r="EZ769" s="14">
        <f t="shared" si="681"/>
        <v>20</v>
      </c>
      <c r="FA769" s="14">
        <f t="shared" si="682"/>
        <v>130</v>
      </c>
      <c r="FB769" s="14">
        <f t="shared" si="683"/>
        <v>2</v>
      </c>
      <c r="FC769" s="14">
        <f t="shared" si="684"/>
        <v>5</v>
      </c>
      <c r="FD769" s="14">
        <f t="shared" si="685"/>
        <v>5</v>
      </c>
      <c r="FE769" s="14" t="b">
        <f t="shared" si="702"/>
        <v>0</v>
      </c>
      <c r="FF769" s="14">
        <f t="shared" si="686"/>
        <v>2109205</v>
      </c>
      <c r="FG769" s="13" t="str">
        <f t="shared" si="687"/>
        <v>130级-优秀守护灵の鞋子</v>
      </c>
      <c r="FH769" s="14">
        <f t="shared" si="688"/>
        <v>2</v>
      </c>
      <c r="FI769" s="14">
        <f t="shared" si="689"/>
        <v>2</v>
      </c>
      <c r="FJ769" s="14">
        <f t="shared" si="690"/>
        <v>130</v>
      </c>
      <c r="FK769" s="14">
        <v>330</v>
      </c>
      <c r="FL769" s="14">
        <f t="shared" si="691"/>
        <v>9</v>
      </c>
      <c r="FM769" s="14">
        <f t="shared" si="712"/>
        <v>5</v>
      </c>
      <c r="FN769" s="14" t="str">
        <f t="shared" si="692"/>
        <v/>
      </c>
      <c r="FO769" s="14">
        <f t="shared" si="713"/>
        <v>295</v>
      </c>
      <c r="FP769" s="14">
        <f t="shared" si="703"/>
        <v>0</v>
      </c>
      <c r="FQ769" s="14">
        <f t="shared" si="704"/>
        <v>0</v>
      </c>
      <c r="FR769" s="14">
        <f t="shared" si="705"/>
        <v>5810</v>
      </c>
      <c r="FS769" s="14">
        <f t="shared" si="706"/>
        <v>0</v>
      </c>
      <c r="FT769" s="14">
        <f t="shared" si="707"/>
        <v>0</v>
      </c>
      <c r="FU769" s="14">
        <f t="shared" si="708"/>
        <v>295</v>
      </c>
      <c r="FV769" s="14">
        <f t="shared" si="693"/>
        <v>2092</v>
      </c>
      <c r="FW769" s="14">
        <f t="shared" si="694"/>
        <v>0</v>
      </c>
      <c r="FX769" s="14" t="str">
        <f t="shared" si="695"/>
        <v/>
      </c>
      <c r="FY769" s="25" t="str">
        <f t="shared" si="709"/>
        <v>icon_2109105</v>
      </c>
      <c r="GC769" s="14">
        <f t="shared" si="696"/>
        <v>3</v>
      </c>
      <c r="GD769" s="14">
        <f t="shared" si="697"/>
        <v>0</v>
      </c>
      <c r="GE769" s="14">
        <f t="shared" si="714"/>
        <v>295</v>
      </c>
      <c r="GF769" s="14" t="str">
        <f t="shared" si="715"/>
        <v>HPExt</v>
      </c>
      <c r="GG769" s="14">
        <f t="shared" si="716"/>
        <v>5810</v>
      </c>
      <c r="GH769" s="14">
        <f t="shared" si="717"/>
        <v>295</v>
      </c>
      <c r="GI769" s="14" t="str">
        <f t="shared" si="718"/>
        <v/>
      </c>
      <c r="GJ769" s="14" t="str">
        <f t="shared" si="719"/>
        <v/>
      </c>
      <c r="GK769" s="14" t="str">
        <f t="shared" si="720"/>
        <v/>
      </c>
      <c r="GL769" s="14">
        <f t="shared" si="698"/>
        <v>20920</v>
      </c>
      <c r="GM769" s="14">
        <f t="shared" si="721"/>
        <v>0</v>
      </c>
      <c r="GN769" s="14" t="str">
        <f t="shared" si="722"/>
        <v/>
      </c>
      <c r="GO769" s="25" t="s">
        <v>1471</v>
      </c>
      <c r="GP769" s="14">
        <f t="shared" si="699"/>
        <v>150</v>
      </c>
    </row>
    <row r="770" spans="151:198" ht="16.5" x14ac:dyDescent="0.2">
      <c r="EU770" s="13">
        <v>765</v>
      </c>
      <c r="EV770" s="14">
        <f t="shared" si="700"/>
        <v>2</v>
      </c>
      <c r="EW770" s="14">
        <f t="shared" si="710"/>
        <v>330</v>
      </c>
      <c r="EX770" s="14">
        <f t="shared" si="701"/>
        <v>44</v>
      </c>
      <c r="EY770" s="14">
        <f t="shared" si="711"/>
        <v>20</v>
      </c>
      <c r="EZ770" s="14">
        <f t="shared" si="681"/>
        <v>20</v>
      </c>
      <c r="FA770" s="14">
        <f t="shared" si="682"/>
        <v>130</v>
      </c>
      <c r="FB770" s="14">
        <f t="shared" si="683"/>
        <v>2</v>
      </c>
      <c r="FC770" s="14">
        <f t="shared" si="684"/>
        <v>6</v>
      </c>
      <c r="FD770" s="14">
        <f t="shared" si="685"/>
        <v>6</v>
      </c>
      <c r="FE770" s="14" t="b">
        <f t="shared" si="702"/>
        <v>0</v>
      </c>
      <c r="FF770" s="14">
        <f t="shared" si="686"/>
        <v>2109206</v>
      </c>
      <c r="FG770" s="13" t="str">
        <f t="shared" si="687"/>
        <v>130级-优秀守护灵の护手</v>
      </c>
      <c r="FH770" s="14">
        <f t="shared" si="688"/>
        <v>2</v>
      </c>
      <c r="FI770" s="14">
        <f t="shared" si="689"/>
        <v>2</v>
      </c>
      <c r="FJ770" s="14">
        <f t="shared" si="690"/>
        <v>130</v>
      </c>
      <c r="FK770" s="14">
        <v>331</v>
      </c>
      <c r="FL770" s="14">
        <f t="shared" si="691"/>
        <v>9</v>
      </c>
      <c r="FM770" s="14">
        <f t="shared" si="712"/>
        <v>6</v>
      </c>
      <c r="FN770" s="14" t="str">
        <f t="shared" si="692"/>
        <v/>
      </c>
      <c r="FO770" s="14">
        <f t="shared" si="713"/>
        <v>295</v>
      </c>
      <c r="FP770" s="14">
        <f t="shared" si="703"/>
        <v>0</v>
      </c>
      <c r="FQ770" s="14">
        <f t="shared" si="704"/>
        <v>0</v>
      </c>
      <c r="FR770" s="14">
        <f t="shared" si="705"/>
        <v>5810</v>
      </c>
      <c r="FS770" s="14">
        <f t="shared" si="706"/>
        <v>0</v>
      </c>
      <c r="FT770" s="14">
        <f t="shared" si="707"/>
        <v>0</v>
      </c>
      <c r="FU770" s="14">
        <f t="shared" si="708"/>
        <v>295</v>
      </c>
      <c r="FV770" s="14">
        <f t="shared" si="693"/>
        <v>2092</v>
      </c>
      <c r="FW770" s="14">
        <f t="shared" si="694"/>
        <v>0</v>
      </c>
      <c r="FX770" s="14" t="str">
        <f t="shared" si="695"/>
        <v/>
      </c>
      <c r="FY770" s="25" t="str">
        <f t="shared" si="709"/>
        <v>icon_2109106</v>
      </c>
      <c r="GC770" s="14">
        <f t="shared" si="696"/>
        <v>3</v>
      </c>
      <c r="GD770" s="14">
        <f t="shared" si="697"/>
        <v>0</v>
      </c>
      <c r="GE770" s="14">
        <f t="shared" si="714"/>
        <v>295</v>
      </c>
      <c r="GF770" s="14" t="str">
        <f t="shared" si="715"/>
        <v>HPExt</v>
      </c>
      <c r="GG770" s="14">
        <f t="shared" si="716"/>
        <v>5810</v>
      </c>
      <c r="GH770" s="14">
        <f t="shared" si="717"/>
        <v>295</v>
      </c>
      <c r="GI770" s="14" t="str">
        <f t="shared" si="718"/>
        <v/>
      </c>
      <c r="GJ770" s="14" t="str">
        <f t="shared" si="719"/>
        <v/>
      </c>
      <c r="GK770" s="14" t="str">
        <f t="shared" si="720"/>
        <v/>
      </c>
      <c r="GL770" s="14">
        <f t="shared" si="698"/>
        <v>20920</v>
      </c>
      <c r="GM770" s="14">
        <f t="shared" si="721"/>
        <v>0</v>
      </c>
      <c r="GN770" s="14" t="str">
        <f t="shared" si="722"/>
        <v/>
      </c>
      <c r="GO770" s="25" t="s">
        <v>1471</v>
      </c>
      <c r="GP770" s="14">
        <f t="shared" si="699"/>
        <v>150</v>
      </c>
    </row>
    <row r="771" spans="151:198" ht="16.5" x14ac:dyDescent="0.2">
      <c r="EU771" s="13">
        <v>766</v>
      </c>
      <c r="EV771" s="14">
        <f t="shared" si="700"/>
        <v>2</v>
      </c>
      <c r="EW771" s="14">
        <f t="shared" si="710"/>
        <v>331</v>
      </c>
      <c r="EX771" s="14">
        <f t="shared" si="701"/>
        <v>44</v>
      </c>
      <c r="EY771" s="14">
        <f t="shared" si="711"/>
        <v>20</v>
      </c>
      <c r="EZ771" s="14">
        <f t="shared" si="681"/>
        <v>20</v>
      </c>
      <c r="FA771" s="14">
        <f t="shared" si="682"/>
        <v>130</v>
      </c>
      <c r="FB771" s="14">
        <f t="shared" si="683"/>
        <v>2</v>
      </c>
      <c r="FC771" s="14">
        <f t="shared" si="684"/>
        <v>7</v>
      </c>
      <c r="FD771" s="14">
        <f t="shared" si="685"/>
        <v>7</v>
      </c>
      <c r="FE771" s="14" t="b">
        <f t="shared" si="702"/>
        <v>0</v>
      </c>
      <c r="FF771" s="14">
        <f t="shared" si="686"/>
        <v>2109207</v>
      </c>
      <c r="FG771" s="13" t="str">
        <f t="shared" si="687"/>
        <v>130级-优秀守护灵の项链</v>
      </c>
      <c r="FH771" s="14">
        <f t="shared" si="688"/>
        <v>2</v>
      </c>
      <c r="FI771" s="14">
        <f t="shared" si="689"/>
        <v>2</v>
      </c>
      <c r="FJ771" s="14">
        <f t="shared" si="690"/>
        <v>130</v>
      </c>
      <c r="FK771" s="14">
        <v>332</v>
      </c>
      <c r="FL771" s="14">
        <f t="shared" si="691"/>
        <v>9</v>
      </c>
      <c r="FM771" s="14">
        <f t="shared" si="712"/>
        <v>7</v>
      </c>
      <c r="FN771" s="14" t="str">
        <f t="shared" si="692"/>
        <v/>
      </c>
      <c r="FO771" s="14">
        <f t="shared" si="713"/>
        <v>235</v>
      </c>
      <c r="FP771" s="14">
        <f t="shared" si="703"/>
        <v>410</v>
      </c>
      <c r="FQ771" s="14">
        <f t="shared" si="704"/>
        <v>255</v>
      </c>
      <c r="FR771" s="14">
        <f t="shared" si="705"/>
        <v>0</v>
      </c>
      <c r="FS771" s="14">
        <f t="shared" si="706"/>
        <v>21</v>
      </c>
      <c r="FT771" s="14">
        <f t="shared" si="707"/>
        <v>13</v>
      </c>
      <c r="FU771" s="14">
        <f t="shared" si="708"/>
        <v>0</v>
      </c>
      <c r="FV771" s="14">
        <f t="shared" si="693"/>
        <v>2092</v>
      </c>
      <c r="FW771" s="14">
        <f t="shared" si="694"/>
        <v>0</v>
      </c>
      <c r="FX771" s="14" t="str">
        <f t="shared" si="695"/>
        <v/>
      </c>
      <c r="FY771" s="25" t="str">
        <f t="shared" si="709"/>
        <v>icon_2109107</v>
      </c>
      <c r="GC771" s="14">
        <f t="shared" si="696"/>
        <v>1</v>
      </c>
      <c r="GD771" s="14">
        <f t="shared" si="697"/>
        <v>2</v>
      </c>
      <c r="GE771" s="14">
        <f t="shared" si="714"/>
        <v>235</v>
      </c>
      <c r="GF771" s="14" t="str">
        <f t="shared" si="715"/>
        <v>AtkExt</v>
      </c>
      <c r="GG771" s="14">
        <f t="shared" si="716"/>
        <v>410</v>
      </c>
      <c r="GH771" s="14">
        <f t="shared" si="717"/>
        <v>21</v>
      </c>
      <c r="GI771" s="14" t="str">
        <f t="shared" si="718"/>
        <v>DefExt</v>
      </c>
      <c r="GJ771" s="14">
        <f t="shared" si="719"/>
        <v>255</v>
      </c>
      <c r="GK771" s="14">
        <f t="shared" si="720"/>
        <v>13</v>
      </c>
      <c r="GL771" s="14">
        <f t="shared" si="698"/>
        <v>20920</v>
      </c>
      <c r="GM771" s="14">
        <f t="shared" si="721"/>
        <v>0</v>
      </c>
      <c r="GN771" s="14" t="str">
        <f t="shared" si="722"/>
        <v/>
      </c>
      <c r="GO771" s="25" t="s">
        <v>1471</v>
      </c>
      <c r="GP771" s="14">
        <f t="shared" si="699"/>
        <v>225</v>
      </c>
    </row>
    <row r="772" spans="151:198" ht="16.5" x14ac:dyDescent="0.2">
      <c r="EU772" s="13">
        <v>767</v>
      </c>
      <c r="EV772" s="14">
        <f t="shared" si="700"/>
        <v>2</v>
      </c>
      <c r="EW772" s="14">
        <f t="shared" si="710"/>
        <v>332</v>
      </c>
      <c r="EX772" s="14">
        <f t="shared" si="701"/>
        <v>44</v>
      </c>
      <c r="EY772" s="14">
        <f t="shared" si="711"/>
        <v>20</v>
      </c>
      <c r="EZ772" s="14">
        <f t="shared" si="681"/>
        <v>20</v>
      </c>
      <c r="FA772" s="14">
        <f t="shared" si="682"/>
        <v>130</v>
      </c>
      <c r="FB772" s="14">
        <f t="shared" si="683"/>
        <v>2</v>
      </c>
      <c r="FC772" s="14">
        <f t="shared" si="684"/>
        <v>8</v>
      </c>
      <c r="FD772" s="14">
        <f t="shared" si="685"/>
        <v>8</v>
      </c>
      <c r="FE772" s="14" t="b">
        <f t="shared" si="702"/>
        <v>0</v>
      </c>
      <c r="FF772" s="14">
        <f t="shared" si="686"/>
        <v>2109208</v>
      </c>
      <c r="FG772" s="13" t="str">
        <f t="shared" si="687"/>
        <v>130级-优秀守护灵の戒指</v>
      </c>
      <c r="FH772" s="14">
        <f t="shared" si="688"/>
        <v>2</v>
      </c>
      <c r="FI772" s="14">
        <f t="shared" si="689"/>
        <v>2</v>
      </c>
      <c r="FJ772" s="14">
        <f t="shared" si="690"/>
        <v>130</v>
      </c>
      <c r="FK772" s="14">
        <v>333</v>
      </c>
      <c r="FL772" s="14">
        <f t="shared" si="691"/>
        <v>9</v>
      </c>
      <c r="FM772" s="14">
        <f t="shared" si="712"/>
        <v>8</v>
      </c>
      <c r="FN772" s="14" t="str">
        <f t="shared" si="692"/>
        <v/>
      </c>
      <c r="FO772" s="14">
        <f t="shared" si="713"/>
        <v>350</v>
      </c>
      <c r="FP772" s="14">
        <f t="shared" si="703"/>
        <v>410</v>
      </c>
      <c r="FQ772" s="14">
        <f t="shared" si="704"/>
        <v>0</v>
      </c>
      <c r="FR772" s="14">
        <f t="shared" si="705"/>
        <v>4840</v>
      </c>
      <c r="FS772" s="14">
        <f t="shared" si="706"/>
        <v>21</v>
      </c>
      <c r="FT772" s="14">
        <f t="shared" si="707"/>
        <v>0</v>
      </c>
      <c r="FU772" s="14">
        <f t="shared" si="708"/>
        <v>245</v>
      </c>
      <c r="FV772" s="14">
        <f t="shared" si="693"/>
        <v>2092</v>
      </c>
      <c r="FW772" s="14">
        <f t="shared" si="694"/>
        <v>0</v>
      </c>
      <c r="FX772" s="14" t="str">
        <f t="shared" si="695"/>
        <v/>
      </c>
      <c r="FY772" s="25" t="str">
        <f t="shared" si="709"/>
        <v>icon_2109108</v>
      </c>
      <c r="GC772" s="14">
        <f t="shared" si="696"/>
        <v>1</v>
      </c>
      <c r="GD772" s="14">
        <f t="shared" si="697"/>
        <v>3</v>
      </c>
      <c r="GE772" s="14">
        <f t="shared" si="714"/>
        <v>350</v>
      </c>
      <c r="GF772" s="14" t="str">
        <f t="shared" si="715"/>
        <v>AtkExt</v>
      </c>
      <c r="GG772" s="14">
        <f t="shared" si="716"/>
        <v>410</v>
      </c>
      <c r="GH772" s="14">
        <f t="shared" si="717"/>
        <v>21</v>
      </c>
      <c r="GI772" s="14" t="str">
        <f t="shared" si="718"/>
        <v>HPExt</v>
      </c>
      <c r="GJ772" s="14">
        <f t="shared" si="719"/>
        <v>4840</v>
      </c>
      <c r="GK772" s="14">
        <f t="shared" si="720"/>
        <v>245</v>
      </c>
      <c r="GL772" s="14">
        <f t="shared" si="698"/>
        <v>20920</v>
      </c>
      <c r="GM772" s="14">
        <f t="shared" si="721"/>
        <v>0</v>
      </c>
      <c r="GN772" s="14" t="str">
        <f t="shared" si="722"/>
        <v/>
      </c>
      <c r="GO772" s="25" t="s">
        <v>1471</v>
      </c>
      <c r="GP772" s="14">
        <f t="shared" si="699"/>
        <v>225</v>
      </c>
    </row>
    <row r="773" spans="151:198" ht="16.5" x14ac:dyDescent="0.2">
      <c r="EU773" s="13">
        <v>768</v>
      </c>
      <c r="EV773" s="14">
        <f t="shared" si="700"/>
        <v>2</v>
      </c>
      <c r="EW773" s="14">
        <f t="shared" si="710"/>
        <v>333</v>
      </c>
      <c r="EX773" s="14">
        <f t="shared" si="701"/>
        <v>45</v>
      </c>
      <c r="EY773" s="14">
        <f t="shared" si="711"/>
        <v>30</v>
      </c>
      <c r="EZ773" s="14">
        <f t="shared" si="681"/>
        <v>20</v>
      </c>
      <c r="FA773" s="14">
        <f t="shared" si="682"/>
        <v>130</v>
      </c>
      <c r="FB773" s="14">
        <f t="shared" si="683"/>
        <v>3</v>
      </c>
      <c r="FC773" s="14">
        <f t="shared" si="684"/>
        <v>1</v>
      </c>
      <c r="FD773" s="14">
        <f t="shared" si="685"/>
        <v>1</v>
      </c>
      <c r="FE773" s="14" t="b">
        <f t="shared" si="702"/>
        <v>0</v>
      </c>
      <c r="FF773" s="14">
        <f t="shared" si="686"/>
        <v>2109301</v>
      </c>
      <c r="FG773" s="13" t="str">
        <f t="shared" si="687"/>
        <v>130级-精良守护灵の灵器</v>
      </c>
      <c r="FH773" s="14">
        <f t="shared" si="688"/>
        <v>2</v>
      </c>
      <c r="FI773" s="14">
        <f t="shared" si="689"/>
        <v>3</v>
      </c>
      <c r="FJ773" s="14">
        <f t="shared" si="690"/>
        <v>130</v>
      </c>
      <c r="FK773" s="14">
        <v>334</v>
      </c>
      <c r="FL773" s="14">
        <f t="shared" si="691"/>
        <v>9</v>
      </c>
      <c r="FM773" s="14">
        <f t="shared" si="712"/>
        <v>1</v>
      </c>
      <c r="FN773" s="14" t="str">
        <f t="shared" si="692"/>
        <v/>
      </c>
      <c r="FO773" s="14">
        <f t="shared" si="713"/>
        <v>380</v>
      </c>
      <c r="FP773" s="14">
        <f t="shared" si="703"/>
        <v>1495</v>
      </c>
      <c r="FQ773" s="14">
        <f t="shared" si="704"/>
        <v>0</v>
      </c>
      <c r="FR773" s="14">
        <f t="shared" si="705"/>
        <v>0</v>
      </c>
      <c r="FS773" s="14">
        <f t="shared" si="706"/>
        <v>76</v>
      </c>
      <c r="FT773" s="14">
        <f t="shared" si="707"/>
        <v>0</v>
      </c>
      <c r="FU773" s="14">
        <f t="shared" si="708"/>
        <v>0</v>
      </c>
      <c r="FV773" s="14">
        <f t="shared" si="693"/>
        <v>2093</v>
      </c>
      <c r="FW773" s="14">
        <f t="shared" si="694"/>
        <v>5</v>
      </c>
      <c r="FX773" s="14">
        <f t="shared" si="695"/>
        <v>2093</v>
      </c>
      <c r="FY773" s="25" t="str">
        <f t="shared" si="709"/>
        <v>icon_2109101</v>
      </c>
      <c r="GC773" s="14">
        <f t="shared" si="696"/>
        <v>1</v>
      </c>
      <c r="GD773" s="14">
        <f t="shared" si="697"/>
        <v>0</v>
      </c>
      <c r="GE773" s="14">
        <f t="shared" si="714"/>
        <v>380</v>
      </c>
      <c r="GF773" s="14" t="str">
        <f t="shared" si="715"/>
        <v>AtkExt</v>
      </c>
      <c r="GG773" s="14">
        <f t="shared" si="716"/>
        <v>1495</v>
      </c>
      <c r="GH773" s="14">
        <f t="shared" si="717"/>
        <v>76</v>
      </c>
      <c r="GI773" s="14" t="str">
        <f t="shared" si="718"/>
        <v/>
      </c>
      <c r="GJ773" s="14" t="str">
        <f t="shared" si="719"/>
        <v/>
      </c>
      <c r="GK773" s="14" t="str">
        <f t="shared" si="720"/>
        <v/>
      </c>
      <c r="GL773" s="14">
        <f t="shared" si="698"/>
        <v>20930</v>
      </c>
      <c r="GM773" s="14">
        <f t="shared" si="721"/>
        <v>5</v>
      </c>
      <c r="GN773" s="14">
        <f t="shared" si="722"/>
        <v>2093</v>
      </c>
      <c r="GO773" s="25" t="s">
        <v>1471</v>
      </c>
      <c r="GP773" s="14">
        <f t="shared" si="699"/>
        <v>500</v>
      </c>
    </row>
    <row r="774" spans="151:198" ht="16.5" x14ac:dyDescent="0.2">
      <c r="EU774" s="13">
        <v>769</v>
      </c>
      <c r="EV774" s="14">
        <f t="shared" si="700"/>
        <v>2</v>
      </c>
      <c r="EW774" s="14">
        <f t="shared" si="710"/>
        <v>334</v>
      </c>
      <c r="EX774" s="14">
        <f t="shared" si="701"/>
        <v>45</v>
      </c>
      <c r="EY774" s="14">
        <f t="shared" si="711"/>
        <v>30</v>
      </c>
      <c r="EZ774" s="14">
        <f t="shared" ref="EZ774:EZ837" si="723">(EV774-1)*$EX$3+FL774</f>
        <v>20</v>
      </c>
      <c r="FA774" s="14">
        <f t="shared" ref="FA774:FA837" si="724">INDEX(AI$7:AI$64,$EX774)</f>
        <v>130</v>
      </c>
      <c r="FB774" s="14">
        <f t="shared" ref="FB774:FB837" si="725">INDEX(AJ$7:AJ$64,$EX774)</f>
        <v>3</v>
      </c>
      <c r="FC774" s="14">
        <f t="shared" ref="FC774:FC837" si="726">EW774-INDEX($AQ$6:$AQ$64,EX774)</f>
        <v>2</v>
      </c>
      <c r="FD774" s="14">
        <f t="shared" ref="FD774:FD837" si="727">INDEX($AR$7:$AY$64,EX774,EW774-INDEX($AQ$6:$AQ$64,EX774))</f>
        <v>2</v>
      </c>
      <c r="FE774" s="14" t="b">
        <f t="shared" si="702"/>
        <v>0</v>
      </c>
      <c r="FF774" s="14">
        <f t="shared" ref="FF774:FF837" si="728">INDEX($AN$7:$AN$64,EX774)*10+FD774+(EV774-1)*100000+2000000</f>
        <v>2109302</v>
      </c>
      <c r="FG774" s="13" t="str">
        <f t="shared" ref="FG774:FG837" si="729">INDEX($AL$7:$AL$64,EX774)&amp;"-"&amp;INDEX($AM$7:$AM$64,EX774)&amp;INDEX($BC$6:$BC$7,EV774)&amp;INDEX($AR$3:$AY$3,FD774)</f>
        <v>130级-精良守护灵の头盔</v>
      </c>
      <c r="FH774" s="14">
        <f t="shared" ref="FH774:FH837" si="730">EV774</f>
        <v>2</v>
      </c>
      <c r="FI774" s="14">
        <f t="shared" ref="FI774:FI837" si="731">INDEX($AJ$7:$AJ$64,EX774)</f>
        <v>3</v>
      </c>
      <c r="FJ774" s="14">
        <f t="shared" ref="FJ774:FJ837" si="732">INDEX($AI$7:$AI$64,EX774)</f>
        <v>130</v>
      </c>
      <c r="FK774" s="14">
        <v>335</v>
      </c>
      <c r="FL774" s="14">
        <f t="shared" ref="FL774:FL837" si="733">INDEX(AH$7:AH$64,$EX774)</f>
        <v>9</v>
      </c>
      <c r="FM774" s="14">
        <f t="shared" si="712"/>
        <v>2</v>
      </c>
      <c r="FN774" s="14" t="str">
        <f t="shared" ref="FN774:FN837" si="734">IF(INDEX($AO$7:$AO$64,EX774)&gt;0,INDEX($AO$7:$AO$64,EX774) + (EV774-1)*10000+200000,"")</f>
        <v/>
      </c>
      <c r="FO774" s="14">
        <f t="shared" si="713"/>
        <v>190</v>
      </c>
      <c r="FP774" s="14">
        <f t="shared" si="703"/>
        <v>0</v>
      </c>
      <c r="FQ774" s="14">
        <f t="shared" si="704"/>
        <v>375</v>
      </c>
      <c r="FR774" s="14">
        <f t="shared" si="705"/>
        <v>0</v>
      </c>
      <c r="FS774" s="14">
        <f t="shared" si="706"/>
        <v>0</v>
      </c>
      <c r="FT774" s="14">
        <f t="shared" si="707"/>
        <v>19</v>
      </c>
      <c r="FU774" s="14">
        <f t="shared" si="708"/>
        <v>0</v>
      </c>
      <c r="FV774" s="14">
        <f t="shared" ref="FV774:FV837" si="735">FL774*10+FB774+EV774*1000</f>
        <v>2093</v>
      </c>
      <c r="FW774" s="14">
        <f t="shared" ref="FW774:FW837" si="736">INDEX($V$17:$Y$27,FL774,FB774)</f>
        <v>5</v>
      </c>
      <c r="FX774" s="14">
        <f t="shared" ref="FX774:FX837" si="737">IF(FB774&gt;2,FL774*10+FB774+EV774*1000,"")</f>
        <v>2093</v>
      </c>
      <c r="FY774" s="25" t="str">
        <f t="shared" si="709"/>
        <v>icon_2109102</v>
      </c>
      <c r="GC774" s="14">
        <f t="shared" ref="GC774:GC837" si="738">INDEX(BL$6:BL$13,$FM774)</f>
        <v>2</v>
      </c>
      <c r="GD774" s="14">
        <f t="shared" ref="GD774:GD837" si="739">INDEX(BM$6:BM$13,$FM774)</f>
        <v>0</v>
      </c>
      <c r="GE774" s="14">
        <f t="shared" si="714"/>
        <v>190</v>
      </c>
      <c r="GF774" s="14" t="str">
        <f t="shared" si="715"/>
        <v>DefExt</v>
      </c>
      <c r="GG774" s="14">
        <f t="shared" si="716"/>
        <v>375</v>
      </c>
      <c r="GH774" s="14">
        <f t="shared" si="717"/>
        <v>19</v>
      </c>
      <c r="GI774" s="14" t="str">
        <f t="shared" si="718"/>
        <v/>
      </c>
      <c r="GJ774" s="14" t="str">
        <f t="shared" si="719"/>
        <v/>
      </c>
      <c r="GK774" s="14" t="str">
        <f t="shared" si="720"/>
        <v/>
      </c>
      <c r="GL774" s="14">
        <f t="shared" ref="GL774:GL837" si="740">20000+FL774*100+FB774*10</f>
        <v>20930</v>
      </c>
      <c r="GM774" s="14">
        <f t="shared" si="721"/>
        <v>5</v>
      </c>
      <c r="GN774" s="14">
        <f t="shared" si="722"/>
        <v>2093</v>
      </c>
      <c r="GO774" s="25" t="s">
        <v>1471</v>
      </c>
      <c r="GP774" s="14">
        <f t="shared" ref="GP774:GP837" si="741">ROUND(INDEX($AA$17:$AD$27,FL774,FB774)*INDEX($BK$6:$BK$13,FM774),0)</f>
        <v>250</v>
      </c>
    </row>
    <row r="775" spans="151:198" ht="16.5" x14ac:dyDescent="0.2">
      <c r="EU775" s="13">
        <v>770</v>
      </c>
      <c r="EV775" s="14">
        <f t="shared" ref="EV775:EV838" si="742">IF(EU775&lt;=$EV$3,1,2)</f>
        <v>2</v>
      </c>
      <c r="EW775" s="14">
        <f t="shared" si="710"/>
        <v>335</v>
      </c>
      <c r="EX775" s="14">
        <f t="shared" ref="EX775:EX838" si="743">MATCH(EW775-1,$AQ$6:$AQ$64,1)</f>
        <v>45</v>
      </c>
      <c r="EY775" s="14">
        <f t="shared" si="711"/>
        <v>30</v>
      </c>
      <c r="EZ775" s="14">
        <f t="shared" si="723"/>
        <v>20</v>
      </c>
      <c r="FA775" s="14">
        <f t="shared" si="724"/>
        <v>130</v>
      </c>
      <c r="FB775" s="14">
        <f t="shared" si="725"/>
        <v>3</v>
      </c>
      <c r="FC775" s="14">
        <f t="shared" si="726"/>
        <v>3</v>
      </c>
      <c r="FD775" s="14">
        <f t="shared" si="727"/>
        <v>3</v>
      </c>
      <c r="FE775" s="14" t="b">
        <f t="shared" ref="FE775:FE838" si="744">IF(FN775="",FALSE,TRUE)</f>
        <v>0</v>
      </c>
      <c r="FF775" s="14">
        <f t="shared" si="728"/>
        <v>2109303</v>
      </c>
      <c r="FG775" s="13" t="str">
        <f t="shared" si="729"/>
        <v>130级-精良守护灵の铠甲</v>
      </c>
      <c r="FH775" s="14">
        <f t="shared" si="730"/>
        <v>2</v>
      </c>
      <c r="FI775" s="14">
        <f t="shared" si="731"/>
        <v>3</v>
      </c>
      <c r="FJ775" s="14">
        <f t="shared" si="732"/>
        <v>130</v>
      </c>
      <c r="FK775" s="14">
        <v>336</v>
      </c>
      <c r="FL775" s="14">
        <f t="shared" si="733"/>
        <v>9</v>
      </c>
      <c r="FM775" s="14">
        <f t="shared" si="712"/>
        <v>3</v>
      </c>
      <c r="FN775" s="14" t="str">
        <f t="shared" si="734"/>
        <v/>
      </c>
      <c r="FO775" s="14">
        <f t="shared" si="713"/>
        <v>269</v>
      </c>
      <c r="FP775" s="14">
        <f t="shared" ref="FP775:FP838" si="745">ROUND(INDEX(M$6:M$27,$EZ775)*INDEX(BH$6:BH$13,$FD775)*INDEX($BR$6:$BR$9,FI775)/5,0)*5</f>
        <v>0</v>
      </c>
      <c r="FQ775" s="14">
        <f t="shared" ref="FQ775:FQ838" si="746">ROUND(INDEX(N$6:N$27,$EZ775)*INDEX(BI$6:BI$13,$FD775)*INDEX($BR$6:$BR$9,FI775)/5,0)*5</f>
        <v>185</v>
      </c>
      <c r="FR775" s="14">
        <f t="shared" ref="FR775:FR838" si="747">ROUND(INDEX(O$6:O$27,$EZ775)*INDEX(BJ$6:BJ$13,$FD775)*INDEX($BR$6:$BR$9,FI775)/5,0)*5</f>
        <v>3525</v>
      </c>
      <c r="FS775" s="14">
        <f t="shared" ref="FS775:FS838" si="748">ROUND(INDEX(S$6:S$27,$EZ775)*INDEX(BH$6:BH$13,$FD775)*INDEX($BR$6:$BR$9,FI775),0)</f>
        <v>0</v>
      </c>
      <c r="FT775" s="14">
        <f t="shared" ref="FT775:FT838" si="749">ROUND(INDEX(T$6:T$27,$EZ775)*INDEX(BI$6:BI$13,$FD775)*INDEX($BR$6:$BR$9,FI775),0)</f>
        <v>9</v>
      </c>
      <c r="FU775" s="14">
        <f t="shared" ref="FU775:FU838" si="750">ROUND(INDEX(U$6:U$27,$EZ775)*INDEX(BJ$6:BJ$13,$FD775)*INDEX($BR$6:$BR$9,FI775),0)</f>
        <v>179</v>
      </c>
      <c r="FV775" s="14">
        <f t="shared" si="735"/>
        <v>2093</v>
      </c>
      <c r="FW775" s="14">
        <f t="shared" si="736"/>
        <v>5</v>
      </c>
      <c r="FX775" s="14">
        <f t="shared" si="737"/>
        <v>2093</v>
      </c>
      <c r="FY775" s="25" t="str">
        <f t="shared" ref="FY775:FY838" si="751">IF(FE775,"icon_"&amp;FF775,FY$2&amp;INDEX($ES$6:$ES$7,EV775)*100000+FL775*1000+100+FD775)</f>
        <v>icon_2109103</v>
      </c>
      <c r="GC775" s="14">
        <f t="shared" si="738"/>
        <v>2</v>
      </c>
      <c r="GD775" s="14">
        <f t="shared" si="739"/>
        <v>3</v>
      </c>
      <c r="GE775" s="14">
        <f t="shared" si="714"/>
        <v>269</v>
      </c>
      <c r="GF775" s="14" t="str">
        <f t="shared" si="715"/>
        <v>DefExt</v>
      </c>
      <c r="GG775" s="14">
        <f t="shared" si="716"/>
        <v>185</v>
      </c>
      <c r="GH775" s="14">
        <f t="shared" si="717"/>
        <v>9</v>
      </c>
      <c r="GI775" s="14" t="str">
        <f t="shared" si="718"/>
        <v>HPExt</v>
      </c>
      <c r="GJ775" s="14">
        <f t="shared" si="719"/>
        <v>3525</v>
      </c>
      <c r="GK775" s="14">
        <f t="shared" si="720"/>
        <v>179</v>
      </c>
      <c r="GL775" s="14">
        <f t="shared" si="740"/>
        <v>20930</v>
      </c>
      <c r="GM775" s="14">
        <f t="shared" si="721"/>
        <v>5</v>
      </c>
      <c r="GN775" s="14">
        <f t="shared" si="722"/>
        <v>2093</v>
      </c>
      <c r="GO775" s="25" t="s">
        <v>1471</v>
      </c>
      <c r="GP775" s="14">
        <f t="shared" si="741"/>
        <v>250</v>
      </c>
    </row>
    <row r="776" spans="151:198" ht="16.5" x14ac:dyDescent="0.2">
      <c r="EU776" s="13">
        <v>771</v>
      </c>
      <c r="EV776" s="14">
        <f t="shared" si="742"/>
        <v>2</v>
      </c>
      <c r="EW776" s="14">
        <f t="shared" si="710"/>
        <v>336</v>
      </c>
      <c r="EX776" s="14">
        <f t="shared" si="743"/>
        <v>45</v>
      </c>
      <c r="EY776" s="14">
        <f t="shared" si="711"/>
        <v>30</v>
      </c>
      <c r="EZ776" s="14">
        <f t="shared" si="723"/>
        <v>20</v>
      </c>
      <c r="FA776" s="14">
        <f t="shared" si="724"/>
        <v>130</v>
      </c>
      <c r="FB776" s="14">
        <f t="shared" si="725"/>
        <v>3</v>
      </c>
      <c r="FC776" s="14">
        <f t="shared" si="726"/>
        <v>4</v>
      </c>
      <c r="FD776" s="14">
        <f t="shared" si="727"/>
        <v>4</v>
      </c>
      <c r="FE776" s="14" t="b">
        <f t="shared" si="744"/>
        <v>0</v>
      </c>
      <c r="FF776" s="14">
        <f t="shared" si="728"/>
        <v>2109304</v>
      </c>
      <c r="FG776" s="13" t="str">
        <f t="shared" si="729"/>
        <v>130级-精良守护灵の裤子</v>
      </c>
      <c r="FH776" s="14">
        <f t="shared" si="730"/>
        <v>2</v>
      </c>
      <c r="FI776" s="14">
        <f t="shared" si="731"/>
        <v>3</v>
      </c>
      <c r="FJ776" s="14">
        <f t="shared" si="732"/>
        <v>130</v>
      </c>
      <c r="FK776" s="14">
        <v>337</v>
      </c>
      <c r="FL776" s="14">
        <f t="shared" si="733"/>
        <v>9</v>
      </c>
      <c r="FM776" s="14">
        <f t="shared" si="712"/>
        <v>4</v>
      </c>
      <c r="FN776" s="14" t="str">
        <f t="shared" si="734"/>
        <v/>
      </c>
      <c r="FO776" s="14">
        <f t="shared" si="713"/>
        <v>190</v>
      </c>
      <c r="FP776" s="14">
        <f t="shared" si="745"/>
        <v>0</v>
      </c>
      <c r="FQ776" s="14">
        <f t="shared" si="746"/>
        <v>375</v>
      </c>
      <c r="FR776" s="14">
        <f t="shared" si="747"/>
        <v>0</v>
      </c>
      <c r="FS776" s="14">
        <f t="shared" si="748"/>
        <v>0</v>
      </c>
      <c r="FT776" s="14">
        <f t="shared" si="749"/>
        <v>19</v>
      </c>
      <c r="FU776" s="14">
        <f t="shared" si="750"/>
        <v>0</v>
      </c>
      <c r="FV776" s="14">
        <f t="shared" si="735"/>
        <v>2093</v>
      </c>
      <c r="FW776" s="14">
        <f t="shared" si="736"/>
        <v>5</v>
      </c>
      <c r="FX776" s="14">
        <f t="shared" si="737"/>
        <v>2093</v>
      </c>
      <c r="FY776" s="25" t="str">
        <f t="shared" si="751"/>
        <v>icon_2109104</v>
      </c>
      <c r="GC776" s="14">
        <f t="shared" si="738"/>
        <v>2</v>
      </c>
      <c r="GD776" s="14">
        <f t="shared" si="739"/>
        <v>0</v>
      </c>
      <c r="GE776" s="14">
        <f t="shared" si="714"/>
        <v>190</v>
      </c>
      <c r="GF776" s="14" t="str">
        <f t="shared" si="715"/>
        <v>DefExt</v>
      </c>
      <c r="GG776" s="14">
        <f t="shared" si="716"/>
        <v>375</v>
      </c>
      <c r="GH776" s="14">
        <f t="shared" si="717"/>
        <v>19</v>
      </c>
      <c r="GI776" s="14" t="str">
        <f t="shared" si="718"/>
        <v/>
      </c>
      <c r="GJ776" s="14" t="str">
        <f t="shared" si="719"/>
        <v/>
      </c>
      <c r="GK776" s="14" t="str">
        <f t="shared" si="720"/>
        <v/>
      </c>
      <c r="GL776" s="14">
        <f t="shared" si="740"/>
        <v>20930</v>
      </c>
      <c r="GM776" s="14">
        <f t="shared" si="721"/>
        <v>5</v>
      </c>
      <c r="GN776" s="14">
        <f t="shared" si="722"/>
        <v>2093</v>
      </c>
      <c r="GO776" s="25" t="s">
        <v>1471</v>
      </c>
      <c r="GP776" s="14">
        <f t="shared" si="741"/>
        <v>250</v>
      </c>
    </row>
    <row r="777" spans="151:198" ht="16.5" x14ac:dyDescent="0.2">
      <c r="EU777" s="13">
        <v>772</v>
      </c>
      <c r="EV777" s="14">
        <f t="shared" si="742"/>
        <v>2</v>
      </c>
      <c r="EW777" s="14">
        <f t="shared" si="710"/>
        <v>337</v>
      </c>
      <c r="EX777" s="14">
        <f t="shared" si="743"/>
        <v>45</v>
      </c>
      <c r="EY777" s="14">
        <f t="shared" si="711"/>
        <v>30</v>
      </c>
      <c r="EZ777" s="14">
        <f t="shared" si="723"/>
        <v>20</v>
      </c>
      <c r="FA777" s="14">
        <f t="shared" si="724"/>
        <v>130</v>
      </c>
      <c r="FB777" s="14">
        <f t="shared" si="725"/>
        <v>3</v>
      </c>
      <c r="FC777" s="14">
        <f t="shared" si="726"/>
        <v>5</v>
      </c>
      <c r="FD777" s="14">
        <f t="shared" si="727"/>
        <v>5</v>
      </c>
      <c r="FE777" s="14" t="b">
        <f t="shared" si="744"/>
        <v>0</v>
      </c>
      <c r="FF777" s="14">
        <f t="shared" si="728"/>
        <v>2109305</v>
      </c>
      <c r="FG777" s="13" t="str">
        <f t="shared" si="729"/>
        <v>130级-精良守护灵の鞋子</v>
      </c>
      <c r="FH777" s="14">
        <f t="shared" si="730"/>
        <v>2</v>
      </c>
      <c r="FI777" s="14">
        <f t="shared" si="731"/>
        <v>3</v>
      </c>
      <c r="FJ777" s="14">
        <f t="shared" si="732"/>
        <v>130</v>
      </c>
      <c r="FK777" s="14">
        <v>338</v>
      </c>
      <c r="FL777" s="14">
        <f t="shared" si="733"/>
        <v>9</v>
      </c>
      <c r="FM777" s="14">
        <f t="shared" si="712"/>
        <v>5</v>
      </c>
      <c r="FN777" s="14" t="str">
        <f t="shared" si="734"/>
        <v/>
      </c>
      <c r="FO777" s="14">
        <f t="shared" si="713"/>
        <v>358</v>
      </c>
      <c r="FP777" s="14">
        <f t="shared" si="745"/>
        <v>0</v>
      </c>
      <c r="FQ777" s="14">
        <f t="shared" si="746"/>
        <v>0</v>
      </c>
      <c r="FR777" s="14">
        <f t="shared" si="747"/>
        <v>7055</v>
      </c>
      <c r="FS777" s="14">
        <f t="shared" si="748"/>
        <v>0</v>
      </c>
      <c r="FT777" s="14">
        <f t="shared" si="749"/>
        <v>0</v>
      </c>
      <c r="FU777" s="14">
        <f t="shared" si="750"/>
        <v>358</v>
      </c>
      <c r="FV777" s="14">
        <f t="shared" si="735"/>
        <v>2093</v>
      </c>
      <c r="FW777" s="14">
        <f t="shared" si="736"/>
        <v>5</v>
      </c>
      <c r="FX777" s="14">
        <f t="shared" si="737"/>
        <v>2093</v>
      </c>
      <c r="FY777" s="25" t="str">
        <f t="shared" si="751"/>
        <v>icon_2109105</v>
      </c>
      <c r="GC777" s="14">
        <f t="shared" si="738"/>
        <v>3</v>
      </c>
      <c r="GD777" s="14">
        <f t="shared" si="739"/>
        <v>0</v>
      </c>
      <c r="GE777" s="14">
        <f t="shared" si="714"/>
        <v>358</v>
      </c>
      <c r="GF777" s="14" t="str">
        <f t="shared" si="715"/>
        <v>HPExt</v>
      </c>
      <c r="GG777" s="14">
        <f t="shared" si="716"/>
        <v>7055</v>
      </c>
      <c r="GH777" s="14">
        <f t="shared" si="717"/>
        <v>358</v>
      </c>
      <c r="GI777" s="14" t="str">
        <f t="shared" si="718"/>
        <v/>
      </c>
      <c r="GJ777" s="14" t="str">
        <f t="shared" si="719"/>
        <v/>
      </c>
      <c r="GK777" s="14" t="str">
        <f t="shared" si="720"/>
        <v/>
      </c>
      <c r="GL777" s="14">
        <f t="shared" si="740"/>
        <v>20930</v>
      </c>
      <c r="GM777" s="14">
        <f t="shared" si="721"/>
        <v>5</v>
      </c>
      <c r="GN777" s="14">
        <f t="shared" si="722"/>
        <v>2093</v>
      </c>
      <c r="GO777" s="25" t="s">
        <v>1471</v>
      </c>
      <c r="GP777" s="14">
        <f t="shared" si="741"/>
        <v>250</v>
      </c>
    </row>
    <row r="778" spans="151:198" ht="16.5" x14ac:dyDescent="0.2">
      <c r="EU778" s="13">
        <v>773</v>
      </c>
      <c r="EV778" s="14">
        <f t="shared" si="742"/>
        <v>2</v>
      </c>
      <c r="EW778" s="14">
        <f t="shared" si="710"/>
        <v>338</v>
      </c>
      <c r="EX778" s="14">
        <f t="shared" si="743"/>
        <v>45</v>
      </c>
      <c r="EY778" s="14">
        <f t="shared" si="711"/>
        <v>30</v>
      </c>
      <c r="EZ778" s="14">
        <f t="shared" si="723"/>
        <v>20</v>
      </c>
      <c r="FA778" s="14">
        <f t="shared" si="724"/>
        <v>130</v>
      </c>
      <c r="FB778" s="14">
        <f t="shared" si="725"/>
        <v>3</v>
      </c>
      <c r="FC778" s="14">
        <f t="shared" si="726"/>
        <v>6</v>
      </c>
      <c r="FD778" s="14">
        <f t="shared" si="727"/>
        <v>6</v>
      </c>
      <c r="FE778" s="14" t="b">
        <f t="shared" si="744"/>
        <v>0</v>
      </c>
      <c r="FF778" s="14">
        <f t="shared" si="728"/>
        <v>2109306</v>
      </c>
      <c r="FG778" s="13" t="str">
        <f t="shared" si="729"/>
        <v>130级-精良守护灵の护手</v>
      </c>
      <c r="FH778" s="14">
        <f t="shared" si="730"/>
        <v>2</v>
      </c>
      <c r="FI778" s="14">
        <f t="shared" si="731"/>
        <v>3</v>
      </c>
      <c r="FJ778" s="14">
        <f t="shared" si="732"/>
        <v>130</v>
      </c>
      <c r="FK778" s="14">
        <v>339</v>
      </c>
      <c r="FL778" s="14">
        <f t="shared" si="733"/>
        <v>9</v>
      </c>
      <c r="FM778" s="14">
        <f t="shared" si="712"/>
        <v>6</v>
      </c>
      <c r="FN778" s="14" t="str">
        <f t="shared" si="734"/>
        <v/>
      </c>
      <c r="FO778" s="14">
        <f t="shared" si="713"/>
        <v>358</v>
      </c>
      <c r="FP778" s="14">
        <f t="shared" si="745"/>
        <v>0</v>
      </c>
      <c r="FQ778" s="14">
        <f t="shared" si="746"/>
        <v>0</v>
      </c>
      <c r="FR778" s="14">
        <f t="shared" si="747"/>
        <v>7055</v>
      </c>
      <c r="FS778" s="14">
        <f t="shared" si="748"/>
        <v>0</v>
      </c>
      <c r="FT778" s="14">
        <f t="shared" si="749"/>
        <v>0</v>
      </c>
      <c r="FU778" s="14">
        <f t="shared" si="750"/>
        <v>358</v>
      </c>
      <c r="FV778" s="14">
        <f t="shared" si="735"/>
        <v>2093</v>
      </c>
      <c r="FW778" s="14">
        <f t="shared" si="736"/>
        <v>5</v>
      </c>
      <c r="FX778" s="14">
        <f t="shared" si="737"/>
        <v>2093</v>
      </c>
      <c r="FY778" s="25" t="str">
        <f t="shared" si="751"/>
        <v>icon_2109106</v>
      </c>
      <c r="GC778" s="14">
        <f t="shared" si="738"/>
        <v>3</v>
      </c>
      <c r="GD778" s="14">
        <f t="shared" si="739"/>
        <v>0</v>
      </c>
      <c r="GE778" s="14">
        <f t="shared" si="714"/>
        <v>358</v>
      </c>
      <c r="GF778" s="14" t="str">
        <f t="shared" si="715"/>
        <v>HPExt</v>
      </c>
      <c r="GG778" s="14">
        <f t="shared" si="716"/>
        <v>7055</v>
      </c>
      <c r="GH778" s="14">
        <f t="shared" si="717"/>
        <v>358</v>
      </c>
      <c r="GI778" s="14" t="str">
        <f t="shared" si="718"/>
        <v/>
      </c>
      <c r="GJ778" s="14" t="str">
        <f t="shared" si="719"/>
        <v/>
      </c>
      <c r="GK778" s="14" t="str">
        <f t="shared" si="720"/>
        <v/>
      </c>
      <c r="GL778" s="14">
        <f t="shared" si="740"/>
        <v>20930</v>
      </c>
      <c r="GM778" s="14">
        <f t="shared" si="721"/>
        <v>5</v>
      </c>
      <c r="GN778" s="14">
        <f t="shared" si="722"/>
        <v>2093</v>
      </c>
      <c r="GO778" s="25" t="s">
        <v>1471</v>
      </c>
      <c r="GP778" s="14">
        <f t="shared" si="741"/>
        <v>250</v>
      </c>
    </row>
    <row r="779" spans="151:198" ht="16.5" x14ac:dyDescent="0.2">
      <c r="EU779" s="13">
        <v>774</v>
      </c>
      <c r="EV779" s="14">
        <f t="shared" si="742"/>
        <v>2</v>
      </c>
      <c r="EW779" s="14">
        <f t="shared" si="710"/>
        <v>339</v>
      </c>
      <c r="EX779" s="14">
        <f t="shared" si="743"/>
        <v>45</v>
      </c>
      <c r="EY779" s="14">
        <f t="shared" si="711"/>
        <v>30</v>
      </c>
      <c r="EZ779" s="14">
        <f t="shared" si="723"/>
        <v>20</v>
      </c>
      <c r="FA779" s="14">
        <f t="shared" si="724"/>
        <v>130</v>
      </c>
      <c r="FB779" s="14">
        <f t="shared" si="725"/>
        <v>3</v>
      </c>
      <c r="FC779" s="14">
        <f t="shared" si="726"/>
        <v>7</v>
      </c>
      <c r="FD779" s="14">
        <f t="shared" si="727"/>
        <v>7</v>
      </c>
      <c r="FE779" s="14" t="b">
        <f t="shared" si="744"/>
        <v>0</v>
      </c>
      <c r="FF779" s="14">
        <f t="shared" si="728"/>
        <v>2109307</v>
      </c>
      <c r="FG779" s="13" t="str">
        <f t="shared" si="729"/>
        <v>130级-精良守护灵の项链</v>
      </c>
      <c r="FH779" s="14">
        <f t="shared" si="730"/>
        <v>2</v>
      </c>
      <c r="FI779" s="14">
        <f t="shared" si="731"/>
        <v>3</v>
      </c>
      <c r="FJ779" s="14">
        <f t="shared" si="732"/>
        <v>130</v>
      </c>
      <c r="FK779" s="14">
        <v>340</v>
      </c>
      <c r="FL779" s="14">
        <f t="shared" si="733"/>
        <v>9</v>
      </c>
      <c r="FM779" s="14">
        <f t="shared" si="712"/>
        <v>7</v>
      </c>
      <c r="FN779" s="14" t="str">
        <f t="shared" si="734"/>
        <v/>
      </c>
      <c r="FO779" s="14">
        <f t="shared" si="713"/>
        <v>285</v>
      </c>
      <c r="FP779" s="14">
        <f t="shared" si="745"/>
        <v>500</v>
      </c>
      <c r="FQ779" s="14">
        <f t="shared" si="746"/>
        <v>310</v>
      </c>
      <c r="FR779" s="14">
        <f t="shared" si="747"/>
        <v>0</v>
      </c>
      <c r="FS779" s="14">
        <f t="shared" si="748"/>
        <v>25</v>
      </c>
      <c r="FT779" s="14">
        <f t="shared" si="749"/>
        <v>16</v>
      </c>
      <c r="FU779" s="14">
        <f t="shared" si="750"/>
        <v>0</v>
      </c>
      <c r="FV779" s="14">
        <f t="shared" si="735"/>
        <v>2093</v>
      </c>
      <c r="FW779" s="14">
        <f t="shared" si="736"/>
        <v>5</v>
      </c>
      <c r="FX779" s="14">
        <f t="shared" si="737"/>
        <v>2093</v>
      </c>
      <c r="FY779" s="25" t="str">
        <f t="shared" si="751"/>
        <v>icon_2109107</v>
      </c>
      <c r="GC779" s="14">
        <f t="shared" si="738"/>
        <v>1</v>
      </c>
      <c r="GD779" s="14">
        <f t="shared" si="739"/>
        <v>2</v>
      </c>
      <c r="GE779" s="14">
        <f t="shared" si="714"/>
        <v>285</v>
      </c>
      <c r="GF779" s="14" t="str">
        <f t="shared" si="715"/>
        <v>AtkExt</v>
      </c>
      <c r="GG779" s="14">
        <f t="shared" si="716"/>
        <v>500</v>
      </c>
      <c r="GH779" s="14">
        <f t="shared" si="717"/>
        <v>25</v>
      </c>
      <c r="GI779" s="14" t="str">
        <f t="shared" si="718"/>
        <v>DefExt</v>
      </c>
      <c r="GJ779" s="14">
        <f t="shared" si="719"/>
        <v>310</v>
      </c>
      <c r="GK779" s="14">
        <f t="shared" si="720"/>
        <v>16</v>
      </c>
      <c r="GL779" s="14">
        <f t="shared" si="740"/>
        <v>20930</v>
      </c>
      <c r="GM779" s="14">
        <f t="shared" si="721"/>
        <v>5</v>
      </c>
      <c r="GN779" s="14">
        <f t="shared" si="722"/>
        <v>2093</v>
      </c>
      <c r="GO779" s="25" t="s">
        <v>1471</v>
      </c>
      <c r="GP779" s="14">
        <f t="shared" si="741"/>
        <v>375</v>
      </c>
    </row>
    <row r="780" spans="151:198" ht="16.5" x14ac:dyDescent="0.2">
      <c r="EU780" s="13">
        <v>775</v>
      </c>
      <c r="EV780" s="14">
        <f t="shared" si="742"/>
        <v>2</v>
      </c>
      <c r="EW780" s="14">
        <f t="shared" si="710"/>
        <v>340</v>
      </c>
      <c r="EX780" s="14">
        <f t="shared" si="743"/>
        <v>45</v>
      </c>
      <c r="EY780" s="14">
        <f t="shared" si="711"/>
        <v>30</v>
      </c>
      <c r="EZ780" s="14">
        <f t="shared" si="723"/>
        <v>20</v>
      </c>
      <c r="FA780" s="14">
        <f t="shared" si="724"/>
        <v>130</v>
      </c>
      <c r="FB780" s="14">
        <f t="shared" si="725"/>
        <v>3</v>
      </c>
      <c r="FC780" s="14">
        <f t="shared" si="726"/>
        <v>8</v>
      </c>
      <c r="FD780" s="14">
        <f t="shared" si="727"/>
        <v>8</v>
      </c>
      <c r="FE780" s="14" t="b">
        <f t="shared" si="744"/>
        <v>0</v>
      </c>
      <c r="FF780" s="14">
        <f t="shared" si="728"/>
        <v>2109308</v>
      </c>
      <c r="FG780" s="13" t="str">
        <f t="shared" si="729"/>
        <v>130级-精良守护灵の戒指</v>
      </c>
      <c r="FH780" s="14">
        <f t="shared" si="730"/>
        <v>2</v>
      </c>
      <c r="FI780" s="14">
        <f t="shared" si="731"/>
        <v>3</v>
      </c>
      <c r="FJ780" s="14">
        <f t="shared" si="732"/>
        <v>130</v>
      </c>
      <c r="FK780" s="14">
        <v>341</v>
      </c>
      <c r="FL780" s="14">
        <f t="shared" si="733"/>
        <v>9</v>
      </c>
      <c r="FM780" s="14">
        <f t="shared" si="712"/>
        <v>8</v>
      </c>
      <c r="FN780" s="14" t="str">
        <f t="shared" si="734"/>
        <v/>
      </c>
      <c r="FO780" s="14">
        <f t="shared" si="713"/>
        <v>423</v>
      </c>
      <c r="FP780" s="14">
        <f t="shared" si="745"/>
        <v>500</v>
      </c>
      <c r="FQ780" s="14">
        <f t="shared" si="746"/>
        <v>0</v>
      </c>
      <c r="FR780" s="14">
        <f t="shared" si="747"/>
        <v>5880</v>
      </c>
      <c r="FS780" s="14">
        <f t="shared" si="748"/>
        <v>25</v>
      </c>
      <c r="FT780" s="14">
        <f t="shared" si="749"/>
        <v>0</v>
      </c>
      <c r="FU780" s="14">
        <f t="shared" si="750"/>
        <v>298</v>
      </c>
      <c r="FV780" s="14">
        <f t="shared" si="735"/>
        <v>2093</v>
      </c>
      <c r="FW780" s="14">
        <f t="shared" si="736"/>
        <v>5</v>
      </c>
      <c r="FX780" s="14">
        <f t="shared" si="737"/>
        <v>2093</v>
      </c>
      <c r="FY780" s="25" t="str">
        <f t="shared" si="751"/>
        <v>icon_2109108</v>
      </c>
      <c r="GC780" s="14">
        <f t="shared" si="738"/>
        <v>1</v>
      </c>
      <c r="GD780" s="14">
        <f t="shared" si="739"/>
        <v>3</v>
      </c>
      <c r="GE780" s="14">
        <f t="shared" si="714"/>
        <v>423</v>
      </c>
      <c r="GF780" s="14" t="str">
        <f t="shared" si="715"/>
        <v>AtkExt</v>
      </c>
      <c r="GG780" s="14">
        <f t="shared" si="716"/>
        <v>500</v>
      </c>
      <c r="GH780" s="14">
        <f t="shared" si="717"/>
        <v>25</v>
      </c>
      <c r="GI780" s="14" t="str">
        <f t="shared" si="718"/>
        <v>HPExt</v>
      </c>
      <c r="GJ780" s="14">
        <f t="shared" si="719"/>
        <v>5880</v>
      </c>
      <c r="GK780" s="14">
        <f t="shared" si="720"/>
        <v>298</v>
      </c>
      <c r="GL780" s="14">
        <f t="shared" si="740"/>
        <v>20930</v>
      </c>
      <c r="GM780" s="14">
        <f t="shared" si="721"/>
        <v>5</v>
      </c>
      <c r="GN780" s="14">
        <f t="shared" si="722"/>
        <v>2093</v>
      </c>
      <c r="GO780" s="25" t="s">
        <v>1471</v>
      </c>
      <c r="GP780" s="14">
        <f t="shared" si="741"/>
        <v>375</v>
      </c>
    </row>
    <row r="781" spans="151:198" ht="16.5" x14ac:dyDescent="0.2">
      <c r="EU781" s="13">
        <v>776</v>
      </c>
      <c r="EV781" s="14">
        <f t="shared" si="742"/>
        <v>2</v>
      </c>
      <c r="EW781" s="14">
        <f t="shared" si="710"/>
        <v>341</v>
      </c>
      <c r="EX781" s="14">
        <f t="shared" si="743"/>
        <v>46</v>
      </c>
      <c r="EY781" s="14">
        <f t="shared" si="711"/>
        <v>40</v>
      </c>
      <c r="EZ781" s="14">
        <f t="shared" si="723"/>
        <v>20</v>
      </c>
      <c r="FA781" s="14">
        <f t="shared" si="724"/>
        <v>130</v>
      </c>
      <c r="FB781" s="14">
        <f t="shared" si="725"/>
        <v>4</v>
      </c>
      <c r="FC781" s="14">
        <f t="shared" si="726"/>
        <v>1</v>
      </c>
      <c r="FD781" s="14">
        <f t="shared" si="727"/>
        <v>1</v>
      </c>
      <c r="FE781" s="14" t="b">
        <f t="shared" si="744"/>
        <v>0</v>
      </c>
      <c r="FF781" s="14">
        <f t="shared" si="728"/>
        <v>2109401</v>
      </c>
      <c r="FG781" s="13" t="str">
        <f t="shared" si="729"/>
        <v>130级-史诗守护灵の灵器</v>
      </c>
      <c r="FH781" s="14">
        <f t="shared" si="730"/>
        <v>2</v>
      </c>
      <c r="FI781" s="14">
        <f t="shared" si="731"/>
        <v>4</v>
      </c>
      <c r="FJ781" s="14">
        <f t="shared" si="732"/>
        <v>130</v>
      </c>
      <c r="FK781" s="14">
        <v>342</v>
      </c>
      <c r="FL781" s="14">
        <f t="shared" si="733"/>
        <v>9</v>
      </c>
      <c r="FM781" s="14">
        <f t="shared" si="712"/>
        <v>1</v>
      </c>
      <c r="FN781" s="14" t="str">
        <f t="shared" si="734"/>
        <v/>
      </c>
      <c r="FO781" s="14">
        <f t="shared" si="713"/>
        <v>445</v>
      </c>
      <c r="FP781" s="14">
        <f t="shared" si="745"/>
        <v>1760</v>
      </c>
      <c r="FQ781" s="14">
        <f t="shared" si="746"/>
        <v>0</v>
      </c>
      <c r="FR781" s="14">
        <f t="shared" si="747"/>
        <v>0</v>
      </c>
      <c r="FS781" s="14">
        <f t="shared" si="748"/>
        <v>89</v>
      </c>
      <c r="FT781" s="14">
        <f t="shared" si="749"/>
        <v>0</v>
      </c>
      <c r="FU781" s="14">
        <f t="shared" si="750"/>
        <v>0</v>
      </c>
      <c r="FV781" s="14">
        <f t="shared" si="735"/>
        <v>2094</v>
      </c>
      <c r="FW781" s="14">
        <f t="shared" si="736"/>
        <v>6</v>
      </c>
      <c r="FX781" s="14">
        <f t="shared" si="737"/>
        <v>2094</v>
      </c>
      <c r="FY781" s="25" t="str">
        <f t="shared" si="751"/>
        <v>icon_2109101</v>
      </c>
      <c r="GC781" s="14">
        <f t="shared" si="738"/>
        <v>1</v>
      </c>
      <c r="GD781" s="14">
        <f t="shared" si="739"/>
        <v>0</v>
      </c>
      <c r="GE781" s="14">
        <f t="shared" si="714"/>
        <v>445</v>
      </c>
      <c r="GF781" s="14" t="str">
        <f t="shared" si="715"/>
        <v>AtkExt</v>
      </c>
      <c r="GG781" s="14">
        <f t="shared" si="716"/>
        <v>1760</v>
      </c>
      <c r="GH781" s="14">
        <f t="shared" si="717"/>
        <v>89</v>
      </c>
      <c r="GI781" s="14" t="str">
        <f t="shared" si="718"/>
        <v/>
      </c>
      <c r="GJ781" s="14" t="str">
        <f t="shared" si="719"/>
        <v/>
      </c>
      <c r="GK781" s="14" t="str">
        <f t="shared" si="720"/>
        <v/>
      </c>
      <c r="GL781" s="14">
        <f t="shared" si="740"/>
        <v>20940</v>
      </c>
      <c r="GM781" s="14">
        <f t="shared" si="721"/>
        <v>6</v>
      </c>
      <c r="GN781" s="14">
        <f t="shared" si="722"/>
        <v>2094</v>
      </c>
      <c r="GO781" s="25" t="s">
        <v>1471</v>
      </c>
      <c r="GP781" s="14">
        <f t="shared" si="741"/>
        <v>1000</v>
      </c>
    </row>
    <row r="782" spans="151:198" ht="16.5" x14ac:dyDescent="0.2">
      <c r="EU782" s="13">
        <v>777</v>
      </c>
      <c r="EV782" s="14">
        <f t="shared" si="742"/>
        <v>2</v>
      </c>
      <c r="EW782" s="14">
        <f t="shared" si="710"/>
        <v>342</v>
      </c>
      <c r="EX782" s="14">
        <f t="shared" si="743"/>
        <v>46</v>
      </c>
      <c r="EY782" s="14">
        <f t="shared" si="711"/>
        <v>40</v>
      </c>
      <c r="EZ782" s="14">
        <f t="shared" si="723"/>
        <v>20</v>
      </c>
      <c r="FA782" s="14">
        <f t="shared" si="724"/>
        <v>130</v>
      </c>
      <c r="FB782" s="14">
        <f t="shared" si="725"/>
        <v>4</v>
      </c>
      <c r="FC782" s="14">
        <f t="shared" si="726"/>
        <v>2</v>
      </c>
      <c r="FD782" s="14">
        <f t="shared" si="727"/>
        <v>2</v>
      </c>
      <c r="FE782" s="14" t="b">
        <f t="shared" si="744"/>
        <v>0</v>
      </c>
      <c r="FF782" s="14">
        <f t="shared" si="728"/>
        <v>2109402</v>
      </c>
      <c r="FG782" s="13" t="str">
        <f t="shared" si="729"/>
        <v>130级-史诗守护灵の头盔</v>
      </c>
      <c r="FH782" s="14">
        <f t="shared" si="730"/>
        <v>2</v>
      </c>
      <c r="FI782" s="14">
        <f t="shared" si="731"/>
        <v>4</v>
      </c>
      <c r="FJ782" s="14">
        <f t="shared" si="732"/>
        <v>130</v>
      </c>
      <c r="FK782" s="14">
        <v>343</v>
      </c>
      <c r="FL782" s="14">
        <f t="shared" si="733"/>
        <v>9</v>
      </c>
      <c r="FM782" s="14">
        <f t="shared" si="712"/>
        <v>2</v>
      </c>
      <c r="FN782" s="14" t="str">
        <f t="shared" si="734"/>
        <v/>
      </c>
      <c r="FO782" s="14">
        <f t="shared" si="713"/>
        <v>220</v>
      </c>
      <c r="FP782" s="14">
        <f t="shared" si="745"/>
        <v>0</v>
      </c>
      <c r="FQ782" s="14">
        <f t="shared" si="746"/>
        <v>440</v>
      </c>
      <c r="FR782" s="14">
        <f t="shared" si="747"/>
        <v>0</v>
      </c>
      <c r="FS782" s="14">
        <f t="shared" si="748"/>
        <v>0</v>
      </c>
      <c r="FT782" s="14">
        <f t="shared" si="749"/>
        <v>22</v>
      </c>
      <c r="FU782" s="14">
        <f t="shared" si="750"/>
        <v>0</v>
      </c>
      <c r="FV782" s="14">
        <f t="shared" si="735"/>
        <v>2094</v>
      </c>
      <c r="FW782" s="14">
        <f t="shared" si="736"/>
        <v>6</v>
      </c>
      <c r="FX782" s="14">
        <f t="shared" si="737"/>
        <v>2094</v>
      </c>
      <c r="FY782" s="25" t="str">
        <f t="shared" si="751"/>
        <v>icon_2109102</v>
      </c>
      <c r="GC782" s="14">
        <f t="shared" si="738"/>
        <v>2</v>
      </c>
      <c r="GD782" s="14">
        <f t="shared" si="739"/>
        <v>0</v>
      </c>
      <c r="GE782" s="14">
        <f t="shared" si="714"/>
        <v>220</v>
      </c>
      <c r="GF782" s="14" t="str">
        <f t="shared" si="715"/>
        <v>DefExt</v>
      </c>
      <c r="GG782" s="14">
        <f t="shared" si="716"/>
        <v>440</v>
      </c>
      <c r="GH782" s="14">
        <f t="shared" si="717"/>
        <v>22</v>
      </c>
      <c r="GI782" s="14" t="str">
        <f t="shared" si="718"/>
        <v/>
      </c>
      <c r="GJ782" s="14" t="str">
        <f t="shared" si="719"/>
        <v/>
      </c>
      <c r="GK782" s="14" t="str">
        <f t="shared" si="720"/>
        <v/>
      </c>
      <c r="GL782" s="14">
        <f t="shared" si="740"/>
        <v>20940</v>
      </c>
      <c r="GM782" s="14">
        <f t="shared" si="721"/>
        <v>6</v>
      </c>
      <c r="GN782" s="14">
        <f t="shared" si="722"/>
        <v>2094</v>
      </c>
      <c r="GO782" s="25" t="s">
        <v>1471</v>
      </c>
      <c r="GP782" s="14">
        <f t="shared" si="741"/>
        <v>500</v>
      </c>
    </row>
    <row r="783" spans="151:198" ht="16.5" x14ac:dyDescent="0.2">
      <c r="EU783" s="13">
        <v>778</v>
      </c>
      <c r="EV783" s="14">
        <f t="shared" si="742"/>
        <v>2</v>
      </c>
      <c r="EW783" s="14">
        <f t="shared" si="710"/>
        <v>343</v>
      </c>
      <c r="EX783" s="14">
        <f t="shared" si="743"/>
        <v>46</v>
      </c>
      <c r="EY783" s="14">
        <f t="shared" si="711"/>
        <v>40</v>
      </c>
      <c r="EZ783" s="14">
        <f t="shared" si="723"/>
        <v>20</v>
      </c>
      <c r="FA783" s="14">
        <f t="shared" si="724"/>
        <v>130</v>
      </c>
      <c r="FB783" s="14">
        <f t="shared" si="725"/>
        <v>4</v>
      </c>
      <c r="FC783" s="14">
        <f t="shared" si="726"/>
        <v>3</v>
      </c>
      <c r="FD783" s="14">
        <f t="shared" si="727"/>
        <v>3</v>
      </c>
      <c r="FE783" s="14" t="b">
        <f t="shared" si="744"/>
        <v>0</v>
      </c>
      <c r="FF783" s="14">
        <f t="shared" si="728"/>
        <v>2109403</v>
      </c>
      <c r="FG783" s="13" t="str">
        <f t="shared" si="729"/>
        <v>130级-史诗守护灵の铠甲</v>
      </c>
      <c r="FH783" s="14">
        <f t="shared" si="730"/>
        <v>2</v>
      </c>
      <c r="FI783" s="14">
        <f t="shared" si="731"/>
        <v>4</v>
      </c>
      <c r="FJ783" s="14">
        <f t="shared" si="732"/>
        <v>130</v>
      </c>
      <c r="FK783" s="14">
        <v>344</v>
      </c>
      <c r="FL783" s="14">
        <f t="shared" si="733"/>
        <v>9</v>
      </c>
      <c r="FM783" s="14">
        <f t="shared" si="712"/>
        <v>3</v>
      </c>
      <c r="FN783" s="14" t="str">
        <f t="shared" si="734"/>
        <v/>
      </c>
      <c r="FO783" s="14">
        <f t="shared" si="713"/>
        <v>320</v>
      </c>
      <c r="FP783" s="14">
        <f t="shared" si="745"/>
        <v>0</v>
      </c>
      <c r="FQ783" s="14">
        <f t="shared" si="746"/>
        <v>220</v>
      </c>
      <c r="FR783" s="14">
        <f t="shared" si="747"/>
        <v>4150</v>
      </c>
      <c r="FS783" s="14">
        <f t="shared" si="748"/>
        <v>0</v>
      </c>
      <c r="FT783" s="14">
        <f t="shared" si="749"/>
        <v>11</v>
      </c>
      <c r="FU783" s="14">
        <f t="shared" si="750"/>
        <v>210</v>
      </c>
      <c r="FV783" s="14">
        <f t="shared" si="735"/>
        <v>2094</v>
      </c>
      <c r="FW783" s="14">
        <f t="shared" si="736"/>
        <v>6</v>
      </c>
      <c r="FX783" s="14">
        <f t="shared" si="737"/>
        <v>2094</v>
      </c>
      <c r="FY783" s="25" t="str">
        <f t="shared" si="751"/>
        <v>icon_2109103</v>
      </c>
      <c r="GC783" s="14">
        <f t="shared" si="738"/>
        <v>2</v>
      </c>
      <c r="GD783" s="14">
        <f t="shared" si="739"/>
        <v>3</v>
      </c>
      <c r="GE783" s="14">
        <f t="shared" si="714"/>
        <v>320</v>
      </c>
      <c r="GF783" s="14" t="str">
        <f t="shared" si="715"/>
        <v>DefExt</v>
      </c>
      <c r="GG783" s="14">
        <f t="shared" si="716"/>
        <v>220</v>
      </c>
      <c r="GH783" s="14">
        <f t="shared" si="717"/>
        <v>11</v>
      </c>
      <c r="GI783" s="14" t="str">
        <f t="shared" si="718"/>
        <v>HPExt</v>
      </c>
      <c r="GJ783" s="14">
        <f t="shared" si="719"/>
        <v>4150</v>
      </c>
      <c r="GK783" s="14">
        <f t="shared" si="720"/>
        <v>210</v>
      </c>
      <c r="GL783" s="14">
        <f t="shared" si="740"/>
        <v>20940</v>
      </c>
      <c r="GM783" s="14">
        <f t="shared" si="721"/>
        <v>6</v>
      </c>
      <c r="GN783" s="14">
        <f t="shared" si="722"/>
        <v>2094</v>
      </c>
      <c r="GO783" s="25" t="s">
        <v>1471</v>
      </c>
      <c r="GP783" s="14">
        <f t="shared" si="741"/>
        <v>500</v>
      </c>
    </row>
    <row r="784" spans="151:198" ht="16.5" x14ac:dyDescent="0.2">
      <c r="EU784" s="13">
        <v>779</v>
      </c>
      <c r="EV784" s="14">
        <f t="shared" si="742"/>
        <v>2</v>
      </c>
      <c r="EW784" s="14">
        <f t="shared" si="710"/>
        <v>344</v>
      </c>
      <c r="EX784" s="14">
        <f t="shared" si="743"/>
        <v>46</v>
      </c>
      <c r="EY784" s="14">
        <f t="shared" si="711"/>
        <v>40</v>
      </c>
      <c r="EZ784" s="14">
        <f t="shared" si="723"/>
        <v>20</v>
      </c>
      <c r="FA784" s="14">
        <f t="shared" si="724"/>
        <v>130</v>
      </c>
      <c r="FB784" s="14">
        <f t="shared" si="725"/>
        <v>4</v>
      </c>
      <c r="FC784" s="14">
        <f t="shared" si="726"/>
        <v>4</v>
      </c>
      <c r="FD784" s="14">
        <f t="shared" si="727"/>
        <v>4</v>
      </c>
      <c r="FE784" s="14" t="b">
        <f t="shared" si="744"/>
        <v>0</v>
      </c>
      <c r="FF784" s="14">
        <f t="shared" si="728"/>
        <v>2109404</v>
      </c>
      <c r="FG784" s="13" t="str">
        <f t="shared" si="729"/>
        <v>130级-史诗守护灵の裤子</v>
      </c>
      <c r="FH784" s="14">
        <f t="shared" si="730"/>
        <v>2</v>
      </c>
      <c r="FI784" s="14">
        <f t="shared" si="731"/>
        <v>4</v>
      </c>
      <c r="FJ784" s="14">
        <f t="shared" si="732"/>
        <v>130</v>
      </c>
      <c r="FK784" s="14">
        <v>345</v>
      </c>
      <c r="FL784" s="14">
        <f t="shared" si="733"/>
        <v>9</v>
      </c>
      <c r="FM784" s="14">
        <f t="shared" si="712"/>
        <v>4</v>
      </c>
      <c r="FN784" s="14" t="str">
        <f t="shared" si="734"/>
        <v/>
      </c>
      <c r="FO784" s="14">
        <f t="shared" si="713"/>
        <v>220</v>
      </c>
      <c r="FP784" s="14">
        <f t="shared" si="745"/>
        <v>0</v>
      </c>
      <c r="FQ784" s="14">
        <f t="shared" si="746"/>
        <v>440</v>
      </c>
      <c r="FR784" s="14">
        <f t="shared" si="747"/>
        <v>0</v>
      </c>
      <c r="FS784" s="14">
        <f t="shared" si="748"/>
        <v>0</v>
      </c>
      <c r="FT784" s="14">
        <f t="shared" si="749"/>
        <v>22</v>
      </c>
      <c r="FU784" s="14">
        <f t="shared" si="750"/>
        <v>0</v>
      </c>
      <c r="FV784" s="14">
        <f t="shared" si="735"/>
        <v>2094</v>
      </c>
      <c r="FW784" s="14">
        <f t="shared" si="736"/>
        <v>6</v>
      </c>
      <c r="FX784" s="14">
        <f t="shared" si="737"/>
        <v>2094</v>
      </c>
      <c r="FY784" s="25" t="str">
        <f t="shared" si="751"/>
        <v>icon_2109104</v>
      </c>
      <c r="GC784" s="14">
        <f t="shared" si="738"/>
        <v>2</v>
      </c>
      <c r="GD784" s="14">
        <f t="shared" si="739"/>
        <v>0</v>
      </c>
      <c r="GE784" s="14">
        <f t="shared" si="714"/>
        <v>220</v>
      </c>
      <c r="GF784" s="14" t="str">
        <f t="shared" si="715"/>
        <v>DefExt</v>
      </c>
      <c r="GG784" s="14">
        <f t="shared" si="716"/>
        <v>440</v>
      </c>
      <c r="GH784" s="14">
        <f t="shared" si="717"/>
        <v>22</v>
      </c>
      <c r="GI784" s="14" t="str">
        <f t="shared" si="718"/>
        <v/>
      </c>
      <c r="GJ784" s="14" t="str">
        <f t="shared" si="719"/>
        <v/>
      </c>
      <c r="GK784" s="14" t="str">
        <f t="shared" si="720"/>
        <v/>
      </c>
      <c r="GL784" s="14">
        <f t="shared" si="740"/>
        <v>20940</v>
      </c>
      <c r="GM784" s="14">
        <f t="shared" si="721"/>
        <v>6</v>
      </c>
      <c r="GN784" s="14">
        <f t="shared" si="722"/>
        <v>2094</v>
      </c>
      <c r="GO784" s="25" t="s">
        <v>1471</v>
      </c>
      <c r="GP784" s="14">
        <f t="shared" si="741"/>
        <v>500</v>
      </c>
    </row>
    <row r="785" spans="151:198" ht="16.5" x14ac:dyDescent="0.2">
      <c r="EU785" s="13">
        <v>780</v>
      </c>
      <c r="EV785" s="14">
        <f t="shared" si="742"/>
        <v>2</v>
      </c>
      <c r="EW785" s="14">
        <f t="shared" si="710"/>
        <v>345</v>
      </c>
      <c r="EX785" s="14">
        <f t="shared" si="743"/>
        <v>46</v>
      </c>
      <c r="EY785" s="14">
        <f t="shared" si="711"/>
        <v>40</v>
      </c>
      <c r="EZ785" s="14">
        <f t="shared" si="723"/>
        <v>20</v>
      </c>
      <c r="FA785" s="14">
        <f t="shared" si="724"/>
        <v>130</v>
      </c>
      <c r="FB785" s="14">
        <f t="shared" si="725"/>
        <v>4</v>
      </c>
      <c r="FC785" s="14">
        <f t="shared" si="726"/>
        <v>5</v>
      </c>
      <c r="FD785" s="14">
        <f t="shared" si="727"/>
        <v>5</v>
      </c>
      <c r="FE785" s="14" t="b">
        <f t="shared" si="744"/>
        <v>0</v>
      </c>
      <c r="FF785" s="14">
        <f t="shared" si="728"/>
        <v>2109405</v>
      </c>
      <c r="FG785" s="13" t="str">
        <f t="shared" si="729"/>
        <v>130级-史诗守护灵の鞋子</v>
      </c>
      <c r="FH785" s="14">
        <f t="shared" si="730"/>
        <v>2</v>
      </c>
      <c r="FI785" s="14">
        <f t="shared" si="731"/>
        <v>4</v>
      </c>
      <c r="FJ785" s="14">
        <f t="shared" si="732"/>
        <v>130</v>
      </c>
      <c r="FK785" s="14">
        <v>346</v>
      </c>
      <c r="FL785" s="14">
        <f t="shared" si="733"/>
        <v>9</v>
      </c>
      <c r="FM785" s="14">
        <f t="shared" si="712"/>
        <v>5</v>
      </c>
      <c r="FN785" s="14" t="str">
        <f t="shared" si="734"/>
        <v/>
      </c>
      <c r="FO785" s="14">
        <f t="shared" si="713"/>
        <v>421</v>
      </c>
      <c r="FP785" s="14">
        <f t="shared" si="745"/>
        <v>0</v>
      </c>
      <c r="FQ785" s="14">
        <f t="shared" si="746"/>
        <v>0</v>
      </c>
      <c r="FR785" s="14">
        <f t="shared" si="747"/>
        <v>8300</v>
      </c>
      <c r="FS785" s="14">
        <f t="shared" si="748"/>
        <v>0</v>
      </c>
      <c r="FT785" s="14">
        <f t="shared" si="749"/>
        <v>0</v>
      </c>
      <c r="FU785" s="14">
        <f t="shared" si="750"/>
        <v>421</v>
      </c>
      <c r="FV785" s="14">
        <f t="shared" si="735"/>
        <v>2094</v>
      </c>
      <c r="FW785" s="14">
        <f t="shared" si="736"/>
        <v>6</v>
      </c>
      <c r="FX785" s="14">
        <f t="shared" si="737"/>
        <v>2094</v>
      </c>
      <c r="FY785" s="25" t="str">
        <f t="shared" si="751"/>
        <v>icon_2109105</v>
      </c>
      <c r="GC785" s="14">
        <f t="shared" si="738"/>
        <v>3</v>
      </c>
      <c r="GD785" s="14">
        <f t="shared" si="739"/>
        <v>0</v>
      </c>
      <c r="GE785" s="14">
        <f t="shared" si="714"/>
        <v>421</v>
      </c>
      <c r="GF785" s="14" t="str">
        <f t="shared" si="715"/>
        <v>HPExt</v>
      </c>
      <c r="GG785" s="14">
        <f t="shared" si="716"/>
        <v>8300</v>
      </c>
      <c r="GH785" s="14">
        <f t="shared" si="717"/>
        <v>421</v>
      </c>
      <c r="GI785" s="14" t="str">
        <f t="shared" si="718"/>
        <v/>
      </c>
      <c r="GJ785" s="14" t="str">
        <f t="shared" si="719"/>
        <v/>
      </c>
      <c r="GK785" s="14" t="str">
        <f t="shared" si="720"/>
        <v/>
      </c>
      <c r="GL785" s="14">
        <f t="shared" si="740"/>
        <v>20940</v>
      </c>
      <c r="GM785" s="14">
        <f t="shared" si="721"/>
        <v>6</v>
      </c>
      <c r="GN785" s="14">
        <f t="shared" si="722"/>
        <v>2094</v>
      </c>
      <c r="GO785" s="25" t="s">
        <v>1471</v>
      </c>
      <c r="GP785" s="14">
        <f t="shared" si="741"/>
        <v>500</v>
      </c>
    </row>
    <row r="786" spans="151:198" ht="16.5" x14ac:dyDescent="0.2">
      <c r="EU786" s="13">
        <v>781</v>
      </c>
      <c r="EV786" s="14">
        <f t="shared" si="742"/>
        <v>2</v>
      </c>
      <c r="EW786" s="14">
        <f t="shared" si="710"/>
        <v>346</v>
      </c>
      <c r="EX786" s="14">
        <f t="shared" si="743"/>
        <v>46</v>
      </c>
      <c r="EY786" s="14">
        <f t="shared" si="711"/>
        <v>40</v>
      </c>
      <c r="EZ786" s="14">
        <f t="shared" si="723"/>
        <v>20</v>
      </c>
      <c r="FA786" s="14">
        <f t="shared" si="724"/>
        <v>130</v>
      </c>
      <c r="FB786" s="14">
        <f t="shared" si="725"/>
        <v>4</v>
      </c>
      <c r="FC786" s="14">
        <f t="shared" si="726"/>
        <v>6</v>
      </c>
      <c r="FD786" s="14">
        <f t="shared" si="727"/>
        <v>6</v>
      </c>
      <c r="FE786" s="14" t="b">
        <f t="shared" si="744"/>
        <v>0</v>
      </c>
      <c r="FF786" s="14">
        <f t="shared" si="728"/>
        <v>2109406</v>
      </c>
      <c r="FG786" s="13" t="str">
        <f t="shared" si="729"/>
        <v>130级-史诗守护灵の护手</v>
      </c>
      <c r="FH786" s="14">
        <f t="shared" si="730"/>
        <v>2</v>
      </c>
      <c r="FI786" s="14">
        <f t="shared" si="731"/>
        <v>4</v>
      </c>
      <c r="FJ786" s="14">
        <f t="shared" si="732"/>
        <v>130</v>
      </c>
      <c r="FK786" s="14">
        <v>347</v>
      </c>
      <c r="FL786" s="14">
        <f t="shared" si="733"/>
        <v>9</v>
      </c>
      <c r="FM786" s="14">
        <f t="shared" si="712"/>
        <v>6</v>
      </c>
      <c r="FN786" s="14" t="str">
        <f t="shared" si="734"/>
        <v/>
      </c>
      <c r="FO786" s="14">
        <f t="shared" si="713"/>
        <v>421</v>
      </c>
      <c r="FP786" s="14">
        <f t="shared" si="745"/>
        <v>0</v>
      </c>
      <c r="FQ786" s="14">
        <f t="shared" si="746"/>
        <v>0</v>
      </c>
      <c r="FR786" s="14">
        <f t="shared" si="747"/>
        <v>8300</v>
      </c>
      <c r="FS786" s="14">
        <f t="shared" si="748"/>
        <v>0</v>
      </c>
      <c r="FT786" s="14">
        <f t="shared" si="749"/>
        <v>0</v>
      </c>
      <c r="FU786" s="14">
        <f t="shared" si="750"/>
        <v>421</v>
      </c>
      <c r="FV786" s="14">
        <f t="shared" si="735"/>
        <v>2094</v>
      </c>
      <c r="FW786" s="14">
        <f t="shared" si="736"/>
        <v>6</v>
      </c>
      <c r="FX786" s="14">
        <f t="shared" si="737"/>
        <v>2094</v>
      </c>
      <c r="FY786" s="25" t="str">
        <f t="shared" si="751"/>
        <v>icon_2109106</v>
      </c>
      <c r="GC786" s="14">
        <f t="shared" si="738"/>
        <v>3</v>
      </c>
      <c r="GD786" s="14">
        <f t="shared" si="739"/>
        <v>0</v>
      </c>
      <c r="GE786" s="14">
        <f t="shared" si="714"/>
        <v>421</v>
      </c>
      <c r="GF786" s="14" t="str">
        <f t="shared" si="715"/>
        <v>HPExt</v>
      </c>
      <c r="GG786" s="14">
        <f t="shared" si="716"/>
        <v>8300</v>
      </c>
      <c r="GH786" s="14">
        <f t="shared" si="717"/>
        <v>421</v>
      </c>
      <c r="GI786" s="14" t="str">
        <f t="shared" si="718"/>
        <v/>
      </c>
      <c r="GJ786" s="14" t="str">
        <f t="shared" si="719"/>
        <v/>
      </c>
      <c r="GK786" s="14" t="str">
        <f t="shared" si="720"/>
        <v/>
      </c>
      <c r="GL786" s="14">
        <f t="shared" si="740"/>
        <v>20940</v>
      </c>
      <c r="GM786" s="14">
        <f t="shared" si="721"/>
        <v>6</v>
      </c>
      <c r="GN786" s="14">
        <f t="shared" si="722"/>
        <v>2094</v>
      </c>
      <c r="GO786" s="25" t="s">
        <v>1471</v>
      </c>
      <c r="GP786" s="14">
        <f t="shared" si="741"/>
        <v>500</v>
      </c>
    </row>
    <row r="787" spans="151:198" ht="16.5" x14ac:dyDescent="0.2">
      <c r="EU787" s="13">
        <v>782</v>
      </c>
      <c r="EV787" s="14">
        <f t="shared" si="742"/>
        <v>2</v>
      </c>
      <c r="EW787" s="14">
        <f t="shared" si="710"/>
        <v>347</v>
      </c>
      <c r="EX787" s="14">
        <f t="shared" si="743"/>
        <v>46</v>
      </c>
      <c r="EY787" s="14">
        <f t="shared" si="711"/>
        <v>40</v>
      </c>
      <c r="EZ787" s="14">
        <f t="shared" si="723"/>
        <v>20</v>
      </c>
      <c r="FA787" s="14">
        <f t="shared" si="724"/>
        <v>130</v>
      </c>
      <c r="FB787" s="14">
        <f t="shared" si="725"/>
        <v>4</v>
      </c>
      <c r="FC787" s="14">
        <f t="shared" si="726"/>
        <v>7</v>
      </c>
      <c r="FD787" s="14">
        <f t="shared" si="727"/>
        <v>7</v>
      </c>
      <c r="FE787" s="14" t="b">
        <f t="shared" si="744"/>
        <v>0</v>
      </c>
      <c r="FF787" s="14">
        <f t="shared" si="728"/>
        <v>2109407</v>
      </c>
      <c r="FG787" s="13" t="str">
        <f t="shared" si="729"/>
        <v>130级-史诗守护灵の项链</v>
      </c>
      <c r="FH787" s="14">
        <f t="shared" si="730"/>
        <v>2</v>
      </c>
      <c r="FI787" s="14">
        <f t="shared" si="731"/>
        <v>4</v>
      </c>
      <c r="FJ787" s="14">
        <f t="shared" si="732"/>
        <v>130</v>
      </c>
      <c r="FK787" s="14">
        <v>348</v>
      </c>
      <c r="FL787" s="14">
        <f t="shared" si="733"/>
        <v>9</v>
      </c>
      <c r="FM787" s="14">
        <f t="shared" si="712"/>
        <v>7</v>
      </c>
      <c r="FN787" s="14" t="str">
        <f t="shared" si="734"/>
        <v/>
      </c>
      <c r="FO787" s="14">
        <f t="shared" si="713"/>
        <v>340</v>
      </c>
      <c r="FP787" s="14">
        <f t="shared" si="745"/>
        <v>585</v>
      </c>
      <c r="FQ787" s="14">
        <f t="shared" si="746"/>
        <v>370</v>
      </c>
      <c r="FR787" s="14">
        <f t="shared" si="747"/>
        <v>0</v>
      </c>
      <c r="FS787" s="14">
        <f t="shared" si="748"/>
        <v>30</v>
      </c>
      <c r="FT787" s="14">
        <f t="shared" si="749"/>
        <v>19</v>
      </c>
      <c r="FU787" s="14">
        <f t="shared" si="750"/>
        <v>0</v>
      </c>
      <c r="FV787" s="14">
        <f t="shared" si="735"/>
        <v>2094</v>
      </c>
      <c r="FW787" s="14">
        <f t="shared" si="736"/>
        <v>6</v>
      </c>
      <c r="FX787" s="14">
        <f t="shared" si="737"/>
        <v>2094</v>
      </c>
      <c r="FY787" s="25" t="str">
        <f t="shared" si="751"/>
        <v>icon_2109107</v>
      </c>
      <c r="GC787" s="14">
        <f t="shared" si="738"/>
        <v>1</v>
      </c>
      <c r="GD787" s="14">
        <f t="shared" si="739"/>
        <v>2</v>
      </c>
      <c r="GE787" s="14">
        <f t="shared" si="714"/>
        <v>340</v>
      </c>
      <c r="GF787" s="14" t="str">
        <f t="shared" si="715"/>
        <v>AtkExt</v>
      </c>
      <c r="GG787" s="14">
        <f t="shared" si="716"/>
        <v>585</v>
      </c>
      <c r="GH787" s="14">
        <f t="shared" si="717"/>
        <v>30</v>
      </c>
      <c r="GI787" s="14" t="str">
        <f t="shared" si="718"/>
        <v>DefExt</v>
      </c>
      <c r="GJ787" s="14">
        <f t="shared" si="719"/>
        <v>370</v>
      </c>
      <c r="GK787" s="14">
        <f t="shared" si="720"/>
        <v>19</v>
      </c>
      <c r="GL787" s="14">
        <f t="shared" si="740"/>
        <v>20940</v>
      </c>
      <c r="GM787" s="14">
        <f t="shared" si="721"/>
        <v>6</v>
      </c>
      <c r="GN787" s="14">
        <f t="shared" si="722"/>
        <v>2094</v>
      </c>
      <c r="GO787" s="25" t="s">
        <v>1471</v>
      </c>
      <c r="GP787" s="14">
        <f t="shared" si="741"/>
        <v>750</v>
      </c>
    </row>
    <row r="788" spans="151:198" ht="16.5" x14ac:dyDescent="0.2">
      <c r="EU788" s="13">
        <v>783</v>
      </c>
      <c r="EV788" s="14">
        <f t="shared" si="742"/>
        <v>2</v>
      </c>
      <c r="EW788" s="14">
        <f t="shared" si="710"/>
        <v>348</v>
      </c>
      <c r="EX788" s="14">
        <f t="shared" si="743"/>
        <v>46</v>
      </c>
      <c r="EY788" s="14">
        <f t="shared" si="711"/>
        <v>40</v>
      </c>
      <c r="EZ788" s="14">
        <f t="shared" si="723"/>
        <v>20</v>
      </c>
      <c r="FA788" s="14">
        <f t="shared" si="724"/>
        <v>130</v>
      </c>
      <c r="FB788" s="14">
        <f t="shared" si="725"/>
        <v>4</v>
      </c>
      <c r="FC788" s="14">
        <f t="shared" si="726"/>
        <v>8</v>
      </c>
      <c r="FD788" s="14">
        <f t="shared" si="727"/>
        <v>8</v>
      </c>
      <c r="FE788" s="14" t="b">
        <f t="shared" si="744"/>
        <v>0</v>
      </c>
      <c r="FF788" s="14">
        <f t="shared" si="728"/>
        <v>2109408</v>
      </c>
      <c r="FG788" s="13" t="str">
        <f t="shared" si="729"/>
        <v>130级-史诗守护灵の戒指</v>
      </c>
      <c r="FH788" s="14">
        <f t="shared" si="730"/>
        <v>2</v>
      </c>
      <c r="FI788" s="14">
        <f t="shared" si="731"/>
        <v>4</v>
      </c>
      <c r="FJ788" s="14">
        <f t="shared" si="732"/>
        <v>130</v>
      </c>
      <c r="FK788" s="14">
        <v>349</v>
      </c>
      <c r="FL788" s="14">
        <f t="shared" si="733"/>
        <v>9</v>
      </c>
      <c r="FM788" s="14">
        <f t="shared" si="712"/>
        <v>8</v>
      </c>
      <c r="FN788" s="14" t="str">
        <f t="shared" si="734"/>
        <v/>
      </c>
      <c r="FO788" s="14">
        <f t="shared" si="713"/>
        <v>501</v>
      </c>
      <c r="FP788" s="14">
        <f t="shared" si="745"/>
        <v>585</v>
      </c>
      <c r="FQ788" s="14">
        <f t="shared" si="746"/>
        <v>0</v>
      </c>
      <c r="FR788" s="14">
        <f t="shared" si="747"/>
        <v>6915</v>
      </c>
      <c r="FS788" s="14">
        <f t="shared" si="748"/>
        <v>30</v>
      </c>
      <c r="FT788" s="14">
        <f t="shared" si="749"/>
        <v>0</v>
      </c>
      <c r="FU788" s="14">
        <f t="shared" si="750"/>
        <v>351</v>
      </c>
      <c r="FV788" s="14">
        <f t="shared" si="735"/>
        <v>2094</v>
      </c>
      <c r="FW788" s="14">
        <f t="shared" si="736"/>
        <v>6</v>
      </c>
      <c r="FX788" s="14">
        <f t="shared" si="737"/>
        <v>2094</v>
      </c>
      <c r="FY788" s="25" t="str">
        <f t="shared" si="751"/>
        <v>icon_2109108</v>
      </c>
      <c r="GC788" s="14">
        <f t="shared" si="738"/>
        <v>1</v>
      </c>
      <c r="GD788" s="14">
        <f t="shared" si="739"/>
        <v>3</v>
      </c>
      <c r="GE788" s="14">
        <f t="shared" si="714"/>
        <v>501</v>
      </c>
      <c r="GF788" s="14" t="str">
        <f t="shared" si="715"/>
        <v>AtkExt</v>
      </c>
      <c r="GG788" s="14">
        <f t="shared" si="716"/>
        <v>585</v>
      </c>
      <c r="GH788" s="14">
        <f t="shared" si="717"/>
        <v>30</v>
      </c>
      <c r="GI788" s="14" t="str">
        <f t="shared" si="718"/>
        <v>HPExt</v>
      </c>
      <c r="GJ788" s="14">
        <f t="shared" si="719"/>
        <v>6915</v>
      </c>
      <c r="GK788" s="14">
        <f t="shared" si="720"/>
        <v>351</v>
      </c>
      <c r="GL788" s="14">
        <f t="shared" si="740"/>
        <v>20940</v>
      </c>
      <c r="GM788" s="14">
        <f t="shared" si="721"/>
        <v>6</v>
      </c>
      <c r="GN788" s="14">
        <f t="shared" si="722"/>
        <v>2094</v>
      </c>
      <c r="GO788" s="25" t="s">
        <v>1471</v>
      </c>
      <c r="GP788" s="14">
        <f t="shared" si="741"/>
        <v>750</v>
      </c>
    </row>
    <row r="789" spans="151:198" ht="16.5" x14ac:dyDescent="0.2">
      <c r="EU789" s="13">
        <v>784</v>
      </c>
      <c r="EV789" s="14">
        <f t="shared" si="742"/>
        <v>2</v>
      </c>
      <c r="EW789" s="14">
        <f t="shared" si="710"/>
        <v>349</v>
      </c>
      <c r="EX789" s="14">
        <f t="shared" si="743"/>
        <v>47</v>
      </c>
      <c r="EY789" s="14">
        <f t="shared" si="711"/>
        <v>42</v>
      </c>
      <c r="EZ789" s="14">
        <f t="shared" si="723"/>
        <v>20</v>
      </c>
      <c r="FA789" s="14">
        <f t="shared" si="724"/>
        <v>130</v>
      </c>
      <c r="FB789" s="14">
        <f t="shared" si="725"/>
        <v>4</v>
      </c>
      <c r="FC789" s="14">
        <f t="shared" si="726"/>
        <v>1</v>
      </c>
      <c r="FD789" s="14">
        <f t="shared" si="727"/>
        <v>1</v>
      </c>
      <c r="FE789" s="14" t="b">
        <f t="shared" si="744"/>
        <v>1</v>
      </c>
      <c r="FF789" s="14">
        <f t="shared" si="728"/>
        <v>2109421</v>
      </c>
      <c r="FG789" s="13" t="str">
        <f t="shared" si="729"/>
        <v>130级-防御套守护灵の灵器</v>
      </c>
      <c r="FH789" s="14">
        <f t="shared" si="730"/>
        <v>2</v>
      </c>
      <c r="FI789" s="14">
        <f t="shared" si="731"/>
        <v>4</v>
      </c>
      <c r="FJ789" s="14">
        <f t="shared" si="732"/>
        <v>130</v>
      </c>
      <c r="FK789" s="14">
        <v>350</v>
      </c>
      <c r="FL789" s="14">
        <f t="shared" si="733"/>
        <v>9</v>
      </c>
      <c r="FM789" s="14">
        <f t="shared" si="712"/>
        <v>1</v>
      </c>
      <c r="FN789" s="14">
        <f t="shared" si="734"/>
        <v>210942</v>
      </c>
      <c r="FO789" s="14">
        <f t="shared" si="713"/>
        <v>667</v>
      </c>
      <c r="FP789" s="14">
        <f t="shared" si="745"/>
        <v>1760</v>
      </c>
      <c r="FQ789" s="14">
        <f t="shared" si="746"/>
        <v>0</v>
      </c>
      <c r="FR789" s="14">
        <f t="shared" si="747"/>
        <v>0</v>
      </c>
      <c r="FS789" s="14">
        <f t="shared" si="748"/>
        <v>89</v>
      </c>
      <c r="FT789" s="14">
        <f t="shared" si="749"/>
        <v>0</v>
      </c>
      <c r="FU789" s="14">
        <f t="shared" si="750"/>
        <v>0</v>
      </c>
      <c r="FV789" s="14">
        <f t="shared" si="735"/>
        <v>2094</v>
      </c>
      <c r="FW789" s="14">
        <f t="shared" si="736"/>
        <v>6</v>
      </c>
      <c r="FX789" s="14">
        <f t="shared" si="737"/>
        <v>2094</v>
      </c>
      <c r="FY789" s="25" t="str">
        <f t="shared" si="751"/>
        <v>icon_2109421</v>
      </c>
      <c r="GC789" s="14">
        <f t="shared" si="738"/>
        <v>1</v>
      </c>
      <c r="GD789" s="14">
        <f t="shared" si="739"/>
        <v>0</v>
      </c>
      <c r="GE789" s="14">
        <f t="shared" si="714"/>
        <v>667</v>
      </c>
      <c r="GF789" s="14" t="str">
        <f t="shared" si="715"/>
        <v>AtkExt</v>
      </c>
      <c r="GG789" s="14">
        <f t="shared" si="716"/>
        <v>1760</v>
      </c>
      <c r="GH789" s="14">
        <f t="shared" si="717"/>
        <v>89</v>
      </c>
      <c r="GI789" s="14" t="str">
        <f t="shared" si="718"/>
        <v/>
      </c>
      <c r="GJ789" s="14" t="str">
        <f t="shared" si="719"/>
        <v/>
      </c>
      <c r="GK789" s="14" t="str">
        <f t="shared" si="720"/>
        <v/>
      </c>
      <c r="GL789" s="14">
        <f t="shared" si="740"/>
        <v>20940</v>
      </c>
      <c r="GM789" s="14">
        <f t="shared" si="721"/>
        <v>6</v>
      </c>
      <c r="GN789" s="14">
        <f t="shared" si="722"/>
        <v>2094</v>
      </c>
      <c r="GO789" s="25" t="s">
        <v>1471</v>
      </c>
      <c r="GP789" s="14">
        <f t="shared" si="741"/>
        <v>1000</v>
      </c>
    </row>
    <row r="790" spans="151:198" ht="16.5" x14ac:dyDescent="0.2">
      <c r="EU790" s="13">
        <v>785</v>
      </c>
      <c r="EV790" s="14">
        <f t="shared" si="742"/>
        <v>2</v>
      </c>
      <c r="EW790" s="14">
        <f t="shared" si="710"/>
        <v>350</v>
      </c>
      <c r="EX790" s="14">
        <f t="shared" si="743"/>
        <v>47</v>
      </c>
      <c r="EY790" s="14">
        <f t="shared" si="711"/>
        <v>42</v>
      </c>
      <c r="EZ790" s="14">
        <f t="shared" si="723"/>
        <v>20</v>
      </c>
      <c r="FA790" s="14">
        <f t="shared" si="724"/>
        <v>130</v>
      </c>
      <c r="FB790" s="14">
        <f t="shared" si="725"/>
        <v>4</v>
      </c>
      <c r="FC790" s="14">
        <f t="shared" si="726"/>
        <v>2</v>
      </c>
      <c r="FD790" s="14">
        <f t="shared" si="727"/>
        <v>2</v>
      </c>
      <c r="FE790" s="14" t="b">
        <f t="shared" si="744"/>
        <v>1</v>
      </c>
      <c r="FF790" s="14">
        <f t="shared" si="728"/>
        <v>2109422</v>
      </c>
      <c r="FG790" s="13" t="str">
        <f t="shared" si="729"/>
        <v>130级-防御套守护灵の头盔</v>
      </c>
      <c r="FH790" s="14">
        <f t="shared" si="730"/>
        <v>2</v>
      </c>
      <c r="FI790" s="14">
        <f t="shared" si="731"/>
        <v>4</v>
      </c>
      <c r="FJ790" s="14">
        <f t="shared" si="732"/>
        <v>130</v>
      </c>
      <c r="FK790" s="14">
        <v>351</v>
      </c>
      <c r="FL790" s="14">
        <f t="shared" si="733"/>
        <v>9</v>
      </c>
      <c r="FM790" s="14">
        <f t="shared" si="712"/>
        <v>2</v>
      </c>
      <c r="FN790" s="14">
        <f t="shared" si="734"/>
        <v>210942</v>
      </c>
      <c r="FO790" s="14">
        <f t="shared" si="713"/>
        <v>330</v>
      </c>
      <c r="FP790" s="14">
        <f t="shared" si="745"/>
        <v>0</v>
      </c>
      <c r="FQ790" s="14">
        <f t="shared" si="746"/>
        <v>440</v>
      </c>
      <c r="FR790" s="14">
        <f t="shared" si="747"/>
        <v>0</v>
      </c>
      <c r="FS790" s="14">
        <f t="shared" si="748"/>
        <v>0</v>
      </c>
      <c r="FT790" s="14">
        <f t="shared" si="749"/>
        <v>22</v>
      </c>
      <c r="FU790" s="14">
        <f t="shared" si="750"/>
        <v>0</v>
      </c>
      <c r="FV790" s="14">
        <f t="shared" si="735"/>
        <v>2094</v>
      </c>
      <c r="FW790" s="14">
        <f t="shared" si="736"/>
        <v>6</v>
      </c>
      <c r="FX790" s="14">
        <f t="shared" si="737"/>
        <v>2094</v>
      </c>
      <c r="FY790" s="25" t="str">
        <f t="shared" si="751"/>
        <v>icon_2109422</v>
      </c>
      <c r="GC790" s="14">
        <f t="shared" si="738"/>
        <v>2</v>
      </c>
      <c r="GD790" s="14">
        <f t="shared" si="739"/>
        <v>0</v>
      </c>
      <c r="GE790" s="14">
        <f t="shared" si="714"/>
        <v>330</v>
      </c>
      <c r="GF790" s="14" t="str">
        <f t="shared" si="715"/>
        <v>DefExt</v>
      </c>
      <c r="GG790" s="14">
        <f t="shared" si="716"/>
        <v>440</v>
      </c>
      <c r="GH790" s="14">
        <f t="shared" si="717"/>
        <v>22</v>
      </c>
      <c r="GI790" s="14" t="str">
        <f t="shared" si="718"/>
        <v/>
      </c>
      <c r="GJ790" s="14" t="str">
        <f t="shared" si="719"/>
        <v/>
      </c>
      <c r="GK790" s="14" t="str">
        <f t="shared" si="720"/>
        <v/>
      </c>
      <c r="GL790" s="14">
        <f t="shared" si="740"/>
        <v>20940</v>
      </c>
      <c r="GM790" s="14">
        <f t="shared" si="721"/>
        <v>6</v>
      </c>
      <c r="GN790" s="14">
        <f t="shared" si="722"/>
        <v>2094</v>
      </c>
      <c r="GO790" s="25" t="s">
        <v>1471</v>
      </c>
      <c r="GP790" s="14">
        <f t="shared" si="741"/>
        <v>500</v>
      </c>
    </row>
    <row r="791" spans="151:198" ht="16.5" x14ac:dyDescent="0.2">
      <c r="EU791" s="13">
        <v>786</v>
      </c>
      <c r="EV791" s="14">
        <f t="shared" si="742"/>
        <v>2</v>
      </c>
      <c r="EW791" s="14">
        <f t="shared" si="710"/>
        <v>351</v>
      </c>
      <c r="EX791" s="14">
        <f t="shared" si="743"/>
        <v>47</v>
      </c>
      <c r="EY791" s="14">
        <f t="shared" si="711"/>
        <v>42</v>
      </c>
      <c r="EZ791" s="14">
        <f t="shared" si="723"/>
        <v>20</v>
      </c>
      <c r="FA791" s="14">
        <f t="shared" si="724"/>
        <v>130</v>
      </c>
      <c r="FB791" s="14">
        <f t="shared" si="725"/>
        <v>4</v>
      </c>
      <c r="FC791" s="14">
        <f t="shared" si="726"/>
        <v>3</v>
      </c>
      <c r="FD791" s="14">
        <f t="shared" si="727"/>
        <v>3</v>
      </c>
      <c r="FE791" s="14" t="b">
        <f t="shared" si="744"/>
        <v>1</v>
      </c>
      <c r="FF791" s="14">
        <f t="shared" si="728"/>
        <v>2109423</v>
      </c>
      <c r="FG791" s="13" t="str">
        <f t="shared" si="729"/>
        <v>130级-防御套守护灵の铠甲</v>
      </c>
      <c r="FH791" s="14">
        <f t="shared" si="730"/>
        <v>2</v>
      </c>
      <c r="FI791" s="14">
        <f t="shared" si="731"/>
        <v>4</v>
      </c>
      <c r="FJ791" s="14">
        <f t="shared" si="732"/>
        <v>130</v>
      </c>
      <c r="FK791" s="14">
        <v>352</v>
      </c>
      <c r="FL791" s="14">
        <f t="shared" si="733"/>
        <v>9</v>
      </c>
      <c r="FM791" s="14">
        <f t="shared" si="712"/>
        <v>3</v>
      </c>
      <c r="FN791" s="14">
        <f t="shared" si="734"/>
        <v>210942</v>
      </c>
      <c r="FO791" s="14">
        <f t="shared" si="713"/>
        <v>480</v>
      </c>
      <c r="FP791" s="14">
        <f t="shared" si="745"/>
        <v>0</v>
      </c>
      <c r="FQ791" s="14">
        <f t="shared" si="746"/>
        <v>220</v>
      </c>
      <c r="FR791" s="14">
        <f t="shared" si="747"/>
        <v>4150</v>
      </c>
      <c r="FS791" s="14">
        <f t="shared" si="748"/>
        <v>0</v>
      </c>
      <c r="FT791" s="14">
        <f t="shared" si="749"/>
        <v>11</v>
      </c>
      <c r="FU791" s="14">
        <f t="shared" si="750"/>
        <v>210</v>
      </c>
      <c r="FV791" s="14">
        <f t="shared" si="735"/>
        <v>2094</v>
      </c>
      <c r="FW791" s="14">
        <f t="shared" si="736"/>
        <v>6</v>
      </c>
      <c r="FX791" s="14">
        <f t="shared" si="737"/>
        <v>2094</v>
      </c>
      <c r="FY791" s="25" t="str">
        <f t="shared" si="751"/>
        <v>icon_2109423</v>
      </c>
      <c r="GC791" s="14">
        <f t="shared" si="738"/>
        <v>2</v>
      </c>
      <c r="GD791" s="14">
        <f t="shared" si="739"/>
        <v>3</v>
      </c>
      <c r="GE791" s="14">
        <f t="shared" si="714"/>
        <v>480</v>
      </c>
      <c r="GF791" s="14" t="str">
        <f t="shared" si="715"/>
        <v>DefExt</v>
      </c>
      <c r="GG791" s="14">
        <f t="shared" si="716"/>
        <v>220</v>
      </c>
      <c r="GH791" s="14">
        <f t="shared" si="717"/>
        <v>11</v>
      </c>
      <c r="GI791" s="14" t="str">
        <f t="shared" si="718"/>
        <v>HPExt</v>
      </c>
      <c r="GJ791" s="14">
        <f t="shared" si="719"/>
        <v>4150</v>
      </c>
      <c r="GK791" s="14">
        <f t="shared" si="720"/>
        <v>210</v>
      </c>
      <c r="GL791" s="14">
        <f t="shared" si="740"/>
        <v>20940</v>
      </c>
      <c r="GM791" s="14">
        <f t="shared" si="721"/>
        <v>6</v>
      </c>
      <c r="GN791" s="14">
        <f t="shared" si="722"/>
        <v>2094</v>
      </c>
      <c r="GO791" s="25" t="s">
        <v>1471</v>
      </c>
      <c r="GP791" s="14">
        <f t="shared" si="741"/>
        <v>500</v>
      </c>
    </row>
    <row r="792" spans="151:198" ht="16.5" x14ac:dyDescent="0.2">
      <c r="EU792" s="13">
        <v>787</v>
      </c>
      <c r="EV792" s="14">
        <f t="shared" si="742"/>
        <v>2</v>
      </c>
      <c r="EW792" s="14">
        <f t="shared" si="710"/>
        <v>352</v>
      </c>
      <c r="EX792" s="14">
        <f t="shared" si="743"/>
        <v>47</v>
      </c>
      <c r="EY792" s="14">
        <f t="shared" si="711"/>
        <v>42</v>
      </c>
      <c r="EZ792" s="14">
        <f t="shared" si="723"/>
        <v>20</v>
      </c>
      <c r="FA792" s="14">
        <f t="shared" si="724"/>
        <v>130</v>
      </c>
      <c r="FB792" s="14">
        <f t="shared" si="725"/>
        <v>4</v>
      </c>
      <c r="FC792" s="14">
        <f t="shared" si="726"/>
        <v>4</v>
      </c>
      <c r="FD792" s="14">
        <f t="shared" si="727"/>
        <v>4</v>
      </c>
      <c r="FE792" s="14" t="b">
        <f t="shared" si="744"/>
        <v>1</v>
      </c>
      <c r="FF792" s="14">
        <f t="shared" si="728"/>
        <v>2109424</v>
      </c>
      <c r="FG792" s="13" t="str">
        <f t="shared" si="729"/>
        <v>130级-防御套守护灵の裤子</v>
      </c>
      <c r="FH792" s="14">
        <f t="shared" si="730"/>
        <v>2</v>
      </c>
      <c r="FI792" s="14">
        <f t="shared" si="731"/>
        <v>4</v>
      </c>
      <c r="FJ792" s="14">
        <f t="shared" si="732"/>
        <v>130</v>
      </c>
      <c r="FK792" s="14">
        <v>353</v>
      </c>
      <c r="FL792" s="14">
        <f t="shared" si="733"/>
        <v>9</v>
      </c>
      <c r="FM792" s="14">
        <f t="shared" si="712"/>
        <v>4</v>
      </c>
      <c r="FN792" s="14">
        <f t="shared" si="734"/>
        <v>210942</v>
      </c>
      <c r="FO792" s="14">
        <f t="shared" si="713"/>
        <v>330</v>
      </c>
      <c r="FP792" s="14">
        <f t="shared" si="745"/>
        <v>0</v>
      </c>
      <c r="FQ792" s="14">
        <f t="shared" si="746"/>
        <v>440</v>
      </c>
      <c r="FR792" s="14">
        <f t="shared" si="747"/>
        <v>0</v>
      </c>
      <c r="FS792" s="14">
        <f t="shared" si="748"/>
        <v>0</v>
      </c>
      <c r="FT792" s="14">
        <f t="shared" si="749"/>
        <v>22</v>
      </c>
      <c r="FU792" s="14">
        <f t="shared" si="750"/>
        <v>0</v>
      </c>
      <c r="FV792" s="14">
        <f t="shared" si="735"/>
        <v>2094</v>
      </c>
      <c r="FW792" s="14">
        <f t="shared" si="736"/>
        <v>6</v>
      </c>
      <c r="FX792" s="14">
        <f t="shared" si="737"/>
        <v>2094</v>
      </c>
      <c r="FY792" s="25" t="str">
        <f t="shared" si="751"/>
        <v>icon_2109424</v>
      </c>
      <c r="GC792" s="14">
        <f t="shared" si="738"/>
        <v>2</v>
      </c>
      <c r="GD792" s="14">
        <f t="shared" si="739"/>
        <v>0</v>
      </c>
      <c r="GE792" s="14">
        <f t="shared" si="714"/>
        <v>330</v>
      </c>
      <c r="GF792" s="14" t="str">
        <f t="shared" si="715"/>
        <v>DefExt</v>
      </c>
      <c r="GG792" s="14">
        <f t="shared" si="716"/>
        <v>440</v>
      </c>
      <c r="GH792" s="14">
        <f t="shared" si="717"/>
        <v>22</v>
      </c>
      <c r="GI792" s="14" t="str">
        <f t="shared" si="718"/>
        <v/>
      </c>
      <c r="GJ792" s="14" t="str">
        <f t="shared" si="719"/>
        <v/>
      </c>
      <c r="GK792" s="14" t="str">
        <f t="shared" si="720"/>
        <v/>
      </c>
      <c r="GL792" s="14">
        <f t="shared" si="740"/>
        <v>20940</v>
      </c>
      <c r="GM792" s="14">
        <f t="shared" si="721"/>
        <v>6</v>
      </c>
      <c r="GN792" s="14">
        <f t="shared" si="722"/>
        <v>2094</v>
      </c>
      <c r="GO792" s="25" t="s">
        <v>1471</v>
      </c>
      <c r="GP792" s="14">
        <f t="shared" si="741"/>
        <v>500</v>
      </c>
    </row>
    <row r="793" spans="151:198" ht="16.5" x14ac:dyDescent="0.2">
      <c r="EU793" s="13">
        <v>788</v>
      </c>
      <c r="EV793" s="14">
        <f t="shared" si="742"/>
        <v>2</v>
      </c>
      <c r="EW793" s="14">
        <f t="shared" si="710"/>
        <v>353</v>
      </c>
      <c r="EX793" s="14">
        <f t="shared" si="743"/>
        <v>47</v>
      </c>
      <c r="EY793" s="14">
        <f t="shared" si="711"/>
        <v>42</v>
      </c>
      <c r="EZ793" s="14">
        <f t="shared" si="723"/>
        <v>20</v>
      </c>
      <c r="FA793" s="14">
        <f t="shared" si="724"/>
        <v>130</v>
      </c>
      <c r="FB793" s="14">
        <f t="shared" si="725"/>
        <v>4</v>
      </c>
      <c r="FC793" s="14">
        <f t="shared" si="726"/>
        <v>5</v>
      </c>
      <c r="FD793" s="14">
        <f t="shared" si="727"/>
        <v>5</v>
      </c>
      <c r="FE793" s="14" t="b">
        <f t="shared" si="744"/>
        <v>1</v>
      </c>
      <c r="FF793" s="14">
        <f t="shared" si="728"/>
        <v>2109425</v>
      </c>
      <c r="FG793" s="13" t="str">
        <f t="shared" si="729"/>
        <v>130级-防御套守护灵の鞋子</v>
      </c>
      <c r="FH793" s="14">
        <f t="shared" si="730"/>
        <v>2</v>
      </c>
      <c r="FI793" s="14">
        <f t="shared" si="731"/>
        <v>4</v>
      </c>
      <c r="FJ793" s="14">
        <f t="shared" si="732"/>
        <v>130</v>
      </c>
      <c r="FK793" s="14">
        <v>354</v>
      </c>
      <c r="FL793" s="14">
        <f t="shared" si="733"/>
        <v>9</v>
      </c>
      <c r="FM793" s="14">
        <f t="shared" si="712"/>
        <v>5</v>
      </c>
      <c r="FN793" s="14">
        <f t="shared" si="734"/>
        <v>210942</v>
      </c>
      <c r="FO793" s="14">
        <f t="shared" si="713"/>
        <v>631</v>
      </c>
      <c r="FP793" s="14">
        <f t="shared" si="745"/>
        <v>0</v>
      </c>
      <c r="FQ793" s="14">
        <f t="shared" si="746"/>
        <v>0</v>
      </c>
      <c r="FR793" s="14">
        <f t="shared" si="747"/>
        <v>8300</v>
      </c>
      <c r="FS793" s="14">
        <f t="shared" si="748"/>
        <v>0</v>
      </c>
      <c r="FT793" s="14">
        <f t="shared" si="749"/>
        <v>0</v>
      </c>
      <c r="FU793" s="14">
        <f t="shared" si="750"/>
        <v>421</v>
      </c>
      <c r="FV793" s="14">
        <f t="shared" si="735"/>
        <v>2094</v>
      </c>
      <c r="FW793" s="14">
        <f t="shared" si="736"/>
        <v>6</v>
      </c>
      <c r="FX793" s="14">
        <f t="shared" si="737"/>
        <v>2094</v>
      </c>
      <c r="FY793" s="25" t="str">
        <f t="shared" si="751"/>
        <v>icon_2109425</v>
      </c>
      <c r="GC793" s="14">
        <f t="shared" si="738"/>
        <v>3</v>
      </c>
      <c r="GD793" s="14">
        <f t="shared" si="739"/>
        <v>0</v>
      </c>
      <c r="GE793" s="14">
        <f t="shared" si="714"/>
        <v>631</v>
      </c>
      <c r="GF793" s="14" t="str">
        <f t="shared" si="715"/>
        <v>HPExt</v>
      </c>
      <c r="GG793" s="14">
        <f t="shared" si="716"/>
        <v>8300</v>
      </c>
      <c r="GH793" s="14">
        <f t="shared" si="717"/>
        <v>421</v>
      </c>
      <c r="GI793" s="14" t="str">
        <f t="shared" si="718"/>
        <v/>
      </c>
      <c r="GJ793" s="14" t="str">
        <f t="shared" si="719"/>
        <v/>
      </c>
      <c r="GK793" s="14" t="str">
        <f t="shared" si="720"/>
        <v/>
      </c>
      <c r="GL793" s="14">
        <f t="shared" si="740"/>
        <v>20940</v>
      </c>
      <c r="GM793" s="14">
        <f t="shared" si="721"/>
        <v>6</v>
      </c>
      <c r="GN793" s="14">
        <f t="shared" si="722"/>
        <v>2094</v>
      </c>
      <c r="GO793" s="25" t="s">
        <v>1471</v>
      </c>
      <c r="GP793" s="14">
        <f t="shared" si="741"/>
        <v>500</v>
      </c>
    </row>
    <row r="794" spans="151:198" ht="16.5" x14ac:dyDescent="0.2">
      <c r="EU794" s="13">
        <v>789</v>
      </c>
      <c r="EV794" s="14">
        <f t="shared" si="742"/>
        <v>2</v>
      </c>
      <c r="EW794" s="14">
        <f t="shared" si="710"/>
        <v>354</v>
      </c>
      <c r="EX794" s="14">
        <f t="shared" si="743"/>
        <v>47</v>
      </c>
      <c r="EY794" s="14">
        <f t="shared" si="711"/>
        <v>42</v>
      </c>
      <c r="EZ794" s="14">
        <f t="shared" si="723"/>
        <v>20</v>
      </c>
      <c r="FA794" s="14">
        <f t="shared" si="724"/>
        <v>130</v>
      </c>
      <c r="FB794" s="14">
        <f t="shared" si="725"/>
        <v>4</v>
      </c>
      <c r="FC794" s="14">
        <f t="shared" si="726"/>
        <v>6</v>
      </c>
      <c r="FD794" s="14">
        <f t="shared" si="727"/>
        <v>6</v>
      </c>
      <c r="FE794" s="14" t="b">
        <f t="shared" si="744"/>
        <v>1</v>
      </c>
      <c r="FF794" s="14">
        <f t="shared" si="728"/>
        <v>2109426</v>
      </c>
      <c r="FG794" s="13" t="str">
        <f t="shared" si="729"/>
        <v>130级-防御套守护灵の护手</v>
      </c>
      <c r="FH794" s="14">
        <f t="shared" si="730"/>
        <v>2</v>
      </c>
      <c r="FI794" s="14">
        <f t="shared" si="731"/>
        <v>4</v>
      </c>
      <c r="FJ794" s="14">
        <f t="shared" si="732"/>
        <v>130</v>
      </c>
      <c r="FK794" s="14">
        <v>355</v>
      </c>
      <c r="FL794" s="14">
        <f t="shared" si="733"/>
        <v>9</v>
      </c>
      <c r="FM794" s="14">
        <f t="shared" si="712"/>
        <v>6</v>
      </c>
      <c r="FN794" s="14">
        <f t="shared" si="734"/>
        <v>210942</v>
      </c>
      <c r="FO794" s="14">
        <f t="shared" si="713"/>
        <v>631</v>
      </c>
      <c r="FP794" s="14">
        <f t="shared" si="745"/>
        <v>0</v>
      </c>
      <c r="FQ794" s="14">
        <f t="shared" si="746"/>
        <v>0</v>
      </c>
      <c r="FR794" s="14">
        <f t="shared" si="747"/>
        <v>8300</v>
      </c>
      <c r="FS794" s="14">
        <f t="shared" si="748"/>
        <v>0</v>
      </c>
      <c r="FT794" s="14">
        <f t="shared" si="749"/>
        <v>0</v>
      </c>
      <c r="FU794" s="14">
        <f t="shared" si="750"/>
        <v>421</v>
      </c>
      <c r="FV794" s="14">
        <f t="shared" si="735"/>
        <v>2094</v>
      </c>
      <c r="FW794" s="14">
        <f t="shared" si="736"/>
        <v>6</v>
      </c>
      <c r="FX794" s="14">
        <f t="shared" si="737"/>
        <v>2094</v>
      </c>
      <c r="FY794" s="25" t="str">
        <f t="shared" si="751"/>
        <v>icon_2109426</v>
      </c>
      <c r="GC794" s="14">
        <f t="shared" si="738"/>
        <v>3</v>
      </c>
      <c r="GD794" s="14">
        <f t="shared" si="739"/>
        <v>0</v>
      </c>
      <c r="GE794" s="14">
        <f t="shared" si="714"/>
        <v>631</v>
      </c>
      <c r="GF794" s="14" t="str">
        <f t="shared" si="715"/>
        <v>HPExt</v>
      </c>
      <c r="GG794" s="14">
        <f t="shared" si="716"/>
        <v>8300</v>
      </c>
      <c r="GH794" s="14">
        <f t="shared" si="717"/>
        <v>421</v>
      </c>
      <c r="GI794" s="14" t="str">
        <f t="shared" si="718"/>
        <v/>
      </c>
      <c r="GJ794" s="14" t="str">
        <f t="shared" si="719"/>
        <v/>
      </c>
      <c r="GK794" s="14" t="str">
        <f t="shared" si="720"/>
        <v/>
      </c>
      <c r="GL794" s="14">
        <f t="shared" si="740"/>
        <v>20940</v>
      </c>
      <c r="GM794" s="14">
        <f t="shared" si="721"/>
        <v>6</v>
      </c>
      <c r="GN794" s="14">
        <f t="shared" si="722"/>
        <v>2094</v>
      </c>
      <c r="GO794" s="25" t="s">
        <v>1471</v>
      </c>
      <c r="GP794" s="14">
        <f t="shared" si="741"/>
        <v>500</v>
      </c>
    </row>
    <row r="795" spans="151:198" ht="16.5" x14ac:dyDescent="0.2">
      <c r="EU795" s="13">
        <v>790</v>
      </c>
      <c r="EV795" s="14">
        <f t="shared" si="742"/>
        <v>2</v>
      </c>
      <c r="EW795" s="14">
        <f t="shared" si="710"/>
        <v>355</v>
      </c>
      <c r="EX795" s="14">
        <f t="shared" si="743"/>
        <v>48</v>
      </c>
      <c r="EY795" s="14">
        <f t="shared" si="711"/>
        <v>10</v>
      </c>
      <c r="EZ795" s="14">
        <f t="shared" si="723"/>
        <v>21</v>
      </c>
      <c r="FA795" s="14">
        <f t="shared" si="724"/>
        <v>140</v>
      </c>
      <c r="FB795" s="14">
        <f t="shared" si="725"/>
        <v>1</v>
      </c>
      <c r="FC795" s="14">
        <f t="shared" si="726"/>
        <v>1</v>
      </c>
      <c r="FD795" s="14">
        <f t="shared" si="727"/>
        <v>1</v>
      </c>
      <c r="FE795" s="14" t="b">
        <f t="shared" si="744"/>
        <v>0</v>
      </c>
      <c r="FF795" s="14">
        <f t="shared" si="728"/>
        <v>2110101</v>
      </c>
      <c r="FG795" s="13" t="str">
        <f t="shared" si="729"/>
        <v>140级-普通守护灵の灵器</v>
      </c>
      <c r="FH795" s="14">
        <f t="shared" si="730"/>
        <v>2</v>
      </c>
      <c r="FI795" s="14">
        <f t="shared" si="731"/>
        <v>1</v>
      </c>
      <c r="FJ795" s="14">
        <f t="shared" si="732"/>
        <v>140</v>
      </c>
      <c r="FK795" s="14">
        <v>356</v>
      </c>
      <c r="FL795" s="14">
        <f t="shared" si="733"/>
        <v>10</v>
      </c>
      <c r="FM795" s="14">
        <f t="shared" si="712"/>
        <v>1</v>
      </c>
      <c r="FN795" s="14" t="str">
        <f t="shared" si="734"/>
        <v/>
      </c>
      <c r="FO795" s="14">
        <f t="shared" si="713"/>
        <v>260</v>
      </c>
      <c r="FP795" s="14">
        <f t="shared" si="745"/>
        <v>985</v>
      </c>
      <c r="FQ795" s="14">
        <f t="shared" si="746"/>
        <v>0</v>
      </c>
      <c r="FR795" s="14">
        <f t="shared" si="747"/>
        <v>0</v>
      </c>
      <c r="FS795" s="14">
        <f t="shared" si="748"/>
        <v>52</v>
      </c>
      <c r="FT795" s="14">
        <f t="shared" si="749"/>
        <v>0</v>
      </c>
      <c r="FU795" s="14">
        <f t="shared" si="750"/>
        <v>0</v>
      </c>
      <c r="FV795" s="14">
        <f t="shared" si="735"/>
        <v>2101</v>
      </c>
      <c r="FW795" s="14">
        <f t="shared" si="736"/>
        <v>0</v>
      </c>
      <c r="FX795" s="14" t="str">
        <f t="shared" si="737"/>
        <v/>
      </c>
      <c r="FY795" s="25" t="str">
        <f t="shared" si="751"/>
        <v>icon_2110101</v>
      </c>
      <c r="GC795" s="14">
        <f t="shared" si="738"/>
        <v>1</v>
      </c>
      <c r="GD795" s="14">
        <f t="shared" si="739"/>
        <v>0</v>
      </c>
      <c r="GE795" s="14">
        <f t="shared" si="714"/>
        <v>260</v>
      </c>
      <c r="GF795" s="14" t="str">
        <f t="shared" si="715"/>
        <v>AtkExt</v>
      </c>
      <c r="GG795" s="14">
        <f t="shared" si="716"/>
        <v>985</v>
      </c>
      <c r="GH795" s="14">
        <f t="shared" si="717"/>
        <v>52</v>
      </c>
      <c r="GI795" s="14" t="str">
        <f t="shared" si="718"/>
        <v/>
      </c>
      <c r="GJ795" s="14" t="str">
        <f t="shared" si="719"/>
        <v/>
      </c>
      <c r="GK795" s="14" t="str">
        <f t="shared" si="720"/>
        <v/>
      </c>
      <c r="GL795" s="14">
        <f t="shared" si="740"/>
        <v>21010</v>
      </c>
      <c r="GM795" s="14">
        <f t="shared" si="721"/>
        <v>0</v>
      </c>
      <c r="GN795" s="14" t="str">
        <f t="shared" si="722"/>
        <v/>
      </c>
      <c r="GO795" s="25" t="s">
        <v>1471</v>
      </c>
      <c r="GP795" s="14">
        <f t="shared" si="741"/>
        <v>120</v>
      </c>
    </row>
    <row r="796" spans="151:198" ht="16.5" x14ac:dyDescent="0.2">
      <c r="EU796" s="13">
        <v>791</v>
      </c>
      <c r="EV796" s="14">
        <f t="shared" si="742"/>
        <v>2</v>
      </c>
      <c r="EW796" s="14">
        <f t="shared" si="710"/>
        <v>356</v>
      </c>
      <c r="EX796" s="14">
        <f t="shared" si="743"/>
        <v>48</v>
      </c>
      <c r="EY796" s="14">
        <f t="shared" si="711"/>
        <v>10</v>
      </c>
      <c r="EZ796" s="14">
        <f t="shared" si="723"/>
        <v>21</v>
      </c>
      <c r="FA796" s="14">
        <f t="shared" si="724"/>
        <v>140</v>
      </c>
      <c r="FB796" s="14">
        <f t="shared" si="725"/>
        <v>1</v>
      </c>
      <c r="FC796" s="14">
        <f t="shared" si="726"/>
        <v>2</v>
      </c>
      <c r="FD796" s="14">
        <f t="shared" si="727"/>
        <v>2</v>
      </c>
      <c r="FE796" s="14" t="b">
        <f t="shared" si="744"/>
        <v>0</v>
      </c>
      <c r="FF796" s="14">
        <f t="shared" si="728"/>
        <v>2110102</v>
      </c>
      <c r="FG796" s="13" t="str">
        <f t="shared" si="729"/>
        <v>140级-普通守护灵の头盔</v>
      </c>
      <c r="FH796" s="14">
        <f t="shared" si="730"/>
        <v>2</v>
      </c>
      <c r="FI796" s="14">
        <f t="shared" si="731"/>
        <v>1</v>
      </c>
      <c r="FJ796" s="14">
        <f t="shared" si="732"/>
        <v>140</v>
      </c>
      <c r="FK796" s="14">
        <v>357</v>
      </c>
      <c r="FL796" s="14">
        <f t="shared" si="733"/>
        <v>10</v>
      </c>
      <c r="FM796" s="14">
        <f t="shared" si="712"/>
        <v>2</v>
      </c>
      <c r="FN796" s="14" t="str">
        <f t="shared" si="734"/>
        <v/>
      </c>
      <c r="FO796" s="14">
        <f t="shared" si="713"/>
        <v>130</v>
      </c>
      <c r="FP796" s="14">
        <f t="shared" si="745"/>
        <v>0</v>
      </c>
      <c r="FQ796" s="14">
        <f t="shared" si="746"/>
        <v>245</v>
      </c>
      <c r="FR796" s="14">
        <f t="shared" si="747"/>
        <v>0</v>
      </c>
      <c r="FS796" s="14">
        <f t="shared" si="748"/>
        <v>0</v>
      </c>
      <c r="FT796" s="14">
        <f t="shared" si="749"/>
        <v>13</v>
      </c>
      <c r="FU796" s="14">
        <f t="shared" si="750"/>
        <v>0</v>
      </c>
      <c r="FV796" s="14">
        <f t="shared" si="735"/>
        <v>2101</v>
      </c>
      <c r="FW796" s="14">
        <f t="shared" si="736"/>
        <v>0</v>
      </c>
      <c r="FX796" s="14" t="str">
        <f t="shared" si="737"/>
        <v/>
      </c>
      <c r="FY796" s="25" t="str">
        <f t="shared" si="751"/>
        <v>icon_2110102</v>
      </c>
      <c r="GC796" s="14">
        <f t="shared" si="738"/>
        <v>2</v>
      </c>
      <c r="GD796" s="14">
        <f t="shared" si="739"/>
        <v>0</v>
      </c>
      <c r="GE796" s="14">
        <f t="shared" si="714"/>
        <v>130</v>
      </c>
      <c r="GF796" s="14" t="str">
        <f t="shared" si="715"/>
        <v>DefExt</v>
      </c>
      <c r="GG796" s="14">
        <f t="shared" si="716"/>
        <v>245</v>
      </c>
      <c r="GH796" s="14">
        <f t="shared" si="717"/>
        <v>13</v>
      </c>
      <c r="GI796" s="14" t="str">
        <f t="shared" si="718"/>
        <v/>
      </c>
      <c r="GJ796" s="14" t="str">
        <f t="shared" si="719"/>
        <v/>
      </c>
      <c r="GK796" s="14" t="str">
        <f t="shared" si="720"/>
        <v/>
      </c>
      <c r="GL796" s="14">
        <f t="shared" si="740"/>
        <v>21010</v>
      </c>
      <c r="GM796" s="14">
        <f t="shared" si="721"/>
        <v>0</v>
      </c>
      <c r="GN796" s="14" t="str">
        <f t="shared" si="722"/>
        <v/>
      </c>
      <c r="GO796" s="25" t="s">
        <v>1471</v>
      </c>
      <c r="GP796" s="14">
        <f t="shared" si="741"/>
        <v>60</v>
      </c>
    </row>
    <row r="797" spans="151:198" ht="16.5" x14ac:dyDescent="0.2">
      <c r="EU797" s="13">
        <v>792</v>
      </c>
      <c r="EV797" s="14">
        <f t="shared" si="742"/>
        <v>2</v>
      </c>
      <c r="EW797" s="14">
        <f t="shared" si="710"/>
        <v>357</v>
      </c>
      <c r="EX797" s="14">
        <f t="shared" si="743"/>
        <v>48</v>
      </c>
      <c r="EY797" s="14">
        <f t="shared" si="711"/>
        <v>10</v>
      </c>
      <c r="EZ797" s="14">
        <f t="shared" si="723"/>
        <v>21</v>
      </c>
      <c r="FA797" s="14">
        <f t="shared" si="724"/>
        <v>140</v>
      </c>
      <c r="FB797" s="14">
        <f t="shared" si="725"/>
        <v>1</v>
      </c>
      <c r="FC797" s="14">
        <f t="shared" si="726"/>
        <v>3</v>
      </c>
      <c r="FD797" s="14">
        <f t="shared" si="727"/>
        <v>3</v>
      </c>
      <c r="FE797" s="14" t="b">
        <f t="shared" si="744"/>
        <v>0</v>
      </c>
      <c r="FF797" s="14">
        <f t="shared" si="728"/>
        <v>2110103</v>
      </c>
      <c r="FG797" s="13" t="str">
        <f t="shared" si="729"/>
        <v>140级-普通守护灵の铠甲</v>
      </c>
      <c r="FH797" s="14">
        <f t="shared" si="730"/>
        <v>2</v>
      </c>
      <c r="FI797" s="14">
        <f t="shared" si="731"/>
        <v>1</v>
      </c>
      <c r="FJ797" s="14">
        <f t="shared" si="732"/>
        <v>140</v>
      </c>
      <c r="FK797" s="14">
        <v>358</v>
      </c>
      <c r="FL797" s="14">
        <f t="shared" si="733"/>
        <v>10</v>
      </c>
      <c r="FM797" s="14">
        <f t="shared" si="712"/>
        <v>3</v>
      </c>
      <c r="FN797" s="14" t="str">
        <f t="shared" si="734"/>
        <v/>
      </c>
      <c r="FO797" s="14">
        <f t="shared" si="713"/>
        <v>183</v>
      </c>
      <c r="FP797" s="14">
        <f t="shared" si="745"/>
        <v>0</v>
      </c>
      <c r="FQ797" s="14">
        <f t="shared" si="746"/>
        <v>125</v>
      </c>
      <c r="FR797" s="14">
        <f t="shared" si="747"/>
        <v>2345</v>
      </c>
      <c r="FS797" s="14">
        <f t="shared" si="748"/>
        <v>0</v>
      </c>
      <c r="FT797" s="14">
        <f t="shared" si="749"/>
        <v>6</v>
      </c>
      <c r="FU797" s="14">
        <f t="shared" si="750"/>
        <v>123</v>
      </c>
      <c r="FV797" s="14">
        <f t="shared" si="735"/>
        <v>2101</v>
      </c>
      <c r="FW797" s="14">
        <f t="shared" si="736"/>
        <v>0</v>
      </c>
      <c r="FX797" s="14" t="str">
        <f t="shared" si="737"/>
        <v/>
      </c>
      <c r="FY797" s="25" t="str">
        <f t="shared" si="751"/>
        <v>icon_2110103</v>
      </c>
      <c r="GC797" s="14">
        <f t="shared" si="738"/>
        <v>2</v>
      </c>
      <c r="GD797" s="14">
        <f t="shared" si="739"/>
        <v>3</v>
      </c>
      <c r="GE797" s="14">
        <f t="shared" si="714"/>
        <v>183</v>
      </c>
      <c r="GF797" s="14" t="str">
        <f t="shared" si="715"/>
        <v>DefExt</v>
      </c>
      <c r="GG797" s="14">
        <f t="shared" si="716"/>
        <v>125</v>
      </c>
      <c r="GH797" s="14">
        <f t="shared" si="717"/>
        <v>6</v>
      </c>
      <c r="GI797" s="14" t="str">
        <f t="shared" si="718"/>
        <v>HPExt</v>
      </c>
      <c r="GJ797" s="14">
        <f t="shared" si="719"/>
        <v>2345</v>
      </c>
      <c r="GK797" s="14">
        <f t="shared" si="720"/>
        <v>123</v>
      </c>
      <c r="GL797" s="14">
        <f t="shared" si="740"/>
        <v>21010</v>
      </c>
      <c r="GM797" s="14">
        <f t="shared" si="721"/>
        <v>0</v>
      </c>
      <c r="GN797" s="14" t="str">
        <f t="shared" si="722"/>
        <v/>
      </c>
      <c r="GO797" s="25" t="s">
        <v>1471</v>
      </c>
      <c r="GP797" s="14">
        <f t="shared" si="741"/>
        <v>60</v>
      </c>
    </row>
    <row r="798" spans="151:198" ht="16.5" x14ac:dyDescent="0.2">
      <c r="EU798" s="13">
        <v>793</v>
      </c>
      <c r="EV798" s="14">
        <f t="shared" si="742"/>
        <v>2</v>
      </c>
      <c r="EW798" s="14">
        <f t="shared" si="710"/>
        <v>358</v>
      </c>
      <c r="EX798" s="14">
        <f t="shared" si="743"/>
        <v>48</v>
      </c>
      <c r="EY798" s="14">
        <f t="shared" si="711"/>
        <v>10</v>
      </c>
      <c r="EZ798" s="14">
        <f t="shared" si="723"/>
        <v>21</v>
      </c>
      <c r="FA798" s="14">
        <f t="shared" si="724"/>
        <v>140</v>
      </c>
      <c r="FB798" s="14">
        <f t="shared" si="725"/>
        <v>1</v>
      </c>
      <c r="FC798" s="14">
        <f t="shared" si="726"/>
        <v>4</v>
      </c>
      <c r="FD798" s="14">
        <f t="shared" si="727"/>
        <v>4</v>
      </c>
      <c r="FE798" s="14" t="b">
        <f t="shared" si="744"/>
        <v>0</v>
      </c>
      <c r="FF798" s="14">
        <f t="shared" si="728"/>
        <v>2110104</v>
      </c>
      <c r="FG798" s="13" t="str">
        <f t="shared" si="729"/>
        <v>140级-普通守护灵の裤子</v>
      </c>
      <c r="FH798" s="14">
        <f t="shared" si="730"/>
        <v>2</v>
      </c>
      <c r="FI798" s="14">
        <f t="shared" si="731"/>
        <v>1</v>
      </c>
      <c r="FJ798" s="14">
        <f t="shared" si="732"/>
        <v>140</v>
      </c>
      <c r="FK798" s="14">
        <v>359</v>
      </c>
      <c r="FL798" s="14">
        <f t="shared" si="733"/>
        <v>10</v>
      </c>
      <c r="FM798" s="14">
        <f t="shared" si="712"/>
        <v>4</v>
      </c>
      <c r="FN798" s="14" t="str">
        <f t="shared" si="734"/>
        <v/>
      </c>
      <c r="FO798" s="14">
        <f t="shared" si="713"/>
        <v>130</v>
      </c>
      <c r="FP798" s="14">
        <f t="shared" si="745"/>
        <v>0</v>
      </c>
      <c r="FQ798" s="14">
        <f t="shared" si="746"/>
        <v>245</v>
      </c>
      <c r="FR798" s="14">
        <f t="shared" si="747"/>
        <v>0</v>
      </c>
      <c r="FS798" s="14">
        <f t="shared" si="748"/>
        <v>0</v>
      </c>
      <c r="FT798" s="14">
        <f t="shared" si="749"/>
        <v>13</v>
      </c>
      <c r="FU798" s="14">
        <f t="shared" si="750"/>
        <v>0</v>
      </c>
      <c r="FV798" s="14">
        <f t="shared" si="735"/>
        <v>2101</v>
      </c>
      <c r="FW798" s="14">
        <f t="shared" si="736"/>
        <v>0</v>
      </c>
      <c r="FX798" s="14" t="str">
        <f t="shared" si="737"/>
        <v/>
      </c>
      <c r="FY798" s="25" t="str">
        <f t="shared" si="751"/>
        <v>icon_2110104</v>
      </c>
      <c r="GC798" s="14">
        <f t="shared" si="738"/>
        <v>2</v>
      </c>
      <c r="GD798" s="14">
        <f t="shared" si="739"/>
        <v>0</v>
      </c>
      <c r="GE798" s="14">
        <f t="shared" si="714"/>
        <v>130</v>
      </c>
      <c r="GF798" s="14" t="str">
        <f t="shared" si="715"/>
        <v>DefExt</v>
      </c>
      <c r="GG798" s="14">
        <f t="shared" si="716"/>
        <v>245</v>
      </c>
      <c r="GH798" s="14">
        <f t="shared" si="717"/>
        <v>13</v>
      </c>
      <c r="GI798" s="14" t="str">
        <f t="shared" si="718"/>
        <v/>
      </c>
      <c r="GJ798" s="14" t="str">
        <f t="shared" si="719"/>
        <v/>
      </c>
      <c r="GK798" s="14" t="str">
        <f t="shared" si="720"/>
        <v/>
      </c>
      <c r="GL798" s="14">
        <f t="shared" si="740"/>
        <v>21010</v>
      </c>
      <c r="GM798" s="14">
        <f t="shared" si="721"/>
        <v>0</v>
      </c>
      <c r="GN798" s="14" t="str">
        <f t="shared" si="722"/>
        <v/>
      </c>
      <c r="GO798" s="25" t="s">
        <v>1471</v>
      </c>
      <c r="GP798" s="14">
        <f t="shared" si="741"/>
        <v>60</v>
      </c>
    </row>
    <row r="799" spans="151:198" ht="16.5" x14ac:dyDescent="0.2">
      <c r="EU799" s="13">
        <v>794</v>
      </c>
      <c r="EV799" s="14">
        <f t="shared" si="742"/>
        <v>2</v>
      </c>
      <c r="EW799" s="14">
        <f t="shared" si="710"/>
        <v>359</v>
      </c>
      <c r="EX799" s="14">
        <f t="shared" si="743"/>
        <v>48</v>
      </c>
      <c r="EY799" s="14">
        <f t="shared" si="711"/>
        <v>10</v>
      </c>
      <c r="EZ799" s="14">
        <f t="shared" si="723"/>
        <v>21</v>
      </c>
      <c r="FA799" s="14">
        <f t="shared" si="724"/>
        <v>140</v>
      </c>
      <c r="FB799" s="14">
        <f t="shared" si="725"/>
        <v>1</v>
      </c>
      <c r="FC799" s="14">
        <f t="shared" si="726"/>
        <v>5</v>
      </c>
      <c r="FD799" s="14">
        <f t="shared" si="727"/>
        <v>5</v>
      </c>
      <c r="FE799" s="14" t="b">
        <f t="shared" si="744"/>
        <v>0</v>
      </c>
      <c r="FF799" s="14">
        <f t="shared" si="728"/>
        <v>2110105</v>
      </c>
      <c r="FG799" s="13" t="str">
        <f t="shared" si="729"/>
        <v>140级-普通守护灵の鞋子</v>
      </c>
      <c r="FH799" s="14">
        <f t="shared" si="730"/>
        <v>2</v>
      </c>
      <c r="FI799" s="14">
        <f t="shared" si="731"/>
        <v>1</v>
      </c>
      <c r="FJ799" s="14">
        <f t="shared" si="732"/>
        <v>140</v>
      </c>
      <c r="FK799" s="14">
        <v>360</v>
      </c>
      <c r="FL799" s="14">
        <f t="shared" si="733"/>
        <v>10</v>
      </c>
      <c r="FM799" s="14">
        <f t="shared" si="712"/>
        <v>5</v>
      </c>
      <c r="FN799" s="14" t="str">
        <f t="shared" si="734"/>
        <v/>
      </c>
      <c r="FO799" s="14">
        <f t="shared" si="713"/>
        <v>246</v>
      </c>
      <c r="FP799" s="14">
        <f t="shared" si="745"/>
        <v>0</v>
      </c>
      <c r="FQ799" s="14">
        <f t="shared" si="746"/>
        <v>0</v>
      </c>
      <c r="FR799" s="14">
        <f t="shared" si="747"/>
        <v>4695</v>
      </c>
      <c r="FS799" s="14">
        <f t="shared" si="748"/>
        <v>0</v>
      </c>
      <c r="FT799" s="14">
        <f t="shared" si="749"/>
        <v>0</v>
      </c>
      <c r="FU799" s="14">
        <f t="shared" si="750"/>
        <v>246</v>
      </c>
      <c r="FV799" s="14">
        <f t="shared" si="735"/>
        <v>2101</v>
      </c>
      <c r="FW799" s="14">
        <f t="shared" si="736"/>
        <v>0</v>
      </c>
      <c r="FX799" s="14" t="str">
        <f t="shared" si="737"/>
        <v/>
      </c>
      <c r="FY799" s="25" t="str">
        <f t="shared" si="751"/>
        <v>icon_2110105</v>
      </c>
      <c r="GC799" s="14">
        <f t="shared" si="738"/>
        <v>3</v>
      </c>
      <c r="GD799" s="14">
        <f t="shared" si="739"/>
        <v>0</v>
      </c>
      <c r="GE799" s="14">
        <f t="shared" si="714"/>
        <v>246</v>
      </c>
      <c r="GF799" s="14" t="str">
        <f t="shared" si="715"/>
        <v>HPExt</v>
      </c>
      <c r="GG799" s="14">
        <f t="shared" si="716"/>
        <v>4695</v>
      </c>
      <c r="GH799" s="14">
        <f t="shared" si="717"/>
        <v>246</v>
      </c>
      <c r="GI799" s="14" t="str">
        <f t="shared" si="718"/>
        <v/>
      </c>
      <c r="GJ799" s="14" t="str">
        <f t="shared" si="719"/>
        <v/>
      </c>
      <c r="GK799" s="14" t="str">
        <f t="shared" si="720"/>
        <v/>
      </c>
      <c r="GL799" s="14">
        <f t="shared" si="740"/>
        <v>21010</v>
      </c>
      <c r="GM799" s="14">
        <f t="shared" si="721"/>
        <v>0</v>
      </c>
      <c r="GN799" s="14" t="str">
        <f t="shared" si="722"/>
        <v/>
      </c>
      <c r="GO799" s="25" t="s">
        <v>1471</v>
      </c>
      <c r="GP799" s="14">
        <f t="shared" si="741"/>
        <v>60</v>
      </c>
    </row>
    <row r="800" spans="151:198" ht="16.5" x14ac:dyDescent="0.2">
      <c r="EU800" s="13">
        <v>795</v>
      </c>
      <c r="EV800" s="14">
        <f t="shared" si="742"/>
        <v>2</v>
      </c>
      <c r="EW800" s="14">
        <f t="shared" si="710"/>
        <v>360</v>
      </c>
      <c r="EX800" s="14">
        <f t="shared" si="743"/>
        <v>48</v>
      </c>
      <c r="EY800" s="14">
        <f t="shared" si="711"/>
        <v>10</v>
      </c>
      <c r="EZ800" s="14">
        <f t="shared" si="723"/>
        <v>21</v>
      </c>
      <c r="FA800" s="14">
        <f t="shared" si="724"/>
        <v>140</v>
      </c>
      <c r="FB800" s="14">
        <f t="shared" si="725"/>
        <v>1</v>
      </c>
      <c r="FC800" s="14">
        <f t="shared" si="726"/>
        <v>6</v>
      </c>
      <c r="FD800" s="14">
        <f t="shared" si="727"/>
        <v>6</v>
      </c>
      <c r="FE800" s="14" t="b">
        <f t="shared" si="744"/>
        <v>0</v>
      </c>
      <c r="FF800" s="14">
        <f t="shared" si="728"/>
        <v>2110106</v>
      </c>
      <c r="FG800" s="13" t="str">
        <f t="shared" si="729"/>
        <v>140级-普通守护灵の护手</v>
      </c>
      <c r="FH800" s="14">
        <f t="shared" si="730"/>
        <v>2</v>
      </c>
      <c r="FI800" s="14">
        <f t="shared" si="731"/>
        <v>1</v>
      </c>
      <c r="FJ800" s="14">
        <f t="shared" si="732"/>
        <v>140</v>
      </c>
      <c r="FK800" s="14">
        <v>361</v>
      </c>
      <c r="FL800" s="14">
        <f t="shared" si="733"/>
        <v>10</v>
      </c>
      <c r="FM800" s="14">
        <f t="shared" si="712"/>
        <v>6</v>
      </c>
      <c r="FN800" s="14" t="str">
        <f t="shared" si="734"/>
        <v/>
      </c>
      <c r="FO800" s="14">
        <f t="shared" si="713"/>
        <v>246</v>
      </c>
      <c r="FP800" s="14">
        <f t="shared" si="745"/>
        <v>0</v>
      </c>
      <c r="FQ800" s="14">
        <f t="shared" si="746"/>
        <v>0</v>
      </c>
      <c r="FR800" s="14">
        <f t="shared" si="747"/>
        <v>4695</v>
      </c>
      <c r="FS800" s="14">
        <f t="shared" si="748"/>
        <v>0</v>
      </c>
      <c r="FT800" s="14">
        <f t="shared" si="749"/>
        <v>0</v>
      </c>
      <c r="FU800" s="14">
        <f t="shared" si="750"/>
        <v>246</v>
      </c>
      <c r="FV800" s="14">
        <f t="shared" si="735"/>
        <v>2101</v>
      </c>
      <c r="FW800" s="14">
        <f t="shared" si="736"/>
        <v>0</v>
      </c>
      <c r="FX800" s="14" t="str">
        <f t="shared" si="737"/>
        <v/>
      </c>
      <c r="FY800" s="25" t="str">
        <f t="shared" si="751"/>
        <v>icon_2110106</v>
      </c>
      <c r="GC800" s="14">
        <f t="shared" si="738"/>
        <v>3</v>
      </c>
      <c r="GD800" s="14">
        <f t="shared" si="739"/>
        <v>0</v>
      </c>
      <c r="GE800" s="14">
        <f t="shared" si="714"/>
        <v>246</v>
      </c>
      <c r="GF800" s="14" t="str">
        <f t="shared" si="715"/>
        <v>HPExt</v>
      </c>
      <c r="GG800" s="14">
        <f t="shared" si="716"/>
        <v>4695</v>
      </c>
      <c r="GH800" s="14">
        <f t="shared" si="717"/>
        <v>246</v>
      </c>
      <c r="GI800" s="14" t="str">
        <f t="shared" si="718"/>
        <v/>
      </c>
      <c r="GJ800" s="14" t="str">
        <f t="shared" si="719"/>
        <v/>
      </c>
      <c r="GK800" s="14" t="str">
        <f t="shared" si="720"/>
        <v/>
      </c>
      <c r="GL800" s="14">
        <f t="shared" si="740"/>
        <v>21010</v>
      </c>
      <c r="GM800" s="14">
        <f t="shared" si="721"/>
        <v>0</v>
      </c>
      <c r="GN800" s="14" t="str">
        <f t="shared" si="722"/>
        <v/>
      </c>
      <c r="GO800" s="25" t="s">
        <v>1471</v>
      </c>
      <c r="GP800" s="14">
        <f t="shared" si="741"/>
        <v>60</v>
      </c>
    </row>
    <row r="801" spans="151:198" ht="16.5" x14ac:dyDescent="0.2">
      <c r="EU801" s="13">
        <v>796</v>
      </c>
      <c r="EV801" s="14">
        <f t="shared" si="742"/>
        <v>2</v>
      </c>
      <c r="EW801" s="14">
        <f t="shared" si="710"/>
        <v>361</v>
      </c>
      <c r="EX801" s="14">
        <f t="shared" si="743"/>
        <v>48</v>
      </c>
      <c r="EY801" s="14">
        <f t="shared" si="711"/>
        <v>10</v>
      </c>
      <c r="EZ801" s="14">
        <f t="shared" si="723"/>
        <v>21</v>
      </c>
      <c r="FA801" s="14">
        <f t="shared" si="724"/>
        <v>140</v>
      </c>
      <c r="FB801" s="14">
        <f t="shared" si="725"/>
        <v>1</v>
      </c>
      <c r="FC801" s="14">
        <f t="shared" si="726"/>
        <v>7</v>
      </c>
      <c r="FD801" s="14">
        <f t="shared" si="727"/>
        <v>7</v>
      </c>
      <c r="FE801" s="14" t="b">
        <f t="shared" si="744"/>
        <v>0</v>
      </c>
      <c r="FF801" s="14">
        <f t="shared" si="728"/>
        <v>2110107</v>
      </c>
      <c r="FG801" s="13" t="str">
        <f t="shared" si="729"/>
        <v>140级-普通守护灵の项链</v>
      </c>
      <c r="FH801" s="14">
        <f t="shared" si="730"/>
        <v>2</v>
      </c>
      <c r="FI801" s="14">
        <f t="shared" si="731"/>
        <v>1</v>
      </c>
      <c r="FJ801" s="14">
        <f t="shared" si="732"/>
        <v>140</v>
      </c>
      <c r="FK801" s="14">
        <v>362</v>
      </c>
      <c r="FL801" s="14">
        <f t="shared" si="733"/>
        <v>10</v>
      </c>
      <c r="FM801" s="14">
        <f t="shared" si="712"/>
        <v>7</v>
      </c>
      <c r="FN801" s="14" t="str">
        <f t="shared" si="734"/>
        <v/>
      </c>
      <c r="FO801" s="14">
        <f t="shared" si="713"/>
        <v>195</v>
      </c>
      <c r="FP801" s="14">
        <f t="shared" si="745"/>
        <v>330</v>
      </c>
      <c r="FQ801" s="14">
        <f t="shared" si="746"/>
        <v>205</v>
      </c>
      <c r="FR801" s="14">
        <f t="shared" si="747"/>
        <v>0</v>
      </c>
      <c r="FS801" s="14">
        <f t="shared" si="748"/>
        <v>17</v>
      </c>
      <c r="FT801" s="14">
        <f t="shared" si="749"/>
        <v>11</v>
      </c>
      <c r="FU801" s="14">
        <f t="shared" si="750"/>
        <v>0</v>
      </c>
      <c r="FV801" s="14">
        <f t="shared" si="735"/>
        <v>2101</v>
      </c>
      <c r="FW801" s="14">
        <f t="shared" si="736"/>
        <v>0</v>
      </c>
      <c r="FX801" s="14" t="str">
        <f t="shared" si="737"/>
        <v/>
      </c>
      <c r="FY801" s="25" t="str">
        <f t="shared" si="751"/>
        <v>icon_2110107</v>
      </c>
      <c r="GC801" s="14">
        <f t="shared" si="738"/>
        <v>1</v>
      </c>
      <c r="GD801" s="14">
        <f t="shared" si="739"/>
        <v>2</v>
      </c>
      <c r="GE801" s="14">
        <f t="shared" si="714"/>
        <v>195</v>
      </c>
      <c r="GF801" s="14" t="str">
        <f t="shared" si="715"/>
        <v>AtkExt</v>
      </c>
      <c r="GG801" s="14">
        <f t="shared" si="716"/>
        <v>330</v>
      </c>
      <c r="GH801" s="14">
        <f t="shared" si="717"/>
        <v>17</v>
      </c>
      <c r="GI801" s="14" t="str">
        <f t="shared" si="718"/>
        <v>DefExt</v>
      </c>
      <c r="GJ801" s="14">
        <f t="shared" si="719"/>
        <v>205</v>
      </c>
      <c r="GK801" s="14">
        <f t="shared" si="720"/>
        <v>11</v>
      </c>
      <c r="GL801" s="14">
        <f t="shared" si="740"/>
        <v>21010</v>
      </c>
      <c r="GM801" s="14">
        <f t="shared" si="721"/>
        <v>0</v>
      </c>
      <c r="GN801" s="14" t="str">
        <f t="shared" si="722"/>
        <v/>
      </c>
      <c r="GO801" s="25" t="s">
        <v>1471</v>
      </c>
      <c r="GP801" s="14">
        <f t="shared" si="741"/>
        <v>90</v>
      </c>
    </row>
    <row r="802" spans="151:198" ht="16.5" x14ac:dyDescent="0.2">
      <c r="EU802" s="13">
        <v>797</v>
      </c>
      <c r="EV802" s="14">
        <f t="shared" si="742"/>
        <v>2</v>
      </c>
      <c r="EW802" s="14">
        <f t="shared" si="710"/>
        <v>362</v>
      </c>
      <c r="EX802" s="14">
        <f t="shared" si="743"/>
        <v>48</v>
      </c>
      <c r="EY802" s="14">
        <f t="shared" si="711"/>
        <v>10</v>
      </c>
      <c r="EZ802" s="14">
        <f t="shared" si="723"/>
        <v>21</v>
      </c>
      <c r="FA802" s="14">
        <f t="shared" si="724"/>
        <v>140</v>
      </c>
      <c r="FB802" s="14">
        <f t="shared" si="725"/>
        <v>1</v>
      </c>
      <c r="FC802" s="14">
        <f t="shared" si="726"/>
        <v>8</v>
      </c>
      <c r="FD802" s="14">
        <f t="shared" si="727"/>
        <v>8</v>
      </c>
      <c r="FE802" s="14" t="b">
        <f t="shared" si="744"/>
        <v>0</v>
      </c>
      <c r="FF802" s="14">
        <f t="shared" si="728"/>
        <v>2110108</v>
      </c>
      <c r="FG802" s="13" t="str">
        <f t="shared" si="729"/>
        <v>140级-普通守护灵の戒指</v>
      </c>
      <c r="FH802" s="14">
        <f t="shared" si="730"/>
        <v>2</v>
      </c>
      <c r="FI802" s="14">
        <f t="shared" si="731"/>
        <v>1</v>
      </c>
      <c r="FJ802" s="14">
        <f t="shared" si="732"/>
        <v>140</v>
      </c>
      <c r="FK802" s="14">
        <v>363</v>
      </c>
      <c r="FL802" s="14">
        <f t="shared" si="733"/>
        <v>10</v>
      </c>
      <c r="FM802" s="14">
        <f t="shared" si="712"/>
        <v>8</v>
      </c>
      <c r="FN802" s="14" t="str">
        <f t="shared" si="734"/>
        <v/>
      </c>
      <c r="FO802" s="14">
        <f t="shared" si="713"/>
        <v>290</v>
      </c>
      <c r="FP802" s="14">
        <f t="shared" si="745"/>
        <v>330</v>
      </c>
      <c r="FQ802" s="14">
        <f t="shared" si="746"/>
        <v>0</v>
      </c>
      <c r="FR802" s="14">
        <f t="shared" si="747"/>
        <v>3910</v>
      </c>
      <c r="FS802" s="14">
        <f t="shared" si="748"/>
        <v>17</v>
      </c>
      <c r="FT802" s="14">
        <f t="shared" si="749"/>
        <v>0</v>
      </c>
      <c r="FU802" s="14">
        <f t="shared" si="750"/>
        <v>205</v>
      </c>
      <c r="FV802" s="14">
        <f t="shared" si="735"/>
        <v>2101</v>
      </c>
      <c r="FW802" s="14">
        <f t="shared" si="736"/>
        <v>0</v>
      </c>
      <c r="FX802" s="14" t="str">
        <f t="shared" si="737"/>
        <v/>
      </c>
      <c r="FY802" s="25" t="str">
        <f t="shared" si="751"/>
        <v>icon_2110108</v>
      </c>
      <c r="GC802" s="14">
        <f t="shared" si="738"/>
        <v>1</v>
      </c>
      <c r="GD802" s="14">
        <f t="shared" si="739"/>
        <v>3</v>
      </c>
      <c r="GE802" s="14">
        <f t="shared" si="714"/>
        <v>290</v>
      </c>
      <c r="GF802" s="14" t="str">
        <f t="shared" si="715"/>
        <v>AtkExt</v>
      </c>
      <c r="GG802" s="14">
        <f t="shared" si="716"/>
        <v>330</v>
      </c>
      <c r="GH802" s="14">
        <f t="shared" si="717"/>
        <v>17</v>
      </c>
      <c r="GI802" s="14" t="str">
        <f t="shared" si="718"/>
        <v>HPExt</v>
      </c>
      <c r="GJ802" s="14">
        <f t="shared" si="719"/>
        <v>3910</v>
      </c>
      <c r="GK802" s="14">
        <f t="shared" si="720"/>
        <v>205</v>
      </c>
      <c r="GL802" s="14">
        <f t="shared" si="740"/>
        <v>21010</v>
      </c>
      <c r="GM802" s="14">
        <f t="shared" si="721"/>
        <v>0</v>
      </c>
      <c r="GN802" s="14" t="str">
        <f t="shared" si="722"/>
        <v/>
      </c>
      <c r="GO802" s="25" t="s">
        <v>1471</v>
      </c>
      <c r="GP802" s="14">
        <f t="shared" si="741"/>
        <v>90</v>
      </c>
    </row>
    <row r="803" spans="151:198" ht="16.5" x14ac:dyDescent="0.2">
      <c r="EU803" s="13">
        <v>798</v>
      </c>
      <c r="EV803" s="14">
        <f t="shared" si="742"/>
        <v>2</v>
      </c>
      <c r="EW803" s="14">
        <f t="shared" si="710"/>
        <v>363</v>
      </c>
      <c r="EX803" s="14">
        <f t="shared" si="743"/>
        <v>49</v>
      </c>
      <c r="EY803" s="14">
        <f t="shared" si="711"/>
        <v>20</v>
      </c>
      <c r="EZ803" s="14">
        <f t="shared" si="723"/>
        <v>21</v>
      </c>
      <c r="FA803" s="14">
        <f t="shared" si="724"/>
        <v>140</v>
      </c>
      <c r="FB803" s="14">
        <f t="shared" si="725"/>
        <v>2</v>
      </c>
      <c r="FC803" s="14">
        <f t="shared" si="726"/>
        <v>1</v>
      </c>
      <c r="FD803" s="14">
        <f t="shared" si="727"/>
        <v>1</v>
      </c>
      <c r="FE803" s="14" t="b">
        <f t="shared" si="744"/>
        <v>0</v>
      </c>
      <c r="FF803" s="14">
        <f t="shared" si="728"/>
        <v>2110201</v>
      </c>
      <c r="FG803" s="13" t="str">
        <f t="shared" si="729"/>
        <v>140级-优秀守护灵の灵器</v>
      </c>
      <c r="FH803" s="14">
        <f t="shared" si="730"/>
        <v>2</v>
      </c>
      <c r="FI803" s="14">
        <f t="shared" si="731"/>
        <v>2</v>
      </c>
      <c r="FJ803" s="14">
        <f t="shared" si="732"/>
        <v>140</v>
      </c>
      <c r="FK803" s="14">
        <v>364</v>
      </c>
      <c r="FL803" s="14">
        <f t="shared" si="733"/>
        <v>10</v>
      </c>
      <c r="FM803" s="14">
        <f t="shared" si="712"/>
        <v>1</v>
      </c>
      <c r="FN803" s="14" t="str">
        <f t="shared" si="734"/>
        <v/>
      </c>
      <c r="FO803" s="14">
        <f t="shared" si="713"/>
        <v>360</v>
      </c>
      <c r="FP803" s="14">
        <f t="shared" si="745"/>
        <v>1380</v>
      </c>
      <c r="FQ803" s="14">
        <f t="shared" si="746"/>
        <v>0</v>
      </c>
      <c r="FR803" s="14">
        <f t="shared" si="747"/>
        <v>0</v>
      </c>
      <c r="FS803" s="14">
        <f t="shared" si="748"/>
        <v>72</v>
      </c>
      <c r="FT803" s="14">
        <f t="shared" si="749"/>
        <v>0</v>
      </c>
      <c r="FU803" s="14">
        <f t="shared" si="750"/>
        <v>0</v>
      </c>
      <c r="FV803" s="14">
        <f t="shared" si="735"/>
        <v>2102</v>
      </c>
      <c r="FW803" s="14">
        <f t="shared" si="736"/>
        <v>0</v>
      </c>
      <c r="FX803" s="14" t="str">
        <f t="shared" si="737"/>
        <v/>
      </c>
      <c r="FY803" s="25" t="str">
        <f t="shared" si="751"/>
        <v>icon_2110101</v>
      </c>
      <c r="GC803" s="14">
        <f t="shared" si="738"/>
        <v>1</v>
      </c>
      <c r="GD803" s="14">
        <f t="shared" si="739"/>
        <v>0</v>
      </c>
      <c r="GE803" s="14">
        <f t="shared" si="714"/>
        <v>360</v>
      </c>
      <c r="GF803" s="14" t="str">
        <f t="shared" si="715"/>
        <v>AtkExt</v>
      </c>
      <c r="GG803" s="14">
        <f t="shared" si="716"/>
        <v>1380</v>
      </c>
      <c r="GH803" s="14">
        <f t="shared" si="717"/>
        <v>72</v>
      </c>
      <c r="GI803" s="14" t="str">
        <f t="shared" si="718"/>
        <v/>
      </c>
      <c r="GJ803" s="14" t="str">
        <f t="shared" si="719"/>
        <v/>
      </c>
      <c r="GK803" s="14" t="str">
        <f t="shared" si="720"/>
        <v/>
      </c>
      <c r="GL803" s="14">
        <f t="shared" si="740"/>
        <v>21020</v>
      </c>
      <c r="GM803" s="14">
        <f t="shared" si="721"/>
        <v>0</v>
      </c>
      <c r="GN803" s="14" t="str">
        <f t="shared" si="722"/>
        <v/>
      </c>
      <c r="GO803" s="25" t="s">
        <v>1471</v>
      </c>
      <c r="GP803" s="14">
        <f t="shared" si="741"/>
        <v>360</v>
      </c>
    </row>
    <row r="804" spans="151:198" ht="16.5" x14ac:dyDescent="0.2">
      <c r="EU804" s="13">
        <v>799</v>
      </c>
      <c r="EV804" s="14">
        <f t="shared" si="742"/>
        <v>2</v>
      </c>
      <c r="EW804" s="14">
        <f t="shared" si="710"/>
        <v>364</v>
      </c>
      <c r="EX804" s="14">
        <f t="shared" si="743"/>
        <v>49</v>
      </c>
      <c r="EY804" s="14">
        <f t="shared" si="711"/>
        <v>20</v>
      </c>
      <c r="EZ804" s="14">
        <f t="shared" si="723"/>
        <v>21</v>
      </c>
      <c r="FA804" s="14">
        <f t="shared" si="724"/>
        <v>140</v>
      </c>
      <c r="FB804" s="14">
        <f t="shared" si="725"/>
        <v>2</v>
      </c>
      <c r="FC804" s="14">
        <f t="shared" si="726"/>
        <v>2</v>
      </c>
      <c r="FD804" s="14">
        <f t="shared" si="727"/>
        <v>2</v>
      </c>
      <c r="FE804" s="14" t="b">
        <f t="shared" si="744"/>
        <v>0</v>
      </c>
      <c r="FF804" s="14">
        <f t="shared" si="728"/>
        <v>2110202</v>
      </c>
      <c r="FG804" s="13" t="str">
        <f t="shared" si="729"/>
        <v>140级-优秀守护灵の头盔</v>
      </c>
      <c r="FH804" s="14">
        <f t="shared" si="730"/>
        <v>2</v>
      </c>
      <c r="FI804" s="14">
        <f t="shared" si="731"/>
        <v>2</v>
      </c>
      <c r="FJ804" s="14">
        <f t="shared" si="732"/>
        <v>140</v>
      </c>
      <c r="FK804" s="14">
        <v>365</v>
      </c>
      <c r="FL804" s="14">
        <f t="shared" si="733"/>
        <v>10</v>
      </c>
      <c r="FM804" s="14">
        <f t="shared" si="712"/>
        <v>2</v>
      </c>
      <c r="FN804" s="14" t="str">
        <f t="shared" si="734"/>
        <v/>
      </c>
      <c r="FO804" s="14">
        <f t="shared" si="713"/>
        <v>180</v>
      </c>
      <c r="FP804" s="14">
        <f t="shared" si="745"/>
        <v>0</v>
      </c>
      <c r="FQ804" s="14">
        <f t="shared" si="746"/>
        <v>345</v>
      </c>
      <c r="FR804" s="14">
        <f t="shared" si="747"/>
        <v>0</v>
      </c>
      <c r="FS804" s="14">
        <f t="shared" si="748"/>
        <v>0</v>
      </c>
      <c r="FT804" s="14">
        <f t="shared" si="749"/>
        <v>18</v>
      </c>
      <c r="FU804" s="14">
        <f t="shared" si="750"/>
        <v>0</v>
      </c>
      <c r="FV804" s="14">
        <f t="shared" si="735"/>
        <v>2102</v>
      </c>
      <c r="FW804" s="14">
        <f t="shared" si="736"/>
        <v>0</v>
      </c>
      <c r="FX804" s="14" t="str">
        <f t="shared" si="737"/>
        <v/>
      </c>
      <c r="FY804" s="25" t="str">
        <f t="shared" si="751"/>
        <v>icon_2110102</v>
      </c>
      <c r="GC804" s="14">
        <f t="shared" si="738"/>
        <v>2</v>
      </c>
      <c r="GD804" s="14">
        <f t="shared" si="739"/>
        <v>0</v>
      </c>
      <c r="GE804" s="14">
        <f t="shared" si="714"/>
        <v>180</v>
      </c>
      <c r="GF804" s="14" t="str">
        <f t="shared" si="715"/>
        <v>DefExt</v>
      </c>
      <c r="GG804" s="14">
        <f t="shared" si="716"/>
        <v>345</v>
      </c>
      <c r="GH804" s="14">
        <f t="shared" si="717"/>
        <v>18</v>
      </c>
      <c r="GI804" s="14" t="str">
        <f t="shared" si="718"/>
        <v/>
      </c>
      <c r="GJ804" s="14" t="str">
        <f t="shared" si="719"/>
        <v/>
      </c>
      <c r="GK804" s="14" t="str">
        <f t="shared" si="720"/>
        <v/>
      </c>
      <c r="GL804" s="14">
        <f t="shared" si="740"/>
        <v>21020</v>
      </c>
      <c r="GM804" s="14">
        <f t="shared" si="721"/>
        <v>0</v>
      </c>
      <c r="GN804" s="14" t="str">
        <f t="shared" si="722"/>
        <v/>
      </c>
      <c r="GO804" s="25" t="s">
        <v>1471</v>
      </c>
      <c r="GP804" s="14">
        <f t="shared" si="741"/>
        <v>180</v>
      </c>
    </row>
    <row r="805" spans="151:198" ht="16.5" x14ac:dyDescent="0.2">
      <c r="EU805" s="13">
        <v>800</v>
      </c>
      <c r="EV805" s="14">
        <f t="shared" si="742"/>
        <v>2</v>
      </c>
      <c r="EW805" s="14">
        <f t="shared" si="710"/>
        <v>365</v>
      </c>
      <c r="EX805" s="14">
        <f t="shared" si="743"/>
        <v>49</v>
      </c>
      <c r="EY805" s="14">
        <f t="shared" si="711"/>
        <v>20</v>
      </c>
      <c r="EZ805" s="14">
        <f t="shared" si="723"/>
        <v>21</v>
      </c>
      <c r="FA805" s="14">
        <f t="shared" si="724"/>
        <v>140</v>
      </c>
      <c r="FB805" s="14">
        <f t="shared" si="725"/>
        <v>2</v>
      </c>
      <c r="FC805" s="14">
        <f t="shared" si="726"/>
        <v>3</v>
      </c>
      <c r="FD805" s="14">
        <f t="shared" si="727"/>
        <v>3</v>
      </c>
      <c r="FE805" s="14" t="b">
        <f t="shared" si="744"/>
        <v>0</v>
      </c>
      <c r="FF805" s="14">
        <f t="shared" si="728"/>
        <v>2110203</v>
      </c>
      <c r="FG805" s="13" t="str">
        <f t="shared" si="729"/>
        <v>140级-优秀守护灵の铠甲</v>
      </c>
      <c r="FH805" s="14">
        <f t="shared" si="730"/>
        <v>2</v>
      </c>
      <c r="FI805" s="14">
        <f t="shared" si="731"/>
        <v>2</v>
      </c>
      <c r="FJ805" s="14">
        <f t="shared" si="732"/>
        <v>140</v>
      </c>
      <c r="FK805" s="14">
        <v>366</v>
      </c>
      <c r="FL805" s="14">
        <f t="shared" si="733"/>
        <v>10</v>
      </c>
      <c r="FM805" s="14">
        <f t="shared" si="712"/>
        <v>3</v>
      </c>
      <c r="FN805" s="14" t="str">
        <f t="shared" si="734"/>
        <v/>
      </c>
      <c r="FO805" s="14">
        <f t="shared" si="713"/>
        <v>262</v>
      </c>
      <c r="FP805" s="14">
        <f t="shared" si="745"/>
        <v>0</v>
      </c>
      <c r="FQ805" s="14">
        <f t="shared" si="746"/>
        <v>175</v>
      </c>
      <c r="FR805" s="14">
        <f t="shared" si="747"/>
        <v>3285</v>
      </c>
      <c r="FS805" s="14">
        <f t="shared" si="748"/>
        <v>0</v>
      </c>
      <c r="FT805" s="14">
        <f t="shared" si="749"/>
        <v>9</v>
      </c>
      <c r="FU805" s="14">
        <f t="shared" si="750"/>
        <v>172</v>
      </c>
      <c r="FV805" s="14">
        <f t="shared" si="735"/>
        <v>2102</v>
      </c>
      <c r="FW805" s="14">
        <f t="shared" si="736"/>
        <v>0</v>
      </c>
      <c r="FX805" s="14" t="str">
        <f t="shared" si="737"/>
        <v/>
      </c>
      <c r="FY805" s="25" t="str">
        <f t="shared" si="751"/>
        <v>icon_2110103</v>
      </c>
      <c r="GC805" s="14">
        <f t="shared" si="738"/>
        <v>2</v>
      </c>
      <c r="GD805" s="14">
        <f t="shared" si="739"/>
        <v>3</v>
      </c>
      <c r="GE805" s="14">
        <f t="shared" si="714"/>
        <v>262</v>
      </c>
      <c r="GF805" s="14" t="str">
        <f t="shared" si="715"/>
        <v>DefExt</v>
      </c>
      <c r="GG805" s="14">
        <f t="shared" si="716"/>
        <v>175</v>
      </c>
      <c r="GH805" s="14">
        <f t="shared" si="717"/>
        <v>9</v>
      </c>
      <c r="GI805" s="14" t="str">
        <f t="shared" si="718"/>
        <v>HPExt</v>
      </c>
      <c r="GJ805" s="14">
        <f t="shared" si="719"/>
        <v>3285</v>
      </c>
      <c r="GK805" s="14">
        <f t="shared" si="720"/>
        <v>172</v>
      </c>
      <c r="GL805" s="14">
        <f t="shared" si="740"/>
        <v>21020</v>
      </c>
      <c r="GM805" s="14">
        <f t="shared" si="721"/>
        <v>0</v>
      </c>
      <c r="GN805" s="14" t="str">
        <f t="shared" si="722"/>
        <v/>
      </c>
      <c r="GO805" s="25" t="s">
        <v>1471</v>
      </c>
      <c r="GP805" s="14">
        <f t="shared" si="741"/>
        <v>180</v>
      </c>
    </row>
    <row r="806" spans="151:198" ht="16.5" x14ac:dyDescent="0.2">
      <c r="EU806" s="13">
        <v>801</v>
      </c>
      <c r="EV806" s="14">
        <f t="shared" si="742"/>
        <v>2</v>
      </c>
      <c r="EW806" s="14">
        <f t="shared" si="710"/>
        <v>366</v>
      </c>
      <c r="EX806" s="14">
        <f t="shared" si="743"/>
        <v>49</v>
      </c>
      <c r="EY806" s="14">
        <f t="shared" si="711"/>
        <v>20</v>
      </c>
      <c r="EZ806" s="14">
        <f t="shared" si="723"/>
        <v>21</v>
      </c>
      <c r="FA806" s="14">
        <f t="shared" si="724"/>
        <v>140</v>
      </c>
      <c r="FB806" s="14">
        <f t="shared" si="725"/>
        <v>2</v>
      </c>
      <c r="FC806" s="14">
        <f t="shared" si="726"/>
        <v>4</v>
      </c>
      <c r="FD806" s="14">
        <f t="shared" si="727"/>
        <v>4</v>
      </c>
      <c r="FE806" s="14" t="b">
        <f t="shared" si="744"/>
        <v>0</v>
      </c>
      <c r="FF806" s="14">
        <f t="shared" si="728"/>
        <v>2110204</v>
      </c>
      <c r="FG806" s="13" t="str">
        <f t="shared" si="729"/>
        <v>140级-优秀守护灵の裤子</v>
      </c>
      <c r="FH806" s="14">
        <f t="shared" si="730"/>
        <v>2</v>
      </c>
      <c r="FI806" s="14">
        <f t="shared" si="731"/>
        <v>2</v>
      </c>
      <c r="FJ806" s="14">
        <f t="shared" si="732"/>
        <v>140</v>
      </c>
      <c r="FK806" s="14">
        <v>367</v>
      </c>
      <c r="FL806" s="14">
        <f t="shared" si="733"/>
        <v>10</v>
      </c>
      <c r="FM806" s="14">
        <f t="shared" si="712"/>
        <v>4</v>
      </c>
      <c r="FN806" s="14" t="str">
        <f t="shared" si="734"/>
        <v/>
      </c>
      <c r="FO806" s="14">
        <f t="shared" si="713"/>
        <v>180</v>
      </c>
      <c r="FP806" s="14">
        <f t="shared" si="745"/>
        <v>0</v>
      </c>
      <c r="FQ806" s="14">
        <f t="shared" si="746"/>
        <v>345</v>
      </c>
      <c r="FR806" s="14">
        <f t="shared" si="747"/>
        <v>0</v>
      </c>
      <c r="FS806" s="14">
        <f t="shared" si="748"/>
        <v>0</v>
      </c>
      <c r="FT806" s="14">
        <f t="shared" si="749"/>
        <v>18</v>
      </c>
      <c r="FU806" s="14">
        <f t="shared" si="750"/>
        <v>0</v>
      </c>
      <c r="FV806" s="14">
        <f t="shared" si="735"/>
        <v>2102</v>
      </c>
      <c r="FW806" s="14">
        <f t="shared" si="736"/>
        <v>0</v>
      </c>
      <c r="FX806" s="14" t="str">
        <f t="shared" si="737"/>
        <v/>
      </c>
      <c r="FY806" s="25" t="str">
        <f t="shared" si="751"/>
        <v>icon_2110104</v>
      </c>
      <c r="GC806" s="14">
        <f t="shared" si="738"/>
        <v>2</v>
      </c>
      <c r="GD806" s="14">
        <f t="shared" si="739"/>
        <v>0</v>
      </c>
      <c r="GE806" s="14">
        <f t="shared" si="714"/>
        <v>180</v>
      </c>
      <c r="GF806" s="14" t="str">
        <f t="shared" si="715"/>
        <v>DefExt</v>
      </c>
      <c r="GG806" s="14">
        <f t="shared" si="716"/>
        <v>345</v>
      </c>
      <c r="GH806" s="14">
        <f t="shared" si="717"/>
        <v>18</v>
      </c>
      <c r="GI806" s="14" t="str">
        <f t="shared" si="718"/>
        <v/>
      </c>
      <c r="GJ806" s="14" t="str">
        <f t="shared" si="719"/>
        <v/>
      </c>
      <c r="GK806" s="14" t="str">
        <f t="shared" si="720"/>
        <v/>
      </c>
      <c r="GL806" s="14">
        <f t="shared" si="740"/>
        <v>21020</v>
      </c>
      <c r="GM806" s="14">
        <f t="shared" si="721"/>
        <v>0</v>
      </c>
      <c r="GN806" s="14" t="str">
        <f t="shared" si="722"/>
        <v/>
      </c>
      <c r="GO806" s="25" t="s">
        <v>1471</v>
      </c>
      <c r="GP806" s="14">
        <f t="shared" si="741"/>
        <v>180</v>
      </c>
    </row>
    <row r="807" spans="151:198" ht="16.5" x14ac:dyDescent="0.2">
      <c r="EU807" s="13">
        <v>802</v>
      </c>
      <c r="EV807" s="14">
        <f t="shared" si="742"/>
        <v>2</v>
      </c>
      <c r="EW807" s="14">
        <f t="shared" si="710"/>
        <v>367</v>
      </c>
      <c r="EX807" s="14">
        <f t="shared" si="743"/>
        <v>49</v>
      </c>
      <c r="EY807" s="14">
        <f t="shared" si="711"/>
        <v>20</v>
      </c>
      <c r="EZ807" s="14">
        <f t="shared" si="723"/>
        <v>21</v>
      </c>
      <c r="FA807" s="14">
        <f t="shared" si="724"/>
        <v>140</v>
      </c>
      <c r="FB807" s="14">
        <f t="shared" si="725"/>
        <v>2</v>
      </c>
      <c r="FC807" s="14">
        <f t="shared" si="726"/>
        <v>5</v>
      </c>
      <c r="FD807" s="14">
        <f t="shared" si="727"/>
        <v>5</v>
      </c>
      <c r="FE807" s="14" t="b">
        <f t="shared" si="744"/>
        <v>0</v>
      </c>
      <c r="FF807" s="14">
        <f t="shared" si="728"/>
        <v>2110205</v>
      </c>
      <c r="FG807" s="13" t="str">
        <f t="shared" si="729"/>
        <v>140级-优秀守护灵の鞋子</v>
      </c>
      <c r="FH807" s="14">
        <f t="shared" si="730"/>
        <v>2</v>
      </c>
      <c r="FI807" s="14">
        <f t="shared" si="731"/>
        <v>2</v>
      </c>
      <c r="FJ807" s="14">
        <f t="shared" si="732"/>
        <v>140</v>
      </c>
      <c r="FK807" s="14">
        <v>368</v>
      </c>
      <c r="FL807" s="14">
        <f t="shared" si="733"/>
        <v>10</v>
      </c>
      <c r="FM807" s="14">
        <f t="shared" si="712"/>
        <v>5</v>
      </c>
      <c r="FN807" s="14" t="str">
        <f t="shared" si="734"/>
        <v/>
      </c>
      <c r="FO807" s="14">
        <f t="shared" si="713"/>
        <v>344</v>
      </c>
      <c r="FP807" s="14">
        <f t="shared" si="745"/>
        <v>0</v>
      </c>
      <c r="FQ807" s="14">
        <f t="shared" si="746"/>
        <v>0</v>
      </c>
      <c r="FR807" s="14">
        <f t="shared" si="747"/>
        <v>6570</v>
      </c>
      <c r="FS807" s="14">
        <f t="shared" si="748"/>
        <v>0</v>
      </c>
      <c r="FT807" s="14">
        <f t="shared" si="749"/>
        <v>0</v>
      </c>
      <c r="FU807" s="14">
        <f t="shared" si="750"/>
        <v>344</v>
      </c>
      <c r="FV807" s="14">
        <f t="shared" si="735"/>
        <v>2102</v>
      </c>
      <c r="FW807" s="14">
        <f t="shared" si="736"/>
        <v>0</v>
      </c>
      <c r="FX807" s="14" t="str">
        <f t="shared" si="737"/>
        <v/>
      </c>
      <c r="FY807" s="25" t="str">
        <f t="shared" si="751"/>
        <v>icon_2110105</v>
      </c>
      <c r="GC807" s="14">
        <f t="shared" si="738"/>
        <v>3</v>
      </c>
      <c r="GD807" s="14">
        <f t="shared" si="739"/>
        <v>0</v>
      </c>
      <c r="GE807" s="14">
        <f t="shared" si="714"/>
        <v>344</v>
      </c>
      <c r="GF807" s="14" t="str">
        <f t="shared" si="715"/>
        <v>HPExt</v>
      </c>
      <c r="GG807" s="14">
        <f t="shared" si="716"/>
        <v>6570</v>
      </c>
      <c r="GH807" s="14">
        <f t="shared" si="717"/>
        <v>344</v>
      </c>
      <c r="GI807" s="14" t="str">
        <f t="shared" si="718"/>
        <v/>
      </c>
      <c r="GJ807" s="14" t="str">
        <f t="shared" si="719"/>
        <v/>
      </c>
      <c r="GK807" s="14" t="str">
        <f t="shared" si="720"/>
        <v/>
      </c>
      <c r="GL807" s="14">
        <f t="shared" si="740"/>
        <v>21020</v>
      </c>
      <c r="GM807" s="14">
        <f t="shared" si="721"/>
        <v>0</v>
      </c>
      <c r="GN807" s="14" t="str">
        <f t="shared" si="722"/>
        <v/>
      </c>
      <c r="GO807" s="25" t="s">
        <v>1471</v>
      </c>
      <c r="GP807" s="14">
        <f t="shared" si="741"/>
        <v>180</v>
      </c>
    </row>
    <row r="808" spans="151:198" ht="16.5" x14ac:dyDescent="0.2">
      <c r="EU808" s="13">
        <v>803</v>
      </c>
      <c r="EV808" s="14">
        <f t="shared" si="742"/>
        <v>2</v>
      </c>
      <c r="EW808" s="14">
        <f t="shared" si="710"/>
        <v>368</v>
      </c>
      <c r="EX808" s="14">
        <f t="shared" si="743"/>
        <v>49</v>
      </c>
      <c r="EY808" s="14">
        <f t="shared" si="711"/>
        <v>20</v>
      </c>
      <c r="EZ808" s="14">
        <f t="shared" si="723"/>
        <v>21</v>
      </c>
      <c r="FA808" s="14">
        <f t="shared" si="724"/>
        <v>140</v>
      </c>
      <c r="FB808" s="14">
        <f t="shared" si="725"/>
        <v>2</v>
      </c>
      <c r="FC808" s="14">
        <f t="shared" si="726"/>
        <v>6</v>
      </c>
      <c r="FD808" s="14">
        <f t="shared" si="727"/>
        <v>6</v>
      </c>
      <c r="FE808" s="14" t="b">
        <f t="shared" si="744"/>
        <v>0</v>
      </c>
      <c r="FF808" s="14">
        <f t="shared" si="728"/>
        <v>2110206</v>
      </c>
      <c r="FG808" s="13" t="str">
        <f t="shared" si="729"/>
        <v>140级-优秀守护灵の护手</v>
      </c>
      <c r="FH808" s="14">
        <f t="shared" si="730"/>
        <v>2</v>
      </c>
      <c r="FI808" s="14">
        <f t="shared" si="731"/>
        <v>2</v>
      </c>
      <c r="FJ808" s="14">
        <f t="shared" si="732"/>
        <v>140</v>
      </c>
      <c r="FK808" s="14">
        <v>369</v>
      </c>
      <c r="FL808" s="14">
        <f t="shared" si="733"/>
        <v>10</v>
      </c>
      <c r="FM808" s="14">
        <f t="shared" si="712"/>
        <v>6</v>
      </c>
      <c r="FN808" s="14" t="str">
        <f t="shared" si="734"/>
        <v/>
      </c>
      <c r="FO808" s="14">
        <f t="shared" si="713"/>
        <v>344</v>
      </c>
      <c r="FP808" s="14">
        <f t="shared" si="745"/>
        <v>0</v>
      </c>
      <c r="FQ808" s="14">
        <f t="shared" si="746"/>
        <v>0</v>
      </c>
      <c r="FR808" s="14">
        <f t="shared" si="747"/>
        <v>6570</v>
      </c>
      <c r="FS808" s="14">
        <f t="shared" si="748"/>
        <v>0</v>
      </c>
      <c r="FT808" s="14">
        <f t="shared" si="749"/>
        <v>0</v>
      </c>
      <c r="FU808" s="14">
        <f t="shared" si="750"/>
        <v>344</v>
      </c>
      <c r="FV808" s="14">
        <f t="shared" si="735"/>
        <v>2102</v>
      </c>
      <c r="FW808" s="14">
        <f t="shared" si="736"/>
        <v>0</v>
      </c>
      <c r="FX808" s="14" t="str">
        <f t="shared" si="737"/>
        <v/>
      </c>
      <c r="FY808" s="25" t="str">
        <f t="shared" si="751"/>
        <v>icon_2110106</v>
      </c>
      <c r="GC808" s="14">
        <f t="shared" si="738"/>
        <v>3</v>
      </c>
      <c r="GD808" s="14">
        <f t="shared" si="739"/>
        <v>0</v>
      </c>
      <c r="GE808" s="14">
        <f t="shared" si="714"/>
        <v>344</v>
      </c>
      <c r="GF808" s="14" t="str">
        <f t="shared" si="715"/>
        <v>HPExt</v>
      </c>
      <c r="GG808" s="14">
        <f t="shared" si="716"/>
        <v>6570</v>
      </c>
      <c r="GH808" s="14">
        <f t="shared" si="717"/>
        <v>344</v>
      </c>
      <c r="GI808" s="14" t="str">
        <f t="shared" si="718"/>
        <v/>
      </c>
      <c r="GJ808" s="14" t="str">
        <f t="shared" si="719"/>
        <v/>
      </c>
      <c r="GK808" s="14" t="str">
        <f t="shared" si="720"/>
        <v/>
      </c>
      <c r="GL808" s="14">
        <f t="shared" si="740"/>
        <v>21020</v>
      </c>
      <c r="GM808" s="14">
        <f t="shared" si="721"/>
        <v>0</v>
      </c>
      <c r="GN808" s="14" t="str">
        <f t="shared" si="722"/>
        <v/>
      </c>
      <c r="GO808" s="25" t="s">
        <v>1471</v>
      </c>
      <c r="GP808" s="14">
        <f t="shared" si="741"/>
        <v>180</v>
      </c>
    </row>
    <row r="809" spans="151:198" ht="16.5" x14ac:dyDescent="0.2">
      <c r="EU809" s="13">
        <v>804</v>
      </c>
      <c r="EV809" s="14">
        <f t="shared" si="742"/>
        <v>2</v>
      </c>
      <c r="EW809" s="14">
        <f t="shared" si="710"/>
        <v>369</v>
      </c>
      <c r="EX809" s="14">
        <f t="shared" si="743"/>
        <v>49</v>
      </c>
      <c r="EY809" s="14">
        <f t="shared" si="711"/>
        <v>20</v>
      </c>
      <c r="EZ809" s="14">
        <f t="shared" si="723"/>
        <v>21</v>
      </c>
      <c r="FA809" s="14">
        <f t="shared" si="724"/>
        <v>140</v>
      </c>
      <c r="FB809" s="14">
        <f t="shared" si="725"/>
        <v>2</v>
      </c>
      <c r="FC809" s="14">
        <f t="shared" si="726"/>
        <v>7</v>
      </c>
      <c r="FD809" s="14">
        <f t="shared" si="727"/>
        <v>7</v>
      </c>
      <c r="FE809" s="14" t="b">
        <f t="shared" si="744"/>
        <v>0</v>
      </c>
      <c r="FF809" s="14">
        <f t="shared" si="728"/>
        <v>2110207</v>
      </c>
      <c r="FG809" s="13" t="str">
        <f t="shared" si="729"/>
        <v>140级-优秀守护灵の项链</v>
      </c>
      <c r="FH809" s="14">
        <f t="shared" si="730"/>
        <v>2</v>
      </c>
      <c r="FI809" s="14">
        <f t="shared" si="731"/>
        <v>2</v>
      </c>
      <c r="FJ809" s="14">
        <f t="shared" si="732"/>
        <v>140</v>
      </c>
      <c r="FK809" s="14">
        <v>370</v>
      </c>
      <c r="FL809" s="14">
        <f t="shared" si="733"/>
        <v>10</v>
      </c>
      <c r="FM809" s="14">
        <f t="shared" si="712"/>
        <v>7</v>
      </c>
      <c r="FN809" s="14" t="str">
        <f t="shared" si="734"/>
        <v/>
      </c>
      <c r="FO809" s="14">
        <f t="shared" si="713"/>
        <v>270</v>
      </c>
      <c r="FP809" s="14">
        <f t="shared" si="745"/>
        <v>460</v>
      </c>
      <c r="FQ809" s="14">
        <f t="shared" si="746"/>
        <v>290</v>
      </c>
      <c r="FR809" s="14">
        <f t="shared" si="747"/>
        <v>0</v>
      </c>
      <c r="FS809" s="14">
        <f t="shared" si="748"/>
        <v>24</v>
      </c>
      <c r="FT809" s="14">
        <f t="shared" si="749"/>
        <v>15</v>
      </c>
      <c r="FU809" s="14">
        <f t="shared" si="750"/>
        <v>0</v>
      </c>
      <c r="FV809" s="14">
        <f t="shared" si="735"/>
        <v>2102</v>
      </c>
      <c r="FW809" s="14">
        <f t="shared" si="736"/>
        <v>0</v>
      </c>
      <c r="FX809" s="14" t="str">
        <f t="shared" si="737"/>
        <v/>
      </c>
      <c r="FY809" s="25" t="str">
        <f t="shared" si="751"/>
        <v>icon_2110107</v>
      </c>
      <c r="GC809" s="14">
        <f t="shared" si="738"/>
        <v>1</v>
      </c>
      <c r="GD809" s="14">
        <f t="shared" si="739"/>
        <v>2</v>
      </c>
      <c r="GE809" s="14">
        <f t="shared" si="714"/>
        <v>270</v>
      </c>
      <c r="GF809" s="14" t="str">
        <f t="shared" si="715"/>
        <v>AtkExt</v>
      </c>
      <c r="GG809" s="14">
        <f t="shared" si="716"/>
        <v>460</v>
      </c>
      <c r="GH809" s="14">
        <f t="shared" si="717"/>
        <v>24</v>
      </c>
      <c r="GI809" s="14" t="str">
        <f t="shared" si="718"/>
        <v>DefExt</v>
      </c>
      <c r="GJ809" s="14">
        <f t="shared" si="719"/>
        <v>290</v>
      </c>
      <c r="GK809" s="14">
        <f t="shared" si="720"/>
        <v>15</v>
      </c>
      <c r="GL809" s="14">
        <f t="shared" si="740"/>
        <v>21020</v>
      </c>
      <c r="GM809" s="14">
        <f t="shared" si="721"/>
        <v>0</v>
      </c>
      <c r="GN809" s="14" t="str">
        <f t="shared" si="722"/>
        <v/>
      </c>
      <c r="GO809" s="25" t="s">
        <v>1471</v>
      </c>
      <c r="GP809" s="14">
        <f t="shared" si="741"/>
        <v>270</v>
      </c>
    </row>
    <row r="810" spans="151:198" ht="16.5" x14ac:dyDescent="0.2">
      <c r="EU810" s="13">
        <v>805</v>
      </c>
      <c r="EV810" s="14">
        <f t="shared" si="742"/>
        <v>2</v>
      </c>
      <c r="EW810" s="14">
        <f t="shared" si="710"/>
        <v>370</v>
      </c>
      <c r="EX810" s="14">
        <f t="shared" si="743"/>
        <v>49</v>
      </c>
      <c r="EY810" s="14">
        <f t="shared" si="711"/>
        <v>20</v>
      </c>
      <c r="EZ810" s="14">
        <f t="shared" si="723"/>
        <v>21</v>
      </c>
      <c r="FA810" s="14">
        <f t="shared" si="724"/>
        <v>140</v>
      </c>
      <c r="FB810" s="14">
        <f t="shared" si="725"/>
        <v>2</v>
      </c>
      <c r="FC810" s="14">
        <f t="shared" si="726"/>
        <v>8</v>
      </c>
      <c r="FD810" s="14">
        <f t="shared" si="727"/>
        <v>8</v>
      </c>
      <c r="FE810" s="14" t="b">
        <f t="shared" si="744"/>
        <v>0</v>
      </c>
      <c r="FF810" s="14">
        <f t="shared" si="728"/>
        <v>2110208</v>
      </c>
      <c r="FG810" s="13" t="str">
        <f t="shared" si="729"/>
        <v>140级-优秀守护灵の戒指</v>
      </c>
      <c r="FH810" s="14">
        <f t="shared" si="730"/>
        <v>2</v>
      </c>
      <c r="FI810" s="14">
        <f t="shared" si="731"/>
        <v>2</v>
      </c>
      <c r="FJ810" s="14">
        <f t="shared" si="732"/>
        <v>140</v>
      </c>
      <c r="FK810" s="14">
        <v>371</v>
      </c>
      <c r="FL810" s="14">
        <f t="shared" si="733"/>
        <v>10</v>
      </c>
      <c r="FM810" s="14">
        <f t="shared" si="712"/>
        <v>8</v>
      </c>
      <c r="FN810" s="14" t="str">
        <f t="shared" si="734"/>
        <v/>
      </c>
      <c r="FO810" s="14">
        <f t="shared" si="713"/>
        <v>407</v>
      </c>
      <c r="FP810" s="14">
        <f t="shared" si="745"/>
        <v>460</v>
      </c>
      <c r="FQ810" s="14">
        <f t="shared" si="746"/>
        <v>0</v>
      </c>
      <c r="FR810" s="14">
        <f t="shared" si="747"/>
        <v>5475</v>
      </c>
      <c r="FS810" s="14">
        <f t="shared" si="748"/>
        <v>24</v>
      </c>
      <c r="FT810" s="14">
        <f t="shared" si="749"/>
        <v>0</v>
      </c>
      <c r="FU810" s="14">
        <f t="shared" si="750"/>
        <v>287</v>
      </c>
      <c r="FV810" s="14">
        <f t="shared" si="735"/>
        <v>2102</v>
      </c>
      <c r="FW810" s="14">
        <f t="shared" si="736"/>
        <v>0</v>
      </c>
      <c r="FX810" s="14" t="str">
        <f t="shared" si="737"/>
        <v/>
      </c>
      <c r="FY810" s="25" t="str">
        <f t="shared" si="751"/>
        <v>icon_2110108</v>
      </c>
      <c r="GC810" s="14">
        <f t="shared" si="738"/>
        <v>1</v>
      </c>
      <c r="GD810" s="14">
        <f t="shared" si="739"/>
        <v>3</v>
      </c>
      <c r="GE810" s="14">
        <f t="shared" si="714"/>
        <v>407</v>
      </c>
      <c r="GF810" s="14" t="str">
        <f t="shared" si="715"/>
        <v>AtkExt</v>
      </c>
      <c r="GG810" s="14">
        <f t="shared" si="716"/>
        <v>460</v>
      </c>
      <c r="GH810" s="14">
        <f t="shared" si="717"/>
        <v>24</v>
      </c>
      <c r="GI810" s="14" t="str">
        <f t="shared" si="718"/>
        <v>HPExt</v>
      </c>
      <c r="GJ810" s="14">
        <f t="shared" si="719"/>
        <v>5475</v>
      </c>
      <c r="GK810" s="14">
        <f t="shared" si="720"/>
        <v>287</v>
      </c>
      <c r="GL810" s="14">
        <f t="shared" si="740"/>
        <v>21020</v>
      </c>
      <c r="GM810" s="14">
        <f t="shared" si="721"/>
        <v>0</v>
      </c>
      <c r="GN810" s="14" t="str">
        <f t="shared" si="722"/>
        <v/>
      </c>
      <c r="GO810" s="25" t="s">
        <v>1471</v>
      </c>
      <c r="GP810" s="14">
        <f t="shared" si="741"/>
        <v>270</v>
      </c>
    </row>
    <row r="811" spans="151:198" ht="16.5" x14ac:dyDescent="0.2">
      <c r="EU811" s="13">
        <v>806</v>
      </c>
      <c r="EV811" s="14">
        <f t="shared" si="742"/>
        <v>2</v>
      </c>
      <c r="EW811" s="14">
        <f t="shared" si="710"/>
        <v>371</v>
      </c>
      <c r="EX811" s="14">
        <f t="shared" si="743"/>
        <v>50</v>
      </c>
      <c r="EY811" s="14">
        <f t="shared" si="711"/>
        <v>30</v>
      </c>
      <c r="EZ811" s="14">
        <f t="shared" si="723"/>
        <v>21</v>
      </c>
      <c r="FA811" s="14">
        <f t="shared" si="724"/>
        <v>140</v>
      </c>
      <c r="FB811" s="14">
        <f t="shared" si="725"/>
        <v>3</v>
      </c>
      <c r="FC811" s="14">
        <f t="shared" si="726"/>
        <v>1</v>
      </c>
      <c r="FD811" s="14">
        <f t="shared" si="727"/>
        <v>1</v>
      </c>
      <c r="FE811" s="14" t="b">
        <f t="shared" si="744"/>
        <v>0</v>
      </c>
      <c r="FF811" s="14">
        <f t="shared" si="728"/>
        <v>2110301</v>
      </c>
      <c r="FG811" s="13" t="str">
        <f t="shared" si="729"/>
        <v>140级-精良守护灵の灵器</v>
      </c>
      <c r="FH811" s="14">
        <f t="shared" si="730"/>
        <v>2</v>
      </c>
      <c r="FI811" s="14">
        <f t="shared" si="731"/>
        <v>3</v>
      </c>
      <c r="FJ811" s="14">
        <f t="shared" si="732"/>
        <v>140</v>
      </c>
      <c r="FK811" s="14">
        <v>372</v>
      </c>
      <c r="FL811" s="14">
        <f t="shared" si="733"/>
        <v>10</v>
      </c>
      <c r="FM811" s="14">
        <f t="shared" si="712"/>
        <v>1</v>
      </c>
      <c r="FN811" s="14" t="str">
        <f t="shared" si="734"/>
        <v/>
      </c>
      <c r="FO811" s="14">
        <f t="shared" si="713"/>
        <v>440</v>
      </c>
      <c r="FP811" s="14">
        <f t="shared" si="745"/>
        <v>1675</v>
      </c>
      <c r="FQ811" s="14">
        <f t="shared" si="746"/>
        <v>0</v>
      </c>
      <c r="FR811" s="14">
        <f t="shared" si="747"/>
        <v>0</v>
      </c>
      <c r="FS811" s="14">
        <f t="shared" si="748"/>
        <v>88</v>
      </c>
      <c r="FT811" s="14">
        <f t="shared" si="749"/>
        <v>0</v>
      </c>
      <c r="FU811" s="14">
        <f t="shared" si="750"/>
        <v>0</v>
      </c>
      <c r="FV811" s="14">
        <f t="shared" si="735"/>
        <v>2103</v>
      </c>
      <c r="FW811" s="14">
        <f t="shared" si="736"/>
        <v>5</v>
      </c>
      <c r="FX811" s="14">
        <f t="shared" si="737"/>
        <v>2103</v>
      </c>
      <c r="FY811" s="25" t="str">
        <f t="shared" si="751"/>
        <v>icon_2110101</v>
      </c>
      <c r="GC811" s="14">
        <f t="shared" si="738"/>
        <v>1</v>
      </c>
      <c r="GD811" s="14">
        <f t="shared" si="739"/>
        <v>0</v>
      </c>
      <c r="GE811" s="14">
        <f t="shared" si="714"/>
        <v>440</v>
      </c>
      <c r="GF811" s="14" t="str">
        <f t="shared" si="715"/>
        <v>AtkExt</v>
      </c>
      <c r="GG811" s="14">
        <f t="shared" si="716"/>
        <v>1675</v>
      </c>
      <c r="GH811" s="14">
        <f t="shared" si="717"/>
        <v>88</v>
      </c>
      <c r="GI811" s="14" t="str">
        <f t="shared" si="718"/>
        <v/>
      </c>
      <c r="GJ811" s="14" t="str">
        <f t="shared" si="719"/>
        <v/>
      </c>
      <c r="GK811" s="14" t="str">
        <f t="shared" si="720"/>
        <v/>
      </c>
      <c r="GL811" s="14">
        <f t="shared" si="740"/>
        <v>21030</v>
      </c>
      <c r="GM811" s="14">
        <f t="shared" si="721"/>
        <v>5</v>
      </c>
      <c r="GN811" s="14">
        <f t="shared" si="722"/>
        <v>2103</v>
      </c>
      <c r="GO811" s="25" t="s">
        <v>1471</v>
      </c>
      <c r="GP811" s="14">
        <f t="shared" si="741"/>
        <v>600</v>
      </c>
    </row>
    <row r="812" spans="151:198" ht="16.5" x14ac:dyDescent="0.2">
      <c r="EU812" s="13">
        <v>807</v>
      </c>
      <c r="EV812" s="14">
        <f t="shared" si="742"/>
        <v>2</v>
      </c>
      <c r="EW812" s="14">
        <f t="shared" si="710"/>
        <v>372</v>
      </c>
      <c r="EX812" s="14">
        <f t="shared" si="743"/>
        <v>50</v>
      </c>
      <c r="EY812" s="14">
        <f t="shared" si="711"/>
        <v>30</v>
      </c>
      <c r="EZ812" s="14">
        <f t="shared" si="723"/>
        <v>21</v>
      </c>
      <c r="FA812" s="14">
        <f t="shared" si="724"/>
        <v>140</v>
      </c>
      <c r="FB812" s="14">
        <f t="shared" si="725"/>
        <v>3</v>
      </c>
      <c r="FC812" s="14">
        <f t="shared" si="726"/>
        <v>2</v>
      </c>
      <c r="FD812" s="14">
        <f t="shared" si="727"/>
        <v>2</v>
      </c>
      <c r="FE812" s="14" t="b">
        <f t="shared" si="744"/>
        <v>0</v>
      </c>
      <c r="FF812" s="14">
        <f t="shared" si="728"/>
        <v>2110302</v>
      </c>
      <c r="FG812" s="13" t="str">
        <f t="shared" si="729"/>
        <v>140级-精良守护灵の头盔</v>
      </c>
      <c r="FH812" s="14">
        <f t="shared" si="730"/>
        <v>2</v>
      </c>
      <c r="FI812" s="14">
        <f t="shared" si="731"/>
        <v>3</v>
      </c>
      <c r="FJ812" s="14">
        <f t="shared" si="732"/>
        <v>140</v>
      </c>
      <c r="FK812" s="14">
        <v>373</v>
      </c>
      <c r="FL812" s="14">
        <f t="shared" si="733"/>
        <v>10</v>
      </c>
      <c r="FM812" s="14">
        <f t="shared" si="712"/>
        <v>2</v>
      </c>
      <c r="FN812" s="14" t="str">
        <f t="shared" si="734"/>
        <v/>
      </c>
      <c r="FO812" s="14">
        <f t="shared" si="713"/>
        <v>220</v>
      </c>
      <c r="FP812" s="14">
        <f t="shared" si="745"/>
        <v>0</v>
      </c>
      <c r="FQ812" s="14">
        <f t="shared" si="746"/>
        <v>420</v>
      </c>
      <c r="FR812" s="14">
        <f t="shared" si="747"/>
        <v>0</v>
      </c>
      <c r="FS812" s="14">
        <f t="shared" si="748"/>
        <v>0</v>
      </c>
      <c r="FT812" s="14">
        <f t="shared" si="749"/>
        <v>22</v>
      </c>
      <c r="FU812" s="14">
        <f t="shared" si="750"/>
        <v>0</v>
      </c>
      <c r="FV812" s="14">
        <f t="shared" si="735"/>
        <v>2103</v>
      </c>
      <c r="FW812" s="14">
        <f t="shared" si="736"/>
        <v>5</v>
      </c>
      <c r="FX812" s="14">
        <f t="shared" si="737"/>
        <v>2103</v>
      </c>
      <c r="FY812" s="25" t="str">
        <f t="shared" si="751"/>
        <v>icon_2110102</v>
      </c>
      <c r="GC812" s="14">
        <f t="shared" si="738"/>
        <v>2</v>
      </c>
      <c r="GD812" s="14">
        <f t="shared" si="739"/>
        <v>0</v>
      </c>
      <c r="GE812" s="14">
        <f t="shared" si="714"/>
        <v>220</v>
      </c>
      <c r="GF812" s="14" t="str">
        <f t="shared" si="715"/>
        <v>DefExt</v>
      </c>
      <c r="GG812" s="14">
        <f t="shared" si="716"/>
        <v>420</v>
      </c>
      <c r="GH812" s="14">
        <f t="shared" si="717"/>
        <v>22</v>
      </c>
      <c r="GI812" s="14" t="str">
        <f t="shared" si="718"/>
        <v/>
      </c>
      <c r="GJ812" s="14" t="str">
        <f t="shared" si="719"/>
        <v/>
      </c>
      <c r="GK812" s="14" t="str">
        <f t="shared" si="720"/>
        <v/>
      </c>
      <c r="GL812" s="14">
        <f t="shared" si="740"/>
        <v>21030</v>
      </c>
      <c r="GM812" s="14">
        <f t="shared" si="721"/>
        <v>5</v>
      </c>
      <c r="GN812" s="14">
        <f t="shared" si="722"/>
        <v>2103</v>
      </c>
      <c r="GO812" s="25" t="s">
        <v>1471</v>
      </c>
      <c r="GP812" s="14">
        <f t="shared" si="741"/>
        <v>300</v>
      </c>
    </row>
    <row r="813" spans="151:198" ht="16.5" x14ac:dyDescent="0.2">
      <c r="EU813" s="13">
        <v>808</v>
      </c>
      <c r="EV813" s="14">
        <f t="shared" si="742"/>
        <v>2</v>
      </c>
      <c r="EW813" s="14">
        <f t="shared" si="710"/>
        <v>373</v>
      </c>
      <c r="EX813" s="14">
        <f t="shared" si="743"/>
        <v>50</v>
      </c>
      <c r="EY813" s="14">
        <f t="shared" si="711"/>
        <v>30</v>
      </c>
      <c r="EZ813" s="14">
        <f t="shared" si="723"/>
        <v>21</v>
      </c>
      <c r="FA813" s="14">
        <f t="shared" si="724"/>
        <v>140</v>
      </c>
      <c r="FB813" s="14">
        <f t="shared" si="725"/>
        <v>3</v>
      </c>
      <c r="FC813" s="14">
        <f t="shared" si="726"/>
        <v>3</v>
      </c>
      <c r="FD813" s="14">
        <f t="shared" si="727"/>
        <v>3</v>
      </c>
      <c r="FE813" s="14" t="b">
        <f t="shared" si="744"/>
        <v>0</v>
      </c>
      <c r="FF813" s="14">
        <f t="shared" si="728"/>
        <v>2110303</v>
      </c>
      <c r="FG813" s="13" t="str">
        <f t="shared" si="729"/>
        <v>140级-精良守护灵の铠甲</v>
      </c>
      <c r="FH813" s="14">
        <f t="shared" si="730"/>
        <v>2</v>
      </c>
      <c r="FI813" s="14">
        <f t="shared" si="731"/>
        <v>3</v>
      </c>
      <c r="FJ813" s="14">
        <f t="shared" si="732"/>
        <v>140</v>
      </c>
      <c r="FK813" s="14">
        <v>374</v>
      </c>
      <c r="FL813" s="14">
        <f t="shared" si="733"/>
        <v>10</v>
      </c>
      <c r="FM813" s="14">
        <f t="shared" si="712"/>
        <v>3</v>
      </c>
      <c r="FN813" s="14" t="str">
        <f t="shared" si="734"/>
        <v/>
      </c>
      <c r="FO813" s="14">
        <f t="shared" si="713"/>
        <v>319</v>
      </c>
      <c r="FP813" s="14">
        <f t="shared" si="745"/>
        <v>0</v>
      </c>
      <c r="FQ813" s="14">
        <f t="shared" si="746"/>
        <v>210</v>
      </c>
      <c r="FR813" s="14">
        <f t="shared" si="747"/>
        <v>3990</v>
      </c>
      <c r="FS813" s="14">
        <f t="shared" si="748"/>
        <v>0</v>
      </c>
      <c r="FT813" s="14">
        <f t="shared" si="749"/>
        <v>11</v>
      </c>
      <c r="FU813" s="14">
        <f t="shared" si="750"/>
        <v>209</v>
      </c>
      <c r="FV813" s="14">
        <f t="shared" si="735"/>
        <v>2103</v>
      </c>
      <c r="FW813" s="14">
        <f t="shared" si="736"/>
        <v>5</v>
      </c>
      <c r="FX813" s="14">
        <f t="shared" si="737"/>
        <v>2103</v>
      </c>
      <c r="FY813" s="25" t="str">
        <f t="shared" si="751"/>
        <v>icon_2110103</v>
      </c>
      <c r="GC813" s="14">
        <f t="shared" si="738"/>
        <v>2</v>
      </c>
      <c r="GD813" s="14">
        <f t="shared" si="739"/>
        <v>3</v>
      </c>
      <c r="GE813" s="14">
        <f t="shared" si="714"/>
        <v>319</v>
      </c>
      <c r="GF813" s="14" t="str">
        <f t="shared" si="715"/>
        <v>DefExt</v>
      </c>
      <c r="GG813" s="14">
        <f t="shared" si="716"/>
        <v>210</v>
      </c>
      <c r="GH813" s="14">
        <f t="shared" si="717"/>
        <v>11</v>
      </c>
      <c r="GI813" s="14" t="str">
        <f t="shared" si="718"/>
        <v>HPExt</v>
      </c>
      <c r="GJ813" s="14">
        <f t="shared" si="719"/>
        <v>3990</v>
      </c>
      <c r="GK813" s="14">
        <f t="shared" si="720"/>
        <v>209</v>
      </c>
      <c r="GL813" s="14">
        <f t="shared" si="740"/>
        <v>21030</v>
      </c>
      <c r="GM813" s="14">
        <f t="shared" si="721"/>
        <v>5</v>
      </c>
      <c r="GN813" s="14">
        <f t="shared" si="722"/>
        <v>2103</v>
      </c>
      <c r="GO813" s="25" t="s">
        <v>1471</v>
      </c>
      <c r="GP813" s="14">
        <f t="shared" si="741"/>
        <v>300</v>
      </c>
    </row>
    <row r="814" spans="151:198" ht="16.5" x14ac:dyDescent="0.2">
      <c r="EU814" s="13">
        <v>809</v>
      </c>
      <c r="EV814" s="14">
        <f t="shared" si="742"/>
        <v>2</v>
      </c>
      <c r="EW814" s="14">
        <f t="shared" si="710"/>
        <v>374</v>
      </c>
      <c r="EX814" s="14">
        <f t="shared" si="743"/>
        <v>50</v>
      </c>
      <c r="EY814" s="14">
        <f t="shared" si="711"/>
        <v>30</v>
      </c>
      <c r="EZ814" s="14">
        <f t="shared" si="723"/>
        <v>21</v>
      </c>
      <c r="FA814" s="14">
        <f t="shared" si="724"/>
        <v>140</v>
      </c>
      <c r="FB814" s="14">
        <f t="shared" si="725"/>
        <v>3</v>
      </c>
      <c r="FC814" s="14">
        <f t="shared" si="726"/>
        <v>4</v>
      </c>
      <c r="FD814" s="14">
        <f t="shared" si="727"/>
        <v>4</v>
      </c>
      <c r="FE814" s="14" t="b">
        <f t="shared" si="744"/>
        <v>0</v>
      </c>
      <c r="FF814" s="14">
        <f t="shared" si="728"/>
        <v>2110304</v>
      </c>
      <c r="FG814" s="13" t="str">
        <f t="shared" si="729"/>
        <v>140级-精良守护灵の裤子</v>
      </c>
      <c r="FH814" s="14">
        <f t="shared" si="730"/>
        <v>2</v>
      </c>
      <c r="FI814" s="14">
        <f t="shared" si="731"/>
        <v>3</v>
      </c>
      <c r="FJ814" s="14">
        <f t="shared" si="732"/>
        <v>140</v>
      </c>
      <c r="FK814" s="14">
        <v>375</v>
      </c>
      <c r="FL814" s="14">
        <f t="shared" si="733"/>
        <v>10</v>
      </c>
      <c r="FM814" s="14">
        <f t="shared" si="712"/>
        <v>4</v>
      </c>
      <c r="FN814" s="14" t="str">
        <f t="shared" si="734"/>
        <v/>
      </c>
      <c r="FO814" s="14">
        <f t="shared" si="713"/>
        <v>220</v>
      </c>
      <c r="FP814" s="14">
        <f t="shared" si="745"/>
        <v>0</v>
      </c>
      <c r="FQ814" s="14">
        <f t="shared" si="746"/>
        <v>420</v>
      </c>
      <c r="FR814" s="14">
        <f t="shared" si="747"/>
        <v>0</v>
      </c>
      <c r="FS814" s="14">
        <f t="shared" si="748"/>
        <v>0</v>
      </c>
      <c r="FT814" s="14">
        <f t="shared" si="749"/>
        <v>22</v>
      </c>
      <c r="FU814" s="14">
        <f t="shared" si="750"/>
        <v>0</v>
      </c>
      <c r="FV814" s="14">
        <f t="shared" si="735"/>
        <v>2103</v>
      </c>
      <c r="FW814" s="14">
        <f t="shared" si="736"/>
        <v>5</v>
      </c>
      <c r="FX814" s="14">
        <f t="shared" si="737"/>
        <v>2103</v>
      </c>
      <c r="FY814" s="25" t="str">
        <f t="shared" si="751"/>
        <v>icon_2110104</v>
      </c>
      <c r="GC814" s="14">
        <f t="shared" si="738"/>
        <v>2</v>
      </c>
      <c r="GD814" s="14">
        <f t="shared" si="739"/>
        <v>0</v>
      </c>
      <c r="GE814" s="14">
        <f t="shared" si="714"/>
        <v>220</v>
      </c>
      <c r="GF814" s="14" t="str">
        <f t="shared" si="715"/>
        <v>DefExt</v>
      </c>
      <c r="GG814" s="14">
        <f t="shared" si="716"/>
        <v>420</v>
      </c>
      <c r="GH814" s="14">
        <f t="shared" si="717"/>
        <v>22</v>
      </c>
      <c r="GI814" s="14" t="str">
        <f t="shared" si="718"/>
        <v/>
      </c>
      <c r="GJ814" s="14" t="str">
        <f t="shared" si="719"/>
        <v/>
      </c>
      <c r="GK814" s="14" t="str">
        <f t="shared" si="720"/>
        <v/>
      </c>
      <c r="GL814" s="14">
        <f t="shared" si="740"/>
        <v>21030</v>
      </c>
      <c r="GM814" s="14">
        <f t="shared" si="721"/>
        <v>5</v>
      </c>
      <c r="GN814" s="14">
        <f t="shared" si="722"/>
        <v>2103</v>
      </c>
      <c r="GO814" s="25" t="s">
        <v>1471</v>
      </c>
      <c r="GP814" s="14">
        <f t="shared" si="741"/>
        <v>300</v>
      </c>
    </row>
    <row r="815" spans="151:198" ht="16.5" x14ac:dyDescent="0.2">
      <c r="EU815" s="13">
        <v>810</v>
      </c>
      <c r="EV815" s="14">
        <f t="shared" si="742"/>
        <v>2</v>
      </c>
      <c r="EW815" s="14">
        <f t="shared" si="710"/>
        <v>375</v>
      </c>
      <c r="EX815" s="14">
        <f t="shared" si="743"/>
        <v>50</v>
      </c>
      <c r="EY815" s="14">
        <f t="shared" si="711"/>
        <v>30</v>
      </c>
      <c r="EZ815" s="14">
        <f t="shared" si="723"/>
        <v>21</v>
      </c>
      <c r="FA815" s="14">
        <f t="shared" si="724"/>
        <v>140</v>
      </c>
      <c r="FB815" s="14">
        <f t="shared" si="725"/>
        <v>3</v>
      </c>
      <c r="FC815" s="14">
        <f t="shared" si="726"/>
        <v>5</v>
      </c>
      <c r="FD815" s="14">
        <f t="shared" si="727"/>
        <v>5</v>
      </c>
      <c r="FE815" s="14" t="b">
        <f t="shared" si="744"/>
        <v>0</v>
      </c>
      <c r="FF815" s="14">
        <f t="shared" si="728"/>
        <v>2110305</v>
      </c>
      <c r="FG815" s="13" t="str">
        <f t="shared" si="729"/>
        <v>140级-精良守护灵の鞋子</v>
      </c>
      <c r="FH815" s="14">
        <f t="shared" si="730"/>
        <v>2</v>
      </c>
      <c r="FI815" s="14">
        <f t="shared" si="731"/>
        <v>3</v>
      </c>
      <c r="FJ815" s="14">
        <f t="shared" si="732"/>
        <v>140</v>
      </c>
      <c r="FK815" s="14">
        <v>376</v>
      </c>
      <c r="FL815" s="14">
        <f t="shared" si="733"/>
        <v>10</v>
      </c>
      <c r="FM815" s="14">
        <f t="shared" si="712"/>
        <v>5</v>
      </c>
      <c r="FN815" s="14" t="str">
        <f t="shared" si="734"/>
        <v/>
      </c>
      <c r="FO815" s="14">
        <f t="shared" si="713"/>
        <v>418</v>
      </c>
      <c r="FP815" s="14">
        <f t="shared" si="745"/>
        <v>0</v>
      </c>
      <c r="FQ815" s="14">
        <f t="shared" si="746"/>
        <v>0</v>
      </c>
      <c r="FR815" s="14">
        <f t="shared" si="747"/>
        <v>7980</v>
      </c>
      <c r="FS815" s="14">
        <f t="shared" si="748"/>
        <v>0</v>
      </c>
      <c r="FT815" s="14">
        <f t="shared" si="749"/>
        <v>0</v>
      </c>
      <c r="FU815" s="14">
        <f t="shared" si="750"/>
        <v>418</v>
      </c>
      <c r="FV815" s="14">
        <f t="shared" si="735"/>
        <v>2103</v>
      </c>
      <c r="FW815" s="14">
        <f t="shared" si="736"/>
        <v>5</v>
      </c>
      <c r="FX815" s="14">
        <f t="shared" si="737"/>
        <v>2103</v>
      </c>
      <c r="FY815" s="25" t="str">
        <f t="shared" si="751"/>
        <v>icon_2110105</v>
      </c>
      <c r="GC815" s="14">
        <f t="shared" si="738"/>
        <v>3</v>
      </c>
      <c r="GD815" s="14">
        <f t="shared" si="739"/>
        <v>0</v>
      </c>
      <c r="GE815" s="14">
        <f t="shared" si="714"/>
        <v>418</v>
      </c>
      <c r="GF815" s="14" t="str">
        <f t="shared" si="715"/>
        <v>HPExt</v>
      </c>
      <c r="GG815" s="14">
        <f t="shared" si="716"/>
        <v>7980</v>
      </c>
      <c r="GH815" s="14">
        <f t="shared" si="717"/>
        <v>418</v>
      </c>
      <c r="GI815" s="14" t="str">
        <f t="shared" si="718"/>
        <v/>
      </c>
      <c r="GJ815" s="14" t="str">
        <f t="shared" si="719"/>
        <v/>
      </c>
      <c r="GK815" s="14" t="str">
        <f t="shared" si="720"/>
        <v/>
      </c>
      <c r="GL815" s="14">
        <f t="shared" si="740"/>
        <v>21030</v>
      </c>
      <c r="GM815" s="14">
        <f t="shared" si="721"/>
        <v>5</v>
      </c>
      <c r="GN815" s="14">
        <f t="shared" si="722"/>
        <v>2103</v>
      </c>
      <c r="GO815" s="25" t="s">
        <v>1471</v>
      </c>
      <c r="GP815" s="14">
        <f t="shared" si="741"/>
        <v>300</v>
      </c>
    </row>
    <row r="816" spans="151:198" ht="16.5" x14ac:dyDescent="0.2">
      <c r="EU816" s="13">
        <v>811</v>
      </c>
      <c r="EV816" s="14">
        <f t="shared" si="742"/>
        <v>2</v>
      </c>
      <c r="EW816" s="14">
        <f t="shared" si="710"/>
        <v>376</v>
      </c>
      <c r="EX816" s="14">
        <f t="shared" si="743"/>
        <v>50</v>
      </c>
      <c r="EY816" s="14">
        <f t="shared" si="711"/>
        <v>30</v>
      </c>
      <c r="EZ816" s="14">
        <f t="shared" si="723"/>
        <v>21</v>
      </c>
      <c r="FA816" s="14">
        <f t="shared" si="724"/>
        <v>140</v>
      </c>
      <c r="FB816" s="14">
        <f t="shared" si="725"/>
        <v>3</v>
      </c>
      <c r="FC816" s="14">
        <f t="shared" si="726"/>
        <v>6</v>
      </c>
      <c r="FD816" s="14">
        <f t="shared" si="727"/>
        <v>6</v>
      </c>
      <c r="FE816" s="14" t="b">
        <f t="shared" si="744"/>
        <v>0</v>
      </c>
      <c r="FF816" s="14">
        <f t="shared" si="728"/>
        <v>2110306</v>
      </c>
      <c r="FG816" s="13" t="str">
        <f t="shared" si="729"/>
        <v>140级-精良守护灵の护手</v>
      </c>
      <c r="FH816" s="14">
        <f t="shared" si="730"/>
        <v>2</v>
      </c>
      <c r="FI816" s="14">
        <f t="shared" si="731"/>
        <v>3</v>
      </c>
      <c r="FJ816" s="14">
        <f t="shared" si="732"/>
        <v>140</v>
      </c>
      <c r="FK816" s="14">
        <v>377</v>
      </c>
      <c r="FL816" s="14">
        <f t="shared" si="733"/>
        <v>10</v>
      </c>
      <c r="FM816" s="14">
        <f t="shared" si="712"/>
        <v>6</v>
      </c>
      <c r="FN816" s="14" t="str">
        <f t="shared" si="734"/>
        <v/>
      </c>
      <c r="FO816" s="14">
        <f t="shared" si="713"/>
        <v>418</v>
      </c>
      <c r="FP816" s="14">
        <f t="shared" si="745"/>
        <v>0</v>
      </c>
      <c r="FQ816" s="14">
        <f t="shared" si="746"/>
        <v>0</v>
      </c>
      <c r="FR816" s="14">
        <f t="shared" si="747"/>
        <v>7980</v>
      </c>
      <c r="FS816" s="14">
        <f t="shared" si="748"/>
        <v>0</v>
      </c>
      <c r="FT816" s="14">
        <f t="shared" si="749"/>
        <v>0</v>
      </c>
      <c r="FU816" s="14">
        <f t="shared" si="750"/>
        <v>418</v>
      </c>
      <c r="FV816" s="14">
        <f t="shared" si="735"/>
        <v>2103</v>
      </c>
      <c r="FW816" s="14">
        <f t="shared" si="736"/>
        <v>5</v>
      </c>
      <c r="FX816" s="14">
        <f t="shared" si="737"/>
        <v>2103</v>
      </c>
      <c r="FY816" s="25" t="str">
        <f t="shared" si="751"/>
        <v>icon_2110106</v>
      </c>
      <c r="GC816" s="14">
        <f t="shared" si="738"/>
        <v>3</v>
      </c>
      <c r="GD816" s="14">
        <f t="shared" si="739"/>
        <v>0</v>
      </c>
      <c r="GE816" s="14">
        <f t="shared" si="714"/>
        <v>418</v>
      </c>
      <c r="GF816" s="14" t="str">
        <f t="shared" si="715"/>
        <v>HPExt</v>
      </c>
      <c r="GG816" s="14">
        <f t="shared" si="716"/>
        <v>7980</v>
      </c>
      <c r="GH816" s="14">
        <f t="shared" si="717"/>
        <v>418</v>
      </c>
      <c r="GI816" s="14" t="str">
        <f t="shared" si="718"/>
        <v/>
      </c>
      <c r="GJ816" s="14" t="str">
        <f t="shared" si="719"/>
        <v/>
      </c>
      <c r="GK816" s="14" t="str">
        <f t="shared" si="720"/>
        <v/>
      </c>
      <c r="GL816" s="14">
        <f t="shared" si="740"/>
        <v>21030</v>
      </c>
      <c r="GM816" s="14">
        <f t="shared" si="721"/>
        <v>5</v>
      </c>
      <c r="GN816" s="14">
        <f t="shared" si="722"/>
        <v>2103</v>
      </c>
      <c r="GO816" s="25" t="s">
        <v>1471</v>
      </c>
      <c r="GP816" s="14">
        <f t="shared" si="741"/>
        <v>300</v>
      </c>
    </row>
    <row r="817" spans="151:198" ht="16.5" x14ac:dyDescent="0.2">
      <c r="EU817" s="13">
        <v>812</v>
      </c>
      <c r="EV817" s="14">
        <f t="shared" si="742"/>
        <v>2</v>
      </c>
      <c r="EW817" s="14">
        <f t="shared" si="710"/>
        <v>377</v>
      </c>
      <c r="EX817" s="14">
        <f t="shared" si="743"/>
        <v>50</v>
      </c>
      <c r="EY817" s="14">
        <f t="shared" si="711"/>
        <v>30</v>
      </c>
      <c r="EZ817" s="14">
        <f t="shared" si="723"/>
        <v>21</v>
      </c>
      <c r="FA817" s="14">
        <f t="shared" si="724"/>
        <v>140</v>
      </c>
      <c r="FB817" s="14">
        <f t="shared" si="725"/>
        <v>3</v>
      </c>
      <c r="FC817" s="14">
        <f t="shared" si="726"/>
        <v>7</v>
      </c>
      <c r="FD817" s="14">
        <f t="shared" si="727"/>
        <v>7</v>
      </c>
      <c r="FE817" s="14" t="b">
        <f t="shared" si="744"/>
        <v>0</v>
      </c>
      <c r="FF817" s="14">
        <f t="shared" si="728"/>
        <v>2110307</v>
      </c>
      <c r="FG817" s="13" t="str">
        <f t="shared" si="729"/>
        <v>140级-精良守护灵の项链</v>
      </c>
      <c r="FH817" s="14">
        <f t="shared" si="730"/>
        <v>2</v>
      </c>
      <c r="FI817" s="14">
        <f t="shared" si="731"/>
        <v>3</v>
      </c>
      <c r="FJ817" s="14">
        <f t="shared" si="732"/>
        <v>140</v>
      </c>
      <c r="FK817" s="14">
        <v>378</v>
      </c>
      <c r="FL817" s="14">
        <f t="shared" si="733"/>
        <v>10</v>
      </c>
      <c r="FM817" s="14">
        <f t="shared" si="712"/>
        <v>7</v>
      </c>
      <c r="FN817" s="14" t="str">
        <f t="shared" si="734"/>
        <v/>
      </c>
      <c r="FO817" s="14">
        <f t="shared" si="713"/>
        <v>325</v>
      </c>
      <c r="FP817" s="14">
        <f t="shared" si="745"/>
        <v>560</v>
      </c>
      <c r="FQ817" s="14">
        <f t="shared" si="746"/>
        <v>350</v>
      </c>
      <c r="FR817" s="14">
        <f t="shared" si="747"/>
        <v>0</v>
      </c>
      <c r="FS817" s="14">
        <f t="shared" si="748"/>
        <v>29</v>
      </c>
      <c r="FT817" s="14">
        <f t="shared" si="749"/>
        <v>18</v>
      </c>
      <c r="FU817" s="14">
        <f t="shared" si="750"/>
        <v>0</v>
      </c>
      <c r="FV817" s="14">
        <f t="shared" si="735"/>
        <v>2103</v>
      </c>
      <c r="FW817" s="14">
        <f t="shared" si="736"/>
        <v>5</v>
      </c>
      <c r="FX817" s="14">
        <f t="shared" si="737"/>
        <v>2103</v>
      </c>
      <c r="FY817" s="25" t="str">
        <f t="shared" si="751"/>
        <v>icon_2110107</v>
      </c>
      <c r="GC817" s="14">
        <f t="shared" si="738"/>
        <v>1</v>
      </c>
      <c r="GD817" s="14">
        <f t="shared" si="739"/>
        <v>2</v>
      </c>
      <c r="GE817" s="14">
        <f t="shared" si="714"/>
        <v>325</v>
      </c>
      <c r="GF817" s="14" t="str">
        <f t="shared" si="715"/>
        <v>AtkExt</v>
      </c>
      <c r="GG817" s="14">
        <f t="shared" si="716"/>
        <v>560</v>
      </c>
      <c r="GH817" s="14">
        <f t="shared" si="717"/>
        <v>29</v>
      </c>
      <c r="GI817" s="14" t="str">
        <f t="shared" si="718"/>
        <v>DefExt</v>
      </c>
      <c r="GJ817" s="14">
        <f t="shared" si="719"/>
        <v>350</v>
      </c>
      <c r="GK817" s="14">
        <f t="shared" si="720"/>
        <v>18</v>
      </c>
      <c r="GL817" s="14">
        <f t="shared" si="740"/>
        <v>21030</v>
      </c>
      <c r="GM817" s="14">
        <f t="shared" si="721"/>
        <v>5</v>
      </c>
      <c r="GN817" s="14">
        <f t="shared" si="722"/>
        <v>2103</v>
      </c>
      <c r="GO817" s="25" t="s">
        <v>1471</v>
      </c>
      <c r="GP817" s="14">
        <f t="shared" si="741"/>
        <v>450</v>
      </c>
    </row>
    <row r="818" spans="151:198" ht="16.5" x14ac:dyDescent="0.2">
      <c r="EU818" s="13">
        <v>813</v>
      </c>
      <c r="EV818" s="14">
        <f t="shared" si="742"/>
        <v>2</v>
      </c>
      <c r="EW818" s="14">
        <f t="shared" si="710"/>
        <v>378</v>
      </c>
      <c r="EX818" s="14">
        <f t="shared" si="743"/>
        <v>50</v>
      </c>
      <c r="EY818" s="14">
        <f t="shared" si="711"/>
        <v>30</v>
      </c>
      <c r="EZ818" s="14">
        <f t="shared" si="723"/>
        <v>21</v>
      </c>
      <c r="FA818" s="14">
        <f t="shared" si="724"/>
        <v>140</v>
      </c>
      <c r="FB818" s="14">
        <f t="shared" si="725"/>
        <v>3</v>
      </c>
      <c r="FC818" s="14">
        <f t="shared" si="726"/>
        <v>8</v>
      </c>
      <c r="FD818" s="14">
        <f t="shared" si="727"/>
        <v>8</v>
      </c>
      <c r="FE818" s="14" t="b">
        <f t="shared" si="744"/>
        <v>0</v>
      </c>
      <c r="FF818" s="14">
        <f t="shared" si="728"/>
        <v>2110308</v>
      </c>
      <c r="FG818" s="13" t="str">
        <f t="shared" si="729"/>
        <v>140级-精良守护灵の戒指</v>
      </c>
      <c r="FH818" s="14">
        <f t="shared" si="730"/>
        <v>2</v>
      </c>
      <c r="FI818" s="14">
        <f t="shared" si="731"/>
        <v>3</v>
      </c>
      <c r="FJ818" s="14">
        <f t="shared" si="732"/>
        <v>140</v>
      </c>
      <c r="FK818" s="14">
        <v>379</v>
      </c>
      <c r="FL818" s="14">
        <f t="shared" si="733"/>
        <v>10</v>
      </c>
      <c r="FM818" s="14">
        <f t="shared" si="712"/>
        <v>8</v>
      </c>
      <c r="FN818" s="14" t="str">
        <f t="shared" si="734"/>
        <v/>
      </c>
      <c r="FO818" s="14">
        <f t="shared" si="713"/>
        <v>493</v>
      </c>
      <c r="FP818" s="14">
        <f t="shared" si="745"/>
        <v>560</v>
      </c>
      <c r="FQ818" s="14">
        <f t="shared" si="746"/>
        <v>0</v>
      </c>
      <c r="FR818" s="14">
        <f t="shared" si="747"/>
        <v>6650</v>
      </c>
      <c r="FS818" s="14">
        <f t="shared" si="748"/>
        <v>29</v>
      </c>
      <c r="FT818" s="14">
        <f t="shared" si="749"/>
        <v>0</v>
      </c>
      <c r="FU818" s="14">
        <f t="shared" si="750"/>
        <v>348</v>
      </c>
      <c r="FV818" s="14">
        <f t="shared" si="735"/>
        <v>2103</v>
      </c>
      <c r="FW818" s="14">
        <f t="shared" si="736"/>
        <v>5</v>
      </c>
      <c r="FX818" s="14">
        <f t="shared" si="737"/>
        <v>2103</v>
      </c>
      <c r="FY818" s="25" t="str">
        <f t="shared" si="751"/>
        <v>icon_2110108</v>
      </c>
      <c r="GC818" s="14">
        <f t="shared" si="738"/>
        <v>1</v>
      </c>
      <c r="GD818" s="14">
        <f t="shared" si="739"/>
        <v>3</v>
      </c>
      <c r="GE818" s="14">
        <f t="shared" si="714"/>
        <v>493</v>
      </c>
      <c r="GF818" s="14" t="str">
        <f t="shared" si="715"/>
        <v>AtkExt</v>
      </c>
      <c r="GG818" s="14">
        <f t="shared" si="716"/>
        <v>560</v>
      </c>
      <c r="GH818" s="14">
        <f t="shared" si="717"/>
        <v>29</v>
      </c>
      <c r="GI818" s="14" t="str">
        <f t="shared" si="718"/>
        <v>HPExt</v>
      </c>
      <c r="GJ818" s="14">
        <f t="shared" si="719"/>
        <v>6650</v>
      </c>
      <c r="GK818" s="14">
        <f t="shared" si="720"/>
        <v>348</v>
      </c>
      <c r="GL818" s="14">
        <f t="shared" si="740"/>
        <v>21030</v>
      </c>
      <c r="GM818" s="14">
        <f t="shared" si="721"/>
        <v>5</v>
      </c>
      <c r="GN818" s="14">
        <f t="shared" si="722"/>
        <v>2103</v>
      </c>
      <c r="GO818" s="25" t="s">
        <v>1471</v>
      </c>
      <c r="GP818" s="14">
        <f t="shared" si="741"/>
        <v>450</v>
      </c>
    </row>
    <row r="819" spans="151:198" ht="16.5" x14ac:dyDescent="0.2">
      <c r="EU819" s="13">
        <v>814</v>
      </c>
      <c r="EV819" s="14">
        <f t="shared" si="742"/>
        <v>2</v>
      </c>
      <c r="EW819" s="14">
        <f t="shared" si="710"/>
        <v>379</v>
      </c>
      <c r="EX819" s="14">
        <f t="shared" si="743"/>
        <v>51</v>
      </c>
      <c r="EY819" s="14">
        <f t="shared" si="711"/>
        <v>40</v>
      </c>
      <c r="EZ819" s="14">
        <f t="shared" si="723"/>
        <v>21</v>
      </c>
      <c r="FA819" s="14">
        <f t="shared" si="724"/>
        <v>140</v>
      </c>
      <c r="FB819" s="14">
        <f t="shared" si="725"/>
        <v>4</v>
      </c>
      <c r="FC819" s="14">
        <f t="shared" si="726"/>
        <v>1</v>
      </c>
      <c r="FD819" s="14">
        <f t="shared" si="727"/>
        <v>1</v>
      </c>
      <c r="FE819" s="14" t="b">
        <f t="shared" si="744"/>
        <v>0</v>
      </c>
      <c r="FF819" s="14">
        <f t="shared" si="728"/>
        <v>2110401</v>
      </c>
      <c r="FG819" s="13" t="str">
        <f t="shared" si="729"/>
        <v>140级-史诗守护灵の灵器</v>
      </c>
      <c r="FH819" s="14">
        <f t="shared" si="730"/>
        <v>2</v>
      </c>
      <c r="FI819" s="14">
        <f t="shared" si="731"/>
        <v>4</v>
      </c>
      <c r="FJ819" s="14">
        <f t="shared" si="732"/>
        <v>140</v>
      </c>
      <c r="FK819" s="14">
        <v>380</v>
      </c>
      <c r="FL819" s="14">
        <f t="shared" si="733"/>
        <v>10</v>
      </c>
      <c r="FM819" s="14">
        <f t="shared" si="712"/>
        <v>1</v>
      </c>
      <c r="FN819" s="14" t="str">
        <f t="shared" si="734"/>
        <v/>
      </c>
      <c r="FO819" s="14">
        <f t="shared" si="713"/>
        <v>515</v>
      </c>
      <c r="FP819" s="14">
        <f t="shared" si="745"/>
        <v>1970</v>
      </c>
      <c r="FQ819" s="14">
        <f t="shared" si="746"/>
        <v>0</v>
      </c>
      <c r="FR819" s="14">
        <f t="shared" si="747"/>
        <v>0</v>
      </c>
      <c r="FS819" s="14">
        <f t="shared" si="748"/>
        <v>103</v>
      </c>
      <c r="FT819" s="14">
        <f t="shared" si="749"/>
        <v>0</v>
      </c>
      <c r="FU819" s="14">
        <f t="shared" si="750"/>
        <v>0</v>
      </c>
      <c r="FV819" s="14">
        <f t="shared" si="735"/>
        <v>2104</v>
      </c>
      <c r="FW819" s="14">
        <f t="shared" si="736"/>
        <v>6</v>
      </c>
      <c r="FX819" s="14">
        <f t="shared" si="737"/>
        <v>2104</v>
      </c>
      <c r="FY819" s="25" t="str">
        <f t="shared" si="751"/>
        <v>icon_2110101</v>
      </c>
      <c r="GC819" s="14">
        <f t="shared" si="738"/>
        <v>1</v>
      </c>
      <c r="GD819" s="14">
        <f t="shared" si="739"/>
        <v>0</v>
      </c>
      <c r="GE819" s="14">
        <f t="shared" si="714"/>
        <v>515</v>
      </c>
      <c r="GF819" s="14" t="str">
        <f t="shared" si="715"/>
        <v>AtkExt</v>
      </c>
      <c r="GG819" s="14">
        <f t="shared" si="716"/>
        <v>1970</v>
      </c>
      <c r="GH819" s="14">
        <f t="shared" si="717"/>
        <v>103</v>
      </c>
      <c r="GI819" s="14" t="str">
        <f t="shared" si="718"/>
        <v/>
      </c>
      <c r="GJ819" s="14" t="str">
        <f t="shared" si="719"/>
        <v/>
      </c>
      <c r="GK819" s="14" t="str">
        <f t="shared" si="720"/>
        <v/>
      </c>
      <c r="GL819" s="14">
        <f t="shared" si="740"/>
        <v>21040</v>
      </c>
      <c r="GM819" s="14">
        <f t="shared" si="721"/>
        <v>6</v>
      </c>
      <c r="GN819" s="14">
        <f t="shared" si="722"/>
        <v>2104</v>
      </c>
      <c r="GO819" s="25" t="s">
        <v>1471</v>
      </c>
      <c r="GP819" s="14">
        <f t="shared" si="741"/>
        <v>1200</v>
      </c>
    </row>
    <row r="820" spans="151:198" ht="16.5" x14ac:dyDescent="0.2">
      <c r="EU820" s="13">
        <v>815</v>
      </c>
      <c r="EV820" s="14">
        <f t="shared" si="742"/>
        <v>2</v>
      </c>
      <c r="EW820" s="14">
        <f t="shared" si="710"/>
        <v>380</v>
      </c>
      <c r="EX820" s="14">
        <f t="shared" si="743"/>
        <v>51</v>
      </c>
      <c r="EY820" s="14">
        <f t="shared" si="711"/>
        <v>40</v>
      </c>
      <c r="EZ820" s="14">
        <f t="shared" si="723"/>
        <v>21</v>
      </c>
      <c r="FA820" s="14">
        <f t="shared" si="724"/>
        <v>140</v>
      </c>
      <c r="FB820" s="14">
        <f t="shared" si="725"/>
        <v>4</v>
      </c>
      <c r="FC820" s="14">
        <f t="shared" si="726"/>
        <v>2</v>
      </c>
      <c r="FD820" s="14">
        <f t="shared" si="727"/>
        <v>2</v>
      </c>
      <c r="FE820" s="14" t="b">
        <f t="shared" si="744"/>
        <v>0</v>
      </c>
      <c r="FF820" s="14">
        <f t="shared" si="728"/>
        <v>2110402</v>
      </c>
      <c r="FG820" s="13" t="str">
        <f t="shared" si="729"/>
        <v>140级-史诗守护灵の头盔</v>
      </c>
      <c r="FH820" s="14">
        <f t="shared" si="730"/>
        <v>2</v>
      </c>
      <c r="FI820" s="14">
        <f t="shared" si="731"/>
        <v>4</v>
      </c>
      <c r="FJ820" s="14">
        <f t="shared" si="732"/>
        <v>140</v>
      </c>
      <c r="FK820" s="14">
        <v>381</v>
      </c>
      <c r="FL820" s="14">
        <f t="shared" si="733"/>
        <v>10</v>
      </c>
      <c r="FM820" s="14">
        <f t="shared" si="712"/>
        <v>2</v>
      </c>
      <c r="FN820" s="14" t="str">
        <f t="shared" si="734"/>
        <v/>
      </c>
      <c r="FO820" s="14">
        <f t="shared" si="713"/>
        <v>260</v>
      </c>
      <c r="FP820" s="14">
        <f t="shared" si="745"/>
        <v>0</v>
      </c>
      <c r="FQ820" s="14">
        <f t="shared" si="746"/>
        <v>495</v>
      </c>
      <c r="FR820" s="14">
        <f t="shared" si="747"/>
        <v>0</v>
      </c>
      <c r="FS820" s="14">
        <f t="shared" si="748"/>
        <v>0</v>
      </c>
      <c r="FT820" s="14">
        <f t="shared" si="749"/>
        <v>26</v>
      </c>
      <c r="FU820" s="14">
        <f t="shared" si="750"/>
        <v>0</v>
      </c>
      <c r="FV820" s="14">
        <f t="shared" si="735"/>
        <v>2104</v>
      </c>
      <c r="FW820" s="14">
        <f t="shared" si="736"/>
        <v>6</v>
      </c>
      <c r="FX820" s="14">
        <f t="shared" si="737"/>
        <v>2104</v>
      </c>
      <c r="FY820" s="25" t="str">
        <f t="shared" si="751"/>
        <v>icon_2110102</v>
      </c>
      <c r="GC820" s="14">
        <f t="shared" si="738"/>
        <v>2</v>
      </c>
      <c r="GD820" s="14">
        <f t="shared" si="739"/>
        <v>0</v>
      </c>
      <c r="GE820" s="14">
        <f t="shared" si="714"/>
        <v>260</v>
      </c>
      <c r="GF820" s="14" t="str">
        <f t="shared" si="715"/>
        <v>DefExt</v>
      </c>
      <c r="GG820" s="14">
        <f t="shared" si="716"/>
        <v>495</v>
      </c>
      <c r="GH820" s="14">
        <f t="shared" si="717"/>
        <v>26</v>
      </c>
      <c r="GI820" s="14" t="str">
        <f t="shared" si="718"/>
        <v/>
      </c>
      <c r="GJ820" s="14" t="str">
        <f t="shared" si="719"/>
        <v/>
      </c>
      <c r="GK820" s="14" t="str">
        <f t="shared" si="720"/>
        <v/>
      </c>
      <c r="GL820" s="14">
        <f t="shared" si="740"/>
        <v>21040</v>
      </c>
      <c r="GM820" s="14">
        <f t="shared" si="721"/>
        <v>6</v>
      </c>
      <c r="GN820" s="14">
        <f t="shared" si="722"/>
        <v>2104</v>
      </c>
      <c r="GO820" s="25" t="s">
        <v>1471</v>
      </c>
      <c r="GP820" s="14">
        <f t="shared" si="741"/>
        <v>600</v>
      </c>
    </row>
    <row r="821" spans="151:198" ht="16.5" x14ac:dyDescent="0.2">
      <c r="EU821" s="13">
        <v>816</v>
      </c>
      <c r="EV821" s="14">
        <f t="shared" si="742"/>
        <v>2</v>
      </c>
      <c r="EW821" s="14">
        <f t="shared" si="710"/>
        <v>381</v>
      </c>
      <c r="EX821" s="14">
        <f t="shared" si="743"/>
        <v>51</v>
      </c>
      <c r="EY821" s="14">
        <f t="shared" si="711"/>
        <v>40</v>
      </c>
      <c r="EZ821" s="14">
        <f t="shared" si="723"/>
        <v>21</v>
      </c>
      <c r="FA821" s="14">
        <f t="shared" si="724"/>
        <v>140</v>
      </c>
      <c r="FB821" s="14">
        <f t="shared" si="725"/>
        <v>4</v>
      </c>
      <c r="FC821" s="14">
        <f t="shared" si="726"/>
        <v>3</v>
      </c>
      <c r="FD821" s="14">
        <f t="shared" si="727"/>
        <v>3</v>
      </c>
      <c r="FE821" s="14" t="b">
        <f t="shared" si="744"/>
        <v>0</v>
      </c>
      <c r="FF821" s="14">
        <f t="shared" si="728"/>
        <v>2110403</v>
      </c>
      <c r="FG821" s="13" t="str">
        <f t="shared" si="729"/>
        <v>140级-史诗守护灵の铠甲</v>
      </c>
      <c r="FH821" s="14">
        <f t="shared" si="730"/>
        <v>2</v>
      </c>
      <c r="FI821" s="14">
        <f t="shared" si="731"/>
        <v>4</v>
      </c>
      <c r="FJ821" s="14">
        <f t="shared" si="732"/>
        <v>140</v>
      </c>
      <c r="FK821" s="14">
        <v>382</v>
      </c>
      <c r="FL821" s="14">
        <f t="shared" si="733"/>
        <v>10</v>
      </c>
      <c r="FM821" s="14">
        <f t="shared" si="712"/>
        <v>3</v>
      </c>
      <c r="FN821" s="14" t="str">
        <f t="shared" si="734"/>
        <v/>
      </c>
      <c r="FO821" s="14">
        <f t="shared" si="713"/>
        <v>376</v>
      </c>
      <c r="FP821" s="14">
        <f t="shared" si="745"/>
        <v>0</v>
      </c>
      <c r="FQ821" s="14">
        <f t="shared" si="746"/>
        <v>245</v>
      </c>
      <c r="FR821" s="14">
        <f t="shared" si="747"/>
        <v>4695</v>
      </c>
      <c r="FS821" s="14">
        <f t="shared" si="748"/>
        <v>0</v>
      </c>
      <c r="FT821" s="14">
        <f t="shared" si="749"/>
        <v>13</v>
      </c>
      <c r="FU821" s="14">
        <f t="shared" si="750"/>
        <v>246</v>
      </c>
      <c r="FV821" s="14">
        <f t="shared" si="735"/>
        <v>2104</v>
      </c>
      <c r="FW821" s="14">
        <f t="shared" si="736"/>
        <v>6</v>
      </c>
      <c r="FX821" s="14">
        <f t="shared" si="737"/>
        <v>2104</v>
      </c>
      <c r="FY821" s="25" t="str">
        <f t="shared" si="751"/>
        <v>icon_2110103</v>
      </c>
      <c r="GC821" s="14">
        <f t="shared" si="738"/>
        <v>2</v>
      </c>
      <c r="GD821" s="14">
        <f t="shared" si="739"/>
        <v>3</v>
      </c>
      <c r="GE821" s="14">
        <f t="shared" si="714"/>
        <v>376</v>
      </c>
      <c r="GF821" s="14" t="str">
        <f t="shared" si="715"/>
        <v>DefExt</v>
      </c>
      <c r="GG821" s="14">
        <f t="shared" si="716"/>
        <v>245</v>
      </c>
      <c r="GH821" s="14">
        <f t="shared" si="717"/>
        <v>13</v>
      </c>
      <c r="GI821" s="14" t="str">
        <f t="shared" si="718"/>
        <v>HPExt</v>
      </c>
      <c r="GJ821" s="14">
        <f t="shared" si="719"/>
        <v>4695</v>
      </c>
      <c r="GK821" s="14">
        <f t="shared" si="720"/>
        <v>246</v>
      </c>
      <c r="GL821" s="14">
        <f t="shared" si="740"/>
        <v>21040</v>
      </c>
      <c r="GM821" s="14">
        <f t="shared" si="721"/>
        <v>6</v>
      </c>
      <c r="GN821" s="14">
        <f t="shared" si="722"/>
        <v>2104</v>
      </c>
      <c r="GO821" s="25" t="s">
        <v>1471</v>
      </c>
      <c r="GP821" s="14">
        <f t="shared" si="741"/>
        <v>600</v>
      </c>
    </row>
    <row r="822" spans="151:198" ht="16.5" x14ac:dyDescent="0.2">
      <c r="EU822" s="13">
        <v>817</v>
      </c>
      <c r="EV822" s="14">
        <f t="shared" si="742"/>
        <v>2</v>
      </c>
      <c r="EW822" s="14">
        <f t="shared" si="710"/>
        <v>382</v>
      </c>
      <c r="EX822" s="14">
        <f t="shared" si="743"/>
        <v>51</v>
      </c>
      <c r="EY822" s="14">
        <f t="shared" si="711"/>
        <v>40</v>
      </c>
      <c r="EZ822" s="14">
        <f t="shared" si="723"/>
        <v>21</v>
      </c>
      <c r="FA822" s="14">
        <f t="shared" si="724"/>
        <v>140</v>
      </c>
      <c r="FB822" s="14">
        <f t="shared" si="725"/>
        <v>4</v>
      </c>
      <c r="FC822" s="14">
        <f t="shared" si="726"/>
        <v>4</v>
      </c>
      <c r="FD822" s="14">
        <f t="shared" si="727"/>
        <v>4</v>
      </c>
      <c r="FE822" s="14" t="b">
        <f t="shared" si="744"/>
        <v>0</v>
      </c>
      <c r="FF822" s="14">
        <f t="shared" si="728"/>
        <v>2110404</v>
      </c>
      <c r="FG822" s="13" t="str">
        <f t="shared" si="729"/>
        <v>140级-史诗守护灵の裤子</v>
      </c>
      <c r="FH822" s="14">
        <f t="shared" si="730"/>
        <v>2</v>
      </c>
      <c r="FI822" s="14">
        <f t="shared" si="731"/>
        <v>4</v>
      </c>
      <c r="FJ822" s="14">
        <f t="shared" si="732"/>
        <v>140</v>
      </c>
      <c r="FK822" s="14">
        <v>383</v>
      </c>
      <c r="FL822" s="14">
        <f t="shared" si="733"/>
        <v>10</v>
      </c>
      <c r="FM822" s="14">
        <f t="shared" si="712"/>
        <v>4</v>
      </c>
      <c r="FN822" s="14" t="str">
        <f t="shared" si="734"/>
        <v/>
      </c>
      <c r="FO822" s="14">
        <f t="shared" si="713"/>
        <v>260</v>
      </c>
      <c r="FP822" s="14">
        <f t="shared" si="745"/>
        <v>0</v>
      </c>
      <c r="FQ822" s="14">
        <f t="shared" si="746"/>
        <v>495</v>
      </c>
      <c r="FR822" s="14">
        <f t="shared" si="747"/>
        <v>0</v>
      </c>
      <c r="FS822" s="14">
        <f t="shared" si="748"/>
        <v>0</v>
      </c>
      <c r="FT822" s="14">
        <f t="shared" si="749"/>
        <v>26</v>
      </c>
      <c r="FU822" s="14">
        <f t="shared" si="750"/>
        <v>0</v>
      </c>
      <c r="FV822" s="14">
        <f t="shared" si="735"/>
        <v>2104</v>
      </c>
      <c r="FW822" s="14">
        <f t="shared" si="736"/>
        <v>6</v>
      </c>
      <c r="FX822" s="14">
        <f t="shared" si="737"/>
        <v>2104</v>
      </c>
      <c r="FY822" s="25" t="str">
        <f t="shared" si="751"/>
        <v>icon_2110104</v>
      </c>
      <c r="GC822" s="14">
        <f t="shared" si="738"/>
        <v>2</v>
      </c>
      <c r="GD822" s="14">
        <f t="shared" si="739"/>
        <v>0</v>
      </c>
      <c r="GE822" s="14">
        <f t="shared" si="714"/>
        <v>260</v>
      </c>
      <c r="GF822" s="14" t="str">
        <f t="shared" si="715"/>
        <v>DefExt</v>
      </c>
      <c r="GG822" s="14">
        <f t="shared" si="716"/>
        <v>495</v>
      </c>
      <c r="GH822" s="14">
        <f t="shared" si="717"/>
        <v>26</v>
      </c>
      <c r="GI822" s="14" t="str">
        <f t="shared" si="718"/>
        <v/>
      </c>
      <c r="GJ822" s="14" t="str">
        <f t="shared" si="719"/>
        <v/>
      </c>
      <c r="GK822" s="14" t="str">
        <f t="shared" si="720"/>
        <v/>
      </c>
      <c r="GL822" s="14">
        <f t="shared" si="740"/>
        <v>21040</v>
      </c>
      <c r="GM822" s="14">
        <f t="shared" si="721"/>
        <v>6</v>
      </c>
      <c r="GN822" s="14">
        <f t="shared" si="722"/>
        <v>2104</v>
      </c>
      <c r="GO822" s="25" t="s">
        <v>1471</v>
      </c>
      <c r="GP822" s="14">
        <f t="shared" si="741"/>
        <v>600</v>
      </c>
    </row>
    <row r="823" spans="151:198" ht="16.5" x14ac:dyDescent="0.2">
      <c r="EU823" s="13">
        <v>818</v>
      </c>
      <c r="EV823" s="14">
        <f t="shared" si="742"/>
        <v>2</v>
      </c>
      <c r="EW823" s="14">
        <f t="shared" si="710"/>
        <v>383</v>
      </c>
      <c r="EX823" s="14">
        <f t="shared" si="743"/>
        <v>51</v>
      </c>
      <c r="EY823" s="14">
        <f t="shared" si="711"/>
        <v>40</v>
      </c>
      <c r="EZ823" s="14">
        <f t="shared" si="723"/>
        <v>21</v>
      </c>
      <c r="FA823" s="14">
        <f t="shared" si="724"/>
        <v>140</v>
      </c>
      <c r="FB823" s="14">
        <f t="shared" si="725"/>
        <v>4</v>
      </c>
      <c r="FC823" s="14">
        <f t="shared" si="726"/>
        <v>5</v>
      </c>
      <c r="FD823" s="14">
        <f t="shared" si="727"/>
        <v>5</v>
      </c>
      <c r="FE823" s="14" t="b">
        <f t="shared" si="744"/>
        <v>0</v>
      </c>
      <c r="FF823" s="14">
        <f t="shared" si="728"/>
        <v>2110405</v>
      </c>
      <c r="FG823" s="13" t="str">
        <f t="shared" si="729"/>
        <v>140级-史诗守护灵の鞋子</v>
      </c>
      <c r="FH823" s="14">
        <f t="shared" si="730"/>
        <v>2</v>
      </c>
      <c r="FI823" s="14">
        <f t="shared" si="731"/>
        <v>4</v>
      </c>
      <c r="FJ823" s="14">
        <f t="shared" si="732"/>
        <v>140</v>
      </c>
      <c r="FK823" s="14">
        <v>384</v>
      </c>
      <c r="FL823" s="14">
        <f t="shared" si="733"/>
        <v>10</v>
      </c>
      <c r="FM823" s="14">
        <f t="shared" si="712"/>
        <v>5</v>
      </c>
      <c r="FN823" s="14" t="str">
        <f t="shared" si="734"/>
        <v/>
      </c>
      <c r="FO823" s="14">
        <f t="shared" si="713"/>
        <v>492</v>
      </c>
      <c r="FP823" s="14">
        <f t="shared" si="745"/>
        <v>0</v>
      </c>
      <c r="FQ823" s="14">
        <f t="shared" si="746"/>
        <v>0</v>
      </c>
      <c r="FR823" s="14">
        <f t="shared" si="747"/>
        <v>9390</v>
      </c>
      <c r="FS823" s="14">
        <f t="shared" si="748"/>
        <v>0</v>
      </c>
      <c r="FT823" s="14">
        <f t="shared" si="749"/>
        <v>0</v>
      </c>
      <c r="FU823" s="14">
        <f t="shared" si="750"/>
        <v>492</v>
      </c>
      <c r="FV823" s="14">
        <f t="shared" si="735"/>
        <v>2104</v>
      </c>
      <c r="FW823" s="14">
        <f t="shared" si="736"/>
        <v>6</v>
      </c>
      <c r="FX823" s="14">
        <f t="shared" si="737"/>
        <v>2104</v>
      </c>
      <c r="FY823" s="25" t="str">
        <f t="shared" si="751"/>
        <v>icon_2110105</v>
      </c>
      <c r="GC823" s="14">
        <f t="shared" si="738"/>
        <v>3</v>
      </c>
      <c r="GD823" s="14">
        <f t="shared" si="739"/>
        <v>0</v>
      </c>
      <c r="GE823" s="14">
        <f t="shared" si="714"/>
        <v>492</v>
      </c>
      <c r="GF823" s="14" t="str">
        <f t="shared" si="715"/>
        <v>HPExt</v>
      </c>
      <c r="GG823" s="14">
        <f t="shared" si="716"/>
        <v>9390</v>
      </c>
      <c r="GH823" s="14">
        <f t="shared" si="717"/>
        <v>492</v>
      </c>
      <c r="GI823" s="14" t="str">
        <f t="shared" si="718"/>
        <v/>
      </c>
      <c r="GJ823" s="14" t="str">
        <f t="shared" si="719"/>
        <v/>
      </c>
      <c r="GK823" s="14" t="str">
        <f t="shared" si="720"/>
        <v/>
      </c>
      <c r="GL823" s="14">
        <f t="shared" si="740"/>
        <v>21040</v>
      </c>
      <c r="GM823" s="14">
        <f t="shared" si="721"/>
        <v>6</v>
      </c>
      <c r="GN823" s="14">
        <f t="shared" si="722"/>
        <v>2104</v>
      </c>
      <c r="GO823" s="25" t="s">
        <v>1471</v>
      </c>
      <c r="GP823" s="14">
        <f t="shared" si="741"/>
        <v>600</v>
      </c>
    </row>
    <row r="824" spans="151:198" ht="16.5" x14ac:dyDescent="0.2">
      <c r="EU824" s="13">
        <v>819</v>
      </c>
      <c r="EV824" s="14">
        <f t="shared" si="742"/>
        <v>2</v>
      </c>
      <c r="EW824" s="14">
        <f t="shared" si="710"/>
        <v>384</v>
      </c>
      <c r="EX824" s="14">
        <f t="shared" si="743"/>
        <v>51</v>
      </c>
      <c r="EY824" s="14">
        <f t="shared" si="711"/>
        <v>40</v>
      </c>
      <c r="EZ824" s="14">
        <f t="shared" si="723"/>
        <v>21</v>
      </c>
      <c r="FA824" s="14">
        <f t="shared" si="724"/>
        <v>140</v>
      </c>
      <c r="FB824" s="14">
        <f t="shared" si="725"/>
        <v>4</v>
      </c>
      <c r="FC824" s="14">
        <f t="shared" si="726"/>
        <v>6</v>
      </c>
      <c r="FD824" s="14">
        <f t="shared" si="727"/>
        <v>6</v>
      </c>
      <c r="FE824" s="14" t="b">
        <f t="shared" si="744"/>
        <v>0</v>
      </c>
      <c r="FF824" s="14">
        <f t="shared" si="728"/>
        <v>2110406</v>
      </c>
      <c r="FG824" s="13" t="str">
        <f t="shared" si="729"/>
        <v>140级-史诗守护灵の护手</v>
      </c>
      <c r="FH824" s="14">
        <f t="shared" si="730"/>
        <v>2</v>
      </c>
      <c r="FI824" s="14">
        <f t="shared" si="731"/>
        <v>4</v>
      </c>
      <c r="FJ824" s="14">
        <f t="shared" si="732"/>
        <v>140</v>
      </c>
      <c r="FK824" s="14">
        <v>385</v>
      </c>
      <c r="FL824" s="14">
        <f t="shared" si="733"/>
        <v>10</v>
      </c>
      <c r="FM824" s="14">
        <f t="shared" si="712"/>
        <v>6</v>
      </c>
      <c r="FN824" s="14" t="str">
        <f t="shared" si="734"/>
        <v/>
      </c>
      <c r="FO824" s="14">
        <f t="shared" si="713"/>
        <v>492</v>
      </c>
      <c r="FP824" s="14">
        <f t="shared" si="745"/>
        <v>0</v>
      </c>
      <c r="FQ824" s="14">
        <f t="shared" si="746"/>
        <v>0</v>
      </c>
      <c r="FR824" s="14">
        <f t="shared" si="747"/>
        <v>9390</v>
      </c>
      <c r="FS824" s="14">
        <f t="shared" si="748"/>
        <v>0</v>
      </c>
      <c r="FT824" s="14">
        <f t="shared" si="749"/>
        <v>0</v>
      </c>
      <c r="FU824" s="14">
        <f t="shared" si="750"/>
        <v>492</v>
      </c>
      <c r="FV824" s="14">
        <f t="shared" si="735"/>
        <v>2104</v>
      </c>
      <c r="FW824" s="14">
        <f t="shared" si="736"/>
        <v>6</v>
      </c>
      <c r="FX824" s="14">
        <f t="shared" si="737"/>
        <v>2104</v>
      </c>
      <c r="FY824" s="25" t="str">
        <f t="shared" si="751"/>
        <v>icon_2110106</v>
      </c>
      <c r="GC824" s="14">
        <f t="shared" si="738"/>
        <v>3</v>
      </c>
      <c r="GD824" s="14">
        <f t="shared" si="739"/>
        <v>0</v>
      </c>
      <c r="GE824" s="14">
        <f t="shared" si="714"/>
        <v>492</v>
      </c>
      <c r="GF824" s="14" t="str">
        <f t="shared" si="715"/>
        <v>HPExt</v>
      </c>
      <c r="GG824" s="14">
        <f t="shared" si="716"/>
        <v>9390</v>
      </c>
      <c r="GH824" s="14">
        <f t="shared" si="717"/>
        <v>492</v>
      </c>
      <c r="GI824" s="14" t="str">
        <f t="shared" si="718"/>
        <v/>
      </c>
      <c r="GJ824" s="14" t="str">
        <f t="shared" si="719"/>
        <v/>
      </c>
      <c r="GK824" s="14" t="str">
        <f t="shared" si="720"/>
        <v/>
      </c>
      <c r="GL824" s="14">
        <f t="shared" si="740"/>
        <v>21040</v>
      </c>
      <c r="GM824" s="14">
        <f t="shared" si="721"/>
        <v>6</v>
      </c>
      <c r="GN824" s="14">
        <f t="shared" si="722"/>
        <v>2104</v>
      </c>
      <c r="GO824" s="25" t="s">
        <v>1471</v>
      </c>
      <c r="GP824" s="14">
        <f t="shared" si="741"/>
        <v>600</v>
      </c>
    </row>
    <row r="825" spans="151:198" ht="16.5" x14ac:dyDescent="0.2">
      <c r="EU825" s="13">
        <v>820</v>
      </c>
      <c r="EV825" s="14">
        <f t="shared" si="742"/>
        <v>2</v>
      </c>
      <c r="EW825" s="14">
        <f t="shared" ref="EW825:EW875" si="752">MOD(EU825-1,$EV$3)+1</f>
        <v>385</v>
      </c>
      <c r="EX825" s="14">
        <f t="shared" si="743"/>
        <v>51</v>
      </c>
      <c r="EY825" s="14">
        <f t="shared" ref="EY825:EY875" si="753">INDEX($AK$7:$AK$64,EX825)</f>
        <v>40</v>
      </c>
      <c r="EZ825" s="14">
        <f t="shared" si="723"/>
        <v>21</v>
      </c>
      <c r="FA825" s="14">
        <f t="shared" si="724"/>
        <v>140</v>
      </c>
      <c r="FB825" s="14">
        <f t="shared" si="725"/>
        <v>4</v>
      </c>
      <c r="FC825" s="14">
        <f t="shared" si="726"/>
        <v>7</v>
      </c>
      <c r="FD825" s="14">
        <f t="shared" si="727"/>
        <v>7</v>
      </c>
      <c r="FE825" s="14" t="b">
        <f t="shared" si="744"/>
        <v>0</v>
      </c>
      <c r="FF825" s="14">
        <f t="shared" si="728"/>
        <v>2110407</v>
      </c>
      <c r="FG825" s="13" t="str">
        <f t="shared" si="729"/>
        <v>140级-史诗守护灵の项链</v>
      </c>
      <c r="FH825" s="14">
        <f t="shared" si="730"/>
        <v>2</v>
      </c>
      <c r="FI825" s="14">
        <f t="shared" si="731"/>
        <v>4</v>
      </c>
      <c r="FJ825" s="14">
        <f t="shared" si="732"/>
        <v>140</v>
      </c>
      <c r="FK825" s="14">
        <v>386</v>
      </c>
      <c r="FL825" s="14">
        <f t="shared" si="733"/>
        <v>10</v>
      </c>
      <c r="FM825" s="14">
        <f t="shared" ref="FM825:FM875" si="754">FD825</f>
        <v>7</v>
      </c>
      <c r="FN825" s="14" t="str">
        <f t="shared" si="734"/>
        <v/>
      </c>
      <c r="FO825" s="14">
        <f t="shared" ref="FO825:FO875" si="755">INT(SUMPRODUCT($FS$3:$FU$3,FS825:FU825)*IF(FN825="",1,1.5))</f>
        <v>390</v>
      </c>
      <c r="FP825" s="14">
        <f t="shared" si="745"/>
        <v>655</v>
      </c>
      <c r="FQ825" s="14">
        <f t="shared" si="746"/>
        <v>410</v>
      </c>
      <c r="FR825" s="14">
        <f t="shared" si="747"/>
        <v>0</v>
      </c>
      <c r="FS825" s="14">
        <f t="shared" si="748"/>
        <v>34</v>
      </c>
      <c r="FT825" s="14">
        <f t="shared" si="749"/>
        <v>22</v>
      </c>
      <c r="FU825" s="14">
        <f t="shared" si="750"/>
        <v>0</v>
      </c>
      <c r="FV825" s="14">
        <f t="shared" si="735"/>
        <v>2104</v>
      </c>
      <c r="FW825" s="14">
        <f t="shared" si="736"/>
        <v>6</v>
      </c>
      <c r="FX825" s="14">
        <f t="shared" si="737"/>
        <v>2104</v>
      </c>
      <c r="FY825" s="25" t="str">
        <f t="shared" si="751"/>
        <v>icon_2110107</v>
      </c>
      <c r="GC825" s="14">
        <f t="shared" si="738"/>
        <v>1</v>
      </c>
      <c r="GD825" s="14">
        <f t="shared" si="739"/>
        <v>2</v>
      </c>
      <c r="GE825" s="14">
        <f t="shared" ref="GE825:GE875" si="756">FO825</f>
        <v>390</v>
      </c>
      <c r="GF825" s="14" t="str">
        <f t="shared" ref="GF825:GF875" si="757">INDEX($BH$3:$BJ$3,GC825)</f>
        <v>AtkExt</v>
      </c>
      <c r="GG825" s="14">
        <f t="shared" ref="GG825:GG875" si="758">INDEX(FP825:FR825,GC825)</f>
        <v>655</v>
      </c>
      <c r="GH825" s="14">
        <f t="shared" ref="GH825:GH875" si="759">INDEX(FS825:FU825,GC825)</f>
        <v>34</v>
      </c>
      <c r="GI825" s="14" t="str">
        <f t="shared" ref="GI825:GI875" si="760">IF(GD825&gt;0,INDEX($BH$3:$BJ$3,GD825),"")</f>
        <v>DefExt</v>
      </c>
      <c r="GJ825" s="14">
        <f t="shared" ref="GJ825:GJ875" si="761">IF(GD825&gt;0,INDEX(FP825:FR825,GD825),"")</f>
        <v>410</v>
      </c>
      <c r="GK825" s="14">
        <f t="shared" ref="GK825:GK875" si="762">IF(GD825&gt;0,INDEX(FS825:FU825,GD825),"")</f>
        <v>22</v>
      </c>
      <c r="GL825" s="14">
        <f t="shared" si="740"/>
        <v>21040</v>
      </c>
      <c r="GM825" s="14">
        <f t="shared" ref="GM825:GM875" si="763">FW825</f>
        <v>6</v>
      </c>
      <c r="GN825" s="14">
        <f t="shared" ref="GN825:GN875" si="764">FX825</f>
        <v>2104</v>
      </c>
      <c r="GO825" s="25" t="s">
        <v>1471</v>
      </c>
      <c r="GP825" s="14">
        <f t="shared" si="741"/>
        <v>900</v>
      </c>
    </row>
    <row r="826" spans="151:198" ht="16.5" x14ac:dyDescent="0.2">
      <c r="EU826" s="13">
        <v>821</v>
      </c>
      <c r="EV826" s="14">
        <f t="shared" si="742"/>
        <v>2</v>
      </c>
      <c r="EW826" s="14">
        <f t="shared" si="752"/>
        <v>386</v>
      </c>
      <c r="EX826" s="14">
        <f t="shared" si="743"/>
        <v>51</v>
      </c>
      <c r="EY826" s="14">
        <f t="shared" si="753"/>
        <v>40</v>
      </c>
      <c r="EZ826" s="14">
        <f t="shared" si="723"/>
        <v>21</v>
      </c>
      <c r="FA826" s="14">
        <f t="shared" si="724"/>
        <v>140</v>
      </c>
      <c r="FB826" s="14">
        <f t="shared" si="725"/>
        <v>4</v>
      </c>
      <c r="FC826" s="14">
        <f t="shared" si="726"/>
        <v>8</v>
      </c>
      <c r="FD826" s="14">
        <f t="shared" si="727"/>
        <v>8</v>
      </c>
      <c r="FE826" s="14" t="b">
        <f t="shared" si="744"/>
        <v>0</v>
      </c>
      <c r="FF826" s="14">
        <f t="shared" si="728"/>
        <v>2110408</v>
      </c>
      <c r="FG826" s="13" t="str">
        <f t="shared" si="729"/>
        <v>140级-史诗守护灵の戒指</v>
      </c>
      <c r="FH826" s="14">
        <f t="shared" si="730"/>
        <v>2</v>
      </c>
      <c r="FI826" s="14">
        <f t="shared" si="731"/>
        <v>4</v>
      </c>
      <c r="FJ826" s="14">
        <f t="shared" si="732"/>
        <v>140</v>
      </c>
      <c r="FK826" s="14">
        <v>387</v>
      </c>
      <c r="FL826" s="14">
        <f t="shared" si="733"/>
        <v>10</v>
      </c>
      <c r="FM826" s="14">
        <f t="shared" si="754"/>
        <v>8</v>
      </c>
      <c r="FN826" s="14" t="str">
        <f t="shared" si="734"/>
        <v/>
      </c>
      <c r="FO826" s="14">
        <f t="shared" si="755"/>
        <v>580</v>
      </c>
      <c r="FP826" s="14">
        <f t="shared" si="745"/>
        <v>655</v>
      </c>
      <c r="FQ826" s="14">
        <f t="shared" si="746"/>
        <v>0</v>
      </c>
      <c r="FR826" s="14">
        <f t="shared" si="747"/>
        <v>7825</v>
      </c>
      <c r="FS826" s="14">
        <f t="shared" si="748"/>
        <v>34</v>
      </c>
      <c r="FT826" s="14">
        <f t="shared" si="749"/>
        <v>0</v>
      </c>
      <c r="FU826" s="14">
        <f t="shared" si="750"/>
        <v>410</v>
      </c>
      <c r="FV826" s="14">
        <f t="shared" si="735"/>
        <v>2104</v>
      </c>
      <c r="FW826" s="14">
        <f t="shared" si="736"/>
        <v>6</v>
      </c>
      <c r="FX826" s="14">
        <f t="shared" si="737"/>
        <v>2104</v>
      </c>
      <c r="FY826" s="25" t="str">
        <f t="shared" si="751"/>
        <v>icon_2110108</v>
      </c>
      <c r="GC826" s="14">
        <f t="shared" si="738"/>
        <v>1</v>
      </c>
      <c r="GD826" s="14">
        <f t="shared" si="739"/>
        <v>3</v>
      </c>
      <c r="GE826" s="14">
        <f t="shared" si="756"/>
        <v>580</v>
      </c>
      <c r="GF826" s="14" t="str">
        <f t="shared" si="757"/>
        <v>AtkExt</v>
      </c>
      <c r="GG826" s="14">
        <f t="shared" si="758"/>
        <v>655</v>
      </c>
      <c r="GH826" s="14">
        <f t="shared" si="759"/>
        <v>34</v>
      </c>
      <c r="GI826" s="14" t="str">
        <f t="shared" si="760"/>
        <v>HPExt</v>
      </c>
      <c r="GJ826" s="14">
        <f t="shared" si="761"/>
        <v>7825</v>
      </c>
      <c r="GK826" s="14">
        <f t="shared" si="762"/>
        <v>410</v>
      </c>
      <c r="GL826" s="14">
        <f t="shared" si="740"/>
        <v>21040</v>
      </c>
      <c r="GM826" s="14">
        <f t="shared" si="763"/>
        <v>6</v>
      </c>
      <c r="GN826" s="14">
        <f t="shared" si="764"/>
        <v>2104</v>
      </c>
      <c r="GO826" s="25" t="s">
        <v>1471</v>
      </c>
      <c r="GP826" s="14">
        <f t="shared" si="741"/>
        <v>900</v>
      </c>
    </row>
    <row r="827" spans="151:198" ht="16.5" x14ac:dyDescent="0.2">
      <c r="EU827" s="13">
        <v>822</v>
      </c>
      <c r="EV827" s="14">
        <f t="shared" si="742"/>
        <v>2</v>
      </c>
      <c r="EW827" s="14">
        <f t="shared" si="752"/>
        <v>387</v>
      </c>
      <c r="EX827" s="14">
        <f t="shared" si="743"/>
        <v>52</v>
      </c>
      <c r="EY827" s="14">
        <f t="shared" si="753"/>
        <v>41</v>
      </c>
      <c r="EZ827" s="14">
        <f t="shared" si="723"/>
        <v>21</v>
      </c>
      <c r="FA827" s="14">
        <f t="shared" si="724"/>
        <v>140</v>
      </c>
      <c r="FB827" s="14">
        <f t="shared" si="725"/>
        <v>4</v>
      </c>
      <c r="FC827" s="14">
        <f t="shared" si="726"/>
        <v>1</v>
      </c>
      <c r="FD827" s="14">
        <f t="shared" si="727"/>
        <v>1</v>
      </c>
      <c r="FE827" s="14" t="b">
        <f t="shared" si="744"/>
        <v>1</v>
      </c>
      <c r="FF827" s="14">
        <f t="shared" si="728"/>
        <v>2110411</v>
      </c>
      <c r="FG827" s="13" t="str">
        <f t="shared" si="729"/>
        <v>140级-攻击套守护灵の灵器</v>
      </c>
      <c r="FH827" s="14">
        <f t="shared" si="730"/>
        <v>2</v>
      </c>
      <c r="FI827" s="14">
        <f t="shared" si="731"/>
        <v>4</v>
      </c>
      <c r="FJ827" s="14">
        <f t="shared" si="732"/>
        <v>140</v>
      </c>
      <c r="FK827" s="14">
        <v>388</v>
      </c>
      <c r="FL827" s="14">
        <f t="shared" si="733"/>
        <v>10</v>
      </c>
      <c r="FM827" s="14">
        <f t="shared" si="754"/>
        <v>1</v>
      </c>
      <c r="FN827" s="14">
        <f t="shared" si="734"/>
        <v>211041</v>
      </c>
      <c r="FO827" s="14">
        <f t="shared" si="755"/>
        <v>772</v>
      </c>
      <c r="FP827" s="14">
        <f t="shared" si="745"/>
        <v>1970</v>
      </c>
      <c r="FQ827" s="14">
        <f t="shared" si="746"/>
        <v>0</v>
      </c>
      <c r="FR827" s="14">
        <f t="shared" si="747"/>
        <v>0</v>
      </c>
      <c r="FS827" s="14">
        <f t="shared" si="748"/>
        <v>103</v>
      </c>
      <c r="FT827" s="14">
        <f t="shared" si="749"/>
        <v>0</v>
      </c>
      <c r="FU827" s="14">
        <f t="shared" si="750"/>
        <v>0</v>
      </c>
      <c r="FV827" s="14">
        <f t="shared" si="735"/>
        <v>2104</v>
      </c>
      <c r="FW827" s="14">
        <f t="shared" si="736"/>
        <v>6</v>
      </c>
      <c r="FX827" s="14">
        <f t="shared" si="737"/>
        <v>2104</v>
      </c>
      <c r="FY827" s="25" t="str">
        <f t="shared" si="751"/>
        <v>icon_2110411</v>
      </c>
      <c r="GC827" s="14">
        <f t="shared" si="738"/>
        <v>1</v>
      </c>
      <c r="GD827" s="14">
        <f t="shared" si="739"/>
        <v>0</v>
      </c>
      <c r="GE827" s="14">
        <f t="shared" si="756"/>
        <v>772</v>
      </c>
      <c r="GF827" s="14" t="str">
        <f t="shared" si="757"/>
        <v>AtkExt</v>
      </c>
      <c r="GG827" s="14">
        <f t="shared" si="758"/>
        <v>1970</v>
      </c>
      <c r="GH827" s="14">
        <f t="shared" si="759"/>
        <v>103</v>
      </c>
      <c r="GI827" s="14" t="str">
        <f t="shared" si="760"/>
        <v/>
      </c>
      <c r="GJ827" s="14" t="str">
        <f t="shared" si="761"/>
        <v/>
      </c>
      <c r="GK827" s="14" t="str">
        <f t="shared" si="762"/>
        <v/>
      </c>
      <c r="GL827" s="14">
        <f t="shared" si="740"/>
        <v>21040</v>
      </c>
      <c r="GM827" s="14">
        <f t="shared" si="763"/>
        <v>6</v>
      </c>
      <c r="GN827" s="14">
        <f t="shared" si="764"/>
        <v>2104</v>
      </c>
      <c r="GO827" s="25" t="s">
        <v>1471</v>
      </c>
      <c r="GP827" s="14">
        <f t="shared" si="741"/>
        <v>1200</v>
      </c>
    </row>
    <row r="828" spans="151:198" ht="16.5" x14ac:dyDescent="0.2">
      <c r="EU828" s="13">
        <v>823</v>
      </c>
      <c r="EV828" s="14">
        <f t="shared" si="742"/>
        <v>2</v>
      </c>
      <c r="EW828" s="14">
        <f t="shared" si="752"/>
        <v>388</v>
      </c>
      <c r="EX828" s="14">
        <f t="shared" si="743"/>
        <v>52</v>
      </c>
      <c r="EY828" s="14">
        <f t="shared" si="753"/>
        <v>41</v>
      </c>
      <c r="EZ828" s="14">
        <f t="shared" si="723"/>
        <v>21</v>
      </c>
      <c r="FA828" s="14">
        <f t="shared" si="724"/>
        <v>140</v>
      </c>
      <c r="FB828" s="14">
        <f t="shared" si="725"/>
        <v>4</v>
      </c>
      <c r="FC828" s="14">
        <f t="shared" si="726"/>
        <v>2</v>
      </c>
      <c r="FD828" s="14">
        <f t="shared" si="727"/>
        <v>2</v>
      </c>
      <c r="FE828" s="14" t="b">
        <f t="shared" si="744"/>
        <v>1</v>
      </c>
      <c r="FF828" s="14">
        <f t="shared" si="728"/>
        <v>2110412</v>
      </c>
      <c r="FG828" s="13" t="str">
        <f t="shared" si="729"/>
        <v>140级-攻击套守护灵の头盔</v>
      </c>
      <c r="FH828" s="14">
        <f t="shared" si="730"/>
        <v>2</v>
      </c>
      <c r="FI828" s="14">
        <f t="shared" si="731"/>
        <v>4</v>
      </c>
      <c r="FJ828" s="14">
        <f t="shared" si="732"/>
        <v>140</v>
      </c>
      <c r="FK828" s="14">
        <v>389</v>
      </c>
      <c r="FL828" s="14">
        <f t="shared" si="733"/>
        <v>10</v>
      </c>
      <c r="FM828" s="14">
        <f t="shared" si="754"/>
        <v>2</v>
      </c>
      <c r="FN828" s="14">
        <f t="shared" si="734"/>
        <v>211041</v>
      </c>
      <c r="FO828" s="14">
        <f t="shared" si="755"/>
        <v>390</v>
      </c>
      <c r="FP828" s="14">
        <f t="shared" si="745"/>
        <v>0</v>
      </c>
      <c r="FQ828" s="14">
        <f t="shared" si="746"/>
        <v>495</v>
      </c>
      <c r="FR828" s="14">
        <f t="shared" si="747"/>
        <v>0</v>
      </c>
      <c r="FS828" s="14">
        <f t="shared" si="748"/>
        <v>0</v>
      </c>
      <c r="FT828" s="14">
        <f t="shared" si="749"/>
        <v>26</v>
      </c>
      <c r="FU828" s="14">
        <f t="shared" si="750"/>
        <v>0</v>
      </c>
      <c r="FV828" s="14">
        <f t="shared" si="735"/>
        <v>2104</v>
      </c>
      <c r="FW828" s="14">
        <f t="shared" si="736"/>
        <v>6</v>
      </c>
      <c r="FX828" s="14">
        <f t="shared" si="737"/>
        <v>2104</v>
      </c>
      <c r="FY828" s="25" t="str">
        <f t="shared" si="751"/>
        <v>icon_2110412</v>
      </c>
      <c r="GC828" s="14">
        <f t="shared" si="738"/>
        <v>2</v>
      </c>
      <c r="GD828" s="14">
        <f t="shared" si="739"/>
        <v>0</v>
      </c>
      <c r="GE828" s="14">
        <f t="shared" si="756"/>
        <v>390</v>
      </c>
      <c r="GF828" s="14" t="str">
        <f t="shared" si="757"/>
        <v>DefExt</v>
      </c>
      <c r="GG828" s="14">
        <f t="shared" si="758"/>
        <v>495</v>
      </c>
      <c r="GH828" s="14">
        <f t="shared" si="759"/>
        <v>26</v>
      </c>
      <c r="GI828" s="14" t="str">
        <f t="shared" si="760"/>
        <v/>
      </c>
      <c r="GJ828" s="14" t="str">
        <f t="shared" si="761"/>
        <v/>
      </c>
      <c r="GK828" s="14" t="str">
        <f t="shared" si="762"/>
        <v/>
      </c>
      <c r="GL828" s="14">
        <f t="shared" si="740"/>
        <v>21040</v>
      </c>
      <c r="GM828" s="14">
        <f t="shared" si="763"/>
        <v>6</v>
      </c>
      <c r="GN828" s="14">
        <f t="shared" si="764"/>
        <v>2104</v>
      </c>
      <c r="GO828" s="25" t="s">
        <v>1471</v>
      </c>
      <c r="GP828" s="14">
        <f t="shared" si="741"/>
        <v>600</v>
      </c>
    </row>
    <row r="829" spans="151:198" ht="16.5" x14ac:dyDescent="0.2">
      <c r="EU829" s="13">
        <v>824</v>
      </c>
      <c r="EV829" s="14">
        <f t="shared" si="742"/>
        <v>2</v>
      </c>
      <c r="EW829" s="14">
        <f t="shared" si="752"/>
        <v>389</v>
      </c>
      <c r="EX829" s="14">
        <f t="shared" si="743"/>
        <v>52</v>
      </c>
      <c r="EY829" s="14">
        <f t="shared" si="753"/>
        <v>41</v>
      </c>
      <c r="EZ829" s="14">
        <f t="shared" si="723"/>
        <v>21</v>
      </c>
      <c r="FA829" s="14">
        <f t="shared" si="724"/>
        <v>140</v>
      </c>
      <c r="FB829" s="14">
        <f t="shared" si="725"/>
        <v>4</v>
      </c>
      <c r="FC829" s="14">
        <f t="shared" si="726"/>
        <v>3</v>
      </c>
      <c r="FD829" s="14">
        <f t="shared" si="727"/>
        <v>3</v>
      </c>
      <c r="FE829" s="14" t="b">
        <f t="shared" si="744"/>
        <v>1</v>
      </c>
      <c r="FF829" s="14">
        <f t="shared" si="728"/>
        <v>2110413</v>
      </c>
      <c r="FG829" s="13" t="str">
        <f t="shared" si="729"/>
        <v>140级-攻击套守护灵の铠甲</v>
      </c>
      <c r="FH829" s="14">
        <f t="shared" si="730"/>
        <v>2</v>
      </c>
      <c r="FI829" s="14">
        <f t="shared" si="731"/>
        <v>4</v>
      </c>
      <c r="FJ829" s="14">
        <f t="shared" si="732"/>
        <v>140</v>
      </c>
      <c r="FK829" s="14">
        <v>390</v>
      </c>
      <c r="FL829" s="14">
        <f t="shared" si="733"/>
        <v>10</v>
      </c>
      <c r="FM829" s="14">
        <f t="shared" si="754"/>
        <v>3</v>
      </c>
      <c r="FN829" s="14">
        <f t="shared" si="734"/>
        <v>211041</v>
      </c>
      <c r="FO829" s="14">
        <f t="shared" si="755"/>
        <v>564</v>
      </c>
      <c r="FP829" s="14">
        <f t="shared" si="745"/>
        <v>0</v>
      </c>
      <c r="FQ829" s="14">
        <f t="shared" si="746"/>
        <v>245</v>
      </c>
      <c r="FR829" s="14">
        <f t="shared" si="747"/>
        <v>4695</v>
      </c>
      <c r="FS829" s="14">
        <f t="shared" si="748"/>
        <v>0</v>
      </c>
      <c r="FT829" s="14">
        <f t="shared" si="749"/>
        <v>13</v>
      </c>
      <c r="FU829" s="14">
        <f t="shared" si="750"/>
        <v>246</v>
      </c>
      <c r="FV829" s="14">
        <f t="shared" si="735"/>
        <v>2104</v>
      </c>
      <c r="FW829" s="14">
        <f t="shared" si="736"/>
        <v>6</v>
      </c>
      <c r="FX829" s="14">
        <f t="shared" si="737"/>
        <v>2104</v>
      </c>
      <c r="FY829" s="25" t="str">
        <f t="shared" si="751"/>
        <v>icon_2110413</v>
      </c>
      <c r="GC829" s="14">
        <f t="shared" si="738"/>
        <v>2</v>
      </c>
      <c r="GD829" s="14">
        <f t="shared" si="739"/>
        <v>3</v>
      </c>
      <c r="GE829" s="14">
        <f t="shared" si="756"/>
        <v>564</v>
      </c>
      <c r="GF829" s="14" t="str">
        <f t="shared" si="757"/>
        <v>DefExt</v>
      </c>
      <c r="GG829" s="14">
        <f t="shared" si="758"/>
        <v>245</v>
      </c>
      <c r="GH829" s="14">
        <f t="shared" si="759"/>
        <v>13</v>
      </c>
      <c r="GI829" s="14" t="str">
        <f t="shared" si="760"/>
        <v>HPExt</v>
      </c>
      <c r="GJ829" s="14">
        <f t="shared" si="761"/>
        <v>4695</v>
      </c>
      <c r="GK829" s="14">
        <f t="shared" si="762"/>
        <v>246</v>
      </c>
      <c r="GL829" s="14">
        <f t="shared" si="740"/>
        <v>21040</v>
      </c>
      <c r="GM829" s="14">
        <f t="shared" si="763"/>
        <v>6</v>
      </c>
      <c r="GN829" s="14">
        <f t="shared" si="764"/>
        <v>2104</v>
      </c>
      <c r="GO829" s="25" t="s">
        <v>1471</v>
      </c>
      <c r="GP829" s="14">
        <f t="shared" si="741"/>
        <v>600</v>
      </c>
    </row>
    <row r="830" spans="151:198" ht="16.5" x14ac:dyDescent="0.2">
      <c r="EU830" s="13">
        <v>825</v>
      </c>
      <c r="EV830" s="14">
        <f t="shared" si="742"/>
        <v>2</v>
      </c>
      <c r="EW830" s="14">
        <f t="shared" si="752"/>
        <v>390</v>
      </c>
      <c r="EX830" s="14">
        <f t="shared" si="743"/>
        <v>52</v>
      </c>
      <c r="EY830" s="14">
        <f t="shared" si="753"/>
        <v>41</v>
      </c>
      <c r="EZ830" s="14">
        <f t="shared" si="723"/>
        <v>21</v>
      </c>
      <c r="FA830" s="14">
        <f t="shared" si="724"/>
        <v>140</v>
      </c>
      <c r="FB830" s="14">
        <f t="shared" si="725"/>
        <v>4</v>
      </c>
      <c r="FC830" s="14">
        <f t="shared" si="726"/>
        <v>4</v>
      </c>
      <c r="FD830" s="14">
        <f t="shared" si="727"/>
        <v>5</v>
      </c>
      <c r="FE830" s="14" t="b">
        <f t="shared" si="744"/>
        <v>1</v>
      </c>
      <c r="FF830" s="14">
        <f t="shared" si="728"/>
        <v>2110415</v>
      </c>
      <c r="FG830" s="13" t="str">
        <f t="shared" si="729"/>
        <v>140级-攻击套守护灵の鞋子</v>
      </c>
      <c r="FH830" s="14">
        <f t="shared" si="730"/>
        <v>2</v>
      </c>
      <c r="FI830" s="14">
        <f t="shared" si="731"/>
        <v>4</v>
      </c>
      <c r="FJ830" s="14">
        <f t="shared" si="732"/>
        <v>140</v>
      </c>
      <c r="FK830" s="14">
        <v>391</v>
      </c>
      <c r="FL830" s="14">
        <f t="shared" si="733"/>
        <v>10</v>
      </c>
      <c r="FM830" s="14">
        <f t="shared" si="754"/>
        <v>5</v>
      </c>
      <c r="FN830" s="14">
        <f t="shared" si="734"/>
        <v>211041</v>
      </c>
      <c r="FO830" s="14">
        <f t="shared" si="755"/>
        <v>738</v>
      </c>
      <c r="FP830" s="14">
        <f t="shared" si="745"/>
        <v>0</v>
      </c>
      <c r="FQ830" s="14">
        <f t="shared" si="746"/>
        <v>0</v>
      </c>
      <c r="FR830" s="14">
        <f t="shared" si="747"/>
        <v>9390</v>
      </c>
      <c r="FS830" s="14">
        <f t="shared" si="748"/>
        <v>0</v>
      </c>
      <c r="FT830" s="14">
        <f t="shared" si="749"/>
        <v>0</v>
      </c>
      <c r="FU830" s="14">
        <f t="shared" si="750"/>
        <v>492</v>
      </c>
      <c r="FV830" s="14">
        <f t="shared" si="735"/>
        <v>2104</v>
      </c>
      <c r="FW830" s="14">
        <f t="shared" si="736"/>
        <v>6</v>
      </c>
      <c r="FX830" s="14">
        <f t="shared" si="737"/>
        <v>2104</v>
      </c>
      <c r="FY830" s="25" t="str">
        <f t="shared" si="751"/>
        <v>icon_2110415</v>
      </c>
      <c r="GC830" s="14">
        <f t="shared" si="738"/>
        <v>3</v>
      </c>
      <c r="GD830" s="14">
        <f t="shared" si="739"/>
        <v>0</v>
      </c>
      <c r="GE830" s="14">
        <f t="shared" si="756"/>
        <v>738</v>
      </c>
      <c r="GF830" s="14" t="str">
        <f t="shared" si="757"/>
        <v>HPExt</v>
      </c>
      <c r="GG830" s="14">
        <f t="shared" si="758"/>
        <v>9390</v>
      </c>
      <c r="GH830" s="14">
        <f t="shared" si="759"/>
        <v>492</v>
      </c>
      <c r="GI830" s="14" t="str">
        <f t="shared" si="760"/>
        <v/>
      </c>
      <c r="GJ830" s="14" t="str">
        <f t="shared" si="761"/>
        <v/>
      </c>
      <c r="GK830" s="14" t="str">
        <f t="shared" si="762"/>
        <v/>
      </c>
      <c r="GL830" s="14">
        <f t="shared" si="740"/>
        <v>21040</v>
      </c>
      <c r="GM830" s="14">
        <f t="shared" si="763"/>
        <v>6</v>
      </c>
      <c r="GN830" s="14">
        <f t="shared" si="764"/>
        <v>2104</v>
      </c>
      <c r="GO830" s="25" t="s">
        <v>1471</v>
      </c>
      <c r="GP830" s="14">
        <f t="shared" si="741"/>
        <v>600</v>
      </c>
    </row>
    <row r="831" spans="151:198" ht="16.5" x14ac:dyDescent="0.2">
      <c r="EU831" s="13">
        <v>826</v>
      </c>
      <c r="EV831" s="14">
        <f t="shared" si="742"/>
        <v>2</v>
      </c>
      <c r="EW831" s="14">
        <f t="shared" si="752"/>
        <v>391</v>
      </c>
      <c r="EX831" s="14">
        <f t="shared" si="743"/>
        <v>52</v>
      </c>
      <c r="EY831" s="14">
        <f t="shared" si="753"/>
        <v>41</v>
      </c>
      <c r="EZ831" s="14">
        <f t="shared" si="723"/>
        <v>21</v>
      </c>
      <c r="FA831" s="14">
        <f t="shared" si="724"/>
        <v>140</v>
      </c>
      <c r="FB831" s="14">
        <f t="shared" si="725"/>
        <v>4</v>
      </c>
      <c r="FC831" s="14">
        <f t="shared" si="726"/>
        <v>5</v>
      </c>
      <c r="FD831" s="14">
        <f t="shared" si="727"/>
        <v>7</v>
      </c>
      <c r="FE831" s="14" t="b">
        <f t="shared" si="744"/>
        <v>1</v>
      </c>
      <c r="FF831" s="14">
        <f t="shared" si="728"/>
        <v>2110417</v>
      </c>
      <c r="FG831" s="13" t="str">
        <f t="shared" si="729"/>
        <v>140级-攻击套守护灵の项链</v>
      </c>
      <c r="FH831" s="14">
        <f t="shared" si="730"/>
        <v>2</v>
      </c>
      <c r="FI831" s="14">
        <f t="shared" si="731"/>
        <v>4</v>
      </c>
      <c r="FJ831" s="14">
        <f t="shared" si="732"/>
        <v>140</v>
      </c>
      <c r="FK831" s="14">
        <v>392</v>
      </c>
      <c r="FL831" s="14">
        <f t="shared" si="733"/>
        <v>10</v>
      </c>
      <c r="FM831" s="14">
        <f t="shared" si="754"/>
        <v>7</v>
      </c>
      <c r="FN831" s="14">
        <f t="shared" si="734"/>
        <v>211041</v>
      </c>
      <c r="FO831" s="14">
        <f t="shared" si="755"/>
        <v>585</v>
      </c>
      <c r="FP831" s="14">
        <f t="shared" si="745"/>
        <v>655</v>
      </c>
      <c r="FQ831" s="14">
        <f t="shared" si="746"/>
        <v>410</v>
      </c>
      <c r="FR831" s="14">
        <f t="shared" si="747"/>
        <v>0</v>
      </c>
      <c r="FS831" s="14">
        <f t="shared" si="748"/>
        <v>34</v>
      </c>
      <c r="FT831" s="14">
        <f t="shared" si="749"/>
        <v>22</v>
      </c>
      <c r="FU831" s="14">
        <f t="shared" si="750"/>
        <v>0</v>
      </c>
      <c r="FV831" s="14">
        <f t="shared" si="735"/>
        <v>2104</v>
      </c>
      <c r="FW831" s="14">
        <f t="shared" si="736"/>
        <v>6</v>
      </c>
      <c r="FX831" s="14">
        <f t="shared" si="737"/>
        <v>2104</v>
      </c>
      <c r="FY831" s="25" t="str">
        <f t="shared" si="751"/>
        <v>icon_2110417</v>
      </c>
      <c r="GC831" s="14">
        <f t="shared" si="738"/>
        <v>1</v>
      </c>
      <c r="GD831" s="14">
        <f t="shared" si="739"/>
        <v>2</v>
      </c>
      <c r="GE831" s="14">
        <f t="shared" si="756"/>
        <v>585</v>
      </c>
      <c r="GF831" s="14" t="str">
        <f t="shared" si="757"/>
        <v>AtkExt</v>
      </c>
      <c r="GG831" s="14">
        <f t="shared" si="758"/>
        <v>655</v>
      </c>
      <c r="GH831" s="14">
        <f t="shared" si="759"/>
        <v>34</v>
      </c>
      <c r="GI831" s="14" t="str">
        <f t="shared" si="760"/>
        <v>DefExt</v>
      </c>
      <c r="GJ831" s="14">
        <f t="shared" si="761"/>
        <v>410</v>
      </c>
      <c r="GK831" s="14">
        <f t="shared" si="762"/>
        <v>22</v>
      </c>
      <c r="GL831" s="14">
        <f t="shared" si="740"/>
        <v>21040</v>
      </c>
      <c r="GM831" s="14">
        <f t="shared" si="763"/>
        <v>6</v>
      </c>
      <c r="GN831" s="14">
        <f t="shared" si="764"/>
        <v>2104</v>
      </c>
      <c r="GO831" s="25" t="s">
        <v>1471</v>
      </c>
      <c r="GP831" s="14">
        <f t="shared" si="741"/>
        <v>900</v>
      </c>
    </row>
    <row r="832" spans="151:198" ht="16.5" x14ac:dyDescent="0.2">
      <c r="EU832" s="13">
        <v>827</v>
      </c>
      <c r="EV832" s="14">
        <f t="shared" si="742"/>
        <v>2</v>
      </c>
      <c r="EW832" s="14">
        <f t="shared" si="752"/>
        <v>392</v>
      </c>
      <c r="EX832" s="14">
        <f t="shared" si="743"/>
        <v>52</v>
      </c>
      <c r="EY832" s="14">
        <f t="shared" si="753"/>
        <v>41</v>
      </c>
      <c r="EZ832" s="14">
        <f t="shared" si="723"/>
        <v>21</v>
      </c>
      <c r="FA832" s="14">
        <f t="shared" si="724"/>
        <v>140</v>
      </c>
      <c r="FB832" s="14">
        <f t="shared" si="725"/>
        <v>4</v>
      </c>
      <c r="FC832" s="14">
        <f t="shared" si="726"/>
        <v>6</v>
      </c>
      <c r="FD832" s="14">
        <f t="shared" si="727"/>
        <v>8</v>
      </c>
      <c r="FE832" s="14" t="b">
        <f t="shared" si="744"/>
        <v>1</v>
      </c>
      <c r="FF832" s="14">
        <f t="shared" si="728"/>
        <v>2110418</v>
      </c>
      <c r="FG832" s="13" t="str">
        <f t="shared" si="729"/>
        <v>140级-攻击套守护灵の戒指</v>
      </c>
      <c r="FH832" s="14">
        <f t="shared" si="730"/>
        <v>2</v>
      </c>
      <c r="FI832" s="14">
        <f t="shared" si="731"/>
        <v>4</v>
      </c>
      <c r="FJ832" s="14">
        <f t="shared" si="732"/>
        <v>140</v>
      </c>
      <c r="FK832" s="14">
        <v>393</v>
      </c>
      <c r="FL832" s="14">
        <f t="shared" si="733"/>
        <v>10</v>
      </c>
      <c r="FM832" s="14">
        <f t="shared" si="754"/>
        <v>8</v>
      </c>
      <c r="FN832" s="14">
        <f t="shared" si="734"/>
        <v>211041</v>
      </c>
      <c r="FO832" s="14">
        <f t="shared" si="755"/>
        <v>870</v>
      </c>
      <c r="FP832" s="14">
        <f t="shared" si="745"/>
        <v>655</v>
      </c>
      <c r="FQ832" s="14">
        <f t="shared" si="746"/>
        <v>0</v>
      </c>
      <c r="FR832" s="14">
        <f t="shared" si="747"/>
        <v>7825</v>
      </c>
      <c r="FS832" s="14">
        <f t="shared" si="748"/>
        <v>34</v>
      </c>
      <c r="FT832" s="14">
        <f t="shared" si="749"/>
        <v>0</v>
      </c>
      <c r="FU832" s="14">
        <f t="shared" si="750"/>
        <v>410</v>
      </c>
      <c r="FV832" s="14">
        <f t="shared" si="735"/>
        <v>2104</v>
      </c>
      <c r="FW832" s="14">
        <f t="shared" si="736"/>
        <v>6</v>
      </c>
      <c r="FX832" s="14">
        <f t="shared" si="737"/>
        <v>2104</v>
      </c>
      <c r="FY832" s="25" t="str">
        <f t="shared" si="751"/>
        <v>icon_2110418</v>
      </c>
      <c r="GC832" s="14">
        <f t="shared" si="738"/>
        <v>1</v>
      </c>
      <c r="GD832" s="14">
        <f t="shared" si="739"/>
        <v>3</v>
      </c>
      <c r="GE832" s="14">
        <f t="shared" si="756"/>
        <v>870</v>
      </c>
      <c r="GF832" s="14" t="str">
        <f t="shared" si="757"/>
        <v>AtkExt</v>
      </c>
      <c r="GG832" s="14">
        <f t="shared" si="758"/>
        <v>655</v>
      </c>
      <c r="GH832" s="14">
        <f t="shared" si="759"/>
        <v>34</v>
      </c>
      <c r="GI832" s="14" t="str">
        <f t="shared" si="760"/>
        <v>HPExt</v>
      </c>
      <c r="GJ832" s="14">
        <f t="shared" si="761"/>
        <v>7825</v>
      </c>
      <c r="GK832" s="14">
        <f t="shared" si="762"/>
        <v>410</v>
      </c>
      <c r="GL832" s="14">
        <f t="shared" si="740"/>
        <v>21040</v>
      </c>
      <c r="GM832" s="14">
        <f t="shared" si="763"/>
        <v>6</v>
      </c>
      <c r="GN832" s="14">
        <f t="shared" si="764"/>
        <v>2104</v>
      </c>
      <c r="GO832" s="25" t="s">
        <v>1471</v>
      </c>
      <c r="GP832" s="14">
        <f t="shared" si="741"/>
        <v>900</v>
      </c>
    </row>
    <row r="833" spans="151:198" ht="16.5" x14ac:dyDescent="0.2">
      <c r="EU833" s="13">
        <v>828</v>
      </c>
      <c r="EV833" s="14">
        <f t="shared" si="742"/>
        <v>2</v>
      </c>
      <c r="EW833" s="14">
        <f t="shared" si="752"/>
        <v>393</v>
      </c>
      <c r="EX833" s="14">
        <f t="shared" si="743"/>
        <v>53</v>
      </c>
      <c r="EY833" s="14">
        <f t="shared" si="753"/>
        <v>10</v>
      </c>
      <c r="EZ833" s="14">
        <f t="shared" si="723"/>
        <v>22</v>
      </c>
      <c r="FA833" s="14">
        <f t="shared" si="724"/>
        <v>150</v>
      </c>
      <c r="FB833" s="14">
        <f t="shared" si="725"/>
        <v>1</v>
      </c>
      <c r="FC833" s="14">
        <f t="shared" si="726"/>
        <v>1</v>
      </c>
      <c r="FD833" s="14">
        <f t="shared" si="727"/>
        <v>1</v>
      </c>
      <c r="FE833" s="14" t="b">
        <f t="shared" si="744"/>
        <v>0</v>
      </c>
      <c r="FF833" s="14">
        <f t="shared" si="728"/>
        <v>2111101</v>
      </c>
      <c r="FG833" s="13" t="str">
        <f t="shared" si="729"/>
        <v>150级-普通守护灵の灵器</v>
      </c>
      <c r="FH833" s="14">
        <f t="shared" si="730"/>
        <v>2</v>
      </c>
      <c r="FI833" s="14">
        <f t="shared" si="731"/>
        <v>1</v>
      </c>
      <c r="FJ833" s="14">
        <f t="shared" si="732"/>
        <v>150</v>
      </c>
      <c r="FK833" s="14">
        <v>394</v>
      </c>
      <c r="FL833" s="14">
        <f t="shared" si="733"/>
        <v>11</v>
      </c>
      <c r="FM833" s="14">
        <f t="shared" si="754"/>
        <v>1</v>
      </c>
      <c r="FN833" s="14" t="str">
        <f t="shared" si="734"/>
        <v/>
      </c>
      <c r="FO833" s="14" t="e">
        <f t="shared" si="755"/>
        <v>#VALUE!</v>
      </c>
      <c r="FP833" s="14">
        <f t="shared" si="745"/>
        <v>1010</v>
      </c>
      <c r="FQ833" s="14">
        <f t="shared" si="746"/>
        <v>0</v>
      </c>
      <c r="FR833" s="14" t="e">
        <f t="shared" si="747"/>
        <v>#VALUE!</v>
      </c>
      <c r="FS833" s="14">
        <f t="shared" si="748"/>
        <v>60</v>
      </c>
      <c r="FT833" s="14">
        <f t="shared" si="749"/>
        <v>0</v>
      </c>
      <c r="FU833" s="14" t="e">
        <f t="shared" si="750"/>
        <v>#VALUE!</v>
      </c>
      <c r="FV833" s="14">
        <f t="shared" si="735"/>
        <v>2111</v>
      </c>
      <c r="FW833" s="14">
        <f t="shared" si="736"/>
        <v>0</v>
      </c>
      <c r="FX833" s="14" t="str">
        <f t="shared" si="737"/>
        <v/>
      </c>
      <c r="FY833" s="25" t="str">
        <f t="shared" si="751"/>
        <v>icon_2111101</v>
      </c>
      <c r="GC833" s="14">
        <f t="shared" si="738"/>
        <v>1</v>
      </c>
      <c r="GD833" s="14">
        <f t="shared" si="739"/>
        <v>0</v>
      </c>
      <c r="GE833" s="14" t="e">
        <f t="shared" si="756"/>
        <v>#VALUE!</v>
      </c>
      <c r="GF833" s="14" t="str">
        <f t="shared" si="757"/>
        <v>AtkExt</v>
      </c>
      <c r="GG833" s="14">
        <f t="shared" si="758"/>
        <v>1010</v>
      </c>
      <c r="GH833" s="14">
        <f t="shared" si="759"/>
        <v>60</v>
      </c>
      <c r="GI833" s="14" t="str">
        <f t="shared" si="760"/>
        <v/>
      </c>
      <c r="GJ833" s="14" t="str">
        <f t="shared" si="761"/>
        <v/>
      </c>
      <c r="GK833" s="14" t="str">
        <f t="shared" si="762"/>
        <v/>
      </c>
      <c r="GL833" s="14">
        <f t="shared" si="740"/>
        <v>21110</v>
      </c>
      <c r="GM833" s="14">
        <f t="shared" si="763"/>
        <v>0</v>
      </c>
      <c r="GN833" s="14" t="str">
        <f t="shared" si="764"/>
        <v/>
      </c>
      <c r="GO833" s="25" t="s">
        <v>1471</v>
      </c>
      <c r="GP833" s="14">
        <f t="shared" si="741"/>
        <v>160</v>
      </c>
    </row>
    <row r="834" spans="151:198" ht="16.5" x14ac:dyDescent="0.2">
      <c r="EU834" s="13">
        <v>829</v>
      </c>
      <c r="EV834" s="14">
        <f t="shared" si="742"/>
        <v>2</v>
      </c>
      <c r="EW834" s="14">
        <f t="shared" si="752"/>
        <v>394</v>
      </c>
      <c r="EX834" s="14">
        <f t="shared" si="743"/>
        <v>53</v>
      </c>
      <c r="EY834" s="14">
        <f t="shared" si="753"/>
        <v>10</v>
      </c>
      <c r="EZ834" s="14">
        <f t="shared" si="723"/>
        <v>22</v>
      </c>
      <c r="FA834" s="14">
        <f t="shared" si="724"/>
        <v>150</v>
      </c>
      <c r="FB834" s="14">
        <f t="shared" si="725"/>
        <v>1</v>
      </c>
      <c r="FC834" s="14">
        <f t="shared" si="726"/>
        <v>2</v>
      </c>
      <c r="FD834" s="14">
        <f t="shared" si="727"/>
        <v>2</v>
      </c>
      <c r="FE834" s="14" t="b">
        <f t="shared" si="744"/>
        <v>0</v>
      </c>
      <c r="FF834" s="14">
        <f t="shared" si="728"/>
        <v>2111102</v>
      </c>
      <c r="FG834" s="13" t="str">
        <f t="shared" si="729"/>
        <v>150级-普通守护灵の头盔</v>
      </c>
      <c r="FH834" s="14">
        <f t="shared" si="730"/>
        <v>2</v>
      </c>
      <c r="FI834" s="14">
        <f t="shared" si="731"/>
        <v>1</v>
      </c>
      <c r="FJ834" s="14">
        <f t="shared" si="732"/>
        <v>150</v>
      </c>
      <c r="FK834" s="14">
        <v>395</v>
      </c>
      <c r="FL834" s="14">
        <f t="shared" si="733"/>
        <v>11</v>
      </c>
      <c r="FM834" s="14">
        <f t="shared" si="754"/>
        <v>2</v>
      </c>
      <c r="FN834" s="14" t="str">
        <f t="shared" si="734"/>
        <v/>
      </c>
      <c r="FO834" s="14" t="e">
        <f t="shared" si="755"/>
        <v>#VALUE!</v>
      </c>
      <c r="FP834" s="14">
        <f t="shared" si="745"/>
        <v>0</v>
      </c>
      <c r="FQ834" s="14">
        <f t="shared" si="746"/>
        <v>255</v>
      </c>
      <c r="FR834" s="14" t="e">
        <f t="shared" si="747"/>
        <v>#VALUE!</v>
      </c>
      <c r="FS834" s="14">
        <f t="shared" si="748"/>
        <v>0</v>
      </c>
      <c r="FT834" s="14">
        <f t="shared" si="749"/>
        <v>15</v>
      </c>
      <c r="FU834" s="14" t="e">
        <f t="shared" si="750"/>
        <v>#VALUE!</v>
      </c>
      <c r="FV834" s="14">
        <f t="shared" si="735"/>
        <v>2111</v>
      </c>
      <c r="FW834" s="14">
        <f t="shared" si="736"/>
        <v>0</v>
      </c>
      <c r="FX834" s="14" t="str">
        <f t="shared" si="737"/>
        <v/>
      </c>
      <c r="FY834" s="25" t="str">
        <f t="shared" si="751"/>
        <v>icon_2111102</v>
      </c>
      <c r="GC834" s="14">
        <f t="shared" si="738"/>
        <v>2</v>
      </c>
      <c r="GD834" s="14">
        <f t="shared" si="739"/>
        <v>0</v>
      </c>
      <c r="GE834" s="14" t="e">
        <f t="shared" si="756"/>
        <v>#VALUE!</v>
      </c>
      <c r="GF834" s="14" t="str">
        <f t="shared" si="757"/>
        <v>DefExt</v>
      </c>
      <c r="GG834" s="14">
        <f t="shared" si="758"/>
        <v>255</v>
      </c>
      <c r="GH834" s="14">
        <f t="shared" si="759"/>
        <v>15</v>
      </c>
      <c r="GI834" s="14" t="str">
        <f t="shared" si="760"/>
        <v/>
      </c>
      <c r="GJ834" s="14" t="str">
        <f t="shared" si="761"/>
        <v/>
      </c>
      <c r="GK834" s="14" t="str">
        <f t="shared" si="762"/>
        <v/>
      </c>
      <c r="GL834" s="14">
        <f t="shared" si="740"/>
        <v>21110</v>
      </c>
      <c r="GM834" s="14">
        <f t="shared" si="763"/>
        <v>0</v>
      </c>
      <c r="GN834" s="14" t="str">
        <f t="shared" si="764"/>
        <v/>
      </c>
      <c r="GO834" s="25" t="s">
        <v>1471</v>
      </c>
      <c r="GP834" s="14">
        <f t="shared" si="741"/>
        <v>80</v>
      </c>
    </row>
    <row r="835" spans="151:198" ht="16.5" x14ac:dyDescent="0.2">
      <c r="EU835" s="13">
        <v>830</v>
      </c>
      <c r="EV835" s="14">
        <f t="shared" si="742"/>
        <v>2</v>
      </c>
      <c r="EW835" s="14">
        <f t="shared" si="752"/>
        <v>395</v>
      </c>
      <c r="EX835" s="14">
        <f t="shared" si="743"/>
        <v>53</v>
      </c>
      <c r="EY835" s="14">
        <f t="shared" si="753"/>
        <v>10</v>
      </c>
      <c r="EZ835" s="14">
        <f t="shared" si="723"/>
        <v>22</v>
      </c>
      <c r="FA835" s="14">
        <f t="shared" si="724"/>
        <v>150</v>
      </c>
      <c r="FB835" s="14">
        <f t="shared" si="725"/>
        <v>1</v>
      </c>
      <c r="FC835" s="14">
        <f t="shared" si="726"/>
        <v>3</v>
      </c>
      <c r="FD835" s="14">
        <f t="shared" si="727"/>
        <v>3</v>
      </c>
      <c r="FE835" s="14" t="b">
        <f t="shared" si="744"/>
        <v>0</v>
      </c>
      <c r="FF835" s="14">
        <f t="shared" si="728"/>
        <v>2111103</v>
      </c>
      <c r="FG835" s="13" t="str">
        <f t="shared" si="729"/>
        <v>150级-普通守护灵の铠甲</v>
      </c>
      <c r="FH835" s="14">
        <f t="shared" si="730"/>
        <v>2</v>
      </c>
      <c r="FI835" s="14">
        <f t="shared" si="731"/>
        <v>1</v>
      </c>
      <c r="FJ835" s="14">
        <f t="shared" si="732"/>
        <v>150</v>
      </c>
      <c r="FK835" s="14">
        <v>396</v>
      </c>
      <c r="FL835" s="14">
        <f t="shared" si="733"/>
        <v>11</v>
      </c>
      <c r="FM835" s="14">
        <f t="shared" si="754"/>
        <v>3</v>
      </c>
      <c r="FN835" s="14" t="str">
        <f t="shared" si="734"/>
        <v/>
      </c>
      <c r="FO835" s="14" t="e">
        <f t="shared" si="755"/>
        <v>#VALUE!</v>
      </c>
      <c r="FP835" s="14">
        <f t="shared" si="745"/>
        <v>0</v>
      </c>
      <c r="FQ835" s="14">
        <f t="shared" si="746"/>
        <v>125</v>
      </c>
      <c r="FR835" s="14" t="e">
        <f t="shared" si="747"/>
        <v>#VALUE!</v>
      </c>
      <c r="FS835" s="14">
        <f t="shared" si="748"/>
        <v>0</v>
      </c>
      <c r="FT835" s="14">
        <f t="shared" si="749"/>
        <v>8</v>
      </c>
      <c r="FU835" s="14" t="e">
        <f t="shared" si="750"/>
        <v>#VALUE!</v>
      </c>
      <c r="FV835" s="14">
        <f t="shared" si="735"/>
        <v>2111</v>
      </c>
      <c r="FW835" s="14">
        <f t="shared" si="736"/>
        <v>0</v>
      </c>
      <c r="FX835" s="14" t="str">
        <f t="shared" si="737"/>
        <v/>
      </c>
      <c r="FY835" s="25" t="str">
        <f t="shared" si="751"/>
        <v>icon_2111103</v>
      </c>
      <c r="GC835" s="14">
        <f t="shared" si="738"/>
        <v>2</v>
      </c>
      <c r="GD835" s="14">
        <f t="shared" si="739"/>
        <v>3</v>
      </c>
      <c r="GE835" s="14" t="e">
        <f t="shared" si="756"/>
        <v>#VALUE!</v>
      </c>
      <c r="GF835" s="14" t="str">
        <f t="shared" si="757"/>
        <v>DefExt</v>
      </c>
      <c r="GG835" s="14">
        <f t="shared" si="758"/>
        <v>125</v>
      </c>
      <c r="GH835" s="14">
        <f t="shared" si="759"/>
        <v>8</v>
      </c>
      <c r="GI835" s="14" t="str">
        <f t="shared" si="760"/>
        <v>HPExt</v>
      </c>
      <c r="GJ835" s="14" t="e">
        <f t="shared" si="761"/>
        <v>#VALUE!</v>
      </c>
      <c r="GK835" s="14" t="e">
        <f t="shared" si="762"/>
        <v>#VALUE!</v>
      </c>
      <c r="GL835" s="14">
        <f t="shared" si="740"/>
        <v>21110</v>
      </c>
      <c r="GM835" s="14">
        <f t="shared" si="763"/>
        <v>0</v>
      </c>
      <c r="GN835" s="14" t="str">
        <f t="shared" si="764"/>
        <v/>
      </c>
      <c r="GO835" s="25" t="s">
        <v>1471</v>
      </c>
      <c r="GP835" s="14">
        <f t="shared" si="741"/>
        <v>80</v>
      </c>
    </row>
    <row r="836" spans="151:198" ht="16.5" x14ac:dyDescent="0.2">
      <c r="EU836" s="13">
        <v>831</v>
      </c>
      <c r="EV836" s="14">
        <f t="shared" si="742"/>
        <v>2</v>
      </c>
      <c r="EW836" s="14">
        <f t="shared" si="752"/>
        <v>396</v>
      </c>
      <c r="EX836" s="14">
        <f t="shared" si="743"/>
        <v>53</v>
      </c>
      <c r="EY836" s="14">
        <f t="shared" si="753"/>
        <v>10</v>
      </c>
      <c r="EZ836" s="14">
        <f t="shared" si="723"/>
        <v>22</v>
      </c>
      <c r="FA836" s="14">
        <f t="shared" si="724"/>
        <v>150</v>
      </c>
      <c r="FB836" s="14">
        <f t="shared" si="725"/>
        <v>1</v>
      </c>
      <c r="FC836" s="14">
        <f t="shared" si="726"/>
        <v>4</v>
      </c>
      <c r="FD836" s="14">
        <f t="shared" si="727"/>
        <v>4</v>
      </c>
      <c r="FE836" s="14" t="b">
        <f t="shared" si="744"/>
        <v>0</v>
      </c>
      <c r="FF836" s="14">
        <f t="shared" si="728"/>
        <v>2111104</v>
      </c>
      <c r="FG836" s="13" t="str">
        <f t="shared" si="729"/>
        <v>150级-普通守护灵の裤子</v>
      </c>
      <c r="FH836" s="14">
        <f t="shared" si="730"/>
        <v>2</v>
      </c>
      <c r="FI836" s="14">
        <f t="shared" si="731"/>
        <v>1</v>
      </c>
      <c r="FJ836" s="14">
        <f t="shared" si="732"/>
        <v>150</v>
      </c>
      <c r="FK836" s="14">
        <v>397</v>
      </c>
      <c r="FL836" s="14">
        <f t="shared" si="733"/>
        <v>11</v>
      </c>
      <c r="FM836" s="14">
        <f t="shared" si="754"/>
        <v>4</v>
      </c>
      <c r="FN836" s="14" t="str">
        <f t="shared" si="734"/>
        <v/>
      </c>
      <c r="FO836" s="14" t="e">
        <f t="shared" si="755"/>
        <v>#VALUE!</v>
      </c>
      <c r="FP836" s="14">
        <f t="shared" si="745"/>
        <v>0</v>
      </c>
      <c r="FQ836" s="14">
        <f t="shared" si="746"/>
        <v>255</v>
      </c>
      <c r="FR836" s="14" t="e">
        <f t="shared" si="747"/>
        <v>#VALUE!</v>
      </c>
      <c r="FS836" s="14">
        <f t="shared" si="748"/>
        <v>0</v>
      </c>
      <c r="FT836" s="14">
        <f t="shared" si="749"/>
        <v>15</v>
      </c>
      <c r="FU836" s="14" t="e">
        <f t="shared" si="750"/>
        <v>#VALUE!</v>
      </c>
      <c r="FV836" s="14">
        <f t="shared" si="735"/>
        <v>2111</v>
      </c>
      <c r="FW836" s="14">
        <f t="shared" si="736"/>
        <v>0</v>
      </c>
      <c r="FX836" s="14" t="str">
        <f t="shared" si="737"/>
        <v/>
      </c>
      <c r="FY836" s="25" t="str">
        <f t="shared" si="751"/>
        <v>icon_2111104</v>
      </c>
      <c r="GC836" s="14">
        <f t="shared" si="738"/>
        <v>2</v>
      </c>
      <c r="GD836" s="14">
        <f t="shared" si="739"/>
        <v>0</v>
      </c>
      <c r="GE836" s="14" t="e">
        <f t="shared" si="756"/>
        <v>#VALUE!</v>
      </c>
      <c r="GF836" s="14" t="str">
        <f t="shared" si="757"/>
        <v>DefExt</v>
      </c>
      <c r="GG836" s="14">
        <f t="shared" si="758"/>
        <v>255</v>
      </c>
      <c r="GH836" s="14">
        <f t="shared" si="759"/>
        <v>15</v>
      </c>
      <c r="GI836" s="14" t="str">
        <f t="shared" si="760"/>
        <v/>
      </c>
      <c r="GJ836" s="14" t="str">
        <f t="shared" si="761"/>
        <v/>
      </c>
      <c r="GK836" s="14" t="str">
        <f t="shared" si="762"/>
        <v/>
      </c>
      <c r="GL836" s="14">
        <f t="shared" si="740"/>
        <v>21110</v>
      </c>
      <c r="GM836" s="14">
        <f t="shared" si="763"/>
        <v>0</v>
      </c>
      <c r="GN836" s="14" t="str">
        <f t="shared" si="764"/>
        <v/>
      </c>
      <c r="GO836" s="25" t="s">
        <v>1471</v>
      </c>
      <c r="GP836" s="14">
        <f t="shared" si="741"/>
        <v>80</v>
      </c>
    </row>
    <row r="837" spans="151:198" ht="16.5" x14ac:dyDescent="0.2">
      <c r="EU837" s="13">
        <v>832</v>
      </c>
      <c r="EV837" s="14">
        <f t="shared" si="742"/>
        <v>2</v>
      </c>
      <c r="EW837" s="14">
        <f t="shared" si="752"/>
        <v>397</v>
      </c>
      <c r="EX837" s="14">
        <f t="shared" si="743"/>
        <v>53</v>
      </c>
      <c r="EY837" s="14">
        <f t="shared" si="753"/>
        <v>10</v>
      </c>
      <c r="EZ837" s="14">
        <f t="shared" si="723"/>
        <v>22</v>
      </c>
      <c r="FA837" s="14">
        <f t="shared" si="724"/>
        <v>150</v>
      </c>
      <c r="FB837" s="14">
        <f t="shared" si="725"/>
        <v>1</v>
      </c>
      <c r="FC837" s="14">
        <f t="shared" si="726"/>
        <v>5</v>
      </c>
      <c r="FD837" s="14">
        <f t="shared" si="727"/>
        <v>5</v>
      </c>
      <c r="FE837" s="14" t="b">
        <f t="shared" si="744"/>
        <v>0</v>
      </c>
      <c r="FF837" s="14">
        <f t="shared" si="728"/>
        <v>2111105</v>
      </c>
      <c r="FG837" s="13" t="str">
        <f t="shared" si="729"/>
        <v>150级-普通守护灵の鞋子</v>
      </c>
      <c r="FH837" s="14">
        <f t="shared" si="730"/>
        <v>2</v>
      </c>
      <c r="FI837" s="14">
        <f t="shared" si="731"/>
        <v>1</v>
      </c>
      <c r="FJ837" s="14">
        <f t="shared" si="732"/>
        <v>150</v>
      </c>
      <c r="FK837" s="14">
        <v>398</v>
      </c>
      <c r="FL837" s="14">
        <f t="shared" si="733"/>
        <v>11</v>
      </c>
      <c r="FM837" s="14">
        <f t="shared" si="754"/>
        <v>5</v>
      </c>
      <c r="FN837" s="14" t="str">
        <f t="shared" si="734"/>
        <v/>
      </c>
      <c r="FO837" s="14" t="e">
        <f t="shared" si="755"/>
        <v>#VALUE!</v>
      </c>
      <c r="FP837" s="14">
        <f t="shared" si="745"/>
        <v>0</v>
      </c>
      <c r="FQ837" s="14">
        <f t="shared" si="746"/>
        <v>0</v>
      </c>
      <c r="FR837" s="14" t="e">
        <f t="shared" si="747"/>
        <v>#VALUE!</v>
      </c>
      <c r="FS837" s="14">
        <f t="shared" si="748"/>
        <v>0</v>
      </c>
      <c r="FT837" s="14">
        <f t="shared" si="749"/>
        <v>0</v>
      </c>
      <c r="FU837" s="14" t="e">
        <f t="shared" si="750"/>
        <v>#VALUE!</v>
      </c>
      <c r="FV837" s="14">
        <f t="shared" si="735"/>
        <v>2111</v>
      </c>
      <c r="FW837" s="14">
        <f t="shared" si="736"/>
        <v>0</v>
      </c>
      <c r="FX837" s="14" t="str">
        <f t="shared" si="737"/>
        <v/>
      </c>
      <c r="FY837" s="25" t="str">
        <f t="shared" si="751"/>
        <v>icon_2111105</v>
      </c>
      <c r="GC837" s="14">
        <f t="shared" si="738"/>
        <v>3</v>
      </c>
      <c r="GD837" s="14">
        <f t="shared" si="739"/>
        <v>0</v>
      </c>
      <c r="GE837" s="14" t="e">
        <f t="shared" si="756"/>
        <v>#VALUE!</v>
      </c>
      <c r="GF837" s="14" t="str">
        <f t="shared" si="757"/>
        <v>HPExt</v>
      </c>
      <c r="GG837" s="14" t="e">
        <f t="shared" si="758"/>
        <v>#VALUE!</v>
      </c>
      <c r="GH837" s="14" t="e">
        <f t="shared" si="759"/>
        <v>#VALUE!</v>
      </c>
      <c r="GI837" s="14" t="str">
        <f t="shared" si="760"/>
        <v/>
      </c>
      <c r="GJ837" s="14" t="str">
        <f t="shared" si="761"/>
        <v/>
      </c>
      <c r="GK837" s="14" t="str">
        <f t="shared" si="762"/>
        <v/>
      </c>
      <c r="GL837" s="14">
        <f t="shared" si="740"/>
        <v>21110</v>
      </c>
      <c r="GM837" s="14">
        <f t="shared" si="763"/>
        <v>0</v>
      </c>
      <c r="GN837" s="14" t="str">
        <f t="shared" si="764"/>
        <v/>
      </c>
      <c r="GO837" s="25" t="s">
        <v>1471</v>
      </c>
      <c r="GP837" s="14">
        <f t="shared" si="741"/>
        <v>80</v>
      </c>
    </row>
    <row r="838" spans="151:198" ht="16.5" x14ac:dyDescent="0.2">
      <c r="EU838" s="13">
        <v>833</v>
      </c>
      <c r="EV838" s="14">
        <f t="shared" si="742"/>
        <v>2</v>
      </c>
      <c r="EW838" s="14">
        <f t="shared" si="752"/>
        <v>398</v>
      </c>
      <c r="EX838" s="14">
        <f t="shared" si="743"/>
        <v>53</v>
      </c>
      <c r="EY838" s="14">
        <f t="shared" si="753"/>
        <v>10</v>
      </c>
      <c r="EZ838" s="14">
        <f t="shared" ref="EZ838:EZ875" si="765">(EV838-1)*$EX$3+FL838</f>
        <v>22</v>
      </c>
      <c r="FA838" s="14">
        <f t="shared" ref="FA838:FA875" si="766">INDEX(AI$7:AI$64,$EX838)</f>
        <v>150</v>
      </c>
      <c r="FB838" s="14">
        <f t="shared" ref="FB838:FB875" si="767">INDEX(AJ$7:AJ$64,$EX838)</f>
        <v>1</v>
      </c>
      <c r="FC838" s="14">
        <f t="shared" ref="FC838:FC875" si="768">EW838-INDEX($AQ$6:$AQ$64,EX838)</f>
        <v>6</v>
      </c>
      <c r="FD838" s="14">
        <f t="shared" ref="FD838:FD875" si="769">INDEX($AR$7:$AY$64,EX838,EW838-INDEX($AQ$6:$AQ$64,EX838))</f>
        <v>6</v>
      </c>
      <c r="FE838" s="14" t="b">
        <f t="shared" si="744"/>
        <v>0</v>
      </c>
      <c r="FF838" s="14">
        <f t="shared" ref="FF838:FF875" si="770">INDEX($AN$7:$AN$64,EX838)*10+FD838+(EV838-1)*100000+2000000</f>
        <v>2111106</v>
      </c>
      <c r="FG838" s="13" t="str">
        <f t="shared" ref="FG838:FG875" si="771">INDEX($AL$7:$AL$64,EX838)&amp;"-"&amp;INDEX($AM$7:$AM$64,EX838)&amp;INDEX($BC$6:$BC$7,EV838)&amp;INDEX($AR$3:$AY$3,FD838)</f>
        <v>150级-普通守护灵の护手</v>
      </c>
      <c r="FH838" s="14">
        <f t="shared" ref="FH838:FH875" si="772">EV838</f>
        <v>2</v>
      </c>
      <c r="FI838" s="14">
        <f t="shared" ref="FI838:FI875" si="773">INDEX($AJ$7:$AJ$64,EX838)</f>
        <v>1</v>
      </c>
      <c r="FJ838" s="14">
        <f t="shared" ref="FJ838:FJ875" si="774">INDEX($AI$7:$AI$64,EX838)</f>
        <v>150</v>
      </c>
      <c r="FK838" s="14">
        <v>399</v>
      </c>
      <c r="FL838" s="14">
        <f t="shared" ref="FL838:FL875" si="775">INDEX(AH$7:AH$64,$EX838)</f>
        <v>11</v>
      </c>
      <c r="FM838" s="14">
        <f t="shared" si="754"/>
        <v>6</v>
      </c>
      <c r="FN838" s="14" t="str">
        <f t="shared" ref="FN838:FN875" si="776">IF(INDEX($AO$7:$AO$64,EX838)&gt;0,INDEX($AO$7:$AO$64,EX838) + (EV838-1)*10000+200000,"")</f>
        <v/>
      </c>
      <c r="FO838" s="14" t="e">
        <f t="shared" si="755"/>
        <v>#VALUE!</v>
      </c>
      <c r="FP838" s="14">
        <f t="shared" si="745"/>
        <v>0</v>
      </c>
      <c r="FQ838" s="14">
        <f t="shared" si="746"/>
        <v>0</v>
      </c>
      <c r="FR838" s="14" t="e">
        <f t="shared" si="747"/>
        <v>#VALUE!</v>
      </c>
      <c r="FS838" s="14">
        <f t="shared" si="748"/>
        <v>0</v>
      </c>
      <c r="FT838" s="14">
        <f t="shared" si="749"/>
        <v>0</v>
      </c>
      <c r="FU838" s="14" t="e">
        <f t="shared" si="750"/>
        <v>#VALUE!</v>
      </c>
      <c r="FV838" s="14">
        <f t="shared" ref="FV838:FV875" si="777">FL838*10+FB838+EV838*1000</f>
        <v>2111</v>
      </c>
      <c r="FW838" s="14">
        <f t="shared" ref="FW838:FW875" si="778">INDEX($V$17:$Y$27,FL838,FB838)</f>
        <v>0</v>
      </c>
      <c r="FX838" s="14" t="str">
        <f t="shared" ref="FX838:FX875" si="779">IF(FB838&gt;2,FL838*10+FB838+EV838*1000,"")</f>
        <v/>
      </c>
      <c r="FY838" s="25" t="str">
        <f t="shared" si="751"/>
        <v>icon_2111106</v>
      </c>
      <c r="GC838" s="14">
        <f t="shared" ref="GC838:GC875" si="780">INDEX(BL$6:BL$13,$FM838)</f>
        <v>3</v>
      </c>
      <c r="GD838" s="14">
        <f t="shared" ref="GD838:GD875" si="781">INDEX(BM$6:BM$13,$FM838)</f>
        <v>0</v>
      </c>
      <c r="GE838" s="14" t="e">
        <f t="shared" si="756"/>
        <v>#VALUE!</v>
      </c>
      <c r="GF838" s="14" t="str">
        <f t="shared" si="757"/>
        <v>HPExt</v>
      </c>
      <c r="GG838" s="14" t="e">
        <f t="shared" si="758"/>
        <v>#VALUE!</v>
      </c>
      <c r="GH838" s="14" t="e">
        <f t="shared" si="759"/>
        <v>#VALUE!</v>
      </c>
      <c r="GI838" s="14" t="str">
        <f t="shared" si="760"/>
        <v/>
      </c>
      <c r="GJ838" s="14" t="str">
        <f t="shared" si="761"/>
        <v/>
      </c>
      <c r="GK838" s="14" t="str">
        <f t="shared" si="762"/>
        <v/>
      </c>
      <c r="GL838" s="14">
        <f t="shared" ref="GL838:GL875" si="782">20000+FL838*100+FB838*10</f>
        <v>21110</v>
      </c>
      <c r="GM838" s="14">
        <f t="shared" si="763"/>
        <v>0</v>
      </c>
      <c r="GN838" s="14" t="str">
        <f t="shared" si="764"/>
        <v/>
      </c>
      <c r="GO838" s="25" t="s">
        <v>1471</v>
      </c>
      <c r="GP838" s="14">
        <f t="shared" ref="GP838:GP875" si="783">ROUND(INDEX($AA$17:$AD$27,FL838,FB838)*INDEX($BK$6:$BK$13,FM838),0)</f>
        <v>80</v>
      </c>
    </row>
    <row r="839" spans="151:198" ht="16.5" x14ac:dyDescent="0.2">
      <c r="EU839" s="13">
        <v>834</v>
      </c>
      <c r="EV839" s="14">
        <f t="shared" ref="EV839:EV875" si="784">IF(EU839&lt;=$EV$3,1,2)</f>
        <v>2</v>
      </c>
      <c r="EW839" s="14">
        <f t="shared" si="752"/>
        <v>399</v>
      </c>
      <c r="EX839" s="14">
        <f t="shared" ref="EX839:EX875" si="785">MATCH(EW839-1,$AQ$6:$AQ$64,1)</f>
        <v>53</v>
      </c>
      <c r="EY839" s="14">
        <f t="shared" si="753"/>
        <v>10</v>
      </c>
      <c r="EZ839" s="14">
        <f t="shared" si="765"/>
        <v>22</v>
      </c>
      <c r="FA839" s="14">
        <f t="shared" si="766"/>
        <v>150</v>
      </c>
      <c r="FB839" s="14">
        <f t="shared" si="767"/>
        <v>1</v>
      </c>
      <c r="FC839" s="14">
        <f t="shared" si="768"/>
        <v>7</v>
      </c>
      <c r="FD839" s="14">
        <f t="shared" si="769"/>
        <v>7</v>
      </c>
      <c r="FE839" s="14" t="b">
        <f t="shared" ref="FE839:FE875" si="786">IF(FN839="",FALSE,TRUE)</f>
        <v>0</v>
      </c>
      <c r="FF839" s="14">
        <f t="shared" si="770"/>
        <v>2111107</v>
      </c>
      <c r="FG839" s="13" t="str">
        <f t="shared" si="771"/>
        <v>150级-普通守护灵の项链</v>
      </c>
      <c r="FH839" s="14">
        <f t="shared" si="772"/>
        <v>2</v>
      </c>
      <c r="FI839" s="14">
        <f t="shared" si="773"/>
        <v>1</v>
      </c>
      <c r="FJ839" s="14">
        <f t="shared" si="774"/>
        <v>150</v>
      </c>
      <c r="FK839" s="14">
        <v>400</v>
      </c>
      <c r="FL839" s="14">
        <f t="shared" si="775"/>
        <v>11</v>
      </c>
      <c r="FM839" s="14">
        <f t="shared" si="754"/>
        <v>7</v>
      </c>
      <c r="FN839" s="14" t="str">
        <f t="shared" si="776"/>
        <v/>
      </c>
      <c r="FO839" s="14" t="e">
        <f t="shared" si="755"/>
        <v>#VALUE!</v>
      </c>
      <c r="FP839" s="14">
        <f t="shared" ref="FP839:FP875" si="787">ROUND(INDEX(M$6:M$27,$EZ839)*INDEX(BH$6:BH$13,$FD839)*INDEX($BR$6:$BR$9,FI839)/5,0)*5</f>
        <v>335</v>
      </c>
      <c r="FQ839" s="14">
        <f t="shared" ref="FQ839:FQ875" si="788">ROUND(INDEX(N$6:N$27,$EZ839)*INDEX(BI$6:BI$13,$FD839)*INDEX($BR$6:$BR$9,FI839)/5,0)*5</f>
        <v>210</v>
      </c>
      <c r="FR839" s="14" t="e">
        <f t="shared" ref="FR839:FR875" si="789">ROUND(INDEX(O$6:O$27,$EZ839)*INDEX(BJ$6:BJ$13,$FD839)*INDEX($BR$6:$BR$9,FI839)/5,0)*5</f>
        <v>#VALUE!</v>
      </c>
      <c r="FS839" s="14">
        <f t="shared" ref="FS839:FS875" si="790">ROUND(INDEX(S$6:S$27,$EZ839)*INDEX(BH$6:BH$13,$FD839)*INDEX($BR$6:$BR$9,FI839),0)</f>
        <v>20</v>
      </c>
      <c r="FT839" s="14">
        <f t="shared" ref="FT839:FT875" si="791">ROUND(INDEX(T$6:T$27,$EZ839)*INDEX(BI$6:BI$13,$FD839)*INDEX($BR$6:$BR$9,FI839),0)</f>
        <v>13</v>
      </c>
      <c r="FU839" s="14" t="e">
        <f t="shared" ref="FU839:FU875" si="792">ROUND(INDEX(U$6:U$27,$EZ839)*INDEX(BJ$6:BJ$13,$FD839)*INDEX($BR$6:$BR$9,FI839),0)</f>
        <v>#VALUE!</v>
      </c>
      <c r="FV839" s="14">
        <f t="shared" si="777"/>
        <v>2111</v>
      </c>
      <c r="FW839" s="14">
        <f t="shared" si="778"/>
        <v>0</v>
      </c>
      <c r="FX839" s="14" t="str">
        <f t="shared" si="779"/>
        <v/>
      </c>
      <c r="FY839" s="25" t="str">
        <f t="shared" ref="FY839:FY875" si="793">IF(FE839,"icon_"&amp;FF839,FY$2&amp;INDEX($ES$6:$ES$7,EV839)*100000+FL839*1000+100+FD839)</f>
        <v>icon_2111107</v>
      </c>
      <c r="GC839" s="14">
        <f t="shared" si="780"/>
        <v>1</v>
      </c>
      <c r="GD839" s="14">
        <f t="shared" si="781"/>
        <v>2</v>
      </c>
      <c r="GE839" s="14" t="e">
        <f t="shared" si="756"/>
        <v>#VALUE!</v>
      </c>
      <c r="GF839" s="14" t="str">
        <f t="shared" si="757"/>
        <v>AtkExt</v>
      </c>
      <c r="GG839" s="14">
        <f t="shared" si="758"/>
        <v>335</v>
      </c>
      <c r="GH839" s="14">
        <f t="shared" si="759"/>
        <v>20</v>
      </c>
      <c r="GI839" s="14" t="str">
        <f t="shared" si="760"/>
        <v>DefExt</v>
      </c>
      <c r="GJ839" s="14">
        <f t="shared" si="761"/>
        <v>210</v>
      </c>
      <c r="GK839" s="14">
        <f t="shared" si="762"/>
        <v>13</v>
      </c>
      <c r="GL839" s="14">
        <f t="shared" si="782"/>
        <v>21110</v>
      </c>
      <c r="GM839" s="14">
        <f t="shared" si="763"/>
        <v>0</v>
      </c>
      <c r="GN839" s="14" t="str">
        <f t="shared" si="764"/>
        <v/>
      </c>
      <c r="GO839" s="25" t="s">
        <v>1471</v>
      </c>
      <c r="GP839" s="14">
        <f t="shared" si="783"/>
        <v>120</v>
      </c>
    </row>
    <row r="840" spans="151:198" ht="16.5" x14ac:dyDescent="0.2">
      <c r="EU840" s="13">
        <v>835</v>
      </c>
      <c r="EV840" s="14">
        <f t="shared" si="784"/>
        <v>2</v>
      </c>
      <c r="EW840" s="14">
        <f t="shared" si="752"/>
        <v>400</v>
      </c>
      <c r="EX840" s="14">
        <f t="shared" si="785"/>
        <v>53</v>
      </c>
      <c r="EY840" s="14">
        <f t="shared" si="753"/>
        <v>10</v>
      </c>
      <c r="EZ840" s="14">
        <f t="shared" si="765"/>
        <v>22</v>
      </c>
      <c r="FA840" s="14">
        <f t="shared" si="766"/>
        <v>150</v>
      </c>
      <c r="FB840" s="14">
        <f t="shared" si="767"/>
        <v>1</v>
      </c>
      <c r="FC840" s="14">
        <f t="shared" si="768"/>
        <v>8</v>
      </c>
      <c r="FD840" s="14">
        <f t="shared" si="769"/>
        <v>8</v>
      </c>
      <c r="FE840" s="14" t="b">
        <f t="shared" si="786"/>
        <v>0</v>
      </c>
      <c r="FF840" s="14">
        <f t="shared" si="770"/>
        <v>2111108</v>
      </c>
      <c r="FG840" s="13" t="str">
        <f t="shared" si="771"/>
        <v>150级-普通守护灵の戒指</v>
      </c>
      <c r="FH840" s="14">
        <f t="shared" si="772"/>
        <v>2</v>
      </c>
      <c r="FI840" s="14">
        <f t="shared" si="773"/>
        <v>1</v>
      </c>
      <c r="FJ840" s="14">
        <f t="shared" si="774"/>
        <v>150</v>
      </c>
      <c r="FK840" s="14">
        <v>401</v>
      </c>
      <c r="FL840" s="14">
        <f t="shared" si="775"/>
        <v>11</v>
      </c>
      <c r="FM840" s="14">
        <f t="shared" si="754"/>
        <v>8</v>
      </c>
      <c r="FN840" s="14" t="str">
        <f t="shared" si="776"/>
        <v/>
      </c>
      <c r="FO840" s="14" t="e">
        <f t="shared" si="755"/>
        <v>#VALUE!</v>
      </c>
      <c r="FP840" s="14">
        <f t="shared" si="787"/>
        <v>335</v>
      </c>
      <c r="FQ840" s="14">
        <f t="shared" si="788"/>
        <v>0</v>
      </c>
      <c r="FR840" s="14" t="e">
        <f t="shared" si="789"/>
        <v>#VALUE!</v>
      </c>
      <c r="FS840" s="14">
        <f t="shared" si="790"/>
        <v>20</v>
      </c>
      <c r="FT840" s="14">
        <f t="shared" si="791"/>
        <v>0</v>
      </c>
      <c r="FU840" s="14" t="e">
        <f t="shared" si="792"/>
        <v>#VALUE!</v>
      </c>
      <c r="FV840" s="14">
        <f t="shared" si="777"/>
        <v>2111</v>
      </c>
      <c r="FW840" s="14">
        <f t="shared" si="778"/>
        <v>0</v>
      </c>
      <c r="FX840" s="14" t="str">
        <f t="shared" si="779"/>
        <v/>
      </c>
      <c r="FY840" s="25" t="str">
        <f t="shared" si="793"/>
        <v>icon_2111108</v>
      </c>
      <c r="GC840" s="14">
        <f t="shared" si="780"/>
        <v>1</v>
      </c>
      <c r="GD840" s="14">
        <f t="shared" si="781"/>
        <v>3</v>
      </c>
      <c r="GE840" s="14" t="e">
        <f t="shared" si="756"/>
        <v>#VALUE!</v>
      </c>
      <c r="GF840" s="14" t="str">
        <f t="shared" si="757"/>
        <v>AtkExt</v>
      </c>
      <c r="GG840" s="14">
        <f t="shared" si="758"/>
        <v>335</v>
      </c>
      <c r="GH840" s="14">
        <f t="shared" si="759"/>
        <v>20</v>
      </c>
      <c r="GI840" s="14" t="str">
        <f t="shared" si="760"/>
        <v>HPExt</v>
      </c>
      <c r="GJ840" s="14" t="e">
        <f t="shared" si="761"/>
        <v>#VALUE!</v>
      </c>
      <c r="GK840" s="14" t="e">
        <f t="shared" si="762"/>
        <v>#VALUE!</v>
      </c>
      <c r="GL840" s="14">
        <f t="shared" si="782"/>
        <v>21110</v>
      </c>
      <c r="GM840" s="14">
        <f t="shared" si="763"/>
        <v>0</v>
      </c>
      <c r="GN840" s="14" t="str">
        <f t="shared" si="764"/>
        <v/>
      </c>
      <c r="GO840" s="25" t="s">
        <v>1471</v>
      </c>
      <c r="GP840" s="14">
        <f t="shared" si="783"/>
        <v>120</v>
      </c>
    </row>
    <row r="841" spans="151:198" ht="16.5" x14ac:dyDescent="0.2">
      <c r="EU841" s="13">
        <v>836</v>
      </c>
      <c r="EV841" s="14">
        <f t="shared" si="784"/>
        <v>2</v>
      </c>
      <c r="EW841" s="14">
        <f t="shared" si="752"/>
        <v>401</v>
      </c>
      <c r="EX841" s="14">
        <f t="shared" si="785"/>
        <v>54</v>
      </c>
      <c r="EY841" s="14">
        <f t="shared" si="753"/>
        <v>20</v>
      </c>
      <c r="EZ841" s="14">
        <f t="shared" si="765"/>
        <v>22</v>
      </c>
      <c r="FA841" s="14">
        <f t="shared" si="766"/>
        <v>150</v>
      </c>
      <c r="FB841" s="14">
        <f t="shared" si="767"/>
        <v>2</v>
      </c>
      <c r="FC841" s="14">
        <f t="shared" si="768"/>
        <v>1</v>
      </c>
      <c r="FD841" s="14">
        <f t="shared" si="769"/>
        <v>1</v>
      </c>
      <c r="FE841" s="14" t="b">
        <f t="shared" si="786"/>
        <v>0</v>
      </c>
      <c r="FF841" s="14">
        <f t="shared" si="770"/>
        <v>2111201</v>
      </c>
      <c r="FG841" s="13" t="str">
        <f t="shared" si="771"/>
        <v>150级-优秀守护灵の灵器</v>
      </c>
      <c r="FH841" s="14">
        <f t="shared" si="772"/>
        <v>2</v>
      </c>
      <c r="FI841" s="14">
        <f t="shared" si="773"/>
        <v>2</v>
      </c>
      <c r="FJ841" s="14">
        <f t="shared" si="774"/>
        <v>150</v>
      </c>
      <c r="FK841" s="14">
        <v>402</v>
      </c>
      <c r="FL841" s="14">
        <f t="shared" si="775"/>
        <v>11</v>
      </c>
      <c r="FM841" s="14">
        <f t="shared" si="754"/>
        <v>1</v>
      </c>
      <c r="FN841" s="14" t="str">
        <f t="shared" si="776"/>
        <v/>
      </c>
      <c r="FO841" s="14" t="e">
        <f t="shared" si="755"/>
        <v>#VALUE!</v>
      </c>
      <c r="FP841" s="14">
        <f t="shared" si="787"/>
        <v>1410</v>
      </c>
      <c r="FQ841" s="14">
        <f t="shared" si="788"/>
        <v>0</v>
      </c>
      <c r="FR841" s="14" t="e">
        <f t="shared" si="789"/>
        <v>#VALUE!</v>
      </c>
      <c r="FS841" s="14">
        <f t="shared" si="790"/>
        <v>85</v>
      </c>
      <c r="FT841" s="14">
        <f t="shared" si="791"/>
        <v>0</v>
      </c>
      <c r="FU841" s="14" t="e">
        <f t="shared" si="792"/>
        <v>#VALUE!</v>
      </c>
      <c r="FV841" s="14">
        <f t="shared" si="777"/>
        <v>2112</v>
      </c>
      <c r="FW841" s="14">
        <f t="shared" si="778"/>
        <v>0</v>
      </c>
      <c r="FX841" s="14" t="str">
        <f t="shared" si="779"/>
        <v/>
      </c>
      <c r="FY841" s="25" t="str">
        <f t="shared" si="793"/>
        <v>icon_2111101</v>
      </c>
      <c r="GC841" s="14">
        <f t="shared" si="780"/>
        <v>1</v>
      </c>
      <c r="GD841" s="14">
        <f t="shared" si="781"/>
        <v>0</v>
      </c>
      <c r="GE841" s="14" t="e">
        <f t="shared" si="756"/>
        <v>#VALUE!</v>
      </c>
      <c r="GF841" s="14" t="str">
        <f t="shared" si="757"/>
        <v>AtkExt</v>
      </c>
      <c r="GG841" s="14">
        <f t="shared" si="758"/>
        <v>1410</v>
      </c>
      <c r="GH841" s="14">
        <f t="shared" si="759"/>
        <v>85</v>
      </c>
      <c r="GI841" s="14" t="str">
        <f t="shared" si="760"/>
        <v/>
      </c>
      <c r="GJ841" s="14" t="str">
        <f t="shared" si="761"/>
        <v/>
      </c>
      <c r="GK841" s="14" t="str">
        <f t="shared" si="762"/>
        <v/>
      </c>
      <c r="GL841" s="14">
        <f t="shared" si="782"/>
        <v>21120</v>
      </c>
      <c r="GM841" s="14">
        <f t="shared" si="763"/>
        <v>0</v>
      </c>
      <c r="GN841" s="14" t="str">
        <f t="shared" si="764"/>
        <v/>
      </c>
      <c r="GO841" s="25" t="s">
        <v>1471</v>
      </c>
      <c r="GP841" s="14">
        <f t="shared" si="783"/>
        <v>480</v>
      </c>
    </row>
    <row r="842" spans="151:198" ht="16.5" x14ac:dyDescent="0.2">
      <c r="EU842" s="13">
        <v>837</v>
      </c>
      <c r="EV842" s="14">
        <f t="shared" si="784"/>
        <v>2</v>
      </c>
      <c r="EW842" s="14">
        <f t="shared" si="752"/>
        <v>402</v>
      </c>
      <c r="EX842" s="14">
        <f t="shared" si="785"/>
        <v>54</v>
      </c>
      <c r="EY842" s="14">
        <f t="shared" si="753"/>
        <v>20</v>
      </c>
      <c r="EZ842" s="14">
        <f t="shared" si="765"/>
        <v>22</v>
      </c>
      <c r="FA842" s="14">
        <f t="shared" si="766"/>
        <v>150</v>
      </c>
      <c r="FB842" s="14">
        <f t="shared" si="767"/>
        <v>2</v>
      </c>
      <c r="FC842" s="14">
        <f t="shared" si="768"/>
        <v>2</v>
      </c>
      <c r="FD842" s="14">
        <f t="shared" si="769"/>
        <v>2</v>
      </c>
      <c r="FE842" s="14" t="b">
        <f t="shared" si="786"/>
        <v>0</v>
      </c>
      <c r="FF842" s="14">
        <f t="shared" si="770"/>
        <v>2111202</v>
      </c>
      <c r="FG842" s="13" t="str">
        <f t="shared" si="771"/>
        <v>150级-优秀守护灵の头盔</v>
      </c>
      <c r="FH842" s="14">
        <f t="shared" si="772"/>
        <v>2</v>
      </c>
      <c r="FI842" s="14">
        <f t="shared" si="773"/>
        <v>2</v>
      </c>
      <c r="FJ842" s="14">
        <f t="shared" si="774"/>
        <v>150</v>
      </c>
      <c r="FK842" s="14">
        <v>403</v>
      </c>
      <c r="FL842" s="14">
        <f t="shared" si="775"/>
        <v>11</v>
      </c>
      <c r="FM842" s="14">
        <f t="shared" si="754"/>
        <v>2</v>
      </c>
      <c r="FN842" s="14" t="str">
        <f t="shared" si="776"/>
        <v/>
      </c>
      <c r="FO842" s="14" t="e">
        <f t="shared" si="755"/>
        <v>#VALUE!</v>
      </c>
      <c r="FP842" s="14">
        <f t="shared" si="787"/>
        <v>0</v>
      </c>
      <c r="FQ842" s="14">
        <f t="shared" si="788"/>
        <v>355</v>
      </c>
      <c r="FR842" s="14" t="e">
        <f t="shared" si="789"/>
        <v>#VALUE!</v>
      </c>
      <c r="FS842" s="14">
        <f t="shared" si="790"/>
        <v>0</v>
      </c>
      <c r="FT842" s="14">
        <f t="shared" si="791"/>
        <v>21</v>
      </c>
      <c r="FU842" s="14" t="e">
        <f t="shared" si="792"/>
        <v>#VALUE!</v>
      </c>
      <c r="FV842" s="14">
        <f t="shared" si="777"/>
        <v>2112</v>
      </c>
      <c r="FW842" s="14">
        <f t="shared" si="778"/>
        <v>0</v>
      </c>
      <c r="FX842" s="14" t="str">
        <f t="shared" si="779"/>
        <v/>
      </c>
      <c r="FY842" s="25" t="str">
        <f t="shared" si="793"/>
        <v>icon_2111102</v>
      </c>
      <c r="GC842" s="14">
        <f t="shared" si="780"/>
        <v>2</v>
      </c>
      <c r="GD842" s="14">
        <f t="shared" si="781"/>
        <v>0</v>
      </c>
      <c r="GE842" s="14" t="e">
        <f t="shared" si="756"/>
        <v>#VALUE!</v>
      </c>
      <c r="GF842" s="14" t="str">
        <f t="shared" si="757"/>
        <v>DefExt</v>
      </c>
      <c r="GG842" s="14">
        <f t="shared" si="758"/>
        <v>355</v>
      </c>
      <c r="GH842" s="14">
        <f t="shared" si="759"/>
        <v>21</v>
      </c>
      <c r="GI842" s="14" t="str">
        <f t="shared" si="760"/>
        <v/>
      </c>
      <c r="GJ842" s="14" t="str">
        <f t="shared" si="761"/>
        <v/>
      </c>
      <c r="GK842" s="14" t="str">
        <f t="shared" si="762"/>
        <v/>
      </c>
      <c r="GL842" s="14">
        <f t="shared" si="782"/>
        <v>21120</v>
      </c>
      <c r="GM842" s="14">
        <f t="shared" si="763"/>
        <v>0</v>
      </c>
      <c r="GN842" s="14" t="str">
        <f t="shared" si="764"/>
        <v/>
      </c>
      <c r="GO842" s="25" t="s">
        <v>1471</v>
      </c>
      <c r="GP842" s="14">
        <f t="shared" si="783"/>
        <v>240</v>
      </c>
    </row>
    <row r="843" spans="151:198" ht="16.5" x14ac:dyDescent="0.2">
      <c r="EU843" s="13">
        <v>838</v>
      </c>
      <c r="EV843" s="14">
        <f t="shared" si="784"/>
        <v>2</v>
      </c>
      <c r="EW843" s="14">
        <f t="shared" si="752"/>
        <v>403</v>
      </c>
      <c r="EX843" s="14">
        <f t="shared" si="785"/>
        <v>54</v>
      </c>
      <c r="EY843" s="14">
        <f t="shared" si="753"/>
        <v>20</v>
      </c>
      <c r="EZ843" s="14">
        <f t="shared" si="765"/>
        <v>22</v>
      </c>
      <c r="FA843" s="14">
        <f t="shared" si="766"/>
        <v>150</v>
      </c>
      <c r="FB843" s="14">
        <f t="shared" si="767"/>
        <v>2</v>
      </c>
      <c r="FC843" s="14">
        <f t="shared" si="768"/>
        <v>3</v>
      </c>
      <c r="FD843" s="14">
        <f t="shared" si="769"/>
        <v>3</v>
      </c>
      <c r="FE843" s="14" t="b">
        <f t="shared" si="786"/>
        <v>0</v>
      </c>
      <c r="FF843" s="14">
        <f t="shared" si="770"/>
        <v>2111203</v>
      </c>
      <c r="FG843" s="13" t="str">
        <f t="shared" si="771"/>
        <v>150级-优秀守护灵の铠甲</v>
      </c>
      <c r="FH843" s="14">
        <f t="shared" si="772"/>
        <v>2</v>
      </c>
      <c r="FI843" s="14">
        <f t="shared" si="773"/>
        <v>2</v>
      </c>
      <c r="FJ843" s="14">
        <f t="shared" si="774"/>
        <v>150</v>
      </c>
      <c r="FK843" s="14">
        <v>404</v>
      </c>
      <c r="FL843" s="14">
        <f t="shared" si="775"/>
        <v>11</v>
      </c>
      <c r="FM843" s="14">
        <f t="shared" si="754"/>
        <v>3</v>
      </c>
      <c r="FN843" s="14" t="str">
        <f t="shared" si="776"/>
        <v/>
      </c>
      <c r="FO843" s="14" t="e">
        <f t="shared" si="755"/>
        <v>#VALUE!</v>
      </c>
      <c r="FP843" s="14">
        <f t="shared" si="787"/>
        <v>0</v>
      </c>
      <c r="FQ843" s="14">
        <f t="shared" si="788"/>
        <v>175</v>
      </c>
      <c r="FR843" s="14" t="e">
        <f t="shared" si="789"/>
        <v>#VALUE!</v>
      </c>
      <c r="FS843" s="14">
        <f t="shared" si="790"/>
        <v>0</v>
      </c>
      <c r="FT843" s="14">
        <f t="shared" si="791"/>
        <v>11</v>
      </c>
      <c r="FU843" s="14" t="e">
        <f t="shared" si="792"/>
        <v>#VALUE!</v>
      </c>
      <c r="FV843" s="14">
        <f t="shared" si="777"/>
        <v>2112</v>
      </c>
      <c r="FW843" s="14">
        <f t="shared" si="778"/>
        <v>0</v>
      </c>
      <c r="FX843" s="14" t="str">
        <f t="shared" si="779"/>
        <v/>
      </c>
      <c r="FY843" s="25" t="str">
        <f t="shared" si="793"/>
        <v>icon_2111103</v>
      </c>
      <c r="GC843" s="14">
        <f t="shared" si="780"/>
        <v>2</v>
      </c>
      <c r="GD843" s="14">
        <f t="shared" si="781"/>
        <v>3</v>
      </c>
      <c r="GE843" s="14" t="e">
        <f t="shared" si="756"/>
        <v>#VALUE!</v>
      </c>
      <c r="GF843" s="14" t="str">
        <f t="shared" si="757"/>
        <v>DefExt</v>
      </c>
      <c r="GG843" s="14">
        <f t="shared" si="758"/>
        <v>175</v>
      </c>
      <c r="GH843" s="14">
        <f t="shared" si="759"/>
        <v>11</v>
      </c>
      <c r="GI843" s="14" t="str">
        <f t="shared" si="760"/>
        <v>HPExt</v>
      </c>
      <c r="GJ843" s="14" t="e">
        <f t="shared" si="761"/>
        <v>#VALUE!</v>
      </c>
      <c r="GK843" s="14" t="e">
        <f t="shared" si="762"/>
        <v>#VALUE!</v>
      </c>
      <c r="GL843" s="14">
        <f t="shared" si="782"/>
        <v>21120</v>
      </c>
      <c r="GM843" s="14">
        <f t="shared" si="763"/>
        <v>0</v>
      </c>
      <c r="GN843" s="14" t="str">
        <f t="shared" si="764"/>
        <v/>
      </c>
      <c r="GO843" s="25" t="s">
        <v>1471</v>
      </c>
      <c r="GP843" s="14">
        <f t="shared" si="783"/>
        <v>240</v>
      </c>
    </row>
    <row r="844" spans="151:198" ht="16.5" x14ac:dyDescent="0.2">
      <c r="EU844" s="13">
        <v>839</v>
      </c>
      <c r="EV844" s="14">
        <f t="shared" si="784"/>
        <v>2</v>
      </c>
      <c r="EW844" s="14">
        <f t="shared" si="752"/>
        <v>404</v>
      </c>
      <c r="EX844" s="14">
        <f t="shared" si="785"/>
        <v>54</v>
      </c>
      <c r="EY844" s="14">
        <f t="shared" si="753"/>
        <v>20</v>
      </c>
      <c r="EZ844" s="14">
        <f t="shared" si="765"/>
        <v>22</v>
      </c>
      <c r="FA844" s="14">
        <f t="shared" si="766"/>
        <v>150</v>
      </c>
      <c r="FB844" s="14">
        <f t="shared" si="767"/>
        <v>2</v>
      </c>
      <c r="FC844" s="14">
        <f t="shared" si="768"/>
        <v>4</v>
      </c>
      <c r="FD844" s="14">
        <f t="shared" si="769"/>
        <v>4</v>
      </c>
      <c r="FE844" s="14" t="b">
        <f t="shared" si="786"/>
        <v>0</v>
      </c>
      <c r="FF844" s="14">
        <f t="shared" si="770"/>
        <v>2111204</v>
      </c>
      <c r="FG844" s="13" t="str">
        <f t="shared" si="771"/>
        <v>150级-优秀守护灵の裤子</v>
      </c>
      <c r="FH844" s="14">
        <f t="shared" si="772"/>
        <v>2</v>
      </c>
      <c r="FI844" s="14">
        <f t="shared" si="773"/>
        <v>2</v>
      </c>
      <c r="FJ844" s="14">
        <f t="shared" si="774"/>
        <v>150</v>
      </c>
      <c r="FK844" s="14">
        <v>405</v>
      </c>
      <c r="FL844" s="14">
        <f t="shared" si="775"/>
        <v>11</v>
      </c>
      <c r="FM844" s="14">
        <f t="shared" si="754"/>
        <v>4</v>
      </c>
      <c r="FN844" s="14" t="str">
        <f t="shared" si="776"/>
        <v/>
      </c>
      <c r="FO844" s="14" t="e">
        <f t="shared" si="755"/>
        <v>#VALUE!</v>
      </c>
      <c r="FP844" s="14">
        <f t="shared" si="787"/>
        <v>0</v>
      </c>
      <c r="FQ844" s="14">
        <f t="shared" si="788"/>
        <v>355</v>
      </c>
      <c r="FR844" s="14" t="e">
        <f t="shared" si="789"/>
        <v>#VALUE!</v>
      </c>
      <c r="FS844" s="14">
        <f t="shared" si="790"/>
        <v>0</v>
      </c>
      <c r="FT844" s="14">
        <f t="shared" si="791"/>
        <v>21</v>
      </c>
      <c r="FU844" s="14" t="e">
        <f t="shared" si="792"/>
        <v>#VALUE!</v>
      </c>
      <c r="FV844" s="14">
        <f t="shared" si="777"/>
        <v>2112</v>
      </c>
      <c r="FW844" s="14">
        <f t="shared" si="778"/>
        <v>0</v>
      </c>
      <c r="FX844" s="14" t="str">
        <f t="shared" si="779"/>
        <v/>
      </c>
      <c r="FY844" s="25" t="str">
        <f t="shared" si="793"/>
        <v>icon_2111104</v>
      </c>
      <c r="GC844" s="14">
        <f t="shared" si="780"/>
        <v>2</v>
      </c>
      <c r="GD844" s="14">
        <f t="shared" si="781"/>
        <v>0</v>
      </c>
      <c r="GE844" s="14" t="e">
        <f t="shared" si="756"/>
        <v>#VALUE!</v>
      </c>
      <c r="GF844" s="14" t="str">
        <f t="shared" si="757"/>
        <v>DefExt</v>
      </c>
      <c r="GG844" s="14">
        <f t="shared" si="758"/>
        <v>355</v>
      </c>
      <c r="GH844" s="14">
        <f t="shared" si="759"/>
        <v>21</v>
      </c>
      <c r="GI844" s="14" t="str">
        <f t="shared" si="760"/>
        <v/>
      </c>
      <c r="GJ844" s="14" t="str">
        <f t="shared" si="761"/>
        <v/>
      </c>
      <c r="GK844" s="14" t="str">
        <f t="shared" si="762"/>
        <v/>
      </c>
      <c r="GL844" s="14">
        <f t="shared" si="782"/>
        <v>21120</v>
      </c>
      <c r="GM844" s="14">
        <f t="shared" si="763"/>
        <v>0</v>
      </c>
      <c r="GN844" s="14" t="str">
        <f t="shared" si="764"/>
        <v/>
      </c>
      <c r="GO844" s="25" t="s">
        <v>1471</v>
      </c>
      <c r="GP844" s="14">
        <f t="shared" si="783"/>
        <v>240</v>
      </c>
    </row>
    <row r="845" spans="151:198" ht="16.5" x14ac:dyDescent="0.2">
      <c r="EU845" s="13">
        <v>840</v>
      </c>
      <c r="EV845" s="14">
        <f t="shared" si="784"/>
        <v>2</v>
      </c>
      <c r="EW845" s="14">
        <f t="shared" si="752"/>
        <v>405</v>
      </c>
      <c r="EX845" s="14">
        <f t="shared" si="785"/>
        <v>54</v>
      </c>
      <c r="EY845" s="14">
        <f t="shared" si="753"/>
        <v>20</v>
      </c>
      <c r="EZ845" s="14">
        <f t="shared" si="765"/>
        <v>22</v>
      </c>
      <c r="FA845" s="14">
        <f t="shared" si="766"/>
        <v>150</v>
      </c>
      <c r="FB845" s="14">
        <f t="shared" si="767"/>
        <v>2</v>
      </c>
      <c r="FC845" s="14">
        <f t="shared" si="768"/>
        <v>5</v>
      </c>
      <c r="FD845" s="14">
        <f t="shared" si="769"/>
        <v>5</v>
      </c>
      <c r="FE845" s="14" t="b">
        <f t="shared" si="786"/>
        <v>0</v>
      </c>
      <c r="FF845" s="14">
        <f t="shared" si="770"/>
        <v>2111205</v>
      </c>
      <c r="FG845" s="13" t="str">
        <f t="shared" si="771"/>
        <v>150级-优秀守护灵の鞋子</v>
      </c>
      <c r="FH845" s="14">
        <f t="shared" si="772"/>
        <v>2</v>
      </c>
      <c r="FI845" s="14">
        <f t="shared" si="773"/>
        <v>2</v>
      </c>
      <c r="FJ845" s="14">
        <f t="shared" si="774"/>
        <v>150</v>
      </c>
      <c r="FK845" s="14">
        <v>406</v>
      </c>
      <c r="FL845" s="14">
        <f t="shared" si="775"/>
        <v>11</v>
      </c>
      <c r="FM845" s="14">
        <f t="shared" si="754"/>
        <v>5</v>
      </c>
      <c r="FN845" s="14" t="str">
        <f t="shared" si="776"/>
        <v/>
      </c>
      <c r="FO845" s="14" t="e">
        <f t="shared" si="755"/>
        <v>#VALUE!</v>
      </c>
      <c r="FP845" s="14">
        <f t="shared" si="787"/>
        <v>0</v>
      </c>
      <c r="FQ845" s="14">
        <f t="shared" si="788"/>
        <v>0</v>
      </c>
      <c r="FR845" s="14" t="e">
        <f t="shared" si="789"/>
        <v>#VALUE!</v>
      </c>
      <c r="FS845" s="14">
        <f t="shared" si="790"/>
        <v>0</v>
      </c>
      <c r="FT845" s="14">
        <f t="shared" si="791"/>
        <v>0</v>
      </c>
      <c r="FU845" s="14" t="e">
        <f t="shared" si="792"/>
        <v>#VALUE!</v>
      </c>
      <c r="FV845" s="14">
        <f t="shared" si="777"/>
        <v>2112</v>
      </c>
      <c r="FW845" s="14">
        <f t="shared" si="778"/>
        <v>0</v>
      </c>
      <c r="FX845" s="14" t="str">
        <f t="shared" si="779"/>
        <v/>
      </c>
      <c r="FY845" s="25" t="str">
        <f t="shared" si="793"/>
        <v>icon_2111105</v>
      </c>
      <c r="GC845" s="14">
        <f t="shared" si="780"/>
        <v>3</v>
      </c>
      <c r="GD845" s="14">
        <f t="shared" si="781"/>
        <v>0</v>
      </c>
      <c r="GE845" s="14" t="e">
        <f t="shared" si="756"/>
        <v>#VALUE!</v>
      </c>
      <c r="GF845" s="14" t="str">
        <f t="shared" si="757"/>
        <v>HPExt</v>
      </c>
      <c r="GG845" s="14" t="e">
        <f t="shared" si="758"/>
        <v>#VALUE!</v>
      </c>
      <c r="GH845" s="14" t="e">
        <f t="shared" si="759"/>
        <v>#VALUE!</v>
      </c>
      <c r="GI845" s="14" t="str">
        <f t="shared" si="760"/>
        <v/>
      </c>
      <c r="GJ845" s="14" t="str">
        <f t="shared" si="761"/>
        <v/>
      </c>
      <c r="GK845" s="14" t="str">
        <f t="shared" si="762"/>
        <v/>
      </c>
      <c r="GL845" s="14">
        <f t="shared" si="782"/>
        <v>21120</v>
      </c>
      <c r="GM845" s="14">
        <f t="shared" si="763"/>
        <v>0</v>
      </c>
      <c r="GN845" s="14" t="str">
        <f t="shared" si="764"/>
        <v/>
      </c>
      <c r="GO845" s="25" t="s">
        <v>1471</v>
      </c>
      <c r="GP845" s="14">
        <f t="shared" si="783"/>
        <v>240</v>
      </c>
    </row>
    <row r="846" spans="151:198" ht="16.5" x14ac:dyDescent="0.2">
      <c r="EU846" s="13">
        <v>841</v>
      </c>
      <c r="EV846" s="14">
        <f t="shared" si="784"/>
        <v>2</v>
      </c>
      <c r="EW846" s="14">
        <f t="shared" si="752"/>
        <v>406</v>
      </c>
      <c r="EX846" s="14">
        <f t="shared" si="785"/>
        <v>54</v>
      </c>
      <c r="EY846" s="14">
        <f t="shared" si="753"/>
        <v>20</v>
      </c>
      <c r="EZ846" s="14">
        <f t="shared" si="765"/>
        <v>22</v>
      </c>
      <c r="FA846" s="14">
        <f t="shared" si="766"/>
        <v>150</v>
      </c>
      <c r="FB846" s="14">
        <f t="shared" si="767"/>
        <v>2</v>
      </c>
      <c r="FC846" s="14">
        <f t="shared" si="768"/>
        <v>6</v>
      </c>
      <c r="FD846" s="14">
        <f t="shared" si="769"/>
        <v>6</v>
      </c>
      <c r="FE846" s="14" t="b">
        <f t="shared" si="786"/>
        <v>0</v>
      </c>
      <c r="FF846" s="14">
        <f t="shared" si="770"/>
        <v>2111206</v>
      </c>
      <c r="FG846" s="13" t="str">
        <f t="shared" si="771"/>
        <v>150级-优秀守护灵の护手</v>
      </c>
      <c r="FH846" s="14">
        <f t="shared" si="772"/>
        <v>2</v>
      </c>
      <c r="FI846" s="14">
        <f t="shared" si="773"/>
        <v>2</v>
      </c>
      <c r="FJ846" s="14">
        <f t="shared" si="774"/>
        <v>150</v>
      </c>
      <c r="FK846" s="14">
        <v>407</v>
      </c>
      <c r="FL846" s="14">
        <f t="shared" si="775"/>
        <v>11</v>
      </c>
      <c r="FM846" s="14">
        <f t="shared" si="754"/>
        <v>6</v>
      </c>
      <c r="FN846" s="14" t="str">
        <f t="shared" si="776"/>
        <v/>
      </c>
      <c r="FO846" s="14" t="e">
        <f t="shared" si="755"/>
        <v>#VALUE!</v>
      </c>
      <c r="FP846" s="14">
        <f t="shared" si="787"/>
        <v>0</v>
      </c>
      <c r="FQ846" s="14">
        <f t="shared" si="788"/>
        <v>0</v>
      </c>
      <c r="FR846" s="14" t="e">
        <f t="shared" si="789"/>
        <v>#VALUE!</v>
      </c>
      <c r="FS846" s="14">
        <f t="shared" si="790"/>
        <v>0</v>
      </c>
      <c r="FT846" s="14">
        <f t="shared" si="791"/>
        <v>0</v>
      </c>
      <c r="FU846" s="14" t="e">
        <f t="shared" si="792"/>
        <v>#VALUE!</v>
      </c>
      <c r="FV846" s="14">
        <f t="shared" si="777"/>
        <v>2112</v>
      </c>
      <c r="FW846" s="14">
        <f t="shared" si="778"/>
        <v>0</v>
      </c>
      <c r="FX846" s="14" t="str">
        <f t="shared" si="779"/>
        <v/>
      </c>
      <c r="FY846" s="25" t="str">
        <f t="shared" si="793"/>
        <v>icon_2111106</v>
      </c>
      <c r="GC846" s="14">
        <f t="shared" si="780"/>
        <v>3</v>
      </c>
      <c r="GD846" s="14">
        <f t="shared" si="781"/>
        <v>0</v>
      </c>
      <c r="GE846" s="14" t="e">
        <f t="shared" si="756"/>
        <v>#VALUE!</v>
      </c>
      <c r="GF846" s="14" t="str">
        <f t="shared" si="757"/>
        <v>HPExt</v>
      </c>
      <c r="GG846" s="14" t="e">
        <f t="shared" si="758"/>
        <v>#VALUE!</v>
      </c>
      <c r="GH846" s="14" t="e">
        <f t="shared" si="759"/>
        <v>#VALUE!</v>
      </c>
      <c r="GI846" s="14" t="str">
        <f t="shared" si="760"/>
        <v/>
      </c>
      <c r="GJ846" s="14" t="str">
        <f t="shared" si="761"/>
        <v/>
      </c>
      <c r="GK846" s="14" t="str">
        <f t="shared" si="762"/>
        <v/>
      </c>
      <c r="GL846" s="14">
        <f t="shared" si="782"/>
        <v>21120</v>
      </c>
      <c r="GM846" s="14">
        <f t="shared" si="763"/>
        <v>0</v>
      </c>
      <c r="GN846" s="14" t="str">
        <f t="shared" si="764"/>
        <v/>
      </c>
      <c r="GO846" s="25" t="s">
        <v>1471</v>
      </c>
      <c r="GP846" s="14">
        <f t="shared" si="783"/>
        <v>240</v>
      </c>
    </row>
    <row r="847" spans="151:198" ht="16.5" x14ac:dyDescent="0.2">
      <c r="EU847" s="13">
        <v>842</v>
      </c>
      <c r="EV847" s="14">
        <f t="shared" si="784"/>
        <v>2</v>
      </c>
      <c r="EW847" s="14">
        <f t="shared" si="752"/>
        <v>407</v>
      </c>
      <c r="EX847" s="14">
        <f t="shared" si="785"/>
        <v>54</v>
      </c>
      <c r="EY847" s="14">
        <f t="shared" si="753"/>
        <v>20</v>
      </c>
      <c r="EZ847" s="14">
        <f t="shared" si="765"/>
        <v>22</v>
      </c>
      <c r="FA847" s="14">
        <f t="shared" si="766"/>
        <v>150</v>
      </c>
      <c r="FB847" s="14">
        <f t="shared" si="767"/>
        <v>2</v>
      </c>
      <c r="FC847" s="14">
        <f t="shared" si="768"/>
        <v>7</v>
      </c>
      <c r="FD847" s="14">
        <f t="shared" si="769"/>
        <v>7</v>
      </c>
      <c r="FE847" s="14" t="b">
        <f t="shared" si="786"/>
        <v>0</v>
      </c>
      <c r="FF847" s="14">
        <f t="shared" si="770"/>
        <v>2111207</v>
      </c>
      <c r="FG847" s="13" t="str">
        <f t="shared" si="771"/>
        <v>150级-优秀守护灵の项链</v>
      </c>
      <c r="FH847" s="14">
        <f t="shared" si="772"/>
        <v>2</v>
      </c>
      <c r="FI847" s="14">
        <f t="shared" si="773"/>
        <v>2</v>
      </c>
      <c r="FJ847" s="14">
        <f t="shared" si="774"/>
        <v>150</v>
      </c>
      <c r="FK847" s="14">
        <v>408</v>
      </c>
      <c r="FL847" s="14">
        <f t="shared" si="775"/>
        <v>11</v>
      </c>
      <c r="FM847" s="14">
        <f t="shared" si="754"/>
        <v>7</v>
      </c>
      <c r="FN847" s="14" t="str">
        <f t="shared" si="776"/>
        <v/>
      </c>
      <c r="FO847" s="14" t="e">
        <f t="shared" si="755"/>
        <v>#VALUE!</v>
      </c>
      <c r="FP847" s="14">
        <f t="shared" si="787"/>
        <v>470</v>
      </c>
      <c r="FQ847" s="14">
        <f t="shared" si="788"/>
        <v>295</v>
      </c>
      <c r="FR847" s="14" t="e">
        <f t="shared" si="789"/>
        <v>#VALUE!</v>
      </c>
      <c r="FS847" s="14">
        <f t="shared" si="790"/>
        <v>28</v>
      </c>
      <c r="FT847" s="14">
        <f t="shared" si="791"/>
        <v>18</v>
      </c>
      <c r="FU847" s="14" t="e">
        <f t="shared" si="792"/>
        <v>#VALUE!</v>
      </c>
      <c r="FV847" s="14">
        <f t="shared" si="777"/>
        <v>2112</v>
      </c>
      <c r="FW847" s="14">
        <f t="shared" si="778"/>
        <v>0</v>
      </c>
      <c r="FX847" s="14" t="str">
        <f t="shared" si="779"/>
        <v/>
      </c>
      <c r="FY847" s="25" t="str">
        <f t="shared" si="793"/>
        <v>icon_2111107</v>
      </c>
      <c r="GC847" s="14">
        <f t="shared" si="780"/>
        <v>1</v>
      </c>
      <c r="GD847" s="14">
        <f t="shared" si="781"/>
        <v>2</v>
      </c>
      <c r="GE847" s="14" t="e">
        <f t="shared" si="756"/>
        <v>#VALUE!</v>
      </c>
      <c r="GF847" s="14" t="str">
        <f t="shared" si="757"/>
        <v>AtkExt</v>
      </c>
      <c r="GG847" s="14">
        <f t="shared" si="758"/>
        <v>470</v>
      </c>
      <c r="GH847" s="14">
        <f t="shared" si="759"/>
        <v>28</v>
      </c>
      <c r="GI847" s="14" t="str">
        <f t="shared" si="760"/>
        <v>DefExt</v>
      </c>
      <c r="GJ847" s="14">
        <f t="shared" si="761"/>
        <v>295</v>
      </c>
      <c r="GK847" s="14">
        <f t="shared" si="762"/>
        <v>18</v>
      </c>
      <c r="GL847" s="14">
        <f t="shared" si="782"/>
        <v>21120</v>
      </c>
      <c r="GM847" s="14">
        <f t="shared" si="763"/>
        <v>0</v>
      </c>
      <c r="GN847" s="14" t="str">
        <f t="shared" si="764"/>
        <v/>
      </c>
      <c r="GO847" s="25" t="s">
        <v>1471</v>
      </c>
      <c r="GP847" s="14">
        <f t="shared" si="783"/>
        <v>360</v>
      </c>
    </row>
    <row r="848" spans="151:198" ht="16.5" x14ac:dyDescent="0.2">
      <c r="EU848" s="13">
        <v>843</v>
      </c>
      <c r="EV848" s="14">
        <f t="shared" si="784"/>
        <v>2</v>
      </c>
      <c r="EW848" s="14">
        <f t="shared" si="752"/>
        <v>408</v>
      </c>
      <c r="EX848" s="14">
        <f t="shared" si="785"/>
        <v>54</v>
      </c>
      <c r="EY848" s="14">
        <f t="shared" si="753"/>
        <v>20</v>
      </c>
      <c r="EZ848" s="14">
        <f t="shared" si="765"/>
        <v>22</v>
      </c>
      <c r="FA848" s="14">
        <f t="shared" si="766"/>
        <v>150</v>
      </c>
      <c r="FB848" s="14">
        <f t="shared" si="767"/>
        <v>2</v>
      </c>
      <c r="FC848" s="14">
        <f t="shared" si="768"/>
        <v>8</v>
      </c>
      <c r="FD848" s="14">
        <f t="shared" si="769"/>
        <v>8</v>
      </c>
      <c r="FE848" s="14" t="b">
        <f t="shared" si="786"/>
        <v>0</v>
      </c>
      <c r="FF848" s="14">
        <f t="shared" si="770"/>
        <v>2111208</v>
      </c>
      <c r="FG848" s="13" t="str">
        <f t="shared" si="771"/>
        <v>150级-优秀守护灵の戒指</v>
      </c>
      <c r="FH848" s="14">
        <f t="shared" si="772"/>
        <v>2</v>
      </c>
      <c r="FI848" s="14">
        <f t="shared" si="773"/>
        <v>2</v>
      </c>
      <c r="FJ848" s="14">
        <f t="shared" si="774"/>
        <v>150</v>
      </c>
      <c r="FK848" s="14">
        <v>409</v>
      </c>
      <c r="FL848" s="14">
        <f t="shared" si="775"/>
        <v>11</v>
      </c>
      <c r="FM848" s="14">
        <f t="shared" si="754"/>
        <v>8</v>
      </c>
      <c r="FN848" s="14" t="str">
        <f t="shared" si="776"/>
        <v/>
      </c>
      <c r="FO848" s="14" t="e">
        <f t="shared" si="755"/>
        <v>#VALUE!</v>
      </c>
      <c r="FP848" s="14">
        <f t="shared" si="787"/>
        <v>470</v>
      </c>
      <c r="FQ848" s="14">
        <f t="shared" si="788"/>
        <v>0</v>
      </c>
      <c r="FR848" s="14" t="e">
        <f t="shared" si="789"/>
        <v>#VALUE!</v>
      </c>
      <c r="FS848" s="14">
        <f t="shared" si="790"/>
        <v>28</v>
      </c>
      <c r="FT848" s="14">
        <f t="shared" si="791"/>
        <v>0</v>
      </c>
      <c r="FU848" s="14" t="e">
        <f t="shared" si="792"/>
        <v>#VALUE!</v>
      </c>
      <c r="FV848" s="14">
        <f t="shared" si="777"/>
        <v>2112</v>
      </c>
      <c r="FW848" s="14">
        <f t="shared" si="778"/>
        <v>0</v>
      </c>
      <c r="FX848" s="14" t="str">
        <f t="shared" si="779"/>
        <v/>
      </c>
      <c r="FY848" s="25" t="str">
        <f t="shared" si="793"/>
        <v>icon_2111108</v>
      </c>
      <c r="GC848" s="14">
        <f t="shared" si="780"/>
        <v>1</v>
      </c>
      <c r="GD848" s="14">
        <f t="shared" si="781"/>
        <v>3</v>
      </c>
      <c r="GE848" s="14" t="e">
        <f t="shared" si="756"/>
        <v>#VALUE!</v>
      </c>
      <c r="GF848" s="14" t="str">
        <f t="shared" si="757"/>
        <v>AtkExt</v>
      </c>
      <c r="GG848" s="14">
        <f t="shared" si="758"/>
        <v>470</v>
      </c>
      <c r="GH848" s="14">
        <f t="shared" si="759"/>
        <v>28</v>
      </c>
      <c r="GI848" s="14" t="str">
        <f t="shared" si="760"/>
        <v>HPExt</v>
      </c>
      <c r="GJ848" s="14" t="e">
        <f t="shared" si="761"/>
        <v>#VALUE!</v>
      </c>
      <c r="GK848" s="14" t="e">
        <f t="shared" si="762"/>
        <v>#VALUE!</v>
      </c>
      <c r="GL848" s="14">
        <f t="shared" si="782"/>
        <v>21120</v>
      </c>
      <c r="GM848" s="14">
        <f t="shared" si="763"/>
        <v>0</v>
      </c>
      <c r="GN848" s="14" t="str">
        <f t="shared" si="764"/>
        <v/>
      </c>
      <c r="GO848" s="25" t="s">
        <v>1471</v>
      </c>
      <c r="GP848" s="14">
        <f t="shared" si="783"/>
        <v>360</v>
      </c>
    </row>
    <row r="849" spans="151:198" ht="16.5" x14ac:dyDescent="0.2">
      <c r="EU849" s="13">
        <v>844</v>
      </c>
      <c r="EV849" s="14">
        <f t="shared" si="784"/>
        <v>2</v>
      </c>
      <c r="EW849" s="14">
        <f t="shared" si="752"/>
        <v>409</v>
      </c>
      <c r="EX849" s="14">
        <f t="shared" si="785"/>
        <v>55</v>
      </c>
      <c r="EY849" s="14">
        <f t="shared" si="753"/>
        <v>30</v>
      </c>
      <c r="EZ849" s="14">
        <f t="shared" si="765"/>
        <v>22</v>
      </c>
      <c r="FA849" s="14">
        <f t="shared" si="766"/>
        <v>150</v>
      </c>
      <c r="FB849" s="14">
        <f t="shared" si="767"/>
        <v>3</v>
      </c>
      <c r="FC849" s="14">
        <f t="shared" si="768"/>
        <v>1</v>
      </c>
      <c r="FD849" s="14">
        <f t="shared" si="769"/>
        <v>1</v>
      </c>
      <c r="FE849" s="14" t="b">
        <f t="shared" si="786"/>
        <v>0</v>
      </c>
      <c r="FF849" s="14">
        <f t="shared" si="770"/>
        <v>2111301</v>
      </c>
      <c r="FG849" s="13" t="str">
        <f t="shared" si="771"/>
        <v>150级-精良守护灵の灵器</v>
      </c>
      <c r="FH849" s="14">
        <f t="shared" si="772"/>
        <v>2</v>
      </c>
      <c r="FI849" s="14">
        <f t="shared" si="773"/>
        <v>3</v>
      </c>
      <c r="FJ849" s="14">
        <f t="shared" si="774"/>
        <v>150</v>
      </c>
      <c r="FK849" s="14">
        <v>410</v>
      </c>
      <c r="FL849" s="14">
        <f t="shared" si="775"/>
        <v>11</v>
      </c>
      <c r="FM849" s="14">
        <f t="shared" si="754"/>
        <v>1</v>
      </c>
      <c r="FN849" s="14" t="str">
        <f t="shared" si="776"/>
        <v/>
      </c>
      <c r="FO849" s="14" t="e">
        <f t="shared" si="755"/>
        <v>#VALUE!</v>
      </c>
      <c r="FP849" s="14">
        <f t="shared" si="787"/>
        <v>1715</v>
      </c>
      <c r="FQ849" s="14">
        <f t="shared" si="788"/>
        <v>0</v>
      </c>
      <c r="FR849" s="14" t="e">
        <f t="shared" si="789"/>
        <v>#VALUE!</v>
      </c>
      <c r="FS849" s="14">
        <f t="shared" si="790"/>
        <v>103</v>
      </c>
      <c r="FT849" s="14">
        <f t="shared" si="791"/>
        <v>0</v>
      </c>
      <c r="FU849" s="14" t="e">
        <f t="shared" si="792"/>
        <v>#VALUE!</v>
      </c>
      <c r="FV849" s="14">
        <f t="shared" si="777"/>
        <v>2113</v>
      </c>
      <c r="FW849" s="14">
        <f t="shared" si="778"/>
        <v>6</v>
      </c>
      <c r="FX849" s="14">
        <f t="shared" si="779"/>
        <v>2113</v>
      </c>
      <c r="FY849" s="25" t="str">
        <f t="shared" si="793"/>
        <v>icon_2111101</v>
      </c>
      <c r="GC849" s="14">
        <f t="shared" si="780"/>
        <v>1</v>
      </c>
      <c r="GD849" s="14">
        <f t="shared" si="781"/>
        <v>0</v>
      </c>
      <c r="GE849" s="14" t="e">
        <f t="shared" si="756"/>
        <v>#VALUE!</v>
      </c>
      <c r="GF849" s="14" t="str">
        <f t="shared" si="757"/>
        <v>AtkExt</v>
      </c>
      <c r="GG849" s="14">
        <f t="shared" si="758"/>
        <v>1715</v>
      </c>
      <c r="GH849" s="14">
        <f t="shared" si="759"/>
        <v>103</v>
      </c>
      <c r="GI849" s="14" t="str">
        <f t="shared" si="760"/>
        <v/>
      </c>
      <c r="GJ849" s="14" t="str">
        <f t="shared" si="761"/>
        <v/>
      </c>
      <c r="GK849" s="14" t="str">
        <f t="shared" si="762"/>
        <v/>
      </c>
      <c r="GL849" s="14">
        <f t="shared" si="782"/>
        <v>21130</v>
      </c>
      <c r="GM849" s="14">
        <f t="shared" si="763"/>
        <v>6</v>
      </c>
      <c r="GN849" s="14">
        <f t="shared" si="764"/>
        <v>2113</v>
      </c>
      <c r="GO849" s="25" t="s">
        <v>1471</v>
      </c>
      <c r="GP849" s="14">
        <f t="shared" si="783"/>
        <v>800</v>
      </c>
    </row>
    <row r="850" spans="151:198" ht="16.5" x14ac:dyDescent="0.2">
      <c r="EU850" s="13">
        <v>845</v>
      </c>
      <c r="EV850" s="14">
        <f t="shared" si="784"/>
        <v>2</v>
      </c>
      <c r="EW850" s="14">
        <f t="shared" si="752"/>
        <v>410</v>
      </c>
      <c r="EX850" s="14">
        <f t="shared" si="785"/>
        <v>55</v>
      </c>
      <c r="EY850" s="14">
        <f t="shared" si="753"/>
        <v>30</v>
      </c>
      <c r="EZ850" s="14">
        <f t="shared" si="765"/>
        <v>22</v>
      </c>
      <c r="FA850" s="14">
        <f t="shared" si="766"/>
        <v>150</v>
      </c>
      <c r="FB850" s="14">
        <f t="shared" si="767"/>
        <v>3</v>
      </c>
      <c r="FC850" s="14">
        <f t="shared" si="768"/>
        <v>2</v>
      </c>
      <c r="FD850" s="14">
        <f t="shared" si="769"/>
        <v>2</v>
      </c>
      <c r="FE850" s="14" t="b">
        <f t="shared" si="786"/>
        <v>0</v>
      </c>
      <c r="FF850" s="14">
        <f t="shared" si="770"/>
        <v>2111302</v>
      </c>
      <c r="FG850" s="13" t="str">
        <f t="shared" si="771"/>
        <v>150级-精良守护灵の头盔</v>
      </c>
      <c r="FH850" s="14">
        <f t="shared" si="772"/>
        <v>2</v>
      </c>
      <c r="FI850" s="14">
        <f t="shared" si="773"/>
        <v>3</v>
      </c>
      <c r="FJ850" s="14">
        <f t="shared" si="774"/>
        <v>150</v>
      </c>
      <c r="FK850" s="14">
        <v>411</v>
      </c>
      <c r="FL850" s="14">
        <f t="shared" si="775"/>
        <v>11</v>
      </c>
      <c r="FM850" s="14">
        <f t="shared" si="754"/>
        <v>2</v>
      </c>
      <c r="FN850" s="14" t="str">
        <f t="shared" si="776"/>
        <v/>
      </c>
      <c r="FO850" s="14" t="e">
        <f t="shared" si="755"/>
        <v>#VALUE!</v>
      </c>
      <c r="FP850" s="14">
        <f t="shared" si="787"/>
        <v>0</v>
      </c>
      <c r="FQ850" s="14">
        <f t="shared" si="788"/>
        <v>430</v>
      </c>
      <c r="FR850" s="14" t="e">
        <f t="shared" si="789"/>
        <v>#VALUE!</v>
      </c>
      <c r="FS850" s="14">
        <f t="shared" si="790"/>
        <v>0</v>
      </c>
      <c r="FT850" s="14">
        <f t="shared" si="791"/>
        <v>26</v>
      </c>
      <c r="FU850" s="14" t="e">
        <f t="shared" si="792"/>
        <v>#VALUE!</v>
      </c>
      <c r="FV850" s="14">
        <f t="shared" si="777"/>
        <v>2113</v>
      </c>
      <c r="FW850" s="14">
        <f t="shared" si="778"/>
        <v>6</v>
      </c>
      <c r="FX850" s="14">
        <f t="shared" si="779"/>
        <v>2113</v>
      </c>
      <c r="FY850" s="25" t="str">
        <f t="shared" si="793"/>
        <v>icon_2111102</v>
      </c>
      <c r="GC850" s="14">
        <f t="shared" si="780"/>
        <v>2</v>
      </c>
      <c r="GD850" s="14">
        <f t="shared" si="781"/>
        <v>0</v>
      </c>
      <c r="GE850" s="14" t="e">
        <f t="shared" si="756"/>
        <v>#VALUE!</v>
      </c>
      <c r="GF850" s="14" t="str">
        <f t="shared" si="757"/>
        <v>DefExt</v>
      </c>
      <c r="GG850" s="14">
        <f t="shared" si="758"/>
        <v>430</v>
      </c>
      <c r="GH850" s="14">
        <f t="shared" si="759"/>
        <v>26</v>
      </c>
      <c r="GI850" s="14" t="str">
        <f t="shared" si="760"/>
        <v/>
      </c>
      <c r="GJ850" s="14" t="str">
        <f t="shared" si="761"/>
        <v/>
      </c>
      <c r="GK850" s="14" t="str">
        <f t="shared" si="762"/>
        <v/>
      </c>
      <c r="GL850" s="14">
        <f t="shared" si="782"/>
        <v>21130</v>
      </c>
      <c r="GM850" s="14">
        <f t="shared" si="763"/>
        <v>6</v>
      </c>
      <c r="GN850" s="14">
        <f t="shared" si="764"/>
        <v>2113</v>
      </c>
      <c r="GO850" s="25" t="s">
        <v>1471</v>
      </c>
      <c r="GP850" s="14">
        <f t="shared" si="783"/>
        <v>400</v>
      </c>
    </row>
    <row r="851" spans="151:198" ht="16.5" x14ac:dyDescent="0.2">
      <c r="EU851" s="13">
        <v>846</v>
      </c>
      <c r="EV851" s="14">
        <f t="shared" si="784"/>
        <v>2</v>
      </c>
      <c r="EW851" s="14">
        <f t="shared" si="752"/>
        <v>411</v>
      </c>
      <c r="EX851" s="14">
        <f t="shared" si="785"/>
        <v>55</v>
      </c>
      <c r="EY851" s="14">
        <f t="shared" si="753"/>
        <v>30</v>
      </c>
      <c r="EZ851" s="14">
        <f t="shared" si="765"/>
        <v>22</v>
      </c>
      <c r="FA851" s="14">
        <f t="shared" si="766"/>
        <v>150</v>
      </c>
      <c r="FB851" s="14">
        <f t="shared" si="767"/>
        <v>3</v>
      </c>
      <c r="FC851" s="14">
        <f t="shared" si="768"/>
        <v>3</v>
      </c>
      <c r="FD851" s="14">
        <f t="shared" si="769"/>
        <v>3</v>
      </c>
      <c r="FE851" s="14" t="b">
        <f t="shared" si="786"/>
        <v>0</v>
      </c>
      <c r="FF851" s="14">
        <f t="shared" si="770"/>
        <v>2111303</v>
      </c>
      <c r="FG851" s="13" t="str">
        <f t="shared" si="771"/>
        <v>150级-精良守护灵の铠甲</v>
      </c>
      <c r="FH851" s="14">
        <f t="shared" si="772"/>
        <v>2</v>
      </c>
      <c r="FI851" s="14">
        <f t="shared" si="773"/>
        <v>3</v>
      </c>
      <c r="FJ851" s="14">
        <f t="shared" si="774"/>
        <v>150</v>
      </c>
      <c r="FK851" s="14">
        <v>412</v>
      </c>
      <c r="FL851" s="14">
        <f t="shared" si="775"/>
        <v>11</v>
      </c>
      <c r="FM851" s="14">
        <f t="shared" si="754"/>
        <v>3</v>
      </c>
      <c r="FN851" s="14" t="str">
        <f t="shared" si="776"/>
        <v/>
      </c>
      <c r="FO851" s="14" t="e">
        <f t="shared" si="755"/>
        <v>#VALUE!</v>
      </c>
      <c r="FP851" s="14">
        <f t="shared" si="787"/>
        <v>0</v>
      </c>
      <c r="FQ851" s="14">
        <f t="shared" si="788"/>
        <v>215</v>
      </c>
      <c r="FR851" s="14" t="e">
        <f t="shared" si="789"/>
        <v>#VALUE!</v>
      </c>
      <c r="FS851" s="14">
        <f t="shared" si="790"/>
        <v>0</v>
      </c>
      <c r="FT851" s="14">
        <f t="shared" si="791"/>
        <v>13</v>
      </c>
      <c r="FU851" s="14" t="e">
        <f t="shared" si="792"/>
        <v>#VALUE!</v>
      </c>
      <c r="FV851" s="14">
        <f t="shared" si="777"/>
        <v>2113</v>
      </c>
      <c r="FW851" s="14">
        <f t="shared" si="778"/>
        <v>6</v>
      </c>
      <c r="FX851" s="14">
        <f t="shared" si="779"/>
        <v>2113</v>
      </c>
      <c r="FY851" s="25" t="str">
        <f t="shared" si="793"/>
        <v>icon_2111103</v>
      </c>
      <c r="GC851" s="14">
        <f t="shared" si="780"/>
        <v>2</v>
      </c>
      <c r="GD851" s="14">
        <f t="shared" si="781"/>
        <v>3</v>
      </c>
      <c r="GE851" s="14" t="e">
        <f t="shared" si="756"/>
        <v>#VALUE!</v>
      </c>
      <c r="GF851" s="14" t="str">
        <f t="shared" si="757"/>
        <v>DefExt</v>
      </c>
      <c r="GG851" s="14">
        <f t="shared" si="758"/>
        <v>215</v>
      </c>
      <c r="GH851" s="14">
        <f t="shared" si="759"/>
        <v>13</v>
      </c>
      <c r="GI851" s="14" t="str">
        <f t="shared" si="760"/>
        <v>HPExt</v>
      </c>
      <c r="GJ851" s="14" t="e">
        <f t="shared" si="761"/>
        <v>#VALUE!</v>
      </c>
      <c r="GK851" s="14" t="e">
        <f t="shared" si="762"/>
        <v>#VALUE!</v>
      </c>
      <c r="GL851" s="14">
        <f t="shared" si="782"/>
        <v>21130</v>
      </c>
      <c r="GM851" s="14">
        <f t="shared" si="763"/>
        <v>6</v>
      </c>
      <c r="GN851" s="14">
        <f t="shared" si="764"/>
        <v>2113</v>
      </c>
      <c r="GO851" s="25" t="s">
        <v>1471</v>
      </c>
      <c r="GP851" s="14">
        <f t="shared" si="783"/>
        <v>400</v>
      </c>
    </row>
    <row r="852" spans="151:198" ht="16.5" x14ac:dyDescent="0.2">
      <c r="EU852" s="13">
        <v>847</v>
      </c>
      <c r="EV852" s="14">
        <f t="shared" si="784"/>
        <v>2</v>
      </c>
      <c r="EW852" s="14">
        <f t="shared" si="752"/>
        <v>412</v>
      </c>
      <c r="EX852" s="14">
        <f t="shared" si="785"/>
        <v>55</v>
      </c>
      <c r="EY852" s="14">
        <f t="shared" si="753"/>
        <v>30</v>
      </c>
      <c r="EZ852" s="14">
        <f t="shared" si="765"/>
        <v>22</v>
      </c>
      <c r="FA852" s="14">
        <f t="shared" si="766"/>
        <v>150</v>
      </c>
      <c r="FB852" s="14">
        <f t="shared" si="767"/>
        <v>3</v>
      </c>
      <c r="FC852" s="14">
        <f t="shared" si="768"/>
        <v>4</v>
      </c>
      <c r="FD852" s="14">
        <f t="shared" si="769"/>
        <v>4</v>
      </c>
      <c r="FE852" s="14" t="b">
        <f t="shared" si="786"/>
        <v>0</v>
      </c>
      <c r="FF852" s="14">
        <f t="shared" si="770"/>
        <v>2111304</v>
      </c>
      <c r="FG852" s="13" t="str">
        <f t="shared" si="771"/>
        <v>150级-精良守护灵の裤子</v>
      </c>
      <c r="FH852" s="14">
        <f t="shared" si="772"/>
        <v>2</v>
      </c>
      <c r="FI852" s="14">
        <f t="shared" si="773"/>
        <v>3</v>
      </c>
      <c r="FJ852" s="14">
        <f t="shared" si="774"/>
        <v>150</v>
      </c>
      <c r="FK852" s="14">
        <v>413</v>
      </c>
      <c r="FL852" s="14">
        <f t="shared" si="775"/>
        <v>11</v>
      </c>
      <c r="FM852" s="14">
        <f t="shared" si="754"/>
        <v>4</v>
      </c>
      <c r="FN852" s="14" t="str">
        <f t="shared" si="776"/>
        <v/>
      </c>
      <c r="FO852" s="14" t="e">
        <f t="shared" si="755"/>
        <v>#VALUE!</v>
      </c>
      <c r="FP852" s="14">
        <f t="shared" si="787"/>
        <v>0</v>
      </c>
      <c r="FQ852" s="14">
        <f t="shared" si="788"/>
        <v>430</v>
      </c>
      <c r="FR852" s="14" t="e">
        <f t="shared" si="789"/>
        <v>#VALUE!</v>
      </c>
      <c r="FS852" s="14">
        <f t="shared" si="790"/>
        <v>0</v>
      </c>
      <c r="FT852" s="14">
        <f t="shared" si="791"/>
        <v>26</v>
      </c>
      <c r="FU852" s="14" t="e">
        <f t="shared" si="792"/>
        <v>#VALUE!</v>
      </c>
      <c r="FV852" s="14">
        <f t="shared" si="777"/>
        <v>2113</v>
      </c>
      <c r="FW852" s="14">
        <f t="shared" si="778"/>
        <v>6</v>
      </c>
      <c r="FX852" s="14">
        <f t="shared" si="779"/>
        <v>2113</v>
      </c>
      <c r="FY852" s="25" t="str">
        <f t="shared" si="793"/>
        <v>icon_2111104</v>
      </c>
      <c r="GC852" s="14">
        <f t="shared" si="780"/>
        <v>2</v>
      </c>
      <c r="GD852" s="14">
        <f t="shared" si="781"/>
        <v>0</v>
      </c>
      <c r="GE852" s="14" t="e">
        <f t="shared" si="756"/>
        <v>#VALUE!</v>
      </c>
      <c r="GF852" s="14" t="str">
        <f t="shared" si="757"/>
        <v>DefExt</v>
      </c>
      <c r="GG852" s="14">
        <f t="shared" si="758"/>
        <v>430</v>
      </c>
      <c r="GH852" s="14">
        <f t="shared" si="759"/>
        <v>26</v>
      </c>
      <c r="GI852" s="14" t="str">
        <f t="shared" si="760"/>
        <v/>
      </c>
      <c r="GJ852" s="14" t="str">
        <f t="shared" si="761"/>
        <v/>
      </c>
      <c r="GK852" s="14" t="str">
        <f t="shared" si="762"/>
        <v/>
      </c>
      <c r="GL852" s="14">
        <f t="shared" si="782"/>
        <v>21130</v>
      </c>
      <c r="GM852" s="14">
        <f t="shared" si="763"/>
        <v>6</v>
      </c>
      <c r="GN852" s="14">
        <f t="shared" si="764"/>
        <v>2113</v>
      </c>
      <c r="GO852" s="25" t="s">
        <v>1471</v>
      </c>
      <c r="GP852" s="14">
        <f t="shared" si="783"/>
        <v>400</v>
      </c>
    </row>
    <row r="853" spans="151:198" ht="16.5" x14ac:dyDescent="0.2">
      <c r="EU853" s="13">
        <v>848</v>
      </c>
      <c r="EV853" s="14">
        <f t="shared" si="784"/>
        <v>2</v>
      </c>
      <c r="EW853" s="14">
        <f t="shared" si="752"/>
        <v>413</v>
      </c>
      <c r="EX853" s="14">
        <f t="shared" si="785"/>
        <v>55</v>
      </c>
      <c r="EY853" s="14">
        <f t="shared" si="753"/>
        <v>30</v>
      </c>
      <c r="EZ853" s="14">
        <f t="shared" si="765"/>
        <v>22</v>
      </c>
      <c r="FA853" s="14">
        <f t="shared" si="766"/>
        <v>150</v>
      </c>
      <c r="FB853" s="14">
        <f t="shared" si="767"/>
        <v>3</v>
      </c>
      <c r="FC853" s="14">
        <f t="shared" si="768"/>
        <v>5</v>
      </c>
      <c r="FD853" s="14">
        <f t="shared" si="769"/>
        <v>5</v>
      </c>
      <c r="FE853" s="14" t="b">
        <f t="shared" si="786"/>
        <v>0</v>
      </c>
      <c r="FF853" s="14">
        <f t="shared" si="770"/>
        <v>2111305</v>
      </c>
      <c r="FG853" s="13" t="str">
        <f t="shared" si="771"/>
        <v>150级-精良守护灵の鞋子</v>
      </c>
      <c r="FH853" s="14">
        <f t="shared" si="772"/>
        <v>2</v>
      </c>
      <c r="FI853" s="14">
        <f t="shared" si="773"/>
        <v>3</v>
      </c>
      <c r="FJ853" s="14">
        <f t="shared" si="774"/>
        <v>150</v>
      </c>
      <c r="FK853" s="14">
        <v>414</v>
      </c>
      <c r="FL853" s="14">
        <f t="shared" si="775"/>
        <v>11</v>
      </c>
      <c r="FM853" s="14">
        <f t="shared" si="754"/>
        <v>5</v>
      </c>
      <c r="FN853" s="14" t="str">
        <f t="shared" si="776"/>
        <v/>
      </c>
      <c r="FO853" s="14" t="e">
        <f t="shared" si="755"/>
        <v>#VALUE!</v>
      </c>
      <c r="FP853" s="14">
        <f t="shared" si="787"/>
        <v>0</v>
      </c>
      <c r="FQ853" s="14">
        <f t="shared" si="788"/>
        <v>0</v>
      </c>
      <c r="FR853" s="14" t="e">
        <f t="shared" si="789"/>
        <v>#VALUE!</v>
      </c>
      <c r="FS853" s="14">
        <f t="shared" si="790"/>
        <v>0</v>
      </c>
      <c r="FT853" s="14">
        <f t="shared" si="791"/>
        <v>0</v>
      </c>
      <c r="FU853" s="14" t="e">
        <f t="shared" si="792"/>
        <v>#VALUE!</v>
      </c>
      <c r="FV853" s="14">
        <f t="shared" si="777"/>
        <v>2113</v>
      </c>
      <c r="FW853" s="14">
        <f t="shared" si="778"/>
        <v>6</v>
      </c>
      <c r="FX853" s="14">
        <f t="shared" si="779"/>
        <v>2113</v>
      </c>
      <c r="FY853" s="25" t="str">
        <f t="shared" si="793"/>
        <v>icon_2111105</v>
      </c>
      <c r="GC853" s="14">
        <f t="shared" si="780"/>
        <v>3</v>
      </c>
      <c r="GD853" s="14">
        <f t="shared" si="781"/>
        <v>0</v>
      </c>
      <c r="GE853" s="14" t="e">
        <f t="shared" si="756"/>
        <v>#VALUE!</v>
      </c>
      <c r="GF853" s="14" t="str">
        <f t="shared" si="757"/>
        <v>HPExt</v>
      </c>
      <c r="GG853" s="14" t="e">
        <f t="shared" si="758"/>
        <v>#VALUE!</v>
      </c>
      <c r="GH853" s="14" t="e">
        <f t="shared" si="759"/>
        <v>#VALUE!</v>
      </c>
      <c r="GI853" s="14" t="str">
        <f t="shared" si="760"/>
        <v/>
      </c>
      <c r="GJ853" s="14" t="str">
        <f t="shared" si="761"/>
        <v/>
      </c>
      <c r="GK853" s="14" t="str">
        <f t="shared" si="762"/>
        <v/>
      </c>
      <c r="GL853" s="14">
        <f t="shared" si="782"/>
        <v>21130</v>
      </c>
      <c r="GM853" s="14">
        <f t="shared" si="763"/>
        <v>6</v>
      </c>
      <c r="GN853" s="14">
        <f t="shared" si="764"/>
        <v>2113</v>
      </c>
      <c r="GO853" s="25" t="s">
        <v>1471</v>
      </c>
      <c r="GP853" s="14">
        <f t="shared" si="783"/>
        <v>400</v>
      </c>
    </row>
    <row r="854" spans="151:198" ht="16.5" x14ac:dyDescent="0.2">
      <c r="EU854" s="13">
        <v>849</v>
      </c>
      <c r="EV854" s="14">
        <f t="shared" si="784"/>
        <v>2</v>
      </c>
      <c r="EW854" s="14">
        <f t="shared" si="752"/>
        <v>414</v>
      </c>
      <c r="EX854" s="14">
        <f t="shared" si="785"/>
        <v>55</v>
      </c>
      <c r="EY854" s="14">
        <f t="shared" si="753"/>
        <v>30</v>
      </c>
      <c r="EZ854" s="14">
        <f t="shared" si="765"/>
        <v>22</v>
      </c>
      <c r="FA854" s="14">
        <f t="shared" si="766"/>
        <v>150</v>
      </c>
      <c r="FB854" s="14">
        <f t="shared" si="767"/>
        <v>3</v>
      </c>
      <c r="FC854" s="14">
        <f t="shared" si="768"/>
        <v>6</v>
      </c>
      <c r="FD854" s="14">
        <f t="shared" si="769"/>
        <v>6</v>
      </c>
      <c r="FE854" s="14" t="b">
        <f t="shared" si="786"/>
        <v>0</v>
      </c>
      <c r="FF854" s="14">
        <f t="shared" si="770"/>
        <v>2111306</v>
      </c>
      <c r="FG854" s="13" t="str">
        <f t="shared" si="771"/>
        <v>150级-精良守护灵の护手</v>
      </c>
      <c r="FH854" s="14">
        <f t="shared" si="772"/>
        <v>2</v>
      </c>
      <c r="FI854" s="14">
        <f t="shared" si="773"/>
        <v>3</v>
      </c>
      <c r="FJ854" s="14">
        <f t="shared" si="774"/>
        <v>150</v>
      </c>
      <c r="FK854" s="14">
        <v>415</v>
      </c>
      <c r="FL854" s="14">
        <f t="shared" si="775"/>
        <v>11</v>
      </c>
      <c r="FM854" s="14">
        <f t="shared" si="754"/>
        <v>6</v>
      </c>
      <c r="FN854" s="14" t="str">
        <f t="shared" si="776"/>
        <v/>
      </c>
      <c r="FO854" s="14" t="e">
        <f t="shared" si="755"/>
        <v>#VALUE!</v>
      </c>
      <c r="FP854" s="14">
        <f t="shared" si="787"/>
        <v>0</v>
      </c>
      <c r="FQ854" s="14">
        <f t="shared" si="788"/>
        <v>0</v>
      </c>
      <c r="FR854" s="14" t="e">
        <f t="shared" si="789"/>
        <v>#VALUE!</v>
      </c>
      <c r="FS854" s="14">
        <f t="shared" si="790"/>
        <v>0</v>
      </c>
      <c r="FT854" s="14">
        <f t="shared" si="791"/>
        <v>0</v>
      </c>
      <c r="FU854" s="14" t="e">
        <f t="shared" si="792"/>
        <v>#VALUE!</v>
      </c>
      <c r="FV854" s="14">
        <f t="shared" si="777"/>
        <v>2113</v>
      </c>
      <c r="FW854" s="14">
        <f t="shared" si="778"/>
        <v>6</v>
      </c>
      <c r="FX854" s="14">
        <f t="shared" si="779"/>
        <v>2113</v>
      </c>
      <c r="FY854" s="25" t="str">
        <f t="shared" si="793"/>
        <v>icon_2111106</v>
      </c>
      <c r="GC854" s="14">
        <f t="shared" si="780"/>
        <v>3</v>
      </c>
      <c r="GD854" s="14">
        <f t="shared" si="781"/>
        <v>0</v>
      </c>
      <c r="GE854" s="14" t="e">
        <f t="shared" si="756"/>
        <v>#VALUE!</v>
      </c>
      <c r="GF854" s="14" t="str">
        <f t="shared" si="757"/>
        <v>HPExt</v>
      </c>
      <c r="GG854" s="14" t="e">
        <f t="shared" si="758"/>
        <v>#VALUE!</v>
      </c>
      <c r="GH854" s="14" t="e">
        <f t="shared" si="759"/>
        <v>#VALUE!</v>
      </c>
      <c r="GI854" s="14" t="str">
        <f t="shared" si="760"/>
        <v/>
      </c>
      <c r="GJ854" s="14" t="str">
        <f t="shared" si="761"/>
        <v/>
      </c>
      <c r="GK854" s="14" t="str">
        <f t="shared" si="762"/>
        <v/>
      </c>
      <c r="GL854" s="14">
        <f t="shared" si="782"/>
        <v>21130</v>
      </c>
      <c r="GM854" s="14">
        <f t="shared" si="763"/>
        <v>6</v>
      </c>
      <c r="GN854" s="14">
        <f t="shared" si="764"/>
        <v>2113</v>
      </c>
      <c r="GO854" s="25" t="s">
        <v>1471</v>
      </c>
      <c r="GP854" s="14">
        <f t="shared" si="783"/>
        <v>400</v>
      </c>
    </row>
    <row r="855" spans="151:198" ht="16.5" x14ac:dyDescent="0.2">
      <c r="EU855" s="13">
        <v>850</v>
      </c>
      <c r="EV855" s="14">
        <f t="shared" si="784"/>
        <v>2</v>
      </c>
      <c r="EW855" s="14">
        <f t="shared" si="752"/>
        <v>415</v>
      </c>
      <c r="EX855" s="14">
        <f t="shared" si="785"/>
        <v>55</v>
      </c>
      <c r="EY855" s="14">
        <f t="shared" si="753"/>
        <v>30</v>
      </c>
      <c r="EZ855" s="14">
        <f t="shared" si="765"/>
        <v>22</v>
      </c>
      <c r="FA855" s="14">
        <f t="shared" si="766"/>
        <v>150</v>
      </c>
      <c r="FB855" s="14">
        <f t="shared" si="767"/>
        <v>3</v>
      </c>
      <c r="FC855" s="14">
        <f t="shared" si="768"/>
        <v>7</v>
      </c>
      <c r="FD855" s="14">
        <f t="shared" si="769"/>
        <v>7</v>
      </c>
      <c r="FE855" s="14" t="b">
        <f t="shared" si="786"/>
        <v>0</v>
      </c>
      <c r="FF855" s="14">
        <f t="shared" si="770"/>
        <v>2111307</v>
      </c>
      <c r="FG855" s="13" t="str">
        <f t="shared" si="771"/>
        <v>150级-精良守护灵の项链</v>
      </c>
      <c r="FH855" s="14">
        <f t="shared" si="772"/>
        <v>2</v>
      </c>
      <c r="FI855" s="14">
        <f t="shared" si="773"/>
        <v>3</v>
      </c>
      <c r="FJ855" s="14">
        <f t="shared" si="774"/>
        <v>150</v>
      </c>
      <c r="FK855" s="14">
        <v>416</v>
      </c>
      <c r="FL855" s="14">
        <f t="shared" si="775"/>
        <v>11</v>
      </c>
      <c r="FM855" s="14">
        <f t="shared" si="754"/>
        <v>7</v>
      </c>
      <c r="FN855" s="14" t="str">
        <f t="shared" si="776"/>
        <v/>
      </c>
      <c r="FO855" s="14" t="e">
        <f t="shared" si="755"/>
        <v>#VALUE!</v>
      </c>
      <c r="FP855" s="14">
        <f t="shared" si="787"/>
        <v>570</v>
      </c>
      <c r="FQ855" s="14">
        <f t="shared" si="788"/>
        <v>360</v>
      </c>
      <c r="FR855" s="14" t="e">
        <f t="shared" si="789"/>
        <v>#VALUE!</v>
      </c>
      <c r="FS855" s="14">
        <f t="shared" si="790"/>
        <v>34</v>
      </c>
      <c r="FT855" s="14">
        <f t="shared" si="791"/>
        <v>21</v>
      </c>
      <c r="FU855" s="14" t="e">
        <f t="shared" si="792"/>
        <v>#VALUE!</v>
      </c>
      <c r="FV855" s="14">
        <f t="shared" si="777"/>
        <v>2113</v>
      </c>
      <c r="FW855" s="14">
        <f t="shared" si="778"/>
        <v>6</v>
      </c>
      <c r="FX855" s="14">
        <f t="shared" si="779"/>
        <v>2113</v>
      </c>
      <c r="FY855" s="25" t="str">
        <f t="shared" si="793"/>
        <v>icon_2111107</v>
      </c>
      <c r="GC855" s="14">
        <f t="shared" si="780"/>
        <v>1</v>
      </c>
      <c r="GD855" s="14">
        <f t="shared" si="781"/>
        <v>2</v>
      </c>
      <c r="GE855" s="14" t="e">
        <f t="shared" si="756"/>
        <v>#VALUE!</v>
      </c>
      <c r="GF855" s="14" t="str">
        <f t="shared" si="757"/>
        <v>AtkExt</v>
      </c>
      <c r="GG855" s="14">
        <f t="shared" si="758"/>
        <v>570</v>
      </c>
      <c r="GH855" s="14">
        <f t="shared" si="759"/>
        <v>34</v>
      </c>
      <c r="GI855" s="14" t="str">
        <f t="shared" si="760"/>
        <v>DefExt</v>
      </c>
      <c r="GJ855" s="14">
        <f t="shared" si="761"/>
        <v>360</v>
      </c>
      <c r="GK855" s="14">
        <f t="shared" si="762"/>
        <v>21</v>
      </c>
      <c r="GL855" s="14">
        <f t="shared" si="782"/>
        <v>21130</v>
      </c>
      <c r="GM855" s="14">
        <f t="shared" si="763"/>
        <v>6</v>
      </c>
      <c r="GN855" s="14">
        <f t="shared" si="764"/>
        <v>2113</v>
      </c>
      <c r="GO855" s="25" t="s">
        <v>1471</v>
      </c>
      <c r="GP855" s="14">
        <f t="shared" si="783"/>
        <v>600</v>
      </c>
    </row>
    <row r="856" spans="151:198" ht="16.5" x14ac:dyDescent="0.2">
      <c r="EU856" s="13">
        <v>851</v>
      </c>
      <c r="EV856" s="14">
        <f t="shared" si="784"/>
        <v>2</v>
      </c>
      <c r="EW856" s="14">
        <f t="shared" si="752"/>
        <v>416</v>
      </c>
      <c r="EX856" s="14">
        <f t="shared" si="785"/>
        <v>55</v>
      </c>
      <c r="EY856" s="14">
        <f t="shared" si="753"/>
        <v>30</v>
      </c>
      <c r="EZ856" s="14">
        <f t="shared" si="765"/>
        <v>22</v>
      </c>
      <c r="FA856" s="14">
        <f t="shared" si="766"/>
        <v>150</v>
      </c>
      <c r="FB856" s="14">
        <f t="shared" si="767"/>
        <v>3</v>
      </c>
      <c r="FC856" s="14">
        <f t="shared" si="768"/>
        <v>8</v>
      </c>
      <c r="FD856" s="14">
        <f t="shared" si="769"/>
        <v>8</v>
      </c>
      <c r="FE856" s="14" t="b">
        <f t="shared" si="786"/>
        <v>0</v>
      </c>
      <c r="FF856" s="14">
        <f t="shared" si="770"/>
        <v>2111308</v>
      </c>
      <c r="FG856" s="13" t="str">
        <f t="shared" si="771"/>
        <v>150级-精良守护灵の戒指</v>
      </c>
      <c r="FH856" s="14">
        <f t="shared" si="772"/>
        <v>2</v>
      </c>
      <c r="FI856" s="14">
        <f t="shared" si="773"/>
        <v>3</v>
      </c>
      <c r="FJ856" s="14">
        <f t="shared" si="774"/>
        <v>150</v>
      </c>
      <c r="FK856" s="14">
        <v>417</v>
      </c>
      <c r="FL856" s="14">
        <f t="shared" si="775"/>
        <v>11</v>
      </c>
      <c r="FM856" s="14">
        <f t="shared" si="754"/>
        <v>8</v>
      </c>
      <c r="FN856" s="14" t="str">
        <f t="shared" si="776"/>
        <v/>
      </c>
      <c r="FO856" s="14" t="e">
        <f t="shared" si="755"/>
        <v>#VALUE!</v>
      </c>
      <c r="FP856" s="14">
        <f t="shared" si="787"/>
        <v>570</v>
      </c>
      <c r="FQ856" s="14">
        <f t="shared" si="788"/>
        <v>0</v>
      </c>
      <c r="FR856" s="14" t="e">
        <f t="shared" si="789"/>
        <v>#VALUE!</v>
      </c>
      <c r="FS856" s="14">
        <f t="shared" si="790"/>
        <v>34</v>
      </c>
      <c r="FT856" s="14">
        <f t="shared" si="791"/>
        <v>0</v>
      </c>
      <c r="FU856" s="14" t="e">
        <f t="shared" si="792"/>
        <v>#VALUE!</v>
      </c>
      <c r="FV856" s="14">
        <f t="shared" si="777"/>
        <v>2113</v>
      </c>
      <c r="FW856" s="14">
        <f t="shared" si="778"/>
        <v>6</v>
      </c>
      <c r="FX856" s="14">
        <f t="shared" si="779"/>
        <v>2113</v>
      </c>
      <c r="FY856" s="25" t="str">
        <f t="shared" si="793"/>
        <v>icon_2111108</v>
      </c>
      <c r="GC856" s="14">
        <f t="shared" si="780"/>
        <v>1</v>
      </c>
      <c r="GD856" s="14">
        <f t="shared" si="781"/>
        <v>3</v>
      </c>
      <c r="GE856" s="14" t="e">
        <f t="shared" si="756"/>
        <v>#VALUE!</v>
      </c>
      <c r="GF856" s="14" t="str">
        <f t="shared" si="757"/>
        <v>AtkExt</v>
      </c>
      <c r="GG856" s="14">
        <f t="shared" si="758"/>
        <v>570</v>
      </c>
      <c r="GH856" s="14">
        <f t="shared" si="759"/>
        <v>34</v>
      </c>
      <c r="GI856" s="14" t="str">
        <f t="shared" si="760"/>
        <v>HPExt</v>
      </c>
      <c r="GJ856" s="14" t="e">
        <f t="shared" si="761"/>
        <v>#VALUE!</v>
      </c>
      <c r="GK856" s="14" t="e">
        <f t="shared" si="762"/>
        <v>#VALUE!</v>
      </c>
      <c r="GL856" s="14">
        <f t="shared" si="782"/>
        <v>21130</v>
      </c>
      <c r="GM856" s="14">
        <f t="shared" si="763"/>
        <v>6</v>
      </c>
      <c r="GN856" s="14">
        <f t="shared" si="764"/>
        <v>2113</v>
      </c>
      <c r="GO856" s="25" t="s">
        <v>1471</v>
      </c>
      <c r="GP856" s="14">
        <f t="shared" si="783"/>
        <v>600</v>
      </c>
    </row>
    <row r="857" spans="151:198" ht="16.5" x14ac:dyDescent="0.2">
      <c r="EU857" s="13">
        <v>852</v>
      </c>
      <c r="EV857" s="14">
        <f t="shared" si="784"/>
        <v>2</v>
      </c>
      <c r="EW857" s="14">
        <f t="shared" si="752"/>
        <v>417</v>
      </c>
      <c r="EX857" s="14">
        <f t="shared" si="785"/>
        <v>56</v>
      </c>
      <c r="EY857" s="14">
        <f t="shared" si="753"/>
        <v>40</v>
      </c>
      <c r="EZ857" s="14">
        <f t="shared" si="765"/>
        <v>22</v>
      </c>
      <c r="FA857" s="14">
        <f t="shared" si="766"/>
        <v>150</v>
      </c>
      <c r="FB857" s="14">
        <f t="shared" si="767"/>
        <v>4</v>
      </c>
      <c r="FC857" s="14">
        <f t="shared" si="768"/>
        <v>1</v>
      </c>
      <c r="FD857" s="14">
        <f t="shared" si="769"/>
        <v>1</v>
      </c>
      <c r="FE857" s="14" t="b">
        <f t="shared" si="786"/>
        <v>0</v>
      </c>
      <c r="FF857" s="14">
        <f t="shared" si="770"/>
        <v>2111401</v>
      </c>
      <c r="FG857" s="13" t="str">
        <f t="shared" si="771"/>
        <v>150级-史诗守护灵の灵器</v>
      </c>
      <c r="FH857" s="14">
        <f t="shared" si="772"/>
        <v>2</v>
      </c>
      <c r="FI857" s="14">
        <f t="shared" si="773"/>
        <v>4</v>
      </c>
      <c r="FJ857" s="14">
        <f t="shared" si="774"/>
        <v>150</v>
      </c>
      <c r="FK857" s="14">
        <v>418</v>
      </c>
      <c r="FL857" s="14">
        <f t="shared" si="775"/>
        <v>11</v>
      </c>
      <c r="FM857" s="14">
        <f t="shared" si="754"/>
        <v>1</v>
      </c>
      <c r="FN857" s="14" t="str">
        <f t="shared" si="776"/>
        <v/>
      </c>
      <c r="FO857" s="14" t="e">
        <f t="shared" si="755"/>
        <v>#VALUE!</v>
      </c>
      <c r="FP857" s="14">
        <f t="shared" si="787"/>
        <v>2015</v>
      </c>
      <c r="FQ857" s="14">
        <f t="shared" si="788"/>
        <v>0</v>
      </c>
      <c r="FR857" s="14" t="e">
        <f t="shared" si="789"/>
        <v>#VALUE!</v>
      </c>
      <c r="FS857" s="14">
        <f t="shared" si="790"/>
        <v>121</v>
      </c>
      <c r="FT857" s="14">
        <f t="shared" si="791"/>
        <v>0</v>
      </c>
      <c r="FU857" s="14" t="e">
        <f t="shared" si="792"/>
        <v>#VALUE!</v>
      </c>
      <c r="FV857" s="14">
        <f t="shared" si="777"/>
        <v>2114</v>
      </c>
      <c r="FW857" s="14">
        <f t="shared" si="778"/>
        <v>7</v>
      </c>
      <c r="FX857" s="14">
        <f t="shared" si="779"/>
        <v>2114</v>
      </c>
      <c r="FY857" s="25" t="str">
        <f t="shared" si="793"/>
        <v>icon_2111101</v>
      </c>
      <c r="GC857" s="14">
        <f t="shared" si="780"/>
        <v>1</v>
      </c>
      <c r="GD857" s="14">
        <f t="shared" si="781"/>
        <v>0</v>
      </c>
      <c r="GE857" s="14" t="e">
        <f t="shared" si="756"/>
        <v>#VALUE!</v>
      </c>
      <c r="GF857" s="14" t="str">
        <f t="shared" si="757"/>
        <v>AtkExt</v>
      </c>
      <c r="GG857" s="14">
        <f t="shared" si="758"/>
        <v>2015</v>
      </c>
      <c r="GH857" s="14">
        <f t="shared" si="759"/>
        <v>121</v>
      </c>
      <c r="GI857" s="14" t="str">
        <f t="shared" si="760"/>
        <v/>
      </c>
      <c r="GJ857" s="14" t="str">
        <f t="shared" si="761"/>
        <v/>
      </c>
      <c r="GK857" s="14" t="str">
        <f t="shared" si="762"/>
        <v/>
      </c>
      <c r="GL857" s="14">
        <f t="shared" si="782"/>
        <v>21140</v>
      </c>
      <c r="GM857" s="14">
        <f t="shared" si="763"/>
        <v>7</v>
      </c>
      <c r="GN857" s="14">
        <f t="shared" si="764"/>
        <v>2114</v>
      </c>
      <c r="GO857" s="25" t="s">
        <v>1471</v>
      </c>
      <c r="GP857" s="14">
        <f t="shared" si="783"/>
        <v>1600</v>
      </c>
    </row>
    <row r="858" spans="151:198" ht="16.5" x14ac:dyDescent="0.2">
      <c r="EU858" s="13">
        <v>853</v>
      </c>
      <c r="EV858" s="14">
        <f t="shared" si="784"/>
        <v>2</v>
      </c>
      <c r="EW858" s="14">
        <f t="shared" si="752"/>
        <v>418</v>
      </c>
      <c r="EX858" s="14">
        <f t="shared" si="785"/>
        <v>56</v>
      </c>
      <c r="EY858" s="14">
        <f t="shared" si="753"/>
        <v>40</v>
      </c>
      <c r="EZ858" s="14">
        <f t="shared" si="765"/>
        <v>22</v>
      </c>
      <c r="FA858" s="14">
        <f t="shared" si="766"/>
        <v>150</v>
      </c>
      <c r="FB858" s="14">
        <f t="shared" si="767"/>
        <v>4</v>
      </c>
      <c r="FC858" s="14">
        <f t="shared" si="768"/>
        <v>2</v>
      </c>
      <c r="FD858" s="14">
        <f t="shared" si="769"/>
        <v>2</v>
      </c>
      <c r="FE858" s="14" t="b">
        <f t="shared" si="786"/>
        <v>0</v>
      </c>
      <c r="FF858" s="14">
        <f t="shared" si="770"/>
        <v>2111402</v>
      </c>
      <c r="FG858" s="13" t="str">
        <f t="shared" si="771"/>
        <v>150级-史诗守护灵の头盔</v>
      </c>
      <c r="FH858" s="14">
        <f t="shared" si="772"/>
        <v>2</v>
      </c>
      <c r="FI858" s="14">
        <f t="shared" si="773"/>
        <v>4</v>
      </c>
      <c r="FJ858" s="14">
        <f t="shared" si="774"/>
        <v>150</v>
      </c>
      <c r="FK858" s="14">
        <v>419</v>
      </c>
      <c r="FL858" s="14">
        <f t="shared" si="775"/>
        <v>11</v>
      </c>
      <c r="FM858" s="14">
        <f t="shared" si="754"/>
        <v>2</v>
      </c>
      <c r="FN858" s="14" t="str">
        <f t="shared" si="776"/>
        <v/>
      </c>
      <c r="FO858" s="14" t="e">
        <f t="shared" si="755"/>
        <v>#VALUE!</v>
      </c>
      <c r="FP858" s="14">
        <f t="shared" si="787"/>
        <v>0</v>
      </c>
      <c r="FQ858" s="14">
        <f t="shared" si="788"/>
        <v>505</v>
      </c>
      <c r="FR858" s="14" t="e">
        <f t="shared" si="789"/>
        <v>#VALUE!</v>
      </c>
      <c r="FS858" s="14">
        <f t="shared" si="790"/>
        <v>0</v>
      </c>
      <c r="FT858" s="14">
        <f t="shared" si="791"/>
        <v>30</v>
      </c>
      <c r="FU858" s="14" t="e">
        <f t="shared" si="792"/>
        <v>#VALUE!</v>
      </c>
      <c r="FV858" s="14">
        <f t="shared" si="777"/>
        <v>2114</v>
      </c>
      <c r="FW858" s="14">
        <f t="shared" si="778"/>
        <v>7</v>
      </c>
      <c r="FX858" s="14">
        <f t="shared" si="779"/>
        <v>2114</v>
      </c>
      <c r="FY858" s="25" t="str">
        <f t="shared" si="793"/>
        <v>icon_2111102</v>
      </c>
      <c r="GC858" s="14">
        <f t="shared" si="780"/>
        <v>2</v>
      </c>
      <c r="GD858" s="14">
        <f t="shared" si="781"/>
        <v>0</v>
      </c>
      <c r="GE858" s="14" t="e">
        <f t="shared" si="756"/>
        <v>#VALUE!</v>
      </c>
      <c r="GF858" s="14" t="str">
        <f t="shared" si="757"/>
        <v>DefExt</v>
      </c>
      <c r="GG858" s="14">
        <f t="shared" si="758"/>
        <v>505</v>
      </c>
      <c r="GH858" s="14">
        <f t="shared" si="759"/>
        <v>30</v>
      </c>
      <c r="GI858" s="14" t="str">
        <f t="shared" si="760"/>
        <v/>
      </c>
      <c r="GJ858" s="14" t="str">
        <f t="shared" si="761"/>
        <v/>
      </c>
      <c r="GK858" s="14" t="str">
        <f t="shared" si="762"/>
        <v/>
      </c>
      <c r="GL858" s="14">
        <f t="shared" si="782"/>
        <v>21140</v>
      </c>
      <c r="GM858" s="14">
        <f t="shared" si="763"/>
        <v>7</v>
      </c>
      <c r="GN858" s="14">
        <f t="shared" si="764"/>
        <v>2114</v>
      </c>
      <c r="GO858" s="25" t="s">
        <v>1471</v>
      </c>
      <c r="GP858" s="14">
        <f t="shared" si="783"/>
        <v>800</v>
      </c>
    </row>
    <row r="859" spans="151:198" ht="16.5" x14ac:dyDescent="0.2">
      <c r="EU859" s="13">
        <v>854</v>
      </c>
      <c r="EV859" s="14">
        <f t="shared" si="784"/>
        <v>2</v>
      </c>
      <c r="EW859" s="14">
        <f t="shared" si="752"/>
        <v>419</v>
      </c>
      <c r="EX859" s="14">
        <f t="shared" si="785"/>
        <v>56</v>
      </c>
      <c r="EY859" s="14">
        <f t="shared" si="753"/>
        <v>40</v>
      </c>
      <c r="EZ859" s="14">
        <f t="shared" si="765"/>
        <v>22</v>
      </c>
      <c r="FA859" s="14">
        <f t="shared" si="766"/>
        <v>150</v>
      </c>
      <c r="FB859" s="14">
        <f t="shared" si="767"/>
        <v>4</v>
      </c>
      <c r="FC859" s="14">
        <f t="shared" si="768"/>
        <v>3</v>
      </c>
      <c r="FD859" s="14">
        <f t="shared" si="769"/>
        <v>3</v>
      </c>
      <c r="FE859" s="14" t="b">
        <f t="shared" si="786"/>
        <v>0</v>
      </c>
      <c r="FF859" s="14">
        <f t="shared" si="770"/>
        <v>2111403</v>
      </c>
      <c r="FG859" s="13" t="str">
        <f t="shared" si="771"/>
        <v>150级-史诗守护灵の铠甲</v>
      </c>
      <c r="FH859" s="14">
        <f t="shared" si="772"/>
        <v>2</v>
      </c>
      <c r="FI859" s="14">
        <f t="shared" si="773"/>
        <v>4</v>
      </c>
      <c r="FJ859" s="14">
        <f t="shared" si="774"/>
        <v>150</v>
      </c>
      <c r="FK859" s="14">
        <v>420</v>
      </c>
      <c r="FL859" s="14">
        <f t="shared" si="775"/>
        <v>11</v>
      </c>
      <c r="FM859" s="14">
        <f t="shared" si="754"/>
        <v>3</v>
      </c>
      <c r="FN859" s="14" t="str">
        <f t="shared" si="776"/>
        <v/>
      </c>
      <c r="FO859" s="14" t="e">
        <f t="shared" si="755"/>
        <v>#VALUE!</v>
      </c>
      <c r="FP859" s="14">
        <f t="shared" si="787"/>
        <v>0</v>
      </c>
      <c r="FQ859" s="14">
        <f t="shared" si="788"/>
        <v>255</v>
      </c>
      <c r="FR859" s="14" t="e">
        <f t="shared" si="789"/>
        <v>#VALUE!</v>
      </c>
      <c r="FS859" s="14">
        <f t="shared" si="790"/>
        <v>0</v>
      </c>
      <c r="FT859" s="14">
        <f t="shared" si="791"/>
        <v>15</v>
      </c>
      <c r="FU859" s="14" t="e">
        <f t="shared" si="792"/>
        <v>#VALUE!</v>
      </c>
      <c r="FV859" s="14">
        <f t="shared" si="777"/>
        <v>2114</v>
      </c>
      <c r="FW859" s="14">
        <f t="shared" si="778"/>
        <v>7</v>
      </c>
      <c r="FX859" s="14">
        <f t="shared" si="779"/>
        <v>2114</v>
      </c>
      <c r="FY859" s="25" t="str">
        <f t="shared" si="793"/>
        <v>icon_2111103</v>
      </c>
      <c r="GC859" s="14">
        <f t="shared" si="780"/>
        <v>2</v>
      </c>
      <c r="GD859" s="14">
        <f t="shared" si="781"/>
        <v>3</v>
      </c>
      <c r="GE859" s="14" t="e">
        <f t="shared" si="756"/>
        <v>#VALUE!</v>
      </c>
      <c r="GF859" s="14" t="str">
        <f t="shared" si="757"/>
        <v>DefExt</v>
      </c>
      <c r="GG859" s="14">
        <f t="shared" si="758"/>
        <v>255</v>
      </c>
      <c r="GH859" s="14">
        <f t="shared" si="759"/>
        <v>15</v>
      </c>
      <c r="GI859" s="14" t="str">
        <f t="shared" si="760"/>
        <v>HPExt</v>
      </c>
      <c r="GJ859" s="14" t="e">
        <f t="shared" si="761"/>
        <v>#VALUE!</v>
      </c>
      <c r="GK859" s="14" t="e">
        <f t="shared" si="762"/>
        <v>#VALUE!</v>
      </c>
      <c r="GL859" s="14">
        <f t="shared" si="782"/>
        <v>21140</v>
      </c>
      <c r="GM859" s="14">
        <f t="shared" si="763"/>
        <v>7</v>
      </c>
      <c r="GN859" s="14">
        <f t="shared" si="764"/>
        <v>2114</v>
      </c>
      <c r="GO859" s="25" t="s">
        <v>1471</v>
      </c>
      <c r="GP859" s="14">
        <f t="shared" si="783"/>
        <v>800</v>
      </c>
    </row>
    <row r="860" spans="151:198" ht="16.5" x14ac:dyDescent="0.2">
      <c r="EU860" s="13">
        <v>855</v>
      </c>
      <c r="EV860" s="14">
        <f t="shared" si="784"/>
        <v>2</v>
      </c>
      <c r="EW860" s="14">
        <f t="shared" si="752"/>
        <v>420</v>
      </c>
      <c r="EX860" s="14">
        <f t="shared" si="785"/>
        <v>56</v>
      </c>
      <c r="EY860" s="14">
        <f t="shared" si="753"/>
        <v>40</v>
      </c>
      <c r="EZ860" s="14">
        <f t="shared" si="765"/>
        <v>22</v>
      </c>
      <c r="FA860" s="14">
        <f t="shared" si="766"/>
        <v>150</v>
      </c>
      <c r="FB860" s="14">
        <f t="shared" si="767"/>
        <v>4</v>
      </c>
      <c r="FC860" s="14">
        <f t="shared" si="768"/>
        <v>4</v>
      </c>
      <c r="FD860" s="14">
        <f t="shared" si="769"/>
        <v>4</v>
      </c>
      <c r="FE860" s="14" t="b">
        <f t="shared" si="786"/>
        <v>0</v>
      </c>
      <c r="FF860" s="14">
        <f t="shared" si="770"/>
        <v>2111404</v>
      </c>
      <c r="FG860" s="13" t="str">
        <f t="shared" si="771"/>
        <v>150级-史诗守护灵の裤子</v>
      </c>
      <c r="FH860" s="14">
        <f t="shared" si="772"/>
        <v>2</v>
      </c>
      <c r="FI860" s="14">
        <f t="shared" si="773"/>
        <v>4</v>
      </c>
      <c r="FJ860" s="14">
        <f t="shared" si="774"/>
        <v>150</v>
      </c>
      <c r="FK860" s="14">
        <v>421</v>
      </c>
      <c r="FL860" s="14">
        <f t="shared" si="775"/>
        <v>11</v>
      </c>
      <c r="FM860" s="14">
        <f t="shared" si="754"/>
        <v>4</v>
      </c>
      <c r="FN860" s="14" t="str">
        <f t="shared" si="776"/>
        <v/>
      </c>
      <c r="FO860" s="14" t="e">
        <f t="shared" si="755"/>
        <v>#VALUE!</v>
      </c>
      <c r="FP860" s="14">
        <f t="shared" si="787"/>
        <v>0</v>
      </c>
      <c r="FQ860" s="14">
        <f t="shared" si="788"/>
        <v>505</v>
      </c>
      <c r="FR860" s="14" t="e">
        <f t="shared" si="789"/>
        <v>#VALUE!</v>
      </c>
      <c r="FS860" s="14">
        <f t="shared" si="790"/>
        <v>0</v>
      </c>
      <c r="FT860" s="14">
        <f t="shared" si="791"/>
        <v>30</v>
      </c>
      <c r="FU860" s="14" t="e">
        <f t="shared" si="792"/>
        <v>#VALUE!</v>
      </c>
      <c r="FV860" s="14">
        <f t="shared" si="777"/>
        <v>2114</v>
      </c>
      <c r="FW860" s="14">
        <f t="shared" si="778"/>
        <v>7</v>
      </c>
      <c r="FX860" s="14">
        <f t="shared" si="779"/>
        <v>2114</v>
      </c>
      <c r="FY860" s="25" t="str">
        <f t="shared" si="793"/>
        <v>icon_2111104</v>
      </c>
      <c r="GC860" s="14">
        <f t="shared" si="780"/>
        <v>2</v>
      </c>
      <c r="GD860" s="14">
        <f t="shared" si="781"/>
        <v>0</v>
      </c>
      <c r="GE860" s="14" t="e">
        <f t="shared" si="756"/>
        <v>#VALUE!</v>
      </c>
      <c r="GF860" s="14" t="str">
        <f t="shared" si="757"/>
        <v>DefExt</v>
      </c>
      <c r="GG860" s="14">
        <f t="shared" si="758"/>
        <v>505</v>
      </c>
      <c r="GH860" s="14">
        <f t="shared" si="759"/>
        <v>30</v>
      </c>
      <c r="GI860" s="14" t="str">
        <f t="shared" si="760"/>
        <v/>
      </c>
      <c r="GJ860" s="14" t="str">
        <f t="shared" si="761"/>
        <v/>
      </c>
      <c r="GK860" s="14" t="str">
        <f t="shared" si="762"/>
        <v/>
      </c>
      <c r="GL860" s="14">
        <f t="shared" si="782"/>
        <v>21140</v>
      </c>
      <c r="GM860" s="14">
        <f t="shared" si="763"/>
        <v>7</v>
      </c>
      <c r="GN860" s="14">
        <f t="shared" si="764"/>
        <v>2114</v>
      </c>
      <c r="GO860" s="25" t="s">
        <v>1471</v>
      </c>
      <c r="GP860" s="14">
        <f t="shared" si="783"/>
        <v>800</v>
      </c>
    </row>
    <row r="861" spans="151:198" ht="16.5" x14ac:dyDescent="0.2">
      <c r="EU861" s="13">
        <v>856</v>
      </c>
      <c r="EV861" s="14">
        <f t="shared" si="784"/>
        <v>2</v>
      </c>
      <c r="EW861" s="14">
        <f t="shared" si="752"/>
        <v>421</v>
      </c>
      <c r="EX861" s="14">
        <f t="shared" si="785"/>
        <v>56</v>
      </c>
      <c r="EY861" s="14">
        <f t="shared" si="753"/>
        <v>40</v>
      </c>
      <c r="EZ861" s="14">
        <f t="shared" si="765"/>
        <v>22</v>
      </c>
      <c r="FA861" s="14">
        <f t="shared" si="766"/>
        <v>150</v>
      </c>
      <c r="FB861" s="14">
        <f t="shared" si="767"/>
        <v>4</v>
      </c>
      <c r="FC861" s="14">
        <f t="shared" si="768"/>
        <v>5</v>
      </c>
      <c r="FD861" s="14">
        <f t="shared" si="769"/>
        <v>5</v>
      </c>
      <c r="FE861" s="14" t="b">
        <f t="shared" si="786"/>
        <v>0</v>
      </c>
      <c r="FF861" s="14">
        <f t="shared" si="770"/>
        <v>2111405</v>
      </c>
      <c r="FG861" s="13" t="str">
        <f t="shared" si="771"/>
        <v>150级-史诗守护灵の鞋子</v>
      </c>
      <c r="FH861" s="14">
        <f t="shared" si="772"/>
        <v>2</v>
      </c>
      <c r="FI861" s="14">
        <f t="shared" si="773"/>
        <v>4</v>
      </c>
      <c r="FJ861" s="14">
        <f t="shared" si="774"/>
        <v>150</v>
      </c>
      <c r="FK861" s="14">
        <v>422</v>
      </c>
      <c r="FL861" s="14">
        <f t="shared" si="775"/>
        <v>11</v>
      </c>
      <c r="FM861" s="14">
        <f t="shared" si="754"/>
        <v>5</v>
      </c>
      <c r="FN861" s="14" t="str">
        <f t="shared" si="776"/>
        <v/>
      </c>
      <c r="FO861" s="14" t="e">
        <f t="shared" si="755"/>
        <v>#VALUE!</v>
      </c>
      <c r="FP861" s="14">
        <f t="shared" si="787"/>
        <v>0</v>
      </c>
      <c r="FQ861" s="14">
        <f t="shared" si="788"/>
        <v>0</v>
      </c>
      <c r="FR861" s="14" t="e">
        <f t="shared" si="789"/>
        <v>#VALUE!</v>
      </c>
      <c r="FS861" s="14">
        <f t="shared" si="790"/>
        <v>0</v>
      </c>
      <c r="FT861" s="14">
        <f t="shared" si="791"/>
        <v>0</v>
      </c>
      <c r="FU861" s="14" t="e">
        <f t="shared" si="792"/>
        <v>#VALUE!</v>
      </c>
      <c r="FV861" s="14">
        <f t="shared" si="777"/>
        <v>2114</v>
      </c>
      <c r="FW861" s="14">
        <f t="shared" si="778"/>
        <v>7</v>
      </c>
      <c r="FX861" s="14">
        <f t="shared" si="779"/>
        <v>2114</v>
      </c>
      <c r="FY861" s="25" t="str">
        <f t="shared" si="793"/>
        <v>icon_2111105</v>
      </c>
      <c r="GC861" s="14">
        <f t="shared" si="780"/>
        <v>3</v>
      </c>
      <c r="GD861" s="14">
        <f t="shared" si="781"/>
        <v>0</v>
      </c>
      <c r="GE861" s="14" t="e">
        <f t="shared" si="756"/>
        <v>#VALUE!</v>
      </c>
      <c r="GF861" s="14" t="str">
        <f t="shared" si="757"/>
        <v>HPExt</v>
      </c>
      <c r="GG861" s="14" t="e">
        <f t="shared" si="758"/>
        <v>#VALUE!</v>
      </c>
      <c r="GH861" s="14" t="e">
        <f t="shared" si="759"/>
        <v>#VALUE!</v>
      </c>
      <c r="GI861" s="14" t="str">
        <f t="shared" si="760"/>
        <v/>
      </c>
      <c r="GJ861" s="14" t="str">
        <f t="shared" si="761"/>
        <v/>
      </c>
      <c r="GK861" s="14" t="str">
        <f t="shared" si="762"/>
        <v/>
      </c>
      <c r="GL861" s="14">
        <f t="shared" si="782"/>
        <v>21140</v>
      </c>
      <c r="GM861" s="14">
        <f t="shared" si="763"/>
        <v>7</v>
      </c>
      <c r="GN861" s="14">
        <f t="shared" si="764"/>
        <v>2114</v>
      </c>
      <c r="GO861" s="25" t="s">
        <v>1471</v>
      </c>
      <c r="GP861" s="14">
        <f t="shared" si="783"/>
        <v>800</v>
      </c>
    </row>
    <row r="862" spans="151:198" ht="16.5" x14ac:dyDescent="0.2">
      <c r="EU862" s="13">
        <v>857</v>
      </c>
      <c r="EV862" s="14">
        <f t="shared" si="784"/>
        <v>2</v>
      </c>
      <c r="EW862" s="14">
        <f t="shared" si="752"/>
        <v>422</v>
      </c>
      <c r="EX862" s="14">
        <f t="shared" si="785"/>
        <v>56</v>
      </c>
      <c r="EY862" s="14">
        <f t="shared" si="753"/>
        <v>40</v>
      </c>
      <c r="EZ862" s="14">
        <f t="shared" si="765"/>
        <v>22</v>
      </c>
      <c r="FA862" s="14">
        <f t="shared" si="766"/>
        <v>150</v>
      </c>
      <c r="FB862" s="14">
        <f t="shared" si="767"/>
        <v>4</v>
      </c>
      <c r="FC862" s="14">
        <f t="shared" si="768"/>
        <v>6</v>
      </c>
      <c r="FD862" s="14">
        <f t="shared" si="769"/>
        <v>6</v>
      </c>
      <c r="FE862" s="14" t="b">
        <f t="shared" si="786"/>
        <v>0</v>
      </c>
      <c r="FF862" s="14">
        <f t="shared" si="770"/>
        <v>2111406</v>
      </c>
      <c r="FG862" s="13" t="str">
        <f t="shared" si="771"/>
        <v>150级-史诗守护灵の护手</v>
      </c>
      <c r="FH862" s="14">
        <f t="shared" si="772"/>
        <v>2</v>
      </c>
      <c r="FI862" s="14">
        <f t="shared" si="773"/>
        <v>4</v>
      </c>
      <c r="FJ862" s="14">
        <f t="shared" si="774"/>
        <v>150</v>
      </c>
      <c r="FK862" s="14">
        <v>423</v>
      </c>
      <c r="FL862" s="14">
        <f t="shared" si="775"/>
        <v>11</v>
      </c>
      <c r="FM862" s="14">
        <f t="shared" si="754"/>
        <v>6</v>
      </c>
      <c r="FN862" s="14" t="str">
        <f t="shared" si="776"/>
        <v/>
      </c>
      <c r="FO862" s="14" t="e">
        <f t="shared" si="755"/>
        <v>#VALUE!</v>
      </c>
      <c r="FP862" s="14">
        <f t="shared" si="787"/>
        <v>0</v>
      </c>
      <c r="FQ862" s="14">
        <f t="shared" si="788"/>
        <v>0</v>
      </c>
      <c r="FR862" s="14" t="e">
        <f t="shared" si="789"/>
        <v>#VALUE!</v>
      </c>
      <c r="FS862" s="14">
        <f t="shared" si="790"/>
        <v>0</v>
      </c>
      <c r="FT862" s="14">
        <f t="shared" si="791"/>
        <v>0</v>
      </c>
      <c r="FU862" s="14" t="e">
        <f t="shared" si="792"/>
        <v>#VALUE!</v>
      </c>
      <c r="FV862" s="14">
        <f t="shared" si="777"/>
        <v>2114</v>
      </c>
      <c r="FW862" s="14">
        <f t="shared" si="778"/>
        <v>7</v>
      </c>
      <c r="FX862" s="14">
        <f t="shared" si="779"/>
        <v>2114</v>
      </c>
      <c r="FY862" s="25" t="str">
        <f t="shared" si="793"/>
        <v>icon_2111106</v>
      </c>
      <c r="GC862" s="14">
        <f t="shared" si="780"/>
        <v>3</v>
      </c>
      <c r="GD862" s="14">
        <f t="shared" si="781"/>
        <v>0</v>
      </c>
      <c r="GE862" s="14" t="e">
        <f t="shared" si="756"/>
        <v>#VALUE!</v>
      </c>
      <c r="GF862" s="14" t="str">
        <f t="shared" si="757"/>
        <v>HPExt</v>
      </c>
      <c r="GG862" s="14" t="e">
        <f t="shared" si="758"/>
        <v>#VALUE!</v>
      </c>
      <c r="GH862" s="14" t="e">
        <f t="shared" si="759"/>
        <v>#VALUE!</v>
      </c>
      <c r="GI862" s="14" t="str">
        <f t="shared" si="760"/>
        <v/>
      </c>
      <c r="GJ862" s="14" t="str">
        <f t="shared" si="761"/>
        <v/>
      </c>
      <c r="GK862" s="14" t="str">
        <f t="shared" si="762"/>
        <v/>
      </c>
      <c r="GL862" s="14">
        <f t="shared" si="782"/>
        <v>21140</v>
      </c>
      <c r="GM862" s="14">
        <f t="shared" si="763"/>
        <v>7</v>
      </c>
      <c r="GN862" s="14">
        <f t="shared" si="764"/>
        <v>2114</v>
      </c>
      <c r="GO862" s="25" t="s">
        <v>1471</v>
      </c>
      <c r="GP862" s="14">
        <f t="shared" si="783"/>
        <v>800</v>
      </c>
    </row>
    <row r="863" spans="151:198" ht="16.5" x14ac:dyDescent="0.2">
      <c r="EU863" s="13">
        <v>858</v>
      </c>
      <c r="EV863" s="14">
        <f t="shared" si="784"/>
        <v>2</v>
      </c>
      <c r="EW863" s="14">
        <f t="shared" si="752"/>
        <v>423</v>
      </c>
      <c r="EX863" s="14">
        <f t="shared" si="785"/>
        <v>56</v>
      </c>
      <c r="EY863" s="14">
        <f t="shared" si="753"/>
        <v>40</v>
      </c>
      <c r="EZ863" s="14">
        <f t="shared" si="765"/>
        <v>22</v>
      </c>
      <c r="FA863" s="14">
        <f t="shared" si="766"/>
        <v>150</v>
      </c>
      <c r="FB863" s="14">
        <f t="shared" si="767"/>
        <v>4</v>
      </c>
      <c r="FC863" s="14">
        <f t="shared" si="768"/>
        <v>7</v>
      </c>
      <c r="FD863" s="14">
        <f t="shared" si="769"/>
        <v>7</v>
      </c>
      <c r="FE863" s="14" t="b">
        <f t="shared" si="786"/>
        <v>0</v>
      </c>
      <c r="FF863" s="14">
        <f t="shared" si="770"/>
        <v>2111407</v>
      </c>
      <c r="FG863" s="13" t="str">
        <f t="shared" si="771"/>
        <v>150级-史诗守护灵の项链</v>
      </c>
      <c r="FH863" s="14">
        <f t="shared" si="772"/>
        <v>2</v>
      </c>
      <c r="FI863" s="14">
        <f t="shared" si="773"/>
        <v>4</v>
      </c>
      <c r="FJ863" s="14">
        <f t="shared" si="774"/>
        <v>150</v>
      </c>
      <c r="FK863" s="14">
        <v>424</v>
      </c>
      <c r="FL863" s="14">
        <f t="shared" si="775"/>
        <v>11</v>
      </c>
      <c r="FM863" s="14">
        <f t="shared" si="754"/>
        <v>7</v>
      </c>
      <c r="FN863" s="14" t="str">
        <f t="shared" si="776"/>
        <v/>
      </c>
      <c r="FO863" s="14" t="e">
        <f t="shared" si="755"/>
        <v>#VALUE!</v>
      </c>
      <c r="FP863" s="14">
        <f t="shared" si="787"/>
        <v>670</v>
      </c>
      <c r="FQ863" s="14">
        <f t="shared" si="788"/>
        <v>420</v>
      </c>
      <c r="FR863" s="14" t="e">
        <f t="shared" si="789"/>
        <v>#VALUE!</v>
      </c>
      <c r="FS863" s="14">
        <f t="shared" si="790"/>
        <v>40</v>
      </c>
      <c r="FT863" s="14">
        <f t="shared" si="791"/>
        <v>25</v>
      </c>
      <c r="FU863" s="14" t="e">
        <f t="shared" si="792"/>
        <v>#VALUE!</v>
      </c>
      <c r="FV863" s="14">
        <f t="shared" si="777"/>
        <v>2114</v>
      </c>
      <c r="FW863" s="14">
        <f t="shared" si="778"/>
        <v>7</v>
      </c>
      <c r="FX863" s="14">
        <f t="shared" si="779"/>
        <v>2114</v>
      </c>
      <c r="FY863" s="25" t="str">
        <f t="shared" si="793"/>
        <v>icon_2111107</v>
      </c>
      <c r="GC863" s="14">
        <f t="shared" si="780"/>
        <v>1</v>
      </c>
      <c r="GD863" s="14">
        <f t="shared" si="781"/>
        <v>2</v>
      </c>
      <c r="GE863" s="14" t="e">
        <f t="shared" si="756"/>
        <v>#VALUE!</v>
      </c>
      <c r="GF863" s="14" t="str">
        <f t="shared" si="757"/>
        <v>AtkExt</v>
      </c>
      <c r="GG863" s="14">
        <f t="shared" si="758"/>
        <v>670</v>
      </c>
      <c r="GH863" s="14">
        <f t="shared" si="759"/>
        <v>40</v>
      </c>
      <c r="GI863" s="14" t="str">
        <f t="shared" si="760"/>
        <v>DefExt</v>
      </c>
      <c r="GJ863" s="14">
        <f t="shared" si="761"/>
        <v>420</v>
      </c>
      <c r="GK863" s="14">
        <f t="shared" si="762"/>
        <v>25</v>
      </c>
      <c r="GL863" s="14">
        <f t="shared" si="782"/>
        <v>21140</v>
      </c>
      <c r="GM863" s="14">
        <f t="shared" si="763"/>
        <v>7</v>
      </c>
      <c r="GN863" s="14">
        <f t="shared" si="764"/>
        <v>2114</v>
      </c>
      <c r="GO863" s="25" t="s">
        <v>1471</v>
      </c>
      <c r="GP863" s="14">
        <f t="shared" si="783"/>
        <v>1200</v>
      </c>
    </row>
    <row r="864" spans="151:198" ht="16.5" x14ac:dyDescent="0.2">
      <c r="EU864" s="13">
        <v>859</v>
      </c>
      <c r="EV864" s="14">
        <f t="shared" si="784"/>
        <v>2</v>
      </c>
      <c r="EW864" s="14">
        <f t="shared" si="752"/>
        <v>424</v>
      </c>
      <c r="EX864" s="14">
        <f t="shared" si="785"/>
        <v>56</v>
      </c>
      <c r="EY864" s="14">
        <f t="shared" si="753"/>
        <v>40</v>
      </c>
      <c r="EZ864" s="14">
        <f t="shared" si="765"/>
        <v>22</v>
      </c>
      <c r="FA864" s="14">
        <f t="shared" si="766"/>
        <v>150</v>
      </c>
      <c r="FB864" s="14">
        <f t="shared" si="767"/>
        <v>4</v>
      </c>
      <c r="FC864" s="14">
        <f t="shared" si="768"/>
        <v>8</v>
      </c>
      <c r="FD864" s="14">
        <f t="shared" si="769"/>
        <v>8</v>
      </c>
      <c r="FE864" s="14" t="b">
        <f t="shared" si="786"/>
        <v>0</v>
      </c>
      <c r="FF864" s="14">
        <f t="shared" si="770"/>
        <v>2111408</v>
      </c>
      <c r="FG864" s="13" t="str">
        <f t="shared" si="771"/>
        <v>150级-史诗守护灵の戒指</v>
      </c>
      <c r="FH864" s="14">
        <f t="shared" si="772"/>
        <v>2</v>
      </c>
      <c r="FI864" s="14">
        <f t="shared" si="773"/>
        <v>4</v>
      </c>
      <c r="FJ864" s="14">
        <f t="shared" si="774"/>
        <v>150</v>
      </c>
      <c r="FK864" s="14">
        <v>425</v>
      </c>
      <c r="FL864" s="14">
        <f t="shared" si="775"/>
        <v>11</v>
      </c>
      <c r="FM864" s="14">
        <f t="shared" si="754"/>
        <v>8</v>
      </c>
      <c r="FN864" s="14" t="str">
        <f t="shared" si="776"/>
        <v/>
      </c>
      <c r="FO864" s="14" t="e">
        <f t="shared" si="755"/>
        <v>#VALUE!</v>
      </c>
      <c r="FP864" s="14">
        <f t="shared" si="787"/>
        <v>670</v>
      </c>
      <c r="FQ864" s="14">
        <f t="shared" si="788"/>
        <v>0</v>
      </c>
      <c r="FR864" s="14" t="e">
        <f t="shared" si="789"/>
        <v>#VALUE!</v>
      </c>
      <c r="FS864" s="14">
        <f t="shared" si="790"/>
        <v>40</v>
      </c>
      <c r="FT864" s="14">
        <f t="shared" si="791"/>
        <v>0</v>
      </c>
      <c r="FU864" s="14" t="e">
        <f t="shared" si="792"/>
        <v>#VALUE!</v>
      </c>
      <c r="FV864" s="14">
        <f t="shared" si="777"/>
        <v>2114</v>
      </c>
      <c r="FW864" s="14">
        <f t="shared" si="778"/>
        <v>7</v>
      </c>
      <c r="FX864" s="14">
        <f t="shared" si="779"/>
        <v>2114</v>
      </c>
      <c r="FY864" s="25" t="str">
        <f t="shared" si="793"/>
        <v>icon_2111108</v>
      </c>
      <c r="GC864" s="14">
        <f t="shared" si="780"/>
        <v>1</v>
      </c>
      <c r="GD864" s="14">
        <f t="shared" si="781"/>
        <v>3</v>
      </c>
      <c r="GE864" s="14" t="e">
        <f t="shared" si="756"/>
        <v>#VALUE!</v>
      </c>
      <c r="GF864" s="14" t="str">
        <f t="shared" si="757"/>
        <v>AtkExt</v>
      </c>
      <c r="GG864" s="14">
        <f t="shared" si="758"/>
        <v>670</v>
      </c>
      <c r="GH864" s="14">
        <f t="shared" si="759"/>
        <v>40</v>
      </c>
      <c r="GI864" s="14" t="str">
        <f t="shared" si="760"/>
        <v>HPExt</v>
      </c>
      <c r="GJ864" s="14" t="e">
        <f t="shared" si="761"/>
        <v>#VALUE!</v>
      </c>
      <c r="GK864" s="14" t="e">
        <f t="shared" si="762"/>
        <v>#VALUE!</v>
      </c>
      <c r="GL864" s="14">
        <f t="shared" si="782"/>
        <v>21140</v>
      </c>
      <c r="GM864" s="14">
        <f t="shared" si="763"/>
        <v>7</v>
      </c>
      <c r="GN864" s="14">
        <f t="shared" si="764"/>
        <v>2114</v>
      </c>
      <c r="GO864" s="25" t="s">
        <v>1471</v>
      </c>
      <c r="GP864" s="14">
        <f t="shared" si="783"/>
        <v>1200</v>
      </c>
    </row>
    <row r="865" spans="151:198" ht="16.5" x14ac:dyDescent="0.2">
      <c r="EU865" s="13">
        <v>860</v>
      </c>
      <c r="EV865" s="14">
        <f t="shared" si="784"/>
        <v>2</v>
      </c>
      <c r="EW865" s="14">
        <f t="shared" si="752"/>
        <v>425</v>
      </c>
      <c r="EX865" s="14">
        <f t="shared" si="785"/>
        <v>57</v>
      </c>
      <c r="EY865" s="14">
        <f t="shared" si="753"/>
        <v>42</v>
      </c>
      <c r="EZ865" s="14">
        <f t="shared" si="765"/>
        <v>22</v>
      </c>
      <c r="FA865" s="14">
        <f t="shared" si="766"/>
        <v>150</v>
      </c>
      <c r="FB865" s="14">
        <f t="shared" si="767"/>
        <v>4</v>
      </c>
      <c r="FC865" s="14">
        <f t="shared" si="768"/>
        <v>1</v>
      </c>
      <c r="FD865" s="14">
        <f t="shared" si="769"/>
        <v>1</v>
      </c>
      <c r="FE865" s="14" t="b">
        <f t="shared" si="786"/>
        <v>1</v>
      </c>
      <c r="FF865" s="14">
        <f t="shared" si="770"/>
        <v>2111421</v>
      </c>
      <c r="FG865" s="13" t="str">
        <f t="shared" si="771"/>
        <v>150级-防御套守护灵の灵器</v>
      </c>
      <c r="FH865" s="14">
        <f t="shared" si="772"/>
        <v>2</v>
      </c>
      <c r="FI865" s="14">
        <f t="shared" si="773"/>
        <v>4</v>
      </c>
      <c r="FJ865" s="14">
        <f t="shared" si="774"/>
        <v>150</v>
      </c>
      <c r="FK865" s="14">
        <v>426</v>
      </c>
      <c r="FL865" s="14">
        <f t="shared" si="775"/>
        <v>11</v>
      </c>
      <c r="FM865" s="14">
        <f t="shared" si="754"/>
        <v>1</v>
      </c>
      <c r="FN865" s="14">
        <f t="shared" si="776"/>
        <v>211142</v>
      </c>
      <c r="FO865" s="14" t="e">
        <f t="shared" si="755"/>
        <v>#VALUE!</v>
      </c>
      <c r="FP865" s="14">
        <f t="shared" si="787"/>
        <v>2015</v>
      </c>
      <c r="FQ865" s="14">
        <f t="shared" si="788"/>
        <v>0</v>
      </c>
      <c r="FR865" s="14" t="e">
        <f t="shared" si="789"/>
        <v>#VALUE!</v>
      </c>
      <c r="FS865" s="14">
        <f t="shared" si="790"/>
        <v>121</v>
      </c>
      <c r="FT865" s="14">
        <f t="shared" si="791"/>
        <v>0</v>
      </c>
      <c r="FU865" s="14" t="e">
        <f t="shared" si="792"/>
        <v>#VALUE!</v>
      </c>
      <c r="FV865" s="14">
        <f t="shared" si="777"/>
        <v>2114</v>
      </c>
      <c r="FW865" s="14">
        <f t="shared" si="778"/>
        <v>7</v>
      </c>
      <c r="FX865" s="14">
        <f t="shared" si="779"/>
        <v>2114</v>
      </c>
      <c r="FY865" s="25" t="str">
        <f t="shared" si="793"/>
        <v>icon_2111421</v>
      </c>
      <c r="GC865" s="14">
        <f t="shared" si="780"/>
        <v>1</v>
      </c>
      <c r="GD865" s="14">
        <f t="shared" si="781"/>
        <v>0</v>
      </c>
      <c r="GE865" s="14" t="e">
        <f t="shared" si="756"/>
        <v>#VALUE!</v>
      </c>
      <c r="GF865" s="14" t="str">
        <f t="shared" si="757"/>
        <v>AtkExt</v>
      </c>
      <c r="GG865" s="14">
        <f t="shared" si="758"/>
        <v>2015</v>
      </c>
      <c r="GH865" s="14">
        <f t="shared" si="759"/>
        <v>121</v>
      </c>
      <c r="GI865" s="14" t="str">
        <f t="shared" si="760"/>
        <v/>
      </c>
      <c r="GJ865" s="14" t="str">
        <f t="shared" si="761"/>
        <v/>
      </c>
      <c r="GK865" s="14" t="str">
        <f t="shared" si="762"/>
        <v/>
      </c>
      <c r="GL865" s="14">
        <f t="shared" si="782"/>
        <v>21140</v>
      </c>
      <c r="GM865" s="14">
        <f t="shared" si="763"/>
        <v>7</v>
      </c>
      <c r="GN865" s="14">
        <f t="shared" si="764"/>
        <v>2114</v>
      </c>
      <c r="GO865" s="25" t="s">
        <v>1471</v>
      </c>
      <c r="GP865" s="14">
        <f t="shared" si="783"/>
        <v>1600</v>
      </c>
    </row>
    <row r="866" spans="151:198" ht="16.5" x14ac:dyDescent="0.2">
      <c r="EU866" s="13">
        <v>861</v>
      </c>
      <c r="EV866" s="14">
        <f t="shared" si="784"/>
        <v>2</v>
      </c>
      <c r="EW866" s="14">
        <f t="shared" si="752"/>
        <v>426</v>
      </c>
      <c r="EX866" s="14">
        <f t="shared" si="785"/>
        <v>57</v>
      </c>
      <c r="EY866" s="14">
        <f t="shared" si="753"/>
        <v>42</v>
      </c>
      <c r="EZ866" s="14">
        <f t="shared" si="765"/>
        <v>22</v>
      </c>
      <c r="FA866" s="14">
        <f t="shared" si="766"/>
        <v>150</v>
      </c>
      <c r="FB866" s="14">
        <f t="shared" si="767"/>
        <v>4</v>
      </c>
      <c r="FC866" s="14">
        <f t="shared" si="768"/>
        <v>2</v>
      </c>
      <c r="FD866" s="14">
        <f t="shared" si="769"/>
        <v>2</v>
      </c>
      <c r="FE866" s="14" t="b">
        <f t="shared" si="786"/>
        <v>1</v>
      </c>
      <c r="FF866" s="14">
        <f t="shared" si="770"/>
        <v>2111422</v>
      </c>
      <c r="FG866" s="13" t="str">
        <f t="shared" si="771"/>
        <v>150级-防御套守护灵の头盔</v>
      </c>
      <c r="FH866" s="14">
        <f t="shared" si="772"/>
        <v>2</v>
      </c>
      <c r="FI866" s="14">
        <f t="shared" si="773"/>
        <v>4</v>
      </c>
      <c r="FJ866" s="14">
        <f t="shared" si="774"/>
        <v>150</v>
      </c>
      <c r="FK866" s="14">
        <v>427</v>
      </c>
      <c r="FL866" s="14">
        <f t="shared" si="775"/>
        <v>11</v>
      </c>
      <c r="FM866" s="14">
        <f t="shared" si="754"/>
        <v>2</v>
      </c>
      <c r="FN866" s="14">
        <f t="shared" si="776"/>
        <v>211142</v>
      </c>
      <c r="FO866" s="14" t="e">
        <f t="shared" si="755"/>
        <v>#VALUE!</v>
      </c>
      <c r="FP866" s="14">
        <f t="shared" si="787"/>
        <v>0</v>
      </c>
      <c r="FQ866" s="14">
        <f t="shared" si="788"/>
        <v>505</v>
      </c>
      <c r="FR866" s="14" t="e">
        <f t="shared" si="789"/>
        <v>#VALUE!</v>
      </c>
      <c r="FS866" s="14">
        <f t="shared" si="790"/>
        <v>0</v>
      </c>
      <c r="FT866" s="14">
        <f t="shared" si="791"/>
        <v>30</v>
      </c>
      <c r="FU866" s="14" t="e">
        <f t="shared" si="792"/>
        <v>#VALUE!</v>
      </c>
      <c r="FV866" s="14">
        <f t="shared" si="777"/>
        <v>2114</v>
      </c>
      <c r="FW866" s="14">
        <f t="shared" si="778"/>
        <v>7</v>
      </c>
      <c r="FX866" s="14">
        <f t="shared" si="779"/>
        <v>2114</v>
      </c>
      <c r="FY866" s="25" t="str">
        <f t="shared" si="793"/>
        <v>icon_2111422</v>
      </c>
      <c r="GC866" s="14">
        <f t="shared" si="780"/>
        <v>2</v>
      </c>
      <c r="GD866" s="14">
        <f t="shared" si="781"/>
        <v>0</v>
      </c>
      <c r="GE866" s="14" t="e">
        <f t="shared" si="756"/>
        <v>#VALUE!</v>
      </c>
      <c r="GF866" s="14" t="str">
        <f t="shared" si="757"/>
        <v>DefExt</v>
      </c>
      <c r="GG866" s="14">
        <f t="shared" si="758"/>
        <v>505</v>
      </c>
      <c r="GH866" s="14">
        <f t="shared" si="759"/>
        <v>30</v>
      </c>
      <c r="GI866" s="14" t="str">
        <f t="shared" si="760"/>
        <v/>
      </c>
      <c r="GJ866" s="14" t="str">
        <f t="shared" si="761"/>
        <v/>
      </c>
      <c r="GK866" s="14" t="str">
        <f t="shared" si="762"/>
        <v/>
      </c>
      <c r="GL866" s="14">
        <f t="shared" si="782"/>
        <v>21140</v>
      </c>
      <c r="GM866" s="14">
        <f t="shared" si="763"/>
        <v>7</v>
      </c>
      <c r="GN866" s="14">
        <f t="shared" si="764"/>
        <v>2114</v>
      </c>
      <c r="GO866" s="25" t="s">
        <v>1471</v>
      </c>
      <c r="GP866" s="14">
        <f t="shared" si="783"/>
        <v>800</v>
      </c>
    </row>
    <row r="867" spans="151:198" ht="16.5" x14ac:dyDescent="0.2">
      <c r="EU867" s="13">
        <v>862</v>
      </c>
      <c r="EV867" s="14">
        <f t="shared" si="784"/>
        <v>2</v>
      </c>
      <c r="EW867" s="14">
        <f t="shared" si="752"/>
        <v>427</v>
      </c>
      <c r="EX867" s="14">
        <f t="shared" si="785"/>
        <v>57</v>
      </c>
      <c r="EY867" s="14">
        <f t="shared" si="753"/>
        <v>42</v>
      </c>
      <c r="EZ867" s="14">
        <f t="shared" si="765"/>
        <v>22</v>
      </c>
      <c r="FA867" s="14">
        <f t="shared" si="766"/>
        <v>150</v>
      </c>
      <c r="FB867" s="14">
        <f t="shared" si="767"/>
        <v>4</v>
      </c>
      <c r="FC867" s="14">
        <f t="shared" si="768"/>
        <v>3</v>
      </c>
      <c r="FD867" s="14">
        <f t="shared" si="769"/>
        <v>3</v>
      </c>
      <c r="FE867" s="14" t="b">
        <f t="shared" si="786"/>
        <v>1</v>
      </c>
      <c r="FF867" s="14">
        <f t="shared" si="770"/>
        <v>2111423</v>
      </c>
      <c r="FG867" s="13" t="str">
        <f t="shared" si="771"/>
        <v>150级-防御套守护灵の铠甲</v>
      </c>
      <c r="FH867" s="14">
        <f t="shared" si="772"/>
        <v>2</v>
      </c>
      <c r="FI867" s="14">
        <f t="shared" si="773"/>
        <v>4</v>
      </c>
      <c r="FJ867" s="14">
        <f t="shared" si="774"/>
        <v>150</v>
      </c>
      <c r="FK867" s="14">
        <v>428</v>
      </c>
      <c r="FL867" s="14">
        <f t="shared" si="775"/>
        <v>11</v>
      </c>
      <c r="FM867" s="14">
        <f t="shared" si="754"/>
        <v>3</v>
      </c>
      <c r="FN867" s="14">
        <f t="shared" si="776"/>
        <v>211142</v>
      </c>
      <c r="FO867" s="14" t="e">
        <f t="shared" si="755"/>
        <v>#VALUE!</v>
      </c>
      <c r="FP867" s="14">
        <f t="shared" si="787"/>
        <v>0</v>
      </c>
      <c r="FQ867" s="14">
        <f t="shared" si="788"/>
        <v>255</v>
      </c>
      <c r="FR867" s="14" t="e">
        <f t="shared" si="789"/>
        <v>#VALUE!</v>
      </c>
      <c r="FS867" s="14">
        <f t="shared" si="790"/>
        <v>0</v>
      </c>
      <c r="FT867" s="14">
        <f t="shared" si="791"/>
        <v>15</v>
      </c>
      <c r="FU867" s="14" t="e">
        <f t="shared" si="792"/>
        <v>#VALUE!</v>
      </c>
      <c r="FV867" s="14">
        <f t="shared" si="777"/>
        <v>2114</v>
      </c>
      <c r="FW867" s="14">
        <f t="shared" si="778"/>
        <v>7</v>
      </c>
      <c r="FX867" s="14">
        <f t="shared" si="779"/>
        <v>2114</v>
      </c>
      <c r="FY867" s="25" t="str">
        <f t="shared" si="793"/>
        <v>icon_2111423</v>
      </c>
      <c r="GC867" s="14">
        <f t="shared" si="780"/>
        <v>2</v>
      </c>
      <c r="GD867" s="14">
        <f t="shared" si="781"/>
        <v>3</v>
      </c>
      <c r="GE867" s="14" t="e">
        <f t="shared" si="756"/>
        <v>#VALUE!</v>
      </c>
      <c r="GF867" s="14" t="str">
        <f t="shared" si="757"/>
        <v>DefExt</v>
      </c>
      <c r="GG867" s="14">
        <f t="shared" si="758"/>
        <v>255</v>
      </c>
      <c r="GH867" s="14">
        <f t="shared" si="759"/>
        <v>15</v>
      </c>
      <c r="GI867" s="14" t="str">
        <f t="shared" si="760"/>
        <v>HPExt</v>
      </c>
      <c r="GJ867" s="14" t="e">
        <f t="shared" si="761"/>
        <v>#VALUE!</v>
      </c>
      <c r="GK867" s="14" t="e">
        <f t="shared" si="762"/>
        <v>#VALUE!</v>
      </c>
      <c r="GL867" s="14">
        <f t="shared" si="782"/>
        <v>21140</v>
      </c>
      <c r="GM867" s="14">
        <f t="shared" si="763"/>
        <v>7</v>
      </c>
      <c r="GN867" s="14">
        <f t="shared" si="764"/>
        <v>2114</v>
      </c>
      <c r="GO867" s="25" t="s">
        <v>1471</v>
      </c>
      <c r="GP867" s="14">
        <f t="shared" si="783"/>
        <v>800</v>
      </c>
    </row>
    <row r="868" spans="151:198" ht="16.5" x14ac:dyDescent="0.2">
      <c r="EU868" s="13">
        <v>863</v>
      </c>
      <c r="EV868" s="14">
        <f t="shared" si="784"/>
        <v>2</v>
      </c>
      <c r="EW868" s="14">
        <f t="shared" si="752"/>
        <v>428</v>
      </c>
      <c r="EX868" s="14">
        <f t="shared" si="785"/>
        <v>57</v>
      </c>
      <c r="EY868" s="14">
        <f t="shared" si="753"/>
        <v>42</v>
      </c>
      <c r="EZ868" s="14">
        <f t="shared" si="765"/>
        <v>22</v>
      </c>
      <c r="FA868" s="14">
        <f t="shared" si="766"/>
        <v>150</v>
      </c>
      <c r="FB868" s="14">
        <f t="shared" si="767"/>
        <v>4</v>
      </c>
      <c r="FC868" s="14">
        <f t="shared" si="768"/>
        <v>4</v>
      </c>
      <c r="FD868" s="14">
        <f t="shared" si="769"/>
        <v>4</v>
      </c>
      <c r="FE868" s="14" t="b">
        <f t="shared" si="786"/>
        <v>1</v>
      </c>
      <c r="FF868" s="14">
        <f t="shared" si="770"/>
        <v>2111424</v>
      </c>
      <c r="FG868" s="13" t="str">
        <f t="shared" si="771"/>
        <v>150级-防御套守护灵の裤子</v>
      </c>
      <c r="FH868" s="14">
        <f t="shared" si="772"/>
        <v>2</v>
      </c>
      <c r="FI868" s="14">
        <f t="shared" si="773"/>
        <v>4</v>
      </c>
      <c r="FJ868" s="14">
        <f t="shared" si="774"/>
        <v>150</v>
      </c>
      <c r="FK868" s="14">
        <v>429</v>
      </c>
      <c r="FL868" s="14">
        <f t="shared" si="775"/>
        <v>11</v>
      </c>
      <c r="FM868" s="14">
        <f t="shared" si="754"/>
        <v>4</v>
      </c>
      <c r="FN868" s="14">
        <f t="shared" si="776"/>
        <v>211142</v>
      </c>
      <c r="FO868" s="14" t="e">
        <f t="shared" si="755"/>
        <v>#VALUE!</v>
      </c>
      <c r="FP868" s="14">
        <f t="shared" si="787"/>
        <v>0</v>
      </c>
      <c r="FQ868" s="14">
        <f t="shared" si="788"/>
        <v>505</v>
      </c>
      <c r="FR868" s="14" t="e">
        <f t="shared" si="789"/>
        <v>#VALUE!</v>
      </c>
      <c r="FS868" s="14">
        <f t="shared" si="790"/>
        <v>0</v>
      </c>
      <c r="FT868" s="14">
        <f t="shared" si="791"/>
        <v>30</v>
      </c>
      <c r="FU868" s="14" t="e">
        <f t="shared" si="792"/>
        <v>#VALUE!</v>
      </c>
      <c r="FV868" s="14">
        <f t="shared" si="777"/>
        <v>2114</v>
      </c>
      <c r="FW868" s="14">
        <f t="shared" si="778"/>
        <v>7</v>
      </c>
      <c r="FX868" s="14">
        <f t="shared" si="779"/>
        <v>2114</v>
      </c>
      <c r="FY868" s="25" t="str">
        <f t="shared" si="793"/>
        <v>icon_2111424</v>
      </c>
      <c r="GC868" s="14">
        <f t="shared" si="780"/>
        <v>2</v>
      </c>
      <c r="GD868" s="14">
        <f t="shared" si="781"/>
        <v>0</v>
      </c>
      <c r="GE868" s="14" t="e">
        <f t="shared" si="756"/>
        <v>#VALUE!</v>
      </c>
      <c r="GF868" s="14" t="str">
        <f t="shared" si="757"/>
        <v>DefExt</v>
      </c>
      <c r="GG868" s="14">
        <f t="shared" si="758"/>
        <v>505</v>
      </c>
      <c r="GH868" s="14">
        <f t="shared" si="759"/>
        <v>30</v>
      </c>
      <c r="GI868" s="14" t="str">
        <f t="shared" si="760"/>
        <v/>
      </c>
      <c r="GJ868" s="14" t="str">
        <f t="shared" si="761"/>
        <v/>
      </c>
      <c r="GK868" s="14" t="str">
        <f t="shared" si="762"/>
        <v/>
      </c>
      <c r="GL868" s="14">
        <f t="shared" si="782"/>
        <v>21140</v>
      </c>
      <c r="GM868" s="14">
        <f t="shared" si="763"/>
        <v>7</v>
      </c>
      <c r="GN868" s="14">
        <f t="shared" si="764"/>
        <v>2114</v>
      </c>
      <c r="GO868" s="25" t="s">
        <v>1471</v>
      </c>
      <c r="GP868" s="14">
        <f t="shared" si="783"/>
        <v>800</v>
      </c>
    </row>
    <row r="869" spans="151:198" ht="16.5" x14ac:dyDescent="0.2">
      <c r="EU869" s="13">
        <v>864</v>
      </c>
      <c r="EV869" s="14">
        <f t="shared" si="784"/>
        <v>2</v>
      </c>
      <c r="EW869" s="14">
        <f t="shared" si="752"/>
        <v>429</v>
      </c>
      <c r="EX869" s="14">
        <f t="shared" si="785"/>
        <v>57</v>
      </c>
      <c r="EY869" s="14">
        <f t="shared" si="753"/>
        <v>42</v>
      </c>
      <c r="EZ869" s="14">
        <f t="shared" si="765"/>
        <v>22</v>
      </c>
      <c r="FA869" s="14">
        <f t="shared" si="766"/>
        <v>150</v>
      </c>
      <c r="FB869" s="14">
        <f t="shared" si="767"/>
        <v>4</v>
      </c>
      <c r="FC869" s="14">
        <f t="shared" si="768"/>
        <v>5</v>
      </c>
      <c r="FD869" s="14">
        <f t="shared" si="769"/>
        <v>5</v>
      </c>
      <c r="FE869" s="14" t="b">
        <f t="shared" si="786"/>
        <v>1</v>
      </c>
      <c r="FF869" s="14">
        <f t="shared" si="770"/>
        <v>2111425</v>
      </c>
      <c r="FG869" s="13" t="str">
        <f t="shared" si="771"/>
        <v>150级-防御套守护灵の鞋子</v>
      </c>
      <c r="FH869" s="14">
        <f t="shared" si="772"/>
        <v>2</v>
      </c>
      <c r="FI869" s="14">
        <f t="shared" si="773"/>
        <v>4</v>
      </c>
      <c r="FJ869" s="14">
        <f t="shared" si="774"/>
        <v>150</v>
      </c>
      <c r="FK869" s="14">
        <v>430</v>
      </c>
      <c r="FL869" s="14">
        <f t="shared" si="775"/>
        <v>11</v>
      </c>
      <c r="FM869" s="14">
        <f t="shared" si="754"/>
        <v>5</v>
      </c>
      <c r="FN869" s="14">
        <f t="shared" si="776"/>
        <v>211142</v>
      </c>
      <c r="FO869" s="14" t="e">
        <f t="shared" si="755"/>
        <v>#VALUE!</v>
      </c>
      <c r="FP869" s="14">
        <f t="shared" si="787"/>
        <v>0</v>
      </c>
      <c r="FQ869" s="14">
        <f t="shared" si="788"/>
        <v>0</v>
      </c>
      <c r="FR869" s="14" t="e">
        <f t="shared" si="789"/>
        <v>#VALUE!</v>
      </c>
      <c r="FS869" s="14">
        <f t="shared" si="790"/>
        <v>0</v>
      </c>
      <c r="FT869" s="14">
        <f t="shared" si="791"/>
        <v>0</v>
      </c>
      <c r="FU869" s="14" t="e">
        <f t="shared" si="792"/>
        <v>#VALUE!</v>
      </c>
      <c r="FV869" s="14">
        <f t="shared" si="777"/>
        <v>2114</v>
      </c>
      <c r="FW869" s="14">
        <f t="shared" si="778"/>
        <v>7</v>
      </c>
      <c r="FX869" s="14">
        <f t="shared" si="779"/>
        <v>2114</v>
      </c>
      <c r="FY869" s="25" t="str">
        <f t="shared" si="793"/>
        <v>icon_2111425</v>
      </c>
      <c r="GC869" s="14">
        <f t="shared" si="780"/>
        <v>3</v>
      </c>
      <c r="GD869" s="14">
        <f t="shared" si="781"/>
        <v>0</v>
      </c>
      <c r="GE869" s="14" t="e">
        <f t="shared" si="756"/>
        <v>#VALUE!</v>
      </c>
      <c r="GF869" s="14" t="str">
        <f t="shared" si="757"/>
        <v>HPExt</v>
      </c>
      <c r="GG869" s="14" t="e">
        <f t="shared" si="758"/>
        <v>#VALUE!</v>
      </c>
      <c r="GH869" s="14" t="e">
        <f t="shared" si="759"/>
        <v>#VALUE!</v>
      </c>
      <c r="GI869" s="14" t="str">
        <f t="shared" si="760"/>
        <v/>
      </c>
      <c r="GJ869" s="14" t="str">
        <f t="shared" si="761"/>
        <v/>
      </c>
      <c r="GK869" s="14" t="str">
        <f t="shared" si="762"/>
        <v/>
      </c>
      <c r="GL869" s="14">
        <f t="shared" si="782"/>
        <v>21140</v>
      </c>
      <c r="GM869" s="14">
        <f t="shared" si="763"/>
        <v>7</v>
      </c>
      <c r="GN869" s="14">
        <f t="shared" si="764"/>
        <v>2114</v>
      </c>
      <c r="GO869" s="25" t="s">
        <v>1471</v>
      </c>
      <c r="GP869" s="14">
        <f t="shared" si="783"/>
        <v>800</v>
      </c>
    </row>
    <row r="870" spans="151:198" ht="16.5" x14ac:dyDescent="0.2">
      <c r="EU870" s="13">
        <v>865</v>
      </c>
      <c r="EV870" s="14">
        <f t="shared" si="784"/>
        <v>2</v>
      </c>
      <c r="EW870" s="14">
        <f t="shared" si="752"/>
        <v>430</v>
      </c>
      <c r="EX870" s="14">
        <f t="shared" si="785"/>
        <v>57</v>
      </c>
      <c r="EY870" s="14">
        <f t="shared" si="753"/>
        <v>42</v>
      </c>
      <c r="EZ870" s="14">
        <f t="shared" si="765"/>
        <v>22</v>
      </c>
      <c r="FA870" s="14">
        <f t="shared" si="766"/>
        <v>150</v>
      </c>
      <c r="FB870" s="14">
        <f t="shared" si="767"/>
        <v>4</v>
      </c>
      <c r="FC870" s="14">
        <f t="shared" si="768"/>
        <v>6</v>
      </c>
      <c r="FD870" s="14">
        <f t="shared" si="769"/>
        <v>6</v>
      </c>
      <c r="FE870" s="14" t="b">
        <f t="shared" si="786"/>
        <v>1</v>
      </c>
      <c r="FF870" s="14">
        <f t="shared" si="770"/>
        <v>2111426</v>
      </c>
      <c r="FG870" s="13" t="str">
        <f t="shared" si="771"/>
        <v>150级-防御套守护灵の护手</v>
      </c>
      <c r="FH870" s="14">
        <f t="shared" si="772"/>
        <v>2</v>
      </c>
      <c r="FI870" s="14">
        <f t="shared" si="773"/>
        <v>4</v>
      </c>
      <c r="FJ870" s="14">
        <f t="shared" si="774"/>
        <v>150</v>
      </c>
      <c r="FK870" s="14">
        <v>431</v>
      </c>
      <c r="FL870" s="14">
        <f t="shared" si="775"/>
        <v>11</v>
      </c>
      <c r="FM870" s="14">
        <f t="shared" si="754"/>
        <v>6</v>
      </c>
      <c r="FN870" s="14">
        <f t="shared" si="776"/>
        <v>211142</v>
      </c>
      <c r="FO870" s="14" t="e">
        <f t="shared" si="755"/>
        <v>#VALUE!</v>
      </c>
      <c r="FP870" s="14">
        <f t="shared" si="787"/>
        <v>0</v>
      </c>
      <c r="FQ870" s="14">
        <f t="shared" si="788"/>
        <v>0</v>
      </c>
      <c r="FR870" s="14" t="e">
        <f t="shared" si="789"/>
        <v>#VALUE!</v>
      </c>
      <c r="FS870" s="14">
        <f t="shared" si="790"/>
        <v>0</v>
      </c>
      <c r="FT870" s="14">
        <f t="shared" si="791"/>
        <v>0</v>
      </c>
      <c r="FU870" s="14" t="e">
        <f t="shared" si="792"/>
        <v>#VALUE!</v>
      </c>
      <c r="FV870" s="14">
        <f t="shared" si="777"/>
        <v>2114</v>
      </c>
      <c r="FW870" s="14">
        <f t="shared" si="778"/>
        <v>7</v>
      </c>
      <c r="FX870" s="14">
        <f t="shared" si="779"/>
        <v>2114</v>
      </c>
      <c r="FY870" s="25" t="str">
        <f t="shared" si="793"/>
        <v>icon_2111426</v>
      </c>
      <c r="GC870" s="14">
        <f t="shared" si="780"/>
        <v>3</v>
      </c>
      <c r="GD870" s="14">
        <f t="shared" si="781"/>
        <v>0</v>
      </c>
      <c r="GE870" s="14" t="e">
        <f t="shared" si="756"/>
        <v>#VALUE!</v>
      </c>
      <c r="GF870" s="14" t="str">
        <f t="shared" si="757"/>
        <v>HPExt</v>
      </c>
      <c r="GG870" s="14" t="e">
        <f t="shared" si="758"/>
        <v>#VALUE!</v>
      </c>
      <c r="GH870" s="14" t="e">
        <f t="shared" si="759"/>
        <v>#VALUE!</v>
      </c>
      <c r="GI870" s="14" t="str">
        <f t="shared" si="760"/>
        <v/>
      </c>
      <c r="GJ870" s="14" t="str">
        <f t="shared" si="761"/>
        <v/>
      </c>
      <c r="GK870" s="14" t="str">
        <f t="shared" si="762"/>
        <v/>
      </c>
      <c r="GL870" s="14">
        <f t="shared" si="782"/>
        <v>21140</v>
      </c>
      <c r="GM870" s="14">
        <f t="shared" si="763"/>
        <v>7</v>
      </c>
      <c r="GN870" s="14">
        <f t="shared" si="764"/>
        <v>2114</v>
      </c>
      <c r="GO870" s="25" t="s">
        <v>1471</v>
      </c>
      <c r="GP870" s="14">
        <f t="shared" si="783"/>
        <v>800</v>
      </c>
    </row>
    <row r="871" spans="151:198" ht="16.5" x14ac:dyDescent="0.2">
      <c r="EU871" s="13">
        <v>866</v>
      </c>
      <c r="EV871" s="14">
        <f t="shared" si="784"/>
        <v>2</v>
      </c>
      <c r="EW871" s="14">
        <f t="shared" si="752"/>
        <v>431</v>
      </c>
      <c r="EX871" s="14">
        <f t="shared" si="785"/>
        <v>58</v>
      </c>
      <c r="EY871" s="14">
        <f t="shared" si="753"/>
        <v>43</v>
      </c>
      <c r="EZ871" s="14">
        <f t="shared" si="765"/>
        <v>22</v>
      </c>
      <c r="FA871" s="14">
        <f t="shared" si="766"/>
        <v>150</v>
      </c>
      <c r="FB871" s="14">
        <f t="shared" si="767"/>
        <v>4</v>
      </c>
      <c r="FC871" s="14">
        <f t="shared" si="768"/>
        <v>1</v>
      </c>
      <c r="FD871" s="14">
        <f t="shared" si="769"/>
        <v>1</v>
      </c>
      <c r="FE871" s="14" t="b">
        <f t="shared" si="786"/>
        <v>1</v>
      </c>
      <c r="FF871" s="14">
        <f t="shared" si="770"/>
        <v>2111431</v>
      </c>
      <c r="FG871" s="13" t="str">
        <f t="shared" si="771"/>
        <v>150级-绝世守护灵の灵器</v>
      </c>
      <c r="FH871" s="14">
        <f t="shared" si="772"/>
        <v>2</v>
      </c>
      <c r="FI871" s="14">
        <f t="shared" si="773"/>
        <v>4</v>
      </c>
      <c r="FJ871" s="14">
        <f t="shared" si="774"/>
        <v>150</v>
      </c>
      <c r="FK871" s="14">
        <v>432</v>
      </c>
      <c r="FL871" s="14">
        <f t="shared" si="775"/>
        <v>11</v>
      </c>
      <c r="FM871" s="14">
        <f t="shared" si="754"/>
        <v>1</v>
      </c>
      <c r="FN871" s="14">
        <f t="shared" si="776"/>
        <v>211143</v>
      </c>
      <c r="FO871" s="14" t="e">
        <f t="shared" si="755"/>
        <v>#VALUE!</v>
      </c>
      <c r="FP871" s="14">
        <f t="shared" si="787"/>
        <v>2015</v>
      </c>
      <c r="FQ871" s="14">
        <f t="shared" si="788"/>
        <v>0</v>
      </c>
      <c r="FR871" s="14" t="e">
        <f t="shared" si="789"/>
        <v>#VALUE!</v>
      </c>
      <c r="FS871" s="14">
        <f t="shared" si="790"/>
        <v>121</v>
      </c>
      <c r="FT871" s="14">
        <f t="shared" si="791"/>
        <v>0</v>
      </c>
      <c r="FU871" s="14" t="e">
        <f t="shared" si="792"/>
        <v>#VALUE!</v>
      </c>
      <c r="FV871" s="14">
        <f t="shared" si="777"/>
        <v>2114</v>
      </c>
      <c r="FW871" s="14">
        <f t="shared" si="778"/>
        <v>7</v>
      </c>
      <c r="FX871" s="14">
        <f t="shared" si="779"/>
        <v>2114</v>
      </c>
      <c r="FY871" s="25" t="str">
        <f t="shared" si="793"/>
        <v>icon_2111431</v>
      </c>
      <c r="GC871" s="14">
        <f t="shared" si="780"/>
        <v>1</v>
      </c>
      <c r="GD871" s="14">
        <f t="shared" si="781"/>
        <v>0</v>
      </c>
      <c r="GE871" s="14" t="e">
        <f t="shared" si="756"/>
        <v>#VALUE!</v>
      </c>
      <c r="GF871" s="14" t="str">
        <f t="shared" si="757"/>
        <v>AtkExt</v>
      </c>
      <c r="GG871" s="14">
        <f t="shared" si="758"/>
        <v>2015</v>
      </c>
      <c r="GH871" s="14">
        <f t="shared" si="759"/>
        <v>121</v>
      </c>
      <c r="GI871" s="14" t="str">
        <f t="shared" si="760"/>
        <v/>
      </c>
      <c r="GJ871" s="14" t="str">
        <f t="shared" si="761"/>
        <v/>
      </c>
      <c r="GK871" s="14" t="str">
        <f t="shared" si="762"/>
        <v/>
      </c>
      <c r="GL871" s="14">
        <f t="shared" si="782"/>
        <v>21140</v>
      </c>
      <c r="GM871" s="14">
        <f t="shared" si="763"/>
        <v>7</v>
      </c>
      <c r="GN871" s="14">
        <f t="shared" si="764"/>
        <v>2114</v>
      </c>
      <c r="GO871" s="25" t="s">
        <v>1471</v>
      </c>
      <c r="GP871" s="14">
        <f t="shared" si="783"/>
        <v>1600</v>
      </c>
    </row>
    <row r="872" spans="151:198" ht="16.5" x14ac:dyDescent="0.2">
      <c r="EU872" s="13">
        <v>867</v>
      </c>
      <c r="EV872" s="14">
        <f t="shared" si="784"/>
        <v>2</v>
      </c>
      <c r="EW872" s="14">
        <f t="shared" si="752"/>
        <v>432</v>
      </c>
      <c r="EX872" s="14">
        <f t="shared" si="785"/>
        <v>58</v>
      </c>
      <c r="EY872" s="14">
        <f t="shared" si="753"/>
        <v>43</v>
      </c>
      <c r="EZ872" s="14">
        <f t="shared" si="765"/>
        <v>22</v>
      </c>
      <c r="FA872" s="14">
        <f t="shared" si="766"/>
        <v>150</v>
      </c>
      <c r="FB872" s="14">
        <f t="shared" si="767"/>
        <v>4</v>
      </c>
      <c r="FC872" s="14">
        <f t="shared" si="768"/>
        <v>2</v>
      </c>
      <c r="FD872" s="14">
        <f t="shared" si="769"/>
        <v>2</v>
      </c>
      <c r="FE872" s="14" t="b">
        <f t="shared" si="786"/>
        <v>1</v>
      </c>
      <c r="FF872" s="14">
        <f t="shared" si="770"/>
        <v>2111432</v>
      </c>
      <c r="FG872" s="13" t="str">
        <f t="shared" si="771"/>
        <v>150级-绝世守护灵の头盔</v>
      </c>
      <c r="FH872" s="14">
        <f t="shared" si="772"/>
        <v>2</v>
      </c>
      <c r="FI872" s="14">
        <f t="shared" si="773"/>
        <v>4</v>
      </c>
      <c r="FJ872" s="14">
        <f t="shared" si="774"/>
        <v>150</v>
      </c>
      <c r="FK872" s="14">
        <v>433</v>
      </c>
      <c r="FL872" s="14">
        <f t="shared" si="775"/>
        <v>11</v>
      </c>
      <c r="FM872" s="14">
        <f t="shared" si="754"/>
        <v>2</v>
      </c>
      <c r="FN872" s="14">
        <f t="shared" si="776"/>
        <v>211143</v>
      </c>
      <c r="FO872" s="14" t="e">
        <f t="shared" si="755"/>
        <v>#VALUE!</v>
      </c>
      <c r="FP872" s="14">
        <f t="shared" si="787"/>
        <v>0</v>
      </c>
      <c r="FQ872" s="14">
        <f t="shared" si="788"/>
        <v>505</v>
      </c>
      <c r="FR872" s="14" t="e">
        <f t="shared" si="789"/>
        <v>#VALUE!</v>
      </c>
      <c r="FS872" s="14">
        <f t="shared" si="790"/>
        <v>0</v>
      </c>
      <c r="FT872" s="14">
        <f t="shared" si="791"/>
        <v>30</v>
      </c>
      <c r="FU872" s="14" t="e">
        <f t="shared" si="792"/>
        <v>#VALUE!</v>
      </c>
      <c r="FV872" s="14">
        <f t="shared" si="777"/>
        <v>2114</v>
      </c>
      <c r="FW872" s="14">
        <f t="shared" si="778"/>
        <v>7</v>
      </c>
      <c r="FX872" s="14">
        <f t="shared" si="779"/>
        <v>2114</v>
      </c>
      <c r="FY872" s="25" t="str">
        <f t="shared" si="793"/>
        <v>icon_2111432</v>
      </c>
      <c r="GC872" s="14">
        <f t="shared" si="780"/>
        <v>2</v>
      </c>
      <c r="GD872" s="14">
        <f t="shared" si="781"/>
        <v>0</v>
      </c>
      <c r="GE872" s="14" t="e">
        <f t="shared" si="756"/>
        <v>#VALUE!</v>
      </c>
      <c r="GF872" s="14" t="str">
        <f t="shared" si="757"/>
        <v>DefExt</v>
      </c>
      <c r="GG872" s="14">
        <f t="shared" si="758"/>
        <v>505</v>
      </c>
      <c r="GH872" s="14">
        <f t="shared" si="759"/>
        <v>30</v>
      </c>
      <c r="GI872" s="14" t="str">
        <f t="shared" si="760"/>
        <v/>
      </c>
      <c r="GJ872" s="14" t="str">
        <f t="shared" si="761"/>
        <v/>
      </c>
      <c r="GK872" s="14" t="str">
        <f t="shared" si="762"/>
        <v/>
      </c>
      <c r="GL872" s="14">
        <f t="shared" si="782"/>
        <v>21140</v>
      </c>
      <c r="GM872" s="14">
        <f t="shared" si="763"/>
        <v>7</v>
      </c>
      <c r="GN872" s="14">
        <f t="shared" si="764"/>
        <v>2114</v>
      </c>
      <c r="GO872" s="25" t="s">
        <v>1471</v>
      </c>
      <c r="GP872" s="14">
        <f t="shared" si="783"/>
        <v>800</v>
      </c>
    </row>
    <row r="873" spans="151:198" ht="16.5" x14ac:dyDescent="0.2">
      <c r="EU873" s="13">
        <v>868</v>
      </c>
      <c r="EV873" s="14">
        <f t="shared" si="784"/>
        <v>2</v>
      </c>
      <c r="EW873" s="14">
        <f t="shared" si="752"/>
        <v>433</v>
      </c>
      <c r="EX873" s="14">
        <f t="shared" si="785"/>
        <v>58</v>
      </c>
      <c r="EY873" s="14">
        <f t="shared" si="753"/>
        <v>43</v>
      </c>
      <c r="EZ873" s="14">
        <f t="shared" si="765"/>
        <v>22</v>
      </c>
      <c r="FA873" s="14">
        <f t="shared" si="766"/>
        <v>150</v>
      </c>
      <c r="FB873" s="14">
        <f t="shared" si="767"/>
        <v>4</v>
      </c>
      <c r="FC873" s="14">
        <f t="shared" si="768"/>
        <v>3</v>
      </c>
      <c r="FD873" s="14">
        <f t="shared" si="769"/>
        <v>3</v>
      </c>
      <c r="FE873" s="14" t="b">
        <f t="shared" si="786"/>
        <v>1</v>
      </c>
      <c r="FF873" s="14">
        <f t="shared" si="770"/>
        <v>2111433</v>
      </c>
      <c r="FG873" s="13" t="str">
        <f t="shared" si="771"/>
        <v>150级-绝世守护灵の铠甲</v>
      </c>
      <c r="FH873" s="14">
        <f t="shared" si="772"/>
        <v>2</v>
      </c>
      <c r="FI873" s="14">
        <f t="shared" si="773"/>
        <v>4</v>
      </c>
      <c r="FJ873" s="14">
        <f t="shared" si="774"/>
        <v>150</v>
      </c>
      <c r="FK873" s="14">
        <v>434</v>
      </c>
      <c r="FL873" s="14">
        <f t="shared" si="775"/>
        <v>11</v>
      </c>
      <c r="FM873" s="14">
        <f t="shared" si="754"/>
        <v>3</v>
      </c>
      <c r="FN873" s="14">
        <f t="shared" si="776"/>
        <v>211143</v>
      </c>
      <c r="FO873" s="14" t="e">
        <f t="shared" si="755"/>
        <v>#VALUE!</v>
      </c>
      <c r="FP873" s="14">
        <f t="shared" si="787"/>
        <v>0</v>
      </c>
      <c r="FQ873" s="14">
        <f t="shared" si="788"/>
        <v>255</v>
      </c>
      <c r="FR873" s="14" t="e">
        <f t="shared" si="789"/>
        <v>#VALUE!</v>
      </c>
      <c r="FS873" s="14">
        <f t="shared" si="790"/>
        <v>0</v>
      </c>
      <c r="FT873" s="14">
        <f t="shared" si="791"/>
        <v>15</v>
      </c>
      <c r="FU873" s="14" t="e">
        <f t="shared" si="792"/>
        <v>#VALUE!</v>
      </c>
      <c r="FV873" s="14">
        <f t="shared" si="777"/>
        <v>2114</v>
      </c>
      <c r="FW873" s="14">
        <f t="shared" si="778"/>
        <v>7</v>
      </c>
      <c r="FX873" s="14">
        <f t="shared" si="779"/>
        <v>2114</v>
      </c>
      <c r="FY873" s="25" t="str">
        <f t="shared" si="793"/>
        <v>icon_2111433</v>
      </c>
      <c r="GC873" s="14">
        <f t="shared" si="780"/>
        <v>2</v>
      </c>
      <c r="GD873" s="14">
        <f t="shared" si="781"/>
        <v>3</v>
      </c>
      <c r="GE873" s="14" t="e">
        <f t="shared" si="756"/>
        <v>#VALUE!</v>
      </c>
      <c r="GF873" s="14" t="str">
        <f t="shared" si="757"/>
        <v>DefExt</v>
      </c>
      <c r="GG873" s="14">
        <f t="shared" si="758"/>
        <v>255</v>
      </c>
      <c r="GH873" s="14">
        <f t="shared" si="759"/>
        <v>15</v>
      </c>
      <c r="GI873" s="14" t="str">
        <f t="shared" si="760"/>
        <v>HPExt</v>
      </c>
      <c r="GJ873" s="14" t="e">
        <f t="shared" si="761"/>
        <v>#VALUE!</v>
      </c>
      <c r="GK873" s="14" t="e">
        <f t="shared" si="762"/>
        <v>#VALUE!</v>
      </c>
      <c r="GL873" s="14">
        <f t="shared" si="782"/>
        <v>21140</v>
      </c>
      <c r="GM873" s="14">
        <f t="shared" si="763"/>
        <v>7</v>
      </c>
      <c r="GN873" s="14">
        <f t="shared" si="764"/>
        <v>2114</v>
      </c>
      <c r="GO873" s="25" t="s">
        <v>1471</v>
      </c>
      <c r="GP873" s="14">
        <f t="shared" si="783"/>
        <v>800</v>
      </c>
    </row>
    <row r="874" spans="151:198" ht="16.5" x14ac:dyDescent="0.2">
      <c r="EU874" s="13">
        <v>869</v>
      </c>
      <c r="EV874" s="14">
        <f t="shared" si="784"/>
        <v>2</v>
      </c>
      <c r="EW874" s="14">
        <f t="shared" si="752"/>
        <v>434</v>
      </c>
      <c r="EX874" s="14">
        <f t="shared" si="785"/>
        <v>58</v>
      </c>
      <c r="EY874" s="14">
        <f t="shared" si="753"/>
        <v>43</v>
      </c>
      <c r="EZ874" s="14">
        <f t="shared" si="765"/>
        <v>22</v>
      </c>
      <c r="FA874" s="14">
        <f t="shared" si="766"/>
        <v>150</v>
      </c>
      <c r="FB874" s="14">
        <f t="shared" si="767"/>
        <v>4</v>
      </c>
      <c r="FC874" s="14">
        <f t="shared" si="768"/>
        <v>4</v>
      </c>
      <c r="FD874" s="14">
        <f t="shared" si="769"/>
        <v>4</v>
      </c>
      <c r="FE874" s="14" t="b">
        <f t="shared" si="786"/>
        <v>1</v>
      </c>
      <c r="FF874" s="14">
        <f t="shared" si="770"/>
        <v>2111434</v>
      </c>
      <c r="FG874" s="13" t="str">
        <f t="shared" si="771"/>
        <v>150级-绝世守护灵の裤子</v>
      </c>
      <c r="FH874" s="14">
        <f t="shared" si="772"/>
        <v>2</v>
      </c>
      <c r="FI874" s="14">
        <f t="shared" si="773"/>
        <v>4</v>
      </c>
      <c r="FJ874" s="14">
        <f t="shared" si="774"/>
        <v>150</v>
      </c>
      <c r="FK874" s="14">
        <v>435</v>
      </c>
      <c r="FL874" s="14">
        <f t="shared" si="775"/>
        <v>11</v>
      </c>
      <c r="FM874" s="14">
        <f t="shared" si="754"/>
        <v>4</v>
      </c>
      <c r="FN874" s="14">
        <f t="shared" si="776"/>
        <v>211143</v>
      </c>
      <c r="FO874" s="14" t="e">
        <f t="shared" si="755"/>
        <v>#VALUE!</v>
      </c>
      <c r="FP874" s="14">
        <f t="shared" si="787"/>
        <v>0</v>
      </c>
      <c r="FQ874" s="14">
        <f t="shared" si="788"/>
        <v>505</v>
      </c>
      <c r="FR874" s="14" t="e">
        <f t="shared" si="789"/>
        <v>#VALUE!</v>
      </c>
      <c r="FS874" s="14">
        <f t="shared" si="790"/>
        <v>0</v>
      </c>
      <c r="FT874" s="14">
        <f t="shared" si="791"/>
        <v>30</v>
      </c>
      <c r="FU874" s="14" t="e">
        <f t="shared" si="792"/>
        <v>#VALUE!</v>
      </c>
      <c r="FV874" s="14">
        <f t="shared" si="777"/>
        <v>2114</v>
      </c>
      <c r="FW874" s="14">
        <f t="shared" si="778"/>
        <v>7</v>
      </c>
      <c r="FX874" s="14">
        <f t="shared" si="779"/>
        <v>2114</v>
      </c>
      <c r="FY874" s="25" t="str">
        <f t="shared" si="793"/>
        <v>icon_2111434</v>
      </c>
      <c r="GC874" s="14">
        <f t="shared" si="780"/>
        <v>2</v>
      </c>
      <c r="GD874" s="14">
        <f t="shared" si="781"/>
        <v>0</v>
      </c>
      <c r="GE874" s="14" t="e">
        <f t="shared" si="756"/>
        <v>#VALUE!</v>
      </c>
      <c r="GF874" s="14" t="str">
        <f t="shared" si="757"/>
        <v>DefExt</v>
      </c>
      <c r="GG874" s="14">
        <f t="shared" si="758"/>
        <v>505</v>
      </c>
      <c r="GH874" s="14">
        <f t="shared" si="759"/>
        <v>30</v>
      </c>
      <c r="GI874" s="14" t="str">
        <f t="shared" si="760"/>
        <v/>
      </c>
      <c r="GJ874" s="14" t="str">
        <f t="shared" si="761"/>
        <v/>
      </c>
      <c r="GK874" s="14" t="str">
        <f t="shared" si="762"/>
        <v/>
      </c>
      <c r="GL874" s="14">
        <f t="shared" si="782"/>
        <v>21140</v>
      </c>
      <c r="GM874" s="14">
        <f t="shared" si="763"/>
        <v>7</v>
      </c>
      <c r="GN874" s="14">
        <f t="shared" si="764"/>
        <v>2114</v>
      </c>
      <c r="GO874" s="25" t="s">
        <v>1471</v>
      </c>
      <c r="GP874" s="14">
        <f t="shared" si="783"/>
        <v>800</v>
      </c>
    </row>
    <row r="875" spans="151:198" ht="16.5" x14ac:dyDescent="0.2">
      <c r="EU875" s="13">
        <v>870</v>
      </c>
      <c r="EV875" s="14">
        <f t="shared" si="784"/>
        <v>2</v>
      </c>
      <c r="EW875" s="14">
        <f t="shared" si="752"/>
        <v>435</v>
      </c>
      <c r="EX875" s="14">
        <f t="shared" si="785"/>
        <v>58</v>
      </c>
      <c r="EY875" s="14">
        <f t="shared" si="753"/>
        <v>43</v>
      </c>
      <c r="EZ875" s="14">
        <f t="shared" si="765"/>
        <v>22</v>
      </c>
      <c r="FA875" s="14">
        <f t="shared" si="766"/>
        <v>150</v>
      </c>
      <c r="FB875" s="14">
        <f t="shared" si="767"/>
        <v>4</v>
      </c>
      <c r="FC875" s="14">
        <f t="shared" si="768"/>
        <v>5</v>
      </c>
      <c r="FD875" s="14">
        <f t="shared" si="769"/>
        <v>6</v>
      </c>
      <c r="FE875" s="14" t="b">
        <f t="shared" si="786"/>
        <v>1</v>
      </c>
      <c r="FF875" s="14">
        <f t="shared" si="770"/>
        <v>2111436</v>
      </c>
      <c r="FG875" s="13" t="str">
        <f t="shared" si="771"/>
        <v>150级-绝世守护灵の护手</v>
      </c>
      <c r="FH875" s="14">
        <f t="shared" si="772"/>
        <v>2</v>
      </c>
      <c r="FI875" s="14">
        <f t="shared" si="773"/>
        <v>4</v>
      </c>
      <c r="FJ875" s="14">
        <f t="shared" si="774"/>
        <v>150</v>
      </c>
      <c r="FK875" s="14">
        <v>436</v>
      </c>
      <c r="FL875" s="14">
        <f t="shared" si="775"/>
        <v>11</v>
      </c>
      <c r="FM875" s="14">
        <f t="shared" si="754"/>
        <v>6</v>
      </c>
      <c r="FN875" s="14">
        <f t="shared" si="776"/>
        <v>211143</v>
      </c>
      <c r="FO875" s="14" t="e">
        <f t="shared" si="755"/>
        <v>#VALUE!</v>
      </c>
      <c r="FP875" s="14">
        <f t="shared" si="787"/>
        <v>0</v>
      </c>
      <c r="FQ875" s="14">
        <f t="shared" si="788"/>
        <v>0</v>
      </c>
      <c r="FR875" s="14" t="e">
        <f t="shared" si="789"/>
        <v>#VALUE!</v>
      </c>
      <c r="FS875" s="14">
        <f t="shared" si="790"/>
        <v>0</v>
      </c>
      <c r="FT875" s="14">
        <f t="shared" si="791"/>
        <v>0</v>
      </c>
      <c r="FU875" s="14" t="e">
        <f t="shared" si="792"/>
        <v>#VALUE!</v>
      </c>
      <c r="FV875" s="14">
        <f t="shared" si="777"/>
        <v>2114</v>
      </c>
      <c r="FW875" s="14">
        <f t="shared" si="778"/>
        <v>7</v>
      </c>
      <c r="FX875" s="14">
        <f t="shared" si="779"/>
        <v>2114</v>
      </c>
      <c r="FY875" s="25" t="str">
        <f t="shared" si="793"/>
        <v>icon_2111436</v>
      </c>
      <c r="GC875" s="14">
        <f t="shared" si="780"/>
        <v>3</v>
      </c>
      <c r="GD875" s="14">
        <f t="shared" si="781"/>
        <v>0</v>
      </c>
      <c r="GE875" s="14" t="e">
        <f t="shared" si="756"/>
        <v>#VALUE!</v>
      </c>
      <c r="GF875" s="14" t="str">
        <f t="shared" si="757"/>
        <v>HPExt</v>
      </c>
      <c r="GG875" s="14" t="e">
        <f t="shared" si="758"/>
        <v>#VALUE!</v>
      </c>
      <c r="GH875" s="14" t="e">
        <f t="shared" si="759"/>
        <v>#VALUE!</v>
      </c>
      <c r="GI875" s="14" t="str">
        <f t="shared" si="760"/>
        <v/>
      </c>
      <c r="GJ875" s="14" t="str">
        <f t="shared" si="761"/>
        <v/>
      </c>
      <c r="GK875" s="14" t="str">
        <f t="shared" si="762"/>
        <v/>
      </c>
      <c r="GL875" s="14">
        <f t="shared" si="782"/>
        <v>21140</v>
      </c>
      <c r="GM875" s="14">
        <f t="shared" si="763"/>
        <v>7</v>
      </c>
      <c r="GN875" s="14">
        <f t="shared" si="764"/>
        <v>2114</v>
      </c>
      <c r="GO875" s="25" t="s">
        <v>1471</v>
      </c>
      <c r="GP875" s="14">
        <f t="shared" si="783"/>
        <v>800</v>
      </c>
    </row>
  </sheetData>
  <mergeCells count="11">
    <mergeCell ref="AG4:AY4"/>
    <mergeCell ref="A4:AD4"/>
    <mergeCell ref="HK4:HV4"/>
    <mergeCell ref="EM4:EP4"/>
    <mergeCell ref="BF4:BM4"/>
    <mergeCell ref="BP4:BR4"/>
    <mergeCell ref="GC4:GP4"/>
    <mergeCell ref="BT4:DP4"/>
    <mergeCell ref="GW4:HG4"/>
    <mergeCell ref="BB4:BC4"/>
    <mergeCell ref="EU4:F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72" t="s">
        <v>678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 t="s">
        <v>376</v>
      </c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 t="s">
        <v>391</v>
      </c>
      <c r="BO2" s="72"/>
      <c r="BP2" s="72"/>
      <c r="BQ2" s="72"/>
      <c r="BR2" s="72"/>
      <c r="BS2" s="72"/>
      <c r="BT2" s="71" t="s">
        <v>393</v>
      </c>
      <c r="BU2" s="71"/>
      <c r="BV2" s="71"/>
      <c r="BW2" s="71"/>
      <c r="BX2" s="72" t="s">
        <v>890</v>
      </c>
      <c r="BY2" s="72"/>
      <c r="BZ2" s="72"/>
      <c r="CA2" s="72"/>
      <c r="CB2" s="72"/>
      <c r="CC2" s="72" t="s">
        <v>394</v>
      </c>
      <c r="CD2" s="72"/>
      <c r="CE2" s="72"/>
      <c r="CF2" s="72"/>
      <c r="CG2" s="72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254</v>
      </c>
      <c r="B3" s="21" t="s">
        <v>123</v>
      </c>
      <c r="C3" s="21" t="s">
        <v>374</v>
      </c>
      <c r="D3" s="21" t="s">
        <v>375</v>
      </c>
      <c r="E3" s="21" t="s">
        <v>70</v>
      </c>
      <c r="F3" s="21" t="s">
        <v>400</v>
      </c>
      <c r="G3" s="21" t="s">
        <v>401</v>
      </c>
      <c r="H3" s="21" t="s">
        <v>402</v>
      </c>
      <c r="I3" s="21" t="s">
        <v>701</v>
      </c>
      <c r="J3" s="21" t="s">
        <v>968</v>
      </c>
      <c r="K3" s="21" t="s">
        <v>969</v>
      </c>
      <c r="L3" s="21" t="s">
        <v>970</v>
      </c>
      <c r="M3" s="21" t="s">
        <v>971</v>
      </c>
      <c r="N3" s="21" t="s">
        <v>702</v>
      </c>
      <c r="O3" s="21" t="s">
        <v>671</v>
      </c>
      <c r="P3" s="21" t="s">
        <v>672</v>
      </c>
      <c r="Q3" s="21" t="s">
        <v>703</v>
      </c>
      <c r="R3" s="21" t="s">
        <v>972</v>
      </c>
      <c r="S3" s="21" t="s">
        <v>973</v>
      </c>
      <c r="T3" s="21" t="s">
        <v>974</v>
      </c>
      <c r="U3" s="21" t="s">
        <v>975</v>
      </c>
      <c r="V3" s="21" t="s">
        <v>849</v>
      </c>
      <c r="W3" s="21" t="s">
        <v>850</v>
      </c>
      <c r="X3" s="21" t="s">
        <v>851</v>
      </c>
      <c r="Y3" s="21" t="s">
        <v>871</v>
      </c>
      <c r="Z3" s="21" t="s">
        <v>852</v>
      </c>
      <c r="AA3" s="21" t="s">
        <v>853</v>
      </c>
      <c r="AB3" s="21" t="s">
        <v>854</v>
      </c>
      <c r="AC3" s="21" t="s">
        <v>858</v>
      </c>
      <c r="AD3" s="21" t="s">
        <v>859</v>
      </c>
      <c r="AE3" s="21" t="s">
        <v>860</v>
      </c>
      <c r="AF3" s="21" t="s">
        <v>855</v>
      </c>
      <c r="AG3" s="21" t="s">
        <v>856</v>
      </c>
      <c r="AH3" s="21" t="s">
        <v>857</v>
      </c>
      <c r="AI3" s="21" t="s">
        <v>862</v>
      </c>
      <c r="AJ3" s="21" t="s">
        <v>863</v>
      </c>
      <c r="AK3" s="21" t="s">
        <v>864</v>
      </c>
      <c r="AL3" s="21" t="s">
        <v>865</v>
      </c>
      <c r="AM3" s="21" t="s">
        <v>866</v>
      </c>
      <c r="AN3" s="21" t="s">
        <v>867</v>
      </c>
      <c r="AO3" s="21" t="s">
        <v>868</v>
      </c>
      <c r="AP3" s="21" t="s">
        <v>869</v>
      </c>
      <c r="AQ3" s="21"/>
      <c r="AR3" s="21"/>
      <c r="AS3" s="21"/>
      <c r="AT3" s="21" t="s">
        <v>870</v>
      </c>
      <c r="AU3" s="21" t="s">
        <v>502</v>
      </c>
      <c r="AV3" s="21" t="s">
        <v>707</v>
      </c>
      <c r="AW3" s="21" t="s">
        <v>872</v>
      </c>
      <c r="AX3" s="21" t="s">
        <v>861</v>
      </c>
      <c r="AY3" s="21" t="s">
        <v>68</v>
      </c>
      <c r="AZ3" s="21" t="s">
        <v>379</v>
      </c>
      <c r="BA3" s="21" t="s">
        <v>377</v>
      </c>
      <c r="BB3" s="21" t="s">
        <v>69</v>
      </c>
      <c r="BC3" s="21" t="s">
        <v>874</v>
      </c>
      <c r="BD3" s="21" t="s">
        <v>875</v>
      </c>
      <c r="BE3" s="21" t="s">
        <v>876</v>
      </c>
      <c r="BF3" s="21" t="s">
        <v>877</v>
      </c>
      <c r="BG3" s="21" t="s">
        <v>878</v>
      </c>
      <c r="BH3" s="21" t="s">
        <v>879</v>
      </c>
      <c r="BI3" s="21" t="s">
        <v>880</v>
      </c>
      <c r="BJ3" s="21" t="s">
        <v>881</v>
      </c>
      <c r="BK3" s="21" t="s">
        <v>387</v>
      </c>
      <c r="BL3" s="21" t="s">
        <v>388</v>
      </c>
      <c r="BM3" s="21" t="s">
        <v>389</v>
      </c>
      <c r="BN3" s="21" t="s">
        <v>390</v>
      </c>
      <c r="BO3" s="21" t="s">
        <v>392</v>
      </c>
      <c r="BP3" s="21" t="s">
        <v>372</v>
      </c>
      <c r="BQ3" s="21" t="s">
        <v>45</v>
      </c>
      <c r="BR3" s="21" t="s">
        <v>373</v>
      </c>
      <c r="BS3" s="21" t="s">
        <v>882</v>
      </c>
      <c r="BT3" s="21" t="s">
        <v>372</v>
      </c>
      <c r="BU3" s="21" t="s">
        <v>45</v>
      </c>
      <c r="BV3" s="21" t="s">
        <v>373</v>
      </c>
      <c r="BW3" s="21" t="s">
        <v>882</v>
      </c>
      <c r="BX3" s="21" t="s">
        <v>891</v>
      </c>
      <c r="BY3" s="21" t="s">
        <v>892</v>
      </c>
      <c r="BZ3" s="21" t="s">
        <v>893</v>
      </c>
      <c r="CA3" s="21" t="s">
        <v>894</v>
      </c>
      <c r="CB3" s="21" t="s">
        <v>895</v>
      </c>
      <c r="CC3" s="21" t="s">
        <v>378</v>
      </c>
      <c r="CD3" s="21" t="s">
        <v>372</v>
      </c>
      <c r="CE3" s="21" t="s">
        <v>45</v>
      </c>
      <c r="CF3" s="21" t="s">
        <v>373</v>
      </c>
      <c r="CG3" s="21" t="s">
        <v>885</v>
      </c>
      <c r="CH3" s="21" t="s">
        <v>887</v>
      </c>
      <c r="CI3" s="21" t="s">
        <v>888</v>
      </c>
      <c r="CJ3" s="21" t="s">
        <v>889</v>
      </c>
      <c r="CK3" s="21" t="s">
        <v>1022</v>
      </c>
      <c r="CL3" s="21" t="s">
        <v>1017</v>
      </c>
      <c r="CM3" s="21" t="s">
        <v>1018</v>
      </c>
      <c r="CN3" s="21" t="s">
        <v>1019</v>
      </c>
      <c r="CO3" s="21" t="s">
        <v>1020</v>
      </c>
      <c r="CP3" s="21" t="s">
        <v>1021</v>
      </c>
      <c r="CR3" s="21" t="s">
        <v>399</v>
      </c>
      <c r="CS3" s="21" t="s">
        <v>400</v>
      </c>
      <c r="CT3" s="21" t="s">
        <v>401</v>
      </c>
      <c r="CU3" s="21" t="s">
        <v>402</v>
      </c>
      <c r="CV3" s="21" t="s">
        <v>403</v>
      </c>
      <c r="CW3" s="21" t="s">
        <v>404</v>
      </c>
      <c r="CX3" s="21" t="s">
        <v>405</v>
      </c>
      <c r="CY3" s="21" t="s">
        <v>406</v>
      </c>
      <c r="CZ3" s="21" t="s">
        <v>407</v>
      </c>
      <c r="DA3" s="21" t="s">
        <v>408</v>
      </c>
      <c r="DB3" s="21" t="s">
        <v>409</v>
      </c>
      <c r="DC3" s="21" t="s">
        <v>410</v>
      </c>
      <c r="DD3" s="21" t="s">
        <v>411</v>
      </c>
      <c r="DE3" s="21" t="s">
        <v>412</v>
      </c>
      <c r="DF3" s="21" t="s">
        <v>413</v>
      </c>
      <c r="DG3" s="21" t="s">
        <v>414</v>
      </c>
      <c r="DH3" s="21" t="s">
        <v>415</v>
      </c>
      <c r="DI3" s="21" t="s">
        <v>416</v>
      </c>
      <c r="DJ3" s="21" t="s">
        <v>417</v>
      </c>
      <c r="DK3" s="21" t="s">
        <v>418</v>
      </c>
      <c r="DL3" s="21" t="s">
        <v>419</v>
      </c>
      <c r="DM3" s="21" t="s">
        <v>420</v>
      </c>
      <c r="DN3" s="21" t="s">
        <v>415</v>
      </c>
      <c r="DO3" s="21" t="s">
        <v>416</v>
      </c>
      <c r="DP3" s="21" t="s">
        <v>417</v>
      </c>
      <c r="DQ3" s="21" t="s">
        <v>418</v>
      </c>
      <c r="DR3" s="21" t="s">
        <v>419</v>
      </c>
    </row>
    <row r="4" spans="1:122" ht="16.5" x14ac:dyDescent="0.2">
      <c r="A4" t="s">
        <v>424</v>
      </c>
      <c r="B4" s="30">
        <v>5</v>
      </c>
      <c r="C4" s="30">
        <v>1</v>
      </c>
      <c r="D4" s="30">
        <v>5</v>
      </c>
      <c r="E4" s="30">
        <v>4</v>
      </c>
      <c r="F4" s="14">
        <f>INDEX(属性投放!BF$6:BF$85,新属性汇总!$C4+($E4-2)*20)</f>
        <v>48</v>
      </c>
      <c r="G4" s="14">
        <f>INDEX(属性投放!BG$6:BG$85,新属性汇总!$C4+($E4-2)*20)</f>
        <v>24</v>
      </c>
      <c r="H4" s="14">
        <f>INDEX(属性投放!BH$6:BH$85,新属性汇总!$C4+($E4-2)*20)</f>
        <v>288</v>
      </c>
      <c r="I4" s="14">
        <f>SUMPRODUCT(F$1:H$1,F4:H4)</f>
        <v>1248</v>
      </c>
      <c r="J4" s="14">
        <f>SUM(F$4:F4)</f>
        <v>48</v>
      </c>
      <c r="K4" s="14">
        <f>SUM(G$4:G4)</f>
        <v>24</v>
      </c>
      <c r="L4" s="14">
        <f>SUM(H$4:H4)</f>
        <v>288</v>
      </c>
      <c r="M4" s="14">
        <f>SUMPRODUCT(F$1:H$1,J4:L4)</f>
        <v>1248</v>
      </c>
      <c r="N4" s="14">
        <f>INDEX(属性投放!BK$6:BK$85,新属性汇总!$C4+($E4-2)*20)*INDEX(属性投放!$BN$6:$BN$85,新属性汇总!$C4+($E4-2)*20)</f>
        <v>25</v>
      </c>
      <c r="O4" s="14">
        <f>INDEX(属性投放!BL$6:BL$85,新属性汇总!$C4+($E4-2)*20)*INDEX(属性投放!$BN$6:$BN$85,新属性汇总!$C4+($E4-2)*20)</f>
        <v>13</v>
      </c>
      <c r="P4" s="14">
        <f>INDEX(属性投放!BM$6:BM$85,新属性汇总!$C4+($E4-2)*20)*INDEX(属性投放!$BN$6:$BN$85,新属性汇总!$C4+($E4-2)*20)</f>
        <v>150</v>
      </c>
      <c r="Q4" s="14">
        <f>SUMPRODUCT(N$1:P$1,N4:P4)</f>
        <v>660</v>
      </c>
      <c r="R4" s="14">
        <f>SUM(N$4:N4)</f>
        <v>25</v>
      </c>
      <c r="S4" s="14">
        <f>SUM(O$4:O4)</f>
        <v>13</v>
      </c>
      <c r="T4" s="14">
        <f>SUM(P$4:P4)</f>
        <v>150</v>
      </c>
      <c r="U4" s="14">
        <f>SUMPRODUCT($N$1:$P$1,R4:T4)</f>
        <v>660</v>
      </c>
      <c r="V4" s="14">
        <f>INDEX(属性投放!BQ$6:BQ$85,新属性汇总!$C4+($E4-2)*20)</f>
        <v>35</v>
      </c>
      <c r="W4" s="14">
        <f>INDEX(属性投放!BR$6:BR$85,新属性汇总!$C4+($E4-2)*20)</f>
        <v>18</v>
      </c>
      <c r="X4" s="14">
        <f>INDEX(属性投放!BS$6:BS$85,新属性汇总!$C4+($E4-2)*20)</f>
        <v>210</v>
      </c>
      <c r="Y4" s="14">
        <f>SUMPRODUCT(V$1:X$1,V4:X4)</f>
        <v>920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90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60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150</v>
      </c>
      <c r="AL4" s="14">
        <f>SUMPRODUCT(AI$1:AK$1,AI4:AK4)</f>
        <v>700</v>
      </c>
      <c r="AM4" s="14">
        <f>(F4+N4+V4+AI4)*(INDEX(属性投放!$DX$6:$DX$10,新属性汇总!$D4)-1)</f>
        <v>53.199999999999989</v>
      </c>
      <c r="AN4" s="14">
        <f>(G4+O4+W4+AJ4)*(INDEX(属性投放!$DX$6:$DX$10,新属性汇总!$D4)-1)</f>
        <v>27.999999999999993</v>
      </c>
      <c r="AO4" s="14">
        <f>(H4+P4+X4+AK4)*(INDEX(属性投放!$DX$6:$DX$10,新属性汇总!$D4)-1)</f>
        <v>319.19999999999993</v>
      </c>
      <c r="AP4" s="14">
        <f>SUMPRODUCT(AM$1:AO$1,AM4:AO4)</f>
        <v>1411.1999999999998</v>
      </c>
      <c r="AQ4" s="14"/>
      <c r="AR4" s="14"/>
      <c r="AS4" s="14"/>
      <c r="AT4" s="14">
        <f t="shared" ref="AT4:AT23" si="1">I4+Q4+Y4+AL4+AP4</f>
        <v>4939.2</v>
      </c>
      <c r="AU4" s="17">
        <f t="shared" ref="AU4:AU23" si="2">I4/AT4</f>
        <v>0.25267249757045679</v>
      </c>
      <c r="AV4" s="17">
        <f t="shared" ref="AV4:AV23" si="3">Q4/AT4</f>
        <v>0.13362487852283772</v>
      </c>
      <c r="AW4" s="17">
        <f t="shared" ref="AW4:AW23" si="4">Y4/AT4</f>
        <v>0.18626498218334953</v>
      </c>
      <c r="AX4" s="17">
        <f t="shared" ref="AX4:AX23" si="5">AL4/AT4</f>
        <v>0.14172335600907029</v>
      </c>
      <c r="AY4" s="17">
        <f>AP4/AT4</f>
        <v>0.2857142857142857</v>
      </c>
      <c r="AZ4" s="38" t="s">
        <v>873</v>
      </c>
      <c r="BA4" s="38" t="s">
        <v>873</v>
      </c>
      <c r="BB4" s="38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>
        <f>AT4</f>
        <v>4939.2</v>
      </c>
      <c r="CI4" s="14">
        <f>BX4</f>
        <v>0</v>
      </c>
      <c r="CJ4" s="14">
        <f>CG4</f>
        <v>0</v>
      </c>
      <c r="CK4" s="14"/>
      <c r="CL4" s="14">
        <f>SUM(CH4:CK4)</f>
        <v>4939.2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425</v>
      </c>
      <c r="B5" s="30">
        <v>15</v>
      </c>
      <c r="C5" s="30">
        <v>2</v>
      </c>
      <c r="D5" s="30">
        <v>5</v>
      </c>
      <c r="E5" s="30">
        <v>4</v>
      </c>
      <c r="F5" s="14">
        <f>INDEX(属性投放!BF$6:BF$85,新属性汇总!$C5+($E5-2)*20)</f>
        <v>150</v>
      </c>
      <c r="G5" s="14">
        <f>INDEX(属性投放!BG$6:BG$85,新属性汇总!$C5+($E5-2)*20)</f>
        <v>80</v>
      </c>
      <c r="H5" s="14">
        <f>INDEX(属性投放!BH$6:BH$85,新属性汇总!$C5+($E5-2)*20)</f>
        <v>900</v>
      </c>
      <c r="I5" s="14">
        <f t="shared" ref="I5:I23" si="11">SUMPRODUCT(F$1:H$1,F5:H5)</f>
        <v>4000</v>
      </c>
      <c r="J5" s="14">
        <f>SUM(F$4:F5)</f>
        <v>198</v>
      </c>
      <c r="K5" s="14">
        <f>SUM(G$4:G5)</f>
        <v>104</v>
      </c>
      <c r="L5" s="14">
        <f>SUM(H$4:H5)</f>
        <v>1188</v>
      </c>
      <c r="M5" s="14">
        <f t="shared" ref="M5:M23" si="12">SUMPRODUCT(F$1:H$1,J5:L5)</f>
        <v>5248</v>
      </c>
      <c r="N5" s="14">
        <f>INDEX(属性投放!BK$6:BK$85,新属性汇总!$C5+($E5-2)*20)*INDEX(属性投放!$BN$6:$BN$85,新属性汇总!$C5+($E5-2)*20)</f>
        <v>60</v>
      </c>
      <c r="O5" s="14">
        <f>INDEX(属性投放!BL$6:BL$85,新属性汇总!$C5+($E5-2)*20)*INDEX(属性投放!$BN$6:$BN$85,新属性汇总!$C5+($E5-2)*20)</f>
        <v>30</v>
      </c>
      <c r="P5" s="14">
        <f>INDEX(属性投放!BM$6:BM$85,新属性汇总!$C5+($E5-2)*20)*INDEX(属性投放!$BN$6:$BN$85,新属性汇总!$C5+($E5-2)*20)</f>
        <v>360</v>
      </c>
      <c r="Q5" s="14">
        <f t="shared" ref="Q5:Q23" si="13">SUMPRODUCT(N$1:P$1,N5:P5)</f>
        <v>1560</v>
      </c>
      <c r="R5" s="14">
        <f>SUM(N$4:N5)</f>
        <v>85</v>
      </c>
      <c r="S5" s="14">
        <f>SUM(O$4:O5)</f>
        <v>43</v>
      </c>
      <c r="T5" s="14">
        <f>SUM(P$4:P5)</f>
        <v>510</v>
      </c>
      <c r="U5" s="14">
        <f t="shared" ref="U5:U23" si="14">SUMPRODUCT($N$1:$P$1,R5:T5)</f>
        <v>2220</v>
      </c>
      <c r="V5" s="14">
        <f>INDEX(属性投放!BQ$6:BQ$85,新属性汇总!$C5+($E5-2)*20)</f>
        <v>40</v>
      </c>
      <c r="W5" s="14">
        <f>INDEX(属性投放!BR$6:BR$85,新属性汇总!$C5+($E5-2)*20)</f>
        <v>20</v>
      </c>
      <c r="X5" s="14">
        <f>INDEX(属性投放!BS$6:BS$85,新属性汇总!$C5+($E5-2)*20)</f>
        <v>240</v>
      </c>
      <c r="Y5" s="14">
        <f t="shared" ref="Y5:Y23" si="15">SUMPRODUCT(V$1:X$1,V5:X5)</f>
        <v>1040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120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72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480</v>
      </c>
      <c r="AL5" s="14">
        <f t="shared" ref="AL5:AL23" si="17">SUMPRODUCT(AI$1:AK$1,AI5:AK5)</f>
        <v>2080</v>
      </c>
      <c r="AM5" s="14">
        <f>(F5+N5+V5+AI5)*(INDEX(属性投放!$DX$6:$DX$10,新属性汇总!$D5)-1)</f>
        <v>131.99999999999997</v>
      </c>
      <c r="AN5" s="14">
        <f>(G5+O5+W5+AJ5)*(INDEX(属性投放!$DX$6:$DX$10,新属性汇总!$D5)-1)</f>
        <v>67.999999999999986</v>
      </c>
      <c r="AO5" s="14">
        <f>(H5+P5+X5+AK5)*(INDEX(属性投放!$DX$6:$DX$10,新属性汇总!$D5)-1)</f>
        <v>791.99999999999977</v>
      </c>
      <c r="AP5" s="14">
        <f t="shared" ref="AP5:AP23" si="18">SUMPRODUCT(AM$1:AO$1,AM5:AO5)</f>
        <v>3471.9999999999991</v>
      </c>
      <c r="AQ5" s="14"/>
      <c r="AR5" s="14"/>
      <c r="AS5" s="14"/>
      <c r="AT5" s="14">
        <f t="shared" si="1"/>
        <v>12152</v>
      </c>
      <c r="AU5" s="17">
        <f t="shared" si="2"/>
        <v>0.32916392363396973</v>
      </c>
      <c r="AV5" s="17">
        <f t="shared" si="3"/>
        <v>0.12837393021724819</v>
      </c>
      <c r="AW5" s="17">
        <f t="shared" si="4"/>
        <v>8.5582620144832131E-2</v>
      </c>
      <c r="AX5" s="17">
        <f t="shared" si="5"/>
        <v>0.17116524028966426</v>
      </c>
      <c r="AY5" s="17">
        <f t="shared" ref="AY5:AY23" si="19">AP5/AT5</f>
        <v>0.28571428571428564</v>
      </c>
      <c r="AZ5" s="38" t="s">
        <v>873</v>
      </c>
      <c r="BA5" s="38" t="s">
        <v>873</v>
      </c>
      <c r="BB5" s="38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>
        <f t="shared" ref="CH5:CH23" si="25">AT5</f>
        <v>12152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12152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426</v>
      </c>
      <c r="B6" s="30">
        <v>25</v>
      </c>
      <c r="C6" s="30">
        <v>3</v>
      </c>
      <c r="D6" s="30">
        <v>5</v>
      </c>
      <c r="E6" s="30">
        <v>4</v>
      </c>
      <c r="F6" s="14">
        <f>INDEX(属性投放!BF$6:BF$85,新属性汇总!$C6+($E6-2)*20)</f>
        <v>150</v>
      </c>
      <c r="G6" s="14">
        <f>INDEX(属性投放!BG$6:BG$85,新属性汇总!$C6+($E6-2)*20)</f>
        <v>80</v>
      </c>
      <c r="H6" s="14">
        <f>INDEX(属性投放!BH$6:BH$85,新属性汇总!$C6+($E6-2)*20)</f>
        <v>900</v>
      </c>
      <c r="I6" s="14">
        <f t="shared" si="11"/>
        <v>4000</v>
      </c>
      <c r="J6" s="14">
        <f>SUM(F$4:F6)</f>
        <v>348</v>
      </c>
      <c r="K6" s="14">
        <f>SUM(G$4:G6)</f>
        <v>184</v>
      </c>
      <c r="L6" s="14">
        <f>SUM(H$4:H6)</f>
        <v>2088</v>
      </c>
      <c r="M6" s="14">
        <f t="shared" si="12"/>
        <v>9248</v>
      </c>
      <c r="N6" s="14">
        <f>INDEX(属性投放!BK$6:BK$85,新属性汇总!$C6+($E6-2)*20)*INDEX(属性投放!$BN$6:$BN$85,新属性汇总!$C6+($E6-2)*20)</f>
        <v>70</v>
      </c>
      <c r="O6" s="14">
        <f>INDEX(属性投放!BL$6:BL$85,新属性汇总!$C6+($E6-2)*20)*INDEX(属性投放!$BN$6:$BN$85,新属性汇总!$C6+($E6-2)*20)</f>
        <v>36</v>
      </c>
      <c r="P6" s="14">
        <f>INDEX(属性投放!BM$6:BM$85,新属性汇总!$C6+($E6-2)*20)*INDEX(属性投放!$BN$6:$BN$85,新属性汇总!$C6+($E6-2)*20)</f>
        <v>420</v>
      </c>
      <c r="Q6" s="14">
        <f t="shared" si="13"/>
        <v>1840</v>
      </c>
      <c r="R6" s="14">
        <f>SUM(N$4:N6)</f>
        <v>155</v>
      </c>
      <c r="S6" s="14">
        <f>SUM(O$4:O6)</f>
        <v>79</v>
      </c>
      <c r="T6" s="14">
        <f>SUM(P$4:P6)</f>
        <v>930</v>
      </c>
      <c r="U6" s="14">
        <f t="shared" si="14"/>
        <v>4060</v>
      </c>
      <c r="V6" s="14">
        <f>INDEX(属性投放!BQ$6:BQ$85,新属性汇总!$C6+($E6-2)*20)</f>
        <v>80</v>
      </c>
      <c r="W6" s="14">
        <f>INDEX(属性投放!BR$6:BR$85,新属性汇总!$C6+($E6-2)*20)</f>
        <v>40</v>
      </c>
      <c r="X6" s="14">
        <f>INDEX(属性投放!BS$6:BS$85,新属性汇总!$C6+($E6-2)*20)</f>
        <v>480</v>
      </c>
      <c r="Y6" s="14">
        <f t="shared" si="15"/>
        <v>2080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120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72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480</v>
      </c>
      <c r="AL6" s="14">
        <f t="shared" si="17"/>
        <v>2080</v>
      </c>
      <c r="AM6" s="14">
        <f>(F6+N6+V6+AI6)*(INDEX(属性投放!$DX$6:$DX$10,新属性汇总!$D6)-1)</f>
        <v>151.99999999999997</v>
      </c>
      <c r="AN6" s="14">
        <f>(G6+O6+W6+AJ6)*(INDEX(属性投放!$DX$6:$DX$10,新属性汇总!$D6)-1)</f>
        <v>78.399999999999977</v>
      </c>
      <c r="AO6" s="14">
        <f>(H6+P6+X6+AK6)*(INDEX(属性投放!$DX$6:$DX$10,新属性汇总!$D6)-1)</f>
        <v>911.99999999999977</v>
      </c>
      <c r="AP6" s="14">
        <f t="shared" si="18"/>
        <v>3999.9999999999991</v>
      </c>
      <c r="AQ6" s="14"/>
      <c r="AR6" s="14"/>
      <c r="AS6" s="14"/>
      <c r="AT6" s="14">
        <f t="shared" si="1"/>
        <v>14000</v>
      </c>
      <c r="AU6" s="17">
        <f t="shared" si="2"/>
        <v>0.2857142857142857</v>
      </c>
      <c r="AV6" s="17">
        <f t="shared" si="3"/>
        <v>0.13142857142857142</v>
      </c>
      <c r="AW6" s="17">
        <f t="shared" si="4"/>
        <v>0.14857142857142858</v>
      </c>
      <c r="AX6" s="17">
        <f t="shared" si="5"/>
        <v>0.14857142857142858</v>
      </c>
      <c r="AY6" s="17">
        <f t="shared" si="19"/>
        <v>0.28571428571428564</v>
      </c>
      <c r="AZ6" s="30">
        <v>1</v>
      </c>
      <c r="BA6" s="30">
        <v>4</v>
      </c>
      <c r="BB6" s="26">
        <f>INDEX(装备!$BR$6:$BR$9,新属性汇总!BA6)</f>
        <v>1</v>
      </c>
      <c r="BC6" s="14">
        <f>INDEX(装备!M$17:M$23,新属性汇总!$AZ6)*$BB6</f>
        <v>105</v>
      </c>
      <c r="BD6" s="14">
        <f>INDEX(装备!N$17:N$23,新属性汇总!$AZ6)*$BB6</f>
        <v>55</v>
      </c>
      <c r="BE6" s="14">
        <f>INDEX(装备!O$17:O$23,新属性汇总!$AZ6)*$BB6</f>
        <v>645</v>
      </c>
      <c r="BF6" s="14">
        <f>SUMPRODUCT(BC$1:BE$1,BC6:BE6)</f>
        <v>2795</v>
      </c>
      <c r="BG6" s="14">
        <f>INDEX(装备!S$17:S$23,新属性汇总!$AZ6)*新属性汇总!B6*$BB6</f>
        <v>425</v>
      </c>
      <c r="BH6" s="14">
        <f>INDEX(装备!T$17:T$23,新属性汇总!$AZ6)*新属性汇总!C6*$BB6</f>
        <v>25.5</v>
      </c>
      <c r="BI6" s="14">
        <f>INDEX(装备!U$17:U$23,新属性汇总!$AZ6)*新属性汇总!D6*$BB6</f>
        <v>500</v>
      </c>
      <c r="BJ6" s="14">
        <f>SUMPRODUCT(BG$1:BI$1,BG6:BI6)</f>
        <v>5260</v>
      </c>
      <c r="BK6" s="14">
        <f>INDEX(装备!DY$17:DY$23,新属性汇总!$AZ6)</f>
        <v>26</v>
      </c>
      <c r="BL6" s="14">
        <f>INDEX(装备!DZ$17:DZ$23,新属性汇总!$AZ6)</f>
        <v>19</v>
      </c>
      <c r="BM6" s="14">
        <f>INDEX(装备!EA$17:EA$23,新属性汇总!$AZ6)</f>
        <v>66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52</v>
      </c>
      <c r="BQ6" s="14">
        <f>INDEX(装备!DZ$17:DZ$23,新属性汇总!$AZ6)*新属性汇总!$BO6</f>
        <v>38</v>
      </c>
      <c r="BR6" s="14">
        <f>INDEX(装备!EA$17:EA$23,新属性汇总!$AZ6)*新属性汇总!$BO6</f>
        <v>132</v>
      </c>
      <c r="BS6" s="14">
        <f>SUMPRODUCT(BP$1:BR$1,BP6:BR6)</f>
        <v>1412</v>
      </c>
      <c r="BT6" s="14">
        <f>INDEX(装备!$BX$21:$BX$27,新属性汇总!$AZ6)*1.5</f>
        <v>434.28000000000009</v>
      </c>
      <c r="BU6" s="14">
        <v>0</v>
      </c>
      <c r="BV6" s="14">
        <f>INDEX(装备!$BZ$21:$BZ$27,新属性汇总!$AZ6)*1.5</f>
        <v>1302.8400000000001</v>
      </c>
      <c r="BW6" s="14">
        <f>SUMPRODUCT(BT$1:BV$1,BT6:BV6)</f>
        <v>5645.6400000000012</v>
      </c>
      <c r="BX6" s="14">
        <f t="shared" si="20"/>
        <v>15112.640000000001</v>
      </c>
      <c r="BY6" s="17">
        <f t="shared" si="21"/>
        <v>0.18494452325999955</v>
      </c>
      <c r="BZ6" s="17">
        <f t="shared" si="22"/>
        <v>0.34805302051792403</v>
      </c>
      <c r="CA6" s="17">
        <f t="shared" si="23"/>
        <v>9.3431723378575804E-2</v>
      </c>
      <c r="CB6" s="17">
        <f t="shared" si="24"/>
        <v>0.37357073284350056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>
        <f t="shared" si="25"/>
        <v>14000</v>
      </c>
      <c r="CI6" s="14">
        <f t="shared" si="26"/>
        <v>15112.640000000001</v>
      </c>
      <c r="CJ6" s="14">
        <f t="shared" si="27"/>
        <v>0</v>
      </c>
      <c r="CK6" s="14"/>
      <c r="CL6" s="14">
        <f t="shared" si="28"/>
        <v>29112.639999999999</v>
      </c>
      <c r="CM6" s="17">
        <f t="shared" si="29"/>
        <v>0.48089077459138024</v>
      </c>
      <c r="CN6" s="17">
        <f t="shared" si="30"/>
        <v>0.51910922540861981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427</v>
      </c>
      <c r="B7" s="30">
        <v>35</v>
      </c>
      <c r="C7" s="30">
        <v>4</v>
      </c>
      <c r="D7" s="30">
        <v>5</v>
      </c>
      <c r="E7" s="30">
        <v>4</v>
      </c>
      <c r="F7" s="14">
        <f>INDEX(属性投放!BF$6:BF$85,新属性汇总!$C7+($E7-2)*20)</f>
        <v>200</v>
      </c>
      <c r="G7" s="14">
        <f>INDEX(属性投放!BG$6:BG$85,新属性汇总!$C7+($E7-2)*20)</f>
        <v>100</v>
      </c>
      <c r="H7" s="14">
        <f>INDEX(属性投放!BH$6:BH$85,新属性汇总!$C7+($E7-2)*20)</f>
        <v>1400</v>
      </c>
      <c r="I7" s="14">
        <f t="shared" si="11"/>
        <v>5400</v>
      </c>
      <c r="J7" s="14">
        <f>SUM(F$4:F7)</f>
        <v>548</v>
      </c>
      <c r="K7" s="14">
        <f>SUM(G$4:G7)</f>
        <v>284</v>
      </c>
      <c r="L7" s="14">
        <f>SUM(H$4:H7)</f>
        <v>3488</v>
      </c>
      <c r="M7" s="14">
        <f t="shared" si="12"/>
        <v>14648</v>
      </c>
      <c r="N7" s="14">
        <f>INDEX(属性投放!BK$6:BK$85,新属性汇总!$C7+($E7-2)*20)*INDEX(属性投放!$BN$6:$BN$85,新属性汇总!$C7+($E7-2)*20)</f>
        <v>90</v>
      </c>
      <c r="O7" s="14">
        <f>INDEX(属性投放!BL$6:BL$85,新属性汇总!$C7+($E7-2)*20)*INDEX(属性投放!$BN$6:$BN$85,新属性汇总!$C7+($E7-2)*20)</f>
        <v>46</v>
      </c>
      <c r="P7" s="14">
        <f>INDEX(属性投放!BM$6:BM$85,新属性汇总!$C7+($E7-2)*20)*INDEX(属性投放!$BN$6:$BN$85,新属性汇总!$C7+($E7-2)*20)</f>
        <v>630</v>
      </c>
      <c r="Q7" s="14">
        <f t="shared" si="13"/>
        <v>2450</v>
      </c>
      <c r="R7" s="14">
        <f>SUM(N$4:N7)</f>
        <v>245</v>
      </c>
      <c r="S7" s="14">
        <f>SUM(O$4:O7)</f>
        <v>125</v>
      </c>
      <c r="T7" s="14">
        <f>SUM(P$4:P7)</f>
        <v>1560</v>
      </c>
      <c r="U7" s="14">
        <f t="shared" si="14"/>
        <v>6510</v>
      </c>
      <c r="V7" s="14">
        <f>INDEX(属性投放!BQ$6:BQ$85,新属性汇总!$C7+($E7-2)*20)</f>
        <v>100</v>
      </c>
      <c r="W7" s="14">
        <f>INDEX(属性投放!BR$6:BR$85,新属性汇总!$C7+($E7-2)*20)</f>
        <v>50</v>
      </c>
      <c r="X7" s="14">
        <f>INDEX(属性投放!BS$6:BS$85,新属性汇总!$C7+($E7-2)*20)</f>
        <v>700</v>
      </c>
      <c r="Y7" s="14">
        <f t="shared" si="15"/>
        <v>2700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175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91</v>
      </c>
      <c r="AI7" s="14">
        <f t="shared" si="33"/>
        <v>120</v>
      </c>
      <c r="AJ7" s="14">
        <f t="shared" si="34"/>
        <v>60</v>
      </c>
      <c r="AK7" s="14">
        <f t="shared" si="35"/>
        <v>840</v>
      </c>
      <c r="AL7" s="14">
        <f t="shared" si="17"/>
        <v>3240</v>
      </c>
      <c r="AM7" s="14">
        <f>(F7+N7+V7+AI7)*(INDEX(属性投放!$DX$6:$DX$10,新属性汇总!$D7)-1)</f>
        <v>203.99999999999994</v>
      </c>
      <c r="AN7" s="14">
        <f>(G7+O7+W7+AJ7)*(INDEX(属性投放!$DX$6:$DX$10,新属性汇总!$D7)-1)</f>
        <v>102.39999999999998</v>
      </c>
      <c r="AO7" s="14">
        <f>(H7+P7+X7+AK7)*(INDEX(属性投放!$DX$6:$DX$10,新属性汇总!$D7)-1)</f>
        <v>1427.9999999999998</v>
      </c>
      <c r="AP7" s="14">
        <f t="shared" si="18"/>
        <v>5515.9999999999991</v>
      </c>
      <c r="AQ7" s="14"/>
      <c r="AR7" s="14"/>
      <c r="AS7" s="14"/>
      <c r="AT7" s="14">
        <f t="shared" si="1"/>
        <v>19306</v>
      </c>
      <c r="AU7" s="17">
        <f t="shared" si="2"/>
        <v>0.27970579094581993</v>
      </c>
      <c r="AV7" s="17">
        <f t="shared" si="3"/>
        <v>0.12690355329949238</v>
      </c>
      <c r="AW7" s="17">
        <f t="shared" si="4"/>
        <v>0.13985289547290997</v>
      </c>
      <c r="AX7" s="17">
        <f t="shared" si="5"/>
        <v>0.16782347456749197</v>
      </c>
      <c r="AY7" s="17">
        <f t="shared" si="19"/>
        <v>0.28571428571428564</v>
      </c>
      <c r="AZ7" s="30">
        <v>1</v>
      </c>
      <c r="BA7" s="30">
        <v>4</v>
      </c>
      <c r="BB7" s="26">
        <f>INDEX(装备!$BR$6:$BR$9,新属性汇总!BA7)</f>
        <v>1</v>
      </c>
      <c r="BC7" s="14">
        <f>INDEX(装备!M$17:M$23,新属性汇总!$AZ7)*$BB7</f>
        <v>105</v>
      </c>
      <c r="BD7" s="14">
        <f>INDEX(装备!N$17:N$23,新属性汇总!$AZ7)*$BB7</f>
        <v>55</v>
      </c>
      <c r="BE7" s="14">
        <f>INDEX(装备!O$17:O$23,新属性汇总!$AZ7)*$BB7</f>
        <v>645</v>
      </c>
      <c r="BF7" s="14">
        <f t="shared" ref="BF7:BF23" si="36">SUMPRODUCT(BC$1:BE$1,BC7:BE7)</f>
        <v>2795</v>
      </c>
      <c r="BG7" s="14">
        <f>INDEX(装备!S$17:S$23,新属性汇总!$AZ7)*(新属性汇总!$B7-$B6)*$BB7</f>
        <v>170</v>
      </c>
      <c r="BH7" s="14">
        <f>INDEX(装备!T$17:T$23,新属性汇总!$AZ7)*(新属性汇总!$B7-$B6)*$BB7</f>
        <v>85</v>
      </c>
      <c r="BI7" s="14">
        <f>INDEX(装备!U$17:U$23,新属性汇总!$AZ7)*(新属性汇总!$B7-$B6)*$BB7</f>
        <v>1000</v>
      </c>
      <c r="BJ7" s="14">
        <f t="shared" ref="BJ7:BJ23" si="37">SUMPRODUCT(BG$1:BI$1,BG7:BI7)</f>
        <v>4400</v>
      </c>
      <c r="BK7" s="14">
        <f>INDEX(装备!DY$17:DY$23,新属性汇总!$AZ7)</f>
        <v>26</v>
      </c>
      <c r="BL7" s="14">
        <f>INDEX(装备!DZ$17:DZ$23,新属性汇总!$AZ7)</f>
        <v>19</v>
      </c>
      <c r="BM7" s="14">
        <f>INDEX(装备!EA$17:EA$23,新属性汇总!$AZ7)</f>
        <v>66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52</v>
      </c>
      <c r="BQ7" s="14">
        <f>INDEX(装备!DZ$17:DZ$23,新属性汇总!$AZ7)*新属性汇总!$BO7</f>
        <v>38</v>
      </c>
      <c r="BR7" s="14">
        <f>INDEX(装备!EA$17:EA$23,新属性汇总!$AZ7)*新属性汇总!$BO7</f>
        <v>132</v>
      </c>
      <c r="BS7" s="14">
        <f t="shared" ref="BS7:BS23" si="38">SUMPRODUCT(BP$1:BR$1,BP7:BR7)</f>
        <v>1412</v>
      </c>
      <c r="BT7" s="14">
        <f>INDEX(装备!$BX$21:$BX$27,新属性汇总!$AZ7)*1.5</f>
        <v>434.28000000000009</v>
      </c>
      <c r="BU7" s="14">
        <v>0</v>
      </c>
      <c r="BV7" s="14">
        <f>INDEX(装备!$BZ$21:$BZ$27,新属性汇总!$AZ7)*1.5</f>
        <v>1302.8400000000001</v>
      </c>
      <c r="BW7" s="14">
        <f t="shared" ref="BW7:BW23" si="39">SUMPRODUCT(BT$1:BV$1,BT7:BV7)</f>
        <v>5645.6400000000012</v>
      </c>
      <c r="BX7" s="14">
        <f t="shared" si="20"/>
        <v>14252.640000000001</v>
      </c>
      <c r="BY7" s="17">
        <f t="shared" si="21"/>
        <v>0.19610402002716687</v>
      </c>
      <c r="BZ7" s="17">
        <f t="shared" si="22"/>
        <v>0.30871473635761515</v>
      </c>
      <c r="CA7" s="17">
        <f t="shared" si="23"/>
        <v>9.9069365394761938E-2</v>
      </c>
      <c r="CB7" s="17">
        <f t="shared" si="24"/>
        <v>0.39611187822045607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19306</v>
      </c>
      <c r="CI7" s="14">
        <f t="shared" si="26"/>
        <v>14252.640000000001</v>
      </c>
      <c r="CJ7" s="14">
        <f t="shared" si="27"/>
        <v>0</v>
      </c>
      <c r="CK7" s="14"/>
      <c r="CL7" s="14">
        <f t="shared" si="28"/>
        <v>33558.639999999999</v>
      </c>
      <c r="CM7" s="17">
        <f t="shared" si="29"/>
        <v>0.57529148976239797</v>
      </c>
      <c r="CN7" s="17">
        <f t="shared" si="30"/>
        <v>0.42470851023760203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428</v>
      </c>
      <c r="B8" s="30">
        <v>42</v>
      </c>
      <c r="C8" s="30">
        <v>5</v>
      </c>
      <c r="D8" s="30">
        <v>5</v>
      </c>
      <c r="E8" s="30">
        <v>4</v>
      </c>
      <c r="F8" s="14">
        <f>INDEX(属性投放!BF$6:BF$85,新属性汇总!$C8+($E8-2)*20)</f>
        <v>140</v>
      </c>
      <c r="G8" s="14">
        <f>INDEX(属性投放!BG$6:BG$85,新属性汇总!$C8+($E8-2)*20)</f>
        <v>70</v>
      </c>
      <c r="H8" s="14">
        <f>INDEX(属性投放!BH$6:BH$85,新属性汇总!$C8+($E8-2)*20)</f>
        <v>980</v>
      </c>
      <c r="I8" s="14">
        <f t="shared" si="11"/>
        <v>3780</v>
      </c>
      <c r="J8" s="14">
        <f>SUM(F$4:F8)</f>
        <v>688</v>
      </c>
      <c r="K8" s="14">
        <f>SUM(G$4:G8)</f>
        <v>354</v>
      </c>
      <c r="L8" s="14">
        <f>SUM(H$4:H8)</f>
        <v>4468</v>
      </c>
      <c r="M8" s="14">
        <f t="shared" si="12"/>
        <v>18428</v>
      </c>
      <c r="N8" s="14">
        <f>INDEX(属性投放!BK$6:BK$85,新属性汇总!$C8+($E8-2)*20)*INDEX(属性投放!$BN$6:$BN$85,新属性汇总!$C8+($E8-2)*20)</f>
        <v>110</v>
      </c>
      <c r="O8" s="14">
        <f>INDEX(属性投放!BL$6:BL$85,新属性汇总!$C8+($E8-2)*20)*INDEX(属性投放!$BN$6:$BN$85,新属性汇总!$C8+($E8-2)*20)</f>
        <v>56</v>
      </c>
      <c r="P8" s="14">
        <f>INDEX(属性投放!BM$6:BM$85,新属性汇总!$C8+($E8-2)*20)*INDEX(属性投放!$BN$6:$BN$85,新属性汇总!$C8+($E8-2)*20)</f>
        <v>770</v>
      </c>
      <c r="Q8" s="14">
        <f t="shared" si="13"/>
        <v>2990</v>
      </c>
      <c r="R8" s="14">
        <f>SUM(N$4:N8)</f>
        <v>355</v>
      </c>
      <c r="S8" s="14">
        <f>SUM(O$4:O8)</f>
        <v>181</v>
      </c>
      <c r="T8" s="14">
        <f>SUM(P$4:P8)</f>
        <v>2330</v>
      </c>
      <c r="U8" s="14">
        <f t="shared" si="14"/>
        <v>9500</v>
      </c>
      <c r="V8" s="14">
        <f>INDEX(属性投放!BQ$6:BQ$85,新属性汇总!$C8+($E8-2)*20)</f>
        <v>120</v>
      </c>
      <c r="W8" s="14">
        <f>INDEX(属性投放!BR$6:BR$85,新属性汇总!$C8+($E8-2)*20)</f>
        <v>60</v>
      </c>
      <c r="X8" s="14">
        <f>INDEX(属性投放!BS$6:BS$85,新属性汇总!$C8+($E8-2)*20)</f>
        <v>840</v>
      </c>
      <c r="Y8" s="14">
        <f t="shared" si="15"/>
        <v>3240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175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91</v>
      </c>
      <c r="AI8" s="14">
        <f t="shared" si="33"/>
        <v>84</v>
      </c>
      <c r="AJ8" s="14">
        <f t="shared" si="34"/>
        <v>42</v>
      </c>
      <c r="AK8" s="14">
        <f t="shared" si="35"/>
        <v>588</v>
      </c>
      <c r="AL8" s="14">
        <f t="shared" si="17"/>
        <v>2268</v>
      </c>
      <c r="AM8" s="14">
        <f>(F8+N8+V8+AI8)*(INDEX(属性投放!$DX$6:$DX$10,新属性汇总!$D8)-1)</f>
        <v>181.59999999999997</v>
      </c>
      <c r="AN8" s="14">
        <f>(G8+O8+W8+AJ8)*(INDEX(属性投放!$DX$6:$DX$10,新属性汇总!$D8)-1)</f>
        <v>91.199999999999974</v>
      </c>
      <c r="AO8" s="14">
        <f>(H8+P8+X8+AK8)*(INDEX(属性投放!$DX$6:$DX$10,新属性汇总!$D8)-1)</f>
        <v>1271.1999999999998</v>
      </c>
      <c r="AP8" s="14">
        <f t="shared" si="18"/>
        <v>4911.1999999999989</v>
      </c>
      <c r="AQ8" s="14"/>
      <c r="AR8" s="14"/>
      <c r="AS8" s="14"/>
      <c r="AT8" s="14">
        <f t="shared" si="1"/>
        <v>17189.199999999997</v>
      </c>
      <c r="AU8" s="17">
        <f t="shared" si="2"/>
        <v>0.21990552207199873</v>
      </c>
      <c r="AV8" s="17">
        <f t="shared" si="3"/>
        <v>0.17394643148023181</v>
      </c>
      <c r="AW8" s="17">
        <f t="shared" si="4"/>
        <v>0.18849044749028462</v>
      </c>
      <c r="AX8" s="17">
        <f t="shared" si="5"/>
        <v>0.13194331324319925</v>
      </c>
      <c r="AY8" s="17">
        <f t="shared" si="19"/>
        <v>0.2857142857142857</v>
      </c>
      <c r="AZ8" s="30">
        <v>1</v>
      </c>
      <c r="BA8" s="30">
        <v>4</v>
      </c>
      <c r="BB8" s="26">
        <f>INDEX(装备!$BR$6:$BR$9,新属性汇总!BA8)</f>
        <v>1</v>
      </c>
      <c r="BC8" s="14">
        <f>INDEX(装备!M$17:M$23,新属性汇总!$AZ8)*$BB8</f>
        <v>105</v>
      </c>
      <c r="BD8" s="14">
        <f>INDEX(装备!N$17:N$23,新属性汇总!$AZ8)*$BB8</f>
        <v>55</v>
      </c>
      <c r="BE8" s="14">
        <f>INDEX(装备!O$17:O$23,新属性汇总!$AZ8)*$BB8</f>
        <v>645</v>
      </c>
      <c r="BF8" s="14">
        <f t="shared" si="36"/>
        <v>2795</v>
      </c>
      <c r="BG8" s="14">
        <f>INDEX(装备!S$17:S$23,新属性汇总!$AZ8)*(新属性汇总!$B8-$B7)*$BB8</f>
        <v>119</v>
      </c>
      <c r="BH8" s="14">
        <f>INDEX(装备!T$17:T$23,新属性汇总!$AZ8)*(新属性汇总!$B8-$B7)*$BB8</f>
        <v>59.5</v>
      </c>
      <c r="BI8" s="14">
        <f>INDEX(装备!U$17:U$23,新属性汇总!$AZ8)*(新属性汇总!$B8-$B7)*$BB8</f>
        <v>700</v>
      </c>
      <c r="BJ8" s="14">
        <f t="shared" si="37"/>
        <v>3080</v>
      </c>
      <c r="BK8" s="14">
        <f>INDEX(装备!DY$17:DY$23,新属性汇总!$AZ8)</f>
        <v>26</v>
      </c>
      <c r="BL8" s="14">
        <f>INDEX(装备!DZ$17:DZ$23,新属性汇总!$AZ8)</f>
        <v>19</v>
      </c>
      <c r="BM8" s="14">
        <f>INDEX(装备!EA$17:EA$23,新属性汇总!$AZ8)</f>
        <v>66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52</v>
      </c>
      <c r="BQ8" s="14">
        <f>INDEX(装备!DZ$17:DZ$23,新属性汇总!$AZ8)*新属性汇总!$BO8</f>
        <v>38</v>
      </c>
      <c r="BR8" s="14">
        <f>INDEX(装备!EA$17:EA$23,新属性汇总!$AZ8)*新属性汇总!$BO8</f>
        <v>132</v>
      </c>
      <c r="BS8" s="14">
        <f t="shared" si="38"/>
        <v>1412</v>
      </c>
      <c r="BT8" s="14">
        <f>INDEX(装备!$BX$21:$BX$27,新属性汇总!$AZ8)*1.5</f>
        <v>434.28000000000009</v>
      </c>
      <c r="BU8" s="14">
        <v>0</v>
      </c>
      <c r="BV8" s="14">
        <f>INDEX(装备!$BZ$21:$BZ$27,新属性汇总!$AZ8)*1.5</f>
        <v>1302.8400000000001</v>
      </c>
      <c r="BW8" s="14">
        <f t="shared" si="39"/>
        <v>5645.6400000000012</v>
      </c>
      <c r="BX8" s="14">
        <f t="shared" si="20"/>
        <v>12932.640000000001</v>
      </c>
      <c r="BY8" s="17">
        <f t="shared" si="21"/>
        <v>0.21611983322817305</v>
      </c>
      <c r="BZ8" s="17">
        <f t="shared" si="22"/>
        <v>0.23815709708149302</v>
      </c>
      <c r="CA8" s="17">
        <f t="shared" si="23"/>
        <v>0.10918111073995718</v>
      </c>
      <c r="CB8" s="17">
        <f t="shared" si="24"/>
        <v>0.43654195895037678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17189.199999999997</v>
      </c>
      <c r="CI8" s="14">
        <f t="shared" si="26"/>
        <v>12932.640000000001</v>
      </c>
      <c r="CJ8" s="14">
        <f t="shared" si="27"/>
        <v>0</v>
      </c>
      <c r="CK8" s="14">
        <f>CH8</f>
        <v>17189.199999999997</v>
      </c>
      <c r="CL8" s="14">
        <f t="shared" si="28"/>
        <v>47311.039999999994</v>
      </c>
      <c r="CM8" s="17">
        <f t="shared" si="29"/>
        <v>0.36332323280147721</v>
      </c>
      <c r="CN8" s="17">
        <f t="shared" si="30"/>
        <v>0.27335353439704568</v>
      </c>
      <c r="CO8" s="17">
        <f t="shared" si="31"/>
        <v>0</v>
      </c>
      <c r="CP8" s="17">
        <f t="shared" si="32"/>
        <v>0.36332323280147721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429</v>
      </c>
      <c r="B9" s="30">
        <v>47</v>
      </c>
      <c r="C9" s="30">
        <v>6</v>
      </c>
      <c r="D9" s="30">
        <v>5</v>
      </c>
      <c r="E9" s="30">
        <v>4</v>
      </c>
      <c r="F9" s="14">
        <f>INDEX(属性投放!BF$6:BF$85,新属性汇总!$C9+($E9-2)*20)</f>
        <v>100</v>
      </c>
      <c r="G9" s="14">
        <f>INDEX(属性投放!BG$6:BG$85,新属性汇总!$C9+($E9-2)*20)</f>
        <v>50</v>
      </c>
      <c r="H9" s="14">
        <f>INDEX(属性投放!BH$6:BH$85,新属性汇总!$C9+($E9-2)*20)</f>
        <v>700</v>
      </c>
      <c r="I9" s="14">
        <f t="shared" si="11"/>
        <v>2700</v>
      </c>
      <c r="J9" s="14">
        <f>SUM(F$4:F9)</f>
        <v>788</v>
      </c>
      <c r="K9" s="14">
        <f>SUM(G$4:G9)</f>
        <v>404</v>
      </c>
      <c r="L9" s="14">
        <f>SUM(H$4:H9)</f>
        <v>5168</v>
      </c>
      <c r="M9" s="14">
        <f t="shared" si="12"/>
        <v>21128</v>
      </c>
      <c r="N9" s="14">
        <f>INDEX(属性投放!BK$6:BK$85,新属性汇总!$C9+($E9-2)*20)*INDEX(属性投放!$BN$6:$BN$85,新属性汇总!$C9+($E9-2)*20)</f>
        <v>120</v>
      </c>
      <c r="O9" s="14">
        <f>INDEX(属性投放!BL$6:BL$85,新属性汇总!$C9+($E9-2)*20)*INDEX(属性投放!$BN$6:$BN$85,新属性汇总!$C9+($E9-2)*20)</f>
        <v>60</v>
      </c>
      <c r="P9" s="14">
        <f>INDEX(属性投放!BM$6:BM$85,新属性汇总!$C9+($E9-2)*20)*INDEX(属性投放!$BN$6:$BN$85,新属性汇总!$C9+($E9-2)*20)</f>
        <v>840</v>
      </c>
      <c r="Q9" s="14">
        <f t="shared" si="13"/>
        <v>3240</v>
      </c>
      <c r="R9" s="14">
        <f>SUM(N$4:N9)</f>
        <v>475</v>
      </c>
      <c r="S9" s="14">
        <f>SUM(O$4:O9)</f>
        <v>241</v>
      </c>
      <c r="T9" s="14">
        <f>SUM(P$4:P9)</f>
        <v>3170</v>
      </c>
      <c r="U9" s="14">
        <f t="shared" si="14"/>
        <v>12740</v>
      </c>
      <c r="V9" s="14">
        <f>INDEX(属性投放!BQ$6:BQ$85,新属性汇总!$C9+($E9-2)*20)</f>
        <v>160</v>
      </c>
      <c r="W9" s="14">
        <f>INDEX(属性投放!BR$6:BR$85,新属性汇总!$C9+($E9-2)*20)</f>
        <v>80</v>
      </c>
      <c r="X9" s="14">
        <f>INDEX(属性投放!BS$6:BS$85,新属性汇总!$C9+($E9-2)*20)</f>
        <v>1120</v>
      </c>
      <c r="Y9" s="14">
        <f t="shared" si="15"/>
        <v>4320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175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91</v>
      </c>
      <c r="AI9" s="14">
        <f t="shared" si="33"/>
        <v>60</v>
      </c>
      <c r="AJ9" s="14">
        <f t="shared" si="34"/>
        <v>30</v>
      </c>
      <c r="AK9" s="14">
        <f t="shared" si="35"/>
        <v>420</v>
      </c>
      <c r="AL9" s="14">
        <f t="shared" si="17"/>
        <v>1620</v>
      </c>
      <c r="AM9" s="14">
        <f>(F9+N9+V9+AI9)*(INDEX(属性投放!$DX$6:$DX$10,新属性汇总!$D9)-1)</f>
        <v>175.99999999999997</v>
      </c>
      <c r="AN9" s="14">
        <f>(G9+O9+W9+AJ9)*(INDEX(属性投放!$DX$6:$DX$10,新属性汇总!$D9)-1)</f>
        <v>87.999999999999986</v>
      </c>
      <c r="AO9" s="14">
        <f>(H9+P9+X9+AK9)*(INDEX(属性投放!$DX$6:$DX$10,新属性汇总!$D9)-1)</f>
        <v>1231.9999999999998</v>
      </c>
      <c r="AP9" s="14">
        <f t="shared" si="18"/>
        <v>4751.9999999999991</v>
      </c>
      <c r="AQ9" s="14"/>
      <c r="AR9" s="14"/>
      <c r="AS9" s="14"/>
      <c r="AT9" s="14">
        <f t="shared" si="1"/>
        <v>16632</v>
      </c>
      <c r="AU9" s="17">
        <f t="shared" si="2"/>
        <v>0.16233766233766234</v>
      </c>
      <c r="AV9" s="17">
        <f t="shared" si="3"/>
        <v>0.19480519480519481</v>
      </c>
      <c r="AW9" s="17">
        <f t="shared" si="4"/>
        <v>0.25974025974025972</v>
      </c>
      <c r="AX9" s="17">
        <f t="shared" si="5"/>
        <v>9.7402597402597407E-2</v>
      </c>
      <c r="AY9" s="17">
        <f t="shared" si="19"/>
        <v>0.28571428571428564</v>
      </c>
      <c r="AZ9" s="30">
        <v>2</v>
      </c>
      <c r="BA9" s="30">
        <v>4</v>
      </c>
      <c r="BB9" s="26">
        <f>INDEX(装备!$BR$6:$BR$9,新属性汇总!BA9)</f>
        <v>1</v>
      </c>
      <c r="BC9" s="14">
        <f>INDEX(装备!M$17:M$23,新属性汇总!$AZ9)*$BB9</f>
        <v>260</v>
      </c>
      <c r="BD9" s="14">
        <f>INDEX(装备!N$17:N$23,新属性汇总!$AZ9)*$BB9</f>
        <v>135</v>
      </c>
      <c r="BE9" s="14">
        <f>INDEX(装备!O$17:O$23,新属性汇总!$AZ9)*$BB9</f>
        <v>1670</v>
      </c>
      <c r="BF9" s="14">
        <f t="shared" si="36"/>
        <v>6970</v>
      </c>
      <c r="BG9" s="14">
        <f>INDEX(装备!S$17:S$23,新属性汇总!$AZ9)*(新属性汇总!$B9-$B8)*$BB9</f>
        <v>112.5</v>
      </c>
      <c r="BH9" s="14">
        <f>INDEX(装备!T$17:T$23,新属性汇总!$AZ9)*(新属性汇总!$B9-$B8)*$BB9</f>
        <v>57.5</v>
      </c>
      <c r="BI9" s="14">
        <f>INDEX(装备!U$17:U$23,新属性汇总!$AZ9)*(新属性汇总!$B9-$B8)*$BB9</f>
        <v>715</v>
      </c>
      <c r="BJ9" s="14">
        <f t="shared" si="37"/>
        <v>2990</v>
      </c>
      <c r="BK9" s="14">
        <f>INDEX(装备!DY$17:DY$23,新属性汇总!$AZ9)</f>
        <v>51</v>
      </c>
      <c r="BL9" s="14">
        <f>INDEX(装备!DZ$17:DZ$23,新属性汇总!$AZ9)</f>
        <v>26</v>
      </c>
      <c r="BM9" s="14">
        <f>INDEX(装备!EA$17:EA$23,新属性汇总!$AZ9)</f>
        <v>219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153</v>
      </c>
      <c r="BQ9" s="14">
        <f>INDEX(装备!DZ$17:DZ$23,新属性汇总!$AZ9)*新属性汇总!$BO9</f>
        <v>78</v>
      </c>
      <c r="BR9" s="14">
        <f>INDEX(装备!EA$17:EA$23,新属性汇总!$AZ9)*新属性汇总!$BO9</f>
        <v>657</v>
      </c>
      <c r="BS9" s="14">
        <f t="shared" si="38"/>
        <v>3747</v>
      </c>
      <c r="BT9" s="14">
        <f>INDEX(装备!$BX$21:$BX$27,新属性汇总!$AZ9)*1.5</f>
        <v>701.91000000000008</v>
      </c>
      <c r="BU9" s="14">
        <v>0</v>
      </c>
      <c r="BV9" s="14">
        <f>INDEX(装备!$BZ$21:$BZ$27,新属性汇总!$AZ9)*1.5</f>
        <v>2293.83</v>
      </c>
      <c r="BW9" s="14">
        <f t="shared" si="39"/>
        <v>9312.93</v>
      </c>
      <c r="BX9" s="14">
        <f t="shared" si="20"/>
        <v>23019.93</v>
      </c>
      <c r="BY9" s="17">
        <f t="shared" si="21"/>
        <v>0.30278111184525758</v>
      </c>
      <c r="BZ9" s="17">
        <f t="shared" si="22"/>
        <v>0.1298874497011937</v>
      </c>
      <c r="CA9" s="17">
        <f t="shared" si="23"/>
        <v>0.16277199800346917</v>
      </c>
      <c r="CB9" s="17">
        <f t="shared" si="24"/>
        <v>0.40455944045007958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16632</v>
      </c>
      <c r="CI9" s="14">
        <f t="shared" si="26"/>
        <v>23019.93</v>
      </c>
      <c r="CJ9" s="14">
        <f t="shared" si="27"/>
        <v>0</v>
      </c>
      <c r="CK9" s="14">
        <f t="shared" ref="CK9:CK23" si="41">CH9</f>
        <v>16632</v>
      </c>
      <c r="CL9" s="14">
        <f t="shared" si="28"/>
        <v>56283.93</v>
      </c>
      <c r="CM9" s="17">
        <f t="shared" si="29"/>
        <v>0.29550175334238388</v>
      </c>
      <c r="CN9" s="17">
        <f t="shared" si="30"/>
        <v>0.40899649331523225</v>
      </c>
      <c r="CO9" s="17">
        <f t="shared" si="31"/>
        <v>0</v>
      </c>
      <c r="CP9" s="17">
        <f t="shared" si="32"/>
        <v>0.29550175334238388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430</v>
      </c>
      <c r="B10" s="30">
        <v>52</v>
      </c>
      <c r="C10" s="30">
        <v>7</v>
      </c>
      <c r="D10" s="30">
        <v>5</v>
      </c>
      <c r="E10" s="30">
        <v>4</v>
      </c>
      <c r="F10" s="14">
        <f>INDEX(属性投放!BF$6:BF$85,新属性汇总!$C10+($E10-2)*20)</f>
        <v>125</v>
      </c>
      <c r="G10" s="14">
        <f>INDEX(属性投放!BG$6:BG$85,新属性汇总!$C10+($E10-2)*20)</f>
        <v>65</v>
      </c>
      <c r="H10" s="14">
        <f>INDEX(属性投放!BH$6:BH$85,新属性汇总!$C10+($E10-2)*20)</f>
        <v>1000</v>
      </c>
      <c r="I10" s="14">
        <f t="shared" si="11"/>
        <v>3550</v>
      </c>
      <c r="J10" s="14">
        <f>SUM(F$4:F10)</f>
        <v>913</v>
      </c>
      <c r="K10" s="14">
        <f>SUM(G$4:G10)</f>
        <v>469</v>
      </c>
      <c r="L10" s="14">
        <f>SUM(H$4:H10)</f>
        <v>6168</v>
      </c>
      <c r="M10" s="14">
        <f t="shared" si="12"/>
        <v>24678</v>
      </c>
      <c r="N10" s="14">
        <f>INDEX(属性投放!BK$6:BK$85,新属性汇总!$C10+($E10-2)*20)*INDEX(属性投放!$BN$6:$BN$85,新属性汇总!$C10+($E10-2)*20)</f>
        <v>160</v>
      </c>
      <c r="O10" s="14">
        <f>INDEX(属性投放!BL$6:BL$85,新属性汇总!$C10+($E10-2)*20)*INDEX(属性投放!$BN$6:$BN$85,新属性汇总!$C10+($E10-2)*20)</f>
        <v>80</v>
      </c>
      <c r="P10" s="14">
        <f>INDEX(属性投放!BM$6:BM$85,新属性汇总!$C10+($E10-2)*20)*INDEX(属性投放!$BN$6:$BN$85,新属性汇总!$C10+($E10-2)*20)</f>
        <v>1280</v>
      </c>
      <c r="Q10" s="14">
        <f t="shared" si="13"/>
        <v>4480</v>
      </c>
      <c r="R10" s="14">
        <f>SUM(N$4:N10)</f>
        <v>635</v>
      </c>
      <c r="S10" s="14">
        <f>SUM(O$4:O10)</f>
        <v>321</v>
      </c>
      <c r="T10" s="14">
        <f>SUM(P$4:P10)</f>
        <v>4450</v>
      </c>
      <c r="U10" s="14">
        <f t="shared" si="14"/>
        <v>17220</v>
      </c>
      <c r="V10" s="14">
        <f>INDEX(属性投放!BQ$6:BQ$85,新属性汇总!$C10+($E10-2)*20)</f>
        <v>165</v>
      </c>
      <c r="W10" s="14">
        <f>INDEX(属性投放!BR$6:BR$85,新属性汇总!$C10+($E10-2)*20)</f>
        <v>83</v>
      </c>
      <c r="X10" s="14">
        <f>INDEX(属性投放!BS$6:BS$85,新属性汇总!$C10+($E10-2)*20)</f>
        <v>1320</v>
      </c>
      <c r="Y10" s="14">
        <f t="shared" si="15"/>
        <v>4630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240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128</v>
      </c>
      <c r="AI10" s="14">
        <f t="shared" si="33"/>
        <v>70</v>
      </c>
      <c r="AJ10" s="14">
        <f t="shared" si="34"/>
        <v>35</v>
      </c>
      <c r="AK10" s="14">
        <f t="shared" si="35"/>
        <v>560</v>
      </c>
      <c r="AL10" s="14">
        <f t="shared" si="17"/>
        <v>1960</v>
      </c>
      <c r="AM10" s="14">
        <f>(F10+N10+V10+AI10)*(INDEX(属性投放!$DX$6:$DX$10,新属性汇总!$D10)-1)</f>
        <v>207.99999999999994</v>
      </c>
      <c r="AN10" s="14">
        <f>(G10+O10+W10+AJ10)*(INDEX(属性投放!$DX$6:$DX$10,新属性汇总!$D10)-1)</f>
        <v>105.19999999999997</v>
      </c>
      <c r="AO10" s="14">
        <f>(H10+P10+X10+AK10)*(INDEX(属性投放!$DX$6:$DX$10,新属性汇总!$D10)-1)</f>
        <v>1663.9999999999995</v>
      </c>
      <c r="AP10" s="14">
        <f t="shared" si="18"/>
        <v>5847.9999999999982</v>
      </c>
      <c r="AQ10" s="14"/>
      <c r="AR10" s="14"/>
      <c r="AS10" s="14"/>
      <c r="AT10" s="14">
        <f t="shared" si="1"/>
        <v>20468</v>
      </c>
      <c r="AU10" s="17">
        <f t="shared" si="2"/>
        <v>0.17344146961110024</v>
      </c>
      <c r="AV10" s="17">
        <f t="shared" si="3"/>
        <v>0.2188782489740082</v>
      </c>
      <c r="AW10" s="17">
        <f t="shared" si="4"/>
        <v>0.22620676177447724</v>
      </c>
      <c r="AX10" s="17">
        <f t="shared" si="5"/>
        <v>9.575923392612859E-2</v>
      </c>
      <c r="AY10" s="17">
        <f t="shared" si="19"/>
        <v>0.28571428571428564</v>
      </c>
      <c r="AZ10" s="30">
        <v>2</v>
      </c>
      <c r="BA10" s="30">
        <v>4</v>
      </c>
      <c r="BB10" s="26">
        <f>INDEX(装备!$BR$6:$BR$9,新属性汇总!BA10)</f>
        <v>1</v>
      </c>
      <c r="BC10" s="14">
        <f>INDEX(装备!M$17:M$23,新属性汇总!$AZ10)*$BB10</f>
        <v>260</v>
      </c>
      <c r="BD10" s="14">
        <f>INDEX(装备!N$17:N$23,新属性汇总!$AZ10)*$BB10</f>
        <v>135</v>
      </c>
      <c r="BE10" s="14">
        <f>INDEX(装备!O$17:O$23,新属性汇总!$AZ10)*$BB10</f>
        <v>1670</v>
      </c>
      <c r="BF10" s="14">
        <f t="shared" si="36"/>
        <v>6970</v>
      </c>
      <c r="BG10" s="14">
        <f>INDEX(装备!S$17:S$23,新属性汇总!$AZ10)*(新属性汇总!$B10-$B9)*$BB10</f>
        <v>112.5</v>
      </c>
      <c r="BH10" s="14">
        <f>INDEX(装备!T$17:T$23,新属性汇总!$AZ10)*(新属性汇总!$B10-$B9)*$BB10</f>
        <v>57.5</v>
      </c>
      <c r="BI10" s="14">
        <f>INDEX(装备!U$17:U$23,新属性汇总!$AZ10)*(新属性汇总!$B10-$B9)*$BB10</f>
        <v>715</v>
      </c>
      <c r="BJ10" s="14">
        <f t="shared" si="37"/>
        <v>2990</v>
      </c>
      <c r="BK10" s="14">
        <f>INDEX(装备!DY$17:DY$23,新属性汇总!$AZ10)</f>
        <v>51</v>
      </c>
      <c r="BL10" s="14">
        <f>INDEX(装备!DZ$17:DZ$23,新属性汇总!$AZ10)</f>
        <v>26</v>
      </c>
      <c r="BM10" s="14">
        <f>INDEX(装备!EA$17:EA$23,新属性汇总!$AZ10)</f>
        <v>219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153</v>
      </c>
      <c r="BQ10" s="14">
        <f>INDEX(装备!DZ$17:DZ$23,新属性汇总!$AZ10)*新属性汇总!$BO10</f>
        <v>78</v>
      </c>
      <c r="BR10" s="14">
        <f>INDEX(装备!EA$17:EA$23,新属性汇总!$AZ10)*新属性汇总!$BO10</f>
        <v>657</v>
      </c>
      <c r="BS10" s="14">
        <f t="shared" si="38"/>
        <v>3747</v>
      </c>
      <c r="BT10" s="14">
        <f>INDEX(装备!$BX$21:$BX$27,新属性汇总!$AZ10)*1.5</f>
        <v>701.91000000000008</v>
      </c>
      <c r="BU10" s="14">
        <v>0</v>
      </c>
      <c r="BV10" s="14">
        <f>INDEX(装备!$BZ$21:$BZ$27,新属性汇总!$AZ10)*1.5</f>
        <v>2293.83</v>
      </c>
      <c r="BW10" s="14">
        <f t="shared" si="39"/>
        <v>9312.93</v>
      </c>
      <c r="BX10" s="14">
        <f t="shared" si="20"/>
        <v>23019.93</v>
      </c>
      <c r="BY10" s="17">
        <f t="shared" si="21"/>
        <v>0.30278111184525758</v>
      </c>
      <c r="BZ10" s="17">
        <f t="shared" si="22"/>
        <v>0.1298874497011937</v>
      </c>
      <c r="CA10" s="17">
        <f t="shared" si="23"/>
        <v>0.16277199800346917</v>
      </c>
      <c r="CB10" s="17">
        <f t="shared" si="24"/>
        <v>0.40455944045007958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20468</v>
      </c>
      <c r="CI10" s="14">
        <f t="shared" si="26"/>
        <v>23019.93</v>
      </c>
      <c r="CJ10" s="14">
        <f t="shared" si="27"/>
        <v>0</v>
      </c>
      <c r="CK10" s="14">
        <f t="shared" si="41"/>
        <v>20468</v>
      </c>
      <c r="CL10" s="14">
        <f t="shared" si="28"/>
        <v>63955.93</v>
      </c>
      <c r="CM10" s="17">
        <f t="shared" si="29"/>
        <v>0.32003287263589164</v>
      </c>
      <c r="CN10" s="17">
        <f t="shared" si="30"/>
        <v>0.35993425472821677</v>
      </c>
      <c r="CO10" s="17">
        <f t="shared" si="31"/>
        <v>0</v>
      </c>
      <c r="CP10" s="17">
        <f t="shared" si="32"/>
        <v>0.32003287263589164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431</v>
      </c>
      <c r="B11" s="30">
        <v>57</v>
      </c>
      <c r="C11" s="30">
        <v>8</v>
      </c>
      <c r="D11" s="30">
        <v>5</v>
      </c>
      <c r="E11" s="30">
        <v>4</v>
      </c>
      <c r="F11" s="14">
        <f>INDEX(属性投放!BF$6:BF$85,新属性汇总!$C11+($E11-2)*20)</f>
        <v>125</v>
      </c>
      <c r="G11" s="14">
        <f>INDEX(属性投放!BG$6:BG$85,新属性汇总!$C11+($E11-2)*20)</f>
        <v>65</v>
      </c>
      <c r="H11" s="14">
        <f>INDEX(属性投放!BH$6:BH$85,新属性汇总!$C11+($E11-2)*20)</f>
        <v>1000</v>
      </c>
      <c r="I11" s="14">
        <f t="shared" si="11"/>
        <v>3550</v>
      </c>
      <c r="J11" s="14">
        <f>SUM(F$4:F11)</f>
        <v>1038</v>
      </c>
      <c r="K11" s="14">
        <f>SUM(G$4:G11)</f>
        <v>534</v>
      </c>
      <c r="L11" s="14">
        <f>SUM(H$4:H11)</f>
        <v>7168</v>
      </c>
      <c r="M11" s="14">
        <f t="shared" si="12"/>
        <v>28228</v>
      </c>
      <c r="N11" s="14">
        <f>INDEX(属性投放!BK$6:BK$85,新属性汇总!$C11+($E11-2)*20)*INDEX(属性投放!$BN$6:$BN$85,新属性汇总!$C11+($E11-2)*20)</f>
        <v>200</v>
      </c>
      <c r="O11" s="14">
        <f>INDEX(属性投放!BL$6:BL$85,新属性汇总!$C11+($E11-2)*20)*INDEX(属性投放!$BN$6:$BN$85,新属性汇总!$C11+($E11-2)*20)</f>
        <v>100</v>
      </c>
      <c r="P11" s="14">
        <f>INDEX(属性投放!BM$6:BM$85,新属性汇总!$C11+($E11-2)*20)*INDEX(属性投放!$BN$6:$BN$85,新属性汇总!$C11+($E11-2)*20)</f>
        <v>1600</v>
      </c>
      <c r="Q11" s="14">
        <f t="shared" si="13"/>
        <v>5600</v>
      </c>
      <c r="R11" s="14">
        <f>SUM(N$4:N11)</f>
        <v>835</v>
      </c>
      <c r="S11" s="14">
        <f>SUM(O$4:O11)</f>
        <v>421</v>
      </c>
      <c r="T11" s="14">
        <f>SUM(P$4:P11)</f>
        <v>6050</v>
      </c>
      <c r="U11" s="14">
        <f t="shared" si="14"/>
        <v>22820</v>
      </c>
      <c r="V11" s="14">
        <f>INDEX(属性投放!BQ$6:BQ$85,新属性汇总!$C11+($E11-2)*20)</f>
        <v>125</v>
      </c>
      <c r="W11" s="14">
        <f>INDEX(属性投放!BR$6:BR$85,新属性汇总!$C11+($E11-2)*20)</f>
        <v>63</v>
      </c>
      <c r="X11" s="14">
        <f>INDEX(属性投放!BS$6:BS$85,新属性汇总!$C11+($E11-2)*20)</f>
        <v>1000</v>
      </c>
      <c r="Y11" s="14">
        <f t="shared" si="15"/>
        <v>3510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240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128</v>
      </c>
      <c r="AI11" s="14">
        <f t="shared" si="33"/>
        <v>70</v>
      </c>
      <c r="AJ11" s="14">
        <f t="shared" si="34"/>
        <v>35</v>
      </c>
      <c r="AK11" s="14">
        <f t="shared" si="35"/>
        <v>560</v>
      </c>
      <c r="AL11" s="14">
        <f t="shared" si="17"/>
        <v>1960</v>
      </c>
      <c r="AM11" s="14">
        <f>(F11+N11+V11+AI11)*(INDEX(属性投放!$DX$6:$DX$10,新属性汇总!$D11)-1)</f>
        <v>207.99999999999994</v>
      </c>
      <c r="AN11" s="14">
        <f>(G11+O11+W11+AJ11)*(INDEX(属性投放!$DX$6:$DX$10,新属性汇总!$D11)-1)</f>
        <v>105.19999999999997</v>
      </c>
      <c r="AO11" s="14">
        <f>(H11+P11+X11+AK11)*(INDEX(属性投放!$DX$6:$DX$10,新属性汇总!$D11)-1)</f>
        <v>1663.9999999999995</v>
      </c>
      <c r="AP11" s="14">
        <f t="shared" si="18"/>
        <v>5847.9999999999982</v>
      </c>
      <c r="AQ11" s="14"/>
      <c r="AR11" s="14"/>
      <c r="AS11" s="14"/>
      <c r="AT11" s="14">
        <f t="shared" si="1"/>
        <v>20468</v>
      </c>
      <c r="AU11" s="17">
        <f t="shared" si="2"/>
        <v>0.17344146961110024</v>
      </c>
      <c r="AV11" s="17">
        <f t="shared" si="3"/>
        <v>0.27359781121751026</v>
      </c>
      <c r="AW11" s="17">
        <f t="shared" si="4"/>
        <v>0.17148719953097519</v>
      </c>
      <c r="AX11" s="17">
        <f t="shared" si="5"/>
        <v>9.575923392612859E-2</v>
      </c>
      <c r="AY11" s="17">
        <f t="shared" si="19"/>
        <v>0.28571428571428564</v>
      </c>
      <c r="AZ11" s="30">
        <v>2</v>
      </c>
      <c r="BA11" s="30">
        <v>4</v>
      </c>
      <c r="BB11" s="26">
        <f>INDEX(装备!$BR$6:$BR$9,新属性汇总!BA11)</f>
        <v>1</v>
      </c>
      <c r="BC11" s="14">
        <f>INDEX(装备!M$17:M$23,新属性汇总!$AZ11)*$BB11</f>
        <v>260</v>
      </c>
      <c r="BD11" s="14">
        <f>INDEX(装备!N$17:N$23,新属性汇总!$AZ11)*$BB11</f>
        <v>135</v>
      </c>
      <c r="BE11" s="14">
        <f>INDEX(装备!O$17:O$23,新属性汇总!$AZ11)*$BB11</f>
        <v>1670</v>
      </c>
      <c r="BF11" s="14">
        <f t="shared" si="36"/>
        <v>6970</v>
      </c>
      <c r="BG11" s="14">
        <f>INDEX(装备!S$17:S$23,新属性汇总!$AZ11)*(新属性汇总!$B11-$B10)*$BB11</f>
        <v>112.5</v>
      </c>
      <c r="BH11" s="14">
        <f>INDEX(装备!T$17:T$23,新属性汇总!$AZ11)*(新属性汇总!$B11-$B10)*$BB11</f>
        <v>57.5</v>
      </c>
      <c r="BI11" s="14">
        <f>INDEX(装备!U$17:U$23,新属性汇总!$AZ11)*(新属性汇总!$B11-$B10)*$BB11</f>
        <v>715</v>
      </c>
      <c r="BJ11" s="14">
        <f t="shared" si="37"/>
        <v>2990</v>
      </c>
      <c r="BK11" s="14">
        <f>INDEX(装备!DY$17:DY$23,新属性汇总!$AZ11)</f>
        <v>51</v>
      </c>
      <c r="BL11" s="14">
        <f>INDEX(装备!DZ$17:DZ$23,新属性汇总!$AZ11)</f>
        <v>26</v>
      </c>
      <c r="BM11" s="14">
        <f>INDEX(装备!EA$17:EA$23,新属性汇总!$AZ11)</f>
        <v>219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153</v>
      </c>
      <c r="BQ11" s="14">
        <f>INDEX(装备!DZ$17:DZ$23,新属性汇总!$AZ11)*新属性汇总!$BO11</f>
        <v>78</v>
      </c>
      <c r="BR11" s="14">
        <f>INDEX(装备!EA$17:EA$23,新属性汇总!$AZ11)*新属性汇总!$BO11</f>
        <v>657</v>
      </c>
      <c r="BS11" s="14">
        <f t="shared" si="38"/>
        <v>3747</v>
      </c>
      <c r="BT11" s="14">
        <f>INDEX(装备!$BX$21:$BX$27,新属性汇总!$AZ11)*1.5</f>
        <v>701.91000000000008</v>
      </c>
      <c r="BU11" s="14">
        <v>0</v>
      </c>
      <c r="BV11" s="14">
        <f>INDEX(装备!$BZ$21:$BZ$27,新属性汇总!$AZ11)*1.5</f>
        <v>2293.83</v>
      </c>
      <c r="BW11" s="14">
        <f t="shared" si="39"/>
        <v>9312.93</v>
      </c>
      <c r="BX11" s="14">
        <f t="shared" si="20"/>
        <v>23019.93</v>
      </c>
      <c r="BY11" s="17">
        <f t="shared" si="21"/>
        <v>0.30278111184525758</v>
      </c>
      <c r="BZ11" s="17">
        <f t="shared" si="22"/>
        <v>0.1298874497011937</v>
      </c>
      <c r="CA11" s="17">
        <f t="shared" si="23"/>
        <v>0.16277199800346917</v>
      </c>
      <c r="CB11" s="17">
        <f t="shared" si="24"/>
        <v>0.40455944045007958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20468</v>
      </c>
      <c r="CI11" s="14">
        <f t="shared" si="26"/>
        <v>23019.93</v>
      </c>
      <c r="CJ11" s="14">
        <f t="shared" si="27"/>
        <v>0</v>
      </c>
      <c r="CK11" s="14">
        <f t="shared" si="41"/>
        <v>20468</v>
      </c>
      <c r="CL11" s="14">
        <f t="shared" si="28"/>
        <v>63955.93</v>
      </c>
      <c r="CM11" s="17">
        <f t="shared" si="29"/>
        <v>0.32003287263589164</v>
      </c>
      <c r="CN11" s="17">
        <f t="shared" si="30"/>
        <v>0.35993425472821677</v>
      </c>
      <c r="CO11" s="17">
        <f t="shared" si="31"/>
        <v>0</v>
      </c>
      <c r="CP11" s="17">
        <f t="shared" si="32"/>
        <v>0.32003287263589164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432</v>
      </c>
      <c r="B12" s="30">
        <v>65</v>
      </c>
      <c r="C12" s="30">
        <v>9</v>
      </c>
      <c r="D12" s="30">
        <v>5</v>
      </c>
      <c r="E12" s="30">
        <v>4</v>
      </c>
      <c r="F12" s="14">
        <f>INDEX(属性投放!BF$6:BF$85,新属性汇总!$C12+($E12-2)*20)</f>
        <v>200</v>
      </c>
      <c r="G12" s="14">
        <f>INDEX(属性投放!BG$6:BG$85,新属性汇总!$C12+($E12-2)*20)</f>
        <v>104</v>
      </c>
      <c r="H12" s="14">
        <f>INDEX(属性投放!BH$6:BH$85,新属性汇总!$C12+($E12-2)*20)</f>
        <v>1600</v>
      </c>
      <c r="I12" s="14">
        <f t="shared" si="11"/>
        <v>5680</v>
      </c>
      <c r="J12" s="14">
        <f>SUM(F$4:F12)</f>
        <v>1238</v>
      </c>
      <c r="K12" s="14">
        <f>SUM(G$4:G12)</f>
        <v>638</v>
      </c>
      <c r="L12" s="14">
        <f>SUM(H$4:H12)</f>
        <v>8768</v>
      </c>
      <c r="M12" s="14">
        <f t="shared" si="12"/>
        <v>33908</v>
      </c>
      <c r="N12" s="14">
        <f>INDEX(属性投放!BK$6:BK$85,新属性汇总!$C12+($E12-2)*20)*INDEX(属性投放!$BN$6:$BN$85,新属性汇总!$C12+($E12-2)*20)</f>
        <v>345</v>
      </c>
      <c r="O12" s="14">
        <f>INDEX(属性投放!BL$6:BL$85,新属性汇总!$C12+($E12-2)*20)*INDEX(属性投放!$BN$6:$BN$85,新属性汇总!$C12+($E12-2)*20)</f>
        <v>174</v>
      </c>
      <c r="P12" s="14">
        <f>INDEX(属性投放!BM$6:BM$85,新属性汇总!$C12+($E12-2)*20)*INDEX(属性投放!$BN$6:$BN$85,新属性汇总!$C12+($E12-2)*20)</f>
        <v>2760</v>
      </c>
      <c r="Q12" s="14">
        <f t="shared" si="13"/>
        <v>9690</v>
      </c>
      <c r="R12" s="14">
        <f>SUM(N$4:N12)</f>
        <v>1180</v>
      </c>
      <c r="S12" s="14">
        <f>SUM(O$4:O12)</f>
        <v>595</v>
      </c>
      <c r="T12" s="14">
        <f>SUM(P$4:P12)</f>
        <v>8810</v>
      </c>
      <c r="U12" s="14">
        <f t="shared" si="14"/>
        <v>32510</v>
      </c>
      <c r="V12" s="14">
        <f>INDEX(属性投放!BQ$6:BQ$85,新属性汇总!$C12+($E12-2)*20)</f>
        <v>200</v>
      </c>
      <c r="W12" s="14">
        <f>INDEX(属性投放!BR$6:BR$85,新属性汇总!$C12+($E12-2)*20)</f>
        <v>100</v>
      </c>
      <c r="X12" s="14">
        <f>INDEX(属性投放!BS$6:BS$85,新属性汇总!$C12+($E12-2)*20)</f>
        <v>1600</v>
      </c>
      <c r="Y12" s="14">
        <f t="shared" si="15"/>
        <v>5600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240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128</v>
      </c>
      <c r="AI12" s="14">
        <f t="shared" si="33"/>
        <v>112</v>
      </c>
      <c r="AJ12" s="14">
        <f t="shared" si="34"/>
        <v>56</v>
      </c>
      <c r="AK12" s="14">
        <f t="shared" si="35"/>
        <v>896</v>
      </c>
      <c r="AL12" s="14">
        <f t="shared" si="17"/>
        <v>3136</v>
      </c>
      <c r="AM12" s="14">
        <f>(F12+N12+V12+AI12)*(INDEX(属性投放!$DX$6:$DX$10,新属性汇总!$D12)-1)</f>
        <v>342.7999999999999</v>
      </c>
      <c r="AN12" s="14">
        <f>(G12+O12+W12+AJ12)*(INDEX(属性投放!$DX$6:$DX$10,新属性汇总!$D12)-1)</f>
        <v>173.59999999999997</v>
      </c>
      <c r="AO12" s="14">
        <f>(H12+P12+X12+AK12)*(INDEX(属性投放!$DX$6:$DX$10,新属性汇总!$D12)-1)</f>
        <v>2742.3999999999992</v>
      </c>
      <c r="AP12" s="14">
        <f t="shared" si="18"/>
        <v>9642.3999999999978</v>
      </c>
      <c r="AQ12" s="14"/>
      <c r="AR12" s="14"/>
      <c r="AS12" s="14"/>
      <c r="AT12" s="14">
        <f t="shared" si="1"/>
        <v>33748.399999999994</v>
      </c>
      <c r="AU12" s="17">
        <f t="shared" si="2"/>
        <v>0.16830427516563751</v>
      </c>
      <c r="AV12" s="17">
        <f t="shared" si="3"/>
        <v>0.28712472294982877</v>
      </c>
      <c r="AW12" s="17">
        <f t="shared" si="4"/>
        <v>0.16593379241682571</v>
      </c>
      <c r="AX12" s="17">
        <f t="shared" si="5"/>
        <v>9.2922923753422398E-2</v>
      </c>
      <c r="AY12" s="17">
        <f t="shared" si="19"/>
        <v>0.2857142857142857</v>
      </c>
      <c r="AZ12" s="30">
        <v>2</v>
      </c>
      <c r="BA12" s="30">
        <v>4</v>
      </c>
      <c r="BB12" s="26">
        <f>INDEX(装备!$BR$6:$BR$9,新属性汇总!BA12)</f>
        <v>1</v>
      </c>
      <c r="BC12" s="14">
        <f>INDEX(装备!M$17:M$23,新属性汇总!$AZ12)*$BB12</f>
        <v>260</v>
      </c>
      <c r="BD12" s="14">
        <f>INDEX(装备!N$17:N$23,新属性汇总!$AZ12)*$BB12</f>
        <v>135</v>
      </c>
      <c r="BE12" s="14">
        <f>INDEX(装备!O$17:O$23,新属性汇总!$AZ12)*$BB12</f>
        <v>1670</v>
      </c>
      <c r="BF12" s="14">
        <f t="shared" si="36"/>
        <v>6970</v>
      </c>
      <c r="BG12" s="14">
        <f>INDEX(装备!S$17:S$23,新属性汇总!$AZ12)*(新属性汇总!$B12-$B11)*$BB12</f>
        <v>180</v>
      </c>
      <c r="BH12" s="14">
        <f>INDEX(装备!T$17:T$23,新属性汇总!$AZ12)*(新属性汇总!$B12-$B11)*$BB12</f>
        <v>92</v>
      </c>
      <c r="BI12" s="14">
        <f>INDEX(装备!U$17:U$23,新属性汇总!$AZ12)*(新属性汇总!$B12-$B11)*$BB12</f>
        <v>1144</v>
      </c>
      <c r="BJ12" s="14">
        <f t="shared" si="37"/>
        <v>4784</v>
      </c>
      <c r="BK12" s="14">
        <f>INDEX(装备!DY$17:DY$23,新属性汇总!$AZ12)</f>
        <v>51</v>
      </c>
      <c r="BL12" s="14">
        <f>INDEX(装备!DZ$17:DZ$23,新属性汇总!$AZ12)</f>
        <v>26</v>
      </c>
      <c r="BM12" s="14">
        <f>INDEX(装备!EA$17:EA$23,新属性汇总!$AZ12)</f>
        <v>219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153</v>
      </c>
      <c r="BQ12" s="14">
        <f>INDEX(装备!DZ$17:DZ$23,新属性汇总!$AZ12)*新属性汇总!$BO12</f>
        <v>78</v>
      </c>
      <c r="BR12" s="14">
        <f>INDEX(装备!EA$17:EA$23,新属性汇总!$AZ12)*新属性汇总!$BO12</f>
        <v>657</v>
      </c>
      <c r="BS12" s="14">
        <f t="shared" si="38"/>
        <v>3747</v>
      </c>
      <c r="BT12" s="14">
        <f>INDEX(装备!$BX$21:$BX$27,新属性汇总!$AZ12)*1.5</f>
        <v>701.91000000000008</v>
      </c>
      <c r="BU12" s="14">
        <v>0</v>
      </c>
      <c r="BV12" s="14">
        <f>INDEX(装备!$BZ$21:$BZ$27,新属性汇总!$AZ12)*1.5</f>
        <v>2293.83</v>
      </c>
      <c r="BW12" s="14">
        <f t="shared" si="39"/>
        <v>9312.93</v>
      </c>
      <c r="BX12" s="14">
        <f t="shared" si="20"/>
        <v>24813.93</v>
      </c>
      <c r="BY12" s="17">
        <f t="shared" si="21"/>
        <v>0.28089061265184517</v>
      </c>
      <c r="BZ12" s="17">
        <f t="shared" si="22"/>
        <v>0.19279493413578583</v>
      </c>
      <c r="CA12" s="17">
        <f t="shared" si="23"/>
        <v>0.15100389176563325</v>
      </c>
      <c r="CB12" s="17">
        <f t="shared" si="24"/>
        <v>0.37531056144673575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33748.399999999994</v>
      </c>
      <c r="CI12" s="14">
        <f t="shared" si="26"/>
        <v>24813.93</v>
      </c>
      <c r="CJ12" s="14" t="e">
        <f t="shared" si="27"/>
        <v>#REF!</v>
      </c>
      <c r="CK12" s="14">
        <f t="shared" si="41"/>
        <v>33748.399999999994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433</v>
      </c>
      <c r="B13" s="30">
        <v>72</v>
      </c>
      <c r="C13" s="30">
        <v>10</v>
      </c>
      <c r="D13" s="30">
        <v>5</v>
      </c>
      <c r="E13" s="30">
        <v>4</v>
      </c>
      <c r="F13" s="14">
        <f>INDEX(属性投放!BF$6:BF$85,新属性汇总!$C13+($E13-2)*20)</f>
        <v>210</v>
      </c>
      <c r="G13" s="14">
        <f>INDEX(属性投放!BG$6:BG$85,新属性汇总!$C13+($E13-2)*20)</f>
        <v>105</v>
      </c>
      <c r="H13" s="14">
        <f>INDEX(属性投放!BH$6:BH$85,新属性汇总!$C13+($E13-2)*20)</f>
        <v>1890</v>
      </c>
      <c r="I13" s="14">
        <f t="shared" si="11"/>
        <v>6090</v>
      </c>
      <c r="J13" s="14">
        <f>SUM(F$4:F13)</f>
        <v>1448</v>
      </c>
      <c r="K13" s="14">
        <f>SUM(G$4:G13)</f>
        <v>743</v>
      </c>
      <c r="L13" s="14">
        <f>SUM(H$4:H13)</f>
        <v>10658</v>
      </c>
      <c r="M13" s="14">
        <f t="shared" si="12"/>
        <v>39998</v>
      </c>
      <c r="N13" s="14">
        <f>INDEX(属性投放!BK$6:BK$85,新属性汇总!$C13+($E13-2)*20)*INDEX(属性投放!$BN$6:$BN$85,新属性汇总!$C13+($E13-2)*20)</f>
        <v>390</v>
      </c>
      <c r="O13" s="14">
        <f>INDEX(属性投放!BL$6:BL$85,新属性汇总!$C13+($E13-2)*20)*INDEX(属性投放!$BN$6:$BN$85,新属性汇总!$C13+($E13-2)*20)</f>
        <v>195</v>
      </c>
      <c r="P13" s="14">
        <f>INDEX(属性投放!BM$6:BM$85,新属性汇总!$C13+($E13-2)*20)*INDEX(属性投放!$BN$6:$BN$85,新属性汇总!$C13+($E13-2)*20)</f>
        <v>3510</v>
      </c>
      <c r="Q13" s="14">
        <f t="shared" si="13"/>
        <v>11310</v>
      </c>
      <c r="R13" s="14">
        <f>SUM(N$4:N13)</f>
        <v>1570</v>
      </c>
      <c r="S13" s="14">
        <f>SUM(O$4:O13)</f>
        <v>790</v>
      </c>
      <c r="T13" s="14">
        <f>SUM(P$4:P13)</f>
        <v>12320</v>
      </c>
      <c r="U13" s="14">
        <f t="shared" si="14"/>
        <v>43820</v>
      </c>
      <c r="V13" s="14">
        <f>INDEX(属性投放!BQ$6:BQ$85,新属性汇总!$C13+($E13-2)*20)</f>
        <v>200</v>
      </c>
      <c r="W13" s="14">
        <f>INDEX(属性投放!BR$6:BR$85,新属性汇总!$C13+($E13-2)*20)</f>
        <v>100</v>
      </c>
      <c r="X13" s="14">
        <f>INDEX(属性投放!BS$6:BS$85,新属性汇总!$C13+($E13-2)*20)</f>
        <v>1800</v>
      </c>
      <c r="Y13" s="14">
        <f t="shared" si="15"/>
        <v>5800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360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189</v>
      </c>
      <c r="AI13" s="14">
        <f t="shared" si="33"/>
        <v>133</v>
      </c>
      <c r="AJ13" s="14">
        <f t="shared" si="34"/>
        <v>63</v>
      </c>
      <c r="AK13" s="14">
        <f t="shared" si="35"/>
        <v>1197</v>
      </c>
      <c r="AL13" s="14">
        <f t="shared" si="17"/>
        <v>3787</v>
      </c>
      <c r="AM13" s="14">
        <f>(F13+N13+V13+AI13)*(INDEX(属性投放!$DX$6:$DX$10,新属性汇总!$D13)-1)</f>
        <v>373.19999999999993</v>
      </c>
      <c r="AN13" s="14">
        <f>(G13+O13+W13+AJ13)*(INDEX(属性投放!$DX$6:$DX$10,新属性汇总!$D13)-1)</f>
        <v>185.19999999999996</v>
      </c>
      <c r="AO13" s="14">
        <f>(H13+P13+X13+AK13)*(INDEX(属性投放!$DX$6:$DX$10,新属性汇总!$D13)-1)</f>
        <v>3358.7999999999993</v>
      </c>
      <c r="AP13" s="14">
        <f t="shared" si="18"/>
        <v>10794.799999999997</v>
      </c>
      <c r="AQ13" s="14"/>
      <c r="AR13" s="14"/>
      <c r="AS13" s="14"/>
      <c r="AT13" s="14">
        <f t="shared" si="1"/>
        <v>37781.799999999996</v>
      </c>
      <c r="AU13" s="17">
        <f t="shared" si="2"/>
        <v>0.1611887204950532</v>
      </c>
      <c r="AV13" s="17">
        <f t="shared" si="3"/>
        <v>0.29935048091938449</v>
      </c>
      <c r="AW13" s="17">
        <f t="shared" si="4"/>
        <v>0.15351306713814589</v>
      </c>
      <c r="AX13" s="17">
        <f t="shared" si="5"/>
        <v>0.10023344573313078</v>
      </c>
      <c r="AY13" s="17">
        <f t="shared" si="19"/>
        <v>0.2857142857142857</v>
      </c>
      <c r="AZ13" s="30">
        <v>3</v>
      </c>
      <c r="BA13" s="30">
        <v>4</v>
      </c>
      <c r="BB13" s="26">
        <f>INDEX(装备!$BR$6:$BR$9,新属性汇总!BA13)</f>
        <v>1</v>
      </c>
      <c r="BC13" s="14">
        <f>INDEX(装备!M$17:M$23,新属性汇总!$AZ13)*$BB13</f>
        <v>450</v>
      </c>
      <c r="BD13" s="14">
        <f>INDEX(装备!N$17:N$23,新属性汇总!$AZ13)*$BB13</f>
        <v>230</v>
      </c>
      <c r="BE13" s="14">
        <f>INDEX(装备!O$17:O$23,新属性汇总!$AZ13)*$BB13</f>
        <v>3105</v>
      </c>
      <c r="BF13" s="14">
        <f t="shared" si="36"/>
        <v>12205</v>
      </c>
      <c r="BG13" s="14">
        <f>INDEX(装备!S$17:S$23,新属性汇总!$AZ13)*(新属性汇总!$B13-$B12)*$BB13</f>
        <v>241.5</v>
      </c>
      <c r="BH13" s="14">
        <f>INDEX(装备!T$17:T$23,新属性汇总!$AZ13)*(新属性汇总!$B13-$B12)*$BB13</f>
        <v>122.5</v>
      </c>
      <c r="BI13" s="14">
        <f>INDEX(装备!U$17:U$23,新属性汇总!$AZ13)*(新属性汇总!$B13-$B12)*$BB13</f>
        <v>1673</v>
      </c>
      <c r="BJ13" s="14">
        <f t="shared" si="37"/>
        <v>6538</v>
      </c>
      <c r="BK13" s="14">
        <f>INDEX(装备!DY$17:DY$23,新属性汇总!$AZ13)</f>
        <v>78</v>
      </c>
      <c r="BL13" s="14">
        <f>INDEX(装备!DZ$17:DZ$23,新属性汇总!$AZ13)</f>
        <v>40</v>
      </c>
      <c r="BM13" s="14">
        <f>INDEX(装备!EA$17:EA$23,新属性汇总!$AZ13)</f>
        <v>544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234</v>
      </c>
      <c r="BQ13" s="14">
        <f>INDEX(装备!DZ$17:DZ$23,新属性汇总!$AZ13)*新属性汇总!$BO13</f>
        <v>120</v>
      </c>
      <c r="BR13" s="14">
        <f>INDEX(装备!EA$17:EA$23,新属性汇总!$AZ13)*新属性汇总!$BO13</f>
        <v>1632</v>
      </c>
      <c r="BS13" s="14">
        <f t="shared" si="38"/>
        <v>6372</v>
      </c>
      <c r="BT13" s="14">
        <f>INDEX(装备!$BX$21:$BX$27,新属性汇总!$AZ13)*1.5</f>
        <v>890.34000000000015</v>
      </c>
      <c r="BU13" s="14">
        <v>0</v>
      </c>
      <c r="BV13" s="14">
        <f>INDEX(装备!$BZ$21:$BZ$27,新属性汇总!$AZ13)*1.5</f>
        <v>3156.1200000000008</v>
      </c>
      <c r="BW13" s="14">
        <f t="shared" si="39"/>
        <v>12059.520000000002</v>
      </c>
      <c r="BX13" s="14">
        <f t="shared" si="20"/>
        <v>37174.520000000004</v>
      </c>
      <c r="BY13" s="17">
        <f t="shared" si="21"/>
        <v>0.32831627684769027</v>
      </c>
      <c r="BZ13" s="17">
        <f t="shared" si="22"/>
        <v>0.17587315182549765</v>
      </c>
      <c r="CA13" s="17">
        <f t="shared" si="23"/>
        <v>0.17140772765862208</v>
      </c>
      <c r="CB13" s="17">
        <f t="shared" si="24"/>
        <v>0.32440284366818994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37781.799999999996</v>
      </c>
      <c r="CI13" s="14">
        <f t="shared" si="26"/>
        <v>37174.520000000004</v>
      </c>
      <c r="CJ13" s="14" t="e">
        <f t="shared" si="27"/>
        <v>#REF!</v>
      </c>
      <c r="CK13" s="14">
        <f t="shared" si="41"/>
        <v>37781.799999999996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434</v>
      </c>
      <c r="B14" s="30">
        <v>80</v>
      </c>
      <c r="C14" s="30">
        <v>11</v>
      </c>
      <c r="D14" s="30">
        <v>5</v>
      </c>
      <c r="E14" s="30">
        <v>4</v>
      </c>
      <c r="F14" s="14">
        <f>INDEX(属性投放!BF$6:BF$85,新属性汇总!$C14+($E14-2)*20)</f>
        <v>240</v>
      </c>
      <c r="G14" s="14">
        <f>INDEX(属性投放!BG$6:BG$85,新属性汇总!$C14+($E14-2)*20)</f>
        <v>120</v>
      </c>
      <c r="H14" s="14">
        <f>INDEX(属性投放!BH$6:BH$85,新属性汇总!$C14+($E14-2)*20)</f>
        <v>2160</v>
      </c>
      <c r="I14" s="14">
        <f t="shared" si="11"/>
        <v>6960</v>
      </c>
      <c r="J14" s="14">
        <f>SUM(F$4:F14)</f>
        <v>1688</v>
      </c>
      <c r="K14" s="14">
        <f>SUM(G$4:G14)</f>
        <v>863</v>
      </c>
      <c r="L14" s="14">
        <f>SUM(H$4:H14)</f>
        <v>12818</v>
      </c>
      <c r="M14" s="14">
        <f t="shared" si="12"/>
        <v>46958</v>
      </c>
      <c r="N14" s="14">
        <f>INDEX(属性投放!BK$6:BK$85,新属性汇总!$C14+($E14-2)*20)*INDEX(属性投放!$BN$6:$BN$85,新属性汇总!$C14+($E14-2)*20)</f>
        <v>510</v>
      </c>
      <c r="O14" s="14">
        <f>INDEX(属性投放!BL$6:BL$85,新属性汇总!$C14+($E14-2)*20)*INDEX(属性投放!$BN$6:$BN$85,新属性汇总!$C14+($E14-2)*20)</f>
        <v>255</v>
      </c>
      <c r="P14" s="14">
        <f>INDEX(属性投放!BM$6:BM$85,新属性汇总!$C14+($E14-2)*20)*INDEX(属性投放!$BN$6:$BN$85,新属性汇总!$C14+($E14-2)*20)</f>
        <v>4590</v>
      </c>
      <c r="Q14" s="14">
        <f t="shared" si="13"/>
        <v>14790</v>
      </c>
      <c r="R14" s="14">
        <f>SUM(N$4:N14)</f>
        <v>2080</v>
      </c>
      <c r="S14" s="14">
        <f>SUM(O$4:O14)</f>
        <v>1045</v>
      </c>
      <c r="T14" s="14">
        <f>SUM(P$4:P14)</f>
        <v>16910</v>
      </c>
      <c r="U14" s="14">
        <f t="shared" si="14"/>
        <v>58610</v>
      </c>
      <c r="V14" s="14">
        <f>INDEX(属性投放!BQ$6:BQ$85,新属性汇总!$C14+($E14-2)*20)</f>
        <v>300</v>
      </c>
      <c r="W14" s="14">
        <f>INDEX(属性投放!BR$6:BR$85,新属性汇总!$C14+($E14-2)*20)</f>
        <v>150</v>
      </c>
      <c r="X14" s="14">
        <f>INDEX(属性投放!BS$6:BS$85,新属性汇总!$C14+($E14-2)*20)</f>
        <v>2700</v>
      </c>
      <c r="Y14" s="14">
        <f t="shared" si="15"/>
        <v>8700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360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189</v>
      </c>
      <c r="AI14" s="14">
        <f t="shared" si="33"/>
        <v>152</v>
      </c>
      <c r="AJ14" s="14">
        <f t="shared" si="34"/>
        <v>72</v>
      </c>
      <c r="AK14" s="14">
        <f t="shared" si="35"/>
        <v>1368</v>
      </c>
      <c r="AL14" s="14">
        <f t="shared" si="17"/>
        <v>4328</v>
      </c>
      <c r="AM14" s="14">
        <f>(F14+N14+V14+AI14)*(INDEX(属性投放!$DX$6:$DX$10,新属性汇总!$D14)-1)</f>
        <v>480.7999999999999</v>
      </c>
      <c r="AN14" s="14">
        <f>(G14+O14+W14+AJ14)*(INDEX(属性投放!$DX$6:$DX$10,新属性汇总!$D14)-1)</f>
        <v>238.79999999999995</v>
      </c>
      <c r="AO14" s="14">
        <f>(H14+P14+X14+AK14)*(INDEX(属性投放!$DX$6:$DX$10,新属性汇总!$D14)-1)</f>
        <v>4327.1999999999989</v>
      </c>
      <c r="AP14" s="14">
        <f t="shared" si="18"/>
        <v>13911.199999999997</v>
      </c>
      <c r="AQ14" s="14"/>
      <c r="AR14" s="14"/>
      <c r="AS14" s="14"/>
      <c r="AT14" s="14">
        <f t="shared" si="1"/>
        <v>48689.2</v>
      </c>
      <c r="AU14" s="17">
        <f t="shared" si="2"/>
        <v>0.14294751197390798</v>
      </c>
      <c r="AV14" s="17">
        <f t="shared" si="3"/>
        <v>0.30376346294455447</v>
      </c>
      <c r="AW14" s="17">
        <f t="shared" si="4"/>
        <v>0.17868438996738498</v>
      </c>
      <c r="AX14" s="17">
        <f t="shared" si="5"/>
        <v>8.8890349399866911E-2</v>
      </c>
      <c r="AY14" s="17">
        <f t="shared" si="19"/>
        <v>0.2857142857142857</v>
      </c>
      <c r="AZ14" s="30">
        <v>3</v>
      </c>
      <c r="BA14" s="30">
        <v>4</v>
      </c>
      <c r="BB14" s="26">
        <f>INDEX(装备!$BR$6:$BR$9,新属性汇总!BA14)</f>
        <v>1</v>
      </c>
      <c r="BC14" s="14">
        <f>INDEX(装备!M$17:M$23,新属性汇总!$AZ14)*$BB14</f>
        <v>450</v>
      </c>
      <c r="BD14" s="14">
        <f>INDEX(装备!N$17:N$23,新属性汇总!$AZ14)*$BB14</f>
        <v>230</v>
      </c>
      <c r="BE14" s="14">
        <f>INDEX(装备!O$17:O$23,新属性汇总!$AZ14)*$BB14</f>
        <v>3105</v>
      </c>
      <c r="BF14" s="14">
        <f t="shared" si="36"/>
        <v>12205</v>
      </c>
      <c r="BG14" s="14">
        <f>INDEX(装备!S$17:S$23,新属性汇总!$AZ14)*(新属性汇总!$B14-$B13)*$BB14</f>
        <v>276</v>
      </c>
      <c r="BH14" s="14">
        <f>INDEX(装备!T$17:T$23,新属性汇总!$AZ14)*(新属性汇总!$B14-$B13)*$BB14</f>
        <v>140</v>
      </c>
      <c r="BI14" s="14">
        <f>INDEX(装备!U$17:U$23,新属性汇总!$AZ14)*(新属性汇总!$B14-$B13)*$BB14</f>
        <v>1912</v>
      </c>
      <c r="BJ14" s="14">
        <f t="shared" si="37"/>
        <v>7472</v>
      </c>
      <c r="BK14" s="14">
        <f>INDEX(装备!DY$17:DY$23,新属性汇总!$AZ14)</f>
        <v>78</v>
      </c>
      <c r="BL14" s="14">
        <f>INDEX(装备!DZ$17:DZ$23,新属性汇总!$AZ14)</f>
        <v>40</v>
      </c>
      <c r="BM14" s="14">
        <f>INDEX(装备!EA$17:EA$23,新属性汇总!$AZ14)</f>
        <v>544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234</v>
      </c>
      <c r="BQ14" s="14">
        <f>INDEX(装备!DZ$17:DZ$23,新属性汇总!$AZ14)*新属性汇总!$BO14</f>
        <v>120</v>
      </c>
      <c r="BR14" s="14">
        <f>INDEX(装备!EA$17:EA$23,新属性汇总!$AZ14)*新属性汇总!$BO14</f>
        <v>1632</v>
      </c>
      <c r="BS14" s="14">
        <f t="shared" si="38"/>
        <v>6372</v>
      </c>
      <c r="BT14" s="14">
        <f>INDEX(装备!$BX$21:$BX$27,新属性汇总!$AZ14)*1.5</f>
        <v>890.34000000000015</v>
      </c>
      <c r="BU14" s="14">
        <v>0</v>
      </c>
      <c r="BV14" s="14">
        <f>INDEX(装备!$BZ$21:$BZ$27,新属性汇总!$AZ14)*1.5</f>
        <v>3156.1200000000008</v>
      </c>
      <c r="BW14" s="14">
        <f t="shared" si="39"/>
        <v>12059.520000000002</v>
      </c>
      <c r="BX14" s="14">
        <f t="shared" si="20"/>
        <v>38108.520000000004</v>
      </c>
      <c r="BY14" s="17">
        <f t="shared" si="21"/>
        <v>0.32026958800814093</v>
      </c>
      <c r="BZ14" s="17">
        <f t="shared" si="22"/>
        <v>0.19607163962284546</v>
      </c>
      <c r="CA14" s="17">
        <f t="shared" si="23"/>
        <v>0.16720670338286556</v>
      </c>
      <c r="CB14" s="17">
        <f t="shared" si="24"/>
        <v>0.31645206898614803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48689.2</v>
      </c>
      <c r="CI14" s="14">
        <f t="shared" si="26"/>
        <v>38108.520000000004</v>
      </c>
      <c r="CJ14" s="14" t="e">
        <f t="shared" si="27"/>
        <v>#REF!</v>
      </c>
      <c r="CK14" s="14">
        <f t="shared" si="41"/>
        <v>48689.2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435</v>
      </c>
      <c r="B15" s="30">
        <v>87</v>
      </c>
      <c r="C15" s="30">
        <v>12</v>
      </c>
      <c r="D15" s="30">
        <v>5</v>
      </c>
      <c r="E15" s="30">
        <v>4</v>
      </c>
      <c r="F15" s="14">
        <f>INDEX(属性投放!BF$6:BF$85,新属性汇总!$C15+($E15-2)*20)</f>
        <v>210</v>
      </c>
      <c r="G15" s="14">
        <f>INDEX(属性投放!BG$6:BG$85,新属性汇总!$C15+($E15-2)*20)</f>
        <v>105</v>
      </c>
      <c r="H15" s="14">
        <f>INDEX(属性投放!BH$6:BH$85,新属性汇总!$C15+($E15-2)*20)</f>
        <v>1890</v>
      </c>
      <c r="I15" s="14">
        <f t="shared" si="11"/>
        <v>6090</v>
      </c>
      <c r="J15" s="14">
        <f>SUM(F$4:F15)</f>
        <v>1898</v>
      </c>
      <c r="K15" s="14">
        <f>SUM(G$4:G15)</f>
        <v>968</v>
      </c>
      <c r="L15" s="14">
        <f>SUM(H$4:H15)</f>
        <v>14708</v>
      </c>
      <c r="M15" s="14">
        <f t="shared" si="12"/>
        <v>53048</v>
      </c>
      <c r="N15" s="14">
        <f>INDEX(属性投放!BK$6:BK$85,新属性汇总!$C15+($E15-2)*20)*INDEX(属性投放!$BN$6:$BN$85,新属性汇总!$C15+($E15-2)*20)</f>
        <v>675</v>
      </c>
      <c r="O15" s="14">
        <f>INDEX(属性投放!BL$6:BL$85,新属性汇总!$C15+($E15-2)*20)*INDEX(属性投放!$BN$6:$BN$85,新属性汇总!$C15+($E15-2)*20)</f>
        <v>339</v>
      </c>
      <c r="P15" s="14">
        <f>INDEX(属性投放!BM$6:BM$85,新属性汇总!$C15+($E15-2)*20)*INDEX(属性投放!$BN$6:$BN$85,新属性汇总!$C15+($E15-2)*20)</f>
        <v>6075</v>
      </c>
      <c r="Q15" s="14">
        <f t="shared" si="13"/>
        <v>19605</v>
      </c>
      <c r="R15" s="14">
        <f>SUM(N$4:N15)</f>
        <v>2755</v>
      </c>
      <c r="S15" s="14">
        <f>SUM(O$4:O15)</f>
        <v>1384</v>
      </c>
      <c r="T15" s="14">
        <f>SUM(P$4:P15)</f>
        <v>22985</v>
      </c>
      <c r="U15" s="14">
        <f t="shared" si="14"/>
        <v>78215</v>
      </c>
      <c r="V15" s="14">
        <f>INDEX(属性投放!BQ$6:BQ$85,新属性汇总!$C15+($E15-2)*20)</f>
        <v>400</v>
      </c>
      <c r="W15" s="14">
        <f>INDEX(属性投放!BR$6:BR$85,新属性汇总!$C15+($E15-2)*20)</f>
        <v>200</v>
      </c>
      <c r="X15" s="14">
        <f>INDEX(属性投放!BS$6:BS$85,新属性汇总!$C15+($E15-2)*20)</f>
        <v>3600</v>
      </c>
      <c r="Y15" s="14">
        <f t="shared" si="15"/>
        <v>11600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360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189</v>
      </c>
      <c r="AI15" s="14">
        <f t="shared" si="33"/>
        <v>133</v>
      </c>
      <c r="AJ15" s="14">
        <f t="shared" si="34"/>
        <v>63</v>
      </c>
      <c r="AK15" s="14">
        <f t="shared" si="35"/>
        <v>1197</v>
      </c>
      <c r="AL15" s="14">
        <f t="shared" si="17"/>
        <v>3787</v>
      </c>
      <c r="AM15" s="14">
        <f>(F15+N15+V15+AI15)*(INDEX(属性投放!$DX$6:$DX$10,新属性汇总!$D15)-1)</f>
        <v>567.19999999999982</v>
      </c>
      <c r="AN15" s="14">
        <f>(G15+O15+W15+AJ15)*(INDEX(属性投放!$DX$6:$DX$10,新属性汇总!$D15)-1)</f>
        <v>282.79999999999995</v>
      </c>
      <c r="AO15" s="14">
        <f>(H15+P15+X15+AK15)*(INDEX(属性投放!$DX$6:$DX$10,新属性汇总!$D15)-1)</f>
        <v>5104.7999999999993</v>
      </c>
      <c r="AP15" s="14">
        <f t="shared" si="18"/>
        <v>16432.799999999996</v>
      </c>
      <c r="AQ15" s="14"/>
      <c r="AR15" s="14"/>
      <c r="AS15" s="14"/>
      <c r="AT15" s="14">
        <f t="shared" si="1"/>
        <v>57514.799999999996</v>
      </c>
      <c r="AU15" s="17">
        <f t="shared" si="2"/>
        <v>0.10588578939681613</v>
      </c>
      <c r="AV15" s="17">
        <f t="shared" si="3"/>
        <v>0.34086878507792778</v>
      </c>
      <c r="AW15" s="17">
        <f t="shared" si="4"/>
        <v>0.2016872178986974</v>
      </c>
      <c r="AX15" s="17">
        <f t="shared" si="5"/>
        <v>6.5843921912273021E-2</v>
      </c>
      <c r="AY15" s="17">
        <f t="shared" si="19"/>
        <v>0.28571428571428564</v>
      </c>
      <c r="AZ15" s="30">
        <v>3</v>
      </c>
      <c r="BA15" s="30">
        <v>4</v>
      </c>
      <c r="BB15" s="26">
        <f>INDEX(装备!$BR$6:$BR$9,新属性汇总!BA15)</f>
        <v>1</v>
      </c>
      <c r="BC15" s="14">
        <f>INDEX(装备!M$17:M$23,新属性汇总!$AZ15)*$BB15</f>
        <v>450</v>
      </c>
      <c r="BD15" s="14">
        <f>INDEX(装备!N$17:N$23,新属性汇总!$AZ15)*$BB15</f>
        <v>230</v>
      </c>
      <c r="BE15" s="14">
        <f>INDEX(装备!O$17:O$23,新属性汇总!$AZ15)*$BB15</f>
        <v>3105</v>
      </c>
      <c r="BF15" s="14">
        <f t="shared" si="36"/>
        <v>12205</v>
      </c>
      <c r="BG15" s="14">
        <f>INDEX(装备!S$17:S$23,新属性汇总!$AZ15)*(新属性汇总!$B15-$B14)*$BB15</f>
        <v>241.5</v>
      </c>
      <c r="BH15" s="14">
        <f>INDEX(装备!T$17:T$23,新属性汇总!$AZ15)*(新属性汇总!$B15-$B14)*$BB15</f>
        <v>122.5</v>
      </c>
      <c r="BI15" s="14">
        <f>INDEX(装备!U$17:U$23,新属性汇总!$AZ15)*(新属性汇总!$B15-$B14)*$BB15</f>
        <v>1673</v>
      </c>
      <c r="BJ15" s="14">
        <f t="shared" si="37"/>
        <v>6538</v>
      </c>
      <c r="BK15" s="14">
        <f>INDEX(装备!DY$17:DY$23,新属性汇总!$AZ15)</f>
        <v>78</v>
      </c>
      <c r="BL15" s="14">
        <f>INDEX(装备!DZ$17:DZ$23,新属性汇总!$AZ15)</f>
        <v>40</v>
      </c>
      <c r="BM15" s="14">
        <f>INDEX(装备!EA$17:EA$23,新属性汇总!$AZ15)</f>
        <v>544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234</v>
      </c>
      <c r="BQ15" s="14">
        <f>INDEX(装备!DZ$17:DZ$23,新属性汇总!$AZ15)*新属性汇总!$BO15</f>
        <v>120</v>
      </c>
      <c r="BR15" s="14">
        <f>INDEX(装备!EA$17:EA$23,新属性汇总!$AZ15)*新属性汇总!$BO15</f>
        <v>1632</v>
      </c>
      <c r="BS15" s="14">
        <f t="shared" si="38"/>
        <v>6372</v>
      </c>
      <c r="BT15" s="14">
        <f>INDEX(装备!$BX$21:$BX$27,新属性汇总!$AZ15)*1.5</f>
        <v>890.34000000000015</v>
      </c>
      <c r="BU15" s="14">
        <v>0</v>
      </c>
      <c r="BV15" s="14">
        <f>INDEX(装备!$BZ$21:$BZ$27,新属性汇总!$AZ15)*1.5</f>
        <v>3156.1200000000008</v>
      </c>
      <c r="BW15" s="14">
        <f t="shared" si="39"/>
        <v>12059.520000000002</v>
      </c>
      <c r="BX15" s="14">
        <f t="shared" si="20"/>
        <v>37174.520000000004</v>
      </c>
      <c r="BY15" s="17">
        <f t="shared" si="21"/>
        <v>0.32831627684769027</v>
      </c>
      <c r="BZ15" s="17">
        <f t="shared" si="22"/>
        <v>0.17587315182549765</v>
      </c>
      <c r="CA15" s="17">
        <f t="shared" si="23"/>
        <v>0.17140772765862208</v>
      </c>
      <c r="CB15" s="17">
        <f t="shared" si="24"/>
        <v>0.32440284366818994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57514.799999999996</v>
      </c>
      <c r="CI15" s="14">
        <f t="shared" si="26"/>
        <v>37174.520000000004</v>
      </c>
      <c r="CJ15" s="14" t="e">
        <f t="shared" si="27"/>
        <v>#REF!</v>
      </c>
      <c r="CK15" s="14">
        <f t="shared" si="41"/>
        <v>57514.799999999996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436</v>
      </c>
      <c r="B16" s="30">
        <v>95</v>
      </c>
      <c r="C16" s="30">
        <v>13</v>
      </c>
      <c r="D16" s="30">
        <v>5</v>
      </c>
      <c r="E16" s="30">
        <v>4</v>
      </c>
      <c r="F16" s="14">
        <f>INDEX(属性投放!BF$6:BF$85,新属性汇总!$C16+($E16-2)*20)</f>
        <v>320</v>
      </c>
      <c r="G16" s="14">
        <f>INDEX(属性投放!BG$6:BG$85,新属性汇总!$C16+($E16-2)*20)</f>
        <v>160</v>
      </c>
      <c r="H16" s="14">
        <f>INDEX(属性投放!BH$6:BH$85,新属性汇总!$C16+($E16-2)*20)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17908</v>
      </c>
      <c r="M16" s="14">
        <f t="shared" si="12"/>
        <v>62648</v>
      </c>
      <c r="N16" s="14">
        <f>INDEX(属性投放!BK$6:BK$85,新属性汇总!$C16+($E16-2)*20)*INDEX(属性投放!$BN$6:$BN$85,新属性汇总!$C16+($E16-2)*20)</f>
        <v>825</v>
      </c>
      <c r="O16" s="14">
        <f>INDEX(属性投放!BL$6:BL$85,新属性汇总!$C16+($E16-2)*20)*INDEX(属性投放!$BN$6:$BN$85,新属性汇总!$C16+($E16-2)*20)</f>
        <v>414</v>
      </c>
      <c r="P16" s="14">
        <f>INDEX(属性投放!BM$6:BM$85,新属性汇总!$C16+($E16-2)*20)*INDEX(属性投放!$BN$6:$BN$85,新属性汇总!$C16+($E16-2)*20)</f>
        <v>8250</v>
      </c>
      <c r="Q16" s="14">
        <f t="shared" si="13"/>
        <v>24780</v>
      </c>
      <c r="R16" s="14">
        <f>SUM(N$4:N16)</f>
        <v>3580</v>
      </c>
      <c r="S16" s="14">
        <f>SUM(O$4:O16)</f>
        <v>1798</v>
      </c>
      <c r="T16" s="14">
        <f>SUM(P$4:P16)</f>
        <v>31235</v>
      </c>
      <c r="U16" s="14">
        <f t="shared" si="14"/>
        <v>102995</v>
      </c>
      <c r="V16" s="14">
        <f>INDEX(属性投放!BQ$6:BQ$85,新属性汇总!$C16+($E16-2)*20)</f>
        <v>450</v>
      </c>
      <c r="W16" s="14">
        <f>INDEX(属性投放!BR$6:BR$85,新属性汇总!$C16+($E16-2)*20)</f>
        <v>225</v>
      </c>
      <c r="X16" s="14">
        <f>INDEX(属性投放!BS$6:BS$85,新属性汇总!$C16+($E16-2)*20)</f>
        <v>4500</v>
      </c>
      <c r="Y16" s="14">
        <f t="shared" si="15"/>
        <v>13500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714.79999999999984</v>
      </c>
      <c r="AN16" s="14">
        <f>(G16+O16+W16+AJ16)*(INDEX(属性投放!$DX$6:$DX$10,新属性汇总!$D16)-1)</f>
        <v>357.99999999999994</v>
      </c>
      <c r="AO16" s="14">
        <f>(H16+P16+X16+AK16)*(INDEX(属性投放!$DX$6:$DX$10,新属性汇总!$D16)-1)</f>
        <v>7147.9999999999982</v>
      </c>
      <c r="AP16" s="14">
        <f t="shared" si="18"/>
        <v>21455.999999999993</v>
      </c>
      <c r="AQ16" s="14"/>
      <c r="AR16" s="14"/>
      <c r="AS16" s="14"/>
      <c r="AT16" s="14">
        <f t="shared" si="1"/>
        <v>75096</v>
      </c>
      <c r="AU16" s="17">
        <f t="shared" si="2"/>
        <v>0.12783636944710769</v>
      </c>
      <c r="AV16" s="17">
        <f t="shared" si="3"/>
        <v>0.32997762863534674</v>
      </c>
      <c r="AW16" s="17">
        <f t="shared" si="4"/>
        <v>0.1797698945349952</v>
      </c>
      <c r="AX16" s="17">
        <f t="shared" si="5"/>
        <v>7.6701821668264628E-2</v>
      </c>
      <c r="AY16" s="17">
        <f t="shared" si="19"/>
        <v>0.28571428571428564</v>
      </c>
      <c r="AZ16" s="30">
        <v>4</v>
      </c>
      <c r="BA16" s="30">
        <v>4</v>
      </c>
      <c r="BB16" s="26">
        <f>INDEX(装备!$BR$6:$BR$9,新属性汇总!BA16)</f>
        <v>1</v>
      </c>
      <c r="BC16" s="14">
        <f>INDEX(装备!M$17:M$23,新属性汇总!$AZ16)*$BB16</f>
        <v>850</v>
      </c>
      <c r="BD16" s="14">
        <f>INDEX(装备!N$17:N$23,新属性汇总!$AZ16)*$BB16</f>
        <v>430</v>
      </c>
      <c r="BE16" s="14">
        <f>INDEX(装备!O$17:O$23,新属性汇总!$AZ16)*$BB16</f>
        <v>6460</v>
      </c>
      <c r="BF16" s="14">
        <f t="shared" si="36"/>
        <v>23560</v>
      </c>
      <c r="BG16" s="14">
        <f>INDEX(装备!S$17:S$23,新属性汇总!$AZ16)*(新属性汇总!$B16-$B15)*$BB16</f>
        <v>376</v>
      </c>
      <c r="BH16" s="14">
        <f>INDEX(装备!T$17:T$23,新属性汇总!$AZ16)*(新属性汇总!$B16-$B15)*$BB16</f>
        <v>192</v>
      </c>
      <c r="BI16" s="14">
        <f>INDEX(装备!U$17:U$23,新属性汇总!$AZ16)*(新属性汇总!$B16-$B15)*$BB16</f>
        <v>2868</v>
      </c>
      <c r="BJ16" s="14">
        <f t="shared" si="37"/>
        <v>10468</v>
      </c>
      <c r="BK16" s="14">
        <f>INDEX(装备!DY$17:DY$23,新属性汇总!$AZ16)</f>
        <v>179</v>
      </c>
      <c r="BL16" s="14">
        <f>INDEX(装备!DZ$17:DZ$23,新属性汇总!$AZ16)</f>
        <v>76</v>
      </c>
      <c r="BM16" s="14">
        <f>INDEX(装备!EA$17:EA$23,新属性汇总!$AZ16)</f>
        <v>1129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716</v>
      </c>
      <c r="BQ16" s="14">
        <f>INDEX(装备!DZ$17:DZ$23,新属性汇总!$AZ16)*新属性汇总!$BO16</f>
        <v>304</v>
      </c>
      <c r="BR16" s="14">
        <f>INDEX(装备!EA$17:EA$23,新属性汇总!$AZ16)*新属性汇总!$BO16</f>
        <v>4516</v>
      </c>
      <c r="BS16" s="14">
        <f t="shared" si="38"/>
        <v>17756</v>
      </c>
      <c r="BT16" s="14">
        <f>INDEX(装备!$BX$21:$BX$27,新属性汇总!$AZ16)*1.5</f>
        <v>1746.69</v>
      </c>
      <c r="BU16" s="14">
        <v>0</v>
      </c>
      <c r="BV16" s="14">
        <f>INDEX(装备!$BZ$21:$BZ$27,新属性汇总!$AZ16)*1.5</f>
        <v>6886.77</v>
      </c>
      <c r="BW16" s="14">
        <f t="shared" si="39"/>
        <v>24353.670000000002</v>
      </c>
      <c r="BX16" s="14">
        <f t="shared" si="20"/>
        <v>76137.67</v>
      </c>
      <c r="BY16" s="17">
        <f t="shared" si="21"/>
        <v>0.30943946669237449</v>
      </c>
      <c r="BZ16" s="17">
        <f t="shared" si="22"/>
        <v>0.13748779020949814</v>
      </c>
      <c r="CA16" s="17">
        <f t="shared" si="23"/>
        <v>0.23320913287732603</v>
      </c>
      <c r="CB16" s="17">
        <f t="shared" si="24"/>
        <v>0.3198636102208014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75096</v>
      </c>
      <c r="CI16" s="14">
        <f t="shared" si="26"/>
        <v>76137.67</v>
      </c>
      <c r="CJ16" s="14" t="e">
        <f t="shared" si="27"/>
        <v>#REF!</v>
      </c>
      <c r="CK16" s="14">
        <f t="shared" si="41"/>
        <v>75096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437</v>
      </c>
      <c r="B17" s="30">
        <v>102</v>
      </c>
      <c r="C17" s="30">
        <v>14</v>
      </c>
      <c r="D17" s="30">
        <v>5</v>
      </c>
      <c r="E17" s="30">
        <v>4</v>
      </c>
      <c r="F17" s="14">
        <f>INDEX(属性投放!BF$6:BF$85,新属性汇总!$C17+($E17-2)*20)</f>
        <v>280</v>
      </c>
      <c r="G17" s="14">
        <f>INDEX(属性投放!BG$6:BG$85,新属性汇总!$C17+($E17-2)*20)</f>
        <v>140</v>
      </c>
      <c r="H17" s="14">
        <f>INDEX(属性投放!BH$6:BH$85,新属性汇总!$C17+($E17-2)*20)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20708</v>
      </c>
      <c r="M17" s="14">
        <f t="shared" si="12"/>
        <v>71048</v>
      </c>
      <c r="N17" s="14">
        <f>INDEX(属性投放!BK$6:BK$85,新属性汇总!$C17+($E17-2)*20)*INDEX(属性投放!$BN$6:$BN$85,新属性汇总!$C17+($E17-2)*20)</f>
        <v>960</v>
      </c>
      <c r="O17" s="14">
        <f>INDEX(属性投放!BL$6:BL$85,新属性汇总!$C17+($E17-2)*20)*INDEX(属性投放!$BN$6:$BN$85,新属性汇总!$C17+($E17-2)*20)</f>
        <v>480</v>
      </c>
      <c r="P17" s="14">
        <f>INDEX(属性投放!BM$6:BM$85,新属性汇总!$C17+($E17-2)*20)*INDEX(属性投放!$BN$6:$BN$85,新属性汇总!$C17+($E17-2)*20)</f>
        <v>9600</v>
      </c>
      <c r="Q17" s="14">
        <f t="shared" si="13"/>
        <v>28800</v>
      </c>
      <c r="R17" s="14">
        <f>SUM(N$4:N17)</f>
        <v>4540</v>
      </c>
      <c r="S17" s="14">
        <f>SUM(O$4:O17)</f>
        <v>2278</v>
      </c>
      <c r="T17" s="14">
        <f>SUM(P$4:P17)</f>
        <v>40835</v>
      </c>
      <c r="U17" s="14">
        <f t="shared" si="14"/>
        <v>131795</v>
      </c>
      <c r="V17" s="14">
        <f>INDEX(属性投放!BQ$6:BQ$85,新属性汇总!$C17+($E17-2)*20)</f>
        <v>500</v>
      </c>
      <c r="W17" s="14">
        <f>INDEX(属性投放!BR$6:BR$85,新属性汇总!$C17+($E17-2)*20)</f>
        <v>250</v>
      </c>
      <c r="X17" s="14">
        <f>INDEX(属性投放!BS$6:BS$85,新属性汇总!$C17+($E17-2)*20)</f>
        <v>5000</v>
      </c>
      <c r="Y17" s="14">
        <f t="shared" si="15"/>
        <v>15000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763.19999999999982</v>
      </c>
      <c r="AN17" s="14">
        <f>(G17+O17+W17+AJ17)*(INDEX(属性投放!$DX$6:$DX$10,新属性汇总!$D17)-1)</f>
        <v>381.59999999999991</v>
      </c>
      <c r="AO17" s="14">
        <f>(H17+P17+X17+AK17)*(INDEX(属性投放!$DX$6:$DX$10,新属性汇总!$D17)-1)</f>
        <v>7631.9999999999982</v>
      </c>
      <c r="AP17" s="14">
        <f t="shared" si="18"/>
        <v>22895.999999999993</v>
      </c>
      <c r="AQ17" s="14"/>
      <c r="AR17" s="14"/>
      <c r="AS17" s="14"/>
      <c r="AT17" s="14">
        <f t="shared" si="1"/>
        <v>80136</v>
      </c>
      <c r="AU17" s="17">
        <f t="shared" si="2"/>
        <v>0.10482180293501048</v>
      </c>
      <c r="AV17" s="17">
        <f t="shared" si="3"/>
        <v>0.35938903863432164</v>
      </c>
      <c r="AW17" s="17">
        <f t="shared" si="4"/>
        <v>0.18718179095537585</v>
      </c>
      <c r="AX17" s="17">
        <f t="shared" si="5"/>
        <v>6.2893081761006289E-2</v>
      </c>
      <c r="AY17" s="17">
        <f t="shared" si="19"/>
        <v>0.28571428571428564</v>
      </c>
      <c r="AZ17" s="30">
        <v>4</v>
      </c>
      <c r="BA17" s="30">
        <v>4</v>
      </c>
      <c r="BB17" s="26">
        <f>INDEX(装备!$BR$6:$BR$9,新属性汇总!BA17)</f>
        <v>1</v>
      </c>
      <c r="BC17" s="14">
        <f>INDEX(装备!M$17:M$23,新属性汇总!$AZ17)*$BB17</f>
        <v>850</v>
      </c>
      <c r="BD17" s="14">
        <f>INDEX(装备!N$17:N$23,新属性汇总!$AZ17)*$BB17</f>
        <v>430</v>
      </c>
      <c r="BE17" s="14">
        <f>INDEX(装备!O$17:O$23,新属性汇总!$AZ17)*$BB17</f>
        <v>6460</v>
      </c>
      <c r="BF17" s="14">
        <f t="shared" si="36"/>
        <v>23560</v>
      </c>
      <c r="BG17" s="14">
        <f>INDEX(装备!S$17:S$23,新属性汇总!$AZ17)*(新属性汇总!$B17-$B16)*$BB17</f>
        <v>329</v>
      </c>
      <c r="BH17" s="14">
        <f>INDEX(装备!T$17:T$23,新属性汇总!$AZ17)*(新属性汇总!$B17-$B16)*$BB17</f>
        <v>168</v>
      </c>
      <c r="BI17" s="14">
        <f>INDEX(装备!U$17:U$23,新属性汇总!$AZ17)*(新属性汇总!$B17-$B16)*$BB17</f>
        <v>2509.5</v>
      </c>
      <c r="BJ17" s="14">
        <f t="shared" si="37"/>
        <v>9159.5</v>
      </c>
      <c r="BK17" s="14">
        <f>INDEX(装备!DY$17:DY$23,新属性汇总!$AZ17)</f>
        <v>179</v>
      </c>
      <c r="BL17" s="14">
        <f>INDEX(装备!DZ$17:DZ$23,新属性汇总!$AZ17)</f>
        <v>76</v>
      </c>
      <c r="BM17" s="14">
        <f>INDEX(装备!EA$17:EA$23,新属性汇总!$AZ17)</f>
        <v>1129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716</v>
      </c>
      <c r="BQ17" s="14">
        <f>INDEX(装备!DZ$17:DZ$23,新属性汇总!$AZ17)*新属性汇总!$BO17</f>
        <v>304</v>
      </c>
      <c r="BR17" s="14">
        <f>INDEX(装备!EA$17:EA$23,新属性汇总!$AZ17)*新属性汇总!$BO17</f>
        <v>4516</v>
      </c>
      <c r="BS17" s="14">
        <f t="shared" si="38"/>
        <v>17756</v>
      </c>
      <c r="BT17" s="14">
        <f>INDEX(装备!$BX$21:$BX$27,新属性汇总!$AZ17)*1.5</f>
        <v>1746.69</v>
      </c>
      <c r="BU17" s="14">
        <v>0</v>
      </c>
      <c r="BV17" s="14">
        <f>INDEX(装备!$BZ$21:$BZ$27,新属性汇总!$AZ17)*1.5</f>
        <v>6886.77</v>
      </c>
      <c r="BW17" s="14">
        <f t="shared" si="39"/>
        <v>24353.670000000002</v>
      </c>
      <c r="BX17" s="14">
        <f t="shared" si="20"/>
        <v>74829.17</v>
      </c>
      <c r="BY17" s="17">
        <f t="shared" si="21"/>
        <v>0.31485047876382966</v>
      </c>
      <c r="BZ17" s="17">
        <f t="shared" si="22"/>
        <v>0.12240547369428259</v>
      </c>
      <c r="CA17" s="17">
        <f t="shared" si="23"/>
        <v>0.2372871435029949</v>
      </c>
      <c r="CB17" s="17">
        <f t="shared" si="24"/>
        <v>0.32545690403889288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80136</v>
      </c>
      <c r="CI17" s="14">
        <f t="shared" si="26"/>
        <v>74829.17</v>
      </c>
      <c r="CJ17" s="14" t="e">
        <f t="shared" si="27"/>
        <v>#REF!</v>
      </c>
      <c r="CK17" s="14">
        <f t="shared" si="41"/>
        <v>80136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438</v>
      </c>
      <c r="B18" s="30">
        <v>110</v>
      </c>
      <c r="C18" s="30">
        <v>15</v>
      </c>
      <c r="D18" s="30">
        <v>5</v>
      </c>
      <c r="E18" s="30">
        <v>4</v>
      </c>
      <c r="F18" s="14">
        <f>INDEX(属性投放!BF$6:BF$85,新属性汇总!$C18+($E18-2)*20)</f>
        <v>320</v>
      </c>
      <c r="G18" s="14">
        <f>INDEX(属性投放!BG$6:BG$85,新属性汇总!$C18+($E18-2)*20)</f>
        <v>160</v>
      </c>
      <c r="H18" s="14">
        <f>INDEX(属性投放!BH$6:BH$85,新属性汇总!$C18+($E18-2)*20)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23908</v>
      </c>
      <c r="M18" s="14">
        <f t="shared" si="12"/>
        <v>80648</v>
      </c>
      <c r="N18" s="14">
        <f>INDEX(属性投放!BK$6:BK$85,新属性汇总!$C18+($E18-2)*20)*INDEX(属性投放!$BN$6:$BN$85,新属性汇总!$C18+($E18-2)*20)</f>
        <v>1335</v>
      </c>
      <c r="O18" s="14">
        <f>INDEX(属性投放!BL$6:BL$85,新属性汇总!$C18+($E18-2)*20)*INDEX(属性投放!$BN$6:$BN$85,新属性汇总!$C18+($E18-2)*20)</f>
        <v>669</v>
      </c>
      <c r="P18" s="14">
        <f>INDEX(属性投放!BM$6:BM$85,新属性汇总!$C18+($E18-2)*20)*INDEX(属性投放!$BN$6:$BN$85,新属性汇总!$C18+($E18-2)*20)</f>
        <v>13350</v>
      </c>
      <c r="Q18" s="14">
        <f t="shared" si="13"/>
        <v>40080</v>
      </c>
      <c r="R18" s="14">
        <f>SUM(N$4:N18)</f>
        <v>5875</v>
      </c>
      <c r="S18" s="14">
        <f>SUM(O$4:O18)</f>
        <v>2947</v>
      </c>
      <c r="T18" s="14">
        <f>SUM(P$4:P18)</f>
        <v>54185</v>
      </c>
      <c r="U18" s="14">
        <f t="shared" si="14"/>
        <v>171875</v>
      </c>
      <c r="V18" s="14">
        <f>INDEX(属性投放!BQ$6:BQ$85,新属性汇总!$C18+($E18-2)*20)</f>
        <v>800</v>
      </c>
      <c r="W18" s="14">
        <f>INDEX(属性投放!BR$6:BR$85,新属性汇总!$C18+($E18-2)*20)</f>
        <v>400</v>
      </c>
      <c r="X18" s="14">
        <f>INDEX(属性投放!BS$6:BS$85,新属性汇总!$C18+($E18-2)*20)</f>
        <v>8000</v>
      </c>
      <c r="Y18" s="14">
        <f t="shared" si="15"/>
        <v>24000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1058.7999999999997</v>
      </c>
      <c r="AN18" s="14">
        <f>(G18+O18+W18+AJ18)*(INDEX(属性投放!$DX$6:$DX$10,新属性汇总!$D18)-1)</f>
        <v>529.99999999999989</v>
      </c>
      <c r="AO18" s="14">
        <f>(H18+P18+X18+AK18)*(INDEX(属性投放!$DX$6:$DX$10,新属性汇总!$D18)-1)</f>
        <v>10587.999999999998</v>
      </c>
      <c r="AP18" s="14">
        <f t="shared" si="18"/>
        <v>31775.999999999993</v>
      </c>
      <c r="AQ18" s="14"/>
      <c r="AR18" s="14"/>
      <c r="AS18" s="14"/>
      <c r="AT18" s="14">
        <f t="shared" si="1"/>
        <v>111216</v>
      </c>
      <c r="AU18" s="17">
        <f t="shared" si="2"/>
        <v>8.6318515321536476E-2</v>
      </c>
      <c r="AV18" s="17">
        <f t="shared" si="3"/>
        <v>0.36037980146741477</v>
      </c>
      <c r="AW18" s="17">
        <f t="shared" si="4"/>
        <v>0.21579628830384118</v>
      </c>
      <c r="AX18" s="17">
        <f t="shared" si="5"/>
        <v>5.1791109192921882E-2</v>
      </c>
      <c r="AY18" s="17">
        <f t="shared" si="19"/>
        <v>0.28571428571428564</v>
      </c>
      <c r="AZ18" s="30">
        <v>4</v>
      </c>
      <c r="BA18" s="30">
        <v>4</v>
      </c>
      <c r="BB18" s="26">
        <f>INDEX(装备!$BR$6:$BR$9,新属性汇总!BA18)</f>
        <v>1</v>
      </c>
      <c r="BC18" s="14">
        <f>INDEX(装备!M$17:M$23,新属性汇总!$AZ18)*$BB18</f>
        <v>850</v>
      </c>
      <c r="BD18" s="14">
        <f>INDEX(装备!N$17:N$23,新属性汇总!$AZ18)*$BB18</f>
        <v>430</v>
      </c>
      <c r="BE18" s="14">
        <f>INDEX(装备!O$17:O$23,新属性汇总!$AZ18)*$BB18</f>
        <v>6460</v>
      </c>
      <c r="BF18" s="14">
        <f t="shared" si="36"/>
        <v>23560</v>
      </c>
      <c r="BG18" s="14">
        <f>INDEX(装备!S$17:S$23,新属性汇总!$AZ18)*(新属性汇总!$B18-$B17)*$BB18</f>
        <v>376</v>
      </c>
      <c r="BH18" s="14">
        <f>INDEX(装备!T$17:T$23,新属性汇总!$AZ18)*(新属性汇总!$B18-$B17)*$BB18</f>
        <v>192</v>
      </c>
      <c r="BI18" s="14">
        <f>INDEX(装备!U$17:U$23,新属性汇总!$AZ18)*(新属性汇总!$B18-$B17)*$BB18</f>
        <v>2868</v>
      </c>
      <c r="BJ18" s="14">
        <f t="shared" si="37"/>
        <v>10468</v>
      </c>
      <c r="BK18" s="14">
        <f>INDEX(装备!DY$17:DY$23,新属性汇总!$AZ18)</f>
        <v>179</v>
      </c>
      <c r="BL18" s="14">
        <f>INDEX(装备!DZ$17:DZ$23,新属性汇总!$AZ18)</f>
        <v>76</v>
      </c>
      <c r="BM18" s="14">
        <f>INDEX(装备!EA$17:EA$23,新属性汇总!$AZ18)</f>
        <v>1129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716</v>
      </c>
      <c r="BQ18" s="14">
        <f>INDEX(装备!DZ$17:DZ$23,新属性汇总!$AZ18)*新属性汇总!$BO18</f>
        <v>304</v>
      </c>
      <c r="BR18" s="14">
        <f>INDEX(装备!EA$17:EA$23,新属性汇总!$AZ18)*新属性汇总!$BO18</f>
        <v>4516</v>
      </c>
      <c r="BS18" s="14">
        <f t="shared" si="38"/>
        <v>17756</v>
      </c>
      <c r="BT18" s="14">
        <f>INDEX(装备!$BX$21:$BX$27,新属性汇总!$AZ18)*1.5</f>
        <v>1746.69</v>
      </c>
      <c r="BU18" s="14">
        <v>0</v>
      </c>
      <c r="BV18" s="14">
        <f>INDEX(装备!$BZ$21:$BZ$27,新属性汇总!$AZ18)*1.5</f>
        <v>6886.77</v>
      </c>
      <c r="BW18" s="14">
        <f t="shared" si="39"/>
        <v>24353.670000000002</v>
      </c>
      <c r="BX18" s="14">
        <f t="shared" si="20"/>
        <v>76137.67</v>
      </c>
      <c r="BY18" s="17">
        <f t="shared" si="21"/>
        <v>0.30943946669237449</v>
      </c>
      <c r="BZ18" s="17">
        <f t="shared" si="22"/>
        <v>0.13748779020949814</v>
      </c>
      <c r="CA18" s="17">
        <f t="shared" si="23"/>
        <v>0.23320913287732603</v>
      </c>
      <c r="CB18" s="17">
        <f t="shared" si="24"/>
        <v>0.3198636102208014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111216</v>
      </c>
      <c r="CI18" s="14">
        <f t="shared" si="26"/>
        <v>76137.67</v>
      </c>
      <c r="CJ18" s="14" t="e">
        <f t="shared" si="27"/>
        <v>#REF!</v>
      </c>
      <c r="CK18" s="14">
        <f t="shared" si="41"/>
        <v>111216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439</v>
      </c>
      <c r="B19" s="30">
        <v>117</v>
      </c>
      <c r="C19" s="30">
        <v>16</v>
      </c>
      <c r="D19" s="30">
        <v>5</v>
      </c>
      <c r="E19" s="30">
        <v>4</v>
      </c>
      <c r="F19" s="14">
        <f>INDEX(属性投放!BF$6:BF$85,新属性汇总!$C19+($E19-2)*20)</f>
        <v>350</v>
      </c>
      <c r="G19" s="14">
        <f>INDEX(属性投放!BG$6:BG$85,新属性汇总!$C19+($E19-2)*20)</f>
        <v>175</v>
      </c>
      <c r="H19" s="14">
        <f>INDEX(属性投放!BH$6:BH$85,新属性汇总!$C19+($E19-2)*20)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27408</v>
      </c>
      <c r="M19" s="14">
        <f t="shared" si="12"/>
        <v>91148</v>
      </c>
      <c r="N19" s="14">
        <f>INDEX(属性投放!BK$6:BK$85,新属性汇总!$C19+($E19-2)*20)*INDEX(属性投放!$BN$6:$BN$85,新属性汇总!$C19+($E19-2)*20)</f>
        <v>1560</v>
      </c>
      <c r="O19" s="14">
        <f>INDEX(属性投放!BL$6:BL$85,新属性汇总!$C19+($E19-2)*20)*INDEX(属性投放!$BN$6:$BN$85,新属性汇总!$C19+($E19-2)*20)</f>
        <v>780</v>
      </c>
      <c r="P19" s="14">
        <f>INDEX(属性投放!BM$6:BM$85,新属性汇总!$C19+($E19-2)*20)*INDEX(属性投放!$BN$6:$BN$85,新属性汇总!$C19+($E19-2)*20)</f>
        <v>15600</v>
      </c>
      <c r="Q19" s="14">
        <f t="shared" si="13"/>
        <v>46800</v>
      </c>
      <c r="R19" s="14">
        <f>SUM(N$4:N19)</f>
        <v>7435</v>
      </c>
      <c r="S19" s="14">
        <f>SUM(O$4:O19)</f>
        <v>3727</v>
      </c>
      <c r="T19" s="14">
        <f>SUM(P$4:P19)</f>
        <v>69785</v>
      </c>
      <c r="U19" s="14">
        <f t="shared" si="14"/>
        <v>218675</v>
      </c>
      <c r="V19" s="14">
        <f>INDEX(属性投放!BQ$6:BQ$85,新属性汇总!$C19+($E19-2)*20)</f>
        <v>850</v>
      </c>
      <c r="W19" s="14">
        <f>INDEX(属性投放!BR$6:BR$85,新属性汇总!$C19+($E19-2)*20)</f>
        <v>425</v>
      </c>
      <c r="X19" s="14">
        <f>INDEX(属性投放!BS$6:BS$85,新属性汇总!$C19+($E19-2)*20)</f>
        <v>8500</v>
      </c>
      <c r="Y19" s="14">
        <f t="shared" si="15"/>
        <v>25500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1215.9999999999998</v>
      </c>
      <c r="AN19" s="14">
        <f>(G19+O19+W19+AJ19)*(INDEX(属性投放!$DX$6:$DX$10,新属性汇总!$D19)-1)</f>
        <v>607.99999999999989</v>
      </c>
      <c r="AO19" s="14">
        <f>(H19+P19+X19+AK19)*(INDEX(属性投放!$DX$6:$DX$10,新属性汇总!$D19)-1)</f>
        <v>12159.999999999998</v>
      </c>
      <c r="AP19" s="14">
        <f t="shared" si="18"/>
        <v>36479.999999999993</v>
      </c>
      <c r="AQ19" s="14"/>
      <c r="AR19" s="14"/>
      <c r="AS19" s="14"/>
      <c r="AT19" s="14">
        <f t="shared" si="1"/>
        <v>127680</v>
      </c>
      <c r="AU19" s="17">
        <f t="shared" si="2"/>
        <v>8.2236842105263164E-2</v>
      </c>
      <c r="AV19" s="17">
        <f t="shared" si="3"/>
        <v>0.36654135338345867</v>
      </c>
      <c r="AW19" s="17">
        <f t="shared" si="4"/>
        <v>0.19971804511278196</v>
      </c>
      <c r="AX19" s="17">
        <f t="shared" si="5"/>
        <v>6.5789473684210523E-2</v>
      </c>
      <c r="AY19" s="17">
        <f t="shared" si="19"/>
        <v>0.28571428571428564</v>
      </c>
      <c r="AZ19" s="30">
        <v>5</v>
      </c>
      <c r="BA19" s="30">
        <v>4</v>
      </c>
      <c r="BB19" s="26">
        <f>INDEX(装备!$BR$6:$BR$9,新属性汇总!BA19)</f>
        <v>1</v>
      </c>
      <c r="BC19" s="14">
        <f>INDEX(装备!M$17:M$23,新属性汇总!$AZ19)*$BB19</f>
        <v>1185</v>
      </c>
      <c r="BD19" s="14">
        <f>INDEX(装备!N$17:N$23,新属性汇总!$AZ19)*$BB19</f>
        <v>595</v>
      </c>
      <c r="BE19" s="14">
        <f>INDEX(装备!O$17:O$23,新属性汇总!$AZ19)*$BB19</f>
        <v>9595</v>
      </c>
      <c r="BF19" s="14">
        <f t="shared" si="36"/>
        <v>33345</v>
      </c>
      <c r="BG19" s="14">
        <f>INDEX(装备!S$17:S$23,新属性汇总!$AZ19)*(新属性汇总!$B19-$B18)*$BB19</f>
        <v>434</v>
      </c>
      <c r="BH19" s="14">
        <f>INDEX(装备!T$17:T$23,新属性汇总!$AZ19)*(新属性汇总!$B19-$B18)*$BB19</f>
        <v>220.5</v>
      </c>
      <c r="BI19" s="14">
        <f>INDEX(装备!U$17:U$23,新属性汇总!$AZ19)*(新属性汇总!$B19-$B18)*$BB19</f>
        <v>3517.5</v>
      </c>
      <c r="BJ19" s="14">
        <f t="shared" si="37"/>
        <v>12267.5</v>
      </c>
      <c r="BK19" s="14">
        <f>INDEX(装备!DY$17:DY$23,新属性汇总!$AZ19)</f>
        <v>236</v>
      </c>
      <c r="BL19" s="14">
        <f>INDEX(装备!DZ$17:DZ$23,新属性汇总!$AZ19)</f>
        <v>99</v>
      </c>
      <c r="BM19" s="14">
        <f>INDEX(装备!EA$17:EA$23,新属性汇总!$AZ19)</f>
        <v>1913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1180</v>
      </c>
      <c r="BQ19" s="14">
        <f>INDEX(装备!DZ$17:DZ$23,新属性汇总!$AZ19)*新属性汇总!$BO19</f>
        <v>495</v>
      </c>
      <c r="BR19" s="14">
        <f>INDEX(装备!EA$17:EA$23,新属性汇总!$AZ19)*新属性汇总!$BO19</f>
        <v>9565</v>
      </c>
      <c r="BS19" s="14">
        <f t="shared" si="38"/>
        <v>31265</v>
      </c>
      <c r="BT19" s="14">
        <f>INDEX(装备!$BX$21:$BX$27,新属性汇总!$AZ19)*1.5</f>
        <v>2170.7400000000002</v>
      </c>
      <c r="BU19" s="14">
        <v>0</v>
      </c>
      <c r="BV19" s="14">
        <f>INDEX(装备!$BZ$21:$BZ$27,新属性汇总!$AZ19)*1.5</f>
        <v>8794.9950000000008</v>
      </c>
      <c r="BW19" s="14">
        <f t="shared" si="39"/>
        <v>30502.395000000004</v>
      </c>
      <c r="BX19" s="14">
        <f t="shared" si="20"/>
        <v>107379.895</v>
      </c>
      <c r="BY19" s="17">
        <f t="shared" si="21"/>
        <v>0.31053299130158396</v>
      </c>
      <c r="BZ19" s="17">
        <f t="shared" si="22"/>
        <v>0.11424391875220216</v>
      </c>
      <c r="CA19" s="17">
        <f t="shared" si="23"/>
        <v>0.29116251231201146</v>
      </c>
      <c r="CB19" s="17">
        <f t="shared" si="24"/>
        <v>0.28406057763420239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127680</v>
      </c>
      <c r="CI19" s="14">
        <f t="shared" si="26"/>
        <v>107379.895</v>
      </c>
      <c r="CJ19" s="14" t="e">
        <f t="shared" si="27"/>
        <v>#REF!</v>
      </c>
      <c r="CK19" s="14">
        <f t="shared" si="41"/>
        <v>127680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440</v>
      </c>
      <c r="B20" s="30">
        <v>125</v>
      </c>
      <c r="C20" s="30">
        <v>17</v>
      </c>
      <c r="D20" s="30">
        <v>5</v>
      </c>
      <c r="E20" s="30">
        <v>4</v>
      </c>
      <c r="F20" s="14">
        <f>INDEX(属性投放!BF$6:BF$85,新属性汇总!$C20+($E20-2)*20)</f>
        <v>400</v>
      </c>
      <c r="G20" s="14">
        <f>INDEX(属性投放!BG$6:BG$85,新属性汇总!$C20+($E20-2)*20)</f>
        <v>200</v>
      </c>
      <c r="H20" s="14">
        <f>INDEX(属性投放!BH$6:BH$85,新属性汇总!$C20+($E20-2)*20)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31408</v>
      </c>
      <c r="M20" s="14">
        <f t="shared" si="12"/>
        <v>103148</v>
      </c>
      <c r="N20" s="14">
        <f>INDEX(属性投放!BK$6:BK$85,新属性汇总!$C20+($E20-2)*20)*INDEX(属性投放!$BN$6:$BN$85,新属性汇总!$C20+($E20-2)*20)</f>
        <v>1950</v>
      </c>
      <c r="O20" s="14">
        <f>INDEX(属性投放!BL$6:BL$85,新属性汇总!$C20+($E20-2)*20)*INDEX(属性投放!$BN$6:$BN$85,新属性汇总!$C20+($E20-2)*20)</f>
        <v>975</v>
      </c>
      <c r="P20" s="14">
        <f>INDEX(属性投放!BM$6:BM$85,新属性汇总!$C20+($E20-2)*20)*INDEX(属性投放!$BN$6:$BN$85,新属性汇总!$C20+($E20-2)*20)</f>
        <v>19500</v>
      </c>
      <c r="Q20" s="14">
        <f t="shared" si="13"/>
        <v>58500</v>
      </c>
      <c r="R20" s="14">
        <f>SUM(N$4:N20)</f>
        <v>9385</v>
      </c>
      <c r="S20" s="14">
        <f>SUM(O$4:O20)</f>
        <v>4702</v>
      </c>
      <c r="T20" s="14">
        <f>SUM(P$4:P20)</f>
        <v>89285</v>
      </c>
      <c r="U20" s="14">
        <f t="shared" si="14"/>
        <v>277175</v>
      </c>
      <c r="V20" s="14">
        <f>INDEX(属性投放!BQ$6:BQ$85,新属性汇总!$C20+($E20-2)*20)</f>
        <v>950</v>
      </c>
      <c r="W20" s="14">
        <f>INDEX(属性投放!BR$6:BR$85,新属性汇总!$C20+($E20-2)*20)</f>
        <v>475</v>
      </c>
      <c r="X20" s="14">
        <f>INDEX(属性投放!BS$6:BS$85,新属性汇总!$C20+($E20-2)*20)</f>
        <v>9500</v>
      </c>
      <c r="Y20" s="14">
        <f t="shared" si="15"/>
        <v>28500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1447.9999999999998</v>
      </c>
      <c r="AN20" s="14">
        <f>(G20+O20+W20+AJ20)*(INDEX(属性投放!$DX$6:$DX$10,新属性汇总!$D20)-1)</f>
        <v>723.99999999999989</v>
      </c>
      <c r="AO20" s="14">
        <f>(H20+P20+X20+AK20)*(INDEX(属性投放!$DX$6:$DX$10,新属性汇总!$D20)-1)</f>
        <v>14479.999999999996</v>
      </c>
      <c r="AP20" s="14">
        <f t="shared" si="18"/>
        <v>43439.999999999993</v>
      </c>
      <c r="AQ20" s="14"/>
      <c r="AR20" s="14"/>
      <c r="AS20" s="14"/>
      <c r="AT20" s="14">
        <f t="shared" si="1"/>
        <v>152040</v>
      </c>
      <c r="AU20" s="17">
        <f t="shared" si="2"/>
        <v>7.8926598263614839E-2</v>
      </c>
      <c r="AV20" s="17">
        <f t="shared" si="3"/>
        <v>0.38476716653512233</v>
      </c>
      <c r="AW20" s="17">
        <f t="shared" si="4"/>
        <v>0.18745067087608525</v>
      </c>
      <c r="AX20" s="17">
        <f t="shared" si="5"/>
        <v>6.3141278610891874E-2</v>
      </c>
      <c r="AY20" s="17">
        <f t="shared" si="19"/>
        <v>0.28571428571428564</v>
      </c>
      <c r="AZ20" s="30">
        <v>5</v>
      </c>
      <c r="BA20" s="30">
        <v>4</v>
      </c>
      <c r="BB20" s="26">
        <f>INDEX(装备!$BR$6:$BR$9,新属性汇总!BA20)</f>
        <v>1</v>
      </c>
      <c r="BC20" s="14">
        <f>INDEX(装备!M$17:M$23,新属性汇总!$AZ20)*$BB20</f>
        <v>1185</v>
      </c>
      <c r="BD20" s="14">
        <f>INDEX(装备!N$17:N$23,新属性汇总!$AZ20)*$BB20</f>
        <v>595</v>
      </c>
      <c r="BE20" s="14">
        <f>INDEX(装备!O$17:O$23,新属性汇总!$AZ20)*$BB20</f>
        <v>9595</v>
      </c>
      <c r="BF20" s="14">
        <f t="shared" si="36"/>
        <v>33345</v>
      </c>
      <c r="BG20" s="14">
        <f>INDEX(装备!S$17:S$23,新属性汇总!$AZ20)*(新属性汇总!$B20-$B19)*$BB20</f>
        <v>496</v>
      </c>
      <c r="BH20" s="14">
        <f>INDEX(装备!T$17:T$23,新属性汇总!$AZ20)*(新属性汇总!$B20-$B19)*$BB20</f>
        <v>252</v>
      </c>
      <c r="BI20" s="14">
        <f>INDEX(装备!U$17:U$23,新属性汇总!$AZ20)*(新属性汇总!$B20-$B19)*$BB20</f>
        <v>4020</v>
      </c>
      <c r="BJ20" s="14">
        <f t="shared" si="37"/>
        <v>14020</v>
      </c>
      <c r="BK20" s="14">
        <f>INDEX(装备!DY$17:DY$23,新属性汇总!$AZ20)</f>
        <v>236</v>
      </c>
      <c r="BL20" s="14">
        <f>INDEX(装备!DZ$17:DZ$23,新属性汇总!$AZ20)</f>
        <v>99</v>
      </c>
      <c r="BM20" s="14">
        <f>INDEX(装备!EA$17:EA$23,新属性汇总!$AZ20)</f>
        <v>1913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1180</v>
      </c>
      <c r="BQ20" s="14">
        <f>INDEX(装备!DZ$17:DZ$23,新属性汇总!$AZ20)*新属性汇总!$BO20</f>
        <v>495</v>
      </c>
      <c r="BR20" s="14">
        <f>INDEX(装备!EA$17:EA$23,新属性汇总!$AZ20)*新属性汇总!$BO20</f>
        <v>9565</v>
      </c>
      <c r="BS20" s="14">
        <f t="shared" si="38"/>
        <v>31265</v>
      </c>
      <c r="BT20" s="14">
        <f>INDEX(装备!$BX$21:$BX$27,新属性汇总!$AZ20)*1.5</f>
        <v>2170.7400000000002</v>
      </c>
      <c r="BU20" s="14">
        <v>0</v>
      </c>
      <c r="BV20" s="14">
        <f>INDEX(装备!$BZ$21:$BZ$27,新属性汇总!$AZ20)*1.5</f>
        <v>8794.9950000000008</v>
      </c>
      <c r="BW20" s="14">
        <f t="shared" si="39"/>
        <v>30502.395000000004</v>
      </c>
      <c r="BX20" s="14">
        <f t="shared" si="20"/>
        <v>109132.395</v>
      </c>
      <c r="BY20" s="17">
        <f t="shared" si="21"/>
        <v>0.30554630455970472</v>
      </c>
      <c r="BZ20" s="17">
        <f t="shared" si="22"/>
        <v>0.12846781196362456</v>
      </c>
      <c r="CA20" s="17">
        <f t="shared" si="23"/>
        <v>0.28648688595169197</v>
      </c>
      <c r="CB20" s="17">
        <f t="shared" si="24"/>
        <v>0.27949899752497875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152040</v>
      </c>
      <c r="CI20" s="14">
        <f t="shared" si="26"/>
        <v>109132.395</v>
      </c>
      <c r="CJ20" s="14" t="e">
        <f t="shared" si="27"/>
        <v>#REF!</v>
      </c>
      <c r="CK20" s="14">
        <f t="shared" si="41"/>
        <v>152040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441</v>
      </c>
      <c r="B21" s="30">
        <v>132</v>
      </c>
      <c r="C21" s="30">
        <v>18</v>
      </c>
      <c r="D21" s="30">
        <v>5</v>
      </c>
      <c r="E21" s="30">
        <v>4</v>
      </c>
      <c r="F21" s="14">
        <f>INDEX(属性投放!BF$6:BF$85,新属性汇总!$C21+($E21-2)*20)</f>
        <v>350</v>
      </c>
      <c r="G21" s="14">
        <f>INDEX(属性投放!BG$6:BG$85,新属性汇总!$C21+($E21-2)*20)</f>
        <v>175</v>
      </c>
      <c r="H21" s="14">
        <f>INDEX(属性投放!BH$6:BH$85,新属性汇总!$C21+($E21-2)*20)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34908</v>
      </c>
      <c r="M21" s="14">
        <f t="shared" si="12"/>
        <v>113648</v>
      </c>
      <c r="N21" s="14">
        <f>INDEX(属性投放!BK$6:BK$85,新属性汇总!$C21+($E21-2)*20)*INDEX(属性投放!$BN$6:$BN$85,新属性汇总!$C21+($E21-2)*20)</f>
        <v>2250</v>
      </c>
      <c r="O21" s="14">
        <f>INDEX(属性投放!BL$6:BL$85,新属性汇总!$C21+($E21-2)*20)*INDEX(属性投放!$BN$6:$BN$85,新属性汇总!$C21+($E21-2)*20)</f>
        <v>1125</v>
      </c>
      <c r="P21" s="14">
        <f>INDEX(属性投放!BM$6:BM$85,新属性汇总!$C21+($E21-2)*20)*INDEX(属性投放!$BN$6:$BN$85,新属性汇总!$C21+($E21-2)*20)</f>
        <v>22500</v>
      </c>
      <c r="Q21" s="14">
        <f t="shared" si="13"/>
        <v>67500</v>
      </c>
      <c r="R21" s="14">
        <f>SUM(N$4:N21)</f>
        <v>11635</v>
      </c>
      <c r="S21" s="14">
        <f>SUM(O$4:O21)</f>
        <v>5827</v>
      </c>
      <c r="T21" s="14">
        <f>SUM(P$4:P21)</f>
        <v>111785</v>
      </c>
      <c r="U21" s="14">
        <f t="shared" si="14"/>
        <v>344675</v>
      </c>
      <c r="V21" s="14">
        <f>INDEX(属性投放!BQ$6:BQ$85,新属性汇总!$C21+($E21-2)*20)</f>
        <v>1500</v>
      </c>
      <c r="W21" s="14">
        <f>INDEX(属性投放!BR$6:BR$85,新属性汇总!$C21+($E21-2)*20)</f>
        <v>750</v>
      </c>
      <c r="X21" s="14">
        <f>INDEX(属性投放!BS$6:BS$85,新属性汇总!$C21+($E21-2)*20)</f>
        <v>15000</v>
      </c>
      <c r="Y21" s="14">
        <f t="shared" si="15"/>
        <v>45000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1751.9999999999995</v>
      </c>
      <c r="AN21" s="14">
        <f>(G21+O21+W21+AJ21)*(INDEX(属性投放!$DX$6:$DX$10,新属性汇总!$D21)-1)</f>
        <v>875.99999999999977</v>
      </c>
      <c r="AO21" s="14">
        <f>(H21+P21+X21+AK21)*(INDEX(属性投放!$DX$6:$DX$10,新属性汇总!$D21)-1)</f>
        <v>17519.999999999996</v>
      </c>
      <c r="AP21" s="14">
        <f t="shared" si="18"/>
        <v>52559.999999999985</v>
      </c>
      <c r="AQ21" s="14"/>
      <c r="AR21" s="14"/>
      <c r="AS21" s="14"/>
      <c r="AT21" s="14">
        <f t="shared" si="1"/>
        <v>183960</v>
      </c>
      <c r="AU21" s="17">
        <f t="shared" si="2"/>
        <v>5.7077625570776253E-2</v>
      </c>
      <c r="AV21" s="17">
        <f t="shared" si="3"/>
        <v>0.36692759295499022</v>
      </c>
      <c r="AW21" s="17">
        <f t="shared" si="4"/>
        <v>0.2446183953033268</v>
      </c>
      <c r="AX21" s="17">
        <f t="shared" si="5"/>
        <v>4.5662100456621002E-2</v>
      </c>
      <c r="AY21" s="17">
        <f t="shared" si="19"/>
        <v>0.28571428571428564</v>
      </c>
      <c r="AZ21" s="30">
        <v>5</v>
      </c>
      <c r="BA21" s="30">
        <v>4</v>
      </c>
      <c r="BB21" s="26">
        <f>INDEX(装备!$BR$6:$BR$9,新属性汇总!BA21)</f>
        <v>1</v>
      </c>
      <c r="BC21" s="14">
        <f>INDEX(装备!M$17:M$23,新属性汇总!$AZ21)*$BB21</f>
        <v>1185</v>
      </c>
      <c r="BD21" s="14">
        <f>INDEX(装备!N$17:N$23,新属性汇总!$AZ21)*$BB21</f>
        <v>595</v>
      </c>
      <c r="BE21" s="14">
        <f>INDEX(装备!O$17:O$23,新属性汇总!$AZ21)*$BB21</f>
        <v>9595</v>
      </c>
      <c r="BF21" s="14">
        <f t="shared" si="36"/>
        <v>33345</v>
      </c>
      <c r="BG21" s="14">
        <f>INDEX(装备!S$17:S$23,新属性汇总!$AZ21)*(新属性汇总!$B21-$B20)*$BB21</f>
        <v>434</v>
      </c>
      <c r="BH21" s="14">
        <f>INDEX(装备!T$17:T$23,新属性汇总!$AZ21)*(新属性汇总!$B21-$B20)*$BB21</f>
        <v>220.5</v>
      </c>
      <c r="BI21" s="14">
        <f>INDEX(装备!U$17:U$23,新属性汇总!$AZ21)*(新属性汇总!$B21-$B20)*$BB21</f>
        <v>3517.5</v>
      </c>
      <c r="BJ21" s="14">
        <f t="shared" si="37"/>
        <v>12267.5</v>
      </c>
      <c r="BK21" s="14">
        <f>INDEX(装备!DY$17:DY$23,新属性汇总!$AZ21)</f>
        <v>236</v>
      </c>
      <c r="BL21" s="14">
        <f>INDEX(装备!DZ$17:DZ$23,新属性汇总!$AZ21)</f>
        <v>99</v>
      </c>
      <c r="BM21" s="14">
        <f>INDEX(装备!EA$17:EA$23,新属性汇总!$AZ21)</f>
        <v>1913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1180</v>
      </c>
      <c r="BQ21" s="14">
        <f>INDEX(装备!DZ$17:DZ$23,新属性汇总!$AZ21)*新属性汇总!$BO21</f>
        <v>495</v>
      </c>
      <c r="BR21" s="14">
        <f>INDEX(装备!EA$17:EA$23,新属性汇总!$AZ21)*新属性汇总!$BO21</f>
        <v>9565</v>
      </c>
      <c r="BS21" s="14">
        <f t="shared" si="38"/>
        <v>31265</v>
      </c>
      <c r="BT21" s="14">
        <f>INDEX(装备!$BX$21:$BX$27,新属性汇总!$AZ21)*1.5</f>
        <v>2170.7400000000002</v>
      </c>
      <c r="BU21" s="14">
        <v>0</v>
      </c>
      <c r="BV21" s="14">
        <f>INDEX(装备!$BZ$21:$BZ$27,新属性汇总!$AZ21)*1.5</f>
        <v>8794.9950000000008</v>
      </c>
      <c r="BW21" s="14">
        <f t="shared" si="39"/>
        <v>30502.395000000004</v>
      </c>
      <c r="BX21" s="14">
        <f t="shared" si="20"/>
        <v>107379.895</v>
      </c>
      <c r="BY21" s="17">
        <f t="shared" si="21"/>
        <v>0.31053299130158396</v>
      </c>
      <c r="BZ21" s="17">
        <f t="shared" si="22"/>
        <v>0.11424391875220216</v>
      </c>
      <c r="CA21" s="17">
        <f t="shared" si="23"/>
        <v>0.29116251231201146</v>
      </c>
      <c r="CB21" s="17">
        <f t="shared" si="24"/>
        <v>0.28406057763420239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183960</v>
      </c>
      <c r="CI21" s="14">
        <f t="shared" si="26"/>
        <v>107379.895</v>
      </c>
      <c r="CJ21" s="14" t="e">
        <f t="shared" si="27"/>
        <v>#REF!</v>
      </c>
      <c r="CK21" s="14">
        <f t="shared" si="41"/>
        <v>183960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442</v>
      </c>
      <c r="B22" s="30">
        <v>140</v>
      </c>
      <c r="C22" s="30">
        <v>19</v>
      </c>
      <c r="D22" s="30">
        <v>5</v>
      </c>
      <c r="E22" s="30">
        <v>4</v>
      </c>
      <c r="F22" s="14">
        <f>INDEX(属性投放!BF$6:BF$85,新属性汇总!$C22+($E22-2)*20)</f>
        <v>600</v>
      </c>
      <c r="G22" s="14">
        <f>INDEX(属性投放!BG$6:BG$85,新属性汇总!$C22+($E22-2)*20)</f>
        <v>304</v>
      </c>
      <c r="H22" s="14">
        <f>INDEX(属性投放!BH$6:BH$85,新属性汇总!$C22+($E22-2)*20)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40908</v>
      </c>
      <c r="M22" s="14">
        <f t="shared" si="12"/>
        <v>131728</v>
      </c>
      <c r="N22" s="14">
        <f>INDEX(属性投放!BK$6:BK$85,新属性汇总!$C22+($E22-2)*20)*INDEX(属性投放!$BN$6:$BN$85,新属性汇总!$C22+($E22-2)*20)</f>
        <v>2700</v>
      </c>
      <c r="O22" s="14">
        <f>INDEX(属性投放!BL$6:BL$85,新属性汇总!$C22+($E22-2)*20)*INDEX(属性投放!$BN$6:$BN$85,新属性汇总!$C22+($E22-2)*20)</f>
        <v>1350</v>
      </c>
      <c r="P22" s="14">
        <f>INDEX(属性投放!BM$6:BM$85,新属性汇总!$C22+($E22-2)*20)*INDEX(属性投放!$BN$6:$BN$85,新属性汇总!$C22+($E22-2)*20)</f>
        <v>27000</v>
      </c>
      <c r="Q22" s="14">
        <f t="shared" si="13"/>
        <v>81000</v>
      </c>
      <c r="R22" s="14">
        <f>SUM(N$4:N22)</f>
        <v>14335</v>
      </c>
      <c r="S22" s="14">
        <f>SUM(O$4:O22)</f>
        <v>7177</v>
      </c>
      <c r="T22" s="14">
        <f>SUM(P$4:P22)</f>
        <v>138785</v>
      </c>
      <c r="U22" s="14">
        <f t="shared" si="14"/>
        <v>425675</v>
      </c>
      <c r="V22" s="14">
        <f>INDEX(属性投放!BQ$6:BQ$85,新属性汇总!$C22+($E22-2)*20)</f>
        <v>1500</v>
      </c>
      <c r="W22" s="14">
        <f>INDEX(属性投放!BR$6:BR$85,新属性汇总!$C22+($E22-2)*20)</f>
        <v>750</v>
      </c>
      <c r="X22" s="14">
        <f>INDEX(属性投放!BS$6:BS$85,新属性汇总!$C22+($E22-2)*20)</f>
        <v>15000</v>
      </c>
      <c r="Y22" s="14">
        <f t="shared" si="15"/>
        <v>45000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2095.9999999999995</v>
      </c>
      <c r="AN22" s="14">
        <f>(G22+O22+W22+AJ22)*(INDEX(属性投放!$DX$6:$DX$10,新属性汇总!$D22)-1)</f>
        <v>1047.9999999999998</v>
      </c>
      <c r="AO22" s="14">
        <f>(H22+P22+X22+AK22)*(INDEX(属性投放!$DX$6:$DX$10,新属性汇总!$D22)-1)</f>
        <v>20959.999999999996</v>
      </c>
      <c r="AP22" s="14">
        <f t="shared" si="18"/>
        <v>62879.999999999985</v>
      </c>
      <c r="AQ22" s="14"/>
      <c r="AR22" s="14"/>
      <c r="AS22" s="14"/>
      <c r="AT22" s="14">
        <f t="shared" si="1"/>
        <v>220080</v>
      </c>
      <c r="AU22" s="17">
        <f t="shared" si="2"/>
        <v>8.2151944747364591E-2</v>
      </c>
      <c r="AV22" s="17">
        <f t="shared" si="3"/>
        <v>0.36804798255179932</v>
      </c>
      <c r="AW22" s="17">
        <f t="shared" si="4"/>
        <v>0.20447110141766631</v>
      </c>
      <c r="AX22" s="17">
        <f t="shared" si="5"/>
        <v>5.9614685568884045E-2</v>
      </c>
      <c r="AY22" s="17">
        <f t="shared" si="19"/>
        <v>0.28571428571428564</v>
      </c>
      <c r="AZ22" s="30">
        <v>6</v>
      </c>
      <c r="BA22" s="30">
        <v>4</v>
      </c>
      <c r="BB22" s="26">
        <f>INDEX(装备!$BR$6:$BR$9,新属性汇总!BA22)</f>
        <v>1</v>
      </c>
      <c r="BC22" s="14">
        <f>INDEX(装备!M$17:M$23,新属性汇总!$AZ22)*$BB22</f>
        <v>1485</v>
      </c>
      <c r="BD22" s="14">
        <f>INDEX(装备!N$17:N$23,新属性汇总!$AZ22)*$BB22</f>
        <v>750</v>
      </c>
      <c r="BE22" s="14">
        <f>INDEX(装备!O$17:O$23,新属性汇总!$AZ22)*$BB22</f>
        <v>13000</v>
      </c>
      <c r="BF22" s="14">
        <f t="shared" si="36"/>
        <v>42850</v>
      </c>
      <c r="BG22" s="14">
        <f>INDEX(装备!S$17:S$23,新属性汇总!$AZ22)*(新属性汇总!$B22-$B21)*$BB22</f>
        <v>660</v>
      </c>
      <c r="BH22" s="14">
        <f>INDEX(装备!T$17:T$23,新属性汇总!$AZ22)*(新属性汇总!$B22-$B21)*$BB22</f>
        <v>332</v>
      </c>
      <c r="BI22" s="14">
        <f>INDEX(装备!U$17:U$23,新属性汇总!$AZ22)*(新属性汇总!$B22-$B21)*$BB22</f>
        <v>5776</v>
      </c>
      <c r="BJ22" s="14">
        <f t="shared" si="37"/>
        <v>19016</v>
      </c>
      <c r="BK22" s="14">
        <f>INDEX(装备!DY$17:DY$23,新属性汇总!$AZ22)</f>
        <v>451</v>
      </c>
      <c r="BL22" s="14">
        <f>INDEX(装备!DZ$17:DZ$23,新属性汇总!$AZ22)</f>
        <v>158</v>
      </c>
      <c r="BM22" s="14">
        <f>INDEX(装备!EA$17:EA$23,新属性汇总!$AZ22)</f>
        <v>3222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2706</v>
      </c>
      <c r="BQ22" s="14">
        <f>INDEX(装备!DZ$17:DZ$23,新属性汇总!$AZ22)*新属性汇总!$BO22</f>
        <v>948</v>
      </c>
      <c r="BR22" s="14">
        <f>INDEX(装备!EA$17:EA$23,新属性汇总!$AZ22)*新属性汇总!$BO22</f>
        <v>19332</v>
      </c>
      <c r="BS22" s="14">
        <f t="shared" si="38"/>
        <v>65352</v>
      </c>
      <c r="BT22" s="14">
        <f>INDEX(装备!$BX$21:$BX$27,新属性汇总!$AZ22)*1.5</f>
        <v>3371.3625000000002</v>
      </c>
      <c r="BU22" s="14">
        <v>0</v>
      </c>
      <c r="BV22" s="14">
        <f>INDEX(装备!$BZ$21:$BZ$27,新属性汇总!$AZ22)*1.5</f>
        <v>14283.431250000001</v>
      </c>
      <c r="BW22" s="14">
        <f t="shared" si="39"/>
        <v>47997.056250000001</v>
      </c>
      <c r="BX22" s="14">
        <f t="shared" si="20"/>
        <v>175215.05624999999</v>
      </c>
      <c r="BY22" s="17">
        <f t="shared" si="21"/>
        <v>0.24455660898719142</v>
      </c>
      <c r="BZ22" s="17">
        <f t="shared" si="22"/>
        <v>0.1085294860326822</v>
      </c>
      <c r="CA22" s="17">
        <f t="shared" si="23"/>
        <v>0.37298164551997515</v>
      </c>
      <c r="CB22" s="17">
        <f t="shared" si="24"/>
        <v>0.27393225946015132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220080</v>
      </c>
      <c r="CI22" s="14">
        <f t="shared" si="26"/>
        <v>175215.05624999999</v>
      </c>
      <c r="CJ22" s="14" t="e">
        <f t="shared" si="27"/>
        <v>#REF!</v>
      </c>
      <c r="CK22" s="14">
        <f t="shared" si="41"/>
        <v>220080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443</v>
      </c>
      <c r="B23" s="30">
        <v>150</v>
      </c>
      <c r="C23" s="30">
        <v>20</v>
      </c>
      <c r="D23" s="30">
        <v>5</v>
      </c>
      <c r="E23" s="30">
        <v>4</v>
      </c>
      <c r="F23" s="14">
        <f>INDEX(属性投放!BF$6:BF$85,新属性汇总!$C23+($E23-2)*20)</f>
        <v>750</v>
      </c>
      <c r="G23" s="14">
        <f>INDEX(属性投放!BG$6:BG$85,新属性汇总!$C23+($E23-2)*20)</f>
        <v>380</v>
      </c>
      <c r="H23" s="14">
        <f>INDEX(属性投放!BH$6:BH$85,新属性汇总!$C23+($E23-2)*20)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48408</v>
      </c>
      <c r="M23" s="14">
        <f t="shared" si="12"/>
        <v>154328</v>
      </c>
      <c r="N23" s="14">
        <f>INDEX(属性投放!BK$6:BK$85,新属性汇总!$C23+($E23-2)*20)*INDEX(属性投放!$BN$6:$BN$85,新属性汇总!$C23+($E23-2)*20)</f>
        <v>4000</v>
      </c>
      <c r="O23" s="14">
        <f>INDEX(属性投放!BL$6:BL$85,新属性汇总!$C23+($E23-2)*20)*INDEX(属性投放!$BN$6:$BN$85,新属性汇总!$C23+($E23-2)*20)</f>
        <v>2000</v>
      </c>
      <c r="P23" s="14">
        <f>INDEX(属性投放!BM$6:BM$85,新属性汇总!$C23+($E23-2)*20)*INDEX(属性投放!$BN$6:$BN$85,新属性汇总!$C23+($E23-2)*20)</f>
        <v>40000</v>
      </c>
      <c r="Q23" s="14">
        <f t="shared" si="13"/>
        <v>120000</v>
      </c>
      <c r="R23" s="14">
        <f>SUM(N$4:N23)</f>
        <v>18335</v>
      </c>
      <c r="S23" s="14">
        <f>SUM(O$4:O23)</f>
        <v>9177</v>
      </c>
      <c r="T23" s="14">
        <f>SUM(P$4:P23)</f>
        <v>178785</v>
      </c>
      <c r="U23" s="14">
        <f t="shared" si="14"/>
        <v>545675</v>
      </c>
      <c r="V23" s="14">
        <f>INDEX(属性投放!BQ$6:BQ$85,新属性汇总!$C23+($E23-2)*20)</f>
        <v>1500</v>
      </c>
      <c r="W23" s="14">
        <f>INDEX(属性投放!BR$6:BR$85,新属性汇总!$C23+($E23-2)*20)</f>
        <v>750</v>
      </c>
      <c r="X23" s="14">
        <f>INDEX(属性投放!BS$6:BS$85,新属性汇总!$C23+($E23-2)*20)</f>
        <v>15000</v>
      </c>
      <c r="Y23" s="14">
        <f t="shared" si="15"/>
        <v>45000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2719.9999999999995</v>
      </c>
      <c r="AN23" s="14">
        <f>(G23+O23+W23+AJ23)*(INDEX(属性投放!$DX$6:$DX$10,新属性汇总!$D23)-1)</f>
        <v>1359.9999999999998</v>
      </c>
      <c r="AO23" s="14">
        <f>(H23+P23+X23+AK23)*(INDEX(属性投放!$DX$6:$DX$10,新属性汇总!$D23)-1)</f>
        <v>27199.999999999993</v>
      </c>
      <c r="AP23" s="14">
        <f t="shared" si="18"/>
        <v>81599.999999999985</v>
      </c>
      <c r="AQ23" s="14"/>
      <c r="AR23" s="14"/>
      <c r="AS23" s="14"/>
      <c r="AT23" s="14">
        <f t="shared" si="1"/>
        <v>285600</v>
      </c>
      <c r="AU23" s="17">
        <f t="shared" si="2"/>
        <v>7.9131652661064422E-2</v>
      </c>
      <c r="AV23" s="17">
        <f t="shared" si="3"/>
        <v>0.42016806722689076</v>
      </c>
      <c r="AW23" s="17">
        <f t="shared" si="4"/>
        <v>0.15756302521008403</v>
      </c>
      <c r="AX23" s="17">
        <f t="shared" si="5"/>
        <v>5.7422969187675067E-2</v>
      </c>
      <c r="AY23" s="17">
        <f t="shared" si="19"/>
        <v>0.28571428571428564</v>
      </c>
      <c r="AZ23" s="30">
        <v>6</v>
      </c>
      <c r="BA23" s="30">
        <v>4</v>
      </c>
      <c r="BB23" s="26">
        <f>INDEX(装备!$BR$6:$BR$9,新属性汇总!BA23)</f>
        <v>1</v>
      </c>
      <c r="BC23" s="14">
        <f>INDEX(装备!M$17:M$23,新属性汇总!$AZ23)*$BB23</f>
        <v>1485</v>
      </c>
      <c r="BD23" s="14">
        <f>INDEX(装备!N$17:N$23,新属性汇总!$AZ23)*$BB23</f>
        <v>750</v>
      </c>
      <c r="BE23" s="14">
        <f>INDEX(装备!O$17:O$23,新属性汇总!$AZ23)*$BB23</f>
        <v>13000</v>
      </c>
      <c r="BF23" s="14">
        <f t="shared" si="36"/>
        <v>42850</v>
      </c>
      <c r="BG23" s="14">
        <f>INDEX(装备!S$17:S$23,新属性汇总!$AZ23)*(新属性汇总!$B23-$B22)*$BB23</f>
        <v>825</v>
      </c>
      <c r="BH23" s="14">
        <f>INDEX(装备!T$17:T$23,新属性汇总!$AZ23)*(新属性汇总!$B23-$B22)*$BB23</f>
        <v>415</v>
      </c>
      <c r="BI23" s="14">
        <f>INDEX(装备!U$17:U$23,新属性汇总!$AZ23)*(新属性汇总!$B23-$B22)*$BB23</f>
        <v>7220</v>
      </c>
      <c r="BJ23" s="14">
        <f t="shared" si="37"/>
        <v>23770</v>
      </c>
      <c r="BK23" s="14">
        <f>INDEX(装备!DY$17:DY$23,新属性汇总!$AZ23)</f>
        <v>451</v>
      </c>
      <c r="BL23" s="14">
        <f>INDEX(装备!DZ$17:DZ$23,新属性汇总!$AZ23)</f>
        <v>158</v>
      </c>
      <c r="BM23" s="14">
        <f>INDEX(装备!EA$17:EA$23,新属性汇总!$AZ23)</f>
        <v>3222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2706</v>
      </c>
      <c r="BQ23" s="14">
        <f>INDEX(装备!DZ$17:DZ$23,新属性汇总!$AZ23)*新属性汇总!$BO23</f>
        <v>948</v>
      </c>
      <c r="BR23" s="14">
        <f>INDEX(装备!EA$17:EA$23,新属性汇总!$AZ23)*新属性汇总!$BO23</f>
        <v>19332</v>
      </c>
      <c r="BS23" s="14">
        <f t="shared" si="38"/>
        <v>65352</v>
      </c>
      <c r="BT23" s="14">
        <f>INDEX(装备!$BX$21:$BX$27,新属性汇总!$AZ23)*1.5</f>
        <v>3371.3625000000002</v>
      </c>
      <c r="BU23" s="14">
        <v>0</v>
      </c>
      <c r="BV23" s="14">
        <f>INDEX(装备!$BZ$21:$BZ$27,新属性汇总!$AZ23)*1.5</f>
        <v>14283.431250000001</v>
      </c>
      <c r="BW23" s="14">
        <f t="shared" si="39"/>
        <v>47997.056250000001</v>
      </c>
      <c r="BX23" s="14">
        <f t="shared" si="20"/>
        <v>179969.05624999999</v>
      </c>
      <c r="BY23" s="17">
        <f t="shared" si="21"/>
        <v>0.23809648665643876</v>
      </c>
      <c r="BZ23" s="17">
        <f t="shared" si="22"/>
        <v>0.1320782610927316</v>
      </c>
      <c r="CA23" s="17">
        <f t="shared" si="23"/>
        <v>0.36312909208801836</v>
      </c>
      <c r="CB23" s="17">
        <f t="shared" si="24"/>
        <v>0.26669616016281134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285600</v>
      </c>
      <c r="CI23" s="14">
        <f t="shared" si="26"/>
        <v>179969.05624999999</v>
      </c>
      <c r="CJ23" s="14" t="e">
        <f t="shared" si="27"/>
        <v>#REF!</v>
      </c>
      <c r="CK23" s="14">
        <f t="shared" si="41"/>
        <v>285600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2019-11-01T09:29:43Z</dcterms:modified>
</cp:coreProperties>
</file>